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omments36.xml" ContentType="application/vnd.openxmlformats-officedocument.spreadsheetml.comments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omments37.xml" ContentType="application/vnd.openxmlformats-officedocument.spreadsheetml.comments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omments38.xml" ContentType="application/vnd.openxmlformats-officedocument.spreadsheetml.comments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omments39.xml" ContentType="application/vnd.openxmlformats-officedocument.spreadsheetml.comments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omments40.xml" ContentType="application/vnd.openxmlformats-officedocument.spreadsheetml.comments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omments41.xml" ContentType="application/vnd.openxmlformats-officedocument.spreadsheetml.comments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omments42.xml" ContentType="application/vnd.openxmlformats-officedocument.spreadsheetml.comments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omments43.xml" ContentType="application/vnd.openxmlformats-officedocument.spreadsheetml.comments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omments44.xml" ContentType="application/vnd.openxmlformats-officedocument.spreadsheetml.comments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omments45.xml" ContentType="application/vnd.openxmlformats-officedocument.spreadsheetml.comments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omments46.xml" ContentType="application/vnd.openxmlformats-officedocument.spreadsheetml.comments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omments47.xml" ContentType="application/vnd.openxmlformats-officedocument.spreadsheetml.comments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omments48.xml" ContentType="application/vnd.openxmlformats-officedocument.spreadsheetml.comments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omments49.xml" ContentType="application/vnd.openxmlformats-officedocument.spreadsheetml.comments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omments50.xml" ContentType="application/vnd.openxmlformats-officedocument.spreadsheetml.comments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omments51.xml" ContentType="application/vnd.openxmlformats-officedocument.spreadsheetml.comments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omments52.xml" ContentType="application/vnd.openxmlformats-officedocument.spreadsheetml.comments+xml"/>
  <Override PartName="/xl/charts/chart5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3_F105_CO_FISE\"/>
    </mc:Choice>
  </mc:AlternateContent>
  <xr:revisionPtr revIDLastSave="0" documentId="13_ncr:1_{E49199B0-04CB-46BB-99EF-04398FB264E7}" xr6:coauthVersionLast="47" xr6:coauthVersionMax="47" xr10:uidLastSave="{00000000-0000-0000-0000-000000000000}"/>
  <bookViews>
    <workbookView xWindow="16710" yWindow="-21615" windowWidth="17310" windowHeight="21285" xr2:uid="{0AD74ED2-36DD-46BC-81DF-FAF572BAB7F4}"/>
  </bookViews>
  <sheets>
    <sheet name="Composite" sheetId="1" r:id="rId1"/>
    <sheet name="Canopy" sheetId="2" r:id="rId2"/>
    <sheet name="DOY128" sheetId="55" r:id="rId3"/>
    <sheet name="DOY132" sheetId="54" r:id="rId4"/>
    <sheet name="DOY136" sheetId="53" r:id="rId5"/>
    <sheet name="DOY139" sheetId="52" r:id="rId6"/>
    <sheet name="DOY141" sheetId="51" r:id="rId7"/>
    <sheet name="DOY143" sheetId="50" r:id="rId8"/>
    <sheet name="DOY147" sheetId="49" r:id="rId9"/>
    <sheet name="DOY148" sheetId="48" r:id="rId10"/>
    <sheet name="DOY149" sheetId="47" r:id="rId11"/>
    <sheet name="DOY150" sheetId="46" r:id="rId12"/>
    <sheet name="DOY153" sheetId="45" r:id="rId13"/>
    <sheet name="DOY154" sheetId="44" r:id="rId14"/>
    <sheet name="DOY155" sheetId="43" r:id="rId15"/>
    <sheet name="DOY156" sheetId="42" r:id="rId16"/>
    <sheet name="DOY157" sheetId="41" r:id="rId17"/>
    <sheet name="DOY160" sheetId="40" r:id="rId18"/>
    <sheet name="DOY161" sheetId="39" r:id="rId19"/>
    <sheet name="DOY162" sheetId="38" r:id="rId20"/>
    <sheet name="DOY163" sheetId="37" r:id="rId21"/>
    <sheet name="DOY164" sheetId="36" r:id="rId22"/>
    <sheet name="DOY167" sheetId="35" r:id="rId23"/>
    <sheet name="DOY168" sheetId="34" r:id="rId24"/>
    <sheet name="DOY169" sheetId="33" r:id="rId25"/>
    <sheet name="DOY170" sheetId="32" r:id="rId26"/>
    <sheet name="DOY171" sheetId="31" r:id="rId27"/>
    <sheet name="DOY173" sheetId="30" r:id="rId28"/>
    <sheet name="DOY174" sheetId="29" r:id="rId29"/>
    <sheet name="DOY175" sheetId="27" r:id="rId30"/>
    <sheet name="DOY176" sheetId="26" r:id="rId31"/>
    <sheet name="DOY177" sheetId="25" r:id="rId32"/>
    <sheet name="DOY178" sheetId="24" r:id="rId33"/>
    <sheet name="DOY180" sheetId="23" r:id="rId34"/>
    <sheet name="DOY181" sheetId="22" r:id="rId35"/>
    <sheet name="DOY182" sheetId="21" r:id="rId36"/>
    <sheet name="DOY183" sheetId="20" r:id="rId37"/>
    <sheet name="DOY184" sheetId="19" r:id="rId38"/>
    <sheet name="DOY185" sheetId="18" r:id="rId39"/>
    <sheet name="DOY188" sheetId="17" r:id="rId40"/>
    <sheet name="DOY189" sheetId="16" r:id="rId41"/>
    <sheet name="DOY195" sheetId="15" r:id="rId42"/>
    <sheet name="DOY196" sheetId="14" r:id="rId43"/>
    <sheet name="DOY197" sheetId="13" r:id="rId44"/>
    <sheet name="DOY198" sheetId="12" r:id="rId45"/>
    <sheet name="DOY213" sheetId="11" r:id="rId46"/>
    <sheet name="DOY216" sheetId="10" r:id="rId47"/>
    <sheet name="DOY246" sheetId="9" r:id="rId48"/>
    <sheet name="DOY247" sheetId="8" r:id="rId49"/>
    <sheet name="DOY248" sheetId="7" r:id="rId50"/>
    <sheet name="DOY251" sheetId="6" r:id="rId51"/>
    <sheet name="DOY252" sheetId="5" r:id="rId52"/>
    <sheet name="DOY253" sheetId="4" r:id="rId53"/>
    <sheet name="DOY254" sheetId="3" r:id="rId54"/>
  </sheets>
  <externalReferences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</externalReferences>
  <definedNames>
    <definedName name="_____________________________________________________Obs1">'DOY128'!$K$10:$K$85</definedName>
    <definedName name="_____________________________________________________Obs10">'DOY128'!$T$10:$T$85</definedName>
    <definedName name="_____________________________________________________Obs11">'DOY128'!$U$10:$U$85</definedName>
    <definedName name="_____________________________________________________Obs12">'DOY128'!$V$10:$V$85</definedName>
    <definedName name="_____________________________________________________Obs2">'DOY128'!$L$10:$L$85</definedName>
    <definedName name="_____________________________________________________Obs3">'DOY128'!$M$10:$M$85</definedName>
    <definedName name="_____________________________________________________Obs4">'DOY128'!$N$10:$N$85</definedName>
    <definedName name="_____________________________________________________Obs5">'DOY128'!$O$10:$O$85</definedName>
    <definedName name="_____________________________________________________Obs6">'DOY128'!$P$10:$P$85</definedName>
    <definedName name="_____________________________________________________Obs7">'DOY128'!$Q$10:$Q$85</definedName>
    <definedName name="_____________________________________________________Obs8">'DOY128'!$R$10:$R$85</definedName>
    <definedName name="_____________________________________________________Obs9">'DOY128'!$S$10:$S$85</definedName>
    <definedName name="____________________________________________________Obs1">'DOY132'!$K$10:$K$85</definedName>
    <definedName name="____________________________________________________Obs10">'DOY132'!$T$10:$T$85</definedName>
    <definedName name="____________________________________________________Obs11">'DOY132'!$U$10:$U$85</definedName>
    <definedName name="____________________________________________________Obs12">'DOY132'!$V$10:$V$85</definedName>
    <definedName name="____________________________________________________Obs2">'DOY132'!$L$10:$L$85</definedName>
    <definedName name="____________________________________________________Obs3">'DOY132'!$M$10:$M$85</definedName>
    <definedName name="____________________________________________________Obs4">'DOY132'!$N$10:$N$85</definedName>
    <definedName name="____________________________________________________Obs5">'DOY132'!$O$10:$O$85</definedName>
    <definedName name="____________________________________________________Obs6">'DOY132'!$P$10:$P$85</definedName>
    <definedName name="____________________________________________________Obs7">'DOY132'!$Q$10:$Q$85</definedName>
    <definedName name="____________________________________________________Obs8">'DOY132'!$R$10:$R$85</definedName>
    <definedName name="____________________________________________________Obs9">'DOY132'!$S$10:$S$85</definedName>
    <definedName name="___________________________________________________Obs1">'DOY136'!$K$10:$K$85</definedName>
    <definedName name="___________________________________________________Obs10">'DOY136'!$T$10:$T$85</definedName>
    <definedName name="___________________________________________________Obs11">'DOY136'!$U$10:$U$85</definedName>
    <definedName name="___________________________________________________Obs12">'DOY136'!$V$10:$V$85</definedName>
    <definedName name="___________________________________________________Obs2">'DOY136'!$L$10:$L$85</definedName>
    <definedName name="___________________________________________________Obs3">'DOY136'!$M$10:$M$85</definedName>
    <definedName name="___________________________________________________Obs4">'DOY136'!$N$10:$N$85</definedName>
    <definedName name="___________________________________________________Obs5">'DOY136'!$O$10:$O$85</definedName>
    <definedName name="___________________________________________________Obs6">'DOY136'!$P$10:$P$85</definedName>
    <definedName name="___________________________________________________Obs7">'DOY136'!$Q$10:$Q$85</definedName>
    <definedName name="___________________________________________________Obs8">'DOY136'!$R$10:$R$85</definedName>
    <definedName name="___________________________________________________Obs9">'DOY136'!$S$10:$S$85</definedName>
    <definedName name="__________________________________________________Obs1">'DOY139'!$K$10:$K$85</definedName>
    <definedName name="__________________________________________________Obs10">'DOY139'!$T$10:$T$85</definedName>
    <definedName name="__________________________________________________Obs11">'DOY139'!$U$10:$U$85</definedName>
    <definedName name="__________________________________________________Obs12">'DOY139'!$V$10:$V$85</definedName>
    <definedName name="__________________________________________________Obs2">'DOY139'!$L$10:$L$85</definedName>
    <definedName name="__________________________________________________Obs3">'DOY139'!$M$10:$M$85</definedName>
    <definedName name="__________________________________________________Obs4">'DOY139'!$N$10:$N$85</definedName>
    <definedName name="__________________________________________________Obs5">'DOY139'!$O$10:$O$85</definedName>
    <definedName name="__________________________________________________Obs6">'DOY139'!$P$10:$P$85</definedName>
    <definedName name="__________________________________________________Obs7">'DOY139'!$Q$10:$Q$85</definedName>
    <definedName name="__________________________________________________Obs8">'DOY139'!$R$10:$R$85</definedName>
    <definedName name="__________________________________________________Obs9">'DOY139'!$S$10:$S$85</definedName>
    <definedName name="_________________________________________________Obs1">'DOY141'!$K$10:$K$85</definedName>
    <definedName name="_________________________________________________Obs10">'DOY141'!$T$10:$T$85</definedName>
    <definedName name="_________________________________________________Obs11">'DOY141'!$U$10:$U$85</definedName>
    <definedName name="_________________________________________________Obs12">'DOY141'!$V$10:$V$85</definedName>
    <definedName name="_________________________________________________Obs2">'DOY141'!$L$10:$L$85</definedName>
    <definedName name="_________________________________________________Obs3">'DOY141'!$M$10:$M$85</definedName>
    <definedName name="_________________________________________________Obs4">'DOY141'!$N$10:$N$85</definedName>
    <definedName name="_________________________________________________Obs5">'DOY141'!$O$10:$O$85</definedName>
    <definedName name="_________________________________________________Obs6">'DOY141'!$P$10:$P$85</definedName>
    <definedName name="_________________________________________________Obs7">'DOY141'!$Q$10:$Q$85</definedName>
    <definedName name="_________________________________________________Obs8">'DOY141'!$R$10:$R$85</definedName>
    <definedName name="_________________________________________________Obs9">'DOY141'!$S$10:$S$85</definedName>
    <definedName name="________________________________________________Obs1">'DOY143'!$K$10:$K$85</definedName>
    <definedName name="________________________________________________Obs10">'DOY143'!$T$10:$T$85</definedName>
    <definedName name="________________________________________________Obs11">'DOY143'!$U$10:$U$85</definedName>
    <definedName name="________________________________________________Obs12">'DOY143'!$V$10:$V$85</definedName>
    <definedName name="________________________________________________Obs2">'DOY143'!$L$10:$L$85</definedName>
    <definedName name="________________________________________________Obs3">'DOY143'!$M$10:$M$85</definedName>
    <definedName name="________________________________________________Obs4">'DOY143'!$N$10:$N$85</definedName>
    <definedName name="________________________________________________Obs5">'DOY143'!$O$10:$O$85</definedName>
    <definedName name="________________________________________________Obs6">'DOY143'!$P$10:$P$85</definedName>
    <definedName name="________________________________________________Obs7">'DOY143'!$Q$10:$Q$85</definedName>
    <definedName name="________________________________________________Obs8">'DOY143'!$R$10:$R$85</definedName>
    <definedName name="________________________________________________Obs9">'DOY143'!$S$10:$S$85</definedName>
    <definedName name="_______________________________________________Obs1">'DOY147'!$K$10:$K$85</definedName>
    <definedName name="_______________________________________________Obs10">'DOY147'!$T$10:$T$85</definedName>
    <definedName name="_______________________________________________Obs11">'DOY147'!$U$10:$U$85</definedName>
    <definedName name="_______________________________________________Obs12">'DOY147'!$V$10:$V$85</definedName>
    <definedName name="_______________________________________________Obs2">'DOY147'!$L$10:$L$85</definedName>
    <definedName name="_______________________________________________Obs3">'DOY147'!$M$10:$M$85</definedName>
    <definedName name="_______________________________________________Obs4">'DOY147'!$N$10:$N$85</definedName>
    <definedName name="_______________________________________________Obs5">'DOY147'!$O$10:$O$85</definedName>
    <definedName name="_______________________________________________Obs6">'DOY147'!$P$10:$P$85</definedName>
    <definedName name="_______________________________________________Obs7">'DOY147'!$Q$10:$Q$85</definedName>
    <definedName name="_______________________________________________Obs8">'DOY147'!$R$10:$R$85</definedName>
    <definedName name="_______________________________________________Obs9">'DOY147'!$S$10:$S$85</definedName>
    <definedName name="______________________________________________Obs1">'DOY148'!$K$10:$K$85</definedName>
    <definedName name="______________________________________________Obs10">'DOY148'!$T$10:$T$85</definedName>
    <definedName name="______________________________________________Obs11">'DOY148'!$U$10:$U$85</definedName>
    <definedName name="______________________________________________Obs12">'DOY148'!$V$10:$V$85</definedName>
    <definedName name="______________________________________________Obs2">'DOY148'!$L$10:$L$85</definedName>
    <definedName name="______________________________________________Obs3">'DOY148'!$M$10:$M$85</definedName>
    <definedName name="______________________________________________Obs4">'DOY148'!$N$10:$N$85</definedName>
    <definedName name="______________________________________________Obs5">'DOY148'!$O$10:$O$85</definedName>
    <definedName name="______________________________________________Obs6">'DOY148'!$P$10:$P$85</definedName>
    <definedName name="______________________________________________Obs7">'DOY148'!$Q$10:$Q$85</definedName>
    <definedName name="______________________________________________Obs8">'DOY148'!$R$10:$R$85</definedName>
    <definedName name="______________________________________________Obs9">'DOY148'!$S$10:$S$85</definedName>
    <definedName name="_____________________________________________Obs1">'DOY149'!$K$10:$K$85</definedName>
    <definedName name="_____________________________________________Obs10">'DOY149'!$T$10:$T$85</definedName>
    <definedName name="_____________________________________________Obs11">'DOY149'!$U$10:$U$85</definedName>
    <definedName name="_____________________________________________Obs12">'DOY149'!$V$10:$V$85</definedName>
    <definedName name="_____________________________________________Obs2">'DOY149'!$L$10:$L$85</definedName>
    <definedName name="_____________________________________________Obs3">'DOY149'!$M$10:$M$85</definedName>
    <definedName name="_____________________________________________Obs4">'DOY149'!$N$10:$N$85</definedName>
    <definedName name="_____________________________________________Obs5">'DOY149'!$O$10:$O$85</definedName>
    <definedName name="_____________________________________________Obs6">'DOY149'!$P$10:$P$85</definedName>
    <definedName name="_____________________________________________Obs7">'DOY149'!$Q$10:$Q$85</definedName>
    <definedName name="_____________________________________________Obs8">'DOY149'!$R$10:$R$85</definedName>
    <definedName name="_____________________________________________Obs9">'DOY149'!$S$10:$S$85</definedName>
    <definedName name="____________________________________________Obs1">'DOY150'!$K$10:$K$85</definedName>
    <definedName name="____________________________________________Obs10">'DOY150'!$T$10:$T$85</definedName>
    <definedName name="____________________________________________Obs11">'DOY150'!$U$10:$U$85</definedName>
    <definedName name="____________________________________________Obs12">'DOY150'!$V$10:$V$85</definedName>
    <definedName name="____________________________________________Obs2">'DOY150'!$L$10:$L$85</definedName>
    <definedName name="____________________________________________Obs3">'DOY150'!$M$10:$M$85</definedName>
    <definedName name="____________________________________________Obs4">'DOY150'!$N$10:$N$85</definedName>
    <definedName name="____________________________________________Obs5">'DOY150'!$O$10:$O$85</definedName>
    <definedName name="____________________________________________Obs6">'DOY150'!$P$10:$P$85</definedName>
    <definedName name="____________________________________________Obs7">'DOY150'!$Q$10:$Q$85</definedName>
    <definedName name="____________________________________________Obs8">'DOY150'!$R$10:$R$85</definedName>
    <definedName name="____________________________________________Obs9">'DOY150'!$S$10:$S$85</definedName>
    <definedName name="___________________________________________Obs1">'DOY153'!$K$10:$K$85</definedName>
    <definedName name="___________________________________________Obs10">'DOY153'!$T$10:$T$85</definedName>
    <definedName name="___________________________________________Obs11">'DOY153'!$U$10:$U$85</definedName>
    <definedName name="___________________________________________Obs12">'DOY153'!$V$10:$V$85</definedName>
    <definedName name="___________________________________________Obs2">'DOY153'!$L$10:$L$85</definedName>
    <definedName name="___________________________________________Obs3">'DOY153'!$M$10:$M$85</definedName>
    <definedName name="___________________________________________Obs4">'DOY153'!$N$10:$N$85</definedName>
    <definedName name="___________________________________________Obs5">'DOY153'!$O$10:$O$85</definedName>
    <definedName name="___________________________________________Obs6">'DOY153'!$P$10:$P$85</definedName>
    <definedName name="___________________________________________Obs7">'DOY153'!$Q$10:$Q$85</definedName>
    <definedName name="___________________________________________Obs8">'DOY153'!$R$10:$R$85</definedName>
    <definedName name="___________________________________________Obs9">'DOY153'!$S$10:$S$85</definedName>
    <definedName name="__________________________________________Obs1">'DOY154'!$K$10:$K$85</definedName>
    <definedName name="__________________________________________Obs10">'DOY154'!$T$10:$T$85</definedName>
    <definedName name="__________________________________________Obs11">'DOY154'!$U$10:$U$85</definedName>
    <definedName name="__________________________________________Obs12">'DOY154'!$V$10:$V$85</definedName>
    <definedName name="__________________________________________Obs2">'DOY154'!$L$10:$L$85</definedName>
    <definedName name="__________________________________________Obs3">'DOY154'!$M$10:$M$85</definedName>
    <definedName name="__________________________________________Obs4">'DOY154'!$N$10:$N$85</definedName>
    <definedName name="__________________________________________Obs5">'DOY154'!$O$10:$O$85</definedName>
    <definedName name="__________________________________________Obs6">'DOY154'!$P$10:$P$85</definedName>
    <definedName name="__________________________________________Obs7">'DOY154'!$Q$10:$Q$85</definedName>
    <definedName name="__________________________________________Obs8">'DOY154'!$R$10:$R$85</definedName>
    <definedName name="__________________________________________Obs9">'DOY154'!$S$10:$S$85</definedName>
    <definedName name="_________________________________________Obs1">'DOY155'!$K$10:$K$85</definedName>
    <definedName name="_________________________________________Obs10">'DOY155'!$T$10:$T$85</definedName>
    <definedName name="_________________________________________Obs11">'DOY155'!$U$10:$U$85</definedName>
    <definedName name="_________________________________________Obs12">'DOY155'!$V$10:$V$85</definedName>
    <definedName name="_________________________________________Obs2">'DOY155'!$L$10:$L$85</definedName>
    <definedName name="_________________________________________Obs3">'DOY155'!$M$10:$M$85</definedName>
    <definedName name="_________________________________________Obs4">'DOY155'!$N$10:$N$85</definedName>
    <definedName name="_________________________________________Obs5">'DOY155'!$O$10:$O$85</definedName>
    <definedName name="_________________________________________Obs6">'DOY155'!$P$10:$P$85</definedName>
    <definedName name="_________________________________________Obs7">'DOY155'!$Q$10:$Q$85</definedName>
    <definedName name="_________________________________________Obs8">'DOY155'!$R$10:$R$85</definedName>
    <definedName name="_________________________________________Obs9">'DOY155'!$S$10:$S$85</definedName>
    <definedName name="________________________________________Obs1">'DOY156'!$K$10:$K$85</definedName>
    <definedName name="________________________________________Obs10">'DOY156'!$T$10:$T$85</definedName>
    <definedName name="________________________________________Obs11">'DOY156'!$U$10:$U$85</definedName>
    <definedName name="________________________________________Obs12">'DOY156'!$V$10:$V$85</definedName>
    <definedName name="________________________________________Obs2">'DOY156'!$L$10:$L$85</definedName>
    <definedName name="________________________________________Obs3">'DOY156'!$M$10:$M$85</definedName>
    <definedName name="________________________________________Obs4">'DOY156'!$N$10:$N$85</definedName>
    <definedName name="________________________________________Obs5">'DOY156'!$O$10:$O$85</definedName>
    <definedName name="________________________________________Obs6">'DOY156'!$P$10:$P$85</definedName>
    <definedName name="________________________________________Obs7">'DOY156'!$Q$10:$Q$85</definedName>
    <definedName name="________________________________________Obs8">'DOY156'!$R$10:$R$85</definedName>
    <definedName name="________________________________________Obs9">'DOY156'!$S$10:$S$85</definedName>
    <definedName name="_______________________________________Obs1">'DOY157'!$K$10:$K$85</definedName>
    <definedName name="_______________________________________Obs10">'DOY157'!$T$10:$T$85</definedName>
    <definedName name="_______________________________________Obs11">'DOY157'!$U$10:$U$85</definedName>
    <definedName name="_______________________________________Obs12">'DOY157'!$V$10:$V$85</definedName>
    <definedName name="_______________________________________Obs2">'DOY157'!$L$10:$L$85</definedName>
    <definedName name="_______________________________________Obs3">'DOY157'!$M$10:$M$85</definedName>
    <definedName name="_______________________________________Obs4">'DOY157'!$N$10:$N$85</definedName>
    <definedName name="_______________________________________Obs5">'DOY157'!$O$10:$O$85</definedName>
    <definedName name="_______________________________________Obs6">'DOY157'!$P$10:$P$85</definedName>
    <definedName name="_______________________________________Obs7">'DOY157'!$Q$10:$Q$85</definedName>
    <definedName name="_______________________________________Obs8">'DOY157'!$R$10:$R$85</definedName>
    <definedName name="_______________________________________Obs9">'DOY157'!$S$10:$S$85</definedName>
    <definedName name="______________________________________Obs1">'DOY160'!$K$10:$K$85</definedName>
    <definedName name="______________________________________Obs10">'DOY160'!$T$10:$T$85</definedName>
    <definedName name="______________________________________Obs11">'DOY160'!$U$10:$U$85</definedName>
    <definedName name="______________________________________Obs12">'DOY160'!$V$10:$V$85</definedName>
    <definedName name="______________________________________Obs2">'DOY160'!$L$10:$L$85</definedName>
    <definedName name="______________________________________Obs3">'DOY160'!$M$10:$M$85</definedName>
    <definedName name="______________________________________Obs4">'DOY160'!$N$10:$N$85</definedName>
    <definedName name="______________________________________Obs5">'DOY160'!$O$10:$O$85</definedName>
    <definedName name="______________________________________Obs6">'DOY160'!$P$10:$P$85</definedName>
    <definedName name="______________________________________Obs7">'DOY160'!$Q$10:$Q$85</definedName>
    <definedName name="______________________________________Obs8">'DOY160'!$R$10:$R$85</definedName>
    <definedName name="______________________________________Obs9">'DOY160'!$S$10:$S$85</definedName>
    <definedName name="_____________________________________Obs1">'DOY161'!$K$10:$K$85</definedName>
    <definedName name="_____________________________________Obs10">'DOY161'!$T$10:$T$85</definedName>
    <definedName name="_____________________________________Obs11">'DOY161'!$U$10:$U$85</definedName>
    <definedName name="_____________________________________Obs12">'DOY161'!$V$10:$V$85</definedName>
    <definedName name="_____________________________________Obs2">'DOY161'!$L$10:$L$85</definedName>
    <definedName name="_____________________________________Obs3">'DOY161'!$M$10:$M$85</definedName>
    <definedName name="_____________________________________Obs4">'DOY161'!$N$10:$N$85</definedName>
    <definedName name="_____________________________________Obs5">'DOY161'!$O$10:$O$85</definedName>
    <definedName name="_____________________________________Obs6">'DOY161'!$P$10:$P$85</definedName>
    <definedName name="_____________________________________Obs7">'DOY161'!$Q$10:$Q$85</definedName>
    <definedName name="_____________________________________Obs8">'DOY161'!$R$10:$R$85</definedName>
    <definedName name="_____________________________________Obs9">'DOY161'!$S$10:$S$85</definedName>
    <definedName name="____________________________________Obs1">'DOY162'!$K$10:$K$85</definedName>
    <definedName name="____________________________________Obs10">'DOY162'!$T$10:$T$85</definedName>
    <definedName name="____________________________________Obs11">'DOY162'!$U$10:$U$85</definedName>
    <definedName name="____________________________________Obs12">'DOY162'!$V$10:$V$85</definedName>
    <definedName name="____________________________________Obs2">'DOY162'!$L$10:$L$85</definedName>
    <definedName name="____________________________________Obs3">'DOY162'!$M$10:$M$85</definedName>
    <definedName name="____________________________________Obs4">'DOY162'!$N$10:$N$85</definedName>
    <definedName name="____________________________________Obs5">'DOY162'!$O$10:$O$85</definedName>
    <definedName name="____________________________________Obs6">'DOY162'!$P$10:$P$85</definedName>
    <definedName name="____________________________________Obs7">'DOY162'!$Q$10:$Q$85</definedName>
    <definedName name="____________________________________Obs8">'DOY162'!$R$10:$R$85</definedName>
    <definedName name="____________________________________Obs9">'DOY162'!$S$10:$S$85</definedName>
    <definedName name="___________________________________Obs1">'DOY163'!$K$10:$K$85</definedName>
    <definedName name="___________________________________Obs10">'DOY163'!$T$10:$T$85</definedName>
    <definedName name="___________________________________Obs11">'DOY163'!$U$10:$U$85</definedName>
    <definedName name="___________________________________Obs12">'DOY163'!$V$10:$V$85</definedName>
    <definedName name="___________________________________Obs2">'DOY163'!$L$10:$L$85</definedName>
    <definedName name="___________________________________Obs3">'DOY163'!$M$10:$M$85</definedName>
    <definedName name="___________________________________Obs4">'DOY163'!$N$10:$N$85</definedName>
    <definedName name="___________________________________Obs5">'DOY163'!$O$10:$O$85</definedName>
    <definedName name="___________________________________Obs6">'DOY163'!$P$10:$P$85</definedName>
    <definedName name="___________________________________Obs7">'DOY163'!$Q$10:$Q$85</definedName>
    <definedName name="___________________________________Obs8">'DOY163'!$R$10:$R$85</definedName>
    <definedName name="___________________________________Obs9">'DOY163'!$S$10:$S$85</definedName>
    <definedName name="__________________________________Obs1">'DOY164'!$K$10:$K$85</definedName>
    <definedName name="__________________________________Obs10">'DOY164'!$T$10:$T$85</definedName>
    <definedName name="__________________________________Obs11">'DOY164'!$U$10:$U$85</definedName>
    <definedName name="__________________________________Obs12">'DOY164'!$V$10:$V$85</definedName>
    <definedName name="__________________________________Obs2">'DOY164'!$L$10:$L$85</definedName>
    <definedName name="__________________________________Obs3">'DOY164'!$M$10:$M$85</definedName>
    <definedName name="__________________________________Obs4">'DOY164'!$N$10:$N$85</definedName>
    <definedName name="__________________________________Obs5">'DOY164'!$O$10:$O$85</definedName>
    <definedName name="__________________________________Obs6">'DOY164'!$P$10:$P$85</definedName>
    <definedName name="__________________________________Obs7">'DOY164'!$Q$10:$Q$85</definedName>
    <definedName name="__________________________________Obs8">'DOY164'!$R$10:$R$85</definedName>
    <definedName name="__________________________________Obs9">'DOY164'!$S$10:$S$85</definedName>
    <definedName name="_________________________________Obs1">'DOY167'!$K$10:$K$85</definedName>
    <definedName name="_________________________________Obs10">'DOY167'!$T$10:$T$85</definedName>
    <definedName name="_________________________________Obs11">'DOY167'!$U$10:$U$85</definedName>
    <definedName name="_________________________________Obs12">'DOY167'!$V$10:$V$85</definedName>
    <definedName name="_________________________________Obs2">'DOY167'!$L$10:$L$85</definedName>
    <definedName name="_________________________________Obs3">'DOY167'!$M$10:$M$85</definedName>
    <definedName name="_________________________________Obs4">'DOY167'!$N$10:$N$85</definedName>
    <definedName name="_________________________________Obs5">'DOY167'!$O$10:$O$85</definedName>
    <definedName name="_________________________________Obs6">'DOY167'!$P$10:$P$85</definedName>
    <definedName name="_________________________________Obs7">'DOY167'!$Q$10:$Q$85</definedName>
    <definedName name="_________________________________Obs8">'DOY167'!$R$10:$R$85</definedName>
    <definedName name="_________________________________Obs9">'DOY167'!$S$10:$S$85</definedName>
    <definedName name="________________________________Obs1">'DOY168'!$K$10:$K$85</definedName>
    <definedName name="________________________________Obs10">'DOY168'!$T$10:$T$85</definedName>
    <definedName name="________________________________Obs11">'DOY168'!$U$10:$U$85</definedName>
    <definedName name="________________________________Obs12">'DOY168'!$V$10:$V$85</definedName>
    <definedName name="________________________________Obs2">'DOY168'!$L$10:$L$85</definedName>
    <definedName name="________________________________Obs3">'DOY168'!$M$10:$M$85</definedName>
    <definedName name="________________________________Obs4">'DOY168'!$N$10:$N$85</definedName>
    <definedName name="________________________________Obs5">'DOY168'!$O$10:$O$85</definedName>
    <definedName name="________________________________Obs6">'DOY168'!$P$10:$P$85</definedName>
    <definedName name="________________________________Obs7">'DOY168'!$Q$10:$Q$85</definedName>
    <definedName name="________________________________Obs8">'DOY168'!$R$10:$R$85</definedName>
    <definedName name="________________________________Obs9">'DOY168'!$S$10:$S$85</definedName>
    <definedName name="_______________________________Obs1">'DOY169'!$K$10:$K$85</definedName>
    <definedName name="_______________________________Obs10">'DOY169'!$T$10:$T$85</definedName>
    <definedName name="_______________________________Obs11">'DOY169'!$U$10:$U$85</definedName>
    <definedName name="_______________________________Obs12">'DOY169'!$V$10:$V$85</definedName>
    <definedName name="_______________________________Obs2">'DOY169'!$L$10:$L$85</definedName>
    <definedName name="_______________________________Obs3">'DOY169'!$M$10:$M$85</definedName>
    <definedName name="_______________________________Obs4">'DOY169'!$N$10:$N$85</definedName>
    <definedName name="_______________________________Obs5">'DOY169'!$O$10:$O$85</definedName>
    <definedName name="_______________________________Obs6">'DOY169'!$P$10:$P$85</definedName>
    <definedName name="_______________________________Obs7">'DOY169'!$Q$10:$Q$85</definedName>
    <definedName name="_______________________________Obs8">'DOY169'!$R$10:$R$85</definedName>
    <definedName name="_______________________________Obs9">'DOY169'!$S$10:$S$85</definedName>
    <definedName name="______________________________Obs1">'DOY170'!$K$10:$K$85</definedName>
    <definedName name="______________________________Obs10">'DOY170'!$T$10:$T$85</definedName>
    <definedName name="______________________________Obs11">'DOY170'!$U$10:$U$85</definedName>
    <definedName name="______________________________Obs12">'DOY170'!$V$10:$V$85</definedName>
    <definedName name="______________________________Obs2">'DOY170'!$L$10:$L$85</definedName>
    <definedName name="______________________________Obs3">'DOY170'!$M$10:$M$85</definedName>
    <definedName name="______________________________Obs4">'DOY170'!$N$10:$N$85</definedName>
    <definedName name="______________________________Obs5">'DOY170'!$O$10:$O$85</definedName>
    <definedName name="______________________________Obs6">'DOY170'!$P$10:$P$85</definedName>
    <definedName name="______________________________Obs7">'DOY170'!$Q$10:$Q$85</definedName>
    <definedName name="______________________________Obs8">'DOY170'!$R$10:$R$85</definedName>
    <definedName name="______________________________Obs9">'DOY170'!$S$10:$S$85</definedName>
    <definedName name="_____________________________Obs1">'DOY171'!$K$10:$K$85</definedName>
    <definedName name="_____________________________Obs10">'DOY171'!$T$10:$T$85</definedName>
    <definedName name="_____________________________Obs11">'DOY171'!$U$10:$U$85</definedName>
    <definedName name="_____________________________Obs12">'DOY171'!$V$10:$V$85</definedName>
    <definedName name="_____________________________Obs2">'DOY171'!$L$10:$L$85</definedName>
    <definedName name="_____________________________Obs3">'DOY171'!$M$10:$M$85</definedName>
    <definedName name="_____________________________Obs4">'DOY171'!$N$10:$N$85</definedName>
    <definedName name="_____________________________Obs5">'DOY171'!$O$10:$O$85</definedName>
    <definedName name="_____________________________Obs6">'DOY171'!$P$10:$P$85</definedName>
    <definedName name="_____________________________Obs7">'DOY171'!$Q$10:$Q$85</definedName>
    <definedName name="_____________________________Obs8">'DOY171'!$R$10:$R$85</definedName>
    <definedName name="_____________________________Obs9">'DOY171'!$S$10:$S$85</definedName>
    <definedName name="____________________________Obs1">'DOY173'!$K$10:$K$85</definedName>
    <definedName name="____________________________Obs10">'DOY173'!$T$10:$T$85</definedName>
    <definedName name="____________________________Obs11">'DOY173'!$U$10:$U$85</definedName>
    <definedName name="____________________________Obs12">'DOY173'!$V$10:$V$85</definedName>
    <definedName name="____________________________Obs2">'DOY173'!$L$10:$L$85</definedName>
    <definedName name="____________________________Obs3">'DOY173'!$M$10:$M$85</definedName>
    <definedName name="____________________________Obs4">'DOY173'!$N$10:$N$85</definedName>
    <definedName name="____________________________Obs5">'DOY173'!$O$10:$O$85</definedName>
    <definedName name="____________________________Obs6">'DOY173'!$P$10:$P$85</definedName>
    <definedName name="____________________________Obs7">'DOY173'!$Q$10:$Q$85</definedName>
    <definedName name="____________________________Obs8">'DOY173'!$R$10:$R$85</definedName>
    <definedName name="____________________________Obs9">'DOY173'!$S$10:$S$85</definedName>
    <definedName name="___________________________Obs1">'DOY174'!$K$10:$K$85</definedName>
    <definedName name="___________________________Obs10">'DOY174'!$T$10:$T$85</definedName>
    <definedName name="___________________________Obs11">'DOY174'!$U$10:$U$85</definedName>
    <definedName name="___________________________Obs12">'DOY174'!$V$10:$V$85</definedName>
    <definedName name="___________________________Obs2">'DOY174'!$L$10:$L$85</definedName>
    <definedName name="___________________________Obs3">'DOY174'!$M$10:$M$85</definedName>
    <definedName name="___________________________Obs4">'DOY174'!$N$10:$N$85</definedName>
    <definedName name="___________________________Obs5">'DOY174'!$O$10:$O$85</definedName>
    <definedName name="___________________________Obs6">'DOY174'!$P$10:$P$85</definedName>
    <definedName name="___________________________Obs7">'DOY174'!$Q$10:$Q$85</definedName>
    <definedName name="___________________________Obs8">'DOY174'!$R$10:$R$85</definedName>
    <definedName name="___________________________Obs9">'DOY174'!$S$10:$S$85</definedName>
    <definedName name="__________________________Obs1">#REF!</definedName>
    <definedName name="__________________________Obs10">#REF!</definedName>
    <definedName name="__________________________Obs11">#REF!</definedName>
    <definedName name="__________________________Obs12">#REF!</definedName>
    <definedName name="__________________________Obs2">#REF!</definedName>
    <definedName name="__________________________Obs3">#REF!</definedName>
    <definedName name="__________________________Obs4">#REF!</definedName>
    <definedName name="__________________________Obs5">#REF!</definedName>
    <definedName name="__________________________Obs6">#REF!</definedName>
    <definedName name="__________________________Obs7">#REF!</definedName>
    <definedName name="__________________________Obs8">#REF!</definedName>
    <definedName name="__________________________Obs9">#REF!</definedName>
    <definedName name="_________________________Obs1">'DOY175'!$K$10:$K$85</definedName>
    <definedName name="_________________________Obs10">'DOY175'!$T$10:$T$85</definedName>
    <definedName name="_________________________Obs11">'DOY175'!$U$10:$U$85</definedName>
    <definedName name="_________________________Obs12">'DOY175'!$V$10:$V$85</definedName>
    <definedName name="_________________________Obs2">'DOY175'!$L$10:$L$85</definedName>
    <definedName name="_________________________Obs3">'DOY175'!$M$10:$M$85</definedName>
    <definedName name="_________________________Obs4">'DOY175'!$N$10:$N$85</definedName>
    <definedName name="_________________________Obs5">'DOY175'!$O$10:$O$85</definedName>
    <definedName name="_________________________Obs6">'DOY175'!$P$10:$P$85</definedName>
    <definedName name="_________________________Obs7">'DOY175'!$Q$10:$Q$85</definedName>
    <definedName name="_________________________Obs8">'DOY175'!$R$10:$R$85</definedName>
    <definedName name="_________________________Obs9">'DOY175'!$S$10:$S$85</definedName>
    <definedName name="________________________Obs1">'DOY176'!$K$10:$K$85</definedName>
    <definedName name="________________________Obs10">'DOY176'!$T$10:$T$85</definedName>
    <definedName name="________________________Obs11">'DOY176'!$U$10:$U$85</definedName>
    <definedName name="________________________Obs12">'DOY176'!$V$10:$V$85</definedName>
    <definedName name="________________________Obs2">'DOY176'!$L$10:$L$85</definedName>
    <definedName name="________________________Obs3">'DOY176'!$M$10:$M$85</definedName>
    <definedName name="________________________Obs4">'DOY176'!$N$10:$N$85</definedName>
    <definedName name="________________________Obs5">'DOY176'!$O$10:$O$85</definedName>
    <definedName name="________________________Obs6">'DOY176'!$P$10:$P$85</definedName>
    <definedName name="________________________Obs7">'DOY176'!$Q$10:$Q$85</definedName>
    <definedName name="________________________Obs8">'DOY176'!$R$10:$R$85</definedName>
    <definedName name="________________________Obs9">'DOY176'!$S$10:$S$85</definedName>
    <definedName name="_______________________Obs1">'DOY177'!$K$10:$K$85</definedName>
    <definedName name="_______________________Obs10">'DOY177'!$T$10:$T$85</definedName>
    <definedName name="_______________________Obs11">'DOY177'!$U$10:$U$85</definedName>
    <definedName name="_______________________Obs12">'DOY177'!$V$10:$V$85</definedName>
    <definedName name="_______________________Obs2">'DOY177'!$L$10:$L$85</definedName>
    <definedName name="_______________________Obs3">'DOY177'!$M$10:$M$85</definedName>
    <definedName name="_______________________Obs4">'DOY177'!$N$10:$N$85</definedName>
    <definedName name="_______________________Obs5">'DOY177'!$O$10:$O$85</definedName>
    <definedName name="_______________________Obs6">'DOY177'!$P$10:$P$85</definedName>
    <definedName name="_______________________Obs7">'DOY177'!$Q$10:$Q$85</definedName>
    <definedName name="_______________________Obs8">'DOY177'!$R$10:$R$85</definedName>
    <definedName name="_______________________Obs9">'DOY177'!$S$10:$S$85</definedName>
    <definedName name="______________________Obs1">'DOY178'!$K$10:$K$85</definedName>
    <definedName name="______________________Obs10">'DOY178'!$T$10:$T$85</definedName>
    <definedName name="______________________Obs11">'DOY178'!$U$10:$U$85</definedName>
    <definedName name="______________________Obs12">'DOY178'!$V$10:$V$85</definedName>
    <definedName name="______________________Obs2">'DOY178'!$L$10:$L$85</definedName>
    <definedName name="______________________Obs3">'DOY178'!$M$10:$M$85</definedName>
    <definedName name="______________________Obs4">'DOY178'!$N$10:$N$85</definedName>
    <definedName name="______________________Obs5">'DOY178'!$O$10:$O$85</definedName>
    <definedName name="______________________Obs6">'DOY178'!$P$10:$P$85</definedName>
    <definedName name="______________________Obs7">'DOY178'!$Q$10:$Q$85</definedName>
    <definedName name="______________________Obs8">'DOY178'!$R$10:$R$85</definedName>
    <definedName name="______________________Obs9">'DOY178'!$S$10:$S$85</definedName>
    <definedName name="_____________________Obs1">'DOY180'!$K$10:$K$85</definedName>
    <definedName name="_____________________Obs10">'DOY180'!$T$10:$T$85</definedName>
    <definedName name="_____________________Obs11">'DOY180'!$U$10:$U$85</definedName>
    <definedName name="_____________________Obs12">'DOY180'!$V$10:$V$85</definedName>
    <definedName name="_____________________Obs2">'DOY180'!$L$10:$L$85</definedName>
    <definedName name="_____________________Obs3">'DOY180'!$M$10:$M$85</definedName>
    <definedName name="_____________________Obs4">'DOY180'!$N$10:$N$85</definedName>
    <definedName name="_____________________Obs5">'DOY180'!$O$10:$O$85</definedName>
    <definedName name="_____________________Obs6">'DOY180'!$P$10:$P$85</definedName>
    <definedName name="_____________________Obs7">'DOY180'!$Q$10:$Q$85</definedName>
    <definedName name="_____________________Obs8">'DOY180'!$R$10:$R$85</definedName>
    <definedName name="_____________________Obs9">'DOY180'!$S$10:$S$85</definedName>
    <definedName name="____________________Obs1">'DOY181'!$K$10:$K$85</definedName>
    <definedName name="____________________Obs10">'DOY181'!$T$10:$T$85</definedName>
    <definedName name="____________________Obs11">'DOY181'!$U$10:$U$85</definedName>
    <definedName name="____________________Obs12">'DOY181'!$V$10:$V$85</definedName>
    <definedName name="____________________Obs2">'DOY181'!$L$10:$L$85</definedName>
    <definedName name="____________________Obs3">'DOY181'!$M$10:$M$85</definedName>
    <definedName name="____________________Obs4">'DOY181'!$N$10:$N$85</definedName>
    <definedName name="____________________Obs5">'DOY181'!$O$10:$O$85</definedName>
    <definedName name="____________________Obs6">'DOY181'!$P$10:$P$85</definedName>
    <definedName name="____________________Obs7">'DOY181'!$Q$10:$Q$85</definedName>
    <definedName name="____________________Obs8">'DOY181'!$R$10:$R$85</definedName>
    <definedName name="____________________Obs9">'DOY181'!$S$10:$S$85</definedName>
    <definedName name="___________________Obs1">'DOY182'!$K$10:$K$85</definedName>
    <definedName name="___________________Obs10">'DOY182'!$T$10:$T$85</definedName>
    <definedName name="___________________Obs11">'DOY182'!$U$10:$U$85</definedName>
    <definedName name="___________________Obs12">'DOY182'!$V$10:$V$85</definedName>
    <definedName name="___________________Obs2">'DOY182'!$L$10:$L$85</definedName>
    <definedName name="___________________Obs3">'DOY182'!$M$10:$M$85</definedName>
    <definedName name="___________________Obs4">'DOY182'!$N$10:$N$85</definedName>
    <definedName name="___________________Obs5">'DOY182'!$O$10:$O$85</definedName>
    <definedName name="___________________Obs6">'DOY182'!$P$10:$P$85</definedName>
    <definedName name="___________________Obs7">'DOY182'!$Q$10:$Q$85</definedName>
    <definedName name="___________________Obs8">'DOY182'!$R$10:$R$85</definedName>
    <definedName name="___________________Obs9">'DOY182'!$S$10:$S$85</definedName>
    <definedName name="__________________Obs1">'DOY183'!$K$10:$K$85</definedName>
    <definedName name="__________________Obs10">'DOY183'!$T$10:$T$85</definedName>
    <definedName name="__________________Obs11">'DOY183'!$U$10:$U$85</definedName>
    <definedName name="__________________Obs12">'DOY183'!$V$10:$V$85</definedName>
    <definedName name="__________________Obs2">'DOY183'!$L$10:$L$85</definedName>
    <definedName name="__________________Obs3">'DOY183'!$M$10:$M$85</definedName>
    <definedName name="__________________Obs4">'DOY183'!$N$10:$N$85</definedName>
    <definedName name="__________________Obs5">'DOY183'!$O$10:$O$85</definedName>
    <definedName name="__________________Obs6">'DOY183'!$P$10:$P$85</definedName>
    <definedName name="__________________Obs7">'DOY183'!$Q$10:$Q$85</definedName>
    <definedName name="__________________Obs8">'DOY183'!$R$10:$R$85</definedName>
    <definedName name="__________________Obs9">'DOY183'!$S$10:$S$85</definedName>
    <definedName name="_________________Obs1">'DOY184'!$K$10:$K$85</definedName>
    <definedName name="_________________Obs10">'DOY184'!$T$10:$T$85</definedName>
    <definedName name="_________________Obs11">'DOY184'!$U$10:$U$85</definedName>
    <definedName name="_________________Obs12">'DOY184'!$V$10:$V$85</definedName>
    <definedName name="_________________Obs2">'DOY184'!$L$10:$L$85</definedName>
    <definedName name="_________________Obs3">'DOY184'!$M$10:$M$85</definedName>
    <definedName name="_________________Obs4">'DOY184'!$N$10:$N$85</definedName>
    <definedName name="_________________Obs5">'DOY184'!$O$10:$O$85</definedName>
    <definedName name="_________________Obs6">'DOY184'!$P$10:$P$85</definedName>
    <definedName name="_________________Obs7">'DOY184'!$Q$10:$Q$85</definedName>
    <definedName name="_________________Obs8">'DOY184'!$R$10:$R$85</definedName>
    <definedName name="_________________Obs9">'DOY184'!$S$10:$S$85</definedName>
    <definedName name="________________Obs1">'DOY185'!$K$10:$K$85</definedName>
    <definedName name="________________Obs10">'DOY185'!$T$10:$T$85</definedName>
    <definedName name="________________Obs11">'DOY185'!$U$10:$U$85</definedName>
    <definedName name="________________Obs12">'DOY185'!$V$10:$V$85</definedName>
    <definedName name="________________Obs2">'DOY185'!$L$10:$L$85</definedName>
    <definedName name="________________Obs3">'DOY185'!$M$10:$M$85</definedName>
    <definedName name="________________Obs4">'DOY185'!$N$10:$N$85</definedName>
    <definedName name="________________Obs5">'DOY185'!$O$10:$O$85</definedName>
    <definedName name="________________Obs6">'DOY185'!$P$10:$P$85</definedName>
    <definedName name="________________Obs7">'DOY185'!$Q$10:$Q$85</definedName>
    <definedName name="________________Obs8">'DOY185'!$R$10:$R$85</definedName>
    <definedName name="________________Obs9">'DOY185'!$S$10:$S$85</definedName>
    <definedName name="_______________Obs1">'DOY188'!$K$10:$K$85</definedName>
    <definedName name="_______________Obs10">'DOY188'!$T$10:$T$85</definedName>
    <definedName name="_______________Obs11">'DOY188'!$U$10:$U$85</definedName>
    <definedName name="_______________Obs12">'DOY188'!$V$10:$V$85</definedName>
    <definedName name="_______________Obs2">'DOY188'!$L$10:$L$85</definedName>
    <definedName name="_______________Obs3">'DOY188'!$M$10:$M$85</definedName>
    <definedName name="_______________Obs4">'DOY188'!$N$10:$N$85</definedName>
    <definedName name="_______________Obs5">'DOY188'!$O$10:$O$85</definedName>
    <definedName name="_______________Obs6">'DOY188'!$P$10:$P$85</definedName>
    <definedName name="_______________Obs7">'DOY188'!$Q$10:$Q$85</definedName>
    <definedName name="_______________Obs8">'DOY188'!$R$10:$R$85</definedName>
    <definedName name="_______________Obs9">'DOY188'!$S$10:$S$85</definedName>
    <definedName name="______________Obs1">'DOY189'!$K$10:$K$85</definedName>
    <definedName name="______________Obs10">'DOY189'!$T$10:$T$85</definedName>
    <definedName name="______________Obs11">'DOY189'!$U$10:$U$85</definedName>
    <definedName name="______________Obs12">'DOY189'!$V$10:$V$85</definedName>
    <definedName name="______________Obs2">'DOY189'!$L$10:$L$85</definedName>
    <definedName name="______________Obs3">'DOY189'!$M$10:$M$85</definedName>
    <definedName name="______________Obs4">'DOY189'!$N$10:$N$85</definedName>
    <definedName name="______________Obs5">'DOY189'!$O$10:$O$85</definedName>
    <definedName name="______________Obs6">'DOY189'!$P$10:$P$85</definedName>
    <definedName name="______________Obs7">'DOY189'!$Q$10:$Q$85</definedName>
    <definedName name="______________Obs8">'DOY189'!$R$10:$R$85</definedName>
    <definedName name="______________Obs9">'DOY189'!$S$10:$S$85</definedName>
    <definedName name="_____________Obs1">'DOY195'!$K$10:$K$85</definedName>
    <definedName name="_____________Obs10">'DOY195'!$T$10:$T$85</definedName>
    <definedName name="_____________Obs11">'DOY195'!$U$10:$U$85</definedName>
    <definedName name="_____________Obs12">'DOY195'!$V$10:$V$85</definedName>
    <definedName name="_____________Obs2">'DOY195'!$L$10:$L$85</definedName>
    <definedName name="_____________Obs3">'DOY195'!$M$10:$M$85</definedName>
    <definedName name="_____________Obs4">'DOY195'!$N$10:$N$85</definedName>
    <definedName name="_____________Obs5">'DOY195'!$O$10:$O$85</definedName>
    <definedName name="_____________Obs6">'DOY195'!$P$10:$P$85</definedName>
    <definedName name="_____________Obs7">'DOY195'!$Q$10:$Q$85</definedName>
    <definedName name="_____________Obs8">'DOY195'!$R$10:$R$85</definedName>
    <definedName name="_____________Obs9">'DOY195'!$S$10:$S$85</definedName>
    <definedName name="____________Obs1">'DOY196'!$K$10:$K$85</definedName>
    <definedName name="____________Obs10">'DOY196'!$T$10:$T$85</definedName>
    <definedName name="____________Obs11">'DOY196'!$U$10:$U$85</definedName>
    <definedName name="____________Obs12">'DOY196'!$V$10:$V$85</definedName>
    <definedName name="____________Obs2">'DOY196'!$L$10:$L$85</definedName>
    <definedName name="____________Obs3">'DOY196'!$M$10:$M$85</definedName>
    <definedName name="____________Obs4">'DOY196'!$N$10:$N$85</definedName>
    <definedName name="____________Obs5">'DOY196'!$O$10:$O$85</definedName>
    <definedName name="____________Obs6">'DOY196'!$P$10:$P$85</definedName>
    <definedName name="____________Obs7">'DOY196'!$Q$10:$Q$85</definedName>
    <definedName name="____________Obs8">'DOY196'!$R$10:$R$85</definedName>
    <definedName name="____________Obs9">'DOY196'!$S$10:$S$85</definedName>
    <definedName name="___________Obs1">'DOY197'!$K$10:$K$85</definedName>
    <definedName name="___________Obs10">'DOY197'!$T$10:$T$85</definedName>
    <definedName name="___________Obs11">'DOY197'!$U$10:$U$85</definedName>
    <definedName name="___________Obs12">'DOY197'!$V$10:$V$85</definedName>
    <definedName name="___________Obs2">'DOY197'!$L$10:$L$85</definedName>
    <definedName name="___________Obs3">'DOY197'!$M$10:$M$85</definedName>
    <definedName name="___________Obs4">'DOY197'!$N$10:$N$85</definedName>
    <definedName name="___________Obs5">'DOY197'!$O$10:$O$85</definedName>
    <definedName name="___________Obs6">'DOY197'!$P$10:$P$85</definedName>
    <definedName name="___________Obs7">'DOY197'!$Q$10:$Q$85</definedName>
    <definedName name="___________Obs8">'DOY197'!$R$10:$R$85</definedName>
    <definedName name="___________Obs9">'DOY197'!$S$10:$S$85</definedName>
    <definedName name="__________Obs1">'DOY198'!$K$10:$K$85</definedName>
    <definedName name="__________Obs10">'DOY198'!$T$10:$T$85</definedName>
    <definedName name="__________Obs11">'DOY198'!$U$10:$U$85</definedName>
    <definedName name="__________Obs12">'DOY198'!$V$10:$V$85</definedName>
    <definedName name="__________Obs2">'DOY198'!$L$10:$L$85</definedName>
    <definedName name="__________Obs3">'DOY198'!$M$10:$M$85</definedName>
    <definedName name="__________Obs4">'DOY198'!$N$10:$N$85</definedName>
    <definedName name="__________Obs5">'DOY198'!$O$10:$O$85</definedName>
    <definedName name="__________Obs6">'DOY198'!$P$10:$P$85</definedName>
    <definedName name="__________Obs7">'DOY198'!$Q$10:$Q$85</definedName>
    <definedName name="__________Obs8">'DOY198'!$R$10:$R$85</definedName>
    <definedName name="__________Obs9">'DOY198'!$S$10:$S$85</definedName>
    <definedName name="_________Obs1">'DOY213'!$K$10:$K$85</definedName>
    <definedName name="_________Obs10">'DOY213'!$T$10:$T$85</definedName>
    <definedName name="_________Obs11">'DOY213'!$U$10:$U$85</definedName>
    <definedName name="_________Obs12">'DOY213'!$V$10:$V$85</definedName>
    <definedName name="_________Obs2">'DOY213'!$L$10:$L$85</definedName>
    <definedName name="_________Obs3">'DOY213'!$M$10:$M$85</definedName>
    <definedName name="_________Obs4">'DOY213'!$N$10:$N$85</definedName>
    <definedName name="_________Obs5">'DOY213'!$O$10:$O$85</definedName>
    <definedName name="_________Obs6">'DOY213'!$P$10:$P$85</definedName>
    <definedName name="_________Obs7">'DOY213'!$Q$10:$Q$85</definedName>
    <definedName name="_________Obs8">'DOY213'!$R$10:$R$85</definedName>
    <definedName name="_________Obs9">'DOY213'!$S$10:$S$85</definedName>
    <definedName name="________Obs1">'DOY216'!$K$10:$K$85</definedName>
    <definedName name="________Obs10">'DOY216'!$T$10:$T$85</definedName>
    <definedName name="________Obs11">'DOY216'!$U$10:$U$85</definedName>
    <definedName name="________Obs12">'DOY216'!$V$10:$V$85</definedName>
    <definedName name="________Obs2">'DOY216'!$L$10:$L$85</definedName>
    <definedName name="________Obs3">'DOY216'!$M$10:$M$85</definedName>
    <definedName name="________Obs4">'DOY216'!$N$10:$N$85</definedName>
    <definedName name="________Obs5">'DOY216'!$O$10:$O$85</definedName>
    <definedName name="________Obs6">'DOY216'!$P$10:$P$85</definedName>
    <definedName name="________Obs7">'DOY216'!$Q$10:$Q$85</definedName>
    <definedName name="________Obs8">'DOY216'!$R$10:$R$85</definedName>
    <definedName name="________Obs9">'DOY216'!$S$10:$S$85</definedName>
    <definedName name="_______Obs1">'DOY246'!$K$10:$K$85</definedName>
    <definedName name="_______Obs10">'DOY246'!$T$10:$T$85</definedName>
    <definedName name="_______Obs11">'DOY246'!$U$10:$U$85</definedName>
    <definedName name="_______Obs12">'DOY246'!$V$10:$V$85</definedName>
    <definedName name="_______Obs2">'DOY246'!$L$10:$L$85</definedName>
    <definedName name="_______Obs3">'DOY246'!$M$10:$M$85</definedName>
    <definedName name="_______Obs4">'DOY246'!$N$10:$N$85</definedName>
    <definedName name="_______Obs5">'DOY246'!$O$10:$O$85</definedName>
    <definedName name="_______Obs6">'DOY246'!$P$10:$P$85</definedName>
    <definedName name="_______Obs7">'DOY246'!$Q$10:$Q$85</definedName>
    <definedName name="_______Obs8">'DOY246'!$R$10:$R$85</definedName>
    <definedName name="_______Obs9">'DOY246'!$S$10:$S$85</definedName>
    <definedName name="______Obs1">'DOY247'!$K$10:$K$85</definedName>
    <definedName name="______Obs10">'DOY247'!$T$10:$T$85</definedName>
    <definedName name="______Obs11">'DOY247'!$U$10:$U$85</definedName>
    <definedName name="______Obs12">'DOY247'!$V$10:$V$85</definedName>
    <definedName name="______Obs2">'DOY247'!$L$10:$L$85</definedName>
    <definedName name="______Obs3">'DOY247'!$M$10:$M$85</definedName>
    <definedName name="______Obs4">'DOY247'!$N$10:$N$85</definedName>
    <definedName name="______Obs5">'DOY247'!$O$10:$O$85</definedName>
    <definedName name="______Obs6">'DOY247'!$P$10:$P$85</definedName>
    <definedName name="______Obs7">'DOY247'!$Q$10:$Q$85</definedName>
    <definedName name="______Obs8">'DOY247'!$R$10:$R$85</definedName>
    <definedName name="______Obs9">'DOY247'!$S$10:$S$85</definedName>
    <definedName name="_____Obs1">'DOY248'!$K$10:$K$85</definedName>
    <definedName name="_____Obs10">'DOY248'!$T$10:$T$85</definedName>
    <definedName name="_____Obs11">'DOY248'!$U$10:$U$85</definedName>
    <definedName name="_____Obs12">'DOY248'!$V$10:$V$85</definedName>
    <definedName name="_____Obs2">'DOY248'!$L$10:$L$85</definedName>
    <definedName name="_____Obs3">'DOY248'!$M$10:$M$85</definedName>
    <definedName name="_____Obs4">'DOY248'!$N$10:$N$85</definedName>
    <definedName name="_____Obs5">'DOY248'!$O$10:$O$85</definedName>
    <definedName name="_____Obs6">'DOY248'!$P$10:$P$85</definedName>
    <definedName name="_____Obs7">'DOY248'!$Q$10:$Q$85</definedName>
    <definedName name="_____Obs8">'DOY248'!$R$10:$R$85</definedName>
    <definedName name="_____Obs9">'DOY248'!$S$10:$S$85</definedName>
    <definedName name="____Obs1">'DOY251'!$K$10:$K$85</definedName>
    <definedName name="____Obs10">'DOY251'!$T$10:$T$85</definedName>
    <definedName name="____Obs11">'DOY251'!$U$10:$U$85</definedName>
    <definedName name="____Obs12">'DOY251'!$V$10:$V$85</definedName>
    <definedName name="____Obs2">'DOY251'!$L$10:$L$85</definedName>
    <definedName name="____Obs3">'DOY251'!$M$10:$M$85</definedName>
    <definedName name="____Obs4">'DOY251'!$N$10:$N$85</definedName>
    <definedName name="____Obs5">'DOY251'!$O$10:$O$85</definedName>
    <definedName name="____Obs6">'DOY251'!$P$10:$P$85</definedName>
    <definedName name="____Obs7">'DOY251'!$Q$10:$Q$85</definedName>
    <definedName name="____Obs8">'DOY251'!$R$10:$R$85</definedName>
    <definedName name="____Obs9">'DOY251'!$S$10:$S$85</definedName>
    <definedName name="___Obs1">'DOY252'!$K$10:$K$85</definedName>
    <definedName name="___Obs10">'DOY252'!$T$10:$T$85</definedName>
    <definedName name="___Obs11">'DOY252'!$U$10:$U$85</definedName>
    <definedName name="___Obs12">'DOY252'!$V$10:$V$85</definedName>
    <definedName name="___Obs2">'DOY252'!$L$10:$L$85</definedName>
    <definedName name="___Obs3">'DOY252'!$M$10:$M$85</definedName>
    <definedName name="___Obs4">'DOY252'!$N$10:$N$85</definedName>
    <definedName name="___Obs5">'DOY252'!$O$10:$O$85</definedName>
    <definedName name="___Obs6">'DOY252'!$P$10:$P$85</definedName>
    <definedName name="___Obs7">'DOY252'!$Q$10:$Q$85</definedName>
    <definedName name="___Obs8">'DOY252'!$R$10:$R$85</definedName>
    <definedName name="___Obs9">'DOY252'!$S$10:$S$85</definedName>
    <definedName name="__Obs1">'DOY253'!$K$10:$K$85</definedName>
    <definedName name="__Obs10">'DOY253'!$T$10:$T$85</definedName>
    <definedName name="__Obs11">'DOY253'!$U$10:$U$85</definedName>
    <definedName name="__Obs12">'DOY253'!$V$10:$V$85</definedName>
    <definedName name="__Obs2">'DOY253'!$L$10:$L$85</definedName>
    <definedName name="__Obs3">'DOY253'!$M$10:$M$85</definedName>
    <definedName name="__Obs4">'DOY253'!$N$10:$N$85</definedName>
    <definedName name="__Obs5">'DOY253'!$O$10:$O$85</definedName>
    <definedName name="__Obs6">'DOY253'!$P$10:$P$85</definedName>
    <definedName name="__Obs7">'DOY253'!$Q$10:$Q$85</definedName>
    <definedName name="__Obs8">'DOY253'!$R$10:$R$85</definedName>
    <definedName name="__Obs9">'DOY253'!$S$10:$S$85</definedName>
    <definedName name="_xlnm._FilterDatabase" localSheetId="2" hidden="1">'DOY128'!$B$9:$AE$85</definedName>
    <definedName name="_xlnm._FilterDatabase" localSheetId="3" hidden="1">'DOY132'!$B$9:$AE$85</definedName>
    <definedName name="_xlnm._FilterDatabase" localSheetId="4" hidden="1">'DOY136'!$B$9:$AE$85</definedName>
    <definedName name="_xlnm._FilterDatabase" localSheetId="5" hidden="1">'DOY139'!$B$9:$AE$85</definedName>
    <definedName name="_xlnm._FilterDatabase" localSheetId="6" hidden="1">'DOY141'!$B$9:$AE$85</definedName>
    <definedName name="_xlnm._FilterDatabase" localSheetId="7" hidden="1">'DOY143'!$B$9:$AE$85</definedName>
    <definedName name="_xlnm._FilterDatabase" localSheetId="8" hidden="1">'DOY147'!$B$9:$AE$85</definedName>
    <definedName name="_xlnm._FilterDatabase" localSheetId="9" hidden="1">'DOY148'!$B$9:$AE$85</definedName>
    <definedName name="_xlnm._FilterDatabase" localSheetId="10" hidden="1">'DOY149'!$B$9:$AE$85</definedName>
    <definedName name="_xlnm._FilterDatabase" localSheetId="11" hidden="1">'DOY150'!$B$9:$AE$85</definedName>
    <definedName name="_xlnm._FilterDatabase" localSheetId="12" hidden="1">'DOY153'!$B$9:$AE$85</definedName>
    <definedName name="_xlnm._FilterDatabase" localSheetId="13" hidden="1">'DOY154'!$B$9:$AE$85</definedName>
    <definedName name="_xlnm._FilterDatabase" localSheetId="14" hidden="1">'DOY155'!$B$9:$AE$85</definedName>
    <definedName name="_xlnm._FilterDatabase" localSheetId="15" hidden="1">'DOY156'!$B$9:$AE$85</definedName>
    <definedName name="_xlnm._FilterDatabase" localSheetId="16" hidden="1">'DOY157'!$B$9:$AE$85</definedName>
    <definedName name="_xlnm._FilterDatabase" localSheetId="17" hidden="1">'DOY160'!$B$9:$AE$85</definedName>
    <definedName name="_xlnm._FilterDatabase" localSheetId="18" hidden="1">'DOY161'!$B$9:$AE$85</definedName>
    <definedName name="_xlnm._FilterDatabase" localSheetId="19" hidden="1">'DOY162'!$B$9:$AE$85</definedName>
    <definedName name="_xlnm._FilterDatabase" localSheetId="20" hidden="1">'DOY163'!$B$9:$AE$85</definedName>
    <definedName name="_xlnm._FilterDatabase" localSheetId="21" hidden="1">'DOY164'!$B$9:$AE$85</definedName>
    <definedName name="_xlnm._FilterDatabase" localSheetId="22" hidden="1">'DOY167'!$B$9:$AE$85</definedName>
    <definedName name="_xlnm._FilterDatabase" localSheetId="23" hidden="1">'DOY168'!$B$9:$AE$85</definedName>
    <definedName name="_xlnm._FilterDatabase" localSheetId="24" hidden="1">'DOY169'!$B$9:$AE$85</definedName>
    <definedName name="_xlnm._FilterDatabase" localSheetId="25" hidden="1">'DOY170'!$B$9:$AE$85</definedName>
    <definedName name="_xlnm._FilterDatabase" localSheetId="26" hidden="1">'DOY171'!$B$9:$AE$85</definedName>
    <definedName name="_xlnm._FilterDatabase" localSheetId="27" hidden="1">'DOY173'!$B$9:$AE$85</definedName>
    <definedName name="_xlnm._FilterDatabase" localSheetId="28" hidden="1">'DOY174'!$B$9:$AE$85</definedName>
    <definedName name="_xlnm._FilterDatabase" localSheetId="29" hidden="1">'DOY175'!$B$9:$AE$85</definedName>
    <definedName name="_xlnm._FilterDatabase" localSheetId="30" hidden="1">'DOY176'!$B$9:$AE$85</definedName>
    <definedName name="_xlnm._FilterDatabase" localSheetId="31" hidden="1">'DOY177'!$B$9:$AE$85</definedName>
    <definedName name="_xlnm._FilterDatabase" localSheetId="32" hidden="1">'DOY178'!$B$9:$AE$85</definedName>
    <definedName name="_xlnm._FilterDatabase" localSheetId="33" hidden="1">'DOY180'!$B$9:$AE$85</definedName>
    <definedName name="_xlnm._FilterDatabase" localSheetId="34" hidden="1">'DOY181'!$B$9:$AE$85</definedName>
    <definedName name="_xlnm._FilterDatabase" localSheetId="35" hidden="1">'DOY182'!$B$9:$AE$85</definedName>
    <definedName name="_xlnm._FilterDatabase" localSheetId="36" hidden="1">'DOY183'!$B$9:$AE$85</definedName>
    <definedName name="_xlnm._FilterDatabase" localSheetId="37" hidden="1">'DOY184'!$B$9:$AE$85</definedName>
    <definedName name="_xlnm._FilterDatabase" localSheetId="38" hidden="1">'DOY185'!$B$9:$AE$85</definedName>
    <definedName name="_xlnm._FilterDatabase" localSheetId="39" hidden="1">'DOY188'!$B$9:$AE$85</definedName>
    <definedName name="_xlnm._FilterDatabase" localSheetId="40" hidden="1">'DOY189'!$B$9:$AE$85</definedName>
    <definedName name="_xlnm._FilterDatabase" localSheetId="41" hidden="1">'DOY195'!$B$9:$AE$85</definedName>
    <definedName name="_xlnm._FilterDatabase" localSheetId="42" hidden="1">'DOY196'!$B$9:$AE$85</definedName>
    <definedName name="_xlnm._FilterDatabase" localSheetId="43" hidden="1">'DOY197'!$B$9:$AE$85</definedName>
    <definedName name="_xlnm._FilterDatabase" localSheetId="44" hidden="1">'DOY198'!$B$9:$AE$85</definedName>
    <definedName name="_xlnm._FilterDatabase" localSheetId="45" hidden="1">'DOY213'!$B$9:$AE$85</definedName>
    <definedName name="_xlnm._FilterDatabase" localSheetId="46" hidden="1">'DOY216'!$B$9:$AE$85</definedName>
    <definedName name="_xlnm._FilterDatabase" localSheetId="47" hidden="1">'DOY246'!$B$9:$AE$85</definedName>
    <definedName name="_xlnm._FilterDatabase" localSheetId="48" hidden="1">'DOY247'!$B$9:$AE$85</definedName>
    <definedName name="_xlnm._FilterDatabase" localSheetId="49" hidden="1">'DOY248'!$B$9:$AE$85</definedName>
    <definedName name="_xlnm._FilterDatabase" localSheetId="50" hidden="1">'DOY251'!$B$9:$AE$85</definedName>
    <definedName name="_xlnm._FilterDatabase" localSheetId="51" hidden="1">'DOY252'!$B$9:$AE$85</definedName>
    <definedName name="_xlnm._FilterDatabase" localSheetId="52" hidden="1">'DOY253'!$B$9:$AE$85</definedName>
    <definedName name="_xlnm._FilterDatabase" localSheetId="53" hidden="1">'DOY254'!$B$9:$AE$85</definedName>
    <definedName name="_Obs1">'DOY254'!$K$10:$K$85</definedName>
    <definedName name="_Obs10">'DOY254'!$T$10:$T$85</definedName>
    <definedName name="_Obs11">'DOY254'!$U$10:$U$85</definedName>
    <definedName name="_Obs12">'DOY254'!$V$10:$V$85</definedName>
    <definedName name="_Obs2">'DOY254'!$L$10:$L$85</definedName>
    <definedName name="_Obs3">'DOY254'!$M$10:$M$85</definedName>
    <definedName name="_Obs4">'DOY254'!$N$10:$N$85</definedName>
    <definedName name="_Obs5">'DOY254'!$O$10:$O$85</definedName>
    <definedName name="_Obs6">'DOY254'!$P$10:$P$85</definedName>
    <definedName name="_Obs7">'DOY254'!$Q$10:$Q$85</definedName>
    <definedName name="_Obs8">'DOY254'!$R$10:$R$85</definedName>
    <definedName name="_Obs9">'DOY254'!$S$10:$S$85</definedName>
    <definedName name="Acronym" localSheetId="2">'DOY128'!$C$10:$C$85</definedName>
    <definedName name="Acronym" localSheetId="3">'DOY132'!$C$10:$C$85</definedName>
    <definedName name="Acronym" localSheetId="4">'DOY136'!$C$10:$C$85</definedName>
    <definedName name="Acronym" localSheetId="5">'DOY139'!$C$10:$C$85</definedName>
    <definedName name="Acronym" localSheetId="6">'DOY141'!$C$10:$C$85</definedName>
    <definedName name="Acronym" localSheetId="7">'DOY143'!$C$10:$C$85</definedName>
    <definedName name="Acronym" localSheetId="8">'DOY147'!$C$10:$C$85</definedName>
    <definedName name="Acronym" localSheetId="9">'DOY148'!$C$10:$C$85</definedName>
    <definedName name="Acronym" localSheetId="10">'DOY149'!$C$10:$C$85</definedName>
    <definedName name="Acronym" localSheetId="11">'DOY150'!$C$10:$C$85</definedName>
    <definedName name="Acronym" localSheetId="12">'DOY153'!$C$10:$C$85</definedName>
    <definedName name="Acronym" localSheetId="13">'DOY154'!$C$10:$C$85</definedName>
    <definedName name="Acronym" localSheetId="14">'DOY155'!$C$10:$C$85</definedName>
    <definedName name="Acronym" localSheetId="15">'DOY156'!$C$10:$C$85</definedName>
    <definedName name="Acronym" localSheetId="16">'DOY157'!$C$10:$C$85</definedName>
    <definedName name="Acronym" localSheetId="17">'DOY160'!$C$10:$C$85</definedName>
    <definedName name="Acronym" localSheetId="18">'DOY161'!$C$10:$C$85</definedName>
    <definedName name="Acronym" localSheetId="19">'DOY162'!$C$10:$C$85</definedName>
    <definedName name="Acronym" localSheetId="20">'DOY163'!$C$10:$C$85</definedName>
    <definedName name="Acronym" localSheetId="21">'DOY164'!$C$10:$C$85</definedName>
    <definedName name="Acronym" localSheetId="22">'DOY167'!$C$10:$C$85</definedName>
    <definedName name="Acronym" localSheetId="23">'DOY168'!$C$10:$C$85</definedName>
    <definedName name="Acronym" localSheetId="24">'DOY169'!$C$10:$C$85</definedName>
    <definedName name="Acronym" localSheetId="25">'DOY170'!$C$10:$C$85</definedName>
    <definedName name="Acronym" localSheetId="26">'DOY171'!$C$10:$C$85</definedName>
    <definedName name="Acronym" localSheetId="27">'DOY173'!$C$10:$C$85</definedName>
    <definedName name="Acronym" localSheetId="28">'DOY174'!$C$10:$C$85</definedName>
    <definedName name="Acronym" localSheetId="29">'DOY175'!$C$10:$C$85</definedName>
    <definedName name="Acronym" localSheetId="30">'DOY176'!$C$10:$C$85</definedName>
    <definedName name="Acronym" localSheetId="31">'DOY177'!$C$10:$C$85</definedName>
    <definedName name="Acronym" localSheetId="32">'DOY178'!$C$10:$C$85</definedName>
    <definedName name="Acronym" localSheetId="33">'DOY180'!$C$10:$C$85</definedName>
    <definedName name="Acronym" localSheetId="34">'DOY181'!$C$10:$C$85</definedName>
    <definedName name="Acronym" localSheetId="35">'DOY182'!$C$10:$C$85</definedName>
    <definedName name="Acronym" localSheetId="36">'DOY183'!$C$10:$C$85</definedName>
    <definedName name="Acronym" localSheetId="37">'DOY184'!$C$10:$C$85</definedName>
    <definedName name="Acronym" localSheetId="38">'DOY185'!$C$10:$C$85</definedName>
    <definedName name="Acronym" localSheetId="39">'DOY188'!$C$10:$C$85</definedName>
    <definedName name="Acronym" localSheetId="40">'DOY189'!$C$10:$C$85</definedName>
    <definedName name="Acronym" localSheetId="41">'DOY195'!$C$10:$C$85</definedName>
    <definedName name="Acronym" localSheetId="42">'DOY196'!$C$10:$C$85</definedName>
    <definedName name="Acronym" localSheetId="43">'DOY197'!$C$10:$C$85</definedName>
    <definedName name="Acronym" localSheetId="44">'DOY198'!$C$10:$C$85</definedName>
    <definedName name="Acronym" localSheetId="45">'DOY213'!$C$10:$C$85</definedName>
    <definedName name="Acronym" localSheetId="46">'DOY216'!$C$10:$C$85</definedName>
    <definedName name="Acronym" localSheetId="47">'DOY246'!$C$10:$C$85</definedName>
    <definedName name="Acronym" localSheetId="48">'DOY247'!$C$10:$C$85</definedName>
    <definedName name="Acronym" localSheetId="49">'DOY248'!$C$10:$C$85</definedName>
    <definedName name="Acronym" localSheetId="50">'DOY251'!$C$10:$C$85</definedName>
    <definedName name="Acronym" localSheetId="51">'DOY252'!$C$10:$C$85</definedName>
    <definedName name="Acronym" localSheetId="52">'DOY253'!$C$10:$C$85</definedName>
    <definedName name="Acronym">'DOY254'!$C$10:$C$85</definedName>
    <definedName name="Block" localSheetId="2">'DOY128'!$H$10:$H$85</definedName>
    <definedName name="Block" localSheetId="3">'DOY132'!$H$10:$H$85</definedName>
    <definedName name="Block" localSheetId="4">'DOY136'!$H$10:$H$85</definedName>
    <definedName name="Block" localSheetId="5">'DOY139'!$H$10:$H$85</definedName>
    <definedName name="Block" localSheetId="6">'DOY141'!$H$10:$H$85</definedName>
    <definedName name="Block" localSheetId="7">'DOY143'!$H$10:$H$85</definedName>
    <definedName name="Block" localSheetId="8">'DOY147'!$H$10:$H$85</definedName>
    <definedName name="Block" localSheetId="9">'DOY148'!$H$10:$H$85</definedName>
    <definedName name="Block" localSheetId="10">'DOY149'!$H$10:$H$85</definedName>
    <definedName name="Block" localSheetId="11">'DOY150'!$H$10:$H$85</definedName>
    <definedName name="Block" localSheetId="12">'DOY153'!$H$10:$H$85</definedName>
    <definedName name="Block" localSheetId="13">'DOY154'!$H$10:$H$85</definedName>
    <definedName name="Block" localSheetId="14">'DOY155'!$H$10:$H$85</definedName>
    <definedName name="Block" localSheetId="15">'DOY156'!$H$10:$H$85</definedName>
    <definedName name="Block" localSheetId="16">'DOY157'!$H$10:$H$85</definedName>
    <definedName name="Block" localSheetId="17">'DOY160'!$H$10:$H$85</definedName>
    <definedName name="Block" localSheetId="18">'DOY161'!$H$10:$H$85</definedName>
    <definedName name="Block" localSheetId="19">'DOY162'!$H$10:$H$85</definedName>
    <definedName name="Block" localSheetId="20">'DOY163'!$H$10:$H$85</definedName>
    <definedName name="Block" localSheetId="21">'DOY164'!$H$10:$H$85</definedName>
    <definedName name="Block" localSheetId="22">'DOY167'!$H$10:$H$85</definedName>
    <definedName name="Block" localSheetId="23">'DOY168'!$H$10:$H$85</definedName>
    <definedName name="Block" localSheetId="24">'DOY169'!$H$10:$H$85</definedName>
    <definedName name="Block" localSheetId="25">'DOY170'!$H$10:$H$85</definedName>
    <definedName name="Block" localSheetId="26">'DOY171'!$H$10:$H$85</definedName>
    <definedName name="Block" localSheetId="27">'DOY173'!$H$10:$H$85</definedName>
    <definedName name="Block" localSheetId="28">'DOY174'!$H$10:$H$85</definedName>
    <definedName name="Block" localSheetId="29">'DOY175'!$H$10:$H$85</definedName>
    <definedName name="Block" localSheetId="30">'DOY176'!$H$10:$H$85</definedName>
    <definedName name="Block" localSheetId="31">'DOY177'!$H$10:$H$85</definedName>
    <definedName name="Block" localSheetId="32">'DOY178'!$H$10:$H$85</definedName>
    <definedName name="Block" localSheetId="33">'DOY180'!$H$10:$H$85</definedName>
    <definedName name="Block" localSheetId="34">'DOY181'!$H$10:$H$85</definedName>
    <definedName name="Block" localSheetId="35">'DOY182'!$H$10:$H$85</definedName>
    <definedName name="Block" localSheetId="36">'DOY183'!$H$10:$H$85</definedName>
    <definedName name="Block" localSheetId="37">'DOY184'!$H$10:$H$85</definedName>
    <definedName name="Block" localSheetId="38">'DOY185'!$H$10:$H$85</definedName>
    <definedName name="Block" localSheetId="39">'DOY188'!$H$10:$H$85</definedName>
    <definedName name="Block" localSheetId="40">'DOY189'!$H$10:$H$85</definedName>
    <definedName name="Block" localSheetId="41">'DOY195'!$H$10:$H$85</definedName>
    <definedName name="Block" localSheetId="42">'DOY196'!$H$10:$H$85</definedName>
    <definedName name="Block" localSheetId="43">'DOY197'!$H$10:$H$85</definedName>
    <definedName name="Block" localSheetId="44">'DOY198'!$H$10:$H$85</definedName>
    <definedName name="Block" localSheetId="45">'DOY213'!$H$10:$H$85</definedName>
    <definedName name="Block" localSheetId="46">'DOY216'!$H$10:$H$85</definedName>
    <definedName name="Block" localSheetId="47">'DOY246'!$H$10:$H$85</definedName>
    <definedName name="Block" localSheetId="48">'DOY247'!$H$10:$H$85</definedName>
    <definedName name="Block" localSheetId="49">'DOY248'!$H$10:$H$85</definedName>
    <definedName name="Block" localSheetId="50">'DOY251'!$H$10:$H$85</definedName>
    <definedName name="Block" localSheetId="51">'DOY252'!$H$10:$H$85</definedName>
    <definedName name="Block" localSheetId="52">'DOY253'!$H$10:$H$85</definedName>
    <definedName name="Block">'DOY254'!$H$10:$H$85</definedName>
    <definedName name="Irrig" localSheetId="2">'DOY128'!$E$10:$E$85</definedName>
    <definedName name="Irrig" localSheetId="3">'DOY132'!$E$10:$E$85</definedName>
    <definedName name="Irrig" localSheetId="4">'DOY136'!$E$10:$E$85</definedName>
    <definedName name="Irrig" localSheetId="5">'DOY139'!$E$10:$E$85</definedName>
    <definedName name="Irrig" localSheetId="6">'DOY141'!$E$10:$E$85</definedName>
    <definedName name="Irrig" localSheetId="7">'DOY143'!$E$10:$E$85</definedName>
    <definedName name="Irrig" localSheetId="8">'DOY147'!$E$10:$E$85</definedName>
    <definedName name="Irrig" localSheetId="9">'DOY148'!$E$10:$E$85</definedName>
    <definedName name="Irrig" localSheetId="10">'DOY149'!$E$10:$E$85</definedName>
    <definedName name="Irrig" localSheetId="11">'DOY150'!$E$10:$E$85</definedName>
    <definedName name="Irrig" localSheetId="12">'DOY153'!$E$10:$E$85</definedName>
    <definedName name="Irrig" localSheetId="13">'DOY154'!$E$10:$E$85</definedName>
    <definedName name="Irrig" localSheetId="14">'DOY155'!$E$10:$E$85</definedName>
    <definedName name="Irrig" localSheetId="15">'DOY156'!$E$10:$E$85</definedName>
    <definedName name="Irrig" localSheetId="16">'DOY157'!$E$10:$E$85</definedName>
    <definedName name="Irrig" localSheetId="17">'DOY160'!$E$10:$E$85</definedName>
    <definedName name="Irrig" localSheetId="18">'DOY161'!$E$10:$E$85</definedName>
    <definedName name="Irrig" localSheetId="19">'DOY162'!$E$10:$E$85</definedName>
    <definedName name="Irrig" localSheetId="20">'DOY163'!$E$10:$E$85</definedName>
    <definedName name="Irrig" localSheetId="21">'DOY164'!$E$10:$E$85</definedName>
    <definedName name="Irrig" localSheetId="22">'DOY167'!$E$10:$E$85</definedName>
    <definedName name="Irrig" localSheetId="23">'DOY168'!$E$10:$E$85</definedName>
    <definedName name="Irrig" localSheetId="24">'DOY169'!$E$10:$E$85</definedName>
    <definedName name="Irrig" localSheetId="25">'DOY170'!$E$10:$E$85</definedName>
    <definedName name="Irrig" localSheetId="26">'DOY171'!$E$10:$E$85</definedName>
    <definedName name="Irrig" localSheetId="27">'DOY173'!$E$10:$E$85</definedName>
    <definedName name="Irrig" localSheetId="28">'DOY174'!$E$10:$E$85</definedName>
    <definedName name="Irrig" localSheetId="29">'DOY175'!$E$10:$E$85</definedName>
    <definedName name="Irrig" localSheetId="30">'DOY176'!$E$10:$E$85</definedName>
    <definedName name="Irrig" localSheetId="31">'DOY177'!$E$10:$E$85</definedName>
    <definedName name="Irrig" localSheetId="32">'DOY178'!$E$10:$E$85</definedName>
    <definedName name="Irrig" localSheetId="33">'DOY180'!$E$10:$E$85</definedName>
    <definedName name="Irrig" localSheetId="34">'DOY181'!$E$10:$E$85</definedName>
    <definedName name="Irrig" localSheetId="35">'DOY182'!$E$10:$E$85</definedName>
    <definedName name="Irrig" localSheetId="36">'DOY183'!$E$10:$E$85</definedName>
    <definedName name="Irrig" localSheetId="37">'DOY184'!$E$10:$E$85</definedName>
    <definedName name="Irrig" localSheetId="38">'DOY185'!$E$10:$E$85</definedName>
    <definedName name="Irrig" localSheetId="39">'DOY188'!$E$10:$E$85</definedName>
    <definedName name="Irrig" localSheetId="40">'DOY189'!$E$10:$E$85</definedName>
    <definedName name="Irrig" localSheetId="41">'DOY195'!$E$10:$E$85</definedName>
    <definedName name="Irrig" localSheetId="42">'DOY196'!$E$10:$E$85</definedName>
    <definedName name="Irrig" localSheetId="43">'DOY197'!$E$10:$E$85</definedName>
    <definedName name="Irrig" localSheetId="44">'DOY198'!$E$10:$E$85</definedName>
    <definedName name="Irrig" localSheetId="45">'DOY213'!$E$10:$E$85</definedName>
    <definedName name="Irrig" localSheetId="46">'DOY216'!$E$10:$E$85</definedName>
    <definedName name="Irrig" localSheetId="47">'DOY246'!$E$10:$E$85</definedName>
    <definedName name="Irrig" localSheetId="48">'DOY247'!$E$10:$E$85</definedName>
    <definedName name="Irrig" localSheetId="49">'DOY248'!$E$10:$E$85</definedName>
    <definedName name="Irrig" localSheetId="50">'DOY251'!$E$10:$E$85</definedName>
    <definedName name="Irrig" localSheetId="51">'DOY252'!$E$10:$E$85</definedName>
    <definedName name="Irrig" localSheetId="52">'DOY253'!$E$10:$E$85</definedName>
    <definedName name="Irrig">'DOY254'!$E$10:$E$85</definedName>
    <definedName name="Kurtosis" localSheetId="2">'DOY128'!$AE$10:$AE$85</definedName>
    <definedName name="Kurtosis" localSheetId="3">'DOY132'!$AE$10:$AE$85</definedName>
    <definedName name="Kurtosis" localSheetId="4">'DOY136'!$AE$10:$AE$85</definedName>
    <definedName name="Kurtosis" localSheetId="5">'DOY139'!$AE$10:$AE$85</definedName>
    <definedName name="Kurtosis" localSheetId="6">'DOY141'!$AE$10:$AE$85</definedName>
    <definedName name="Kurtosis" localSheetId="7">'DOY143'!$AE$10:$AE$85</definedName>
    <definedName name="Kurtosis" localSheetId="8">'DOY147'!$AE$10:$AE$85</definedName>
    <definedName name="Kurtosis" localSheetId="9">'DOY148'!$AE$10:$AE$85</definedName>
    <definedName name="Kurtosis" localSheetId="10">'DOY149'!$AE$10:$AE$85</definedName>
    <definedName name="Kurtosis" localSheetId="11">'DOY150'!$AE$10:$AE$85</definedName>
    <definedName name="Kurtosis" localSheetId="12">'DOY153'!$AE$10:$AE$85</definedName>
    <definedName name="Kurtosis" localSheetId="13">'DOY154'!$AE$10:$AE$85</definedName>
    <definedName name="Kurtosis" localSheetId="14">'DOY155'!$AE$10:$AE$85</definedName>
    <definedName name="Kurtosis" localSheetId="15">'DOY156'!$AE$10:$AE$85</definedName>
    <definedName name="Kurtosis" localSheetId="16">'DOY157'!$AE$10:$AE$85</definedName>
    <definedName name="Kurtosis" localSheetId="17">'DOY160'!$AE$10:$AE$85</definedName>
    <definedName name="Kurtosis" localSheetId="18">'DOY161'!$AE$10:$AE$85</definedName>
    <definedName name="Kurtosis" localSheetId="19">'DOY162'!$AE$10:$AE$85</definedName>
    <definedName name="Kurtosis" localSheetId="20">'DOY163'!$AE$10:$AE$85</definedName>
    <definedName name="Kurtosis" localSheetId="21">'DOY164'!$AE$10:$AE$85</definedName>
    <definedName name="Kurtosis" localSheetId="22">'DOY167'!$AE$10:$AE$85</definedName>
    <definedName name="Kurtosis" localSheetId="23">'DOY168'!$AE$10:$AE$85</definedName>
    <definedName name="Kurtosis" localSheetId="24">'DOY169'!$AE$10:$AE$85</definedName>
    <definedName name="Kurtosis" localSheetId="25">'DOY170'!$AE$10:$AE$85</definedName>
    <definedName name="Kurtosis" localSheetId="26">'DOY171'!$AE$10:$AE$85</definedName>
    <definedName name="Kurtosis" localSheetId="27">'DOY173'!$AE$10:$AE$85</definedName>
    <definedName name="Kurtosis" localSheetId="28">'DOY174'!$AE$10:$AE$85</definedName>
    <definedName name="Kurtosis" localSheetId="29">'DOY175'!$AE$10:$AE$85</definedName>
    <definedName name="Kurtosis" localSheetId="30">'DOY176'!$AE$10:$AE$85</definedName>
    <definedName name="Kurtosis" localSheetId="31">'DOY177'!$AE$10:$AE$85</definedName>
    <definedName name="Kurtosis" localSheetId="32">'DOY178'!$AE$10:$AE$85</definedName>
    <definedName name="Kurtosis" localSheetId="33">'DOY180'!$AE$10:$AE$85</definedName>
    <definedName name="Kurtosis" localSheetId="34">'DOY181'!$AE$10:$AE$85</definedName>
    <definedName name="Kurtosis" localSheetId="35">'DOY182'!$AE$10:$AE$85</definedName>
    <definedName name="Kurtosis" localSheetId="36">'DOY183'!$AE$10:$AE$85</definedName>
    <definedName name="Kurtosis" localSheetId="37">'DOY184'!$AE$10:$AE$85</definedName>
    <definedName name="Kurtosis" localSheetId="38">'DOY185'!$AE$10:$AE$85</definedName>
    <definedName name="Kurtosis" localSheetId="39">'DOY188'!$AE$10:$AE$85</definedName>
    <definedName name="Kurtosis" localSheetId="40">'DOY189'!$AE$10:$AE$85</definedName>
    <definedName name="Kurtosis" localSheetId="41">'DOY195'!$AE$10:$AE$85</definedName>
    <definedName name="Kurtosis" localSheetId="42">'DOY196'!$AE$10:$AE$85</definedName>
    <definedName name="Kurtosis" localSheetId="43">'DOY197'!$AE$10:$AE$85</definedName>
    <definedName name="Kurtosis" localSheetId="44">'DOY198'!$AE$10:$AE$85</definedName>
    <definedName name="Kurtosis" localSheetId="45">'DOY213'!$AE$10:$AE$85</definedName>
    <definedName name="Kurtosis" localSheetId="46">'DOY216'!$AE$10:$AE$85</definedName>
    <definedName name="Kurtosis" localSheetId="47">'DOY246'!$AE$10:$AE$85</definedName>
    <definedName name="Kurtosis" localSheetId="48">'DOY247'!$AE$10:$AE$85</definedName>
    <definedName name="Kurtosis" localSheetId="49">'DOY248'!$AE$10:$AE$85</definedName>
    <definedName name="Kurtosis" localSheetId="50">'DOY251'!$AE$10:$AE$85</definedName>
    <definedName name="Kurtosis" localSheetId="51">'DOY252'!$AE$10:$AE$85</definedName>
    <definedName name="Kurtosis" localSheetId="52">'DOY253'!$AE$10:$AE$85</definedName>
    <definedName name="Kurtosis">'DOY254'!$AE$10:$AE$85</definedName>
    <definedName name="Maximum" localSheetId="2">'DOY128'!$AC$10:$AC$85</definedName>
    <definedName name="Maximum" localSheetId="3">'DOY132'!$AC$10:$AC$85</definedName>
    <definedName name="Maximum" localSheetId="4">'DOY136'!$AC$10:$AC$85</definedName>
    <definedName name="Maximum" localSheetId="5">'DOY139'!$AC$10:$AC$85</definedName>
    <definedName name="Maximum" localSheetId="6">'DOY141'!$AC$10:$AC$85</definedName>
    <definedName name="Maximum" localSheetId="7">'DOY143'!$AC$10:$AC$85</definedName>
    <definedName name="Maximum" localSheetId="8">'DOY147'!$AC$10:$AC$85</definedName>
    <definedName name="Maximum" localSheetId="9">'DOY148'!$AC$10:$AC$85</definedName>
    <definedName name="Maximum" localSheetId="10">'DOY149'!$AC$10:$AC$85</definedName>
    <definedName name="Maximum" localSheetId="11">'DOY150'!$AC$10:$AC$85</definedName>
    <definedName name="Maximum" localSheetId="12">'DOY153'!$AC$10:$AC$85</definedName>
    <definedName name="Maximum" localSheetId="13">'DOY154'!$AC$10:$AC$85</definedName>
    <definedName name="Maximum" localSheetId="14">'DOY155'!$AC$10:$AC$85</definedName>
    <definedName name="Maximum" localSheetId="15">'DOY156'!$AC$10:$AC$85</definedName>
    <definedName name="Maximum" localSheetId="16">'DOY157'!$AC$10:$AC$85</definedName>
    <definedName name="Maximum" localSheetId="17">'DOY160'!$AC$10:$AC$85</definedName>
    <definedName name="Maximum" localSheetId="18">'DOY161'!$AC$10:$AC$85</definedName>
    <definedName name="Maximum" localSheetId="19">'DOY162'!$AC$10:$AC$85</definedName>
    <definedName name="Maximum" localSheetId="20">'DOY163'!$AC$10:$AC$85</definedName>
    <definedName name="Maximum" localSheetId="21">'DOY164'!$AC$10:$AC$85</definedName>
    <definedName name="Maximum" localSheetId="22">'DOY167'!$AC$10:$AC$85</definedName>
    <definedName name="Maximum" localSheetId="23">'DOY168'!$AC$10:$AC$85</definedName>
    <definedName name="Maximum" localSheetId="24">'DOY169'!$AC$10:$AC$85</definedName>
    <definedName name="Maximum" localSheetId="25">'DOY170'!$AC$10:$AC$85</definedName>
    <definedName name="Maximum" localSheetId="26">'DOY171'!$AC$10:$AC$85</definedName>
    <definedName name="Maximum" localSheetId="27">'DOY173'!$AC$10:$AC$85</definedName>
    <definedName name="Maximum" localSheetId="28">'DOY174'!$AC$10:$AC$85</definedName>
    <definedName name="Maximum" localSheetId="29">'DOY175'!$AC$10:$AC$85</definedName>
    <definedName name="Maximum" localSheetId="30">'DOY176'!$AC$10:$AC$85</definedName>
    <definedName name="Maximum" localSheetId="31">'DOY177'!$AC$10:$AC$85</definedName>
    <definedName name="Maximum" localSheetId="32">'DOY178'!$AC$10:$AC$85</definedName>
    <definedName name="Maximum" localSheetId="33">'DOY180'!$AC$10:$AC$85</definedName>
    <definedName name="Maximum" localSheetId="34">'DOY181'!$AC$10:$AC$85</definedName>
    <definedName name="Maximum" localSheetId="35">'DOY182'!$AC$10:$AC$85</definedName>
    <definedName name="Maximum" localSheetId="36">'DOY183'!$AC$10:$AC$85</definedName>
    <definedName name="Maximum" localSheetId="37">'DOY184'!$AC$10:$AC$85</definedName>
    <definedName name="Maximum" localSheetId="38">'DOY185'!$AC$10:$AC$85</definedName>
    <definedName name="Maximum" localSheetId="39">'DOY188'!$AC$10:$AC$85</definedName>
    <definedName name="Maximum" localSheetId="40">'DOY189'!$AC$10:$AC$85</definedName>
    <definedName name="Maximum" localSheetId="41">'DOY195'!$AC$10:$AC$85</definedName>
    <definedName name="Maximum" localSheetId="42">'DOY196'!$AC$10:$AC$85</definedName>
    <definedName name="Maximum" localSheetId="43">'DOY197'!$AC$10:$AC$85</definedName>
    <definedName name="Maximum" localSheetId="44">'DOY198'!$AC$10:$AC$85</definedName>
    <definedName name="Maximum" localSheetId="45">'DOY213'!$AC$10:$AC$85</definedName>
    <definedName name="Maximum" localSheetId="46">'DOY216'!$AC$10:$AC$85</definedName>
    <definedName name="Maximum" localSheetId="47">'DOY246'!$AC$10:$AC$85</definedName>
    <definedName name="Maximum" localSheetId="48">'DOY247'!$AC$10:$AC$85</definedName>
    <definedName name="Maximum" localSheetId="49">'DOY248'!$AC$10:$AC$85</definedName>
    <definedName name="Maximum" localSheetId="50">'DOY251'!$AC$10:$AC$85</definedName>
    <definedName name="Maximum" localSheetId="51">'DOY252'!$AC$10:$AC$85</definedName>
    <definedName name="Maximum" localSheetId="52">'DOY253'!$AC$10:$AC$85</definedName>
    <definedName name="Maximum">'DOY254'!$AC$10:$AC$85</definedName>
    <definedName name="Mean" localSheetId="2">'DOY128'!$W$10:$W$85</definedName>
    <definedName name="Mean" localSheetId="3">'DOY132'!$W$10:$W$85</definedName>
    <definedName name="Mean" localSheetId="4">'DOY136'!$W$10:$W$85</definedName>
    <definedName name="Mean" localSheetId="5">'DOY139'!$W$10:$W$85</definedName>
    <definedName name="Mean" localSheetId="6">'DOY141'!$W$10:$W$85</definedName>
    <definedName name="Mean" localSheetId="7">'DOY143'!$W$10:$W$85</definedName>
    <definedName name="Mean" localSheetId="8">'DOY147'!$W$10:$W$85</definedName>
    <definedName name="Mean" localSheetId="9">'DOY148'!$W$10:$W$85</definedName>
    <definedName name="Mean" localSheetId="10">'DOY149'!$W$10:$W$85</definedName>
    <definedName name="Mean" localSheetId="11">'DOY150'!$W$10:$W$85</definedName>
    <definedName name="Mean" localSheetId="12">'DOY153'!$W$10:$W$85</definedName>
    <definedName name="Mean" localSheetId="13">'DOY154'!$W$10:$W$85</definedName>
    <definedName name="Mean" localSheetId="14">'DOY155'!$W$10:$W$85</definedName>
    <definedName name="Mean" localSheetId="15">'DOY156'!$W$10:$W$85</definedName>
    <definedName name="Mean" localSheetId="16">'DOY157'!$W$10:$W$85</definedName>
    <definedName name="Mean" localSheetId="17">'DOY160'!$W$10:$W$85</definedName>
    <definedName name="Mean" localSheetId="18">'DOY161'!$W$10:$W$85</definedName>
    <definedName name="Mean" localSheetId="19">'DOY162'!$W$10:$W$85</definedName>
    <definedName name="Mean" localSheetId="20">'DOY163'!$W$10:$W$85</definedName>
    <definedName name="Mean" localSheetId="21">'DOY164'!$W$10:$W$85</definedName>
    <definedName name="Mean" localSheetId="22">'DOY167'!$W$10:$W$85</definedName>
    <definedName name="Mean" localSheetId="23">'DOY168'!$W$10:$W$85</definedName>
    <definedName name="Mean" localSheetId="24">'DOY169'!$W$10:$W$85</definedName>
    <definedName name="Mean" localSheetId="25">'DOY170'!$W$10:$W$85</definedName>
    <definedName name="Mean" localSheetId="26">'DOY171'!$W$10:$W$85</definedName>
    <definedName name="Mean" localSheetId="27">'DOY173'!$W$10:$W$85</definedName>
    <definedName name="Mean" localSheetId="28">'DOY174'!$W$10:$W$85</definedName>
    <definedName name="Mean" localSheetId="29">'DOY175'!$W$10:$W$85</definedName>
    <definedName name="Mean" localSheetId="30">'DOY176'!$W$10:$W$85</definedName>
    <definedName name="Mean" localSheetId="31">'DOY177'!$W$10:$W$85</definedName>
    <definedName name="Mean" localSheetId="32">'DOY178'!$W$10:$W$85</definedName>
    <definedName name="Mean" localSheetId="33">'DOY180'!$W$10:$W$85</definedName>
    <definedName name="Mean" localSheetId="34">'DOY181'!$W$10:$W$85</definedName>
    <definedName name="Mean" localSheetId="35">'DOY182'!$W$10:$W$85</definedName>
    <definedName name="Mean" localSheetId="36">'DOY183'!$W$10:$W$85</definedName>
    <definedName name="Mean" localSheetId="37">'DOY184'!$W$10:$W$85</definedName>
    <definedName name="Mean" localSheetId="38">'DOY185'!$W$10:$W$85</definedName>
    <definedName name="Mean" localSheetId="39">'DOY188'!$W$10:$W$85</definedName>
    <definedName name="Mean" localSheetId="40">'DOY189'!$W$10:$W$85</definedName>
    <definedName name="Mean" localSheetId="41">'DOY195'!$W$10:$W$85</definedName>
    <definedName name="Mean" localSheetId="42">'DOY196'!$W$10:$W$85</definedName>
    <definedName name="Mean" localSheetId="43">'DOY197'!$W$10:$W$85</definedName>
    <definedName name="Mean" localSheetId="44">'DOY198'!$W$10:$W$85</definedName>
    <definedName name="Mean" localSheetId="45">'DOY213'!$W$10:$W$85</definedName>
    <definedName name="Mean" localSheetId="46">'DOY216'!$W$10:$W$85</definedName>
    <definedName name="Mean" localSheetId="47">'DOY246'!$W$10:$W$85</definedName>
    <definedName name="Mean" localSheetId="48">'DOY247'!$W$10:$W$85</definedName>
    <definedName name="Mean" localSheetId="49">'DOY248'!$W$10:$W$85</definedName>
    <definedName name="Mean" localSheetId="50">'DOY251'!$W$10:$W$85</definedName>
    <definedName name="Mean" localSheetId="51">'DOY252'!$W$10:$W$85</definedName>
    <definedName name="Mean" localSheetId="52">'DOY253'!$W$10:$W$85</definedName>
    <definedName name="Mean">'DOY254'!$W$10:$W$85</definedName>
    <definedName name="Median" localSheetId="2">'DOY128'!$AA$10:$AA$85</definedName>
    <definedName name="Median" localSheetId="3">'DOY132'!$AA$10:$AA$85</definedName>
    <definedName name="Median" localSheetId="4">'DOY136'!$AA$10:$AA$85</definedName>
    <definedName name="Median" localSheetId="5">'DOY139'!$AA$10:$AA$85</definedName>
    <definedName name="Median" localSheetId="6">'DOY141'!$AA$10:$AA$85</definedName>
    <definedName name="Median" localSheetId="7">'DOY143'!$AA$10:$AA$85</definedName>
    <definedName name="Median" localSheetId="8">'DOY147'!$AA$10:$AA$85</definedName>
    <definedName name="Median" localSheetId="9">'DOY148'!$AA$10:$AA$85</definedName>
    <definedName name="Median" localSheetId="10">'DOY149'!$AA$10:$AA$85</definedName>
    <definedName name="Median" localSheetId="11">'DOY150'!$AA$10:$AA$85</definedName>
    <definedName name="Median" localSheetId="12">'DOY153'!$AA$10:$AA$85</definedName>
    <definedName name="Median" localSheetId="13">'DOY154'!$AA$10:$AA$85</definedName>
    <definedName name="Median" localSheetId="14">'DOY155'!$AA$10:$AA$85</definedName>
    <definedName name="Median" localSheetId="15">'DOY156'!$AA$10:$AA$85</definedName>
    <definedName name="Median" localSheetId="16">'DOY157'!$AA$10:$AA$85</definedName>
    <definedName name="Median" localSheetId="17">'DOY160'!$AA$10:$AA$85</definedName>
    <definedName name="Median" localSheetId="18">'DOY161'!$AA$10:$AA$85</definedName>
    <definedName name="Median" localSheetId="19">'DOY162'!$AA$10:$AA$85</definedName>
    <definedName name="Median" localSheetId="20">'DOY163'!$AA$10:$AA$85</definedName>
    <definedName name="Median" localSheetId="21">'DOY164'!$AA$10:$AA$85</definedName>
    <definedName name="Median" localSheetId="22">'DOY167'!$AA$10:$AA$85</definedName>
    <definedName name="Median" localSheetId="23">'DOY168'!$AA$10:$AA$85</definedName>
    <definedName name="Median" localSheetId="24">'DOY169'!$AA$10:$AA$85</definedName>
    <definedName name="Median" localSheetId="25">'DOY170'!$AA$10:$AA$85</definedName>
    <definedName name="Median" localSheetId="26">'DOY171'!$AA$10:$AA$85</definedName>
    <definedName name="Median" localSheetId="27">'DOY173'!$AA$10:$AA$85</definedName>
    <definedName name="Median" localSheetId="28">'DOY174'!$AA$10:$AA$85</definedName>
    <definedName name="Median" localSheetId="29">'DOY175'!$AA$10:$AA$85</definedName>
    <definedName name="Median" localSheetId="30">'DOY176'!$AA$10:$AA$85</definedName>
    <definedName name="Median" localSheetId="31">'DOY177'!$AA$10:$AA$85</definedName>
    <definedName name="Median" localSheetId="32">'DOY178'!$AA$10:$AA$85</definedName>
    <definedName name="Median" localSheetId="33">'DOY180'!$AA$10:$AA$85</definedName>
    <definedName name="Median" localSheetId="34">'DOY181'!$AA$10:$AA$85</definedName>
    <definedName name="Median" localSheetId="35">'DOY182'!$AA$10:$AA$85</definedName>
    <definedName name="Median" localSheetId="36">'DOY183'!$AA$10:$AA$85</definedName>
    <definedName name="Median" localSheetId="37">'DOY184'!$AA$10:$AA$85</definedName>
    <definedName name="Median" localSheetId="38">'DOY185'!$AA$10:$AA$85</definedName>
    <definedName name="Median" localSheetId="39">'DOY188'!$AA$10:$AA$85</definedName>
    <definedName name="Median" localSheetId="40">'DOY189'!$AA$10:$AA$85</definedName>
    <definedName name="Median" localSheetId="41">'DOY195'!$AA$10:$AA$85</definedName>
    <definedName name="Median" localSheetId="42">'DOY196'!$AA$10:$AA$85</definedName>
    <definedName name="Median" localSheetId="43">'DOY197'!$AA$10:$AA$85</definedName>
    <definedName name="Median" localSheetId="44">'DOY198'!$AA$10:$AA$85</definedName>
    <definedName name="Median" localSheetId="45">'DOY213'!$AA$10:$AA$85</definedName>
    <definedName name="Median" localSheetId="46">'DOY216'!$AA$10:$AA$85</definedName>
    <definedName name="Median" localSheetId="47">'DOY246'!$AA$10:$AA$85</definedName>
    <definedName name="Median" localSheetId="48">'DOY247'!$AA$10:$AA$85</definedName>
    <definedName name="Median" localSheetId="49">'DOY248'!$AA$10:$AA$85</definedName>
    <definedName name="Median" localSheetId="50">'DOY251'!$AA$10:$AA$85</definedName>
    <definedName name="Median" localSheetId="51">'DOY252'!$AA$10:$AA$85</definedName>
    <definedName name="Median" localSheetId="52">'DOY253'!$AA$10:$AA$85</definedName>
    <definedName name="Median">'DOY254'!$AA$10:$AA$85</definedName>
    <definedName name="Minimum" localSheetId="2">'DOY128'!$Y$10:$Y$85</definedName>
    <definedName name="Minimum" localSheetId="3">'DOY132'!$Y$10:$Y$85</definedName>
    <definedName name="Minimum" localSheetId="4">'DOY136'!$Y$10:$Y$85</definedName>
    <definedName name="Minimum" localSheetId="5">'DOY139'!$Y$10:$Y$85</definedName>
    <definedName name="Minimum" localSheetId="6">'DOY141'!$Y$10:$Y$85</definedName>
    <definedName name="Minimum" localSheetId="7">'DOY143'!$Y$10:$Y$85</definedName>
    <definedName name="Minimum" localSheetId="8">'DOY147'!$Y$10:$Y$85</definedName>
    <definedName name="Minimum" localSheetId="9">'DOY148'!$Y$10:$Y$85</definedName>
    <definedName name="Minimum" localSheetId="10">'DOY149'!$Y$10:$Y$85</definedName>
    <definedName name="Minimum" localSheetId="11">'DOY150'!$Y$10:$Y$85</definedName>
    <definedName name="Minimum" localSheetId="12">'DOY153'!$Y$10:$Y$85</definedName>
    <definedName name="Minimum" localSheetId="13">'DOY154'!$Y$10:$Y$85</definedName>
    <definedName name="Minimum" localSheetId="14">'DOY155'!$Y$10:$Y$85</definedName>
    <definedName name="Minimum" localSheetId="15">'DOY156'!$Y$10:$Y$85</definedName>
    <definedName name="Minimum" localSheetId="16">'DOY157'!$Y$10:$Y$85</definedName>
    <definedName name="Minimum" localSheetId="17">'DOY160'!$Y$10:$Y$85</definedName>
    <definedName name="Minimum" localSheetId="18">'DOY161'!$Y$10:$Y$85</definedName>
    <definedName name="Minimum" localSheetId="19">'DOY162'!$Y$10:$Y$85</definedName>
    <definedName name="Minimum" localSheetId="20">'DOY163'!$Y$10:$Y$85</definedName>
    <definedName name="Minimum" localSheetId="21">'DOY164'!$Y$10:$Y$85</definedName>
    <definedName name="Minimum" localSheetId="22">'DOY167'!$Y$10:$Y$85</definedName>
    <definedName name="Minimum" localSheetId="23">'DOY168'!$Y$10:$Y$85</definedName>
    <definedName name="Minimum" localSheetId="24">'DOY169'!$Y$10:$Y$85</definedName>
    <definedName name="Minimum" localSheetId="25">'DOY170'!$Y$10:$Y$85</definedName>
    <definedName name="Minimum" localSheetId="26">'DOY171'!$Y$10:$Y$85</definedName>
    <definedName name="Minimum" localSheetId="27">'DOY173'!$Y$10:$Y$85</definedName>
    <definedName name="Minimum" localSheetId="28">'DOY174'!$Y$10:$Y$85</definedName>
    <definedName name="Minimum" localSheetId="29">'DOY175'!$Y$10:$Y$85</definedName>
    <definedName name="Minimum" localSheetId="30">'DOY176'!$Y$10:$Y$85</definedName>
    <definedName name="Minimum" localSheetId="31">'DOY177'!$Y$10:$Y$85</definedName>
    <definedName name="Minimum" localSheetId="32">'DOY178'!$Y$10:$Y$85</definedName>
    <definedName name="Minimum" localSheetId="33">'DOY180'!$Y$10:$Y$85</definedName>
    <definedName name="Minimum" localSheetId="34">'DOY181'!$Y$10:$Y$85</definedName>
    <definedName name="Minimum" localSheetId="35">'DOY182'!$Y$10:$Y$85</definedName>
    <definedName name="Minimum" localSheetId="36">'DOY183'!$Y$10:$Y$85</definedName>
    <definedName name="Minimum" localSheetId="37">'DOY184'!$Y$10:$Y$85</definedName>
    <definedName name="Minimum" localSheetId="38">'DOY185'!$Y$10:$Y$85</definedName>
    <definedName name="Minimum" localSheetId="39">'DOY188'!$Y$10:$Y$85</definedName>
    <definedName name="Minimum" localSheetId="40">'DOY189'!$Y$10:$Y$85</definedName>
    <definedName name="Minimum" localSheetId="41">'DOY195'!$Y$10:$Y$85</definedName>
    <definedName name="Minimum" localSheetId="42">'DOY196'!$Y$10:$Y$85</definedName>
    <definedName name="Minimum" localSheetId="43">'DOY197'!$Y$10:$Y$85</definedName>
    <definedName name="Minimum" localSheetId="44">'DOY198'!$Y$10:$Y$85</definedName>
    <definedName name="Minimum" localSheetId="45">'DOY213'!$Y$10:$Y$85</definedName>
    <definedName name="Minimum" localSheetId="46">'DOY216'!$Y$10:$Y$85</definedName>
    <definedName name="Minimum" localSheetId="47">'DOY246'!$Y$10:$Y$85</definedName>
    <definedName name="Minimum" localSheetId="48">'DOY247'!$Y$10:$Y$85</definedName>
    <definedName name="Minimum" localSheetId="49">'DOY248'!$Y$10:$Y$85</definedName>
    <definedName name="Minimum" localSheetId="50">'DOY251'!$Y$10:$Y$85</definedName>
    <definedName name="Minimum" localSheetId="51">'DOY252'!$Y$10:$Y$85</definedName>
    <definedName name="Minimum" localSheetId="52">'DOY253'!$Y$10:$Y$85</definedName>
    <definedName name="Minimum">'DOY254'!$Y$10:$Y$85</definedName>
    <definedName name="N" localSheetId="2">'DOY128'!$G$10:$G$85</definedName>
    <definedName name="N" localSheetId="3">'DOY132'!$G$10:$G$85</definedName>
    <definedName name="N" localSheetId="4">'DOY136'!$G$10:$G$85</definedName>
    <definedName name="N" localSheetId="5">'DOY139'!$G$10:$G$85</definedName>
    <definedName name="N" localSheetId="6">'DOY141'!$G$10:$G$85</definedName>
    <definedName name="N" localSheetId="7">'DOY143'!$G$10:$G$85</definedName>
    <definedName name="N" localSheetId="8">'DOY147'!$G$10:$G$85</definedName>
    <definedName name="N" localSheetId="9">'DOY148'!$G$10:$G$85</definedName>
    <definedName name="N" localSheetId="10">'DOY149'!$G$10:$G$85</definedName>
    <definedName name="N" localSheetId="11">'DOY150'!$G$10:$G$85</definedName>
    <definedName name="N" localSheetId="12">'DOY153'!$G$10:$G$85</definedName>
    <definedName name="N" localSheetId="13">'DOY154'!$G$10:$G$85</definedName>
    <definedName name="N" localSheetId="14">'DOY155'!$G$10:$G$85</definedName>
    <definedName name="N" localSheetId="15">'DOY156'!$G$10:$G$85</definedName>
    <definedName name="N" localSheetId="16">'DOY157'!$G$10:$G$85</definedName>
    <definedName name="N" localSheetId="17">'DOY160'!$G$10:$G$85</definedName>
    <definedName name="N" localSheetId="18">'DOY161'!$G$10:$G$85</definedName>
    <definedName name="N" localSheetId="19">'DOY162'!$G$10:$G$85</definedName>
    <definedName name="N" localSheetId="20">'DOY163'!$G$10:$G$85</definedName>
    <definedName name="N" localSheetId="21">'DOY164'!$G$10:$G$85</definedName>
    <definedName name="N" localSheetId="22">'DOY167'!$G$10:$G$85</definedName>
    <definedName name="N" localSheetId="23">'DOY168'!$G$10:$G$85</definedName>
    <definedName name="N" localSheetId="24">'DOY169'!$G$10:$G$85</definedName>
    <definedName name="N" localSheetId="25">'DOY170'!$G$10:$G$85</definedName>
    <definedName name="N" localSheetId="26">'DOY171'!$G$10:$G$85</definedName>
    <definedName name="N" localSheetId="27">'DOY173'!$G$10:$G$85</definedName>
    <definedName name="N" localSheetId="28">'DOY174'!$G$10:$G$85</definedName>
    <definedName name="N" localSheetId="29">'DOY175'!$G$10:$G$85</definedName>
    <definedName name="N" localSheetId="30">'DOY176'!$G$10:$G$85</definedName>
    <definedName name="N" localSheetId="31">'DOY177'!$G$10:$G$85</definedName>
    <definedName name="N" localSheetId="32">'DOY178'!$G$10:$G$85</definedName>
    <definedName name="N" localSheetId="33">'DOY180'!$G$10:$G$85</definedName>
    <definedName name="N" localSheetId="34">'DOY181'!$G$10:$G$85</definedName>
    <definedName name="N" localSheetId="35">'DOY182'!$G$10:$G$85</definedName>
    <definedName name="N" localSheetId="36">'DOY183'!$G$10:$G$85</definedName>
    <definedName name="N" localSheetId="37">'DOY184'!$G$10:$G$85</definedName>
    <definedName name="N" localSheetId="38">'DOY185'!$G$10:$G$85</definedName>
    <definedName name="N" localSheetId="39">'DOY188'!$G$10:$G$85</definedName>
    <definedName name="N" localSheetId="40">'DOY189'!$G$10:$G$85</definedName>
    <definedName name="N" localSheetId="41">'DOY195'!$G$10:$G$85</definedName>
    <definedName name="N" localSheetId="42">'DOY196'!$G$10:$G$85</definedName>
    <definedName name="N" localSheetId="43">'DOY197'!$G$10:$G$85</definedName>
    <definedName name="N" localSheetId="44">'DOY198'!$G$10:$G$85</definedName>
    <definedName name="N" localSheetId="45">'DOY213'!$G$10:$G$85</definedName>
    <definedName name="N" localSheetId="46">'DOY216'!$G$10:$G$85</definedName>
    <definedName name="N" localSheetId="47">'DOY246'!$G$10:$G$85</definedName>
    <definedName name="N" localSheetId="48">'DOY247'!$G$10:$G$85</definedName>
    <definedName name="N" localSheetId="49">'DOY248'!$G$10:$G$85</definedName>
    <definedName name="N" localSheetId="50">'DOY251'!$G$10:$G$85</definedName>
    <definedName name="N" localSheetId="51">'DOY252'!$G$10:$G$85</definedName>
    <definedName name="N" localSheetId="52">'DOY253'!$G$10:$G$85</definedName>
    <definedName name="N">'DOY254'!$G$10:$G$85</definedName>
    <definedName name="PlotID" localSheetId="2">'DOY128'!$B$10:$B$85</definedName>
    <definedName name="PlotID" localSheetId="3">'DOY132'!$B$10:$B$85</definedName>
    <definedName name="PlotID" localSheetId="4">'DOY136'!$B$10:$B$85</definedName>
    <definedName name="PlotID" localSheetId="5">'DOY139'!$B$10:$B$85</definedName>
    <definedName name="PlotID" localSheetId="6">'DOY141'!$B$10:$B$85</definedName>
    <definedName name="PlotID" localSheetId="7">'DOY143'!$B$10:$B$85</definedName>
    <definedName name="PlotID" localSheetId="8">'DOY147'!$B$10:$B$85</definedName>
    <definedName name="PlotID" localSheetId="9">'DOY148'!$B$10:$B$85</definedName>
    <definedName name="PlotID" localSheetId="10">'DOY149'!$B$10:$B$85</definedName>
    <definedName name="PlotID" localSheetId="11">'DOY150'!$B$10:$B$85</definedName>
    <definedName name="PlotID" localSheetId="12">'DOY153'!$B$10:$B$85</definedName>
    <definedName name="PlotID" localSheetId="13">'DOY154'!$B$10:$B$85</definedName>
    <definedName name="PlotID" localSheetId="14">'DOY155'!$B$10:$B$85</definedName>
    <definedName name="PlotID" localSheetId="15">'DOY156'!$B$10:$B$85</definedName>
    <definedName name="PlotID" localSheetId="16">'DOY157'!$B$10:$B$85</definedName>
    <definedName name="PlotID" localSheetId="17">'DOY160'!$B$10:$B$85</definedName>
    <definedName name="PlotID" localSheetId="18">'DOY161'!$B$10:$B$85</definedName>
    <definedName name="PlotID" localSheetId="19">'DOY162'!$B$10:$B$85</definedName>
    <definedName name="PlotID" localSheetId="20">'DOY163'!$B$10:$B$85</definedName>
    <definedName name="PlotID" localSheetId="21">'DOY164'!$B$10:$B$85</definedName>
    <definedName name="PlotID" localSheetId="22">'DOY167'!$B$10:$B$85</definedName>
    <definedName name="PlotID" localSheetId="23">'DOY168'!$B$10:$B$85</definedName>
    <definedName name="PlotID" localSheetId="24">'DOY169'!$B$10:$B$85</definedName>
    <definedName name="PlotID" localSheetId="25">'DOY170'!$B$10:$B$85</definedName>
    <definedName name="PlotID" localSheetId="26">'DOY171'!$B$10:$B$85</definedName>
    <definedName name="PlotID" localSheetId="27">'DOY173'!$B$10:$B$85</definedName>
    <definedName name="PlotID" localSheetId="28">'DOY174'!$B$10:$B$85</definedName>
    <definedName name="PlotID" localSheetId="29">'DOY175'!$B$10:$B$85</definedName>
    <definedName name="PlotID" localSheetId="30">'DOY176'!$B$10:$B$85</definedName>
    <definedName name="PlotID" localSheetId="31">'DOY177'!$B$10:$B$85</definedName>
    <definedName name="PlotID" localSheetId="32">'DOY178'!$B$10:$B$85</definedName>
    <definedName name="PlotID" localSheetId="33">'DOY180'!$B$10:$B$85</definedName>
    <definedName name="PlotID" localSheetId="34">'DOY181'!$B$10:$B$85</definedName>
    <definedName name="PlotID" localSheetId="35">'DOY182'!$B$10:$B$85</definedName>
    <definedName name="PlotID" localSheetId="36">'DOY183'!$B$10:$B$85</definedName>
    <definedName name="PlotID" localSheetId="37">'DOY184'!$B$10:$B$85</definedName>
    <definedName name="PlotID" localSheetId="38">'DOY185'!$B$10:$B$85</definedName>
    <definedName name="PlotID" localSheetId="39">'DOY188'!$B$10:$B$85</definedName>
    <definedName name="PlotID" localSheetId="40">'DOY189'!$B$10:$B$85</definedName>
    <definedName name="PlotID" localSheetId="41">'DOY195'!$B$10:$B$85</definedName>
    <definedName name="PlotID" localSheetId="42">'DOY196'!$B$10:$B$85</definedName>
    <definedName name="PlotID" localSheetId="43">'DOY197'!$B$10:$B$85</definedName>
    <definedName name="PlotID" localSheetId="44">'DOY198'!$B$10:$B$85</definedName>
    <definedName name="PlotID" localSheetId="45">'DOY213'!$B$10:$B$85</definedName>
    <definedName name="PlotID" localSheetId="46">'DOY216'!$B$10:$B$85</definedName>
    <definedName name="PlotID" localSheetId="47">'DOY246'!$B$10:$B$85</definedName>
    <definedName name="PlotID" localSheetId="48">'DOY247'!$B$10:$B$85</definedName>
    <definedName name="PlotID" localSheetId="49">'DOY248'!$B$10:$B$85</definedName>
    <definedName name="PlotID" localSheetId="50">'DOY251'!$B$10:$B$85</definedName>
    <definedName name="PlotID" localSheetId="51">'DOY252'!$B$10:$B$85</definedName>
    <definedName name="PlotID" localSheetId="52">'DOY253'!$B$10:$B$85</definedName>
    <definedName name="PlotID">'DOY254'!$B$10:$B$85</definedName>
    <definedName name="Pop" localSheetId="2">'DOY128'!$F$10:$F$85</definedName>
    <definedName name="Pop" localSheetId="3">'DOY132'!$F$10:$F$85</definedName>
    <definedName name="Pop" localSheetId="4">'DOY136'!$F$10:$F$85</definedName>
    <definedName name="Pop" localSheetId="5">'DOY139'!$F$10:$F$85</definedName>
    <definedName name="Pop" localSheetId="6">'DOY141'!$F$10:$F$85</definedName>
    <definedName name="Pop" localSheetId="7">'DOY143'!$F$10:$F$85</definedName>
    <definedName name="Pop" localSheetId="8">'DOY147'!$F$10:$F$85</definedName>
    <definedName name="Pop" localSheetId="9">'DOY148'!$F$10:$F$85</definedName>
    <definedName name="Pop" localSheetId="10">'DOY149'!$F$10:$F$85</definedName>
    <definedName name="Pop" localSheetId="11">'DOY150'!$F$10:$F$85</definedName>
    <definedName name="Pop" localSheetId="12">'DOY153'!$F$10:$F$85</definedName>
    <definedName name="Pop" localSheetId="13">'DOY154'!$F$10:$F$85</definedName>
    <definedName name="Pop" localSheetId="14">'DOY155'!$F$10:$F$85</definedName>
    <definedName name="Pop" localSheetId="15">'DOY156'!$F$10:$F$85</definedName>
    <definedName name="Pop" localSheetId="16">'DOY157'!$F$10:$F$85</definedName>
    <definedName name="Pop" localSheetId="17">'DOY160'!$F$10:$F$85</definedName>
    <definedName name="Pop" localSheetId="18">'DOY161'!$F$10:$F$85</definedName>
    <definedName name="Pop" localSheetId="19">'DOY162'!$F$10:$F$85</definedName>
    <definedName name="Pop" localSheetId="20">'DOY163'!$F$10:$F$85</definedName>
    <definedName name="Pop" localSheetId="21">'DOY164'!$F$10:$F$85</definedName>
    <definedName name="Pop" localSheetId="22">'DOY167'!$F$10:$F$85</definedName>
    <definedName name="Pop" localSheetId="23">'DOY168'!$F$10:$F$85</definedName>
    <definedName name="Pop" localSheetId="24">'DOY169'!$F$10:$F$85</definedName>
    <definedName name="Pop" localSheetId="25">'DOY170'!$F$10:$F$85</definedName>
    <definedName name="Pop" localSheetId="26">'DOY171'!$F$10:$F$85</definedName>
    <definedName name="Pop" localSheetId="27">'DOY173'!$F$10:$F$85</definedName>
    <definedName name="Pop" localSheetId="28">'DOY174'!$F$10:$F$85</definedName>
    <definedName name="Pop" localSheetId="29">'DOY175'!$F$10:$F$85</definedName>
    <definedName name="Pop" localSheetId="30">'DOY176'!$F$10:$F$85</definedName>
    <definedName name="Pop" localSheetId="31">'DOY177'!$F$10:$F$85</definedName>
    <definedName name="Pop" localSheetId="32">'DOY178'!$F$10:$F$85</definedName>
    <definedName name="Pop" localSheetId="33">'DOY180'!$F$10:$F$85</definedName>
    <definedName name="Pop" localSheetId="34">'DOY181'!$F$10:$F$85</definedName>
    <definedName name="Pop" localSheetId="35">'DOY182'!$F$10:$F$85</definedName>
    <definedName name="Pop" localSheetId="36">'DOY183'!$F$10:$F$85</definedName>
    <definedName name="Pop" localSheetId="37">'DOY184'!$F$10:$F$85</definedName>
    <definedName name="Pop" localSheetId="38">'DOY185'!$F$10:$F$85</definedName>
    <definedName name="Pop" localSheetId="39">'DOY188'!$F$10:$F$85</definedName>
    <definedName name="Pop" localSheetId="40">'DOY189'!$F$10:$F$85</definedName>
    <definedName name="Pop" localSheetId="41">'DOY195'!$F$10:$F$85</definedName>
    <definedName name="Pop" localSheetId="42">'DOY196'!$F$10:$F$85</definedName>
    <definedName name="Pop" localSheetId="43">'DOY197'!$F$10:$F$85</definedName>
    <definedName name="Pop" localSheetId="44">'DOY198'!$F$10:$F$85</definedName>
    <definedName name="Pop" localSheetId="45">'DOY213'!$F$10:$F$85</definedName>
    <definedName name="Pop" localSheetId="46">'DOY216'!$F$10:$F$85</definedName>
    <definedName name="Pop" localSheetId="47">'DOY246'!$F$10:$F$85</definedName>
    <definedName name="Pop" localSheetId="48">'DOY247'!$F$10:$F$85</definedName>
    <definedName name="Pop" localSheetId="49">'DOY248'!$F$10:$F$85</definedName>
    <definedName name="Pop" localSheetId="50">'DOY251'!$F$10:$F$85</definedName>
    <definedName name="Pop" localSheetId="51">'DOY252'!$F$10:$F$85</definedName>
    <definedName name="Pop" localSheetId="52">'DOY253'!$F$10:$F$85</definedName>
    <definedName name="Pop">'DOY254'!$F$10:$F$85</definedName>
    <definedName name="Quartile1" localSheetId="2">'DOY128'!$Z$10:$Z$85</definedName>
    <definedName name="Quartile1" localSheetId="3">'DOY132'!$Z$10:$Z$85</definedName>
    <definedName name="Quartile1" localSheetId="4">'DOY136'!$Z$10:$Z$85</definedName>
    <definedName name="Quartile1" localSheetId="5">'DOY139'!$Z$10:$Z$85</definedName>
    <definedName name="Quartile1" localSheetId="6">'DOY141'!$Z$10:$Z$85</definedName>
    <definedName name="Quartile1" localSheetId="7">'DOY143'!$Z$10:$Z$85</definedName>
    <definedName name="Quartile1" localSheetId="8">'DOY147'!$Z$10:$Z$85</definedName>
    <definedName name="Quartile1" localSheetId="9">'DOY148'!$Z$10:$Z$85</definedName>
    <definedName name="Quartile1" localSheetId="10">'DOY149'!$Z$10:$Z$85</definedName>
    <definedName name="Quartile1" localSheetId="11">'DOY150'!$Z$10:$Z$85</definedName>
    <definedName name="Quartile1" localSheetId="12">'DOY153'!$Z$10:$Z$85</definedName>
    <definedName name="Quartile1" localSheetId="13">'DOY154'!$Z$10:$Z$85</definedName>
    <definedName name="Quartile1" localSheetId="14">'DOY155'!$Z$10:$Z$85</definedName>
    <definedName name="Quartile1" localSheetId="15">'DOY156'!$Z$10:$Z$85</definedName>
    <definedName name="Quartile1" localSheetId="16">'DOY157'!$Z$10:$Z$85</definedName>
    <definedName name="Quartile1" localSheetId="17">'DOY160'!$Z$10:$Z$85</definedName>
    <definedName name="Quartile1" localSheetId="18">'DOY161'!$Z$10:$Z$85</definedName>
    <definedName name="Quartile1" localSheetId="19">'DOY162'!$Z$10:$Z$85</definedName>
    <definedName name="Quartile1" localSheetId="20">'DOY163'!$Z$10:$Z$85</definedName>
    <definedName name="Quartile1" localSheetId="21">'DOY164'!$Z$10:$Z$85</definedName>
    <definedName name="Quartile1" localSheetId="22">'DOY167'!$Z$10:$Z$85</definedName>
    <definedName name="Quartile1" localSheetId="23">'DOY168'!$Z$10:$Z$85</definedName>
    <definedName name="Quartile1" localSheetId="24">'DOY169'!$Z$10:$Z$85</definedName>
    <definedName name="Quartile1" localSheetId="25">'DOY170'!$Z$10:$Z$85</definedName>
    <definedName name="Quartile1" localSheetId="26">'DOY171'!$Z$10:$Z$85</definedName>
    <definedName name="Quartile1" localSheetId="27">'DOY173'!$Z$10:$Z$85</definedName>
    <definedName name="Quartile1" localSheetId="28">'DOY174'!$Z$10:$Z$85</definedName>
    <definedName name="Quartile1" localSheetId="29">'DOY175'!$Z$10:$Z$85</definedName>
    <definedName name="Quartile1" localSheetId="30">'DOY176'!$Z$10:$Z$85</definedName>
    <definedName name="Quartile1" localSheetId="31">'DOY177'!$Z$10:$Z$85</definedName>
    <definedName name="Quartile1" localSheetId="32">'DOY178'!$Z$10:$Z$85</definedName>
    <definedName name="Quartile1" localSheetId="33">'DOY180'!$Z$10:$Z$85</definedName>
    <definedName name="Quartile1" localSheetId="34">'DOY181'!$Z$10:$Z$85</definedName>
    <definedName name="Quartile1" localSheetId="35">'DOY182'!$Z$10:$Z$85</definedName>
    <definedName name="Quartile1" localSheetId="36">'DOY183'!$Z$10:$Z$85</definedName>
    <definedName name="Quartile1" localSheetId="37">'DOY184'!$Z$10:$Z$85</definedName>
    <definedName name="Quartile1" localSheetId="38">'DOY185'!$Z$10:$Z$85</definedName>
    <definedName name="Quartile1" localSheetId="39">'DOY188'!$Z$10:$Z$85</definedName>
    <definedName name="Quartile1" localSheetId="40">'DOY189'!$Z$10:$Z$85</definedName>
    <definedName name="Quartile1" localSheetId="41">'DOY195'!$Z$10:$Z$85</definedName>
    <definedName name="Quartile1" localSheetId="42">'DOY196'!$Z$10:$Z$85</definedName>
    <definedName name="Quartile1" localSheetId="43">'DOY197'!$Z$10:$Z$85</definedName>
    <definedName name="Quartile1" localSheetId="44">'DOY198'!$Z$10:$Z$85</definedName>
    <definedName name="Quartile1" localSheetId="45">'DOY213'!$Z$10:$Z$85</definedName>
    <definedName name="Quartile1" localSheetId="46">'DOY216'!$Z$10:$Z$85</definedName>
    <definedName name="Quartile1" localSheetId="47">'DOY246'!$Z$10:$Z$85</definedName>
    <definedName name="Quartile1" localSheetId="48">'DOY247'!$Z$10:$Z$85</definedName>
    <definedName name="Quartile1" localSheetId="49">'DOY248'!$Z$10:$Z$85</definedName>
    <definedName name="Quartile1" localSheetId="50">'DOY251'!$Z$10:$Z$85</definedName>
    <definedName name="Quartile1" localSheetId="51">'DOY252'!$Z$10:$Z$85</definedName>
    <definedName name="Quartile1" localSheetId="52">'DOY253'!$Z$10:$Z$85</definedName>
    <definedName name="Quartile1">'DOY254'!$Z$10:$Z$85</definedName>
    <definedName name="Quartile3" localSheetId="2">'DOY128'!$AB$10:$AB$85</definedName>
    <definedName name="Quartile3" localSheetId="3">'DOY132'!$AB$10:$AB$85</definedName>
    <definedName name="Quartile3" localSheetId="4">'DOY136'!$AB$10:$AB$85</definedName>
    <definedName name="Quartile3" localSheetId="5">'DOY139'!$AB$10:$AB$85</definedName>
    <definedName name="Quartile3" localSheetId="6">'DOY141'!$AB$10:$AB$85</definedName>
    <definedName name="Quartile3" localSheetId="7">'DOY143'!$AB$10:$AB$85</definedName>
    <definedName name="Quartile3" localSheetId="8">'DOY147'!$AB$10:$AB$85</definedName>
    <definedName name="Quartile3" localSheetId="9">'DOY148'!$AB$10:$AB$85</definedName>
    <definedName name="Quartile3" localSheetId="10">'DOY149'!$AB$10:$AB$85</definedName>
    <definedName name="Quartile3" localSheetId="11">'DOY150'!$AB$10:$AB$85</definedName>
    <definedName name="Quartile3" localSheetId="12">'DOY153'!$AB$10:$AB$85</definedName>
    <definedName name="Quartile3" localSheetId="13">'DOY154'!$AB$10:$AB$85</definedName>
    <definedName name="Quartile3" localSheetId="14">'DOY155'!$AB$10:$AB$85</definedName>
    <definedName name="Quartile3" localSheetId="15">'DOY156'!$AB$10:$AB$85</definedName>
    <definedName name="Quartile3" localSheetId="16">'DOY157'!$AB$10:$AB$85</definedName>
    <definedName name="Quartile3" localSheetId="17">'DOY160'!$AB$10:$AB$85</definedName>
    <definedName name="Quartile3" localSheetId="18">'DOY161'!$AB$10:$AB$85</definedName>
    <definedName name="Quartile3" localSheetId="19">'DOY162'!$AB$10:$AB$85</definedName>
    <definedName name="Quartile3" localSheetId="20">'DOY163'!$AB$10:$AB$85</definedName>
    <definedName name="Quartile3" localSheetId="21">'DOY164'!$AB$10:$AB$85</definedName>
    <definedName name="Quartile3" localSheetId="22">'DOY167'!$AB$10:$AB$85</definedName>
    <definedName name="Quartile3" localSheetId="23">'DOY168'!$AB$10:$AB$85</definedName>
    <definedName name="Quartile3" localSheetId="24">'DOY169'!$AB$10:$AB$85</definedName>
    <definedName name="Quartile3" localSheetId="25">'DOY170'!$AB$10:$AB$85</definedName>
    <definedName name="Quartile3" localSheetId="26">'DOY171'!$AB$10:$AB$85</definedName>
    <definedName name="Quartile3" localSheetId="27">'DOY173'!$AB$10:$AB$85</definedName>
    <definedName name="Quartile3" localSheetId="28">'DOY174'!$AB$10:$AB$85</definedName>
    <definedName name="Quartile3" localSheetId="29">'DOY175'!$AB$10:$AB$85</definedName>
    <definedName name="Quartile3" localSheetId="30">'DOY176'!$AB$10:$AB$85</definedName>
    <definedName name="Quartile3" localSheetId="31">'DOY177'!$AB$10:$AB$85</definedName>
    <definedName name="Quartile3" localSheetId="32">'DOY178'!$AB$10:$AB$85</definedName>
    <definedName name="Quartile3" localSheetId="33">'DOY180'!$AB$10:$AB$85</definedName>
    <definedName name="Quartile3" localSheetId="34">'DOY181'!$AB$10:$AB$85</definedName>
    <definedName name="Quartile3" localSheetId="35">'DOY182'!$AB$10:$AB$85</definedName>
    <definedName name="Quartile3" localSheetId="36">'DOY183'!$AB$10:$AB$85</definedName>
    <definedName name="Quartile3" localSheetId="37">'DOY184'!$AB$10:$AB$85</definedName>
    <definedName name="Quartile3" localSheetId="38">'DOY185'!$AB$10:$AB$85</definedName>
    <definedName name="Quartile3" localSheetId="39">'DOY188'!$AB$10:$AB$85</definedName>
    <definedName name="Quartile3" localSheetId="40">'DOY189'!$AB$10:$AB$85</definedName>
    <definedName name="Quartile3" localSheetId="41">'DOY195'!$AB$10:$AB$85</definedName>
    <definedName name="Quartile3" localSheetId="42">'DOY196'!$AB$10:$AB$85</definedName>
    <definedName name="Quartile3" localSheetId="43">'DOY197'!$AB$10:$AB$85</definedName>
    <definedName name="Quartile3" localSheetId="44">'DOY198'!$AB$10:$AB$85</definedName>
    <definedName name="Quartile3" localSheetId="45">'DOY213'!$AB$10:$AB$85</definedName>
    <definedName name="Quartile3" localSheetId="46">'DOY216'!$AB$10:$AB$85</definedName>
    <definedName name="Quartile3" localSheetId="47">'DOY246'!$AB$10:$AB$85</definedName>
    <definedName name="Quartile3" localSheetId="48">'DOY247'!$AB$10:$AB$85</definedName>
    <definedName name="Quartile3" localSheetId="49">'DOY248'!$AB$10:$AB$85</definedName>
    <definedName name="Quartile3" localSheetId="50">'DOY251'!$AB$10:$AB$85</definedName>
    <definedName name="Quartile3" localSheetId="51">'DOY252'!$AB$10:$AB$85</definedName>
    <definedName name="Quartile3" localSheetId="52">'DOY253'!$AB$10:$AB$85</definedName>
    <definedName name="Quartile3">'DOY254'!$AB$10:$AB$85</definedName>
    <definedName name="Skewness" localSheetId="2">'DOY128'!$AD$10:$AD$85</definedName>
    <definedName name="Skewness" localSheetId="3">'DOY132'!$AD$10:$AD$85</definedName>
    <definedName name="Skewness" localSheetId="4">'DOY136'!$AD$10:$AD$85</definedName>
    <definedName name="Skewness" localSheetId="5">'DOY139'!$AD$10:$AD$85</definedName>
    <definedName name="Skewness" localSheetId="6">'DOY141'!$AD$10:$AD$85</definedName>
    <definedName name="Skewness" localSheetId="7">'DOY143'!$AD$10:$AD$85</definedName>
    <definedName name="Skewness" localSheetId="8">'DOY147'!$AD$10:$AD$85</definedName>
    <definedName name="Skewness" localSheetId="9">'DOY148'!$AD$10:$AD$85</definedName>
    <definedName name="Skewness" localSheetId="10">'DOY149'!$AD$10:$AD$85</definedName>
    <definedName name="Skewness" localSheetId="11">'DOY150'!$AD$10:$AD$85</definedName>
    <definedName name="Skewness" localSheetId="12">'DOY153'!$AD$10:$AD$85</definedName>
    <definedName name="Skewness" localSheetId="13">'DOY154'!$AD$10:$AD$85</definedName>
    <definedName name="Skewness" localSheetId="14">'DOY155'!$AD$10:$AD$85</definedName>
    <definedName name="Skewness" localSheetId="15">'DOY156'!$AD$10:$AD$85</definedName>
    <definedName name="Skewness" localSheetId="16">'DOY157'!$AD$10:$AD$85</definedName>
    <definedName name="Skewness" localSheetId="17">'DOY160'!$AD$10:$AD$85</definedName>
    <definedName name="Skewness" localSheetId="18">'DOY161'!$AD$10:$AD$85</definedName>
    <definedName name="Skewness" localSheetId="19">'DOY162'!$AD$10:$AD$85</definedName>
    <definedName name="Skewness" localSheetId="20">'DOY163'!$AD$10:$AD$85</definedName>
    <definedName name="Skewness" localSheetId="21">'DOY164'!$AD$10:$AD$85</definedName>
    <definedName name="Skewness" localSheetId="22">'DOY167'!$AD$10:$AD$85</definedName>
    <definedName name="Skewness" localSheetId="23">'DOY168'!$AD$10:$AD$85</definedName>
    <definedName name="Skewness" localSheetId="24">'DOY169'!$AD$10:$AD$85</definedName>
    <definedName name="Skewness" localSheetId="25">'DOY170'!$AD$10:$AD$85</definedName>
    <definedName name="Skewness" localSheetId="26">'DOY171'!$AD$10:$AD$85</definedName>
    <definedName name="Skewness" localSheetId="27">'DOY173'!$AD$10:$AD$85</definedName>
    <definedName name="Skewness" localSheetId="28">'DOY174'!$AD$10:$AD$85</definedName>
    <definedName name="Skewness" localSheetId="29">'DOY175'!$AD$10:$AD$85</definedName>
    <definedName name="Skewness" localSheetId="30">'DOY176'!$AD$10:$AD$85</definedName>
    <definedName name="Skewness" localSheetId="31">'DOY177'!$AD$10:$AD$85</definedName>
    <definedName name="Skewness" localSheetId="32">'DOY178'!$AD$10:$AD$85</definedName>
    <definedName name="Skewness" localSheetId="33">'DOY180'!$AD$10:$AD$85</definedName>
    <definedName name="Skewness" localSheetId="34">'DOY181'!$AD$10:$AD$85</definedName>
    <definedName name="Skewness" localSheetId="35">'DOY182'!$AD$10:$AD$85</definedName>
    <definedName name="Skewness" localSheetId="36">'DOY183'!$AD$10:$AD$85</definedName>
    <definedName name="Skewness" localSheetId="37">'DOY184'!$AD$10:$AD$85</definedName>
    <definedName name="Skewness" localSheetId="38">'DOY185'!$AD$10:$AD$85</definedName>
    <definedName name="Skewness" localSheetId="39">'DOY188'!$AD$10:$AD$85</definedName>
    <definedName name="Skewness" localSheetId="40">'DOY189'!$AD$10:$AD$85</definedName>
    <definedName name="Skewness" localSheetId="41">'DOY195'!$AD$10:$AD$85</definedName>
    <definedName name="Skewness" localSheetId="42">'DOY196'!$AD$10:$AD$85</definedName>
    <definedName name="Skewness" localSheetId="43">'DOY197'!$AD$10:$AD$85</definedName>
    <definedName name="Skewness" localSheetId="44">'DOY198'!$AD$10:$AD$85</definedName>
    <definedName name="Skewness" localSheetId="45">'DOY213'!$AD$10:$AD$85</definedName>
    <definedName name="Skewness" localSheetId="46">'DOY216'!$AD$10:$AD$85</definedName>
    <definedName name="Skewness" localSheetId="47">'DOY246'!$AD$10:$AD$85</definedName>
    <definedName name="Skewness" localSheetId="48">'DOY247'!$AD$10:$AD$85</definedName>
    <definedName name="Skewness" localSheetId="49">'DOY248'!$AD$10:$AD$85</definedName>
    <definedName name="Skewness" localSheetId="50">'DOY251'!$AD$10:$AD$85</definedName>
    <definedName name="Skewness" localSheetId="51">'DOY252'!$AD$10:$AD$85</definedName>
    <definedName name="Skewness" localSheetId="52">'DOY253'!$AD$10:$AD$85</definedName>
    <definedName name="Skewness">'DOY254'!$AD$10:$AD$85</definedName>
    <definedName name="StdErr" localSheetId="2">'DOY128'!$X$10:$X$85</definedName>
    <definedName name="StdErr" localSheetId="3">'DOY132'!$X$10:$X$85</definedName>
    <definedName name="StdErr" localSheetId="4">'DOY136'!$X$10:$X$85</definedName>
    <definedName name="StdErr" localSheetId="5">'DOY139'!$X$10:$X$85</definedName>
    <definedName name="StdErr" localSheetId="6">'DOY141'!$X$10:$X$85</definedName>
    <definedName name="StdErr" localSheetId="7">'DOY143'!$X$10:$X$85</definedName>
    <definedName name="StdErr" localSheetId="8">'DOY147'!$X$10:$X$85</definedName>
    <definedName name="StdErr" localSheetId="9">'DOY148'!$X$10:$X$85</definedName>
    <definedName name="StdErr" localSheetId="10">'DOY149'!$X$10:$X$85</definedName>
    <definedName name="StdErr" localSheetId="11">'DOY150'!$X$10:$X$85</definedName>
    <definedName name="StdErr" localSheetId="12">'DOY153'!$X$10:$X$85</definedName>
    <definedName name="StdErr" localSheetId="13">'DOY154'!$X$10:$X$85</definedName>
    <definedName name="StdErr" localSheetId="14">'DOY155'!$X$10:$X$85</definedName>
    <definedName name="StdErr" localSheetId="15">'DOY156'!$X$10:$X$85</definedName>
    <definedName name="StdErr" localSheetId="16">'DOY157'!$X$10:$X$85</definedName>
    <definedName name="StdErr" localSheetId="17">'DOY160'!$X$10:$X$85</definedName>
    <definedName name="StdErr" localSheetId="18">'DOY161'!$X$10:$X$85</definedName>
    <definedName name="StdErr" localSheetId="19">'DOY162'!$X$10:$X$85</definedName>
    <definedName name="StdErr" localSheetId="20">'DOY163'!$X$10:$X$85</definedName>
    <definedName name="StdErr" localSheetId="21">'DOY164'!$X$10:$X$85</definedName>
    <definedName name="StdErr" localSheetId="22">'DOY167'!$X$10:$X$85</definedName>
    <definedName name="StdErr" localSheetId="23">'DOY168'!$X$10:$X$85</definedName>
    <definedName name="StdErr" localSheetId="24">'DOY169'!$X$10:$X$85</definedName>
    <definedName name="StdErr" localSheetId="25">'DOY170'!$X$10:$X$85</definedName>
    <definedName name="StdErr" localSheetId="26">'DOY171'!$X$10:$X$85</definedName>
    <definedName name="StdErr" localSheetId="27">'DOY173'!$X$10:$X$85</definedName>
    <definedName name="StdErr" localSheetId="28">'DOY174'!$X$10:$X$85</definedName>
    <definedName name="StdErr" localSheetId="29">'DOY175'!$X$10:$X$85</definedName>
    <definedName name="StdErr" localSheetId="30">'DOY176'!$X$10:$X$85</definedName>
    <definedName name="StdErr" localSheetId="31">'DOY177'!$X$10:$X$85</definedName>
    <definedName name="StdErr" localSheetId="32">'DOY178'!$X$10:$X$85</definedName>
    <definedName name="StdErr" localSheetId="33">'DOY180'!$X$10:$X$85</definedName>
    <definedName name="StdErr" localSheetId="34">'DOY181'!$X$10:$X$85</definedName>
    <definedName name="StdErr" localSheetId="35">'DOY182'!$X$10:$X$85</definedName>
    <definedName name="StdErr" localSheetId="36">'DOY183'!$X$10:$X$85</definedName>
    <definedName name="StdErr" localSheetId="37">'DOY184'!$X$10:$X$85</definedName>
    <definedName name="StdErr" localSheetId="38">'DOY185'!$X$10:$X$85</definedName>
    <definedName name="StdErr" localSheetId="39">'DOY188'!$X$10:$X$85</definedName>
    <definedName name="StdErr" localSheetId="40">'DOY189'!$X$10:$X$85</definedName>
    <definedName name="StdErr" localSheetId="41">'DOY195'!$X$10:$X$85</definedName>
    <definedName name="StdErr" localSheetId="42">'DOY196'!$X$10:$X$85</definedName>
    <definedName name="StdErr" localSheetId="43">'DOY197'!$X$10:$X$85</definedName>
    <definedName name="StdErr" localSheetId="44">'DOY198'!$X$10:$X$85</definedName>
    <definedName name="StdErr" localSheetId="45">'DOY213'!$X$10:$X$85</definedName>
    <definedName name="StdErr" localSheetId="46">'DOY216'!$X$10:$X$85</definedName>
    <definedName name="StdErr" localSheetId="47">'DOY246'!$X$10:$X$85</definedName>
    <definedName name="StdErr" localSheetId="48">'DOY247'!$X$10:$X$85</definedName>
    <definedName name="StdErr" localSheetId="49">'DOY248'!$X$10:$X$85</definedName>
    <definedName name="StdErr" localSheetId="50">'DOY251'!$X$10:$X$85</definedName>
    <definedName name="StdErr" localSheetId="51">'DOY252'!$X$10:$X$85</definedName>
    <definedName name="StdErr" localSheetId="52">'DOY253'!$X$10:$X$85</definedName>
    <definedName name="StdErr">'DOY254'!$X$10:$X$85</definedName>
    <definedName name="Time" localSheetId="2">'DOY128'!$J$10:$J$85</definedName>
    <definedName name="Time" localSheetId="3">'DOY132'!$J$10:$J$85</definedName>
    <definedName name="Time" localSheetId="4">'DOY136'!$J$10:$J$85</definedName>
    <definedName name="Time" localSheetId="5">'DOY139'!$J$10:$J$85</definedName>
    <definedName name="Time" localSheetId="6">'DOY141'!$J$10:$J$85</definedName>
    <definedName name="Time" localSheetId="7">'DOY143'!$J$10:$J$85</definedName>
    <definedName name="Time" localSheetId="8">'DOY147'!$J$10:$J$85</definedName>
    <definedName name="Time" localSheetId="9">'DOY148'!$J$10:$J$85</definedName>
    <definedName name="Time" localSheetId="10">'DOY149'!$J$10:$J$85</definedName>
    <definedName name="Time" localSheetId="11">'DOY150'!$J$10:$J$85</definedName>
    <definedName name="Time" localSheetId="12">'DOY153'!$J$10:$J$85</definedName>
    <definedName name="Time" localSheetId="13">'DOY154'!$J$10:$J$85</definedName>
    <definedName name="Time" localSheetId="14">'DOY155'!$J$10:$J$85</definedName>
    <definedName name="Time" localSheetId="15">'DOY156'!$J$10:$J$85</definedName>
    <definedName name="Time" localSheetId="16">'DOY157'!$J$10:$J$85</definedName>
    <definedName name="Time" localSheetId="17">'DOY160'!$J$10:$J$85</definedName>
    <definedName name="Time" localSheetId="18">'DOY161'!$J$10:$J$85</definedName>
    <definedName name="Time" localSheetId="19">'DOY162'!$J$10:$J$85</definedName>
    <definedName name="Time" localSheetId="20">'DOY163'!$J$10:$J$85</definedName>
    <definedName name="Time" localSheetId="21">'DOY164'!$J$10:$J$85</definedName>
    <definedName name="Time" localSheetId="22">'DOY167'!$J$10:$J$85</definedName>
    <definedName name="Time" localSheetId="23">'DOY168'!$J$10:$J$85</definedName>
    <definedName name="Time" localSheetId="24">'DOY169'!$J$10:$J$85</definedName>
    <definedName name="Time" localSheetId="25">'DOY170'!$J$10:$J$85</definedName>
    <definedName name="Time" localSheetId="26">'DOY171'!$J$10:$J$85</definedName>
    <definedName name="Time" localSheetId="27">'DOY173'!$J$10:$J$85</definedName>
    <definedName name="Time" localSheetId="28">'DOY174'!$J$10:$J$85</definedName>
    <definedName name="Time" localSheetId="29">'DOY175'!$J$10:$J$85</definedName>
    <definedName name="Time" localSheetId="30">'DOY176'!$J$10:$J$85</definedName>
    <definedName name="Time" localSheetId="31">'DOY177'!$J$10:$J$85</definedName>
    <definedName name="Time" localSheetId="32">'DOY178'!$J$10:$J$85</definedName>
    <definedName name="Time" localSheetId="33">'DOY180'!$J$10:$J$85</definedName>
    <definedName name="Time" localSheetId="34">'DOY181'!$J$10:$J$85</definedName>
    <definedName name="Time" localSheetId="35">'DOY182'!$J$10:$J$85</definedName>
    <definedName name="Time" localSheetId="36">'DOY183'!$J$10:$J$85</definedName>
    <definedName name="Time" localSheetId="37">'DOY184'!$J$10:$J$85</definedName>
    <definedName name="Time" localSheetId="38">'DOY185'!$J$10:$J$85</definedName>
    <definedName name="Time" localSheetId="39">'DOY188'!$J$10:$J$85</definedName>
    <definedName name="Time" localSheetId="40">'DOY189'!$J$10:$J$85</definedName>
    <definedName name="Time" localSheetId="41">'DOY195'!$J$10:$J$85</definedName>
    <definedName name="Time" localSheetId="42">'DOY196'!$J$10:$J$85</definedName>
    <definedName name="Time" localSheetId="43">'DOY197'!$J$10:$J$85</definedName>
    <definedName name="Time" localSheetId="44">'DOY198'!$J$10:$J$85</definedName>
    <definedName name="Time" localSheetId="45">'DOY213'!$J$10:$J$85</definedName>
    <definedName name="Time" localSheetId="46">'DOY216'!$J$10:$J$85</definedName>
    <definedName name="Time" localSheetId="47">'DOY246'!$J$10:$J$85</definedName>
    <definedName name="Time" localSheetId="48">'DOY247'!$J$10:$J$85</definedName>
    <definedName name="Time" localSheetId="49">'DOY248'!$J$10:$J$85</definedName>
    <definedName name="Time" localSheetId="50">'DOY251'!$J$10:$J$85</definedName>
    <definedName name="Time" localSheetId="51">'DOY252'!$J$10:$J$85</definedName>
    <definedName name="Time" localSheetId="52">'DOY253'!$J$10:$J$85</definedName>
    <definedName name="Time">'DOY254'!$J$10:$J$85</definedName>
    <definedName name="Trt" localSheetId="2">'DOY128'!$D$10:$D$85</definedName>
    <definedName name="Trt" localSheetId="3">'DOY132'!$D$10:$D$85</definedName>
    <definedName name="Trt" localSheetId="4">'DOY136'!$D$10:$D$85</definedName>
    <definedName name="Trt" localSheetId="5">'DOY139'!$D$10:$D$85</definedName>
    <definedName name="Trt" localSheetId="6">'DOY141'!$D$10:$D$85</definedName>
    <definedName name="Trt" localSheetId="7">'DOY143'!$D$10:$D$85</definedName>
    <definedName name="Trt" localSheetId="8">'DOY147'!$D$10:$D$85</definedName>
    <definedName name="Trt" localSheetId="9">'DOY148'!$D$10:$D$85</definedName>
    <definedName name="Trt" localSheetId="10">'DOY149'!$D$10:$D$85</definedName>
    <definedName name="Trt" localSheetId="11">'DOY150'!$D$10:$D$85</definedName>
    <definedName name="Trt" localSheetId="12">'DOY153'!$D$10:$D$85</definedName>
    <definedName name="Trt" localSheetId="13">'DOY154'!$D$10:$D$85</definedName>
    <definedName name="Trt" localSheetId="14">'DOY155'!$D$10:$D$85</definedName>
    <definedName name="Trt" localSheetId="15">'DOY156'!$D$10:$D$85</definedName>
    <definedName name="Trt" localSheetId="16">'DOY157'!$D$10:$D$85</definedName>
    <definedName name="Trt" localSheetId="17">'DOY160'!$D$10:$D$85</definedName>
    <definedName name="Trt" localSheetId="18">'DOY161'!$D$10:$D$85</definedName>
    <definedName name="Trt" localSheetId="19">'DOY162'!$D$10:$D$85</definedName>
    <definedName name="Trt" localSheetId="20">'DOY163'!$D$10:$D$85</definedName>
    <definedName name="Trt" localSheetId="21">'DOY164'!$D$10:$D$85</definedName>
    <definedName name="Trt" localSheetId="22">'DOY167'!$D$10:$D$85</definedName>
    <definedName name="Trt" localSheetId="23">'DOY168'!$D$10:$D$85</definedName>
    <definedName name="Trt" localSheetId="24">'DOY169'!$D$10:$D$85</definedName>
    <definedName name="Trt" localSheetId="25">'DOY170'!$D$10:$D$85</definedName>
    <definedName name="Trt" localSheetId="26">'DOY171'!$D$10:$D$85</definedName>
    <definedName name="Trt" localSheetId="27">'DOY173'!$D$10:$D$85</definedName>
    <definedName name="Trt" localSheetId="28">'DOY174'!$D$10:$D$85</definedName>
    <definedName name="Trt" localSheetId="29">'DOY175'!$D$10:$D$85</definedName>
    <definedName name="Trt" localSheetId="30">'DOY176'!$D$10:$D$85</definedName>
    <definedName name="Trt" localSheetId="31">'DOY177'!$D$10:$D$85</definedName>
    <definedName name="Trt" localSheetId="32">'DOY178'!$D$10:$D$85</definedName>
    <definedName name="Trt" localSheetId="33">'DOY180'!$D$10:$D$85</definedName>
    <definedName name="Trt" localSheetId="34">'DOY181'!$D$10:$D$85</definedName>
    <definedName name="Trt" localSheetId="35">'DOY182'!$D$10:$D$85</definedName>
    <definedName name="Trt" localSheetId="36">'DOY183'!$D$10:$D$85</definedName>
    <definedName name="Trt" localSheetId="37">'DOY184'!$D$10:$D$85</definedName>
    <definedName name="Trt" localSheetId="38">'DOY185'!$D$10:$D$85</definedName>
    <definedName name="Trt" localSheetId="39">'DOY188'!$D$10:$D$85</definedName>
    <definedName name="Trt" localSheetId="40">'DOY189'!$D$10:$D$85</definedName>
    <definedName name="Trt" localSheetId="41">'DOY195'!$D$10:$D$85</definedName>
    <definedName name="Trt" localSheetId="42">'DOY196'!$D$10:$D$85</definedName>
    <definedName name="Trt" localSheetId="43">'DOY197'!$D$10:$D$85</definedName>
    <definedName name="Trt" localSheetId="44">'DOY198'!$D$10:$D$85</definedName>
    <definedName name="Trt" localSheetId="45">'DOY213'!$D$10:$D$85</definedName>
    <definedName name="Trt" localSheetId="46">'DOY216'!$D$10:$D$85</definedName>
    <definedName name="Trt" localSheetId="47">'DOY246'!$D$10:$D$85</definedName>
    <definedName name="Trt" localSheetId="48">'DOY247'!$D$10:$D$85</definedName>
    <definedName name="Trt" localSheetId="49">'DOY248'!$D$10:$D$85</definedName>
    <definedName name="Trt" localSheetId="50">'DOY251'!$D$10:$D$85</definedName>
    <definedName name="Trt" localSheetId="51">'DOY252'!$D$10:$D$85</definedName>
    <definedName name="Trt" localSheetId="52">'DOY253'!$D$10:$D$85</definedName>
    <definedName name="Trt">'DOY254'!$D$10:$D$85</definedName>
    <definedName name="View" localSheetId="2">'DOY128'!$I$10:$I$85</definedName>
    <definedName name="View" localSheetId="3">'DOY132'!$I$10:$I$85</definedName>
    <definedName name="View" localSheetId="4">'DOY136'!$I$10:$I$85</definedName>
    <definedName name="View" localSheetId="5">'DOY139'!$I$10:$I$85</definedName>
    <definedName name="View" localSheetId="6">'DOY141'!$I$10:$I$85</definedName>
    <definedName name="View" localSheetId="7">'DOY143'!$I$10:$I$85</definedName>
    <definedName name="View" localSheetId="8">'DOY147'!$I$10:$I$85</definedName>
    <definedName name="View" localSheetId="9">'DOY148'!$I$10:$I$85</definedName>
    <definedName name="View" localSheetId="10">'DOY149'!$I$10:$I$85</definedName>
    <definedName name="View" localSheetId="11">'DOY150'!$I$10:$I$85</definedName>
    <definedName name="View" localSheetId="12">'DOY153'!$I$10:$I$85</definedName>
    <definedName name="View" localSheetId="13">'DOY154'!$I$10:$I$85</definedName>
    <definedName name="View" localSheetId="14">'DOY155'!$I$10:$I$85</definedName>
    <definedName name="View" localSheetId="15">'DOY156'!$I$10:$I$85</definedName>
    <definedName name="View" localSheetId="16">'DOY157'!$I$10:$I$85</definedName>
    <definedName name="View" localSheetId="17">'DOY160'!$I$10:$I$85</definedName>
    <definedName name="View" localSheetId="18">'DOY161'!$I$10:$I$85</definedName>
    <definedName name="View" localSheetId="19">'DOY162'!$I$10:$I$85</definedName>
    <definedName name="View" localSheetId="20">'DOY163'!$I$10:$I$85</definedName>
    <definedName name="View" localSheetId="21">'DOY164'!$I$10:$I$85</definedName>
    <definedName name="View" localSheetId="22">'DOY167'!$I$10:$I$85</definedName>
    <definedName name="View" localSheetId="23">'DOY168'!$I$10:$I$85</definedName>
    <definedName name="View" localSheetId="24">'DOY169'!$I$10:$I$85</definedName>
    <definedName name="View" localSheetId="25">'DOY170'!$I$10:$I$85</definedName>
    <definedName name="View" localSheetId="26">'DOY171'!$I$10:$I$85</definedName>
    <definedName name="View" localSheetId="27">'DOY173'!$I$10:$I$85</definedName>
    <definedName name="View" localSheetId="28">'DOY174'!$I$10:$I$85</definedName>
    <definedName name="View" localSheetId="29">'DOY175'!$I$10:$I$85</definedName>
    <definedName name="View" localSheetId="30">'DOY176'!$I$10:$I$85</definedName>
    <definedName name="View" localSheetId="31">'DOY177'!$I$10:$I$85</definedName>
    <definedName name="View" localSheetId="32">'DOY178'!$I$10:$I$85</definedName>
    <definedName name="View" localSheetId="33">'DOY180'!$I$10:$I$85</definedName>
    <definedName name="View" localSheetId="34">'DOY181'!$I$10:$I$85</definedName>
    <definedName name="View" localSheetId="35">'DOY182'!$I$10:$I$85</definedName>
    <definedName name="View" localSheetId="36">'DOY183'!$I$10:$I$85</definedName>
    <definedName name="View" localSheetId="37">'DOY184'!$I$10:$I$85</definedName>
    <definedName name="View" localSheetId="38">'DOY185'!$I$10:$I$85</definedName>
    <definedName name="View" localSheetId="39">'DOY188'!$I$10:$I$85</definedName>
    <definedName name="View" localSheetId="40">'DOY189'!$I$10:$I$85</definedName>
    <definedName name="View" localSheetId="41">'DOY195'!$I$10:$I$85</definedName>
    <definedName name="View" localSheetId="42">'DOY196'!$I$10:$I$85</definedName>
    <definedName name="View" localSheetId="43">'DOY197'!$I$10:$I$85</definedName>
    <definedName name="View" localSheetId="44">'DOY198'!$I$10:$I$85</definedName>
    <definedName name="View" localSheetId="45">'DOY213'!$I$10:$I$85</definedName>
    <definedName name="View" localSheetId="46">'DOY216'!$I$10:$I$85</definedName>
    <definedName name="View" localSheetId="47">'DOY246'!$I$10:$I$85</definedName>
    <definedName name="View" localSheetId="48">'DOY247'!$I$10:$I$85</definedName>
    <definedName name="View" localSheetId="49">'DOY248'!$I$10:$I$85</definedName>
    <definedName name="View" localSheetId="50">'DOY251'!$I$10:$I$85</definedName>
    <definedName name="View" localSheetId="51">'DOY252'!$I$10:$I$85</definedName>
    <definedName name="View" localSheetId="52">'DOY253'!$I$10:$I$85</definedName>
    <definedName name="View">'DOY254'!$I$10:$I$85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5" l="1"/>
  <c r="P2" i="55"/>
  <c r="J3" i="55"/>
  <c r="J4" i="55"/>
  <c r="M4" i="55"/>
  <c r="AI4" i="55"/>
  <c r="J5" i="55"/>
  <c r="J6" i="55"/>
  <c r="B10" i="55"/>
  <c r="C10" i="55"/>
  <c r="D10" i="55"/>
  <c r="E10" i="55"/>
  <c r="F10" i="55"/>
  <c r="G10" i="55"/>
  <c r="H10" i="55"/>
  <c r="I10" i="55"/>
  <c r="J10" i="55"/>
  <c r="K10" i="55"/>
  <c r="L10" i="55"/>
  <c r="M10" i="55"/>
  <c r="N10" i="55"/>
  <c r="O10" i="55"/>
  <c r="P10" i="55"/>
  <c r="Q10" i="55"/>
  <c r="R10" i="55"/>
  <c r="S10" i="55"/>
  <c r="T10" i="55"/>
  <c r="U10" i="55"/>
  <c r="V10" i="55"/>
  <c r="W10" i="55"/>
  <c r="X10" i="55"/>
  <c r="Y10" i="55"/>
  <c r="Z10" i="55"/>
  <c r="AA10" i="55"/>
  <c r="AB10" i="55"/>
  <c r="AC10" i="55"/>
  <c r="AD10" i="55"/>
  <c r="AE10" i="55"/>
  <c r="B11" i="55"/>
  <c r="C11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Q11" i="55"/>
  <c r="R11" i="55"/>
  <c r="S11" i="55"/>
  <c r="T11" i="55"/>
  <c r="U11" i="55"/>
  <c r="V11" i="55"/>
  <c r="W11" i="55"/>
  <c r="X11" i="55"/>
  <c r="Y11" i="55"/>
  <c r="Z11" i="55"/>
  <c r="AA11" i="55"/>
  <c r="AB11" i="55"/>
  <c r="AC11" i="55"/>
  <c r="AD11" i="55"/>
  <c r="AE11" i="55"/>
  <c r="B12" i="55"/>
  <c r="C12" i="55"/>
  <c r="D12" i="55"/>
  <c r="E12" i="55"/>
  <c r="F12" i="55"/>
  <c r="G12" i="55"/>
  <c r="H12" i="55"/>
  <c r="I12" i="55"/>
  <c r="J12" i="55"/>
  <c r="K12" i="55"/>
  <c r="L12" i="55"/>
  <c r="M12" i="55"/>
  <c r="N12" i="55"/>
  <c r="O12" i="55"/>
  <c r="P12" i="55"/>
  <c r="Q12" i="55"/>
  <c r="R12" i="55"/>
  <c r="S12" i="55"/>
  <c r="T12" i="55"/>
  <c r="U12" i="55"/>
  <c r="V12" i="55"/>
  <c r="W12" i="55"/>
  <c r="X12" i="55"/>
  <c r="Y12" i="55"/>
  <c r="Z12" i="55"/>
  <c r="AA12" i="55"/>
  <c r="AB12" i="55"/>
  <c r="AC12" i="55"/>
  <c r="AD12" i="55"/>
  <c r="AE12" i="55"/>
  <c r="B13" i="55"/>
  <c r="C13" i="55"/>
  <c r="D13" i="55"/>
  <c r="E13" i="55"/>
  <c r="F13" i="55"/>
  <c r="G13" i="55"/>
  <c r="H13" i="55"/>
  <c r="I13" i="55"/>
  <c r="J13" i="55"/>
  <c r="K13" i="55"/>
  <c r="L13" i="55"/>
  <c r="M13" i="55"/>
  <c r="N13" i="55"/>
  <c r="O13" i="55"/>
  <c r="P13" i="55"/>
  <c r="Q13" i="55"/>
  <c r="R13" i="55"/>
  <c r="S13" i="55"/>
  <c r="T13" i="55"/>
  <c r="U13" i="55"/>
  <c r="V13" i="55"/>
  <c r="W13" i="55"/>
  <c r="X13" i="55"/>
  <c r="Y13" i="55"/>
  <c r="Z13" i="55"/>
  <c r="AA13" i="55"/>
  <c r="AB13" i="55"/>
  <c r="AC13" i="55"/>
  <c r="AD13" i="55"/>
  <c r="AE13" i="55"/>
  <c r="B14" i="55"/>
  <c r="C14" i="55"/>
  <c r="D14" i="55"/>
  <c r="E14" i="55"/>
  <c r="F14" i="55"/>
  <c r="G14" i="55"/>
  <c r="H14" i="55"/>
  <c r="I14" i="55"/>
  <c r="J14" i="55"/>
  <c r="K14" i="55"/>
  <c r="L14" i="55"/>
  <c r="M14" i="55"/>
  <c r="N14" i="55"/>
  <c r="O14" i="55"/>
  <c r="P14" i="55"/>
  <c r="Q14" i="55"/>
  <c r="R14" i="55"/>
  <c r="S14" i="55"/>
  <c r="T14" i="55"/>
  <c r="U14" i="55"/>
  <c r="V14" i="55"/>
  <c r="W14" i="55"/>
  <c r="X14" i="55"/>
  <c r="Y14" i="55"/>
  <c r="Z14" i="55"/>
  <c r="AA14" i="55"/>
  <c r="AB14" i="55"/>
  <c r="AC14" i="55"/>
  <c r="AD14" i="55"/>
  <c r="AE14" i="55"/>
  <c r="B15" i="55"/>
  <c r="C15" i="55"/>
  <c r="D15" i="55"/>
  <c r="E15" i="55"/>
  <c r="F15" i="55"/>
  <c r="G15" i="55"/>
  <c r="H15" i="55"/>
  <c r="I15" i="55"/>
  <c r="J15" i="55"/>
  <c r="K15" i="55"/>
  <c r="L15" i="55"/>
  <c r="M15" i="55"/>
  <c r="N15" i="55"/>
  <c r="O15" i="55"/>
  <c r="P15" i="55"/>
  <c r="Q15" i="55"/>
  <c r="R15" i="55"/>
  <c r="S15" i="55"/>
  <c r="T15" i="55"/>
  <c r="U15" i="55"/>
  <c r="V15" i="55"/>
  <c r="W15" i="55"/>
  <c r="X15" i="55"/>
  <c r="Y15" i="55"/>
  <c r="Z15" i="55"/>
  <c r="AA15" i="55"/>
  <c r="AB15" i="55"/>
  <c r="AC15" i="55"/>
  <c r="AD15" i="55"/>
  <c r="AE15" i="55"/>
  <c r="B16" i="55"/>
  <c r="C16" i="55"/>
  <c r="D16" i="55"/>
  <c r="E16" i="55"/>
  <c r="F16" i="55"/>
  <c r="G16" i="55"/>
  <c r="H16" i="55"/>
  <c r="I16" i="55"/>
  <c r="J16" i="55"/>
  <c r="K16" i="55"/>
  <c r="L16" i="55"/>
  <c r="M16" i="55"/>
  <c r="N16" i="55"/>
  <c r="O16" i="55"/>
  <c r="P16" i="55"/>
  <c r="Q16" i="55"/>
  <c r="R16" i="55"/>
  <c r="S16" i="55"/>
  <c r="T16" i="55"/>
  <c r="U16" i="55"/>
  <c r="V16" i="55"/>
  <c r="W16" i="55"/>
  <c r="X16" i="55"/>
  <c r="Y16" i="55"/>
  <c r="Z16" i="55"/>
  <c r="AA16" i="55"/>
  <c r="AB16" i="55"/>
  <c r="AC16" i="55"/>
  <c r="AD16" i="55"/>
  <c r="AE16" i="55"/>
  <c r="B17" i="55"/>
  <c r="C17" i="55"/>
  <c r="D17" i="55"/>
  <c r="E17" i="55"/>
  <c r="F17" i="55"/>
  <c r="G17" i="55"/>
  <c r="H17" i="55"/>
  <c r="I17" i="55"/>
  <c r="J17" i="55"/>
  <c r="K17" i="55"/>
  <c r="L17" i="55"/>
  <c r="M17" i="55"/>
  <c r="N17" i="55"/>
  <c r="O17" i="55"/>
  <c r="P17" i="55"/>
  <c r="Q17" i="55"/>
  <c r="R17" i="55"/>
  <c r="S17" i="55"/>
  <c r="T17" i="55"/>
  <c r="U17" i="55"/>
  <c r="V17" i="55"/>
  <c r="W17" i="55"/>
  <c r="X17" i="55"/>
  <c r="Y17" i="55"/>
  <c r="Z17" i="55"/>
  <c r="AA17" i="55"/>
  <c r="AB17" i="55"/>
  <c r="AC17" i="55"/>
  <c r="AD17" i="55"/>
  <c r="AE17" i="55"/>
  <c r="B18" i="55"/>
  <c r="C18" i="55"/>
  <c r="D18" i="55"/>
  <c r="E18" i="55"/>
  <c r="F18" i="55"/>
  <c r="G18" i="55"/>
  <c r="H18" i="55"/>
  <c r="I18" i="55"/>
  <c r="J18" i="55"/>
  <c r="K18" i="55"/>
  <c r="L18" i="55"/>
  <c r="M18" i="55"/>
  <c r="N18" i="55"/>
  <c r="O18" i="55"/>
  <c r="P18" i="55"/>
  <c r="Q18" i="55"/>
  <c r="R18" i="55"/>
  <c r="S18" i="55"/>
  <c r="T18" i="55"/>
  <c r="U18" i="55"/>
  <c r="V18" i="55"/>
  <c r="W18" i="55"/>
  <c r="X18" i="55"/>
  <c r="Y18" i="55"/>
  <c r="Z18" i="55"/>
  <c r="AA18" i="55"/>
  <c r="AB18" i="55"/>
  <c r="AC18" i="55"/>
  <c r="AD18" i="55"/>
  <c r="AE18" i="55"/>
  <c r="B19" i="55"/>
  <c r="C19" i="55" s="1"/>
  <c r="D19" i="55"/>
  <c r="E19" i="55"/>
  <c r="F19" i="55"/>
  <c r="G19" i="55"/>
  <c r="H19" i="55"/>
  <c r="I19" i="55"/>
  <c r="J19" i="55"/>
  <c r="K19" i="55"/>
  <c r="L19" i="55"/>
  <c r="M19" i="55"/>
  <c r="N19" i="55"/>
  <c r="O19" i="55"/>
  <c r="P19" i="55"/>
  <c r="Q19" i="55"/>
  <c r="R19" i="55"/>
  <c r="S19" i="55"/>
  <c r="T19" i="55"/>
  <c r="U19" i="55"/>
  <c r="V19" i="55"/>
  <c r="W19" i="55"/>
  <c r="X19" i="55"/>
  <c r="Y19" i="55"/>
  <c r="Z19" i="55"/>
  <c r="AA19" i="55"/>
  <c r="AB19" i="55"/>
  <c r="AC19" i="55"/>
  <c r="AD19" i="55"/>
  <c r="AE19" i="55"/>
  <c r="B20" i="55"/>
  <c r="C20" i="55"/>
  <c r="D20" i="55"/>
  <c r="E20" i="55"/>
  <c r="F20" i="55"/>
  <c r="G20" i="55"/>
  <c r="H20" i="55"/>
  <c r="I20" i="55"/>
  <c r="J20" i="55"/>
  <c r="K20" i="55"/>
  <c r="L20" i="55"/>
  <c r="M20" i="55"/>
  <c r="N20" i="55"/>
  <c r="O20" i="55"/>
  <c r="P20" i="55"/>
  <c r="Q20" i="55"/>
  <c r="R20" i="55"/>
  <c r="S20" i="55"/>
  <c r="T20" i="55"/>
  <c r="U20" i="55"/>
  <c r="V20" i="55"/>
  <c r="W20" i="55"/>
  <c r="X20" i="55"/>
  <c r="Y20" i="55"/>
  <c r="Z20" i="55"/>
  <c r="AA20" i="55"/>
  <c r="AB20" i="55"/>
  <c r="AC20" i="55"/>
  <c r="AD20" i="55"/>
  <c r="AE20" i="55"/>
  <c r="B21" i="55"/>
  <c r="C21" i="55"/>
  <c r="D21" i="55"/>
  <c r="E21" i="55"/>
  <c r="F21" i="55"/>
  <c r="G21" i="55"/>
  <c r="H21" i="55"/>
  <c r="I21" i="55"/>
  <c r="J21" i="55"/>
  <c r="K21" i="55"/>
  <c r="L21" i="55"/>
  <c r="M21" i="55"/>
  <c r="N21" i="55"/>
  <c r="O21" i="55"/>
  <c r="P21" i="55"/>
  <c r="Q21" i="55"/>
  <c r="R21" i="55"/>
  <c r="S21" i="55"/>
  <c r="T21" i="55"/>
  <c r="U21" i="55"/>
  <c r="V21" i="55"/>
  <c r="W21" i="55"/>
  <c r="X21" i="55"/>
  <c r="Y21" i="55"/>
  <c r="Z21" i="55"/>
  <c r="AA21" i="55"/>
  <c r="AB21" i="55"/>
  <c r="AC21" i="55"/>
  <c r="AD21" i="55"/>
  <c r="AE21" i="55"/>
  <c r="B22" i="55"/>
  <c r="C22" i="55"/>
  <c r="D22" i="55"/>
  <c r="E22" i="55"/>
  <c r="F22" i="55"/>
  <c r="G22" i="55"/>
  <c r="H22" i="55"/>
  <c r="I22" i="55"/>
  <c r="J22" i="55"/>
  <c r="K22" i="55"/>
  <c r="L22" i="55"/>
  <c r="M22" i="55"/>
  <c r="N22" i="55"/>
  <c r="O22" i="55"/>
  <c r="P22" i="55"/>
  <c r="Q22" i="55"/>
  <c r="R22" i="55"/>
  <c r="S22" i="55"/>
  <c r="T22" i="55"/>
  <c r="U22" i="55"/>
  <c r="V22" i="55"/>
  <c r="W22" i="55"/>
  <c r="X22" i="55"/>
  <c r="Y22" i="55"/>
  <c r="Z22" i="55"/>
  <c r="AA22" i="55"/>
  <c r="AB22" i="55"/>
  <c r="AC22" i="55"/>
  <c r="AD22" i="55"/>
  <c r="AE22" i="55"/>
  <c r="B23" i="55"/>
  <c r="C23" i="55"/>
  <c r="D23" i="55"/>
  <c r="E23" i="55"/>
  <c r="F23" i="55"/>
  <c r="G23" i="55"/>
  <c r="H23" i="55"/>
  <c r="I23" i="55"/>
  <c r="J23" i="55"/>
  <c r="K23" i="55"/>
  <c r="L23" i="55"/>
  <c r="M23" i="55"/>
  <c r="N23" i="55"/>
  <c r="O23" i="55"/>
  <c r="P23" i="55"/>
  <c r="Q23" i="55"/>
  <c r="R23" i="55"/>
  <c r="S23" i="55"/>
  <c r="T23" i="55"/>
  <c r="U23" i="55"/>
  <c r="V23" i="55"/>
  <c r="W23" i="55"/>
  <c r="X23" i="55"/>
  <c r="Y23" i="55"/>
  <c r="Z23" i="55"/>
  <c r="AA23" i="55"/>
  <c r="AB23" i="55"/>
  <c r="AC23" i="55"/>
  <c r="AD23" i="55"/>
  <c r="AE23" i="55"/>
  <c r="B24" i="55"/>
  <c r="C24" i="55"/>
  <c r="D24" i="55"/>
  <c r="E24" i="55"/>
  <c r="F24" i="55"/>
  <c r="G24" i="55"/>
  <c r="H24" i="55"/>
  <c r="I24" i="55"/>
  <c r="J24" i="55"/>
  <c r="K24" i="55"/>
  <c r="L24" i="55"/>
  <c r="M24" i="55"/>
  <c r="N24" i="55"/>
  <c r="O24" i="55"/>
  <c r="P24" i="55"/>
  <c r="Q24" i="55"/>
  <c r="R24" i="55"/>
  <c r="S24" i="55"/>
  <c r="T24" i="55"/>
  <c r="U24" i="55"/>
  <c r="V24" i="55"/>
  <c r="W24" i="55"/>
  <c r="X24" i="55"/>
  <c r="Y24" i="55"/>
  <c r="Z24" i="55"/>
  <c r="AA24" i="55"/>
  <c r="AB24" i="55"/>
  <c r="AC24" i="55"/>
  <c r="AD24" i="55"/>
  <c r="AE24" i="55"/>
  <c r="B25" i="55"/>
  <c r="C25" i="55"/>
  <c r="D25" i="55"/>
  <c r="E25" i="55"/>
  <c r="F25" i="55"/>
  <c r="G25" i="55"/>
  <c r="H25" i="55"/>
  <c r="I25" i="55"/>
  <c r="J25" i="55"/>
  <c r="K25" i="55"/>
  <c r="L25" i="55"/>
  <c r="M25" i="55"/>
  <c r="N25" i="55"/>
  <c r="O25" i="55"/>
  <c r="P25" i="55"/>
  <c r="Q25" i="55"/>
  <c r="R25" i="55"/>
  <c r="S25" i="55"/>
  <c r="T25" i="55"/>
  <c r="U25" i="55"/>
  <c r="V25" i="55"/>
  <c r="W25" i="55"/>
  <c r="X25" i="55"/>
  <c r="Y25" i="55"/>
  <c r="Z25" i="55"/>
  <c r="AA25" i="55"/>
  <c r="AB25" i="55"/>
  <c r="AC25" i="55"/>
  <c r="AD25" i="55"/>
  <c r="AE25" i="55"/>
  <c r="B26" i="55"/>
  <c r="C26" i="55"/>
  <c r="D26" i="55"/>
  <c r="E26" i="55"/>
  <c r="F26" i="55"/>
  <c r="G26" i="55"/>
  <c r="H26" i="55"/>
  <c r="I26" i="55"/>
  <c r="J26" i="55"/>
  <c r="K26" i="55"/>
  <c r="L26" i="55"/>
  <c r="M26" i="55"/>
  <c r="N26" i="55"/>
  <c r="O26" i="55"/>
  <c r="P26" i="55"/>
  <c r="Q26" i="55"/>
  <c r="R26" i="55"/>
  <c r="S26" i="55"/>
  <c r="T26" i="55"/>
  <c r="U26" i="55"/>
  <c r="V26" i="55"/>
  <c r="W26" i="55"/>
  <c r="X26" i="55"/>
  <c r="Y26" i="55"/>
  <c r="Z26" i="55"/>
  <c r="AA26" i="55"/>
  <c r="AB26" i="55"/>
  <c r="AC26" i="55"/>
  <c r="AD26" i="55"/>
  <c r="AE26" i="55"/>
  <c r="B27" i="55"/>
  <c r="C27" i="55" s="1"/>
  <c r="D27" i="55"/>
  <c r="E27" i="55"/>
  <c r="F27" i="55"/>
  <c r="G27" i="55"/>
  <c r="H27" i="55"/>
  <c r="I27" i="55"/>
  <c r="J27" i="55"/>
  <c r="K27" i="55"/>
  <c r="L27" i="55"/>
  <c r="M27" i="55"/>
  <c r="N27" i="55"/>
  <c r="O27" i="55"/>
  <c r="P27" i="55"/>
  <c r="Q27" i="55"/>
  <c r="R27" i="55"/>
  <c r="S27" i="55"/>
  <c r="T27" i="55"/>
  <c r="U27" i="55"/>
  <c r="V27" i="55"/>
  <c r="W27" i="55"/>
  <c r="X27" i="55"/>
  <c r="Y27" i="55"/>
  <c r="Z27" i="55"/>
  <c r="AA27" i="55"/>
  <c r="AB27" i="55"/>
  <c r="AC27" i="55"/>
  <c r="AD27" i="55"/>
  <c r="AE27" i="55"/>
  <c r="B28" i="55"/>
  <c r="C28" i="55"/>
  <c r="D28" i="55"/>
  <c r="E28" i="55"/>
  <c r="F28" i="55"/>
  <c r="G28" i="55"/>
  <c r="H28" i="55"/>
  <c r="I28" i="55"/>
  <c r="J28" i="55"/>
  <c r="K28" i="55"/>
  <c r="L28" i="55"/>
  <c r="M28" i="55"/>
  <c r="N28" i="55"/>
  <c r="O28" i="55"/>
  <c r="P28" i="55"/>
  <c r="Q28" i="55"/>
  <c r="R28" i="55"/>
  <c r="S28" i="55"/>
  <c r="T28" i="55"/>
  <c r="U28" i="55"/>
  <c r="V28" i="55"/>
  <c r="W28" i="55"/>
  <c r="X28" i="55"/>
  <c r="Y28" i="55"/>
  <c r="Z28" i="55"/>
  <c r="AA28" i="55"/>
  <c r="AB28" i="55"/>
  <c r="AC28" i="55"/>
  <c r="AD28" i="55"/>
  <c r="AE28" i="55"/>
  <c r="B29" i="55"/>
  <c r="C29" i="55"/>
  <c r="D29" i="55"/>
  <c r="E29" i="55"/>
  <c r="F29" i="55"/>
  <c r="G29" i="55"/>
  <c r="H29" i="55"/>
  <c r="I29" i="55"/>
  <c r="J29" i="55"/>
  <c r="K29" i="55"/>
  <c r="L29" i="55"/>
  <c r="M29" i="55"/>
  <c r="N29" i="55"/>
  <c r="O29" i="55"/>
  <c r="P29" i="55"/>
  <c r="Q29" i="55"/>
  <c r="R29" i="55"/>
  <c r="S29" i="55"/>
  <c r="T29" i="55"/>
  <c r="U29" i="55"/>
  <c r="V29" i="55"/>
  <c r="W29" i="55"/>
  <c r="X29" i="55"/>
  <c r="Y29" i="55"/>
  <c r="Z29" i="55"/>
  <c r="AA29" i="55"/>
  <c r="AB29" i="55"/>
  <c r="AC29" i="55"/>
  <c r="AD29" i="55"/>
  <c r="AE29" i="55"/>
  <c r="B30" i="55"/>
  <c r="C30" i="55"/>
  <c r="D30" i="55"/>
  <c r="E30" i="55"/>
  <c r="F30" i="55"/>
  <c r="G30" i="55"/>
  <c r="H30" i="55"/>
  <c r="I30" i="55"/>
  <c r="J30" i="55"/>
  <c r="K30" i="55"/>
  <c r="L30" i="55"/>
  <c r="M30" i="55"/>
  <c r="N30" i="55"/>
  <c r="O30" i="55"/>
  <c r="P30" i="55"/>
  <c r="Q30" i="55"/>
  <c r="R30" i="55"/>
  <c r="S30" i="55"/>
  <c r="T30" i="55"/>
  <c r="U30" i="55"/>
  <c r="V30" i="55"/>
  <c r="W30" i="55"/>
  <c r="X30" i="55"/>
  <c r="Y30" i="55"/>
  <c r="Z30" i="55"/>
  <c r="AA30" i="55"/>
  <c r="AB30" i="55"/>
  <c r="AC30" i="55"/>
  <c r="AD30" i="55"/>
  <c r="AE30" i="55"/>
  <c r="B31" i="55"/>
  <c r="C31" i="55"/>
  <c r="D31" i="55"/>
  <c r="E31" i="55"/>
  <c r="F31" i="55"/>
  <c r="G31" i="55"/>
  <c r="H31" i="55"/>
  <c r="I31" i="55"/>
  <c r="J31" i="55"/>
  <c r="K31" i="55"/>
  <c r="L31" i="55"/>
  <c r="M31" i="55"/>
  <c r="N31" i="55"/>
  <c r="O31" i="55"/>
  <c r="P31" i="55"/>
  <c r="Q31" i="55"/>
  <c r="R31" i="55"/>
  <c r="S31" i="55"/>
  <c r="T31" i="55"/>
  <c r="U31" i="55"/>
  <c r="V31" i="55"/>
  <c r="W31" i="55"/>
  <c r="X31" i="55"/>
  <c r="Y31" i="55"/>
  <c r="Z31" i="55"/>
  <c r="AA31" i="55"/>
  <c r="AB31" i="55"/>
  <c r="AC31" i="55"/>
  <c r="AD31" i="55"/>
  <c r="AE31" i="55"/>
  <c r="B32" i="55"/>
  <c r="C32" i="55"/>
  <c r="D32" i="55"/>
  <c r="E32" i="55"/>
  <c r="F32" i="55"/>
  <c r="G32" i="55"/>
  <c r="H32" i="55"/>
  <c r="I32" i="55"/>
  <c r="J32" i="55"/>
  <c r="K32" i="55"/>
  <c r="L32" i="55"/>
  <c r="M32" i="55"/>
  <c r="N32" i="55"/>
  <c r="O32" i="55"/>
  <c r="P32" i="55"/>
  <c r="Q32" i="55"/>
  <c r="R32" i="55"/>
  <c r="S32" i="55"/>
  <c r="T32" i="55"/>
  <c r="U32" i="55"/>
  <c r="V32" i="55"/>
  <c r="W32" i="55"/>
  <c r="X32" i="55"/>
  <c r="Y32" i="55"/>
  <c r="Z32" i="55"/>
  <c r="AA32" i="55"/>
  <c r="AB32" i="55"/>
  <c r="AC32" i="55"/>
  <c r="AD32" i="55"/>
  <c r="AE32" i="55"/>
  <c r="B33" i="55"/>
  <c r="C33" i="55"/>
  <c r="D33" i="55"/>
  <c r="E33" i="55"/>
  <c r="F33" i="55"/>
  <c r="G33" i="55"/>
  <c r="H33" i="55"/>
  <c r="I33" i="55"/>
  <c r="J33" i="55"/>
  <c r="K33" i="55"/>
  <c r="L33" i="55"/>
  <c r="M33" i="55"/>
  <c r="N33" i="55"/>
  <c r="O33" i="55"/>
  <c r="P33" i="55"/>
  <c r="Q33" i="55"/>
  <c r="R33" i="55"/>
  <c r="S33" i="55"/>
  <c r="T33" i="55"/>
  <c r="U33" i="55"/>
  <c r="V33" i="55"/>
  <c r="W33" i="55"/>
  <c r="X33" i="55"/>
  <c r="Y33" i="55"/>
  <c r="Z33" i="55"/>
  <c r="AA33" i="55"/>
  <c r="AB33" i="55"/>
  <c r="AC33" i="55"/>
  <c r="AD33" i="55"/>
  <c r="AE33" i="55"/>
  <c r="B34" i="55"/>
  <c r="C34" i="55"/>
  <c r="D34" i="55"/>
  <c r="E34" i="55"/>
  <c r="F34" i="55"/>
  <c r="G34" i="55"/>
  <c r="H34" i="55"/>
  <c r="I34" i="55"/>
  <c r="J34" i="55"/>
  <c r="K34" i="55"/>
  <c r="L34" i="55"/>
  <c r="M34" i="55"/>
  <c r="N34" i="55"/>
  <c r="O34" i="55"/>
  <c r="P34" i="55"/>
  <c r="Q34" i="55"/>
  <c r="R34" i="55"/>
  <c r="S34" i="55"/>
  <c r="T34" i="55"/>
  <c r="U34" i="55"/>
  <c r="V34" i="55"/>
  <c r="W34" i="55"/>
  <c r="X34" i="55"/>
  <c r="Y34" i="55"/>
  <c r="Z34" i="55"/>
  <c r="AA34" i="55"/>
  <c r="AB34" i="55"/>
  <c r="AC34" i="55"/>
  <c r="AD34" i="55"/>
  <c r="AE34" i="55"/>
  <c r="B35" i="55"/>
  <c r="C35" i="55"/>
  <c r="D35" i="55"/>
  <c r="E35" i="55"/>
  <c r="F35" i="55"/>
  <c r="G35" i="55"/>
  <c r="H35" i="55"/>
  <c r="I35" i="55"/>
  <c r="J35" i="55"/>
  <c r="K35" i="55"/>
  <c r="L35" i="55"/>
  <c r="M35" i="55"/>
  <c r="N35" i="55"/>
  <c r="O35" i="55"/>
  <c r="P35" i="55"/>
  <c r="Q35" i="55"/>
  <c r="R35" i="55"/>
  <c r="S35" i="55"/>
  <c r="T35" i="55"/>
  <c r="U35" i="55"/>
  <c r="V35" i="55"/>
  <c r="W35" i="55"/>
  <c r="X35" i="55"/>
  <c r="Y35" i="55"/>
  <c r="Z35" i="55"/>
  <c r="AA35" i="55"/>
  <c r="AB35" i="55"/>
  <c r="AC35" i="55"/>
  <c r="AD35" i="55"/>
  <c r="AE35" i="55"/>
  <c r="B36" i="55"/>
  <c r="C36" i="55"/>
  <c r="D36" i="55"/>
  <c r="E36" i="55"/>
  <c r="F36" i="55"/>
  <c r="G36" i="55"/>
  <c r="H36" i="55"/>
  <c r="I36" i="55"/>
  <c r="J36" i="55"/>
  <c r="K36" i="55"/>
  <c r="L36" i="55"/>
  <c r="M36" i="55"/>
  <c r="N36" i="55"/>
  <c r="O36" i="55"/>
  <c r="P36" i="55"/>
  <c r="Q36" i="55"/>
  <c r="R36" i="55"/>
  <c r="S36" i="55"/>
  <c r="T36" i="55"/>
  <c r="U36" i="55"/>
  <c r="V36" i="55"/>
  <c r="W36" i="55"/>
  <c r="X36" i="55"/>
  <c r="Y36" i="55"/>
  <c r="Z36" i="55"/>
  <c r="AA36" i="55"/>
  <c r="AB36" i="55"/>
  <c r="AC36" i="55"/>
  <c r="AD36" i="55"/>
  <c r="AE36" i="55"/>
  <c r="B37" i="55"/>
  <c r="C37" i="55"/>
  <c r="D37" i="55"/>
  <c r="E37" i="55"/>
  <c r="F37" i="55"/>
  <c r="G37" i="55"/>
  <c r="H37" i="55"/>
  <c r="I37" i="55"/>
  <c r="J37" i="55"/>
  <c r="K37" i="55"/>
  <c r="L37" i="55"/>
  <c r="M37" i="55"/>
  <c r="N37" i="55"/>
  <c r="O37" i="55"/>
  <c r="P37" i="55"/>
  <c r="Q37" i="55"/>
  <c r="R37" i="55"/>
  <c r="S37" i="55"/>
  <c r="T37" i="55"/>
  <c r="U37" i="55"/>
  <c r="V37" i="55"/>
  <c r="W37" i="55"/>
  <c r="X37" i="55"/>
  <c r="Y37" i="55"/>
  <c r="Z37" i="55"/>
  <c r="AA37" i="55"/>
  <c r="AB37" i="55"/>
  <c r="AC37" i="55"/>
  <c r="AD37" i="55"/>
  <c r="AE37" i="55"/>
  <c r="B38" i="55"/>
  <c r="C38" i="55"/>
  <c r="D38" i="55"/>
  <c r="E38" i="55"/>
  <c r="F38" i="55"/>
  <c r="G38" i="55"/>
  <c r="H38" i="55"/>
  <c r="I38" i="55"/>
  <c r="J38" i="55"/>
  <c r="K38" i="55"/>
  <c r="L38" i="55"/>
  <c r="M38" i="55"/>
  <c r="N38" i="55"/>
  <c r="O38" i="55"/>
  <c r="P38" i="55"/>
  <c r="Q38" i="55"/>
  <c r="R38" i="55"/>
  <c r="S38" i="55"/>
  <c r="T38" i="55"/>
  <c r="U38" i="55"/>
  <c r="V38" i="55"/>
  <c r="W38" i="55"/>
  <c r="X38" i="55"/>
  <c r="Y38" i="55"/>
  <c r="Z38" i="55"/>
  <c r="AA38" i="55"/>
  <c r="AB38" i="55"/>
  <c r="AC38" i="55"/>
  <c r="AD38" i="55"/>
  <c r="AE38" i="55"/>
  <c r="B39" i="55"/>
  <c r="C39" i="55"/>
  <c r="D39" i="55"/>
  <c r="E39" i="55"/>
  <c r="F39" i="55"/>
  <c r="G39" i="55"/>
  <c r="H39" i="55"/>
  <c r="I39" i="55"/>
  <c r="J39" i="55"/>
  <c r="K39" i="55"/>
  <c r="L39" i="55"/>
  <c r="M39" i="55"/>
  <c r="N39" i="55"/>
  <c r="O39" i="55"/>
  <c r="P39" i="55"/>
  <c r="Q39" i="55"/>
  <c r="R39" i="55"/>
  <c r="S39" i="55"/>
  <c r="T39" i="55"/>
  <c r="U39" i="55"/>
  <c r="V39" i="55"/>
  <c r="W39" i="55"/>
  <c r="X39" i="55"/>
  <c r="Y39" i="55"/>
  <c r="Z39" i="55"/>
  <c r="AA39" i="55"/>
  <c r="AB39" i="55"/>
  <c r="AC39" i="55"/>
  <c r="AD39" i="55"/>
  <c r="AE39" i="55"/>
  <c r="B40" i="55"/>
  <c r="C40" i="55"/>
  <c r="D40" i="55"/>
  <c r="E40" i="55"/>
  <c r="F40" i="55"/>
  <c r="G40" i="55"/>
  <c r="H40" i="55"/>
  <c r="I40" i="55"/>
  <c r="J40" i="55"/>
  <c r="K40" i="55"/>
  <c r="L40" i="55"/>
  <c r="M40" i="55"/>
  <c r="N40" i="55"/>
  <c r="O40" i="55"/>
  <c r="P40" i="55"/>
  <c r="Q40" i="55"/>
  <c r="R40" i="55"/>
  <c r="S40" i="55"/>
  <c r="T40" i="55"/>
  <c r="U40" i="55"/>
  <c r="V40" i="55"/>
  <c r="W40" i="55" s="1"/>
  <c r="X40" i="55"/>
  <c r="Y40" i="55"/>
  <c r="Z40" i="55"/>
  <c r="AA40" i="55"/>
  <c r="AB40" i="55"/>
  <c r="AC40" i="55"/>
  <c r="AD40" i="55"/>
  <c r="AE40" i="55"/>
  <c r="B41" i="55"/>
  <c r="C41" i="55"/>
  <c r="D41" i="55"/>
  <c r="E41" i="55"/>
  <c r="F41" i="55"/>
  <c r="G41" i="55"/>
  <c r="H41" i="55"/>
  <c r="I41" i="55"/>
  <c r="J41" i="55"/>
  <c r="K41" i="55"/>
  <c r="L41" i="55"/>
  <c r="M41" i="55"/>
  <c r="N41" i="55"/>
  <c r="O41" i="55"/>
  <c r="P41" i="55"/>
  <c r="Q41" i="55"/>
  <c r="R41" i="55"/>
  <c r="S41" i="55"/>
  <c r="T41" i="55"/>
  <c r="U41" i="55"/>
  <c r="V41" i="55"/>
  <c r="W41" i="55"/>
  <c r="X41" i="55"/>
  <c r="Y41" i="55"/>
  <c r="Z41" i="55"/>
  <c r="AA41" i="55"/>
  <c r="AB41" i="55"/>
  <c r="AC41" i="55"/>
  <c r="AD41" i="55"/>
  <c r="AE41" i="55"/>
  <c r="B42" i="55"/>
  <c r="C42" i="55"/>
  <c r="D42" i="55"/>
  <c r="E42" i="55"/>
  <c r="F42" i="55"/>
  <c r="G42" i="55"/>
  <c r="H42" i="55"/>
  <c r="I42" i="55"/>
  <c r="J42" i="55"/>
  <c r="K42" i="55"/>
  <c r="L42" i="55"/>
  <c r="M42" i="55"/>
  <c r="N42" i="55"/>
  <c r="O42" i="55"/>
  <c r="P42" i="55"/>
  <c r="Q42" i="55"/>
  <c r="R42" i="55"/>
  <c r="S42" i="55"/>
  <c r="T42" i="55"/>
  <c r="U42" i="55"/>
  <c r="V42" i="55"/>
  <c r="W42" i="55" s="1"/>
  <c r="X42" i="55"/>
  <c r="Y42" i="55"/>
  <c r="Z42" i="55"/>
  <c r="AA42" i="55"/>
  <c r="AB42" i="55"/>
  <c r="AC42" i="55"/>
  <c r="AD42" i="55"/>
  <c r="AE42" i="55"/>
  <c r="B43" i="55"/>
  <c r="C43" i="55"/>
  <c r="D43" i="55"/>
  <c r="E43" i="55"/>
  <c r="F43" i="55"/>
  <c r="G43" i="55"/>
  <c r="H43" i="55"/>
  <c r="I43" i="55"/>
  <c r="J43" i="55"/>
  <c r="K43" i="55"/>
  <c r="L43" i="55"/>
  <c r="M43" i="55"/>
  <c r="N43" i="55"/>
  <c r="O43" i="55"/>
  <c r="P43" i="55"/>
  <c r="Q43" i="55"/>
  <c r="R43" i="55"/>
  <c r="S43" i="55"/>
  <c r="T43" i="55"/>
  <c r="U43" i="55"/>
  <c r="V43" i="55"/>
  <c r="W43" i="55"/>
  <c r="X43" i="55"/>
  <c r="Y43" i="55"/>
  <c r="Z43" i="55"/>
  <c r="AA43" i="55"/>
  <c r="AB43" i="55"/>
  <c r="AC43" i="55"/>
  <c r="AD43" i="55"/>
  <c r="AE43" i="55"/>
  <c r="B44" i="55"/>
  <c r="C44" i="55"/>
  <c r="D44" i="55"/>
  <c r="E44" i="55"/>
  <c r="F44" i="55"/>
  <c r="G44" i="55"/>
  <c r="H44" i="55"/>
  <c r="I44" i="55"/>
  <c r="J44" i="55"/>
  <c r="K44" i="55"/>
  <c r="L44" i="55"/>
  <c r="M44" i="55"/>
  <c r="N44" i="55"/>
  <c r="O44" i="55"/>
  <c r="P44" i="55"/>
  <c r="Q44" i="55"/>
  <c r="R44" i="55"/>
  <c r="S44" i="55"/>
  <c r="T44" i="55"/>
  <c r="U44" i="55"/>
  <c r="V44" i="55"/>
  <c r="W44" i="55"/>
  <c r="X44" i="55"/>
  <c r="Y44" i="55"/>
  <c r="Z44" i="55"/>
  <c r="AA44" i="55"/>
  <c r="AB44" i="55"/>
  <c r="AC44" i="55"/>
  <c r="AD44" i="55"/>
  <c r="AE44" i="55"/>
  <c r="B45" i="55"/>
  <c r="C45" i="55"/>
  <c r="D45" i="55"/>
  <c r="E45" i="55"/>
  <c r="F45" i="55"/>
  <c r="G45" i="55"/>
  <c r="H45" i="55"/>
  <c r="I45" i="55"/>
  <c r="J45" i="55"/>
  <c r="K45" i="55"/>
  <c r="L45" i="55"/>
  <c r="M45" i="55"/>
  <c r="N45" i="55"/>
  <c r="B46" i="55"/>
  <c r="C46" i="55"/>
  <c r="D46" i="55"/>
  <c r="E46" i="55"/>
  <c r="F46" i="55"/>
  <c r="G46" i="55"/>
  <c r="H46" i="55"/>
  <c r="I46" i="55"/>
  <c r="J46" i="55"/>
  <c r="B47" i="55"/>
  <c r="C47" i="55"/>
  <c r="D47" i="55"/>
  <c r="E47" i="55"/>
  <c r="F47" i="55"/>
  <c r="G47" i="55"/>
  <c r="H47" i="55"/>
  <c r="I47" i="55"/>
  <c r="J47" i="55"/>
  <c r="K47" i="55"/>
  <c r="L47" i="55"/>
  <c r="M47" i="55"/>
  <c r="N47" i="55"/>
  <c r="O47" i="55"/>
  <c r="P47" i="55"/>
  <c r="Q47" i="55"/>
  <c r="R47" i="55"/>
  <c r="S47" i="55"/>
  <c r="T47" i="55"/>
  <c r="U47" i="55"/>
  <c r="V47" i="55"/>
  <c r="W47" i="55"/>
  <c r="X47" i="55"/>
  <c r="Y47" i="55"/>
  <c r="Z47" i="55"/>
  <c r="AA47" i="55"/>
  <c r="AB47" i="55"/>
  <c r="AC47" i="55"/>
  <c r="AD47" i="55"/>
  <c r="AE47" i="55"/>
  <c r="B48" i="55"/>
  <c r="C48" i="55"/>
  <c r="D48" i="55"/>
  <c r="E48" i="55"/>
  <c r="F48" i="55"/>
  <c r="G48" i="55"/>
  <c r="H48" i="55"/>
  <c r="I48" i="55"/>
  <c r="J48" i="55"/>
  <c r="K48" i="55"/>
  <c r="L48" i="55"/>
  <c r="M48" i="55"/>
  <c r="N48" i="55"/>
  <c r="O48" i="55"/>
  <c r="P48" i="55"/>
  <c r="Q48" i="55"/>
  <c r="R48" i="55"/>
  <c r="S48" i="55"/>
  <c r="T48" i="55"/>
  <c r="U48" i="55"/>
  <c r="V48" i="55"/>
  <c r="W48" i="55"/>
  <c r="X48" i="55"/>
  <c r="Y48" i="55"/>
  <c r="Z48" i="55"/>
  <c r="AA48" i="55"/>
  <c r="AB48" i="55"/>
  <c r="AC48" i="55"/>
  <c r="AD48" i="55"/>
  <c r="AE48" i="55"/>
  <c r="B49" i="55"/>
  <c r="C49" i="55"/>
  <c r="D49" i="55"/>
  <c r="E49" i="55"/>
  <c r="F49" i="55"/>
  <c r="G49" i="55"/>
  <c r="H49" i="55"/>
  <c r="I49" i="55"/>
  <c r="J49" i="55"/>
  <c r="K49" i="55"/>
  <c r="L49" i="55"/>
  <c r="M49" i="55"/>
  <c r="N49" i="55"/>
  <c r="O49" i="55"/>
  <c r="P49" i="55"/>
  <c r="Q49" i="55"/>
  <c r="R49" i="55"/>
  <c r="S49" i="55"/>
  <c r="T49" i="55"/>
  <c r="U49" i="55"/>
  <c r="V49" i="55"/>
  <c r="W49" i="55"/>
  <c r="X49" i="55"/>
  <c r="Y49" i="55"/>
  <c r="Z49" i="55"/>
  <c r="AA49" i="55"/>
  <c r="AB49" i="55"/>
  <c r="AC49" i="55"/>
  <c r="AD49" i="55"/>
  <c r="AE49" i="55"/>
  <c r="B50" i="55"/>
  <c r="C50" i="55"/>
  <c r="D50" i="55"/>
  <c r="E50" i="55"/>
  <c r="F50" i="55"/>
  <c r="G50" i="55"/>
  <c r="H50" i="55"/>
  <c r="I50" i="55"/>
  <c r="J50" i="55"/>
  <c r="K50" i="55"/>
  <c r="L50" i="55"/>
  <c r="M50" i="55"/>
  <c r="N50" i="55"/>
  <c r="O50" i="55"/>
  <c r="P50" i="55"/>
  <c r="Q50" i="55"/>
  <c r="R50" i="55"/>
  <c r="S50" i="55"/>
  <c r="T50" i="55"/>
  <c r="U50" i="55"/>
  <c r="V50" i="55"/>
  <c r="W50" i="55"/>
  <c r="X50" i="55"/>
  <c r="Y50" i="55"/>
  <c r="Z50" i="55"/>
  <c r="AA50" i="55"/>
  <c r="AB50" i="55"/>
  <c r="AC50" i="55"/>
  <c r="AD50" i="55"/>
  <c r="AE50" i="55"/>
  <c r="B51" i="55"/>
  <c r="C51" i="55"/>
  <c r="D51" i="55"/>
  <c r="E51" i="55"/>
  <c r="F51" i="55"/>
  <c r="G51" i="55"/>
  <c r="H51" i="55"/>
  <c r="I51" i="55"/>
  <c r="J51" i="55"/>
  <c r="K51" i="55"/>
  <c r="L51" i="55"/>
  <c r="M51" i="55"/>
  <c r="N51" i="55"/>
  <c r="O51" i="55"/>
  <c r="P51" i="55"/>
  <c r="Q51" i="55"/>
  <c r="R51" i="55"/>
  <c r="S51" i="55"/>
  <c r="T51" i="55"/>
  <c r="U51" i="55"/>
  <c r="V51" i="55"/>
  <c r="W51" i="55"/>
  <c r="X51" i="55"/>
  <c r="Y51" i="55"/>
  <c r="Z51" i="55"/>
  <c r="AA51" i="55"/>
  <c r="AB51" i="55"/>
  <c r="AC51" i="55"/>
  <c r="AD51" i="55"/>
  <c r="AE51" i="55"/>
  <c r="B52" i="55"/>
  <c r="C52" i="55"/>
  <c r="D52" i="55"/>
  <c r="E52" i="55"/>
  <c r="F52" i="55"/>
  <c r="G52" i="55"/>
  <c r="H52" i="55"/>
  <c r="I52" i="55"/>
  <c r="J52" i="55"/>
  <c r="K52" i="55"/>
  <c r="L52" i="55"/>
  <c r="M52" i="55"/>
  <c r="N52" i="55"/>
  <c r="O52" i="55"/>
  <c r="P52" i="55"/>
  <c r="Q52" i="55"/>
  <c r="R52" i="55"/>
  <c r="S52" i="55"/>
  <c r="T52" i="55"/>
  <c r="U52" i="55"/>
  <c r="V52" i="55"/>
  <c r="W52" i="55"/>
  <c r="X52" i="55"/>
  <c r="Y52" i="55"/>
  <c r="Z52" i="55"/>
  <c r="AA52" i="55"/>
  <c r="AB52" i="55"/>
  <c r="AC52" i="55"/>
  <c r="AD52" i="55"/>
  <c r="AE52" i="55"/>
  <c r="B53" i="55"/>
  <c r="C53" i="55"/>
  <c r="D53" i="55"/>
  <c r="E53" i="55"/>
  <c r="F53" i="55"/>
  <c r="G53" i="55"/>
  <c r="H53" i="55"/>
  <c r="I53" i="55"/>
  <c r="J53" i="55"/>
  <c r="K53" i="55"/>
  <c r="L53" i="55"/>
  <c r="M53" i="55"/>
  <c r="N53" i="55"/>
  <c r="O53" i="55"/>
  <c r="P53" i="55"/>
  <c r="Q53" i="55"/>
  <c r="R53" i="55"/>
  <c r="S53" i="55"/>
  <c r="T53" i="55"/>
  <c r="U53" i="55"/>
  <c r="V53" i="55"/>
  <c r="W53" i="55"/>
  <c r="X53" i="55"/>
  <c r="Y53" i="55"/>
  <c r="Z53" i="55"/>
  <c r="AA53" i="55"/>
  <c r="AB53" i="55"/>
  <c r="AC53" i="55"/>
  <c r="AD53" i="55"/>
  <c r="AE53" i="55"/>
  <c r="B54" i="55"/>
  <c r="C54" i="55"/>
  <c r="D54" i="55"/>
  <c r="E54" i="55"/>
  <c r="F54" i="55"/>
  <c r="G54" i="55"/>
  <c r="H54" i="55"/>
  <c r="I54" i="55"/>
  <c r="J54" i="55"/>
  <c r="K54" i="55"/>
  <c r="L54" i="55"/>
  <c r="M54" i="55"/>
  <c r="N54" i="55"/>
  <c r="O54" i="55"/>
  <c r="P54" i="55"/>
  <c r="Q54" i="55"/>
  <c r="R54" i="55"/>
  <c r="S54" i="55"/>
  <c r="T54" i="55"/>
  <c r="U54" i="55"/>
  <c r="V54" i="55"/>
  <c r="W54" i="55"/>
  <c r="X54" i="55"/>
  <c r="Y54" i="55"/>
  <c r="Z54" i="55"/>
  <c r="AA54" i="55"/>
  <c r="AB54" i="55"/>
  <c r="AC54" i="55"/>
  <c r="AD54" i="55"/>
  <c r="AE54" i="55"/>
  <c r="B55" i="55"/>
  <c r="C55" i="55"/>
  <c r="D55" i="55"/>
  <c r="E55" i="55"/>
  <c r="F55" i="55"/>
  <c r="G55" i="55"/>
  <c r="H55" i="55"/>
  <c r="I55" i="55"/>
  <c r="J55" i="55"/>
  <c r="K55" i="55"/>
  <c r="L55" i="55"/>
  <c r="M55" i="55"/>
  <c r="N55" i="55"/>
  <c r="O55" i="55"/>
  <c r="P55" i="55"/>
  <c r="Q55" i="55"/>
  <c r="R55" i="55"/>
  <c r="S55" i="55"/>
  <c r="T55" i="55"/>
  <c r="U55" i="55"/>
  <c r="V55" i="55"/>
  <c r="W55" i="55"/>
  <c r="X55" i="55"/>
  <c r="Y55" i="55"/>
  <c r="Z55" i="55"/>
  <c r="AA55" i="55"/>
  <c r="AB55" i="55"/>
  <c r="AC55" i="55"/>
  <c r="AD55" i="55"/>
  <c r="AE55" i="55"/>
  <c r="B56" i="55"/>
  <c r="C56" i="55"/>
  <c r="D56" i="55"/>
  <c r="E56" i="55"/>
  <c r="F56" i="55"/>
  <c r="G56" i="55"/>
  <c r="H56" i="55"/>
  <c r="I56" i="55"/>
  <c r="J56" i="55"/>
  <c r="K56" i="55"/>
  <c r="L56" i="55"/>
  <c r="M56" i="55"/>
  <c r="N56" i="55"/>
  <c r="O56" i="55"/>
  <c r="P56" i="55"/>
  <c r="Q56" i="55"/>
  <c r="R56" i="55"/>
  <c r="S56" i="55"/>
  <c r="T56" i="55"/>
  <c r="U56" i="55"/>
  <c r="V56" i="55"/>
  <c r="W56" i="55"/>
  <c r="X56" i="55"/>
  <c r="Y56" i="55"/>
  <c r="Z56" i="55"/>
  <c r="AA56" i="55"/>
  <c r="AB56" i="55"/>
  <c r="AC56" i="55"/>
  <c r="AD56" i="55"/>
  <c r="AE56" i="55"/>
  <c r="B57" i="55"/>
  <c r="C57" i="55"/>
  <c r="D57" i="55"/>
  <c r="E57" i="55"/>
  <c r="F57" i="55"/>
  <c r="G57" i="55"/>
  <c r="H57" i="55"/>
  <c r="I57" i="55"/>
  <c r="J57" i="55"/>
  <c r="K57" i="55"/>
  <c r="L57" i="55"/>
  <c r="M57" i="55"/>
  <c r="N57" i="55"/>
  <c r="O57" i="55"/>
  <c r="P57" i="55"/>
  <c r="Q57" i="55"/>
  <c r="R57" i="55"/>
  <c r="S57" i="55"/>
  <c r="T57" i="55"/>
  <c r="U57" i="55"/>
  <c r="V57" i="55"/>
  <c r="W57" i="55"/>
  <c r="X57" i="55"/>
  <c r="Y57" i="55"/>
  <c r="Z57" i="55"/>
  <c r="AA57" i="55"/>
  <c r="AB57" i="55"/>
  <c r="AC57" i="55"/>
  <c r="AD57" i="55"/>
  <c r="AE57" i="55"/>
  <c r="B58" i="55"/>
  <c r="C58" i="55"/>
  <c r="D58" i="55"/>
  <c r="E58" i="55"/>
  <c r="F58" i="55"/>
  <c r="G58" i="55"/>
  <c r="H58" i="55"/>
  <c r="I58" i="55"/>
  <c r="J58" i="55"/>
  <c r="K58" i="55"/>
  <c r="L58" i="55"/>
  <c r="M58" i="55"/>
  <c r="N58" i="55"/>
  <c r="O58" i="55"/>
  <c r="P58" i="55"/>
  <c r="Q58" i="55"/>
  <c r="R58" i="55"/>
  <c r="S58" i="55"/>
  <c r="T58" i="55"/>
  <c r="U58" i="55"/>
  <c r="V58" i="55"/>
  <c r="W58" i="55"/>
  <c r="X58" i="55"/>
  <c r="Y58" i="55"/>
  <c r="Z58" i="55"/>
  <c r="AA58" i="55"/>
  <c r="AB58" i="55"/>
  <c r="AC58" i="55"/>
  <c r="AD58" i="55"/>
  <c r="AE58" i="55"/>
  <c r="B59" i="55"/>
  <c r="C59" i="55"/>
  <c r="D59" i="55"/>
  <c r="E59" i="55"/>
  <c r="F59" i="55"/>
  <c r="G59" i="55"/>
  <c r="H59" i="55"/>
  <c r="I59" i="55"/>
  <c r="J59" i="55"/>
  <c r="K59" i="55"/>
  <c r="L59" i="55"/>
  <c r="M59" i="55"/>
  <c r="N59" i="55"/>
  <c r="O59" i="55"/>
  <c r="P59" i="55"/>
  <c r="Q59" i="55"/>
  <c r="R59" i="55"/>
  <c r="S59" i="55"/>
  <c r="T59" i="55"/>
  <c r="U59" i="55"/>
  <c r="V59" i="55"/>
  <c r="W59" i="55"/>
  <c r="X59" i="55"/>
  <c r="Y59" i="55"/>
  <c r="Z59" i="55"/>
  <c r="AA59" i="55"/>
  <c r="AB59" i="55"/>
  <c r="AC59" i="55"/>
  <c r="AD59" i="55"/>
  <c r="AE59" i="55"/>
  <c r="B60" i="55"/>
  <c r="C60" i="55"/>
  <c r="D60" i="55"/>
  <c r="E60" i="55"/>
  <c r="F60" i="55"/>
  <c r="G60" i="55"/>
  <c r="H60" i="55"/>
  <c r="I60" i="55"/>
  <c r="J60" i="55"/>
  <c r="K60" i="55"/>
  <c r="L60" i="55"/>
  <c r="M60" i="55"/>
  <c r="N60" i="55"/>
  <c r="O60" i="55"/>
  <c r="P60" i="55"/>
  <c r="Q60" i="55"/>
  <c r="R60" i="55"/>
  <c r="S60" i="55"/>
  <c r="T60" i="55"/>
  <c r="U60" i="55"/>
  <c r="V60" i="55"/>
  <c r="W60" i="55"/>
  <c r="X60" i="55"/>
  <c r="Y60" i="55"/>
  <c r="Z60" i="55"/>
  <c r="AA60" i="55"/>
  <c r="AB60" i="55"/>
  <c r="AC60" i="55"/>
  <c r="AD60" i="55"/>
  <c r="AE60" i="55"/>
  <c r="B61" i="55"/>
  <c r="C61" i="55"/>
  <c r="D61" i="55"/>
  <c r="E61" i="55"/>
  <c r="F61" i="55"/>
  <c r="G61" i="55"/>
  <c r="H61" i="55"/>
  <c r="I61" i="55"/>
  <c r="J61" i="55"/>
  <c r="K61" i="55"/>
  <c r="L61" i="55"/>
  <c r="M61" i="55"/>
  <c r="N61" i="55"/>
  <c r="O61" i="55"/>
  <c r="P61" i="55"/>
  <c r="Q61" i="55"/>
  <c r="R61" i="55"/>
  <c r="S61" i="55"/>
  <c r="T61" i="55"/>
  <c r="U61" i="55"/>
  <c r="V61" i="55"/>
  <c r="W61" i="55"/>
  <c r="X61" i="55"/>
  <c r="Y61" i="55"/>
  <c r="Z61" i="55"/>
  <c r="AA61" i="55"/>
  <c r="AB61" i="55"/>
  <c r="AC61" i="55"/>
  <c r="AD61" i="55"/>
  <c r="AE61" i="55"/>
  <c r="B62" i="55"/>
  <c r="C62" i="55"/>
  <c r="D62" i="55"/>
  <c r="E62" i="55"/>
  <c r="F62" i="55"/>
  <c r="G62" i="55"/>
  <c r="H62" i="55"/>
  <c r="I62" i="55"/>
  <c r="J62" i="55"/>
  <c r="K62" i="55"/>
  <c r="L62" i="55"/>
  <c r="M62" i="55"/>
  <c r="N62" i="55"/>
  <c r="O62" i="55"/>
  <c r="P62" i="55"/>
  <c r="Q62" i="55"/>
  <c r="R62" i="55"/>
  <c r="S62" i="55"/>
  <c r="T62" i="55"/>
  <c r="U62" i="55"/>
  <c r="V62" i="55"/>
  <c r="W62" i="55"/>
  <c r="X62" i="55"/>
  <c r="Y62" i="55"/>
  <c r="Z62" i="55"/>
  <c r="AA62" i="55"/>
  <c r="AB62" i="55"/>
  <c r="AC62" i="55"/>
  <c r="AD62" i="55"/>
  <c r="AE62" i="55"/>
  <c r="B63" i="55"/>
  <c r="C63" i="55"/>
  <c r="D63" i="55"/>
  <c r="E63" i="55"/>
  <c r="F63" i="55"/>
  <c r="G63" i="55"/>
  <c r="H63" i="55"/>
  <c r="I63" i="55"/>
  <c r="J63" i="55"/>
  <c r="K63" i="55"/>
  <c r="L63" i="55"/>
  <c r="M63" i="55"/>
  <c r="N63" i="55"/>
  <c r="O63" i="55"/>
  <c r="P63" i="55"/>
  <c r="Q63" i="55"/>
  <c r="R63" i="55"/>
  <c r="S63" i="55"/>
  <c r="T63" i="55"/>
  <c r="U63" i="55"/>
  <c r="V63" i="55"/>
  <c r="W63" i="55"/>
  <c r="X63" i="55"/>
  <c r="Y63" i="55"/>
  <c r="Z63" i="55"/>
  <c r="AA63" i="55"/>
  <c r="AB63" i="55"/>
  <c r="AC63" i="55"/>
  <c r="AD63" i="55"/>
  <c r="AE63" i="55"/>
  <c r="B64" i="55"/>
  <c r="C64" i="55"/>
  <c r="D64" i="55"/>
  <c r="E64" i="55"/>
  <c r="F64" i="55"/>
  <c r="G64" i="55"/>
  <c r="H64" i="55"/>
  <c r="I64" i="55"/>
  <c r="J64" i="55"/>
  <c r="K64" i="55"/>
  <c r="L64" i="55"/>
  <c r="M64" i="55"/>
  <c r="N64" i="55"/>
  <c r="O64" i="55"/>
  <c r="P64" i="55"/>
  <c r="Q64" i="55"/>
  <c r="R64" i="55"/>
  <c r="S64" i="55"/>
  <c r="T64" i="55"/>
  <c r="U64" i="55"/>
  <c r="V64" i="55"/>
  <c r="W64" i="55"/>
  <c r="X64" i="55"/>
  <c r="Y64" i="55"/>
  <c r="Z64" i="55"/>
  <c r="AA64" i="55"/>
  <c r="AB64" i="55"/>
  <c r="AC64" i="55"/>
  <c r="AD64" i="55"/>
  <c r="AE64" i="55"/>
  <c r="B65" i="55"/>
  <c r="C65" i="55"/>
  <c r="D65" i="55"/>
  <c r="E65" i="55"/>
  <c r="F65" i="55"/>
  <c r="G65" i="55"/>
  <c r="H65" i="55"/>
  <c r="I65" i="55"/>
  <c r="J65" i="55"/>
  <c r="K65" i="55"/>
  <c r="L65" i="55"/>
  <c r="M65" i="55"/>
  <c r="N65" i="55"/>
  <c r="O65" i="55"/>
  <c r="P65" i="55"/>
  <c r="Q65" i="55"/>
  <c r="R65" i="55"/>
  <c r="S65" i="55"/>
  <c r="T65" i="55"/>
  <c r="U65" i="55"/>
  <c r="V65" i="55"/>
  <c r="W65" i="55"/>
  <c r="X65" i="55"/>
  <c r="Y65" i="55"/>
  <c r="Z65" i="55"/>
  <c r="AA65" i="55"/>
  <c r="AB65" i="55"/>
  <c r="AC65" i="55"/>
  <c r="AD65" i="55"/>
  <c r="AE65" i="55"/>
  <c r="B66" i="55"/>
  <c r="C66" i="55"/>
  <c r="D66" i="55"/>
  <c r="E66" i="55"/>
  <c r="F66" i="55"/>
  <c r="G66" i="55"/>
  <c r="H66" i="55"/>
  <c r="I66" i="55"/>
  <c r="J66" i="55"/>
  <c r="K66" i="55"/>
  <c r="L66" i="55"/>
  <c r="M66" i="55"/>
  <c r="N66" i="55"/>
  <c r="O66" i="55"/>
  <c r="P66" i="55"/>
  <c r="Q66" i="55"/>
  <c r="R66" i="55"/>
  <c r="S66" i="55"/>
  <c r="T66" i="55"/>
  <c r="U66" i="55"/>
  <c r="V66" i="55"/>
  <c r="W66" i="55"/>
  <c r="X66" i="55"/>
  <c r="Y66" i="55"/>
  <c r="Z66" i="55"/>
  <c r="AA66" i="55"/>
  <c r="AB66" i="55"/>
  <c r="AC66" i="55"/>
  <c r="AD66" i="55"/>
  <c r="AE66" i="55"/>
  <c r="B67" i="55"/>
  <c r="C67" i="55"/>
  <c r="D67" i="55"/>
  <c r="E67" i="55"/>
  <c r="F67" i="55"/>
  <c r="G67" i="55"/>
  <c r="H67" i="55"/>
  <c r="I67" i="55"/>
  <c r="J67" i="55"/>
  <c r="K67" i="55"/>
  <c r="L67" i="55"/>
  <c r="M67" i="55"/>
  <c r="N67" i="55"/>
  <c r="O67" i="55"/>
  <c r="P67" i="55"/>
  <c r="Q67" i="55"/>
  <c r="R67" i="55"/>
  <c r="S67" i="55"/>
  <c r="T67" i="55"/>
  <c r="U67" i="55"/>
  <c r="V67" i="55"/>
  <c r="W67" i="55"/>
  <c r="X67" i="55"/>
  <c r="Y67" i="55"/>
  <c r="Z67" i="55"/>
  <c r="AA67" i="55"/>
  <c r="AB67" i="55"/>
  <c r="AC67" i="55"/>
  <c r="AD67" i="55"/>
  <c r="AE67" i="55"/>
  <c r="B68" i="55"/>
  <c r="C68" i="55"/>
  <c r="D68" i="55"/>
  <c r="E68" i="55"/>
  <c r="F68" i="55"/>
  <c r="G68" i="55"/>
  <c r="H68" i="55"/>
  <c r="I68" i="55"/>
  <c r="J68" i="55"/>
  <c r="K68" i="55"/>
  <c r="L68" i="55"/>
  <c r="M68" i="55"/>
  <c r="N68" i="55"/>
  <c r="O68" i="55"/>
  <c r="P68" i="55"/>
  <c r="Q68" i="55"/>
  <c r="R68" i="55"/>
  <c r="S68" i="55"/>
  <c r="T68" i="55"/>
  <c r="U68" i="55"/>
  <c r="V68" i="55"/>
  <c r="W68" i="55"/>
  <c r="X68" i="55"/>
  <c r="Y68" i="55"/>
  <c r="Z68" i="55"/>
  <c r="AA68" i="55"/>
  <c r="AB68" i="55"/>
  <c r="AC68" i="55"/>
  <c r="AD68" i="55"/>
  <c r="AE68" i="55"/>
  <c r="B69" i="55"/>
  <c r="C69" i="55"/>
  <c r="D69" i="55"/>
  <c r="E69" i="55"/>
  <c r="F69" i="55"/>
  <c r="G69" i="55"/>
  <c r="H69" i="55"/>
  <c r="I69" i="55"/>
  <c r="J69" i="55"/>
  <c r="K69" i="55"/>
  <c r="L69" i="55"/>
  <c r="M69" i="55"/>
  <c r="N69" i="55"/>
  <c r="O69" i="55"/>
  <c r="P69" i="55"/>
  <c r="Q69" i="55"/>
  <c r="R69" i="55"/>
  <c r="S69" i="55"/>
  <c r="T69" i="55"/>
  <c r="U69" i="55"/>
  <c r="V69" i="55"/>
  <c r="W69" i="55"/>
  <c r="X69" i="55"/>
  <c r="Y69" i="55"/>
  <c r="Z69" i="55"/>
  <c r="AA69" i="55"/>
  <c r="AB69" i="55"/>
  <c r="AC69" i="55"/>
  <c r="AD69" i="55"/>
  <c r="AE69" i="55"/>
  <c r="B70" i="55"/>
  <c r="C70" i="55"/>
  <c r="D70" i="55"/>
  <c r="E70" i="55"/>
  <c r="F70" i="55"/>
  <c r="G70" i="55"/>
  <c r="H70" i="55"/>
  <c r="I70" i="55"/>
  <c r="J70" i="55"/>
  <c r="K70" i="55"/>
  <c r="L70" i="55"/>
  <c r="M70" i="55"/>
  <c r="N70" i="55"/>
  <c r="O70" i="55"/>
  <c r="P70" i="55"/>
  <c r="Q70" i="55"/>
  <c r="R70" i="55"/>
  <c r="S70" i="55"/>
  <c r="T70" i="55"/>
  <c r="U70" i="55"/>
  <c r="V70" i="55"/>
  <c r="W70" i="55"/>
  <c r="X70" i="55"/>
  <c r="Y70" i="55"/>
  <c r="Z70" i="55"/>
  <c r="AA70" i="55"/>
  <c r="AB70" i="55"/>
  <c r="AC70" i="55"/>
  <c r="AD70" i="55"/>
  <c r="AE70" i="55"/>
  <c r="B71" i="55"/>
  <c r="C71" i="55"/>
  <c r="D71" i="55"/>
  <c r="E71" i="55"/>
  <c r="F71" i="55"/>
  <c r="G71" i="55"/>
  <c r="H71" i="55"/>
  <c r="I71" i="55"/>
  <c r="J71" i="55"/>
  <c r="K71" i="55"/>
  <c r="L71" i="55"/>
  <c r="M71" i="55"/>
  <c r="N71" i="55"/>
  <c r="O71" i="55"/>
  <c r="P71" i="55"/>
  <c r="Q71" i="55"/>
  <c r="R71" i="55"/>
  <c r="S71" i="55"/>
  <c r="T71" i="55"/>
  <c r="U71" i="55"/>
  <c r="V71" i="55"/>
  <c r="W71" i="55"/>
  <c r="X71" i="55"/>
  <c r="Y71" i="55"/>
  <c r="Z71" i="55"/>
  <c r="AA71" i="55"/>
  <c r="AB71" i="55"/>
  <c r="AC71" i="55"/>
  <c r="AD71" i="55"/>
  <c r="AE71" i="55"/>
  <c r="B72" i="55"/>
  <c r="C72" i="55"/>
  <c r="D72" i="55"/>
  <c r="E72" i="55"/>
  <c r="F72" i="55"/>
  <c r="G72" i="55"/>
  <c r="H72" i="55"/>
  <c r="I72" i="55"/>
  <c r="J72" i="55"/>
  <c r="K72" i="55"/>
  <c r="L72" i="55"/>
  <c r="M72" i="55"/>
  <c r="N72" i="55"/>
  <c r="O72" i="55"/>
  <c r="P72" i="55"/>
  <c r="Q72" i="55"/>
  <c r="R72" i="55"/>
  <c r="S72" i="55"/>
  <c r="W72" i="55" s="1"/>
  <c r="T72" i="55"/>
  <c r="U72" i="55"/>
  <c r="V72" i="55"/>
  <c r="X72" i="55"/>
  <c r="Y72" i="55"/>
  <c r="Z72" i="55"/>
  <c r="AA72" i="55"/>
  <c r="AB72" i="55"/>
  <c r="AC72" i="55"/>
  <c r="AD72" i="55"/>
  <c r="AE72" i="55"/>
  <c r="B73" i="55"/>
  <c r="C73" i="55"/>
  <c r="D73" i="55"/>
  <c r="E73" i="55"/>
  <c r="F73" i="55"/>
  <c r="G73" i="55"/>
  <c r="H73" i="55"/>
  <c r="I73" i="55"/>
  <c r="J73" i="55"/>
  <c r="K73" i="55"/>
  <c r="L73" i="55"/>
  <c r="M73" i="55"/>
  <c r="N73" i="55"/>
  <c r="O73" i="55"/>
  <c r="P73" i="55"/>
  <c r="Q73" i="55"/>
  <c r="R73" i="55"/>
  <c r="S73" i="55"/>
  <c r="T73" i="55"/>
  <c r="U73" i="55"/>
  <c r="V73" i="55"/>
  <c r="W73" i="55"/>
  <c r="X73" i="55"/>
  <c r="Y73" i="55"/>
  <c r="Z73" i="55"/>
  <c r="AA73" i="55"/>
  <c r="AB73" i="55"/>
  <c r="AC73" i="55"/>
  <c r="AD73" i="55"/>
  <c r="AE73" i="55"/>
  <c r="B74" i="55"/>
  <c r="C74" i="55"/>
  <c r="D74" i="55"/>
  <c r="E74" i="55"/>
  <c r="F74" i="55"/>
  <c r="G74" i="55"/>
  <c r="H74" i="55"/>
  <c r="I74" i="55"/>
  <c r="J74" i="55"/>
  <c r="K74" i="55"/>
  <c r="L74" i="55"/>
  <c r="M74" i="55"/>
  <c r="N74" i="55"/>
  <c r="O74" i="55"/>
  <c r="P74" i="55"/>
  <c r="Q74" i="55"/>
  <c r="R74" i="55"/>
  <c r="S74" i="55"/>
  <c r="T74" i="55"/>
  <c r="U74" i="55"/>
  <c r="V74" i="55"/>
  <c r="W74" i="55"/>
  <c r="X74" i="55"/>
  <c r="Y74" i="55"/>
  <c r="Z74" i="55"/>
  <c r="AA74" i="55"/>
  <c r="AB74" i="55"/>
  <c r="AC74" i="55"/>
  <c r="AD74" i="55"/>
  <c r="AE74" i="55"/>
  <c r="B75" i="55"/>
  <c r="C75" i="55"/>
  <c r="D75" i="55"/>
  <c r="E75" i="55"/>
  <c r="F75" i="55"/>
  <c r="G75" i="55"/>
  <c r="H75" i="55"/>
  <c r="I75" i="55"/>
  <c r="J75" i="55"/>
  <c r="K75" i="55"/>
  <c r="L75" i="55"/>
  <c r="M75" i="55"/>
  <c r="N75" i="55"/>
  <c r="O75" i="55"/>
  <c r="P75" i="55"/>
  <c r="Q75" i="55"/>
  <c r="R75" i="55"/>
  <c r="S75" i="55"/>
  <c r="T75" i="55"/>
  <c r="U75" i="55"/>
  <c r="V75" i="55"/>
  <c r="W75" i="55"/>
  <c r="X75" i="55"/>
  <c r="Y75" i="55"/>
  <c r="Z75" i="55"/>
  <c r="AA75" i="55"/>
  <c r="AB75" i="55"/>
  <c r="AC75" i="55"/>
  <c r="AD75" i="55"/>
  <c r="AE75" i="55"/>
  <c r="B76" i="55"/>
  <c r="C76" i="55"/>
  <c r="D76" i="55"/>
  <c r="E76" i="55"/>
  <c r="F76" i="55"/>
  <c r="G76" i="55"/>
  <c r="H76" i="55"/>
  <c r="I76" i="55"/>
  <c r="J76" i="55"/>
  <c r="K76" i="55"/>
  <c r="L76" i="55"/>
  <c r="M76" i="55"/>
  <c r="N76" i="55"/>
  <c r="O76" i="55"/>
  <c r="P76" i="55"/>
  <c r="Q76" i="55"/>
  <c r="R76" i="55"/>
  <c r="S76" i="55"/>
  <c r="T76" i="55"/>
  <c r="U76" i="55"/>
  <c r="V76" i="55"/>
  <c r="W76" i="55"/>
  <c r="X76" i="55"/>
  <c r="Y76" i="55"/>
  <c r="Z76" i="55"/>
  <c r="AA76" i="55"/>
  <c r="AB76" i="55"/>
  <c r="AC76" i="55"/>
  <c r="AD76" i="55"/>
  <c r="AE76" i="55"/>
  <c r="B77" i="55"/>
  <c r="C77" i="55"/>
  <c r="D77" i="55"/>
  <c r="E77" i="55"/>
  <c r="F77" i="55"/>
  <c r="G77" i="55"/>
  <c r="H77" i="55"/>
  <c r="I77" i="55"/>
  <c r="J77" i="55"/>
  <c r="K77" i="55"/>
  <c r="L77" i="55"/>
  <c r="M77" i="55"/>
  <c r="N77" i="55"/>
  <c r="O77" i="55"/>
  <c r="P77" i="55"/>
  <c r="Q77" i="55"/>
  <c r="R77" i="55"/>
  <c r="S77" i="55"/>
  <c r="T77" i="55"/>
  <c r="U77" i="55"/>
  <c r="V77" i="55"/>
  <c r="W77" i="55"/>
  <c r="X77" i="55"/>
  <c r="Y77" i="55"/>
  <c r="Z77" i="55"/>
  <c r="AA77" i="55"/>
  <c r="AB77" i="55"/>
  <c r="AC77" i="55"/>
  <c r="AD77" i="55"/>
  <c r="AE77" i="55"/>
  <c r="B78" i="55"/>
  <c r="C78" i="55"/>
  <c r="D78" i="55"/>
  <c r="E78" i="55"/>
  <c r="F78" i="55"/>
  <c r="G78" i="55"/>
  <c r="H78" i="55"/>
  <c r="I78" i="55"/>
  <c r="J78" i="55"/>
  <c r="K78" i="55"/>
  <c r="L78" i="55"/>
  <c r="M78" i="55"/>
  <c r="N78" i="55"/>
  <c r="O78" i="55"/>
  <c r="P78" i="55"/>
  <c r="Q78" i="55"/>
  <c r="R78" i="55"/>
  <c r="S78" i="55"/>
  <c r="T78" i="55"/>
  <c r="U78" i="55"/>
  <c r="V78" i="55"/>
  <c r="W78" i="55"/>
  <c r="X78" i="55"/>
  <c r="Y78" i="55"/>
  <c r="Z78" i="55"/>
  <c r="AA78" i="55"/>
  <c r="AB78" i="55"/>
  <c r="AC78" i="55"/>
  <c r="AD78" i="55"/>
  <c r="AE78" i="55"/>
  <c r="B79" i="55"/>
  <c r="C79" i="55"/>
  <c r="D79" i="55"/>
  <c r="E79" i="55"/>
  <c r="F79" i="55"/>
  <c r="G79" i="55"/>
  <c r="H79" i="55"/>
  <c r="I79" i="55"/>
  <c r="J79" i="55"/>
  <c r="K79" i="55"/>
  <c r="L79" i="55"/>
  <c r="M79" i="55"/>
  <c r="N79" i="55"/>
  <c r="O79" i="55"/>
  <c r="P79" i="55"/>
  <c r="Q79" i="55"/>
  <c r="R79" i="55"/>
  <c r="S79" i="55"/>
  <c r="T79" i="55"/>
  <c r="U79" i="55"/>
  <c r="V79" i="55"/>
  <c r="W79" i="55"/>
  <c r="X79" i="55"/>
  <c r="Y79" i="55"/>
  <c r="Z79" i="55"/>
  <c r="AA79" i="55"/>
  <c r="AB79" i="55"/>
  <c r="AC79" i="55"/>
  <c r="AD79" i="55"/>
  <c r="AE79" i="55"/>
  <c r="B80" i="55"/>
  <c r="C80" i="55"/>
  <c r="D80" i="55"/>
  <c r="E80" i="55"/>
  <c r="F80" i="55"/>
  <c r="G80" i="55"/>
  <c r="H80" i="55"/>
  <c r="I80" i="55"/>
  <c r="J80" i="55"/>
  <c r="K80" i="55"/>
  <c r="L80" i="55"/>
  <c r="M80" i="55"/>
  <c r="N80" i="55"/>
  <c r="O80" i="55"/>
  <c r="P80" i="55"/>
  <c r="Q80" i="55"/>
  <c r="R80" i="55"/>
  <c r="S80" i="55"/>
  <c r="T80" i="55"/>
  <c r="U80" i="55"/>
  <c r="V80" i="55"/>
  <c r="W80" i="55"/>
  <c r="X80" i="55"/>
  <c r="Y80" i="55"/>
  <c r="Z80" i="55"/>
  <c r="AA80" i="55"/>
  <c r="AB80" i="55"/>
  <c r="AC80" i="55"/>
  <c r="AD80" i="55"/>
  <c r="AE80" i="55"/>
  <c r="B81" i="55"/>
  <c r="C81" i="55"/>
  <c r="D81" i="55"/>
  <c r="E81" i="55"/>
  <c r="F81" i="55"/>
  <c r="G81" i="55"/>
  <c r="H81" i="55"/>
  <c r="I81" i="55"/>
  <c r="J81" i="55"/>
  <c r="K81" i="55"/>
  <c r="L81" i="55"/>
  <c r="M81" i="55"/>
  <c r="N81" i="55"/>
  <c r="O81" i="55"/>
  <c r="P81" i="55"/>
  <c r="Q81" i="55"/>
  <c r="R81" i="55"/>
  <c r="S81" i="55"/>
  <c r="T81" i="55"/>
  <c r="U81" i="55"/>
  <c r="V81" i="55"/>
  <c r="W81" i="55"/>
  <c r="X81" i="55"/>
  <c r="Y81" i="55"/>
  <c r="Z81" i="55"/>
  <c r="AA81" i="55"/>
  <c r="AB81" i="55"/>
  <c r="AC81" i="55"/>
  <c r="AD81" i="55"/>
  <c r="AE81" i="55"/>
  <c r="B82" i="55"/>
  <c r="C82" i="55"/>
  <c r="D82" i="55"/>
  <c r="E82" i="55"/>
  <c r="F82" i="55"/>
  <c r="G82" i="55"/>
  <c r="H82" i="55"/>
  <c r="I82" i="55"/>
  <c r="J82" i="55"/>
  <c r="K82" i="55"/>
  <c r="L82" i="55"/>
  <c r="M82" i="55"/>
  <c r="N82" i="55"/>
  <c r="O82" i="55"/>
  <c r="P82" i="55"/>
  <c r="Q82" i="55"/>
  <c r="R82" i="55"/>
  <c r="S82" i="55"/>
  <c r="T82" i="55"/>
  <c r="U82" i="55"/>
  <c r="V82" i="55"/>
  <c r="W82" i="55"/>
  <c r="X82" i="55"/>
  <c r="Y82" i="55"/>
  <c r="Z82" i="55"/>
  <c r="AA82" i="55"/>
  <c r="AB82" i="55"/>
  <c r="AC82" i="55"/>
  <c r="AD82" i="55"/>
  <c r="AE82" i="55"/>
  <c r="B83" i="55"/>
  <c r="C83" i="55"/>
  <c r="D83" i="55"/>
  <c r="E83" i="55"/>
  <c r="F83" i="55"/>
  <c r="G83" i="55"/>
  <c r="H83" i="55"/>
  <c r="I83" i="55"/>
  <c r="J83" i="55"/>
  <c r="K83" i="55"/>
  <c r="L83" i="55"/>
  <c r="M83" i="55"/>
  <c r="N83" i="55"/>
  <c r="O83" i="55"/>
  <c r="P83" i="55"/>
  <c r="Q83" i="55"/>
  <c r="R83" i="55"/>
  <c r="S83" i="55"/>
  <c r="T83" i="55"/>
  <c r="U83" i="55"/>
  <c r="V83" i="55"/>
  <c r="W83" i="55"/>
  <c r="X83" i="55"/>
  <c r="Y83" i="55"/>
  <c r="Z83" i="55"/>
  <c r="AA83" i="55"/>
  <c r="AB83" i="55"/>
  <c r="AC83" i="55"/>
  <c r="AD83" i="55"/>
  <c r="AE83" i="55"/>
  <c r="B84" i="55"/>
  <c r="C84" i="55"/>
  <c r="D84" i="55"/>
  <c r="E84" i="55"/>
  <c r="F84" i="55"/>
  <c r="G84" i="55"/>
  <c r="H84" i="55"/>
  <c r="I84" i="55"/>
  <c r="J84" i="55"/>
  <c r="K84" i="55"/>
  <c r="L84" i="55"/>
  <c r="M84" i="55"/>
  <c r="N84" i="55"/>
  <c r="O84" i="55"/>
  <c r="P84" i="55"/>
  <c r="Q84" i="55"/>
  <c r="R84" i="55"/>
  <c r="S84" i="55"/>
  <c r="T84" i="55"/>
  <c r="U84" i="55"/>
  <c r="V84" i="55"/>
  <c r="W84" i="55" s="1"/>
  <c r="X84" i="55"/>
  <c r="Y84" i="55"/>
  <c r="Z84" i="55"/>
  <c r="AA84" i="55"/>
  <c r="AB84" i="55"/>
  <c r="AC84" i="55"/>
  <c r="AD84" i="55"/>
  <c r="AE84" i="55"/>
  <c r="B85" i="55"/>
  <c r="C85" i="55"/>
  <c r="D85" i="55"/>
  <c r="E85" i="55"/>
  <c r="F85" i="55"/>
  <c r="G85" i="55"/>
  <c r="H85" i="55"/>
  <c r="I85" i="55"/>
  <c r="J85" i="55"/>
  <c r="K85" i="55"/>
  <c r="L85" i="55"/>
  <c r="M85" i="55"/>
  <c r="N85" i="55"/>
  <c r="O85" i="55"/>
  <c r="P85" i="55"/>
  <c r="Q85" i="55"/>
  <c r="R85" i="55"/>
  <c r="S85" i="55"/>
  <c r="T85" i="55"/>
  <c r="U85" i="55"/>
  <c r="V85" i="55"/>
  <c r="W85" i="55"/>
  <c r="X85" i="55"/>
  <c r="Y85" i="55"/>
  <c r="Z85" i="55"/>
  <c r="AA85" i="55"/>
  <c r="AB85" i="55"/>
  <c r="AC85" i="55"/>
  <c r="AD85" i="55"/>
  <c r="AE85" i="55"/>
  <c r="AI5" i="55"/>
  <c r="A1" i="54"/>
  <c r="P2" i="54"/>
  <c r="J3" i="54"/>
  <c r="J4" i="54"/>
  <c r="M4" i="54"/>
  <c r="AI4" i="54"/>
  <c r="J5" i="54"/>
  <c r="J6" i="54"/>
  <c r="B10" i="54"/>
  <c r="C10" i="54"/>
  <c r="D10" i="54"/>
  <c r="E10" i="54"/>
  <c r="F10" i="54"/>
  <c r="G10" i="54"/>
  <c r="H10" i="54"/>
  <c r="I10" i="54"/>
  <c r="J10" i="54"/>
  <c r="M10" i="54"/>
  <c r="N10" i="54"/>
  <c r="O10" i="54"/>
  <c r="P10" i="54"/>
  <c r="Q10" i="54"/>
  <c r="R10" i="54"/>
  <c r="S10" i="54"/>
  <c r="T10" i="54"/>
  <c r="U10" i="54"/>
  <c r="V10" i="54"/>
  <c r="B11" i="54"/>
  <c r="C11" i="54"/>
  <c r="D11" i="54"/>
  <c r="E11" i="54"/>
  <c r="F11" i="54"/>
  <c r="G11" i="54"/>
  <c r="H11" i="54"/>
  <c r="I11" i="54"/>
  <c r="J11" i="54"/>
  <c r="K11" i="54"/>
  <c r="L11" i="54"/>
  <c r="M11" i="54"/>
  <c r="N11" i="54"/>
  <c r="O11" i="54"/>
  <c r="P11" i="54"/>
  <c r="Q11" i="54"/>
  <c r="R11" i="54"/>
  <c r="S11" i="54"/>
  <c r="T11" i="54"/>
  <c r="U11" i="54"/>
  <c r="V11" i="54"/>
  <c r="W11" i="54"/>
  <c r="X11" i="54"/>
  <c r="Y11" i="54"/>
  <c r="Z11" i="54"/>
  <c r="AA11" i="54"/>
  <c r="AB11" i="54"/>
  <c r="AC11" i="54"/>
  <c r="AD11" i="54"/>
  <c r="AE11" i="54"/>
  <c r="B12" i="54"/>
  <c r="C12" i="54"/>
  <c r="D12" i="54"/>
  <c r="E12" i="54"/>
  <c r="F12" i="54"/>
  <c r="G12" i="54"/>
  <c r="H12" i="54"/>
  <c r="I12" i="54"/>
  <c r="J12" i="54"/>
  <c r="K12" i="54"/>
  <c r="L12" i="54"/>
  <c r="M12" i="54"/>
  <c r="N12" i="54"/>
  <c r="O12" i="54"/>
  <c r="P12" i="54"/>
  <c r="Q12" i="54"/>
  <c r="R12" i="54"/>
  <c r="S12" i="54"/>
  <c r="T12" i="54"/>
  <c r="U12" i="54"/>
  <c r="V12" i="54"/>
  <c r="W12" i="54"/>
  <c r="X12" i="54"/>
  <c r="Y12" i="54"/>
  <c r="Z12" i="54"/>
  <c r="AA12" i="54"/>
  <c r="AB12" i="54"/>
  <c r="AC12" i="54"/>
  <c r="AD12" i="54"/>
  <c r="AE12" i="54"/>
  <c r="B13" i="54"/>
  <c r="C13" i="54"/>
  <c r="D13" i="54"/>
  <c r="E13" i="54"/>
  <c r="F13" i="54"/>
  <c r="G13" i="54"/>
  <c r="H13" i="54"/>
  <c r="I13" i="54"/>
  <c r="J13" i="54"/>
  <c r="K13" i="54"/>
  <c r="L13" i="54"/>
  <c r="M13" i="54"/>
  <c r="N13" i="54"/>
  <c r="O13" i="54"/>
  <c r="P13" i="54"/>
  <c r="Q13" i="54"/>
  <c r="R13" i="54"/>
  <c r="S13" i="54"/>
  <c r="T13" i="54"/>
  <c r="U13" i="54"/>
  <c r="V13" i="54"/>
  <c r="W13" i="54"/>
  <c r="X13" i="54"/>
  <c r="Y13" i="54"/>
  <c r="Z13" i="54"/>
  <c r="AA13" i="54"/>
  <c r="AB13" i="54"/>
  <c r="AC13" i="54"/>
  <c r="AD13" i="54"/>
  <c r="AE13" i="54"/>
  <c r="B14" i="54"/>
  <c r="C14" i="54"/>
  <c r="D14" i="54"/>
  <c r="E14" i="54"/>
  <c r="F14" i="54"/>
  <c r="G14" i="54"/>
  <c r="H14" i="54"/>
  <c r="I14" i="54"/>
  <c r="J14" i="54"/>
  <c r="K14" i="54"/>
  <c r="L14" i="54"/>
  <c r="M14" i="54"/>
  <c r="N14" i="54"/>
  <c r="O14" i="54"/>
  <c r="P14" i="54"/>
  <c r="Q14" i="54"/>
  <c r="R14" i="54"/>
  <c r="S14" i="54"/>
  <c r="T14" i="54"/>
  <c r="U14" i="54"/>
  <c r="V14" i="54"/>
  <c r="W14" i="54"/>
  <c r="X14" i="54"/>
  <c r="Y14" i="54"/>
  <c r="Z14" i="54"/>
  <c r="AA14" i="54"/>
  <c r="AB14" i="54"/>
  <c r="AC14" i="54"/>
  <c r="AD14" i="54"/>
  <c r="AE14" i="54"/>
  <c r="B15" i="54"/>
  <c r="C15" i="54"/>
  <c r="D15" i="54"/>
  <c r="E15" i="54"/>
  <c r="F15" i="54"/>
  <c r="G15" i="54"/>
  <c r="H15" i="54"/>
  <c r="I15" i="54"/>
  <c r="J15" i="54"/>
  <c r="K15" i="54"/>
  <c r="L15" i="54"/>
  <c r="M15" i="54"/>
  <c r="N15" i="54"/>
  <c r="O15" i="54"/>
  <c r="P15" i="54"/>
  <c r="Q15" i="54"/>
  <c r="R15" i="54"/>
  <c r="S15" i="54"/>
  <c r="T15" i="54"/>
  <c r="U15" i="54"/>
  <c r="V15" i="54"/>
  <c r="Y15" i="54"/>
  <c r="Z15" i="54"/>
  <c r="AA15" i="54"/>
  <c r="AB15" i="54"/>
  <c r="AC15" i="54"/>
  <c r="AD15" i="54"/>
  <c r="AE15" i="54"/>
  <c r="B16" i="54"/>
  <c r="C16" i="54"/>
  <c r="D16" i="54"/>
  <c r="E16" i="54"/>
  <c r="F16" i="54"/>
  <c r="G16" i="54"/>
  <c r="H16" i="54"/>
  <c r="I16" i="54"/>
  <c r="J16" i="54"/>
  <c r="K16" i="54"/>
  <c r="L16" i="54"/>
  <c r="M16" i="54"/>
  <c r="N16" i="54"/>
  <c r="O16" i="54"/>
  <c r="P16" i="54"/>
  <c r="Q16" i="54"/>
  <c r="R16" i="54"/>
  <c r="S16" i="54"/>
  <c r="T16" i="54"/>
  <c r="U16" i="54"/>
  <c r="V16" i="54"/>
  <c r="W16" i="54"/>
  <c r="X16" i="54"/>
  <c r="Y16" i="54"/>
  <c r="Z16" i="54"/>
  <c r="AA16" i="54"/>
  <c r="AB16" i="54"/>
  <c r="AC16" i="54"/>
  <c r="AD16" i="54"/>
  <c r="AE16" i="54"/>
  <c r="B17" i="54"/>
  <c r="C17" i="54"/>
  <c r="D17" i="54"/>
  <c r="E17" i="54"/>
  <c r="F17" i="54"/>
  <c r="G17" i="54"/>
  <c r="H17" i="54"/>
  <c r="I17" i="54"/>
  <c r="J17" i="54"/>
  <c r="K17" i="54"/>
  <c r="L17" i="54"/>
  <c r="M17" i="54"/>
  <c r="N17" i="54"/>
  <c r="O17" i="54"/>
  <c r="P17" i="54"/>
  <c r="Q17" i="54"/>
  <c r="R17" i="54"/>
  <c r="S17" i="54"/>
  <c r="T17" i="54"/>
  <c r="U17" i="54"/>
  <c r="V17" i="54"/>
  <c r="W17" i="54"/>
  <c r="X17" i="54"/>
  <c r="Y17" i="54"/>
  <c r="Z17" i="54"/>
  <c r="AA17" i="54"/>
  <c r="AB17" i="54"/>
  <c r="AC17" i="54"/>
  <c r="AD17" i="54"/>
  <c r="AE17" i="54"/>
  <c r="B18" i="54"/>
  <c r="C18" i="54"/>
  <c r="D18" i="54"/>
  <c r="E18" i="54"/>
  <c r="F18" i="54"/>
  <c r="G18" i="54"/>
  <c r="H18" i="54"/>
  <c r="I18" i="54"/>
  <c r="J18" i="54"/>
  <c r="K18" i="54"/>
  <c r="L18" i="54"/>
  <c r="M18" i="54"/>
  <c r="N18" i="54"/>
  <c r="O18" i="54"/>
  <c r="P18" i="54"/>
  <c r="Q18" i="54"/>
  <c r="R18" i="54"/>
  <c r="S18" i="54"/>
  <c r="T18" i="54"/>
  <c r="U18" i="54"/>
  <c r="V18" i="54"/>
  <c r="W18" i="54"/>
  <c r="X18" i="54"/>
  <c r="Y18" i="54"/>
  <c r="Z18" i="54"/>
  <c r="AA18" i="54"/>
  <c r="AB18" i="54"/>
  <c r="AC18" i="54"/>
  <c r="AD18" i="54"/>
  <c r="AE18" i="54"/>
  <c r="B19" i="54"/>
  <c r="C19" i="54"/>
  <c r="D19" i="54"/>
  <c r="E19" i="54"/>
  <c r="F19" i="54"/>
  <c r="G19" i="54"/>
  <c r="H19" i="54"/>
  <c r="I19" i="54"/>
  <c r="J19" i="54"/>
  <c r="K19" i="54"/>
  <c r="L19" i="54"/>
  <c r="M19" i="54"/>
  <c r="N19" i="54"/>
  <c r="O19" i="54"/>
  <c r="P19" i="54"/>
  <c r="Q19" i="54"/>
  <c r="R19" i="54"/>
  <c r="S19" i="54"/>
  <c r="T19" i="54"/>
  <c r="U19" i="54"/>
  <c r="V19" i="54"/>
  <c r="W19" i="54"/>
  <c r="X19" i="54"/>
  <c r="Y19" i="54"/>
  <c r="Z19" i="54"/>
  <c r="AA19" i="54"/>
  <c r="AB19" i="54"/>
  <c r="AC19" i="54"/>
  <c r="AD19" i="54"/>
  <c r="AE19" i="54"/>
  <c r="B20" i="54"/>
  <c r="C20" i="54"/>
  <c r="D20" i="54"/>
  <c r="E20" i="54"/>
  <c r="F20" i="54"/>
  <c r="G20" i="54"/>
  <c r="H20" i="54"/>
  <c r="I20" i="54"/>
  <c r="J20" i="54"/>
  <c r="K20" i="54"/>
  <c r="L20" i="54"/>
  <c r="M20" i="54"/>
  <c r="N20" i="54"/>
  <c r="O20" i="54"/>
  <c r="P20" i="54"/>
  <c r="Q20" i="54"/>
  <c r="R20" i="54"/>
  <c r="S20" i="54"/>
  <c r="T20" i="54"/>
  <c r="U20" i="54"/>
  <c r="V20" i="54"/>
  <c r="W20" i="54"/>
  <c r="X20" i="54"/>
  <c r="Y20" i="54"/>
  <c r="Z20" i="54"/>
  <c r="AA20" i="54"/>
  <c r="AB20" i="54"/>
  <c r="AC20" i="54"/>
  <c r="AD20" i="54"/>
  <c r="AE20" i="54"/>
  <c r="B21" i="54"/>
  <c r="C21" i="54"/>
  <c r="D21" i="54"/>
  <c r="E21" i="54"/>
  <c r="F21" i="54"/>
  <c r="G21" i="54"/>
  <c r="H21" i="54"/>
  <c r="I21" i="54"/>
  <c r="J21" i="54"/>
  <c r="K21" i="54"/>
  <c r="L21" i="54"/>
  <c r="M21" i="54"/>
  <c r="N21" i="54"/>
  <c r="O21" i="54"/>
  <c r="P21" i="54"/>
  <c r="Q21" i="54"/>
  <c r="R21" i="54"/>
  <c r="S21" i="54"/>
  <c r="T21" i="54"/>
  <c r="U21" i="54"/>
  <c r="V21" i="54"/>
  <c r="W21" i="54" s="1"/>
  <c r="X21" i="54"/>
  <c r="Y21" i="54"/>
  <c r="Z21" i="54"/>
  <c r="AA21" i="54"/>
  <c r="AB21" i="54"/>
  <c r="AC21" i="54"/>
  <c r="AD21" i="54"/>
  <c r="AE21" i="54"/>
  <c r="B22" i="54"/>
  <c r="C22" i="54"/>
  <c r="D22" i="54"/>
  <c r="E22" i="54"/>
  <c r="F22" i="54"/>
  <c r="G22" i="54"/>
  <c r="H22" i="54"/>
  <c r="I22" i="54"/>
  <c r="J22" i="54"/>
  <c r="K22" i="54"/>
  <c r="L22" i="54"/>
  <c r="M22" i="54"/>
  <c r="N22" i="54"/>
  <c r="O22" i="54"/>
  <c r="P22" i="54"/>
  <c r="Q22" i="54"/>
  <c r="R22" i="54"/>
  <c r="S22" i="54"/>
  <c r="T22" i="54"/>
  <c r="U22" i="54"/>
  <c r="V22" i="54"/>
  <c r="W22" i="54"/>
  <c r="X22" i="54"/>
  <c r="Y22" i="54"/>
  <c r="Z22" i="54"/>
  <c r="AA22" i="54"/>
  <c r="AB22" i="54"/>
  <c r="AC22" i="54"/>
  <c r="AD22" i="54"/>
  <c r="AE22" i="54"/>
  <c r="B23" i="54"/>
  <c r="C23" i="54"/>
  <c r="D23" i="54"/>
  <c r="E23" i="54"/>
  <c r="F23" i="54"/>
  <c r="G23" i="54"/>
  <c r="H23" i="54"/>
  <c r="I23" i="54"/>
  <c r="J23" i="54"/>
  <c r="K23" i="54"/>
  <c r="L23" i="54"/>
  <c r="M23" i="54"/>
  <c r="N23" i="54"/>
  <c r="O23" i="54"/>
  <c r="P23" i="54"/>
  <c r="Q23" i="54"/>
  <c r="R23" i="54"/>
  <c r="S23" i="54"/>
  <c r="T23" i="54"/>
  <c r="U23" i="54"/>
  <c r="V23" i="54"/>
  <c r="W23" i="54"/>
  <c r="X23" i="54"/>
  <c r="Y23" i="54"/>
  <c r="Z23" i="54"/>
  <c r="AA23" i="54"/>
  <c r="AB23" i="54"/>
  <c r="AC23" i="54"/>
  <c r="AD23" i="54"/>
  <c r="AE23" i="54"/>
  <c r="B24" i="54"/>
  <c r="C24" i="54"/>
  <c r="D24" i="54"/>
  <c r="E24" i="54"/>
  <c r="F24" i="54"/>
  <c r="G24" i="54"/>
  <c r="H24" i="54"/>
  <c r="I24" i="54"/>
  <c r="J24" i="54"/>
  <c r="K24" i="54"/>
  <c r="L24" i="54"/>
  <c r="M24" i="54"/>
  <c r="N24" i="54"/>
  <c r="O24" i="54"/>
  <c r="P24" i="54"/>
  <c r="Q24" i="54"/>
  <c r="R24" i="54"/>
  <c r="S24" i="54"/>
  <c r="T24" i="54"/>
  <c r="U24" i="54"/>
  <c r="V24" i="54"/>
  <c r="W24" i="54"/>
  <c r="X24" i="54"/>
  <c r="Y24" i="54"/>
  <c r="Z24" i="54"/>
  <c r="AA24" i="54"/>
  <c r="AB24" i="54"/>
  <c r="AC24" i="54"/>
  <c r="AD24" i="54"/>
  <c r="AE24" i="54"/>
  <c r="B25" i="54"/>
  <c r="C25" i="54"/>
  <c r="D25" i="54"/>
  <c r="E25" i="54"/>
  <c r="F25" i="54"/>
  <c r="G25" i="54"/>
  <c r="H25" i="54"/>
  <c r="I25" i="54"/>
  <c r="J25" i="54"/>
  <c r="K25" i="54"/>
  <c r="L25" i="54"/>
  <c r="M25" i="54"/>
  <c r="N25" i="54"/>
  <c r="O25" i="54"/>
  <c r="P25" i="54"/>
  <c r="Q25" i="54"/>
  <c r="R25" i="54"/>
  <c r="S25" i="54"/>
  <c r="T25" i="54"/>
  <c r="U25" i="54"/>
  <c r="V25" i="54"/>
  <c r="W25" i="54"/>
  <c r="X25" i="54"/>
  <c r="Y25" i="54"/>
  <c r="Z25" i="54"/>
  <c r="AA25" i="54"/>
  <c r="AB25" i="54"/>
  <c r="AC25" i="54"/>
  <c r="AD25" i="54"/>
  <c r="AE25" i="54"/>
  <c r="B26" i="54"/>
  <c r="E26" i="54"/>
  <c r="F26" i="54"/>
  <c r="G26" i="54"/>
  <c r="H26" i="54"/>
  <c r="I26" i="54"/>
  <c r="J26" i="54"/>
  <c r="K26" i="54"/>
  <c r="L26" i="54"/>
  <c r="M26" i="54"/>
  <c r="N26" i="54"/>
  <c r="O26" i="54"/>
  <c r="P26" i="54"/>
  <c r="Q26" i="54"/>
  <c r="R26" i="54"/>
  <c r="S26" i="54"/>
  <c r="T26" i="54"/>
  <c r="U26" i="54"/>
  <c r="V26" i="54"/>
  <c r="W26" i="54"/>
  <c r="X26" i="54"/>
  <c r="Y26" i="54"/>
  <c r="Z26" i="54"/>
  <c r="AA26" i="54"/>
  <c r="AB26" i="54"/>
  <c r="AC26" i="54"/>
  <c r="AD26" i="54"/>
  <c r="AE26" i="54"/>
  <c r="B27" i="54"/>
  <c r="C27" i="54"/>
  <c r="D27" i="54"/>
  <c r="E27" i="54"/>
  <c r="F27" i="54"/>
  <c r="G27" i="54"/>
  <c r="H27" i="54"/>
  <c r="I27" i="54"/>
  <c r="J27" i="54"/>
  <c r="K27" i="54"/>
  <c r="L27" i="54"/>
  <c r="M27" i="54"/>
  <c r="N27" i="54"/>
  <c r="O27" i="54"/>
  <c r="P27" i="54"/>
  <c r="Q27" i="54"/>
  <c r="R27" i="54"/>
  <c r="S27" i="54"/>
  <c r="T27" i="54"/>
  <c r="U27" i="54"/>
  <c r="V27" i="54"/>
  <c r="W27" i="54"/>
  <c r="X27" i="54"/>
  <c r="Y27" i="54"/>
  <c r="Z27" i="54"/>
  <c r="AA27" i="54"/>
  <c r="AB27" i="54"/>
  <c r="AC27" i="54"/>
  <c r="AD27" i="54"/>
  <c r="AE27" i="54"/>
  <c r="B28" i="54"/>
  <c r="C28" i="54" s="1"/>
  <c r="D28" i="54"/>
  <c r="E28" i="54"/>
  <c r="F28" i="54"/>
  <c r="G28" i="54"/>
  <c r="H28" i="54"/>
  <c r="I28" i="54"/>
  <c r="J28" i="54"/>
  <c r="K28" i="54"/>
  <c r="L28" i="54"/>
  <c r="M28" i="54"/>
  <c r="N28" i="54"/>
  <c r="O28" i="54"/>
  <c r="P28" i="54"/>
  <c r="Q28" i="54"/>
  <c r="R28" i="54"/>
  <c r="S28" i="54"/>
  <c r="T28" i="54"/>
  <c r="U28" i="54"/>
  <c r="V28" i="54"/>
  <c r="W28" i="54"/>
  <c r="X28" i="54"/>
  <c r="Y28" i="54"/>
  <c r="Z28" i="54"/>
  <c r="AA28" i="54"/>
  <c r="AB28" i="54"/>
  <c r="AC28" i="54"/>
  <c r="AD28" i="54"/>
  <c r="AE28" i="54"/>
  <c r="B29" i="54"/>
  <c r="C29" i="54"/>
  <c r="D29" i="54"/>
  <c r="E29" i="54"/>
  <c r="F29" i="54"/>
  <c r="G29" i="54"/>
  <c r="H29" i="54"/>
  <c r="I29" i="54"/>
  <c r="J29" i="54"/>
  <c r="K29" i="54"/>
  <c r="L29" i="54"/>
  <c r="M29" i="54"/>
  <c r="N29" i="54"/>
  <c r="O29" i="54"/>
  <c r="P29" i="54"/>
  <c r="Q29" i="54"/>
  <c r="R29" i="54"/>
  <c r="S29" i="54"/>
  <c r="T29" i="54"/>
  <c r="U29" i="54"/>
  <c r="V29" i="54"/>
  <c r="W29" i="54"/>
  <c r="X29" i="54"/>
  <c r="Y29" i="54"/>
  <c r="Z29" i="54"/>
  <c r="AA29" i="54"/>
  <c r="AB29" i="54"/>
  <c r="AC29" i="54"/>
  <c r="AD29" i="54"/>
  <c r="AE29" i="54"/>
  <c r="B30" i="54"/>
  <c r="C30" i="54"/>
  <c r="D30" i="54"/>
  <c r="E30" i="54"/>
  <c r="F30" i="54"/>
  <c r="G30" i="54"/>
  <c r="H30" i="54"/>
  <c r="I30" i="54"/>
  <c r="J30" i="54"/>
  <c r="K30" i="54"/>
  <c r="L30" i="54"/>
  <c r="M30" i="54"/>
  <c r="N30" i="54"/>
  <c r="O30" i="54"/>
  <c r="P30" i="54"/>
  <c r="Q30" i="54"/>
  <c r="R30" i="54"/>
  <c r="S30" i="54"/>
  <c r="T30" i="54"/>
  <c r="U30" i="54"/>
  <c r="V30" i="54"/>
  <c r="W30" i="54"/>
  <c r="X30" i="54"/>
  <c r="Y30" i="54"/>
  <c r="Z30" i="54"/>
  <c r="AA30" i="54"/>
  <c r="AB30" i="54"/>
  <c r="AC30" i="54"/>
  <c r="AD30" i="54"/>
  <c r="AE30" i="54"/>
  <c r="B31" i="54"/>
  <c r="C31" i="54"/>
  <c r="D31" i="54"/>
  <c r="E31" i="54"/>
  <c r="F31" i="54"/>
  <c r="G31" i="54"/>
  <c r="H31" i="54"/>
  <c r="I31" i="54"/>
  <c r="J31" i="54"/>
  <c r="K31" i="54"/>
  <c r="L31" i="54"/>
  <c r="M31" i="54"/>
  <c r="N31" i="54"/>
  <c r="O31" i="54"/>
  <c r="P31" i="54"/>
  <c r="Q31" i="54"/>
  <c r="R31" i="54"/>
  <c r="S31" i="54"/>
  <c r="T31" i="54"/>
  <c r="U31" i="54"/>
  <c r="V31" i="54"/>
  <c r="W31" i="54"/>
  <c r="X31" i="54"/>
  <c r="Y31" i="54"/>
  <c r="Z31" i="54"/>
  <c r="AA31" i="54"/>
  <c r="AB31" i="54"/>
  <c r="AC31" i="54"/>
  <c r="AD31" i="54"/>
  <c r="AE31" i="54"/>
  <c r="B32" i="54"/>
  <c r="C32" i="54"/>
  <c r="D32" i="54"/>
  <c r="E32" i="54"/>
  <c r="F32" i="54"/>
  <c r="G32" i="54"/>
  <c r="H32" i="54"/>
  <c r="I32" i="54"/>
  <c r="J32" i="54"/>
  <c r="K32" i="54"/>
  <c r="L32" i="54"/>
  <c r="M32" i="54"/>
  <c r="N32" i="54"/>
  <c r="O32" i="54"/>
  <c r="P32" i="54"/>
  <c r="Q32" i="54"/>
  <c r="R32" i="54"/>
  <c r="S32" i="54"/>
  <c r="T32" i="54"/>
  <c r="U32" i="54"/>
  <c r="V32" i="54"/>
  <c r="W32" i="54"/>
  <c r="X32" i="54"/>
  <c r="Y32" i="54"/>
  <c r="Z32" i="54"/>
  <c r="AA32" i="54"/>
  <c r="AB32" i="54"/>
  <c r="AC32" i="54"/>
  <c r="AD32" i="54"/>
  <c r="AE32" i="54"/>
  <c r="B33" i="54"/>
  <c r="C33" i="54"/>
  <c r="D33" i="54"/>
  <c r="E33" i="54"/>
  <c r="F33" i="54"/>
  <c r="G33" i="54"/>
  <c r="H33" i="54"/>
  <c r="I33" i="54"/>
  <c r="J33" i="54"/>
  <c r="K33" i="54"/>
  <c r="L33" i="54"/>
  <c r="M33" i="54"/>
  <c r="N33" i="54"/>
  <c r="O33" i="54"/>
  <c r="P33" i="54"/>
  <c r="Q33" i="54"/>
  <c r="R33" i="54"/>
  <c r="S33" i="54"/>
  <c r="T33" i="54"/>
  <c r="U33" i="54"/>
  <c r="V33" i="54"/>
  <c r="W33" i="54"/>
  <c r="X33" i="54"/>
  <c r="Y33" i="54"/>
  <c r="Z33" i="54"/>
  <c r="AA33" i="54"/>
  <c r="AB33" i="54"/>
  <c r="AC33" i="54"/>
  <c r="AD33" i="54"/>
  <c r="AE33" i="54"/>
  <c r="B34" i="54"/>
  <c r="C34" i="54"/>
  <c r="D34" i="54"/>
  <c r="E34" i="54"/>
  <c r="F34" i="54"/>
  <c r="G34" i="54"/>
  <c r="H34" i="54"/>
  <c r="I34" i="54"/>
  <c r="J34" i="54"/>
  <c r="K34" i="54"/>
  <c r="L34" i="54"/>
  <c r="M34" i="54"/>
  <c r="N34" i="54"/>
  <c r="O34" i="54"/>
  <c r="P34" i="54"/>
  <c r="Q34" i="54"/>
  <c r="R34" i="54"/>
  <c r="S34" i="54"/>
  <c r="T34" i="54"/>
  <c r="U34" i="54"/>
  <c r="V34" i="54"/>
  <c r="W34" i="54"/>
  <c r="X34" i="54"/>
  <c r="Y34" i="54"/>
  <c r="Z34" i="54"/>
  <c r="AA34" i="54"/>
  <c r="AB34" i="54"/>
  <c r="AC34" i="54"/>
  <c r="AD34" i="54"/>
  <c r="AE34" i="54"/>
  <c r="B35" i="54"/>
  <c r="C35" i="54"/>
  <c r="D35" i="54"/>
  <c r="E35" i="54"/>
  <c r="F35" i="54"/>
  <c r="G35" i="54"/>
  <c r="H35" i="54"/>
  <c r="I35" i="54"/>
  <c r="J35" i="54"/>
  <c r="K35" i="54"/>
  <c r="L35" i="54"/>
  <c r="M35" i="54"/>
  <c r="N35" i="54"/>
  <c r="O35" i="54"/>
  <c r="P35" i="54"/>
  <c r="Q35" i="54"/>
  <c r="R35" i="54"/>
  <c r="S35" i="54"/>
  <c r="T35" i="54"/>
  <c r="U35" i="54"/>
  <c r="V35" i="54"/>
  <c r="W35" i="54"/>
  <c r="X35" i="54"/>
  <c r="Y35" i="54"/>
  <c r="Z35" i="54"/>
  <c r="AA35" i="54"/>
  <c r="AB35" i="54"/>
  <c r="AC35" i="54"/>
  <c r="AD35" i="54"/>
  <c r="AE35" i="54"/>
  <c r="B36" i="54"/>
  <c r="C36" i="54"/>
  <c r="D36" i="54"/>
  <c r="E36" i="54"/>
  <c r="F36" i="54"/>
  <c r="G36" i="54"/>
  <c r="H36" i="54"/>
  <c r="I36" i="54"/>
  <c r="J36" i="54"/>
  <c r="K36" i="54"/>
  <c r="L36" i="54"/>
  <c r="M36" i="54"/>
  <c r="N36" i="54"/>
  <c r="O36" i="54"/>
  <c r="P36" i="54"/>
  <c r="Q36" i="54"/>
  <c r="R36" i="54"/>
  <c r="S36" i="54"/>
  <c r="T36" i="54"/>
  <c r="U36" i="54"/>
  <c r="V36" i="54"/>
  <c r="W36" i="54"/>
  <c r="X36" i="54"/>
  <c r="Y36" i="54"/>
  <c r="Z36" i="54"/>
  <c r="AA36" i="54"/>
  <c r="AB36" i="54"/>
  <c r="AC36" i="54"/>
  <c r="AD36" i="54"/>
  <c r="AE36" i="54"/>
  <c r="B37" i="54"/>
  <c r="C37" i="54"/>
  <c r="D37" i="54"/>
  <c r="E37" i="54"/>
  <c r="F37" i="54"/>
  <c r="G37" i="54"/>
  <c r="H37" i="54"/>
  <c r="I37" i="54"/>
  <c r="J37" i="54"/>
  <c r="K37" i="54"/>
  <c r="L37" i="54"/>
  <c r="M37" i="54"/>
  <c r="N37" i="54"/>
  <c r="O37" i="54"/>
  <c r="P37" i="54"/>
  <c r="Q37" i="54"/>
  <c r="R37" i="54"/>
  <c r="S37" i="54"/>
  <c r="T37" i="54"/>
  <c r="U37" i="54"/>
  <c r="V37" i="54"/>
  <c r="W37" i="54"/>
  <c r="X37" i="54"/>
  <c r="Y37" i="54"/>
  <c r="Z37" i="54"/>
  <c r="AA37" i="54"/>
  <c r="AB37" i="54"/>
  <c r="AC37" i="54"/>
  <c r="AD37" i="54"/>
  <c r="AE37" i="54"/>
  <c r="B38" i="54"/>
  <c r="C38" i="54"/>
  <c r="D38" i="54"/>
  <c r="E38" i="54"/>
  <c r="F38" i="54"/>
  <c r="G38" i="54"/>
  <c r="H38" i="54"/>
  <c r="I38" i="54"/>
  <c r="J38" i="54"/>
  <c r="K38" i="54"/>
  <c r="L38" i="54"/>
  <c r="M38" i="54"/>
  <c r="N38" i="54"/>
  <c r="O38" i="54"/>
  <c r="P38" i="54"/>
  <c r="Q38" i="54"/>
  <c r="R38" i="54"/>
  <c r="S38" i="54"/>
  <c r="T38" i="54"/>
  <c r="U38" i="54"/>
  <c r="V38" i="54"/>
  <c r="W38" i="54"/>
  <c r="X38" i="54"/>
  <c r="Y38" i="54"/>
  <c r="Z38" i="54"/>
  <c r="AA38" i="54"/>
  <c r="AB38" i="54"/>
  <c r="AC38" i="54"/>
  <c r="AD38" i="54"/>
  <c r="AE38" i="54"/>
  <c r="B39" i="54"/>
  <c r="C39" i="54"/>
  <c r="D39" i="54"/>
  <c r="E39" i="54"/>
  <c r="F39" i="54"/>
  <c r="G39" i="54"/>
  <c r="H39" i="54"/>
  <c r="I39" i="54"/>
  <c r="J39" i="54"/>
  <c r="K39" i="54"/>
  <c r="L39" i="54"/>
  <c r="M39" i="54"/>
  <c r="N39" i="54"/>
  <c r="O39" i="54"/>
  <c r="P39" i="54"/>
  <c r="Q39" i="54"/>
  <c r="R39" i="54"/>
  <c r="S39" i="54"/>
  <c r="T39" i="54"/>
  <c r="U39" i="54"/>
  <c r="V39" i="54"/>
  <c r="W39" i="54"/>
  <c r="X39" i="54"/>
  <c r="Y39" i="54"/>
  <c r="Z39" i="54"/>
  <c r="AA39" i="54"/>
  <c r="AB39" i="54"/>
  <c r="AC39" i="54"/>
  <c r="AD39" i="54"/>
  <c r="AE39" i="54"/>
  <c r="B40" i="54"/>
  <c r="C40" i="54"/>
  <c r="D40" i="54"/>
  <c r="E40" i="54"/>
  <c r="F40" i="54"/>
  <c r="G40" i="54"/>
  <c r="H40" i="54"/>
  <c r="I40" i="54"/>
  <c r="J40" i="54"/>
  <c r="K40" i="54"/>
  <c r="L40" i="54"/>
  <c r="M40" i="54"/>
  <c r="N40" i="54"/>
  <c r="O40" i="54"/>
  <c r="P40" i="54"/>
  <c r="Q40" i="54"/>
  <c r="R40" i="54"/>
  <c r="S40" i="54"/>
  <c r="T40" i="54"/>
  <c r="U40" i="54"/>
  <c r="V40" i="54"/>
  <c r="Y40" i="54"/>
  <c r="Z40" i="54"/>
  <c r="AA40" i="54"/>
  <c r="AB40" i="54"/>
  <c r="AC40" i="54"/>
  <c r="AD40" i="54"/>
  <c r="AE40" i="54"/>
  <c r="B41" i="54"/>
  <c r="C41" i="54"/>
  <c r="D41" i="54"/>
  <c r="E41" i="54"/>
  <c r="F41" i="54"/>
  <c r="G41" i="54"/>
  <c r="H41" i="54"/>
  <c r="I41" i="54"/>
  <c r="J41" i="54"/>
  <c r="K41" i="54"/>
  <c r="L41" i="54"/>
  <c r="M41" i="54"/>
  <c r="N41" i="54"/>
  <c r="O41" i="54"/>
  <c r="P41" i="54"/>
  <c r="Q41" i="54"/>
  <c r="R41" i="54"/>
  <c r="S41" i="54"/>
  <c r="T41" i="54"/>
  <c r="U41" i="54"/>
  <c r="V41" i="54"/>
  <c r="W41" i="54"/>
  <c r="X41" i="54"/>
  <c r="Y41" i="54"/>
  <c r="Z41" i="54"/>
  <c r="AA41" i="54"/>
  <c r="AB41" i="54"/>
  <c r="AC41" i="54"/>
  <c r="AD41" i="54"/>
  <c r="AE41" i="54"/>
  <c r="B42" i="54"/>
  <c r="C42" i="54"/>
  <c r="D42" i="54"/>
  <c r="E42" i="54"/>
  <c r="F42" i="54"/>
  <c r="G42" i="54"/>
  <c r="H42" i="54"/>
  <c r="I42" i="54"/>
  <c r="J42" i="54"/>
  <c r="K42" i="54"/>
  <c r="L42" i="54"/>
  <c r="M42" i="54"/>
  <c r="N42" i="54"/>
  <c r="O42" i="54"/>
  <c r="P42" i="54"/>
  <c r="Q42" i="54"/>
  <c r="R42" i="54"/>
  <c r="S42" i="54"/>
  <c r="T42" i="54"/>
  <c r="U42" i="54"/>
  <c r="V42" i="54"/>
  <c r="W42" i="54"/>
  <c r="X42" i="54"/>
  <c r="Y42" i="54"/>
  <c r="Z42" i="54"/>
  <c r="AA42" i="54"/>
  <c r="AB42" i="54"/>
  <c r="AC42" i="54"/>
  <c r="AD42" i="54"/>
  <c r="AE42" i="54"/>
  <c r="B43" i="54"/>
  <c r="C43" i="54"/>
  <c r="D43" i="54"/>
  <c r="E43" i="54"/>
  <c r="F43" i="54"/>
  <c r="G43" i="54"/>
  <c r="H43" i="54"/>
  <c r="I43" i="54"/>
  <c r="J43" i="54"/>
  <c r="K43" i="54"/>
  <c r="L43" i="54"/>
  <c r="M43" i="54"/>
  <c r="N43" i="54"/>
  <c r="O43" i="54"/>
  <c r="P43" i="54"/>
  <c r="Q43" i="54"/>
  <c r="R43" i="54"/>
  <c r="S43" i="54"/>
  <c r="T43" i="54"/>
  <c r="U43" i="54"/>
  <c r="V43" i="54"/>
  <c r="W43" i="54"/>
  <c r="X43" i="54"/>
  <c r="Y43" i="54"/>
  <c r="Z43" i="54"/>
  <c r="AA43" i="54"/>
  <c r="AB43" i="54"/>
  <c r="AC43" i="54"/>
  <c r="AD43" i="54"/>
  <c r="AE43" i="54"/>
  <c r="B44" i="54"/>
  <c r="C44" i="54"/>
  <c r="D44" i="54"/>
  <c r="E44" i="54"/>
  <c r="F44" i="54"/>
  <c r="G44" i="54"/>
  <c r="H44" i="54"/>
  <c r="I44" i="54"/>
  <c r="J44" i="54"/>
  <c r="K44" i="54"/>
  <c r="L44" i="54"/>
  <c r="M44" i="54"/>
  <c r="N44" i="54"/>
  <c r="O44" i="54"/>
  <c r="P44" i="54"/>
  <c r="Q44" i="54"/>
  <c r="R44" i="54"/>
  <c r="S44" i="54"/>
  <c r="T44" i="54"/>
  <c r="U44" i="54"/>
  <c r="V44" i="54"/>
  <c r="W44" i="54"/>
  <c r="X44" i="54"/>
  <c r="Y44" i="54"/>
  <c r="Z44" i="54"/>
  <c r="AA44" i="54"/>
  <c r="AB44" i="54"/>
  <c r="AC44" i="54"/>
  <c r="AD44" i="54"/>
  <c r="AE44" i="54"/>
  <c r="B45" i="54"/>
  <c r="C45" i="54"/>
  <c r="D45" i="54"/>
  <c r="E45" i="54"/>
  <c r="F45" i="54"/>
  <c r="G45" i="54"/>
  <c r="H45" i="54"/>
  <c r="I45" i="54"/>
  <c r="J45" i="54"/>
  <c r="K45" i="54"/>
  <c r="L45" i="54"/>
  <c r="M45" i="54"/>
  <c r="N45" i="54"/>
  <c r="O45" i="54"/>
  <c r="P45" i="54"/>
  <c r="Q45" i="54"/>
  <c r="R45" i="54"/>
  <c r="S45" i="54"/>
  <c r="T45" i="54"/>
  <c r="U45" i="54"/>
  <c r="V45" i="54"/>
  <c r="W45" i="54"/>
  <c r="X45" i="54"/>
  <c r="Y45" i="54"/>
  <c r="Z45" i="54"/>
  <c r="AA45" i="54"/>
  <c r="AB45" i="54"/>
  <c r="AC45" i="54"/>
  <c r="AD45" i="54"/>
  <c r="AE45" i="54"/>
  <c r="B46" i="54"/>
  <c r="C46" i="54"/>
  <c r="D46" i="54"/>
  <c r="E46" i="54"/>
  <c r="F46" i="54"/>
  <c r="G46" i="54"/>
  <c r="H46" i="54"/>
  <c r="I46" i="54"/>
  <c r="J46" i="54"/>
  <c r="K46" i="54"/>
  <c r="L46" i="54"/>
  <c r="M46" i="54"/>
  <c r="N46" i="54"/>
  <c r="O46" i="54"/>
  <c r="P46" i="54"/>
  <c r="Q46" i="54"/>
  <c r="R46" i="54"/>
  <c r="S46" i="54"/>
  <c r="T46" i="54"/>
  <c r="U46" i="54"/>
  <c r="V46" i="54"/>
  <c r="W46" i="54"/>
  <c r="X46" i="54"/>
  <c r="Y46" i="54"/>
  <c r="Z46" i="54"/>
  <c r="AA46" i="54"/>
  <c r="AB46" i="54"/>
  <c r="AC46" i="54"/>
  <c r="AD46" i="54"/>
  <c r="AE46" i="54"/>
  <c r="B47" i="54"/>
  <c r="C47" i="54"/>
  <c r="D47" i="54"/>
  <c r="E47" i="54"/>
  <c r="F47" i="54"/>
  <c r="G47" i="54"/>
  <c r="H47" i="54"/>
  <c r="I47" i="54"/>
  <c r="J47" i="54"/>
  <c r="K47" i="54"/>
  <c r="L47" i="54"/>
  <c r="M47" i="54"/>
  <c r="N47" i="54"/>
  <c r="O47" i="54"/>
  <c r="P47" i="54"/>
  <c r="Q47" i="54"/>
  <c r="R47" i="54"/>
  <c r="S47" i="54"/>
  <c r="T47" i="54"/>
  <c r="U47" i="54"/>
  <c r="V47" i="54"/>
  <c r="W47" i="54"/>
  <c r="X47" i="54"/>
  <c r="Y47" i="54"/>
  <c r="Z47" i="54"/>
  <c r="AA47" i="54"/>
  <c r="AB47" i="54"/>
  <c r="AC47" i="54"/>
  <c r="AD47" i="54"/>
  <c r="AE47" i="54"/>
  <c r="B48" i="54"/>
  <c r="C48" i="54"/>
  <c r="D48" i="54"/>
  <c r="E48" i="54"/>
  <c r="F48" i="54"/>
  <c r="G48" i="54"/>
  <c r="H48" i="54"/>
  <c r="I48" i="54"/>
  <c r="J48" i="54"/>
  <c r="K48" i="54"/>
  <c r="L48" i="54"/>
  <c r="M48" i="54"/>
  <c r="N48" i="54"/>
  <c r="O48" i="54"/>
  <c r="P48" i="54"/>
  <c r="Q48" i="54"/>
  <c r="R48" i="54"/>
  <c r="S48" i="54"/>
  <c r="T48" i="54"/>
  <c r="U48" i="54"/>
  <c r="V48" i="54"/>
  <c r="Y48" i="54"/>
  <c r="Z48" i="54"/>
  <c r="AA48" i="54"/>
  <c r="AB48" i="54"/>
  <c r="AC48" i="54"/>
  <c r="AD48" i="54"/>
  <c r="AE48" i="54"/>
  <c r="B49" i="54"/>
  <c r="C49" i="54"/>
  <c r="D49" i="54"/>
  <c r="E49" i="54"/>
  <c r="F49" i="54"/>
  <c r="G49" i="54"/>
  <c r="H49" i="54"/>
  <c r="I49" i="54"/>
  <c r="J49" i="54"/>
  <c r="K49" i="54"/>
  <c r="L49" i="54"/>
  <c r="M49" i="54"/>
  <c r="N49" i="54"/>
  <c r="O49" i="54"/>
  <c r="P49" i="54"/>
  <c r="Q49" i="54"/>
  <c r="R49" i="54"/>
  <c r="S49" i="54"/>
  <c r="T49" i="54"/>
  <c r="U49" i="54"/>
  <c r="V49" i="54"/>
  <c r="W49" i="54"/>
  <c r="X49" i="54"/>
  <c r="Y49" i="54"/>
  <c r="Z49" i="54"/>
  <c r="AA49" i="54"/>
  <c r="AB49" i="54"/>
  <c r="AC49" i="54"/>
  <c r="AD49" i="54"/>
  <c r="AE49" i="54"/>
  <c r="B50" i="54"/>
  <c r="C50" i="54"/>
  <c r="D50" i="54"/>
  <c r="E50" i="54"/>
  <c r="F50" i="54"/>
  <c r="G50" i="54"/>
  <c r="H50" i="54"/>
  <c r="I50" i="54"/>
  <c r="J50" i="54"/>
  <c r="K50" i="54"/>
  <c r="L50" i="54"/>
  <c r="M50" i="54"/>
  <c r="N50" i="54"/>
  <c r="O50" i="54"/>
  <c r="P50" i="54"/>
  <c r="Q50" i="54"/>
  <c r="R50" i="54"/>
  <c r="S50" i="54"/>
  <c r="T50" i="54"/>
  <c r="U50" i="54"/>
  <c r="V50" i="54"/>
  <c r="W50" i="54"/>
  <c r="X50" i="54"/>
  <c r="Y50" i="54"/>
  <c r="Z50" i="54"/>
  <c r="AA50" i="54"/>
  <c r="AB50" i="54"/>
  <c r="AC50" i="54"/>
  <c r="AD50" i="54"/>
  <c r="AE50" i="54"/>
  <c r="B51" i="54"/>
  <c r="C51" i="54"/>
  <c r="D51" i="54"/>
  <c r="E51" i="54"/>
  <c r="F51" i="54"/>
  <c r="G51" i="54"/>
  <c r="H51" i="54"/>
  <c r="I51" i="54"/>
  <c r="J51" i="54"/>
  <c r="K51" i="54"/>
  <c r="L51" i="54"/>
  <c r="M51" i="54"/>
  <c r="N51" i="54"/>
  <c r="O51" i="54"/>
  <c r="P51" i="54"/>
  <c r="Q51" i="54"/>
  <c r="R51" i="54"/>
  <c r="S51" i="54"/>
  <c r="T51" i="54"/>
  <c r="U51" i="54"/>
  <c r="V51" i="54"/>
  <c r="W51" i="54"/>
  <c r="X51" i="54"/>
  <c r="Y51" i="54"/>
  <c r="Z51" i="54"/>
  <c r="AA51" i="54"/>
  <c r="AB51" i="54"/>
  <c r="AC51" i="54"/>
  <c r="AD51" i="54"/>
  <c r="AE51" i="54"/>
  <c r="B52" i="54"/>
  <c r="C52" i="54"/>
  <c r="D52" i="54"/>
  <c r="E52" i="54"/>
  <c r="F52" i="54"/>
  <c r="G52" i="54"/>
  <c r="H52" i="54"/>
  <c r="I52" i="54"/>
  <c r="J52" i="54"/>
  <c r="K52" i="54"/>
  <c r="L52" i="54"/>
  <c r="M52" i="54"/>
  <c r="N52" i="54"/>
  <c r="O52" i="54"/>
  <c r="P52" i="54"/>
  <c r="Q52" i="54"/>
  <c r="R52" i="54"/>
  <c r="S52" i="54"/>
  <c r="T52" i="54"/>
  <c r="U52" i="54"/>
  <c r="V52" i="54"/>
  <c r="Z52" i="54"/>
  <c r="AA52" i="54"/>
  <c r="AB52" i="54"/>
  <c r="AC52" i="54"/>
  <c r="AD52" i="54"/>
  <c r="AE52" i="54"/>
  <c r="B53" i="54"/>
  <c r="C53" i="54"/>
  <c r="D53" i="54"/>
  <c r="E53" i="54"/>
  <c r="F53" i="54"/>
  <c r="G53" i="54"/>
  <c r="H53" i="54"/>
  <c r="I53" i="54"/>
  <c r="J53" i="54"/>
  <c r="K53" i="54"/>
  <c r="L53" i="54"/>
  <c r="M53" i="54"/>
  <c r="N53" i="54"/>
  <c r="O53" i="54"/>
  <c r="P53" i="54"/>
  <c r="Q53" i="54"/>
  <c r="R53" i="54"/>
  <c r="S53" i="54"/>
  <c r="T53" i="54"/>
  <c r="U53" i="54"/>
  <c r="V53" i="54"/>
  <c r="W53" i="54" s="1"/>
  <c r="X53" i="54"/>
  <c r="Y53" i="54"/>
  <c r="Z53" i="54"/>
  <c r="AA53" i="54"/>
  <c r="AB53" i="54"/>
  <c r="AC53" i="54"/>
  <c r="AD53" i="54"/>
  <c r="AE53" i="54"/>
  <c r="B54" i="54"/>
  <c r="C54" i="54"/>
  <c r="D54" i="54"/>
  <c r="E54" i="54"/>
  <c r="F54" i="54"/>
  <c r="G54" i="54"/>
  <c r="H54" i="54"/>
  <c r="I54" i="54"/>
  <c r="J54" i="54"/>
  <c r="K54" i="54"/>
  <c r="L54" i="54"/>
  <c r="M54" i="54"/>
  <c r="N54" i="54"/>
  <c r="O54" i="54"/>
  <c r="P54" i="54"/>
  <c r="Q54" i="54"/>
  <c r="R54" i="54"/>
  <c r="S54" i="54"/>
  <c r="T54" i="54"/>
  <c r="U54" i="54"/>
  <c r="V54" i="54"/>
  <c r="W54" i="54"/>
  <c r="X54" i="54"/>
  <c r="Y54" i="54"/>
  <c r="Z54" i="54"/>
  <c r="AA54" i="54"/>
  <c r="AB54" i="54"/>
  <c r="AC54" i="54"/>
  <c r="AD54" i="54"/>
  <c r="AE54" i="54"/>
  <c r="B55" i="54"/>
  <c r="C55" i="54"/>
  <c r="D55" i="54"/>
  <c r="E55" i="54"/>
  <c r="F55" i="54"/>
  <c r="G55" i="54"/>
  <c r="H55" i="54"/>
  <c r="I55" i="54"/>
  <c r="J55" i="54"/>
  <c r="K55" i="54"/>
  <c r="L55" i="54"/>
  <c r="M55" i="54"/>
  <c r="N55" i="54"/>
  <c r="O55" i="54"/>
  <c r="P55" i="54"/>
  <c r="Q55" i="54"/>
  <c r="R55" i="54"/>
  <c r="S55" i="54"/>
  <c r="T55" i="54"/>
  <c r="U55" i="54"/>
  <c r="V55" i="54"/>
  <c r="W55" i="54" s="1"/>
  <c r="X55" i="54"/>
  <c r="Y55" i="54"/>
  <c r="Z55" i="54"/>
  <c r="AA55" i="54"/>
  <c r="AB55" i="54"/>
  <c r="AC55" i="54"/>
  <c r="AD55" i="54"/>
  <c r="AE55" i="54"/>
  <c r="B56" i="54"/>
  <c r="C56" i="54"/>
  <c r="D56" i="54"/>
  <c r="E56" i="54"/>
  <c r="F56" i="54"/>
  <c r="G56" i="54"/>
  <c r="H56" i="54"/>
  <c r="I56" i="54"/>
  <c r="J56" i="54"/>
  <c r="K56" i="54"/>
  <c r="L56" i="54"/>
  <c r="M56" i="54"/>
  <c r="N56" i="54"/>
  <c r="O56" i="54"/>
  <c r="P56" i="54"/>
  <c r="Q56" i="54"/>
  <c r="R56" i="54"/>
  <c r="S56" i="54"/>
  <c r="T56" i="54"/>
  <c r="U56" i="54"/>
  <c r="V56" i="54"/>
  <c r="W56" i="54" s="1"/>
  <c r="X56" i="54"/>
  <c r="Y56" i="54"/>
  <c r="Z56" i="54"/>
  <c r="AA56" i="54"/>
  <c r="AB56" i="54"/>
  <c r="AC56" i="54"/>
  <c r="AD56" i="54"/>
  <c r="AE56" i="54"/>
  <c r="B57" i="54"/>
  <c r="C57" i="54"/>
  <c r="D57" i="54"/>
  <c r="E57" i="54"/>
  <c r="F57" i="54"/>
  <c r="G57" i="54"/>
  <c r="H57" i="54"/>
  <c r="I57" i="54"/>
  <c r="J57" i="54"/>
  <c r="K57" i="54"/>
  <c r="L57" i="54"/>
  <c r="M57" i="54"/>
  <c r="N57" i="54"/>
  <c r="O57" i="54"/>
  <c r="P57" i="54"/>
  <c r="Q57" i="54"/>
  <c r="R57" i="54"/>
  <c r="S57" i="54"/>
  <c r="T57" i="54"/>
  <c r="U57" i="54"/>
  <c r="V57" i="54"/>
  <c r="W57" i="54"/>
  <c r="X57" i="54"/>
  <c r="Y57" i="54"/>
  <c r="Z57" i="54"/>
  <c r="AA57" i="54"/>
  <c r="AB57" i="54"/>
  <c r="AC57" i="54"/>
  <c r="AD57" i="54"/>
  <c r="AE57" i="54"/>
  <c r="B58" i="54"/>
  <c r="C58" i="54"/>
  <c r="D58" i="54"/>
  <c r="E58" i="54"/>
  <c r="F58" i="54"/>
  <c r="G58" i="54"/>
  <c r="H58" i="54"/>
  <c r="I58" i="54"/>
  <c r="J58" i="54"/>
  <c r="K58" i="54"/>
  <c r="L58" i="54"/>
  <c r="M58" i="54"/>
  <c r="N58" i="54"/>
  <c r="O58" i="54"/>
  <c r="P58" i="54"/>
  <c r="Q58" i="54"/>
  <c r="R58" i="54"/>
  <c r="S58" i="54"/>
  <c r="T58" i="54"/>
  <c r="U58" i="54"/>
  <c r="V58" i="54"/>
  <c r="W58" i="54"/>
  <c r="X58" i="54"/>
  <c r="Y58" i="54"/>
  <c r="Z58" i="54"/>
  <c r="AA58" i="54"/>
  <c r="AB58" i="54"/>
  <c r="AC58" i="54"/>
  <c r="AD58" i="54"/>
  <c r="AE58" i="54"/>
  <c r="B59" i="54"/>
  <c r="C59" i="54" s="1"/>
  <c r="D59" i="54"/>
  <c r="E59" i="54"/>
  <c r="F59" i="54"/>
  <c r="G59" i="54"/>
  <c r="H59" i="54"/>
  <c r="I59" i="54"/>
  <c r="J59" i="54"/>
  <c r="K59" i="54"/>
  <c r="L59" i="54"/>
  <c r="M59" i="54"/>
  <c r="N59" i="54"/>
  <c r="O59" i="54"/>
  <c r="P59" i="54"/>
  <c r="Q59" i="54"/>
  <c r="R59" i="54"/>
  <c r="S59" i="54"/>
  <c r="T59" i="54"/>
  <c r="U59" i="54"/>
  <c r="V59" i="54"/>
  <c r="W59" i="54"/>
  <c r="X59" i="54"/>
  <c r="Y59" i="54"/>
  <c r="Z59" i="54"/>
  <c r="AA59" i="54"/>
  <c r="AB59" i="54"/>
  <c r="AC59" i="54"/>
  <c r="AD59" i="54"/>
  <c r="AE59" i="54"/>
  <c r="B60" i="54"/>
  <c r="C60" i="54" s="1"/>
  <c r="D60" i="54"/>
  <c r="E60" i="54"/>
  <c r="F60" i="54"/>
  <c r="G60" i="54"/>
  <c r="H60" i="54"/>
  <c r="I60" i="54"/>
  <c r="J60" i="54"/>
  <c r="K60" i="54"/>
  <c r="L60" i="54"/>
  <c r="M60" i="54"/>
  <c r="N60" i="54"/>
  <c r="O60" i="54"/>
  <c r="P60" i="54"/>
  <c r="Q60" i="54"/>
  <c r="R60" i="54"/>
  <c r="S60" i="54"/>
  <c r="T60" i="54"/>
  <c r="U60" i="54"/>
  <c r="V60" i="54"/>
  <c r="W60" i="54"/>
  <c r="X60" i="54"/>
  <c r="Y60" i="54"/>
  <c r="Z60" i="54"/>
  <c r="AA60" i="54"/>
  <c r="AB60" i="54"/>
  <c r="AC60" i="54"/>
  <c r="AD60" i="54"/>
  <c r="AE60" i="54"/>
  <c r="B61" i="54"/>
  <c r="C61" i="54" s="1"/>
  <c r="D61" i="54"/>
  <c r="E61" i="54"/>
  <c r="F61" i="54"/>
  <c r="G61" i="54"/>
  <c r="H61" i="54"/>
  <c r="I61" i="54"/>
  <c r="J61" i="54"/>
  <c r="K61" i="54"/>
  <c r="L61" i="54"/>
  <c r="M61" i="54"/>
  <c r="N61" i="54"/>
  <c r="O61" i="54"/>
  <c r="P61" i="54"/>
  <c r="Q61" i="54"/>
  <c r="R61" i="54"/>
  <c r="S61" i="54"/>
  <c r="T61" i="54"/>
  <c r="U61" i="54"/>
  <c r="V61" i="54"/>
  <c r="W61" i="54"/>
  <c r="X61" i="54"/>
  <c r="Y61" i="54"/>
  <c r="Z61" i="54"/>
  <c r="AA61" i="54"/>
  <c r="AB61" i="54"/>
  <c r="AC61" i="54"/>
  <c r="AD61" i="54"/>
  <c r="AE61" i="54"/>
  <c r="B62" i="54"/>
  <c r="C62" i="54"/>
  <c r="D62" i="54"/>
  <c r="E62" i="54"/>
  <c r="F62" i="54"/>
  <c r="G62" i="54"/>
  <c r="H62" i="54"/>
  <c r="I62" i="54"/>
  <c r="J62" i="54"/>
  <c r="K62" i="54"/>
  <c r="L62" i="54"/>
  <c r="M62" i="54"/>
  <c r="N62" i="54"/>
  <c r="O62" i="54"/>
  <c r="P62" i="54"/>
  <c r="Q62" i="54"/>
  <c r="R62" i="54"/>
  <c r="S62" i="54"/>
  <c r="T62" i="54"/>
  <c r="U62" i="54"/>
  <c r="V62" i="54"/>
  <c r="W62" i="54"/>
  <c r="X62" i="54"/>
  <c r="Y62" i="54"/>
  <c r="Z62" i="54"/>
  <c r="AA62" i="54"/>
  <c r="AB62" i="54"/>
  <c r="AC62" i="54"/>
  <c r="AD62" i="54"/>
  <c r="AE62" i="54"/>
  <c r="B63" i="54"/>
  <c r="C63" i="54"/>
  <c r="D63" i="54"/>
  <c r="E63" i="54"/>
  <c r="F63" i="54"/>
  <c r="G63" i="54"/>
  <c r="H63" i="54"/>
  <c r="I63" i="54"/>
  <c r="J63" i="54"/>
  <c r="K63" i="54"/>
  <c r="L63" i="54"/>
  <c r="M63" i="54"/>
  <c r="N63" i="54"/>
  <c r="O63" i="54"/>
  <c r="P63" i="54"/>
  <c r="Q63" i="54"/>
  <c r="R63" i="54"/>
  <c r="S63" i="54"/>
  <c r="T63" i="54"/>
  <c r="U63" i="54"/>
  <c r="V63" i="54"/>
  <c r="W63" i="54"/>
  <c r="X63" i="54"/>
  <c r="Y63" i="54"/>
  <c r="Z63" i="54"/>
  <c r="AA63" i="54"/>
  <c r="AB63" i="54"/>
  <c r="AC63" i="54"/>
  <c r="AD63" i="54"/>
  <c r="AE63" i="54"/>
  <c r="B64" i="54"/>
  <c r="C64" i="54"/>
  <c r="D64" i="54"/>
  <c r="E64" i="54"/>
  <c r="F64" i="54"/>
  <c r="G64" i="54"/>
  <c r="H64" i="54"/>
  <c r="I64" i="54"/>
  <c r="J64" i="54"/>
  <c r="K64" i="54"/>
  <c r="L64" i="54"/>
  <c r="M64" i="54"/>
  <c r="N64" i="54"/>
  <c r="O64" i="54"/>
  <c r="P64" i="54"/>
  <c r="Q64" i="54"/>
  <c r="R64" i="54"/>
  <c r="S64" i="54"/>
  <c r="T64" i="54"/>
  <c r="U64" i="54"/>
  <c r="V64" i="54"/>
  <c r="W64" i="54"/>
  <c r="X64" i="54"/>
  <c r="Y64" i="54"/>
  <c r="Z64" i="54"/>
  <c r="AA64" i="54"/>
  <c r="AB64" i="54"/>
  <c r="AC64" i="54"/>
  <c r="AD64" i="54"/>
  <c r="AE64" i="54"/>
  <c r="B65" i="54"/>
  <c r="C65" i="54"/>
  <c r="D65" i="54"/>
  <c r="E65" i="54"/>
  <c r="F65" i="54"/>
  <c r="G65" i="54"/>
  <c r="H65" i="54"/>
  <c r="I65" i="54"/>
  <c r="J65" i="54"/>
  <c r="K65" i="54"/>
  <c r="L65" i="54"/>
  <c r="M65" i="54"/>
  <c r="N65" i="54"/>
  <c r="O65" i="54"/>
  <c r="P65" i="54"/>
  <c r="Q65" i="54"/>
  <c r="R65" i="54"/>
  <c r="S65" i="54"/>
  <c r="T65" i="54"/>
  <c r="U65" i="54"/>
  <c r="V65" i="54"/>
  <c r="W65" i="54"/>
  <c r="X65" i="54"/>
  <c r="Y65" i="54"/>
  <c r="Z65" i="54"/>
  <c r="AA65" i="54"/>
  <c r="AB65" i="54"/>
  <c r="AC65" i="54"/>
  <c r="AD65" i="54"/>
  <c r="AE65" i="54"/>
  <c r="B66" i="54"/>
  <c r="C66" i="54"/>
  <c r="D66" i="54"/>
  <c r="E66" i="54"/>
  <c r="F66" i="54"/>
  <c r="G66" i="54"/>
  <c r="H66" i="54"/>
  <c r="I66" i="54"/>
  <c r="J66" i="54"/>
  <c r="K66" i="54"/>
  <c r="L66" i="54"/>
  <c r="M66" i="54"/>
  <c r="N66" i="54"/>
  <c r="O66" i="54"/>
  <c r="P66" i="54"/>
  <c r="Q66" i="54"/>
  <c r="R66" i="54"/>
  <c r="S66" i="54"/>
  <c r="T66" i="54"/>
  <c r="U66" i="54"/>
  <c r="V66" i="54"/>
  <c r="W66" i="54" s="1"/>
  <c r="X66" i="54"/>
  <c r="Y66" i="54"/>
  <c r="Z66" i="54"/>
  <c r="AA66" i="54"/>
  <c r="AB66" i="54"/>
  <c r="AC66" i="54"/>
  <c r="AD66" i="54"/>
  <c r="AE66" i="54"/>
  <c r="B67" i="54"/>
  <c r="C67" i="54"/>
  <c r="D67" i="54"/>
  <c r="E67" i="54"/>
  <c r="F67" i="54"/>
  <c r="G67" i="54"/>
  <c r="H67" i="54"/>
  <c r="I67" i="54"/>
  <c r="J67" i="54"/>
  <c r="K67" i="54"/>
  <c r="L67" i="54"/>
  <c r="M67" i="54"/>
  <c r="N67" i="54"/>
  <c r="O67" i="54"/>
  <c r="P67" i="54"/>
  <c r="Q67" i="54"/>
  <c r="R67" i="54"/>
  <c r="S67" i="54"/>
  <c r="T67" i="54"/>
  <c r="U67" i="54"/>
  <c r="V67" i="54"/>
  <c r="W67" i="54"/>
  <c r="X67" i="54"/>
  <c r="Y67" i="54"/>
  <c r="Z67" i="54"/>
  <c r="AA67" i="54"/>
  <c r="AB67" i="54"/>
  <c r="AC67" i="54"/>
  <c r="AD67" i="54"/>
  <c r="AE67" i="54"/>
  <c r="B68" i="54"/>
  <c r="C68" i="54"/>
  <c r="D68" i="54"/>
  <c r="E68" i="54"/>
  <c r="F68" i="54"/>
  <c r="G68" i="54"/>
  <c r="H68" i="54"/>
  <c r="I68" i="54"/>
  <c r="J68" i="54"/>
  <c r="K68" i="54"/>
  <c r="L68" i="54"/>
  <c r="M68" i="54"/>
  <c r="N68" i="54"/>
  <c r="O68" i="54"/>
  <c r="P68" i="54"/>
  <c r="Q68" i="54"/>
  <c r="R68" i="54"/>
  <c r="S68" i="54"/>
  <c r="T68" i="54"/>
  <c r="U68" i="54"/>
  <c r="V68" i="54"/>
  <c r="W68" i="54"/>
  <c r="X68" i="54"/>
  <c r="Y68" i="54"/>
  <c r="Z68" i="54"/>
  <c r="AA68" i="54"/>
  <c r="AB68" i="54"/>
  <c r="AC68" i="54"/>
  <c r="AD68" i="54"/>
  <c r="AE68" i="54"/>
  <c r="B69" i="54"/>
  <c r="C69" i="54"/>
  <c r="D69" i="54"/>
  <c r="E69" i="54"/>
  <c r="F69" i="54"/>
  <c r="G69" i="54"/>
  <c r="H69" i="54"/>
  <c r="I69" i="54"/>
  <c r="J69" i="54"/>
  <c r="K69" i="54"/>
  <c r="L69" i="54"/>
  <c r="M69" i="54"/>
  <c r="N69" i="54"/>
  <c r="O69" i="54"/>
  <c r="P69" i="54"/>
  <c r="Q69" i="54"/>
  <c r="R69" i="54"/>
  <c r="S69" i="54"/>
  <c r="T69" i="54"/>
  <c r="U69" i="54"/>
  <c r="V69" i="54"/>
  <c r="W69" i="54"/>
  <c r="X69" i="54"/>
  <c r="Y69" i="54"/>
  <c r="Z69" i="54"/>
  <c r="AA69" i="54"/>
  <c r="AB69" i="54"/>
  <c r="AC69" i="54"/>
  <c r="AD69" i="54"/>
  <c r="AE69" i="54"/>
  <c r="B70" i="54"/>
  <c r="C70" i="54"/>
  <c r="D70" i="54"/>
  <c r="E70" i="54"/>
  <c r="F70" i="54"/>
  <c r="G70" i="54"/>
  <c r="H70" i="54"/>
  <c r="I70" i="54"/>
  <c r="J70" i="54"/>
  <c r="K70" i="54"/>
  <c r="L70" i="54"/>
  <c r="M70" i="54"/>
  <c r="N70" i="54"/>
  <c r="O70" i="54"/>
  <c r="P70" i="54"/>
  <c r="Q70" i="54"/>
  <c r="R70" i="54"/>
  <c r="S70" i="54"/>
  <c r="T70" i="54"/>
  <c r="U70" i="54"/>
  <c r="V70" i="54"/>
  <c r="W70" i="54" s="1"/>
  <c r="X70" i="54"/>
  <c r="Y70" i="54"/>
  <c r="Z70" i="54"/>
  <c r="AA70" i="54"/>
  <c r="AB70" i="54"/>
  <c r="AC70" i="54"/>
  <c r="AD70" i="54"/>
  <c r="AE70" i="54"/>
  <c r="B71" i="54"/>
  <c r="C71" i="54"/>
  <c r="D71" i="54"/>
  <c r="E71" i="54"/>
  <c r="F71" i="54"/>
  <c r="G71" i="54"/>
  <c r="H71" i="54"/>
  <c r="I71" i="54"/>
  <c r="J71" i="54"/>
  <c r="K71" i="54"/>
  <c r="L71" i="54"/>
  <c r="M71" i="54"/>
  <c r="N71" i="54"/>
  <c r="O71" i="54"/>
  <c r="P71" i="54"/>
  <c r="Q71" i="54"/>
  <c r="R71" i="54"/>
  <c r="S71" i="54"/>
  <c r="T71" i="54"/>
  <c r="U71" i="54"/>
  <c r="V71" i="54"/>
  <c r="W71" i="54"/>
  <c r="X71" i="54"/>
  <c r="Y71" i="54"/>
  <c r="Z71" i="54"/>
  <c r="AA71" i="54"/>
  <c r="AB71" i="54"/>
  <c r="AC71" i="54"/>
  <c r="AD71" i="54"/>
  <c r="AE71" i="54"/>
  <c r="B72" i="54"/>
  <c r="C72" i="54" s="1"/>
  <c r="D72" i="54"/>
  <c r="E72" i="54"/>
  <c r="F72" i="54"/>
  <c r="G72" i="54"/>
  <c r="H72" i="54"/>
  <c r="I72" i="54"/>
  <c r="J72" i="54"/>
  <c r="K72" i="54"/>
  <c r="L72" i="54"/>
  <c r="M72" i="54"/>
  <c r="N72" i="54"/>
  <c r="O72" i="54"/>
  <c r="P72" i="54"/>
  <c r="Q72" i="54"/>
  <c r="R72" i="54"/>
  <c r="S72" i="54"/>
  <c r="T72" i="54"/>
  <c r="U72" i="54"/>
  <c r="V72" i="54"/>
  <c r="W72" i="54"/>
  <c r="X72" i="54"/>
  <c r="Y72" i="54"/>
  <c r="Z72" i="54"/>
  <c r="AA72" i="54"/>
  <c r="AB72" i="54"/>
  <c r="AC72" i="54"/>
  <c r="AD72" i="54"/>
  <c r="AE72" i="54"/>
  <c r="B73" i="54"/>
  <c r="C73" i="54"/>
  <c r="D73" i="54"/>
  <c r="E73" i="54"/>
  <c r="F73" i="54"/>
  <c r="G73" i="54"/>
  <c r="H73" i="54"/>
  <c r="I73" i="54"/>
  <c r="J73" i="54"/>
  <c r="K73" i="54"/>
  <c r="L73" i="54"/>
  <c r="M73" i="54"/>
  <c r="N73" i="54"/>
  <c r="O73" i="54"/>
  <c r="P73" i="54"/>
  <c r="Q73" i="54"/>
  <c r="R73" i="54"/>
  <c r="S73" i="54"/>
  <c r="T73" i="54"/>
  <c r="U73" i="54"/>
  <c r="V73" i="54"/>
  <c r="W73" i="54"/>
  <c r="X73" i="54"/>
  <c r="Y73" i="54"/>
  <c r="Z73" i="54"/>
  <c r="AA73" i="54"/>
  <c r="AB73" i="54"/>
  <c r="AC73" i="54"/>
  <c r="AD73" i="54"/>
  <c r="AE73" i="54"/>
  <c r="B74" i="54"/>
  <c r="C74" i="54" s="1"/>
  <c r="D74" i="54"/>
  <c r="E74" i="54"/>
  <c r="F74" i="54"/>
  <c r="G74" i="54"/>
  <c r="H74" i="54"/>
  <c r="I74" i="54"/>
  <c r="J74" i="54"/>
  <c r="K74" i="54"/>
  <c r="L74" i="54"/>
  <c r="M74" i="54"/>
  <c r="N74" i="54"/>
  <c r="O74" i="54"/>
  <c r="P74" i="54"/>
  <c r="Q74" i="54"/>
  <c r="R74" i="54"/>
  <c r="S74" i="54"/>
  <c r="T74" i="54"/>
  <c r="U74" i="54"/>
  <c r="V74" i="54"/>
  <c r="W74" i="54"/>
  <c r="X74" i="54"/>
  <c r="Y74" i="54"/>
  <c r="Z74" i="54"/>
  <c r="AA74" i="54"/>
  <c r="AB74" i="54"/>
  <c r="AC74" i="54"/>
  <c r="AD74" i="54"/>
  <c r="AE74" i="54"/>
  <c r="B75" i="54"/>
  <c r="C75" i="54" s="1"/>
  <c r="D75" i="54"/>
  <c r="E75" i="54"/>
  <c r="F75" i="54"/>
  <c r="G75" i="54"/>
  <c r="H75" i="54"/>
  <c r="I75" i="54"/>
  <c r="J75" i="54"/>
  <c r="K75" i="54"/>
  <c r="L75" i="54"/>
  <c r="M75" i="54"/>
  <c r="N75" i="54"/>
  <c r="O75" i="54"/>
  <c r="P75" i="54"/>
  <c r="Q75" i="54"/>
  <c r="R75" i="54"/>
  <c r="S75" i="54"/>
  <c r="T75" i="54"/>
  <c r="U75" i="54"/>
  <c r="V75" i="54"/>
  <c r="W75" i="54"/>
  <c r="X75" i="54"/>
  <c r="Y75" i="54"/>
  <c r="Z75" i="54"/>
  <c r="AA75" i="54"/>
  <c r="AB75" i="54"/>
  <c r="AC75" i="54"/>
  <c r="AD75" i="54"/>
  <c r="AE75" i="54"/>
  <c r="B76" i="54"/>
  <c r="C76" i="54"/>
  <c r="D76" i="54"/>
  <c r="E76" i="54"/>
  <c r="F76" i="54"/>
  <c r="G76" i="54"/>
  <c r="H76" i="54"/>
  <c r="I76" i="54"/>
  <c r="J76" i="54"/>
  <c r="K76" i="54"/>
  <c r="L76" i="54"/>
  <c r="M76" i="54"/>
  <c r="N76" i="54"/>
  <c r="O76" i="54"/>
  <c r="P76" i="54"/>
  <c r="Q76" i="54"/>
  <c r="R76" i="54"/>
  <c r="S76" i="54"/>
  <c r="T76" i="54"/>
  <c r="U76" i="54"/>
  <c r="V76" i="54"/>
  <c r="W76" i="54"/>
  <c r="X76" i="54"/>
  <c r="Y76" i="54"/>
  <c r="Z76" i="54"/>
  <c r="AA76" i="54"/>
  <c r="AB76" i="54"/>
  <c r="AC76" i="54"/>
  <c r="AD76" i="54"/>
  <c r="AE76" i="54"/>
  <c r="B77" i="54"/>
  <c r="C77" i="54"/>
  <c r="D77" i="54"/>
  <c r="E77" i="54"/>
  <c r="F77" i="54"/>
  <c r="G77" i="54"/>
  <c r="H77" i="54"/>
  <c r="I77" i="54"/>
  <c r="J77" i="54"/>
  <c r="K77" i="54"/>
  <c r="L77" i="54"/>
  <c r="M77" i="54"/>
  <c r="N77" i="54"/>
  <c r="O77" i="54"/>
  <c r="P77" i="54"/>
  <c r="Q77" i="54"/>
  <c r="R77" i="54"/>
  <c r="S77" i="54"/>
  <c r="T77" i="54"/>
  <c r="U77" i="54"/>
  <c r="V77" i="54"/>
  <c r="W77" i="54"/>
  <c r="X77" i="54"/>
  <c r="Y77" i="54"/>
  <c r="Z77" i="54"/>
  <c r="AA77" i="54"/>
  <c r="AB77" i="54"/>
  <c r="AC77" i="54"/>
  <c r="AD77" i="54"/>
  <c r="AE77" i="54"/>
  <c r="B78" i="54"/>
  <c r="C78" i="54"/>
  <c r="D78" i="54"/>
  <c r="E78" i="54"/>
  <c r="F78" i="54"/>
  <c r="G78" i="54"/>
  <c r="H78" i="54"/>
  <c r="I78" i="54"/>
  <c r="J78" i="54"/>
  <c r="K78" i="54"/>
  <c r="L78" i="54"/>
  <c r="M78" i="54"/>
  <c r="N78" i="54"/>
  <c r="O78" i="54"/>
  <c r="P78" i="54"/>
  <c r="Q78" i="54"/>
  <c r="R78" i="54"/>
  <c r="S78" i="54"/>
  <c r="T78" i="54"/>
  <c r="U78" i="54"/>
  <c r="V78" i="54"/>
  <c r="W78" i="54" s="1"/>
  <c r="X78" i="54"/>
  <c r="Y78" i="54"/>
  <c r="Z78" i="54"/>
  <c r="AA78" i="54"/>
  <c r="AB78" i="54"/>
  <c r="AC78" i="54"/>
  <c r="AD78" i="54"/>
  <c r="AE78" i="54"/>
  <c r="B79" i="54"/>
  <c r="C79" i="54"/>
  <c r="D79" i="54"/>
  <c r="E79" i="54"/>
  <c r="F79" i="54"/>
  <c r="G79" i="54"/>
  <c r="H79" i="54"/>
  <c r="I79" i="54"/>
  <c r="J79" i="54"/>
  <c r="K79" i="54"/>
  <c r="L79" i="54"/>
  <c r="M79" i="54"/>
  <c r="N79" i="54"/>
  <c r="O79" i="54"/>
  <c r="P79" i="54"/>
  <c r="Q79" i="54"/>
  <c r="R79" i="54"/>
  <c r="S79" i="54"/>
  <c r="T79" i="54"/>
  <c r="U79" i="54"/>
  <c r="V79" i="54"/>
  <c r="W79" i="54"/>
  <c r="X79" i="54"/>
  <c r="Y79" i="54"/>
  <c r="Z79" i="54"/>
  <c r="AA79" i="54"/>
  <c r="AB79" i="54"/>
  <c r="AC79" i="54"/>
  <c r="AD79" i="54"/>
  <c r="AE79" i="54"/>
  <c r="B80" i="54"/>
  <c r="C80" i="54"/>
  <c r="D80" i="54"/>
  <c r="E80" i="54"/>
  <c r="F80" i="54"/>
  <c r="G80" i="54"/>
  <c r="H80" i="54"/>
  <c r="I80" i="54"/>
  <c r="J80" i="54"/>
  <c r="K80" i="54"/>
  <c r="L80" i="54"/>
  <c r="M80" i="54"/>
  <c r="N80" i="54"/>
  <c r="O80" i="54"/>
  <c r="P80" i="54"/>
  <c r="Q80" i="54"/>
  <c r="R80" i="54"/>
  <c r="S80" i="54"/>
  <c r="T80" i="54"/>
  <c r="U80" i="54"/>
  <c r="W80" i="54" s="1"/>
  <c r="V80" i="54"/>
  <c r="X80" i="54"/>
  <c r="Y80" i="54"/>
  <c r="Z80" i="54"/>
  <c r="AA80" i="54"/>
  <c r="AB80" i="54"/>
  <c r="AC80" i="54"/>
  <c r="AD80" i="54"/>
  <c r="AE80" i="54"/>
  <c r="B81" i="54"/>
  <c r="C81" i="54"/>
  <c r="D81" i="54"/>
  <c r="E81" i="54"/>
  <c r="F81" i="54"/>
  <c r="G81" i="54"/>
  <c r="H81" i="54"/>
  <c r="I81" i="54"/>
  <c r="J81" i="54"/>
  <c r="K81" i="54"/>
  <c r="L81" i="54"/>
  <c r="M81" i="54"/>
  <c r="N81" i="54"/>
  <c r="O81" i="54"/>
  <c r="P81" i="54"/>
  <c r="Q81" i="54"/>
  <c r="R81" i="54"/>
  <c r="S81" i="54"/>
  <c r="T81" i="54"/>
  <c r="U81" i="54"/>
  <c r="V81" i="54"/>
  <c r="W81" i="54"/>
  <c r="X81" i="54"/>
  <c r="Y81" i="54"/>
  <c r="Z81" i="54"/>
  <c r="AA81" i="54"/>
  <c r="AB81" i="54"/>
  <c r="AC81" i="54"/>
  <c r="AD81" i="54"/>
  <c r="AE81" i="54"/>
  <c r="B82" i="54"/>
  <c r="C82" i="54"/>
  <c r="D82" i="54"/>
  <c r="E82" i="54"/>
  <c r="F82" i="54"/>
  <c r="G82" i="54"/>
  <c r="H82" i="54"/>
  <c r="I82" i="54"/>
  <c r="J82" i="54"/>
  <c r="K82" i="54"/>
  <c r="L82" i="54"/>
  <c r="M82" i="54"/>
  <c r="N82" i="54"/>
  <c r="O82" i="54"/>
  <c r="P82" i="54"/>
  <c r="Q82" i="54"/>
  <c r="R82" i="54"/>
  <c r="S82" i="54"/>
  <c r="T82" i="54"/>
  <c r="U82" i="54"/>
  <c r="V82" i="54"/>
  <c r="W82" i="54" s="1"/>
  <c r="X82" i="54"/>
  <c r="Y82" i="54"/>
  <c r="Z82" i="54"/>
  <c r="AA82" i="54"/>
  <c r="AB82" i="54"/>
  <c r="AC82" i="54"/>
  <c r="AD82" i="54"/>
  <c r="AE82" i="54"/>
  <c r="B83" i="54"/>
  <c r="C83" i="54"/>
  <c r="D83" i="54"/>
  <c r="E83" i="54"/>
  <c r="F83" i="54"/>
  <c r="G83" i="54"/>
  <c r="H83" i="54"/>
  <c r="I83" i="54"/>
  <c r="J83" i="54"/>
  <c r="K83" i="54"/>
  <c r="L83" i="54"/>
  <c r="M83" i="54"/>
  <c r="N83" i="54"/>
  <c r="O83" i="54"/>
  <c r="P83" i="54"/>
  <c r="Q83" i="54"/>
  <c r="R83" i="54"/>
  <c r="S83" i="54"/>
  <c r="T83" i="54"/>
  <c r="U83" i="54"/>
  <c r="V83" i="54"/>
  <c r="W83" i="54"/>
  <c r="X83" i="54"/>
  <c r="Y83" i="54"/>
  <c r="Z83" i="54"/>
  <c r="AA83" i="54"/>
  <c r="AB83" i="54"/>
  <c r="AC83" i="54"/>
  <c r="AD83" i="54"/>
  <c r="AE83" i="54"/>
  <c r="B84" i="54"/>
  <c r="C84" i="54"/>
  <c r="D84" i="54"/>
  <c r="E84" i="54"/>
  <c r="F84" i="54"/>
  <c r="G84" i="54"/>
  <c r="H84" i="54"/>
  <c r="I84" i="54"/>
  <c r="J84" i="54"/>
  <c r="K84" i="54"/>
  <c r="L84" i="54"/>
  <c r="M84" i="54"/>
  <c r="N84" i="54"/>
  <c r="O84" i="54"/>
  <c r="P84" i="54"/>
  <c r="Q84" i="54"/>
  <c r="R84" i="54"/>
  <c r="S84" i="54"/>
  <c r="T84" i="54"/>
  <c r="U84" i="54"/>
  <c r="V84" i="54"/>
  <c r="W84" i="54"/>
  <c r="X84" i="54"/>
  <c r="Y84" i="54"/>
  <c r="Z84" i="54"/>
  <c r="AA84" i="54"/>
  <c r="AB84" i="54"/>
  <c r="AC84" i="54"/>
  <c r="AD84" i="54"/>
  <c r="AE84" i="54"/>
  <c r="B85" i="54"/>
  <c r="C85" i="54" s="1"/>
  <c r="D85" i="54"/>
  <c r="E85" i="54"/>
  <c r="F85" i="54"/>
  <c r="G85" i="54"/>
  <c r="H85" i="54"/>
  <c r="I85" i="54"/>
  <c r="J85" i="54"/>
  <c r="K85" i="54"/>
  <c r="L85" i="54"/>
  <c r="M85" i="54"/>
  <c r="N85" i="54"/>
  <c r="O85" i="54"/>
  <c r="P85" i="54"/>
  <c r="Q85" i="54"/>
  <c r="R85" i="54"/>
  <c r="S85" i="54"/>
  <c r="T85" i="54"/>
  <c r="U85" i="54"/>
  <c r="W85" i="54" s="1"/>
  <c r="V85" i="54"/>
  <c r="X85" i="54"/>
  <c r="Y85" i="54"/>
  <c r="Z85" i="54"/>
  <c r="AA85" i="54"/>
  <c r="AB85" i="54"/>
  <c r="AC85" i="54"/>
  <c r="AD85" i="54"/>
  <c r="AE85" i="54"/>
  <c r="AI5" i="54"/>
  <c r="A1" i="53"/>
  <c r="P2" i="53"/>
  <c r="J3" i="53"/>
  <c r="J4" i="53"/>
  <c r="M4" i="53"/>
  <c r="AI4" i="53"/>
  <c r="J5" i="53"/>
  <c r="J6" i="53"/>
  <c r="B10" i="53"/>
  <c r="C10" i="53"/>
  <c r="D10" i="53"/>
  <c r="E10" i="53"/>
  <c r="F10" i="53"/>
  <c r="G10" i="53"/>
  <c r="H10" i="53"/>
  <c r="I10" i="53"/>
  <c r="J10" i="53"/>
  <c r="K10" i="53"/>
  <c r="L10" i="53"/>
  <c r="M10" i="53"/>
  <c r="N10" i="53"/>
  <c r="O10" i="53"/>
  <c r="P10" i="53"/>
  <c r="Q10" i="53"/>
  <c r="R10" i="53"/>
  <c r="S10" i="53"/>
  <c r="T10" i="53"/>
  <c r="U10" i="53"/>
  <c r="V10" i="53"/>
  <c r="W10" i="53"/>
  <c r="X10" i="53"/>
  <c r="Y10" i="53"/>
  <c r="Z10" i="53"/>
  <c r="AA10" i="53"/>
  <c r="AB10" i="53"/>
  <c r="AC10" i="53"/>
  <c r="AD10" i="53"/>
  <c r="AE10" i="53"/>
  <c r="B11" i="53"/>
  <c r="C11" i="53"/>
  <c r="D11" i="53"/>
  <c r="E11" i="53"/>
  <c r="F11" i="53"/>
  <c r="G11" i="53"/>
  <c r="H11" i="53"/>
  <c r="I11" i="53"/>
  <c r="J11" i="53"/>
  <c r="K11" i="53"/>
  <c r="L11" i="53"/>
  <c r="M11" i="53"/>
  <c r="N11" i="53"/>
  <c r="O11" i="53"/>
  <c r="P11" i="53"/>
  <c r="Q11" i="53"/>
  <c r="R11" i="53"/>
  <c r="S11" i="53"/>
  <c r="T11" i="53"/>
  <c r="U11" i="53"/>
  <c r="V11" i="53"/>
  <c r="W11" i="53" s="1"/>
  <c r="X11" i="53"/>
  <c r="Y11" i="53"/>
  <c r="Z11" i="53"/>
  <c r="AA11" i="53"/>
  <c r="AB11" i="53"/>
  <c r="AC11" i="53"/>
  <c r="AD11" i="53"/>
  <c r="AE11" i="53"/>
  <c r="B12" i="53"/>
  <c r="C12" i="53"/>
  <c r="D12" i="53"/>
  <c r="E12" i="53"/>
  <c r="F12" i="53"/>
  <c r="G12" i="53"/>
  <c r="H12" i="53"/>
  <c r="I12" i="53"/>
  <c r="J12" i="53"/>
  <c r="K12" i="53"/>
  <c r="L12" i="53"/>
  <c r="M12" i="53"/>
  <c r="N12" i="53"/>
  <c r="O12" i="53"/>
  <c r="P12" i="53"/>
  <c r="Q12" i="53"/>
  <c r="R12" i="53"/>
  <c r="S12" i="53"/>
  <c r="T12" i="53"/>
  <c r="U12" i="53"/>
  <c r="V12" i="53"/>
  <c r="W12" i="53"/>
  <c r="X12" i="53"/>
  <c r="Y12" i="53"/>
  <c r="Z12" i="53"/>
  <c r="AA12" i="53"/>
  <c r="AB12" i="53"/>
  <c r="AC12" i="53"/>
  <c r="AD12" i="53"/>
  <c r="AE12" i="53"/>
  <c r="B13" i="53"/>
  <c r="C13" i="53"/>
  <c r="D13" i="53"/>
  <c r="E13" i="53"/>
  <c r="F13" i="53"/>
  <c r="G13" i="53"/>
  <c r="H13" i="53"/>
  <c r="I13" i="53"/>
  <c r="J13" i="53"/>
  <c r="K13" i="53"/>
  <c r="L13" i="53"/>
  <c r="M13" i="53"/>
  <c r="N13" i="53"/>
  <c r="O13" i="53"/>
  <c r="P13" i="53"/>
  <c r="Q13" i="53"/>
  <c r="R13" i="53"/>
  <c r="S13" i="53"/>
  <c r="T13" i="53"/>
  <c r="U13" i="53"/>
  <c r="V13" i="53"/>
  <c r="W13" i="53"/>
  <c r="X13" i="53"/>
  <c r="Y13" i="53"/>
  <c r="Z13" i="53"/>
  <c r="AA13" i="53"/>
  <c r="AB13" i="53"/>
  <c r="AC13" i="53"/>
  <c r="AD13" i="53"/>
  <c r="AE13" i="53"/>
  <c r="B14" i="53"/>
  <c r="C14" i="53"/>
  <c r="D14" i="53"/>
  <c r="E14" i="53"/>
  <c r="F14" i="53"/>
  <c r="G14" i="53"/>
  <c r="H14" i="53"/>
  <c r="I14" i="53"/>
  <c r="J14" i="53"/>
  <c r="K14" i="53"/>
  <c r="L14" i="53"/>
  <c r="M14" i="53"/>
  <c r="N14" i="53"/>
  <c r="O14" i="53"/>
  <c r="P14" i="53"/>
  <c r="Q14" i="53"/>
  <c r="R14" i="53"/>
  <c r="S14" i="53"/>
  <c r="T14" i="53"/>
  <c r="U14" i="53"/>
  <c r="V14" i="53"/>
  <c r="W14" i="53"/>
  <c r="X14" i="53"/>
  <c r="Y14" i="53"/>
  <c r="Z14" i="53"/>
  <c r="AA14" i="53"/>
  <c r="AB14" i="53"/>
  <c r="AC14" i="53"/>
  <c r="AD14" i="53"/>
  <c r="AE14" i="53"/>
  <c r="B15" i="53"/>
  <c r="C15" i="53"/>
  <c r="D15" i="53"/>
  <c r="E15" i="53"/>
  <c r="F15" i="53"/>
  <c r="G15" i="53"/>
  <c r="H15" i="53"/>
  <c r="I15" i="53"/>
  <c r="J15" i="53"/>
  <c r="K15" i="53"/>
  <c r="L15" i="53"/>
  <c r="M15" i="53"/>
  <c r="N15" i="53"/>
  <c r="O15" i="53"/>
  <c r="P15" i="53"/>
  <c r="Q15" i="53"/>
  <c r="R15" i="53"/>
  <c r="S15" i="53"/>
  <c r="T15" i="53"/>
  <c r="U15" i="53"/>
  <c r="V15" i="53"/>
  <c r="W15" i="53"/>
  <c r="X15" i="53"/>
  <c r="Y15" i="53"/>
  <c r="Z15" i="53"/>
  <c r="AA15" i="53"/>
  <c r="AB15" i="53"/>
  <c r="AC15" i="53"/>
  <c r="AD15" i="53"/>
  <c r="AE15" i="53"/>
  <c r="B16" i="53"/>
  <c r="C16" i="53"/>
  <c r="D16" i="53"/>
  <c r="E16" i="53"/>
  <c r="F16" i="53"/>
  <c r="G16" i="53"/>
  <c r="H16" i="53"/>
  <c r="I16" i="53"/>
  <c r="J16" i="53"/>
  <c r="K16" i="53"/>
  <c r="L16" i="53"/>
  <c r="M16" i="53"/>
  <c r="N16" i="53"/>
  <c r="O16" i="53"/>
  <c r="P16" i="53"/>
  <c r="Q16" i="53"/>
  <c r="R16" i="53"/>
  <c r="S16" i="53"/>
  <c r="T16" i="53"/>
  <c r="U16" i="53"/>
  <c r="V16" i="53"/>
  <c r="W16" i="53"/>
  <c r="X16" i="53"/>
  <c r="Y16" i="53"/>
  <c r="Z16" i="53"/>
  <c r="AA16" i="53"/>
  <c r="AB16" i="53"/>
  <c r="AC16" i="53"/>
  <c r="AD16" i="53"/>
  <c r="AE16" i="53"/>
  <c r="B17" i="53"/>
  <c r="C17" i="53"/>
  <c r="D17" i="53"/>
  <c r="E17" i="53"/>
  <c r="F17" i="53"/>
  <c r="G17" i="53"/>
  <c r="H17" i="53"/>
  <c r="I17" i="53"/>
  <c r="J17" i="53"/>
  <c r="K17" i="53"/>
  <c r="L17" i="53"/>
  <c r="M17" i="53"/>
  <c r="N17" i="53"/>
  <c r="O17" i="53"/>
  <c r="P17" i="53"/>
  <c r="Q17" i="53"/>
  <c r="R17" i="53"/>
  <c r="S17" i="53"/>
  <c r="T17" i="53"/>
  <c r="U17" i="53"/>
  <c r="V17" i="53"/>
  <c r="W17" i="53"/>
  <c r="X17" i="53"/>
  <c r="Y17" i="53"/>
  <c r="Z17" i="53"/>
  <c r="AA17" i="53"/>
  <c r="AB17" i="53"/>
  <c r="AC17" i="53"/>
  <c r="AD17" i="53"/>
  <c r="AE17" i="53"/>
  <c r="B18" i="53"/>
  <c r="C18" i="53"/>
  <c r="D18" i="53"/>
  <c r="E18" i="53"/>
  <c r="F18" i="53"/>
  <c r="G18" i="53"/>
  <c r="H18" i="53"/>
  <c r="I18" i="53"/>
  <c r="J18" i="53"/>
  <c r="K18" i="53"/>
  <c r="L18" i="53"/>
  <c r="M18" i="53"/>
  <c r="N18" i="53"/>
  <c r="O18" i="53"/>
  <c r="P18" i="53"/>
  <c r="Q18" i="53"/>
  <c r="R18" i="53"/>
  <c r="S18" i="53"/>
  <c r="T18" i="53"/>
  <c r="U18" i="53"/>
  <c r="V18" i="53"/>
  <c r="W18" i="53"/>
  <c r="X18" i="53"/>
  <c r="Y18" i="53"/>
  <c r="Z18" i="53"/>
  <c r="AA18" i="53"/>
  <c r="AB18" i="53"/>
  <c r="AC18" i="53"/>
  <c r="AD18" i="53"/>
  <c r="AE18" i="53"/>
  <c r="B19" i="53"/>
  <c r="C19" i="53"/>
  <c r="D19" i="53"/>
  <c r="E19" i="53"/>
  <c r="F19" i="53"/>
  <c r="G19" i="53"/>
  <c r="H19" i="53"/>
  <c r="I19" i="53"/>
  <c r="J19" i="53"/>
  <c r="K19" i="53"/>
  <c r="L19" i="53"/>
  <c r="M19" i="53"/>
  <c r="N19" i="53"/>
  <c r="O19" i="53"/>
  <c r="P19" i="53"/>
  <c r="Q19" i="53"/>
  <c r="R19" i="53"/>
  <c r="S19" i="53"/>
  <c r="T19" i="53"/>
  <c r="U19" i="53"/>
  <c r="V19" i="53"/>
  <c r="W19" i="53"/>
  <c r="X19" i="53"/>
  <c r="Y19" i="53"/>
  <c r="Z19" i="53"/>
  <c r="AA19" i="53"/>
  <c r="AB19" i="53"/>
  <c r="AC19" i="53"/>
  <c r="AD19" i="53"/>
  <c r="AE19" i="53"/>
  <c r="B20" i="53"/>
  <c r="C20" i="53"/>
  <c r="D20" i="53"/>
  <c r="E20" i="53"/>
  <c r="F20" i="53"/>
  <c r="G20" i="53"/>
  <c r="H20" i="53"/>
  <c r="I20" i="53"/>
  <c r="J20" i="53"/>
  <c r="K20" i="53"/>
  <c r="L20" i="53"/>
  <c r="M20" i="53"/>
  <c r="N20" i="53"/>
  <c r="O20" i="53"/>
  <c r="P20" i="53"/>
  <c r="Q20" i="53"/>
  <c r="R20" i="53"/>
  <c r="S20" i="53"/>
  <c r="T20" i="53"/>
  <c r="U20" i="53"/>
  <c r="V20" i="53"/>
  <c r="W20" i="53"/>
  <c r="X20" i="53"/>
  <c r="Y20" i="53"/>
  <c r="Z20" i="53"/>
  <c r="AA20" i="53"/>
  <c r="AB20" i="53"/>
  <c r="AC20" i="53"/>
  <c r="AD20" i="53"/>
  <c r="AE20" i="53"/>
  <c r="B21" i="53"/>
  <c r="C21" i="53"/>
  <c r="D21" i="53"/>
  <c r="E21" i="53"/>
  <c r="F21" i="53"/>
  <c r="G21" i="53"/>
  <c r="H21" i="53"/>
  <c r="I21" i="53"/>
  <c r="J21" i="53"/>
  <c r="K21" i="53"/>
  <c r="L21" i="53"/>
  <c r="M21" i="53"/>
  <c r="N21" i="53"/>
  <c r="O21" i="53"/>
  <c r="P21" i="53"/>
  <c r="Q21" i="53"/>
  <c r="R21" i="53"/>
  <c r="S21" i="53"/>
  <c r="T21" i="53"/>
  <c r="U21" i="53"/>
  <c r="V21" i="53"/>
  <c r="W21" i="53"/>
  <c r="X21" i="53"/>
  <c r="Y21" i="53"/>
  <c r="Z21" i="53"/>
  <c r="AA21" i="53"/>
  <c r="AB21" i="53"/>
  <c r="AC21" i="53"/>
  <c r="AD21" i="53"/>
  <c r="AE21" i="53"/>
  <c r="B22" i="53"/>
  <c r="C22" i="53"/>
  <c r="D22" i="53"/>
  <c r="E22" i="53"/>
  <c r="F22" i="53"/>
  <c r="G22" i="53"/>
  <c r="H22" i="53"/>
  <c r="I22" i="53"/>
  <c r="J22" i="53"/>
  <c r="K22" i="53"/>
  <c r="L22" i="53"/>
  <c r="M22" i="53"/>
  <c r="N22" i="53"/>
  <c r="O22" i="53"/>
  <c r="P22" i="53"/>
  <c r="Q22" i="53"/>
  <c r="R22" i="53"/>
  <c r="S22" i="53"/>
  <c r="T22" i="53"/>
  <c r="U22" i="53"/>
  <c r="V22" i="53"/>
  <c r="W22" i="53" s="1"/>
  <c r="X22" i="53"/>
  <c r="Y22" i="53"/>
  <c r="Z22" i="53"/>
  <c r="AA22" i="53"/>
  <c r="AB22" i="53"/>
  <c r="AC22" i="53"/>
  <c r="AD22" i="53"/>
  <c r="AE22" i="53"/>
  <c r="B23" i="53"/>
  <c r="C23" i="53"/>
  <c r="D23" i="53"/>
  <c r="E23" i="53"/>
  <c r="F23" i="53"/>
  <c r="G23" i="53"/>
  <c r="H23" i="53"/>
  <c r="I23" i="53"/>
  <c r="J23" i="53"/>
  <c r="K23" i="53"/>
  <c r="L23" i="53"/>
  <c r="M23" i="53"/>
  <c r="N23" i="53"/>
  <c r="O23" i="53"/>
  <c r="P23" i="53"/>
  <c r="Q23" i="53"/>
  <c r="R23" i="53"/>
  <c r="S23" i="53"/>
  <c r="T23" i="53"/>
  <c r="U23" i="53"/>
  <c r="V23" i="53"/>
  <c r="W23" i="53"/>
  <c r="X23" i="53"/>
  <c r="Y23" i="53"/>
  <c r="Z23" i="53"/>
  <c r="AA23" i="53"/>
  <c r="AB23" i="53"/>
  <c r="AC23" i="53"/>
  <c r="AD23" i="53"/>
  <c r="AE23" i="53"/>
  <c r="B24" i="53"/>
  <c r="C24" i="53"/>
  <c r="D24" i="53"/>
  <c r="E24" i="53"/>
  <c r="F24" i="53"/>
  <c r="G24" i="53"/>
  <c r="H24" i="53"/>
  <c r="I24" i="53"/>
  <c r="J24" i="53"/>
  <c r="K24" i="53"/>
  <c r="L24" i="53"/>
  <c r="M24" i="53"/>
  <c r="N24" i="53"/>
  <c r="O24" i="53"/>
  <c r="P24" i="53"/>
  <c r="Q24" i="53"/>
  <c r="R24" i="53"/>
  <c r="S24" i="53"/>
  <c r="T24" i="53"/>
  <c r="U24" i="53"/>
  <c r="V24" i="53"/>
  <c r="W24" i="53"/>
  <c r="X24" i="53"/>
  <c r="Y24" i="53"/>
  <c r="Z24" i="53"/>
  <c r="AA24" i="53"/>
  <c r="AB24" i="53"/>
  <c r="AC24" i="53"/>
  <c r="AD24" i="53"/>
  <c r="AE24" i="53"/>
  <c r="B25" i="53"/>
  <c r="C25" i="53"/>
  <c r="D25" i="53"/>
  <c r="E25" i="53"/>
  <c r="F25" i="53"/>
  <c r="G25" i="53"/>
  <c r="H25" i="53"/>
  <c r="I25" i="53"/>
  <c r="J25" i="53"/>
  <c r="K25" i="53"/>
  <c r="L25" i="53"/>
  <c r="M25" i="53"/>
  <c r="N25" i="53"/>
  <c r="O25" i="53"/>
  <c r="P25" i="53"/>
  <c r="Q25" i="53"/>
  <c r="R25" i="53"/>
  <c r="S25" i="53"/>
  <c r="T25" i="53"/>
  <c r="U25" i="53"/>
  <c r="V25" i="53"/>
  <c r="W25" i="53"/>
  <c r="X25" i="53"/>
  <c r="Y25" i="53"/>
  <c r="Z25" i="53"/>
  <c r="AA25" i="53"/>
  <c r="AB25" i="53"/>
  <c r="AC25" i="53"/>
  <c r="AD25" i="53"/>
  <c r="AE25" i="53"/>
  <c r="B26" i="53"/>
  <c r="C26" i="53"/>
  <c r="D26" i="53"/>
  <c r="E26" i="53"/>
  <c r="F26" i="53"/>
  <c r="G26" i="53"/>
  <c r="H26" i="53"/>
  <c r="I26" i="53"/>
  <c r="J26" i="53"/>
  <c r="K26" i="53"/>
  <c r="L26" i="53"/>
  <c r="M26" i="53"/>
  <c r="N26" i="53"/>
  <c r="O26" i="53"/>
  <c r="P26" i="53"/>
  <c r="Q26" i="53"/>
  <c r="R26" i="53"/>
  <c r="S26" i="53"/>
  <c r="T26" i="53"/>
  <c r="U26" i="53"/>
  <c r="V26" i="53"/>
  <c r="W26" i="53"/>
  <c r="X26" i="53"/>
  <c r="Y26" i="53"/>
  <c r="Z26" i="53"/>
  <c r="AA26" i="53"/>
  <c r="AB26" i="53"/>
  <c r="AC26" i="53"/>
  <c r="AD26" i="53"/>
  <c r="AE26" i="53"/>
  <c r="B27" i="53"/>
  <c r="C27" i="53"/>
  <c r="D27" i="53"/>
  <c r="E27" i="53"/>
  <c r="F27" i="53"/>
  <c r="G27" i="53"/>
  <c r="H27" i="53"/>
  <c r="I27" i="53"/>
  <c r="J27" i="53"/>
  <c r="K27" i="53"/>
  <c r="L27" i="53"/>
  <c r="M27" i="53"/>
  <c r="N27" i="53"/>
  <c r="O27" i="53"/>
  <c r="P27" i="53"/>
  <c r="Q27" i="53"/>
  <c r="R27" i="53"/>
  <c r="S27" i="53"/>
  <c r="T27" i="53"/>
  <c r="U27" i="53"/>
  <c r="V27" i="53"/>
  <c r="W27" i="53"/>
  <c r="X27" i="53"/>
  <c r="Y27" i="53"/>
  <c r="Z27" i="53"/>
  <c r="AA27" i="53"/>
  <c r="AB27" i="53"/>
  <c r="AC27" i="53"/>
  <c r="AD27" i="53"/>
  <c r="AE2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R28" i="53"/>
  <c r="S28" i="53"/>
  <c r="T28" i="53"/>
  <c r="U28" i="53"/>
  <c r="V28" i="53"/>
  <c r="W28" i="53"/>
  <c r="X28" i="53"/>
  <c r="Y28" i="53"/>
  <c r="Z28" i="53"/>
  <c r="AA28" i="53"/>
  <c r="AB28" i="53"/>
  <c r="AC28" i="53"/>
  <c r="AD28" i="53"/>
  <c r="AE28" i="53"/>
  <c r="B29" i="53"/>
  <c r="C29" i="53"/>
  <c r="D29" i="53"/>
  <c r="E29" i="53"/>
  <c r="F29" i="53"/>
  <c r="G29" i="53"/>
  <c r="H29" i="53"/>
  <c r="I29" i="53"/>
  <c r="J29" i="53"/>
  <c r="K29" i="53"/>
  <c r="L29" i="53"/>
  <c r="M29" i="53"/>
  <c r="N29" i="53"/>
  <c r="O29" i="53"/>
  <c r="P29" i="53"/>
  <c r="Q29" i="53"/>
  <c r="R29" i="53"/>
  <c r="S29" i="53"/>
  <c r="T29" i="53"/>
  <c r="U29" i="53"/>
  <c r="V29" i="53"/>
  <c r="W29" i="53"/>
  <c r="X29" i="53"/>
  <c r="Y29" i="53"/>
  <c r="Z29" i="53"/>
  <c r="AA29" i="53"/>
  <c r="AB29" i="53"/>
  <c r="AC29" i="53"/>
  <c r="AD29" i="53"/>
  <c r="AE29" i="53"/>
  <c r="B30" i="53"/>
  <c r="C30" i="53"/>
  <c r="D30" i="53"/>
  <c r="E30" i="53"/>
  <c r="F30" i="53"/>
  <c r="G30" i="53"/>
  <c r="H30" i="53"/>
  <c r="I30" i="53"/>
  <c r="J30" i="53"/>
  <c r="K30" i="53"/>
  <c r="L30" i="53"/>
  <c r="M30" i="53"/>
  <c r="N30" i="53"/>
  <c r="O30" i="53"/>
  <c r="P30" i="53"/>
  <c r="Q30" i="53"/>
  <c r="R30" i="53"/>
  <c r="S30" i="53"/>
  <c r="T30" i="53"/>
  <c r="U30" i="53"/>
  <c r="V30" i="53"/>
  <c r="W30" i="53"/>
  <c r="X30" i="53"/>
  <c r="Y30" i="53"/>
  <c r="Z30" i="53"/>
  <c r="AA30" i="53"/>
  <c r="AB30" i="53"/>
  <c r="AC30" i="53"/>
  <c r="AD30" i="53"/>
  <c r="AE30" i="53"/>
  <c r="B31" i="53"/>
  <c r="C31" i="53"/>
  <c r="D31" i="53"/>
  <c r="E31" i="53"/>
  <c r="F31" i="53"/>
  <c r="G31" i="53"/>
  <c r="H31" i="53"/>
  <c r="I31" i="53"/>
  <c r="J31" i="53"/>
  <c r="K31" i="53"/>
  <c r="L31" i="53"/>
  <c r="M31" i="53"/>
  <c r="N31" i="53"/>
  <c r="O31" i="53"/>
  <c r="P31" i="53"/>
  <c r="Q31" i="53"/>
  <c r="R31" i="53"/>
  <c r="S31" i="53"/>
  <c r="T31" i="53"/>
  <c r="U31" i="53"/>
  <c r="V31" i="53"/>
  <c r="W31" i="53"/>
  <c r="X31" i="53"/>
  <c r="Y31" i="53"/>
  <c r="Z31" i="53"/>
  <c r="AA31" i="53"/>
  <c r="AB31" i="53"/>
  <c r="AC31" i="53"/>
  <c r="AD31" i="53"/>
  <c r="AE31" i="53"/>
  <c r="B32" i="53"/>
  <c r="C32" i="53"/>
  <c r="D32" i="53"/>
  <c r="E32" i="53"/>
  <c r="F32" i="53"/>
  <c r="G32" i="53"/>
  <c r="H32" i="53"/>
  <c r="I32" i="53"/>
  <c r="J32" i="53"/>
  <c r="K32" i="53"/>
  <c r="L32" i="53"/>
  <c r="M32" i="53"/>
  <c r="N32" i="53"/>
  <c r="O32" i="53"/>
  <c r="P32" i="53"/>
  <c r="Q32" i="53"/>
  <c r="R32" i="53"/>
  <c r="S32" i="53"/>
  <c r="T32" i="53"/>
  <c r="U32" i="53"/>
  <c r="V32" i="53"/>
  <c r="W32" i="53"/>
  <c r="X32" i="53"/>
  <c r="Y32" i="53"/>
  <c r="Z32" i="53"/>
  <c r="AA32" i="53"/>
  <c r="AB32" i="53"/>
  <c r="AC32" i="53"/>
  <c r="AD32" i="53"/>
  <c r="AE32" i="53"/>
  <c r="B33" i="53"/>
  <c r="C33" i="53"/>
  <c r="D33" i="53"/>
  <c r="E33" i="53"/>
  <c r="F33" i="53"/>
  <c r="G33" i="53"/>
  <c r="H33" i="53"/>
  <c r="I33" i="53"/>
  <c r="J33" i="53"/>
  <c r="K33" i="53"/>
  <c r="L33" i="53"/>
  <c r="M33" i="53"/>
  <c r="N33" i="53"/>
  <c r="O33" i="53"/>
  <c r="P33" i="53"/>
  <c r="Q33" i="53"/>
  <c r="R33" i="53"/>
  <c r="S33" i="53"/>
  <c r="T33" i="53"/>
  <c r="U33" i="53"/>
  <c r="V33" i="53"/>
  <c r="W33" i="53"/>
  <c r="X33" i="53"/>
  <c r="Y33" i="53"/>
  <c r="Z33" i="53"/>
  <c r="AA33" i="53"/>
  <c r="AB33" i="53"/>
  <c r="AC33" i="53"/>
  <c r="AD33" i="53"/>
  <c r="AE33" i="53"/>
  <c r="B34" i="53"/>
  <c r="C34" i="53"/>
  <c r="D34" i="53"/>
  <c r="E34" i="53"/>
  <c r="F34" i="53"/>
  <c r="G34" i="53"/>
  <c r="H34" i="53"/>
  <c r="I34" i="53"/>
  <c r="J34" i="53"/>
  <c r="K34" i="53"/>
  <c r="L34" i="53"/>
  <c r="M34" i="53"/>
  <c r="N34" i="53"/>
  <c r="O34" i="53"/>
  <c r="P34" i="53"/>
  <c r="Q34" i="53"/>
  <c r="R34" i="53"/>
  <c r="S34" i="53"/>
  <c r="T34" i="53"/>
  <c r="U34" i="53"/>
  <c r="V34" i="53"/>
  <c r="W34" i="53"/>
  <c r="X34" i="53"/>
  <c r="Y34" i="53"/>
  <c r="B35" i="53"/>
  <c r="C35" i="53"/>
  <c r="D35" i="53"/>
  <c r="E35" i="53"/>
  <c r="F35" i="53"/>
  <c r="G35" i="53"/>
  <c r="H35" i="53"/>
  <c r="I35" i="53"/>
  <c r="J35" i="53"/>
  <c r="B36" i="53"/>
  <c r="C36" i="53"/>
  <c r="D36" i="53"/>
  <c r="E36" i="53"/>
  <c r="F36" i="53"/>
  <c r="G36" i="53"/>
  <c r="H36" i="53"/>
  <c r="I36" i="53"/>
  <c r="J36" i="53"/>
  <c r="B37" i="53"/>
  <c r="C37" i="53"/>
  <c r="D37" i="53"/>
  <c r="E37" i="53"/>
  <c r="F37" i="53"/>
  <c r="G37" i="53"/>
  <c r="H37" i="53"/>
  <c r="I37" i="53"/>
  <c r="J37" i="53"/>
  <c r="B38" i="53"/>
  <c r="C38" i="53"/>
  <c r="D38" i="53"/>
  <c r="E38" i="53"/>
  <c r="F38" i="53"/>
  <c r="G38" i="53"/>
  <c r="H38" i="53"/>
  <c r="I38" i="53"/>
  <c r="J38" i="53"/>
  <c r="B39" i="53"/>
  <c r="C39" i="53"/>
  <c r="D39" i="53"/>
  <c r="E39" i="53"/>
  <c r="F39" i="53"/>
  <c r="G39" i="53"/>
  <c r="H39" i="53"/>
  <c r="I39" i="53"/>
  <c r="J39" i="53"/>
  <c r="B40" i="53"/>
  <c r="C40" i="53"/>
  <c r="D40" i="53"/>
  <c r="E40" i="53"/>
  <c r="F40" i="53"/>
  <c r="G40" i="53"/>
  <c r="H40" i="53"/>
  <c r="I40" i="53"/>
  <c r="J40" i="53"/>
  <c r="B41" i="53"/>
  <c r="C41" i="53"/>
  <c r="D41" i="53"/>
  <c r="E41" i="53"/>
  <c r="F41" i="53"/>
  <c r="G41" i="53"/>
  <c r="H41" i="53"/>
  <c r="I41" i="53"/>
  <c r="J41" i="53"/>
  <c r="B42" i="53"/>
  <c r="C42" i="53"/>
  <c r="D42" i="53"/>
  <c r="E42" i="53"/>
  <c r="F42" i="53"/>
  <c r="G42" i="53"/>
  <c r="H42" i="53"/>
  <c r="I42" i="53"/>
  <c r="J42" i="53"/>
  <c r="B43" i="53"/>
  <c r="C43" i="53"/>
  <c r="D43" i="53"/>
  <c r="E43" i="53"/>
  <c r="F43" i="53"/>
  <c r="G43" i="53"/>
  <c r="H43" i="53"/>
  <c r="I43" i="53"/>
  <c r="J43" i="53"/>
  <c r="B44" i="53"/>
  <c r="C44" i="53"/>
  <c r="D44" i="53"/>
  <c r="E44" i="53"/>
  <c r="F44" i="53"/>
  <c r="G44" i="53"/>
  <c r="H44" i="53"/>
  <c r="I44" i="53"/>
  <c r="J44" i="53"/>
  <c r="B45" i="53"/>
  <c r="C45" i="53"/>
  <c r="D45" i="53"/>
  <c r="E45" i="53"/>
  <c r="F45" i="53"/>
  <c r="G45" i="53"/>
  <c r="H45" i="53"/>
  <c r="I45" i="53"/>
  <c r="J45" i="53"/>
  <c r="B46" i="53"/>
  <c r="C46" i="53"/>
  <c r="D46" i="53"/>
  <c r="E46" i="53"/>
  <c r="F46" i="53"/>
  <c r="G46" i="53"/>
  <c r="H46" i="53"/>
  <c r="I46" i="53"/>
  <c r="J46" i="53"/>
  <c r="B47" i="53"/>
  <c r="C47" i="53"/>
  <c r="D47" i="53"/>
  <c r="E47" i="53"/>
  <c r="F47" i="53"/>
  <c r="G47" i="53"/>
  <c r="H47" i="53"/>
  <c r="I47" i="53"/>
  <c r="J47" i="53"/>
  <c r="B48" i="53"/>
  <c r="C48" i="53"/>
  <c r="D48" i="53"/>
  <c r="E48" i="53"/>
  <c r="F48" i="53"/>
  <c r="G48" i="53"/>
  <c r="H48" i="53"/>
  <c r="I48" i="53"/>
  <c r="J48" i="53"/>
  <c r="B49" i="53"/>
  <c r="C49" i="53"/>
  <c r="D49" i="53"/>
  <c r="E49" i="53"/>
  <c r="F49" i="53"/>
  <c r="G49" i="53"/>
  <c r="H49" i="53"/>
  <c r="I49" i="53"/>
  <c r="J49" i="53"/>
  <c r="B50" i="53"/>
  <c r="C50" i="53"/>
  <c r="D50" i="53"/>
  <c r="E50" i="53"/>
  <c r="F50" i="53"/>
  <c r="G50" i="53"/>
  <c r="H50" i="53"/>
  <c r="I50" i="53"/>
  <c r="J50" i="53"/>
  <c r="B51" i="53"/>
  <c r="C51" i="53"/>
  <c r="D51" i="53"/>
  <c r="E51" i="53"/>
  <c r="F51" i="53"/>
  <c r="G51" i="53"/>
  <c r="H51" i="53"/>
  <c r="I51" i="53"/>
  <c r="J51" i="53"/>
  <c r="B52" i="53"/>
  <c r="C52" i="53"/>
  <c r="D52" i="53"/>
  <c r="E52" i="53"/>
  <c r="F52" i="53"/>
  <c r="G52" i="53"/>
  <c r="H52" i="53"/>
  <c r="I52" i="53"/>
  <c r="J52" i="53"/>
  <c r="B53" i="53"/>
  <c r="C53" i="53"/>
  <c r="D53" i="53"/>
  <c r="E53" i="53"/>
  <c r="F53" i="53"/>
  <c r="G53" i="53"/>
  <c r="H53" i="53"/>
  <c r="I53" i="53"/>
  <c r="J53" i="53"/>
  <c r="B54" i="53"/>
  <c r="C54" i="53"/>
  <c r="D54" i="53"/>
  <c r="E54" i="53"/>
  <c r="F54" i="53"/>
  <c r="G54" i="53"/>
  <c r="H54" i="53"/>
  <c r="I54" i="53"/>
  <c r="J54" i="53"/>
  <c r="B55" i="53"/>
  <c r="C55" i="53"/>
  <c r="D55" i="53"/>
  <c r="E55" i="53"/>
  <c r="F55" i="53"/>
  <c r="G55" i="53"/>
  <c r="H55" i="53"/>
  <c r="I55" i="53"/>
  <c r="J55" i="53"/>
  <c r="B56" i="53"/>
  <c r="C56" i="53"/>
  <c r="D56" i="53"/>
  <c r="E56" i="53"/>
  <c r="F56" i="53"/>
  <c r="G56" i="53"/>
  <c r="H56" i="53"/>
  <c r="I56" i="53"/>
  <c r="J56" i="53"/>
  <c r="B57" i="53"/>
  <c r="C57" i="53"/>
  <c r="D57" i="53"/>
  <c r="E57" i="53"/>
  <c r="F57" i="53"/>
  <c r="G57" i="53"/>
  <c r="H57" i="53"/>
  <c r="I57" i="53"/>
  <c r="J57" i="53"/>
  <c r="B58" i="53"/>
  <c r="C58" i="53"/>
  <c r="D58" i="53"/>
  <c r="E58" i="53"/>
  <c r="F58" i="53"/>
  <c r="G58" i="53"/>
  <c r="H58" i="53"/>
  <c r="I58" i="53"/>
  <c r="J58" i="53"/>
  <c r="B59" i="53"/>
  <c r="C59" i="53"/>
  <c r="D59" i="53"/>
  <c r="E59" i="53"/>
  <c r="F59" i="53"/>
  <c r="G59" i="53"/>
  <c r="H59" i="53"/>
  <c r="I59" i="53"/>
  <c r="J59" i="53"/>
  <c r="B60" i="53"/>
  <c r="C60" i="53"/>
  <c r="D60" i="53"/>
  <c r="E60" i="53"/>
  <c r="F60" i="53"/>
  <c r="G60" i="53"/>
  <c r="H60" i="53"/>
  <c r="I60" i="53"/>
  <c r="J60" i="53"/>
  <c r="B61" i="53"/>
  <c r="C61" i="53"/>
  <c r="D61" i="53"/>
  <c r="E61" i="53"/>
  <c r="F61" i="53"/>
  <c r="G61" i="53"/>
  <c r="H61" i="53"/>
  <c r="I61" i="53"/>
  <c r="J61" i="53"/>
  <c r="B62" i="53"/>
  <c r="C62" i="53"/>
  <c r="D62" i="53"/>
  <c r="E62" i="53"/>
  <c r="F62" i="53"/>
  <c r="G62" i="53"/>
  <c r="H62" i="53"/>
  <c r="I62" i="53"/>
  <c r="J62" i="53"/>
  <c r="B63" i="53"/>
  <c r="C63" i="53"/>
  <c r="D63" i="53"/>
  <c r="E63" i="53"/>
  <c r="F63" i="53"/>
  <c r="G63" i="53"/>
  <c r="H63" i="53"/>
  <c r="I63" i="53"/>
  <c r="J63" i="53"/>
  <c r="B64" i="53"/>
  <c r="C64" i="53"/>
  <c r="D64" i="53"/>
  <c r="E64" i="53"/>
  <c r="F64" i="53"/>
  <c r="G64" i="53"/>
  <c r="H64" i="53"/>
  <c r="I64" i="53"/>
  <c r="J64" i="53"/>
  <c r="B65" i="53"/>
  <c r="C65" i="53"/>
  <c r="D65" i="53"/>
  <c r="E65" i="53"/>
  <c r="F65" i="53"/>
  <c r="G65" i="53"/>
  <c r="H65" i="53"/>
  <c r="I65" i="53"/>
  <c r="J65" i="53"/>
  <c r="B66" i="53"/>
  <c r="C66" i="53"/>
  <c r="D66" i="53"/>
  <c r="E66" i="53"/>
  <c r="F66" i="53"/>
  <c r="G66" i="53"/>
  <c r="H66" i="53"/>
  <c r="I66" i="53"/>
  <c r="J66" i="53"/>
  <c r="B67" i="53"/>
  <c r="C67" i="53"/>
  <c r="D67" i="53"/>
  <c r="E67" i="53"/>
  <c r="F67" i="53"/>
  <c r="G67" i="53"/>
  <c r="H67" i="53"/>
  <c r="I67" i="53"/>
  <c r="J67" i="53"/>
  <c r="B68" i="53"/>
  <c r="C68" i="53"/>
  <c r="D68" i="53"/>
  <c r="E68" i="53"/>
  <c r="F68" i="53"/>
  <c r="G68" i="53"/>
  <c r="H68" i="53"/>
  <c r="I68" i="53"/>
  <c r="J68" i="53"/>
  <c r="B69" i="53"/>
  <c r="C69" i="53"/>
  <c r="D69" i="53"/>
  <c r="E69" i="53"/>
  <c r="F69" i="53"/>
  <c r="G69" i="53"/>
  <c r="H69" i="53"/>
  <c r="I69" i="53"/>
  <c r="J69" i="53"/>
  <c r="B70" i="53"/>
  <c r="C70" i="53"/>
  <c r="D70" i="53"/>
  <c r="E70" i="53"/>
  <c r="F70" i="53"/>
  <c r="G70" i="53"/>
  <c r="H70" i="53"/>
  <c r="I70" i="53"/>
  <c r="J70" i="53"/>
  <c r="B71" i="53"/>
  <c r="C71" i="53"/>
  <c r="D71" i="53"/>
  <c r="E71" i="53"/>
  <c r="F71" i="53"/>
  <c r="G71" i="53"/>
  <c r="H71" i="53"/>
  <c r="I71" i="53"/>
  <c r="J71" i="53"/>
  <c r="B72" i="53"/>
  <c r="C72" i="53"/>
  <c r="D72" i="53"/>
  <c r="E72" i="53"/>
  <c r="F72" i="53"/>
  <c r="G72" i="53"/>
  <c r="H72" i="53"/>
  <c r="I72" i="53"/>
  <c r="J72" i="53"/>
  <c r="B73" i="53"/>
  <c r="C73" i="53"/>
  <c r="D73" i="53"/>
  <c r="E73" i="53"/>
  <c r="F73" i="53"/>
  <c r="G73" i="53"/>
  <c r="H73" i="53"/>
  <c r="I73" i="53"/>
  <c r="J73" i="53"/>
  <c r="B74" i="53"/>
  <c r="C74" i="53"/>
  <c r="D74" i="53"/>
  <c r="E74" i="53"/>
  <c r="F74" i="53"/>
  <c r="G74" i="53"/>
  <c r="H74" i="53"/>
  <c r="I74" i="53"/>
  <c r="J74" i="53"/>
  <c r="B75" i="53"/>
  <c r="C75" i="53"/>
  <c r="D75" i="53"/>
  <c r="E75" i="53"/>
  <c r="F75" i="53"/>
  <c r="G75" i="53"/>
  <c r="H75" i="53"/>
  <c r="I75" i="53"/>
  <c r="J75" i="53"/>
  <c r="B76" i="53"/>
  <c r="C76" i="53"/>
  <c r="D76" i="53"/>
  <c r="E76" i="53"/>
  <c r="F76" i="53"/>
  <c r="G76" i="53"/>
  <c r="H76" i="53"/>
  <c r="I76" i="53"/>
  <c r="J76" i="53"/>
  <c r="B77" i="53"/>
  <c r="C77" i="53"/>
  <c r="D77" i="53"/>
  <c r="E77" i="53"/>
  <c r="F77" i="53"/>
  <c r="G77" i="53"/>
  <c r="H77" i="53"/>
  <c r="I77" i="53"/>
  <c r="J77" i="53"/>
  <c r="B78" i="53"/>
  <c r="C78" i="53"/>
  <c r="D78" i="53"/>
  <c r="E78" i="53"/>
  <c r="F78" i="53"/>
  <c r="G78" i="53"/>
  <c r="H78" i="53"/>
  <c r="I78" i="53"/>
  <c r="J78" i="53"/>
  <c r="B79" i="53"/>
  <c r="C79" i="53"/>
  <c r="D79" i="53"/>
  <c r="E79" i="53"/>
  <c r="F79" i="53"/>
  <c r="G79" i="53"/>
  <c r="H79" i="53"/>
  <c r="I79" i="53"/>
  <c r="J79" i="53"/>
  <c r="B80" i="53"/>
  <c r="C80" i="53"/>
  <c r="D80" i="53"/>
  <c r="E80" i="53"/>
  <c r="F80" i="53"/>
  <c r="G80" i="53"/>
  <c r="H80" i="53"/>
  <c r="I80" i="53"/>
  <c r="J80" i="53"/>
  <c r="B81" i="53"/>
  <c r="C81" i="53"/>
  <c r="D81" i="53"/>
  <c r="E81" i="53"/>
  <c r="F81" i="53"/>
  <c r="G81" i="53"/>
  <c r="H81" i="53"/>
  <c r="I81" i="53"/>
  <c r="J81" i="53"/>
  <c r="B82" i="53"/>
  <c r="C82" i="53"/>
  <c r="D82" i="53"/>
  <c r="E82" i="53"/>
  <c r="F82" i="53"/>
  <c r="G82" i="53"/>
  <c r="H82" i="53"/>
  <c r="I82" i="53"/>
  <c r="J82" i="53"/>
  <c r="B83" i="53"/>
  <c r="C83" i="53"/>
  <c r="D83" i="53"/>
  <c r="E83" i="53"/>
  <c r="F83" i="53"/>
  <c r="G83" i="53"/>
  <c r="H83" i="53"/>
  <c r="I83" i="53"/>
  <c r="J83" i="53"/>
  <c r="B84" i="53"/>
  <c r="C84" i="53"/>
  <c r="D84" i="53"/>
  <c r="E84" i="53"/>
  <c r="F84" i="53"/>
  <c r="G84" i="53"/>
  <c r="H84" i="53"/>
  <c r="I84" i="53"/>
  <c r="J84" i="53"/>
  <c r="B85" i="53"/>
  <c r="C85" i="53"/>
  <c r="D85" i="53"/>
  <c r="E85" i="53"/>
  <c r="F85" i="53"/>
  <c r="G85" i="53"/>
  <c r="H85" i="53"/>
  <c r="I85" i="53"/>
  <c r="J85" i="53"/>
  <c r="AI5" i="53"/>
  <c r="A1" i="52"/>
  <c r="P2" i="52"/>
  <c r="J3" i="52"/>
  <c r="J4" i="52"/>
  <c r="M4" i="52"/>
  <c r="AI4" i="52"/>
  <c r="J5" i="52"/>
  <c r="J6" i="52"/>
  <c r="B10" i="52"/>
  <c r="C10" i="52"/>
  <c r="D10" i="52"/>
  <c r="E10" i="52"/>
  <c r="F10" i="52"/>
  <c r="G10" i="52"/>
  <c r="H10" i="52"/>
  <c r="I10" i="52"/>
  <c r="J10" i="52"/>
  <c r="K10" i="52"/>
  <c r="L10" i="52"/>
  <c r="M10" i="52"/>
  <c r="N10" i="52"/>
  <c r="O10" i="52"/>
  <c r="P10" i="52"/>
  <c r="Q10" i="52"/>
  <c r="R10" i="52"/>
  <c r="S10" i="52"/>
  <c r="T10" i="52"/>
  <c r="U10" i="52"/>
  <c r="V10" i="52"/>
  <c r="W10" i="52"/>
  <c r="X10" i="52"/>
  <c r="Y10" i="52"/>
  <c r="Z10" i="52"/>
  <c r="AA10" i="52"/>
  <c r="AB10" i="52"/>
  <c r="AC10" i="52"/>
  <c r="AD10" i="52"/>
  <c r="AE10" i="52"/>
  <c r="B11" i="52"/>
  <c r="C11" i="52"/>
  <c r="D11" i="52"/>
  <c r="E11" i="52"/>
  <c r="F11" i="52"/>
  <c r="G11" i="52"/>
  <c r="H11" i="52"/>
  <c r="I11" i="52"/>
  <c r="J11" i="52"/>
  <c r="K11" i="52"/>
  <c r="L11" i="52"/>
  <c r="M11" i="52"/>
  <c r="N11" i="52"/>
  <c r="O11" i="52"/>
  <c r="P11" i="52"/>
  <c r="Q11" i="52"/>
  <c r="R11" i="52"/>
  <c r="S11" i="52"/>
  <c r="T11" i="52"/>
  <c r="U11" i="52"/>
  <c r="V11" i="52"/>
  <c r="W11" i="52"/>
  <c r="X11" i="52"/>
  <c r="Y11" i="52"/>
  <c r="Z11" i="52"/>
  <c r="AA11" i="52"/>
  <c r="AB11" i="52"/>
  <c r="AC11" i="52"/>
  <c r="AD11" i="52"/>
  <c r="AE11" i="52"/>
  <c r="B12" i="52"/>
  <c r="C12" i="52"/>
  <c r="D12" i="52"/>
  <c r="E12" i="52"/>
  <c r="F12" i="52"/>
  <c r="G12" i="52"/>
  <c r="H12" i="52"/>
  <c r="I12" i="52"/>
  <c r="J12" i="52"/>
  <c r="K12" i="52"/>
  <c r="L12" i="52"/>
  <c r="M12" i="52"/>
  <c r="N12" i="52"/>
  <c r="O12" i="52"/>
  <c r="P12" i="52"/>
  <c r="Q12" i="52"/>
  <c r="R12" i="52"/>
  <c r="S12" i="52"/>
  <c r="T12" i="52"/>
  <c r="U12" i="52"/>
  <c r="V12" i="52"/>
  <c r="W12" i="52"/>
  <c r="X12" i="52"/>
  <c r="Y12" i="52"/>
  <c r="Z12" i="52"/>
  <c r="AA12" i="52"/>
  <c r="AB12" i="52"/>
  <c r="AC12" i="52"/>
  <c r="AD12" i="52"/>
  <c r="AE12" i="52"/>
  <c r="B13" i="52"/>
  <c r="C13" i="52"/>
  <c r="D13" i="52"/>
  <c r="E13" i="52"/>
  <c r="F13" i="52"/>
  <c r="G13" i="52"/>
  <c r="H13" i="52"/>
  <c r="I13" i="52"/>
  <c r="J13" i="52"/>
  <c r="K13" i="52"/>
  <c r="L13" i="52"/>
  <c r="M13" i="52"/>
  <c r="N13" i="52"/>
  <c r="O13" i="52"/>
  <c r="P13" i="52"/>
  <c r="Q13" i="52"/>
  <c r="R13" i="52"/>
  <c r="S13" i="52"/>
  <c r="T13" i="52"/>
  <c r="U13" i="52"/>
  <c r="V13" i="52"/>
  <c r="W13" i="52"/>
  <c r="X13" i="52"/>
  <c r="Y13" i="52"/>
  <c r="Z13" i="52"/>
  <c r="AA13" i="52"/>
  <c r="AB13" i="52"/>
  <c r="AC13" i="52"/>
  <c r="AD13" i="52"/>
  <c r="AE13" i="52"/>
  <c r="B14" i="52"/>
  <c r="C14" i="52"/>
  <c r="D14" i="52"/>
  <c r="E14" i="52"/>
  <c r="F14" i="52"/>
  <c r="G14" i="52"/>
  <c r="H14" i="52"/>
  <c r="I14" i="52"/>
  <c r="J14" i="52"/>
  <c r="K14" i="52"/>
  <c r="L14" i="52"/>
  <c r="M14" i="52"/>
  <c r="N14" i="52"/>
  <c r="O14" i="52"/>
  <c r="P14" i="52"/>
  <c r="Q14" i="52"/>
  <c r="R14" i="52"/>
  <c r="S14" i="52"/>
  <c r="T14" i="52"/>
  <c r="U14" i="52"/>
  <c r="V14" i="52"/>
  <c r="W14" i="52"/>
  <c r="X14" i="52"/>
  <c r="Y14" i="52"/>
  <c r="Z14" i="52"/>
  <c r="AA14" i="52"/>
  <c r="AB14" i="52"/>
  <c r="AC14" i="52"/>
  <c r="AD14" i="52"/>
  <c r="AE14" i="52"/>
  <c r="B15" i="52"/>
  <c r="C15" i="52"/>
  <c r="D15" i="52"/>
  <c r="E15" i="52"/>
  <c r="F15" i="52"/>
  <c r="G15" i="52"/>
  <c r="H15" i="52"/>
  <c r="I15" i="52"/>
  <c r="J15" i="52"/>
  <c r="K15" i="52"/>
  <c r="L15" i="52"/>
  <c r="M15" i="52"/>
  <c r="N15" i="52"/>
  <c r="O15" i="52"/>
  <c r="P15" i="52"/>
  <c r="Q15" i="52"/>
  <c r="R15" i="52"/>
  <c r="S15" i="52"/>
  <c r="T15" i="52"/>
  <c r="U15" i="52"/>
  <c r="V15" i="52"/>
  <c r="W15" i="52"/>
  <c r="X15" i="52"/>
  <c r="Y15" i="52"/>
  <c r="Z15" i="52"/>
  <c r="AA15" i="52"/>
  <c r="AB15" i="52"/>
  <c r="AC15" i="52"/>
  <c r="AD15" i="52"/>
  <c r="AE15" i="52"/>
  <c r="B16" i="52"/>
  <c r="C16" i="52"/>
  <c r="D16" i="52"/>
  <c r="E16" i="52"/>
  <c r="F16" i="52"/>
  <c r="G16" i="52"/>
  <c r="H16" i="52"/>
  <c r="I16" i="52"/>
  <c r="J16" i="52"/>
  <c r="K16" i="52"/>
  <c r="L16" i="52"/>
  <c r="M16" i="52"/>
  <c r="N16" i="52"/>
  <c r="O16" i="52"/>
  <c r="P16" i="52"/>
  <c r="Q16" i="52"/>
  <c r="R16" i="52"/>
  <c r="S16" i="52"/>
  <c r="T16" i="52"/>
  <c r="U16" i="52"/>
  <c r="V16" i="52"/>
  <c r="W16" i="52"/>
  <c r="X16" i="52"/>
  <c r="Y16" i="52"/>
  <c r="Z16" i="52"/>
  <c r="AA16" i="52"/>
  <c r="AB16" i="52"/>
  <c r="AC16" i="52"/>
  <c r="AD16" i="52"/>
  <c r="AE16" i="52"/>
  <c r="B17" i="52"/>
  <c r="C17" i="52"/>
  <c r="D17" i="52"/>
  <c r="E17" i="52"/>
  <c r="F17" i="52"/>
  <c r="G17" i="52"/>
  <c r="H17" i="52"/>
  <c r="I17" i="52"/>
  <c r="J17" i="52"/>
  <c r="K17" i="52"/>
  <c r="L17" i="52"/>
  <c r="M17" i="52"/>
  <c r="N17" i="52"/>
  <c r="O17" i="52"/>
  <c r="P17" i="52"/>
  <c r="Q17" i="52"/>
  <c r="R17" i="52"/>
  <c r="S17" i="52"/>
  <c r="T17" i="52"/>
  <c r="U17" i="52"/>
  <c r="V17" i="52"/>
  <c r="W17" i="52"/>
  <c r="X17" i="52"/>
  <c r="Y17" i="52"/>
  <c r="Z17" i="52"/>
  <c r="AA17" i="52"/>
  <c r="AB17" i="52"/>
  <c r="AC17" i="52"/>
  <c r="AD17" i="52"/>
  <c r="AE17" i="52"/>
  <c r="B18" i="52"/>
  <c r="C18" i="52"/>
  <c r="D18" i="52"/>
  <c r="E18" i="52"/>
  <c r="F18" i="52"/>
  <c r="G18" i="52"/>
  <c r="H18" i="52"/>
  <c r="I18" i="52"/>
  <c r="J18" i="52"/>
  <c r="K18" i="52"/>
  <c r="L18" i="52"/>
  <c r="M18" i="52"/>
  <c r="N18" i="52"/>
  <c r="O18" i="52"/>
  <c r="P18" i="52"/>
  <c r="Q18" i="52"/>
  <c r="R18" i="52"/>
  <c r="S18" i="52"/>
  <c r="T18" i="52"/>
  <c r="U18" i="52"/>
  <c r="V18" i="52"/>
  <c r="W18" i="52"/>
  <c r="X18" i="52"/>
  <c r="Y18" i="52"/>
  <c r="Z18" i="52"/>
  <c r="AA18" i="52"/>
  <c r="AB18" i="52"/>
  <c r="AC18" i="52"/>
  <c r="AD18" i="52"/>
  <c r="AE18" i="52"/>
  <c r="B19" i="52"/>
  <c r="C19" i="52"/>
  <c r="D19" i="52"/>
  <c r="E19" i="52"/>
  <c r="F19" i="52"/>
  <c r="G19" i="52"/>
  <c r="H19" i="52"/>
  <c r="I19" i="52"/>
  <c r="J19" i="52"/>
  <c r="K19" i="52"/>
  <c r="L19" i="52"/>
  <c r="M19" i="52"/>
  <c r="N19" i="52"/>
  <c r="O19" i="52"/>
  <c r="P19" i="52"/>
  <c r="Q19" i="52"/>
  <c r="R19" i="52"/>
  <c r="S19" i="52"/>
  <c r="T19" i="52"/>
  <c r="U19" i="52"/>
  <c r="V19" i="52"/>
  <c r="W19" i="52"/>
  <c r="X19" i="52"/>
  <c r="Y19" i="52"/>
  <c r="Z19" i="52"/>
  <c r="AA19" i="52"/>
  <c r="AB19" i="52"/>
  <c r="AC19" i="52"/>
  <c r="AD19" i="52"/>
  <c r="AE19" i="52"/>
  <c r="B20" i="52"/>
  <c r="C20" i="52"/>
  <c r="D20" i="52"/>
  <c r="E20" i="52"/>
  <c r="F20" i="52"/>
  <c r="G20" i="52"/>
  <c r="H20" i="52"/>
  <c r="I20" i="52"/>
  <c r="J20" i="52"/>
  <c r="K20" i="52"/>
  <c r="L20" i="52"/>
  <c r="M20" i="52"/>
  <c r="N20" i="52"/>
  <c r="O20" i="52"/>
  <c r="P20" i="52"/>
  <c r="Q20" i="52"/>
  <c r="R20" i="52"/>
  <c r="S20" i="52"/>
  <c r="T20" i="52"/>
  <c r="U20" i="52"/>
  <c r="V20" i="52"/>
  <c r="W20" i="52"/>
  <c r="X20" i="52"/>
  <c r="Y20" i="52"/>
  <c r="Z20" i="52"/>
  <c r="AA20" i="52"/>
  <c r="AB20" i="52"/>
  <c r="AC20" i="52"/>
  <c r="AD20" i="52"/>
  <c r="AE20" i="52"/>
  <c r="B21" i="52"/>
  <c r="C21" i="52"/>
  <c r="D21" i="52"/>
  <c r="E21" i="52"/>
  <c r="F21" i="52"/>
  <c r="G21" i="52"/>
  <c r="H21" i="52"/>
  <c r="I21" i="52"/>
  <c r="J21" i="52"/>
  <c r="K21" i="52"/>
  <c r="L21" i="52"/>
  <c r="M21" i="52"/>
  <c r="N21" i="52"/>
  <c r="O21" i="52"/>
  <c r="P21" i="52"/>
  <c r="Q21" i="52"/>
  <c r="R21" i="52"/>
  <c r="S21" i="52"/>
  <c r="T21" i="52"/>
  <c r="U21" i="52"/>
  <c r="V21" i="52"/>
  <c r="W21" i="52"/>
  <c r="X21" i="52"/>
  <c r="Y21" i="52"/>
  <c r="Z21" i="52"/>
  <c r="AA21" i="52"/>
  <c r="AB21" i="52"/>
  <c r="AC21" i="52"/>
  <c r="AD21" i="52"/>
  <c r="AE21" i="52"/>
  <c r="B22" i="52"/>
  <c r="C22" i="52"/>
  <c r="D22" i="52"/>
  <c r="E22" i="52"/>
  <c r="F22" i="52"/>
  <c r="G22" i="52"/>
  <c r="H22" i="52"/>
  <c r="I22" i="52"/>
  <c r="J22" i="52"/>
  <c r="K22" i="52"/>
  <c r="L22" i="52"/>
  <c r="M22" i="52"/>
  <c r="N22" i="52"/>
  <c r="O22" i="52"/>
  <c r="P22" i="52"/>
  <c r="Q22" i="52"/>
  <c r="R22" i="52"/>
  <c r="S22" i="52"/>
  <c r="T22" i="52"/>
  <c r="U22" i="52"/>
  <c r="V22" i="52"/>
  <c r="W22" i="52"/>
  <c r="X22" i="52"/>
  <c r="Y22" i="52"/>
  <c r="Z22" i="52"/>
  <c r="AA22" i="52"/>
  <c r="AB22" i="52"/>
  <c r="AC22" i="52"/>
  <c r="AD22" i="52"/>
  <c r="AE22" i="52"/>
  <c r="B23" i="52"/>
  <c r="C23" i="52"/>
  <c r="D23" i="52"/>
  <c r="E23" i="52"/>
  <c r="F23" i="52"/>
  <c r="G23" i="52"/>
  <c r="H23" i="52"/>
  <c r="I23" i="52"/>
  <c r="J23" i="52"/>
  <c r="K23" i="52"/>
  <c r="L23" i="52"/>
  <c r="M23" i="52"/>
  <c r="N23" i="52"/>
  <c r="O23" i="52"/>
  <c r="P23" i="52"/>
  <c r="Q23" i="52"/>
  <c r="R23" i="52"/>
  <c r="S23" i="52"/>
  <c r="T23" i="52"/>
  <c r="U23" i="52"/>
  <c r="V23" i="52"/>
  <c r="W23" i="52"/>
  <c r="X23" i="52"/>
  <c r="Y23" i="52"/>
  <c r="Z23" i="52"/>
  <c r="AA23" i="52"/>
  <c r="AB23" i="52"/>
  <c r="AC23" i="52"/>
  <c r="AD23" i="52"/>
  <c r="AE23" i="52"/>
  <c r="B24" i="52"/>
  <c r="C24" i="52"/>
  <c r="D24" i="52"/>
  <c r="E24" i="52"/>
  <c r="F24" i="52"/>
  <c r="G24" i="52"/>
  <c r="H24" i="52"/>
  <c r="I24" i="52"/>
  <c r="J24" i="52"/>
  <c r="K24" i="52"/>
  <c r="L24" i="52"/>
  <c r="M24" i="52"/>
  <c r="N24" i="52"/>
  <c r="O24" i="52"/>
  <c r="P24" i="52"/>
  <c r="Q24" i="52"/>
  <c r="R24" i="52"/>
  <c r="S24" i="52"/>
  <c r="T24" i="52"/>
  <c r="U24" i="52"/>
  <c r="V24" i="52"/>
  <c r="W24" i="52"/>
  <c r="X24" i="52"/>
  <c r="Y24" i="52"/>
  <c r="Z24" i="52"/>
  <c r="AA24" i="52"/>
  <c r="AB24" i="52"/>
  <c r="AC24" i="52"/>
  <c r="AD24" i="52"/>
  <c r="AE24" i="52"/>
  <c r="B25" i="52"/>
  <c r="E25" i="52"/>
  <c r="F25" i="52"/>
  <c r="G25" i="52"/>
  <c r="H25" i="52"/>
  <c r="I25" i="52"/>
  <c r="J25" i="52"/>
  <c r="K25" i="52"/>
  <c r="L25" i="52"/>
  <c r="M25" i="52"/>
  <c r="N25" i="52"/>
  <c r="O25" i="52"/>
  <c r="P25" i="52"/>
  <c r="Q25" i="52"/>
  <c r="R25" i="52"/>
  <c r="S25" i="52"/>
  <c r="T25" i="52"/>
  <c r="U25" i="52"/>
  <c r="V25" i="52"/>
  <c r="Z25" i="52"/>
  <c r="AA25" i="52"/>
  <c r="AB25" i="52"/>
  <c r="AC25" i="52"/>
  <c r="AD25" i="52"/>
  <c r="AE25" i="52"/>
  <c r="B26" i="52"/>
  <c r="C26" i="52"/>
  <c r="D26" i="52"/>
  <c r="E26" i="52"/>
  <c r="F26" i="52"/>
  <c r="G26" i="52"/>
  <c r="H26" i="52"/>
  <c r="I26" i="52"/>
  <c r="J26" i="52"/>
  <c r="K26" i="52"/>
  <c r="L26" i="52"/>
  <c r="M26" i="52"/>
  <c r="N26" i="52"/>
  <c r="O26" i="52"/>
  <c r="P26" i="52"/>
  <c r="Q26" i="52"/>
  <c r="R26" i="52"/>
  <c r="S26" i="52"/>
  <c r="T26" i="52"/>
  <c r="U26" i="52"/>
  <c r="V26" i="52"/>
  <c r="W26" i="52"/>
  <c r="X26" i="52"/>
  <c r="Y26" i="52"/>
  <c r="Z26" i="52"/>
  <c r="AA26" i="52"/>
  <c r="AB26" i="52"/>
  <c r="AC26" i="52"/>
  <c r="AD26" i="52"/>
  <c r="AE26" i="52"/>
  <c r="B27" i="52"/>
  <c r="C27" i="52"/>
  <c r="D27" i="52"/>
  <c r="E27" i="52"/>
  <c r="F27" i="52"/>
  <c r="G27" i="52"/>
  <c r="H27" i="52"/>
  <c r="I27" i="52"/>
  <c r="J27" i="52"/>
  <c r="K27" i="52"/>
  <c r="L27" i="52"/>
  <c r="M27" i="52"/>
  <c r="N27" i="52"/>
  <c r="O27" i="52"/>
  <c r="P27" i="52"/>
  <c r="Q27" i="52"/>
  <c r="R27" i="52"/>
  <c r="S27" i="52"/>
  <c r="T27" i="52"/>
  <c r="U27" i="52"/>
  <c r="V27" i="52"/>
  <c r="W27" i="52" s="1"/>
  <c r="X27" i="52"/>
  <c r="Y27" i="52"/>
  <c r="Z27" i="52"/>
  <c r="AA27" i="52"/>
  <c r="AB27" i="52"/>
  <c r="AC27" i="52"/>
  <c r="AD27" i="52"/>
  <c r="AE27" i="52"/>
  <c r="B28" i="52"/>
  <c r="D28" i="52"/>
  <c r="E28" i="52"/>
  <c r="F28" i="52"/>
  <c r="G28" i="52"/>
  <c r="H28" i="52"/>
  <c r="I28" i="52"/>
  <c r="J28" i="52"/>
  <c r="K28" i="52"/>
  <c r="L28" i="52"/>
  <c r="M28" i="52"/>
  <c r="N28" i="52"/>
  <c r="O28" i="52"/>
  <c r="P28" i="52"/>
  <c r="Q28" i="52"/>
  <c r="R28" i="52"/>
  <c r="S28" i="52"/>
  <c r="T28" i="52"/>
  <c r="U28" i="52"/>
  <c r="V28" i="52"/>
  <c r="W28" i="52"/>
  <c r="X28" i="52"/>
  <c r="Y28" i="52"/>
  <c r="Z28" i="52"/>
  <c r="AA28" i="52"/>
  <c r="AB28" i="52"/>
  <c r="AC28" i="52"/>
  <c r="AD28" i="52"/>
  <c r="AE28" i="52"/>
  <c r="B29" i="52"/>
  <c r="C29" i="52"/>
  <c r="D29" i="52"/>
  <c r="E29" i="52"/>
  <c r="F29" i="52"/>
  <c r="G29" i="52"/>
  <c r="H29" i="52"/>
  <c r="I29" i="52"/>
  <c r="J29" i="52"/>
  <c r="K29" i="52"/>
  <c r="L29" i="52"/>
  <c r="M29" i="52"/>
  <c r="N29" i="52"/>
  <c r="O29" i="52"/>
  <c r="P29" i="52"/>
  <c r="Q29" i="52"/>
  <c r="R29" i="52"/>
  <c r="S29" i="52"/>
  <c r="T29" i="52"/>
  <c r="U29" i="52"/>
  <c r="V29" i="52"/>
  <c r="W29" i="52"/>
  <c r="X29" i="52"/>
  <c r="Y29" i="52"/>
  <c r="Z29" i="52"/>
  <c r="AA29" i="52"/>
  <c r="AB29" i="52"/>
  <c r="AC29" i="52"/>
  <c r="AD29" i="52"/>
  <c r="AE29" i="52"/>
  <c r="B30" i="52"/>
  <c r="C30" i="52"/>
  <c r="D30" i="52"/>
  <c r="E30" i="52"/>
  <c r="F30" i="52"/>
  <c r="G30" i="52"/>
  <c r="H30" i="52"/>
  <c r="I30" i="52"/>
  <c r="J30" i="52"/>
  <c r="K30" i="52"/>
  <c r="L30" i="52"/>
  <c r="M30" i="52"/>
  <c r="N30" i="52"/>
  <c r="O30" i="52"/>
  <c r="P30" i="52"/>
  <c r="Q30" i="52"/>
  <c r="R30" i="52"/>
  <c r="S30" i="52"/>
  <c r="T30" i="52"/>
  <c r="U30" i="52"/>
  <c r="V30" i="52"/>
  <c r="W30" i="52"/>
  <c r="X30" i="52"/>
  <c r="Y30" i="52"/>
  <c r="Z30" i="52"/>
  <c r="AA30" i="52"/>
  <c r="AB30" i="52"/>
  <c r="AC30" i="52"/>
  <c r="AD30" i="52"/>
  <c r="AE30" i="52"/>
  <c r="B31" i="52"/>
  <c r="C31" i="52"/>
  <c r="D31" i="52"/>
  <c r="E31" i="52"/>
  <c r="F31" i="52"/>
  <c r="G31" i="52"/>
  <c r="H31" i="52"/>
  <c r="I31" i="52"/>
  <c r="J31" i="52"/>
  <c r="K31" i="52"/>
  <c r="L31" i="52"/>
  <c r="M31" i="52"/>
  <c r="N31" i="52"/>
  <c r="O31" i="52"/>
  <c r="P31" i="52"/>
  <c r="Q31" i="52"/>
  <c r="R31" i="52"/>
  <c r="S31" i="52"/>
  <c r="T31" i="52"/>
  <c r="U31" i="52"/>
  <c r="V31" i="52"/>
  <c r="W31" i="52" s="1"/>
  <c r="X31" i="52"/>
  <c r="Y31" i="52"/>
  <c r="Z31" i="52"/>
  <c r="AA31" i="52"/>
  <c r="AB31" i="52"/>
  <c r="AC31" i="52"/>
  <c r="AD31" i="52"/>
  <c r="AE31" i="52"/>
  <c r="B32" i="52"/>
  <c r="C32" i="52"/>
  <c r="D32" i="52"/>
  <c r="E32" i="52"/>
  <c r="F32" i="52"/>
  <c r="G32" i="52"/>
  <c r="H32" i="52"/>
  <c r="I32" i="52"/>
  <c r="J32" i="52"/>
  <c r="K32" i="52"/>
  <c r="L32" i="52"/>
  <c r="M32" i="52"/>
  <c r="N32" i="52"/>
  <c r="O32" i="52"/>
  <c r="P32" i="52"/>
  <c r="Q32" i="52"/>
  <c r="R32" i="52"/>
  <c r="S32" i="52"/>
  <c r="T32" i="52"/>
  <c r="U32" i="52"/>
  <c r="V32" i="52"/>
  <c r="W32" i="52" s="1"/>
  <c r="X32" i="52"/>
  <c r="Y32" i="52"/>
  <c r="Z32" i="52"/>
  <c r="AA32" i="52"/>
  <c r="AB32" i="52"/>
  <c r="AC32" i="52"/>
  <c r="AD32" i="52"/>
  <c r="AE32" i="52"/>
  <c r="B33" i="52"/>
  <c r="C33" i="52"/>
  <c r="D33" i="52"/>
  <c r="E33" i="52"/>
  <c r="F33" i="52"/>
  <c r="G33" i="52"/>
  <c r="H33" i="52"/>
  <c r="I33" i="52"/>
  <c r="J33" i="52"/>
  <c r="K33" i="52"/>
  <c r="L33" i="52"/>
  <c r="M33" i="52"/>
  <c r="N33" i="52"/>
  <c r="O33" i="52"/>
  <c r="P33" i="52"/>
  <c r="Q33" i="52"/>
  <c r="R33" i="52"/>
  <c r="S33" i="52"/>
  <c r="T33" i="52"/>
  <c r="U33" i="52"/>
  <c r="V33" i="52"/>
  <c r="W33" i="52"/>
  <c r="X33" i="52"/>
  <c r="Y33" i="52"/>
  <c r="Z33" i="52"/>
  <c r="AA33" i="52"/>
  <c r="AB33" i="52"/>
  <c r="AC33" i="52"/>
  <c r="AD33" i="52"/>
  <c r="AE33" i="52"/>
  <c r="B34" i="52"/>
  <c r="C34" i="52"/>
  <c r="D34" i="52"/>
  <c r="E34" i="52"/>
  <c r="F34" i="52"/>
  <c r="G34" i="52"/>
  <c r="H34" i="52"/>
  <c r="I34" i="52"/>
  <c r="J34" i="52"/>
  <c r="K34" i="52"/>
  <c r="L34" i="52"/>
  <c r="M34" i="52"/>
  <c r="N34" i="52"/>
  <c r="O34" i="52"/>
  <c r="P34" i="52"/>
  <c r="Q34" i="52"/>
  <c r="R34" i="52"/>
  <c r="S34" i="52"/>
  <c r="T34" i="52"/>
  <c r="U34" i="52"/>
  <c r="V34" i="52"/>
  <c r="W34" i="52" s="1"/>
  <c r="X34" i="52"/>
  <c r="Y34" i="52"/>
  <c r="Z34" i="52"/>
  <c r="AA34" i="52"/>
  <c r="AB34" i="52"/>
  <c r="AC34" i="52"/>
  <c r="AD34" i="52"/>
  <c r="AE34" i="52"/>
  <c r="B35" i="52"/>
  <c r="C35" i="52"/>
  <c r="D35" i="52"/>
  <c r="E35" i="52"/>
  <c r="F35" i="52"/>
  <c r="G35" i="52"/>
  <c r="H35" i="52"/>
  <c r="I35" i="52"/>
  <c r="J35" i="52"/>
  <c r="K35" i="52"/>
  <c r="L35" i="52"/>
  <c r="M35" i="52"/>
  <c r="N35" i="52"/>
  <c r="O35" i="52"/>
  <c r="P35" i="52"/>
  <c r="Q35" i="52"/>
  <c r="R35" i="52"/>
  <c r="S35" i="52"/>
  <c r="T35" i="52"/>
  <c r="U35" i="52"/>
  <c r="W35" i="52" s="1"/>
  <c r="V35" i="52"/>
  <c r="X35" i="52"/>
  <c r="Y35" i="52"/>
  <c r="Z35" i="52"/>
  <c r="AA35" i="52"/>
  <c r="AB35" i="52"/>
  <c r="AC35" i="52"/>
  <c r="AD35" i="52"/>
  <c r="AE35" i="52"/>
  <c r="B36" i="52"/>
  <c r="C36" i="52"/>
  <c r="D36" i="52"/>
  <c r="E36" i="52"/>
  <c r="F36" i="52"/>
  <c r="G36" i="52"/>
  <c r="H36" i="52"/>
  <c r="I36" i="52"/>
  <c r="J36" i="52"/>
  <c r="K36" i="52"/>
  <c r="L36" i="52"/>
  <c r="M36" i="52"/>
  <c r="N36" i="52"/>
  <c r="O36" i="52"/>
  <c r="P36" i="52"/>
  <c r="Q36" i="52"/>
  <c r="R36" i="52"/>
  <c r="S36" i="52"/>
  <c r="T36" i="52"/>
  <c r="U36" i="52"/>
  <c r="V36" i="52"/>
  <c r="W36" i="52"/>
  <c r="X36" i="52"/>
  <c r="Y36" i="52"/>
  <c r="Z36" i="52"/>
  <c r="AA36" i="52"/>
  <c r="AB36" i="52"/>
  <c r="AC36" i="52"/>
  <c r="AD36" i="52"/>
  <c r="AE36" i="52"/>
  <c r="B37" i="52"/>
  <c r="D37" i="52"/>
  <c r="E37" i="52"/>
  <c r="F37" i="52"/>
  <c r="G37" i="52"/>
  <c r="H37" i="52"/>
  <c r="I37" i="52"/>
  <c r="J37" i="52"/>
  <c r="K37" i="52"/>
  <c r="L37" i="52"/>
  <c r="M37" i="52"/>
  <c r="N37" i="52"/>
  <c r="O37" i="52"/>
  <c r="P37" i="52"/>
  <c r="Q37" i="52"/>
  <c r="R37" i="52"/>
  <c r="S37" i="52"/>
  <c r="T37" i="52"/>
  <c r="U37" i="52"/>
  <c r="V37" i="52"/>
  <c r="W37" i="52"/>
  <c r="X37" i="52"/>
  <c r="Y37" i="52"/>
  <c r="Z37" i="52"/>
  <c r="AA37" i="52"/>
  <c r="AB37" i="52"/>
  <c r="AC37" i="52"/>
  <c r="AD37" i="52"/>
  <c r="AE37" i="52"/>
  <c r="B38" i="52"/>
  <c r="D38" i="52"/>
  <c r="E38" i="52"/>
  <c r="F38" i="52"/>
  <c r="G38" i="52"/>
  <c r="H38" i="52"/>
  <c r="I38" i="52"/>
  <c r="J38" i="52"/>
  <c r="K38" i="52"/>
  <c r="L38" i="52"/>
  <c r="M38" i="52"/>
  <c r="N38" i="52"/>
  <c r="O38" i="52"/>
  <c r="P38" i="52"/>
  <c r="Q38" i="52"/>
  <c r="R38" i="52"/>
  <c r="S38" i="52"/>
  <c r="T38" i="52"/>
  <c r="U38" i="52"/>
  <c r="V38" i="52"/>
  <c r="W38" i="52" s="1"/>
  <c r="X38" i="52"/>
  <c r="Y38" i="52"/>
  <c r="Z38" i="52"/>
  <c r="AA38" i="52"/>
  <c r="AB38" i="52"/>
  <c r="AC38" i="52"/>
  <c r="AD38" i="52"/>
  <c r="AE38" i="52"/>
  <c r="B39" i="52"/>
  <c r="D39" i="52"/>
  <c r="E39" i="52"/>
  <c r="F39" i="52"/>
  <c r="G39" i="52"/>
  <c r="H39" i="52"/>
  <c r="I39" i="52"/>
  <c r="J39" i="52"/>
  <c r="K39" i="52"/>
  <c r="L39" i="52"/>
  <c r="M39" i="52"/>
  <c r="N39" i="52"/>
  <c r="O39" i="52"/>
  <c r="P39" i="52"/>
  <c r="Q39" i="52"/>
  <c r="R39" i="52"/>
  <c r="S39" i="52"/>
  <c r="T39" i="52"/>
  <c r="U39" i="52"/>
  <c r="V39" i="52"/>
  <c r="W39" i="52"/>
  <c r="X39" i="52"/>
  <c r="Y39" i="52"/>
  <c r="Z39" i="52"/>
  <c r="AA39" i="52"/>
  <c r="AB39" i="52"/>
  <c r="AC39" i="52"/>
  <c r="AD39" i="52"/>
  <c r="AE39" i="52"/>
  <c r="B40" i="52"/>
  <c r="C40" i="52"/>
  <c r="D40" i="52"/>
  <c r="E40" i="52"/>
  <c r="F40" i="52"/>
  <c r="G40" i="52"/>
  <c r="H40" i="52"/>
  <c r="I40" i="52"/>
  <c r="J40" i="52"/>
  <c r="K40" i="52"/>
  <c r="L40" i="52"/>
  <c r="M40" i="52"/>
  <c r="N40" i="52"/>
  <c r="O40" i="52"/>
  <c r="P40" i="52"/>
  <c r="Q40" i="52"/>
  <c r="R40" i="52"/>
  <c r="S40" i="52"/>
  <c r="T40" i="52"/>
  <c r="U40" i="52"/>
  <c r="V40" i="52"/>
  <c r="W40" i="52"/>
  <c r="X40" i="52"/>
  <c r="Y40" i="52"/>
  <c r="Z40" i="52"/>
  <c r="AA40" i="52"/>
  <c r="AB40" i="52"/>
  <c r="AC40" i="52"/>
  <c r="AD40" i="52"/>
  <c r="AE40" i="52"/>
  <c r="B41" i="52"/>
  <c r="C41" i="52"/>
  <c r="D41" i="52"/>
  <c r="E41" i="52"/>
  <c r="F41" i="52"/>
  <c r="G41" i="52"/>
  <c r="H41" i="52"/>
  <c r="I41" i="52"/>
  <c r="J41" i="52"/>
  <c r="K41" i="52"/>
  <c r="L41" i="52"/>
  <c r="M41" i="52"/>
  <c r="N41" i="52"/>
  <c r="O41" i="52"/>
  <c r="P41" i="52"/>
  <c r="Q41" i="52"/>
  <c r="R41" i="52"/>
  <c r="S41" i="52"/>
  <c r="T41" i="52"/>
  <c r="U41" i="52"/>
  <c r="V41" i="52"/>
  <c r="W41" i="52"/>
  <c r="X41" i="52"/>
  <c r="Y41" i="52"/>
  <c r="B42" i="52"/>
  <c r="C42" i="52"/>
  <c r="D42" i="52"/>
  <c r="E42" i="52"/>
  <c r="F42" i="52"/>
  <c r="G42" i="52"/>
  <c r="H42" i="52"/>
  <c r="I42" i="52"/>
  <c r="J42" i="52"/>
  <c r="K42" i="52"/>
  <c r="L42" i="52"/>
  <c r="M42" i="52"/>
  <c r="N42" i="52"/>
  <c r="O42" i="52"/>
  <c r="P42" i="52"/>
  <c r="Q42" i="52"/>
  <c r="R42" i="52"/>
  <c r="S42" i="52"/>
  <c r="T42" i="52"/>
  <c r="U42" i="52"/>
  <c r="V42" i="52"/>
  <c r="W42" i="52"/>
  <c r="X42" i="52"/>
  <c r="Y42" i="52"/>
  <c r="Z42" i="52"/>
  <c r="AA42" i="52"/>
  <c r="AB42" i="52"/>
  <c r="AC42" i="52"/>
  <c r="AD42" i="52"/>
  <c r="AE42" i="52"/>
  <c r="B43" i="52"/>
  <c r="C43" i="52"/>
  <c r="D43" i="52"/>
  <c r="E43" i="52"/>
  <c r="F43" i="52"/>
  <c r="G43" i="52"/>
  <c r="H43" i="52"/>
  <c r="I43" i="52"/>
  <c r="J43" i="52"/>
  <c r="K43" i="52"/>
  <c r="L43" i="52"/>
  <c r="M43" i="52"/>
  <c r="N43" i="52"/>
  <c r="O43" i="52"/>
  <c r="P43" i="52"/>
  <c r="Q43" i="52"/>
  <c r="R43" i="52"/>
  <c r="S43" i="52"/>
  <c r="T43" i="52"/>
  <c r="U43" i="52"/>
  <c r="V43" i="52"/>
  <c r="W43" i="52"/>
  <c r="X43" i="52"/>
  <c r="Y43" i="52"/>
  <c r="Z43" i="52"/>
  <c r="AA43" i="52"/>
  <c r="AB43" i="52"/>
  <c r="AC43" i="52"/>
  <c r="AD43" i="52"/>
  <c r="AE43" i="52"/>
  <c r="B44" i="52"/>
  <c r="C44" i="52"/>
  <c r="D44" i="52"/>
  <c r="E44" i="52"/>
  <c r="F44" i="52"/>
  <c r="G44" i="52"/>
  <c r="H44" i="52"/>
  <c r="I44" i="52"/>
  <c r="J44" i="52"/>
  <c r="K44" i="52"/>
  <c r="L44" i="52"/>
  <c r="M44" i="52"/>
  <c r="N44" i="52"/>
  <c r="O44" i="52"/>
  <c r="P44" i="52"/>
  <c r="Q44" i="52"/>
  <c r="R44" i="52"/>
  <c r="S44" i="52"/>
  <c r="T44" i="52"/>
  <c r="U44" i="52"/>
  <c r="V44" i="52"/>
  <c r="W44" i="52" s="1"/>
  <c r="X44" i="52"/>
  <c r="Y44" i="52"/>
  <c r="Z44" i="52"/>
  <c r="AA44" i="52"/>
  <c r="AB44" i="52"/>
  <c r="AC44" i="52"/>
  <c r="AD44" i="52"/>
  <c r="AE44" i="52"/>
  <c r="B45" i="52"/>
  <c r="C45" i="52"/>
  <c r="D45" i="52"/>
  <c r="E45" i="52"/>
  <c r="F45" i="52"/>
  <c r="G45" i="52"/>
  <c r="H45" i="52"/>
  <c r="I45" i="52"/>
  <c r="J45" i="52"/>
  <c r="K45" i="52"/>
  <c r="L45" i="52"/>
  <c r="M45" i="52"/>
  <c r="N45" i="52"/>
  <c r="O45" i="52"/>
  <c r="P45" i="52"/>
  <c r="Q45" i="52"/>
  <c r="R45" i="52"/>
  <c r="S45" i="52"/>
  <c r="T45" i="52"/>
  <c r="U45" i="52"/>
  <c r="V45" i="52"/>
  <c r="W45" i="52"/>
  <c r="X45" i="52"/>
  <c r="Y45" i="52"/>
  <c r="Z45" i="52"/>
  <c r="AA45" i="52"/>
  <c r="AB45" i="52"/>
  <c r="AC45" i="52"/>
  <c r="AD45" i="52"/>
  <c r="AE45" i="52"/>
  <c r="B46" i="52"/>
  <c r="C46" i="52"/>
  <c r="D46" i="52"/>
  <c r="E46" i="52"/>
  <c r="F46" i="52"/>
  <c r="G46" i="52"/>
  <c r="H46" i="52"/>
  <c r="I46" i="52"/>
  <c r="J46" i="52"/>
  <c r="K46" i="52"/>
  <c r="L46" i="52"/>
  <c r="M46" i="52"/>
  <c r="N46" i="52"/>
  <c r="O46" i="52"/>
  <c r="P46" i="52"/>
  <c r="Q46" i="52"/>
  <c r="R46" i="52"/>
  <c r="S46" i="52"/>
  <c r="T46" i="52"/>
  <c r="U46" i="52"/>
  <c r="V46" i="52"/>
  <c r="W46" i="52"/>
  <c r="X46" i="52"/>
  <c r="Y46" i="52"/>
  <c r="Z46" i="52"/>
  <c r="AA46" i="52"/>
  <c r="AB46" i="52"/>
  <c r="AC46" i="52"/>
  <c r="AD46" i="52"/>
  <c r="AE46" i="52"/>
  <c r="B47" i="52"/>
  <c r="C47" i="52"/>
  <c r="D47" i="52"/>
  <c r="E47" i="52"/>
  <c r="F47" i="52"/>
  <c r="G47" i="52"/>
  <c r="H47" i="52"/>
  <c r="I47" i="52"/>
  <c r="J47" i="52"/>
  <c r="K47" i="52"/>
  <c r="L47" i="52"/>
  <c r="M47" i="52"/>
  <c r="N47" i="52"/>
  <c r="O47" i="52"/>
  <c r="P47" i="52"/>
  <c r="Q47" i="52"/>
  <c r="R47" i="52"/>
  <c r="S47" i="52"/>
  <c r="T47" i="52"/>
  <c r="U47" i="52"/>
  <c r="V47" i="52"/>
  <c r="B48" i="52"/>
  <c r="C48" i="52"/>
  <c r="D48" i="52"/>
  <c r="E48" i="52"/>
  <c r="F48" i="52"/>
  <c r="G48" i="52"/>
  <c r="H48" i="52"/>
  <c r="I48" i="52"/>
  <c r="J48" i="52"/>
  <c r="K48" i="52"/>
  <c r="L48" i="52"/>
  <c r="M48" i="52"/>
  <c r="N48" i="52"/>
  <c r="O48" i="52"/>
  <c r="P48" i="52"/>
  <c r="Q48" i="52"/>
  <c r="R48" i="52"/>
  <c r="S48" i="52"/>
  <c r="T48" i="52"/>
  <c r="U48" i="52"/>
  <c r="V48" i="52"/>
  <c r="W48" i="52"/>
  <c r="X48" i="52"/>
  <c r="Y48" i="52"/>
  <c r="Z48" i="52"/>
  <c r="AA48" i="52"/>
  <c r="AB48" i="52"/>
  <c r="AC48" i="52"/>
  <c r="AD48" i="52"/>
  <c r="AE48" i="52"/>
  <c r="B49" i="52"/>
  <c r="C49" i="52"/>
  <c r="D49" i="52"/>
  <c r="E49" i="52"/>
  <c r="F49" i="52"/>
  <c r="G49" i="52"/>
  <c r="H49" i="52"/>
  <c r="I49" i="52"/>
  <c r="J49" i="52"/>
  <c r="K49" i="52"/>
  <c r="L49" i="52"/>
  <c r="M49" i="52"/>
  <c r="N49" i="52"/>
  <c r="O49" i="52"/>
  <c r="P49" i="52"/>
  <c r="Q49" i="52"/>
  <c r="R49" i="52"/>
  <c r="S49" i="52"/>
  <c r="T49" i="52"/>
  <c r="U49" i="52"/>
  <c r="V49" i="52"/>
  <c r="AB49" i="52"/>
  <c r="AC49" i="52"/>
  <c r="AD49" i="52"/>
  <c r="AE49" i="52"/>
  <c r="B50" i="52"/>
  <c r="C50" i="52"/>
  <c r="D50" i="52"/>
  <c r="E50" i="52"/>
  <c r="F50" i="52"/>
  <c r="G50" i="52"/>
  <c r="H50" i="52"/>
  <c r="I50" i="52"/>
  <c r="J50" i="52"/>
  <c r="K50" i="52"/>
  <c r="L50" i="52"/>
  <c r="M50" i="52"/>
  <c r="N50" i="52"/>
  <c r="O50" i="52"/>
  <c r="P50" i="52"/>
  <c r="Q50" i="52"/>
  <c r="R50" i="52"/>
  <c r="S50" i="52"/>
  <c r="T50" i="52"/>
  <c r="U50" i="52"/>
  <c r="V50" i="52"/>
  <c r="W50" i="52"/>
  <c r="X50" i="52"/>
  <c r="Y50" i="52"/>
  <c r="Z50" i="52"/>
  <c r="AA50" i="52"/>
  <c r="AB50" i="52"/>
  <c r="AC50" i="52"/>
  <c r="AD50" i="52"/>
  <c r="AE50" i="52"/>
  <c r="B51" i="52"/>
  <c r="C51" i="52"/>
  <c r="D51" i="52"/>
  <c r="E51" i="52"/>
  <c r="F51" i="52"/>
  <c r="G51" i="52"/>
  <c r="H51" i="52"/>
  <c r="I51" i="52"/>
  <c r="J51" i="52"/>
  <c r="K51" i="52"/>
  <c r="L51" i="52"/>
  <c r="M51" i="52"/>
  <c r="N51" i="52"/>
  <c r="O51" i="52"/>
  <c r="P51" i="52"/>
  <c r="Q51" i="52"/>
  <c r="R51" i="52"/>
  <c r="S51" i="52"/>
  <c r="T51" i="52"/>
  <c r="U51" i="52"/>
  <c r="V51" i="52"/>
  <c r="W51" i="52"/>
  <c r="X51" i="52"/>
  <c r="Y51" i="52"/>
  <c r="Z51" i="52"/>
  <c r="AA51" i="52"/>
  <c r="AB51" i="52"/>
  <c r="AC51" i="52"/>
  <c r="AD51" i="52"/>
  <c r="AE51" i="52"/>
  <c r="B52" i="52"/>
  <c r="C52" i="52"/>
  <c r="D52" i="52"/>
  <c r="E52" i="52"/>
  <c r="F52" i="52"/>
  <c r="G52" i="52"/>
  <c r="H52" i="52"/>
  <c r="I52" i="52"/>
  <c r="J52" i="52"/>
  <c r="K52" i="52"/>
  <c r="L52" i="52"/>
  <c r="M52" i="52"/>
  <c r="N52" i="52"/>
  <c r="O52" i="52"/>
  <c r="P52" i="52"/>
  <c r="Q52" i="52"/>
  <c r="R52" i="52"/>
  <c r="S52" i="52"/>
  <c r="T52" i="52"/>
  <c r="U52" i="52"/>
  <c r="V52" i="52"/>
  <c r="W52" i="52" s="1"/>
  <c r="Z52" i="52"/>
  <c r="AA52" i="52"/>
  <c r="AB52" i="52"/>
  <c r="AC52" i="52"/>
  <c r="AD52" i="52"/>
  <c r="AE52" i="52"/>
  <c r="B53" i="52"/>
  <c r="C53" i="52"/>
  <c r="D53" i="52"/>
  <c r="E53" i="52"/>
  <c r="F53" i="52"/>
  <c r="G53" i="52"/>
  <c r="H53" i="52"/>
  <c r="I53" i="52"/>
  <c r="J53" i="52"/>
  <c r="K53" i="52"/>
  <c r="L53" i="52"/>
  <c r="M53" i="52"/>
  <c r="N53" i="52"/>
  <c r="O53" i="52"/>
  <c r="P53" i="52"/>
  <c r="Q53" i="52"/>
  <c r="R53" i="52"/>
  <c r="S53" i="52"/>
  <c r="T53" i="52"/>
  <c r="U53" i="52"/>
  <c r="V53" i="52"/>
  <c r="W53" i="52"/>
  <c r="X53" i="52"/>
  <c r="Y53" i="52"/>
  <c r="Z53" i="52"/>
  <c r="AA53" i="52"/>
  <c r="AB53" i="52"/>
  <c r="AC53" i="52"/>
  <c r="AD53" i="52"/>
  <c r="AE53" i="52"/>
  <c r="B54" i="52"/>
  <c r="C54" i="52"/>
  <c r="D54" i="52"/>
  <c r="E54" i="52"/>
  <c r="F54" i="52"/>
  <c r="G54" i="52"/>
  <c r="H54" i="52"/>
  <c r="I54" i="52"/>
  <c r="J54" i="52"/>
  <c r="K54" i="52"/>
  <c r="L54" i="52"/>
  <c r="M54" i="52"/>
  <c r="N54" i="52"/>
  <c r="O54" i="52"/>
  <c r="P54" i="52"/>
  <c r="Q54" i="52"/>
  <c r="R54" i="52"/>
  <c r="S54" i="52"/>
  <c r="T54" i="52"/>
  <c r="U54" i="52"/>
  <c r="V54" i="52"/>
  <c r="W54" i="52"/>
  <c r="X54" i="52"/>
  <c r="Y54" i="52"/>
  <c r="Z54" i="52"/>
  <c r="AA54" i="52"/>
  <c r="AB54" i="52"/>
  <c r="AC54" i="52"/>
  <c r="AD54" i="52"/>
  <c r="AE54" i="52"/>
  <c r="B55" i="52"/>
  <c r="C55" i="52"/>
  <c r="D55" i="52"/>
  <c r="E55" i="52"/>
  <c r="F55" i="52"/>
  <c r="G55" i="52"/>
  <c r="H55" i="52"/>
  <c r="I55" i="52"/>
  <c r="J55" i="52"/>
  <c r="K55" i="52"/>
  <c r="L55" i="52"/>
  <c r="M55" i="52"/>
  <c r="N55" i="52"/>
  <c r="O55" i="52"/>
  <c r="P55" i="52"/>
  <c r="Q55" i="52"/>
  <c r="R55" i="52"/>
  <c r="S55" i="52"/>
  <c r="T55" i="52"/>
  <c r="U55" i="52"/>
  <c r="V55" i="52"/>
  <c r="W55" i="52"/>
  <c r="X55" i="52"/>
  <c r="Y55" i="52"/>
  <c r="Z55" i="52"/>
  <c r="AA55" i="52"/>
  <c r="AB55" i="52"/>
  <c r="AC55" i="52"/>
  <c r="AD55" i="52"/>
  <c r="AE55" i="52"/>
  <c r="B56" i="52"/>
  <c r="C56" i="52"/>
  <c r="D56" i="52"/>
  <c r="E56" i="52"/>
  <c r="F56" i="52"/>
  <c r="G56" i="52"/>
  <c r="H56" i="52"/>
  <c r="I56" i="52"/>
  <c r="J56" i="52"/>
  <c r="K56" i="52"/>
  <c r="L56" i="52"/>
  <c r="M56" i="52"/>
  <c r="N56" i="52"/>
  <c r="O56" i="52"/>
  <c r="P56" i="52"/>
  <c r="Q56" i="52"/>
  <c r="R56" i="52"/>
  <c r="S56" i="52"/>
  <c r="T56" i="52"/>
  <c r="U56" i="52"/>
  <c r="V56" i="52"/>
  <c r="W56" i="52"/>
  <c r="X56" i="52"/>
  <c r="Y56" i="52"/>
  <c r="Z56" i="52"/>
  <c r="AA56" i="52"/>
  <c r="AB56" i="52"/>
  <c r="AC56" i="52"/>
  <c r="AD56" i="52"/>
  <c r="AE56" i="52"/>
  <c r="B57" i="52"/>
  <c r="C57" i="52"/>
  <c r="D57" i="52"/>
  <c r="E57" i="52"/>
  <c r="F57" i="52"/>
  <c r="G57" i="52"/>
  <c r="H57" i="52"/>
  <c r="I57" i="52"/>
  <c r="J57" i="52"/>
  <c r="K57" i="52"/>
  <c r="L57" i="52"/>
  <c r="M57" i="52"/>
  <c r="N57" i="52"/>
  <c r="O57" i="52"/>
  <c r="P57" i="52"/>
  <c r="Q57" i="52"/>
  <c r="R57" i="52"/>
  <c r="S57" i="52"/>
  <c r="T57" i="52"/>
  <c r="U57" i="52"/>
  <c r="V57" i="52"/>
  <c r="W57" i="52"/>
  <c r="X57" i="52"/>
  <c r="Y57" i="52"/>
  <c r="Z57" i="52"/>
  <c r="AA57" i="52"/>
  <c r="AB57" i="52"/>
  <c r="AC57" i="52"/>
  <c r="AD57" i="52"/>
  <c r="AE57" i="52"/>
  <c r="B58" i="52"/>
  <c r="C58" i="52"/>
  <c r="D58" i="52"/>
  <c r="E58" i="52"/>
  <c r="F58" i="52"/>
  <c r="G58" i="52"/>
  <c r="H58" i="52"/>
  <c r="I58" i="52"/>
  <c r="J58" i="52"/>
  <c r="K58" i="52"/>
  <c r="L58" i="52"/>
  <c r="M58" i="52"/>
  <c r="N58" i="52"/>
  <c r="O58" i="52"/>
  <c r="P58" i="52"/>
  <c r="Q58" i="52"/>
  <c r="R58" i="52"/>
  <c r="S58" i="52"/>
  <c r="T58" i="52"/>
  <c r="U58" i="52"/>
  <c r="V58" i="52"/>
  <c r="W58" i="52"/>
  <c r="X58" i="52"/>
  <c r="Y58" i="52"/>
  <c r="Z58" i="52"/>
  <c r="AA58" i="52"/>
  <c r="AB58" i="52"/>
  <c r="AC58" i="52"/>
  <c r="AD58" i="52"/>
  <c r="AE58" i="52"/>
  <c r="B59" i="52"/>
  <c r="C59" i="52"/>
  <c r="D59" i="52"/>
  <c r="E59" i="52"/>
  <c r="F59" i="52"/>
  <c r="G59" i="52"/>
  <c r="H59" i="52"/>
  <c r="I59" i="52"/>
  <c r="J59" i="52"/>
  <c r="K59" i="52"/>
  <c r="L59" i="52"/>
  <c r="M59" i="52"/>
  <c r="N59" i="52"/>
  <c r="O59" i="52"/>
  <c r="P59" i="52"/>
  <c r="Q59" i="52"/>
  <c r="R59" i="52"/>
  <c r="S59" i="52"/>
  <c r="T59" i="52"/>
  <c r="U59" i="52"/>
  <c r="V59" i="52"/>
  <c r="W59" i="52"/>
  <c r="X59" i="52"/>
  <c r="Y59" i="52"/>
  <c r="Z59" i="52"/>
  <c r="AA59" i="52"/>
  <c r="AB59" i="52"/>
  <c r="AC59" i="52"/>
  <c r="AD59" i="52"/>
  <c r="AE59" i="52"/>
  <c r="B60" i="52"/>
  <c r="C60" i="52"/>
  <c r="D60" i="52"/>
  <c r="E60" i="52"/>
  <c r="F60" i="52"/>
  <c r="G60" i="52"/>
  <c r="H60" i="52"/>
  <c r="I60" i="52"/>
  <c r="J60" i="52"/>
  <c r="K60" i="52"/>
  <c r="L60" i="52"/>
  <c r="M60" i="52"/>
  <c r="N60" i="52"/>
  <c r="O60" i="52"/>
  <c r="P60" i="52"/>
  <c r="Q60" i="52"/>
  <c r="R60" i="52"/>
  <c r="S60" i="52"/>
  <c r="T60" i="52"/>
  <c r="U60" i="52"/>
  <c r="V60" i="52"/>
  <c r="W60" i="52"/>
  <c r="X60" i="52"/>
  <c r="Y60" i="52"/>
  <c r="Z60" i="52"/>
  <c r="AA60" i="52"/>
  <c r="AB60" i="52"/>
  <c r="AC60" i="52"/>
  <c r="AD60" i="52"/>
  <c r="AE60" i="52"/>
  <c r="B61" i="52"/>
  <c r="C61" i="52"/>
  <c r="D61" i="52"/>
  <c r="E61" i="52"/>
  <c r="F61" i="52"/>
  <c r="G61" i="52"/>
  <c r="H61" i="52"/>
  <c r="I61" i="52"/>
  <c r="J61" i="52"/>
  <c r="K61" i="52"/>
  <c r="L61" i="52"/>
  <c r="M61" i="52"/>
  <c r="N61" i="52"/>
  <c r="O61" i="52"/>
  <c r="P61" i="52"/>
  <c r="Q61" i="52"/>
  <c r="R61" i="52"/>
  <c r="S61" i="52"/>
  <c r="T61" i="52"/>
  <c r="U61" i="52"/>
  <c r="V61" i="52"/>
  <c r="W61" i="52" s="1"/>
  <c r="X61" i="52"/>
  <c r="Y61" i="52"/>
  <c r="Z61" i="52"/>
  <c r="AA61" i="52"/>
  <c r="AB61" i="52"/>
  <c r="AC61" i="52"/>
  <c r="AD61" i="52"/>
  <c r="AE61" i="52"/>
  <c r="B62" i="52"/>
  <c r="C62" i="52"/>
  <c r="D62" i="52"/>
  <c r="E62" i="52"/>
  <c r="F62" i="52"/>
  <c r="G62" i="52"/>
  <c r="H62" i="52"/>
  <c r="I62" i="52"/>
  <c r="J62" i="52"/>
  <c r="K62" i="52"/>
  <c r="L62" i="52"/>
  <c r="M62" i="52"/>
  <c r="N62" i="52"/>
  <c r="O62" i="52"/>
  <c r="P62" i="52"/>
  <c r="Q62" i="52"/>
  <c r="R62" i="52"/>
  <c r="S62" i="52"/>
  <c r="T62" i="52"/>
  <c r="U62" i="52"/>
  <c r="V62" i="52"/>
  <c r="W62" i="52" s="1"/>
  <c r="X62" i="52"/>
  <c r="Y62" i="52"/>
  <c r="Z62" i="52"/>
  <c r="AA62" i="52"/>
  <c r="AB62" i="52"/>
  <c r="AC62" i="52"/>
  <c r="AD62" i="52"/>
  <c r="AE62" i="52"/>
  <c r="B63" i="52"/>
  <c r="D63" i="52"/>
  <c r="E63" i="52"/>
  <c r="F63" i="52"/>
  <c r="G63" i="52"/>
  <c r="H63" i="52"/>
  <c r="I63" i="52"/>
  <c r="J63" i="52"/>
  <c r="K63" i="52"/>
  <c r="L63" i="52"/>
  <c r="M63" i="52"/>
  <c r="N63" i="52"/>
  <c r="O63" i="52"/>
  <c r="P63" i="52"/>
  <c r="Q63" i="52"/>
  <c r="R63" i="52"/>
  <c r="S63" i="52"/>
  <c r="T63" i="52"/>
  <c r="U63" i="52"/>
  <c r="V63" i="52"/>
  <c r="W63" i="52"/>
  <c r="X63" i="52"/>
  <c r="Y63" i="52"/>
  <c r="Z63" i="52"/>
  <c r="AA63" i="52"/>
  <c r="AB63" i="52"/>
  <c r="AC63" i="52"/>
  <c r="AD63" i="52"/>
  <c r="AE63" i="52"/>
  <c r="B64" i="52"/>
  <c r="C64" i="52"/>
  <c r="D64" i="52"/>
  <c r="E64" i="52"/>
  <c r="F64" i="52"/>
  <c r="G64" i="52"/>
  <c r="H64" i="52"/>
  <c r="I64" i="52"/>
  <c r="J64" i="52"/>
  <c r="K64" i="52"/>
  <c r="L64" i="52"/>
  <c r="M64" i="52"/>
  <c r="N64" i="52"/>
  <c r="O64" i="52"/>
  <c r="P64" i="52"/>
  <c r="Q64" i="52"/>
  <c r="R64" i="52"/>
  <c r="S64" i="52"/>
  <c r="T64" i="52"/>
  <c r="U64" i="52"/>
  <c r="V64" i="52"/>
  <c r="W64" i="52" s="1"/>
  <c r="X64" i="52"/>
  <c r="Y64" i="52"/>
  <c r="Z64" i="52"/>
  <c r="AA64" i="52"/>
  <c r="AB64" i="52"/>
  <c r="AC64" i="52"/>
  <c r="AD64" i="52"/>
  <c r="AE64" i="52"/>
  <c r="B65" i="52"/>
  <c r="D65" i="52"/>
  <c r="E65" i="52"/>
  <c r="F65" i="52"/>
  <c r="G65" i="52"/>
  <c r="H65" i="52"/>
  <c r="I65" i="52"/>
  <c r="J65" i="52"/>
  <c r="K65" i="52"/>
  <c r="L65" i="52"/>
  <c r="M65" i="52"/>
  <c r="N65" i="52"/>
  <c r="O65" i="52"/>
  <c r="P65" i="52"/>
  <c r="Q65" i="52"/>
  <c r="R65" i="52"/>
  <c r="S65" i="52"/>
  <c r="T65" i="52"/>
  <c r="U65" i="52"/>
  <c r="V65" i="52"/>
  <c r="W65" i="52"/>
  <c r="X65" i="52"/>
  <c r="Y65" i="52"/>
  <c r="Z65" i="52"/>
  <c r="AA65" i="52"/>
  <c r="AB65" i="52"/>
  <c r="AC65" i="52"/>
  <c r="AD65" i="52"/>
  <c r="AE65" i="52"/>
  <c r="B66" i="52"/>
  <c r="C66" i="52"/>
  <c r="D66" i="52"/>
  <c r="E66" i="52"/>
  <c r="F66" i="52"/>
  <c r="G66" i="52"/>
  <c r="H66" i="52"/>
  <c r="I66" i="52"/>
  <c r="J66" i="52"/>
  <c r="K66" i="52"/>
  <c r="L66" i="52"/>
  <c r="M66" i="52"/>
  <c r="N66" i="52"/>
  <c r="O66" i="52"/>
  <c r="P66" i="52"/>
  <c r="Q66" i="52"/>
  <c r="R66" i="52"/>
  <c r="S66" i="52"/>
  <c r="T66" i="52"/>
  <c r="U66" i="52"/>
  <c r="V66" i="52"/>
  <c r="W66" i="52"/>
  <c r="X66" i="52"/>
  <c r="Y66" i="52"/>
  <c r="Z66" i="52"/>
  <c r="AA66" i="52"/>
  <c r="AB66" i="52"/>
  <c r="AC66" i="52"/>
  <c r="AD66" i="52"/>
  <c r="AE66" i="52"/>
  <c r="B67" i="52"/>
  <c r="C67" i="52"/>
  <c r="D67" i="52"/>
  <c r="E67" i="52"/>
  <c r="F67" i="52"/>
  <c r="G67" i="52"/>
  <c r="H67" i="52"/>
  <c r="I67" i="52"/>
  <c r="J67" i="52"/>
  <c r="K67" i="52"/>
  <c r="L67" i="52"/>
  <c r="M67" i="52"/>
  <c r="N67" i="52"/>
  <c r="O67" i="52"/>
  <c r="P67" i="52"/>
  <c r="Q67" i="52"/>
  <c r="R67" i="52"/>
  <c r="S67" i="52"/>
  <c r="T67" i="52"/>
  <c r="U67" i="52"/>
  <c r="V67" i="52"/>
  <c r="W67" i="52" s="1"/>
  <c r="X67" i="52"/>
  <c r="Y67" i="52"/>
  <c r="Z67" i="52"/>
  <c r="AA67" i="52"/>
  <c r="AB67" i="52"/>
  <c r="AC67" i="52"/>
  <c r="AD67" i="52"/>
  <c r="AE67" i="52"/>
  <c r="B68" i="52"/>
  <c r="C68" i="52"/>
  <c r="D68" i="52"/>
  <c r="E68" i="52"/>
  <c r="F68" i="52"/>
  <c r="G68" i="52"/>
  <c r="H68" i="52"/>
  <c r="I68" i="52"/>
  <c r="J68" i="52"/>
  <c r="K68" i="52"/>
  <c r="L68" i="52"/>
  <c r="M68" i="52"/>
  <c r="N68" i="52"/>
  <c r="O68" i="52"/>
  <c r="P68" i="52"/>
  <c r="Q68" i="52"/>
  <c r="R68" i="52"/>
  <c r="S68" i="52"/>
  <c r="T68" i="52"/>
  <c r="U68" i="52"/>
  <c r="V68" i="52"/>
  <c r="W68" i="52"/>
  <c r="X68" i="52"/>
  <c r="Y68" i="52"/>
  <c r="Z68" i="52"/>
  <c r="AA68" i="52"/>
  <c r="AB68" i="52"/>
  <c r="AC68" i="52"/>
  <c r="AD68" i="52"/>
  <c r="AE68" i="52"/>
  <c r="B69" i="52"/>
  <c r="D69" i="52"/>
  <c r="E69" i="52"/>
  <c r="F69" i="52"/>
  <c r="G69" i="52"/>
  <c r="H69" i="52"/>
  <c r="I69" i="52"/>
  <c r="J69" i="52"/>
  <c r="K69" i="52"/>
  <c r="L69" i="52"/>
  <c r="M69" i="52"/>
  <c r="N69" i="52"/>
  <c r="O69" i="52"/>
  <c r="P69" i="52"/>
  <c r="Q69" i="52"/>
  <c r="R69" i="52"/>
  <c r="S69" i="52"/>
  <c r="T69" i="52"/>
  <c r="U69" i="52"/>
  <c r="V69" i="52"/>
  <c r="X69" i="52"/>
  <c r="Z69" i="52"/>
  <c r="AA69" i="52"/>
  <c r="AB69" i="52"/>
  <c r="AC69" i="52"/>
  <c r="AD69" i="52"/>
  <c r="AE69" i="52"/>
  <c r="B70" i="52"/>
  <c r="C70" i="52"/>
  <c r="D70" i="52"/>
  <c r="E70" i="52"/>
  <c r="F70" i="52"/>
  <c r="G70" i="52"/>
  <c r="H70" i="52"/>
  <c r="I70" i="52"/>
  <c r="J70" i="52"/>
  <c r="K70" i="52"/>
  <c r="L70" i="52"/>
  <c r="M70" i="52"/>
  <c r="N70" i="52"/>
  <c r="O70" i="52"/>
  <c r="P70" i="52"/>
  <c r="Q70" i="52"/>
  <c r="R70" i="52"/>
  <c r="S70" i="52"/>
  <c r="T70" i="52"/>
  <c r="U70" i="52"/>
  <c r="V70" i="52"/>
  <c r="AA70" i="52"/>
  <c r="AB70" i="52"/>
  <c r="AC70" i="52"/>
  <c r="AD70" i="52"/>
  <c r="AE70" i="52"/>
  <c r="B71" i="52"/>
  <c r="D71" i="52"/>
  <c r="E71" i="52"/>
  <c r="F71" i="52"/>
  <c r="G71" i="52"/>
  <c r="H71" i="52"/>
  <c r="I71" i="52"/>
  <c r="J71" i="52"/>
  <c r="K71" i="52"/>
  <c r="L71" i="52"/>
  <c r="M71" i="52"/>
  <c r="N71" i="52"/>
  <c r="O71" i="52"/>
  <c r="P71" i="52"/>
  <c r="Q71" i="52"/>
  <c r="R71" i="52"/>
  <c r="S71" i="52"/>
  <c r="T71" i="52"/>
  <c r="U71" i="52"/>
  <c r="V71" i="52"/>
  <c r="Z71" i="52"/>
  <c r="AA71" i="52"/>
  <c r="AB71" i="52"/>
  <c r="AC71" i="52"/>
  <c r="AD71" i="52"/>
  <c r="AE71" i="52"/>
  <c r="B72" i="52"/>
  <c r="C72" i="52"/>
  <c r="D72" i="52"/>
  <c r="E72" i="52"/>
  <c r="F72" i="52"/>
  <c r="G72" i="52"/>
  <c r="H72" i="52"/>
  <c r="I72" i="52"/>
  <c r="J72" i="52"/>
  <c r="K72" i="52"/>
  <c r="L72" i="52"/>
  <c r="M72" i="52"/>
  <c r="N72" i="52"/>
  <c r="O72" i="52"/>
  <c r="P72" i="52"/>
  <c r="Q72" i="52"/>
  <c r="R72" i="52"/>
  <c r="S72" i="52"/>
  <c r="T72" i="52"/>
  <c r="U72" i="52"/>
  <c r="W72" i="52" s="1"/>
  <c r="V72" i="52"/>
  <c r="X72" i="52"/>
  <c r="Y72" i="52"/>
  <c r="Z72" i="52"/>
  <c r="AA72" i="52"/>
  <c r="AB72" i="52"/>
  <c r="AC72" i="52"/>
  <c r="AD72" i="52"/>
  <c r="AE72" i="52"/>
  <c r="B73" i="52"/>
  <c r="C73" i="52" s="1"/>
  <c r="D73" i="52"/>
  <c r="E73" i="52"/>
  <c r="F73" i="52"/>
  <c r="G73" i="52"/>
  <c r="H73" i="52"/>
  <c r="I73" i="52"/>
  <c r="J73" i="52"/>
  <c r="K73" i="52"/>
  <c r="L73" i="52"/>
  <c r="M73" i="52"/>
  <c r="N73" i="52"/>
  <c r="O73" i="52"/>
  <c r="P73" i="52"/>
  <c r="Q73" i="52"/>
  <c r="R73" i="52"/>
  <c r="S73" i="52"/>
  <c r="T73" i="52"/>
  <c r="U73" i="52"/>
  <c r="V73" i="52"/>
  <c r="W73" i="52"/>
  <c r="X73" i="52"/>
  <c r="Y73" i="52"/>
  <c r="Z73" i="52"/>
  <c r="AA73" i="52"/>
  <c r="AB73" i="52"/>
  <c r="B74" i="52"/>
  <c r="C74" i="52"/>
  <c r="D74" i="52"/>
  <c r="E74" i="52"/>
  <c r="F74" i="52"/>
  <c r="G74" i="52"/>
  <c r="H74" i="52"/>
  <c r="I74" i="52"/>
  <c r="J74" i="52"/>
  <c r="B75" i="52"/>
  <c r="C75" i="52"/>
  <c r="D75" i="52"/>
  <c r="E75" i="52"/>
  <c r="F75" i="52"/>
  <c r="G75" i="52"/>
  <c r="H75" i="52"/>
  <c r="I75" i="52"/>
  <c r="J75" i="52"/>
  <c r="B76" i="52"/>
  <c r="C76" i="52"/>
  <c r="D76" i="52"/>
  <c r="E76" i="52"/>
  <c r="F76" i="52"/>
  <c r="G76" i="52"/>
  <c r="H76" i="52"/>
  <c r="I76" i="52"/>
  <c r="J76" i="52"/>
  <c r="B77" i="52"/>
  <c r="C77" i="52"/>
  <c r="D77" i="52"/>
  <c r="E77" i="52"/>
  <c r="F77" i="52"/>
  <c r="G77" i="52"/>
  <c r="H77" i="52"/>
  <c r="I77" i="52"/>
  <c r="J77" i="52"/>
  <c r="B78" i="52"/>
  <c r="C78" i="52"/>
  <c r="D78" i="52"/>
  <c r="E78" i="52"/>
  <c r="F78" i="52"/>
  <c r="G78" i="52"/>
  <c r="H78" i="52"/>
  <c r="I78" i="52"/>
  <c r="J78" i="52"/>
  <c r="B79" i="52"/>
  <c r="C79" i="52"/>
  <c r="D79" i="52"/>
  <c r="E79" i="52"/>
  <c r="F79" i="52"/>
  <c r="G79" i="52"/>
  <c r="H79" i="52"/>
  <c r="I79" i="52"/>
  <c r="J79" i="52"/>
  <c r="B80" i="52"/>
  <c r="C80" i="52"/>
  <c r="D80" i="52"/>
  <c r="E80" i="52"/>
  <c r="F80" i="52"/>
  <c r="G80" i="52"/>
  <c r="H80" i="52"/>
  <c r="I80" i="52"/>
  <c r="J80" i="52"/>
  <c r="B81" i="52"/>
  <c r="C81" i="52"/>
  <c r="D81" i="52"/>
  <c r="E81" i="52"/>
  <c r="F81" i="52"/>
  <c r="G81" i="52"/>
  <c r="H81" i="52"/>
  <c r="I81" i="52"/>
  <c r="J81" i="52"/>
  <c r="K81" i="52"/>
  <c r="L81" i="52"/>
  <c r="M81" i="52"/>
  <c r="N81" i="52"/>
  <c r="O81" i="52"/>
  <c r="P81" i="52"/>
  <c r="Q81" i="52"/>
  <c r="R81" i="52"/>
  <c r="S81" i="52"/>
  <c r="T81" i="52"/>
  <c r="U81" i="52"/>
  <c r="V81" i="52"/>
  <c r="W81" i="52"/>
  <c r="X81" i="52"/>
  <c r="Y81" i="52"/>
  <c r="Z81" i="52"/>
  <c r="AA81" i="52"/>
  <c r="AB81" i="52"/>
  <c r="AC81" i="52"/>
  <c r="AD81" i="52"/>
  <c r="AE81" i="52"/>
  <c r="B82" i="52"/>
  <c r="C82" i="52"/>
  <c r="D82" i="52"/>
  <c r="E82" i="52"/>
  <c r="F82" i="52"/>
  <c r="G82" i="52"/>
  <c r="H82" i="52"/>
  <c r="I82" i="52"/>
  <c r="J82" i="52"/>
  <c r="K82" i="52"/>
  <c r="L82" i="52"/>
  <c r="M82" i="52"/>
  <c r="N82" i="52"/>
  <c r="O82" i="52"/>
  <c r="P82" i="52"/>
  <c r="Q82" i="52"/>
  <c r="R82" i="52"/>
  <c r="S82" i="52"/>
  <c r="T82" i="52"/>
  <c r="U82" i="52"/>
  <c r="V82" i="52"/>
  <c r="Y82" i="52"/>
  <c r="Z82" i="52"/>
  <c r="AA82" i="52"/>
  <c r="AB82" i="52"/>
  <c r="AC82" i="52"/>
  <c r="AD82" i="52"/>
  <c r="AE82" i="52"/>
  <c r="B83" i="52"/>
  <c r="C83" i="52"/>
  <c r="D83" i="52"/>
  <c r="E83" i="52"/>
  <c r="F83" i="52"/>
  <c r="G83" i="52"/>
  <c r="H83" i="52"/>
  <c r="I83" i="52"/>
  <c r="J83" i="52"/>
  <c r="K83" i="52"/>
  <c r="L83" i="52"/>
  <c r="M83" i="52"/>
  <c r="N83" i="52"/>
  <c r="O83" i="52"/>
  <c r="P83" i="52"/>
  <c r="Q83" i="52"/>
  <c r="R83" i="52"/>
  <c r="S83" i="52"/>
  <c r="T83" i="52"/>
  <c r="U83" i="52"/>
  <c r="V83" i="52"/>
  <c r="W83" i="52"/>
  <c r="X83" i="52"/>
  <c r="Y83" i="52"/>
  <c r="Z83" i="52"/>
  <c r="AA83" i="52"/>
  <c r="AB83" i="52"/>
  <c r="AC83" i="52"/>
  <c r="AD83" i="52"/>
  <c r="AE83" i="52"/>
  <c r="B84" i="52"/>
  <c r="C84" i="52"/>
  <c r="D84" i="52"/>
  <c r="E84" i="52"/>
  <c r="F84" i="52"/>
  <c r="G84" i="52"/>
  <c r="H84" i="52"/>
  <c r="I84" i="52"/>
  <c r="J84" i="52"/>
  <c r="K84" i="52"/>
  <c r="L84" i="52"/>
  <c r="M84" i="52"/>
  <c r="N84" i="52"/>
  <c r="O84" i="52"/>
  <c r="P84" i="52"/>
  <c r="Q84" i="52"/>
  <c r="R84" i="52"/>
  <c r="S84" i="52"/>
  <c r="T84" i="52"/>
  <c r="U84" i="52"/>
  <c r="V84" i="52"/>
  <c r="W84" i="52"/>
  <c r="X84" i="52"/>
  <c r="Y84" i="52"/>
  <c r="Z84" i="52"/>
  <c r="AA84" i="52"/>
  <c r="AB84" i="52"/>
  <c r="AC84" i="52"/>
  <c r="AD84" i="52"/>
  <c r="AE84" i="52"/>
  <c r="B85" i="52"/>
  <c r="C85" i="52"/>
  <c r="D85" i="52"/>
  <c r="E85" i="52"/>
  <c r="F85" i="52"/>
  <c r="G85" i="52"/>
  <c r="H85" i="52"/>
  <c r="I85" i="52"/>
  <c r="J85" i="52"/>
  <c r="K85" i="52"/>
  <c r="L85" i="52"/>
  <c r="M85" i="52"/>
  <c r="N85" i="52"/>
  <c r="O85" i="52"/>
  <c r="P85" i="52"/>
  <c r="Q85" i="52"/>
  <c r="R85" i="52"/>
  <c r="S85" i="52"/>
  <c r="T85" i="52"/>
  <c r="U85" i="52"/>
  <c r="V85" i="52"/>
  <c r="W85" i="52" s="1"/>
  <c r="X85" i="52"/>
  <c r="Y85" i="52"/>
  <c r="Z85" i="52"/>
  <c r="AA85" i="52"/>
  <c r="AB85" i="52"/>
  <c r="AC85" i="52"/>
  <c r="AD85" i="52"/>
  <c r="AE85" i="52"/>
  <c r="AI5" i="52"/>
  <c r="A1" i="51"/>
  <c r="P2" i="51"/>
  <c r="J3" i="51"/>
  <c r="J4" i="51"/>
  <c r="M4" i="51"/>
  <c r="AI4" i="51"/>
  <c r="J5" i="51"/>
  <c r="J6" i="51"/>
  <c r="B10" i="51"/>
  <c r="C10" i="51"/>
  <c r="D10" i="51"/>
  <c r="E10" i="51"/>
  <c r="F10" i="51"/>
  <c r="G10" i="51"/>
  <c r="H10" i="51"/>
  <c r="I10" i="51"/>
  <c r="J10" i="51"/>
  <c r="R10" i="51"/>
  <c r="S10" i="51"/>
  <c r="T10" i="51"/>
  <c r="U10" i="51"/>
  <c r="V10" i="51"/>
  <c r="B11" i="51"/>
  <c r="C11" i="51"/>
  <c r="D11" i="51"/>
  <c r="E11" i="51"/>
  <c r="F11" i="51"/>
  <c r="G11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AD11" i="51"/>
  <c r="AE11" i="51"/>
  <c r="B12" i="51"/>
  <c r="C12" i="51"/>
  <c r="D12" i="51"/>
  <c r="E12" i="51"/>
  <c r="F12" i="51"/>
  <c r="G12" i="51"/>
  <c r="H12" i="51"/>
  <c r="I12" i="51"/>
  <c r="J12" i="51"/>
  <c r="K12" i="51"/>
  <c r="L12" i="51"/>
  <c r="M12" i="51"/>
  <c r="N12" i="51"/>
  <c r="O12" i="51"/>
  <c r="P12" i="51"/>
  <c r="Q12" i="51"/>
  <c r="R12" i="51"/>
  <c r="S12" i="51"/>
  <c r="T12" i="51"/>
  <c r="U12" i="51"/>
  <c r="V12" i="51"/>
  <c r="W12" i="51"/>
  <c r="X12" i="51"/>
  <c r="Y12" i="51"/>
  <c r="Z12" i="51"/>
  <c r="AA12" i="51"/>
  <c r="AB12" i="51"/>
  <c r="AC12" i="51"/>
  <c r="AD12" i="51"/>
  <c r="AE12" i="51"/>
  <c r="B13" i="51"/>
  <c r="C13" i="51"/>
  <c r="D13" i="51"/>
  <c r="E13" i="51"/>
  <c r="F13" i="51"/>
  <c r="G13" i="51"/>
  <c r="H13" i="51"/>
  <c r="I13" i="51"/>
  <c r="J13" i="51"/>
  <c r="K13" i="51"/>
  <c r="L13" i="51"/>
  <c r="M13" i="51"/>
  <c r="N13" i="51"/>
  <c r="O13" i="51"/>
  <c r="P13" i="51"/>
  <c r="Q13" i="51"/>
  <c r="R13" i="51"/>
  <c r="S13" i="51"/>
  <c r="T13" i="51"/>
  <c r="U13" i="51"/>
  <c r="V13" i="51"/>
  <c r="W13" i="51"/>
  <c r="X13" i="51"/>
  <c r="Y13" i="51"/>
  <c r="Z13" i="51"/>
  <c r="AA13" i="51"/>
  <c r="AB13" i="51"/>
  <c r="AC13" i="51"/>
  <c r="AD13" i="51"/>
  <c r="AE13" i="51"/>
  <c r="B14" i="51"/>
  <c r="C14" i="51"/>
  <c r="D14" i="51"/>
  <c r="E14" i="51"/>
  <c r="F14" i="51"/>
  <c r="G14" i="51"/>
  <c r="H14" i="51"/>
  <c r="I14" i="51"/>
  <c r="J14" i="51"/>
  <c r="K14" i="51"/>
  <c r="L14" i="51"/>
  <c r="M14" i="51"/>
  <c r="N14" i="51"/>
  <c r="O14" i="51"/>
  <c r="P14" i="51"/>
  <c r="Q14" i="51"/>
  <c r="R14" i="51"/>
  <c r="S14" i="51"/>
  <c r="T14" i="51"/>
  <c r="U14" i="51"/>
  <c r="V14" i="51"/>
  <c r="W14" i="51" s="1"/>
  <c r="X14" i="51"/>
  <c r="Y14" i="51"/>
  <c r="Z14" i="51"/>
  <c r="AA14" i="51"/>
  <c r="AB14" i="51"/>
  <c r="AC14" i="51"/>
  <c r="AD14" i="51"/>
  <c r="AE14" i="51"/>
  <c r="B15" i="51"/>
  <c r="C15" i="51"/>
  <c r="D15" i="51"/>
  <c r="E15" i="51"/>
  <c r="F15" i="51"/>
  <c r="G15" i="51"/>
  <c r="H15" i="51"/>
  <c r="I15" i="51"/>
  <c r="J15" i="51"/>
  <c r="K15" i="51"/>
  <c r="L15" i="51"/>
  <c r="M15" i="51"/>
  <c r="N15" i="51"/>
  <c r="O15" i="51"/>
  <c r="P15" i="51"/>
  <c r="Q15" i="51"/>
  <c r="R15" i="51"/>
  <c r="S15" i="51"/>
  <c r="T15" i="51"/>
  <c r="U15" i="51"/>
  <c r="V15" i="51"/>
  <c r="W15" i="51"/>
  <c r="X15" i="51"/>
  <c r="Y15" i="51"/>
  <c r="Z15" i="51"/>
  <c r="AA15" i="51"/>
  <c r="AB15" i="51"/>
  <c r="AC15" i="51"/>
  <c r="AD15" i="51"/>
  <c r="AE15" i="51"/>
  <c r="B16" i="51"/>
  <c r="C16" i="51"/>
  <c r="D16" i="51"/>
  <c r="E16" i="51"/>
  <c r="F16" i="51"/>
  <c r="G16" i="51"/>
  <c r="H16" i="51"/>
  <c r="I16" i="51"/>
  <c r="J16" i="51"/>
  <c r="K16" i="51"/>
  <c r="L16" i="51"/>
  <c r="M16" i="51"/>
  <c r="N16" i="51"/>
  <c r="O16" i="51"/>
  <c r="P16" i="51"/>
  <c r="Q16" i="51"/>
  <c r="R16" i="51"/>
  <c r="S16" i="51"/>
  <c r="T16" i="51"/>
  <c r="U16" i="51"/>
  <c r="V16" i="51"/>
  <c r="Y16" i="51"/>
  <c r="Z16" i="51"/>
  <c r="AA16" i="51"/>
  <c r="AB16" i="51"/>
  <c r="AC16" i="51"/>
  <c r="AD16" i="51"/>
  <c r="AE16" i="51"/>
  <c r="B17" i="51"/>
  <c r="C17" i="51"/>
  <c r="D17" i="51"/>
  <c r="E17" i="51"/>
  <c r="F17" i="51"/>
  <c r="G17" i="51"/>
  <c r="H17" i="51"/>
  <c r="I17" i="51"/>
  <c r="J17" i="51"/>
  <c r="K17" i="51"/>
  <c r="L17" i="51"/>
  <c r="M17" i="51"/>
  <c r="N17" i="51"/>
  <c r="O17" i="51"/>
  <c r="P17" i="51"/>
  <c r="Q17" i="51"/>
  <c r="R17" i="51"/>
  <c r="S17" i="51"/>
  <c r="T17" i="51"/>
  <c r="U17" i="51"/>
  <c r="V17" i="51"/>
  <c r="W17" i="51"/>
  <c r="X17" i="51"/>
  <c r="Y17" i="51"/>
  <c r="Z17" i="51"/>
  <c r="AA17" i="51"/>
  <c r="AB17" i="51"/>
  <c r="AC17" i="51"/>
  <c r="AD17" i="51"/>
  <c r="AE17" i="51"/>
  <c r="B18" i="51"/>
  <c r="C18" i="51"/>
  <c r="D18" i="51"/>
  <c r="E18" i="51"/>
  <c r="F18" i="51"/>
  <c r="G18" i="51"/>
  <c r="H18" i="51"/>
  <c r="I18" i="51"/>
  <c r="J18" i="51"/>
  <c r="K18" i="51"/>
  <c r="L18" i="51"/>
  <c r="M18" i="51"/>
  <c r="N18" i="51"/>
  <c r="O18" i="51"/>
  <c r="P18" i="51"/>
  <c r="Q18" i="51"/>
  <c r="R18" i="51"/>
  <c r="S18" i="51"/>
  <c r="T18" i="51"/>
  <c r="U18" i="51"/>
  <c r="V18" i="51"/>
  <c r="X18" i="51"/>
  <c r="Y18" i="51"/>
  <c r="Z18" i="51"/>
  <c r="AA18" i="51"/>
  <c r="AB18" i="51"/>
  <c r="AC18" i="51"/>
  <c r="AD18" i="51"/>
  <c r="AE18" i="51"/>
  <c r="B19" i="51"/>
  <c r="C19" i="51"/>
  <c r="D19" i="51"/>
  <c r="E19" i="51"/>
  <c r="F19" i="51"/>
  <c r="G19" i="51"/>
  <c r="H19" i="51"/>
  <c r="I19" i="51"/>
  <c r="J19" i="51"/>
  <c r="K19" i="51"/>
  <c r="L19" i="51"/>
  <c r="M19" i="51"/>
  <c r="N19" i="51"/>
  <c r="O19" i="51"/>
  <c r="P19" i="51"/>
  <c r="Q19" i="51"/>
  <c r="R19" i="51"/>
  <c r="S19" i="51"/>
  <c r="T19" i="51"/>
  <c r="U19" i="51"/>
  <c r="V19" i="51"/>
  <c r="W19" i="51"/>
  <c r="X19" i="51"/>
  <c r="Y19" i="51"/>
  <c r="Z19" i="51"/>
  <c r="AA19" i="51"/>
  <c r="AB19" i="51"/>
  <c r="AC19" i="51"/>
  <c r="AD19" i="51"/>
  <c r="AE19" i="51"/>
  <c r="B20" i="51"/>
  <c r="C20" i="51"/>
  <c r="D20" i="51"/>
  <c r="E20" i="51"/>
  <c r="F20" i="51"/>
  <c r="G20" i="51"/>
  <c r="H20" i="51"/>
  <c r="I20" i="51"/>
  <c r="J20" i="51"/>
  <c r="K20" i="51"/>
  <c r="L20" i="51"/>
  <c r="M20" i="51"/>
  <c r="N20" i="51"/>
  <c r="O20" i="51"/>
  <c r="P20" i="51"/>
  <c r="Q20" i="51"/>
  <c r="R20" i="51"/>
  <c r="S20" i="51"/>
  <c r="T20" i="51"/>
  <c r="U20" i="51"/>
  <c r="V20" i="51"/>
  <c r="W20" i="51" s="1"/>
  <c r="X20" i="51"/>
  <c r="Y20" i="51"/>
  <c r="Z20" i="51"/>
  <c r="AA20" i="51"/>
  <c r="AB20" i="51"/>
  <c r="AC20" i="51"/>
  <c r="AD20" i="51"/>
  <c r="AE20" i="51"/>
  <c r="B21" i="51"/>
  <c r="C21" i="51"/>
  <c r="D21" i="51"/>
  <c r="E21" i="51"/>
  <c r="F21" i="51"/>
  <c r="G21" i="51"/>
  <c r="H21" i="51"/>
  <c r="I21" i="51"/>
  <c r="J21" i="51"/>
  <c r="K21" i="51"/>
  <c r="L21" i="51"/>
  <c r="M21" i="51"/>
  <c r="N21" i="51"/>
  <c r="O21" i="51"/>
  <c r="P21" i="51"/>
  <c r="Q21" i="51"/>
  <c r="R21" i="51"/>
  <c r="S21" i="51"/>
  <c r="T21" i="51"/>
  <c r="U21" i="51"/>
  <c r="V21" i="51"/>
  <c r="W21" i="51"/>
  <c r="X21" i="51"/>
  <c r="Y21" i="51"/>
  <c r="Z21" i="51"/>
  <c r="AA21" i="51"/>
  <c r="AB21" i="51"/>
  <c r="AC21" i="51"/>
  <c r="AD21" i="51"/>
  <c r="AE21" i="51"/>
  <c r="B22" i="51"/>
  <c r="C22" i="51"/>
  <c r="D22" i="51"/>
  <c r="E22" i="51"/>
  <c r="F22" i="51"/>
  <c r="G22" i="51"/>
  <c r="H22" i="51"/>
  <c r="I22" i="51"/>
  <c r="J22" i="51"/>
  <c r="K22" i="51"/>
  <c r="L22" i="51"/>
  <c r="M22" i="51"/>
  <c r="N22" i="51"/>
  <c r="O22" i="51"/>
  <c r="P22" i="51"/>
  <c r="Q22" i="51"/>
  <c r="R22" i="51"/>
  <c r="S22" i="51"/>
  <c r="T22" i="51"/>
  <c r="U22" i="51"/>
  <c r="V22" i="51"/>
  <c r="W22" i="51"/>
  <c r="X22" i="51"/>
  <c r="Y22" i="51"/>
  <c r="Z22" i="51"/>
  <c r="AA22" i="51"/>
  <c r="AB22" i="51"/>
  <c r="AC22" i="51"/>
  <c r="AD22" i="51"/>
  <c r="AE22" i="51"/>
  <c r="B23" i="51"/>
  <c r="C23" i="51"/>
  <c r="D23" i="51"/>
  <c r="E23" i="51"/>
  <c r="F23" i="51"/>
  <c r="G23" i="51"/>
  <c r="H23" i="51"/>
  <c r="I23" i="51"/>
  <c r="J23" i="51"/>
  <c r="K23" i="51"/>
  <c r="L23" i="51"/>
  <c r="M23" i="51"/>
  <c r="N23" i="51"/>
  <c r="O23" i="51"/>
  <c r="P23" i="51"/>
  <c r="Q23" i="51"/>
  <c r="R23" i="51"/>
  <c r="S23" i="51"/>
  <c r="T23" i="51"/>
  <c r="U23" i="51"/>
  <c r="V23" i="51"/>
  <c r="W23" i="51"/>
  <c r="X23" i="51"/>
  <c r="Y23" i="51"/>
  <c r="Z23" i="51"/>
  <c r="AA23" i="51"/>
  <c r="AB23" i="51"/>
  <c r="AC23" i="51"/>
  <c r="AD23" i="51"/>
  <c r="AE23" i="51"/>
  <c r="B24" i="51"/>
  <c r="C24" i="51"/>
  <c r="D24" i="51"/>
  <c r="E24" i="51"/>
  <c r="F24" i="51"/>
  <c r="G24" i="51"/>
  <c r="H24" i="51"/>
  <c r="I24" i="51"/>
  <c r="J24" i="51"/>
  <c r="K24" i="51"/>
  <c r="L24" i="51"/>
  <c r="M24" i="51"/>
  <c r="N24" i="51"/>
  <c r="O24" i="51"/>
  <c r="P24" i="51"/>
  <c r="Q24" i="51"/>
  <c r="R24" i="51"/>
  <c r="S24" i="51"/>
  <c r="T24" i="51"/>
  <c r="U24" i="51"/>
  <c r="V24" i="51"/>
  <c r="W24" i="51"/>
  <c r="X24" i="51"/>
  <c r="Y24" i="51"/>
  <c r="Z24" i="51"/>
  <c r="AA24" i="51"/>
  <c r="AB24" i="51"/>
  <c r="AC24" i="51"/>
  <c r="AD24" i="51"/>
  <c r="AE24" i="51"/>
  <c r="B25" i="51"/>
  <c r="C25" i="51"/>
  <c r="D25" i="51"/>
  <c r="E25" i="51"/>
  <c r="F25" i="51"/>
  <c r="G25" i="51"/>
  <c r="H25" i="51"/>
  <c r="I25" i="51"/>
  <c r="J25" i="51"/>
  <c r="K25" i="51"/>
  <c r="L25" i="51"/>
  <c r="M25" i="51"/>
  <c r="N25" i="51"/>
  <c r="O25" i="51"/>
  <c r="P25" i="51"/>
  <c r="Q25" i="51"/>
  <c r="R25" i="51"/>
  <c r="S25" i="51"/>
  <c r="T25" i="51"/>
  <c r="W25" i="51" s="1"/>
  <c r="U25" i="51"/>
  <c r="V25" i="51"/>
  <c r="X25" i="51"/>
  <c r="Y25" i="51"/>
  <c r="Z25" i="51"/>
  <c r="AA25" i="51"/>
  <c r="AB25" i="51"/>
  <c r="AC25" i="51"/>
  <c r="AD25" i="51"/>
  <c r="AE25" i="51"/>
  <c r="B26" i="51"/>
  <c r="C26" i="51"/>
  <c r="D26" i="51"/>
  <c r="E26" i="51"/>
  <c r="F26" i="51"/>
  <c r="G26" i="51"/>
  <c r="H26" i="51"/>
  <c r="I26" i="51"/>
  <c r="J26" i="51"/>
  <c r="K26" i="51"/>
  <c r="L26" i="51"/>
  <c r="M26" i="51"/>
  <c r="N26" i="51"/>
  <c r="O26" i="51"/>
  <c r="P26" i="51"/>
  <c r="Q26" i="51"/>
  <c r="R26" i="51"/>
  <c r="S26" i="51"/>
  <c r="T26" i="51"/>
  <c r="U26" i="51"/>
  <c r="V26" i="51"/>
  <c r="W26" i="51"/>
  <c r="X26" i="51"/>
  <c r="Y26" i="51"/>
  <c r="Z26" i="51"/>
  <c r="AA26" i="51"/>
  <c r="AB26" i="51"/>
  <c r="AC26" i="51"/>
  <c r="AD26" i="51"/>
  <c r="AE26" i="51"/>
  <c r="B27" i="51"/>
  <c r="C27" i="51"/>
  <c r="D27" i="51"/>
  <c r="E27" i="51"/>
  <c r="F27" i="51"/>
  <c r="G27" i="51"/>
  <c r="H27" i="51"/>
  <c r="I27" i="51"/>
  <c r="J27" i="51"/>
  <c r="K27" i="51"/>
  <c r="L27" i="51"/>
  <c r="M27" i="51"/>
  <c r="N27" i="51"/>
  <c r="O27" i="51"/>
  <c r="P27" i="51"/>
  <c r="Q27" i="51"/>
  <c r="R27" i="51"/>
  <c r="S27" i="51"/>
  <c r="T27" i="51"/>
  <c r="U27" i="51"/>
  <c r="V27" i="51"/>
  <c r="W27" i="51" s="1"/>
  <c r="X27" i="51"/>
  <c r="Y27" i="51"/>
  <c r="Z27" i="51"/>
  <c r="AA27" i="51"/>
  <c r="AB27" i="51"/>
  <c r="AC27" i="51"/>
  <c r="AD27" i="51"/>
  <c r="AE27" i="51"/>
  <c r="B28" i="51"/>
  <c r="C28" i="51"/>
  <c r="D28" i="51"/>
  <c r="E28" i="51"/>
  <c r="F28" i="51"/>
  <c r="G28" i="51"/>
  <c r="H28" i="51"/>
  <c r="I28" i="51"/>
  <c r="J28" i="51"/>
  <c r="K28" i="51"/>
  <c r="L28" i="51"/>
  <c r="M28" i="51"/>
  <c r="N28" i="51"/>
  <c r="O28" i="51"/>
  <c r="P28" i="51"/>
  <c r="Q28" i="51"/>
  <c r="R28" i="51"/>
  <c r="S28" i="51"/>
  <c r="T28" i="51"/>
  <c r="U28" i="51"/>
  <c r="V28" i="51"/>
  <c r="W28" i="51"/>
  <c r="X28" i="51"/>
  <c r="Y28" i="51"/>
  <c r="Z28" i="51"/>
  <c r="AA28" i="51"/>
  <c r="AB28" i="51"/>
  <c r="AC28" i="51"/>
  <c r="AD28" i="51"/>
  <c r="AE28" i="51"/>
  <c r="B29" i="51"/>
  <c r="C29" i="51"/>
  <c r="D29" i="51"/>
  <c r="E29" i="51"/>
  <c r="F29" i="51"/>
  <c r="G29" i="51"/>
  <c r="H29" i="51"/>
  <c r="I29" i="51"/>
  <c r="J29" i="51"/>
  <c r="K29" i="51"/>
  <c r="L29" i="51"/>
  <c r="M29" i="51"/>
  <c r="N29" i="51"/>
  <c r="O29" i="51"/>
  <c r="P29" i="51"/>
  <c r="Q29" i="51"/>
  <c r="R29" i="51"/>
  <c r="S29" i="51"/>
  <c r="T29" i="51"/>
  <c r="U29" i="51"/>
  <c r="V29" i="51"/>
  <c r="W29" i="51"/>
  <c r="X29" i="51"/>
  <c r="Y29" i="51"/>
  <c r="Z29" i="51"/>
  <c r="AA29" i="51"/>
  <c r="AB29" i="51"/>
  <c r="AC29" i="51"/>
  <c r="AD29" i="51"/>
  <c r="AE29" i="51"/>
  <c r="B30" i="51"/>
  <c r="C30" i="51"/>
  <c r="D30" i="51"/>
  <c r="E30" i="51"/>
  <c r="F30" i="51"/>
  <c r="G30" i="51"/>
  <c r="H30" i="51"/>
  <c r="I30" i="51"/>
  <c r="J30" i="51"/>
  <c r="K30" i="51"/>
  <c r="L30" i="51"/>
  <c r="M30" i="51"/>
  <c r="N30" i="51"/>
  <c r="O30" i="51"/>
  <c r="P30" i="51"/>
  <c r="Q30" i="51"/>
  <c r="R30" i="51"/>
  <c r="S30" i="51"/>
  <c r="T30" i="51"/>
  <c r="U30" i="51"/>
  <c r="V30" i="51"/>
  <c r="Z30" i="51"/>
  <c r="AA30" i="51"/>
  <c r="AB30" i="51"/>
  <c r="AC30" i="51"/>
  <c r="AD30" i="51"/>
  <c r="AE30" i="51"/>
  <c r="B31" i="51"/>
  <c r="C31" i="51"/>
  <c r="D31" i="51"/>
  <c r="E31" i="51"/>
  <c r="F31" i="51"/>
  <c r="G31" i="51"/>
  <c r="H31" i="51"/>
  <c r="I31" i="51"/>
  <c r="J31" i="51"/>
  <c r="K31" i="51"/>
  <c r="L31" i="51"/>
  <c r="M31" i="51"/>
  <c r="N31" i="51"/>
  <c r="O31" i="51"/>
  <c r="P31" i="51"/>
  <c r="Q31" i="51"/>
  <c r="R31" i="51"/>
  <c r="S31" i="51"/>
  <c r="T31" i="51"/>
  <c r="U31" i="51"/>
  <c r="V31" i="51"/>
  <c r="W31" i="51"/>
  <c r="X31" i="51"/>
  <c r="Y31" i="51"/>
  <c r="Z31" i="51"/>
  <c r="AA31" i="51"/>
  <c r="AB31" i="51"/>
  <c r="AC31" i="51"/>
  <c r="AD31" i="51"/>
  <c r="AE31" i="51"/>
  <c r="B32" i="51"/>
  <c r="C32" i="51"/>
  <c r="D32" i="51"/>
  <c r="E32" i="51"/>
  <c r="F32" i="51"/>
  <c r="G32" i="51"/>
  <c r="H32" i="51"/>
  <c r="I32" i="51"/>
  <c r="J32" i="51"/>
  <c r="K32" i="51"/>
  <c r="L32" i="51"/>
  <c r="M32" i="51"/>
  <c r="N32" i="51"/>
  <c r="O32" i="51"/>
  <c r="P32" i="51"/>
  <c r="Q32" i="51"/>
  <c r="R32" i="51"/>
  <c r="S32" i="51"/>
  <c r="T32" i="51"/>
  <c r="U32" i="51"/>
  <c r="X32" i="51" s="1"/>
  <c r="V32" i="51"/>
  <c r="Y32" i="51"/>
  <c r="Z32" i="51"/>
  <c r="AA32" i="51"/>
  <c r="AB32" i="51"/>
  <c r="AC32" i="51"/>
  <c r="AD32" i="51"/>
  <c r="AE32" i="51"/>
  <c r="B33" i="51"/>
  <c r="C33" i="51"/>
  <c r="D33" i="51"/>
  <c r="E33" i="51"/>
  <c r="F33" i="51"/>
  <c r="G33" i="51"/>
  <c r="H33" i="51"/>
  <c r="I33" i="51"/>
  <c r="J33" i="51"/>
  <c r="K33" i="51"/>
  <c r="L33" i="51"/>
  <c r="M33" i="51"/>
  <c r="N33" i="51"/>
  <c r="O33" i="51"/>
  <c r="P33" i="51"/>
  <c r="Q33" i="51"/>
  <c r="R33" i="51"/>
  <c r="S33" i="51"/>
  <c r="T33" i="51"/>
  <c r="U33" i="51"/>
  <c r="V33" i="51"/>
  <c r="W33" i="51"/>
  <c r="X33" i="51"/>
  <c r="Y33" i="51"/>
  <c r="Z33" i="51"/>
  <c r="AA33" i="51"/>
  <c r="AB33" i="51"/>
  <c r="AC33" i="51"/>
  <c r="AD33" i="51"/>
  <c r="AE33" i="51"/>
  <c r="B34" i="51"/>
  <c r="C34" i="51"/>
  <c r="D34" i="51"/>
  <c r="E34" i="51"/>
  <c r="F34" i="51"/>
  <c r="G34" i="51"/>
  <c r="H34" i="51"/>
  <c r="I34" i="51"/>
  <c r="J34" i="51"/>
  <c r="K34" i="51"/>
  <c r="L34" i="51"/>
  <c r="M34" i="51"/>
  <c r="N34" i="51"/>
  <c r="O34" i="51"/>
  <c r="P34" i="51"/>
  <c r="Q34" i="51"/>
  <c r="R34" i="51"/>
  <c r="S34" i="51"/>
  <c r="T34" i="51"/>
  <c r="U34" i="51"/>
  <c r="V34" i="51"/>
  <c r="W34" i="51" s="1"/>
  <c r="X34" i="51"/>
  <c r="Y34" i="51"/>
  <c r="Z34" i="51"/>
  <c r="AA34" i="51"/>
  <c r="AB34" i="51"/>
  <c r="AC34" i="51"/>
  <c r="AD34" i="51"/>
  <c r="AE34" i="51"/>
  <c r="B35" i="51"/>
  <c r="C35" i="51"/>
  <c r="D35" i="51"/>
  <c r="E35" i="51"/>
  <c r="F35" i="51"/>
  <c r="G35" i="51"/>
  <c r="H35" i="51"/>
  <c r="I35" i="51"/>
  <c r="J35" i="51"/>
  <c r="K35" i="51"/>
  <c r="L35" i="51"/>
  <c r="M35" i="51"/>
  <c r="N35" i="51"/>
  <c r="O35" i="51"/>
  <c r="P35" i="51"/>
  <c r="Q35" i="51"/>
  <c r="R35" i="51"/>
  <c r="S35" i="51"/>
  <c r="T35" i="51"/>
  <c r="U35" i="51"/>
  <c r="V35" i="51"/>
  <c r="W35" i="51" s="1"/>
  <c r="X35" i="51"/>
  <c r="Y35" i="51"/>
  <c r="Z35" i="51"/>
  <c r="AA35" i="51"/>
  <c r="AB35" i="51"/>
  <c r="AC35" i="51"/>
  <c r="AD35" i="51"/>
  <c r="AE35" i="51"/>
  <c r="B36" i="51"/>
  <c r="C36" i="51"/>
  <c r="D36" i="51"/>
  <c r="E36" i="51"/>
  <c r="F36" i="51"/>
  <c r="G36" i="51"/>
  <c r="H36" i="51"/>
  <c r="I36" i="51"/>
  <c r="J36" i="51"/>
  <c r="K36" i="51"/>
  <c r="L36" i="51"/>
  <c r="M36" i="51"/>
  <c r="N36" i="51"/>
  <c r="O36" i="51"/>
  <c r="P36" i="51"/>
  <c r="Q36" i="51"/>
  <c r="R36" i="51"/>
  <c r="S36" i="51"/>
  <c r="T36" i="51"/>
  <c r="W36" i="51" s="1"/>
  <c r="U36" i="51"/>
  <c r="V36" i="51"/>
  <c r="X36" i="51"/>
  <c r="Y36" i="51"/>
  <c r="Z36" i="51"/>
  <c r="AA36" i="51"/>
  <c r="AB36" i="51"/>
  <c r="AC36" i="51"/>
  <c r="AD36" i="51"/>
  <c r="AE36" i="51"/>
  <c r="B37" i="51"/>
  <c r="C37" i="51"/>
  <c r="D37" i="51"/>
  <c r="E37" i="51"/>
  <c r="F37" i="51"/>
  <c r="G37" i="51"/>
  <c r="H37" i="51"/>
  <c r="I37" i="51"/>
  <c r="J37" i="51"/>
  <c r="K37" i="51"/>
  <c r="L37" i="51"/>
  <c r="M37" i="51"/>
  <c r="N37" i="51"/>
  <c r="O37" i="51"/>
  <c r="P37" i="51"/>
  <c r="Q37" i="51"/>
  <c r="R37" i="51"/>
  <c r="S37" i="51"/>
  <c r="T37" i="51"/>
  <c r="U37" i="51"/>
  <c r="V37" i="51"/>
  <c r="W37" i="51"/>
  <c r="X37" i="51"/>
  <c r="Y37" i="51"/>
  <c r="Z37" i="51"/>
  <c r="AA37" i="51"/>
  <c r="AB37" i="51"/>
  <c r="AC37" i="51"/>
  <c r="AD37" i="51"/>
  <c r="AE37" i="51"/>
  <c r="B38" i="51"/>
  <c r="C38" i="51"/>
  <c r="D38" i="51"/>
  <c r="E38" i="51"/>
  <c r="F38" i="51"/>
  <c r="G38" i="51"/>
  <c r="H38" i="51"/>
  <c r="I38" i="51"/>
  <c r="J38" i="51"/>
  <c r="K38" i="51"/>
  <c r="L38" i="51"/>
  <c r="M38" i="51"/>
  <c r="N38" i="51"/>
  <c r="O38" i="51"/>
  <c r="P38" i="51"/>
  <c r="Q38" i="51"/>
  <c r="R38" i="51"/>
  <c r="S38" i="51"/>
  <c r="T38" i="51"/>
  <c r="U38" i="51"/>
  <c r="V38" i="51"/>
  <c r="B39" i="51"/>
  <c r="C39" i="51"/>
  <c r="D39" i="51"/>
  <c r="E39" i="51"/>
  <c r="F39" i="51"/>
  <c r="G39" i="51"/>
  <c r="H39" i="51"/>
  <c r="I39" i="51"/>
  <c r="J39" i="51"/>
  <c r="K39" i="51"/>
  <c r="L39" i="51"/>
  <c r="M39" i="51"/>
  <c r="N39" i="51"/>
  <c r="O39" i="51"/>
  <c r="P39" i="51"/>
  <c r="Q39" i="51"/>
  <c r="R39" i="51"/>
  <c r="S39" i="51"/>
  <c r="T39" i="51"/>
  <c r="U39" i="51"/>
  <c r="V39" i="51"/>
  <c r="B40" i="51"/>
  <c r="C40" i="51"/>
  <c r="D40" i="51"/>
  <c r="E40" i="51"/>
  <c r="F40" i="51"/>
  <c r="G40" i="51"/>
  <c r="H40" i="51"/>
  <c r="I40" i="51"/>
  <c r="J40" i="51"/>
  <c r="K40" i="51"/>
  <c r="L40" i="51"/>
  <c r="M40" i="51"/>
  <c r="N40" i="51"/>
  <c r="O40" i="51"/>
  <c r="P40" i="51"/>
  <c r="Q40" i="51"/>
  <c r="R40" i="51"/>
  <c r="S40" i="51"/>
  <c r="T40" i="51"/>
  <c r="U40" i="51"/>
  <c r="V40" i="51"/>
  <c r="W40" i="51"/>
  <c r="X40" i="51"/>
  <c r="Y40" i="51"/>
  <c r="Z40" i="51"/>
  <c r="AA40" i="51"/>
  <c r="AB40" i="51"/>
  <c r="AC40" i="51"/>
  <c r="AD40" i="51"/>
  <c r="AE40" i="51"/>
  <c r="B41" i="51"/>
  <c r="C41" i="51"/>
  <c r="D41" i="51"/>
  <c r="E41" i="51"/>
  <c r="F41" i="51"/>
  <c r="G41" i="51"/>
  <c r="H41" i="51"/>
  <c r="I41" i="51"/>
  <c r="J41" i="51"/>
  <c r="K41" i="51"/>
  <c r="L41" i="51"/>
  <c r="M41" i="51"/>
  <c r="N41" i="51"/>
  <c r="O41" i="51"/>
  <c r="P41" i="51"/>
  <c r="Q41" i="51"/>
  <c r="R41" i="51"/>
  <c r="S41" i="51"/>
  <c r="T41" i="51"/>
  <c r="U41" i="51"/>
  <c r="W41" i="51" s="1"/>
  <c r="V41" i="51"/>
  <c r="X41" i="51"/>
  <c r="Y41" i="51"/>
  <c r="Z41" i="51"/>
  <c r="AA41" i="51"/>
  <c r="AB41" i="51"/>
  <c r="AC41" i="51"/>
  <c r="AD41" i="51"/>
  <c r="AE41" i="51"/>
  <c r="B42" i="51"/>
  <c r="C42" i="51"/>
  <c r="D42" i="51"/>
  <c r="E42" i="51"/>
  <c r="F42" i="51"/>
  <c r="G42" i="51"/>
  <c r="H42" i="51"/>
  <c r="I42" i="51"/>
  <c r="J42" i="51"/>
  <c r="K42" i="51"/>
  <c r="L42" i="51"/>
  <c r="M42" i="51"/>
  <c r="N42" i="51"/>
  <c r="O42" i="51"/>
  <c r="P42" i="51"/>
  <c r="Q42" i="51"/>
  <c r="R42" i="51"/>
  <c r="S42" i="51"/>
  <c r="T42" i="51"/>
  <c r="U42" i="51"/>
  <c r="V42" i="51"/>
  <c r="Z42" i="51"/>
  <c r="AA42" i="51"/>
  <c r="AB42" i="51"/>
  <c r="AC42" i="51"/>
  <c r="AD42" i="51"/>
  <c r="AE42" i="51"/>
  <c r="B43" i="51"/>
  <c r="C43" i="51"/>
  <c r="D43" i="51"/>
  <c r="E43" i="51"/>
  <c r="F43" i="51"/>
  <c r="G43" i="51"/>
  <c r="H43" i="51"/>
  <c r="I43" i="51"/>
  <c r="J43" i="51"/>
  <c r="K43" i="51"/>
  <c r="L43" i="51"/>
  <c r="M43" i="51"/>
  <c r="N43" i="51"/>
  <c r="O43" i="51"/>
  <c r="P43" i="51"/>
  <c r="Q43" i="51"/>
  <c r="R43" i="51"/>
  <c r="S43" i="51"/>
  <c r="T43" i="51"/>
  <c r="U43" i="51"/>
  <c r="V43" i="51"/>
  <c r="W43" i="51"/>
  <c r="X43" i="51"/>
  <c r="Y43" i="51"/>
  <c r="Z43" i="51"/>
  <c r="AA43" i="51"/>
  <c r="AB43" i="51"/>
  <c r="AC43" i="51"/>
  <c r="AD43" i="51"/>
  <c r="AE43" i="51"/>
  <c r="B44" i="51"/>
  <c r="C44" i="51"/>
  <c r="D44" i="51"/>
  <c r="E44" i="51"/>
  <c r="F44" i="51"/>
  <c r="G44" i="51"/>
  <c r="H44" i="51"/>
  <c r="I44" i="51"/>
  <c r="J44" i="51"/>
  <c r="K44" i="51"/>
  <c r="L44" i="51"/>
  <c r="M44" i="51"/>
  <c r="N44" i="51"/>
  <c r="O44" i="51"/>
  <c r="P44" i="51"/>
  <c r="Q44" i="51"/>
  <c r="R44" i="51"/>
  <c r="S44" i="51"/>
  <c r="T44" i="51"/>
  <c r="U44" i="51"/>
  <c r="V44" i="51"/>
  <c r="W44" i="51" s="1"/>
  <c r="X44" i="51"/>
  <c r="Y44" i="51"/>
  <c r="Z44" i="51"/>
  <c r="AA44" i="51"/>
  <c r="AB44" i="51"/>
  <c r="AC44" i="51"/>
  <c r="AD44" i="51"/>
  <c r="AE44" i="51"/>
  <c r="B45" i="51"/>
  <c r="C45" i="51"/>
  <c r="D45" i="51"/>
  <c r="E45" i="51"/>
  <c r="F45" i="51"/>
  <c r="G45" i="51"/>
  <c r="H45" i="51"/>
  <c r="I45" i="51"/>
  <c r="J45" i="51"/>
  <c r="K45" i="51"/>
  <c r="L45" i="51"/>
  <c r="M45" i="51"/>
  <c r="N45" i="51"/>
  <c r="O45" i="51"/>
  <c r="P45" i="51"/>
  <c r="Q45" i="51"/>
  <c r="R45" i="51"/>
  <c r="S45" i="51"/>
  <c r="T45" i="51"/>
  <c r="U45" i="51"/>
  <c r="V45" i="51"/>
  <c r="B46" i="51"/>
  <c r="C46" i="51"/>
  <c r="D46" i="51"/>
  <c r="E46" i="51"/>
  <c r="F46" i="51"/>
  <c r="G46" i="51"/>
  <c r="H46" i="51"/>
  <c r="I46" i="51"/>
  <c r="J46" i="51"/>
  <c r="K46" i="51"/>
  <c r="L46" i="51"/>
  <c r="M46" i="51"/>
  <c r="N46" i="51"/>
  <c r="O46" i="51"/>
  <c r="P46" i="51"/>
  <c r="Q46" i="51"/>
  <c r="R46" i="51"/>
  <c r="S46" i="51"/>
  <c r="T46" i="51"/>
  <c r="U46" i="51"/>
  <c r="V46" i="51"/>
  <c r="W46" i="51"/>
  <c r="X46" i="51"/>
  <c r="Y46" i="51"/>
  <c r="Z46" i="51"/>
  <c r="AA46" i="51"/>
  <c r="AB46" i="51"/>
  <c r="AC46" i="51"/>
  <c r="AD46" i="51"/>
  <c r="AE46" i="51"/>
  <c r="B47" i="51"/>
  <c r="C47" i="51"/>
  <c r="D47" i="51"/>
  <c r="E47" i="51"/>
  <c r="F47" i="51"/>
  <c r="G47" i="51"/>
  <c r="H47" i="51"/>
  <c r="I47" i="51"/>
  <c r="J47" i="51"/>
  <c r="K47" i="51"/>
  <c r="L47" i="51"/>
  <c r="M47" i="51"/>
  <c r="N47" i="51"/>
  <c r="O47" i="51"/>
  <c r="P47" i="51"/>
  <c r="Q47" i="51"/>
  <c r="R47" i="51"/>
  <c r="S47" i="51"/>
  <c r="T47" i="51"/>
  <c r="U47" i="51"/>
  <c r="V47" i="51"/>
  <c r="Z47" i="51"/>
  <c r="AA47" i="51"/>
  <c r="AB47" i="51"/>
  <c r="AC47" i="51"/>
  <c r="AD47" i="51"/>
  <c r="AE47" i="51"/>
  <c r="B48" i="51"/>
  <c r="C48" i="51"/>
  <c r="D48" i="51"/>
  <c r="E48" i="51"/>
  <c r="F48" i="51"/>
  <c r="G48" i="51"/>
  <c r="H48" i="51"/>
  <c r="I48" i="51"/>
  <c r="J48" i="51"/>
  <c r="K48" i="51"/>
  <c r="L48" i="51"/>
  <c r="M48" i="51"/>
  <c r="N48" i="51"/>
  <c r="O48" i="51"/>
  <c r="P48" i="51"/>
  <c r="Q48" i="51"/>
  <c r="R48" i="51"/>
  <c r="S48" i="51"/>
  <c r="T48" i="51"/>
  <c r="U48" i="51"/>
  <c r="V48" i="51"/>
  <c r="W48" i="51"/>
  <c r="X48" i="51"/>
  <c r="Y48" i="51"/>
  <c r="Z48" i="51"/>
  <c r="AA48" i="51"/>
  <c r="AB48" i="51"/>
  <c r="AC48" i="51"/>
  <c r="AD48" i="51"/>
  <c r="AE48" i="51"/>
  <c r="B49" i="51"/>
  <c r="C49" i="51"/>
  <c r="D49" i="51"/>
  <c r="E49" i="51"/>
  <c r="F49" i="51"/>
  <c r="G49" i="51"/>
  <c r="H49" i="51"/>
  <c r="I49" i="51"/>
  <c r="J49" i="51"/>
  <c r="K49" i="51"/>
  <c r="L49" i="51"/>
  <c r="M49" i="51"/>
  <c r="N49" i="51"/>
  <c r="O49" i="51"/>
  <c r="P49" i="51"/>
  <c r="Q49" i="51"/>
  <c r="R49" i="51"/>
  <c r="S49" i="51"/>
  <c r="T49" i="51"/>
  <c r="U49" i="51"/>
  <c r="V49" i="51"/>
  <c r="W49" i="51"/>
  <c r="X49" i="51"/>
  <c r="Y49" i="51"/>
  <c r="Z49" i="51"/>
  <c r="AA49" i="51"/>
  <c r="AB49" i="51"/>
  <c r="AC49" i="51"/>
  <c r="AD49" i="51"/>
  <c r="AE49" i="51"/>
  <c r="B50" i="51"/>
  <c r="C50" i="51"/>
  <c r="D50" i="51"/>
  <c r="E50" i="51"/>
  <c r="F50" i="51"/>
  <c r="G50" i="51"/>
  <c r="H50" i="51"/>
  <c r="I50" i="51"/>
  <c r="J50" i="51"/>
  <c r="K50" i="51"/>
  <c r="L50" i="51"/>
  <c r="M50" i="51"/>
  <c r="N50" i="51"/>
  <c r="O50" i="51"/>
  <c r="P50" i="51"/>
  <c r="Q50" i="51"/>
  <c r="R50" i="51"/>
  <c r="S50" i="51"/>
  <c r="T50" i="51"/>
  <c r="X50" i="51" s="1"/>
  <c r="U50" i="51"/>
  <c r="V50" i="51"/>
  <c r="Y50" i="51"/>
  <c r="Z50" i="51"/>
  <c r="AA50" i="51"/>
  <c r="AB50" i="51"/>
  <c r="AC50" i="51"/>
  <c r="AD50" i="51"/>
  <c r="AE50" i="51"/>
  <c r="B51" i="51"/>
  <c r="C51" i="51"/>
  <c r="D51" i="51"/>
  <c r="E51" i="51"/>
  <c r="F51" i="51"/>
  <c r="G51" i="51"/>
  <c r="H51" i="51"/>
  <c r="I51" i="51"/>
  <c r="J51" i="51"/>
  <c r="K51" i="51"/>
  <c r="L51" i="51"/>
  <c r="M51" i="51"/>
  <c r="N51" i="51"/>
  <c r="O51" i="51"/>
  <c r="P51" i="51"/>
  <c r="Q51" i="51"/>
  <c r="R51" i="51"/>
  <c r="S51" i="51"/>
  <c r="T51" i="51"/>
  <c r="U51" i="51"/>
  <c r="V51" i="51"/>
  <c r="W51" i="51"/>
  <c r="X51" i="51"/>
  <c r="Y51" i="51"/>
  <c r="Z51" i="51"/>
  <c r="AA51" i="51"/>
  <c r="AB51" i="51"/>
  <c r="AC51" i="51"/>
  <c r="AD51" i="51"/>
  <c r="AE51" i="51"/>
  <c r="B52" i="51"/>
  <c r="C52" i="51"/>
  <c r="D52" i="51"/>
  <c r="E52" i="51"/>
  <c r="F52" i="51"/>
  <c r="G52" i="51"/>
  <c r="H52" i="51"/>
  <c r="I52" i="51"/>
  <c r="J52" i="51"/>
  <c r="K52" i="51"/>
  <c r="L52" i="51"/>
  <c r="M52" i="51"/>
  <c r="N52" i="51"/>
  <c r="O52" i="51"/>
  <c r="P52" i="51"/>
  <c r="Q52" i="51"/>
  <c r="R52" i="51"/>
  <c r="S52" i="51"/>
  <c r="T52" i="51"/>
  <c r="U52" i="51"/>
  <c r="V52" i="51"/>
  <c r="W52" i="51" s="1"/>
  <c r="X52" i="51"/>
  <c r="Y52" i="51"/>
  <c r="Z52" i="51"/>
  <c r="AA52" i="51"/>
  <c r="AB52" i="51"/>
  <c r="AC52" i="51"/>
  <c r="AD52" i="51"/>
  <c r="AE52" i="51"/>
  <c r="B53" i="51"/>
  <c r="C53" i="51"/>
  <c r="D53" i="51"/>
  <c r="E53" i="51"/>
  <c r="F53" i="51"/>
  <c r="G53" i="51"/>
  <c r="H53" i="51"/>
  <c r="I53" i="51"/>
  <c r="J53" i="51"/>
  <c r="K53" i="51"/>
  <c r="L53" i="51"/>
  <c r="M53" i="51"/>
  <c r="N53" i="51"/>
  <c r="O53" i="51"/>
  <c r="P53" i="51"/>
  <c r="Q53" i="51"/>
  <c r="R53" i="51"/>
  <c r="S53" i="51"/>
  <c r="T53" i="51"/>
  <c r="U53" i="51"/>
  <c r="V53" i="51"/>
  <c r="W53" i="51"/>
  <c r="X53" i="51"/>
  <c r="Y53" i="51"/>
  <c r="Z53" i="51"/>
  <c r="AA53" i="51"/>
  <c r="AB53" i="51"/>
  <c r="AC53" i="51"/>
  <c r="AD53" i="51"/>
  <c r="AE53" i="51"/>
  <c r="B54" i="51"/>
  <c r="C54" i="51"/>
  <c r="D54" i="51"/>
  <c r="E54" i="51"/>
  <c r="F54" i="51"/>
  <c r="G54" i="51"/>
  <c r="H54" i="51"/>
  <c r="I54" i="51"/>
  <c r="J54" i="51"/>
  <c r="K54" i="51"/>
  <c r="L54" i="51"/>
  <c r="M54" i="51"/>
  <c r="N54" i="51"/>
  <c r="O54" i="51"/>
  <c r="P54" i="51"/>
  <c r="Q54" i="51"/>
  <c r="R54" i="51"/>
  <c r="S54" i="51"/>
  <c r="T54" i="51"/>
  <c r="U54" i="51"/>
  <c r="V54" i="51"/>
  <c r="X54" i="51" s="1"/>
  <c r="Y54" i="51"/>
  <c r="Z54" i="51"/>
  <c r="AA54" i="51"/>
  <c r="AB54" i="51"/>
  <c r="AC54" i="51"/>
  <c r="AD54" i="51"/>
  <c r="AE54" i="51"/>
  <c r="B55" i="51"/>
  <c r="C55" i="51"/>
  <c r="D55" i="51"/>
  <c r="E55" i="51"/>
  <c r="F55" i="51"/>
  <c r="G55" i="51"/>
  <c r="H55" i="51"/>
  <c r="I55" i="51"/>
  <c r="J55" i="51"/>
  <c r="K55" i="51"/>
  <c r="L55" i="51"/>
  <c r="M55" i="51"/>
  <c r="N55" i="51"/>
  <c r="O55" i="51"/>
  <c r="P55" i="51"/>
  <c r="Q55" i="51"/>
  <c r="R55" i="51"/>
  <c r="S55" i="51"/>
  <c r="T55" i="51"/>
  <c r="U55" i="51"/>
  <c r="V55" i="51"/>
  <c r="W55" i="51" s="1"/>
  <c r="X55" i="51"/>
  <c r="Y55" i="51"/>
  <c r="Z55" i="51"/>
  <c r="AA55" i="51"/>
  <c r="AB55" i="51"/>
  <c r="AC55" i="51"/>
  <c r="AD55" i="51"/>
  <c r="AE55" i="51"/>
  <c r="B56" i="51"/>
  <c r="C56" i="51"/>
  <c r="D56" i="51"/>
  <c r="E56" i="51"/>
  <c r="F56" i="51"/>
  <c r="G56" i="51"/>
  <c r="H56" i="51"/>
  <c r="I56" i="51"/>
  <c r="J56" i="51"/>
  <c r="K56" i="51"/>
  <c r="L56" i="51"/>
  <c r="M56" i="51"/>
  <c r="N56" i="51"/>
  <c r="O56" i="51"/>
  <c r="P56" i="51"/>
  <c r="Q56" i="51"/>
  <c r="R56" i="51"/>
  <c r="S56" i="51"/>
  <c r="T56" i="51"/>
  <c r="U56" i="51"/>
  <c r="W56" i="51" s="1"/>
  <c r="V56" i="51"/>
  <c r="X56" i="51"/>
  <c r="Y56" i="51"/>
  <c r="Z56" i="51"/>
  <c r="AA56" i="51"/>
  <c r="AB56" i="51"/>
  <c r="AC56" i="51"/>
  <c r="AD56" i="51"/>
  <c r="AE56" i="51"/>
  <c r="B57" i="51"/>
  <c r="C57" i="51"/>
  <c r="D57" i="51"/>
  <c r="E57" i="51"/>
  <c r="F57" i="51"/>
  <c r="G57" i="51"/>
  <c r="H57" i="51"/>
  <c r="I57" i="51"/>
  <c r="J57" i="51"/>
  <c r="K57" i="51"/>
  <c r="L57" i="51"/>
  <c r="M57" i="51"/>
  <c r="N57" i="51"/>
  <c r="O57" i="51"/>
  <c r="P57" i="51"/>
  <c r="Q57" i="51"/>
  <c r="R57" i="51"/>
  <c r="S57" i="51"/>
  <c r="T57" i="51"/>
  <c r="U57" i="51"/>
  <c r="V57" i="51"/>
  <c r="W57" i="51" s="1"/>
  <c r="X57" i="51"/>
  <c r="Y57" i="51"/>
  <c r="Z57" i="51"/>
  <c r="AA57" i="51"/>
  <c r="AB57" i="51"/>
  <c r="AC57" i="51"/>
  <c r="AD57" i="51"/>
  <c r="AE57" i="51"/>
  <c r="B58" i="51"/>
  <c r="C58" i="51"/>
  <c r="D58" i="51"/>
  <c r="E58" i="51"/>
  <c r="F58" i="51"/>
  <c r="G58" i="51"/>
  <c r="H58" i="51"/>
  <c r="I58" i="51"/>
  <c r="J58" i="51"/>
  <c r="K58" i="51"/>
  <c r="L58" i="51"/>
  <c r="M58" i="51"/>
  <c r="N58" i="51"/>
  <c r="O58" i="51"/>
  <c r="P58" i="51"/>
  <c r="Q58" i="51"/>
  <c r="R58" i="51"/>
  <c r="S58" i="51"/>
  <c r="T58" i="51"/>
  <c r="U58" i="51"/>
  <c r="V58" i="51"/>
  <c r="W58" i="51"/>
  <c r="X58" i="51"/>
  <c r="Y58" i="51"/>
  <c r="Z58" i="51"/>
  <c r="AA58" i="51"/>
  <c r="AB58" i="51"/>
  <c r="AC58" i="51"/>
  <c r="AD58" i="51"/>
  <c r="AE58" i="51"/>
  <c r="B59" i="51"/>
  <c r="C59" i="51"/>
  <c r="D59" i="51"/>
  <c r="E59" i="51"/>
  <c r="F59" i="51"/>
  <c r="G59" i="51"/>
  <c r="H59" i="51"/>
  <c r="I59" i="51"/>
  <c r="J59" i="51"/>
  <c r="K59" i="51"/>
  <c r="L59" i="51"/>
  <c r="M59" i="51"/>
  <c r="N59" i="51"/>
  <c r="O59" i="51"/>
  <c r="P59" i="51"/>
  <c r="Q59" i="51"/>
  <c r="R59" i="51"/>
  <c r="S59" i="51"/>
  <c r="T59" i="51"/>
  <c r="U59" i="51"/>
  <c r="V59" i="51"/>
  <c r="X59" i="51"/>
  <c r="Y59" i="51"/>
  <c r="Z59" i="51"/>
  <c r="AA59" i="51"/>
  <c r="AB59" i="51"/>
  <c r="AC59" i="51"/>
  <c r="AD59" i="51"/>
  <c r="AE59" i="51"/>
  <c r="B60" i="51"/>
  <c r="C60" i="51"/>
  <c r="D60" i="51"/>
  <c r="E60" i="51"/>
  <c r="F60" i="51"/>
  <c r="G60" i="51"/>
  <c r="H60" i="51"/>
  <c r="I60" i="51"/>
  <c r="J60" i="51"/>
  <c r="K60" i="51"/>
  <c r="L60" i="51"/>
  <c r="M60" i="51"/>
  <c r="N60" i="51"/>
  <c r="O60" i="51"/>
  <c r="P60" i="51"/>
  <c r="Q60" i="51"/>
  <c r="R60" i="51"/>
  <c r="S60" i="51"/>
  <c r="T60" i="51"/>
  <c r="U60" i="51"/>
  <c r="V60" i="51"/>
  <c r="X60" i="51"/>
  <c r="Y60" i="51"/>
  <c r="Z60" i="51"/>
  <c r="AA60" i="51"/>
  <c r="AB60" i="51"/>
  <c r="AC60" i="51"/>
  <c r="AD60" i="51"/>
  <c r="AE60" i="51"/>
  <c r="B61" i="51"/>
  <c r="C61" i="51"/>
  <c r="D61" i="51"/>
  <c r="E61" i="51"/>
  <c r="F61" i="51"/>
  <c r="G61" i="51"/>
  <c r="H61" i="51"/>
  <c r="I61" i="51"/>
  <c r="J61" i="51"/>
  <c r="K61" i="51"/>
  <c r="L61" i="51"/>
  <c r="M61" i="51"/>
  <c r="N61" i="51"/>
  <c r="O61" i="51"/>
  <c r="P61" i="51"/>
  <c r="Q61" i="51"/>
  <c r="R61" i="51"/>
  <c r="S61" i="51"/>
  <c r="T61" i="51"/>
  <c r="U61" i="51"/>
  <c r="V61" i="51"/>
  <c r="W61" i="51"/>
  <c r="X61" i="51"/>
  <c r="Y61" i="51"/>
  <c r="Z61" i="51"/>
  <c r="AA61" i="51"/>
  <c r="AB61" i="51"/>
  <c r="AC61" i="51"/>
  <c r="AD61" i="51"/>
  <c r="AE61" i="51"/>
  <c r="B62" i="51"/>
  <c r="C62" i="51"/>
  <c r="D62" i="51"/>
  <c r="E62" i="51"/>
  <c r="F62" i="51"/>
  <c r="G62" i="51"/>
  <c r="H62" i="51"/>
  <c r="I62" i="51"/>
  <c r="J62" i="51"/>
  <c r="K62" i="51"/>
  <c r="L62" i="51"/>
  <c r="M62" i="51"/>
  <c r="N62" i="51"/>
  <c r="O62" i="51"/>
  <c r="P62" i="51"/>
  <c r="Q62" i="51"/>
  <c r="R62" i="51"/>
  <c r="S62" i="51"/>
  <c r="T62" i="51"/>
  <c r="U62" i="51"/>
  <c r="V62" i="51"/>
  <c r="X62" i="51"/>
  <c r="Y62" i="51"/>
  <c r="Z62" i="51"/>
  <c r="AA62" i="51"/>
  <c r="AB62" i="51"/>
  <c r="AC62" i="51"/>
  <c r="AD62" i="51"/>
  <c r="AE62" i="51"/>
  <c r="B63" i="51"/>
  <c r="C63" i="51"/>
  <c r="D63" i="51"/>
  <c r="E63" i="51"/>
  <c r="F63" i="51"/>
  <c r="G63" i="51"/>
  <c r="H63" i="51"/>
  <c r="I63" i="51"/>
  <c r="J63" i="51"/>
  <c r="K63" i="51"/>
  <c r="L63" i="51"/>
  <c r="M63" i="51"/>
  <c r="N63" i="51"/>
  <c r="O63" i="51"/>
  <c r="P63" i="51"/>
  <c r="Q63" i="51"/>
  <c r="R63" i="51"/>
  <c r="S63" i="51"/>
  <c r="T63" i="51"/>
  <c r="U63" i="51"/>
  <c r="V63" i="51"/>
  <c r="X63" i="51"/>
  <c r="Z63" i="51"/>
  <c r="AA63" i="51"/>
  <c r="AB63" i="51"/>
  <c r="AC63" i="51"/>
  <c r="AD63" i="51"/>
  <c r="AE63" i="51"/>
  <c r="B64" i="51"/>
  <c r="C64" i="51"/>
  <c r="D64" i="51"/>
  <c r="E64" i="51"/>
  <c r="F64" i="51"/>
  <c r="G64" i="51"/>
  <c r="H64" i="51"/>
  <c r="I64" i="51"/>
  <c r="J64" i="51"/>
  <c r="K64" i="51"/>
  <c r="L64" i="51"/>
  <c r="M64" i="51"/>
  <c r="N64" i="51"/>
  <c r="O64" i="51"/>
  <c r="P64" i="51"/>
  <c r="Q64" i="51"/>
  <c r="R64" i="51"/>
  <c r="S64" i="51"/>
  <c r="T64" i="51"/>
  <c r="U64" i="51"/>
  <c r="V64" i="51"/>
  <c r="W64" i="51"/>
  <c r="X64" i="51"/>
  <c r="Y64" i="51"/>
  <c r="Z64" i="51"/>
  <c r="AA64" i="51"/>
  <c r="AB64" i="51"/>
  <c r="AC64" i="51"/>
  <c r="AD64" i="51"/>
  <c r="AE64" i="51"/>
  <c r="B65" i="51"/>
  <c r="C65" i="51"/>
  <c r="D65" i="51"/>
  <c r="E65" i="51"/>
  <c r="F65" i="51"/>
  <c r="G65" i="51"/>
  <c r="H65" i="51"/>
  <c r="I65" i="51"/>
  <c r="J65" i="51"/>
  <c r="K65" i="51"/>
  <c r="L65" i="51"/>
  <c r="M65" i="51"/>
  <c r="N65" i="51"/>
  <c r="O65" i="51"/>
  <c r="P65" i="51"/>
  <c r="Q65" i="51"/>
  <c r="R65" i="51"/>
  <c r="S65" i="51"/>
  <c r="T65" i="51"/>
  <c r="U65" i="51"/>
  <c r="V65" i="51"/>
  <c r="W65" i="51" s="1"/>
  <c r="X65" i="51"/>
  <c r="Y65" i="51"/>
  <c r="Z65" i="51"/>
  <c r="AA65" i="51"/>
  <c r="AB65" i="51"/>
  <c r="AC65" i="51"/>
  <c r="AD65" i="51"/>
  <c r="AE65" i="51"/>
  <c r="B66" i="51"/>
  <c r="C66" i="51"/>
  <c r="D66" i="51"/>
  <c r="E66" i="51"/>
  <c r="F66" i="51"/>
  <c r="G66" i="51"/>
  <c r="H66" i="51"/>
  <c r="I66" i="51"/>
  <c r="J66" i="51"/>
  <c r="K66" i="51"/>
  <c r="L66" i="51"/>
  <c r="M66" i="51"/>
  <c r="N66" i="51"/>
  <c r="O66" i="51"/>
  <c r="P66" i="51"/>
  <c r="Q66" i="51"/>
  <c r="R66" i="51"/>
  <c r="S66" i="51"/>
  <c r="T66" i="51"/>
  <c r="U66" i="51"/>
  <c r="V66" i="51"/>
  <c r="W66" i="51"/>
  <c r="X66" i="51"/>
  <c r="Y66" i="51"/>
  <c r="Z66" i="51"/>
  <c r="AA66" i="51"/>
  <c r="AB66" i="51"/>
  <c r="AC66" i="51"/>
  <c r="AD66" i="51"/>
  <c r="AE66" i="51"/>
  <c r="B67" i="51"/>
  <c r="C67" i="51"/>
  <c r="D67" i="51"/>
  <c r="E67" i="51"/>
  <c r="F67" i="51"/>
  <c r="G67" i="51"/>
  <c r="H67" i="51"/>
  <c r="I67" i="51"/>
  <c r="J67" i="51"/>
  <c r="K67" i="51"/>
  <c r="L67" i="51"/>
  <c r="M67" i="51"/>
  <c r="N67" i="51"/>
  <c r="O67" i="51"/>
  <c r="P67" i="51"/>
  <c r="Q67" i="51"/>
  <c r="R67" i="51"/>
  <c r="S67" i="51"/>
  <c r="T67" i="51"/>
  <c r="U67" i="51"/>
  <c r="V67" i="51"/>
  <c r="X67" i="51"/>
  <c r="Y67" i="51"/>
  <c r="Z67" i="51"/>
  <c r="AA67" i="51"/>
  <c r="AB67" i="51"/>
  <c r="AC67" i="51"/>
  <c r="AD67" i="51"/>
  <c r="AE67" i="51"/>
  <c r="B68" i="51"/>
  <c r="C68" i="51"/>
  <c r="D68" i="51"/>
  <c r="E68" i="51"/>
  <c r="F68" i="51"/>
  <c r="G68" i="51"/>
  <c r="H68" i="51"/>
  <c r="I68" i="51"/>
  <c r="J68" i="51"/>
  <c r="K68" i="51"/>
  <c r="L68" i="51"/>
  <c r="M68" i="51"/>
  <c r="N68" i="51"/>
  <c r="O68" i="51"/>
  <c r="P68" i="51"/>
  <c r="Q68" i="51"/>
  <c r="R68" i="51"/>
  <c r="S68" i="51"/>
  <c r="T68" i="51"/>
  <c r="U68" i="51"/>
  <c r="V68" i="51"/>
  <c r="W68" i="51"/>
  <c r="X68" i="51"/>
  <c r="Y68" i="51"/>
  <c r="Z68" i="51"/>
  <c r="AA68" i="51"/>
  <c r="AB68" i="51"/>
  <c r="AC68" i="51"/>
  <c r="AD68" i="51"/>
  <c r="AE68" i="51"/>
  <c r="B69" i="51"/>
  <c r="C69" i="51"/>
  <c r="D69" i="51"/>
  <c r="E69" i="51"/>
  <c r="F69" i="51"/>
  <c r="G69" i="51"/>
  <c r="H69" i="51"/>
  <c r="I69" i="51"/>
  <c r="J69" i="51"/>
  <c r="K69" i="51"/>
  <c r="L69" i="51"/>
  <c r="M69" i="51"/>
  <c r="N69" i="51"/>
  <c r="O69" i="51"/>
  <c r="P69" i="51"/>
  <c r="Q69" i="51"/>
  <c r="R69" i="51"/>
  <c r="S69" i="51"/>
  <c r="T69" i="51"/>
  <c r="U69" i="51"/>
  <c r="V69" i="51"/>
  <c r="W69" i="51"/>
  <c r="B70" i="51"/>
  <c r="C70" i="51"/>
  <c r="D70" i="51"/>
  <c r="E70" i="51"/>
  <c r="F70" i="51"/>
  <c r="G70" i="51"/>
  <c r="H70" i="51"/>
  <c r="I70" i="51"/>
  <c r="J70" i="51"/>
  <c r="K70" i="51"/>
  <c r="L70" i="51"/>
  <c r="M70" i="51"/>
  <c r="N70" i="51"/>
  <c r="O70" i="51"/>
  <c r="P70" i="51"/>
  <c r="Q70" i="51"/>
  <c r="R70" i="51"/>
  <c r="S70" i="51"/>
  <c r="T70" i="51"/>
  <c r="U70" i="51"/>
  <c r="V70" i="51"/>
  <c r="W70" i="51"/>
  <c r="X70" i="51"/>
  <c r="Y70" i="51"/>
  <c r="Z70" i="51"/>
  <c r="AA70" i="51"/>
  <c r="AB70" i="51"/>
  <c r="AC70" i="51"/>
  <c r="AD70" i="51"/>
  <c r="AE70" i="51"/>
  <c r="B71" i="51"/>
  <c r="C71" i="51"/>
  <c r="D71" i="51"/>
  <c r="E71" i="51"/>
  <c r="F71" i="51"/>
  <c r="G71" i="51"/>
  <c r="H71" i="51"/>
  <c r="I71" i="51"/>
  <c r="J71" i="51"/>
  <c r="K71" i="51"/>
  <c r="L71" i="51"/>
  <c r="M71" i="51"/>
  <c r="N71" i="51"/>
  <c r="O71" i="51"/>
  <c r="P71" i="51"/>
  <c r="Q71" i="51"/>
  <c r="R71" i="51"/>
  <c r="S71" i="51"/>
  <c r="T71" i="51"/>
  <c r="U71" i="51"/>
  <c r="V71" i="51"/>
  <c r="W71" i="51"/>
  <c r="X71" i="51"/>
  <c r="Y71" i="51"/>
  <c r="Z71" i="51"/>
  <c r="AA71" i="51"/>
  <c r="AB71" i="51"/>
  <c r="AC71" i="51"/>
  <c r="AD71" i="51"/>
  <c r="AE71" i="51"/>
  <c r="B72" i="51"/>
  <c r="C72" i="51"/>
  <c r="D72" i="51"/>
  <c r="E72" i="51"/>
  <c r="F72" i="51"/>
  <c r="G72" i="51"/>
  <c r="H72" i="51"/>
  <c r="I72" i="51"/>
  <c r="J72" i="51"/>
  <c r="K72" i="51"/>
  <c r="L72" i="51"/>
  <c r="M72" i="51"/>
  <c r="N72" i="51"/>
  <c r="O72" i="51"/>
  <c r="P72" i="51"/>
  <c r="Q72" i="51"/>
  <c r="R72" i="51"/>
  <c r="S72" i="51"/>
  <c r="T72" i="51"/>
  <c r="U72" i="51"/>
  <c r="V72" i="51"/>
  <c r="Y72" i="51"/>
  <c r="Z72" i="51"/>
  <c r="AA72" i="51"/>
  <c r="AB72" i="51"/>
  <c r="AC72" i="51"/>
  <c r="AD72" i="51"/>
  <c r="AE72" i="51"/>
  <c r="B73" i="51"/>
  <c r="C73" i="51"/>
  <c r="D73" i="51"/>
  <c r="E73" i="51"/>
  <c r="F73" i="51"/>
  <c r="G73" i="51"/>
  <c r="H73" i="51"/>
  <c r="I73" i="51"/>
  <c r="J73" i="51"/>
  <c r="K73" i="51"/>
  <c r="L73" i="51"/>
  <c r="M73" i="51"/>
  <c r="N73" i="51"/>
  <c r="O73" i="51"/>
  <c r="P73" i="51"/>
  <c r="Q73" i="51"/>
  <c r="R73" i="51"/>
  <c r="S73" i="51"/>
  <c r="T73" i="51"/>
  <c r="U73" i="51"/>
  <c r="W73" i="51" s="1"/>
  <c r="V73" i="51"/>
  <c r="X73" i="51"/>
  <c r="Y73" i="51"/>
  <c r="Z73" i="51"/>
  <c r="AA73" i="51"/>
  <c r="AB73" i="51"/>
  <c r="AC73" i="51"/>
  <c r="AD73" i="51"/>
  <c r="AE73" i="51"/>
  <c r="B74" i="51"/>
  <c r="C74" i="51"/>
  <c r="D74" i="51"/>
  <c r="E74" i="51"/>
  <c r="F74" i="51"/>
  <c r="G74" i="51"/>
  <c r="H74" i="51"/>
  <c r="I74" i="51"/>
  <c r="J74" i="51"/>
  <c r="K74" i="51"/>
  <c r="L74" i="51"/>
  <c r="M74" i="51"/>
  <c r="N74" i="51"/>
  <c r="O74" i="51"/>
  <c r="P74" i="51"/>
  <c r="Q74" i="51"/>
  <c r="R74" i="51"/>
  <c r="S74" i="51"/>
  <c r="T74" i="51"/>
  <c r="U74" i="51"/>
  <c r="V74" i="51"/>
  <c r="Y74" i="51"/>
  <c r="Z74" i="51"/>
  <c r="AA74" i="51"/>
  <c r="AB74" i="51"/>
  <c r="AC74" i="51"/>
  <c r="AD74" i="51"/>
  <c r="AE74" i="51"/>
  <c r="B75" i="51"/>
  <c r="C75" i="51"/>
  <c r="D75" i="51"/>
  <c r="E75" i="51"/>
  <c r="F75" i="51"/>
  <c r="G75" i="51"/>
  <c r="H75" i="51"/>
  <c r="I75" i="51"/>
  <c r="J75" i="51"/>
  <c r="K75" i="51"/>
  <c r="L75" i="51"/>
  <c r="M75" i="51"/>
  <c r="N75" i="51"/>
  <c r="O75" i="51"/>
  <c r="P75" i="51"/>
  <c r="Q75" i="51"/>
  <c r="R75" i="51"/>
  <c r="S75" i="51"/>
  <c r="T75" i="51"/>
  <c r="U75" i="51"/>
  <c r="V75" i="51"/>
  <c r="W75" i="51" s="1"/>
  <c r="X75" i="51"/>
  <c r="Y75" i="51"/>
  <c r="Z75" i="51"/>
  <c r="AA75" i="51"/>
  <c r="AB75" i="51"/>
  <c r="AC75" i="51"/>
  <c r="AD75" i="51"/>
  <c r="AE75" i="51"/>
  <c r="B76" i="51"/>
  <c r="C76" i="51"/>
  <c r="D76" i="51"/>
  <c r="E76" i="51"/>
  <c r="F76" i="51"/>
  <c r="G76" i="51"/>
  <c r="H76" i="51"/>
  <c r="I76" i="51"/>
  <c r="J76" i="51"/>
  <c r="K76" i="51"/>
  <c r="L76" i="51"/>
  <c r="M76" i="51"/>
  <c r="N76" i="51"/>
  <c r="O76" i="51"/>
  <c r="P76" i="51"/>
  <c r="Q76" i="51"/>
  <c r="R76" i="51"/>
  <c r="S76" i="51"/>
  <c r="T76" i="51"/>
  <c r="U76" i="51"/>
  <c r="V76" i="51"/>
  <c r="W76" i="51" s="1"/>
  <c r="X76" i="51"/>
  <c r="Y76" i="51"/>
  <c r="Z76" i="51"/>
  <c r="AA76" i="51"/>
  <c r="AB76" i="51"/>
  <c r="AC76" i="51"/>
  <c r="AD76" i="51"/>
  <c r="AE76" i="51"/>
  <c r="B77" i="51"/>
  <c r="C77" i="51"/>
  <c r="D77" i="51"/>
  <c r="E77" i="51"/>
  <c r="F77" i="51"/>
  <c r="G77" i="51"/>
  <c r="H77" i="51"/>
  <c r="I77" i="51"/>
  <c r="J77" i="51"/>
  <c r="K77" i="51"/>
  <c r="L77" i="51"/>
  <c r="M77" i="51"/>
  <c r="N77" i="51"/>
  <c r="O77" i="51"/>
  <c r="P77" i="51"/>
  <c r="Q77" i="51"/>
  <c r="R77" i="51"/>
  <c r="S77" i="51"/>
  <c r="T77" i="51"/>
  <c r="U77" i="51"/>
  <c r="V77" i="51"/>
  <c r="W77" i="51"/>
  <c r="X77" i="51"/>
  <c r="Y77" i="51"/>
  <c r="Z77" i="51"/>
  <c r="AA77" i="51"/>
  <c r="AB77" i="51"/>
  <c r="AC77" i="51"/>
  <c r="AD77" i="51"/>
  <c r="AE77" i="51"/>
  <c r="B78" i="51"/>
  <c r="C78" i="51"/>
  <c r="D78" i="51"/>
  <c r="E78" i="51"/>
  <c r="F78" i="51"/>
  <c r="G78" i="51"/>
  <c r="H78" i="51"/>
  <c r="I78" i="51"/>
  <c r="J78" i="51"/>
  <c r="K78" i="51"/>
  <c r="L78" i="51"/>
  <c r="M78" i="51"/>
  <c r="N78" i="51"/>
  <c r="O78" i="51"/>
  <c r="P78" i="51"/>
  <c r="Q78" i="51"/>
  <c r="R78" i="51"/>
  <c r="S78" i="51"/>
  <c r="T78" i="51"/>
  <c r="U78" i="51"/>
  <c r="V78" i="51"/>
  <c r="W78" i="51" s="1"/>
  <c r="X78" i="51"/>
  <c r="Y78" i="51"/>
  <c r="Z78" i="51"/>
  <c r="AA78" i="51"/>
  <c r="AB78" i="51"/>
  <c r="AC78" i="51"/>
  <c r="AD78" i="51"/>
  <c r="AE78" i="51"/>
  <c r="B79" i="51"/>
  <c r="C79" i="51"/>
  <c r="D79" i="51"/>
  <c r="E79" i="51"/>
  <c r="F79" i="51"/>
  <c r="G79" i="51"/>
  <c r="H79" i="51"/>
  <c r="I79" i="51"/>
  <c r="J79" i="51"/>
  <c r="K79" i="51"/>
  <c r="L79" i="51"/>
  <c r="M79" i="51"/>
  <c r="N79" i="51"/>
  <c r="O79" i="51"/>
  <c r="P79" i="51"/>
  <c r="Q79" i="51"/>
  <c r="R79" i="51"/>
  <c r="S79" i="51"/>
  <c r="T79" i="51"/>
  <c r="U79" i="51"/>
  <c r="V79" i="51"/>
  <c r="W79" i="51" s="1"/>
  <c r="X79" i="51"/>
  <c r="Y79" i="51"/>
  <c r="Z79" i="51"/>
  <c r="AA79" i="51"/>
  <c r="AB79" i="51"/>
  <c r="AC79" i="51"/>
  <c r="AD79" i="51"/>
  <c r="AE79" i="51"/>
  <c r="B80" i="51"/>
  <c r="C80" i="51"/>
  <c r="D80" i="51"/>
  <c r="E80" i="51"/>
  <c r="F80" i="51"/>
  <c r="G80" i="51"/>
  <c r="H80" i="51"/>
  <c r="I80" i="51"/>
  <c r="J80" i="51"/>
  <c r="K80" i="51"/>
  <c r="L80" i="51"/>
  <c r="M80" i="51"/>
  <c r="N80" i="51"/>
  <c r="O80" i="51"/>
  <c r="P80" i="51"/>
  <c r="Q80" i="51"/>
  <c r="R80" i="51"/>
  <c r="S80" i="51"/>
  <c r="T80" i="51"/>
  <c r="U80" i="51"/>
  <c r="V80" i="51"/>
  <c r="W80" i="51"/>
  <c r="X80" i="51"/>
  <c r="Y80" i="51"/>
  <c r="Z80" i="51"/>
  <c r="AA80" i="51"/>
  <c r="AB80" i="51"/>
  <c r="AC80" i="51"/>
  <c r="AD80" i="51"/>
  <c r="AE80" i="51"/>
  <c r="B81" i="51"/>
  <c r="C81" i="51"/>
  <c r="D81" i="51"/>
  <c r="E81" i="51"/>
  <c r="F81" i="51"/>
  <c r="G81" i="51"/>
  <c r="H81" i="51"/>
  <c r="I81" i="51"/>
  <c r="J81" i="51"/>
  <c r="K81" i="51"/>
  <c r="L81" i="51"/>
  <c r="M81" i="51"/>
  <c r="N81" i="51"/>
  <c r="O81" i="51"/>
  <c r="P81" i="51"/>
  <c r="Q81" i="51"/>
  <c r="R81" i="51"/>
  <c r="S81" i="51"/>
  <c r="T81" i="51"/>
  <c r="U81" i="51"/>
  <c r="V81" i="51"/>
  <c r="W81" i="51"/>
  <c r="X81" i="51"/>
  <c r="Y81" i="51"/>
  <c r="Z81" i="51"/>
  <c r="AA81" i="51"/>
  <c r="AB81" i="51"/>
  <c r="AC81" i="51"/>
  <c r="AD81" i="51"/>
  <c r="AE81" i="51"/>
  <c r="B82" i="51"/>
  <c r="C82" i="51"/>
  <c r="D82" i="51"/>
  <c r="E82" i="51"/>
  <c r="F82" i="51"/>
  <c r="G82" i="51"/>
  <c r="H82" i="51"/>
  <c r="I82" i="51"/>
  <c r="J82" i="51"/>
  <c r="K82" i="51"/>
  <c r="L82" i="51"/>
  <c r="M82" i="51"/>
  <c r="N82" i="51"/>
  <c r="O82" i="51"/>
  <c r="P82" i="51"/>
  <c r="Q82" i="51"/>
  <c r="R82" i="51"/>
  <c r="S82" i="51"/>
  <c r="T82" i="51"/>
  <c r="U82" i="51"/>
  <c r="V82" i="51"/>
  <c r="Y82" i="51"/>
  <c r="Z82" i="51"/>
  <c r="AA82" i="51"/>
  <c r="AB82" i="51"/>
  <c r="AC82" i="51"/>
  <c r="AD82" i="51"/>
  <c r="AE82" i="51"/>
  <c r="B83" i="51"/>
  <c r="C83" i="51"/>
  <c r="D83" i="51"/>
  <c r="E83" i="51"/>
  <c r="F83" i="51"/>
  <c r="G83" i="51"/>
  <c r="H83" i="51"/>
  <c r="I83" i="51"/>
  <c r="J83" i="51"/>
  <c r="K83" i="51"/>
  <c r="L83" i="51"/>
  <c r="M83" i="51"/>
  <c r="N83" i="51"/>
  <c r="O83" i="51"/>
  <c r="P83" i="51"/>
  <c r="Q83" i="51"/>
  <c r="R83" i="51"/>
  <c r="S83" i="51"/>
  <c r="T83" i="51"/>
  <c r="W83" i="51" s="1"/>
  <c r="U83" i="51"/>
  <c r="V83" i="51"/>
  <c r="X83" i="51"/>
  <c r="Y83" i="51"/>
  <c r="Z83" i="51"/>
  <c r="AA83" i="51"/>
  <c r="AB83" i="51"/>
  <c r="AC83" i="51"/>
  <c r="AD83" i="51"/>
  <c r="AE83" i="51"/>
  <c r="B84" i="51"/>
  <c r="C84" i="51"/>
  <c r="D84" i="51"/>
  <c r="E84" i="51"/>
  <c r="F84" i="51"/>
  <c r="G84" i="51"/>
  <c r="H84" i="51"/>
  <c r="I84" i="51"/>
  <c r="J84" i="51"/>
  <c r="K84" i="51"/>
  <c r="L84" i="51"/>
  <c r="M84" i="51"/>
  <c r="N84" i="51"/>
  <c r="O84" i="51"/>
  <c r="P84" i="51"/>
  <c r="Q84" i="51"/>
  <c r="R84" i="51"/>
  <c r="S84" i="51"/>
  <c r="T84" i="51"/>
  <c r="U84" i="51"/>
  <c r="V84" i="51"/>
  <c r="Y84" i="51"/>
  <c r="Z84" i="51"/>
  <c r="AA84" i="51"/>
  <c r="AB84" i="51"/>
  <c r="AC84" i="51"/>
  <c r="AD84" i="51"/>
  <c r="AE84" i="51"/>
  <c r="B85" i="51"/>
  <c r="C85" i="51"/>
  <c r="D85" i="51"/>
  <c r="E85" i="51"/>
  <c r="F85" i="51"/>
  <c r="G85" i="51"/>
  <c r="H85" i="51"/>
  <c r="I85" i="51"/>
  <c r="J85" i="51"/>
  <c r="K85" i="51"/>
  <c r="L85" i="51"/>
  <c r="M85" i="51"/>
  <c r="N85" i="51"/>
  <c r="O85" i="51"/>
  <c r="P85" i="51"/>
  <c r="Q85" i="51"/>
  <c r="R85" i="51"/>
  <c r="S85" i="51"/>
  <c r="T85" i="51"/>
  <c r="W85" i="51" s="1"/>
  <c r="U85" i="51"/>
  <c r="V85" i="51"/>
  <c r="X85" i="51"/>
  <c r="Y85" i="51"/>
  <c r="Z85" i="51"/>
  <c r="AA85" i="51"/>
  <c r="AB85" i="51"/>
  <c r="AC85" i="51"/>
  <c r="AD85" i="51"/>
  <c r="AE85" i="51"/>
  <c r="A1" i="50"/>
  <c r="P2" i="50"/>
  <c r="J3" i="50"/>
  <c r="J4" i="50"/>
  <c r="M4" i="50"/>
  <c r="AI4" i="50"/>
  <c r="J5" i="50"/>
  <c r="J6" i="50"/>
  <c r="B10" i="50"/>
  <c r="C10" i="50" s="1"/>
  <c r="D10" i="50"/>
  <c r="E10" i="50"/>
  <c r="F10" i="50"/>
  <c r="G10" i="50"/>
  <c r="H10" i="50"/>
  <c r="I10" i="50"/>
  <c r="J10" i="50"/>
  <c r="B11" i="50"/>
  <c r="F11" i="50"/>
  <c r="G11" i="50"/>
  <c r="H11" i="50"/>
  <c r="I11" i="50"/>
  <c r="J11" i="50"/>
  <c r="P11" i="50"/>
  <c r="Q11" i="50"/>
  <c r="R11" i="50"/>
  <c r="S11" i="50"/>
  <c r="T11" i="50"/>
  <c r="U11" i="50"/>
  <c r="V11" i="50"/>
  <c r="B12" i="50"/>
  <c r="C12" i="50"/>
  <c r="D12" i="50"/>
  <c r="E12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R12" i="50"/>
  <c r="S12" i="50"/>
  <c r="T12" i="50"/>
  <c r="U12" i="50"/>
  <c r="V12" i="50"/>
  <c r="W12" i="50"/>
  <c r="X12" i="50"/>
  <c r="Y12" i="50"/>
  <c r="Z12" i="50"/>
  <c r="AA12" i="50"/>
  <c r="AB12" i="50"/>
  <c r="AC12" i="50"/>
  <c r="AD12" i="50"/>
  <c r="AE12" i="50"/>
  <c r="B13" i="50"/>
  <c r="C13" i="50"/>
  <c r="D13" i="50"/>
  <c r="E13" i="50"/>
  <c r="F13" i="50"/>
  <c r="G13" i="50"/>
  <c r="H13" i="50"/>
  <c r="I13" i="50"/>
  <c r="J13" i="50"/>
  <c r="K13" i="50"/>
  <c r="L13" i="50"/>
  <c r="M13" i="50"/>
  <c r="N13" i="50"/>
  <c r="O13" i="50"/>
  <c r="P13" i="50"/>
  <c r="Q13" i="50"/>
  <c r="R13" i="50"/>
  <c r="S13" i="50"/>
  <c r="T13" i="50"/>
  <c r="U13" i="50"/>
  <c r="V13" i="50"/>
  <c r="W13" i="50" s="1"/>
  <c r="X13" i="50"/>
  <c r="Y13" i="50"/>
  <c r="Z13" i="50"/>
  <c r="AA13" i="50"/>
  <c r="AB13" i="50"/>
  <c r="AC13" i="50"/>
  <c r="AD13" i="50"/>
  <c r="AE13" i="50"/>
  <c r="B14" i="50"/>
  <c r="F14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 s="1"/>
  <c r="X14" i="50"/>
  <c r="Y14" i="50"/>
  <c r="Z14" i="50"/>
  <c r="AA14" i="50"/>
  <c r="AB14" i="50"/>
  <c r="AC14" i="50"/>
  <c r="AD14" i="50"/>
  <c r="AE14" i="50"/>
  <c r="B15" i="50"/>
  <c r="C15" i="50"/>
  <c r="D15" i="50"/>
  <c r="E15" i="50"/>
  <c r="F15" i="50"/>
  <c r="G15" i="50"/>
  <c r="H15" i="50"/>
  <c r="I15" i="50"/>
  <c r="J15" i="50"/>
  <c r="K15" i="50"/>
  <c r="L15" i="50"/>
  <c r="M15" i="50"/>
  <c r="N15" i="50"/>
  <c r="O15" i="50"/>
  <c r="P15" i="50"/>
  <c r="Q15" i="50"/>
  <c r="R15" i="50"/>
  <c r="S15" i="50"/>
  <c r="T15" i="50"/>
  <c r="U15" i="50"/>
  <c r="Y15" i="50" s="1"/>
  <c r="V15" i="50"/>
  <c r="Z15" i="50"/>
  <c r="AA15" i="50"/>
  <c r="AB15" i="50"/>
  <c r="AC15" i="50"/>
  <c r="AD15" i="50"/>
  <c r="AE15" i="50"/>
  <c r="B16" i="50"/>
  <c r="C16" i="50"/>
  <c r="D16" i="50"/>
  <c r="E16" i="50"/>
  <c r="F16" i="50"/>
  <c r="G16" i="50"/>
  <c r="H16" i="50"/>
  <c r="I16" i="50"/>
  <c r="J16" i="50"/>
  <c r="K16" i="50"/>
  <c r="L16" i="50"/>
  <c r="M16" i="50"/>
  <c r="N16" i="50"/>
  <c r="O16" i="50"/>
  <c r="P16" i="50"/>
  <c r="Q16" i="50"/>
  <c r="R16" i="50"/>
  <c r="S16" i="50"/>
  <c r="T16" i="50"/>
  <c r="U16" i="50"/>
  <c r="V16" i="50"/>
  <c r="W16" i="50"/>
  <c r="X16" i="50"/>
  <c r="Y16" i="50"/>
  <c r="Z16" i="50"/>
  <c r="AA16" i="50"/>
  <c r="AB16" i="50"/>
  <c r="AC16" i="50"/>
  <c r="AD16" i="50"/>
  <c r="AE16" i="50"/>
  <c r="B17" i="50"/>
  <c r="C17" i="50"/>
  <c r="D17" i="50"/>
  <c r="E17" i="50"/>
  <c r="F17" i="50"/>
  <c r="G17" i="50"/>
  <c r="H17" i="50"/>
  <c r="I17" i="50"/>
  <c r="J17" i="50"/>
  <c r="K17" i="50"/>
  <c r="L17" i="50"/>
  <c r="M17" i="50"/>
  <c r="N17" i="50"/>
  <c r="O17" i="50"/>
  <c r="P17" i="50"/>
  <c r="Q17" i="50"/>
  <c r="R17" i="50"/>
  <c r="S17" i="50"/>
  <c r="T17" i="50"/>
  <c r="U17" i="50"/>
  <c r="V17" i="50"/>
  <c r="W17" i="50"/>
  <c r="X17" i="50"/>
  <c r="Y17" i="50"/>
  <c r="Z17" i="50"/>
  <c r="AA17" i="50"/>
  <c r="AB17" i="50"/>
  <c r="AC17" i="50"/>
  <c r="AD17" i="50"/>
  <c r="AE17" i="50"/>
  <c r="B18" i="50"/>
  <c r="C18" i="50"/>
  <c r="D18" i="50"/>
  <c r="E18" i="50"/>
  <c r="F18" i="50"/>
  <c r="G18" i="50"/>
  <c r="H18" i="50"/>
  <c r="I18" i="50"/>
  <c r="J18" i="50"/>
  <c r="K18" i="50"/>
  <c r="L18" i="50"/>
  <c r="M18" i="50"/>
  <c r="N18" i="50"/>
  <c r="O18" i="50"/>
  <c r="P18" i="50"/>
  <c r="Q18" i="50"/>
  <c r="R18" i="50"/>
  <c r="S18" i="50"/>
  <c r="T18" i="50"/>
  <c r="U18" i="50"/>
  <c r="V18" i="50"/>
  <c r="X18" i="50"/>
  <c r="Y18" i="50"/>
  <c r="Z18" i="50"/>
  <c r="AA18" i="50"/>
  <c r="AB18" i="50"/>
  <c r="AC18" i="50"/>
  <c r="AD18" i="50"/>
  <c r="AE18" i="50"/>
  <c r="B19" i="50"/>
  <c r="C19" i="50"/>
  <c r="D19" i="50"/>
  <c r="E19" i="50"/>
  <c r="F19" i="50"/>
  <c r="G19" i="50"/>
  <c r="H19" i="50"/>
  <c r="I19" i="50"/>
  <c r="J19" i="50"/>
  <c r="K19" i="50"/>
  <c r="L19" i="50"/>
  <c r="M19" i="50"/>
  <c r="N19" i="50"/>
  <c r="O19" i="50"/>
  <c r="P19" i="50"/>
  <c r="Q19" i="50"/>
  <c r="R19" i="50"/>
  <c r="S19" i="50"/>
  <c r="T19" i="50"/>
  <c r="U19" i="50"/>
  <c r="V19" i="50"/>
  <c r="W19" i="50" s="1"/>
  <c r="X19" i="50"/>
  <c r="Y19" i="50"/>
  <c r="Z19" i="50"/>
  <c r="AA19" i="50"/>
  <c r="AB19" i="50"/>
  <c r="AC19" i="50"/>
  <c r="AD19" i="50"/>
  <c r="AE19" i="50"/>
  <c r="B20" i="50"/>
  <c r="E20" i="50"/>
  <c r="F20" i="50"/>
  <c r="G20" i="50"/>
  <c r="H20" i="50"/>
  <c r="I20" i="50"/>
  <c r="J20" i="50"/>
  <c r="K20" i="50"/>
  <c r="L20" i="50"/>
  <c r="M20" i="50"/>
  <c r="N20" i="50"/>
  <c r="O20" i="50"/>
  <c r="P20" i="50"/>
  <c r="Q20" i="50"/>
  <c r="R20" i="50"/>
  <c r="S20" i="50"/>
  <c r="T20" i="50"/>
  <c r="U20" i="50"/>
  <c r="V20" i="50"/>
  <c r="W20" i="50" s="1"/>
  <c r="X20" i="50"/>
  <c r="Y20" i="50"/>
  <c r="Z20" i="50"/>
  <c r="AA20" i="50"/>
  <c r="AB20" i="50"/>
  <c r="AC20" i="50"/>
  <c r="AD20" i="50"/>
  <c r="AE20" i="50"/>
  <c r="B21" i="50"/>
  <c r="C21" i="50"/>
  <c r="D21" i="50"/>
  <c r="E21" i="50"/>
  <c r="F21" i="50"/>
  <c r="G21" i="50"/>
  <c r="H21" i="50"/>
  <c r="I21" i="50"/>
  <c r="J21" i="50"/>
  <c r="K21" i="50"/>
  <c r="L21" i="50"/>
  <c r="M21" i="50"/>
  <c r="N21" i="50"/>
  <c r="O21" i="50"/>
  <c r="P21" i="50"/>
  <c r="Q21" i="50"/>
  <c r="R21" i="50"/>
  <c r="S21" i="50"/>
  <c r="T21" i="50"/>
  <c r="U21" i="50"/>
  <c r="V21" i="50"/>
  <c r="W21" i="50"/>
  <c r="X21" i="50"/>
  <c r="Y21" i="50"/>
  <c r="Z21" i="50"/>
  <c r="AA21" i="50"/>
  <c r="AB21" i="50"/>
  <c r="AC21" i="50"/>
  <c r="AD21" i="50"/>
  <c r="AE21" i="50"/>
  <c r="B22" i="50"/>
  <c r="C22" i="50"/>
  <c r="D22" i="50"/>
  <c r="E22" i="50"/>
  <c r="F22" i="50"/>
  <c r="G22" i="50"/>
  <c r="H22" i="50"/>
  <c r="I22" i="50"/>
  <c r="J22" i="50"/>
  <c r="K22" i="50"/>
  <c r="L22" i="50"/>
  <c r="M22" i="50"/>
  <c r="N22" i="50"/>
  <c r="O22" i="50"/>
  <c r="P22" i="50"/>
  <c r="Q22" i="50"/>
  <c r="R22" i="50"/>
  <c r="S22" i="50"/>
  <c r="T22" i="50"/>
  <c r="U22" i="50"/>
  <c r="V22" i="50"/>
  <c r="Y22" i="50"/>
  <c r="Z22" i="50"/>
  <c r="AA22" i="50"/>
  <c r="AB22" i="50"/>
  <c r="AC22" i="50"/>
  <c r="AD22" i="50"/>
  <c r="AE22" i="50"/>
  <c r="B23" i="50"/>
  <c r="C23" i="50"/>
  <c r="D23" i="50"/>
  <c r="E23" i="50"/>
  <c r="F23" i="50"/>
  <c r="G23" i="50"/>
  <c r="H23" i="50"/>
  <c r="I23" i="50"/>
  <c r="J23" i="50"/>
  <c r="K23" i="50"/>
  <c r="L23" i="50"/>
  <c r="M23" i="50"/>
  <c r="N23" i="50"/>
  <c r="O23" i="50"/>
  <c r="P23" i="50"/>
  <c r="Q23" i="50"/>
  <c r="R23" i="50"/>
  <c r="S23" i="50"/>
  <c r="T23" i="50"/>
  <c r="U23" i="50"/>
  <c r="V23" i="50"/>
  <c r="X23" i="50"/>
  <c r="Y23" i="50"/>
  <c r="Z23" i="50"/>
  <c r="AA23" i="50"/>
  <c r="AB23" i="50"/>
  <c r="AC23" i="50"/>
  <c r="AD23" i="50"/>
  <c r="AE23" i="50"/>
  <c r="B24" i="50"/>
  <c r="C24" i="50"/>
  <c r="D24" i="50"/>
  <c r="E24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S24" i="50"/>
  <c r="T24" i="50"/>
  <c r="U24" i="50"/>
  <c r="V24" i="50"/>
  <c r="Z24" i="50"/>
  <c r="AA24" i="50"/>
  <c r="AB24" i="50"/>
  <c r="AC24" i="50"/>
  <c r="AD24" i="50"/>
  <c r="AE24" i="50"/>
  <c r="B25" i="50"/>
  <c r="C25" i="50"/>
  <c r="D25" i="50"/>
  <c r="E25" i="50"/>
  <c r="F25" i="50"/>
  <c r="G25" i="50"/>
  <c r="H25" i="50"/>
  <c r="I25" i="50"/>
  <c r="J25" i="50"/>
  <c r="K25" i="50"/>
  <c r="L25" i="50"/>
  <c r="M25" i="50"/>
  <c r="N25" i="50"/>
  <c r="O25" i="50"/>
  <c r="P25" i="50"/>
  <c r="Q25" i="50"/>
  <c r="R25" i="50"/>
  <c r="S25" i="50"/>
  <c r="T25" i="50"/>
  <c r="U25" i="50"/>
  <c r="X25" i="50" s="1"/>
  <c r="V25" i="50"/>
  <c r="Y25" i="50" s="1"/>
  <c r="Z25" i="50"/>
  <c r="AA25" i="50"/>
  <c r="AB25" i="50"/>
  <c r="AC25" i="50"/>
  <c r="AD25" i="50"/>
  <c r="AE25" i="50"/>
  <c r="B26" i="50"/>
  <c r="C26" i="50" s="1"/>
  <c r="D26" i="50"/>
  <c r="E26" i="50"/>
  <c r="F26" i="50"/>
  <c r="G26" i="50"/>
  <c r="H26" i="50"/>
  <c r="I26" i="50"/>
  <c r="J26" i="50"/>
  <c r="K26" i="50"/>
  <c r="L26" i="50"/>
  <c r="M26" i="50"/>
  <c r="N26" i="50"/>
  <c r="O26" i="50"/>
  <c r="P26" i="50"/>
  <c r="Q26" i="50"/>
  <c r="R26" i="50"/>
  <c r="S26" i="50"/>
  <c r="T26" i="50"/>
  <c r="U26" i="50"/>
  <c r="V26" i="50"/>
  <c r="W26" i="50" s="1"/>
  <c r="X26" i="50"/>
  <c r="Y26" i="50"/>
  <c r="Z26" i="50"/>
  <c r="AA26" i="50"/>
  <c r="AB26" i="50"/>
  <c r="AC26" i="50"/>
  <c r="AD26" i="50"/>
  <c r="AE26" i="50"/>
  <c r="B27" i="50"/>
  <c r="C27" i="50"/>
  <c r="D27" i="50"/>
  <c r="E27" i="50"/>
  <c r="F27" i="50"/>
  <c r="G27" i="50"/>
  <c r="H27" i="50"/>
  <c r="I27" i="50"/>
  <c r="J27" i="50"/>
  <c r="K27" i="50"/>
  <c r="L27" i="50"/>
  <c r="M27" i="50"/>
  <c r="N27" i="50"/>
  <c r="O27" i="50"/>
  <c r="P27" i="50"/>
  <c r="Q27" i="50"/>
  <c r="R27" i="50"/>
  <c r="S27" i="50"/>
  <c r="T27" i="50"/>
  <c r="U27" i="50"/>
  <c r="V27" i="50"/>
  <c r="X27" i="50"/>
  <c r="Y27" i="50"/>
  <c r="Z27" i="50"/>
  <c r="AA27" i="50"/>
  <c r="AB27" i="50"/>
  <c r="AC27" i="50"/>
  <c r="AD27" i="50"/>
  <c r="AE2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R28" i="50"/>
  <c r="S28" i="50"/>
  <c r="T28" i="50"/>
  <c r="U28" i="50"/>
  <c r="V28" i="50"/>
  <c r="W28" i="50"/>
  <c r="X28" i="50"/>
  <c r="Y28" i="50"/>
  <c r="Z28" i="50"/>
  <c r="AA28" i="50"/>
  <c r="AB28" i="50"/>
  <c r="AC28" i="50"/>
  <c r="AD28" i="50"/>
  <c r="AE28" i="50"/>
  <c r="B29" i="50"/>
  <c r="C29" i="50"/>
  <c r="D29" i="50"/>
  <c r="E29" i="50"/>
  <c r="F29" i="50"/>
  <c r="G29" i="50"/>
  <c r="H29" i="50"/>
  <c r="I29" i="50"/>
  <c r="J29" i="50"/>
  <c r="K29" i="50"/>
  <c r="L29" i="50"/>
  <c r="M29" i="50"/>
  <c r="N29" i="50"/>
  <c r="O29" i="50"/>
  <c r="P29" i="50"/>
  <c r="Q29" i="50"/>
  <c r="R29" i="50"/>
  <c r="S29" i="50"/>
  <c r="T29" i="50"/>
  <c r="U29" i="50"/>
  <c r="X29" i="50" s="1"/>
  <c r="V29" i="50"/>
  <c r="Z29" i="50"/>
  <c r="AA29" i="50"/>
  <c r="AB29" i="50"/>
  <c r="AC29" i="50"/>
  <c r="AD29" i="50"/>
  <c r="AE29" i="50"/>
  <c r="B30" i="50"/>
  <c r="C30" i="50"/>
  <c r="D30" i="50"/>
  <c r="E30" i="50"/>
  <c r="F30" i="50"/>
  <c r="G30" i="50"/>
  <c r="H30" i="50"/>
  <c r="I30" i="50"/>
  <c r="J30" i="50"/>
  <c r="K30" i="50"/>
  <c r="L30" i="50"/>
  <c r="M30" i="50"/>
  <c r="N30" i="50"/>
  <c r="O30" i="50"/>
  <c r="P30" i="50"/>
  <c r="Q30" i="50"/>
  <c r="R30" i="50"/>
  <c r="S30" i="50"/>
  <c r="T30" i="50"/>
  <c r="U30" i="50"/>
  <c r="V30" i="50"/>
  <c r="W30" i="50" s="1"/>
  <c r="X30" i="50"/>
  <c r="Y30" i="50"/>
  <c r="Z30" i="50"/>
  <c r="AA30" i="50"/>
  <c r="AB30" i="50"/>
  <c r="AC30" i="50"/>
  <c r="AD30" i="50"/>
  <c r="AE30" i="50"/>
  <c r="B31" i="50"/>
  <c r="C31" i="50"/>
  <c r="D31" i="50"/>
  <c r="E31" i="50"/>
  <c r="F31" i="50"/>
  <c r="G31" i="50"/>
  <c r="H31" i="50"/>
  <c r="I31" i="50"/>
  <c r="J31" i="50"/>
  <c r="K31" i="50"/>
  <c r="L31" i="50"/>
  <c r="M31" i="50"/>
  <c r="N31" i="50"/>
  <c r="O31" i="50"/>
  <c r="P31" i="50"/>
  <c r="Q31" i="50"/>
  <c r="R31" i="50"/>
  <c r="S31" i="50"/>
  <c r="T31" i="50"/>
  <c r="U31" i="50"/>
  <c r="V31" i="50"/>
  <c r="W31" i="50"/>
  <c r="X31" i="50"/>
  <c r="Y31" i="50"/>
  <c r="Z31" i="50"/>
  <c r="AA31" i="50"/>
  <c r="AB31" i="50"/>
  <c r="AC31" i="50"/>
  <c r="AD31" i="50"/>
  <c r="AE31" i="50"/>
  <c r="B32" i="50"/>
  <c r="C32" i="50"/>
  <c r="D32" i="50"/>
  <c r="E32" i="50"/>
  <c r="F32" i="50"/>
  <c r="G32" i="50"/>
  <c r="H32" i="50"/>
  <c r="I32" i="50"/>
  <c r="J32" i="50"/>
  <c r="K32" i="50"/>
  <c r="L32" i="50"/>
  <c r="M32" i="50"/>
  <c r="N32" i="50"/>
  <c r="O32" i="50"/>
  <c r="P32" i="50"/>
  <c r="Q32" i="50"/>
  <c r="R32" i="50"/>
  <c r="S32" i="50"/>
  <c r="T32" i="50"/>
  <c r="U32" i="50"/>
  <c r="V32" i="50"/>
  <c r="W32" i="50"/>
  <c r="X32" i="50"/>
  <c r="Y32" i="50"/>
  <c r="Z32" i="50"/>
  <c r="AA32" i="50"/>
  <c r="AB32" i="50"/>
  <c r="AC32" i="50"/>
  <c r="AD32" i="50"/>
  <c r="AE32" i="50"/>
  <c r="B33" i="50"/>
  <c r="C33" i="50"/>
  <c r="D33" i="50"/>
  <c r="E33" i="50"/>
  <c r="F33" i="50"/>
  <c r="G33" i="50"/>
  <c r="H33" i="50"/>
  <c r="I33" i="50"/>
  <c r="J33" i="50"/>
  <c r="K33" i="50"/>
  <c r="L33" i="50"/>
  <c r="M33" i="50"/>
  <c r="N33" i="50"/>
  <c r="O33" i="50"/>
  <c r="P33" i="50"/>
  <c r="Q33" i="50"/>
  <c r="R33" i="50"/>
  <c r="S33" i="50"/>
  <c r="T33" i="50"/>
  <c r="U33" i="50"/>
  <c r="V33" i="50"/>
  <c r="Y33" i="50"/>
  <c r="Z33" i="50"/>
  <c r="AA33" i="50"/>
  <c r="AB33" i="50"/>
  <c r="AC33" i="50"/>
  <c r="AD33" i="50"/>
  <c r="AE33" i="50"/>
  <c r="B34" i="50"/>
  <c r="C34" i="50"/>
  <c r="D34" i="50"/>
  <c r="E34" i="50"/>
  <c r="F34" i="50"/>
  <c r="G34" i="50"/>
  <c r="H34" i="50"/>
  <c r="I34" i="50"/>
  <c r="J34" i="50"/>
  <c r="K34" i="50"/>
  <c r="L34" i="50"/>
  <c r="M34" i="50"/>
  <c r="N34" i="50"/>
  <c r="O34" i="50"/>
  <c r="P34" i="50"/>
  <c r="Q34" i="50"/>
  <c r="R34" i="50"/>
  <c r="S34" i="50"/>
  <c r="T34" i="50"/>
  <c r="U34" i="50"/>
  <c r="V34" i="50"/>
  <c r="W34" i="50" s="1"/>
  <c r="X34" i="50"/>
  <c r="Y34" i="50"/>
  <c r="Z34" i="50"/>
  <c r="AA34" i="50"/>
  <c r="AB34" i="50"/>
  <c r="AC34" i="50"/>
  <c r="AD34" i="50"/>
  <c r="AE34" i="50"/>
  <c r="B35" i="50"/>
  <c r="C35" i="50"/>
  <c r="D35" i="50"/>
  <c r="E35" i="50"/>
  <c r="F35" i="50"/>
  <c r="G35" i="50"/>
  <c r="H35" i="50"/>
  <c r="I35" i="50"/>
  <c r="J35" i="50"/>
  <c r="K35" i="50"/>
  <c r="L35" i="50"/>
  <c r="M35" i="50"/>
  <c r="N35" i="50"/>
  <c r="O35" i="50"/>
  <c r="P35" i="50"/>
  <c r="Q35" i="50"/>
  <c r="R35" i="50"/>
  <c r="S35" i="50"/>
  <c r="T35" i="50"/>
  <c r="U35" i="50"/>
  <c r="Y35" i="50" s="1"/>
  <c r="V35" i="50"/>
  <c r="Z35" i="50"/>
  <c r="AA35" i="50"/>
  <c r="AB35" i="50"/>
  <c r="AC35" i="50"/>
  <c r="AD35" i="50"/>
  <c r="AE35" i="50"/>
  <c r="B36" i="50"/>
  <c r="C36" i="50"/>
  <c r="D36" i="50"/>
  <c r="E36" i="50"/>
  <c r="F36" i="50"/>
  <c r="G36" i="50"/>
  <c r="H36" i="50"/>
  <c r="I36" i="50"/>
  <c r="J36" i="50"/>
  <c r="K36" i="50"/>
  <c r="L36" i="50"/>
  <c r="M36" i="50"/>
  <c r="N36" i="50"/>
  <c r="O36" i="50"/>
  <c r="P36" i="50"/>
  <c r="Q36" i="50"/>
  <c r="R36" i="50"/>
  <c r="S36" i="50"/>
  <c r="T36" i="50"/>
  <c r="U36" i="50"/>
  <c r="V36" i="50"/>
  <c r="Z36" i="50"/>
  <c r="AA36" i="50"/>
  <c r="AB36" i="50"/>
  <c r="AC36" i="50"/>
  <c r="AD36" i="50"/>
  <c r="AE36" i="50"/>
  <c r="B37" i="50"/>
  <c r="C37" i="50" s="1"/>
  <c r="D37" i="50"/>
  <c r="E37" i="50"/>
  <c r="F37" i="50"/>
  <c r="G37" i="50"/>
  <c r="H37" i="50"/>
  <c r="I37" i="50"/>
  <c r="J37" i="50"/>
  <c r="K37" i="50"/>
  <c r="L37" i="50"/>
  <c r="M37" i="50"/>
  <c r="N37" i="50"/>
  <c r="O37" i="50"/>
  <c r="P37" i="50"/>
  <c r="Q37" i="50"/>
  <c r="R37" i="50"/>
  <c r="S37" i="50"/>
  <c r="T37" i="50"/>
  <c r="U37" i="50"/>
  <c r="V37" i="50"/>
  <c r="W37" i="50" s="1"/>
  <c r="X37" i="50"/>
  <c r="Y37" i="50"/>
  <c r="Z37" i="50"/>
  <c r="AA37" i="50"/>
  <c r="AB37" i="50"/>
  <c r="AC37" i="50"/>
  <c r="AD37" i="50"/>
  <c r="AE37" i="50"/>
  <c r="B38" i="50"/>
  <c r="C38" i="50"/>
  <c r="D38" i="50"/>
  <c r="E38" i="50"/>
  <c r="F38" i="50"/>
  <c r="G38" i="50"/>
  <c r="H38" i="50"/>
  <c r="I38" i="50"/>
  <c r="J38" i="50"/>
  <c r="K38" i="50"/>
  <c r="L38" i="50"/>
  <c r="M38" i="50"/>
  <c r="N38" i="50"/>
  <c r="O38" i="50"/>
  <c r="P38" i="50"/>
  <c r="Q38" i="50"/>
  <c r="R38" i="50"/>
  <c r="S38" i="50"/>
  <c r="T38" i="50"/>
  <c r="U38" i="50"/>
  <c r="V38" i="50"/>
  <c r="W38" i="50"/>
  <c r="X38" i="50"/>
  <c r="Y38" i="50"/>
  <c r="Z38" i="50"/>
  <c r="AA38" i="50"/>
  <c r="AB38" i="50"/>
  <c r="AC38" i="50"/>
  <c r="AD38" i="50"/>
  <c r="AE38" i="50"/>
  <c r="B39" i="50"/>
  <c r="C39" i="50"/>
  <c r="D39" i="50"/>
  <c r="E39" i="50"/>
  <c r="F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U39" i="50"/>
  <c r="V39" i="50"/>
  <c r="Y39" i="50"/>
  <c r="Z39" i="50"/>
  <c r="AA39" i="50"/>
  <c r="AB39" i="50"/>
  <c r="AC39" i="50"/>
  <c r="AD39" i="50"/>
  <c r="AE39" i="50"/>
  <c r="B40" i="50"/>
  <c r="C40" i="50"/>
  <c r="D40" i="50"/>
  <c r="E40" i="50"/>
  <c r="F40" i="50"/>
  <c r="G40" i="50"/>
  <c r="H40" i="50"/>
  <c r="I40" i="50"/>
  <c r="J40" i="50"/>
  <c r="K40" i="50"/>
  <c r="L40" i="50"/>
  <c r="M40" i="50"/>
  <c r="N40" i="50"/>
  <c r="O40" i="50"/>
  <c r="P40" i="50"/>
  <c r="Q40" i="50"/>
  <c r="R40" i="50"/>
  <c r="S40" i="50"/>
  <c r="T40" i="50"/>
  <c r="U40" i="50"/>
  <c r="V40" i="50"/>
  <c r="Y40" i="50"/>
  <c r="Z40" i="50"/>
  <c r="AA40" i="50"/>
  <c r="AB40" i="50"/>
  <c r="AC40" i="50"/>
  <c r="AD40" i="50"/>
  <c r="AE40" i="50"/>
  <c r="B41" i="50"/>
  <c r="C41" i="50"/>
  <c r="D41" i="50"/>
  <c r="E41" i="50"/>
  <c r="F41" i="50"/>
  <c r="G41" i="50"/>
  <c r="H41" i="50"/>
  <c r="I41" i="50"/>
  <c r="J41" i="50"/>
  <c r="K41" i="50"/>
  <c r="L41" i="50"/>
  <c r="M41" i="50"/>
  <c r="N41" i="50"/>
  <c r="O41" i="50"/>
  <c r="P41" i="50"/>
  <c r="Q41" i="50"/>
  <c r="R41" i="50"/>
  <c r="S41" i="50"/>
  <c r="T41" i="50"/>
  <c r="U41" i="50"/>
  <c r="V41" i="50"/>
  <c r="B42" i="50"/>
  <c r="C42" i="50"/>
  <c r="D42" i="50"/>
  <c r="E42" i="50"/>
  <c r="F42" i="50"/>
  <c r="G42" i="50"/>
  <c r="H42" i="50"/>
  <c r="I42" i="50"/>
  <c r="J42" i="50"/>
  <c r="K42" i="50"/>
  <c r="L42" i="50"/>
  <c r="M42" i="50"/>
  <c r="N42" i="50"/>
  <c r="O42" i="50"/>
  <c r="P42" i="50"/>
  <c r="Q42" i="50"/>
  <c r="R42" i="50"/>
  <c r="S42" i="50"/>
  <c r="T42" i="50"/>
  <c r="U42" i="50"/>
  <c r="V42" i="50"/>
  <c r="W42" i="50"/>
  <c r="X42" i="50"/>
  <c r="Y42" i="50"/>
  <c r="Z42" i="50"/>
  <c r="AA42" i="50"/>
  <c r="AB42" i="50"/>
  <c r="AC42" i="50"/>
  <c r="AD42" i="50"/>
  <c r="AE42" i="50"/>
  <c r="B43" i="50"/>
  <c r="C43" i="50"/>
  <c r="D43" i="50"/>
  <c r="E43" i="50"/>
  <c r="F43" i="50"/>
  <c r="G43" i="50"/>
  <c r="H43" i="50"/>
  <c r="I43" i="50"/>
  <c r="J43" i="50"/>
  <c r="K43" i="50"/>
  <c r="L43" i="50"/>
  <c r="M43" i="50"/>
  <c r="N43" i="50"/>
  <c r="O43" i="50"/>
  <c r="P43" i="50"/>
  <c r="Q43" i="50"/>
  <c r="R43" i="50"/>
  <c r="S43" i="50"/>
  <c r="T43" i="50"/>
  <c r="U43" i="50"/>
  <c r="V43" i="50"/>
  <c r="AB43" i="50"/>
  <c r="AC43" i="50"/>
  <c r="AD43" i="50"/>
  <c r="AE43" i="50"/>
  <c r="B44" i="50"/>
  <c r="C44" i="50" s="1"/>
  <c r="D44" i="50"/>
  <c r="E44" i="50"/>
  <c r="F44" i="50"/>
  <c r="G44" i="50"/>
  <c r="H44" i="50"/>
  <c r="I44" i="50"/>
  <c r="J44" i="50"/>
  <c r="K44" i="50"/>
  <c r="L44" i="50"/>
  <c r="M44" i="50"/>
  <c r="N44" i="50"/>
  <c r="O44" i="50"/>
  <c r="P44" i="50"/>
  <c r="Q44" i="50"/>
  <c r="R44" i="50"/>
  <c r="S44" i="50"/>
  <c r="T44" i="50"/>
  <c r="U44" i="50"/>
  <c r="V44" i="50"/>
  <c r="X44" i="50"/>
  <c r="Y44" i="50"/>
  <c r="Z44" i="50"/>
  <c r="AA44" i="50"/>
  <c r="AB44" i="50"/>
  <c r="AC44" i="50"/>
  <c r="AD44" i="50"/>
  <c r="AE44" i="50"/>
  <c r="B45" i="50"/>
  <c r="C45" i="50"/>
  <c r="D45" i="50"/>
  <c r="E45" i="50"/>
  <c r="F45" i="50"/>
  <c r="G45" i="50"/>
  <c r="H45" i="50"/>
  <c r="I45" i="50"/>
  <c r="J45" i="50"/>
  <c r="K45" i="50"/>
  <c r="L45" i="50"/>
  <c r="M45" i="50"/>
  <c r="N45" i="50"/>
  <c r="O45" i="50"/>
  <c r="P45" i="50"/>
  <c r="Q45" i="50"/>
  <c r="R45" i="50"/>
  <c r="S45" i="50"/>
  <c r="T45" i="50"/>
  <c r="U45" i="50"/>
  <c r="W45" i="50" s="1"/>
  <c r="V45" i="50"/>
  <c r="X45" i="50"/>
  <c r="Y45" i="50"/>
  <c r="Z45" i="50"/>
  <c r="AA45" i="50"/>
  <c r="AB45" i="50"/>
  <c r="AC45" i="50"/>
  <c r="AD45" i="50"/>
  <c r="AE45" i="50"/>
  <c r="B46" i="50"/>
  <c r="C46" i="50" s="1"/>
  <c r="D46" i="50"/>
  <c r="E46" i="50"/>
  <c r="F46" i="50"/>
  <c r="G46" i="50"/>
  <c r="H46" i="50"/>
  <c r="I46" i="50"/>
  <c r="J46" i="50"/>
  <c r="K46" i="50"/>
  <c r="L46" i="50"/>
  <c r="M46" i="50"/>
  <c r="N46" i="50"/>
  <c r="O46" i="50"/>
  <c r="P46" i="50"/>
  <c r="Q46" i="50"/>
  <c r="R46" i="50"/>
  <c r="S46" i="50"/>
  <c r="T46" i="50"/>
  <c r="U46" i="50"/>
  <c r="V46" i="50"/>
  <c r="W46" i="50" s="1"/>
  <c r="X46" i="50"/>
  <c r="Y46" i="50"/>
  <c r="Z46" i="50"/>
  <c r="AA46" i="50"/>
  <c r="AB46" i="50"/>
  <c r="AC46" i="50"/>
  <c r="AD46" i="50"/>
  <c r="AE46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R47" i="50"/>
  <c r="S47" i="50"/>
  <c r="T47" i="50"/>
  <c r="U47" i="50"/>
  <c r="V47" i="50"/>
  <c r="X47" i="50"/>
  <c r="Y47" i="50"/>
  <c r="Z47" i="50"/>
  <c r="AA47" i="50"/>
  <c r="AB47" i="50"/>
  <c r="AC47" i="50"/>
  <c r="AD47" i="50"/>
  <c r="AE47" i="50"/>
  <c r="B48" i="50"/>
  <c r="C48" i="50"/>
  <c r="D48" i="50"/>
  <c r="E48" i="50"/>
  <c r="F48" i="50"/>
  <c r="G48" i="50"/>
  <c r="H48" i="50"/>
  <c r="I48" i="50"/>
  <c r="J48" i="50"/>
  <c r="K48" i="50"/>
  <c r="L48" i="50"/>
  <c r="M48" i="50"/>
  <c r="N48" i="50"/>
  <c r="O48" i="50"/>
  <c r="P48" i="50"/>
  <c r="Q48" i="50"/>
  <c r="R48" i="50"/>
  <c r="S48" i="50"/>
  <c r="T48" i="50"/>
  <c r="U48" i="50"/>
  <c r="V48" i="50"/>
  <c r="W48" i="50"/>
  <c r="X48" i="50"/>
  <c r="Y48" i="50"/>
  <c r="Z48" i="50"/>
  <c r="AA48" i="50"/>
  <c r="AB48" i="50"/>
  <c r="AC48" i="50"/>
  <c r="AD48" i="50"/>
  <c r="AE48" i="50"/>
  <c r="B49" i="50"/>
  <c r="C49" i="50"/>
  <c r="D49" i="50"/>
  <c r="E49" i="50"/>
  <c r="F49" i="50"/>
  <c r="G49" i="50"/>
  <c r="H49" i="50"/>
  <c r="I49" i="50"/>
  <c r="J49" i="50"/>
  <c r="K49" i="50"/>
  <c r="L49" i="50"/>
  <c r="M49" i="50"/>
  <c r="N49" i="50"/>
  <c r="O49" i="50"/>
  <c r="P49" i="50"/>
  <c r="Q49" i="50"/>
  <c r="R49" i="50"/>
  <c r="S49" i="50"/>
  <c r="T49" i="50"/>
  <c r="U49" i="50"/>
  <c r="V49" i="50"/>
  <c r="W49" i="50"/>
  <c r="X49" i="50"/>
  <c r="Y49" i="50"/>
  <c r="Z49" i="50"/>
  <c r="AA49" i="50"/>
  <c r="AB49" i="50"/>
  <c r="AC49" i="50"/>
  <c r="AD49" i="50"/>
  <c r="AE49" i="50"/>
  <c r="B50" i="50"/>
  <c r="C50" i="50"/>
  <c r="D50" i="50"/>
  <c r="E50" i="50"/>
  <c r="F50" i="50"/>
  <c r="G50" i="50"/>
  <c r="H50" i="50"/>
  <c r="I50" i="50"/>
  <c r="J50" i="50"/>
  <c r="K50" i="50"/>
  <c r="L50" i="50"/>
  <c r="M50" i="50"/>
  <c r="N50" i="50"/>
  <c r="O50" i="50"/>
  <c r="P50" i="50"/>
  <c r="Q50" i="50"/>
  <c r="R50" i="50"/>
  <c r="S50" i="50"/>
  <c r="T50" i="50"/>
  <c r="U50" i="50"/>
  <c r="W50" i="50" s="1"/>
  <c r="V50" i="50"/>
  <c r="X50" i="50"/>
  <c r="Y50" i="50"/>
  <c r="Z50" i="50"/>
  <c r="AA50" i="50"/>
  <c r="AB50" i="50"/>
  <c r="AC50" i="50"/>
  <c r="AD50" i="50"/>
  <c r="AE50" i="50"/>
  <c r="B51" i="50"/>
  <c r="C51" i="50"/>
  <c r="D51" i="50"/>
  <c r="E51" i="50"/>
  <c r="F51" i="50"/>
  <c r="G51" i="50"/>
  <c r="H51" i="50"/>
  <c r="I51" i="50"/>
  <c r="J51" i="50"/>
  <c r="K51" i="50"/>
  <c r="L51" i="50"/>
  <c r="M51" i="50"/>
  <c r="N51" i="50"/>
  <c r="O51" i="50"/>
  <c r="P51" i="50"/>
  <c r="Q51" i="50"/>
  <c r="R51" i="50"/>
  <c r="S51" i="50"/>
  <c r="T51" i="50"/>
  <c r="U51" i="50"/>
  <c r="V51" i="50"/>
  <c r="Z51" i="50"/>
  <c r="AA51" i="50"/>
  <c r="AB51" i="50"/>
  <c r="AC51" i="50"/>
  <c r="AD51" i="50"/>
  <c r="AE51" i="50"/>
  <c r="B52" i="50"/>
  <c r="C52" i="50"/>
  <c r="D52" i="50"/>
  <c r="E52" i="50"/>
  <c r="F52" i="50"/>
  <c r="G52" i="50"/>
  <c r="H52" i="50"/>
  <c r="I52" i="50"/>
  <c r="J52" i="50"/>
  <c r="K52" i="50"/>
  <c r="L52" i="50"/>
  <c r="M52" i="50"/>
  <c r="N52" i="50"/>
  <c r="O52" i="50"/>
  <c r="P52" i="50"/>
  <c r="Q52" i="50"/>
  <c r="R52" i="50"/>
  <c r="S52" i="50"/>
  <c r="T52" i="50"/>
  <c r="U52" i="50"/>
  <c r="V52" i="50"/>
  <c r="W52" i="50"/>
  <c r="X52" i="50"/>
  <c r="Y52" i="50"/>
  <c r="Z52" i="50"/>
  <c r="AA52" i="50"/>
  <c r="AB52" i="50"/>
  <c r="AC52" i="50"/>
  <c r="AD52" i="50"/>
  <c r="AE52" i="50"/>
  <c r="B53" i="50"/>
  <c r="C53" i="50"/>
  <c r="D53" i="50"/>
  <c r="E53" i="50"/>
  <c r="F53" i="50"/>
  <c r="G53" i="50"/>
  <c r="H53" i="50"/>
  <c r="I53" i="50"/>
  <c r="J53" i="50"/>
  <c r="K53" i="50"/>
  <c r="L53" i="50"/>
  <c r="M53" i="50"/>
  <c r="N53" i="50"/>
  <c r="O53" i="50"/>
  <c r="P53" i="50"/>
  <c r="Q53" i="50"/>
  <c r="R53" i="50"/>
  <c r="S53" i="50"/>
  <c r="T53" i="50"/>
  <c r="U53" i="50"/>
  <c r="Y53" i="50" s="1"/>
  <c r="V53" i="50"/>
  <c r="X53" i="50"/>
  <c r="Z53" i="50"/>
  <c r="AA53" i="50"/>
  <c r="AB53" i="50"/>
  <c r="AC53" i="50"/>
  <c r="AD53" i="50"/>
  <c r="AE53" i="50"/>
  <c r="B54" i="50"/>
  <c r="C54" i="50"/>
  <c r="D54" i="50"/>
  <c r="E54" i="50"/>
  <c r="F54" i="50"/>
  <c r="G54" i="50"/>
  <c r="H54" i="50"/>
  <c r="I54" i="50"/>
  <c r="J54" i="50"/>
  <c r="K54" i="50"/>
  <c r="L54" i="50"/>
  <c r="M54" i="50"/>
  <c r="N54" i="50"/>
  <c r="O54" i="50"/>
  <c r="P54" i="50"/>
  <c r="Q54" i="50"/>
  <c r="R54" i="50"/>
  <c r="S54" i="50"/>
  <c r="T54" i="50"/>
  <c r="U54" i="50"/>
  <c r="V54" i="50"/>
  <c r="W54" i="50"/>
  <c r="X54" i="50"/>
  <c r="Y54" i="50"/>
  <c r="Z54" i="50"/>
  <c r="AA54" i="50"/>
  <c r="AB54" i="50"/>
  <c r="AC54" i="50"/>
  <c r="AD54" i="50"/>
  <c r="AE54" i="50"/>
  <c r="B55" i="50"/>
  <c r="C55" i="50"/>
  <c r="D55" i="50"/>
  <c r="E55" i="50"/>
  <c r="F55" i="50"/>
  <c r="G55" i="50"/>
  <c r="H55" i="50"/>
  <c r="I55" i="50"/>
  <c r="J55" i="50"/>
  <c r="K55" i="50"/>
  <c r="L55" i="50"/>
  <c r="M55" i="50"/>
  <c r="N55" i="50"/>
  <c r="O55" i="50"/>
  <c r="P55" i="50"/>
  <c r="Q55" i="50"/>
  <c r="R55" i="50"/>
  <c r="S55" i="50"/>
  <c r="T55" i="50"/>
  <c r="U55" i="50"/>
  <c r="V55" i="50"/>
  <c r="AA55" i="50" s="1"/>
  <c r="AB55" i="50"/>
  <c r="AC55" i="50"/>
  <c r="AD55" i="50"/>
  <c r="AE55" i="50"/>
  <c r="B56" i="50"/>
  <c r="C56" i="50"/>
  <c r="D56" i="50"/>
  <c r="E56" i="50"/>
  <c r="F56" i="50"/>
  <c r="G56" i="50"/>
  <c r="H56" i="50"/>
  <c r="I56" i="50"/>
  <c r="J56" i="50"/>
  <c r="K56" i="50"/>
  <c r="L56" i="50"/>
  <c r="M56" i="50"/>
  <c r="N56" i="50"/>
  <c r="O56" i="50"/>
  <c r="P56" i="50"/>
  <c r="Q56" i="50"/>
  <c r="R56" i="50"/>
  <c r="S56" i="50"/>
  <c r="T56" i="50"/>
  <c r="U56" i="50"/>
  <c r="V56" i="50"/>
  <c r="W56" i="50"/>
  <c r="X56" i="50"/>
  <c r="Y56" i="50"/>
  <c r="Z56" i="50"/>
  <c r="AA56" i="50"/>
  <c r="AB56" i="50"/>
  <c r="AC56" i="50"/>
  <c r="AD56" i="50"/>
  <c r="AE56" i="50"/>
  <c r="B57" i="50"/>
  <c r="C57" i="50"/>
  <c r="D57" i="50"/>
  <c r="E57" i="50"/>
  <c r="F57" i="50"/>
  <c r="G57" i="50"/>
  <c r="H57" i="50"/>
  <c r="I57" i="50"/>
  <c r="J57" i="50"/>
  <c r="K57" i="50"/>
  <c r="L57" i="50"/>
  <c r="M57" i="50"/>
  <c r="N57" i="50"/>
  <c r="O57" i="50"/>
  <c r="P57" i="50"/>
  <c r="Q57" i="50"/>
  <c r="R57" i="50"/>
  <c r="S57" i="50"/>
  <c r="T57" i="50"/>
  <c r="U57" i="50"/>
  <c r="V57" i="50"/>
  <c r="W57" i="50" s="1"/>
  <c r="X57" i="50"/>
  <c r="Y57" i="50"/>
  <c r="Z57" i="50"/>
  <c r="AA57" i="50"/>
  <c r="AB57" i="50"/>
  <c r="AC57" i="50"/>
  <c r="AD57" i="50"/>
  <c r="AE57" i="50"/>
  <c r="B58" i="50"/>
  <c r="C58" i="50"/>
  <c r="D58" i="50"/>
  <c r="E58" i="50"/>
  <c r="F58" i="50"/>
  <c r="G58" i="50"/>
  <c r="H58" i="50"/>
  <c r="I58" i="50"/>
  <c r="J58" i="50"/>
  <c r="K58" i="50"/>
  <c r="L58" i="50"/>
  <c r="M58" i="50"/>
  <c r="N58" i="50"/>
  <c r="O58" i="50"/>
  <c r="P58" i="50"/>
  <c r="Q58" i="50"/>
  <c r="R58" i="50"/>
  <c r="S58" i="50"/>
  <c r="T58" i="50"/>
  <c r="U58" i="50"/>
  <c r="V58" i="50"/>
  <c r="X58" i="50"/>
  <c r="Y58" i="50"/>
  <c r="Z58" i="50"/>
  <c r="AA58" i="50"/>
  <c r="AB58" i="50"/>
  <c r="AC58" i="50"/>
  <c r="AD58" i="50"/>
  <c r="AE58" i="50"/>
  <c r="B59" i="50"/>
  <c r="C59" i="50"/>
  <c r="D59" i="50"/>
  <c r="E59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R59" i="50"/>
  <c r="S59" i="50"/>
  <c r="T59" i="50"/>
  <c r="U59" i="50"/>
  <c r="V59" i="50"/>
  <c r="AA59" i="50"/>
  <c r="AB59" i="50"/>
  <c r="AC59" i="50"/>
  <c r="AD59" i="50"/>
  <c r="AE59" i="50"/>
  <c r="B60" i="50"/>
  <c r="C60" i="50"/>
  <c r="D60" i="50"/>
  <c r="E60" i="50"/>
  <c r="F60" i="50"/>
  <c r="G60" i="50"/>
  <c r="H60" i="50"/>
  <c r="I60" i="50"/>
  <c r="J60" i="50"/>
  <c r="K60" i="50"/>
  <c r="L60" i="50"/>
  <c r="M60" i="50"/>
  <c r="N60" i="50"/>
  <c r="O60" i="50"/>
  <c r="P60" i="50"/>
  <c r="Q60" i="50"/>
  <c r="R60" i="50"/>
  <c r="S60" i="50"/>
  <c r="T60" i="50"/>
  <c r="U60" i="50"/>
  <c r="V60" i="50"/>
  <c r="X60" i="50"/>
  <c r="Z60" i="50"/>
  <c r="AA60" i="50"/>
  <c r="AB60" i="50"/>
  <c r="AC60" i="50"/>
  <c r="AD60" i="50"/>
  <c r="AE60" i="50"/>
  <c r="B61" i="50"/>
  <c r="C61" i="50"/>
  <c r="D61" i="50"/>
  <c r="E61" i="50"/>
  <c r="F61" i="50"/>
  <c r="G61" i="50"/>
  <c r="H61" i="50"/>
  <c r="I61" i="50"/>
  <c r="J61" i="50"/>
  <c r="K61" i="50"/>
  <c r="L61" i="50"/>
  <c r="M61" i="50"/>
  <c r="N61" i="50"/>
  <c r="O61" i="50"/>
  <c r="P61" i="50"/>
  <c r="Q61" i="50"/>
  <c r="R61" i="50"/>
  <c r="S61" i="50"/>
  <c r="T61" i="50"/>
  <c r="U61" i="50"/>
  <c r="V61" i="50"/>
  <c r="AB61" i="50"/>
  <c r="AD61" i="50"/>
  <c r="AE61" i="50"/>
  <c r="B62" i="50"/>
  <c r="C62" i="50"/>
  <c r="D62" i="50"/>
  <c r="E62" i="50"/>
  <c r="F62" i="50"/>
  <c r="G62" i="50"/>
  <c r="H62" i="50"/>
  <c r="I62" i="50"/>
  <c r="J62" i="50"/>
  <c r="K62" i="50"/>
  <c r="L62" i="50"/>
  <c r="M62" i="50"/>
  <c r="N62" i="50"/>
  <c r="O62" i="50"/>
  <c r="P62" i="50"/>
  <c r="Q62" i="50"/>
  <c r="R62" i="50"/>
  <c r="S62" i="50"/>
  <c r="T62" i="50"/>
  <c r="U62" i="50"/>
  <c r="V62" i="50"/>
  <c r="W62" i="50"/>
  <c r="X62" i="50"/>
  <c r="Y62" i="50"/>
  <c r="Z62" i="50"/>
  <c r="AA62" i="50"/>
  <c r="AB62" i="50"/>
  <c r="AC62" i="50"/>
  <c r="AD62" i="50"/>
  <c r="AE62" i="50"/>
  <c r="B63" i="50"/>
  <c r="C63" i="50"/>
  <c r="D63" i="50"/>
  <c r="E63" i="50"/>
  <c r="F63" i="50"/>
  <c r="G63" i="50"/>
  <c r="H63" i="50"/>
  <c r="I63" i="50"/>
  <c r="J63" i="50"/>
  <c r="K63" i="50"/>
  <c r="L63" i="50"/>
  <c r="M63" i="50"/>
  <c r="N63" i="50"/>
  <c r="O63" i="50"/>
  <c r="P63" i="50"/>
  <c r="Q63" i="50"/>
  <c r="R63" i="50"/>
  <c r="S63" i="50"/>
  <c r="T63" i="50"/>
  <c r="U63" i="50"/>
  <c r="V63" i="50"/>
  <c r="W63" i="50" s="1"/>
  <c r="Z63" i="50"/>
  <c r="AA63" i="50"/>
  <c r="AB63" i="50"/>
  <c r="AC63" i="50"/>
  <c r="AD63" i="50"/>
  <c r="AE63" i="50"/>
  <c r="B64" i="50"/>
  <c r="C64" i="50"/>
  <c r="D64" i="50"/>
  <c r="E64" i="50"/>
  <c r="F64" i="50"/>
  <c r="G64" i="50"/>
  <c r="H64" i="50"/>
  <c r="I64" i="50"/>
  <c r="J64" i="50"/>
  <c r="K64" i="50"/>
  <c r="L64" i="50"/>
  <c r="M64" i="50"/>
  <c r="N64" i="50"/>
  <c r="O64" i="50"/>
  <c r="P64" i="50"/>
  <c r="Q64" i="50"/>
  <c r="R64" i="50"/>
  <c r="S64" i="50"/>
  <c r="T64" i="50"/>
  <c r="U64" i="50"/>
  <c r="V64" i="50"/>
  <c r="AE64" i="50" s="1"/>
  <c r="B65" i="50"/>
  <c r="C65" i="50"/>
  <c r="D65" i="50"/>
  <c r="E65" i="50"/>
  <c r="F65" i="50"/>
  <c r="G65" i="50"/>
  <c r="H65" i="50"/>
  <c r="I65" i="50"/>
  <c r="J65" i="50"/>
  <c r="K65" i="50"/>
  <c r="L65" i="50"/>
  <c r="M65" i="50"/>
  <c r="N65" i="50"/>
  <c r="O65" i="50"/>
  <c r="P65" i="50"/>
  <c r="Q65" i="50"/>
  <c r="R65" i="50"/>
  <c r="S65" i="50"/>
  <c r="T65" i="50"/>
  <c r="U65" i="50"/>
  <c r="V65" i="50"/>
  <c r="X65" i="50"/>
  <c r="Y65" i="50"/>
  <c r="Z65" i="50"/>
  <c r="AA65" i="50"/>
  <c r="AB65" i="50"/>
  <c r="AC65" i="50"/>
  <c r="AD65" i="50"/>
  <c r="AE65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R66" i="50"/>
  <c r="S66" i="50"/>
  <c r="T66" i="50"/>
  <c r="U66" i="50"/>
  <c r="V66" i="50"/>
  <c r="W66" i="50" s="1"/>
  <c r="X66" i="50"/>
  <c r="Y66" i="50"/>
  <c r="Z66" i="50"/>
  <c r="AA66" i="50"/>
  <c r="AB66" i="50"/>
  <c r="AC66" i="50"/>
  <c r="AD66" i="50"/>
  <c r="AE66" i="50"/>
  <c r="B67" i="50"/>
  <c r="C67" i="50"/>
  <c r="D67" i="50"/>
  <c r="E67" i="50"/>
  <c r="F67" i="50"/>
  <c r="G67" i="50"/>
  <c r="H67" i="50"/>
  <c r="I67" i="50"/>
  <c r="J67" i="50"/>
  <c r="K67" i="50"/>
  <c r="L67" i="50"/>
  <c r="M67" i="50"/>
  <c r="N67" i="50"/>
  <c r="O67" i="50"/>
  <c r="P67" i="50"/>
  <c r="Q67" i="50"/>
  <c r="R67" i="50"/>
  <c r="S67" i="50"/>
  <c r="T67" i="50"/>
  <c r="U67" i="50"/>
  <c r="V67" i="50"/>
  <c r="W67" i="50"/>
  <c r="X67" i="50"/>
  <c r="Y67" i="50"/>
  <c r="Z67" i="50"/>
  <c r="AA67" i="50"/>
  <c r="AB67" i="50"/>
  <c r="AC67" i="50"/>
  <c r="AD67" i="50"/>
  <c r="AE67" i="50"/>
  <c r="B68" i="50"/>
  <c r="C68" i="50"/>
  <c r="D68" i="50"/>
  <c r="E68" i="50"/>
  <c r="F68" i="50"/>
  <c r="G68" i="50"/>
  <c r="H68" i="50"/>
  <c r="I68" i="50"/>
  <c r="J68" i="50"/>
  <c r="K68" i="50"/>
  <c r="L68" i="50"/>
  <c r="M68" i="50"/>
  <c r="N68" i="50"/>
  <c r="O68" i="50"/>
  <c r="P68" i="50"/>
  <c r="Q68" i="50"/>
  <c r="R68" i="50"/>
  <c r="S68" i="50"/>
  <c r="T68" i="50"/>
  <c r="U68" i="50"/>
  <c r="V68" i="50"/>
  <c r="Z68" i="50"/>
  <c r="AA68" i="50"/>
  <c r="AB68" i="50"/>
  <c r="AC68" i="50"/>
  <c r="AD68" i="50"/>
  <c r="AE68" i="50"/>
  <c r="B69" i="50"/>
  <c r="C69" i="50"/>
  <c r="D69" i="50"/>
  <c r="E69" i="50"/>
  <c r="F69" i="50"/>
  <c r="G69" i="50"/>
  <c r="H69" i="50"/>
  <c r="I69" i="50"/>
  <c r="J69" i="50"/>
  <c r="K69" i="50"/>
  <c r="L69" i="50"/>
  <c r="M69" i="50"/>
  <c r="N69" i="50"/>
  <c r="O69" i="50"/>
  <c r="P69" i="50"/>
  <c r="Q69" i="50"/>
  <c r="R69" i="50"/>
  <c r="S69" i="50"/>
  <c r="T69" i="50"/>
  <c r="U69" i="50"/>
  <c r="V69" i="50"/>
  <c r="X69" i="50"/>
  <c r="Y69" i="50"/>
  <c r="Z69" i="50"/>
  <c r="AA69" i="50"/>
  <c r="AB69" i="50"/>
  <c r="AC69" i="50"/>
  <c r="AD69" i="50"/>
  <c r="AE69" i="50"/>
  <c r="B70" i="50"/>
  <c r="C70" i="50"/>
  <c r="D70" i="50"/>
  <c r="E70" i="50"/>
  <c r="F70" i="50"/>
  <c r="G70" i="50"/>
  <c r="H70" i="50"/>
  <c r="I70" i="50"/>
  <c r="J70" i="50"/>
  <c r="K70" i="50"/>
  <c r="L70" i="50"/>
  <c r="M70" i="50"/>
  <c r="N70" i="50"/>
  <c r="O70" i="50"/>
  <c r="P70" i="50"/>
  <c r="Q70" i="50"/>
  <c r="R70" i="50"/>
  <c r="S70" i="50"/>
  <c r="T70" i="50"/>
  <c r="U70" i="50"/>
  <c r="V70" i="50"/>
  <c r="Z70" i="50"/>
  <c r="AA70" i="50"/>
  <c r="AB70" i="50"/>
  <c r="AC70" i="50"/>
  <c r="AD70" i="50"/>
  <c r="AE70" i="50"/>
  <c r="B71" i="50"/>
  <c r="C71" i="50"/>
  <c r="D71" i="50"/>
  <c r="E71" i="50"/>
  <c r="F71" i="50"/>
  <c r="G71" i="50"/>
  <c r="H71" i="50"/>
  <c r="I71" i="50"/>
  <c r="J71" i="50"/>
  <c r="K71" i="50"/>
  <c r="L71" i="50"/>
  <c r="M71" i="50"/>
  <c r="N71" i="50"/>
  <c r="O71" i="50"/>
  <c r="P71" i="50"/>
  <c r="Q71" i="50"/>
  <c r="R71" i="50"/>
  <c r="S71" i="50"/>
  <c r="T71" i="50"/>
  <c r="U71" i="50"/>
  <c r="AC71" i="50" s="1"/>
  <c r="V71" i="50"/>
  <c r="AB71" i="50"/>
  <c r="AD71" i="50"/>
  <c r="AE71" i="50"/>
  <c r="B72" i="50"/>
  <c r="C72" i="50"/>
  <c r="D72" i="50"/>
  <c r="E72" i="50"/>
  <c r="F72" i="50"/>
  <c r="G72" i="50"/>
  <c r="H72" i="50"/>
  <c r="I72" i="50"/>
  <c r="J72" i="50"/>
  <c r="K72" i="50"/>
  <c r="L72" i="50"/>
  <c r="M72" i="50"/>
  <c r="N72" i="50"/>
  <c r="O72" i="50"/>
  <c r="P72" i="50"/>
  <c r="Q72" i="50"/>
  <c r="R72" i="50"/>
  <c r="S72" i="50"/>
  <c r="T72" i="50"/>
  <c r="U72" i="50"/>
  <c r="V72" i="50"/>
  <c r="W72" i="50" s="1"/>
  <c r="X72" i="50"/>
  <c r="Y72" i="50"/>
  <c r="Z72" i="50"/>
  <c r="AA72" i="50"/>
  <c r="AB72" i="50"/>
  <c r="AC72" i="50"/>
  <c r="AD72" i="50"/>
  <c r="AE72" i="50"/>
  <c r="B73" i="50"/>
  <c r="C73" i="50"/>
  <c r="D73" i="50"/>
  <c r="E73" i="50"/>
  <c r="F73" i="50"/>
  <c r="G73" i="50"/>
  <c r="H73" i="50"/>
  <c r="I73" i="50"/>
  <c r="J73" i="50"/>
  <c r="K73" i="50"/>
  <c r="L73" i="50"/>
  <c r="M73" i="50"/>
  <c r="N73" i="50"/>
  <c r="O73" i="50"/>
  <c r="P73" i="50"/>
  <c r="Q73" i="50"/>
  <c r="R73" i="50"/>
  <c r="S73" i="50"/>
  <c r="T73" i="50"/>
  <c r="U73" i="50"/>
  <c r="V73" i="50"/>
  <c r="AA73" i="50"/>
  <c r="AB73" i="50"/>
  <c r="AC73" i="50"/>
  <c r="AD73" i="50"/>
  <c r="AE73" i="50"/>
  <c r="B74" i="50"/>
  <c r="C74" i="50"/>
  <c r="D74" i="50"/>
  <c r="E74" i="50"/>
  <c r="F74" i="50"/>
  <c r="G74" i="50"/>
  <c r="H74" i="50"/>
  <c r="I74" i="50"/>
  <c r="J74" i="50"/>
  <c r="K74" i="50"/>
  <c r="L74" i="50"/>
  <c r="M74" i="50"/>
  <c r="N74" i="50"/>
  <c r="O74" i="50"/>
  <c r="P74" i="50"/>
  <c r="Q74" i="50"/>
  <c r="R74" i="50"/>
  <c r="S74" i="50"/>
  <c r="T74" i="50"/>
  <c r="U74" i="50"/>
  <c r="V74" i="50"/>
  <c r="Z74" i="50"/>
  <c r="AA74" i="50"/>
  <c r="AB74" i="50"/>
  <c r="AC74" i="50"/>
  <c r="AD74" i="50"/>
  <c r="AE74" i="50"/>
  <c r="B75" i="50"/>
  <c r="C75" i="50"/>
  <c r="D75" i="50"/>
  <c r="E75" i="50"/>
  <c r="F75" i="50"/>
  <c r="G75" i="50"/>
  <c r="H75" i="50"/>
  <c r="I75" i="50"/>
  <c r="J75" i="50"/>
  <c r="K75" i="50"/>
  <c r="L75" i="50"/>
  <c r="M75" i="50"/>
  <c r="N75" i="50"/>
  <c r="O75" i="50"/>
  <c r="P75" i="50"/>
  <c r="Q75" i="50"/>
  <c r="R75" i="50"/>
  <c r="S75" i="50"/>
  <c r="T75" i="50"/>
  <c r="U75" i="50"/>
  <c r="V75" i="50"/>
  <c r="W75" i="50" s="1"/>
  <c r="X75" i="50"/>
  <c r="Z75" i="50"/>
  <c r="AA75" i="50"/>
  <c r="AB75" i="50"/>
  <c r="AC75" i="50"/>
  <c r="AD75" i="50"/>
  <c r="AE75" i="50"/>
  <c r="B76" i="50"/>
  <c r="C76" i="50"/>
  <c r="D76" i="50"/>
  <c r="E76" i="50"/>
  <c r="F76" i="50"/>
  <c r="G76" i="50"/>
  <c r="H76" i="50"/>
  <c r="I76" i="50"/>
  <c r="J76" i="50"/>
  <c r="K76" i="50"/>
  <c r="L76" i="50"/>
  <c r="M76" i="50"/>
  <c r="N76" i="50"/>
  <c r="O76" i="50"/>
  <c r="P76" i="50"/>
  <c r="Q76" i="50"/>
  <c r="R76" i="50"/>
  <c r="S76" i="50"/>
  <c r="T76" i="50"/>
  <c r="U76" i="50"/>
  <c r="V76" i="50"/>
  <c r="W76" i="50"/>
  <c r="X76" i="50"/>
  <c r="Y76" i="50"/>
  <c r="Z76" i="50"/>
  <c r="AA76" i="50"/>
  <c r="AB76" i="50"/>
  <c r="AC76" i="50"/>
  <c r="AD76" i="50"/>
  <c r="AE76" i="50"/>
  <c r="B77" i="50"/>
  <c r="C77" i="50"/>
  <c r="D77" i="50"/>
  <c r="E77" i="50"/>
  <c r="F77" i="50"/>
  <c r="G77" i="50"/>
  <c r="H77" i="50"/>
  <c r="I77" i="50"/>
  <c r="J77" i="50"/>
  <c r="K77" i="50"/>
  <c r="L77" i="50"/>
  <c r="M77" i="50"/>
  <c r="N77" i="50"/>
  <c r="O77" i="50"/>
  <c r="P77" i="50"/>
  <c r="Q77" i="50"/>
  <c r="R77" i="50"/>
  <c r="S77" i="50"/>
  <c r="T77" i="50"/>
  <c r="U77" i="50"/>
  <c r="V77" i="50"/>
  <c r="AD77" i="50"/>
  <c r="AE77" i="50"/>
  <c r="B78" i="50"/>
  <c r="C78" i="50"/>
  <c r="D78" i="50"/>
  <c r="E78" i="50"/>
  <c r="F78" i="50"/>
  <c r="G78" i="50"/>
  <c r="H78" i="50"/>
  <c r="I78" i="50"/>
  <c r="J78" i="50"/>
  <c r="K78" i="50"/>
  <c r="L78" i="50"/>
  <c r="M78" i="50"/>
  <c r="N78" i="50"/>
  <c r="O78" i="50"/>
  <c r="P78" i="50"/>
  <c r="Q78" i="50"/>
  <c r="R78" i="50"/>
  <c r="S78" i="50"/>
  <c r="T78" i="50"/>
  <c r="U78" i="50"/>
  <c r="V78" i="50"/>
  <c r="W78" i="50" s="1"/>
  <c r="X78" i="50"/>
  <c r="Y78" i="50"/>
  <c r="Z78" i="50"/>
  <c r="AA78" i="50"/>
  <c r="AB78" i="50"/>
  <c r="AC78" i="50"/>
  <c r="AD78" i="50"/>
  <c r="AE78" i="50"/>
  <c r="B79" i="50"/>
  <c r="C79" i="50"/>
  <c r="D79" i="50"/>
  <c r="E79" i="50"/>
  <c r="F79" i="50"/>
  <c r="G79" i="50"/>
  <c r="H79" i="50"/>
  <c r="I79" i="50"/>
  <c r="J79" i="50"/>
  <c r="K79" i="50"/>
  <c r="L79" i="50"/>
  <c r="M79" i="50"/>
  <c r="N79" i="50"/>
  <c r="O79" i="50"/>
  <c r="P79" i="50"/>
  <c r="Q79" i="50"/>
  <c r="R79" i="50"/>
  <c r="S79" i="50"/>
  <c r="T79" i="50"/>
  <c r="U79" i="50"/>
  <c r="V79" i="50"/>
  <c r="AD79" i="50"/>
  <c r="AE79" i="50"/>
  <c r="B80" i="50"/>
  <c r="C80" i="50"/>
  <c r="D80" i="50"/>
  <c r="E80" i="50"/>
  <c r="F80" i="50"/>
  <c r="G80" i="50"/>
  <c r="H80" i="50"/>
  <c r="I80" i="50"/>
  <c r="J80" i="50"/>
  <c r="K80" i="50"/>
  <c r="L80" i="50"/>
  <c r="M80" i="50"/>
  <c r="N80" i="50"/>
  <c r="O80" i="50"/>
  <c r="P80" i="50"/>
  <c r="Q80" i="50"/>
  <c r="R80" i="50"/>
  <c r="S80" i="50"/>
  <c r="T80" i="50"/>
  <c r="U80" i="50"/>
  <c r="V80" i="50"/>
  <c r="AA80" i="50"/>
  <c r="AB80" i="50"/>
  <c r="AC80" i="50"/>
  <c r="AD80" i="50"/>
  <c r="AE80" i="50"/>
  <c r="B81" i="50"/>
  <c r="C81" i="50"/>
  <c r="D81" i="50"/>
  <c r="E81" i="50"/>
  <c r="F81" i="50"/>
  <c r="G81" i="50"/>
  <c r="H81" i="50"/>
  <c r="I81" i="50"/>
  <c r="J81" i="50"/>
  <c r="K81" i="50"/>
  <c r="L81" i="50"/>
  <c r="M81" i="50"/>
  <c r="N81" i="50"/>
  <c r="O81" i="50"/>
  <c r="P81" i="50"/>
  <c r="Q81" i="50"/>
  <c r="R81" i="50"/>
  <c r="S81" i="50"/>
  <c r="T81" i="50"/>
  <c r="U81" i="50"/>
  <c r="V81" i="50"/>
  <c r="W81" i="50"/>
  <c r="X81" i="50"/>
  <c r="Y81" i="50"/>
  <c r="Z81" i="50"/>
  <c r="AA81" i="50"/>
  <c r="AB81" i="50"/>
  <c r="AC81" i="50"/>
  <c r="AD81" i="50"/>
  <c r="AE81" i="50"/>
  <c r="B82" i="50"/>
  <c r="C82" i="50"/>
  <c r="D82" i="50"/>
  <c r="E82" i="50"/>
  <c r="F82" i="50"/>
  <c r="G82" i="50"/>
  <c r="H82" i="50"/>
  <c r="I82" i="50"/>
  <c r="J82" i="50"/>
  <c r="K82" i="50"/>
  <c r="L82" i="50"/>
  <c r="M82" i="50"/>
  <c r="N82" i="50"/>
  <c r="O82" i="50"/>
  <c r="P82" i="50"/>
  <c r="Q82" i="50"/>
  <c r="R82" i="50"/>
  <c r="S82" i="50"/>
  <c r="T82" i="50"/>
  <c r="U82" i="50"/>
  <c r="V82" i="50"/>
  <c r="Z82" i="50"/>
  <c r="AA82" i="50"/>
  <c r="AB82" i="50"/>
  <c r="AC82" i="50"/>
  <c r="AD82" i="50"/>
  <c r="AE82" i="50"/>
  <c r="B83" i="50"/>
  <c r="C83" i="50"/>
  <c r="D83" i="50"/>
  <c r="E83" i="50"/>
  <c r="F83" i="50"/>
  <c r="G83" i="50"/>
  <c r="H83" i="50"/>
  <c r="I83" i="50"/>
  <c r="J83" i="50"/>
  <c r="K83" i="50"/>
  <c r="L83" i="50"/>
  <c r="M83" i="50"/>
  <c r="N83" i="50"/>
  <c r="O83" i="50"/>
  <c r="P83" i="50"/>
  <c r="Q83" i="50"/>
  <c r="R83" i="50"/>
  <c r="S83" i="50"/>
  <c r="T83" i="50"/>
  <c r="U83" i="50"/>
  <c r="V83" i="50"/>
  <c r="W83" i="50" s="1"/>
  <c r="X83" i="50"/>
  <c r="Y83" i="50"/>
  <c r="Z83" i="50"/>
  <c r="AA83" i="50"/>
  <c r="AB83" i="50"/>
  <c r="AC83" i="50"/>
  <c r="AD83" i="50"/>
  <c r="AE83" i="50"/>
  <c r="B84" i="50"/>
  <c r="C84" i="50"/>
  <c r="D84" i="50"/>
  <c r="E84" i="50"/>
  <c r="F84" i="50"/>
  <c r="G84" i="50"/>
  <c r="H84" i="50"/>
  <c r="I84" i="50"/>
  <c r="J84" i="50"/>
  <c r="K84" i="50"/>
  <c r="L84" i="50"/>
  <c r="M84" i="50"/>
  <c r="N84" i="50"/>
  <c r="O84" i="50"/>
  <c r="P84" i="50"/>
  <c r="Q84" i="50"/>
  <c r="R84" i="50"/>
  <c r="S84" i="50"/>
  <c r="T84" i="50"/>
  <c r="U84" i="50"/>
  <c r="AA84" i="50" s="1"/>
  <c r="V84" i="50"/>
  <c r="AB84" i="50" s="1"/>
  <c r="AC84" i="50"/>
  <c r="AD84" i="50"/>
  <c r="AE84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R85" i="50"/>
  <c r="S85" i="50"/>
  <c r="T85" i="50"/>
  <c r="U85" i="50"/>
  <c r="V85" i="50"/>
  <c r="W85" i="50"/>
  <c r="X85" i="50"/>
  <c r="Y85" i="50"/>
  <c r="Z85" i="50"/>
  <c r="AA85" i="50"/>
  <c r="AB85" i="50"/>
  <c r="AC85" i="50"/>
  <c r="AD85" i="50"/>
  <c r="AE85" i="50"/>
  <c r="AI5" i="50"/>
  <c r="A1" i="49"/>
  <c r="P2" i="49"/>
  <c r="J3" i="49"/>
  <c r="J4" i="49"/>
  <c r="M4" i="49"/>
  <c r="AI4" i="49"/>
  <c r="J5" i="49"/>
  <c r="J6" i="49"/>
  <c r="B10" i="49"/>
  <c r="C10" i="49"/>
  <c r="D10" i="49"/>
  <c r="E10" i="49"/>
  <c r="F10" i="49"/>
  <c r="G10" i="49"/>
  <c r="H10" i="49"/>
  <c r="I10" i="49"/>
  <c r="J10" i="49"/>
  <c r="Q10" i="49"/>
  <c r="R10" i="49"/>
  <c r="S10" i="49"/>
  <c r="T10" i="49"/>
  <c r="U10" i="49"/>
  <c r="V10" i="49"/>
  <c r="B11" i="49"/>
  <c r="C11" i="49"/>
  <c r="D11" i="49"/>
  <c r="E11" i="49"/>
  <c r="F11" i="49"/>
  <c r="G11" i="49"/>
  <c r="H11" i="49"/>
  <c r="I11" i="49"/>
  <c r="J11" i="49"/>
  <c r="K11" i="49"/>
  <c r="L11" i="49"/>
  <c r="M11" i="49"/>
  <c r="N11" i="49"/>
  <c r="O11" i="49"/>
  <c r="P11" i="49"/>
  <c r="Q11" i="49"/>
  <c r="R11" i="49"/>
  <c r="S11" i="49"/>
  <c r="T11" i="49"/>
  <c r="U11" i="49"/>
  <c r="V11" i="49"/>
  <c r="B12" i="49"/>
  <c r="C12" i="49"/>
  <c r="D12" i="49"/>
  <c r="E12" i="49"/>
  <c r="F12" i="49"/>
  <c r="G12" i="49"/>
  <c r="H12" i="49"/>
  <c r="I12" i="49"/>
  <c r="J12" i="49"/>
  <c r="K12" i="49"/>
  <c r="L12" i="49"/>
  <c r="M12" i="49"/>
  <c r="N12" i="49"/>
  <c r="O12" i="49"/>
  <c r="P12" i="49"/>
  <c r="Q12" i="49"/>
  <c r="R12" i="49"/>
  <c r="S12" i="49"/>
  <c r="T12" i="49"/>
  <c r="U12" i="49"/>
  <c r="V12" i="49"/>
  <c r="W12" i="49"/>
  <c r="X12" i="49"/>
  <c r="Y12" i="49"/>
  <c r="Z12" i="49"/>
  <c r="AA12" i="49"/>
  <c r="AB12" i="49"/>
  <c r="AC12" i="49"/>
  <c r="AD12" i="49"/>
  <c r="AE12" i="49"/>
  <c r="B13" i="49"/>
  <c r="C13" i="49"/>
  <c r="D13" i="49"/>
  <c r="E13" i="49"/>
  <c r="F13" i="49"/>
  <c r="G13" i="49"/>
  <c r="H13" i="49"/>
  <c r="I13" i="49"/>
  <c r="J13" i="49"/>
  <c r="K13" i="49"/>
  <c r="L13" i="49"/>
  <c r="M13" i="49"/>
  <c r="N13" i="49"/>
  <c r="O13" i="49"/>
  <c r="P13" i="49"/>
  <c r="Q13" i="49"/>
  <c r="R13" i="49"/>
  <c r="S13" i="49"/>
  <c r="T13" i="49"/>
  <c r="U13" i="49"/>
  <c r="W13" i="49" s="1"/>
  <c r="V13" i="49"/>
  <c r="X13" i="49"/>
  <c r="Y13" i="49"/>
  <c r="Z13" i="49"/>
  <c r="AA13" i="49"/>
  <c r="AB13" i="49"/>
  <c r="AC13" i="49"/>
  <c r="AD13" i="49"/>
  <c r="AE13" i="49"/>
  <c r="B14" i="49"/>
  <c r="C14" i="49"/>
  <c r="D14" i="49"/>
  <c r="E14" i="49"/>
  <c r="F14" i="49"/>
  <c r="G14" i="49"/>
  <c r="H14" i="49"/>
  <c r="I14" i="49"/>
  <c r="J14" i="49"/>
  <c r="K14" i="49"/>
  <c r="L14" i="49"/>
  <c r="M14" i="49"/>
  <c r="N14" i="49"/>
  <c r="O14" i="49"/>
  <c r="P14" i="49"/>
  <c r="Q14" i="49"/>
  <c r="R14" i="49"/>
  <c r="S14" i="49"/>
  <c r="T14" i="49"/>
  <c r="U14" i="49"/>
  <c r="V14" i="49"/>
  <c r="W14" i="49" s="1"/>
  <c r="X14" i="49"/>
  <c r="Y14" i="49"/>
  <c r="Z14" i="49"/>
  <c r="AA14" i="49"/>
  <c r="AB14" i="49"/>
  <c r="AC14" i="49"/>
  <c r="AD14" i="49"/>
  <c r="AE14" i="49"/>
  <c r="B15" i="49"/>
  <c r="C15" i="49"/>
  <c r="D15" i="49"/>
  <c r="E15" i="49"/>
  <c r="F15" i="49"/>
  <c r="G15" i="49"/>
  <c r="H15" i="49"/>
  <c r="I15" i="49"/>
  <c r="J15" i="49"/>
  <c r="K15" i="49"/>
  <c r="L15" i="49"/>
  <c r="M15" i="49"/>
  <c r="N15" i="49"/>
  <c r="O15" i="49"/>
  <c r="P15" i="49"/>
  <c r="Q15" i="49"/>
  <c r="R15" i="49"/>
  <c r="S15" i="49"/>
  <c r="T15" i="49"/>
  <c r="U15" i="49"/>
  <c r="V15" i="49"/>
  <c r="B16" i="49"/>
  <c r="C16" i="49"/>
  <c r="D16" i="49"/>
  <c r="E16" i="49"/>
  <c r="F16" i="49"/>
  <c r="G16" i="49"/>
  <c r="H16" i="49"/>
  <c r="I16" i="49"/>
  <c r="J16" i="49"/>
  <c r="K16" i="49"/>
  <c r="L16" i="49"/>
  <c r="M16" i="49"/>
  <c r="N16" i="49"/>
  <c r="O16" i="49"/>
  <c r="P16" i="49"/>
  <c r="Q16" i="49"/>
  <c r="R16" i="49"/>
  <c r="S16" i="49"/>
  <c r="T16" i="49"/>
  <c r="U16" i="49"/>
  <c r="V16" i="49"/>
  <c r="Z16" i="49"/>
  <c r="AB16" i="49"/>
  <c r="AC16" i="49"/>
  <c r="AD16" i="49"/>
  <c r="AE16" i="49"/>
  <c r="B17" i="49"/>
  <c r="C17" i="49"/>
  <c r="D17" i="49"/>
  <c r="E17" i="49"/>
  <c r="F17" i="49"/>
  <c r="G17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U17" i="49"/>
  <c r="V17" i="49"/>
  <c r="W17" i="49"/>
  <c r="X17" i="49"/>
  <c r="Y17" i="49"/>
  <c r="Z17" i="49"/>
  <c r="AA17" i="49"/>
  <c r="AB17" i="49"/>
  <c r="AC17" i="49"/>
  <c r="AD17" i="49"/>
  <c r="AE17" i="49"/>
  <c r="B18" i="49"/>
  <c r="C18" i="49"/>
  <c r="D18" i="49"/>
  <c r="E18" i="49"/>
  <c r="F18" i="49"/>
  <c r="G18" i="49"/>
  <c r="H18" i="49"/>
  <c r="I18" i="49"/>
  <c r="J18" i="49"/>
  <c r="K18" i="49"/>
  <c r="L18" i="49"/>
  <c r="M18" i="49"/>
  <c r="N18" i="49"/>
  <c r="O18" i="49"/>
  <c r="P18" i="49"/>
  <c r="Q18" i="49"/>
  <c r="R18" i="49"/>
  <c r="S18" i="49"/>
  <c r="T18" i="49"/>
  <c r="U18" i="49"/>
  <c r="V18" i="49"/>
  <c r="W18" i="49" s="1"/>
  <c r="X18" i="49"/>
  <c r="Y18" i="49"/>
  <c r="Z18" i="49"/>
  <c r="AA18" i="49"/>
  <c r="AB18" i="49"/>
  <c r="AC18" i="49"/>
  <c r="AD18" i="49"/>
  <c r="AE18" i="49"/>
  <c r="B19" i="49"/>
  <c r="C19" i="49"/>
  <c r="D19" i="49"/>
  <c r="E19" i="49"/>
  <c r="F19" i="49"/>
  <c r="G19" i="49"/>
  <c r="H19" i="49"/>
  <c r="I19" i="49"/>
  <c r="J19" i="49"/>
  <c r="K19" i="49"/>
  <c r="L19" i="49"/>
  <c r="M19" i="49"/>
  <c r="N19" i="49"/>
  <c r="O19" i="49"/>
  <c r="P19" i="49"/>
  <c r="Q19" i="49"/>
  <c r="R19" i="49"/>
  <c r="S19" i="49"/>
  <c r="T19" i="49"/>
  <c r="U19" i="49"/>
  <c r="V19" i="49"/>
  <c r="Z19" i="49" s="1"/>
  <c r="AA19" i="49"/>
  <c r="AB19" i="49"/>
  <c r="AC19" i="49"/>
  <c r="AD19" i="49"/>
  <c r="AE19" i="49"/>
  <c r="B20" i="49"/>
  <c r="C20" i="49"/>
  <c r="D20" i="49"/>
  <c r="E20" i="49"/>
  <c r="F20" i="49"/>
  <c r="G20" i="49"/>
  <c r="H20" i="49"/>
  <c r="I20" i="49"/>
  <c r="J20" i="49"/>
  <c r="K20" i="49"/>
  <c r="L20" i="49"/>
  <c r="M20" i="49"/>
  <c r="N20" i="49"/>
  <c r="O20" i="49"/>
  <c r="P20" i="49"/>
  <c r="Q20" i="49"/>
  <c r="R20" i="49"/>
  <c r="S20" i="49"/>
  <c r="T20" i="49"/>
  <c r="U20" i="49"/>
  <c r="V20" i="49"/>
  <c r="Y20" i="49"/>
  <c r="Z20" i="49"/>
  <c r="AA20" i="49"/>
  <c r="AB20" i="49"/>
  <c r="AC20" i="49"/>
  <c r="AD20" i="49"/>
  <c r="AE20" i="49"/>
  <c r="B21" i="49"/>
  <c r="C21" i="49"/>
  <c r="D21" i="49"/>
  <c r="E21" i="49"/>
  <c r="F21" i="49"/>
  <c r="G21" i="49"/>
  <c r="H21" i="49"/>
  <c r="I21" i="49"/>
  <c r="J21" i="49"/>
  <c r="K21" i="49"/>
  <c r="L21" i="49"/>
  <c r="M21" i="49"/>
  <c r="N21" i="49"/>
  <c r="O21" i="49"/>
  <c r="P21" i="49"/>
  <c r="Q21" i="49"/>
  <c r="R21" i="49"/>
  <c r="S21" i="49"/>
  <c r="T21" i="49"/>
  <c r="U21" i="49"/>
  <c r="W21" i="49" s="1"/>
  <c r="V21" i="49"/>
  <c r="X21" i="49"/>
  <c r="Y21" i="49"/>
  <c r="Z21" i="49"/>
  <c r="AA21" i="49"/>
  <c r="AB21" i="49"/>
  <c r="AC21" i="49"/>
  <c r="AD21" i="49"/>
  <c r="AE21" i="49"/>
  <c r="B22" i="49"/>
  <c r="C22" i="49"/>
  <c r="D22" i="49"/>
  <c r="E22" i="49"/>
  <c r="F22" i="49"/>
  <c r="G22" i="49"/>
  <c r="H22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U22" i="49"/>
  <c r="V22" i="49"/>
  <c r="Y22" i="49"/>
  <c r="Z22" i="49"/>
  <c r="AA22" i="49"/>
  <c r="AB22" i="49"/>
  <c r="AC22" i="49"/>
  <c r="AD22" i="49"/>
  <c r="AE22" i="49"/>
  <c r="B23" i="49"/>
  <c r="C23" i="49"/>
  <c r="D23" i="49"/>
  <c r="E23" i="49"/>
  <c r="F23" i="49"/>
  <c r="G23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U23" i="49"/>
  <c r="V23" i="49"/>
  <c r="X23" i="49"/>
  <c r="Z23" i="49"/>
  <c r="AA23" i="49"/>
  <c r="AB23" i="49"/>
  <c r="AC23" i="49"/>
  <c r="AD23" i="49"/>
  <c r="AE23" i="49"/>
  <c r="B24" i="49"/>
  <c r="C24" i="49"/>
  <c r="D24" i="49"/>
  <c r="E24" i="49"/>
  <c r="F24" i="49"/>
  <c r="G24" i="49"/>
  <c r="H24" i="49"/>
  <c r="I24" i="49"/>
  <c r="J24" i="49"/>
  <c r="K24" i="49"/>
  <c r="L24" i="49"/>
  <c r="M24" i="49"/>
  <c r="N24" i="49"/>
  <c r="O24" i="49"/>
  <c r="P24" i="49"/>
  <c r="Q24" i="49"/>
  <c r="R24" i="49"/>
  <c r="S24" i="49"/>
  <c r="T24" i="49"/>
  <c r="U24" i="49"/>
  <c r="V24" i="49"/>
  <c r="X24" i="49"/>
  <c r="Y24" i="49"/>
  <c r="Z24" i="49"/>
  <c r="AA24" i="49"/>
  <c r="AB24" i="49"/>
  <c r="AC24" i="49"/>
  <c r="AD24" i="49"/>
  <c r="AE24" i="49"/>
  <c r="B25" i="49"/>
  <c r="C25" i="49"/>
  <c r="D25" i="49"/>
  <c r="E25" i="49"/>
  <c r="F25" i="49"/>
  <c r="G25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U25" i="49"/>
  <c r="V25" i="49"/>
  <c r="W25" i="49" s="1"/>
  <c r="X25" i="49"/>
  <c r="Y25" i="49"/>
  <c r="Z25" i="49"/>
  <c r="AA25" i="49"/>
  <c r="AB25" i="49"/>
  <c r="AC25" i="49"/>
  <c r="AD25" i="49"/>
  <c r="AE25" i="49"/>
  <c r="B26" i="49"/>
  <c r="C26" i="49"/>
  <c r="D26" i="49"/>
  <c r="E26" i="49"/>
  <c r="F26" i="49"/>
  <c r="G26" i="49"/>
  <c r="H26" i="49"/>
  <c r="I26" i="49"/>
  <c r="J26" i="49"/>
  <c r="K26" i="49"/>
  <c r="L26" i="49"/>
  <c r="M26" i="49"/>
  <c r="N26" i="49"/>
  <c r="O26" i="49"/>
  <c r="P26" i="49"/>
  <c r="Q26" i="49"/>
  <c r="R26" i="49"/>
  <c r="S26" i="49"/>
  <c r="T26" i="49"/>
  <c r="U26" i="49"/>
  <c r="V26" i="49"/>
  <c r="W26" i="49"/>
  <c r="X26" i="49"/>
  <c r="Y26" i="49"/>
  <c r="Z26" i="49"/>
  <c r="AA26" i="49"/>
  <c r="AB26" i="49"/>
  <c r="AC26" i="49"/>
  <c r="AD26" i="49"/>
  <c r="AE26" i="49"/>
  <c r="B27" i="49"/>
  <c r="C27" i="49"/>
  <c r="D27" i="49"/>
  <c r="E27" i="49"/>
  <c r="F27" i="49"/>
  <c r="G27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U27" i="49"/>
  <c r="V27" i="49"/>
  <c r="Y27" i="49"/>
  <c r="Z27" i="49"/>
  <c r="AA27" i="49"/>
  <c r="AB27" i="49"/>
  <c r="AC27" i="49"/>
  <c r="AD27" i="49"/>
  <c r="AE27" i="49"/>
  <c r="B28" i="49"/>
  <c r="C28" i="49"/>
  <c r="D28" i="49"/>
  <c r="E28" i="49"/>
  <c r="F28" i="49"/>
  <c r="G28" i="49"/>
  <c r="H28" i="49"/>
  <c r="I28" i="49"/>
  <c r="J28" i="49"/>
  <c r="K28" i="49"/>
  <c r="L28" i="49"/>
  <c r="M28" i="49"/>
  <c r="N28" i="49"/>
  <c r="O28" i="49"/>
  <c r="P28" i="49"/>
  <c r="Q28" i="49"/>
  <c r="R28" i="49"/>
  <c r="S28" i="49"/>
  <c r="T28" i="49"/>
  <c r="U28" i="49"/>
  <c r="X28" i="49" s="1"/>
  <c r="V28" i="49"/>
  <c r="W28" i="49"/>
  <c r="Y28" i="49"/>
  <c r="Z28" i="49"/>
  <c r="AA28" i="49"/>
  <c r="AB28" i="49"/>
  <c r="AC28" i="49"/>
  <c r="AD28" i="49"/>
  <c r="AE28" i="49"/>
  <c r="B29" i="49"/>
  <c r="C29" i="49"/>
  <c r="D29" i="49"/>
  <c r="E29" i="49"/>
  <c r="F29" i="49"/>
  <c r="G29" i="49"/>
  <c r="H29" i="49"/>
  <c r="I29" i="49"/>
  <c r="J29" i="49"/>
  <c r="K29" i="49"/>
  <c r="L29" i="49"/>
  <c r="M29" i="49"/>
  <c r="N29" i="49"/>
  <c r="O29" i="49"/>
  <c r="P29" i="49"/>
  <c r="Q29" i="49"/>
  <c r="R29" i="49"/>
  <c r="S29" i="49"/>
  <c r="T29" i="49"/>
  <c r="U29" i="49"/>
  <c r="V29" i="49"/>
  <c r="W29" i="49"/>
  <c r="X29" i="49"/>
  <c r="Y29" i="49"/>
  <c r="Z29" i="49"/>
  <c r="AA29" i="49"/>
  <c r="AB29" i="49"/>
  <c r="AC29" i="49"/>
  <c r="AD29" i="49"/>
  <c r="AE29" i="49"/>
  <c r="B30" i="49"/>
  <c r="C30" i="49"/>
  <c r="D30" i="49"/>
  <c r="E30" i="49"/>
  <c r="F30" i="49"/>
  <c r="G30" i="49"/>
  <c r="H30" i="49"/>
  <c r="I30" i="49"/>
  <c r="J30" i="49"/>
  <c r="K30" i="49"/>
  <c r="L30" i="49"/>
  <c r="M30" i="49"/>
  <c r="N30" i="49"/>
  <c r="O30" i="49"/>
  <c r="P30" i="49"/>
  <c r="Q30" i="49"/>
  <c r="R30" i="49"/>
  <c r="S30" i="49"/>
  <c r="T30" i="49"/>
  <c r="U30" i="49"/>
  <c r="V30" i="49"/>
  <c r="W30" i="49" s="1"/>
  <c r="X30" i="49"/>
  <c r="Y30" i="49"/>
  <c r="Z30" i="49"/>
  <c r="AA30" i="49"/>
  <c r="AB30" i="49"/>
  <c r="AC30" i="49"/>
  <c r="AD30" i="49"/>
  <c r="AE30" i="49"/>
  <c r="B31" i="49"/>
  <c r="C31" i="49"/>
  <c r="D31" i="49"/>
  <c r="E31" i="49"/>
  <c r="F31" i="49"/>
  <c r="G31" i="49"/>
  <c r="H31" i="49"/>
  <c r="I31" i="49"/>
  <c r="J31" i="49"/>
  <c r="K31" i="49"/>
  <c r="L31" i="49"/>
  <c r="M31" i="49"/>
  <c r="N31" i="49"/>
  <c r="O31" i="49"/>
  <c r="P31" i="49"/>
  <c r="Q31" i="49"/>
  <c r="R31" i="49"/>
  <c r="S31" i="49"/>
  <c r="T31" i="49"/>
  <c r="U31" i="49"/>
  <c r="W31" i="49" s="1"/>
  <c r="V31" i="49"/>
  <c r="X31" i="49"/>
  <c r="Y31" i="49"/>
  <c r="Z31" i="49"/>
  <c r="AA31" i="49"/>
  <c r="AB31" i="49"/>
  <c r="AC31" i="49"/>
  <c r="AD31" i="49"/>
  <c r="AE31" i="49"/>
  <c r="B32" i="49"/>
  <c r="C32" i="49"/>
  <c r="D32" i="49"/>
  <c r="E32" i="49"/>
  <c r="F32" i="49"/>
  <c r="G32" i="49"/>
  <c r="H32" i="49"/>
  <c r="I32" i="49"/>
  <c r="J32" i="49"/>
  <c r="K32" i="49"/>
  <c r="L32" i="49"/>
  <c r="M32" i="49"/>
  <c r="N32" i="49"/>
  <c r="O32" i="49"/>
  <c r="P32" i="49"/>
  <c r="Q32" i="49"/>
  <c r="R32" i="49"/>
  <c r="S32" i="49"/>
  <c r="T32" i="49"/>
  <c r="U32" i="49"/>
  <c r="V32" i="49"/>
  <c r="B33" i="49"/>
  <c r="C33" i="49"/>
  <c r="D33" i="49"/>
  <c r="E33" i="49"/>
  <c r="F33" i="49"/>
  <c r="G33" i="49"/>
  <c r="H33" i="49"/>
  <c r="I33" i="49"/>
  <c r="J33" i="49"/>
  <c r="K33" i="49"/>
  <c r="L33" i="49"/>
  <c r="M33" i="49"/>
  <c r="N33" i="49"/>
  <c r="O33" i="49"/>
  <c r="P33" i="49"/>
  <c r="Q33" i="49"/>
  <c r="R33" i="49"/>
  <c r="S33" i="49"/>
  <c r="T33" i="49"/>
  <c r="U33" i="49"/>
  <c r="V33" i="49"/>
  <c r="W33" i="49"/>
  <c r="X33" i="49"/>
  <c r="Y33" i="49"/>
  <c r="Z33" i="49"/>
  <c r="AA33" i="49"/>
  <c r="AB33" i="49"/>
  <c r="AC33" i="49"/>
  <c r="AD33" i="49"/>
  <c r="AE33" i="49"/>
  <c r="B34" i="49"/>
  <c r="C34" i="49"/>
  <c r="D34" i="49"/>
  <c r="E34" i="49"/>
  <c r="F34" i="49"/>
  <c r="G34" i="49"/>
  <c r="H34" i="49"/>
  <c r="I34" i="49"/>
  <c r="J34" i="49"/>
  <c r="K34" i="49"/>
  <c r="L34" i="49"/>
  <c r="M34" i="49"/>
  <c r="N34" i="49"/>
  <c r="O34" i="49"/>
  <c r="P34" i="49"/>
  <c r="Q34" i="49"/>
  <c r="R34" i="49"/>
  <c r="S34" i="49"/>
  <c r="T34" i="49"/>
  <c r="U34" i="49"/>
  <c r="V34" i="49"/>
  <c r="W34" i="49" s="1"/>
  <c r="X34" i="49"/>
  <c r="Y34" i="49"/>
  <c r="Z34" i="49"/>
  <c r="AA34" i="49"/>
  <c r="AB34" i="49"/>
  <c r="AC34" i="49"/>
  <c r="AD34" i="49"/>
  <c r="AE34" i="49"/>
  <c r="B35" i="49"/>
  <c r="C35" i="49"/>
  <c r="D35" i="49"/>
  <c r="E35" i="49"/>
  <c r="F35" i="49"/>
  <c r="G35" i="49"/>
  <c r="H35" i="49"/>
  <c r="I35" i="49"/>
  <c r="J35" i="49"/>
  <c r="K35" i="49"/>
  <c r="L35" i="49"/>
  <c r="M35" i="49"/>
  <c r="N35" i="49"/>
  <c r="O35" i="49"/>
  <c r="P35" i="49"/>
  <c r="Q35" i="49"/>
  <c r="R35" i="49"/>
  <c r="S35" i="49"/>
  <c r="T35" i="49"/>
  <c r="U35" i="49"/>
  <c r="W35" i="49" s="1"/>
  <c r="V35" i="49"/>
  <c r="X35" i="49"/>
  <c r="Y35" i="49"/>
  <c r="Z35" i="49"/>
  <c r="AA35" i="49"/>
  <c r="AB35" i="49"/>
  <c r="AC35" i="49"/>
  <c r="AD35" i="49"/>
  <c r="AE35" i="49"/>
  <c r="B36" i="49"/>
  <c r="C36" i="49"/>
  <c r="D36" i="49"/>
  <c r="E36" i="49"/>
  <c r="F36" i="49"/>
  <c r="G36" i="49"/>
  <c r="H36" i="49"/>
  <c r="I36" i="49"/>
  <c r="J36" i="49"/>
  <c r="K36" i="49"/>
  <c r="B37" i="49"/>
  <c r="C37" i="49"/>
  <c r="D37" i="49"/>
  <c r="E37" i="49"/>
  <c r="F37" i="49"/>
  <c r="G37" i="49"/>
  <c r="H37" i="49"/>
  <c r="I37" i="49"/>
  <c r="J37" i="49"/>
  <c r="K37" i="49"/>
  <c r="L37" i="49"/>
  <c r="M37" i="49"/>
  <c r="N37" i="49"/>
  <c r="O37" i="49"/>
  <c r="P37" i="49"/>
  <c r="Q37" i="49"/>
  <c r="R37" i="49"/>
  <c r="S37" i="49"/>
  <c r="T37" i="49"/>
  <c r="U37" i="49"/>
  <c r="V37" i="49"/>
  <c r="X37" i="49" s="1"/>
  <c r="Y37" i="49"/>
  <c r="Z37" i="49"/>
  <c r="AA37" i="49"/>
  <c r="AB37" i="49"/>
  <c r="AC37" i="49"/>
  <c r="AD37" i="49"/>
  <c r="AE37" i="49"/>
  <c r="B38" i="49"/>
  <c r="C38" i="49"/>
  <c r="D38" i="49"/>
  <c r="E38" i="49"/>
  <c r="F38" i="49"/>
  <c r="G38" i="49"/>
  <c r="H38" i="49"/>
  <c r="I38" i="49"/>
  <c r="J38" i="49"/>
  <c r="K38" i="49"/>
  <c r="L38" i="49"/>
  <c r="M38" i="49"/>
  <c r="N38" i="49"/>
  <c r="O38" i="49"/>
  <c r="P38" i="49"/>
  <c r="Q38" i="49"/>
  <c r="R38" i="49"/>
  <c r="S38" i="49"/>
  <c r="T38" i="49"/>
  <c r="U38" i="49"/>
  <c r="V38" i="49"/>
  <c r="W38" i="49" s="1"/>
  <c r="X38" i="49"/>
  <c r="Y38" i="49"/>
  <c r="Z38" i="49"/>
  <c r="AA38" i="49"/>
  <c r="AB38" i="49"/>
  <c r="AC38" i="49"/>
  <c r="AD38" i="49"/>
  <c r="AE38" i="49"/>
  <c r="B39" i="49"/>
  <c r="C39" i="49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Z39" i="49"/>
  <c r="AA39" i="49"/>
  <c r="AB39" i="49"/>
  <c r="AC39" i="49"/>
  <c r="AD39" i="49"/>
  <c r="AE39" i="49"/>
  <c r="B40" i="49"/>
  <c r="C40" i="49"/>
  <c r="D40" i="49"/>
  <c r="E40" i="49"/>
  <c r="F40" i="49"/>
  <c r="G40" i="49"/>
  <c r="H40" i="49"/>
  <c r="I40" i="49"/>
  <c r="J40" i="49"/>
  <c r="K40" i="49"/>
  <c r="L40" i="49"/>
  <c r="M40" i="49"/>
  <c r="N40" i="49"/>
  <c r="O40" i="49"/>
  <c r="P40" i="49"/>
  <c r="Q40" i="49"/>
  <c r="R40" i="49"/>
  <c r="S40" i="49"/>
  <c r="T40" i="49"/>
  <c r="U40" i="49"/>
  <c r="V40" i="49"/>
  <c r="W40" i="49"/>
  <c r="X40" i="49"/>
  <c r="Y40" i="49"/>
  <c r="Z40" i="49"/>
  <c r="AA40" i="49"/>
  <c r="AB40" i="49"/>
  <c r="AC40" i="49"/>
  <c r="AD40" i="49"/>
  <c r="AE40" i="49"/>
  <c r="B41" i="49"/>
  <c r="C41" i="49"/>
  <c r="D41" i="49"/>
  <c r="E41" i="49"/>
  <c r="F41" i="49"/>
  <c r="G41" i="49"/>
  <c r="H41" i="49"/>
  <c r="I41" i="49"/>
  <c r="J41" i="49"/>
  <c r="K41" i="49"/>
  <c r="L41" i="49"/>
  <c r="M41" i="49"/>
  <c r="N41" i="49"/>
  <c r="O41" i="49"/>
  <c r="P41" i="49"/>
  <c r="Q41" i="49"/>
  <c r="R41" i="49"/>
  <c r="S41" i="49"/>
  <c r="T41" i="49"/>
  <c r="U41" i="49"/>
  <c r="W41" i="49" s="1"/>
  <c r="V41" i="49"/>
  <c r="X41" i="49"/>
  <c r="Y41" i="49"/>
  <c r="Z41" i="49"/>
  <c r="AA41" i="49"/>
  <c r="AB41" i="49"/>
  <c r="AC41" i="49"/>
  <c r="AD41" i="49"/>
  <c r="AE41" i="49"/>
  <c r="B42" i="49"/>
  <c r="C42" i="49"/>
  <c r="D42" i="49"/>
  <c r="E42" i="49"/>
  <c r="F42" i="49"/>
  <c r="G42" i="49"/>
  <c r="H42" i="49"/>
  <c r="I42" i="49"/>
  <c r="J42" i="49"/>
  <c r="K42" i="49"/>
  <c r="L42" i="49"/>
  <c r="M42" i="49"/>
  <c r="N42" i="49"/>
  <c r="O42" i="49"/>
  <c r="P42" i="49"/>
  <c r="Q42" i="49"/>
  <c r="R42" i="49"/>
  <c r="S42" i="49"/>
  <c r="T42" i="49"/>
  <c r="U42" i="49"/>
  <c r="W42" i="49" s="1"/>
  <c r="V42" i="49"/>
  <c r="X42" i="49" s="1"/>
  <c r="Y42" i="49"/>
  <c r="Z42" i="49"/>
  <c r="AA42" i="49"/>
  <c r="AB42" i="49"/>
  <c r="AC42" i="49"/>
  <c r="AD42" i="49"/>
  <c r="AE42" i="49"/>
  <c r="B43" i="49"/>
  <c r="C43" i="49"/>
  <c r="D43" i="49"/>
  <c r="E43" i="49"/>
  <c r="F43" i="49"/>
  <c r="G43" i="49"/>
  <c r="H43" i="49"/>
  <c r="I43" i="49"/>
  <c r="J43" i="49"/>
  <c r="K43" i="49"/>
  <c r="L43" i="49"/>
  <c r="M43" i="49"/>
  <c r="N43" i="49"/>
  <c r="O43" i="49"/>
  <c r="P43" i="49"/>
  <c r="Q43" i="49"/>
  <c r="R43" i="49"/>
  <c r="S43" i="49"/>
  <c r="T43" i="49"/>
  <c r="U43" i="49"/>
  <c r="V43" i="49"/>
  <c r="W43" i="49"/>
  <c r="X43" i="49"/>
  <c r="Y43" i="49"/>
  <c r="Z43" i="49"/>
  <c r="AA43" i="49"/>
  <c r="AB43" i="49"/>
  <c r="AC43" i="49"/>
  <c r="AD43" i="49"/>
  <c r="AE43" i="49"/>
  <c r="B44" i="49"/>
  <c r="C44" i="49"/>
  <c r="D44" i="49"/>
  <c r="E44" i="49"/>
  <c r="F44" i="49"/>
  <c r="G44" i="49"/>
  <c r="H44" i="49"/>
  <c r="I44" i="49"/>
  <c r="J44" i="49"/>
  <c r="K44" i="49"/>
  <c r="L44" i="49"/>
  <c r="M44" i="49"/>
  <c r="N44" i="49"/>
  <c r="O44" i="49"/>
  <c r="P44" i="49"/>
  <c r="Q44" i="49"/>
  <c r="R44" i="49"/>
  <c r="S44" i="49"/>
  <c r="T44" i="49"/>
  <c r="U44" i="49"/>
  <c r="V44" i="49"/>
  <c r="W44" i="49"/>
  <c r="X44" i="49"/>
  <c r="Y44" i="49"/>
  <c r="Z44" i="49"/>
  <c r="AA44" i="49"/>
  <c r="AB44" i="49"/>
  <c r="AC44" i="49"/>
  <c r="AD44" i="49"/>
  <c r="AE44" i="49"/>
  <c r="B45" i="49"/>
  <c r="C45" i="49"/>
  <c r="D45" i="49"/>
  <c r="E45" i="49"/>
  <c r="F45" i="49"/>
  <c r="G45" i="49"/>
  <c r="H45" i="49"/>
  <c r="I45" i="49"/>
  <c r="J45" i="49"/>
  <c r="K45" i="49"/>
  <c r="L45" i="49"/>
  <c r="M45" i="49"/>
  <c r="N45" i="49"/>
  <c r="O45" i="49"/>
  <c r="P45" i="49"/>
  <c r="Q45" i="49"/>
  <c r="R45" i="49"/>
  <c r="S45" i="49"/>
  <c r="T45" i="49"/>
  <c r="U45" i="49"/>
  <c r="V45" i="49"/>
  <c r="W45" i="49" s="1"/>
  <c r="X45" i="49"/>
  <c r="Y45" i="49"/>
  <c r="Z45" i="49"/>
  <c r="AA45" i="49"/>
  <c r="AB45" i="49"/>
  <c r="AC45" i="49"/>
  <c r="AD45" i="49"/>
  <c r="AE45" i="49"/>
  <c r="B46" i="49"/>
  <c r="C46" i="49"/>
  <c r="D46" i="49"/>
  <c r="E46" i="49"/>
  <c r="F46" i="49"/>
  <c r="G46" i="49"/>
  <c r="H46" i="49"/>
  <c r="I46" i="49"/>
  <c r="J46" i="49"/>
  <c r="K46" i="49"/>
  <c r="L46" i="49"/>
  <c r="M46" i="49"/>
  <c r="N46" i="49"/>
  <c r="O46" i="49"/>
  <c r="P46" i="49"/>
  <c r="Q46" i="49"/>
  <c r="R46" i="49"/>
  <c r="S46" i="49"/>
  <c r="T46" i="49"/>
  <c r="U46" i="49"/>
  <c r="V46" i="49"/>
  <c r="W46" i="49"/>
  <c r="X46" i="49"/>
  <c r="Y46" i="49"/>
  <c r="Z46" i="49"/>
  <c r="AA46" i="49"/>
  <c r="AB46" i="49"/>
  <c r="AC46" i="49"/>
  <c r="AD46" i="49"/>
  <c r="AE46" i="49"/>
  <c r="B47" i="49"/>
  <c r="C47" i="49"/>
  <c r="D47" i="49"/>
  <c r="E47" i="49"/>
  <c r="F47" i="49"/>
  <c r="G47" i="49"/>
  <c r="H47" i="49"/>
  <c r="I47" i="49"/>
  <c r="J47" i="49"/>
  <c r="K47" i="49"/>
  <c r="L47" i="49"/>
  <c r="M47" i="49"/>
  <c r="N47" i="49"/>
  <c r="O47" i="49"/>
  <c r="P47" i="49"/>
  <c r="Q47" i="49"/>
  <c r="R47" i="49"/>
  <c r="S47" i="49"/>
  <c r="T47" i="49"/>
  <c r="U47" i="49"/>
  <c r="V47" i="49"/>
  <c r="Z47" i="49"/>
  <c r="AA47" i="49"/>
  <c r="AB47" i="49"/>
  <c r="AC47" i="49"/>
  <c r="AD47" i="49"/>
  <c r="AE47" i="49"/>
  <c r="B48" i="49"/>
  <c r="C48" i="49"/>
  <c r="D48" i="49"/>
  <c r="E48" i="49"/>
  <c r="F48" i="49"/>
  <c r="G48" i="49"/>
  <c r="H48" i="49"/>
  <c r="I48" i="49"/>
  <c r="J48" i="49"/>
  <c r="K48" i="49"/>
  <c r="L48" i="49"/>
  <c r="M48" i="49"/>
  <c r="N48" i="49"/>
  <c r="O48" i="49"/>
  <c r="P48" i="49"/>
  <c r="Q48" i="49"/>
  <c r="R48" i="49"/>
  <c r="S48" i="49"/>
  <c r="T48" i="49"/>
  <c r="U48" i="49"/>
  <c r="V48" i="49"/>
  <c r="Y48" i="49"/>
  <c r="Z48" i="49"/>
  <c r="AA48" i="49"/>
  <c r="AB48" i="49"/>
  <c r="AC48" i="49"/>
  <c r="AD48" i="49"/>
  <c r="AE48" i="49"/>
  <c r="B49" i="49"/>
  <c r="C49" i="49"/>
  <c r="D49" i="49"/>
  <c r="E49" i="49"/>
  <c r="F49" i="49"/>
  <c r="G49" i="49"/>
  <c r="H49" i="49"/>
  <c r="I49" i="49"/>
  <c r="J49" i="49"/>
  <c r="K49" i="49"/>
  <c r="L49" i="49"/>
  <c r="M49" i="49"/>
  <c r="N49" i="49"/>
  <c r="O49" i="49"/>
  <c r="P49" i="49"/>
  <c r="Q49" i="49"/>
  <c r="R49" i="49"/>
  <c r="S49" i="49"/>
  <c r="T49" i="49"/>
  <c r="U49" i="49"/>
  <c r="V49" i="49"/>
  <c r="AB49" i="49"/>
  <c r="AC49" i="49"/>
  <c r="AD49" i="49"/>
  <c r="AE49" i="49"/>
  <c r="B50" i="49"/>
  <c r="C50" i="49"/>
  <c r="D50" i="49"/>
  <c r="E50" i="49"/>
  <c r="F50" i="49"/>
  <c r="G50" i="49"/>
  <c r="H50" i="49"/>
  <c r="I50" i="49"/>
  <c r="J50" i="49"/>
  <c r="K50" i="49"/>
  <c r="L50" i="49"/>
  <c r="M50" i="49"/>
  <c r="N50" i="49"/>
  <c r="O50" i="49"/>
  <c r="P50" i="49"/>
  <c r="Q50" i="49"/>
  <c r="R50" i="49"/>
  <c r="S50" i="49"/>
  <c r="T50" i="49"/>
  <c r="U50" i="49"/>
  <c r="V50" i="49"/>
  <c r="Z50" i="49"/>
  <c r="AA50" i="49"/>
  <c r="AB50" i="49"/>
  <c r="AC50" i="49"/>
  <c r="AD50" i="49"/>
  <c r="AE50" i="49"/>
  <c r="B51" i="49"/>
  <c r="C51" i="49"/>
  <c r="D51" i="49"/>
  <c r="E51" i="49"/>
  <c r="F51" i="49"/>
  <c r="G51" i="49"/>
  <c r="H51" i="49"/>
  <c r="I51" i="49"/>
  <c r="J51" i="49"/>
  <c r="K51" i="49"/>
  <c r="L51" i="49"/>
  <c r="M51" i="49"/>
  <c r="N51" i="49"/>
  <c r="O51" i="49"/>
  <c r="P51" i="49"/>
  <c r="Q51" i="49"/>
  <c r="R51" i="49"/>
  <c r="S51" i="49"/>
  <c r="T51" i="49"/>
  <c r="U51" i="49"/>
  <c r="V51" i="49"/>
  <c r="W51" i="49"/>
  <c r="X51" i="49"/>
  <c r="Y51" i="49"/>
  <c r="Z51" i="49"/>
  <c r="AA51" i="49"/>
  <c r="AB51" i="49"/>
  <c r="AC51" i="49"/>
  <c r="AD51" i="49"/>
  <c r="AE51" i="49"/>
  <c r="B52" i="49"/>
  <c r="C52" i="49"/>
  <c r="D52" i="49"/>
  <c r="E52" i="49"/>
  <c r="F52" i="49"/>
  <c r="G52" i="49"/>
  <c r="H52" i="49"/>
  <c r="I52" i="49"/>
  <c r="J52" i="49"/>
  <c r="K52" i="49"/>
  <c r="L52" i="49"/>
  <c r="M52" i="49"/>
  <c r="N52" i="49"/>
  <c r="O52" i="49"/>
  <c r="P52" i="49"/>
  <c r="Q52" i="49"/>
  <c r="R52" i="49"/>
  <c r="S52" i="49"/>
  <c r="T52" i="49"/>
  <c r="U52" i="49"/>
  <c r="V52" i="49"/>
  <c r="W52" i="49"/>
  <c r="X52" i="49"/>
  <c r="Y52" i="49"/>
  <c r="Z52" i="49"/>
  <c r="AA52" i="49"/>
  <c r="AB52" i="49"/>
  <c r="AC52" i="49"/>
  <c r="AD52" i="49"/>
  <c r="AE52" i="49"/>
  <c r="B53" i="49"/>
  <c r="C53" i="49"/>
  <c r="D53" i="49"/>
  <c r="E53" i="49"/>
  <c r="F53" i="49"/>
  <c r="G53" i="49"/>
  <c r="H53" i="49"/>
  <c r="I53" i="49"/>
  <c r="J53" i="49"/>
  <c r="K53" i="49"/>
  <c r="L53" i="49"/>
  <c r="M53" i="49"/>
  <c r="N53" i="49"/>
  <c r="O53" i="49"/>
  <c r="P53" i="49"/>
  <c r="Q53" i="49"/>
  <c r="R53" i="49"/>
  <c r="S53" i="49"/>
  <c r="T53" i="49"/>
  <c r="U53" i="49"/>
  <c r="V53" i="49"/>
  <c r="W53" i="49"/>
  <c r="X53" i="49"/>
  <c r="Y53" i="49"/>
  <c r="Z53" i="49"/>
  <c r="AA53" i="49"/>
  <c r="AB53" i="49"/>
  <c r="AC53" i="49"/>
  <c r="AD53" i="49"/>
  <c r="AE53" i="49"/>
  <c r="B54" i="49"/>
  <c r="C54" i="49"/>
  <c r="D54" i="49"/>
  <c r="E54" i="49"/>
  <c r="F54" i="49"/>
  <c r="G54" i="49"/>
  <c r="H54" i="49"/>
  <c r="I54" i="49"/>
  <c r="J54" i="49"/>
  <c r="K54" i="49"/>
  <c r="L54" i="49"/>
  <c r="M54" i="49"/>
  <c r="N54" i="49"/>
  <c r="O54" i="49"/>
  <c r="P54" i="49"/>
  <c r="Q54" i="49"/>
  <c r="R54" i="49"/>
  <c r="S54" i="49"/>
  <c r="T54" i="49"/>
  <c r="U54" i="49"/>
  <c r="W54" i="49" s="1"/>
  <c r="V54" i="49"/>
  <c r="Y54" i="49"/>
  <c r="Z54" i="49"/>
  <c r="AA54" i="49"/>
  <c r="AB54" i="49"/>
  <c r="AC54" i="49"/>
  <c r="AD54" i="49"/>
  <c r="AE54" i="49"/>
  <c r="B55" i="49"/>
  <c r="C55" i="49"/>
  <c r="D55" i="49"/>
  <c r="E55" i="49"/>
  <c r="F55" i="49"/>
  <c r="G55" i="49"/>
  <c r="H55" i="49"/>
  <c r="I55" i="49"/>
  <c r="J55" i="49"/>
  <c r="K55" i="49"/>
  <c r="L55" i="49"/>
  <c r="M55" i="49"/>
  <c r="N55" i="49"/>
  <c r="O55" i="49"/>
  <c r="P55" i="49"/>
  <c r="Q55" i="49"/>
  <c r="R55" i="49"/>
  <c r="S55" i="49"/>
  <c r="T55" i="49"/>
  <c r="U55" i="49"/>
  <c r="W55" i="49" s="1"/>
  <c r="V55" i="49"/>
  <c r="X55" i="49"/>
  <c r="Y55" i="49"/>
  <c r="Z55" i="49"/>
  <c r="AA55" i="49"/>
  <c r="AB55" i="49"/>
  <c r="AC55" i="49"/>
  <c r="AD55" i="49"/>
  <c r="AE55" i="49"/>
  <c r="B56" i="49"/>
  <c r="C56" i="49"/>
  <c r="D56" i="49"/>
  <c r="E56" i="49"/>
  <c r="F56" i="49"/>
  <c r="G56" i="49"/>
  <c r="H56" i="49"/>
  <c r="I56" i="49"/>
  <c r="J56" i="49"/>
  <c r="K56" i="49"/>
  <c r="L56" i="49"/>
  <c r="M56" i="49"/>
  <c r="N56" i="49"/>
  <c r="O56" i="49"/>
  <c r="P56" i="49"/>
  <c r="Q56" i="49"/>
  <c r="R56" i="49"/>
  <c r="S56" i="49"/>
  <c r="T56" i="49"/>
  <c r="U56" i="49"/>
  <c r="V56" i="49"/>
  <c r="X56" i="49"/>
  <c r="Y56" i="49"/>
  <c r="Z56" i="49"/>
  <c r="AA56" i="49"/>
  <c r="AB56" i="49"/>
  <c r="AC56" i="49"/>
  <c r="AD56" i="49"/>
  <c r="AE56" i="49"/>
  <c r="B57" i="49"/>
  <c r="C57" i="49"/>
  <c r="D57" i="49"/>
  <c r="E57" i="49"/>
  <c r="F57" i="49"/>
  <c r="G57" i="49"/>
  <c r="H57" i="49"/>
  <c r="I57" i="49"/>
  <c r="J57" i="49"/>
  <c r="K57" i="49"/>
  <c r="L57" i="49"/>
  <c r="M57" i="49"/>
  <c r="N57" i="49"/>
  <c r="O57" i="49"/>
  <c r="P57" i="49"/>
  <c r="Q57" i="49"/>
  <c r="R57" i="49"/>
  <c r="S57" i="49"/>
  <c r="T57" i="49"/>
  <c r="U57" i="49"/>
  <c r="V57" i="49"/>
  <c r="W57" i="49"/>
  <c r="X57" i="49"/>
  <c r="Y57" i="49"/>
  <c r="Z57" i="49"/>
  <c r="AA57" i="49"/>
  <c r="AB57" i="49"/>
  <c r="AC57" i="49"/>
  <c r="AD57" i="49"/>
  <c r="AE57" i="49"/>
  <c r="B58" i="49"/>
  <c r="C58" i="49"/>
  <c r="D58" i="49"/>
  <c r="E58" i="49"/>
  <c r="F58" i="49"/>
  <c r="G58" i="49"/>
  <c r="H58" i="49"/>
  <c r="I58" i="49"/>
  <c r="J58" i="49"/>
  <c r="K58" i="49"/>
  <c r="L58" i="49"/>
  <c r="M58" i="49"/>
  <c r="N58" i="49"/>
  <c r="O58" i="49"/>
  <c r="P58" i="49"/>
  <c r="Q58" i="49"/>
  <c r="R58" i="49"/>
  <c r="S58" i="49"/>
  <c r="T58" i="49"/>
  <c r="U58" i="49"/>
  <c r="V58" i="49"/>
  <c r="W58" i="49"/>
  <c r="X58" i="49"/>
  <c r="Y58" i="49"/>
  <c r="Z58" i="49"/>
  <c r="AA58" i="49"/>
  <c r="AB58" i="49"/>
  <c r="AC58" i="49"/>
  <c r="AD58" i="49"/>
  <c r="AE58" i="49"/>
  <c r="B59" i="49"/>
  <c r="C59" i="49"/>
  <c r="D59" i="49"/>
  <c r="E59" i="49"/>
  <c r="F59" i="49"/>
  <c r="G59" i="49"/>
  <c r="H59" i="49"/>
  <c r="I59" i="49"/>
  <c r="J59" i="49"/>
  <c r="K59" i="49"/>
  <c r="L59" i="49"/>
  <c r="M59" i="49"/>
  <c r="N59" i="49"/>
  <c r="O59" i="49"/>
  <c r="P59" i="49"/>
  <c r="Q59" i="49"/>
  <c r="R59" i="49"/>
  <c r="S59" i="49"/>
  <c r="T59" i="49"/>
  <c r="X59" i="49" s="1"/>
  <c r="U59" i="49"/>
  <c r="Y59" i="49" s="1"/>
  <c r="V59" i="49"/>
  <c r="W59" i="49" s="1"/>
  <c r="Z59" i="49"/>
  <c r="AA59" i="49"/>
  <c r="AB59" i="49"/>
  <c r="AC59" i="49"/>
  <c r="AD59" i="49"/>
  <c r="AE59" i="49"/>
  <c r="B60" i="49"/>
  <c r="C60" i="49"/>
  <c r="D60" i="49"/>
  <c r="E60" i="49"/>
  <c r="F60" i="49"/>
  <c r="G60" i="49"/>
  <c r="H60" i="49"/>
  <c r="I60" i="49"/>
  <c r="J60" i="49"/>
  <c r="K60" i="49"/>
  <c r="L60" i="49"/>
  <c r="M60" i="49"/>
  <c r="N60" i="49"/>
  <c r="O60" i="49"/>
  <c r="P60" i="49"/>
  <c r="Q60" i="49"/>
  <c r="R60" i="49"/>
  <c r="S60" i="49"/>
  <c r="T60" i="49"/>
  <c r="U60" i="49"/>
  <c r="V60" i="49"/>
  <c r="X60" i="49"/>
  <c r="Z60" i="49"/>
  <c r="AA60" i="49"/>
  <c r="AB60" i="49"/>
  <c r="AC60" i="49"/>
  <c r="AD60" i="49"/>
  <c r="AE60" i="49"/>
  <c r="B61" i="49"/>
  <c r="C61" i="49"/>
  <c r="D61" i="49"/>
  <c r="E61" i="49"/>
  <c r="F61" i="49"/>
  <c r="G61" i="49"/>
  <c r="H61" i="49"/>
  <c r="I61" i="49"/>
  <c r="J61" i="49"/>
  <c r="K61" i="49"/>
  <c r="L61" i="49"/>
  <c r="M61" i="49"/>
  <c r="N61" i="49"/>
  <c r="O61" i="49"/>
  <c r="P61" i="49"/>
  <c r="Q61" i="49"/>
  <c r="R61" i="49"/>
  <c r="S61" i="49"/>
  <c r="T61" i="49"/>
  <c r="U61" i="49"/>
  <c r="V61" i="49"/>
  <c r="W61" i="49" s="1"/>
  <c r="X61" i="49"/>
  <c r="Y61" i="49"/>
  <c r="Z61" i="49"/>
  <c r="AA61" i="49"/>
  <c r="AB61" i="49"/>
  <c r="AC61" i="49"/>
  <c r="AD61" i="49"/>
  <c r="AE61" i="49"/>
  <c r="B62" i="49"/>
  <c r="C62" i="49"/>
  <c r="D62" i="49"/>
  <c r="E62" i="49"/>
  <c r="F62" i="49"/>
  <c r="G62" i="49"/>
  <c r="H62" i="49"/>
  <c r="I62" i="49"/>
  <c r="J62" i="49"/>
  <c r="K62" i="49"/>
  <c r="L62" i="49"/>
  <c r="M62" i="49"/>
  <c r="N62" i="49"/>
  <c r="O62" i="49"/>
  <c r="P62" i="49"/>
  <c r="Q62" i="49"/>
  <c r="R62" i="49"/>
  <c r="S62" i="49"/>
  <c r="T62" i="49"/>
  <c r="U62" i="49"/>
  <c r="V62" i="49"/>
  <c r="W62" i="49"/>
  <c r="X62" i="49"/>
  <c r="Y62" i="49"/>
  <c r="Z62" i="49"/>
  <c r="AA62" i="49"/>
  <c r="AB62" i="49"/>
  <c r="AC62" i="49"/>
  <c r="AD62" i="49"/>
  <c r="AE62" i="49"/>
  <c r="B63" i="49"/>
  <c r="C63" i="49"/>
  <c r="D63" i="49"/>
  <c r="E63" i="49"/>
  <c r="F63" i="49"/>
  <c r="G63" i="49"/>
  <c r="H63" i="49"/>
  <c r="I63" i="49"/>
  <c r="J63" i="49"/>
  <c r="K63" i="49"/>
  <c r="L63" i="49"/>
  <c r="M63" i="49"/>
  <c r="N63" i="49"/>
  <c r="O63" i="49"/>
  <c r="P63" i="49"/>
  <c r="Q63" i="49"/>
  <c r="R63" i="49"/>
  <c r="S63" i="49"/>
  <c r="T63" i="49"/>
  <c r="U63" i="49"/>
  <c r="V63" i="49"/>
  <c r="W63" i="49"/>
  <c r="X63" i="49"/>
  <c r="Y63" i="49"/>
  <c r="Z63" i="49"/>
  <c r="AA63" i="49"/>
  <c r="AB63" i="49"/>
  <c r="AC63" i="49"/>
  <c r="AD63" i="49"/>
  <c r="AE63" i="49"/>
  <c r="B64" i="49"/>
  <c r="C64" i="49"/>
  <c r="D64" i="49"/>
  <c r="E64" i="49"/>
  <c r="F64" i="49"/>
  <c r="G64" i="49"/>
  <c r="H64" i="49"/>
  <c r="I64" i="49"/>
  <c r="J64" i="49"/>
  <c r="K64" i="49"/>
  <c r="L64" i="49"/>
  <c r="M64" i="49"/>
  <c r="N64" i="49"/>
  <c r="O64" i="49"/>
  <c r="P64" i="49"/>
  <c r="Q64" i="49"/>
  <c r="R64" i="49"/>
  <c r="S64" i="49"/>
  <c r="T64" i="49"/>
  <c r="U64" i="49"/>
  <c r="W64" i="49" s="1"/>
  <c r="V64" i="49"/>
  <c r="X64" i="49"/>
  <c r="Y64" i="49"/>
  <c r="Z64" i="49"/>
  <c r="AA64" i="49"/>
  <c r="AB64" i="49"/>
  <c r="AC64" i="49"/>
  <c r="AD64" i="49"/>
  <c r="AE64" i="49"/>
  <c r="B65" i="49"/>
  <c r="C65" i="49"/>
  <c r="D65" i="49"/>
  <c r="E65" i="49"/>
  <c r="F65" i="49"/>
  <c r="G65" i="49"/>
  <c r="H65" i="49"/>
  <c r="I65" i="49"/>
  <c r="J65" i="49"/>
  <c r="K65" i="49"/>
  <c r="L65" i="49"/>
  <c r="M65" i="49"/>
  <c r="N65" i="49"/>
  <c r="O65" i="49"/>
  <c r="P65" i="49"/>
  <c r="B66" i="49"/>
  <c r="C66" i="49"/>
  <c r="D66" i="49"/>
  <c r="E66" i="49"/>
  <c r="F66" i="49"/>
  <c r="G66" i="49"/>
  <c r="H66" i="49"/>
  <c r="I66" i="49"/>
  <c r="J66" i="49"/>
  <c r="B67" i="49"/>
  <c r="C67" i="49"/>
  <c r="D67" i="49"/>
  <c r="E67" i="49"/>
  <c r="F67" i="49"/>
  <c r="G67" i="49"/>
  <c r="H67" i="49"/>
  <c r="I67" i="49"/>
  <c r="J67" i="49"/>
  <c r="B68" i="49"/>
  <c r="C68" i="49"/>
  <c r="D68" i="49"/>
  <c r="E68" i="49"/>
  <c r="F68" i="49"/>
  <c r="G68" i="49"/>
  <c r="H68" i="49"/>
  <c r="I68" i="49"/>
  <c r="J68" i="49"/>
  <c r="B69" i="49"/>
  <c r="C69" i="49"/>
  <c r="D69" i="49"/>
  <c r="E69" i="49"/>
  <c r="F69" i="49"/>
  <c r="G69" i="49"/>
  <c r="H69" i="49"/>
  <c r="I69" i="49"/>
  <c r="J69" i="49"/>
  <c r="B70" i="49"/>
  <c r="C70" i="49"/>
  <c r="D70" i="49"/>
  <c r="E70" i="49"/>
  <c r="F70" i="49"/>
  <c r="G70" i="49"/>
  <c r="H70" i="49"/>
  <c r="I70" i="49"/>
  <c r="J70" i="49"/>
  <c r="B71" i="49"/>
  <c r="C71" i="49"/>
  <c r="D71" i="49"/>
  <c r="E71" i="49"/>
  <c r="F71" i="49"/>
  <c r="G71" i="49"/>
  <c r="H71" i="49"/>
  <c r="I71" i="49"/>
  <c r="J71" i="49"/>
  <c r="B72" i="49"/>
  <c r="C72" i="49"/>
  <c r="D72" i="49"/>
  <c r="E72" i="49"/>
  <c r="F72" i="49"/>
  <c r="G72" i="49"/>
  <c r="H72" i="49"/>
  <c r="I72" i="49"/>
  <c r="J72" i="49"/>
  <c r="B73" i="49"/>
  <c r="C73" i="49"/>
  <c r="D73" i="49"/>
  <c r="E73" i="49"/>
  <c r="F73" i="49"/>
  <c r="G73" i="49"/>
  <c r="H73" i="49"/>
  <c r="I73" i="49"/>
  <c r="J73" i="49"/>
  <c r="B74" i="49"/>
  <c r="C74" i="49"/>
  <c r="D74" i="49"/>
  <c r="E74" i="49"/>
  <c r="F74" i="49"/>
  <c r="G74" i="49"/>
  <c r="H74" i="49"/>
  <c r="I74" i="49"/>
  <c r="J74" i="49"/>
  <c r="B75" i="49"/>
  <c r="C75" i="49"/>
  <c r="D75" i="49"/>
  <c r="E75" i="49"/>
  <c r="F75" i="49"/>
  <c r="G75" i="49"/>
  <c r="H75" i="49"/>
  <c r="I75" i="49"/>
  <c r="J75" i="49"/>
  <c r="B76" i="49"/>
  <c r="C76" i="49"/>
  <c r="D76" i="49"/>
  <c r="E76" i="49"/>
  <c r="F76" i="49"/>
  <c r="G76" i="49"/>
  <c r="H76" i="49"/>
  <c r="I76" i="49"/>
  <c r="J76" i="49"/>
  <c r="B77" i="49"/>
  <c r="C77" i="49"/>
  <c r="D77" i="49"/>
  <c r="E77" i="49"/>
  <c r="F77" i="49"/>
  <c r="G77" i="49"/>
  <c r="H77" i="49"/>
  <c r="I77" i="49"/>
  <c r="J77" i="49"/>
  <c r="B78" i="49"/>
  <c r="C78" i="49"/>
  <c r="D78" i="49"/>
  <c r="E78" i="49"/>
  <c r="F78" i="49"/>
  <c r="G78" i="49"/>
  <c r="H78" i="49"/>
  <c r="I78" i="49"/>
  <c r="J78" i="49"/>
  <c r="B79" i="49"/>
  <c r="C79" i="49"/>
  <c r="D79" i="49"/>
  <c r="E79" i="49"/>
  <c r="F79" i="49"/>
  <c r="G79" i="49"/>
  <c r="H79" i="49"/>
  <c r="I79" i="49"/>
  <c r="J79" i="49"/>
  <c r="B80" i="49"/>
  <c r="C80" i="49"/>
  <c r="D80" i="49"/>
  <c r="E80" i="49"/>
  <c r="F80" i="49"/>
  <c r="G80" i="49"/>
  <c r="H80" i="49"/>
  <c r="I80" i="49"/>
  <c r="J80" i="49"/>
  <c r="B81" i="49"/>
  <c r="C81" i="49"/>
  <c r="D81" i="49"/>
  <c r="E81" i="49"/>
  <c r="F81" i="49"/>
  <c r="G81" i="49"/>
  <c r="H81" i="49"/>
  <c r="I81" i="49"/>
  <c r="J81" i="49"/>
  <c r="B82" i="49"/>
  <c r="C82" i="49"/>
  <c r="D82" i="49"/>
  <c r="E82" i="49"/>
  <c r="F82" i="49"/>
  <c r="G82" i="49"/>
  <c r="H82" i="49"/>
  <c r="I82" i="49"/>
  <c r="J82" i="49"/>
  <c r="B83" i="49"/>
  <c r="C83" i="49"/>
  <c r="D83" i="49"/>
  <c r="E83" i="49"/>
  <c r="F83" i="49"/>
  <c r="G83" i="49"/>
  <c r="H83" i="49"/>
  <c r="I83" i="49"/>
  <c r="J83" i="49"/>
  <c r="B84" i="49"/>
  <c r="C84" i="49" s="1"/>
  <c r="D84" i="49"/>
  <c r="E84" i="49"/>
  <c r="F84" i="49"/>
  <c r="G84" i="49"/>
  <c r="H84" i="49"/>
  <c r="I84" i="49"/>
  <c r="J84" i="49"/>
  <c r="B85" i="49"/>
  <c r="C85" i="49"/>
  <c r="D85" i="49"/>
  <c r="E85" i="49"/>
  <c r="F85" i="49"/>
  <c r="G85" i="49"/>
  <c r="H85" i="49"/>
  <c r="I85" i="49"/>
  <c r="J85" i="49"/>
  <c r="A1" i="48"/>
  <c r="P2" i="48"/>
  <c r="J3" i="48"/>
  <c r="J4" i="48"/>
  <c r="M4" i="48"/>
  <c r="AI4" i="48"/>
  <c r="J5" i="48"/>
  <c r="J6" i="48"/>
  <c r="B10" i="48"/>
  <c r="C10" i="48"/>
  <c r="D10" i="48"/>
  <c r="E10" i="48"/>
  <c r="F10" i="48"/>
  <c r="G10" i="48"/>
  <c r="H10" i="48"/>
  <c r="I10" i="48"/>
  <c r="J10" i="48"/>
  <c r="Q10" i="48"/>
  <c r="R10" i="48"/>
  <c r="S10" i="48"/>
  <c r="T10" i="48"/>
  <c r="U10" i="48"/>
  <c r="V10" i="48"/>
  <c r="B11" i="48"/>
  <c r="C11" i="48"/>
  <c r="D11" i="48"/>
  <c r="E11" i="48"/>
  <c r="F11" i="48"/>
  <c r="G11" i="48"/>
  <c r="H11" i="48"/>
  <c r="I11" i="48"/>
  <c r="J11" i="48"/>
  <c r="K11" i="48"/>
  <c r="L11" i="48"/>
  <c r="M11" i="48"/>
  <c r="N11" i="48"/>
  <c r="O11" i="48"/>
  <c r="P11" i="48"/>
  <c r="Q11" i="48"/>
  <c r="R11" i="48"/>
  <c r="S11" i="48"/>
  <c r="T11" i="48"/>
  <c r="U11" i="48"/>
  <c r="V11" i="48"/>
  <c r="Y11" i="48"/>
  <c r="Z11" i="48"/>
  <c r="AA11" i="48"/>
  <c r="AB11" i="48"/>
  <c r="AC11" i="48"/>
  <c r="AD11" i="48"/>
  <c r="AE11" i="48"/>
  <c r="B12" i="48"/>
  <c r="C12" i="48"/>
  <c r="D12" i="48"/>
  <c r="E12" i="48"/>
  <c r="F12" i="48"/>
  <c r="G12" i="48"/>
  <c r="H12" i="48"/>
  <c r="I12" i="48"/>
  <c r="J12" i="48"/>
  <c r="K12" i="48"/>
  <c r="L12" i="48"/>
  <c r="M12" i="48"/>
  <c r="N12" i="48"/>
  <c r="O12" i="48"/>
  <c r="P12" i="48"/>
  <c r="Q12" i="48"/>
  <c r="R12" i="48"/>
  <c r="S12" i="48"/>
  <c r="T12" i="48"/>
  <c r="U12" i="48"/>
  <c r="V12" i="48"/>
  <c r="AB12" i="48"/>
  <c r="AC12" i="48"/>
  <c r="AD12" i="48"/>
  <c r="AE12" i="48"/>
  <c r="B13" i="48"/>
  <c r="I13" i="48"/>
  <c r="J13" i="48"/>
  <c r="K13" i="48"/>
  <c r="L13" i="48"/>
  <c r="M13" i="48"/>
  <c r="N13" i="48"/>
  <c r="O13" i="48"/>
  <c r="P13" i="48"/>
  <c r="Q13" i="48"/>
  <c r="R13" i="48"/>
  <c r="S13" i="48"/>
  <c r="T13" i="48"/>
  <c r="U13" i="48"/>
  <c r="V13" i="48"/>
  <c r="Y13" i="48"/>
  <c r="Z13" i="48"/>
  <c r="AA13" i="48"/>
  <c r="AB13" i="48"/>
  <c r="AC13" i="48"/>
  <c r="AD13" i="48"/>
  <c r="AE13" i="48"/>
  <c r="B14" i="48"/>
  <c r="C14" i="48"/>
  <c r="D14" i="48"/>
  <c r="E14" i="48"/>
  <c r="F14" i="48"/>
  <c r="G14" i="48"/>
  <c r="H14" i="48"/>
  <c r="I14" i="48"/>
  <c r="J14" i="48"/>
  <c r="K14" i="48"/>
  <c r="L14" i="48"/>
  <c r="M14" i="48"/>
  <c r="N14" i="48"/>
  <c r="O14" i="48"/>
  <c r="P14" i="48"/>
  <c r="Q14" i="48"/>
  <c r="R14" i="48"/>
  <c r="S14" i="48"/>
  <c r="T14" i="48"/>
  <c r="U14" i="48"/>
  <c r="V14" i="48"/>
  <c r="Y14" i="48"/>
  <c r="Z14" i="48"/>
  <c r="AA14" i="48"/>
  <c r="AB14" i="48"/>
  <c r="AC14" i="48"/>
  <c r="AD14" i="48"/>
  <c r="AE14" i="48"/>
  <c r="B15" i="48"/>
  <c r="C15" i="48"/>
  <c r="D15" i="48"/>
  <c r="E15" i="48"/>
  <c r="F15" i="48"/>
  <c r="G15" i="48"/>
  <c r="H15" i="48"/>
  <c r="I15" i="48"/>
  <c r="J15" i="48"/>
  <c r="K15" i="48"/>
  <c r="L15" i="48"/>
  <c r="M15" i="48"/>
  <c r="N15" i="48"/>
  <c r="O15" i="48"/>
  <c r="P15" i="48"/>
  <c r="Q15" i="48"/>
  <c r="R15" i="48"/>
  <c r="S15" i="48"/>
  <c r="T15" i="48"/>
  <c r="U15" i="48"/>
  <c r="V15" i="48"/>
  <c r="X15" i="48"/>
  <c r="Y15" i="48"/>
  <c r="Z15" i="48"/>
  <c r="AA15" i="48"/>
  <c r="AB15" i="48"/>
  <c r="AC15" i="48"/>
  <c r="AD15" i="48"/>
  <c r="AE15" i="48"/>
  <c r="B16" i="48"/>
  <c r="C16" i="48" s="1"/>
  <c r="D16" i="48"/>
  <c r="E16" i="48"/>
  <c r="F16" i="48"/>
  <c r="G16" i="48"/>
  <c r="H16" i="48"/>
  <c r="I16" i="48"/>
  <c r="J16" i="48"/>
  <c r="K16" i="48"/>
  <c r="L16" i="48"/>
  <c r="M16" i="48"/>
  <c r="N16" i="48"/>
  <c r="O16" i="48"/>
  <c r="P16" i="48"/>
  <c r="Q16" i="48"/>
  <c r="R16" i="48"/>
  <c r="S16" i="48"/>
  <c r="T16" i="48"/>
  <c r="U16" i="48"/>
  <c r="V16" i="48"/>
  <c r="W16" i="48"/>
  <c r="X16" i="48"/>
  <c r="Y16" i="48"/>
  <c r="Z16" i="48"/>
  <c r="AA16" i="48"/>
  <c r="AB16" i="48"/>
  <c r="AC16" i="48"/>
  <c r="AD16" i="48"/>
  <c r="AE16" i="48"/>
  <c r="B17" i="48"/>
  <c r="C17" i="48" s="1"/>
  <c r="D17" i="48"/>
  <c r="E17" i="48"/>
  <c r="F17" i="48"/>
  <c r="G17" i="48"/>
  <c r="H17" i="48"/>
  <c r="I17" i="48"/>
  <c r="J17" i="48"/>
  <c r="K17" i="48"/>
  <c r="L17" i="48"/>
  <c r="M17" i="48"/>
  <c r="N17" i="48"/>
  <c r="O17" i="48"/>
  <c r="P17" i="48"/>
  <c r="Q17" i="48"/>
  <c r="R17" i="48"/>
  <c r="S17" i="48"/>
  <c r="T17" i="48"/>
  <c r="U17" i="48"/>
  <c r="V17" i="48"/>
  <c r="W17" i="48"/>
  <c r="X17" i="48"/>
  <c r="Y17" i="48"/>
  <c r="Z17" i="48"/>
  <c r="AA17" i="48"/>
  <c r="AB17" i="48"/>
  <c r="AC17" i="48"/>
  <c r="AD17" i="48"/>
  <c r="AE17" i="48"/>
  <c r="B18" i="48"/>
  <c r="C18" i="48"/>
  <c r="D18" i="48"/>
  <c r="E18" i="48"/>
  <c r="F18" i="48"/>
  <c r="G18" i="48"/>
  <c r="H18" i="48"/>
  <c r="I18" i="48"/>
  <c r="J18" i="48"/>
  <c r="K18" i="48"/>
  <c r="L18" i="48"/>
  <c r="M18" i="48"/>
  <c r="N18" i="48"/>
  <c r="O18" i="48"/>
  <c r="P18" i="48"/>
  <c r="Q18" i="48"/>
  <c r="R18" i="48"/>
  <c r="S18" i="48"/>
  <c r="T18" i="48"/>
  <c r="U18" i="48"/>
  <c r="V18" i="48"/>
  <c r="Y18" i="48"/>
  <c r="Z18" i="48"/>
  <c r="AA18" i="48"/>
  <c r="AB18" i="48"/>
  <c r="AC18" i="48"/>
  <c r="AD18" i="48"/>
  <c r="AE18" i="48"/>
  <c r="B19" i="48"/>
  <c r="E19" i="48"/>
  <c r="F19" i="48"/>
  <c r="G19" i="48"/>
  <c r="H19" i="48"/>
  <c r="I19" i="48"/>
  <c r="J19" i="48"/>
  <c r="K19" i="48"/>
  <c r="L19" i="48"/>
  <c r="M19" i="48"/>
  <c r="N19" i="48"/>
  <c r="O19" i="48"/>
  <c r="P19" i="48"/>
  <c r="Q19" i="48"/>
  <c r="R19" i="48"/>
  <c r="S19" i="48"/>
  <c r="T19" i="48"/>
  <c r="U19" i="48"/>
  <c r="V19" i="48"/>
  <c r="W19" i="48" s="1"/>
  <c r="X19" i="48"/>
  <c r="Y19" i="48"/>
  <c r="Z19" i="48"/>
  <c r="AA19" i="48"/>
  <c r="AB19" i="48"/>
  <c r="AC19" i="48"/>
  <c r="AD19" i="48"/>
  <c r="AE19" i="48"/>
  <c r="B20" i="48"/>
  <c r="C20" i="48"/>
  <c r="D20" i="48"/>
  <c r="E20" i="48"/>
  <c r="F20" i="48"/>
  <c r="G20" i="48"/>
  <c r="H20" i="48"/>
  <c r="I20" i="48"/>
  <c r="J20" i="48"/>
  <c r="K20" i="48"/>
  <c r="L20" i="48"/>
  <c r="M20" i="48"/>
  <c r="N20" i="48"/>
  <c r="O20" i="48"/>
  <c r="P20" i="48"/>
  <c r="Q20" i="48"/>
  <c r="R20" i="48"/>
  <c r="S20" i="48"/>
  <c r="T20" i="48"/>
  <c r="U20" i="48"/>
  <c r="V20" i="48"/>
  <c r="W20" i="48" s="1"/>
  <c r="X20" i="48"/>
  <c r="Y20" i="48"/>
  <c r="Z20" i="48"/>
  <c r="AA20" i="48"/>
  <c r="AB20" i="48"/>
  <c r="AC20" i="48"/>
  <c r="AD20" i="48"/>
  <c r="AE20" i="48"/>
  <c r="B21" i="48"/>
  <c r="C21" i="48"/>
  <c r="D21" i="48"/>
  <c r="E21" i="48"/>
  <c r="F21" i="48"/>
  <c r="G21" i="48"/>
  <c r="H21" i="48"/>
  <c r="I21" i="48"/>
  <c r="J21" i="48"/>
  <c r="K21" i="48"/>
  <c r="L21" i="48"/>
  <c r="M21" i="48"/>
  <c r="N21" i="48"/>
  <c r="O21" i="48"/>
  <c r="P21" i="48"/>
  <c r="Q21" i="48"/>
  <c r="R21" i="48"/>
  <c r="S21" i="48"/>
  <c r="T21" i="48"/>
  <c r="U21" i="48"/>
  <c r="V21" i="48"/>
  <c r="X21" i="48"/>
  <c r="Y21" i="48"/>
  <c r="Z21" i="48"/>
  <c r="AA21" i="48"/>
  <c r="AB21" i="48"/>
  <c r="AC21" i="48"/>
  <c r="AD21" i="48"/>
  <c r="AE21" i="48"/>
  <c r="B22" i="48"/>
  <c r="C22" i="48" s="1"/>
  <c r="D22" i="48"/>
  <c r="E22" i="48"/>
  <c r="F22" i="48"/>
  <c r="G22" i="48"/>
  <c r="H22" i="48"/>
  <c r="I22" i="48"/>
  <c r="J22" i="48"/>
  <c r="K22" i="48"/>
  <c r="L22" i="48"/>
  <c r="M22" i="48"/>
  <c r="N22" i="48"/>
  <c r="O22" i="48"/>
  <c r="P22" i="48"/>
  <c r="Q22" i="48"/>
  <c r="R22" i="48"/>
  <c r="S22" i="48"/>
  <c r="T22" i="48"/>
  <c r="U22" i="48"/>
  <c r="V22" i="48"/>
  <c r="X22" i="48"/>
  <c r="Y22" i="48"/>
  <c r="Z22" i="48"/>
  <c r="AA22" i="48"/>
  <c r="AB22" i="48"/>
  <c r="AC22" i="48"/>
  <c r="AD22" i="48"/>
  <c r="AE22" i="48"/>
  <c r="B23" i="48"/>
  <c r="C23" i="48"/>
  <c r="D23" i="48"/>
  <c r="E23" i="48"/>
  <c r="F23" i="48"/>
  <c r="G23" i="48"/>
  <c r="H23" i="48"/>
  <c r="I23" i="48"/>
  <c r="J23" i="48"/>
  <c r="K23" i="48"/>
  <c r="L23" i="48"/>
  <c r="M23" i="48"/>
  <c r="N23" i="48"/>
  <c r="O23" i="48"/>
  <c r="P23" i="48"/>
  <c r="Q23" i="48"/>
  <c r="R23" i="48"/>
  <c r="S23" i="48"/>
  <c r="T23" i="48"/>
  <c r="U23" i="48"/>
  <c r="V23" i="48"/>
  <c r="W23" i="48" s="1"/>
  <c r="X23" i="48"/>
  <c r="Y23" i="48"/>
  <c r="Z23" i="48"/>
  <c r="AA23" i="48"/>
  <c r="AB23" i="48"/>
  <c r="AC23" i="48"/>
  <c r="AD23" i="48"/>
  <c r="AE23" i="48"/>
  <c r="B24" i="48"/>
  <c r="C24" i="48"/>
  <c r="D24" i="48"/>
  <c r="E24" i="48"/>
  <c r="F24" i="48"/>
  <c r="G24" i="48"/>
  <c r="H24" i="48"/>
  <c r="I24" i="48"/>
  <c r="J24" i="48"/>
  <c r="K24" i="48"/>
  <c r="L24" i="48"/>
  <c r="M24" i="48"/>
  <c r="N24" i="48"/>
  <c r="O24" i="48"/>
  <c r="P24" i="48"/>
  <c r="Q24" i="48"/>
  <c r="R24" i="48"/>
  <c r="S24" i="48"/>
  <c r="T24" i="48"/>
  <c r="U24" i="48"/>
  <c r="V24" i="48"/>
  <c r="W24" i="48"/>
  <c r="X24" i="48"/>
  <c r="Y24" i="48"/>
  <c r="Z24" i="48"/>
  <c r="AA24" i="48"/>
  <c r="AB24" i="48"/>
  <c r="AC24" i="48"/>
  <c r="AD24" i="48"/>
  <c r="AE24" i="48"/>
  <c r="B25" i="48"/>
  <c r="C25" i="48"/>
  <c r="D25" i="48"/>
  <c r="E25" i="48"/>
  <c r="F25" i="48"/>
  <c r="G25" i="48"/>
  <c r="H25" i="48"/>
  <c r="I25" i="48"/>
  <c r="J25" i="48"/>
  <c r="K25" i="48"/>
  <c r="L25" i="48"/>
  <c r="M25" i="48"/>
  <c r="N25" i="48"/>
  <c r="O25" i="48"/>
  <c r="P25" i="48"/>
  <c r="Q25" i="48"/>
  <c r="R25" i="48"/>
  <c r="S25" i="48"/>
  <c r="T25" i="48"/>
  <c r="U25" i="48"/>
  <c r="V25" i="48"/>
  <c r="W25" i="48"/>
  <c r="X25" i="48"/>
  <c r="Y25" i="48"/>
  <c r="Z25" i="48"/>
  <c r="AA25" i="48"/>
  <c r="AB25" i="48"/>
  <c r="AC25" i="48"/>
  <c r="AD25" i="48"/>
  <c r="AE25" i="48"/>
  <c r="B26" i="48"/>
  <c r="E26" i="48"/>
  <c r="F26" i="48"/>
  <c r="G26" i="48"/>
  <c r="H26" i="48"/>
  <c r="I26" i="48"/>
  <c r="J26" i="48"/>
  <c r="K26" i="48"/>
  <c r="L26" i="48"/>
  <c r="M26" i="48"/>
  <c r="N26" i="48"/>
  <c r="O26" i="48"/>
  <c r="P26" i="48"/>
  <c r="Q26" i="48"/>
  <c r="R26" i="48"/>
  <c r="S26" i="48"/>
  <c r="T26" i="48"/>
  <c r="U26" i="48"/>
  <c r="V26" i="48"/>
  <c r="W26" i="48"/>
  <c r="X26" i="48"/>
  <c r="Y26" i="48"/>
  <c r="Z26" i="48"/>
  <c r="AA26" i="48"/>
  <c r="AB26" i="48"/>
  <c r="AC26" i="48"/>
  <c r="AD26" i="48"/>
  <c r="AE26" i="48"/>
  <c r="B27" i="48"/>
  <c r="C27" i="48" s="1"/>
  <c r="D27" i="48"/>
  <c r="E27" i="48"/>
  <c r="F27" i="48"/>
  <c r="G27" i="48"/>
  <c r="H27" i="48"/>
  <c r="I27" i="48"/>
  <c r="J27" i="48"/>
  <c r="K27" i="48"/>
  <c r="L27" i="48"/>
  <c r="M27" i="48"/>
  <c r="N27" i="48"/>
  <c r="O27" i="48"/>
  <c r="P27" i="48"/>
  <c r="Q27" i="48"/>
  <c r="R27" i="48"/>
  <c r="S27" i="48"/>
  <c r="T27" i="48"/>
  <c r="U27" i="48"/>
  <c r="V27" i="48"/>
  <c r="X27" i="48"/>
  <c r="Y27" i="48"/>
  <c r="Z27" i="48"/>
  <c r="AA27" i="48"/>
  <c r="AB27" i="48"/>
  <c r="AC27" i="48"/>
  <c r="AD27" i="48"/>
  <c r="AE27" i="48"/>
  <c r="B28" i="48"/>
  <c r="C28" i="48"/>
  <c r="D28" i="48"/>
  <c r="E28" i="48"/>
  <c r="F28" i="48"/>
  <c r="G28" i="48"/>
  <c r="H28" i="48"/>
  <c r="I28" i="48"/>
  <c r="J28" i="48"/>
  <c r="K28" i="48"/>
  <c r="L28" i="48"/>
  <c r="M28" i="48"/>
  <c r="N28" i="48"/>
  <c r="O28" i="48"/>
  <c r="P28" i="48"/>
  <c r="Q28" i="48"/>
  <c r="R28" i="48"/>
  <c r="S28" i="48"/>
  <c r="T28" i="48"/>
  <c r="U28" i="48"/>
  <c r="V28" i="48"/>
  <c r="W28" i="48"/>
  <c r="X28" i="48"/>
  <c r="Y28" i="48"/>
  <c r="Z28" i="48"/>
  <c r="AA28" i="48"/>
  <c r="AB28" i="48"/>
  <c r="AC28" i="48"/>
  <c r="AD28" i="48"/>
  <c r="AE28" i="48"/>
  <c r="B29" i="48"/>
  <c r="C29" i="48"/>
  <c r="D29" i="48"/>
  <c r="E29" i="48"/>
  <c r="F29" i="48"/>
  <c r="G29" i="48"/>
  <c r="H29" i="48"/>
  <c r="I29" i="48"/>
  <c r="J29" i="48"/>
  <c r="K29" i="48"/>
  <c r="L29" i="48"/>
  <c r="M29" i="48"/>
  <c r="N29" i="48"/>
  <c r="O29" i="48"/>
  <c r="P29" i="48"/>
  <c r="Q29" i="48"/>
  <c r="R29" i="48"/>
  <c r="S29" i="48"/>
  <c r="T29" i="48"/>
  <c r="U29" i="48"/>
  <c r="V29" i="48"/>
  <c r="W29" i="48" s="1"/>
  <c r="X29" i="48"/>
  <c r="Y29" i="48"/>
  <c r="Z29" i="48"/>
  <c r="AA29" i="48"/>
  <c r="AB29" i="48"/>
  <c r="AC29" i="48"/>
  <c r="AD29" i="48"/>
  <c r="AE29" i="48"/>
  <c r="B30" i="48"/>
  <c r="C30" i="48"/>
  <c r="D30" i="48"/>
  <c r="E30" i="48"/>
  <c r="F30" i="48"/>
  <c r="G30" i="48"/>
  <c r="H30" i="48"/>
  <c r="I30" i="48"/>
  <c r="J30" i="48"/>
  <c r="K30" i="48"/>
  <c r="L30" i="48"/>
  <c r="M30" i="48"/>
  <c r="N30" i="48"/>
  <c r="O30" i="48"/>
  <c r="P30" i="48"/>
  <c r="Q30" i="48"/>
  <c r="R30" i="48"/>
  <c r="S30" i="48"/>
  <c r="T30" i="48"/>
  <c r="U30" i="48"/>
  <c r="V30" i="48"/>
  <c r="X30" i="48"/>
  <c r="Y30" i="48"/>
  <c r="Z30" i="48"/>
  <c r="AA30" i="48"/>
  <c r="AB30" i="48"/>
  <c r="AC30" i="48"/>
  <c r="AD30" i="48"/>
  <c r="AE30" i="48"/>
  <c r="B31" i="48"/>
  <c r="C31" i="48"/>
  <c r="D31" i="48"/>
  <c r="E31" i="48"/>
  <c r="F31" i="48"/>
  <c r="G31" i="48"/>
  <c r="H31" i="48"/>
  <c r="I31" i="48"/>
  <c r="J31" i="48"/>
  <c r="K31" i="48"/>
  <c r="L31" i="48"/>
  <c r="M31" i="48"/>
  <c r="N31" i="48"/>
  <c r="O31" i="48"/>
  <c r="P31" i="48"/>
  <c r="Q31" i="48"/>
  <c r="R31" i="48"/>
  <c r="S31" i="48"/>
  <c r="T31" i="48"/>
  <c r="U31" i="48"/>
  <c r="V31" i="48"/>
  <c r="Z31" i="48"/>
  <c r="AA31" i="48"/>
  <c r="AB31" i="48"/>
  <c r="AC31" i="48"/>
  <c r="AD31" i="48"/>
  <c r="AE31" i="48"/>
  <c r="B32" i="48"/>
  <c r="C32" i="48"/>
  <c r="D32" i="48"/>
  <c r="E32" i="48"/>
  <c r="F32" i="48"/>
  <c r="G32" i="48"/>
  <c r="H32" i="48"/>
  <c r="I32" i="48"/>
  <c r="J32" i="48"/>
  <c r="K32" i="48"/>
  <c r="L32" i="48"/>
  <c r="M32" i="48"/>
  <c r="N32" i="48"/>
  <c r="O32" i="48"/>
  <c r="P32" i="48"/>
  <c r="Q32" i="48"/>
  <c r="R32" i="48"/>
  <c r="S32" i="48"/>
  <c r="T32" i="48"/>
  <c r="U32" i="48"/>
  <c r="V32" i="48"/>
  <c r="X32" i="48"/>
  <c r="Y32" i="48"/>
  <c r="Z32" i="48"/>
  <c r="AA32" i="48"/>
  <c r="AB32" i="48"/>
  <c r="AC32" i="48"/>
  <c r="AD32" i="48"/>
  <c r="AE32" i="48"/>
  <c r="B33" i="48"/>
  <c r="C33" i="48"/>
  <c r="D33" i="48"/>
  <c r="E33" i="48"/>
  <c r="F33" i="48"/>
  <c r="G33" i="48"/>
  <c r="H33" i="48"/>
  <c r="I33" i="48"/>
  <c r="J33" i="48"/>
  <c r="K33" i="48"/>
  <c r="L33" i="48"/>
  <c r="M33" i="48"/>
  <c r="N33" i="48"/>
  <c r="O33" i="48"/>
  <c r="P33" i="48"/>
  <c r="Q33" i="48"/>
  <c r="R33" i="48"/>
  <c r="S33" i="48"/>
  <c r="T33" i="48"/>
  <c r="U33" i="48"/>
  <c r="V33" i="48"/>
  <c r="W33" i="48" s="1"/>
  <c r="X33" i="48"/>
  <c r="Y33" i="48"/>
  <c r="Z33" i="48"/>
  <c r="AA33" i="48"/>
  <c r="AB33" i="48"/>
  <c r="AC33" i="48"/>
  <c r="AD33" i="48"/>
  <c r="AE33" i="48"/>
  <c r="B34" i="48"/>
  <c r="C34" i="48"/>
  <c r="D34" i="48"/>
  <c r="E34" i="48"/>
  <c r="F34" i="48"/>
  <c r="G34" i="48"/>
  <c r="H34" i="48"/>
  <c r="I34" i="48"/>
  <c r="J34" i="48"/>
  <c r="K34" i="48"/>
  <c r="L34" i="48"/>
  <c r="M34" i="48"/>
  <c r="N34" i="48"/>
  <c r="O34" i="48"/>
  <c r="P34" i="48"/>
  <c r="Q34" i="48"/>
  <c r="R34" i="48"/>
  <c r="S34" i="48"/>
  <c r="T34" i="48"/>
  <c r="U34" i="48"/>
  <c r="V34" i="48"/>
  <c r="W34" i="48"/>
  <c r="X34" i="48"/>
  <c r="Y34" i="48"/>
  <c r="Z34" i="48"/>
  <c r="AA34" i="48"/>
  <c r="AB34" i="48"/>
  <c r="AC34" i="48"/>
  <c r="AD34" i="48"/>
  <c r="AE34" i="48"/>
  <c r="B35" i="48"/>
  <c r="C35" i="48" s="1"/>
  <c r="D35" i="48"/>
  <c r="E35" i="48"/>
  <c r="F35" i="48"/>
  <c r="G35" i="48"/>
  <c r="H35" i="48"/>
  <c r="I35" i="48"/>
  <c r="J35" i="48"/>
  <c r="K35" i="48"/>
  <c r="L35" i="48"/>
  <c r="M35" i="48"/>
  <c r="N35" i="48"/>
  <c r="O35" i="48"/>
  <c r="P35" i="48"/>
  <c r="Q35" i="48"/>
  <c r="R35" i="48"/>
  <c r="S35" i="48"/>
  <c r="T35" i="48"/>
  <c r="U35" i="48"/>
  <c r="V35" i="48"/>
  <c r="X35" i="48"/>
  <c r="Y35" i="48"/>
  <c r="Z35" i="48"/>
  <c r="AA35" i="48"/>
  <c r="AB35" i="48"/>
  <c r="AC35" i="48"/>
  <c r="AD35" i="48"/>
  <c r="AE35" i="48"/>
  <c r="B36" i="48"/>
  <c r="C36" i="48" s="1"/>
  <c r="D36" i="48"/>
  <c r="E36" i="48"/>
  <c r="F36" i="48"/>
  <c r="G36" i="48"/>
  <c r="H36" i="48"/>
  <c r="I36" i="48"/>
  <c r="J36" i="48"/>
  <c r="K36" i="48"/>
  <c r="L36" i="48"/>
  <c r="M36" i="48"/>
  <c r="N36" i="48"/>
  <c r="O36" i="48"/>
  <c r="P36" i="48"/>
  <c r="Q36" i="48"/>
  <c r="R36" i="48"/>
  <c r="S36" i="48"/>
  <c r="T36" i="48"/>
  <c r="U36" i="48"/>
  <c r="V36" i="48"/>
  <c r="W36" i="48"/>
  <c r="X36" i="48"/>
  <c r="Y36" i="48"/>
  <c r="Z36" i="48"/>
  <c r="AA36" i="48"/>
  <c r="AB36" i="48"/>
  <c r="AC36" i="48"/>
  <c r="AD36" i="48"/>
  <c r="AE36" i="48"/>
  <c r="B37" i="48"/>
  <c r="C37" i="48"/>
  <c r="D37" i="48"/>
  <c r="E37" i="48"/>
  <c r="F37" i="48"/>
  <c r="G37" i="48"/>
  <c r="H37" i="48"/>
  <c r="I37" i="48"/>
  <c r="J37" i="48"/>
  <c r="K37" i="48"/>
  <c r="L37" i="48"/>
  <c r="M37" i="48"/>
  <c r="N37" i="48"/>
  <c r="O37" i="48"/>
  <c r="P37" i="48"/>
  <c r="Q37" i="48"/>
  <c r="R37" i="48"/>
  <c r="S37" i="48"/>
  <c r="T37" i="48"/>
  <c r="U37" i="48"/>
  <c r="V37" i="48"/>
  <c r="X37" i="48"/>
  <c r="Y37" i="48"/>
  <c r="Z37" i="48"/>
  <c r="AA37" i="48"/>
  <c r="AB37" i="48"/>
  <c r="AC37" i="48"/>
  <c r="AD37" i="48"/>
  <c r="AE37" i="48"/>
  <c r="B38" i="48"/>
  <c r="C38" i="48" s="1"/>
  <c r="D38" i="48"/>
  <c r="E38" i="48"/>
  <c r="F38" i="48"/>
  <c r="G38" i="48"/>
  <c r="H38" i="48"/>
  <c r="I38" i="48"/>
  <c r="J38" i="48"/>
  <c r="K38" i="48"/>
  <c r="L38" i="48"/>
  <c r="M38" i="48"/>
  <c r="N38" i="48"/>
  <c r="O38" i="48"/>
  <c r="P38" i="48"/>
  <c r="Q38" i="48"/>
  <c r="R38" i="48"/>
  <c r="S38" i="48"/>
  <c r="T38" i="48"/>
  <c r="U38" i="48"/>
  <c r="V38" i="48"/>
  <c r="X38" i="48"/>
  <c r="Y38" i="48"/>
  <c r="Z38" i="48"/>
  <c r="AA38" i="48"/>
  <c r="AB38" i="48"/>
  <c r="AC38" i="48"/>
  <c r="AD38" i="48"/>
  <c r="AE38" i="48"/>
  <c r="B39" i="48"/>
  <c r="C39" i="48"/>
  <c r="D39" i="48"/>
  <c r="E39" i="48"/>
  <c r="F39" i="48"/>
  <c r="G39" i="48"/>
  <c r="H39" i="48"/>
  <c r="I39" i="48"/>
  <c r="J39" i="48"/>
  <c r="K39" i="48"/>
  <c r="L39" i="48"/>
  <c r="M39" i="48"/>
  <c r="N39" i="48"/>
  <c r="O39" i="48"/>
  <c r="P39" i="48"/>
  <c r="Q39" i="48"/>
  <c r="R39" i="48"/>
  <c r="S39" i="48"/>
  <c r="T39" i="48"/>
  <c r="U39" i="48"/>
  <c r="V39" i="48"/>
  <c r="X39" i="48" s="1"/>
  <c r="Y39" i="48"/>
  <c r="Z39" i="48"/>
  <c r="AA39" i="48"/>
  <c r="AB39" i="48"/>
  <c r="AC39" i="48"/>
  <c r="AD39" i="48"/>
  <c r="AE39" i="48"/>
  <c r="B40" i="48"/>
  <c r="C40" i="48" s="1"/>
  <c r="D40" i="48"/>
  <c r="E40" i="48"/>
  <c r="F40" i="48"/>
  <c r="G40" i="48"/>
  <c r="H40" i="48"/>
  <c r="I40" i="48"/>
  <c r="J40" i="48"/>
  <c r="K40" i="48"/>
  <c r="L40" i="48"/>
  <c r="M40" i="48"/>
  <c r="N40" i="48"/>
  <c r="O40" i="48"/>
  <c r="P40" i="48"/>
  <c r="Q40" i="48"/>
  <c r="R40" i="48"/>
  <c r="S40" i="48"/>
  <c r="T40" i="48"/>
  <c r="U40" i="48"/>
  <c r="V40" i="48"/>
  <c r="W40" i="48"/>
  <c r="X40" i="48"/>
  <c r="Y40" i="48"/>
  <c r="Z40" i="48"/>
  <c r="AA40" i="48"/>
  <c r="AB40" i="48"/>
  <c r="AC40" i="48"/>
  <c r="AD40" i="48"/>
  <c r="AE40" i="48"/>
  <c r="B41" i="48"/>
  <c r="C41" i="48"/>
  <c r="D41" i="48"/>
  <c r="E41" i="48"/>
  <c r="F41" i="48"/>
  <c r="G41" i="48"/>
  <c r="H41" i="48"/>
  <c r="I41" i="48"/>
  <c r="J41" i="48"/>
  <c r="K41" i="48"/>
  <c r="L41" i="48"/>
  <c r="M41" i="48"/>
  <c r="N41" i="48"/>
  <c r="O41" i="48"/>
  <c r="P41" i="48"/>
  <c r="Q41" i="48"/>
  <c r="R41" i="48"/>
  <c r="S41" i="48"/>
  <c r="T41" i="48"/>
  <c r="U41" i="48"/>
  <c r="V41" i="48"/>
  <c r="X41" i="48"/>
  <c r="Y41" i="48"/>
  <c r="Z41" i="48"/>
  <c r="AA41" i="48"/>
  <c r="AB41" i="48"/>
  <c r="AC41" i="48"/>
  <c r="AD41" i="48"/>
  <c r="AE41" i="48"/>
  <c r="B42" i="48"/>
  <c r="I42" i="48"/>
  <c r="J42" i="48"/>
  <c r="K42" i="48"/>
  <c r="L42" i="48"/>
  <c r="M42" i="48"/>
  <c r="N42" i="48"/>
  <c r="O42" i="48"/>
  <c r="P42" i="48"/>
  <c r="Q42" i="48"/>
  <c r="R42" i="48"/>
  <c r="S42" i="48"/>
  <c r="T42" i="48"/>
  <c r="U42" i="48"/>
  <c r="V42" i="48"/>
  <c r="Y42" i="48"/>
  <c r="Z42" i="48"/>
  <c r="AA42" i="48"/>
  <c r="AB42" i="48"/>
  <c r="AC42" i="48"/>
  <c r="AD42" i="48"/>
  <c r="AE42" i="48"/>
  <c r="B43" i="48"/>
  <c r="C43" i="48"/>
  <c r="D43" i="48"/>
  <c r="E43" i="48"/>
  <c r="F43" i="48"/>
  <c r="G43" i="48"/>
  <c r="H43" i="48"/>
  <c r="I43" i="48"/>
  <c r="J43" i="48"/>
  <c r="K43" i="48"/>
  <c r="L43" i="48"/>
  <c r="M43" i="48"/>
  <c r="N43" i="48"/>
  <c r="O43" i="48"/>
  <c r="P43" i="48"/>
  <c r="Q43" i="48"/>
  <c r="R43" i="48"/>
  <c r="S43" i="48"/>
  <c r="T43" i="48"/>
  <c r="U43" i="48"/>
  <c r="V43" i="48"/>
  <c r="X43" i="48"/>
  <c r="Y43" i="48"/>
  <c r="Z43" i="48"/>
  <c r="AA43" i="48"/>
  <c r="AB43" i="48"/>
  <c r="AC43" i="48"/>
  <c r="AD43" i="48"/>
  <c r="AE43" i="48"/>
  <c r="B44" i="48"/>
  <c r="C44" i="48"/>
  <c r="D44" i="48"/>
  <c r="E44" i="48"/>
  <c r="F44" i="48"/>
  <c r="G44" i="48"/>
  <c r="H44" i="48"/>
  <c r="I44" i="48"/>
  <c r="J44" i="48"/>
  <c r="K44" i="48"/>
  <c r="L44" i="48"/>
  <c r="M44" i="48"/>
  <c r="N44" i="48"/>
  <c r="O44" i="48"/>
  <c r="P44" i="48"/>
  <c r="Q44" i="48"/>
  <c r="R44" i="48"/>
  <c r="S44" i="48"/>
  <c r="T44" i="48"/>
  <c r="U44" i="48"/>
  <c r="V44" i="48"/>
  <c r="W44" i="48" s="1"/>
  <c r="X44" i="48"/>
  <c r="Y44" i="48"/>
  <c r="Z44" i="48"/>
  <c r="AA44" i="48"/>
  <c r="AB44" i="48"/>
  <c r="AC44" i="48"/>
  <c r="AD44" i="48"/>
  <c r="AE44" i="48"/>
  <c r="B45" i="48"/>
  <c r="C45" i="48"/>
  <c r="D45" i="48"/>
  <c r="E45" i="48"/>
  <c r="F45" i="48"/>
  <c r="G45" i="48"/>
  <c r="H45" i="48"/>
  <c r="I45" i="48"/>
  <c r="J45" i="48"/>
  <c r="K45" i="48"/>
  <c r="L45" i="48"/>
  <c r="M45" i="48"/>
  <c r="N45" i="48"/>
  <c r="O45" i="48"/>
  <c r="P45" i="48"/>
  <c r="Q45" i="48"/>
  <c r="R45" i="48"/>
  <c r="S45" i="48"/>
  <c r="T45" i="48"/>
  <c r="U45" i="48"/>
  <c r="V45" i="48"/>
  <c r="B46" i="48"/>
  <c r="C46" i="48"/>
  <c r="D46" i="48"/>
  <c r="E46" i="48"/>
  <c r="F46" i="48"/>
  <c r="G46" i="48"/>
  <c r="H46" i="48"/>
  <c r="I46" i="48"/>
  <c r="J46" i="48"/>
  <c r="K46" i="48"/>
  <c r="L46" i="48"/>
  <c r="M46" i="48"/>
  <c r="N46" i="48"/>
  <c r="O46" i="48"/>
  <c r="P46" i="48"/>
  <c r="Q46" i="48"/>
  <c r="R46" i="48"/>
  <c r="S46" i="48"/>
  <c r="T46" i="48"/>
  <c r="U46" i="48"/>
  <c r="V46" i="48"/>
  <c r="X46" i="48"/>
  <c r="Y46" i="48"/>
  <c r="Z46" i="48"/>
  <c r="AA46" i="48"/>
  <c r="AB46" i="48"/>
  <c r="AC46" i="48"/>
  <c r="AD46" i="48"/>
  <c r="AE46" i="48"/>
  <c r="B47" i="48"/>
  <c r="C47" i="48"/>
  <c r="D47" i="48"/>
  <c r="E47" i="48"/>
  <c r="F47" i="48"/>
  <c r="G47" i="48"/>
  <c r="H47" i="48"/>
  <c r="I47" i="48"/>
  <c r="J47" i="48"/>
  <c r="K47" i="48"/>
  <c r="L47" i="48"/>
  <c r="M47" i="48"/>
  <c r="N47" i="48"/>
  <c r="O47" i="48"/>
  <c r="P47" i="48"/>
  <c r="Q47" i="48"/>
  <c r="R47" i="48"/>
  <c r="S47" i="48"/>
  <c r="T47" i="48"/>
  <c r="U47" i="48"/>
  <c r="V47" i="48"/>
  <c r="W47" i="48" s="1"/>
  <c r="X47" i="48"/>
  <c r="Y47" i="48"/>
  <c r="Z47" i="48"/>
  <c r="AA47" i="48"/>
  <c r="AB47" i="48"/>
  <c r="AC47" i="48"/>
  <c r="AD47" i="48"/>
  <c r="AE47" i="48"/>
  <c r="B48" i="48"/>
  <c r="C48" i="48"/>
  <c r="D48" i="48"/>
  <c r="E48" i="48"/>
  <c r="F48" i="48"/>
  <c r="G48" i="48"/>
  <c r="H48" i="48"/>
  <c r="I48" i="48"/>
  <c r="J48" i="48"/>
  <c r="K48" i="48"/>
  <c r="L48" i="48"/>
  <c r="M48" i="48"/>
  <c r="N48" i="48"/>
  <c r="O48" i="48"/>
  <c r="P48" i="48"/>
  <c r="Q48" i="48"/>
  <c r="R48" i="48"/>
  <c r="S48" i="48"/>
  <c r="T48" i="48"/>
  <c r="U48" i="48"/>
  <c r="V48" i="48"/>
  <c r="W48" i="48" s="1"/>
  <c r="X48" i="48"/>
  <c r="Y48" i="48"/>
  <c r="Z48" i="48"/>
  <c r="AA48" i="48"/>
  <c r="AB48" i="48"/>
  <c r="AC48" i="48"/>
  <c r="AD48" i="48"/>
  <c r="AE48" i="48"/>
  <c r="B49" i="48"/>
  <c r="C49" i="48"/>
  <c r="D49" i="48"/>
  <c r="E49" i="48"/>
  <c r="F49" i="48"/>
  <c r="G49" i="48"/>
  <c r="H49" i="48"/>
  <c r="I49" i="48"/>
  <c r="J49" i="48"/>
  <c r="K49" i="48"/>
  <c r="L49" i="48"/>
  <c r="M49" i="48"/>
  <c r="N49" i="48"/>
  <c r="O49" i="48"/>
  <c r="P49" i="48"/>
  <c r="Q49" i="48"/>
  <c r="R49" i="48"/>
  <c r="S49" i="48"/>
  <c r="T49" i="48"/>
  <c r="U49" i="48"/>
  <c r="V49" i="48"/>
  <c r="W49" i="48"/>
  <c r="X49" i="48"/>
  <c r="Y49" i="48"/>
  <c r="Z49" i="48"/>
  <c r="AA49" i="48"/>
  <c r="AB49" i="48"/>
  <c r="AC49" i="48"/>
  <c r="AD49" i="48"/>
  <c r="AE49" i="48"/>
  <c r="B50" i="48"/>
  <c r="C50" i="48"/>
  <c r="D50" i="48"/>
  <c r="E50" i="48"/>
  <c r="F50" i="48"/>
  <c r="G50" i="48"/>
  <c r="H50" i="48"/>
  <c r="I50" i="48"/>
  <c r="J50" i="48"/>
  <c r="K50" i="48"/>
  <c r="L50" i="48"/>
  <c r="M50" i="48"/>
  <c r="N50" i="48"/>
  <c r="O50" i="48"/>
  <c r="P50" i="48"/>
  <c r="Q50" i="48"/>
  <c r="R50" i="48"/>
  <c r="S50" i="48"/>
  <c r="T50" i="48"/>
  <c r="U50" i="48"/>
  <c r="V50" i="48"/>
  <c r="AD50" i="48" s="1"/>
  <c r="B51" i="48"/>
  <c r="D51" i="48"/>
  <c r="F51" i="48"/>
  <c r="G51" i="48"/>
  <c r="H51" i="48"/>
  <c r="I51" i="48"/>
  <c r="J51" i="48"/>
  <c r="K51" i="48"/>
  <c r="L51" i="48"/>
  <c r="M51" i="48"/>
  <c r="N51" i="48"/>
  <c r="O51" i="48"/>
  <c r="P51" i="48"/>
  <c r="Q51" i="48"/>
  <c r="R51" i="48"/>
  <c r="S51" i="48"/>
  <c r="T51" i="48"/>
  <c r="U51" i="48"/>
  <c r="V51" i="48"/>
  <c r="W51" i="48" s="1"/>
  <c r="X51" i="48"/>
  <c r="Y51" i="48"/>
  <c r="Z51" i="48"/>
  <c r="AA51" i="48"/>
  <c r="AB51" i="48"/>
  <c r="AC51" i="48"/>
  <c r="AD51" i="48"/>
  <c r="AE51" i="48"/>
  <c r="B52" i="48"/>
  <c r="D52" i="48"/>
  <c r="E52" i="48"/>
  <c r="F52" i="48"/>
  <c r="G52" i="48"/>
  <c r="H52" i="48"/>
  <c r="I52" i="48"/>
  <c r="J52" i="48"/>
  <c r="K52" i="48"/>
  <c r="L52" i="48"/>
  <c r="M52" i="48"/>
  <c r="N52" i="48"/>
  <c r="O52" i="48"/>
  <c r="P52" i="48"/>
  <c r="Q52" i="48"/>
  <c r="R52" i="48"/>
  <c r="S52" i="48"/>
  <c r="T52" i="48"/>
  <c r="U52" i="48"/>
  <c r="V52" i="48"/>
  <c r="B53" i="48"/>
  <c r="D53" i="48"/>
  <c r="E53" i="48"/>
  <c r="F53" i="48"/>
  <c r="G53" i="48"/>
  <c r="H53" i="48"/>
  <c r="I53" i="48"/>
  <c r="J53" i="48"/>
  <c r="K53" i="48"/>
  <c r="L53" i="48"/>
  <c r="M53" i="48"/>
  <c r="N53" i="48"/>
  <c r="O53" i="48"/>
  <c r="P53" i="48"/>
  <c r="Q53" i="48"/>
  <c r="R53" i="48"/>
  <c r="S53" i="48"/>
  <c r="T53" i="48"/>
  <c r="U53" i="48"/>
  <c r="V53" i="48"/>
  <c r="X53" i="48"/>
  <c r="Y53" i="48"/>
  <c r="Z53" i="48"/>
  <c r="AA53" i="48"/>
  <c r="AB53" i="48"/>
  <c r="AC53" i="48"/>
  <c r="AD53" i="48"/>
  <c r="AE53" i="48"/>
  <c r="B54" i="48"/>
  <c r="C54" i="48"/>
  <c r="D54" i="48"/>
  <c r="E54" i="48"/>
  <c r="F54" i="48"/>
  <c r="G54" i="48"/>
  <c r="H54" i="48"/>
  <c r="I54" i="48"/>
  <c r="J54" i="48"/>
  <c r="K54" i="48"/>
  <c r="L54" i="48"/>
  <c r="M54" i="48"/>
  <c r="N54" i="48"/>
  <c r="O54" i="48"/>
  <c r="P54" i="48"/>
  <c r="Q54" i="48"/>
  <c r="R54" i="48"/>
  <c r="S54" i="48"/>
  <c r="T54" i="48"/>
  <c r="U54" i="48"/>
  <c r="V54" i="48"/>
  <c r="W54" i="48" s="1"/>
  <c r="X54" i="48"/>
  <c r="Y54" i="48"/>
  <c r="Z54" i="48"/>
  <c r="AA54" i="48"/>
  <c r="AB54" i="48"/>
  <c r="AC54" i="48"/>
  <c r="AD54" i="48"/>
  <c r="AE54" i="48"/>
  <c r="B55" i="48"/>
  <c r="C55" i="48"/>
  <c r="D55" i="48"/>
  <c r="E55" i="48"/>
  <c r="F55" i="48"/>
  <c r="G55" i="48"/>
  <c r="H55" i="48"/>
  <c r="I55" i="48"/>
  <c r="J55" i="48"/>
  <c r="K55" i="48"/>
  <c r="L55" i="48"/>
  <c r="M55" i="48"/>
  <c r="N55" i="48"/>
  <c r="O55" i="48"/>
  <c r="P55" i="48"/>
  <c r="Q55" i="48"/>
  <c r="R55" i="48"/>
  <c r="S55" i="48"/>
  <c r="T55" i="48"/>
  <c r="U55" i="48"/>
  <c r="V55" i="48"/>
  <c r="W55" i="48"/>
  <c r="X55" i="48"/>
  <c r="Y55" i="48"/>
  <c r="Z55" i="48"/>
  <c r="AA55" i="48"/>
  <c r="AB55" i="48"/>
  <c r="AC55" i="48"/>
  <c r="AD55" i="48"/>
  <c r="AE55" i="48"/>
  <c r="B56" i="48"/>
  <c r="C56" i="48"/>
  <c r="D56" i="48"/>
  <c r="E56" i="48"/>
  <c r="F56" i="48"/>
  <c r="G56" i="48"/>
  <c r="H56" i="48"/>
  <c r="I56" i="48"/>
  <c r="J56" i="48"/>
  <c r="K56" i="48"/>
  <c r="L56" i="48"/>
  <c r="M56" i="48"/>
  <c r="N56" i="48"/>
  <c r="O56" i="48"/>
  <c r="P56" i="48"/>
  <c r="Q56" i="48"/>
  <c r="R56" i="48"/>
  <c r="S56" i="48"/>
  <c r="T56" i="48"/>
  <c r="U56" i="48"/>
  <c r="V56" i="48"/>
  <c r="W56" i="48"/>
  <c r="X56" i="48"/>
  <c r="Y56" i="48"/>
  <c r="Z56" i="48"/>
  <c r="AA56" i="48"/>
  <c r="AB56" i="48"/>
  <c r="AC56" i="48"/>
  <c r="AD56" i="48"/>
  <c r="AE56" i="48"/>
  <c r="B57" i="48"/>
  <c r="F57" i="48"/>
  <c r="G57" i="48"/>
  <c r="H57" i="48"/>
  <c r="I57" i="48"/>
  <c r="J57" i="48"/>
  <c r="K57" i="48"/>
  <c r="L57" i="48"/>
  <c r="M57" i="48"/>
  <c r="N57" i="48"/>
  <c r="O57" i="48"/>
  <c r="P57" i="48"/>
  <c r="Q57" i="48"/>
  <c r="R57" i="48"/>
  <c r="S57" i="48"/>
  <c r="T57" i="48"/>
  <c r="U57" i="48"/>
  <c r="V57" i="48"/>
  <c r="W57" i="48" s="1"/>
  <c r="X57" i="48"/>
  <c r="Y57" i="48"/>
  <c r="Z57" i="48"/>
  <c r="AA57" i="48"/>
  <c r="AB57" i="48"/>
  <c r="AC57" i="48"/>
  <c r="AD57" i="48"/>
  <c r="AE57" i="48"/>
  <c r="B58" i="48"/>
  <c r="D58" i="48"/>
  <c r="E58" i="48"/>
  <c r="F58" i="48"/>
  <c r="G58" i="48"/>
  <c r="H58" i="48"/>
  <c r="I58" i="48"/>
  <c r="J58" i="48"/>
  <c r="K58" i="48"/>
  <c r="L58" i="48"/>
  <c r="M58" i="48"/>
  <c r="N58" i="48"/>
  <c r="O58" i="48"/>
  <c r="P58" i="48"/>
  <c r="Q58" i="48"/>
  <c r="R58" i="48"/>
  <c r="S58" i="48"/>
  <c r="T58" i="48"/>
  <c r="U58" i="48"/>
  <c r="V58" i="48"/>
  <c r="B59" i="48"/>
  <c r="C59" i="48"/>
  <c r="D59" i="48"/>
  <c r="E59" i="48"/>
  <c r="F59" i="48"/>
  <c r="G59" i="48"/>
  <c r="H59" i="48"/>
  <c r="I59" i="48"/>
  <c r="J59" i="48"/>
  <c r="K59" i="48"/>
  <c r="L59" i="48"/>
  <c r="M59" i="48"/>
  <c r="N59" i="48"/>
  <c r="O59" i="48"/>
  <c r="P59" i="48"/>
  <c r="Q59" i="48"/>
  <c r="R59" i="48"/>
  <c r="S59" i="48"/>
  <c r="T59" i="48"/>
  <c r="U59" i="48"/>
  <c r="V59" i="48"/>
  <c r="W59" i="48"/>
  <c r="X59" i="48"/>
  <c r="Y59" i="48"/>
  <c r="Z59" i="48"/>
  <c r="AA59" i="48"/>
  <c r="AB59" i="48"/>
  <c r="AC59" i="48"/>
  <c r="AD59" i="48"/>
  <c r="AE59" i="48"/>
  <c r="B60" i="48"/>
  <c r="C60" i="48"/>
  <c r="D60" i="48"/>
  <c r="E60" i="48"/>
  <c r="F60" i="48"/>
  <c r="G60" i="48"/>
  <c r="H60" i="48"/>
  <c r="I60" i="48"/>
  <c r="J60" i="48"/>
  <c r="K60" i="48"/>
  <c r="L60" i="48"/>
  <c r="M60" i="48"/>
  <c r="N60" i="48"/>
  <c r="O60" i="48"/>
  <c r="P60" i="48"/>
  <c r="Q60" i="48"/>
  <c r="R60" i="48"/>
  <c r="S60" i="48"/>
  <c r="T60" i="48"/>
  <c r="U60" i="48"/>
  <c r="V60" i="48"/>
  <c r="W60" i="48"/>
  <c r="X60" i="48"/>
  <c r="Y60" i="48"/>
  <c r="Z60" i="48"/>
  <c r="AA60" i="48"/>
  <c r="AB60" i="48"/>
  <c r="AC60" i="48"/>
  <c r="AD60" i="48"/>
  <c r="AE60" i="48"/>
  <c r="B61" i="48"/>
  <c r="C61" i="48"/>
  <c r="D61" i="48"/>
  <c r="E61" i="48"/>
  <c r="F61" i="48"/>
  <c r="G61" i="48"/>
  <c r="H61" i="48"/>
  <c r="I61" i="48"/>
  <c r="J61" i="48"/>
  <c r="K61" i="48"/>
  <c r="L61" i="48"/>
  <c r="M61" i="48"/>
  <c r="N61" i="48"/>
  <c r="O61" i="48"/>
  <c r="P61" i="48"/>
  <c r="Q61" i="48"/>
  <c r="R61" i="48"/>
  <c r="S61" i="48"/>
  <c r="T61" i="48"/>
  <c r="U61" i="48"/>
  <c r="V61" i="48"/>
  <c r="AA61" i="48"/>
  <c r="AB61" i="48"/>
  <c r="AC61" i="48"/>
  <c r="AD61" i="48"/>
  <c r="AE61" i="48"/>
  <c r="B62" i="48"/>
  <c r="C62" i="48"/>
  <c r="D62" i="48"/>
  <c r="E62" i="48"/>
  <c r="F62" i="48"/>
  <c r="G62" i="48"/>
  <c r="H62" i="48"/>
  <c r="I62" i="48"/>
  <c r="J62" i="48"/>
  <c r="K62" i="48"/>
  <c r="L62" i="48"/>
  <c r="M62" i="48"/>
  <c r="N62" i="48"/>
  <c r="O62" i="48"/>
  <c r="P62" i="48"/>
  <c r="Q62" i="48"/>
  <c r="R62" i="48"/>
  <c r="S62" i="48"/>
  <c r="T62" i="48"/>
  <c r="U62" i="48"/>
  <c r="W62" i="48" s="1"/>
  <c r="V62" i="48"/>
  <c r="X62" i="48"/>
  <c r="Y62" i="48"/>
  <c r="Z62" i="48"/>
  <c r="AA62" i="48"/>
  <c r="AB62" i="48"/>
  <c r="AC62" i="48"/>
  <c r="AD62" i="48"/>
  <c r="AE62" i="48"/>
  <c r="B63" i="48"/>
  <c r="C63" i="48"/>
  <c r="D63" i="48"/>
  <c r="E63" i="48"/>
  <c r="F63" i="48"/>
  <c r="G63" i="48"/>
  <c r="H63" i="48"/>
  <c r="I63" i="48"/>
  <c r="J63" i="48"/>
  <c r="K63" i="48"/>
  <c r="L63" i="48"/>
  <c r="M63" i="48"/>
  <c r="N63" i="48"/>
  <c r="O63" i="48"/>
  <c r="P63" i="48"/>
  <c r="Q63" i="48"/>
  <c r="R63" i="48"/>
  <c r="S63" i="48"/>
  <c r="T63" i="48"/>
  <c r="U63" i="48"/>
  <c r="V63" i="48"/>
  <c r="W63" i="48"/>
  <c r="X63" i="48"/>
  <c r="Y63" i="48"/>
  <c r="Z63" i="48"/>
  <c r="AA63" i="48"/>
  <c r="AB63" i="48"/>
  <c r="AC63" i="48"/>
  <c r="AD63" i="48"/>
  <c r="AE63" i="48"/>
  <c r="B64" i="48"/>
  <c r="C64" i="48"/>
  <c r="D64" i="48"/>
  <c r="E64" i="48"/>
  <c r="F64" i="48"/>
  <c r="G64" i="48"/>
  <c r="H64" i="48"/>
  <c r="I64" i="48"/>
  <c r="J64" i="48"/>
  <c r="K64" i="48"/>
  <c r="L64" i="48"/>
  <c r="M64" i="48"/>
  <c r="N64" i="48"/>
  <c r="O64" i="48"/>
  <c r="P64" i="48"/>
  <c r="Q64" i="48"/>
  <c r="R64" i="48"/>
  <c r="S64" i="48"/>
  <c r="T64" i="48"/>
  <c r="U64" i="48"/>
  <c r="W64" i="48" s="1"/>
  <c r="V64" i="48"/>
  <c r="X64" i="48"/>
  <c r="Y64" i="48"/>
  <c r="Z64" i="48"/>
  <c r="AA64" i="48"/>
  <c r="AB64" i="48"/>
  <c r="AC64" i="48"/>
  <c r="AD64" i="48"/>
  <c r="AE64" i="48"/>
  <c r="B65" i="48"/>
  <c r="C65" i="48"/>
  <c r="D65" i="48"/>
  <c r="E65" i="48"/>
  <c r="F65" i="48"/>
  <c r="G65" i="48"/>
  <c r="H65" i="48"/>
  <c r="I65" i="48"/>
  <c r="J65" i="48"/>
  <c r="K65" i="48"/>
  <c r="L65" i="48"/>
  <c r="M65" i="48"/>
  <c r="N65" i="48"/>
  <c r="O65" i="48"/>
  <c r="P65" i="48"/>
  <c r="Q65" i="48"/>
  <c r="R65" i="48"/>
  <c r="S65" i="48"/>
  <c r="T65" i="48"/>
  <c r="U65" i="48"/>
  <c r="V65" i="48"/>
  <c r="B66" i="48"/>
  <c r="C66" i="48"/>
  <c r="D66" i="48"/>
  <c r="E66" i="48"/>
  <c r="F66" i="48"/>
  <c r="G66" i="48"/>
  <c r="H66" i="48"/>
  <c r="I66" i="48"/>
  <c r="J66" i="48"/>
  <c r="K66" i="48"/>
  <c r="L66" i="48"/>
  <c r="M66" i="48"/>
  <c r="N66" i="48"/>
  <c r="O66" i="48"/>
  <c r="P66" i="48"/>
  <c r="Q66" i="48"/>
  <c r="R66" i="48"/>
  <c r="S66" i="48"/>
  <c r="T66" i="48"/>
  <c r="U66" i="48"/>
  <c r="V66" i="48"/>
  <c r="W66" i="48"/>
  <c r="X66" i="48"/>
  <c r="Y66" i="48"/>
  <c r="Z66" i="48"/>
  <c r="AA66" i="48"/>
  <c r="AB66" i="48"/>
  <c r="AC66" i="48"/>
  <c r="AD66" i="48"/>
  <c r="AE66" i="48"/>
  <c r="B67" i="48"/>
  <c r="C67" i="48"/>
  <c r="D67" i="48"/>
  <c r="E67" i="48"/>
  <c r="F67" i="48"/>
  <c r="G67" i="48"/>
  <c r="H67" i="48"/>
  <c r="I67" i="48"/>
  <c r="J67" i="48"/>
  <c r="K67" i="48"/>
  <c r="L67" i="48"/>
  <c r="M67" i="48"/>
  <c r="N67" i="48"/>
  <c r="O67" i="48"/>
  <c r="P67" i="48"/>
  <c r="Q67" i="48"/>
  <c r="R67" i="48"/>
  <c r="S67" i="48"/>
  <c r="T67" i="48"/>
  <c r="U67" i="48"/>
  <c r="V67" i="48"/>
  <c r="X67" i="48"/>
  <c r="Y67" i="48"/>
  <c r="Z67" i="48"/>
  <c r="AA67" i="48"/>
  <c r="AB67" i="48"/>
  <c r="AC67" i="48"/>
  <c r="AD67" i="48"/>
  <c r="AE67" i="48"/>
  <c r="B68" i="48"/>
  <c r="C68" i="48"/>
  <c r="D68" i="48"/>
  <c r="E68" i="48"/>
  <c r="F68" i="48"/>
  <c r="G68" i="48"/>
  <c r="H68" i="48"/>
  <c r="I68" i="48"/>
  <c r="J68" i="48"/>
  <c r="K68" i="48"/>
  <c r="L68" i="48"/>
  <c r="M68" i="48"/>
  <c r="N68" i="48"/>
  <c r="O68" i="48"/>
  <c r="P68" i="48"/>
  <c r="Q68" i="48"/>
  <c r="R68" i="48"/>
  <c r="S68" i="48"/>
  <c r="T68" i="48"/>
  <c r="U68" i="48"/>
  <c r="V68" i="48"/>
  <c r="W68" i="48" s="1"/>
  <c r="X68" i="48"/>
  <c r="Y68" i="48"/>
  <c r="Z68" i="48"/>
  <c r="AA68" i="48"/>
  <c r="AB68" i="48"/>
  <c r="AC68" i="48"/>
  <c r="AD68" i="48"/>
  <c r="AE68" i="48"/>
  <c r="B69" i="48"/>
  <c r="C69" i="48"/>
  <c r="D69" i="48"/>
  <c r="E69" i="48"/>
  <c r="F69" i="48"/>
  <c r="G69" i="48"/>
  <c r="H69" i="48"/>
  <c r="I69" i="48"/>
  <c r="J69" i="48"/>
  <c r="K69" i="48"/>
  <c r="L69" i="48"/>
  <c r="M69" i="48"/>
  <c r="N69" i="48"/>
  <c r="O69" i="48"/>
  <c r="P69" i="48"/>
  <c r="Q69" i="48"/>
  <c r="R69" i="48"/>
  <c r="S69" i="48"/>
  <c r="T69" i="48"/>
  <c r="U69" i="48"/>
  <c r="V69" i="48"/>
  <c r="X69" i="48"/>
  <c r="Y69" i="48"/>
  <c r="Z69" i="48"/>
  <c r="AA69" i="48"/>
  <c r="AB69" i="48"/>
  <c r="AC69" i="48"/>
  <c r="AD69" i="48"/>
  <c r="AE69" i="48"/>
  <c r="B70" i="48"/>
  <c r="C70" i="48"/>
  <c r="D70" i="48"/>
  <c r="E70" i="48"/>
  <c r="F70" i="48"/>
  <c r="G70" i="48"/>
  <c r="H70" i="48"/>
  <c r="I70" i="48"/>
  <c r="J70" i="48"/>
  <c r="K70" i="48"/>
  <c r="L70" i="48"/>
  <c r="M70" i="48"/>
  <c r="N70" i="48"/>
  <c r="O70" i="48"/>
  <c r="P70" i="48"/>
  <c r="Q70" i="48"/>
  <c r="R70" i="48"/>
  <c r="S70" i="48"/>
  <c r="T70" i="48"/>
  <c r="U70" i="48"/>
  <c r="V70" i="48"/>
  <c r="W70" i="48" s="1"/>
  <c r="X70" i="48"/>
  <c r="Y70" i="48"/>
  <c r="Z70" i="48"/>
  <c r="AA70" i="48"/>
  <c r="AB70" i="48"/>
  <c r="AC70" i="48"/>
  <c r="AD70" i="48"/>
  <c r="AE70" i="48"/>
  <c r="B71" i="48"/>
  <c r="C71" i="48"/>
  <c r="D71" i="48"/>
  <c r="E71" i="48"/>
  <c r="F71" i="48"/>
  <c r="G71" i="48"/>
  <c r="H71" i="48"/>
  <c r="I71" i="48"/>
  <c r="J71" i="48"/>
  <c r="K71" i="48"/>
  <c r="L71" i="48"/>
  <c r="M71" i="48"/>
  <c r="N71" i="48"/>
  <c r="O71" i="48"/>
  <c r="P71" i="48"/>
  <c r="Q71" i="48"/>
  <c r="R71" i="48"/>
  <c r="S71" i="48"/>
  <c r="T71" i="48"/>
  <c r="U71" i="48"/>
  <c r="V71" i="48"/>
  <c r="W71" i="48"/>
  <c r="X71" i="48"/>
  <c r="Y71" i="48"/>
  <c r="Z71" i="48"/>
  <c r="AA71" i="48"/>
  <c r="AB71" i="48"/>
  <c r="AC71" i="48"/>
  <c r="AD71" i="48"/>
  <c r="AE71" i="48"/>
  <c r="B72" i="48"/>
  <c r="E72" i="48"/>
  <c r="F72" i="48"/>
  <c r="G72" i="48"/>
  <c r="H72" i="48"/>
  <c r="I72" i="48"/>
  <c r="J72" i="48"/>
  <c r="K72" i="48"/>
  <c r="L72" i="48"/>
  <c r="M72" i="48"/>
  <c r="N72" i="48"/>
  <c r="O72" i="48"/>
  <c r="P72" i="48"/>
  <c r="Q72" i="48"/>
  <c r="R72" i="48"/>
  <c r="S72" i="48"/>
  <c r="T72" i="48"/>
  <c r="U72" i="48"/>
  <c r="W72" i="48" s="1"/>
  <c r="V72" i="48"/>
  <c r="X72" i="48"/>
  <c r="Y72" i="48"/>
  <c r="Z72" i="48"/>
  <c r="AA72" i="48"/>
  <c r="AB72" i="48"/>
  <c r="AC72" i="48"/>
  <c r="AD72" i="48"/>
  <c r="AE72" i="48"/>
  <c r="B73" i="48"/>
  <c r="C73" i="48"/>
  <c r="D73" i="48"/>
  <c r="E73" i="48"/>
  <c r="F73" i="48"/>
  <c r="G73" i="48"/>
  <c r="H73" i="48"/>
  <c r="I73" i="48"/>
  <c r="J73" i="48"/>
  <c r="K73" i="48"/>
  <c r="L73" i="48"/>
  <c r="M73" i="48"/>
  <c r="N73" i="48"/>
  <c r="O73" i="48"/>
  <c r="P73" i="48"/>
  <c r="Q73" i="48"/>
  <c r="R73" i="48"/>
  <c r="S73" i="48"/>
  <c r="T73" i="48"/>
  <c r="U73" i="48"/>
  <c r="W73" i="48" s="1"/>
  <c r="V73" i="48"/>
  <c r="X73" i="48"/>
  <c r="Y73" i="48"/>
  <c r="Z73" i="48"/>
  <c r="AA73" i="48"/>
  <c r="AB73" i="48"/>
  <c r="AC73" i="48"/>
  <c r="AD73" i="48"/>
  <c r="AE73" i="48"/>
  <c r="B74" i="48"/>
  <c r="F74" i="48"/>
  <c r="G74" i="48"/>
  <c r="H74" i="48"/>
  <c r="I74" i="48"/>
  <c r="J74" i="48"/>
  <c r="K74" i="48"/>
  <c r="L74" i="48"/>
  <c r="M74" i="48"/>
  <c r="N74" i="48"/>
  <c r="O74" i="48"/>
  <c r="P74" i="48"/>
  <c r="Q74" i="48"/>
  <c r="R74" i="48"/>
  <c r="S74" i="48"/>
  <c r="T74" i="48"/>
  <c r="U74" i="48"/>
  <c r="V74" i="48"/>
  <c r="W74" i="48" s="1"/>
  <c r="X74" i="48"/>
  <c r="Y74" i="48"/>
  <c r="Z74" i="48"/>
  <c r="AA74" i="48"/>
  <c r="AB74" i="48"/>
  <c r="AC74" i="48"/>
  <c r="AD74" i="48"/>
  <c r="AE74" i="48"/>
  <c r="B75" i="48"/>
  <c r="C75" i="48" s="1"/>
  <c r="D75" i="48"/>
  <c r="E75" i="48"/>
  <c r="F75" i="48"/>
  <c r="G75" i="48"/>
  <c r="H75" i="48"/>
  <c r="I75" i="48"/>
  <c r="J75" i="48"/>
  <c r="K75" i="48"/>
  <c r="L75" i="48"/>
  <c r="M75" i="48"/>
  <c r="N75" i="48"/>
  <c r="O75" i="48"/>
  <c r="P75" i="48"/>
  <c r="Q75" i="48"/>
  <c r="R75" i="48"/>
  <c r="S75" i="48"/>
  <c r="T75" i="48"/>
  <c r="U75" i="48"/>
  <c r="V75" i="48"/>
  <c r="Z75" i="48"/>
  <c r="AA75" i="48"/>
  <c r="AB75" i="48"/>
  <c r="AC75" i="48"/>
  <c r="AD75" i="48"/>
  <c r="AE75" i="48"/>
  <c r="B76" i="48"/>
  <c r="C76" i="48"/>
  <c r="D76" i="48"/>
  <c r="E76" i="48"/>
  <c r="F76" i="48"/>
  <c r="G76" i="48"/>
  <c r="H76" i="48"/>
  <c r="I76" i="48"/>
  <c r="J76" i="48"/>
  <c r="K76" i="48"/>
  <c r="L76" i="48"/>
  <c r="M76" i="48"/>
  <c r="N76" i="48"/>
  <c r="O76" i="48"/>
  <c r="P76" i="48"/>
  <c r="Q76" i="48"/>
  <c r="R76" i="48"/>
  <c r="S76" i="48"/>
  <c r="T76" i="48"/>
  <c r="U76" i="48"/>
  <c r="V76" i="48"/>
  <c r="W76" i="48"/>
  <c r="X76" i="48"/>
  <c r="Y76" i="48"/>
  <c r="Z76" i="48"/>
  <c r="AA76" i="48"/>
  <c r="AB76" i="48"/>
  <c r="AC76" i="48"/>
  <c r="AD76" i="48"/>
  <c r="AE76" i="48"/>
  <c r="B77" i="48"/>
  <c r="C77" i="48"/>
  <c r="D77" i="48"/>
  <c r="E77" i="48"/>
  <c r="F77" i="48"/>
  <c r="G77" i="48"/>
  <c r="H77" i="48"/>
  <c r="I77" i="48"/>
  <c r="J77" i="48"/>
  <c r="K77" i="48"/>
  <c r="L77" i="48"/>
  <c r="M77" i="48"/>
  <c r="N77" i="48"/>
  <c r="O77" i="48"/>
  <c r="P77" i="48"/>
  <c r="Q77" i="48"/>
  <c r="R77" i="48"/>
  <c r="S77" i="48"/>
  <c r="T77" i="48"/>
  <c r="U77" i="48"/>
  <c r="V77" i="48"/>
  <c r="W77" i="48"/>
  <c r="X77" i="48"/>
  <c r="Y77" i="48"/>
  <c r="Z77" i="48"/>
  <c r="AA77" i="48"/>
  <c r="AB77" i="48"/>
  <c r="AC77" i="48"/>
  <c r="AD77" i="48"/>
  <c r="AE77" i="48"/>
  <c r="B78" i="48"/>
  <c r="C78" i="48"/>
  <c r="G78" i="48"/>
  <c r="H78" i="48"/>
  <c r="I78" i="48"/>
  <c r="J78" i="48"/>
  <c r="K78" i="48"/>
  <c r="L78" i="48"/>
  <c r="M78" i="48"/>
  <c r="N78" i="48"/>
  <c r="O78" i="48"/>
  <c r="P78" i="48"/>
  <c r="Q78" i="48"/>
  <c r="R78" i="48"/>
  <c r="S78" i="48"/>
  <c r="T78" i="48"/>
  <c r="U78" i="48"/>
  <c r="V78" i="48"/>
  <c r="Z78" i="48"/>
  <c r="AA78" i="48"/>
  <c r="AB78" i="48"/>
  <c r="AC78" i="48"/>
  <c r="AD78" i="48"/>
  <c r="AE78" i="48"/>
  <c r="B79" i="48"/>
  <c r="D79" i="48"/>
  <c r="E79" i="48"/>
  <c r="F79" i="48"/>
  <c r="G79" i="48"/>
  <c r="H79" i="48"/>
  <c r="I79" i="48"/>
  <c r="J79" i="48"/>
  <c r="K79" i="48"/>
  <c r="L79" i="48"/>
  <c r="M79" i="48"/>
  <c r="N79" i="48"/>
  <c r="O79" i="48"/>
  <c r="P79" i="48"/>
  <c r="Q79" i="48"/>
  <c r="R79" i="48"/>
  <c r="S79" i="48"/>
  <c r="T79" i="48"/>
  <c r="U79" i="48"/>
  <c r="V79" i="48"/>
  <c r="Y79" i="48" s="1"/>
  <c r="Z79" i="48"/>
  <c r="AA79" i="48"/>
  <c r="AB79" i="48"/>
  <c r="AC79" i="48"/>
  <c r="AD79" i="48"/>
  <c r="AE79" i="48"/>
  <c r="B80" i="48"/>
  <c r="C80" i="48"/>
  <c r="D80" i="48"/>
  <c r="E80" i="48"/>
  <c r="F80" i="48"/>
  <c r="G80" i="48"/>
  <c r="H80" i="48"/>
  <c r="I80" i="48"/>
  <c r="J80" i="48"/>
  <c r="K80" i="48"/>
  <c r="L80" i="48"/>
  <c r="M80" i="48"/>
  <c r="N80" i="48"/>
  <c r="O80" i="48"/>
  <c r="P80" i="48"/>
  <c r="Q80" i="48"/>
  <c r="R80" i="48"/>
  <c r="S80" i="48"/>
  <c r="T80" i="48"/>
  <c r="U80" i="48"/>
  <c r="V80" i="48"/>
  <c r="W80" i="48"/>
  <c r="X80" i="48"/>
  <c r="Y80" i="48"/>
  <c r="Z80" i="48"/>
  <c r="AA80" i="48"/>
  <c r="AB80" i="48"/>
  <c r="AC80" i="48"/>
  <c r="AD80" i="48"/>
  <c r="AE80" i="48"/>
  <c r="B81" i="48"/>
  <c r="C81" i="48"/>
  <c r="E81" i="48"/>
  <c r="F81" i="48"/>
  <c r="G81" i="48"/>
  <c r="H81" i="48"/>
  <c r="I81" i="48"/>
  <c r="J81" i="48"/>
  <c r="K81" i="48"/>
  <c r="L81" i="48"/>
  <c r="M81" i="48"/>
  <c r="N81" i="48"/>
  <c r="O81" i="48"/>
  <c r="P81" i="48"/>
  <c r="Q81" i="48"/>
  <c r="R81" i="48"/>
  <c r="S81" i="48"/>
  <c r="T81" i="48"/>
  <c r="U81" i="48"/>
  <c r="V81" i="48"/>
  <c r="W81" i="48"/>
  <c r="X81" i="48"/>
  <c r="Y81" i="48"/>
  <c r="Z81" i="48"/>
  <c r="AA81" i="48"/>
  <c r="AB81" i="48"/>
  <c r="AC81" i="48"/>
  <c r="AD81" i="48"/>
  <c r="AE81" i="48"/>
  <c r="B82" i="48"/>
  <c r="C82" i="48"/>
  <c r="D82" i="48"/>
  <c r="E82" i="48"/>
  <c r="F82" i="48"/>
  <c r="G82" i="48"/>
  <c r="H82" i="48"/>
  <c r="I82" i="48"/>
  <c r="J82" i="48"/>
  <c r="K82" i="48"/>
  <c r="L82" i="48"/>
  <c r="M82" i="48"/>
  <c r="N82" i="48"/>
  <c r="O82" i="48"/>
  <c r="P82" i="48"/>
  <c r="Q82" i="48"/>
  <c r="R82" i="48"/>
  <c r="S82" i="48"/>
  <c r="T82" i="48"/>
  <c r="U82" i="48"/>
  <c r="V82" i="48"/>
  <c r="W82" i="48" s="1"/>
  <c r="X82" i="48"/>
  <c r="Y82" i="48"/>
  <c r="Z82" i="48"/>
  <c r="AA82" i="48"/>
  <c r="AB82" i="48"/>
  <c r="AC82" i="48"/>
  <c r="AD82" i="48"/>
  <c r="AE82" i="48"/>
  <c r="B83" i="48"/>
  <c r="C83" i="48"/>
  <c r="D83" i="48"/>
  <c r="E83" i="48"/>
  <c r="F83" i="48"/>
  <c r="G83" i="48"/>
  <c r="H83" i="48"/>
  <c r="I83" i="48"/>
  <c r="J83" i="48"/>
  <c r="K83" i="48"/>
  <c r="L83" i="48"/>
  <c r="M83" i="48"/>
  <c r="N83" i="48"/>
  <c r="O83" i="48"/>
  <c r="P83" i="48"/>
  <c r="Q83" i="48"/>
  <c r="R83" i="48"/>
  <c r="S83" i="48"/>
  <c r="T83" i="48"/>
  <c r="U83" i="48"/>
  <c r="V83" i="48"/>
  <c r="B84" i="48"/>
  <c r="C84" i="48"/>
  <c r="D84" i="48"/>
  <c r="E84" i="48"/>
  <c r="F84" i="48"/>
  <c r="G84" i="48"/>
  <c r="H84" i="48"/>
  <c r="I84" i="48"/>
  <c r="J84" i="48"/>
  <c r="K84" i="48"/>
  <c r="L84" i="48"/>
  <c r="M84" i="48"/>
  <c r="N84" i="48"/>
  <c r="O84" i="48"/>
  <c r="P84" i="48"/>
  <c r="Q84" i="48"/>
  <c r="R84" i="48"/>
  <c r="S84" i="48"/>
  <c r="T84" i="48"/>
  <c r="U84" i="48"/>
  <c r="V84" i="48"/>
  <c r="W84" i="48" s="1"/>
  <c r="Z84" i="48"/>
  <c r="AA84" i="48"/>
  <c r="AB84" i="48"/>
  <c r="AC84" i="48"/>
  <c r="AD84" i="48"/>
  <c r="AE84" i="48"/>
  <c r="B85" i="48"/>
  <c r="C85" i="48"/>
  <c r="D85" i="48"/>
  <c r="E85" i="48"/>
  <c r="F85" i="48"/>
  <c r="G85" i="48"/>
  <c r="H85" i="48"/>
  <c r="I85" i="48"/>
  <c r="J85" i="48"/>
  <c r="K85" i="48"/>
  <c r="L85" i="48"/>
  <c r="M85" i="48"/>
  <c r="N85" i="48"/>
  <c r="O85" i="48"/>
  <c r="P85" i="48"/>
  <c r="Q85" i="48"/>
  <c r="R85" i="48"/>
  <c r="S85" i="48"/>
  <c r="T85" i="48"/>
  <c r="U85" i="48"/>
  <c r="V85" i="48"/>
  <c r="W85" i="48" s="1"/>
  <c r="X85" i="48"/>
  <c r="Y85" i="48"/>
  <c r="Z85" i="48"/>
  <c r="AA85" i="48"/>
  <c r="AB85" i="48"/>
  <c r="AC85" i="48"/>
  <c r="AD85" i="48"/>
  <c r="AE85" i="48"/>
  <c r="AI5" i="48"/>
  <c r="A1" i="47"/>
  <c r="P2" i="47"/>
  <c r="J3" i="47"/>
  <c r="J4" i="47"/>
  <c r="M4" i="47"/>
  <c r="AI4" i="47"/>
  <c r="J5" i="47"/>
  <c r="J6" i="47"/>
  <c r="B10" i="47"/>
  <c r="C10" i="47"/>
  <c r="D10" i="47"/>
  <c r="E10" i="47"/>
  <c r="F10" i="47"/>
  <c r="G10" i="47"/>
  <c r="H10" i="47"/>
  <c r="I10" i="47"/>
  <c r="J10" i="47"/>
  <c r="Q10" i="47"/>
  <c r="R10" i="47"/>
  <c r="S10" i="47"/>
  <c r="T10" i="47"/>
  <c r="U10" i="47"/>
  <c r="V10" i="47"/>
  <c r="B11" i="47"/>
  <c r="C11" i="47"/>
  <c r="D11" i="47"/>
  <c r="E11" i="47"/>
  <c r="F11" i="47"/>
  <c r="G11" i="47"/>
  <c r="H11" i="47"/>
  <c r="I11" i="47"/>
  <c r="J11" i="47"/>
  <c r="K11" i="47"/>
  <c r="L11" i="47"/>
  <c r="M11" i="47"/>
  <c r="N11" i="47"/>
  <c r="O11" i="47"/>
  <c r="P11" i="47"/>
  <c r="Q11" i="47"/>
  <c r="R11" i="47"/>
  <c r="S11" i="47"/>
  <c r="T11" i="47"/>
  <c r="U11" i="47"/>
  <c r="V11" i="47"/>
  <c r="W11" i="47"/>
  <c r="X11" i="47"/>
  <c r="Y11" i="47"/>
  <c r="Z11" i="47"/>
  <c r="AA11" i="47"/>
  <c r="AB11" i="47"/>
  <c r="AC11" i="47"/>
  <c r="AD11" i="47"/>
  <c r="AE11" i="47"/>
  <c r="B12" i="47"/>
  <c r="C12" i="47"/>
  <c r="D12" i="47"/>
  <c r="E12" i="47"/>
  <c r="F12" i="47"/>
  <c r="G12" i="47"/>
  <c r="H12" i="47"/>
  <c r="I12" i="47"/>
  <c r="J12" i="47"/>
  <c r="K12" i="47"/>
  <c r="L12" i="47"/>
  <c r="M12" i="47"/>
  <c r="N12" i="47"/>
  <c r="O12" i="47"/>
  <c r="P12" i="47"/>
  <c r="Q12" i="47"/>
  <c r="R12" i="47"/>
  <c r="S12" i="47"/>
  <c r="T12" i="47"/>
  <c r="U12" i="47"/>
  <c r="V12" i="47"/>
  <c r="Y12" i="47"/>
  <c r="Z12" i="47"/>
  <c r="AA12" i="47"/>
  <c r="AB12" i="47"/>
  <c r="AC12" i="47"/>
  <c r="AD12" i="47"/>
  <c r="AE12" i="47"/>
  <c r="B13" i="47"/>
  <c r="C13" i="47"/>
  <c r="D13" i="47"/>
  <c r="E13" i="47"/>
  <c r="F13" i="47"/>
  <c r="G13" i="47"/>
  <c r="H13" i="47"/>
  <c r="I13" i="47"/>
  <c r="J13" i="47"/>
  <c r="K13" i="47"/>
  <c r="L13" i="47"/>
  <c r="M13" i="47"/>
  <c r="N13" i="47"/>
  <c r="O13" i="47"/>
  <c r="P13" i="47"/>
  <c r="Q13" i="47"/>
  <c r="R13" i="47"/>
  <c r="S13" i="47"/>
  <c r="T13" i="47"/>
  <c r="U13" i="47"/>
  <c r="V13" i="47"/>
  <c r="W13" i="47" s="1"/>
  <c r="X13" i="47"/>
  <c r="Y13" i="47"/>
  <c r="Z13" i="47"/>
  <c r="AA13" i="47"/>
  <c r="AB13" i="47"/>
  <c r="AC13" i="47"/>
  <c r="AD13" i="47"/>
  <c r="AE13" i="47"/>
  <c r="B14" i="47"/>
  <c r="C14" i="47"/>
  <c r="D14" i="47"/>
  <c r="E14" i="47"/>
  <c r="F14" i="47"/>
  <c r="G14" i="47"/>
  <c r="H14" i="47"/>
  <c r="I14" i="47"/>
  <c r="J14" i="47"/>
  <c r="K14" i="47"/>
  <c r="L14" i="47"/>
  <c r="M14" i="47"/>
  <c r="N14" i="47"/>
  <c r="O14" i="47"/>
  <c r="P14" i="47"/>
  <c r="Q14" i="47"/>
  <c r="R14" i="47"/>
  <c r="S14" i="47"/>
  <c r="T14" i="47"/>
  <c r="U14" i="47"/>
  <c r="V14" i="47"/>
  <c r="W14" i="47" s="1"/>
  <c r="X14" i="47"/>
  <c r="Y14" i="47"/>
  <c r="Z14" i="47"/>
  <c r="AA14" i="47"/>
  <c r="AB14" i="47"/>
  <c r="AC14" i="47"/>
  <c r="AD14" i="47"/>
  <c r="AE14" i="47"/>
  <c r="B15" i="47"/>
  <c r="C15" i="47"/>
  <c r="D15" i="47"/>
  <c r="E15" i="47"/>
  <c r="F15" i="47"/>
  <c r="G15" i="47"/>
  <c r="H15" i="47"/>
  <c r="I15" i="47"/>
  <c r="J15" i="47"/>
  <c r="K15" i="47"/>
  <c r="L15" i="47"/>
  <c r="M15" i="47"/>
  <c r="N15" i="47"/>
  <c r="O15" i="47"/>
  <c r="P15" i="47"/>
  <c r="Q15" i="47"/>
  <c r="R15" i="47"/>
  <c r="S15" i="47"/>
  <c r="T15" i="47"/>
  <c r="U15" i="47"/>
  <c r="V15" i="47"/>
  <c r="W15" i="47" s="1"/>
  <c r="X15" i="47"/>
  <c r="Y15" i="47"/>
  <c r="Z15" i="47"/>
  <c r="AA15" i="47"/>
  <c r="AB15" i="47"/>
  <c r="AC15" i="47"/>
  <c r="AD15" i="47"/>
  <c r="AE15" i="47"/>
  <c r="B16" i="47"/>
  <c r="C16" i="47"/>
  <c r="D16" i="47"/>
  <c r="E16" i="47"/>
  <c r="F16" i="47"/>
  <c r="G16" i="47"/>
  <c r="H16" i="47"/>
  <c r="I16" i="47"/>
  <c r="J16" i="47"/>
  <c r="K16" i="47"/>
  <c r="L16" i="47"/>
  <c r="M16" i="47"/>
  <c r="N16" i="47"/>
  <c r="O16" i="47"/>
  <c r="P16" i="47"/>
  <c r="Q16" i="47"/>
  <c r="R16" i="47"/>
  <c r="S16" i="47"/>
  <c r="T16" i="47"/>
  <c r="U16" i="47"/>
  <c r="W16" i="47" s="1"/>
  <c r="V16" i="47"/>
  <c r="X16" i="47"/>
  <c r="Y16" i="47"/>
  <c r="Z16" i="47"/>
  <c r="AA16" i="47"/>
  <c r="AB16" i="47"/>
  <c r="AC16" i="47"/>
  <c r="AD16" i="47"/>
  <c r="AE16" i="47"/>
  <c r="B17" i="47"/>
  <c r="C17" i="47"/>
  <c r="D17" i="47"/>
  <c r="E17" i="47"/>
  <c r="F17" i="47"/>
  <c r="G17" i="47"/>
  <c r="H17" i="47"/>
  <c r="I17" i="47"/>
  <c r="J17" i="47"/>
  <c r="K17" i="47"/>
  <c r="L17" i="47"/>
  <c r="M17" i="47"/>
  <c r="N17" i="47"/>
  <c r="O17" i="47"/>
  <c r="P17" i="47"/>
  <c r="Q17" i="47"/>
  <c r="R17" i="47"/>
  <c r="S17" i="47"/>
  <c r="T17" i="47"/>
  <c r="U17" i="47"/>
  <c r="V17" i="47"/>
  <c r="W17" i="47"/>
  <c r="X17" i="47"/>
  <c r="Y17" i="47"/>
  <c r="Z17" i="47"/>
  <c r="AA17" i="47"/>
  <c r="AB17" i="47"/>
  <c r="AC17" i="47"/>
  <c r="AD17" i="47"/>
  <c r="AE17" i="47"/>
  <c r="B18" i="47"/>
  <c r="C18" i="47"/>
  <c r="D18" i="47"/>
  <c r="E18" i="47"/>
  <c r="F18" i="47"/>
  <c r="G18" i="47"/>
  <c r="H18" i="47"/>
  <c r="I18" i="47"/>
  <c r="J18" i="47"/>
  <c r="K18" i="47"/>
  <c r="L18" i="47"/>
  <c r="M18" i="47"/>
  <c r="N18" i="47"/>
  <c r="O18" i="47"/>
  <c r="P18" i="47"/>
  <c r="Q18" i="47"/>
  <c r="R18" i="47"/>
  <c r="S18" i="47"/>
  <c r="T18" i="47"/>
  <c r="U18" i="47"/>
  <c r="V18" i="47"/>
  <c r="W18" i="47" s="1"/>
  <c r="X18" i="47"/>
  <c r="Y18" i="47"/>
  <c r="Z18" i="47"/>
  <c r="AA18" i="47"/>
  <c r="AB18" i="47"/>
  <c r="AC18" i="47"/>
  <c r="AD18" i="47"/>
  <c r="AE18" i="47"/>
  <c r="B19" i="47"/>
  <c r="C19" i="47"/>
  <c r="D19" i="47"/>
  <c r="E19" i="47"/>
  <c r="F19" i="47"/>
  <c r="G19" i="47"/>
  <c r="H19" i="47"/>
  <c r="I19" i="47"/>
  <c r="J19" i="47"/>
  <c r="K19" i="47"/>
  <c r="L19" i="47"/>
  <c r="M19" i="47"/>
  <c r="N19" i="47"/>
  <c r="O19" i="47"/>
  <c r="P19" i="47"/>
  <c r="Q19" i="47"/>
  <c r="R19" i="47"/>
  <c r="S19" i="47"/>
  <c r="T19" i="47"/>
  <c r="U19" i="47"/>
  <c r="V19" i="47"/>
  <c r="W19" i="47"/>
  <c r="X19" i="47"/>
  <c r="Y19" i="47"/>
  <c r="Z19" i="47"/>
  <c r="AA19" i="47"/>
  <c r="AB19" i="47"/>
  <c r="AC19" i="47"/>
  <c r="AD19" i="47"/>
  <c r="AE19" i="47"/>
  <c r="B20" i="47"/>
  <c r="C20" i="47"/>
  <c r="D20" i="47"/>
  <c r="E20" i="47"/>
  <c r="F20" i="47"/>
  <c r="G20" i="47"/>
  <c r="H20" i="47"/>
  <c r="I20" i="47"/>
  <c r="J20" i="47"/>
  <c r="K20" i="47"/>
  <c r="L20" i="47"/>
  <c r="M20" i="47"/>
  <c r="N20" i="47"/>
  <c r="O20" i="47"/>
  <c r="P20" i="47"/>
  <c r="Q20" i="47"/>
  <c r="R20" i="47"/>
  <c r="S20" i="47"/>
  <c r="T20" i="47"/>
  <c r="U20" i="47"/>
  <c r="V20" i="47"/>
  <c r="W20" i="47"/>
  <c r="X20" i="47"/>
  <c r="Y20" i="47"/>
  <c r="Z20" i="47"/>
  <c r="AA20" i="47"/>
  <c r="AB20" i="47"/>
  <c r="AC20" i="47"/>
  <c r="AD20" i="47"/>
  <c r="AE20" i="47"/>
  <c r="B21" i="47"/>
  <c r="C21" i="47"/>
  <c r="D21" i="47"/>
  <c r="E21" i="47"/>
  <c r="F21" i="47"/>
  <c r="G21" i="47"/>
  <c r="H21" i="47"/>
  <c r="I21" i="47"/>
  <c r="J21" i="47"/>
  <c r="K21" i="47"/>
  <c r="L21" i="47"/>
  <c r="M21" i="47"/>
  <c r="N21" i="47"/>
  <c r="O21" i="47"/>
  <c r="P21" i="47"/>
  <c r="Q21" i="47"/>
  <c r="R21" i="47"/>
  <c r="S21" i="47"/>
  <c r="T21" i="47"/>
  <c r="U21" i="47"/>
  <c r="V21" i="47"/>
  <c r="W21" i="47" s="1"/>
  <c r="X21" i="47"/>
  <c r="Y21" i="47"/>
  <c r="Z21" i="47"/>
  <c r="AA21" i="47"/>
  <c r="AB21" i="47"/>
  <c r="AC21" i="47"/>
  <c r="AD21" i="47"/>
  <c r="AE21" i="47"/>
  <c r="B22" i="47"/>
  <c r="C22" i="47"/>
  <c r="D22" i="47"/>
  <c r="E22" i="47"/>
  <c r="F22" i="47"/>
  <c r="G22" i="47"/>
  <c r="H22" i="47"/>
  <c r="I22" i="47"/>
  <c r="J22" i="47"/>
  <c r="K22" i="47"/>
  <c r="L22" i="47"/>
  <c r="M22" i="47"/>
  <c r="N22" i="47"/>
  <c r="O22" i="47"/>
  <c r="P22" i="47"/>
  <c r="Q22" i="47"/>
  <c r="R22" i="47"/>
  <c r="S22" i="47"/>
  <c r="T22" i="47"/>
  <c r="U22" i="47"/>
  <c r="V22" i="47"/>
  <c r="X22" i="47" s="1"/>
  <c r="Y22" i="47"/>
  <c r="Z22" i="47"/>
  <c r="AA22" i="47"/>
  <c r="AB22" i="47"/>
  <c r="AC22" i="47"/>
  <c r="AD22" i="47"/>
  <c r="AE22" i="47"/>
  <c r="B23" i="47"/>
  <c r="C23" i="47"/>
  <c r="D23" i="47"/>
  <c r="E23" i="47"/>
  <c r="F23" i="47"/>
  <c r="G23" i="47"/>
  <c r="H23" i="47"/>
  <c r="I23" i="47"/>
  <c r="J23" i="47"/>
  <c r="K23" i="47"/>
  <c r="L23" i="47"/>
  <c r="M23" i="47"/>
  <c r="N23" i="47"/>
  <c r="O23" i="47"/>
  <c r="P23" i="47"/>
  <c r="Q23" i="47"/>
  <c r="R23" i="47"/>
  <c r="S23" i="47"/>
  <c r="T23" i="47"/>
  <c r="U23" i="47"/>
  <c r="V23" i="47"/>
  <c r="W23" i="47" s="1"/>
  <c r="X23" i="47"/>
  <c r="Y23" i="47"/>
  <c r="Z23" i="47"/>
  <c r="AA23" i="47"/>
  <c r="AB23" i="47"/>
  <c r="AC23" i="47"/>
  <c r="AD23" i="47"/>
  <c r="AE23" i="47"/>
  <c r="B24" i="47"/>
  <c r="C24" i="47"/>
  <c r="D24" i="47"/>
  <c r="E24" i="47"/>
  <c r="F24" i="47"/>
  <c r="G24" i="47"/>
  <c r="H24" i="47"/>
  <c r="I24" i="47"/>
  <c r="J24" i="47"/>
  <c r="K24" i="47"/>
  <c r="L24" i="47"/>
  <c r="M24" i="47"/>
  <c r="N24" i="47"/>
  <c r="O24" i="47"/>
  <c r="P24" i="47"/>
  <c r="Q24" i="47"/>
  <c r="R24" i="47"/>
  <c r="S24" i="47"/>
  <c r="T24" i="47"/>
  <c r="U24" i="47"/>
  <c r="V24" i="47"/>
  <c r="Y24" i="47"/>
  <c r="Z24" i="47"/>
  <c r="AA24" i="47"/>
  <c r="AB24" i="47"/>
  <c r="AC24" i="47"/>
  <c r="AD24" i="47"/>
  <c r="AE24" i="47"/>
  <c r="B25" i="47"/>
  <c r="C25" i="47"/>
  <c r="D25" i="47"/>
  <c r="E25" i="47"/>
  <c r="F25" i="47"/>
  <c r="G25" i="47"/>
  <c r="H25" i="47"/>
  <c r="I25" i="47"/>
  <c r="J25" i="47"/>
  <c r="K25" i="47"/>
  <c r="L25" i="47"/>
  <c r="M25" i="47"/>
  <c r="N25" i="47"/>
  <c r="O25" i="47"/>
  <c r="P25" i="47"/>
  <c r="Q25" i="47"/>
  <c r="R25" i="47"/>
  <c r="S25" i="47"/>
  <c r="T25" i="47"/>
  <c r="U25" i="47"/>
  <c r="V25" i="47"/>
  <c r="Y25" i="47" s="1"/>
  <c r="Z25" i="47"/>
  <c r="AA25" i="47"/>
  <c r="AB25" i="47"/>
  <c r="AC25" i="47"/>
  <c r="AD25" i="47"/>
  <c r="AE25" i="47"/>
  <c r="B26" i="47"/>
  <c r="C26" i="47"/>
  <c r="D26" i="47"/>
  <c r="E26" i="47"/>
  <c r="F26" i="47"/>
  <c r="G26" i="47"/>
  <c r="H26" i="47"/>
  <c r="I26" i="47"/>
  <c r="J26" i="47"/>
  <c r="K26" i="47"/>
  <c r="L26" i="47"/>
  <c r="M26" i="47"/>
  <c r="N26" i="47"/>
  <c r="O26" i="47"/>
  <c r="P26" i="47"/>
  <c r="Q26" i="47"/>
  <c r="R26" i="47"/>
  <c r="S26" i="47"/>
  <c r="T26" i="47"/>
  <c r="U26" i="47"/>
  <c r="V26" i="47"/>
  <c r="B27" i="47"/>
  <c r="C27" i="47"/>
  <c r="D27" i="47"/>
  <c r="E27" i="47"/>
  <c r="F27" i="47"/>
  <c r="G27" i="47"/>
  <c r="H27" i="47"/>
  <c r="I27" i="47"/>
  <c r="J27" i="47"/>
  <c r="K27" i="47"/>
  <c r="L27" i="47"/>
  <c r="M27" i="47"/>
  <c r="N27" i="47"/>
  <c r="O27" i="47"/>
  <c r="P27" i="47"/>
  <c r="Q27" i="47"/>
  <c r="R27" i="47"/>
  <c r="S27" i="47"/>
  <c r="T27" i="47"/>
  <c r="U27" i="47"/>
  <c r="V27" i="47"/>
  <c r="W27" i="47"/>
  <c r="X27" i="47"/>
  <c r="Y27" i="47"/>
  <c r="Z27" i="47"/>
  <c r="AA27" i="47"/>
  <c r="AB27" i="47"/>
  <c r="AC27" i="47"/>
  <c r="AD27" i="47"/>
  <c r="AE27" i="47"/>
  <c r="B28" i="47"/>
  <c r="C28" i="47"/>
  <c r="D28" i="47"/>
  <c r="E28" i="47"/>
  <c r="F28" i="47"/>
  <c r="G28" i="47"/>
  <c r="H28" i="47"/>
  <c r="I28" i="47"/>
  <c r="J28" i="47"/>
  <c r="B29" i="47"/>
  <c r="C29" i="47"/>
  <c r="D29" i="47"/>
  <c r="E29" i="47"/>
  <c r="F29" i="47"/>
  <c r="G29" i="47"/>
  <c r="H29" i="47"/>
  <c r="I29" i="47"/>
  <c r="J29" i="47"/>
  <c r="B30" i="47"/>
  <c r="C30" i="47"/>
  <c r="D30" i="47"/>
  <c r="E30" i="47"/>
  <c r="F30" i="47"/>
  <c r="G30" i="47"/>
  <c r="H30" i="47"/>
  <c r="I30" i="47"/>
  <c r="J30" i="47"/>
  <c r="B31" i="47"/>
  <c r="C31" i="47"/>
  <c r="D31" i="47"/>
  <c r="E31" i="47"/>
  <c r="F31" i="47"/>
  <c r="G31" i="47"/>
  <c r="H31" i="47"/>
  <c r="I31" i="47"/>
  <c r="J31" i="47"/>
  <c r="B32" i="47"/>
  <c r="C32" i="47"/>
  <c r="D32" i="47"/>
  <c r="E32" i="47"/>
  <c r="F32" i="47"/>
  <c r="G32" i="47"/>
  <c r="H32" i="47"/>
  <c r="I32" i="47"/>
  <c r="J32" i="47"/>
  <c r="B33" i="47"/>
  <c r="C33" i="47"/>
  <c r="D33" i="47"/>
  <c r="E33" i="47"/>
  <c r="F33" i="47"/>
  <c r="G33" i="47"/>
  <c r="H33" i="47"/>
  <c r="I33" i="47"/>
  <c r="J33" i="47"/>
  <c r="B34" i="47"/>
  <c r="C34" i="47"/>
  <c r="D34" i="47"/>
  <c r="E34" i="47"/>
  <c r="F34" i="47"/>
  <c r="G34" i="47"/>
  <c r="H34" i="47"/>
  <c r="I34" i="47"/>
  <c r="J34" i="47"/>
  <c r="B35" i="47"/>
  <c r="C35" i="47"/>
  <c r="D35" i="47"/>
  <c r="E35" i="47"/>
  <c r="F35" i="47"/>
  <c r="G35" i="47"/>
  <c r="H35" i="47"/>
  <c r="I35" i="47"/>
  <c r="J35" i="47"/>
  <c r="B36" i="47"/>
  <c r="C36" i="47"/>
  <c r="D36" i="47"/>
  <c r="E36" i="47"/>
  <c r="F36" i="47"/>
  <c r="G36" i="47"/>
  <c r="H36" i="47"/>
  <c r="I36" i="47"/>
  <c r="J36" i="47"/>
  <c r="B37" i="47"/>
  <c r="C37" i="47"/>
  <c r="D37" i="47"/>
  <c r="E37" i="47"/>
  <c r="F37" i="47"/>
  <c r="G37" i="47"/>
  <c r="H37" i="47"/>
  <c r="I37" i="47"/>
  <c r="J37" i="47"/>
  <c r="B38" i="47"/>
  <c r="C38" i="47"/>
  <c r="D38" i="47"/>
  <c r="E38" i="47"/>
  <c r="F38" i="47"/>
  <c r="G38" i="47"/>
  <c r="H38" i="47"/>
  <c r="I38" i="47"/>
  <c r="J38" i="47"/>
  <c r="B39" i="47"/>
  <c r="C39" i="47"/>
  <c r="D39" i="47"/>
  <c r="E39" i="47"/>
  <c r="F39" i="47"/>
  <c r="G39" i="47"/>
  <c r="H39" i="47"/>
  <c r="I39" i="47"/>
  <c r="J39" i="47"/>
  <c r="B40" i="47"/>
  <c r="C40" i="47"/>
  <c r="D40" i="47"/>
  <c r="E40" i="47"/>
  <c r="F40" i="47"/>
  <c r="G40" i="47"/>
  <c r="H40" i="47"/>
  <c r="I40" i="47"/>
  <c r="J40" i="47"/>
  <c r="B41" i="47"/>
  <c r="C41" i="47"/>
  <c r="D41" i="47"/>
  <c r="E41" i="47"/>
  <c r="F41" i="47"/>
  <c r="G41" i="47"/>
  <c r="H41" i="47"/>
  <c r="I41" i="47"/>
  <c r="J41" i="47"/>
  <c r="B42" i="47"/>
  <c r="C42" i="47"/>
  <c r="D42" i="47"/>
  <c r="E42" i="47"/>
  <c r="F42" i="47"/>
  <c r="G42" i="47"/>
  <c r="H42" i="47"/>
  <c r="I42" i="47"/>
  <c r="J42" i="47"/>
  <c r="B43" i="47"/>
  <c r="C43" i="47"/>
  <c r="D43" i="47"/>
  <c r="E43" i="47"/>
  <c r="F43" i="47"/>
  <c r="G43" i="47"/>
  <c r="H43" i="47"/>
  <c r="I43" i="47"/>
  <c r="J43" i="47"/>
  <c r="B44" i="47"/>
  <c r="C44" i="47"/>
  <c r="D44" i="47"/>
  <c r="E44" i="47"/>
  <c r="F44" i="47"/>
  <c r="G44" i="47"/>
  <c r="H44" i="47"/>
  <c r="I44" i="47"/>
  <c r="J44" i="47"/>
  <c r="B45" i="47"/>
  <c r="C45" i="47"/>
  <c r="D45" i="47"/>
  <c r="E45" i="47"/>
  <c r="F45" i="47"/>
  <c r="G45" i="47"/>
  <c r="H45" i="47"/>
  <c r="I45" i="47"/>
  <c r="J45" i="47"/>
  <c r="B46" i="47"/>
  <c r="C46" i="47"/>
  <c r="D46" i="47"/>
  <c r="E46" i="47"/>
  <c r="F46" i="47"/>
  <c r="G46" i="47"/>
  <c r="H46" i="47"/>
  <c r="I46" i="47"/>
  <c r="J46" i="47"/>
  <c r="B47" i="47"/>
  <c r="C47" i="47"/>
  <c r="D47" i="47"/>
  <c r="E47" i="47"/>
  <c r="F47" i="47"/>
  <c r="G47" i="47"/>
  <c r="H47" i="47"/>
  <c r="I47" i="47"/>
  <c r="J47" i="47"/>
  <c r="B48" i="47"/>
  <c r="C48" i="47"/>
  <c r="D48" i="47"/>
  <c r="E48" i="47"/>
  <c r="F48" i="47"/>
  <c r="G48" i="47"/>
  <c r="H48" i="47"/>
  <c r="I48" i="47"/>
  <c r="J48" i="47"/>
  <c r="B49" i="47"/>
  <c r="C49" i="47"/>
  <c r="D49" i="47"/>
  <c r="E49" i="47"/>
  <c r="F49" i="47"/>
  <c r="G49" i="47"/>
  <c r="H49" i="47"/>
  <c r="I49" i="47"/>
  <c r="J49" i="47"/>
  <c r="B50" i="47"/>
  <c r="C50" i="47"/>
  <c r="D50" i="47"/>
  <c r="E50" i="47"/>
  <c r="F50" i="47"/>
  <c r="G50" i="47"/>
  <c r="H50" i="47"/>
  <c r="I50" i="47"/>
  <c r="J50" i="47"/>
  <c r="B51" i="47"/>
  <c r="C51" i="47" s="1"/>
  <c r="D51" i="47"/>
  <c r="E51" i="47"/>
  <c r="F51" i="47"/>
  <c r="G51" i="47"/>
  <c r="H51" i="47"/>
  <c r="I51" i="47"/>
  <c r="J51" i="47"/>
  <c r="B52" i="47"/>
  <c r="C52" i="47"/>
  <c r="D52" i="47"/>
  <c r="E52" i="47"/>
  <c r="F52" i="47"/>
  <c r="G52" i="47"/>
  <c r="H52" i="47"/>
  <c r="I52" i="47"/>
  <c r="J52" i="47"/>
  <c r="B53" i="47"/>
  <c r="C53" i="47"/>
  <c r="D53" i="47"/>
  <c r="E53" i="47"/>
  <c r="F53" i="47"/>
  <c r="G53" i="47"/>
  <c r="H53" i="47"/>
  <c r="I53" i="47"/>
  <c r="J53" i="47"/>
  <c r="B54" i="47"/>
  <c r="C54" i="47"/>
  <c r="D54" i="47"/>
  <c r="E54" i="47"/>
  <c r="F54" i="47"/>
  <c r="G54" i="47"/>
  <c r="H54" i="47"/>
  <c r="I54" i="47"/>
  <c r="J54" i="47"/>
  <c r="B55" i="47"/>
  <c r="C55" i="47"/>
  <c r="D55" i="47"/>
  <c r="E55" i="47"/>
  <c r="F55" i="47"/>
  <c r="G55" i="47"/>
  <c r="H55" i="47"/>
  <c r="I55" i="47"/>
  <c r="J55" i="47"/>
  <c r="B56" i="47"/>
  <c r="C56" i="47"/>
  <c r="D56" i="47"/>
  <c r="E56" i="47"/>
  <c r="F56" i="47"/>
  <c r="G56" i="47"/>
  <c r="H56" i="47"/>
  <c r="I56" i="47"/>
  <c r="J56" i="47"/>
  <c r="B57" i="47"/>
  <c r="C57" i="47"/>
  <c r="D57" i="47"/>
  <c r="E57" i="47"/>
  <c r="F57" i="47"/>
  <c r="G57" i="47"/>
  <c r="H57" i="47"/>
  <c r="I57" i="47"/>
  <c r="J57" i="47"/>
  <c r="B58" i="47"/>
  <c r="C58" i="47"/>
  <c r="D58" i="47"/>
  <c r="E58" i="47"/>
  <c r="F58" i="47"/>
  <c r="G58" i="47"/>
  <c r="H58" i="47"/>
  <c r="I58" i="47"/>
  <c r="J58" i="47"/>
  <c r="B59" i="47"/>
  <c r="C59" i="47"/>
  <c r="D59" i="47"/>
  <c r="E59" i="47"/>
  <c r="F59" i="47"/>
  <c r="G59" i="47"/>
  <c r="H59" i="47"/>
  <c r="I59" i="47"/>
  <c r="J59" i="47"/>
  <c r="B60" i="47"/>
  <c r="C60" i="47"/>
  <c r="D60" i="47"/>
  <c r="E60" i="47"/>
  <c r="F60" i="47"/>
  <c r="G60" i="47"/>
  <c r="H60" i="47"/>
  <c r="I60" i="47"/>
  <c r="J60" i="47"/>
  <c r="B61" i="47"/>
  <c r="C61" i="47"/>
  <c r="D61" i="47"/>
  <c r="E61" i="47"/>
  <c r="F61" i="47"/>
  <c r="G61" i="47"/>
  <c r="H61" i="47"/>
  <c r="I61" i="47"/>
  <c r="J61" i="47"/>
  <c r="B62" i="47"/>
  <c r="C62" i="47"/>
  <c r="D62" i="47"/>
  <c r="E62" i="47"/>
  <c r="F62" i="47"/>
  <c r="G62" i="47"/>
  <c r="H62" i="47"/>
  <c r="I62" i="47"/>
  <c r="J62" i="47"/>
  <c r="B63" i="47"/>
  <c r="C63" i="47"/>
  <c r="D63" i="47"/>
  <c r="E63" i="47"/>
  <c r="F63" i="47"/>
  <c r="G63" i="47"/>
  <c r="H63" i="47"/>
  <c r="I63" i="47"/>
  <c r="J63" i="47"/>
  <c r="B64" i="47"/>
  <c r="C64" i="47"/>
  <c r="D64" i="47"/>
  <c r="E64" i="47"/>
  <c r="F64" i="47"/>
  <c r="G64" i="47"/>
  <c r="H64" i="47"/>
  <c r="I64" i="47"/>
  <c r="J64" i="47"/>
  <c r="B65" i="47"/>
  <c r="C65" i="47"/>
  <c r="D65" i="47"/>
  <c r="E65" i="47"/>
  <c r="F65" i="47"/>
  <c r="G65" i="47"/>
  <c r="H65" i="47"/>
  <c r="I65" i="47"/>
  <c r="J65" i="47"/>
  <c r="B66" i="47"/>
  <c r="C66" i="47"/>
  <c r="D66" i="47"/>
  <c r="E66" i="47"/>
  <c r="F66" i="47"/>
  <c r="G66" i="47"/>
  <c r="H66" i="47"/>
  <c r="I66" i="47"/>
  <c r="J66" i="47"/>
  <c r="B67" i="47"/>
  <c r="C67" i="47" s="1"/>
  <c r="D67" i="47"/>
  <c r="E67" i="47"/>
  <c r="F67" i="47"/>
  <c r="G67" i="47"/>
  <c r="H67" i="47"/>
  <c r="I67" i="47"/>
  <c r="J67" i="47"/>
  <c r="B68" i="47"/>
  <c r="C68" i="47"/>
  <c r="D68" i="47"/>
  <c r="E68" i="47"/>
  <c r="F68" i="47"/>
  <c r="G68" i="47"/>
  <c r="H68" i="47"/>
  <c r="I68" i="47"/>
  <c r="J68" i="47"/>
  <c r="B69" i="47"/>
  <c r="C69" i="47"/>
  <c r="D69" i="47"/>
  <c r="E69" i="47"/>
  <c r="F69" i="47"/>
  <c r="G69" i="47"/>
  <c r="H69" i="47"/>
  <c r="I69" i="47"/>
  <c r="J69" i="47"/>
  <c r="B70" i="47"/>
  <c r="C70" i="47"/>
  <c r="D70" i="47"/>
  <c r="E70" i="47"/>
  <c r="F70" i="47"/>
  <c r="G70" i="47"/>
  <c r="H70" i="47"/>
  <c r="I70" i="47"/>
  <c r="J70" i="47"/>
  <c r="B71" i="47"/>
  <c r="C71" i="47"/>
  <c r="D71" i="47"/>
  <c r="E71" i="47"/>
  <c r="F71" i="47"/>
  <c r="G71" i="47"/>
  <c r="H71" i="47"/>
  <c r="I71" i="47"/>
  <c r="J71" i="47"/>
  <c r="B72" i="47"/>
  <c r="C72" i="47"/>
  <c r="D72" i="47"/>
  <c r="E72" i="47"/>
  <c r="F72" i="47"/>
  <c r="G72" i="47"/>
  <c r="H72" i="47"/>
  <c r="I72" i="47"/>
  <c r="J72" i="47"/>
  <c r="B73" i="47"/>
  <c r="C73" i="47"/>
  <c r="D73" i="47"/>
  <c r="E73" i="47"/>
  <c r="F73" i="47"/>
  <c r="G73" i="47"/>
  <c r="H73" i="47"/>
  <c r="I73" i="47"/>
  <c r="J73" i="47"/>
  <c r="B74" i="47"/>
  <c r="C74" i="47"/>
  <c r="D74" i="47"/>
  <c r="E74" i="47"/>
  <c r="F74" i="47"/>
  <c r="G74" i="47"/>
  <c r="H74" i="47"/>
  <c r="I74" i="47"/>
  <c r="J74" i="47"/>
  <c r="B75" i="47"/>
  <c r="C75" i="47" s="1"/>
  <c r="D75" i="47"/>
  <c r="E75" i="47"/>
  <c r="F75" i="47"/>
  <c r="G75" i="47"/>
  <c r="H75" i="47"/>
  <c r="I75" i="47"/>
  <c r="J75" i="47"/>
  <c r="B76" i="47"/>
  <c r="C76" i="47" s="1"/>
  <c r="D76" i="47"/>
  <c r="E76" i="47"/>
  <c r="F76" i="47"/>
  <c r="G76" i="47"/>
  <c r="H76" i="47"/>
  <c r="I76" i="47"/>
  <c r="J76" i="47"/>
  <c r="B77" i="47"/>
  <c r="C77" i="47"/>
  <c r="D77" i="47"/>
  <c r="E77" i="47"/>
  <c r="F77" i="47"/>
  <c r="G77" i="47"/>
  <c r="H77" i="47"/>
  <c r="I77" i="47"/>
  <c r="J77" i="47"/>
  <c r="B78" i="47"/>
  <c r="C78" i="47"/>
  <c r="D78" i="47"/>
  <c r="E78" i="47"/>
  <c r="F78" i="47"/>
  <c r="G78" i="47"/>
  <c r="H78" i="47"/>
  <c r="I78" i="47"/>
  <c r="J78" i="47"/>
  <c r="B79" i="47"/>
  <c r="C79" i="47"/>
  <c r="D79" i="47"/>
  <c r="E79" i="47"/>
  <c r="F79" i="47"/>
  <c r="G79" i="47"/>
  <c r="H79" i="47"/>
  <c r="I79" i="47"/>
  <c r="J79" i="47"/>
  <c r="B80" i="47"/>
  <c r="C80" i="47"/>
  <c r="D80" i="47"/>
  <c r="E80" i="47"/>
  <c r="F80" i="47"/>
  <c r="G80" i="47"/>
  <c r="H80" i="47"/>
  <c r="I80" i="47"/>
  <c r="J80" i="47"/>
  <c r="B81" i="47"/>
  <c r="C81" i="47"/>
  <c r="D81" i="47"/>
  <c r="E81" i="47"/>
  <c r="F81" i="47"/>
  <c r="G81" i="47"/>
  <c r="H81" i="47"/>
  <c r="I81" i="47"/>
  <c r="J81" i="47"/>
  <c r="B82" i="47"/>
  <c r="C82" i="47"/>
  <c r="D82" i="47"/>
  <c r="E82" i="47"/>
  <c r="F82" i="47"/>
  <c r="G82" i="47"/>
  <c r="H82" i="47"/>
  <c r="I82" i="47"/>
  <c r="J82" i="47"/>
  <c r="B83" i="47"/>
  <c r="C83" i="47"/>
  <c r="D83" i="47"/>
  <c r="E83" i="47"/>
  <c r="F83" i="47"/>
  <c r="G83" i="47"/>
  <c r="H83" i="47"/>
  <c r="I83" i="47"/>
  <c r="J83" i="47"/>
  <c r="B84" i="47"/>
  <c r="C84" i="47"/>
  <c r="D84" i="47"/>
  <c r="E84" i="47"/>
  <c r="F84" i="47"/>
  <c r="G84" i="47"/>
  <c r="H84" i="47"/>
  <c r="I84" i="47"/>
  <c r="J84" i="47"/>
  <c r="B85" i="47"/>
  <c r="C85" i="47"/>
  <c r="D85" i="47"/>
  <c r="E85" i="47"/>
  <c r="F85" i="47"/>
  <c r="G85" i="47"/>
  <c r="H85" i="47"/>
  <c r="I85" i="47"/>
  <c r="J85" i="47"/>
  <c r="AI5" i="47"/>
  <c r="A1" i="46"/>
  <c r="P2" i="46"/>
  <c r="J3" i="46"/>
  <c r="J4" i="46"/>
  <c r="M4" i="46"/>
  <c r="AI4" i="46"/>
  <c r="J5" i="46"/>
  <c r="J6" i="46"/>
  <c r="B10" i="46"/>
  <c r="C10" i="46"/>
  <c r="D10" i="46"/>
  <c r="E10" i="46"/>
  <c r="F10" i="46"/>
  <c r="G10" i="46"/>
  <c r="H10" i="46"/>
  <c r="I10" i="46"/>
  <c r="J10" i="46"/>
  <c r="U10" i="46"/>
  <c r="V10" i="46"/>
  <c r="B11" i="46"/>
  <c r="C11" i="46"/>
  <c r="D11" i="46"/>
  <c r="E11" i="46"/>
  <c r="F11" i="46"/>
  <c r="G11" i="46"/>
  <c r="H11" i="46"/>
  <c r="I11" i="46"/>
  <c r="J11" i="46"/>
  <c r="K11" i="46"/>
  <c r="L11" i="46"/>
  <c r="M11" i="46"/>
  <c r="N11" i="46"/>
  <c r="O11" i="46"/>
  <c r="P11" i="46"/>
  <c r="Q11" i="46"/>
  <c r="R11" i="46"/>
  <c r="S11" i="46"/>
  <c r="T11" i="46"/>
  <c r="U11" i="46"/>
  <c r="V11" i="46"/>
  <c r="W11" i="46"/>
  <c r="X11" i="46"/>
  <c r="Y11" i="46"/>
  <c r="Z11" i="46"/>
  <c r="AA11" i="46"/>
  <c r="AB11" i="46"/>
  <c r="AC11" i="46"/>
  <c r="AD11" i="46"/>
  <c r="AE11" i="46"/>
  <c r="B12" i="46"/>
  <c r="C12" i="46"/>
  <c r="D12" i="46"/>
  <c r="E12" i="46"/>
  <c r="F12" i="46"/>
  <c r="G12" i="46"/>
  <c r="H12" i="46"/>
  <c r="I12" i="46"/>
  <c r="J12" i="46"/>
  <c r="K12" i="46"/>
  <c r="L12" i="46"/>
  <c r="M12" i="46"/>
  <c r="N12" i="46"/>
  <c r="O12" i="46"/>
  <c r="P12" i="46"/>
  <c r="Q12" i="46"/>
  <c r="R12" i="46"/>
  <c r="S12" i="46"/>
  <c r="T12" i="46"/>
  <c r="U12" i="46"/>
  <c r="V12" i="46"/>
  <c r="B13" i="46"/>
  <c r="C13" i="46"/>
  <c r="D13" i="46"/>
  <c r="E13" i="46"/>
  <c r="F13" i="46"/>
  <c r="G13" i="46"/>
  <c r="H13" i="46"/>
  <c r="I13" i="46"/>
  <c r="J13" i="46"/>
  <c r="K13" i="46"/>
  <c r="L13" i="46"/>
  <c r="M13" i="46"/>
  <c r="N13" i="46"/>
  <c r="O13" i="46"/>
  <c r="P13" i="46"/>
  <c r="Q13" i="46"/>
  <c r="R13" i="46"/>
  <c r="S13" i="46"/>
  <c r="T13" i="46"/>
  <c r="U13" i="46"/>
  <c r="V13" i="46"/>
  <c r="X13" i="46"/>
  <c r="Y13" i="46"/>
  <c r="Z13" i="46"/>
  <c r="AA13" i="46"/>
  <c r="AB13" i="46"/>
  <c r="AC13" i="46"/>
  <c r="AD13" i="46"/>
  <c r="AE13" i="46"/>
  <c r="B14" i="46"/>
  <c r="C14" i="46"/>
  <c r="D14" i="46"/>
  <c r="E14" i="46"/>
  <c r="F14" i="46"/>
  <c r="G14" i="46"/>
  <c r="H14" i="46"/>
  <c r="I14" i="46"/>
  <c r="J14" i="46"/>
  <c r="K14" i="46"/>
  <c r="L14" i="46"/>
  <c r="M14" i="46"/>
  <c r="N14" i="46"/>
  <c r="O14" i="46"/>
  <c r="P14" i="46"/>
  <c r="Q14" i="46"/>
  <c r="R14" i="46"/>
  <c r="S14" i="46"/>
  <c r="T14" i="46"/>
  <c r="U14" i="46"/>
  <c r="V14" i="46"/>
  <c r="Z14" i="46"/>
  <c r="AA14" i="46"/>
  <c r="AB14" i="46"/>
  <c r="AC14" i="46"/>
  <c r="AD14" i="46"/>
  <c r="AE14" i="46"/>
  <c r="B15" i="46"/>
  <c r="C15" i="46"/>
  <c r="D15" i="46"/>
  <c r="E15" i="46"/>
  <c r="F15" i="46"/>
  <c r="G15" i="46"/>
  <c r="H15" i="46"/>
  <c r="I15" i="46"/>
  <c r="J15" i="46"/>
  <c r="K15" i="46"/>
  <c r="L15" i="46"/>
  <c r="M15" i="46"/>
  <c r="N15" i="46"/>
  <c r="O15" i="46"/>
  <c r="P15" i="46"/>
  <c r="Q15" i="46"/>
  <c r="R15" i="46"/>
  <c r="S15" i="46"/>
  <c r="T15" i="46"/>
  <c r="U15" i="46"/>
  <c r="V15" i="46"/>
  <c r="W15" i="46" s="1"/>
  <c r="X15" i="46"/>
  <c r="Y15" i="46"/>
  <c r="Z15" i="46"/>
  <c r="AA15" i="46"/>
  <c r="AB15" i="46"/>
  <c r="AC15" i="46"/>
  <c r="AD15" i="46"/>
  <c r="AE15" i="46"/>
  <c r="B16" i="46"/>
  <c r="C16" i="46"/>
  <c r="D16" i="46"/>
  <c r="E16" i="46"/>
  <c r="F16" i="46"/>
  <c r="G16" i="46"/>
  <c r="H16" i="46"/>
  <c r="I16" i="46"/>
  <c r="J16" i="46"/>
  <c r="K16" i="46"/>
  <c r="L16" i="46"/>
  <c r="M16" i="46"/>
  <c r="N16" i="46"/>
  <c r="O16" i="46"/>
  <c r="P16" i="46"/>
  <c r="Q16" i="46"/>
  <c r="R16" i="46"/>
  <c r="S16" i="46"/>
  <c r="T16" i="46"/>
  <c r="U16" i="46"/>
  <c r="V16" i="46"/>
  <c r="X16" i="46" s="1"/>
  <c r="Y16" i="46"/>
  <c r="Z16" i="46"/>
  <c r="AA16" i="46"/>
  <c r="AB16" i="46"/>
  <c r="AC16" i="46"/>
  <c r="AD16" i="46"/>
  <c r="AE16" i="46"/>
  <c r="B17" i="46"/>
  <c r="C17" i="46"/>
  <c r="D17" i="46"/>
  <c r="E17" i="46"/>
  <c r="F17" i="46"/>
  <c r="G17" i="46"/>
  <c r="H17" i="46"/>
  <c r="I17" i="46"/>
  <c r="J17" i="46"/>
  <c r="K17" i="46"/>
  <c r="L17" i="46"/>
  <c r="M17" i="46"/>
  <c r="N17" i="46"/>
  <c r="O17" i="46"/>
  <c r="P17" i="46"/>
  <c r="Q17" i="46"/>
  <c r="R17" i="46"/>
  <c r="S17" i="46"/>
  <c r="T17" i="46"/>
  <c r="U17" i="46"/>
  <c r="V17" i="46"/>
  <c r="Y17" i="46"/>
  <c r="Z17" i="46"/>
  <c r="AA17" i="46"/>
  <c r="AB17" i="46"/>
  <c r="AC17" i="46"/>
  <c r="AD17" i="46"/>
  <c r="AE17" i="46"/>
  <c r="B18" i="46"/>
  <c r="C18" i="46"/>
  <c r="D18" i="46"/>
  <c r="E18" i="46"/>
  <c r="F18" i="46"/>
  <c r="G18" i="46"/>
  <c r="H18" i="46"/>
  <c r="I18" i="46"/>
  <c r="J18" i="46"/>
  <c r="K18" i="46"/>
  <c r="L18" i="46"/>
  <c r="M18" i="46"/>
  <c r="N18" i="46"/>
  <c r="O18" i="46"/>
  <c r="P18" i="46"/>
  <c r="Q18" i="46"/>
  <c r="R18" i="46"/>
  <c r="S18" i="46"/>
  <c r="T18" i="46"/>
  <c r="U18" i="46"/>
  <c r="V18" i="46"/>
  <c r="AB18" i="46"/>
  <c r="B19" i="46"/>
  <c r="E19" i="46"/>
  <c r="F19" i="46"/>
  <c r="G19" i="46"/>
  <c r="H19" i="46"/>
  <c r="I19" i="46"/>
  <c r="J19" i="46"/>
  <c r="K19" i="46"/>
  <c r="L19" i="46"/>
  <c r="M19" i="46"/>
  <c r="N19" i="46"/>
  <c r="O19" i="46"/>
  <c r="P19" i="46"/>
  <c r="Q19" i="46"/>
  <c r="R19" i="46"/>
  <c r="S19" i="46"/>
  <c r="T19" i="46"/>
  <c r="U19" i="46"/>
  <c r="V19" i="46"/>
  <c r="B20" i="46"/>
  <c r="E20" i="46"/>
  <c r="F20" i="46"/>
  <c r="G20" i="46"/>
  <c r="H20" i="46"/>
  <c r="I20" i="46"/>
  <c r="J20" i="46"/>
  <c r="K20" i="46"/>
  <c r="L20" i="46"/>
  <c r="M20" i="46"/>
  <c r="N20" i="46"/>
  <c r="O20" i="46"/>
  <c r="P20" i="46"/>
  <c r="Q20" i="46"/>
  <c r="R20" i="46"/>
  <c r="S20" i="46"/>
  <c r="T20" i="46"/>
  <c r="U20" i="46"/>
  <c r="V20" i="46"/>
  <c r="Z20" i="46"/>
  <c r="AA20" i="46"/>
  <c r="AB20" i="46"/>
  <c r="AC20" i="46"/>
  <c r="AD20" i="46"/>
  <c r="AE20" i="46"/>
  <c r="B21" i="46"/>
  <c r="C21" i="46"/>
  <c r="D21" i="46"/>
  <c r="E21" i="46"/>
  <c r="F21" i="46"/>
  <c r="G21" i="46"/>
  <c r="H21" i="46"/>
  <c r="I21" i="46"/>
  <c r="J21" i="46"/>
  <c r="K21" i="46"/>
  <c r="L21" i="46"/>
  <c r="M21" i="46"/>
  <c r="N21" i="46"/>
  <c r="O21" i="46"/>
  <c r="P21" i="46"/>
  <c r="Q21" i="46"/>
  <c r="R21" i="46"/>
  <c r="S21" i="46"/>
  <c r="T21" i="46"/>
  <c r="U21" i="46"/>
  <c r="V21" i="46"/>
  <c r="X21" i="46"/>
  <c r="Y21" i="46"/>
  <c r="Z21" i="46"/>
  <c r="AA21" i="46"/>
  <c r="AB21" i="46"/>
  <c r="AC21" i="46"/>
  <c r="AD21" i="46"/>
  <c r="AE21" i="46"/>
  <c r="B22" i="46"/>
  <c r="C22" i="46"/>
  <c r="D22" i="46"/>
  <c r="E22" i="46"/>
  <c r="F22" i="46"/>
  <c r="G22" i="46"/>
  <c r="H22" i="46"/>
  <c r="I22" i="46"/>
  <c r="J22" i="46"/>
  <c r="K22" i="46"/>
  <c r="L22" i="46"/>
  <c r="M22" i="46"/>
  <c r="N22" i="46"/>
  <c r="O22" i="46"/>
  <c r="P22" i="46"/>
  <c r="Q22" i="46"/>
  <c r="R22" i="46"/>
  <c r="S22" i="46"/>
  <c r="T22" i="46"/>
  <c r="U22" i="46"/>
  <c r="V22" i="46"/>
  <c r="X22" i="46"/>
  <c r="Y22" i="46"/>
  <c r="Z22" i="46"/>
  <c r="AA22" i="46"/>
  <c r="AB22" i="46"/>
  <c r="AC22" i="46"/>
  <c r="AD22" i="46"/>
  <c r="AE22" i="46"/>
  <c r="B23" i="46"/>
  <c r="C23" i="46"/>
  <c r="D23" i="46"/>
  <c r="E23" i="46"/>
  <c r="F23" i="46"/>
  <c r="G23" i="46"/>
  <c r="H23" i="46"/>
  <c r="I23" i="46"/>
  <c r="J23" i="46"/>
  <c r="K23" i="46"/>
  <c r="L23" i="46"/>
  <c r="M23" i="46"/>
  <c r="N23" i="46"/>
  <c r="O23" i="46"/>
  <c r="B24" i="46"/>
  <c r="C24" i="46"/>
  <c r="D24" i="46"/>
  <c r="E24" i="46"/>
  <c r="F24" i="46"/>
  <c r="G24" i="46"/>
  <c r="H24" i="46"/>
  <c r="I24" i="46"/>
  <c r="J24" i="46"/>
  <c r="B25" i="46"/>
  <c r="C25" i="46"/>
  <c r="D25" i="46"/>
  <c r="E25" i="46"/>
  <c r="F25" i="46"/>
  <c r="G25" i="46"/>
  <c r="H25" i="46"/>
  <c r="I25" i="46"/>
  <c r="J25" i="46"/>
  <c r="B26" i="46"/>
  <c r="F26" i="46"/>
  <c r="G26" i="46"/>
  <c r="H26" i="46"/>
  <c r="I26" i="46"/>
  <c r="J26" i="46"/>
  <c r="B27" i="46"/>
  <c r="C27" i="46"/>
  <c r="D27" i="46"/>
  <c r="E27" i="46"/>
  <c r="F27" i="46"/>
  <c r="G27" i="46"/>
  <c r="H27" i="46"/>
  <c r="I27" i="46"/>
  <c r="J27" i="46"/>
  <c r="B28" i="46"/>
  <c r="C28" i="46"/>
  <c r="D28" i="46"/>
  <c r="E28" i="46"/>
  <c r="F28" i="46"/>
  <c r="G28" i="46"/>
  <c r="H28" i="46"/>
  <c r="I28" i="46"/>
  <c r="J28" i="46"/>
  <c r="B29" i="46"/>
  <c r="C29" i="46"/>
  <c r="D29" i="46"/>
  <c r="E29" i="46"/>
  <c r="F29" i="46"/>
  <c r="G29" i="46"/>
  <c r="H29" i="46"/>
  <c r="I29" i="46"/>
  <c r="J29" i="46"/>
  <c r="B30" i="46"/>
  <c r="C30" i="46"/>
  <c r="D30" i="46"/>
  <c r="E30" i="46"/>
  <c r="F30" i="46"/>
  <c r="G30" i="46"/>
  <c r="H30" i="46"/>
  <c r="I30" i="46"/>
  <c r="J30" i="46"/>
  <c r="B31" i="46"/>
  <c r="C31" i="46"/>
  <c r="D31" i="46"/>
  <c r="E31" i="46"/>
  <c r="F31" i="46"/>
  <c r="G31" i="46"/>
  <c r="H31" i="46"/>
  <c r="I31" i="46"/>
  <c r="J31" i="46"/>
  <c r="B32" i="46"/>
  <c r="C32" i="46"/>
  <c r="D32" i="46"/>
  <c r="E32" i="46"/>
  <c r="F32" i="46"/>
  <c r="G32" i="46"/>
  <c r="H32" i="46"/>
  <c r="I32" i="46"/>
  <c r="J32" i="46"/>
  <c r="B33" i="46"/>
  <c r="C33" i="46"/>
  <c r="D33" i="46"/>
  <c r="E33" i="46"/>
  <c r="F33" i="46"/>
  <c r="G33" i="46"/>
  <c r="H33" i="46"/>
  <c r="I33" i="46"/>
  <c r="J33" i="46"/>
  <c r="B34" i="46"/>
  <c r="C34" i="46"/>
  <c r="D34" i="46"/>
  <c r="E34" i="46"/>
  <c r="F34" i="46"/>
  <c r="G34" i="46"/>
  <c r="H34" i="46"/>
  <c r="I34" i="46"/>
  <c r="J34" i="46"/>
  <c r="B35" i="46"/>
  <c r="C35" i="46"/>
  <c r="D35" i="46"/>
  <c r="E35" i="46"/>
  <c r="F35" i="46"/>
  <c r="G35" i="46"/>
  <c r="H35" i="46"/>
  <c r="I35" i="46"/>
  <c r="J35" i="46"/>
  <c r="B36" i="46"/>
  <c r="C36" i="46"/>
  <c r="D36" i="46"/>
  <c r="E36" i="46"/>
  <c r="F36" i="46"/>
  <c r="G36" i="46"/>
  <c r="H36" i="46"/>
  <c r="I36" i="46"/>
  <c r="J36" i="46"/>
  <c r="B37" i="46"/>
  <c r="C37" i="46"/>
  <c r="D37" i="46"/>
  <c r="E37" i="46"/>
  <c r="F37" i="46"/>
  <c r="G37" i="46"/>
  <c r="H37" i="46"/>
  <c r="I37" i="46"/>
  <c r="J37" i="46"/>
  <c r="B38" i="46"/>
  <c r="C38" i="46"/>
  <c r="D38" i="46"/>
  <c r="E38" i="46"/>
  <c r="F38" i="46"/>
  <c r="G38" i="46"/>
  <c r="H38" i="46"/>
  <c r="I38" i="46"/>
  <c r="J38" i="46"/>
  <c r="B39" i="46"/>
  <c r="C39" i="46"/>
  <c r="D39" i="46"/>
  <c r="E39" i="46"/>
  <c r="F39" i="46"/>
  <c r="G39" i="46"/>
  <c r="H39" i="46"/>
  <c r="I39" i="46"/>
  <c r="J39" i="46"/>
  <c r="B40" i="46"/>
  <c r="C40" i="46"/>
  <c r="D40" i="46"/>
  <c r="E40" i="46"/>
  <c r="F40" i="46"/>
  <c r="G40" i="46"/>
  <c r="H40" i="46"/>
  <c r="I40" i="46"/>
  <c r="J40" i="46"/>
  <c r="B41" i="46"/>
  <c r="C41" i="46"/>
  <c r="D41" i="46"/>
  <c r="E41" i="46"/>
  <c r="F41" i="46"/>
  <c r="G41" i="46"/>
  <c r="H41" i="46"/>
  <c r="I41" i="46"/>
  <c r="J41" i="46"/>
  <c r="B42" i="46"/>
  <c r="C42" i="46"/>
  <c r="D42" i="46"/>
  <c r="E42" i="46"/>
  <c r="F42" i="46"/>
  <c r="G42" i="46"/>
  <c r="H42" i="46"/>
  <c r="I42" i="46"/>
  <c r="J42" i="46"/>
  <c r="B43" i="46"/>
  <c r="C43" i="46"/>
  <c r="D43" i="46"/>
  <c r="E43" i="46"/>
  <c r="F43" i="46"/>
  <c r="G43" i="46"/>
  <c r="H43" i="46"/>
  <c r="I43" i="46"/>
  <c r="J43" i="46"/>
  <c r="B44" i="46"/>
  <c r="C44" i="46"/>
  <c r="D44" i="46"/>
  <c r="E44" i="46"/>
  <c r="F44" i="46"/>
  <c r="G44" i="46"/>
  <c r="H44" i="46"/>
  <c r="I44" i="46"/>
  <c r="J44" i="46"/>
  <c r="B45" i="46"/>
  <c r="C45" i="46"/>
  <c r="D45" i="46"/>
  <c r="E45" i="46"/>
  <c r="F45" i="46"/>
  <c r="G45" i="46"/>
  <c r="H45" i="46"/>
  <c r="I45" i="46"/>
  <c r="J45" i="46"/>
  <c r="B46" i="46"/>
  <c r="C46" i="46"/>
  <c r="D46" i="46"/>
  <c r="E46" i="46"/>
  <c r="F46" i="46"/>
  <c r="G46" i="46"/>
  <c r="H46" i="46"/>
  <c r="I46" i="46"/>
  <c r="J46" i="46"/>
  <c r="B47" i="46"/>
  <c r="C47" i="46"/>
  <c r="D47" i="46"/>
  <c r="E47" i="46"/>
  <c r="F47" i="46"/>
  <c r="G47" i="46"/>
  <c r="H47" i="46"/>
  <c r="I47" i="46"/>
  <c r="J47" i="46"/>
  <c r="B48" i="46"/>
  <c r="C48" i="46"/>
  <c r="D48" i="46"/>
  <c r="E48" i="46"/>
  <c r="F48" i="46"/>
  <c r="G48" i="46"/>
  <c r="H48" i="46"/>
  <c r="I48" i="46"/>
  <c r="J48" i="46"/>
  <c r="B49" i="46"/>
  <c r="C49" i="46"/>
  <c r="D49" i="46"/>
  <c r="E49" i="46"/>
  <c r="F49" i="46"/>
  <c r="G49" i="46"/>
  <c r="H49" i="46"/>
  <c r="I49" i="46"/>
  <c r="J49" i="46"/>
  <c r="B50" i="46"/>
  <c r="C50" i="46" s="1"/>
  <c r="D50" i="46"/>
  <c r="E50" i="46"/>
  <c r="F50" i="46"/>
  <c r="G50" i="46"/>
  <c r="H50" i="46"/>
  <c r="I50" i="46"/>
  <c r="J50" i="46"/>
  <c r="B51" i="46"/>
  <c r="C51" i="46"/>
  <c r="D51" i="46"/>
  <c r="E51" i="46"/>
  <c r="F51" i="46"/>
  <c r="G51" i="46"/>
  <c r="H51" i="46"/>
  <c r="I51" i="46"/>
  <c r="J51" i="46"/>
  <c r="B52" i="46"/>
  <c r="C52" i="46"/>
  <c r="D52" i="46"/>
  <c r="E52" i="46"/>
  <c r="F52" i="46"/>
  <c r="G52" i="46"/>
  <c r="H52" i="46"/>
  <c r="I52" i="46"/>
  <c r="J52" i="46"/>
  <c r="B53" i="46"/>
  <c r="C53" i="46"/>
  <c r="D53" i="46"/>
  <c r="E53" i="46"/>
  <c r="F53" i="46"/>
  <c r="G53" i="46"/>
  <c r="H53" i="46"/>
  <c r="I53" i="46"/>
  <c r="J53" i="46"/>
  <c r="B54" i="46"/>
  <c r="C54" i="46"/>
  <c r="D54" i="46"/>
  <c r="E54" i="46"/>
  <c r="F54" i="46"/>
  <c r="G54" i="46"/>
  <c r="H54" i="46"/>
  <c r="I54" i="46"/>
  <c r="J54" i="46"/>
  <c r="B55" i="46"/>
  <c r="C55" i="46"/>
  <c r="D55" i="46"/>
  <c r="E55" i="46"/>
  <c r="F55" i="46"/>
  <c r="G55" i="46"/>
  <c r="H55" i="46"/>
  <c r="I55" i="46"/>
  <c r="J55" i="46"/>
  <c r="B56" i="46"/>
  <c r="C56" i="46"/>
  <c r="D56" i="46"/>
  <c r="E56" i="46"/>
  <c r="F56" i="46"/>
  <c r="G56" i="46"/>
  <c r="H56" i="46"/>
  <c r="I56" i="46"/>
  <c r="J56" i="46"/>
  <c r="B57" i="46"/>
  <c r="C57" i="46"/>
  <c r="D57" i="46"/>
  <c r="E57" i="46"/>
  <c r="F57" i="46"/>
  <c r="G57" i="46"/>
  <c r="H57" i="46"/>
  <c r="I57" i="46"/>
  <c r="J57" i="46"/>
  <c r="B58" i="46"/>
  <c r="C58" i="46"/>
  <c r="D58" i="46"/>
  <c r="E58" i="46"/>
  <c r="F58" i="46"/>
  <c r="G58" i="46"/>
  <c r="H58" i="46"/>
  <c r="I58" i="46"/>
  <c r="J58" i="46"/>
  <c r="B59" i="46"/>
  <c r="C59" i="46"/>
  <c r="D59" i="46"/>
  <c r="E59" i="46"/>
  <c r="F59" i="46"/>
  <c r="G59" i="46"/>
  <c r="H59" i="46"/>
  <c r="I59" i="46"/>
  <c r="J59" i="46"/>
  <c r="B60" i="46"/>
  <c r="C60" i="46"/>
  <c r="D60" i="46"/>
  <c r="E60" i="46"/>
  <c r="F60" i="46"/>
  <c r="G60" i="46"/>
  <c r="H60" i="46"/>
  <c r="I60" i="46"/>
  <c r="J60" i="46"/>
  <c r="B61" i="46"/>
  <c r="C61" i="46"/>
  <c r="D61" i="46"/>
  <c r="E61" i="46"/>
  <c r="F61" i="46"/>
  <c r="G61" i="46"/>
  <c r="H61" i="46"/>
  <c r="I61" i="46"/>
  <c r="J61" i="46"/>
  <c r="B62" i="46"/>
  <c r="C62" i="46"/>
  <c r="D62" i="46"/>
  <c r="E62" i="46"/>
  <c r="F62" i="46"/>
  <c r="G62" i="46"/>
  <c r="H62" i="46"/>
  <c r="I62" i="46"/>
  <c r="J62" i="46"/>
  <c r="B63" i="46"/>
  <c r="C63" i="46"/>
  <c r="D63" i="46"/>
  <c r="E63" i="46"/>
  <c r="F63" i="46"/>
  <c r="G63" i="46"/>
  <c r="H63" i="46"/>
  <c r="I63" i="46"/>
  <c r="J63" i="46"/>
  <c r="B64" i="46"/>
  <c r="C64" i="46"/>
  <c r="D64" i="46"/>
  <c r="E64" i="46"/>
  <c r="F64" i="46"/>
  <c r="G64" i="46"/>
  <c r="H64" i="46"/>
  <c r="I64" i="46"/>
  <c r="J64" i="46"/>
  <c r="B65" i="46"/>
  <c r="C65" i="46"/>
  <c r="D65" i="46"/>
  <c r="E65" i="46"/>
  <c r="F65" i="46"/>
  <c r="G65" i="46"/>
  <c r="H65" i="46"/>
  <c r="I65" i="46"/>
  <c r="J65" i="46"/>
  <c r="B66" i="46"/>
  <c r="E66" i="46"/>
  <c r="F66" i="46"/>
  <c r="G66" i="46"/>
  <c r="H66" i="46"/>
  <c r="I66" i="46"/>
  <c r="J66" i="46"/>
  <c r="B67" i="46"/>
  <c r="C67" i="46"/>
  <c r="D67" i="46"/>
  <c r="E67" i="46"/>
  <c r="F67" i="46"/>
  <c r="G67" i="46"/>
  <c r="H67" i="46"/>
  <c r="I67" i="46"/>
  <c r="J67" i="46"/>
  <c r="B68" i="46"/>
  <c r="C68" i="46"/>
  <c r="D68" i="46"/>
  <c r="E68" i="46"/>
  <c r="F68" i="46"/>
  <c r="G68" i="46"/>
  <c r="H68" i="46"/>
  <c r="I68" i="46"/>
  <c r="J68" i="46"/>
  <c r="B69" i="46"/>
  <c r="E69" i="46"/>
  <c r="F69" i="46"/>
  <c r="G69" i="46"/>
  <c r="H69" i="46"/>
  <c r="I69" i="46"/>
  <c r="J69" i="46"/>
  <c r="B70" i="46"/>
  <c r="C70" i="46"/>
  <c r="D70" i="46"/>
  <c r="E70" i="46"/>
  <c r="F70" i="46"/>
  <c r="G70" i="46"/>
  <c r="H70" i="46"/>
  <c r="I70" i="46"/>
  <c r="J70" i="46"/>
  <c r="B71" i="46"/>
  <c r="C71" i="46"/>
  <c r="D71" i="46"/>
  <c r="E71" i="46"/>
  <c r="F71" i="46"/>
  <c r="G71" i="46"/>
  <c r="H71" i="46"/>
  <c r="I71" i="46"/>
  <c r="J71" i="46"/>
  <c r="B72" i="46"/>
  <c r="C72" i="46"/>
  <c r="D72" i="46"/>
  <c r="E72" i="46"/>
  <c r="F72" i="46"/>
  <c r="G72" i="46"/>
  <c r="H72" i="46"/>
  <c r="I72" i="46"/>
  <c r="J72" i="46"/>
  <c r="B73" i="46"/>
  <c r="C73" i="46"/>
  <c r="D73" i="46"/>
  <c r="E73" i="46"/>
  <c r="F73" i="46"/>
  <c r="G73" i="46"/>
  <c r="H73" i="46"/>
  <c r="I73" i="46"/>
  <c r="J73" i="46"/>
  <c r="B74" i="46"/>
  <c r="C74" i="46"/>
  <c r="D74" i="46"/>
  <c r="E74" i="46"/>
  <c r="F74" i="46"/>
  <c r="G74" i="46"/>
  <c r="H74" i="46"/>
  <c r="I74" i="46"/>
  <c r="J74" i="46"/>
  <c r="B75" i="46"/>
  <c r="C75" i="46" s="1"/>
  <c r="D75" i="46"/>
  <c r="E75" i="46"/>
  <c r="F75" i="46"/>
  <c r="G75" i="46"/>
  <c r="H75" i="46"/>
  <c r="I75" i="46"/>
  <c r="J75" i="46"/>
  <c r="B76" i="46"/>
  <c r="C76" i="46"/>
  <c r="D76" i="46"/>
  <c r="E76" i="46"/>
  <c r="F76" i="46"/>
  <c r="G76" i="46"/>
  <c r="H76" i="46"/>
  <c r="I76" i="46"/>
  <c r="J76" i="46"/>
  <c r="B77" i="46"/>
  <c r="C77" i="46"/>
  <c r="D77" i="46"/>
  <c r="E77" i="46"/>
  <c r="F77" i="46"/>
  <c r="G77" i="46"/>
  <c r="H77" i="46"/>
  <c r="I77" i="46"/>
  <c r="J77" i="46"/>
  <c r="B78" i="46"/>
  <c r="C78" i="46"/>
  <c r="D78" i="46"/>
  <c r="E78" i="46"/>
  <c r="F78" i="46"/>
  <c r="G78" i="46"/>
  <c r="H78" i="46"/>
  <c r="I78" i="46"/>
  <c r="J78" i="46"/>
  <c r="B79" i="46"/>
  <c r="C79" i="46"/>
  <c r="D79" i="46"/>
  <c r="E79" i="46"/>
  <c r="F79" i="46"/>
  <c r="G79" i="46"/>
  <c r="H79" i="46"/>
  <c r="I79" i="46"/>
  <c r="J79" i="46"/>
  <c r="B80" i="46"/>
  <c r="C80" i="46"/>
  <c r="D80" i="46"/>
  <c r="E80" i="46"/>
  <c r="F80" i="46"/>
  <c r="G80" i="46"/>
  <c r="H80" i="46"/>
  <c r="I80" i="46"/>
  <c r="J80" i="46"/>
  <c r="B81" i="46"/>
  <c r="C81" i="46"/>
  <c r="D81" i="46"/>
  <c r="E81" i="46"/>
  <c r="F81" i="46"/>
  <c r="G81" i="46"/>
  <c r="H81" i="46"/>
  <c r="I81" i="46"/>
  <c r="J81" i="46"/>
  <c r="B82" i="46"/>
  <c r="C82" i="46"/>
  <c r="D82" i="46"/>
  <c r="E82" i="46"/>
  <c r="F82" i="46"/>
  <c r="G82" i="46"/>
  <c r="H82" i="46"/>
  <c r="I82" i="46"/>
  <c r="J82" i="46"/>
  <c r="B83" i="46"/>
  <c r="C83" i="46"/>
  <c r="D83" i="46"/>
  <c r="E83" i="46"/>
  <c r="F83" i="46"/>
  <c r="G83" i="46"/>
  <c r="H83" i="46"/>
  <c r="I83" i="46"/>
  <c r="J83" i="46"/>
  <c r="B84" i="46"/>
  <c r="C84" i="46"/>
  <c r="D84" i="46"/>
  <c r="E84" i="46"/>
  <c r="F84" i="46"/>
  <c r="G84" i="46"/>
  <c r="H84" i="46"/>
  <c r="I84" i="46"/>
  <c r="J84" i="46"/>
  <c r="B85" i="46"/>
  <c r="C85" i="46"/>
  <c r="D85" i="46"/>
  <c r="E85" i="46"/>
  <c r="F85" i="46"/>
  <c r="G85" i="46"/>
  <c r="H85" i="46"/>
  <c r="I85" i="46"/>
  <c r="J85" i="46"/>
  <c r="AI5" i="46"/>
  <c r="A1" i="45"/>
  <c r="P2" i="45"/>
  <c r="J3" i="45"/>
  <c r="J4" i="45"/>
  <c r="M4" i="45"/>
  <c r="AI4" i="45"/>
  <c r="J5" i="45"/>
  <c r="J6" i="45"/>
  <c r="B10" i="45"/>
  <c r="C10" i="45"/>
  <c r="D10" i="45"/>
  <c r="E10" i="45"/>
  <c r="F10" i="45"/>
  <c r="G10" i="45"/>
  <c r="H10" i="45"/>
  <c r="I10" i="45"/>
  <c r="J10" i="45"/>
  <c r="B11" i="45"/>
  <c r="C11" i="45"/>
  <c r="D11" i="45"/>
  <c r="E11" i="45"/>
  <c r="F11" i="45"/>
  <c r="G11" i="45"/>
  <c r="H11" i="45"/>
  <c r="I11" i="45"/>
  <c r="J11" i="45"/>
  <c r="K11" i="45"/>
  <c r="L11" i="45"/>
  <c r="M11" i="45"/>
  <c r="N11" i="45"/>
  <c r="O11" i="45"/>
  <c r="P11" i="45"/>
  <c r="Q11" i="45"/>
  <c r="R11" i="45"/>
  <c r="S11" i="45"/>
  <c r="T11" i="45"/>
  <c r="U11" i="45"/>
  <c r="V11" i="45"/>
  <c r="W11" i="45"/>
  <c r="X11" i="45"/>
  <c r="Y11" i="45"/>
  <c r="Z11" i="45"/>
  <c r="AA11" i="45"/>
  <c r="AB11" i="45"/>
  <c r="AC11" i="45"/>
  <c r="AD11" i="45"/>
  <c r="AE11" i="45"/>
  <c r="B12" i="45"/>
  <c r="C12" i="45"/>
  <c r="D12" i="45"/>
  <c r="E12" i="45"/>
  <c r="F12" i="45"/>
  <c r="G12" i="45"/>
  <c r="H12" i="45"/>
  <c r="I12" i="45"/>
  <c r="J12" i="45"/>
  <c r="K12" i="45"/>
  <c r="L12" i="45"/>
  <c r="M12" i="45"/>
  <c r="N12" i="45"/>
  <c r="O12" i="45"/>
  <c r="P12" i="45"/>
  <c r="Q12" i="45"/>
  <c r="R12" i="45"/>
  <c r="S12" i="45"/>
  <c r="T12" i="45"/>
  <c r="U12" i="45"/>
  <c r="V12" i="45"/>
  <c r="AB12" i="45"/>
  <c r="AD12" i="45"/>
  <c r="AE12" i="45"/>
  <c r="B13" i="45"/>
  <c r="C13" i="45"/>
  <c r="D13" i="45"/>
  <c r="E13" i="45"/>
  <c r="F13" i="45"/>
  <c r="G13" i="45"/>
  <c r="H13" i="45"/>
  <c r="I13" i="45"/>
  <c r="J13" i="45"/>
  <c r="K13" i="45"/>
  <c r="L13" i="45"/>
  <c r="M13" i="45"/>
  <c r="N13" i="45"/>
  <c r="O13" i="45"/>
  <c r="P13" i="45"/>
  <c r="Q13" i="45"/>
  <c r="R13" i="45"/>
  <c r="S13" i="45"/>
  <c r="T13" i="45"/>
  <c r="U13" i="45"/>
  <c r="V13" i="45"/>
  <c r="Y13" i="45"/>
  <c r="Z13" i="45"/>
  <c r="AA13" i="45"/>
  <c r="AB13" i="45"/>
  <c r="AC13" i="45"/>
  <c r="AD13" i="45"/>
  <c r="AE13" i="45"/>
  <c r="B14" i="45"/>
  <c r="C14" i="45"/>
  <c r="D14" i="45"/>
  <c r="E14" i="45"/>
  <c r="F14" i="45"/>
  <c r="G14" i="45"/>
  <c r="H14" i="45"/>
  <c r="I14" i="45"/>
  <c r="J14" i="45"/>
  <c r="K14" i="45"/>
  <c r="L14" i="45"/>
  <c r="M14" i="45"/>
  <c r="N14" i="45"/>
  <c r="O14" i="45"/>
  <c r="P14" i="45"/>
  <c r="Q14" i="45"/>
  <c r="R14" i="45"/>
  <c r="S14" i="45"/>
  <c r="T14" i="45"/>
  <c r="U14" i="45"/>
  <c r="V14" i="45"/>
  <c r="W14" i="45" s="1"/>
  <c r="Z14" i="45"/>
  <c r="AA14" i="45"/>
  <c r="AB14" i="45"/>
  <c r="AC14" i="45"/>
  <c r="AD14" i="45"/>
  <c r="AE14" i="45"/>
  <c r="B15" i="45"/>
  <c r="C15" i="45"/>
  <c r="D15" i="45"/>
  <c r="E15" i="45"/>
  <c r="F15" i="45"/>
  <c r="G15" i="45"/>
  <c r="H15" i="45"/>
  <c r="I15" i="45"/>
  <c r="J15" i="45"/>
  <c r="K15" i="45"/>
  <c r="L15" i="45"/>
  <c r="M15" i="45"/>
  <c r="N15" i="45"/>
  <c r="O15" i="45"/>
  <c r="P15" i="45"/>
  <c r="Q15" i="45"/>
  <c r="R15" i="45"/>
  <c r="S15" i="45"/>
  <c r="T15" i="45"/>
  <c r="U15" i="45"/>
  <c r="V15" i="45"/>
  <c r="Y15" i="45" s="1"/>
  <c r="X15" i="45"/>
  <c r="Z15" i="45"/>
  <c r="AA15" i="45"/>
  <c r="AB15" i="45"/>
  <c r="AC15" i="45"/>
  <c r="AD15" i="45"/>
  <c r="AE15" i="45"/>
  <c r="B16" i="45"/>
  <c r="C16" i="45"/>
  <c r="D16" i="45"/>
  <c r="E16" i="45"/>
  <c r="F16" i="45"/>
  <c r="G16" i="45"/>
  <c r="H16" i="45"/>
  <c r="I16" i="45"/>
  <c r="J16" i="45"/>
  <c r="K16" i="45"/>
  <c r="L16" i="45"/>
  <c r="M16" i="45"/>
  <c r="N16" i="45"/>
  <c r="O16" i="45"/>
  <c r="P16" i="45"/>
  <c r="Q16" i="45"/>
  <c r="R16" i="45"/>
  <c r="S16" i="45"/>
  <c r="T16" i="45"/>
  <c r="U16" i="45"/>
  <c r="V16" i="45"/>
  <c r="X16" i="45"/>
  <c r="Y16" i="45"/>
  <c r="Z16" i="45"/>
  <c r="AA16" i="45"/>
  <c r="AB16" i="45"/>
  <c r="AC16" i="45"/>
  <c r="AD16" i="45"/>
  <c r="AE16" i="45"/>
  <c r="B17" i="45"/>
  <c r="C17" i="45"/>
  <c r="D17" i="45"/>
  <c r="E17" i="45"/>
  <c r="F17" i="45"/>
  <c r="G17" i="45"/>
  <c r="H17" i="45"/>
  <c r="I17" i="45"/>
  <c r="J17" i="45"/>
  <c r="K17" i="45"/>
  <c r="L17" i="45"/>
  <c r="M17" i="45"/>
  <c r="N17" i="45"/>
  <c r="O17" i="45"/>
  <c r="P17" i="45"/>
  <c r="Q17" i="45"/>
  <c r="R17" i="45"/>
  <c r="S17" i="45"/>
  <c r="T17" i="45"/>
  <c r="U17" i="45"/>
  <c r="V17" i="45"/>
  <c r="W17" i="45"/>
  <c r="X17" i="45"/>
  <c r="Y17" i="45"/>
  <c r="B18" i="45"/>
  <c r="C18" i="45" s="1"/>
  <c r="D18" i="45"/>
  <c r="E18" i="45"/>
  <c r="F18" i="45"/>
  <c r="G18" i="45"/>
  <c r="H18" i="45"/>
  <c r="I18" i="45"/>
  <c r="J18" i="45"/>
  <c r="B19" i="45"/>
  <c r="C19" i="45"/>
  <c r="D19" i="45"/>
  <c r="E19" i="45"/>
  <c r="F19" i="45"/>
  <c r="G19" i="45"/>
  <c r="H19" i="45"/>
  <c r="I19" i="45"/>
  <c r="J19" i="45"/>
  <c r="B20" i="45"/>
  <c r="C20" i="45"/>
  <c r="D20" i="45"/>
  <c r="E20" i="45"/>
  <c r="F20" i="45"/>
  <c r="G20" i="45"/>
  <c r="H20" i="45"/>
  <c r="I20" i="45"/>
  <c r="J20" i="45"/>
  <c r="B21" i="45"/>
  <c r="C21" i="45"/>
  <c r="D21" i="45"/>
  <c r="E21" i="45"/>
  <c r="F21" i="45"/>
  <c r="G21" i="45"/>
  <c r="H21" i="45"/>
  <c r="I21" i="45"/>
  <c r="J21" i="45"/>
  <c r="B22" i="45"/>
  <c r="C22" i="45"/>
  <c r="D22" i="45"/>
  <c r="E22" i="45"/>
  <c r="F22" i="45"/>
  <c r="G22" i="45"/>
  <c r="H22" i="45"/>
  <c r="I22" i="45"/>
  <c r="J22" i="45"/>
  <c r="B23" i="45"/>
  <c r="C23" i="45"/>
  <c r="D23" i="45"/>
  <c r="E23" i="45"/>
  <c r="F23" i="45"/>
  <c r="G23" i="45"/>
  <c r="H23" i="45"/>
  <c r="I23" i="45"/>
  <c r="J23" i="45"/>
  <c r="B24" i="45"/>
  <c r="C24" i="45"/>
  <c r="D24" i="45"/>
  <c r="E24" i="45"/>
  <c r="F24" i="45"/>
  <c r="G24" i="45"/>
  <c r="H24" i="45"/>
  <c r="I24" i="45"/>
  <c r="J24" i="45"/>
  <c r="B25" i="45"/>
  <c r="C25" i="45"/>
  <c r="D25" i="45"/>
  <c r="E25" i="45"/>
  <c r="F25" i="45"/>
  <c r="G25" i="45"/>
  <c r="H25" i="45"/>
  <c r="I25" i="45"/>
  <c r="J25" i="45"/>
  <c r="B26" i="45"/>
  <c r="C26" i="45"/>
  <c r="D26" i="45"/>
  <c r="E26" i="45"/>
  <c r="F26" i="45"/>
  <c r="G26" i="45"/>
  <c r="H26" i="45"/>
  <c r="I26" i="45"/>
  <c r="J26" i="45"/>
  <c r="B27" i="45"/>
  <c r="C27" i="45"/>
  <c r="D27" i="45"/>
  <c r="E27" i="45"/>
  <c r="F27" i="45"/>
  <c r="G27" i="45"/>
  <c r="H27" i="45"/>
  <c r="I27" i="45"/>
  <c r="J27" i="45"/>
  <c r="B28" i="45"/>
  <c r="C28" i="45"/>
  <c r="D28" i="45"/>
  <c r="E28" i="45"/>
  <c r="F28" i="45"/>
  <c r="G28" i="45"/>
  <c r="H28" i="45"/>
  <c r="I28" i="45"/>
  <c r="J28" i="45"/>
  <c r="B29" i="45"/>
  <c r="C29" i="45"/>
  <c r="D29" i="45"/>
  <c r="E29" i="45"/>
  <c r="F29" i="45"/>
  <c r="G29" i="45"/>
  <c r="H29" i="45"/>
  <c r="I29" i="45"/>
  <c r="J29" i="45"/>
  <c r="B30" i="45"/>
  <c r="C30" i="45"/>
  <c r="D30" i="45"/>
  <c r="E30" i="45"/>
  <c r="F30" i="45"/>
  <c r="G30" i="45"/>
  <c r="H30" i="45"/>
  <c r="I30" i="45"/>
  <c r="J30" i="45"/>
  <c r="B31" i="45"/>
  <c r="C31" i="45"/>
  <c r="D31" i="45"/>
  <c r="E31" i="45"/>
  <c r="F31" i="45"/>
  <c r="G31" i="45"/>
  <c r="H31" i="45"/>
  <c r="I31" i="45"/>
  <c r="J31" i="45"/>
  <c r="B32" i="45"/>
  <c r="C32" i="45"/>
  <c r="D32" i="45"/>
  <c r="E32" i="45"/>
  <c r="F32" i="45"/>
  <c r="G32" i="45"/>
  <c r="H32" i="45"/>
  <c r="I32" i="45"/>
  <c r="J32" i="45"/>
  <c r="B33" i="45"/>
  <c r="C33" i="45"/>
  <c r="D33" i="45"/>
  <c r="E33" i="45"/>
  <c r="F33" i="45"/>
  <c r="G33" i="45"/>
  <c r="H33" i="45"/>
  <c r="I33" i="45"/>
  <c r="J33" i="45"/>
  <c r="B34" i="45"/>
  <c r="C34" i="45"/>
  <c r="D34" i="45"/>
  <c r="E34" i="45"/>
  <c r="F34" i="45"/>
  <c r="G34" i="45"/>
  <c r="H34" i="45"/>
  <c r="I34" i="45"/>
  <c r="J34" i="45"/>
  <c r="B35" i="45"/>
  <c r="C35" i="45"/>
  <c r="D35" i="45"/>
  <c r="E35" i="45"/>
  <c r="F35" i="45"/>
  <c r="G35" i="45"/>
  <c r="H35" i="45"/>
  <c r="I35" i="45"/>
  <c r="J35" i="45"/>
  <c r="B36" i="45"/>
  <c r="C36" i="45"/>
  <c r="D36" i="45"/>
  <c r="E36" i="45"/>
  <c r="F36" i="45"/>
  <c r="G36" i="45"/>
  <c r="H36" i="45"/>
  <c r="I36" i="45"/>
  <c r="J36" i="45"/>
  <c r="B37" i="45"/>
  <c r="C37" i="45"/>
  <c r="D37" i="45"/>
  <c r="E37" i="45"/>
  <c r="F37" i="45"/>
  <c r="G37" i="45"/>
  <c r="H37" i="45"/>
  <c r="I37" i="45"/>
  <c r="J37" i="45"/>
  <c r="B38" i="45"/>
  <c r="C38" i="45"/>
  <c r="D38" i="45"/>
  <c r="E38" i="45"/>
  <c r="F38" i="45"/>
  <c r="G38" i="45"/>
  <c r="H38" i="45"/>
  <c r="I38" i="45"/>
  <c r="J38" i="45"/>
  <c r="B39" i="45"/>
  <c r="C39" i="45"/>
  <c r="D39" i="45"/>
  <c r="E39" i="45"/>
  <c r="F39" i="45"/>
  <c r="G39" i="45"/>
  <c r="H39" i="45"/>
  <c r="I39" i="45"/>
  <c r="J39" i="45"/>
  <c r="B40" i="45"/>
  <c r="C40" i="45"/>
  <c r="D40" i="45"/>
  <c r="E40" i="45"/>
  <c r="F40" i="45"/>
  <c r="G40" i="45"/>
  <c r="H40" i="45"/>
  <c r="I40" i="45"/>
  <c r="J40" i="45"/>
  <c r="B41" i="45"/>
  <c r="C41" i="45"/>
  <c r="D41" i="45"/>
  <c r="E41" i="45"/>
  <c r="F41" i="45"/>
  <c r="G41" i="45"/>
  <c r="H41" i="45"/>
  <c r="I41" i="45"/>
  <c r="J41" i="45"/>
  <c r="B42" i="45"/>
  <c r="C42" i="45"/>
  <c r="D42" i="45"/>
  <c r="E42" i="45"/>
  <c r="F42" i="45"/>
  <c r="G42" i="45"/>
  <c r="H42" i="45"/>
  <c r="I42" i="45"/>
  <c r="J42" i="45"/>
  <c r="B43" i="45"/>
  <c r="C43" i="45"/>
  <c r="D43" i="45"/>
  <c r="E43" i="45"/>
  <c r="F43" i="45"/>
  <c r="G43" i="45"/>
  <c r="H43" i="45"/>
  <c r="I43" i="45"/>
  <c r="J43" i="45"/>
  <c r="B44" i="45"/>
  <c r="C44" i="45"/>
  <c r="D44" i="45"/>
  <c r="E44" i="45"/>
  <c r="F44" i="45"/>
  <c r="G44" i="45"/>
  <c r="H44" i="45"/>
  <c r="I44" i="45"/>
  <c r="J44" i="45"/>
  <c r="B45" i="45"/>
  <c r="C45" i="45"/>
  <c r="D45" i="45"/>
  <c r="E45" i="45"/>
  <c r="F45" i="45"/>
  <c r="G45" i="45"/>
  <c r="H45" i="45"/>
  <c r="I45" i="45"/>
  <c r="J45" i="45"/>
  <c r="B46" i="45"/>
  <c r="C46" i="45"/>
  <c r="D46" i="45"/>
  <c r="E46" i="45"/>
  <c r="F46" i="45"/>
  <c r="G46" i="45"/>
  <c r="H46" i="45"/>
  <c r="I46" i="45"/>
  <c r="J46" i="45"/>
  <c r="B47" i="45"/>
  <c r="C47" i="45"/>
  <c r="D47" i="45"/>
  <c r="E47" i="45"/>
  <c r="F47" i="45"/>
  <c r="G47" i="45"/>
  <c r="H47" i="45"/>
  <c r="I47" i="45"/>
  <c r="J47" i="45"/>
  <c r="B48" i="45"/>
  <c r="C48" i="45"/>
  <c r="D48" i="45"/>
  <c r="E48" i="45"/>
  <c r="F48" i="45"/>
  <c r="G48" i="45"/>
  <c r="H48" i="45"/>
  <c r="I48" i="45"/>
  <c r="J48" i="45"/>
  <c r="B49" i="45"/>
  <c r="C49" i="45"/>
  <c r="D49" i="45"/>
  <c r="E49" i="45"/>
  <c r="F49" i="45"/>
  <c r="G49" i="45"/>
  <c r="H49" i="45"/>
  <c r="I49" i="45"/>
  <c r="J49" i="45"/>
  <c r="B50" i="45"/>
  <c r="C50" i="45"/>
  <c r="D50" i="45"/>
  <c r="E50" i="45"/>
  <c r="F50" i="45"/>
  <c r="G50" i="45"/>
  <c r="H50" i="45"/>
  <c r="I50" i="45"/>
  <c r="J50" i="45"/>
  <c r="B51" i="45"/>
  <c r="C51" i="45"/>
  <c r="D51" i="45"/>
  <c r="E51" i="45"/>
  <c r="F51" i="45"/>
  <c r="G51" i="45"/>
  <c r="H51" i="45"/>
  <c r="I51" i="45"/>
  <c r="J51" i="45"/>
  <c r="B52" i="45"/>
  <c r="C52" i="45"/>
  <c r="D52" i="45"/>
  <c r="E52" i="45"/>
  <c r="F52" i="45"/>
  <c r="G52" i="45"/>
  <c r="H52" i="45"/>
  <c r="I52" i="45"/>
  <c r="J52" i="45"/>
  <c r="B53" i="45"/>
  <c r="C53" i="45"/>
  <c r="D53" i="45"/>
  <c r="E53" i="45"/>
  <c r="F53" i="45"/>
  <c r="G53" i="45"/>
  <c r="H53" i="45"/>
  <c r="I53" i="45"/>
  <c r="J53" i="45"/>
  <c r="B54" i="45"/>
  <c r="C54" i="45"/>
  <c r="D54" i="45"/>
  <c r="E54" i="45"/>
  <c r="F54" i="45"/>
  <c r="G54" i="45"/>
  <c r="H54" i="45"/>
  <c r="I54" i="45"/>
  <c r="J54" i="45"/>
  <c r="B55" i="45"/>
  <c r="C55" i="45"/>
  <c r="D55" i="45"/>
  <c r="E55" i="45"/>
  <c r="F55" i="45"/>
  <c r="G55" i="45"/>
  <c r="H55" i="45"/>
  <c r="I55" i="45"/>
  <c r="J55" i="45"/>
  <c r="B56" i="45"/>
  <c r="C56" i="45"/>
  <c r="D56" i="45"/>
  <c r="E56" i="45"/>
  <c r="F56" i="45"/>
  <c r="G56" i="45"/>
  <c r="H56" i="45"/>
  <c r="I56" i="45"/>
  <c r="J56" i="45"/>
  <c r="B57" i="45"/>
  <c r="C57" i="45"/>
  <c r="D57" i="45"/>
  <c r="E57" i="45"/>
  <c r="F57" i="45"/>
  <c r="G57" i="45"/>
  <c r="H57" i="45"/>
  <c r="I57" i="45"/>
  <c r="J57" i="45"/>
  <c r="B58" i="45"/>
  <c r="C58" i="45"/>
  <c r="D58" i="45"/>
  <c r="E58" i="45"/>
  <c r="F58" i="45"/>
  <c r="G58" i="45"/>
  <c r="H58" i="45"/>
  <c r="I58" i="45"/>
  <c r="J58" i="45"/>
  <c r="B59" i="45"/>
  <c r="C59" i="45"/>
  <c r="D59" i="45"/>
  <c r="E59" i="45"/>
  <c r="F59" i="45"/>
  <c r="G59" i="45"/>
  <c r="H59" i="45"/>
  <c r="I59" i="45"/>
  <c r="J59" i="45"/>
  <c r="B60" i="45"/>
  <c r="C60" i="45"/>
  <c r="D60" i="45"/>
  <c r="E60" i="45"/>
  <c r="F60" i="45"/>
  <c r="G60" i="45"/>
  <c r="H60" i="45"/>
  <c r="I60" i="45"/>
  <c r="J60" i="45"/>
  <c r="B61" i="45"/>
  <c r="C61" i="45"/>
  <c r="D61" i="45"/>
  <c r="E61" i="45"/>
  <c r="F61" i="45"/>
  <c r="G61" i="45"/>
  <c r="H61" i="45"/>
  <c r="I61" i="45"/>
  <c r="J61" i="45"/>
  <c r="B62" i="45"/>
  <c r="C62" i="45"/>
  <c r="D62" i="45"/>
  <c r="E62" i="45"/>
  <c r="F62" i="45"/>
  <c r="G62" i="45"/>
  <c r="H62" i="45"/>
  <c r="I62" i="45"/>
  <c r="J62" i="45"/>
  <c r="B63" i="45"/>
  <c r="C63" i="45"/>
  <c r="D63" i="45"/>
  <c r="E63" i="45"/>
  <c r="F63" i="45"/>
  <c r="G63" i="45"/>
  <c r="H63" i="45"/>
  <c r="I63" i="45"/>
  <c r="J63" i="45"/>
  <c r="B64" i="45"/>
  <c r="C64" i="45"/>
  <c r="D64" i="45"/>
  <c r="E64" i="45"/>
  <c r="F64" i="45"/>
  <c r="G64" i="45"/>
  <c r="H64" i="45"/>
  <c r="I64" i="45"/>
  <c r="J64" i="45"/>
  <c r="B65" i="45"/>
  <c r="C65" i="45"/>
  <c r="D65" i="45"/>
  <c r="E65" i="45"/>
  <c r="F65" i="45"/>
  <c r="G65" i="45"/>
  <c r="H65" i="45"/>
  <c r="I65" i="45"/>
  <c r="J65" i="45"/>
  <c r="B66" i="45"/>
  <c r="C66" i="45"/>
  <c r="D66" i="45"/>
  <c r="E66" i="45"/>
  <c r="F66" i="45"/>
  <c r="G66" i="45"/>
  <c r="H66" i="45"/>
  <c r="I66" i="45"/>
  <c r="J66" i="45"/>
  <c r="B67" i="45"/>
  <c r="C67" i="45"/>
  <c r="D67" i="45"/>
  <c r="E67" i="45"/>
  <c r="F67" i="45"/>
  <c r="G67" i="45"/>
  <c r="H67" i="45"/>
  <c r="I67" i="45"/>
  <c r="J67" i="45"/>
  <c r="B68" i="45"/>
  <c r="C68" i="45"/>
  <c r="D68" i="45"/>
  <c r="E68" i="45"/>
  <c r="F68" i="45"/>
  <c r="G68" i="45"/>
  <c r="H68" i="45"/>
  <c r="I68" i="45"/>
  <c r="J68" i="45"/>
  <c r="B69" i="45"/>
  <c r="C69" i="45"/>
  <c r="D69" i="45"/>
  <c r="E69" i="45"/>
  <c r="F69" i="45"/>
  <c r="G69" i="45"/>
  <c r="H69" i="45"/>
  <c r="I69" i="45"/>
  <c r="J69" i="45"/>
  <c r="B70" i="45"/>
  <c r="C70" i="45"/>
  <c r="D70" i="45"/>
  <c r="E70" i="45"/>
  <c r="F70" i="45"/>
  <c r="G70" i="45"/>
  <c r="H70" i="45"/>
  <c r="I70" i="45"/>
  <c r="J70" i="45"/>
  <c r="B71" i="45"/>
  <c r="C71" i="45"/>
  <c r="D71" i="45"/>
  <c r="E71" i="45"/>
  <c r="F71" i="45"/>
  <c r="G71" i="45"/>
  <c r="H71" i="45"/>
  <c r="I71" i="45"/>
  <c r="J71" i="45"/>
  <c r="B72" i="45"/>
  <c r="C72" i="45"/>
  <c r="D72" i="45"/>
  <c r="E72" i="45"/>
  <c r="F72" i="45"/>
  <c r="G72" i="45"/>
  <c r="H72" i="45"/>
  <c r="I72" i="45"/>
  <c r="J72" i="45"/>
  <c r="B73" i="45"/>
  <c r="C73" i="45"/>
  <c r="D73" i="45"/>
  <c r="E73" i="45"/>
  <c r="F73" i="45"/>
  <c r="G73" i="45"/>
  <c r="H73" i="45"/>
  <c r="I73" i="45"/>
  <c r="J73" i="45"/>
  <c r="B74" i="45"/>
  <c r="C74" i="45"/>
  <c r="D74" i="45"/>
  <c r="E74" i="45"/>
  <c r="F74" i="45"/>
  <c r="G74" i="45"/>
  <c r="H74" i="45"/>
  <c r="I74" i="45"/>
  <c r="J74" i="45"/>
  <c r="B75" i="45"/>
  <c r="C75" i="45"/>
  <c r="D75" i="45"/>
  <c r="E75" i="45"/>
  <c r="F75" i="45"/>
  <c r="G75" i="45"/>
  <c r="H75" i="45"/>
  <c r="I75" i="45"/>
  <c r="J75" i="45"/>
  <c r="B76" i="45"/>
  <c r="C76" i="45"/>
  <c r="D76" i="45"/>
  <c r="E76" i="45"/>
  <c r="F76" i="45"/>
  <c r="G76" i="45"/>
  <c r="H76" i="45"/>
  <c r="I76" i="45"/>
  <c r="J76" i="45"/>
  <c r="B77" i="45"/>
  <c r="C77" i="45"/>
  <c r="D77" i="45"/>
  <c r="E77" i="45"/>
  <c r="F77" i="45"/>
  <c r="G77" i="45"/>
  <c r="H77" i="45"/>
  <c r="I77" i="45"/>
  <c r="J77" i="45"/>
  <c r="B78" i="45"/>
  <c r="C78" i="45"/>
  <c r="D78" i="45"/>
  <c r="E78" i="45"/>
  <c r="F78" i="45"/>
  <c r="G78" i="45"/>
  <c r="H78" i="45"/>
  <c r="I78" i="45"/>
  <c r="J78" i="45"/>
  <c r="B79" i="45"/>
  <c r="E79" i="45"/>
  <c r="F79" i="45"/>
  <c r="G79" i="45"/>
  <c r="H79" i="45"/>
  <c r="I79" i="45"/>
  <c r="J79" i="45"/>
  <c r="B80" i="45"/>
  <c r="C80" i="45"/>
  <c r="D80" i="45"/>
  <c r="E80" i="45"/>
  <c r="F80" i="45"/>
  <c r="G80" i="45"/>
  <c r="H80" i="45"/>
  <c r="I80" i="45"/>
  <c r="J80" i="45"/>
  <c r="B81" i="45"/>
  <c r="C81" i="45"/>
  <c r="D81" i="45"/>
  <c r="E81" i="45"/>
  <c r="F81" i="45"/>
  <c r="G81" i="45"/>
  <c r="H81" i="45"/>
  <c r="I81" i="45"/>
  <c r="J81" i="45"/>
  <c r="B82" i="45"/>
  <c r="C82" i="45"/>
  <c r="D82" i="45"/>
  <c r="E82" i="45"/>
  <c r="F82" i="45"/>
  <c r="G82" i="45"/>
  <c r="H82" i="45"/>
  <c r="I82" i="45"/>
  <c r="J82" i="45"/>
  <c r="B83" i="45"/>
  <c r="C83" i="45"/>
  <c r="D83" i="45"/>
  <c r="E83" i="45"/>
  <c r="F83" i="45"/>
  <c r="G83" i="45"/>
  <c r="H83" i="45"/>
  <c r="I83" i="45"/>
  <c r="J83" i="45"/>
  <c r="B84" i="45"/>
  <c r="C84" i="45"/>
  <c r="D84" i="45"/>
  <c r="E84" i="45"/>
  <c r="F84" i="45"/>
  <c r="G84" i="45"/>
  <c r="H84" i="45"/>
  <c r="I84" i="45"/>
  <c r="J84" i="45"/>
  <c r="B85" i="45"/>
  <c r="C85" i="45"/>
  <c r="D85" i="45"/>
  <c r="E85" i="45"/>
  <c r="F85" i="45"/>
  <c r="G85" i="45"/>
  <c r="H85" i="45"/>
  <c r="I85" i="45"/>
  <c r="J85" i="45"/>
  <c r="AI5" i="45"/>
  <c r="A1" i="44"/>
  <c r="P2" i="44"/>
  <c r="J3" i="44"/>
  <c r="J4" i="44"/>
  <c r="M4" i="44"/>
  <c r="AI4" i="44"/>
  <c r="J5" i="44"/>
  <c r="J6" i="44"/>
  <c r="B10" i="44"/>
  <c r="C10" i="44"/>
  <c r="D10" i="44"/>
  <c r="E10" i="44"/>
  <c r="F10" i="44"/>
  <c r="G10" i="44"/>
  <c r="H10" i="44"/>
  <c r="I10" i="44"/>
  <c r="J10" i="44"/>
  <c r="Q10" i="44"/>
  <c r="R10" i="44"/>
  <c r="S10" i="44"/>
  <c r="T10" i="44"/>
  <c r="U10" i="44"/>
  <c r="V10" i="44"/>
  <c r="B11" i="44"/>
  <c r="C11" i="44" s="1"/>
  <c r="D11" i="44"/>
  <c r="E11" i="44"/>
  <c r="F11" i="44"/>
  <c r="G11" i="44"/>
  <c r="H11" i="44"/>
  <c r="I11" i="44"/>
  <c r="J11" i="44"/>
  <c r="K11" i="44"/>
  <c r="L11" i="44"/>
  <c r="M11" i="44"/>
  <c r="N11" i="44"/>
  <c r="O11" i="44"/>
  <c r="P11" i="44"/>
  <c r="Q11" i="44"/>
  <c r="R11" i="44"/>
  <c r="S11" i="44"/>
  <c r="T11" i="44"/>
  <c r="U11" i="44"/>
  <c r="V11" i="44"/>
  <c r="W11" i="44"/>
  <c r="X11" i="44"/>
  <c r="Y11" i="44"/>
  <c r="Z11" i="44"/>
  <c r="AA11" i="44"/>
  <c r="AB11" i="44"/>
  <c r="AC11" i="44"/>
  <c r="AD11" i="44"/>
  <c r="AE11" i="44"/>
  <c r="B12" i="44"/>
  <c r="C12" i="44"/>
  <c r="D12" i="44"/>
  <c r="E12" i="44"/>
  <c r="F12" i="44"/>
  <c r="G12" i="44"/>
  <c r="H12" i="44"/>
  <c r="I12" i="44"/>
  <c r="J12" i="44"/>
  <c r="K12" i="44"/>
  <c r="L12" i="44"/>
  <c r="M12" i="44"/>
  <c r="N12" i="44"/>
  <c r="O12" i="44"/>
  <c r="P12" i="44"/>
  <c r="Q12" i="44"/>
  <c r="R12" i="44"/>
  <c r="S12" i="44"/>
  <c r="T12" i="44"/>
  <c r="U12" i="44"/>
  <c r="V12" i="44"/>
  <c r="W12" i="44" s="1"/>
  <c r="X12" i="44"/>
  <c r="Y12" i="44"/>
  <c r="Z12" i="44"/>
  <c r="AA12" i="44"/>
  <c r="AB12" i="44"/>
  <c r="AC12" i="44"/>
  <c r="AD12" i="44"/>
  <c r="AE12" i="44"/>
  <c r="B13" i="44"/>
  <c r="C13" i="44"/>
  <c r="D13" i="44"/>
  <c r="E13" i="44"/>
  <c r="F13" i="44"/>
  <c r="G13" i="44"/>
  <c r="H13" i="44"/>
  <c r="I13" i="44"/>
  <c r="J13" i="44"/>
  <c r="K13" i="44"/>
  <c r="L13" i="44"/>
  <c r="M13" i="44"/>
  <c r="N13" i="44"/>
  <c r="O13" i="44"/>
  <c r="P13" i="44"/>
  <c r="Q13" i="44"/>
  <c r="R13" i="44"/>
  <c r="S13" i="44"/>
  <c r="T13" i="44"/>
  <c r="U13" i="44"/>
  <c r="V13" i="44"/>
  <c r="W13" i="44"/>
  <c r="X13" i="44"/>
  <c r="Y13" i="44"/>
  <c r="Z13" i="44"/>
  <c r="AA13" i="44"/>
  <c r="AB13" i="44"/>
  <c r="AC13" i="44"/>
  <c r="AD13" i="44"/>
  <c r="AE13" i="44"/>
  <c r="B14" i="44"/>
  <c r="C14" i="44"/>
  <c r="D14" i="44"/>
  <c r="E14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U14" i="44"/>
  <c r="V14" i="44"/>
  <c r="Z14" i="44"/>
  <c r="AA14" i="44"/>
  <c r="AB14" i="44"/>
  <c r="AC14" i="44"/>
  <c r="AD14" i="44"/>
  <c r="AE14" i="44"/>
  <c r="B15" i="44"/>
  <c r="C15" i="44"/>
  <c r="D15" i="44"/>
  <c r="E15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S15" i="44"/>
  <c r="T15" i="44"/>
  <c r="U15" i="44"/>
  <c r="V15" i="44"/>
  <c r="W15" i="44"/>
  <c r="X15" i="44"/>
  <c r="Y15" i="44"/>
  <c r="Z15" i="44"/>
  <c r="AA15" i="44"/>
  <c r="AB15" i="44"/>
  <c r="AC15" i="44"/>
  <c r="AD15" i="44"/>
  <c r="AE15" i="44"/>
  <c r="B16" i="44"/>
  <c r="C16" i="44"/>
  <c r="D16" i="44"/>
  <c r="E16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Z16" i="44"/>
  <c r="AA16" i="44"/>
  <c r="AB16" i="44"/>
  <c r="AC16" i="44"/>
  <c r="AD16" i="44"/>
  <c r="AE16" i="44"/>
  <c r="B17" i="44"/>
  <c r="C17" i="44"/>
  <c r="D17" i="44"/>
  <c r="E17" i="44"/>
  <c r="F17" i="44"/>
  <c r="G17" i="44"/>
  <c r="H17" i="44"/>
  <c r="I17" i="44"/>
  <c r="J17" i="44"/>
  <c r="K17" i="44"/>
  <c r="L17" i="44"/>
  <c r="M17" i="44"/>
  <c r="N17" i="44"/>
  <c r="O17" i="44"/>
  <c r="P17" i="44"/>
  <c r="Q17" i="44"/>
  <c r="R17" i="44"/>
  <c r="S17" i="44"/>
  <c r="T17" i="44"/>
  <c r="U17" i="44"/>
  <c r="V17" i="44"/>
  <c r="W17" i="44"/>
  <c r="X17" i="44"/>
  <c r="Y17" i="44"/>
  <c r="Z17" i="44"/>
  <c r="AA17" i="44"/>
  <c r="AB17" i="44"/>
  <c r="AC17" i="44"/>
  <c r="AD17" i="44"/>
  <c r="AE17" i="44"/>
  <c r="B18" i="44"/>
  <c r="C18" i="44"/>
  <c r="D18" i="44"/>
  <c r="E18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U18" i="44"/>
  <c r="V18" i="44"/>
  <c r="W18" i="44"/>
  <c r="X18" i="44"/>
  <c r="Y18" i="44"/>
  <c r="Z18" i="44"/>
  <c r="AA18" i="44"/>
  <c r="AB18" i="44"/>
  <c r="AC18" i="44"/>
  <c r="AD18" i="44"/>
  <c r="AE18" i="44"/>
  <c r="B19" i="44"/>
  <c r="C19" i="44"/>
  <c r="D19" i="44"/>
  <c r="E19" i="44"/>
  <c r="F19" i="44"/>
  <c r="G19" i="44"/>
  <c r="H19" i="44"/>
  <c r="I19" i="44"/>
  <c r="J19" i="44"/>
  <c r="K19" i="44"/>
  <c r="L19" i="44"/>
  <c r="M19" i="44"/>
  <c r="N19" i="44"/>
  <c r="O19" i="44"/>
  <c r="P19" i="44"/>
  <c r="Q19" i="44"/>
  <c r="R19" i="44"/>
  <c r="S19" i="44"/>
  <c r="T19" i="44"/>
  <c r="U19" i="44"/>
  <c r="V19" i="44"/>
  <c r="W19" i="44" s="1"/>
  <c r="X19" i="44"/>
  <c r="Y19" i="44"/>
  <c r="Z19" i="44"/>
  <c r="AA19" i="44"/>
  <c r="AB19" i="44"/>
  <c r="AC19" i="44"/>
  <c r="AD19" i="44"/>
  <c r="AE19" i="44"/>
  <c r="B20" i="44"/>
  <c r="C20" i="44"/>
  <c r="D20" i="44"/>
  <c r="E20" i="44"/>
  <c r="F20" i="44"/>
  <c r="G20" i="44"/>
  <c r="H20" i="44"/>
  <c r="I20" i="44"/>
  <c r="J20" i="44"/>
  <c r="K20" i="44"/>
  <c r="L20" i="44"/>
  <c r="M20" i="44"/>
  <c r="N20" i="44"/>
  <c r="O20" i="44"/>
  <c r="P20" i="44"/>
  <c r="Q20" i="44"/>
  <c r="R20" i="44"/>
  <c r="S20" i="44"/>
  <c r="T20" i="44"/>
  <c r="U20" i="44"/>
  <c r="V20" i="44"/>
  <c r="W20" i="44" s="1"/>
  <c r="X20" i="44"/>
  <c r="Y20" i="44"/>
  <c r="Z20" i="44"/>
  <c r="AA20" i="44"/>
  <c r="AB20" i="44"/>
  <c r="AC20" i="44"/>
  <c r="AD20" i="44"/>
  <c r="AE20" i="44"/>
  <c r="B21" i="44"/>
  <c r="C21" i="44"/>
  <c r="D21" i="44"/>
  <c r="E21" i="44"/>
  <c r="F21" i="44"/>
  <c r="G21" i="44"/>
  <c r="H21" i="44"/>
  <c r="I21" i="44"/>
  <c r="J21" i="44"/>
  <c r="K21" i="44"/>
  <c r="L21" i="44"/>
  <c r="M21" i="44"/>
  <c r="N21" i="44"/>
  <c r="O21" i="44"/>
  <c r="P21" i="44"/>
  <c r="Q21" i="44"/>
  <c r="R21" i="44"/>
  <c r="S21" i="44"/>
  <c r="T21" i="44"/>
  <c r="U21" i="44"/>
  <c r="V21" i="44"/>
  <c r="X21" i="44"/>
  <c r="Y21" i="44"/>
  <c r="Z21" i="44"/>
  <c r="AA21" i="44"/>
  <c r="AB21" i="44"/>
  <c r="AC21" i="44"/>
  <c r="AD21" i="44"/>
  <c r="AE21" i="44"/>
  <c r="B22" i="44"/>
  <c r="C22" i="44"/>
  <c r="D22" i="44"/>
  <c r="E22" i="44"/>
  <c r="F22" i="44"/>
  <c r="G22" i="44"/>
  <c r="H22" i="44"/>
  <c r="I22" i="44"/>
  <c r="J22" i="44"/>
  <c r="K22" i="44"/>
  <c r="L22" i="44"/>
  <c r="M22" i="44"/>
  <c r="N22" i="44"/>
  <c r="O22" i="44"/>
  <c r="P22" i="44"/>
  <c r="Q22" i="44"/>
  <c r="R22" i="44"/>
  <c r="S22" i="44"/>
  <c r="T22" i="44"/>
  <c r="U22" i="44"/>
  <c r="V22" i="44"/>
  <c r="W22" i="44"/>
  <c r="X22" i="44"/>
  <c r="Y22" i="44"/>
  <c r="Z22" i="44"/>
  <c r="AA22" i="44"/>
  <c r="AB22" i="44"/>
  <c r="AC22" i="44"/>
  <c r="AD22" i="44"/>
  <c r="AE22" i="44"/>
  <c r="B23" i="44"/>
  <c r="C23" i="44"/>
  <c r="D23" i="44"/>
  <c r="E23" i="44"/>
  <c r="F23" i="44"/>
  <c r="G23" i="44"/>
  <c r="H23" i="44"/>
  <c r="I23" i="44"/>
  <c r="J23" i="44"/>
  <c r="K23" i="44"/>
  <c r="L23" i="44"/>
  <c r="M23" i="44"/>
  <c r="N23" i="44"/>
  <c r="O23" i="44"/>
  <c r="P23" i="44"/>
  <c r="Q23" i="44"/>
  <c r="R23" i="44"/>
  <c r="S23" i="44"/>
  <c r="T23" i="44"/>
  <c r="U23" i="44"/>
  <c r="V23" i="44"/>
  <c r="X23" i="44"/>
  <c r="Y23" i="44"/>
  <c r="Z23" i="44"/>
  <c r="AA23" i="44"/>
  <c r="AB23" i="44"/>
  <c r="AC23" i="44"/>
  <c r="AD23" i="44"/>
  <c r="AE23" i="44"/>
  <c r="B24" i="44"/>
  <c r="C24" i="44"/>
  <c r="D24" i="44"/>
  <c r="E24" i="44"/>
  <c r="F24" i="44"/>
  <c r="G24" i="44"/>
  <c r="H24" i="44"/>
  <c r="I24" i="44"/>
  <c r="J24" i="44"/>
  <c r="K24" i="44"/>
  <c r="L24" i="44"/>
  <c r="M24" i="44"/>
  <c r="N24" i="44"/>
  <c r="O24" i="44"/>
  <c r="P24" i="44"/>
  <c r="Q24" i="44"/>
  <c r="R24" i="44"/>
  <c r="S24" i="44"/>
  <c r="T24" i="44"/>
  <c r="U24" i="44"/>
  <c r="V24" i="44"/>
  <c r="X24" i="44"/>
  <c r="Y24" i="44"/>
  <c r="Z24" i="44"/>
  <c r="AA24" i="44"/>
  <c r="AB24" i="44"/>
  <c r="AC24" i="44"/>
  <c r="AD24" i="44"/>
  <c r="AE24" i="44"/>
  <c r="B25" i="44"/>
  <c r="C25" i="44" s="1"/>
  <c r="D25" i="44"/>
  <c r="E25" i="44"/>
  <c r="F25" i="44"/>
  <c r="G25" i="44"/>
  <c r="H25" i="44"/>
  <c r="I25" i="44"/>
  <c r="J25" i="44"/>
  <c r="K25" i="44"/>
  <c r="L25" i="44"/>
  <c r="M25" i="44"/>
  <c r="N25" i="44"/>
  <c r="O25" i="44"/>
  <c r="P25" i="44"/>
  <c r="Q25" i="44"/>
  <c r="R25" i="44"/>
  <c r="S25" i="44"/>
  <c r="T25" i="44"/>
  <c r="U25" i="44"/>
  <c r="V25" i="44"/>
  <c r="W25" i="44" s="1"/>
  <c r="X25" i="44"/>
  <c r="Y25" i="44"/>
  <c r="Z25" i="44"/>
  <c r="AA25" i="44"/>
  <c r="AB25" i="44"/>
  <c r="AC25" i="44"/>
  <c r="AD25" i="44"/>
  <c r="AE25" i="44"/>
  <c r="B26" i="44"/>
  <c r="E26" i="44"/>
  <c r="F26" i="44"/>
  <c r="G26" i="44"/>
  <c r="H26" i="44"/>
  <c r="I26" i="44"/>
  <c r="J26" i="44"/>
  <c r="K26" i="44"/>
  <c r="L26" i="44"/>
  <c r="M26" i="44"/>
  <c r="N26" i="44"/>
  <c r="O26" i="44"/>
  <c r="P26" i="44"/>
  <c r="Q26" i="44"/>
  <c r="R26" i="44"/>
  <c r="S26" i="44"/>
  <c r="T26" i="44"/>
  <c r="U26" i="44"/>
  <c r="V26" i="44"/>
  <c r="X26" i="44"/>
  <c r="Y26" i="44"/>
  <c r="Z26" i="44"/>
  <c r="AA26" i="44"/>
  <c r="AB26" i="44"/>
  <c r="AC26" i="44"/>
  <c r="AD26" i="44"/>
  <c r="AE26" i="44"/>
  <c r="B27" i="44"/>
  <c r="C27" i="44"/>
  <c r="D27" i="44"/>
  <c r="E27" i="44"/>
  <c r="F27" i="44"/>
  <c r="G27" i="44"/>
  <c r="H27" i="44"/>
  <c r="I27" i="44"/>
  <c r="J27" i="44"/>
  <c r="K27" i="44"/>
  <c r="L27" i="44"/>
  <c r="M27" i="44"/>
  <c r="N27" i="44"/>
  <c r="O27" i="44"/>
  <c r="P27" i="44"/>
  <c r="Q27" i="44"/>
  <c r="R27" i="44"/>
  <c r="S27" i="44"/>
  <c r="T27" i="44"/>
  <c r="U27" i="44"/>
  <c r="V27" i="44"/>
  <c r="W27" i="44"/>
  <c r="X27" i="44"/>
  <c r="Y27" i="44"/>
  <c r="Z27" i="44"/>
  <c r="AA27" i="44"/>
  <c r="AB27" i="44"/>
  <c r="AC27" i="44"/>
  <c r="AD27" i="44"/>
  <c r="AE27" i="44"/>
  <c r="B28" i="44"/>
  <c r="C28" i="44"/>
  <c r="D28" i="44"/>
  <c r="E28" i="44"/>
  <c r="F28" i="44"/>
  <c r="G28" i="44"/>
  <c r="H28" i="44"/>
  <c r="I28" i="44"/>
  <c r="J28" i="44"/>
  <c r="K28" i="44"/>
  <c r="L28" i="44"/>
  <c r="M28" i="44"/>
  <c r="N28" i="44"/>
  <c r="O28" i="44"/>
  <c r="P28" i="44"/>
  <c r="Q28" i="44"/>
  <c r="R28" i="44"/>
  <c r="S28" i="44"/>
  <c r="T28" i="44"/>
  <c r="U28" i="44"/>
  <c r="V28" i="44"/>
  <c r="W28" i="44" s="1"/>
  <c r="X28" i="44"/>
  <c r="Y28" i="44"/>
  <c r="Z28" i="44"/>
  <c r="AA28" i="44"/>
  <c r="AB28" i="44"/>
  <c r="AC28" i="44"/>
  <c r="AD28" i="44"/>
  <c r="B29" i="44"/>
  <c r="C29" i="44"/>
  <c r="D29" i="44"/>
  <c r="E29" i="44"/>
  <c r="F29" i="44"/>
  <c r="G29" i="44"/>
  <c r="H29" i="44"/>
  <c r="I29" i="44"/>
  <c r="J29" i="44"/>
  <c r="B30" i="44"/>
  <c r="H30" i="44" s="1"/>
  <c r="C30" i="44"/>
  <c r="D30" i="44"/>
  <c r="E30" i="44"/>
  <c r="F30" i="44"/>
  <c r="G30" i="44"/>
  <c r="I30" i="44"/>
  <c r="J30" i="44"/>
  <c r="B31" i="44"/>
  <c r="C31" i="44"/>
  <c r="D31" i="44"/>
  <c r="E31" i="44"/>
  <c r="F31" i="44"/>
  <c r="G31" i="44"/>
  <c r="H31" i="44"/>
  <c r="I31" i="44"/>
  <c r="J31" i="44"/>
  <c r="B32" i="44"/>
  <c r="C32" i="44"/>
  <c r="D32" i="44"/>
  <c r="E32" i="44"/>
  <c r="F32" i="44"/>
  <c r="G32" i="44"/>
  <c r="H32" i="44"/>
  <c r="I32" i="44"/>
  <c r="J32" i="44"/>
  <c r="B33" i="44"/>
  <c r="C33" i="44"/>
  <c r="D33" i="44"/>
  <c r="E33" i="44"/>
  <c r="F33" i="44"/>
  <c r="G33" i="44"/>
  <c r="H33" i="44"/>
  <c r="I33" i="44"/>
  <c r="J33" i="44"/>
  <c r="B34" i="44"/>
  <c r="C34" i="44"/>
  <c r="D34" i="44"/>
  <c r="E34" i="44"/>
  <c r="F34" i="44"/>
  <c r="G34" i="44"/>
  <c r="H34" i="44"/>
  <c r="I34" i="44"/>
  <c r="J34" i="44"/>
  <c r="B35" i="44"/>
  <c r="C35" i="44"/>
  <c r="D35" i="44"/>
  <c r="E35" i="44"/>
  <c r="F35" i="44"/>
  <c r="G35" i="44"/>
  <c r="H35" i="44"/>
  <c r="I35" i="44"/>
  <c r="J35" i="44"/>
  <c r="B36" i="44"/>
  <c r="C36" i="44"/>
  <c r="D36" i="44"/>
  <c r="E36" i="44"/>
  <c r="F36" i="44"/>
  <c r="G36" i="44"/>
  <c r="H36" i="44"/>
  <c r="I36" i="44"/>
  <c r="J36" i="44"/>
  <c r="B37" i="44"/>
  <c r="C37" i="44"/>
  <c r="D37" i="44"/>
  <c r="E37" i="44"/>
  <c r="F37" i="44"/>
  <c r="G37" i="44"/>
  <c r="H37" i="44"/>
  <c r="I37" i="44"/>
  <c r="J37" i="44"/>
  <c r="B38" i="44"/>
  <c r="C38" i="44"/>
  <c r="D38" i="44"/>
  <c r="E38" i="44"/>
  <c r="F38" i="44"/>
  <c r="G38" i="44"/>
  <c r="H38" i="44"/>
  <c r="I38" i="44"/>
  <c r="J38" i="44"/>
  <c r="B39" i="44"/>
  <c r="C39" i="44"/>
  <c r="D39" i="44"/>
  <c r="E39" i="44"/>
  <c r="F39" i="44"/>
  <c r="G39" i="44"/>
  <c r="H39" i="44"/>
  <c r="I39" i="44"/>
  <c r="J39" i="44"/>
  <c r="B40" i="44"/>
  <c r="C40" i="44"/>
  <c r="D40" i="44"/>
  <c r="E40" i="44"/>
  <c r="F40" i="44"/>
  <c r="G40" i="44"/>
  <c r="H40" i="44"/>
  <c r="I40" i="44"/>
  <c r="J40" i="44"/>
  <c r="B41" i="44"/>
  <c r="C41" i="44"/>
  <c r="D41" i="44"/>
  <c r="E41" i="44"/>
  <c r="F41" i="44"/>
  <c r="G41" i="44"/>
  <c r="H41" i="44"/>
  <c r="I41" i="44"/>
  <c r="J41" i="44"/>
  <c r="B42" i="44"/>
  <c r="C42" i="44"/>
  <c r="D42" i="44"/>
  <c r="E42" i="44"/>
  <c r="F42" i="44"/>
  <c r="G42" i="44"/>
  <c r="H42" i="44"/>
  <c r="I42" i="44"/>
  <c r="J42" i="44"/>
  <c r="B43" i="44"/>
  <c r="C43" i="44"/>
  <c r="D43" i="44"/>
  <c r="E43" i="44"/>
  <c r="F43" i="44"/>
  <c r="G43" i="44"/>
  <c r="H43" i="44"/>
  <c r="I43" i="44"/>
  <c r="J43" i="44"/>
  <c r="B44" i="44"/>
  <c r="C44" i="44" s="1"/>
  <c r="D44" i="44"/>
  <c r="E44" i="44"/>
  <c r="F44" i="44"/>
  <c r="G44" i="44"/>
  <c r="H44" i="44"/>
  <c r="I44" i="44"/>
  <c r="J44" i="44"/>
  <c r="B45" i="44"/>
  <c r="C45" i="44"/>
  <c r="D45" i="44"/>
  <c r="E45" i="44"/>
  <c r="F45" i="44"/>
  <c r="G45" i="44"/>
  <c r="H45" i="44"/>
  <c r="I45" i="44"/>
  <c r="J45" i="44"/>
  <c r="B46" i="44"/>
  <c r="C46" i="44"/>
  <c r="D46" i="44"/>
  <c r="E46" i="44"/>
  <c r="F46" i="44"/>
  <c r="G46" i="44"/>
  <c r="H46" i="44"/>
  <c r="I46" i="44"/>
  <c r="J46" i="44"/>
  <c r="B47" i="44"/>
  <c r="C47" i="44"/>
  <c r="D47" i="44"/>
  <c r="E47" i="44"/>
  <c r="F47" i="44"/>
  <c r="G47" i="44"/>
  <c r="H47" i="44"/>
  <c r="I47" i="44"/>
  <c r="J47" i="44"/>
  <c r="B48" i="44"/>
  <c r="C48" i="44"/>
  <c r="D48" i="44"/>
  <c r="E48" i="44"/>
  <c r="F48" i="44"/>
  <c r="G48" i="44"/>
  <c r="H48" i="44"/>
  <c r="I48" i="44"/>
  <c r="J48" i="44"/>
  <c r="B49" i="44"/>
  <c r="C49" i="44"/>
  <c r="D49" i="44"/>
  <c r="E49" i="44"/>
  <c r="F49" i="44"/>
  <c r="G49" i="44"/>
  <c r="H49" i="44"/>
  <c r="I49" i="44"/>
  <c r="J49" i="44"/>
  <c r="B50" i="44"/>
  <c r="C50" i="44"/>
  <c r="D50" i="44"/>
  <c r="E50" i="44"/>
  <c r="F50" i="44"/>
  <c r="G50" i="44"/>
  <c r="H50" i="44"/>
  <c r="I50" i="44"/>
  <c r="J50" i="44"/>
  <c r="B51" i="44"/>
  <c r="C51" i="44"/>
  <c r="D51" i="44"/>
  <c r="E51" i="44"/>
  <c r="F51" i="44"/>
  <c r="G51" i="44"/>
  <c r="H51" i="44"/>
  <c r="I51" i="44"/>
  <c r="J51" i="44"/>
  <c r="B52" i="44"/>
  <c r="C52" i="44"/>
  <c r="D52" i="44"/>
  <c r="E52" i="44"/>
  <c r="F52" i="44"/>
  <c r="G52" i="44"/>
  <c r="H52" i="44"/>
  <c r="I52" i="44"/>
  <c r="J52" i="44"/>
  <c r="B53" i="44"/>
  <c r="C53" i="44"/>
  <c r="D53" i="44"/>
  <c r="E53" i="44"/>
  <c r="F53" i="44"/>
  <c r="G53" i="44"/>
  <c r="H53" i="44"/>
  <c r="I53" i="44"/>
  <c r="J53" i="44"/>
  <c r="B54" i="44"/>
  <c r="C54" i="44"/>
  <c r="D54" i="44"/>
  <c r="E54" i="44"/>
  <c r="F54" i="44"/>
  <c r="G54" i="44"/>
  <c r="H54" i="44"/>
  <c r="I54" i="44"/>
  <c r="J54" i="44"/>
  <c r="B55" i="44"/>
  <c r="C55" i="44"/>
  <c r="D55" i="44"/>
  <c r="E55" i="44"/>
  <c r="F55" i="44"/>
  <c r="G55" i="44"/>
  <c r="H55" i="44"/>
  <c r="I55" i="44"/>
  <c r="J55" i="44"/>
  <c r="B56" i="44"/>
  <c r="C56" i="44"/>
  <c r="D56" i="44"/>
  <c r="E56" i="44"/>
  <c r="F56" i="44"/>
  <c r="G56" i="44"/>
  <c r="H56" i="44"/>
  <c r="I56" i="44"/>
  <c r="J56" i="44"/>
  <c r="K56" i="44"/>
  <c r="L56" i="44"/>
  <c r="M56" i="44"/>
  <c r="N56" i="44"/>
  <c r="O56" i="44"/>
  <c r="P56" i="44"/>
  <c r="Q56" i="44"/>
  <c r="R56" i="44"/>
  <c r="S56" i="44"/>
  <c r="T56" i="44"/>
  <c r="U56" i="44"/>
  <c r="V56" i="44"/>
  <c r="W56" i="44" s="1"/>
  <c r="X56" i="44"/>
  <c r="Y56" i="44"/>
  <c r="Z56" i="44"/>
  <c r="AA56" i="44"/>
  <c r="AB56" i="44"/>
  <c r="AC56" i="44"/>
  <c r="AD56" i="44"/>
  <c r="AE56" i="44"/>
  <c r="B57" i="44"/>
  <c r="C57" i="44"/>
  <c r="D57" i="44"/>
  <c r="E57" i="44"/>
  <c r="F57" i="44"/>
  <c r="G57" i="44"/>
  <c r="H57" i="44"/>
  <c r="I57" i="44"/>
  <c r="J57" i="44"/>
  <c r="B58" i="44"/>
  <c r="C58" i="44"/>
  <c r="D58" i="44"/>
  <c r="E58" i="44"/>
  <c r="F58" i="44"/>
  <c r="G58" i="44"/>
  <c r="H58" i="44"/>
  <c r="I58" i="44"/>
  <c r="J58" i="44"/>
  <c r="B59" i="44"/>
  <c r="C59" i="44"/>
  <c r="D59" i="44"/>
  <c r="E59" i="44"/>
  <c r="F59" i="44"/>
  <c r="G59" i="44"/>
  <c r="H59" i="44"/>
  <c r="I59" i="44"/>
  <c r="J59" i="44"/>
  <c r="B60" i="44"/>
  <c r="C60" i="44"/>
  <c r="D60" i="44"/>
  <c r="E60" i="44"/>
  <c r="F60" i="44"/>
  <c r="G60" i="44"/>
  <c r="H60" i="44"/>
  <c r="I60" i="44"/>
  <c r="J60" i="44"/>
  <c r="B61" i="44"/>
  <c r="E61" i="44"/>
  <c r="F61" i="44"/>
  <c r="G61" i="44"/>
  <c r="H61" i="44"/>
  <c r="I61" i="44"/>
  <c r="J61" i="44"/>
  <c r="B62" i="44"/>
  <c r="C62" i="44"/>
  <c r="D62" i="44"/>
  <c r="E62" i="44"/>
  <c r="F62" i="44"/>
  <c r="G62" i="44"/>
  <c r="H62" i="44"/>
  <c r="I62" i="44"/>
  <c r="J62" i="44"/>
  <c r="B63" i="44"/>
  <c r="C63" i="44"/>
  <c r="D63" i="44"/>
  <c r="E63" i="44"/>
  <c r="F63" i="44"/>
  <c r="G63" i="44"/>
  <c r="H63" i="44"/>
  <c r="I63" i="44"/>
  <c r="J63" i="44"/>
  <c r="B64" i="44"/>
  <c r="C64" i="44"/>
  <c r="D64" i="44"/>
  <c r="E64" i="44"/>
  <c r="F64" i="44"/>
  <c r="G64" i="44"/>
  <c r="H64" i="44"/>
  <c r="I64" i="44"/>
  <c r="J64" i="44"/>
  <c r="B65" i="44"/>
  <c r="C65" i="44"/>
  <c r="D65" i="44"/>
  <c r="E65" i="44"/>
  <c r="F65" i="44"/>
  <c r="G65" i="44"/>
  <c r="H65" i="44"/>
  <c r="I65" i="44"/>
  <c r="J65" i="44"/>
  <c r="B66" i="44"/>
  <c r="C66" i="44"/>
  <c r="D66" i="44"/>
  <c r="E66" i="44"/>
  <c r="F66" i="44"/>
  <c r="G66" i="44"/>
  <c r="H66" i="44"/>
  <c r="I66" i="44"/>
  <c r="J66" i="44"/>
  <c r="B67" i="44"/>
  <c r="C67" i="44"/>
  <c r="D67" i="44"/>
  <c r="E67" i="44"/>
  <c r="F67" i="44"/>
  <c r="G67" i="44"/>
  <c r="H67" i="44"/>
  <c r="I67" i="44"/>
  <c r="J67" i="44"/>
  <c r="B68" i="44"/>
  <c r="C68" i="44"/>
  <c r="D68" i="44"/>
  <c r="E68" i="44"/>
  <c r="F68" i="44"/>
  <c r="G68" i="44"/>
  <c r="H68" i="44"/>
  <c r="I68" i="44"/>
  <c r="J68" i="44"/>
  <c r="B69" i="44"/>
  <c r="C69" i="44"/>
  <c r="D69" i="44"/>
  <c r="E69" i="44"/>
  <c r="F69" i="44"/>
  <c r="G69" i="44"/>
  <c r="H69" i="44"/>
  <c r="I69" i="44"/>
  <c r="J69" i="44"/>
  <c r="B70" i="44"/>
  <c r="C70" i="44"/>
  <c r="D70" i="44"/>
  <c r="E70" i="44"/>
  <c r="F70" i="44"/>
  <c r="G70" i="44"/>
  <c r="H70" i="44"/>
  <c r="I70" i="44"/>
  <c r="J70" i="44"/>
  <c r="B71" i="44"/>
  <c r="C71" i="44"/>
  <c r="D71" i="44"/>
  <c r="E71" i="44"/>
  <c r="F71" i="44"/>
  <c r="G71" i="44"/>
  <c r="H71" i="44"/>
  <c r="I71" i="44"/>
  <c r="J71" i="44"/>
  <c r="B72" i="44"/>
  <c r="C72" i="44"/>
  <c r="D72" i="44"/>
  <c r="E72" i="44"/>
  <c r="F72" i="44"/>
  <c r="G72" i="44"/>
  <c r="H72" i="44"/>
  <c r="I72" i="44"/>
  <c r="J72" i="44"/>
  <c r="B73" i="44"/>
  <c r="C73" i="44"/>
  <c r="D73" i="44"/>
  <c r="E73" i="44"/>
  <c r="F73" i="44"/>
  <c r="G73" i="44"/>
  <c r="H73" i="44"/>
  <c r="I73" i="44"/>
  <c r="J73" i="44"/>
  <c r="B74" i="44"/>
  <c r="C74" i="44"/>
  <c r="D74" i="44"/>
  <c r="E74" i="44"/>
  <c r="F74" i="44"/>
  <c r="G74" i="44"/>
  <c r="H74" i="44"/>
  <c r="I74" i="44"/>
  <c r="J74" i="44"/>
  <c r="B75" i="44"/>
  <c r="C75" i="44"/>
  <c r="D75" i="44"/>
  <c r="E75" i="44"/>
  <c r="F75" i="44"/>
  <c r="G75" i="44"/>
  <c r="H75" i="44"/>
  <c r="I75" i="44"/>
  <c r="J75" i="44"/>
  <c r="B76" i="44"/>
  <c r="C76" i="44"/>
  <c r="D76" i="44"/>
  <c r="E76" i="44"/>
  <c r="F76" i="44"/>
  <c r="G76" i="44"/>
  <c r="H76" i="44"/>
  <c r="I76" i="44"/>
  <c r="J76" i="44"/>
  <c r="B77" i="44"/>
  <c r="C77" i="44"/>
  <c r="D77" i="44"/>
  <c r="E77" i="44"/>
  <c r="F77" i="44"/>
  <c r="G77" i="44"/>
  <c r="H77" i="44"/>
  <c r="I77" i="44"/>
  <c r="J77" i="44"/>
  <c r="B78" i="44"/>
  <c r="C78" i="44"/>
  <c r="D78" i="44"/>
  <c r="E78" i="44"/>
  <c r="F78" i="44"/>
  <c r="G78" i="44"/>
  <c r="H78" i="44"/>
  <c r="I78" i="44"/>
  <c r="J78" i="44"/>
  <c r="B79" i="44"/>
  <c r="C79" i="44" s="1"/>
  <c r="D79" i="44"/>
  <c r="E79" i="44"/>
  <c r="F79" i="44"/>
  <c r="G79" i="44"/>
  <c r="H79" i="44"/>
  <c r="I79" i="44"/>
  <c r="J79" i="44"/>
  <c r="B80" i="44"/>
  <c r="C80" i="44"/>
  <c r="D80" i="44"/>
  <c r="E80" i="44"/>
  <c r="F80" i="44"/>
  <c r="G80" i="44"/>
  <c r="H80" i="44"/>
  <c r="I80" i="44"/>
  <c r="J80" i="44"/>
  <c r="B81" i="44"/>
  <c r="C81" i="44"/>
  <c r="D81" i="44"/>
  <c r="E81" i="44"/>
  <c r="F81" i="44"/>
  <c r="G81" i="44"/>
  <c r="H81" i="44"/>
  <c r="I81" i="44"/>
  <c r="J81" i="44"/>
  <c r="B82" i="44"/>
  <c r="C82" i="44"/>
  <c r="D82" i="44"/>
  <c r="E82" i="44"/>
  <c r="F82" i="44"/>
  <c r="G82" i="44"/>
  <c r="H82" i="44"/>
  <c r="I82" i="44"/>
  <c r="J82" i="44"/>
  <c r="B83" i="44"/>
  <c r="C83" i="44"/>
  <c r="D83" i="44"/>
  <c r="E83" i="44"/>
  <c r="F83" i="44"/>
  <c r="G83" i="44"/>
  <c r="H83" i="44"/>
  <c r="I83" i="44"/>
  <c r="J83" i="44"/>
  <c r="B84" i="44"/>
  <c r="C84" i="44"/>
  <c r="D84" i="44"/>
  <c r="E84" i="44"/>
  <c r="F84" i="44"/>
  <c r="G84" i="44"/>
  <c r="H84" i="44"/>
  <c r="I84" i="44"/>
  <c r="J84" i="44"/>
  <c r="B85" i="44"/>
  <c r="C85" i="44"/>
  <c r="D85" i="44"/>
  <c r="E85" i="44"/>
  <c r="F85" i="44"/>
  <c r="G85" i="44"/>
  <c r="H85" i="44"/>
  <c r="I85" i="44"/>
  <c r="J85" i="44"/>
  <c r="AI5" i="44"/>
  <c r="A1" i="43"/>
  <c r="P2" i="43"/>
  <c r="J3" i="43"/>
  <c r="J4" i="43"/>
  <c r="M4" i="43"/>
  <c r="AI4" i="43"/>
  <c r="J5" i="43"/>
  <c r="J6" i="43"/>
  <c r="B10" i="43"/>
  <c r="C10" i="43" s="1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Y10" i="43"/>
  <c r="Z10" i="43"/>
  <c r="AA10" i="43"/>
  <c r="AB10" i="43"/>
  <c r="AC10" i="43"/>
  <c r="AD10" i="43"/>
  <c r="AE10" i="43"/>
  <c r="B11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 s="1"/>
  <c r="X11" i="43"/>
  <c r="Y11" i="43"/>
  <c r="Z11" i="43"/>
  <c r="AA11" i="43"/>
  <c r="AB11" i="43"/>
  <c r="AC11" i="43"/>
  <c r="AD11" i="43"/>
  <c r="AE11" i="43"/>
  <c r="B12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AD12" i="43"/>
  <c r="AE12" i="43"/>
  <c r="B13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X13" i="43"/>
  <c r="Y13" i="43"/>
  <c r="Z13" i="43"/>
  <c r="AA13" i="43"/>
  <c r="AB13" i="43"/>
  <c r="AC13" i="43"/>
  <c r="AD13" i="43"/>
  <c r="AE13" i="43"/>
  <c r="B14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Z14" i="43"/>
  <c r="AA14" i="43"/>
  <c r="AB14" i="43"/>
  <c r="AC14" i="43"/>
  <c r="AD14" i="43"/>
  <c r="AE14" i="43"/>
  <c r="B15" i="43"/>
  <c r="C15" i="43"/>
  <c r="D15" i="43"/>
  <c r="E15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T15" i="43"/>
  <c r="U15" i="43"/>
  <c r="V15" i="43"/>
  <c r="W15" i="43"/>
  <c r="X15" i="43"/>
  <c r="Y15" i="43"/>
  <c r="Z15" i="43"/>
  <c r="AA15" i="43"/>
  <c r="AB15" i="43"/>
  <c r="AC15" i="43"/>
  <c r="AD15" i="43"/>
  <c r="AE15" i="43"/>
  <c r="B16" i="43"/>
  <c r="C16" i="43" s="1"/>
  <c r="D16" i="43"/>
  <c r="E16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U16" i="43"/>
  <c r="V16" i="43"/>
  <c r="X16" i="43"/>
  <c r="Z16" i="43"/>
  <c r="AA16" i="43"/>
  <c r="AB16" i="43"/>
  <c r="AC16" i="43"/>
  <c r="AD16" i="43"/>
  <c r="AE16" i="43"/>
  <c r="B17" i="43"/>
  <c r="C17" i="43"/>
  <c r="D17" i="43"/>
  <c r="E17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U17" i="43"/>
  <c r="V17" i="43"/>
  <c r="X17" i="43"/>
  <c r="Y17" i="43"/>
  <c r="Z17" i="43"/>
  <c r="AA17" i="43"/>
  <c r="AB17" i="43"/>
  <c r="AC17" i="43"/>
  <c r="AD17" i="43"/>
  <c r="AE17" i="43"/>
  <c r="B18" i="43"/>
  <c r="C18" i="43"/>
  <c r="D18" i="43"/>
  <c r="E18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Y18" i="43"/>
  <c r="Z18" i="43"/>
  <c r="AA18" i="43"/>
  <c r="AB18" i="43"/>
  <c r="AC18" i="43"/>
  <c r="AD18" i="43"/>
  <c r="AE18" i="43"/>
  <c r="B19" i="43"/>
  <c r="C19" i="43"/>
  <c r="D19" i="43"/>
  <c r="E19" i="43"/>
  <c r="F19" i="43"/>
  <c r="G19" i="43"/>
  <c r="H19" i="43"/>
  <c r="I19" i="43"/>
  <c r="J19" i="43"/>
  <c r="K19" i="43"/>
  <c r="L19" i="43"/>
  <c r="M19" i="43"/>
  <c r="N19" i="43"/>
  <c r="O19" i="43"/>
  <c r="P19" i="43"/>
  <c r="Q19" i="43"/>
  <c r="R19" i="43"/>
  <c r="S19" i="43"/>
  <c r="T19" i="43"/>
  <c r="U19" i="43"/>
  <c r="V19" i="43"/>
  <c r="X19" i="43"/>
  <c r="Y19" i="43"/>
  <c r="Z19" i="43"/>
  <c r="AA19" i="43"/>
  <c r="AB19" i="43"/>
  <c r="AC19" i="43"/>
  <c r="AD19" i="43"/>
  <c r="AE19" i="43"/>
  <c r="B20" i="43"/>
  <c r="C20" i="43"/>
  <c r="D20" i="43"/>
  <c r="E20" i="43"/>
  <c r="F20" i="43"/>
  <c r="G20" i="43"/>
  <c r="H20" i="43"/>
  <c r="I20" i="43"/>
  <c r="J20" i="43"/>
  <c r="B21" i="43"/>
  <c r="C21" i="43"/>
  <c r="D21" i="43"/>
  <c r="E21" i="43"/>
  <c r="F21" i="43"/>
  <c r="G21" i="43"/>
  <c r="H21" i="43"/>
  <c r="I21" i="43"/>
  <c r="J21" i="43"/>
  <c r="B22" i="43"/>
  <c r="C22" i="43"/>
  <c r="D22" i="43"/>
  <c r="E22" i="43"/>
  <c r="F22" i="43"/>
  <c r="G22" i="43"/>
  <c r="H22" i="43"/>
  <c r="I22" i="43"/>
  <c r="J22" i="43"/>
  <c r="B23" i="43"/>
  <c r="C23" i="43"/>
  <c r="D23" i="43"/>
  <c r="E23" i="43"/>
  <c r="F23" i="43"/>
  <c r="G23" i="43"/>
  <c r="H23" i="43"/>
  <c r="I23" i="43"/>
  <c r="J23" i="43"/>
  <c r="B24" i="43"/>
  <c r="C24" i="43"/>
  <c r="D24" i="43"/>
  <c r="E24" i="43"/>
  <c r="F24" i="43"/>
  <c r="G24" i="43"/>
  <c r="H24" i="43"/>
  <c r="I24" i="43"/>
  <c r="J24" i="43"/>
  <c r="B25" i="43"/>
  <c r="C25" i="43"/>
  <c r="D25" i="43"/>
  <c r="E25" i="43"/>
  <c r="F25" i="43"/>
  <c r="G25" i="43"/>
  <c r="H25" i="43"/>
  <c r="I25" i="43"/>
  <c r="J25" i="43"/>
  <c r="B26" i="43"/>
  <c r="C26" i="43"/>
  <c r="D26" i="43"/>
  <c r="E26" i="43"/>
  <c r="F26" i="43"/>
  <c r="G26" i="43"/>
  <c r="H26" i="43"/>
  <c r="I26" i="43"/>
  <c r="J26" i="43"/>
  <c r="B27" i="43"/>
  <c r="C27" i="43"/>
  <c r="D27" i="43"/>
  <c r="E27" i="43"/>
  <c r="F27" i="43"/>
  <c r="G27" i="43"/>
  <c r="H27" i="43"/>
  <c r="I27" i="43"/>
  <c r="J27" i="43"/>
  <c r="B28" i="43"/>
  <c r="C28" i="43"/>
  <c r="D28" i="43"/>
  <c r="E28" i="43"/>
  <c r="F28" i="43"/>
  <c r="G28" i="43"/>
  <c r="H28" i="43"/>
  <c r="I28" i="43"/>
  <c r="J28" i="43"/>
  <c r="B29" i="43"/>
  <c r="C29" i="43"/>
  <c r="D29" i="43"/>
  <c r="E29" i="43"/>
  <c r="F29" i="43"/>
  <c r="G29" i="43"/>
  <c r="H29" i="43"/>
  <c r="I29" i="43"/>
  <c r="J29" i="43"/>
  <c r="B30" i="43"/>
  <c r="C30" i="43"/>
  <c r="D30" i="43"/>
  <c r="E30" i="43"/>
  <c r="F30" i="43"/>
  <c r="G30" i="43"/>
  <c r="H30" i="43"/>
  <c r="I30" i="43"/>
  <c r="J30" i="43"/>
  <c r="B31" i="43"/>
  <c r="C31" i="43"/>
  <c r="D31" i="43"/>
  <c r="E31" i="43"/>
  <c r="F31" i="43"/>
  <c r="G31" i="43"/>
  <c r="H31" i="43"/>
  <c r="I31" i="43"/>
  <c r="J31" i="43"/>
  <c r="B32" i="43"/>
  <c r="C32" i="43"/>
  <c r="D32" i="43"/>
  <c r="E32" i="43"/>
  <c r="F32" i="43"/>
  <c r="G32" i="43"/>
  <c r="H32" i="43"/>
  <c r="I32" i="43"/>
  <c r="J32" i="43"/>
  <c r="B33" i="43"/>
  <c r="C33" i="43"/>
  <c r="D33" i="43"/>
  <c r="E33" i="43"/>
  <c r="F33" i="43"/>
  <c r="G33" i="43"/>
  <c r="H33" i="43"/>
  <c r="I33" i="43"/>
  <c r="J33" i="43"/>
  <c r="B34" i="43"/>
  <c r="C34" i="43"/>
  <c r="D34" i="43"/>
  <c r="E34" i="43"/>
  <c r="F34" i="43"/>
  <c r="G34" i="43"/>
  <c r="H34" i="43"/>
  <c r="I34" i="43"/>
  <c r="J34" i="43"/>
  <c r="B35" i="43"/>
  <c r="C35" i="43"/>
  <c r="D35" i="43"/>
  <c r="E35" i="43"/>
  <c r="F35" i="43"/>
  <c r="G35" i="43"/>
  <c r="H35" i="43"/>
  <c r="I35" i="43"/>
  <c r="J35" i="43"/>
  <c r="B36" i="43"/>
  <c r="C36" i="43"/>
  <c r="D36" i="43"/>
  <c r="E36" i="43"/>
  <c r="F36" i="43"/>
  <c r="G36" i="43"/>
  <c r="H36" i="43"/>
  <c r="I36" i="43"/>
  <c r="J36" i="43"/>
  <c r="B37" i="43"/>
  <c r="C37" i="43"/>
  <c r="D37" i="43"/>
  <c r="E37" i="43"/>
  <c r="F37" i="43"/>
  <c r="G37" i="43"/>
  <c r="H37" i="43"/>
  <c r="I37" i="43"/>
  <c r="J37" i="43"/>
  <c r="B38" i="43"/>
  <c r="C38" i="43"/>
  <c r="D38" i="43"/>
  <c r="E38" i="43"/>
  <c r="F38" i="43"/>
  <c r="G38" i="43"/>
  <c r="H38" i="43"/>
  <c r="I38" i="43"/>
  <c r="J38" i="43"/>
  <c r="B39" i="43"/>
  <c r="C39" i="43"/>
  <c r="D39" i="43"/>
  <c r="E39" i="43"/>
  <c r="F39" i="43"/>
  <c r="G39" i="43"/>
  <c r="H39" i="43"/>
  <c r="I39" i="43"/>
  <c r="J39" i="43"/>
  <c r="B40" i="43"/>
  <c r="C40" i="43"/>
  <c r="D40" i="43"/>
  <c r="E40" i="43"/>
  <c r="F40" i="43"/>
  <c r="G40" i="43"/>
  <c r="H40" i="43"/>
  <c r="I40" i="43"/>
  <c r="J40" i="43"/>
  <c r="B41" i="43"/>
  <c r="C41" i="43"/>
  <c r="D41" i="43"/>
  <c r="E41" i="43"/>
  <c r="F41" i="43"/>
  <c r="G41" i="43"/>
  <c r="H41" i="43"/>
  <c r="I41" i="43"/>
  <c r="J41" i="43"/>
  <c r="B42" i="43"/>
  <c r="C42" i="43"/>
  <c r="D42" i="43"/>
  <c r="E42" i="43"/>
  <c r="F42" i="43"/>
  <c r="G42" i="43"/>
  <c r="H42" i="43"/>
  <c r="I42" i="43"/>
  <c r="J42" i="43"/>
  <c r="B43" i="43"/>
  <c r="C43" i="43"/>
  <c r="D43" i="43"/>
  <c r="E43" i="43"/>
  <c r="F43" i="43"/>
  <c r="G43" i="43"/>
  <c r="H43" i="43"/>
  <c r="I43" i="43"/>
  <c r="J43" i="43"/>
  <c r="B44" i="43"/>
  <c r="C44" i="43"/>
  <c r="D44" i="43"/>
  <c r="E44" i="43"/>
  <c r="F44" i="43"/>
  <c r="G44" i="43"/>
  <c r="H44" i="43"/>
  <c r="I44" i="43"/>
  <c r="J44" i="43"/>
  <c r="B45" i="43"/>
  <c r="C45" i="43"/>
  <c r="D45" i="43"/>
  <c r="E45" i="43"/>
  <c r="F45" i="43"/>
  <c r="G45" i="43"/>
  <c r="H45" i="43"/>
  <c r="I45" i="43"/>
  <c r="J45" i="43"/>
  <c r="B46" i="43"/>
  <c r="C46" i="43"/>
  <c r="D46" i="43"/>
  <c r="E46" i="43"/>
  <c r="F46" i="43"/>
  <c r="G46" i="43"/>
  <c r="H46" i="43"/>
  <c r="I46" i="43"/>
  <c r="J46" i="43"/>
  <c r="B47" i="43"/>
  <c r="C47" i="43"/>
  <c r="D47" i="43"/>
  <c r="E47" i="43"/>
  <c r="F47" i="43"/>
  <c r="G47" i="43"/>
  <c r="H47" i="43"/>
  <c r="I47" i="43"/>
  <c r="J47" i="43"/>
  <c r="B48" i="43"/>
  <c r="C48" i="43"/>
  <c r="D48" i="43"/>
  <c r="E48" i="43"/>
  <c r="F48" i="43"/>
  <c r="G48" i="43"/>
  <c r="H48" i="43"/>
  <c r="I48" i="43"/>
  <c r="J48" i="43"/>
  <c r="B49" i="43"/>
  <c r="C49" i="43"/>
  <c r="D49" i="43"/>
  <c r="E49" i="43"/>
  <c r="F49" i="43"/>
  <c r="G49" i="43"/>
  <c r="H49" i="43"/>
  <c r="I49" i="43"/>
  <c r="J49" i="43"/>
  <c r="B50" i="43"/>
  <c r="C50" i="43"/>
  <c r="D50" i="43"/>
  <c r="E50" i="43"/>
  <c r="F50" i="43"/>
  <c r="G50" i="43"/>
  <c r="H50" i="43"/>
  <c r="I50" i="43"/>
  <c r="J50" i="43"/>
  <c r="B51" i="43"/>
  <c r="C51" i="43"/>
  <c r="D51" i="43"/>
  <c r="E51" i="43"/>
  <c r="F51" i="43"/>
  <c r="G51" i="43"/>
  <c r="H51" i="43"/>
  <c r="I51" i="43"/>
  <c r="J51" i="43"/>
  <c r="B52" i="43"/>
  <c r="C52" i="43"/>
  <c r="D52" i="43"/>
  <c r="E52" i="43"/>
  <c r="F52" i="43"/>
  <c r="G52" i="43"/>
  <c r="H52" i="43"/>
  <c r="I52" i="43"/>
  <c r="J52" i="43"/>
  <c r="B53" i="43"/>
  <c r="C53" i="43"/>
  <c r="D53" i="43"/>
  <c r="E53" i="43"/>
  <c r="F53" i="43"/>
  <c r="G53" i="43"/>
  <c r="H53" i="43"/>
  <c r="I53" i="43"/>
  <c r="J53" i="43"/>
  <c r="B54" i="43"/>
  <c r="C54" i="43"/>
  <c r="D54" i="43"/>
  <c r="E54" i="43"/>
  <c r="F54" i="43"/>
  <c r="G54" i="43"/>
  <c r="H54" i="43"/>
  <c r="I54" i="43"/>
  <c r="J54" i="43"/>
  <c r="B55" i="43"/>
  <c r="C55" i="43"/>
  <c r="D55" i="43"/>
  <c r="E55" i="43"/>
  <c r="F55" i="43"/>
  <c r="G55" i="43"/>
  <c r="H55" i="43"/>
  <c r="I55" i="43"/>
  <c r="J55" i="43"/>
  <c r="B56" i="43"/>
  <c r="C56" i="43"/>
  <c r="D56" i="43"/>
  <c r="E56" i="43"/>
  <c r="F56" i="43"/>
  <c r="G56" i="43"/>
  <c r="H56" i="43"/>
  <c r="I56" i="43"/>
  <c r="J56" i="43"/>
  <c r="B57" i="43"/>
  <c r="C57" i="43"/>
  <c r="D57" i="43"/>
  <c r="E57" i="43"/>
  <c r="F57" i="43"/>
  <c r="G57" i="43"/>
  <c r="H57" i="43"/>
  <c r="I57" i="43"/>
  <c r="J57" i="43"/>
  <c r="B58" i="43"/>
  <c r="C58" i="43"/>
  <c r="D58" i="43"/>
  <c r="E58" i="43"/>
  <c r="F58" i="43"/>
  <c r="G58" i="43"/>
  <c r="H58" i="43"/>
  <c r="I58" i="43"/>
  <c r="J58" i="43"/>
  <c r="B59" i="43"/>
  <c r="C59" i="43"/>
  <c r="D59" i="43"/>
  <c r="E59" i="43"/>
  <c r="F59" i="43"/>
  <c r="G59" i="43"/>
  <c r="H59" i="43"/>
  <c r="I59" i="43"/>
  <c r="J59" i="43"/>
  <c r="B60" i="43"/>
  <c r="C60" i="43"/>
  <c r="D60" i="43"/>
  <c r="E60" i="43"/>
  <c r="F60" i="43"/>
  <c r="G60" i="43"/>
  <c r="H60" i="43"/>
  <c r="I60" i="43"/>
  <c r="J60" i="43"/>
  <c r="B61" i="43"/>
  <c r="C61" i="43"/>
  <c r="D61" i="43"/>
  <c r="E61" i="43"/>
  <c r="F61" i="43"/>
  <c r="G61" i="43"/>
  <c r="H61" i="43"/>
  <c r="I61" i="43"/>
  <c r="J61" i="43"/>
  <c r="B62" i="43"/>
  <c r="C62" i="43"/>
  <c r="D62" i="43"/>
  <c r="E62" i="43"/>
  <c r="F62" i="43"/>
  <c r="G62" i="43"/>
  <c r="H62" i="43"/>
  <c r="I62" i="43"/>
  <c r="J62" i="43"/>
  <c r="B63" i="43"/>
  <c r="C63" i="43"/>
  <c r="D63" i="43"/>
  <c r="E63" i="43"/>
  <c r="F63" i="43"/>
  <c r="G63" i="43"/>
  <c r="H63" i="43"/>
  <c r="I63" i="43"/>
  <c r="J63" i="43"/>
  <c r="B64" i="43"/>
  <c r="C64" i="43"/>
  <c r="D64" i="43"/>
  <c r="E64" i="43"/>
  <c r="F64" i="43"/>
  <c r="G64" i="43"/>
  <c r="H64" i="43"/>
  <c r="I64" i="43"/>
  <c r="J64" i="43"/>
  <c r="B65" i="43"/>
  <c r="C65" i="43"/>
  <c r="D65" i="43"/>
  <c r="E65" i="43"/>
  <c r="F65" i="43"/>
  <c r="G65" i="43"/>
  <c r="H65" i="43"/>
  <c r="I65" i="43"/>
  <c r="J65" i="43"/>
  <c r="B66" i="43"/>
  <c r="C66" i="43"/>
  <c r="D66" i="43"/>
  <c r="E66" i="43"/>
  <c r="F66" i="43"/>
  <c r="G66" i="43"/>
  <c r="H66" i="43"/>
  <c r="I66" i="43"/>
  <c r="J66" i="43"/>
  <c r="B67" i="43"/>
  <c r="C67" i="43"/>
  <c r="D67" i="43"/>
  <c r="E67" i="43"/>
  <c r="F67" i="43"/>
  <c r="G67" i="43"/>
  <c r="H67" i="43"/>
  <c r="I67" i="43"/>
  <c r="J67" i="43"/>
  <c r="B68" i="43"/>
  <c r="C68" i="43"/>
  <c r="D68" i="43"/>
  <c r="E68" i="43"/>
  <c r="F68" i="43"/>
  <c r="G68" i="43"/>
  <c r="H68" i="43"/>
  <c r="I68" i="43"/>
  <c r="J68" i="43"/>
  <c r="B69" i="43"/>
  <c r="C69" i="43"/>
  <c r="D69" i="43"/>
  <c r="E69" i="43"/>
  <c r="F69" i="43"/>
  <c r="G69" i="43"/>
  <c r="H69" i="43"/>
  <c r="I69" i="43"/>
  <c r="J69" i="43"/>
  <c r="B70" i="43"/>
  <c r="C70" i="43" s="1"/>
  <c r="D70" i="43"/>
  <c r="E70" i="43"/>
  <c r="F70" i="43"/>
  <c r="G70" i="43"/>
  <c r="H70" i="43"/>
  <c r="I70" i="43"/>
  <c r="J70" i="43"/>
  <c r="B71" i="43"/>
  <c r="C71" i="43"/>
  <c r="D71" i="43"/>
  <c r="E71" i="43"/>
  <c r="F71" i="43"/>
  <c r="G71" i="43"/>
  <c r="H71" i="43"/>
  <c r="I71" i="43"/>
  <c r="J71" i="43"/>
  <c r="B72" i="43"/>
  <c r="C72" i="43"/>
  <c r="D72" i="43"/>
  <c r="E72" i="43"/>
  <c r="F72" i="43"/>
  <c r="G72" i="43"/>
  <c r="H72" i="43"/>
  <c r="I72" i="43"/>
  <c r="J72" i="43"/>
  <c r="B73" i="43"/>
  <c r="C73" i="43"/>
  <c r="D73" i="43"/>
  <c r="E73" i="43"/>
  <c r="F73" i="43"/>
  <c r="G73" i="43"/>
  <c r="H73" i="43"/>
  <c r="I73" i="43"/>
  <c r="J73" i="43"/>
  <c r="B74" i="43"/>
  <c r="C74" i="43"/>
  <c r="D74" i="43"/>
  <c r="E74" i="43"/>
  <c r="F74" i="43"/>
  <c r="G74" i="43"/>
  <c r="H74" i="43"/>
  <c r="I74" i="43"/>
  <c r="J74" i="43"/>
  <c r="B75" i="43"/>
  <c r="C75" i="43"/>
  <c r="D75" i="43"/>
  <c r="E75" i="43"/>
  <c r="F75" i="43"/>
  <c r="G75" i="43"/>
  <c r="H75" i="43"/>
  <c r="I75" i="43"/>
  <c r="J75" i="43"/>
  <c r="B76" i="43"/>
  <c r="C76" i="43"/>
  <c r="D76" i="43"/>
  <c r="E76" i="43"/>
  <c r="F76" i="43"/>
  <c r="G76" i="43"/>
  <c r="H76" i="43"/>
  <c r="I76" i="43"/>
  <c r="J76" i="43"/>
  <c r="B77" i="43"/>
  <c r="C77" i="43"/>
  <c r="D77" i="43"/>
  <c r="E77" i="43"/>
  <c r="F77" i="43"/>
  <c r="G77" i="43"/>
  <c r="H77" i="43"/>
  <c r="I77" i="43"/>
  <c r="J77" i="43"/>
  <c r="B78" i="43"/>
  <c r="C78" i="43"/>
  <c r="D78" i="43"/>
  <c r="E78" i="43"/>
  <c r="F78" i="43"/>
  <c r="G78" i="43"/>
  <c r="H78" i="43"/>
  <c r="I78" i="43"/>
  <c r="J78" i="43"/>
  <c r="B79" i="43"/>
  <c r="C79" i="43"/>
  <c r="D79" i="43"/>
  <c r="E79" i="43"/>
  <c r="F79" i="43"/>
  <c r="G79" i="43"/>
  <c r="H79" i="43"/>
  <c r="I79" i="43"/>
  <c r="J79" i="43"/>
  <c r="B80" i="43"/>
  <c r="C80" i="43" s="1"/>
  <c r="D80" i="43"/>
  <c r="E80" i="43"/>
  <c r="F80" i="43"/>
  <c r="G80" i="43"/>
  <c r="H80" i="43"/>
  <c r="I80" i="43"/>
  <c r="J80" i="43"/>
  <c r="B81" i="43"/>
  <c r="C81" i="43"/>
  <c r="D81" i="43"/>
  <c r="E81" i="43"/>
  <c r="F81" i="43"/>
  <c r="G81" i="43"/>
  <c r="H81" i="43"/>
  <c r="I81" i="43"/>
  <c r="J81" i="43"/>
  <c r="B82" i="43"/>
  <c r="C82" i="43"/>
  <c r="D82" i="43"/>
  <c r="E82" i="43"/>
  <c r="F82" i="43"/>
  <c r="G82" i="43"/>
  <c r="H82" i="43"/>
  <c r="I82" i="43"/>
  <c r="J82" i="43"/>
  <c r="B83" i="43"/>
  <c r="C83" i="43"/>
  <c r="D83" i="43"/>
  <c r="E83" i="43"/>
  <c r="F83" i="43"/>
  <c r="G83" i="43"/>
  <c r="H83" i="43"/>
  <c r="I83" i="43"/>
  <c r="J83" i="43"/>
  <c r="B84" i="43"/>
  <c r="C84" i="43"/>
  <c r="D84" i="43"/>
  <c r="E84" i="43"/>
  <c r="F84" i="43"/>
  <c r="G84" i="43"/>
  <c r="H84" i="43"/>
  <c r="I84" i="43"/>
  <c r="J84" i="43"/>
  <c r="B85" i="43"/>
  <c r="C85" i="43"/>
  <c r="D85" i="43"/>
  <c r="E85" i="43"/>
  <c r="F85" i="43"/>
  <c r="G85" i="43"/>
  <c r="H85" i="43"/>
  <c r="I85" i="43"/>
  <c r="J85" i="43"/>
  <c r="AI5" i="43"/>
  <c r="A1" i="42"/>
  <c r="P2" i="42"/>
  <c r="J3" i="42"/>
  <c r="J4" i="42"/>
  <c r="M4" i="42"/>
  <c r="AI4" i="42"/>
  <c r="J5" i="42"/>
  <c r="J6" i="42"/>
  <c r="B10" i="42"/>
  <c r="C10" i="42" s="1"/>
  <c r="D10" i="42"/>
  <c r="E10" i="42"/>
  <c r="F10" i="42"/>
  <c r="G10" i="42"/>
  <c r="H10" i="42"/>
  <c r="I10" i="42"/>
  <c r="J10" i="42"/>
  <c r="B11" i="42"/>
  <c r="C11" i="42"/>
  <c r="D11" i="42"/>
  <c r="E11" i="42"/>
  <c r="F11" i="42"/>
  <c r="G11" i="42"/>
  <c r="H11" i="42"/>
  <c r="I11" i="42"/>
  <c r="J11" i="42"/>
  <c r="M11" i="42"/>
  <c r="N11" i="42"/>
  <c r="O11" i="42"/>
  <c r="P11" i="42"/>
  <c r="Q11" i="42"/>
  <c r="R11" i="42"/>
  <c r="S11" i="42"/>
  <c r="T11" i="42"/>
  <c r="U11" i="42"/>
  <c r="V11" i="42"/>
  <c r="B12" i="42"/>
  <c r="C12" i="42"/>
  <c r="D12" i="42"/>
  <c r="E12" i="42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 s="1"/>
  <c r="X12" i="42"/>
  <c r="Y12" i="42"/>
  <c r="Z12" i="42"/>
  <c r="AA12" i="42"/>
  <c r="AB12" i="42"/>
  <c r="AC12" i="42"/>
  <c r="AD12" i="42"/>
  <c r="AE12" i="42"/>
  <c r="B13" i="42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B14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Z14" i="42"/>
  <c r="AA14" i="42"/>
  <c r="AB14" i="42"/>
  <c r="AC14" i="42"/>
  <c r="AD14" i="42"/>
  <c r="AE14" i="42"/>
  <c r="B15" i="42"/>
  <c r="C15" i="42"/>
  <c r="D15" i="42"/>
  <c r="E15" i="42"/>
  <c r="F15" i="42"/>
  <c r="G15" i="42"/>
  <c r="H15" i="42"/>
  <c r="I15" i="42"/>
  <c r="J15" i="42"/>
  <c r="K15" i="42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B16" i="42"/>
  <c r="C16" i="42"/>
  <c r="D16" i="42"/>
  <c r="E16" i="42"/>
  <c r="F16" i="42"/>
  <c r="G16" i="42"/>
  <c r="H16" i="42"/>
  <c r="I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AB16" i="42"/>
  <c r="AC16" i="42"/>
  <c r="AD16" i="42"/>
  <c r="AE16" i="42"/>
  <c r="B17" i="42"/>
  <c r="C17" i="42"/>
  <c r="D17" i="42"/>
  <c r="E17" i="42"/>
  <c r="F17" i="42"/>
  <c r="G17" i="42"/>
  <c r="H17" i="42"/>
  <c r="I17" i="42"/>
  <c r="J17" i="42"/>
  <c r="K17" i="42"/>
  <c r="L17" i="42"/>
  <c r="M17" i="42"/>
  <c r="N17" i="42"/>
  <c r="O17" i="42"/>
  <c r="P17" i="42"/>
  <c r="Q17" i="42"/>
  <c r="R17" i="42"/>
  <c r="S17" i="42"/>
  <c r="T17" i="42"/>
  <c r="U17" i="42"/>
  <c r="V17" i="42"/>
  <c r="W17" i="42" s="1"/>
  <c r="X17" i="42"/>
  <c r="Y17" i="42"/>
  <c r="Z17" i="42"/>
  <c r="AA17" i="42"/>
  <c r="AB17" i="42"/>
  <c r="AC17" i="42"/>
  <c r="AD17" i="42"/>
  <c r="AE17" i="42"/>
  <c r="B18" i="42"/>
  <c r="C18" i="42"/>
  <c r="D18" i="42"/>
  <c r="E18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X18" i="42"/>
  <c r="Y18" i="42"/>
  <c r="Z18" i="42"/>
  <c r="AA18" i="42"/>
  <c r="AB18" i="42"/>
  <c r="AC18" i="42"/>
  <c r="AD18" i="42"/>
  <c r="AE18" i="42"/>
  <c r="B19" i="42"/>
  <c r="C19" i="42"/>
  <c r="D19" i="42"/>
  <c r="E19" i="42"/>
  <c r="F19" i="42"/>
  <c r="G19" i="42"/>
  <c r="H19" i="42"/>
  <c r="I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Y19" i="42" s="1"/>
  <c r="Z19" i="42"/>
  <c r="AA19" i="42"/>
  <c r="AB19" i="42"/>
  <c r="AC19" i="42"/>
  <c r="AD19" i="42"/>
  <c r="AE19" i="42"/>
  <c r="B20" i="42"/>
  <c r="C20" i="42"/>
  <c r="D20" i="42"/>
  <c r="E20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 s="1"/>
  <c r="X20" i="42"/>
  <c r="Y20" i="42"/>
  <c r="Z20" i="42"/>
  <c r="AA20" i="42"/>
  <c r="AB20" i="42"/>
  <c r="AC20" i="42"/>
  <c r="AD20" i="42"/>
  <c r="AE20" i="42"/>
  <c r="B21" i="42"/>
  <c r="C21" i="42"/>
  <c r="D21" i="42"/>
  <c r="E21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Z21" i="42"/>
  <c r="AA21" i="42"/>
  <c r="AB21" i="42"/>
  <c r="AC21" i="42"/>
  <c r="AD21" i="42"/>
  <c r="AE21" i="42"/>
  <c r="B22" i="42"/>
  <c r="C22" i="42"/>
  <c r="D22" i="42"/>
  <c r="E22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X22" i="42"/>
  <c r="Y22" i="42"/>
  <c r="Z22" i="42"/>
  <c r="AA22" i="42"/>
  <c r="AB22" i="42"/>
  <c r="AC22" i="42"/>
  <c r="AD22" i="42"/>
  <c r="AE22" i="42"/>
  <c r="B23" i="42"/>
  <c r="C23" i="42"/>
  <c r="D23" i="42"/>
  <c r="E23" i="42"/>
  <c r="F23" i="42"/>
  <c r="G23" i="42"/>
  <c r="H23" i="42"/>
  <c r="I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AA23" i="42"/>
  <c r="AB23" i="42"/>
  <c r="AC23" i="42"/>
  <c r="AD23" i="42"/>
  <c r="AE23" i="42"/>
  <c r="B24" i="42"/>
  <c r="C24" i="42"/>
  <c r="D24" i="42"/>
  <c r="E24" i="42"/>
  <c r="F24" i="42"/>
  <c r="G24" i="42"/>
  <c r="H24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AD24" i="42"/>
  <c r="AE24" i="42"/>
  <c r="B25" i="42"/>
  <c r="C25" i="42"/>
  <c r="D25" i="42"/>
  <c r="E25" i="42"/>
  <c r="F25" i="42"/>
  <c r="G25" i="42"/>
  <c r="H25" i="42"/>
  <c r="I25" i="42"/>
  <c r="J25" i="42"/>
  <c r="K25" i="42"/>
  <c r="L25" i="42"/>
  <c r="M25" i="42"/>
  <c r="N25" i="42"/>
  <c r="O25" i="42"/>
  <c r="P25" i="42"/>
  <c r="Q25" i="42"/>
  <c r="R25" i="42"/>
  <c r="S25" i="42"/>
  <c r="T25" i="42"/>
  <c r="U25" i="42"/>
  <c r="V25" i="42"/>
  <c r="Z25" i="42"/>
  <c r="AA25" i="42"/>
  <c r="AB25" i="42"/>
  <c r="AC25" i="42"/>
  <c r="AD25" i="42"/>
  <c r="AE25" i="42"/>
  <c r="B26" i="42"/>
  <c r="C26" i="42"/>
  <c r="D26" i="42"/>
  <c r="E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 s="1"/>
  <c r="X26" i="42"/>
  <c r="Y26" i="42"/>
  <c r="Z26" i="42"/>
  <c r="AA26" i="42"/>
  <c r="AB26" i="42"/>
  <c r="AC26" i="42"/>
  <c r="AD26" i="42"/>
  <c r="AE26" i="42"/>
  <c r="B27" i="42"/>
  <c r="C27" i="42"/>
  <c r="D27" i="42"/>
  <c r="E27" i="42"/>
  <c r="F27" i="42"/>
  <c r="G27" i="42"/>
  <c r="H27" i="42"/>
  <c r="I27" i="42"/>
  <c r="J27" i="42"/>
  <c r="K27" i="42"/>
  <c r="L27" i="42"/>
  <c r="M27" i="42"/>
  <c r="N27" i="42"/>
  <c r="O27" i="42"/>
  <c r="P27" i="42"/>
  <c r="Q27" i="42"/>
  <c r="R27" i="42"/>
  <c r="S27" i="42"/>
  <c r="T27" i="42"/>
  <c r="U27" i="42"/>
  <c r="V27" i="42"/>
  <c r="Z27" i="42"/>
  <c r="AA27" i="42"/>
  <c r="AB27" i="42"/>
  <c r="AC27" i="42"/>
  <c r="AD27" i="42"/>
  <c r="AE27" i="42"/>
  <c r="B28" i="42"/>
  <c r="C28" i="42"/>
  <c r="D28" i="42"/>
  <c r="E28" i="42"/>
  <c r="F28" i="42"/>
  <c r="G28" i="42"/>
  <c r="H28" i="42"/>
  <c r="I28" i="42"/>
  <c r="J28" i="42"/>
  <c r="B29" i="42"/>
  <c r="C29" i="42"/>
  <c r="D29" i="42"/>
  <c r="E29" i="42"/>
  <c r="F29" i="42"/>
  <c r="G29" i="42"/>
  <c r="H29" i="42"/>
  <c r="I29" i="42"/>
  <c r="J29" i="42"/>
  <c r="B30" i="42"/>
  <c r="C30" i="42"/>
  <c r="D30" i="42"/>
  <c r="E30" i="42"/>
  <c r="F30" i="42"/>
  <c r="G30" i="42"/>
  <c r="H30" i="42"/>
  <c r="I30" i="42"/>
  <c r="J30" i="42"/>
  <c r="B31" i="42"/>
  <c r="C31" i="42"/>
  <c r="D31" i="42"/>
  <c r="E31" i="42"/>
  <c r="F31" i="42"/>
  <c r="G31" i="42"/>
  <c r="H31" i="42"/>
  <c r="I31" i="42"/>
  <c r="J31" i="42"/>
  <c r="K31" i="42"/>
  <c r="L31" i="42"/>
  <c r="M31" i="42"/>
  <c r="N31" i="42"/>
  <c r="O31" i="42"/>
  <c r="P31" i="42"/>
  <c r="Q31" i="42"/>
  <c r="R31" i="42"/>
  <c r="S31" i="42"/>
  <c r="T31" i="42"/>
  <c r="U31" i="42"/>
  <c r="V31" i="42"/>
  <c r="W31" i="42"/>
  <c r="X31" i="42"/>
  <c r="Y31" i="42"/>
  <c r="Z31" i="42"/>
  <c r="AA31" i="42"/>
  <c r="AB31" i="42"/>
  <c r="AC31" i="42"/>
  <c r="AD31" i="42"/>
  <c r="AE31" i="42"/>
  <c r="B32" i="42"/>
  <c r="C32" i="42"/>
  <c r="D32" i="42"/>
  <c r="E32" i="42"/>
  <c r="F32" i="42"/>
  <c r="G32" i="42"/>
  <c r="H32" i="42"/>
  <c r="I32" i="42"/>
  <c r="J32" i="42"/>
  <c r="K32" i="42"/>
  <c r="L32" i="42"/>
  <c r="M32" i="42"/>
  <c r="N32" i="42"/>
  <c r="O32" i="42"/>
  <c r="P32" i="42"/>
  <c r="Q32" i="42"/>
  <c r="R32" i="42"/>
  <c r="S32" i="42"/>
  <c r="T32" i="42"/>
  <c r="U32" i="42"/>
  <c r="V32" i="42"/>
  <c r="W32" i="42"/>
  <c r="X32" i="42"/>
  <c r="Y32" i="42"/>
  <c r="Z32" i="42"/>
  <c r="AA32" i="42"/>
  <c r="AB32" i="42"/>
  <c r="AC32" i="42"/>
  <c r="AD32" i="42"/>
  <c r="AE32" i="42"/>
  <c r="B33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R33" i="42"/>
  <c r="S33" i="42"/>
  <c r="T33" i="42"/>
  <c r="U33" i="42"/>
  <c r="V33" i="42"/>
  <c r="W33" i="42"/>
  <c r="X33" i="42"/>
  <c r="Y33" i="42"/>
  <c r="Z33" i="42"/>
  <c r="AA33" i="42"/>
  <c r="AB33" i="42"/>
  <c r="AC33" i="42"/>
  <c r="AD33" i="42"/>
  <c r="AE33" i="42"/>
  <c r="B34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R34" i="42"/>
  <c r="S34" i="42"/>
  <c r="T34" i="42"/>
  <c r="U34" i="42"/>
  <c r="V34" i="42"/>
  <c r="Y34" i="42"/>
  <c r="Z34" i="42"/>
  <c r="AA34" i="42"/>
  <c r="AB34" i="42"/>
  <c r="AC34" i="42"/>
  <c r="AD34" i="42"/>
  <c r="AE34" i="42"/>
  <c r="B35" i="42"/>
  <c r="C35" i="42"/>
  <c r="D35" i="42"/>
  <c r="E35" i="42"/>
  <c r="F35" i="42"/>
  <c r="G35" i="42"/>
  <c r="H35" i="42"/>
  <c r="I35" i="42"/>
  <c r="J35" i="42"/>
  <c r="K35" i="42"/>
  <c r="L35" i="42"/>
  <c r="M35" i="42"/>
  <c r="N35" i="42"/>
  <c r="O35" i="42"/>
  <c r="P35" i="42"/>
  <c r="Q35" i="42"/>
  <c r="R35" i="42"/>
  <c r="S35" i="42"/>
  <c r="T35" i="42"/>
  <c r="U35" i="42"/>
  <c r="V35" i="42"/>
  <c r="X35" i="42"/>
  <c r="Y35" i="42"/>
  <c r="Z35" i="42"/>
  <c r="AA35" i="42"/>
  <c r="AB35" i="42"/>
  <c r="AC35" i="42"/>
  <c r="AD35" i="42"/>
  <c r="AE35" i="42"/>
  <c r="B36" i="42"/>
  <c r="C36" i="42"/>
  <c r="D36" i="42"/>
  <c r="E36" i="42"/>
  <c r="F36" i="42"/>
  <c r="G36" i="42"/>
  <c r="H36" i="42"/>
  <c r="I36" i="42"/>
  <c r="J36" i="42"/>
  <c r="K36" i="42"/>
  <c r="L36" i="42"/>
  <c r="M36" i="42"/>
  <c r="N36" i="42"/>
  <c r="O36" i="42"/>
  <c r="P36" i="42"/>
  <c r="Q36" i="42"/>
  <c r="R36" i="42"/>
  <c r="S36" i="42"/>
  <c r="T36" i="42"/>
  <c r="U36" i="42"/>
  <c r="V36" i="42"/>
  <c r="X36" i="42"/>
  <c r="Y36" i="42"/>
  <c r="Z36" i="42"/>
  <c r="AA36" i="42"/>
  <c r="AB36" i="42"/>
  <c r="AC36" i="42"/>
  <c r="AD36" i="42"/>
  <c r="AE36" i="42"/>
  <c r="B37" i="42"/>
  <c r="C37" i="42"/>
  <c r="D37" i="42"/>
  <c r="E37" i="42"/>
  <c r="F37" i="42"/>
  <c r="G37" i="42"/>
  <c r="H37" i="42"/>
  <c r="I37" i="42"/>
  <c r="J37" i="42"/>
  <c r="K37" i="42"/>
  <c r="L37" i="42"/>
  <c r="M37" i="42"/>
  <c r="N37" i="42"/>
  <c r="O37" i="42"/>
  <c r="P37" i="42"/>
  <c r="Q37" i="42"/>
  <c r="R37" i="42"/>
  <c r="S37" i="42"/>
  <c r="T37" i="42"/>
  <c r="U37" i="42"/>
  <c r="V37" i="42"/>
  <c r="W37" i="42"/>
  <c r="X37" i="42"/>
  <c r="Y37" i="42"/>
  <c r="Z37" i="42"/>
  <c r="AA37" i="42"/>
  <c r="AB37" i="42"/>
  <c r="AC37" i="42"/>
  <c r="AD37" i="42"/>
  <c r="AE37" i="42"/>
  <c r="B38" i="42"/>
  <c r="C38" i="42"/>
  <c r="D38" i="42"/>
  <c r="E38" i="42"/>
  <c r="F38" i="42"/>
  <c r="G38" i="42"/>
  <c r="H38" i="42"/>
  <c r="I38" i="42"/>
  <c r="J38" i="42"/>
  <c r="K38" i="42"/>
  <c r="L38" i="42"/>
  <c r="M38" i="42"/>
  <c r="N38" i="42"/>
  <c r="O38" i="42"/>
  <c r="P38" i="42"/>
  <c r="Q38" i="42"/>
  <c r="R38" i="42"/>
  <c r="S38" i="42"/>
  <c r="T38" i="42"/>
  <c r="U38" i="42"/>
  <c r="V38" i="42"/>
  <c r="X38" i="42" s="1"/>
  <c r="Y38" i="42"/>
  <c r="Z38" i="42"/>
  <c r="AA38" i="42"/>
  <c r="AB38" i="42"/>
  <c r="AC38" i="42"/>
  <c r="AD38" i="42"/>
  <c r="AE38" i="42"/>
  <c r="B39" i="42"/>
  <c r="C39" i="42"/>
  <c r="D39" i="42"/>
  <c r="E39" i="42"/>
  <c r="F39" i="42"/>
  <c r="G39" i="42"/>
  <c r="H39" i="42"/>
  <c r="I39" i="42"/>
  <c r="J39" i="42"/>
  <c r="K39" i="42"/>
  <c r="L39" i="42"/>
  <c r="M39" i="42"/>
  <c r="N39" i="42"/>
  <c r="O39" i="42"/>
  <c r="P39" i="42"/>
  <c r="Q39" i="42"/>
  <c r="R39" i="42"/>
  <c r="S39" i="42"/>
  <c r="T39" i="42"/>
  <c r="U39" i="42"/>
  <c r="V39" i="42"/>
  <c r="W39" i="42" s="1"/>
  <c r="X39" i="42"/>
  <c r="Y39" i="42"/>
  <c r="Z39" i="42"/>
  <c r="AA39" i="42"/>
  <c r="AB39" i="42"/>
  <c r="AC39" i="42"/>
  <c r="AD39" i="42"/>
  <c r="AE39" i="42"/>
  <c r="B40" i="42"/>
  <c r="C40" i="42"/>
  <c r="D40" i="42"/>
  <c r="E40" i="42"/>
  <c r="F40" i="42"/>
  <c r="G40" i="42"/>
  <c r="H40" i="42"/>
  <c r="I40" i="42"/>
  <c r="J40" i="42"/>
  <c r="K40" i="42"/>
  <c r="L40" i="42"/>
  <c r="M40" i="42"/>
  <c r="N40" i="42"/>
  <c r="O40" i="42"/>
  <c r="P40" i="42"/>
  <c r="Q40" i="42"/>
  <c r="R40" i="42"/>
  <c r="S40" i="42"/>
  <c r="T40" i="42"/>
  <c r="U40" i="42"/>
  <c r="V40" i="42"/>
  <c r="Z40" i="42"/>
  <c r="AA40" i="42"/>
  <c r="AB40" i="42"/>
  <c r="AC40" i="42"/>
  <c r="AD40" i="42"/>
  <c r="AE40" i="42"/>
  <c r="B41" i="42"/>
  <c r="C41" i="42"/>
  <c r="D41" i="42"/>
  <c r="E41" i="42"/>
  <c r="F41" i="42"/>
  <c r="G41" i="42"/>
  <c r="H41" i="42"/>
  <c r="I41" i="42"/>
  <c r="J41" i="42"/>
  <c r="K41" i="42"/>
  <c r="L41" i="42"/>
  <c r="M41" i="42"/>
  <c r="N41" i="42"/>
  <c r="O41" i="42"/>
  <c r="P41" i="42"/>
  <c r="Q41" i="42"/>
  <c r="R41" i="42"/>
  <c r="S41" i="42"/>
  <c r="T41" i="42"/>
  <c r="U41" i="42"/>
  <c r="V41" i="42"/>
  <c r="X41" i="42"/>
  <c r="Z41" i="42"/>
  <c r="AA41" i="42"/>
  <c r="AB41" i="42"/>
  <c r="AC41" i="42"/>
  <c r="AD41" i="42"/>
  <c r="AE41" i="42"/>
  <c r="B42" i="42"/>
  <c r="C42" i="42" s="1"/>
  <c r="D42" i="42"/>
  <c r="E42" i="42"/>
  <c r="F42" i="42"/>
  <c r="G42" i="42"/>
  <c r="H42" i="42"/>
  <c r="I42" i="42"/>
  <c r="J42" i="42"/>
  <c r="K42" i="42"/>
  <c r="L42" i="42"/>
  <c r="M42" i="42"/>
  <c r="N42" i="42"/>
  <c r="O42" i="42"/>
  <c r="P42" i="42"/>
  <c r="Q42" i="42"/>
  <c r="R42" i="42"/>
  <c r="S42" i="42"/>
  <c r="T42" i="42"/>
  <c r="U42" i="42"/>
  <c r="V42" i="42"/>
  <c r="Y42" i="42"/>
  <c r="Z42" i="42"/>
  <c r="AA42" i="42"/>
  <c r="AB42" i="42"/>
  <c r="AC42" i="42"/>
  <c r="AD42" i="42"/>
  <c r="AE42" i="42"/>
  <c r="B43" i="42"/>
  <c r="C43" i="42"/>
  <c r="D43" i="42"/>
  <c r="E43" i="42"/>
  <c r="F43" i="42"/>
  <c r="G43" i="42"/>
  <c r="H43" i="42"/>
  <c r="I43" i="42"/>
  <c r="J43" i="42"/>
  <c r="K43" i="42"/>
  <c r="L43" i="42"/>
  <c r="M43" i="42"/>
  <c r="N43" i="42"/>
  <c r="O43" i="42"/>
  <c r="P43" i="42"/>
  <c r="Q43" i="42"/>
  <c r="R43" i="42"/>
  <c r="S43" i="42"/>
  <c r="T43" i="42"/>
  <c r="U43" i="42"/>
  <c r="V43" i="42"/>
  <c r="W43" i="42"/>
  <c r="X43" i="42"/>
  <c r="Y43" i="42"/>
  <c r="Z43" i="42"/>
  <c r="AA43" i="42"/>
  <c r="AB43" i="42"/>
  <c r="AC43" i="42"/>
  <c r="AD43" i="42"/>
  <c r="AE43" i="42"/>
  <c r="B44" i="42"/>
  <c r="C44" i="42" s="1"/>
  <c r="D44" i="42"/>
  <c r="E44" i="42"/>
  <c r="F44" i="42"/>
  <c r="G44" i="42"/>
  <c r="H44" i="42"/>
  <c r="I44" i="42"/>
  <c r="J44" i="42"/>
  <c r="K44" i="42"/>
  <c r="L44" i="42"/>
  <c r="M44" i="42"/>
  <c r="N44" i="42"/>
  <c r="O44" i="42"/>
  <c r="P44" i="42"/>
  <c r="Q44" i="42"/>
  <c r="R44" i="42"/>
  <c r="S44" i="42"/>
  <c r="T44" i="42"/>
  <c r="U44" i="42"/>
  <c r="V44" i="42"/>
  <c r="W44" i="42" s="1"/>
  <c r="X44" i="42"/>
  <c r="Y44" i="42"/>
  <c r="Z44" i="42"/>
  <c r="AA44" i="42"/>
  <c r="AB44" i="42"/>
  <c r="AC44" i="42"/>
  <c r="AD44" i="42"/>
  <c r="AE44" i="42"/>
  <c r="B45" i="42"/>
  <c r="C45" i="42"/>
  <c r="D45" i="42"/>
  <c r="E45" i="42"/>
  <c r="F45" i="42"/>
  <c r="G45" i="42"/>
  <c r="H45" i="42"/>
  <c r="I45" i="42"/>
  <c r="J45" i="42"/>
  <c r="K45" i="42"/>
  <c r="L45" i="42"/>
  <c r="M45" i="42"/>
  <c r="N45" i="42"/>
  <c r="O45" i="42"/>
  <c r="P45" i="42"/>
  <c r="Q45" i="42"/>
  <c r="R45" i="42"/>
  <c r="S45" i="42"/>
  <c r="T45" i="42"/>
  <c r="U45" i="42"/>
  <c r="V45" i="42"/>
  <c r="W45" i="42"/>
  <c r="X45" i="42"/>
  <c r="Y45" i="42"/>
  <c r="Z45" i="42"/>
  <c r="AA45" i="42"/>
  <c r="AB45" i="42"/>
  <c r="AC45" i="42"/>
  <c r="AD45" i="42"/>
  <c r="AE45" i="42"/>
  <c r="B46" i="42"/>
  <c r="C46" i="42"/>
  <c r="D46" i="42"/>
  <c r="E46" i="42"/>
  <c r="F46" i="42"/>
  <c r="G46" i="42"/>
  <c r="H46" i="42"/>
  <c r="I46" i="42"/>
  <c r="J46" i="42"/>
  <c r="K46" i="42"/>
  <c r="L46" i="42"/>
  <c r="M46" i="42"/>
  <c r="N46" i="42"/>
  <c r="O46" i="42"/>
  <c r="P46" i="42"/>
  <c r="Q46" i="42"/>
  <c r="R46" i="42"/>
  <c r="S46" i="42"/>
  <c r="T46" i="42"/>
  <c r="U46" i="42"/>
  <c r="V46" i="42"/>
  <c r="W46" i="42" s="1"/>
  <c r="X46" i="42"/>
  <c r="Y46" i="42"/>
  <c r="Z46" i="42"/>
  <c r="AA46" i="42"/>
  <c r="AB46" i="42"/>
  <c r="AC46" i="42"/>
  <c r="AD46" i="42"/>
  <c r="AE46" i="42"/>
  <c r="B47" i="42"/>
  <c r="C47" i="42" s="1"/>
  <c r="D47" i="42"/>
  <c r="E47" i="42"/>
  <c r="F47" i="42"/>
  <c r="G47" i="42"/>
  <c r="H47" i="42"/>
  <c r="I47" i="42"/>
  <c r="J47" i="42"/>
  <c r="K47" i="42"/>
  <c r="L47" i="42"/>
  <c r="M47" i="42"/>
  <c r="N47" i="42"/>
  <c r="O47" i="42"/>
  <c r="P47" i="42"/>
  <c r="Q47" i="42"/>
  <c r="R47" i="42"/>
  <c r="S47" i="42"/>
  <c r="T47" i="42"/>
  <c r="U47" i="42"/>
  <c r="V47" i="42"/>
  <c r="Z47" i="42"/>
  <c r="AA47" i="42"/>
  <c r="AB47" i="42"/>
  <c r="AC47" i="42"/>
  <c r="AD47" i="42"/>
  <c r="AE47" i="42"/>
  <c r="B48" i="42"/>
  <c r="C48" i="42"/>
  <c r="D48" i="42"/>
  <c r="E48" i="42"/>
  <c r="F48" i="42"/>
  <c r="G48" i="42"/>
  <c r="H48" i="42"/>
  <c r="I48" i="42"/>
  <c r="J48" i="42"/>
  <c r="K48" i="42"/>
  <c r="L48" i="42"/>
  <c r="M48" i="42"/>
  <c r="N48" i="42"/>
  <c r="O48" i="42"/>
  <c r="P48" i="42"/>
  <c r="Q48" i="42"/>
  <c r="R48" i="42"/>
  <c r="S48" i="42"/>
  <c r="T48" i="42"/>
  <c r="U48" i="42"/>
  <c r="V48" i="42"/>
  <c r="AB48" i="42"/>
  <c r="AC48" i="42"/>
  <c r="AD48" i="42"/>
  <c r="AE48" i="42"/>
  <c r="B49" i="42"/>
  <c r="C49" i="42"/>
  <c r="D49" i="42"/>
  <c r="E49" i="42"/>
  <c r="F49" i="42"/>
  <c r="G49" i="42"/>
  <c r="H49" i="42"/>
  <c r="I49" i="42"/>
  <c r="J49" i="42"/>
  <c r="B50" i="42"/>
  <c r="C50" i="42"/>
  <c r="D50" i="42"/>
  <c r="E50" i="42"/>
  <c r="F50" i="42"/>
  <c r="G50" i="42"/>
  <c r="H50" i="42"/>
  <c r="I50" i="42"/>
  <c r="J50" i="42"/>
  <c r="B51" i="42"/>
  <c r="C51" i="42"/>
  <c r="D51" i="42"/>
  <c r="E51" i="42"/>
  <c r="F51" i="42"/>
  <c r="G51" i="42"/>
  <c r="H51" i="42"/>
  <c r="I51" i="42"/>
  <c r="J51" i="42"/>
  <c r="B52" i="42"/>
  <c r="C52" i="42"/>
  <c r="D52" i="42"/>
  <c r="E52" i="42"/>
  <c r="F52" i="42"/>
  <c r="G52" i="42"/>
  <c r="H52" i="42"/>
  <c r="I52" i="42"/>
  <c r="J52" i="42"/>
  <c r="B53" i="42"/>
  <c r="C53" i="42"/>
  <c r="D53" i="42"/>
  <c r="E53" i="42"/>
  <c r="F53" i="42"/>
  <c r="G53" i="42"/>
  <c r="H53" i="42"/>
  <c r="I53" i="42"/>
  <c r="J53" i="42"/>
  <c r="B54" i="42"/>
  <c r="C54" i="42"/>
  <c r="D54" i="42"/>
  <c r="E54" i="42"/>
  <c r="F54" i="42"/>
  <c r="G54" i="42"/>
  <c r="H54" i="42"/>
  <c r="I54" i="42"/>
  <c r="J54" i="42"/>
  <c r="B55" i="42"/>
  <c r="C55" i="42"/>
  <c r="D55" i="42"/>
  <c r="E55" i="42"/>
  <c r="F55" i="42"/>
  <c r="G55" i="42"/>
  <c r="H55" i="42"/>
  <c r="I55" i="42"/>
  <c r="J55" i="42"/>
  <c r="B56" i="42"/>
  <c r="C56" i="42"/>
  <c r="D56" i="42"/>
  <c r="E56" i="42"/>
  <c r="F56" i="42"/>
  <c r="G56" i="42"/>
  <c r="H56" i="42"/>
  <c r="I56" i="42"/>
  <c r="J56" i="42"/>
  <c r="B57" i="42"/>
  <c r="C57" i="42"/>
  <c r="D57" i="42"/>
  <c r="E57" i="42"/>
  <c r="F57" i="42"/>
  <c r="G57" i="42"/>
  <c r="H57" i="42"/>
  <c r="I57" i="42"/>
  <c r="J57" i="42"/>
  <c r="B58" i="42"/>
  <c r="C58" i="42"/>
  <c r="D58" i="42"/>
  <c r="E58" i="42"/>
  <c r="F58" i="42"/>
  <c r="G58" i="42"/>
  <c r="H58" i="42"/>
  <c r="I58" i="42"/>
  <c r="J58" i="42"/>
  <c r="B59" i="42"/>
  <c r="C59" i="42"/>
  <c r="D59" i="42"/>
  <c r="E59" i="42"/>
  <c r="F59" i="42"/>
  <c r="G59" i="42"/>
  <c r="H59" i="42"/>
  <c r="I59" i="42"/>
  <c r="J59" i="42"/>
  <c r="B60" i="42"/>
  <c r="C60" i="42"/>
  <c r="D60" i="42"/>
  <c r="E60" i="42"/>
  <c r="F60" i="42"/>
  <c r="G60" i="42"/>
  <c r="H60" i="42"/>
  <c r="I60" i="42"/>
  <c r="J60" i="42"/>
  <c r="B61" i="42"/>
  <c r="C61" i="42"/>
  <c r="D61" i="42"/>
  <c r="E61" i="42"/>
  <c r="F61" i="42"/>
  <c r="G61" i="42"/>
  <c r="H61" i="42"/>
  <c r="I61" i="42"/>
  <c r="J61" i="42"/>
  <c r="B62" i="42"/>
  <c r="C62" i="42"/>
  <c r="D62" i="42"/>
  <c r="E62" i="42"/>
  <c r="F62" i="42"/>
  <c r="G62" i="42"/>
  <c r="H62" i="42"/>
  <c r="I62" i="42"/>
  <c r="J62" i="42"/>
  <c r="B63" i="42"/>
  <c r="C63" i="42"/>
  <c r="D63" i="42"/>
  <c r="E63" i="42"/>
  <c r="F63" i="42"/>
  <c r="G63" i="42"/>
  <c r="H63" i="42"/>
  <c r="I63" i="42"/>
  <c r="J63" i="42"/>
  <c r="B64" i="42"/>
  <c r="C64" i="42"/>
  <c r="D64" i="42"/>
  <c r="E64" i="42"/>
  <c r="F64" i="42"/>
  <c r="G64" i="42"/>
  <c r="H64" i="42"/>
  <c r="I64" i="42"/>
  <c r="J64" i="42"/>
  <c r="B65" i="42"/>
  <c r="C65" i="42"/>
  <c r="D65" i="42"/>
  <c r="E65" i="42"/>
  <c r="F65" i="42"/>
  <c r="G65" i="42"/>
  <c r="H65" i="42"/>
  <c r="I65" i="42"/>
  <c r="J65" i="42"/>
  <c r="B66" i="42"/>
  <c r="C66" i="42"/>
  <c r="D66" i="42"/>
  <c r="E66" i="42"/>
  <c r="F66" i="42"/>
  <c r="G66" i="42"/>
  <c r="H66" i="42"/>
  <c r="I66" i="42"/>
  <c r="J66" i="42"/>
  <c r="B67" i="42"/>
  <c r="C67" i="42"/>
  <c r="D67" i="42"/>
  <c r="E67" i="42"/>
  <c r="F67" i="42"/>
  <c r="G67" i="42"/>
  <c r="H67" i="42"/>
  <c r="I67" i="42"/>
  <c r="J67" i="42"/>
  <c r="B68" i="42"/>
  <c r="C68" i="42"/>
  <c r="D68" i="42"/>
  <c r="E68" i="42"/>
  <c r="F68" i="42"/>
  <c r="G68" i="42"/>
  <c r="H68" i="42"/>
  <c r="I68" i="42"/>
  <c r="J68" i="42"/>
  <c r="B69" i="42"/>
  <c r="C69" i="42"/>
  <c r="D69" i="42"/>
  <c r="E69" i="42"/>
  <c r="F69" i="42"/>
  <c r="G69" i="42"/>
  <c r="H69" i="42"/>
  <c r="I69" i="42"/>
  <c r="J69" i="42"/>
  <c r="B70" i="42"/>
  <c r="C70" i="42"/>
  <c r="D70" i="42"/>
  <c r="E70" i="42"/>
  <c r="F70" i="42"/>
  <c r="G70" i="42"/>
  <c r="H70" i="42"/>
  <c r="I70" i="42"/>
  <c r="J70" i="42"/>
  <c r="B71" i="42"/>
  <c r="C71" i="42"/>
  <c r="D71" i="42"/>
  <c r="E71" i="42"/>
  <c r="F71" i="42"/>
  <c r="G71" i="42"/>
  <c r="H71" i="42"/>
  <c r="I71" i="42"/>
  <c r="J71" i="42"/>
  <c r="B72" i="42"/>
  <c r="C72" i="42" s="1"/>
  <c r="D72" i="42"/>
  <c r="E72" i="42"/>
  <c r="F72" i="42"/>
  <c r="G72" i="42"/>
  <c r="H72" i="42"/>
  <c r="I72" i="42"/>
  <c r="J72" i="42"/>
  <c r="B73" i="42"/>
  <c r="C73" i="42"/>
  <c r="D73" i="42"/>
  <c r="E73" i="42"/>
  <c r="F73" i="42"/>
  <c r="G73" i="42"/>
  <c r="H73" i="42"/>
  <c r="I73" i="42"/>
  <c r="J73" i="42"/>
  <c r="B74" i="42"/>
  <c r="C74" i="42"/>
  <c r="D74" i="42"/>
  <c r="E74" i="42"/>
  <c r="F74" i="42"/>
  <c r="G74" i="42"/>
  <c r="H74" i="42"/>
  <c r="I74" i="42"/>
  <c r="J74" i="42"/>
  <c r="B75" i="42"/>
  <c r="C75" i="42"/>
  <c r="D75" i="42"/>
  <c r="E75" i="42"/>
  <c r="F75" i="42"/>
  <c r="G75" i="42"/>
  <c r="H75" i="42"/>
  <c r="I75" i="42"/>
  <c r="J75" i="42"/>
  <c r="B76" i="42"/>
  <c r="C76" i="42"/>
  <c r="D76" i="42"/>
  <c r="E76" i="42"/>
  <c r="F76" i="42"/>
  <c r="G76" i="42"/>
  <c r="H76" i="42"/>
  <c r="I76" i="42"/>
  <c r="J76" i="42"/>
  <c r="B77" i="42"/>
  <c r="C77" i="42"/>
  <c r="D77" i="42"/>
  <c r="E77" i="42"/>
  <c r="F77" i="42"/>
  <c r="G77" i="42"/>
  <c r="H77" i="42"/>
  <c r="I77" i="42"/>
  <c r="J77" i="42"/>
  <c r="B78" i="42"/>
  <c r="C78" i="42"/>
  <c r="D78" i="42"/>
  <c r="E78" i="42"/>
  <c r="F78" i="42"/>
  <c r="G78" i="42"/>
  <c r="H78" i="42"/>
  <c r="I78" i="42"/>
  <c r="J78" i="42"/>
  <c r="B79" i="42"/>
  <c r="C79" i="42"/>
  <c r="D79" i="42"/>
  <c r="E79" i="42"/>
  <c r="F79" i="42"/>
  <c r="G79" i="42"/>
  <c r="H79" i="42"/>
  <c r="I79" i="42"/>
  <c r="J79" i="42"/>
  <c r="B80" i="42"/>
  <c r="C80" i="42"/>
  <c r="D80" i="42"/>
  <c r="E80" i="42"/>
  <c r="F80" i="42"/>
  <c r="G80" i="42"/>
  <c r="H80" i="42"/>
  <c r="I80" i="42"/>
  <c r="J80" i="42"/>
  <c r="B81" i="42"/>
  <c r="C81" i="42"/>
  <c r="D81" i="42"/>
  <c r="E81" i="42"/>
  <c r="F81" i="42"/>
  <c r="G81" i="42"/>
  <c r="H81" i="42"/>
  <c r="I81" i="42"/>
  <c r="J81" i="42"/>
  <c r="B82" i="42"/>
  <c r="C82" i="42"/>
  <c r="D82" i="42"/>
  <c r="E82" i="42"/>
  <c r="F82" i="42"/>
  <c r="G82" i="42"/>
  <c r="H82" i="42"/>
  <c r="I82" i="42"/>
  <c r="J82" i="42"/>
  <c r="B83" i="42"/>
  <c r="C83" i="42"/>
  <c r="D83" i="42"/>
  <c r="E83" i="42"/>
  <c r="F83" i="42"/>
  <c r="G83" i="42"/>
  <c r="H83" i="42"/>
  <c r="I83" i="42"/>
  <c r="J83" i="42"/>
  <c r="B84" i="42"/>
  <c r="C84" i="42"/>
  <c r="D84" i="42"/>
  <c r="E84" i="42"/>
  <c r="F84" i="42"/>
  <c r="G84" i="42"/>
  <c r="H84" i="42"/>
  <c r="I84" i="42"/>
  <c r="J84" i="42"/>
  <c r="B85" i="42"/>
  <c r="C85" i="42"/>
  <c r="D85" i="42"/>
  <c r="E85" i="42"/>
  <c r="F85" i="42"/>
  <c r="G85" i="42"/>
  <c r="H85" i="42"/>
  <c r="I85" i="42"/>
  <c r="J85" i="42"/>
  <c r="AI5" i="42"/>
  <c r="A1" i="41"/>
  <c r="P2" i="41"/>
  <c r="J3" i="41"/>
  <c r="J4" i="41"/>
  <c r="M4" i="41"/>
  <c r="AI4" i="41"/>
  <c r="J5" i="41"/>
  <c r="J6" i="41"/>
  <c r="B10" i="41"/>
  <c r="C10" i="41"/>
  <c r="D10" i="41"/>
  <c r="E10" i="41"/>
  <c r="F10" i="41"/>
  <c r="G10" i="41"/>
  <c r="H10" i="41"/>
  <c r="I10" i="41"/>
  <c r="J10" i="41"/>
  <c r="B11" i="41"/>
  <c r="C11" i="41"/>
  <c r="D11" i="41"/>
  <c r="E11" i="41"/>
  <c r="F11" i="41"/>
  <c r="G11" i="41"/>
  <c r="H11" i="41"/>
  <c r="I11" i="41"/>
  <c r="J11" i="41"/>
  <c r="T11" i="41"/>
  <c r="U11" i="41"/>
  <c r="V11" i="41"/>
  <c r="B12" i="41"/>
  <c r="C12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 s="1"/>
  <c r="X12" i="41"/>
  <c r="Y12" i="41"/>
  <c r="Z12" i="41"/>
  <c r="AA12" i="41"/>
  <c r="AB12" i="41"/>
  <c r="AC12" i="41"/>
  <c r="AD12" i="41"/>
  <c r="AE12" i="41"/>
  <c r="B13" i="41"/>
  <c r="C13" i="41"/>
  <c r="D13" i="41"/>
  <c r="E13" i="41"/>
  <c r="F13" i="41"/>
  <c r="G13" i="41"/>
  <c r="H13" i="41"/>
  <c r="I13" i="41"/>
  <c r="J13" i="41"/>
  <c r="K13" i="41"/>
  <c r="L13" i="41"/>
  <c r="M13" i="41"/>
  <c r="N13" i="41"/>
  <c r="O13" i="41"/>
  <c r="P13" i="41"/>
  <c r="Q13" i="41"/>
  <c r="R13" i="41"/>
  <c r="S13" i="41"/>
  <c r="T13" i="41"/>
  <c r="U13" i="41"/>
  <c r="V13" i="41"/>
  <c r="Z13" i="41"/>
  <c r="AA13" i="41"/>
  <c r="AB13" i="41"/>
  <c r="AC13" i="41"/>
  <c r="AD13" i="41"/>
  <c r="AE13" i="41"/>
  <c r="B14" i="41"/>
  <c r="C14" i="41"/>
  <c r="D14" i="41"/>
  <c r="E14" i="41"/>
  <c r="F14" i="41"/>
  <c r="G14" i="41"/>
  <c r="H14" i="41"/>
  <c r="I14" i="41"/>
  <c r="J14" i="41"/>
  <c r="K14" i="41"/>
  <c r="L14" i="41"/>
  <c r="M14" i="41"/>
  <c r="N14" i="41"/>
  <c r="O14" i="41"/>
  <c r="P14" i="41"/>
  <c r="Q14" i="41"/>
  <c r="R14" i="41"/>
  <c r="S14" i="41"/>
  <c r="T14" i="41"/>
  <c r="U14" i="41"/>
  <c r="V14" i="41"/>
  <c r="X14" i="41"/>
  <c r="Y14" i="41"/>
  <c r="Z14" i="41"/>
  <c r="AA14" i="41"/>
  <c r="AB14" i="41"/>
  <c r="AC14" i="41"/>
  <c r="AD14" i="41"/>
  <c r="AE14" i="41"/>
  <c r="B15" i="41"/>
  <c r="C15" i="41"/>
  <c r="D15" i="41"/>
  <c r="E15" i="41"/>
  <c r="F15" i="41"/>
  <c r="G15" i="41"/>
  <c r="H15" i="41"/>
  <c r="I15" i="41"/>
  <c r="J15" i="41"/>
  <c r="K15" i="41"/>
  <c r="L15" i="41"/>
  <c r="M15" i="41"/>
  <c r="N15" i="41"/>
  <c r="O15" i="41"/>
  <c r="P15" i="41"/>
  <c r="Q15" i="41"/>
  <c r="R15" i="41"/>
  <c r="S15" i="41"/>
  <c r="T15" i="41"/>
  <c r="B16" i="41"/>
  <c r="C16" i="41"/>
  <c r="D16" i="41"/>
  <c r="E16" i="41"/>
  <c r="F16" i="41"/>
  <c r="G16" i="41"/>
  <c r="H16" i="41"/>
  <c r="I16" i="41"/>
  <c r="J16" i="41"/>
  <c r="B17" i="41"/>
  <c r="C17" i="41"/>
  <c r="D17" i="41"/>
  <c r="E17" i="41"/>
  <c r="F17" i="41"/>
  <c r="G17" i="41"/>
  <c r="H17" i="41"/>
  <c r="I17" i="41"/>
  <c r="J17" i="41"/>
  <c r="B18" i="41"/>
  <c r="C18" i="41"/>
  <c r="D18" i="41"/>
  <c r="E18" i="41"/>
  <c r="F18" i="41"/>
  <c r="G18" i="41"/>
  <c r="H18" i="41"/>
  <c r="I18" i="41"/>
  <c r="J18" i="41"/>
  <c r="B19" i="41"/>
  <c r="C19" i="41"/>
  <c r="D19" i="41"/>
  <c r="E19" i="41"/>
  <c r="F19" i="41"/>
  <c r="G19" i="41"/>
  <c r="H19" i="41"/>
  <c r="I19" i="41"/>
  <c r="J19" i="41"/>
  <c r="B20" i="41"/>
  <c r="C20" i="41"/>
  <c r="D20" i="41"/>
  <c r="E20" i="41"/>
  <c r="F20" i="41"/>
  <c r="G20" i="41"/>
  <c r="H20" i="41"/>
  <c r="I20" i="41"/>
  <c r="J20" i="41"/>
  <c r="B21" i="41"/>
  <c r="C21" i="41"/>
  <c r="D21" i="41"/>
  <c r="E21" i="41"/>
  <c r="F21" i="41"/>
  <c r="G21" i="41"/>
  <c r="H21" i="41"/>
  <c r="I21" i="41"/>
  <c r="J21" i="41"/>
  <c r="B22" i="41"/>
  <c r="C22" i="41"/>
  <c r="D22" i="41"/>
  <c r="E22" i="41"/>
  <c r="F22" i="41"/>
  <c r="G22" i="41"/>
  <c r="H22" i="41"/>
  <c r="I22" i="41"/>
  <c r="J22" i="41"/>
  <c r="B23" i="41"/>
  <c r="C23" i="41"/>
  <c r="D23" i="41"/>
  <c r="E23" i="41"/>
  <c r="F23" i="41"/>
  <c r="G23" i="41"/>
  <c r="H23" i="41"/>
  <c r="I23" i="41"/>
  <c r="J23" i="41"/>
  <c r="B24" i="41"/>
  <c r="C24" i="41"/>
  <c r="D24" i="41"/>
  <c r="E24" i="41"/>
  <c r="F24" i="41"/>
  <c r="G24" i="41"/>
  <c r="H24" i="41"/>
  <c r="I24" i="41"/>
  <c r="J24" i="41"/>
  <c r="B25" i="41"/>
  <c r="C25" i="41"/>
  <c r="D25" i="41"/>
  <c r="E25" i="41"/>
  <c r="F25" i="41"/>
  <c r="G25" i="41"/>
  <c r="H25" i="41"/>
  <c r="I25" i="41"/>
  <c r="J25" i="41"/>
  <c r="B26" i="41"/>
  <c r="C26" i="41"/>
  <c r="D26" i="41"/>
  <c r="E26" i="41"/>
  <c r="F26" i="41"/>
  <c r="G26" i="41"/>
  <c r="H26" i="41"/>
  <c r="I26" i="41"/>
  <c r="J26" i="41"/>
  <c r="B27" i="41"/>
  <c r="C27" i="41"/>
  <c r="D27" i="41"/>
  <c r="E27" i="41"/>
  <c r="F27" i="41"/>
  <c r="G27" i="41"/>
  <c r="H27" i="41"/>
  <c r="I27" i="41"/>
  <c r="J27" i="41"/>
  <c r="B28" i="41"/>
  <c r="C28" i="41"/>
  <c r="D28" i="41"/>
  <c r="E28" i="41"/>
  <c r="F28" i="41"/>
  <c r="G28" i="41"/>
  <c r="H28" i="41"/>
  <c r="I28" i="41"/>
  <c r="J28" i="41"/>
  <c r="B29" i="41"/>
  <c r="C29" i="41"/>
  <c r="D29" i="41"/>
  <c r="E29" i="41"/>
  <c r="F29" i="41"/>
  <c r="G29" i="41"/>
  <c r="H29" i="41"/>
  <c r="I29" i="41"/>
  <c r="J29" i="41"/>
  <c r="B30" i="41"/>
  <c r="C30" i="41"/>
  <c r="D30" i="41"/>
  <c r="E30" i="41"/>
  <c r="F30" i="41"/>
  <c r="G30" i="41"/>
  <c r="H30" i="41"/>
  <c r="I30" i="41"/>
  <c r="J30" i="41"/>
  <c r="B31" i="41"/>
  <c r="C31" i="41"/>
  <c r="D31" i="41"/>
  <c r="E31" i="41"/>
  <c r="F31" i="41"/>
  <c r="G31" i="41"/>
  <c r="H31" i="41"/>
  <c r="I31" i="41"/>
  <c r="J31" i="41"/>
  <c r="B32" i="41"/>
  <c r="C32" i="41"/>
  <c r="D32" i="41"/>
  <c r="E32" i="41"/>
  <c r="F32" i="41"/>
  <c r="G32" i="41"/>
  <c r="H32" i="41"/>
  <c r="I32" i="41"/>
  <c r="J32" i="41"/>
  <c r="B33" i="41"/>
  <c r="C33" i="41"/>
  <c r="D33" i="41"/>
  <c r="E33" i="41"/>
  <c r="F33" i="41"/>
  <c r="G33" i="41"/>
  <c r="H33" i="41"/>
  <c r="I33" i="41"/>
  <c r="J33" i="41"/>
  <c r="B34" i="41"/>
  <c r="C34" i="41"/>
  <c r="D34" i="41"/>
  <c r="E34" i="41"/>
  <c r="F34" i="41"/>
  <c r="G34" i="41"/>
  <c r="H34" i="41"/>
  <c r="I34" i="41"/>
  <c r="J34" i="41"/>
  <c r="B35" i="41"/>
  <c r="C35" i="41"/>
  <c r="D35" i="41"/>
  <c r="E35" i="41"/>
  <c r="F35" i="41"/>
  <c r="G35" i="41"/>
  <c r="H35" i="41"/>
  <c r="I35" i="41"/>
  <c r="J35" i="41"/>
  <c r="B36" i="41"/>
  <c r="C36" i="41"/>
  <c r="D36" i="41"/>
  <c r="E36" i="41"/>
  <c r="F36" i="41"/>
  <c r="G36" i="41"/>
  <c r="H36" i="41"/>
  <c r="I36" i="41"/>
  <c r="J36" i="41"/>
  <c r="B37" i="41"/>
  <c r="C37" i="41"/>
  <c r="D37" i="41"/>
  <c r="E37" i="41"/>
  <c r="F37" i="41"/>
  <c r="G37" i="41"/>
  <c r="H37" i="41"/>
  <c r="I37" i="41"/>
  <c r="J37" i="41"/>
  <c r="B38" i="41"/>
  <c r="C38" i="41"/>
  <c r="D38" i="41"/>
  <c r="E38" i="41"/>
  <c r="F38" i="41"/>
  <c r="G38" i="41"/>
  <c r="H38" i="41"/>
  <c r="I38" i="41"/>
  <c r="J38" i="41"/>
  <c r="B39" i="41"/>
  <c r="C39" i="41"/>
  <c r="D39" i="41"/>
  <c r="E39" i="41"/>
  <c r="F39" i="41"/>
  <c r="G39" i="41"/>
  <c r="H39" i="41"/>
  <c r="I39" i="41"/>
  <c r="J39" i="41"/>
  <c r="B40" i="41"/>
  <c r="C40" i="41"/>
  <c r="D40" i="41"/>
  <c r="E40" i="41"/>
  <c r="F40" i="41"/>
  <c r="G40" i="41"/>
  <c r="H40" i="41"/>
  <c r="I40" i="41"/>
  <c r="J40" i="41"/>
  <c r="B41" i="41"/>
  <c r="C41" i="41"/>
  <c r="D41" i="41"/>
  <c r="E41" i="41"/>
  <c r="F41" i="41"/>
  <c r="G41" i="41"/>
  <c r="H41" i="41"/>
  <c r="I41" i="41"/>
  <c r="J41" i="41"/>
  <c r="B42" i="41"/>
  <c r="C42" i="41"/>
  <c r="D42" i="41"/>
  <c r="E42" i="41"/>
  <c r="F42" i="41"/>
  <c r="G42" i="41"/>
  <c r="H42" i="41"/>
  <c r="I42" i="41"/>
  <c r="J42" i="41"/>
  <c r="B43" i="41"/>
  <c r="C43" i="41"/>
  <c r="D43" i="41"/>
  <c r="E43" i="41"/>
  <c r="F43" i="41"/>
  <c r="G43" i="41"/>
  <c r="H43" i="41"/>
  <c r="I43" i="41"/>
  <c r="J43" i="41"/>
  <c r="B44" i="41"/>
  <c r="C44" i="41"/>
  <c r="D44" i="41"/>
  <c r="E44" i="41"/>
  <c r="F44" i="41"/>
  <c r="G44" i="41"/>
  <c r="H44" i="41"/>
  <c r="I44" i="41"/>
  <c r="J44" i="41"/>
  <c r="B45" i="41"/>
  <c r="C45" i="41"/>
  <c r="D45" i="41"/>
  <c r="E45" i="41"/>
  <c r="F45" i="41"/>
  <c r="G45" i="41"/>
  <c r="H45" i="41"/>
  <c r="I45" i="41"/>
  <c r="J45" i="41"/>
  <c r="B46" i="41"/>
  <c r="C46" i="41"/>
  <c r="D46" i="41"/>
  <c r="E46" i="41"/>
  <c r="F46" i="41"/>
  <c r="G46" i="41"/>
  <c r="H46" i="41"/>
  <c r="I46" i="41"/>
  <c r="J46" i="41"/>
  <c r="B47" i="41"/>
  <c r="C47" i="41"/>
  <c r="D47" i="41"/>
  <c r="E47" i="41"/>
  <c r="F47" i="41"/>
  <c r="G47" i="41"/>
  <c r="H47" i="41"/>
  <c r="I47" i="41"/>
  <c r="J47" i="41"/>
  <c r="B48" i="41"/>
  <c r="C48" i="41"/>
  <c r="D48" i="41"/>
  <c r="E48" i="41"/>
  <c r="F48" i="41"/>
  <c r="G48" i="41"/>
  <c r="H48" i="41"/>
  <c r="I48" i="41"/>
  <c r="J48" i="41"/>
  <c r="B49" i="41"/>
  <c r="C49" i="41"/>
  <c r="D49" i="41"/>
  <c r="E49" i="41"/>
  <c r="F49" i="41"/>
  <c r="G49" i="41"/>
  <c r="H49" i="41"/>
  <c r="I49" i="41"/>
  <c r="J49" i="41"/>
  <c r="B50" i="41"/>
  <c r="C50" i="41"/>
  <c r="D50" i="41"/>
  <c r="E50" i="41"/>
  <c r="F50" i="41"/>
  <c r="G50" i="41"/>
  <c r="H50" i="41"/>
  <c r="I50" i="41"/>
  <c r="J50" i="41"/>
  <c r="B51" i="41"/>
  <c r="C51" i="41"/>
  <c r="D51" i="41"/>
  <c r="E51" i="41"/>
  <c r="F51" i="41"/>
  <c r="G51" i="41"/>
  <c r="H51" i="41"/>
  <c r="I51" i="41"/>
  <c r="J51" i="41"/>
  <c r="B52" i="41"/>
  <c r="C52" i="41"/>
  <c r="D52" i="41"/>
  <c r="E52" i="41"/>
  <c r="F52" i="41"/>
  <c r="G52" i="41"/>
  <c r="H52" i="41"/>
  <c r="I52" i="41"/>
  <c r="J52" i="41"/>
  <c r="B53" i="41"/>
  <c r="C53" i="41"/>
  <c r="D53" i="41"/>
  <c r="E53" i="41"/>
  <c r="F53" i="41"/>
  <c r="G53" i="41"/>
  <c r="H53" i="41"/>
  <c r="I53" i="41"/>
  <c r="J53" i="41"/>
  <c r="B54" i="41"/>
  <c r="C54" i="41"/>
  <c r="D54" i="41"/>
  <c r="E54" i="41"/>
  <c r="F54" i="41"/>
  <c r="G54" i="41"/>
  <c r="H54" i="41"/>
  <c r="I54" i="41"/>
  <c r="J54" i="41"/>
  <c r="B55" i="41"/>
  <c r="C55" i="41"/>
  <c r="D55" i="41"/>
  <c r="E55" i="41"/>
  <c r="F55" i="41"/>
  <c r="G55" i="41"/>
  <c r="H55" i="41"/>
  <c r="I55" i="41"/>
  <c r="J55" i="41"/>
  <c r="B56" i="41"/>
  <c r="C56" i="41"/>
  <c r="D56" i="41"/>
  <c r="E56" i="41"/>
  <c r="F56" i="41"/>
  <c r="G56" i="41"/>
  <c r="H56" i="41"/>
  <c r="I56" i="41"/>
  <c r="J56" i="41"/>
  <c r="B57" i="41"/>
  <c r="C57" i="41"/>
  <c r="D57" i="41"/>
  <c r="E57" i="41"/>
  <c r="F57" i="41"/>
  <c r="G57" i="41"/>
  <c r="H57" i="41"/>
  <c r="I57" i="41"/>
  <c r="J57" i="41"/>
  <c r="B58" i="41"/>
  <c r="C58" i="41"/>
  <c r="D58" i="41"/>
  <c r="E58" i="41"/>
  <c r="F58" i="41"/>
  <c r="G58" i="41"/>
  <c r="H58" i="41"/>
  <c r="I58" i="41"/>
  <c r="J58" i="41"/>
  <c r="B59" i="41"/>
  <c r="C59" i="41"/>
  <c r="D59" i="41"/>
  <c r="E59" i="41"/>
  <c r="F59" i="41"/>
  <c r="G59" i="41"/>
  <c r="H59" i="41"/>
  <c r="I59" i="41"/>
  <c r="J59" i="41"/>
  <c r="B60" i="41"/>
  <c r="C60" i="41"/>
  <c r="D60" i="41"/>
  <c r="E60" i="41"/>
  <c r="F60" i="41"/>
  <c r="G60" i="41"/>
  <c r="H60" i="41"/>
  <c r="I60" i="41"/>
  <c r="J60" i="41"/>
  <c r="B61" i="41"/>
  <c r="C61" i="41"/>
  <c r="D61" i="41"/>
  <c r="E61" i="41"/>
  <c r="F61" i="41"/>
  <c r="G61" i="41"/>
  <c r="H61" i="41"/>
  <c r="I61" i="41"/>
  <c r="J61" i="41"/>
  <c r="B62" i="41"/>
  <c r="C62" i="41"/>
  <c r="D62" i="41"/>
  <c r="E62" i="41"/>
  <c r="F62" i="41"/>
  <c r="G62" i="41"/>
  <c r="H62" i="41"/>
  <c r="I62" i="41"/>
  <c r="J62" i="41"/>
  <c r="B63" i="41"/>
  <c r="C63" i="41"/>
  <c r="D63" i="41"/>
  <c r="E63" i="41"/>
  <c r="F63" i="41"/>
  <c r="G63" i="41"/>
  <c r="H63" i="41"/>
  <c r="I63" i="41"/>
  <c r="J63" i="41"/>
  <c r="B64" i="41"/>
  <c r="C64" i="41"/>
  <c r="D64" i="41"/>
  <c r="E64" i="41"/>
  <c r="F64" i="41"/>
  <c r="G64" i="41"/>
  <c r="H64" i="41"/>
  <c r="I64" i="41"/>
  <c r="J64" i="41"/>
  <c r="B65" i="41"/>
  <c r="C65" i="41"/>
  <c r="D65" i="41"/>
  <c r="E65" i="41"/>
  <c r="F65" i="41"/>
  <c r="G65" i="41"/>
  <c r="H65" i="41"/>
  <c r="I65" i="41"/>
  <c r="J65" i="41"/>
  <c r="B66" i="41"/>
  <c r="C66" i="41"/>
  <c r="D66" i="41"/>
  <c r="E66" i="41"/>
  <c r="F66" i="41"/>
  <c r="G66" i="41"/>
  <c r="H66" i="41"/>
  <c r="I66" i="41"/>
  <c r="J66" i="41"/>
  <c r="B67" i="41"/>
  <c r="C67" i="41"/>
  <c r="D67" i="41"/>
  <c r="E67" i="41"/>
  <c r="F67" i="41"/>
  <c r="G67" i="41"/>
  <c r="H67" i="41"/>
  <c r="I67" i="41"/>
  <c r="J67" i="41"/>
  <c r="B68" i="41"/>
  <c r="C68" i="41"/>
  <c r="D68" i="41"/>
  <c r="E68" i="41"/>
  <c r="F68" i="41"/>
  <c r="G68" i="41"/>
  <c r="H68" i="41"/>
  <c r="I68" i="41"/>
  <c r="J68" i="41"/>
  <c r="B69" i="41"/>
  <c r="C69" i="41"/>
  <c r="D69" i="41"/>
  <c r="E69" i="41"/>
  <c r="F69" i="41"/>
  <c r="G69" i="41"/>
  <c r="H69" i="41"/>
  <c r="I69" i="41"/>
  <c r="J69" i="41"/>
  <c r="B70" i="41"/>
  <c r="C70" i="41"/>
  <c r="D70" i="41"/>
  <c r="E70" i="41"/>
  <c r="F70" i="41"/>
  <c r="G70" i="41"/>
  <c r="H70" i="41"/>
  <c r="I70" i="41"/>
  <c r="J70" i="41"/>
  <c r="B71" i="41"/>
  <c r="C71" i="41"/>
  <c r="D71" i="41"/>
  <c r="E71" i="41"/>
  <c r="F71" i="41"/>
  <c r="G71" i="41"/>
  <c r="H71" i="41"/>
  <c r="I71" i="41"/>
  <c r="J71" i="41"/>
  <c r="B72" i="41"/>
  <c r="C72" i="41"/>
  <c r="D72" i="41"/>
  <c r="E72" i="41"/>
  <c r="F72" i="41"/>
  <c r="G72" i="41"/>
  <c r="H72" i="41"/>
  <c r="I72" i="41"/>
  <c r="J72" i="41"/>
  <c r="B73" i="41"/>
  <c r="C73" i="41"/>
  <c r="D73" i="41"/>
  <c r="E73" i="41"/>
  <c r="F73" i="41"/>
  <c r="G73" i="41"/>
  <c r="H73" i="41"/>
  <c r="I73" i="41"/>
  <c r="J73" i="41"/>
  <c r="B74" i="41"/>
  <c r="C74" i="41"/>
  <c r="D74" i="41"/>
  <c r="E74" i="41"/>
  <c r="F74" i="41"/>
  <c r="G74" i="41"/>
  <c r="H74" i="41"/>
  <c r="I74" i="41"/>
  <c r="J74" i="41"/>
  <c r="B75" i="41"/>
  <c r="C75" i="41"/>
  <c r="D75" i="41"/>
  <c r="E75" i="41"/>
  <c r="F75" i="41"/>
  <c r="G75" i="41"/>
  <c r="H75" i="41"/>
  <c r="I75" i="41"/>
  <c r="J75" i="41"/>
  <c r="B76" i="41"/>
  <c r="C76" i="41"/>
  <c r="D76" i="41"/>
  <c r="E76" i="41"/>
  <c r="F76" i="41"/>
  <c r="G76" i="41"/>
  <c r="H76" i="41"/>
  <c r="I76" i="41"/>
  <c r="J76" i="41"/>
  <c r="B77" i="41"/>
  <c r="C77" i="41"/>
  <c r="D77" i="41"/>
  <c r="E77" i="41"/>
  <c r="F77" i="41"/>
  <c r="G77" i="41"/>
  <c r="H77" i="41"/>
  <c r="I77" i="41"/>
  <c r="J77" i="41"/>
  <c r="B78" i="41"/>
  <c r="C78" i="41"/>
  <c r="D78" i="41"/>
  <c r="E78" i="41"/>
  <c r="F78" i="41"/>
  <c r="G78" i="41"/>
  <c r="H78" i="41"/>
  <c r="I78" i="41"/>
  <c r="J78" i="41"/>
  <c r="B79" i="41"/>
  <c r="C79" i="41"/>
  <c r="D79" i="41"/>
  <c r="E79" i="41"/>
  <c r="F79" i="41"/>
  <c r="G79" i="41"/>
  <c r="H79" i="41"/>
  <c r="I79" i="41"/>
  <c r="J79" i="41"/>
  <c r="B80" i="41"/>
  <c r="C80" i="41"/>
  <c r="D80" i="41"/>
  <c r="E80" i="41"/>
  <c r="F80" i="41"/>
  <c r="G80" i="41"/>
  <c r="H80" i="41"/>
  <c r="I80" i="41"/>
  <c r="J80" i="41"/>
  <c r="B81" i="41"/>
  <c r="C81" i="41"/>
  <c r="D81" i="41"/>
  <c r="E81" i="41"/>
  <c r="F81" i="41"/>
  <c r="G81" i="41"/>
  <c r="H81" i="41"/>
  <c r="I81" i="41"/>
  <c r="J81" i="41"/>
  <c r="B82" i="41"/>
  <c r="C82" i="41"/>
  <c r="D82" i="41"/>
  <c r="E82" i="41"/>
  <c r="F82" i="41"/>
  <c r="G82" i="41"/>
  <c r="H82" i="41"/>
  <c r="I82" i="41"/>
  <c r="J82" i="41"/>
  <c r="B83" i="41"/>
  <c r="C83" i="41"/>
  <c r="D83" i="41"/>
  <c r="E83" i="41"/>
  <c r="F83" i="41"/>
  <c r="G83" i="41"/>
  <c r="H83" i="41"/>
  <c r="I83" i="41"/>
  <c r="J83" i="41"/>
  <c r="B84" i="41"/>
  <c r="C84" i="41" s="1"/>
  <c r="D84" i="41"/>
  <c r="E84" i="41"/>
  <c r="F84" i="41"/>
  <c r="G84" i="41"/>
  <c r="H84" i="41"/>
  <c r="I84" i="41"/>
  <c r="J84" i="41"/>
  <c r="B85" i="41"/>
  <c r="C85" i="41"/>
  <c r="D85" i="41"/>
  <c r="E85" i="41"/>
  <c r="F85" i="41"/>
  <c r="G85" i="41"/>
  <c r="H85" i="41"/>
  <c r="I85" i="41"/>
  <c r="J85" i="41"/>
  <c r="A1" i="40"/>
  <c r="P2" i="40"/>
  <c r="J3" i="40"/>
  <c r="J4" i="40"/>
  <c r="M4" i="40"/>
  <c r="AI4" i="40"/>
  <c r="J5" i="40"/>
  <c r="J6" i="40"/>
  <c r="B10" i="40"/>
  <c r="C10" i="40"/>
  <c r="D10" i="40"/>
  <c r="E10" i="40"/>
  <c r="F10" i="40"/>
  <c r="G10" i="40"/>
  <c r="H10" i="40"/>
  <c r="I10" i="40"/>
  <c r="J10" i="40"/>
  <c r="B11" i="40"/>
  <c r="C11" i="40"/>
  <c r="D11" i="40"/>
  <c r="E11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AD11" i="40"/>
  <c r="AE11" i="40"/>
  <c r="B12" i="40"/>
  <c r="C12" i="40"/>
  <c r="D12" i="40"/>
  <c r="E12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AD12" i="40"/>
  <c r="AE12" i="40"/>
  <c r="B13" i="40"/>
  <c r="C13" i="40"/>
  <c r="D13" i="40"/>
  <c r="E13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Y13" i="40" s="1"/>
  <c r="Z13" i="40"/>
  <c r="AA13" i="40"/>
  <c r="AB13" i="40"/>
  <c r="AC13" i="40"/>
  <c r="AD13" i="40"/>
  <c r="AE13" i="40"/>
  <c r="B14" i="40"/>
  <c r="C14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AD14" i="40"/>
  <c r="AE14" i="40"/>
  <c r="B15" i="40"/>
  <c r="C15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AD15" i="40"/>
  <c r="AE15" i="40"/>
  <c r="B16" i="40"/>
  <c r="C16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AD16" i="40"/>
  <c r="AE16" i="40"/>
  <c r="B17" i="40"/>
  <c r="C17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AD17" i="40"/>
  <c r="AE17" i="40"/>
  <c r="B18" i="40"/>
  <c r="C18" i="40"/>
  <c r="D18" i="40"/>
  <c r="E18" i="40"/>
  <c r="F18" i="40"/>
  <c r="G18" i="40"/>
  <c r="H18" i="40"/>
  <c r="I18" i="40"/>
  <c r="J18" i="40"/>
  <c r="B19" i="40"/>
  <c r="C19" i="40"/>
  <c r="D19" i="40"/>
  <c r="E19" i="40"/>
  <c r="F19" i="40"/>
  <c r="G19" i="40"/>
  <c r="H19" i="40"/>
  <c r="I19" i="40"/>
  <c r="J19" i="40"/>
  <c r="B20" i="40"/>
  <c r="E20" i="40"/>
  <c r="F20" i="40"/>
  <c r="G20" i="40"/>
  <c r="H20" i="40"/>
  <c r="I20" i="40"/>
  <c r="J20" i="40"/>
  <c r="B21" i="40"/>
  <c r="C21" i="40"/>
  <c r="D21" i="40"/>
  <c r="E21" i="40"/>
  <c r="F21" i="40"/>
  <c r="G21" i="40"/>
  <c r="H21" i="40"/>
  <c r="I21" i="40"/>
  <c r="J21" i="40"/>
  <c r="B22" i="40"/>
  <c r="C22" i="40"/>
  <c r="D22" i="40"/>
  <c r="E22" i="40"/>
  <c r="F22" i="40"/>
  <c r="G22" i="40"/>
  <c r="H22" i="40"/>
  <c r="I22" i="40"/>
  <c r="J22" i="40"/>
  <c r="B23" i="40"/>
  <c r="C23" i="40"/>
  <c r="D23" i="40"/>
  <c r="E23" i="40"/>
  <c r="F23" i="40"/>
  <c r="G23" i="40"/>
  <c r="H23" i="40"/>
  <c r="I23" i="40"/>
  <c r="J23" i="40"/>
  <c r="B24" i="40"/>
  <c r="C24" i="40"/>
  <c r="D24" i="40"/>
  <c r="E24" i="40"/>
  <c r="F24" i="40"/>
  <c r="G24" i="40"/>
  <c r="H24" i="40"/>
  <c r="I24" i="40"/>
  <c r="J24" i="40"/>
  <c r="B25" i="40"/>
  <c r="C25" i="40"/>
  <c r="D25" i="40"/>
  <c r="E25" i="40"/>
  <c r="F25" i="40"/>
  <c r="G25" i="40"/>
  <c r="H25" i="40"/>
  <c r="I25" i="40"/>
  <c r="J25" i="40"/>
  <c r="B26" i="40"/>
  <c r="C26" i="40"/>
  <c r="D26" i="40"/>
  <c r="E26" i="40"/>
  <c r="F26" i="40"/>
  <c r="G26" i="40"/>
  <c r="H26" i="40"/>
  <c r="I26" i="40"/>
  <c r="J26" i="40"/>
  <c r="T26" i="40"/>
  <c r="U26" i="40"/>
  <c r="V26" i="40"/>
  <c r="B27" i="40"/>
  <c r="C27" i="40"/>
  <c r="D27" i="40"/>
  <c r="E27" i="40"/>
  <c r="F27" i="40"/>
  <c r="G27" i="40"/>
  <c r="H27" i="40"/>
  <c r="I27" i="40"/>
  <c r="J27" i="40"/>
  <c r="K27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Z27" i="40"/>
  <c r="AA27" i="40"/>
  <c r="AB27" i="40"/>
  <c r="AC27" i="40"/>
  <c r="AD27" i="40"/>
  <c r="AE27" i="40"/>
  <c r="B28" i="40"/>
  <c r="E28" i="40"/>
  <c r="F28" i="40"/>
  <c r="G28" i="40"/>
  <c r="H28" i="40"/>
  <c r="I28" i="40"/>
  <c r="J28" i="40"/>
  <c r="K28" i="40"/>
  <c r="L28" i="40"/>
  <c r="M28" i="40"/>
  <c r="N28" i="40"/>
  <c r="O28" i="40"/>
  <c r="P28" i="40"/>
  <c r="Q28" i="40"/>
  <c r="R28" i="40"/>
  <c r="S28" i="40"/>
  <c r="T28" i="40"/>
  <c r="U28" i="40"/>
  <c r="V28" i="40"/>
  <c r="W28" i="40" s="1"/>
  <c r="X28" i="40"/>
  <c r="Y28" i="40"/>
  <c r="Z28" i="40"/>
  <c r="AA28" i="40"/>
  <c r="AB28" i="40"/>
  <c r="AC28" i="40"/>
  <c r="AD28" i="40"/>
  <c r="AE28" i="40"/>
  <c r="B29" i="40"/>
  <c r="C29" i="40"/>
  <c r="D29" i="40"/>
  <c r="E29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T29" i="40"/>
  <c r="U29" i="40"/>
  <c r="V29" i="40"/>
  <c r="W29" i="40"/>
  <c r="X29" i="40"/>
  <c r="Y29" i="40"/>
  <c r="Z29" i="40"/>
  <c r="AA29" i="40"/>
  <c r="AB29" i="40"/>
  <c r="AC29" i="40"/>
  <c r="AD29" i="40"/>
  <c r="AE29" i="40"/>
  <c r="B30" i="40"/>
  <c r="C30" i="40"/>
  <c r="D30" i="40"/>
  <c r="E30" i="40"/>
  <c r="F30" i="40"/>
  <c r="G30" i="40"/>
  <c r="H30" i="40"/>
  <c r="I30" i="40"/>
  <c r="J30" i="40"/>
  <c r="K30" i="40"/>
  <c r="L30" i="40"/>
  <c r="M30" i="40"/>
  <c r="N30" i="40"/>
  <c r="O30" i="40"/>
  <c r="P30" i="40"/>
  <c r="Q30" i="40"/>
  <c r="R30" i="40"/>
  <c r="S30" i="40"/>
  <c r="T30" i="40"/>
  <c r="U30" i="40"/>
  <c r="V30" i="40"/>
  <c r="W30" i="40" s="1"/>
  <c r="X30" i="40"/>
  <c r="Y30" i="40"/>
  <c r="Z30" i="40"/>
  <c r="AA30" i="40"/>
  <c r="AB30" i="40"/>
  <c r="AC30" i="40"/>
  <c r="AD30" i="40"/>
  <c r="AE30" i="40"/>
  <c r="B31" i="40"/>
  <c r="C31" i="40"/>
  <c r="D31" i="40"/>
  <c r="E31" i="40"/>
  <c r="F31" i="40"/>
  <c r="G31" i="40"/>
  <c r="H31" i="40"/>
  <c r="I31" i="40"/>
  <c r="J31" i="40"/>
  <c r="K31" i="40"/>
  <c r="L31" i="40"/>
  <c r="M31" i="40"/>
  <c r="N31" i="40"/>
  <c r="O31" i="40"/>
  <c r="P31" i="40"/>
  <c r="Q31" i="40"/>
  <c r="R31" i="40"/>
  <c r="S31" i="40"/>
  <c r="T31" i="40"/>
  <c r="U31" i="40"/>
  <c r="V31" i="40"/>
  <c r="Z31" i="40"/>
  <c r="AA31" i="40"/>
  <c r="AB31" i="40"/>
  <c r="AC31" i="40"/>
  <c r="AD31" i="40"/>
  <c r="AE31" i="40"/>
  <c r="B32" i="40"/>
  <c r="C32" i="40"/>
  <c r="D32" i="40"/>
  <c r="E32" i="40"/>
  <c r="F32" i="40"/>
  <c r="G32" i="40"/>
  <c r="H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X32" i="40"/>
  <c r="Y32" i="40"/>
  <c r="Z32" i="40"/>
  <c r="AA32" i="40"/>
  <c r="AB32" i="40"/>
  <c r="AC32" i="40"/>
  <c r="AD32" i="40"/>
  <c r="AE32" i="40"/>
  <c r="B33" i="40"/>
  <c r="C33" i="40"/>
  <c r="D33" i="40"/>
  <c r="E33" i="40"/>
  <c r="F33" i="40"/>
  <c r="G33" i="40"/>
  <c r="H33" i="40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Z33" i="40"/>
  <c r="AA33" i="40"/>
  <c r="AB33" i="40"/>
  <c r="AC33" i="40"/>
  <c r="AD33" i="40"/>
  <c r="AE33" i="40"/>
  <c r="B34" i="40"/>
  <c r="C34" i="40"/>
  <c r="D34" i="40"/>
  <c r="E34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W34" i="40"/>
  <c r="X34" i="40"/>
  <c r="Y34" i="40"/>
  <c r="Z34" i="40"/>
  <c r="AA34" i="40"/>
  <c r="AB34" i="40"/>
  <c r="AC34" i="40"/>
  <c r="AD34" i="40"/>
  <c r="AE34" i="40"/>
  <c r="B35" i="40"/>
  <c r="C35" i="40"/>
  <c r="D35" i="40"/>
  <c r="E35" i="40"/>
  <c r="F35" i="40"/>
  <c r="G35" i="40"/>
  <c r="H35" i="40"/>
  <c r="I35" i="40"/>
  <c r="J35" i="40"/>
  <c r="K35" i="40"/>
  <c r="L35" i="40"/>
  <c r="M35" i="40"/>
  <c r="N35" i="40"/>
  <c r="O35" i="40"/>
  <c r="P35" i="40"/>
  <c r="Q35" i="40"/>
  <c r="R35" i="40"/>
  <c r="S35" i="40"/>
  <c r="T35" i="40"/>
  <c r="U35" i="40"/>
  <c r="V35" i="40"/>
  <c r="W35" i="40" s="1"/>
  <c r="X35" i="40"/>
  <c r="Y35" i="40"/>
  <c r="Z35" i="40"/>
  <c r="AA35" i="40"/>
  <c r="AB35" i="40"/>
  <c r="AC35" i="40"/>
  <c r="AD35" i="40"/>
  <c r="AE35" i="40"/>
  <c r="B36" i="40"/>
  <c r="C36" i="40"/>
  <c r="D36" i="40"/>
  <c r="E36" i="40"/>
  <c r="F36" i="40"/>
  <c r="G36" i="40"/>
  <c r="H36" i="40"/>
  <c r="I36" i="40"/>
  <c r="J36" i="40"/>
  <c r="K36" i="40"/>
  <c r="L36" i="40"/>
  <c r="M36" i="40"/>
  <c r="N36" i="40"/>
  <c r="O36" i="40"/>
  <c r="P36" i="40"/>
  <c r="Q36" i="40"/>
  <c r="R36" i="40"/>
  <c r="S36" i="40"/>
  <c r="T36" i="40"/>
  <c r="U36" i="40"/>
  <c r="V36" i="40"/>
  <c r="Z36" i="40" s="1"/>
  <c r="AA36" i="40"/>
  <c r="AB36" i="40"/>
  <c r="AC36" i="40"/>
  <c r="AD36" i="40"/>
  <c r="AE36" i="40"/>
  <c r="B37" i="40"/>
  <c r="C37" i="40" s="1"/>
  <c r="D37" i="40"/>
  <c r="E37" i="40"/>
  <c r="F37" i="40"/>
  <c r="G37" i="40"/>
  <c r="H37" i="40"/>
  <c r="I37" i="40"/>
  <c r="J37" i="40"/>
  <c r="B38" i="40"/>
  <c r="F38" i="40"/>
  <c r="G38" i="40"/>
  <c r="H38" i="40"/>
  <c r="I38" i="40"/>
  <c r="J38" i="40"/>
  <c r="B39" i="40"/>
  <c r="C39" i="40"/>
  <c r="D39" i="40"/>
  <c r="E39" i="40"/>
  <c r="F39" i="40"/>
  <c r="G39" i="40"/>
  <c r="H39" i="40"/>
  <c r="I39" i="40"/>
  <c r="J39" i="40"/>
  <c r="B40" i="40"/>
  <c r="C40" i="40"/>
  <c r="D40" i="40"/>
  <c r="E40" i="40"/>
  <c r="F40" i="40"/>
  <c r="G40" i="40"/>
  <c r="H40" i="40"/>
  <c r="I40" i="40"/>
  <c r="J40" i="40"/>
  <c r="B41" i="40"/>
  <c r="C41" i="40"/>
  <c r="D41" i="40"/>
  <c r="E41" i="40"/>
  <c r="F41" i="40"/>
  <c r="G41" i="40"/>
  <c r="H41" i="40"/>
  <c r="I41" i="40"/>
  <c r="J41" i="40"/>
  <c r="B42" i="40"/>
  <c r="C42" i="40"/>
  <c r="D42" i="40"/>
  <c r="E42" i="40"/>
  <c r="F42" i="40"/>
  <c r="G42" i="40"/>
  <c r="H42" i="40"/>
  <c r="I42" i="40"/>
  <c r="J42" i="40"/>
  <c r="B43" i="40"/>
  <c r="C43" i="40"/>
  <c r="D43" i="40"/>
  <c r="E43" i="40"/>
  <c r="F43" i="40"/>
  <c r="G43" i="40"/>
  <c r="H43" i="40"/>
  <c r="I43" i="40"/>
  <c r="J43" i="40"/>
  <c r="B44" i="40"/>
  <c r="C44" i="40"/>
  <c r="D44" i="40"/>
  <c r="E44" i="40"/>
  <c r="F44" i="40"/>
  <c r="G44" i="40"/>
  <c r="H44" i="40"/>
  <c r="I44" i="40"/>
  <c r="J44" i="40"/>
  <c r="B45" i="40"/>
  <c r="C45" i="40"/>
  <c r="D45" i="40"/>
  <c r="E45" i="40"/>
  <c r="F45" i="40"/>
  <c r="G45" i="40"/>
  <c r="H45" i="40"/>
  <c r="I45" i="40"/>
  <c r="J45" i="40"/>
  <c r="B46" i="40"/>
  <c r="C46" i="40"/>
  <c r="D46" i="40"/>
  <c r="E46" i="40"/>
  <c r="F46" i="40"/>
  <c r="G46" i="40"/>
  <c r="H46" i="40"/>
  <c r="I46" i="40"/>
  <c r="J46" i="40"/>
  <c r="B47" i="40"/>
  <c r="C47" i="40"/>
  <c r="D47" i="40"/>
  <c r="E47" i="40"/>
  <c r="F47" i="40"/>
  <c r="G47" i="40"/>
  <c r="H47" i="40"/>
  <c r="I47" i="40"/>
  <c r="J47" i="40"/>
  <c r="B48" i="40"/>
  <c r="C48" i="40"/>
  <c r="D48" i="40"/>
  <c r="E48" i="40"/>
  <c r="F48" i="40"/>
  <c r="G48" i="40"/>
  <c r="H48" i="40"/>
  <c r="I48" i="40"/>
  <c r="J48" i="40"/>
  <c r="B49" i="40"/>
  <c r="C49" i="40"/>
  <c r="D49" i="40"/>
  <c r="E49" i="40"/>
  <c r="F49" i="40"/>
  <c r="G49" i="40"/>
  <c r="H49" i="40"/>
  <c r="I49" i="40"/>
  <c r="J49" i="40"/>
  <c r="B50" i="40"/>
  <c r="C50" i="40"/>
  <c r="D50" i="40"/>
  <c r="E50" i="40"/>
  <c r="F50" i="40"/>
  <c r="G50" i="40"/>
  <c r="H50" i="40"/>
  <c r="I50" i="40"/>
  <c r="J50" i="40"/>
  <c r="B51" i="40"/>
  <c r="C51" i="40"/>
  <c r="D51" i="40"/>
  <c r="E51" i="40"/>
  <c r="F51" i="40"/>
  <c r="G51" i="40"/>
  <c r="H51" i="40"/>
  <c r="I51" i="40"/>
  <c r="J51" i="40"/>
  <c r="B52" i="40"/>
  <c r="C52" i="40"/>
  <c r="D52" i="40"/>
  <c r="E52" i="40"/>
  <c r="F52" i="40"/>
  <c r="G52" i="40"/>
  <c r="H52" i="40"/>
  <c r="I52" i="40"/>
  <c r="J52" i="40"/>
  <c r="B53" i="40"/>
  <c r="C53" i="40"/>
  <c r="D53" i="40"/>
  <c r="E53" i="40"/>
  <c r="F53" i="40"/>
  <c r="G53" i="40"/>
  <c r="H53" i="40"/>
  <c r="I53" i="40"/>
  <c r="J53" i="40"/>
  <c r="B54" i="40"/>
  <c r="C54" i="40"/>
  <c r="D54" i="40"/>
  <c r="E54" i="40"/>
  <c r="F54" i="40"/>
  <c r="G54" i="40"/>
  <c r="H54" i="40"/>
  <c r="I54" i="40"/>
  <c r="J54" i="40"/>
  <c r="B55" i="40"/>
  <c r="C55" i="40"/>
  <c r="D55" i="40"/>
  <c r="E55" i="40"/>
  <c r="F55" i="40"/>
  <c r="G55" i="40"/>
  <c r="H55" i="40"/>
  <c r="I55" i="40"/>
  <c r="J55" i="40"/>
  <c r="B56" i="40"/>
  <c r="C56" i="40"/>
  <c r="D56" i="40"/>
  <c r="E56" i="40"/>
  <c r="F56" i="40"/>
  <c r="G56" i="40"/>
  <c r="H56" i="40"/>
  <c r="I56" i="40"/>
  <c r="J56" i="40"/>
  <c r="B57" i="40"/>
  <c r="C57" i="40"/>
  <c r="D57" i="40"/>
  <c r="E57" i="40"/>
  <c r="F57" i="40"/>
  <c r="G57" i="40"/>
  <c r="H57" i="40"/>
  <c r="I57" i="40"/>
  <c r="J57" i="40"/>
  <c r="B58" i="40"/>
  <c r="C58" i="40"/>
  <c r="D58" i="40"/>
  <c r="E58" i="40"/>
  <c r="F58" i="40"/>
  <c r="G58" i="40"/>
  <c r="H58" i="40"/>
  <c r="I58" i="40"/>
  <c r="J58" i="40"/>
  <c r="B59" i="40"/>
  <c r="C59" i="40"/>
  <c r="D59" i="40"/>
  <c r="E59" i="40"/>
  <c r="F59" i="40"/>
  <c r="G59" i="40"/>
  <c r="H59" i="40"/>
  <c r="I59" i="40"/>
  <c r="J59" i="40"/>
  <c r="B60" i="40"/>
  <c r="C60" i="40"/>
  <c r="D60" i="40"/>
  <c r="E60" i="40"/>
  <c r="F60" i="40"/>
  <c r="G60" i="40"/>
  <c r="H60" i="40"/>
  <c r="I60" i="40"/>
  <c r="J60" i="40"/>
  <c r="B61" i="40"/>
  <c r="C61" i="40"/>
  <c r="D61" i="40"/>
  <c r="E61" i="40"/>
  <c r="F61" i="40"/>
  <c r="G61" i="40"/>
  <c r="H61" i="40"/>
  <c r="I61" i="40"/>
  <c r="J61" i="40"/>
  <c r="B62" i="40"/>
  <c r="C62" i="40"/>
  <c r="D62" i="40"/>
  <c r="E62" i="40"/>
  <c r="F62" i="40"/>
  <c r="G62" i="40"/>
  <c r="H62" i="40"/>
  <c r="I62" i="40"/>
  <c r="J62" i="40"/>
  <c r="B63" i="40"/>
  <c r="C63" i="40"/>
  <c r="D63" i="40"/>
  <c r="E63" i="40"/>
  <c r="F63" i="40"/>
  <c r="G63" i="40"/>
  <c r="H63" i="40"/>
  <c r="I63" i="40"/>
  <c r="J63" i="40"/>
  <c r="B64" i="40"/>
  <c r="C64" i="40"/>
  <c r="D64" i="40"/>
  <c r="E64" i="40"/>
  <c r="F64" i="40"/>
  <c r="G64" i="40"/>
  <c r="H64" i="40"/>
  <c r="I64" i="40"/>
  <c r="J64" i="40"/>
  <c r="B65" i="40"/>
  <c r="C65" i="40"/>
  <c r="D65" i="40"/>
  <c r="E65" i="40"/>
  <c r="F65" i="40"/>
  <c r="G65" i="40"/>
  <c r="H65" i="40"/>
  <c r="I65" i="40"/>
  <c r="J65" i="40"/>
  <c r="B66" i="40"/>
  <c r="C66" i="40"/>
  <c r="D66" i="40"/>
  <c r="E66" i="40"/>
  <c r="F66" i="40"/>
  <c r="G66" i="40"/>
  <c r="H66" i="40"/>
  <c r="I66" i="40"/>
  <c r="J66" i="40"/>
  <c r="B67" i="40"/>
  <c r="C67" i="40"/>
  <c r="D67" i="40"/>
  <c r="E67" i="40"/>
  <c r="F67" i="40"/>
  <c r="G67" i="40"/>
  <c r="H67" i="40"/>
  <c r="I67" i="40"/>
  <c r="J67" i="40"/>
  <c r="B68" i="40"/>
  <c r="C68" i="40"/>
  <c r="D68" i="40"/>
  <c r="E68" i="40"/>
  <c r="F68" i="40"/>
  <c r="G68" i="40"/>
  <c r="H68" i="40"/>
  <c r="I68" i="40"/>
  <c r="J68" i="40"/>
  <c r="B69" i="40"/>
  <c r="F69" i="40"/>
  <c r="G69" i="40"/>
  <c r="H69" i="40"/>
  <c r="I69" i="40"/>
  <c r="J69" i="40"/>
  <c r="B70" i="40"/>
  <c r="C70" i="40"/>
  <c r="D70" i="40"/>
  <c r="E70" i="40"/>
  <c r="F70" i="40"/>
  <c r="G70" i="40"/>
  <c r="H70" i="40"/>
  <c r="I70" i="40"/>
  <c r="J70" i="40"/>
  <c r="B71" i="40"/>
  <c r="C71" i="40"/>
  <c r="D71" i="40"/>
  <c r="E71" i="40"/>
  <c r="F71" i="40"/>
  <c r="G71" i="40"/>
  <c r="H71" i="40"/>
  <c r="I71" i="40"/>
  <c r="J71" i="40"/>
  <c r="B72" i="40"/>
  <c r="C72" i="40"/>
  <c r="D72" i="40"/>
  <c r="E72" i="40"/>
  <c r="F72" i="40"/>
  <c r="G72" i="40"/>
  <c r="H72" i="40"/>
  <c r="I72" i="40"/>
  <c r="J72" i="40"/>
  <c r="B73" i="40"/>
  <c r="C73" i="40"/>
  <c r="D73" i="40"/>
  <c r="E73" i="40"/>
  <c r="F73" i="40"/>
  <c r="G73" i="40"/>
  <c r="H73" i="40"/>
  <c r="I73" i="40"/>
  <c r="J73" i="40"/>
  <c r="B74" i="40"/>
  <c r="C74" i="40"/>
  <c r="D74" i="40"/>
  <c r="E74" i="40"/>
  <c r="F74" i="40"/>
  <c r="G74" i="40"/>
  <c r="H74" i="40"/>
  <c r="I74" i="40"/>
  <c r="J74" i="40"/>
  <c r="B75" i="40"/>
  <c r="C75" i="40"/>
  <c r="D75" i="40"/>
  <c r="E75" i="40"/>
  <c r="F75" i="40"/>
  <c r="G75" i="40"/>
  <c r="H75" i="40"/>
  <c r="I75" i="40"/>
  <c r="J75" i="40"/>
  <c r="B76" i="40"/>
  <c r="C76" i="40"/>
  <c r="D76" i="40"/>
  <c r="E76" i="40"/>
  <c r="F76" i="40"/>
  <c r="G76" i="40"/>
  <c r="H76" i="40"/>
  <c r="I76" i="40"/>
  <c r="J76" i="40"/>
  <c r="B77" i="40"/>
  <c r="C77" i="40"/>
  <c r="D77" i="40"/>
  <c r="E77" i="40"/>
  <c r="F77" i="40"/>
  <c r="G77" i="40"/>
  <c r="H77" i="40"/>
  <c r="I77" i="40"/>
  <c r="J77" i="40"/>
  <c r="B78" i="40"/>
  <c r="C78" i="40"/>
  <c r="D78" i="40"/>
  <c r="E78" i="40"/>
  <c r="F78" i="40"/>
  <c r="G78" i="40"/>
  <c r="H78" i="40"/>
  <c r="I78" i="40"/>
  <c r="J78" i="40"/>
  <c r="B79" i="40"/>
  <c r="C79" i="40"/>
  <c r="D79" i="40"/>
  <c r="E79" i="40"/>
  <c r="F79" i="40"/>
  <c r="G79" i="40"/>
  <c r="H79" i="40"/>
  <c r="I79" i="40"/>
  <c r="J79" i="40"/>
  <c r="B80" i="40"/>
  <c r="C80" i="40"/>
  <c r="D80" i="40"/>
  <c r="E80" i="40"/>
  <c r="F80" i="40"/>
  <c r="G80" i="40"/>
  <c r="H80" i="40"/>
  <c r="I80" i="40"/>
  <c r="J80" i="40"/>
  <c r="B81" i="40"/>
  <c r="C81" i="40"/>
  <c r="D81" i="40"/>
  <c r="E81" i="40"/>
  <c r="F81" i="40"/>
  <c r="G81" i="40"/>
  <c r="H81" i="40"/>
  <c r="I81" i="40"/>
  <c r="J81" i="40"/>
  <c r="B82" i="40"/>
  <c r="C82" i="40"/>
  <c r="D82" i="40"/>
  <c r="E82" i="40"/>
  <c r="F82" i="40"/>
  <c r="G82" i="40"/>
  <c r="H82" i="40"/>
  <c r="I82" i="40"/>
  <c r="J82" i="40"/>
  <c r="B83" i="40"/>
  <c r="C83" i="40"/>
  <c r="D83" i="40"/>
  <c r="E83" i="40"/>
  <c r="F83" i="40"/>
  <c r="G83" i="40"/>
  <c r="H83" i="40"/>
  <c r="I83" i="40"/>
  <c r="J83" i="40"/>
  <c r="B84" i="40"/>
  <c r="C84" i="40"/>
  <c r="D84" i="40"/>
  <c r="E84" i="40"/>
  <c r="F84" i="40"/>
  <c r="G84" i="40"/>
  <c r="H84" i="40"/>
  <c r="I84" i="40"/>
  <c r="J84" i="40"/>
  <c r="B85" i="40"/>
  <c r="C85" i="40"/>
  <c r="D85" i="40"/>
  <c r="E85" i="40"/>
  <c r="F85" i="40"/>
  <c r="G85" i="40"/>
  <c r="H85" i="40"/>
  <c r="I85" i="40"/>
  <c r="J85" i="40"/>
  <c r="AI5" i="40"/>
  <c r="A1" i="39"/>
  <c r="P2" i="39"/>
  <c r="J3" i="39"/>
  <c r="J4" i="39"/>
  <c r="M4" i="39"/>
  <c r="AI4" i="39"/>
  <c r="J5" i="39"/>
  <c r="J6" i="39"/>
  <c r="B10" i="39"/>
  <c r="C10" i="39"/>
  <c r="D10" i="39"/>
  <c r="E10" i="39"/>
  <c r="F10" i="39"/>
  <c r="G10" i="39"/>
  <c r="H10" i="39"/>
  <c r="I10" i="39"/>
  <c r="J10" i="39"/>
  <c r="U10" i="39"/>
  <c r="V10" i="39"/>
  <c r="B11" i="39"/>
  <c r="C11" i="39"/>
  <c r="D11" i="39"/>
  <c r="E11" i="39"/>
  <c r="F11" i="39"/>
  <c r="G11" i="39"/>
  <c r="H11" i="39"/>
  <c r="I11" i="39"/>
  <c r="J11" i="39"/>
  <c r="K11" i="39"/>
  <c r="L11" i="39"/>
  <c r="M11" i="39"/>
  <c r="N11" i="39"/>
  <c r="O11" i="39"/>
  <c r="P11" i="39"/>
  <c r="Q11" i="39"/>
  <c r="R11" i="39"/>
  <c r="S11" i="39"/>
  <c r="T11" i="39"/>
  <c r="U11" i="39"/>
  <c r="V11" i="39"/>
  <c r="W11" i="39" s="1"/>
  <c r="X11" i="39"/>
  <c r="Y11" i="39"/>
  <c r="Z11" i="39"/>
  <c r="AA11" i="39"/>
  <c r="AB11" i="39"/>
  <c r="AC11" i="39"/>
  <c r="AD11" i="39"/>
  <c r="AE11" i="39"/>
  <c r="B12" i="39"/>
  <c r="C12" i="39"/>
  <c r="D12" i="39"/>
  <c r="E12" i="39"/>
  <c r="F12" i="39"/>
  <c r="G12" i="39"/>
  <c r="H12" i="39"/>
  <c r="I12" i="39"/>
  <c r="J12" i="39"/>
  <c r="K12" i="39"/>
  <c r="L12" i="39"/>
  <c r="M12" i="39"/>
  <c r="N12" i="39"/>
  <c r="O12" i="39"/>
  <c r="P12" i="39"/>
  <c r="Q12" i="39"/>
  <c r="R12" i="39"/>
  <c r="S12" i="39"/>
  <c r="T12" i="39"/>
  <c r="U12" i="39"/>
  <c r="V12" i="39"/>
  <c r="W12" i="39"/>
  <c r="X12" i="39"/>
  <c r="Y12" i="39"/>
  <c r="Z12" i="39"/>
  <c r="AA12" i="39"/>
  <c r="AB12" i="39"/>
  <c r="AC12" i="39"/>
  <c r="AD12" i="39"/>
  <c r="AE12" i="39"/>
  <c r="B13" i="39"/>
  <c r="C13" i="39"/>
  <c r="D13" i="39"/>
  <c r="E13" i="39"/>
  <c r="F13" i="39"/>
  <c r="G13" i="39"/>
  <c r="H13" i="39"/>
  <c r="I13" i="39"/>
  <c r="J13" i="39"/>
  <c r="K13" i="39"/>
  <c r="L13" i="39"/>
  <c r="M13" i="39"/>
  <c r="N13" i="39"/>
  <c r="O13" i="39"/>
  <c r="P13" i="39"/>
  <c r="Q13" i="39"/>
  <c r="R13" i="39"/>
  <c r="S13" i="39"/>
  <c r="T13" i="39"/>
  <c r="U13" i="39"/>
  <c r="V13" i="39"/>
  <c r="X13" i="39"/>
  <c r="Y13" i="39"/>
  <c r="Z13" i="39"/>
  <c r="AA13" i="39"/>
  <c r="AB13" i="39"/>
  <c r="AC13" i="39"/>
  <c r="AD13" i="39"/>
  <c r="AE13" i="39"/>
  <c r="B14" i="39"/>
  <c r="C14" i="39"/>
  <c r="D14" i="39"/>
  <c r="E14" i="39"/>
  <c r="F14" i="39"/>
  <c r="G14" i="39"/>
  <c r="H14" i="39"/>
  <c r="I14" i="39"/>
  <c r="J14" i="39"/>
  <c r="K14" i="39"/>
  <c r="L14" i="39"/>
  <c r="M14" i="39"/>
  <c r="N14" i="39"/>
  <c r="O14" i="39"/>
  <c r="P14" i="39"/>
  <c r="Q14" i="39"/>
  <c r="R14" i="39"/>
  <c r="S14" i="39"/>
  <c r="T14" i="39"/>
  <c r="U14" i="39"/>
  <c r="V14" i="39"/>
  <c r="Z14" i="39"/>
  <c r="AA14" i="39"/>
  <c r="AB14" i="39"/>
  <c r="AC14" i="39"/>
  <c r="AD14" i="39"/>
  <c r="AE14" i="39"/>
  <c r="B15" i="39"/>
  <c r="C15" i="39"/>
  <c r="D15" i="39"/>
  <c r="E15" i="39"/>
  <c r="F15" i="39"/>
  <c r="G15" i="39"/>
  <c r="H15" i="39"/>
  <c r="I15" i="39"/>
  <c r="J15" i="39"/>
  <c r="K15" i="39"/>
  <c r="L15" i="39"/>
  <c r="M15" i="39"/>
  <c r="N15" i="39"/>
  <c r="O15" i="39"/>
  <c r="P15" i="39"/>
  <c r="Q15" i="39"/>
  <c r="R15" i="39"/>
  <c r="S15" i="39"/>
  <c r="T15" i="39"/>
  <c r="U15" i="39"/>
  <c r="V15" i="39"/>
  <c r="W15" i="39" s="1"/>
  <c r="Z15" i="39"/>
  <c r="AA15" i="39"/>
  <c r="AB15" i="39"/>
  <c r="AC15" i="39"/>
  <c r="AD15" i="39"/>
  <c r="AE15" i="39"/>
  <c r="B16" i="39"/>
  <c r="C16" i="39"/>
  <c r="D16" i="39"/>
  <c r="E16" i="39"/>
  <c r="F16" i="39"/>
  <c r="G16" i="39"/>
  <c r="H16" i="39"/>
  <c r="I16" i="39"/>
  <c r="J16" i="39"/>
  <c r="K16" i="39"/>
  <c r="L16" i="39"/>
  <c r="M16" i="39"/>
  <c r="N16" i="39"/>
  <c r="O16" i="39"/>
  <c r="P16" i="39"/>
  <c r="Q16" i="39"/>
  <c r="R16" i="39"/>
  <c r="S16" i="39"/>
  <c r="T16" i="39"/>
  <c r="U16" i="39"/>
  <c r="V16" i="39"/>
  <c r="W16" i="39" s="1"/>
  <c r="X16" i="39"/>
  <c r="Y16" i="39"/>
  <c r="Z16" i="39"/>
  <c r="AA16" i="39"/>
  <c r="AB16" i="39"/>
  <c r="AC16" i="39"/>
  <c r="AD16" i="39"/>
  <c r="AE16" i="39"/>
  <c r="B17" i="39"/>
  <c r="C17" i="39"/>
  <c r="D17" i="39"/>
  <c r="E17" i="39"/>
  <c r="F17" i="39"/>
  <c r="G17" i="39"/>
  <c r="H17" i="39"/>
  <c r="I17" i="39"/>
  <c r="J17" i="39"/>
  <c r="K17" i="39"/>
  <c r="L17" i="39"/>
  <c r="M17" i="39"/>
  <c r="N17" i="39"/>
  <c r="O17" i="39"/>
  <c r="P17" i="39"/>
  <c r="Q17" i="39"/>
  <c r="R17" i="39"/>
  <c r="S17" i="39"/>
  <c r="T17" i="39"/>
  <c r="U17" i="39"/>
  <c r="V17" i="39"/>
  <c r="W17" i="39"/>
  <c r="X17" i="39"/>
  <c r="Y17" i="39"/>
  <c r="Z17" i="39"/>
  <c r="AA17" i="39"/>
  <c r="AB17" i="39"/>
  <c r="AC17" i="39"/>
  <c r="AD17" i="39"/>
  <c r="AE17" i="39"/>
  <c r="B18" i="39"/>
  <c r="C18" i="39"/>
  <c r="D18" i="39"/>
  <c r="E18" i="39"/>
  <c r="F18" i="39"/>
  <c r="G18" i="39"/>
  <c r="H18" i="39"/>
  <c r="I18" i="39"/>
  <c r="J18" i="39"/>
  <c r="K18" i="39"/>
  <c r="L18" i="39"/>
  <c r="M18" i="39"/>
  <c r="N18" i="39"/>
  <c r="O18" i="39"/>
  <c r="P18" i="39"/>
  <c r="Q18" i="39"/>
  <c r="R18" i="39"/>
  <c r="S18" i="39"/>
  <c r="T18" i="39"/>
  <c r="U18" i="39"/>
  <c r="V18" i="39"/>
  <c r="W18" i="39" s="1"/>
  <c r="X18" i="39"/>
  <c r="Y18" i="39"/>
  <c r="Z18" i="39"/>
  <c r="AA18" i="39"/>
  <c r="AB18" i="39"/>
  <c r="AC18" i="39"/>
  <c r="AD18" i="39"/>
  <c r="AE18" i="39"/>
  <c r="B19" i="39"/>
  <c r="C19" i="39"/>
  <c r="D19" i="39"/>
  <c r="E19" i="39"/>
  <c r="F19" i="39"/>
  <c r="G19" i="39"/>
  <c r="H19" i="39"/>
  <c r="I19" i="39"/>
  <c r="J19" i="39"/>
  <c r="K19" i="39"/>
  <c r="L19" i="39"/>
  <c r="M19" i="39"/>
  <c r="N19" i="39"/>
  <c r="O19" i="39"/>
  <c r="P19" i="39"/>
  <c r="Q19" i="39"/>
  <c r="R19" i="39"/>
  <c r="S19" i="39"/>
  <c r="T19" i="39"/>
  <c r="U19" i="39"/>
  <c r="V19" i="39"/>
  <c r="Z19" i="39"/>
  <c r="AA19" i="39"/>
  <c r="AB19" i="39"/>
  <c r="AC19" i="39"/>
  <c r="AD19" i="39"/>
  <c r="AE19" i="39"/>
  <c r="B20" i="39"/>
  <c r="C20" i="39"/>
  <c r="D20" i="39"/>
  <c r="E20" i="39"/>
  <c r="F20" i="39"/>
  <c r="G20" i="39"/>
  <c r="H20" i="39"/>
  <c r="I20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X20" i="39"/>
  <c r="Y20" i="39"/>
  <c r="Z20" i="39"/>
  <c r="AA20" i="39"/>
  <c r="AB20" i="39"/>
  <c r="AC20" i="39"/>
  <c r="AD20" i="39"/>
  <c r="AE20" i="39"/>
  <c r="B21" i="39"/>
  <c r="C21" i="39"/>
  <c r="D21" i="39"/>
  <c r="E21" i="39"/>
  <c r="F21" i="39"/>
  <c r="G21" i="39"/>
  <c r="H21" i="39"/>
  <c r="I21" i="39"/>
  <c r="J21" i="39"/>
  <c r="K21" i="39"/>
  <c r="L21" i="39"/>
  <c r="M21" i="39"/>
  <c r="N21" i="39"/>
  <c r="O21" i="39"/>
  <c r="P21" i="39"/>
  <c r="Q21" i="39"/>
  <c r="R21" i="39"/>
  <c r="S21" i="39"/>
  <c r="T21" i="39"/>
  <c r="U21" i="39"/>
  <c r="V21" i="39"/>
  <c r="W21" i="39" s="1"/>
  <c r="X21" i="39"/>
  <c r="Y21" i="39"/>
  <c r="Z21" i="39"/>
  <c r="AA21" i="39"/>
  <c r="AB21" i="39"/>
  <c r="AC21" i="39"/>
  <c r="AD21" i="39"/>
  <c r="AE21" i="39"/>
  <c r="B22" i="39"/>
  <c r="C22" i="39"/>
  <c r="D22" i="39"/>
  <c r="E22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 s="1"/>
  <c r="X22" i="39"/>
  <c r="Y22" i="39"/>
  <c r="Z22" i="39"/>
  <c r="AA22" i="39"/>
  <c r="AB22" i="39"/>
  <c r="AC22" i="39"/>
  <c r="AD22" i="39"/>
  <c r="AE22" i="39"/>
  <c r="B23" i="39"/>
  <c r="C23" i="39"/>
  <c r="D23" i="39"/>
  <c r="E23" i="39"/>
  <c r="F23" i="39"/>
  <c r="G23" i="39"/>
  <c r="H23" i="39"/>
  <c r="I23" i="39"/>
  <c r="J23" i="39"/>
  <c r="B24" i="39"/>
  <c r="C24" i="39"/>
  <c r="D24" i="39"/>
  <c r="E24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B25" i="39"/>
  <c r="C25" i="39"/>
  <c r="D25" i="39"/>
  <c r="E25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X25" i="39"/>
  <c r="Y25" i="39"/>
  <c r="Z25" i="39"/>
  <c r="AA25" i="39"/>
  <c r="AB25" i="39"/>
  <c r="AC25" i="39"/>
  <c r="AD25" i="39"/>
  <c r="AE25" i="39"/>
  <c r="B26" i="39"/>
  <c r="C26" i="39"/>
  <c r="D26" i="39"/>
  <c r="E26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 s="1"/>
  <c r="X26" i="39"/>
  <c r="Y26" i="39"/>
  <c r="Z26" i="39"/>
  <c r="AA26" i="39"/>
  <c r="AB26" i="39"/>
  <c r="AC26" i="39"/>
  <c r="AD26" i="39"/>
  <c r="AE26" i="39"/>
  <c r="B27" i="39"/>
  <c r="C27" i="39"/>
  <c r="D27" i="39"/>
  <c r="E27" i="39"/>
  <c r="F27" i="39"/>
  <c r="G27" i="39"/>
  <c r="H27" i="39"/>
  <c r="I27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 s="1"/>
  <c r="X27" i="39"/>
  <c r="Y27" i="39"/>
  <c r="Z27" i="39"/>
  <c r="AA27" i="39"/>
  <c r="AB27" i="39"/>
  <c r="AC27" i="39"/>
  <c r="AD27" i="39"/>
  <c r="AE27" i="39"/>
  <c r="B28" i="39"/>
  <c r="C28" i="39"/>
  <c r="D28" i="39"/>
  <c r="E28" i="39"/>
  <c r="F28" i="39"/>
  <c r="G28" i="39"/>
  <c r="H28" i="39"/>
  <c r="I28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AE28" i="39" s="1"/>
  <c r="B29" i="39"/>
  <c r="C29" i="39"/>
  <c r="D29" i="39"/>
  <c r="E29" i="39"/>
  <c r="F29" i="39"/>
  <c r="G29" i="39"/>
  <c r="H29" i="39"/>
  <c r="I29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AD29" i="39"/>
  <c r="AE29" i="39"/>
  <c r="B30" i="39"/>
  <c r="C30" i="39"/>
  <c r="D30" i="39"/>
  <c r="E30" i="39"/>
  <c r="F30" i="39"/>
  <c r="G30" i="39"/>
  <c r="H30" i="39"/>
  <c r="I30" i="39"/>
  <c r="J30" i="39"/>
  <c r="K30" i="39"/>
  <c r="L30" i="39"/>
  <c r="M30" i="39"/>
  <c r="N30" i="39"/>
  <c r="O30" i="39"/>
  <c r="P30" i="39"/>
  <c r="Q30" i="39"/>
  <c r="R30" i="39"/>
  <c r="S30" i="39"/>
  <c r="T30" i="39"/>
  <c r="U30" i="39"/>
  <c r="V30" i="39"/>
  <c r="Z30" i="39"/>
  <c r="AA30" i="39"/>
  <c r="AB30" i="39"/>
  <c r="AC30" i="39"/>
  <c r="AD30" i="39"/>
  <c r="AE30" i="39"/>
  <c r="B31" i="39"/>
  <c r="C31" i="39"/>
  <c r="D31" i="39"/>
  <c r="E31" i="39"/>
  <c r="F31" i="39"/>
  <c r="G31" i="39"/>
  <c r="H31" i="39"/>
  <c r="I31" i="39"/>
  <c r="J31" i="39"/>
  <c r="K31" i="39"/>
  <c r="L31" i="39"/>
  <c r="M31" i="39"/>
  <c r="N31" i="39"/>
  <c r="O31" i="39"/>
  <c r="P31" i="39"/>
  <c r="Q31" i="39"/>
  <c r="R31" i="39"/>
  <c r="S31" i="39"/>
  <c r="T31" i="39"/>
  <c r="U31" i="39"/>
  <c r="V31" i="39"/>
  <c r="W31" i="39" s="1"/>
  <c r="X31" i="39"/>
  <c r="Y31" i="39"/>
  <c r="Z31" i="39"/>
  <c r="AA31" i="39"/>
  <c r="AB31" i="39"/>
  <c r="AC31" i="39"/>
  <c r="AD31" i="39"/>
  <c r="AE31" i="39"/>
  <c r="B32" i="39"/>
  <c r="C32" i="39"/>
  <c r="D32" i="39"/>
  <c r="E32" i="39"/>
  <c r="F32" i="39"/>
  <c r="G32" i="39"/>
  <c r="H32" i="39"/>
  <c r="I32" i="39"/>
  <c r="J32" i="39"/>
  <c r="K32" i="39"/>
  <c r="L32" i="39"/>
  <c r="M32" i="39"/>
  <c r="N32" i="39"/>
  <c r="O32" i="39"/>
  <c r="P32" i="39"/>
  <c r="Q32" i="39"/>
  <c r="R32" i="39"/>
  <c r="S32" i="39"/>
  <c r="T32" i="39"/>
  <c r="U32" i="39"/>
  <c r="V32" i="39"/>
  <c r="Z32" i="39"/>
  <c r="AA32" i="39"/>
  <c r="AB32" i="39"/>
  <c r="AC32" i="39"/>
  <c r="AD32" i="39"/>
  <c r="AE32" i="39"/>
  <c r="B33" i="39"/>
  <c r="C33" i="39"/>
  <c r="D33" i="39"/>
  <c r="E33" i="39"/>
  <c r="F33" i="39"/>
  <c r="G33" i="39"/>
  <c r="H33" i="39"/>
  <c r="I33" i="39"/>
  <c r="J33" i="39"/>
  <c r="K33" i="39"/>
  <c r="L33" i="39"/>
  <c r="M33" i="39"/>
  <c r="N33" i="39"/>
  <c r="O33" i="39"/>
  <c r="P33" i="39"/>
  <c r="Q33" i="39"/>
  <c r="R33" i="39"/>
  <c r="S33" i="39"/>
  <c r="T33" i="39"/>
  <c r="U33" i="39"/>
  <c r="V33" i="39"/>
  <c r="AD33" i="39"/>
  <c r="AE33" i="39"/>
  <c r="B34" i="39"/>
  <c r="C34" i="39"/>
  <c r="D34" i="39"/>
  <c r="E34" i="39"/>
  <c r="F34" i="39"/>
  <c r="G34" i="39"/>
  <c r="H34" i="39"/>
  <c r="I34" i="39"/>
  <c r="J34" i="39"/>
  <c r="K34" i="39"/>
  <c r="L34" i="39"/>
  <c r="M34" i="39"/>
  <c r="N34" i="39"/>
  <c r="O34" i="39"/>
  <c r="P34" i="39"/>
  <c r="Q34" i="39"/>
  <c r="R34" i="39"/>
  <c r="S34" i="39"/>
  <c r="T34" i="39"/>
  <c r="U34" i="39"/>
  <c r="V34" i="39"/>
  <c r="X34" i="39"/>
  <c r="Y34" i="39"/>
  <c r="Z34" i="39"/>
  <c r="AA34" i="39"/>
  <c r="AB34" i="39"/>
  <c r="AC34" i="39"/>
  <c r="AD34" i="39"/>
  <c r="AE34" i="39"/>
  <c r="B35" i="39"/>
  <c r="C35" i="39"/>
  <c r="D35" i="39"/>
  <c r="E35" i="39"/>
  <c r="F35" i="39"/>
  <c r="G35" i="39"/>
  <c r="H35" i="39"/>
  <c r="I35" i="39"/>
  <c r="J35" i="39"/>
  <c r="K35" i="39"/>
  <c r="L35" i="39"/>
  <c r="M35" i="39"/>
  <c r="N35" i="39"/>
  <c r="O35" i="39"/>
  <c r="P35" i="39"/>
  <c r="Q35" i="39"/>
  <c r="R35" i="39"/>
  <c r="S35" i="39"/>
  <c r="T35" i="39"/>
  <c r="U35" i="39"/>
  <c r="V35" i="39"/>
  <c r="W35" i="39"/>
  <c r="X35" i="39"/>
  <c r="Y35" i="39"/>
  <c r="Z35" i="39"/>
  <c r="AA35" i="39"/>
  <c r="AB35" i="39"/>
  <c r="AC35" i="39"/>
  <c r="AD35" i="39"/>
  <c r="AE35" i="39"/>
  <c r="B36" i="39"/>
  <c r="E36" i="39"/>
  <c r="F36" i="39"/>
  <c r="G36" i="39"/>
  <c r="H36" i="39"/>
  <c r="I36" i="39"/>
  <c r="J36" i="39"/>
  <c r="K36" i="39"/>
  <c r="L36" i="39"/>
  <c r="M36" i="39"/>
  <c r="N36" i="39"/>
  <c r="O36" i="39"/>
  <c r="P36" i="39"/>
  <c r="Q36" i="39"/>
  <c r="R36" i="39"/>
  <c r="S36" i="39"/>
  <c r="T36" i="39"/>
  <c r="U36" i="39"/>
  <c r="V36" i="39"/>
  <c r="AB36" i="39"/>
  <c r="AC36" i="39"/>
  <c r="B37" i="39"/>
  <c r="C37" i="39"/>
  <c r="D37" i="39"/>
  <c r="E37" i="39"/>
  <c r="F37" i="39"/>
  <c r="G37" i="39"/>
  <c r="H37" i="39"/>
  <c r="I37" i="39"/>
  <c r="J37" i="39"/>
  <c r="K37" i="39"/>
  <c r="L37" i="39"/>
  <c r="M37" i="39"/>
  <c r="N37" i="39"/>
  <c r="O37" i="39"/>
  <c r="P37" i="39"/>
  <c r="Q37" i="39"/>
  <c r="R37" i="39"/>
  <c r="S37" i="39"/>
  <c r="T37" i="39"/>
  <c r="U37" i="39"/>
  <c r="V37" i="39"/>
  <c r="W37" i="39" s="1"/>
  <c r="X37" i="39"/>
  <c r="Y37" i="39"/>
  <c r="Z37" i="39"/>
  <c r="AA37" i="39"/>
  <c r="AB37" i="39"/>
  <c r="AC37" i="39"/>
  <c r="AD37" i="39"/>
  <c r="AE37" i="39"/>
  <c r="B38" i="39"/>
  <c r="C38" i="39"/>
  <c r="D38" i="39"/>
  <c r="E38" i="39"/>
  <c r="F38" i="39"/>
  <c r="G38" i="39"/>
  <c r="H38" i="39"/>
  <c r="I38" i="39"/>
  <c r="J38" i="39"/>
  <c r="K38" i="39"/>
  <c r="L38" i="39"/>
  <c r="M38" i="39"/>
  <c r="N38" i="39"/>
  <c r="O38" i="39"/>
  <c r="P38" i="39"/>
  <c r="Q38" i="39"/>
  <c r="R38" i="39"/>
  <c r="S38" i="39"/>
  <c r="T38" i="39"/>
  <c r="U38" i="39"/>
  <c r="V38" i="39"/>
  <c r="W38" i="39" s="1"/>
  <c r="X38" i="39"/>
  <c r="Y38" i="39"/>
  <c r="Z38" i="39"/>
  <c r="AA38" i="39"/>
  <c r="AB38" i="39"/>
  <c r="AC38" i="39"/>
  <c r="AD38" i="39"/>
  <c r="AE38" i="39"/>
  <c r="B39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AC39" i="39"/>
  <c r="AD39" i="39"/>
  <c r="AE39" i="39"/>
  <c r="B40" i="39"/>
  <c r="C40" i="39"/>
  <c r="D40" i="39"/>
  <c r="E40" i="39"/>
  <c r="F40" i="39"/>
  <c r="G40" i="39"/>
  <c r="H40" i="39"/>
  <c r="I40" i="39"/>
  <c r="J40" i="39"/>
  <c r="K40" i="39"/>
  <c r="L40" i="39"/>
  <c r="M40" i="39"/>
  <c r="N40" i="39"/>
  <c r="O40" i="39"/>
  <c r="P40" i="39"/>
  <c r="Q40" i="39"/>
  <c r="R40" i="39"/>
  <c r="S40" i="39"/>
  <c r="T40" i="39"/>
  <c r="U40" i="39"/>
  <c r="V40" i="39"/>
  <c r="B41" i="39"/>
  <c r="C41" i="39"/>
  <c r="D41" i="39"/>
  <c r="E41" i="39"/>
  <c r="F41" i="39"/>
  <c r="G41" i="39"/>
  <c r="H41" i="39"/>
  <c r="I41" i="39"/>
  <c r="J41" i="39"/>
  <c r="K41" i="39"/>
  <c r="L41" i="39"/>
  <c r="M41" i="39"/>
  <c r="N41" i="39"/>
  <c r="O41" i="39"/>
  <c r="P41" i="39"/>
  <c r="Q41" i="39"/>
  <c r="R41" i="39"/>
  <c r="S41" i="39"/>
  <c r="T41" i="39"/>
  <c r="U41" i="39"/>
  <c r="V41" i="39"/>
  <c r="W41" i="39" s="1"/>
  <c r="X41" i="39"/>
  <c r="Y41" i="39"/>
  <c r="Z41" i="39"/>
  <c r="AA41" i="39"/>
  <c r="AB41" i="39"/>
  <c r="AC41" i="39"/>
  <c r="AD41" i="39"/>
  <c r="AE41" i="39"/>
  <c r="B42" i="39"/>
  <c r="C42" i="39" s="1"/>
  <c r="D42" i="39"/>
  <c r="E42" i="39"/>
  <c r="F42" i="39"/>
  <c r="G42" i="39"/>
  <c r="H42" i="39"/>
  <c r="I42" i="39"/>
  <c r="J42" i="39"/>
  <c r="K42" i="39"/>
  <c r="L42" i="39"/>
  <c r="M42" i="39"/>
  <c r="N42" i="39"/>
  <c r="O42" i="39"/>
  <c r="P42" i="39"/>
  <c r="Q42" i="39"/>
  <c r="R42" i="39"/>
  <c r="S42" i="39"/>
  <c r="T42" i="39"/>
  <c r="U42" i="39"/>
  <c r="V42" i="39"/>
  <c r="W42" i="39" s="1"/>
  <c r="X42" i="39"/>
  <c r="Y42" i="39"/>
  <c r="Z42" i="39"/>
  <c r="AA42" i="39"/>
  <c r="AB42" i="39"/>
  <c r="AC42" i="39"/>
  <c r="AD42" i="39"/>
  <c r="AE42" i="39"/>
  <c r="B43" i="39"/>
  <c r="C43" i="39"/>
  <c r="D43" i="39"/>
  <c r="E43" i="39"/>
  <c r="F43" i="39"/>
  <c r="G43" i="39"/>
  <c r="H43" i="39"/>
  <c r="I43" i="39"/>
  <c r="J43" i="39"/>
  <c r="K43" i="39"/>
  <c r="L43" i="39"/>
  <c r="M43" i="39"/>
  <c r="N43" i="39"/>
  <c r="O43" i="39"/>
  <c r="P43" i="39"/>
  <c r="Q43" i="39"/>
  <c r="R43" i="39"/>
  <c r="S43" i="39"/>
  <c r="T43" i="39"/>
  <c r="U43" i="39"/>
  <c r="V43" i="39"/>
  <c r="W43" i="39"/>
  <c r="X43" i="39"/>
  <c r="Y43" i="39"/>
  <c r="Z43" i="39"/>
  <c r="AA43" i="39"/>
  <c r="AB43" i="39"/>
  <c r="AC43" i="39"/>
  <c r="AD43" i="39"/>
  <c r="AE43" i="39"/>
  <c r="B44" i="39"/>
  <c r="C44" i="39"/>
  <c r="D44" i="39"/>
  <c r="E44" i="39"/>
  <c r="F44" i="39"/>
  <c r="G44" i="39"/>
  <c r="H44" i="39"/>
  <c r="I44" i="39"/>
  <c r="J44" i="39"/>
  <c r="B45" i="39"/>
  <c r="C45" i="39" s="1"/>
  <c r="D45" i="39"/>
  <c r="E45" i="39"/>
  <c r="F45" i="39"/>
  <c r="G45" i="39"/>
  <c r="H45" i="39"/>
  <c r="I45" i="39"/>
  <c r="J45" i="39"/>
  <c r="B46" i="39"/>
  <c r="C46" i="39"/>
  <c r="D46" i="39"/>
  <c r="E46" i="39"/>
  <c r="F46" i="39"/>
  <c r="G46" i="39"/>
  <c r="H46" i="39"/>
  <c r="I46" i="39"/>
  <c r="J46" i="39"/>
  <c r="B47" i="39"/>
  <c r="C47" i="39"/>
  <c r="D47" i="39"/>
  <c r="E47" i="39"/>
  <c r="F47" i="39"/>
  <c r="G47" i="39"/>
  <c r="H47" i="39"/>
  <c r="I47" i="39"/>
  <c r="J47" i="39"/>
  <c r="B48" i="39"/>
  <c r="C48" i="39"/>
  <c r="D48" i="39"/>
  <c r="E48" i="39"/>
  <c r="F48" i="39"/>
  <c r="G48" i="39"/>
  <c r="H48" i="39"/>
  <c r="I48" i="39"/>
  <c r="J48" i="39"/>
  <c r="B49" i="39"/>
  <c r="C49" i="39"/>
  <c r="D49" i="39"/>
  <c r="E49" i="39"/>
  <c r="F49" i="39"/>
  <c r="G49" i="39"/>
  <c r="H49" i="39"/>
  <c r="I49" i="39"/>
  <c r="J49" i="39"/>
  <c r="B50" i="39"/>
  <c r="C50" i="39"/>
  <c r="D50" i="39"/>
  <c r="E50" i="39"/>
  <c r="F50" i="39"/>
  <c r="G50" i="39"/>
  <c r="H50" i="39"/>
  <c r="I50" i="39"/>
  <c r="J50" i="39"/>
  <c r="B51" i="39"/>
  <c r="C51" i="39"/>
  <c r="D51" i="39"/>
  <c r="E51" i="39"/>
  <c r="F51" i="39"/>
  <c r="G51" i="39"/>
  <c r="H51" i="39"/>
  <c r="I51" i="39"/>
  <c r="J51" i="39"/>
  <c r="B52" i="39"/>
  <c r="C52" i="39"/>
  <c r="D52" i="39"/>
  <c r="E52" i="39"/>
  <c r="F52" i="39"/>
  <c r="G52" i="39"/>
  <c r="H52" i="39"/>
  <c r="I52" i="39"/>
  <c r="J52" i="39"/>
  <c r="B53" i="39"/>
  <c r="C53" i="39"/>
  <c r="D53" i="39"/>
  <c r="E53" i="39"/>
  <c r="F53" i="39"/>
  <c r="G53" i="39"/>
  <c r="H53" i="39"/>
  <c r="I53" i="39"/>
  <c r="J53" i="39"/>
  <c r="B54" i="39"/>
  <c r="C54" i="39"/>
  <c r="D54" i="39"/>
  <c r="E54" i="39"/>
  <c r="F54" i="39"/>
  <c r="G54" i="39"/>
  <c r="H54" i="39"/>
  <c r="I54" i="39"/>
  <c r="J54" i="39"/>
  <c r="B55" i="39"/>
  <c r="C55" i="39"/>
  <c r="D55" i="39"/>
  <c r="E55" i="39"/>
  <c r="F55" i="39"/>
  <c r="G55" i="39"/>
  <c r="H55" i="39"/>
  <c r="I55" i="39"/>
  <c r="J55" i="39"/>
  <c r="B56" i="39"/>
  <c r="C56" i="39"/>
  <c r="D56" i="39"/>
  <c r="E56" i="39"/>
  <c r="F56" i="39"/>
  <c r="G56" i="39"/>
  <c r="H56" i="39"/>
  <c r="I56" i="39"/>
  <c r="J56" i="39"/>
  <c r="B57" i="39"/>
  <c r="C57" i="39"/>
  <c r="D57" i="39"/>
  <c r="E57" i="39"/>
  <c r="F57" i="39"/>
  <c r="G57" i="39"/>
  <c r="H57" i="39"/>
  <c r="I57" i="39"/>
  <c r="J57" i="39"/>
  <c r="B58" i="39"/>
  <c r="C58" i="39"/>
  <c r="D58" i="39"/>
  <c r="E58" i="39"/>
  <c r="F58" i="39"/>
  <c r="G58" i="39"/>
  <c r="H58" i="39"/>
  <c r="I58" i="39"/>
  <c r="J58" i="39"/>
  <c r="B59" i="39"/>
  <c r="C59" i="39"/>
  <c r="D59" i="39"/>
  <c r="E59" i="39"/>
  <c r="F59" i="39"/>
  <c r="G59" i="39"/>
  <c r="H59" i="39"/>
  <c r="I59" i="39"/>
  <c r="J59" i="39"/>
  <c r="B60" i="39"/>
  <c r="C60" i="39"/>
  <c r="D60" i="39"/>
  <c r="E60" i="39"/>
  <c r="F60" i="39"/>
  <c r="G60" i="39"/>
  <c r="H60" i="39"/>
  <c r="I60" i="39"/>
  <c r="J60" i="39"/>
  <c r="B61" i="39"/>
  <c r="C61" i="39" s="1"/>
  <c r="D61" i="39"/>
  <c r="E61" i="39"/>
  <c r="F61" i="39"/>
  <c r="G61" i="39"/>
  <c r="H61" i="39"/>
  <c r="I61" i="39"/>
  <c r="J61" i="39"/>
  <c r="B62" i="39"/>
  <c r="C62" i="39"/>
  <c r="D62" i="39"/>
  <c r="E62" i="39"/>
  <c r="F62" i="39"/>
  <c r="G62" i="39"/>
  <c r="H62" i="39"/>
  <c r="I62" i="39"/>
  <c r="J62" i="39"/>
  <c r="B63" i="39"/>
  <c r="C63" i="39"/>
  <c r="D63" i="39"/>
  <c r="E63" i="39"/>
  <c r="F63" i="39"/>
  <c r="G63" i="39"/>
  <c r="H63" i="39"/>
  <c r="I63" i="39"/>
  <c r="J63" i="39"/>
  <c r="B64" i="39"/>
  <c r="D64" i="39"/>
  <c r="E64" i="39"/>
  <c r="F64" i="39"/>
  <c r="I64" i="39"/>
  <c r="J64" i="39"/>
  <c r="B65" i="39"/>
  <c r="C65" i="39"/>
  <c r="D65" i="39"/>
  <c r="E65" i="39"/>
  <c r="F65" i="39"/>
  <c r="G65" i="39"/>
  <c r="H65" i="39"/>
  <c r="I65" i="39"/>
  <c r="J65" i="39"/>
  <c r="B66" i="39"/>
  <c r="C66" i="39"/>
  <c r="D66" i="39"/>
  <c r="E66" i="39"/>
  <c r="F66" i="39"/>
  <c r="G66" i="39"/>
  <c r="H66" i="39"/>
  <c r="I66" i="39"/>
  <c r="J66" i="39"/>
  <c r="B67" i="39"/>
  <c r="C67" i="39"/>
  <c r="D67" i="39"/>
  <c r="E67" i="39"/>
  <c r="F67" i="39"/>
  <c r="G67" i="39"/>
  <c r="H67" i="39"/>
  <c r="I67" i="39"/>
  <c r="J67" i="39"/>
  <c r="B68" i="39"/>
  <c r="C68" i="39"/>
  <c r="D68" i="39"/>
  <c r="E68" i="39"/>
  <c r="F68" i="39"/>
  <c r="G68" i="39"/>
  <c r="H68" i="39"/>
  <c r="I68" i="39"/>
  <c r="J68" i="39"/>
  <c r="B69" i="39"/>
  <c r="C69" i="39"/>
  <c r="D69" i="39"/>
  <c r="E69" i="39"/>
  <c r="F69" i="39"/>
  <c r="G69" i="39"/>
  <c r="H69" i="39"/>
  <c r="I69" i="39"/>
  <c r="J69" i="39"/>
  <c r="B70" i="39"/>
  <c r="C70" i="39"/>
  <c r="D70" i="39"/>
  <c r="E70" i="39"/>
  <c r="F70" i="39"/>
  <c r="G70" i="39"/>
  <c r="H70" i="39"/>
  <c r="I70" i="39"/>
  <c r="J70" i="39"/>
  <c r="B71" i="39"/>
  <c r="C71" i="39"/>
  <c r="D71" i="39"/>
  <c r="E71" i="39"/>
  <c r="F71" i="39"/>
  <c r="G71" i="39"/>
  <c r="H71" i="39"/>
  <c r="I71" i="39"/>
  <c r="J71" i="39"/>
  <c r="B72" i="39"/>
  <c r="C72" i="39"/>
  <c r="D72" i="39"/>
  <c r="E72" i="39"/>
  <c r="F72" i="39"/>
  <c r="G72" i="39"/>
  <c r="H72" i="39"/>
  <c r="I72" i="39"/>
  <c r="J72" i="39"/>
  <c r="B73" i="39"/>
  <c r="C73" i="39"/>
  <c r="D73" i="39"/>
  <c r="E73" i="39"/>
  <c r="F73" i="39"/>
  <c r="G73" i="39"/>
  <c r="H73" i="39"/>
  <c r="I73" i="39"/>
  <c r="J73" i="39"/>
  <c r="B74" i="39"/>
  <c r="C74" i="39"/>
  <c r="D74" i="39"/>
  <c r="E74" i="39"/>
  <c r="F74" i="39"/>
  <c r="G74" i="39"/>
  <c r="H74" i="39"/>
  <c r="I74" i="39"/>
  <c r="J74" i="39"/>
  <c r="B75" i="39"/>
  <c r="C75" i="39"/>
  <c r="D75" i="39"/>
  <c r="E75" i="39"/>
  <c r="F75" i="39"/>
  <c r="G75" i="39"/>
  <c r="H75" i="39"/>
  <c r="I75" i="39"/>
  <c r="J75" i="39"/>
  <c r="B76" i="39"/>
  <c r="C76" i="39"/>
  <c r="D76" i="39"/>
  <c r="E76" i="39"/>
  <c r="F76" i="39"/>
  <c r="G76" i="39"/>
  <c r="H76" i="39"/>
  <c r="I76" i="39"/>
  <c r="J76" i="39"/>
  <c r="B77" i="39"/>
  <c r="C77" i="39"/>
  <c r="D77" i="39"/>
  <c r="E77" i="39"/>
  <c r="F77" i="39"/>
  <c r="G77" i="39"/>
  <c r="H77" i="39"/>
  <c r="I77" i="39"/>
  <c r="J77" i="39"/>
  <c r="B78" i="39"/>
  <c r="C78" i="39"/>
  <c r="D78" i="39"/>
  <c r="E78" i="39"/>
  <c r="F78" i="39"/>
  <c r="G78" i="39"/>
  <c r="H78" i="39"/>
  <c r="I78" i="39"/>
  <c r="J78" i="39"/>
  <c r="B79" i="39"/>
  <c r="C79" i="39"/>
  <c r="D79" i="39"/>
  <c r="E79" i="39"/>
  <c r="F79" i="39"/>
  <c r="G79" i="39"/>
  <c r="H79" i="39"/>
  <c r="I79" i="39"/>
  <c r="J79" i="39"/>
  <c r="B80" i="39"/>
  <c r="C80" i="39"/>
  <c r="D80" i="39"/>
  <c r="E80" i="39"/>
  <c r="F80" i="39"/>
  <c r="G80" i="39"/>
  <c r="H80" i="39"/>
  <c r="I80" i="39"/>
  <c r="J80" i="39"/>
  <c r="B81" i="39"/>
  <c r="C81" i="39"/>
  <c r="D81" i="39"/>
  <c r="E81" i="39"/>
  <c r="F81" i="39"/>
  <c r="G81" i="39"/>
  <c r="H81" i="39"/>
  <c r="I81" i="39"/>
  <c r="J81" i="39"/>
  <c r="B82" i="39"/>
  <c r="C82" i="39"/>
  <c r="D82" i="39"/>
  <c r="E82" i="39"/>
  <c r="F82" i="39"/>
  <c r="G82" i="39"/>
  <c r="H82" i="39"/>
  <c r="I82" i="39"/>
  <c r="J82" i="39"/>
  <c r="B83" i="39"/>
  <c r="C83" i="39"/>
  <c r="D83" i="39"/>
  <c r="E83" i="39"/>
  <c r="F83" i="39"/>
  <c r="G83" i="39"/>
  <c r="H83" i="39"/>
  <c r="I83" i="39"/>
  <c r="J83" i="39"/>
  <c r="B84" i="39"/>
  <c r="C84" i="39"/>
  <c r="D84" i="39"/>
  <c r="E84" i="39"/>
  <c r="F84" i="39"/>
  <c r="G84" i="39"/>
  <c r="H84" i="39"/>
  <c r="I84" i="39"/>
  <c r="J84" i="39"/>
  <c r="B85" i="39"/>
  <c r="C85" i="39"/>
  <c r="D85" i="39"/>
  <c r="E85" i="39"/>
  <c r="F85" i="39"/>
  <c r="G85" i="39"/>
  <c r="H85" i="39"/>
  <c r="I85" i="39"/>
  <c r="J85" i="39"/>
  <c r="AI5" i="39"/>
  <c r="A1" i="38"/>
  <c r="P2" i="38"/>
  <c r="J3" i="38"/>
  <c r="J4" i="38"/>
  <c r="M4" i="38"/>
  <c r="AI4" i="38"/>
  <c r="J5" i="38"/>
  <c r="J6" i="38"/>
  <c r="B10" i="38"/>
  <c r="C10" i="38"/>
  <c r="D10" i="38"/>
  <c r="E10" i="38"/>
  <c r="F10" i="38"/>
  <c r="G10" i="38"/>
  <c r="H10" i="38"/>
  <c r="I10" i="38"/>
  <c r="J10" i="38"/>
  <c r="B11" i="38"/>
  <c r="C11" i="38"/>
  <c r="D11" i="38"/>
  <c r="E11" i="38"/>
  <c r="F11" i="38"/>
  <c r="G11" i="38"/>
  <c r="H11" i="38"/>
  <c r="I11" i="38"/>
  <c r="J11" i="38"/>
  <c r="V11" i="38"/>
  <c r="B12" i="38"/>
  <c r="C12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AE12" i="38"/>
  <c r="B13" i="38"/>
  <c r="C13" i="38"/>
  <c r="D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AA13" i="38"/>
  <c r="AB13" i="38"/>
  <c r="AC13" i="38"/>
  <c r="AD13" i="38"/>
  <c r="AE13" i="38"/>
  <c r="B14" i="38"/>
  <c r="C14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B15" i="38"/>
  <c r="C15" i="38"/>
  <c r="D15" i="38"/>
  <c r="E15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B16" i="38"/>
  <c r="C16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 s="1"/>
  <c r="X16" i="38"/>
  <c r="Y16" i="38"/>
  <c r="Z16" i="38"/>
  <c r="AA16" i="38"/>
  <c r="AB16" i="38"/>
  <c r="AC16" i="38"/>
  <c r="AD16" i="38"/>
  <c r="AE16" i="38"/>
  <c r="B17" i="38"/>
  <c r="C17" i="38"/>
  <c r="D17" i="38"/>
  <c r="E17" i="38"/>
  <c r="F17" i="38"/>
  <c r="G17" i="38"/>
  <c r="H17" i="38"/>
  <c r="I17" i="38"/>
  <c r="J17" i="38"/>
  <c r="K17" i="38"/>
  <c r="B18" i="38"/>
  <c r="C18" i="38"/>
  <c r="D18" i="38"/>
  <c r="E18" i="38"/>
  <c r="F18" i="38"/>
  <c r="G18" i="38"/>
  <c r="H18" i="38"/>
  <c r="I18" i="38"/>
  <c r="J18" i="38"/>
  <c r="B19" i="38"/>
  <c r="C19" i="38"/>
  <c r="D19" i="38"/>
  <c r="E19" i="38"/>
  <c r="F19" i="38"/>
  <c r="G19" i="38"/>
  <c r="H19" i="38"/>
  <c r="I19" i="38"/>
  <c r="J19" i="38"/>
  <c r="B20" i="38"/>
  <c r="C20" i="38" s="1"/>
  <c r="D20" i="38"/>
  <c r="E20" i="38"/>
  <c r="F20" i="38"/>
  <c r="G20" i="38"/>
  <c r="H20" i="38"/>
  <c r="I20" i="38"/>
  <c r="J20" i="38"/>
  <c r="B21" i="38"/>
  <c r="C21" i="38" s="1"/>
  <c r="D21" i="38"/>
  <c r="E21" i="38"/>
  <c r="F21" i="38"/>
  <c r="G21" i="38"/>
  <c r="H21" i="38"/>
  <c r="I21" i="38"/>
  <c r="J21" i="38"/>
  <c r="B22" i="38"/>
  <c r="C22" i="38"/>
  <c r="D22" i="38"/>
  <c r="E22" i="38"/>
  <c r="F22" i="38"/>
  <c r="G22" i="38"/>
  <c r="H22" i="38"/>
  <c r="I22" i="38"/>
  <c r="J22" i="38"/>
  <c r="B23" i="38"/>
  <c r="C23" i="38"/>
  <c r="D23" i="38"/>
  <c r="E23" i="38"/>
  <c r="F23" i="38"/>
  <c r="G23" i="38"/>
  <c r="H23" i="38"/>
  <c r="I23" i="38"/>
  <c r="J23" i="38"/>
  <c r="B24" i="38"/>
  <c r="C24" i="38"/>
  <c r="D24" i="38"/>
  <c r="E24" i="38"/>
  <c r="F24" i="38"/>
  <c r="G24" i="38"/>
  <c r="H24" i="38"/>
  <c r="I24" i="38"/>
  <c r="J24" i="38"/>
  <c r="B25" i="38"/>
  <c r="C25" i="38"/>
  <c r="D25" i="38"/>
  <c r="E25" i="38"/>
  <c r="F25" i="38"/>
  <c r="G25" i="38"/>
  <c r="H25" i="38"/>
  <c r="I25" i="38"/>
  <c r="J25" i="38"/>
  <c r="B26" i="38"/>
  <c r="C26" i="38"/>
  <c r="D26" i="38"/>
  <c r="E26" i="38"/>
  <c r="F26" i="38"/>
  <c r="G26" i="38"/>
  <c r="H26" i="38"/>
  <c r="I26" i="38"/>
  <c r="J26" i="38"/>
  <c r="B27" i="38"/>
  <c r="C27" i="38"/>
  <c r="D27" i="38"/>
  <c r="E27" i="38"/>
  <c r="F27" i="38"/>
  <c r="G27" i="38"/>
  <c r="H27" i="38"/>
  <c r="I27" i="38"/>
  <c r="J27" i="38"/>
  <c r="B28" i="38"/>
  <c r="C28" i="38"/>
  <c r="D28" i="38"/>
  <c r="E28" i="38"/>
  <c r="F28" i="38"/>
  <c r="G28" i="38"/>
  <c r="H28" i="38"/>
  <c r="I28" i="38"/>
  <c r="J28" i="38"/>
  <c r="B29" i="38"/>
  <c r="C29" i="38"/>
  <c r="D29" i="38"/>
  <c r="E29" i="38"/>
  <c r="F29" i="38"/>
  <c r="G29" i="38"/>
  <c r="H29" i="38"/>
  <c r="I29" i="38"/>
  <c r="J29" i="38"/>
  <c r="B30" i="38"/>
  <c r="C30" i="38"/>
  <c r="D30" i="38"/>
  <c r="E30" i="38"/>
  <c r="F30" i="38"/>
  <c r="G30" i="38"/>
  <c r="H30" i="38"/>
  <c r="I30" i="38"/>
  <c r="J30" i="38"/>
  <c r="B31" i="38"/>
  <c r="C31" i="38"/>
  <c r="D31" i="38"/>
  <c r="E31" i="38"/>
  <c r="F31" i="38"/>
  <c r="G31" i="38"/>
  <c r="H31" i="38"/>
  <c r="I31" i="38"/>
  <c r="J31" i="38"/>
  <c r="B32" i="38"/>
  <c r="C32" i="38"/>
  <c r="D32" i="38"/>
  <c r="E32" i="38"/>
  <c r="F32" i="38"/>
  <c r="G32" i="38"/>
  <c r="H32" i="38"/>
  <c r="I32" i="38"/>
  <c r="J32" i="38"/>
  <c r="B33" i="38"/>
  <c r="C33" i="38"/>
  <c r="D33" i="38"/>
  <c r="E33" i="38"/>
  <c r="F33" i="38"/>
  <c r="G33" i="38"/>
  <c r="H33" i="38"/>
  <c r="I33" i="38"/>
  <c r="J33" i="38"/>
  <c r="B34" i="38"/>
  <c r="C34" i="38"/>
  <c r="D34" i="38"/>
  <c r="E34" i="38"/>
  <c r="F34" i="38"/>
  <c r="G34" i="38"/>
  <c r="H34" i="38"/>
  <c r="I34" i="38"/>
  <c r="J34" i="38"/>
  <c r="B35" i="38"/>
  <c r="C35" i="38"/>
  <c r="D35" i="38"/>
  <c r="E35" i="38"/>
  <c r="F35" i="38"/>
  <c r="G35" i="38"/>
  <c r="H35" i="38"/>
  <c r="I35" i="38"/>
  <c r="J35" i="38"/>
  <c r="B36" i="38"/>
  <c r="C36" i="38"/>
  <c r="D36" i="38"/>
  <c r="E36" i="38"/>
  <c r="F36" i="38"/>
  <c r="G36" i="38"/>
  <c r="H36" i="38"/>
  <c r="I36" i="38"/>
  <c r="J36" i="38"/>
  <c r="B37" i="38"/>
  <c r="C37" i="38"/>
  <c r="D37" i="38"/>
  <c r="E37" i="38"/>
  <c r="F37" i="38"/>
  <c r="G37" i="38"/>
  <c r="H37" i="38"/>
  <c r="I37" i="38"/>
  <c r="J37" i="38"/>
  <c r="B38" i="38"/>
  <c r="C38" i="38" s="1"/>
  <c r="D38" i="38"/>
  <c r="E38" i="38"/>
  <c r="F38" i="38"/>
  <c r="G38" i="38"/>
  <c r="H38" i="38"/>
  <c r="I38" i="38"/>
  <c r="J38" i="38"/>
  <c r="B39" i="38"/>
  <c r="C39" i="38"/>
  <c r="D39" i="38"/>
  <c r="E39" i="38"/>
  <c r="F39" i="38"/>
  <c r="G39" i="38"/>
  <c r="H39" i="38"/>
  <c r="I39" i="38"/>
  <c r="J39" i="38"/>
  <c r="B40" i="38"/>
  <c r="C40" i="38" s="1"/>
  <c r="D40" i="38"/>
  <c r="E40" i="38"/>
  <c r="F40" i="38"/>
  <c r="G40" i="38"/>
  <c r="H40" i="38"/>
  <c r="I40" i="38"/>
  <c r="J40" i="38"/>
  <c r="B41" i="38"/>
  <c r="C41" i="38"/>
  <c r="D41" i="38"/>
  <c r="E41" i="38"/>
  <c r="F41" i="38"/>
  <c r="G41" i="38"/>
  <c r="H41" i="38"/>
  <c r="I41" i="38"/>
  <c r="J41" i="38"/>
  <c r="B42" i="38"/>
  <c r="C42" i="38"/>
  <c r="D42" i="38"/>
  <c r="E42" i="38"/>
  <c r="F42" i="38"/>
  <c r="G42" i="38"/>
  <c r="H42" i="38"/>
  <c r="I42" i="38"/>
  <c r="J42" i="38"/>
  <c r="B43" i="38"/>
  <c r="C43" i="38"/>
  <c r="D43" i="38"/>
  <c r="E43" i="38"/>
  <c r="F43" i="38"/>
  <c r="G43" i="38"/>
  <c r="H43" i="38"/>
  <c r="I43" i="38"/>
  <c r="J43" i="38"/>
  <c r="B44" i="38"/>
  <c r="C44" i="38"/>
  <c r="D44" i="38"/>
  <c r="E44" i="38"/>
  <c r="F44" i="38"/>
  <c r="G44" i="38"/>
  <c r="H44" i="38"/>
  <c r="I44" i="38"/>
  <c r="J44" i="38"/>
  <c r="B45" i="38"/>
  <c r="C45" i="38"/>
  <c r="D45" i="38"/>
  <c r="E45" i="38"/>
  <c r="F45" i="38"/>
  <c r="G45" i="38"/>
  <c r="H45" i="38"/>
  <c r="I45" i="38"/>
  <c r="J45" i="38"/>
  <c r="B46" i="38"/>
  <c r="C46" i="38"/>
  <c r="D46" i="38"/>
  <c r="E46" i="38"/>
  <c r="F46" i="38"/>
  <c r="G46" i="38"/>
  <c r="H46" i="38"/>
  <c r="I46" i="38"/>
  <c r="J46" i="38"/>
  <c r="B47" i="38"/>
  <c r="C47" i="38"/>
  <c r="D47" i="38"/>
  <c r="E47" i="38"/>
  <c r="F47" i="38"/>
  <c r="G47" i="38"/>
  <c r="H47" i="38"/>
  <c r="I47" i="38"/>
  <c r="J47" i="38"/>
  <c r="B48" i="38"/>
  <c r="C48" i="38"/>
  <c r="D48" i="38"/>
  <c r="E48" i="38"/>
  <c r="F48" i="38"/>
  <c r="G48" i="38"/>
  <c r="H48" i="38"/>
  <c r="I48" i="38"/>
  <c r="J48" i="38"/>
  <c r="B49" i="38"/>
  <c r="C49" i="38"/>
  <c r="D49" i="38"/>
  <c r="E49" i="38"/>
  <c r="F49" i="38"/>
  <c r="G49" i="38"/>
  <c r="H49" i="38"/>
  <c r="I49" i="38"/>
  <c r="J49" i="38"/>
  <c r="B50" i="38"/>
  <c r="C50" i="38"/>
  <c r="D50" i="38"/>
  <c r="E50" i="38"/>
  <c r="F50" i="38"/>
  <c r="G50" i="38"/>
  <c r="H50" i="38"/>
  <c r="I50" i="38"/>
  <c r="J50" i="38"/>
  <c r="B51" i="38"/>
  <c r="C51" i="38"/>
  <c r="D51" i="38"/>
  <c r="E51" i="38"/>
  <c r="F51" i="38"/>
  <c r="G51" i="38"/>
  <c r="H51" i="38"/>
  <c r="I51" i="38"/>
  <c r="J51" i="38"/>
  <c r="B52" i="38"/>
  <c r="C52" i="38"/>
  <c r="D52" i="38"/>
  <c r="E52" i="38"/>
  <c r="F52" i="38"/>
  <c r="G52" i="38"/>
  <c r="H52" i="38"/>
  <c r="I52" i="38"/>
  <c r="J52" i="38"/>
  <c r="B53" i="38"/>
  <c r="E53" i="38"/>
  <c r="F53" i="38"/>
  <c r="G53" i="38"/>
  <c r="H53" i="38"/>
  <c r="I53" i="38"/>
  <c r="J53" i="38"/>
  <c r="B54" i="38"/>
  <c r="C54" i="38"/>
  <c r="D54" i="38"/>
  <c r="E54" i="38"/>
  <c r="F54" i="38"/>
  <c r="G54" i="38"/>
  <c r="H54" i="38"/>
  <c r="I54" i="38"/>
  <c r="J54" i="38"/>
  <c r="B55" i="38"/>
  <c r="C55" i="38"/>
  <c r="D55" i="38"/>
  <c r="E55" i="38"/>
  <c r="F55" i="38"/>
  <c r="G55" i="38"/>
  <c r="H55" i="38"/>
  <c r="I55" i="38"/>
  <c r="J55" i="38"/>
  <c r="B56" i="38"/>
  <c r="C56" i="38"/>
  <c r="D56" i="38"/>
  <c r="E56" i="38"/>
  <c r="F56" i="38"/>
  <c r="G56" i="38"/>
  <c r="H56" i="38"/>
  <c r="I56" i="38"/>
  <c r="J56" i="38"/>
  <c r="B57" i="38"/>
  <c r="C57" i="38"/>
  <c r="D57" i="38"/>
  <c r="E57" i="38"/>
  <c r="F57" i="38"/>
  <c r="G57" i="38"/>
  <c r="H57" i="38"/>
  <c r="I57" i="38"/>
  <c r="J57" i="38"/>
  <c r="B58" i="38"/>
  <c r="C58" i="38"/>
  <c r="D58" i="38"/>
  <c r="E58" i="38"/>
  <c r="F58" i="38"/>
  <c r="G58" i="38"/>
  <c r="H58" i="38"/>
  <c r="I58" i="38"/>
  <c r="J58" i="38"/>
  <c r="B59" i="38"/>
  <c r="C59" i="38"/>
  <c r="D59" i="38"/>
  <c r="E59" i="38"/>
  <c r="F59" i="38"/>
  <c r="G59" i="38"/>
  <c r="H59" i="38"/>
  <c r="I59" i="38"/>
  <c r="J59" i="38"/>
  <c r="B60" i="38"/>
  <c r="C60" i="38"/>
  <c r="D60" i="38"/>
  <c r="E60" i="38"/>
  <c r="F60" i="38"/>
  <c r="G60" i="38"/>
  <c r="H60" i="38"/>
  <c r="I60" i="38"/>
  <c r="J60" i="38"/>
  <c r="B61" i="38"/>
  <c r="C61" i="38"/>
  <c r="D61" i="38"/>
  <c r="E61" i="38"/>
  <c r="F61" i="38"/>
  <c r="G61" i="38"/>
  <c r="H61" i="38"/>
  <c r="I61" i="38"/>
  <c r="J61" i="38"/>
  <c r="B62" i="38"/>
  <c r="C62" i="38"/>
  <c r="D62" i="38"/>
  <c r="E62" i="38"/>
  <c r="F62" i="38"/>
  <c r="G62" i="38"/>
  <c r="H62" i="38"/>
  <c r="I62" i="38"/>
  <c r="J62" i="38"/>
  <c r="B63" i="38"/>
  <c r="C63" i="38"/>
  <c r="D63" i="38"/>
  <c r="E63" i="38"/>
  <c r="F63" i="38"/>
  <c r="G63" i="38"/>
  <c r="H63" i="38"/>
  <c r="I63" i="38"/>
  <c r="J63" i="38"/>
  <c r="B64" i="38"/>
  <c r="C64" i="38"/>
  <c r="D64" i="38"/>
  <c r="E64" i="38"/>
  <c r="F64" i="38"/>
  <c r="G64" i="38"/>
  <c r="H64" i="38"/>
  <c r="I64" i="38"/>
  <c r="J64" i="38"/>
  <c r="B65" i="38"/>
  <c r="C65" i="38"/>
  <c r="D65" i="38"/>
  <c r="E65" i="38"/>
  <c r="F65" i="38"/>
  <c r="G65" i="38"/>
  <c r="H65" i="38"/>
  <c r="I65" i="38"/>
  <c r="J65" i="38"/>
  <c r="B66" i="38"/>
  <c r="C66" i="38"/>
  <c r="D66" i="38"/>
  <c r="E66" i="38"/>
  <c r="F66" i="38"/>
  <c r="G66" i="38"/>
  <c r="H66" i="38"/>
  <c r="I66" i="38"/>
  <c r="J66" i="38"/>
  <c r="B67" i="38"/>
  <c r="C67" i="38"/>
  <c r="D67" i="38"/>
  <c r="E67" i="38"/>
  <c r="F67" i="38"/>
  <c r="G67" i="38"/>
  <c r="H67" i="38"/>
  <c r="I67" i="38"/>
  <c r="J67" i="38"/>
  <c r="B68" i="38"/>
  <c r="C68" i="38"/>
  <c r="D68" i="38"/>
  <c r="E68" i="38"/>
  <c r="F68" i="38"/>
  <c r="G68" i="38"/>
  <c r="H68" i="38"/>
  <c r="I68" i="38"/>
  <c r="J68" i="38"/>
  <c r="B69" i="38"/>
  <c r="C69" i="38"/>
  <c r="D69" i="38"/>
  <c r="E69" i="38"/>
  <c r="F69" i="38"/>
  <c r="G69" i="38"/>
  <c r="H69" i="38"/>
  <c r="I69" i="38"/>
  <c r="J69" i="38"/>
  <c r="B70" i="38"/>
  <c r="C70" i="38"/>
  <c r="D70" i="38"/>
  <c r="E70" i="38"/>
  <c r="F70" i="38"/>
  <c r="G70" i="38"/>
  <c r="H70" i="38"/>
  <c r="I70" i="38"/>
  <c r="J70" i="38"/>
  <c r="B71" i="38"/>
  <c r="C71" i="38"/>
  <c r="D71" i="38"/>
  <c r="E71" i="38"/>
  <c r="F71" i="38"/>
  <c r="G71" i="38"/>
  <c r="H71" i="38"/>
  <c r="I71" i="38"/>
  <c r="J71" i="38"/>
  <c r="B72" i="38"/>
  <c r="C72" i="38"/>
  <c r="D72" i="38"/>
  <c r="E72" i="38"/>
  <c r="F72" i="38"/>
  <c r="G72" i="38"/>
  <c r="H72" i="38"/>
  <c r="I72" i="38"/>
  <c r="J72" i="38"/>
  <c r="B73" i="38"/>
  <c r="C73" i="38"/>
  <c r="D73" i="38"/>
  <c r="E73" i="38"/>
  <c r="F73" i="38"/>
  <c r="G73" i="38"/>
  <c r="H73" i="38"/>
  <c r="I73" i="38"/>
  <c r="J73" i="38"/>
  <c r="B74" i="38"/>
  <c r="C74" i="38"/>
  <c r="D74" i="38"/>
  <c r="E74" i="38"/>
  <c r="F74" i="38"/>
  <c r="G74" i="38"/>
  <c r="H74" i="38"/>
  <c r="I74" i="38"/>
  <c r="J74" i="38"/>
  <c r="B75" i="38"/>
  <c r="C75" i="38"/>
  <c r="D75" i="38"/>
  <c r="E75" i="38"/>
  <c r="F75" i="38"/>
  <c r="G75" i="38"/>
  <c r="H75" i="38"/>
  <c r="I75" i="38"/>
  <c r="J75" i="38"/>
  <c r="B76" i="38"/>
  <c r="C76" i="38" s="1"/>
  <c r="D76" i="38"/>
  <c r="E76" i="38"/>
  <c r="F76" i="38"/>
  <c r="G76" i="38"/>
  <c r="H76" i="38"/>
  <c r="I76" i="38"/>
  <c r="J76" i="38"/>
  <c r="B77" i="38"/>
  <c r="C77" i="38"/>
  <c r="D77" i="38"/>
  <c r="E77" i="38"/>
  <c r="F77" i="38"/>
  <c r="G77" i="38"/>
  <c r="H77" i="38"/>
  <c r="I77" i="38"/>
  <c r="J77" i="38"/>
  <c r="B78" i="38"/>
  <c r="C78" i="38"/>
  <c r="D78" i="38"/>
  <c r="E78" i="38"/>
  <c r="F78" i="38"/>
  <c r="G78" i="38"/>
  <c r="H78" i="38"/>
  <c r="I78" i="38"/>
  <c r="J78" i="38"/>
  <c r="B79" i="38"/>
  <c r="C79" i="38"/>
  <c r="D79" i="38"/>
  <c r="E79" i="38"/>
  <c r="F79" i="38"/>
  <c r="G79" i="38"/>
  <c r="H79" i="38"/>
  <c r="I79" i="38"/>
  <c r="J79" i="38"/>
  <c r="B80" i="38"/>
  <c r="C80" i="38"/>
  <c r="D80" i="38"/>
  <c r="E80" i="38"/>
  <c r="F80" i="38"/>
  <c r="G80" i="38"/>
  <c r="H80" i="38"/>
  <c r="I80" i="38"/>
  <c r="J80" i="38"/>
  <c r="B81" i="38"/>
  <c r="C81" i="38"/>
  <c r="D81" i="38"/>
  <c r="E81" i="38"/>
  <c r="F81" i="38"/>
  <c r="G81" i="38"/>
  <c r="H81" i="38"/>
  <c r="I81" i="38"/>
  <c r="J81" i="38"/>
  <c r="B82" i="38"/>
  <c r="C82" i="38"/>
  <c r="D82" i="38"/>
  <c r="E82" i="38"/>
  <c r="F82" i="38"/>
  <c r="G82" i="38"/>
  <c r="H82" i="38"/>
  <c r="I82" i="38"/>
  <c r="J82" i="38"/>
  <c r="B83" i="38"/>
  <c r="C83" i="38"/>
  <c r="D83" i="38"/>
  <c r="E83" i="38"/>
  <c r="F83" i="38"/>
  <c r="G83" i="38"/>
  <c r="H83" i="38"/>
  <c r="I83" i="38"/>
  <c r="J83" i="38"/>
  <c r="B84" i="38"/>
  <c r="C84" i="38" s="1"/>
  <c r="D84" i="38"/>
  <c r="E84" i="38"/>
  <c r="F84" i="38"/>
  <c r="G84" i="38"/>
  <c r="H84" i="38"/>
  <c r="I84" i="38"/>
  <c r="J84" i="38"/>
  <c r="B85" i="38"/>
  <c r="C85" i="38" s="1"/>
  <c r="D85" i="38"/>
  <c r="E85" i="38"/>
  <c r="F85" i="38"/>
  <c r="G85" i="38"/>
  <c r="H85" i="38"/>
  <c r="I85" i="38"/>
  <c r="J85" i="38"/>
  <c r="AI5" i="38"/>
  <c r="A1" i="37"/>
  <c r="P2" i="37"/>
  <c r="J3" i="37"/>
  <c r="J4" i="37"/>
  <c r="M4" i="37"/>
  <c r="AI4" i="37"/>
  <c r="J5" i="37"/>
  <c r="J6" i="37"/>
  <c r="B10" i="37"/>
  <c r="C10" i="37"/>
  <c r="D10" i="37"/>
  <c r="E10" i="37"/>
  <c r="F10" i="37"/>
  <c r="G10" i="37"/>
  <c r="H10" i="37"/>
  <c r="I10" i="37"/>
  <c r="J10" i="37"/>
  <c r="B11" i="37"/>
  <c r="C11" i="37"/>
  <c r="D11" i="37"/>
  <c r="E11" i="37"/>
  <c r="F11" i="37"/>
  <c r="G11" i="37"/>
  <c r="H11" i="37"/>
  <c r="I11" i="37"/>
  <c r="J11" i="37"/>
  <c r="L11" i="37"/>
  <c r="M11" i="37"/>
  <c r="N11" i="37"/>
  <c r="O11" i="37"/>
  <c r="P11" i="37"/>
  <c r="Q11" i="37"/>
  <c r="R11" i="37"/>
  <c r="S11" i="37"/>
  <c r="T11" i="37"/>
  <c r="U11" i="37"/>
  <c r="V11" i="37"/>
  <c r="B12" i="37"/>
  <c r="C12" i="37"/>
  <c r="D12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X12" i="37"/>
  <c r="Y12" i="37"/>
  <c r="Z12" i="37"/>
  <c r="AA12" i="37"/>
  <c r="AB12" i="37"/>
  <c r="AC12" i="37"/>
  <c r="AD12" i="37"/>
  <c r="AE12" i="37"/>
  <c r="B13" i="37"/>
  <c r="C13" i="37"/>
  <c r="D13" i="37"/>
  <c r="E13" i="37"/>
  <c r="F13" i="37"/>
  <c r="G13" i="37"/>
  <c r="H13" i="37"/>
  <c r="I13" i="37"/>
  <c r="J13" i="37"/>
  <c r="K13" i="37"/>
  <c r="L13" i="37"/>
  <c r="M13" i="37"/>
  <c r="N13" i="37"/>
  <c r="O13" i="37"/>
  <c r="P13" i="37"/>
  <c r="Q13" i="37"/>
  <c r="R13" i="37"/>
  <c r="S13" i="37"/>
  <c r="T13" i="37"/>
  <c r="U13" i="37"/>
  <c r="V13" i="37"/>
  <c r="W13" i="37" s="1"/>
  <c r="X13" i="37"/>
  <c r="Y13" i="37"/>
  <c r="Z13" i="37"/>
  <c r="AA13" i="37"/>
  <c r="AB13" i="37"/>
  <c r="AC13" i="37"/>
  <c r="AD13" i="37"/>
  <c r="AE13" i="37"/>
  <c r="B14" i="37"/>
  <c r="C14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Z14" i="37"/>
  <c r="AA14" i="37"/>
  <c r="AB14" i="37"/>
  <c r="AC14" i="37"/>
  <c r="AD14" i="37"/>
  <c r="AE14" i="37"/>
  <c r="B15" i="37"/>
  <c r="C15" i="37" s="1"/>
  <c r="D15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Y15" i="37"/>
  <c r="Z15" i="37"/>
  <c r="AA15" i="37"/>
  <c r="AB15" i="37"/>
  <c r="AC15" i="37"/>
  <c r="AD15" i="37"/>
  <c r="AE15" i="37"/>
  <c r="B16" i="37"/>
  <c r="C16" i="37"/>
  <c r="D16" i="37"/>
  <c r="E16" i="37"/>
  <c r="F16" i="37"/>
  <c r="G16" i="37"/>
  <c r="H16" i="37"/>
  <c r="I16" i="37"/>
  <c r="J16" i="37"/>
  <c r="K16" i="37"/>
  <c r="L16" i="37"/>
  <c r="M16" i="37"/>
  <c r="N16" i="37"/>
  <c r="O16" i="37"/>
  <c r="P16" i="37"/>
  <c r="Q16" i="37"/>
  <c r="R16" i="37"/>
  <c r="S16" i="37"/>
  <c r="T16" i="37"/>
  <c r="U16" i="37"/>
  <c r="V16" i="37"/>
  <c r="B17" i="37"/>
  <c r="C17" i="37"/>
  <c r="D17" i="37"/>
  <c r="E17" i="37"/>
  <c r="F17" i="37"/>
  <c r="G17" i="37"/>
  <c r="H17" i="37"/>
  <c r="I17" i="37"/>
  <c r="J17" i="37"/>
  <c r="K17" i="37"/>
  <c r="L17" i="37"/>
  <c r="M17" i="37"/>
  <c r="N17" i="37"/>
  <c r="O17" i="37"/>
  <c r="P17" i="37"/>
  <c r="Q17" i="37"/>
  <c r="R17" i="37"/>
  <c r="S17" i="37"/>
  <c r="T17" i="37"/>
  <c r="U17" i="37"/>
  <c r="V17" i="37"/>
  <c r="B18" i="37"/>
  <c r="C18" i="37"/>
  <c r="D18" i="37"/>
  <c r="E18" i="37"/>
  <c r="F18" i="37"/>
  <c r="G18" i="37"/>
  <c r="H18" i="37"/>
  <c r="I18" i="37"/>
  <c r="J18" i="37"/>
  <c r="K18" i="37"/>
  <c r="L18" i="37"/>
  <c r="M18" i="37"/>
  <c r="N18" i="37"/>
  <c r="O18" i="37"/>
  <c r="P18" i="37"/>
  <c r="Q18" i="37"/>
  <c r="R18" i="37"/>
  <c r="S18" i="37"/>
  <c r="T18" i="37"/>
  <c r="U18" i="37"/>
  <c r="V18" i="37"/>
  <c r="W18" i="37" s="1"/>
  <c r="X18" i="37"/>
  <c r="Y18" i="37"/>
  <c r="Z18" i="37"/>
  <c r="AA18" i="37"/>
  <c r="AB18" i="37"/>
  <c r="AC18" i="37"/>
  <c r="AD18" i="37"/>
  <c r="AE18" i="37"/>
  <c r="B19" i="37"/>
  <c r="C19" i="37"/>
  <c r="D19" i="37"/>
  <c r="E19" i="37"/>
  <c r="F19" i="37"/>
  <c r="G19" i="37"/>
  <c r="H19" i="37"/>
  <c r="I19" i="37"/>
  <c r="J19" i="37"/>
  <c r="K19" i="37"/>
  <c r="L19" i="37"/>
  <c r="M19" i="37"/>
  <c r="N19" i="37"/>
  <c r="O19" i="37"/>
  <c r="P19" i="37"/>
  <c r="Q19" i="37"/>
  <c r="R19" i="37"/>
  <c r="S19" i="37"/>
  <c r="T19" i="37"/>
  <c r="U19" i="37"/>
  <c r="V19" i="37"/>
  <c r="W19" i="37" s="1"/>
  <c r="X19" i="37"/>
  <c r="Y19" i="37"/>
  <c r="Z19" i="37"/>
  <c r="AA19" i="37"/>
  <c r="AB19" i="37"/>
  <c r="AC19" i="37"/>
  <c r="AD19" i="37"/>
  <c r="AE19" i="37"/>
  <c r="B20" i="37"/>
  <c r="C20" i="37"/>
  <c r="D20" i="37"/>
  <c r="E20" i="37"/>
  <c r="F20" i="37"/>
  <c r="G20" i="37"/>
  <c r="H20" i="37"/>
  <c r="I20" i="37"/>
  <c r="J20" i="37"/>
  <c r="K20" i="37"/>
  <c r="L20" i="37"/>
  <c r="M20" i="37"/>
  <c r="N20" i="37"/>
  <c r="O20" i="37"/>
  <c r="P20" i="37"/>
  <c r="Q20" i="37"/>
  <c r="R20" i="37"/>
  <c r="S20" i="37"/>
  <c r="T20" i="37"/>
  <c r="U20" i="37"/>
  <c r="V20" i="37"/>
  <c r="B21" i="37"/>
  <c r="C21" i="37"/>
  <c r="D21" i="37"/>
  <c r="E21" i="37"/>
  <c r="F21" i="37"/>
  <c r="G21" i="37"/>
  <c r="H21" i="37"/>
  <c r="I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V21" i="37"/>
  <c r="W21" i="37" s="1"/>
  <c r="X21" i="37"/>
  <c r="Y21" i="37"/>
  <c r="Z21" i="37"/>
  <c r="AA21" i="37"/>
  <c r="AB21" i="37"/>
  <c r="AC21" i="37"/>
  <c r="AD21" i="37"/>
  <c r="AE21" i="37"/>
  <c r="B22" i="37"/>
  <c r="C22" i="37"/>
  <c r="D22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Q22" i="37"/>
  <c r="R22" i="37"/>
  <c r="S22" i="37"/>
  <c r="T22" i="37"/>
  <c r="U22" i="37"/>
  <c r="V22" i="37"/>
  <c r="X22" i="37"/>
  <c r="Y22" i="37"/>
  <c r="Z22" i="37"/>
  <c r="AA22" i="37"/>
  <c r="AB22" i="37"/>
  <c r="AC22" i="37"/>
  <c r="AD22" i="37"/>
  <c r="AE22" i="37"/>
  <c r="B23" i="37"/>
  <c r="C23" i="37"/>
  <c r="D23" i="37"/>
  <c r="E23" i="37"/>
  <c r="F23" i="37"/>
  <c r="G23" i="37"/>
  <c r="H23" i="37"/>
  <c r="I23" i="37"/>
  <c r="J23" i="37"/>
  <c r="K23" i="37"/>
  <c r="L23" i="37"/>
  <c r="M23" i="37"/>
  <c r="N23" i="37"/>
  <c r="O23" i="37"/>
  <c r="P23" i="37"/>
  <c r="Q23" i="37"/>
  <c r="R23" i="37"/>
  <c r="S23" i="37"/>
  <c r="T23" i="37"/>
  <c r="U23" i="37"/>
  <c r="V23" i="37"/>
  <c r="B24" i="37"/>
  <c r="C24" i="37"/>
  <c r="D24" i="37"/>
  <c r="E24" i="37"/>
  <c r="F24" i="37"/>
  <c r="G24" i="37"/>
  <c r="H24" i="37"/>
  <c r="I24" i="37"/>
  <c r="J24" i="37"/>
  <c r="K24" i="37"/>
  <c r="L24" i="37"/>
  <c r="M24" i="37"/>
  <c r="N24" i="37"/>
  <c r="O24" i="37"/>
  <c r="P24" i="37"/>
  <c r="Q24" i="37"/>
  <c r="R24" i="37"/>
  <c r="S24" i="37"/>
  <c r="T24" i="37"/>
  <c r="U24" i="37"/>
  <c r="V24" i="37"/>
  <c r="B25" i="37"/>
  <c r="C25" i="37"/>
  <c r="D25" i="37"/>
  <c r="E25" i="37"/>
  <c r="F25" i="37"/>
  <c r="G25" i="37"/>
  <c r="H25" i="37"/>
  <c r="I25" i="37"/>
  <c r="J25" i="37"/>
  <c r="K25" i="37"/>
  <c r="L25" i="37"/>
  <c r="M25" i="37"/>
  <c r="N25" i="37"/>
  <c r="O25" i="37"/>
  <c r="P25" i="37"/>
  <c r="Q25" i="37"/>
  <c r="R25" i="37"/>
  <c r="S25" i="37"/>
  <c r="T25" i="37"/>
  <c r="U25" i="37"/>
  <c r="V25" i="37"/>
  <c r="Z25" i="37"/>
  <c r="AA25" i="37"/>
  <c r="AB25" i="37"/>
  <c r="AC25" i="37"/>
  <c r="AD25" i="37"/>
  <c r="AE25" i="37"/>
  <c r="B26" i="37"/>
  <c r="C26" i="37"/>
  <c r="D26" i="37"/>
  <c r="E26" i="37"/>
  <c r="F26" i="37"/>
  <c r="G26" i="37"/>
  <c r="H26" i="37"/>
  <c r="I26" i="37"/>
  <c r="J26" i="37"/>
  <c r="K26" i="37"/>
  <c r="L26" i="37"/>
  <c r="M26" i="37"/>
  <c r="N26" i="37"/>
  <c r="O26" i="37"/>
  <c r="P26" i="37"/>
  <c r="Q26" i="37"/>
  <c r="R26" i="37"/>
  <c r="S26" i="37"/>
  <c r="T26" i="37"/>
  <c r="U26" i="37"/>
  <c r="V26" i="37"/>
  <c r="AB26" i="37"/>
  <c r="AC26" i="37"/>
  <c r="AD26" i="37"/>
  <c r="AE26" i="37"/>
  <c r="B27" i="37"/>
  <c r="C27" i="37"/>
  <c r="D27" i="37"/>
  <c r="E27" i="37"/>
  <c r="F27" i="37"/>
  <c r="G27" i="37"/>
  <c r="H27" i="37"/>
  <c r="I27" i="37"/>
  <c r="J27" i="37"/>
  <c r="K27" i="37"/>
  <c r="L27" i="37"/>
  <c r="M27" i="37"/>
  <c r="N27" i="37"/>
  <c r="O27" i="37"/>
  <c r="P27" i="37"/>
  <c r="Q27" i="37"/>
  <c r="R27" i="37"/>
  <c r="S27" i="37"/>
  <c r="T27" i="37"/>
  <c r="U27" i="37"/>
  <c r="V27" i="37"/>
  <c r="AB27" i="37"/>
  <c r="AC27" i="37"/>
  <c r="AD27" i="37"/>
  <c r="AE27" i="37"/>
  <c r="B28" i="37"/>
  <c r="C28" i="37" s="1"/>
  <c r="D28" i="37"/>
  <c r="E28" i="37"/>
  <c r="F28" i="37"/>
  <c r="G28" i="37"/>
  <c r="H28" i="37"/>
  <c r="I28" i="37"/>
  <c r="J28" i="37"/>
  <c r="K28" i="37"/>
  <c r="L28" i="37"/>
  <c r="M28" i="37"/>
  <c r="N28" i="37"/>
  <c r="O28" i="37"/>
  <c r="P28" i="37"/>
  <c r="Q28" i="37"/>
  <c r="R28" i="37"/>
  <c r="S28" i="37"/>
  <c r="T28" i="37"/>
  <c r="U28" i="37"/>
  <c r="V28" i="37"/>
  <c r="W28" i="37" s="1"/>
  <c r="Y28" i="37"/>
  <c r="Z28" i="37"/>
  <c r="AA28" i="37"/>
  <c r="AB28" i="37"/>
  <c r="AC28" i="37"/>
  <c r="AD28" i="37"/>
  <c r="AE28" i="37"/>
  <c r="B29" i="37"/>
  <c r="C29" i="37"/>
  <c r="D29" i="37"/>
  <c r="E29" i="37"/>
  <c r="F29" i="37"/>
  <c r="G29" i="37"/>
  <c r="H29" i="37"/>
  <c r="I29" i="37"/>
  <c r="J29" i="37"/>
  <c r="K29" i="37"/>
  <c r="L29" i="37"/>
  <c r="M29" i="37"/>
  <c r="N29" i="37"/>
  <c r="O29" i="37"/>
  <c r="P29" i="37"/>
  <c r="Q29" i="37"/>
  <c r="R29" i="37"/>
  <c r="S29" i="37"/>
  <c r="T29" i="37"/>
  <c r="U29" i="37"/>
  <c r="V29" i="37"/>
  <c r="W29" i="37"/>
  <c r="X29" i="37"/>
  <c r="Y29" i="37"/>
  <c r="Z29" i="37"/>
  <c r="AA29" i="37"/>
  <c r="AB29" i="37"/>
  <c r="AC29" i="37"/>
  <c r="AD29" i="37"/>
  <c r="AE29" i="37"/>
  <c r="B30" i="37"/>
  <c r="C30" i="37"/>
  <c r="D30" i="37"/>
  <c r="E30" i="37"/>
  <c r="F30" i="37"/>
  <c r="G30" i="37"/>
  <c r="H30" i="37"/>
  <c r="I30" i="37"/>
  <c r="J30" i="37"/>
  <c r="K30" i="37"/>
  <c r="L30" i="37"/>
  <c r="M30" i="37"/>
  <c r="N30" i="37"/>
  <c r="O30" i="37"/>
  <c r="P30" i="37"/>
  <c r="Q30" i="37"/>
  <c r="R30" i="37"/>
  <c r="S30" i="37"/>
  <c r="T30" i="37"/>
  <c r="U30" i="37"/>
  <c r="V30" i="37"/>
  <c r="W30" i="37" s="1"/>
  <c r="X30" i="37"/>
  <c r="Y30" i="37"/>
  <c r="Z30" i="37"/>
  <c r="AA30" i="37"/>
  <c r="AB30" i="37"/>
  <c r="AC30" i="37"/>
  <c r="AD30" i="37"/>
  <c r="AE30" i="37"/>
  <c r="B31" i="37"/>
  <c r="C31" i="37"/>
  <c r="D31" i="37"/>
  <c r="E31" i="37"/>
  <c r="F31" i="37"/>
  <c r="G31" i="37"/>
  <c r="H31" i="37"/>
  <c r="I31" i="37"/>
  <c r="J31" i="37"/>
  <c r="K31" i="37"/>
  <c r="L31" i="37"/>
  <c r="M31" i="37"/>
  <c r="N31" i="37"/>
  <c r="O31" i="37"/>
  <c r="P31" i="37"/>
  <c r="Q31" i="37"/>
  <c r="R31" i="37"/>
  <c r="S31" i="37"/>
  <c r="T31" i="37"/>
  <c r="U31" i="37"/>
  <c r="V31" i="37"/>
  <c r="B32" i="37"/>
  <c r="C32" i="37"/>
  <c r="D32" i="37"/>
  <c r="E32" i="37"/>
  <c r="F32" i="37"/>
  <c r="G32" i="37"/>
  <c r="H32" i="37"/>
  <c r="I32" i="37"/>
  <c r="J32" i="37"/>
  <c r="K32" i="37"/>
  <c r="L32" i="37"/>
  <c r="M32" i="37"/>
  <c r="N32" i="37"/>
  <c r="O32" i="37"/>
  <c r="P32" i="37"/>
  <c r="Q32" i="37"/>
  <c r="R32" i="37"/>
  <c r="S32" i="37"/>
  <c r="T32" i="37"/>
  <c r="U32" i="37"/>
  <c r="V32" i="37"/>
  <c r="W32" i="37"/>
  <c r="X32" i="37"/>
  <c r="Y32" i="37"/>
  <c r="Z32" i="37"/>
  <c r="AA32" i="37"/>
  <c r="AB32" i="37"/>
  <c r="AC32" i="37"/>
  <c r="AD32" i="37"/>
  <c r="AE32" i="37"/>
  <c r="B33" i="37"/>
  <c r="C33" i="37"/>
  <c r="D33" i="37"/>
  <c r="E33" i="37"/>
  <c r="F33" i="37"/>
  <c r="G33" i="37"/>
  <c r="H33" i="37"/>
  <c r="I33" i="37"/>
  <c r="J33" i="37"/>
  <c r="K33" i="37"/>
  <c r="L33" i="37"/>
  <c r="M33" i="37"/>
  <c r="N33" i="37"/>
  <c r="O33" i="37"/>
  <c r="P33" i="37"/>
  <c r="Q33" i="37"/>
  <c r="R33" i="37"/>
  <c r="S33" i="37"/>
  <c r="T33" i="37"/>
  <c r="U33" i="37"/>
  <c r="V33" i="37"/>
  <c r="Z33" i="37"/>
  <c r="AA33" i="37"/>
  <c r="AB33" i="37"/>
  <c r="AC33" i="37"/>
  <c r="AD33" i="37"/>
  <c r="AE33" i="37"/>
  <c r="B34" i="37"/>
  <c r="C34" i="37"/>
  <c r="D34" i="37"/>
  <c r="E34" i="37"/>
  <c r="F34" i="37"/>
  <c r="G34" i="37"/>
  <c r="H34" i="37"/>
  <c r="I34" i="37"/>
  <c r="J34" i="37"/>
  <c r="K34" i="37"/>
  <c r="L34" i="37"/>
  <c r="M34" i="37"/>
  <c r="N34" i="37"/>
  <c r="O34" i="37"/>
  <c r="P34" i="37"/>
  <c r="Q34" i="37"/>
  <c r="R34" i="37"/>
  <c r="S34" i="37"/>
  <c r="T34" i="37"/>
  <c r="U34" i="37"/>
  <c r="V34" i="37"/>
  <c r="X34" i="37" s="1"/>
  <c r="Y34" i="37"/>
  <c r="Z34" i="37"/>
  <c r="AA34" i="37"/>
  <c r="AB34" i="37"/>
  <c r="AC34" i="37"/>
  <c r="AD34" i="37"/>
  <c r="AE34" i="37"/>
  <c r="B35" i="37"/>
  <c r="C35" i="37"/>
  <c r="D35" i="37"/>
  <c r="E35" i="37"/>
  <c r="F35" i="37"/>
  <c r="G35" i="37"/>
  <c r="H35" i="37"/>
  <c r="I35" i="37"/>
  <c r="J35" i="37"/>
  <c r="K35" i="37"/>
  <c r="L35" i="37"/>
  <c r="M35" i="37"/>
  <c r="N35" i="37"/>
  <c r="O35" i="37"/>
  <c r="P35" i="37"/>
  <c r="Q35" i="37"/>
  <c r="R35" i="37"/>
  <c r="S35" i="37"/>
  <c r="T35" i="37"/>
  <c r="U35" i="37"/>
  <c r="V35" i="37"/>
  <c r="B36" i="37"/>
  <c r="C36" i="37"/>
  <c r="D36" i="37"/>
  <c r="E36" i="37"/>
  <c r="F36" i="37"/>
  <c r="G36" i="37"/>
  <c r="H36" i="37"/>
  <c r="I36" i="37"/>
  <c r="J36" i="37"/>
  <c r="K36" i="37"/>
  <c r="L36" i="37"/>
  <c r="M36" i="37"/>
  <c r="N36" i="37"/>
  <c r="O36" i="37"/>
  <c r="P36" i="37"/>
  <c r="Q36" i="37"/>
  <c r="R36" i="37"/>
  <c r="S36" i="37"/>
  <c r="T36" i="37"/>
  <c r="U36" i="37"/>
  <c r="V36" i="37"/>
  <c r="X36" i="37"/>
  <c r="Y36" i="37"/>
  <c r="Z36" i="37"/>
  <c r="AA36" i="37"/>
  <c r="AB36" i="37"/>
  <c r="AC36" i="37"/>
  <c r="AD36" i="37"/>
  <c r="AE36" i="37"/>
  <c r="B37" i="37"/>
  <c r="C37" i="37"/>
  <c r="D37" i="37"/>
  <c r="E37" i="37"/>
  <c r="F37" i="37"/>
  <c r="G37" i="37"/>
  <c r="H37" i="37"/>
  <c r="I37" i="37"/>
  <c r="J37" i="37"/>
  <c r="K37" i="37"/>
  <c r="L37" i="37"/>
  <c r="M37" i="37"/>
  <c r="N37" i="37"/>
  <c r="O37" i="37"/>
  <c r="P37" i="37"/>
  <c r="Q37" i="37"/>
  <c r="R37" i="37"/>
  <c r="S37" i="37"/>
  <c r="T37" i="37"/>
  <c r="U37" i="37"/>
  <c r="V37" i="37"/>
  <c r="X37" i="37"/>
  <c r="Y37" i="37"/>
  <c r="Z37" i="37"/>
  <c r="AA37" i="37"/>
  <c r="AB37" i="37"/>
  <c r="AC37" i="37"/>
  <c r="AD37" i="37"/>
  <c r="AE37" i="37"/>
  <c r="B38" i="37"/>
  <c r="C38" i="37"/>
  <c r="D38" i="37"/>
  <c r="E38" i="37"/>
  <c r="F38" i="37"/>
  <c r="G38" i="37"/>
  <c r="H38" i="37"/>
  <c r="I38" i="37"/>
  <c r="J38" i="37"/>
  <c r="K38" i="37"/>
  <c r="L38" i="37"/>
  <c r="M38" i="37"/>
  <c r="N38" i="37"/>
  <c r="O38" i="37"/>
  <c r="P38" i="37"/>
  <c r="Q38" i="37"/>
  <c r="R38" i="37"/>
  <c r="S38" i="37"/>
  <c r="T38" i="37"/>
  <c r="U38" i="37"/>
  <c r="V38" i="37"/>
  <c r="Z38" i="37"/>
  <c r="AA38" i="37"/>
  <c r="AB38" i="37"/>
  <c r="AC38" i="37"/>
  <c r="AD38" i="37"/>
  <c r="AE38" i="37"/>
  <c r="B39" i="37"/>
  <c r="C39" i="37"/>
  <c r="D39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 s="1"/>
  <c r="X39" i="37"/>
  <c r="Y39" i="37"/>
  <c r="Z39" i="37"/>
  <c r="AA39" i="37"/>
  <c r="AB39" i="37"/>
  <c r="AC39" i="37"/>
  <c r="AD39" i="37"/>
  <c r="AE39" i="37"/>
  <c r="B40" i="37"/>
  <c r="C40" i="37"/>
  <c r="D40" i="37"/>
  <c r="E40" i="37"/>
  <c r="F40" i="37"/>
  <c r="G40" i="37"/>
  <c r="H40" i="37"/>
  <c r="I40" i="37"/>
  <c r="J40" i="37"/>
  <c r="K40" i="37"/>
  <c r="L40" i="37"/>
  <c r="M40" i="37"/>
  <c r="N40" i="37"/>
  <c r="O40" i="37"/>
  <c r="P40" i="37"/>
  <c r="Q40" i="37"/>
  <c r="R40" i="37"/>
  <c r="S40" i="37"/>
  <c r="T40" i="37"/>
  <c r="U40" i="37"/>
  <c r="V40" i="37"/>
  <c r="B41" i="37"/>
  <c r="C41" i="37"/>
  <c r="D41" i="37"/>
  <c r="E41" i="37"/>
  <c r="F41" i="37"/>
  <c r="G41" i="37"/>
  <c r="H41" i="37"/>
  <c r="I41" i="37"/>
  <c r="J41" i="37"/>
  <c r="K41" i="37"/>
  <c r="L41" i="37"/>
  <c r="M41" i="37"/>
  <c r="N41" i="37"/>
  <c r="O41" i="37"/>
  <c r="P41" i="37"/>
  <c r="Q41" i="37"/>
  <c r="R41" i="37"/>
  <c r="S41" i="37"/>
  <c r="T41" i="37"/>
  <c r="U41" i="37"/>
  <c r="V41" i="37"/>
  <c r="X41" i="37"/>
  <c r="Y41" i="37"/>
  <c r="Z41" i="37"/>
  <c r="AA41" i="37"/>
  <c r="AB41" i="37"/>
  <c r="AC41" i="37"/>
  <c r="AD41" i="37"/>
  <c r="AE41" i="37"/>
  <c r="B42" i="37"/>
  <c r="C42" i="37"/>
  <c r="D42" i="37"/>
  <c r="E42" i="37"/>
  <c r="F42" i="37"/>
  <c r="G42" i="37"/>
  <c r="H42" i="37"/>
  <c r="I42" i="37"/>
  <c r="J42" i="37"/>
  <c r="K42" i="37"/>
  <c r="L42" i="37"/>
  <c r="M42" i="37"/>
  <c r="N42" i="37"/>
  <c r="O42" i="37"/>
  <c r="P42" i="37"/>
  <c r="Q42" i="37"/>
  <c r="R42" i="37"/>
  <c r="S42" i="37"/>
  <c r="T42" i="37"/>
  <c r="U42" i="37"/>
  <c r="V42" i="37"/>
  <c r="AB42" i="37"/>
  <c r="AC42" i="37"/>
  <c r="AD42" i="37"/>
  <c r="AE42" i="37"/>
  <c r="B43" i="37"/>
  <c r="C43" i="37"/>
  <c r="D43" i="37"/>
  <c r="E43" i="37"/>
  <c r="F43" i="37"/>
  <c r="G43" i="37"/>
  <c r="H43" i="37"/>
  <c r="I43" i="37"/>
  <c r="J43" i="37"/>
  <c r="K43" i="37"/>
  <c r="L43" i="37"/>
  <c r="M43" i="37"/>
  <c r="N43" i="37"/>
  <c r="O43" i="37"/>
  <c r="P43" i="37"/>
  <c r="Q43" i="37"/>
  <c r="R43" i="37"/>
  <c r="S43" i="37"/>
  <c r="T43" i="37"/>
  <c r="U43" i="37"/>
  <c r="V43" i="37"/>
  <c r="Y43" i="37" s="1"/>
  <c r="X43" i="37"/>
  <c r="Z43" i="37"/>
  <c r="AA43" i="37"/>
  <c r="AB43" i="37"/>
  <c r="AC43" i="37"/>
  <c r="AD43" i="37"/>
  <c r="AE43" i="37"/>
  <c r="B44" i="37"/>
  <c r="C44" i="37"/>
  <c r="D44" i="37"/>
  <c r="E44" i="37"/>
  <c r="F44" i="37"/>
  <c r="G44" i="37"/>
  <c r="H44" i="37"/>
  <c r="I44" i="37"/>
  <c r="J44" i="37"/>
  <c r="K44" i="37"/>
  <c r="L44" i="37"/>
  <c r="M44" i="37"/>
  <c r="N44" i="37"/>
  <c r="O44" i="37"/>
  <c r="P44" i="37"/>
  <c r="Q44" i="37"/>
  <c r="R44" i="37"/>
  <c r="S44" i="37"/>
  <c r="T44" i="37"/>
  <c r="U44" i="37"/>
  <c r="V44" i="37"/>
  <c r="Z44" i="37"/>
  <c r="AB44" i="37"/>
  <c r="AC44" i="37"/>
  <c r="AD44" i="37"/>
  <c r="AE44" i="37"/>
  <c r="B45" i="37"/>
  <c r="C45" i="37"/>
  <c r="D45" i="37"/>
  <c r="E45" i="37"/>
  <c r="F45" i="37"/>
  <c r="G45" i="37"/>
  <c r="H45" i="37"/>
  <c r="I45" i="37"/>
  <c r="J45" i="37"/>
  <c r="K45" i="37"/>
  <c r="L45" i="37"/>
  <c r="M45" i="37"/>
  <c r="N45" i="37"/>
  <c r="O45" i="37"/>
  <c r="P45" i="37"/>
  <c r="Q45" i="37"/>
  <c r="R45" i="37"/>
  <c r="S45" i="37"/>
  <c r="T45" i="37"/>
  <c r="U45" i="37"/>
  <c r="V45" i="37"/>
  <c r="Z45" i="37"/>
  <c r="AB45" i="37"/>
  <c r="AC45" i="37"/>
  <c r="AD45" i="37"/>
  <c r="AE45" i="37"/>
  <c r="B46" i="37"/>
  <c r="C46" i="37"/>
  <c r="D46" i="37"/>
  <c r="E46" i="37"/>
  <c r="F46" i="37"/>
  <c r="G46" i="37"/>
  <c r="H46" i="37"/>
  <c r="I46" i="37"/>
  <c r="J46" i="37"/>
  <c r="K46" i="37"/>
  <c r="L46" i="37"/>
  <c r="M46" i="37"/>
  <c r="N46" i="37"/>
  <c r="O46" i="37"/>
  <c r="P46" i="37"/>
  <c r="Q46" i="37"/>
  <c r="R46" i="37"/>
  <c r="S46" i="37"/>
  <c r="T46" i="37"/>
  <c r="U46" i="37"/>
  <c r="V46" i="37"/>
  <c r="AB46" i="37"/>
  <c r="AC46" i="37"/>
  <c r="AD46" i="37"/>
  <c r="AE46" i="37"/>
  <c r="B47" i="37"/>
  <c r="C47" i="37"/>
  <c r="D47" i="37"/>
  <c r="E47" i="37"/>
  <c r="F47" i="37"/>
  <c r="G47" i="37"/>
  <c r="H47" i="37"/>
  <c r="I47" i="37"/>
  <c r="J47" i="37"/>
  <c r="K47" i="37"/>
  <c r="L47" i="37"/>
  <c r="M47" i="37"/>
  <c r="N47" i="37"/>
  <c r="O47" i="37"/>
  <c r="P47" i="37"/>
  <c r="Q47" i="37"/>
  <c r="R47" i="37"/>
  <c r="S47" i="37"/>
  <c r="T47" i="37"/>
  <c r="U47" i="37"/>
  <c r="V47" i="37"/>
  <c r="X47" i="37"/>
  <c r="Y47" i="37"/>
  <c r="Z47" i="37"/>
  <c r="AA47" i="37"/>
  <c r="AB47" i="37"/>
  <c r="AC47" i="37"/>
  <c r="AD47" i="37"/>
  <c r="AE47" i="37"/>
  <c r="B48" i="37"/>
  <c r="C48" i="37" s="1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Z48" i="37"/>
  <c r="AA48" i="37"/>
  <c r="AB48" i="37"/>
  <c r="AC48" i="37"/>
  <c r="AD48" i="37"/>
  <c r="AE48" i="37"/>
  <c r="B49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Z49" i="37"/>
  <c r="AA49" i="37"/>
  <c r="AB49" i="37"/>
  <c r="AC49" i="37"/>
  <c r="AD49" i="37"/>
  <c r="AE49" i="37"/>
  <c r="B50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Y50" i="37"/>
  <c r="Z50" i="37"/>
  <c r="AA50" i="37"/>
  <c r="AB50" i="37"/>
  <c r="AC50" i="37"/>
  <c r="AD50" i="37"/>
  <c r="AE50" i="37"/>
  <c r="B51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Z51" i="37"/>
  <c r="AA51" i="37"/>
  <c r="AB51" i="37"/>
  <c r="AC51" i="37"/>
  <c r="AD51" i="37"/>
  <c r="AE51" i="37"/>
  <c r="B52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Y52" i="37" s="1"/>
  <c r="Z52" i="37"/>
  <c r="AA52" i="37"/>
  <c r="AB52" i="37"/>
  <c r="AC52" i="37"/>
  <c r="AD52" i="37"/>
  <c r="AE52" i="37"/>
  <c r="B53" i="37"/>
  <c r="C53" i="37"/>
  <c r="D53" i="37"/>
  <c r="I53" i="37"/>
  <c r="J53" i="37"/>
  <c r="B54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AC54" i="37" s="1"/>
  <c r="AA54" i="37"/>
  <c r="AB54" i="37"/>
  <c r="AD54" i="37"/>
  <c r="AE54" i="37"/>
  <c r="B55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B56" i="37"/>
  <c r="C56" i="37"/>
  <c r="D56" i="37"/>
  <c r="E56" i="37"/>
  <c r="F56" i="37"/>
  <c r="G56" i="37"/>
  <c r="H56" i="37"/>
  <c r="I56" i="37"/>
  <c r="J56" i="37"/>
  <c r="K56" i="37"/>
  <c r="L56" i="37"/>
  <c r="M56" i="37"/>
  <c r="N56" i="37"/>
  <c r="O56" i="37"/>
  <c r="P56" i="37"/>
  <c r="Q56" i="37"/>
  <c r="R56" i="37"/>
  <c r="S56" i="37"/>
  <c r="T56" i="37"/>
  <c r="U56" i="37"/>
  <c r="V56" i="37"/>
  <c r="X56" i="37"/>
  <c r="Y56" i="37"/>
  <c r="Z56" i="37"/>
  <c r="AA56" i="37"/>
  <c r="AB56" i="37"/>
  <c r="AC56" i="37"/>
  <c r="AD56" i="37"/>
  <c r="B57" i="37"/>
  <c r="C57" i="37" s="1"/>
  <c r="D57" i="37"/>
  <c r="E57" i="37"/>
  <c r="F57" i="37"/>
  <c r="G57" i="37"/>
  <c r="H57" i="37"/>
  <c r="I57" i="37"/>
  <c r="J57" i="37"/>
  <c r="B58" i="37"/>
  <c r="C58" i="37"/>
  <c r="D58" i="37"/>
  <c r="E58" i="37"/>
  <c r="F58" i="37"/>
  <c r="G58" i="37"/>
  <c r="H58" i="37"/>
  <c r="I58" i="37"/>
  <c r="J58" i="37"/>
  <c r="B59" i="37"/>
  <c r="C59" i="37"/>
  <c r="D59" i="37"/>
  <c r="E59" i="37"/>
  <c r="F59" i="37"/>
  <c r="G59" i="37"/>
  <c r="H59" i="37"/>
  <c r="I59" i="37"/>
  <c r="J59" i="37"/>
  <c r="B60" i="37"/>
  <c r="C60" i="37" s="1"/>
  <c r="D60" i="37"/>
  <c r="E60" i="37"/>
  <c r="F60" i="37"/>
  <c r="G60" i="37"/>
  <c r="H60" i="37"/>
  <c r="I60" i="37"/>
  <c r="J60" i="37"/>
  <c r="B61" i="37"/>
  <c r="C61" i="37"/>
  <c r="D61" i="37"/>
  <c r="E61" i="37"/>
  <c r="F61" i="37"/>
  <c r="G61" i="37"/>
  <c r="H61" i="37"/>
  <c r="I61" i="37"/>
  <c r="J61" i="37"/>
  <c r="B62" i="37"/>
  <c r="C62" i="37"/>
  <c r="D62" i="37"/>
  <c r="E62" i="37"/>
  <c r="F62" i="37"/>
  <c r="G62" i="37"/>
  <c r="H62" i="37"/>
  <c r="I62" i="37"/>
  <c r="J62" i="37"/>
  <c r="B63" i="37"/>
  <c r="C63" i="37"/>
  <c r="D63" i="37"/>
  <c r="E63" i="37"/>
  <c r="F63" i="37"/>
  <c r="G63" i="37"/>
  <c r="H63" i="37"/>
  <c r="I63" i="37"/>
  <c r="J63" i="37"/>
  <c r="B64" i="37"/>
  <c r="C64" i="37"/>
  <c r="D64" i="37"/>
  <c r="E64" i="37"/>
  <c r="F64" i="37"/>
  <c r="G64" i="37"/>
  <c r="H64" i="37"/>
  <c r="I64" i="37"/>
  <c r="J64" i="37"/>
  <c r="B65" i="37"/>
  <c r="C65" i="37"/>
  <c r="D65" i="37"/>
  <c r="E65" i="37"/>
  <c r="F65" i="37"/>
  <c r="G65" i="37"/>
  <c r="H65" i="37"/>
  <c r="I65" i="37"/>
  <c r="J65" i="37"/>
  <c r="B66" i="37"/>
  <c r="C66" i="37"/>
  <c r="D66" i="37"/>
  <c r="E66" i="37"/>
  <c r="F66" i="37"/>
  <c r="G66" i="37"/>
  <c r="H66" i="37"/>
  <c r="I66" i="37"/>
  <c r="J66" i="37"/>
  <c r="B67" i="37"/>
  <c r="C67" i="37"/>
  <c r="D67" i="37"/>
  <c r="E67" i="37"/>
  <c r="F67" i="37"/>
  <c r="G67" i="37"/>
  <c r="H67" i="37"/>
  <c r="I67" i="37"/>
  <c r="J67" i="37"/>
  <c r="B68" i="37"/>
  <c r="C68" i="37"/>
  <c r="D68" i="37"/>
  <c r="E68" i="37"/>
  <c r="F68" i="37"/>
  <c r="G68" i="37"/>
  <c r="H68" i="37"/>
  <c r="I68" i="37"/>
  <c r="J68" i="37"/>
  <c r="B69" i="37"/>
  <c r="I69" i="37"/>
  <c r="J69" i="37"/>
  <c r="B70" i="37"/>
  <c r="C70" i="37"/>
  <c r="D70" i="37"/>
  <c r="E70" i="37"/>
  <c r="F70" i="37"/>
  <c r="G70" i="37"/>
  <c r="H70" i="37"/>
  <c r="I70" i="37"/>
  <c r="J70" i="37"/>
  <c r="B71" i="37"/>
  <c r="C71" i="37"/>
  <c r="D71" i="37"/>
  <c r="E71" i="37"/>
  <c r="F71" i="37"/>
  <c r="G71" i="37"/>
  <c r="H71" i="37"/>
  <c r="I71" i="37"/>
  <c r="J71" i="37"/>
  <c r="B72" i="37"/>
  <c r="F72" i="37"/>
  <c r="H72" i="37"/>
  <c r="I72" i="37"/>
  <c r="J72" i="37"/>
  <c r="B73" i="37"/>
  <c r="C73" i="37"/>
  <c r="D73" i="37"/>
  <c r="E73" i="37"/>
  <c r="F73" i="37"/>
  <c r="G73" i="37"/>
  <c r="H73" i="37"/>
  <c r="I73" i="37"/>
  <c r="J73" i="37"/>
  <c r="B74" i="37"/>
  <c r="C74" i="37"/>
  <c r="D74" i="37"/>
  <c r="E74" i="37"/>
  <c r="F74" i="37"/>
  <c r="G74" i="37"/>
  <c r="H74" i="37"/>
  <c r="I74" i="37"/>
  <c r="J74" i="37"/>
  <c r="B75" i="37"/>
  <c r="C75" i="37"/>
  <c r="D75" i="37"/>
  <c r="E75" i="37"/>
  <c r="F75" i="37"/>
  <c r="G75" i="37"/>
  <c r="H75" i="37"/>
  <c r="I75" i="37"/>
  <c r="J75" i="37"/>
  <c r="B76" i="37"/>
  <c r="C76" i="37"/>
  <c r="D76" i="37"/>
  <c r="E76" i="37"/>
  <c r="F76" i="37"/>
  <c r="G76" i="37"/>
  <c r="H76" i="37"/>
  <c r="I76" i="37"/>
  <c r="J76" i="37"/>
  <c r="B77" i="37"/>
  <c r="C77" i="37"/>
  <c r="D77" i="37"/>
  <c r="E77" i="37"/>
  <c r="F77" i="37"/>
  <c r="G77" i="37"/>
  <c r="H77" i="37"/>
  <c r="I77" i="37"/>
  <c r="J77" i="37"/>
  <c r="B78" i="37"/>
  <c r="E78" i="37"/>
  <c r="F78" i="37"/>
  <c r="G78" i="37"/>
  <c r="H78" i="37"/>
  <c r="I78" i="37"/>
  <c r="J78" i="37"/>
  <c r="B79" i="37"/>
  <c r="F79" i="37"/>
  <c r="G79" i="37"/>
  <c r="H79" i="37"/>
  <c r="I79" i="37"/>
  <c r="J79" i="37"/>
  <c r="B80" i="37"/>
  <c r="C80" i="37"/>
  <c r="D80" i="37"/>
  <c r="E80" i="37"/>
  <c r="F80" i="37"/>
  <c r="G80" i="37"/>
  <c r="H80" i="37"/>
  <c r="I80" i="37"/>
  <c r="J80" i="37"/>
  <c r="B81" i="37"/>
  <c r="F81" i="37"/>
  <c r="G81" i="37"/>
  <c r="H81" i="37"/>
  <c r="I81" i="37"/>
  <c r="J81" i="37"/>
  <c r="B82" i="37"/>
  <c r="C82" i="37"/>
  <c r="D82" i="37"/>
  <c r="E82" i="37"/>
  <c r="F82" i="37"/>
  <c r="G82" i="37"/>
  <c r="H82" i="37"/>
  <c r="I82" i="37"/>
  <c r="J82" i="37"/>
  <c r="B83" i="37"/>
  <c r="I83" i="37"/>
  <c r="J83" i="37"/>
  <c r="B84" i="37"/>
  <c r="C84" i="37"/>
  <c r="D84" i="37"/>
  <c r="E84" i="37"/>
  <c r="F84" i="37"/>
  <c r="G84" i="37"/>
  <c r="H84" i="37"/>
  <c r="I84" i="37"/>
  <c r="J84" i="37"/>
  <c r="B85" i="37"/>
  <c r="C85" i="37"/>
  <c r="D85" i="37"/>
  <c r="E85" i="37"/>
  <c r="F85" i="37"/>
  <c r="G85" i="37"/>
  <c r="H85" i="37"/>
  <c r="I85" i="37"/>
  <c r="J85" i="37"/>
  <c r="A1" i="36"/>
  <c r="P2" i="36"/>
  <c r="J3" i="36"/>
  <c r="J4" i="36"/>
  <c r="M4" i="36"/>
  <c r="AI4" i="36"/>
  <c r="J5" i="36"/>
  <c r="J6" i="36"/>
  <c r="B10" i="36"/>
  <c r="C10" i="36"/>
  <c r="D10" i="36"/>
  <c r="E10" i="36"/>
  <c r="F10" i="36"/>
  <c r="G10" i="36"/>
  <c r="H10" i="36"/>
  <c r="I10" i="36"/>
  <c r="J10" i="36"/>
  <c r="S10" i="36"/>
  <c r="T10" i="36"/>
  <c r="U10" i="36"/>
  <c r="V10" i="36"/>
  <c r="B11" i="36"/>
  <c r="C11" i="36" s="1"/>
  <c r="D11" i="36"/>
  <c r="E11" i="36"/>
  <c r="F11" i="36"/>
  <c r="G11" i="36"/>
  <c r="H11" i="36"/>
  <c r="I11" i="36"/>
  <c r="J11" i="36"/>
  <c r="K11" i="36"/>
  <c r="L11" i="36"/>
  <c r="M11" i="36"/>
  <c r="N11" i="36"/>
  <c r="O11" i="36"/>
  <c r="P11" i="36"/>
  <c r="Q11" i="36"/>
  <c r="R11" i="36"/>
  <c r="S11" i="36"/>
  <c r="T11" i="36"/>
  <c r="U11" i="36"/>
  <c r="V11" i="36"/>
  <c r="X11" i="36"/>
  <c r="AA11" i="36"/>
  <c r="AB11" i="36"/>
  <c r="AC11" i="36"/>
  <c r="AD11" i="36"/>
  <c r="AE11" i="36"/>
  <c r="B12" i="36"/>
  <c r="C12" i="36"/>
  <c r="D12" i="36"/>
  <c r="E12" i="36"/>
  <c r="F12" i="36"/>
  <c r="G12" i="36"/>
  <c r="H12" i="36"/>
  <c r="I12" i="36"/>
  <c r="J12" i="36"/>
  <c r="K12" i="36"/>
  <c r="L12" i="36"/>
  <c r="M12" i="36"/>
  <c r="N12" i="36"/>
  <c r="O12" i="36"/>
  <c r="P12" i="36"/>
  <c r="Q12" i="36"/>
  <c r="R12" i="36"/>
  <c r="S12" i="36"/>
  <c r="T12" i="36"/>
  <c r="U12" i="36"/>
  <c r="V12" i="36"/>
  <c r="B13" i="36"/>
  <c r="G13" i="36"/>
  <c r="H13" i="36"/>
  <c r="I13" i="36"/>
  <c r="J13" i="36"/>
  <c r="K13" i="36"/>
  <c r="L13" i="36"/>
  <c r="M13" i="36"/>
  <c r="N13" i="36"/>
  <c r="O13" i="36"/>
  <c r="P13" i="36"/>
  <c r="Q13" i="36"/>
  <c r="R13" i="36"/>
  <c r="S13" i="36"/>
  <c r="T13" i="36"/>
  <c r="U13" i="36"/>
  <c r="V13" i="36"/>
  <c r="X13" i="36"/>
  <c r="Y13" i="36"/>
  <c r="Z13" i="36"/>
  <c r="AA13" i="36"/>
  <c r="AB13" i="36"/>
  <c r="AC13" i="36"/>
  <c r="AD13" i="36"/>
  <c r="AE13" i="36"/>
  <c r="B14" i="36"/>
  <c r="C14" i="36"/>
  <c r="D14" i="36"/>
  <c r="E14" i="36"/>
  <c r="F14" i="36"/>
  <c r="G14" i="36"/>
  <c r="H14" i="36"/>
  <c r="I14" i="36"/>
  <c r="J14" i="36"/>
  <c r="K14" i="36"/>
  <c r="L14" i="36"/>
  <c r="M14" i="36"/>
  <c r="N14" i="36"/>
  <c r="O14" i="36"/>
  <c r="P14" i="36"/>
  <c r="Q14" i="36"/>
  <c r="R14" i="36"/>
  <c r="S14" i="36"/>
  <c r="T14" i="36"/>
  <c r="U14" i="36"/>
  <c r="V14" i="36"/>
  <c r="W14" i="36" s="1"/>
  <c r="X14" i="36"/>
  <c r="Y14" i="36"/>
  <c r="Z14" i="36"/>
  <c r="AA14" i="36"/>
  <c r="AB14" i="36"/>
  <c r="AC14" i="36"/>
  <c r="AD14" i="36"/>
  <c r="AE14" i="36"/>
  <c r="B15" i="36"/>
  <c r="C15" i="36"/>
  <c r="D15" i="36"/>
  <c r="E15" i="36"/>
  <c r="F15" i="36"/>
  <c r="G15" i="36"/>
  <c r="H15" i="36"/>
  <c r="I15" i="36"/>
  <c r="J15" i="36"/>
  <c r="K15" i="36"/>
  <c r="L15" i="36"/>
  <c r="M15" i="36"/>
  <c r="N15" i="36"/>
  <c r="O15" i="36"/>
  <c r="P15" i="36"/>
  <c r="Q15" i="36"/>
  <c r="R15" i="36"/>
  <c r="S15" i="36"/>
  <c r="T15" i="36"/>
  <c r="U15" i="36"/>
  <c r="V15" i="36"/>
  <c r="AE15" i="36"/>
  <c r="B16" i="36"/>
  <c r="C16" i="36" s="1"/>
  <c r="D16" i="36"/>
  <c r="E16" i="36"/>
  <c r="F16" i="36"/>
  <c r="G16" i="36"/>
  <c r="H16" i="36"/>
  <c r="I16" i="36"/>
  <c r="J16" i="36"/>
  <c r="K16" i="36"/>
  <c r="L16" i="36"/>
  <c r="M16" i="36"/>
  <c r="N16" i="36"/>
  <c r="O16" i="36"/>
  <c r="P16" i="36"/>
  <c r="Q16" i="36"/>
  <c r="R16" i="36"/>
  <c r="S16" i="36"/>
  <c r="T16" i="36"/>
  <c r="U16" i="36"/>
  <c r="V16" i="36"/>
  <c r="X16" i="36"/>
  <c r="Z16" i="36"/>
  <c r="AA16" i="36"/>
  <c r="AB16" i="36"/>
  <c r="AC16" i="36"/>
  <c r="AD16" i="36"/>
  <c r="AE16" i="36"/>
  <c r="B17" i="36"/>
  <c r="C17" i="36" s="1"/>
  <c r="D17" i="36"/>
  <c r="E17" i="36"/>
  <c r="F17" i="36"/>
  <c r="G17" i="36"/>
  <c r="H17" i="36"/>
  <c r="I17" i="36"/>
  <c r="J17" i="36"/>
  <c r="K17" i="36"/>
  <c r="L17" i="36"/>
  <c r="M17" i="36"/>
  <c r="N17" i="36"/>
  <c r="O17" i="36"/>
  <c r="P17" i="36"/>
  <c r="Q17" i="36"/>
  <c r="R17" i="36"/>
  <c r="S17" i="36"/>
  <c r="T17" i="36"/>
  <c r="U17" i="36"/>
  <c r="V17" i="36"/>
  <c r="Z17" i="36"/>
  <c r="AA17" i="36"/>
  <c r="AB17" i="36"/>
  <c r="AC17" i="36"/>
  <c r="AD17" i="36"/>
  <c r="AE17" i="36"/>
  <c r="B18" i="36"/>
  <c r="C18" i="36"/>
  <c r="D18" i="36"/>
  <c r="E18" i="36"/>
  <c r="F18" i="36"/>
  <c r="G18" i="36"/>
  <c r="H18" i="36"/>
  <c r="I18" i="36"/>
  <c r="J18" i="36"/>
  <c r="K18" i="36"/>
  <c r="L18" i="36"/>
  <c r="M18" i="36"/>
  <c r="N18" i="36"/>
  <c r="O18" i="36"/>
  <c r="P18" i="36"/>
  <c r="Q18" i="36"/>
  <c r="R18" i="36"/>
  <c r="S18" i="36"/>
  <c r="T18" i="36"/>
  <c r="U18" i="36"/>
  <c r="V18" i="36"/>
  <c r="B19" i="36"/>
  <c r="C19" i="36"/>
  <c r="D19" i="36"/>
  <c r="E19" i="36"/>
  <c r="F19" i="36"/>
  <c r="G19" i="36"/>
  <c r="H19" i="36"/>
  <c r="I19" i="36"/>
  <c r="J19" i="36"/>
  <c r="K19" i="36"/>
  <c r="L19" i="36"/>
  <c r="M19" i="36"/>
  <c r="N19" i="36"/>
  <c r="O19" i="36"/>
  <c r="P19" i="36"/>
  <c r="Q19" i="36"/>
  <c r="R19" i="36"/>
  <c r="S19" i="36"/>
  <c r="T19" i="36"/>
  <c r="U19" i="36"/>
  <c r="V19" i="36"/>
  <c r="Z19" i="36"/>
  <c r="AA19" i="36"/>
  <c r="AB19" i="36"/>
  <c r="AC19" i="36"/>
  <c r="AD19" i="36"/>
  <c r="AE19" i="36"/>
  <c r="B20" i="36"/>
  <c r="C20" i="36"/>
  <c r="D20" i="36"/>
  <c r="E20" i="36"/>
  <c r="F20" i="36"/>
  <c r="G20" i="36"/>
  <c r="H20" i="36"/>
  <c r="I20" i="36"/>
  <c r="J20" i="36"/>
  <c r="K20" i="36"/>
  <c r="L20" i="36"/>
  <c r="M20" i="36"/>
  <c r="N20" i="36"/>
  <c r="O20" i="36"/>
  <c r="P20" i="36"/>
  <c r="Q20" i="36"/>
  <c r="R20" i="36"/>
  <c r="S20" i="36"/>
  <c r="T20" i="36"/>
  <c r="U20" i="36"/>
  <c r="V20" i="36"/>
  <c r="X20" i="36"/>
  <c r="Y20" i="36"/>
  <c r="Z20" i="36"/>
  <c r="AA20" i="36"/>
  <c r="AB20" i="36"/>
  <c r="AC20" i="36"/>
  <c r="AD20" i="36"/>
  <c r="AE20" i="36"/>
  <c r="B21" i="36"/>
  <c r="C21" i="36"/>
  <c r="D21" i="36"/>
  <c r="E21" i="36"/>
  <c r="F21" i="36"/>
  <c r="G21" i="36"/>
  <c r="H21" i="36"/>
  <c r="I21" i="36"/>
  <c r="J21" i="36"/>
  <c r="K21" i="36"/>
  <c r="L21" i="36"/>
  <c r="M21" i="36"/>
  <c r="N21" i="36"/>
  <c r="O21" i="36"/>
  <c r="P21" i="36"/>
  <c r="Q21" i="36"/>
  <c r="R21" i="36"/>
  <c r="S21" i="36"/>
  <c r="T21" i="36"/>
  <c r="U21" i="36"/>
  <c r="V21" i="36"/>
  <c r="B22" i="36"/>
  <c r="C22" i="36"/>
  <c r="D22" i="36"/>
  <c r="E22" i="36"/>
  <c r="F22" i="36"/>
  <c r="G22" i="36"/>
  <c r="H22" i="36"/>
  <c r="I22" i="36"/>
  <c r="J22" i="36"/>
  <c r="K22" i="36"/>
  <c r="L22" i="36"/>
  <c r="M22" i="36"/>
  <c r="N22" i="36"/>
  <c r="O22" i="36"/>
  <c r="P22" i="36"/>
  <c r="Q22" i="36"/>
  <c r="R22" i="36"/>
  <c r="S22" i="36"/>
  <c r="T22" i="36"/>
  <c r="U22" i="36"/>
  <c r="V22" i="36"/>
  <c r="X22" i="36"/>
  <c r="Y22" i="36"/>
  <c r="Z22" i="36"/>
  <c r="AA22" i="36"/>
  <c r="AB22" i="36"/>
  <c r="AC22" i="36"/>
  <c r="AD22" i="36"/>
  <c r="AE22" i="36"/>
  <c r="B23" i="36"/>
  <c r="C23" i="36"/>
  <c r="D23" i="36"/>
  <c r="E23" i="36"/>
  <c r="F23" i="36"/>
  <c r="G23" i="36"/>
  <c r="H23" i="36"/>
  <c r="I23" i="36"/>
  <c r="J23" i="36"/>
  <c r="K23" i="36"/>
  <c r="L23" i="36"/>
  <c r="M23" i="36"/>
  <c r="N23" i="36"/>
  <c r="O23" i="36"/>
  <c r="P23" i="36"/>
  <c r="Q23" i="36"/>
  <c r="R23" i="36"/>
  <c r="S23" i="36"/>
  <c r="T23" i="36"/>
  <c r="U23" i="36"/>
  <c r="V23" i="36"/>
  <c r="AB23" i="36"/>
  <c r="AC23" i="36"/>
  <c r="AD23" i="36"/>
  <c r="AE23" i="36"/>
  <c r="B24" i="36"/>
  <c r="C24" i="36"/>
  <c r="D24" i="36"/>
  <c r="E24" i="36"/>
  <c r="F24" i="36"/>
  <c r="G24" i="36"/>
  <c r="H24" i="36"/>
  <c r="I24" i="36"/>
  <c r="J24" i="36"/>
  <c r="K24" i="36"/>
  <c r="L24" i="36"/>
  <c r="M24" i="36"/>
  <c r="N24" i="36"/>
  <c r="O24" i="36"/>
  <c r="P24" i="36"/>
  <c r="Q24" i="36"/>
  <c r="R24" i="36"/>
  <c r="S24" i="36"/>
  <c r="T24" i="36"/>
  <c r="U24" i="36"/>
  <c r="V24" i="36"/>
  <c r="B25" i="36"/>
  <c r="C25" i="36"/>
  <c r="D25" i="36"/>
  <c r="E25" i="36"/>
  <c r="F25" i="36"/>
  <c r="G25" i="36"/>
  <c r="H25" i="36"/>
  <c r="I25" i="36"/>
  <c r="J25" i="36"/>
  <c r="K25" i="36"/>
  <c r="L25" i="36"/>
  <c r="M25" i="36"/>
  <c r="N25" i="36"/>
  <c r="O25" i="36"/>
  <c r="P25" i="36"/>
  <c r="Q25" i="36"/>
  <c r="R25" i="36"/>
  <c r="S25" i="36"/>
  <c r="T25" i="36"/>
  <c r="U25" i="36"/>
  <c r="V25" i="36"/>
  <c r="W25" i="36"/>
  <c r="X25" i="36"/>
  <c r="Y25" i="36"/>
  <c r="Z25" i="36"/>
  <c r="AA25" i="36"/>
  <c r="AB25" i="36"/>
  <c r="AC25" i="36"/>
  <c r="AD25" i="36"/>
  <c r="AE25" i="36"/>
  <c r="B26" i="36"/>
  <c r="C26" i="36" s="1"/>
  <c r="D26" i="36"/>
  <c r="E26" i="36"/>
  <c r="F26" i="36"/>
  <c r="G26" i="36"/>
  <c r="H26" i="36"/>
  <c r="I26" i="36"/>
  <c r="J26" i="36"/>
  <c r="K26" i="36"/>
  <c r="L26" i="36"/>
  <c r="M26" i="36"/>
  <c r="N26" i="36"/>
  <c r="O26" i="36"/>
  <c r="P26" i="36"/>
  <c r="Q26" i="36"/>
  <c r="R26" i="36"/>
  <c r="S26" i="36"/>
  <c r="T26" i="36"/>
  <c r="U26" i="36"/>
  <c r="V26" i="36"/>
  <c r="B27" i="36"/>
  <c r="C27" i="36"/>
  <c r="D27" i="36"/>
  <c r="E27" i="36"/>
  <c r="F27" i="36"/>
  <c r="G27" i="36"/>
  <c r="H27" i="36"/>
  <c r="I27" i="36"/>
  <c r="J27" i="36"/>
  <c r="K27" i="36"/>
  <c r="L27" i="36"/>
  <c r="M27" i="36"/>
  <c r="N27" i="36"/>
  <c r="O27" i="36"/>
  <c r="P27" i="36"/>
  <c r="Q27" i="36"/>
  <c r="R27" i="36"/>
  <c r="S27" i="36"/>
  <c r="T27" i="36"/>
  <c r="U27" i="36"/>
  <c r="V27" i="36"/>
  <c r="W27" i="36" s="1"/>
  <c r="X27" i="36"/>
  <c r="Y27" i="36"/>
  <c r="Z27" i="36"/>
  <c r="AA27" i="36"/>
  <c r="AB27" i="36"/>
  <c r="AC27" i="36"/>
  <c r="AD27" i="36"/>
  <c r="AE27" i="36"/>
  <c r="B28" i="36"/>
  <c r="C28" i="36" s="1"/>
  <c r="D28" i="36"/>
  <c r="E28" i="36"/>
  <c r="F28" i="36"/>
  <c r="G28" i="36"/>
  <c r="H28" i="36"/>
  <c r="I28" i="36"/>
  <c r="J28" i="36"/>
  <c r="K28" i="36"/>
  <c r="L28" i="36"/>
  <c r="M28" i="36"/>
  <c r="N28" i="36"/>
  <c r="O28" i="36"/>
  <c r="P28" i="36"/>
  <c r="Q28" i="36"/>
  <c r="R28" i="36"/>
  <c r="S28" i="36"/>
  <c r="T28" i="36"/>
  <c r="U28" i="36"/>
  <c r="V28" i="36"/>
  <c r="X28" i="36"/>
  <c r="Y28" i="36"/>
  <c r="Z28" i="36"/>
  <c r="AA28" i="36"/>
  <c r="AB28" i="36"/>
  <c r="AC28" i="36"/>
  <c r="AD28" i="36"/>
  <c r="AE28" i="36"/>
  <c r="B29" i="36"/>
  <c r="C29" i="36"/>
  <c r="D29" i="36"/>
  <c r="E29" i="36"/>
  <c r="F29" i="36"/>
  <c r="G29" i="36"/>
  <c r="H29" i="36"/>
  <c r="I29" i="36"/>
  <c r="J29" i="36"/>
  <c r="K29" i="36"/>
  <c r="L29" i="36"/>
  <c r="M29" i="36"/>
  <c r="N29" i="36"/>
  <c r="O29" i="36"/>
  <c r="P29" i="36"/>
  <c r="Q29" i="36"/>
  <c r="R29" i="36"/>
  <c r="S29" i="36"/>
  <c r="T29" i="36"/>
  <c r="U29" i="36"/>
  <c r="V29" i="36"/>
  <c r="X29" i="36"/>
  <c r="Y29" i="36"/>
  <c r="Z29" i="36"/>
  <c r="AA29" i="36"/>
  <c r="AB29" i="36"/>
  <c r="AC29" i="36"/>
  <c r="AD29" i="36"/>
  <c r="AE29" i="36"/>
  <c r="B30" i="36"/>
  <c r="C30" i="36"/>
  <c r="D30" i="36"/>
  <c r="E30" i="36"/>
  <c r="F30" i="36"/>
  <c r="G30" i="36"/>
  <c r="H30" i="36"/>
  <c r="I30" i="36"/>
  <c r="J30" i="36"/>
  <c r="K30" i="36"/>
  <c r="L30" i="36"/>
  <c r="M30" i="36"/>
  <c r="N30" i="36"/>
  <c r="O30" i="36"/>
  <c r="P30" i="36"/>
  <c r="Q30" i="36"/>
  <c r="R30" i="36"/>
  <c r="S30" i="36"/>
  <c r="T30" i="36"/>
  <c r="U30" i="36"/>
  <c r="V30" i="36"/>
  <c r="Z30" i="36"/>
  <c r="AA30" i="36"/>
  <c r="AB30" i="36"/>
  <c r="AC30" i="36"/>
  <c r="AD30" i="36"/>
  <c r="AE30" i="36"/>
  <c r="B31" i="36"/>
  <c r="C31" i="36"/>
  <c r="D31" i="36"/>
  <c r="E31" i="36"/>
  <c r="F31" i="36"/>
  <c r="G31" i="36"/>
  <c r="H31" i="36"/>
  <c r="I31" i="36"/>
  <c r="J31" i="36"/>
  <c r="K31" i="36"/>
  <c r="L31" i="36"/>
  <c r="M31" i="36"/>
  <c r="N31" i="36"/>
  <c r="O31" i="36"/>
  <c r="P31" i="36"/>
  <c r="Q31" i="36"/>
  <c r="R31" i="36"/>
  <c r="S31" i="36"/>
  <c r="T31" i="36"/>
  <c r="U31" i="36"/>
  <c r="V31" i="36"/>
  <c r="AA31" i="36"/>
  <c r="AE31" i="36"/>
  <c r="B32" i="36"/>
  <c r="C32" i="36"/>
  <c r="D32" i="36"/>
  <c r="E32" i="36"/>
  <c r="F32" i="36"/>
  <c r="G32" i="36"/>
  <c r="H32" i="36"/>
  <c r="I32" i="36"/>
  <c r="J32" i="36"/>
  <c r="K32" i="36"/>
  <c r="L32" i="36"/>
  <c r="M32" i="36"/>
  <c r="N32" i="36"/>
  <c r="O32" i="36"/>
  <c r="P32" i="36"/>
  <c r="Q32" i="36"/>
  <c r="R32" i="36"/>
  <c r="S32" i="36"/>
  <c r="T32" i="36"/>
  <c r="U32" i="36"/>
  <c r="V32" i="36"/>
  <c r="W32" i="36" s="1"/>
  <c r="X32" i="36"/>
  <c r="Y32" i="36"/>
  <c r="Z32" i="36"/>
  <c r="AA32" i="36"/>
  <c r="AB32" i="36"/>
  <c r="AC32" i="36"/>
  <c r="AD32" i="36"/>
  <c r="AE32" i="36"/>
  <c r="B33" i="36"/>
  <c r="C33" i="36"/>
  <c r="D33" i="36"/>
  <c r="E33" i="36"/>
  <c r="F33" i="36"/>
  <c r="G33" i="36"/>
  <c r="H33" i="36"/>
  <c r="I33" i="36"/>
  <c r="J33" i="36"/>
  <c r="K33" i="36"/>
  <c r="L33" i="36"/>
  <c r="M33" i="36"/>
  <c r="N33" i="36"/>
  <c r="O33" i="36"/>
  <c r="P33" i="36"/>
  <c r="Q33" i="36"/>
  <c r="R33" i="36"/>
  <c r="S33" i="36"/>
  <c r="T33" i="36"/>
  <c r="U33" i="36"/>
  <c r="V33" i="36"/>
  <c r="AB33" i="36"/>
  <c r="AC33" i="36"/>
  <c r="AD33" i="36"/>
  <c r="AE33" i="36"/>
  <c r="B34" i="36"/>
  <c r="F34" i="36"/>
  <c r="G34" i="36"/>
  <c r="H34" i="36"/>
  <c r="I34" i="36"/>
  <c r="J34" i="36"/>
  <c r="K34" i="36"/>
  <c r="L34" i="36"/>
  <c r="M34" i="36"/>
  <c r="N34" i="36"/>
  <c r="O34" i="36"/>
  <c r="P34" i="36"/>
  <c r="Q34" i="36"/>
  <c r="R34" i="36"/>
  <c r="S34" i="36"/>
  <c r="T34" i="36"/>
  <c r="U34" i="36"/>
  <c r="V34" i="36"/>
  <c r="Y34" i="36"/>
  <c r="Z34" i="36"/>
  <c r="AA34" i="36"/>
  <c r="AB34" i="36"/>
  <c r="AC34" i="36"/>
  <c r="AD34" i="36"/>
  <c r="AE34" i="36"/>
  <c r="B35" i="36"/>
  <c r="C35" i="36"/>
  <c r="D35" i="36"/>
  <c r="E35" i="36"/>
  <c r="F35" i="36"/>
  <c r="G35" i="36"/>
  <c r="H35" i="36"/>
  <c r="I35" i="36"/>
  <c r="J35" i="36"/>
  <c r="K35" i="36"/>
  <c r="L35" i="36"/>
  <c r="M35" i="36"/>
  <c r="N35" i="36"/>
  <c r="O35" i="36"/>
  <c r="P35" i="36"/>
  <c r="Q35" i="36"/>
  <c r="R35" i="36"/>
  <c r="S35" i="36"/>
  <c r="T35" i="36"/>
  <c r="U35" i="36"/>
  <c r="V35" i="36"/>
  <c r="Y35" i="36"/>
  <c r="Z35" i="36"/>
  <c r="AA35" i="36"/>
  <c r="AB35" i="36"/>
  <c r="AC35" i="36"/>
  <c r="AD35" i="36"/>
  <c r="AE35" i="36"/>
  <c r="B36" i="36"/>
  <c r="C36" i="36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V36" i="36"/>
  <c r="W36" i="36" s="1"/>
  <c r="X36" i="36"/>
  <c r="Y36" i="36"/>
  <c r="Z36" i="36"/>
  <c r="AA36" i="36"/>
  <c r="AB36" i="36"/>
  <c r="AC36" i="36"/>
  <c r="AD36" i="36"/>
  <c r="AE36" i="36"/>
  <c r="B37" i="36"/>
  <c r="G37" i="36"/>
  <c r="H37" i="36"/>
  <c r="I37" i="36"/>
  <c r="J37" i="36"/>
  <c r="K37" i="36"/>
  <c r="L37" i="36"/>
  <c r="M37" i="36"/>
  <c r="N37" i="36"/>
  <c r="O37" i="36"/>
  <c r="P37" i="36"/>
  <c r="Q37" i="36"/>
  <c r="R37" i="36"/>
  <c r="S37" i="36"/>
  <c r="T37" i="36"/>
  <c r="U37" i="36"/>
  <c r="V37" i="36"/>
  <c r="W37" i="36" s="1"/>
  <c r="X37" i="36"/>
  <c r="Y37" i="36"/>
  <c r="Z37" i="36"/>
  <c r="AA37" i="36"/>
  <c r="AB37" i="36"/>
  <c r="AC37" i="36"/>
  <c r="AD37" i="36"/>
  <c r="AE37" i="36"/>
  <c r="B38" i="36"/>
  <c r="C38" i="36" s="1"/>
  <c r="D38" i="36"/>
  <c r="E38" i="36"/>
  <c r="F38" i="36"/>
  <c r="G38" i="36"/>
  <c r="H38" i="36"/>
  <c r="I38" i="36"/>
  <c r="J38" i="36"/>
  <c r="K38" i="36"/>
  <c r="L38" i="36"/>
  <c r="M38" i="36"/>
  <c r="N38" i="36"/>
  <c r="O38" i="36"/>
  <c r="P38" i="36"/>
  <c r="Q38" i="36"/>
  <c r="R38" i="36"/>
  <c r="S38" i="36"/>
  <c r="T38" i="36"/>
  <c r="U38" i="36"/>
  <c r="V38" i="36"/>
  <c r="W38" i="36"/>
  <c r="X38" i="36"/>
  <c r="Y38" i="36"/>
  <c r="Z38" i="36"/>
  <c r="AA38" i="36"/>
  <c r="AB38" i="36"/>
  <c r="AC38" i="36"/>
  <c r="AD38" i="36"/>
  <c r="AE38" i="36"/>
  <c r="B39" i="36"/>
  <c r="C39" i="36"/>
  <c r="D39" i="36"/>
  <c r="E39" i="36"/>
  <c r="F39" i="36"/>
  <c r="G39" i="36"/>
  <c r="H39" i="36"/>
  <c r="I39" i="36"/>
  <c r="J39" i="36"/>
  <c r="K39" i="36"/>
  <c r="L39" i="36"/>
  <c r="M39" i="36"/>
  <c r="N39" i="36"/>
  <c r="O39" i="36"/>
  <c r="P39" i="36"/>
  <c r="Q39" i="36"/>
  <c r="R39" i="36"/>
  <c r="S39" i="36"/>
  <c r="T39" i="36"/>
  <c r="U39" i="36"/>
  <c r="V39" i="36"/>
  <c r="Y39" i="36" s="1"/>
  <c r="Z39" i="36"/>
  <c r="AA39" i="36"/>
  <c r="AB39" i="36"/>
  <c r="AC39" i="36"/>
  <c r="AD39" i="36"/>
  <c r="AE39" i="36"/>
  <c r="B40" i="36"/>
  <c r="C40" i="36" s="1"/>
  <c r="D40" i="36"/>
  <c r="E40" i="36"/>
  <c r="F40" i="36"/>
  <c r="G40" i="36"/>
  <c r="H40" i="36"/>
  <c r="I40" i="36"/>
  <c r="J40" i="36"/>
  <c r="K40" i="36"/>
  <c r="L40" i="36"/>
  <c r="M40" i="36"/>
  <c r="N40" i="36"/>
  <c r="O40" i="36"/>
  <c r="P40" i="36"/>
  <c r="Q40" i="36"/>
  <c r="R40" i="36"/>
  <c r="S40" i="36"/>
  <c r="T40" i="36"/>
  <c r="U40" i="36"/>
  <c r="V40" i="36"/>
  <c r="Y40" i="36"/>
  <c r="Z40" i="36"/>
  <c r="AA40" i="36"/>
  <c r="AB40" i="36"/>
  <c r="AC40" i="36"/>
  <c r="AD40" i="36"/>
  <c r="AE40" i="36"/>
  <c r="B41" i="36"/>
  <c r="C41" i="36"/>
  <c r="D41" i="36"/>
  <c r="E41" i="36"/>
  <c r="F41" i="36"/>
  <c r="G41" i="36"/>
  <c r="H41" i="36"/>
  <c r="I41" i="36"/>
  <c r="J41" i="36"/>
  <c r="K41" i="36"/>
  <c r="L41" i="36"/>
  <c r="M41" i="36"/>
  <c r="N41" i="36"/>
  <c r="O41" i="36"/>
  <c r="P41" i="36"/>
  <c r="Q41" i="36"/>
  <c r="R41" i="36"/>
  <c r="S41" i="36"/>
  <c r="T41" i="36"/>
  <c r="U41" i="36"/>
  <c r="V41" i="36"/>
  <c r="X41" i="36"/>
  <c r="Z41" i="36"/>
  <c r="AA41" i="36"/>
  <c r="AB41" i="36"/>
  <c r="AC41" i="36"/>
  <c r="AD41" i="36"/>
  <c r="AE41" i="36"/>
  <c r="B42" i="36"/>
  <c r="C42" i="36"/>
  <c r="D42" i="36"/>
  <c r="E42" i="36"/>
  <c r="F42" i="36"/>
  <c r="G42" i="36"/>
  <c r="H42" i="36"/>
  <c r="I42" i="36"/>
  <c r="J42" i="36"/>
  <c r="K42" i="36"/>
  <c r="L42" i="36"/>
  <c r="M42" i="36"/>
  <c r="N42" i="36"/>
  <c r="O42" i="36"/>
  <c r="P42" i="36"/>
  <c r="Q42" i="36"/>
  <c r="R42" i="36"/>
  <c r="S42" i="36"/>
  <c r="T42" i="36"/>
  <c r="U42" i="36"/>
  <c r="V42" i="36"/>
  <c r="W42" i="36" s="1"/>
  <c r="X42" i="36"/>
  <c r="Y42" i="36"/>
  <c r="Z42" i="36"/>
  <c r="AA42" i="36"/>
  <c r="AB42" i="36"/>
  <c r="AC42" i="36"/>
  <c r="AD42" i="36"/>
  <c r="AE42" i="36"/>
  <c r="B43" i="36"/>
  <c r="C43" i="36"/>
  <c r="D43" i="36"/>
  <c r="E43" i="36"/>
  <c r="F43" i="36"/>
  <c r="G43" i="36"/>
  <c r="H43" i="36"/>
  <c r="I43" i="36"/>
  <c r="J43" i="36"/>
  <c r="K43" i="36"/>
  <c r="L43" i="36"/>
  <c r="M43" i="36"/>
  <c r="N43" i="36"/>
  <c r="O43" i="36"/>
  <c r="P43" i="36"/>
  <c r="Q43" i="36"/>
  <c r="R43" i="36"/>
  <c r="S43" i="36"/>
  <c r="T43" i="36"/>
  <c r="U43" i="36"/>
  <c r="V43" i="36"/>
  <c r="W43" i="36" s="1"/>
  <c r="Y43" i="36"/>
  <c r="Z43" i="36"/>
  <c r="AA43" i="36"/>
  <c r="AB43" i="36"/>
  <c r="AC43" i="36"/>
  <c r="AD43" i="36"/>
  <c r="AE43" i="36"/>
  <c r="B44" i="36"/>
  <c r="C44" i="36"/>
  <c r="D44" i="36"/>
  <c r="E44" i="36"/>
  <c r="F44" i="36"/>
  <c r="G44" i="36"/>
  <c r="H44" i="36"/>
  <c r="I44" i="36"/>
  <c r="J44" i="36"/>
  <c r="K44" i="36"/>
  <c r="L44" i="36"/>
  <c r="M44" i="36"/>
  <c r="N44" i="36"/>
  <c r="O44" i="36"/>
  <c r="P44" i="36"/>
  <c r="Q44" i="36"/>
  <c r="R44" i="36"/>
  <c r="S44" i="36"/>
  <c r="T44" i="36"/>
  <c r="U44" i="36"/>
  <c r="V44" i="36"/>
  <c r="Y44" i="36"/>
  <c r="Z44" i="36"/>
  <c r="AA44" i="36"/>
  <c r="AB44" i="36"/>
  <c r="AC44" i="36"/>
  <c r="AD44" i="36"/>
  <c r="AE44" i="36"/>
  <c r="B45" i="36"/>
  <c r="E45" i="36"/>
  <c r="F45" i="36"/>
  <c r="G45" i="36"/>
  <c r="H45" i="36"/>
  <c r="I45" i="36"/>
  <c r="J45" i="36"/>
  <c r="K45" i="36"/>
  <c r="L45" i="36"/>
  <c r="M45" i="36"/>
  <c r="N45" i="36"/>
  <c r="O45" i="36"/>
  <c r="P45" i="36"/>
  <c r="Q45" i="36"/>
  <c r="R45" i="36"/>
  <c r="S45" i="36"/>
  <c r="T45" i="36"/>
  <c r="U45" i="36"/>
  <c r="V45" i="36"/>
  <c r="B46" i="36"/>
  <c r="C46" i="36" s="1"/>
  <c r="D46" i="36"/>
  <c r="E46" i="36"/>
  <c r="F46" i="36"/>
  <c r="G46" i="36"/>
  <c r="H46" i="36"/>
  <c r="I46" i="36"/>
  <c r="J46" i="36"/>
  <c r="K46" i="36"/>
  <c r="L46" i="36"/>
  <c r="M46" i="36"/>
  <c r="N46" i="36"/>
  <c r="O46" i="36"/>
  <c r="P46" i="36"/>
  <c r="Q46" i="36"/>
  <c r="R46" i="36"/>
  <c r="S46" i="36"/>
  <c r="T46" i="36"/>
  <c r="U46" i="36"/>
  <c r="V46" i="36"/>
  <c r="X46" i="36"/>
  <c r="Y46" i="36"/>
  <c r="Z46" i="36"/>
  <c r="AA46" i="36"/>
  <c r="AB46" i="36"/>
  <c r="AC46" i="36"/>
  <c r="AD46" i="36"/>
  <c r="AE46" i="36"/>
  <c r="B47" i="36"/>
  <c r="C47" i="36"/>
  <c r="D47" i="36"/>
  <c r="E47" i="36"/>
  <c r="F47" i="36"/>
  <c r="G47" i="36"/>
  <c r="H47" i="36"/>
  <c r="I47" i="36"/>
  <c r="J47" i="36"/>
  <c r="K47" i="36"/>
  <c r="L47" i="36"/>
  <c r="M47" i="36"/>
  <c r="N47" i="36"/>
  <c r="O47" i="36"/>
  <c r="P47" i="36"/>
  <c r="Q47" i="36"/>
  <c r="R47" i="36"/>
  <c r="S47" i="36"/>
  <c r="T47" i="36"/>
  <c r="U47" i="36"/>
  <c r="V47" i="36"/>
  <c r="B48" i="36"/>
  <c r="C48" i="36"/>
  <c r="D48" i="36"/>
  <c r="E48" i="36"/>
  <c r="F48" i="36"/>
  <c r="G48" i="36"/>
  <c r="H48" i="36"/>
  <c r="I48" i="36"/>
  <c r="J48" i="36"/>
  <c r="K48" i="36"/>
  <c r="L48" i="36"/>
  <c r="M48" i="36"/>
  <c r="N48" i="36"/>
  <c r="O48" i="36"/>
  <c r="P48" i="36"/>
  <c r="Q48" i="36"/>
  <c r="R48" i="36"/>
  <c r="S48" i="36"/>
  <c r="T48" i="36"/>
  <c r="U48" i="36"/>
  <c r="V48" i="36"/>
  <c r="Y48" i="36"/>
  <c r="Z48" i="36"/>
  <c r="AA48" i="36"/>
  <c r="AB48" i="36"/>
  <c r="AC48" i="36"/>
  <c r="AD48" i="36"/>
  <c r="AE48" i="36"/>
  <c r="B49" i="36"/>
  <c r="C49" i="36"/>
  <c r="D49" i="36"/>
  <c r="E49" i="36"/>
  <c r="F49" i="36"/>
  <c r="G49" i="36"/>
  <c r="H49" i="36"/>
  <c r="I49" i="36"/>
  <c r="J49" i="36"/>
  <c r="K49" i="36"/>
  <c r="L49" i="36"/>
  <c r="M49" i="36"/>
  <c r="N49" i="36"/>
  <c r="O49" i="36"/>
  <c r="P49" i="36"/>
  <c r="Q49" i="36"/>
  <c r="R49" i="36"/>
  <c r="S49" i="36"/>
  <c r="T49" i="36"/>
  <c r="U49" i="36"/>
  <c r="V49" i="36"/>
  <c r="Z49" i="36"/>
  <c r="AA49" i="36"/>
  <c r="AB49" i="36"/>
  <c r="AC49" i="36"/>
  <c r="AD49" i="36"/>
  <c r="AE49" i="36"/>
  <c r="B50" i="36"/>
  <c r="C50" i="36"/>
  <c r="D50" i="36"/>
  <c r="E50" i="36"/>
  <c r="F50" i="36"/>
  <c r="G50" i="36"/>
  <c r="H50" i="36"/>
  <c r="I50" i="36"/>
  <c r="J50" i="36"/>
  <c r="K50" i="36"/>
  <c r="L50" i="36"/>
  <c r="M50" i="36"/>
  <c r="N50" i="36"/>
  <c r="O50" i="36"/>
  <c r="P50" i="36"/>
  <c r="Q50" i="36"/>
  <c r="R50" i="36"/>
  <c r="S50" i="36"/>
  <c r="T50" i="36"/>
  <c r="U50" i="36"/>
  <c r="V50" i="36"/>
  <c r="B51" i="36"/>
  <c r="C51" i="36"/>
  <c r="D51" i="36"/>
  <c r="E51" i="36"/>
  <c r="F51" i="36"/>
  <c r="G51" i="36"/>
  <c r="H51" i="36"/>
  <c r="I51" i="36"/>
  <c r="J51" i="36"/>
  <c r="K51" i="36"/>
  <c r="L51" i="36"/>
  <c r="M51" i="36"/>
  <c r="N51" i="36"/>
  <c r="O51" i="36"/>
  <c r="P51" i="36"/>
  <c r="Q51" i="36"/>
  <c r="R51" i="36"/>
  <c r="S51" i="36"/>
  <c r="T51" i="36"/>
  <c r="U51" i="36"/>
  <c r="V51" i="36"/>
  <c r="Y51" i="36"/>
  <c r="Z51" i="36"/>
  <c r="AA51" i="36"/>
  <c r="AB51" i="36"/>
  <c r="AC51" i="36"/>
  <c r="AD51" i="36"/>
  <c r="AE51" i="36"/>
  <c r="B52" i="36"/>
  <c r="C52" i="36"/>
  <c r="D52" i="36"/>
  <c r="E52" i="36"/>
  <c r="F52" i="36"/>
  <c r="G52" i="36"/>
  <c r="H52" i="36"/>
  <c r="I52" i="36"/>
  <c r="J52" i="36"/>
  <c r="K52" i="36"/>
  <c r="L52" i="36"/>
  <c r="M52" i="36"/>
  <c r="N52" i="36"/>
  <c r="O52" i="36"/>
  <c r="P52" i="36"/>
  <c r="Q52" i="36"/>
  <c r="R52" i="36"/>
  <c r="S52" i="36"/>
  <c r="T52" i="36"/>
  <c r="U52" i="36"/>
  <c r="V52" i="36"/>
  <c r="Z52" i="36"/>
  <c r="AD52" i="36"/>
  <c r="AE52" i="36"/>
  <c r="B53" i="36"/>
  <c r="C53" i="36"/>
  <c r="D53" i="36"/>
  <c r="E53" i="36"/>
  <c r="F53" i="36"/>
  <c r="G53" i="36"/>
  <c r="H53" i="36"/>
  <c r="I53" i="36"/>
  <c r="J53" i="36"/>
  <c r="K53" i="36"/>
  <c r="L53" i="36"/>
  <c r="M53" i="36"/>
  <c r="N53" i="36"/>
  <c r="O53" i="36"/>
  <c r="P53" i="36"/>
  <c r="Q53" i="36"/>
  <c r="R53" i="36"/>
  <c r="S53" i="36"/>
  <c r="T53" i="36"/>
  <c r="U53" i="36"/>
  <c r="V53" i="36"/>
  <c r="X53" i="36"/>
  <c r="Z53" i="36"/>
  <c r="AA53" i="36"/>
  <c r="AB53" i="36"/>
  <c r="AC53" i="36"/>
  <c r="AD53" i="36"/>
  <c r="AE53" i="36"/>
  <c r="B54" i="36"/>
  <c r="C54" i="36"/>
  <c r="D54" i="36"/>
  <c r="E54" i="36"/>
  <c r="F54" i="36"/>
  <c r="G54" i="36"/>
  <c r="H54" i="36"/>
  <c r="I54" i="36"/>
  <c r="J54" i="36"/>
  <c r="K54" i="36"/>
  <c r="L54" i="36"/>
  <c r="M54" i="36"/>
  <c r="N54" i="36"/>
  <c r="O54" i="36"/>
  <c r="P54" i="36"/>
  <c r="Q54" i="36"/>
  <c r="R54" i="36"/>
  <c r="S54" i="36"/>
  <c r="T54" i="36"/>
  <c r="U54" i="36"/>
  <c r="V54" i="36"/>
  <c r="W54" i="36"/>
  <c r="X54" i="36"/>
  <c r="Y54" i="36"/>
  <c r="Z54" i="36"/>
  <c r="AA54" i="36"/>
  <c r="AB54" i="36"/>
  <c r="AC54" i="36"/>
  <c r="AD54" i="36"/>
  <c r="AE54" i="36"/>
  <c r="B55" i="36"/>
  <c r="C55" i="36"/>
  <c r="D55" i="36"/>
  <c r="E55" i="36"/>
  <c r="F55" i="36"/>
  <c r="G55" i="36"/>
  <c r="H55" i="36"/>
  <c r="I55" i="36"/>
  <c r="J55" i="36"/>
  <c r="K55" i="36"/>
  <c r="L55" i="36"/>
  <c r="M55" i="36"/>
  <c r="N55" i="36"/>
  <c r="O55" i="36"/>
  <c r="P55" i="36"/>
  <c r="Q55" i="36"/>
  <c r="R55" i="36"/>
  <c r="S55" i="36"/>
  <c r="T55" i="36"/>
  <c r="U55" i="36"/>
  <c r="V55" i="36"/>
  <c r="X55" i="36" s="1"/>
  <c r="Z55" i="36"/>
  <c r="AA55" i="36"/>
  <c r="AB55" i="36"/>
  <c r="AC55" i="36"/>
  <c r="AD55" i="36"/>
  <c r="AE55" i="36"/>
  <c r="B56" i="36"/>
  <c r="C56" i="36"/>
  <c r="D56" i="36"/>
  <c r="E56" i="36"/>
  <c r="F56" i="36"/>
  <c r="G56" i="36"/>
  <c r="H56" i="36"/>
  <c r="I56" i="36"/>
  <c r="J56" i="36"/>
  <c r="K56" i="36"/>
  <c r="L56" i="36"/>
  <c r="M56" i="36"/>
  <c r="N56" i="36"/>
  <c r="O56" i="36"/>
  <c r="P56" i="36"/>
  <c r="Q56" i="36"/>
  <c r="R56" i="36"/>
  <c r="S56" i="36"/>
  <c r="T56" i="36"/>
  <c r="U56" i="36"/>
  <c r="V56" i="36"/>
  <c r="W56" i="36" s="1"/>
  <c r="X56" i="36"/>
  <c r="Y56" i="36"/>
  <c r="Z56" i="36"/>
  <c r="AA56" i="36"/>
  <c r="AB56" i="36"/>
  <c r="AC56" i="36"/>
  <c r="AD56" i="36"/>
  <c r="AE56" i="36"/>
  <c r="B57" i="36"/>
  <c r="C57" i="36"/>
  <c r="D57" i="36"/>
  <c r="E57" i="36"/>
  <c r="F57" i="36"/>
  <c r="G57" i="36"/>
  <c r="H57" i="36"/>
  <c r="I57" i="36"/>
  <c r="J57" i="36"/>
  <c r="K57" i="36"/>
  <c r="L57" i="36"/>
  <c r="M57" i="36"/>
  <c r="N57" i="36"/>
  <c r="O57" i="36"/>
  <c r="P57" i="36"/>
  <c r="Q57" i="36"/>
  <c r="R57" i="36"/>
  <c r="S57" i="36"/>
  <c r="T57" i="36"/>
  <c r="U57" i="36"/>
  <c r="V57" i="36"/>
  <c r="Y57" i="36"/>
  <c r="Z57" i="36"/>
  <c r="AA57" i="36"/>
  <c r="AB57" i="36"/>
  <c r="AC57" i="36"/>
  <c r="AD57" i="36"/>
  <c r="AE57" i="36"/>
  <c r="B58" i="36"/>
  <c r="C58" i="36"/>
  <c r="D58" i="36"/>
  <c r="E58" i="36"/>
  <c r="F58" i="36"/>
  <c r="G58" i="36"/>
  <c r="H58" i="36"/>
  <c r="I58" i="36"/>
  <c r="J58" i="36"/>
  <c r="K58" i="36"/>
  <c r="L58" i="36"/>
  <c r="M58" i="36"/>
  <c r="N58" i="36"/>
  <c r="O58" i="36"/>
  <c r="P58" i="36"/>
  <c r="Q58" i="36"/>
  <c r="R58" i="36"/>
  <c r="S58" i="36"/>
  <c r="T58" i="36"/>
  <c r="U58" i="36"/>
  <c r="V58" i="36"/>
  <c r="Y58" i="36" s="1"/>
  <c r="AB58" i="36"/>
  <c r="AC58" i="36"/>
  <c r="AD58" i="36"/>
  <c r="AE58" i="36"/>
  <c r="B59" i="36"/>
  <c r="C59" i="36"/>
  <c r="D59" i="36"/>
  <c r="E59" i="36"/>
  <c r="F59" i="36"/>
  <c r="G59" i="36"/>
  <c r="H59" i="36"/>
  <c r="I59" i="36"/>
  <c r="J59" i="36"/>
  <c r="K59" i="36"/>
  <c r="L59" i="36"/>
  <c r="M59" i="36"/>
  <c r="N59" i="36"/>
  <c r="O59" i="36"/>
  <c r="P59" i="36"/>
  <c r="Q59" i="36"/>
  <c r="R59" i="36"/>
  <c r="S59" i="36"/>
  <c r="T59" i="36"/>
  <c r="U59" i="36"/>
  <c r="V59" i="36"/>
  <c r="AB59" i="36"/>
  <c r="AC59" i="36"/>
  <c r="AD59" i="36"/>
  <c r="AE59" i="36"/>
  <c r="B60" i="36"/>
  <c r="C60" i="36"/>
  <c r="D60" i="36"/>
  <c r="E60" i="36"/>
  <c r="F60" i="36"/>
  <c r="G60" i="36"/>
  <c r="H60" i="36"/>
  <c r="I60" i="36"/>
  <c r="J60" i="36"/>
  <c r="K60" i="36"/>
  <c r="L60" i="36"/>
  <c r="M60" i="36"/>
  <c r="N60" i="36"/>
  <c r="O60" i="36"/>
  <c r="P60" i="36"/>
  <c r="Q60" i="36"/>
  <c r="R60" i="36"/>
  <c r="S60" i="36"/>
  <c r="T60" i="36"/>
  <c r="U60" i="36"/>
  <c r="V60" i="36"/>
  <c r="X60" i="36"/>
  <c r="Z60" i="36"/>
  <c r="AA60" i="36"/>
  <c r="AB60" i="36"/>
  <c r="AC60" i="36"/>
  <c r="AD60" i="36"/>
  <c r="AE60" i="36"/>
  <c r="B61" i="36"/>
  <c r="C61" i="36"/>
  <c r="D61" i="36"/>
  <c r="E61" i="36"/>
  <c r="F61" i="36"/>
  <c r="G61" i="36"/>
  <c r="H61" i="36"/>
  <c r="I61" i="36"/>
  <c r="J61" i="36"/>
  <c r="K61" i="36"/>
  <c r="L61" i="36"/>
  <c r="M61" i="36"/>
  <c r="N61" i="36"/>
  <c r="O61" i="36"/>
  <c r="P61" i="36"/>
  <c r="Q61" i="36"/>
  <c r="R61" i="36"/>
  <c r="S61" i="36"/>
  <c r="T61" i="36"/>
  <c r="U61" i="36"/>
  <c r="V61" i="36"/>
  <c r="W61" i="36" s="1"/>
  <c r="X61" i="36"/>
  <c r="Y61" i="36"/>
  <c r="Z61" i="36"/>
  <c r="AA61" i="36"/>
  <c r="AB61" i="36"/>
  <c r="AC61" i="36"/>
  <c r="AD61" i="36"/>
  <c r="AE61" i="36"/>
  <c r="B62" i="36"/>
  <c r="C62" i="36"/>
  <c r="D62" i="36"/>
  <c r="E62" i="36"/>
  <c r="F62" i="36"/>
  <c r="G62" i="36"/>
  <c r="H62" i="36"/>
  <c r="I62" i="36"/>
  <c r="J62" i="36"/>
  <c r="K62" i="36"/>
  <c r="L62" i="36"/>
  <c r="M62" i="36"/>
  <c r="N62" i="36"/>
  <c r="O62" i="36"/>
  <c r="P62" i="36"/>
  <c r="Q62" i="36"/>
  <c r="R62" i="36"/>
  <c r="S62" i="36"/>
  <c r="T62" i="36"/>
  <c r="U62" i="36"/>
  <c r="V62" i="36"/>
  <c r="W62" i="36" s="1"/>
  <c r="X62" i="36"/>
  <c r="Z62" i="36"/>
  <c r="AA62" i="36"/>
  <c r="AB62" i="36"/>
  <c r="AC62" i="36"/>
  <c r="AD62" i="36"/>
  <c r="AE62" i="36"/>
  <c r="B63" i="36"/>
  <c r="C63" i="36"/>
  <c r="D63" i="36"/>
  <c r="E63" i="36"/>
  <c r="F63" i="36"/>
  <c r="G63" i="36"/>
  <c r="H63" i="36"/>
  <c r="I63" i="36"/>
  <c r="J63" i="36"/>
  <c r="K63" i="36"/>
  <c r="L63" i="36"/>
  <c r="M63" i="36"/>
  <c r="N63" i="36"/>
  <c r="O63" i="36"/>
  <c r="P63" i="36"/>
  <c r="Q63" i="36"/>
  <c r="R63" i="36"/>
  <c r="S63" i="36"/>
  <c r="T63" i="36"/>
  <c r="U63" i="36"/>
  <c r="V63" i="36"/>
  <c r="Y63" i="36"/>
  <c r="Z63" i="36"/>
  <c r="AA63" i="36"/>
  <c r="AB63" i="36"/>
  <c r="AC63" i="36"/>
  <c r="AD63" i="36"/>
  <c r="AE63" i="36"/>
  <c r="B64" i="36"/>
  <c r="C64" i="36"/>
  <c r="D64" i="36"/>
  <c r="E64" i="36"/>
  <c r="F64" i="36"/>
  <c r="G64" i="36"/>
  <c r="H64" i="36"/>
  <c r="I64" i="36"/>
  <c r="J64" i="36"/>
  <c r="K64" i="36"/>
  <c r="L64" i="36"/>
  <c r="M64" i="36"/>
  <c r="N64" i="36"/>
  <c r="O64" i="36"/>
  <c r="P64" i="36"/>
  <c r="Q64" i="36"/>
  <c r="R64" i="36"/>
  <c r="S64" i="36"/>
  <c r="T64" i="36"/>
  <c r="U64" i="36"/>
  <c r="V64" i="36"/>
  <c r="AA64" i="36"/>
  <c r="AB64" i="36"/>
  <c r="AC64" i="36"/>
  <c r="AD64" i="36"/>
  <c r="AE64" i="36"/>
  <c r="B65" i="36"/>
  <c r="C65" i="36"/>
  <c r="D65" i="36"/>
  <c r="E65" i="36"/>
  <c r="F65" i="36"/>
  <c r="G65" i="36"/>
  <c r="H65" i="36"/>
  <c r="I65" i="36"/>
  <c r="J65" i="36"/>
  <c r="K65" i="36"/>
  <c r="L65" i="36"/>
  <c r="M65" i="36"/>
  <c r="N65" i="36"/>
  <c r="O65" i="36"/>
  <c r="P65" i="36"/>
  <c r="Q65" i="36"/>
  <c r="R65" i="36"/>
  <c r="S65" i="36"/>
  <c r="T65" i="36"/>
  <c r="U65" i="36"/>
  <c r="V65" i="36"/>
  <c r="W65" i="36" s="1"/>
  <c r="X65" i="36"/>
  <c r="Y65" i="36"/>
  <c r="Z65" i="36"/>
  <c r="AA65" i="36"/>
  <c r="AB65" i="36"/>
  <c r="AC65" i="36"/>
  <c r="AD65" i="36"/>
  <c r="AE65" i="36"/>
  <c r="B66" i="36"/>
  <c r="C66" i="36"/>
  <c r="D66" i="36"/>
  <c r="E66" i="36"/>
  <c r="F66" i="36"/>
  <c r="G66" i="36"/>
  <c r="H66" i="36"/>
  <c r="I66" i="36"/>
  <c r="J66" i="36"/>
  <c r="K66" i="36"/>
  <c r="L66" i="36"/>
  <c r="M66" i="36"/>
  <c r="N66" i="36"/>
  <c r="O66" i="36"/>
  <c r="P66" i="36"/>
  <c r="Q66" i="36"/>
  <c r="R66" i="36"/>
  <c r="S66" i="36"/>
  <c r="T66" i="36"/>
  <c r="U66" i="36"/>
  <c r="V66" i="36"/>
  <c r="B67" i="36"/>
  <c r="C67" i="36"/>
  <c r="D67" i="36"/>
  <c r="E67" i="36"/>
  <c r="F67" i="36"/>
  <c r="G67" i="36"/>
  <c r="H67" i="36"/>
  <c r="I67" i="36"/>
  <c r="J67" i="36"/>
  <c r="K67" i="36"/>
  <c r="L67" i="36"/>
  <c r="M67" i="36"/>
  <c r="N67" i="36"/>
  <c r="O67" i="36"/>
  <c r="P67" i="36"/>
  <c r="Q67" i="36"/>
  <c r="R67" i="36"/>
  <c r="S67" i="36"/>
  <c r="T67" i="36"/>
  <c r="U67" i="36"/>
  <c r="V67" i="36"/>
  <c r="W67" i="36" s="1"/>
  <c r="X67" i="36"/>
  <c r="Y67" i="36"/>
  <c r="Z67" i="36"/>
  <c r="AA67" i="36"/>
  <c r="AB67" i="36"/>
  <c r="AC67" i="36"/>
  <c r="AD67" i="36"/>
  <c r="AE67" i="36"/>
  <c r="B68" i="36"/>
  <c r="C68" i="36"/>
  <c r="D68" i="36"/>
  <c r="E68" i="36"/>
  <c r="F68" i="36"/>
  <c r="G68" i="36"/>
  <c r="H68" i="36"/>
  <c r="I68" i="36"/>
  <c r="J68" i="36"/>
  <c r="K68" i="36"/>
  <c r="L68" i="36"/>
  <c r="M68" i="36"/>
  <c r="N68" i="36"/>
  <c r="O68" i="36"/>
  <c r="P68" i="36"/>
  <c r="Q68" i="36"/>
  <c r="R68" i="36"/>
  <c r="S68" i="36"/>
  <c r="T68" i="36"/>
  <c r="U68" i="36"/>
  <c r="V68" i="36"/>
  <c r="W68" i="36" s="1"/>
  <c r="X68" i="36"/>
  <c r="Y68" i="36"/>
  <c r="Z68" i="36"/>
  <c r="AA68" i="36"/>
  <c r="AB68" i="36"/>
  <c r="AC68" i="36"/>
  <c r="AD68" i="36"/>
  <c r="AE68" i="36"/>
  <c r="B69" i="36"/>
  <c r="C69" i="36"/>
  <c r="D69" i="36"/>
  <c r="E69" i="36"/>
  <c r="F69" i="36"/>
  <c r="G69" i="36"/>
  <c r="H69" i="36"/>
  <c r="I69" i="36"/>
  <c r="J69" i="36"/>
  <c r="K69" i="36"/>
  <c r="L69" i="36"/>
  <c r="M69" i="36"/>
  <c r="N69" i="36"/>
  <c r="O69" i="36"/>
  <c r="P69" i="36"/>
  <c r="Q69" i="36"/>
  <c r="R69" i="36"/>
  <c r="S69" i="36"/>
  <c r="T69" i="36"/>
  <c r="U69" i="36"/>
  <c r="V69" i="36"/>
  <c r="X69" i="36"/>
  <c r="Z69" i="36"/>
  <c r="AA69" i="36"/>
  <c r="AB69" i="36"/>
  <c r="AC69" i="36"/>
  <c r="AD69" i="36"/>
  <c r="AE69" i="36"/>
  <c r="B70" i="36"/>
  <c r="C70" i="36"/>
  <c r="D70" i="36"/>
  <c r="E70" i="36"/>
  <c r="F70" i="36"/>
  <c r="G70" i="36"/>
  <c r="H70" i="36"/>
  <c r="I70" i="36"/>
  <c r="J70" i="36"/>
  <c r="K70" i="36"/>
  <c r="L70" i="36"/>
  <c r="M70" i="36"/>
  <c r="N70" i="36"/>
  <c r="O70" i="36"/>
  <c r="P70" i="36"/>
  <c r="Q70" i="36"/>
  <c r="R70" i="36"/>
  <c r="S70" i="36"/>
  <c r="T70" i="36"/>
  <c r="U70" i="36"/>
  <c r="V70" i="36"/>
  <c r="Y70" i="36" s="1"/>
  <c r="Z70" i="36"/>
  <c r="AA70" i="36"/>
  <c r="AB70" i="36"/>
  <c r="AC70" i="36"/>
  <c r="AD70" i="36"/>
  <c r="AE70" i="36"/>
  <c r="B71" i="36"/>
  <c r="C71" i="36"/>
  <c r="D71" i="36"/>
  <c r="E71" i="36"/>
  <c r="F71" i="36"/>
  <c r="G71" i="36"/>
  <c r="H71" i="36"/>
  <c r="I71" i="36"/>
  <c r="J71" i="36"/>
  <c r="K71" i="36"/>
  <c r="L71" i="36"/>
  <c r="M71" i="36"/>
  <c r="N71" i="36"/>
  <c r="O71" i="36"/>
  <c r="P71" i="36"/>
  <c r="Q71" i="36"/>
  <c r="R71" i="36"/>
  <c r="S71" i="36"/>
  <c r="T71" i="36"/>
  <c r="U71" i="36"/>
  <c r="V71" i="36"/>
  <c r="W71" i="36" s="1"/>
  <c r="X71" i="36"/>
  <c r="Y71" i="36"/>
  <c r="Z71" i="36"/>
  <c r="AA71" i="36"/>
  <c r="AB71" i="36"/>
  <c r="AC71" i="36"/>
  <c r="AD71" i="36"/>
  <c r="AE71" i="36"/>
  <c r="B72" i="36"/>
  <c r="C72" i="36"/>
  <c r="D72" i="36"/>
  <c r="E72" i="36"/>
  <c r="F72" i="36"/>
  <c r="G72" i="36"/>
  <c r="H72" i="36"/>
  <c r="I72" i="36"/>
  <c r="J72" i="36"/>
  <c r="K72" i="36"/>
  <c r="L72" i="36"/>
  <c r="M72" i="36"/>
  <c r="N72" i="36"/>
  <c r="O72" i="36"/>
  <c r="P72" i="36"/>
  <c r="Q72" i="36"/>
  <c r="R72" i="36"/>
  <c r="S72" i="36"/>
  <c r="T72" i="36"/>
  <c r="U72" i="36"/>
  <c r="V72" i="36"/>
  <c r="X72" i="36"/>
  <c r="Z72" i="36"/>
  <c r="AA72" i="36"/>
  <c r="AB72" i="36"/>
  <c r="AC72" i="36"/>
  <c r="AD72" i="36"/>
  <c r="AE72" i="36"/>
  <c r="B73" i="36"/>
  <c r="C73" i="36"/>
  <c r="D73" i="36"/>
  <c r="E73" i="36"/>
  <c r="F73" i="36"/>
  <c r="G73" i="36"/>
  <c r="H73" i="36"/>
  <c r="I73" i="36"/>
  <c r="J73" i="36"/>
  <c r="K73" i="36"/>
  <c r="L73" i="36"/>
  <c r="M73" i="36"/>
  <c r="N73" i="36"/>
  <c r="O73" i="36"/>
  <c r="P73" i="36"/>
  <c r="Q73" i="36"/>
  <c r="R73" i="36"/>
  <c r="S73" i="36"/>
  <c r="T73" i="36"/>
  <c r="U73" i="36"/>
  <c r="V73" i="36"/>
  <c r="W73" i="36" s="1"/>
  <c r="X73" i="36"/>
  <c r="Y73" i="36"/>
  <c r="Z73" i="36"/>
  <c r="AA73" i="36"/>
  <c r="AB73" i="36"/>
  <c r="AC73" i="36"/>
  <c r="AD73" i="36"/>
  <c r="AE73" i="36"/>
  <c r="B74" i="36"/>
  <c r="C74" i="36"/>
  <c r="D74" i="36"/>
  <c r="E74" i="36"/>
  <c r="F74" i="36"/>
  <c r="G74" i="36"/>
  <c r="H74" i="36"/>
  <c r="I74" i="36"/>
  <c r="J74" i="36"/>
  <c r="K74" i="36"/>
  <c r="L74" i="36"/>
  <c r="M74" i="36"/>
  <c r="N74" i="36"/>
  <c r="O74" i="36"/>
  <c r="P74" i="36"/>
  <c r="Q74" i="36"/>
  <c r="R74" i="36"/>
  <c r="S74" i="36"/>
  <c r="T74" i="36"/>
  <c r="U74" i="36"/>
  <c r="V74" i="36"/>
  <c r="Y74" i="36"/>
  <c r="Z74" i="36"/>
  <c r="AA74" i="36"/>
  <c r="AB74" i="36"/>
  <c r="AC74" i="36"/>
  <c r="AD74" i="36"/>
  <c r="AE74" i="36"/>
  <c r="B75" i="36"/>
  <c r="C75" i="36"/>
  <c r="D75" i="36"/>
  <c r="E75" i="36"/>
  <c r="F75" i="36"/>
  <c r="G75" i="36"/>
  <c r="H75" i="36"/>
  <c r="I75" i="36"/>
  <c r="J75" i="36"/>
  <c r="K75" i="36"/>
  <c r="L75" i="36"/>
  <c r="M75" i="36"/>
  <c r="N75" i="36"/>
  <c r="O75" i="36"/>
  <c r="P75" i="36"/>
  <c r="Q75" i="36"/>
  <c r="R75" i="36"/>
  <c r="S75" i="36"/>
  <c r="T75" i="36"/>
  <c r="U75" i="36"/>
  <c r="V75" i="36"/>
  <c r="B76" i="36"/>
  <c r="C76" i="36"/>
  <c r="D76" i="36"/>
  <c r="E76" i="36"/>
  <c r="F76" i="36"/>
  <c r="G76" i="36"/>
  <c r="H76" i="36"/>
  <c r="I76" i="36"/>
  <c r="J76" i="36"/>
  <c r="K76" i="36"/>
  <c r="L76" i="36"/>
  <c r="M76" i="36"/>
  <c r="N76" i="36"/>
  <c r="O76" i="36"/>
  <c r="P76" i="36"/>
  <c r="Q76" i="36"/>
  <c r="R76" i="36"/>
  <c r="S76" i="36"/>
  <c r="T76" i="36"/>
  <c r="U76" i="36"/>
  <c r="V76" i="36"/>
  <c r="Z76" i="36"/>
  <c r="AA76" i="36"/>
  <c r="AB76" i="36"/>
  <c r="AC76" i="36"/>
  <c r="AD76" i="36"/>
  <c r="AE76" i="36"/>
  <c r="B77" i="36"/>
  <c r="C77" i="36"/>
  <c r="D77" i="36"/>
  <c r="E77" i="36"/>
  <c r="F77" i="36"/>
  <c r="G77" i="36"/>
  <c r="H77" i="36"/>
  <c r="I77" i="36"/>
  <c r="J77" i="36"/>
  <c r="K77" i="36"/>
  <c r="L77" i="36"/>
  <c r="M77" i="36"/>
  <c r="N77" i="36"/>
  <c r="O77" i="36"/>
  <c r="P77" i="36"/>
  <c r="Q77" i="36"/>
  <c r="R77" i="36"/>
  <c r="S77" i="36"/>
  <c r="T77" i="36"/>
  <c r="U77" i="36"/>
  <c r="V77" i="36"/>
  <c r="Z77" i="36"/>
  <c r="AA77" i="36"/>
  <c r="AB77" i="36"/>
  <c r="AC77" i="36"/>
  <c r="AD77" i="36"/>
  <c r="AE77" i="36"/>
  <c r="B78" i="36"/>
  <c r="C78" i="36"/>
  <c r="D78" i="36"/>
  <c r="E78" i="36"/>
  <c r="F78" i="36"/>
  <c r="G78" i="36"/>
  <c r="H78" i="36"/>
  <c r="I78" i="36"/>
  <c r="J78" i="36"/>
  <c r="K78" i="36"/>
  <c r="L78" i="36"/>
  <c r="M78" i="36"/>
  <c r="N78" i="36"/>
  <c r="O78" i="36"/>
  <c r="P78" i="36"/>
  <c r="Q78" i="36"/>
  <c r="R78" i="36"/>
  <c r="S78" i="36"/>
  <c r="T78" i="36"/>
  <c r="U78" i="36"/>
  <c r="Y78" i="36" s="1"/>
  <c r="V78" i="36"/>
  <c r="Z78" i="36"/>
  <c r="AA78" i="36"/>
  <c r="AB78" i="36"/>
  <c r="AC78" i="36"/>
  <c r="AD78" i="36"/>
  <c r="AE78" i="36"/>
  <c r="B79" i="36"/>
  <c r="C79" i="36"/>
  <c r="D79" i="36"/>
  <c r="E79" i="36"/>
  <c r="F79" i="36"/>
  <c r="G79" i="36"/>
  <c r="H79" i="36"/>
  <c r="I79" i="36"/>
  <c r="J79" i="36"/>
  <c r="K79" i="36"/>
  <c r="L79" i="36"/>
  <c r="M79" i="36"/>
  <c r="N79" i="36"/>
  <c r="O79" i="36"/>
  <c r="P79" i="36"/>
  <c r="Q79" i="36"/>
  <c r="R79" i="36"/>
  <c r="S79" i="36"/>
  <c r="T79" i="36"/>
  <c r="U79" i="36"/>
  <c r="V79" i="36"/>
  <c r="AE79" i="36" s="1"/>
  <c r="B80" i="36"/>
  <c r="C80" i="36"/>
  <c r="D80" i="36"/>
  <c r="E80" i="36"/>
  <c r="F80" i="36"/>
  <c r="G80" i="36"/>
  <c r="H80" i="36"/>
  <c r="I80" i="36"/>
  <c r="J80" i="36"/>
  <c r="K80" i="36"/>
  <c r="L80" i="36"/>
  <c r="M80" i="36"/>
  <c r="N80" i="36"/>
  <c r="O80" i="36"/>
  <c r="P80" i="36"/>
  <c r="Q80" i="36"/>
  <c r="R80" i="36"/>
  <c r="S80" i="36"/>
  <c r="T80" i="36"/>
  <c r="U80" i="36"/>
  <c r="V80" i="36"/>
  <c r="Z80" i="36"/>
  <c r="AA80" i="36"/>
  <c r="AB80" i="36"/>
  <c r="AC80" i="36"/>
  <c r="AD80" i="36"/>
  <c r="AE80" i="36"/>
  <c r="B81" i="36"/>
  <c r="C81" i="36"/>
  <c r="D81" i="36"/>
  <c r="E81" i="36"/>
  <c r="F81" i="36"/>
  <c r="G81" i="36"/>
  <c r="H81" i="36"/>
  <c r="I81" i="36"/>
  <c r="J81" i="36"/>
  <c r="K81" i="36"/>
  <c r="L81" i="36"/>
  <c r="M81" i="36"/>
  <c r="N81" i="36"/>
  <c r="O81" i="36"/>
  <c r="P81" i="36"/>
  <c r="Q81" i="36"/>
  <c r="R81" i="36"/>
  <c r="S81" i="36"/>
  <c r="T81" i="36"/>
  <c r="U81" i="36"/>
  <c r="V81" i="36"/>
  <c r="W81" i="36" s="1"/>
  <c r="X81" i="36"/>
  <c r="Y81" i="36"/>
  <c r="Z81" i="36"/>
  <c r="AA81" i="36"/>
  <c r="AB81" i="36"/>
  <c r="AC81" i="36"/>
  <c r="AD81" i="36"/>
  <c r="AE81" i="36"/>
  <c r="B82" i="36"/>
  <c r="C82" i="36"/>
  <c r="D82" i="36"/>
  <c r="E82" i="36"/>
  <c r="F82" i="36"/>
  <c r="G82" i="36"/>
  <c r="H82" i="36"/>
  <c r="I82" i="36"/>
  <c r="J82" i="36"/>
  <c r="K82" i="36"/>
  <c r="L82" i="36"/>
  <c r="M82" i="36"/>
  <c r="N82" i="36"/>
  <c r="O82" i="36"/>
  <c r="P82" i="36"/>
  <c r="Q82" i="36"/>
  <c r="R82" i="36"/>
  <c r="S82" i="36"/>
  <c r="T82" i="36"/>
  <c r="U82" i="36"/>
  <c r="V82" i="36"/>
  <c r="Z82" i="36" s="1"/>
  <c r="AB82" i="36"/>
  <c r="AC82" i="36"/>
  <c r="AD82" i="36"/>
  <c r="AE82" i="36"/>
  <c r="B83" i="36"/>
  <c r="C83" i="36"/>
  <c r="D83" i="36"/>
  <c r="E83" i="36"/>
  <c r="F83" i="36"/>
  <c r="G83" i="36"/>
  <c r="H83" i="36"/>
  <c r="I83" i="36"/>
  <c r="J83" i="36"/>
  <c r="K83" i="36"/>
  <c r="L83" i="36"/>
  <c r="M83" i="36"/>
  <c r="N83" i="36"/>
  <c r="O83" i="36"/>
  <c r="P83" i="36"/>
  <c r="Q83" i="36"/>
  <c r="R83" i="36"/>
  <c r="S83" i="36"/>
  <c r="T83" i="36"/>
  <c r="U83" i="36"/>
  <c r="X83" i="36" s="1"/>
  <c r="V83" i="36"/>
  <c r="W83" i="36" s="1"/>
  <c r="Y83" i="36"/>
  <c r="Z83" i="36"/>
  <c r="AA83" i="36"/>
  <c r="AB83" i="36"/>
  <c r="AC83" i="36"/>
  <c r="AD83" i="36"/>
  <c r="AE83" i="36"/>
  <c r="B84" i="36"/>
  <c r="C84" i="36"/>
  <c r="D84" i="36"/>
  <c r="E84" i="36"/>
  <c r="F84" i="36"/>
  <c r="G84" i="36"/>
  <c r="H84" i="36"/>
  <c r="I84" i="36"/>
  <c r="J84" i="36"/>
  <c r="K84" i="36"/>
  <c r="L84" i="36"/>
  <c r="M84" i="36"/>
  <c r="N84" i="36"/>
  <c r="O84" i="36"/>
  <c r="P84" i="36"/>
  <c r="Q84" i="36"/>
  <c r="R84" i="36"/>
  <c r="S84" i="36"/>
  <c r="T84" i="36"/>
  <c r="U84" i="36"/>
  <c r="V84" i="36"/>
  <c r="B85" i="36"/>
  <c r="C85" i="36"/>
  <c r="D85" i="36"/>
  <c r="E85" i="36"/>
  <c r="F85" i="36"/>
  <c r="G85" i="36"/>
  <c r="H85" i="36"/>
  <c r="I85" i="36"/>
  <c r="J85" i="36"/>
  <c r="K85" i="36"/>
  <c r="L85" i="36"/>
  <c r="M85" i="36"/>
  <c r="N85" i="36"/>
  <c r="O85" i="36"/>
  <c r="P85" i="36"/>
  <c r="Q85" i="36"/>
  <c r="R85" i="36"/>
  <c r="S85" i="36"/>
  <c r="T85" i="36"/>
  <c r="U85" i="36"/>
  <c r="V85" i="36"/>
  <c r="AI5" i="36"/>
  <c r="A1" i="35"/>
  <c r="P2" i="35"/>
  <c r="J3" i="35"/>
  <c r="J4" i="35"/>
  <c r="M4" i="35"/>
  <c r="AI4" i="35"/>
  <c r="J5" i="35"/>
  <c r="J6" i="35"/>
  <c r="B10" i="35"/>
  <c r="C10" i="35"/>
  <c r="D10" i="35"/>
  <c r="E10" i="35"/>
  <c r="F10" i="35"/>
  <c r="G10" i="35"/>
  <c r="H10" i="35"/>
  <c r="I10" i="35"/>
  <c r="J10" i="35"/>
  <c r="B11" i="35"/>
  <c r="C11" i="35"/>
  <c r="D11" i="35"/>
  <c r="E11" i="35"/>
  <c r="F11" i="35"/>
  <c r="G11" i="35"/>
  <c r="H11" i="35"/>
  <c r="I11" i="35"/>
  <c r="J11" i="35"/>
  <c r="B12" i="35"/>
  <c r="C12" i="35"/>
  <c r="D12" i="35"/>
  <c r="E12" i="35"/>
  <c r="F12" i="35"/>
  <c r="G12" i="35"/>
  <c r="H12" i="35"/>
  <c r="I12" i="35"/>
  <c r="J12" i="35"/>
  <c r="B13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AB13" i="35"/>
  <c r="AD13" i="35"/>
  <c r="AE13" i="35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B15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Y15" i="35"/>
  <c r="Z15" i="35"/>
  <c r="AA15" i="35"/>
  <c r="AB15" i="35"/>
  <c r="AC15" i="35"/>
  <c r="AD15" i="35"/>
  <c r="AE15" i="35"/>
  <c r="B16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W16" i="35" s="1"/>
  <c r="V16" i="35"/>
  <c r="X16" i="35"/>
  <c r="Y16" i="35"/>
  <c r="Z16" i="35"/>
  <c r="AA16" i="35"/>
  <c r="AB16" i="35"/>
  <c r="AC16" i="35"/>
  <c r="AD16" i="35"/>
  <c r="AE16" i="35"/>
  <c r="B17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B18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B19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X19" i="35" s="1"/>
  <c r="W19" i="35"/>
  <c r="Y19" i="35"/>
  <c r="Z19" i="35"/>
  <c r="AA19" i="35"/>
  <c r="AB19" i="35"/>
  <c r="AC19" i="35"/>
  <c r="AD19" i="35"/>
  <c r="AE19" i="35"/>
  <c r="B20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Z20" i="35"/>
  <c r="AA20" i="35"/>
  <c r="AB20" i="35"/>
  <c r="AC20" i="35"/>
  <c r="AD20" i="35"/>
  <c r="AE20" i="35"/>
  <c r="B21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AB21" i="35" s="1"/>
  <c r="U21" i="35"/>
  <c r="V21" i="35"/>
  <c r="AC21" i="35" s="1"/>
  <c r="AD21" i="35"/>
  <c r="AE21" i="35"/>
  <c r="B22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AC22" i="35" s="1"/>
  <c r="AD22" i="35"/>
  <c r="AE22" i="35"/>
  <c r="B23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B24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AB24" i="35"/>
  <c r="AC24" i="35"/>
  <c r="AD24" i="35"/>
  <c r="AE24" i="35"/>
  <c r="B25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B26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B27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 s="1"/>
  <c r="X27" i="35"/>
  <c r="Y27" i="35"/>
  <c r="Z27" i="35"/>
  <c r="B28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 s="1"/>
  <c r="X28" i="35"/>
  <c r="Y28" i="35"/>
  <c r="Z28" i="35"/>
  <c r="AA28" i="35"/>
  <c r="AB28" i="35"/>
  <c r="AC28" i="35"/>
  <c r="AD28" i="35"/>
  <c r="AE28" i="35"/>
  <c r="B29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 s="1"/>
  <c r="Z29" i="35"/>
  <c r="AA29" i="35"/>
  <c r="AB29" i="35"/>
  <c r="AC29" i="35"/>
  <c r="AD29" i="35"/>
  <c r="AE29" i="35"/>
  <c r="B30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O30" i="35"/>
  <c r="P30" i="35"/>
  <c r="Q30" i="35"/>
  <c r="R30" i="35"/>
  <c r="S30" i="35"/>
  <c r="T30" i="35"/>
  <c r="U30" i="35"/>
  <c r="V30" i="35"/>
  <c r="AA30" i="35"/>
  <c r="AB30" i="35"/>
  <c r="AD30" i="35"/>
  <c r="AE30" i="35"/>
  <c r="B31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O31" i="35"/>
  <c r="P31" i="35"/>
  <c r="Q31" i="35"/>
  <c r="R31" i="35"/>
  <c r="S31" i="35"/>
  <c r="T31" i="35"/>
  <c r="U31" i="35"/>
  <c r="V31" i="35"/>
  <c r="Y31" i="35"/>
  <c r="Z31" i="35"/>
  <c r="AA31" i="35"/>
  <c r="AB31" i="35"/>
  <c r="AC31" i="35"/>
  <c r="AD31" i="35"/>
  <c r="AE31" i="35"/>
  <c r="B32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O32" i="35"/>
  <c r="P32" i="35"/>
  <c r="Q32" i="35"/>
  <c r="R32" i="35"/>
  <c r="S32" i="35"/>
  <c r="T32" i="35"/>
  <c r="U32" i="35"/>
  <c r="V32" i="35"/>
  <c r="AB32" i="35"/>
  <c r="AC32" i="35"/>
  <c r="AD32" i="35"/>
  <c r="AE32" i="35"/>
  <c r="B33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Z33" i="35"/>
  <c r="AA33" i="35"/>
  <c r="AB33" i="35"/>
  <c r="AC33" i="35"/>
  <c r="AD33" i="35"/>
  <c r="AE33" i="35"/>
  <c r="B34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O34" i="35"/>
  <c r="P34" i="35"/>
  <c r="Q34" i="35"/>
  <c r="R34" i="35"/>
  <c r="Z34" i="35" s="1"/>
  <c r="S34" i="35"/>
  <c r="T34" i="35"/>
  <c r="U34" i="35"/>
  <c r="V34" i="35"/>
  <c r="AA34" i="35"/>
  <c r="AB34" i="35"/>
  <c r="AC34" i="35"/>
  <c r="AD34" i="35"/>
  <c r="AE34" i="35"/>
  <c r="B35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O35" i="35"/>
  <c r="P35" i="35"/>
  <c r="Q35" i="35"/>
  <c r="R35" i="35"/>
  <c r="S35" i="35"/>
  <c r="T35" i="35"/>
  <c r="U35" i="35"/>
  <c r="V35" i="35"/>
  <c r="Y35" i="35"/>
  <c r="Z35" i="35"/>
  <c r="AA35" i="35"/>
  <c r="AB35" i="35"/>
  <c r="AC35" i="35"/>
  <c r="AD35" i="35"/>
  <c r="AE35" i="35"/>
  <c r="B36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O36" i="35"/>
  <c r="P36" i="35"/>
  <c r="Q36" i="35"/>
  <c r="R36" i="35"/>
  <c r="S36" i="35"/>
  <c r="T36" i="35"/>
  <c r="U36" i="35"/>
  <c r="V36" i="35"/>
  <c r="B37" i="35"/>
  <c r="C37" i="35"/>
  <c r="D37" i="35"/>
  <c r="E37" i="35"/>
  <c r="F37" i="35"/>
  <c r="G37" i="35"/>
  <c r="H37" i="35"/>
  <c r="I37" i="35"/>
  <c r="J37" i="35"/>
  <c r="B38" i="35"/>
  <c r="C38" i="35"/>
  <c r="D38" i="35"/>
  <c r="E38" i="35"/>
  <c r="F38" i="35"/>
  <c r="G38" i="35"/>
  <c r="H38" i="35"/>
  <c r="I38" i="35"/>
  <c r="J38" i="35"/>
  <c r="B39" i="35"/>
  <c r="C39" i="35"/>
  <c r="D39" i="35"/>
  <c r="E39" i="35"/>
  <c r="F39" i="35"/>
  <c r="G39" i="35"/>
  <c r="H39" i="35"/>
  <c r="I39" i="35"/>
  <c r="J39" i="35"/>
  <c r="B40" i="35"/>
  <c r="C40" i="35"/>
  <c r="D40" i="35"/>
  <c r="E40" i="35"/>
  <c r="F40" i="35"/>
  <c r="G40" i="35"/>
  <c r="H40" i="35"/>
  <c r="I40" i="35"/>
  <c r="J40" i="35"/>
  <c r="B41" i="35"/>
  <c r="C41" i="35"/>
  <c r="D41" i="35"/>
  <c r="E41" i="35"/>
  <c r="F41" i="35"/>
  <c r="G41" i="35"/>
  <c r="H41" i="35"/>
  <c r="I41" i="35"/>
  <c r="J41" i="35"/>
  <c r="B42" i="35"/>
  <c r="C42" i="35"/>
  <c r="D42" i="35"/>
  <c r="E42" i="35"/>
  <c r="F42" i="35"/>
  <c r="G42" i="35"/>
  <c r="H42" i="35"/>
  <c r="I42" i="35"/>
  <c r="J42" i="35"/>
  <c r="B43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O43" i="35"/>
  <c r="P43" i="35"/>
  <c r="Q43" i="35"/>
  <c r="R43" i="35"/>
  <c r="S43" i="35"/>
  <c r="T43" i="35"/>
  <c r="U43" i="35"/>
  <c r="V43" i="35"/>
  <c r="Y43" i="35"/>
  <c r="Z43" i="35"/>
  <c r="AA43" i="35"/>
  <c r="AB43" i="35"/>
  <c r="AC43" i="35"/>
  <c r="AD43" i="35"/>
  <c r="AE43" i="35"/>
  <c r="B44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O44" i="35"/>
  <c r="P44" i="35"/>
  <c r="Q44" i="35"/>
  <c r="R44" i="35"/>
  <c r="S44" i="35"/>
  <c r="T44" i="35"/>
  <c r="U44" i="35"/>
  <c r="V44" i="35"/>
  <c r="Z44" i="35"/>
  <c r="AA44" i="35"/>
  <c r="AB44" i="35"/>
  <c r="AC44" i="35"/>
  <c r="AD44" i="35"/>
  <c r="AE44" i="35"/>
  <c r="B45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O45" i="35"/>
  <c r="P45" i="35"/>
  <c r="Q45" i="35"/>
  <c r="R45" i="35"/>
  <c r="S45" i="35"/>
  <c r="T45" i="35"/>
  <c r="U45" i="35"/>
  <c r="V45" i="35"/>
  <c r="Z45" i="35"/>
  <c r="AB45" i="35"/>
  <c r="AC45" i="35"/>
  <c r="AD45" i="35"/>
  <c r="B46" i="35"/>
  <c r="C46" i="35"/>
  <c r="D46" i="35"/>
  <c r="E46" i="35"/>
  <c r="F46" i="35"/>
  <c r="G46" i="35"/>
  <c r="H46" i="35"/>
  <c r="I46" i="35"/>
  <c r="J46" i="35"/>
  <c r="B47" i="35"/>
  <c r="C47" i="35"/>
  <c r="D47" i="35"/>
  <c r="E47" i="35"/>
  <c r="F47" i="35"/>
  <c r="G47" i="35"/>
  <c r="H47" i="35"/>
  <c r="I47" i="35"/>
  <c r="J47" i="35"/>
  <c r="B48" i="35"/>
  <c r="C48" i="35"/>
  <c r="D48" i="35"/>
  <c r="E48" i="35"/>
  <c r="F48" i="35"/>
  <c r="G48" i="35"/>
  <c r="H48" i="35"/>
  <c r="I48" i="35"/>
  <c r="J48" i="35"/>
  <c r="B49" i="35"/>
  <c r="C49" i="35"/>
  <c r="D49" i="35"/>
  <c r="E49" i="35"/>
  <c r="F49" i="35"/>
  <c r="G49" i="35"/>
  <c r="H49" i="35"/>
  <c r="I49" i="35"/>
  <c r="J49" i="35"/>
  <c r="K49" i="35"/>
  <c r="L49" i="35"/>
  <c r="M49" i="35"/>
  <c r="N49" i="35"/>
  <c r="O49" i="35"/>
  <c r="P49" i="35"/>
  <c r="Q49" i="35"/>
  <c r="R49" i="35"/>
  <c r="S49" i="35"/>
  <c r="T49" i="35"/>
  <c r="U49" i="35"/>
  <c r="V49" i="35"/>
  <c r="Z49" i="35" s="1"/>
  <c r="AA49" i="35"/>
  <c r="AB49" i="35"/>
  <c r="AC49" i="35"/>
  <c r="AD49" i="35"/>
  <c r="AE49" i="35"/>
  <c r="B50" i="35"/>
  <c r="C50" i="35"/>
  <c r="D50" i="35"/>
  <c r="E50" i="35"/>
  <c r="F50" i="35"/>
  <c r="G50" i="35"/>
  <c r="H50" i="35"/>
  <c r="I50" i="35"/>
  <c r="J50" i="35"/>
  <c r="K50" i="35"/>
  <c r="L50" i="35"/>
  <c r="M50" i="35"/>
  <c r="N50" i="35"/>
  <c r="O50" i="35"/>
  <c r="P50" i="35"/>
  <c r="Q50" i="35"/>
  <c r="R50" i="35"/>
  <c r="S50" i="35"/>
  <c r="T50" i="35"/>
  <c r="U50" i="35"/>
  <c r="V50" i="35"/>
  <c r="B51" i="35"/>
  <c r="D51" i="35"/>
  <c r="E51" i="35"/>
  <c r="F51" i="35"/>
  <c r="G51" i="35"/>
  <c r="H51" i="35"/>
  <c r="I51" i="35"/>
  <c r="J51" i="35"/>
  <c r="K51" i="35"/>
  <c r="L51" i="35"/>
  <c r="M51" i="35"/>
  <c r="N51" i="35"/>
  <c r="O51" i="35"/>
  <c r="P51" i="35"/>
  <c r="Q51" i="35"/>
  <c r="R51" i="35"/>
  <c r="S51" i="35"/>
  <c r="T51" i="35"/>
  <c r="U51" i="35"/>
  <c r="V51" i="35"/>
  <c r="Y51" i="35"/>
  <c r="Z51" i="35"/>
  <c r="AA51" i="35"/>
  <c r="AB51" i="35"/>
  <c r="AC51" i="35"/>
  <c r="AD51" i="35"/>
  <c r="AE51" i="35"/>
  <c r="B52" i="35"/>
  <c r="C52" i="35"/>
  <c r="D52" i="35"/>
  <c r="E52" i="35"/>
  <c r="F52" i="35"/>
  <c r="G52" i="35"/>
  <c r="H52" i="35"/>
  <c r="I52" i="35"/>
  <c r="J52" i="35"/>
  <c r="K52" i="35"/>
  <c r="L52" i="35"/>
  <c r="M52" i="35"/>
  <c r="N52" i="35"/>
  <c r="O52" i="35"/>
  <c r="P52" i="35"/>
  <c r="Q52" i="35"/>
  <c r="R52" i="35"/>
  <c r="S52" i="35"/>
  <c r="T52" i="35"/>
  <c r="U52" i="35"/>
  <c r="V52" i="35"/>
  <c r="B53" i="35"/>
  <c r="C53" i="35"/>
  <c r="D53" i="35"/>
  <c r="E53" i="35"/>
  <c r="F53" i="35"/>
  <c r="G53" i="35"/>
  <c r="H53" i="35"/>
  <c r="I53" i="35"/>
  <c r="J53" i="35"/>
  <c r="K53" i="35"/>
  <c r="L53" i="35"/>
  <c r="M53" i="35"/>
  <c r="N53" i="35"/>
  <c r="O53" i="35"/>
  <c r="P53" i="35"/>
  <c r="Q53" i="35"/>
  <c r="R53" i="35"/>
  <c r="S53" i="35"/>
  <c r="T53" i="35"/>
  <c r="U53" i="35"/>
  <c r="V53" i="35"/>
  <c r="Y53" i="35"/>
  <c r="Z53" i="35"/>
  <c r="AA53" i="35"/>
  <c r="AB53" i="35"/>
  <c r="AC53" i="35"/>
  <c r="AD53" i="35"/>
  <c r="AE53" i="35"/>
  <c r="B54" i="35"/>
  <c r="C54" i="35"/>
  <c r="D54" i="35"/>
  <c r="E54" i="35"/>
  <c r="F54" i="35"/>
  <c r="G54" i="35"/>
  <c r="H54" i="35"/>
  <c r="I54" i="35"/>
  <c r="J54" i="35"/>
  <c r="K54" i="35"/>
  <c r="L54" i="35"/>
  <c r="M54" i="35"/>
  <c r="N54" i="35"/>
  <c r="O54" i="35"/>
  <c r="P54" i="35"/>
  <c r="Q54" i="35"/>
  <c r="R54" i="35"/>
  <c r="S54" i="35"/>
  <c r="T54" i="35"/>
  <c r="U54" i="35"/>
  <c r="V54" i="35"/>
  <c r="B55" i="35"/>
  <c r="I55" i="35"/>
  <c r="J55" i="35"/>
  <c r="B56" i="35"/>
  <c r="C56" i="35"/>
  <c r="D56" i="35"/>
  <c r="E56" i="35"/>
  <c r="F56" i="35"/>
  <c r="G56" i="35"/>
  <c r="H56" i="35"/>
  <c r="I56" i="35"/>
  <c r="J56" i="35"/>
  <c r="B57" i="35"/>
  <c r="C57" i="35"/>
  <c r="D57" i="35"/>
  <c r="E57" i="35"/>
  <c r="F57" i="35"/>
  <c r="G57" i="35"/>
  <c r="H57" i="35"/>
  <c r="I57" i="35"/>
  <c r="J57" i="35"/>
  <c r="B58" i="35"/>
  <c r="C58" i="35"/>
  <c r="D58" i="35"/>
  <c r="E58" i="35"/>
  <c r="F58" i="35"/>
  <c r="G58" i="35"/>
  <c r="H58" i="35"/>
  <c r="I58" i="35"/>
  <c r="J58" i="35"/>
  <c r="B59" i="35"/>
  <c r="C59" i="35"/>
  <c r="D59" i="35"/>
  <c r="E59" i="35"/>
  <c r="F59" i="35"/>
  <c r="G59" i="35"/>
  <c r="H59" i="35"/>
  <c r="I59" i="35"/>
  <c r="J59" i="35"/>
  <c r="B60" i="35"/>
  <c r="C60" i="35"/>
  <c r="D60" i="35"/>
  <c r="E60" i="35"/>
  <c r="F60" i="35"/>
  <c r="G60" i="35"/>
  <c r="H60" i="35"/>
  <c r="I60" i="35"/>
  <c r="J60" i="35"/>
  <c r="B61" i="35"/>
  <c r="C61" i="35"/>
  <c r="D61" i="35"/>
  <c r="E61" i="35"/>
  <c r="F61" i="35"/>
  <c r="G61" i="35"/>
  <c r="H61" i="35"/>
  <c r="I61" i="35"/>
  <c r="J61" i="35"/>
  <c r="B62" i="35"/>
  <c r="C62" i="35"/>
  <c r="D62" i="35"/>
  <c r="E62" i="35"/>
  <c r="F62" i="35"/>
  <c r="G62" i="35"/>
  <c r="H62" i="35"/>
  <c r="I62" i="35"/>
  <c r="J62" i="35"/>
  <c r="B63" i="35"/>
  <c r="C63" i="35"/>
  <c r="D63" i="35"/>
  <c r="E63" i="35"/>
  <c r="F63" i="35"/>
  <c r="G63" i="35"/>
  <c r="H63" i="35"/>
  <c r="I63" i="35"/>
  <c r="J63" i="35"/>
  <c r="B64" i="35"/>
  <c r="C64" i="35"/>
  <c r="D64" i="35"/>
  <c r="E64" i="35"/>
  <c r="F64" i="35"/>
  <c r="G64" i="35"/>
  <c r="H64" i="35"/>
  <c r="I64" i="35"/>
  <c r="J64" i="35"/>
  <c r="B65" i="35"/>
  <c r="C65" i="35"/>
  <c r="D65" i="35"/>
  <c r="E65" i="35"/>
  <c r="F65" i="35"/>
  <c r="G65" i="35"/>
  <c r="H65" i="35"/>
  <c r="I65" i="35"/>
  <c r="J65" i="35"/>
  <c r="B66" i="35"/>
  <c r="C66" i="35"/>
  <c r="D66" i="35"/>
  <c r="E66" i="35"/>
  <c r="F66" i="35"/>
  <c r="G66" i="35"/>
  <c r="H66" i="35"/>
  <c r="I66" i="35"/>
  <c r="J66" i="35"/>
  <c r="B67" i="35"/>
  <c r="C67" i="35"/>
  <c r="D67" i="35"/>
  <c r="E67" i="35"/>
  <c r="F67" i="35"/>
  <c r="G67" i="35"/>
  <c r="H67" i="35"/>
  <c r="I67" i="35"/>
  <c r="J67" i="35"/>
  <c r="B68" i="35"/>
  <c r="C68" i="35"/>
  <c r="D68" i="35"/>
  <c r="E68" i="35"/>
  <c r="F68" i="35"/>
  <c r="G68" i="35"/>
  <c r="H68" i="35"/>
  <c r="I68" i="35"/>
  <c r="J68" i="35"/>
  <c r="B69" i="35"/>
  <c r="C69" i="35"/>
  <c r="D69" i="35"/>
  <c r="E69" i="35"/>
  <c r="F69" i="35"/>
  <c r="G69" i="35"/>
  <c r="H69" i="35"/>
  <c r="I69" i="35"/>
  <c r="J69" i="35"/>
  <c r="B70" i="35"/>
  <c r="I70" i="35"/>
  <c r="J70" i="35"/>
  <c r="B71" i="35"/>
  <c r="C71" i="35"/>
  <c r="D71" i="35"/>
  <c r="E71" i="35"/>
  <c r="F71" i="35"/>
  <c r="G71" i="35"/>
  <c r="H71" i="35"/>
  <c r="I71" i="35"/>
  <c r="J71" i="35"/>
  <c r="K71" i="35"/>
  <c r="L71" i="35"/>
  <c r="M71" i="35"/>
  <c r="N71" i="35"/>
  <c r="O71" i="35"/>
  <c r="P71" i="35"/>
  <c r="Q71" i="35"/>
  <c r="R71" i="35"/>
  <c r="S71" i="35"/>
  <c r="T71" i="35"/>
  <c r="U71" i="35"/>
  <c r="V71" i="35"/>
  <c r="AD71" i="35"/>
  <c r="AE71" i="35"/>
  <c r="B72" i="35"/>
  <c r="C72" i="35"/>
  <c r="D72" i="35"/>
  <c r="E72" i="35"/>
  <c r="F72" i="35"/>
  <c r="G72" i="35"/>
  <c r="H72" i="35"/>
  <c r="I72" i="35"/>
  <c r="J72" i="35"/>
  <c r="K72" i="35"/>
  <c r="L72" i="35"/>
  <c r="M72" i="35"/>
  <c r="N72" i="35"/>
  <c r="O72" i="35"/>
  <c r="P72" i="35"/>
  <c r="Q72" i="35"/>
  <c r="R72" i="35"/>
  <c r="S72" i="35"/>
  <c r="T72" i="35"/>
  <c r="U72" i="35"/>
  <c r="V72" i="35"/>
  <c r="AE72" i="35" s="1"/>
  <c r="B73" i="35"/>
  <c r="C73" i="35"/>
  <c r="D73" i="35"/>
  <c r="E73" i="35"/>
  <c r="F73" i="35"/>
  <c r="I73" i="35"/>
  <c r="J73" i="35"/>
  <c r="B74" i="35"/>
  <c r="C74" i="35"/>
  <c r="D74" i="35"/>
  <c r="E74" i="35"/>
  <c r="F74" i="35"/>
  <c r="G74" i="35"/>
  <c r="H74" i="35"/>
  <c r="I74" i="35"/>
  <c r="J74" i="35"/>
  <c r="B75" i="35"/>
  <c r="C75" i="35"/>
  <c r="D75" i="35"/>
  <c r="E75" i="35"/>
  <c r="F75" i="35"/>
  <c r="G75" i="35"/>
  <c r="H75" i="35"/>
  <c r="I75" i="35"/>
  <c r="J75" i="35"/>
  <c r="B76" i="35"/>
  <c r="C76" i="35"/>
  <c r="D76" i="35"/>
  <c r="E76" i="35"/>
  <c r="F76" i="35"/>
  <c r="G76" i="35"/>
  <c r="H76" i="35"/>
  <c r="I76" i="35"/>
  <c r="J76" i="35"/>
  <c r="M76" i="35"/>
  <c r="N76" i="35"/>
  <c r="O76" i="35"/>
  <c r="P76" i="35"/>
  <c r="Q76" i="35"/>
  <c r="R76" i="35"/>
  <c r="S76" i="35"/>
  <c r="T76" i="35"/>
  <c r="U76" i="35"/>
  <c r="V76" i="35"/>
  <c r="B77" i="35"/>
  <c r="C77" i="35"/>
  <c r="D77" i="35"/>
  <c r="E77" i="35"/>
  <c r="F77" i="35"/>
  <c r="G77" i="35"/>
  <c r="H77" i="35"/>
  <c r="I77" i="35"/>
  <c r="J77" i="35"/>
  <c r="K77" i="35"/>
  <c r="L77" i="35"/>
  <c r="M77" i="35"/>
  <c r="N77" i="35"/>
  <c r="O77" i="35"/>
  <c r="P77" i="35"/>
  <c r="Q77" i="35"/>
  <c r="R77" i="35"/>
  <c r="S77" i="35"/>
  <c r="T77" i="35"/>
  <c r="U77" i="35"/>
  <c r="V77" i="35"/>
  <c r="Z77" i="35"/>
  <c r="AA77" i="35"/>
  <c r="AB77" i="35"/>
  <c r="AC77" i="35"/>
  <c r="AD77" i="35"/>
  <c r="AE77" i="35"/>
  <c r="B78" i="35"/>
  <c r="C78" i="35"/>
  <c r="D78" i="35"/>
  <c r="E78" i="35"/>
  <c r="F78" i="35"/>
  <c r="G78" i="35"/>
  <c r="H78" i="35"/>
  <c r="I78" i="35"/>
  <c r="J78" i="35"/>
  <c r="K78" i="35"/>
  <c r="L78" i="35"/>
  <c r="M78" i="35"/>
  <c r="N78" i="35"/>
  <c r="O78" i="35"/>
  <c r="P78" i="35"/>
  <c r="Q78" i="35"/>
  <c r="R78" i="35"/>
  <c r="S78" i="35"/>
  <c r="T78" i="35"/>
  <c r="U78" i="35"/>
  <c r="V78" i="35"/>
  <c r="Z78" i="35"/>
  <c r="AA78" i="35"/>
  <c r="AB78" i="35"/>
  <c r="AC78" i="35"/>
  <c r="AD78" i="35"/>
  <c r="AE78" i="35"/>
  <c r="B79" i="35"/>
  <c r="C79" i="35"/>
  <c r="D79" i="35"/>
  <c r="E79" i="35"/>
  <c r="F79" i="35"/>
  <c r="G79" i="35"/>
  <c r="H79" i="35"/>
  <c r="I79" i="35"/>
  <c r="J79" i="35"/>
  <c r="K79" i="35"/>
  <c r="L79" i="35"/>
  <c r="M79" i="35"/>
  <c r="N79" i="35"/>
  <c r="O79" i="35"/>
  <c r="P79" i="35"/>
  <c r="Q79" i="35"/>
  <c r="R79" i="35"/>
  <c r="S79" i="35"/>
  <c r="T79" i="35"/>
  <c r="U79" i="35"/>
  <c r="V79" i="35"/>
  <c r="AE79" i="35"/>
  <c r="B80" i="35"/>
  <c r="C80" i="35"/>
  <c r="D80" i="35"/>
  <c r="E80" i="35"/>
  <c r="F80" i="35"/>
  <c r="G80" i="35"/>
  <c r="H80" i="35"/>
  <c r="I80" i="35"/>
  <c r="J80" i="35"/>
  <c r="K80" i="35"/>
  <c r="L80" i="35"/>
  <c r="M80" i="35"/>
  <c r="N80" i="35"/>
  <c r="O80" i="35"/>
  <c r="P80" i="35"/>
  <c r="Q80" i="35"/>
  <c r="R80" i="35"/>
  <c r="S80" i="35"/>
  <c r="T80" i="35"/>
  <c r="U80" i="35"/>
  <c r="V80" i="35"/>
  <c r="X80" i="35" s="1"/>
  <c r="Y80" i="35"/>
  <c r="Z80" i="35"/>
  <c r="AA80" i="35"/>
  <c r="AB80" i="35"/>
  <c r="AC80" i="35"/>
  <c r="AD80" i="35"/>
  <c r="AE80" i="35"/>
  <c r="B81" i="35"/>
  <c r="C81" i="35"/>
  <c r="D81" i="35"/>
  <c r="E81" i="35"/>
  <c r="F81" i="35"/>
  <c r="G81" i="35"/>
  <c r="H81" i="35"/>
  <c r="I81" i="35"/>
  <c r="J81" i="35"/>
  <c r="K81" i="35"/>
  <c r="L81" i="35"/>
  <c r="M81" i="35"/>
  <c r="N81" i="35"/>
  <c r="O81" i="35"/>
  <c r="P81" i="35"/>
  <c r="Q81" i="35"/>
  <c r="R81" i="35"/>
  <c r="S81" i="35"/>
  <c r="T81" i="35"/>
  <c r="U81" i="35"/>
  <c r="V81" i="35"/>
  <c r="Z81" i="35"/>
  <c r="AA81" i="35"/>
  <c r="AB81" i="35"/>
  <c r="AC81" i="35"/>
  <c r="AD81" i="35"/>
  <c r="AE81" i="35"/>
  <c r="B82" i="35"/>
  <c r="C82" i="35"/>
  <c r="D82" i="35"/>
  <c r="E82" i="35"/>
  <c r="F82" i="35"/>
  <c r="G82" i="35"/>
  <c r="H82" i="35"/>
  <c r="I82" i="35"/>
  <c r="J82" i="35"/>
  <c r="B83" i="35"/>
  <c r="C83" i="35"/>
  <c r="D83" i="35"/>
  <c r="E83" i="35"/>
  <c r="F83" i="35"/>
  <c r="G83" i="35"/>
  <c r="H83" i="35"/>
  <c r="I83" i="35"/>
  <c r="J83" i="35"/>
  <c r="B84" i="35"/>
  <c r="C84" i="35"/>
  <c r="D84" i="35"/>
  <c r="E84" i="35"/>
  <c r="F84" i="35"/>
  <c r="G84" i="35"/>
  <c r="H84" i="35"/>
  <c r="I84" i="35"/>
  <c r="J84" i="35"/>
  <c r="O84" i="35"/>
  <c r="P84" i="35"/>
  <c r="Q84" i="35"/>
  <c r="R84" i="35"/>
  <c r="S84" i="35"/>
  <c r="T84" i="35"/>
  <c r="U84" i="35"/>
  <c r="V84" i="35"/>
  <c r="B85" i="35"/>
  <c r="C85" i="35"/>
  <c r="D85" i="35"/>
  <c r="E85" i="35"/>
  <c r="F85" i="35"/>
  <c r="G85" i="35"/>
  <c r="H85" i="35"/>
  <c r="I85" i="35"/>
  <c r="J85" i="35"/>
  <c r="K85" i="35"/>
  <c r="L85" i="35"/>
  <c r="M85" i="35"/>
  <c r="N85" i="35"/>
  <c r="O85" i="35"/>
  <c r="P85" i="35"/>
  <c r="Q85" i="35"/>
  <c r="R85" i="35"/>
  <c r="S85" i="35"/>
  <c r="T85" i="35"/>
  <c r="U85" i="35"/>
  <c r="V85" i="35"/>
  <c r="Y85" i="35"/>
  <c r="Z85" i="35"/>
  <c r="AA85" i="35"/>
  <c r="AB85" i="35"/>
  <c r="AC85" i="35"/>
  <c r="AD85" i="35"/>
  <c r="AE85" i="35"/>
  <c r="AI5" i="35"/>
  <c r="A1" i="34"/>
  <c r="P2" i="34"/>
  <c r="J3" i="34"/>
  <c r="J4" i="34"/>
  <c r="M4" i="34"/>
  <c r="AI4" i="34"/>
  <c r="J5" i="34"/>
  <c r="J6" i="34"/>
  <c r="B10" i="34"/>
  <c r="C10" i="34"/>
  <c r="D10" i="34"/>
  <c r="E10" i="34"/>
  <c r="F10" i="34"/>
  <c r="G10" i="34"/>
  <c r="H10" i="34"/>
  <c r="I10" i="34"/>
  <c r="J10" i="34"/>
  <c r="B11" i="34"/>
  <c r="C11" i="34"/>
  <c r="D11" i="34"/>
  <c r="E11" i="34"/>
  <c r="F11" i="34"/>
  <c r="G11" i="34"/>
  <c r="H11" i="34"/>
  <c r="I11" i="34"/>
  <c r="J11" i="34"/>
  <c r="B12" i="34"/>
  <c r="C12" i="34"/>
  <c r="D12" i="34"/>
  <c r="E12" i="34"/>
  <c r="F12" i="34"/>
  <c r="G12" i="34"/>
  <c r="H12" i="34"/>
  <c r="I12" i="34"/>
  <c r="J12" i="34"/>
  <c r="B13" i="34"/>
  <c r="C13" i="34"/>
  <c r="D13" i="34"/>
  <c r="E13" i="34"/>
  <c r="F13" i="34"/>
  <c r="G13" i="34"/>
  <c r="H13" i="34"/>
  <c r="I13" i="34"/>
  <c r="J13" i="34"/>
  <c r="B14" i="34"/>
  <c r="C14" i="34"/>
  <c r="D14" i="34"/>
  <c r="E14" i="34"/>
  <c r="F14" i="34"/>
  <c r="G14" i="34"/>
  <c r="H14" i="34"/>
  <c r="I14" i="34"/>
  <c r="J14" i="34"/>
  <c r="B15" i="34"/>
  <c r="C15" i="34"/>
  <c r="D15" i="34"/>
  <c r="E15" i="34"/>
  <c r="F15" i="34"/>
  <c r="G15" i="34"/>
  <c r="H15" i="34"/>
  <c r="I15" i="34"/>
  <c r="J15" i="34"/>
  <c r="B16" i="34"/>
  <c r="C16" i="34"/>
  <c r="D16" i="34"/>
  <c r="E16" i="34"/>
  <c r="F16" i="34"/>
  <c r="G16" i="34"/>
  <c r="H16" i="34"/>
  <c r="I16" i="34"/>
  <c r="J16" i="34"/>
  <c r="P16" i="34"/>
  <c r="Q16" i="34"/>
  <c r="R16" i="34"/>
  <c r="S16" i="34"/>
  <c r="T16" i="34"/>
  <c r="U16" i="34"/>
  <c r="V16" i="34"/>
  <c r="B17" i="34"/>
  <c r="C17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AE17" i="34" s="1"/>
  <c r="Q17" i="34"/>
  <c r="R17" i="34"/>
  <c r="S17" i="34"/>
  <c r="T17" i="34"/>
  <c r="U17" i="34"/>
  <c r="V17" i="34"/>
  <c r="B18" i="34"/>
  <c r="C18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Y18" i="34"/>
  <c r="Z18" i="34"/>
  <c r="AA18" i="34"/>
  <c r="AB18" i="34"/>
  <c r="AC18" i="34"/>
  <c r="AD18" i="34"/>
  <c r="AE18" i="34"/>
  <c r="B19" i="34"/>
  <c r="C19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AD19" i="34" s="1"/>
  <c r="B20" i="34"/>
  <c r="C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Z20" i="34"/>
  <c r="AA20" i="34"/>
  <c r="AB20" i="34"/>
  <c r="AC20" i="34"/>
  <c r="AD20" i="34"/>
  <c r="AE20" i="34"/>
  <c r="B21" i="34"/>
  <c r="C21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AD21" i="34" s="1"/>
  <c r="B22" i="34"/>
  <c r="C22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B23" i="34"/>
  <c r="C23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B24" i="34"/>
  <c r="C24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B25" i="34"/>
  <c r="C25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Y25" i="34"/>
  <c r="Z25" i="34"/>
  <c r="AA25" i="34"/>
  <c r="AB25" i="34"/>
  <c r="AC25" i="34"/>
  <c r="AD25" i="34"/>
  <c r="AE25" i="34"/>
  <c r="B26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 s="1"/>
  <c r="X26" i="34"/>
  <c r="Y26" i="34"/>
  <c r="Z26" i="34"/>
  <c r="AA26" i="34"/>
  <c r="AB26" i="34"/>
  <c r="AC26" i="34"/>
  <c r="AD26" i="34"/>
  <c r="AE26" i="34"/>
  <c r="B27" i="34"/>
  <c r="C27" i="34"/>
  <c r="D27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U27" i="34"/>
  <c r="V27" i="34"/>
  <c r="Z27" i="34"/>
  <c r="AA27" i="34"/>
  <c r="AB27" i="34"/>
  <c r="AC27" i="34"/>
  <c r="AD27" i="34"/>
  <c r="AE27" i="34"/>
  <c r="B28" i="34"/>
  <c r="C28" i="34"/>
  <c r="D28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S28" i="34"/>
  <c r="T28" i="34"/>
  <c r="U28" i="34"/>
  <c r="V28" i="34"/>
  <c r="B29" i="34"/>
  <c r="C29" i="34"/>
  <c r="D29" i="34"/>
  <c r="E29" i="34"/>
  <c r="F29" i="34"/>
  <c r="G29" i="34"/>
  <c r="H29" i="34"/>
  <c r="I29" i="34"/>
  <c r="J29" i="34"/>
  <c r="K29" i="34"/>
  <c r="L29" i="34"/>
  <c r="M29" i="34"/>
  <c r="N29" i="34"/>
  <c r="O29" i="34"/>
  <c r="P29" i="34"/>
  <c r="Q29" i="34"/>
  <c r="R29" i="34"/>
  <c r="S29" i="34"/>
  <c r="T29" i="34"/>
  <c r="U29" i="34"/>
  <c r="V29" i="34"/>
  <c r="Z29" i="34"/>
  <c r="AA29" i="34"/>
  <c r="AB29" i="34"/>
  <c r="AC29" i="34"/>
  <c r="AD29" i="34"/>
  <c r="AE29" i="34"/>
  <c r="B30" i="34"/>
  <c r="C30" i="34"/>
  <c r="D30" i="34"/>
  <c r="E30" i="34"/>
  <c r="F30" i="34"/>
  <c r="G30" i="34"/>
  <c r="H30" i="34"/>
  <c r="I30" i="34"/>
  <c r="J30" i="34"/>
  <c r="K30" i="34"/>
  <c r="L30" i="34"/>
  <c r="M30" i="34"/>
  <c r="N30" i="34"/>
  <c r="O30" i="34"/>
  <c r="P30" i="34"/>
  <c r="Q30" i="34"/>
  <c r="R30" i="34"/>
  <c r="S30" i="34"/>
  <c r="T30" i="34"/>
  <c r="U30" i="34"/>
  <c r="V30" i="34"/>
  <c r="AE30" i="34" s="1"/>
  <c r="AD30" i="34"/>
  <c r="B31" i="34"/>
  <c r="C31" i="34"/>
  <c r="D31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Q31" i="34"/>
  <c r="R31" i="34"/>
  <c r="S31" i="34"/>
  <c r="T31" i="34"/>
  <c r="U31" i="34"/>
  <c r="V31" i="34"/>
  <c r="AB31" i="34" s="1"/>
  <c r="B32" i="34"/>
  <c r="C32" i="34"/>
  <c r="D32" i="34"/>
  <c r="E32" i="34"/>
  <c r="F32" i="34"/>
  <c r="G32" i="34"/>
  <c r="H32" i="34"/>
  <c r="I32" i="34"/>
  <c r="J32" i="34"/>
  <c r="K32" i="34"/>
  <c r="L32" i="34"/>
  <c r="M32" i="34"/>
  <c r="N32" i="34"/>
  <c r="O32" i="34"/>
  <c r="P32" i="34"/>
  <c r="Q32" i="34"/>
  <c r="R32" i="34"/>
  <c r="S32" i="34"/>
  <c r="T32" i="34"/>
  <c r="U32" i="34"/>
  <c r="V32" i="34"/>
  <c r="Y32" i="34" s="1"/>
  <c r="Z32" i="34"/>
  <c r="AA32" i="34"/>
  <c r="AB32" i="34"/>
  <c r="AC32" i="34"/>
  <c r="AD32" i="34"/>
  <c r="AE32" i="34"/>
  <c r="B33" i="34"/>
  <c r="C33" i="34"/>
  <c r="D33" i="34"/>
  <c r="E33" i="34"/>
  <c r="F33" i="34"/>
  <c r="G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V33" i="34"/>
  <c r="AB33" i="34"/>
  <c r="AC33" i="34"/>
  <c r="AD33" i="34"/>
  <c r="AE33" i="34"/>
  <c r="B34" i="34"/>
  <c r="G34" i="34"/>
  <c r="H34" i="34"/>
  <c r="I34" i="34"/>
  <c r="J34" i="34"/>
  <c r="K34" i="34"/>
  <c r="L34" i="34"/>
  <c r="M34" i="34"/>
  <c r="N34" i="34"/>
  <c r="O34" i="34"/>
  <c r="P34" i="34"/>
  <c r="Q34" i="34"/>
  <c r="R34" i="34"/>
  <c r="S34" i="34"/>
  <c r="T34" i="34"/>
  <c r="U34" i="34"/>
  <c r="V34" i="34"/>
  <c r="B35" i="34"/>
  <c r="D35" i="34"/>
  <c r="E35" i="34"/>
  <c r="F35" i="34"/>
  <c r="G35" i="34"/>
  <c r="H35" i="34"/>
  <c r="I35" i="34"/>
  <c r="J35" i="34"/>
  <c r="K35" i="34"/>
  <c r="L35" i="34"/>
  <c r="M35" i="34"/>
  <c r="N35" i="34"/>
  <c r="O35" i="34"/>
  <c r="P35" i="34"/>
  <c r="Q35" i="34"/>
  <c r="R35" i="34"/>
  <c r="S35" i="34"/>
  <c r="T35" i="34"/>
  <c r="U35" i="34"/>
  <c r="V35" i="34"/>
  <c r="W35" i="34" s="1"/>
  <c r="Z35" i="34"/>
  <c r="AA35" i="34"/>
  <c r="AB35" i="34"/>
  <c r="AC35" i="34"/>
  <c r="AD35" i="34"/>
  <c r="AE35" i="34"/>
  <c r="B36" i="34"/>
  <c r="D36" i="34"/>
  <c r="E36" i="34"/>
  <c r="F36" i="34"/>
  <c r="G36" i="34"/>
  <c r="H36" i="34"/>
  <c r="I36" i="34"/>
  <c r="J36" i="34"/>
  <c r="K36" i="34"/>
  <c r="L36" i="34"/>
  <c r="M36" i="34"/>
  <c r="N36" i="34"/>
  <c r="O36" i="34"/>
  <c r="P36" i="34"/>
  <c r="Q36" i="34"/>
  <c r="R36" i="34"/>
  <c r="S36" i="34"/>
  <c r="T36" i="34"/>
  <c r="U36" i="34"/>
  <c r="V36" i="34"/>
  <c r="AA36" i="34"/>
  <c r="AB36" i="34"/>
  <c r="AC36" i="34"/>
  <c r="AD36" i="34"/>
  <c r="AE36" i="34"/>
  <c r="B37" i="34"/>
  <c r="C37" i="34"/>
  <c r="D37" i="34"/>
  <c r="E37" i="34"/>
  <c r="F37" i="34"/>
  <c r="G37" i="34"/>
  <c r="H37" i="34"/>
  <c r="I37" i="34"/>
  <c r="J37" i="34"/>
  <c r="K37" i="34"/>
  <c r="L37" i="34"/>
  <c r="M37" i="34"/>
  <c r="N37" i="34"/>
  <c r="O37" i="34"/>
  <c r="P37" i="34"/>
  <c r="B38" i="34"/>
  <c r="C38" i="34"/>
  <c r="D38" i="34"/>
  <c r="E38" i="34"/>
  <c r="F38" i="34"/>
  <c r="G38" i="34"/>
  <c r="H38" i="34"/>
  <c r="I38" i="34"/>
  <c r="J38" i="34"/>
  <c r="B39" i="34"/>
  <c r="C39" i="34"/>
  <c r="D39" i="34"/>
  <c r="E39" i="34"/>
  <c r="F39" i="34"/>
  <c r="G39" i="34"/>
  <c r="H39" i="34"/>
  <c r="I39" i="34"/>
  <c r="J39" i="34"/>
  <c r="B40" i="34"/>
  <c r="C40" i="34"/>
  <c r="D40" i="34"/>
  <c r="E40" i="34"/>
  <c r="F40" i="34"/>
  <c r="G40" i="34"/>
  <c r="H40" i="34"/>
  <c r="I40" i="34"/>
  <c r="J40" i="34"/>
  <c r="B41" i="34"/>
  <c r="C41" i="34"/>
  <c r="D41" i="34"/>
  <c r="E41" i="34"/>
  <c r="F41" i="34"/>
  <c r="G41" i="34"/>
  <c r="H41" i="34"/>
  <c r="I41" i="34"/>
  <c r="J41" i="34"/>
  <c r="B42" i="34"/>
  <c r="D42" i="34"/>
  <c r="E42" i="34"/>
  <c r="F42" i="34"/>
  <c r="G42" i="34"/>
  <c r="H42" i="34"/>
  <c r="I42" i="34"/>
  <c r="J42" i="34"/>
  <c r="B43" i="34"/>
  <c r="C43" i="34"/>
  <c r="D43" i="34"/>
  <c r="E43" i="34"/>
  <c r="F43" i="34"/>
  <c r="G43" i="34"/>
  <c r="H43" i="34"/>
  <c r="I43" i="34"/>
  <c r="J43" i="34"/>
  <c r="B44" i="34"/>
  <c r="C44" i="34"/>
  <c r="D44" i="34"/>
  <c r="E44" i="34"/>
  <c r="F44" i="34"/>
  <c r="G44" i="34"/>
  <c r="H44" i="34"/>
  <c r="I44" i="34"/>
  <c r="J44" i="34"/>
  <c r="B45" i="34"/>
  <c r="C45" i="34"/>
  <c r="D45" i="34"/>
  <c r="E45" i="34"/>
  <c r="F45" i="34"/>
  <c r="G45" i="34"/>
  <c r="H45" i="34"/>
  <c r="I45" i="34"/>
  <c r="J45" i="34"/>
  <c r="B46" i="34"/>
  <c r="C46" i="34"/>
  <c r="D46" i="34"/>
  <c r="E46" i="34"/>
  <c r="F46" i="34"/>
  <c r="G46" i="34"/>
  <c r="H46" i="34"/>
  <c r="I46" i="34"/>
  <c r="J46" i="34"/>
  <c r="B47" i="34"/>
  <c r="C47" i="34"/>
  <c r="D47" i="34"/>
  <c r="E47" i="34"/>
  <c r="F47" i="34"/>
  <c r="G47" i="34"/>
  <c r="H47" i="34"/>
  <c r="I47" i="34"/>
  <c r="J47" i="34"/>
  <c r="B48" i="34"/>
  <c r="C48" i="34"/>
  <c r="D48" i="34"/>
  <c r="E48" i="34"/>
  <c r="F48" i="34"/>
  <c r="G48" i="34"/>
  <c r="H48" i="34"/>
  <c r="I48" i="34"/>
  <c r="J48" i="34"/>
  <c r="B49" i="34"/>
  <c r="C49" i="34"/>
  <c r="D49" i="34"/>
  <c r="E49" i="34"/>
  <c r="F49" i="34"/>
  <c r="G49" i="34"/>
  <c r="H49" i="34"/>
  <c r="I49" i="34"/>
  <c r="J49" i="34"/>
  <c r="B50" i="34"/>
  <c r="C50" i="34"/>
  <c r="D50" i="34"/>
  <c r="E50" i="34"/>
  <c r="F50" i="34"/>
  <c r="G50" i="34"/>
  <c r="H50" i="34"/>
  <c r="I50" i="34"/>
  <c r="J50" i="34"/>
  <c r="B51" i="34"/>
  <c r="C51" i="34"/>
  <c r="D51" i="34"/>
  <c r="E51" i="34"/>
  <c r="F51" i="34"/>
  <c r="G51" i="34"/>
  <c r="H51" i="34"/>
  <c r="I51" i="34"/>
  <c r="J51" i="34"/>
  <c r="B52" i="34"/>
  <c r="C52" i="34"/>
  <c r="D52" i="34"/>
  <c r="E52" i="34"/>
  <c r="F52" i="34"/>
  <c r="G52" i="34"/>
  <c r="H52" i="34"/>
  <c r="I52" i="34"/>
  <c r="J52" i="34"/>
  <c r="B53" i="34"/>
  <c r="C53" i="34"/>
  <c r="D53" i="34"/>
  <c r="E53" i="34"/>
  <c r="F53" i="34"/>
  <c r="G53" i="34"/>
  <c r="H53" i="34"/>
  <c r="I53" i="34"/>
  <c r="J53" i="34"/>
  <c r="B54" i="34"/>
  <c r="D54" i="34"/>
  <c r="E54" i="34"/>
  <c r="F54" i="34"/>
  <c r="G54" i="34"/>
  <c r="H54" i="34"/>
  <c r="I54" i="34"/>
  <c r="J54" i="34"/>
  <c r="B55" i="34"/>
  <c r="C55" i="34"/>
  <c r="D55" i="34"/>
  <c r="E55" i="34"/>
  <c r="F55" i="34"/>
  <c r="G55" i="34"/>
  <c r="H55" i="34"/>
  <c r="I55" i="34"/>
  <c r="J55" i="34"/>
  <c r="B56" i="34"/>
  <c r="C56" i="34"/>
  <c r="D56" i="34"/>
  <c r="E56" i="34"/>
  <c r="F56" i="34"/>
  <c r="G56" i="34"/>
  <c r="H56" i="34"/>
  <c r="I56" i="34"/>
  <c r="J56" i="34"/>
  <c r="B57" i="34"/>
  <c r="C57" i="34"/>
  <c r="D57" i="34"/>
  <c r="E57" i="34"/>
  <c r="F57" i="34"/>
  <c r="G57" i="34"/>
  <c r="H57" i="34"/>
  <c r="I57" i="34"/>
  <c r="J57" i="34"/>
  <c r="B58" i="34"/>
  <c r="C58" i="34"/>
  <c r="D58" i="34"/>
  <c r="E58" i="34"/>
  <c r="F58" i="34"/>
  <c r="G58" i="34"/>
  <c r="H58" i="34"/>
  <c r="I58" i="34"/>
  <c r="J58" i="34"/>
  <c r="B59" i="34"/>
  <c r="C59" i="34"/>
  <c r="D59" i="34"/>
  <c r="E59" i="34"/>
  <c r="F59" i="34"/>
  <c r="G59" i="34"/>
  <c r="H59" i="34"/>
  <c r="I59" i="34"/>
  <c r="J59" i="34"/>
  <c r="B60" i="34"/>
  <c r="C60" i="34"/>
  <c r="D60" i="34"/>
  <c r="E60" i="34"/>
  <c r="F60" i="34"/>
  <c r="G60" i="34"/>
  <c r="H60" i="34"/>
  <c r="I60" i="34"/>
  <c r="J60" i="34"/>
  <c r="B61" i="34"/>
  <c r="C61" i="34"/>
  <c r="D61" i="34"/>
  <c r="E61" i="34"/>
  <c r="F61" i="34"/>
  <c r="G61" i="34"/>
  <c r="H61" i="34"/>
  <c r="I61" i="34"/>
  <c r="J61" i="34"/>
  <c r="B62" i="34"/>
  <c r="C62" i="34"/>
  <c r="D62" i="34"/>
  <c r="E62" i="34"/>
  <c r="F62" i="34"/>
  <c r="G62" i="34"/>
  <c r="H62" i="34"/>
  <c r="I62" i="34"/>
  <c r="J62" i="34"/>
  <c r="B63" i="34"/>
  <c r="C63" i="34"/>
  <c r="D63" i="34"/>
  <c r="E63" i="34"/>
  <c r="F63" i="34"/>
  <c r="G63" i="34"/>
  <c r="H63" i="34"/>
  <c r="I63" i="34"/>
  <c r="J63" i="34"/>
  <c r="B64" i="34"/>
  <c r="C64" i="34"/>
  <c r="D64" i="34"/>
  <c r="E64" i="34"/>
  <c r="F64" i="34"/>
  <c r="G64" i="34"/>
  <c r="H64" i="34"/>
  <c r="I64" i="34"/>
  <c r="J64" i="34"/>
  <c r="B65" i="34"/>
  <c r="C65" i="34"/>
  <c r="D65" i="34"/>
  <c r="E65" i="34"/>
  <c r="F65" i="34"/>
  <c r="G65" i="34"/>
  <c r="H65" i="34"/>
  <c r="I65" i="34"/>
  <c r="J65" i="34"/>
  <c r="B66" i="34"/>
  <c r="C66" i="34"/>
  <c r="D66" i="34"/>
  <c r="E66" i="34"/>
  <c r="F66" i="34"/>
  <c r="G66" i="34"/>
  <c r="H66" i="34"/>
  <c r="I66" i="34"/>
  <c r="J66" i="34"/>
  <c r="B67" i="34"/>
  <c r="C67" i="34"/>
  <c r="D67" i="34"/>
  <c r="E67" i="34"/>
  <c r="F67" i="34"/>
  <c r="G67" i="34"/>
  <c r="H67" i="34"/>
  <c r="I67" i="34"/>
  <c r="J67" i="34"/>
  <c r="B68" i="34"/>
  <c r="C68" i="34"/>
  <c r="D68" i="34"/>
  <c r="E68" i="34"/>
  <c r="F68" i="34"/>
  <c r="G68" i="34"/>
  <c r="H68" i="34"/>
  <c r="I68" i="34"/>
  <c r="J68" i="34"/>
  <c r="B69" i="34"/>
  <c r="C69" i="34"/>
  <c r="D69" i="34"/>
  <c r="E69" i="34"/>
  <c r="F69" i="34"/>
  <c r="G69" i="34"/>
  <c r="H69" i="34"/>
  <c r="I69" i="34"/>
  <c r="J69" i="34"/>
  <c r="B70" i="34"/>
  <c r="C70" i="34"/>
  <c r="D70" i="34"/>
  <c r="E70" i="34"/>
  <c r="F70" i="34"/>
  <c r="G70" i="34"/>
  <c r="H70" i="34"/>
  <c r="I70" i="34"/>
  <c r="J70" i="34"/>
  <c r="B71" i="34"/>
  <c r="C71" i="34"/>
  <c r="D71" i="34"/>
  <c r="E71" i="34"/>
  <c r="F71" i="34"/>
  <c r="G71" i="34"/>
  <c r="H71" i="34"/>
  <c r="I71" i="34"/>
  <c r="J71" i="34"/>
  <c r="B72" i="34"/>
  <c r="C72" i="34"/>
  <c r="D72" i="34"/>
  <c r="E72" i="34"/>
  <c r="F72" i="34"/>
  <c r="G72" i="34"/>
  <c r="H72" i="34"/>
  <c r="I72" i="34"/>
  <c r="J72" i="34"/>
  <c r="B73" i="34"/>
  <c r="C73" i="34"/>
  <c r="D73" i="34"/>
  <c r="E73" i="34"/>
  <c r="F73" i="34"/>
  <c r="G73" i="34"/>
  <c r="H73" i="34"/>
  <c r="I73" i="34"/>
  <c r="J73" i="34"/>
  <c r="B74" i="34"/>
  <c r="C74" i="34"/>
  <c r="D74" i="34"/>
  <c r="E74" i="34"/>
  <c r="F74" i="34"/>
  <c r="G74" i="34"/>
  <c r="H74" i="34"/>
  <c r="I74" i="34"/>
  <c r="J74" i="34"/>
  <c r="B75" i="34"/>
  <c r="D75" i="34"/>
  <c r="E75" i="34"/>
  <c r="F75" i="34"/>
  <c r="G75" i="34"/>
  <c r="H75" i="34"/>
  <c r="I75" i="34"/>
  <c r="J75" i="34"/>
  <c r="B76" i="34"/>
  <c r="C76" i="34"/>
  <c r="D76" i="34"/>
  <c r="E76" i="34"/>
  <c r="F76" i="34"/>
  <c r="G76" i="34"/>
  <c r="H76" i="34"/>
  <c r="I76" i="34"/>
  <c r="J76" i="34"/>
  <c r="B77" i="34"/>
  <c r="C77" i="34"/>
  <c r="D77" i="34"/>
  <c r="E77" i="34"/>
  <c r="F77" i="34"/>
  <c r="G77" i="34"/>
  <c r="H77" i="34"/>
  <c r="I77" i="34"/>
  <c r="J77" i="34"/>
  <c r="B78" i="34"/>
  <c r="C78" i="34"/>
  <c r="D78" i="34"/>
  <c r="E78" i="34"/>
  <c r="F78" i="34"/>
  <c r="G78" i="34"/>
  <c r="H78" i="34"/>
  <c r="I78" i="34"/>
  <c r="J78" i="34"/>
  <c r="B79" i="34"/>
  <c r="C79" i="34"/>
  <c r="D79" i="34"/>
  <c r="E79" i="34"/>
  <c r="F79" i="34"/>
  <c r="G79" i="34"/>
  <c r="H79" i="34"/>
  <c r="I79" i="34"/>
  <c r="J79" i="34"/>
  <c r="B80" i="34"/>
  <c r="C80" i="34"/>
  <c r="D80" i="34"/>
  <c r="E80" i="34"/>
  <c r="F80" i="34"/>
  <c r="G80" i="34"/>
  <c r="H80" i="34"/>
  <c r="I80" i="34"/>
  <c r="J80" i="34"/>
  <c r="B81" i="34"/>
  <c r="C81" i="34"/>
  <c r="D81" i="34"/>
  <c r="E81" i="34"/>
  <c r="F81" i="34"/>
  <c r="G81" i="34"/>
  <c r="H81" i="34"/>
  <c r="I81" i="34"/>
  <c r="J81" i="34"/>
  <c r="B82" i="34"/>
  <c r="C82" i="34"/>
  <c r="D82" i="34"/>
  <c r="E82" i="34"/>
  <c r="F82" i="34"/>
  <c r="G82" i="34"/>
  <c r="H82" i="34"/>
  <c r="I82" i="34"/>
  <c r="J82" i="34"/>
  <c r="B83" i="34"/>
  <c r="C83" i="34"/>
  <c r="D83" i="34"/>
  <c r="E83" i="34"/>
  <c r="F83" i="34"/>
  <c r="G83" i="34"/>
  <c r="H83" i="34"/>
  <c r="I83" i="34"/>
  <c r="J83" i="34"/>
  <c r="B84" i="34"/>
  <c r="C84" i="34"/>
  <c r="D84" i="34"/>
  <c r="E84" i="34"/>
  <c r="F84" i="34"/>
  <c r="G84" i="34"/>
  <c r="H84" i="34"/>
  <c r="I84" i="34"/>
  <c r="J84" i="34"/>
  <c r="B85" i="34"/>
  <c r="C85" i="34"/>
  <c r="D85" i="34"/>
  <c r="E85" i="34"/>
  <c r="F85" i="34"/>
  <c r="G85" i="34"/>
  <c r="H85" i="34"/>
  <c r="I85" i="34"/>
  <c r="J85" i="34"/>
  <c r="A1" i="33"/>
  <c r="P2" i="33"/>
  <c r="J3" i="33" s="1"/>
  <c r="J4" i="33"/>
  <c r="M4" i="33"/>
  <c r="AI4" i="33"/>
  <c r="J5" i="33"/>
  <c r="J6" i="33"/>
  <c r="B10" i="33"/>
  <c r="C10" i="33" s="1"/>
  <c r="D10" i="33"/>
  <c r="E10" i="33"/>
  <c r="F10" i="33"/>
  <c r="G10" i="33"/>
  <c r="H10" i="33"/>
  <c r="I10" i="33"/>
  <c r="J10" i="33"/>
  <c r="B11" i="33"/>
  <c r="C11" i="33"/>
  <c r="I11" i="33"/>
  <c r="J11" i="33"/>
  <c r="B12" i="33"/>
  <c r="C12" i="33"/>
  <c r="D12" i="33"/>
  <c r="E12" i="33"/>
  <c r="F12" i="33"/>
  <c r="G12" i="33"/>
  <c r="H12" i="33"/>
  <c r="I12" i="33"/>
  <c r="J12" i="33"/>
  <c r="B13" i="33"/>
  <c r="E13" i="33"/>
  <c r="F13" i="33"/>
  <c r="G13" i="33"/>
  <c r="H13" i="33"/>
  <c r="I13" i="33"/>
  <c r="J13" i="33"/>
  <c r="B14" i="33"/>
  <c r="E14" i="33"/>
  <c r="G14" i="33"/>
  <c r="H14" i="33"/>
  <c r="I14" i="33"/>
  <c r="J14" i="33"/>
  <c r="B15" i="33"/>
  <c r="E15" i="33"/>
  <c r="F15" i="33"/>
  <c r="G15" i="33"/>
  <c r="I15" i="33"/>
  <c r="J15" i="33"/>
  <c r="B16" i="33"/>
  <c r="C16" i="33" s="1"/>
  <c r="E16" i="33"/>
  <c r="F16" i="33"/>
  <c r="G16" i="33"/>
  <c r="H16" i="33"/>
  <c r="I16" i="33"/>
  <c r="J16" i="33"/>
  <c r="B17" i="33"/>
  <c r="C17" i="33"/>
  <c r="D17" i="33"/>
  <c r="E17" i="33"/>
  <c r="F17" i="33"/>
  <c r="I17" i="33"/>
  <c r="J17" i="33"/>
  <c r="B18" i="33"/>
  <c r="C18" i="33"/>
  <c r="D18" i="33"/>
  <c r="E18" i="33"/>
  <c r="I18" i="33"/>
  <c r="J18" i="33"/>
  <c r="B19" i="33"/>
  <c r="G19" i="33"/>
  <c r="H19" i="33"/>
  <c r="I19" i="33"/>
  <c r="J19" i="33"/>
  <c r="B20" i="33"/>
  <c r="C20" i="33"/>
  <c r="D20" i="33"/>
  <c r="G20" i="33"/>
  <c r="H20" i="33"/>
  <c r="I20" i="33"/>
  <c r="J20" i="33"/>
  <c r="B21" i="33"/>
  <c r="C21" i="33" s="1"/>
  <c r="D21" i="33"/>
  <c r="E21" i="33"/>
  <c r="F21" i="33"/>
  <c r="G21" i="33"/>
  <c r="H21" i="33"/>
  <c r="I21" i="33"/>
  <c r="J21" i="33"/>
  <c r="B22" i="33"/>
  <c r="E22" i="33"/>
  <c r="F22" i="33"/>
  <c r="G22" i="33"/>
  <c r="H22" i="33"/>
  <c r="I22" i="33"/>
  <c r="J22" i="33"/>
  <c r="B23" i="33"/>
  <c r="C23" i="33" s="1"/>
  <c r="I23" i="33"/>
  <c r="J23" i="33"/>
  <c r="B24" i="33"/>
  <c r="C24" i="33"/>
  <c r="D24" i="33"/>
  <c r="E24" i="33"/>
  <c r="I24" i="33"/>
  <c r="J24" i="33"/>
  <c r="B25" i="33"/>
  <c r="C25" i="33"/>
  <c r="D25" i="33"/>
  <c r="E25" i="33"/>
  <c r="F25" i="33"/>
  <c r="I25" i="33"/>
  <c r="J25" i="33"/>
  <c r="B26" i="33"/>
  <c r="C26" i="33"/>
  <c r="D26" i="33"/>
  <c r="E26" i="33"/>
  <c r="F26" i="33"/>
  <c r="G26" i="33"/>
  <c r="H26" i="33"/>
  <c r="I26" i="33"/>
  <c r="J26" i="33"/>
  <c r="B27" i="33"/>
  <c r="C27" i="33"/>
  <c r="F27" i="33"/>
  <c r="G27" i="33"/>
  <c r="H27" i="33"/>
  <c r="I27" i="33"/>
  <c r="J27" i="33"/>
  <c r="B28" i="33"/>
  <c r="C28" i="33" s="1"/>
  <c r="D28" i="33"/>
  <c r="E28" i="33"/>
  <c r="F28" i="33"/>
  <c r="G28" i="33"/>
  <c r="H28" i="33"/>
  <c r="I28" i="33"/>
  <c r="J28" i="33"/>
  <c r="B29" i="33"/>
  <c r="F29" i="33"/>
  <c r="G29" i="33"/>
  <c r="H29" i="33"/>
  <c r="I29" i="33"/>
  <c r="J29" i="33"/>
  <c r="B30" i="33"/>
  <c r="C30" i="33" s="1"/>
  <c r="D30" i="33"/>
  <c r="I30" i="33"/>
  <c r="J30" i="33"/>
  <c r="B31" i="33"/>
  <c r="D31" i="33"/>
  <c r="G31" i="33"/>
  <c r="I31" i="33"/>
  <c r="J31" i="33"/>
  <c r="B32" i="33"/>
  <c r="C32" i="33" s="1"/>
  <c r="D32" i="33"/>
  <c r="I32" i="33"/>
  <c r="J32" i="33"/>
  <c r="B33" i="33"/>
  <c r="C33" i="33"/>
  <c r="D33" i="33"/>
  <c r="E33" i="33"/>
  <c r="F33" i="33"/>
  <c r="G33" i="33"/>
  <c r="H33" i="33"/>
  <c r="I33" i="33"/>
  <c r="J33" i="33"/>
  <c r="B34" i="33"/>
  <c r="C34" i="33" s="1"/>
  <c r="F34" i="33"/>
  <c r="G34" i="33"/>
  <c r="H34" i="33"/>
  <c r="I34" i="33"/>
  <c r="J34" i="33"/>
  <c r="B35" i="33"/>
  <c r="I35" i="33"/>
  <c r="J35" i="33"/>
  <c r="B36" i="33"/>
  <c r="C36" i="33" s="1"/>
  <c r="E36" i="33"/>
  <c r="F36" i="33"/>
  <c r="G36" i="33"/>
  <c r="H36" i="33"/>
  <c r="I36" i="33"/>
  <c r="J36" i="33"/>
  <c r="B37" i="33"/>
  <c r="C37" i="33" s="1"/>
  <c r="D37" i="33"/>
  <c r="E37" i="33"/>
  <c r="F37" i="33"/>
  <c r="I37" i="33"/>
  <c r="J37" i="33"/>
  <c r="B38" i="33"/>
  <c r="C38" i="33" s="1"/>
  <c r="D38" i="33"/>
  <c r="E38" i="33"/>
  <c r="F38" i="33"/>
  <c r="G38" i="33"/>
  <c r="H38" i="33"/>
  <c r="I38" i="33"/>
  <c r="J38" i="33"/>
  <c r="B39" i="33"/>
  <c r="C39" i="33" s="1"/>
  <c r="I39" i="33"/>
  <c r="J39" i="33"/>
  <c r="B40" i="33"/>
  <c r="E40" i="33" s="1"/>
  <c r="C40" i="33"/>
  <c r="D40" i="33"/>
  <c r="I40" i="33"/>
  <c r="J40" i="33"/>
  <c r="B41" i="33"/>
  <c r="I41" i="33"/>
  <c r="J41" i="33"/>
  <c r="B42" i="33"/>
  <c r="I42" i="33"/>
  <c r="J42" i="33"/>
  <c r="B43" i="33"/>
  <c r="C43" i="33"/>
  <c r="I43" i="33"/>
  <c r="J43" i="33"/>
  <c r="B44" i="33"/>
  <c r="E44" i="33"/>
  <c r="F44" i="33"/>
  <c r="G44" i="33"/>
  <c r="H44" i="33"/>
  <c r="I44" i="33"/>
  <c r="J44" i="33"/>
  <c r="B45" i="33"/>
  <c r="F45" i="33"/>
  <c r="G45" i="33"/>
  <c r="I45" i="33"/>
  <c r="J45" i="33"/>
  <c r="B46" i="33"/>
  <c r="F46" i="33" s="1"/>
  <c r="C46" i="33"/>
  <c r="D46" i="33"/>
  <c r="E46" i="33"/>
  <c r="G46" i="33"/>
  <c r="H46" i="33"/>
  <c r="I46" i="33"/>
  <c r="J46" i="33"/>
  <c r="B47" i="33"/>
  <c r="H47" i="33" s="1"/>
  <c r="C47" i="33"/>
  <c r="D47" i="33"/>
  <c r="E47" i="33"/>
  <c r="I47" i="33"/>
  <c r="J47" i="33"/>
  <c r="B48" i="33"/>
  <c r="C48" i="33" s="1"/>
  <c r="D48" i="33"/>
  <c r="E48" i="33"/>
  <c r="F48" i="33"/>
  <c r="G48" i="33"/>
  <c r="H48" i="33"/>
  <c r="I48" i="33"/>
  <c r="J48" i="33"/>
  <c r="B49" i="33"/>
  <c r="C49" i="33"/>
  <c r="D49" i="33"/>
  <c r="E49" i="33"/>
  <c r="H49" i="33"/>
  <c r="I49" i="33"/>
  <c r="J49" i="33"/>
  <c r="B50" i="33"/>
  <c r="C50" i="33"/>
  <c r="D50" i="33"/>
  <c r="E50" i="33"/>
  <c r="F50" i="33"/>
  <c r="G50" i="33"/>
  <c r="H50" i="33"/>
  <c r="I50" i="33"/>
  <c r="J50" i="33"/>
  <c r="B51" i="33"/>
  <c r="C51" i="33" s="1"/>
  <c r="G51" i="33"/>
  <c r="H51" i="33"/>
  <c r="I51" i="33"/>
  <c r="J51" i="33"/>
  <c r="B52" i="33"/>
  <c r="C52" i="33" s="1"/>
  <c r="G52" i="33"/>
  <c r="H52" i="33"/>
  <c r="I52" i="33"/>
  <c r="J52" i="33"/>
  <c r="B53" i="33"/>
  <c r="C53" i="33" s="1"/>
  <c r="D53" i="33"/>
  <c r="I53" i="33"/>
  <c r="J53" i="33"/>
  <c r="B54" i="33"/>
  <c r="C54" i="33"/>
  <c r="D54" i="33"/>
  <c r="E54" i="33"/>
  <c r="F54" i="33"/>
  <c r="G54" i="33"/>
  <c r="H54" i="33"/>
  <c r="I54" i="33"/>
  <c r="J54" i="33"/>
  <c r="B55" i="33"/>
  <c r="C55" i="33" s="1"/>
  <c r="I55" i="33"/>
  <c r="J55" i="33"/>
  <c r="B56" i="33"/>
  <c r="C56" i="33"/>
  <c r="D56" i="33"/>
  <c r="I56" i="33"/>
  <c r="J56" i="33"/>
  <c r="B57" i="33"/>
  <c r="D57" i="33"/>
  <c r="I57" i="33"/>
  <c r="J57" i="33"/>
  <c r="B58" i="33"/>
  <c r="C58" i="33" s="1"/>
  <c r="E58" i="33"/>
  <c r="F58" i="33"/>
  <c r="G58" i="33"/>
  <c r="H58" i="33"/>
  <c r="I58" i="33"/>
  <c r="J58" i="33"/>
  <c r="B59" i="33"/>
  <c r="C59" i="33"/>
  <c r="I59" i="33"/>
  <c r="J59" i="33"/>
  <c r="B60" i="33"/>
  <c r="E60" i="33"/>
  <c r="F60" i="33"/>
  <c r="G60" i="33"/>
  <c r="H60" i="33"/>
  <c r="I60" i="33"/>
  <c r="J60" i="33"/>
  <c r="B61" i="33"/>
  <c r="E61" i="33" s="1"/>
  <c r="C61" i="33"/>
  <c r="I61" i="33"/>
  <c r="J61" i="33"/>
  <c r="B62" i="33"/>
  <c r="H62" i="33"/>
  <c r="I62" i="33"/>
  <c r="J62" i="33"/>
  <c r="B63" i="33"/>
  <c r="I63" i="33"/>
  <c r="J63" i="33"/>
  <c r="B64" i="33"/>
  <c r="E64" i="33"/>
  <c r="F64" i="33"/>
  <c r="G64" i="33"/>
  <c r="H64" i="33"/>
  <c r="I64" i="33"/>
  <c r="J64" i="33"/>
  <c r="B65" i="33"/>
  <c r="C65" i="33" s="1"/>
  <c r="D65" i="33"/>
  <c r="E65" i="33"/>
  <c r="F65" i="33"/>
  <c r="G65" i="33"/>
  <c r="H65" i="33"/>
  <c r="I65" i="33"/>
  <c r="J65" i="33"/>
  <c r="B66" i="33"/>
  <c r="C66" i="33" s="1"/>
  <c r="E66" i="33"/>
  <c r="I66" i="33"/>
  <c r="J66" i="33"/>
  <c r="B67" i="33"/>
  <c r="D67" i="33"/>
  <c r="E67" i="33"/>
  <c r="F67" i="33"/>
  <c r="G67" i="33"/>
  <c r="I67" i="33"/>
  <c r="J67" i="33"/>
  <c r="B68" i="33"/>
  <c r="G68" i="33" s="1"/>
  <c r="I68" i="33"/>
  <c r="J68" i="33"/>
  <c r="B69" i="33"/>
  <c r="C69" i="33"/>
  <c r="D69" i="33"/>
  <c r="E69" i="33"/>
  <c r="F69" i="33"/>
  <c r="G69" i="33"/>
  <c r="H69" i="33"/>
  <c r="I69" i="33"/>
  <c r="J69" i="33"/>
  <c r="B70" i="33"/>
  <c r="C70" i="33"/>
  <c r="D70" i="33"/>
  <c r="E70" i="33"/>
  <c r="F70" i="33"/>
  <c r="G70" i="33"/>
  <c r="H70" i="33"/>
  <c r="I70" i="33"/>
  <c r="J70" i="33"/>
  <c r="B71" i="33"/>
  <c r="C71" i="33" s="1"/>
  <c r="F71" i="33"/>
  <c r="G71" i="33"/>
  <c r="H71" i="33"/>
  <c r="I71" i="33"/>
  <c r="J71" i="33"/>
  <c r="B72" i="33"/>
  <c r="C72" i="33"/>
  <c r="D72" i="33"/>
  <c r="E72" i="33"/>
  <c r="H72" i="33"/>
  <c r="I72" i="33"/>
  <c r="J72" i="33"/>
  <c r="B73" i="33"/>
  <c r="I73" i="33"/>
  <c r="J73" i="33"/>
  <c r="B74" i="33"/>
  <c r="F74" i="33"/>
  <c r="G74" i="33"/>
  <c r="H74" i="33"/>
  <c r="I74" i="33"/>
  <c r="J74" i="33"/>
  <c r="B75" i="33"/>
  <c r="C75" i="33" s="1"/>
  <c r="D75" i="33"/>
  <c r="I75" i="33"/>
  <c r="J75" i="33"/>
  <c r="B76" i="33"/>
  <c r="C76" i="33"/>
  <c r="D76" i="33"/>
  <c r="E76" i="33"/>
  <c r="F76" i="33"/>
  <c r="G76" i="33"/>
  <c r="H76" i="33"/>
  <c r="I76" i="33"/>
  <c r="J76" i="33"/>
  <c r="B77" i="33"/>
  <c r="D77" i="33" s="1"/>
  <c r="C77" i="33"/>
  <c r="E77" i="33"/>
  <c r="F77" i="33"/>
  <c r="G77" i="33"/>
  <c r="H77" i="33"/>
  <c r="I77" i="33"/>
  <c r="J77" i="33"/>
  <c r="B78" i="33"/>
  <c r="C78" i="33" s="1"/>
  <c r="E78" i="33"/>
  <c r="I78" i="33"/>
  <c r="J78" i="33"/>
  <c r="B79" i="33"/>
  <c r="D79" i="33"/>
  <c r="E79" i="33"/>
  <c r="F79" i="33"/>
  <c r="G79" i="33"/>
  <c r="I79" i="33"/>
  <c r="J79" i="33"/>
  <c r="B80" i="33"/>
  <c r="C80" i="33" s="1"/>
  <c r="G80" i="33"/>
  <c r="H80" i="33"/>
  <c r="I80" i="33"/>
  <c r="J80" i="33"/>
  <c r="B81" i="33"/>
  <c r="H81" i="33" s="1"/>
  <c r="C81" i="33"/>
  <c r="D81" i="33"/>
  <c r="E81" i="33"/>
  <c r="G81" i="33"/>
  <c r="I81" i="33"/>
  <c r="J81" i="33"/>
  <c r="B82" i="33"/>
  <c r="D82" i="33" s="1"/>
  <c r="C82" i="33"/>
  <c r="G82" i="33"/>
  <c r="H82" i="33"/>
  <c r="I82" i="33"/>
  <c r="J82" i="33"/>
  <c r="B83" i="33"/>
  <c r="F83" i="33"/>
  <c r="G83" i="33"/>
  <c r="H83" i="33"/>
  <c r="I83" i="33"/>
  <c r="J83" i="33"/>
  <c r="B84" i="33"/>
  <c r="E84" i="33"/>
  <c r="F84" i="33"/>
  <c r="G84" i="33"/>
  <c r="H84" i="33"/>
  <c r="I84" i="33"/>
  <c r="J84" i="33"/>
  <c r="B85" i="33"/>
  <c r="D85" i="33"/>
  <c r="E85" i="33"/>
  <c r="F85" i="33"/>
  <c r="G85" i="33"/>
  <c r="I85" i="33"/>
  <c r="J85" i="33"/>
  <c r="A1" i="32"/>
  <c r="P2" i="32"/>
  <c r="J3" i="32" s="1"/>
  <c r="M4" i="32"/>
  <c r="AI4" i="32"/>
  <c r="J5" i="32"/>
  <c r="J6" i="32"/>
  <c r="B10" i="32"/>
  <c r="C10" i="32"/>
  <c r="D10" i="32"/>
  <c r="E10" i="32"/>
  <c r="F10" i="32"/>
  <c r="I10" i="32"/>
  <c r="J10" i="32"/>
  <c r="B11" i="32"/>
  <c r="H11" i="32"/>
  <c r="I11" i="32"/>
  <c r="J11" i="32"/>
  <c r="B12" i="32"/>
  <c r="C12" i="32"/>
  <c r="D12" i="32"/>
  <c r="E12" i="32"/>
  <c r="F12" i="32"/>
  <c r="G12" i="32"/>
  <c r="H12" i="32"/>
  <c r="I12" i="32"/>
  <c r="J12" i="32"/>
  <c r="B13" i="32"/>
  <c r="I13" i="32"/>
  <c r="J13" i="32"/>
  <c r="B14" i="32"/>
  <c r="H14" i="32" s="1"/>
  <c r="I14" i="32"/>
  <c r="J14" i="32"/>
  <c r="B15" i="32"/>
  <c r="C15" i="32"/>
  <c r="D15" i="32"/>
  <c r="E15" i="32"/>
  <c r="I15" i="32"/>
  <c r="J15" i="32"/>
  <c r="B16" i="32"/>
  <c r="C16" i="32" s="1"/>
  <c r="D16" i="32"/>
  <c r="E16" i="32"/>
  <c r="F16" i="32"/>
  <c r="G16" i="32"/>
  <c r="H16" i="32"/>
  <c r="I16" i="32"/>
  <c r="J16" i="32"/>
  <c r="B17" i="32"/>
  <c r="C17" i="32" s="1"/>
  <c r="I17" i="32"/>
  <c r="J17" i="32"/>
  <c r="B18" i="32"/>
  <c r="E18" i="32"/>
  <c r="F18" i="32"/>
  <c r="G18" i="32"/>
  <c r="H18" i="32"/>
  <c r="I18" i="32"/>
  <c r="J18" i="32"/>
  <c r="B19" i="32"/>
  <c r="H19" i="32"/>
  <c r="I19" i="32"/>
  <c r="J19" i="32"/>
  <c r="B20" i="32"/>
  <c r="G20" i="32"/>
  <c r="H20" i="32"/>
  <c r="I20" i="32"/>
  <c r="J20" i="32"/>
  <c r="B21" i="32"/>
  <c r="C21" i="32"/>
  <c r="D21" i="32"/>
  <c r="E21" i="32"/>
  <c r="F21" i="32"/>
  <c r="G21" i="32"/>
  <c r="H21" i="32"/>
  <c r="I21" i="32"/>
  <c r="J21" i="32"/>
  <c r="B22" i="32"/>
  <c r="E22" i="32" s="1"/>
  <c r="G22" i="32"/>
  <c r="H22" i="32"/>
  <c r="I22" i="32"/>
  <c r="J22" i="32"/>
  <c r="B23" i="32"/>
  <c r="C23" i="32" s="1"/>
  <c r="D23" i="32"/>
  <c r="G23" i="32"/>
  <c r="I23" i="32"/>
  <c r="J23" i="32"/>
  <c r="B24" i="32"/>
  <c r="C24" i="32" s="1"/>
  <c r="I24" i="32"/>
  <c r="J24" i="32"/>
  <c r="B25" i="32"/>
  <c r="C25" i="32"/>
  <c r="G25" i="32"/>
  <c r="H25" i="32"/>
  <c r="I25" i="32"/>
  <c r="J25" i="32"/>
  <c r="B26" i="32"/>
  <c r="I26" i="32"/>
  <c r="J26" i="32"/>
  <c r="B27" i="32"/>
  <c r="E27" i="32"/>
  <c r="F27" i="32"/>
  <c r="G27" i="32"/>
  <c r="H27" i="32"/>
  <c r="I27" i="32"/>
  <c r="J27" i="32"/>
  <c r="B28" i="32"/>
  <c r="C28" i="32" s="1"/>
  <c r="D28" i="32"/>
  <c r="E28" i="32"/>
  <c r="F28" i="32"/>
  <c r="G28" i="32"/>
  <c r="H28" i="32"/>
  <c r="I28" i="32"/>
  <c r="J28" i="32"/>
  <c r="B29" i="32"/>
  <c r="E29" i="32" s="1"/>
  <c r="H29" i="32"/>
  <c r="I29" i="32"/>
  <c r="J29" i="32"/>
  <c r="B30" i="32"/>
  <c r="C30" i="32" s="1"/>
  <c r="D30" i="32"/>
  <c r="G30" i="32"/>
  <c r="H30" i="32"/>
  <c r="I30" i="32"/>
  <c r="J30" i="32"/>
  <c r="B31" i="32"/>
  <c r="F31" i="32"/>
  <c r="I31" i="32"/>
  <c r="J31" i="32"/>
  <c r="B32" i="32"/>
  <c r="C32" i="32"/>
  <c r="D32" i="32"/>
  <c r="G32" i="32"/>
  <c r="H32" i="32"/>
  <c r="I32" i="32"/>
  <c r="J32" i="32"/>
  <c r="B33" i="32"/>
  <c r="D33" i="32" s="1"/>
  <c r="C33" i="32"/>
  <c r="E33" i="32"/>
  <c r="F33" i="32"/>
  <c r="G33" i="32"/>
  <c r="H33" i="32"/>
  <c r="I33" i="32"/>
  <c r="J33" i="32"/>
  <c r="B34" i="32"/>
  <c r="I34" i="32"/>
  <c r="J34" i="32"/>
  <c r="B35" i="32"/>
  <c r="E35" i="32"/>
  <c r="F35" i="32"/>
  <c r="H35" i="32"/>
  <c r="I35" i="32"/>
  <c r="J35" i="32"/>
  <c r="B36" i="32"/>
  <c r="I36" i="32"/>
  <c r="J36" i="32"/>
  <c r="B37" i="32"/>
  <c r="C37" i="32"/>
  <c r="D37" i="32"/>
  <c r="E37" i="32"/>
  <c r="F37" i="32"/>
  <c r="G37" i="32"/>
  <c r="H37" i="32"/>
  <c r="I37" i="32"/>
  <c r="J37" i="32"/>
  <c r="B38" i="32"/>
  <c r="H38" i="32"/>
  <c r="I38" i="32"/>
  <c r="J38" i="32"/>
  <c r="B39" i="32"/>
  <c r="C39" i="32"/>
  <c r="I39" i="32"/>
  <c r="J39" i="32"/>
  <c r="B40" i="32"/>
  <c r="D40" i="32"/>
  <c r="I40" i="32"/>
  <c r="J40" i="32"/>
  <c r="B41" i="32"/>
  <c r="C41" i="32"/>
  <c r="D41" i="32"/>
  <c r="E41" i="32"/>
  <c r="F41" i="32"/>
  <c r="H41" i="32"/>
  <c r="I41" i="32"/>
  <c r="J41" i="32"/>
  <c r="B42" i="32"/>
  <c r="C42" i="32"/>
  <c r="D42" i="32"/>
  <c r="E42" i="32"/>
  <c r="F42" i="32"/>
  <c r="G42" i="32"/>
  <c r="H42" i="32"/>
  <c r="I42" i="32"/>
  <c r="J42" i="32"/>
  <c r="B43" i="32"/>
  <c r="C43" i="32" s="1"/>
  <c r="D43" i="32"/>
  <c r="E43" i="32"/>
  <c r="F43" i="32"/>
  <c r="G43" i="32"/>
  <c r="H43" i="32"/>
  <c r="I43" i="32"/>
  <c r="J43" i="32"/>
  <c r="B44" i="32"/>
  <c r="E44" i="32"/>
  <c r="G44" i="32"/>
  <c r="H44" i="32"/>
  <c r="I44" i="32"/>
  <c r="J44" i="32"/>
  <c r="B45" i="32"/>
  <c r="D45" i="32"/>
  <c r="E45" i="32"/>
  <c r="F45" i="32"/>
  <c r="H45" i="32"/>
  <c r="I45" i="32"/>
  <c r="J45" i="32"/>
  <c r="B46" i="32"/>
  <c r="I46" i="32"/>
  <c r="J46" i="32"/>
  <c r="B47" i="32"/>
  <c r="H47" i="32"/>
  <c r="I47" i="32"/>
  <c r="J47" i="32"/>
  <c r="B48" i="32"/>
  <c r="G48" i="32" s="1"/>
  <c r="C48" i="32"/>
  <c r="D48" i="32"/>
  <c r="E48" i="32"/>
  <c r="F48" i="32"/>
  <c r="H48" i="32"/>
  <c r="I48" i="32"/>
  <c r="J48" i="32"/>
  <c r="B49" i="32"/>
  <c r="C49" i="32"/>
  <c r="D49" i="32"/>
  <c r="E49" i="32"/>
  <c r="F49" i="32"/>
  <c r="G49" i="32"/>
  <c r="I49" i="32"/>
  <c r="J49" i="32"/>
  <c r="B50" i="32"/>
  <c r="E50" i="32"/>
  <c r="F50" i="32"/>
  <c r="G50" i="32"/>
  <c r="H50" i="32"/>
  <c r="I50" i="32"/>
  <c r="J50" i="32"/>
  <c r="B51" i="32"/>
  <c r="D51" i="32" s="1"/>
  <c r="I51" i="32"/>
  <c r="J51" i="32"/>
  <c r="B52" i="32"/>
  <c r="I52" i="32"/>
  <c r="J52" i="32"/>
  <c r="B53" i="32"/>
  <c r="C53" i="32"/>
  <c r="D53" i="32"/>
  <c r="E53" i="32"/>
  <c r="F53" i="32"/>
  <c r="G53" i="32"/>
  <c r="H53" i="32"/>
  <c r="I53" i="32"/>
  <c r="J53" i="32"/>
  <c r="B54" i="32"/>
  <c r="I54" i="32"/>
  <c r="J54" i="32"/>
  <c r="B55" i="32"/>
  <c r="C55" i="32" s="1"/>
  <c r="D55" i="32"/>
  <c r="G55" i="32"/>
  <c r="I55" i="32"/>
  <c r="J55" i="32"/>
  <c r="B56" i="32"/>
  <c r="C56" i="32" s="1"/>
  <c r="D56" i="32"/>
  <c r="E56" i="32"/>
  <c r="F56" i="32"/>
  <c r="I56" i="32"/>
  <c r="J56" i="32"/>
  <c r="B57" i="32"/>
  <c r="E57" i="32"/>
  <c r="F57" i="32"/>
  <c r="G57" i="32"/>
  <c r="H57" i="32"/>
  <c r="I57" i="32"/>
  <c r="J57" i="32"/>
  <c r="B58" i="32"/>
  <c r="C58" i="32" s="1"/>
  <c r="D58" i="32"/>
  <c r="H58" i="32"/>
  <c r="I58" i="32"/>
  <c r="J58" i="32"/>
  <c r="B59" i="32"/>
  <c r="F59" i="32" s="1"/>
  <c r="C59" i="32"/>
  <c r="D59" i="32"/>
  <c r="E59" i="32"/>
  <c r="G59" i="32"/>
  <c r="H59" i="32"/>
  <c r="I59" i="32"/>
  <c r="J59" i="32"/>
  <c r="B60" i="32"/>
  <c r="I60" i="32"/>
  <c r="J60" i="32"/>
  <c r="B61" i="32"/>
  <c r="D61" i="32"/>
  <c r="F61" i="32"/>
  <c r="G61" i="32"/>
  <c r="H61" i="32"/>
  <c r="I61" i="32"/>
  <c r="J61" i="32"/>
  <c r="B62" i="32"/>
  <c r="F62" i="32"/>
  <c r="H62" i="32"/>
  <c r="I62" i="32"/>
  <c r="J62" i="32"/>
  <c r="B63" i="32"/>
  <c r="E63" i="32"/>
  <c r="F63" i="32"/>
  <c r="H63" i="32"/>
  <c r="I63" i="32"/>
  <c r="J63" i="32"/>
  <c r="B64" i="32"/>
  <c r="C64" i="32"/>
  <c r="D64" i="32"/>
  <c r="E64" i="32"/>
  <c r="F64" i="32"/>
  <c r="G64" i="32"/>
  <c r="H64" i="32"/>
  <c r="I64" i="32"/>
  <c r="J64" i="32"/>
  <c r="B65" i="32"/>
  <c r="F65" i="32" s="1"/>
  <c r="C65" i="32"/>
  <c r="D65" i="32"/>
  <c r="E65" i="32"/>
  <c r="G65" i="32"/>
  <c r="H65" i="32"/>
  <c r="I65" i="32"/>
  <c r="J65" i="32"/>
  <c r="B66" i="32"/>
  <c r="E66" i="32"/>
  <c r="F66" i="32"/>
  <c r="H66" i="32"/>
  <c r="I66" i="32"/>
  <c r="J66" i="32"/>
  <c r="B67" i="32"/>
  <c r="F67" i="32"/>
  <c r="G67" i="32"/>
  <c r="H67" i="32"/>
  <c r="I67" i="32"/>
  <c r="J67" i="32"/>
  <c r="B68" i="32"/>
  <c r="D68" i="32"/>
  <c r="G68" i="32"/>
  <c r="H68" i="32"/>
  <c r="I68" i="32"/>
  <c r="J68" i="32"/>
  <c r="B69" i="32"/>
  <c r="C69" i="32" s="1"/>
  <c r="D69" i="32"/>
  <c r="E69" i="32"/>
  <c r="F69" i="32"/>
  <c r="G69" i="32"/>
  <c r="H69" i="32"/>
  <c r="I69" i="32"/>
  <c r="J69" i="32"/>
  <c r="B70" i="32"/>
  <c r="E70" i="32" s="1"/>
  <c r="F70" i="32"/>
  <c r="G70" i="32"/>
  <c r="H70" i="32"/>
  <c r="I70" i="32"/>
  <c r="J70" i="32"/>
  <c r="B71" i="32"/>
  <c r="C71" i="32"/>
  <c r="D71" i="32"/>
  <c r="G71" i="32"/>
  <c r="H71" i="32"/>
  <c r="I71" i="32"/>
  <c r="J71" i="32"/>
  <c r="B72" i="32"/>
  <c r="E72" i="32"/>
  <c r="I72" i="32"/>
  <c r="J72" i="32"/>
  <c r="B73" i="32"/>
  <c r="G73" i="32" s="1"/>
  <c r="C73" i="32"/>
  <c r="D73" i="32"/>
  <c r="E73" i="32"/>
  <c r="F73" i="32"/>
  <c r="H73" i="32"/>
  <c r="I73" i="32"/>
  <c r="J73" i="32"/>
  <c r="B74" i="32"/>
  <c r="E74" i="32"/>
  <c r="F74" i="32"/>
  <c r="G74" i="32"/>
  <c r="H74" i="32"/>
  <c r="I74" i="32"/>
  <c r="J74" i="32"/>
  <c r="B75" i="32"/>
  <c r="I75" i="32"/>
  <c r="J75" i="32"/>
  <c r="B76" i="32"/>
  <c r="C76" i="32" s="1"/>
  <c r="E76" i="32"/>
  <c r="G76" i="32"/>
  <c r="H76" i="32"/>
  <c r="I76" i="32"/>
  <c r="J76" i="32"/>
  <c r="B77" i="32"/>
  <c r="D77" i="32" s="1"/>
  <c r="E77" i="32"/>
  <c r="F77" i="32"/>
  <c r="G77" i="32"/>
  <c r="H77" i="32"/>
  <c r="I77" i="32"/>
  <c r="J77" i="32"/>
  <c r="B78" i="32"/>
  <c r="E78" i="32" s="1"/>
  <c r="C78" i="32"/>
  <c r="D78" i="32"/>
  <c r="F78" i="32"/>
  <c r="G78" i="32"/>
  <c r="H78" i="32"/>
  <c r="I78" i="32"/>
  <c r="J78" i="32"/>
  <c r="B79" i="32"/>
  <c r="G79" i="32" s="1"/>
  <c r="C79" i="32"/>
  <c r="D79" i="32"/>
  <c r="E79" i="32"/>
  <c r="H79" i="32"/>
  <c r="I79" i="32"/>
  <c r="J79" i="32"/>
  <c r="B80" i="32"/>
  <c r="I80" i="32"/>
  <c r="J80" i="32"/>
  <c r="B81" i="32"/>
  <c r="H81" i="32" s="1"/>
  <c r="C81" i="32"/>
  <c r="D81" i="32"/>
  <c r="E81" i="32"/>
  <c r="F81" i="32"/>
  <c r="G81" i="32"/>
  <c r="I81" i="32"/>
  <c r="J81" i="32"/>
  <c r="B82" i="32"/>
  <c r="C82" i="32"/>
  <c r="D82" i="32"/>
  <c r="E82" i="32"/>
  <c r="F82" i="32"/>
  <c r="G82" i="32"/>
  <c r="H82" i="32"/>
  <c r="I82" i="32"/>
  <c r="J82" i="32"/>
  <c r="B83" i="32"/>
  <c r="G83" i="32" s="1"/>
  <c r="C83" i="32"/>
  <c r="D83" i="32"/>
  <c r="E83" i="32"/>
  <c r="F83" i="32"/>
  <c r="H83" i="32"/>
  <c r="I83" i="32"/>
  <c r="J83" i="32"/>
  <c r="B84" i="32"/>
  <c r="C84" i="32"/>
  <c r="D84" i="32"/>
  <c r="E84" i="32"/>
  <c r="H84" i="32"/>
  <c r="I84" i="32"/>
  <c r="J84" i="32"/>
  <c r="B85" i="32"/>
  <c r="E85" i="32"/>
  <c r="F85" i="32"/>
  <c r="G85" i="32"/>
  <c r="H85" i="32"/>
  <c r="I85" i="32"/>
  <c r="J85" i="32"/>
  <c r="A1" i="31"/>
  <c r="P2" i="31"/>
  <c r="M4" i="31"/>
  <c r="AI4" i="31"/>
  <c r="J5" i="31"/>
  <c r="J6" i="31"/>
  <c r="B10" i="31"/>
  <c r="E10" i="31"/>
  <c r="G10" i="31"/>
  <c r="I10" i="31"/>
  <c r="J10" i="31"/>
  <c r="B11" i="31"/>
  <c r="E11" i="31"/>
  <c r="F11" i="31"/>
  <c r="G11" i="31"/>
  <c r="I11" i="31"/>
  <c r="J11" i="31"/>
  <c r="B12" i="31"/>
  <c r="I12" i="31"/>
  <c r="J12" i="31"/>
  <c r="B13" i="31"/>
  <c r="H13" i="31"/>
  <c r="I13" i="31"/>
  <c r="J13" i="31"/>
  <c r="B14" i="31"/>
  <c r="E14" i="31"/>
  <c r="F14" i="31"/>
  <c r="G14" i="31"/>
  <c r="H14" i="31"/>
  <c r="I14" i="31"/>
  <c r="J14" i="31"/>
  <c r="B15" i="31"/>
  <c r="D15" i="31" s="1"/>
  <c r="I15" i="31"/>
  <c r="J15" i="31"/>
  <c r="B16" i="31"/>
  <c r="C16" i="31" s="1"/>
  <c r="D16" i="31"/>
  <c r="H16" i="31"/>
  <c r="I16" i="31"/>
  <c r="J16" i="31"/>
  <c r="B17" i="31"/>
  <c r="H17" i="31" s="1"/>
  <c r="E17" i="31"/>
  <c r="F17" i="31"/>
  <c r="I17" i="31"/>
  <c r="J17" i="31"/>
  <c r="B18" i="31"/>
  <c r="H18" i="31"/>
  <c r="I18" i="31"/>
  <c r="J18" i="31"/>
  <c r="B19" i="31"/>
  <c r="F19" i="31" s="1"/>
  <c r="C19" i="31"/>
  <c r="D19" i="31"/>
  <c r="E19" i="31"/>
  <c r="I19" i="31"/>
  <c r="J19" i="31"/>
  <c r="B20" i="31"/>
  <c r="C20" i="31" s="1"/>
  <c r="D20" i="31"/>
  <c r="E20" i="31"/>
  <c r="F20" i="31"/>
  <c r="G20" i="31"/>
  <c r="H20" i="31"/>
  <c r="I20" i="31"/>
  <c r="J20" i="31"/>
  <c r="B21" i="31"/>
  <c r="E21" i="31"/>
  <c r="F21" i="31"/>
  <c r="G21" i="31"/>
  <c r="I21" i="31"/>
  <c r="J21" i="31"/>
  <c r="B22" i="31"/>
  <c r="D22" i="31" s="1"/>
  <c r="C22" i="31"/>
  <c r="E22" i="31"/>
  <c r="F22" i="31"/>
  <c r="G22" i="31"/>
  <c r="H22" i="31"/>
  <c r="I22" i="31"/>
  <c r="J22" i="31"/>
  <c r="B23" i="31"/>
  <c r="G23" i="31"/>
  <c r="H23" i="31"/>
  <c r="I23" i="31"/>
  <c r="J23" i="31"/>
  <c r="B24" i="31"/>
  <c r="G24" i="31"/>
  <c r="H24" i="31"/>
  <c r="I24" i="31"/>
  <c r="J24" i="31"/>
  <c r="B25" i="31"/>
  <c r="C25" i="31"/>
  <c r="I25" i="31"/>
  <c r="J25" i="31"/>
  <c r="B26" i="31"/>
  <c r="G26" i="31"/>
  <c r="H26" i="31"/>
  <c r="I26" i="31"/>
  <c r="J26" i="31"/>
  <c r="B27" i="31"/>
  <c r="E27" i="31"/>
  <c r="F27" i="31"/>
  <c r="G27" i="31"/>
  <c r="I27" i="31"/>
  <c r="J27" i="31"/>
  <c r="B28" i="31"/>
  <c r="E28" i="31"/>
  <c r="I28" i="31"/>
  <c r="J28" i="31"/>
  <c r="B29" i="31"/>
  <c r="G29" i="31"/>
  <c r="H29" i="31"/>
  <c r="I29" i="31"/>
  <c r="J29" i="31"/>
  <c r="B30" i="31"/>
  <c r="E30" i="31"/>
  <c r="I30" i="31"/>
  <c r="J30" i="31"/>
  <c r="B31" i="31"/>
  <c r="C31" i="31" s="1"/>
  <c r="D31" i="31"/>
  <c r="E31" i="31"/>
  <c r="H31" i="31"/>
  <c r="I31" i="31"/>
  <c r="J31" i="31"/>
  <c r="B32" i="31"/>
  <c r="I32" i="31"/>
  <c r="J32" i="31"/>
  <c r="B33" i="31"/>
  <c r="H33" i="31" s="1"/>
  <c r="I33" i="31"/>
  <c r="J33" i="31"/>
  <c r="B34" i="31"/>
  <c r="E34" i="31" s="1"/>
  <c r="C34" i="31"/>
  <c r="D34" i="31"/>
  <c r="G34" i="31"/>
  <c r="H34" i="31"/>
  <c r="I34" i="31"/>
  <c r="J34" i="31"/>
  <c r="B35" i="31"/>
  <c r="E35" i="31"/>
  <c r="F35" i="31"/>
  <c r="G35" i="31"/>
  <c r="H35" i="31"/>
  <c r="I35" i="31"/>
  <c r="J35" i="31"/>
  <c r="B36" i="31"/>
  <c r="C36" i="31"/>
  <c r="I36" i="31"/>
  <c r="J36" i="31"/>
  <c r="B37" i="31"/>
  <c r="F37" i="31"/>
  <c r="G37" i="31"/>
  <c r="H37" i="31"/>
  <c r="I37" i="31"/>
  <c r="J37" i="31"/>
  <c r="B38" i="31"/>
  <c r="C38" i="31"/>
  <c r="D38" i="31"/>
  <c r="E38" i="31"/>
  <c r="F38" i="31"/>
  <c r="G38" i="31"/>
  <c r="H38" i="31"/>
  <c r="I38" i="31"/>
  <c r="J38" i="31"/>
  <c r="B39" i="31"/>
  <c r="I39" i="31"/>
  <c r="J39" i="31"/>
  <c r="B40" i="31"/>
  <c r="E40" i="31"/>
  <c r="G40" i="31"/>
  <c r="H40" i="31"/>
  <c r="I40" i="31"/>
  <c r="J40" i="31"/>
  <c r="B41" i="31"/>
  <c r="I41" i="31"/>
  <c r="J41" i="31"/>
  <c r="B42" i="31"/>
  <c r="E42" i="31"/>
  <c r="G42" i="31"/>
  <c r="H42" i="31"/>
  <c r="I42" i="31"/>
  <c r="J42" i="31"/>
  <c r="B43" i="31"/>
  <c r="I43" i="31"/>
  <c r="J43" i="31"/>
  <c r="B44" i="31"/>
  <c r="C44" i="31"/>
  <c r="D44" i="31"/>
  <c r="E44" i="31"/>
  <c r="F44" i="31"/>
  <c r="G44" i="31"/>
  <c r="H44" i="31"/>
  <c r="I44" i="31"/>
  <c r="J44" i="31"/>
  <c r="B45" i="31"/>
  <c r="E45" i="31"/>
  <c r="F45" i="31"/>
  <c r="G45" i="31"/>
  <c r="H45" i="31"/>
  <c r="I45" i="31"/>
  <c r="J45" i="31"/>
  <c r="B46" i="31"/>
  <c r="C46" i="31"/>
  <c r="D46" i="31"/>
  <c r="E46" i="31"/>
  <c r="F46" i="31"/>
  <c r="G46" i="31"/>
  <c r="I46" i="31"/>
  <c r="J46" i="31"/>
  <c r="B47" i="31"/>
  <c r="I47" i="31"/>
  <c r="J47" i="31"/>
  <c r="B48" i="31"/>
  <c r="E48" i="31" s="1"/>
  <c r="C48" i="31"/>
  <c r="D48" i="31"/>
  <c r="G48" i="31"/>
  <c r="H48" i="31"/>
  <c r="I48" i="31"/>
  <c r="J48" i="31"/>
  <c r="B49" i="31"/>
  <c r="C49" i="31" s="1"/>
  <c r="D49" i="31"/>
  <c r="E49" i="31"/>
  <c r="F49" i="31"/>
  <c r="I49" i="31"/>
  <c r="J49" i="31"/>
  <c r="B50" i="31"/>
  <c r="C50" i="31"/>
  <c r="D50" i="31"/>
  <c r="E50" i="31"/>
  <c r="F50" i="31"/>
  <c r="G50" i="31"/>
  <c r="H50" i="31"/>
  <c r="I50" i="31"/>
  <c r="J50" i="31"/>
  <c r="B51" i="31"/>
  <c r="C51" i="31"/>
  <c r="F51" i="31"/>
  <c r="I51" i="31"/>
  <c r="J51" i="31"/>
  <c r="B52" i="31"/>
  <c r="I52" i="31"/>
  <c r="J52" i="31"/>
  <c r="B53" i="31"/>
  <c r="C53" i="31"/>
  <c r="D53" i="31"/>
  <c r="E53" i="31"/>
  <c r="F53" i="31"/>
  <c r="G53" i="31"/>
  <c r="H53" i="31"/>
  <c r="I53" i="31"/>
  <c r="J53" i="31"/>
  <c r="B54" i="31"/>
  <c r="C54" i="31"/>
  <c r="D54" i="31"/>
  <c r="E54" i="31"/>
  <c r="F54" i="31"/>
  <c r="G54" i="31"/>
  <c r="H54" i="31"/>
  <c r="I54" i="31"/>
  <c r="J54" i="31"/>
  <c r="B55" i="31"/>
  <c r="C55" i="31" s="1"/>
  <c r="I55" i="31"/>
  <c r="J55" i="31"/>
  <c r="B56" i="31"/>
  <c r="F56" i="31" s="1"/>
  <c r="C56" i="31"/>
  <c r="D56" i="31"/>
  <c r="E56" i="31"/>
  <c r="G56" i="31"/>
  <c r="H56" i="31"/>
  <c r="I56" i="31"/>
  <c r="J56" i="31"/>
  <c r="B57" i="31"/>
  <c r="F57" i="31"/>
  <c r="G57" i="31"/>
  <c r="I57" i="31"/>
  <c r="J57" i="31"/>
  <c r="B58" i="31"/>
  <c r="C58" i="31"/>
  <c r="D58" i="31"/>
  <c r="E58" i="31"/>
  <c r="I58" i="31"/>
  <c r="J58" i="31"/>
  <c r="B59" i="31"/>
  <c r="I59" i="31"/>
  <c r="J59" i="31"/>
  <c r="B60" i="31"/>
  <c r="H60" i="31"/>
  <c r="I60" i="31"/>
  <c r="J60" i="31"/>
  <c r="B61" i="31"/>
  <c r="C61" i="31" s="1"/>
  <c r="D61" i="31"/>
  <c r="F61" i="31"/>
  <c r="G61" i="31"/>
  <c r="I61" i="31"/>
  <c r="J61" i="31"/>
  <c r="B62" i="31"/>
  <c r="C62" i="31"/>
  <c r="G62" i="31"/>
  <c r="H62" i="31"/>
  <c r="I62" i="31"/>
  <c r="J62" i="31"/>
  <c r="B63" i="31"/>
  <c r="C63" i="31" s="1"/>
  <c r="D63" i="31"/>
  <c r="E63" i="31"/>
  <c r="F63" i="31"/>
  <c r="G63" i="31"/>
  <c r="H63" i="31"/>
  <c r="I63" i="31"/>
  <c r="J63" i="31"/>
  <c r="B64" i="31"/>
  <c r="I64" i="31"/>
  <c r="J64" i="31"/>
  <c r="B65" i="31"/>
  <c r="C65" i="31" s="1"/>
  <c r="D65" i="31"/>
  <c r="E65" i="31"/>
  <c r="F65" i="31"/>
  <c r="H65" i="31"/>
  <c r="I65" i="31"/>
  <c r="J65" i="31"/>
  <c r="B66" i="31"/>
  <c r="G66" i="31"/>
  <c r="H66" i="31"/>
  <c r="I66" i="31"/>
  <c r="J66" i="31"/>
  <c r="B67" i="31"/>
  <c r="G67" i="31" s="1"/>
  <c r="C67" i="31"/>
  <c r="D67" i="31"/>
  <c r="E67" i="31"/>
  <c r="F67" i="31"/>
  <c r="H67" i="31"/>
  <c r="I67" i="31"/>
  <c r="J67" i="31"/>
  <c r="B68" i="31"/>
  <c r="I68" i="31"/>
  <c r="J68" i="31"/>
  <c r="B69" i="31"/>
  <c r="I69" i="31"/>
  <c r="J69" i="31"/>
  <c r="B70" i="31"/>
  <c r="C70" i="31" s="1"/>
  <c r="D70" i="31"/>
  <c r="E70" i="31"/>
  <c r="F70" i="31"/>
  <c r="G70" i="31"/>
  <c r="H70" i="31"/>
  <c r="I70" i="31"/>
  <c r="J70" i="31"/>
  <c r="B71" i="31"/>
  <c r="C71" i="31"/>
  <c r="F71" i="31"/>
  <c r="G71" i="31"/>
  <c r="H71" i="31"/>
  <c r="I71" i="31"/>
  <c r="J71" i="31"/>
  <c r="B72" i="31"/>
  <c r="F72" i="31" s="1"/>
  <c r="C72" i="31"/>
  <c r="D72" i="31"/>
  <c r="E72" i="31"/>
  <c r="G72" i="31"/>
  <c r="H72" i="31"/>
  <c r="I72" i="31"/>
  <c r="J72" i="31"/>
  <c r="B73" i="31"/>
  <c r="I73" i="31"/>
  <c r="J73" i="31"/>
  <c r="B74" i="31"/>
  <c r="F74" i="31" s="1"/>
  <c r="C74" i="31"/>
  <c r="D74" i="31"/>
  <c r="E74" i="31"/>
  <c r="G74" i="31"/>
  <c r="H74" i="31"/>
  <c r="I74" i="31"/>
  <c r="J74" i="31"/>
  <c r="B75" i="31"/>
  <c r="C75" i="31" s="1"/>
  <c r="D75" i="31"/>
  <c r="E75" i="31"/>
  <c r="I75" i="31"/>
  <c r="J75" i="31"/>
  <c r="B76" i="31"/>
  <c r="I76" i="31"/>
  <c r="J76" i="31"/>
  <c r="B77" i="31"/>
  <c r="H77" i="31" s="1"/>
  <c r="C77" i="31"/>
  <c r="D77" i="31"/>
  <c r="E77" i="31"/>
  <c r="F77" i="31"/>
  <c r="G77" i="31"/>
  <c r="I77" i="31"/>
  <c r="J77" i="31"/>
  <c r="B78" i="31"/>
  <c r="C78" i="31"/>
  <c r="D78" i="31"/>
  <c r="E78" i="31"/>
  <c r="F78" i="31"/>
  <c r="G78" i="31"/>
  <c r="H78" i="31"/>
  <c r="I78" i="31"/>
  <c r="J78" i="31"/>
  <c r="B79" i="31"/>
  <c r="D79" i="31"/>
  <c r="F79" i="31"/>
  <c r="G79" i="31"/>
  <c r="H79" i="31"/>
  <c r="I79" i="31"/>
  <c r="J79" i="31"/>
  <c r="B80" i="31"/>
  <c r="E80" i="31"/>
  <c r="F80" i="31"/>
  <c r="H80" i="31"/>
  <c r="I80" i="31"/>
  <c r="J80" i="31"/>
  <c r="B81" i="31"/>
  <c r="I81" i="31"/>
  <c r="J81" i="31"/>
  <c r="B82" i="31"/>
  <c r="C82" i="31"/>
  <c r="D82" i="31"/>
  <c r="E82" i="31"/>
  <c r="F82" i="31"/>
  <c r="G82" i="31"/>
  <c r="H82" i="31"/>
  <c r="I82" i="31"/>
  <c r="J82" i="31"/>
  <c r="B83" i="31"/>
  <c r="F83" i="31" s="1"/>
  <c r="C83" i="31"/>
  <c r="D83" i="31"/>
  <c r="E83" i="31"/>
  <c r="I83" i="31"/>
  <c r="J83" i="31"/>
  <c r="B84" i="31"/>
  <c r="C84" i="31" s="1"/>
  <c r="D84" i="31"/>
  <c r="E84" i="31"/>
  <c r="F84" i="31"/>
  <c r="G84" i="31"/>
  <c r="H84" i="31"/>
  <c r="I84" i="31"/>
  <c r="J84" i="31"/>
  <c r="B85" i="31"/>
  <c r="D85" i="31"/>
  <c r="E85" i="31"/>
  <c r="F85" i="31"/>
  <c r="I85" i="31"/>
  <c r="J85" i="31"/>
  <c r="T46" i="55" l="1"/>
  <c r="S46" i="55"/>
  <c r="R46" i="55"/>
  <c r="V46" i="55"/>
  <c r="Q46" i="55"/>
  <c r="P46" i="55"/>
  <c r="O46" i="55"/>
  <c r="N46" i="55"/>
  <c r="M46" i="55"/>
  <c r="L46" i="55"/>
  <c r="K46" i="55"/>
  <c r="O45" i="55"/>
  <c r="P45" i="55"/>
  <c r="Q45" i="55"/>
  <c r="R45" i="55"/>
  <c r="S45" i="55"/>
  <c r="T45" i="55"/>
  <c r="U45" i="55"/>
  <c r="V45" i="55"/>
  <c r="U46" i="55"/>
  <c r="Z45" i="55"/>
  <c r="AA45" i="55"/>
  <c r="AB45" i="55"/>
  <c r="AC45" i="55"/>
  <c r="AD45" i="55"/>
  <c r="AE45" i="55"/>
  <c r="W45" i="55"/>
  <c r="X45" i="55"/>
  <c r="Y45" i="55"/>
  <c r="W18" i="51"/>
  <c r="W54" i="51"/>
  <c r="W23" i="50"/>
  <c r="W59" i="51"/>
  <c r="X38" i="37"/>
  <c r="W56" i="37"/>
  <c r="AD15" i="36"/>
  <c r="W19" i="36"/>
  <c r="X43" i="36"/>
  <c r="L10" i="54"/>
  <c r="K10" i="54"/>
  <c r="X15" i="54"/>
  <c r="W15" i="54"/>
  <c r="W40" i="54"/>
  <c r="X40" i="54"/>
  <c r="W52" i="54"/>
  <c r="Y52" i="54"/>
  <c r="X52" i="54"/>
  <c r="AA43" i="50"/>
  <c r="Z43" i="50"/>
  <c r="AA49" i="49"/>
  <c r="Y49" i="49"/>
  <c r="W49" i="49"/>
  <c r="Z49" i="49"/>
  <c r="X49" i="49"/>
  <c r="R48" i="47"/>
  <c r="S48" i="47"/>
  <c r="T48" i="47"/>
  <c r="U48" i="47"/>
  <c r="V48" i="47"/>
  <c r="K28" i="47"/>
  <c r="L28" i="47"/>
  <c r="M28" i="47"/>
  <c r="N28" i="47"/>
  <c r="O28" i="47"/>
  <c r="P28" i="47"/>
  <c r="Q28" i="47"/>
  <c r="R28" i="47"/>
  <c r="S28" i="47"/>
  <c r="T28" i="47"/>
  <c r="U28" i="47"/>
  <c r="V28" i="47"/>
  <c r="K29" i="47"/>
  <c r="L29" i="47"/>
  <c r="M29" i="47"/>
  <c r="N29" i="47"/>
  <c r="O29" i="47"/>
  <c r="P29" i="47"/>
  <c r="Q29" i="47"/>
  <c r="R29" i="47"/>
  <c r="S29" i="47"/>
  <c r="T29" i="47"/>
  <c r="U29" i="47"/>
  <c r="V29" i="47"/>
  <c r="K30" i="47"/>
  <c r="L30" i="47"/>
  <c r="M30" i="47"/>
  <c r="N30" i="47"/>
  <c r="O30" i="47"/>
  <c r="P30" i="47"/>
  <c r="Q30" i="47"/>
  <c r="R30" i="47"/>
  <c r="S30" i="47"/>
  <c r="T30" i="47"/>
  <c r="U30" i="47"/>
  <c r="V30" i="47"/>
  <c r="K31" i="47"/>
  <c r="L31" i="47"/>
  <c r="M31" i="47"/>
  <c r="N31" i="47"/>
  <c r="O31" i="47"/>
  <c r="P31" i="47"/>
  <c r="Q31" i="47"/>
  <c r="R31" i="47"/>
  <c r="S31" i="47"/>
  <c r="T31" i="47"/>
  <c r="U31" i="47"/>
  <c r="V31" i="47"/>
  <c r="W31" i="47" s="1"/>
  <c r="K32" i="47"/>
  <c r="L32" i="47"/>
  <c r="M32" i="47"/>
  <c r="N32" i="47"/>
  <c r="O32" i="47"/>
  <c r="P32" i="47"/>
  <c r="Q32" i="47"/>
  <c r="R32" i="47"/>
  <c r="S32" i="47"/>
  <c r="T32" i="47"/>
  <c r="U32" i="47"/>
  <c r="V32" i="47"/>
  <c r="W32" i="47" s="1"/>
  <c r="K33" i="47"/>
  <c r="L33" i="47"/>
  <c r="M33" i="47"/>
  <c r="N33" i="47"/>
  <c r="O33" i="47"/>
  <c r="P33" i="47"/>
  <c r="Q33" i="47"/>
  <c r="R33" i="47"/>
  <c r="S33" i="47"/>
  <c r="T33" i="47"/>
  <c r="U33" i="47"/>
  <c r="V33" i="47"/>
  <c r="K34" i="47"/>
  <c r="L34" i="47"/>
  <c r="M34" i="47"/>
  <c r="N34" i="47"/>
  <c r="O34" i="47"/>
  <c r="P34" i="47"/>
  <c r="Q34" i="47"/>
  <c r="R34" i="47"/>
  <c r="S34" i="47"/>
  <c r="T34" i="47"/>
  <c r="U34" i="47"/>
  <c r="V34" i="47"/>
  <c r="W34" i="47" s="1"/>
  <c r="K35" i="47"/>
  <c r="L35" i="47"/>
  <c r="M35" i="47"/>
  <c r="N35" i="47"/>
  <c r="O35" i="47"/>
  <c r="P35" i="47"/>
  <c r="Q35" i="47"/>
  <c r="R35" i="47"/>
  <c r="S35" i="47"/>
  <c r="T35" i="47"/>
  <c r="U35" i="47"/>
  <c r="V35" i="47"/>
  <c r="W35" i="47" s="1"/>
  <c r="K36" i="47"/>
  <c r="L36" i="47"/>
  <c r="M36" i="47"/>
  <c r="N36" i="47"/>
  <c r="O36" i="47"/>
  <c r="P36" i="47"/>
  <c r="Q36" i="47"/>
  <c r="R36" i="47"/>
  <c r="S36" i="47"/>
  <c r="T36" i="47"/>
  <c r="U36" i="47"/>
  <c r="V36" i="47"/>
  <c r="K37" i="47"/>
  <c r="L37" i="47"/>
  <c r="M37" i="47"/>
  <c r="N37" i="47"/>
  <c r="O37" i="47"/>
  <c r="P37" i="47"/>
  <c r="Q37" i="47"/>
  <c r="R37" i="47"/>
  <c r="S37" i="47"/>
  <c r="T37" i="47"/>
  <c r="U37" i="47"/>
  <c r="V37" i="47"/>
  <c r="K38" i="47"/>
  <c r="W38" i="47" s="1"/>
  <c r="L38" i="47"/>
  <c r="M38" i="47"/>
  <c r="N38" i="47"/>
  <c r="O38" i="47"/>
  <c r="P38" i="47"/>
  <c r="Q38" i="47"/>
  <c r="R38" i="47"/>
  <c r="S38" i="47"/>
  <c r="T38" i="47"/>
  <c r="U38" i="47"/>
  <c r="V38" i="47"/>
  <c r="K39" i="47"/>
  <c r="L39" i="47"/>
  <c r="M39" i="47"/>
  <c r="N39" i="47"/>
  <c r="O39" i="47"/>
  <c r="P39" i="47"/>
  <c r="Q39" i="47"/>
  <c r="R39" i="47"/>
  <c r="S39" i="47"/>
  <c r="T39" i="47"/>
  <c r="U39" i="47"/>
  <c r="V39" i="47"/>
  <c r="K40" i="47"/>
  <c r="L40" i="47"/>
  <c r="M40" i="47"/>
  <c r="N40" i="47"/>
  <c r="O40" i="47"/>
  <c r="P40" i="47"/>
  <c r="Q40" i="47"/>
  <c r="R40" i="47"/>
  <c r="S40" i="47"/>
  <c r="T40" i="47"/>
  <c r="U40" i="47"/>
  <c r="V40" i="47"/>
  <c r="K41" i="47"/>
  <c r="L41" i="47"/>
  <c r="M41" i="47"/>
  <c r="N41" i="47"/>
  <c r="O41" i="47"/>
  <c r="P41" i="47"/>
  <c r="Q41" i="47"/>
  <c r="R41" i="47"/>
  <c r="S41" i="47"/>
  <c r="T41" i="47"/>
  <c r="U41" i="47"/>
  <c r="V41" i="47"/>
  <c r="K42" i="47"/>
  <c r="W42" i="47" s="1"/>
  <c r="L42" i="47"/>
  <c r="M42" i="47"/>
  <c r="N42" i="47"/>
  <c r="O42" i="47"/>
  <c r="P42" i="47"/>
  <c r="Q42" i="47"/>
  <c r="R42" i="47"/>
  <c r="S42" i="47"/>
  <c r="T42" i="47"/>
  <c r="U42" i="47"/>
  <c r="V42" i="47"/>
  <c r="K43" i="47"/>
  <c r="L43" i="47"/>
  <c r="M43" i="47"/>
  <c r="N43" i="47"/>
  <c r="O43" i="47"/>
  <c r="P43" i="47"/>
  <c r="Q43" i="47"/>
  <c r="R43" i="47"/>
  <c r="S43" i="47"/>
  <c r="T43" i="47"/>
  <c r="U43" i="47"/>
  <c r="V43" i="47"/>
  <c r="K44" i="47"/>
  <c r="L44" i="47"/>
  <c r="M44" i="47"/>
  <c r="N44" i="47"/>
  <c r="O44" i="47"/>
  <c r="P44" i="47"/>
  <c r="Q44" i="47"/>
  <c r="R44" i="47"/>
  <c r="S44" i="47"/>
  <c r="T44" i="47"/>
  <c r="U44" i="47"/>
  <c r="V44" i="47"/>
  <c r="K45" i="47"/>
  <c r="L45" i="47"/>
  <c r="M45" i="47"/>
  <c r="N45" i="47"/>
  <c r="O45" i="47"/>
  <c r="P45" i="47"/>
  <c r="Q45" i="47"/>
  <c r="R45" i="47"/>
  <c r="S45" i="47"/>
  <c r="T45" i="47"/>
  <c r="U45" i="47"/>
  <c r="V45" i="47"/>
  <c r="W45" i="47" s="1"/>
  <c r="K46" i="47"/>
  <c r="L46" i="47"/>
  <c r="M46" i="47"/>
  <c r="N46" i="47"/>
  <c r="O46" i="47"/>
  <c r="P46" i="47"/>
  <c r="Q46" i="47"/>
  <c r="R46" i="47"/>
  <c r="S46" i="47"/>
  <c r="T46" i="47"/>
  <c r="U46" i="47"/>
  <c r="V46" i="47"/>
  <c r="W46" i="47" s="1"/>
  <c r="K47" i="47"/>
  <c r="L47" i="47"/>
  <c r="M47" i="47"/>
  <c r="N47" i="47"/>
  <c r="O47" i="47"/>
  <c r="P47" i="47"/>
  <c r="Q47" i="47"/>
  <c r="R47" i="47"/>
  <c r="S47" i="47"/>
  <c r="T47" i="47"/>
  <c r="U47" i="47"/>
  <c r="V47" i="47"/>
  <c r="W47" i="47" s="1"/>
  <c r="K48" i="47"/>
  <c r="L48" i="47"/>
  <c r="M48" i="47"/>
  <c r="N48" i="47"/>
  <c r="O48" i="47"/>
  <c r="P48" i="47"/>
  <c r="Q48" i="47"/>
  <c r="AA22" i="35"/>
  <c r="AB22" i="35"/>
  <c r="C26" i="54"/>
  <c r="D26" i="54"/>
  <c r="W48" i="54"/>
  <c r="X48" i="54"/>
  <c r="W71" i="52"/>
  <c r="W44" i="50"/>
  <c r="W32" i="51"/>
  <c r="W25" i="50"/>
  <c r="AD64" i="50"/>
  <c r="W65" i="50"/>
  <c r="W24" i="49"/>
  <c r="W37" i="49"/>
  <c r="W22" i="48"/>
  <c r="W27" i="48"/>
  <c r="W30" i="48"/>
  <c r="W31" i="48"/>
  <c r="W37" i="48"/>
  <c r="W38" i="48"/>
  <c r="W43" i="48"/>
  <c r="W46" i="48"/>
  <c r="W22" i="47"/>
  <c r="V72" i="53"/>
  <c r="K73" i="53"/>
  <c r="L73" i="53"/>
  <c r="M73" i="53"/>
  <c r="N73" i="53"/>
  <c r="O73" i="53"/>
  <c r="P73" i="53"/>
  <c r="Q73" i="53"/>
  <c r="R73" i="53"/>
  <c r="S73" i="53"/>
  <c r="T73" i="53"/>
  <c r="U73" i="53"/>
  <c r="V73" i="53"/>
  <c r="K74" i="53"/>
  <c r="L74" i="53"/>
  <c r="M74" i="53"/>
  <c r="N74" i="53"/>
  <c r="O74" i="53"/>
  <c r="P74" i="53"/>
  <c r="Q74" i="53"/>
  <c r="R74" i="53"/>
  <c r="S74" i="53"/>
  <c r="T74" i="53"/>
  <c r="U74" i="53"/>
  <c r="V74" i="53"/>
  <c r="K75" i="53"/>
  <c r="L75" i="53"/>
  <c r="M75" i="53"/>
  <c r="N75" i="53"/>
  <c r="O75" i="53"/>
  <c r="P75" i="53"/>
  <c r="Q75" i="53"/>
  <c r="R75" i="53"/>
  <c r="S75" i="53"/>
  <c r="T75" i="53"/>
  <c r="U75" i="53"/>
  <c r="V75" i="53"/>
  <c r="K76" i="53"/>
  <c r="L76" i="53"/>
  <c r="M76" i="53"/>
  <c r="N76" i="53"/>
  <c r="O76" i="53"/>
  <c r="P76" i="53"/>
  <c r="Q76" i="53"/>
  <c r="R76" i="53"/>
  <c r="S76" i="53"/>
  <c r="T76" i="53"/>
  <c r="U76" i="53"/>
  <c r="V76" i="53"/>
  <c r="K77" i="53"/>
  <c r="L77" i="53"/>
  <c r="M77" i="53"/>
  <c r="N77" i="53"/>
  <c r="O77" i="53"/>
  <c r="P77" i="53"/>
  <c r="Q77" i="53"/>
  <c r="R77" i="53"/>
  <c r="S77" i="53"/>
  <c r="T77" i="53"/>
  <c r="U77" i="53"/>
  <c r="V77" i="53"/>
  <c r="K78" i="53"/>
  <c r="L78" i="53"/>
  <c r="M78" i="53"/>
  <c r="N78" i="53"/>
  <c r="O78" i="53"/>
  <c r="P78" i="53"/>
  <c r="Q78" i="53"/>
  <c r="R78" i="53"/>
  <c r="S78" i="53"/>
  <c r="T78" i="53"/>
  <c r="U78" i="53"/>
  <c r="V78" i="53"/>
  <c r="K79" i="53"/>
  <c r="L79" i="53"/>
  <c r="M79" i="53"/>
  <c r="N79" i="53"/>
  <c r="O79" i="53"/>
  <c r="P79" i="53"/>
  <c r="Q79" i="53"/>
  <c r="R79" i="53"/>
  <c r="S79" i="53"/>
  <c r="T79" i="53"/>
  <c r="U79" i="53"/>
  <c r="V79" i="53"/>
  <c r="K80" i="53"/>
  <c r="L80" i="53"/>
  <c r="M80" i="53"/>
  <c r="N80" i="53"/>
  <c r="O80" i="53"/>
  <c r="P80" i="53"/>
  <c r="Q80" i="53"/>
  <c r="R80" i="53"/>
  <c r="S80" i="53"/>
  <c r="T80" i="53"/>
  <c r="U80" i="53"/>
  <c r="V80" i="53"/>
  <c r="K81" i="53"/>
  <c r="L81" i="53"/>
  <c r="M81" i="53"/>
  <c r="N81" i="53"/>
  <c r="O81" i="53"/>
  <c r="P81" i="53"/>
  <c r="Q81" i="53"/>
  <c r="R81" i="53"/>
  <c r="S81" i="53"/>
  <c r="T81" i="53"/>
  <c r="U81" i="53"/>
  <c r="V81" i="53"/>
  <c r="K82" i="53"/>
  <c r="L82" i="53"/>
  <c r="M82" i="53"/>
  <c r="N82" i="53"/>
  <c r="O82" i="53"/>
  <c r="P82" i="53"/>
  <c r="Q82" i="53"/>
  <c r="R82" i="53"/>
  <c r="S82" i="53"/>
  <c r="T82" i="53"/>
  <c r="U82" i="53"/>
  <c r="V82" i="53"/>
  <c r="K83" i="53"/>
  <c r="L83" i="53"/>
  <c r="M83" i="53"/>
  <c r="N83" i="53"/>
  <c r="O83" i="53"/>
  <c r="P83" i="53"/>
  <c r="Q83" i="53"/>
  <c r="R83" i="53"/>
  <c r="S83" i="53"/>
  <c r="T83" i="53"/>
  <c r="U83" i="53"/>
  <c r="V83" i="53"/>
  <c r="K84" i="53"/>
  <c r="L84" i="53"/>
  <c r="M84" i="53"/>
  <c r="N84" i="53"/>
  <c r="O84" i="53"/>
  <c r="P84" i="53"/>
  <c r="Q84" i="53"/>
  <c r="R84" i="53"/>
  <c r="S84" i="53"/>
  <c r="T84" i="53"/>
  <c r="U84" i="53"/>
  <c r="V84" i="53"/>
  <c r="W84" i="53" s="1"/>
  <c r="K85" i="53"/>
  <c r="L85" i="53"/>
  <c r="M85" i="53"/>
  <c r="N85" i="53"/>
  <c r="K50" i="53"/>
  <c r="O85" i="53"/>
  <c r="P85" i="53"/>
  <c r="Q85" i="53"/>
  <c r="R85" i="53"/>
  <c r="S85" i="53"/>
  <c r="T85" i="53"/>
  <c r="U85" i="53"/>
  <c r="V85" i="53"/>
  <c r="K35" i="53"/>
  <c r="L35" i="53"/>
  <c r="M35" i="53"/>
  <c r="N35" i="53"/>
  <c r="O35" i="53"/>
  <c r="P35" i="53"/>
  <c r="Q35" i="53"/>
  <c r="R35" i="53"/>
  <c r="S35" i="53"/>
  <c r="T35" i="53"/>
  <c r="U35" i="53"/>
  <c r="V35" i="53"/>
  <c r="K36" i="53"/>
  <c r="L36" i="53"/>
  <c r="M36" i="53"/>
  <c r="N36" i="53"/>
  <c r="O36" i="53"/>
  <c r="P36" i="53"/>
  <c r="Q36" i="53"/>
  <c r="R36" i="53"/>
  <c r="S36" i="53"/>
  <c r="T36" i="53"/>
  <c r="U36" i="53"/>
  <c r="V36" i="53"/>
  <c r="K37" i="53"/>
  <c r="L37" i="53"/>
  <c r="M37" i="53"/>
  <c r="N37" i="53"/>
  <c r="O37" i="53"/>
  <c r="P37" i="53"/>
  <c r="Q37" i="53"/>
  <c r="R37" i="53"/>
  <c r="S37" i="53"/>
  <c r="T37" i="53"/>
  <c r="U37" i="53"/>
  <c r="V37" i="53"/>
  <c r="K38" i="53"/>
  <c r="L38" i="53"/>
  <c r="M38" i="53"/>
  <c r="N38" i="53"/>
  <c r="O38" i="53"/>
  <c r="P38" i="53"/>
  <c r="Q38" i="53"/>
  <c r="R38" i="53"/>
  <c r="S38" i="53"/>
  <c r="T38" i="53"/>
  <c r="U38" i="53"/>
  <c r="V38" i="53"/>
  <c r="K39" i="53"/>
  <c r="L39" i="53"/>
  <c r="M39" i="53"/>
  <c r="N39" i="53"/>
  <c r="O39" i="53"/>
  <c r="P39" i="53"/>
  <c r="Q39" i="53"/>
  <c r="R39" i="53"/>
  <c r="S39" i="53"/>
  <c r="T39" i="53"/>
  <c r="U39" i="53"/>
  <c r="V39" i="53"/>
  <c r="K40" i="53"/>
  <c r="L40" i="53"/>
  <c r="M40" i="53"/>
  <c r="N40" i="53"/>
  <c r="O40" i="53"/>
  <c r="P40" i="53"/>
  <c r="Q40" i="53"/>
  <c r="R40" i="53"/>
  <c r="S40" i="53"/>
  <c r="T40" i="53"/>
  <c r="U40" i="53"/>
  <c r="V40" i="53"/>
  <c r="K41" i="53"/>
  <c r="L41" i="53"/>
  <c r="M41" i="53"/>
  <c r="N41" i="53"/>
  <c r="O41" i="53"/>
  <c r="P41" i="53"/>
  <c r="Q41" i="53"/>
  <c r="R41" i="53"/>
  <c r="S41" i="53"/>
  <c r="T41" i="53"/>
  <c r="U41" i="53"/>
  <c r="V41" i="53"/>
  <c r="K42" i="53"/>
  <c r="L42" i="53"/>
  <c r="M42" i="53"/>
  <c r="N42" i="53"/>
  <c r="O42" i="53"/>
  <c r="P42" i="53"/>
  <c r="Q42" i="53"/>
  <c r="R42" i="53"/>
  <c r="S42" i="53"/>
  <c r="T42" i="53"/>
  <c r="U42" i="53"/>
  <c r="V42" i="53"/>
  <c r="K43" i="53"/>
  <c r="L43" i="53"/>
  <c r="M43" i="53"/>
  <c r="N43" i="53"/>
  <c r="O43" i="53"/>
  <c r="P43" i="53"/>
  <c r="Q43" i="53"/>
  <c r="R43" i="53"/>
  <c r="S43" i="53"/>
  <c r="T43" i="53"/>
  <c r="U43" i="53"/>
  <c r="V43" i="53"/>
  <c r="K44" i="53"/>
  <c r="L44" i="53"/>
  <c r="M44" i="53"/>
  <c r="N44" i="53"/>
  <c r="O44" i="53"/>
  <c r="P44" i="53"/>
  <c r="Q44" i="53"/>
  <c r="R44" i="53"/>
  <c r="S44" i="53"/>
  <c r="T44" i="53"/>
  <c r="U44" i="53"/>
  <c r="V44" i="53"/>
  <c r="K45" i="53"/>
  <c r="L45" i="53"/>
  <c r="M45" i="53"/>
  <c r="N45" i="53"/>
  <c r="O45" i="53"/>
  <c r="P45" i="53"/>
  <c r="Q45" i="53"/>
  <c r="R45" i="53"/>
  <c r="S45" i="53"/>
  <c r="T45" i="53"/>
  <c r="U45" i="53"/>
  <c r="V45" i="53"/>
  <c r="K46" i="53"/>
  <c r="L46" i="53"/>
  <c r="M46" i="53"/>
  <c r="N46" i="53"/>
  <c r="O46" i="53"/>
  <c r="P46" i="53"/>
  <c r="Q46" i="53"/>
  <c r="R46" i="53"/>
  <c r="S46" i="53"/>
  <c r="T46" i="53"/>
  <c r="U46" i="53"/>
  <c r="V46" i="53"/>
  <c r="K47" i="53"/>
  <c r="L47" i="53"/>
  <c r="M47" i="53"/>
  <c r="N47" i="53"/>
  <c r="O47" i="53"/>
  <c r="P47" i="53"/>
  <c r="Q47" i="53"/>
  <c r="R47" i="53"/>
  <c r="S47" i="53"/>
  <c r="T47" i="53"/>
  <c r="U47" i="53"/>
  <c r="V47" i="53"/>
  <c r="K48" i="53"/>
  <c r="L48" i="53"/>
  <c r="M48" i="53"/>
  <c r="N48" i="53"/>
  <c r="O48" i="53"/>
  <c r="P48" i="53"/>
  <c r="Q48" i="53"/>
  <c r="R48" i="53"/>
  <c r="S48" i="53"/>
  <c r="T48" i="53"/>
  <c r="U48" i="53"/>
  <c r="V48" i="53"/>
  <c r="K49" i="53"/>
  <c r="L49" i="53"/>
  <c r="M49" i="53"/>
  <c r="N49" i="53"/>
  <c r="O49" i="53"/>
  <c r="P49" i="53"/>
  <c r="Q49" i="53"/>
  <c r="R49" i="53"/>
  <c r="S49" i="53"/>
  <c r="T49" i="53"/>
  <c r="U49" i="53"/>
  <c r="V49" i="53"/>
  <c r="T65" i="53"/>
  <c r="L50" i="53"/>
  <c r="M50" i="53"/>
  <c r="N50" i="53"/>
  <c r="O50" i="53"/>
  <c r="P50" i="53"/>
  <c r="Q50" i="53"/>
  <c r="R50" i="53"/>
  <c r="S50" i="53"/>
  <c r="T50" i="53"/>
  <c r="U50" i="53"/>
  <c r="V50" i="53"/>
  <c r="K51" i="53"/>
  <c r="L51" i="53"/>
  <c r="M51" i="53"/>
  <c r="N51" i="53"/>
  <c r="O51" i="53"/>
  <c r="P51" i="53"/>
  <c r="Q51" i="53"/>
  <c r="R51" i="53"/>
  <c r="S51" i="53"/>
  <c r="T51" i="53"/>
  <c r="U51" i="53"/>
  <c r="V51" i="53"/>
  <c r="K52" i="53"/>
  <c r="L52" i="53"/>
  <c r="M52" i="53"/>
  <c r="N52" i="53"/>
  <c r="O52" i="53"/>
  <c r="P52" i="53"/>
  <c r="Q52" i="53"/>
  <c r="R52" i="53"/>
  <c r="S52" i="53"/>
  <c r="T52" i="53"/>
  <c r="U52" i="53"/>
  <c r="V52" i="53"/>
  <c r="K53" i="53"/>
  <c r="L53" i="53"/>
  <c r="M53" i="53"/>
  <c r="N53" i="53"/>
  <c r="O53" i="53"/>
  <c r="P53" i="53"/>
  <c r="Q53" i="53"/>
  <c r="R53" i="53"/>
  <c r="S53" i="53"/>
  <c r="T53" i="53"/>
  <c r="U53" i="53"/>
  <c r="V53" i="53"/>
  <c r="K54" i="53"/>
  <c r="L54" i="53"/>
  <c r="M54" i="53"/>
  <c r="N54" i="53"/>
  <c r="O54" i="53"/>
  <c r="P54" i="53"/>
  <c r="Q54" i="53"/>
  <c r="R54" i="53"/>
  <c r="S54" i="53"/>
  <c r="T54" i="53"/>
  <c r="U54" i="53"/>
  <c r="V54" i="53"/>
  <c r="K55" i="53"/>
  <c r="L55" i="53"/>
  <c r="M55" i="53"/>
  <c r="N55" i="53"/>
  <c r="O55" i="53"/>
  <c r="P55" i="53"/>
  <c r="Q55" i="53"/>
  <c r="R55" i="53"/>
  <c r="S55" i="53"/>
  <c r="T55" i="53"/>
  <c r="U55" i="53"/>
  <c r="V55" i="53"/>
  <c r="K56" i="53"/>
  <c r="L56" i="53"/>
  <c r="M56" i="53"/>
  <c r="N56" i="53"/>
  <c r="O56" i="53"/>
  <c r="P56" i="53"/>
  <c r="Q56" i="53"/>
  <c r="R56" i="53"/>
  <c r="S56" i="53"/>
  <c r="T56" i="53"/>
  <c r="U56" i="53"/>
  <c r="V56" i="53"/>
  <c r="K57" i="53"/>
  <c r="L57" i="53"/>
  <c r="M57" i="53"/>
  <c r="N57" i="53"/>
  <c r="O57" i="53"/>
  <c r="P57" i="53"/>
  <c r="Q57" i="53"/>
  <c r="R57" i="53"/>
  <c r="S57" i="53"/>
  <c r="T57" i="53"/>
  <c r="U57" i="53"/>
  <c r="V57" i="53"/>
  <c r="K58" i="53"/>
  <c r="L58" i="53"/>
  <c r="M58" i="53"/>
  <c r="N58" i="53"/>
  <c r="O58" i="53"/>
  <c r="P58" i="53"/>
  <c r="Q58" i="53"/>
  <c r="R58" i="53"/>
  <c r="S58" i="53"/>
  <c r="T58" i="53"/>
  <c r="U58" i="53"/>
  <c r="V58" i="53"/>
  <c r="K59" i="53"/>
  <c r="L59" i="53"/>
  <c r="M59" i="53"/>
  <c r="N59" i="53"/>
  <c r="O59" i="53"/>
  <c r="P59" i="53"/>
  <c r="Q59" i="53"/>
  <c r="R59" i="53"/>
  <c r="S59" i="53"/>
  <c r="T59" i="53"/>
  <c r="U59" i="53"/>
  <c r="V59" i="53"/>
  <c r="K60" i="53"/>
  <c r="L60" i="53"/>
  <c r="M60" i="53"/>
  <c r="N60" i="53"/>
  <c r="O60" i="53"/>
  <c r="P60" i="53"/>
  <c r="Q60" i="53"/>
  <c r="R60" i="53"/>
  <c r="S60" i="53"/>
  <c r="T60" i="53"/>
  <c r="U60" i="53"/>
  <c r="V60" i="53"/>
  <c r="K61" i="53"/>
  <c r="L61" i="53"/>
  <c r="M61" i="53"/>
  <c r="N61" i="53"/>
  <c r="O61" i="53"/>
  <c r="P61" i="53"/>
  <c r="Q61" i="53"/>
  <c r="R61" i="53"/>
  <c r="S61" i="53"/>
  <c r="T61" i="53"/>
  <c r="U61" i="53"/>
  <c r="V61" i="53"/>
  <c r="K62" i="53"/>
  <c r="L62" i="53"/>
  <c r="M62" i="53"/>
  <c r="N62" i="53"/>
  <c r="O62" i="53"/>
  <c r="P62" i="53"/>
  <c r="Q62" i="53"/>
  <c r="R62" i="53"/>
  <c r="S62" i="53"/>
  <c r="T62" i="53"/>
  <c r="U62" i="53"/>
  <c r="V62" i="53"/>
  <c r="K63" i="53"/>
  <c r="L63" i="53"/>
  <c r="M63" i="53"/>
  <c r="N63" i="53"/>
  <c r="O63" i="53"/>
  <c r="P63" i="53"/>
  <c r="Q63" i="53"/>
  <c r="R63" i="53"/>
  <c r="S63" i="53"/>
  <c r="T63" i="53"/>
  <c r="U63" i="53"/>
  <c r="V63" i="53"/>
  <c r="K64" i="53"/>
  <c r="L64" i="53"/>
  <c r="M64" i="53"/>
  <c r="N64" i="53"/>
  <c r="O64" i="53"/>
  <c r="P64" i="53"/>
  <c r="Q64" i="53"/>
  <c r="R64" i="53"/>
  <c r="S64" i="53"/>
  <c r="T64" i="53"/>
  <c r="U64" i="53"/>
  <c r="V64" i="53"/>
  <c r="K65" i="53"/>
  <c r="L65" i="53"/>
  <c r="M65" i="53"/>
  <c r="N65" i="53"/>
  <c r="O65" i="53"/>
  <c r="P65" i="53"/>
  <c r="Q65" i="53"/>
  <c r="R65" i="53"/>
  <c r="S65" i="53"/>
  <c r="U65" i="53"/>
  <c r="V65" i="53"/>
  <c r="K66" i="53"/>
  <c r="L66" i="53"/>
  <c r="M66" i="53"/>
  <c r="N66" i="53"/>
  <c r="O66" i="53"/>
  <c r="P66" i="53"/>
  <c r="Q66" i="53"/>
  <c r="R66" i="53"/>
  <c r="S66" i="53"/>
  <c r="T66" i="53"/>
  <c r="U66" i="53"/>
  <c r="V66" i="53"/>
  <c r="K67" i="53"/>
  <c r="L67" i="53"/>
  <c r="M67" i="53"/>
  <c r="N67" i="53"/>
  <c r="O67" i="53"/>
  <c r="P67" i="53"/>
  <c r="Q67" i="53"/>
  <c r="R67" i="53"/>
  <c r="S67" i="53"/>
  <c r="T67" i="53"/>
  <c r="U67" i="53"/>
  <c r="V67" i="53"/>
  <c r="K68" i="53"/>
  <c r="L68" i="53"/>
  <c r="M68" i="53"/>
  <c r="N68" i="53"/>
  <c r="O68" i="53"/>
  <c r="P68" i="53"/>
  <c r="Q68" i="53"/>
  <c r="R68" i="53"/>
  <c r="S68" i="53"/>
  <c r="T68" i="53"/>
  <c r="U68" i="53"/>
  <c r="V68" i="53"/>
  <c r="K69" i="53"/>
  <c r="L69" i="53"/>
  <c r="M69" i="53"/>
  <c r="N69" i="53"/>
  <c r="O69" i="53"/>
  <c r="P69" i="53"/>
  <c r="Q69" i="53"/>
  <c r="R69" i="53"/>
  <c r="S69" i="53"/>
  <c r="T69" i="53"/>
  <c r="U69" i="53"/>
  <c r="V69" i="53"/>
  <c r="K70" i="53"/>
  <c r="L70" i="53"/>
  <c r="M70" i="53"/>
  <c r="N70" i="53"/>
  <c r="O70" i="53"/>
  <c r="P70" i="53"/>
  <c r="Q70" i="53"/>
  <c r="R70" i="53"/>
  <c r="S70" i="53"/>
  <c r="T70" i="53"/>
  <c r="U70" i="53"/>
  <c r="V70" i="53"/>
  <c r="K71" i="53"/>
  <c r="L71" i="53"/>
  <c r="M71" i="53"/>
  <c r="N71" i="53"/>
  <c r="O71" i="53"/>
  <c r="P71" i="53"/>
  <c r="Q71" i="53"/>
  <c r="R71" i="53"/>
  <c r="S71" i="53"/>
  <c r="T71" i="53"/>
  <c r="U71" i="53"/>
  <c r="V71" i="53"/>
  <c r="K72" i="53"/>
  <c r="L72" i="53"/>
  <c r="M72" i="53"/>
  <c r="N72" i="53"/>
  <c r="O72" i="53"/>
  <c r="P72" i="53"/>
  <c r="Q72" i="53"/>
  <c r="R72" i="53"/>
  <c r="S72" i="53"/>
  <c r="T72" i="53"/>
  <c r="U72" i="53"/>
  <c r="AA34" i="53"/>
  <c r="AE34" i="53"/>
  <c r="AD34" i="53"/>
  <c r="AC34" i="53"/>
  <c r="Z34" i="53"/>
  <c r="AB34" i="53"/>
  <c r="X49" i="52"/>
  <c r="Z49" i="52"/>
  <c r="W49" i="52"/>
  <c r="Y49" i="52"/>
  <c r="AA49" i="52"/>
  <c r="X52" i="52"/>
  <c r="Y52" i="52"/>
  <c r="W69" i="52"/>
  <c r="Y69" i="52"/>
  <c r="Y71" i="52"/>
  <c r="X71" i="52"/>
  <c r="W82" i="52"/>
  <c r="X82" i="52"/>
  <c r="L10" i="51"/>
  <c r="M10" i="51"/>
  <c r="P10" i="51"/>
  <c r="O10" i="51"/>
  <c r="K10" i="51"/>
  <c r="N10" i="51"/>
  <c r="Q10" i="51"/>
  <c r="W16" i="51"/>
  <c r="X16" i="51"/>
  <c r="W30" i="51"/>
  <c r="Y30" i="51"/>
  <c r="X30" i="51"/>
  <c r="W42" i="51"/>
  <c r="X42" i="51"/>
  <c r="Y42" i="51"/>
  <c r="W72" i="51"/>
  <c r="X72" i="51"/>
  <c r="W82" i="51"/>
  <c r="X82" i="51"/>
  <c r="W84" i="51"/>
  <c r="X84" i="51"/>
  <c r="K11" i="50"/>
  <c r="M11" i="50"/>
  <c r="N11" i="50"/>
  <c r="O11" i="50"/>
  <c r="L11" i="50"/>
  <c r="X15" i="50"/>
  <c r="W15" i="50"/>
  <c r="X22" i="50"/>
  <c r="W22" i="50"/>
  <c r="X24" i="50"/>
  <c r="Y24" i="50"/>
  <c r="W24" i="50"/>
  <c r="W33" i="50"/>
  <c r="X33" i="50"/>
  <c r="X35" i="50"/>
  <c r="W35" i="50"/>
  <c r="W36" i="50"/>
  <c r="X36" i="50"/>
  <c r="Y36" i="50"/>
  <c r="X40" i="50"/>
  <c r="W40" i="50"/>
  <c r="Y60" i="50"/>
  <c r="W60" i="50"/>
  <c r="X63" i="50"/>
  <c r="Y63" i="50"/>
  <c r="X68" i="50"/>
  <c r="W68" i="50"/>
  <c r="Y68" i="50"/>
  <c r="N79" i="49"/>
  <c r="O79" i="49"/>
  <c r="P79" i="49"/>
  <c r="Q79" i="49"/>
  <c r="R79" i="49"/>
  <c r="S79" i="49"/>
  <c r="T79" i="49"/>
  <c r="U79" i="49"/>
  <c r="V79" i="49"/>
  <c r="K80" i="49"/>
  <c r="L80" i="49"/>
  <c r="M80" i="49"/>
  <c r="N80" i="49"/>
  <c r="O80" i="49"/>
  <c r="P80" i="49"/>
  <c r="Q80" i="49"/>
  <c r="R80" i="49"/>
  <c r="S80" i="49"/>
  <c r="T80" i="49"/>
  <c r="U80" i="49"/>
  <c r="V80" i="49"/>
  <c r="K81" i="49"/>
  <c r="L81" i="49"/>
  <c r="M81" i="49"/>
  <c r="N81" i="49"/>
  <c r="O81" i="49"/>
  <c r="P81" i="49"/>
  <c r="Q81" i="49"/>
  <c r="R81" i="49"/>
  <c r="S81" i="49"/>
  <c r="T81" i="49"/>
  <c r="U81" i="49"/>
  <c r="V81" i="49"/>
  <c r="K82" i="49"/>
  <c r="L82" i="49"/>
  <c r="M82" i="49"/>
  <c r="N82" i="49"/>
  <c r="O82" i="49"/>
  <c r="P82" i="49"/>
  <c r="Q82" i="49"/>
  <c r="R82" i="49"/>
  <c r="S82" i="49"/>
  <c r="T82" i="49"/>
  <c r="U82" i="49"/>
  <c r="V82" i="49"/>
  <c r="K83" i="49"/>
  <c r="L83" i="49"/>
  <c r="M83" i="49"/>
  <c r="N83" i="49"/>
  <c r="O83" i="49"/>
  <c r="P83" i="49"/>
  <c r="Q83" i="49"/>
  <c r="R83" i="49"/>
  <c r="S83" i="49"/>
  <c r="T83" i="49"/>
  <c r="U83" i="49"/>
  <c r="V83" i="49"/>
  <c r="K84" i="49"/>
  <c r="L84" i="49"/>
  <c r="M84" i="49"/>
  <c r="N84" i="49"/>
  <c r="O84" i="49"/>
  <c r="P84" i="49"/>
  <c r="Q84" i="49"/>
  <c r="R84" i="49"/>
  <c r="S84" i="49"/>
  <c r="T84" i="49"/>
  <c r="U84" i="49"/>
  <c r="V84" i="49"/>
  <c r="K85" i="49"/>
  <c r="L85" i="49"/>
  <c r="M85" i="49"/>
  <c r="N85" i="49"/>
  <c r="O85" i="49"/>
  <c r="Q65" i="49"/>
  <c r="R65" i="49"/>
  <c r="S65" i="49"/>
  <c r="T65" i="49"/>
  <c r="U65" i="49"/>
  <c r="V65" i="49"/>
  <c r="W65" i="49" s="1"/>
  <c r="P85" i="49"/>
  <c r="Q85" i="49"/>
  <c r="R85" i="49"/>
  <c r="S85" i="49"/>
  <c r="T85" i="49"/>
  <c r="U85" i="49"/>
  <c r="V85" i="49"/>
  <c r="V70" i="49"/>
  <c r="K66" i="49"/>
  <c r="L66" i="49"/>
  <c r="M66" i="49"/>
  <c r="N66" i="49"/>
  <c r="O66" i="49"/>
  <c r="P66" i="49"/>
  <c r="Q66" i="49"/>
  <c r="R66" i="49"/>
  <c r="S66" i="49"/>
  <c r="T66" i="49"/>
  <c r="U66" i="49"/>
  <c r="V66" i="49"/>
  <c r="K67" i="49"/>
  <c r="L67" i="49"/>
  <c r="M67" i="49"/>
  <c r="N67" i="49"/>
  <c r="O67" i="49"/>
  <c r="P67" i="49"/>
  <c r="Q67" i="49"/>
  <c r="R67" i="49"/>
  <c r="S67" i="49"/>
  <c r="T67" i="49"/>
  <c r="U67" i="49"/>
  <c r="V67" i="49"/>
  <c r="K68" i="49"/>
  <c r="L68" i="49"/>
  <c r="M68" i="49"/>
  <c r="N68" i="49"/>
  <c r="O68" i="49"/>
  <c r="P68" i="49"/>
  <c r="Q68" i="49"/>
  <c r="R68" i="49"/>
  <c r="S68" i="49"/>
  <c r="T68" i="49"/>
  <c r="U68" i="49"/>
  <c r="V68" i="49"/>
  <c r="W68" i="49" s="1"/>
  <c r="K69" i="49"/>
  <c r="L69" i="49"/>
  <c r="M69" i="49"/>
  <c r="N69" i="49"/>
  <c r="O69" i="49"/>
  <c r="P69" i="49"/>
  <c r="Q69" i="49"/>
  <c r="R69" i="49"/>
  <c r="S69" i="49"/>
  <c r="T69" i="49"/>
  <c r="U69" i="49"/>
  <c r="V69" i="49"/>
  <c r="K70" i="49"/>
  <c r="L70" i="49"/>
  <c r="M70" i="49"/>
  <c r="N70" i="49"/>
  <c r="O70" i="49"/>
  <c r="P70" i="49"/>
  <c r="Q70" i="49"/>
  <c r="R70" i="49"/>
  <c r="S70" i="49"/>
  <c r="T70" i="49"/>
  <c r="U70" i="49"/>
  <c r="V75" i="49"/>
  <c r="K71" i="49"/>
  <c r="L71" i="49"/>
  <c r="M71" i="49"/>
  <c r="N71" i="49"/>
  <c r="O71" i="49"/>
  <c r="P71" i="49"/>
  <c r="Q71" i="49"/>
  <c r="R71" i="49"/>
  <c r="S71" i="49"/>
  <c r="T71" i="49"/>
  <c r="U71" i="49"/>
  <c r="V71" i="49"/>
  <c r="K72" i="49"/>
  <c r="L72" i="49"/>
  <c r="M72" i="49"/>
  <c r="N72" i="49"/>
  <c r="O72" i="49"/>
  <c r="P72" i="49"/>
  <c r="Q72" i="49"/>
  <c r="R72" i="49"/>
  <c r="S72" i="49"/>
  <c r="T72" i="49"/>
  <c r="U72" i="49"/>
  <c r="V72" i="49"/>
  <c r="K73" i="49"/>
  <c r="L73" i="49"/>
  <c r="M73" i="49"/>
  <c r="N73" i="49"/>
  <c r="O73" i="49"/>
  <c r="P73" i="49"/>
  <c r="Q73" i="49"/>
  <c r="R73" i="49"/>
  <c r="S73" i="49"/>
  <c r="T73" i="49"/>
  <c r="U73" i="49"/>
  <c r="V73" i="49"/>
  <c r="K74" i="49"/>
  <c r="L74" i="49"/>
  <c r="M74" i="49"/>
  <c r="N74" i="49"/>
  <c r="O74" i="49"/>
  <c r="P74" i="49"/>
  <c r="Q74" i="49"/>
  <c r="R74" i="49"/>
  <c r="S74" i="49"/>
  <c r="T74" i="49"/>
  <c r="U74" i="49"/>
  <c r="V74" i="49"/>
  <c r="W74" i="49" s="1"/>
  <c r="K75" i="49"/>
  <c r="L75" i="49"/>
  <c r="M75" i="49"/>
  <c r="N75" i="49"/>
  <c r="O75" i="49"/>
  <c r="P75" i="49"/>
  <c r="Q75" i="49"/>
  <c r="R75" i="49"/>
  <c r="S75" i="49"/>
  <c r="T75" i="49"/>
  <c r="U75" i="49"/>
  <c r="K76" i="49"/>
  <c r="L76" i="49"/>
  <c r="M76" i="49"/>
  <c r="N76" i="49"/>
  <c r="O76" i="49"/>
  <c r="P76" i="49"/>
  <c r="Q76" i="49"/>
  <c r="R76" i="49"/>
  <c r="S76" i="49"/>
  <c r="T76" i="49"/>
  <c r="U76" i="49"/>
  <c r="V76" i="49"/>
  <c r="W76" i="49" s="1"/>
  <c r="K77" i="49"/>
  <c r="L77" i="49"/>
  <c r="M77" i="49"/>
  <c r="N77" i="49"/>
  <c r="O77" i="49"/>
  <c r="P77" i="49"/>
  <c r="Q77" i="49"/>
  <c r="R77" i="49"/>
  <c r="S77" i="49"/>
  <c r="T77" i="49"/>
  <c r="U77" i="49"/>
  <c r="V77" i="49"/>
  <c r="K78" i="49"/>
  <c r="L78" i="49"/>
  <c r="M78" i="49"/>
  <c r="N78" i="49"/>
  <c r="O78" i="49"/>
  <c r="P78" i="49"/>
  <c r="Q78" i="49"/>
  <c r="R78" i="49"/>
  <c r="S78" i="49"/>
  <c r="T78" i="49"/>
  <c r="U78" i="49"/>
  <c r="V78" i="49"/>
  <c r="W78" i="49" s="1"/>
  <c r="K79" i="49"/>
  <c r="L79" i="49"/>
  <c r="M79" i="49"/>
  <c r="W20" i="49"/>
  <c r="X20" i="49"/>
  <c r="W22" i="49"/>
  <c r="X22" i="49"/>
  <c r="W23" i="49"/>
  <c r="Y23" i="49"/>
  <c r="X27" i="49"/>
  <c r="W27" i="49"/>
  <c r="Y32" i="49"/>
  <c r="AC32" i="49"/>
  <c r="X32" i="49"/>
  <c r="AB32" i="49"/>
  <c r="AD32" i="49"/>
  <c r="Z32" i="49"/>
  <c r="AE32" i="49"/>
  <c r="AA32" i="49"/>
  <c r="W39" i="49"/>
  <c r="Y39" i="49"/>
  <c r="X39" i="49"/>
  <c r="W48" i="49"/>
  <c r="X48" i="49"/>
  <c r="AA65" i="49"/>
  <c r="Z65" i="49"/>
  <c r="Y65" i="49"/>
  <c r="X65" i="49"/>
  <c r="AD65" i="49"/>
  <c r="AC65" i="49"/>
  <c r="AB65" i="49"/>
  <c r="AE65" i="49"/>
  <c r="X27" i="42"/>
  <c r="Y27" i="42"/>
  <c r="Z40" i="39"/>
  <c r="AA40" i="39"/>
  <c r="AB40" i="39"/>
  <c r="AC40" i="39"/>
  <c r="AD40" i="39"/>
  <c r="AE40" i="39"/>
  <c r="Z24" i="37"/>
  <c r="AA24" i="37"/>
  <c r="X24" i="37"/>
  <c r="Y24" i="37"/>
  <c r="AB24" i="37"/>
  <c r="AC24" i="37"/>
  <c r="AD24" i="37"/>
  <c r="AE24" i="37"/>
  <c r="W25" i="37"/>
  <c r="X25" i="37"/>
  <c r="Y25" i="37"/>
  <c r="AA27" i="37"/>
  <c r="W27" i="37"/>
  <c r="Z27" i="37"/>
  <c r="Y27" i="37"/>
  <c r="X27" i="37"/>
  <c r="AA42" i="37"/>
  <c r="Z42" i="37"/>
  <c r="X45" i="37"/>
  <c r="AA45" i="37"/>
  <c r="Y45" i="37"/>
  <c r="Z46" i="37"/>
  <c r="AA46" i="37"/>
  <c r="O10" i="36"/>
  <c r="P10" i="36"/>
  <c r="R10" i="36"/>
  <c r="Q10" i="36"/>
  <c r="N10" i="36"/>
  <c r="M10" i="36"/>
  <c r="W16" i="36"/>
  <c r="Y16" i="36"/>
  <c r="Y19" i="36"/>
  <c r="X19" i="36"/>
  <c r="W30" i="36"/>
  <c r="Y30" i="36"/>
  <c r="W34" i="36"/>
  <c r="X34" i="36"/>
  <c r="W44" i="36"/>
  <c r="X44" i="36"/>
  <c r="W48" i="36"/>
  <c r="X48" i="36"/>
  <c r="W57" i="36"/>
  <c r="X57" i="36"/>
  <c r="Z59" i="36"/>
  <c r="AA59" i="36"/>
  <c r="W63" i="36"/>
  <c r="X63" i="36"/>
  <c r="Y64" i="36"/>
  <c r="Z64" i="36"/>
  <c r="Y76" i="36"/>
  <c r="X76" i="36"/>
  <c r="AD79" i="36"/>
  <c r="AC79" i="36"/>
  <c r="N12" i="35"/>
  <c r="V12" i="35"/>
  <c r="S12" i="35"/>
  <c r="V11" i="35"/>
  <c r="R12" i="35"/>
  <c r="P12" i="35"/>
  <c r="M12" i="35"/>
  <c r="U12" i="35"/>
  <c r="Q12" i="35"/>
  <c r="O12" i="35"/>
  <c r="L12" i="35"/>
  <c r="K12" i="35"/>
  <c r="T12" i="35"/>
  <c r="AC13" i="35"/>
  <c r="X13" i="35"/>
  <c r="AB14" i="35"/>
  <c r="AE14" i="35"/>
  <c r="Z32" i="35"/>
  <c r="AA32" i="35"/>
  <c r="X34" i="35"/>
  <c r="Y34" i="35"/>
  <c r="AC79" i="35"/>
  <c r="AA79" i="35"/>
  <c r="AD79" i="35"/>
  <c r="S15" i="34"/>
  <c r="U15" i="34"/>
  <c r="T15" i="34"/>
  <c r="R15" i="34"/>
  <c r="V15" i="34"/>
  <c r="L16" i="34"/>
  <c r="K16" i="34"/>
  <c r="N16" i="34"/>
  <c r="O16" i="34"/>
  <c r="M16" i="34"/>
  <c r="W60" i="51"/>
  <c r="W62" i="51"/>
  <c r="W67" i="51"/>
  <c r="W18" i="50"/>
  <c r="W27" i="50"/>
  <c r="W58" i="50"/>
  <c r="Y75" i="50"/>
  <c r="W32" i="49"/>
  <c r="W56" i="49"/>
  <c r="W21" i="48"/>
  <c r="W50" i="51"/>
  <c r="W11" i="50"/>
  <c r="X54" i="49"/>
  <c r="W71" i="49"/>
  <c r="W75" i="49"/>
  <c r="W82" i="49"/>
  <c r="W15" i="48"/>
  <c r="L10" i="46"/>
  <c r="W13" i="46"/>
  <c r="AC18" i="46"/>
  <c r="W21" i="46"/>
  <c r="W22" i="46"/>
  <c r="W16" i="45"/>
  <c r="W21" i="44"/>
  <c r="X15" i="35"/>
  <c r="AA24" i="35"/>
  <c r="W80" i="35"/>
  <c r="X81" i="35"/>
  <c r="AE19" i="34"/>
  <c r="AE21" i="34"/>
  <c r="X35" i="34"/>
  <c r="Y47" i="52"/>
  <c r="Z47" i="52"/>
  <c r="AA47" i="52"/>
  <c r="AC47" i="52"/>
  <c r="AD47" i="52"/>
  <c r="AE47" i="52"/>
  <c r="AB47" i="52"/>
  <c r="X47" i="52"/>
  <c r="W47" i="52"/>
  <c r="W70" i="52"/>
  <c r="X70" i="52"/>
  <c r="Y70" i="52"/>
  <c r="Z70" i="52"/>
  <c r="W70" i="49"/>
  <c r="Y70" i="49"/>
  <c r="W73" i="49"/>
  <c r="Y73" i="49"/>
  <c r="V85" i="47"/>
  <c r="K49" i="47"/>
  <c r="L49" i="47"/>
  <c r="M49" i="47"/>
  <c r="N49" i="47"/>
  <c r="O49" i="47"/>
  <c r="P49" i="47"/>
  <c r="Q49" i="47"/>
  <c r="R49" i="47"/>
  <c r="S49" i="47"/>
  <c r="T49" i="47"/>
  <c r="U49" i="47"/>
  <c r="V49" i="47"/>
  <c r="K50" i="47"/>
  <c r="L50" i="47"/>
  <c r="M50" i="47"/>
  <c r="N50" i="47"/>
  <c r="O50" i="47"/>
  <c r="P50" i="47"/>
  <c r="Q50" i="47"/>
  <c r="R50" i="47"/>
  <c r="S50" i="47"/>
  <c r="T50" i="47"/>
  <c r="U50" i="47"/>
  <c r="V50" i="47"/>
  <c r="K51" i="47"/>
  <c r="L51" i="47"/>
  <c r="M51" i="47"/>
  <c r="N51" i="47"/>
  <c r="O51" i="47"/>
  <c r="P51" i="47"/>
  <c r="Q51" i="47"/>
  <c r="R51" i="47"/>
  <c r="S51" i="47"/>
  <c r="T51" i="47"/>
  <c r="U51" i="47"/>
  <c r="V51" i="47"/>
  <c r="K52" i="47"/>
  <c r="L52" i="47"/>
  <c r="M52" i="47"/>
  <c r="N52" i="47"/>
  <c r="O52" i="47"/>
  <c r="P52" i="47"/>
  <c r="Q52" i="47"/>
  <c r="R52" i="47"/>
  <c r="S52" i="47"/>
  <c r="T52" i="47"/>
  <c r="U52" i="47"/>
  <c r="V52" i="47"/>
  <c r="K53" i="47"/>
  <c r="L53" i="47"/>
  <c r="M53" i="47"/>
  <c r="N53" i="47"/>
  <c r="O53" i="47"/>
  <c r="P53" i="47"/>
  <c r="Q53" i="47"/>
  <c r="R53" i="47"/>
  <c r="S53" i="47"/>
  <c r="T53" i="47"/>
  <c r="U53" i="47"/>
  <c r="V53" i="47"/>
  <c r="K54" i="47"/>
  <c r="L54" i="47"/>
  <c r="M54" i="47"/>
  <c r="N54" i="47"/>
  <c r="O54" i="47"/>
  <c r="P54" i="47"/>
  <c r="Q54" i="47"/>
  <c r="R54" i="47"/>
  <c r="S54" i="47"/>
  <c r="T54" i="47"/>
  <c r="U54" i="47"/>
  <c r="V54" i="47"/>
  <c r="W54" i="47" s="1"/>
  <c r="K55" i="47"/>
  <c r="L55" i="47"/>
  <c r="M55" i="47"/>
  <c r="N55" i="47"/>
  <c r="O55" i="47"/>
  <c r="P55" i="47"/>
  <c r="Q55" i="47"/>
  <c r="R55" i="47"/>
  <c r="S55" i="47"/>
  <c r="T55" i="47"/>
  <c r="U55" i="47"/>
  <c r="V55" i="47"/>
  <c r="W55" i="47" s="1"/>
  <c r="K56" i="47"/>
  <c r="L56" i="47"/>
  <c r="M56" i="47"/>
  <c r="N56" i="47"/>
  <c r="O56" i="47"/>
  <c r="P56" i="47"/>
  <c r="Q56" i="47"/>
  <c r="R56" i="47"/>
  <c r="S56" i="47"/>
  <c r="T56" i="47"/>
  <c r="U56" i="47"/>
  <c r="V56" i="47"/>
  <c r="K57" i="47"/>
  <c r="L57" i="47"/>
  <c r="M57" i="47"/>
  <c r="N57" i="47"/>
  <c r="O57" i="47"/>
  <c r="P57" i="47"/>
  <c r="Q57" i="47"/>
  <c r="R57" i="47"/>
  <c r="S57" i="47"/>
  <c r="T57" i="47"/>
  <c r="U57" i="47"/>
  <c r="V57" i="47"/>
  <c r="K58" i="47"/>
  <c r="L58" i="47"/>
  <c r="M58" i="47"/>
  <c r="N58" i="47"/>
  <c r="O58" i="47"/>
  <c r="P58" i="47"/>
  <c r="Q58" i="47"/>
  <c r="R58" i="47"/>
  <c r="S58" i="47"/>
  <c r="T58" i="47"/>
  <c r="U58" i="47"/>
  <c r="V58" i="47"/>
  <c r="W58" i="47" s="1"/>
  <c r="K59" i="47"/>
  <c r="L59" i="47"/>
  <c r="M59" i="47"/>
  <c r="N59" i="47"/>
  <c r="O59" i="47"/>
  <c r="P59" i="47"/>
  <c r="Q59" i="47"/>
  <c r="R59" i="47"/>
  <c r="S59" i="47"/>
  <c r="T59" i="47"/>
  <c r="U59" i="47"/>
  <c r="V59" i="47"/>
  <c r="K60" i="47"/>
  <c r="L60" i="47"/>
  <c r="M60" i="47"/>
  <c r="N60" i="47"/>
  <c r="O60" i="47"/>
  <c r="P60" i="47"/>
  <c r="Q60" i="47"/>
  <c r="R60" i="47"/>
  <c r="S60" i="47"/>
  <c r="T60" i="47"/>
  <c r="U60" i="47"/>
  <c r="V60" i="47"/>
  <c r="K61" i="47"/>
  <c r="L61" i="47"/>
  <c r="M61" i="47"/>
  <c r="N61" i="47"/>
  <c r="O61" i="47"/>
  <c r="P61" i="47"/>
  <c r="Q61" i="47"/>
  <c r="R61" i="47"/>
  <c r="S61" i="47"/>
  <c r="T61" i="47"/>
  <c r="U61" i="47"/>
  <c r="V61" i="47"/>
  <c r="K62" i="47"/>
  <c r="L62" i="47"/>
  <c r="M62" i="47"/>
  <c r="N62" i="47"/>
  <c r="O62" i="47"/>
  <c r="P62" i="47"/>
  <c r="Q62" i="47"/>
  <c r="R62" i="47"/>
  <c r="S62" i="47"/>
  <c r="T62" i="47"/>
  <c r="U62" i="47"/>
  <c r="V62" i="47"/>
  <c r="K63" i="47"/>
  <c r="L63" i="47"/>
  <c r="M63" i="47"/>
  <c r="N63" i="47"/>
  <c r="O63" i="47"/>
  <c r="P63" i="47"/>
  <c r="Q63" i="47"/>
  <c r="R63" i="47"/>
  <c r="S63" i="47"/>
  <c r="T63" i="47"/>
  <c r="U63" i="47"/>
  <c r="V63" i="47"/>
  <c r="W63" i="47" s="1"/>
  <c r="K64" i="47"/>
  <c r="L64" i="47"/>
  <c r="M64" i="47"/>
  <c r="N64" i="47"/>
  <c r="O64" i="47"/>
  <c r="P64" i="47"/>
  <c r="Q64" i="47"/>
  <c r="R64" i="47"/>
  <c r="S64" i="47"/>
  <c r="T64" i="47"/>
  <c r="U64" i="47"/>
  <c r="V64" i="47"/>
  <c r="K65" i="47"/>
  <c r="L65" i="47"/>
  <c r="M65" i="47"/>
  <c r="N65" i="47"/>
  <c r="O65" i="47"/>
  <c r="P65" i="47"/>
  <c r="Q65" i="47"/>
  <c r="R65" i="47"/>
  <c r="S65" i="47"/>
  <c r="T65" i="47"/>
  <c r="U65" i="47"/>
  <c r="V65" i="47"/>
  <c r="K66" i="47"/>
  <c r="L66" i="47"/>
  <c r="M66" i="47"/>
  <c r="N66" i="47"/>
  <c r="O66" i="47"/>
  <c r="P66" i="47"/>
  <c r="Q66" i="47"/>
  <c r="R66" i="47"/>
  <c r="S66" i="47"/>
  <c r="T66" i="47"/>
  <c r="U66" i="47"/>
  <c r="V66" i="47"/>
  <c r="K67" i="47"/>
  <c r="L67" i="47"/>
  <c r="M67" i="47"/>
  <c r="N67" i="47"/>
  <c r="O67" i="47"/>
  <c r="P67" i="47"/>
  <c r="Q67" i="47"/>
  <c r="R67" i="47"/>
  <c r="S67" i="47"/>
  <c r="T67" i="47"/>
  <c r="U67" i="47"/>
  <c r="V67" i="47"/>
  <c r="W67" i="47" s="1"/>
  <c r="K68" i="47"/>
  <c r="L68" i="47"/>
  <c r="M68" i="47"/>
  <c r="N68" i="47"/>
  <c r="O68" i="47"/>
  <c r="P68" i="47"/>
  <c r="Q68" i="47"/>
  <c r="R68" i="47"/>
  <c r="S68" i="47"/>
  <c r="T68" i="47"/>
  <c r="U68" i="47"/>
  <c r="V68" i="47"/>
  <c r="W68" i="47" s="1"/>
  <c r="K69" i="47"/>
  <c r="L69" i="47"/>
  <c r="M69" i="47"/>
  <c r="N69" i="47"/>
  <c r="O69" i="47"/>
  <c r="P69" i="47"/>
  <c r="Q69" i="47"/>
  <c r="R69" i="47"/>
  <c r="S69" i="47"/>
  <c r="T69" i="47"/>
  <c r="U69" i="47"/>
  <c r="V69" i="47"/>
  <c r="K70" i="47"/>
  <c r="L70" i="47"/>
  <c r="M70" i="47"/>
  <c r="N70" i="47"/>
  <c r="O70" i="47"/>
  <c r="P70" i="47"/>
  <c r="Q70" i="47"/>
  <c r="R70" i="47"/>
  <c r="S70" i="47"/>
  <c r="T70" i="47"/>
  <c r="U70" i="47"/>
  <c r="V70" i="47"/>
  <c r="W70" i="47" s="1"/>
  <c r="K71" i="47"/>
  <c r="L71" i="47"/>
  <c r="M71" i="47"/>
  <c r="N71" i="47"/>
  <c r="O71" i="47"/>
  <c r="P71" i="47"/>
  <c r="Q71" i="47"/>
  <c r="R71" i="47"/>
  <c r="S71" i="47"/>
  <c r="T71" i="47"/>
  <c r="U71" i="47"/>
  <c r="V71" i="47"/>
  <c r="W71" i="47" s="1"/>
  <c r="K72" i="47"/>
  <c r="L72" i="47"/>
  <c r="M72" i="47"/>
  <c r="N72" i="47"/>
  <c r="O72" i="47"/>
  <c r="P72" i="47"/>
  <c r="Q72" i="47"/>
  <c r="R72" i="47"/>
  <c r="S72" i="47"/>
  <c r="T72" i="47"/>
  <c r="U72" i="47"/>
  <c r="V72" i="47"/>
  <c r="Y72" i="47" s="1"/>
  <c r="K73" i="47"/>
  <c r="L73" i="47"/>
  <c r="M73" i="47"/>
  <c r="N73" i="47"/>
  <c r="O73" i="47"/>
  <c r="P73" i="47"/>
  <c r="Q73" i="47"/>
  <c r="R73" i="47"/>
  <c r="S73" i="47"/>
  <c r="T73" i="47"/>
  <c r="U73" i="47"/>
  <c r="V73" i="47"/>
  <c r="K74" i="47"/>
  <c r="L74" i="47"/>
  <c r="M74" i="47"/>
  <c r="N74" i="47"/>
  <c r="O74" i="47"/>
  <c r="P74" i="47"/>
  <c r="Q74" i="47"/>
  <c r="R74" i="47"/>
  <c r="S74" i="47"/>
  <c r="T74" i="47"/>
  <c r="U74" i="47"/>
  <c r="V74" i="47"/>
  <c r="W74" i="47" s="1"/>
  <c r="K75" i="47"/>
  <c r="L75" i="47"/>
  <c r="M75" i="47"/>
  <c r="N75" i="47"/>
  <c r="O75" i="47"/>
  <c r="P75" i="47"/>
  <c r="Q75" i="47"/>
  <c r="R75" i="47"/>
  <c r="S75" i="47"/>
  <c r="T75" i="47"/>
  <c r="U75" i="47"/>
  <c r="V75" i="47"/>
  <c r="K76" i="47"/>
  <c r="L76" i="47"/>
  <c r="M76" i="47"/>
  <c r="N76" i="47"/>
  <c r="O76" i="47"/>
  <c r="P76" i="47"/>
  <c r="Q76" i="47"/>
  <c r="R76" i="47"/>
  <c r="S76" i="47"/>
  <c r="T76" i="47"/>
  <c r="U76" i="47"/>
  <c r="V76" i="47"/>
  <c r="K77" i="47"/>
  <c r="L77" i="47"/>
  <c r="M77" i="47"/>
  <c r="N77" i="47"/>
  <c r="O77" i="47"/>
  <c r="P77" i="47"/>
  <c r="Q77" i="47"/>
  <c r="R77" i="47"/>
  <c r="S77" i="47"/>
  <c r="T77" i="47"/>
  <c r="U77" i="47"/>
  <c r="V77" i="47"/>
  <c r="K78" i="47"/>
  <c r="L78" i="47"/>
  <c r="M78" i="47"/>
  <c r="N78" i="47"/>
  <c r="O78" i="47"/>
  <c r="P78" i="47"/>
  <c r="Q78" i="47"/>
  <c r="R78" i="47"/>
  <c r="S78" i="47"/>
  <c r="T78" i="47"/>
  <c r="U78" i="47"/>
  <c r="V78" i="47"/>
  <c r="W78" i="47" s="1"/>
  <c r="K79" i="47"/>
  <c r="L79" i="47"/>
  <c r="M79" i="47"/>
  <c r="N79" i="47"/>
  <c r="O79" i="47"/>
  <c r="P79" i="47"/>
  <c r="Q79" i="47"/>
  <c r="R79" i="47"/>
  <c r="S79" i="47"/>
  <c r="T79" i="47"/>
  <c r="U79" i="47"/>
  <c r="V79" i="47"/>
  <c r="W79" i="47" s="1"/>
  <c r="K80" i="47"/>
  <c r="L80" i="47"/>
  <c r="M80" i="47"/>
  <c r="N80" i="47"/>
  <c r="O80" i="47"/>
  <c r="P80" i="47"/>
  <c r="Q80" i="47"/>
  <c r="R80" i="47"/>
  <c r="S80" i="47"/>
  <c r="T80" i="47"/>
  <c r="U80" i="47"/>
  <c r="V80" i="47"/>
  <c r="K81" i="47"/>
  <c r="L81" i="47"/>
  <c r="M81" i="47"/>
  <c r="N81" i="47"/>
  <c r="O81" i="47"/>
  <c r="P81" i="47"/>
  <c r="Q81" i="47"/>
  <c r="R81" i="47"/>
  <c r="S81" i="47"/>
  <c r="T81" i="47"/>
  <c r="U81" i="47"/>
  <c r="V81" i="47"/>
  <c r="K82" i="47"/>
  <c r="L82" i="47"/>
  <c r="M82" i="47"/>
  <c r="N82" i="47"/>
  <c r="O82" i="47"/>
  <c r="P82" i="47"/>
  <c r="Q82" i="47"/>
  <c r="R82" i="47"/>
  <c r="S82" i="47"/>
  <c r="T82" i="47"/>
  <c r="U82" i="47"/>
  <c r="V82" i="47"/>
  <c r="W82" i="47" s="1"/>
  <c r="K83" i="47"/>
  <c r="L83" i="47"/>
  <c r="M83" i="47"/>
  <c r="N83" i="47"/>
  <c r="O83" i="47"/>
  <c r="P83" i="47"/>
  <c r="Q83" i="47"/>
  <c r="R83" i="47"/>
  <c r="S83" i="47"/>
  <c r="T83" i="47"/>
  <c r="U83" i="47"/>
  <c r="V83" i="47"/>
  <c r="X83" i="47" s="1"/>
  <c r="K84" i="47"/>
  <c r="L84" i="47"/>
  <c r="M84" i="47"/>
  <c r="N84" i="47"/>
  <c r="O84" i="47"/>
  <c r="P84" i="47"/>
  <c r="Q84" i="47"/>
  <c r="R84" i="47"/>
  <c r="S84" i="47"/>
  <c r="T84" i="47"/>
  <c r="U84" i="47"/>
  <c r="V84" i="47"/>
  <c r="W84" i="47" s="1"/>
  <c r="K85" i="47"/>
  <c r="L85" i="47"/>
  <c r="M85" i="47"/>
  <c r="N85" i="47"/>
  <c r="O85" i="47"/>
  <c r="P85" i="47"/>
  <c r="Q85" i="47"/>
  <c r="R85" i="47"/>
  <c r="S85" i="47"/>
  <c r="T85" i="47"/>
  <c r="U85" i="47"/>
  <c r="W12" i="47"/>
  <c r="X12" i="47"/>
  <c r="T78" i="52"/>
  <c r="S78" i="52"/>
  <c r="U78" i="52"/>
  <c r="V78" i="52"/>
  <c r="K79" i="52"/>
  <c r="L79" i="52"/>
  <c r="M79" i="52"/>
  <c r="N79" i="52"/>
  <c r="O79" i="52"/>
  <c r="P79" i="52"/>
  <c r="Q79" i="52"/>
  <c r="R79" i="52"/>
  <c r="S79" i="52"/>
  <c r="T79" i="52"/>
  <c r="U79" i="52"/>
  <c r="M75" i="52"/>
  <c r="K74" i="52"/>
  <c r="L74" i="52"/>
  <c r="M74" i="52"/>
  <c r="N74" i="52"/>
  <c r="O74" i="52"/>
  <c r="P74" i="52"/>
  <c r="Q74" i="52"/>
  <c r="R74" i="52"/>
  <c r="S74" i="52"/>
  <c r="T74" i="52"/>
  <c r="U74" i="52"/>
  <c r="V74" i="52"/>
  <c r="K75" i="52"/>
  <c r="L75" i="52"/>
  <c r="V79" i="52"/>
  <c r="N75" i="52"/>
  <c r="O75" i="52"/>
  <c r="P75" i="52"/>
  <c r="Q75" i="52"/>
  <c r="R75" i="52"/>
  <c r="S75" i="52"/>
  <c r="T75" i="52"/>
  <c r="U75" i="52"/>
  <c r="V75" i="52"/>
  <c r="K76" i="52"/>
  <c r="L76" i="52"/>
  <c r="M76" i="52"/>
  <c r="N76" i="52"/>
  <c r="O76" i="52"/>
  <c r="P76" i="52"/>
  <c r="Q76" i="52"/>
  <c r="R76" i="52"/>
  <c r="S76" i="52"/>
  <c r="T76" i="52"/>
  <c r="U76" i="52"/>
  <c r="V76" i="52"/>
  <c r="K77" i="52"/>
  <c r="L77" i="52"/>
  <c r="M77" i="52"/>
  <c r="N77" i="52"/>
  <c r="O77" i="52"/>
  <c r="P77" i="52"/>
  <c r="Q77" i="52"/>
  <c r="R77" i="52"/>
  <c r="S77" i="52"/>
  <c r="T77" i="52"/>
  <c r="U77" i="52"/>
  <c r="V77" i="52"/>
  <c r="K78" i="52"/>
  <c r="L78" i="52"/>
  <c r="M78" i="52"/>
  <c r="N78" i="52"/>
  <c r="O78" i="52"/>
  <c r="P78" i="52"/>
  <c r="Q78" i="52"/>
  <c r="R78" i="52"/>
  <c r="Q80" i="52"/>
  <c r="R80" i="52"/>
  <c r="S80" i="52"/>
  <c r="V80" i="52"/>
  <c r="U80" i="52"/>
  <c r="T80" i="52"/>
  <c r="K80" i="52"/>
  <c r="L80" i="52"/>
  <c r="M80" i="52"/>
  <c r="N80" i="52"/>
  <c r="O80" i="52"/>
  <c r="P80" i="52"/>
  <c r="C25" i="52"/>
  <c r="D25" i="52"/>
  <c r="W25" i="52"/>
  <c r="Y25" i="52"/>
  <c r="X25" i="52"/>
  <c r="C28" i="52"/>
  <c r="C37" i="52"/>
  <c r="C38" i="52"/>
  <c r="C39" i="52"/>
  <c r="AD41" i="52"/>
  <c r="Z41" i="52"/>
  <c r="AA41" i="52"/>
  <c r="AB41" i="52"/>
  <c r="AC41" i="52"/>
  <c r="AE41" i="52"/>
  <c r="C63" i="52"/>
  <c r="C65" i="52"/>
  <c r="C69" i="52"/>
  <c r="C71" i="52"/>
  <c r="AC73" i="52"/>
  <c r="AE73" i="52"/>
  <c r="AD73" i="52"/>
  <c r="W53" i="50"/>
  <c r="W69" i="48"/>
  <c r="W16" i="46"/>
  <c r="W47" i="50"/>
  <c r="W39" i="48"/>
  <c r="W69" i="50"/>
  <c r="W32" i="48"/>
  <c r="W41" i="48"/>
  <c r="Z79" i="35"/>
  <c r="AE31" i="34"/>
  <c r="W15" i="45"/>
  <c r="Y23" i="34"/>
  <c r="AE28" i="34"/>
  <c r="W20" i="46"/>
  <c r="AA38" i="51"/>
  <c r="X38" i="51"/>
  <c r="W38" i="51"/>
  <c r="Y38" i="51"/>
  <c r="Z38" i="51"/>
  <c r="AB38" i="51"/>
  <c r="AE38" i="51"/>
  <c r="AC38" i="51"/>
  <c r="AD38" i="51"/>
  <c r="AC45" i="51"/>
  <c r="X45" i="51"/>
  <c r="AA45" i="51"/>
  <c r="W45" i="51"/>
  <c r="AD45" i="51"/>
  <c r="AB45" i="51"/>
  <c r="AE45" i="51"/>
  <c r="Z45" i="51"/>
  <c r="Y45" i="51"/>
  <c r="X47" i="51"/>
  <c r="Y47" i="51"/>
  <c r="W47" i="51"/>
  <c r="W63" i="51"/>
  <c r="Y63" i="51"/>
  <c r="X74" i="51"/>
  <c r="W74" i="51"/>
  <c r="T10" i="50"/>
  <c r="V10" i="50"/>
  <c r="O10" i="50"/>
  <c r="P10" i="50"/>
  <c r="Q10" i="50"/>
  <c r="K10" i="50"/>
  <c r="L10" i="50"/>
  <c r="M10" i="50"/>
  <c r="U10" i="50"/>
  <c r="R10" i="50"/>
  <c r="S10" i="50"/>
  <c r="N10" i="50"/>
  <c r="Y29" i="50"/>
  <c r="W29" i="50"/>
  <c r="X43" i="50"/>
  <c r="Y43" i="50"/>
  <c r="W43" i="50"/>
  <c r="W19" i="49"/>
  <c r="X19" i="49"/>
  <c r="Y19" i="49"/>
  <c r="W47" i="49"/>
  <c r="Y47" i="49"/>
  <c r="X47" i="49"/>
  <c r="W50" i="49"/>
  <c r="X50" i="49"/>
  <c r="Y50" i="49"/>
  <c r="W60" i="49"/>
  <c r="Y60" i="49"/>
  <c r="O10" i="48"/>
  <c r="M10" i="48"/>
  <c r="L10" i="48"/>
  <c r="K10" i="48"/>
  <c r="N10" i="48"/>
  <c r="P10" i="48"/>
  <c r="W13" i="48"/>
  <c r="X13" i="48"/>
  <c r="Y31" i="48"/>
  <c r="X31" i="48"/>
  <c r="W61" i="48"/>
  <c r="X61" i="48"/>
  <c r="Y61" i="48"/>
  <c r="Z61" i="48"/>
  <c r="W75" i="48"/>
  <c r="Y75" i="48"/>
  <c r="X75" i="48"/>
  <c r="Y84" i="48"/>
  <c r="X84" i="48"/>
  <c r="P10" i="47"/>
  <c r="O10" i="47"/>
  <c r="N10" i="47"/>
  <c r="W24" i="47"/>
  <c r="X24" i="47"/>
  <c r="W40" i="47"/>
  <c r="X40" i="47"/>
  <c r="W17" i="46"/>
  <c r="X17" i="46"/>
  <c r="AE18" i="46"/>
  <c r="AD18" i="46"/>
  <c r="Y20" i="46"/>
  <c r="X20" i="46"/>
  <c r="Q18" i="45"/>
  <c r="R18" i="45"/>
  <c r="S18" i="45"/>
  <c r="T18" i="45"/>
  <c r="U18" i="45"/>
  <c r="V18" i="45"/>
  <c r="K19" i="45"/>
  <c r="L19" i="45"/>
  <c r="M19" i="45"/>
  <c r="N19" i="45"/>
  <c r="O19" i="45"/>
  <c r="P19" i="45"/>
  <c r="Q19" i="45"/>
  <c r="R19" i="45"/>
  <c r="S19" i="45"/>
  <c r="T19" i="45"/>
  <c r="U19" i="45"/>
  <c r="V19" i="45"/>
  <c r="K20" i="45"/>
  <c r="L20" i="45"/>
  <c r="M20" i="45"/>
  <c r="N20" i="45"/>
  <c r="O20" i="45"/>
  <c r="P20" i="45"/>
  <c r="Q20" i="45"/>
  <c r="R20" i="45"/>
  <c r="S20" i="45"/>
  <c r="T20" i="45"/>
  <c r="U20" i="45"/>
  <c r="V20" i="45"/>
  <c r="K21" i="45"/>
  <c r="L21" i="45"/>
  <c r="M21" i="45"/>
  <c r="N21" i="45"/>
  <c r="O21" i="45"/>
  <c r="P21" i="45"/>
  <c r="Q21" i="45"/>
  <c r="R21" i="45"/>
  <c r="S21" i="45"/>
  <c r="T21" i="45"/>
  <c r="U21" i="45"/>
  <c r="V21" i="45"/>
  <c r="K22" i="45"/>
  <c r="L22" i="45"/>
  <c r="M22" i="45"/>
  <c r="N22" i="45"/>
  <c r="O22" i="45"/>
  <c r="P22" i="45"/>
  <c r="Q22" i="45"/>
  <c r="R22" i="45"/>
  <c r="S22" i="45"/>
  <c r="T22" i="45"/>
  <c r="U22" i="45"/>
  <c r="V22" i="45"/>
  <c r="K23" i="45"/>
  <c r="L23" i="45"/>
  <c r="M23" i="45"/>
  <c r="N23" i="45"/>
  <c r="O23" i="45"/>
  <c r="P23" i="45"/>
  <c r="Q23" i="45"/>
  <c r="R23" i="45"/>
  <c r="T23" i="45"/>
  <c r="U23" i="45"/>
  <c r="V23" i="45"/>
  <c r="K24" i="45"/>
  <c r="L24" i="45"/>
  <c r="M24" i="45"/>
  <c r="N24" i="45"/>
  <c r="O24" i="45"/>
  <c r="P24" i="45"/>
  <c r="Q24" i="45"/>
  <c r="R24" i="45"/>
  <c r="S24" i="45"/>
  <c r="T24" i="45"/>
  <c r="U24" i="45"/>
  <c r="V24" i="45"/>
  <c r="W24" i="45" s="1"/>
  <c r="K25" i="45"/>
  <c r="L25" i="45"/>
  <c r="M25" i="45"/>
  <c r="N25" i="45"/>
  <c r="O25" i="45"/>
  <c r="P25" i="45"/>
  <c r="Q25" i="45"/>
  <c r="R25" i="45"/>
  <c r="S25" i="45"/>
  <c r="T25" i="45"/>
  <c r="U25" i="45"/>
  <c r="V25" i="45"/>
  <c r="K26" i="45"/>
  <c r="L26" i="45"/>
  <c r="M26" i="45"/>
  <c r="N26" i="45"/>
  <c r="O26" i="45"/>
  <c r="P26" i="45"/>
  <c r="Q26" i="45"/>
  <c r="R26" i="45"/>
  <c r="S26" i="45"/>
  <c r="T26" i="45"/>
  <c r="U26" i="45"/>
  <c r="V26" i="45"/>
  <c r="K27" i="45"/>
  <c r="L27" i="45"/>
  <c r="M27" i="45"/>
  <c r="N27" i="45"/>
  <c r="O27" i="45"/>
  <c r="P27" i="45"/>
  <c r="Q27" i="45"/>
  <c r="R27" i="45"/>
  <c r="S27" i="45"/>
  <c r="T27" i="45"/>
  <c r="U27" i="45"/>
  <c r="V27" i="45"/>
  <c r="X27" i="45" s="1"/>
  <c r="K28" i="45"/>
  <c r="L28" i="45"/>
  <c r="M28" i="45"/>
  <c r="N28" i="45"/>
  <c r="O28" i="45"/>
  <c r="P28" i="45"/>
  <c r="Q28" i="45"/>
  <c r="R28" i="45"/>
  <c r="S28" i="45"/>
  <c r="T28" i="45"/>
  <c r="U28" i="45"/>
  <c r="V28" i="45"/>
  <c r="K29" i="45"/>
  <c r="L29" i="45"/>
  <c r="M29" i="45"/>
  <c r="N29" i="45"/>
  <c r="O29" i="45"/>
  <c r="P29" i="45"/>
  <c r="Q29" i="45"/>
  <c r="R29" i="45"/>
  <c r="S29" i="45"/>
  <c r="T29" i="45"/>
  <c r="U29" i="45"/>
  <c r="V29" i="45"/>
  <c r="K30" i="45"/>
  <c r="L30" i="45"/>
  <c r="M30" i="45"/>
  <c r="N30" i="45"/>
  <c r="O30" i="45"/>
  <c r="P30" i="45"/>
  <c r="Q30" i="45"/>
  <c r="R30" i="45"/>
  <c r="S30" i="45"/>
  <c r="T30" i="45"/>
  <c r="U30" i="45"/>
  <c r="V30" i="45"/>
  <c r="K31" i="45"/>
  <c r="L31" i="45"/>
  <c r="M31" i="45"/>
  <c r="N31" i="45"/>
  <c r="O31" i="45"/>
  <c r="P31" i="45"/>
  <c r="Q31" i="45"/>
  <c r="R31" i="45"/>
  <c r="S31" i="45"/>
  <c r="K18" i="45"/>
  <c r="L18" i="45"/>
  <c r="M18" i="45"/>
  <c r="N18" i="45"/>
  <c r="O18" i="45"/>
  <c r="P18" i="45"/>
  <c r="S23" i="45"/>
  <c r="AC12" i="45"/>
  <c r="AA12" i="45"/>
  <c r="AB17" i="45"/>
  <c r="AA17" i="45"/>
  <c r="Z17" i="45"/>
  <c r="AE17" i="45"/>
  <c r="AD17" i="45"/>
  <c r="AC17" i="45"/>
  <c r="W15" i="37"/>
  <c r="X15" i="37"/>
  <c r="Z23" i="34"/>
  <c r="AA23" i="34"/>
  <c r="AB23" i="34"/>
  <c r="AC23" i="34"/>
  <c r="AD23" i="34"/>
  <c r="AE23" i="34"/>
  <c r="AI5" i="51"/>
  <c r="Z39" i="51"/>
  <c r="AA39" i="51"/>
  <c r="AB39" i="51"/>
  <c r="AC39" i="51"/>
  <c r="AD39" i="51"/>
  <c r="AE39" i="51"/>
  <c r="W39" i="51"/>
  <c r="X39" i="51"/>
  <c r="Y39" i="51"/>
  <c r="AA69" i="51"/>
  <c r="AB69" i="51"/>
  <c r="AC69" i="51"/>
  <c r="AD69" i="51"/>
  <c r="Y69" i="51"/>
  <c r="Z69" i="51"/>
  <c r="X69" i="51"/>
  <c r="AE69" i="51"/>
  <c r="W44" i="47"/>
  <c r="W67" i="48"/>
  <c r="K10" i="46"/>
  <c r="W28" i="47"/>
  <c r="W23" i="44"/>
  <c r="W26" i="44"/>
  <c r="W39" i="50"/>
  <c r="X39" i="50"/>
  <c r="AD41" i="50"/>
  <c r="AB41" i="50"/>
  <c r="X41" i="50"/>
  <c r="AC41" i="50"/>
  <c r="Y41" i="50"/>
  <c r="AA41" i="50"/>
  <c r="Z41" i="50"/>
  <c r="AE41" i="50"/>
  <c r="W41" i="50"/>
  <c r="Y51" i="50"/>
  <c r="X51" i="50"/>
  <c r="W51" i="50"/>
  <c r="X55" i="50"/>
  <c r="Y55" i="50"/>
  <c r="Z55" i="50"/>
  <c r="W55" i="50"/>
  <c r="W59" i="50"/>
  <c r="Z59" i="50"/>
  <c r="X59" i="50"/>
  <c r="Y59" i="50"/>
  <c r="Y61" i="50"/>
  <c r="AA61" i="50"/>
  <c r="Z61" i="50"/>
  <c r="X61" i="50"/>
  <c r="W61" i="50"/>
  <c r="AC61" i="50"/>
  <c r="AA64" i="50"/>
  <c r="X64" i="50"/>
  <c r="AB64" i="50"/>
  <c r="Y64" i="50"/>
  <c r="AC64" i="50"/>
  <c r="W64" i="50"/>
  <c r="Z64" i="50"/>
  <c r="W70" i="50"/>
  <c r="X70" i="50"/>
  <c r="Y70" i="50"/>
  <c r="X71" i="50"/>
  <c r="AA71" i="50"/>
  <c r="Y71" i="50"/>
  <c r="W71" i="50"/>
  <c r="Z71" i="50"/>
  <c r="Y73" i="50"/>
  <c r="W73" i="50"/>
  <c r="Z73" i="50"/>
  <c r="X73" i="50"/>
  <c r="W74" i="50"/>
  <c r="Y74" i="50"/>
  <c r="X74" i="50"/>
  <c r="Y77" i="50"/>
  <c r="AA77" i="50"/>
  <c r="W77" i="50"/>
  <c r="AC77" i="50"/>
  <c r="Z77" i="50"/>
  <c r="X77" i="50"/>
  <c r="AB77" i="50"/>
  <c r="AA79" i="50"/>
  <c r="W79" i="50"/>
  <c r="Z79" i="50"/>
  <c r="Y79" i="50"/>
  <c r="AC79" i="50"/>
  <c r="X79" i="50"/>
  <c r="AB79" i="50"/>
  <c r="X80" i="50"/>
  <c r="Y80" i="50"/>
  <c r="Z80" i="50"/>
  <c r="W80" i="50"/>
  <c r="Y82" i="50"/>
  <c r="W82" i="50"/>
  <c r="X82" i="50"/>
  <c r="X84" i="50"/>
  <c r="W84" i="50"/>
  <c r="Y84" i="50"/>
  <c r="Z84" i="50"/>
  <c r="P10" i="49"/>
  <c r="M10" i="49"/>
  <c r="O10" i="49"/>
  <c r="L10" i="49"/>
  <c r="K10" i="49"/>
  <c r="N10" i="49"/>
  <c r="X16" i="49"/>
  <c r="AA16" i="49"/>
  <c r="W16" i="49"/>
  <c r="Y16" i="49"/>
  <c r="W18" i="48"/>
  <c r="X18" i="48"/>
  <c r="AD28" i="47"/>
  <c r="AC28" i="47"/>
  <c r="Z28" i="47"/>
  <c r="AB28" i="47"/>
  <c r="AA28" i="47"/>
  <c r="Y28" i="47"/>
  <c r="AE28" i="47"/>
  <c r="X28" i="47"/>
  <c r="O10" i="46"/>
  <c r="M10" i="46"/>
  <c r="N10" i="46"/>
  <c r="P10" i="46"/>
  <c r="S10" i="46"/>
  <c r="T10" i="46"/>
  <c r="R10" i="46"/>
  <c r="Q10" i="46"/>
  <c r="P83" i="45"/>
  <c r="Q83" i="45"/>
  <c r="R83" i="45"/>
  <c r="S83" i="45"/>
  <c r="T83" i="45"/>
  <c r="U83" i="45"/>
  <c r="V83" i="45"/>
  <c r="K84" i="45"/>
  <c r="L84" i="45"/>
  <c r="M84" i="45"/>
  <c r="N84" i="45"/>
  <c r="O84" i="45"/>
  <c r="P84" i="45"/>
  <c r="Q84" i="45"/>
  <c r="R84" i="45"/>
  <c r="S84" i="45"/>
  <c r="T84" i="45"/>
  <c r="U84" i="45"/>
  <c r="V84" i="45"/>
  <c r="K85" i="45"/>
  <c r="L85" i="45"/>
  <c r="M85" i="45"/>
  <c r="N85" i="45"/>
  <c r="T31" i="45"/>
  <c r="U31" i="45"/>
  <c r="V31" i="45"/>
  <c r="O85" i="45"/>
  <c r="P85" i="45"/>
  <c r="Q85" i="45"/>
  <c r="R85" i="45"/>
  <c r="S85" i="45"/>
  <c r="T85" i="45"/>
  <c r="U85" i="45"/>
  <c r="V85" i="45"/>
  <c r="W85" i="45" s="1"/>
  <c r="K32" i="45"/>
  <c r="M38" i="45"/>
  <c r="N38" i="45"/>
  <c r="O38" i="45"/>
  <c r="P38" i="45"/>
  <c r="Q38" i="45"/>
  <c r="R38" i="45"/>
  <c r="S38" i="45"/>
  <c r="T38" i="45"/>
  <c r="U38" i="45"/>
  <c r="V38" i="45"/>
  <c r="K39" i="45"/>
  <c r="L39" i="45"/>
  <c r="M39" i="45"/>
  <c r="N39" i="45"/>
  <c r="O39" i="45"/>
  <c r="P39" i="45"/>
  <c r="Q39" i="45"/>
  <c r="R39" i="45"/>
  <c r="S39" i="45"/>
  <c r="T39" i="45"/>
  <c r="U39" i="45"/>
  <c r="V39" i="45"/>
  <c r="K40" i="45"/>
  <c r="L40" i="45"/>
  <c r="M40" i="45"/>
  <c r="N40" i="45"/>
  <c r="O40" i="45"/>
  <c r="P40" i="45"/>
  <c r="Q40" i="45"/>
  <c r="R40" i="45"/>
  <c r="S40" i="45"/>
  <c r="T40" i="45"/>
  <c r="U40" i="45"/>
  <c r="V40" i="45"/>
  <c r="W40" i="45" s="1"/>
  <c r="K41" i="45"/>
  <c r="L41" i="45"/>
  <c r="M41" i="45"/>
  <c r="N41" i="45"/>
  <c r="O41" i="45"/>
  <c r="P41" i="45"/>
  <c r="Q41" i="45"/>
  <c r="R41" i="45"/>
  <c r="S41" i="45"/>
  <c r="T41" i="45"/>
  <c r="U41" i="45"/>
  <c r="V41" i="45"/>
  <c r="K42" i="45"/>
  <c r="L42" i="45"/>
  <c r="M42" i="45"/>
  <c r="N42" i="45"/>
  <c r="O42" i="45"/>
  <c r="P42" i="45"/>
  <c r="Q42" i="45"/>
  <c r="R42" i="45"/>
  <c r="S42" i="45"/>
  <c r="T42" i="45"/>
  <c r="U42" i="45"/>
  <c r="V42" i="45"/>
  <c r="U44" i="45"/>
  <c r="V44" i="45"/>
  <c r="K45" i="45"/>
  <c r="L45" i="45"/>
  <c r="M45" i="45"/>
  <c r="N45" i="45"/>
  <c r="O45" i="45"/>
  <c r="P45" i="45"/>
  <c r="Q45" i="45"/>
  <c r="R45" i="45"/>
  <c r="S45" i="45"/>
  <c r="T45" i="45"/>
  <c r="U45" i="45"/>
  <c r="V45" i="45"/>
  <c r="K46" i="45"/>
  <c r="L46" i="45"/>
  <c r="M46" i="45"/>
  <c r="N46" i="45"/>
  <c r="O46" i="45"/>
  <c r="P46" i="45"/>
  <c r="Q46" i="45"/>
  <c r="R46" i="45"/>
  <c r="S46" i="45"/>
  <c r="T46" i="45"/>
  <c r="U46" i="45"/>
  <c r="V46" i="45"/>
  <c r="W46" i="45" s="1"/>
  <c r="K47" i="45"/>
  <c r="L47" i="45"/>
  <c r="M47" i="45"/>
  <c r="N47" i="45"/>
  <c r="O47" i="45"/>
  <c r="P47" i="45"/>
  <c r="Q47" i="45"/>
  <c r="R47" i="45"/>
  <c r="S47" i="45"/>
  <c r="T47" i="45"/>
  <c r="U47" i="45"/>
  <c r="V47" i="45"/>
  <c r="K48" i="45"/>
  <c r="L48" i="45"/>
  <c r="M48" i="45"/>
  <c r="N48" i="45"/>
  <c r="O48" i="45"/>
  <c r="P48" i="45"/>
  <c r="Q48" i="45"/>
  <c r="R48" i="45"/>
  <c r="S48" i="45"/>
  <c r="T48" i="45"/>
  <c r="U48" i="45"/>
  <c r="V48" i="45"/>
  <c r="W48" i="45" s="1"/>
  <c r="K49" i="45"/>
  <c r="L49" i="45"/>
  <c r="M49" i="45"/>
  <c r="N49" i="45"/>
  <c r="O49" i="45"/>
  <c r="P49" i="45"/>
  <c r="Q49" i="45"/>
  <c r="R49" i="45"/>
  <c r="S49" i="45"/>
  <c r="T49" i="45"/>
  <c r="U49" i="45"/>
  <c r="V49" i="45"/>
  <c r="K50" i="45"/>
  <c r="L50" i="45"/>
  <c r="M50" i="45"/>
  <c r="N50" i="45"/>
  <c r="O50" i="45"/>
  <c r="P50" i="45"/>
  <c r="Q50" i="45"/>
  <c r="R50" i="45"/>
  <c r="S50" i="45"/>
  <c r="T50" i="45"/>
  <c r="U50" i="45"/>
  <c r="V50" i="45"/>
  <c r="W50" i="45" s="1"/>
  <c r="K51" i="45"/>
  <c r="L51" i="45"/>
  <c r="M51" i="45"/>
  <c r="N51" i="45"/>
  <c r="O51" i="45"/>
  <c r="P51" i="45"/>
  <c r="Q51" i="45"/>
  <c r="R51" i="45"/>
  <c r="S51" i="45"/>
  <c r="T51" i="45"/>
  <c r="U51" i="45"/>
  <c r="V51" i="45"/>
  <c r="K52" i="45"/>
  <c r="L52" i="45"/>
  <c r="M52" i="45"/>
  <c r="N52" i="45"/>
  <c r="O52" i="45"/>
  <c r="P52" i="45"/>
  <c r="Q52" i="45"/>
  <c r="R52" i="45"/>
  <c r="S52" i="45"/>
  <c r="T52" i="45"/>
  <c r="U52" i="45"/>
  <c r="V52" i="45"/>
  <c r="K53" i="45"/>
  <c r="L53" i="45"/>
  <c r="M53" i="45"/>
  <c r="N53" i="45"/>
  <c r="O53" i="45"/>
  <c r="P53" i="45"/>
  <c r="Q53" i="45"/>
  <c r="R53" i="45"/>
  <c r="S53" i="45"/>
  <c r="T53" i="45"/>
  <c r="U53" i="45"/>
  <c r="V53" i="45"/>
  <c r="W53" i="45" s="1"/>
  <c r="K54" i="45"/>
  <c r="AE54" i="45" s="1"/>
  <c r="L54" i="45"/>
  <c r="M54" i="45"/>
  <c r="N54" i="45"/>
  <c r="O54" i="45"/>
  <c r="P54" i="45"/>
  <c r="Q54" i="45"/>
  <c r="R54" i="45"/>
  <c r="S54" i="45"/>
  <c r="T54" i="45"/>
  <c r="U54" i="45"/>
  <c r="V54" i="45"/>
  <c r="K56" i="45"/>
  <c r="L56" i="45"/>
  <c r="M56" i="45"/>
  <c r="N56" i="45"/>
  <c r="O56" i="45"/>
  <c r="P56" i="45"/>
  <c r="Q56" i="45"/>
  <c r="R56" i="45"/>
  <c r="S56" i="45"/>
  <c r="T56" i="45"/>
  <c r="U56" i="45"/>
  <c r="V56" i="45"/>
  <c r="K57" i="45"/>
  <c r="L57" i="45"/>
  <c r="M57" i="45"/>
  <c r="N57" i="45"/>
  <c r="O57" i="45"/>
  <c r="P57" i="45"/>
  <c r="Q57" i="45"/>
  <c r="R57" i="45"/>
  <c r="S57" i="45"/>
  <c r="T57" i="45"/>
  <c r="U57" i="45"/>
  <c r="V57" i="45"/>
  <c r="W57" i="45" s="1"/>
  <c r="K58" i="45"/>
  <c r="L58" i="45"/>
  <c r="M58" i="45"/>
  <c r="N58" i="45"/>
  <c r="O58" i="45"/>
  <c r="P58" i="45"/>
  <c r="Q58" i="45"/>
  <c r="R58" i="45"/>
  <c r="S58" i="45"/>
  <c r="T58" i="45"/>
  <c r="U58" i="45"/>
  <c r="V58" i="45"/>
  <c r="W58" i="45" s="1"/>
  <c r="K59" i="45"/>
  <c r="L59" i="45"/>
  <c r="M59" i="45"/>
  <c r="N59" i="45"/>
  <c r="O59" i="45"/>
  <c r="P59" i="45"/>
  <c r="Q59" i="45"/>
  <c r="R59" i="45"/>
  <c r="S59" i="45"/>
  <c r="T59" i="45"/>
  <c r="U59" i="45"/>
  <c r="V59" i="45"/>
  <c r="W59" i="45" s="1"/>
  <c r="K60" i="45"/>
  <c r="L60" i="45"/>
  <c r="M60" i="45"/>
  <c r="N60" i="45"/>
  <c r="O60" i="45"/>
  <c r="P60" i="45"/>
  <c r="Q60" i="45"/>
  <c r="R60" i="45"/>
  <c r="S60" i="45"/>
  <c r="T60" i="45"/>
  <c r="U60" i="45"/>
  <c r="V60" i="45"/>
  <c r="W60" i="45" s="1"/>
  <c r="K61" i="45"/>
  <c r="L61" i="45"/>
  <c r="M61" i="45"/>
  <c r="N61" i="45"/>
  <c r="O61" i="45"/>
  <c r="P61" i="45"/>
  <c r="Q61" i="45"/>
  <c r="R61" i="45"/>
  <c r="S61" i="45"/>
  <c r="T61" i="45"/>
  <c r="U61" i="45"/>
  <c r="V61" i="45"/>
  <c r="K62" i="45"/>
  <c r="L62" i="45"/>
  <c r="M62" i="45"/>
  <c r="N62" i="45"/>
  <c r="O62" i="45"/>
  <c r="P62" i="45"/>
  <c r="Q62" i="45"/>
  <c r="R62" i="45"/>
  <c r="S62" i="45"/>
  <c r="T62" i="45"/>
  <c r="U62" i="45"/>
  <c r="V62" i="45"/>
  <c r="K63" i="45"/>
  <c r="L63" i="45"/>
  <c r="M63" i="45"/>
  <c r="N63" i="45"/>
  <c r="O63" i="45"/>
  <c r="P63" i="45"/>
  <c r="Q63" i="45"/>
  <c r="R63" i="45"/>
  <c r="S63" i="45"/>
  <c r="T63" i="45"/>
  <c r="U63" i="45"/>
  <c r="V63" i="45"/>
  <c r="K64" i="45"/>
  <c r="L64" i="45"/>
  <c r="M64" i="45"/>
  <c r="N64" i="45"/>
  <c r="O64" i="45"/>
  <c r="P64" i="45"/>
  <c r="Q64" i="45"/>
  <c r="R64" i="45"/>
  <c r="S64" i="45"/>
  <c r="T64" i="45"/>
  <c r="U64" i="45"/>
  <c r="V64" i="45"/>
  <c r="W64" i="45" s="1"/>
  <c r="K65" i="45"/>
  <c r="L65" i="45"/>
  <c r="M65" i="45"/>
  <c r="N65" i="45"/>
  <c r="O65" i="45"/>
  <c r="P65" i="45"/>
  <c r="Q65" i="45"/>
  <c r="R65" i="45"/>
  <c r="S65" i="45"/>
  <c r="T65" i="45"/>
  <c r="U65" i="45"/>
  <c r="V65" i="45"/>
  <c r="K66" i="45"/>
  <c r="L66" i="45"/>
  <c r="M66" i="45"/>
  <c r="N66" i="45"/>
  <c r="O66" i="45"/>
  <c r="P66" i="45"/>
  <c r="Q66" i="45"/>
  <c r="R66" i="45"/>
  <c r="S66" i="45"/>
  <c r="T66" i="45"/>
  <c r="U66" i="45"/>
  <c r="V66" i="45"/>
  <c r="W66" i="45" s="1"/>
  <c r="K67" i="45"/>
  <c r="L67" i="45"/>
  <c r="M67" i="45"/>
  <c r="N67" i="45"/>
  <c r="O67" i="45"/>
  <c r="P67" i="45"/>
  <c r="Q67" i="45"/>
  <c r="R67" i="45"/>
  <c r="S67" i="45"/>
  <c r="T67" i="45"/>
  <c r="U67" i="45"/>
  <c r="V67" i="45"/>
  <c r="K68" i="45"/>
  <c r="L68" i="45"/>
  <c r="M68" i="45"/>
  <c r="N68" i="45"/>
  <c r="O68" i="45"/>
  <c r="P68" i="45"/>
  <c r="Q68" i="45"/>
  <c r="R68" i="45"/>
  <c r="S68" i="45"/>
  <c r="T68" i="45"/>
  <c r="U68" i="45"/>
  <c r="V68" i="45"/>
  <c r="K69" i="45"/>
  <c r="L69" i="45"/>
  <c r="M69" i="45"/>
  <c r="N69" i="45"/>
  <c r="O69" i="45"/>
  <c r="P69" i="45"/>
  <c r="Q69" i="45"/>
  <c r="R69" i="45"/>
  <c r="S69" i="45"/>
  <c r="T69" i="45"/>
  <c r="U69" i="45"/>
  <c r="V69" i="45"/>
  <c r="K70" i="45"/>
  <c r="L70" i="45"/>
  <c r="M70" i="45"/>
  <c r="N70" i="45"/>
  <c r="O70" i="45"/>
  <c r="P70" i="45"/>
  <c r="Q70" i="45"/>
  <c r="R70" i="45"/>
  <c r="S70" i="45"/>
  <c r="T70" i="45"/>
  <c r="U70" i="45"/>
  <c r="V70" i="45"/>
  <c r="K71" i="45"/>
  <c r="L71" i="45"/>
  <c r="M71" i="45"/>
  <c r="N71" i="45"/>
  <c r="O71" i="45"/>
  <c r="P71" i="45"/>
  <c r="Q71" i="45"/>
  <c r="R71" i="45"/>
  <c r="S71" i="45"/>
  <c r="T71" i="45"/>
  <c r="U71" i="45"/>
  <c r="V71" i="45"/>
  <c r="K72" i="45"/>
  <c r="L72" i="45"/>
  <c r="M72" i="45"/>
  <c r="N72" i="45"/>
  <c r="O72" i="45"/>
  <c r="P72" i="45"/>
  <c r="Q72" i="45"/>
  <c r="R72" i="45"/>
  <c r="S72" i="45"/>
  <c r="T72" i="45"/>
  <c r="U72" i="45"/>
  <c r="V72" i="45"/>
  <c r="K73" i="45"/>
  <c r="L73" i="45"/>
  <c r="M73" i="45"/>
  <c r="N73" i="45"/>
  <c r="O73" i="45"/>
  <c r="P73" i="45"/>
  <c r="Q73" i="45"/>
  <c r="R73" i="45"/>
  <c r="S73" i="45"/>
  <c r="T73" i="45"/>
  <c r="U73" i="45"/>
  <c r="V73" i="45"/>
  <c r="K74" i="45"/>
  <c r="L74" i="45"/>
  <c r="K75" i="45"/>
  <c r="L75" i="45"/>
  <c r="M75" i="45"/>
  <c r="N75" i="45"/>
  <c r="O75" i="45"/>
  <c r="P75" i="45"/>
  <c r="Q75" i="45"/>
  <c r="R75" i="45"/>
  <c r="S75" i="45"/>
  <c r="T75" i="45"/>
  <c r="U75" i="45"/>
  <c r="V75" i="45"/>
  <c r="K76" i="45"/>
  <c r="L76" i="45"/>
  <c r="M76" i="45"/>
  <c r="N76" i="45"/>
  <c r="O76" i="45"/>
  <c r="P76" i="45"/>
  <c r="Q76" i="45"/>
  <c r="R76" i="45"/>
  <c r="S76" i="45"/>
  <c r="T76" i="45"/>
  <c r="U76" i="45"/>
  <c r="V76" i="45"/>
  <c r="K77" i="45"/>
  <c r="L77" i="45"/>
  <c r="M77" i="45"/>
  <c r="N77" i="45"/>
  <c r="O77" i="45"/>
  <c r="P77" i="45"/>
  <c r="Q77" i="45"/>
  <c r="R77" i="45"/>
  <c r="S77" i="45"/>
  <c r="T77" i="45"/>
  <c r="U77" i="45"/>
  <c r="V77" i="45"/>
  <c r="K78" i="45"/>
  <c r="L78" i="45"/>
  <c r="M78" i="45"/>
  <c r="N78" i="45"/>
  <c r="O78" i="45"/>
  <c r="P78" i="45"/>
  <c r="Q78" i="45"/>
  <c r="R78" i="45"/>
  <c r="S78" i="45"/>
  <c r="T78" i="45"/>
  <c r="U78" i="45"/>
  <c r="V78" i="45"/>
  <c r="W78" i="45" s="1"/>
  <c r="K79" i="45"/>
  <c r="L79" i="45"/>
  <c r="M79" i="45"/>
  <c r="N79" i="45"/>
  <c r="O79" i="45"/>
  <c r="P79" i="45"/>
  <c r="Q79" i="45"/>
  <c r="R79" i="45"/>
  <c r="S79" i="45"/>
  <c r="T79" i="45"/>
  <c r="U79" i="45"/>
  <c r="V79" i="45"/>
  <c r="K80" i="45"/>
  <c r="L80" i="45"/>
  <c r="M80" i="45"/>
  <c r="N80" i="45"/>
  <c r="O80" i="45"/>
  <c r="P80" i="45"/>
  <c r="Q80" i="45"/>
  <c r="R80" i="45"/>
  <c r="S80" i="45"/>
  <c r="T80" i="45"/>
  <c r="U80" i="45"/>
  <c r="V80" i="45"/>
  <c r="W80" i="45" s="1"/>
  <c r="K81" i="45"/>
  <c r="L81" i="45"/>
  <c r="M81" i="45"/>
  <c r="N81" i="45"/>
  <c r="O81" i="45"/>
  <c r="P81" i="45"/>
  <c r="Q81" i="45"/>
  <c r="R81" i="45"/>
  <c r="S81" i="45"/>
  <c r="T81" i="45"/>
  <c r="U81" i="45"/>
  <c r="V81" i="45"/>
  <c r="K82" i="45"/>
  <c r="L82" i="45"/>
  <c r="M82" i="45"/>
  <c r="N82" i="45"/>
  <c r="O82" i="45"/>
  <c r="P82" i="45"/>
  <c r="Q82" i="45"/>
  <c r="R82" i="45"/>
  <c r="S82" i="45"/>
  <c r="T82" i="45"/>
  <c r="U82" i="45"/>
  <c r="V82" i="45"/>
  <c r="K83" i="45"/>
  <c r="L83" i="45"/>
  <c r="M83" i="45"/>
  <c r="N83" i="45"/>
  <c r="O83" i="45"/>
  <c r="X12" i="45"/>
  <c r="W12" i="45"/>
  <c r="Z12" i="45"/>
  <c r="Y12" i="45"/>
  <c r="X14" i="45"/>
  <c r="Y14" i="45"/>
  <c r="Y24" i="42"/>
  <c r="Z24" i="42"/>
  <c r="AA24" i="42"/>
  <c r="AB24" i="42"/>
  <c r="AC24" i="42"/>
  <c r="W47" i="42"/>
  <c r="X47" i="42"/>
  <c r="Y47" i="42"/>
  <c r="U10" i="41"/>
  <c r="N11" i="41"/>
  <c r="M11" i="41"/>
  <c r="L11" i="41"/>
  <c r="K11" i="41"/>
  <c r="V10" i="41"/>
  <c r="Q10" i="41"/>
  <c r="R10" i="41"/>
  <c r="S10" i="41"/>
  <c r="T10" i="41"/>
  <c r="O11" i="41"/>
  <c r="P11" i="41"/>
  <c r="Q11" i="41"/>
  <c r="R11" i="41"/>
  <c r="S11" i="41"/>
  <c r="AB28" i="39"/>
  <c r="AD28" i="39"/>
  <c r="X17" i="36"/>
  <c r="Y17" i="36"/>
  <c r="AA79" i="36"/>
  <c r="AB79" i="36"/>
  <c r="Y22" i="35"/>
  <c r="Z22" i="35"/>
  <c r="Z71" i="35"/>
  <c r="AC71" i="35"/>
  <c r="AB71" i="35"/>
  <c r="X71" i="35"/>
  <c r="AA71" i="35"/>
  <c r="C11" i="50"/>
  <c r="D11" i="50"/>
  <c r="E11" i="50"/>
  <c r="C14" i="50"/>
  <c r="D14" i="50"/>
  <c r="E14" i="50"/>
  <c r="C20" i="50"/>
  <c r="D20" i="50"/>
  <c r="Y12" i="46"/>
  <c r="W15" i="35"/>
  <c r="W35" i="48"/>
  <c r="Y11" i="49"/>
  <c r="X11" i="49"/>
  <c r="Z11" i="49"/>
  <c r="AD11" i="49"/>
  <c r="W11" i="49"/>
  <c r="AC11" i="49"/>
  <c r="AA11" i="49"/>
  <c r="AB11" i="49"/>
  <c r="AE11" i="49"/>
  <c r="AB15" i="49"/>
  <c r="W15" i="49"/>
  <c r="X15" i="49"/>
  <c r="AE15" i="49"/>
  <c r="Z15" i="49"/>
  <c r="AC15" i="49"/>
  <c r="Y15" i="49"/>
  <c r="AA15" i="49"/>
  <c r="AD15" i="49"/>
  <c r="AD39" i="47"/>
  <c r="Z39" i="47"/>
  <c r="AE39" i="47"/>
  <c r="AB39" i="47"/>
  <c r="Y39" i="47"/>
  <c r="W39" i="47"/>
  <c r="X39" i="47"/>
  <c r="AA39" i="47"/>
  <c r="AC39" i="47"/>
  <c r="AC12" i="46"/>
  <c r="Z12" i="46"/>
  <c r="AD12" i="46"/>
  <c r="AA12" i="46"/>
  <c r="AE12" i="46"/>
  <c r="AB12" i="46"/>
  <c r="W14" i="46"/>
  <c r="X14" i="46"/>
  <c r="Y14" i="46"/>
  <c r="AA18" i="46"/>
  <c r="Z18" i="46"/>
  <c r="U85" i="44"/>
  <c r="V85" i="44"/>
  <c r="K57" i="44"/>
  <c r="L57" i="44"/>
  <c r="M57" i="44"/>
  <c r="N57" i="44"/>
  <c r="O57" i="44"/>
  <c r="P57" i="44"/>
  <c r="Q57" i="44"/>
  <c r="R57" i="44"/>
  <c r="S57" i="44"/>
  <c r="T57" i="44"/>
  <c r="U57" i="44"/>
  <c r="V57" i="44"/>
  <c r="K58" i="44"/>
  <c r="L58" i="44"/>
  <c r="M58" i="44"/>
  <c r="N58" i="44"/>
  <c r="O58" i="44"/>
  <c r="P58" i="44"/>
  <c r="Q58" i="44"/>
  <c r="R58" i="44"/>
  <c r="S58" i="44"/>
  <c r="T58" i="44"/>
  <c r="U58" i="44"/>
  <c r="V58" i="44"/>
  <c r="K59" i="44"/>
  <c r="L59" i="44"/>
  <c r="M59" i="44"/>
  <c r="N59" i="44"/>
  <c r="O59" i="44"/>
  <c r="P59" i="44"/>
  <c r="Q59" i="44"/>
  <c r="R59" i="44"/>
  <c r="S59" i="44"/>
  <c r="T59" i="44"/>
  <c r="U59" i="44"/>
  <c r="V59" i="44"/>
  <c r="K60" i="44"/>
  <c r="L60" i="44"/>
  <c r="M60" i="44"/>
  <c r="N60" i="44"/>
  <c r="O60" i="44"/>
  <c r="P60" i="44"/>
  <c r="Q60" i="44"/>
  <c r="R60" i="44"/>
  <c r="S60" i="44"/>
  <c r="T60" i="44"/>
  <c r="U60" i="44"/>
  <c r="V60" i="44"/>
  <c r="K74" i="44"/>
  <c r="L74" i="44"/>
  <c r="M74" i="44"/>
  <c r="N74" i="44"/>
  <c r="O74" i="44"/>
  <c r="P74" i="44"/>
  <c r="Q74" i="44"/>
  <c r="R74" i="44"/>
  <c r="S74" i="44"/>
  <c r="T74" i="44"/>
  <c r="U74" i="44"/>
  <c r="V74" i="44"/>
  <c r="K75" i="44"/>
  <c r="L75" i="44"/>
  <c r="M75" i="44"/>
  <c r="N75" i="44"/>
  <c r="O75" i="44"/>
  <c r="P75" i="44"/>
  <c r="Q75" i="44"/>
  <c r="R75" i="44"/>
  <c r="S75" i="44"/>
  <c r="T75" i="44"/>
  <c r="U75" i="44"/>
  <c r="V75" i="44"/>
  <c r="K76" i="44"/>
  <c r="L76" i="44"/>
  <c r="M76" i="44"/>
  <c r="N76" i="44"/>
  <c r="O76" i="44"/>
  <c r="P76" i="44"/>
  <c r="Q76" i="44"/>
  <c r="R76" i="44"/>
  <c r="S76" i="44"/>
  <c r="T76" i="44"/>
  <c r="U76" i="44"/>
  <c r="V76" i="44"/>
  <c r="W76" i="44" s="1"/>
  <c r="K77" i="44"/>
  <c r="L77" i="44"/>
  <c r="M77" i="44"/>
  <c r="N77" i="44"/>
  <c r="O77" i="44"/>
  <c r="P77" i="44"/>
  <c r="Q77" i="44"/>
  <c r="R77" i="44"/>
  <c r="S77" i="44"/>
  <c r="T77" i="44"/>
  <c r="U77" i="44"/>
  <c r="V77" i="44"/>
  <c r="K78" i="44"/>
  <c r="L78" i="44"/>
  <c r="M78" i="44"/>
  <c r="N78" i="44"/>
  <c r="O78" i="44"/>
  <c r="P78" i="44"/>
  <c r="Q78" i="44"/>
  <c r="R78" i="44"/>
  <c r="S78" i="44"/>
  <c r="T78" i="44"/>
  <c r="U78" i="44"/>
  <c r="V78" i="44"/>
  <c r="K79" i="44"/>
  <c r="L79" i="44"/>
  <c r="M79" i="44"/>
  <c r="N79" i="44"/>
  <c r="O79" i="44"/>
  <c r="P79" i="44"/>
  <c r="Q79" i="44"/>
  <c r="R79" i="44"/>
  <c r="S79" i="44"/>
  <c r="T79" i="44"/>
  <c r="U79" i="44"/>
  <c r="V79" i="44"/>
  <c r="K80" i="44"/>
  <c r="L80" i="44"/>
  <c r="M80" i="44"/>
  <c r="N80" i="44"/>
  <c r="O80" i="44"/>
  <c r="P80" i="44"/>
  <c r="Q80" i="44"/>
  <c r="R80" i="44"/>
  <c r="S80" i="44"/>
  <c r="T80" i="44"/>
  <c r="U80" i="44"/>
  <c r="V80" i="44"/>
  <c r="W80" i="44" s="1"/>
  <c r="K81" i="44"/>
  <c r="L81" i="44"/>
  <c r="M81" i="44"/>
  <c r="N81" i="44"/>
  <c r="O81" i="44"/>
  <c r="P81" i="44"/>
  <c r="Q81" i="44"/>
  <c r="R81" i="44"/>
  <c r="S81" i="44"/>
  <c r="T81" i="44"/>
  <c r="U81" i="44"/>
  <c r="V81" i="44"/>
  <c r="K82" i="44"/>
  <c r="L82" i="44"/>
  <c r="M82" i="44"/>
  <c r="N82" i="44"/>
  <c r="O82" i="44"/>
  <c r="P82" i="44"/>
  <c r="Q82" i="44"/>
  <c r="R82" i="44"/>
  <c r="S82" i="44"/>
  <c r="T82" i="44"/>
  <c r="U82" i="44"/>
  <c r="V82" i="44"/>
  <c r="K83" i="44"/>
  <c r="L83" i="44"/>
  <c r="M83" i="44"/>
  <c r="N83" i="44"/>
  <c r="O83" i="44"/>
  <c r="P83" i="44"/>
  <c r="Q83" i="44"/>
  <c r="R83" i="44"/>
  <c r="S83" i="44"/>
  <c r="T83" i="44"/>
  <c r="U83" i="44"/>
  <c r="V83" i="44"/>
  <c r="W83" i="44" s="1"/>
  <c r="K84" i="44"/>
  <c r="L84" i="44"/>
  <c r="M84" i="44"/>
  <c r="N84" i="44"/>
  <c r="O84" i="44"/>
  <c r="P84" i="44"/>
  <c r="Q84" i="44"/>
  <c r="R84" i="44"/>
  <c r="S84" i="44"/>
  <c r="T84" i="44"/>
  <c r="U84" i="44"/>
  <c r="V84" i="44"/>
  <c r="K85" i="44"/>
  <c r="L85" i="44"/>
  <c r="M85" i="44"/>
  <c r="N85" i="44"/>
  <c r="O85" i="44"/>
  <c r="P85" i="44"/>
  <c r="Q85" i="44"/>
  <c r="R85" i="44"/>
  <c r="S85" i="44"/>
  <c r="T85" i="44"/>
  <c r="Q36" i="49"/>
  <c r="R36" i="49"/>
  <c r="S36" i="49"/>
  <c r="T36" i="49"/>
  <c r="U36" i="49"/>
  <c r="V36" i="49"/>
  <c r="L36" i="49"/>
  <c r="M36" i="49"/>
  <c r="N36" i="49"/>
  <c r="O36" i="49"/>
  <c r="P36" i="49"/>
  <c r="Z36" i="49"/>
  <c r="AA36" i="49"/>
  <c r="AB36" i="49"/>
  <c r="AC36" i="49"/>
  <c r="AD36" i="49"/>
  <c r="AE36" i="49"/>
  <c r="W53" i="48"/>
  <c r="W27" i="45"/>
  <c r="AI5" i="49"/>
  <c r="Y10" i="48"/>
  <c r="W10" i="48"/>
  <c r="X10" i="48"/>
  <c r="AA65" i="48"/>
  <c r="X65" i="48"/>
  <c r="AC65" i="48"/>
  <c r="Z65" i="48"/>
  <c r="AB65" i="48"/>
  <c r="AE65" i="48"/>
  <c r="W65" i="48"/>
  <c r="Y65" i="48"/>
  <c r="AD65" i="48"/>
  <c r="W79" i="48"/>
  <c r="X79" i="48"/>
  <c r="K10" i="47"/>
  <c r="M10" i="47"/>
  <c r="L10" i="47"/>
  <c r="W25" i="47"/>
  <c r="X25" i="47"/>
  <c r="W13" i="45"/>
  <c r="X13" i="45"/>
  <c r="X33" i="39"/>
  <c r="Y33" i="39"/>
  <c r="Z33" i="39"/>
  <c r="AA33" i="39"/>
  <c r="AB33" i="39"/>
  <c r="AC33" i="39"/>
  <c r="Q10" i="38"/>
  <c r="S10" i="38"/>
  <c r="T10" i="38"/>
  <c r="U10" i="38"/>
  <c r="V10" i="38"/>
  <c r="K11" i="38"/>
  <c r="L11" i="38"/>
  <c r="M11" i="38"/>
  <c r="N11" i="38"/>
  <c r="O11" i="38"/>
  <c r="P11" i="38"/>
  <c r="Q11" i="38"/>
  <c r="R11" i="38"/>
  <c r="S11" i="38"/>
  <c r="T11" i="38"/>
  <c r="U11" i="38"/>
  <c r="X11" i="48"/>
  <c r="W11" i="48"/>
  <c r="AA12" i="48"/>
  <c r="X12" i="48"/>
  <c r="Z12" i="48"/>
  <c r="W12" i="48"/>
  <c r="Y12" i="48"/>
  <c r="H13" i="48"/>
  <c r="G13" i="48"/>
  <c r="D13" i="48"/>
  <c r="F13" i="48"/>
  <c r="E13" i="48"/>
  <c r="C13" i="48"/>
  <c r="W14" i="48"/>
  <c r="X14" i="48"/>
  <c r="C19" i="48"/>
  <c r="D19" i="48"/>
  <c r="C26" i="48"/>
  <c r="D26" i="48"/>
  <c r="C42" i="48"/>
  <c r="D42" i="48"/>
  <c r="F42" i="48"/>
  <c r="H42" i="48"/>
  <c r="G42" i="48"/>
  <c r="E42" i="48"/>
  <c r="W42" i="48"/>
  <c r="X42" i="48"/>
  <c r="Y45" i="48"/>
  <c r="AE45" i="48"/>
  <c r="Z45" i="48"/>
  <c r="AB45" i="48"/>
  <c r="AD45" i="48"/>
  <c r="AA45" i="48"/>
  <c r="W45" i="48"/>
  <c r="AC45" i="48"/>
  <c r="X45" i="48"/>
  <c r="AC50" i="48"/>
  <c r="W50" i="48"/>
  <c r="Z50" i="48"/>
  <c r="AA50" i="48"/>
  <c r="AB50" i="48"/>
  <c r="X50" i="48"/>
  <c r="AE50" i="48"/>
  <c r="Y50" i="48"/>
  <c r="C51" i="48"/>
  <c r="E51" i="48"/>
  <c r="C52" i="48"/>
  <c r="W52" i="48"/>
  <c r="Z52" i="48"/>
  <c r="AB52" i="48"/>
  <c r="AD52" i="48"/>
  <c r="AA52" i="48"/>
  <c r="Y52" i="48"/>
  <c r="X52" i="48"/>
  <c r="AE52" i="48"/>
  <c r="AC52" i="48"/>
  <c r="C53" i="48"/>
  <c r="D57" i="48"/>
  <c r="C57" i="48"/>
  <c r="E57" i="48"/>
  <c r="C58" i="48"/>
  <c r="Y58" i="48"/>
  <c r="Z58" i="48"/>
  <c r="AA58" i="48"/>
  <c r="AB58" i="48"/>
  <c r="AE58" i="48"/>
  <c r="AD58" i="48"/>
  <c r="AC58" i="48"/>
  <c r="X58" i="48"/>
  <c r="W58" i="48"/>
  <c r="D72" i="48"/>
  <c r="C72" i="48"/>
  <c r="D74" i="48"/>
  <c r="C74" i="48"/>
  <c r="E74" i="48"/>
  <c r="E78" i="48"/>
  <c r="D78" i="48"/>
  <c r="F78" i="48"/>
  <c r="Y78" i="48"/>
  <c r="W78" i="48"/>
  <c r="X78" i="48"/>
  <c r="C79" i="48"/>
  <c r="D81" i="48"/>
  <c r="AE83" i="48"/>
  <c r="Y83" i="48"/>
  <c r="AD83" i="48"/>
  <c r="AC83" i="48"/>
  <c r="AB83" i="48"/>
  <c r="AA83" i="48"/>
  <c r="Z83" i="48"/>
  <c r="X83" i="48"/>
  <c r="W83" i="48"/>
  <c r="W36" i="42"/>
  <c r="W38" i="42"/>
  <c r="Y31" i="40"/>
  <c r="Y16" i="37"/>
  <c r="Z16" i="37"/>
  <c r="W22" i="37"/>
  <c r="X28" i="37"/>
  <c r="Y33" i="37"/>
  <c r="W36" i="37"/>
  <c r="W41" i="37"/>
  <c r="W45" i="37"/>
  <c r="Y51" i="37"/>
  <c r="X52" i="37"/>
  <c r="W13" i="36"/>
  <c r="W17" i="36"/>
  <c r="X30" i="36"/>
  <c r="Y31" i="36"/>
  <c r="Y55" i="36"/>
  <c r="Y62" i="36"/>
  <c r="X70" i="36"/>
  <c r="W14" i="35"/>
  <c r="W31" i="35"/>
  <c r="AA45" i="35"/>
  <c r="Y78" i="35"/>
  <c r="AB79" i="35"/>
  <c r="W24" i="44"/>
  <c r="AE28" i="44"/>
  <c r="Z26" i="47"/>
  <c r="X26" i="47"/>
  <c r="W26" i="47"/>
  <c r="AA26" i="47"/>
  <c r="Y26" i="47"/>
  <c r="AC26" i="47"/>
  <c r="AB26" i="47"/>
  <c r="AD26" i="47"/>
  <c r="AE26" i="47"/>
  <c r="X29" i="47"/>
  <c r="Z29" i="47"/>
  <c r="W29" i="47"/>
  <c r="AD29" i="47"/>
  <c r="AB29" i="47"/>
  <c r="Y29" i="47"/>
  <c r="AA29" i="47"/>
  <c r="AC29" i="47"/>
  <c r="AE29" i="47"/>
  <c r="T10" i="45"/>
  <c r="V10" i="45"/>
  <c r="S10" i="45"/>
  <c r="R10" i="45"/>
  <c r="O10" i="45"/>
  <c r="M10" i="45"/>
  <c r="K10" i="45"/>
  <c r="L10" i="45"/>
  <c r="N10" i="45"/>
  <c r="P10" i="45"/>
  <c r="Q10" i="45"/>
  <c r="U10" i="45"/>
  <c r="P15" i="34"/>
  <c r="O15" i="34"/>
  <c r="N15" i="34"/>
  <c r="M15" i="34"/>
  <c r="L15" i="34"/>
  <c r="K15" i="34"/>
  <c r="V14" i="34"/>
  <c r="U14" i="34"/>
  <c r="T14" i="34"/>
  <c r="Q14" i="34"/>
  <c r="O14" i="34"/>
  <c r="Q15" i="34"/>
  <c r="W77" i="36"/>
  <c r="AE25" i="35"/>
  <c r="W77" i="35"/>
  <c r="W18" i="46"/>
  <c r="W17" i="37"/>
  <c r="W18" i="45"/>
  <c r="Y23" i="45"/>
  <c r="W13" i="43"/>
  <c r="W17" i="43"/>
  <c r="W29" i="36"/>
  <c r="W84" i="44"/>
  <c r="X10" i="43"/>
  <c r="AC52" i="35"/>
  <c r="W33" i="35"/>
  <c r="V55" i="46"/>
  <c r="P81" i="46"/>
  <c r="Q81" i="46"/>
  <c r="R81" i="46"/>
  <c r="S81" i="46"/>
  <c r="T81" i="46"/>
  <c r="U81" i="46"/>
  <c r="V81" i="46"/>
  <c r="K82" i="46"/>
  <c r="L82" i="46"/>
  <c r="M82" i="46"/>
  <c r="N82" i="46"/>
  <c r="O82" i="46"/>
  <c r="P82" i="46"/>
  <c r="Q82" i="46"/>
  <c r="R82" i="46"/>
  <c r="S82" i="46"/>
  <c r="T82" i="46"/>
  <c r="U82" i="46"/>
  <c r="V82" i="46"/>
  <c r="K83" i="46"/>
  <c r="L83" i="46"/>
  <c r="M83" i="46"/>
  <c r="N83" i="46"/>
  <c r="O83" i="46"/>
  <c r="P83" i="46"/>
  <c r="Q83" i="46"/>
  <c r="R83" i="46"/>
  <c r="S83" i="46"/>
  <c r="T83" i="46"/>
  <c r="U83" i="46"/>
  <c r="V83" i="46"/>
  <c r="K84" i="46"/>
  <c r="L84" i="46"/>
  <c r="M84" i="46"/>
  <c r="N84" i="46"/>
  <c r="O84" i="46"/>
  <c r="P84" i="46"/>
  <c r="Q84" i="46"/>
  <c r="R84" i="46"/>
  <c r="S84" i="46"/>
  <c r="T84" i="46"/>
  <c r="U84" i="46"/>
  <c r="V84" i="46"/>
  <c r="K85" i="46"/>
  <c r="L85" i="46"/>
  <c r="M85" i="46"/>
  <c r="N85" i="46"/>
  <c r="O85" i="46"/>
  <c r="P85" i="46"/>
  <c r="Q85" i="46"/>
  <c r="R85" i="46"/>
  <c r="S85" i="46"/>
  <c r="T85" i="46"/>
  <c r="U85" i="46"/>
  <c r="V85" i="46"/>
  <c r="P23" i="46"/>
  <c r="Q23" i="46"/>
  <c r="R23" i="46"/>
  <c r="S23" i="46"/>
  <c r="T23" i="46"/>
  <c r="U23" i="46"/>
  <c r="V23" i="46"/>
  <c r="K24" i="46"/>
  <c r="L24" i="46"/>
  <c r="M24" i="46"/>
  <c r="N24" i="46"/>
  <c r="O24" i="46"/>
  <c r="P24" i="46"/>
  <c r="Q24" i="46"/>
  <c r="R24" i="46"/>
  <c r="S24" i="46"/>
  <c r="T24" i="46"/>
  <c r="U24" i="46"/>
  <c r="V24" i="46"/>
  <c r="K25" i="46"/>
  <c r="L25" i="46"/>
  <c r="M25" i="46"/>
  <c r="N25" i="46"/>
  <c r="O25" i="46"/>
  <c r="P25" i="46"/>
  <c r="Q25" i="46"/>
  <c r="R25" i="46"/>
  <c r="S25" i="46"/>
  <c r="T25" i="46"/>
  <c r="U25" i="46"/>
  <c r="V25" i="46"/>
  <c r="K26" i="46"/>
  <c r="L26" i="46"/>
  <c r="M26" i="46"/>
  <c r="N26" i="46"/>
  <c r="O26" i="46"/>
  <c r="P26" i="46"/>
  <c r="Q26" i="46"/>
  <c r="R26" i="46"/>
  <c r="S26" i="46"/>
  <c r="T26" i="46"/>
  <c r="U26" i="46"/>
  <c r="V26" i="46"/>
  <c r="K27" i="46"/>
  <c r="L27" i="46"/>
  <c r="M27" i="46"/>
  <c r="N27" i="46"/>
  <c r="O27" i="46"/>
  <c r="P27" i="46"/>
  <c r="Q27" i="46"/>
  <c r="R27" i="46"/>
  <c r="S27" i="46"/>
  <c r="T27" i="46"/>
  <c r="U27" i="46"/>
  <c r="V27" i="46"/>
  <c r="K28" i="46"/>
  <c r="L28" i="46"/>
  <c r="M28" i="46"/>
  <c r="N28" i="46"/>
  <c r="O28" i="46"/>
  <c r="P28" i="46"/>
  <c r="Q28" i="46"/>
  <c r="R28" i="46"/>
  <c r="S28" i="46"/>
  <c r="T28" i="46"/>
  <c r="U28" i="46"/>
  <c r="V28" i="46"/>
  <c r="K29" i="46"/>
  <c r="L29" i="46"/>
  <c r="M29" i="46"/>
  <c r="N29" i="46"/>
  <c r="O29" i="46"/>
  <c r="P29" i="46"/>
  <c r="Q29" i="46"/>
  <c r="R29" i="46"/>
  <c r="S29" i="46"/>
  <c r="T29" i="46"/>
  <c r="U29" i="46"/>
  <c r="V29" i="46"/>
  <c r="K30" i="46"/>
  <c r="L30" i="46"/>
  <c r="M30" i="46"/>
  <c r="N30" i="46"/>
  <c r="O30" i="46"/>
  <c r="P30" i="46"/>
  <c r="Q30" i="46"/>
  <c r="R30" i="46"/>
  <c r="S30" i="46"/>
  <c r="T30" i="46"/>
  <c r="U30" i="46"/>
  <c r="V30" i="46"/>
  <c r="K31" i="46"/>
  <c r="L31" i="46"/>
  <c r="M31" i="46"/>
  <c r="N31" i="46"/>
  <c r="O31" i="46"/>
  <c r="P31" i="46"/>
  <c r="Q31" i="46"/>
  <c r="R31" i="46"/>
  <c r="S31" i="46"/>
  <c r="T31" i="46"/>
  <c r="U31" i="46"/>
  <c r="V31" i="46"/>
  <c r="K32" i="46"/>
  <c r="L32" i="46"/>
  <c r="M32" i="46"/>
  <c r="N32" i="46"/>
  <c r="O32" i="46"/>
  <c r="P32" i="46"/>
  <c r="Q32" i="46"/>
  <c r="R32" i="46"/>
  <c r="S32" i="46"/>
  <c r="T32" i="46"/>
  <c r="U32" i="46"/>
  <c r="V32" i="46"/>
  <c r="K33" i="46"/>
  <c r="L33" i="46"/>
  <c r="M33" i="46"/>
  <c r="N33" i="46"/>
  <c r="O33" i="46"/>
  <c r="P33" i="46"/>
  <c r="Q33" i="46"/>
  <c r="R33" i="46"/>
  <c r="S33" i="46"/>
  <c r="T33" i="46"/>
  <c r="U33" i="46"/>
  <c r="V33" i="46"/>
  <c r="K34" i="46"/>
  <c r="L34" i="46"/>
  <c r="M34" i="46"/>
  <c r="N34" i="46"/>
  <c r="O34" i="46"/>
  <c r="P34" i="46"/>
  <c r="Q34" i="46"/>
  <c r="R34" i="46"/>
  <c r="S34" i="46"/>
  <c r="T34" i="46"/>
  <c r="U34" i="46"/>
  <c r="V34" i="46"/>
  <c r="K35" i="46"/>
  <c r="L35" i="46"/>
  <c r="M35" i="46"/>
  <c r="N35" i="46"/>
  <c r="O35" i="46"/>
  <c r="P35" i="46"/>
  <c r="Q35" i="46"/>
  <c r="R35" i="46"/>
  <c r="S35" i="46"/>
  <c r="T35" i="46"/>
  <c r="U35" i="46"/>
  <c r="V35" i="46"/>
  <c r="K36" i="46"/>
  <c r="L36" i="46"/>
  <c r="M36" i="46"/>
  <c r="N36" i="46"/>
  <c r="O36" i="46"/>
  <c r="P36" i="46"/>
  <c r="Q36" i="46"/>
  <c r="R36" i="46"/>
  <c r="S36" i="46"/>
  <c r="T36" i="46"/>
  <c r="U36" i="46"/>
  <c r="V36" i="46"/>
  <c r="K37" i="46"/>
  <c r="L37" i="46"/>
  <c r="M37" i="46"/>
  <c r="N37" i="46"/>
  <c r="O37" i="46"/>
  <c r="P37" i="46"/>
  <c r="Q37" i="46"/>
  <c r="R37" i="46"/>
  <c r="S37" i="46"/>
  <c r="T37" i="46"/>
  <c r="U37" i="46"/>
  <c r="V37" i="46"/>
  <c r="K38" i="46"/>
  <c r="L38" i="46"/>
  <c r="M38" i="46"/>
  <c r="N38" i="46"/>
  <c r="O38" i="46"/>
  <c r="P38" i="46"/>
  <c r="Q38" i="46"/>
  <c r="R38" i="46"/>
  <c r="S38" i="46"/>
  <c r="T38" i="46"/>
  <c r="U38" i="46"/>
  <c r="V38" i="46"/>
  <c r="K39" i="46"/>
  <c r="L39" i="46"/>
  <c r="M39" i="46"/>
  <c r="N39" i="46"/>
  <c r="O39" i="46"/>
  <c r="P39" i="46"/>
  <c r="Q39" i="46"/>
  <c r="R39" i="46"/>
  <c r="S39" i="46"/>
  <c r="T39" i="46"/>
  <c r="U39" i="46"/>
  <c r="V39" i="46"/>
  <c r="K40" i="46"/>
  <c r="L40" i="46"/>
  <c r="M40" i="46"/>
  <c r="N40" i="46"/>
  <c r="O40" i="46"/>
  <c r="P40" i="46"/>
  <c r="Q40" i="46"/>
  <c r="R40" i="46"/>
  <c r="S40" i="46"/>
  <c r="T40" i="46"/>
  <c r="U40" i="46"/>
  <c r="V40" i="46"/>
  <c r="K41" i="46"/>
  <c r="L41" i="46"/>
  <c r="M41" i="46"/>
  <c r="N41" i="46"/>
  <c r="O41" i="46"/>
  <c r="P41" i="46"/>
  <c r="Q41" i="46"/>
  <c r="R41" i="46"/>
  <c r="S41" i="46"/>
  <c r="T41" i="46"/>
  <c r="U41" i="46"/>
  <c r="V41" i="46"/>
  <c r="K42" i="46"/>
  <c r="L42" i="46"/>
  <c r="M42" i="46"/>
  <c r="N42" i="46"/>
  <c r="O42" i="46"/>
  <c r="P42" i="46"/>
  <c r="Q42" i="46"/>
  <c r="R42" i="46"/>
  <c r="S42" i="46"/>
  <c r="T42" i="46"/>
  <c r="U42" i="46"/>
  <c r="V42" i="46"/>
  <c r="K43" i="46"/>
  <c r="L43" i="46"/>
  <c r="M43" i="46"/>
  <c r="N43" i="46"/>
  <c r="O43" i="46"/>
  <c r="P43" i="46"/>
  <c r="Q43" i="46"/>
  <c r="R43" i="46"/>
  <c r="S43" i="46"/>
  <c r="T43" i="46"/>
  <c r="U43" i="46"/>
  <c r="V43" i="46"/>
  <c r="K44" i="46"/>
  <c r="L44" i="46"/>
  <c r="M44" i="46"/>
  <c r="N44" i="46"/>
  <c r="O44" i="46"/>
  <c r="P44" i="46"/>
  <c r="Q44" i="46"/>
  <c r="R44" i="46"/>
  <c r="S44" i="46"/>
  <c r="T44" i="46"/>
  <c r="U44" i="46"/>
  <c r="V44" i="46"/>
  <c r="K45" i="46"/>
  <c r="L45" i="46"/>
  <c r="M45" i="46"/>
  <c r="N45" i="46"/>
  <c r="O45" i="46"/>
  <c r="P45" i="46"/>
  <c r="Q45" i="46"/>
  <c r="R45" i="46"/>
  <c r="S45" i="46"/>
  <c r="T45" i="46"/>
  <c r="U45" i="46"/>
  <c r="V45" i="46"/>
  <c r="K46" i="46"/>
  <c r="L46" i="46"/>
  <c r="M46" i="46"/>
  <c r="N46" i="46"/>
  <c r="O46" i="46"/>
  <c r="P46" i="46"/>
  <c r="Q46" i="46"/>
  <c r="R46" i="46"/>
  <c r="S46" i="46"/>
  <c r="T46" i="46"/>
  <c r="U46" i="46"/>
  <c r="V46" i="46"/>
  <c r="K47" i="46"/>
  <c r="L47" i="46"/>
  <c r="M47" i="46"/>
  <c r="N47" i="46"/>
  <c r="O47" i="46"/>
  <c r="P47" i="46"/>
  <c r="Q47" i="46"/>
  <c r="R47" i="46"/>
  <c r="S47" i="46"/>
  <c r="T47" i="46"/>
  <c r="U47" i="46"/>
  <c r="V47" i="46"/>
  <c r="K48" i="46"/>
  <c r="L48" i="46"/>
  <c r="M48" i="46"/>
  <c r="N48" i="46"/>
  <c r="O48" i="46"/>
  <c r="P48" i="46"/>
  <c r="Q48" i="46"/>
  <c r="R48" i="46"/>
  <c r="S48" i="46"/>
  <c r="T48" i="46"/>
  <c r="U48" i="46"/>
  <c r="V48" i="46"/>
  <c r="K49" i="46"/>
  <c r="L49" i="46"/>
  <c r="M49" i="46"/>
  <c r="N49" i="46"/>
  <c r="O49" i="46"/>
  <c r="P49" i="46"/>
  <c r="Q49" i="46"/>
  <c r="R49" i="46"/>
  <c r="S49" i="46"/>
  <c r="T49" i="46"/>
  <c r="U49" i="46"/>
  <c r="V49" i="46"/>
  <c r="K50" i="46"/>
  <c r="L50" i="46"/>
  <c r="M50" i="46"/>
  <c r="N50" i="46"/>
  <c r="O50" i="46"/>
  <c r="P50" i="46"/>
  <c r="Q50" i="46"/>
  <c r="R50" i="46"/>
  <c r="S50" i="46"/>
  <c r="T50" i="46"/>
  <c r="U50" i="46"/>
  <c r="V50" i="46"/>
  <c r="K51" i="46"/>
  <c r="L51" i="46"/>
  <c r="M51" i="46"/>
  <c r="N51" i="46"/>
  <c r="O51" i="46"/>
  <c r="P51" i="46"/>
  <c r="Q51" i="46"/>
  <c r="R51" i="46"/>
  <c r="S51" i="46"/>
  <c r="T51" i="46"/>
  <c r="U51" i="46"/>
  <c r="V51" i="46"/>
  <c r="K52" i="46"/>
  <c r="L52" i="46"/>
  <c r="M52" i="46"/>
  <c r="N52" i="46"/>
  <c r="O52" i="46"/>
  <c r="P52" i="46"/>
  <c r="Q52" i="46"/>
  <c r="R52" i="46"/>
  <c r="S52" i="46"/>
  <c r="T52" i="46"/>
  <c r="U52" i="46"/>
  <c r="V52" i="46"/>
  <c r="K53" i="46"/>
  <c r="L53" i="46"/>
  <c r="M53" i="46"/>
  <c r="N53" i="46"/>
  <c r="O53" i="46"/>
  <c r="P53" i="46"/>
  <c r="Q53" i="46"/>
  <c r="R53" i="46"/>
  <c r="S53" i="46"/>
  <c r="T53" i="46"/>
  <c r="U53" i="46"/>
  <c r="V53" i="46"/>
  <c r="K54" i="46"/>
  <c r="L54" i="46"/>
  <c r="M54" i="46"/>
  <c r="N54" i="46"/>
  <c r="O54" i="46"/>
  <c r="P54" i="46"/>
  <c r="Q54" i="46"/>
  <c r="R54" i="46"/>
  <c r="S54" i="46"/>
  <c r="T54" i="46"/>
  <c r="U54" i="46"/>
  <c r="V54" i="46"/>
  <c r="K55" i="46"/>
  <c r="L55" i="46"/>
  <c r="M55" i="46"/>
  <c r="N55" i="46"/>
  <c r="O55" i="46"/>
  <c r="P55" i="46"/>
  <c r="Q55" i="46"/>
  <c r="R55" i="46"/>
  <c r="S55" i="46"/>
  <c r="T55" i="46"/>
  <c r="U55" i="46"/>
  <c r="K56" i="46"/>
  <c r="L56" i="46"/>
  <c r="M56" i="46"/>
  <c r="N56" i="46"/>
  <c r="O56" i="46"/>
  <c r="P56" i="46"/>
  <c r="Q56" i="46"/>
  <c r="R56" i="46"/>
  <c r="S56" i="46"/>
  <c r="T56" i="46"/>
  <c r="U56" i="46"/>
  <c r="V56" i="46"/>
  <c r="K57" i="46"/>
  <c r="L57" i="46"/>
  <c r="M57" i="46"/>
  <c r="N57" i="46"/>
  <c r="O57" i="46"/>
  <c r="P57" i="46"/>
  <c r="Q57" i="46"/>
  <c r="R57" i="46"/>
  <c r="S57" i="46"/>
  <c r="T57" i="46"/>
  <c r="U57" i="46"/>
  <c r="V57" i="46"/>
  <c r="K58" i="46"/>
  <c r="L58" i="46"/>
  <c r="M58" i="46"/>
  <c r="N58" i="46"/>
  <c r="O58" i="46"/>
  <c r="P58" i="46"/>
  <c r="Q58" i="46"/>
  <c r="R58" i="46"/>
  <c r="S58" i="46"/>
  <c r="T58" i="46"/>
  <c r="U58" i="46"/>
  <c r="V58" i="46"/>
  <c r="K59" i="46"/>
  <c r="L59" i="46"/>
  <c r="M59" i="46"/>
  <c r="N59" i="46"/>
  <c r="O59" i="46"/>
  <c r="P59" i="46"/>
  <c r="Q59" i="46"/>
  <c r="R59" i="46"/>
  <c r="S59" i="46"/>
  <c r="T59" i="46"/>
  <c r="U59" i="46"/>
  <c r="V59" i="46"/>
  <c r="K60" i="46"/>
  <c r="L60" i="46"/>
  <c r="M60" i="46"/>
  <c r="N60" i="46"/>
  <c r="O60" i="46"/>
  <c r="P60" i="46"/>
  <c r="Q60" i="46"/>
  <c r="R60" i="46"/>
  <c r="S60" i="46"/>
  <c r="T60" i="46"/>
  <c r="U60" i="46"/>
  <c r="V60" i="46"/>
  <c r="K61" i="46"/>
  <c r="L61" i="46"/>
  <c r="M61" i="46"/>
  <c r="N61" i="46"/>
  <c r="O61" i="46"/>
  <c r="P61" i="46"/>
  <c r="Q61" i="46"/>
  <c r="R61" i="46"/>
  <c r="S61" i="46"/>
  <c r="T61" i="46"/>
  <c r="U61" i="46"/>
  <c r="V61" i="46"/>
  <c r="K62" i="46"/>
  <c r="L62" i="46"/>
  <c r="M62" i="46"/>
  <c r="N62" i="46"/>
  <c r="O62" i="46"/>
  <c r="P62" i="46"/>
  <c r="Q62" i="46"/>
  <c r="R62" i="46"/>
  <c r="S62" i="46"/>
  <c r="T62" i="46"/>
  <c r="U62" i="46"/>
  <c r="V62" i="46"/>
  <c r="K63" i="46"/>
  <c r="L63" i="46"/>
  <c r="M63" i="46"/>
  <c r="N63" i="46"/>
  <c r="O63" i="46"/>
  <c r="P63" i="46"/>
  <c r="Q63" i="46"/>
  <c r="R63" i="46"/>
  <c r="S63" i="46"/>
  <c r="T63" i="46"/>
  <c r="U63" i="46"/>
  <c r="V63" i="46"/>
  <c r="K64" i="46"/>
  <c r="L64" i="46"/>
  <c r="M64" i="46"/>
  <c r="N64" i="46"/>
  <c r="O64" i="46"/>
  <c r="P64" i="46"/>
  <c r="Q64" i="46"/>
  <c r="R64" i="46"/>
  <c r="S64" i="46"/>
  <c r="T64" i="46"/>
  <c r="U64" i="46"/>
  <c r="V64" i="46"/>
  <c r="K65" i="46"/>
  <c r="L65" i="46"/>
  <c r="M65" i="46"/>
  <c r="N65" i="46"/>
  <c r="O65" i="46"/>
  <c r="P65" i="46"/>
  <c r="Q65" i="46"/>
  <c r="R65" i="46"/>
  <c r="S65" i="46"/>
  <c r="T65" i="46"/>
  <c r="U65" i="46"/>
  <c r="V65" i="46"/>
  <c r="K66" i="46"/>
  <c r="L66" i="46"/>
  <c r="M66" i="46"/>
  <c r="N66" i="46"/>
  <c r="O66" i="46"/>
  <c r="P66" i="46"/>
  <c r="Q66" i="46"/>
  <c r="R66" i="46"/>
  <c r="S66" i="46"/>
  <c r="T66" i="46"/>
  <c r="U66" i="46"/>
  <c r="V66" i="46"/>
  <c r="K67" i="46"/>
  <c r="L67" i="46"/>
  <c r="M67" i="46"/>
  <c r="N67" i="46"/>
  <c r="O67" i="46"/>
  <c r="P67" i="46"/>
  <c r="Q67" i="46"/>
  <c r="R67" i="46"/>
  <c r="S67" i="46"/>
  <c r="T67" i="46"/>
  <c r="U67" i="46"/>
  <c r="V67" i="46"/>
  <c r="K68" i="46"/>
  <c r="L68" i="46"/>
  <c r="M68" i="46"/>
  <c r="N68" i="46"/>
  <c r="O68" i="46"/>
  <c r="P68" i="46"/>
  <c r="Q68" i="46"/>
  <c r="R68" i="46"/>
  <c r="S68" i="46"/>
  <c r="T68" i="46"/>
  <c r="U68" i="46"/>
  <c r="V68" i="46"/>
  <c r="K69" i="46"/>
  <c r="L69" i="46"/>
  <c r="M69" i="46"/>
  <c r="N69" i="46"/>
  <c r="O69" i="46"/>
  <c r="P69" i="46"/>
  <c r="Q69" i="46"/>
  <c r="R69" i="46"/>
  <c r="S69" i="46"/>
  <c r="T69" i="46"/>
  <c r="U69" i="46"/>
  <c r="V69" i="46"/>
  <c r="K70" i="46"/>
  <c r="L70" i="46"/>
  <c r="M70" i="46"/>
  <c r="N70" i="46"/>
  <c r="O70" i="46"/>
  <c r="P70" i="46"/>
  <c r="Q70" i="46"/>
  <c r="R70" i="46"/>
  <c r="S70" i="46"/>
  <c r="T70" i="46"/>
  <c r="U70" i="46"/>
  <c r="V70" i="46"/>
  <c r="K71" i="46"/>
  <c r="L71" i="46"/>
  <c r="M71" i="46"/>
  <c r="N71" i="46"/>
  <c r="O71" i="46"/>
  <c r="P71" i="46"/>
  <c r="Q71" i="46"/>
  <c r="R71" i="46"/>
  <c r="S71" i="46"/>
  <c r="T71" i="46"/>
  <c r="U71" i="46"/>
  <c r="V71" i="46"/>
  <c r="K72" i="46"/>
  <c r="L72" i="46"/>
  <c r="M72" i="46"/>
  <c r="N72" i="46"/>
  <c r="O72" i="46"/>
  <c r="P72" i="46"/>
  <c r="Q72" i="46"/>
  <c r="R72" i="46"/>
  <c r="S72" i="46"/>
  <c r="T72" i="46"/>
  <c r="U72" i="46"/>
  <c r="V72" i="46"/>
  <c r="K73" i="46"/>
  <c r="L73" i="46"/>
  <c r="M73" i="46"/>
  <c r="N73" i="46"/>
  <c r="O73" i="46"/>
  <c r="P73" i="46"/>
  <c r="Q73" i="46"/>
  <c r="R73" i="46"/>
  <c r="S73" i="46"/>
  <c r="T73" i="46"/>
  <c r="U73" i="46"/>
  <c r="V73" i="46"/>
  <c r="K74" i="46"/>
  <c r="L74" i="46"/>
  <c r="M74" i="46"/>
  <c r="N74" i="46"/>
  <c r="O74" i="46"/>
  <c r="P74" i="46"/>
  <c r="Q74" i="46"/>
  <c r="R74" i="46"/>
  <c r="S74" i="46"/>
  <c r="T74" i="46"/>
  <c r="U74" i="46"/>
  <c r="V74" i="46"/>
  <c r="K75" i="46"/>
  <c r="L75" i="46"/>
  <c r="M75" i="46"/>
  <c r="N75" i="46"/>
  <c r="O75" i="46"/>
  <c r="P75" i="46"/>
  <c r="Q75" i="46"/>
  <c r="R75" i="46"/>
  <c r="S75" i="46"/>
  <c r="T75" i="46"/>
  <c r="U75" i="46"/>
  <c r="V75" i="46"/>
  <c r="K76" i="46"/>
  <c r="L76" i="46"/>
  <c r="M76" i="46"/>
  <c r="N76" i="46"/>
  <c r="O76" i="46"/>
  <c r="P76" i="46"/>
  <c r="Q76" i="46"/>
  <c r="R76" i="46"/>
  <c r="S76" i="46"/>
  <c r="T76" i="46"/>
  <c r="U76" i="46"/>
  <c r="V76" i="46"/>
  <c r="K77" i="46"/>
  <c r="L77" i="46"/>
  <c r="M77" i="46"/>
  <c r="N77" i="46"/>
  <c r="O77" i="46"/>
  <c r="P77" i="46"/>
  <c r="Q77" i="46"/>
  <c r="R77" i="46"/>
  <c r="S77" i="46"/>
  <c r="T77" i="46"/>
  <c r="U77" i="46"/>
  <c r="V77" i="46"/>
  <c r="K78" i="46"/>
  <c r="L78" i="46"/>
  <c r="M78" i="46"/>
  <c r="N78" i="46"/>
  <c r="O78" i="46"/>
  <c r="P78" i="46"/>
  <c r="Q78" i="46"/>
  <c r="R78" i="46"/>
  <c r="S78" i="46"/>
  <c r="T78" i="46"/>
  <c r="U78" i="46"/>
  <c r="V78" i="46"/>
  <c r="K79" i="46"/>
  <c r="L79" i="46"/>
  <c r="M79" i="46"/>
  <c r="N79" i="46"/>
  <c r="O79" i="46"/>
  <c r="P79" i="46"/>
  <c r="Q79" i="46"/>
  <c r="R79" i="46"/>
  <c r="S79" i="46"/>
  <c r="T79" i="46"/>
  <c r="U79" i="46"/>
  <c r="V79" i="46"/>
  <c r="K80" i="46"/>
  <c r="L80" i="46"/>
  <c r="M80" i="46"/>
  <c r="N80" i="46"/>
  <c r="O80" i="46"/>
  <c r="P80" i="46"/>
  <c r="Q80" i="46"/>
  <c r="R80" i="46"/>
  <c r="S80" i="46"/>
  <c r="T80" i="46"/>
  <c r="U80" i="46"/>
  <c r="V80" i="46"/>
  <c r="K81" i="46"/>
  <c r="L81" i="46"/>
  <c r="M81" i="46"/>
  <c r="N81" i="46"/>
  <c r="O81" i="46"/>
  <c r="W12" i="46"/>
  <c r="X12" i="46"/>
  <c r="X18" i="46"/>
  <c r="Y18" i="46"/>
  <c r="Q43" i="45"/>
  <c r="R43" i="45"/>
  <c r="S43" i="45"/>
  <c r="T43" i="45"/>
  <c r="U43" i="45"/>
  <c r="V43" i="45"/>
  <c r="K44" i="45"/>
  <c r="L44" i="45"/>
  <c r="M44" i="45"/>
  <c r="N44" i="45"/>
  <c r="O44" i="45"/>
  <c r="P44" i="45"/>
  <c r="Q44" i="45"/>
  <c r="R44" i="45"/>
  <c r="T44" i="45"/>
  <c r="N43" i="45"/>
  <c r="M74" i="45"/>
  <c r="N74" i="45"/>
  <c r="O74" i="45"/>
  <c r="P74" i="45"/>
  <c r="Q74" i="45"/>
  <c r="R74" i="45"/>
  <c r="S74" i="45"/>
  <c r="T74" i="45"/>
  <c r="U74" i="45"/>
  <c r="V74" i="45"/>
  <c r="L43" i="45"/>
  <c r="K43" i="45"/>
  <c r="M43" i="45"/>
  <c r="S44" i="45"/>
  <c r="O43" i="45"/>
  <c r="P43" i="45"/>
  <c r="V65" i="44"/>
  <c r="K66" i="44"/>
  <c r="L66" i="44"/>
  <c r="M66" i="44"/>
  <c r="N66" i="44"/>
  <c r="O66" i="44"/>
  <c r="P66" i="44"/>
  <c r="Q66" i="44"/>
  <c r="R66" i="44"/>
  <c r="S66" i="44"/>
  <c r="T66" i="44"/>
  <c r="U66" i="44"/>
  <c r="V66" i="44"/>
  <c r="K67" i="44"/>
  <c r="L67" i="44"/>
  <c r="M67" i="44"/>
  <c r="N67" i="44"/>
  <c r="O67" i="44"/>
  <c r="P67" i="44"/>
  <c r="Q67" i="44"/>
  <c r="R67" i="44"/>
  <c r="S67" i="44"/>
  <c r="T67" i="44"/>
  <c r="U67" i="44"/>
  <c r="V67" i="44"/>
  <c r="K68" i="44"/>
  <c r="L68" i="44"/>
  <c r="M68" i="44"/>
  <c r="N68" i="44"/>
  <c r="O68" i="44"/>
  <c r="P68" i="44"/>
  <c r="Q68" i="44"/>
  <c r="R68" i="44"/>
  <c r="S68" i="44"/>
  <c r="T68" i="44"/>
  <c r="U68" i="44"/>
  <c r="V68" i="44"/>
  <c r="K69" i="44"/>
  <c r="L69" i="44"/>
  <c r="M69" i="44"/>
  <c r="P65" i="44"/>
  <c r="Q65" i="44"/>
  <c r="R65" i="44"/>
  <c r="S65" i="44"/>
  <c r="T65" i="44"/>
  <c r="U65" i="44"/>
  <c r="V73" i="44"/>
  <c r="U73" i="44"/>
  <c r="T73" i="44"/>
  <c r="L33" i="44"/>
  <c r="S73" i="44"/>
  <c r="R73" i="44"/>
  <c r="Q73" i="44"/>
  <c r="P73" i="44"/>
  <c r="O73" i="44"/>
  <c r="K29" i="44"/>
  <c r="L29" i="44"/>
  <c r="M29" i="44"/>
  <c r="N29" i="44"/>
  <c r="O29" i="44"/>
  <c r="P29" i="44"/>
  <c r="Q29" i="44"/>
  <c r="R29" i="44"/>
  <c r="S29" i="44"/>
  <c r="T29" i="44"/>
  <c r="U29" i="44"/>
  <c r="V29" i="44"/>
  <c r="W29" i="44" s="1"/>
  <c r="K32" i="44"/>
  <c r="L32" i="44"/>
  <c r="M32" i="44"/>
  <c r="N32" i="44"/>
  <c r="O32" i="44"/>
  <c r="P32" i="44"/>
  <c r="Q32" i="44"/>
  <c r="R32" i="44"/>
  <c r="S32" i="44"/>
  <c r="T32" i="44"/>
  <c r="U32" i="44"/>
  <c r="V32" i="44"/>
  <c r="K33" i="44"/>
  <c r="V44" i="44"/>
  <c r="M33" i="44"/>
  <c r="N33" i="44"/>
  <c r="O33" i="44"/>
  <c r="P33" i="44"/>
  <c r="Q33" i="44"/>
  <c r="R33" i="44"/>
  <c r="S33" i="44"/>
  <c r="T33" i="44"/>
  <c r="U33" i="44"/>
  <c r="V33" i="44"/>
  <c r="K34" i="44"/>
  <c r="L34" i="44"/>
  <c r="M34" i="44"/>
  <c r="N34" i="44"/>
  <c r="O34" i="44"/>
  <c r="P34" i="44"/>
  <c r="Q34" i="44"/>
  <c r="R34" i="44"/>
  <c r="S34" i="44"/>
  <c r="T34" i="44"/>
  <c r="U34" i="44"/>
  <c r="V34" i="44"/>
  <c r="K35" i="44"/>
  <c r="L35" i="44"/>
  <c r="M35" i="44"/>
  <c r="N35" i="44"/>
  <c r="O35" i="44"/>
  <c r="P35" i="44"/>
  <c r="Q35" i="44"/>
  <c r="R35" i="44"/>
  <c r="S35" i="44"/>
  <c r="T35" i="44"/>
  <c r="U35" i="44"/>
  <c r="V35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 s="1"/>
  <c r="K38" i="44"/>
  <c r="L38" i="44"/>
  <c r="M38" i="44"/>
  <c r="N38" i="44"/>
  <c r="O38" i="44"/>
  <c r="P38" i="44"/>
  <c r="Q38" i="44"/>
  <c r="R38" i="44"/>
  <c r="S38" i="44"/>
  <c r="T38" i="44"/>
  <c r="U38" i="44"/>
  <c r="V38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K40" i="44"/>
  <c r="L40" i="44"/>
  <c r="M40" i="44"/>
  <c r="N40" i="44"/>
  <c r="O40" i="44"/>
  <c r="P40" i="44"/>
  <c r="Q40" i="44"/>
  <c r="R40" i="44"/>
  <c r="S40" i="44"/>
  <c r="T40" i="44"/>
  <c r="U40" i="44"/>
  <c r="V40" i="44"/>
  <c r="K41" i="44"/>
  <c r="L41" i="44"/>
  <c r="M41" i="44"/>
  <c r="N41" i="44"/>
  <c r="O41" i="44"/>
  <c r="P41" i="44"/>
  <c r="Q41" i="44"/>
  <c r="R41" i="44"/>
  <c r="S41" i="44"/>
  <c r="T41" i="44"/>
  <c r="U41" i="44"/>
  <c r="V41" i="44"/>
  <c r="W41" i="44" s="1"/>
  <c r="K42" i="44"/>
  <c r="L42" i="44"/>
  <c r="M42" i="44"/>
  <c r="N42" i="44"/>
  <c r="O42" i="44"/>
  <c r="P42" i="44"/>
  <c r="Q42" i="44"/>
  <c r="R42" i="44"/>
  <c r="S42" i="44"/>
  <c r="T42" i="44"/>
  <c r="U42" i="44"/>
  <c r="V42" i="44"/>
  <c r="K43" i="44"/>
  <c r="L43" i="44"/>
  <c r="M43" i="44"/>
  <c r="N43" i="44"/>
  <c r="O43" i="44"/>
  <c r="P43" i="44"/>
  <c r="Q43" i="44"/>
  <c r="R43" i="44"/>
  <c r="S43" i="44"/>
  <c r="T43" i="44"/>
  <c r="U43" i="44"/>
  <c r="V43" i="44"/>
  <c r="K44" i="44"/>
  <c r="L44" i="44"/>
  <c r="M44" i="44"/>
  <c r="N44" i="44"/>
  <c r="O44" i="44"/>
  <c r="P44" i="44"/>
  <c r="Q44" i="44"/>
  <c r="R44" i="44"/>
  <c r="S44" i="44"/>
  <c r="T44" i="44"/>
  <c r="U44" i="44"/>
  <c r="N73" i="44"/>
  <c r="K45" i="44"/>
  <c r="L45" i="44"/>
  <c r="M45" i="44"/>
  <c r="N45" i="44"/>
  <c r="O45" i="44"/>
  <c r="P45" i="44"/>
  <c r="Q45" i="44"/>
  <c r="R45" i="44"/>
  <c r="S45" i="44"/>
  <c r="T45" i="44"/>
  <c r="U45" i="44"/>
  <c r="V45" i="44"/>
  <c r="K46" i="44"/>
  <c r="L46" i="44"/>
  <c r="M46" i="44"/>
  <c r="N46" i="44"/>
  <c r="O46" i="44"/>
  <c r="P46" i="44"/>
  <c r="Q46" i="44"/>
  <c r="R46" i="44"/>
  <c r="S46" i="44"/>
  <c r="T46" i="44"/>
  <c r="U46" i="44"/>
  <c r="V46" i="44"/>
  <c r="K47" i="44"/>
  <c r="L47" i="44"/>
  <c r="M47" i="44"/>
  <c r="N47" i="44"/>
  <c r="O47" i="44"/>
  <c r="P47" i="44"/>
  <c r="Q47" i="44"/>
  <c r="R47" i="44"/>
  <c r="S47" i="44"/>
  <c r="T47" i="44"/>
  <c r="U47" i="44"/>
  <c r="V47" i="44"/>
  <c r="W47" i="44" s="1"/>
  <c r="K48" i="44"/>
  <c r="L48" i="44"/>
  <c r="M48" i="44"/>
  <c r="N48" i="44"/>
  <c r="O48" i="44"/>
  <c r="P48" i="44"/>
  <c r="Q48" i="44"/>
  <c r="R48" i="44"/>
  <c r="S48" i="44"/>
  <c r="T48" i="44"/>
  <c r="U48" i="44"/>
  <c r="V48" i="44"/>
  <c r="K49" i="44"/>
  <c r="L49" i="44"/>
  <c r="M49" i="44"/>
  <c r="N49" i="44"/>
  <c r="O49" i="44"/>
  <c r="P49" i="44"/>
  <c r="Q49" i="44"/>
  <c r="R49" i="44"/>
  <c r="S49" i="44"/>
  <c r="T49" i="44"/>
  <c r="U49" i="44"/>
  <c r="V49" i="44"/>
  <c r="K50" i="44"/>
  <c r="L50" i="44"/>
  <c r="M50" i="44"/>
  <c r="N50" i="44"/>
  <c r="O50" i="44"/>
  <c r="P50" i="44"/>
  <c r="Q50" i="44"/>
  <c r="R50" i="44"/>
  <c r="S50" i="44"/>
  <c r="T50" i="44"/>
  <c r="U50" i="44"/>
  <c r="V50" i="44"/>
  <c r="K51" i="44"/>
  <c r="L51" i="44"/>
  <c r="M51" i="44"/>
  <c r="N51" i="44"/>
  <c r="O51" i="44"/>
  <c r="P51" i="44"/>
  <c r="Q51" i="44"/>
  <c r="R51" i="44"/>
  <c r="S51" i="44"/>
  <c r="T51" i="44"/>
  <c r="U51" i="44"/>
  <c r="V51" i="44"/>
  <c r="K52" i="44"/>
  <c r="L52" i="44"/>
  <c r="M52" i="44"/>
  <c r="N52" i="44"/>
  <c r="O52" i="44"/>
  <c r="P52" i="44"/>
  <c r="Q52" i="44"/>
  <c r="R52" i="44"/>
  <c r="S52" i="44"/>
  <c r="T52" i="44"/>
  <c r="U52" i="44"/>
  <c r="V52" i="44"/>
  <c r="K53" i="44"/>
  <c r="L53" i="44"/>
  <c r="M53" i="44"/>
  <c r="N53" i="44"/>
  <c r="O53" i="44"/>
  <c r="P53" i="44"/>
  <c r="Q53" i="44"/>
  <c r="R53" i="44"/>
  <c r="S53" i="44"/>
  <c r="T53" i="44"/>
  <c r="U53" i="44"/>
  <c r="V53" i="44"/>
  <c r="K54" i="44"/>
  <c r="L54" i="44"/>
  <c r="M54" i="44"/>
  <c r="N54" i="44"/>
  <c r="O54" i="44"/>
  <c r="P54" i="44"/>
  <c r="Q54" i="44"/>
  <c r="R54" i="44"/>
  <c r="S54" i="44"/>
  <c r="T54" i="44"/>
  <c r="U54" i="44"/>
  <c r="V54" i="44"/>
  <c r="K55" i="44"/>
  <c r="L55" i="44"/>
  <c r="M55" i="44"/>
  <c r="N55" i="44"/>
  <c r="O55" i="44"/>
  <c r="P55" i="44"/>
  <c r="Q55" i="44"/>
  <c r="R55" i="44"/>
  <c r="S55" i="44"/>
  <c r="T55" i="44"/>
  <c r="U55" i="44"/>
  <c r="V55" i="44"/>
  <c r="M73" i="44"/>
  <c r="L73" i="44"/>
  <c r="K73" i="44"/>
  <c r="V72" i="44"/>
  <c r="U72" i="44"/>
  <c r="T72" i="44"/>
  <c r="S72" i="44"/>
  <c r="R72" i="44"/>
  <c r="Q72" i="44"/>
  <c r="P72" i="44"/>
  <c r="O72" i="44"/>
  <c r="N72" i="44"/>
  <c r="N69" i="44"/>
  <c r="M72" i="44"/>
  <c r="L72" i="44"/>
  <c r="K72" i="44"/>
  <c r="V71" i="44"/>
  <c r="U71" i="44"/>
  <c r="T71" i="44"/>
  <c r="S71" i="44"/>
  <c r="R71" i="44"/>
  <c r="Q71" i="44"/>
  <c r="P71" i="44"/>
  <c r="O71" i="44"/>
  <c r="N71" i="44"/>
  <c r="M71" i="44"/>
  <c r="L71" i="44"/>
  <c r="K71" i="44"/>
  <c r="V70" i="44"/>
  <c r="U70" i="44"/>
  <c r="T70" i="44"/>
  <c r="S70" i="44"/>
  <c r="R70" i="44"/>
  <c r="Q70" i="44"/>
  <c r="P70" i="44"/>
  <c r="O70" i="44"/>
  <c r="N70" i="44"/>
  <c r="M70" i="44"/>
  <c r="L70" i="44"/>
  <c r="K70" i="44"/>
  <c r="V69" i="44"/>
  <c r="U69" i="44"/>
  <c r="T69" i="44"/>
  <c r="S69" i="44"/>
  <c r="R69" i="44"/>
  <c r="Q69" i="44"/>
  <c r="P69" i="44"/>
  <c r="O69" i="44"/>
  <c r="K61" i="44"/>
  <c r="L61" i="44"/>
  <c r="M61" i="44"/>
  <c r="N61" i="44"/>
  <c r="O61" i="44"/>
  <c r="P61" i="44"/>
  <c r="Q61" i="44"/>
  <c r="R61" i="44"/>
  <c r="S61" i="44"/>
  <c r="T61" i="44"/>
  <c r="U61" i="44"/>
  <c r="V61" i="44"/>
  <c r="W61" i="44" s="1"/>
  <c r="K62" i="44"/>
  <c r="L62" i="44"/>
  <c r="M62" i="44"/>
  <c r="N62" i="44"/>
  <c r="O62" i="44"/>
  <c r="P62" i="44"/>
  <c r="Q62" i="44"/>
  <c r="R62" i="44"/>
  <c r="S62" i="44"/>
  <c r="T62" i="44"/>
  <c r="U62" i="44"/>
  <c r="V62" i="44"/>
  <c r="K63" i="44"/>
  <c r="L63" i="44"/>
  <c r="M63" i="44"/>
  <c r="N63" i="44"/>
  <c r="O63" i="44"/>
  <c r="P63" i="44"/>
  <c r="Q63" i="44"/>
  <c r="R63" i="44"/>
  <c r="S63" i="44"/>
  <c r="T63" i="44"/>
  <c r="U63" i="44"/>
  <c r="V63" i="44"/>
  <c r="K64" i="44"/>
  <c r="L64" i="44"/>
  <c r="M64" i="44"/>
  <c r="N64" i="44"/>
  <c r="O64" i="44"/>
  <c r="P64" i="44"/>
  <c r="Q64" i="44"/>
  <c r="R64" i="44"/>
  <c r="S64" i="44"/>
  <c r="T64" i="44"/>
  <c r="U64" i="44"/>
  <c r="V64" i="44"/>
  <c r="K65" i="44"/>
  <c r="L65" i="44"/>
  <c r="M65" i="44"/>
  <c r="N65" i="44"/>
  <c r="O65" i="44"/>
  <c r="P66" i="42"/>
  <c r="Q66" i="42"/>
  <c r="R66" i="42"/>
  <c r="S66" i="42"/>
  <c r="T66" i="42"/>
  <c r="U66" i="42"/>
  <c r="V66" i="42"/>
  <c r="K67" i="42"/>
  <c r="L67" i="42"/>
  <c r="M67" i="42"/>
  <c r="N67" i="42"/>
  <c r="O67" i="42"/>
  <c r="P67" i="42"/>
  <c r="Q67" i="42"/>
  <c r="R67" i="42"/>
  <c r="S67" i="42"/>
  <c r="T67" i="42"/>
  <c r="U67" i="42"/>
  <c r="V67" i="42"/>
  <c r="W67" i="42" s="1"/>
  <c r="K68" i="42"/>
  <c r="L68" i="42"/>
  <c r="M68" i="42"/>
  <c r="N68" i="42"/>
  <c r="O68" i="42"/>
  <c r="P68" i="42"/>
  <c r="Q68" i="42"/>
  <c r="R68" i="42"/>
  <c r="S68" i="42"/>
  <c r="T68" i="42"/>
  <c r="U68" i="42"/>
  <c r="V68" i="42"/>
  <c r="K69" i="42"/>
  <c r="L69" i="42"/>
  <c r="M69" i="42"/>
  <c r="N69" i="42"/>
  <c r="O69" i="42"/>
  <c r="P69" i="42"/>
  <c r="Q69" i="42"/>
  <c r="R69" i="42"/>
  <c r="S69" i="42"/>
  <c r="P52" i="42"/>
  <c r="K49" i="42"/>
  <c r="L49" i="42"/>
  <c r="M49" i="42"/>
  <c r="N49" i="42"/>
  <c r="O49" i="42"/>
  <c r="P49" i="42"/>
  <c r="Q49" i="42"/>
  <c r="R49" i="42"/>
  <c r="S49" i="42"/>
  <c r="T49" i="42"/>
  <c r="U49" i="42"/>
  <c r="V49" i="42"/>
  <c r="K50" i="42"/>
  <c r="L50" i="42"/>
  <c r="M50" i="42"/>
  <c r="N50" i="42"/>
  <c r="O50" i="42"/>
  <c r="P50" i="42"/>
  <c r="Q50" i="42"/>
  <c r="R50" i="42"/>
  <c r="S50" i="42"/>
  <c r="T50" i="42"/>
  <c r="U50" i="42"/>
  <c r="V50" i="42"/>
  <c r="K51" i="42"/>
  <c r="L51" i="42"/>
  <c r="M51" i="42"/>
  <c r="N51" i="42"/>
  <c r="O51" i="42"/>
  <c r="P51" i="42"/>
  <c r="Q51" i="42"/>
  <c r="R51" i="42"/>
  <c r="S51" i="42"/>
  <c r="T51" i="42"/>
  <c r="U51" i="42"/>
  <c r="V51" i="42"/>
  <c r="W51" i="42" s="1"/>
  <c r="K52" i="42"/>
  <c r="L52" i="42"/>
  <c r="M52" i="42"/>
  <c r="N52" i="42"/>
  <c r="O52" i="42"/>
  <c r="Q52" i="42"/>
  <c r="R52" i="42"/>
  <c r="S52" i="42"/>
  <c r="T52" i="42"/>
  <c r="U52" i="42"/>
  <c r="V52" i="42"/>
  <c r="K53" i="42"/>
  <c r="L53" i="42"/>
  <c r="M53" i="42"/>
  <c r="N53" i="42"/>
  <c r="O53" i="42"/>
  <c r="P53" i="42"/>
  <c r="Q53" i="42"/>
  <c r="R53" i="42"/>
  <c r="S53" i="42"/>
  <c r="T53" i="42"/>
  <c r="U53" i="42"/>
  <c r="V53" i="42"/>
  <c r="W53" i="42" s="1"/>
  <c r="K54" i="42"/>
  <c r="L54" i="42"/>
  <c r="M54" i="42"/>
  <c r="N54" i="42"/>
  <c r="O54" i="42"/>
  <c r="P54" i="42"/>
  <c r="Q54" i="42"/>
  <c r="R54" i="42"/>
  <c r="S54" i="42"/>
  <c r="T54" i="42"/>
  <c r="U54" i="42"/>
  <c r="V54" i="42"/>
  <c r="K55" i="42"/>
  <c r="L55" i="42"/>
  <c r="M55" i="42"/>
  <c r="N55" i="42"/>
  <c r="O55" i="42"/>
  <c r="P55" i="42"/>
  <c r="Q55" i="42"/>
  <c r="R55" i="42"/>
  <c r="S55" i="42"/>
  <c r="T55" i="42"/>
  <c r="U55" i="42"/>
  <c r="V55" i="42"/>
  <c r="K56" i="42"/>
  <c r="L56" i="42"/>
  <c r="M56" i="42"/>
  <c r="N56" i="42"/>
  <c r="O56" i="42"/>
  <c r="P56" i="42"/>
  <c r="Q56" i="42"/>
  <c r="R56" i="42"/>
  <c r="S56" i="42"/>
  <c r="T56" i="42"/>
  <c r="U56" i="42"/>
  <c r="V56" i="42"/>
  <c r="K57" i="42"/>
  <c r="L57" i="42"/>
  <c r="M57" i="42"/>
  <c r="N57" i="42"/>
  <c r="O57" i="42"/>
  <c r="P57" i="42"/>
  <c r="Q57" i="42"/>
  <c r="R57" i="42"/>
  <c r="S57" i="42"/>
  <c r="T57" i="42"/>
  <c r="U57" i="42"/>
  <c r="V57" i="42"/>
  <c r="K58" i="42"/>
  <c r="L58" i="42"/>
  <c r="M58" i="42"/>
  <c r="N58" i="42"/>
  <c r="O58" i="42"/>
  <c r="P58" i="42"/>
  <c r="Q58" i="42"/>
  <c r="R58" i="42"/>
  <c r="S58" i="42"/>
  <c r="T58" i="42"/>
  <c r="U58" i="42"/>
  <c r="V58" i="42"/>
  <c r="K59" i="42"/>
  <c r="L59" i="42"/>
  <c r="M59" i="42"/>
  <c r="N59" i="42"/>
  <c r="O59" i="42"/>
  <c r="P59" i="42"/>
  <c r="Q59" i="42"/>
  <c r="R59" i="42"/>
  <c r="S59" i="42"/>
  <c r="T59" i="42"/>
  <c r="U59" i="42"/>
  <c r="V59" i="42"/>
  <c r="K60" i="42"/>
  <c r="L60" i="42"/>
  <c r="M60" i="42"/>
  <c r="N60" i="42"/>
  <c r="O60" i="42"/>
  <c r="P60" i="42"/>
  <c r="Q60" i="42"/>
  <c r="R60" i="42"/>
  <c r="S60" i="42"/>
  <c r="T60" i="42"/>
  <c r="U60" i="42"/>
  <c r="V60" i="42"/>
  <c r="K61" i="42"/>
  <c r="L61" i="42"/>
  <c r="M61" i="42"/>
  <c r="N61" i="42"/>
  <c r="O61" i="42"/>
  <c r="P61" i="42"/>
  <c r="Q61" i="42"/>
  <c r="R61" i="42"/>
  <c r="S61" i="42"/>
  <c r="T61" i="42"/>
  <c r="U61" i="42"/>
  <c r="V61" i="42"/>
  <c r="K62" i="42"/>
  <c r="L62" i="42"/>
  <c r="M62" i="42"/>
  <c r="N62" i="42"/>
  <c r="O62" i="42"/>
  <c r="P62" i="42"/>
  <c r="Q62" i="42"/>
  <c r="R62" i="42"/>
  <c r="S62" i="42"/>
  <c r="T62" i="42"/>
  <c r="U62" i="42"/>
  <c r="V62" i="42"/>
  <c r="K63" i="42"/>
  <c r="L63" i="42"/>
  <c r="M63" i="42"/>
  <c r="N63" i="42"/>
  <c r="O63" i="42"/>
  <c r="P63" i="42"/>
  <c r="Q63" i="42"/>
  <c r="R63" i="42"/>
  <c r="S63" i="42"/>
  <c r="T63" i="42"/>
  <c r="U63" i="42"/>
  <c r="V63" i="42"/>
  <c r="W63" i="42" s="1"/>
  <c r="K64" i="42"/>
  <c r="L64" i="42"/>
  <c r="M64" i="42"/>
  <c r="N64" i="42"/>
  <c r="O64" i="42"/>
  <c r="P64" i="42"/>
  <c r="Q64" i="42"/>
  <c r="R64" i="42"/>
  <c r="S64" i="42"/>
  <c r="T64" i="42"/>
  <c r="U64" i="42"/>
  <c r="V64" i="42"/>
  <c r="Y64" i="42" s="1"/>
  <c r="K65" i="42"/>
  <c r="L65" i="42"/>
  <c r="M65" i="42"/>
  <c r="N65" i="42"/>
  <c r="O65" i="42"/>
  <c r="P65" i="42"/>
  <c r="Q65" i="42"/>
  <c r="R65" i="42"/>
  <c r="S65" i="42"/>
  <c r="T65" i="42"/>
  <c r="U65" i="42"/>
  <c r="V65" i="42"/>
  <c r="K66" i="42"/>
  <c r="L66" i="42"/>
  <c r="M66" i="42"/>
  <c r="N66" i="42"/>
  <c r="O66" i="42"/>
  <c r="K11" i="42"/>
  <c r="L11" i="42"/>
  <c r="AA16" i="42"/>
  <c r="Z16" i="42"/>
  <c r="W19" i="42"/>
  <c r="X19" i="42"/>
  <c r="X21" i="42"/>
  <c r="Y21" i="42"/>
  <c r="W23" i="42"/>
  <c r="X23" i="42"/>
  <c r="Y23" i="42"/>
  <c r="Z23" i="42"/>
  <c r="W34" i="42"/>
  <c r="X34" i="42"/>
  <c r="Z48" i="42"/>
  <c r="AA48" i="42"/>
  <c r="T19" i="41"/>
  <c r="U19" i="41"/>
  <c r="V19" i="41"/>
  <c r="K20" i="41"/>
  <c r="L20" i="41"/>
  <c r="M20" i="41"/>
  <c r="N20" i="41"/>
  <c r="O20" i="41"/>
  <c r="P20" i="41"/>
  <c r="Q20" i="41"/>
  <c r="R20" i="41"/>
  <c r="S20" i="41"/>
  <c r="T20" i="41"/>
  <c r="U20" i="41"/>
  <c r="V20" i="41"/>
  <c r="W20" i="41" s="1"/>
  <c r="K21" i="41"/>
  <c r="L21" i="41"/>
  <c r="M21" i="41"/>
  <c r="N21" i="41"/>
  <c r="O21" i="41"/>
  <c r="P21" i="41"/>
  <c r="Q21" i="41"/>
  <c r="R21" i="41"/>
  <c r="S21" i="41"/>
  <c r="T21" i="41"/>
  <c r="U21" i="41"/>
  <c r="V21" i="41"/>
  <c r="K22" i="41"/>
  <c r="L22" i="41"/>
  <c r="M22" i="41"/>
  <c r="N22" i="41"/>
  <c r="O22" i="41"/>
  <c r="P22" i="41"/>
  <c r="Q22" i="41"/>
  <c r="R22" i="41"/>
  <c r="S22" i="41"/>
  <c r="T22" i="41"/>
  <c r="U22" i="41"/>
  <c r="V22" i="41"/>
  <c r="W22" i="41" s="1"/>
  <c r="K23" i="41"/>
  <c r="L23" i="41"/>
  <c r="M23" i="41"/>
  <c r="S18" i="41"/>
  <c r="N23" i="41"/>
  <c r="O23" i="41"/>
  <c r="P23" i="41"/>
  <c r="Q23" i="41"/>
  <c r="R23" i="41"/>
  <c r="S23" i="41"/>
  <c r="T23" i="41"/>
  <c r="U23" i="41"/>
  <c r="V23" i="41"/>
  <c r="K24" i="41"/>
  <c r="L24" i="41"/>
  <c r="M24" i="41"/>
  <c r="N24" i="41"/>
  <c r="O24" i="41"/>
  <c r="P24" i="41"/>
  <c r="Q24" i="41"/>
  <c r="R24" i="41"/>
  <c r="S24" i="41"/>
  <c r="T24" i="41"/>
  <c r="U24" i="41"/>
  <c r="V24" i="41"/>
  <c r="W24" i="41" s="1"/>
  <c r="K25" i="41"/>
  <c r="L25" i="41"/>
  <c r="M25" i="41"/>
  <c r="N25" i="41"/>
  <c r="O25" i="41"/>
  <c r="P25" i="41"/>
  <c r="Q25" i="41"/>
  <c r="R25" i="41"/>
  <c r="S25" i="41"/>
  <c r="T25" i="41"/>
  <c r="U25" i="41"/>
  <c r="V25" i="41"/>
  <c r="K26" i="41"/>
  <c r="L26" i="41"/>
  <c r="M26" i="41"/>
  <c r="N26" i="41"/>
  <c r="O26" i="41"/>
  <c r="P26" i="41"/>
  <c r="Q26" i="41"/>
  <c r="R26" i="41"/>
  <c r="S26" i="41"/>
  <c r="T26" i="41"/>
  <c r="U26" i="41"/>
  <c r="V26" i="41"/>
  <c r="K28" i="41"/>
  <c r="L28" i="41"/>
  <c r="M28" i="41"/>
  <c r="N28" i="41"/>
  <c r="O28" i="41"/>
  <c r="P28" i="41"/>
  <c r="Q28" i="41"/>
  <c r="R28" i="41"/>
  <c r="S28" i="41"/>
  <c r="T28" i="41"/>
  <c r="U28" i="41"/>
  <c r="V28" i="41"/>
  <c r="K29" i="41"/>
  <c r="L29" i="41"/>
  <c r="M29" i="41"/>
  <c r="N29" i="41"/>
  <c r="O29" i="41"/>
  <c r="P29" i="41"/>
  <c r="Q29" i="41"/>
  <c r="R29" i="41"/>
  <c r="S29" i="41"/>
  <c r="T29" i="41"/>
  <c r="U29" i="41"/>
  <c r="V29" i="41"/>
  <c r="W29" i="41" s="1"/>
  <c r="K30" i="41"/>
  <c r="L30" i="41"/>
  <c r="M30" i="41"/>
  <c r="N30" i="41"/>
  <c r="O30" i="41"/>
  <c r="P30" i="41"/>
  <c r="Q30" i="41"/>
  <c r="R30" i="41"/>
  <c r="S30" i="41"/>
  <c r="U15" i="41"/>
  <c r="V15" i="41"/>
  <c r="T30" i="41"/>
  <c r="U30" i="41"/>
  <c r="K31" i="41"/>
  <c r="L31" i="41"/>
  <c r="M31" i="41"/>
  <c r="N31" i="41"/>
  <c r="K16" i="41"/>
  <c r="L16" i="41"/>
  <c r="M16" i="41"/>
  <c r="N16" i="41"/>
  <c r="O16" i="41"/>
  <c r="P16" i="41"/>
  <c r="Q16" i="41"/>
  <c r="R16" i="41"/>
  <c r="S16" i="41"/>
  <c r="T16" i="41"/>
  <c r="U16" i="41"/>
  <c r="V16" i="41"/>
  <c r="Y16" i="41" s="1"/>
  <c r="K17" i="41"/>
  <c r="L17" i="41"/>
  <c r="M17" i="41"/>
  <c r="N17" i="41"/>
  <c r="O17" i="41"/>
  <c r="P17" i="41"/>
  <c r="Q17" i="41"/>
  <c r="R17" i="41"/>
  <c r="S17" i="41"/>
  <c r="T17" i="41"/>
  <c r="U17" i="41"/>
  <c r="V17" i="41"/>
  <c r="K18" i="41"/>
  <c r="L18" i="41"/>
  <c r="M18" i="41"/>
  <c r="N18" i="41"/>
  <c r="O18" i="41"/>
  <c r="P18" i="41"/>
  <c r="Q18" i="41"/>
  <c r="R18" i="41"/>
  <c r="V30" i="41"/>
  <c r="T18" i="41"/>
  <c r="U18" i="41"/>
  <c r="V18" i="41"/>
  <c r="K19" i="41"/>
  <c r="L19" i="41"/>
  <c r="M19" i="41"/>
  <c r="N19" i="41"/>
  <c r="O19" i="41"/>
  <c r="P19" i="41"/>
  <c r="Q19" i="41"/>
  <c r="R19" i="41"/>
  <c r="S19" i="41"/>
  <c r="AE15" i="41"/>
  <c r="Z15" i="41"/>
  <c r="AA15" i="41"/>
  <c r="AB15" i="41"/>
  <c r="AC15" i="41"/>
  <c r="AD15" i="41"/>
  <c r="AB29" i="39"/>
  <c r="AA29" i="39"/>
  <c r="Z29" i="39"/>
  <c r="Y29" i="39"/>
  <c r="X29" i="39"/>
  <c r="AC29" i="39"/>
  <c r="AC16" i="37"/>
  <c r="AB16" i="37"/>
  <c r="AD16" i="37"/>
  <c r="AA16" i="37"/>
  <c r="AE16" i="37"/>
  <c r="AB17" i="37"/>
  <c r="AA17" i="37"/>
  <c r="X17" i="37"/>
  <c r="AD17" i="37"/>
  <c r="Z17" i="37"/>
  <c r="AC17" i="37"/>
  <c r="Y17" i="37"/>
  <c r="AE17" i="37"/>
  <c r="W26" i="37"/>
  <c r="X26" i="37"/>
  <c r="AA26" i="37"/>
  <c r="Z26" i="37"/>
  <c r="Y26" i="37"/>
  <c r="Y44" i="37"/>
  <c r="X44" i="37"/>
  <c r="AA44" i="37"/>
  <c r="X49" i="37"/>
  <c r="W49" i="37"/>
  <c r="Y49" i="37"/>
  <c r="Y54" i="37"/>
  <c r="X54" i="37"/>
  <c r="Z54" i="37"/>
  <c r="W11" i="36"/>
  <c r="Y11" i="36"/>
  <c r="Z11" i="36"/>
  <c r="AA23" i="36"/>
  <c r="Y23" i="36"/>
  <c r="X23" i="36"/>
  <c r="Z23" i="36"/>
  <c r="AC31" i="36"/>
  <c r="AD31" i="36"/>
  <c r="AB31" i="36"/>
  <c r="Z31" i="36"/>
  <c r="W33" i="36"/>
  <c r="AA33" i="36"/>
  <c r="Y33" i="36"/>
  <c r="Z33" i="36"/>
  <c r="X33" i="36"/>
  <c r="W35" i="36"/>
  <c r="X35" i="36"/>
  <c r="W40" i="36"/>
  <c r="X40" i="36"/>
  <c r="Y41" i="36"/>
  <c r="W41" i="36"/>
  <c r="AC52" i="36"/>
  <c r="AB52" i="36"/>
  <c r="AA52" i="36"/>
  <c r="Z58" i="36"/>
  <c r="AA58" i="36"/>
  <c r="W60" i="36"/>
  <c r="Y60" i="36"/>
  <c r="W64" i="36"/>
  <c r="X64" i="36"/>
  <c r="W69" i="36"/>
  <c r="Y69" i="36"/>
  <c r="W72" i="36"/>
  <c r="Y72" i="36"/>
  <c r="Y77" i="36"/>
  <c r="X77" i="36"/>
  <c r="W78" i="36"/>
  <c r="X78" i="36"/>
  <c r="K11" i="35"/>
  <c r="V10" i="35"/>
  <c r="L11" i="35"/>
  <c r="P11" i="35"/>
  <c r="S11" i="35"/>
  <c r="R11" i="35"/>
  <c r="U11" i="35"/>
  <c r="M11" i="35"/>
  <c r="O11" i="35"/>
  <c r="Q11" i="35"/>
  <c r="T11" i="35"/>
  <c r="N11" i="35"/>
  <c r="AA13" i="35"/>
  <c r="Y13" i="35"/>
  <c r="W13" i="35"/>
  <c r="Z13" i="35"/>
  <c r="Y14" i="35"/>
  <c r="AC14" i="35"/>
  <c r="AD14" i="35"/>
  <c r="AA14" i="35"/>
  <c r="Z14" i="35"/>
  <c r="X14" i="35"/>
  <c r="Y29" i="35"/>
  <c r="X29" i="35"/>
  <c r="X33" i="35"/>
  <c r="Y33" i="35"/>
  <c r="Y44" i="35"/>
  <c r="X44" i="35"/>
  <c r="W51" i="35"/>
  <c r="X51" i="35"/>
  <c r="AE52" i="35"/>
  <c r="AD52" i="35"/>
  <c r="AC54" i="35"/>
  <c r="AB54" i="35"/>
  <c r="AD54" i="35"/>
  <c r="AA54" i="35"/>
  <c r="Z54" i="35"/>
  <c r="AE54" i="35"/>
  <c r="Y77" i="35"/>
  <c r="X77" i="35"/>
  <c r="W81" i="35"/>
  <c r="Y81" i="35"/>
  <c r="U13" i="34"/>
  <c r="V13" i="34"/>
  <c r="L14" i="34"/>
  <c r="Q13" i="34"/>
  <c r="M14" i="34"/>
  <c r="N14" i="34"/>
  <c r="P14" i="34"/>
  <c r="R14" i="34"/>
  <c r="S14" i="34"/>
  <c r="K14" i="34"/>
  <c r="AB21" i="34"/>
  <c r="AC21" i="34"/>
  <c r="Z21" i="34"/>
  <c r="AA21" i="34"/>
  <c r="W33" i="34"/>
  <c r="Y33" i="34"/>
  <c r="X33" i="34"/>
  <c r="Z33" i="34"/>
  <c r="AA33" i="34"/>
  <c r="C19" i="46"/>
  <c r="D19" i="46"/>
  <c r="Y19" i="46"/>
  <c r="AD19" i="46"/>
  <c r="Z19" i="46"/>
  <c r="AE19" i="46"/>
  <c r="AB19" i="46"/>
  <c r="X19" i="46"/>
  <c r="AA19" i="46"/>
  <c r="AC19" i="46"/>
  <c r="W19" i="46"/>
  <c r="D20" i="46"/>
  <c r="C20" i="46"/>
  <c r="D26" i="46"/>
  <c r="C26" i="46"/>
  <c r="E26" i="46"/>
  <c r="D66" i="46"/>
  <c r="C66" i="46"/>
  <c r="C69" i="46"/>
  <c r="D69" i="46"/>
  <c r="W14" i="43"/>
  <c r="W21" i="42"/>
  <c r="W22" i="42"/>
  <c r="W27" i="42"/>
  <c r="W35" i="42"/>
  <c r="Y48" i="42"/>
  <c r="W54" i="42"/>
  <c r="W14" i="41"/>
  <c r="X16" i="37"/>
  <c r="Y48" i="37"/>
  <c r="W23" i="36"/>
  <c r="N10" i="44"/>
  <c r="M10" i="44"/>
  <c r="P10" i="44"/>
  <c r="L10" i="44"/>
  <c r="O10" i="44"/>
  <c r="K10" i="44"/>
  <c r="X14" i="44"/>
  <c r="W14" i="44"/>
  <c r="Y14" i="44"/>
  <c r="P24" i="43"/>
  <c r="Q24" i="43"/>
  <c r="R24" i="43"/>
  <c r="S24" i="43"/>
  <c r="T24" i="43"/>
  <c r="U24" i="43"/>
  <c r="V24" i="43"/>
  <c r="K25" i="43"/>
  <c r="L25" i="43"/>
  <c r="M25" i="43"/>
  <c r="N25" i="43"/>
  <c r="O25" i="43"/>
  <c r="P25" i="43"/>
  <c r="Q25" i="43"/>
  <c r="R25" i="43"/>
  <c r="S25" i="43"/>
  <c r="T25" i="43"/>
  <c r="U25" i="43"/>
  <c r="V25" i="43"/>
  <c r="K26" i="43"/>
  <c r="L26" i="43"/>
  <c r="M26" i="43"/>
  <c r="N26" i="43"/>
  <c r="O26" i="43"/>
  <c r="P26" i="43"/>
  <c r="Q26" i="43"/>
  <c r="R26" i="43"/>
  <c r="S26" i="43"/>
  <c r="T26" i="43"/>
  <c r="U26" i="43"/>
  <c r="V26" i="43"/>
  <c r="K27" i="43"/>
  <c r="L27" i="43"/>
  <c r="M27" i="43"/>
  <c r="N27" i="43"/>
  <c r="O27" i="43"/>
  <c r="P27" i="43"/>
  <c r="Q27" i="43"/>
  <c r="R27" i="43"/>
  <c r="S27" i="43"/>
  <c r="T27" i="43"/>
  <c r="U27" i="43"/>
  <c r="V27" i="43"/>
  <c r="K28" i="43"/>
  <c r="L28" i="43"/>
  <c r="M28" i="43"/>
  <c r="N28" i="43"/>
  <c r="O28" i="43"/>
  <c r="P28" i="43"/>
  <c r="Q28" i="43"/>
  <c r="R28" i="43"/>
  <c r="S28" i="43"/>
  <c r="T28" i="43"/>
  <c r="U28" i="43"/>
  <c r="V28" i="43"/>
  <c r="P33" i="43"/>
  <c r="Q33" i="43"/>
  <c r="R33" i="43"/>
  <c r="S33" i="43"/>
  <c r="T33" i="43"/>
  <c r="U33" i="43"/>
  <c r="V33" i="43"/>
  <c r="K34" i="43"/>
  <c r="L34" i="43"/>
  <c r="M34" i="43"/>
  <c r="N34" i="43"/>
  <c r="O34" i="43"/>
  <c r="P34" i="43"/>
  <c r="Q34" i="43"/>
  <c r="R34" i="43"/>
  <c r="S34" i="43"/>
  <c r="T34" i="43"/>
  <c r="U34" i="43"/>
  <c r="V34" i="43"/>
  <c r="K35" i="43"/>
  <c r="L35" i="43"/>
  <c r="M35" i="43"/>
  <c r="N35" i="43"/>
  <c r="O35" i="43"/>
  <c r="P35" i="43"/>
  <c r="Q35" i="43"/>
  <c r="R35" i="43"/>
  <c r="S35" i="43"/>
  <c r="T35" i="43"/>
  <c r="U35" i="43"/>
  <c r="V35" i="43"/>
  <c r="K36" i="43"/>
  <c r="L36" i="43"/>
  <c r="M36" i="43"/>
  <c r="N36" i="43"/>
  <c r="O36" i="43"/>
  <c r="P36" i="43"/>
  <c r="Q36" i="43"/>
  <c r="R36" i="43"/>
  <c r="S36" i="43"/>
  <c r="T36" i="43"/>
  <c r="U36" i="43"/>
  <c r="V36" i="43"/>
  <c r="K37" i="43"/>
  <c r="L37" i="43"/>
  <c r="M37" i="43"/>
  <c r="N37" i="43"/>
  <c r="O37" i="43"/>
  <c r="P37" i="43"/>
  <c r="Q37" i="43"/>
  <c r="R37" i="43"/>
  <c r="S37" i="43"/>
  <c r="T37" i="43"/>
  <c r="U37" i="43"/>
  <c r="V37" i="43"/>
  <c r="K38" i="43"/>
  <c r="L38" i="43"/>
  <c r="M38" i="43"/>
  <c r="N38" i="43"/>
  <c r="O38" i="43"/>
  <c r="P38" i="43"/>
  <c r="Q38" i="43"/>
  <c r="R38" i="43"/>
  <c r="S38" i="43"/>
  <c r="T38" i="43"/>
  <c r="U38" i="43"/>
  <c r="V38" i="43"/>
  <c r="K39" i="43"/>
  <c r="L39" i="43"/>
  <c r="M39" i="43"/>
  <c r="N39" i="43"/>
  <c r="O39" i="43"/>
  <c r="P39" i="43"/>
  <c r="Q39" i="43"/>
  <c r="R39" i="43"/>
  <c r="S39" i="43"/>
  <c r="T39" i="43"/>
  <c r="U39" i="43"/>
  <c r="V39" i="43"/>
  <c r="K40" i="43"/>
  <c r="L40" i="43"/>
  <c r="M40" i="43"/>
  <c r="N40" i="43"/>
  <c r="O40" i="43"/>
  <c r="P40" i="43"/>
  <c r="Q40" i="43"/>
  <c r="R40" i="43"/>
  <c r="S40" i="43"/>
  <c r="T40" i="43"/>
  <c r="U40" i="43"/>
  <c r="V40" i="43"/>
  <c r="K41" i="43"/>
  <c r="L41" i="43"/>
  <c r="M41" i="43"/>
  <c r="N41" i="43"/>
  <c r="O41" i="43"/>
  <c r="P41" i="43"/>
  <c r="Q41" i="43"/>
  <c r="R41" i="43"/>
  <c r="S41" i="43"/>
  <c r="T41" i="43"/>
  <c r="U41" i="43"/>
  <c r="V41" i="43"/>
  <c r="K42" i="43"/>
  <c r="L42" i="43"/>
  <c r="M42" i="43"/>
  <c r="N42" i="43"/>
  <c r="O42" i="43"/>
  <c r="P42" i="43"/>
  <c r="Q42" i="43"/>
  <c r="R42" i="43"/>
  <c r="S42" i="43"/>
  <c r="T42" i="43"/>
  <c r="U42" i="43"/>
  <c r="V42" i="43"/>
  <c r="K43" i="43"/>
  <c r="L43" i="43"/>
  <c r="M43" i="43"/>
  <c r="N43" i="43"/>
  <c r="O43" i="43"/>
  <c r="P43" i="43"/>
  <c r="Q43" i="43"/>
  <c r="R43" i="43"/>
  <c r="S43" i="43"/>
  <c r="T43" i="43"/>
  <c r="U43" i="43"/>
  <c r="V43" i="43"/>
  <c r="K44" i="43"/>
  <c r="L44" i="43"/>
  <c r="M44" i="43"/>
  <c r="N44" i="43"/>
  <c r="O44" i="43"/>
  <c r="P44" i="43"/>
  <c r="Q44" i="43"/>
  <c r="R44" i="43"/>
  <c r="S44" i="43"/>
  <c r="T44" i="43"/>
  <c r="U44" i="43"/>
  <c r="V44" i="43"/>
  <c r="W44" i="43" s="1"/>
  <c r="K45" i="43"/>
  <c r="L45" i="43"/>
  <c r="M45" i="43"/>
  <c r="N45" i="43"/>
  <c r="O45" i="43"/>
  <c r="P45" i="43"/>
  <c r="Q45" i="43"/>
  <c r="R45" i="43"/>
  <c r="S45" i="43"/>
  <c r="T45" i="43"/>
  <c r="U45" i="43"/>
  <c r="V45" i="43"/>
  <c r="K46" i="43"/>
  <c r="L46" i="43"/>
  <c r="M46" i="43"/>
  <c r="N46" i="43"/>
  <c r="O46" i="43"/>
  <c r="P46" i="43"/>
  <c r="Q46" i="43"/>
  <c r="R46" i="43"/>
  <c r="S46" i="43"/>
  <c r="T46" i="43"/>
  <c r="U46" i="43"/>
  <c r="V46" i="43"/>
  <c r="W46" i="43" s="1"/>
  <c r="K47" i="43"/>
  <c r="L47" i="43"/>
  <c r="M47" i="43"/>
  <c r="N47" i="43"/>
  <c r="O47" i="43"/>
  <c r="P47" i="43"/>
  <c r="Q47" i="43"/>
  <c r="R47" i="43"/>
  <c r="S47" i="43"/>
  <c r="T47" i="43"/>
  <c r="U47" i="43"/>
  <c r="V47" i="43"/>
  <c r="K48" i="43"/>
  <c r="L48" i="43"/>
  <c r="M48" i="43"/>
  <c r="N48" i="43"/>
  <c r="O48" i="43"/>
  <c r="P48" i="43"/>
  <c r="Q48" i="43"/>
  <c r="R48" i="43"/>
  <c r="S48" i="43"/>
  <c r="T48" i="43"/>
  <c r="U48" i="43"/>
  <c r="V48" i="43"/>
  <c r="K49" i="43"/>
  <c r="L49" i="43"/>
  <c r="M49" i="43"/>
  <c r="N49" i="43"/>
  <c r="O49" i="43"/>
  <c r="P49" i="43"/>
  <c r="Q49" i="43"/>
  <c r="R49" i="43"/>
  <c r="S49" i="43"/>
  <c r="T49" i="43"/>
  <c r="U49" i="43"/>
  <c r="V49" i="43"/>
  <c r="K50" i="43"/>
  <c r="L50" i="43"/>
  <c r="M50" i="43"/>
  <c r="N50" i="43"/>
  <c r="O50" i="43"/>
  <c r="P50" i="43"/>
  <c r="Q50" i="43"/>
  <c r="R50" i="43"/>
  <c r="S50" i="43"/>
  <c r="T50" i="43"/>
  <c r="U50" i="43"/>
  <c r="V50" i="43"/>
  <c r="K51" i="43"/>
  <c r="L51" i="43"/>
  <c r="M51" i="43"/>
  <c r="N51" i="43"/>
  <c r="O51" i="43"/>
  <c r="P51" i="43"/>
  <c r="Q51" i="43"/>
  <c r="R51" i="43"/>
  <c r="S51" i="43"/>
  <c r="T51" i="43"/>
  <c r="U51" i="43"/>
  <c r="V51" i="43"/>
  <c r="K52" i="43"/>
  <c r="L52" i="43"/>
  <c r="M52" i="43"/>
  <c r="N52" i="43"/>
  <c r="O52" i="43"/>
  <c r="P52" i="43"/>
  <c r="Q52" i="43"/>
  <c r="R52" i="43"/>
  <c r="S52" i="43"/>
  <c r="T52" i="43"/>
  <c r="U52" i="43"/>
  <c r="V52" i="43"/>
  <c r="X52" i="43" s="1"/>
  <c r="K53" i="43"/>
  <c r="L53" i="43"/>
  <c r="M53" i="43"/>
  <c r="N53" i="43"/>
  <c r="O53" i="43"/>
  <c r="P53" i="43"/>
  <c r="Q53" i="43"/>
  <c r="R53" i="43"/>
  <c r="S53" i="43"/>
  <c r="T53" i="43"/>
  <c r="U53" i="43"/>
  <c r="V53" i="43"/>
  <c r="K54" i="43"/>
  <c r="L54" i="43"/>
  <c r="M54" i="43"/>
  <c r="N54" i="43"/>
  <c r="O54" i="43"/>
  <c r="P54" i="43"/>
  <c r="Q54" i="43"/>
  <c r="R54" i="43"/>
  <c r="S54" i="43"/>
  <c r="T54" i="43"/>
  <c r="U54" i="43"/>
  <c r="V54" i="43"/>
  <c r="K55" i="43"/>
  <c r="L55" i="43"/>
  <c r="M55" i="43"/>
  <c r="N55" i="43"/>
  <c r="O55" i="43"/>
  <c r="P55" i="43"/>
  <c r="Q55" i="43"/>
  <c r="R55" i="43"/>
  <c r="S55" i="43"/>
  <c r="T55" i="43"/>
  <c r="U55" i="43"/>
  <c r="V55" i="43"/>
  <c r="K56" i="43"/>
  <c r="L56" i="43"/>
  <c r="M56" i="43"/>
  <c r="N56" i="43"/>
  <c r="O56" i="43"/>
  <c r="P56" i="43"/>
  <c r="Q56" i="43"/>
  <c r="R56" i="43"/>
  <c r="S56" i="43"/>
  <c r="T56" i="43"/>
  <c r="U56" i="43"/>
  <c r="V56" i="43"/>
  <c r="W56" i="43" s="1"/>
  <c r="K57" i="43"/>
  <c r="L57" i="43"/>
  <c r="M57" i="43"/>
  <c r="N57" i="43"/>
  <c r="O57" i="43"/>
  <c r="P57" i="43"/>
  <c r="Q57" i="43"/>
  <c r="R57" i="43"/>
  <c r="S57" i="43"/>
  <c r="T57" i="43"/>
  <c r="U57" i="43"/>
  <c r="V57" i="43"/>
  <c r="K58" i="43"/>
  <c r="L58" i="43"/>
  <c r="M58" i="43"/>
  <c r="N58" i="43"/>
  <c r="O58" i="43"/>
  <c r="P58" i="43"/>
  <c r="Q58" i="43"/>
  <c r="R58" i="43"/>
  <c r="S58" i="43"/>
  <c r="T58" i="43"/>
  <c r="U58" i="43"/>
  <c r="V58" i="43"/>
  <c r="K59" i="43"/>
  <c r="L59" i="43"/>
  <c r="M59" i="43"/>
  <c r="N59" i="43"/>
  <c r="O59" i="43"/>
  <c r="P59" i="43"/>
  <c r="Q59" i="43"/>
  <c r="R59" i="43"/>
  <c r="S59" i="43"/>
  <c r="T59" i="43"/>
  <c r="U59" i="43"/>
  <c r="V59" i="43"/>
  <c r="K60" i="43"/>
  <c r="L60" i="43"/>
  <c r="M60" i="43"/>
  <c r="N60" i="43"/>
  <c r="O60" i="43"/>
  <c r="P60" i="43"/>
  <c r="Q60" i="43"/>
  <c r="R60" i="43"/>
  <c r="S60" i="43"/>
  <c r="T60" i="43"/>
  <c r="U60" i="43"/>
  <c r="V60" i="43"/>
  <c r="K61" i="43"/>
  <c r="L61" i="43"/>
  <c r="M61" i="43"/>
  <c r="N61" i="43"/>
  <c r="O61" i="43"/>
  <c r="P61" i="43"/>
  <c r="Q61" i="43"/>
  <c r="R61" i="43"/>
  <c r="S61" i="43"/>
  <c r="T61" i="43"/>
  <c r="U61" i="43"/>
  <c r="V61" i="43"/>
  <c r="K62" i="43"/>
  <c r="L62" i="43"/>
  <c r="M62" i="43"/>
  <c r="N62" i="43"/>
  <c r="O62" i="43"/>
  <c r="P62" i="43"/>
  <c r="Q62" i="43"/>
  <c r="R62" i="43"/>
  <c r="S62" i="43"/>
  <c r="T62" i="43"/>
  <c r="U62" i="43"/>
  <c r="K63" i="43"/>
  <c r="L63" i="43"/>
  <c r="M63" i="43"/>
  <c r="N63" i="43"/>
  <c r="O63" i="43"/>
  <c r="P63" i="43"/>
  <c r="Q63" i="43"/>
  <c r="R63" i="43"/>
  <c r="S63" i="43"/>
  <c r="T63" i="43"/>
  <c r="U63" i="43"/>
  <c r="V63" i="43"/>
  <c r="K64" i="43"/>
  <c r="L64" i="43"/>
  <c r="M64" i="43"/>
  <c r="N64" i="43"/>
  <c r="O64" i="43"/>
  <c r="P64" i="43"/>
  <c r="Q64" i="43"/>
  <c r="R64" i="43"/>
  <c r="S64" i="43"/>
  <c r="T64" i="43"/>
  <c r="U64" i="43"/>
  <c r="V64" i="43"/>
  <c r="W64" i="43" s="1"/>
  <c r="K65" i="43"/>
  <c r="L65" i="43"/>
  <c r="M65" i="43"/>
  <c r="N65" i="43"/>
  <c r="O65" i="43"/>
  <c r="P65" i="43"/>
  <c r="Q65" i="43"/>
  <c r="R65" i="43"/>
  <c r="S65" i="43"/>
  <c r="T65" i="43"/>
  <c r="U65" i="43"/>
  <c r="V65" i="43"/>
  <c r="K66" i="43"/>
  <c r="L66" i="43"/>
  <c r="M66" i="43"/>
  <c r="N66" i="43"/>
  <c r="O66" i="43"/>
  <c r="P66" i="43"/>
  <c r="Q66" i="43"/>
  <c r="R66" i="43"/>
  <c r="S66" i="43"/>
  <c r="T66" i="43"/>
  <c r="U66" i="43"/>
  <c r="V66" i="43"/>
  <c r="K67" i="43"/>
  <c r="L67" i="43"/>
  <c r="M67" i="43"/>
  <c r="N67" i="43"/>
  <c r="O67" i="43"/>
  <c r="P67" i="43"/>
  <c r="Q67" i="43"/>
  <c r="R67" i="43"/>
  <c r="S67" i="43"/>
  <c r="T67" i="43"/>
  <c r="U67" i="43"/>
  <c r="V67" i="43"/>
  <c r="K68" i="43"/>
  <c r="L68" i="43"/>
  <c r="M68" i="43"/>
  <c r="N68" i="43"/>
  <c r="O68" i="43"/>
  <c r="P68" i="43"/>
  <c r="Q68" i="43"/>
  <c r="R68" i="43"/>
  <c r="S68" i="43"/>
  <c r="T68" i="43"/>
  <c r="U68" i="43"/>
  <c r="V68" i="43"/>
  <c r="X68" i="43" s="1"/>
  <c r="K69" i="43"/>
  <c r="L69" i="43"/>
  <c r="M69" i="43"/>
  <c r="N69" i="43"/>
  <c r="O69" i="43"/>
  <c r="P69" i="43"/>
  <c r="Q69" i="43"/>
  <c r="R69" i="43"/>
  <c r="S69" i="43"/>
  <c r="T69" i="43"/>
  <c r="U69" i="43"/>
  <c r="V69" i="43"/>
  <c r="X69" i="43" s="1"/>
  <c r="K70" i="43"/>
  <c r="L70" i="43"/>
  <c r="M70" i="43"/>
  <c r="N70" i="43"/>
  <c r="O70" i="43"/>
  <c r="P70" i="43"/>
  <c r="Q70" i="43"/>
  <c r="R70" i="43"/>
  <c r="S70" i="43"/>
  <c r="T70" i="43"/>
  <c r="U70" i="43"/>
  <c r="V70" i="43"/>
  <c r="W70" i="43" s="1"/>
  <c r="K71" i="43"/>
  <c r="L71" i="43"/>
  <c r="M71" i="43"/>
  <c r="N71" i="43"/>
  <c r="O71" i="43"/>
  <c r="P71" i="43"/>
  <c r="Q71" i="43"/>
  <c r="R71" i="43"/>
  <c r="S71" i="43"/>
  <c r="T71" i="43"/>
  <c r="U71" i="43"/>
  <c r="V71" i="43"/>
  <c r="K72" i="43"/>
  <c r="L72" i="43"/>
  <c r="M72" i="43"/>
  <c r="N72" i="43"/>
  <c r="O72" i="43"/>
  <c r="P72" i="43"/>
  <c r="Q72" i="43"/>
  <c r="R72" i="43"/>
  <c r="S72" i="43"/>
  <c r="T72" i="43"/>
  <c r="U72" i="43"/>
  <c r="V72" i="43"/>
  <c r="K73" i="43"/>
  <c r="L73" i="43"/>
  <c r="M73" i="43"/>
  <c r="N73" i="43"/>
  <c r="O73" i="43"/>
  <c r="P73" i="43"/>
  <c r="Q73" i="43"/>
  <c r="R73" i="43"/>
  <c r="S73" i="43"/>
  <c r="T73" i="43"/>
  <c r="U73" i="43"/>
  <c r="V73" i="43"/>
  <c r="W73" i="43" s="1"/>
  <c r="K74" i="43"/>
  <c r="L74" i="43"/>
  <c r="M74" i="43"/>
  <c r="N74" i="43"/>
  <c r="O74" i="43"/>
  <c r="P74" i="43"/>
  <c r="Q74" i="43"/>
  <c r="R74" i="43"/>
  <c r="S74" i="43"/>
  <c r="T74" i="43"/>
  <c r="U74" i="43"/>
  <c r="V74" i="43"/>
  <c r="W74" i="43" s="1"/>
  <c r="K75" i="43"/>
  <c r="L75" i="43"/>
  <c r="M75" i="43"/>
  <c r="N75" i="43"/>
  <c r="O75" i="43"/>
  <c r="P75" i="43"/>
  <c r="Q75" i="43"/>
  <c r="R75" i="43"/>
  <c r="S75" i="43"/>
  <c r="T75" i="43"/>
  <c r="U75" i="43"/>
  <c r="V75" i="43"/>
  <c r="W75" i="43" s="1"/>
  <c r="K76" i="43"/>
  <c r="L76" i="43"/>
  <c r="M76" i="43"/>
  <c r="N76" i="43"/>
  <c r="O76" i="43"/>
  <c r="P76" i="43"/>
  <c r="Q76" i="43"/>
  <c r="R76" i="43"/>
  <c r="S76" i="43"/>
  <c r="T76" i="43"/>
  <c r="U76" i="43"/>
  <c r="V76" i="43"/>
  <c r="K77" i="43"/>
  <c r="L77" i="43"/>
  <c r="M77" i="43"/>
  <c r="N77" i="43"/>
  <c r="O77" i="43"/>
  <c r="P77" i="43"/>
  <c r="Q77" i="43"/>
  <c r="R77" i="43"/>
  <c r="S77" i="43"/>
  <c r="T77" i="43"/>
  <c r="U77" i="43"/>
  <c r="V77" i="43"/>
  <c r="K78" i="43"/>
  <c r="L78" i="43"/>
  <c r="M78" i="43"/>
  <c r="N78" i="43"/>
  <c r="O78" i="43"/>
  <c r="P78" i="43"/>
  <c r="Q78" i="43"/>
  <c r="R78" i="43"/>
  <c r="S78" i="43"/>
  <c r="T78" i="43"/>
  <c r="U78" i="43"/>
  <c r="V78" i="43"/>
  <c r="K79" i="43"/>
  <c r="L79" i="43"/>
  <c r="M79" i="43"/>
  <c r="N79" i="43"/>
  <c r="O79" i="43"/>
  <c r="P79" i="43"/>
  <c r="Q79" i="43"/>
  <c r="R79" i="43"/>
  <c r="S79" i="43"/>
  <c r="T79" i="43"/>
  <c r="U79" i="43"/>
  <c r="V79" i="43"/>
  <c r="K80" i="43"/>
  <c r="L80" i="43"/>
  <c r="M80" i="43"/>
  <c r="N80" i="43"/>
  <c r="O80" i="43"/>
  <c r="P80" i="43"/>
  <c r="Q80" i="43"/>
  <c r="R80" i="43"/>
  <c r="S80" i="43"/>
  <c r="T80" i="43"/>
  <c r="U80" i="43"/>
  <c r="V80" i="43"/>
  <c r="K81" i="43"/>
  <c r="L81" i="43"/>
  <c r="M81" i="43"/>
  <c r="N81" i="43"/>
  <c r="O81" i="43"/>
  <c r="P81" i="43"/>
  <c r="Q81" i="43"/>
  <c r="R81" i="43"/>
  <c r="S81" i="43"/>
  <c r="T81" i="43"/>
  <c r="U81" i="43"/>
  <c r="V81" i="43"/>
  <c r="K82" i="43"/>
  <c r="L82" i="43"/>
  <c r="M82" i="43"/>
  <c r="N82" i="43"/>
  <c r="O82" i="43"/>
  <c r="P82" i="43"/>
  <c r="Q82" i="43"/>
  <c r="R82" i="43"/>
  <c r="S82" i="43"/>
  <c r="T82" i="43"/>
  <c r="U82" i="43"/>
  <c r="V82" i="43"/>
  <c r="K83" i="43"/>
  <c r="L83" i="43"/>
  <c r="M83" i="43"/>
  <c r="N83" i="43"/>
  <c r="O83" i="43"/>
  <c r="P83" i="43"/>
  <c r="Q83" i="43"/>
  <c r="R83" i="43"/>
  <c r="S83" i="43"/>
  <c r="T83" i="43"/>
  <c r="U83" i="43"/>
  <c r="V83" i="43"/>
  <c r="K84" i="43"/>
  <c r="L84" i="43"/>
  <c r="M84" i="43"/>
  <c r="N84" i="43"/>
  <c r="O84" i="43"/>
  <c r="P84" i="43"/>
  <c r="Q84" i="43"/>
  <c r="R84" i="43"/>
  <c r="S84" i="43"/>
  <c r="T84" i="43"/>
  <c r="U84" i="43"/>
  <c r="V84" i="43"/>
  <c r="K85" i="43"/>
  <c r="L85" i="43"/>
  <c r="M85" i="43"/>
  <c r="N85" i="43"/>
  <c r="O85" i="43"/>
  <c r="P85" i="43"/>
  <c r="Q85" i="43"/>
  <c r="R85" i="43"/>
  <c r="S85" i="43"/>
  <c r="T85" i="43"/>
  <c r="V62" i="43"/>
  <c r="V85" i="43"/>
  <c r="U85" i="43"/>
  <c r="K20" i="43"/>
  <c r="L20" i="43"/>
  <c r="M20" i="43"/>
  <c r="N20" i="43"/>
  <c r="O20" i="43"/>
  <c r="P20" i="43"/>
  <c r="Q20" i="43"/>
  <c r="R20" i="43"/>
  <c r="S20" i="43"/>
  <c r="T20" i="43"/>
  <c r="U20" i="43"/>
  <c r="V20" i="43"/>
  <c r="K21" i="43"/>
  <c r="L21" i="43"/>
  <c r="M21" i="43"/>
  <c r="N21" i="43"/>
  <c r="O21" i="43"/>
  <c r="P21" i="43"/>
  <c r="Q21" i="43"/>
  <c r="R21" i="43"/>
  <c r="S21" i="43"/>
  <c r="T21" i="43"/>
  <c r="U21" i="43"/>
  <c r="V21" i="43"/>
  <c r="K22" i="43"/>
  <c r="L22" i="43"/>
  <c r="M22" i="43"/>
  <c r="N22" i="43"/>
  <c r="O22" i="43"/>
  <c r="P22" i="43"/>
  <c r="Q22" i="43"/>
  <c r="R22" i="43"/>
  <c r="S22" i="43"/>
  <c r="T22" i="43"/>
  <c r="U22" i="43"/>
  <c r="V22" i="43"/>
  <c r="K23" i="43"/>
  <c r="L23" i="43"/>
  <c r="M23" i="43"/>
  <c r="N23" i="43"/>
  <c r="O23" i="43"/>
  <c r="P23" i="43"/>
  <c r="Q23" i="43"/>
  <c r="R23" i="43"/>
  <c r="S23" i="43"/>
  <c r="T23" i="43"/>
  <c r="U23" i="43"/>
  <c r="V23" i="43"/>
  <c r="W23" i="43" s="1"/>
  <c r="K24" i="43"/>
  <c r="L24" i="43"/>
  <c r="M24" i="43"/>
  <c r="N24" i="43"/>
  <c r="O24" i="43"/>
  <c r="X14" i="43"/>
  <c r="Y14" i="43"/>
  <c r="R73" i="42"/>
  <c r="S73" i="42"/>
  <c r="T73" i="42"/>
  <c r="U73" i="42"/>
  <c r="V73" i="42"/>
  <c r="K74" i="42"/>
  <c r="L74" i="42"/>
  <c r="M74" i="42"/>
  <c r="N74" i="42"/>
  <c r="O74" i="42"/>
  <c r="P74" i="42"/>
  <c r="Q74" i="42"/>
  <c r="R74" i="42"/>
  <c r="S74" i="42"/>
  <c r="T74" i="42"/>
  <c r="U74" i="42"/>
  <c r="V74" i="42"/>
  <c r="K75" i="42"/>
  <c r="L75" i="42"/>
  <c r="M75" i="42"/>
  <c r="N75" i="42"/>
  <c r="O75" i="42"/>
  <c r="P75" i="42"/>
  <c r="Q75" i="42"/>
  <c r="R75" i="42"/>
  <c r="S75" i="42"/>
  <c r="T75" i="42"/>
  <c r="U75" i="42"/>
  <c r="V75" i="42"/>
  <c r="K76" i="42"/>
  <c r="L76" i="42"/>
  <c r="M76" i="42"/>
  <c r="N76" i="42"/>
  <c r="O76" i="42"/>
  <c r="P76" i="42"/>
  <c r="Q76" i="42"/>
  <c r="R76" i="42"/>
  <c r="S76" i="42"/>
  <c r="T76" i="42"/>
  <c r="U76" i="42"/>
  <c r="V76" i="42"/>
  <c r="K77" i="42"/>
  <c r="L77" i="42"/>
  <c r="M77" i="42"/>
  <c r="N77" i="42"/>
  <c r="O77" i="42"/>
  <c r="P77" i="42"/>
  <c r="Q77" i="42"/>
  <c r="R77" i="42"/>
  <c r="S77" i="42"/>
  <c r="T77" i="42"/>
  <c r="U77" i="42"/>
  <c r="V77" i="42"/>
  <c r="K78" i="42"/>
  <c r="L78" i="42"/>
  <c r="M78" i="42"/>
  <c r="N78" i="42"/>
  <c r="O78" i="42"/>
  <c r="P78" i="42"/>
  <c r="Q78" i="42"/>
  <c r="R78" i="42"/>
  <c r="S78" i="42"/>
  <c r="T78" i="42"/>
  <c r="U78" i="42"/>
  <c r="V78" i="42"/>
  <c r="K79" i="42"/>
  <c r="L79" i="42"/>
  <c r="M79" i="42"/>
  <c r="N79" i="42"/>
  <c r="O79" i="42"/>
  <c r="P79" i="42"/>
  <c r="Q79" i="42"/>
  <c r="R79" i="42"/>
  <c r="S79" i="42"/>
  <c r="T79" i="42"/>
  <c r="U79" i="42"/>
  <c r="V79" i="42"/>
  <c r="K80" i="42"/>
  <c r="L80" i="42"/>
  <c r="M80" i="42"/>
  <c r="N80" i="42"/>
  <c r="O80" i="42"/>
  <c r="P80" i="42"/>
  <c r="Q80" i="42"/>
  <c r="R80" i="42"/>
  <c r="S80" i="42"/>
  <c r="T80" i="42"/>
  <c r="U80" i="42"/>
  <c r="V80" i="42"/>
  <c r="K81" i="42"/>
  <c r="L81" i="42"/>
  <c r="M81" i="42"/>
  <c r="N81" i="42"/>
  <c r="O81" i="42"/>
  <c r="P81" i="42"/>
  <c r="Q81" i="42"/>
  <c r="R81" i="42"/>
  <c r="S81" i="42"/>
  <c r="T81" i="42"/>
  <c r="U81" i="42"/>
  <c r="V81" i="42"/>
  <c r="K82" i="42"/>
  <c r="L82" i="42"/>
  <c r="M82" i="42"/>
  <c r="N82" i="42"/>
  <c r="O82" i="42"/>
  <c r="P82" i="42"/>
  <c r="Q82" i="42"/>
  <c r="R82" i="42"/>
  <c r="S82" i="42"/>
  <c r="T82" i="42"/>
  <c r="U82" i="42"/>
  <c r="V82" i="42"/>
  <c r="K83" i="42"/>
  <c r="L83" i="42"/>
  <c r="M83" i="42"/>
  <c r="N83" i="42"/>
  <c r="O83" i="42"/>
  <c r="P83" i="42"/>
  <c r="Q83" i="42"/>
  <c r="R83" i="42"/>
  <c r="S83" i="42"/>
  <c r="T83" i="42"/>
  <c r="U83" i="42"/>
  <c r="V83" i="42"/>
  <c r="W83" i="42" s="1"/>
  <c r="K84" i="42"/>
  <c r="L84" i="42"/>
  <c r="M84" i="42"/>
  <c r="N84" i="42"/>
  <c r="O84" i="42"/>
  <c r="P84" i="42"/>
  <c r="Q84" i="42"/>
  <c r="R84" i="42"/>
  <c r="S84" i="42"/>
  <c r="T84" i="42"/>
  <c r="U84" i="42"/>
  <c r="V84" i="42"/>
  <c r="W84" i="42" s="1"/>
  <c r="K85" i="42"/>
  <c r="L85" i="42"/>
  <c r="M85" i="42"/>
  <c r="N85" i="42"/>
  <c r="O85" i="42"/>
  <c r="P85" i="42"/>
  <c r="Q85" i="42"/>
  <c r="R85" i="42"/>
  <c r="S85" i="42"/>
  <c r="T85" i="42"/>
  <c r="U85" i="42"/>
  <c r="V85" i="42"/>
  <c r="O73" i="42"/>
  <c r="P73" i="42"/>
  <c r="T69" i="42"/>
  <c r="U69" i="42"/>
  <c r="V69" i="42"/>
  <c r="K70" i="42"/>
  <c r="L70" i="42"/>
  <c r="M70" i="42"/>
  <c r="N70" i="42"/>
  <c r="O70" i="42"/>
  <c r="P70" i="42"/>
  <c r="Q70" i="42"/>
  <c r="R70" i="42"/>
  <c r="S70" i="42"/>
  <c r="T70" i="42"/>
  <c r="U70" i="42"/>
  <c r="V70" i="42"/>
  <c r="K71" i="42"/>
  <c r="L71" i="42"/>
  <c r="M71" i="42"/>
  <c r="N71" i="42"/>
  <c r="O71" i="42"/>
  <c r="P71" i="42"/>
  <c r="Q71" i="42"/>
  <c r="R71" i="42"/>
  <c r="S71" i="42"/>
  <c r="T71" i="42"/>
  <c r="U71" i="42"/>
  <c r="V71" i="42"/>
  <c r="K72" i="42"/>
  <c r="L72" i="42"/>
  <c r="M72" i="42"/>
  <c r="N72" i="42"/>
  <c r="O72" i="42"/>
  <c r="Q73" i="42"/>
  <c r="Q72" i="42"/>
  <c r="R72" i="42"/>
  <c r="S72" i="42"/>
  <c r="T72" i="42"/>
  <c r="U72" i="42"/>
  <c r="V72" i="42"/>
  <c r="K73" i="42"/>
  <c r="L73" i="42"/>
  <c r="M73" i="42"/>
  <c r="N73" i="42"/>
  <c r="P72" i="42"/>
  <c r="S10" i="40"/>
  <c r="T10" i="40"/>
  <c r="U10" i="40"/>
  <c r="V10" i="40"/>
  <c r="N10" i="40"/>
  <c r="O10" i="40"/>
  <c r="P10" i="40"/>
  <c r="Q10" i="40"/>
  <c r="R10" i="40"/>
  <c r="T33" i="45"/>
  <c r="L32" i="45"/>
  <c r="M32" i="45"/>
  <c r="N32" i="45"/>
  <c r="O32" i="45"/>
  <c r="P32" i="45"/>
  <c r="Q32" i="45"/>
  <c r="R32" i="45"/>
  <c r="S32" i="45"/>
  <c r="T32" i="45"/>
  <c r="U32" i="45"/>
  <c r="V32" i="45"/>
  <c r="L37" i="45"/>
  <c r="K37" i="45"/>
  <c r="V36" i="45"/>
  <c r="O36" i="45"/>
  <c r="U36" i="45"/>
  <c r="T36" i="45"/>
  <c r="S36" i="45"/>
  <c r="R36" i="45"/>
  <c r="Q36" i="45"/>
  <c r="K33" i="45"/>
  <c r="L33" i="45"/>
  <c r="M33" i="45"/>
  <c r="N33" i="45"/>
  <c r="O33" i="45"/>
  <c r="P33" i="45"/>
  <c r="Q33" i="45"/>
  <c r="R33" i="45"/>
  <c r="S33" i="45"/>
  <c r="P36" i="45"/>
  <c r="U33" i="45"/>
  <c r="V33" i="45"/>
  <c r="K34" i="45"/>
  <c r="L34" i="45"/>
  <c r="M34" i="45"/>
  <c r="N34" i="45"/>
  <c r="O34" i="45"/>
  <c r="P34" i="45"/>
  <c r="Q34" i="45"/>
  <c r="R34" i="45"/>
  <c r="S34" i="45"/>
  <c r="T34" i="45"/>
  <c r="U34" i="45"/>
  <c r="V34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K36" i="45"/>
  <c r="L36" i="45"/>
  <c r="M36" i="45"/>
  <c r="N36" i="45"/>
  <c r="M37" i="45"/>
  <c r="N37" i="45"/>
  <c r="O37" i="45"/>
  <c r="P37" i="45"/>
  <c r="Q37" i="45"/>
  <c r="R37" i="45"/>
  <c r="S37" i="45"/>
  <c r="T37" i="45"/>
  <c r="U37" i="45"/>
  <c r="V37" i="45"/>
  <c r="K55" i="45"/>
  <c r="L55" i="45"/>
  <c r="M55" i="45"/>
  <c r="N55" i="45"/>
  <c r="O55" i="45"/>
  <c r="P55" i="45"/>
  <c r="Q55" i="45"/>
  <c r="L38" i="45"/>
  <c r="K38" i="45"/>
  <c r="R55" i="45"/>
  <c r="S55" i="45"/>
  <c r="T55" i="45"/>
  <c r="U55" i="45"/>
  <c r="V55" i="45"/>
  <c r="W23" i="45"/>
  <c r="X23" i="45"/>
  <c r="C79" i="45"/>
  <c r="D79" i="45"/>
  <c r="W32" i="40"/>
  <c r="W16" i="37"/>
  <c r="W19" i="43"/>
  <c r="W71" i="42"/>
  <c r="W54" i="37"/>
  <c r="W70" i="36"/>
  <c r="W18" i="42"/>
  <c r="W79" i="44"/>
  <c r="Y79" i="44"/>
  <c r="X79" i="44"/>
  <c r="W18" i="43"/>
  <c r="X18" i="43"/>
  <c r="W41" i="42"/>
  <c r="Y41" i="42"/>
  <c r="W80" i="42"/>
  <c r="X80" i="42"/>
  <c r="Q31" i="41"/>
  <c r="R31" i="41"/>
  <c r="S31" i="41"/>
  <c r="T31" i="41"/>
  <c r="U31" i="41"/>
  <c r="V31" i="41"/>
  <c r="T32" i="41"/>
  <c r="U32" i="41"/>
  <c r="V32" i="41"/>
  <c r="K33" i="41"/>
  <c r="L33" i="41"/>
  <c r="M33" i="41"/>
  <c r="N33" i="41"/>
  <c r="O33" i="41"/>
  <c r="P33" i="41"/>
  <c r="Q33" i="41"/>
  <c r="R33" i="41"/>
  <c r="S33" i="41"/>
  <c r="T33" i="41"/>
  <c r="U33" i="41"/>
  <c r="V33" i="41"/>
  <c r="K34" i="41"/>
  <c r="M34" i="41"/>
  <c r="O34" i="41"/>
  <c r="P34" i="41"/>
  <c r="Q34" i="41"/>
  <c r="R34" i="41"/>
  <c r="S34" i="41"/>
  <c r="T34" i="41"/>
  <c r="U34" i="41"/>
  <c r="V34" i="41"/>
  <c r="K35" i="41"/>
  <c r="L35" i="41"/>
  <c r="M35" i="41"/>
  <c r="N35" i="41"/>
  <c r="O35" i="41"/>
  <c r="P35" i="41"/>
  <c r="S32" i="41"/>
  <c r="R35" i="41"/>
  <c r="S35" i="41"/>
  <c r="T35" i="41"/>
  <c r="U35" i="41"/>
  <c r="V35" i="41"/>
  <c r="K36" i="41"/>
  <c r="L36" i="41"/>
  <c r="M36" i="41"/>
  <c r="N36" i="41"/>
  <c r="O36" i="41"/>
  <c r="P36" i="41"/>
  <c r="R32" i="41"/>
  <c r="Q32" i="41"/>
  <c r="P32" i="41"/>
  <c r="O32" i="41"/>
  <c r="L34" i="41"/>
  <c r="N34" i="41"/>
  <c r="N32" i="41"/>
  <c r="M32" i="41"/>
  <c r="L32" i="41"/>
  <c r="K32" i="41"/>
  <c r="O31" i="41"/>
  <c r="P31" i="41"/>
  <c r="Q35" i="41"/>
  <c r="M19" i="40"/>
  <c r="N19" i="40"/>
  <c r="O19" i="40"/>
  <c r="P19" i="40"/>
  <c r="Q19" i="40"/>
  <c r="R19" i="40"/>
  <c r="S19" i="40"/>
  <c r="T19" i="40"/>
  <c r="U19" i="40"/>
  <c r="V19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K24" i="40"/>
  <c r="L24" i="40"/>
  <c r="M24" i="40"/>
  <c r="N24" i="40"/>
  <c r="O24" i="40"/>
  <c r="P24" i="40"/>
  <c r="Q24" i="40"/>
  <c r="R24" i="40"/>
  <c r="S24" i="40"/>
  <c r="T24" i="40"/>
  <c r="U24" i="40"/>
  <c r="V24" i="40"/>
  <c r="K25" i="40"/>
  <c r="L25" i="40"/>
  <c r="M25" i="40"/>
  <c r="N25" i="40"/>
  <c r="O25" i="40"/>
  <c r="P25" i="40"/>
  <c r="Q25" i="40"/>
  <c r="R25" i="40"/>
  <c r="S25" i="40"/>
  <c r="T25" i="40"/>
  <c r="U25" i="40"/>
  <c r="V25" i="40"/>
  <c r="W25" i="40" s="1"/>
  <c r="K26" i="40"/>
  <c r="L26" i="40"/>
  <c r="M26" i="40"/>
  <c r="N26" i="40"/>
  <c r="O26" i="40"/>
  <c r="P26" i="40"/>
  <c r="Q26" i="40"/>
  <c r="R26" i="40"/>
  <c r="S26" i="40"/>
  <c r="S18" i="40"/>
  <c r="K18" i="40"/>
  <c r="L18" i="40"/>
  <c r="M18" i="40"/>
  <c r="N18" i="40"/>
  <c r="O18" i="40"/>
  <c r="P18" i="40"/>
  <c r="Q18" i="40"/>
  <c r="R18" i="40"/>
  <c r="T18" i="40"/>
  <c r="U18" i="40"/>
  <c r="V18" i="40"/>
  <c r="K19" i="40"/>
  <c r="L19" i="40"/>
  <c r="X14" i="39"/>
  <c r="Y14" i="39"/>
  <c r="W14" i="39"/>
  <c r="AA36" i="39"/>
  <c r="Z36" i="39"/>
  <c r="P10" i="38"/>
  <c r="R10" i="38"/>
  <c r="W33" i="37"/>
  <c r="X33" i="37"/>
  <c r="P30" i="44"/>
  <c r="K30" i="44"/>
  <c r="L30" i="44"/>
  <c r="M30" i="44"/>
  <c r="N30" i="44"/>
  <c r="O30" i="44"/>
  <c r="Q30" i="44"/>
  <c r="R30" i="44"/>
  <c r="S30" i="44"/>
  <c r="T30" i="44"/>
  <c r="U30" i="44"/>
  <c r="V30" i="44"/>
  <c r="O31" i="44"/>
  <c r="P31" i="44"/>
  <c r="Q31" i="44"/>
  <c r="R31" i="44"/>
  <c r="K31" i="44"/>
  <c r="L31" i="44"/>
  <c r="M31" i="44"/>
  <c r="N31" i="44"/>
  <c r="V31" i="44"/>
  <c r="S31" i="44"/>
  <c r="U31" i="44"/>
  <c r="T31" i="44"/>
  <c r="C26" i="44"/>
  <c r="D26" i="44"/>
  <c r="D61" i="44"/>
  <c r="C61" i="44"/>
  <c r="W10" i="43"/>
  <c r="K30" i="42"/>
  <c r="W66" i="36"/>
  <c r="W27" i="34"/>
  <c r="W29" i="34"/>
  <c r="W15" i="36"/>
  <c r="W36" i="35"/>
  <c r="X20" i="34"/>
  <c r="Y16" i="43"/>
  <c r="W16" i="43"/>
  <c r="U10" i="42"/>
  <c r="N10" i="42"/>
  <c r="M10" i="42"/>
  <c r="S10" i="42"/>
  <c r="P10" i="42"/>
  <c r="T10" i="42"/>
  <c r="L10" i="42"/>
  <c r="Q10" i="42"/>
  <c r="K10" i="42"/>
  <c r="O10" i="42"/>
  <c r="R10" i="42"/>
  <c r="V10" i="42"/>
  <c r="X14" i="42"/>
  <c r="W14" i="42"/>
  <c r="Y14" i="42"/>
  <c r="X16" i="42"/>
  <c r="Y16" i="42"/>
  <c r="W16" i="42"/>
  <c r="X24" i="42"/>
  <c r="W24" i="42"/>
  <c r="Y25" i="42"/>
  <c r="W25" i="42"/>
  <c r="X25" i="42"/>
  <c r="X40" i="42"/>
  <c r="Y40" i="42"/>
  <c r="W40" i="42"/>
  <c r="X42" i="42"/>
  <c r="W42" i="42"/>
  <c r="X48" i="42"/>
  <c r="W48" i="42"/>
  <c r="M10" i="41"/>
  <c r="L10" i="41"/>
  <c r="P10" i="41"/>
  <c r="K10" i="41"/>
  <c r="O10" i="41"/>
  <c r="N10" i="41"/>
  <c r="S39" i="40"/>
  <c r="T39" i="40"/>
  <c r="U39" i="40"/>
  <c r="V39" i="40"/>
  <c r="K40" i="40"/>
  <c r="L40" i="40"/>
  <c r="M40" i="40"/>
  <c r="N40" i="40"/>
  <c r="O40" i="40"/>
  <c r="P40" i="40"/>
  <c r="Q40" i="40"/>
  <c r="R40" i="40"/>
  <c r="S40" i="40"/>
  <c r="T40" i="40"/>
  <c r="U40" i="40"/>
  <c r="V40" i="40"/>
  <c r="K41" i="40"/>
  <c r="L41" i="40"/>
  <c r="M41" i="40"/>
  <c r="N41" i="40"/>
  <c r="O41" i="40"/>
  <c r="P41" i="40"/>
  <c r="Q41" i="40"/>
  <c r="R41" i="40"/>
  <c r="S41" i="40"/>
  <c r="T41" i="40"/>
  <c r="U41" i="40"/>
  <c r="V41" i="40"/>
  <c r="W41" i="40" s="1"/>
  <c r="K42" i="40"/>
  <c r="L42" i="40"/>
  <c r="M42" i="40"/>
  <c r="N42" i="40"/>
  <c r="O42" i="40"/>
  <c r="P42" i="40"/>
  <c r="Q42" i="40"/>
  <c r="R42" i="40"/>
  <c r="S42" i="40"/>
  <c r="U45" i="40"/>
  <c r="R39" i="40"/>
  <c r="P44" i="40"/>
  <c r="O44" i="40"/>
  <c r="N44" i="40"/>
  <c r="M44" i="40"/>
  <c r="K37" i="40"/>
  <c r="L37" i="40"/>
  <c r="M37" i="40"/>
  <c r="N37" i="40"/>
  <c r="O37" i="40"/>
  <c r="P37" i="40"/>
  <c r="M39" i="40"/>
  <c r="L39" i="40"/>
  <c r="K39" i="40"/>
  <c r="Q37" i="40"/>
  <c r="R37" i="40"/>
  <c r="S37" i="40"/>
  <c r="T37" i="40"/>
  <c r="U37" i="40"/>
  <c r="L44" i="40"/>
  <c r="V37" i="40"/>
  <c r="V38" i="40"/>
  <c r="K38" i="40"/>
  <c r="L38" i="40"/>
  <c r="M38" i="40"/>
  <c r="N38" i="40"/>
  <c r="O38" i="40"/>
  <c r="P38" i="40"/>
  <c r="K44" i="40"/>
  <c r="V43" i="40"/>
  <c r="U43" i="40"/>
  <c r="T43" i="40"/>
  <c r="S43" i="40"/>
  <c r="R43" i="40"/>
  <c r="Q43" i="40"/>
  <c r="L10" i="40"/>
  <c r="P43" i="40"/>
  <c r="O43" i="40"/>
  <c r="N43" i="40"/>
  <c r="M43" i="40"/>
  <c r="L43" i="40"/>
  <c r="K43" i="40"/>
  <c r="U42" i="40"/>
  <c r="T42" i="40"/>
  <c r="M10" i="40"/>
  <c r="N39" i="40"/>
  <c r="Q38" i="40"/>
  <c r="R38" i="40"/>
  <c r="S38" i="40"/>
  <c r="T38" i="40"/>
  <c r="U38" i="40"/>
  <c r="U47" i="40"/>
  <c r="T47" i="40"/>
  <c r="S47" i="40"/>
  <c r="R47" i="40"/>
  <c r="Q47" i="40"/>
  <c r="P47" i="40"/>
  <c r="O47" i="40"/>
  <c r="N47" i="40"/>
  <c r="M47" i="40"/>
  <c r="L47" i="40"/>
  <c r="K47" i="40"/>
  <c r="V46" i="40"/>
  <c r="U46" i="40"/>
  <c r="O39" i="40"/>
  <c r="T46" i="40"/>
  <c r="S46" i="40"/>
  <c r="R46" i="40"/>
  <c r="Q46" i="40"/>
  <c r="P46" i="40"/>
  <c r="O46" i="40"/>
  <c r="N46" i="40"/>
  <c r="M46" i="40"/>
  <c r="L46" i="40"/>
  <c r="K46" i="40"/>
  <c r="V45" i="40"/>
  <c r="T45" i="40"/>
  <c r="S45" i="40"/>
  <c r="R45" i="40"/>
  <c r="Q45" i="40"/>
  <c r="P45" i="40"/>
  <c r="V42" i="40"/>
  <c r="O45" i="40"/>
  <c r="N45" i="40"/>
  <c r="M45" i="40"/>
  <c r="L45" i="40"/>
  <c r="P39" i="40"/>
  <c r="Q39" i="40"/>
  <c r="K45" i="40"/>
  <c r="V44" i="40"/>
  <c r="U44" i="40"/>
  <c r="T44" i="40"/>
  <c r="S44" i="40"/>
  <c r="R44" i="40"/>
  <c r="Q44" i="40"/>
  <c r="K10" i="40"/>
  <c r="X13" i="40"/>
  <c r="W13" i="40"/>
  <c r="W31" i="40"/>
  <c r="X31" i="40"/>
  <c r="Y33" i="40"/>
  <c r="W33" i="40"/>
  <c r="X33" i="40"/>
  <c r="W36" i="40"/>
  <c r="X36" i="40"/>
  <c r="Y36" i="40"/>
  <c r="AA15" i="36"/>
  <c r="X15" i="36"/>
  <c r="Y15" i="36"/>
  <c r="AB15" i="36"/>
  <c r="Z15" i="36"/>
  <c r="AC15" i="36"/>
  <c r="X21" i="36"/>
  <c r="AB21" i="36"/>
  <c r="Z21" i="36"/>
  <c r="W21" i="36"/>
  <c r="Y21" i="36"/>
  <c r="AA21" i="36"/>
  <c r="AC21" i="36"/>
  <c r="AD21" i="36"/>
  <c r="AE21" i="36"/>
  <c r="W31" i="36"/>
  <c r="X31" i="36"/>
  <c r="AD50" i="36"/>
  <c r="AE50" i="36"/>
  <c r="X66" i="36"/>
  <c r="AE66" i="36"/>
  <c r="AC66" i="36"/>
  <c r="AB66" i="36"/>
  <c r="AA66" i="36"/>
  <c r="Z66" i="36"/>
  <c r="Y66" i="36"/>
  <c r="AD66" i="36"/>
  <c r="AE75" i="36"/>
  <c r="AD75" i="36"/>
  <c r="Z75" i="36"/>
  <c r="AA75" i="36"/>
  <c r="AB75" i="36"/>
  <c r="AC75" i="36"/>
  <c r="Y75" i="36"/>
  <c r="AD25" i="35"/>
  <c r="AB25" i="35"/>
  <c r="AD26" i="35"/>
  <c r="AE26" i="35"/>
  <c r="AA26" i="35"/>
  <c r="Z26" i="35"/>
  <c r="AB26" i="35"/>
  <c r="AC26" i="35"/>
  <c r="X36" i="35"/>
  <c r="Y36" i="35"/>
  <c r="AB36" i="35"/>
  <c r="AA36" i="35"/>
  <c r="Z36" i="35"/>
  <c r="N50" i="34"/>
  <c r="O50" i="34"/>
  <c r="P50" i="34"/>
  <c r="Q50" i="34"/>
  <c r="R50" i="34"/>
  <c r="S50" i="34"/>
  <c r="T50" i="34"/>
  <c r="U50" i="34"/>
  <c r="V50" i="34"/>
  <c r="K51" i="34"/>
  <c r="L51" i="34"/>
  <c r="M51" i="34"/>
  <c r="N51" i="34"/>
  <c r="O51" i="34"/>
  <c r="P51" i="34"/>
  <c r="Q51" i="34"/>
  <c r="R51" i="34"/>
  <c r="S51" i="34"/>
  <c r="T51" i="34"/>
  <c r="U51" i="34"/>
  <c r="V51" i="34"/>
  <c r="W51" i="34" s="1"/>
  <c r="K52" i="34"/>
  <c r="L52" i="34"/>
  <c r="M52" i="34"/>
  <c r="N52" i="34"/>
  <c r="O52" i="34"/>
  <c r="P52" i="34"/>
  <c r="Q52" i="34"/>
  <c r="R52" i="34"/>
  <c r="S52" i="34"/>
  <c r="T52" i="34"/>
  <c r="U52" i="34"/>
  <c r="V52" i="34"/>
  <c r="AA52" i="34" s="1"/>
  <c r="K53" i="34"/>
  <c r="L53" i="34"/>
  <c r="M53" i="34"/>
  <c r="N53" i="34"/>
  <c r="O53" i="34"/>
  <c r="P53" i="34"/>
  <c r="Q53" i="34"/>
  <c r="R53" i="34"/>
  <c r="S53" i="34"/>
  <c r="T53" i="34"/>
  <c r="U53" i="34"/>
  <c r="V53" i="34"/>
  <c r="K54" i="34"/>
  <c r="L54" i="34"/>
  <c r="M54" i="34"/>
  <c r="N54" i="34"/>
  <c r="O54" i="34"/>
  <c r="P54" i="34"/>
  <c r="Q54" i="34"/>
  <c r="R54" i="34"/>
  <c r="S54" i="34"/>
  <c r="T54" i="34"/>
  <c r="U54" i="34"/>
  <c r="V54" i="34"/>
  <c r="X54" i="34" s="1"/>
  <c r="K55" i="34"/>
  <c r="L55" i="34"/>
  <c r="M55" i="34"/>
  <c r="N55" i="34"/>
  <c r="O55" i="34"/>
  <c r="P55" i="34"/>
  <c r="Q55" i="34"/>
  <c r="R55" i="34"/>
  <c r="S55" i="34"/>
  <c r="T55" i="34"/>
  <c r="U55" i="34"/>
  <c r="V55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X56" i="34" s="1"/>
  <c r="K57" i="34"/>
  <c r="L57" i="34"/>
  <c r="M57" i="34"/>
  <c r="N57" i="34"/>
  <c r="O57" i="34"/>
  <c r="P57" i="34"/>
  <c r="Q57" i="34"/>
  <c r="R57" i="34"/>
  <c r="S57" i="34"/>
  <c r="T57" i="34"/>
  <c r="U57" i="34"/>
  <c r="V57" i="34"/>
  <c r="K58" i="34"/>
  <c r="L58" i="34"/>
  <c r="M58" i="34"/>
  <c r="N58" i="34"/>
  <c r="O58" i="34"/>
  <c r="P58" i="34"/>
  <c r="Q58" i="34"/>
  <c r="V49" i="34"/>
  <c r="S58" i="34"/>
  <c r="T58" i="34"/>
  <c r="U58" i="34"/>
  <c r="V58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K61" i="34"/>
  <c r="L61" i="34"/>
  <c r="M61" i="34"/>
  <c r="P42" i="34"/>
  <c r="O61" i="34"/>
  <c r="P61" i="34"/>
  <c r="R61" i="34"/>
  <c r="S61" i="34"/>
  <c r="T61" i="34"/>
  <c r="U61" i="34"/>
  <c r="V61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K63" i="34"/>
  <c r="L63" i="34"/>
  <c r="M63" i="34"/>
  <c r="N63" i="34"/>
  <c r="O63" i="34"/>
  <c r="P63" i="34"/>
  <c r="Q63" i="34"/>
  <c r="K50" i="34"/>
  <c r="L50" i="34"/>
  <c r="M50" i="34"/>
  <c r="N61" i="34"/>
  <c r="T13" i="34"/>
  <c r="S13" i="34"/>
  <c r="R13" i="34"/>
  <c r="P13" i="34"/>
  <c r="N13" i="34"/>
  <c r="L13" i="34"/>
  <c r="V12" i="34"/>
  <c r="R12" i="34"/>
  <c r="Q61" i="34"/>
  <c r="O13" i="34"/>
  <c r="M13" i="34"/>
  <c r="K13" i="34"/>
  <c r="U12" i="34"/>
  <c r="S12" i="34"/>
  <c r="Q37" i="34"/>
  <c r="R37" i="34"/>
  <c r="S37" i="34"/>
  <c r="T37" i="34"/>
  <c r="U37" i="34"/>
  <c r="V37" i="34"/>
  <c r="K38" i="34"/>
  <c r="L38" i="34"/>
  <c r="M38" i="34"/>
  <c r="N38" i="34"/>
  <c r="O38" i="34"/>
  <c r="P38" i="34"/>
  <c r="Q38" i="34"/>
  <c r="R38" i="34"/>
  <c r="S38" i="34"/>
  <c r="T38" i="34"/>
  <c r="U38" i="34"/>
  <c r="V38" i="34"/>
  <c r="W38" i="34" s="1"/>
  <c r="K39" i="34"/>
  <c r="L39" i="34"/>
  <c r="M39" i="34"/>
  <c r="N39" i="34"/>
  <c r="O39" i="34"/>
  <c r="P39" i="34"/>
  <c r="Q39" i="34"/>
  <c r="R58" i="34"/>
  <c r="R39" i="34"/>
  <c r="S39" i="34"/>
  <c r="T39" i="34"/>
  <c r="U39" i="34"/>
  <c r="V39" i="34"/>
  <c r="K40" i="34"/>
  <c r="L40" i="34"/>
  <c r="M40" i="34"/>
  <c r="N40" i="34"/>
  <c r="O40" i="34"/>
  <c r="P40" i="34"/>
  <c r="Q40" i="34"/>
  <c r="R40" i="34"/>
  <c r="S40" i="34"/>
  <c r="T40" i="34"/>
  <c r="U40" i="34"/>
  <c r="V40" i="34"/>
  <c r="K41" i="34"/>
  <c r="L41" i="34"/>
  <c r="M41" i="34"/>
  <c r="N41" i="34"/>
  <c r="O41" i="34"/>
  <c r="P41" i="34"/>
  <c r="Q41" i="34"/>
  <c r="R41" i="34"/>
  <c r="S41" i="34"/>
  <c r="T41" i="34"/>
  <c r="U41" i="34"/>
  <c r="V41" i="34"/>
  <c r="K42" i="34"/>
  <c r="L42" i="34"/>
  <c r="M42" i="34"/>
  <c r="N42" i="34"/>
  <c r="O42" i="34"/>
  <c r="Q42" i="34"/>
  <c r="R42" i="34"/>
  <c r="S42" i="34"/>
  <c r="T42" i="34"/>
  <c r="U42" i="34"/>
  <c r="V42" i="34"/>
  <c r="K43" i="34"/>
  <c r="L43" i="34"/>
  <c r="M43" i="34"/>
  <c r="N43" i="34"/>
  <c r="O43" i="34"/>
  <c r="P43" i="34"/>
  <c r="Q43" i="34"/>
  <c r="R43" i="34"/>
  <c r="S43" i="34"/>
  <c r="T43" i="34"/>
  <c r="U43" i="34"/>
  <c r="V43" i="34"/>
  <c r="K44" i="34"/>
  <c r="L44" i="34"/>
  <c r="M44" i="34"/>
  <c r="N44" i="34"/>
  <c r="O44" i="34"/>
  <c r="P44" i="34"/>
  <c r="Q44" i="34"/>
  <c r="R44" i="34"/>
  <c r="S44" i="34"/>
  <c r="T44" i="34"/>
  <c r="U44" i="34"/>
  <c r="V44" i="34"/>
  <c r="K45" i="34"/>
  <c r="L45" i="34"/>
  <c r="M45" i="34"/>
  <c r="N45" i="34"/>
  <c r="O45" i="34"/>
  <c r="P45" i="34"/>
  <c r="Q45" i="34"/>
  <c r="R45" i="34"/>
  <c r="S45" i="34"/>
  <c r="T45" i="34"/>
  <c r="U45" i="34"/>
  <c r="V45" i="34"/>
  <c r="K46" i="34"/>
  <c r="L46" i="34"/>
  <c r="M46" i="34"/>
  <c r="N46" i="34"/>
  <c r="O46" i="34"/>
  <c r="P46" i="34"/>
  <c r="Q46" i="34"/>
  <c r="R46" i="34"/>
  <c r="S46" i="34"/>
  <c r="T46" i="34"/>
  <c r="U46" i="34"/>
  <c r="V46" i="34"/>
  <c r="W46" i="34" s="1"/>
  <c r="K47" i="34"/>
  <c r="L47" i="34"/>
  <c r="M47" i="34"/>
  <c r="N47" i="34"/>
  <c r="O47" i="34"/>
  <c r="P47" i="34"/>
  <c r="Q47" i="34"/>
  <c r="R47" i="34"/>
  <c r="S47" i="34"/>
  <c r="T47" i="34"/>
  <c r="U47" i="34"/>
  <c r="V47" i="34"/>
  <c r="W47" i="34" s="1"/>
  <c r="K48" i="34"/>
  <c r="L48" i="34"/>
  <c r="M48" i="34"/>
  <c r="N48" i="34"/>
  <c r="O48" i="34"/>
  <c r="P48" i="34"/>
  <c r="Q48" i="34"/>
  <c r="R48" i="34"/>
  <c r="S48" i="34"/>
  <c r="T48" i="34"/>
  <c r="U48" i="34"/>
  <c r="V48" i="34"/>
  <c r="K49" i="34"/>
  <c r="L49" i="34"/>
  <c r="M49" i="34"/>
  <c r="N49" i="34"/>
  <c r="O49" i="34"/>
  <c r="P49" i="34"/>
  <c r="Q49" i="34"/>
  <c r="R49" i="34"/>
  <c r="S49" i="34"/>
  <c r="T49" i="34"/>
  <c r="U49" i="34"/>
  <c r="W20" i="34"/>
  <c r="Y20" i="34"/>
  <c r="AE24" i="34"/>
  <c r="AD24" i="34"/>
  <c r="AC24" i="34"/>
  <c r="AB24" i="34"/>
  <c r="X24" i="34"/>
  <c r="Z24" i="34"/>
  <c r="AA24" i="34"/>
  <c r="Y29" i="34"/>
  <c r="X29" i="34"/>
  <c r="Z31" i="34"/>
  <c r="Y31" i="34"/>
  <c r="AA31" i="34"/>
  <c r="AD31" i="34"/>
  <c r="AC31" i="34"/>
  <c r="X32" i="34"/>
  <c r="W32" i="34"/>
  <c r="Z37" i="34"/>
  <c r="AA37" i="34"/>
  <c r="AB37" i="34"/>
  <c r="AC37" i="34"/>
  <c r="AD37" i="34"/>
  <c r="AE37" i="34"/>
  <c r="K29" i="43"/>
  <c r="O32" i="43"/>
  <c r="P32" i="43"/>
  <c r="Q32" i="43"/>
  <c r="R32" i="43"/>
  <c r="S32" i="43"/>
  <c r="T32" i="43"/>
  <c r="U32" i="43"/>
  <c r="S29" i="43"/>
  <c r="L29" i="43"/>
  <c r="M29" i="43"/>
  <c r="N29" i="43"/>
  <c r="O29" i="43"/>
  <c r="P29" i="43"/>
  <c r="Q29" i="43"/>
  <c r="R29" i="43"/>
  <c r="V32" i="43"/>
  <c r="T29" i="43"/>
  <c r="U29" i="43"/>
  <c r="V29" i="43"/>
  <c r="K30" i="43"/>
  <c r="L30" i="43"/>
  <c r="M30" i="43"/>
  <c r="N30" i="43"/>
  <c r="O30" i="43"/>
  <c r="P30" i="43"/>
  <c r="Q30" i="43"/>
  <c r="R30" i="43"/>
  <c r="S30" i="43"/>
  <c r="T30" i="43"/>
  <c r="U30" i="43"/>
  <c r="V30" i="43"/>
  <c r="K31" i="43"/>
  <c r="L31" i="43"/>
  <c r="M31" i="43"/>
  <c r="N31" i="43"/>
  <c r="O31" i="43"/>
  <c r="P31" i="43"/>
  <c r="Q31" i="43"/>
  <c r="R31" i="43"/>
  <c r="S31" i="43"/>
  <c r="T31" i="43"/>
  <c r="U31" i="43"/>
  <c r="V31" i="43"/>
  <c r="K32" i="43"/>
  <c r="L32" i="43"/>
  <c r="M32" i="43"/>
  <c r="N32" i="43"/>
  <c r="K33" i="43"/>
  <c r="L33" i="43"/>
  <c r="M33" i="43"/>
  <c r="N33" i="43"/>
  <c r="O33" i="43"/>
  <c r="AE23" i="35"/>
  <c r="Y54" i="35"/>
  <c r="AD28" i="34"/>
  <c r="W13" i="39"/>
  <c r="W20" i="39"/>
  <c r="W25" i="39"/>
  <c r="W29" i="39"/>
  <c r="W32" i="39"/>
  <c r="W33" i="39"/>
  <c r="W34" i="39"/>
  <c r="AD60" i="34"/>
  <c r="AB13" i="42"/>
  <c r="AD13" i="42"/>
  <c r="X13" i="42"/>
  <c r="Z13" i="42"/>
  <c r="W13" i="42"/>
  <c r="Y13" i="42"/>
  <c r="AA13" i="42"/>
  <c r="AC13" i="42"/>
  <c r="AE13" i="42"/>
  <c r="R70" i="41"/>
  <c r="Q36" i="41"/>
  <c r="R36" i="41"/>
  <c r="S36" i="41"/>
  <c r="T36" i="41"/>
  <c r="U36" i="41"/>
  <c r="V36" i="41"/>
  <c r="S70" i="41"/>
  <c r="T70" i="41"/>
  <c r="U70" i="41"/>
  <c r="V70" i="41"/>
  <c r="K71" i="41"/>
  <c r="L71" i="41"/>
  <c r="M71" i="41"/>
  <c r="N71" i="41"/>
  <c r="K37" i="41"/>
  <c r="L37" i="41"/>
  <c r="M37" i="41"/>
  <c r="N37" i="41"/>
  <c r="O37" i="41"/>
  <c r="P37" i="41"/>
  <c r="Q37" i="41"/>
  <c r="R37" i="41"/>
  <c r="S37" i="41"/>
  <c r="T37" i="41"/>
  <c r="U37" i="41"/>
  <c r="V37" i="41"/>
  <c r="K38" i="41"/>
  <c r="L38" i="41"/>
  <c r="M38" i="41"/>
  <c r="N38" i="41"/>
  <c r="O38" i="41"/>
  <c r="P38" i="41"/>
  <c r="Q38" i="41"/>
  <c r="R38" i="41"/>
  <c r="S38" i="41"/>
  <c r="T38" i="41"/>
  <c r="U38" i="41"/>
  <c r="V38" i="41"/>
  <c r="K39" i="41"/>
  <c r="L39" i="41"/>
  <c r="M39" i="41"/>
  <c r="N39" i="41"/>
  <c r="O39" i="41"/>
  <c r="P39" i="41"/>
  <c r="Q39" i="41"/>
  <c r="R39" i="41"/>
  <c r="S39" i="41"/>
  <c r="T39" i="41"/>
  <c r="U39" i="41"/>
  <c r="V39" i="41"/>
  <c r="K40" i="41"/>
  <c r="L40" i="41"/>
  <c r="M40" i="41"/>
  <c r="N40" i="41"/>
  <c r="O40" i="41"/>
  <c r="P40" i="41"/>
  <c r="Q40" i="41"/>
  <c r="R40" i="41"/>
  <c r="S40" i="41"/>
  <c r="T40" i="41"/>
  <c r="U40" i="41"/>
  <c r="V40" i="41"/>
  <c r="K41" i="41"/>
  <c r="L41" i="41"/>
  <c r="M41" i="41"/>
  <c r="N41" i="41"/>
  <c r="O41" i="41"/>
  <c r="P41" i="41"/>
  <c r="Q41" i="41"/>
  <c r="R41" i="41"/>
  <c r="S41" i="41"/>
  <c r="T41" i="41"/>
  <c r="U41" i="41"/>
  <c r="V41" i="41"/>
  <c r="K42" i="41"/>
  <c r="L42" i="41"/>
  <c r="M42" i="41"/>
  <c r="N42" i="41"/>
  <c r="O42" i="41"/>
  <c r="P42" i="41"/>
  <c r="Q42" i="41"/>
  <c r="R42" i="41"/>
  <c r="S42" i="41"/>
  <c r="T42" i="41"/>
  <c r="U42" i="41"/>
  <c r="V42" i="41"/>
  <c r="K43" i="41"/>
  <c r="L43" i="41"/>
  <c r="M43" i="41"/>
  <c r="N43" i="41"/>
  <c r="O43" i="41"/>
  <c r="P43" i="41"/>
  <c r="Q43" i="41"/>
  <c r="R43" i="41"/>
  <c r="S43" i="41"/>
  <c r="T43" i="41"/>
  <c r="U43" i="41"/>
  <c r="V43" i="41"/>
  <c r="K44" i="41"/>
  <c r="L44" i="41"/>
  <c r="M44" i="41"/>
  <c r="N44" i="41"/>
  <c r="O44" i="41"/>
  <c r="P44" i="41"/>
  <c r="Q44" i="41"/>
  <c r="R44" i="41"/>
  <c r="S44" i="41"/>
  <c r="T44" i="41"/>
  <c r="U44" i="41"/>
  <c r="V44" i="41"/>
  <c r="K45" i="41"/>
  <c r="L45" i="41"/>
  <c r="M45" i="41"/>
  <c r="N45" i="41"/>
  <c r="O45" i="41"/>
  <c r="P45" i="41"/>
  <c r="Q45" i="41"/>
  <c r="R45" i="41"/>
  <c r="S45" i="41"/>
  <c r="T45" i="41"/>
  <c r="U45" i="41"/>
  <c r="V45" i="41"/>
  <c r="K46" i="41"/>
  <c r="L46" i="41"/>
  <c r="M46" i="41"/>
  <c r="N46" i="41"/>
  <c r="O46" i="41"/>
  <c r="P46" i="41"/>
  <c r="Q46" i="41"/>
  <c r="R46" i="41"/>
  <c r="S46" i="41"/>
  <c r="T46" i="41"/>
  <c r="U46" i="41"/>
  <c r="V46" i="41"/>
  <c r="K47" i="41"/>
  <c r="L47" i="41"/>
  <c r="M47" i="41"/>
  <c r="N47" i="41"/>
  <c r="O47" i="41"/>
  <c r="P47" i="41"/>
  <c r="Q47" i="41"/>
  <c r="R47" i="41"/>
  <c r="S47" i="41"/>
  <c r="T47" i="41"/>
  <c r="U47" i="41"/>
  <c r="V47" i="41"/>
  <c r="K48" i="41"/>
  <c r="L48" i="41"/>
  <c r="M48" i="41"/>
  <c r="N48" i="41"/>
  <c r="O48" i="41"/>
  <c r="P48" i="41"/>
  <c r="Q48" i="41"/>
  <c r="R48" i="41"/>
  <c r="S48" i="41"/>
  <c r="T48" i="41"/>
  <c r="U48" i="41"/>
  <c r="V48" i="41"/>
  <c r="K49" i="41"/>
  <c r="L49" i="41"/>
  <c r="M49" i="41"/>
  <c r="N49" i="41"/>
  <c r="O49" i="41"/>
  <c r="P49" i="41"/>
  <c r="Q49" i="41"/>
  <c r="R49" i="41"/>
  <c r="S49" i="41"/>
  <c r="T49" i="41"/>
  <c r="U49" i="41"/>
  <c r="V49" i="41"/>
  <c r="K50" i="41"/>
  <c r="L50" i="41"/>
  <c r="M50" i="41"/>
  <c r="N50" i="41"/>
  <c r="O50" i="41"/>
  <c r="P50" i="41"/>
  <c r="Q50" i="41"/>
  <c r="R50" i="41"/>
  <c r="S50" i="41"/>
  <c r="T50" i="41"/>
  <c r="U50" i="41"/>
  <c r="V50" i="41"/>
  <c r="K51" i="41"/>
  <c r="L51" i="41"/>
  <c r="M51" i="41"/>
  <c r="N51" i="41"/>
  <c r="O51" i="41"/>
  <c r="P51" i="41"/>
  <c r="Q51" i="41"/>
  <c r="R51" i="41"/>
  <c r="S51" i="41"/>
  <c r="T51" i="41"/>
  <c r="U51" i="41"/>
  <c r="V51" i="41"/>
  <c r="K52" i="41"/>
  <c r="L52" i="41"/>
  <c r="M52" i="41"/>
  <c r="N52" i="41"/>
  <c r="O52" i="41"/>
  <c r="P52" i="41"/>
  <c r="Q52" i="41"/>
  <c r="R52" i="41"/>
  <c r="S52" i="41"/>
  <c r="T52" i="41"/>
  <c r="U52" i="41"/>
  <c r="V52" i="41"/>
  <c r="K53" i="41"/>
  <c r="L53" i="41"/>
  <c r="M53" i="41"/>
  <c r="N53" i="41"/>
  <c r="O53" i="41"/>
  <c r="P53" i="41"/>
  <c r="Q53" i="41"/>
  <c r="R53" i="41"/>
  <c r="S53" i="41"/>
  <c r="T53" i="41"/>
  <c r="U53" i="41"/>
  <c r="V53" i="41"/>
  <c r="K54" i="41"/>
  <c r="L54" i="41"/>
  <c r="M54" i="41"/>
  <c r="N54" i="41"/>
  <c r="O54" i="41"/>
  <c r="P54" i="41"/>
  <c r="Q54" i="41"/>
  <c r="R54" i="41"/>
  <c r="S54" i="41"/>
  <c r="T54" i="41"/>
  <c r="U54" i="41"/>
  <c r="V54" i="41"/>
  <c r="K55" i="41"/>
  <c r="L55" i="41"/>
  <c r="M55" i="41"/>
  <c r="N55" i="41"/>
  <c r="O55" i="41"/>
  <c r="P55" i="41"/>
  <c r="Q55" i="41"/>
  <c r="R55" i="41"/>
  <c r="S55" i="41"/>
  <c r="T55" i="41"/>
  <c r="U55" i="41"/>
  <c r="V55" i="41"/>
  <c r="K56" i="41"/>
  <c r="L56" i="41"/>
  <c r="M56" i="41"/>
  <c r="N56" i="41"/>
  <c r="O56" i="41"/>
  <c r="P56" i="41"/>
  <c r="Q56" i="41"/>
  <c r="R56" i="41"/>
  <c r="S56" i="41"/>
  <c r="T56" i="41"/>
  <c r="U56" i="41"/>
  <c r="V56" i="41"/>
  <c r="K57" i="41"/>
  <c r="L57" i="41"/>
  <c r="M57" i="41"/>
  <c r="N57" i="41"/>
  <c r="O57" i="41"/>
  <c r="P57" i="41"/>
  <c r="Q57" i="41"/>
  <c r="R57" i="41"/>
  <c r="S57" i="41"/>
  <c r="T57" i="41"/>
  <c r="U57" i="41"/>
  <c r="V57" i="41"/>
  <c r="K58" i="41"/>
  <c r="L58" i="41"/>
  <c r="M58" i="41"/>
  <c r="N58" i="41"/>
  <c r="O58" i="41"/>
  <c r="P58" i="41"/>
  <c r="Q58" i="41"/>
  <c r="R58" i="41"/>
  <c r="S58" i="41"/>
  <c r="T58" i="41"/>
  <c r="U58" i="41"/>
  <c r="V58" i="41"/>
  <c r="W58" i="41" s="1"/>
  <c r="K59" i="41"/>
  <c r="L59" i="41"/>
  <c r="M59" i="41"/>
  <c r="N59" i="41"/>
  <c r="O59" i="41"/>
  <c r="P59" i="41"/>
  <c r="Q59" i="41"/>
  <c r="R59" i="41"/>
  <c r="S59" i="41"/>
  <c r="T59" i="41"/>
  <c r="U59" i="41"/>
  <c r="V59" i="41"/>
  <c r="K60" i="41"/>
  <c r="L60" i="41"/>
  <c r="M60" i="41"/>
  <c r="N60" i="41"/>
  <c r="O60" i="41"/>
  <c r="P60" i="41"/>
  <c r="Q60" i="41"/>
  <c r="R60" i="41"/>
  <c r="S60" i="41"/>
  <c r="T60" i="41"/>
  <c r="U60" i="41"/>
  <c r="V60" i="41"/>
  <c r="K61" i="41"/>
  <c r="L61" i="41"/>
  <c r="M61" i="41"/>
  <c r="N61" i="41"/>
  <c r="O61" i="41"/>
  <c r="P61" i="41"/>
  <c r="Q61" i="41"/>
  <c r="R61" i="41"/>
  <c r="S61" i="41"/>
  <c r="T61" i="41"/>
  <c r="U61" i="41"/>
  <c r="V61" i="41"/>
  <c r="K62" i="41"/>
  <c r="L62" i="41"/>
  <c r="M62" i="41"/>
  <c r="N62" i="41"/>
  <c r="O62" i="41"/>
  <c r="P62" i="41"/>
  <c r="Q62" i="41"/>
  <c r="R62" i="41"/>
  <c r="S62" i="41"/>
  <c r="T62" i="41"/>
  <c r="U62" i="41"/>
  <c r="V62" i="41"/>
  <c r="W62" i="41" s="1"/>
  <c r="K63" i="41"/>
  <c r="L63" i="41"/>
  <c r="M63" i="41"/>
  <c r="N63" i="41"/>
  <c r="O63" i="41"/>
  <c r="P63" i="41"/>
  <c r="Q63" i="41"/>
  <c r="R63" i="41"/>
  <c r="S63" i="41"/>
  <c r="T63" i="41"/>
  <c r="U63" i="41"/>
  <c r="V63" i="41"/>
  <c r="K64" i="41"/>
  <c r="L64" i="41"/>
  <c r="M64" i="41"/>
  <c r="N64" i="41"/>
  <c r="O64" i="41"/>
  <c r="P64" i="41"/>
  <c r="Q64" i="41"/>
  <c r="R64" i="41"/>
  <c r="S64" i="41"/>
  <c r="T64" i="41"/>
  <c r="U64" i="41"/>
  <c r="V64" i="41"/>
  <c r="K65" i="41"/>
  <c r="L65" i="41"/>
  <c r="M65" i="41"/>
  <c r="N65" i="41"/>
  <c r="O65" i="41"/>
  <c r="P65" i="41"/>
  <c r="Q65" i="41"/>
  <c r="R65" i="41"/>
  <c r="S65" i="41"/>
  <c r="T65" i="41"/>
  <c r="U65" i="41"/>
  <c r="V65" i="41"/>
  <c r="K66" i="41"/>
  <c r="L66" i="41"/>
  <c r="M66" i="41"/>
  <c r="N66" i="41"/>
  <c r="O66" i="41"/>
  <c r="P66" i="41"/>
  <c r="Q66" i="41"/>
  <c r="R66" i="41"/>
  <c r="S66" i="41"/>
  <c r="T66" i="41"/>
  <c r="U66" i="41"/>
  <c r="V66" i="41"/>
  <c r="K67" i="41"/>
  <c r="L67" i="41"/>
  <c r="M67" i="41"/>
  <c r="N67" i="41"/>
  <c r="O67" i="41"/>
  <c r="P67" i="41"/>
  <c r="Q67" i="41"/>
  <c r="R67" i="41"/>
  <c r="S67" i="41"/>
  <c r="T67" i="41"/>
  <c r="U67" i="41"/>
  <c r="V67" i="41"/>
  <c r="K68" i="41"/>
  <c r="L68" i="41"/>
  <c r="M68" i="41"/>
  <c r="N68" i="41"/>
  <c r="O68" i="41"/>
  <c r="P68" i="41"/>
  <c r="Q68" i="41"/>
  <c r="R68" i="41"/>
  <c r="S68" i="41"/>
  <c r="T68" i="41"/>
  <c r="U68" i="41"/>
  <c r="V68" i="41"/>
  <c r="K69" i="41"/>
  <c r="L69" i="41"/>
  <c r="M69" i="41"/>
  <c r="N69" i="41"/>
  <c r="O69" i="41"/>
  <c r="P69" i="41"/>
  <c r="Q69" i="41"/>
  <c r="R69" i="41"/>
  <c r="S69" i="41"/>
  <c r="T69" i="41"/>
  <c r="U69" i="41"/>
  <c r="V69" i="41"/>
  <c r="K70" i="41"/>
  <c r="L70" i="41"/>
  <c r="M70" i="41"/>
  <c r="N70" i="41"/>
  <c r="O70" i="41"/>
  <c r="P70" i="41"/>
  <c r="Q70" i="41"/>
  <c r="L85" i="40"/>
  <c r="M85" i="40"/>
  <c r="N85" i="40"/>
  <c r="V47" i="40"/>
  <c r="O85" i="40"/>
  <c r="P85" i="40"/>
  <c r="Q85" i="40"/>
  <c r="R85" i="40"/>
  <c r="S85" i="40"/>
  <c r="T85" i="40"/>
  <c r="U85" i="40"/>
  <c r="V85" i="40"/>
  <c r="K48" i="40"/>
  <c r="L48" i="40"/>
  <c r="M48" i="40"/>
  <c r="N48" i="40"/>
  <c r="O48" i="40"/>
  <c r="P48" i="40"/>
  <c r="Q48" i="40"/>
  <c r="R48" i="40"/>
  <c r="S48" i="40"/>
  <c r="T48" i="40"/>
  <c r="U48" i="40"/>
  <c r="V48" i="40"/>
  <c r="K49" i="40"/>
  <c r="L49" i="40"/>
  <c r="M49" i="40"/>
  <c r="N49" i="40"/>
  <c r="O49" i="40"/>
  <c r="P49" i="40"/>
  <c r="Q49" i="40"/>
  <c r="R49" i="40"/>
  <c r="S49" i="40"/>
  <c r="T49" i="40"/>
  <c r="U49" i="40"/>
  <c r="V49" i="40"/>
  <c r="K50" i="40"/>
  <c r="L50" i="40"/>
  <c r="M50" i="40"/>
  <c r="N50" i="40"/>
  <c r="O50" i="40"/>
  <c r="P50" i="40"/>
  <c r="Q50" i="40"/>
  <c r="R50" i="40"/>
  <c r="S50" i="40"/>
  <c r="T50" i="40"/>
  <c r="U50" i="40"/>
  <c r="V50" i="40"/>
  <c r="K51" i="40"/>
  <c r="L51" i="40"/>
  <c r="M51" i="40"/>
  <c r="N51" i="40"/>
  <c r="O51" i="40"/>
  <c r="P51" i="40"/>
  <c r="Q51" i="40"/>
  <c r="R51" i="40"/>
  <c r="S51" i="40"/>
  <c r="T51" i="40"/>
  <c r="U51" i="40"/>
  <c r="V51" i="40"/>
  <c r="K52" i="40"/>
  <c r="L52" i="40"/>
  <c r="M52" i="40"/>
  <c r="N52" i="40"/>
  <c r="O52" i="40"/>
  <c r="P52" i="40"/>
  <c r="Q52" i="40"/>
  <c r="R52" i="40"/>
  <c r="S52" i="40"/>
  <c r="T52" i="40"/>
  <c r="U52" i="40"/>
  <c r="V52" i="40"/>
  <c r="K53" i="40"/>
  <c r="L53" i="40"/>
  <c r="M53" i="40"/>
  <c r="N53" i="40"/>
  <c r="O53" i="40"/>
  <c r="P53" i="40"/>
  <c r="Q53" i="40"/>
  <c r="R53" i="40"/>
  <c r="S53" i="40"/>
  <c r="T53" i="40"/>
  <c r="U53" i="40"/>
  <c r="V53" i="40"/>
  <c r="K54" i="40"/>
  <c r="L54" i="40"/>
  <c r="M54" i="40"/>
  <c r="N54" i="40"/>
  <c r="O54" i="40"/>
  <c r="P54" i="40"/>
  <c r="Q54" i="40"/>
  <c r="R54" i="40"/>
  <c r="S54" i="40"/>
  <c r="T54" i="40"/>
  <c r="U54" i="40"/>
  <c r="V54" i="40"/>
  <c r="K55" i="40"/>
  <c r="L55" i="40"/>
  <c r="M55" i="40"/>
  <c r="N55" i="40"/>
  <c r="O55" i="40"/>
  <c r="P55" i="40"/>
  <c r="Q55" i="40"/>
  <c r="R55" i="40"/>
  <c r="S55" i="40"/>
  <c r="T55" i="40"/>
  <c r="U55" i="40"/>
  <c r="V55" i="40"/>
  <c r="K56" i="40"/>
  <c r="L56" i="40"/>
  <c r="M56" i="40"/>
  <c r="N56" i="40"/>
  <c r="O56" i="40"/>
  <c r="P56" i="40"/>
  <c r="Q56" i="40"/>
  <c r="R56" i="40"/>
  <c r="S56" i="40"/>
  <c r="T56" i="40"/>
  <c r="U56" i="40"/>
  <c r="V56" i="40"/>
  <c r="K57" i="40"/>
  <c r="L57" i="40"/>
  <c r="M57" i="40"/>
  <c r="N57" i="40"/>
  <c r="O57" i="40"/>
  <c r="P57" i="40"/>
  <c r="Q57" i="40"/>
  <c r="R57" i="40"/>
  <c r="S57" i="40"/>
  <c r="T57" i="40"/>
  <c r="U57" i="40"/>
  <c r="V57" i="40"/>
  <c r="K58" i="40"/>
  <c r="L58" i="40"/>
  <c r="M58" i="40"/>
  <c r="N58" i="40"/>
  <c r="O58" i="40"/>
  <c r="P58" i="40"/>
  <c r="Q58" i="40"/>
  <c r="R58" i="40"/>
  <c r="S58" i="40"/>
  <c r="T58" i="40"/>
  <c r="U58" i="40"/>
  <c r="V58" i="40"/>
  <c r="K59" i="40"/>
  <c r="L59" i="40"/>
  <c r="M59" i="40"/>
  <c r="N59" i="40"/>
  <c r="O59" i="40"/>
  <c r="P59" i="40"/>
  <c r="Q59" i="40"/>
  <c r="R59" i="40"/>
  <c r="S59" i="40"/>
  <c r="T59" i="40"/>
  <c r="U59" i="40"/>
  <c r="V59" i="40"/>
  <c r="K60" i="40"/>
  <c r="L60" i="40"/>
  <c r="M60" i="40"/>
  <c r="N60" i="40"/>
  <c r="O60" i="40"/>
  <c r="P60" i="40"/>
  <c r="Q60" i="40"/>
  <c r="R60" i="40"/>
  <c r="S60" i="40"/>
  <c r="T60" i="40"/>
  <c r="U60" i="40"/>
  <c r="V60" i="40"/>
  <c r="K61" i="40"/>
  <c r="L61" i="40"/>
  <c r="M61" i="40"/>
  <c r="N61" i="40"/>
  <c r="O61" i="40"/>
  <c r="P61" i="40"/>
  <c r="Q61" i="40"/>
  <c r="R61" i="40"/>
  <c r="S61" i="40"/>
  <c r="T61" i="40"/>
  <c r="U61" i="40"/>
  <c r="V61" i="40"/>
  <c r="K62" i="40"/>
  <c r="L62" i="40"/>
  <c r="M62" i="40"/>
  <c r="N62" i="40"/>
  <c r="O62" i="40"/>
  <c r="P62" i="40"/>
  <c r="Q62" i="40"/>
  <c r="R62" i="40"/>
  <c r="S62" i="40"/>
  <c r="T62" i="40"/>
  <c r="U62" i="40"/>
  <c r="V62" i="40"/>
  <c r="K63" i="40"/>
  <c r="L63" i="40"/>
  <c r="M63" i="40"/>
  <c r="N63" i="40"/>
  <c r="O63" i="40"/>
  <c r="P63" i="40"/>
  <c r="Q63" i="40"/>
  <c r="R63" i="40"/>
  <c r="S63" i="40"/>
  <c r="T63" i="40"/>
  <c r="U63" i="40"/>
  <c r="V63" i="40"/>
  <c r="K64" i="40"/>
  <c r="L64" i="40"/>
  <c r="M64" i="40"/>
  <c r="N64" i="40"/>
  <c r="O64" i="40"/>
  <c r="P64" i="40"/>
  <c r="Q64" i="40"/>
  <c r="R64" i="40"/>
  <c r="S64" i="40"/>
  <c r="T64" i="40"/>
  <c r="U64" i="40"/>
  <c r="V64" i="40"/>
  <c r="K65" i="40"/>
  <c r="L65" i="40"/>
  <c r="M65" i="40"/>
  <c r="N65" i="40"/>
  <c r="O65" i="40"/>
  <c r="P65" i="40"/>
  <c r="Q65" i="40"/>
  <c r="R65" i="40"/>
  <c r="S65" i="40"/>
  <c r="T65" i="40"/>
  <c r="U65" i="40"/>
  <c r="V65" i="40"/>
  <c r="K66" i="40"/>
  <c r="L66" i="40"/>
  <c r="M66" i="40"/>
  <c r="N66" i="40"/>
  <c r="O66" i="40"/>
  <c r="P66" i="40"/>
  <c r="Q66" i="40"/>
  <c r="R66" i="40"/>
  <c r="S66" i="40"/>
  <c r="T66" i="40"/>
  <c r="U66" i="40"/>
  <c r="V66" i="40"/>
  <c r="K67" i="40"/>
  <c r="L67" i="40"/>
  <c r="M67" i="40"/>
  <c r="N67" i="40"/>
  <c r="O67" i="40"/>
  <c r="P67" i="40"/>
  <c r="Q67" i="40"/>
  <c r="R67" i="40"/>
  <c r="S67" i="40"/>
  <c r="T67" i="40"/>
  <c r="U67" i="40"/>
  <c r="V67" i="40"/>
  <c r="K68" i="40"/>
  <c r="L68" i="40"/>
  <c r="M68" i="40"/>
  <c r="N68" i="40"/>
  <c r="O68" i="40"/>
  <c r="P68" i="40"/>
  <c r="Q68" i="40"/>
  <c r="R68" i="40"/>
  <c r="S68" i="40"/>
  <c r="T68" i="40"/>
  <c r="U68" i="40"/>
  <c r="V68" i="40"/>
  <c r="K69" i="40"/>
  <c r="L69" i="40"/>
  <c r="M69" i="40"/>
  <c r="N69" i="40"/>
  <c r="O69" i="40"/>
  <c r="P69" i="40"/>
  <c r="Q69" i="40"/>
  <c r="R69" i="40"/>
  <c r="S69" i="40"/>
  <c r="T69" i="40"/>
  <c r="U69" i="40"/>
  <c r="V69" i="40"/>
  <c r="K70" i="40"/>
  <c r="L70" i="40"/>
  <c r="M70" i="40"/>
  <c r="N70" i="40"/>
  <c r="O70" i="40"/>
  <c r="P70" i="40"/>
  <c r="Q70" i="40"/>
  <c r="R70" i="40"/>
  <c r="S70" i="40"/>
  <c r="T70" i="40"/>
  <c r="U70" i="40"/>
  <c r="V70" i="40"/>
  <c r="K71" i="40"/>
  <c r="L71" i="40"/>
  <c r="M71" i="40"/>
  <c r="N71" i="40"/>
  <c r="O71" i="40"/>
  <c r="P71" i="40"/>
  <c r="Q71" i="40"/>
  <c r="R71" i="40"/>
  <c r="S71" i="40"/>
  <c r="T71" i="40"/>
  <c r="U71" i="40"/>
  <c r="V71" i="40"/>
  <c r="K72" i="40"/>
  <c r="L72" i="40"/>
  <c r="M72" i="40"/>
  <c r="N72" i="40"/>
  <c r="O72" i="40"/>
  <c r="P72" i="40"/>
  <c r="Q72" i="40"/>
  <c r="R72" i="40"/>
  <c r="S72" i="40"/>
  <c r="T72" i="40"/>
  <c r="U72" i="40"/>
  <c r="V72" i="40"/>
  <c r="K73" i="40"/>
  <c r="L73" i="40"/>
  <c r="M73" i="40"/>
  <c r="N73" i="40"/>
  <c r="O73" i="40"/>
  <c r="P73" i="40"/>
  <c r="Q73" i="40"/>
  <c r="R73" i="40"/>
  <c r="S73" i="40"/>
  <c r="T73" i="40"/>
  <c r="U73" i="40"/>
  <c r="V73" i="40"/>
  <c r="K74" i="40"/>
  <c r="L74" i="40"/>
  <c r="M74" i="40"/>
  <c r="N74" i="40"/>
  <c r="O74" i="40"/>
  <c r="P74" i="40"/>
  <c r="Q74" i="40"/>
  <c r="R74" i="40"/>
  <c r="S74" i="40"/>
  <c r="T74" i="40"/>
  <c r="U74" i="40"/>
  <c r="V74" i="40"/>
  <c r="K75" i="40"/>
  <c r="L75" i="40"/>
  <c r="M75" i="40"/>
  <c r="N75" i="40"/>
  <c r="O75" i="40"/>
  <c r="P75" i="40"/>
  <c r="Q75" i="40"/>
  <c r="R75" i="40"/>
  <c r="S75" i="40"/>
  <c r="T75" i="40"/>
  <c r="U75" i="40"/>
  <c r="V75" i="40"/>
  <c r="K76" i="40"/>
  <c r="L76" i="40"/>
  <c r="M76" i="40"/>
  <c r="N76" i="40"/>
  <c r="O76" i="40"/>
  <c r="P76" i="40"/>
  <c r="Q76" i="40"/>
  <c r="R76" i="40"/>
  <c r="S76" i="40"/>
  <c r="T76" i="40"/>
  <c r="U76" i="40"/>
  <c r="V76" i="40"/>
  <c r="W76" i="40" s="1"/>
  <c r="K77" i="40"/>
  <c r="L77" i="40"/>
  <c r="M77" i="40"/>
  <c r="N77" i="40"/>
  <c r="O77" i="40"/>
  <c r="P77" i="40"/>
  <c r="Q77" i="40"/>
  <c r="R77" i="40"/>
  <c r="S77" i="40"/>
  <c r="T77" i="40"/>
  <c r="U77" i="40"/>
  <c r="V77" i="40"/>
  <c r="K78" i="40"/>
  <c r="L78" i="40"/>
  <c r="M78" i="40"/>
  <c r="N78" i="40"/>
  <c r="O78" i="40"/>
  <c r="P78" i="40"/>
  <c r="Q78" i="40"/>
  <c r="R78" i="40"/>
  <c r="S78" i="40"/>
  <c r="T78" i="40"/>
  <c r="U78" i="40"/>
  <c r="V78" i="40"/>
  <c r="K79" i="40"/>
  <c r="L79" i="40"/>
  <c r="M79" i="40"/>
  <c r="N79" i="40"/>
  <c r="O79" i="40"/>
  <c r="P79" i="40"/>
  <c r="Q79" i="40"/>
  <c r="R79" i="40"/>
  <c r="S79" i="40"/>
  <c r="T79" i="40"/>
  <c r="U79" i="40"/>
  <c r="V79" i="40"/>
  <c r="K80" i="40"/>
  <c r="L80" i="40"/>
  <c r="M80" i="40"/>
  <c r="N80" i="40"/>
  <c r="O80" i="40"/>
  <c r="P80" i="40"/>
  <c r="Q80" i="40"/>
  <c r="R80" i="40"/>
  <c r="S80" i="40"/>
  <c r="T80" i="40"/>
  <c r="U80" i="40"/>
  <c r="V80" i="40"/>
  <c r="K81" i="40"/>
  <c r="L81" i="40"/>
  <c r="M81" i="40"/>
  <c r="N81" i="40"/>
  <c r="O81" i="40"/>
  <c r="P81" i="40"/>
  <c r="Q81" i="40"/>
  <c r="R81" i="40"/>
  <c r="S81" i="40"/>
  <c r="T81" i="40"/>
  <c r="U81" i="40"/>
  <c r="V81" i="40"/>
  <c r="K82" i="40"/>
  <c r="L82" i="40"/>
  <c r="M82" i="40"/>
  <c r="N82" i="40"/>
  <c r="O82" i="40"/>
  <c r="P82" i="40"/>
  <c r="Q82" i="40"/>
  <c r="R82" i="40"/>
  <c r="S82" i="40"/>
  <c r="T82" i="40"/>
  <c r="U82" i="40"/>
  <c r="V82" i="40"/>
  <c r="K83" i="40"/>
  <c r="L83" i="40"/>
  <c r="M83" i="40"/>
  <c r="N83" i="40"/>
  <c r="O83" i="40"/>
  <c r="P83" i="40"/>
  <c r="Q83" i="40"/>
  <c r="R83" i="40"/>
  <c r="S83" i="40"/>
  <c r="T83" i="40"/>
  <c r="U83" i="40"/>
  <c r="V83" i="40"/>
  <c r="K84" i="40"/>
  <c r="L84" i="40"/>
  <c r="M84" i="40"/>
  <c r="N84" i="40"/>
  <c r="O84" i="40"/>
  <c r="P84" i="40"/>
  <c r="Q84" i="40"/>
  <c r="R84" i="40"/>
  <c r="S84" i="40"/>
  <c r="T84" i="40"/>
  <c r="U84" i="40"/>
  <c r="V84" i="40"/>
  <c r="K85" i="40"/>
  <c r="W47" i="40"/>
  <c r="X47" i="40"/>
  <c r="Y47" i="40"/>
  <c r="Z47" i="40"/>
  <c r="AA47" i="40"/>
  <c r="AB47" i="40"/>
  <c r="AC47" i="40"/>
  <c r="AD47" i="40"/>
  <c r="AE47" i="40"/>
  <c r="Y49" i="36"/>
  <c r="X49" i="36"/>
  <c r="W58" i="36"/>
  <c r="X58" i="36"/>
  <c r="Y79" i="36"/>
  <c r="Z79" i="36"/>
  <c r="Q28" i="42"/>
  <c r="O29" i="42"/>
  <c r="P29" i="42"/>
  <c r="Q29" i="42"/>
  <c r="R29" i="42"/>
  <c r="V29" i="42"/>
  <c r="U29" i="42"/>
  <c r="S29" i="42"/>
  <c r="K28" i="42"/>
  <c r="L28" i="42"/>
  <c r="M28" i="42"/>
  <c r="N28" i="42"/>
  <c r="O28" i="42"/>
  <c r="P28" i="42"/>
  <c r="T29" i="42"/>
  <c r="R28" i="42"/>
  <c r="S28" i="42"/>
  <c r="T28" i="42"/>
  <c r="U28" i="42"/>
  <c r="V28" i="42"/>
  <c r="K29" i="42"/>
  <c r="L29" i="42"/>
  <c r="M29" i="42"/>
  <c r="N29" i="42"/>
  <c r="M30" i="42"/>
  <c r="L30" i="42"/>
  <c r="N30" i="42"/>
  <c r="O30" i="42"/>
  <c r="P30" i="42"/>
  <c r="Q30" i="42"/>
  <c r="R30" i="42"/>
  <c r="S30" i="42"/>
  <c r="T30" i="42"/>
  <c r="U30" i="42"/>
  <c r="V30" i="42"/>
  <c r="W37" i="40"/>
  <c r="W58" i="40"/>
  <c r="W30" i="39"/>
  <c r="W36" i="39"/>
  <c r="W13" i="38"/>
  <c r="K10" i="36"/>
  <c r="W28" i="36"/>
  <c r="W46" i="36"/>
  <c r="W24" i="34"/>
  <c r="S72" i="41"/>
  <c r="Q79" i="41"/>
  <c r="R79" i="41"/>
  <c r="S79" i="41"/>
  <c r="T79" i="41"/>
  <c r="U79" i="41"/>
  <c r="V79" i="41"/>
  <c r="K80" i="41"/>
  <c r="L80" i="41"/>
  <c r="M80" i="41"/>
  <c r="N80" i="41"/>
  <c r="O80" i="41"/>
  <c r="P80" i="41"/>
  <c r="Q80" i="41"/>
  <c r="R80" i="41"/>
  <c r="S80" i="41"/>
  <c r="U80" i="41"/>
  <c r="V80" i="41"/>
  <c r="K81" i="41"/>
  <c r="T83" i="41"/>
  <c r="U83" i="41"/>
  <c r="V83" i="41"/>
  <c r="K84" i="41"/>
  <c r="L84" i="41"/>
  <c r="M84" i="41"/>
  <c r="N84" i="41"/>
  <c r="O84" i="41"/>
  <c r="P84" i="41"/>
  <c r="Q84" i="41"/>
  <c r="R84" i="41"/>
  <c r="S84" i="41"/>
  <c r="T84" i="41"/>
  <c r="U84" i="41"/>
  <c r="V84" i="41"/>
  <c r="K85" i="41"/>
  <c r="L85" i="41"/>
  <c r="M85" i="41"/>
  <c r="N85" i="41"/>
  <c r="O85" i="41"/>
  <c r="P85" i="41"/>
  <c r="Q85" i="41"/>
  <c r="R85" i="41"/>
  <c r="S85" i="41"/>
  <c r="L81" i="41"/>
  <c r="M81" i="41"/>
  <c r="N81" i="41"/>
  <c r="O81" i="41"/>
  <c r="P81" i="41"/>
  <c r="Q81" i="41"/>
  <c r="R81" i="41"/>
  <c r="S81" i="41"/>
  <c r="T81" i="41"/>
  <c r="U81" i="41"/>
  <c r="V81" i="41"/>
  <c r="K82" i="41"/>
  <c r="L82" i="41"/>
  <c r="M82" i="41"/>
  <c r="T85" i="41"/>
  <c r="U85" i="41"/>
  <c r="V85" i="41"/>
  <c r="N82" i="41"/>
  <c r="O82" i="41"/>
  <c r="P82" i="41"/>
  <c r="Q82" i="41"/>
  <c r="R82" i="41"/>
  <c r="S82" i="41"/>
  <c r="T82" i="41"/>
  <c r="U82" i="41"/>
  <c r="V82" i="41"/>
  <c r="K83" i="41"/>
  <c r="O71" i="41"/>
  <c r="P71" i="41"/>
  <c r="Q71" i="41"/>
  <c r="R71" i="41"/>
  <c r="S71" i="41"/>
  <c r="T71" i="41"/>
  <c r="U71" i="41"/>
  <c r="V71" i="41"/>
  <c r="L83" i="41"/>
  <c r="M83" i="41"/>
  <c r="N83" i="41"/>
  <c r="O83" i="41"/>
  <c r="P83" i="41"/>
  <c r="Q83" i="41"/>
  <c r="R83" i="41"/>
  <c r="M74" i="41"/>
  <c r="S83" i="41"/>
  <c r="K72" i="41"/>
  <c r="L72" i="41"/>
  <c r="M72" i="41"/>
  <c r="N72" i="41"/>
  <c r="O72" i="41"/>
  <c r="P72" i="41"/>
  <c r="Q72" i="41"/>
  <c r="R72" i="41"/>
  <c r="T80" i="41"/>
  <c r="T72" i="41"/>
  <c r="U72" i="41"/>
  <c r="V72" i="41"/>
  <c r="K73" i="41"/>
  <c r="L73" i="41"/>
  <c r="M73" i="41"/>
  <c r="N73" i="41"/>
  <c r="O73" i="41"/>
  <c r="P73" i="41"/>
  <c r="Q73" i="41"/>
  <c r="R73" i="41"/>
  <c r="S73" i="41"/>
  <c r="T73" i="41"/>
  <c r="U73" i="41"/>
  <c r="V73" i="41"/>
  <c r="K74" i="41"/>
  <c r="L74" i="41"/>
  <c r="Q76" i="41"/>
  <c r="N74" i="41"/>
  <c r="O74" i="41"/>
  <c r="P74" i="41"/>
  <c r="Q74" i="41"/>
  <c r="R74" i="41"/>
  <c r="S74" i="41"/>
  <c r="T74" i="41"/>
  <c r="U74" i="41"/>
  <c r="V74" i="41"/>
  <c r="K75" i="41"/>
  <c r="L75" i="41"/>
  <c r="M75" i="41"/>
  <c r="N75" i="41"/>
  <c r="O75" i="41"/>
  <c r="P75" i="41"/>
  <c r="Q75" i="41"/>
  <c r="R75" i="41"/>
  <c r="S75" i="41"/>
  <c r="T75" i="41"/>
  <c r="U75" i="41"/>
  <c r="V75" i="41"/>
  <c r="K76" i="41"/>
  <c r="L76" i="41"/>
  <c r="M76" i="41"/>
  <c r="N76" i="41"/>
  <c r="O76" i="41"/>
  <c r="P76" i="41"/>
  <c r="R76" i="41"/>
  <c r="S76" i="41"/>
  <c r="T76" i="41"/>
  <c r="U76" i="41"/>
  <c r="V76" i="41"/>
  <c r="K77" i="41"/>
  <c r="L77" i="41"/>
  <c r="M77" i="41"/>
  <c r="N77" i="41"/>
  <c r="O77" i="41"/>
  <c r="P77" i="41"/>
  <c r="Q77" i="41"/>
  <c r="R77" i="41"/>
  <c r="S77" i="41"/>
  <c r="T77" i="41"/>
  <c r="U77" i="41"/>
  <c r="V77" i="41"/>
  <c r="K78" i="41"/>
  <c r="L78" i="41"/>
  <c r="M78" i="41"/>
  <c r="N78" i="41"/>
  <c r="O78" i="41"/>
  <c r="P78" i="41"/>
  <c r="Q78" i="41"/>
  <c r="R78" i="41"/>
  <c r="S78" i="41"/>
  <c r="T78" i="41"/>
  <c r="U78" i="41"/>
  <c r="V78" i="41"/>
  <c r="K79" i="41"/>
  <c r="L79" i="41"/>
  <c r="M79" i="41"/>
  <c r="N79" i="41"/>
  <c r="O79" i="41"/>
  <c r="P79" i="41"/>
  <c r="Y13" i="41"/>
  <c r="W13" i="41"/>
  <c r="X13" i="41"/>
  <c r="T82" i="39"/>
  <c r="U82" i="39"/>
  <c r="V82" i="39"/>
  <c r="K83" i="39"/>
  <c r="L83" i="39"/>
  <c r="M83" i="39"/>
  <c r="N83" i="39"/>
  <c r="O83" i="39"/>
  <c r="P83" i="39"/>
  <c r="Q83" i="39"/>
  <c r="R83" i="39"/>
  <c r="S83" i="39"/>
  <c r="T83" i="39"/>
  <c r="U83" i="39"/>
  <c r="V83" i="39"/>
  <c r="K84" i="39"/>
  <c r="L84" i="39"/>
  <c r="M84" i="39"/>
  <c r="N84" i="39"/>
  <c r="O84" i="39"/>
  <c r="P84" i="39"/>
  <c r="Q84" i="39"/>
  <c r="R84" i="39"/>
  <c r="S84" i="39"/>
  <c r="T84" i="39"/>
  <c r="U84" i="39"/>
  <c r="V84" i="39"/>
  <c r="K85" i="39"/>
  <c r="L85" i="39"/>
  <c r="M85" i="39"/>
  <c r="N85" i="39"/>
  <c r="O85" i="39"/>
  <c r="P85" i="39"/>
  <c r="Q85" i="39"/>
  <c r="R85" i="39"/>
  <c r="S85" i="39"/>
  <c r="T85" i="39"/>
  <c r="U85" i="39"/>
  <c r="V85" i="39"/>
  <c r="K44" i="39"/>
  <c r="L44" i="39"/>
  <c r="M44" i="39"/>
  <c r="N44" i="39"/>
  <c r="O44" i="39"/>
  <c r="P44" i="39"/>
  <c r="Q44" i="39"/>
  <c r="R44" i="39"/>
  <c r="S44" i="39"/>
  <c r="T44" i="39"/>
  <c r="U44" i="39"/>
  <c r="V44" i="39"/>
  <c r="K45" i="39"/>
  <c r="L45" i="39"/>
  <c r="M45" i="39"/>
  <c r="N45" i="39"/>
  <c r="O45" i="39"/>
  <c r="P45" i="39"/>
  <c r="Q45" i="39"/>
  <c r="R45" i="39"/>
  <c r="S45" i="39"/>
  <c r="T45" i="39"/>
  <c r="U45" i="39"/>
  <c r="V45" i="39"/>
  <c r="K46" i="39"/>
  <c r="L46" i="39"/>
  <c r="M46" i="39"/>
  <c r="N46" i="39"/>
  <c r="O46" i="39"/>
  <c r="P46" i="39"/>
  <c r="Q46" i="39"/>
  <c r="R46" i="39"/>
  <c r="S46" i="39"/>
  <c r="T46" i="39"/>
  <c r="U46" i="39"/>
  <c r="V46" i="39"/>
  <c r="K47" i="39"/>
  <c r="L47" i="39"/>
  <c r="M47" i="39"/>
  <c r="N47" i="39"/>
  <c r="O47" i="39"/>
  <c r="P47" i="39"/>
  <c r="Q47" i="39"/>
  <c r="R47" i="39"/>
  <c r="S47" i="39"/>
  <c r="T47" i="39"/>
  <c r="U47" i="39"/>
  <c r="V47" i="39"/>
  <c r="K48" i="39"/>
  <c r="L48" i="39"/>
  <c r="M48" i="39"/>
  <c r="N48" i="39"/>
  <c r="O48" i="39"/>
  <c r="P48" i="39"/>
  <c r="Q48" i="39"/>
  <c r="R48" i="39"/>
  <c r="S48" i="39"/>
  <c r="T48" i="39"/>
  <c r="U48" i="39"/>
  <c r="V48" i="39"/>
  <c r="K49" i="39"/>
  <c r="L49" i="39"/>
  <c r="M49" i="39"/>
  <c r="N49" i="39"/>
  <c r="O49" i="39"/>
  <c r="P49" i="39"/>
  <c r="Q49" i="39"/>
  <c r="R49" i="39"/>
  <c r="S49" i="39"/>
  <c r="T49" i="39"/>
  <c r="U49" i="39"/>
  <c r="V49" i="39"/>
  <c r="K50" i="39"/>
  <c r="L50" i="39"/>
  <c r="M50" i="39"/>
  <c r="N50" i="39"/>
  <c r="O50" i="39"/>
  <c r="P50" i="39"/>
  <c r="Q50" i="39"/>
  <c r="R50" i="39"/>
  <c r="S50" i="39"/>
  <c r="T50" i="39"/>
  <c r="U50" i="39"/>
  <c r="V50" i="39"/>
  <c r="K51" i="39"/>
  <c r="L51" i="39"/>
  <c r="M51" i="39"/>
  <c r="N51" i="39"/>
  <c r="O51" i="39"/>
  <c r="P51" i="39"/>
  <c r="Q51" i="39"/>
  <c r="R51" i="39"/>
  <c r="S51" i="39"/>
  <c r="T51" i="39"/>
  <c r="U51" i="39"/>
  <c r="V51" i="39"/>
  <c r="K52" i="39"/>
  <c r="L52" i="39"/>
  <c r="M52" i="39"/>
  <c r="N52" i="39"/>
  <c r="O52" i="39"/>
  <c r="P52" i="39"/>
  <c r="Q52" i="39"/>
  <c r="R52" i="39"/>
  <c r="S52" i="39"/>
  <c r="T52" i="39"/>
  <c r="U52" i="39"/>
  <c r="V52" i="39"/>
  <c r="K53" i="39"/>
  <c r="L53" i="39"/>
  <c r="M53" i="39"/>
  <c r="N53" i="39"/>
  <c r="O53" i="39"/>
  <c r="P53" i="39"/>
  <c r="Q53" i="39"/>
  <c r="R53" i="39"/>
  <c r="S53" i="39"/>
  <c r="T53" i="39"/>
  <c r="U53" i="39"/>
  <c r="V53" i="39"/>
  <c r="K54" i="39"/>
  <c r="L54" i="39"/>
  <c r="M54" i="39"/>
  <c r="N54" i="39"/>
  <c r="O54" i="39"/>
  <c r="P54" i="39"/>
  <c r="Q54" i="39"/>
  <c r="R54" i="39"/>
  <c r="S54" i="39"/>
  <c r="T54" i="39"/>
  <c r="U54" i="39"/>
  <c r="V54" i="39"/>
  <c r="K55" i="39"/>
  <c r="L55" i="39"/>
  <c r="M55" i="39"/>
  <c r="N55" i="39"/>
  <c r="O55" i="39"/>
  <c r="P55" i="39"/>
  <c r="Q55" i="39"/>
  <c r="R55" i="39"/>
  <c r="S55" i="39"/>
  <c r="T55" i="39"/>
  <c r="U55" i="39"/>
  <c r="V55" i="39"/>
  <c r="K56" i="39"/>
  <c r="L56" i="39"/>
  <c r="M56" i="39"/>
  <c r="N56" i="39"/>
  <c r="O56" i="39"/>
  <c r="P56" i="39"/>
  <c r="Q56" i="39"/>
  <c r="R56" i="39"/>
  <c r="S56" i="39"/>
  <c r="T56" i="39"/>
  <c r="U56" i="39"/>
  <c r="V56" i="39"/>
  <c r="W56" i="39" s="1"/>
  <c r="K57" i="39"/>
  <c r="L57" i="39"/>
  <c r="M57" i="39"/>
  <c r="N57" i="39"/>
  <c r="O57" i="39"/>
  <c r="P57" i="39"/>
  <c r="Q57" i="39"/>
  <c r="R57" i="39"/>
  <c r="S57" i="39"/>
  <c r="T57" i="39"/>
  <c r="U57" i="39"/>
  <c r="V57" i="39"/>
  <c r="K58" i="39"/>
  <c r="L58" i="39"/>
  <c r="M58" i="39"/>
  <c r="N58" i="39"/>
  <c r="O58" i="39"/>
  <c r="P58" i="39"/>
  <c r="Q58" i="39"/>
  <c r="R58" i="39"/>
  <c r="S58" i="39"/>
  <c r="T58" i="39"/>
  <c r="U58" i="39"/>
  <c r="V58" i="39"/>
  <c r="K59" i="39"/>
  <c r="L59" i="39"/>
  <c r="M59" i="39"/>
  <c r="N59" i="39"/>
  <c r="O59" i="39"/>
  <c r="P59" i="39"/>
  <c r="Q59" i="39"/>
  <c r="R59" i="39"/>
  <c r="S59" i="39"/>
  <c r="T59" i="39"/>
  <c r="U59" i="39"/>
  <c r="V59" i="39"/>
  <c r="K60" i="39"/>
  <c r="L60" i="39"/>
  <c r="M60" i="39"/>
  <c r="N60" i="39"/>
  <c r="O60" i="39"/>
  <c r="P60" i="39"/>
  <c r="Q60" i="39"/>
  <c r="R60" i="39"/>
  <c r="S60" i="39"/>
  <c r="T60" i="39"/>
  <c r="U60" i="39"/>
  <c r="V60" i="39"/>
  <c r="W60" i="39" s="1"/>
  <c r="K61" i="39"/>
  <c r="L61" i="39"/>
  <c r="M61" i="39"/>
  <c r="N61" i="39"/>
  <c r="O61" i="39"/>
  <c r="P61" i="39"/>
  <c r="Q61" i="39"/>
  <c r="R61" i="39"/>
  <c r="S61" i="39"/>
  <c r="T61" i="39"/>
  <c r="U61" i="39"/>
  <c r="V61" i="39"/>
  <c r="W61" i="39" s="1"/>
  <c r="K62" i="39"/>
  <c r="L62" i="39"/>
  <c r="M62" i="39"/>
  <c r="N62" i="39"/>
  <c r="O62" i="39"/>
  <c r="P62" i="39"/>
  <c r="Q62" i="39"/>
  <c r="R62" i="39"/>
  <c r="S62" i="39"/>
  <c r="T62" i="39"/>
  <c r="U62" i="39"/>
  <c r="V62" i="39"/>
  <c r="K63" i="39"/>
  <c r="L63" i="39"/>
  <c r="M63" i="39"/>
  <c r="N63" i="39"/>
  <c r="O63" i="39"/>
  <c r="P63" i="39"/>
  <c r="Q63" i="39"/>
  <c r="R63" i="39"/>
  <c r="S63" i="39"/>
  <c r="T63" i="39"/>
  <c r="U63" i="39"/>
  <c r="V63" i="39"/>
  <c r="K64" i="39"/>
  <c r="L64" i="39"/>
  <c r="M64" i="39"/>
  <c r="N64" i="39"/>
  <c r="O64" i="39"/>
  <c r="P64" i="39"/>
  <c r="Q64" i="39"/>
  <c r="R64" i="39"/>
  <c r="S64" i="39"/>
  <c r="T64" i="39"/>
  <c r="U64" i="39"/>
  <c r="V64" i="39"/>
  <c r="K65" i="39"/>
  <c r="L65" i="39"/>
  <c r="M65" i="39"/>
  <c r="N65" i="39"/>
  <c r="O65" i="39"/>
  <c r="P65" i="39"/>
  <c r="Q65" i="39"/>
  <c r="R65" i="39"/>
  <c r="S65" i="39"/>
  <c r="T65" i="39"/>
  <c r="U65" i="39"/>
  <c r="V65" i="39"/>
  <c r="K66" i="39"/>
  <c r="L66" i="39"/>
  <c r="M66" i="39"/>
  <c r="N66" i="39"/>
  <c r="O66" i="39"/>
  <c r="P66" i="39"/>
  <c r="Q66" i="39"/>
  <c r="R66" i="39"/>
  <c r="S66" i="39"/>
  <c r="T66" i="39"/>
  <c r="U66" i="39"/>
  <c r="V66" i="39"/>
  <c r="W66" i="39" s="1"/>
  <c r="K67" i="39"/>
  <c r="L67" i="39"/>
  <c r="M67" i="39"/>
  <c r="N67" i="39"/>
  <c r="O67" i="39"/>
  <c r="P67" i="39"/>
  <c r="Q67" i="39"/>
  <c r="R67" i="39"/>
  <c r="S67" i="39"/>
  <c r="T67" i="39"/>
  <c r="U67" i="39"/>
  <c r="V67" i="39"/>
  <c r="K68" i="39"/>
  <c r="L68" i="39"/>
  <c r="M68" i="39"/>
  <c r="N68" i="39"/>
  <c r="O68" i="39"/>
  <c r="P68" i="39"/>
  <c r="Q68" i="39"/>
  <c r="R68" i="39"/>
  <c r="S68" i="39"/>
  <c r="T68" i="39"/>
  <c r="U68" i="39"/>
  <c r="V68" i="39"/>
  <c r="W68" i="39" s="1"/>
  <c r="K69" i="39"/>
  <c r="L69" i="39"/>
  <c r="M69" i="39"/>
  <c r="N69" i="39"/>
  <c r="O69" i="39"/>
  <c r="P69" i="39"/>
  <c r="Q69" i="39"/>
  <c r="R69" i="39"/>
  <c r="S69" i="39"/>
  <c r="T69" i="39"/>
  <c r="U69" i="39"/>
  <c r="V69" i="39"/>
  <c r="W69" i="39" s="1"/>
  <c r="K70" i="39"/>
  <c r="L70" i="39"/>
  <c r="M70" i="39"/>
  <c r="N70" i="39"/>
  <c r="O70" i="39"/>
  <c r="P70" i="39"/>
  <c r="Q70" i="39"/>
  <c r="R70" i="39"/>
  <c r="S70" i="39"/>
  <c r="T70" i="39"/>
  <c r="U70" i="39"/>
  <c r="V70" i="39"/>
  <c r="K71" i="39"/>
  <c r="L71" i="39"/>
  <c r="M71" i="39"/>
  <c r="N71" i="39"/>
  <c r="O71" i="39"/>
  <c r="P71" i="39"/>
  <c r="Q71" i="39"/>
  <c r="R71" i="39"/>
  <c r="S71" i="39"/>
  <c r="T71" i="39"/>
  <c r="U71" i="39"/>
  <c r="V71" i="39"/>
  <c r="K72" i="39"/>
  <c r="L72" i="39"/>
  <c r="M72" i="39"/>
  <c r="N72" i="39"/>
  <c r="O72" i="39"/>
  <c r="P72" i="39"/>
  <c r="Q72" i="39"/>
  <c r="R72" i="39"/>
  <c r="S72" i="39"/>
  <c r="T72" i="39"/>
  <c r="U72" i="39"/>
  <c r="V72" i="39"/>
  <c r="W72" i="39" s="1"/>
  <c r="K73" i="39"/>
  <c r="L73" i="39"/>
  <c r="M73" i="39"/>
  <c r="N73" i="39"/>
  <c r="O73" i="39"/>
  <c r="P73" i="39"/>
  <c r="Q73" i="39"/>
  <c r="R73" i="39"/>
  <c r="S73" i="39"/>
  <c r="T73" i="39"/>
  <c r="U73" i="39"/>
  <c r="V73" i="39"/>
  <c r="K74" i="39"/>
  <c r="L74" i="39"/>
  <c r="M74" i="39"/>
  <c r="N74" i="39"/>
  <c r="O74" i="39"/>
  <c r="P74" i="39"/>
  <c r="Q74" i="39"/>
  <c r="R74" i="39"/>
  <c r="S74" i="39"/>
  <c r="T74" i="39"/>
  <c r="U74" i="39"/>
  <c r="V74" i="39"/>
  <c r="K75" i="39"/>
  <c r="L75" i="39"/>
  <c r="M75" i="39"/>
  <c r="N75" i="39"/>
  <c r="O75" i="39"/>
  <c r="P75" i="39"/>
  <c r="Q75" i="39"/>
  <c r="R75" i="39"/>
  <c r="S75" i="39"/>
  <c r="T75" i="39"/>
  <c r="U75" i="39"/>
  <c r="V75" i="39"/>
  <c r="K76" i="39"/>
  <c r="L76" i="39"/>
  <c r="M76" i="39"/>
  <c r="N76" i="39"/>
  <c r="O76" i="39"/>
  <c r="P76" i="39"/>
  <c r="Q76" i="39"/>
  <c r="R76" i="39"/>
  <c r="S76" i="39"/>
  <c r="T76" i="39"/>
  <c r="U76" i="39"/>
  <c r="V76" i="39"/>
  <c r="W76" i="39" s="1"/>
  <c r="K77" i="39"/>
  <c r="L77" i="39"/>
  <c r="M77" i="39"/>
  <c r="N77" i="39"/>
  <c r="O77" i="39"/>
  <c r="P77" i="39"/>
  <c r="Q77" i="39"/>
  <c r="R77" i="39"/>
  <c r="S77" i="39"/>
  <c r="T77" i="39"/>
  <c r="U77" i="39"/>
  <c r="V77" i="39"/>
  <c r="W77" i="39" s="1"/>
  <c r="K78" i="39"/>
  <c r="L78" i="39"/>
  <c r="M78" i="39"/>
  <c r="N78" i="39"/>
  <c r="O78" i="39"/>
  <c r="P78" i="39"/>
  <c r="Q78" i="39"/>
  <c r="R78" i="39"/>
  <c r="S78" i="39"/>
  <c r="T78" i="39"/>
  <c r="U78" i="39"/>
  <c r="V78" i="39"/>
  <c r="K79" i="39"/>
  <c r="L79" i="39"/>
  <c r="M79" i="39"/>
  <c r="N79" i="39"/>
  <c r="O79" i="39"/>
  <c r="P79" i="39"/>
  <c r="Q79" i="39"/>
  <c r="R79" i="39"/>
  <c r="S79" i="39"/>
  <c r="T79" i="39"/>
  <c r="U79" i="39"/>
  <c r="V79" i="39"/>
  <c r="K80" i="39"/>
  <c r="L80" i="39"/>
  <c r="M80" i="39"/>
  <c r="N80" i="39"/>
  <c r="O80" i="39"/>
  <c r="P80" i="39"/>
  <c r="Q80" i="39"/>
  <c r="R80" i="39"/>
  <c r="S80" i="39"/>
  <c r="T80" i="39"/>
  <c r="U80" i="39"/>
  <c r="V80" i="39"/>
  <c r="K81" i="39"/>
  <c r="L81" i="39"/>
  <c r="M81" i="39"/>
  <c r="N81" i="39"/>
  <c r="O81" i="39"/>
  <c r="P81" i="39"/>
  <c r="Q81" i="39"/>
  <c r="R81" i="39"/>
  <c r="S81" i="39"/>
  <c r="T81" i="39"/>
  <c r="U81" i="39"/>
  <c r="V81" i="39"/>
  <c r="K82" i="39"/>
  <c r="L82" i="39"/>
  <c r="M82" i="39"/>
  <c r="N82" i="39"/>
  <c r="O82" i="39"/>
  <c r="P82" i="39"/>
  <c r="Q82" i="39"/>
  <c r="R82" i="39"/>
  <c r="S82" i="39"/>
  <c r="Y15" i="39"/>
  <c r="X15" i="39"/>
  <c r="W19" i="39"/>
  <c r="X19" i="39"/>
  <c r="Y19" i="39"/>
  <c r="Z28" i="39"/>
  <c r="AC28" i="39"/>
  <c r="AA28" i="39"/>
  <c r="X30" i="39"/>
  <c r="Y30" i="39"/>
  <c r="Y32" i="39"/>
  <c r="X32" i="39"/>
  <c r="X36" i="39"/>
  <c r="Y36" i="39"/>
  <c r="W40" i="39"/>
  <c r="Y40" i="39"/>
  <c r="X40" i="39"/>
  <c r="AC17" i="35"/>
  <c r="AD17" i="35"/>
  <c r="AE17" i="35"/>
  <c r="AA17" i="35"/>
  <c r="AB17" i="35"/>
  <c r="Z17" i="35"/>
  <c r="W49" i="35"/>
  <c r="X49" i="35"/>
  <c r="Y49" i="35"/>
  <c r="T12" i="34"/>
  <c r="Q12" i="34"/>
  <c r="O12" i="34"/>
  <c r="Y36" i="34"/>
  <c r="Z36" i="34"/>
  <c r="K27" i="41"/>
  <c r="L27" i="41"/>
  <c r="M27" i="41"/>
  <c r="N27" i="41"/>
  <c r="O27" i="41"/>
  <c r="P27" i="41"/>
  <c r="Q27" i="41"/>
  <c r="R27" i="41"/>
  <c r="S27" i="41"/>
  <c r="T27" i="41"/>
  <c r="U27" i="41"/>
  <c r="V27" i="41"/>
  <c r="AI5" i="41"/>
  <c r="L10" i="36"/>
  <c r="Y35" i="34"/>
  <c r="K10" i="39"/>
  <c r="P10" i="39"/>
  <c r="Q10" i="39"/>
  <c r="S10" i="39"/>
  <c r="M10" i="39"/>
  <c r="O10" i="39"/>
  <c r="L10" i="39"/>
  <c r="N10" i="39"/>
  <c r="R10" i="39"/>
  <c r="T10" i="39"/>
  <c r="W74" i="39"/>
  <c r="X74" i="39"/>
  <c r="M10" i="38"/>
  <c r="N63" i="38"/>
  <c r="L17" i="38"/>
  <c r="M17" i="38"/>
  <c r="N17" i="38"/>
  <c r="O17" i="38"/>
  <c r="P17" i="38"/>
  <c r="Q17" i="38"/>
  <c r="R17" i="38"/>
  <c r="S17" i="38"/>
  <c r="T17" i="38"/>
  <c r="U17" i="38"/>
  <c r="V17" i="38"/>
  <c r="O63" i="38"/>
  <c r="P63" i="38"/>
  <c r="K31" i="38"/>
  <c r="Q63" i="38"/>
  <c r="R63" i="38"/>
  <c r="S63" i="38"/>
  <c r="T63" i="38"/>
  <c r="R50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R39" i="38"/>
  <c r="L31" i="38"/>
  <c r="M31" i="38"/>
  <c r="N31" i="38"/>
  <c r="O31" i="38"/>
  <c r="P31" i="38"/>
  <c r="Q31" i="38"/>
  <c r="R31" i="38"/>
  <c r="S31" i="38"/>
  <c r="T31" i="38"/>
  <c r="U31" i="38"/>
  <c r="V31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K34" i="38"/>
  <c r="L34" i="38"/>
  <c r="M34" i="38"/>
  <c r="N34" i="38"/>
  <c r="O34" i="38"/>
  <c r="P34" i="38"/>
  <c r="Q34" i="38"/>
  <c r="S34" i="38"/>
  <c r="T34" i="38"/>
  <c r="U34" i="38"/>
  <c r="V34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K36" i="38"/>
  <c r="L36" i="38"/>
  <c r="M36" i="38"/>
  <c r="N36" i="38"/>
  <c r="O36" i="38"/>
  <c r="P36" i="38"/>
  <c r="Q36" i="38"/>
  <c r="R36" i="38"/>
  <c r="S36" i="38"/>
  <c r="T36" i="38"/>
  <c r="U36" i="38"/>
  <c r="V36" i="38"/>
  <c r="W36" i="38" s="1"/>
  <c r="K37" i="38"/>
  <c r="L37" i="38"/>
  <c r="M37" i="38"/>
  <c r="N37" i="38"/>
  <c r="O37" i="38"/>
  <c r="P37" i="38"/>
  <c r="Q37" i="38"/>
  <c r="R37" i="38"/>
  <c r="S37" i="38"/>
  <c r="T37" i="38"/>
  <c r="U37" i="38"/>
  <c r="V37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K39" i="38"/>
  <c r="L39" i="38"/>
  <c r="M39" i="38"/>
  <c r="N39" i="38"/>
  <c r="O39" i="38"/>
  <c r="P39" i="38"/>
  <c r="Q39" i="38"/>
  <c r="S39" i="38"/>
  <c r="T39" i="38"/>
  <c r="U39" i="38"/>
  <c r="V39" i="38"/>
  <c r="K40" i="38"/>
  <c r="L40" i="38"/>
  <c r="M40" i="38"/>
  <c r="N40" i="38"/>
  <c r="O40" i="38"/>
  <c r="P40" i="38"/>
  <c r="Q40" i="38"/>
  <c r="R40" i="38"/>
  <c r="S40" i="38"/>
  <c r="T40" i="38"/>
  <c r="U40" i="38"/>
  <c r="V40" i="38"/>
  <c r="K41" i="38"/>
  <c r="L41" i="38"/>
  <c r="M41" i="38"/>
  <c r="N41" i="38"/>
  <c r="O41" i="38"/>
  <c r="P41" i="38"/>
  <c r="Q41" i="38"/>
  <c r="R41" i="38"/>
  <c r="S41" i="38"/>
  <c r="T41" i="38"/>
  <c r="U41" i="38"/>
  <c r="V41" i="38"/>
  <c r="K42" i="38"/>
  <c r="L42" i="38"/>
  <c r="M42" i="38"/>
  <c r="N42" i="38"/>
  <c r="O42" i="38"/>
  <c r="P42" i="38"/>
  <c r="Q42" i="38"/>
  <c r="R42" i="38"/>
  <c r="S42" i="38"/>
  <c r="T42" i="38"/>
  <c r="U42" i="38"/>
  <c r="V42" i="38"/>
  <c r="K43" i="38"/>
  <c r="L43" i="38"/>
  <c r="M43" i="38"/>
  <c r="N43" i="38"/>
  <c r="O43" i="38"/>
  <c r="P43" i="38"/>
  <c r="Q43" i="38"/>
  <c r="R43" i="38"/>
  <c r="S43" i="38"/>
  <c r="T43" i="38"/>
  <c r="U43" i="38"/>
  <c r="V43" i="38"/>
  <c r="K44" i="38"/>
  <c r="L44" i="38"/>
  <c r="M44" i="38"/>
  <c r="N44" i="38"/>
  <c r="O44" i="38"/>
  <c r="P44" i="38"/>
  <c r="Q44" i="38"/>
  <c r="R44" i="38"/>
  <c r="S44" i="38"/>
  <c r="T44" i="38"/>
  <c r="U44" i="38"/>
  <c r="V44" i="38"/>
  <c r="K45" i="38"/>
  <c r="L45" i="38"/>
  <c r="M45" i="38"/>
  <c r="N45" i="38"/>
  <c r="O45" i="38"/>
  <c r="P45" i="38"/>
  <c r="Q45" i="38"/>
  <c r="R45" i="38"/>
  <c r="S45" i="38"/>
  <c r="T45" i="38"/>
  <c r="U45" i="38"/>
  <c r="V45" i="38"/>
  <c r="K46" i="38"/>
  <c r="L46" i="38"/>
  <c r="M46" i="38"/>
  <c r="N46" i="38"/>
  <c r="K47" i="38"/>
  <c r="L47" i="38"/>
  <c r="M47" i="38"/>
  <c r="N47" i="38"/>
  <c r="O47" i="38"/>
  <c r="P47" i="38"/>
  <c r="Q47" i="38"/>
  <c r="R47" i="38"/>
  <c r="S47" i="38"/>
  <c r="T47" i="38"/>
  <c r="U47" i="38"/>
  <c r="V47" i="38"/>
  <c r="K48" i="38"/>
  <c r="L48" i="38"/>
  <c r="M48" i="38"/>
  <c r="N48" i="38"/>
  <c r="O48" i="38"/>
  <c r="P48" i="38"/>
  <c r="Q48" i="38"/>
  <c r="R48" i="38"/>
  <c r="S48" i="38"/>
  <c r="T48" i="38"/>
  <c r="U48" i="38"/>
  <c r="V48" i="38"/>
  <c r="K49" i="38"/>
  <c r="L49" i="38"/>
  <c r="M49" i="38"/>
  <c r="N49" i="38"/>
  <c r="O49" i="38"/>
  <c r="P49" i="38"/>
  <c r="Q49" i="38"/>
  <c r="R49" i="38"/>
  <c r="S49" i="38"/>
  <c r="T49" i="38"/>
  <c r="U49" i="38"/>
  <c r="V49" i="38"/>
  <c r="K50" i="38"/>
  <c r="L50" i="38"/>
  <c r="M50" i="38"/>
  <c r="N50" i="38"/>
  <c r="O50" i="38"/>
  <c r="P50" i="38"/>
  <c r="Q50" i="38"/>
  <c r="R34" i="38"/>
  <c r="S50" i="38"/>
  <c r="T50" i="38"/>
  <c r="U50" i="38"/>
  <c r="V50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K52" i="38"/>
  <c r="L52" i="38"/>
  <c r="M52" i="38"/>
  <c r="N52" i="38"/>
  <c r="O52" i="38"/>
  <c r="P52" i="38"/>
  <c r="Q52" i="38"/>
  <c r="R52" i="38"/>
  <c r="S52" i="38"/>
  <c r="T52" i="38"/>
  <c r="U52" i="38"/>
  <c r="V52" i="38"/>
  <c r="K53" i="38"/>
  <c r="L53" i="38"/>
  <c r="M53" i="38"/>
  <c r="N53" i="38"/>
  <c r="O53" i="38"/>
  <c r="P53" i="38"/>
  <c r="Q53" i="38"/>
  <c r="R53" i="38"/>
  <c r="S53" i="38"/>
  <c r="T53" i="38"/>
  <c r="U53" i="38"/>
  <c r="V53" i="38"/>
  <c r="K54" i="38"/>
  <c r="L54" i="38"/>
  <c r="M54" i="38"/>
  <c r="N54" i="38"/>
  <c r="O54" i="38"/>
  <c r="P54" i="38"/>
  <c r="Q54" i="38"/>
  <c r="R54" i="38"/>
  <c r="S54" i="38"/>
  <c r="T54" i="38"/>
  <c r="U54" i="38"/>
  <c r="V54" i="38"/>
  <c r="K55" i="38"/>
  <c r="L55" i="38"/>
  <c r="M55" i="38"/>
  <c r="N55" i="38"/>
  <c r="O55" i="38"/>
  <c r="P55" i="38"/>
  <c r="Q55" i="38"/>
  <c r="R55" i="38"/>
  <c r="S55" i="38"/>
  <c r="T55" i="38"/>
  <c r="U55" i="38"/>
  <c r="V55" i="38"/>
  <c r="Z55" i="38" s="1"/>
  <c r="K56" i="38"/>
  <c r="L56" i="38"/>
  <c r="M56" i="38"/>
  <c r="N56" i="38"/>
  <c r="O56" i="38"/>
  <c r="P56" i="38"/>
  <c r="Q56" i="38"/>
  <c r="R56" i="38"/>
  <c r="S56" i="38"/>
  <c r="T56" i="38"/>
  <c r="U56" i="38"/>
  <c r="V56" i="38"/>
  <c r="K57" i="38"/>
  <c r="L57" i="38"/>
  <c r="M57" i="38"/>
  <c r="N57" i="38"/>
  <c r="O57" i="38"/>
  <c r="P57" i="38"/>
  <c r="Q57" i="38"/>
  <c r="R57" i="38"/>
  <c r="S57" i="38"/>
  <c r="T57" i="38"/>
  <c r="U57" i="38"/>
  <c r="V57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K63" i="38"/>
  <c r="L63" i="38"/>
  <c r="M63" i="38"/>
  <c r="W24" i="36"/>
  <c r="X24" i="36"/>
  <c r="Y24" i="36"/>
  <c r="Z24" i="36"/>
  <c r="AA24" i="36"/>
  <c r="AB24" i="36"/>
  <c r="AC24" i="36"/>
  <c r="AD24" i="36"/>
  <c r="AE24" i="36"/>
  <c r="X26" i="36"/>
  <c r="Z26" i="36"/>
  <c r="AB26" i="36"/>
  <c r="AE26" i="36"/>
  <c r="W26" i="36"/>
  <c r="Y26" i="36"/>
  <c r="AA26" i="36"/>
  <c r="AC26" i="36"/>
  <c r="AD26" i="36"/>
  <c r="X59" i="36"/>
  <c r="Y59" i="36"/>
  <c r="U10" i="35"/>
  <c r="T10" i="35"/>
  <c r="C20" i="40"/>
  <c r="D20" i="40"/>
  <c r="C28" i="40"/>
  <c r="D28" i="40"/>
  <c r="D38" i="40"/>
  <c r="C38" i="40"/>
  <c r="E38" i="40"/>
  <c r="C69" i="40"/>
  <c r="E69" i="40"/>
  <c r="D69" i="40"/>
  <c r="X35" i="35"/>
  <c r="X36" i="34"/>
  <c r="X53" i="35"/>
  <c r="Y24" i="34"/>
  <c r="X31" i="35"/>
  <c r="W44" i="35"/>
  <c r="X28" i="39"/>
  <c r="Y28" i="39"/>
  <c r="W28" i="39"/>
  <c r="K11" i="37"/>
  <c r="S10" i="37"/>
  <c r="Q10" i="37"/>
  <c r="T10" i="37"/>
  <c r="R10" i="37"/>
  <c r="U10" i="37"/>
  <c r="V10" i="37"/>
  <c r="W51" i="36"/>
  <c r="X51" i="36"/>
  <c r="W53" i="36"/>
  <c r="Y53" i="36"/>
  <c r="V23" i="39"/>
  <c r="K23" i="39"/>
  <c r="L23" i="39"/>
  <c r="M23" i="39"/>
  <c r="N23" i="39"/>
  <c r="O23" i="39"/>
  <c r="P23" i="39"/>
  <c r="Q23" i="39"/>
  <c r="R23" i="39"/>
  <c r="S23" i="39"/>
  <c r="T23" i="39"/>
  <c r="U23" i="39"/>
  <c r="D36" i="39"/>
  <c r="C36" i="39"/>
  <c r="AE36" i="39"/>
  <c r="AD36" i="39"/>
  <c r="G64" i="39"/>
  <c r="H64" i="39"/>
  <c r="C64" i="39"/>
  <c r="Y45" i="35"/>
  <c r="W35" i="35"/>
  <c r="X19" i="34"/>
  <c r="W53" i="35"/>
  <c r="W36" i="34"/>
  <c r="W47" i="37"/>
  <c r="AE56" i="37"/>
  <c r="W24" i="37"/>
  <c r="W34" i="37"/>
  <c r="W37" i="37"/>
  <c r="W43" i="37"/>
  <c r="W44" i="37"/>
  <c r="W46" i="37"/>
  <c r="X50" i="37"/>
  <c r="W52" i="37"/>
  <c r="W55" i="37"/>
  <c r="W76" i="36"/>
  <c r="M82" i="38"/>
  <c r="N82" i="38"/>
  <c r="O82" i="38"/>
  <c r="P82" i="38"/>
  <c r="Q82" i="38"/>
  <c r="R82" i="38"/>
  <c r="S82" i="38"/>
  <c r="T82" i="38"/>
  <c r="U82" i="38"/>
  <c r="V82" i="38"/>
  <c r="K83" i="38"/>
  <c r="L83" i="38"/>
  <c r="M83" i="38"/>
  <c r="N83" i="38"/>
  <c r="O83" i="38"/>
  <c r="P83" i="38"/>
  <c r="Q83" i="38"/>
  <c r="R83" i="38"/>
  <c r="S83" i="38"/>
  <c r="T83" i="38"/>
  <c r="U83" i="38"/>
  <c r="V83" i="38"/>
  <c r="K84" i="38"/>
  <c r="L84" i="38"/>
  <c r="M84" i="38"/>
  <c r="N84" i="38"/>
  <c r="O84" i="38"/>
  <c r="P84" i="38"/>
  <c r="Q84" i="38"/>
  <c r="R84" i="38"/>
  <c r="S84" i="38"/>
  <c r="T84" i="38"/>
  <c r="U84" i="38"/>
  <c r="V84" i="38"/>
  <c r="K85" i="38"/>
  <c r="L85" i="38"/>
  <c r="M85" i="38"/>
  <c r="N85" i="38"/>
  <c r="O85" i="38"/>
  <c r="N10" i="38"/>
  <c r="P85" i="38"/>
  <c r="Q85" i="38"/>
  <c r="R85" i="38"/>
  <c r="S85" i="38"/>
  <c r="T85" i="38"/>
  <c r="U85" i="38"/>
  <c r="V85" i="38"/>
  <c r="L10" i="38"/>
  <c r="O10" i="38"/>
  <c r="U63" i="38"/>
  <c r="V63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K66" i="38"/>
  <c r="L66" i="38"/>
  <c r="M66" i="38"/>
  <c r="N66" i="38"/>
  <c r="O66" i="38"/>
  <c r="P66" i="38"/>
  <c r="Q66" i="38"/>
  <c r="R66" i="38"/>
  <c r="S66" i="38"/>
  <c r="T66" i="38"/>
  <c r="U66" i="38"/>
  <c r="V66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K68" i="38"/>
  <c r="L68" i="38"/>
  <c r="M68" i="38"/>
  <c r="N68" i="38"/>
  <c r="O68" i="38"/>
  <c r="P68" i="38"/>
  <c r="Q68" i="38"/>
  <c r="R68" i="38"/>
  <c r="S68" i="38"/>
  <c r="T68" i="38"/>
  <c r="U68" i="38"/>
  <c r="V68" i="38"/>
  <c r="K69" i="38"/>
  <c r="L69" i="38"/>
  <c r="M69" i="38"/>
  <c r="N69" i="38"/>
  <c r="O69" i="38"/>
  <c r="P69" i="38"/>
  <c r="Q69" i="38"/>
  <c r="R69" i="38"/>
  <c r="S69" i="38"/>
  <c r="T69" i="38"/>
  <c r="U69" i="38"/>
  <c r="V69" i="38"/>
  <c r="K70" i="38"/>
  <c r="L70" i="38"/>
  <c r="M70" i="38"/>
  <c r="N70" i="38"/>
  <c r="O70" i="38"/>
  <c r="P70" i="38"/>
  <c r="Q70" i="38"/>
  <c r="R70" i="38"/>
  <c r="S70" i="38"/>
  <c r="T70" i="38"/>
  <c r="U70" i="38"/>
  <c r="V70" i="38"/>
  <c r="K71" i="38"/>
  <c r="L71" i="38"/>
  <c r="M71" i="38"/>
  <c r="N71" i="38"/>
  <c r="O71" i="38"/>
  <c r="P71" i="38"/>
  <c r="Q71" i="38"/>
  <c r="R71" i="38"/>
  <c r="S71" i="38"/>
  <c r="T71" i="38"/>
  <c r="U71" i="38"/>
  <c r="V71" i="38"/>
  <c r="K72" i="38"/>
  <c r="L72" i="38"/>
  <c r="M72" i="38"/>
  <c r="N72" i="38"/>
  <c r="O72" i="38"/>
  <c r="P72" i="38"/>
  <c r="Q72" i="38"/>
  <c r="R72" i="38"/>
  <c r="S72" i="38"/>
  <c r="T72" i="38"/>
  <c r="U72" i="38"/>
  <c r="V72" i="38"/>
  <c r="K73" i="38"/>
  <c r="L73" i="38"/>
  <c r="M73" i="38"/>
  <c r="N73" i="38"/>
  <c r="O73" i="38"/>
  <c r="P73" i="38"/>
  <c r="Q73" i="38"/>
  <c r="R73" i="38"/>
  <c r="S73" i="38"/>
  <c r="T73" i="38"/>
  <c r="U73" i="38"/>
  <c r="V73" i="38"/>
  <c r="K74" i="38"/>
  <c r="L74" i="38"/>
  <c r="M74" i="38"/>
  <c r="N74" i="38"/>
  <c r="O74" i="38"/>
  <c r="P74" i="38"/>
  <c r="Q74" i="38"/>
  <c r="R74" i="38"/>
  <c r="S74" i="38"/>
  <c r="T74" i="38"/>
  <c r="U74" i="38"/>
  <c r="V74" i="38"/>
  <c r="K75" i="38"/>
  <c r="L75" i="38"/>
  <c r="M75" i="38"/>
  <c r="N75" i="38"/>
  <c r="O75" i="38"/>
  <c r="P75" i="38"/>
  <c r="Q75" i="38"/>
  <c r="R75" i="38"/>
  <c r="S75" i="38"/>
  <c r="T75" i="38"/>
  <c r="U75" i="38"/>
  <c r="V75" i="38"/>
  <c r="K76" i="38"/>
  <c r="L76" i="38"/>
  <c r="M76" i="38"/>
  <c r="N76" i="38"/>
  <c r="O76" i="38"/>
  <c r="P76" i="38"/>
  <c r="Q76" i="38"/>
  <c r="R76" i="38"/>
  <c r="S76" i="38"/>
  <c r="T76" i="38"/>
  <c r="U76" i="38"/>
  <c r="V76" i="38"/>
  <c r="K77" i="38"/>
  <c r="L77" i="38"/>
  <c r="M77" i="38"/>
  <c r="N77" i="38"/>
  <c r="O77" i="38"/>
  <c r="P77" i="38"/>
  <c r="Q77" i="38"/>
  <c r="R77" i="38"/>
  <c r="S77" i="38"/>
  <c r="T77" i="38"/>
  <c r="U77" i="38"/>
  <c r="V77" i="38"/>
  <c r="K78" i="38"/>
  <c r="L78" i="38"/>
  <c r="M78" i="38"/>
  <c r="N78" i="38"/>
  <c r="O78" i="38"/>
  <c r="P78" i="38"/>
  <c r="Q78" i="38"/>
  <c r="R78" i="38"/>
  <c r="S78" i="38"/>
  <c r="T78" i="38"/>
  <c r="U78" i="38"/>
  <c r="V78" i="38"/>
  <c r="K79" i="38"/>
  <c r="L79" i="38"/>
  <c r="M79" i="38"/>
  <c r="N79" i="38"/>
  <c r="O79" i="38"/>
  <c r="P79" i="38"/>
  <c r="Q79" i="38"/>
  <c r="R79" i="38"/>
  <c r="S79" i="38"/>
  <c r="T79" i="38"/>
  <c r="U79" i="38"/>
  <c r="V79" i="38"/>
  <c r="K80" i="38"/>
  <c r="L80" i="38"/>
  <c r="M80" i="38"/>
  <c r="N80" i="38"/>
  <c r="O80" i="38"/>
  <c r="P80" i="38"/>
  <c r="Q80" i="38"/>
  <c r="R80" i="38"/>
  <c r="S80" i="38"/>
  <c r="T80" i="38"/>
  <c r="U80" i="38"/>
  <c r="V80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K82" i="38"/>
  <c r="L82" i="38"/>
  <c r="W11" i="38"/>
  <c r="X11" i="38"/>
  <c r="Y12" i="38"/>
  <c r="AC12" i="38"/>
  <c r="AB12" i="38"/>
  <c r="W12" i="38"/>
  <c r="X12" i="38"/>
  <c r="Z12" i="38"/>
  <c r="AD12" i="38"/>
  <c r="AA12" i="38"/>
  <c r="Y13" i="38"/>
  <c r="Z13" i="38"/>
  <c r="X13" i="38"/>
  <c r="AA15" i="38"/>
  <c r="AE15" i="38"/>
  <c r="X15" i="38"/>
  <c r="Y15" i="38"/>
  <c r="AC15" i="38"/>
  <c r="Z15" i="38"/>
  <c r="W15" i="38"/>
  <c r="AD15" i="38"/>
  <c r="AB15" i="38"/>
  <c r="AE55" i="37"/>
  <c r="AD55" i="37"/>
  <c r="Z55" i="37"/>
  <c r="AC55" i="37"/>
  <c r="AA55" i="37"/>
  <c r="Y55" i="37"/>
  <c r="X55" i="37"/>
  <c r="AB55" i="37"/>
  <c r="W47" i="36"/>
  <c r="AC47" i="36"/>
  <c r="AB47" i="36"/>
  <c r="Y47" i="36"/>
  <c r="AD47" i="36"/>
  <c r="AE47" i="36"/>
  <c r="X47" i="36"/>
  <c r="AA47" i="36"/>
  <c r="Z47" i="36"/>
  <c r="W79" i="36"/>
  <c r="X79" i="36"/>
  <c r="X18" i="35"/>
  <c r="W18" i="35"/>
  <c r="W20" i="35"/>
  <c r="X20" i="35"/>
  <c r="Y20" i="35"/>
  <c r="W21" i="35"/>
  <c r="Y21" i="35"/>
  <c r="Z21" i="35"/>
  <c r="X21" i="35"/>
  <c r="AA21" i="35"/>
  <c r="W22" i="35"/>
  <c r="X22" i="35"/>
  <c r="Z24" i="35"/>
  <c r="X24" i="35"/>
  <c r="Y26" i="35"/>
  <c r="W26" i="35"/>
  <c r="X26" i="35"/>
  <c r="Y30" i="35"/>
  <c r="AC30" i="35"/>
  <c r="Z30" i="35"/>
  <c r="AA52" i="35"/>
  <c r="AB52" i="35"/>
  <c r="Z52" i="35"/>
  <c r="Y52" i="35"/>
  <c r="W78" i="35"/>
  <c r="X78" i="35"/>
  <c r="W85" i="35"/>
  <c r="X85" i="35"/>
  <c r="Q66" i="34"/>
  <c r="R66" i="34"/>
  <c r="S66" i="34"/>
  <c r="T66" i="34"/>
  <c r="U66" i="34"/>
  <c r="K67" i="34"/>
  <c r="L67" i="34"/>
  <c r="M67" i="34"/>
  <c r="N67" i="34"/>
  <c r="O67" i="34"/>
  <c r="P67" i="34"/>
  <c r="Q67" i="34"/>
  <c r="S65" i="34"/>
  <c r="M12" i="34"/>
  <c r="P12" i="34"/>
  <c r="K12" i="34"/>
  <c r="R63" i="34"/>
  <c r="S63" i="34"/>
  <c r="U63" i="34"/>
  <c r="V63" i="34"/>
  <c r="K64" i="34"/>
  <c r="L64" i="34"/>
  <c r="M64" i="34"/>
  <c r="N64" i="34"/>
  <c r="O64" i="34"/>
  <c r="P64" i="34"/>
  <c r="Q64" i="34"/>
  <c r="R64" i="34"/>
  <c r="S64" i="34"/>
  <c r="T64" i="34"/>
  <c r="N12" i="34"/>
  <c r="U64" i="34"/>
  <c r="V64" i="34"/>
  <c r="V66" i="34"/>
  <c r="L12" i="34"/>
  <c r="K65" i="34"/>
  <c r="L65" i="34"/>
  <c r="M65" i="34"/>
  <c r="N65" i="34"/>
  <c r="O65" i="34"/>
  <c r="P65" i="34"/>
  <c r="Q65" i="34"/>
  <c r="R65" i="34"/>
  <c r="T63" i="34"/>
  <c r="T65" i="34"/>
  <c r="U65" i="34"/>
  <c r="V65" i="34"/>
  <c r="K66" i="34"/>
  <c r="L66" i="34"/>
  <c r="M66" i="34"/>
  <c r="N66" i="34"/>
  <c r="O66" i="34"/>
  <c r="P66" i="34"/>
  <c r="AA17" i="34"/>
  <c r="X17" i="34"/>
  <c r="W17" i="34"/>
  <c r="AB17" i="34"/>
  <c r="AC17" i="34"/>
  <c r="Z17" i="34"/>
  <c r="AD17" i="34"/>
  <c r="Y17" i="34"/>
  <c r="AC19" i="34"/>
  <c r="Y19" i="34"/>
  <c r="AA19" i="34"/>
  <c r="W19" i="34"/>
  <c r="Z19" i="34"/>
  <c r="AB19" i="34"/>
  <c r="Y21" i="34"/>
  <c r="X21" i="34"/>
  <c r="W25" i="34"/>
  <c r="X25" i="34"/>
  <c r="AA28" i="34"/>
  <c r="Z28" i="34"/>
  <c r="Y28" i="34"/>
  <c r="AC28" i="34"/>
  <c r="AB28" i="34"/>
  <c r="AC30" i="34"/>
  <c r="AB30" i="34"/>
  <c r="AA30" i="34"/>
  <c r="O23" i="38"/>
  <c r="L25" i="38"/>
  <c r="M25" i="38"/>
  <c r="N25" i="38"/>
  <c r="O25" i="38"/>
  <c r="P25" i="38"/>
  <c r="V46" i="38"/>
  <c r="U46" i="38"/>
  <c r="T46" i="38"/>
  <c r="S46" i="38"/>
  <c r="R46" i="38"/>
  <c r="Q46" i="38"/>
  <c r="P46" i="38"/>
  <c r="O46" i="38"/>
  <c r="Q25" i="38"/>
  <c r="R25" i="38"/>
  <c r="S25" i="38"/>
  <c r="T25" i="38"/>
  <c r="U25" i="38"/>
  <c r="V25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K23" i="38"/>
  <c r="L23" i="38"/>
  <c r="M23" i="38"/>
  <c r="N23" i="38"/>
  <c r="L24" i="38"/>
  <c r="P23" i="38"/>
  <c r="Q23" i="38"/>
  <c r="R23" i="38"/>
  <c r="S23" i="38"/>
  <c r="T23" i="38"/>
  <c r="U23" i="38"/>
  <c r="V23" i="38"/>
  <c r="K24" i="38"/>
  <c r="M24" i="38"/>
  <c r="N24" i="38"/>
  <c r="O24" i="38"/>
  <c r="P24" i="38"/>
  <c r="Q24" i="38"/>
  <c r="R24" i="38"/>
  <c r="S24" i="38"/>
  <c r="T24" i="38"/>
  <c r="U24" i="38"/>
  <c r="V24" i="38"/>
  <c r="K25" i="38"/>
  <c r="K10" i="38"/>
  <c r="O26" i="38"/>
  <c r="V26" i="38"/>
  <c r="U26" i="38"/>
  <c r="T26" i="38"/>
  <c r="S26" i="38"/>
  <c r="Q26" i="38"/>
  <c r="P26" i="38"/>
  <c r="R26" i="38"/>
  <c r="K26" i="38"/>
  <c r="L26" i="38"/>
  <c r="M26" i="38"/>
  <c r="N26" i="38"/>
  <c r="X41" i="38"/>
  <c r="Y41" i="38"/>
  <c r="W41" i="38"/>
  <c r="AC46" i="38"/>
  <c r="AB46" i="38"/>
  <c r="AA46" i="38"/>
  <c r="Y46" i="38"/>
  <c r="W46" i="38"/>
  <c r="X46" i="38"/>
  <c r="Z46" i="38"/>
  <c r="AE46" i="38"/>
  <c r="AD46" i="38"/>
  <c r="D53" i="38"/>
  <c r="C53" i="38"/>
  <c r="W56" i="38"/>
  <c r="Z56" i="38"/>
  <c r="Y56" i="38"/>
  <c r="X57" i="38"/>
  <c r="Y57" i="38"/>
  <c r="W57" i="38"/>
  <c r="Y58" i="38"/>
  <c r="AC58" i="38"/>
  <c r="AE58" i="38"/>
  <c r="W58" i="38"/>
  <c r="X58" i="38"/>
  <c r="Z58" i="38"/>
  <c r="AA58" i="38"/>
  <c r="AB58" i="38"/>
  <c r="AD58" i="38"/>
  <c r="W74" i="38"/>
  <c r="Y74" i="38"/>
  <c r="X74" i="38"/>
  <c r="W79" i="38"/>
  <c r="X79" i="38"/>
  <c r="W80" i="38"/>
  <c r="Y80" i="38"/>
  <c r="X80" i="38"/>
  <c r="Y84" i="38"/>
  <c r="X84" i="38"/>
  <c r="W84" i="38"/>
  <c r="Y60" i="34"/>
  <c r="W12" i="37"/>
  <c r="W79" i="35"/>
  <c r="Y50" i="35"/>
  <c r="W20" i="36"/>
  <c r="W22" i="36"/>
  <c r="W49" i="36"/>
  <c r="W55" i="36"/>
  <c r="W59" i="36"/>
  <c r="U80" i="37"/>
  <c r="V80" i="37"/>
  <c r="K81" i="37"/>
  <c r="L81" i="37"/>
  <c r="M81" i="37"/>
  <c r="N81" i="37"/>
  <c r="O81" i="37"/>
  <c r="P81" i="37"/>
  <c r="Q81" i="37"/>
  <c r="R81" i="37"/>
  <c r="S81" i="37"/>
  <c r="T81" i="37"/>
  <c r="U81" i="37"/>
  <c r="V81" i="37"/>
  <c r="K82" i="37"/>
  <c r="L82" i="37"/>
  <c r="M82" i="37"/>
  <c r="N82" i="37"/>
  <c r="O82" i="37"/>
  <c r="P82" i="37"/>
  <c r="Q82" i="37"/>
  <c r="R82" i="37"/>
  <c r="S82" i="37"/>
  <c r="T82" i="37"/>
  <c r="U82" i="37"/>
  <c r="V82" i="37"/>
  <c r="K83" i="37"/>
  <c r="L83" i="37"/>
  <c r="M83" i="37"/>
  <c r="N83" i="37"/>
  <c r="P10" i="37"/>
  <c r="M10" i="37"/>
  <c r="O83" i="37"/>
  <c r="P83" i="37"/>
  <c r="Q83" i="37"/>
  <c r="R83" i="37"/>
  <c r="S83" i="37"/>
  <c r="T83" i="37"/>
  <c r="U83" i="37"/>
  <c r="V83" i="37"/>
  <c r="K84" i="37"/>
  <c r="L84" i="37"/>
  <c r="M84" i="37"/>
  <c r="N84" i="37"/>
  <c r="O84" i="37"/>
  <c r="P84" i="37"/>
  <c r="Q84" i="37"/>
  <c r="R84" i="37"/>
  <c r="S84" i="37"/>
  <c r="T84" i="37"/>
  <c r="U84" i="37"/>
  <c r="V84" i="37"/>
  <c r="K85" i="37"/>
  <c r="O10" i="37"/>
  <c r="L10" i="37"/>
  <c r="L85" i="37"/>
  <c r="M85" i="37"/>
  <c r="N85" i="37"/>
  <c r="O85" i="37"/>
  <c r="P85" i="37"/>
  <c r="Q85" i="37"/>
  <c r="R85" i="37"/>
  <c r="S85" i="37"/>
  <c r="T85" i="37"/>
  <c r="U85" i="37"/>
  <c r="V85" i="37"/>
  <c r="K10" i="37"/>
  <c r="N10" i="37"/>
  <c r="K57" i="37"/>
  <c r="L57" i="37"/>
  <c r="M57" i="37"/>
  <c r="N57" i="37"/>
  <c r="O57" i="37"/>
  <c r="P57" i="37"/>
  <c r="Q57" i="37"/>
  <c r="R57" i="37"/>
  <c r="S57" i="37"/>
  <c r="T57" i="37"/>
  <c r="U57" i="37"/>
  <c r="V57" i="37"/>
  <c r="K58" i="37"/>
  <c r="L58" i="37"/>
  <c r="M58" i="37"/>
  <c r="N58" i="37"/>
  <c r="O58" i="37"/>
  <c r="P58" i="37"/>
  <c r="Q58" i="37"/>
  <c r="R58" i="37"/>
  <c r="S58" i="37"/>
  <c r="T58" i="37"/>
  <c r="U58" i="37"/>
  <c r="V58" i="37"/>
  <c r="K59" i="37"/>
  <c r="L59" i="37"/>
  <c r="M59" i="37"/>
  <c r="N59" i="37"/>
  <c r="O59" i="37"/>
  <c r="P59" i="37"/>
  <c r="Q59" i="37"/>
  <c r="R59" i="37"/>
  <c r="S59" i="37"/>
  <c r="T59" i="37"/>
  <c r="U59" i="37"/>
  <c r="V59" i="37"/>
  <c r="K60" i="37"/>
  <c r="L60" i="37"/>
  <c r="M60" i="37"/>
  <c r="N60" i="37"/>
  <c r="O60" i="37"/>
  <c r="P60" i="37"/>
  <c r="Q60" i="37"/>
  <c r="R60" i="37"/>
  <c r="S60" i="37"/>
  <c r="T60" i="37"/>
  <c r="U60" i="37"/>
  <c r="V60" i="37"/>
  <c r="K61" i="37"/>
  <c r="L61" i="37"/>
  <c r="M61" i="37"/>
  <c r="N61" i="37"/>
  <c r="O61" i="37"/>
  <c r="P61" i="37"/>
  <c r="Q61" i="37"/>
  <c r="R61" i="37"/>
  <c r="S61" i="37"/>
  <c r="T61" i="37"/>
  <c r="U61" i="37"/>
  <c r="V61" i="37"/>
  <c r="K62" i="37"/>
  <c r="L62" i="37"/>
  <c r="M62" i="37"/>
  <c r="N62" i="37"/>
  <c r="O62" i="37"/>
  <c r="P62" i="37"/>
  <c r="Q62" i="37"/>
  <c r="R62" i="37"/>
  <c r="S62" i="37"/>
  <c r="T62" i="37"/>
  <c r="U62" i="37"/>
  <c r="V62" i="37"/>
  <c r="K63" i="37"/>
  <c r="L63" i="37"/>
  <c r="M63" i="37"/>
  <c r="N63" i="37"/>
  <c r="O63" i="37"/>
  <c r="P63" i="37"/>
  <c r="Q63" i="37"/>
  <c r="R63" i="37"/>
  <c r="S63" i="37"/>
  <c r="T63" i="37"/>
  <c r="U63" i="37"/>
  <c r="V63" i="37"/>
  <c r="K64" i="37"/>
  <c r="L64" i="37"/>
  <c r="M64" i="37"/>
  <c r="N64" i="37"/>
  <c r="O64" i="37"/>
  <c r="P64" i="37"/>
  <c r="Q64" i="37"/>
  <c r="R64" i="37"/>
  <c r="S64" i="37"/>
  <c r="T64" i="37"/>
  <c r="U64" i="37"/>
  <c r="V64" i="37"/>
  <c r="K65" i="37"/>
  <c r="L65" i="37"/>
  <c r="M65" i="37"/>
  <c r="N65" i="37"/>
  <c r="O65" i="37"/>
  <c r="P65" i="37"/>
  <c r="Q65" i="37"/>
  <c r="R65" i="37"/>
  <c r="S65" i="37"/>
  <c r="T65" i="37"/>
  <c r="U65" i="37"/>
  <c r="V65" i="37"/>
  <c r="K66" i="37"/>
  <c r="L66" i="37"/>
  <c r="M66" i="37"/>
  <c r="N66" i="37"/>
  <c r="O66" i="37"/>
  <c r="P66" i="37"/>
  <c r="Q66" i="37"/>
  <c r="R66" i="37"/>
  <c r="S66" i="37"/>
  <c r="T66" i="37"/>
  <c r="U66" i="37"/>
  <c r="V66" i="37"/>
  <c r="K67" i="37"/>
  <c r="L67" i="37"/>
  <c r="M67" i="37"/>
  <c r="N67" i="37"/>
  <c r="O67" i="37"/>
  <c r="P67" i="37"/>
  <c r="Q67" i="37"/>
  <c r="R67" i="37"/>
  <c r="S67" i="37"/>
  <c r="T67" i="37"/>
  <c r="U67" i="37"/>
  <c r="V67" i="37"/>
  <c r="K68" i="37"/>
  <c r="L68" i="37"/>
  <c r="M68" i="37"/>
  <c r="N68" i="37"/>
  <c r="O68" i="37"/>
  <c r="P68" i="37"/>
  <c r="Q68" i="37"/>
  <c r="R68" i="37"/>
  <c r="S68" i="37"/>
  <c r="T68" i="37"/>
  <c r="U68" i="37"/>
  <c r="V68" i="37"/>
  <c r="K69" i="37"/>
  <c r="L69" i="37"/>
  <c r="M69" i="37"/>
  <c r="N69" i="37"/>
  <c r="O69" i="37"/>
  <c r="P69" i="37"/>
  <c r="Q69" i="37"/>
  <c r="R69" i="37"/>
  <c r="S69" i="37"/>
  <c r="T69" i="37"/>
  <c r="U69" i="37"/>
  <c r="V69" i="37"/>
  <c r="K70" i="37"/>
  <c r="L70" i="37"/>
  <c r="M70" i="37"/>
  <c r="N70" i="37"/>
  <c r="O70" i="37"/>
  <c r="P70" i="37"/>
  <c r="Q70" i="37"/>
  <c r="R70" i="37"/>
  <c r="S70" i="37"/>
  <c r="T70" i="37"/>
  <c r="U70" i="37"/>
  <c r="V70" i="37"/>
  <c r="K71" i="37"/>
  <c r="L71" i="37"/>
  <c r="M71" i="37"/>
  <c r="N71" i="37"/>
  <c r="O71" i="37"/>
  <c r="P71" i="37"/>
  <c r="Q71" i="37"/>
  <c r="R71" i="37"/>
  <c r="S71" i="37"/>
  <c r="T71" i="37"/>
  <c r="U71" i="37"/>
  <c r="V71" i="37"/>
  <c r="K72" i="37"/>
  <c r="L72" i="37"/>
  <c r="M72" i="37"/>
  <c r="N72" i="37"/>
  <c r="O72" i="37"/>
  <c r="P72" i="37"/>
  <c r="Q72" i="37"/>
  <c r="R72" i="37"/>
  <c r="S72" i="37"/>
  <c r="T72" i="37"/>
  <c r="U72" i="37"/>
  <c r="V72" i="37"/>
  <c r="K73" i="37"/>
  <c r="L73" i="37"/>
  <c r="M73" i="37"/>
  <c r="N73" i="37"/>
  <c r="O73" i="37"/>
  <c r="P73" i="37"/>
  <c r="Q73" i="37"/>
  <c r="R73" i="37"/>
  <c r="S73" i="37"/>
  <c r="T73" i="37"/>
  <c r="U73" i="37"/>
  <c r="V73" i="37"/>
  <c r="K74" i="37"/>
  <c r="L74" i="37"/>
  <c r="M74" i="37"/>
  <c r="N74" i="37"/>
  <c r="O74" i="37"/>
  <c r="P74" i="37"/>
  <c r="Q74" i="37"/>
  <c r="R74" i="37"/>
  <c r="S74" i="37"/>
  <c r="T74" i="37"/>
  <c r="U74" i="37"/>
  <c r="V74" i="37"/>
  <c r="K75" i="37"/>
  <c r="L75" i="37"/>
  <c r="M75" i="37"/>
  <c r="N75" i="37"/>
  <c r="O75" i="37"/>
  <c r="P75" i="37"/>
  <c r="Q75" i="37"/>
  <c r="R75" i="37"/>
  <c r="S75" i="37"/>
  <c r="T75" i="37"/>
  <c r="U75" i="37"/>
  <c r="V75" i="37"/>
  <c r="K76" i="37"/>
  <c r="L76" i="37"/>
  <c r="M76" i="37"/>
  <c r="N76" i="37"/>
  <c r="O76" i="37"/>
  <c r="P76" i="37"/>
  <c r="Q76" i="37"/>
  <c r="R76" i="37"/>
  <c r="S76" i="37"/>
  <c r="T76" i="37"/>
  <c r="U76" i="37"/>
  <c r="V76" i="37"/>
  <c r="K77" i="37"/>
  <c r="L77" i="37"/>
  <c r="M77" i="37"/>
  <c r="N77" i="37"/>
  <c r="O77" i="37"/>
  <c r="P77" i="37"/>
  <c r="Q77" i="37"/>
  <c r="R77" i="37"/>
  <c r="S77" i="37"/>
  <c r="T77" i="37"/>
  <c r="U77" i="37"/>
  <c r="V77" i="37"/>
  <c r="K78" i="37"/>
  <c r="L78" i="37"/>
  <c r="M78" i="37"/>
  <c r="N78" i="37"/>
  <c r="O78" i="37"/>
  <c r="P78" i="37"/>
  <c r="Q78" i="37"/>
  <c r="R78" i="37"/>
  <c r="S78" i="37"/>
  <c r="T78" i="37"/>
  <c r="U78" i="37"/>
  <c r="V78" i="37"/>
  <c r="K79" i="37"/>
  <c r="L79" i="37"/>
  <c r="M79" i="37"/>
  <c r="N79" i="37"/>
  <c r="O79" i="37"/>
  <c r="P79" i="37"/>
  <c r="Q79" i="37"/>
  <c r="R79" i="37"/>
  <c r="S79" i="37"/>
  <c r="T79" i="37"/>
  <c r="U79" i="37"/>
  <c r="V79" i="37"/>
  <c r="K80" i="37"/>
  <c r="L80" i="37"/>
  <c r="M80" i="37"/>
  <c r="N80" i="37"/>
  <c r="O80" i="37"/>
  <c r="P80" i="37"/>
  <c r="Q80" i="37"/>
  <c r="R80" i="37"/>
  <c r="S80" i="37"/>
  <c r="T80" i="37"/>
  <c r="W23" i="37"/>
  <c r="AC23" i="37"/>
  <c r="Z23" i="37"/>
  <c r="AE23" i="37"/>
  <c r="X23" i="37"/>
  <c r="AD23" i="37"/>
  <c r="Y23" i="37"/>
  <c r="AA23" i="37"/>
  <c r="AB23" i="37"/>
  <c r="AB35" i="37"/>
  <c r="Y35" i="37"/>
  <c r="AC35" i="37"/>
  <c r="AA35" i="37"/>
  <c r="AD35" i="37"/>
  <c r="AE35" i="37"/>
  <c r="X35" i="37"/>
  <c r="Z35" i="37"/>
  <c r="W35" i="37"/>
  <c r="W38" i="37"/>
  <c r="Y38" i="37"/>
  <c r="X42" i="37"/>
  <c r="Y42" i="37"/>
  <c r="W42" i="37"/>
  <c r="Y46" i="37"/>
  <c r="X46" i="37"/>
  <c r="W48" i="37"/>
  <c r="X48" i="37"/>
  <c r="W51" i="37"/>
  <c r="X51" i="37"/>
  <c r="W75" i="36"/>
  <c r="X75" i="36"/>
  <c r="K10" i="35"/>
  <c r="L10" i="35"/>
  <c r="N10" i="35"/>
  <c r="S10" i="35"/>
  <c r="R10" i="35"/>
  <c r="Q10" i="35"/>
  <c r="P10" i="35"/>
  <c r="O10" i="35"/>
  <c r="M10" i="35"/>
  <c r="X32" i="35"/>
  <c r="Y32" i="35"/>
  <c r="AB50" i="35"/>
  <c r="AE50" i="35"/>
  <c r="AC50" i="35"/>
  <c r="Z50" i="35"/>
  <c r="AA50" i="35"/>
  <c r="AD50" i="35"/>
  <c r="W71" i="35"/>
  <c r="Y71" i="35"/>
  <c r="X72" i="35"/>
  <c r="Z72" i="35"/>
  <c r="AA72" i="35"/>
  <c r="Y72" i="35"/>
  <c r="AC72" i="35"/>
  <c r="AB72" i="35"/>
  <c r="AD72" i="35"/>
  <c r="Y79" i="35"/>
  <c r="X79" i="35"/>
  <c r="U11" i="34"/>
  <c r="V11" i="34"/>
  <c r="X18" i="34"/>
  <c r="W18" i="34"/>
  <c r="X27" i="34"/>
  <c r="Y27" i="34"/>
  <c r="X28" i="34"/>
  <c r="W28" i="34"/>
  <c r="W31" i="34"/>
  <c r="X31" i="34"/>
  <c r="L15" i="33"/>
  <c r="M15" i="33"/>
  <c r="O15" i="33"/>
  <c r="P15" i="33"/>
  <c r="Q15" i="33"/>
  <c r="R15" i="33"/>
  <c r="S15" i="33"/>
  <c r="K16" i="33"/>
  <c r="L16" i="33"/>
  <c r="M16" i="33"/>
  <c r="P16" i="33"/>
  <c r="Q16" i="33"/>
  <c r="R16" i="33"/>
  <c r="S16" i="33"/>
  <c r="T16" i="33"/>
  <c r="U16" i="33"/>
  <c r="K17" i="33"/>
  <c r="M17" i="33"/>
  <c r="N17" i="33"/>
  <c r="O17" i="33"/>
  <c r="S17" i="33"/>
  <c r="V17" i="33"/>
  <c r="K18" i="33"/>
  <c r="S18" i="33"/>
  <c r="T18" i="33"/>
  <c r="U18" i="33"/>
  <c r="V18" i="33"/>
  <c r="K19" i="33"/>
  <c r="L19" i="33"/>
  <c r="M19" i="33"/>
  <c r="N19" i="33"/>
  <c r="O19" i="33"/>
  <c r="Q19" i="33"/>
  <c r="R19" i="33"/>
  <c r="S19" i="33"/>
  <c r="K20" i="33"/>
  <c r="L20" i="33"/>
  <c r="M20" i="33"/>
  <c r="N20" i="33"/>
  <c r="S20" i="33"/>
  <c r="T20" i="33"/>
  <c r="U20" i="33"/>
  <c r="V20" i="33"/>
  <c r="L21" i="33"/>
  <c r="M21" i="33"/>
  <c r="P21" i="33"/>
  <c r="Q21" i="33"/>
  <c r="R21" i="33"/>
  <c r="S21" i="33"/>
  <c r="U21" i="33"/>
  <c r="U10" i="33"/>
  <c r="K22" i="33"/>
  <c r="L22" i="33"/>
  <c r="O22" i="33"/>
  <c r="P22" i="33"/>
  <c r="Q22" i="33"/>
  <c r="R22" i="33"/>
  <c r="S22" i="33"/>
  <c r="K23" i="33"/>
  <c r="L23" i="33"/>
  <c r="M23" i="33"/>
  <c r="N23" i="33"/>
  <c r="O23" i="33"/>
  <c r="P23" i="33"/>
  <c r="Q23" i="33"/>
  <c r="R23" i="33"/>
  <c r="U23" i="33"/>
  <c r="V23" i="33"/>
  <c r="K24" i="33"/>
  <c r="L24" i="33"/>
  <c r="Q24" i="33"/>
  <c r="R24" i="33"/>
  <c r="V24" i="33"/>
  <c r="K25" i="33"/>
  <c r="L25" i="33"/>
  <c r="M25" i="33"/>
  <c r="P25" i="33"/>
  <c r="U25" i="33"/>
  <c r="V25" i="33"/>
  <c r="L26" i="33"/>
  <c r="M26" i="33"/>
  <c r="N26" i="33"/>
  <c r="O26" i="33"/>
  <c r="P26" i="33"/>
  <c r="Q26" i="33"/>
  <c r="R26" i="33"/>
  <c r="S26" i="33"/>
  <c r="T26" i="33"/>
  <c r="K27" i="33"/>
  <c r="Q27" i="33"/>
  <c r="R27" i="33"/>
  <c r="S27" i="33"/>
  <c r="T27" i="33"/>
  <c r="U27" i="33"/>
  <c r="V27" i="33"/>
  <c r="K28" i="33"/>
  <c r="L28" i="33"/>
  <c r="M28" i="33"/>
  <c r="P28" i="33"/>
  <c r="Q28" i="33"/>
  <c r="R28" i="33"/>
  <c r="S28" i="33"/>
  <c r="T28" i="33"/>
  <c r="U28" i="33"/>
  <c r="K29" i="33"/>
  <c r="L29" i="33"/>
  <c r="O29" i="33"/>
  <c r="R29" i="33"/>
  <c r="S29" i="33"/>
  <c r="V29" i="33"/>
  <c r="K30" i="33"/>
  <c r="L30" i="33"/>
  <c r="M30" i="33"/>
  <c r="N30" i="33"/>
  <c r="O30" i="33"/>
  <c r="P30" i="33"/>
  <c r="Q30" i="33"/>
  <c r="V30" i="33"/>
  <c r="O31" i="33"/>
  <c r="S31" i="33"/>
  <c r="V31" i="33"/>
  <c r="M32" i="33"/>
  <c r="N32" i="33"/>
  <c r="S32" i="33"/>
  <c r="T32" i="33"/>
  <c r="U32" i="33"/>
  <c r="K33" i="33"/>
  <c r="M33" i="33"/>
  <c r="N33" i="33"/>
  <c r="O33" i="33"/>
  <c r="P33" i="33"/>
  <c r="Q33" i="33"/>
  <c r="R33" i="33"/>
  <c r="S33" i="33"/>
  <c r="O34" i="33"/>
  <c r="P34" i="33"/>
  <c r="Q34" i="33"/>
  <c r="R34" i="33"/>
  <c r="S34" i="33"/>
  <c r="T34" i="33"/>
  <c r="U34" i="33"/>
  <c r="V34" i="33"/>
  <c r="K35" i="33"/>
  <c r="L35" i="33"/>
  <c r="M35" i="33"/>
  <c r="N35" i="33"/>
  <c r="O35" i="33"/>
  <c r="Q35" i="33"/>
  <c r="R35" i="33"/>
  <c r="S35" i="33"/>
  <c r="T35" i="33"/>
  <c r="K36" i="33"/>
  <c r="L36" i="33"/>
  <c r="M36" i="33"/>
  <c r="P36" i="33"/>
  <c r="Q36" i="33"/>
  <c r="R11" i="33"/>
  <c r="S11" i="33"/>
  <c r="T11" i="33"/>
  <c r="R12" i="33"/>
  <c r="S12" i="33"/>
  <c r="T12" i="33"/>
  <c r="V12" i="33"/>
  <c r="N13" i="33"/>
  <c r="O13" i="33"/>
  <c r="S13" i="33"/>
  <c r="L14" i="33"/>
  <c r="M14" i="33"/>
  <c r="N14" i="33"/>
  <c r="O14" i="33"/>
  <c r="P14" i="33"/>
  <c r="Q14" i="33"/>
  <c r="U14" i="33"/>
  <c r="V14" i="33"/>
  <c r="K15" i="33"/>
  <c r="V21" i="33"/>
  <c r="Q53" i="37"/>
  <c r="O53" i="37"/>
  <c r="N53" i="37"/>
  <c r="R53" i="37"/>
  <c r="U53" i="37"/>
  <c r="S53" i="37"/>
  <c r="T53" i="37"/>
  <c r="V53" i="37"/>
  <c r="K53" i="37"/>
  <c r="L53" i="37"/>
  <c r="M53" i="37"/>
  <c r="P53" i="37"/>
  <c r="X20" i="37"/>
  <c r="Y20" i="37"/>
  <c r="Z20" i="37"/>
  <c r="AA20" i="37"/>
  <c r="AB20" i="37"/>
  <c r="AC20" i="37"/>
  <c r="AD20" i="37"/>
  <c r="AE20" i="37"/>
  <c r="W20" i="37"/>
  <c r="AE31" i="37"/>
  <c r="AD31" i="37"/>
  <c r="AC31" i="37"/>
  <c r="AB31" i="37"/>
  <c r="AA31" i="37"/>
  <c r="X31" i="37"/>
  <c r="Z31" i="37"/>
  <c r="Y31" i="37"/>
  <c r="W31" i="37"/>
  <c r="W40" i="37"/>
  <c r="AA40" i="37"/>
  <c r="AD40" i="37"/>
  <c r="X40" i="37"/>
  <c r="AB40" i="37"/>
  <c r="AE40" i="37"/>
  <c r="AC40" i="37"/>
  <c r="Y40" i="37"/>
  <c r="Z40" i="37"/>
  <c r="H53" i="37"/>
  <c r="E53" i="37"/>
  <c r="F53" i="37"/>
  <c r="G53" i="37"/>
  <c r="F69" i="37"/>
  <c r="D69" i="37"/>
  <c r="C69" i="37"/>
  <c r="E69" i="37"/>
  <c r="G69" i="37"/>
  <c r="H69" i="37"/>
  <c r="C72" i="37"/>
  <c r="G72" i="37"/>
  <c r="D72" i="37"/>
  <c r="E72" i="37"/>
  <c r="C78" i="37"/>
  <c r="D78" i="37"/>
  <c r="C79" i="37"/>
  <c r="E79" i="37"/>
  <c r="D79" i="37"/>
  <c r="C81" i="37"/>
  <c r="E81" i="37"/>
  <c r="D81" i="37"/>
  <c r="C83" i="37"/>
  <c r="G83" i="37"/>
  <c r="E83" i="37"/>
  <c r="H83" i="37"/>
  <c r="D83" i="37"/>
  <c r="F83" i="37"/>
  <c r="AI5" i="37"/>
  <c r="W34" i="35"/>
  <c r="W72" i="35"/>
  <c r="Y24" i="35"/>
  <c r="W32" i="35"/>
  <c r="W21" i="34"/>
  <c r="X39" i="36"/>
  <c r="W39" i="36"/>
  <c r="W52" i="36"/>
  <c r="Y52" i="36"/>
  <c r="X52" i="36"/>
  <c r="X74" i="36"/>
  <c r="W74" i="36"/>
  <c r="AB85" i="36"/>
  <c r="AC85" i="36"/>
  <c r="W85" i="36"/>
  <c r="AE85" i="36"/>
  <c r="AD85" i="36"/>
  <c r="X85" i="36"/>
  <c r="Y85" i="36"/>
  <c r="Z85" i="36"/>
  <c r="AA85" i="36"/>
  <c r="W17" i="35"/>
  <c r="Y17" i="35"/>
  <c r="X17" i="35"/>
  <c r="W23" i="34"/>
  <c r="X23" i="34"/>
  <c r="Z34" i="34"/>
  <c r="AB34" i="34"/>
  <c r="AD34" i="34"/>
  <c r="X34" i="34"/>
  <c r="AE34" i="34"/>
  <c r="AC34" i="34"/>
  <c r="AA34" i="34"/>
  <c r="Y34" i="34"/>
  <c r="W34" i="34"/>
  <c r="AE12" i="36"/>
  <c r="X12" i="36"/>
  <c r="Y12" i="36"/>
  <c r="AA12" i="36"/>
  <c r="AC12" i="36"/>
  <c r="AD12" i="36"/>
  <c r="AB12" i="36"/>
  <c r="W12" i="36"/>
  <c r="Z12" i="36"/>
  <c r="C13" i="36"/>
  <c r="E13" i="36"/>
  <c r="F13" i="36"/>
  <c r="D13" i="36"/>
  <c r="AC18" i="36"/>
  <c r="AD18" i="36"/>
  <c r="AE18" i="36"/>
  <c r="X18" i="36"/>
  <c r="W18" i="36"/>
  <c r="Y18" i="36"/>
  <c r="Z18" i="36"/>
  <c r="AA18" i="36"/>
  <c r="AB18" i="36"/>
  <c r="C34" i="36"/>
  <c r="E34" i="36"/>
  <c r="D34" i="36"/>
  <c r="C37" i="36"/>
  <c r="E37" i="36"/>
  <c r="F37" i="36"/>
  <c r="D37" i="36"/>
  <c r="D45" i="36"/>
  <c r="C45" i="36"/>
  <c r="W45" i="36"/>
  <c r="AA45" i="36"/>
  <c r="AD45" i="36"/>
  <c r="Y45" i="36"/>
  <c r="AB45" i="36"/>
  <c r="X45" i="36"/>
  <c r="AC45" i="36"/>
  <c r="AE45" i="36"/>
  <c r="Z45" i="36"/>
  <c r="AA50" i="36"/>
  <c r="W50" i="36"/>
  <c r="AB50" i="36"/>
  <c r="AC50" i="36"/>
  <c r="X50" i="36"/>
  <c r="Z50" i="36"/>
  <c r="Y50" i="36"/>
  <c r="W80" i="36"/>
  <c r="X80" i="36"/>
  <c r="Y80" i="36"/>
  <c r="X82" i="36"/>
  <c r="W82" i="36"/>
  <c r="AA82" i="36"/>
  <c r="Y82" i="36"/>
  <c r="Y84" i="36"/>
  <c r="W84" i="36"/>
  <c r="AB84" i="36"/>
  <c r="AE84" i="36"/>
  <c r="AA84" i="36"/>
  <c r="X84" i="36"/>
  <c r="AD84" i="36"/>
  <c r="AC84" i="36"/>
  <c r="Z84" i="36"/>
  <c r="M70" i="35"/>
  <c r="K70" i="35"/>
  <c r="W24" i="35"/>
  <c r="AE45" i="35"/>
  <c r="W23" i="35"/>
  <c r="X23" i="35"/>
  <c r="Y23" i="35"/>
  <c r="AB23" i="35"/>
  <c r="AC23" i="35"/>
  <c r="Z23" i="35"/>
  <c r="AA23" i="35"/>
  <c r="AD23" i="35"/>
  <c r="AA25" i="35"/>
  <c r="X25" i="35"/>
  <c r="AC25" i="35"/>
  <c r="W25" i="35"/>
  <c r="Y25" i="35"/>
  <c r="Z25" i="35"/>
  <c r="X30" i="35"/>
  <c r="W30" i="35"/>
  <c r="X43" i="35"/>
  <c r="W43" i="35"/>
  <c r="W45" i="35"/>
  <c r="X45" i="35"/>
  <c r="X50" i="35"/>
  <c r="W50" i="35"/>
  <c r="W52" i="35"/>
  <c r="X52" i="35"/>
  <c r="W54" i="35"/>
  <c r="X54" i="35"/>
  <c r="T10" i="34"/>
  <c r="M10" i="34"/>
  <c r="L10" i="34"/>
  <c r="Q10" i="34"/>
  <c r="U10" i="34"/>
  <c r="S11" i="34"/>
  <c r="M11" i="34"/>
  <c r="K10" i="34"/>
  <c r="P10" i="34"/>
  <c r="R10" i="34"/>
  <c r="K11" i="34"/>
  <c r="R11" i="34"/>
  <c r="O11" i="34"/>
  <c r="S10" i="34"/>
  <c r="O10" i="34"/>
  <c r="V10" i="34"/>
  <c r="N11" i="34"/>
  <c r="T11" i="34"/>
  <c r="N10" i="34"/>
  <c r="L11" i="34"/>
  <c r="P11" i="34"/>
  <c r="Q11" i="34"/>
  <c r="X16" i="34"/>
  <c r="W16" i="34"/>
  <c r="Y16" i="34"/>
  <c r="X22" i="34"/>
  <c r="AC22" i="34"/>
  <c r="AA22" i="34"/>
  <c r="W22" i="34"/>
  <c r="AD22" i="34"/>
  <c r="AE22" i="34"/>
  <c r="Z22" i="34"/>
  <c r="Y22" i="34"/>
  <c r="AB22" i="34"/>
  <c r="Y30" i="34"/>
  <c r="W30" i="34"/>
  <c r="Z30" i="34"/>
  <c r="X30" i="34"/>
  <c r="V10" i="33"/>
  <c r="O10" i="33"/>
  <c r="T10" i="33"/>
  <c r="S10" i="33"/>
  <c r="P46" i="35"/>
  <c r="R68" i="35"/>
  <c r="S68" i="35"/>
  <c r="T68" i="35"/>
  <c r="U68" i="35"/>
  <c r="V68" i="35"/>
  <c r="K69" i="35"/>
  <c r="L69" i="35"/>
  <c r="M69" i="35"/>
  <c r="N69" i="35"/>
  <c r="O69" i="35"/>
  <c r="P69" i="35"/>
  <c r="Q69" i="35"/>
  <c r="R69" i="35"/>
  <c r="S69" i="35"/>
  <c r="T69" i="35"/>
  <c r="U69" i="35"/>
  <c r="V69" i="35"/>
  <c r="K37" i="35"/>
  <c r="L37" i="35"/>
  <c r="M37" i="35"/>
  <c r="N37" i="35"/>
  <c r="O37" i="35"/>
  <c r="P37" i="35"/>
  <c r="Q37" i="35"/>
  <c r="R37" i="35"/>
  <c r="S37" i="35"/>
  <c r="T37" i="35"/>
  <c r="U37" i="35"/>
  <c r="V37" i="35"/>
  <c r="K38" i="35"/>
  <c r="L38" i="35"/>
  <c r="M38" i="35"/>
  <c r="N38" i="35"/>
  <c r="O38" i="35"/>
  <c r="P38" i="35"/>
  <c r="Q38" i="35"/>
  <c r="R38" i="35"/>
  <c r="S38" i="35"/>
  <c r="T38" i="35"/>
  <c r="U38" i="35"/>
  <c r="V38" i="35"/>
  <c r="K39" i="35"/>
  <c r="L39" i="35"/>
  <c r="M39" i="35"/>
  <c r="N39" i="35"/>
  <c r="O39" i="35"/>
  <c r="P39" i="35"/>
  <c r="Q39" i="35"/>
  <c r="R39" i="35"/>
  <c r="S39" i="35"/>
  <c r="T39" i="35"/>
  <c r="U39" i="35"/>
  <c r="V39" i="35"/>
  <c r="K40" i="35"/>
  <c r="L40" i="35"/>
  <c r="M40" i="35"/>
  <c r="N40" i="35"/>
  <c r="O40" i="35"/>
  <c r="P40" i="35"/>
  <c r="Q40" i="35"/>
  <c r="R40" i="35"/>
  <c r="S40" i="35"/>
  <c r="T40" i="35"/>
  <c r="U40" i="35"/>
  <c r="V40" i="35"/>
  <c r="K41" i="35"/>
  <c r="L41" i="35"/>
  <c r="M41" i="35"/>
  <c r="N41" i="35"/>
  <c r="O41" i="35"/>
  <c r="P41" i="35"/>
  <c r="Q41" i="35"/>
  <c r="R41" i="35"/>
  <c r="S41" i="35"/>
  <c r="T41" i="35"/>
  <c r="U41" i="35"/>
  <c r="V41" i="35"/>
  <c r="T73" i="35"/>
  <c r="N68" i="35"/>
  <c r="K73" i="35"/>
  <c r="L73" i="35"/>
  <c r="M73" i="35"/>
  <c r="N73" i="35"/>
  <c r="O73" i="35"/>
  <c r="P73" i="35"/>
  <c r="Q73" i="35"/>
  <c r="R73" i="35"/>
  <c r="S73" i="35"/>
  <c r="U73" i="35"/>
  <c r="V73" i="35"/>
  <c r="K74" i="35"/>
  <c r="L74" i="35"/>
  <c r="M74" i="35"/>
  <c r="N74" i="35"/>
  <c r="O74" i="35"/>
  <c r="P74" i="35"/>
  <c r="Q74" i="35"/>
  <c r="R74" i="35"/>
  <c r="S74" i="35"/>
  <c r="T74" i="35"/>
  <c r="U74" i="35"/>
  <c r="V74" i="35"/>
  <c r="K75" i="35"/>
  <c r="L75" i="35"/>
  <c r="M75" i="35"/>
  <c r="N75" i="35"/>
  <c r="O75" i="35"/>
  <c r="P75" i="35"/>
  <c r="Q75" i="35"/>
  <c r="R75" i="35"/>
  <c r="S75" i="35"/>
  <c r="T75" i="35"/>
  <c r="U75" i="35"/>
  <c r="V75" i="35"/>
  <c r="K82" i="35"/>
  <c r="L82" i="35"/>
  <c r="M82" i="35"/>
  <c r="N82" i="35"/>
  <c r="O82" i="35"/>
  <c r="P82" i="35"/>
  <c r="Q82" i="35"/>
  <c r="R82" i="35"/>
  <c r="S82" i="35"/>
  <c r="T82" i="35"/>
  <c r="U82" i="35"/>
  <c r="V82" i="35"/>
  <c r="K83" i="35"/>
  <c r="L83" i="35"/>
  <c r="M83" i="35"/>
  <c r="N83" i="35"/>
  <c r="O83" i="35"/>
  <c r="K46" i="35"/>
  <c r="L46" i="35"/>
  <c r="M46" i="35"/>
  <c r="N46" i="35"/>
  <c r="O46" i="35"/>
  <c r="N63" i="35"/>
  <c r="Q46" i="35"/>
  <c r="R46" i="35"/>
  <c r="S46" i="35"/>
  <c r="T46" i="35"/>
  <c r="U46" i="35"/>
  <c r="V46" i="35"/>
  <c r="K47" i="35"/>
  <c r="L47" i="35"/>
  <c r="M47" i="35"/>
  <c r="N47" i="35"/>
  <c r="O47" i="35"/>
  <c r="P47" i="35"/>
  <c r="Q47" i="35"/>
  <c r="R47" i="35"/>
  <c r="S47" i="35"/>
  <c r="T47" i="35"/>
  <c r="U47" i="35"/>
  <c r="V47" i="35"/>
  <c r="K48" i="35"/>
  <c r="L48" i="35"/>
  <c r="M48" i="35"/>
  <c r="N48" i="35"/>
  <c r="O48" i="35"/>
  <c r="P48" i="35"/>
  <c r="Q48" i="35"/>
  <c r="R48" i="35"/>
  <c r="S48" i="35"/>
  <c r="T48" i="35"/>
  <c r="U48" i="35"/>
  <c r="V48" i="35"/>
  <c r="P83" i="35"/>
  <c r="Q83" i="35"/>
  <c r="R83" i="35"/>
  <c r="S83" i="35"/>
  <c r="T83" i="35"/>
  <c r="U83" i="35"/>
  <c r="V83" i="35"/>
  <c r="K55" i="35"/>
  <c r="L55" i="35"/>
  <c r="M55" i="35"/>
  <c r="N55" i="35"/>
  <c r="O55" i="35"/>
  <c r="P55" i="35"/>
  <c r="Q55" i="35"/>
  <c r="R55" i="35"/>
  <c r="S55" i="35"/>
  <c r="T55" i="35"/>
  <c r="U55" i="35"/>
  <c r="V55" i="35"/>
  <c r="K56" i="35"/>
  <c r="L56" i="35"/>
  <c r="M56" i="35"/>
  <c r="N56" i="35"/>
  <c r="O56" i="35"/>
  <c r="P56" i="35"/>
  <c r="Q56" i="35"/>
  <c r="R56" i="35"/>
  <c r="S56" i="35"/>
  <c r="T56" i="35"/>
  <c r="U56" i="35"/>
  <c r="V56" i="35"/>
  <c r="K57" i="35"/>
  <c r="L57" i="35"/>
  <c r="M57" i="35"/>
  <c r="N57" i="35"/>
  <c r="O57" i="35"/>
  <c r="P57" i="35"/>
  <c r="Q57" i="35"/>
  <c r="R57" i="35"/>
  <c r="S57" i="35"/>
  <c r="T57" i="35"/>
  <c r="U57" i="35"/>
  <c r="V57" i="35"/>
  <c r="K58" i="35"/>
  <c r="L58" i="35"/>
  <c r="M58" i="35"/>
  <c r="N58" i="35"/>
  <c r="O58" i="35"/>
  <c r="P58" i="35"/>
  <c r="Q58" i="35"/>
  <c r="R58" i="35"/>
  <c r="S58" i="35"/>
  <c r="T58" i="35"/>
  <c r="U58" i="35"/>
  <c r="V58" i="35"/>
  <c r="K59" i="35"/>
  <c r="L59" i="35"/>
  <c r="M59" i="35"/>
  <c r="N59" i="35"/>
  <c r="O59" i="35"/>
  <c r="P59" i="35"/>
  <c r="Q59" i="35"/>
  <c r="R59" i="35"/>
  <c r="S59" i="35"/>
  <c r="T59" i="35"/>
  <c r="U59" i="35"/>
  <c r="V59" i="35"/>
  <c r="K60" i="35"/>
  <c r="L60" i="35"/>
  <c r="M60" i="35"/>
  <c r="N60" i="35"/>
  <c r="O60" i="35"/>
  <c r="P60" i="35"/>
  <c r="Q60" i="35"/>
  <c r="R60" i="35"/>
  <c r="S60" i="35"/>
  <c r="T60" i="35"/>
  <c r="U60" i="35"/>
  <c r="V60" i="35"/>
  <c r="K61" i="35"/>
  <c r="L61" i="35"/>
  <c r="M61" i="35"/>
  <c r="N61" i="35"/>
  <c r="O61" i="35"/>
  <c r="P61" i="35"/>
  <c r="Q61" i="35"/>
  <c r="R61" i="35"/>
  <c r="S61" i="35"/>
  <c r="T61" i="35"/>
  <c r="U61" i="35"/>
  <c r="V61" i="35"/>
  <c r="K62" i="35"/>
  <c r="L62" i="35"/>
  <c r="M62" i="35"/>
  <c r="N62" i="35"/>
  <c r="O62" i="35"/>
  <c r="P62" i="35"/>
  <c r="Q62" i="35"/>
  <c r="R62" i="35"/>
  <c r="S62" i="35"/>
  <c r="T62" i="35"/>
  <c r="U62" i="35"/>
  <c r="V62" i="35"/>
  <c r="K63" i="35"/>
  <c r="L63" i="35"/>
  <c r="M63" i="35"/>
  <c r="O63" i="35"/>
  <c r="P63" i="35"/>
  <c r="Q63" i="35"/>
  <c r="R63" i="35"/>
  <c r="S63" i="35"/>
  <c r="T63" i="35"/>
  <c r="U63" i="35"/>
  <c r="V63" i="35"/>
  <c r="K64" i="35"/>
  <c r="L64" i="35"/>
  <c r="M64" i="35"/>
  <c r="N64" i="35"/>
  <c r="O64" i="35"/>
  <c r="P64" i="35"/>
  <c r="Q64" i="35"/>
  <c r="R64" i="35"/>
  <c r="S64" i="35"/>
  <c r="T64" i="35"/>
  <c r="U64" i="35"/>
  <c r="V64" i="35"/>
  <c r="K65" i="35"/>
  <c r="L65" i="35"/>
  <c r="M65" i="35"/>
  <c r="N65" i="35"/>
  <c r="O65" i="35"/>
  <c r="P65" i="35"/>
  <c r="Q65" i="35"/>
  <c r="R65" i="35"/>
  <c r="S65" i="35"/>
  <c r="T65" i="35"/>
  <c r="U65" i="35"/>
  <c r="V65" i="35"/>
  <c r="K66" i="35"/>
  <c r="L66" i="35"/>
  <c r="M66" i="35"/>
  <c r="N66" i="35"/>
  <c r="O66" i="35"/>
  <c r="P66" i="35"/>
  <c r="Q66" i="35"/>
  <c r="R66" i="35"/>
  <c r="S66" i="35"/>
  <c r="T66" i="35"/>
  <c r="U66" i="35"/>
  <c r="V66" i="35"/>
  <c r="K67" i="35"/>
  <c r="L67" i="35"/>
  <c r="M67" i="35"/>
  <c r="N67" i="35"/>
  <c r="O67" i="35"/>
  <c r="P67" i="35"/>
  <c r="Q67" i="35"/>
  <c r="R67" i="35"/>
  <c r="S67" i="35"/>
  <c r="T67" i="35"/>
  <c r="U67" i="35"/>
  <c r="V67" i="35"/>
  <c r="K68" i="35"/>
  <c r="L68" i="35"/>
  <c r="M68" i="35"/>
  <c r="O68" i="35"/>
  <c r="P68" i="35"/>
  <c r="Q68" i="35"/>
  <c r="R42" i="35"/>
  <c r="U42" i="35"/>
  <c r="V42" i="35"/>
  <c r="Q70" i="35"/>
  <c r="U70" i="35"/>
  <c r="N70" i="35"/>
  <c r="L70" i="35"/>
  <c r="V70" i="35"/>
  <c r="K84" i="35"/>
  <c r="P42" i="35"/>
  <c r="O70" i="35"/>
  <c r="P70" i="35"/>
  <c r="R70" i="35"/>
  <c r="S70" i="35"/>
  <c r="T70" i="35"/>
  <c r="K42" i="35"/>
  <c r="L42" i="35"/>
  <c r="M42" i="35"/>
  <c r="N42" i="35"/>
  <c r="O42" i="35"/>
  <c r="Q42" i="35"/>
  <c r="S42" i="35"/>
  <c r="T42" i="35"/>
  <c r="K76" i="35"/>
  <c r="L76" i="35"/>
  <c r="N84" i="35"/>
  <c r="M84" i="35"/>
  <c r="L84" i="35"/>
  <c r="AB18" i="35"/>
  <c r="AC18" i="35"/>
  <c r="Y18" i="35"/>
  <c r="Z18" i="35"/>
  <c r="AA18" i="35"/>
  <c r="AE18" i="35"/>
  <c r="AD18" i="35"/>
  <c r="C22" i="35"/>
  <c r="AA27" i="35"/>
  <c r="AE27" i="35"/>
  <c r="AD27" i="35"/>
  <c r="AC27" i="35"/>
  <c r="AB27" i="35"/>
  <c r="AC36" i="35"/>
  <c r="AE36" i="35"/>
  <c r="AD36" i="35"/>
  <c r="C51" i="35"/>
  <c r="C55" i="35"/>
  <c r="D55" i="35"/>
  <c r="H55" i="35"/>
  <c r="G55" i="35"/>
  <c r="F55" i="35"/>
  <c r="E55" i="35"/>
  <c r="H70" i="35"/>
  <c r="G70" i="35"/>
  <c r="F70" i="35"/>
  <c r="E70" i="35"/>
  <c r="D70" i="35"/>
  <c r="C70" i="35"/>
  <c r="H73" i="35"/>
  <c r="G73" i="35"/>
  <c r="Q68" i="34"/>
  <c r="P68" i="34"/>
  <c r="O68" i="34"/>
  <c r="N68" i="34"/>
  <c r="M68" i="34"/>
  <c r="L68" i="34"/>
  <c r="K68" i="34"/>
  <c r="Q83" i="34"/>
  <c r="V67" i="34"/>
  <c r="U67" i="34"/>
  <c r="T67" i="34"/>
  <c r="S67" i="34"/>
  <c r="R67" i="34"/>
  <c r="N85" i="34"/>
  <c r="M85" i="34"/>
  <c r="L85" i="34"/>
  <c r="K85" i="34"/>
  <c r="V84" i="34"/>
  <c r="U84" i="34"/>
  <c r="T84" i="34"/>
  <c r="S72" i="34"/>
  <c r="R84" i="34"/>
  <c r="Q84" i="34"/>
  <c r="P84" i="34"/>
  <c r="O84" i="34"/>
  <c r="N84" i="34"/>
  <c r="M84" i="34"/>
  <c r="L84" i="34"/>
  <c r="K84" i="34"/>
  <c r="V83" i="34"/>
  <c r="U83" i="34"/>
  <c r="T83" i="34"/>
  <c r="S83" i="34"/>
  <c r="R83" i="34"/>
  <c r="P83" i="34"/>
  <c r="O83" i="34"/>
  <c r="N83" i="34"/>
  <c r="M83" i="34"/>
  <c r="L83" i="34"/>
  <c r="K83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V80" i="34"/>
  <c r="U80" i="34"/>
  <c r="T80" i="34"/>
  <c r="S80" i="34"/>
  <c r="R80" i="34"/>
  <c r="Q80" i="34"/>
  <c r="P80" i="34"/>
  <c r="O80" i="34"/>
  <c r="N80" i="34"/>
  <c r="P71" i="34"/>
  <c r="M80" i="34"/>
  <c r="L80" i="34"/>
  <c r="K80" i="34"/>
  <c r="T72" i="34"/>
  <c r="V79" i="34"/>
  <c r="U79" i="34"/>
  <c r="T79" i="34"/>
  <c r="S79" i="34"/>
  <c r="R79" i="34"/>
  <c r="Q79" i="34"/>
  <c r="P79" i="34"/>
  <c r="O79" i="34"/>
  <c r="N79" i="34"/>
  <c r="M79" i="34"/>
  <c r="L79" i="34"/>
  <c r="K79" i="34"/>
  <c r="V78" i="34"/>
  <c r="U78" i="34"/>
  <c r="T78" i="34"/>
  <c r="S78" i="34"/>
  <c r="R78" i="34"/>
  <c r="Q78" i="34"/>
  <c r="P78" i="34"/>
  <c r="O78" i="34"/>
  <c r="Q71" i="34"/>
  <c r="N78" i="34"/>
  <c r="M78" i="34"/>
  <c r="L78" i="34"/>
  <c r="K78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V76" i="34"/>
  <c r="U76" i="34"/>
  <c r="T76" i="34"/>
  <c r="S76" i="34"/>
  <c r="R76" i="34"/>
  <c r="Q76" i="34"/>
  <c r="P76" i="34"/>
  <c r="R71" i="34"/>
  <c r="O76" i="34"/>
  <c r="N76" i="34"/>
  <c r="M76" i="34"/>
  <c r="L76" i="34"/>
  <c r="K76" i="34"/>
  <c r="V75" i="34"/>
  <c r="U75" i="34"/>
  <c r="S75" i="34"/>
  <c r="R75" i="34"/>
  <c r="Q75" i="34"/>
  <c r="P75" i="34"/>
  <c r="O75" i="34"/>
  <c r="N75" i="34"/>
  <c r="M75" i="34"/>
  <c r="L75" i="34"/>
  <c r="K75" i="34"/>
  <c r="V74" i="34"/>
  <c r="U74" i="34"/>
  <c r="T74" i="34"/>
  <c r="S74" i="34"/>
  <c r="T75" i="34"/>
  <c r="R74" i="34"/>
  <c r="S71" i="34"/>
  <c r="Q74" i="34"/>
  <c r="P74" i="34"/>
  <c r="O74" i="34"/>
  <c r="N74" i="34"/>
  <c r="M74" i="34"/>
  <c r="L74" i="34"/>
  <c r="K74" i="34"/>
  <c r="V73" i="34"/>
  <c r="U73" i="34"/>
  <c r="T73" i="34"/>
  <c r="S73" i="34"/>
  <c r="Q73" i="34"/>
  <c r="P73" i="34"/>
  <c r="O73" i="34"/>
  <c r="N73" i="34"/>
  <c r="M73" i="34"/>
  <c r="L73" i="34"/>
  <c r="T71" i="34"/>
  <c r="U71" i="34"/>
  <c r="V71" i="34"/>
  <c r="M70" i="34"/>
  <c r="L70" i="34"/>
  <c r="K72" i="34"/>
  <c r="L72" i="34"/>
  <c r="M72" i="34"/>
  <c r="N72" i="34"/>
  <c r="O72" i="34"/>
  <c r="P72" i="34"/>
  <c r="Q72" i="34"/>
  <c r="K70" i="34"/>
  <c r="V69" i="34"/>
  <c r="U69" i="34"/>
  <c r="T69" i="34"/>
  <c r="O71" i="34"/>
  <c r="S69" i="34"/>
  <c r="R69" i="34"/>
  <c r="Q69" i="34"/>
  <c r="P69" i="34"/>
  <c r="O69" i="34"/>
  <c r="N69" i="34"/>
  <c r="M69" i="34"/>
  <c r="R73" i="34"/>
  <c r="R72" i="34"/>
  <c r="V72" i="34"/>
  <c r="L69" i="34"/>
  <c r="U72" i="34"/>
  <c r="K69" i="34"/>
  <c r="V68" i="34"/>
  <c r="V85" i="34"/>
  <c r="U85" i="34"/>
  <c r="K73" i="34"/>
  <c r="U68" i="34"/>
  <c r="T68" i="34"/>
  <c r="T85" i="34"/>
  <c r="S85" i="34"/>
  <c r="R85" i="34"/>
  <c r="Q85" i="34"/>
  <c r="P85" i="34"/>
  <c r="O85" i="34"/>
  <c r="N71" i="34"/>
  <c r="M71" i="34"/>
  <c r="L71" i="34"/>
  <c r="K71" i="34"/>
  <c r="V70" i="34"/>
  <c r="U70" i="34"/>
  <c r="T70" i="34"/>
  <c r="S70" i="34"/>
  <c r="R70" i="34"/>
  <c r="Q70" i="34"/>
  <c r="P70" i="34"/>
  <c r="O70" i="34"/>
  <c r="N70" i="34"/>
  <c r="S68" i="34"/>
  <c r="R68" i="34"/>
  <c r="S84" i="34"/>
  <c r="E20" i="34"/>
  <c r="H20" i="34"/>
  <c r="G20" i="34"/>
  <c r="F20" i="34"/>
  <c r="D20" i="34"/>
  <c r="C26" i="34"/>
  <c r="F34" i="34"/>
  <c r="D34" i="34"/>
  <c r="C34" i="34"/>
  <c r="E34" i="34"/>
  <c r="C35" i="34"/>
  <c r="C36" i="34"/>
  <c r="C42" i="34"/>
  <c r="C54" i="34"/>
  <c r="Y69" i="34"/>
  <c r="X69" i="34"/>
  <c r="W69" i="34"/>
  <c r="C75" i="34"/>
  <c r="AI5" i="34"/>
  <c r="D13" i="33"/>
  <c r="C13" i="33"/>
  <c r="F14" i="33"/>
  <c r="C14" i="33"/>
  <c r="D14" i="33"/>
  <c r="H15" i="33"/>
  <c r="C15" i="33"/>
  <c r="D15" i="33"/>
  <c r="C22" i="33"/>
  <c r="D22" i="33"/>
  <c r="D29" i="33"/>
  <c r="C29" i="33"/>
  <c r="E29" i="33"/>
  <c r="H31" i="33"/>
  <c r="C31" i="33"/>
  <c r="C42" i="33"/>
  <c r="D42" i="33"/>
  <c r="F42" i="33"/>
  <c r="E42" i="33"/>
  <c r="C44" i="33"/>
  <c r="D44" i="33"/>
  <c r="C45" i="33"/>
  <c r="E45" i="33"/>
  <c r="E57" i="33"/>
  <c r="C57" i="33"/>
  <c r="C60" i="33"/>
  <c r="D60" i="33"/>
  <c r="F62" i="33"/>
  <c r="G62" i="33"/>
  <c r="D64" i="33"/>
  <c r="C64" i="33"/>
  <c r="H67" i="33"/>
  <c r="C67" i="33"/>
  <c r="C73" i="33"/>
  <c r="D73" i="33"/>
  <c r="C74" i="33"/>
  <c r="E74" i="33"/>
  <c r="H79" i="33"/>
  <c r="C79" i="33"/>
  <c r="E83" i="33"/>
  <c r="C83" i="33"/>
  <c r="D83" i="33"/>
  <c r="H85" i="33"/>
  <c r="C85" i="33"/>
  <c r="C11" i="32"/>
  <c r="F11" i="32"/>
  <c r="G11" i="32"/>
  <c r="E11" i="32"/>
  <c r="E13" i="32"/>
  <c r="F13" i="32"/>
  <c r="F19" i="32"/>
  <c r="G19" i="32"/>
  <c r="D20" i="32"/>
  <c r="C20" i="32"/>
  <c r="G26" i="32"/>
  <c r="C26" i="32"/>
  <c r="D27" i="32"/>
  <c r="C27" i="32"/>
  <c r="G34" i="32"/>
  <c r="F34" i="32"/>
  <c r="G35" i="32"/>
  <c r="C35" i="32"/>
  <c r="D35" i="32"/>
  <c r="D36" i="32"/>
  <c r="C36" i="32"/>
  <c r="E40" i="32"/>
  <c r="C40" i="32"/>
  <c r="F44" i="32"/>
  <c r="D44" i="32"/>
  <c r="C44" i="32"/>
  <c r="E46" i="32"/>
  <c r="C46" i="32"/>
  <c r="G47" i="32"/>
  <c r="D47" i="32"/>
  <c r="C47" i="32"/>
  <c r="D50" i="32"/>
  <c r="C50" i="32"/>
  <c r="C57" i="32"/>
  <c r="D57" i="32"/>
  <c r="D60" i="32"/>
  <c r="C60" i="32"/>
  <c r="D62" i="32"/>
  <c r="C62" i="32"/>
  <c r="G63" i="32"/>
  <c r="D63" i="32"/>
  <c r="G66" i="32"/>
  <c r="C66" i="32"/>
  <c r="D66" i="32"/>
  <c r="D67" i="32"/>
  <c r="C67" i="32"/>
  <c r="E67" i="32"/>
  <c r="F72" i="32"/>
  <c r="C72" i="32"/>
  <c r="D72" i="32"/>
  <c r="C74" i="32"/>
  <c r="D74" i="32"/>
  <c r="E75" i="32"/>
  <c r="C75" i="32"/>
  <c r="F80" i="32"/>
  <c r="E80" i="32"/>
  <c r="C80" i="32"/>
  <c r="C85" i="32"/>
  <c r="D85" i="32"/>
  <c r="J4" i="31"/>
  <c r="J3" i="31"/>
  <c r="F10" i="31"/>
  <c r="D10" i="31"/>
  <c r="C10" i="31"/>
  <c r="H11" i="31"/>
  <c r="D11" i="31"/>
  <c r="C11" i="31"/>
  <c r="F12" i="31"/>
  <c r="C12" i="31"/>
  <c r="C13" i="31"/>
  <c r="D13" i="31"/>
  <c r="E13" i="31"/>
  <c r="D14" i="31"/>
  <c r="C14" i="31"/>
  <c r="C18" i="31"/>
  <c r="D18" i="31"/>
  <c r="E18" i="31"/>
  <c r="H21" i="31"/>
  <c r="D21" i="31"/>
  <c r="C21" i="31"/>
  <c r="F23" i="31"/>
  <c r="C23" i="31"/>
  <c r="F24" i="31"/>
  <c r="D24" i="31"/>
  <c r="E24" i="31"/>
  <c r="C24" i="31"/>
  <c r="F26" i="31"/>
  <c r="E26" i="31"/>
  <c r="D26" i="31"/>
  <c r="C26" i="31"/>
  <c r="D28" i="31"/>
  <c r="C28" i="31"/>
  <c r="E29" i="31"/>
  <c r="C29" i="31"/>
  <c r="F29" i="31"/>
  <c r="D29" i="31"/>
  <c r="C35" i="31"/>
  <c r="D35" i="31"/>
  <c r="D37" i="31"/>
  <c r="E37" i="31"/>
  <c r="C37" i="31"/>
  <c r="C39" i="31"/>
  <c r="H39" i="31"/>
  <c r="F40" i="31"/>
  <c r="C40" i="31"/>
  <c r="D40" i="31"/>
  <c r="F41" i="31"/>
  <c r="E41" i="31"/>
  <c r="C41" i="31"/>
  <c r="F42" i="31"/>
  <c r="C42" i="31"/>
  <c r="D45" i="31"/>
  <c r="C45" i="31"/>
  <c r="G47" i="31"/>
  <c r="F47" i="31"/>
  <c r="E57" i="31"/>
  <c r="C57" i="31"/>
  <c r="D59" i="31"/>
  <c r="C59" i="31"/>
  <c r="G59" i="31"/>
  <c r="E60" i="31"/>
  <c r="G60" i="31"/>
  <c r="D60" i="31"/>
  <c r="E66" i="31"/>
  <c r="F66" i="31"/>
  <c r="D66" i="31"/>
  <c r="C66" i="31"/>
  <c r="C68" i="31"/>
  <c r="D68" i="31"/>
  <c r="F73" i="31"/>
  <c r="C73" i="31"/>
  <c r="C76" i="31"/>
  <c r="H76" i="31"/>
  <c r="E79" i="31"/>
  <c r="C79" i="31"/>
  <c r="G80" i="31"/>
  <c r="C80" i="31"/>
  <c r="D80" i="31"/>
  <c r="K11" i="33"/>
  <c r="U39" i="33"/>
  <c r="K40" i="33"/>
  <c r="L40" i="33"/>
  <c r="M40" i="33"/>
  <c r="N40" i="33"/>
  <c r="O40" i="33"/>
  <c r="P40" i="33"/>
  <c r="Q40" i="33"/>
  <c r="S40" i="33"/>
  <c r="K41" i="33"/>
  <c r="L41" i="33"/>
  <c r="M41" i="33"/>
  <c r="N41" i="33"/>
  <c r="O41" i="33"/>
  <c r="P41" i="33"/>
  <c r="Q41" i="33"/>
  <c r="R41" i="33"/>
  <c r="S41" i="33"/>
  <c r="T41" i="33"/>
  <c r="U41" i="33"/>
  <c r="V41" i="33"/>
  <c r="L42" i="33"/>
  <c r="M42" i="33"/>
  <c r="N42" i="33"/>
  <c r="R42" i="33"/>
  <c r="S42" i="33"/>
  <c r="T42" i="33"/>
  <c r="U42" i="33"/>
  <c r="V42" i="33"/>
  <c r="O43" i="33"/>
  <c r="P43" i="33"/>
  <c r="Q43" i="33"/>
  <c r="R43" i="33"/>
  <c r="S43" i="33"/>
  <c r="T43" i="33"/>
  <c r="U43" i="33"/>
  <c r="V43" i="33"/>
  <c r="K44" i="33"/>
  <c r="L44" i="33"/>
  <c r="M44" i="33"/>
  <c r="P44" i="33"/>
  <c r="S44" i="33"/>
  <c r="U44" i="33"/>
  <c r="V44" i="33"/>
  <c r="K45" i="33"/>
  <c r="L45" i="33"/>
  <c r="M45" i="33"/>
  <c r="N45" i="33"/>
  <c r="O45" i="33"/>
  <c r="R45" i="33"/>
  <c r="S45" i="33"/>
  <c r="T45" i="33"/>
  <c r="U45" i="33"/>
  <c r="P46" i="33"/>
  <c r="Q46" i="33"/>
  <c r="T46" i="33"/>
  <c r="U46" i="33"/>
  <c r="V46" i="33"/>
  <c r="K47" i="33"/>
  <c r="L47" i="33"/>
  <c r="M47" i="33"/>
  <c r="N47" i="33"/>
  <c r="O47" i="33"/>
  <c r="P47" i="33"/>
  <c r="Q47" i="33"/>
  <c r="K48" i="33"/>
  <c r="L48" i="33"/>
  <c r="M48" i="33"/>
  <c r="N48" i="33"/>
  <c r="O48" i="33"/>
  <c r="Q48" i="33"/>
  <c r="R48" i="33"/>
  <c r="S48" i="33"/>
  <c r="T48" i="33"/>
  <c r="U48" i="33"/>
  <c r="K49" i="33"/>
  <c r="M49" i="33"/>
  <c r="N49" i="33"/>
  <c r="O49" i="33"/>
  <c r="P49" i="33"/>
  <c r="Q49" i="33"/>
  <c r="R49" i="33"/>
  <c r="S49" i="33"/>
  <c r="T49" i="33"/>
  <c r="U49" i="33"/>
  <c r="V49" i="33"/>
  <c r="M50" i="33"/>
  <c r="R50" i="33"/>
  <c r="S50" i="33"/>
  <c r="T50" i="33"/>
  <c r="U50" i="33"/>
  <c r="V50" i="33"/>
  <c r="L51" i="33"/>
  <c r="M51" i="33"/>
  <c r="N51" i="33"/>
  <c r="O51" i="33"/>
  <c r="S51" i="33"/>
  <c r="T51" i="33"/>
  <c r="U51" i="33"/>
  <c r="V51" i="33"/>
  <c r="L52" i="33"/>
  <c r="M52" i="33"/>
  <c r="N52" i="33"/>
  <c r="O52" i="33"/>
  <c r="P52" i="33"/>
  <c r="Q52" i="33"/>
  <c r="S52" i="33"/>
  <c r="U52" i="33"/>
  <c r="K53" i="33"/>
  <c r="L53" i="33"/>
  <c r="M53" i="33"/>
  <c r="Q53" i="33"/>
  <c r="R53" i="33"/>
  <c r="S53" i="33"/>
  <c r="U53" i="33"/>
  <c r="V53" i="33"/>
  <c r="K54" i="33"/>
  <c r="L54" i="33"/>
  <c r="P54" i="33"/>
  <c r="T54" i="33"/>
  <c r="U54" i="33"/>
  <c r="K55" i="33"/>
  <c r="M55" i="33"/>
  <c r="N55" i="33"/>
  <c r="O55" i="33"/>
  <c r="P55" i="33"/>
  <c r="Q55" i="33"/>
  <c r="R55" i="33"/>
  <c r="S55" i="33"/>
  <c r="T55" i="33"/>
  <c r="U55" i="33"/>
  <c r="K56" i="33"/>
  <c r="L56" i="33"/>
  <c r="M56" i="33"/>
  <c r="N56" i="33"/>
  <c r="O56" i="33"/>
  <c r="P56" i="33"/>
  <c r="Q56" i="33"/>
  <c r="R56" i="33"/>
  <c r="S56" i="33"/>
  <c r="T56" i="33"/>
  <c r="U56" i="33"/>
  <c r="M57" i="33"/>
  <c r="N57" i="33"/>
  <c r="O57" i="33"/>
  <c r="P57" i="33"/>
  <c r="Q57" i="33"/>
  <c r="R57" i="33"/>
  <c r="M68" i="33"/>
  <c r="N68" i="33"/>
  <c r="O68" i="33"/>
  <c r="T68" i="33"/>
  <c r="U68" i="33"/>
  <c r="V68" i="33"/>
  <c r="U36" i="33"/>
  <c r="O69" i="33"/>
  <c r="P69" i="33"/>
  <c r="Q69" i="33"/>
  <c r="R69" i="33"/>
  <c r="S69" i="33"/>
  <c r="U69" i="33"/>
  <c r="K70" i="33"/>
  <c r="L70" i="33"/>
  <c r="M70" i="33"/>
  <c r="O70" i="33"/>
  <c r="P70" i="33"/>
  <c r="U70" i="33"/>
  <c r="K71" i="33"/>
  <c r="M71" i="33"/>
  <c r="R71" i="33"/>
  <c r="T71" i="33"/>
  <c r="V71" i="33"/>
  <c r="K72" i="33"/>
  <c r="L72" i="33"/>
  <c r="M72" i="33"/>
  <c r="P72" i="33"/>
  <c r="Q72" i="33"/>
  <c r="R72" i="33"/>
  <c r="S72" i="33"/>
  <c r="T72" i="33"/>
  <c r="U72" i="33"/>
  <c r="V72" i="33"/>
  <c r="M73" i="33"/>
  <c r="N73" i="33"/>
  <c r="O73" i="33"/>
  <c r="P73" i="33"/>
  <c r="Q73" i="33"/>
  <c r="T73" i="33"/>
  <c r="U73" i="33"/>
  <c r="V73" i="33"/>
  <c r="M74" i="33"/>
  <c r="N74" i="33"/>
  <c r="O74" i="33"/>
  <c r="P74" i="33"/>
  <c r="T74" i="33"/>
  <c r="U74" i="33"/>
  <c r="K75" i="33"/>
  <c r="N75" i="33"/>
  <c r="R75" i="33"/>
  <c r="S75" i="33"/>
  <c r="T75" i="33"/>
  <c r="U75" i="33"/>
  <c r="V75" i="33"/>
  <c r="K76" i="33"/>
  <c r="L76" i="33"/>
  <c r="M76" i="33"/>
  <c r="P76" i="33"/>
  <c r="Q76" i="33"/>
  <c r="R76" i="33"/>
  <c r="V76" i="33"/>
  <c r="K77" i="33"/>
  <c r="L77" i="33"/>
  <c r="N77" i="33"/>
  <c r="O77" i="33"/>
  <c r="S77" i="33"/>
  <c r="U77" i="33"/>
  <c r="K78" i="33"/>
  <c r="N78" i="33"/>
  <c r="P78" i="33"/>
  <c r="N79" i="33"/>
  <c r="P79" i="33"/>
  <c r="R79" i="33"/>
  <c r="V79" i="33"/>
  <c r="L80" i="33"/>
  <c r="O80" i="33"/>
  <c r="S80" i="33"/>
  <c r="U80" i="33"/>
  <c r="O81" i="33"/>
  <c r="P81" i="33"/>
  <c r="R81" i="33"/>
  <c r="T81" i="33"/>
  <c r="L82" i="33"/>
  <c r="Q82" i="33"/>
  <c r="S82" i="33"/>
  <c r="L83" i="33"/>
  <c r="N83" i="33"/>
  <c r="Q83" i="33"/>
  <c r="S83" i="33"/>
  <c r="V83" i="33"/>
  <c r="M84" i="33"/>
  <c r="P84" i="33"/>
  <c r="S84" i="33"/>
  <c r="U84" i="33"/>
  <c r="N85" i="33"/>
  <c r="P85" i="33"/>
  <c r="R85" i="33"/>
  <c r="U85" i="33"/>
  <c r="V36" i="33"/>
  <c r="K37" i="33"/>
  <c r="L37" i="33"/>
  <c r="M37" i="33"/>
  <c r="N37" i="33"/>
  <c r="O37" i="33"/>
  <c r="P37" i="33"/>
  <c r="Q37" i="33"/>
  <c r="R37" i="33"/>
  <c r="V37" i="33"/>
  <c r="O38" i="33"/>
  <c r="P38" i="33"/>
  <c r="Q38" i="33"/>
  <c r="R38" i="33"/>
  <c r="S57" i="33"/>
  <c r="T57" i="33"/>
  <c r="U57" i="33"/>
  <c r="V57" i="33"/>
  <c r="L58" i="33"/>
  <c r="M58" i="33"/>
  <c r="N58" i="33"/>
  <c r="Q58" i="33"/>
  <c r="U58" i="33"/>
  <c r="V58" i="33"/>
  <c r="K59" i="33"/>
  <c r="N59" i="33"/>
  <c r="O59" i="33"/>
  <c r="P59" i="33"/>
  <c r="Q59" i="33"/>
  <c r="R59" i="33"/>
  <c r="S59" i="33"/>
  <c r="V59" i="33"/>
  <c r="K69" i="33"/>
  <c r="P60" i="33"/>
  <c r="Q60" i="33"/>
  <c r="R60" i="33"/>
  <c r="S60" i="33"/>
  <c r="T60" i="33"/>
  <c r="U60" i="33"/>
  <c r="V60" i="33"/>
  <c r="K61" i="33"/>
  <c r="L61" i="33"/>
  <c r="M61" i="33"/>
  <c r="N61" i="33"/>
  <c r="T61" i="33"/>
  <c r="U61" i="33"/>
  <c r="V61" i="33"/>
  <c r="K62" i="33"/>
  <c r="L62" i="33"/>
  <c r="M62" i="33"/>
  <c r="N62" i="33"/>
  <c r="O62" i="33"/>
  <c r="P62" i="33"/>
  <c r="K63" i="33"/>
  <c r="L63" i="33"/>
  <c r="M63" i="33"/>
  <c r="N63" i="33"/>
  <c r="O63" i="33"/>
  <c r="P63" i="33"/>
  <c r="Q63" i="33"/>
  <c r="R63" i="33"/>
  <c r="S63" i="33"/>
  <c r="V63" i="33"/>
  <c r="K64" i="33"/>
  <c r="L64" i="33"/>
  <c r="M64" i="33"/>
  <c r="N64" i="33"/>
  <c r="O64" i="33"/>
  <c r="P64" i="33"/>
  <c r="Q64" i="33"/>
  <c r="R64" i="33"/>
  <c r="S64" i="33"/>
  <c r="T64" i="33"/>
  <c r="U64" i="33"/>
  <c r="K65" i="33"/>
  <c r="M65" i="33"/>
  <c r="P65" i="33"/>
  <c r="Q65" i="33"/>
  <c r="R65" i="33"/>
  <c r="S65" i="33"/>
  <c r="T65" i="33"/>
  <c r="U65" i="33"/>
  <c r="V65" i="33"/>
  <c r="K66" i="33"/>
  <c r="L66" i="33"/>
  <c r="M66" i="33"/>
  <c r="O66" i="33"/>
  <c r="P66" i="33"/>
  <c r="Q66" i="33"/>
  <c r="R66" i="33"/>
  <c r="N67" i="33"/>
  <c r="O67" i="33"/>
  <c r="Q67" i="33"/>
  <c r="R67" i="33"/>
  <c r="S67" i="33"/>
  <c r="T67" i="33"/>
  <c r="U67" i="33"/>
  <c r="V67" i="33"/>
  <c r="K68" i="33"/>
  <c r="L68" i="33"/>
  <c r="N70" i="33"/>
  <c r="Q70" i="33"/>
  <c r="L71" i="33"/>
  <c r="N71" i="33"/>
  <c r="O71" i="33"/>
  <c r="P71" i="33"/>
  <c r="Q71" i="33"/>
  <c r="S71" i="33"/>
  <c r="U71" i="33"/>
  <c r="M77" i="33"/>
  <c r="R77" i="33"/>
  <c r="T77" i="33"/>
  <c r="V77" i="33"/>
  <c r="L78" i="33"/>
  <c r="M78" i="33"/>
  <c r="O78" i="33"/>
  <c r="Q78" i="33"/>
  <c r="K79" i="33"/>
  <c r="O79" i="33"/>
  <c r="Q79" i="33"/>
  <c r="S79" i="33"/>
  <c r="K80" i="33"/>
  <c r="M80" i="33"/>
  <c r="N80" i="33"/>
  <c r="R80" i="33"/>
  <c r="T80" i="33"/>
  <c r="N81" i="33"/>
  <c r="Q81" i="33"/>
  <c r="S81" i="33"/>
  <c r="K82" i="33"/>
  <c r="M82" i="33"/>
  <c r="R82" i="33"/>
  <c r="K83" i="33"/>
  <c r="M83" i="33"/>
  <c r="O83" i="33"/>
  <c r="R83" i="33"/>
  <c r="K84" i="33"/>
  <c r="L84" i="33"/>
  <c r="N84" i="33"/>
  <c r="O84" i="33"/>
  <c r="Q84" i="33"/>
  <c r="T84" i="33"/>
  <c r="V84" i="33"/>
  <c r="O85" i="33"/>
  <c r="Q85" i="33"/>
  <c r="S85" i="33"/>
  <c r="V85" i="33"/>
  <c r="S38" i="33"/>
  <c r="T38" i="33"/>
  <c r="U38" i="33"/>
  <c r="K39" i="33"/>
  <c r="L39" i="33"/>
  <c r="M39" i="33"/>
  <c r="N39" i="33"/>
  <c r="R39" i="33"/>
  <c r="S39" i="33"/>
  <c r="T39" i="33"/>
  <c r="M60" i="33"/>
  <c r="E32" i="33"/>
  <c r="F32" i="33"/>
  <c r="G32" i="33"/>
  <c r="H32" i="33"/>
  <c r="F18" i="33"/>
  <c r="G18" i="33"/>
  <c r="H18" i="33"/>
  <c r="F52" i="33"/>
  <c r="E52" i="33"/>
  <c r="F57" i="33"/>
  <c r="D52" i="33"/>
  <c r="E75" i="33"/>
  <c r="F75" i="33"/>
  <c r="G75" i="33"/>
  <c r="H75" i="33"/>
  <c r="H25" i="33"/>
  <c r="G25" i="33"/>
  <c r="D34" i="33"/>
  <c r="E34" i="33"/>
  <c r="D55" i="33"/>
  <c r="E55" i="33"/>
  <c r="F55" i="33"/>
  <c r="G55" i="33"/>
  <c r="H55" i="33"/>
  <c r="AI5" i="33"/>
  <c r="C35" i="33"/>
  <c r="D35" i="33"/>
  <c r="E35" i="33"/>
  <c r="F35" i="33"/>
  <c r="G35" i="33"/>
  <c r="H35" i="33"/>
  <c r="H68" i="33"/>
  <c r="H40" i="33"/>
  <c r="F31" i="33"/>
  <c r="F81" i="33"/>
  <c r="E53" i="33"/>
  <c r="F53" i="33"/>
  <c r="G53" i="33"/>
  <c r="H53" i="33"/>
  <c r="E31" i="33"/>
  <c r="H73" i="33"/>
  <c r="E73" i="33"/>
  <c r="F73" i="33"/>
  <c r="G73" i="33"/>
  <c r="F11" i="33"/>
  <c r="G11" i="33"/>
  <c r="H11" i="33"/>
  <c r="D11" i="33"/>
  <c r="E11" i="33"/>
  <c r="F40" i="33"/>
  <c r="G40" i="33"/>
  <c r="C19" i="33"/>
  <c r="D19" i="33"/>
  <c r="E19" i="33"/>
  <c r="F19" i="33"/>
  <c r="H41" i="33"/>
  <c r="C41" i="33"/>
  <c r="D41" i="33"/>
  <c r="E41" i="33"/>
  <c r="F41" i="33"/>
  <c r="G41" i="33"/>
  <c r="D27" i="33"/>
  <c r="E27" i="33"/>
  <c r="H63" i="33"/>
  <c r="D63" i="33"/>
  <c r="E63" i="33"/>
  <c r="F56" i="33"/>
  <c r="G56" i="33"/>
  <c r="E56" i="33"/>
  <c r="H56" i="33"/>
  <c r="F59" i="33"/>
  <c r="G59" i="33"/>
  <c r="H59" i="33"/>
  <c r="D59" i="33"/>
  <c r="E59" i="33"/>
  <c r="H57" i="33"/>
  <c r="G57" i="33"/>
  <c r="G63" i="33"/>
  <c r="D43" i="33"/>
  <c r="E43" i="33"/>
  <c r="F43" i="33"/>
  <c r="G43" i="33"/>
  <c r="H43" i="33"/>
  <c r="D61" i="33"/>
  <c r="G61" i="33"/>
  <c r="H61" i="33"/>
  <c r="C68" i="33"/>
  <c r="D68" i="33"/>
  <c r="E68" i="33"/>
  <c r="F68" i="33"/>
  <c r="F63" i="33"/>
  <c r="D71" i="33"/>
  <c r="E71" i="33"/>
  <c r="C63" i="33"/>
  <c r="F61" i="33"/>
  <c r="M85" i="33"/>
  <c r="V82" i="33"/>
  <c r="M81" i="33"/>
  <c r="D80" i="33"/>
  <c r="E80" i="33"/>
  <c r="F80" i="33"/>
  <c r="V78" i="33"/>
  <c r="S74" i="33"/>
  <c r="L73" i="33"/>
  <c r="T70" i="33"/>
  <c r="N69" i="33"/>
  <c r="U62" i="33"/>
  <c r="T58" i="33"/>
  <c r="O54" i="33"/>
  <c r="Q50" i="33"/>
  <c r="L46" i="33"/>
  <c r="Q42" i="33"/>
  <c r="N38" i="33"/>
  <c r="M34" i="33"/>
  <c r="R31" i="33"/>
  <c r="P27" i="33"/>
  <c r="U24" i="33"/>
  <c r="Q20" i="33"/>
  <c r="R17" i="33"/>
  <c r="M13" i="33"/>
  <c r="R10" i="33"/>
  <c r="L85" i="33"/>
  <c r="C84" i="33"/>
  <c r="D84" i="33"/>
  <c r="U82" i="33"/>
  <c r="K81" i="33"/>
  <c r="U78" i="33"/>
  <c r="R74" i="33"/>
  <c r="K73" i="33"/>
  <c r="S70" i="33"/>
  <c r="M69" i="33"/>
  <c r="V66" i="33"/>
  <c r="T62" i="33"/>
  <c r="S58" i="33"/>
  <c r="N54" i="33"/>
  <c r="P50" i="33"/>
  <c r="K46" i="33"/>
  <c r="D45" i="33"/>
  <c r="H45" i="33"/>
  <c r="P42" i="33"/>
  <c r="V35" i="33"/>
  <c r="L34" i="33"/>
  <c r="Q31" i="33"/>
  <c r="F30" i="33"/>
  <c r="E30" i="33"/>
  <c r="G30" i="33"/>
  <c r="H30" i="33"/>
  <c r="O27" i="33"/>
  <c r="T24" i="33"/>
  <c r="P20" i="33"/>
  <c r="Q17" i="33"/>
  <c r="L13" i="33"/>
  <c r="Q10" i="33"/>
  <c r="K85" i="33"/>
  <c r="T82" i="33"/>
  <c r="T78" i="33"/>
  <c r="Q74" i="33"/>
  <c r="R70" i="33"/>
  <c r="L69" i="33"/>
  <c r="U66" i="33"/>
  <c r="Q62" i="33"/>
  <c r="R58" i="33"/>
  <c r="M54" i="33"/>
  <c r="O50" i="33"/>
  <c r="F49" i="33"/>
  <c r="G49" i="33"/>
  <c r="O42" i="33"/>
  <c r="V39" i="33"/>
  <c r="G37" i="33"/>
  <c r="H37" i="33"/>
  <c r="U35" i="33"/>
  <c r="K34" i="33"/>
  <c r="P31" i="33"/>
  <c r="V28" i="33"/>
  <c r="N27" i="33"/>
  <c r="S24" i="33"/>
  <c r="D23" i="33"/>
  <c r="F23" i="33"/>
  <c r="E23" i="33"/>
  <c r="G23" i="33"/>
  <c r="H23" i="33"/>
  <c r="O20" i="33"/>
  <c r="P17" i="33"/>
  <c r="K13" i="33"/>
  <c r="P10" i="33"/>
  <c r="G42" i="33"/>
  <c r="H42" i="33"/>
  <c r="T36" i="33"/>
  <c r="L32" i="33"/>
  <c r="U29" i="33"/>
  <c r="O25" i="33"/>
  <c r="F24" i="33"/>
  <c r="H24" i="33"/>
  <c r="G24" i="33"/>
  <c r="U22" i="33"/>
  <c r="O21" i="33"/>
  <c r="R18" i="33"/>
  <c r="K14" i="33"/>
  <c r="Q11" i="33"/>
  <c r="F82" i="33"/>
  <c r="D78" i="33"/>
  <c r="D74" i="33"/>
  <c r="D66" i="33"/>
  <c r="E62" i="33"/>
  <c r="V56" i="33"/>
  <c r="L55" i="33"/>
  <c r="T52" i="33"/>
  <c r="K51" i="33"/>
  <c r="P48" i="33"/>
  <c r="T44" i="33"/>
  <c r="R40" i="33"/>
  <c r="H39" i="33"/>
  <c r="S36" i="33"/>
  <c r="K32" i="33"/>
  <c r="T29" i="33"/>
  <c r="N25" i="33"/>
  <c r="T22" i="33"/>
  <c r="N21" i="33"/>
  <c r="E20" i="33"/>
  <c r="F20" i="33"/>
  <c r="L18" i="33"/>
  <c r="G17" i="33"/>
  <c r="H17" i="33"/>
  <c r="P11" i="33"/>
  <c r="E82" i="33"/>
  <c r="D62" i="33"/>
  <c r="G47" i="33"/>
  <c r="G39" i="33"/>
  <c r="O11" i="33"/>
  <c r="F78" i="33"/>
  <c r="G78" i="33"/>
  <c r="H78" i="33"/>
  <c r="F66" i="33"/>
  <c r="G66" i="33"/>
  <c r="H66" i="33"/>
  <c r="C62" i="33"/>
  <c r="F47" i="33"/>
  <c r="F39" i="33"/>
  <c r="D39" i="33"/>
  <c r="E39" i="33"/>
  <c r="L17" i="33"/>
  <c r="N18" i="33"/>
  <c r="P19" i="33"/>
  <c r="R20" i="33"/>
  <c r="T21" i="33"/>
  <c r="V22" i="33"/>
  <c r="L33" i="33"/>
  <c r="N34" i="33"/>
  <c r="P35" i="33"/>
  <c r="R36" i="33"/>
  <c r="T37" i="33"/>
  <c r="V38" i="33"/>
  <c r="L49" i="33"/>
  <c r="N50" i="33"/>
  <c r="P51" i="33"/>
  <c r="R52" i="33"/>
  <c r="T53" i="33"/>
  <c r="V54" i="33"/>
  <c r="L65" i="33"/>
  <c r="N66" i="33"/>
  <c r="P67" i="33"/>
  <c r="R68" i="33"/>
  <c r="T69" i="33"/>
  <c r="V70" i="33"/>
  <c r="L81" i="33"/>
  <c r="N82" i="33"/>
  <c r="P83" i="33"/>
  <c r="R84" i="33"/>
  <c r="T85" i="33"/>
  <c r="L11" i="33"/>
  <c r="N12" i="33"/>
  <c r="P13" i="33"/>
  <c r="R14" i="33"/>
  <c r="T15" i="33"/>
  <c r="V16" i="33"/>
  <c r="L27" i="33"/>
  <c r="N28" i="33"/>
  <c r="P29" i="33"/>
  <c r="R30" i="33"/>
  <c r="T31" i="33"/>
  <c r="V32" i="33"/>
  <c r="L43" i="33"/>
  <c r="N44" i="33"/>
  <c r="P45" i="33"/>
  <c r="R46" i="33"/>
  <c r="T47" i="33"/>
  <c r="V48" i="33"/>
  <c r="L59" i="33"/>
  <c r="N60" i="33"/>
  <c r="P61" i="33"/>
  <c r="R62" i="33"/>
  <c r="T63" i="33"/>
  <c r="V64" i="33"/>
  <c r="L75" i="33"/>
  <c r="N76" i="33"/>
  <c r="P77" i="33"/>
  <c r="R78" i="33"/>
  <c r="T79" i="33"/>
  <c r="V80" i="33"/>
  <c r="L10" i="33"/>
  <c r="K10" i="33"/>
  <c r="M11" i="33"/>
  <c r="O12" i="33"/>
  <c r="Q13" i="33"/>
  <c r="S14" i="33"/>
  <c r="U15" i="33"/>
  <c r="K26" i="33"/>
  <c r="M27" i="33"/>
  <c r="O28" i="33"/>
  <c r="Q29" i="33"/>
  <c r="S30" i="33"/>
  <c r="U31" i="33"/>
  <c r="K42" i="33"/>
  <c r="M43" i="33"/>
  <c r="O44" i="33"/>
  <c r="Q45" i="33"/>
  <c r="S46" i="33"/>
  <c r="U47" i="33"/>
  <c r="K58" i="33"/>
  <c r="M59" i="33"/>
  <c r="O60" i="33"/>
  <c r="Q61" i="33"/>
  <c r="S62" i="33"/>
  <c r="U63" i="33"/>
  <c r="K74" i="33"/>
  <c r="M75" i="33"/>
  <c r="O76" i="33"/>
  <c r="Q77" i="33"/>
  <c r="S78" i="33"/>
  <c r="U79" i="33"/>
  <c r="N11" i="33"/>
  <c r="P12" i="33"/>
  <c r="R13" i="33"/>
  <c r="T14" i="33"/>
  <c r="V15" i="33"/>
  <c r="K12" i="33"/>
  <c r="T13" i="33"/>
  <c r="M18" i="33"/>
  <c r="T19" i="33"/>
  <c r="M24" i="33"/>
  <c r="Q25" i="33"/>
  <c r="U26" i="33"/>
  <c r="K31" i="33"/>
  <c r="O32" i="33"/>
  <c r="T33" i="33"/>
  <c r="O39" i="33"/>
  <c r="T40" i="33"/>
  <c r="M46" i="33"/>
  <c r="R47" i="33"/>
  <c r="N53" i="33"/>
  <c r="Q54" i="33"/>
  <c r="V55" i="33"/>
  <c r="O61" i="33"/>
  <c r="V62" i="33"/>
  <c r="K67" i="33"/>
  <c r="P68" i="33"/>
  <c r="V69" i="33"/>
  <c r="O75" i="33"/>
  <c r="S76" i="33"/>
  <c r="L12" i="33"/>
  <c r="U13" i="33"/>
  <c r="O18" i="33"/>
  <c r="U19" i="33"/>
  <c r="N24" i="33"/>
  <c r="R25" i="33"/>
  <c r="V26" i="33"/>
  <c r="L31" i="33"/>
  <c r="P32" i="33"/>
  <c r="U33" i="33"/>
  <c r="K38" i="33"/>
  <c r="P39" i="33"/>
  <c r="U40" i="33"/>
  <c r="N46" i="33"/>
  <c r="S47" i="33"/>
  <c r="O53" i="33"/>
  <c r="R54" i="33"/>
  <c r="K60" i="33"/>
  <c r="R61" i="33"/>
  <c r="L67" i="33"/>
  <c r="Q68" i="33"/>
  <c r="P75" i="33"/>
  <c r="T76" i="33"/>
  <c r="O82" i="33"/>
  <c r="T83" i="33"/>
  <c r="M12" i="33"/>
  <c r="V13" i="33"/>
  <c r="P18" i="33"/>
  <c r="V19" i="33"/>
  <c r="O24" i="33"/>
  <c r="S25" i="33"/>
  <c r="M31" i="33"/>
  <c r="Q32" i="33"/>
  <c r="V33" i="33"/>
  <c r="L38" i="33"/>
  <c r="Q39" i="33"/>
  <c r="V40" i="33"/>
  <c r="O46" i="33"/>
  <c r="V47" i="33"/>
  <c r="K52" i="33"/>
  <c r="P53" i="33"/>
  <c r="S54" i="33"/>
  <c r="L60" i="33"/>
  <c r="S61" i="33"/>
  <c r="M67" i="33"/>
  <c r="S68" i="33"/>
  <c r="L74" i="33"/>
  <c r="Q75" i="33"/>
  <c r="U76" i="33"/>
  <c r="P82" i="33"/>
  <c r="U83" i="33"/>
  <c r="Q12" i="33"/>
  <c r="Q18" i="33"/>
  <c r="P24" i="33"/>
  <c r="T25" i="33"/>
  <c r="N31" i="33"/>
  <c r="R32" i="33"/>
  <c r="M38" i="33"/>
  <c r="M10" i="33"/>
  <c r="U11" i="33"/>
  <c r="N16" i="33"/>
  <c r="T17" i="33"/>
  <c r="M22" i="33"/>
  <c r="S23" i="33"/>
  <c r="M29" i="33"/>
  <c r="T30" i="33"/>
  <c r="N36" i="33"/>
  <c r="S37" i="33"/>
  <c r="K43" i="33"/>
  <c r="Q44" i="33"/>
  <c r="V45" i="33"/>
  <c r="K50" i="33"/>
  <c r="Q51" i="33"/>
  <c r="V52" i="33"/>
  <c r="K57" i="33"/>
  <c r="O58" i="33"/>
  <c r="T59" i="33"/>
  <c r="N65" i="33"/>
  <c r="S66" i="33"/>
  <c r="N72" i="33"/>
  <c r="R73" i="33"/>
  <c r="V74" i="33"/>
  <c r="L79" i="33"/>
  <c r="P80" i="33"/>
  <c r="U81" i="33"/>
  <c r="N10" i="33"/>
  <c r="V11" i="33"/>
  <c r="O16" i="33"/>
  <c r="U17" i="33"/>
  <c r="K21" i="33"/>
  <c r="N22" i="33"/>
  <c r="T23" i="33"/>
  <c r="N29" i="33"/>
  <c r="U30" i="33"/>
  <c r="O36" i="33"/>
  <c r="U37" i="33"/>
  <c r="N43" i="33"/>
  <c r="R44" i="33"/>
  <c r="L50" i="33"/>
  <c r="R51" i="33"/>
  <c r="L57" i="33"/>
  <c r="P58" i="33"/>
  <c r="U59" i="33"/>
  <c r="O65" i="33"/>
  <c r="T66" i="33"/>
  <c r="O72" i="33"/>
  <c r="S73" i="33"/>
  <c r="M79" i="33"/>
  <c r="Q80" i="33"/>
  <c r="V81" i="33"/>
  <c r="D51" i="33"/>
  <c r="E51" i="33"/>
  <c r="F51" i="33"/>
  <c r="N15" i="33"/>
  <c r="U12" i="33"/>
  <c r="F72" i="33"/>
  <c r="G72" i="33"/>
  <c r="D58" i="33"/>
  <c r="D36" i="33"/>
  <c r="D16" i="33"/>
  <c r="AI5" i="32"/>
  <c r="G31" i="32"/>
  <c r="H31" i="32"/>
  <c r="C31" i="32"/>
  <c r="D31" i="32"/>
  <c r="E31" i="32"/>
  <c r="C51" i="32"/>
  <c r="G51" i="32"/>
  <c r="H51" i="32"/>
  <c r="E51" i="32"/>
  <c r="F51" i="32"/>
  <c r="C13" i="32"/>
  <c r="D13" i="32"/>
  <c r="G13" i="32"/>
  <c r="H13" i="32"/>
  <c r="G60" i="32"/>
  <c r="D25" i="32"/>
  <c r="E25" i="32"/>
  <c r="F25" i="32"/>
  <c r="C18" i="32"/>
  <c r="D18" i="32"/>
  <c r="H60" i="32"/>
  <c r="F60" i="32"/>
  <c r="E60" i="32"/>
  <c r="E20" i="32"/>
  <c r="F20" i="32"/>
  <c r="E58" i="32"/>
  <c r="F58" i="32"/>
  <c r="G58" i="32"/>
  <c r="H80" i="32"/>
  <c r="F75" i="32"/>
  <c r="F46" i="32"/>
  <c r="H34" i="32"/>
  <c r="D24" i="32"/>
  <c r="D46" i="32"/>
  <c r="G24" i="32"/>
  <c r="H24" i="32"/>
  <c r="D75" i="32"/>
  <c r="H75" i="32"/>
  <c r="C34" i="32"/>
  <c r="D34" i="32"/>
  <c r="E34" i="32"/>
  <c r="D26" i="32"/>
  <c r="E26" i="32"/>
  <c r="H26" i="32"/>
  <c r="F26" i="32"/>
  <c r="G80" i="32"/>
  <c r="D80" i="32"/>
  <c r="E14" i="32"/>
  <c r="F14" i="32"/>
  <c r="C14" i="32"/>
  <c r="D14" i="32"/>
  <c r="G14" i="32"/>
  <c r="C38" i="32"/>
  <c r="D38" i="32"/>
  <c r="F38" i="32"/>
  <c r="E38" i="32"/>
  <c r="G38" i="32"/>
  <c r="C68" i="32"/>
  <c r="F68" i="32"/>
  <c r="E68" i="32"/>
  <c r="C61" i="32"/>
  <c r="E61" i="32"/>
  <c r="E36" i="32"/>
  <c r="F36" i="32"/>
  <c r="G36" i="32"/>
  <c r="H36" i="32"/>
  <c r="E23" i="32"/>
  <c r="F23" i="32"/>
  <c r="H23" i="32"/>
  <c r="G41" i="32"/>
  <c r="H52" i="32"/>
  <c r="C52" i="32"/>
  <c r="D52" i="32"/>
  <c r="E52" i="32"/>
  <c r="F52" i="32"/>
  <c r="G52" i="32"/>
  <c r="G10" i="32"/>
  <c r="H10" i="32"/>
  <c r="F84" i="32"/>
  <c r="G84" i="32"/>
  <c r="C54" i="32"/>
  <c r="D54" i="32"/>
  <c r="F54" i="32"/>
  <c r="E54" i="32"/>
  <c r="G54" i="32"/>
  <c r="H54" i="32"/>
  <c r="C77" i="32"/>
  <c r="G56" i="32"/>
  <c r="H56" i="32"/>
  <c r="H46" i="32"/>
  <c r="F24" i="32"/>
  <c r="G15" i="32"/>
  <c r="H15" i="32"/>
  <c r="F15" i="32"/>
  <c r="G75" i="32"/>
  <c r="G46" i="32"/>
  <c r="E24" i="32"/>
  <c r="F76" i="32"/>
  <c r="D76" i="32"/>
  <c r="E39" i="32"/>
  <c r="F39" i="32"/>
  <c r="D39" i="32"/>
  <c r="G39" i="32"/>
  <c r="H39" i="32"/>
  <c r="C19" i="32"/>
  <c r="D19" i="32"/>
  <c r="E19" i="32"/>
  <c r="E32" i="32"/>
  <c r="F32" i="32"/>
  <c r="H49" i="32"/>
  <c r="C63" i="32"/>
  <c r="C29" i="32"/>
  <c r="D29" i="32"/>
  <c r="G29" i="32"/>
  <c r="F29" i="32"/>
  <c r="C45" i="32"/>
  <c r="G45" i="32"/>
  <c r="E30" i="32"/>
  <c r="F30" i="32"/>
  <c r="E62" i="32"/>
  <c r="G62" i="32"/>
  <c r="E55" i="32"/>
  <c r="F55" i="32"/>
  <c r="H55" i="32"/>
  <c r="E17" i="32"/>
  <c r="C70" i="32"/>
  <c r="D70" i="32"/>
  <c r="D17" i="32"/>
  <c r="F17" i="32"/>
  <c r="G17" i="32"/>
  <c r="H17" i="32"/>
  <c r="E71" i="32"/>
  <c r="F71" i="32"/>
  <c r="F79" i="32"/>
  <c r="G72" i="32"/>
  <c r="H72" i="32"/>
  <c r="F47" i="32"/>
  <c r="F40" i="32"/>
  <c r="F22" i="32"/>
  <c r="D11" i="32"/>
  <c r="E47" i="32"/>
  <c r="J4" i="32"/>
  <c r="C22" i="32"/>
  <c r="D22" i="32"/>
  <c r="G40" i="32"/>
  <c r="H40" i="32"/>
  <c r="D69" i="31"/>
  <c r="E69" i="31"/>
  <c r="E68" i="31"/>
  <c r="F68" i="31"/>
  <c r="G68" i="31"/>
  <c r="H68" i="31"/>
  <c r="D25" i="31"/>
  <c r="H25" i="31"/>
  <c r="E25" i="31"/>
  <c r="F25" i="31"/>
  <c r="G25" i="31"/>
  <c r="E36" i="31"/>
  <c r="F36" i="31"/>
  <c r="H36" i="31"/>
  <c r="D36" i="31"/>
  <c r="G36" i="31"/>
  <c r="E64" i="31"/>
  <c r="H64" i="31"/>
  <c r="C64" i="31"/>
  <c r="D64" i="31"/>
  <c r="F64" i="31"/>
  <c r="G64" i="31"/>
  <c r="H15" i="31"/>
  <c r="E15" i="31"/>
  <c r="G73" i="31"/>
  <c r="C30" i="31"/>
  <c r="D30" i="31"/>
  <c r="F30" i="31"/>
  <c r="G30" i="31"/>
  <c r="H30" i="31"/>
  <c r="G33" i="31"/>
  <c r="E33" i="31"/>
  <c r="F33" i="31"/>
  <c r="C33" i="31"/>
  <c r="D33" i="31"/>
  <c r="G81" i="31"/>
  <c r="H81" i="31"/>
  <c r="C81" i="31"/>
  <c r="D81" i="31"/>
  <c r="E81" i="31"/>
  <c r="F81" i="31"/>
  <c r="E32" i="31"/>
  <c r="C32" i="31"/>
  <c r="D32" i="31"/>
  <c r="F32" i="31"/>
  <c r="G32" i="31"/>
  <c r="H32" i="31"/>
  <c r="D73" i="31"/>
  <c r="H73" i="31"/>
  <c r="E73" i="31"/>
  <c r="D12" i="31"/>
  <c r="E12" i="31"/>
  <c r="G12" i="31"/>
  <c r="H12" i="31"/>
  <c r="C15" i="31"/>
  <c r="F15" i="31"/>
  <c r="G15" i="31"/>
  <c r="H69" i="31"/>
  <c r="G69" i="31"/>
  <c r="AI5" i="31"/>
  <c r="F69" i="31"/>
  <c r="C69" i="31"/>
  <c r="H43" i="31"/>
  <c r="F43" i="31"/>
  <c r="G43" i="31"/>
  <c r="C43" i="31"/>
  <c r="D43" i="31"/>
  <c r="E43" i="31"/>
  <c r="D62" i="31"/>
  <c r="E62" i="31"/>
  <c r="F62" i="31"/>
  <c r="C52" i="31"/>
  <c r="D52" i="31"/>
  <c r="E52" i="31"/>
  <c r="F52" i="31"/>
  <c r="G52" i="31"/>
  <c r="H52" i="31"/>
  <c r="H46" i="31"/>
  <c r="F13" i="31"/>
  <c r="G13" i="31"/>
  <c r="H75" i="31"/>
  <c r="F75" i="31"/>
  <c r="G75" i="31"/>
  <c r="F28" i="31"/>
  <c r="G28" i="31"/>
  <c r="H28" i="31"/>
  <c r="C85" i="31"/>
  <c r="G85" i="31"/>
  <c r="H85" i="31"/>
  <c r="E16" i="31"/>
  <c r="F16" i="31"/>
  <c r="G16" i="31"/>
  <c r="G65" i="31"/>
  <c r="H59" i="31"/>
  <c r="E59" i="31"/>
  <c r="F59" i="31"/>
  <c r="F55" i="31"/>
  <c r="D51" i="31"/>
  <c r="E51" i="31"/>
  <c r="G51" i="31"/>
  <c r="H51" i="31"/>
  <c r="E61" i="31"/>
  <c r="H61" i="31"/>
  <c r="G49" i="31"/>
  <c r="H49" i="31"/>
  <c r="F18" i="31"/>
  <c r="G18" i="31"/>
  <c r="D55" i="31"/>
  <c r="E55" i="31"/>
  <c r="G55" i="31"/>
  <c r="H55" i="31"/>
  <c r="C47" i="31"/>
  <c r="D47" i="31"/>
  <c r="E47" i="31"/>
  <c r="H47" i="31"/>
  <c r="F58" i="31"/>
  <c r="G58" i="31"/>
  <c r="H58" i="31"/>
  <c r="H19" i="31"/>
  <c r="D39" i="31"/>
  <c r="E39" i="31"/>
  <c r="F39" i="31"/>
  <c r="G39" i="31"/>
  <c r="G19" i="31"/>
  <c r="G83" i="31"/>
  <c r="H83" i="31"/>
  <c r="H10" i="31"/>
  <c r="G76" i="31"/>
  <c r="F60" i="31"/>
  <c r="G41" i="31"/>
  <c r="F34" i="31"/>
  <c r="G31" i="31"/>
  <c r="D76" i="31"/>
  <c r="F31" i="31"/>
  <c r="H27" i="31"/>
  <c r="C27" i="31"/>
  <c r="D27" i="31"/>
  <c r="D71" i="31"/>
  <c r="E71" i="31"/>
  <c r="E76" i="31"/>
  <c r="F76" i="31"/>
  <c r="C60" i="31"/>
  <c r="D41" i="31"/>
  <c r="H41" i="31"/>
  <c r="G17" i="31"/>
  <c r="C17" i="31"/>
  <c r="D17" i="31"/>
  <c r="D57" i="31"/>
  <c r="H57" i="31"/>
  <c r="F48" i="31"/>
  <c r="D42" i="31"/>
  <c r="D23" i="31"/>
  <c r="E23" i="31"/>
  <c r="A1" i="30"/>
  <c r="P2" i="30"/>
  <c r="J3" i="30" s="1"/>
  <c r="M4" i="30"/>
  <c r="AI4" i="30"/>
  <c r="J5" i="30"/>
  <c r="J6" i="30"/>
  <c r="B10" i="30"/>
  <c r="C10" i="30"/>
  <c r="D10" i="30"/>
  <c r="E10" i="30"/>
  <c r="F10" i="30"/>
  <c r="G10" i="30"/>
  <c r="H10" i="30"/>
  <c r="I10" i="30"/>
  <c r="J10" i="30"/>
  <c r="B11" i="30"/>
  <c r="D11" i="30" s="1"/>
  <c r="C11" i="30"/>
  <c r="E11" i="30"/>
  <c r="F11" i="30"/>
  <c r="G11" i="30"/>
  <c r="H11" i="30"/>
  <c r="I11" i="30"/>
  <c r="J11" i="30"/>
  <c r="B12" i="30"/>
  <c r="C12" i="30" s="1"/>
  <c r="D12" i="30"/>
  <c r="E12" i="30"/>
  <c r="F12" i="30"/>
  <c r="G12" i="30"/>
  <c r="H12" i="30"/>
  <c r="I12" i="30"/>
  <c r="J12" i="30"/>
  <c r="B13" i="30"/>
  <c r="C13" i="30"/>
  <c r="D13" i="30"/>
  <c r="E13" i="30"/>
  <c r="F13" i="30"/>
  <c r="G13" i="30"/>
  <c r="H13" i="30"/>
  <c r="I13" i="30"/>
  <c r="J13" i="30"/>
  <c r="B14" i="30"/>
  <c r="C14" i="30" s="1"/>
  <c r="E14" i="30"/>
  <c r="F14" i="30"/>
  <c r="G14" i="30"/>
  <c r="H14" i="30"/>
  <c r="I14" i="30"/>
  <c r="J14" i="30"/>
  <c r="B15" i="30"/>
  <c r="I15" i="30"/>
  <c r="J15" i="30"/>
  <c r="B16" i="30"/>
  <c r="C16" i="30"/>
  <c r="D16" i="30"/>
  <c r="I16" i="30"/>
  <c r="J16" i="30"/>
  <c r="B17" i="30"/>
  <c r="C17" i="30" s="1"/>
  <c r="I17" i="30"/>
  <c r="J17" i="30"/>
  <c r="B18" i="30"/>
  <c r="C18" i="30"/>
  <c r="D18" i="30"/>
  <c r="E18" i="30"/>
  <c r="F18" i="30"/>
  <c r="G18" i="30"/>
  <c r="H18" i="30"/>
  <c r="I18" i="30"/>
  <c r="J18" i="30"/>
  <c r="B19" i="30"/>
  <c r="C19" i="30"/>
  <c r="D19" i="30"/>
  <c r="E19" i="30"/>
  <c r="F19" i="30"/>
  <c r="G19" i="30"/>
  <c r="H19" i="30"/>
  <c r="I19" i="30"/>
  <c r="J19" i="30"/>
  <c r="B20" i="30"/>
  <c r="C20" i="30"/>
  <c r="D20" i="30"/>
  <c r="E20" i="30"/>
  <c r="F20" i="30"/>
  <c r="I20" i="30"/>
  <c r="J20" i="30"/>
  <c r="B21" i="30"/>
  <c r="C21" i="30"/>
  <c r="D21" i="30"/>
  <c r="E21" i="30"/>
  <c r="F21" i="30"/>
  <c r="G21" i="30"/>
  <c r="H21" i="30"/>
  <c r="I21" i="30"/>
  <c r="J21" i="30"/>
  <c r="B22" i="30"/>
  <c r="F22" i="30" s="1"/>
  <c r="E22" i="30"/>
  <c r="H22" i="30"/>
  <c r="I22" i="30"/>
  <c r="J22" i="30"/>
  <c r="B23" i="30"/>
  <c r="C23" i="30"/>
  <c r="D23" i="30"/>
  <c r="G23" i="30"/>
  <c r="H23" i="30"/>
  <c r="I23" i="30"/>
  <c r="J23" i="30"/>
  <c r="B24" i="30"/>
  <c r="C24" i="30" s="1"/>
  <c r="I24" i="30"/>
  <c r="J24" i="30"/>
  <c r="B25" i="30"/>
  <c r="I25" i="30"/>
  <c r="J25" i="30"/>
  <c r="B26" i="30"/>
  <c r="C26" i="30"/>
  <c r="D26" i="30"/>
  <c r="E26" i="30"/>
  <c r="F26" i="30"/>
  <c r="G26" i="30"/>
  <c r="H26" i="30"/>
  <c r="I26" i="30"/>
  <c r="J26" i="30"/>
  <c r="B27" i="30"/>
  <c r="C27" i="30"/>
  <c r="D27" i="30"/>
  <c r="E27" i="30"/>
  <c r="F27" i="30"/>
  <c r="G27" i="30"/>
  <c r="H27" i="30"/>
  <c r="I27" i="30"/>
  <c r="J27" i="30"/>
  <c r="B28" i="30"/>
  <c r="C28" i="30" s="1"/>
  <c r="D28" i="30"/>
  <c r="E28" i="30"/>
  <c r="F28" i="30"/>
  <c r="G28" i="30"/>
  <c r="H28" i="30"/>
  <c r="I28" i="30"/>
  <c r="J28" i="30"/>
  <c r="B29" i="30"/>
  <c r="C29" i="30"/>
  <c r="D29" i="30"/>
  <c r="E29" i="30"/>
  <c r="F29" i="30"/>
  <c r="G29" i="30"/>
  <c r="H29" i="30"/>
  <c r="I29" i="30"/>
  <c r="J29" i="30"/>
  <c r="B30" i="30"/>
  <c r="C30" i="30" s="1"/>
  <c r="E30" i="30"/>
  <c r="F30" i="30"/>
  <c r="G30" i="30"/>
  <c r="H30" i="30"/>
  <c r="I30" i="30"/>
  <c r="J30" i="30"/>
  <c r="B31" i="30"/>
  <c r="I31" i="30"/>
  <c r="J31" i="30"/>
  <c r="B32" i="30"/>
  <c r="D32" i="30" s="1"/>
  <c r="C32" i="30"/>
  <c r="I32" i="30"/>
  <c r="J32" i="30"/>
  <c r="B33" i="30"/>
  <c r="C33" i="30"/>
  <c r="D33" i="30"/>
  <c r="E33" i="30"/>
  <c r="I33" i="30"/>
  <c r="J33" i="30"/>
  <c r="B34" i="30"/>
  <c r="H34" i="30"/>
  <c r="I34" i="30"/>
  <c r="J34" i="30"/>
  <c r="B35" i="30"/>
  <c r="C35" i="30" s="1"/>
  <c r="E35" i="30"/>
  <c r="F35" i="30"/>
  <c r="G35" i="30"/>
  <c r="H35" i="30"/>
  <c r="I35" i="30"/>
  <c r="J35" i="30"/>
  <c r="B36" i="30"/>
  <c r="C36" i="30" s="1"/>
  <c r="F36" i="30"/>
  <c r="G36" i="30"/>
  <c r="H36" i="30"/>
  <c r="I36" i="30"/>
  <c r="J36" i="30"/>
  <c r="B37" i="30"/>
  <c r="C37" i="30"/>
  <c r="D37" i="30"/>
  <c r="E37" i="30"/>
  <c r="F37" i="30"/>
  <c r="G37" i="30"/>
  <c r="H37" i="30"/>
  <c r="I37" i="30"/>
  <c r="J37" i="30"/>
  <c r="B38" i="30"/>
  <c r="E38" i="30" s="1"/>
  <c r="I38" i="30"/>
  <c r="J38" i="30"/>
  <c r="B39" i="30"/>
  <c r="C39" i="30" s="1"/>
  <c r="D39" i="30"/>
  <c r="I39" i="30"/>
  <c r="J39" i="30"/>
  <c r="B40" i="30"/>
  <c r="C40" i="30"/>
  <c r="D40" i="30"/>
  <c r="E40" i="30"/>
  <c r="F40" i="30"/>
  <c r="I40" i="30"/>
  <c r="J40" i="30"/>
  <c r="B41" i="30"/>
  <c r="C41" i="30"/>
  <c r="D41" i="30"/>
  <c r="E41" i="30"/>
  <c r="F41" i="30"/>
  <c r="G41" i="30"/>
  <c r="H41" i="30"/>
  <c r="I41" i="30"/>
  <c r="J41" i="30"/>
  <c r="B42" i="30"/>
  <c r="C42" i="30" s="1"/>
  <c r="D42" i="30"/>
  <c r="E42" i="30"/>
  <c r="F42" i="30"/>
  <c r="G42" i="30"/>
  <c r="H42" i="30"/>
  <c r="I42" i="30"/>
  <c r="J42" i="30"/>
  <c r="B43" i="30"/>
  <c r="C43" i="30"/>
  <c r="D43" i="30"/>
  <c r="E43" i="30"/>
  <c r="F43" i="30"/>
  <c r="G43" i="30"/>
  <c r="H43" i="30"/>
  <c r="I43" i="30"/>
  <c r="J43" i="30"/>
  <c r="B44" i="30"/>
  <c r="E44" i="30"/>
  <c r="F44" i="30"/>
  <c r="G44" i="30"/>
  <c r="H44" i="30"/>
  <c r="I44" i="30"/>
  <c r="J44" i="30"/>
  <c r="B45" i="30"/>
  <c r="C45" i="30"/>
  <c r="D45" i="30"/>
  <c r="E45" i="30"/>
  <c r="F45" i="30"/>
  <c r="G45" i="30"/>
  <c r="H45" i="30"/>
  <c r="I45" i="30"/>
  <c r="J45" i="30"/>
  <c r="B46" i="30"/>
  <c r="F46" i="30"/>
  <c r="G46" i="30"/>
  <c r="H46" i="30"/>
  <c r="I46" i="30"/>
  <c r="J46" i="30"/>
  <c r="B47" i="30"/>
  <c r="I47" i="30"/>
  <c r="J47" i="30"/>
  <c r="B48" i="30"/>
  <c r="C48" i="30" s="1"/>
  <c r="I48" i="30"/>
  <c r="J48" i="30"/>
  <c r="B49" i="30"/>
  <c r="C49" i="30"/>
  <c r="D49" i="30"/>
  <c r="E49" i="30"/>
  <c r="I49" i="30"/>
  <c r="J49" i="30"/>
  <c r="B50" i="30"/>
  <c r="C50" i="30" s="1"/>
  <c r="I50" i="30"/>
  <c r="J50" i="30"/>
  <c r="B51" i="30"/>
  <c r="C51" i="30" s="1"/>
  <c r="E51" i="30"/>
  <c r="I51" i="30"/>
  <c r="J51" i="30"/>
  <c r="B52" i="30"/>
  <c r="C52" i="30"/>
  <c r="D52" i="30"/>
  <c r="E52" i="30"/>
  <c r="F52" i="30"/>
  <c r="G52" i="30"/>
  <c r="H52" i="30"/>
  <c r="I52" i="30"/>
  <c r="J52" i="30"/>
  <c r="B53" i="30"/>
  <c r="C53" i="30"/>
  <c r="D53" i="30"/>
  <c r="E53" i="30"/>
  <c r="F53" i="30"/>
  <c r="G53" i="30"/>
  <c r="H53" i="30"/>
  <c r="I53" i="30"/>
  <c r="J53" i="30"/>
  <c r="B54" i="30"/>
  <c r="E54" i="30"/>
  <c r="F54" i="30"/>
  <c r="G54" i="30"/>
  <c r="I54" i="30"/>
  <c r="J54" i="30"/>
  <c r="B55" i="30"/>
  <c r="C55" i="30"/>
  <c r="D55" i="30"/>
  <c r="G55" i="30"/>
  <c r="I55" i="30"/>
  <c r="J55" i="30"/>
  <c r="B56" i="30"/>
  <c r="C56" i="30" s="1"/>
  <c r="E56" i="30"/>
  <c r="I56" i="30"/>
  <c r="J56" i="30"/>
  <c r="B57" i="30"/>
  <c r="E57" i="30"/>
  <c r="F57" i="30"/>
  <c r="G57" i="30"/>
  <c r="H57" i="30"/>
  <c r="I57" i="30"/>
  <c r="J57" i="30"/>
  <c r="B58" i="30"/>
  <c r="C58" i="30"/>
  <c r="D58" i="30"/>
  <c r="E58" i="30"/>
  <c r="F58" i="30"/>
  <c r="G58" i="30"/>
  <c r="H58" i="30"/>
  <c r="I58" i="30"/>
  <c r="J58" i="30"/>
  <c r="B59" i="30"/>
  <c r="C59" i="30" s="1"/>
  <c r="D59" i="30"/>
  <c r="E59" i="30"/>
  <c r="F59" i="30"/>
  <c r="G59" i="30"/>
  <c r="H59" i="30"/>
  <c r="I59" i="30"/>
  <c r="J59" i="30"/>
  <c r="B60" i="30"/>
  <c r="E60" i="30"/>
  <c r="F60" i="30"/>
  <c r="G60" i="30"/>
  <c r="H60" i="30"/>
  <c r="I60" i="30"/>
  <c r="J60" i="30"/>
  <c r="B61" i="30"/>
  <c r="E61" i="30"/>
  <c r="F61" i="30"/>
  <c r="G61" i="30"/>
  <c r="H61" i="30"/>
  <c r="I61" i="30"/>
  <c r="J61" i="30"/>
  <c r="B62" i="30"/>
  <c r="D62" i="30" s="1"/>
  <c r="C62" i="30"/>
  <c r="E62" i="30"/>
  <c r="F62" i="30"/>
  <c r="G62" i="30"/>
  <c r="H62" i="30"/>
  <c r="I62" i="30"/>
  <c r="J62" i="30"/>
  <c r="B63" i="30"/>
  <c r="I63" i="30"/>
  <c r="J63" i="30"/>
  <c r="B64" i="30"/>
  <c r="C64" i="30" s="1"/>
  <c r="D64" i="30"/>
  <c r="I64" i="30"/>
  <c r="J64" i="30"/>
  <c r="B65" i="30"/>
  <c r="C65" i="30" s="1"/>
  <c r="E65" i="30"/>
  <c r="F65" i="30"/>
  <c r="I65" i="30"/>
  <c r="J65" i="30"/>
  <c r="B66" i="30"/>
  <c r="I66" i="30"/>
  <c r="J66" i="30"/>
  <c r="B67" i="30"/>
  <c r="G67" i="30"/>
  <c r="H67" i="30"/>
  <c r="I67" i="30"/>
  <c r="J67" i="30"/>
  <c r="B68" i="30"/>
  <c r="C68" i="30" s="1"/>
  <c r="E68" i="30"/>
  <c r="I68" i="30"/>
  <c r="J68" i="30"/>
  <c r="B69" i="30"/>
  <c r="C69" i="30"/>
  <c r="D69" i="30"/>
  <c r="E69" i="30"/>
  <c r="F69" i="30"/>
  <c r="G69" i="30"/>
  <c r="H69" i="30"/>
  <c r="I69" i="30"/>
  <c r="J69" i="30"/>
  <c r="B70" i="30"/>
  <c r="G70" i="30"/>
  <c r="H70" i="30"/>
  <c r="I70" i="30"/>
  <c r="J70" i="30"/>
  <c r="B71" i="30"/>
  <c r="C71" i="30" s="1"/>
  <c r="G71" i="30"/>
  <c r="I71" i="30"/>
  <c r="J71" i="30"/>
  <c r="B72" i="30"/>
  <c r="C72" i="30"/>
  <c r="D72" i="30"/>
  <c r="E72" i="30"/>
  <c r="I72" i="30"/>
  <c r="J72" i="30"/>
  <c r="B73" i="30"/>
  <c r="F73" i="30" s="1"/>
  <c r="C73" i="30"/>
  <c r="D73" i="30"/>
  <c r="E73" i="30"/>
  <c r="H73" i="30"/>
  <c r="I73" i="30"/>
  <c r="J73" i="30"/>
  <c r="B74" i="30"/>
  <c r="C74" i="30"/>
  <c r="D74" i="30"/>
  <c r="E74" i="30"/>
  <c r="F74" i="30"/>
  <c r="G74" i="30"/>
  <c r="H74" i="30"/>
  <c r="I74" i="30"/>
  <c r="J74" i="30"/>
  <c r="B75" i="30"/>
  <c r="C75" i="30"/>
  <c r="D75" i="30"/>
  <c r="E75" i="30"/>
  <c r="F75" i="30"/>
  <c r="G75" i="30"/>
  <c r="H75" i="30"/>
  <c r="I75" i="30"/>
  <c r="J75" i="30"/>
  <c r="B76" i="30"/>
  <c r="E76" i="30"/>
  <c r="F76" i="30"/>
  <c r="G76" i="30"/>
  <c r="H76" i="30"/>
  <c r="I76" i="30"/>
  <c r="J76" i="30"/>
  <c r="B77" i="30"/>
  <c r="C77" i="30"/>
  <c r="D77" i="30"/>
  <c r="E77" i="30"/>
  <c r="F77" i="30"/>
  <c r="G77" i="30"/>
  <c r="H77" i="30"/>
  <c r="I77" i="30"/>
  <c r="J77" i="30"/>
  <c r="B78" i="30"/>
  <c r="D78" i="30" s="1"/>
  <c r="C78" i="30"/>
  <c r="E78" i="30"/>
  <c r="F78" i="30"/>
  <c r="G78" i="30"/>
  <c r="H78" i="30"/>
  <c r="I78" i="30"/>
  <c r="J78" i="30"/>
  <c r="B79" i="30"/>
  <c r="I79" i="30"/>
  <c r="J79" i="30"/>
  <c r="B80" i="30"/>
  <c r="C80" i="30" s="1"/>
  <c r="I80" i="30"/>
  <c r="J80" i="30"/>
  <c r="B81" i="30"/>
  <c r="D81" i="30" s="1"/>
  <c r="C81" i="30"/>
  <c r="E81" i="30"/>
  <c r="F81" i="30"/>
  <c r="I81" i="30"/>
  <c r="J81" i="30"/>
  <c r="B82" i="30"/>
  <c r="C82" i="30"/>
  <c r="D82" i="30"/>
  <c r="E82" i="30"/>
  <c r="F82" i="30"/>
  <c r="G82" i="30"/>
  <c r="H82" i="30"/>
  <c r="I82" i="30"/>
  <c r="J82" i="30"/>
  <c r="B83" i="30"/>
  <c r="I83" i="30"/>
  <c r="J83" i="30"/>
  <c r="B84" i="30"/>
  <c r="I84" i="30"/>
  <c r="J84" i="30"/>
  <c r="B85" i="30"/>
  <c r="C85" i="30"/>
  <c r="D85" i="30"/>
  <c r="E85" i="30"/>
  <c r="F85" i="30"/>
  <c r="G85" i="30"/>
  <c r="H85" i="30"/>
  <c r="I85" i="30"/>
  <c r="J85" i="30"/>
  <c r="A1" i="29"/>
  <c r="P2" i="29"/>
  <c r="M4" i="29"/>
  <c r="AI4" i="29"/>
  <c r="J5" i="29"/>
  <c r="J6" i="29"/>
  <c r="B10" i="29"/>
  <c r="G10" i="29"/>
  <c r="H10" i="29"/>
  <c r="I10" i="29"/>
  <c r="J10" i="29"/>
  <c r="B11" i="29"/>
  <c r="E11" i="29" s="1"/>
  <c r="C11" i="29"/>
  <c r="D11" i="29"/>
  <c r="F11" i="29"/>
  <c r="G11" i="29"/>
  <c r="H11" i="29"/>
  <c r="I11" i="29"/>
  <c r="J11" i="29"/>
  <c r="B12" i="29"/>
  <c r="F12" i="29"/>
  <c r="G12" i="29"/>
  <c r="H12" i="29"/>
  <c r="I12" i="29"/>
  <c r="J12" i="29"/>
  <c r="B13" i="29"/>
  <c r="C13" i="29" s="1"/>
  <c r="E13" i="29"/>
  <c r="F13" i="29"/>
  <c r="G13" i="29"/>
  <c r="H13" i="29"/>
  <c r="I13" i="29"/>
  <c r="J13" i="29"/>
  <c r="B14" i="29"/>
  <c r="G14" i="29"/>
  <c r="H14" i="29"/>
  <c r="I14" i="29"/>
  <c r="J14" i="29"/>
  <c r="B15" i="29"/>
  <c r="I15" i="29"/>
  <c r="J15" i="29"/>
  <c r="B16" i="29"/>
  <c r="C16" i="29" s="1"/>
  <c r="I16" i="29"/>
  <c r="J16" i="29"/>
  <c r="B17" i="29"/>
  <c r="I17" i="29"/>
  <c r="J17" i="29"/>
  <c r="B18" i="29"/>
  <c r="C18" i="29"/>
  <c r="D18" i="29"/>
  <c r="E18" i="29"/>
  <c r="F18" i="29"/>
  <c r="G18" i="29"/>
  <c r="H18" i="29"/>
  <c r="I18" i="29"/>
  <c r="J18" i="29"/>
  <c r="B19" i="29"/>
  <c r="F19" i="29"/>
  <c r="G19" i="29"/>
  <c r="H19" i="29"/>
  <c r="I19" i="29"/>
  <c r="J19" i="29"/>
  <c r="B20" i="29"/>
  <c r="D20" i="29"/>
  <c r="E20" i="29"/>
  <c r="F20" i="29"/>
  <c r="G20" i="29"/>
  <c r="I20" i="29"/>
  <c r="J20" i="29"/>
  <c r="B21" i="29"/>
  <c r="H21" i="29" s="1"/>
  <c r="C21" i="29"/>
  <c r="D21" i="29"/>
  <c r="E21" i="29"/>
  <c r="F21" i="29"/>
  <c r="G21" i="29"/>
  <c r="I21" i="29"/>
  <c r="J21" i="29"/>
  <c r="B22" i="29"/>
  <c r="C22" i="29"/>
  <c r="D22" i="29"/>
  <c r="E22" i="29"/>
  <c r="F22" i="29"/>
  <c r="G22" i="29"/>
  <c r="H22" i="29"/>
  <c r="I22" i="29"/>
  <c r="J22" i="29"/>
  <c r="B23" i="29"/>
  <c r="D23" i="29" s="1"/>
  <c r="C23" i="29"/>
  <c r="E23" i="29"/>
  <c r="F23" i="29"/>
  <c r="G23" i="29"/>
  <c r="H23" i="29"/>
  <c r="I23" i="29"/>
  <c r="J23" i="29"/>
  <c r="B24" i="29"/>
  <c r="F24" i="29" s="1"/>
  <c r="G24" i="29"/>
  <c r="I24" i="29"/>
  <c r="J24" i="29"/>
  <c r="B25" i="29"/>
  <c r="C25" i="29" s="1"/>
  <c r="D25" i="29"/>
  <c r="E25" i="29"/>
  <c r="F25" i="29"/>
  <c r="G25" i="29"/>
  <c r="I25" i="29"/>
  <c r="J25" i="29"/>
  <c r="B26" i="29"/>
  <c r="C26" i="29" s="1"/>
  <c r="D26" i="29"/>
  <c r="E26" i="29"/>
  <c r="F26" i="29"/>
  <c r="G26" i="29"/>
  <c r="H26" i="29"/>
  <c r="I26" i="29"/>
  <c r="J26" i="29"/>
  <c r="B27" i="29"/>
  <c r="E27" i="29" s="1"/>
  <c r="C27" i="29"/>
  <c r="D27" i="29"/>
  <c r="F27" i="29"/>
  <c r="G27" i="29"/>
  <c r="H27" i="29"/>
  <c r="I27" i="29"/>
  <c r="J27" i="29"/>
  <c r="B28" i="29"/>
  <c r="C28" i="29" s="1"/>
  <c r="D28" i="29"/>
  <c r="E28" i="29"/>
  <c r="F28" i="29"/>
  <c r="G28" i="29"/>
  <c r="H28" i="29"/>
  <c r="I28" i="29"/>
  <c r="J28" i="29"/>
  <c r="B29" i="29"/>
  <c r="C29" i="29" s="1"/>
  <c r="E29" i="29"/>
  <c r="F29" i="29"/>
  <c r="G29" i="29"/>
  <c r="H29" i="29"/>
  <c r="I29" i="29"/>
  <c r="J29" i="29"/>
  <c r="B30" i="29"/>
  <c r="E30" i="29" s="1"/>
  <c r="C30" i="29"/>
  <c r="D30" i="29"/>
  <c r="G30" i="29"/>
  <c r="H30" i="29"/>
  <c r="I30" i="29"/>
  <c r="J30" i="29"/>
  <c r="B31" i="29"/>
  <c r="I31" i="29"/>
  <c r="J31" i="29"/>
  <c r="B32" i="29"/>
  <c r="C32" i="29"/>
  <c r="D32" i="29"/>
  <c r="I32" i="29"/>
  <c r="J32" i="29"/>
  <c r="B33" i="29"/>
  <c r="C33" i="29"/>
  <c r="D33" i="29"/>
  <c r="E33" i="29"/>
  <c r="F33" i="29"/>
  <c r="I33" i="29"/>
  <c r="J33" i="29"/>
  <c r="B34" i="29"/>
  <c r="C34" i="29" s="1"/>
  <c r="D34" i="29"/>
  <c r="E34" i="29"/>
  <c r="I34" i="29"/>
  <c r="J34" i="29"/>
  <c r="B35" i="29"/>
  <c r="C35" i="29"/>
  <c r="D35" i="29"/>
  <c r="E35" i="29"/>
  <c r="F35" i="29"/>
  <c r="G35" i="29"/>
  <c r="H35" i="29"/>
  <c r="I35" i="29"/>
  <c r="J35" i="29"/>
  <c r="B36" i="29"/>
  <c r="E36" i="29"/>
  <c r="F36" i="29"/>
  <c r="G36" i="29"/>
  <c r="H36" i="29"/>
  <c r="I36" i="29"/>
  <c r="J36" i="29"/>
  <c r="B37" i="29"/>
  <c r="C37" i="29"/>
  <c r="D37" i="29"/>
  <c r="E37" i="29"/>
  <c r="F37" i="29"/>
  <c r="G37" i="29"/>
  <c r="H37" i="29"/>
  <c r="I37" i="29"/>
  <c r="J37" i="29"/>
  <c r="B38" i="29"/>
  <c r="C38" i="29"/>
  <c r="D38" i="29"/>
  <c r="E38" i="29"/>
  <c r="F38" i="29"/>
  <c r="G38" i="29"/>
  <c r="H38" i="29"/>
  <c r="I38" i="29"/>
  <c r="J38" i="29"/>
  <c r="B39" i="29"/>
  <c r="C39" i="29" s="1"/>
  <c r="I39" i="29"/>
  <c r="J39" i="29"/>
  <c r="B40" i="29"/>
  <c r="F40" i="29" s="1"/>
  <c r="G40" i="29"/>
  <c r="H40" i="29"/>
  <c r="I40" i="29"/>
  <c r="J40" i="29"/>
  <c r="B41" i="29"/>
  <c r="I41" i="29"/>
  <c r="J41" i="29"/>
  <c r="B42" i="29"/>
  <c r="D42" i="29" s="1"/>
  <c r="E42" i="29"/>
  <c r="F42" i="29"/>
  <c r="G42" i="29"/>
  <c r="H42" i="29"/>
  <c r="I42" i="29"/>
  <c r="J42" i="29"/>
  <c r="B43" i="29"/>
  <c r="G43" i="29"/>
  <c r="H43" i="29"/>
  <c r="I43" i="29"/>
  <c r="J43" i="29"/>
  <c r="B44" i="29"/>
  <c r="C44" i="29" s="1"/>
  <c r="D44" i="29"/>
  <c r="E44" i="29"/>
  <c r="F44" i="29"/>
  <c r="G44" i="29"/>
  <c r="H44" i="29"/>
  <c r="I44" i="29"/>
  <c r="J44" i="29"/>
  <c r="B45" i="29"/>
  <c r="C45" i="29" s="1"/>
  <c r="E45" i="29"/>
  <c r="F45" i="29"/>
  <c r="G45" i="29"/>
  <c r="H45" i="29"/>
  <c r="I45" i="29"/>
  <c r="J45" i="29"/>
  <c r="B46" i="29"/>
  <c r="E46" i="29" s="1"/>
  <c r="C46" i="29"/>
  <c r="D46" i="29"/>
  <c r="G46" i="29"/>
  <c r="H46" i="29"/>
  <c r="I46" i="29"/>
  <c r="J46" i="29"/>
  <c r="B47" i="29"/>
  <c r="I47" i="29"/>
  <c r="J47" i="29"/>
  <c r="B48" i="29"/>
  <c r="C48" i="29" s="1"/>
  <c r="D48" i="29"/>
  <c r="I48" i="29"/>
  <c r="J48" i="29"/>
  <c r="B49" i="29"/>
  <c r="C49" i="29"/>
  <c r="D49" i="29"/>
  <c r="E49" i="29"/>
  <c r="F49" i="29"/>
  <c r="I49" i="29"/>
  <c r="J49" i="29"/>
  <c r="B50" i="29"/>
  <c r="E50" i="29"/>
  <c r="F50" i="29"/>
  <c r="H50" i="29"/>
  <c r="I50" i="29"/>
  <c r="J50" i="29"/>
  <c r="B51" i="29"/>
  <c r="E51" i="29"/>
  <c r="G51" i="29"/>
  <c r="H51" i="29"/>
  <c r="I51" i="29"/>
  <c r="J51" i="29"/>
  <c r="B52" i="29"/>
  <c r="C52" i="29"/>
  <c r="D52" i="29"/>
  <c r="E52" i="29"/>
  <c r="F52" i="29"/>
  <c r="G52" i="29"/>
  <c r="H52" i="29"/>
  <c r="I52" i="29"/>
  <c r="J52" i="29"/>
  <c r="B53" i="29"/>
  <c r="E53" i="29"/>
  <c r="F53" i="29"/>
  <c r="G53" i="29"/>
  <c r="H53" i="29"/>
  <c r="I53" i="29"/>
  <c r="J53" i="29"/>
  <c r="B54" i="29"/>
  <c r="C54" i="29"/>
  <c r="D54" i="29"/>
  <c r="E54" i="29"/>
  <c r="F54" i="29"/>
  <c r="G54" i="29"/>
  <c r="H54" i="29"/>
  <c r="I54" i="29"/>
  <c r="J54" i="29"/>
  <c r="B55" i="29"/>
  <c r="E55" i="29"/>
  <c r="F55" i="29"/>
  <c r="G55" i="29"/>
  <c r="H55" i="29"/>
  <c r="I55" i="29"/>
  <c r="J55" i="29"/>
  <c r="B56" i="29"/>
  <c r="F56" i="29" s="1"/>
  <c r="C56" i="29"/>
  <c r="D56" i="29"/>
  <c r="E56" i="29"/>
  <c r="I56" i="29"/>
  <c r="J56" i="29"/>
  <c r="B57" i="29"/>
  <c r="E57" i="29" s="1"/>
  <c r="C57" i="29"/>
  <c r="D57" i="29"/>
  <c r="G57" i="29"/>
  <c r="I57" i="29"/>
  <c r="J57" i="29"/>
  <c r="B58" i="29"/>
  <c r="C58" i="29" s="1"/>
  <c r="D58" i="29"/>
  <c r="E58" i="29"/>
  <c r="F58" i="29"/>
  <c r="G58" i="29"/>
  <c r="H58" i="29"/>
  <c r="I58" i="29"/>
  <c r="J58" i="29"/>
  <c r="B59" i="29"/>
  <c r="D59" i="29" s="1"/>
  <c r="C59" i="29"/>
  <c r="F59" i="29"/>
  <c r="G59" i="29"/>
  <c r="H59" i="29"/>
  <c r="I59" i="29"/>
  <c r="J59" i="29"/>
  <c r="B60" i="29"/>
  <c r="C60" i="29" s="1"/>
  <c r="D60" i="29"/>
  <c r="E60" i="29"/>
  <c r="F60" i="29"/>
  <c r="G60" i="29"/>
  <c r="H60" i="29"/>
  <c r="I60" i="29"/>
  <c r="J60" i="29"/>
  <c r="B61" i="29"/>
  <c r="C61" i="29" s="1"/>
  <c r="E61" i="29"/>
  <c r="F61" i="29"/>
  <c r="G61" i="29"/>
  <c r="H61" i="29"/>
  <c r="I61" i="29"/>
  <c r="J61" i="29"/>
  <c r="B62" i="29"/>
  <c r="D62" i="29"/>
  <c r="G62" i="29"/>
  <c r="H62" i="29"/>
  <c r="I62" i="29"/>
  <c r="J62" i="29"/>
  <c r="B63" i="29"/>
  <c r="I63" i="29"/>
  <c r="J63" i="29"/>
  <c r="B64" i="29"/>
  <c r="C64" i="29" s="1"/>
  <c r="I64" i="29"/>
  <c r="J64" i="29"/>
  <c r="B65" i="29"/>
  <c r="C65" i="29"/>
  <c r="D65" i="29"/>
  <c r="E65" i="29"/>
  <c r="F65" i="29"/>
  <c r="I65" i="29"/>
  <c r="J65" i="29"/>
  <c r="B66" i="29"/>
  <c r="E66" i="29"/>
  <c r="F66" i="29"/>
  <c r="G66" i="29"/>
  <c r="H66" i="29"/>
  <c r="I66" i="29"/>
  <c r="J66" i="29"/>
  <c r="B67" i="29"/>
  <c r="C67" i="29" s="1"/>
  <c r="D67" i="29"/>
  <c r="E67" i="29"/>
  <c r="F67" i="29"/>
  <c r="H67" i="29"/>
  <c r="I67" i="29"/>
  <c r="J67" i="29"/>
  <c r="B68" i="29"/>
  <c r="C68" i="29"/>
  <c r="I68" i="29"/>
  <c r="J68" i="29"/>
  <c r="B69" i="29"/>
  <c r="F69" i="29" s="1"/>
  <c r="G69" i="29"/>
  <c r="H69" i="29"/>
  <c r="I69" i="29"/>
  <c r="J69" i="29"/>
  <c r="B70" i="29"/>
  <c r="C70" i="29"/>
  <c r="D70" i="29"/>
  <c r="E70" i="29"/>
  <c r="F70" i="29"/>
  <c r="G70" i="29"/>
  <c r="H70" i="29"/>
  <c r="I70" i="29"/>
  <c r="J70" i="29"/>
  <c r="B71" i="29"/>
  <c r="D71" i="29" s="1"/>
  <c r="C71" i="29"/>
  <c r="E71" i="29"/>
  <c r="F71" i="29"/>
  <c r="G71" i="29"/>
  <c r="H71" i="29"/>
  <c r="I71" i="29"/>
  <c r="J71" i="29"/>
  <c r="B72" i="29"/>
  <c r="E72" i="29"/>
  <c r="G72" i="29"/>
  <c r="H72" i="29"/>
  <c r="I72" i="29"/>
  <c r="J72" i="29"/>
  <c r="B73" i="29"/>
  <c r="G73" i="29"/>
  <c r="I73" i="29"/>
  <c r="J73" i="29"/>
  <c r="B74" i="29"/>
  <c r="E74" i="29"/>
  <c r="F74" i="29"/>
  <c r="G74" i="29"/>
  <c r="H74" i="29"/>
  <c r="I74" i="29"/>
  <c r="J74" i="29"/>
  <c r="B75" i="29"/>
  <c r="D75" i="29" s="1"/>
  <c r="C75" i="29"/>
  <c r="F75" i="29"/>
  <c r="G75" i="29"/>
  <c r="H75" i="29"/>
  <c r="I75" i="29"/>
  <c r="J75" i="29"/>
  <c r="B76" i="29"/>
  <c r="C76" i="29"/>
  <c r="D76" i="29"/>
  <c r="E76" i="29"/>
  <c r="F76" i="29"/>
  <c r="G76" i="29"/>
  <c r="H76" i="29"/>
  <c r="I76" i="29"/>
  <c r="J76" i="29"/>
  <c r="B77" i="29"/>
  <c r="F77" i="29"/>
  <c r="G77" i="29"/>
  <c r="H77" i="29"/>
  <c r="I77" i="29"/>
  <c r="J77" i="29"/>
  <c r="B78" i="29"/>
  <c r="D78" i="29"/>
  <c r="G78" i="29"/>
  <c r="H78" i="29"/>
  <c r="I78" i="29"/>
  <c r="J78" i="29"/>
  <c r="B79" i="29"/>
  <c r="I79" i="29"/>
  <c r="J79" i="29"/>
  <c r="B80" i="29"/>
  <c r="C80" i="29" s="1"/>
  <c r="D80" i="29"/>
  <c r="I80" i="29"/>
  <c r="J80" i="29"/>
  <c r="B81" i="29"/>
  <c r="C81" i="29" s="1"/>
  <c r="F81" i="29"/>
  <c r="I81" i="29"/>
  <c r="J81" i="29"/>
  <c r="B82" i="29"/>
  <c r="G82" i="29"/>
  <c r="H82" i="29"/>
  <c r="I82" i="29"/>
  <c r="J82" i="29"/>
  <c r="B83" i="29"/>
  <c r="C83" i="29" s="1"/>
  <c r="D83" i="29"/>
  <c r="E83" i="29"/>
  <c r="F83" i="29"/>
  <c r="G83" i="29"/>
  <c r="H83" i="29"/>
  <c r="I83" i="29"/>
  <c r="J83" i="29"/>
  <c r="B84" i="29"/>
  <c r="C84" i="29"/>
  <c r="D84" i="29"/>
  <c r="E84" i="29"/>
  <c r="F84" i="29"/>
  <c r="G84" i="29"/>
  <c r="H84" i="29"/>
  <c r="I84" i="29"/>
  <c r="J84" i="29"/>
  <c r="B85" i="29"/>
  <c r="F85" i="29" s="1"/>
  <c r="C85" i="29"/>
  <c r="D85" i="29"/>
  <c r="E85" i="29"/>
  <c r="I85" i="29"/>
  <c r="J85" i="29"/>
  <c r="A1" i="27"/>
  <c r="B10" i="27"/>
  <c r="F10" i="27"/>
  <c r="I10" i="27"/>
  <c r="J10" i="27"/>
  <c r="B11" i="27"/>
  <c r="F11" i="27"/>
  <c r="G11" i="27"/>
  <c r="I11" i="27"/>
  <c r="J11" i="27"/>
  <c r="B12" i="27"/>
  <c r="C12" i="27"/>
  <c r="D12" i="27"/>
  <c r="H12" i="27"/>
  <c r="I12" i="27"/>
  <c r="J12" i="27"/>
  <c r="B13" i="27"/>
  <c r="I13" i="27"/>
  <c r="J13" i="27"/>
  <c r="B14" i="27"/>
  <c r="D14" i="27"/>
  <c r="F14" i="27"/>
  <c r="G14" i="27"/>
  <c r="I14" i="27"/>
  <c r="J14" i="27"/>
  <c r="B15" i="27"/>
  <c r="I15" i="27"/>
  <c r="J15" i="27"/>
  <c r="B16" i="27"/>
  <c r="D16" i="27" s="1"/>
  <c r="I16" i="27"/>
  <c r="J16" i="27"/>
  <c r="B17" i="27"/>
  <c r="F17" i="27" s="1"/>
  <c r="C17" i="27"/>
  <c r="D17" i="27"/>
  <c r="I17" i="27"/>
  <c r="J17" i="27"/>
  <c r="B18" i="27"/>
  <c r="C18" i="27" s="1"/>
  <c r="I18" i="27"/>
  <c r="J18" i="27"/>
  <c r="B19" i="27"/>
  <c r="E19" i="27" s="1"/>
  <c r="I19" i="27"/>
  <c r="J19" i="27"/>
  <c r="B20" i="27"/>
  <c r="C20" i="27"/>
  <c r="D20" i="27"/>
  <c r="I20" i="27"/>
  <c r="J20" i="27"/>
  <c r="B21" i="27"/>
  <c r="I21" i="27"/>
  <c r="J21" i="27"/>
  <c r="B22" i="27"/>
  <c r="C22" i="27"/>
  <c r="D22" i="27"/>
  <c r="F22" i="27"/>
  <c r="I22" i="27"/>
  <c r="J22" i="27"/>
  <c r="B23" i="27"/>
  <c r="I23" i="27"/>
  <c r="J23" i="27"/>
  <c r="B24" i="27"/>
  <c r="I24" i="27"/>
  <c r="J24" i="27"/>
  <c r="B25" i="27"/>
  <c r="H25" i="27" s="1"/>
  <c r="I25" i="27"/>
  <c r="J25" i="27"/>
  <c r="B26" i="27"/>
  <c r="F26" i="27"/>
  <c r="G26" i="27"/>
  <c r="H26" i="27"/>
  <c r="I26" i="27"/>
  <c r="J26" i="27"/>
  <c r="B27" i="27"/>
  <c r="I27" i="27"/>
  <c r="J27" i="27"/>
  <c r="B28" i="27"/>
  <c r="C28" i="27"/>
  <c r="D28" i="27"/>
  <c r="H28" i="27"/>
  <c r="I28" i="27"/>
  <c r="J28" i="27"/>
  <c r="B29" i="27"/>
  <c r="C29" i="27" s="1"/>
  <c r="I29" i="27"/>
  <c r="J29" i="27"/>
  <c r="B30" i="27"/>
  <c r="D30" i="27" s="1"/>
  <c r="G30" i="27"/>
  <c r="H30" i="27"/>
  <c r="I30" i="27"/>
  <c r="J30" i="27"/>
  <c r="B31" i="27"/>
  <c r="I31" i="27"/>
  <c r="J31" i="27"/>
  <c r="B32" i="27"/>
  <c r="D32" i="27"/>
  <c r="I32" i="27"/>
  <c r="J32" i="27"/>
  <c r="B33" i="27"/>
  <c r="C33" i="27"/>
  <c r="D33" i="27"/>
  <c r="I33" i="27"/>
  <c r="J33" i="27"/>
  <c r="B34" i="27"/>
  <c r="G34" i="27" s="1"/>
  <c r="I34" i="27"/>
  <c r="J34" i="27"/>
  <c r="B35" i="27"/>
  <c r="C35" i="27"/>
  <c r="I35" i="27"/>
  <c r="J35" i="27"/>
  <c r="B36" i="27"/>
  <c r="C36" i="27"/>
  <c r="I36" i="27"/>
  <c r="J36" i="27"/>
  <c r="B37" i="27"/>
  <c r="C37" i="27"/>
  <c r="D37" i="27"/>
  <c r="E37" i="27"/>
  <c r="F37" i="27"/>
  <c r="H37" i="27"/>
  <c r="I37" i="27"/>
  <c r="J37" i="27"/>
  <c r="B38" i="27"/>
  <c r="C38" i="27"/>
  <c r="I38" i="27"/>
  <c r="J38" i="27"/>
  <c r="B39" i="27"/>
  <c r="F39" i="27"/>
  <c r="I39" i="27"/>
  <c r="J39" i="27"/>
  <c r="B40" i="27"/>
  <c r="F40" i="27" s="1"/>
  <c r="D40" i="27"/>
  <c r="H40" i="27"/>
  <c r="I40" i="27"/>
  <c r="J40" i="27"/>
  <c r="B41" i="27"/>
  <c r="C41" i="27"/>
  <c r="I41" i="27"/>
  <c r="J41" i="27"/>
  <c r="B42" i="27"/>
  <c r="C42" i="27"/>
  <c r="D42" i="27"/>
  <c r="E42" i="27"/>
  <c r="F42" i="27"/>
  <c r="G42" i="27"/>
  <c r="H42" i="27"/>
  <c r="I42" i="27"/>
  <c r="J42" i="27"/>
  <c r="B43" i="27"/>
  <c r="I43" i="27"/>
  <c r="J43" i="27"/>
  <c r="B44" i="27"/>
  <c r="H44" i="27"/>
  <c r="I44" i="27"/>
  <c r="J44" i="27"/>
  <c r="B45" i="27"/>
  <c r="C45" i="27" s="1"/>
  <c r="E45" i="27"/>
  <c r="F45" i="27"/>
  <c r="I45" i="27"/>
  <c r="J45" i="27"/>
  <c r="B46" i="27"/>
  <c r="G46" i="27"/>
  <c r="H46" i="27"/>
  <c r="I46" i="27"/>
  <c r="J46" i="27"/>
  <c r="B47" i="27"/>
  <c r="I47" i="27"/>
  <c r="J47" i="27"/>
  <c r="B48" i="27"/>
  <c r="D48" i="27"/>
  <c r="I48" i="27"/>
  <c r="J48" i="27"/>
  <c r="B49" i="27"/>
  <c r="D49" i="27"/>
  <c r="I49" i="27"/>
  <c r="J49" i="27"/>
  <c r="B50" i="27"/>
  <c r="I50" i="27"/>
  <c r="J50" i="27"/>
  <c r="B51" i="27"/>
  <c r="C51" i="27"/>
  <c r="D51" i="27"/>
  <c r="E51" i="27"/>
  <c r="I51" i="27"/>
  <c r="J51" i="27"/>
  <c r="B52" i="27"/>
  <c r="I52" i="27"/>
  <c r="J52" i="27"/>
  <c r="B53" i="27"/>
  <c r="I53" i="27"/>
  <c r="J53" i="27"/>
  <c r="B54" i="27"/>
  <c r="C54" i="27"/>
  <c r="I54" i="27"/>
  <c r="J54" i="27"/>
  <c r="B55" i="27"/>
  <c r="D55" i="27" s="1"/>
  <c r="C55" i="27"/>
  <c r="H55" i="27"/>
  <c r="I55" i="27"/>
  <c r="J55" i="27"/>
  <c r="B56" i="27"/>
  <c r="D56" i="27"/>
  <c r="E56" i="27"/>
  <c r="H56" i="27"/>
  <c r="I56" i="27"/>
  <c r="J56" i="27"/>
  <c r="B57" i="27"/>
  <c r="C57" i="27" s="1"/>
  <c r="I57" i="27"/>
  <c r="J57" i="27"/>
  <c r="B58" i="27"/>
  <c r="E58" i="27"/>
  <c r="I58" i="27"/>
  <c r="J58" i="27"/>
  <c r="B59" i="27"/>
  <c r="F59" i="27" s="1"/>
  <c r="G59" i="27"/>
  <c r="I59" i="27"/>
  <c r="J59" i="27"/>
  <c r="B60" i="27"/>
  <c r="G60" i="27" s="1"/>
  <c r="C60" i="27"/>
  <c r="D60" i="27"/>
  <c r="H60" i="27"/>
  <c r="I60" i="27"/>
  <c r="J60" i="27"/>
  <c r="B61" i="27"/>
  <c r="C61" i="27" s="1"/>
  <c r="I61" i="27"/>
  <c r="J61" i="27"/>
  <c r="B62" i="27"/>
  <c r="I62" i="27"/>
  <c r="J62" i="27"/>
  <c r="B63" i="27"/>
  <c r="I63" i="27"/>
  <c r="J63" i="27"/>
  <c r="B64" i="27"/>
  <c r="D64" i="27" s="1"/>
  <c r="I64" i="27"/>
  <c r="J64" i="27"/>
  <c r="B65" i="27"/>
  <c r="I65" i="27"/>
  <c r="J65" i="27"/>
  <c r="B66" i="27"/>
  <c r="C66" i="27" s="1"/>
  <c r="H66" i="27"/>
  <c r="I66" i="27"/>
  <c r="J66" i="27"/>
  <c r="B67" i="27"/>
  <c r="F67" i="27"/>
  <c r="G67" i="27"/>
  <c r="H67" i="27"/>
  <c r="I67" i="27"/>
  <c r="J67" i="27"/>
  <c r="B68" i="27"/>
  <c r="I68" i="27"/>
  <c r="J68" i="27"/>
  <c r="B69" i="27"/>
  <c r="C69" i="27" s="1"/>
  <c r="D69" i="27"/>
  <c r="F69" i="27"/>
  <c r="G69" i="27"/>
  <c r="H69" i="27"/>
  <c r="I69" i="27"/>
  <c r="J69" i="27"/>
  <c r="B70" i="27"/>
  <c r="I70" i="27"/>
  <c r="J70" i="27"/>
  <c r="B71" i="27"/>
  <c r="I71" i="27"/>
  <c r="J71" i="27"/>
  <c r="B72" i="27"/>
  <c r="I72" i="27"/>
  <c r="J72" i="27"/>
  <c r="B73" i="27"/>
  <c r="C73" i="27"/>
  <c r="D73" i="27"/>
  <c r="I73" i="27"/>
  <c r="J73" i="27"/>
  <c r="B74" i="27"/>
  <c r="C74" i="27"/>
  <c r="D74" i="27"/>
  <c r="I74" i="27"/>
  <c r="J74" i="27"/>
  <c r="B75" i="27"/>
  <c r="G75" i="27"/>
  <c r="H75" i="27"/>
  <c r="I75" i="27"/>
  <c r="J75" i="27"/>
  <c r="B76" i="27"/>
  <c r="C76" i="27" s="1"/>
  <c r="D76" i="27"/>
  <c r="G76" i="27"/>
  <c r="I76" i="27"/>
  <c r="J76" i="27"/>
  <c r="B77" i="27"/>
  <c r="D77" i="27"/>
  <c r="I77" i="27"/>
  <c r="J77" i="27"/>
  <c r="B78" i="27"/>
  <c r="D78" i="27"/>
  <c r="F78" i="27"/>
  <c r="H78" i="27"/>
  <c r="I78" i="27"/>
  <c r="J78" i="27"/>
  <c r="B79" i="27"/>
  <c r="I79" i="27"/>
  <c r="J79" i="27"/>
  <c r="B80" i="27"/>
  <c r="D80" i="27"/>
  <c r="I80" i="27"/>
  <c r="J80" i="27"/>
  <c r="B81" i="27"/>
  <c r="D81" i="27"/>
  <c r="I81" i="27"/>
  <c r="J81" i="27"/>
  <c r="B82" i="27"/>
  <c r="E82" i="27"/>
  <c r="I82" i="27"/>
  <c r="J82" i="27"/>
  <c r="B83" i="27"/>
  <c r="C83" i="27" s="1"/>
  <c r="I83" i="27"/>
  <c r="J83" i="27"/>
  <c r="B84" i="27"/>
  <c r="C84" i="27"/>
  <c r="D84" i="27"/>
  <c r="F84" i="27"/>
  <c r="G84" i="27"/>
  <c r="H84" i="27"/>
  <c r="I84" i="27"/>
  <c r="J84" i="27"/>
  <c r="B85" i="27"/>
  <c r="G85" i="27"/>
  <c r="H85" i="27"/>
  <c r="I85" i="27"/>
  <c r="J85" i="27"/>
  <c r="A1" i="26"/>
  <c r="P2" i="26"/>
  <c r="AI4" i="26"/>
  <c r="J5" i="26"/>
  <c r="J6" i="26"/>
  <c r="B10" i="26"/>
  <c r="I10" i="26"/>
  <c r="J10" i="26"/>
  <c r="B11" i="26"/>
  <c r="C11" i="26" s="1"/>
  <c r="I11" i="26"/>
  <c r="J11" i="26"/>
  <c r="B12" i="26"/>
  <c r="C12" i="26"/>
  <c r="D12" i="26"/>
  <c r="E12" i="26"/>
  <c r="I12" i="26"/>
  <c r="J12" i="26"/>
  <c r="B13" i="26"/>
  <c r="I13" i="26"/>
  <c r="J13" i="26"/>
  <c r="B14" i="26"/>
  <c r="C14" i="26" s="1"/>
  <c r="H14" i="26"/>
  <c r="I14" i="26"/>
  <c r="J14" i="26"/>
  <c r="B15" i="26"/>
  <c r="I15" i="26"/>
  <c r="J15" i="26"/>
  <c r="B16" i="26"/>
  <c r="D16" i="26" s="1"/>
  <c r="I16" i="26"/>
  <c r="J16" i="26"/>
  <c r="B17" i="26"/>
  <c r="C17" i="26" s="1"/>
  <c r="I17" i="26"/>
  <c r="J17" i="26"/>
  <c r="B18" i="26"/>
  <c r="D18" i="26"/>
  <c r="E18" i="26"/>
  <c r="F18" i="26"/>
  <c r="H18" i="26"/>
  <c r="I18" i="26"/>
  <c r="J18" i="26"/>
  <c r="B19" i="26"/>
  <c r="I19" i="26"/>
  <c r="J19" i="26"/>
  <c r="B20" i="26"/>
  <c r="C20" i="26" s="1"/>
  <c r="D20" i="26"/>
  <c r="E20" i="26"/>
  <c r="F20" i="26"/>
  <c r="G20" i="26"/>
  <c r="H20" i="26"/>
  <c r="I20" i="26"/>
  <c r="J20" i="26"/>
  <c r="B21" i="26"/>
  <c r="I21" i="26"/>
  <c r="J21" i="26"/>
  <c r="B22" i="26"/>
  <c r="D22" i="26" s="1"/>
  <c r="E22" i="26"/>
  <c r="G22" i="26"/>
  <c r="H22" i="26"/>
  <c r="I22" i="26"/>
  <c r="J22" i="26"/>
  <c r="B23" i="26"/>
  <c r="I23" i="26"/>
  <c r="J23" i="26"/>
  <c r="B24" i="26"/>
  <c r="C24" i="26"/>
  <c r="D24" i="26"/>
  <c r="H24" i="26"/>
  <c r="I24" i="26"/>
  <c r="J24" i="26"/>
  <c r="B25" i="26"/>
  <c r="H25" i="26"/>
  <c r="I25" i="26"/>
  <c r="J25" i="26"/>
  <c r="B26" i="26"/>
  <c r="G26" i="26"/>
  <c r="I26" i="26"/>
  <c r="J26" i="26"/>
  <c r="B27" i="26"/>
  <c r="D27" i="26"/>
  <c r="F27" i="26"/>
  <c r="I27" i="26"/>
  <c r="J27" i="26"/>
  <c r="B28" i="26"/>
  <c r="C28" i="26"/>
  <c r="D28" i="26"/>
  <c r="H28" i="26"/>
  <c r="I28" i="26"/>
  <c r="J28" i="26"/>
  <c r="B29" i="26"/>
  <c r="H29" i="26"/>
  <c r="I29" i="26"/>
  <c r="J29" i="26"/>
  <c r="B30" i="26"/>
  <c r="C30" i="26"/>
  <c r="D30" i="26"/>
  <c r="E30" i="26"/>
  <c r="G30" i="26"/>
  <c r="H30" i="26"/>
  <c r="I30" i="26"/>
  <c r="J30" i="26"/>
  <c r="B31" i="26"/>
  <c r="I31" i="26"/>
  <c r="J31" i="26"/>
  <c r="B32" i="26"/>
  <c r="D32" i="26" s="1"/>
  <c r="I32" i="26"/>
  <c r="J32" i="26"/>
  <c r="B33" i="26"/>
  <c r="I33" i="26"/>
  <c r="J33" i="26"/>
  <c r="B34" i="26"/>
  <c r="C34" i="26" s="1"/>
  <c r="D34" i="26"/>
  <c r="I34" i="26"/>
  <c r="J34" i="26"/>
  <c r="B35" i="26"/>
  <c r="G35" i="26" s="1"/>
  <c r="C35" i="26"/>
  <c r="D35" i="26"/>
  <c r="E35" i="26"/>
  <c r="F35" i="26"/>
  <c r="I35" i="26"/>
  <c r="J35" i="26"/>
  <c r="B36" i="26"/>
  <c r="E36" i="26"/>
  <c r="G36" i="26"/>
  <c r="H36" i="26"/>
  <c r="I36" i="26"/>
  <c r="J36" i="26"/>
  <c r="B37" i="26"/>
  <c r="D37" i="26" s="1"/>
  <c r="C37" i="26"/>
  <c r="I37" i="26"/>
  <c r="J37" i="26"/>
  <c r="B38" i="26"/>
  <c r="E38" i="26" s="1"/>
  <c r="D38" i="26"/>
  <c r="H38" i="26"/>
  <c r="I38" i="26"/>
  <c r="J38" i="26"/>
  <c r="B39" i="26"/>
  <c r="I39" i="26"/>
  <c r="J39" i="26"/>
  <c r="B40" i="26"/>
  <c r="H40" i="26" s="1"/>
  <c r="C40" i="26"/>
  <c r="I40" i="26"/>
  <c r="J40" i="26"/>
  <c r="B41" i="26"/>
  <c r="C41" i="26"/>
  <c r="D41" i="26"/>
  <c r="I41" i="26"/>
  <c r="J41" i="26"/>
  <c r="B42" i="26"/>
  <c r="I42" i="26"/>
  <c r="J42" i="26"/>
  <c r="B43" i="26"/>
  <c r="F43" i="26" s="1"/>
  <c r="C43" i="26"/>
  <c r="D43" i="26"/>
  <c r="E43" i="26"/>
  <c r="G43" i="26"/>
  <c r="H43" i="26"/>
  <c r="I43" i="26"/>
  <c r="J43" i="26"/>
  <c r="B44" i="26"/>
  <c r="F44" i="26"/>
  <c r="H44" i="26"/>
  <c r="I44" i="26"/>
  <c r="J44" i="26"/>
  <c r="B45" i="26"/>
  <c r="C45" i="26" s="1"/>
  <c r="F45" i="26"/>
  <c r="G45" i="26"/>
  <c r="H45" i="26"/>
  <c r="I45" i="26"/>
  <c r="J45" i="26"/>
  <c r="B46" i="26"/>
  <c r="C46" i="26" s="1"/>
  <c r="H46" i="26"/>
  <c r="I46" i="26"/>
  <c r="J46" i="26"/>
  <c r="B47" i="26"/>
  <c r="I47" i="26"/>
  <c r="J47" i="26"/>
  <c r="B48" i="26"/>
  <c r="D48" i="26" s="1"/>
  <c r="I48" i="26"/>
  <c r="J48" i="26"/>
  <c r="B49" i="26"/>
  <c r="C49" i="26" s="1"/>
  <c r="I49" i="26"/>
  <c r="J49" i="26"/>
  <c r="B50" i="26"/>
  <c r="C50" i="26"/>
  <c r="I50" i="26"/>
  <c r="J50" i="26"/>
  <c r="B51" i="26"/>
  <c r="C51" i="26" s="1"/>
  <c r="D51" i="26"/>
  <c r="H51" i="26"/>
  <c r="I51" i="26"/>
  <c r="J51" i="26"/>
  <c r="B52" i="26"/>
  <c r="H52" i="26"/>
  <c r="I52" i="26"/>
  <c r="J52" i="26"/>
  <c r="B53" i="26"/>
  <c r="I53" i="26"/>
  <c r="J53" i="26"/>
  <c r="B54" i="26"/>
  <c r="D54" i="26" s="1"/>
  <c r="E54" i="26"/>
  <c r="G54" i="26"/>
  <c r="H54" i="26"/>
  <c r="I54" i="26"/>
  <c r="J54" i="26"/>
  <c r="B55" i="26"/>
  <c r="C55" i="26" s="1"/>
  <c r="I55" i="26"/>
  <c r="J55" i="26"/>
  <c r="B56" i="26"/>
  <c r="D56" i="26"/>
  <c r="I56" i="26"/>
  <c r="J56" i="26"/>
  <c r="B57" i="26"/>
  <c r="C57" i="26" s="1"/>
  <c r="H57" i="26"/>
  <c r="I57" i="26"/>
  <c r="J57" i="26"/>
  <c r="B58" i="26"/>
  <c r="E58" i="26"/>
  <c r="I58" i="26"/>
  <c r="J58" i="26"/>
  <c r="B59" i="26"/>
  <c r="I59" i="26"/>
  <c r="J59" i="26"/>
  <c r="B60" i="26"/>
  <c r="D60" i="26" s="1"/>
  <c r="I60" i="26"/>
  <c r="J60" i="26"/>
  <c r="B61" i="26"/>
  <c r="I61" i="26"/>
  <c r="J61" i="26"/>
  <c r="B62" i="26"/>
  <c r="D62" i="26"/>
  <c r="H62" i="26"/>
  <c r="I62" i="26"/>
  <c r="J62" i="26"/>
  <c r="B63" i="26"/>
  <c r="I63" i="26"/>
  <c r="J63" i="26"/>
  <c r="B64" i="26"/>
  <c r="D64" i="26"/>
  <c r="I64" i="26"/>
  <c r="J64" i="26"/>
  <c r="B65" i="26"/>
  <c r="D65" i="26" s="1"/>
  <c r="C65" i="26"/>
  <c r="I65" i="26"/>
  <c r="J65" i="26"/>
  <c r="B66" i="26"/>
  <c r="I66" i="26"/>
  <c r="J66" i="26"/>
  <c r="B67" i="26"/>
  <c r="F67" i="26"/>
  <c r="I67" i="26"/>
  <c r="J67" i="26"/>
  <c r="B68" i="26"/>
  <c r="C68" i="26"/>
  <c r="D68" i="26"/>
  <c r="E68" i="26"/>
  <c r="F68" i="26"/>
  <c r="G68" i="26"/>
  <c r="H68" i="26"/>
  <c r="I68" i="26"/>
  <c r="J68" i="26"/>
  <c r="B69" i="26"/>
  <c r="C69" i="26" s="1"/>
  <c r="E69" i="26"/>
  <c r="F69" i="26"/>
  <c r="H69" i="26"/>
  <c r="I69" i="26"/>
  <c r="J69" i="26"/>
  <c r="B70" i="26"/>
  <c r="I70" i="26"/>
  <c r="J70" i="26"/>
  <c r="B71" i="26"/>
  <c r="C71" i="26"/>
  <c r="D71" i="26"/>
  <c r="I71" i="26"/>
  <c r="J71" i="26"/>
  <c r="B72" i="26"/>
  <c r="I72" i="26"/>
  <c r="J72" i="26"/>
  <c r="B73" i="26"/>
  <c r="I73" i="26"/>
  <c r="J73" i="26"/>
  <c r="B74" i="26"/>
  <c r="G74" i="26"/>
  <c r="I74" i="26"/>
  <c r="J74" i="26"/>
  <c r="B75" i="26"/>
  <c r="E75" i="26"/>
  <c r="F75" i="26"/>
  <c r="G75" i="26"/>
  <c r="I75" i="26"/>
  <c r="J75" i="26"/>
  <c r="B76" i="26"/>
  <c r="C76" i="26"/>
  <c r="D76" i="26"/>
  <c r="E76" i="26"/>
  <c r="F76" i="26"/>
  <c r="G76" i="26"/>
  <c r="H76" i="26"/>
  <c r="I76" i="26"/>
  <c r="J76" i="26"/>
  <c r="B77" i="26"/>
  <c r="H77" i="26" s="1"/>
  <c r="I77" i="26"/>
  <c r="J77" i="26"/>
  <c r="B78" i="26"/>
  <c r="C78" i="26"/>
  <c r="D78" i="26"/>
  <c r="H78" i="26"/>
  <c r="I78" i="26"/>
  <c r="J78" i="26"/>
  <c r="B79" i="26"/>
  <c r="I79" i="26"/>
  <c r="J79" i="26"/>
  <c r="B80" i="26"/>
  <c r="D80" i="26" s="1"/>
  <c r="I80" i="26"/>
  <c r="J80" i="26"/>
  <c r="B81" i="26"/>
  <c r="C81" i="26" s="1"/>
  <c r="D81" i="26"/>
  <c r="I81" i="26"/>
  <c r="J81" i="26"/>
  <c r="B82" i="26"/>
  <c r="I82" i="26"/>
  <c r="J82" i="26"/>
  <c r="B83" i="26"/>
  <c r="E83" i="26"/>
  <c r="F83" i="26"/>
  <c r="G83" i="26"/>
  <c r="H83" i="26"/>
  <c r="I83" i="26"/>
  <c r="J83" i="26"/>
  <c r="B84" i="26"/>
  <c r="E84" i="26" s="1"/>
  <c r="C84" i="26"/>
  <c r="I84" i="26"/>
  <c r="J84" i="26"/>
  <c r="B85" i="26"/>
  <c r="D85" i="26" s="1"/>
  <c r="C85" i="26"/>
  <c r="E85" i="26"/>
  <c r="F85" i="26"/>
  <c r="G85" i="26"/>
  <c r="H85" i="26"/>
  <c r="I85" i="26"/>
  <c r="J85" i="26"/>
  <c r="A1" i="25"/>
  <c r="P2" i="25"/>
  <c r="M4" i="25"/>
  <c r="AI4" i="25"/>
  <c r="J5" i="25"/>
  <c r="J6" i="25"/>
  <c r="B10" i="25"/>
  <c r="F10" i="25"/>
  <c r="H10" i="25"/>
  <c r="I10" i="25"/>
  <c r="J10" i="25"/>
  <c r="B11" i="25"/>
  <c r="G11" i="25"/>
  <c r="H11" i="25"/>
  <c r="I11" i="25"/>
  <c r="J11" i="25"/>
  <c r="B12" i="25"/>
  <c r="C12" i="25" s="1"/>
  <c r="F12" i="25"/>
  <c r="I12" i="25"/>
  <c r="J12" i="25"/>
  <c r="B13" i="25"/>
  <c r="C13" i="25" s="1"/>
  <c r="D13" i="25"/>
  <c r="F13" i="25"/>
  <c r="H13" i="25"/>
  <c r="I13" i="25"/>
  <c r="J13" i="25"/>
  <c r="B14" i="25"/>
  <c r="C14" i="25"/>
  <c r="D14" i="25"/>
  <c r="E14" i="25"/>
  <c r="F14" i="25"/>
  <c r="G14" i="25"/>
  <c r="H14" i="25"/>
  <c r="I14" i="25"/>
  <c r="J14" i="25"/>
  <c r="B15" i="25"/>
  <c r="I15" i="25"/>
  <c r="J15" i="25"/>
  <c r="B16" i="25"/>
  <c r="D16" i="25" s="1"/>
  <c r="C16" i="25"/>
  <c r="I16" i="25"/>
  <c r="J16" i="25"/>
  <c r="B17" i="25"/>
  <c r="E17" i="25" s="1"/>
  <c r="I17" i="25"/>
  <c r="J17" i="25"/>
  <c r="B18" i="25"/>
  <c r="C18" i="25"/>
  <c r="D18" i="25"/>
  <c r="E18" i="25"/>
  <c r="F18" i="25"/>
  <c r="G18" i="25"/>
  <c r="H18" i="25"/>
  <c r="I18" i="25"/>
  <c r="J18" i="25"/>
  <c r="B19" i="25"/>
  <c r="C19" i="25" s="1"/>
  <c r="I19" i="25"/>
  <c r="J19" i="25"/>
  <c r="B20" i="25"/>
  <c r="E20" i="25" s="1"/>
  <c r="C20" i="25"/>
  <c r="D20" i="25"/>
  <c r="I20" i="25"/>
  <c r="J20" i="25"/>
  <c r="B21" i="25"/>
  <c r="C21" i="25" s="1"/>
  <c r="D21" i="25"/>
  <c r="E21" i="25"/>
  <c r="F21" i="25"/>
  <c r="G21" i="25"/>
  <c r="H21" i="25"/>
  <c r="I21" i="25"/>
  <c r="J21" i="25"/>
  <c r="B22" i="25"/>
  <c r="H22" i="25" s="1"/>
  <c r="E22" i="25"/>
  <c r="F22" i="25"/>
  <c r="G22" i="25"/>
  <c r="I22" i="25"/>
  <c r="J22" i="25"/>
  <c r="B23" i="25"/>
  <c r="C23" i="25"/>
  <c r="D23" i="25"/>
  <c r="G23" i="25"/>
  <c r="H23" i="25"/>
  <c r="I23" i="25"/>
  <c r="J23" i="25"/>
  <c r="B24" i="25"/>
  <c r="I24" i="25"/>
  <c r="J24" i="25"/>
  <c r="B25" i="25"/>
  <c r="C25" i="25" s="1"/>
  <c r="D25" i="25"/>
  <c r="E25" i="25"/>
  <c r="F25" i="25"/>
  <c r="G25" i="25"/>
  <c r="H25" i="25"/>
  <c r="I25" i="25"/>
  <c r="J25" i="25"/>
  <c r="B26" i="25"/>
  <c r="H26" i="25"/>
  <c r="I26" i="25"/>
  <c r="J26" i="25"/>
  <c r="B27" i="25"/>
  <c r="C27" i="25" s="1"/>
  <c r="D27" i="25"/>
  <c r="G27" i="25"/>
  <c r="H27" i="25"/>
  <c r="I27" i="25"/>
  <c r="J27" i="25"/>
  <c r="B28" i="25"/>
  <c r="C28" i="25" s="1"/>
  <c r="F28" i="25"/>
  <c r="I28" i="25"/>
  <c r="J28" i="25"/>
  <c r="B29" i="25"/>
  <c r="C29" i="25" s="1"/>
  <c r="D29" i="25"/>
  <c r="F29" i="25"/>
  <c r="H29" i="25"/>
  <c r="I29" i="25"/>
  <c r="J29" i="25"/>
  <c r="B30" i="25"/>
  <c r="C30" i="25" s="1"/>
  <c r="D30" i="25"/>
  <c r="E30" i="25"/>
  <c r="F30" i="25"/>
  <c r="G30" i="25"/>
  <c r="H30" i="25"/>
  <c r="I30" i="25"/>
  <c r="J30" i="25"/>
  <c r="B31" i="25"/>
  <c r="I31" i="25"/>
  <c r="J31" i="25"/>
  <c r="B32" i="25"/>
  <c r="C32" i="25" s="1"/>
  <c r="I32" i="25"/>
  <c r="J32" i="25"/>
  <c r="B33" i="25"/>
  <c r="C33" i="25" s="1"/>
  <c r="E33" i="25"/>
  <c r="F33" i="25"/>
  <c r="I33" i="25"/>
  <c r="J33" i="25"/>
  <c r="B34" i="25"/>
  <c r="C34" i="25" s="1"/>
  <c r="D34" i="25"/>
  <c r="E34" i="25"/>
  <c r="F34" i="25"/>
  <c r="G34" i="25"/>
  <c r="H34" i="25"/>
  <c r="I34" i="25"/>
  <c r="J34" i="25"/>
  <c r="B35" i="25"/>
  <c r="C35" i="25"/>
  <c r="F35" i="25"/>
  <c r="G35" i="25"/>
  <c r="H35" i="25"/>
  <c r="I35" i="25"/>
  <c r="J35" i="25"/>
  <c r="B36" i="25"/>
  <c r="I36" i="25"/>
  <c r="J36" i="25"/>
  <c r="B37" i="25"/>
  <c r="C37" i="25"/>
  <c r="D37" i="25"/>
  <c r="E37" i="25"/>
  <c r="F37" i="25"/>
  <c r="G37" i="25"/>
  <c r="H37" i="25"/>
  <c r="I37" i="25"/>
  <c r="J37" i="25"/>
  <c r="B38" i="25"/>
  <c r="H38" i="25"/>
  <c r="I38" i="25"/>
  <c r="J38" i="25"/>
  <c r="B39" i="25"/>
  <c r="E39" i="25" s="1"/>
  <c r="C39" i="25"/>
  <c r="D39" i="25"/>
  <c r="G39" i="25"/>
  <c r="H39" i="25"/>
  <c r="I39" i="25"/>
  <c r="J39" i="25"/>
  <c r="B40" i="25"/>
  <c r="E40" i="25" s="1"/>
  <c r="I40" i="25"/>
  <c r="J40" i="25"/>
  <c r="B41" i="25"/>
  <c r="C41" i="25"/>
  <c r="D41" i="25"/>
  <c r="E41" i="25"/>
  <c r="F41" i="25"/>
  <c r="G41" i="25"/>
  <c r="H41" i="25"/>
  <c r="I41" i="25"/>
  <c r="J41" i="25"/>
  <c r="B42" i="25"/>
  <c r="F42" i="25"/>
  <c r="H42" i="25"/>
  <c r="I42" i="25"/>
  <c r="J42" i="25"/>
  <c r="B43" i="25"/>
  <c r="H43" i="25"/>
  <c r="I43" i="25"/>
  <c r="J43" i="25"/>
  <c r="B44" i="25"/>
  <c r="C44" i="25" s="1"/>
  <c r="F44" i="25"/>
  <c r="I44" i="25"/>
  <c r="J44" i="25"/>
  <c r="B45" i="25"/>
  <c r="C45" i="25" s="1"/>
  <c r="D45" i="25"/>
  <c r="F45" i="25"/>
  <c r="H45" i="25"/>
  <c r="I45" i="25"/>
  <c r="J45" i="25"/>
  <c r="B46" i="25"/>
  <c r="C46" i="25" s="1"/>
  <c r="D46" i="25"/>
  <c r="E46" i="25"/>
  <c r="F46" i="25"/>
  <c r="G46" i="25"/>
  <c r="H46" i="25"/>
  <c r="I46" i="25"/>
  <c r="J46" i="25"/>
  <c r="B47" i="25"/>
  <c r="I47" i="25"/>
  <c r="J47" i="25"/>
  <c r="B48" i="25"/>
  <c r="I48" i="25"/>
  <c r="J48" i="25"/>
  <c r="B49" i="25"/>
  <c r="C49" i="25"/>
  <c r="D49" i="25"/>
  <c r="E49" i="25"/>
  <c r="F49" i="25"/>
  <c r="I49" i="25"/>
  <c r="J49" i="25"/>
  <c r="B50" i="25"/>
  <c r="C50" i="25"/>
  <c r="D50" i="25"/>
  <c r="E50" i="25"/>
  <c r="F50" i="25"/>
  <c r="G50" i="25"/>
  <c r="H50" i="25"/>
  <c r="I50" i="25"/>
  <c r="J50" i="25"/>
  <c r="B51" i="25"/>
  <c r="G51" i="25"/>
  <c r="H51" i="25"/>
  <c r="I51" i="25"/>
  <c r="J51" i="25"/>
  <c r="B52" i="25"/>
  <c r="F52" i="25"/>
  <c r="G52" i="25"/>
  <c r="H52" i="25"/>
  <c r="I52" i="25"/>
  <c r="J52" i="25"/>
  <c r="B53" i="25"/>
  <c r="C53" i="25"/>
  <c r="D53" i="25"/>
  <c r="E53" i="25"/>
  <c r="F53" i="25"/>
  <c r="G53" i="25"/>
  <c r="H53" i="25"/>
  <c r="I53" i="25"/>
  <c r="J53" i="25"/>
  <c r="B54" i="25"/>
  <c r="H54" i="25" s="1"/>
  <c r="E54" i="25"/>
  <c r="F54" i="25"/>
  <c r="G54" i="25"/>
  <c r="I54" i="25"/>
  <c r="J54" i="25"/>
  <c r="B55" i="25"/>
  <c r="E55" i="25" s="1"/>
  <c r="C55" i="25"/>
  <c r="D55" i="25"/>
  <c r="G55" i="25"/>
  <c r="H55" i="25"/>
  <c r="I55" i="25"/>
  <c r="J55" i="25"/>
  <c r="B56" i="25"/>
  <c r="E56" i="25" s="1"/>
  <c r="I56" i="25"/>
  <c r="J56" i="25"/>
  <c r="B57" i="25"/>
  <c r="E57" i="25"/>
  <c r="F57" i="25"/>
  <c r="G57" i="25"/>
  <c r="H57" i="25"/>
  <c r="I57" i="25"/>
  <c r="J57" i="25"/>
  <c r="B58" i="25"/>
  <c r="F58" i="25"/>
  <c r="H58" i="25"/>
  <c r="I58" i="25"/>
  <c r="J58" i="25"/>
  <c r="B59" i="25"/>
  <c r="G59" i="25"/>
  <c r="H59" i="25"/>
  <c r="I59" i="25"/>
  <c r="J59" i="25"/>
  <c r="B60" i="25"/>
  <c r="I60" i="25"/>
  <c r="J60" i="25"/>
  <c r="B61" i="25"/>
  <c r="D61" i="25"/>
  <c r="F61" i="25"/>
  <c r="H61" i="25"/>
  <c r="I61" i="25"/>
  <c r="J61" i="25"/>
  <c r="B62" i="25"/>
  <c r="C62" i="25"/>
  <c r="D62" i="25"/>
  <c r="E62" i="25"/>
  <c r="F62" i="25"/>
  <c r="G62" i="25"/>
  <c r="H62" i="25"/>
  <c r="I62" i="25"/>
  <c r="J62" i="25"/>
  <c r="B63" i="25"/>
  <c r="I63" i="25"/>
  <c r="J63" i="25"/>
  <c r="B64" i="25"/>
  <c r="I64" i="25"/>
  <c r="J64" i="25"/>
  <c r="B65" i="25"/>
  <c r="C65" i="25" s="1"/>
  <c r="D65" i="25"/>
  <c r="E65" i="25"/>
  <c r="F65" i="25"/>
  <c r="I65" i="25"/>
  <c r="J65" i="25"/>
  <c r="B66" i="25"/>
  <c r="F66" i="25"/>
  <c r="G66" i="25"/>
  <c r="H66" i="25"/>
  <c r="I66" i="25"/>
  <c r="J66" i="25"/>
  <c r="B67" i="25"/>
  <c r="C67" i="25" s="1"/>
  <c r="D67" i="25"/>
  <c r="E67" i="25"/>
  <c r="F67" i="25"/>
  <c r="I67" i="25"/>
  <c r="J67" i="25"/>
  <c r="B68" i="25"/>
  <c r="C68" i="25" s="1"/>
  <c r="D68" i="25"/>
  <c r="E68" i="25"/>
  <c r="F68" i="25"/>
  <c r="G68" i="25"/>
  <c r="H68" i="25"/>
  <c r="I68" i="25"/>
  <c r="J68" i="25"/>
  <c r="B69" i="25"/>
  <c r="C69" i="25"/>
  <c r="D69" i="25"/>
  <c r="E69" i="25"/>
  <c r="F69" i="25"/>
  <c r="G69" i="25"/>
  <c r="H69" i="25"/>
  <c r="I69" i="25"/>
  <c r="J69" i="25"/>
  <c r="B70" i="25"/>
  <c r="G70" i="25"/>
  <c r="H70" i="25"/>
  <c r="I70" i="25"/>
  <c r="J70" i="25"/>
  <c r="B71" i="25"/>
  <c r="C71" i="25" s="1"/>
  <c r="D71" i="25"/>
  <c r="G71" i="25"/>
  <c r="H71" i="25"/>
  <c r="I71" i="25"/>
  <c r="J71" i="25"/>
  <c r="B72" i="25"/>
  <c r="I72" i="25"/>
  <c r="J72" i="25"/>
  <c r="B73" i="25"/>
  <c r="C73" i="25"/>
  <c r="D73" i="25"/>
  <c r="E73" i="25"/>
  <c r="F73" i="25"/>
  <c r="G73" i="25"/>
  <c r="H73" i="25"/>
  <c r="I73" i="25"/>
  <c r="J73" i="25"/>
  <c r="B74" i="25"/>
  <c r="F74" i="25"/>
  <c r="H74" i="25"/>
  <c r="I74" i="25"/>
  <c r="J74" i="25"/>
  <c r="B75" i="25"/>
  <c r="G75" i="25"/>
  <c r="H75" i="25"/>
  <c r="I75" i="25"/>
  <c r="J75" i="25"/>
  <c r="B76" i="25"/>
  <c r="C76" i="25" s="1"/>
  <c r="F76" i="25"/>
  <c r="I76" i="25"/>
  <c r="J76" i="25"/>
  <c r="B77" i="25"/>
  <c r="C77" i="25" s="1"/>
  <c r="D77" i="25"/>
  <c r="F77" i="25"/>
  <c r="H77" i="25"/>
  <c r="I77" i="25"/>
  <c r="J77" i="25"/>
  <c r="B78" i="25"/>
  <c r="C78" i="25"/>
  <c r="D78" i="25"/>
  <c r="E78" i="25"/>
  <c r="F78" i="25"/>
  <c r="G78" i="25"/>
  <c r="H78" i="25"/>
  <c r="I78" i="25"/>
  <c r="J78" i="25"/>
  <c r="B79" i="25"/>
  <c r="I79" i="25"/>
  <c r="J79" i="25"/>
  <c r="B80" i="25"/>
  <c r="C80" i="25" s="1"/>
  <c r="I80" i="25"/>
  <c r="J80" i="25"/>
  <c r="B81" i="25"/>
  <c r="C81" i="25"/>
  <c r="D81" i="25"/>
  <c r="E81" i="25"/>
  <c r="F81" i="25"/>
  <c r="I81" i="25"/>
  <c r="J81" i="25"/>
  <c r="B82" i="25"/>
  <c r="G82" i="25" s="1"/>
  <c r="C82" i="25"/>
  <c r="D82" i="25"/>
  <c r="E82" i="25"/>
  <c r="F82" i="25"/>
  <c r="I82" i="25"/>
  <c r="J82" i="25"/>
  <c r="B83" i="25"/>
  <c r="C83" i="25" s="1"/>
  <c r="D83" i="25"/>
  <c r="E83" i="25"/>
  <c r="F83" i="25"/>
  <c r="G83" i="25"/>
  <c r="H83" i="25"/>
  <c r="I83" i="25"/>
  <c r="J83" i="25"/>
  <c r="B84" i="25"/>
  <c r="F84" i="25"/>
  <c r="G84" i="25"/>
  <c r="H84" i="25"/>
  <c r="I84" i="25"/>
  <c r="J84" i="25"/>
  <c r="B85" i="25"/>
  <c r="C85" i="25" s="1"/>
  <c r="D85" i="25"/>
  <c r="E85" i="25"/>
  <c r="F85" i="25"/>
  <c r="G85" i="25"/>
  <c r="H85" i="25"/>
  <c r="I85" i="25"/>
  <c r="J85" i="25"/>
  <c r="A1" i="24"/>
  <c r="P2" i="24"/>
  <c r="M4" i="24"/>
  <c r="AI4" i="24"/>
  <c r="J6" i="24"/>
  <c r="B10" i="24"/>
  <c r="F10" i="24"/>
  <c r="G10" i="24"/>
  <c r="H10" i="24"/>
  <c r="I10" i="24"/>
  <c r="J10" i="24"/>
  <c r="B11" i="24"/>
  <c r="C11" i="24" s="1"/>
  <c r="I11" i="24"/>
  <c r="J11" i="24"/>
  <c r="B12" i="24"/>
  <c r="C12" i="24" s="1"/>
  <c r="D12" i="24"/>
  <c r="E12" i="24"/>
  <c r="F12" i="24"/>
  <c r="G12" i="24"/>
  <c r="H12" i="24"/>
  <c r="I12" i="24"/>
  <c r="J12" i="24"/>
  <c r="B13" i="24"/>
  <c r="C13" i="24" s="1"/>
  <c r="F13" i="24"/>
  <c r="G13" i="24"/>
  <c r="H13" i="24"/>
  <c r="I13" i="24"/>
  <c r="J13" i="24"/>
  <c r="B14" i="24"/>
  <c r="E14" i="24"/>
  <c r="F14" i="24"/>
  <c r="G14" i="24"/>
  <c r="H14" i="24"/>
  <c r="I14" i="24"/>
  <c r="J14" i="24"/>
  <c r="B15" i="24"/>
  <c r="I15" i="24"/>
  <c r="J15" i="24"/>
  <c r="B16" i="24"/>
  <c r="I16" i="24"/>
  <c r="J16" i="24"/>
  <c r="B17" i="24"/>
  <c r="C17" i="24"/>
  <c r="D17" i="24"/>
  <c r="I17" i="24"/>
  <c r="J17" i="24"/>
  <c r="B18" i="24"/>
  <c r="C18" i="24"/>
  <c r="D18" i="24"/>
  <c r="E18" i="24"/>
  <c r="F18" i="24"/>
  <c r="G18" i="24"/>
  <c r="H18" i="24"/>
  <c r="I18" i="24"/>
  <c r="J18" i="24"/>
  <c r="B19" i="24"/>
  <c r="C19" i="24" s="1"/>
  <c r="I19" i="24"/>
  <c r="J19" i="24"/>
  <c r="B20" i="24"/>
  <c r="C20" i="24" s="1"/>
  <c r="G20" i="24"/>
  <c r="H20" i="24"/>
  <c r="I20" i="24"/>
  <c r="J20" i="24"/>
  <c r="B21" i="24"/>
  <c r="C21" i="24" s="1"/>
  <c r="D21" i="24"/>
  <c r="E21" i="24"/>
  <c r="F21" i="24"/>
  <c r="G21" i="24"/>
  <c r="H21" i="24"/>
  <c r="I21" i="24"/>
  <c r="J21" i="24"/>
  <c r="B22" i="24"/>
  <c r="E22" i="24"/>
  <c r="F22" i="24"/>
  <c r="G22" i="24"/>
  <c r="H22" i="24"/>
  <c r="I22" i="24"/>
  <c r="J22" i="24"/>
  <c r="B23" i="24"/>
  <c r="F23" i="24"/>
  <c r="I23" i="24"/>
  <c r="J23" i="24"/>
  <c r="B24" i="24"/>
  <c r="C24" i="24"/>
  <c r="D24" i="24"/>
  <c r="E24" i="24"/>
  <c r="I24" i="24"/>
  <c r="J24" i="24"/>
  <c r="B25" i="24"/>
  <c r="F25" i="24"/>
  <c r="G25" i="24"/>
  <c r="I25" i="24"/>
  <c r="J25" i="24"/>
  <c r="B26" i="24"/>
  <c r="G26" i="24"/>
  <c r="I26" i="24"/>
  <c r="J26" i="24"/>
  <c r="B27" i="24"/>
  <c r="E27" i="24"/>
  <c r="F27" i="24"/>
  <c r="G27" i="24"/>
  <c r="H27" i="24"/>
  <c r="I27" i="24"/>
  <c r="J27" i="24"/>
  <c r="B28" i="24"/>
  <c r="F28" i="24"/>
  <c r="G28" i="24"/>
  <c r="H28" i="24"/>
  <c r="I28" i="24"/>
  <c r="J28" i="24"/>
  <c r="B29" i="24"/>
  <c r="G29" i="24"/>
  <c r="H29" i="24"/>
  <c r="I29" i="24"/>
  <c r="J29" i="24"/>
  <c r="B30" i="24"/>
  <c r="C30" i="24" s="1"/>
  <c r="D30" i="24"/>
  <c r="E30" i="24"/>
  <c r="F30" i="24"/>
  <c r="G30" i="24"/>
  <c r="H30" i="24"/>
  <c r="I30" i="24"/>
  <c r="J30" i="24"/>
  <c r="B31" i="24"/>
  <c r="I31" i="24"/>
  <c r="J31" i="24"/>
  <c r="B32" i="24"/>
  <c r="C32" i="24" s="1"/>
  <c r="I32" i="24"/>
  <c r="J32" i="24"/>
  <c r="B33" i="24"/>
  <c r="C33" i="24"/>
  <c r="D33" i="24"/>
  <c r="E33" i="24"/>
  <c r="F33" i="24"/>
  <c r="I33" i="24"/>
  <c r="J33" i="24"/>
  <c r="B34" i="24"/>
  <c r="C34" i="24"/>
  <c r="I34" i="24"/>
  <c r="J34" i="24"/>
  <c r="B35" i="24"/>
  <c r="E35" i="24"/>
  <c r="I35" i="24"/>
  <c r="J35" i="24"/>
  <c r="B36" i="24"/>
  <c r="C36" i="24"/>
  <c r="D36" i="24"/>
  <c r="E36" i="24"/>
  <c r="F36" i="24"/>
  <c r="I36" i="24"/>
  <c r="J36" i="24"/>
  <c r="B37" i="24"/>
  <c r="H37" i="24"/>
  <c r="I37" i="24"/>
  <c r="J37" i="24"/>
  <c r="B38" i="24"/>
  <c r="C38" i="24"/>
  <c r="D38" i="24"/>
  <c r="E38" i="24"/>
  <c r="F38" i="24"/>
  <c r="G38" i="24"/>
  <c r="H38" i="24"/>
  <c r="I38" i="24"/>
  <c r="J38" i="24"/>
  <c r="B39" i="24"/>
  <c r="I39" i="24"/>
  <c r="J39" i="24"/>
  <c r="B40" i="24"/>
  <c r="F40" i="24" s="1"/>
  <c r="C40" i="24"/>
  <c r="D40" i="24"/>
  <c r="E40" i="24"/>
  <c r="G40" i="24"/>
  <c r="H40" i="24"/>
  <c r="I40" i="24"/>
  <c r="J40" i="24"/>
  <c r="B41" i="24"/>
  <c r="I41" i="24"/>
  <c r="J41" i="24"/>
  <c r="B42" i="24"/>
  <c r="C42" i="24"/>
  <c r="D42" i="24"/>
  <c r="E42" i="24"/>
  <c r="F42" i="24"/>
  <c r="G42" i="24"/>
  <c r="H42" i="24"/>
  <c r="I42" i="24"/>
  <c r="J42" i="24"/>
  <c r="B43" i="24"/>
  <c r="C43" i="24" s="1"/>
  <c r="E43" i="24"/>
  <c r="F43" i="24"/>
  <c r="G43" i="24"/>
  <c r="H43" i="24"/>
  <c r="I43" i="24"/>
  <c r="J43" i="24"/>
  <c r="B44" i="24"/>
  <c r="E44" i="24"/>
  <c r="F44" i="24"/>
  <c r="G44" i="24"/>
  <c r="H44" i="24"/>
  <c r="I44" i="24"/>
  <c r="J44" i="24"/>
  <c r="B45" i="24"/>
  <c r="C45" i="24" s="1"/>
  <c r="F45" i="24"/>
  <c r="G45" i="24"/>
  <c r="H45" i="24"/>
  <c r="I45" i="24"/>
  <c r="J45" i="24"/>
  <c r="B46" i="24"/>
  <c r="C46" i="24" s="1"/>
  <c r="D46" i="24"/>
  <c r="E46" i="24"/>
  <c r="F46" i="24"/>
  <c r="G46" i="24"/>
  <c r="H46" i="24"/>
  <c r="I46" i="24"/>
  <c r="J46" i="24"/>
  <c r="B47" i="24"/>
  <c r="I47" i="24"/>
  <c r="J47" i="24"/>
  <c r="B48" i="24"/>
  <c r="C48" i="24" s="1"/>
  <c r="D48" i="24"/>
  <c r="I48" i="24"/>
  <c r="J48" i="24"/>
  <c r="B49" i="24"/>
  <c r="I49" i="24"/>
  <c r="J49" i="24"/>
  <c r="B50" i="24"/>
  <c r="E50" i="24" s="1"/>
  <c r="F50" i="24"/>
  <c r="G50" i="24"/>
  <c r="H50" i="24"/>
  <c r="I50" i="24"/>
  <c r="J50" i="24"/>
  <c r="B51" i="24"/>
  <c r="I51" i="24"/>
  <c r="J51" i="24"/>
  <c r="B52" i="24"/>
  <c r="C52" i="24" s="1"/>
  <c r="D52" i="24"/>
  <c r="E52" i="24"/>
  <c r="F52" i="24"/>
  <c r="G52" i="24"/>
  <c r="H52" i="24"/>
  <c r="I52" i="24"/>
  <c r="J52" i="24"/>
  <c r="B53" i="24"/>
  <c r="I53" i="24"/>
  <c r="J53" i="24"/>
  <c r="B54" i="24"/>
  <c r="C54" i="24"/>
  <c r="D54" i="24"/>
  <c r="E54" i="24"/>
  <c r="F54" i="24"/>
  <c r="G54" i="24"/>
  <c r="H54" i="24"/>
  <c r="I54" i="24"/>
  <c r="J54" i="24"/>
  <c r="B55" i="24"/>
  <c r="H55" i="24"/>
  <c r="I55" i="24"/>
  <c r="J55" i="24"/>
  <c r="B56" i="24"/>
  <c r="I56" i="24"/>
  <c r="J56" i="24"/>
  <c r="B57" i="24"/>
  <c r="F57" i="24"/>
  <c r="G57" i="24"/>
  <c r="I57" i="24"/>
  <c r="J57" i="24"/>
  <c r="B58" i="24"/>
  <c r="H58" i="24" s="1"/>
  <c r="C58" i="24"/>
  <c r="D58" i="24"/>
  <c r="E58" i="24"/>
  <c r="F58" i="24"/>
  <c r="G58" i="24"/>
  <c r="I58" i="24"/>
  <c r="J58" i="24"/>
  <c r="B59" i="24"/>
  <c r="F59" i="24"/>
  <c r="G59" i="24"/>
  <c r="H59" i="24"/>
  <c r="I59" i="24"/>
  <c r="J59" i="24"/>
  <c r="B60" i="24"/>
  <c r="C60" i="24" s="1"/>
  <c r="D60" i="24"/>
  <c r="E60" i="24"/>
  <c r="F60" i="24"/>
  <c r="G60" i="24"/>
  <c r="H60" i="24"/>
  <c r="I60" i="24"/>
  <c r="J60" i="24"/>
  <c r="B61" i="24"/>
  <c r="C61" i="24" s="1"/>
  <c r="F61" i="24"/>
  <c r="G61" i="24"/>
  <c r="H61" i="24"/>
  <c r="I61" i="24"/>
  <c r="J61" i="24"/>
  <c r="B62" i="24"/>
  <c r="C62" i="24"/>
  <c r="D62" i="24"/>
  <c r="E62" i="24"/>
  <c r="F62" i="24"/>
  <c r="G62" i="24"/>
  <c r="H62" i="24"/>
  <c r="I62" i="24"/>
  <c r="J62" i="24"/>
  <c r="B63" i="24"/>
  <c r="I63" i="24"/>
  <c r="J63" i="24"/>
  <c r="B64" i="24"/>
  <c r="C64" i="24"/>
  <c r="D64" i="24"/>
  <c r="I64" i="24"/>
  <c r="J64" i="24"/>
  <c r="B65" i="24"/>
  <c r="C65" i="24"/>
  <c r="D65" i="24"/>
  <c r="E65" i="24"/>
  <c r="F65" i="24"/>
  <c r="I65" i="24"/>
  <c r="J65" i="24"/>
  <c r="B66" i="24"/>
  <c r="E66" i="24" s="1"/>
  <c r="F66" i="24"/>
  <c r="G66" i="24"/>
  <c r="H66" i="24"/>
  <c r="I66" i="24"/>
  <c r="J66" i="24"/>
  <c r="B67" i="24"/>
  <c r="D67" i="24"/>
  <c r="E67" i="24"/>
  <c r="F67" i="24"/>
  <c r="I67" i="24"/>
  <c r="J67" i="24"/>
  <c r="B68" i="24"/>
  <c r="C68" i="24" s="1"/>
  <c r="I68" i="24"/>
  <c r="J68" i="24"/>
  <c r="B69" i="24"/>
  <c r="C69" i="24" s="1"/>
  <c r="F69" i="24"/>
  <c r="G69" i="24"/>
  <c r="H69" i="24"/>
  <c r="I69" i="24"/>
  <c r="J69" i="24"/>
  <c r="B70" i="24"/>
  <c r="C70" i="24"/>
  <c r="D70" i="24"/>
  <c r="E70" i="24"/>
  <c r="F70" i="24"/>
  <c r="G70" i="24"/>
  <c r="H70" i="24"/>
  <c r="I70" i="24"/>
  <c r="J70" i="24"/>
  <c r="B71" i="24"/>
  <c r="D71" i="24" s="1"/>
  <c r="C71" i="24"/>
  <c r="G71" i="24"/>
  <c r="H71" i="24"/>
  <c r="I71" i="24"/>
  <c r="J71" i="24"/>
  <c r="B72" i="24"/>
  <c r="F72" i="24" s="1"/>
  <c r="C72" i="24"/>
  <c r="D72" i="24"/>
  <c r="E72" i="24"/>
  <c r="G72" i="24"/>
  <c r="H72" i="24"/>
  <c r="I72" i="24"/>
  <c r="J72" i="24"/>
  <c r="B73" i="24"/>
  <c r="G73" i="24"/>
  <c r="I73" i="24"/>
  <c r="J73" i="24"/>
  <c r="B74" i="24"/>
  <c r="C74" i="24" s="1"/>
  <c r="D74" i="24"/>
  <c r="E74" i="24"/>
  <c r="F74" i="24"/>
  <c r="G74" i="24"/>
  <c r="H74" i="24"/>
  <c r="I74" i="24"/>
  <c r="J74" i="24"/>
  <c r="B75" i="24"/>
  <c r="F75" i="24" s="1"/>
  <c r="C75" i="24"/>
  <c r="I75" i="24"/>
  <c r="J75" i="24"/>
  <c r="B76" i="24"/>
  <c r="C76" i="24" s="1"/>
  <c r="D76" i="24"/>
  <c r="E76" i="24"/>
  <c r="F76" i="24"/>
  <c r="G76" i="24"/>
  <c r="H76" i="24"/>
  <c r="I76" i="24"/>
  <c r="J76" i="24"/>
  <c r="B77" i="24"/>
  <c r="C77" i="24" s="1"/>
  <c r="F77" i="24"/>
  <c r="G77" i="24"/>
  <c r="H77" i="24"/>
  <c r="I77" i="24"/>
  <c r="J77" i="24"/>
  <c r="B78" i="24"/>
  <c r="C78" i="24"/>
  <c r="D78" i="24"/>
  <c r="E78" i="24"/>
  <c r="F78" i="24"/>
  <c r="G78" i="24"/>
  <c r="H78" i="24"/>
  <c r="I78" i="24"/>
  <c r="J78" i="24"/>
  <c r="B79" i="24"/>
  <c r="I79" i="24"/>
  <c r="J79" i="24"/>
  <c r="B80" i="24"/>
  <c r="D80" i="24"/>
  <c r="I80" i="24"/>
  <c r="J80" i="24"/>
  <c r="B81" i="24"/>
  <c r="C81" i="24"/>
  <c r="D81" i="24"/>
  <c r="E81" i="24"/>
  <c r="F81" i="24"/>
  <c r="I81" i="24"/>
  <c r="J81" i="24"/>
  <c r="B82" i="24"/>
  <c r="G82" i="24" s="1"/>
  <c r="C82" i="24"/>
  <c r="D82" i="24"/>
  <c r="E82" i="24"/>
  <c r="F82" i="24"/>
  <c r="I82" i="24"/>
  <c r="J82" i="24"/>
  <c r="B83" i="24"/>
  <c r="C83" i="24" s="1"/>
  <c r="D83" i="24"/>
  <c r="G83" i="24"/>
  <c r="H83" i="24"/>
  <c r="I83" i="24"/>
  <c r="J83" i="24"/>
  <c r="B84" i="24"/>
  <c r="I84" i="24"/>
  <c r="J84" i="24"/>
  <c r="B85" i="24"/>
  <c r="E85" i="24"/>
  <c r="H85" i="24"/>
  <c r="I85" i="24"/>
  <c r="J85" i="24"/>
  <c r="AI5" i="24"/>
  <c r="A1" i="23"/>
  <c r="P2" i="23"/>
  <c r="J3" i="23" s="1"/>
  <c r="M4" i="23"/>
  <c r="AI4" i="23"/>
  <c r="J6" i="23"/>
  <c r="B10" i="23"/>
  <c r="F10" i="23"/>
  <c r="G10" i="23"/>
  <c r="H10" i="23"/>
  <c r="I10" i="23"/>
  <c r="J10" i="23"/>
  <c r="B11" i="23"/>
  <c r="C11" i="23"/>
  <c r="D11" i="23"/>
  <c r="E11" i="23"/>
  <c r="F11" i="23"/>
  <c r="G11" i="23"/>
  <c r="H11" i="23"/>
  <c r="I11" i="23"/>
  <c r="J11" i="23"/>
  <c r="B12" i="23"/>
  <c r="F12" i="23"/>
  <c r="G12" i="23"/>
  <c r="H12" i="23"/>
  <c r="I12" i="23"/>
  <c r="J12" i="23"/>
  <c r="B13" i="23"/>
  <c r="G13" i="23"/>
  <c r="H13" i="23"/>
  <c r="I13" i="23"/>
  <c r="J13" i="23"/>
  <c r="B14" i="23"/>
  <c r="F14" i="23"/>
  <c r="H14" i="23"/>
  <c r="I14" i="23"/>
  <c r="J14" i="23"/>
  <c r="B15" i="23"/>
  <c r="I15" i="23"/>
  <c r="J15" i="23"/>
  <c r="B16" i="23"/>
  <c r="C16" i="23"/>
  <c r="I16" i="23"/>
  <c r="J16" i="23"/>
  <c r="B17" i="23"/>
  <c r="F17" i="23" s="1"/>
  <c r="C17" i="23"/>
  <c r="D17" i="23"/>
  <c r="E17" i="23"/>
  <c r="I17" i="23"/>
  <c r="J17" i="23"/>
  <c r="B18" i="23"/>
  <c r="G18" i="23"/>
  <c r="H18" i="23"/>
  <c r="I18" i="23"/>
  <c r="J18" i="23"/>
  <c r="B19" i="23"/>
  <c r="I19" i="23"/>
  <c r="J19" i="23"/>
  <c r="B20" i="23"/>
  <c r="C20" i="23"/>
  <c r="D20" i="23"/>
  <c r="E20" i="23"/>
  <c r="F20" i="23"/>
  <c r="G20" i="23"/>
  <c r="H20" i="23"/>
  <c r="I20" i="23"/>
  <c r="J20" i="23"/>
  <c r="B21" i="23"/>
  <c r="C21" i="23" s="1"/>
  <c r="G21" i="23"/>
  <c r="H21" i="23"/>
  <c r="I21" i="23"/>
  <c r="J21" i="23"/>
  <c r="B22" i="23"/>
  <c r="H22" i="23"/>
  <c r="I22" i="23"/>
  <c r="J22" i="23"/>
  <c r="B23" i="23"/>
  <c r="F23" i="23"/>
  <c r="G23" i="23"/>
  <c r="H23" i="23"/>
  <c r="I23" i="23"/>
  <c r="J23" i="23"/>
  <c r="B24" i="23"/>
  <c r="D24" i="23"/>
  <c r="E24" i="23"/>
  <c r="F24" i="23"/>
  <c r="I24" i="23"/>
  <c r="J24" i="23"/>
  <c r="B25" i="23"/>
  <c r="C25" i="23" s="1"/>
  <c r="D25" i="23"/>
  <c r="E25" i="23"/>
  <c r="F25" i="23"/>
  <c r="G25" i="23"/>
  <c r="H25" i="23"/>
  <c r="I25" i="23"/>
  <c r="J25" i="23"/>
  <c r="B26" i="23"/>
  <c r="E26" i="23"/>
  <c r="I26" i="23"/>
  <c r="J26" i="23"/>
  <c r="B27" i="23"/>
  <c r="C27" i="23" s="1"/>
  <c r="D27" i="23"/>
  <c r="F27" i="23"/>
  <c r="I27" i="23"/>
  <c r="J27" i="23"/>
  <c r="B28" i="23"/>
  <c r="C28" i="23" s="1"/>
  <c r="D28" i="23"/>
  <c r="E28" i="23"/>
  <c r="F28" i="23"/>
  <c r="G28" i="23"/>
  <c r="H28" i="23"/>
  <c r="I28" i="23"/>
  <c r="J28" i="23"/>
  <c r="B29" i="23"/>
  <c r="F29" i="23"/>
  <c r="G29" i="23"/>
  <c r="H29" i="23"/>
  <c r="I29" i="23"/>
  <c r="J29" i="23"/>
  <c r="B30" i="23"/>
  <c r="D30" i="23"/>
  <c r="E30" i="23"/>
  <c r="F30" i="23"/>
  <c r="H30" i="23"/>
  <c r="I30" i="23"/>
  <c r="J30" i="23"/>
  <c r="B31" i="23"/>
  <c r="I31" i="23"/>
  <c r="J31" i="23"/>
  <c r="B32" i="23"/>
  <c r="I32" i="23"/>
  <c r="J32" i="23"/>
  <c r="B33" i="23"/>
  <c r="C33" i="23"/>
  <c r="D33" i="23"/>
  <c r="E33" i="23"/>
  <c r="F33" i="23"/>
  <c r="I33" i="23"/>
  <c r="J33" i="23"/>
  <c r="B34" i="23"/>
  <c r="H34" i="23"/>
  <c r="I34" i="23"/>
  <c r="J34" i="23"/>
  <c r="B35" i="23"/>
  <c r="C35" i="23"/>
  <c r="D35" i="23"/>
  <c r="E35" i="23"/>
  <c r="F35" i="23"/>
  <c r="G35" i="23"/>
  <c r="H35" i="23"/>
  <c r="I35" i="23"/>
  <c r="J35" i="23"/>
  <c r="B36" i="23"/>
  <c r="C36" i="23"/>
  <c r="I36" i="23"/>
  <c r="J36" i="23"/>
  <c r="B37" i="23"/>
  <c r="F37" i="23"/>
  <c r="G37" i="23"/>
  <c r="H37" i="23"/>
  <c r="I37" i="23"/>
  <c r="J37" i="23"/>
  <c r="B38" i="23"/>
  <c r="E38" i="23" s="1"/>
  <c r="D38" i="23"/>
  <c r="I38" i="23"/>
  <c r="J38" i="23"/>
  <c r="B39" i="23"/>
  <c r="I39" i="23"/>
  <c r="J39" i="23"/>
  <c r="B40" i="23"/>
  <c r="G40" i="23" s="1"/>
  <c r="C40" i="23"/>
  <c r="D40" i="23"/>
  <c r="E40" i="23"/>
  <c r="F40" i="23"/>
  <c r="H40" i="23"/>
  <c r="I40" i="23"/>
  <c r="J40" i="23"/>
  <c r="B41" i="23"/>
  <c r="I41" i="23"/>
  <c r="J41" i="23"/>
  <c r="B42" i="23"/>
  <c r="I42" i="23"/>
  <c r="J42" i="23"/>
  <c r="B43" i="23"/>
  <c r="H43" i="23" s="1"/>
  <c r="C43" i="23"/>
  <c r="D43" i="23"/>
  <c r="E43" i="23"/>
  <c r="F43" i="23"/>
  <c r="G43" i="23"/>
  <c r="I43" i="23"/>
  <c r="J43" i="23"/>
  <c r="B44" i="23"/>
  <c r="H44" i="23"/>
  <c r="I44" i="23"/>
  <c r="J44" i="23"/>
  <c r="B45" i="23"/>
  <c r="E45" i="23" s="1"/>
  <c r="C45" i="23"/>
  <c r="D45" i="23"/>
  <c r="F45" i="23"/>
  <c r="G45" i="23"/>
  <c r="H45" i="23"/>
  <c r="I45" i="23"/>
  <c r="J45" i="23"/>
  <c r="B46" i="23"/>
  <c r="G46" i="23" s="1"/>
  <c r="C46" i="23"/>
  <c r="D46" i="23"/>
  <c r="E46" i="23"/>
  <c r="F46" i="23"/>
  <c r="H46" i="23"/>
  <c r="I46" i="23"/>
  <c r="J46" i="23"/>
  <c r="B47" i="23"/>
  <c r="I47" i="23"/>
  <c r="J47" i="23"/>
  <c r="B48" i="23"/>
  <c r="C48" i="23"/>
  <c r="D48" i="23"/>
  <c r="I48" i="23"/>
  <c r="J48" i="23"/>
  <c r="B49" i="23"/>
  <c r="C49" i="23"/>
  <c r="D49" i="23"/>
  <c r="E49" i="23"/>
  <c r="F49" i="23"/>
  <c r="I49" i="23"/>
  <c r="J49" i="23"/>
  <c r="B50" i="23"/>
  <c r="C50" i="23" s="1"/>
  <c r="I50" i="23"/>
  <c r="J50" i="23"/>
  <c r="B51" i="23"/>
  <c r="C51" i="23" s="1"/>
  <c r="D51" i="23"/>
  <c r="E51" i="23"/>
  <c r="F51" i="23"/>
  <c r="G51" i="23"/>
  <c r="H51" i="23"/>
  <c r="I51" i="23"/>
  <c r="J51" i="23"/>
  <c r="B52" i="23"/>
  <c r="H52" i="23"/>
  <c r="I52" i="23"/>
  <c r="J52" i="23"/>
  <c r="B53" i="23"/>
  <c r="C53" i="23" s="1"/>
  <c r="I53" i="23"/>
  <c r="J53" i="23"/>
  <c r="B54" i="23"/>
  <c r="C54" i="23" s="1"/>
  <c r="D54" i="23"/>
  <c r="E54" i="23"/>
  <c r="F54" i="23"/>
  <c r="G54" i="23"/>
  <c r="H54" i="23"/>
  <c r="I54" i="23"/>
  <c r="J54" i="23"/>
  <c r="B55" i="23"/>
  <c r="I55" i="23"/>
  <c r="J55" i="23"/>
  <c r="B56" i="23"/>
  <c r="G56" i="23" s="1"/>
  <c r="D56" i="23"/>
  <c r="E56" i="23"/>
  <c r="F56" i="23"/>
  <c r="I56" i="23"/>
  <c r="J56" i="23"/>
  <c r="B57" i="23"/>
  <c r="C57" i="23"/>
  <c r="D57" i="23"/>
  <c r="E57" i="23"/>
  <c r="F57" i="23"/>
  <c r="G57" i="23"/>
  <c r="H57" i="23"/>
  <c r="I57" i="23"/>
  <c r="J57" i="23"/>
  <c r="B58" i="23"/>
  <c r="D58" i="23"/>
  <c r="I58" i="23"/>
  <c r="J58" i="23"/>
  <c r="B59" i="23"/>
  <c r="E59" i="23"/>
  <c r="F59" i="23"/>
  <c r="G59" i="23"/>
  <c r="H59" i="23"/>
  <c r="I59" i="23"/>
  <c r="J59" i="23"/>
  <c r="B60" i="23"/>
  <c r="C60" i="23" s="1"/>
  <c r="D60" i="23"/>
  <c r="E60" i="23"/>
  <c r="F60" i="23"/>
  <c r="G60" i="23"/>
  <c r="H60" i="23"/>
  <c r="I60" i="23"/>
  <c r="J60" i="23"/>
  <c r="B61" i="23"/>
  <c r="D61" i="23"/>
  <c r="F61" i="23"/>
  <c r="G61" i="23"/>
  <c r="H61" i="23"/>
  <c r="I61" i="23"/>
  <c r="J61" i="23"/>
  <c r="B62" i="23"/>
  <c r="E62" i="23"/>
  <c r="F62" i="23"/>
  <c r="H62" i="23"/>
  <c r="I62" i="23"/>
  <c r="J62" i="23"/>
  <c r="B63" i="23"/>
  <c r="I63" i="23"/>
  <c r="J63" i="23"/>
  <c r="B64" i="23"/>
  <c r="I64" i="23"/>
  <c r="J64" i="23"/>
  <c r="B65" i="23"/>
  <c r="I65" i="23"/>
  <c r="J65" i="23"/>
  <c r="B66" i="23"/>
  <c r="C66" i="23"/>
  <c r="D66" i="23"/>
  <c r="E66" i="23"/>
  <c r="F66" i="23"/>
  <c r="G66" i="23"/>
  <c r="H66" i="23"/>
  <c r="I66" i="23"/>
  <c r="J66" i="23"/>
  <c r="B67" i="23"/>
  <c r="C67" i="23"/>
  <c r="D67" i="23"/>
  <c r="E67" i="23"/>
  <c r="F67" i="23"/>
  <c r="G67" i="23"/>
  <c r="H67" i="23"/>
  <c r="I67" i="23"/>
  <c r="J67" i="23"/>
  <c r="B68" i="23"/>
  <c r="C68" i="23" s="1"/>
  <c r="F68" i="23"/>
  <c r="H68" i="23"/>
  <c r="I68" i="23"/>
  <c r="J68" i="23"/>
  <c r="B69" i="23"/>
  <c r="H69" i="23" s="1"/>
  <c r="I69" i="23"/>
  <c r="J69" i="23"/>
  <c r="B70" i="23"/>
  <c r="I70" i="23"/>
  <c r="J70" i="23"/>
  <c r="B71" i="23"/>
  <c r="E71" i="23" s="1"/>
  <c r="C71" i="23"/>
  <c r="F71" i="23"/>
  <c r="G71" i="23"/>
  <c r="H71" i="23"/>
  <c r="I71" i="23"/>
  <c r="J71" i="23"/>
  <c r="B72" i="23"/>
  <c r="C72" i="23"/>
  <c r="I72" i="23"/>
  <c r="J72" i="23"/>
  <c r="B73" i="23"/>
  <c r="C73" i="23"/>
  <c r="D73" i="23"/>
  <c r="E73" i="23"/>
  <c r="I73" i="23"/>
  <c r="J73" i="23"/>
  <c r="B74" i="23"/>
  <c r="C74" i="23" s="1"/>
  <c r="D74" i="23"/>
  <c r="E74" i="23"/>
  <c r="F74" i="23"/>
  <c r="G74" i="23"/>
  <c r="H74" i="23"/>
  <c r="I74" i="23"/>
  <c r="J74" i="23"/>
  <c r="B75" i="23"/>
  <c r="C75" i="23"/>
  <c r="D75" i="23"/>
  <c r="I75" i="23"/>
  <c r="J75" i="23"/>
  <c r="B76" i="23"/>
  <c r="C76" i="23" s="1"/>
  <c r="D76" i="23"/>
  <c r="E76" i="23"/>
  <c r="F76" i="23"/>
  <c r="G76" i="23"/>
  <c r="H76" i="23"/>
  <c r="I76" i="23"/>
  <c r="J76" i="23"/>
  <c r="B77" i="23"/>
  <c r="E77" i="23" s="1"/>
  <c r="C77" i="23"/>
  <c r="D77" i="23"/>
  <c r="F77" i="23"/>
  <c r="G77" i="23"/>
  <c r="H77" i="23"/>
  <c r="I77" i="23"/>
  <c r="J77" i="23"/>
  <c r="B78" i="23"/>
  <c r="D78" i="23"/>
  <c r="E78" i="23"/>
  <c r="F78" i="23"/>
  <c r="H78" i="23"/>
  <c r="I78" i="23"/>
  <c r="J78" i="23"/>
  <c r="B79" i="23"/>
  <c r="I79" i="23"/>
  <c r="J79" i="23"/>
  <c r="B80" i="23"/>
  <c r="I80" i="23"/>
  <c r="J80" i="23"/>
  <c r="B81" i="23"/>
  <c r="C81" i="23"/>
  <c r="D81" i="23"/>
  <c r="I81" i="23"/>
  <c r="J81" i="23"/>
  <c r="B82" i="23"/>
  <c r="C82" i="23" s="1"/>
  <c r="I82" i="23"/>
  <c r="J82" i="23"/>
  <c r="B83" i="23"/>
  <c r="C83" i="23" s="1"/>
  <c r="E83" i="23"/>
  <c r="F83" i="23"/>
  <c r="G83" i="23"/>
  <c r="H83" i="23"/>
  <c r="I83" i="23"/>
  <c r="J83" i="23"/>
  <c r="B84" i="23"/>
  <c r="D84" i="23"/>
  <c r="E84" i="23"/>
  <c r="F84" i="23"/>
  <c r="I84" i="23"/>
  <c r="J84" i="23"/>
  <c r="B85" i="23"/>
  <c r="C85" i="23"/>
  <c r="D85" i="23"/>
  <c r="F85" i="23"/>
  <c r="H85" i="23"/>
  <c r="I85" i="23"/>
  <c r="J85" i="23"/>
  <c r="A1" i="22"/>
  <c r="P2" i="22"/>
  <c r="M4" i="22"/>
  <c r="AI4" i="22"/>
  <c r="J5" i="22"/>
  <c r="J6" i="22"/>
  <c r="B10" i="22"/>
  <c r="C10" i="22" s="1"/>
  <c r="D10" i="22"/>
  <c r="E10" i="22"/>
  <c r="F10" i="22"/>
  <c r="G10" i="22"/>
  <c r="H10" i="22"/>
  <c r="I10" i="22"/>
  <c r="J10" i="22"/>
  <c r="B11" i="22"/>
  <c r="C11" i="22" s="1"/>
  <c r="E11" i="22"/>
  <c r="F11" i="22"/>
  <c r="G11" i="22"/>
  <c r="H11" i="22"/>
  <c r="I11" i="22"/>
  <c r="J11" i="22"/>
  <c r="B12" i="22"/>
  <c r="E12" i="22" s="1"/>
  <c r="C12" i="22"/>
  <c r="D12" i="22"/>
  <c r="F12" i="22"/>
  <c r="G12" i="22"/>
  <c r="H12" i="22"/>
  <c r="I12" i="22"/>
  <c r="J12" i="22"/>
  <c r="B13" i="22"/>
  <c r="D13" i="22"/>
  <c r="E13" i="22"/>
  <c r="F13" i="22"/>
  <c r="H13" i="22"/>
  <c r="I13" i="22"/>
  <c r="J13" i="22"/>
  <c r="B14" i="22"/>
  <c r="F14" i="22"/>
  <c r="G14" i="22"/>
  <c r="H14" i="22"/>
  <c r="I14" i="22"/>
  <c r="J14" i="22"/>
  <c r="B15" i="22"/>
  <c r="C15" i="22" s="1"/>
  <c r="D15" i="22"/>
  <c r="E15" i="22"/>
  <c r="F15" i="22"/>
  <c r="G15" i="22"/>
  <c r="H15" i="22"/>
  <c r="I15" i="22"/>
  <c r="J15" i="22"/>
  <c r="B16" i="22"/>
  <c r="I16" i="22"/>
  <c r="J16" i="22"/>
  <c r="B17" i="22"/>
  <c r="C17" i="22"/>
  <c r="D17" i="22"/>
  <c r="I17" i="22"/>
  <c r="J17" i="22"/>
  <c r="B18" i="22"/>
  <c r="I18" i="22"/>
  <c r="J18" i="22"/>
  <c r="B19" i="22"/>
  <c r="C19" i="22" s="1"/>
  <c r="D19" i="22"/>
  <c r="E19" i="22"/>
  <c r="F19" i="22"/>
  <c r="G19" i="22"/>
  <c r="H19" i="22"/>
  <c r="I19" i="22"/>
  <c r="J19" i="22"/>
  <c r="B20" i="22"/>
  <c r="F20" i="22"/>
  <c r="G20" i="22"/>
  <c r="H20" i="22"/>
  <c r="I20" i="22"/>
  <c r="J20" i="22"/>
  <c r="B21" i="22"/>
  <c r="E21" i="22"/>
  <c r="F21" i="22"/>
  <c r="G21" i="22"/>
  <c r="H21" i="22"/>
  <c r="I21" i="22"/>
  <c r="J21" i="22"/>
  <c r="B22" i="22"/>
  <c r="D22" i="22" s="1"/>
  <c r="C22" i="22"/>
  <c r="E22" i="22"/>
  <c r="F22" i="22"/>
  <c r="G22" i="22"/>
  <c r="H22" i="22"/>
  <c r="I22" i="22"/>
  <c r="J22" i="22"/>
  <c r="B23" i="22"/>
  <c r="C23" i="22" s="1"/>
  <c r="H23" i="22"/>
  <c r="I23" i="22"/>
  <c r="J23" i="22"/>
  <c r="B24" i="22"/>
  <c r="C24" i="22" s="1"/>
  <c r="D24" i="22"/>
  <c r="E24" i="22"/>
  <c r="I24" i="22"/>
  <c r="J24" i="22"/>
  <c r="B25" i="22"/>
  <c r="D25" i="22"/>
  <c r="E25" i="22"/>
  <c r="F25" i="22"/>
  <c r="G25" i="22"/>
  <c r="I25" i="22"/>
  <c r="J25" i="22"/>
  <c r="B26" i="22"/>
  <c r="C26" i="22"/>
  <c r="D26" i="22"/>
  <c r="E26" i="22"/>
  <c r="F26" i="22"/>
  <c r="G26" i="22"/>
  <c r="H26" i="22"/>
  <c r="I26" i="22"/>
  <c r="J26" i="22"/>
  <c r="B27" i="22"/>
  <c r="C27" i="22" s="1"/>
  <c r="E27" i="22"/>
  <c r="F27" i="22"/>
  <c r="G27" i="22"/>
  <c r="H27" i="22"/>
  <c r="I27" i="22"/>
  <c r="J27" i="22"/>
  <c r="B28" i="22"/>
  <c r="E28" i="22" s="1"/>
  <c r="C28" i="22"/>
  <c r="D28" i="22"/>
  <c r="F28" i="22"/>
  <c r="G28" i="22"/>
  <c r="H28" i="22"/>
  <c r="I28" i="22"/>
  <c r="J28" i="22"/>
  <c r="B29" i="22"/>
  <c r="G29" i="22" s="1"/>
  <c r="C29" i="22"/>
  <c r="D29" i="22"/>
  <c r="E29" i="22"/>
  <c r="F29" i="22"/>
  <c r="H29" i="22"/>
  <c r="I29" i="22"/>
  <c r="J29" i="22"/>
  <c r="B30" i="22"/>
  <c r="E30" i="22"/>
  <c r="F30" i="22"/>
  <c r="G30" i="22"/>
  <c r="H30" i="22"/>
  <c r="I30" i="22"/>
  <c r="J30" i="22"/>
  <c r="B31" i="22"/>
  <c r="E31" i="22"/>
  <c r="F31" i="22"/>
  <c r="G31" i="22"/>
  <c r="H31" i="22"/>
  <c r="I31" i="22"/>
  <c r="J31" i="22"/>
  <c r="B32" i="22"/>
  <c r="I32" i="22"/>
  <c r="J32" i="22"/>
  <c r="B33" i="22"/>
  <c r="C33" i="22"/>
  <c r="D33" i="22"/>
  <c r="I33" i="22"/>
  <c r="J33" i="22"/>
  <c r="B34" i="22"/>
  <c r="C34" i="22" s="1"/>
  <c r="I34" i="22"/>
  <c r="J34" i="22"/>
  <c r="B35" i="22"/>
  <c r="I35" i="22"/>
  <c r="J35" i="22"/>
  <c r="B36" i="22"/>
  <c r="C36" i="22"/>
  <c r="D36" i="22"/>
  <c r="E36" i="22"/>
  <c r="F36" i="22"/>
  <c r="G36" i="22"/>
  <c r="H36" i="22"/>
  <c r="I36" i="22"/>
  <c r="J36" i="22"/>
  <c r="B37" i="22"/>
  <c r="C37" i="22" s="1"/>
  <c r="D37" i="22"/>
  <c r="E37" i="22"/>
  <c r="F37" i="22"/>
  <c r="G37" i="22"/>
  <c r="H37" i="22"/>
  <c r="I37" i="22"/>
  <c r="J37" i="22"/>
  <c r="B38" i="22"/>
  <c r="C38" i="22"/>
  <c r="D38" i="22"/>
  <c r="E38" i="22"/>
  <c r="F38" i="22"/>
  <c r="G38" i="22"/>
  <c r="H38" i="22"/>
  <c r="I38" i="22"/>
  <c r="J38" i="22"/>
  <c r="B39" i="22"/>
  <c r="C39" i="22" s="1"/>
  <c r="G39" i="22"/>
  <c r="H39" i="22"/>
  <c r="I39" i="22"/>
  <c r="J39" i="22"/>
  <c r="B40" i="22"/>
  <c r="C40" i="22"/>
  <c r="D40" i="22"/>
  <c r="E40" i="22"/>
  <c r="I40" i="22"/>
  <c r="J40" i="22"/>
  <c r="B41" i="22"/>
  <c r="H41" i="22" s="1"/>
  <c r="C41" i="22"/>
  <c r="D41" i="22"/>
  <c r="E41" i="22"/>
  <c r="F41" i="22"/>
  <c r="G41" i="22"/>
  <c r="I41" i="22"/>
  <c r="J41" i="22"/>
  <c r="B42" i="22"/>
  <c r="E42" i="22"/>
  <c r="F42" i="22"/>
  <c r="G42" i="22"/>
  <c r="H42" i="22"/>
  <c r="I42" i="22"/>
  <c r="J42" i="22"/>
  <c r="B43" i="22"/>
  <c r="F43" i="22"/>
  <c r="G43" i="22"/>
  <c r="H43" i="22"/>
  <c r="I43" i="22"/>
  <c r="J43" i="22"/>
  <c r="B44" i="22"/>
  <c r="D44" i="22"/>
  <c r="F44" i="22"/>
  <c r="G44" i="22"/>
  <c r="H44" i="22"/>
  <c r="I44" i="22"/>
  <c r="J44" i="22"/>
  <c r="B45" i="22"/>
  <c r="G45" i="22" s="1"/>
  <c r="C45" i="22"/>
  <c r="D45" i="22"/>
  <c r="E45" i="22"/>
  <c r="F45" i="22"/>
  <c r="H45" i="22"/>
  <c r="I45" i="22"/>
  <c r="J45" i="22"/>
  <c r="B46" i="22"/>
  <c r="C46" i="22" s="1"/>
  <c r="D46" i="22"/>
  <c r="E46" i="22"/>
  <c r="F46" i="22"/>
  <c r="G46" i="22"/>
  <c r="H46" i="22"/>
  <c r="I46" i="22"/>
  <c r="J46" i="22"/>
  <c r="B47" i="22"/>
  <c r="C47" i="22" s="1"/>
  <c r="D47" i="22"/>
  <c r="E47" i="22"/>
  <c r="F47" i="22"/>
  <c r="G47" i="22"/>
  <c r="H47" i="22"/>
  <c r="I47" i="22"/>
  <c r="J47" i="22"/>
  <c r="B48" i="22"/>
  <c r="I48" i="22"/>
  <c r="J48" i="22"/>
  <c r="B49" i="22"/>
  <c r="I49" i="22"/>
  <c r="J49" i="22"/>
  <c r="B50" i="22"/>
  <c r="C50" i="22"/>
  <c r="D50" i="22"/>
  <c r="E50" i="22"/>
  <c r="F50" i="22"/>
  <c r="I50" i="22"/>
  <c r="J50" i="22"/>
  <c r="B51" i="22"/>
  <c r="C51" i="22" s="1"/>
  <c r="D51" i="22"/>
  <c r="E51" i="22"/>
  <c r="F51" i="22"/>
  <c r="G51" i="22"/>
  <c r="H51" i="22"/>
  <c r="I51" i="22"/>
  <c r="J51" i="22"/>
  <c r="B52" i="22"/>
  <c r="E52" i="22"/>
  <c r="G52" i="22"/>
  <c r="H52" i="22"/>
  <c r="I52" i="22"/>
  <c r="J52" i="22"/>
  <c r="B53" i="22"/>
  <c r="C53" i="22" s="1"/>
  <c r="D53" i="22"/>
  <c r="E53" i="22"/>
  <c r="F53" i="22"/>
  <c r="G53" i="22"/>
  <c r="H53" i="22"/>
  <c r="I53" i="22"/>
  <c r="J53" i="22"/>
  <c r="B54" i="22"/>
  <c r="C54" i="22" s="1"/>
  <c r="D54" i="22"/>
  <c r="E54" i="22"/>
  <c r="F54" i="22"/>
  <c r="G54" i="22"/>
  <c r="H54" i="22"/>
  <c r="I54" i="22"/>
  <c r="J54" i="22"/>
  <c r="B55" i="22"/>
  <c r="I55" i="22"/>
  <c r="J55" i="22"/>
  <c r="B56" i="22"/>
  <c r="C56" i="22" s="1"/>
  <c r="D56" i="22"/>
  <c r="E56" i="22"/>
  <c r="I56" i="22"/>
  <c r="J56" i="22"/>
  <c r="B57" i="22"/>
  <c r="C57" i="22"/>
  <c r="D57" i="22"/>
  <c r="E57" i="22"/>
  <c r="F57" i="22"/>
  <c r="G57" i="22"/>
  <c r="I57" i="22"/>
  <c r="J57" i="22"/>
  <c r="B58" i="22"/>
  <c r="C58" i="22"/>
  <c r="D58" i="22"/>
  <c r="E58" i="22"/>
  <c r="F58" i="22"/>
  <c r="G58" i="22"/>
  <c r="H58" i="22"/>
  <c r="I58" i="22"/>
  <c r="J58" i="22"/>
  <c r="B59" i="22"/>
  <c r="C59" i="22" s="1"/>
  <c r="E59" i="22"/>
  <c r="F59" i="22"/>
  <c r="G59" i="22"/>
  <c r="H59" i="22"/>
  <c r="I59" i="22"/>
  <c r="J59" i="22"/>
  <c r="B60" i="22"/>
  <c r="D60" i="22"/>
  <c r="F60" i="22"/>
  <c r="G60" i="22"/>
  <c r="H60" i="22"/>
  <c r="I60" i="22"/>
  <c r="J60" i="22"/>
  <c r="B61" i="22"/>
  <c r="D61" i="22"/>
  <c r="E61" i="22"/>
  <c r="F61" i="22"/>
  <c r="H61" i="22"/>
  <c r="I61" i="22"/>
  <c r="J61" i="22"/>
  <c r="B62" i="22"/>
  <c r="C62" i="22"/>
  <c r="D62" i="22"/>
  <c r="E62" i="22"/>
  <c r="F62" i="22"/>
  <c r="G62" i="22"/>
  <c r="H62" i="22"/>
  <c r="I62" i="22"/>
  <c r="J62" i="22"/>
  <c r="B63" i="22"/>
  <c r="G63" i="22"/>
  <c r="H63" i="22"/>
  <c r="I63" i="22"/>
  <c r="J63" i="22"/>
  <c r="B64" i="22"/>
  <c r="I64" i="22"/>
  <c r="J64" i="22"/>
  <c r="B65" i="22"/>
  <c r="C65" i="22"/>
  <c r="D65" i="22"/>
  <c r="I65" i="22"/>
  <c r="J65" i="22"/>
  <c r="B66" i="22"/>
  <c r="C66" i="22"/>
  <c r="D66" i="22"/>
  <c r="E66" i="22"/>
  <c r="F66" i="22"/>
  <c r="I66" i="22"/>
  <c r="J66" i="22"/>
  <c r="B67" i="22"/>
  <c r="C67" i="22"/>
  <c r="I67" i="22"/>
  <c r="J67" i="22"/>
  <c r="B68" i="22"/>
  <c r="C68" i="22"/>
  <c r="D68" i="22"/>
  <c r="E68" i="22"/>
  <c r="F68" i="22"/>
  <c r="G68" i="22"/>
  <c r="H68" i="22"/>
  <c r="I68" i="22"/>
  <c r="J68" i="22"/>
  <c r="B69" i="22"/>
  <c r="C69" i="22"/>
  <c r="D69" i="22"/>
  <c r="E69" i="22"/>
  <c r="F69" i="22"/>
  <c r="G69" i="22"/>
  <c r="H69" i="22"/>
  <c r="I69" i="22"/>
  <c r="J69" i="22"/>
  <c r="B70" i="22"/>
  <c r="C70" i="22"/>
  <c r="D70" i="22"/>
  <c r="E70" i="22"/>
  <c r="F70" i="22"/>
  <c r="G70" i="22"/>
  <c r="H70" i="22"/>
  <c r="I70" i="22"/>
  <c r="J70" i="22"/>
  <c r="B71" i="22"/>
  <c r="C71" i="22" s="1"/>
  <c r="G71" i="22"/>
  <c r="H71" i="22"/>
  <c r="I71" i="22"/>
  <c r="J71" i="22"/>
  <c r="B72" i="22"/>
  <c r="I72" i="22"/>
  <c r="J72" i="22"/>
  <c r="B73" i="22"/>
  <c r="H73" i="22" s="1"/>
  <c r="C73" i="22"/>
  <c r="D73" i="22"/>
  <c r="E73" i="22"/>
  <c r="F73" i="22"/>
  <c r="G73" i="22"/>
  <c r="I73" i="22"/>
  <c r="J73" i="22"/>
  <c r="B74" i="22"/>
  <c r="F74" i="22"/>
  <c r="G74" i="22"/>
  <c r="H74" i="22"/>
  <c r="I74" i="22"/>
  <c r="J74" i="22"/>
  <c r="B75" i="22"/>
  <c r="F75" i="22"/>
  <c r="G75" i="22"/>
  <c r="H75" i="22"/>
  <c r="I75" i="22"/>
  <c r="J75" i="22"/>
  <c r="B76" i="22"/>
  <c r="E76" i="22" s="1"/>
  <c r="C76" i="22"/>
  <c r="D76" i="22"/>
  <c r="F76" i="22"/>
  <c r="G76" i="22"/>
  <c r="H76" i="22"/>
  <c r="I76" i="22"/>
  <c r="J76" i="22"/>
  <c r="B77" i="22"/>
  <c r="G77" i="22" s="1"/>
  <c r="C77" i="22"/>
  <c r="D77" i="22"/>
  <c r="E77" i="22"/>
  <c r="F77" i="22"/>
  <c r="H77" i="22"/>
  <c r="I77" i="22"/>
  <c r="J77" i="22"/>
  <c r="B78" i="22"/>
  <c r="F78" i="22"/>
  <c r="G78" i="22"/>
  <c r="H78" i="22"/>
  <c r="I78" i="22"/>
  <c r="J78" i="22"/>
  <c r="B79" i="22"/>
  <c r="E79" i="22"/>
  <c r="F79" i="22"/>
  <c r="G79" i="22"/>
  <c r="H79" i="22"/>
  <c r="I79" i="22"/>
  <c r="J79" i="22"/>
  <c r="B80" i="22"/>
  <c r="I80" i="22"/>
  <c r="J80" i="22"/>
  <c r="B81" i="22"/>
  <c r="C81" i="22"/>
  <c r="D81" i="22"/>
  <c r="I81" i="22"/>
  <c r="J81" i="22"/>
  <c r="B82" i="22"/>
  <c r="C82" i="22"/>
  <c r="D82" i="22"/>
  <c r="E82" i="22"/>
  <c r="F82" i="22"/>
  <c r="I82" i="22"/>
  <c r="J82" i="22"/>
  <c r="B83" i="22"/>
  <c r="C83" i="22" s="1"/>
  <c r="D83" i="22"/>
  <c r="E83" i="22"/>
  <c r="F83" i="22"/>
  <c r="G83" i="22"/>
  <c r="H83" i="22"/>
  <c r="I83" i="22"/>
  <c r="J83" i="22"/>
  <c r="B84" i="22"/>
  <c r="C84" i="22"/>
  <c r="D84" i="22"/>
  <c r="E84" i="22"/>
  <c r="F84" i="22"/>
  <c r="H84" i="22"/>
  <c r="I84" i="22"/>
  <c r="J84" i="22"/>
  <c r="B85" i="22"/>
  <c r="C85" i="22"/>
  <c r="D85" i="22"/>
  <c r="E85" i="22"/>
  <c r="F85" i="22"/>
  <c r="G85" i="22"/>
  <c r="H85" i="22"/>
  <c r="I85" i="22"/>
  <c r="J85" i="22"/>
  <c r="A1" i="21"/>
  <c r="P2" i="21"/>
  <c r="J3" i="21" s="1"/>
  <c r="J4" i="21"/>
  <c r="M4" i="21"/>
  <c r="AI4" i="21"/>
  <c r="J5" i="21"/>
  <c r="J6" i="21"/>
  <c r="B10" i="21"/>
  <c r="E10" i="21"/>
  <c r="F10" i="21"/>
  <c r="I10" i="21"/>
  <c r="J10" i="21"/>
  <c r="B11" i="21"/>
  <c r="I11" i="21"/>
  <c r="J11" i="21"/>
  <c r="B12" i="21"/>
  <c r="G12" i="21" s="1"/>
  <c r="C12" i="21"/>
  <c r="D12" i="21"/>
  <c r="E12" i="21"/>
  <c r="F12" i="21"/>
  <c r="I12" i="21"/>
  <c r="J12" i="21"/>
  <c r="B13" i="21"/>
  <c r="E13" i="21"/>
  <c r="F13" i="21"/>
  <c r="G13" i="21"/>
  <c r="H13" i="21"/>
  <c r="I13" i="21"/>
  <c r="J13" i="21"/>
  <c r="B14" i="21"/>
  <c r="E14" i="21"/>
  <c r="F14" i="21"/>
  <c r="G14" i="21"/>
  <c r="H14" i="21"/>
  <c r="I14" i="21"/>
  <c r="J14" i="21"/>
  <c r="B15" i="21"/>
  <c r="F15" i="21"/>
  <c r="G15" i="21"/>
  <c r="H15" i="21"/>
  <c r="I15" i="21"/>
  <c r="J15" i="21"/>
  <c r="B16" i="21"/>
  <c r="C16" i="21"/>
  <c r="D16" i="21"/>
  <c r="I16" i="21"/>
  <c r="J16" i="21"/>
  <c r="B17" i="21"/>
  <c r="C17" i="21"/>
  <c r="D17" i="21"/>
  <c r="E17" i="21"/>
  <c r="F17" i="21"/>
  <c r="I17" i="21"/>
  <c r="J17" i="21"/>
  <c r="B18" i="21"/>
  <c r="G18" i="21"/>
  <c r="H18" i="21"/>
  <c r="I18" i="21"/>
  <c r="J18" i="21"/>
  <c r="B19" i="21"/>
  <c r="I19" i="21"/>
  <c r="J19" i="21"/>
  <c r="B20" i="21"/>
  <c r="C20" i="21"/>
  <c r="D20" i="21"/>
  <c r="E20" i="21"/>
  <c r="F20" i="21"/>
  <c r="G20" i="21"/>
  <c r="H20" i="21"/>
  <c r="I20" i="21"/>
  <c r="J20" i="21"/>
  <c r="B21" i="21"/>
  <c r="C21" i="21" s="1"/>
  <c r="I21" i="21"/>
  <c r="J21" i="21"/>
  <c r="B22" i="21"/>
  <c r="F22" i="21"/>
  <c r="G22" i="21"/>
  <c r="H22" i="21"/>
  <c r="I22" i="21"/>
  <c r="J22" i="21"/>
  <c r="B23" i="21"/>
  <c r="I23" i="21"/>
  <c r="J23" i="21"/>
  <c r="B24" i="21"/>
  <c r="D24" i="21" s="1"/>
  <c r="E24" i="21"/>
  <c r="F24" i="21"/>
  <c r="H24" i="21"/>
  <c r="I24" i="21"/>
  <c r="J24" i="21"/>
  <c r="B25" i="21"/>
  <c r="E25" i="21" s="1"/>
  <c r="C25" i="21"/>
  <c r="D25" i="21"/>
  <c r="F25" i="21"/>
  <c r="G25" i="21"/>
  <c r="H25" i="21"/>
  <c r="I25" i="21"/>
  <c r="J25" i="21"/>
  <c r="B26" i="21"/>
  <c r="C26" i="21" s="1"/>
  <c r="I26" i="21"/>
  <c r="J26" i="21"/>
  <c r="B27" i="21"/>
  <c r="C27" i="21" s="1"/>
  <c r="I27" i="21"/>
  <c r="J27" i="21"/>
  <c r="B28" i="21"/>
  <c r="D28" i="21"/>
  <c r="E28" i="21"/>
  <c r="I28" i="21"/>
  <c r="J28" i="21"/>
  <c r="B29" i="21"/>
  <c r="I29" i="21"/>
  <c r="J29" i="21"/>
  <c r="B30" i="21"/>
  <c r="C30" i="21" s="1"/>
  <c r="D30" i="21"/>
  <c r="E30" i="21"/>
  <c r="F30" i="21"/>
  <c r="G30" i="21"/>
  <c r="H30" i="21"/>
  <c r="I30" i="21"/>
  <c r="J30" i="21"/>
  <c r="B31" i="21"/>
  <c r="H31" i="21" s="1"/>
  <c r="F31" i="21"/>
  <c r="G31" i="21"/>
  <c r="I31" i="21"/>
  <c r="J31" i="21"/>
  <c r="B32" i="21"/>
  <c r="C32" i="21"/>
  <c r="I32" i="21"/>
  <c r="J32" i="21"/>
  <c r="B33" i="21"/>
  <c r="C33" i="21"/>
  <c r="I33" i="21"/>
  <c r="J33" i="21"/>
  <c r="B34" i="21"/>
  <c r="C34" i="21"/>
  <c r="D34" i="21"/>
  <c r="E34" i="21"/>
  <c r="I34" i="21"/>
  <c r="J34" i="21"/>
  <c r="B35" i="21"/>
  <c r="I35" i="21"/>
  <c r="J35" i="21"/>
  <c r="B36" i="21"/>
  <c r="E36" i="21" s="1"/>
  <c r="C36" i="21"/>
  <c r="D36" i="21"/>
  <c r="F36" i="21"/>
  <c r="G36" i="21"/>
  <c r="H36" i="21"/>
  <c r="I36" i="21"/>
  <c r="J36" i="21"/>
  <c r="B37" i="21"/>
  <c r="C37" i="21" s="1"/>
  <c r="I37" i="21"/>
  <c r="J37" i="21"/>
  <c r="B38" i="21"/>
  <c r="D38" i="21" s="1"/>
  <c r="I38" i="21"/>
  <c r="J38" i="21"/>
  <c r="B39" i="21"/>
  <c r="F39" i="21"/>
  <c r="G39" i="21"/>
  <c r="I39" i="21"/>
  <c r="J39" i="21"/>
  <c r="B40" i="21"/>
  <c r="H40" i="21" s="1"/>
  <c r="D40" i="21"/>
  <c r="E40" i="21"/>
  <c r="F40" i="21"/>
  <c r="I40" i="21"/>
  <c r="J40" i="21"/>
  <c r="B41" i="21"/>
  <c r="E41" i="21" s="1"/>
  <c r="D41" i="21"/>
  <c r="F41" i="21"/>
  <c r="H41" i="21"/>
  <c r="I41" i="21"/>
  <c r="J41" i="21"/>
  <c r="B42" i="21"/>
  <c r="C42" i="21"/>
  <c r="D42" i="21"/>
  <c r="E42" i="21"/>
  <c r="H42" i="21"/>
  <c r="I42" i="21"/>
  <c r="J42" i="21"/>
  <c r="B43" i="21"/>
  <c r="G43" i="21"/>
  <c r="H43" i="21"/>
  <c r="I43" i="21"/>
  <c r="J43" i="21"/>
  <c r="B44" i="21"/>
  <c r="G44" i="21" s="1"/>
  <c r="F44" i="21"/>
  <c r="H44" i="21"/>
  <c r="I44" i="21"/>
  <c r="J44" i="21"/>
  <c r="B45" i="21"/>
  <c r="G45" i="21" s="1"/>
  <c r="C45" i="21"/>
  <c r="D45" i="21"/>
  <c r="E45" i="21"/>
  <c r="F45" i="21"/>
  <c r="I45" i="21"/>
  <c r="J45" i="21"/>
  <c r="B46" i="21"/>
  <c r="C46" i="21"/>
  <c r="D46" i="21"/>
  <c r="E46" i="21"/>
  <c r="F46" i="21"/>
  <c r="G46" i="21"/>
  <c r="H46" i="21"/>
  <c r="I46" i="21"/>
  <c r="J46" i="21"/>
  <c r="B47" i="21"/>
  <c r="F47" i="21"/>
  <c r="G47" i="21"/>
  <c r="I47" i="21"/>
  <c r="J47" i="21"/>
  <c r="B48" i="21"/>
  <c r="I48" i="21"/>
  <c r="J48" i="21"/>
  <c r="B49" i="21"/>
  <c r="C49" i="21"/>
  <c r="I49" i="21"/>
  <c r="J49" i="21"/>
  <c r="B50" i="21"/>
  <c r="C50" i="21"/>
  <c r="D50" i="21"/>
  <c r="E50" i="21"/>
  <c r="F50" i="21"/>
  <c r="I50" i="21"/>
  <c r="J50" i="21"/>
  <c r="B51" i="21"/>
  <c r="C51" i="21"/>
  <c r="D51" i="21"/>
  <c r="E51" i="21"/>
  <c r="F51" i="21"/>
  <c r="G51" i="21"/>
  <c r="H51" i="21"/>
  <c r="I51" i="21"/>
  <c r="J51" i="21"/>
  <c r="B52" i="21"/>
  <c r="C52" i="21" s="1"/>
  <c r="I52" i="21"/>
  <c r="J52" i="21"/>
  <c r="B53" i="21"/>
  <c r="G53" i="21" s="1"/>
  <c r="C53" i="21"/>
  <c r="I53" i="21"/>
  <c r="J53" i="21"/>
  <c r="B54" i="21"/>
  <c r="D54" i="21" s="1"/>
  <c r="G54" i="21"/>
  <c r="H54" i="21"/>
  <c r="I54" i="21"/>
  <c r="J54" i="21"/>
  <c r="B55" i="21"/>
  <c r="C55" i="21" s="1"/>
  <c r="D55" i="21"/>
  <c r="F55" i="21"/>
  <c r="G55" i="21"/>
  <c r="I55" i="21"/>
  <c r="J55" i="21"/>
  <c r="B56" i="21"/>
  <c r="E56" i="21"/>
  <c r="I56" i="21"/>
  <c r="J56" i="21"/>
  <c r="B57" i="21"/>
  <c r="I57" i="21"/>
  <c r="J57" i="21"/>
  <c r="B58" i="21"/>
  <c r="F58" i="21" s="1"/>
  <c r="C58" i="21"/>
  <c r="E58" i="21"/>
  <c r="I58" i="21"/>
  <c r="J58" i="21"/>
  <c r="B59" i="21"/>
  <c r="F59" i="21"/>
  <c r="G59" i="21"/>
  <c r="H59" i="21"/>
  <c r="I59" i="21"/>
  <c r="J59" i="21"/>
  <c r="B60" i="21"/>
  <c r="F60" i="21"/>
  <c r="G60" i="21"/>
  <c r="H60" i="21"/>
  <c r="I60" i="21"/>
  <c r="J60" i="21"/>
  <c r="B61" i="21"/>
  <c r="D61" i="21" s="1"/>
  <c r="C61" i="21"/>
  <c r="E61" i="21"/>
  <c r="F61" i="21"/>
  <c r="G61" i="21"/>
  <c r="H61" i="21"/>
  <c r="I61" i="21"/>
  <c r="J61" i="21"/>
  <c r="B62" i="21"/>
  <c r="E62" i="21"/>
  <c r="F62" i="21"/>
  <c r="G62" i="21"/>
  <c r="H62" i="21"/>
  <c r="I62" i="21"/>
  <c r="J62" i="21"/>
  <c r="B63" i="21"/>
  <c r="I63" i="21"/>
  <c r="J63" i="21"/>
  <c r="B64" i="21"/>
  <c r="C64" i="21"/>
  <c r="D64" i="21"/>
  <c r="H64" i="21"/>
  <c r="I64" i="21"/>
  <c r="J64" i="21"/>
  <c r="B65" i="21"/>
  <c r="I65" i="21"/>
  <c r="J65" i="21"/>
  <c r="B66" i="21"/>
  <c r="C66" i="21" s="1"/>
  <c r="I66" i="21"/>
  <c r="J66" i="21"/>
  <c r="B67" i="21"/>
  <c r="F67" i="21" s="1"/>
  <c r="C67" i="21"/>
  <c r="D67" i="21"/>
  <c r="E67" i="21"/>
  <c r="G67" i="21"/>
  <c r="H67" i="21"/>
  <c r="I67" i="21"/>
  <c r="J67" i="21"/>
  <c r="B68" i="21"/>
  <c r="H68" i="21" s="1"/>
  <c r="C68" i="21"/>
  <c r="D68" i="21"/>
  <c r="E68" i="21"/>
  <c r="F68" i="21"/>
  <c r="I68" i="21"/>
  <c r="J68" i="21"/>
  <c r="B69" i="21"/>
  <c r="C69" i="21"/>
  <c r="D69" i="21"/>
  <c r="E69" i="21"/>
  <c r="F69" i="21"/>
  <c r="G69" i="21"/>
  <c r="H69" i="21"/>
  <c r="I69" i="21"/>
  <c r="J69" i="21"/>
  <c r="B70" i="21"/>
  <c r="D70" i="21" s="1"/>
  <c r="E70" i="21"/>
  <c r="F70" i="21"/>
  <c r="H70" i="21"/>
  <c r="I70" i="21"/>
  <c r="J70" i="21"/>
  <c r="B71" i="21"/>
  <c r="F71" i="21"/>
  <c r="G71" i="21"/>
  <c r="H71" i="21"/>
  <c r="I71" i="21"/>
  <c r="J71" i="21"/>
  <c r="B72" i="21"/>
  <c r="H72" i="21" s="1"/>
  <c r="I72" i="21"/>
  <c r="J72" i="21"/>
  <c r="B73" i="21"/>
  <c r="D73" i="21"/>
  <c r="F73" i="21"/>
  <c r="G73" i="21"/>
  <c r="H73" i="21"/>
  <c r="I73" i="21"/>
  <c r="J73" i="21"/>
  <c r="B74" i="21"/>
  <c r="G74" i="21" s="1"/>
  <c r="C74" i="21"/>
  <c r="D74" i="21"/>
  <c r="E74" i="21"/>
  <c r="F74" i="21"/>
  <c r="H74" i="21"/>
  <c r="I74" i="21"/>
  <c r="J74" i="21"/>
  <c r="B75" i="21"/>
  <c r="C75" i="21" s="1"/>
  <c r="I75" i="21"/>
  <c r="J75" i="21"/>
  <c r="B76" i="21"/>
  <c r="C76" i="21"/>
  <c r="D76" i="21"/>
  <c r="E76" i="21"/>
  <c r="F76" i="21"/>
  <c r="G76" i="21"/>
  <c r="H76" i="21"/>
  <c r="I76" i="21"/>
  <c r="J76" i="21"/>
  <c r="B77" i="21"/>
  <c r="I77" i="21"/>
  <c r="J77" i="21"/>
  <c r="B78" i="21"/>
  <c r="C78" i="21"/>
  <c r="D78" i="21"/>
  <c r="E78" i="21"/>
  <c r="F78" i="21"/>
  <c r="G78" i="21"/>
  <c r="H78" i="21"/>
  <c r="I78" i="21"/>
  <c r="J78" i="21"/>
  <c r="B79" i="21"/>
  <c r="H79" i="21"/>
  <c r="I79" i="21"/>
  <c r="J79" i="21"/>
  <c r="B80" i="21"/>
  <c r="C80" i="21"/>
  <c r="D80" i="21"/>
  <c r="H80" i="21"/>
  <c r="I80" i="21"/>
  <c r="J80" i="21"/>
  <c r="B81" i="21"/>
  <c r="C81" i="21" s="1"/>
  <c r="I81" i="21"/>
  <c r="J81" i="21"/>
  <c r="B82" i="21"/>
  <c r="C82" i="21" s="1"/>
  <c r="D82" i="21"/>
  <c r="F82" i="21"/>
  <c r="G82" i="21"/>
  <c r="H82" i="21"/>
  <c r="I82" i="21"/>
  <c r="J82" i="21"/>
  <c r="B83" i="21"/>
  <c r="E83" i="21"/>
  <c r="I83" i="21"/>
  <c r="J83" i="21"/>
  <c r="B84" i="21"/>
  <c r="F84" i="21" s="1"/>
  <c r="C84" i="21"/>
  <c r="D84" i="21"/>
  <c r="E84" i="21"/>
  <c r="I84" i="21"/>
  <c r="J84" i="21"/>
  <c r="B85" i="21"/>
  <c r="C85" i="21" s="1"/>
  <c r="G85" i="21"/>
  <c r="H85" i="21"/>
  <c r="I85" i="21"/>
  <c r="J85" i="21"/>
  <c r="AI5" i="21"/>
  <c r="A1" i="20"/>
  <c r="P2" i="20"/>
  <c r="J3" i="20"/>
  <c r="J4" i="20"/>
  <c r="M4" i="20"/>
  <c r="AI4" i="20"/>
  <c r="J5" i="20"/>
  <c r="AI5" i="20"/>
  <c r="J6" i="20"/>
  <c r="B10" i="20"/>
  <c r="C10" i="20"/>
  <c r="D10" i="20"/>
  <c r="I10" i="20"/>
  <c r="J10" i="20"/>
  <c r="B11" i="20"/>
  <c r="C11" i="20" s="1"/>
  <c r="D11" i="20"/>
  <c r="E11" i="20"/>
  <c r="F11" i="20"/>
  <c r="I11" i="20"/>
  <c r="J11" i="20"/>
  <c r="B12" i="20"/>
  <c r="E12" i="20"/>
  <c r="F12" i="20"/>
  <c r="G12" i="20"/>
  <c r="H12" i="20"/>
  <c r="I12" i="20"/>
  <c r="J12" i="20"/>
  <c r="B13" i="20"/>
  <c r="G13" i="20"/>
  <c r="H13" i="20"/>
  <c r="I13" i="20"/>
  <c r="J13" i="20"/>
  <c r="B14" i="20"/>
  <c r="F14" i="20"/>
  <c r="G14" i="20"/>
  <c r="H14" i="20"/>
  <c r="I14" i="20"/>
  <c r="J14" i="20"/>
  <c r="B15" i="20"/>
  <c r="F15" i="20" s="1"/>
  <c r="G15" i="20"/>
  <c r="H15" i="20"/>
  <c r="I15" i="20"/>
  <c r="J15" i="20"/>
  <c r="B16" i="20"/>
  <c r="I16" i="20"/>
  <c r="J16" i="20"/>
  <c r="B17" i="20"/>
  <c r="D17" i="20" s="1"/>
  <c r="C17" i="20"/>
  <c r="I17" i="20"/>
  <c r="J17" i="20"/>
  <c r="B18" i="20"/>
  <c r="C18" i="20" s="1"/>
  <c r="E18" i="20"/>
  <c r="F18" i="20"/>
  <c r="G18" i="20"/>
  <c r="H18" i="20"/>
  <c r="I18" i="20"/>
  <c r="J18" i="20"/>
  <c r="B19" i="20"/>
  <c r="E19" i="20"/>
  <c r="F19" i="20"/>
  <c r="I19" i="20"/>
  <c r="J19" i="20"/>
  <c r="B20" i="20"/>
  <c r="C20" i="20"/>
  <c r="D20" i="20"/>
  <c r="E20" i="20"/>
  <c r="F20" i="20"/>
  <c r="G20" i="20"/>
  <c r="H20" i="20"/>
  <c r="I20" i="20"/>
  <c r="J20" i="20"/>
  <c r="B21" i="20"/>
  <c r="E21" i="20"/>
  <c r="F21" i="20"/>
  <c r="G21" i="20"/>
  <c r="H21" i="20"/>
  <c r="I21" i="20"/>
  <c r="J21" i="20"/>
  <c r="B22" i="20"/>
  <c r="C22" i="20"/>
  <c r="D22" i="20"/>
  <c r="E22" i="20"/>
  <c r="F22" i="20"/>
  <c r="G22" i="20"/>
  <c r="H22" i="20"/>
  <c r="I22" i="20"/>
  <c r="J22" i="20"/>
  <c r="B23" i="20"/>
  <c r="H23" i="20"/>
  <c r="I23" i="20"/>
  <c r="J23" i="20"/>
  <c r="B24" i="20"/>
  <c r="D24" i="20"/>
  <c r="G24" i="20"/>
  <c r="H24" i="20"/>
  <c r="I24" i="20"/>
  <c r="J24" i="20"/>
  <c r="B25" i="20"/>
  <c r="E25" i="20"/>
  <c r="F25" i="20"/>
  <c r="G25" i="20"/>
  <c r="I25" i="20"/>
  <c r="J25" i="20"/>
  <c r="B26" i="20"/>
  <c r="G26" i="20"/>
  <c r="H26" i="20"/>
  <c r="I26" i="20"/>
  <c r="J26" i="20"/>
  <c r="B27" i="20"/>
  <c r="C27" i="20"/>
  <c r="I27" i="20"/>
  <c r="J27" i="20"/>
  <c r="B28" i="20"/>
  <c r="C28" i="20" s="1"/>
  <c r="E28" i="20"/>
  <c r="G28" i="20"/>
  <c r="H28" i="20"/>
  <c r="I28" i="20"/>
  <c r="J28" i="20"/>
  <c r="B29" i="20"/>
  <c r="C29" i="20"/>
  <c r="D29" i="20"/>
  <c r="G29" i="20"/>
  <c r="H29" i="20"/>
  <c r="I29" i="20"/>
  <c r="J29" i="20"/>
  <c r="B30" i="20"/>
  <c r="E30" i="20"/>
  <c r="F30" i="20"/>
  <c r="G30" i="20"/>
  <c r="H30" i="20"/>
  <c r="I30" i="20"/>
  <c r="J30" i="20"/>
  <c r="B31" i="20"/>
  <c r="F31" i="20" s="1"/>
  <c r="G31" i="20"/>
  <c r="I31" i="20"/>
  <c r="J31" i="20"/>
  <c r="B32" i="20"/>
  <c r="I32" i="20"/>
  <c r="J32" i="20"/>
  <c r="B33" i="20"/>
  <c r="C33" i="20"/>
  <c r="F33" i="20"/>
  <c r="I33" i="20"/>
  <c r="J33" i="20"/>
  <c r="B34" i="20"/>
  <c r="C34" i="20"/>
  <c r="D34" i="20"/>
  <c r="E34" i="20"/>
  <c r="F34" i="20"/>
  <c r="I34" i="20"/>
  <c r="J34" i="20"/>
  <c r="B35" i="20"/>
  <c r="E35" i="20"/>
  <c r="F35" i="20"/>
  <c r="G35" i="20"/>
  <c r="H35" i="20"/>
  <c r="I35" i="20"/>
  <c r="J35" i="20"/>
  <c r="B36" i="20"/>
  <c r="I36" i="20"/>
  <c r="J36" i="20"/>
  <c r="B37" i="20"/>
  <c r="I37" i="20"/>
  <c r="J37" i="20"/>
  <c r="B38" i="20"/>
  <c r="C38" i="20"/>
  <c r="D38" i="20"/>
  <c r="E38" i="20"/>
  <c r="F38" i="20"/>
  <c r="G38" i="20"/>
  <c r="H38" i="20"/>
  <c r="I38" i="20"/>
  <c r="J38" i="20"/>
  <c r="B39" i="20"/>
  <c r="C39" i="20" s="1"/>
  <c r="F39" i="20"/>
  <c r="G39" i="20"/>
  <c r="H39" i="20"/>
  <c r="I39" i="20"/>
  <c r="J39" i="20"/>
  <c r="B40" i="20"/>
  <c r="G40" i="20"/>
  <c r="H40" i="20"/>
  <c r="I40" i="20"/>
  <c r="J40" i="20"/>
  <c r="B41" i="20"/>
  <c r="G41" i="20"/>
  <c r="I41" i="20"/>
  <c r="J41" i="20"/>
  <c r="B42" i="20"/>
  <c r="G42" i="20"/>
  <c r="I42" i="20"/>
  <c r="J42" i="20"/>
  <c r="B43" i="20"/>
  <c r="C43" i="20"/>
  <c r="D43" i="20"/>
  <c r="E43" i="20"/>
  <c r="F43" i="20"/>
  <c r="I43" i="20"/>
  <c r="J43" i="20"/>
  <c r="B44" i="20"/>
  <c r="C44" i="20"/>
  <c r="D44" i="20"/>
  <c r="E44" i="20"/>
  <c r="F44" i="20"/>
  <c r="G44" i="20"/>
  <c r="H44" i="20"/>
  <c r="I44" i="20"/>
  <c r="J44" i="20"/>
  <c r="B45" i="20"/>
  <c r="C45" i="20" s="1"/>
  <c r="D45" i="20"/>
  <c r="E45" i="20"/>
  <c r="F45" i="20"/>
  <c r="G45" i="20"/>
  <c r="H45" i="20"/>
  <c r="I45" i="20"/>
  <c r="J45" i="20"/>
  <c r="B46" i="20"/>
  <c r="C46" i="20"/>
  <c r="D46" i="20"/>
  <c r="E46" i="20"/>
  <c r="F46" i="20"/>
  <c r="G46" i="20"/>
  <c r="H46" i="20"/>
  <c r="I46" i="20"/>
  <c r="J46" i="20"/>
  <c r="B47" i="20"/>
  <c r="F47" i="20"/>
  <c r="G47" i="20"/>
  <c r="H47" i="20"/>
  <c r="I47" i="20"/>
  <c r="J47" i="20"/>
  <c r="B48" i="20"/>
  <c r="C48" i="20" s="1"/>
  <c r="H48" i="20"/>
  <c r="I48" i="20"/>
  <c r="J48" i="20"/>
  <c r="B49" i="20"/>
  <c r="C49" i="20"/>
  <c r="D49" i="20"/>
  <c r="E49" i="20"/>
  <c r="F49" i="20"/>
  <c r="I49" i="20"/>
  <c r="J49" i="20"/>
  <c r="B50" i="20"/>
  <c r="H50" i="20" s="1"/>
  <c r="C50" i="20"/>
  <c r="D50" i="20"/>
  <c r="E50" i="20"/>
  <c r="F50" i="20"/>
  <c r="G50" i="20"/>
  <c r="I50" i="20"/>
  <c r="J50" i="20"/>
  <c r="B51" i="20"/>
  <c r="D51" i="20" s="1"/>
  <c r="C51" i="20"/>
  <c r="E51" i="20"/>
  <c r="F51" i="20"/>
  <c r="G51" i="20"/>
  <c r="H51" i="20"/>
  <c r="I51" i="20"/>
  <c r="J51" i="20"/>
  <c r="B52" i="20"/>
  <c r="E52" i="20"/>
  <c r="F52" i="20"/>
  <c r="I52" i="20"/>
  <c r="J52" i="20"/>
  <c r="B53" i="20"/>
  <c r="C53" i="20" s="1"/>
  <c r="I53" i="20"/>
  <c r="J53" i="20"/>
  <c r="B54" i="20"/>
  <c r="C54" i="20" s="1"/>
  <c r="D54" i="20"/>
  <c r="E54" i="20"/>
  <c r="F54" i="20"/>
  <c r="G54" i="20"/>
  <c r="H54" i="20"/>
  <c r="I54" i="20"/>
  <c r="J54" i="20"/>
  <c r="B55" i="20"/>
  <c r="C55" i="20" s="1"/>
  <c r="F55" i="20"/>
  <c r="G55" i="20"/>
  <c r="H55" i="20"/>
  <c r="I55" i="20"/>
  <c r="J55" i="20"/>
  <c r="B56" i="20"/>
  <c r="E56" i="20"/>
  <c r="G56" i="20"/>
  <c r="H56" i="20"/>
  <c r="I56" i="20"/>
  <c r="J56" i="20"/>
  <c r="B57" i="20"/>
  <c r="E57" i="20" s="1"/>
  <c r="F57" i="20"/>
  <c r="G57" i="20"/>
  <c r="I57" i="20"/>
  <c r="J57" i="20"/>
  <c r="B58" i="20"/>
  <c r="H58" i="20"/>
  <c r="I58" i="20"/>
  <c r="J58" i="20"/>
  <c r="B59" i="20"/>
  <c r="C59" i="20" s="1"/>
  <c r="D59" i="20"/>
  <c r="E59" i="20"/>
  <c r="I59" i="20"/>
  <c r="J59" i="20"/>
  <c r="B60" i="20"/>
  <c r="C60" i="20" s="1"/>
  <c r="D60" i="20"/>
  <c r="I60" i="20"/>
  <c r="J60" i="20"/>
  <c r="B61" i="20"/>
  <c r="I61" i="20"/>
  <c r="J61" i="20"/>
  <c r="B62" i="20"/>
  <c r="F62" i="20"/>
  <c r="G62" i="20"/>
  <c r="H62" i="20"/>
  <c r="I62" i="20"/>
  <c r="J62" i="20"/>
  <c r="B63" i="20"/>
  <c r="H63" i="20"/>
  <c r="I63" i="20"/>
  <c r="J63" i="20"/>
  <c r="B64" i="20"/>
  <c r="C64" i="20"/>
  <c r="D64" i="20"/>
  <c r="H64" i="20"/>
  <c r="I64" i="20"/>
  <c r="J64" i="20"/>
  <c r="B65" i="20"/>
  <c r="C65" i="20"/>
  <c r="D65" i="20"/>
  <c r="E65" i="20"/>
  <c r="F65" i="20"/>
  <c r="I65" i="20"/>
  <c r="J65" i="20"/>
  <c r="B66" i="20"/>
  <c r="D66" i="20" s="1"/>
  <c r="C66" i="20"/>
  <c r="E66" i="20"/>
  <c r="F66" i="20"/>
  <c r="G66" i="20"/>
  <c r="H66" i="20"/>
  <c r="I66" i="20"/>
  <c r="J66" i="20"/>
  <c r="B67" i="20"/>
  <c r="C67" i="20" s="1"/>
  <c r="D67" i="20"/>
  <c r="E67" i="20"/>
  <c r="F67" i="20"/>
  <c r="G67" i="20"/>
  <c r="H67" i="20"/>
  <c r="I67" i="20"/>
  <c r="J67" i="20"/>
  <c r="B68" i="20"/>
  <c r="I68" i="20"/>
  <c r="J68" i="20"/>
  <c r="B69" i="20"/>
  <c r="I69" i="20"/>
  <c r="J69" i="20"/>
  <c r="B70" i="20"/>
  <c r="C70" i="20" s="1"/>
  <c r="D70" i="20"/>
  <c r="E70" i="20"/>
  <c r="F70" i="20"/>
  <c r="G70" i="20"/>
  <c r="H70" i="20"/>
  <c r="I70" i="20"/>
  <c r="J70" i="20"/>
  <c r="B71" i="20"/>
  <c r="C71" i="20"/>
  <c r="F71" i="20"/>
  <c r="G71" i="20"/>
  <c r="H71" i="20"/>
  <c r="I71" i="20"/>
  <c r="J71" i="20"/>
  <c r="B72" i="20"/>
  <c r="G72" i="20"/>
  <c r="H72" i="20"/>
  <c r="I72" i="20"/>
  <c r="J72" i="20"/>
  <c r="B73" i="20"/>
  <c r="E73" i="20" s="1"/>
  <c r="F73" i="20"/>
  <c r="G73" i="20"/>
  <c r="I73" i="20"/>
  <c r="J73" i="20"/>
  <c r="B74" i="20"/>
  <c r="C74" i="20"/>
  <c r="D74" i="20"/>
  <c r="G74" i="20"/>
  <c r="H74" i="20"/>
  <c r="I74" i="20"/>
  <c r="J74" i="20"/>
  <c r="B75" i="20"/>
  <c r="I75" i="20"/>
  <c r="J75" i="20"/>
  <c r="B76" i="20"/>
  <c r="H76" i="20"/>
  <c r="I76" i="20"/>
  <c r="J76" i="20"/>
  <c r="B77" i="20"/>
  <c r="C77" i="20" s="1"/>
  <c r="E77" i="20"/>
  <c r="F77" i="20"/>
  <c r="G77" i="20"/>
  <c r="I77" i="20"/>
  <c r="J77" i="20"/>
  <c r="B78" i="20"/>
  <c r="C78" i="20"/>
  <c r="D78" i="20"/>
  <c r="E78" i="20"/>
  <c r="F78" i="20"/>
  <c r="G78" i="20"/>
  <c r="H78" i="20"/>
  <c r="I78" i="20"/>
  <c r="J78" i="20"/>
  <c r="B79" i="20"/>
  <c r="F79" i="20" s="1"/>
  <c r="G79" i="20"/>
  <c r="I79" i="20"/>
  <c r="J79" i="20"/>
  <c r="B80" i="20"/>
  <c r="H80" i="20"/>
  <c r="I80" i="20"/>
  <c r="J80" i="20"/>
  <c r="B81" i="20"/>
  <c r="C81" i="20"/>
  <c r="D81" i="20"/>
  <c r="E81" i="20"/>
  <c r="F81" i="20"/>
  <c r="I81" i="20"/>
  <c r="J81" i="20"/>
  <c r="B82" i="20"/>
  <c r="E82" i="20"/>
  <c r="F82" i="20"/>
  <c r="G82" i="20"/>
  <c r="H82" i="20"/>
  <c r="I82" i="20"/>
  <c r="J82" i="20"/>
  <c r="B83" i="20"/>
  <c r="C83" i="20"/>
  <c r="D83" i="20"/>
  <c r="E83" i="20"/>
  <c r="F83" i="20"/>
  <c r="I83" i="20"/>
  <c r="J83" i="20"/>
  <c r="B84" i="20"/>
  <c r="C84" i="20" s="1"/>
  <c r="E84" i="20"/>
  <c r="F84" i="20"/>
  <c r="G84" i="20"/>
  <c r="H84" i="20"/>
  <c r="I84" i="20"/>
  <c r="J84" i="20"/>
  <c r="B85" i="20"/>
  <c r="C85" i="20"/>
  <c r="I85" i="20"/>
  <c r="J85" i="20"/>
  <c r="A1" i="19"/>
  <c r="P2" i="19"/>
  <c r="M4" i="19"/>
  <c r="AI4" i="19"/>
  <c r="J5" i="19"/>
  <c r="J6" i="19"/>
  <c r="B10" i="19"/>
  <c r="I10" i="19"/>
  <c r="J10" i="19"/>
  <c r="B11" i="19"/>
  <c r="C11" i="19" s="1"/>
  <c r="D11" i="19"/>
  <c r="E11" i="19"/>
  <c r="F11" i="19"/>
  <c r="G11" i="19"/>
  <c r="H11" i="19"/>
  <c r="I11" i="19"/>
  <c r="J11" i="19"/>
  <c r="B12" i="19"/>
  <c r="E12" i="19"/>
  <c r="F12" i="19"/>
  <c r="G12" i="19"/>
  <c r="H12" i="19"/>
  <c r="I12" i="19"/>
  <c r="J12" i="19"/>
  <c r="B13" i="19"/>
  <c r="E13" i="19"/>
  <c r="F13" i="19"/>
  <c r="G13" i="19"/>
  <c r="H13" i="19"/>
  <c r="I13" i="19"/>
  <c r="J13" i="19"/>
  <c r="B14" i="19"/>
  <c r="G14" i="19"/>
  <c r="H14" i="19"/>
  <c r="I14" i="19"/>
  <c r="J14" i="19"/>
  <c r="B15" i="19"/>
  <c r="I15" i="19"/>
  <c r="J15" i="19"/>
  <c r="B16" i="19"/>
  <c r="I16" i="19"/>
  <c r="J16" i="19"/>
  <c r="B17" i="19"/>
  <c r="C17" i="19" s="1"/>
  <c r="D17" i="19"/>
  <c r="E17" i="19"/>
  <c r="I17" i="19"/>
  <c r="J17" i="19"/>
  <c r="B18" i="19"/>
  <c r="E18" i="19" s="1"/>
  <c r="C18" i="19"/>
  <c r="D18" i="19"/>
  <c r="F18" i="19"/>
  <c r="G18" i="19"/>
  <c r="H18" i="19"/>
  <c r="I18" i="19"/>
  <c r="J18" i="19"/>
  <c r="B19" i="19"/>
  <c r="C19" i="19" s="1"/>
  <c r="D19" i="19"/>
  <c r="E19" i="19"/>
  <c r="F19" i="19"/>
  <c r="G19" i="19"/>
  <c r="H19" i="19"/>
  <c r="I19" i="19"/>
  <c r="J19" i="19"/>
  <c r="B20" i="19"/>
  <c r="C20" i="19" s="1"/>
  <c r="D20" i="19"/>
  <c r="E20" i="19"/>
  <c r="F20" i="19"/>
  <c r="G20" i="19"/>
  <c r="H20" i="19"/>
  <c r="I20" i="19"/>
  <c r="J20" i="19"/>
  <c r="B21" i="19"/>
  <c r="C21" i="19" s="1"/>
  <c r="D21" i="19"/>
  <c r="I21" i="19"/>
  <c r="J21" i="19"/>
  <c r="B22" i="19"/>
  <c r="C22" i="19"/>
  <c r="D22" i="19"/>
  <c r="E22" i="19"/>
  <c r="F22" i="19"/>
  <c r="G22" i="19"/>
  <c r="H22" i="19"/>
  <c r="I22" i="19"/>
  <c r="J22" i="19"/>
  <c r="B23" i="19"/>
  <c r="I23" i="19"/>
  <c r="J23" i="19"/>
  <c r="B24" i="19"/>
  <c r="F24" i="19" s="1"/>
  <c r="I24" i="19"/>
  <c r="J24" i="19"/>
  <c r="B25" i="19"/>
  <c r="C25" i="19" s="1"/>
  <c r="D25" i="19"/>
  <c r="G25" i="19"/>
  <c r="I25" i="19"/>
  <c r="J25" i="19"/>
  <c r="B26" i="19"/>
  <c r="G26" i="19"/>
  <c r="H26" i="19"/>
  <c r="I26" i="19"/>
  <c r="J26" i="19"/>
  <c r="B27" i="19"/>
  <c r="E27" i="19"/>
  <c r="F27" i="19"/>
  <c r="G27" i="19"/>
  <c r="H27" i="19"/>
  <c r="I27" i="19"/>
  <c r="J27" i="19"/>
  <c r="B28" i="19"/>
  <c r="C28" i="19" s="1"/>
  <c r="D28" i="19"/>
  <c r="E28" i="19"/>
  <c r="F28" i="19"/>
  <c r="G28" i="19"/>
  <c r="H28" i="19"/>
  <c r="I28" i="19"/>
  <c r="J28" i="19"/>
  <c r="B29" i="19"/>
  <c r="C29" i="19"/>
  <c r="D29" i="19"/>
  <c r="E29" i="19"/>
  <c r="F29" i="19"/>
  <c r="G29" i="19"/>
  <c r="H29" i="19"/>
  <c r="I29" i="19"/>
  <c r="J29" i="19"/>
  <c r="B30" i="19"/>
  <c r="F30" i="19"/>
  <c r="G30" i="19"/>
  <c r="H30" i="19"/>
  <c r="I30" i="19"/>
  <c r="J30" i="19"/>
  <c r="B31" i="19"/>
  <c r="I31" i="19"/>
  <c r="J31" i="19"/>
  <c r="B32" i="19"/>
  <c r="C32" i="19"/>
  <c r="D32" i="19"/>
  <c r="I32" i="19"/>
  <c r="J32" i="19"/>
  <c r="B33" i="19"/>
  <c r="C33" i="19"/>
  <c r="F33" i="19"/>
  <c r="I33" i="19"/>
  <c r="J33" i="19"/>
  <c r="B34" i="19"/>
  <c r="F34" i="19" s="1"/>
  <c r="C34" i="19"/>
  <c r="D34" i="19"/>
  <c r="E34" i="19"/>
  <c r="G34" i="19"/>
  <c r="H34" i="19"/>
  <c r="I34" i="19"/>
  <c r="J34" i="19"/>
  <c r="B35" i="19"/>
  <c r="C35" i="19"/>
  <c r="D35" i="19"/>
  <c r="E35" i="19"/>
  <c r="F35" i="19"/>
  <c r="I35" i="19"/>
  <c r="J35" i="19"/>
  <c r="B36" i="19"/>
  <c r="C36" i="19"/>
  <c r="F36" i="19"/>
  <c r="G36" i="19"/>
  <c r="H36" i="19"/>
  <c r="I36" i="19"/>
  <c r="J36" i="19"/>
  <c r="B37" i="19"/>
  <c r="D37" i="19" s="1"/>
  <c r="C37" i="19"/>
  <c r="E37" i="19"/>
  <c r="F37" i="19"/>
  <c r="G37" i="19"/>
  <c r="I37" i="19"/>
  <c r="J37" i="19"/>
  <c r="B38" i="19"/>
  <c r="C38" i="19"/>
  <c r="D38" i="19"/>
  <c r="E38" i="19"/>
  <c r="F38" i="19"/>
  <c r="G38" i="19"/>
  <c r="H38" i="19"/>
  <c r="I38" i="19"/>
  <c r="J38" i="19"/>
  <c r="B39" i="19"/>
  <c r="F39" i="19"/>
  <c r="I39" i="19"/>
  <c r="J39" i="19"/>
  <c r="B40" i="19"/>
  <c r="E40" i="19"/>
  <c r="H40" i="19"/>
  <c r="I40" i="19"/>
  <c r="J40" i="19"/>
  <c r="B41" i="19"/>
  <c r="I41" i="19"/>
  <c r="J41" i="19"/>
  <c r="B42" i="19"/>
  <c r="C42" i="19"/>
  <c r="D42" i="19"/>
  <c r="E42" i="19"/>
  <c r="F42" i="19"/>
  <c r="G42" i="19"/>
  <c r="H42" i="19"/>
  <c r="I42" i="19"/>
  <c r="J42" i="19"/>
  <c r="B43" i="19"/>
  <c r="E43" i="19"/>
  <c r="F43" i="19"/>
  <c r="G43" i="19"/>
  <c r="H43" i="19"/>
  <c r="I43" i="19"/>
  <c r="J43" i="19"/>
  <c r="B44" i="19"/>
  <c r="C44" i="19" s="1"/>
  <c r="D44" i="19"/>
  <c r="E44" i="19"/>
  <c r="F44" i="19"/>
  <c r="G44" i="19"/>
  <c r="H44" i="19"/>
  <c r="I44" i="19"/>
  <c r="J44" i="19"/>
  <c r="B45" i="19"/>
  <c r="C45" i="19"/>
  <c r="D45" i="19"/>
  <c r="E45" i="19"/>
  <c r="F45" i="19"/>
  <c r="G45" i="19"/>
  <c r="H45" i="19"/>
  <c r="I45" i="19"/>
  <c r="J45" i="19"/>
  <c r="B46" i="19"/>
  <c r="F46" i="19"/>
  <c r="G46" i="19"/>
  <c r="H46" i="19"/>
  <c r="I46" i="19"/>
  <c r="J46" i="19"/>
  <c r="B47" i="19"/>
  <c r="I47" i="19"/>
  <c r="J47" i="19"/>
  <c r="B48" i="19"/>
  <c r="C48" i="19" s="1"/>
  <c r="I48" i="19"/>
  <c r="J48" i="19"/>
  <c r="B49" i="19"/>
  <c r="E49" i="19" s="1"/>
  <c r="C49" i="19"/>
  <c r="D49" i="19"/>
  <c r="F49" i="19"/>
  <c r="I49" i="19"/>
  <c r="J49" i="19"/>
  <c r="B50" i="19"/>
  <c r="C50" i="19" s="1"/>
  <c r="D50" i="19"/>
  <c r="E50" i="19"/>
  <c r="F50" i="19"/>
  <c r="I50" i="19"/>
  <c r="J50" i="19"/>
  <c r="B51" i="19"/>
  <c r="E51" i="19" s="1"/>
  <c r="C51" i="19"/>
  <c r="D51" i="19"/>
  <c r="F51" i="19"/>
  <c r="G51" i="19"/>
  <c r="H51" i="19"/>
  <c r="I51" i="19"/>
  <c r="J51" i="19"/>
  <c r="B52" i="19"/>
  <c r="D52" i="19"/>
  <c r="E52" i="19"/>
  <c r="F52" i="19"/>
  <c r="I52" i="19"/>
  <c r="J52" i="19"/>
  <c r="B53" i="19"/>
  <c r="C53" i="19" s="1"/>
  <c r="D53" i="19"/>
  <c r="E53" i="19"/>
  <c r="F53" i="19"/>
  <c r="I53" i="19"/>
  <c r="J53" i="19"/>
  <c r="B54" i="19"/>
  <c r="C54" i="19"/>
  <c r="D54" i="19"/>
  <c r="E54" i="19"/>
  <c r="F54" i="19"/>
  <c r="G54" i="19"/>
  <c r="H54" i="19"/>
  <c r="I54" i="19"/>
  <c r="J54" i="19"/>
  <c r="B55" i="19"/>
  <c r="F55" i="19"/>
  <c r="G55" i="19"/>
  <c r="H55" i="19"/>
  <c r="I55" i="19"/>
  <c r="J55" i="19"/>
  <c r="B56" i="19"/>
  <c r="I56" i="19"/>
  <c r="J56" i="19"/>
  <c r="B57" i="19"/>
  <c r="G57" i="19"/>
  <c r="I57" i="19"/>
  <c r="J57" i="19"/>
  <c r="B58" i="19"/>
  <c r="C58" i="19" s="1"/>
  <c r="E58" i="19"/>
  <c r="F58" i="19"/>
  <c r="G58" i="19"/>
  <c r="H58" i="19"/>
  <c r="I58" i="19"/>
  <c r="J58" i="19"/>
  <c r="B59" i="19"/>
  <c r="C59" i="19" s="1"/>
  <c r="D59" i="19"/>
  <c r="E59" i="19"/>
  <c r="F59" i="19"/>
  <c r="G59" i="19"/>
  <c r="H59" i="19"/>
  <c r="I59" i="19"/>
  <c r="J59" i="19"/>
  <c r="B60" i="19"/>
  <c r="E60" i="19"/>
  <c r="F60" i="19"/>
  <c r="G60" i="19"/>
  <c r="H60" i="19"/>
  <c r="I60" i="19"/>
  <c r="J60" i="19"/>
  <c r="B61" i="19"/>
  <c r="E61" i="19"/>
  <c r="F61" i="19"/>
  <c r="G61" i="19"/>
  <c r="H61" i="19"/>
  <c r="I61" i="19"/>
  <c r="J61" i="19"/>
  <c r="B62" i="19"/>
  <c r="F62" i="19"/>
  <c r="G62" i="19"/>
  <c r="H62" i="19"/>
  <c r="I62" i="19"/>
  <c r="J62" i="19"/>
  <c r="B63" i="19"/>
  <c r="I63" i="19"/>
  <c r="J63" i="19"/>
  <c r="B64" i="19"/>
  <c r="C64" i="19"/>
  <c r="I64" i="19"/>
  <c r="J64" i="19"/>
  <c r="B65" i="19"/>
  <c r="C65" i="19"/>
  <c r="I65" i="19"/>
  <c r="J65" i="19"/>
  <c r="B66" i="19"/>
  <c r="I66" i="19"/>
  <c r="J66" i="19"/>
  <c r="B67" i="19"/>
  <c r="C67" i="19" s="1"/>
  <c r="E67" i="19"/>
  <c r="G67" i="19"/>
  <c r="H67" i="19"/>
  <c r="I67" i="19"/>
  <c r="J67" i="19"/>
  <c r="B68" i="19"/>
  <c r="C68" i="19"/>
  <c r="D68" i="19"/>
  <c r="G68" i="19"/>
  <c r="H68" i="19"/>
  <c r="I68" i="19"/>
  <c r="J68" i="19"/>
  <c r="B69" i="19"/>
  <c r="E69" i="19"/>
  <c r="G69" i="19"/>
  <c r="H69" i="19"/>
  <c r="I69" i="19"/>
  <c r="J69" i="19"/>
  <c r="B70" i="19"/>
  <c r="C70" i="19"/>
  <c r="D70" i="19"/>
  <c r="E70" i="19"/>
  <c r="F70" i="19"/>
  <c r="G70" i="19"/>
  <c r="H70" i="19"/>
  <c r="I70" i="19"/>
  <c r="J70" i="19"/>
  <c r="B71" i="19"/>
  <c r="D71" i="19" s="1"/>
  <c r="C71" i="19"/>
  <c r="E71" i="19"/>
  <c r="F71" i="19"/>
  <c r="G71" i="19"/>
  <c r="H71" i="19"/>
  <c r="I71" i="19"/>
  <c r="J71" i="19"/>
  <c r="B72" i="19"/>
  <c r="I72" i="19"/>
  <c r="J72" i="19"/>
  <c r="B73" i="19"/>
  <c r="F73" i="19"/>
  <c r="G73" i="19"/>
  <c r="I73" i="19"/>
  <c r="J73" i="19"/>
  <c r="B74" i="19"/>
  <c r="H74" i="19" s="1"/>
  <c r="C74" i="19"/>
  <c r="D74" i="19"/>
  <c r="E74" i="19"/>
  <c r="F74" i="19"/>
  <c r="G74" i="19"/>
  <c r="I74" i="19"/>
  <c r="J74" i="19"/>
  <c r="B75" i="19"/>
  <c r="C75" i="19"/>
  <c r="D75" i="19"/>
  <c r="E75" i="19"/>
  <c r="F75" i="19"/>
  <c r="G75" i="19"/>
  <c r="H75" i="19"/>
  <c r="I75" i="19"/>
  <c r="J75" i="19"/>
  <c r="B76" i="19"/>
  <c r="E76" i="19"/>
  <c r="F76" i="19"/>
  <c r="G76" i="19"/>
  <c r="H76" i="19"/>
  <c r="I76" i="19"/>
  <c r="J76" i="19"/>
  <c r="B77" i="19"/>
  <c r="C77" i="19" s="1"/>
  <c r="D77" i="19"/>
  <c r="E77" i="19"/>
  <c r="F77" i="19"/>
  <c r="G77" i="19"/>
  <c r="H77" i="19"/>
  <c r="I77" i="19"/>
  <c r="J77" i="19"/>
  <c r="B78" i="19"/>
  <c r="D78" i="19" s="1"/>
  <c r="C78" i="19"/>
  <c r="E78" i="19"/>
  <c r="F78" i="19"/>
  <c r="G78" i="19"/>
  <c r="H78" i="19"/>
  <c r="I78" i="19"/>
  <c r="J78" i="19"/>
  <c r="B79" i="19"/>
  <c r="I79" i="19"/>
  <c r="J79" i="19"/>
  <c r="B80" i="19"/>
  <c r="C80" i="19"/>
  <c r="D80" i="19"/>
  <c r="I80" i="19"/>
  <c r="J80" i="19"/>
  <c r="B81" i="19"/>
  <c r="E81" i="19" s="1"/>
  <c r="C81" i="19"/>
  <c r="D81" i="19"/>
  <c r="F81" i="19"/>
  <c r="I81" i="19"/>
  <c r="J81" i="19"/>
  <c r="B82" i="19"/>
  <c r="D82" i="19"/>
  <c r="E82" i="19"/>
  <c r="G82" i="19"/>
  <c r="H82" i="19"/>
  <c r="I82" i="19"/>
  <c r="J82" i="19"/>
  <c r="B83" i="19"/>
  <c r="C83" i="19"/>
  <c r="I83" i="19"/>
  <c r="J83" i="19"/>
  <c r="B84" i="19"/>
  <c r="I84" i="19"/>
  <c r="J84" i="19"/>
  <c r="B85" i="19"/>
  <c r="C85" i="19" s="1"/>
  <c r="D85" i="19"/>
  <c r="E85" i="19"/>
  <c r="F85" i="19"/>
  <c r="I85" i="19"/>
  <c r="J85" i="19"/>
  <c r="AI5" i="19"/>
  <c r="A1" i="18"/>
  <c r="P2" i="18"/>
  <c r="J3" i="18" s="1"/>
  <c r="M4" i="18"/>
  <c r="AI4" i="18"/>
  <c r="J6" i="18"/>
  <c r="B10" i="18"/>
  <c r="E10" i="18"/>
  <c r="F10" i="18"/>
  <c r="G10" i="18"/>
  <c r="H10" i="18"/>
  <c r="I10" i="18"/>
  <c r="J10" i="18"/>
  <c r="B11" i="18"/>
  <c r="G11" i="18"/>
  <c r="H11" i="18"/>
  <c r="I11" i="18"/>
  <c r="J11" i="18"/>
  <c r="B12" i="18"/>
  <c r="H12" i="18"/>
  <c r="I12" i="18"/>
  <c r="J12" i="18"/>
  <c r="B13" i="18"/>
  <c r="F13" i="18"/>
  <c r="G13" i="18"/>
  <c r="H13" i="18"/>
  <c r="I13" i="18"/>
  <c r="J13" i="18"/>
  <c r="B14" i="18"/>
  <c r="F14" i="18"/>
  <c r="I14" i="18"/>
  <c r="J14" i="18"/>
  <c r="B15" i="18"/>
  <c r="I15" i="18"/>
  <c r="J15" i="18"/>
  <c r="B16" i="18"/>
  <c r="I16" i="18"/>
  <c r="J16" i="18"/>
  <c r="B17" i="18"/>
  <c r="C17" i="18"/>
  <c r="D17" i="18"/>
  <c r="I17" i="18"/>
  <c r="J17" i="18"/>
  <c r="B18" i="18"/>
  <c r="G18" i="18" s="1"/>
  <c r="I18" i="18"/>
  <c r="J18" i="18"/>
  <c r="B19" i="18"/>
  <c r="I19" i="18"/>
  <c r="J19" i="18"/>
  <c r="B20" i="18"/>
  <c r="F20" i="18"/>
  <c r="G20" i="18"/>
  <c r="H20" i="18"/>
  <c r="I20" i="18"/>
  <c r="J20" i="18"/>
  <c r="B21" i="18"/>
  <c r="E21" i="18"/>
  <c r="F21" i="18"/>
  <c r="G21" i="18"/>
  <c r="H21" i="18"/>
  <c r="I21" i="18"/>
  <c r="J21" i="18"/>
  <c r="B22" i="18"/>
  <c r="C22" i="18" s="1"/>
  <c r="D22" i="18"/>
  <c r="E22" i="18"/>
  <c r="F22" i="18"/>
  <c r="G22" i="18"/>
  <c r="H22" i="18"/>
  <c r="I22" i="18"/>
  <c r="J22" i="18"/>
  <c r="B23" i="18"/>
  <c r="C23" i="18" s="1"/>
  <c r="E23" i="18"/>
  <c r="F23" i="18"/>
  <c r="G23" i="18"/>
  <c r="I23" i="18"/>
  <c r="J23" i="18"/>
  <c r="B24" i="18"/>
  <c r="F24" i="18" s="1"/>
  <c r="C24" i="18"/>
  <c r="D24" i="18"/>
  <c r="E24" i="18"/>
  <c r="G24" i="18"/>
  <c r="H24" i="18"/>
  <c r="I24" i="18"/>
  <c r="J24" i="18"/>
  <c r="B25" i="18"/>
  <c r="G25" i="18"/>
  <c r="I25" i="18"/>
  <c r="J25" i="18"/>
  <c r="B26" i="18"/>
  <c r="F26" i="18"/>
  <c r="G26" i="18"/>
  <c r="H26" i="18"/>
  <c r="I26" i="18"/>
  <c r="J26" i="18"/>
  <c r="B27" i="18"/>
  <c r="G27" i="18"/>
  <c r="H27" i="18"/>
  <c r="I27" i="18"/>
  <c r="J27" i="18"/>
  <c r="B28" i="18"/>
  <c r="C28" i="18" s="1"/>
  <c r="D28" i="18"/>
  <c r="E28" i="18"/>
  <c r="H28" i="18"/>
  <c r="I28" i="18"/>
  <c r="J28" i="18"/>
  <c r="B29" i="18"/>
  <c r="F29" i="18"/>
  <c r="G29" i="18"/>
  <c r="H29" i="18"/>
  <c r="I29" i="18"/>
  <c r="J29" i="18"/>
  <c r="B30" i="18"/>
  <c r="I30" i="18"/>
  <c r="J30" i="18"/>
  <c r="B31" i="18"/>
  <c r="I31" i="18"/>
  <c r="J31" i="18"/>
  <c r="B32" i="18"/>
  <c r="D32" i="18"/>
  <c r="I32" i="18"/>
  <c r="J32" i="18"/>
  <c r="B33" i="18"/>
  <c r="C33" i="18" s="1"/>
  <c r="I33" i="18"/>
  <c r="J33" i="18"/>
  <c r="B34" i="18"/>
  <c r="E34" i="18"/>
  <c r="F34" i="18"/>
  <c r="H34" i="18"/>
  <c r="I34" i="18"/>
  <c r="J34" i="18"/>
  <c r="B35" i="18"/>
  <c r="I35" i="18"/>
  <c r="J35" i="18"/>
  <c r="B36" i="18"/>
  <c r="C36" i="18"/>
  <c r="D36" i="18"/>
  <c r="E36" i="18"/>
  <c r="F36" i="18"/>
  <c r="G36" i="18"/>
  <c r="H36" i="18"/>
  <c r="I36" i="18"/>
  <c r="J36" i="18"/>
  <c r="B37" i="18"/>
  <c r="E37" i="18"/>
  <c r="F37" i="18"/>
  <c r="G37" i="18"/>
  <c r="I37" i="18"/>
  <c r="J37" i="18"/>
  <c r="B38" i="18"/>
  <c r="C38" i="18" s="1"/>
  <c r="D38" i="18"/>
  <c r="E38" i="18"/>
  <c r="F38" i="18"/>
  <c r="G38" i="18"/>
  <c r="H38" i="18"/>
  <c r="I38" i="18"/>
  <c r="J38" i="18"/>
  <c r="B39" i="18"/>
  <c r="C39" i="18" s="1"/>
  <c r="I39" i="18"/>
  <c r="J39" i="18"/>
  <c r="B40" i="18"/>
  <c r="F40" i="18" s="1"/>
  <c r="C40" i="18"/>
  <c r="D40" i="18"/>
  <c r="E40" i="18"/>
  <c r="G40" i="18"/>
  <c r="H40" i="18"/>
  <c r="I40" i="18"/>
  <c r="J40" i="18"/>
  <c r="B41" i="18"/>
  <c r="H41" i="18" s="1"/>
  <c r="I41" i="18"/>
  <c r="J41" i="18"/>
  <c r="B42" i="18"/>
  <c r="C42" i="18" s="1"/>
  <c r="D42" i="18"/>
  <c r="E42" i="18"/>
  <c r="F42" i="18"/>
  <c r="G42" i="18"/>
  <c r="H42" i="18"/>
  <c r="I42" i="18"/>
  <c r="J42" i="18"/>
  <c r="B43" i="18"/>
  <c r="F43" i="18"/>
  <c r="G43" i="18"/>
  <c r="H43" i="18"/>
  <c r="I43" i="18"/>
  <c r="J43" i="18"/>
  <c r="B44" i="18"/>
  <c r="E44" i="18"/>
  <c r="H44" i="18"/>
  <c r="I44" i="18"/>
  <c r="J44" i="18"/>
  <c r="B45" i="18"/>
  <c r="F45" i="18"/>
  <c r="G45" i="18"/>
  <c r="H45" i="18"/>
  <c r="I45" i="18"/>
  <c r="J45" i="18"/>
  <c r="B46" i="18"/>
  <c r="D46" i="18" s="1"/>
  <c r="C46" i="18"/>
  <c r="F46" i="18"/>
  <c r="H46" i="18"/>
  <c r="I46" i="18"/>
  <c r="J46" i="18"/>
  <c r="B47" i="18"/>
  <c r="I47" i="18"/>
  <c r="J47" i="18"/>
  <c r="B48" i="18"/>
  <c r="D48" i="18" s="1"/>
  <c r="I48" i="18"/>
  <c r="J48" i="18"/>
  <c r="B49" i="18"/>
  <c r="F49" i="18"/>
  <c r="I49" i="18"/>
  <c r="J49" i="18"/>
  <c r="B50" i="18"/>
  <c r="D50" i="18"/>
  <c r="E50" i="18"/>
  <c r="F50" i="18"/>
  <c r="H50" i="18"/>
  <c r="I50" i="18"/>
  <c r="J50" i="18"/>
  <c r="B51" i="18"/>
  <c r="C51" i="18" s="1"/>
  <c r="E51" i="18"/>
  <c r="F51" i="18"/>
  <c r="G51" i="18"/>
  <c r="H51" i="18"/>
  <c r="I51" i="18"/>
  <c r="J51" i="18"/>
  <c r="B52" i="18"/>
  <c r="E52" i="18"/>
  <c r="F52" i="18"/>
  <c r="G52" i="18"/>
  <c r="H52" i="18"/>
  <c r="I52" i="18"/>
  <c r="J52" i="18"/>
  <c r="B53" i="18"/>
  <c r="E53" i="18"/>
  <c r="F53" i="18"/>
  <c r="G53" i="18"/>
  <c r="I53" i="18"/>
  <c r="J53" i="18"/>
  <c r="B54" i="18"/>
  <c r="C54" i="18" s="1"/>
  <c r="D54" i="18"/>
  <c r="E54" i="18"/>
  <c r="F54" i="18"/>
  <c r="G54" i="18"/>
  <c r="H54" i="18"/>
  <c r="I54" i="18"/>
  <c r="J54" i="18"/>
  <c r="B55" i="18"/>
  <c r="C55" i="18" s="1"/>
  <c r="I55" i="18"/>
  <c r="J55" i="18"/>
  <c r="B56" i="18"/>
  <c r="I56" i="18"/>
  <c r="J56" i="18"/>
  <c r="B57" i="18"/>
  <c r="G57" i="18" s="1"/>
  <c r="I57" i="18"/>
  <c r="J57" i="18"/>
  <c r="B58" i="18"/>
  <c r="C58" i="18" s="1"/>
  <c r="D58" i="18"/>
  <c r="E58" i="18"/>
  <c r="F58" i="18"/>
  <c r="G58" i="18"/>
  <c r="H58" i="18"/>
  <c r="I58" i="18"/>
  <c r="J58" i="18"/>
  <c r="B59" i="18"/>
  <c r="F59" i="18"/>
  <c r="G59" i="18"/>
  <c r="H59" i="18"/>
  <c r="I59" i="18"/>
  <c r="J59" i="18"/>
  <c r="B60" i="18"/>
  <c r="E60" i="18"/>
  <c r="H60" i="18"/>
  <c r="I60" i="18"/>
  <c r="J60" i="18"/>
  <c r="B61" i="18"/>
  <c r="G61" i="18"/>
  <c r="H61" i="18"/>
  <c r="I61" i="18"/>
  <c r="J61" i="18"/>
  <c r="B62" i="18"/>
  <c r="D62" i="18" s="1"/>
  <c r="C62" i="18"/>
  <c r="F62" i="18"/>
  <c r="H62" i="18"/>
  <c r="I62" i="18"/>
  <c r="J62" i="18"/>
  <c r="B63" i="18"/>
  <c r="I63" i="18"/>
  <c r="J63" i="18"/>
  <c r="B64" i="18"/>
  <c r="D64" i="18" s="1"/>
  <c r="I64" i="18"/>
  <c r="J64" i="18"/>
  <c r="B65" i="18"/>
  <c r="C65" i="18"/>
  <c r="D65" i="18"/>
  <c r="F65" i="18"/>
  <c r="I65" i="18"/>
  <c r="J65" i="18"/>
  <c r="B66" i="18"/>
  <c r="E66" i="18"/>
  <c r="I66" i="18"/>
  <c r="J66" i="18"/>
  <c r="B67" i="18"/>
  <c r="D67" i="18"/>
  <c r="E67" i="18"/>
  <c r="F67" i="18"/>
  <c r="G67" i="18"/>
  <c r="H67" i="18"/>
  <c r="I67" i="18"/>
  <c r="J67" i="18"/>
  <c r="B68" i="18"/>
  <c r="E68" i="18"/>
  <c r="F68" i="18"/>
  <c r="G68" i="18"/>
  <c r="H68" i="18"/>
  <c r="I68" i="18"/>
  <c r="J68" i="18"/>
  <c r="B69" i="18"/>
  <c r="E69" i="18" s="1"/>
  <c r="C69" i="18"/>
  <c r="I69" i="18"/>
  <c r="J69" i="18"/>
  <c r="B70" i="18"/>
  <c r="C70" i="18"/>
  <c r="D70" i="18"/>
  <c r="E70" i="18"/>
  <c r="F70" i="18"/>
  <c r="G70" i="18"/>
  <c r="H70" i="18"/>
  <c r="I70" i="18"/>
  <c r="J70" i="18"/>
  <c r="B71" i="18"/>
  <c r="I71" i="18"/>
  <c r="J71" i="18"/>
  <c r="B72" i="18"/>
  <c r="D72" i="18"/>
  <c r="E72" i="18"/>
  <c r="I72" i="18"/>
  <c r="J72" i="18"/>
  <c r="B73" i="18"/>
  <c r="H73" i="18" s="1"/>
  <c r="C73" i="18"/>
  <c r="D73" i="18"/>
  <c r="E73" i="18"/>
  <c r="F73" i="18"/>
  <c r="I73" i="18"/>
  <c r="J73" i="18"/>
  <c r="B74" i="18"/>
  <c r="C74" i="18" s="1"/>
  <c r="D74" i="18"/>
  <c r="E74" i="18"/>
  <c r="F74" i="18"/>
  <c r="G74" i="18"/>
  <c r="H74" i="18"/>
  <c r="I74" i="18"/>
  <c r="J74" i="18"/>
  <c r="B75" i="18"/>
  <c r="D75" i="18" s="1"/>
  <c r="C75" i="18"/>
  <c r="F75" i="18"/>
  <c r="G75" i="18"/>
  <c r="H75" i="18"/>
  <c r="I75" i="18"/>
  <c r="J75" i="18"/>
  <c r="B76" i="18"/>
  <c r="C76" i="18" s="1"/>
  <c r="E76" i="18"/>
  <c r="H76" i="18"/>
  <c r="I76" i="18"/>
  <c r="J76" i="18"/>
  <c r="B77" i="18"/>
  <c r="C77" i="18" s="1"/>
  <c r="D77" i="18"/>
  <c r="F77" i="18"/>
  <c r="G77" i="18"/>
  <c r="H77" i="18"/>
  <c r="I77" i="18"/>
  <c r="J77" i="18"/>
  <c r="B78" i="18"/>
  <c r="D78" i="18" s="1"/>
  <c r="C78" i="18"/>
  <c r="F78" i="18"/>
  <c r="H78" i="18"/>
  <c r="I78" i="18"/>
  <c r="J78" i="18"/>
  <c r="B79" i="18"/>
  <c r="I79" i="18"/>
  <c r="J79" i="18"/>
  <c r="B80" i="18"/>
  <c r="D80" i="18" s="1"/>
  <c r="I80" i="18"/>
  <c r="J80" i="18"/>
  <c r="B81" i="18"/>
  <c r="D81" i="18"/>
  <c r="I81" i="18"/>
  <c r="J81" i="18"/>
  <c r="B82" i="18"/>
  <c r="C82" i="18"/>
  <c r="I82" i="18"/>
  <c r="J82" i="18"/>
  <c r="B83" i="18"/>
  <c r="C83" i="18"/>
  <c r="D83" i="18"/>
  <c r="E83" i="18"/>
  <c r="F83" i="18"/>
  <c r="G83" i="18"/>
  <c r="H83" i="18"/>
  <c r="I83" i="18"/>
  <c r="J83" i="18"/>
  <c r="B84" i="18"/>
  <c r="C84" i="18"/>
  <c r="D84" i="18"/>
  <c r="E84" i="18"/>
  <c r="F84" i="18"/>
  <c r="G84" i="18"/>
  <c r="H84" i="18"/>
  <c r="I84" i="18"/>
  <c r="J84" i="18"/>
  <c r="B85" i="18"/>
  <c r="D85" i="18" s="1"/>
  <c r="C85" i="18"/>
  <c r="F85" i="18"/>
  <c r="H85" i="18"/>
  <c r="I85" i="18"/>
  <c r="J85" i="18"/>
  <c r="A1" i="17"/>
  <c r="P2" i="17"/>
  <c r="J3" i="17"/>
  <c r="J4" i="17"/>
  <c r="M4" i="17"/>
  <c r="AI4" i="17"/>
  <c r="J5" i="17"/>
  <c r="J6" i="17"/>
  <c r="B10" i="17"/>
  <c r="G10" i="17" s="1"/>
  <c r="C10" i="17"/>
  <c r="D10" i="17"/>
  <c r="E10" i="17"/>
  <c r="F10" i="17"/>
  <c r="I10" i="17"/>
  <c r="J10" i="17"/>
  <c r="B11" i="17"/>
  <c r="C11" i="17" s="1"/>
  <c r="E11" i="17"/>
  <c r="F11" i="17"/>
  <c r="G11" i="17"/>
  <c r="H11" i="17"/>
  <c r="I11" i="17"/>
  <c r="J11" i="17"/>
  <c r="B12" i="17"/>
  <c r="D12" i="17" s="1"/>
  <c r="C12" i="17"/>
  <c r="F12" i="17"/>
  <c r="G12" i="17"/>
  <c r="H12" i="17"/>
  <c r="I12" i="17"/>
  <c r="J12" i="17"/>
  <c r="B13" i="17"/>
  <c r="C13" i="17"/>
  <c r="D13" i="17"/>
  <c r="E13" i="17"/>
  <c r="F13" i="17"/>
  <c r="G13" i="17"/>
  <c r="H13" i="17"/>
  <c r="I13" i="17"/>
  <c r="J13" i="17"/>
  <c r="B14" i="17"/>
  <c r="C14" i="17"/>
  <c r="D14" i="17"/>
  <c r="E14" i="17"/>
  <c r="F14" i="17"/>
  <c r="G14" i="17"/>
  <c r="H14" i="17"/>
  <c r="I14" i="17"/>
  <c r="J14" i="17"/>
  <c r="B15" i="17"/>
  <c r="E15" i="17" s="1"/>
  <c r="G15" i="17"/>
  <c r="H15" i="17"/>
  <c r="I15" i="17"/>
  <c r="J15" i="17"/>
  <c r="B16" i="17"/>
  <c r="C16" i="17"/>
  <c r="D16" i="17"/>
  <c r="G16" i="17"/>
  <c r="I16" i="17"/>
  <c r="J16" i="17"/>
  <c r="B17" i="17"/>
  <c r="C17" i="17"/>
  <c r="D17" i="17"/>
  <c r="E17" i="17"/>
  <c r="F17" i="17"/>
  <c r="I17" i="17"/>
  <c r="J17" i="17"/>
  <c r="B18" i="17"/>
  <c r="C18" i="17"/>
  <c r="D18" i="17"/>
  <c r="E18" i="17"/>
  <c r="F18" i="17"/>
  <c r="G18" i="17"/>
  <c r="H18" i="17"/>
  <c r="I18" i="17"/>
  <c r="J18" i="17"/>
  <c r="B19" i="17"/>
  <c r="C19" i="17" s="1"/>
  <c r="D19" i="17"/>
  <c r="E19" i="17"/>
  <c r="F19" i="17"/>
  <c r="G19" i="17"/>
  <c r="H19" i="17"/>
  <c r="I19" i="17"/>
  <c r="J19" i="17"/>
  <c r="B20" i="17"/>
  <c r="C20" i="17"/>
  <c r="D20" i="17"/>
  <c r="E20" i="17"/>
  <c r="F20" i="17"/>
  <c r="G20" i="17"/>
  <c r="H20" i="17"/>
  <c r="I20" i="17"/>
  <c r="J20" i="17"/>
  <c r="B21" i="17"/>
  <c r="C21" i="17"/>
  <c r="E21" i="17"/>
  <c r="F21" i="17"/>
  <c r="I21" i="17"/>
  <c r="J21" i="17"/>
  <c r="B22" i="17"/>
  <c r="C22" i="17"/>
  <c r="D22" i="17"/>
  <c r="E22" i="17"/>
  <c r="F22" i="17"/>
  <c r="G22" i="17"/>
  <c r="H22" i="17"/>
  <c r="I22" i="17"/>
  <c r="J22" i="17"/>
  <c r="B23" i="17"/>
  <c r="F23" i="17" s="1"/>
  <c r="C23" i="17"/>
  <c r="I23" i="17"/>
  <c r="J23" i="17"/>
  <c r="B24" i="17"/>
  <c r="C24" i="17"/>
  <c r="D24" i="17"/>
  <c r="E24" i="17"/>
  <c r="H24" i="17"/>
  <c r="I24" i="17"/>
  <c r="J24" i="17"/>
  <c r="B25" i="17"/>
  <c r="C25" i="17"/>
  <c r="D25" i="17"/>
  <c r="I25" i="17"/>
  <c r="J25" i="17"/>
  <c r="B26" i="17"/>
  <c r="F26" i="17"/>
  <c r="I26" i="17"/>
  <c r="J26" i="17"/>
  <c r="B27" i="17"/>
  <c r="C27" i="17"/>
  <c r="D27" i="17"/>
  <c r="G27" i="17"/>
  <c r="H27" i="17"/>
  <c r="I27" i="17"/>
  <c r="J27" i="17"/>
  <c r="B28" i="17"/>
  <c r="D28" i="17" s="1"/>
  <c r="C28" i="17"/>
  <c r="F28" i="17"/>
  <c r="G28" i="17"/>
  <c r="H28" i="17"/>
  <c r="I28" i="17"/>
  <c r="J28" i="17"/>
  <c r="B29" i="17"/>
  <c r="C29" i="17"/>
  <c r="D29" i="17"/>
  <c r="E29" i="17"/>
  <c r="F29" i="17"/>
  <c r="G29" i="17"/>
  <c r="H29" i="17"/>
  <c r="I29" i="17"/>
  <c r="J29" i="17"/>
  <c r="B30" i="17"/>
  <c r="C30" i="17"/>
  <c r="D30" i="17"/>
  <c r="E30" i="17"/>
  <c r="F30" i="17"/>
  <c r="G30" i="17"/>
  <c r="H30" i="17"/>
  <c r="I30" i="17"/>
  <c r="J30" i="17"/>
  <c r="B31" i="17"/>
  <c r="I31" i="17"/>
  <c r="J31" i="17"/>
  <c r="B32" i="17"/>
  <c r="C32" i="17"/>
  <c r="D32" i="17"/>
  <c r="G32" i="17"/>
  <c r="I32" i="17"/>
  <c r="J32" i="17"/>
  <c r="B33" i="17"/>
  <c r="C33" i="17" s="1"/>
  <c r="D33" i="17"/>
  <c r="E33" i="17"/>
  <c r="F33" i="17"/>
  <c r="I33" i="17"/>
  <c r="J33" i="17"/>
  <c r="B34" i="17"/>
  <c r="C34" i="17"/>
  <c r="D34" i="17"/>
  <c r="I34" i="17"/>
  <c r="J34" i="17"/>
  <c r="B35" i="17"/>
  <c r="C35" i="17"/>
  <c r="D35" i="17"/>
  <c r="E35" i="17"/>
  <c r="F35" i="17"/>
  <c r="I35" i="17"/>
  <c r="J35" i="17"/>
  <c r="B36" i="17"/>
  <c r="C36" i="17"/>
  <c r="D36" i="17"/>
  <c r="E36" i="17"/>
  <c r="F36" i="17"/>
  <c r="G36" i="17"/>
  <c r="H36" i="17"/>
  <c r="I36" i="17"/>
  <c r="J36" i="17"/>
  <c r="B37" i="17"/>
  <c r="C37" i="17"/>
  <c r="E37" i="17"/>
  <c r="F37" i="17"/>
  <c r="G37" i="17"/>
  <c r="I37" i="17"/>
  <c r="J37" i="17"/>
  <c r="B38" i="17"/>
  <c r="C38" i="17"/>
  <c r="D38" i="17"/>
  <c r="E38" i="17"/>
  <c r="F38" i="17"/>
  <c r="G38" i="17"/>
  <c r="H38" i="17"/>
  <c r="I38" i="17"/>
  <c r="J38" i="17"/>
  <c r="B39" i="17"/>
  <c r="C39" i="17"/>
  <c r="I39" i="17"/>
  <c r="J39" i="17"/>
  <c r="B40" i="17"/>
  <c r="C40" i="17"/>
  <c r="D40" i="17"/>
  <c r="E40" i="17"/>
  <c r="H40" i="17"/>
  <c r="I40" i="17"/>
  <c r="J40" i="17"/>
  <c r="B41" i="17"/>
  <c r="I41" i="17"/>
  <c r="J41" i="17"/>
  <c r="B42" i="17"/>
  <c r="F42" i="17"/>
  <c r="I42" i="17"/>
  <c r="J42" i="17"/>
  <c r="B43" i="17"/>
  <c r="C43" i="17" s="1"/>
  <c r="E43" i="17"/>
  <c r="F43" i="17"/>
  <c r="G43" i="17"/>
  <c r="H43" i="17"/>
  <c r="I43" i="17"/>
  <c r="J43" i="17"/>
  <c r="B44" i="17"/>
  <c r="C44" i="17"/>
  <c r="I44" i="17"/>
  <c r="J44" i="17"/>
  <c r="B45" i="17"/>
  <c r="C45" i="17"/>
  <c r="D45" i="17"/>
  <c r="E45" i="17"/>
  <c r="F45" i="17"/>
  <c r="G45" i="17"/>
  <c r="H45" i="17"/>
  <c r="I45" i="17"/>
  <c r="J45" i="17"/>
  <c r="B46" i="17"/>
  <c r="C46" i="17"/>
  <c r="D46" i="17"/>
  <c r="E46" i="17"/>
  <c r="F46" i="17"/>
  <c r="G46" i="17"/>
  <c r="H46" i="17"/>
  <c r="I46" i="17"/>
  <c r="J46" i="17"/>
  <c r="B47" i="17"/>
  <c r="E47" i="17"/>
  <c r="G47" i="17"/>
  <c r="H47" i="17"/>
  <c r="I47" i="17"/>
  <c r="J47" i="17"/>
  <c r="B48" i="17"/>
  <c r="I48" i="17"/>
  <c r="J48" i="17"/>
  <c r="B49" i="17"/>
  <c r="C49" i="17" s="1"/>
  <c r="D49" i="17"/>
  <c r="E49" i="17"/>
  <c r="F49" i="17"/>
  <c r="I49" i="17"/>
  <c r="J49" i="17"/>
  <c r="B50" i="17"/>
  <c r="I50" i="17"/>
  <c r="J50" i="17"/>
  <c r="B51" i="17"/>
  <c r="H51" i="17" s="1"/>
  <c r="C51" i="17"/>
  <c r="D51" i="17"/>
  <c r="E51" i="17"/>
  <c r="F51" i="17"/>
  <c r="G51" i="17"/>
  <c r="I51" i="17"/>
  <c r="J51" i="17"/>
  <c r="B52" i="17"/>
  <c r="C52" i="17"/>
  <c r="D52" i="17"/>
  <c r="E52" i="17"/>
  <c r="F52" i="17"/>
  <c r="G52" i="17"/>
  <c r="H52" i="17"/>
  <c r="I52" i="17"/>
  <c r="J52" i="17"/>
  <c r="B53" i="17"/>
  <c r="C53" i="17"/>
  <c r="E53" i="17"/>
  <c r="F53" i="17"/>
  <c r="I53" i="17"/>
  <c r="J53" i="17"/>
  <c r="B54" i="17"/>
  <c r="C54" i="17"/>
  <c r="D54" i="17"/>
  <c r="E54" i="17"/>
  <c r="F54" i="17"/>
  <c r="G54" i="17"/>
  <c r="H54" i="17"/>
  <c r="I54" i="17"/>
  <c r="J54" i="17"/>
  <c r="B55" i="17"/>
  <c r="C55" i="17"/>
  <c r="F55" i="17"/>
  <c r="G55" i="17"/>
  <c r="I55" i="17"/>
  <c r="J55" i="17"/>
  <c r="B56" i="17"/>
  <c r="C56" i="17"/>
  <c r="D56" i="17"/>
  <c r="E56" i="17"/>
  <c r="H56" i="17"/>
  <c r="I56" i="17"/>
  <c r="J56" i="17"/>
  <c r="B57" i="17"/>
  <c r="H57" i="17" s="1"/>
  <c r="D57" i="17"/>
  <c r="E57" i="17"/>
  <c r="F57" i="17"/>
  <c r="G57" i="17"/>
  <c r="I57" i="17"/>
  <c r="J57" i="17"/>
  <c r="B58" i="17"/>
  <c r="C58" i="17"/>
  <c r="I58" i="17"/>
  <c r="J58" i="17"/>
  <c r="B59" i="17"/>
  <c r="E59" i="17" s="1"/>
  <c r="C59" i="17"/>
  <c r="D59" i="17"/>
  <c r="F59" i="17"/>
  <c r="G59" i="17"/>
  <c r="H59" i="17"/>
  <c r="I59" i="17"/>
  <c r="J59" i="17"/>
  <c r="B60" i="17"/>
  <c r="G60" i="17" s="1"/>
  <c r="C60" i="17"/>
  <c r="D60" i="17"/>
  <c r="E60" i="17"/>
  <c r="F60" i="17"/>
  <c r="H60" i="17"/>
  <c r="I60" i="17"/>
  <c r="J60" i="17"/>
  <c r="B61" i="17"/>
  <c r="C61" i="17"/>
  <c r="D61" i="17"/>
  <c r="E61" i="17"/>
  <c r="F61" i="17"/>
  <c r="G61" i="17"/>
  <c r="H61" i="17"/>
  <c r="I61" i="17"/>
  <c r="J61" i="17"/>
  <c r="B62" i="17"/>
  <c r="C62" i="17"/>
  <c r="D62" i="17"/>
  <c r="E62" i="17"/>
  <c r="F62" i="17"/>
  <c r="G62" i="17"/>
  <c r="H62" i="17"/>
  <c r="I62" i="17"/>
  <c r="J62" i="17"/>
  <c r="B63" i="17"/>
  <c r="E63" i="17"/>
  <c r="G63" i="17"/>
  <c r="H63" i="17"/>
  <c r="I63" i="17"/>
  <c r="J63" i="17"/>
  <c r="B64" i="17"/>
  <c r="C64" i="17"/>
  <c r="D64" i="17"/>
  <c r="G64" i="17"/>
  <c r="I64" i="17"/>
  <c r="J64" i="17"/>
  <c r="B65" i="17"/>
  <c r="C65" i="17"/>
  <c r="D65" i="17"/>
  <c r="E65" i="17"/>
  <c r="I65" i="17"/>
  <c r="J65" i="17"/>
  <c r="B66" i="17"/>
  <c r="C66" i="17"/>
  <c r="D66" i="17"/>
  <c r="E66" i="17"/>
  <c r="F66" i="17"/>
  <c r="G66" i="17"/>
  <c r="H66" i="17"/>
  <c r="I66" i="17"/>
  <c r="J66" i="17"/>
  <c r="B67" i="17"/>
  <c r="C67" i="17"/>
  <c r="D67" i="17"/>
  <c r="I67" i="17"/>
  <c r="J67" i="17"/>
  <c r="B68" i="17"/>
  <c r="C68" i="17"/>
  <c r="D68" i="17"/>
  <c r="E68" i="17"/>
  <c r="F68" i="17"/>
  <c r="G68" i="17"/>
  <c r="H68" i="17"/>
  <c r="I68" i="17"/>
  <c r="J68" i="17"/>
  <c r="B69" i="17"/>
  <c r="C69" i="17"/>
  <c r="F69" i="17"/>
  <c r="G69" i="17"/>
  <c r="H69" i="17"/>
  <c r="I69" i="17"/>
  <c r="J69" i="17"/>
  <c r="B70" i="17"/>
  <c r="C70" i="17"/>
  <c r="D70" i="17"/>
  <c r="E70" i="17"/>
  <c r="F70" i="17"/>
  <c r="G70" i="17"/>
  <c r="H70" i="17"/>
  <c r="I70" i="17"/>
  <c r="J70" i="17"/>
  <c r="B71" i="17"/>
  <c r="C71" i="17" s="1"/>
  <c r="F71" i="17"/>
  <c r="G71" i="17"/>
  <c r="I71" i="17"/>
  <c r="J71" i="17"/>
  <c r="B72" i="17"/>
  <c r="C72" i="17"/>
  <c r="D72" i="17"/>
  <c r="E72" i="17"/>
  <c r="I72" i="17"/>
  <c r="J72" i="17"/>
  <c r="B73" i="17"/>
  <c r="H73" i="17" s="1"/>
  <c r="C73" i="17"/>
  <c r="D73" i="17"/>
  <c r="E73" i="17"/>
  <c r="F73" i="17"/>
  <c r="G73" i="17"/>
  <c r="I73" i="17"/>
  <c r="J73" i="17"/>
  <c r="B74" i="17"/>
  <c r="E74" i="17" s="1"/>
  <c r="C74" i="17"/>
  <c r="I74" i="17"/>
  <c r="J74" i="17"/>
  <c r="B75" i="17"/>
  <c r="C75" i="17"/>
  <c r="D75" i="17"/>
  <c r="E75" i="17"/>
  <c r="I75" i="17"/>
  <c r="J75" i="17"/>
  <c r="B76" i="17"/>
  <c r="I76" i="17"/>
  <c r="J76" i="17"/>
  <c r="B77" i="17"/>
  <c r="C77" i="17"/>
  <c r="D77" i="17"/>
  <c r="E77" i="17"/>
  <c r="F77" i="17"/>
  <c r="G77" i="17"/>
  <c r="H77" i="17"/>
  <c r="I77" i="17"/>
  <c r="J77" i="17"/>
  <c r="B78" i="17"/>
  <c r="C78" i="17"/>
  <c r="D78" i="17"/>
  <c r="E78" i="17"/>
  <c r="F78" i="17"/>
  <c r="G78" i="17"/>
  <c r="H78" i="17"/>
  <c r="I78" i="17"/>
  <c r="J78" i="17"/>
  <c r="B79" i="17"/>
  <c r="E79" i="17"/>
  <c r="G79" i="17"/>
  <c r="H79" i="17"/>
  <c r="I79" i="17"/>
  <c r="J79" i="17"/>
  <c r="B80" i="17"/>
  <c r="C80" i="17"/>
  <c r="D80" i="17"/>
  <c r="G80" i="17"/>
  <c r="I80" i="17"/>
  <c r="J80" i="17"/>
  <c r="B81" i="17"/>
  <c r="C81" i="17"/>
  <c r="D81" i="17"/>
  <c r="I81" i="17"/>
  <c r="J81" i="17"/>
  <c r="B82" i="17"/>
  <c r="C82" i="17"/>
  <c r="D82" i="17"/>
  <c r="E82" i="17"/>
  <c r="I82" i="17"/>
  <c r="J82" i="17"/>
  <c r="B83" i="17"/>
  <c r="C83" i="17" s="1"/>
  <c r="D83" i="17"/>
  <c r="E83" i="17"/>
  <c r="F83" i="17"/>
  <c r="G83" i="17"/>
  <c r="H83" i="17"/>
  <c r="I83" i="17"/>
  <c r="J83" i="17"/>
  <c r="B84" i="17"/>
  <c r="C84" i="17"/>
  <c r="D84" i="17"/>
  <c r="E84" i="17"/>
  <c r="F84" i="17"/>
  <c r="G84" i="17"/>
  <c r="H84" i="17"/>
  <c r="I84" i="17"/>
  <c r="J84" i="17"/>
  <c r="B85" i="17"/>
  <c r="D85" i="17" s="1"/>
  <c r="E85" i="17"/>
  <c r="F85" i="17"/>
  <c r="G85" i="17"/>
  <c r="H85" i="17"/>
  <c r="I85" i="17"/>
  <c r="J85" i="17"/>
  <c r="AI5" i="17"/>
  <c r="A1" i="16"/>
  <c r="P2" i="16"/>
  <c r="J3" i="16"/>
  <c r="J4" i="16"/>
  <c r="M4" i="16"/>
  <c r="AI4" i="16"/>
  <c r="J5" i="16"/>
  <c r="J6" i="16"/>
  <c r="B10" i="16"/>
  <c r="C10" i="16"/>
  <c r="D10" i="16"/>
  <c r="E10" i="16"/>
  <c r="F10" i="16"/>
  <c r="G10" i="16"/>
  <c r="H10" i="16"/>
  <c r="I10" i="16"/>
  <c r="J10" i="16"/>
  <c r="B11" i="16"/>
  <c r="C11" i="16"/>
  <c r="D11" i="16"/>
  <c r="E11" i="16"/>
  <c r="F11" i="16"/>
  <c r="G11" i="16"/>
  <c r="H11" i="16"/>
  <c r="I11" i="16"/>
  <c r="J11" i="16"/>
  <c r="B12" i="16"/>
  <c r="C12" i="16" s="1"/>
  <c r="E12" i="16"/>
  <c r="F12" i="16"/>
  <c r="G12" i="16"/>
  <c r="H12" i="16"/>
  <c r="I12" i="16"/>
  <c r="J12" i="16"/>
  <c r="B13" i="16"/>
  <c r="C13" i="16" s="1"/>
  <c r="H13" i="16"/>
  <c r="I13" i="16"/>
  <c r="J13" i="16"/>
  <c r="B14" i="16"/>
  <c r="H14" i="16" s="1"/>
  <c r="C14" i="16"/>
  <c r="D14" i="16"/>
  <c r="E14" i="16"/>
  <c r="F14" i="16"/>
  <c r="G14" i="16"/>
  <c r="I14" i="16"/>
  <c r="J14" i="16"/>
  <c r="B15" i="16"/>
  <c r="I15" i="16"/>
  <c r="J15" i="16"/>
  <c r="B16" i="16"/>
  <c r="C16" i="16"/>
  <c r="D16" i="16"/>
  <c r="I16" i="16"/>
  <c r="J16" i="16"/>
  <c r="B17" i="16"/>
  <c r="C17" i="16"/>
  <c r="D17" i="16"/>
  <c r="E17" i="16"/>
  <c r="F17" i="16"/>
  <c r="I17" i="16"/>
  <c r="J17" i="16"/>
  <c r="B18" i="16"/>
  <c r="C18" i="16"/>
  <c r="D18" i="16"/>
  <c r="E18" i="16"/>
  <c r="F18" i="16"/>
  <c r="G18" i="16"/>
  <c r="H18" i="16"/>
  <c r="I18" i="16"/>
  <c r="J18" i="16"/>
  <c r="B19" i="16"/>
  <c r="C19" i="16"/>
  <c r="I19" i="16"/>
  <c r="J19" i="16"/>
  <c r="B20" i="16"/>
  <c r="I20" i="16"/>
  <c r="J20" i="16"/>
  <c r="B21" i="16"/>
  <c r="C21" i="16"/>
  <c r="D21" i="16"/>
  <c r="E21" i="16"/>
  <c r="F21" i="16"/>
  <c r="G21" i="16"/>
  <c r="H21" i="16"/>
  <c r="I21" i="16"/>
  <c r="J21" i="16"/>
  <c r="B22" i="16"/>
  <c r="E22" i="16" s="1"/>
  <c r="F22" i="16"/>
  <c r="G22" i="16"/>
  <c r="H22" i="16"/>
  <c r="I22" i="16"/>
  <c r="J22" i="16"/>
  <c r="B23" i="16"/>
  <c r="C23" i="16"/>
  <c r="D23" i="16"/>
  <c r="G23" i="16"/>
  <c r="H23" i="16"/>
  <c r="I23" i="16"/>
  <c r="J23" i="16"/>
  <c r="B24" i="16"/>
  <c r="E24" i="16"/>
  <c r="F24" i="16"/>
  <c r="I24" i="16"/>
  <c r="J24" i="16"/>
  <c r="B25" i="16"/>
  <c r="I25" i="16"/>
  <c r="J25" i="16"/>
  <c r="B26" i="16"/>
  <c r="C26" i="16"/>
  <c r="D26" i="16"/>
  <c r="E26" i="16"/>
  <c r="F26" i="16"/>
  <c r="G26" i="16"/>
  <c r="H26" i="16"/>
  <c r="I26" i="16"/>
  <c r="J26" i="16"/>
  <c r="B27" i="16"/>
  <c r="C27" i="16"/>
  <c r="D27" i="16"/>
  <c r="E27" i="16"/>
  <c r="F27" i="16"/>
  <c r="G27" i="16"/>
  <c r="H27" i="16"/>
  <c r="I27" i="16"/>
  <c r="J27" i="16"/>
  <c r="B28" i="16"/>
  <c r="C28" i="16" s="1"/>
  <c r="E28" i="16"/>
  <c r="F28" i="16"/>
  <c r="G28" i="16"/>
  <c r="H28" i="16"/>
  <c r="I28" i="16"/>
  <c r="J28" i="16"/>
  <c r="B29" i="16"/>
  <c r="D29" i="16" s="1"/>
  <c r="C29" i="16"/>
  <c r="G29" i="16"/>
  <c r="H29" i="16"/>
  <c r="I29" i="16"/>
  <c r="J29" i="16"/>
  <c r="B30" i="16"/>
  <c r="H30" i="16" s="1"/>
  <c r="C30" i="16"/>
  <c r="D30" i="16"/>
  <c r="E30" i="16"/>
  <c r="F30" i="16"/>
  <c r="G30" i="16"/>
  <c r="I30" i="16"/>
  <c r="J30" i="16"/>
  <c r="B31" i="16"/>
  <c r="I31" i="16"/>
  <c r="J31" i="16"/>
  <c r="B32" i="16"/>
  <c r="C32" i="16"/>
  <c r="D32" i="16"/>
  <c r="I32" i="16"/>
  <c r="J32" i="16"/>
  <c r="B33" i="16"/>
  <c r="C33" i="16"/>
  <c r="D33" i="16"/>
  <c r="I33" i="16"/>
  <c r="J33" i="16"/>
  <c r="B34" i="16"/>
  <c r="I34" i="16"/>
  <c r="J34" i="16"/>
  <c r="B35" i="16"/>
  <c r="C35" i="16" s="1"/>
  <c r="F35" i="16"/>
  <c r="I35" i="16"/>
  <c r="J35" i="16"/>
  <c r="B36" i="16"/>
  <c r="C36" i="16" s="1"/>
  <c r="F36" i="16"/>
  <c r="G36" i="16"/>
  <c r="H36" i="16"/>
  <c r="I36" i="16"/>
  <c r="J36" i="16"/>
  <c r="B37" i="16"/>
  <c r="C37" i="16"/>
  <c r="D37" i="16"/>
  <c r="E37" i="16"/>
  <c r="F37" i="16"/>
  <c r="G37" i="16"/>
  <c r="H37" i="16"/>
  <c r="I37" i="16"/>
  <c r="J37" i="16"/>
  <c r="B38" i="16"/>
  <c r="E38" i="16"/>
  <c r="F38" i="16"/>
  <c r="G38" i="16"/>
  <c r="H38" i="16"/>
  <c r="I38" i="16"/>
  <c r="J38" i="16"/>
  <c r="B39" i="16"/>
  <c r="C39" i="16"/>
  <c r="D39" i="16"/>
  <c r="G39" i="16"/>
  <c r="H39" i="16"/>
  <c r="I39" i="16"/>
  <c r="J39" i="16"/>
  <c r="B40" i="16"/>
  <c r="C40" i="16" s="1"/>
  <c r="D40" i="16"/>
  <c r="I40" i="16"/>
  <c r="J40" i="16"/>
  <c r="B41" i="16"/>
  <c r="E41" i="16"/>
  <c r="F41" i="16"/>
  <c r="G41" i="16"/>
  <c r="H41" i="16"/>
  <c r="I41" i="16"/>
  <c r="J41" i="16"/>
  <c r="B42" i="16"/>
  <c r="C42" i="16"/>
  <c r="D42" i="16"/>
  <c r="E42" i="16"/>
  <c r="F42" i="16"/>
  <c r="G42" i="16"/>
  <c r="H42" i="16"/>
  <c r="I42" i="16"/>
  <c r="J42" i="16"/>
  <c r="B43" i="16"/>
  <c r="C43" i="16"/>
  <c r="D43" i="16"/>
  <c r="E43" i="16"/>
  <c r="F43" i="16"/>
  <c r="G43" i="16"/>
  <c r="H43" i="16"/>
  <c r="I43" i="16"/>
  <c r="J43" i="16"/>
  <c r="B44" i="16"/>
  <c r="C44" i="16" s="1"/>
  <c r="E44" i="16"/>
  <c r="F44" i="16"/>
  <c r="G44" i="16"/>
  <c r="H44" i="16"/>
  <c r="I44" i="16"/>
  <c r="J44" i="16"/>
  <c r="B45" i="16"/>
  <c r="D45" i="16" s="1"/>
  <c r="C45" i="16"/>
  <c r="G45" i="16"/>
  <c r="H45" i="16"/>
  <c r="I45" i="16"/>
  <c r="J45" i="16"/>
  <c r="B46" i="16"/>
  <c r="H46" i="16" s="1"/>
  <c r="C46" i="16"/>
  <c r="D46" i="16"/>
  <c r="E46" i="16"/>
  <c r="F46" i="16"/>
  <c r="G46" i="16"/>
  <c r="I46" i="16"/>
  <c r="J46" i="16"/>
  <c r="B47" i="16"/>
  <c r="I47" i="16"/>
  <c r="J47" i="16"/>
  <c r="B48" i="16"/>
  <c r="C48" i="16"/>
  <c r="I48" i="16"/>
  <c r="J48" i="16"/>
  <c r="B49" i="16"/>
  <c r="F49" i="16" s="1"/>
  <c r="C49" i="16"/>
  <c r="D49" i="16"/>
  <c r="E49" i="16"/>
  <c r="I49" i="16"/>
  <c r="J49" i="16"/>
  <c r="B50" i="16"/>
  <c r="C50" i="16"/>
  <c r="D50" i="16"/>
  <c r="E50" i="16"/>
  <c r="F50" i="16"/>
  <c r="G50" i="16"/>
  <c r="H50" i="16"/>
  <c r="I50" i="16"/>
  <c r="J50" i="16"/>
  <c r="B51" i="16"/>
  <c r="C51" i="16" s="1"/>
  <c r="D51" i="16"/>
  <c r="E51" i="16"/>
  <c r="F51" i="16"/>
  <c r="I51" i="16"/>
  <c r="J51" i="16"/>
  <c r="B52" i="16"/>
  <c r="C52" i="16"/>
  <c r="D52" i="16"/>
  <c r="E52" i="16"/>
  <c r="F52" i="16"/>
  <c r="G52" i="16"/>
  <c r="H52" i="16"/>
  <c r="I52" i="16"/>
  <c r="J52" i="16"/>
  <c r="B53" i="16"/>
  <c r="C53" i="16"/>
  <c r="D53" i="16"/>
  <c r="E53" i="16"/>
  <c r="F53" i="16"/>
  <c r="G53" i="16"/>
  <c r="H53" i="16"/>
  <c r="I53" i="16"/>
  <c r="J53" i="16"/>
  <c r="B54" i="16"/>
  <c r="E54" i="16" s="1"/>
  <c r="G54" i="16"/>
  <c r="I54" i="16"/>
  <c r="J54" i="16"/>
  <c r="B55" i="16"/>
  <c r="C55" i="16" s="1"/>
  <c r="D55" i="16"/>
  <c r="G55" i="16"/>
  <c r="H55" i="16"/>
  <c r="I55" i="16"/>
  <c r="J55" i="16"/>
  <c r="B56" i="16"/>
  <c r="C56" i="16"/>
  <c r="D56" i="16"/>
  <c r="E56" i="16"/>
  <c r="F56" i="16"/>
  <c r="I56" i="16"/>
  <c r="J56" i="16"/>
  <c r="B57" i="16"/>
  <c r="C57" i="16"/>
  <c r="D57" i="16"/>
  <c r="I57" i="16"/>
  <c r="J57" i="16"/>
  <c r="B58" i="16"/>
  <c r="C58" i="16"/>
  <c r="D58" i="16"/>
  <c r="E58" i="16"/>
  <c r="F58" i="16"/>
  <c r="G58" i="16"/>
  <c r="H58" i="16"/>
  <c r="I58" i="16"/>
  <c r="J58" i="16"/>
  <c r="B59" i="16"/>
  <c r="C59" i="16"/>
  <c r="D59" i="16"/>
  <c r="E59" i="16"/>
  <c r="F59" i="16"/>
  <c r="G59" i="16"/>
  <c r="H59" i="16"/>
  <c r="I59" i="16"/>
  <c r="J59" i="16"/>
  <c r="B60" i="16"/>
  <c r="C60" i="16" s="1"/>
  <c r="E60" i="16"/>
  <c r="F60" i="16"/>
  <c r="G60" i="16"/>
  <c r="H60" i="16"/>
  <c r="I60" i="16"/>
  <c r="J60" i="16"/>
  <c r="B61" i="16"/>
  <c r="D61" i="16" s="1"/>
  <c r="C61" i="16"/>
  <c r="G61" i="16"/>
  <c r="H61" i="16"/>
  <c r="I61" i="16"/>
  <c r="J61" i="16"/>
  <c r="B62" i="16"/>
  <c r="H62" i="16" s="1"/>
  <c r="C62" i="16"/>
  <c r="D62" i="16"/>
  <c r="E62" i="16"/>
  <c r="F62" i="16"/>
  <c r="G62" i="16"/>
  <c r="I62" i="16"/>
  <c r="J62" i="16"/>
  <c r="B63" i="16"/>
  <c r="I63" i="16"/>
  <c r="J63" i="16"/>
  <c r="B64" i="16"/>
  <c r="C64" i="16" s="1"/>
  <c r="I64" i="16"/>
  <c r="J64" i="16"/>
  <c r="B65" i="16"/>
  <c r="E65" i="16" s="1"/>
  <c r="C65" i="16"/>
  <c r="D65" i="16"/>
  <c r="I65" i="16"/>
  <c r="J65" i="16"/>
  <c r="B66" i="16"/>
  <c r="C66" i="16"/>
  <c r="D66" i="16"/>
  <c r="E66" i="16"/>
  <c r="F66" i="16"/>
  <c r="I66" i="16"/>
  <c r="J66" i="16"/>
  <c r="B67" i="16"/>
  <c r="C67" i="16"/>
  <c r="D67" i="16"/>
  <c r="E67" i="16"/>
  <c r="F67" i="16"/>
  <c r="G67" i="16"/>
  <c r="H67" i="16"/>
  <c r="I67" i="16"/>
  <c r="J67" i="16"/>
  <c r="B68" i="16"/>
  <c r="C68" i="16"/>
  <c r="D68" i="16"/>
  <c r="E68" i="16"/>
  <c r="F68" i="16"/>
  <c r="G68" i="16"/>
  <c r="H68" i="16"/>
  <c r="I68" i="16"/>
  <c r="J68" i="16"/>
  <c r="B69" i="16"/>
  <c r="C69" i="16"/>
  <c r="D69" i="16"/>
  <c r="E69" i="16"/>
  <c r="F69" i="16"/>
  <c r="G69" i="16"/>
  <c r="H69" i="16"/>
  <c r="I69" i="16"/>
  <c r="J69" i="16"/>
  <c r="B70" i="16"/>
  <c r="E70" i="16"/>
  <c r="F70" i="16"/>
  <c r="G70" i="16"/>
  <c r="H70" i="16"/>
  <c r="I70" i="16"/>
  <c r="J70" i="16"/>
  <c r="B71" i="16"/>
  <c r="C71" i="16"/>
  <c r="D71" i="16"/>
  <c r="G71" i="16"/>
  <c r="H71" i="16"/>
  <c r="I71" i="16"/>
  <c r="J71" i="16"/>
  <c r="B72" i="16"/>
  <c r="C72" i="16"/>
  <c r="D72" i="16"/>
  <c r="E72" i="16"/>
  <c r="F72" i="16"/>
  <c r="I72" i="16"/>
  <c r="J72" i="16"/>
  <c r="B73" i="16"/>
  <c r="C73" i="16" s="1"/>
  <c r="E73" i="16"/>
  <c r="I73" i="16"/>
  <c r="J73" i="16"/>
  <c r="B74" i="16"/>
  <c r="C74" i="16"/>
  <c r="D74" i="16"/>
  <c r="E74" i="16"/>
  <c r="F74" i="16"/>
  <c r="G74" i="16"/>
  <c r="H74" i="16"/>
  <c r="I74" i="16"/>
  <c r="J74" i="16"/>
  <c r="B75" i="16"/>
  <c r="C75" i="16"/>
  <c r="D75" i="16"/>
  <c r="E75" i="16"/>
  <c r="F75" i="16"/>
  <c r="G75" i="16"/>
  <c r="H75" i="16"/>
  <c r="I75" i="16"/>
  <c r="J75" i="16"/>
  <c r="B76" i="16"/>
  <c r="C76" i="16" s="1"/>
  <c r="E76" i="16"/>
  <c r="F76" i="16"/>
  <c r="G76" i="16"/>
  <c r="H76" i="16"/>
  <c r="I76" i="16"/>
  <c r="J76" i="16"/>
  <c r="B77" i="16"/>
  <c r="D77" i="16" s="1"/>
  <c r="C77" i="16"/>
  <c r="G77" i="16"/>
  <c r="H77" i="16"/>
  <c r="I77" i="16"/>
  <c r="J77" i="16"/>
  <c r="B78" i="16"/>
  <c r="H78" i="16" s="1"/>
  <c r="C78" i="16"/>
  <c r="D78" i="16"/>
  <c r="E78" i="16"/>
  <c r="F78" i="16"/>
  <c r="G78" i="16"/>
  <c r="I78" i="16"/>
  <c r="J78" i="16"/>
  <c r="B79" i="16"/>
  <c r="I79" i="16"/>
  <c r="J79" i="16"/>
  <c r="B80" i="16"/>
  <c r="C80" i="16"/>
  <c r="I80" i="16"/>
  <c r="J80" i="16"/>
  <c r="B81" i="16"/>
  <c r="C81" i="16"/>
  <c r="D81" i="16"/>
  <c r="E81" i="16"/>
  <c r="F81" i="16"/>
  <c r="I81" i="16"/>
  <c r="J81" i="16"/>
  <c r="B82" i="16"/>
  <c r="C82" i="16"/>
  <c r="D82" i="16"/>
  <c r="E82" i="16"/>
  <c r="F82" i="16"/>
  <c r="G82" i="16"/>
  <c r="H82" i="16"/>
  <c r="I82" i="16"/>
  <c r="J82" i="16"/>
  <c r="B83" i="16"/>
  <c r="C83" i="16"/>
  <c r="D83" i="16"/>
  <c r="E83" i="16"/>
  <c r="F83" i="16"/>
  <c r="H83" i="16"/>
  <c r="I83" i="16"/>
  <c r="J83" i="16"/>
  <c r="B84" i="16"/>
  <c r="D84" i="16" s="1"/>
  <c r="C84" i="16"/>
  <c r="F84" i="16"/>
  <c r="G84" i="16"/>
  <c r="H84" i="16"/>
  <c r="I84" i="16"/>
  <c r="J84" i="16"/>
  <c r="B85" i="16"/>
  <c r="C85" i="16"/>
  <c r="D85" i="16"/>
  <c r="E85" i="16"/>
  <c r="F85" i="16"/>
  <c r="G85" i="16"/>
  <c r="H85" i="16"/>
  <c r="I85" i="16"/>
  <c r="J85" i="16"/>
  <c r="A1" i="15"/>
  <c r="P2" i="15"/>
  <c r="J3" i="15"/>
  <c r="J4" i="15"/>
  <c r="M4" i="15"/>
  <c r="AI4" i="15"/>
  <c r="J5" i="15"/>
  <c r="J6" i="15"/>
  <c r="B10" i="15"/>
  <c r="C10" i="15"/>
  <c r="D10" i="15"/>
  <c r="E10" i="15"/>
  <c r="F10" i="15"/>
  <c r="G10" i="15"/>
  <c r="H10" i="15"/>
  <c r="I10" i="15"/>
  <c r="J10" i="15"/>
  <c r="B11" i="15"/>
  <c r="C11" i="15" s="1"/>
  <c r="H11" i="15"/>
  <c r="I11" i="15"/>
  <c r="J11" i="15"/>
  <c r="B12" i="15"/>
  <c r="C12" i="15" s="1"/>
  <c r="D12" i="15"/>
  <c r="I12" i="15"/>
  <c r="J12" i="15"/>
  <c r="B13" i="15"/>
  <c r="H13" i="15" s="1"/>
  <c r="C13" i="15"/>
  <c r="D13" i="15"/>
  <c r="E13" i="15"/>
  <c r="F13" i="15"/>
  <c r="G13" i="15"/>
  <c r="I13" i="15"/>
  <c r="J13" i="15"/>
  <c r="B14" i="15"/>
  <c r="C14" i="15"/>
  <c r="D14" i="15"/>
  <c r="E14" i="15"/>
  <c r="F14" i="15"/>
  <c r="G14" i="15"/>
  <c r="H14" i="15"/>
  <c r="I14" i="15"/>
  <c r="J14" i="15"/>
  <c r="B15" i="15"/>
  <c r="I15" i="15"/>
  <c r="J15" i="15"/>
  <c r="B16" i="15"/>
  <c r="C16" i="15"/>
  <c r="D16" i="15"/>
  <c r="I16" i="15"/>
  <c r="J16" i="15"/>
  <c r="B17" i="15"/>
  <c r="G17" i="15" s="1"/>
  <c r="C17" i="15"/>
  <c r="D17" i="15"/>
  <c r="E17" i="15"/>
  <c r="F17" i="15"/>
  <c r="I17" i="15"/>
  <c r="J17" i="15"/>
  <c r="B18" i="15"/>
  <c r="E18" i="15"/>
  <c r="F18" i="15"/>
  <c r="G18" i="15"/>
  <c r="H18" i="15"/>
  <c r="I18" i="15"/>
  <c r="J18" i="15"/>
  <c r="B19" i="15"/>
  <c r="C19" i="15"/>
  <c r="D19" i="15"/>
  <c r="G19" i="15"/>
  <c r="H19" i="15"/>
  <c r="I19" i="15"/>
  <c r="J19" i="15"/>
  <c r="B20" i="15"/>
  <c r="D20" i="15" s="1"/>
  <c r="C20" i="15"/>
  <c r="E20" i="15"/>
  <c r="F20" i="15"/>
  <c r="I20" i="15"/>
  <c r="J20" i="15"/>
  <c r="B21" i="15"/>
  <c r="C21" i="15"/>
  <c r="D21" i="15"/>
  <c r="E21" i="15"/>
  <c r="F21" i="15"/>
  <c r="G21" i="15"/>
  <c r="H21" i="15"/>
  <c r="I21" i="15"/>
  <c r="J21" i="15"/>
  <c r="B22" i="15"/>
  <c r="D22" i="15"/>
  <c r="E22" i="15"/>
  <c r="F22" i="15"/>
  <c r="G22" i="15"/>
  <c r="H22" i="15"/>
  <c r="I22" i="15"/>
  <c r="J22" i="15"/>
  <c r="B23" i="15"/>
  <c r="E23" i="15" s="1"/>
  <c r="C23" i="15"/>
  <c r="D23" i="15"/>
  <c r="F23" i="15"/>
  <c r="G23" i="15"/>
  <c r="H23" i="15"/>
  <c r="I23" i="15"/>
  <c r="J23" i="15"/>
  <c r="B24" i="15"/>
  <c r="F24" i="15" s="1"/>
  <c r="E24" i="15"/>
  <c r="H24" i="15"/>
  <c r="I24" i="15"/>
  <c r="J24" i="15"/>
  <c r="B25" i="15"/>
  <c r="E25" i="15" s="1"/>
  <c r="C25" i="15"/>
  <c r="D25" i="15"/>
  <c r="F25" i="15"/>
  <c r="G25" i="15"/>
  <c r="H25" i="15"/>
  <c r="I25" i="15"/>
  <c r="J25" i="15"/>
  <c r="B26" i="15"/>
  <c r="G26" i="15" s="1"/>
  <c r="C26" i="15"/>
  <c r="D26" i="15"/>
  <c r="E26" i="15"/>
  <c r="F26" i="15"/>
  <c r="H26" i="15"/>
  <c r="I26" i="15"/>
  <c r="J26" i="15"/>
  <c r="B27" i="15"/>
  <c r="C27" i="15" s="1"/>
  <c r="H27" i="15"/>
  <c r="I27" i="15"/>
  <c r="J27" i="15"/>
  <c r="B28" i="15"/>
  <c r="C28" i="15" s="1"/>
  <c r="D28" i="15"/>
  <c r="I28" i="15"/>
  <c r="J28" i="15"/>
  <c r="B29" i="15"/>
  <c r="H29" i="15" s="1"/>
  <c r="C29" i="15"/>
  <c r="D29" i="15"/>
  <c r="E29" i="15"/>
  <c r="F29" i="15"/>
  <c r="G29" i="15"/>
  <c r="I29" i="15"/>
  <c r="J29" i="15"/>
  <c r="B30" i="15"/>
  <c r="C30" i="15"/>
  <c r="D30" i="15"/>
  <c r="E30" i="15"/>
  <c r="F30" i="15"/>
  <c r="G30" i="15"/>
  <c r="H30" i="15"/>
  <c r="I30" i="15"/>
  <c r="J30" i="15"/>
  <c r="B31" i="15"/>
  <c r="I31" i="15"/>
  <c r="J31" i="15"/>
  <c r="B32" i="15"/>
  <c r="D32" i="15" s="1"/>
  <c r="C32" i="15"/>
  <c r="I32" i="15"/>
  <c r="J32" i="15"/>
  <c r="B33" i="15"/>
  <c r="G33" i="15" s="1"/>
  <c r="C33" i="15"/>
  <c r="D33" i="15"/>
  <c r="E33" i="15"/>
  <c r="F33" i="15"/>
  <c r="I33" i="15"/>
  <c r="J33" i="15"/>
  <c r="B34" i="15"/>
  <c r="I34" i="15"/>
  <c r="J34" i="15"/>
  <c r="B35" i="15"/>
  <c r="C35" i="15"/>
  <c r="D35" i="15"/>
  <c r="G35" i="15"/>
  <c r="H35" i="15"/>
  <c r="I35" i="15"/>
  <c r="J35" i="15"/>
  <c r="B36" i="15"/>
  <c r="I36" i="15"/>
  <c r="J36" i="15"/>
  <c r="B37" i="15"/>
  <c r="C37" i="15"/>
  <c r="D37" i="15"/>
  <c r="E37" i="15"/>
  <c r="F37" i="15"/>
  <c r="G37" i="15"/>
  <c r="H37" i="15"/>
  <c r="I37" i="15"/>
  <c r="J37" i="15"/>
  <c r="B38" i="15"/>
  <c r="C38" i="15" s="1"/>
  <c r="D38" i="15"/>
  <c r="E38" i="15"/>
  <c r="F38" i="15"/>
  <c r="G38" i="15"/>
  <c r="H38" i="15"/>
  <c r="I38" i="15"/>
  <c r="J38" i="15"/>
  <c r="B39" i="15"/>
  <c r="E39" i="15" s="1"/>
  <c r="C39" i="15"/>
  <c r="D39" i="15"/>
  <c r="F39" i="15"/>
  <c r="G39" i="15"/>
  <c r="H39" i="15"/>
  <c r="I39" i="15"/>
  <c r="J39" i="15"/>
  <c r="B40" i="15"/>
  <c r="E40" i="15" s="1"/>
  <c r="D40" i="15"/>
  <c r="F40" i="15"/>
  <c r="H40" i="15"/>
  <c r="I40" i="15"/>
  <c r="J40" i="15"/>
  <c r="B41" i="15"/>
  <c r="E41" i="15" s="1"/>
  <c r="C41" i="15"/>
  <c r="D41" i="15"/>
  <c r="F41" i="15"/>
  <c r="G41" i="15"/>
  <c r="H41" i="15"/>
  <c r="I41" i="15"/>
  <c r="J41" i="15"/>
  <c r="B42" i="15"/>
  <c r="G42" i="15" s="1"/>
  <c r="C42" i="15"/>
  <c r="D42" i="15"/>
  <c r="E42" i="15"/>
  <c r="F42" i="15"/>
  <c r="H42" i="15"/>
  <c r="I42" i="15"/>
  <c r="J42" i="15"/>
  <c r="B43" i="15"/>
  <c r="C43" i="15" s="1"/>
  <c r="H43" i="15"/>
  <c r="I43" i="15"/>
  <c r="J43" i="15"/>
  <c r="B44" i="15"/>
  <c r="C44" i="15" s="1"/>
  <c r="D44" i="15"/>
  <c r="I44" i="15"/>
  <c r="J44" i="15"/>
  <c r="B45" i="15"/>
  <c r="C45" i="15" s="1"/>
  <c r="D45" i="15"/>
  <c r="E45" i="15"/>
  <c r="F45" i="15"/>
  <c r="G45" i="15"/>
  <c r="I45" i="15"/>
  <c r="J45" i="15"/>
  <c r="B46" i="15"/>
  <c r="C46" i="15"/>
  <c r="D46" i="15"/>
  <c r="E46" i="15"/>
  <c r="F46" i="15"/>
  <c r="G46" i="15"/>
  <c r="H46" i="15"/>
  <c r="I46" i="15"/>
  <c r="J46" i="15"/>
  <c r="B47" i="15"/>
  <c r="I47" i="15"/>
  <c r="J47" i="15"/>
  <c r="B48" i="15"/>
  <c r="I48" i="15"/>
  <c r="J48" i="15"/>
  <c r="B49" i="15"/>
  <c r="G49" i="15" s="1"/>
  <c r="C49" i="15"/>
  <c r="D49" i="15"/>
  <c r="E49" i="15"/>
  <c r="F49" i="15"/>
  <c r="I49" i="15"/>
  <c r="J49" i="15"/>
  <c r="B50" i="15"/>
  <c r="E50" i="15"/>
  <c r="F50" i="15"/>
  <c r="G50" i="15"/>
  <c r="H50" i="15"/>
  <c r="I50" i="15"/>
  <c r="J50" i="15"/>
  <c r="B51" i="15"/>
  <c r="C51" i="15"/>
  <c r="D51" i="15"/>
  <c r="G51" i="15"/>
  <c r="H51" i="15"/>
  <c r="I51" i="15"/>
  <c r="J51" i="15"/>
  <c r="B52" i="15"/>
  <c r="C52" i="15"/>
  <c r="D52" i="15"/>
  <c r="E52" i="15"/>
  <c r="F52" i="15"/>
  <c r="I52" i="15"/>
  <c r="J52" i="15"/>
  <c r="B53" i="15"/>
  <c r="H53" i="15" s="1"/>
  <c r="C53" i="15"/>
  <c r="D53" i="15"/>
  <c r="E53" i="15"/>
  <c r="F53" i="15"/>
  <c r="G53" i="15"/>
  <c r="I53" i="15"/>
  <c r="J53" i="15"/>
  <c r="B54" i="15"/>
  <c r="C54" i="15" s="1"/>
  <c r="E54" i="15"/>
  <c r="H54" i="15"/>
  <c r="I54" i="15"/>
  <c r="J54" i="15"/>
  <c r="B55" i="15"/>
  <c r="E55" i="15" s="1"/>
  <c r="C55" i="15"/>
  <c r="I55" i="15"/>
  <c r="J55" i="15"/>
  <c r="B56" i="15"/>
  <c r="D56" i="15" s="1"/>
  <c r="H56" i="15"/>
  <c r="I56" i="15"/>
  <c r="J56" i="15"/>
  <c r="B57" i="15"/>
  <c r="E57" i="15" s="1"/>
  <c r="C57" i="15"/>
  <c r="D57" i="15"/>
  <c r="F57" i="15"/>
  <c r="G57" i="15"/>
  <c r="H57" i="15"/>
  <c r="I57" i="15"/>
  <c r="J57" i="15"/>
  <c r="B58" i="15"/>
  <c r="G58" i="15" s="1"/>
  <c r="C58" i="15"/>
  <c r="D58" i="15"/>
  <c r="E58" i="15"/>
  <c r="F58" i="15"/>
  <c r="H58" i="15"/>
  <c r="I58" i="15"/>
  <c r="J58" i="15"/>
  <c r="B59" i="15"/>
  <c r="C59" i="15" s="1"/>
  <c r="H59" i="15"/>
  <c r="I59" i="15"/>
  <c r="J59" i="15"/>
  <c r="B60" i="15"/>
  <c r="C60" i="15" s="1"/>
  <c r="D60" i="15"/>
  <c r="I60" i="15"/>
  <c r="J60" i="15"/>
  <c r="B61" i="15"/>
  <c r="C61" i="15" s="1"/>
  <c r="D61" i="15"/>
  <c r="E61" i="15"/>
  <c r="F61" i="15"/>
  <c r="G61" i="15"/>
  <c r="I61" i="15"/>
  <c r="J61" i="15"/>
  <c r="B62" i="15"/>
  <c r="C62" i="15"/>
  <c r="D62" i="15"/>
  <c r="E62" i="15"/>
  <c r="F62" i="15"/>
  <c r="G62" i="15"/>
  <c r="H62" i="15"/>
  <c r="I62" i="15"/>
  <c r="J62" i="15"/>
  <c r="B63" i="15"/>
  <c r="I63" i="15"/>
  <c r="J63" i="15"/>
  <c r="B64" i="15"/>
  <c r="D64" i="15" s="1"/>
  <c r="C64" i="15"/>
  <c r="I64" i="15"/>
  <c r="J64" i="15"/>
  <c r="B65" i="15"/>
  <c r="G65" i="15" s="1"/>
  <c r="C65" i="15"/>
  <c r="D65" i="15"/>
  <c r="E65" i="15"/>
  <c r="F65" i="15"/>
  <c r="I65" i="15"/>
  <c r="J65" i="15"/>
  <c r="B66" i="15"/>
  <c r="E66" i="15"/>
  <c r="F66" i="15"/>
  <c r="G66" i="15"/>
  <c r="H66" i="15"/>
  <c r="I66" i="15"/>
  <c r="J66" i="15"/>
  <c r="B67" i="15"/>
  <c r="C67" i="15" s="1"/>
  <c r="D67" i="15"/>
  <c r="I67" i="15"/>
  <c r="J67" i="15"/>
  <c r="B68" i="15"/>
  <c r="C68" i="15" s="1"/>
  <c r="I68" i="15"/>
  <c r="J68" i="15"/>
  <c r="B69" i="15"/>
  <c r="C69" i="15"/>
  <c r="D69" i="15"/>
  <c r="E69" i="15"/>
  <c r="F69" i="15"/>
  <c r="G69" i="15"/>
  <c r="H69" i="15"/>
  <c r="I69" i="15"/>
  <c r="J69" i="15"/>
  <c r="B70" i="15"/>
  <c r="C70" i="15" s="1"/>
  <c r="D70" i="15"/>
  <c r="E70" i="15"/>
  <c r="F70" i="15"/>
  <c r="G70" i="15"/>
  <c r="H70" i="15"/>
  <c r="I70" i="15"/>
  <c r="J70" i="15"/>
  <c r="B71" i="15"/>
  <c r="E71" i="15" s="1"/>
  <c r="C71" i="15"/>
  <c r="D71" i="15"/>
  <c r="F71" i="15"/>
  <c r="G71" i="15"/>
  <c r="H71" i="15"/>
  <c r="I71" i="15"/>
  <c r="J71" i="15"/>
  <c r="B72" i="15"/>
  <c r="D72" i="15"/>
  <c r="E72" i="15"/>
  <c r="F72" i="15"/>
  <c r="H72" i="15"/>
  <c r="I72" i="15"/>
  <c r="J72" i="15"/>
  <c r="B73" i="15"/>
  <c r="E73" i="15" s="1"/>
  <c r="C73" i="15"/>
  <c r="D73" i="15"/>
  <c r="F73" i="15"/>
  <c r="G73" i="15"/>
  <c r="H73" i="15"/>
  <c r="I73" i="15"/>
  <c r="J73" i="15"/>
  <c r="B74" i="15"/>
  <c r="G74" i="15" s="1"/>
  <c r="C74" i="15"/>
  <c r="D74" i="15"/>
  <c r="E74" i="15"/>
  <c r="F74" i="15"/>
  <c r="H74" i="15"/>
  <c r="I74" i="15"/>
  <c r="J74" i="15"/>
  <c r="B75" i="15"/>
  <c r="C75" i="15" s="1"/>
  <c r="H75" i="15"/>
  <c r="I75" i="15"/>
  <c r="J75" i="15"/>
  <c r="B76" i="15"/>
  <c r="C76" i="15" s="1"/>
  <c r="D76" i="15"/>
  <c r="I76" i="15"/>
  <c r="J76" i="15"/>
  <c r="B77" i="15"/>
  <c r="C77" i="15" s="1"/>
  <c r="D77" i="15"/>
  <c r="E77" i="15"/>
  <c r="F77" i="15"/>
  <c r="G77" i="15"/>
  <c r="I77" i="15"/>
  <c r="J77" i="15"/>
  <c r="B78" i="15"/>
  <c r="C78" i="15"/>
  <c r="D78" i="15"/>
  <c r="E78" i="15"/>
  <c r="F78" i="15"/>
  <c r="G78" i="15"/>
  <c r="H78" i="15"/>
  <c r="I78" i="15"/>
  <c r="J78" i="15"/>
  <c r="B79" i="15"/>
  <c r="I79" i="15"/>
  <c r="J79" i="15"/>
  <c r="B80" i="15"/>
  <c r="C80" i="15" s="1"/>
  <c r="D80" i="15"/>
  <c r="I80" i="15"/>
  <c r="J80" i="15"/>
  <c r="B81" i="15"/>
  <c r="G81" i="15" s="1"/>
  <c r="C81" i="15"/>
  <c r="D81" i="15"/>
  <c r="E81" i="15"/>
  <c r="F81" i="15"/>
  <c r="I81" i="15"/>
  <c r="J81" i="15"/>
  <c r="B82" i="15"/>
  <c r="E82" i="15"/>
  <c r="F82" i="15"/>
  <c r="G82" i="15"/>
  <c r="H82" i="15"/>
  <c r="I82" i="15"/>
  <c r="J82" i="15"/>
  <c r="B83" i="15"/>
  <c r="C83" i="15"/>
  <c r="D83" i="15"/>
  <c r="G83" i="15"/>
  <c r="H83" i="15"/>
  <c r="I83" i="15"/>
  <c r="J83" i="15"/>
  <c r="B84" i="15"/>
  <c r="C84" i="15"/>
  <c r="D84" i="15"/>
  <c r="E84" i="15"/>
  <c r="F84" i="15"/>
  <c r="I84" i="15"/>
  <c r="J84" i="15"/>
  <c r="B85" i="15"/>
  <c r="H85" i="15"/>
  <c r="I85" i="15"/>
  <c r="J85" i="15"/>
  <c r="AI5" i="15"/>
  <c r="A1" i="14"/>
  <c r="P2" i="14"/>
  <c r="J3" i="14"/>
  <c r="J4" i="14"/>
  <c r="M4" i="14"/>
  <c r="AI4" i="14"/>
  <c r="J5" i="14"/>
  <c r="J6" i="14"/>
  <c r="B10" i="14"/>
  <c r="C10" i="14" s="1"/>
  <c r="D10" i="14"/>
  <c r="E10" i="14"/>
  <c r="F10" i="14"/>
  <c r="G10" i="14"/>
  <c r="H10" i="14"/>
  <c r="I10" i="14"/>
  <c r="J10" i="14"/>
  <c r="B11" i="14"/>
  <c r="D11" i="14" s="1"/>
  <c r="C11" i="14"/>
  <c r="F11" i="14"/>
  <c r="G11" i="14"/>
  <c r="H11" i="14"/>
  <c r="I11" i="14"/>
  <c r="J11" i="14"/>
  <c r="B12" i="14"/>
  <c r="C12" i="14" s="1"/>
  <c r="H12" i="14"/>
  <c r="I12" i="14"/>
  <c r="J12" i="14"/>
  <c r="B13" i="14"/>
  <c r="C13" i="14" s="1"/>
  <c r="D13" i="14"/>
  <c r="E13" i="14"/>
  <c r="I13" i="14"/>
  <c r="J13" i="14"/>
  <c r="B14" i="14"/>
  <c r="C14" i="14"/>
  <c r="D14" i="14"/>
  <c r="E14" i="14"/>
  <c r="F14" i="14"/>
  <c r="G14" i="14"/>
  <c r="H14" i="14"/>
  <c r="I14" i="14"/>
  <c r="J14" i="14"/>
  <c r="B15" i="14"/>
  <c r="I15" i="14"/>
  <c r="J15" i="14"/>
  <c r="B16" i="14"/>
  <c r="C16" i="14"/>
  <c r="D16" i="14"/>
  <c r="I16" i="14"/>
  <c r="J16" i="14"/>
  <c r="B17" i="14"/>
  <c r="C17" i="14"/>
  <c r="D17" i="14"/>
  <c r="I17" i="14"/>
  <c r="J17" i="14"/>
  <c r="B18" i="14"/>
  <c r="C18" i="14"/>
  <c r="D18" i="14"/>
  <c r="E18" i="14"/>
  <c r="F18" i="14"/>
  <c r="G18" i="14"/>
  <c r="H18" i="14"/>
  <c r="I18" i="14"/>
  <c r="J18" i="14"/>
  <c r="B19" i="14"/>
  <c r="C19" i="14" s="1"/>
  <c r="H19" i="14"/>
  <c r="I19" i="14"/>
  <c r="J19" i="14"/>
  <c r="B20" i="14"/>
  <c r="C20" i="14"/>
  <c r="D20" i="14"/>
  <c r="E20" i="14"/>
  <c r="F20" i="14"/>
  <c r="G20" i="14"/>
  <c r="H20" i="14"/>
  <c r="I20" i="14"/>
  <c r="J20" i="14"/>
  <c r="B21" i="14"/>
  <c r="D21" i="14" s="1"/>
  <c r="C21" i="14"/>
  <c r="E21" i="14"/>
  <c r="F21" i="14"/>
  <c r="G21" i="14"/>
  <c r="H21" i="14"/>
  <c r="I21" i="14"/>
  <c r="J21" i="14"/>
  <c r="B22" i="14"/>
  <c r="C22" i="14"/>
  <c r="D22" i="14"/>
  <c r="E22" i="14"/>
  <c r="F22" i="14"/>
  <c r="G22" i="14"/>
  <c r="H22" i="14"/>
  <c r="I22" i="14"/>
  <c r="J22" i="14"/>
  <c r="B23" i="14"/>
  <c r="C23" i="14"/>
  <c r="G23" i="14"/>
  <c r="I23" i="14"/>
  <c r="J23" i="14"/>
  <c r="B24" i="14"/>
  <c r="D24" i="14" s="1"/>
  <c r="C24" i="14"/>
  <c r="E24" i="14"/>
  <c r="I24" i="14"/>
  <c r="J24" i="14"/>
  <c r="B25" i="14"/>
  <c r="H25" i="14" s="1"/>
  <c r="C25" i="14"/>
  <c r="D25" i="14"/>
  <c r="E25" i="14"/>
  <c r="F25" i="14"/>
  <c r="G25" i="14"/>
  <c r="I25" i="14"/>
  <c r="J25" i="14"/>
  <c r="B26" i="14"/>
  <c r="I26" i="14"/>
  <c r="J26" i="14"/>
  <c r="B27" i="14"/>
  <c r="E27" i="14" s="1"/>
  <c r="C27" i="14"/>
  <c r="D27" i="14"/>
  <c r="F27" i="14"/>
  <c r="G27" i="14"/>
  <c r="H27" i="14"/>
  <c r="I27" i="14"/>
  <c r="J27" i="14"/>
  <c r="B28" i="14"/>
  <c r="C28" i="14" s="1"/>
  <c r="F28" i="14"/>
  <c r="H28" i="14"/>
  <c r="I28" i="14"/>
  <c r="J28" i="14"/>
  <c r="B29" i="14"/>
  <c r="C29" i="14" s="1"/>
  <c r="D29" i="14"/>
  <c r="E29" i="14"/>
  <c r="H29" i="14"/>
  <c r="I29" i="14"/>
  <c r="J29" i="14"/>
  <c r="B30" i="14"/>
  <c r="E30" i="14" s="1"/>
  <c r="C30" i="14"/>
  <c r="D30" i="14"/>
  <c r="F30" i="14"/>
  <c r="G30" i="14"/>
  <c r="H30" i="14"/>
  <c r="I30" i="14"/>
  <c r="J30" i="14"/>
  <c r="B31" i="14"/>
  <c r="I31" i="14"/>
  <c r="J31" i="14"/>
  <c r="B32" i="14"/>
  <c r="C32" i="14"/>
  <c r="D32" i="14"/>
  <c r="I32" i="14"/>
  <c r="J32" i="14"/>
  <c r="B33" i="14"/>
  <c r="C33" i="14"/>
  <c r="D33" i="14"/>
  <c r="E33" i="14"/>
  <c r="F33" i="14"/>
  <c r="I33" i="14"/>
  <c r="J33" i="14"/>
  <c r="B34" i="14"/>
  <c r="C34" i="14"/>
  <c r="D34" i="14"/>
  <c r="E34" i="14"/>
  <c r="F34" i="14"/>
  <c r="G34" i="14"/>
  <c r="H34" i="14"/>
  <c r="I34" i="14"/>
  <c r="J34" i="14"/>
  <c r="B35" i="14"/>
  <c r="I35" i="14"/>
  <c r="J35" i="14"/>
  <c r="B36" i="14"/>
  <c r="C36" i="14"/>
  <c r="D36" i="14"/>
  <c r="E36" i="14"/>
  <c r="F36" i="14"/>
  <c r="G36" i="14"/>
  <c r="H36" i="14"/>
  <c r="I36" i="14"/>
  <c r="J36" i="14"/>
  <c r="B37" i="14"/>
  <c r="D37" i="14" s="1"/>
  <c r="C37" i="14"/>
  <c r="E37" i="14"/>
  <c r="F37" i="14"/>
  <c r="G37" i="14"/>
  <c r="H37" i="14"/>
  <c r="I37" i="14"/>
  <c r="J37" i="14"/>
  <c r="B38" i="14"/>
  <c r="C38" i="14"/>
  <c r="D38" i="14"/>
  <c r="E38" i="14"/>
  <c r="F38" i="14"/>
  <c r="G38" i="14"/>
  <c r="H38" i="14"/>
  <c r="I38" i="14"/>
  <c r="J38" i="14"/>
  <c r="B39" i="14"/>
  <c r="C39" i="14"/>
  <c r="G39" i="14"/>
  <c r="I39" i="14"/>
  <c r="J39" i="14"/>
  <c r="B40" i="14"/>
  <c r="C40" i="14" s="1"/>
  <c r="D40" i="14"/>
  <c r="E40" i="14"/>
  <c r="I40" i="14"/>
  <c r="J40" i="14"/>
  <c r="B41" i="14"/>
  <c r="C41" i="14"/>
  <c r="D41" i="14"/>
  <c r="E41" i="14"/>
  <c r="F41" i="14"/>
  <c r="G41" i="14"/>
  <c r="I41" i="14"/>
  <c r="J41" i="14"/>
  <c r="B42" i="14"/>
  <c r="G42" i="14" s="1"/>
  <c r="E42" i="14"/>
  <c r="F42" i="14"/>
  <c r="H42" i="14"/>
  <c r="I42" i="14"/>
  <c r="J42" i="14"/>
  <c r="B43" i="14"/>
  <c r="E43" i="14" s="1"/>
  <c r="C43" i="14"/>
  <c r="D43" i="14"/>
  <c r="F43" i="14"/>
  <c r="G43" i="14"/>
  <c r="H43" i="14"/>
  <c r="I43" i="14"/>
  <c r="J43" i="14"/>
  <c r="B44" i="14"/>
  <c r="C44" i="14" s="1"/>
  <c r="F44" i="14"/>
  <c r="H44" i="14"/>
  <c r="I44" i="14"/>
  <c r="J44" i="14"/>
  <c r="B45" i="14"/>
  <c r="C45" i="14" s="1"/>
  <c r="D45" i="14"/>
  <c r="E45" i="14"/>
  <c r="H45" i="14"/>
  <c r="I45" i="14"/>
  <c r="J45" i="14"/>
  <c r="B46" i="14"/>
  <c r="E46" i="14" s="1"/>
  <c r="C46" i="14"/>
  <c r="D46" i="14"/>
  <c r="F46" i="14"/>
  <c r="G46" i="14"/>
  <c r="H46" i="14"/>
  <c r="I46" i="14"/>
  <c r="J46" i="14"/>
  <c r="B47" i="14"/>
  <c r="I47" i="14"/>
  <c r="J47" i="14"/>
  <c r="B48" i="14"/>
  <c r="C48" i="14" s="1"/>
  <c r="I48" i="14"/>
  <c r="J48" i="14"/>
  <c r="B49" i="14"/>
  <c r="C49" i="14"/>
  <c r="D49" i="14"/>
  <c r="E49" i="14"/>
  <c r="F49" i="14"/>
  <c r="I49" i="14"/>
  <c r="J49" i="14"/>
  <c r="B50" i="14"/>
  <c r="C50" i="14" s="1"/>
  <c r="D50" i="14"/>
  <c r="E50" i="14"/>
  <c r="F50" i="14"/>
  <c r="G50" i="14"/>
  <c r="H50" i="14"/>
  <c r="I50" i="14"/>
  <c r="J50" i="14"/>
  <c r="B51" i="14"/>
  <c r="C51" i="14" s="1"/>
  <c r="I51" i="14"/>
  <c r="J51" i="14"/>
  <c r="B52" i="14"/>
  <c r="C52" i="14"/>
  <c r="D52" i="14"/>
  <c r="E52" i="14"/>
  <c r="F52" i="14"/>
  <c r="G52" i="14"/>
  <c r="H52" i="14"/>
  <c r="I52" i="14"/>
  <c r="J52" i="14"/>
  <c r="B53" i="14"/>
  <c r="D53" i="14" s="1"/>
  <c r="C53" i="14"/>
  <c r="E53" i="14"/>
  <c r="F53" i="14"/>
  <c r="G53" i="14"/>
  <c r="H53" i="14"/>
  <c r="I53" i="14"/>
  <c r="J53" i="14"/>
  <c r="B54" i="14"/>
  <c r="C54" i="14"/>
  <c r="D54" i="14"/>
  <c r="E54" i="14"/>
  <c r="F54" i="14"/>
  <c r="G54" i="14"/>
  <c r="H54" i="14"/>
  <c r="I54" i="14"/>
  <c r="J54" i="14"/>
  <c r="B55" i="14"/>
  <c r="C55" i="14"/>
  <c r="G55" i="14"/>
  <c r="I55" i="14"/>
  <c r="J55" i="14"/>
  <c r="B56" i="14"/>
  <c r="D56" i="14" s="1"/>
  <c r="C56" i="14"/>
  <c r="I56" i="14"/>
  <c r="J56" i="14"/>
  <c r="B57" i="14"/>
  <c r="C57" i="14"/>
  <c r="D57" i="14"/>
  <c r="E57" i="14"/>
  <c r="F57" i="14"/>
  <c r="G57" i="14"/>
  <c r="I57" i="14"/>
  <c r="J57" i="14"/>
  <c r="B58" i="14"/>
  <c r="F58" i="14" s="1"/>
  <c r="E58" i="14"/>
  <c r="I58" i="14"/>
  <c r="J58" i="14"/>
  <c r="B59" i="14"/>
  <c r="E59" i="14" s="1"/>
  <c r="C59" i="14"/>
  <c r="D59" i="14"/>
  <c r="F59" i="14"/>
  <c r="G59" i="14"/>
  <c r="H59" i="14"/>
  <c r="I59" i="14"/>
  <c r="J59" i="14"/>
  <c r="B60" i="14"/>
  <c r="C60" i="14" s="1"/>
  <c r="F60" i="14"/>
  <c r="H60" i="14"/>
  <c r="I60" i="14"/>
  <c r="J60" i="14"/>
  <c r="B61" i="14"/>
  <c r="C61" i="14" s="1"/>
  <c r="D61" i="14"/>
  <c r="E61" i="14"/>
  <c r="H61" i="14"/>
  <c r="I61" i="14"/>
  <c r="J61" i="14"/>
  <c r="B62" i="14"/>
  <c r="E62" i="14" s="1"/>
  <c r="C62" i="14"/>
  <c r="D62" i="14"/>
  <c r="F62" i="14"/>
  <c r="G62" i="14"/>
  <c r="H62" i="14"/>
  <c r="I62" i="14"/>
  <c r="J62" i="14"/>
  <c r="B63" i="14"/>
  <c r="I63" i="14"/>
  <c r="J63" i="14"/>
  <c r="B64" i="14"/>
  <c r="C64" i="14"/>
  <c r="D64" i="14"/>
  <c r="I64" i="14"/>
  <c r="J64" i="14"/>
  <c r="B65" i="14"/>
  <c r="C65" i="14"/>
  <c r="D65" i="14"/>
  <c r="E65" i="14"/>
  <c r="F65" i="14"/>
  <c r="I65" i="14"/>
  <c r="J65" i="14"/>
  <c r="B66" i="14"/>
  <c r="C66" i="14"/>
  <c r="D66" i="14"/>
  <c r="E66" i="14"/>
  <c r="F66" i="14"/>
  <c r="G66" i="14"/>
  <c r="H66" i="14"/>
  <c r="I66" i="14"/>
  <c r="J66" i="14"/>
  <c r="B67" i="14"/>
  <c r="D67" i="14" s="1"/>
  <c r="C67" i="14"/>
  <c r="I67" i="14"/>
  <c r="J67" i="14"/>
  <c r="B68" i="14"/>
  <c r="C68" i="14"/>
  <c r="D68" i="14"/>
  <c r="E68" i="14"/>
  <c r="F68" i="14"/>
  <c r="G68" i="14"/>
  <c r="H68" i="14"/>
  <c r="I68" i="14"/>
  <c r="J68" i="14"/>
  <c r="B69" i="14"/>
  <c r="D69" i="14" s="1"/>
  <c r="C69" i="14"/>
  <c r="E69" i="14"/>
  <c r="F69" i="14"/>
  <c r="G69" i="14"/>
  <c r="H69" i="14"/>
  <c r="I69" i="14"/>
  <c r="J69" i="14"/>
  <c r="B70" i="14"/>
  <c r="C70" i="14"/>
  <c r="D70" i="14"/>
  <c r="E70" i="14"/>
  <c r="F70" i="14"/>
  <c r="G70" i="14"/>
  <c r="H70" i="14"/>
  <c r="I70" i="14"/>
  <c r="J70" i="14"/>
  <c r="B71" i="14"/>
  <c r="C71" i="14"/>
  <c r="F71" i="14"/>
  <c r="G71" i="14"/>
  <c r="I71" i="14"/>
  <c r="J71" i="14"/>
  <c r="B72" i="14"/>
  <c r="C72" i="14" s="1"/>
  <c r="D72" i="14"/>
  <c r="E72" i="14"/>
  <c r="H72" i="14"/>
  <c r="I72" i="14"/>
  <c r="J72" i="14"/>
  <c r="B73" i="14"/>
  <c r="C73" i="14"/>
  <c r="D73" i="14"/>
  <c r="E73" i="14"/>
  <c r="F73" i="14"/>
  <c r="G73" i="14"/>
  <c r="I73" i="14"/>
  <c r="J73" i="14"/>
  <c r="B74" i="14"/>
  <c r="E74" i="14" s="1"/>
  <c r="F74" i="14"/>
  <c r="G74" i="14"/>
  <c r="H74" i="14"/>
  <c r="I74" i="14"/>
  <c r="J74" i="14"/>
  <c r="B75" i="14"/>
  <c r="E75" i="14" s="1"/>
  <c r="C75" i="14"/>
  <c r="D75" i="14"/>
  <c r="F75" i="14"/>
  <c r="G75" i="14"/>
  <c r="H75" i="14"/>
  <c r="I75" i="14"/>
  <c r="J75" i="14"/>
  <c r="B76" i="14"/>
  <c r="C76" i="14" s="1"/>
  <c r="F76" i="14"/>
  <c r="H76" i="14"/>
  <c r="I76" i="14"/>
  <c r="J76" i="14"/>
  <c r="B77" i="14"/>
  <c r="C77" i="14" s="1"/>
  <c r="D77" i="14"/>
  <c r="E77" i="14"/>
  <c r="H77" i="14"/>
  <c r="I77" i="14"/>
  <c r="J77" i="14"/>
  <c r="B78" i="14"/>
  <c r="C78" i="14"/>
  <c r="D78" i="14"/>
  <c r="F78" i="14"/>
  <c r="G78" i="14"/>
  <c r="H78" i="14"/>
  <c r="I78" i="14"/>
  <c r="J78" i="14"/>
  <c r="B79" i="14"/>
  <c r="I79" i="14"/>
  <c r="J79" i="14"/>
  <c r="B80" i="14"/>
  <c r="C80" i="14"/>
  <c r="D80" i="14"/>
  <c r="I80" i="14"/>
  <c r="J80" i="14"/>
  <c r="B81" i="14"/>
  <c r="C81" i="14" s="1"/>
  <c r="D81" i="14"/>
  <c r="E81" i="14"/>
  <c r="F81" i="14"/>
  <c r="I81" i="14"/>
  <c r="J81" i="14"/>
  <c r="B82" i="14"/>
  <c r="I82" i="14"/>
  <c r="J82" i="14"/>
  <c r="B83" i="14"/>
  <c r="C83" i="14"/>
  <c r="D83" i="14"/>
  <c r="E83" i="14"/>
  <c r="F83" i="14"/>
  <c r="G83" i="14"/>
  <c r="H83" i="14"/>
  <c r="I83" i="14"/>
  <c r="J83" i="14"/>
  <c r="B84" i="14"/>
  <c r="C84" i="14"/>
  <c r="D84" i="14"/>
  <c r="E84" i="14"/>
  <c r="F84" i="14"/>
  <c r="G84" i="14"/>
  <c r="H84" i="14"/>
  <c r="I84" i="14"/>
  <c r="J84" i="14"/>
  <c r="B85" i="14"/>
  <c r="D85" i="14" s="1"/>
  <c r="I85" i="14"/>
  <c r="J85" i="14"/>
  <c r="A1" i="13"/>
  <c r="P2" i="13"/>
  <c r="J3" i="13"/>
  <c r="J4" i="13"/>
  <c r="M4" i="13"/>
  <c r="AI4" i="13"/>
  <c r="J5" i="13"/>
  <c r="J6" i="13"/>
  <c r="B10" i="13"/>
  <c r="C10" i="13"/>
  <c r="D10" i="13"/>
  <c r="E10" i="13"/>
  <c r="F10" i="13"/>
  <c r="G10" i="13"/>
  <c r="H10" i="13"/>
  <c r="I10" i="13"/>
  <c r="J10" i="13"/>
  <c r="B11" i="13"/>
  <c r="C11" i="13"/>
  <c r="D11" i="13"/>
  <c r="E11" i="13"/>
  <c r="F11" i="13"/>
  <c r="G11" i="13"/>
  <c r="H11" i="13"/>
  <c r="I11" i="13"/>
  <c r="J11" i="13"/>
  <c r="B12" i="13"/>
  <c r="C12" i="13" s="1"/>
  <c r="D12" i="13"/>
  <c r="E12" i="13"/>
  <c r="F12" i="13"/>
  <c r="G12" i="13"/>
  <c r="H12" i="13"/>
  <c r="I12" i="13"/>
  <c r="J12" i="13"/>
  <c r="B13" i="13"/>
  <c r="D13" i="13" s="1"/>
  <c r="C13" i="13"/>
  <c r="F13" i="13"/>
  <c r="G13" i="13"/>
  <c r="H13" i="13"/>
  <c r="I13" i="13"/>
  <c r="J13" i="13"/>
  <c r="B14" i="13"/>
  <c r="C14" i="13"/>
  <c r="D14" i="13"/>
  <c r="E14" i="13"/>
  <c r="F14" i="13"/>
  <c r="G14" i="13"/>
  <c r="H14" i="13"/>
  <c r="I14" i="13"/>
  <c r="J14" i="13"/>
  <c r="B15" i="13"/>
  <c r="C15" i="13" s="1"/>
  <c r="I15" i="13"/>
  <c r="J15" i="13"/>
  <c r="B16" i="13"/>
  <c r="I16" i="13"/>
  <c r="J16" i="13"/>
  <c r="B17" i="13"/>
  <c r="C17" i="13"/>
  <c r="D17" i="13"/>
  <c r="I17" i="13"/>
  <c r="J17" i="13"/>
  <c r="B18" i="13"/>
  <c r="C18" i="13"/>
  <c r="D18" i="13"/>
  <c r="E18" i="13"/>
  <c r="F18" i="13"/>
  <c r="I18" i="13"/>
  <c r="J18" i="13"/>
  <c r="B19" i="13"/>
  <c r="G19" i="13" s="1"/>
  <c r="C19" i="13"/>
  <c r="D19" i="13"/>
  <c r="E19" i="13"/>
  <c r="F19" i="13"/>
  <c r="I19" i="13"/>
  <c r="J19" i="13"/>
  <c r="B20" i="13"/>
  <c r="C20" i="13"/>
  <c r="D20" i="13"/>
  <c r="E20" i="13"/>
  <c r="F20" i="13"/>
  <c r="G20" i="13"/>
  <c r="H20" i="13"/>
  <c r="I20" i="13"/>
  <c r="J20" i="13"/>
  <c r="B21" i="13"/>
  <c r="G21" i="13" s="1"/>
  <c r="C21" i="13"/>
  <c r="F21" i="13"/>
  <c r="H21" i="13"/>
  <c r="I21" i="13"/>
  <c r="J21" i="13"/>
  <c r="B22" i="13"/>
  <c r="C22" i="13"/>
  <c r="D22" i="13"/>
  <c r="E22" i="13"/>
  <c r="F22" i="13"/>
  <c r="G22" i="13"/>
  <c r="H22" i="13"/>
  <c r="I22" i="13"/>
  <c r="J22" i="13"/>
  <c r="B23" i="13"/>
  <c r="C23" i="13"/>
  <c r="F23" i="13"/>
  <c r="G23" i="13"/>
  <c r="I23" i="13"/>
  <c r="J23" i="13"/>
  <c r="B24" i="13"/>
  <c r="C24" i="13" s="1"/>
  <c r="E24" i="13"/>
  <c r="H24" i="13"/>
  <c r="I24" i="13"/>
  <c r="J24" i="13"/>
  <c r="B25" i="13"/>
  <c r="H25" i="13" s="1"/>
  <c r="C25" i="13"/>
  <c r="D25" i="13"/>
  <c r="E25" i="13"/>
  <c r="F25" i="13"/>
  <c r="G25" i="13"/>
  <c r="I25" i="13"/>
  <c r="J25" i="13"/>
  <c r="B26" i="13"/>
  <c r="C26" i="13"/>
  <c r="F26" i="13"/>
  <c r="I26" i="13"/>
  <c r="J26" i="13"/>
  <c r="B27" i="13"/>
  <c r="C27" i="13"/>
  <c r="D27" i="13"/>
  <c r="E27" i="13"/>
  <c r="F27" i="13"/>
  <c r="G27" i="13"/>
  <c r="H27" i="13"/>
  <c r="I27" i="13"/>
  <c r="J27" i="13"/>
  <c r="B28" i="13"/>
  <c r="C28" i="13" s="1"/>
  <c r="D28" i="13"/>
  <c r="E28" i="13"/>
  <c r="F28" i="13"/>
  <c r="G28" i="13"/>
  <c r="H28" i="13"/>
  <c r="I28" i="13"/>
  <c r="J28" i="13"/>
  <c r="B29" i="13"/>
  <c r="D29" i="13" s="1"/>
  <c r="C29" i="13"/>
  <c r="F29" i="13"/>
  <c r="G29" i="13"/>
  <c r="H29" i="13"/>
  <c r="I29" i="13"/>
  <c r="J29" i="13"/>
  <c r="B30" i="13"/>
  <c r="C30" i="13"/>
  <c r="D30" i="13"/>
  <c r="E30" i="13"/>
  <c r="F30" i="13"/>
  <c r="G30" i="13"/>
  <c r="H30" i="13"/>
  <c r="I30" i="13"/>
  <c r="J30" i="13"/>
  <c r="B31" i="13"/>
  <c r="I31" i="13"/>
  <c r="J31" i="13"/>
  <c r="B32" i="13"/>
  <c r="I32" i="13"/>
  <c r="J32" i="13"/>
  <c r="B33" i="13"/>
  <c r="C33" i="13"/>
  <c r="D33" i="13"/>
  <c r="F33" i="13"/>
  <c r="I33" i="13"/>
  <c r="J33" i="13"/>
  <c r="B34" i="13"/>
  <c r="C34" i="13" s="1"/>
  <c r="E34" i="13"/>
  <c r="F34" i="13"/>
  <c r="H34" i="13"/>
  <c r="I34" i="13"/>
  <c r="J34" i="13"/>
  <c r="B35" i="13"/>
  <c r="D35" i="13" s="1"/>
  <c r="C35" i="13"/>
  <c r="E35" i="13"/>
  <c r="F35" i="13"/>
  <c r="I35" i="13"/>
  <c r="J35" i="13"/>
  <c r="B36" i="13"/>
  <c r="C36" i="13"/>
  <c r="D36" i="13"/>
  <c r="E36" i="13"/>
  <c r="F36" i="13"/>
  <c r="G36" i="13"/>
  <c r="H36" i="13"/>
  <c r="I36" i="13"/>
  <c r="J36" i="13"/>
  <c r="B37" i="13"/>
  <c r="C37" i="13" s="1"/>
  <c r="G37" i="13"/>
  <c r="I37" i="13"/>
  <c r="J37" i="13"/>
  <c r="B38" i="13"/>
  <c r="C38" i="13"/>
  <c r="D38" i="13"/>
  <c r="E38" i="13"/>
  <c r="F38" i="13"/>
  <c r="G38" i="13"/>
  <c r="H38" i="13"/>
  <c r="I38" i="13"/>
  <c r="J38" i="13"/>
  <c r="B39" i="13"/>
  <c r="C39" i="13" s="1"/>
  <c r="G39" i="13"/>
  <c r="I39" i="13"/>
  <c r="J39" i="13"/>
  <c r="B40" i="13"/>
  <c r="C40" i="13"/>
  <c r="D40" i="13"/>
  <c r="E40" i="13"/>
  <c r="H40" i="13"/>
  <c r="I40" i="13"/>
  <c r="J40" i="13"/>
  <c r="B41" i="13"/>
  <c r="C41" i="13"/>
  <c r="D41" i="13"/>
  <c r="E41" i="13"/>
  <c r="I41" i="13"/>
  <c r="J41" i="13"/>
  <c r="B42" i="13"/>
  <c r="H42" i="13" s="1"/>
  <c r="C42" i="13"/>
  <c r="D42" i="13"/>
  <c r="E42" i="13"/>
  <c r="F42" i="13"/>
  <c r="G42" i="13"/>
  <c r="I42" i="13"/>
  <c r="J42" i="13"/>
  <c r="B43" i="13"/>
  <c r="D43" i="13" s="1"/>
  <c r="C43" i="13"/>
  <c r="F43" i="13"/>
  <c r="G43" i="13"/>
  <c r="H43" i="13"/>
  <c r="I43" i="13"/>
  <c r="J43" i="13"/>
  <c r="B44" i="13"/>
  <c r="C44" i="13" s="1"/>
  <c r="D44" i="13"/>
  <c r="E44" i="13"/>
  <c r="F44" i="13"/>
  <c r="G44" i="13"/>
  <c r="H44" i="13"/>
  <c r="I44" i="13"/>
  <c r="J44" i="13"/>
  <c r="B45" i="13"/>
  <c r="D45" i="13" s="1"/>
  <c r="C45" i="13"/>
  <c r="F45" i="13"/>
  <c r="G45" i="13"/>
  <c r="H45" i="13"/>
  <c r="I45" i="13"/>
  <c r="J45" i="13"/>
  <c r="B46" i="13"/>
  <c r="C46" i="13"/>
  <c r="D46" i="13"/>
  <c r="E46" i="13"/>
  <c r="F46" i="13"/>
  <c r="G46" i="13"/>
  <c r="H46" i="13"/>
  <c r="I46" i="13"/>
  <c r="J46" i="13"/>
  <c r="B47" i="13"/>
  <c r="I47" i="13"/>
  <c r="J47" i="13"/>
  <c r="B48" i="13"/>
  <c r="D48" i="13"/>
  <c r="I48" i="13"/>
  <c r="J48" i="13"/>
  <c r="B49" i="13"/>
  <c r="C49" i="13" s="1"/>
  <c r="F49" i="13"/>
  <c r="I49" i="13"/>
  <c r="J49" i="13"/>
  <c r="B50" i="13"/>
  <c r="E50" i="13"/>
  <c r="I50" i="13"/>
  <c r="J50" i="13"/>
  <c r="B51" i="13"/>
  <c r="C51" i="13"/>
  <c r="D51" i="13"/>
  <c r="E51" i="13"/>
  <c r="F51" i="13"/>
  <c r="G51" i="13"/>
  <c r="H51" i="13"/>
  <c r="I51" i="13"/>
  <c r="J51" i="13"/>
  <c r="B52" i="13"/>
  <c r="C52" i="13"/>
  <c r="D52" i="13"/>
  <c r="E52" i="13"/>
  <c r="F52" i="13"/>
  <c r="G52" i="13"/>
  <c r="H52" i="13"/>
  <c r="I52" i="13"/>
  <c r="J52" i="13"/>
  <c r="B53" i="13"/>
  <c r="C53" i="13"/>
  <c r="I53" i="13"/>
  <c r="J53" i="13"/>
  <c r="B54" i="13"/>
  <c r="C54" i="13"/>
  <c r="D54" i="13"/>
  <c r="E54" i="13"/>
  <c r="F54" i="13"/>
  <c r="G54" i="13"/>
  <c r="H54" i="13"/>
  <c r="I54" i="13"/>
  <c r="J54" i="13"/>
  <c r="B55" i="13"/>
  <c r="C55" i="13"/>
  <c r="F55" i="13"/>
  <c r="G55" i="13"/>
  <c r="I55" i="13"/>
  <c r="J55" i="13"/>
  <c r="B56" i="13"/>
  <c r="C56" i="13" s="1"/>
  <c r="E56" i="13"/>
  <c r="H56" i="13"/>
  <c r="I56" i="13"/>
  <c r="J56" i="13"/>
  <c r="B57" i="13"/>
  <c r="H57" i="13" s="1"/>
  <c r="C57" i="13"/>
  <c r="D57" i="13"/>
  <c r="E57" i="13"/>
  <c r="F57" i="13"/>
  <c r="G57" i="13"/>
  <c r="I57" i="13"/>
  <c r="J57" i="13"/>
  <c r="B58" i="13"/>
  <c r="E58" i="13" s="1"/>
  <c r="C58" i="13"/>
  <c r="D58" i="13"/>
  <c r="G58" i="13"/>
  <c r="H58" i="13"/>
  <c r="I58" i="13"/>
  <c r="J58" i="13"/>
  <c r="B59" i="13"/>
  <c r="C59" i="13"/>
  <c r="I59" i="13"/>
  <c r="J59" i="13"/>
  <c r="B60" i="13"/>
  <c r="C60" i="13" s="1"/>
  <c r="D60" i="13"/>
  <c r="E60" i="13"/>
  <c r="F60" i="13"/>
  <c r="G60" i="13"/>
  <c r="H60" i="13"/>
  <c r="I60" i="13"/>
  <c r="J60" i="13"/>
  <c r="B61" i="13"/>
  <c r="C61" i="13"/>
  <c r="D61" i="13"/>
  <c r="E61" i="13"/>
  <c r="F61" i="13"/>
  <c r="G61" i="13"/>
  <c r="H61" i="13"/>
  <c r="I61" i="13"/>
  <c r="J61" i="13"/>
  <c r="B62" i="13"/>
  <c r="C62" i="13"/>
  <c r="D62" i="13"/>
  <c r="E62" i="13"/>
  <c r="F62" i="13"/>
  <c r="G62" i="13"/>
  <c r="H62" i="13"/>
  <c r="I62" i="13"/>
  <c r="J62" i="13"/>
  <c r="B63" i="13"/>
  <c r="I63" i="13"/>
  <c r="J63" i="13"/>
  <c r="B64" i="13"/>
  <c r="D64" i="13"/>
  <c r="I64" i="13"/>
  <c r="J64" i="13"/>
  <c r="B65" i="13"/>
  <c r="F65" i="13"/>
  <c r="I65" i="13"/>
  <c r="J65" i="13"/>
  <c r="B66" i="13"/>
  <c r="C66" i="13"/>
  <c r="D66" i="13"/>
  <c r="I66" i="13"/>
  <c r="J66" i="13"/>
  <c r="B67" i="13"/>
  <c r="C67" i="13" s="1"/>
  <c r="I67" i="13"/>
  <c r="J67" i="13"/>
  <c r="B68" i="13"/>
  <c r="C68" i="13"/>
  <c r="D68" i="13"/>
  <c r="E68" i="13"/>
  <c r="F68" i="13"/>
  <c r="G68" i="13"/>
  <c r="H68" i="13"/>
  <c r="I68" i="13"/>
  <c r="J68" i="13"/>
  <c r="B69" i="13"/>
  <c r="C69" i="13"/>
  <c r="E69" i="13"/>
  <c r="F69" i="13"/>
  <c r="G69" i="13"/>
  <c r="H69" i="13"/>
  <c r="I69" i="13"/>
  <c r="J69" i="13"/>
  <c r="B70" i="13"/>
  <c r="C70" i="13"/>
  <c r="D70" i="13"/>
  <c r="E70" i="13"/>
  <c r="F70" i="13"/>
  <c r="G70" i="13"/>
  <c r="H70" i="13"/>
  <c r="I70" i="13"/>
  <c r="J70" i="13"/>
  <c r="B71" i="13"/>
  <c r="C71" i="13"/>
  <c r="I71" i="13"/>
  <c r="J71" i="13"/>
  <c r="B72" i="13"/>
  <c r="C72" i="13"/>
  <c r="I72" i="13"/>
  <c r="J72" i="13"/>
  <c r="B73" i="13"/>
  <c r="H73" i="13" s="1"/>
  <c r="C73" i="13"/>
  <c r="D73" i="13"/>
  <c r="E73" i="13"/>
  <c r="F73" i="13"/>
  <c r="G73" i="13"/>
  <c r="I73" i="13"/>
  <c r="J73" i="13"/>
  <c r="B74" i="13"/>
  <c r="C74" i="13" s="1"/>
  <c r="D74" i="13"/>
  <c r="E74" i="13"/>
  <c r="F74" i="13"/>
  <c r="I74" i="13"/>
  <c r="J74" i="13"/>
  <c r="B75" i="13"/>
  <c r="C75" i="13"/>
  <c r="D75" i="13"/>
  <c r="E75" i="13"/>
  <c r="F75" i="13"/>
  <c r="G75" i="13"/>
  <c r="H75" i="13"/>
  <c r="I75" i="13"/>
  <c r="J75" i="13"/>
  <c r="B76" i="13"/>
  <c r="F76" i="13"/>
  <c r="G76" i="13"/>
  <c r="H76" i="13"/>
  <c r="I76" i="13"/>
  <c r="J76" i="13"/>
  <c r="B77" i="13"/>
  <c r="E77" i="13"/>
  <c r="F77" i="13"/>
  <c r="G77" i="13"/>
  <c r="H77" i="13"/>
  <c r="I77" i="13"/>
  <c r="J77" i="13"/>
  <c r="B78" i="13"/>
  <c r="C78" i="13" s="1"/>
  <c r="D78" i="13"/>
  <c r="E78" i="13"/>
  <c r="F78" i="13"/>
  <c r="G78" i="13"/>
  <c r="H78" i="13"/>
  <c r="I78" i="13"/>
  <c r="J78" i="13"/>
  <c r="B79" i="13"/>
  <c r="G79" i="13" s="1"/>
  <c r="I79" i="13"/>
  <c r="J79" i="13"/>
  <c r="B80" i="13"/>
  <c r="I80" i="13"/>
  <c r="J80" i="13"/>
  <c r="B81" i="13"/>
  <c r="C81" i="13"/>
  <c r="D81" i="13"/>
  <c r="F81" i="13"/>
  <c r="I81" i="13"/>
  <c r="J81" i="13"/>
  <c r="B82" i="13"/>
  <c r="G82" i="13" s="1"/>
  <c r="C82" i="13"/>
  <c r="D82" i="13"/>
  <c r="E82" i="13"/>
  <c r="F82" i="13"/>
  <c r="I82" i="13"/>
  <c r="J82" i="13"/>
  <c r="B83" i="13"/>
  <c r="C83" i="13" s="1"/>
  <c r="D83" i="13"/>
  <c r="E83" i="13"/>
  <c r="F83" i="13"/>
  <c r="G83" i="13"/>
  <c r="H83" i="13"/>
  <c r="I83" i="13"/>
  <c r="J83" i="13"/>
  <c r="B84" i="13"/>
  <c r="C84" i="13" s="1"/>
  <c r="D84" i="13"/>
  <c r="E84" i="13"/>
  <c r="F84" i="13"/>
  <c r="G84" i="13"/>
  <c r="H84" i="13"/>
  <c r="I84" i="13"/>
  <c r="J84" i="13"/>
  <c r="B85" i="13"/>
  <c r="D85" i="13" s="1"/>
  <c r="C85" i="13"/>
  <c r="E85" i="13"/>
  <c r="F85" i="13"/>
  <c r="G85" i="13"/>
  <c r="H85" i="13"/>
  <c r="I85" i="13"/>
  <c r="J85" i="13"/>
  <c r="A1" i="12"/>
  <c r="P2" i="12"/>
  <c r="J3" i="12" s="1"/>
  <c r="M4" i="12"/>
  <c r="AI4" i="12"/>
  <c r="J6" i="12"/>
  <c r="B10" i="12"/>
  <c r="F10" i="12"/>
  <c r="G10" i="12"/>
  <c r="H10" i="12"/>
  <c r="I10" i="12"/>
  <c r="J10" i="12"/>
  <c r="B11" i="12"/>
  <c r="C11" i="12"/>
  <c r="I11" i="12"/>
  <c r="J11" i="12"/>
  <c r="B12" i="12"/>
  <c r="C12" i="12" s="1"/>
  <c r="D12" i="12"/>
  <c r="E12" i="12"/>
  <c r="F12" i="12"/>
  <c r="G12" i="12"/>
  <c r="H12" i="12"/>
  <c r="I12" i="12"/>
  <c r="J12" i="12"/>
  <c r="B13" i="12"/>
  <c r="D13" i="12"/>
  <c r="G13" i="12"/>
  <c r="H13" i="12"/>
  <c r="I13" i="12"/>
  <c r="J13" i="12"/>
  <c r="B14" i="12"/>
  <c r="H14" i="12"/>
  <c r="I14" i="12"/>
  <c r="J14" i="12"/>
  <c r="B15" i="12"/>
  <c r="I15" i="12"/>
  <c r="J15" i="12"/>
  <c r="B16" i="12"/>
  <c r="C16" i="12"/>
  <c r="D16" i="12"/>
  <c r="I16" i="12"/>
  <c r="J16" i="12"/>
  <c r="B17" i="12"/>
  <c r="C17" i="12" s="1"/>
  <c r="D17" i="12"/>
  <c r="E17" i="12"/>
  <c r="I17" i="12"/>
  <c r="J17" i="12"/>
  <c r="B18" i="12"/>
  <c r="C18" i="12" s="1"/>
  <c r="D18" i="12"/>
  <c r="G18" i="12"/>
  <c r="H18" i="12"/>
  <c r="I18" i="12"/>
  <c r="J18" i="12"/>
  <c r="B19" i="12"/>
  <c r="C19" i="12" s="1"/>
  <c r="E19" i="12"/>
  <c r="G19" i="12"/>
  <c r="I19" i="12"/>
  <c r="J19" i="12"/>
  <c r="B20" i="12"/>
  <c r="C20" i="12"/>
  <c r="D20" i="12"/>
  <c r="E20" i="12"/>
  <c r="F20" i="12"/>
  <c r="G20" i="12"/>
  <c r="H20" i="12"/>
  <c r="I20" i="12"/>
  <c r="J20" i="12"/>
  <c r="B21" i="12"/>
  <c r="C21" i="12" s="1"/>
  <c r="E21" i="12"/>
  <c r="F21" i="12"/>
  <c r="I21" i="12"/>
  <c r="J21" i="12"/>
  <c r="B22" i="12"/>
  <c r="C22" i="12" s="1"/>
  <c r="E22" i="12"/>
  <c r="I22" i="12"/>
  <c r="J22" i="12"/>
  <c r="B23" i="12"/>
  <c r="E23" i="12"/>
  <c r="F23" i="12"/>
  <c r="G23" i="12"/>
  <c r="I23" i="12"/>
  <c r="J23" i="12"/>
  <c r="B24" i="12"/>
  <c r="F24" i="12"/>
  <c r="G24" i="12"/>
  <c r="I24" i="12"/>
  <c r="J24" i="12"/>
  <c r="B25" i="12"/>
  <c r="C25" i="12" s="1"/>
  <c r="G25" i="12"/>
  <c r="I25" i="12"/>
  <c r="J25" i="12"/>
  <c r="B26" i="12"/>
  <c r="E26" i="12"/>
  <c r="F26" i="12"/>
  <c r="G26" i="12"/>
  <c r="H26" i="12"/>
  <c r="I26" i="12"/>
  <c r="J26" i="12"/>
  <c r="B27" i="12"/>
  <c r="C27" i="12" s="1"/>
  <c r="I27" i="12"/>
  <c r="J27" i="12"/>
  <c r="B28" i="12"/>
  <c r="C28" i="12" s="1"/>
  <c r="D28" i="12"/>
  <c r="E28" i="12"/>
  <c r="F28" i="12"/>
  <c r="G28" i="12"/>
  <c r="H28" i="12"/>
  <c r="I28" i="12"/>
  <c r="J28" i="12"/>
  <c r="B29" i="12"/>
  <c r="E29" i="12" s="1"/>
  <c r="C29" i="12"/>
  <c r="D29" i="12"/>
  <c r="F29" i="12"/>
  <c r="G29" i="12"/>
  <c r="H29" i="12"/>
  <c r="I29" i="12"/>
  <c r="J29" i="12"/>
  <c r="B30" i="12"/>
  <c r="I30" i="12"/>
  <c r="J30" i="12"/>
  <c r="B31" i="12"/>
  <c r="I31" i="12"/>
  <c r="J31" i="12"/>
  <c r="B32" i="12"/>
  <c r="C32" i="12"/>
  <c r="D32" i="12"/>
  <c r="I32" i="12"/>
  <c r="J32" i="12"/>
  <c r="B33" i="12"/>
  <c r="C33" i="12"/>
  <c r="D33" i="12"/>
  <c r="E33" i="12"/>
  <c r="F33" i="12"/>
  <c r="I33" i="12"/>
  <c r="J33" i="12"/>
  <c r="B34" i="12"/>
  <c r="C34" i="12" s="1"/>
  <c r="D34" i="12"/>
  <c r="E34" i="12"/>
  <c r="F34" i="12"/>
  <c r="G34" i="12"/>
  <c r="H34" i="12"/>
  <c r="I34" i="12"/>
  <c r="J34" i="12"/>
  <c r="B35" i="12"/>
  <c r="C35" i="12"/>
  <c r="I35" i="12"/>
  <c r="J35" i="12"/>
  <c r="B36" i="12"/>
  <c r="E36" i="12"/>
  <c r="F36" i="12"/>
  <c r="G36" i="12"/>
  <c r="H36" i="12"/>
  <c r="I36" i="12"/>
  <c r="J36" i="12"/>
  <c r="B37" i="12"/>
  <c r="C37" i="12" s="1"/>
  <c r="G37" i="12"/>
  <c r="H37" i="12"/>
  <c r="I37" i="12"/>
  <c r="J37" i="12"/>
  <c r="B38" i="12"/>
  <c r="I38" i="12"/>
  <c r="J38" i="12"/>
  <c r="B39" i="12"/>
  <c r="I39" i="12"/>
  <c r="J39" i="12"/>
  <c r="B40" i="12"/>
  <c r="E40" i="12"/>
  <c r="F40" i="12"/>
  <c r="G40" i="12"/>
  <c r="H40" i="12"/>
  <c r="I40" i="12"/>
  <c r="J40" i="12"/>
  <c r="B41" i="12"/>
  <c r="C41" i="12"/>
  <c r="D41" i="12"/>
  <c r="I41" i="12"/>
  <c r="J41" i="12"/>
  <c r="B42" i="12"/>
  <c r="C42" i="12"/>
  <c r="I42" i="12"/>
  <c r="J42" i="12"/>
  <c r="B43" i="12"/>
  <c r="G43" i="12"/>
  <c r="H43" i="12"/>
  <c r="I43" i="12"/>
  <c r="J43" i="12"/>
  <c r="B44" i="12"/>
  <c r="E44" i="12"/>
  <c r="F44" i="12"/>
  <c r="G44" i="12"/>
  <c r="H44" i="12"/>
  <c r="I44" i="12"/>
  <c r="J44" i="12"/>
  <c r="B45" i="12"/>
  <c r="D45" i="12"/>
  <c r="F45" i="12"/>
  <c r="G45" i="12"/>
  <c r="H45" i="12"/>
  <c r="I45" i="12"/>
  <c r="J45" i="12"/>
  <c r="B46" i="12"/>
  <c r="E46" i="12"/>
  <c r="F46" i="12"/>
  <c r="H46" i="12"/>
  <c r="I46" i="12"/>
  <c r="J46" i="12"/>
  <c r="B47" i="12"/>
  <c r="I47" i="12"/>
  <c r="J47" i="12"/>
  <c r="B48" i="12"/>
  <c r="C48" i="12" s="1"/>
  <c r="D48" i="12"/>
  <c r="I48" i="12"/>
  <c r="J48" i="12"/>
  <c r="B49" i="12"/>
  <c r="C49" i="12" s="1"/>
  <c r="D49" i="12"/>
  <c r="F49" i="12"/>
  <c r="I49" i="12"/>
  <c r="J49" i="12"/>
  <c r="B50" i="12"/>
  <c r="C50" i="12"/>
  <c r="D50" i="12"/>
  <c r="I50" i="12"/>
  <c r="J50" i="12"/>
  <c r="B51" i="12"/>
  <c r="E51" i="12"/>
  <c r="F51" i="12"/>
  <c r="G51" i="12"/>
  <c r="H51" i="12"/>
  <c r="I51" i="12"/>
  <c r="J51" i="12"/>
  <c r="B52" i="12"/>
  <c r="C52" i="12"/>
  <c r="D52" i="12"/>
  <c r="E52" i="12"/>
  <c r="F52" i="12"/>
  <c r="G52" i="12"/>
  <c r="H52" i="12"/>
  <c r="I52" i="12"/>
  <c r="J52" i="12"/>
  <c r="B53" i="12"/>
  <c r="C53" i="12" s="1"/>
  <c r="I53" i="12"/>
  <c r="J53" i="12"/>
  <c r="B54" i="12"/>
  <c r="D54" i="12"/>
  <c r="E54" i="12"/>
  <c r="G54" i="12"/>
  <c r="H54" i="12"/>
  <c r="I54" i="12"/>
  <c r="J54" i="12"/>
  <c r="B55" i="12"/>
  <c r="G55" i="12"/>
  <c r="I55" i="12"/>
  <c r="J55" i="12"/>
  <c r="B56" i="12"/>
  <c r="C56" i="12"/>
  <c r="D56" i="12"/>
  <c r="I56" i="12"/>
  <c r="J56" i="12"/>
  <c r="B57" i="12"/>
  <c r="C57" i="12" s="1"/>
  <c r="D57" i="12"/>
  <c r="E57" i="12"/>
  <c r="F57" i="12"/>
  <c r="G57" i="12"/>
  <c r="H57" i="12"/>
  <c r="I57" i="12"/>
  <c r="J57" i="12"/>
  <c r="B58" i="12"/>
  <c r="E58" i="12" s="1"/>
  <c r="F58" i="12"/>
  <c r="G58" i="12"/>
  <c r="H58" i="12"/>
  <c r="I58" i="12"/>
  <c r="J58" i="12"/>
  <c r="B59" i="12"/>
  <c r="C59" i="12" s="1"/>
  <c r="G59" i="12"/>
  <c r="I59" i="12"/>
  <c r="J59" i="12"/>
  <c r="B60" i="12"/>
  <c r="E60" i="12"/>
  <c r="F60" i="12"/>
  <c r="G60" i="12"/>
  <c r="H60" i="12"/>
  <c r="I60" i="12"/>
  <c r="J60" i="12"/>
  <c r="B61" i="12"/>
  <c r="E61" i="12" s="1"/>
  <c r="C61" i="12"/>
  <c r="D61" i="12"/>
  <c r="F61" i="12"/>
  <c r="G61" i="12"/>
  <c r="H61" i="12"/>
  <c r="I61" i="12"/>
  <c r="J61" i="12"/>
  <c r="B62" i="12"/>
  <c r="G62" i="12" s="1"/>
  <c r="C62" i="12"/>
  <c r="D62" i="12"/>
  <c r="E62" i="12"/>
  <c r="F62" i="12"/>
  <c r="H62" i="12"/>
  <c r="I62" i="12"/>
  <c r="J62" i="12"/>
  <c r="B63" i="12"/>
  <c r="I63" i="12"/>
  <c r="J63" i="12"/>
  <c r="B64" i="12"/>
  <c r="C64" i="12"/>
  <c r="D64" i="12"/>
  <c r="I64" i="12"/>
  <c r="J64" i="12"/>
  <c r="B65" i="12"/>
  <c r="C65" i="12"/>
  <c r="D65" i="12"/>
  <c r="E65" i="12"/>
  <c r="I65" i="12"/>
  <c r="J65" i="12"/>
  <c r="B66" i="12"/>
  <c r="E66" i="12"/>
  <c r="F66" i="12"/>
  <c r="G66" i="12"/>
  <c r="H66" i="12"/>
  <c r="I66" i="12"/>
  <c r="J66" i="12"/>
  <c r="B67" i="12"/>
  <c r="C67" i="12"/>
  <c r="D67" i="12"/>
  <c r="E67" i="12"/>
  <c r="F67" i="12"/>
  <c r="I67" i="12"/>
  <c r="J67" i="12"/>
  <c r="B68" i="12"/>
  <c r="C68" i="12"/>
  <c r="D68" i="12"/>
  <c r="E68" i="12"/>
  <c r="F68" i="12"/>
  <c r="G68" i="12"/>
  <c r="H68" i="12"/>
  <c r="I68" i="12"/>
  <c r="J68" i="12"/>
  <c r="B69" i="12"/>
  <c r="D69" i="12" s="1"/>
  <c r="C69" i="12"/>
  <c r="E69" i="12"/>
  <c r="F69" i="12"/>
  <c r="G69" i="12"/>
  <c r="H69" i="12"/>
  <c r="I69" i="12"/>
  <c r="J69" i="12"/>
  <c r="B70" i="12"/>
  <c r="C70" i="12" s="1"/>
  <c r="I70" i="12"/>
  <c r="J70" i="12"/>
  <c r="B71" i="12"/>
  <c r="C71" i="12"/>
  <c r="E71" i="12"/>
  <c r="F71" i="12"/>
  <c r="G71" i="12"/>
  <c r="I71" i="12"/>
  <c r="J71" i="12"/>
  <c r="B72" i="12"/>
  <c r="I72" i="12"/>
  <c r="J72" i="12"/>
  <c r="B73" i="12"/>
  <c r="I73" i="12"/>
  <c r="J73" i="12"/>
  <c r="B74" i="12"/>
  <c r="C74" i="12"/>
  <c r="D74" i="12"/>
  <c r="E74" i="12"/>
  <c r="F74" i="12"/>
  <c r="G74" i="12"/>
  <c r="H74" i="12"/>
  <c r="I74" i="12"/>
  <c r="J74" i="12"/>
  <c r="B75" i="12"/>
  <c r="C75" i="12"/>
  <c r="D75" i="12"/>
  <c r="E75" i="12"/>
  <c r="F75" i="12"/>
  <c r="G75" i="12"/>
  <c r="H75" i="12"/>
  <c r="I75" i="12"/>
  <c r="J75" i="12"/>
  <c r="B76" i="12"/>
  <c r="E76" i="12"/>
  <c r="F76" i="12"/>
  <c r="G76" i="12"/>
  <c r="H76" i="12"/>
  <c r="I76" i="12"/>
  <c r="J76" i="12"/>
  <c r="B77" i="12"/>
  <c r="F77" i="12"/>
  <c r="G77" i="12"/>
  <c r="H77" i="12"/>
  <c r="I77" i="12"/>
  <c r="J77" i="12"/>
  <c r="B78" i="12"/>
  <c r="D78" i="12"/>
  <c r="E78" i="12"/>
  <c r="F78" i="12"/>
  <c r="H78" i="12"/>
  <c r="I78" i="12"/>
  <c r="J78" i="12"/>
  <c r="B79" i="12"/>
  <c r="I79" i="12"/>
  <c r="J79" i="12"/>
  <c r="B80" i="12"/>
  <c r="I80" i="12"/>
  <c r="J80" i="12"/>
  <c r="B81" i="12"/>
  <c r="C81" i="12"/>
  <c r="D81" i="12"/>
  <c r="I81" i="12"/>
  <c r="J81" i="12"/>
  <c r="B82" i="12"/>
  <c r="C82" i="12"/>
  <c r="D82" i="12"/>
  <c r="E82" i="12"/>
  <c r="F82" i="12"/>
  <c r="G82" i="12"/>
  <c r="H82" i="12"/>
  <c r="I82" i="12"/>
  <c r="J82" i="12"/>
  <c r="B83" i="12"/>
  <c r="I83" i="12"/>
  <c r="J83" i="12"/>
  <c r="B84" i="12"/>
  <c r="C84" i="12"/>
  <c r="D84" i="12"/>
  <c r="E84" i="12"/>
  <c r="F84" i="12"/>
  <c r="G84" i="12"/>
  <c r="H84" i="12"/>
  <c r="I84" i="12"/>
  <c r="J84" i="12"/>
  <c r="B85" i="12"/>
  <c r="F85" i="12"/>
  <c r="I85" i="12"/>
  <c r="J85" i="12"/>
  <c r="A1" i="11"/>
  <c r="P2" i="11"/>
  <c r="J3" i="11" s="1"/>
  <c r="M4" i="11"/>
  <c r="AI4" i="11"/>
  <c r="J5" i="11"/>
  <c r="J6" i="11"/>
  <c r="B10" i="11"/>
  <c r="H10" i="11"/>
  <c r="I10" i="11"/>
  <c r="J10" i="11"/>
  <c r="B11" i="11"/>
  <c r="C11" i="11"/>
  <c r="I11" i="11"/>
  <c r="J11" i="11"/>
  <c r="B12" i="11"/>
  <c r="C12" i="11" s="1"/>
  <c r="E12" i="11"/>
  <c r="G12" i="11"/>
  <c r="H12" i="11"/>
  <c r="I12" i="11"/>
  <c r="J12" i="11"/>
  <c r="B13" i="11"/>
  <c r="C13" i="11" s="1"/>
  <c r="I13" i="11"/>
  <c r="J13" i="11"/>
  <c r="B14" i="11"/>
  <c r="D14" i="11"/>
  <c r="I14" i="11"/>
  <c r="J14" i="11"/>
  <c r="B15" i="11"/>
  <c r="G15" i="11" s="1"/>
  <c r="I15" i="11"/>
  <c r="J15" i="11"/>
  <c r="B16" i="11"/>
  <c r="C16" i="11"/>
  <c r="D16" i="11"/>
  <c r="F16" i="11"/>
  <c r="H16" i="11"/>
  <c r="I16" i="11"/>
  <c r="J16" i="11"/>
  <c r="B17" i="11"/>
  <c r="C17" i="11"/>
  <c r="F17" i="11"/>
  <c r="H17" i="11"/>
  <c r="I17" i="11"/>
  <c r="J17" i="11"/>
  <c r="B18" i="11"/>
  <c r="C18" i="11" s="1"/>
  <c r="I18" i="11"/>
  <c r="J18" i="11"/>
  <c r="B19" i="11"/>
  <c r="D19" i="11" s="1"/>
  <c r="F19" i="11"/>
  <c r="G19" i="11"/>
  <c r="H19" i="11"/>
  <c r="I19" i="11"/>
  <c r="J19" i="11"/>
  <c r="B20" i="11"/>
  <c r="C20" i="11" s="1"/>
  <c r="D20" i="11"/>
  <c r="I20" i="11"/>
  <c r="J20" i="11"/>
  <c r="B21" i="11"/>
  <c r="I21" i="11"/>
  <c r="J21" i="11"/>
  <c r="B22" i="11"/>
  <c r="F22" i="11" s="1"/>
  <c r="I22" i="11"/>
  <c r="J22" i="11"/>
  <c r="B23" i="11"/>
  <c r="F23" i="11"/>
  <c r="G23" i="11"/>
  <c r="H23" i="11"/>
  <c r="I23" i="11"/>
  <c r="J23" i="11"/>
  <c r="B24" i="11"/>
  <c r="E24" i="11"/>
  <c r="I24" i="11"/>
  <c r="J24" i="11"/>
  <c r="B25" i="11"/>
  <c r="C25" i="11" s="1"/>
  <c r="D25" i="11"/>
  <c r="E25" i="11"/>
  <c r="F25" i="11"/>
  <c r="G25" i="11"/>
  <c r="H25" i="11"/>
  <c r="I25" i="11"/>
  <c r="J25" i="11"/>
  <c r="B26" i="11"/>
  <c r="C26" i="11" s="1"/>
  <c r="E26" i="11"/>
  <c r="G26" i="11"/>
  <c r="H26" i="11"/>
  <c r="I26" i="11"/>
  <c r="J26" i="11"/>
  <c r="B27" i="11"/>
  <c r="C27" i="11"/>
  <c r="D27" i="11"/>
  <c r="E27" i="11"/>
  <c r="F27" i="11"/>
  <c r="G27" i="11"/>
  <c r="H27" i="11"/>
  <c r="I27" i="11"/>
  <c r="J27" i="11"/>
  <c r="B28" i="11"/>
  <c r="C28" i="11" s="1"/>
  <c r="D28" i="11"/>
  <c r="I28" i="11"/>
  <c r="J28" i="11"/>
  <c r="B29" i="11"/>
  <c r="E29" i="11" s="1"/>
  <c r="G29" i="11"/>
  <c r="H29" i="11"/>
  <c r="I29" i="11"/>
  <c r="J29" i="11"/>
  <c r="B30" i="11"/>
  <c r="D30" i="11" s="1"/>
  <c r="E30" i="11"/>
  <c r="H30" i="11"/>
  <c r="I30" i="11"/>
  <c r="J30" i="11"/>
  <c r="B31" i="11"/>
  <c r="D31" i="11" s="1"/>
  <c r="F31" i="11"/>
  <c r="G31" i="11"/>
  <c r="H31" i="11"/>
  <c r="I31" i="11"/>
  <c r="J31" i="11"/>
  <c r="B32" i="11"/>
  <c r="C32" i="11"/>
  <c r="D32" i="11"/>
  <c r="F32" i="11"/>
  <c r="H32" i="11"/>
  <c r="I32" i="11"/>
  <c r="J32" i="11"/>
  <c r="B33" i="11"/>
  <c r="C33" i="11"/>
  <c r="D33" i="11"/>
  <c r="F33" i="11"/>
  <c r="I33" i="11"/>
  <c r="J33" i="11"/>
  <c r="B34" i="11"/>
  <c r="C34" i="11"/>
  <c r="I34" i="11"/>
  <c r="J34" i="11"/>
  <c r="B35" i="11"/>
  <c r="I35" i="11"/>
  <c r="J35" i="11"/>
  <c r="B36" i="11"/>
  <c r="I36" i="11"/>
  <c r="J36" i="11"/>
  <c r="B37" i="11"/>
  <c r="C37" i="11"/>
  <c r="D37" i="11"/>
  <c r="E37" i="11"/>
  <c r="F37" i="11"/>
  <c r="G37" i="11"/>
  <c r="H37" i="11"/>
  <c r="I37" i="11"/>
  <c r="J37" i="11"/>
  <c r="B38" i="11"/>
  <c r="D38" i="11" s="1"/>
  <c r="I38" i="11"/>
  <c r="J38" i="11"/>
  <c r="B39" i="11"/>
  <c r="F39" i="11"/>
  <c r="G39" i="11"/>
  <c r="H39" i="11"/>
  <c r="I39" i="11"/>
  <c r="J39" i="11"/>
  <c r="B40" i="11"/>
  <c r="I40" i="11"/>
  <c r="J40" i="11"/>
  <c r="B41" i="11"/>
  <c r="E41" i="11"/>
  <c r="F41" i="11"/>
  <c r="G41" i="11"/>
  <c r="H41" i="11"/>
  <c r="I41" i="11"/>
  <c r="J41" i="11"/>
  <c r="B42" i="11"/>
  <c r="I42" i="11"/>
  <c r="J42" i="11"/>
  <c r="B43" i="11"/>
  <c r="F43" i="11"/>
  <c r="G43" i="11"/>
  <c r="H43" i="11"/>
  <c r="I43" i="11"/>
  <c r="J43" i="11"/>
  <c r="B44" i="11"/>
  <c r="C44" i="11"/>
  <c r="F44" i="11"/>
  <c r="G44" i="11"/>
  <c r="H44" i="11"/>
  <c r="I44" i="11"/>
  <c r="J44" i="11"/>
  <c r="B45" i="11"/>
  <c r="C45" i="11" s="1"/>
  <c r="I45" i="11"/>
  <c r="J45" i="11"/>
  <c r="B46" i="11"/>
  <c r="E46" i="11" s="1"/>
  <c r="F46" i="11"/>
  <c r="G46" i="11"/>
  <c r="H46" i="11"/>
  <c r="I46" i="11"/>
  <c r="J46" i="11"/>
  <c r="B47" i="11"/>
  <c r="D47" i="11"/>
  <c r="F47" i="11"/>
  <c r="I47" i="11"/>
  <c r="J47" i="11"/>
  <c r="B48" i="11"/>
  <c r="C48" i="11"/>
  <c r="I48" i="11"/>
  <c r="J48" i="11"/>
  <c r="B49" i="11"/>
  <c r="C49" i="11"/>
  <c r="D49" i="11"/>
  <c r="E49" i="11"/>
  <c r="I49" i="11"/>
  <c r="J49" i="11"/>
  <c r="B50" i="11"/>
  <c r="C50" i="11"/>
  <c r="D50" i="11"/>
  <c r="I50" i="11"/>
  <c r="J50" i="11"/>
  <c r="B51" i="11"/>
  <c r="C51" i="11" s="1"/>
  <c r="D51" i="11"/>
  <c r="E51" i="11"/>
  <c r="F51" i="11"/>
  <c r="G51" i="11"/>
  <c r="H51" i="11"/>
  <c r="I51" i="11"/>
  <c r="J51" i="11"/>
  <c r="B52" i="11"/>
  <c r="I52" i="11"/>
  <c r="J52" i="11"/>
  <c r="B53" i="11"/>
  <c r="D53" i="11"/>
  <c r="H53" i="11"/>
  <c r="I53" i="11"/>
  <c r="J53" i="11"/>
  <c r="B54" i="11"/>
  <c r="D54" i="11"/>
  <c r="E54" i="11"/>
  <c r="F54" i="11"/>
  <c r="I54" i="11"/>
  <c r="J54" i="11"/>
  <c r="B55" i="11"/>
  <c r="F55" i="11"/>
  <c r="G55" i="11"/>
  <c r="H55" i="11"/>
  <c r="I55" i="11"/>
  <c r="J55" i="11"/>
  <c r="B56" i="11"/>
  <c r="D56" i="11"/>
  <c r="E56" i="11"/>
  <c r="F56" i="11"/>
  <c r="H56" i="11"/>
  <c r="I56" i="11"/>
  <c r="J56" i="11"/>
  <c r="B57" i="11"/>
  <c r="I57" i="11"/>
  <c r="J57" i="11"/>
  <c r="B58" i="11"/>
  <c r="I58" i="11"/>
  <c r="J58" i="11"/>
  <c r="B59" i="11"/>
  <c r="H59" i="11"/>
  <c r="I59" i="11"/>
  <c r="J59" i="11"/>
  <c r="B60" i="11"/>
  <c r="D60" i="11" s="1"/>
  <c r="C60" i="11"/>
  <c r="E60" i="11"/>
  <c r="F60" i="11"/>
  <c r="G60" i="11"/>
  <c r="H60" i="11"/>
  <c r="I60" i="11"/>
  <c r="J60" i="11"/>
  <c r="B61" i="11"/>
  <c r="E61" i="11"/>
  <c r="F61" i="11"/>
  <c r="G61" i="11"/>
  <c r="H61" i="11"/>
  <c r="I61" i="11"/>
  <c r="J61" i="11"/>
  <c r="B62" i="11"/>
  <c r="F62" i="11"/>
  <c r="I62" i="11"/>
  <c r="J62" i="11"/>
  <c r="B63" i="11"/>
  <c r="D63" i="11" s="1"/>
  <c r="F63" i="11"/>
  <c r="G63" i="11"/>
  <c r="H63" i="11"/>
  <c r="I63" i="11"/>
  <c r="J63" i="11"/>
  <c r="B64" i="11"/>
  <c r="C64" i="11" s="1"/>
  <c r="I64" i="11"/>
  <c r="J64" i="11"/>
  <c r="B65" i="11"/>
  <c r="C65" i="11"/>
  <c r="I65" i="11"/>
  <c r="J65" i="11"/>
  <c r="B66" i="11"/>
  <c r="E66" i="11"/>
  <c r="F66" i="11"/>
  <c r="G66" i="11"/>
  <c r="H66" i="11"/>
  <c r="I66" i="11"/>
  <c r="J66" i="11"/>
  <c r="B67" i="11"/>
  <c r="F67" i="11"/>
  <c r="G67" i="11"/>
  <c r="H67" i="11"/>
  <c r="I67" i="11"/>
  <c r="J67" i="11"/>
  <c r="B68" i="11"/>
  <c r="C68" i="11"/>
  <c r="D68" i="11"/>
  <c r="E68" i="11"/>
  <c r="G68" i="11"/>
  <c r="I68" i="11"/>
  <c r="J68" i="11"/>
  <c r="B69" i="11"/>
  <c r="C69" i="11"/>
  <c r="D69" i="11"/>
  <c r="E69" i="11"/>
  <c r="I69" i="11"/>
  <c r="J69" i="11"/>
  <c r="B70" i="11"/>
  <c r="D70" i="11" s="1"/>
  <c r="G70" i="11"/>
  <c r="H70" i="11"/>
  <c r="I70" i="11"/>
  <c r="J70" i="11"/>
  <c r="B71" i="11"/>
  <c r="I71" i="11"/>
  <c r="J71" i="11"/>
  <c r="B72" i="11"/>
  <c r="C72" i="11"/>
  <c r="D72" i="11"/>
  <c r="F72" i="11"/>
  <c r="H72" i="11"/>
  <c r="I72" i="11"/>
  <c r="J72" i="11"/>
  <c r="B73" i="11"/>
  <c r="H73" i="11" s="1"/>
  <c r="I73" i="11"/>
  <c r="J73" i="11"/>
  <c r="B74" i="11"/>
  <c r="I74" i="11"/>
  <c r="J74" i="11"/>
  <c r="B75" i="11"/>
  <c r="C75" i="11"/>
  <c r="D75" i="11"/>
  <c r="E75" i="11"/>
  <c r="F75" i="11"/>
  <c r="G75" i="11"/>
  <c r="H75" i="11"/>
  <c r="I75" i="11"/>
  <c r="J75" i="11"/>
  <c r="B76" i="11"/>
  <c r="I76" i="11"/>
  <c r="J76" i="11"/>
  <c r="B77" i="11"/>
  <c r="H77" i="11" s="1"/>
  <c r="C77" i="11"/>
  <c r="D77" i="11"/>
  <c r="E77" i="11"/>
  <c r="F77" i="11"/>
  <c r="G77" i="11"/>
  <c r="I77" i="11"/>
  <c r="J77" i="11"/>
  <c r="B78" i="11"/>
  <c r="E78" i="11"/>
  <c r="F78" i="11"/>
  <c r="G78" i="11"/>
  <c r="H78" i="11"/>
  <c r="I78" i="11"/>
  <c r="J78" i="11"/>
  <c r="B79" i="11"/>
  <c r="I79" i="11"/>
  <c r="J79" i="11"/>
  <c r="B80" i="11"/>
  <c r="D80" i="11"/>
  <c r="F80" i="11"/>
  <c r="G80" i="11"/>
  <c r="H80" i="11"/>
  <c r="I80" i="11"/>
  <c r="J80" i="11"/>
  <c r="B81" i="11"/>
  <c r="C81" i="11" s="1"/>
  <c r="D81" i="11"/>
  <c r="E81" i="11"/>
  <c r="F81" i="11"/>
  <c r="I81" i="11"/>
  <c r="J81" i="11"/>
  <c r="B82" i="11"/>
  <c r="C82" i="11"/>
  <c r="I82" i="11"/>
  <c r="J82" i="11"/>
  <c r="B83" i="11"/>
  <c r="C83" i="11"/>
  <c r="D83" i="11"/>
  <c r="E83" i="11"/>
  <c r="F83" i="11"/>
  <c r="G83" i="11"/>
  <c r="H83" i="11"/>
  <c r="I83" i="11"/>
  <c r="J83" i="11"/>
  <c r="B84" i="11"/>
  <c r="C84" i="11"/>
  <c r="D84" i="11"/>
  <c r="E84" i="11"/>
  <c r="F84" i="11"/>
  <c r="G84" i="11"/>
  <c r="H84" i="11"/>
  <c r="I84" i="11"/>
  <c r="J84" i="11"/>
  <c r="B85" i="11"/>
  <c r="C85" i="11"/>
  <c r="H85" i="11"/>
  <c r="I85" i="11"/>
  <c r="J85" i="11"/>
  <c r="A1" i="10"/>
  <c r="P2" i="10"/>
  <c r="J3" i="10"/>
  <c r="J4" i="10"/>
  <c r="M4" i="10"/>
  <c r="AI4" i="10"/>
  <c r="J5" i="10"/>
  <c r="J6" i="10"/>
  <c r="B10" i="10"/>
  <c r="E10" i="10"/>
  <c r="F10" i="10"/>
  <c r="G10" i="10"/>
  <c r="H10" i="10"/>
  <c r="I10" i="10"/>
  <c r="J10" i="10"/>
  <c r="B11" i="10"/>
  <c r="E11" i="10"/>
  <c r="F11" i="10"/>
  <c r="G11" i="10"/>
  <c r="H11" i="10"/>
  <c r="I11" i="10"/>
  <c r="J11" i="10"/>
  <c r="B12" i="10"/>
  <c r="I12" i="10"/>
  <c r="J12" i="10"/>
  <c r="B13" i="10"/>
  <c r="C13" i="10"/>
  <c r="D13" i="10"/>
  <c r="I13" i="10"/>
  <c r="J13" i="10"/>
  <c r="B14" i="10"/>
  <c r="C14" i="10" s="1"/>
  <c r="D14" i="10"/>
  <c r="E14" i="10"/>
  <c r="F14" i="10"/>
  <c r="G14" i="10"/>
  <c r="H14" i="10"/>
  <c r="I14" i="10"/>
  <c r="J14" i="10"/>
  <c r="B15" i="10"/>
  <c r="G15" i="10"/>
  <c r="I15" i="10"/>
  <c r="J15" i="10"/>
  <c r="B16" i="10"/>
  <c r="D16" i="10"/>
  <c r="H16" i="10"/>
  <c r="I16" i="10"/>
  <c r="J16" i="10"/>
  <c r="B17" i="10"/>
  <c r="C17" i="10"/>
  <c r="I17" i="10"/>
  <c r="J17" i="10"/>
  <c r="B18" i="10"/>
  <c r="C18" i="10" s="1"/>
  <c r="D18" i="10"/>
  <c r="E18" i="10"/>
  <c r="F18" i="10"/>
  <c r="I18" i="10"/>
  <c r="J18" i="10"/>
  <c r="B19" i="10"/>
  <c r="E19" i="10" s="1"/>
  <c r="G19" i="10"/>
  <c r="H19" i="10"/>
  <c r="I19" i="10"/>
  <c r="J19" i="10"/>
  <c r="B20" i="10"/>
  <c r="D20" i="10"/>
  <c r="E20" i="10"/>
  <c r="G20" i="10"/>
  <c r="H20" i="10"/>
  <c r="I20" i="10"/>
  <c r="J20" i="10"/>
  <c r="B21" i="10"/>
  <c r="C21" i="10" s="1"/>
  <c r="D21" i="10"/>
  <c r="H21" i="10"/>
  <c r="I21" i="10"/>
  <c r="J21" i="10"/>
  <c r="B22" i="10"/>
  <c r="E22" i="10"/>
  <c r="F22" i="10"/>
  <c r="G22" i="10"/>
  <c r="H22" i="10"/>
  <c r="I22" i="10"/>
  <c r="J22" i="10"/>
  <c r="B23" i="10"/>
  <c r="E23" i="10" s="1"/>
  <c r="H23" i="10"/>
  <c r="I23" i="10"/>
  <c r="J23" i="10"/>
  <c r="B24" i="10"/>
  <c r="C24" i="10"/>
  <c r="D24" i="10"/>
  <c r="G24" i="10"/>
  <c r="H24" i="10"/>
  <c r="I24" i="10"/>
  <c r="J24" i="10"/>
  <c r="B25" i="10"/>
  <c r="C25" i="10" s="1"/>
  <c r="I25" i="10"/>
  <c r="J25" i="10"/>
  <c r="B26" i="10"/>
  <c r="H26" i="10"/>
  <c r="I26" i="10"/>
  <c r="J26" i="10"/>
  <c r="B27" i="10"/>
  <c r="C27" i="10" s="1"/>
  <c r="D27" i="10"/>
  <c r="E27" i="10"/>
  <c r="F27" i="10"/>
  <c r="G27" i="10"/>
  <c r="H27" i="10"/>
  <c r="I27" i="10"/>
  <c r="J27" i="10"/>
  <c r="B28" i="10"/>
  <c r="C28" i="10"/>
  <c r="D28" i="10"/>
  <c r="E28" i="10"/>
  <c r="F28" i="10"/>
  <c r="G28" i="10"/>
  <c r="H28" i="10"/>
  <c r="I28" i="10"/>
  <c r="J28" i="10"/>
  <c r="B29" i="10"/>
  <c r="I29" i="10"/>
  <c r="J29" i="10"/>
  <c r="B30" i="10"/>
  <c r="F30" i="10"/>
  <c r="G30" i="10"/>
  <c r="H30" i="10"/>
  <c r="I30" i="10"/>
  <c r="J30" i="10"/>
  <c r="B31" i="10"/>
  <c r="E31" i="10"/>
  <c r="F31" i="10"/>
  <c r="G31" i="10"/>
  <c r="H31" i="10"/>
  <c r="I31" i="10"/>
  <c r="J31" i="10"/>
  <c r="B32" i="10"/>
  <c r="G32" i="10"/>
  <c r="I32" i="10"/>
  <c r="J32" i="10"/>
  <c r="B33" i="10"/>
  <c r="C33" i="10"/>
  <c r="D33" i="10"/>
  <c r="E33" i="10"/>
  <c r="F33" i="10"/>
  <c r="I33" i="10"/>
  <c r="J33" i="10"/>
  <c r="B34" i="10"/>
  <c r="C34" i="10" s="1"/>
  <c r="I34" i="10"/>
  <c r="J34" i="10"/>
  <c r="B35" i="10"/>
  <c r="G35" i="10"/>
  <c r="H35" i="10"/>
  <c r="I35" i="10"/>
  <c r="J35" i="10"/>
  <c r="B36" i="10"/>
  <c r="I36" i="10"/>
  <c r="J36" i="10"/>
  <c r="B37" i="10"/>
  <c r="C37" i="10"/>
  <c r="D37" i="10"/>
  <c r="E37" i="10"/>
  <c r="F37" i="10"/>
  <c r="G37" i="10"/>
  <c r="H37" i="10"/>
  <c r="I37" i="10"/>
  <c r="J37" i="10"/>
  <c r="B38" i="10"/>
  <c r="C38" i="10" s="1"/>
  <c r="D38" i="10"/>
  <c r="E38" i="10"/>
  <c r="F38" i="10"/>
  <c r="G38" i="10"/>
  <c r="H38" i="10"/>
  <c r="I38" i="10"/>
  <c r="J38" i="10"/>
  <c r="B39" i="10"/>
  <c r="G39" i="10"/>
  <c r="I39" i="10"/>
  <c r="J39" i="10"/>
  <c r="B40" i="10"/>
  <c r="G40" i="10" s="1"/>
  <c r="C40" i="10"/>
  <c r="D40" i="10"/>
  <c r="H40" i="10"/>
  <c r="I40" i="10"/>
  <c r="J40" i="10"/>
  <c r="B41" i="10"/>
  <c r="I41" i="10"/>
  <c r="J41" i="10"/>
  <c r="B42" i="10"/>
  <c r="H42" i="10" s="1"/>
  <c r="C42" i="10"/>
  <c r="D42" i="10"/>
  <c r="E42" i="10"/>
  <c r="F42" i="10"/>
  <c r="G42" i="10"/>
  <c r="I42" i="10"/>
  <c r="J42" i="10"/>
  <c r="B43" i="10"/>
  <c r="F43" i="10" s="1"/>
  <c r="H43" i="10"/>
  <c r="I43" i="10"/>
  <c r="J43" i="10"/>
  <c r="B44" i="10"/>
  <c r="G44" i="10" s="1"/>
  <c r="C44" i="10"/>
  <c r="D44" i="10"/>
  <c r="E44" i="10"/>
  <c r="F44" i="10"/>
  <c r="H44" i="10"/>
  <c r="I44" i="10"/>
  <c r="J44" i="10"/>
  <c r="B45" i="10"/>
  <c r="C45" i="10" s="1"/>
  <c r="D45" i="10"/>
  <c r="E45" i="10"/>
  <c r="F45" i="10"/>
  <c r="G45" i="10"/>
  <c r="H45" i="10"/>
  <c r="I45" i="10"/>
  <c r="J45" i="10"/>
  <c r="B46" i="10"/>
  <c r="C46" i="10"/>
  <c r="D46" i="10"/>
  <c r="E46" i="10"/>
  <c r="F46" i="10"/>
  <c r="G46" i="10"/>
  <c r="H46" i="10"/>
  <c r="I46" i="10"/>
  <c r="J46" i="10"/>
  <c r="B47" i="10"/>
  <c r="H47" i="10"/>
  <c r="I47" i="10"/>
  <c r="J47" i="10"/>
  <c r="B48" i="10"/>
  <c r="I48" i="10"/>
  <c r="J48" i="10"/>
  <c r="B49" i="10"/>
  <c r="C49" i="10" s="1"/>
  <c r="D49" i="10"/>
  <c r="E49" i="10"/>
  <c r="F49" i="10"/>
  <c r="I49" i="10"/>
  <c r="J49" i="10"/>
  <c r="B50" i="10"/>
  <c r="E50" i="10" s="1"/>
  <c r="F50" i="10"/>
  <c r="G50" i="10"/>
  <c r="I50" i="10"/>
  <c r="J50" i="10"/>
  <c r="B51" i="10"/>
  <c r="C51" i="10" s="1"/>
  <c r="I51" i="10"/>
  <c r="J51" i="10"/>
  <c r="B52" i="10"/>
  <c r="C52" i="10"/>
  <c r="D52" i="10"/>
  <c r="E52" i="10"/>
  <c r="F52" i="10"/>
  <c r="G52" i="10"/>
  <c r="H52" i="10"/>
  <c r="I52" i="10"/>
  <c r="J52" i="10"/>
  <c r="B53" i="10"/>
  <c r="C53" i="10" s="1"/>
  <c r="I53" i="10"/>
  <c r="J53" i="10"/>
  <c r="B54" i="10"/>
  <c r="C54" i="10"/>
  <c r="D54" i="10"/>
  <c r="E54" i="10"/>
  <c r="F54" i="10"/>
  <c r="G54" i="10"/>
  <c r="H54" i="10"/>
  <c r="I54" i="10"/>
  <c r="J54" i="10"/>
  <c r="B55" i="10"/>
  <c r="E55" i="10"/>
  <c r="F55" i="10"/>
  <c r="I55" i="10"/>
  <c r="J55" i="10"/>
  <c r="B56" i="10"/>
  <c r="C56" i="10" s="1"/>
  <c r="I56" i="10"/>
  <c r="J56" i="10"/>
  <c r="B57" i="10"/>
  <c r="C57" i="10"/>
  <c r="I57" i="10"/>
  <c r="J57" i="10"/>
  <c r="B58" i="10"/>
  <c r="C58" i="10"/>
  <c r="D58" i="10"/>
  <c r="E58" i="10"/>
  <c r="F58" i="10"/>
  <c r="G58" i="10"/>
  <c r="H58" i="10"/>
  <c r="I58" i="10"/>
  <c r="J58" i="10"/>
  <c r="B59" i="10"/>
  <c r="I59" i="10"/>
  <c r="J59" i="10"/>
  <c r="B60" i="10"/>
  <c r="E60" i="10"/>
  <c r="F60" i="10"/>
  <c r="I60" i="10"/>
  <c r="J60" i="10"/>
  <c r="B61" i="10"/>
  <c r="C61" i="10" s="1"/>
  <c r="D61" i="10"/>
  <c r="E61" i="10"/>
  <c r="F61" i="10"/>
  <c r="G61" i="10"/>
  <c r="H61" i="10"/>
  <c r="I61" i="10"/>
  <c r="J61" i="10"/>
  <c r="B62" i="10"/>
  <c r="E62" i="10"/>
  <c r="F62" i="10"/>
  <c r="G62" i="10"/>
  <c r="H62" i="10"/>
  <c r="I62" i="10"/>
  <c r="J62" i="10"/>
  <c r="B63" i="10"/>
  <c r="G63" i="10"/>
  <c r="H63" i="10"/>
  <c r="I63" i="10"/>
  <c r="J63" i="10"/>
  <c r="B64" i="10"/>
  <c r="C64" i="10"/>
  <c r="D64" i="10"/>
  <c r="G64" i="10"/>
  <c r="H64" i="10"/>
  <c r="I64" i="10"/>
  <c r="J64" i="10"/>
  <c r="B65" i="10"/>
  <c r="C65" i="10" s="1"/>
  <c r="D65" i="10"/>
  <c r="E65" i="10"/>
  <c r="F65" i="10"/>
  <c r="I65" i="10"/>
  <c r="J65" i="10"/>
  <c r="B66" i="10"/>
  <c r="E66" i="10"/>
  <c r="F66" i="10"/>
  <c r="G66" i="10"/>
  <c r="H66" i="10"/>
  <c r="I66" i="10"/>
  <c r="J66" i="10"/>
  <c r="B67" i="10"/>
  <c r="D67" i="10"/>
  <c r="F67" i="10"/>
  <c r="G67" i="10"/>
  <c r="H67" i="10"/>
  <c r="I67" i="10"/>
  <c r="J67" i="10"/>
  <c r="B68" i="10"/>
  <c r="I68" i="10"/>
  <c r="J68" i="10"/>
  <c r="B69" i="10"/>
  <c r="C69" i="10" s="1"/>
  <c r="D69" i="10"/>
  <c r="E69" i="10"/>
  <c r="F69" i="10"/>
  <c r="G69" i="10"/>
  <c r="H69" i="10"/>
  <c r="I69" i="10"/>
  <c r="J69" i="10"/>
  <c r="B70" i="10"/>
  <c r="C70" i="10" s="1"/>
  <c r="D70" i="10"/>
  <c r="E70" i="10"/>
  <c r="F70" i="10"/>
  <c r="G70" i="10"/>
  <c r="H70" i="10"/>
  <c r="I70" i="10"/>
  <c r="J70" i="10"/>
  <c r="B71" i="10"/>
  <c r="E71" i="10" s="1"/>
  <c r="F71" i="10"/>
  <c r="G71" i="10"/>
  <c r="H71" i="10"/>
  <c r="I71" i="10"/>
  <c r="J71" i="10"/>
  <c r="B72" i="10"/>
  <c r="H72" i="10"/>
  <c r="I72" i="10"/>
  <c r="J72" i="10"/>
  <c r="B73" i="10"/>
  <c r="I73" i="10"/>
  <c r="J73" i="10"/>
  <c r="B74" i="10"/>
  <c r="C74" i="10"/>
  <c r="D74" i="10"/>
  <c r="E74" i="10"/>
  <c r="F74" i="10"/>
  <c r="G74" i="10"/>
  <c r="H74" i="10"/>
  <c r="I74" i="10"/>
  <c r="J74" i="10"/>
  <c r="B75" i="10"/>
  <c r="E75" i="10" s="1"/>
  <c r="C75" i="10"/>
  <c r="D75" i="10"/>
  <c r="F75" i="10"/>
  <c r="G75" i="10"/>
  <c r="H75" i="10"/>
  <c r="I75" i="10"/>
  <c r="J75" i="10"/>
  <c r="B76" i="10"/>
  <c r="F76" i="10"/>
  <c r="G76" i="10"/>
  <c r="H76" i="10"/>
  <c r="I76" i="10"/>
  <c r="J76" i="10"/>
  <c r="B77" i="10"/>
  <c r="E77" i="10"/>
  <c r="F77" i="10"/>
  <c r="G77" i="10"/>
  <c r="H77" i="10"/>
  <c r="I77" i="10"/>
  <c r="J77" i="10"/>
  <c r="B78" i="10"/>
  <c r="D78" i="10" s="1"/>
  <c r="E78" i="10"/>
  <c r="F78" i="10"/>
  <c r="I78" i="10"/>
  <c r="J78" i="10"/>
  <c r="B79" i="10"/>
  <c r="D79" i="10" s="1"/>
  <c r="E79" i="10"/>
  <c r="F79" i="10"/>
  <c r="G79" i="10"/>
  <c r="I79" i="10"/>
  <c r="J79" i="10"/>
  <c r="B80" i="10"/>
  <c r="E80" i="10" s="1"/>
  <c r="C80" i="10"/>
  <c r="D80" i="10"/>
  <c r="F80" i="10"/>
  <c r="G80" i="10"/>
  <c r="H80" i="10"/>
  <c r="I80" i="10"/>
  <c r="J80" i="10"/>
  <c r="B81" i="10"/>
  <c r="G81" i="10" s="1"/>
  <c r="C81" i="10"/>
  <c r="D81" i="10"/>
  <c r="E81" i="10"/>
  <c r="F81" i="10"/>
  <c r="H81" i="10"/>
  <c r="I81" i="10"/>
  <c r="J81" i="10"/>
  <c r="B82" i="10"/>
  <c r="F82" i="10" s="1"/>
  <c r="C82" i="10"/>
  <c r="D82" i="10"/>
  <c r="I82" i="10"/>
  <c r="J82" i="10"/>
  <c r="B83" i="10"/>
  <c r="I83" i="10"/>
  <c r="J83" i="10"/>
  <c r="B84" i="10"/>
  <c r="H84" i="10" s="1"/>
  <c r="I84" i="10"/>
  <c r="J84" i="10"/>
  <c r="B85" i="10"/>
  <c r="E85" i="10"/>
  <c r="F85" i="10"/>
  <c r="G85" i="10"/>
  <c r="H85" i="10"/>
  <c r="I85" i="10"/>
  <c r="J85" i="10"/>
  <c r="A1" i="9"/>
  <c r="P2" i="9"/>
  <c r="M4" i="9"/>
  <c r="AI4" i="9"/>
  <c r="J5" i="9"/>
  <c r="J6" i="9"/>
  <c r="B10" i="9"/>
  <c r="G10" i="9"/>
  <c r="I10" i="9"/>
  <c r="J10" i="9"/>
  <c r="B11" i="9"/>
  <c r="C11" i="9"/>
  <c r="D11" i="9"/>
  <c r="E11" i="9"/>
  <c r="F11" i="9"/>
  <c r="G11" i="9"/>
  <c r="H11" i="9"/>
  <c r="I11" i="9"/>
  <c r="J11" i="9"/>
  <c r="B12" i="9"/>
  <c r="E12" i="9"/>
  <c r="F12" i="9"/>
  <c r="G12" i="9"/>
  <c r="H12" i="9"/>
  <c r="I12" i="9"/>
  <c r="J12" i="9"/>
  <c r="B13" i="9"/>
  <c r="C13" i="9" s="1"/>
  <c r="D13" i="9"/>
  <c r="I13" i="9"/>
  <c r="J13" i="9"/>
  <c r="B14" i="9"/>
  <c r="F14" i="9"/>
  <c r="G14" i="9"/>
  <c r="H14" i="9"/>
  <c r="I14" i="9"/>
  <c r="J14" i="9"/>
  <c r="B15" i="9"/>
  <c r="I15" i="9"/>
  <c r="J15" i="9"/>
  <c r="B16" i="9"/>
  <c r="C16" i="9"/>
  <c r="I16" i="9"/>
  <c r="J16" i="9"/>
  <c r="B17" i="9"/>
  <c r="G17" i="9" s="1"/>
  <c r="C17" i="9"/>
  <c r="D17" i="9"/>
  <c r="E17" i="9"/>
  <c r="F17" i="9"/>
  <c r="H17" i="9"/>
  <c r="I17" i="9"/>
  <c r="J17" i="9"/>
  <c r="B18" i="9"/>
  <c r="C18" i="9" s="1"/>
  <c r="H18" i="9"/>
  <c r="I18" i="9"/>
  <c r="J18" i="9"/>
  <c r="B19" i="9"/>
  <c r="G19" i="9" s="1"/>
  <c r="C19" i="9"/>
  <c r="D19" i="9"/>
  <c r="E19" i="9"/>
  <c r="F19" i="9"/>
  <c r="I19" i="9"/>
  <c r="J19" i="9"/>
  <c r="B20" i="9"/>
  <c r="C20" i="9"/>
  <c r="D20" i="9"/>
  <c r="H20" i="9"/>
  <c r="I20" i="9"/>
  <c r="J20" i="9"/>
  <c r="B21" i="9"/>
  <c r="G21" i="9"/>
  <c r="H21" i="9"/>
  <c r="I21" i="9"/>
  <c r="J21" i="9"/>
  <c r="B22" i="9"/>
  <c r="I22" i="9"/>
  <c r="J22" i="9"/>
  <c r="B23" i="9"/>
  <c r="E23" i="9"/>
  <c r="F23" i="9"/>
  <c r="G23" i="9"/>
  <c r="H23" i="9"/>
  <c r="I23" i="9"/>
  <c r="J23" i="9"/>
  <c r="B24" i="9"/>
  <c r="C24" i="9" s="1"/>
  <c r="D24" i="9"/>
  <c r="G24" i="9"/>
  <c r="H24" i="9"/>
  <c r="I24" i="9"/>
  <c r="J24" i="9"/>
  <c r="B25" i="9"/>
  <c r="I25" i="9"/>
  <c r="J25" i="9"/>
  <c r="B26" i="9"/>
  <c r="I26" i="9"/>
  <c r="J26" i="9"/>
  <c r="B27" i="9"/>
  <c r="C27" i="9"/>
  <c r="D27" i="9"/>
  <c r="E27" i="9"/>
  <c r="F27" i="9"/>
  <c r="G27" i="9"/>
  <c r="H27" i="9"/>
  <c r="I27" i="9"/>
  <c r="J27" i="9"/>
  <c r="B28" i="9"/>
  <c r="C28" i="9" s="1"/>
  <c r="D28" i="9"/>
  <c r="E28" i="9"/>
  <c r="F28" i="9"/>
  <c r="G28" i="9"/>
  <c r="H28" i="9"/>
  <c r="I28" i="9"/>
  <c r="J28" i="9"/>
  <c r="B29" i="9"/>
  <c r="H29" i="9" s="1"/>
  <c r="C29" i="9"/>
  <c r="D29" i="9"/>
  <c r="E29" i="9"/>
  <c r="F29" i="9"/>
  <c r="G29" i="9"/>
  <c r="I29" i="9"/>
  <c r="J29" i="9"/>
  <c r="B30" i="9"/>
  <c r="C30" i="9" s="1"/>
  <c r="I30" i="9"/>
  <c r="J30" i="9"/>
  <c r="B31" i="9"/>
  <c r="D31" i="9" s="1"/>
  <c r="E31" i="9"/>
  <c r="F31" i="9"/>
  <c r="G31" i="9"/>
  <c r="H31" i="9"/>
  <c r="I31" i="9"/>
  <c r="J31" i="9"/>
  <c r="B32" i="9"/>
  <c r="C32" i="9" s="1"/>
  <c r="D32" i="9"/>
  <c r="F32" i="9"/>
  <c r="G32" i="9"/>
  <c r="I32" i="9"/>
  <c r="J32" i="9"/>
  <c r="B33" i="9"/>
  <c r="C33" i="9"/>
  <c r="D33" i="9"/>
  <c r="E33" i="9"/>
  <c r="F33" i="9"/>
  <c r="H33" i="9"/>
  <c r="I33" i="9"/>
  <c r="J33" i="9"/>
  <c r="B34" i="9"/>
  <c r="C34" i="9" s="1"/>
  <c r="D34" i="9"/>
  <c r="E34" i="9"/>
  <c r="F34" i="9"/>
  <c r="G34" i="9"/>
  <c r="H34" i="9"/>
  <c r="I34" i="9"/>
  <c r="J34" i="9"/>
  <c r="B35" i="9"/>
  <c r="H35" i="9"/>
  <c r="I35" i="9"/>
  <c r="J35" i="9"/>
  <c r="B36" i="9"/>
  <c r="C36" i="9"/>
  <c r="D36" i="9"/>
  <c r="E36" i="9"/>
  <c r="I36" i="9"/>
  <c r="J36" i="9"/>
  <c r="B37" i="9"/>
  <c r="C37" i="9"/>
  <c r="D37" i="9"/>
  <c r="E37" i="9"/>
  <c r="F37" i="9"/>
  <c r="G37" i="9"/>
  <c r="H37" i="9"/>
  <c r="I37" i="9"/>
  <c r="J37" i="9"/>
  <c r="B38" i="9"/>
  <c r="C38" i="9"/>
  <c r="I38" i="9"/>
  <c r="J38" i="9"/>
  <c r="B39" i="9"/>
  <c r="E39" i="9" s="1"/>
  <c r="C39" i="9"/>
  <c r="D39" i="9"/>
  <c r="F39" i="9"/>
  <c r="G39" i="9"/>
  <c r="H39" i="9"/>
  <c r="I39" i="9"/>
  <c r="J39" i="9"/>
  <c r="B40" i="9"/>
  <c r="F40" i="9"/>
  <c r="G40" i="9"/>
  <c r="H40" i="9"/>
  <c r="I40" i="9"/>
  <c r="J40" i="9"/>
  <c r="B41" i="9"/>
  <c r="C41" i="9"/>
  <c r="D41" i="9"/>
  <c r="H41" i="9"/>
  <c r="I41" i="9"/>
  <c r="J41" i="9"/>
  <c r="B42" i="9"/>
  <c r="C42" i="9" s="1"/>
  <c r="D42" i="9"/>
  <c r="E42" i="9"/>
  <c r="F42" i="9"/>
  <c r="G42" i="9"/>
  <c r="H42" i="9"/>
  <c r="I42" i="9"/>
  <c r="J42" i="9"/>
  <c r="B43" i="9"/>
  <c r="C43" i="9" s="1"/>
  <c r="I43" i="9"/>
  <c r="J43" i="9"/>
  <c r="B44" i="9"/>
  <c r="I44" i="9"/>
  <c r="J44" i="9"/>
  <c r="B45" i="9"/>
  <c r="E45" i="9"/>
  <c r="F45" i="9"/>
  <c r="G45" i="9"/>
  <c r="H45" i="9"/>
  <c r="I45" i="9"/>
  <c r="J45" i="9"/>
  <c r="B46" i="9"/>
  <c r="H46" i="9"/>
  <c r="I46" i="9"/>
  <c r="J46" i="9"/>
  <c r="B47" i="9"/>
  <c r="E47" i="9"/>
  <c r="F47" i="9"/>
  <c r="I47" i="9"/>
  <c r="J47" i="9"/>
  <c r="B48" i="9"/>
  <c r="E48" i="9" s="1"/>
  <c r="C48" i="9"/>
  <c r="D48" i="9"/>
  <c r="F48" i="9"/>
  <c r="G48" i="9"/>
  <c r="H48" i="9"/>
  <c r="I48" i="9"/>
  <c r="J48" i="9"/>
  <c r="B49" i="9"/>
  <c r="G49" i="9" s="1"/>
  <c r="C49" i="9"/>
  <c r="D49" i="9"/>
  <c r="E49" i="9"/>
  <c r="F49" i="9"/>
  <c r="H49" i="9"/>
  <c r="I49" i="9"/>
  <c r="J49" i="9"/>
  <c r="B50" i="9"/>
  <c r="E50" i="9"/>
  <c r="G50" i="9"/>
  <c r="H50" i="9"/>
  <c r="I50" i="9"/>
  <c r="J50" i="9"/>
  <c r="B51" i="9"/>
  <c r="E51" i="9"/>
  <c r="I51" i="9"/>
  <c r="J51" i="9"/>
  <c r="B52" i="9"/>
  <c r="I52" i="9"/>
  <c r="J52" i="9"/>
  <c r="B53" i="9"/>
  <c r="D53" i="9"/>
  <c r="F53" i="9"/>
  <c r="G53" i="9"/>
  <c r="H53" i="9"/>
  <c r="I53" i="9"/>
  <c r="J53" i="9"/>
  <c r="B54" i="9"/>
  <c r="D54" i="9"/>
  <c r="F54" i="9"/>
  <c r="G54" i="9"/>
  <c r="I54" i="9"/>
  <c r="J54" i="9"/>
  <c r="B55" i="9"/>
  <c r="E55" i="9"/>
  <c r="F55" i="9"/>
  <c r="G55" i="9"/>
  <c r="H55" i="9"/>
  <c r="I55" i="9"/>
  <c r="J55" i="9"/>
  <c r="B56" i="9"/>
  <c r="F56" i="9"/>
  <c r="G56" i="9"/>
  <c r="H56" i="9"/>
  <c r="I56" i="9"/>
  <c r="J56" i="9"/>
  <c r="B57" i="9"/>
  <c r="C57" i="9" s="1"/>
  <c r="F57" i="9"/>
  <c r="H57" i="9"/>
  <c r="I57" i="9"/>
  <c r="J57" i="9"/>
  <c r="B58" i="9"/>
  <c r="E58" i="9"/>
  <c r="F58" i="9"/>
  <c r="I58" i="9"/>
  <c r="J58" i="9"/>
  <c r="B59" i="9"/>
  <c r="I59" i="9"/>
  <c r="J59" i="9"/>
  <c r="B60" i="9"/>
  <c r="F60" i="9"/>
  <c r="G60" i="9"/>
  <c r="I60" i="9"/>
  <c r="J60" i="9"/>
  <c r="B61" i="9"/>
  <c r="C61" i="9"/>
  <c r="D61" i="9"/>
  <c r="E61" i="9"/>
  <c r="F61" i="9"/>
  <c r="G61" i="9"/>
  <c r="H61" i="9"/>
  <c r="I61" i="9"/>
  <c r="J61" i="9"/>
  <c r="B62" i="9"/>
  <c r="C62" i="9"/>
  <c r="D62" i="9"/>
  <c r="E62" i="9"/>
  <c r="F62" i="9"/>
  <c r="I62" i="9"/>
  <c r="J62" i="9"/>
  <c r="B63" i="9"/>
  <c r="C63" i="9" s="1"/>
  <c r="D63" i="9"/>
  <c r="E63" i="9"/>
  <c r="F63" i="9"/>
  <c r="G63" i="9"/>
  <c r="H63" i="9"/>
  <c r="I63" i="9"/>
  <c r="J63" i="9"/>
  <c r="B64" i="9"/>
  <c r="I64" i="9"/>
  <c r="J64" i="9"/>
  <c r="B65" i="9"/>
  <c r="I65" i="9"/>
  <c r="J65" i="9"/>
  <c r="B66" i="9"/>
  <c r="E66" i="9"/>
  <c r="F66" i="9"/>
  <c r="G66" i="9"/>
  <c r="H66" i="9"/>
  <c r="I66" i="9"/>
  <c r="J66" i="9"/>
  <c r="B67" i="9"/>
  <c r="C67" i="9" s="1"/>
  <c r="I67" i="9"/>
  <c r="J67" i="9"/>
  <c r="B68" i="9"/>
  <c r="E68" i="9" s="1"/>
  <c r="F68" i="9"/>
  <c r="G68" i="9"/>
  <c r="H68" i="9"/>
  <c r="I68" i="9"/>
  <c r="J68" i="9"/>
  <c r="B69" i="9"/>
  <c r="C69" i="9"/>
  <c r="D69" i="9"/>
  <c r="E69" i="9"/>
  <c r="H69" i="9"/>
  <c r="I69" i="9"/>
  <c r="J69" i="9"/>
  <c r="B70" i="9"/>
  <c r="E70" i="9"/>
  <c r="F70" i="9"/>
  <c r="G70" i="9"/>
  <c r="I70" i="9"/>
  <c r="J70" i="9"/>
  <c r="B71" i="9"/>
  <c r="I71" i="9"/>
  <c r="J71" i="9"/>
  <c r="B72" i="9"/>
  <c r="I72" i="9"/>
  <c r="J72" i="9"/>
  <c r="B73" i="9"/>
  <c r="C73" i="9"/>
  <c r="I73" i="9"/>
  <c r="J73" i="9"/>
  <c r="B74" i="9"/>
  <c r="D74" i="9" s="1"/>
  <c r="I74" i="9"/>
  <c r="J74" i="9"/>
  <c r="B75" i="9"/>
  <c r="C75" i="9"/>
  <c r="D75" i="9"/>
  <c r="E75" i="9"/>
  <c r="H75" i="9"/>
  <c r="I75" i="9"/>
  <c r="J75" i="9"/>
  <c r="B76" i="9"/>
  <c r="C76" i="9" s="1"/>
  <c r="D76" i="9"/>
  <c r="E76" i="9"/>
  <c r="F76" i="9"/>
  <c r="G76" i="9"/>
  <c r="H76" i="9"/>
  <c r="I76" i="9"/>
  <c r="J76" i="9"/>
  <c r="B77" i="9"/>
  <c r="H77" i="9"/>
  <c r="I77" i="9"/>
  <c r="J77" i="9"/>
  <c r="B78" i="9"/>
  <c r="C78" i="9" s="1"/>
  <c r="D78" i="9"/>
  <c r="E78" i="9"/>
  <c r="F78" i="9"/>
  <c r="G78" i="9"/>
  <c r="H78" i="9"/>
  <c r="I78" i="9"/>
  <c r="J78" i="9"/>
  <c r="B79" i="9"/>
  <c r="F79" i="9" s="1"/>
  <c r="G79" i="9"/>
  <c r="H79" i="9"/>
  <c r="I79" i="9"/>
  <c r="J79" i="9"/>
  <c r="B80" i="9"/>
  <c r="C80" i="9"/>
  <c r="D80" i="9"/>
  <c r="F80" i="9"/>
  <c r="I80" i="9"/>
  <c r="J80" i="9"/>
  <c r="B81" i="9"/>
  <c r="D81" i="9"/>
  <c r="E81" i="9"/>
  <c r="I81" i="9"/>
  <c r="J81" i="9"/>
  <c r="B82" i="9"/>
  <c r="C82" i="9"/>
  <c r="D82" i="9"/>
  <c r="I82" i="9"/>
  <c r="J82" i="9"/>
  <c r="B83" i="9"/>
  <c r="C83" i="9" s="1"/>
  <c r="I83" i="9"/>
  <c r="J83" i="9"/>
  <c r="B84" i="9"/>
  <c r="C84" i="9"/>
  <c r="D84" i="9"/>
  <c r="E84" i="9"/>
  <c r="F84" i="9"/>
  <c r="G84" i="9"/>
  <c r="H84" i="9"/>
  <c r="I84" i="9"/>
  <c r="J84" i="9"/>
  <c r="B85" i="9"/>
  <c r="C85" i="9"/>
  <c r="E85" i="9"/>
  <c r="F85" i="9"/>
  <c r="G85" i="9"/>
  <c r="H85" i="9"/>
  <c r="I85" i="9"/>
  <c r="J85" i="9"/>
  <c r="AI5" i="9"/>
  <c r="A1" i="8"/>
  <c r="P2" i="8"/>
  <c r="M4" i="8"/>
  <c r="AI4" i="8"/>
  <c r="J5" i="8"/>
  <c r="J6" i="8"/>
  <c r="B10" i="8"/>
  <c r="C10" i="8"/>
  <c r="D10" i="8"/>
  <c r="E10" i="8"/>
  <c r="F10" i="8"/>
  <c r="G10" i="8"/>
  <c r="H10" i="8"/>
  <c r="I10" i="8"/>
  <c r="J10" i="8"/>
  <c r="B11" i="8"/>
  <c r="C11" i="8" s="1"/>
  <c r="E11" i="8"/>
  <c r="F11" i="8"/>
  <c r="G11" i="8"/>
  <c r="I11" i="8"/>
  <c r="J11" i="8"/>
  <c r="B12" i="8"/>
  <c r="C12" i="8" s="1"/>
  <c r="I12" i="8"/>
  <c r="J12" i="8"/>
  <c r="B13" i="8"/>
  <c r="F13" i="8"/>
  <c r="G13" i="8"/>
  <c r="H13" i="8"/>
  <c r="I13" i="8"/>
  <c r="J13" i="8"/>
  <c r="B14" i="8"/>
  <c r="F14" i="8"/>
  <c r="G14" i="8"/>
  <c r="H14" i="8"/>
  <c r="I14" i="8"/>
  <c r="J14" i="8"/>
  <c r="B15" i="8"/>
  <c r="I15" i="8"/>
  <c r="J15" i="8"/>
  <c r="B16" i="8"/>
  <c r="C16" i="8"/>
  <c r="D16" i="8"/>
  <c r="G16" i="8"/>
  <c r="H16" i="8"/>
  <c r="I16" i="8"/>
  <c r="J16" i="8"/>
  <c r="B17" i="8"/>
  <c r="F17" i="8"/>
  <c r="I17" i="8"/>
  <c r="J17" i="8"/>
  <c r="B18" i="8"/>
  <c r="I18" i="8"/>
  <c r="J18" i="8"/>
  <c r="B19" i="8"/>
  <c r="I19" i="8"/>
  <c r="J19" i="8"/>
  <c r="B20" i="8"/>
  <c r="I20" i="8"/>
  <c r="J20" i="8"/>
  <c r="B21" i="8"/>
  <c r="F21" i="8"/>
  <c r="I21" i="8"/>
  <c r="J21" i="8"/>
  <c r="B22" i="8"/>
  <c r="C22" i="8" s="1"/>
  <c r="D22" i="8"/>
  <c r="E22" i="8"/>
  <c r="F22" i="8"/>
  <c r="G22" i="8"/>
  <c r="H22" i="8"/>
  <c r="I22" i="8"/>
  <c r="J22" i="8"/>
  <c r="B23" i="8"/>
  <c r="F23" i="8"/>
  <c r="G23" i="8"/>
  <c r="H23" i="8"/>
  <c r="I23" i="8"/>
  <c r="J23" i="8"/>
  <c r="B24" i="8"/>
  <c r="E24" i="8"/>
  <c r="F24" i="8"/>
  <c r="H24" i="8"/>
  <c r="I24" i="8"/>
  <c r="J24" i="8"/>
  <c r="B25" i="8"/>
  <c r="C25" i="8"/>
  <c r="D25" i="8"/>
  <c r="E25" i="8"/>
  <c r="H25" i="8"/>
  <c r="I25" i="8"/>
  <c r="J25" i="8"/>
  <c r="B26" i="8"/>
  <c r="C26" i="8" s="1"/>
  <c r="I26" i="8"/>
  <c r="J26" i="8"/>
  <c r="B27" i="8"/>
  <c r="I27" i="8"/>
  <c r="J27" i="8"/>
  <c r="B28" i="8"/>
  <c r="G28" i="8"/>
  <c r="H28" i="8"/>
  <c r="I28" i="8"/>
  <c r="J28" i="8"/>
  <c r="B29" i="8"/>
  <c r="C29" i="8"/>
  <c r="D29" i="8"/>
  <c r="E29" i="8"/>
  <c r="I29" i="8"/>
  <c r="J29" i="8"/>
  <c r="B30" i="8"/>
  <c r="C30" i="8"/>
  <c r="D30" i="8"/>
  <c r="E30" i="8"/>
  <c r="F30" i="8"/>
  <c r="G30" i="8"/>
  <c r="H30" i="8"/>
  <c r="I30" i="8"/>
  <c r="J30" i="8"/>
  <c r="B31" i="8"/>
  <c r="E31" i="8"/>
  <c r="F31" i="8"/>
  <c r="G31" i="8"/>
  <c r="H31" i="8"/>
  <c r="I31" i="8"/>
  <c r="J31" i="8"/>
  <c r="B32" i="8"/>
  <c r="I32" i="8"/>
  <c r="J32" i="8"/>
  <c r="B33" i="8"/>
  <c r="C33" i="8"/>
  <c r="D33" i="8"/>
  <c r="I33" i="8"/>
  <c r="J33" i="8"/>
  <c r="B34" i="8"/>
  <c r="E34" i="8"/>
  <c r="F34" i="8"/>
  <c r="I34" i="8"/>
  <c r="J34" i="8"/>
  <c r="B35" i="8"/>
  <c r="I35" i="8"/>
  <c r="J35" i="8"/>
  <c r="B36" i="8"/>
  <c r="C36" i="8" s="1"/>
  <c r="D36" i="8"/>
  <c r="E36" i="8"/>
  <c r="F36" i="8"/>
  <c r="I36" i="8"/>
  <c r="J36" i="8"/>
  <c r="B37" i="8"/>
  <c r="C37" i="8" s="1"/>
  <c r="E37" i="8"/>
  <c r="F37" i="8"/>
  <c r="G37" i="8"/>
  <c r="H37" i="8"/>
  <c r="I37" i="8"/>
  <c r="J37" i="8"/>
  <c r="B38" i="8"/>
  <c r="D38" i="8" s="1"/>
  <c r="I38" i="8"/>
  <c r="J38" i="8"/>
  <c r="B39" i="8"/>
  <c r="G39" i="8"/>
  <c r="H39" i="8"/>
  <c r="I39" i="8"/>
  <c r="J39" i="8"/>
  <c r="B40" i="8"/>
  <c r="C40" i="8" s="1"/>
  <c r="H40" i="8"/>
  <c r="I40" i="8"/>
  <c r="J40" i="8"/>
  <c r="B41" i="8"/>
  <c r="H41" i="8" s="1"/>
  <c r="C41" i="8"/>
  <c r="D41" i="8"/>
  <c r="E41" i="8"/>
  <c r="F41" i="8"/>
  <c r="G41" i="8"/>
  <c r="I41" i="8"/>
  <c r="J41" i="8"/>
  <c r="B42" i="8"/>
  <c r="I42" i="8"/>
  <c r="J42" i="8"/>
  <c r="B43" i="8"/>
  <c r="C43" i="8" s="1"/>
  <c r="D43" i="8"/>
  <c r="F43" i="8"/>
  <c r="G43" i="8"/>
  <c r="H43" i="8"/>
  <c r="I43" i="8"/>
  <c r="J43" i="8"/>
  <c r="B44" i="8"/>
  <c r="I44" i="8"/>
  <c r="J44" i="8"/>
  <c r="B45" i="8"/>
  <c r="C45" i="8" s="1"/>
  <c r="D45" i="8"/>
  <c r="E45" i="8"/>
  <c r="F45" i="8"/>
  <c r="G45" i="8"/>
  <c r="H45" i="8"/>
  <c r="I45" i="8"/>
  <c r="J45" i="8"/>
  <c r="B46" i="8"/>
  <c r="C46" i="8" s="1"/>
  <c r="D46" i="8"/>
  <c r="E46" i="8"/>
  <c r="F46" i="8"/>
  <c r="G46" i="8"/>
  <c r="H46" i="8"/>
  <c r="I46" i="8"/>
  <c r="J46" i="8"/>
  <c r="B47" i="8"/>
  <c r="G47" i="8"/>
  <c r="H47" i="8"/>
  <c r="I47" i="8"/>
  <c r="J47" i="8"/>
  <c r="B48" i="8"/>
  <c r="H48" i="8"/>
  <c r="I48" i="8"/>
  <c r="J48" i="8"/>
  <c r="B49" i="8"/>
  <c r="C49" i="8"/>
  <c r="E49" i="8"/>
  <c r="F49" i="8"/>
  <c r="I49" i="8"/>
  <c r="J49" i="8"/>
  <c r="B50" i="8"/>
  <c r="E50" i="8"/>
  <c r="F50" i="8"/>
  <c r="G50" i="8"/>
  <c r="H50" i="8"/>
  <c r="I50" i="8"/>
  <c r="J50" i="8"/>
  <c r="B51" i="8"/>
  <c r="I51" i="8"/>
  <c r="J51" i="8"/>
  <c r="B52" i="8"/>
  <c r="C52" i="8" s="1"/>
  <c r="H52" i="8"/>
  <c r="I52" i="8"/>
  <c r="J52" i="8"/>
  <c r="B53" i="8"/>
  <c r="F53" i="8"/>
  <c r="G53" i="8"/>
  <c r="H53" i="8"/>
  <c r="I53" i="8"/>
  <c r="J53" i="8"/>
  <c r="B54" i="8"/>
  <c r="D54" i="8"/>
  <c r="E54" i="8"/>
  <c r="I54" i="8"/>
  <c r="J54" i="8"/>
  <c r="B55" i="8"/>
  <c r="F55" i="8"/>
  <c r="G55" i="8"/>
  <c r="H55" i="8"/>
  <c r="I55" i="8"/>
  <c r="J55" i="8"/>
  <c r="B56" i="8"/>
  <c r="H56" i="8" s="1"/>
  <c r="I56" i="8"/>
  <c r="J56" i="8"/>
  <c r="B57" i="8"/>
  <c r="C57" i="8"/>
  <c r="D57" i="8"/>
  <c r="I57" i="8"/>
  <c r="J57" i="8"/>
  <c r="B58" i="8"/>
  <c r="C58" i="8"/>
  <c r="D58" i="8"/>
  <c r="E58" i="8"/>
  <c r="F58" i="8"/>
  <c r="G58" i="8"/>
  <c r="H58" i="8"/>
  <c r="I58" i="8"/>
  <c r="J58" i="8"/>
  <c r="B59" i="8"/>
  <c r="H59" i="8"/>
  <c r="I59" i="8"/>
  <c r="J59" i="8"/>
  <c r="B60" i="8"/>
  <c r="E60" i="8"/>
  <c r="G60" i="8"/>
  <c r="H60" i="8"/>
  <c r="I60" i="8"/>
  <c r="J60" i="8"/>
  <c r="B61" i="8"/>
  <c r="E61" i="8"/>
  <c r="F61" i="8"/>
  <c r="G61" i="8"/>
  <c r="H61" i="8"/>
  <c r="I61" i="8"/>
  <c r="J61" i="8"/>
  <c r="B62" i="8"/>
  <c r="C62" i="8"/>
  <c r="D62" i="8"/>
  <c r="E62" i="8"/>
  <c r="F62" i="8"/>
  <c r="G62" i="8"/>
  <c r="H62" i="8"/>
  <c r="I62" i="8"/>
  <c r="J62" i="8"/>
  <c r="B63" i="8"/>
  <c r="E63" i="8" s="1"/>
  <c r="F63" i="8"/>
  <c r="G63" i="8"/>
  <c r="H63" i="8"/>
  <c r="I63" i="8"/>
  <c r="J63" i="8"/>
  <c r="B64" i="8"/>
  <c r="C64" i="8" s="1"/>
  <c r="D64" i="8"/>
  <c r="G64" i="8"/>
  <c r="H64" i="8"/>
  <c r="I64" i="8"/>
  <c r="J64" i="8"/>
  <c r="B65" i="8"/>
  <c r="C65" i="8"/>
  <c r="D65" i="8"/>
  <c r="F65" i="8"/>
  <c r="I65" i="8"/>
  <c r="J65" i="8"/>
  <c r="B66" i="8"/>
  <c r="C66" i="8"/>
  <c r="D66" i="8"/>
  <c r="I66" i="8"/>
  <c r="J66" i="8"/>
  <c r="B67" i="8"/>
  <c r="D67" i="8" s="1"/>
  <c r="C67" i="8"/>
  <c r="E67" i="8"/>
  <c r="F67" i="8"/>
  <c r="G67" i="8"/>
  <c r="H67" i="8"/>
  <c r="I67" i="8"/>
  <c r="J67" i="8"/>
  <c r="B68" i="8"/>
  <c r="D68" i="8" s="1"/>
  <c r="C68" i="8"/>
  <c r="E68" i="8"/>
  <c r="I68" i="8"/>
  <c r="J68" i="8"/>
  <c r="B69" i="8"/>
  <c r="C69" i="8" s="1"/>
  <c r="D69" i="8"/>
  <c r="E69" i="8"/>
  <c r="F69" i="8"/>
  <c r="G69" i="8"/>
  <c r="H69" i="8"/>
  <c r="I69" i="8"/>
  <c r="J69" i="8"/>
  <c r="B70" i="8"/>
  <c r="G70" i="8"/>
  <c r="H70" i="8"/>
  <c r="I70" i="8"/>
  <c r="J70" i="8"/>
  <c r="B71" i="8"/>
  <c r="I71" i="8"/>
  <c r="J71" i="8"/>
  <c r="B72" i="8"/>
  <c r="I72" i="8"/>
  <c r="J72" i="8"/>
  <c r="B73" i="8"/>
  <c r="C73" i="8" s="1"/>
  <c r="D73" i="8"/>
  <c r="E73" i="8"/>
  <c r="F73" i="8"/>
  <c r="G73" i="8"/>
  <c r="H73" i="8"/>
  <c r="I73" i="8"/>
  <c r="J73" i="8"/>
  <c r="B74" i="8"/>
  <c r="I74" i="8"/>
  <c r="J74" i="8"/>
  <c r="B75" i="8"/>
  <c r="H75" i="8" s="1"/>
  <c r="C75" i="8"/>
  <c r="D75" i="8"/>
  <c r="E75" i="8"/>
  <c r="F75" i="8"/>
  <c r="G75" i="8"/>
  <c r="I75" i="8"/>
  <c r="J75" i="8"/>
  <c r="B76" i="8"/>
  <c r="C76" i="8"/>
  <c r="D76" i="8"/>
  <c r="I76" i="8"/>
  <c r="J76" i="8"/>
  <c r="B77" i="8"/>
  <c r="C77" i="8"/>
  <c r="D77" i="8"/>
  <c r="E77" i="8"/>
  <c r="F77" i="8"/>
  <c r="G77" i="8"/>
  <c r="H77" i="8"/>
  <c r="I77" i="8"/>
  <c r="J77" i="8"/>
  <c r="B78" i="8"/>
  <c r="C78" i="8"/>
  <c r="D78" i="8"/>
  <c r="E78" i="8"/>
  <c r="F78" i="8"/>
  <c r="G78" i="8"/>
  <c r="H78" i="8"/>
  <c r="I78" i="8"/>
  <c r="J78" i="8"/>
  <c r="B79" i="8"/>
  <c r="G79" i="8"/>
  <c r="I79" i="8"/>
  <c r="J79" i="8"/>
  <c r="B80" i="8"/>
  <c r="C80" i="8"/>
  <c r="D80" i="8"/>
  <c r="G80" i="8"/>
  <c r="I80" i="8"/>
  <c r="J80" i="8"/>
  <c r="B81" i="8"/>
  <c r="C81" i="8"/>
  <c r="D81" i="8"/>
  <c r="F81" i="8"/>
  <c r="I81" i="8"/>
  <c r="J81" i="8"/>
  <c r="B82" i="8"/>
  <c r="C82" i="8"/>
  <c r="D82" i="8"/>
  <c r="E82" i="8"/>
  <c r="F82" i="8"/>
  <c r="G82" i="8"/>
  <c r="H82" i="8"/>
  <c r="I82" i="8"/>
  <c r="J82" i="8"/>
  <c r="B83" i="8"/>
  <c r="I83" i="8"/>
  <c r="J83" i="8"/>
  <c r="B84" i="8"/>
  <c r="C84" i="8" s="1"/>
  <c r="D84" i="8"/>
  <c r="E84" i="8"/>
  <c r="F84" i="8"/>
  <c r="G84" i="8"/>
  <c r="H84" i="8"/>
  <c r="I84" i="8"/>
  <c r="J84" i="8"/>
  <c r="B85" i="8"/>
  <c r="G85" i="8" s="1"/>
  <c r="H85" i="8"/>
  <c r="I85" i="8"/>
  <c r="J85" i="8"/>
  <c r="A1" i="7"/>
  <c r="P2" i="7"/>
  <c r="M4" i="7"/>
  <c r="AI4" i="7"/>
  <c r="J5" i="7"/>
  <c r="J6" i="7"/>
  <c r="B10" i="7"/>
  <c r="C10" i="7"/>
  <c r="D10" i="7"/>
  <c r="E10" i="7"/>
  <c r="F10" i="7"/>
  <c r="G10" i="7"/>
  <c r="H10" i="7"/>
  <c r="I10" i="7"/>
  <c r="J10" i="7"/>
  <c r="B11" i="7"/>
  <c r="I11" i="7"/>
  <c r="J11" i="7"/>
  <c r="B12" i="7"/>
  <c r="C12" i="7"/>
  <c r="D12" i="7"/>
  <c r="I12" i="7"/>
  <c r="J12" i="7"/>
  <c r="B13" i="7"/>
  <c r="E13" i="7"/>
  <c r="F13" i="7"/>
  <c r="G13" i="7"/>
  <c r="H13" i="7"/>
  <c r="I13" i="7"/>
  <c r="J13" i="7"/>
  <c r="B14" i="7"/>
  <c r="C14" i="7"/>
  <c r="D14" i="7"/>
  <c r="E14" i="7"/>
  <c r="F14" i="7"/>
  <c r="G14" i="7"/>
  <c r="H14" i="7"/>
  <c r="I14" i="7"/>
  <c r="J14" i="7"/>
  <c r="B15" i="7"/>
  <c r="G15" i="7" s="1"/>
  <c r="H15" i="7"/>
  <c r="I15" i="7"/>
  <c r="J15" i="7"/>
  <c r="B16" i="7"/>
  <c r="C16" i="7"/>
  <c r="D16" i="7"/>
  <c r="I16" i="7"/>
  <c r="J16" i="7"/>
  <c r="B17" i="7"/>
  <c r="E17" i="7"/>
  <c r="I17" i="7"/>
  <c r="J17" i="7"/>
  <c r="B18" i="7"/>
  <c r="D18" i="7"/>
  <c r="H18" i="7"/>
  <c r="I18" i="7"/>
  <c r="J18" i="7"/>
  <c r="B19" i="7"/>
  <c r="E19" i="7"/>
  <c r="F19" i="7"/>
  <c r="G19" i="7"/>
  <c r="H19" i="7"/>
  <c r="I19" i="7"/>
  <c r="J19" i="7"/>
  <c r="B20" i="7"/>
  <c r="E20" i="7" s="1"/>
  <c r="F20" i="7"/>
  <c r="G20" i="7"/>
  <c r="H20" i="7"/>
  <c r="I20" i="7"/>
  <c r="J20" i="7"/>
  <c r="B21" i="7"/>
  <c r="F21" i="7"/>
  <c r="G21" i="7"/>
  <c r="H21" i="7"/>
  <c r="I21" i="7"/>
  <c r="J21" i="7"/>
  <c r="B22" i="7"/>
  <c r="F22" i="7"/>
  <c r="G22" i="7"/>
  <c r="H22" i="7"/>
  <c r="I22" i="7"/>
  <c r="J22" i="7"/>
  <c r="B23" i="7"/>
  <c r="C23" i="7" s="1"/>
  <c r="G23" i="7"/>
  <c r="H23" i="7"/>
  <c r="I23" i="7"/>
  <c r="J23" i="7"/>
  <c r="B24" i="7"/>
  <c r="C24" i="7"/>
  <c r="D24" i="7"/>
  <c r="E24" i="7"/>
  <c r="I24" i="7"/>
  <c r="J24" i="7"/>
  <c r="B25" i="7"/>
  <c r="I25" i="7"/>
  <c r="J25" i="7"/>
  <c r="B26" i="7"/>
  <c r="E26" i="7"/>
  <c r="F26" i="7"/>
  <c r="G26" i="7"/>
  <c r="H26" i="7"/>
  <c r="I26" i="7"/>
  <c r="J26" i="7"/>
  <c r="B27" i="7"/>
  <c r="F27" i="7"/>
  <c r="G27" i="7"/>
  <c r="H27" i="7"/>
  <c r="I27" i="7"/>
  <c r="J27" i="7"/>
  <c r="B28" i="7"/>
  <c r="F28" i="7"/>
  <c r="G28" i="7"/>
  <c r="I28" i="7"/>
  <c r="J28" i="7"/>
  <c r="B29" i="7"/>
  <c r="C29" i="7"/>
  <c r="D29" i="7"/>
  <c r="E29" i="7"/>
  <c r="F29" i="7"/>
  <c r="G29" i="7"/>
  <c r="H29" i="7"/>
  <c r="I29" i="7"/>
  <c r="J29" i="7"/>
  <c r="B30" i="7"/>
  <c r="C30" i="7"/>
  <c r="D30" i="7"/>
  <c r="E30" i="7"/>
  <c r="F30" i="7"/>
  <c r="G30" i="7"/>
  <c r="H30" i="7"/>
  <c r="I30" i="7"/>
  <c r="J30" i="7"/>
  <c r="B31" i="7"/>
  <c r="G31" i="7"/>
  <c r="I31" i="7"/>
  <c r="J31" i="7"/>
  <c r="B32" i="7"/>
  <c r="I32" i="7"/>
  <c r="J32" i="7"/>
  <c r="B33" i="7"/>
  <c r="C33" i="7" s="1"/>
  <c r="D33" i="7"/>
  <c r="I33" i="7"/>
  <c r="J33" i="7"/>
  <c r="B34" i="7"/>
  <c r="I34" i="7"/>
  <c r="J34" i="7"/>
  <c r="B35" i="7"/>
  <c r="G35" i="7" s="1"/>
  <c r="F35" i="7"/>
  <c r="I35" i="7"/>
  <c r="J35" i="7"/>
  <c r="B36" i="7"/>
  <c r="C36" i="7" s="1"/>
  <c r="F36" i="7"/>
  <c r="G36" i="7"/>
  <c r="H36" i="7"/>
  <c r="I36" i="7"/>
  <c r="J36" i="7"/>
  <c r="B37" i="7"/>
  <c r="C37" i="7" s="1"/>
  <c r="D37" i="7"/>
  <c r="E37" i="7"/>
  <c r="F37" i="7"/>
  <c r="I37" i="7"/>
  <c r="J37" i="7"/>
  <c r="B38" i="7"/>
  <c r="C38" i="7" s="1"/>
  <c r="D38" i="7"/>
  <c r="E38" i="7"/>
  <c r="F38" i="7"/>
  <c r="G38" i="7"/>
  <c r="H38" i="7"/>
  <c r="I38" i="7"/>
  <c r="J38" i="7"/>
  <c r="B39" i="7"/>
  <c r="C39" i="7"/>
  <c r="F39" i="7"/>
  <c r="G39" i="7"/>
  <c r="H39" i="7"/>
  <c r="I39" i="7"/>
  <c r="J39" i="7"/>
  <c r="B40" i="7"/>
  <c r="I40" i="7"/>
  <c r="J40" i="7"/>
  <c r="B41" i="7"/>
  <c r="C41" i="7"/>
  <c r="F41" i="7"/>
  <c r="G41" i="7"/>
  <c r="I41" i="7"/>
  <c r="J41" i="7"/>
  <c r="B42" i="7"/>
  <c r="I42" i="7"/>
  <c r="J42" i="7"/>
  <c r="B43" i="7"/>
  <c r="C43" i="7"/>
  <c r="D43" i="7"/>
  <c r="E43" i="7"/>
  <c r="F43" i="7"/>
  <c r="G43" i="7"/>
  <c r="H43" i="7"/>
  <c r="I43" i="7"/>
  <c r="J43" i="7"/>
  <c r="B44" i="7"/>
  <c r="C44" i="7"/>
  <c r="D44" i="7"/>
  <c r="E44" i="7"/>
  <c r="F44" i="7"/>
  <c r="I44" i="7"/>
  <c r="J44" i="7"/>
  <c r="B45" i="7"/>
  <c r="C45" i="7"/>
  <c r="D45" i="7"/>
  <c r="E45" i="7"/>
  <c r="F45" i="7"/>
  <c r="G45" i="7"/>
  <c r="H45" i="7"/>
  <c r="I45" i="7"/>
  <c r="J45" i="7"/>
  <c r="B46" i="7"/>
  <c r="C46" i="7"/>
  <c r="D46" i="7"/>
  <c r="E46" i="7"/>
  <c r="F46" i="7"/>
  <c r="G46" i="7"/>
  <c r="H46" i="7"/>
  <c r="I46" i="7"/>
  <c r="J46" i="7"/>
  <c r="B47" i="7"/>
  <c r="G47" i="7" s="1"/>
  <c r="I47" i="7"/>
  <c r="J47" i="7"/>
  <c r="B48" i="7"/>
  <c r="I48" i="7"/>
  <c r="J48" i="7"/>
  <c r="B49" i="7"/>
  <c r="C49" i="7"/>
  <c r="D49" i="7"/>
  <c r="E49" i="7"/>
  <c r="F49" i="7"/>
  <c r="I49" i="7"/>
  <c r="J49" i="7"/>
  <c r="B50" i="7"/>
  <c r="E50" i="7"/>
  <c r="F50" i="7"/>
  <c r="G50" i="7"/>
  <c r="H50" i="7"/>
  <c r="I50" i="7"/>
  <c r="J50" i="7"/>
  <c r="B51" i="7"/>
  <c r="C51" i="7" s="1"/>
  <c r="D51" i="7"/>
  <c r="E51" i="7"/>
  <c r="G51" i="7"/>
  <c r="H51" i="7"/>
  <c r="I51" i="7"/>
  <c r="J51" i="7"/>
  <c r="B52" i="7"/>
  <c r="F52" i="7"/>
  <c r="G52" i="7"/>
  <c r="H52" i="7"/>
  <c r="I52" i="7"/>
  <c r="J52" i="7"/>
  <c r="B53" i="7"/>
  <c r="H53" i="7" s="1"/>
  <c r="C53" i="7"/>
  <c r="D53" i="7"/>
  <c r="E53" i="7"/>
  <c r="F53" i="7"/>
  <c r="G53" i="7"/>
  <c r="I53" i="7"/>
  <c r="J53" i="7"/>
  <c r="B54" i="7"/>
  <c r="C54" i="7" s="1"/>
  <c r="D54" i="7"/>
  <c r="E54" i="7"/>
  <c r="F54" i="7"/>
  <c r="G54" i="7"/>
  <c r="H54" i="7"/>
  <c r="I54" i="7"/>
  <c r="J54" i="7"/>
  <c r="B55" i="7"/>
  <c r="C55" i="7"/>
  <c r="F55" i="7"/>
  <c r="G55" i="7"/>
  <c r="H55" i="7"/>
  <c r="I55" i="7"/>
  <c r="J55" i="7"/>
  <c r="B56" i="7"/>
  <c r="D56" i="7" s="1"/>
  <c r="C56" i="7"/>
  <c r="E56" i="7"/>
  <c r="H56" i="7"/>
  <c r="I56" i="7"/>
  <c r="J56" i="7"/>
  <c r="B57" i="7"/>
  <c r="E57" i="7"/>
  <c r="F57" i="7"/>
  <c r="I57" i="7"/>
  <c r="J57" i="7"/>
  <c r="B58" i="7"/>
  <c r="H58" i="7" s="1"/>
  <c r="C58" i="7"/>
  <c r="D58" i="7"/>
  <c r="E58" i="7"/>
  <c r="F58" i="7"/>
  <c r="G58" i="7"/>
  <c r="I58" i="7"/>
  <c r="J58" i="7"/>
  <c r="B59" i="7"/>
  <c r="H59" i="7" s="1"/>
  <c r="C59" i="7"/>
  <c r="D59" i="7"/>
  <c r="E59" i="7"/>
  <c r="F59" i="7"/>
  <c r="G59" i="7"/>
  <c r="I59" i="7"/>
  <c r="J59" i="7"/>
  <c r="B60" i="7"/>
  <c r="D60" i="7"/>
  <c r="E60" i="7"/>
  <c r="F60" i="7"/>
  <c r="G60" i="7"/>
  <c r="I60" i="7"/>
  <c r="J60" i="7"/>
  <c r="B61" i="7"/>
  <c r="C61" i="7"/>
  <c r="D61" i="7"/>
  <c r="E61" i="7"/>
  <c r="F61" i="7"/>
  <c r="G61" i="7"/>
  <c r="H61" i="7"/>
  <c r="I61" i="7"/>
  <c r="J61" i="7"/>
  <c r="B62" i="7"/>
  <c r="C62" i="7" s="1"/>
  <c r="D62" i="7"/>
  <c r="E62" i="7"/>
  <c r="F62" i="7"/>
  <c r="G62" i="7"/>
  <c r="H62" i="7"/>
  <c r="I62" i="7"/>
  <c r="J62" i="7"/>
  <c r="B63" i="7"/>
  <c r="H63" i="7" s="1"/>
  <c r="I63" i="7"/>
  <c r="J63" i="7"/>
  <c r="B64" i="7"/>
  <c r="C64" i="7"/>
  <c r="D64" i="7"/>
  <c r="I64" i="7"/>
  <c r="J64" i="7"/>
  <c r="B65" i="7"/>
  <c r="I65" i="7"/>
  <c r="J65" i="7"/>
  <c r="B66" i="7"/>
  <c r="C66" i="7"/>
  <c r="D66" i="7"/>
  <c r="E66" i="7"/>
  <c r="F66" i="7"/>
  <c r="G66" i="7"/>
  <c r="H66" i="7"/>
  <c r="I66" i="7"/>
  <c r="J66" i="7"/>
  <c r="B67" i="7"/>
  <c r="E67" i="7"/>
  <c r="F67" i="7"/>
  <c r="G67" i="7"/>
  <c r="H67" i="7"/>
  <c r="I67" i="7"/>
  <c r="J67" i="7"/>
  <c r="B68" i="7"/>
  <c r="F68" i="7" s="1"/>
  <c r="I68" i="7"/>
  <c r="J68" i="7"/>
  <c r="B69" i="7"/>
  <c r="I69" i="7"/>
  <c r="J69" i="7"/>
  <c r="B70" i="7"/>
  <c r="C70" i="7" s="1"/>
  <c r="D70" i="7"/>
  <c r="E70" i="7"/>
  <c r="F70" i="7"/>
  <c r="G70" i="7"/>
  <c r="H70" i="7"/>
  <c r="I70" i="7"/>
  <c r="J70" i="7"/>
  <c r="B71" i="7"/>
  <c r="C71" i="7"/>
  <c r="F71" i="7"/>
  <c r="G71" i="7"/>
  <c r="I71" i="7"/>
  <c r="J71" i="7"/>
  <c r="B72" i="7"/>
  <c r="H72" i="7"/>
  <c r="I72" i="7"/>
  <c r="J72" i="7"/>
  <c r="B73" i="7"/>
  <c r="I73" i="7"/>
  <c r="J73" i="7"/>
  <c r="B74" i="7"/>
  <c r="C74" i="7" s="1"/>
  <c r="D74" i="7"/>
  <c r="E74" i="7"/>
  <c r="F74" i="7"/>
  <c r="I74" i="7"/>
  <c r="J74" i="7"/>
  <c r="B75" i="7"/>
  <c r="C75" i="7"/>
  <c r="D75" i="7"/>
  <c r="E75" i="7"/>
  <c r="F75" i="7"/>
  <c r="G75" i="7"/>
  <c r="H75" i="7"/>
  <c r="I75" i="7"/>
  <c r="J75" i="7"/>
  <c r="B76" i="7"/>
  <c r="C76" i="7" s="1"/>
  <c r="D76" i="7"/>
  <c r="E76" i="7"/>
  <c r="F76" i="7"/>
  <c r="G76" i="7"/>
  <c r="H76" i="7"/>
  <c r="I76" i="7"/>
  <c r="J76" i="7"/>
  <c r="B77" i="7"/>
  <c r="C77" i="7"/>
  <c r="D77" i="7"/>
  <c r="E77" i="7"/>
  <c r="F77" i="7"/>
  <c r="G77" i="7"/>
  <c r="H77" i="7"/>
  <c r="I77" i="7"/>
  <c r="J77" i="7"/>
  <c r="B78" i="7"/>
  <c r="C78" i="7" s="1"/>
  <c r="D78" i="7"/>
  <c r="E78" i="7"/>
  <c r="F78" i="7"/>
  <c r="G78" i="7"/>
  <c r="H78" i="7"/>
  <c r="I78" i="7"/>
  <c r="J78" i="7"/>
  <c r="B79" i="7"/>
  <c r="G79" i="7"/>
  <c r="H79" i="7"/>
  <c r="I79" i="7"/>
  <c r="J79" i="7"/>
  <c r="B80" i="7"/>
  <c r="C80" i="7" s="1"/>
  <c r="D80" i="7"/>
  <c r="I80" i="7"/>
  <c r="J80" i="7"/>
  <c r="B81" i="7"/>
  <c r="C81" i="7" s="1"/>
  <c r="E81" i="7"/>
  <c r="F81" i="7"/>
  <c r="I81" i="7"/>
  <c r="J81" i="7"/>
  <c r="B82" i="7"/>
  <c r="D82" i="7" s="1"/>
  <c r="C82" i="7"/>
  <c r="G82" i="7"/>
  <c r="H82" i="7"/>
  <c r="I82" i="7"/>
  <c r="J82" i="7"/>
  <c r="B83" i="7"/>
  <c r="E83" i="7"/>
  <c r="F83" i="7"/>
  <c r="G83" i="7"/>
  <c r="H83" i="7"/>
  <c r="I83" i="7"/>
  <c r="J83" i="7"/>
  <c r="B84" i="7"/>
  <c r="C84" i="7" s="1"/>
  <c r="D84" i="7"/>
  <c r="E84" i="7"/>
  <c r="F84" i="7"/>
  <c r="G84" i="7"/>
  <c r="H84" i="7"/>
  <c r="I84" i="7"/>
  <c r="J84" i="7"/>
  <c r="B85" i="7"/>
  <c r="H85" i="7" s="1"/>
  <c r="C85" i="7"/>
  <c r="D85" i="7"/>
  <c r="E85" i="7"/>
  <c r="F85" i="7"/>
  <c r="G85" i="7"/>
  <c r="I85" i="7"/>
  <c r="J85" i="7"/>
  <c r="A1" i="6"/>
  <c r="P2" i="6"/>
  <c r="M4" i="6"/>
  <c r="AI4" i="6"/>
  <c r="J5" i="6"/>
  <c r="J6" i="6"/>
  <c r="B10" i="6"/>
  <c r="E10" i="6"/>
  <c r="F10" i="6"/>
  <c r="G10" i="6"/>
  <c r="H10" i="6"/>
  <c r="I10" i="6"/>
  <c r="J10" i="6"/>
  <c r="B11" i="6"/>
  <c r="G11" i="6"/>
  <c r="H11" i="6"/>
  <c r="I11" i="6"/>
  <c r="J11" i="6"/>
  <c r="B12" i="6"/>
  <c r="H12" i="6" s="1"/>
  <c r="C12" i="6"/>
  <c r="D12" i="6"/>
  <c r="E12" i="6"/>
  <c r="F12" i="6"/>
  <c r="G12" i="6"/>
  <c r="I12" i="6"/>
  <c r="J12" i="6"/>
  <c r="B13" i="6"/>
  <c r="E13" i="6"/>
  <c r="F13" i="6"/>
  <c r="G13" i="6"/>
  <c r="H13" i="6"/>
  <c r="I13" i="6"/>
  <c r="J13" i="6"/>
  <c r="B14" i="6"/>
  <c r="C14" i="6" s="1"/>
  <c r="D14" i="6"/>
  <c r="E14" i="6"/>
  <c r="F14" i="6"/>
  <c r="G14" i="6"/>
  <c r="H14" i="6"/>
  <c r="I14" i="6"/>
  <c r="J14" i="6"/>
  <c r="B15" i="6"/>
  <c r="F15" i="6"/>
  <c r="G15" i="6"/>
  <c r="I15" i="6"/>
  <c r="J15" i="6"/>
  <c r="B16" i="6"/>
  <c r="C16" i="6" s="1"/>
  <c r="D16" i="6"/>
  <c r="H16" i="6"/>
  <c r="I16" i="6"/>
  <c r="J16" i="6"/>
  <c r="B17" i="6"/>
  <c r="C17" i="6" s="1"/>
  <c r="D17" i="6"/>
  <c r="E17" i="6"/>
  <c r="F17" i="6"/>
  <c r="I17" i="6"/>
  <c r="J17" i="6"/>
  <c r="B18" i="6"/>
  <c r="E18" i="6"/>
  <c r="F18" i="6"/>
  <c r="I18" i="6"/>
  <c r="J18" i="6"/>
  <c r="B19" i="6"/>
  <c r="C19" i="6" s="1"/>
  <c r="D19" i="6"/>
  <c r="E19" i="6"/>
  <c r="F19" i="6"/>
  <c r="G19" i="6"/>
  <c r="H19" i="6"/>
  <c r="I19" i="6"/>
  <c r="J19" i="6"/>
  <c r="B20" i="6"/>
  <c r="I20" i="6"/>
  <c r="J20" i="6"/>
  <c r="B21" i="6"/>
  <c r="G21" i="6"/>
  <c r="H21" i="6"/>
  <c r="I21" i="6"/>
  <c r="J21" i="6"/>
  <c r="B22" i="6"/>
  <c r="D22" i="6"/>
  <c r="E22" i="6"/>
  <c r="F22" i="6"/>
  <c r="I22" i="6"/>
  <c r="J22" i="6"/>
  <c r="B23" i="6"/>
  <c r="E23" i="6" s="1"/>
  <c r="C23" i="6"/>
  <c r="D23" i="6"/>
  <c r="F23" i="6"/>
  <c r="G23" i="6"/>
  <c r="H23" i="6"/>
  <c r="I23" i="6"/>
  <c r="J23" i="6"/>
  <c r="B24" i="6"/>
  <c r="I24" i="6"/>
  <c r="J24" i="6"/>
  <c r="B25" i="6"/>
  <c r="E25" i="6"/>
  <c r="F25" i="6"/>
  <c r="G25" i="6"/>
  <c r="H25" i="6"/>
  <c r="I25" i="6"/>
  <c r="J25" i="6"/>
  <c r="B26" i="6"/>
  <c r="I26" i="6"/>
  <c r="J26" i="6"/>
  <c r="B27" i="6"/>
  <c r="E27" i="6"/>
  <c r="F27" i="6"/>
  <c r="G27" i="6"/>
  <c r="H27" i="6"/>
  <c r="I27" i="6"/>
  <c r="J27" i="6"/>
  <c r="B28" i="6"/>
  <c r="C28" i="6" s="1"/>
  <c r="D28" i="6"/>
  <c r="E28" i="6"/>
  <c r="F28" i="6"/>
  <c r="G28" i="6"/>
  <c r="H28" i="6"/>
  <c r="I28" i="6"/>
  <c r="J28" i="6"/>
  <c r="B29" i="6"/>
  <c r="I29" i="6"/>
  <c r="J29" i="6"/>
  <c r="B30" i="6"/>
  <c r="F30" i="6"/>
  <c r="G30" i="6"/>
  <c r="H30" i="6"/>
  <c r="I30" i="6"/>
  <c r="J30" i="6"/>
  <c r="B31" i="6"/>
  <c r="F31" i="6"/>
  <c r="G31" i="6"/>
  <c r="H31" i="6"/>
  <c r="I31" i="6"/>
  <c r="J31" i="6"/>
  <c r="B32" i="6"/>
  <c r="C32" i="6"/>
  <c r="D32" i="6"/>
  <c r="I32" i="6"/>
  <c r="J32" i="6"/>
  <c r="B33" i="6"/>
  <c r="F33" i="6" s="1"/>
  <c r="C33" i="6"/>
  <c r="D33" i="6"/>
  <c r="E33" i="6"/>
  <c r="I33" i="6"/>
  <c r="J33" i="6"/>
  <c r="B34" i="6"/>
  <c r="D34" i="6"/>
  <c r="F34" i="6"/>
  <c r="I34" i="6"/>
  <c r="J34" i="6"/>
  <c r="B35" i="6"/>
  <c r="C35" i="6"/>
  <c r="D35" i="6"/>
  <c r="E35" i="6"/>
  <c r="F35" i="6"/>
  <c r="G35" i="6"/>
  <c r="H35" i="6"/>
  <c r="I35" i="6"/>
  <c r="J35" i="6"/>
  <c r="B36" i="6"/>
  <c r="H36" i="6" s="1"/>
  <c r="C36" i="6"/>
  <c r="D36" i="6"/>
  <c r="E36" i="6"/>
  <c r="F36" i="6"/>
  <c r="G36" i="6"/>
  <c r="I36" i="6"/>
  <c r="J36" i="6"/>
  <c r="B37" i="6"/>
  <c r="C37" i="6" s="1"/>
  <c r="D37" i="6"/>
  <c r="E37" i="6"/>
  <c r="F37" i="6"/>
  <c r="G37" i="6"/>
  <c r="H37" i="6"/>
  <c r="I37" i="6"/>
  <c r="J37" i="6"/>
  <c r="B38" i="6"/>
  <c r="D38" i="6" s="1"/>
  <c r="I38" i="6"/>
  <c r="J38" i="6"/>
  <c r="B39" i="6"/>
  <c r="E39" i="6" s="1"/>
  <c r="C39" i="6"/>
  <c r="D39" i="6"/>
  <c r="F39" i="6"/>
  <c r="G39" i="6"/>
  <c r="H39" i="6"/>
  <c r="I39" i="6"/>
  <c r="J39" i="6"/>
  <c r="B40" i="6"/>
  <c r="D40" i="6"/>
  <c r="E40" i="6"/>
  <c r="F40" i="6"/>
  <c r="H40" i="6"/>
  <c r="I40" i="6"/>
  <c r="J40" i="6"/>
  <c r="B41" i="6"/>
  <c r="C41" i="6"/>
  <c r="I41" i="6"/>
  <c r="J41" i="6"/>
  <c r="B42" i="6"/>
  <c r="E42" i="6"/>
  <c r="F42" i="6"/>
  <c r="G42" i="6"/>
  <c r="H42" i="6"/>
  <c r="I42" i="6"/>
  <c r="J42" i="6"/>
  <c r="B43" i="6"/>
  <c r="C43" i="6" s="1"/>
  <c r="D43" i="6"/>
  <c r="E43" i="6"/>
  <c r="F43" i="6"/>
  <c r="G43" i="6"/>
  <c r="H43" i="6"/>
  <c r="I43" i="6"/>
  <c r="J43" i="6"/>
  <c r="B44" i="6"/>
  <c r="G44" i="6"/>
  <c r="I44" i="6"/>
  <c r="J44" i="6"/>
  <c r="B45" i="6"/>
  <c r="C45" i="6"/>
  <c r="D45" i="6"/>
  <c r="E45" i="6"/>
  <c r="F45" i="6"/>
  <c r="G45" i="6"/>
  <c r="H45" i="6"/>
  <c r="I45" i="6"/>
  <c r="J45" i="6"/>
  <c r="B46" i="6"/>
  <c r="F46" i="6"/>
  <c r="G46" i="6"/>
  <c r="H46" i="6"/>
  <c r="I46" i="6"/>
  <c r="J46" i="6"/>
  <c r="B47" i="6"/>
  <c r="I47" i="6"/>
  <c r="J47" i="6"/>
  <c r="B48" i="6"/>
  <c r="C48" i="6"/>
  <c r="D48" i="6"/>
  <c r="H48" i="6"/>
  <c r="I48" i="6"/>
  <c r="J48" i="6"/>
  <c r="B49" i="6"/>
  <c r="C49" i="6"/>
  <c r="D49" i="6"/>
  <c r="E49" i="6"/>
  <c r="F49" i="6"/>
  <c r="I49" i="6"/>
  <c r="J49" i="6"/>
  <c r="B50" i="6"/>
  <c r="F50" i="6"/>
  <c r="I50" i="6"/>
  <c r="J50" i="6"/>
  <c r="B51" i="6"/>
  <c r="I51" i="6"/>
  <c r="J51" i="6"/>
  <c r="B52" i="6"/>
  <c r="F52" i="6"/>
  <c r="G52" i="6"/>
  <c r="H52" i="6"/>
  <c r="I52" i="6"/>
  <c r="J52" i="6"/>
  <c r="B53" i="6"/>
  <c r="I53" i="6"/>
  <c r="J53" i="6"/>
  <c r="B54" i="6"/>
  <c r="E54" i="6"/>
  <c r="F54" i="6"/>
  <c r="G54" i="6"/>
  <c r="H54" i="6"/>
  <c r="I54" i="6"/>
  <c r="J54" i="6"/>
  <c r="B55" i="6"/>
  <c r="E55" i="6" s="1"/>
  <c r="C55" i="6"/>
  <c r="D55" i="6"/>
  <c r="F55" i="6"/>
  <c r="G55" i="6"/>
  <c r="H55" i="6"/>
  <c r="I55" i="6"/>
  <c r="J55" i="6"/>
  <c r="B56" i="6"/>
  <c r="C56" i="6"/>
  <c r="D56" i="6"/>
  <c r="I56" i="6"/>
  <c r="J56" i="6"/>
  <c r="B57" i="6"/>
  <c r="C57" i="6" s="1"/>
  <c r="D57" i="6"/>
  <c r="E57" i="6"/>
  <c r="F57" i="6"/>
  <c r="G57" i="6"/>
  <c r="H57" i="6"/>
  <c r="I57" i="6"/>
  <c r="J57" i="6"/>
  <c r="B58" i="6"/>
  <c r="D58" i="6"/>
  <c r="G58" i="6"/>
  <c r="I58" i="6"/>
  <c r="J58" i="6"/>
  <c r="B59" i="6"/>
  <c r="C59" i="6" s="1"/>
  <c r="D59" i="6"/>
  <c r="E59" i="6"/>
  <c r="F59" i="6"/>
  <c r="G59" i="6"/>
  <c r="H59" i="6"/>
  <c r="I59" i="6"/>
  <c r="J59" i="6"/>
  <c r="B60" i="6"/>
  <c r="E60" i="6"/>
  <c r="H60" i="6"/>
  <c r="I60" i="6"/>
  <c r="J60" i="6"/>
  <c r="B61" i="6"/>
  <c r="F61" i="6"/>
  <c r="G61" i="6"/>
  <c r="H61" i="6"/>
  <c r="I61" i="6"/>
  <c r="J61" i="6"/>
  <c r="B62" i="6"/>
  <c r="G62" i="6"/>
  <c r="H62" i="6"/>
  <c r="I62" i="6"/>
  <c r="J62" i="6"/>
  <c r="B63" i="6"/>
  <c r="D63" i="6" s="1"/>
  <c r="I63" i="6"/>
  <c r="J63" i="6"/>
  <c r="B64" i="6"/>
  <c r="F64" i="6"/>
  <c r="H64" i="6"/>
  <c r="I64" i="6"/>
  <c r="J64" i="6"/>
  <c r="B65" i="6"/>
  <c r="C65" i="6"/>
  <c r="D65" i="6"/>
  <c r="E65" i="6"/>
  <c r="F65" i="6"/>
  <c r="H65" i="6"/>
  <c r="I65" i="6"/>
  <c r="J65" i="6"/>
  <c r="B66" i="6"/>
  <c r="C66" i="6" s="1"/>
  <c r="D66" i="6"/>
  <c r="E66" i="6"/>
  <c r="F66" i="6"/>
  <c r="G66" i="6"/>
  <c r="H66" i="6"/>
  <c r="I66" i="6"/>
  <c r="J66" i="6"/>
  <c r="B67" i="6"/>
  <c r="C67" i="6"/>
  <c r="D67" i="6"/>
  <c r="G67" i="6"/>
  <c r="H67" i="6"/>
  <c r="I67" i="6"/>
  <c r="J67" i="6"/>
  <c r="B68" i="6"/>
  <c r="C68" i="6" s="1"/>
  <c r="D68" i="6"/>
  <c r="E68" i="6"/>
  <c r="F68" i="6"/>
  <c r="G68" i="6"/>
  <c r="H68" i="6"/>
  <c r="I68" i="6"/>
  <c r="J68" i="6"/>
  <c r="B69" i="6"/>
  <c r="C69" i="6"/>
  <c r="D69" i="6"/>
  <c r="E69" i="6"/>
  <c r="F69" i="6"/>
  <c r="G69" i="6"/>
  <c r="H69" i="6"/>
  <c r="I69" i="6"/>
  <c r="J69" i="6"/>
  <c r="B70" i="6"/>
  <c r="I70" i="6"/>
  <c r="J70" i="6"/>
  <c r="B71" i="6"/>
  <c r="C71" i="6" s="1"/>
  <c r="I71" i="6"/>
  <c r="J71" i="6"/>
  <c r="B72" i="6"/>
  <c r="G72" i="6" s="1"/>
  <c r="C72" i="6"/>
  <c r="D72" i="6"/>
  <c r="H72" i="6"/>
  <c r="I72" i="6"/>
  <c r="J72" i="6"/>
  <c r="B73" i="6"/>
  <c r="F73" i="6"/>
  <c r="G73" i="6"/>
  <c r="H73" i="6"/>
  <c r="I73" i="6"/>
  <c r="J73" i="6"/>
  <c r="B74" i="6"/>
  <c r="D74" i="6"/>
  <c r="H74" i="6"/>
  <c r="I74" i="6"/>
  <c r="J74" i="6"/>
  <c r="B75" i="6"/>
  <c r="C75" i="6"/>
  <c r="D75" i="6"/>
  <c r="E75" i="6"/>
  <c r="F75" i="6"/>
  <c r="G75" i="6"/>
  <c r="H75" i="6"/>
  <c r="I75" i="6"/>
  <c r="J75" i="6"/>
  <c r="B76" i="6"/>
  <c r="C76" i="6" s="1"/>
  <c r="D76" i="6"/>
  <c r="E76" i="6"/>
  <c r="F76" i="6"/>
  <c r="G76" i="6"/>
  <c r="H76" i="6"/>
  <c r="I76" i="6"/>
  <c r="J76" i="6"/>
  <c r="B77" i="6"/>
  <c r="I77" i="6"/>
  <c r="J77" i="6"/>
  <c r="B78" i="6"/>
  <c r="D78" i="6"/>
  <c r="F78" i="6"/>
  <c r="H78" i="6"/>
  <c r="I78" i="6"/>
  <c r="J78" i="6"/>
  <c r="B79" i="6"/>
  <c r="D79" i="6"/>
  <c r="F79" i="6"/>
  <c r="G79" i="6"/>
  <c r="H79" i="6"/>
  <c r="I79" i="6"/>
  <c r="J79" i="6"/>
  <c r="B80" i="6"/>
  <c r="C80" i="6"/>
  <c r="D80" i="6"/>
  <c r="F80" i="6"/>
  <c r="H80" i="6"/>
  <c r="I80" i="6"/>
  <c r="J80" i="6"/>
  <c r="B81" i="6"/>
  <c r="D81" i="6"/>
  <c r="E81" i="6"/>
  <c r="F81" i="6"/>
  <c r="I81" i="6"/>
  <c r="J81" i="6"/>
  <c r="B82" i="6"/>
  <c r="C82" i="6" s="1"/>
  <c r="D82" i="6"/>
  <c r="E82" i="6"/>
  <c r="F82" i="6"/>
  <c r="G82" i="6"/>
  <c r="I82" i="6"/>
  <c r="J82" i="6"/>
  <c r="B83" i="6"/>
  <c r="C83" i="6" s="1"/>
  <c r="D83" i="6"/>
  <c r="E83" i="6"/>
  <c r="F83" i="6"/>
  <c r="G83" i="6"/>
  <c r="H83" i="6"/>
  <c r="I83" i="6"/>
  <c r="J83" i="6"/>
  <c r="B84" i="6"/>
  <c r="E84" i="6"/>
  <c r="H84" i="6"/>
  <c r="I84" i="6"/>
  <c r="J84" i="6"/>
  <c r="B85" i="6"/>
  <c r="F85" i="6"/>
  <c r="G85" i="6"/>
  <c r="H85" i="6"/>
  <c r="I85" i="6"/>
  <c r="J85" i="6"/>
  <c r="A1" i="5"/>
  <c r="P2" i="5"/>
  <c r="M4" i="5"/>
  <c r="AI4" i="5"/>
  <c r="J5" i="5"/>
  <c r="J6" i="5"/>
  <c r="B10" i="5"/>
  <c r="E10" i="5"/>
  <c r="F10" i="5"/>
  <c r="G10" i="5"/>
  <c r="H10" i="5"/>
  <c r="I10" i="5"/>
  <c r="J10" i="5"/>
  <c r="B11" i="5"/>
  <c r="C11" i="5"/>
  <c r="D11" i="5"/>
  <c r="E11" i="5"/>
  <c r="F11" i="5"/>
  <c r="G11" i="5"/>
  <c r="H11" i="5"/>
  <c r="I11" i="5"/>
  <c r="J11" i="5"/>
  <c r="B12" i="5"/>
  <c r="I12" i="5"/>
  <c r="J12" i="5"/>
  <c r="B13" i="5"/>
  <c r="C13" i="5" s="1"/>
  <c r="D13" i="5"/>
  <c r="E13" i="5"/>
  <c r="F13" i="5"/>
  <c r="G13" i="5"/>
  <c r="H13" i="5"/>
  <c r="I13" i="5"/>
  <c r="J13" i="5"/>
  <c r="B14" i="5"/>
  <c r="C14" i="5" s="1"/>
  <c r="D14" i="5"/>
  <c r="E14" i="5"/>
  <c r="F14" i="5"/>
  <c r="G14" i="5"/>
  <c r="H14" i="5"/>
  <c r="I14" i="5"/>
  <c r="J14" i="5"/>
  <c r="B15" i="5"/>
  <c r="F15" i="5"/>
  <c r="I15" i="5"/>
  <c r="J15" i="5"/>
  <c r="B16" i="5"/>
  <c r="I16" i="5"/>
  <c r="J16" i="5"/>
  <c r="B17" i="5"/>
  <c r="C17" i="5"/>
  <c r="D17" i="5"/>
  <c r="E17" i="5"/>
  <c r="F17" i="5"/>
  <c r="I17" i="5"/>
  <c r="J17" i="5"/>
  <c r="B18" i="5"/>
  <c r="I18" i="5"/>
  <c r="J18" i="5"/>
  <c r="B19" i="5"/>
  <c r="C19" i="5" s="1"/>
  <c r="D19" i="5"/>
  <c r="E19" i="5"/>
  <c r="F19" i="5"/>
  <c r="G19" i="5"/>
  <c r="H19" i="5"/>
  <c r="I19" i="5"/>
  <c r="J19" i="5"/>
  <c r="B20" i="5"/>
  <c r="I20" i="5"/>
  <c r="J20" i="5"/>
  <c r="B21" i="5"/>
  <c r="C21" i="5" s="1"/>
  <c r="D21" i="5"/>
  <c r="I21" i="5"/>
  <c r="J21" i="5"/>
  <c r="B22" i="5"/>
  <c r="C22" i="5"/>
  <c r="D22" i="5"/>
  <c r="I22" i="5"/>
  <c r="J22" i="5"/>
  <c r="B23" i="5"/>
  <c r="C23" i="5" s="1"/>
  <c r="D23" i="5"/>
  <c r="E23" i="5"/>
  <c r="F23" i="5"/>
  <c r="G23" i="5"/>
  <c r="H23" i="5"/>
  <c r="I23" i="5"/>
  <c r="J23" i="5"/>
  <c r="B24" i="5"/>
  <c r="C24" i="5" s="1"/>
  <c r="D24" i="5"/>
  <c r="E24" i="5"/>
  <c r="F24" i="5"/>
  <c r="G24" i="5"/>
  <c r="H24" i="5"/>
  <c r="I24" i="5"/>
  <c r="J24" i="5"/>
  <c r="B25" i="5"/>
  <c r="C25" i="5"/>
  <c r="D25" i="5"/>
  <c r="I25" i="5"/>
  <c r="J25" i="5"/>
  <c r="B26" i="5"/>
  <c r="I26" i="5"/>
  <c r="J26" i="5"/>
  <c r="B27" i="5"/>
  <c r="E27" i="5"/>
  <c r="F27" i="5"/>
  <c r="I27" i="5"/>
  <c r="J27" i="5"/>
  <c r="B28" i="5"/>
  <c r="F28" i="5"/>
  <c r="G28" i="5"/>
  <c r="H28" i="5"/>
  <c r="I28" i="5"/>
  <c r="J28" i="5"/>
  <c r="B29" i="5"/>
  <c r="C29" i="5"/>
  <c r="D29" i="5"/>
  <c r="H29" i="5"/>
  <c r="I29" i="5"/>
  <c r="J29" i="5"/>
  <c r="B30" i="5"/>
  <c r="D30" i="5"/>
  <c r="F30" i="5"/>
  <c r="G30" i="5"/>
  <c r="H30" i="5"/>
  <c r="I30" i="5"/>
  <c r="J30" i="5"/>
  <c r="B31" i="5"/>
  <c r="G31" i="5"/>
  <c r="H31" i="5"/>
  <c r="I31" i="5"/>
  <c r="J31" i="5"/>
  <c r="B32" i="5"/>
  <c r="C32" i="5"/>
  <c r="D32" i="5"/>
  <c r="G32" i="5"/>
  <c r="I32" i="5"/>
  <c r="J32" i="5"/>
  <c r="B33" i="5"/>
  <c r="C33" i="5"/>
  <c r="D33" i="5"/>
  <c r="E33" i="5"/>
  <c r="F33" i="5"/>
  <c r="I33" i="5"/>
  <c r="J33" i="5"/>
  <c r="B34" i="5"/>
  <c r="H34" i="5"/>
  <c r="I34" i="5"/>
  <c r="J34" i="5"/>
  <c r="B35" i="5"/>
  <c r="C35" i="5" s="1"/>
  <c r="G35" i="5"/>
  <c r="H35" i="5"/>
  <c r="I35" i="5"/>
  <c r="J35" i="5"/>
  <c r="B36" i="5"/>
  <c r="H36" i="5" s="1"/>
  <c r="C36" i="5"/>
  <c r="D36" i="5"/>
  <c r="E36" i="5"/>
  <c r="F36" i="5"/>
  <c r="G36" i="5"/>
  <c r="I36" i="5"/>
  <c r="J36" i="5"/>
  <c r="B37" i="5"/>
  <c r="C37" i="5"/>
  <c r="D37" i="5"/>
  <c r="E37" i="5"/>
  <c r="I37" i="5"/>
  <c r="J37" i="5"/>
  <c r="B38" i="5"/>
  <c r="C38" i="5"/>
  <c r="D38" i="5"/>
  <c r="E38" i="5"/>
  <c r="F38" i="5"/>
  <c r="G38" i="5"/>
  <c r="H38" i="5"/>
  <c r="I38" i="5"/>
  <c r="J38" i="5"/>
  <c r="B39" i="5"/>
  <c r="C39" i="5" s="1"/>
  <c r="D39" i="5"/>
  <c r="E39" i="5"/>
  <c r="F39" i="5"/>
  <c r="G39" i="5"/>
  <c r="H39" i="5"/>
  <c r="I39" i="5"/>
  <c r="J39" i="5"/>
  <c r="B40" i="5"/>
  <c r="F40" i="5"/>
  <c r="I40" i="5"/>
  <c r="J40" i="5"/>
  <c r="B41" i="5"/>
  <c r="I41" i="5"/>
  <c r="J41" i="5"/>
  <c r="B42" i="5"/>
  <c r="C42" i="5"/>
  <c r="D42" i="5"/>
  <c r="E42" i="5"/>
  <c r="F42" i="5"/>
  <c r="G42" i="5"/>
  <c r="H42" i="5"/>
  <c r="I42" i="5"/>
  <c r="J42" i="5"/>
  <c r="B43" i="5"/>
  <c r="I43" i="5"/>
  <c r="J43" i="5"/>
  <c r="B44" i="5"/>
  <c r="H44" i="5" s="1"/>
  <c r="C44" i="5"/>
  <c r="D44" i="5"/>
  <c r="E44" i="5"/>
  <c r="F44" i="5"/>
  <c r="G44" i="5"/>
  <c r="I44" i="5"/>
  <c r="J44" i="5"/>
  <c r="B45" i="5"/>
  <c r="C45" i="5" s="1"/>
  <c r="I45" i="5"/>
  <c r="J45" i="5"/>
  <c r="B46" i="5"/>
  <c r="C46" i="5" s="1"/>
  <c r="D46" i="5"/>
  <c r="E46" i="5"/>
  <c r="F46" i="5"/>
  <c r="G46" i="5"/>
  <c r="H46" i="5"/>
  <c r="I46" i="5"/>
  <c r="J46" i="5"/>
  <c r="B47" i="5"/>
  <c r="G47" i="5"/>
  <c r="H47" i="5"/>
  <c r="I47" i="5"/>
  <c r="J47" i="5"/>
  <c r="B48" i="5"/>
  <c r="C48" i="5"/>
  <c r="D48" i="5"/>
  <c r="I48" i="5"/>
  <c r="J48" i="5"/>
  <c r="B49" i="5"/>
  <c r="C49" i="5"/>
  <c r="D49" i="5"/>
  <c r="E49" i="5"/>
  <c r="F49" i="5"/>
  <c r="I49" i="5"/>
  <c r="J49" i="5"/>
  <c r="B50" i="5"/>
  <c r="C50" i="5" s="1"/>
  <c r="I50" i="5"/>
  <c r="J50" i="5"/>
  <c r="B51" i="5"/>
  <c r="F51" i="5"/>
  <c r="G51" i="5"/>
  <c r="H51" i="5"/>
  <c r="I51" i="5"/>
  <c r="J51" i="5"/>
  <c r="B52" i="5"/>
  <c r="I52" i="5"/>
  <c r="J52" i="5"/>
  <c r="B53" i="5"/>
  <c r="C53" i="5" s="1"/>
  <c r="D53" i="5"/>
  <c r="E53" i="5"/>
  <c r="F53" i="5"/>
  <c r="I53" i="5"/>
  <c r="J53" i="5"/>
  <c r="B54" i="5"/>
  <c r="I54" i="5"/>
  <c r="J54" i="5"/>
  <c r="B55" i="5"/>
  <c r="F55" i="5" s="1"/>
  <c r="I55" i="5"/>
  <c r="J55" i="5"/>
  <c r="B56" i="5"/>
  <c r="C56" i="5" s="1"/>
  <c r="D56" i="5"/>
  <c r="E56" i="5"/>
  <c r="F56" i="5"/>
  <c r="G56" i="5"/>
  <c r="H56" i="5"/>
  <c r="I56" i="5"/>
  <c r="J56" i="5"/>
  <c r="B57" i="5"/>
  <c r="C57" i="5" s="1"/>
  <c r="D57" i="5"/>
  <c r="I57" i="5"/>
  <c r="J57" i="5"/>
  <c r="B58" i="5"/>
  <c r="C58" i="5"/>
  <c r="D58" i="5"/>
  <c r="E58" i="5"/>
  <c r="F58" i="5"/>
  <c r="G58" i="5"/>
  <c r="H58" i="5"/>
  <c r="I58" i="5"/>
  <c r="J58" i="5"/>
  <c r="B59" i="5"/>
  <c r="E59" i="5"/>
  <c r="F59" i="5"/>
  <c r="G59" i="5"/>
  <c r="H59" i="5"/>
  <c r="I59" i="5"/>
  <c r="J59" i="5"/>
  <c r="B60" i="5"/>
  <c r="I60" i="5"/>
  <c r="J60" i="5"/>
  <c r="B61" i="5"/>
  <c r="I61" i="5"/>
  <c r="J61" i="5"/>
  <c r="B62" i="5"/>
  <c r="F62" i="5"/>
  <c r="G62" i="5"/>
  <c r="H62" i="5"/>
  <c r="I62" i="5"/>
  <c r="J62" i="5"/>
  <c r="B63" i="5"/>
  <c r="E63" i="5"/>
  <c r="F63" i="5"/>
  <c r="G63" i="5"/>
  <c r="H63" i="5"/>
  <c r="I63" i="5"/>
  <c r="J63" i="5"/>
  <c r="B64" i="5"/>
  <c r="C64" i="5" s="1"/>
  <c r="I64" i="5"/>
  <c r="J64" i="5"/>
  <c r="B65" i="5"/>
  <c r="C65" i="5"/>
  <c r="D65" i="5"/>
  <c r="E65" i="5"/>
  <c r="F65" i="5"/>
  <c r="I65" i="5"/>
  <c r="J65" i="5"/>
  <c r="B66" i="5"/>
  <c r="G66" i="5"/>
  <c r="I66" i="5"/>
  <c r="J66" i="5"/>
  <c r="B67" i="5"/>
  <c r="C67" i="5"/>
  <c r="D67" i="5"/>
  <c r="E67" i="5"/>
  <c r="F67" i="5"/>
  <c r="G67" i="5"/>
  <c r="H67" i="5"/>
  <c r="I67" i="5"/>
  <c r="J67" i="5"/>
  <c r="B68" i="5"/>
  <c r="I68" i="5"/>
  <c r="J68" i="5"/>
  <c r="B69" i="5"/>
  <c r="F69" i="5"/>
  <c r="G69" i="5"/>
  <c r="H69" i="5"/>
  <c r="I69" i="5"/>
  <c r="J69" i="5"/>
  <c r="B70" i="5"/>
  <c r="I70" i="5"/>
  <c r="J70" i="5"/>
  <c r="B71" i="5"/>
  <c r="C71" i="5"/>
  <c r="G71" i="5"/>
  <c r="H71" i="5"/>
  <c r="I71" i="5"/>
  <c r="J71" i="5"/>
  <c r="B72" i="5"/>
  <c r="C72" i="5"/>
  <c r="D72" i="5"/>
  <c r="F72" i="5"/>
  <c r="G72" i="5"/>
  <c r="I72" i="5"/>
  <c r="J72" i="5"/>
  <c r="B73" i="5"/>
  <c r="C73" i="5" s="1"/>
  <c r="D73" i="5"/>
  <c r="E73" i="5"/>
  <c r="F73" i="5"/>
  <c r="G73" i="5"/>
  <c r="H73" i="5"/>
  <c r="I73" i="5"/>
  <c r="J73" i="5"/>
  <c r="B74" i="5"/>
  <c r="C74" i="5" s="1"/>
  <c r="D74" i="5"/>
  <c r="E74" i="5"/>
  <c r="F74" i="5"/>
  <c r="G74" i="5"/>
  <c r="H74" i="5"/>
  <c r="I74" i="5"/>
  <c r="J74" i="5"/>
  <c r="B75" i="5"/>
  <c r="C75" i="5" s="1"/>
  <c r="I75" i="5"/>
  <c r="J75" i="5"/>
  <c r="B76" i="5"/>
  <c r="C76" i="5"/>
  <c r="D76" i="5"/>
  <c r="E76" i="5"/>
  <c r="I76" i="5"/>
  <c r="J76" i="5"/>
  <c r="B77" i="5"/>
  <c r="D77" i="5" s="1"/>
  <c r="C77" i="5"/>
  <c r="E77" i="5"/>
  <c r="F77" i="5"/>
  <c r="G77" i="5"/>
  <c r="H77" i="5"/>
  <c r="I77" i="5"/>
  <c r="J77" i="5"/>
  <c r="B78" i="5"/>
  <c r="C78" i="5"/>
  <c r="D78" i="5"/>
  <c r="E78" i="5"/>
  <c r="F78" i="5"/>
  <c r="G78" i="5"/>
  <c r="H78" i="5"/>
  <c r="I78" i="5"/>
  <c r="J78" i="5"/>
  <c r="B79" i="5"/>
  <c r="E79" i="5" s="1"/>
  <c r="F79" i="5"/>
  <c r="G79" i="5"/>
  <c r="H79" i="5"/>
  <c r="I79" i="5"/>
  <c r="J79" i="5"/>
  <c r="B80" i="5"/>
  <c r="C80" i="5"/>
  <c r="D80" i="5"/>
  <c r="G80" i="5"/>
  <c r="I80" i="5"/>
  <c r="J80" i="5"/>
  <c r="B81" i="5"/>
  <c r="C81" i="5"/>
  <c r="D81" i="5"/>
  <c r="F81" i="5"/>
  <c r="I81" i="5"/>
  <c r="J81" i="5"/>
  <c r="B82" i="5"/>
  <c r="C82" i="5"/>
  <c r="D82" i="5"/>
  <c r="E82" i="5"/>
  <c r="F82" i="5"/>
  <c r="G82" i="5"/>
  <c r="H82" i="5"/>
  <c r="I82" i="5"/>
  <c r="J82" i="5"/>
  <c r="B83" i="5"/>
  <c r="C83" i="5" s="1"/>
  <c r="D83" i="5"/>
  <c r="G83" i="5"/>
  <c r="H83" i="5"/>
  <c r="I83" i="5"/>
  <c r="J83" i="5"/>
  <c r="B84" i="5"/>
  <c r="C84" i="5" s="1"/>
  <c r="I84" i="5"/>
  <c r="J84" i="5"/>
  <c r="B85" i="5"/>
  <c r="C85" i="5" s="1"/>
  <c r="D85" i="5"/>
  <c r="E85" i="5"/>
  <c r="F85" i="5"/>
  <c r="G85" i="5"/>
  <c r="I85" i="5"/>
  <c r="J85" i="5"/>
  <c r="A1" i="4"/>
  <c r="P2" i="4"/>
  <c r="M4" i="4"/>
  <c r="AI4" i="4"/>
  <c r="J5" i="4"/>
  <c r="J6" i="4"/>
  <c r="B10" i="4"/>
  <c r="F10" i="4"/>
  <c r="G10" i="4"/>
  <c r="H10" i="4"/>
  <c r="I10" i="4"/>
  <c r="J10" i="4"/>
  <c r="B11" i="4"/>
  <c r="C11" i="4"/>
  <c r="D11" i="4"/>
  <c r="E11" i="4"/>
  <c r="F11" i="4"/>
  <c r="G11" i="4"/>
  <c r="H11" i="4"/>
  <c r="I11" i="4"/>
  <c r="J11" i="4"/>
  <c r="B12" i="4"/>
  <c r="E12" i="4"/>
  <c r="F12" i="4"/>
  <c r="G12" i="4"/>
  <c r="H12" i="4"/>
  <c r="I12" i="4"/>
  <c r="J12" i="4"/>
  <c r="B13" i="4"/>
  <c r="I13" i="4"/>
  <c r="J13" i="4"/>
  <c r="B14" i="4"/>
  <c r="D14" i="4"/>
  <c r="F14" i="4"/>
  <c r="G14" i="4"/>
  <c r="H14" i="4"/>
  <c r="I14" i="4"/>
  <c r="J14" i="4"/>
  <c r="B15" i="4"/>
  <c r="E15" i="4"/>
  <c r="F15" i="4"/>
  <c r="G15" i="4"/>
  <c r="H15" i="4"/>
  <c r="I15" i="4"/>
  <c r="J15" i="4"/>
  <c r="B16" i="4"/>
  <c r="C16" i="4" s="1"/>
  <c r="I16" i="4"/>
  <c r="J16" i="4"/>
  <c r="B17" i="4"/>
  <c r="C17" i="4"/>
  <c r="D17" i="4"/>
  <c r="E17" i="4"/>
  <c r="F17" i="4"/>
  <c r="H17" i="4"/>
  <c r="I17" i="4"/>
  <c r="J17" i="4"/>
  <c r="B18" i="4"/>
  <c r="G18" i="4"/>
  <c r="I18" i="4"/>
  <c r="J18" i="4"/>
  <c r="B19" i="4"/>
  <c r="C19" i="4"/>
  <c r="D19" i="4"/>
  <c r="I19" i="4"/>
  <c r="J19" i="4"/>
  <c r="B20" i="4"/>
  <c r="E20" i="4"/>
  <c r="F20" i="4"/>
  <c r="G20" i="4"/>
  <c r="H20" i="4"/>
  <c r="I20" i="4"/>
  <c r="J20" i="4"/>
  <c r="B21" i="4"/>
  <c r="C21" i="4"/>
  <c r="D21" i="4"/>
  <c r="I21" i="4"/>
  <c r="J21" i="4"/>
  <c r="B22" i="4"/>
  <c r="C22" i="4"/>
  <c r="D22" i="4"/>
  <c r="E22" i="4"/>
  <c r="F22" i="4"/>
  <c r="G22" i="4"/>
  <c r="H22" i="4"/>
  <c r="I22" i="4"/>
  <c r="J22" i="4"/>
  <c r="B23" i="4"/>
  <c r="E23" i="4"/>
  <c r="F23" i="4"/>
  <c r="G23" i="4"/>
  <c r="H23" i="4"/>
  <c r="I23" i="4"/>
  <c r="J23" i="4"/>
  <c r="B24" i="4"/>
  <c r="F24" i="4" s="1"/>
  <c r="C24" i="4"/>
  <c r="D24" i="4"/>
  <c r="E24" i="4"/>
  <c r="G24" i="4"/>
  <c r="H24" i="4"/>
  <c r="I24" i="4"/>
  <c r="J24" i="4"/>
  <c r="B25" i="4"/>
  <c r="D25" i="4" s="1"/>
  <c r="C25" i="4"/>
  <c r="I25" i="4"/>
  <c r="J25" i="4"/>
  <c r="B26" i="4"/>
  <c r="I26" i="4"/>
  <c r="J26" i="4"/>
  <c r="B27" i="4"/>
  <c r="C27" i="4" s="1"/>
  <c r="D27" i="4"/>
  <c r="E27" i="4"/>
  <c r="F27" i="4"/>
  <c r="G27" i="4"/>
  <c r="H27" i="4"/>
  <c r="I27" i="4"/>
  <c r="J27" i="4"/>
  <c r="B28" i="4"/>
  <c r="H28" i="4"/>
  <c r="I28" i="4"/>
  <c r="J28" i="4"/>
  <c r="B29" i="4"/>
  <c r="E29" i="4"/>
  <c r="F29" i="4"/>
  <c r="G29" i="4"/>
  <c r="H29" i="4"/>
  <c r="I29" i="4"/>
  <c r="J29" i="4"/>
  <c r="B30" i="4"/>
  <c r="D30" i="4" s="1"/>
  <c r="C30" i="4"/>
  <c r="E30" i="4"/>
  <c r="F30" i="4"/>
  <c r="I30" i="4"/>
  <c r="J30" i="4"/>
  <c r="B31" i="4"/>
  <c r="C31" i="4" s="1"/>
  <c r="D31" i="4"/>
  <c r="E31" i="4"/>
  <c r="F31" i="4"/>
  <c r="G31" i="4"/>
  <c r="H31" i="4"/>
  <c r="I31" i="4"/>
  <c r="J31" i="4"/>
  <c r="B32" i="4"/>
  <c r="C32" i="4" s="1"/>
  <c r="D32" i="4"/>
  <c r="I32" i="4"/>
  <c r="J32" i="4"/>
  <c r="B33" i="4"/>
  <c r="D33" i="4"/>
  <c r="I33" i="4"/>
  <c r="J33" i="4"/>
  <c r="B34" i="4"/>
  <c r="G34" i="4" s="1"/>
  <c r="C34" i="4"/>
  <c r="D34" i="4"/>
  <c r="E34" i="4"/>
  <c r="F34" i="4"/>
  <c r="H34" i="4"/>
  <c r="I34" i="4"/>
  <c r="J34" i="4"/>
  <c r="B35" i="4"/>
  <c r="E35" i="4"/>
  <c r="F35" i="4"/>
  <c r="G35" i="4"/>
  <c r="H35" i="4"/>
  <c r="I35" i="4"/>
  <c r="J35" i="4"/>
  <c r="B36" i="4"/>
  <c r="E36" i="4"/>
  <c r="F36" i="4"/>
  <c r="G36" i="4"/>
  <c r="I36" i="4"/>
  <c r="J36" i="4"/>
  <c r="B37" i="4"/>
  <c r="E37" i="4"/>
  <c r="F37" i="4"/>
  <c r="G37" i="4"/>
  <c r="H37" i="4"/>
  <c r="I37" i="4"/>
  <c r="J37" i="4"/>
  <c r="B38" i="4"/>
  <c r="F38" i="4"/>
  <c r="G38" i="4"/>
  <c r="H38" i="4"/>
  <c r="I38" i="4"/>
  <c r="J38" i="4"/>
  <c r="B39" i="4"/>
  <c r="C39" i="4"/>
  <c r="E39" i="4"/>
  <c r="F39" i="4"/>
  <c r="G39" i="4"/>
  <c r="I39" i="4"/>
  <c r="J39" i="4"/>
  <c r="B40" i="4"/>
  <c r="C40" i="4"/>
  <c r="D40" i="4"/>
  <c r="E40" i="4"/>
  <c r="G40" i="4"/>
  <c r="H40" i="4"/>
  <c r="I40" i="4"/>
  <c r="J40" i="4"/>
  <c r="B41" i="4"/>
  <c r="I41" i="4"/>
  <c r="J41" i="4"/>
  <c r="B42" i="4"/>
  <c r="E42" i="4"/>
  <c r="F42" i="4"/>
  <c r="G42" i="4"/>
  <c r="H42" i="4"/>
  <c r="I42" i="4"/>
  <c r="J42" i="4"/>
  <c r="B43" i="4"/>
  <c r="D43" i="4"/>
  <c r="E43" i="4"/>
  <c r="F43" i="4"/>
  <c r="H43" i="4"/>
  <c r="I43" i="4"/>
  <c r="J43" i="4"/>
  <c r="B44" i="4"/>
  <c r="C44" i="4" s="1"/>
  <c r="D44" i="4"/>
  <c r="E44" i="4"/>
  <c r="F44" i="4"/>
  <c r="I44" i="4"/>
  <c r="J44" i="4"/>
  <c r="B45" i="4"/>
  <c r="C45" i="4" s="1"/>
  <c r="D45" i="4"/>
  <c r="E45" i="4"/>
  <c r="F45" i="4"/>
  <c r="I45" i="4"/>
  <c r="J45" i="4"/>
  <c r="B46" i="4"/>
  <c r="C46" i="4"/>
  <c r="D46" i="4"/>
  <c r="E46" i="4"/>
  <c r="F46" i="4"/>
  <c r="G46" i="4"/>
  <c r="H46" i="4"/>
  <c r="I46" i="4"/>
  <c r="J46" i="4"/>
  <c r="B47" i="4"/>
  <c r="D47" i="4" s="1"/>
  <c r="E47" i="4"/>
  <c r="H47" i="4"/>
  <c r="I47" i="4"/>
  <c r="J47" i="4"/>
  <c r="B48" i="4"/>
  <c r="C48" i="4"/>
  <c r="I48" i="4"/>
  <c r="J48" i="4"/>
  <c r="B49" i="4"/>
  <c r="C49" i="4"/>
  <c r="F49" i="4"/>
  <c r="H49" i="4"/>
  <c r="I49" i="4"/>
  <c r="J49" i="4"/>
  <c r="B50" i="4"/>
  <c r="C50" i="4"/>
  <c r="D50" i="4"/>
  <c r="E50" i="4"/>
  <c r="F50" i="4"/>
  <c r="G50" i="4"/>
  <c r="H50" i="4"/>
  <c r="I50" i="4"/>
  <c r="J50" i="4"/>
  <c r="B51" i="4"/>
  <c r="D51" i="4"/>
  <c r="F51" i="4"/>
  <c r="G51" i="4"/>
  <c r="H51" i="4"/>
  <c r="I51" i="4"/>
  <c r="J51" i="4"/>
  <c r="B52" i="4"/>
  <c r="D52" i="4" s="1"/>
  <c r="C52" i="4"/>
  <c r="G52" i="4"/>
  <c r="H52" i="4"/>
  <c r="I52" i="4"/>
  <c r="J52" i="4"/>
  <c r="B53" i="4"/>
  <c r="C53" i="4"/>
  <c r="G53" i="4"/>
  <c r="H53" i="4"/>
  <c r="I53" i="4"/>
  <c r="J53" i="4"/>
  <c r="B54" i="4"/>
  <c r="F54" i="4"/>
  <c r="G54" i="4"/>
  <c r="H54" i="4"/>
  <c r="I54" i="4"/>
  <c r="J54" i="4"/>
  <c r="B55" i="4"/>
  <c r="F55" i="4"/>
  <c r="G55" i="4"/>
  <c r="H55" i="4"/>
  <c r="I55" i="4"/>
  <c r="J55" i="4"/>
  <c r="B56" i="4"/>
  <c r="C56" i="4" s="1"/>
  <c r="D56" i="4"/>
  <c r="E56" i="4"/>
  <c r="I56" i="4"/>
  <c r="J56" i="4"/>
  <c r="B57" i="4"/>
  <c r="F57" i="4"/>
  <c r="G57" i="4"/>
  <c r="I57" i="4"/>
  <c r="J57" i="4"/>
  <c r="B58" i="4"/>
  <c r="H58" i="4" s="1"/>
  <c r="C58" i="4"/>
  <c r="D58" i="4"/>
  <c r="E58" i="4"/>
  <c r="F58" i="4"/>
  <c r="G58" i="4"/>
  <c r="I58" i="4"/>
  <c r="J58" i="4"/>
  <c r="B59" i="4"/>
  <c r="C59" i="4" s="1"/>
  <c r="D59" i="4"/>
  <c r="E59" i="4"/>
  <c r="F59" i="4"/>
  <c r="G59" i="4"/>
  <c r="H59" i="4"/>
  <c r="I59" i="4"/>
  <c r="J59" i="4"/>
  <c r="B60" i="4"/>
  <c r="C60" i="4" s="1"/>
  <c r="G60" i="4"/>
  <c r="H60" i="4"/>
  <c r="I60" i="4"/>
  <c r="J60" i="4"/>
  <c r="B61" i="4"/>
  <c r="C61" i="4" s="1"/>
  <c r="D61" i="4"/>
  <c r="E61" i="4"/>
  <c r="I61" i="4"/>
  <c r="J61" i="4"/>
  <c r="B62" i="4"/>
  <c r="C62" i="4"/>
  <c r="D62" i="4"/>
  <c r="E62" i="4"/>
  <c r="F62" i="4"/>
  <c r="G62" i="4"/>
  <c r="H62" i="4"/>
  <c r="I62" i="4"/>
  <c r="J62" i="4"/>
  <c r="B63" i="4"/>
  <c r="D63" i="4"/>
  <c r="E63" i="4"/>
  <c r="F63" i="4"/>
  <c r="I63" i="4"/>
  <c r="J63" i="4"/>
  <c r="B64" i="4"/>
  <c r="C64" i="4" s="1"/>
  <c r="G64" i="4"/>
  <c r="H64" i="4"/>
  <c r="I64" i="4"/>
  <c r="J64" i="4"/>
  <c r="B65" i="4"/>
  <c r="E65" i="4"/>
  <c r="F65" i="4"/>
  <c r="H65" i="4"/>
  <c r="I65" i="4"/>
  <c r="J65" i="4"/>
  <c r="B66" i="4"/>
  <c r="I66" i="4"/>
  <c r="J66" i="4"/>
  <c r="B67" i="4"/>
  <c r="G67" i="4" s="1"/>
  <c r="I67" i="4"/>
  <c r="J67" i="4"/>
  <c r="B68" i="4"/>
  <c r="I68" i="4"/>
  <c r="J68" i="4"/>
  <c r="B69" i="4"/>
  <c r="H69" i="4" s="1"/>
  <c r="C69" i="4"/>
  <c r="D69" i="4"/>
  <c r="E69" i="4"/>
  <c r="F69" i="4"/>
  <c r="G69" i="4"/>
  <c r="I69" i="4"/>
  <c r="J69" i="4"/>
  <c r="B70" i="4"/>
  <c r="E70" i="4"/>
  <c r="F70" i="4"/>
  <c r="G70" i="4"/>
  <c r="H70" i="4"/>
  <c r="I70" i="4"/>
  <c r="J70" i="4"/>
  <c r="B71" i="4"/>
  <c r="C71" i="4" s="1"/>
  <c r="E71" i="4"/>
  <c r="F71" i="4"/>
  <c r="G71" i="4"/>
  <c r="I71" i="4"/>
  <c r="J71" i="4"/>
  <c r="B72" i="4"/>
  <c r="F72" i="4" s="1"/>
  <c r="C72" i="4"/>
  <c r="D72" i="4"/>
  <c r="E72" i="4"/>
  <c r="G72" i="4"/>
  <c r="H72" i="4"/>
  <c r="I72" i="4"/>
  <c r="J72" i="4"/>
  <c r="B73" i="4"/>
  <c r="C73" i="4" s="1"/>
  <c r="D73" i="4"/>
  <c r="G73" i="4"/>
  <c r="I73" i="4"/>
  <c r="J73" i="4"/>
  <c r="B74" i="4"/>
  <c r="I74" i="4"/>
  <c r="J74" i="4"/>
  <c r="B75" i="4"/>
  <c r="C75" i="4"/>
  <c r="D75" i="4"/>
  <c r="E75" i="4"/>
  <c r="F75" i="4"/>
  <c r="G75" i="4"/>
  <c r="H75" i="4"/>
  <c r="I75" i="4"/>
  <c r="J75" i="4"/>
  <c r="B76" i="4"/>
  <c r="C76" i="4"/>
  <c r="F76" i="4"/>
  <c r="G76" i="4"/>
  <c r="I76" i="4"/>
  <c r="J76" i="4"/>
  <c r="B77" i="4"/>
  <c r="I77" i="4"/>
  <c r="J77" i="4"/>
  <c r="B78" i="4"/>
  <c r="C78" i="4" s="1"/>
  <c r="I78" i="4"/>
  <c r="J78" i="4"/>
  <c r="B79" i="4"/>
  <c r="D79" i="4"/>
  <c r="E79" i="4"/>
  <c r="F79" i="4"/>
  <c r="H79" i="4"/>
  <c r="I79" i="4"/>
  <c r="J79" i="4"/>
  <c r="B80" i="4"/>
  <c r="C80" i="4" s="1"/>
  <c r="D80" i="4"/>
  <c r="F80" i="4"/>
  <c r="G80" i="4"/>
  <c r="H80" i="4"/>
  <c r="I80" i="4"/>
  <c r="J80" i="4"/>
  <c r="B81" i="4"/>
  <c r="E81" i="4"/>
  <c r="F81" i="4"/>
  <c r="H81" i="4"/>
  <c r="I81" i="4"/>
  <c r="J81" i="4"/>
  <c r="B82" i="4"/>
  <c r="C82" i="4"/>
  <c r="D82" i="4"/>
  <c r="E82" i="4"/>
  <c r="F82" i="4"/>
  <c r="I82" i="4"/>
  <c r="J82" i="4"/>
  <c r="B83" i="4"/>
  <c r="C83" i="4"/>
  <c r="D83" i="4"/>
  <c r="E83" i="4"/>
  <c r="F83" i="4"/>
  <c r="G83" i="4"/>
  <c r="H83" i="4"/>
  <c r="I83" i="4"/>
  <c r="J83" i="4"/>
  <c r="B84" i="4"/>
  <c r="F84" i="4"/>
  <c r="G84" i="4"/>
  <c r="H84" i="4"/>
  <c r="I84" i="4"/>
  <c r="J84" i="4"/>
  <c r="B85" i="4"/>
  <c r="D85" i="4"/>
  <c r="E85" i="4"/>
  <c r="F85" i="4"/>
  <c r="G85" i="4"/>
  <c r="H85" i="4"/>
  <c r="I85" i="4"/>
  <c r="J85" i="4"/>
  <c r="AI5" i="4"/>
  <c r="A1" i="3"/>
  <c r="P2" i="3"/>
  <c r="M4" i="3"/>
  <c r="AI4" i="3"/>
  <c r="J5" i="3"/>
  <c r="J6" i="3"/>
  <c r="B10" i="3"/>
  <c r="D10" i="3" s="1"/>
  <c r="C10" i="3"/>
  <c r="E10" i="3"/>
  <c r="I10" i="3"/>
  <c r="J10" i="3"/>
  <c r="B11" i="3"/>
  <c r="H11" i="3" s="1"/>
  <c r="D11" i="3"/>
  <c r="E11" i="3"/>
  <c r="F11" i="3"/>
  <c r="G11" i="3"/>
  <c r="I11" i="3"/>
  <c r="J11" i="3"/>
  <c r="B12" i="3"/>
  <c r="E12" i="3"/>
  <c r="G12" i="3"/>
  <c r="H12" i="3"/>
  <c r="I12" i="3"/>
  <c r="J12" i="3"/>
  <c r="B13" i="3"/>
  <c r="C13" i="3"/>
  <c r="D13" i="3"/>
  <c r="E13" i="3"/>
  <c r="F13" i="3"/>
  <c r="G13" i="3"/>
  <c r="H13" i="3"/>
  <c r="I13" i="3"/>
  <c r="J13" i="3"/>
  <c r="B14" i="3"/>
  <c r="E14" i="3"/>
  <c r="F14" i="3"/>
  <c r="G14" i="3"/>
  <c r="H14" i="3"/>
  <c r="I14" i="3"/>
  <c r="J14" i="3"/>
  <c r="B15" i="3"/>
  <c r="D15" i="3" s="1"/>
  <c r="E15" i="3"/>
  <c r="F15" i="3"/>
  <c r="G15" i="3"/>
  <c r="H15" i="3"/>
  <c r="I15" i="3"/>
  <c r="J15" i="3"/>
  <c r="B16" i="3"/>
  <c r="C16" i="3" s="1"/>
  <c r="D16" i="3"/>
  <c r="H16" i="3"/>
  <c r="I16" i="3"/>
  <c r="J16" i="3"/>
  <c r="B17" i="3"/>
  <c r="C17" i="3"/>
  <c r="G17" i="3"/>
  <c r="I17" i="3"/>
  <c r="J17" i="3"/>
  <c r="B18" i="3"/>
  <c r="I18" i="3"/>
  <c r="J18" i="3"/>
  <c r="B19" i="3"/>
  <c r="C19" i="3" s="1"/>
  <c r="I19" i="3"/>
  <c r="J19" i="3"/>
  <c r="B20" i="3"/>
  <c r="I20" i="3"/>
  <c r="J20" i="3"/>
  <c r="B21" i="3"/>
  <c r="C21" i="3"/>
  <c r="I21" i="3"/>
  <c r="J21" i="3"/>
  <c r="B22" i="3"/>
  <c r="C22" i="3"/>
  <c r="D22" i="3"/>
  <c r="E22" i="3"/>
  <c r="F22" i="3"/>
  <c r="G22" i="3"/>
  <c r="H22" i="3"/>
  <c r="I22" i="3"/>
  <c r="J22" i="3"/>
  <c r="B23" i="3"/>
  <c r="I23" i="3"/>
  <c r="J23" i="3"/>
  <c r="B24" i="3"/>
  <c r="F24" i="3"/>
  <c r="G24" i="3"/>
  <c r="H24" i="3"/>
  <c r="I24" i="3"/>
  <c r="J24" i="3"/>
  <c r="B25" i="3"/>
  <c r="I25" i="3"/>
  <c r="J25" i="3"/>
  <c r="B26" i="3"/>
  <c r="I26" i="3"/>
  <c r="J26" i="3"/>
  <c r="B27" i="3"/>
  <c r="H27" i="3" s="1"/>
  <c r="C27" i="3"/>
  <c r="D27" i="3"/>
  <c r="E27" i="3"/>
  <c r="F27" i="3"/>
  <c r="G27" i="3"/>
  <c r="I27" i="3"/>
  <c r="J27" i="3"/>
  <c r="B28" i="3"/>
  <c r="I28" i="3"/>
  <c r="J28" i="3"/>
  <c r="B29" i="3"/>
  <c r="C29" i="3"/>
  <c r="D29" i="3"/>
  <c r="E29" i="3"/>
  <c r="F29" i="3"/>
  <c r="G29" i="3"/>
  <c r="H29" i="3"/>
  <c r="I29" i="3"/>
  <c r="J29" i="3"/>
  <c r="B30" i="3"/>
  <c r="C30" i="3" s="1"/>
  <c r="D30" i="3"/>
  <c r="E30" i="3"/>
  <c r="F30" i="3"/>
  <c r="G30" i="3"/>
  <c r="H30" i="3"/>
  <c r="I30" i="3"/>
  <c r="J30" i="3"/>
  <c r="B31" i="3"/>
  <c r="C31" i="3"/>
  <c r="E31" i="3"/>
  <c r="F31" i="3"/>
  <c r="G31" i="3"/>
  <c r="I31" i="3"/>
  <c r="J31" i="3"/>
  <c r="B32" i="3"/>
  <c r="G32" i="3"/>
  <c r="H32" i="3"/>
  <c r="I32" i="3"/>
  <c r="J32" i="3"/>
  <c r="B33" i="3"/>
  <c r="F33" i="3"/>
  <c r="G33" i="3"/>
  <c r="I33" i="3"/>
  <c r="J33" i="3"/>
  <c r="B34" i="3"/>
  <c r="I34" i="3"/>
  <c r="J34" i="3"/>
  <c r="B35" i="3"/>
  <c r="E35" i="3"/>
  <c r="F35" i="3"/>
  <c r="G35" i="3"/>
  <c r="H35" i="3"/>
  <c r="I35" i="3"/>
  <c r="J35" i="3"/>
  <c r="B36" i="3"/>
  <c r="C36" i="3"/>
  <c r="D36" i="3"/>
  <c r="E36" i="3"/>
  <c r="I36" i="3"/>
  <c r="J36" i="3"/>
  <c r="B37" i="3"/>
  <c r="G37" i="3"/>
  <c r="I37" i="3"/>
  <c r="J37" i="3"/>
  <c r="B38" i="3"/>
  <c r="E38" i="3"/>
  <c r="F38" i="3"/>
  <c r="G38" i="3"/>
  <c r="H38" i="3"/>
  <c r="I38" i="3"/>
  <c r="J38" i="3"/>
  <c r="B39" i="3"/>
  <c r="I39" i="3"/>
  <c r="J39" i="3"/>
  <c r="B40" i="3"/>
  <c r="D40" i="3"/>
  <c r="F40" i="3"/>
  <c r="G40" i="3"/>
  <c r="H40" i="3"/>
  <c r="I40" i="3"/>
  <c r="J40" i="3"/>
  <c r="B41" i="3"/>
  <c r="H41" i="3"/>
  <c r="I41" i="3"/>
  <c r="J41" i="3"/>
  <c r="B42" i="3"/>
  <c r="F42" i="3" s="1"/>
  <c r="C42" i="3"/>
  <c r="E42" i="3"/>
  <c r="G42" i="3"/>
  <c r="H42" i="3"/>
  <c r="I42" i="3"/>
  <c r="J42" i="3"/>
  <c r="B43" i="3"/>
  <c r="F43" i="3"/>
  <c r="G43" i="3"/>
  <c r="I43" i="3"/>
  <c r="J43" i="3"/>
  <c r="B44" i="3"/>
  <c r="C44" i="3"/>
  <c r="E44" i="3"/>
  <c r="H44" i="3"/>
  <c r="I44" i="3"/>
  <c r="J44" i="3"/>
  <c r="B45" i="3"/>
  <c r="G45" i="3"/>
  <c r="I45" i="3"/>
  <c r="J45" i="3"/>
  <c r="B46" i="3"/>
  <c r="C46" i="3" s="1"/>
  <c r="D46" i="3"/>
  <c r="E46" i="3"/>
  <c r="F46" i="3"/>
  <c r="G46" i="3"/>
  <c r="H46" i="3"/>
  <c r="I46" i="3"/>
  <c r="J46" i="3"/>
  <c r="B47" i="3"/>
  <c r="I47" i="3"/>
  <c r="J47" i="3"/>
  <c r="B48" i="3"/>
  <c r="I48" i="3"/>
  <c r="J48" i="3"/>
  <c r="B49" i="3"/>
  <c r="I49" i="3"/>
  <c r="J49" i="3"/>
  <c r="B50" i="3"/>
  <c r="C50" i="3" s="1"/>
  <c r="D50" i="3"/>
  <c r="E50" i="3"/>
  <c r="F50" i="3"/>
  <c r="G50" i="3"/>
  <c r="H50" i="3"/>
  <c r="I50" i="3"/>
  <c r="J50" i="3"/>
  <c r="B51" i="3"/>
  <c r="F51" i="3"/>
  <c r="G51" i="3"/>
  <c r="H51" i="3"/>
  <c r="I51" i="3"/>
  <c r="J51" i="3"/>
  <c r="B52" i="3"/>
  <c r="I52" i="3"/>
  <c r="J52" i="3"/>
  <c r="B53" i="3"/>
  <c r="C53" i="3" s="1"/>
  <c r="D53" i="3"/>
  <c r="E53" i="3"/>
  <c r="F53" i="3"/>
  <c r="G53" i="3"/>
  <c r="H53" i="3"/>
  <c r="I53" i="3"/>
  <c r="J53" i="3"/>
  <c r="B54" i="3"/>
  <c r="E54" i="3"/>
  <c r="F54" i="3"/>
  <c r="G54" i="3"/>
  <c r="I54" i="3"/>
  <c r="J54" i="3"/>
  <c r="B55" i="3"/>
  <c r="D55" i="3"/>
  <c r="E55" i="3"/>
  <c r="F55" i="3"/>
  <c r="G55" i="3"/>
  <c r="I55" i="3"/>
  <c r="J55" i="3"/>
  <c r="B56" i="3"/>
  <c r="E56" i="3" s="1"/>
  <c r="C56" i="3"/>
  <c r="D56" i="3"/>
  <c r="F56" i="3"/>
  <c r="G56" i="3"/>
  <c r="H56" i="3"/>
  <c r="I56" i="3"/>
  <c r="J56" i="3"/>
  <c r="B57" i="3"/>
  <c r="I57" i="3"/>
  <c r="J57" i="3"/>
  <c r="B58" i="3"/>
  <c r="D58" i="3" s="1"/>
  <c r="I58" i="3"/>
  <c r="J58" i="3"/>
  <c r="B59" i="3"/>
  <c r="C59" i="3"/>
  <c r="D59" i="3"/>
  <c r="E59" i="3"/>
  <c r="F59" i="3"/>
  <c r="I59" i="3"/>
  <c r="J59" i="3"/>
  <c r="B60" i="3"/>
  <c r="F60" i="3"/>
  <c r="I60" i="3"/>
  <c r="J60" i="3"/>
  <c r="B61" i="3"/>
  <c r="H61" i="3" s="1"/>
  <c r="G61" i="3"/>
  <c r="I61" i="3"/>
  <c r="J61" i="3"/>
  <c r="B62" i="3"/>
  <c r="H62" i="3" s="1"/>
  <c r="E62" i="3"/>
  <c r="F62" i="3"/>
  <c r="G62" i="3"/>
  <c r="I62" i="3"/>
  <c r="J62" i="3"/>
  <c r="B63" i="3"/>
  <c r="C63" i="3" s="1"/>
  <c r="I63" i="3"/>
  <c r="J63" i="3"/>
  <c r="B64" i="3"/>
  <c r="C64" i="3"/>
  <c r="D64" i="3"/>
  <c r="E64" i="3"/>
  <c r="F64" i="3"/>
  <c r="G64" i="3"/>
  <c r="H64" i="3"/>
  <c r="I64" i="3"/>
  <c r="J64" i="3"/>
  <c r="B65" i="3"/>
  <c r="E65" i="3"/>
  <c r="F65" i="3"/>
  <c r="G65" i="3"/>
  <c r="H65" i="3"/>
  <c r="I65" i="3"/>
  <c r="J65" i="3"/>
  <c r="B66" i="3"/>
  <c r="C66" i="3" s="1"/>
  <c r="D66" i="3"/>
  <c r="E66" i="3"/>
  <c r="F66" i="3"/>
  <c r="G66" i="3"/>
  <c r="H66" i="3"/>
  <c r="I66" i="3"/>
  <c r="J66" i="3"/>
  <c r="B67" i="3"/>
  <c r="F67" i="3" s="1"/>
  <c r="C67" i="3"/>
  <c r="D67" i="3"/>
  <c r="E67" i="3"/>
  <c r="G67" i="3"/>
  <c r="H67" i="3"/>
  <c r="I67" i="3"/>
  <c r="J67" i="3"/>
  <c r="B68" i="3"/>
  <c r="G68" i="3"/>
  <c r="H68" i="3"/>
  <c r="I68" i="3"/>
  <c r="J68" i="3"/>
  <c r="B69" i="3"/>
  <c r="C69" i="3" s="1"/>
  <c r="E69" i="3"/>
  <c r="F69" i="3"/>
  <c r="G69" i="3"/>
  <c r="I69" i="3"/>
  <c r="J69" i="3"/>
  <c r="B70" i="3"/>
  <c r="G70" i="3" s="1"/>
  <c r="C70" i="3"/>
  <c r="D70" i="3"/>
  <c r="E70" i="3"/>
  <c r="F70" i="3"/>
  <c r="H70" i="3"/>
  <c r="I70" i="3"/>
  <c r="J70" i="3"/>
  <c r="B71" i="3"/>
  <c r="G71" i="3"/>
  <c r="H71" i="3"/>
  <c r="I71" i="3"/>
  <c r="J71" i="3"/>
  <c r="B72" i="3"/>
  <c r="C72" i="3"/>
  <c r="G72" i="3"/>
  <c r="H72" i="3"/>
  <c r="I72" i="3"/>
  <c r="J72" i="3"/>
  <c r="B73" i="3"/>
  <c r="C73" i="3"/>
  <c r="D73" i="3"/>
  <c r="E73" i="3"/>
  <c r="F73" i="3"/>
  <c r="I73" i="3"/>
  <c r="J73" i="3"/>
  <c r="B74" i="3"/>
  <c r="F74" i="3"/>
  <c r="G74" i="3"/>
  <c r="H74" i="3"/>
  <c r="I74" i="3"/>
  <c r="J74" i="3"/>
  <c r="B75" i="3"/>
  <c r="F75" i="3"/>
  <c r="G75" i="3"/>
  <c r="H75" i="3"/>
  <c r="I75" i="3"/>
  <c r="J75" i="3"/>
  <c r="B76" i="3"/>
  <c r="C76" i="3" s="1"/>
  <c r="E76" i="3"/>
  <c r="H76" i="3"/>
  <c r="I76" i="3"/>
  <c r="J76" i="3"/>
  <c r="B77" i="3"/>
  <c r="I77" i="3"/>
  <c r="J77" i="3"/>
  <c r="B78" i="3"/>
  <c r="C78" i="3" s="1"/>
  <c r="D78" i="3"/>
  <c r="E78" i="3"/>
  <c r="I78" i="3"/>
  <c r="J78" i="3"/>
  <c r="B79" i="3"/>
  <c r="I79" i="3"/>
  <c r="J79" i="3"/>
  <c r="B80" i="3"/>
  <c r="C80" i="3"/>
  <c r="D80" i="3"/>
  <c r="E80" i="3"/>
  <c r="F80" i="3"/>
  <c r="G80" i="3"/>
  <c r="H80" i="3"/>
  <c r="I80" i="3"/>
  <c r="J80" i="3"/>
  <c r="B81" i="3"/>
  <c r="C81" i="3" s="1"/>
  <c r="D81" i="3"/>
  <c r="E81" i="3"/>
  <c r="H81" i="3"/>
  <c r="I81" i="3"/>
  <c r="J81" i="3"/>
  <c r="B82" i="3"/>
  <c r="C82" i="3" s="1"/>
  <c r="I82" i="3"/>
  <c r="J82" i="3"/>
  <c r="B83" i="3"/>
  <c r="C83" i="3"/>
  <c r="D83" i="3"/>
  <c r="E83" i="3"/>
  <c r="F83" i="3"/>
  <c r="G83" i="3"/>
  <c r="H83" i="3"/>
  <c r="I83" i="3"/>
  <c r="J83" i="3"/>
  <c r="B84" i="3"/>
  <c r="C84" i="3" s="1"/>
  <c r="F84" i="3"/>
  <c r="G84" i="3"/>
  <c r="I84" i="3"/>
  <c r="J84" i="3"/>
  <c r="B85" i="3"/>
  <c r="D85" i="3"/>
  <c r="E85" i="3"/>
  <c r="F85" i="3"/>
  <c r="G85" i="3"/>
  <c r="I85" i="3"/>
  <c r="J85" i="3"/>
  <c r="AE46" i="55" l="1"/>
  <c r="AD46" i="55"/>
  <c r="AC46" i="55"/>
  <c r="AB46" i="55"/>
  <c r="AA46" i="55"/>
  <c r="Z46" i="55"/>
  <c r="Y46" i="55"/>
  <c r="X46" i="55"/>
  <c r="W46" i="55"/>
  <c r="AE10" i="54"/>
  <c r="AB10" i="54"/>
  <c r="X10" i="54"/>
  <c r="AD10" i="54"/>
  <c r="Z10" i="54"/>
  <c r="W10" i="54"/>
  <c r="AC10" i="54"/>
  <c r="AA10" i="54"/>
  <c r="Y10" i="54"/>
  <c r="AE30" i="47"/>
  <c r="AD30" i="47"/>
  <c r="AC30" i="47"/>
  <c r="AB30" i="47"/>
  <c r="AA30" i="47"/>
  <c r="Z30" i="47"/>
  <c r="Y30" i="47"/>
  <c r="X30" i="47"/>
  <c r="W30" i="47"/>
  <c r="AE31" i="47"/>
  <c r="AD31" i="47"/>
  <c r="AC31" i="47"/>
  <c r="AB31" i="47"/>
  <c r="AA31" i="47"/>
  <c r="Z31" i="47"/>
  <c r="Y31" i="47"/>
  <c r="X31" i="47"/>
  <c r="AE32" i="47"/>
  <c r="AD32" i="47"/>
  <c r="AC32" i="47"/>
  <c r="AB32" i="47"/>
  <c r="AA32" i="47"/>
  <c r="Z32" i="47"/>
  <c r="Y32" i="47"/>
  <c r="X32" i="47"/>
  <c r="AE33" i="47"/>
  <c r="AD33" i="47"/>
  <c r="AC33" i="47"/>
  <c r="AB33" i="47"/>
  <c r="AA33" i="47"/>
  <c r="Z33" i="47"/>
  <c r="Y33" i="47"/>
  <c r="X33" i="47"/>
  <c r="W33" i="47"/>
  <c r="AE34" i="47"/>
  <c r="AD34" i="47"/>
  <c r="AC34" i="47"/>
  <c r="AB34" i="47"/>
  <c r="AA34" i="47"/>
  <c r="Z34" i="47"/>
  <c r="Y34" i="47"/>
  <c r="X34" i="47"/>
  <c r="AE35" i="47"/>
  <c r="AD35" i="47"/>
  <c r="AC35" i="47"/>
  <c r="AB35" i="47"/>
  <c r="AA35" i="47"/>
  <c r="Z35" i="47"/>
  <c r="Y35" i="47"/>
  <c r="X35" i="47"/>
  <c r="AE36" i="47"/>
  <c r="AD36" i="47"/>
  <c r="AC36" i="47"/>
  <c r="AB36" i="47"/>
  <c r="AA36" i="47"/>
  <c r="Z36" i="47"/>
  <c r="Y36" i="47"/>
  <c r="X36" i="47"/>
  <c r="AE37" i="47"/>
  <c r="AD37" i="47"/>
  <c r="AC37" i="47"/>
  <c r="AB37" i="47"/>
  <c r="AA37" i="47"/>
  <c r="Z37" i="47"/>
  <c r="Y37" i="47"/>
  <c r="X37" i="47"/>
  <c r="AE38" i="47"/>
  <c r="AD38" i="47"/>
  <c r="AC38" i="47"/>
  <c r="AB38" i="47"/>
  <c r="AA38" i="47"/>
  <c r="Z38" i="47"/>
  <c r="Y38" i="47"/>
  <c r="X38" i="47"/>
  <c r="AE40" i="47"/>
  <c r="AD40" i="47"/>
  <c r="AC40" i="47"/>
  <c r="AB40" i="47"/>
  <c r="AA40" i="47"/>
  <c r="Z40" i="47"/>
  <c r="Y40" i="47"/>
  <c r="AE41" i="47"/>
  <c r="AD41" i="47"/>
  <c r="AC41" i="47"/>
  <c r="AB41" i="47"/>
  <c r="AA41" i="47"/>
  <c r="Z41" i="47"/>
  <c r="Y41" i="47"/>
  <c r="X41" i="47"/>
  <c r="W41" i="47"/>
  <c r="AE42" i="47"/>
  <c r="AD42" i="47"/>
  <c r="AC42" i="47"/>
  <c r="AB42" i="47"/>
  <c r="AA42" i="47"/>
  <c r="Z42" i="47"/>
  <c r="Y42" i="47"/>
  <c r="X42" i="47"/>
  <c r="AE43" i="47"/>
  <c r="AD43" i="47"/>
  <c r="AC43" i="47"/>
  <c r="AB43" i="47"/>
  <c r="AA43" i="47"/>
  <c r="Z43" i="47"/>
  <c r="Y43" i="47"/>
  <c r="X43" i="47"/>
  <c r="W43" i="47"/>
  <c r="AE44" i="47"/>
  <c r="AD44" i="47"/>
  <c r="AC44" i="47"/>
  <c r="AB44" i="47"/>
  <c r="AA44" i="47"/>
  <c r="Z44" i="47"/>
  <c r="Y44" i="47"/>
  <c r="X44" i="47"/>
  <c r="AE45" i="47"/>
  <c r="AD45" i="47"/>
  <c r="AC45" i="47"/>
  <c r="AB45" i="47"/>
  <c r="AA45" i="47"/>
  <c r="Z45" i="47"/>
  <c r="Y45" i="47"/>
  <c r="X45" i="47"/>
  <c r="AE46" i="47"/>
  <c r="AD46" i="47"/>
  <c r="AC46" i="47"/>
  <c r="AB46" i="47"/>
  <c r="AA46" i="47"/>
  <c r="Z46" i="47"/>
  <c r="Y46" i="47"/>
  <c r="X46" i="47"/>
  <c r="AE47" i="47"/>
  <c r="AD47" i="47"/>
  <c r="AC47" i="47"/>
  <c r="AB47" i="47"/>
  <c r="AA47" i="47"/>
  <c r="Z47" i="47"/>
  <c r="Y47" i="47"/>
  <c r="X47" i="47"/>
  <c r="AE48" i="47"/>
  <c r="AD48" i="47"/>
  <c r="AC48" i="47"/>
  <c r="AB48" i="47"/>
  <c r="AA48" i="47"/>
  <c r="Z48" i="47"/>
  <c r="Y48" i="47"/>
  <c r="X48" i="47"/>
  <c r="W48" i="47"/>
  <c r="W85" i="49"/>
  <c r="W51" i="47"/>
  <c r="W64" i="47"/>
  <c r="W15" i="41"/>
  <c r="W36" i="47"/>
  <c r="W37" i="47"/>
  <c r="AD42" i="53"/>
  <c r="AE42" i="53"/>
  <c r="AA30" i="45"/>
  <c r="X30" i="45"/>
  <c r="Z30" i="45"/>
  <c r="W30" i="45"/>
  <c r="Y30" i="45"/>
  <c r="Y84" i="45"/>
  <c r="W84" i="45"/>
  <c r="X84" i="45"/>
  <c r="Y61" i="45"/>
  <c r="W61" i="45"/>
  <c r="X61" i="45"/>
  <c r="W62" i="45"/>
  <c r="X62" i="45"/>
  <c r="Y62" i="45"/>
  <c r="X68" i="45"/>
  <c r="W68" i="45"/>
  <c r="W71" i="45"/>
  <c r="X71" i="45"/>
  <c r="Y71" i="45"/>
  <c r="X79" i="45"/>
  <c r="W79" i="45"/>
  <c r="Y79" i="45"/>
  <c r="W29" i="46"/>
  <c r="Z29" i="46"/>
  <c r="AC29" i="46"/>
  <c r="AA29" i="46"/>
  <c r="Y29" i="46"/>
  <c r="AE29" i="46"/>
  <c r="AD29" i="46"/>
  <c r="AB29" i="46"/>
  <c r="X29" i="46"/>
  <c r="Z32" i="46"/>
  <c r="AA32" i="46"/>
  <c r="AC32" i="46"/>
  <c r="X32" i="46"/>
  <c r="W32" i="46"/>
  <c r="AB32" i="46"/>
  <c r="AE32" i="46"/>
  <c r="AD32" i="46"/>
  <c r="Y32" i="46"/>
  <c r="AE73" i="53"/>
  <c r="AD73" i="53"/>
  <c r="AC73" i="53"/>
  <c r="AB73" i="53"/>
  <c r="AA73" i="53"/>
  <c r="Z73" i="53"/>
  <c r="Y73" i="53"/>
  <c r="X73" i="53"/>
  <c r="W73" i="53"/>
  <c r="AE74" i="53"/>
  <c r="AD74" i="53"/>
  <c r="AC74" i="53"/>
  <c r="AB74" i="53"/>
  <c r="AA74" i="53"/>
  <c r="Z74" i="53"/>
  <c r="Y74" i="53"/>
  <c r="X74" i="53"/>
  <c r="W74" i="53"/>
  <c r="AE75" i="53"/>
  <c r="AD75" i="53"/>
  <c r="AC75" i="53"/>
  <c r="AB75" i="53"/>
  <c r="AA75" i="53"/>
  <c r="Z75" i="53"/>
  <c r="Y75" i="53"/>
  <c r="X75" i="53"/>
  <c r="W75" i="53"/>
  <c r="AE76" i="53"/>
  <c r="AD76" i="53"/>
  <c r="AC76" i="53"/>
  <c r="AB76" i="53"/>
  <c r="AA76" i="53"/>
  <c r="Z76" i="53"/>
  <c r="Y76" i="53"/>
  <c r="X76" i="53"/>
  <c r="W76" i="53"/>
  <c r="AE77" i="53"/>
  <c r="AD77" i="53"/>
  <c r="AC77" i="53"/>
  <c r="AB77" i="53"/>
  <c r="AA77" i="53"/>
  <c r="Z77" i="53"/>
  <c r="Y77" i="53"/>
  <c r="X77" i="53"/>
  <c r="W77" i="53"/>
  <c r="AE78" i="53"/>
  <c r="AD78" i="53"/>
  <c r="AC78" i="53"/>
  <c r="AB78" i="53"/>
  <c r="AA78" i="53"/>
  <c r="Z78" i="53"/>
  <c r="Y78" i="53"/>
  <c r="X78" i="53"/>
  <c r="W78" i="53"/>
  <c r="AE79" i="53"/>
  <c r="AD79" i="53"/>
  <c r="AC79" i="53"/>
  <c r="AB79" i="53"/>
  <c r="AA79" i="53"/>
  <c r="Z79" i="53"/>
  <c r="Y79" i="53"/>
  <c r="X79" i="53"/>
  <c r="W79" i="53"/>
  <c r="AE80" i="53"/>
  <c r="AD80" i="53"/>
  <c r="AC80" i="53"/>
  <c r="AB80" i="53"/>
  <c r="AA80" i="53"/>
  <c r="Z80" i="53"/>
  <c r="Y80" i="53"/>
  <c r="X80" i="53"/>
  <c r="W80" i="53"/>
  <c r="AE81" i="53"/>
  <c r="AD81" i="53"/>
  <c r="AC81" i="53"/>
  <c r="AB81" i="53"/>
  <c r="AA81" i="53"/>
  <c r="Z81" i="53"/>
  <c r="Y81" i="53"/>
  <c r="X81" i="53"/>
  <c r="W81" i="53"/>
  <c r="AE82" i="53"/>
  <c r="AD82" i="53"/>
  <c r="AC82" i="53"/>
  <c r="AB82" i="53"/>
  <c r="AA82" i="53"/>
  <c r="Z82" i="53"/>
  <c r="Y82" i="53"/>
  <c r="X82" i="53"/>
  <c r="W82" i="53"/>
  <c r="AE83" i="53"/>
  <c r="AD83" i="53"/>
  <c r="AC83" i="53"/>
  <c r="AB83" i="53"/>
  <c r="AA83" i="53"/>
  <c r="Z83" i="53"/>
  <c r="Y83" i="53"/>
  <c r="X83" i="53"/>
  <c r="W83" i="53"/>
  <c r="AE84" i="53"/>
  <c r="AD84" i="53"/>
  <c r="AC84" i="53"/>
  <c r="AB84" i="53"/>
  <c r="AA84" i="53"/>
  <c r="Z84" i="53"/>
  <c r="Y84" i="53"/>
  <c r="X84" i="53"/>
  <c r="AE85" i="53"/>
  <c r="AD85" i="53"/>
  <c r="AC85" i="53"/>
  <c r="AB85" i="53"/>
  <c r="AA85" i="53"/>
  <c r="Z85" i="53"/>
  <c r="Y85" i="53"/>
  <c r="X85" i="53"/>
  <c r="W85" i="53"/>
  <c r="AE50" i="53"/>
  <c r="AD50" i="53"/>
  <c r="AC50" i="53"/>
  <c r="AB50" i="53"/>
  <c r="AA50" i="53"/>
  <c r="Z50" i="53"/>
  <c r="Y50" i="53"/>
  <c r="X50" i="53"/>
  <c r="W50" i="53"/>
  <c r="AE35" i="53"/>
  <c r="AD35" i="53"/>
  <c r="AC35" i="53"/>
  <c r="AB35" i="53"/>
  <c r="AA35" i="53"/>
  <c r="Z35" i="53"/>
  <c r="Y35" i="53"/>
  <c r="X35" i="53"/>
  <c r="W35" i="53"/>
  <c r="AE36" i="53"/>
  <c r="AD36" i="53"/>
  <c r="AC36" i="53"/>
  <c r="AB36" i="53"/>
  <c r="AA36" i="53"/>
  <c r="Z36" i="53"/>
  <c r="Y36" i="53"/>
  <c r="X36" i="53"/>
  <c r="W36" i="53"/>
  <c r="AE37" i="53"/>
  <c r="AD37" i="53"/>
  <c r="AC37" i="53"/>
  <c r="AB37" i="53"/>
  <c r="AA37" i="53"/>
  <c r="Z37" i="53"/>
  <c r="Y37" i="53"/>
  <c r="X37" i="53"/>
  <c r="W37" i="53"/>
  <c r="AE38" i="53"/>
  <c r="AD38" i="53"/>
  <c r="AC38" i="53"/>
  <c r="AB38" i="53"/>
  <c r="AA38" i="53"/>
  <c r="Z38" i="53"/>
  <c r="Y38" i="53"/>
  <c r="X38" i="53"/>
  <c r="W38" i="53"/>
  <c r="AE39" i="53"/>
  <c r="AD39" i="53"/>
  <c r="AC39" i="53"/>
  <c r="AB39" i="53"/>
  <c r="AA39" i="53"/>
  <c r="Z39" i="53"/>
  <c r="Y39" i="53"/>
  <c r="X39" i="53"/>
  <c r="W39" i="53"/>
  <c r="AE40" i="53"/>
  <c r="AD40" i="53"/>
  <c r="AC40" i="53"/>
  <c r="AB40" i="53"/>
  <c r="AA40" i="53"/>
  <c r="Z40" i="53"/>
  <c r="Y40" i="53"/>
  <c r="X40" i="53"/>
  <c r="W40" i="53"/>
  <c r="AE41" i="53"/>
  <c r="AD41" i="53"/>
  <c r="AC41" i="53"/>
  <c r="AB41" i="53"/>
  <c r="AA41" i="53"/>
  <c r="Z41" i="53"/>
  <c r="Y41" i="53"/>
  <c r="X41" i="53"/>
  <c r="W41" i="53"/>
  <c r="AC42" i="53"/>
  <c r="AB42" i="53"/>
  <c r="AA42" i="53"/>
  <c r="Z42" i="53"/>
  <c r="Y42" i="53"/>
  <c r="X42" i="53"/>
  <c r="W42" i="53"/>
  <c r="AE43" i="53"/>
  <c r="AD43" i="53"/>
  <c r="AC43" i="53"/>
  <c r="AB43" i="53"/>
  <c r="AA43" i="53"/>
  <c r="Z43" i="53"/>
  <c r="Y43" i="53"/>
  <c r="X43" i="53"/>
  <c r="W43" i="53"/>
  <c r="AE44" i="53"/>
  <c r="AD44" i="53"/>
  <c r="AC44" i="53"/>
  <c r="AB44" i="53"/>
  <c r="AA44" i="53"/>
  <c r="Z44" i="53"/>
  <c r="Y44" i="53"/>
  <c r="X44" i="53"/>
  <c r="W44" i="53"/>
  <c r="AE45" i="53"/>
  <c r="AD45" i="53"/>
  <c r="AC45" i="53"/>
  <c r="AB45" i="53"/>
  <c r="AA45" i="53"/>
  <c r="Z45" i="53"/>
  <c r="Y45" i="53"/>
  <c r="X45" i="53"/>
  <c r="W45" i="53"/>
  <c r="AE46" i="53"/>
  <c r="AD46" i="53"/>
  <c r="AC46" i="53"/>
  <c r="AB46" i="53"/>
  <c r="AA46" i="53"/>
  <c r="Z46" i="53"/>
  <c r="Y46" i="53"/>
  <c r="X46" i="53"/>
  <c r="W46" i="53"/>
  <c r="AE47" i="53"/>
  <c r="AD47" i="53"/>
  <c r="AC47" i="53"/>
  <c r="AB47" i="53"/>
  <c r="AA47" i="53"/>
  <c r="Z47" i="53"/>
  <c r="Y47" i="53"/>
  <c r="X47" i="53"/>
  <c r="W47" i="53"/>
  <c r="AE48" i="53"/>
  <c r="AD48" i="53"/>
  <c r="AC48" i="53"/>
  <c r="AB48" i="53"/>
  <c r="AA48" i="53"/>
  <c r="Z48" i="53"/>
  <c r="Y48" i="53"/>
  <c r="X48" i="53"/>
  <c r="W48" i="53"/>
  <c r="AE49" i="53"/>
  <c r="AD49" i="53"/>
  <c r="AC49" i="53"/>
  <c r="AB49" i="53"/>
  <c r="AA49" i="53"/>
  <c r="Z49" i="53"/>
  <c r="Y49" i="53"/>
  <c r="X49" i="53"/>
  <c r="W49" i="53"/>
  <c r="AE51" i="53"/>
  <c r="AD51" i="53"/>
  <c r="AC51" i="53"/>
  <c r="AB51" i="53"/>
  <c r="AA51" i="53"/>
  <c r="Z51" i="53"/>
  <c r="Y51" i="53"/>
  <c r="X51" i="53"/>
  <c r="W51" i="53"/>
  <c r="AE52" i="53"/>
  <c r="AD52" i="53"/>
  <c r="AC52" i="53"/>
  <c r="AB52" i="53"/>
  <c r="AA52" i="53"/>
  <c r="Z52" i="53"/>
  <c r="Y52" i="53"/>
  <c r="X52" i="53"/>
  <c r="W52" i="53"/>
  <c r="AE53" i="53"/>
  <c r="AD53" i="53"/>
  <c r="AC53" i="53"/>
  <c r="AB53" i="53"/>
  <c r="AA53" i="53"/>
  <c r="Z53" i="53"/>
  <c r="Y53" i="53"/>
  <c r="X53" i="53"/>
  <c r="W53" i="53"/>
  <c r="AE54" i="53"/>
  <c r="AD54" i="53"/>
  <c r="AC54" i="53"/>
  <c r="AB54" i="53"/>
  <c r="AA54" i="53"/>
  <c r="Z54" i="53"/>
  <c r="Y54" i="53"/>
  <c r="X54" i="53"/>
  <c r="W54" i="53"/>
  <c r="AE55" i="53"/>
  <c r="AD55" i="53"/>
  <c r="AC55" i="53"/>
  <c r="AB55" i="53"/>
  <c r="AA55" i="53"/>
  <c r="Z55" i="53"/>
  <c r="Y55" i="53"/>
  <c r="X55" i="53"/>
  <c r="W55" i="53"/>
  <c r="AE56" i="53"/>
  <c r="AD56" i="53"/>
  <c r="AC56" i="53"/>
  <c r="AB56" i="53"/>
  <c r="AA56" i="53"/>
  <c r="Z56" i="53"/>
  <c r="Y56" i="53"/>
  <c r="X56" i="53"/>
  <c r="W56" i="53"/>
  <c r="AE57" i="53"/>
  <c r="AD57" i="53"/>
  <c r="AC57" i="53"/>
  <c r="AB57" i="53"/>
  <c r="AA57" i="53"/>
  <c r="Z57" i="53"/>
  <c r="Y57" i="53"/>
  <c r="X57" i="53"/>
  <c r="W57" i="53"/>
  <c r="AE58" i="53"/>
  <c r="AD58" i="53"/>
  <c r="AC58" i="53"/>
  <c r="AB58" i="53"/>
  <c r="AA58" i="53"/>
  <c r="Z58" i="53"/>
  <c r="Y58" i="53"/>
  <c r="X58" i="53"/>
  <c r="W58" i="53"/>
  <c r="AE59" i="53"/>
  <c r="AD59" i="53"/>
  <c r="AC59" i="53"/>
  <c r="AB59" i="53"/>
  <c r="AA59" i="53"/>
  <c r="Z59" i="53"/>
  <c r="Y59" i="53"/>
  <c r="X59" i="53"/>
  <c r="W59" i="53"/>
  <c r="AE60" i="53"/>
  <c r="AD60" i="53"/>
  <c r="AC60" i="53"/>
  <c r="AB60" i="53"/>
  <c r="AA60" i="53"/>
  <c r="Z60" i="53"/>
  <c r="Y60" i="53"/>
  <c r="X60" i="53"/>
  <c r="W60" i="53"/>
  <c r="AE61" i="53"/>
  <c r="AD61" i="53"/>
  <c r="AC61" i="53"/>
  <c r="AB61" i="53"/>
  <c r="AA61" i="53"/>
  <c r="Z61" i="53"/>
  <c r="Y61" i="53"/>
  <c r="X61" i="53"/>
  <c r="W61" i="53"/>
  <c r="AE62" i="53"/>
  <c r="AD62" i="53"/>
  <c r="AC62" i="53"/>
  <c r="AB62" i="53"/>
  <c r="AA62" i="53"/>
  <c r="Z62" i="53"/>
  <c r="Y62" i="53"/>
  <c r="X62" i="53"/>
  <c r="W62" i="53"/>
  <c r="AE63" i="53"/>
  <c r="AD63" i="53"/>
  <c r="AC63" i="53"/>
  <c r="AB63" i="53"/>
  <c r="AA63" i="53"/>
  <c r="Z63" i="53"/>
  <c r="Y63" i="53"/>
  <c r="X63" i="53"/>
  <c r="W63" i="53"/>
  <c r="AE64" i="53"/>
  <c r="AD64" i="53"/>
  <c r="AC64" i="53"/>
  <c r="AB64" i="53"/>
  <c r="AA64" i="53"/>
  <c r="Z64" i="53"/>
  <c r="Y64" i="53"/>
  <c r="X64" i="53"/>
  <c r="W64" i="53"/>
  <c r="AE65" i="53"/>
  <c r="AD65" i="53"/>
  <c r="AC65" i="53"/>
  <c r="AB65" i="53"/>
  <c r="AA65" i="53"/>
  <c r="Z65" i="53"/>
  <c r="Y65" i="53"/>
  <c r="X65" i="53"/>
  <c r="W65" i="53"/>
  <c r="AE66" i="53"/>
  <c r="AD66" i="53"/>
  <c r="AC66" i="53"/>
  <c r="AB66" i="53"/>
  <c r="AA66" i="53"/>
  <c r="Z66" i="53"/>
  <c r="Y66" i="53"/>
  <c r="X66" i="53"/>
  <c r="W66" i="53"/>
  <c r="AE67" i="53"/>
  <c r="AD67" i="53"/>
  <c r="AC67" i="53"/>
  <c r="AB67" i="53"/>
  <c r="AA67" i="53"/>
  <c r="Z67" i="53"/>
  <c r="Y67" i="53"/>
  <c r="X67" i="53"/>
  <c r="W67" i="53"/>
  <c r="AE68" i="53"/>
  <c r="AD68" i="53"/>
  <c r="AC68" i="53"/>
  <c r="AB68" i="53"/>
  <c r="AA68" i="53"/>
  <c r="Z68" i="53"/>
  <c r="Y68" i="53"/>
  <c r="X68" i="53"/>
  <c r="W68" i="53"/>
  <c r="AE69" i="53"/>
  <c r="AD69" i="53"/>
  <c r="AC69" i="53"/>
  <c r="AB69" i="53"/>
  <c r="AA69" i="53"/>
  <c r="Z69" i="53"/>
  <c r="Y69" i="53"/>
  <c r="X69" i="53"/>
  <c r="W69" i="53"/>
  <c r="AE70" i="53"/>
  <c r="AD70" i="53"/>
  <c r="AC70" i="53"/>
  <c r="AB70" i="53"/>
  <c r="AA70" i="53"/>
  <c r="Z70" i="53"/>
  <c r="Y70" i="53"/>
  <c r="X70" i="53"/>
  <c r="W70" i="53"/>
  <c r="AE71" i="53"/>
  <c r="AD71" i="53"/>
  <c r="AC71" i="53"/>
  <c r="AB71" i="53"/>
  <c r="AA71" i="53"/>
  <c r="Z71" i="53"/>
  <c r="Y71" i="53"/>
  <c r="X71" i="53"/>
  <c r="W71" i="53"/>
  <c r="AE72" i="53"/>
  <c r="AD72" i="53"/>
  <c r="AC72" i="53"/>
  <c r="AB72" i="53"/>
  <c r="AA72" i="53"/>
  <c r="Z72" i="53"/>
  <c r="Y72" i="53"/>
  <c r="X72" i="53"/>
  <c r="W72" i="53"/>
  <c r="AE10" i="51"/>
  <c r="Y10" i="51"/>
  <c r="AC10" i="51"/>
  <c r="AA10" i="51"/>
  <c r="AB10" i="51"/>
  <c r="AD10" i="51"/>
  <c r="X10" i="51"/>
  <c r="W10" i="51"/>
  <c r="Z10" i="51"/>
  <c r="Z11" i="50"/>
  <c r="AE11" i="50"/>
  <c r="AC11" i="50"/>
  <c r="AA11" i="50"/>
  <c r="X11" i="50"/>
  <c r="AD11" i="50"/>
  <c r="AB11" i="50"/>
  <c r="Y11" i="50"/>
  <c r="AE80" i="49"/>
  <c r="AD80" i="49"/>
  <c r="AC80" i="49"/>
  <c r="AB80" i="49"/>
  <c r="AA80" i="49"/>
  <c r="Z80" i="49"/>
  <c r="Y80" i="49"/>
  <c r="X80" i="49"/>
  <c r="W80" i="49"/>
  <c r="AE81" i="49"/>
  <c r="AD81" i="49"/>
  <c r="AC81" i="49"/>
  <c r="AB81" i="49"/>
  <c r="AA81" i="49"/>
  <c r="Z81" i="49"/>
  <c r="Y81" i="49"/>
  <c r="X81" i="49"/>
  <c r="W81" i="49"/>
  <c r="AE82" i="49"/>
  <c r="AD82" i="49"/>
  <c r="AC82" i="49"/>
  <c r="AB82" i="49"/>
  <c r="AA82" i="49"/>
  <c r="Z82" i="49"/>
  <c r="Y82" i="49"/>
  <c r="X82" i="49"/>
  <c r="AE83" i="49"/>
  <c r="AD83" i="49"/>
  <c r="AC83" i="49"/>
  <c r="AB83" i="49"/>
  <c r="AA83" i="49"/>
  <c r="Z83" i="49"/>
  <c r="Y83" i="49"/>
  <c r="AE84" i="49"/>
  <c r="AD84" i="49"/>
  <c r="AC84" i="49"/>
  <c r="AB84" i="49"/>
  <c r="AA84" i="49"/>
  <c r="Z84" i="49"/>
  <c r="Y84" i="49"/>
  <c r="AE85" i="49"/>
  <c r="AD85" i="49"/>
  <c r="AC85" i="49"/>
  <c r="AB85" i="49"/>
  <c r="AA85" i="49"/>
  <c r="Z85" i="49"/>
  <c r="Y85" i="49"/>
  <c r="X85" i="49"/>
  <c r="AE66" i="49"/>
  <c r="AD66" i="49"/>
  <c r="AC66" i="49"/>
  <c r="AB66" i="49"/>
  <c r="AA66" i="49"/>
  <c r="Z66" i="49"/>
  <c r="Y66" i="49"/>
  <c r="X66" i="49"/>
  <c r="W66" i="49"/>
  <c r="AE67" i="49"/>
  <c r="AD67" i="49"/>
  <c r="AC67" i="49"/>
  <c r="AB67" i="49"/>
  <c r="AA67" i="49"/>
  <c r="Z67" i="49"/>
  <c r="Y67" i="49"/>
  <c r="X67" i="49"/>
  <c r="W67" i="49"/>
  <c r="AE68" i="49"/>
  <c r="AD68" i="49"/>
  <c r="AC68" i="49"/>
  <c r="AB68" i="49"/>
  <c r="AA68" i="49"/>
  <c r="Z68" i="49"/>
  <c r="Y68" i="49"/>
  <c r="X68" i="49"/>
  <c r="AE69" i="49"/>
  <c r="AD69" i="49"/>
  <c r="AC69" i="49"/>
  <c r="AB69" i="49"/>
  <c r="AA69" i="49"/>
  <c r="Z69" i="49"/>
  <c r="Y69" i="49"/>
  <c r="X69" i="49"/>
  <c r="W69" i="49"/>
  <c r="AE70" i="49"/>
  <c r="AD70" i="49"/>
  <c r="AC70" i="49"/>
  <c r="AB70" i="49"/>
  <c r="AA70" i="49"/>
  <c r="Z70" i="49"/>
  <c r="X70" i="49"/>
  <c r="AE71" i="49"/>
  <c r="AD71" i="49"/>
  <c r="AC71" i="49"/>
  <c r="AB71" i="49"/>
  <c r="AA71" i="49"/>
  <c r="Z71" i="49"/>
  <c r="Y71" i="49"/>
  <c r="X71" i="49"/>
  <c r="AE72" i="49"/>
  <c r="AD72" i="49"/>
  <c r="AC72" i="49"/>
  <c r="AB72" i="49"/>
  <c r="AA72" i="49"/>
  <c r="Z72" i="49"/>
  <c r="Y72" i="49"/>
  <c r="X72" i="49"/>
  <c r="W72" i="49"/>
  <c r="AE73" i="49"/>
  <c r="AD73" i="49"/>
  <c r="AC73" i="49"/>
  <c r="AB73" i="49"/>
  <c r="AA73" i="49"/>
  <c r="Z73" i="49"/>
  <c r="X73" i="49"/>
  <c r="AE74" i="49"/>
  <c r="AD74" i="49"/>
  <c r="AC74" i="49"/>
  <c r="AB74" i="49"/>
  <c r="AA74" i="49"/>
  <c r="Z74" i="49"/>
  <c r="Y74" i="49"/>
  <c r="X74" i="49"/>
  <c r="AE75" i="49"/>
  <c r="AD75" i="49"/>
  <c r="AC75" i="49"/>
  <c r="AB75" i="49"/>
  <c r="AA75" i="49"/>
  <c r="Z75" i="49"/>
  <c r="Y75" i="49"/>
  <c r="X75" i="49"/>
  <c r="AE76" i="49"/>
  <c r="AD76" i="49"/>
  <c r="AC76" i="49"/>
  <c r="AB76" i="49"/>
  <c r="AA76" i="49"/>
  <c r="Z76" i="49"/>
  <c r="Y76" i="49"/>
  <c r="X76" i="49"/>
  <c r="AE77" i="49"/>
  <c r="AD77" i="49"/>
  <c r="AC77" i="49"/>
  <c r="AB77" i="49"/>
  <c r="AA77" i="49"/>
  <c r="Z77" i="49"/>
  <c r="Y77" i="49"/>
  <c r="X77" i="49"/>
  <c r="W77" i="49"/>
  <c r="AE78" i="49"/>
  <c r="AD78" i="49"/>
  <c r="AC78" i="49"/>
  <c r="AB78" i="49"/>
  <c r="AA78" i="49"/>
  <c r="Z78" i="49"/>
  <c r="Y78" i="49"/>
  <c r="X78" i="49"/>
  <c r="AE79" i="49"/>
  <c r="AD79" i="49"/>
  <c r="AC79" i="49"/>
  <c r="AB79" i="49"/>
  <c r="AA79" i="49"/>
  <c r="Z79" i="49"/>
  <c r="Y79" i="49"/>
  <c r="X79" i="49"/>
  <c r="AB12" i="35"/>
  <c r="AA12" i="35"/>
  <c r="AD12" i="35"/>
  <c r="AE12" i="35"/>
  <c r="W19" i="45"/>
  <c r="W21" i="45"/>
  <c r="W34" i="44"/>
  <c r="W79" i="49"/>
  <c r="W50" i="47"/>
  <c r="AC12" i="35"/>
  <c r="W52" i="47"/>
  <c r="X83" i="49"/>
  <c r="W83" i="49"/>
  <c r="X84" i="49"/>
  <c r="W84" i="49"/>
  <c r="X12" i="35"/>
  <c r="Z12" i="35"/>
  <c r="Y12" i="35"/>
  <c r="W12" i="35"/>
  <c r="AC16" i="34"/>
  <c r="AB16" i="34"/>
  <c r="AA16" i="34"/>
  <c r="AE16" i="34"/>
  <c r="AD16" i="34"/>
  <c r="Z16" i="34"/>
  <c r="X61" i="47"/>
  <c r="Y61" i="47"/>
  <c r="W61" i="47"/>
  <c r="W62" i="47"/>
  <c r="Y62" i="47"/>
  <c r="Y66" i="47"/>
  <c r="W66" i="47"/>
  <c r="X72" i="47"/>
  <c r="W72" i="47"/>
  <c r="W73" i="47"/>
  <c r="Y73" i="47"/>
  <c r="X76" i="47"/>
  <c r="W76" i="47"/>
  <c r="Y79" i="47"/>
  <c r="X79" i="47"/>
  <c r="AD80" i="47"/>
  <c r="AB80" i="47"/>
  <c r="Z80" i="47"/>
  <c r="Y80" i="47"/>
  <c r="AA80" i="47"/>
  <c r="AC80" i="47"/>
  <c r="AE80" i="47"/>
  <c r="W80" i="47"/>
  <c r="X80" i="47"/>
  <c r="AA84" i="44"/>
  <c r="Z84" i="44"/>
  <c r="X84" i="44"/>
  <c r="Y84" i="44"/>
  <c r="AE84" i="44"/>
  <c r="AD84" i="44"/>
  <c r="AC84" i="44"/>
  <c r="AB84" i="44"/>
  <c r="AA55" i="46"/>
  <c r="AC55" i="46"/>
  <c r="AD55" i="46"/>
  <c r="Z55" i="46"/>
  <c r="AE55" i="46"/>
  <c r="W55" i="46"/>
  <c r="X55" i="46"/>
  <c r="Y55" i="46"/>
  <c r="AB55" i="46"/>
  <c r="AE49" i="47"/>
  <c r="AD49" i="47"/>
  <c r="AC49" i="47"/>
  <c r="AB49" i="47"/>
  <c r="AA49" i="47"/>
  <c r="Z49" i="47"/>
  <c r="Y49" i="47"/>
  <c r="X49" i="47"/>
  <c r="W49" i="47"/>
  <c r="AE50" i="47"/>
  <c r="AD50" i="47"/>
  <c r="AC50" i="47"/>
  <c r="AB50" i="47"/>
  <c r="AA50" i="47"/>
  <c r="Z50" i="47"/>
  <c r="X50" i="47"/>
  <c r="AE51" i="47"/>
  <c r="AD51" i="47"/>
  <c r="AC51" i="47"/>
  <c r="AB51" i="47"/>
  <c r="AA51" i="47"/>
  <c r="AE52" i="47"/>
  <c r="AD52" i="47"/>
  <c r="AC52" i="47"/>
  <c r="AB52" i="47"/>
  <c r="AA52" i="47"/>
  <c r="Z52" i="47"/>
  <c r="Y52" i="47"/>
  <c r="AE53" i="47"/>
  <c r="AD53" i="47"/>
  <c r="AC53" i="47"/>
  <c r="AB53" i="47"/>
  <c r="AA53" i="47"/>
  <c r="Z53" i="47"/>
  <c r="Y53" i="47"/>
  <c r="X53" i="47"/>
  <c r="W53" i="47"/>
  <c r="AE54" i="47"/>
  <c r="AD54" i="47"/>
  <c r="AC54" i="47"/>
  <c r="AB54" i="47"/>
  <c r="AA54" i="47"/>
  <c r="Z54" i="47"/>
  <c r="Y54" i="47"/>
  <c r="X54" i="47"/>
  <c r="AE55" i="47"/>
  <c r="AD55" i="47"/>
  <c r="AC55" i="47"/>
  <c r="AB55" i="47"/>
  <c r="AA55" i="47"/>
  <c r="Z55" i="47"/>
  <c r="Y55" i="47"/>
  <c r="X55" i="47"/>
  <c r="AE56" i="47"/>
  <c r="AD56" i="47"/>
  <c r="AC56" i="47"/>
  <c r="AB56" i="47"/>
  <c r="AA56" i="47"/>
  <c r="Z56" i="47"/>
  <c r="Y56" i="47"/>
  <c r="X56" i="47"/>
  <c r="W56" i="47"/>
  <c r="AE57" i="47"/>
  <c r="AD57" i="47"/>
  <c r="AC57" i="47"/>
  <c r="AB57" i="47"/>
  <c r="AA57" i="47"/>
  <c r="Z57" i="47"/>
  <c r="Y57" i="47"/>
  <c r="X57" i="47"/>
  <c r="W57" i="47"/>
  <c r="AE58" i="47"/>
  <c r="AD58" i="47"/>
  <c r="AC58" i="47"/>
  <c r="AB58" i="47"/>
  <c r="AA58" i="47"/>
  <c r="Z58" i="47"/>
  <c r="Y58" i="47"/>
  <c r="X58" i="47"/>
  <c r="AE59" i="47"/>
  <c r="AD59" i="47"/>
  <c r="AC59" i="47"/>
  <c r="AB59" i="47"/>
  <c r="AA59" i="47"/>
  <c r="Z59" i="47"/>
  <c r="Y59" i="47"/>
  <c r="X59" i="47"/>
  <c r="AE60" i="47"/>
  <c r="AD60" i="47"/>
  <c r="AC60" i="47"/>
  <c r="AB60" i="47"/>
  <c r="AA60" i="47"/>
  <c r="Z60" i="47"/>
  <c r="Y60" i="47"/>
  <c r="X60" i="47"/>
  <c r="W60" i="47"/>
  <c r="AE61" i="47"/>
  <c r="AD61" i="47"/>
  <c r="AC61" i="47"/>
  <c r="AB61" i="47"/>
  <c r="AA61" i="47"/>
  <c r="Z61" i="47"/>
  <c r="AE62" i="47"/>
  <c r="AD62" i="47"/>
  <c r="AC62" i="47"/>
  <c r="AB62" i="47"/>
  <c r="AA62" i="47"/>
  <c r="Z62" i="47"/>
  <c r="X62" i="47"/>
  <c r="AE63" i="47"/>
  <c r="AD63" i="47"/>
  <c r="AC63" i="47"/>
  <c r="AB63" i="47"/>
  <c r="AA63" i="47"/>
  <c r="Z63" i="47"/>
  <c r="Y63" i="47"/>
  <c r="X63" i="47"/>
  <c r="AE64" i="47"/>
  <c r="AD64" i="47"/>
  <c r="AC64" i="47"/>
  <c r="AB64" i="47"/>
  <c r="AA64" i="47"/>
  <c r="Z64" i="47"/>
  <c r="Y64" i="47"/>
  <c r="X64" i="47"/>
  <c r="AE65" i="47"/>
  <c r="AD65" i="47"/>
  <c r="AC65" i="47"/>
  <c r="AB65" i="47"/>
  <c r="AA65" i="47"/>
  <c r="Z65" i="47"/>
  <c r="Y65" i="47"/>
  <c r="X65" i="47"/>
  <c r="W65" i="47"/>
  <c r="AE66" i="47"/>
  <c r="AD66" i="47"/>
  <c r="AC66" i="47"/>
  <c r="AB66" i="47"/>
  <c r="AA66" i="47"/>
  <c r="Z66" i="47"/>
  <c r="X66" i="47"/>
  <c r="AE67" i="47"/>
  <c r="AD67" i="47"/>
  <c r="AC67" i="47"/>
  <c r="AB67" i="47"/>
  <c r="AA67" i="47"/>
  <c r="Z67" i="47"/>
  <c r="Y67" i="47"/>
  <c r="X67" i="47"/>
  <c r="AE68" i="47"/>
  <c r="AD68" i="47"/>
  <c r="AC68" i="47"/>
  <c r="AB68" i="47"/>
  <c r="AA68" i="47"/>
  <c r="Z68" i="47"/>
  <c r="Y68" i="47"/>
  <c r="X68" i="47"/>
  <c r="AE69" i="47"/>
  <c r="AD69" i="47"/>
  <c r="AC69" i="47"/>
  <c r="AB69" i="47"/>
  <c r="AA69" i="47"/>
  <c r="Z69" i="47"/>
  <c r="Y69" i="47"/>
  <c r="X69" i="47"/>
  <c r="W69" i="47"/>
  <c r="AE70" i="47"/>
  <c r="AD70" i="47"/>
  <c r="AC70" i="47"/>
  <c r="AB70" i="47"/>
  <c r="AA70" i="47"/>
  <c r="Z70" i="47"/>
  <c r="Y70" i="47"/>
  <c r="X70" i="47"/>
  <c r="AE71" i="47"/>
  <c r="AD71" i="47"/>
  <c r="AC71" i="47"/>
  <c r="AB71" i="47"/>
  <c r="AA71" i="47"/>
  <c r="Z71" i="47"/>
  <c r="Y71" i="47"/>
  <c r="X71" i="47"/>
  <c r="AE72" i="47"/>
  <c r="AD72" i="47"/>
  <c r="AC72" i="47"/>
  <c r="AB72" i="47"/>
  <c r="AA72" i="47"/>
  <c r="Z72" i="47"/>
  <c r="AE73" i="47"/>
  <c r="AD73" i="47"/>
  <c r="AC73" i="47"/>
  <c r="AB73" i="47"/>
  <c r="AA73" i="47"/>
  <c r="Z73" i="47"/>
  <c r="X73" i="47"/>
  <c r="AE74" i="47"/>
  <c r="AD74" i="47"/>
  <c r="AC74" i="47"/>
  <c r="AB74" i="47"/>
  <c r="AA74" i="47"/>
  <c r="Z74" i="47"/>
  <c r="X74" i="47"/>
  <c r="AE75" i="47"/>
  <c r="AD75" i="47"/>
  <c r="AC75" i="47"/>
  <c r="AB75" i="47"/>
  <c r="AA75" i="47"/>
  <c r="Z75" i="47"/>
  <c r="Y75" i="47"/>
  <c r="X75" i="47"/>
  <c r="AE76" i="47"/>
  <c r="AD76" i="47"/>
  <c r="AC76" i="47"/>
  <c r="AB76" i="47"/>
  <c r="AA76" i="47"/>
  <c r="Z76" i="47"/>
  <c r="Y76" i="47"/>
  <c r="AE77" i="47"/>
  <c r="AD77" i="47"/>
  <c r="AC77" i="47"/>
  <c r="AB77" i="47"/>
  <c r="AA77" i="47"/>
  <c r="Z77" i="47"/>
  <c r="Y77" i="47"/>
  <c r="X77" i="47"/>
  <c r="AE78" i="47"/>
  <c r="AD78" i="47"/>
  <c r="AC78" i="47"/>
  <c r="AB78" i="47"/>
  <c r="AA78" i="47"/>
  <c r="Z78" i="47"/>
  <c r="Y78" i="47"/>
  <c r="AE79" i="47"/>
  <c r="AD79" i="47"/>
  <c r="AC79" i="47"/>
  <c r="AB79" i="47"/>
  <c r="AA79" i="47"/>
  <c r="Z79" i="47"/>
  <c r="AE81" i="47"/>
  <c r="AD81" i="47"/>
  <c r="AC81" i="47"/>
  <c r="AB81" i="47"/>
  <c r="AA81" i="47"/>
  <c r="Z81" i="47"/>
  <c r="Y81" i="47"/>
  <c r="X81" i="47"/>
  <c r="W81" i="47"/>
  <c r="AE82" i="47"/>
  <c r="AD82" i="47"/>
  <c r="AC82" i="47"/>
  <c r="AB82" i="47"/>
  <c r="AA82" i="47"/>
  <c r="Z82" i="47"/>
  <c r="Y82" i="47"/>
  <c r="X82" i="47"/>
  <c r="AE83" i="47"/>
  <c r="AD83" i="47"/>
  <c r="AC83" i="47"/>
  <c r="AB83" i="47"/>
  <c r="AA83" i="47"/>
  <c r="Z83" i="47"/>
  <c r="Y83" i="47"/>
  <c r="AE84" i="47"/>
  <c r="AD84" i="47"/>
  <c r="AC84" i="47"/>
  <c r="AB84" i="47"/>
  <c r="AA84" i="47"/>
  <c r="Z84" i="47"/>
  <c r="Y84" i="47"/>
  <c r="X84" i="47"/>
  <c r="AE85" i="47"/>
  <c r="AD85" i="47"/>
  <c r="AC85" i="47"/>
  <c r="AB85" i="47"/>
  <c r="AA85" i="47"/>
  <c r="Z85" i="47"/>
  <c r="Y85" i="47"/>
  <c r="X85" i="47"/>
  <c r="W85" i="47"/>
  <c r="X52" i="47"/>
  <c r="W59" i="47"/>
  <c r="Y74" i="47"/>
  <c r="W75" i="47"/>
  <c r="W77" i="47"/>
  <c r="X78" i="47"/>
  <c r="W83" i="47"/>
  <c r="W20" i="45"/>
  <c r="X21" i="45"/>
  <c r="W31" i="45"/>
  <c r="W41" i="45"/>
  <c r="Y50" i="47"/>
  <c r="Y51" i="47"/>
  <c r="X51" i="47"/>
  <c r="Z51" i="47"/>
  <c r="AE79" i="52"/>
  <c r="AD79" i="52"/>
  <c r="AC79" i="52"/>
  <c r="AB79" i="52"/>
  <c r="AA79" i="52"/>
  <c r="Z79" i="52"/>
  <c r="Y79" i="52"/>
  <c r="X79" i="52"/>
  <c r="W79" i="52"/>
  <c r="AE74" i="52"/>
  <c r="AD74" i="52"/>
  <c r="AC74" i="52"/>
  <c r="AB74" i="52"/>
  <c r="AA74" i="52"/>
  <c r="Z74" i="52"/>
  <c r="Y74" i="52"/>
  <c r="X74" i="52"/>
  <c r="W74" i="52"/>
  <c r="AE75" i="52"/>
  <c r="AD75" i="52"/>
  <c r="AC75" i="52"/>
  <c r="AB75" i="52"/>
  <c r="AA75" i="52"/>
  <c r="Z75" i="52"/>
  <c r="Y75" i="52"/>
  <c r="X75" i="52"/>
  <c r="W75" i="52"/>
  <c r="AE76" i="52"/>
  <c r="AD76" i="52"/>
  <c r="AC76" i="52"/>
  <c r="AB76" i="52"/>
  <c r="AA76" i="52"/>
  <c r="Z76" i="52"/>
  <c r="Y76" i="52"/>
  <c r="X76" i="52"/>
  <c r="W76" i="52"/>
  <c r="AE77" i="52"/>
  <c r="AD77" i="52"/>
  <c r="AC77" i="52"/>
  <c r="AB77" i="52"/>
  <c r="AA77" i="52"/>
  <c r="Z77" i="52"/>
  <c r="Y77" i="52"/>
  <c r="X77" i="52"/>
  <c r="W77" i="52"/>
  <c r="AE78" i="52"/>
  <c r="AD78" i="52"/>
  <c r="AC78" i="52"/>
  <c r="AB78" i="52"/>
  <c r="AA78" i="52"/>
  <c r="Z78" i="52"/>
  <c r="Y78" i="52"/>
  <c r="X78" i="52"/>
  <c r="W78" i="52"/>
  <c r="AE80" i="52"/>
  <c r="AD80" i="52"/>
  <c r="AC80" i="52"/>
  <c r="AB80" i="52"/>
  <c r="AA80" i="52"/>
  <c r="Z80" i="52"/>
  <c r="Y80" i="52"/>
  <c r="X80" i="52"/>
  <c r="W80" i="52"/>
  <c r="X10" i="50"/>
  <c r="AE10" i="50"/>
  <c r="Y10" i="50"/>
  <c r="AC10" i="50"/>
  <c r="AD10" i="50"/>
  <c r="Z10" i="50"/>
  <c r="AB10" i="50"/>
  <c r="AA10" i="50"/>
  <c r="W10" i="50"/>
  <c r="AB10" i="48"/>
  <c r="AA10" i="48"/>
  <c r="AE10" i="48"/>
  <c r="AC10" i="48"/>
  <c r="Z10" i="48"/>
  <c r="AD10" i="48"/>
  <c r="AE19" i="45"/>
  <c r="AD19" i="45"/>
  <c r="AC19" i="45"/>
  <c r="AB19" i="45"/>
  <c r="AA19" i="45"/>
  <c r="AE20" i="45"/>
  <c r="AD20" i="45"/>
  <c r="AC20" i="45"/>
  <c r="AB20" i="45"/>
  <c r="AA20" i="45"/>
  <c r="Z20" i="45"/>
  <c r="Y20" i="45"/>
  <c r="X20" i="45"/>
  <c r="AE21" i="45"/>
  <c r="AD21" i="45"/>
  <c r="AC21" i="45"/>
  <c r="AB21" i="45"/>
  <c r="AA21" i="45"/>
  <c r="Z21" i="45"/>
  <c r="Y21" i="45"/>
  <c r="AE22" i="45"/>
  <c r="AD22" i="45"/>
  <c r="AC22" i="45"/>
  <c r="AB22" i="45"/>
  <c r="AA22" i="45"/>
  <c r="Z22" i="45"/>
  <c r="Y22" i="45"/>
  <c r="X22" i="45"/>
  <c r="W22" i="45"/>
  <c r="AE23" i="45"/>
  <c r="AD23" i="45"/>
  <c r="AC23" i="45"/>
  <c r="AB23" i="45"/>
  <c r="AA23" i="45"/>
  <c r="Z23" i="45"/>
  <c r="AE24" i="45"/>
  <c r="AD24" i="45"/>
  <c r="AC24" i="45"/>
  <c r="AB24" i="45"/>
  <c r="AA24" i="45"/>
  <c r="Z24" i="45"/>
  <c r="Y24" i="45"/>
  <c r="X24" i="45"/>
  <c r="AE25" i="45"/>
  <c r="AD25" i="45"/>
  <c r="AC25" i="45"/>
  <c r="AB25" i="45"/>
  <c r="AA25" i="45"/>
  <c r="Z25" i="45"/>
  <c r="Y25" i="45"/>
  <c r="X25" i="45"/>
  <c r="W25" i="45"/>
  <c r="AE26" i="45"/>
  <c r="AD26" i="45"/>
  <c r="AC26" i="45"/>
  <c r="AB26" i="45"/>
  <c r="AA26" i="45"/>
  <c r="Z26" i="45"/>
  <c r="X26" i="45"/>
  <c r="W26" i="45"/>
  <c r="AE27" i="45"/>
  <c r="AD27" i="45"/>
  <c r="AC27" i="45"/>
  <c r="AB27" i="45"/>
  <c r="AA27" i="45"/>
  <c r="Z27" i="45"/>
  <c r="Y27" i="45"/>
  <c r="AE28" i="45"/>
  <c r="AD28" i="45"/>
  <c r="AC28" i="45"/>
  <c r="AB28" i="45"/>
  <c r="AA28" i="45"/>
  <c r="Z28" i="45"/>
  <c r="Y28" i="45"/>
  <c r="X28" i="45"/>
  <c r="W28" i="45"/>
  <c r="AE29" i="45"/>
  <c r="AD29" i="45"/>
  <c r="AC29" i="45"/>
  <c r="AB29" i="45"/>
  <c r="AA29" i="45"/>
  <c r="Z29" i="45"/>
  <c r="AE30" i="45"/>
  <c r="AD30" i="45"/>
  <c r="AC30" i="45"/>
  <c r="AB30" i="45"/>
  <c r="AE18" i="45"/>
  <c r="AD18" i="45"/>
  <c r="AC18" i="45"/>
  <c r="AB18" i="45"/>
  <c r="AA18" i="45"/>
  <c r="Z18" i="45"/>
  <c r="Y18" i="45"/>
  <c r="X18" i="45"/>
  <c r="W72" i="43"/>
  <c r="W82" i="45"/>
  <c r="W57" i="44"/>
  <c r="W58" i="44"/>
  <c r="W75" i="44"/>
  <c r="W19" i="41"/>
  <c r="Y26" i="45"/>
  <c r="W69" i="43"/>
  <c r="X19" i="45"/>
  <c r="Z19" i="45"/>
  <c r="Y19" i="45"/>
  <c r="W29" i="45"/>
  <c r="X29" i="45"/>
  <c r="Y29" i="45"/>
  <c r="Z31" i="45"/>
  <c r="AA31" i="45"/>
  <c r="AB31" i="45"/>
  <c r="AC31" i="45"/>
  <c r="AD31" i="45"/>
  <c r="AE31" i="45"/>
  <c r="X31" i="45"/>
  <c r="Y31" i="45"/>
  <c r="Y36" i="49"/>
  <c r="X36" i="49"/>
  <c r="W36" i="49"/>
  <c r="W33" i="41"/>
  <c r="X33" i="41"/>
  <c r="Y35" i="41"/>
  <c r="X35" i="41"/>
  <c r="W21" i="40"/>
  <c r="X21" i="40"/>
  <c r="AE10" i="49"/>
  <c r="AA10" i="49"/>
  <c r="W10" i="49"/>
  <c r="AB10" i="49"/>
  <c r="Y10" i="49"/>
  <c r="AC10" i="49"/>
  <c r="X10" i="49"/>
  <c r="AD10" i="49"/>
  <c r="Z10" i="49"/>
  <c r="AE84" i="45"/>
  <c r="AD84" i="45"/>
  <c r="AC84" i="45"/>
  <c r="AB84" i="45"/>
  <c r="AA84" i="45"/>
  <c r="Z84" i="45"/>
  <c r="AE85" i="45"/>
  <c r="AD85" i="45"/>
  <c r="AC85" i="45"/>
  <c r="AB85" i="45"/>
  <c r="AA85" i="45"/>
  <c r="Z85" i="45"/>
  <c r="Y85" i="45"/>
  <c r="X85" i="45"/>
  <c r="AE39" i="45"/>
  <c r="AD39" i="45"/>
  <c r="AC39" i="45"/>
  <c r="AB39" i="45"/>
  <c r="AA39" i="45"/>
  <c r="Z39" i="45"/>
  <c r="Y39" i="45"/>
  <c r="X39" i="45"/>
  <c r="W39" i="45"/>
  <c r="AE40" i="45"/>
  <c r="AD40" i="45"/>
  <c r="AC40" i="45"/>
  <c r="AB40" i="45"/>
  <c r="AA40" i="45"/>
  <c r="Z40" i="45"/>
  <c r="Y40" i="45"/>
  <c r="X40" i="45"/>
  <c r="AE41" i="45"/>
  <c r="AD41" i="45"/>
  <c r="AC41" i="45"/>
  <c r="AB41" i="45"/>
  <c r="AA41" i="45"/>
  <c r="Z41" i="45"/>
  <c r="Y41" i="45"/>
  <c r="X41" i="45"/>
  <c r="AE42" i="45"/>
  <c r="AD42" i="45"/>
  <c r="AC42" i="45"/>
  <c r="AB42" i="45"/>
  <c r="AA42" i="45"/>
  <c r="Z42" i="45"/>
  <c r="Y42" i="45"/>
  <c r="X42" i="45"/>
  <c r="W42" i="45"/>
  <c r="AE45" i="45"/>
  <c r="AD45" i="45"/>
  <c r="AC45" i="45"/>
  <c r="AB45" i="45"/>
  <c r="AA45" i="45"/>
  <c r="Z45" i="45"/>
  <c r="Y45" i="45"/>
  <c r="X45" i="45"/>
  <c r="W45" i="45"/>
  <c r="AE46" i="45"/>
  <c r="AD46" i="45"/>
  <c r="AC46" i="45"/>
  <c r="AB46" i="45"/>
  <c r="AA46" i="45"/>
  <c r="Z46" i="45"/>
  <c r="Y46" i="45"/>
  <c r="X46" i="45"/>
  <c r="AE47" i="45"/>
  <c r="AD47" i="45"/>
  <c r="AC47" i="45"/>
  <c r="AB47" i="45"/>
  <c r="AA47" i="45"/>
  <c r="Z47" i="45"/>
  <c r="Y47" i="45"/>
  <c r="X47" i="45"/>
  <c r="W47" i="45"/>
  <c r="AE48" i="45"/>
  <c r="AD48" i="45"/>
  <c r="AC48" i="45"/>
  <c r="AB48" i="45"/>
  <c r="AA48" i="45"/>
  <c r="Z48" i="45"/>
  <c r="Y48" i="45"/>
  <c r="X48" i="45"/>
  <c r="AE49" i="45"/>
  <c r="AD49" i="45"/>
  <c r="AC49" i="45"/>
  <c r="AB49" i="45"/>
  <c r="AA49" i="45"/>
  <c r="Z49" i="45"/>
  <c r="Y49" i="45"/>
  <c r="X49" i="45"/>
  <c r="W49" i="45"/>
  <c r="AE50" i="45"/>
  <c r="AD50" i="45"/>
  <c r="AC50" i="45"/>
  <c r="AB50" i="45"/>
  <c r="AA50" i="45"/>
  <c r="Z50" i="45"/>
  <c r="Y50" i="45"/>
  <c r="X50" i="45"/>
  <c r="AE51" i="45"/>
  <c r="AD51" i="45"/>
  <c r="AC51" i="45"/>
  <c r="AB51" i="45"/>
  <c r="AA51" i="45"/>
  <c r="Z51" i="45"/>
  <c r="Y51" i="45"/>
  <c r="X51" i="45"/>
  <c r="W51" i="45"/>
  <c r="AE52" i="45"/>
  <c r="AD52" i="45"/>
  <c r="AC52" i="45"/>
  <c r="AB52" i="45"/>
  <c r="AA52" i="45"/>
  <c r="Z52" i="45"/>
  <c r="Y52" i="45"/>
  <c r="X52" i="45"/>
  <c r="W52" i="45"/>
  <c r="AE53" i="45"/>
  <c r="AD53" i="45"/>
  <c r="AC53" i="45"/>
  <c r="AB53" i="45"/>
  <c r="AA53" i="45"/>
  <c r="Z53" i="45"/>
  <c r="Y53" i="45"/>
  <c r="X53" i="45"/>
  <c r="AD54" i="45"/>
  <c r="AC54" i="45"/>
  <c r="AB54" i="45"/>
  <c r="AA54" i="45"/>
  <c r="Z54" i="45"/>
  <c r="Y54" i="45"/>
  <c r="X54" i="45"/>
  <c r="W54" i="45"/>
  <c r="AE56" i="45"/>
  <c r="AD56" i="45"/>
  <c r="AC56" i="45"/>
  <c r="AB56" i="45"/>
  <c r="AA56" i="45"/>
  <c r="Z56" i="45"/>
  <c r="Y56" i="45"/>
  <c r="X56" i="45"/>
  <c r="W56" i="45"/>
  <c r="AE57" i="45"/>
  <c r="AD57" i="45"/>
  <c r="AC57" i="45"/>
  <c r="AB57" i="45"/>
  <c r="AA57" i="45"/>
  <c r="Z57" i="45"/>
  <c r="Y57" i="45"/>
  <c r="X57" i="45"/>
  <c r="AE58" i="45"/>
  <c r="AD58" i="45"/>
  <c r="AC58" i="45"/>
  <c r="AB58" i="45"/>
  <c r="AA58" i="45"/>
  <c r="Z58" i="45"/>
  <c r="Y58" i="45"/>
  <c r="X58" i="45"/>
  <c r="AE59" i="45"/>
  <c r="AD59" i="45"/>
  <c r="AC59" i="45"/>
  <c r="AB59" i="45"/>
  <c r="AA59" i="45"/>
  <c r="Z59" i="45"/>
  <c r="Y59" i="45"/>
  <c r="X59" i="45"/>
  <c r="AE60" i="45"/>
  <c r="AD60" i="45"/>
  <c r="AC60" i="45"/>
  <c r="AB60" i="45"/>
  <c r="AA60" i="45"/>
  <c r="Z60" i="45"/>
  <c r="Y60" i="45"/>
  <c r="X60" i="45"/>
  <c r="AE61" i="45"/>
  <c r="AD61" i="45"/>
  <c r="AC61" i="45"/>
  <c r="AB61" i="45"/>
  <c r="AA61" i="45"/>
  <c r="Z61" i="45"/>
  <c r="AE62" i="45"/>
  <c r="AD62" i="45"/>
  <c r="AC62" i="45"/>
  <c r="AB62" i="45"/>
  <c r="AA62" i="45"/>
  <c r="Z62" i="45"/>
  <c r="AE63" i="45"/>
  <c r="AD63" i="45"/>
  <c r="AC63" i="45"/>
  <c r="AB63" i="45"/>
  <c r="AA63" i="45"/>
  <c r="Z63" i="45"/>
  <c r="Y63" i="45"/>
  <c r="X63" i="45"/>
  <c r="W63" i="45"/>
  <c r="AE64" i="45"/>
  <c r="AD64" i="45"/>
  <c r="AC64" i="45"/>
  <c r="AB64" i="45"/>
  <c r="AA64" i="45"/>
  <c r="Z64" i="45"/>
  <c r="Y64" i="45"/>
  <c r="X64" i="45"/>
  <c r="AE65" i="45"/>
  <c r="AD65" i="45"/>
  <c r="AC65" i="45"/>
  <c r="AB65" i="45"/>
  <c r="AA65" i="45"/>
  <c r="Z65" i="45"/>
  <c r="Y65" i="45"/>
  <c r="X65" i="45"/>
  <c r="W65" i="45"/>
  <c r="AE66" i="45"/>
  <c r="AD66" i="45"/>
  <c r="AC66" i="45"/>
  <c r="AB66" i="45"/>
  <c r="AA66" i="45"/>
  <c r="Z66" i="45"/>
  <c r="Y66" i="45"/>
  <c r="X66" i="45"/>
  <c r="AE67" i="45"/>
  <c r="AD67" i="45"/>
  <c r="AC67" i="45"/>
  <c r="AB67" i="45"/>
  <c r="AA67" i="45"/>
  <c r="Z67" i="45"/>
  <c r="Y67" i="45"/>
  <c r="X67" i="45"/>
  <c r="W67" i="45"/>
  <c r="AE68" i="45"/>
  <c r="AD68" i="45"/>
  <c r="AC68" i="45"/>
  <c r="AB68" i="45"/>
  <c r="AA68" i="45"/>
  <c r="Z68" i="45"/>
  <c r="Y68" i="45"/>
  <c r="AE69" i="45"/>
  <c r="AD69" i="45"/>
  <c r="AC69" i="45"/>
  <c r="AB69" i="45"/>
  <c r="AA69" i="45"/>
  <c r="Z69" i="45"/>
  <c r="Y69" i="45"/>
  <c r="X69" i="45"/>
  <c r="W69" i="45"/>
  <c r="AE70" i="45"/>
  <c r="AD70" i="45"/>
  <c r="AC70" i="45"/>
  <c r="AB70" i="45"/>
  <c r="AA70" i="45"/>
  <c r="Z70" i="45"/>
  <c r="Y70" i="45"/>
  <c r="X70" i="45"/>
  <c r="W70" i="45"/>
  <c r="AE71" i="45"/>
  <c r="AD71" i="45"/>
  <c r="AC71" i="45"/>
  <c r="AB71" i="45"/>
  <c r="AA71" i="45"/>
  <c r="Z71" i="45"/>
  <c r="AE72" i="45"/>
  <c r="AD72" i="45"/>
  <c r="AC72" i="45"/>
  <c r="AB72" i="45"/>
  <c r="AA72" i="45"/>
  <c r="Z72" i="45"/>
  <c r="Y72" i="45"/>
  <c r="X72" i="45"/>
  <c r="W72" i="45"/>
  <c r="AE73" i="45"/>
  <c r="AD73" i="45"/>
  <c r="AC73" i="45"/>
  <c r="AB73" i="45"/>
  <c r="AA73" i="45"/>
  <c r="Z73" i="45"/>
  <c r="Y73" i="45"/>
  <c r="X73" i="45"/>
  <c r="AE75" i="45"/>
  <c r="AD75" i="45"/>
  <c r="AC75" i="45"/>
  <c r="AB75" i="45"/>
  <c r="AA75" i="45"/>
  <c r="Z75" i="45"/>
  <c r="Y75" i="45"/>
  <c r="X75" i="45"/>
  <c r="W75" i="45"/>
  <c r="AE76" i="45"/>
  <c r="AD76" i="45"/>
  <c r="AC76" i="45"/>
  <c r="AB76" i="45"/>
  <c r="AA76" i="45"/>
  <c r="Z76" i="45"/>
  <c r="Y76" i="45"/>
  <c r="X76" i="45"/>
  <c r="W76" i="45"/>
  <c r="AE77" i="45"/>
  <c r="AD77" i="45"/>
  <c r="AC77" i="45"/>
  <c r="AB77" i="45"/>
  <c r="AA77" i="45"/>
  <c r="Z77" i="45"/>
  <c r="Y77" i="45"/>
  <c r="X77" i="45"/>
  <c r="W77" i="45"/>
  <c r="AE78" i="45"/>
  <c r="AD78" i="45"/>
  <c r="AC78" i="45"/>
  <c r="AB78" i="45"/>
  <c r="AA78" i="45"/>
  <c r="Z78" i="45"/>
  <c r="AE79" i="45"/>
  <c r="AD79" i="45"/>
  <c r="AC79" i="45"/>
  <c r="AB79" i="45"/>
  <c r="AA79" i="45"/>
  <c r="Z79" i="45"/>
  <c r="AE80" i="45"/>
  <c r="AD80" i="45"/>
  <c r="AC80" i="45"/>
  <c r="AB80" i="45"/>
  <c r="AA80" i="45"/>
  <c r="Z80" i="45"/>
  <c r="Y80" i="45"/>
  <c r="X80" i="45"/>
  <c r="AE81" i="45"/>
  <c r="AD81" i="45"/>
  <c r="AC81" i="45"/>
  <c r="AB81" i="45"/>
  <c r="AA81" i="45"/>
  <c r="Z81" i="45"/>
  <c r="Y81" i="45"/>
  <c r="X81" i="45"/>
  <c r="W81" i="45"/>
  <c r="AE82" i="45"/>
  <c r="AD82" i="45"/>
  <c r="AC82" i="45"/>
  <c r="AB82" i="45"/>
  <c r="AA82" i="45"/>
  <c r="Z82" i="45"/>
  <c r="Y82" i="45"/>
  <c r="X82" i="45"/>
  <c r="AE83" i="45"/>
  <c r="AD83" i="45"/>
  <c r="AC83" i="45"/>
  <c r="AB83" i="45"/>
  <c r="AA83" i="45"/>
  <c r="Z83" i="45"/>
  <c r="Y83" i="45"/>
  <c r="X83" i="45"/>
  <c r="W83" i="45"/>
  <c r="AE11" i="41"/>
  <c r="Z11" i="41"/>
  <c r="AD11" i="41"/>
  <c r="AC11" i="41"/>
  <c r="AB11" i="41"/>
  <c r="AA11" i="41"/>
  <c r="Y11" i="41"/>
  <c r="W73" i="45"/>
  <c r="W60" i="42"/>
  <c r="W21" i="41"/>
  <c r="W27" i="43"/>
  <c r="AE28" i="43"/>
  <c r="W52" i="43"/>
  <c r="W82" i="40"/>
  <c r="AD10" i="46"/>
  <c r="Z10" i="46"/>
  <c r="AA10" i="46"/>
  <c r="X10" i="46"/>
  <c r="AB10" i="46"/>
  <c r="W10" i="46"/>
  <c r="AE10" i="46"/>
  <c r="AC10" i="46"/>
  <c r="Y10" i="46"/>
  <c r="AA32" i="45"/>
  <c r="Z32" i="45"/>
  <c r="AD32" i="45"/>
  <c r="AE32" i="45"/>
  <c r="W32" i="45"/>
  <c r="X32" i="45"/>
  <c r="Y32" i="45"/>
  <c r="AB32" i="45"/>
  <c r="AC32" i="45"/>
  <c r="AC74" i="45"/>
  <c r="AA74" i="45"/>
  <c r="AD74" i="45"/>
  <c r="Y74" i="45"/>
  <c r="Z74" i="45"/>
  <c r="AB74" i="45"/>
  <c r="W74" i="45"/>
  <c r="X74" i="45"/>
  <c r="AE74" i="45"/>
  <c r="Y78" i="45"/>
  <c r="X78" i="45"/>
  <c r="X11" i="41"/>
  <c r="W11" i="41"/>
  <c r="W85" i="44"/>
  <c r="Y85" i="44"/>
  <c r="X85" i="44"/>
  <c r="W60" i="44"/>
  <c r="AE60" i="44"/>
  <c r="AD60" i="44"/>
  <c r="AE23" i="46"/>
  <c r="AB23" i="46"/>
  <c r="AC23" i="46"/>
  <c r="AA23" i="46"/>
  <c r="Y23" i="46"/>
  <c r="X23" i="46"/>
  <c r="Z23" i="46"/>
  <c r="W23" i="46"/>
  <c r="AD23" i="46"/>
  <c r="AE50" i="44"/>
  <c r="AB50" i="44"/>
  <c r="W50" i="44"/>
  <c r="X50" i="44"/>
  <c r="Y50" i="44"/>
  <c r="Z50" i="44"/>
  <c r="AA50" i="44"/>
  <c r="AC50" i="44"/>
  <c r="AD50" i="44"/>
  <c r="X71" i="44"/>
  <c r="W71" i="44"/>
  <c r="W58" i="42"/>
  <c r="Y58" i="42"/>
  <c r="X58" i="42"/>
  <c r="W62" i="42"/>
  <c r="X62" i="42"/>
  <c r="X30" i="41"/>
  <c r="W30" i="41"/>
  <c r="X79" i="43"/>
  <c r="W79" i="43"/>
  <c r="W21" i="43"/>
  <c r="X21" i="43"/>
  <c r="AE57" i="44"/>
  <c r="AD57" i="44"/>
  <c r="AC57" i="44"/>
  <c r="AB57" i="44"/>
  <c r="AA57" i="44"/>
  <c r="Z57" i="44"/>
  <c r="Y57" i="44"/>
  <c r="X57" i="44"/>
  <c r="AE58" i="44"/>
  <c r="AD58" i="44"/>
  <c r="AC58" i="44"/>
  <c r="AB58" i="44"/>
  <c r="AA58" i="44"/>
  <c r="Z58" i="44"/>
  <c r="Y58" i="44"/>
  <c r="X58" i="44"/>
  <c r="AE59" i="44"/>
  <c r="AD59" i="44"/>
  <c r="AC59" i="44"/>
  <c r="AB59" i="44"/>
  <c r="AA59" i="44"/>
  <c r="Z59" i="44"/>
  <c r="Y59" i="44"/>
  <c r="X59" i="44"/>
  <c r="W59" i="44"/>
  <c r="AC60" i="44"/>
  <c r="AB60" i="44"/>
  <c r="AA60" i="44"/>
  <c r="Z60" i="44"/>
  <c r="Y60" i="44"/>
  <c r="X60" i="44"/>
  <c r="AE74" i="44"/>
  <c r="AD74" i="44"/>
  <c r="AC74" i="44"/>
  <c r="AB74" i="44"/>
  <c r="AA74" i="44"/>
  <c r="Z74" i="44"/>
  <c r="Y74" i="44"/>
  <c r="X74" i="44"/>
  <c r="W74" i="44"/>
  <c r="AE75" i="44"/>
  <c r="AD75" i="44"/>
  <c r="AC75" i="44"/>
  <c r="AB75" i="44"/>
  <c r="AA75" i="44"/>
  <c r="Z75" i="44"/>
  <c r="Y75" i="44"/>
  <c r="X75" i="44"/>
  <c r="AE76" i="44"/>
  <c r="AD76" i="44"/>
  <c r="AC76" i="44"/>
  <c r="AB76" i="44"/>
  <c r="AA76" i="44"/>
  <c r="Z76" i="44"/>
  <c r="Y76" i="44"/>
  <c r="X76" i="44"/>
  <c r="AE77" i="44"/>
  <c r="AD77" i="44"/>
  <c r="AC77" i="44"/>
  <c r="AB77" i="44"/>
  <c r="AA77" i="44"/>
  <c r="Z77" i="44"/>
  <c r="Y77" i="44"/>
  <c r="X77" i="44"/>
  <c r="W77" i="44"/>
  <c r="AE78" i="44"/>
  <c r="AD78" i="44"/>
  <c r="AC78" i="44"/>
  <c r="AB78" i="44"/>
  <c r="AA78" i="44"/>
  <c r="Z78" i="44"/>
  <c r="Y78" i="44"/>
  <c r="X78" i="44"/>
  <c r="W78" i="44"/>
  <c r="AE79" i="44"/>
  <c r="AD79" i="44"/>
  <c r="AC79" i="44"/>
  <c r="AB79" i="44"/>
  <c r="AA79" i="44"/>
  <c r="Z79" i="44"/>
  <c r="AE80" i="44"/>
  <c r="AD80" i="44"/>
  <c r="AC80" i="44"/>
  <c r="AB80" i="44"/>
  <c r="AA80" i="44"/>
  <c r="Z80" i="44"/>
  <c r="Y80" i="44"/>
  <c r="X80" i="44"/>
  <c r="AE81" i="44"/>
  <c r="AD81" i="44"/>
  <c r="AC81" i="44"/>
  <c r="AB81" i="44"/>
  <c r="AA81" i="44"/>
  <c r="Z81" i="44"/>
  <c r="Y81" i="44"/>
  <c r="X81" i="44"/>
  <c r="W81" i="44"/>
  <c r="AE82" i="44"/>
  <c r="AD82" i="44"/>
  <c r="AC82" i="44"/>
  <c r="AB82" i="44"/>
  <c r="AA82" i="44"/>
  <c r="Z82" i="44"/>
  <c r="Y82" i="44"/>
  <c r="X82" i="44"/>
  <c r="W82" i="44"/>
  <c r="AE83" i="44"/>
  <c r="AD83" i="44"/>
  <c r="AC83" i="44"/>
  <c r="AB83" i="44"/>
  <c r="AA83" i="44"/>
  <c r="Z83" i="44"/>
  <c r="Y83" i="44"/>
  <c r="X83" i="44"/>
  <c r="AE85" i="44"/>
  <c r="AD85" i="44"/>
  <c r="AC85" i="44"/>
  <c r="AB85" i="44"/>
  <c r="AA85" i="44"/>
  <c r="Z85" i="44"/>
  <c r="AD31" i="41"/>
  <c r="W56" i="34"/>
  <c r="W83" i="40"/>
  <c r="W75" i="39"/>
  <c r="W41" i="43"/>
  <c r="W77" i="40"/>
  <c r="AA69" i="42"/>
  <c r="AB69" i="42"/>
  <c r="AC69" i="42"/>
  <c r="AD69" i="42"/>
  <c r="AE69" i="42"/>
  <c r="W69" i="42"/>
  <c r="X69" i="42"/>
  <c r="Y69" i="42"/>
  <c r="Z69" i="42"/>
  <c r="X50" i="42"/>
  <c r="W50" i="42"/>
  <c r="W61" i="42"/>
  <c r="X61" i="42"/>
  <c r="X66" i="42"/>
  <c r="W66" i="42"/>
  <c r="AB23" i="41"/>
  <c r="AC23" i="41"/>
  <c r="AE31" i="41"/>
  <c r="X31" i="41"/>
  <c r="Z31" i="41"/>
  <c r="Y31" i="41"/>
  <c r="AC31" i="41"/>
  <c r="AB31" i="41"/>
  <c r="AA31" i="41"/>
  <c r="X35" i="43"/>
  <c r="W35" i="43"/>
  <c r="Z35" i="43"/>
  <c r="Y35" i="43"/>
  <c r="Y37" i="43"/>
  <c r="X37" i="43"/>
  <c r="W37" i="43"/>
  <c r="X55" i="43"/>
  <c r="W55" i="43"/>
  <c r="W57" i="43"/>
  <c r="X57" i="43"/>
  <c r="Y59" i="43"/>
  <c r="W59" i="43"/>
  <c r="X59" i="43"/>
  <c r="AB10" i="47"/>
  <c r="W10" i="47"/>
  <c r="AC10" i="47"/>
  <c r="X10" i="47"/>
  <c r="AD10" i="47"/>
  <c r="Z10" i="47"/>
  <c r="AE10" i="47"/>
  <c r="AA10" i="47"/>
  <c r="Y10" i="47"/>
  <c r="AD11" i="38"/>
  <c r="AA11" i="38"/>
  <c r="Y11" i="38"/>
  <c r="AE11" i="38"/>
  <c r="AC11" i="38"/>
  <c r="AB11" i="38"/>
  <c r="Z11" i="38"/>
  <c r="X39" i="43"/>
  <c r="W40" i="43"/>
  <c r="W50" i="43"/>
  <c r="W61" i="43"/>
  <c r="Y63" i="43"/>
  <c r="W65" i="43"/>
  <c r="W68" i="43"/>
  <c r="W78" i="43"/>
  <c r="W83" i="43"/>
  <c r="W84" i="43"/>
  <c r="W20" i="43"/>
  <c r="W77" i="42"/>
  <c r="Y44" i="44"/>
  <c r="X44" i="44"/>
  <c r="W44" i="44"/>
  <c r="Y52" i="44"/>
  <c r="W52" i="44"/>
  <c r="X54" i="44"/>
  <c r="Y54" i="44"/>
  <c r="X62" i="44"/>
  <c r="Y62" i="44"/>
  <c r="W62" i="44"/>
  <c r="AD10" i="45"/>
  <c r="Y10" i="45"/>
  <c r="AE10" i="45"/>
  <c r="AB10" i="45"/>
  <c r="Z10" i="45"/>
  <c r="W10" i="45"/>
  <c r="AC10" i="45"/>
  <c r="AA10" i="45"/>
  <c r="X10" i="45"/>
  <c r="AE15" i="34"/>
  <c r="AC15" i="34"/>
  <c r="AA15" i="34"/>
  <c r="X15" i="34"/>
  <c r="AD15" i="34"/>
  <c r="AB15" i="34"/>
  <c r="Z15" i="34"/>
  <c r="Y15" i="34"/>
  <c r="W15" i="34"/>
  <c r="W65" i="44"/>
  <c r="AE82" i="46"/>
  <c r="AD82" i="46"/>
  <c r="AC82" i="46"/>
  <c r="AB82" i="46"/>
  <c r="AA82" i="46"/>
  <c r="Z82" i="46"/>
  <c r="Y82" i="46"/>
  <c r="X82" i="46"/>
  <c r="W82" i="46"/>
  <c r="AE83" i="46"/>
  <c r="AD83" i="46"/>
  <c r="AC83" i="46"/>
  <c r="AB83" i="46"/>
  <c r="AA83" i="46"/>
  <c r="Z83" i="46"/>
  <c r="Y83" i="46"/>
  <c r="X83" i="46"/>
  <c r="W83" i="46"/>
  <c r="AE84" i="46"/>
  <c r="AD84" i="46"/>
  <c r="AC84" i="46"/>
  <c r="AB84" i="46"/>
  <c r="AA84" i="46"/>
  <c r="Z84" i="46"/>
  <c r="Y84" i="46"/>
  <c r="X84" i="46"/>
  <c r="W84" i="46"/>
  <c r="AE85" i="46"/>
  <c r="AD85" i="46"/>
  <c r="AC85" i="46"/>
  <c r="AB85" i="46"/>
  <c r="AA85" i="46"/>
  <c r="Z85" i="46"/>
  <c r="Y85" i="46"/>
  <c r="X85" i="46"/>
  <c r="W85" i="46"/>
  <c r="AE24" i="46"/>
  <c r="AD24" i="46"/>
  <c r="AC24" i="46"/>
  <c r="AB24" i="46"/>
  <c r="AA24" i="46"/>
  <c r="Z24" i="46"/>
  <c r="Y24" i="46"/>
  <c r="X24" i="46"/>
  <c r="W24" i="46"/>
  <c r="AE25" i="46"/>
  <c r="AD25" i="46"/>
  <c r="AC25" i="46"/>
  <c r="AB25" i="46"/>
  <c r="AA25" i="46"/>
  <c r="Z25" i="46"/>
  <c r="Y25" i="46"/>
  <c r="X25" i="46"/>
  <c r="W25" i="46"/>
  <c r="AE26" i="46"/>
  <c r="AD26" i="46"/>
  <c r="AC26" i="46"/>
  <c r="AB26" i="46"/>
  <c r="AA26" i="46"/>
  <c r="Z26" i="46"/>
  <c r="Y26" i="46"/>
  <c r="X26" i="46"/>
  <c r="W26" i="46"/>
  <c r="AE27" i="46"/>
  <c r="AD27" i="46"/>
  <c r="AC27" i="46"/>
  <c r="AB27" i="46"/>
  <c r="AA27" i="46"/>
  <c r="Z27" i="46"/>
  <c r="Y27" i="46"/>
  <c r="X27" i="46"/>
  <c r="W27" i="46"/>
  <c r="AE28" i="46"/>
  <c r="AD28" i="46"/>
  <c r="AC28" i="46"/>
  <c r="AB28" i="46"/>
  <c r="AA28" i="46"/>
  <c r="Z28" i="46"/>
  <c r="Y28" i="46"/>
  <c r="X28" i="46"/>
  <c r="W28" i="46"/>
  <c r="AE30" i="46"/>
  <c r="AD30" i="46"/>
  <c r="AC30" i="46"/>
  <c r="AB30" i="46"/>
  <c r="AA30" i="46"/>
  <c r="Z30" i="46"/>
  <c r="Y30" i="46"/>
  <c r="X30" i="46"/>
  <c r="W30" i="46"/>
  <c r="AE31" i="46"/>
  <c r="AD31" i="46"/>
  <c r="AC31" i="46"/>
  <c r="AB31" i="46"/>
  <c r="AA31" i="46"/>
  <c r="Z31" i="46"/>
  <c r="Y31" i="46"/>
  <c r="X31" i="46"/>
  <c r="W31" i="46"/>
  <c r="AE33" i="46"/>
  <c r="AD33" i="46"/>
  <c r="AC33" i="46"/>
  <c r="AB33" i="46"/>
  <c r="AA33" i="46"/>
  <c r="Z33" i="46"/>
  <c r="Y33" i="46"/>
  <c r="X33" i="46"/>
  <c r="W33" i="46"/>
  <c r="AE34" i="46"/>
  <c r="AD34" i="46"/>
  <c r="AC34" i="46"/>
  <c r="AB34" i="46"/>
  <c r="AA34" i="46"/>
  <c r="Z34" i="46"/>
  <c r="Y34" i="46"/>
  <c r="X34" i="46"/>
  <c r="W34" i="46"/>
  <c r="AE35" i="46"/>
  <c r="AD35" i="46"/>
  <c r="AC35" i="46"/>
  <c r="AB35" i="46"/>
  <c r="AA35" i="46"/>
  <c r="Z35" i="46"/>
  <c r="Y35" i="46"/>
  <c r="X35" i="46"/>
  <c r="W35" i="46"/>
  <c r="AE36" i="46"/>
  <c r="AD36" i="46"/>
  <c r="AC36" i="46"/>
  <c r="AB36" i="46"/>
  <c r="AA36" i="46"/>
  <c r="Z36" i="46"/>
  <c r="Y36" i="46"/>
  <c r="X36" i="46"/>
  <c r="W36" i="46"/>
  <c r="AE37" i="46"/>
  <c r="AD37" i="46"/>
  <c r="AC37" i="46"/>
  <c r="AB37" i="46"/>
  <c r="AA37" i="46"/>
  <c r="Z37" i="46"/>
  <c r="Y37" i="46"/>
  <c r="X37" i="46"/>
  <c r="W37" i="46"/>
  <c r="AE38" i="46"/>
  <c r="AD38" i="46"/>
  <c r="AC38" i="46"/>
  <c r="AB38" i="46"/>
  <c r="AA38" i="46"/>
  <c r="Z38" i="46"/>
  <c r="Y38" i="46"/>
  <c r="X38" i="46"/>
  <c r="W38" i="46"/>
  <c r="AE39" i="46"/>
  <c r="AD39" i="46"/>
  <c r="AC39" i="46"/>
  <c r="AB39" i="46"/>
  <c r="AA39" i="46"/>
  <c r="Z39" i="46"/>
  <c r="Y39" i="46"/>
  <c r="X39" i="46"/>
  <c r="W39" i="46"/>
  <c r="AE40" i="46"/>
  <c r="AD40" i="46"/>
  <c r="AC40" i="46"/>
  <c r="AB40" i="46"/>
  <c r="AA40" i="46"/>
  <c r="Z40" i="46"/>
  <c r="Y40" i="46"/>
  <c r="X40" i="46"/>
  <c r="W40" i="46"/>
  <c r="AE41" i="46"/>
  <c r="AD41" i="46"/>
  <c r="AC41" i="46"/>
  <c r="AB41" i="46"/>
  <c r="AA41" i="46"/>
  <c r="Z41" i="46"/>
  <c r="Y41" i="46"/>
  <c r="X41" i="46"/>
  <c r="W41" i="46"/>
  <c r="AE42" i="46"/>
  <c r="AD42" i="46"/>
  <c r="AC42" i="46"/>
  <c r="AB42" i="46"/>
  <c r="AA42" i="46"/>
  <c r="Z42" i="46"/>
  <c r="Y42" i="46"/>
  <c r="X42" i="46"/>
  <c r="W42" i="46"/>
  <c r="AE43" i="46"/>
  <c r="AD43" i="46"/>
  <c r="AC43" i="46"/>
  <c r="AB43" i="46"/>
  <c r="AA43" i="46"/>
  <c r="Z43" i="46"/>
  <c r="Y43" i="46"/>
  <c r="X43" i="46"/>
  <c r="W43" i="46"/>
  <c r="AE44" i="46"/>
  <c r="AD44" i="46"/>
  <c r="AC44" i="46"/>
  <c r="AB44" i="46"/>
  <c r="AA44" i="46"/>
  <c r="Z44" i="46"/>
  <c r="Y44" i="46"/>
  <c r="X44" i="46"/>
  <c r="W44" i="46"/>
  <c r="AE45" i="46"/>
  <c r="AD45" i="46"/>
  <c r="AC45" i="46"/>
  <c r="AB45" i="46"/>
  <c r="AA45" i="46"/>
  <c r="Z45" i="46"/>
  <c r="Y45" i="46"/>
  <c r="X45" i="46"/>
  <c r="W45" i="46"/>
  <c r="AE46" i="46"/>
  <c r="AD46" i="46"/>
  <c r="AC46" i="46"/>
  <c r="AB46" i="46"/>
  <c r="AA46" i="46"/>
  <c r="Z46" i="46"/>
  <c r="Y46" i="46"/>
  <c r="X46" i="46"/>
  <c r="AE47" i="46"/>
  <c r="AD47" i="46"/>
  <c r="AC47" i="46"/>
  <c r="AB47" i="46"/>
  <c r="AA47" i="46"/>
  <c r="Z47" i="46"/>
  <c r="Y47" i="46"/>
  <c r="X47" i="46"/>
  <c r="W47" i="46"/>
  <c r="AE48" i="46"/>
  <c r="AD48" i="46"/>
  <c r="AC48" i="46"/>
  <c r="AB48" i="46"/>
  <c r="AA48" i="46"/>
  <c r="Z48" i="46"/>
  <c r="Y48" i="46"/>
  <c r="X48" i="46"/>
  <c r="W48" i="46"/>
  <c r="AE49" i="46"/>
  <c r="AD49" i="46"/>
  <c r="AC49" i="46"/>
  <c r="AB49" i="46"/>
  <c r="AA49" i="46"/>
  <c r="Z49" i="46"/>
  <c r="Y49" i="46"/>
  <c r="X49" i="46"/>
  <c r="W49" i="46"/>
  <c r="AE50" i="46"/>
  <c r="AD50" i="46"/>
  <c r="AC50" i="46"/>
  <c r="AB50" i="46"/>
  <c r="AA50" i="46"/>
  <c r="Z50" i="46"/>
  <c r="Y50" i="46"/>
  <c r="X50" i="46"/>
  <c r="W50" i="46"/>
  <c r="AE51" i="46"/>
  <c r="AD51" i="46"/>
  <c r="AC51" i="46"/>
  <c r="AB51" i="46"/>
  <c r="AA51" i="46"/>
  <c r="Z51" i="46"/>
  <c r="Y51" i="46"/>
  <c r="X51" i="46"/>
  <c r="W51" i="46"/>
  <c r="AE52" i="46"/>
  <c r="AD52" i="46"/>
  <c r="AC52" i="46"/>
  <c r="AB52" i="46"/>
  <c r="AA52" i="46"/>
  <c r="Z52" i="46"/>
  <c r="Y52" i="46"/>
  <c r="X52" i="46"/>
  <c r="W52" i="46"/>
  <c r="AE53" i="46"/>
  <c r="AD53" i="46"/>
  <c r="AC53" i="46"/>
  <c r="AB53" i="46"/>
  <c r="AA53" i="46"/>
  <c r="Z53" i="46"/>
  <c r="Y53" i="46"/>
  <c r="X53" i="46"/>
  <c r="W53" i="46"/>
  <c r="AE54" i="46"/>
  <c r="AD54" i="46"/>
  <c r="AC54" i="46"/>
  <c r="AB54" i="46"/>
  <c r="AA54" i="46"/>
  <c r="Z54" i="46"/>
  <c r="Y54" i="46"/>
  <c r="X54" i="46"/>
  <c r="W54" i="46"/>
  <c r="AE56" i="46"/>
  <c r="AD56" i="46"/>
  <c r="AC56" i="46"/>
  <c r="AB56" i="46"/>
  <c r="AA56" i="46"/>
  <c r="Z56" i="46"/>
  <c r="Y56" i="46"/>
  <c r="X56" i="46"/>
  <c r="W56" i="46"/>
  <c r="AE57" i="46"/>
  <c r="AD57" i="46"/>
  <c r="AC57" i="46"/>
  <c r="AB57" i="46"/>
  <c r="AA57" i="46"/>
  <c r="Z57" i="46"/>
  <c r="Y57" i="46"/>
  <c r="X57" i="46"/>
  <c r="W57" i="46"/>
  <c r="AE58" i="46"/>
  <c r="AD58" i="46"/>
  <c r="AC58" i="46"/>
  <c r="AB58" i="46"/>
  <c r="AA58" i="46"/>
  <c r="Z58" i="46"/>
  <c r="Y58" i="46"/>
  <c r="X58" i="46"/>
  <c r="W58" i="46"/>
  <c r="AE59" i="46"/>
  <c r="AD59" i="46"/>
  <c r="AC59" i="46"/>
  <c r="AB59" i="46"/>
  <c r="AA59" i="46"/>
  <c r="Z59" i="46"/>
  <c r="Y59" i="46"/>
  <c r="X59" i="46"/>
  <c r="W59" i="46"/>
  <c r="AE60" i="46"/>
  <c r="AD60" i="46"/>
  <c r="AC60" i="46"/>
  <c r="AB60" i="46"/>
  <c r="AA60" i="46"/>
  <c r="Z60" i="46"/>
  <c r="Y60" i="46"/>
  <c r="X60" i="46"/>
  <c r="W60" i="46"/>
  <c r="AE61" i="46"/>
  <c r="AD61" i="46"/>
  <c r="AC61" i="46"/>
  <c r="AB61" i="46"/>
  <c r="AA61" i="46"/>
  <c r="Z61" i="46"/>
  <c r="Y61" i="46"/>
  <c r="X61" i="46"/>
  <c r="W61" i="46"/>
  <c r="AE62" i="46"/>
  <c r="AD62" i="46"/>
  <c r="AC62" i="46"/>
  <c r="AB62" i="46"/>
  <c r="AA62" i="46"/>
  <c r="Z62" i="46"/>
  <c r="Y62" i="46"/>
  <c r="X62" i="46"/>
  <c r="W62" i="46"/>
  <c r="AE63" i="46"/>
  <c r="AD63" i="46"/>
  <c r="AC63" i="46"/>
  <c r="AB63" i="46"/>
  <c r="AA63" i="46"/>
  <c r="Z63" i="46"/>
  <c r="Y63" i="46"/>
  <c r="X63" i="46"/>
  <c r="W63" i="46"/>
  <c r="AE64" i="46"/>
  <c r="AD64" i="46"/>
  <c r="AC64" i="46"/>
  <c r="AB64" i="46"/>
  <c r="AA64" i="46"/>
  <c r="Z64" i="46"/>
  <c r="Y64" i="46"/>
  <c r="X64" i="46"/>
  <c r="W64" i="46"/>
  <c r="AE65" i="46"/>
  <c r="AD65" i="46"/>
  <c r="AC65" i="46"/>
  <c r="AB65" i="46"/>
  <c r="AA65" i="46"/>
  <c r="Z65" i="46"/>
  <c r="Y65" i="46"/>
  <c r="X65" i="46"/>
  <c r="W65" i="46"/>
  <c r="AE66" i="46"/>
  <c r="AD66" i="46"/>
  <c r="AC66" i="46"/>
  <c r="AB66" i="46"/>
  <c r="AA66" i="46"/>
  <c r="Z66" i="46"/>
  <c r="Y66" i="46"/>
  <c r="X66" i="46"/>
  <c r="W66" i="46"/>
  <c r="AE67" i="46"/>
  <c r="AD67" i="46"/>
  <c r="AC67" i="46"/>
  <c r="AB67" i="46"/>
  <c r="AA67" i="46"/>
  <c r="Z67" i="46"/>
  <c r="Y67" i="46"/>
  <c r="X67" i="46"/>
  <c r="W67" i="46"/>
  <c r="AE68" i="46"/>
  <c r="AD68" i="46"/>
  <c r="AC68" i="46"/>
  <c r="AB68" i="46"/>
  <c r="AA68" i="46"/>
  <c r="Z68" i="46"/>
  <c r="Y68" i="46"/>
  <c r="X68" i="46"/>
  <c r="W68" i="46"/>
  <c r="AE69" i="46"/>
  <c r="AD69" i="46"/>
  <c r="AC69" i="46"/>
  <c r="AB69" i="46"/>
  <c r="AA69" i="46"/>
  <c r="Z69" i="46"/>
  <c r="Y69" i="46"/>
  <c r="X69" i="46"/>
  <c r="W69" i="46"/>
  <c r="AE70" i="46"/>
  <c r="AD70" i="46"/>
  <c r="AC70" i="46"/>
  <c r="AB70" i="46"/>
  <c r="AA70" i="46"/>
  <c r="Z70" i="46"/>
  <c r="Y70" i="46"/>
  <c r="X70" i="46"/>
  <c r="W70" i="46"/>
  <c r="AE71" i="46"/>
  <c r="AD71" i="46"/>
  <c r="AC71" i="46"/>
  <c r="AB71" i="46"/>
  <c r="AA71" i="46"/>
  <c r="Z71" i="46"/>
  <c r="Y71" i="46"/>
  <c r="X71" i="46"/>
  <c r="W71" i="46"/>
  <c r="AE72" i="46"/>
  <c r="AD72" i="46"/>
  <c r="AC72" i="46"/>
  <c r="AB72" i="46"/>
  <c r="AA72" i="46"/>
  <c r="Z72" i="46"/>
  <c r="Y72" i="46"/>
  <c r="X72" i="46"/>
  <c r="W72" i="46"/>
  <c r="AE73" i="46"/>
  <c r="AD73" i="46"/>
  <c r="AC73" i="46"/>
  <c r="AB73" i="46"/>
  <c r="AA73" i="46"/>
  <c r="Z73" i="46"/>
  <c r="Y73" i="46"/>
  <c r="X73" i="46"/>
  <c r="W73" i="46"/>
  <c r="AE74" i="46"/>
  <c r="AD74" i="46"/>
  <c r="AC74" i="46"/>
  <c r="AB74" i="46"/>
  <c r="AA74" i="46"/>
  <c r="Z74" i="46"/>
  <c r="Y74" i="46"/>
  <c r="X74" i="46"/>
  <c r="W74" i="46"/>
  <c r="AE75" i="46"/>
  <c r="AD75" i="46"/>
  <c r="AC75" i="46"/>
  <c r="AB75" i="46"/>
  <c r="AA75" i="46"/>
  <c r="Z75" i="46"/>
  <c r="Y75" i="46"/>
  <c r="X75" i="46"/>
  <c r="W75" i="46"/>
  <c r="AE76" i="46"/>
  <c r="AD76" i="46"/>
  <c r="AC76" i="46"/>
  <c r="AB76" i="46"/>
  <c r="AA76" i="46"/>
  <c r="Z76" i="46"/>
  <c r="Y76" i="46"/>
  <c r="X76" i="46"/>
  <c r="W76" i="46"/>
  <c r="AE77" i="46"/>
  <c r="AD77" i="46"/>
  <c r="AC77" i="46"/>
  <c r="AB77" i="46"/>
  <c r="AA77" i="46"/>
  <c r="Z77" i="46"/>
  <c r="Y77" i="46"/>
  <c r="X77" i="46"/>
  <c r="W77" i="46"/>
  <c r="AE79" i="46"/>
  <c r="AD79" i="46"/>
  <c r="AC79" i="46"/>
  <c r="AB79" i="46"/>
  <c r="AA79" i="46"/>
  <c r="Z79" i="46"/>
  <c r="Y79" i="46"/>
  <c r="X79" i="46"/>
  <c r="W79" i="46"/>
  <c r="AE80" i="46"/>
  <c r="AD80" i="46"/>
  <c r="AC80" i="46"/>
  <c r="AB80" i="46"/>
  <c r="AA80" i="46"/>
  <c r="Z80" i="46"/>
  <c r="Y80" i="46"/>
  <c r="X80" i="46"/>
  <c r="W80" i="46"/>
  <c r="AE81" i="46"/>
  <c r="AD81" i="46"/>
  <c r="AC81" i="46"/>
  <c r="AB81" i="46"/>
  <c r="AA81" i="46"/>
  <c r="Z81" i="46"/>
  <c r="Y81" i="46"/>
  <c r="X81" i="46"/>
  <c r="W81" i="46"/>
  <c r="AE44" i="45"/>
  <c r="AD44" i="45"/>
  <c r="AC44" i="45"/>
  <c r="AB44" i="45"/>
  <c r="AA44" i="45"/>
  <c r="Z44" i="45"/>
  <c r="Y44" i="45"/>
  <c r="X44" i="45"/>
  <c r="W44" i="45"/>
  <c r="AE43" i="45"/>
  <c r="AD43" i="45"/>
  <c r="AC43" i="45"/>
  <c r="AB43" i="45"/>
  <c r="AA43" i="45"/>
  <c r="Z43" i="45"/>
  <c r="Y43" i="45"/>
  <c r="AE66" i="44"/>
  <c r="AD66" i="44"/>
  <c r="AC66" i="44"/>
  <c r="AB66" i="44"/>
  <c r="AA66" i="44"/>
  <c r="Z66" i="44"/>
  <c r="Y66" i="44"/>
  <c r="X66" i="44"/>
  <c r="W66" i="44"/>
  <c r="AE67" i="44"/>
  <c r="AD67" i="44"/>
  <c r="AC67" i="44"/>
  <c r="AB67" i="44"/>
  <c r="AA67" i="44"/>
  <c r="Z67" i="44"/>
  <c r="Y67" i="44"/>
  <c r="X67" i="44"/>
  <c r="AE68" i="44"/>
  <c r="AD68" i="44"/>
  <c r="AC68" i="44"/>
  <c r="AB68" i="44"/>
  <c r="AA68" i="44"/>
  <c r="Z68" i="44"/>
  <c r="Y68" i="44"/>
  <c r="X68" i="44"/>
  <c r="W68" i="44"/>
  <c r="AE69" i="44"/>
  <c r="AD69" i="44"/>
  <c r="AC69" i="44"/>
  <c r="AB69" i="44"/>
  <c r="AA69" i="44"/>
  <c r="Z69" i="44"/>
  <c r="Y69" i="44"/>
  <c r="X69" i="44"/>
  <c r="W69" i="44"/>
  <c r="AE29" i="44"/>
  <c r="AD29" i="44"/>
  <c r="AC29" i="44"/>
  <c r="AB29" i="44"/>
  <c r="AA29" i="44"/>
  <c r="Z29" i="44"/>
  <c r="Y29" i="44"/>
  <c r="X29" i="44"/>
  <c r="AE32" i="44"/>
  <c r="AD32" i="44"/>
  <c r="AC32" i="44"/>
  <c r="AB32" i="44"/>
  <c r="AA32" i="44"/>
  <c r="Z32" i="44"/>
  <c r="Y32" i="44"/>
  <c r="X32" i="44"/>
  <c r="W32" i="44"/>
  <c r="AE33" i="44"/>
  <c r="AD33" i="44"/>
  <c r="AC33" i="44"/>
  <c r="AB33" i="44"/>
  <c r="AA33" i="44"/>
  <c r="Z33" i="44"/>
  <c r="Y33" i="44"/>
  <c r="X33" i="44"/>
  <c r="W33" i="44"/>
  <c r="AE34" i="44"/>
  <c r="AD34" i="44"/>
  <c r="AC34" i="44"/>
  <c r="AB34" i="44"/>
  <c r="AA34" i="44"/>
  <c r="Z34" i="44"/>
  <c r="Y34" i="44"/>
  <c r="X34" i="44"/>
  <c r="AE35" i="44"/>
  <c r="AD35" i="44"/>
  <c r="AC35" i="44"/>
  <c r="AB35" i="44"/>
  <c r="AA35" i="44"/>
  <c r="Z35" i="44"/>
  <c r="Y35" i="44"/>
  <c r="X35" i="44"/>
  <c r="W35" i="44"/>
  <c r="AE36" i="44"/>
  <c r="AD36" i="44"/>
  <c r="AC36" i="44"/>
  <c r="AB36" i="44"/>
  <c r="AA36" i="44"/>
  <c r="Z36" i="44"/>
  <c r="Y36" i="44"/>
  <c r="X36" i="44"/>
  <c r="W36" i="44"/>
  <c r="AE37" i="44"/>
  <c r="AD37" i="44"/>
  <c r="AC37" i="44"/>
  <c r="AB37" i="44"/>
  <c r="AA37" i="44"/>
  <c r="Z37" i="44"/>
  <c r="Y37" i="44"/>
  <c r="X37" i="44"/>
  <c r="AE38" i="44"/>
  <c r="AD38" i="44"/>
  <c r="AC38" i="44"/>
  <c r="AB38" i="44"/>
  <c r="AA38" i="44"/>
  <c r="Z38" i="44"/>
  <c r="Y38" i="44"/>
  <c r="X38" i="44"/>
  <c r="W38" i="44"/>
  <c r="AE39" i="44"/>
  <c r="AD39" i="44"/>
  <c r="AC39" i="44"/>
  <c r="AB39" i="44"/>
  <c r="AA39" i="44"/>
  <c r="Z39" i="44"/>
  <c r="Y39" i="44"/>
  <c r="X39" i="44"/>
  <c r="AE40" i="44"/>
  <c r="AD40" i="44"/>
  <c r="AC40" i="44"/>
  <c r="AB40" i="44"/>
  <c r="AA40" i="44"/>
  <c r="Z40" i="44"/>
  <c r="Y40" i="44"/>
  <c r="X40" i="44"/>
  <c r="AE41" i="44"/>
  <c r="AD41" i="44"/>
  <c r="AC41" i="44"/>
  <c r="AB41" i="44"/>
  <c r="AA41" i="44"/>
  <c r="Z41" i="44"/>
  <c r="Y41" i="44"/>
  <c r="X41" i="44"/>
  <c r="AE42" i="44"/>
  <c r="AD42" i="44"/>
  <c r="AC42" i="44"/>
  <c r="AB42" i="44"/>
  <c r="AA42" i="44"/>
  <c r="Z42" i="44"/>
  <c r="Y42" i="44"/>
  <c r="X42" i="44"/>
  <c r="W42" i="44"/>
  <c r="AE43" i="44"/>
  <c r="AD43" i="44"/>
  <c r="AC43" i="44"/>
  <c r="AB43" i="44"/>
  <c r="AA43" i="44"/>
  <c r="Z43" i="44"/>
  <c r="Y43" i="44"/>
  <c r="X43" i="44"/>
  <c r="W43" i="44"/>
  <c r="AE44" i="44"/>
  <c r="AD44" i="44"/>
  <c r="AC44" i="44"/>
  <c r="AB44" i="44"/>
  <c r="AA44" i="44"/>
  <c r="Z44" i="44"/>
  <c r="AE45" i="44"/>
  <c r="AD45" i="44"/>
  <c r="AC45" i="44"/>
  <c r="AB45" i="44"/>
  <c r="AA45" i="44"/>
  <c r="Z45" i="44"/>
  <c r="Y45" i="44"/>
  <c r="X45" i="44"/>
  <c r="W45" i="44"/>
  <c r="AE46" i="44"/>
  <c r="AD46" i="44"/>
  <c r="AC46" i="44"/>
  <c r="AB46" i="44"/>
  <c r="AA46" i="44"/>
  <c r="Z46" i="44"/>
  <c r="Y46" i="44"/>
  <c r="X46" i="44"/>
  <c r="AE47" i="44"/>
  <c r="AD47" i="44"/>
  <c r="AC47" i="44"/>
  <c r="AB47" i="44"/>
  <c r="AA47" i="44"/>
  <c r="Z47" i="44"/>
  <c r="Y47" i="44"/>
  <c r="X47" i="44"/>
  <c r="AE48" i="44"/>
  <c r="AD48" i="44"/>
  <c r="AC48" i="44"/>
  <c r="AB48" i="44"/>
  <c r="AA48" i="44"/>
  <c r="Z48" i="44"/>
  <c r="Y48" i="44"/>
  <c r="X48" i="44"/>
  <c r="W48" i="44"/>
  <c r="AE49" i="44"/>
  <c r="AD49" i="44"/>
  <c r="AC49" i="44"/>
  <c r="AB49" i="44"/>
  <c r="AA49" i="44"/>
  <c r="Z49" i="44"/>
  <c r="Y49" i="44"/>
  <c r="X49" i="44"/>
  <c r="W49" i="44"/>
  <c r="AE51" i="44"/>
  <c r="AD51" i="44"/>
  <c r="AC51" i="44"/>
  <c r="AB51" i="44"/>
  <c r="AA51" i="44"/>
  <c r="Z51" i="44"/>
  <c r="Y51" i="44"/>
  <c r="X51" i="44"/>
  <c r="W51" i="44"/>
  <c r="AE52" i="44"/>
  <c r="AD52" i="44"/>
  <c r="AC52" i="44"/>
  <c r="AB52" i="44"/>
  <c r="AA52" i="44"/>
  <c r="Z52" i="44"/>
  <c r="X52" i="44"/>
  <c r="AE53" i="44"/>
  <c r="AD53" i="44"/>
  <c r="AC53" i="44"/>
  <c r="AB53" i="44"/>
  <c r="AA53" i="44"/>
  <c r="Z53" i="44"/>
  <c r="Y53" i="44"/>
  <c r="X53" i="44"/>
  <c r="W53" i="44"/>
  <c r="AE54" i="44"/>
  <c r="AD54" i="44"/>
  <c r="AC54" i="44"/>
  <c r="AB54" i="44"/>
  <c r="AA54" i="44"/>
  <c r="Z54" i="44"/>
  <c r="AE55" i="44"/>
  <c r="AD55" i="44"/>
  <c r="AC55" i="44"/>
  <c r="AB55" i="44"/>
  <c r="AA55" i="44"/>
  <c r="Z55" i="44"/>
  <c r="Y55" i="44"/>
  <c r="X55" i="44"/>
  <c r="W55" i="44"/>
  <c r="AE73" i="44"/>
  <c r="AD73" i="44"/>
  <c r="AC73" i="44"/>
  <c r="AB73" i="44"/>
  <c r="AA73" i="44"/>
  <c r="Z73" i="44"/>
  <c r="Y73" i="44"/>
  <c r="X73" i="44"/>
  <c r="W73" i="44"/>
  <c r="AE72" i="44"/>
  <c r="AD72" i="44"/>
  <c r="AC72" i="44"/>
  <c r="AB72" i="44"/>
  <c r="AA72" i="44"/>
  <c r="Z72" i="44"/>
  <c r="Y72" i="44"/>
  <c r="X72" i="44"/>
  <c r="W72" i="44"/>
  <c r="AE71" i="44"/>
  <c r="AD71" i="44"/>
  <c r="AC71" i="44"/>
  <c r="AB71" i="44"/>
  <c r="AA71" i="44"/>
  <c r="Z71" i="44"/>
  <c r="Y71" i="44"/>
  <c r="AE70" i="44"/>
  <c r="AD70" i="44"/>
  <c r="AC70" i="44"/>
  <c r="AB70" i="44"/>
  <c r="AA70" i="44"/>
  <c r="Z70" i="44"/>
  <c r="Y70" i="44"/>
  <c r="X70" i="44"/>
  <c r="W70" i="44"/>
  <c r="AE61" i="44"/>
  <c r="AD61" i="44"/>
  <c r="AC61" i="44"/>
  <c r="AB61" i="44"/>
  <c r="AA61" i="44"/>
  <c r="Z61" i="44"/>
  <c r="Y61" i="44"/>
  <c r="X61" i="44"/>
  <c r="AE62" i="44"/>
  <c r="AD62" i="44"/>
  <c r="AC62" i="44"/>
  <c r="AB62" i="44"/>
  <c r="AA62" i="44"/>
  <c r="Z62" i="44"/>
  <c r="AE63" i="44"/>
  <c r="AD63" i="44"/>
  <c r="AC63" i="44"/>
  <c r="AB63" i="44"/>
  <c r="AA63" i="44"/>
  <c r="Z63" i="44"/>
  <c r="Y63" i="44"/>
  <c r="X63" i="44"/>
  <c r="W63" i="44"/>
  <c r="AE64" i="44"/>
  <c r="AD64" i="44"/>
  <c r="AC64" i="44"/>
  <c r="AB64" i="44"/>
  <c r="AA64" i="44"/>
  <c r="Z64" i="44"/>
  <c r="Y64" i="44"/>
  <c r="X64" i="44"/>
  <c r="W64" i="44"/>
  <c r="AE65" i="44"/>
  <c r="AD65" i="44"/>
  <c r="AC65" i="44"/>
  <c r="AB65" i="44"/>
  <c r="AA65" i="44"/>
  <c r="Z65" i="44"/>
  <c r="Y65" i="44"/>
  <c r="X65" i="44"/>
  <c r="AE67" i="42"/>
  <c r="AD67" i="42"/>
  <c r="AC67" i="42"/>
  <c r="AB67" i="42"/>
  <c r="AA67" i="42"/>
  <c r="Z67" i="42"/>
  <c r="Y67" i="42"/>
  <c r="X67" i="42"/>
  <c r="AE68" i="42"/>
  <c r="AD68" i="42"/>
  <c r="AC68" i="42"/>
  <c r="AB68" i="42"/>
  <c r="AA68" i="42"/>
  <c r="Z68" i="42"/>
  <c r="Y68" i="42"/>
  <c r="X68" i="42"/>
  <c r="W68" i="42"/>
  <c r="AE49" i="42"/>
  <c r="AD49" i="42"/>
  <c r="AC49" i="42"/>
  <c r="AB49" i="42"/>
  <c r="AA49" i="42"/>
  <c r="Z49" i="42"/>
  <c r="Y49" i="42"/>
  <c r="X49" i="42"/>
  <c r="W49" i="42"/>
  <c r="AE50" i="42"/>
  <c r="AD50" i="42"/>
  <c r="AC50" i="42"/>
  <c r="AB50" i="42"/>
  <c r="AA50" i="42"/>
  <c r="Z50" i="42"/>
  <c r="Y50" i="42"/>
  <c r="AE51" i="42"/>
  <c r="AD51" i="42"/>
  <c r="AC51" i="42"/>
  <c r="AB51" i="42"/>
  <c r="AA51" i="42"/>
  <c r="Z51" i="42"/>
  <c r="Y51" i="42"/>
  <c r="X51" i="42"/>
  <c r="AE52" i="42"/>
  <c r="AD52" i="42"/>
  <c r="AC52" i="42"/>
  <c r="AB52" i="42"/>
  <c r="AA52" i="42"/>
  <c r="Z52" i="42"/>
  <c r="Y52" i="42"/>
  <c r="X52" i="42"/>
  <c r="W52" i="42"/>
  <c r="AE53" i="42"/>
  <c r="AD53" i="42"/>
  <c r="AC53" i="42"/>
  <c r="AB53" i="42"/>
  <c r="AA53" i="42"/>
  <c r="Z53" i="42"/>
  <c r="Y53" i="42"/>
  <c r="X53" i="42"/>
  <c r="AE54" i="42"/>
  <c r="AD54" i="42"/>
  <c r="AC54" i="42"/>
  <c r="AB54" i="42"/>
  <c r="AA54" i="42"/>
  <c r="Z54" i="42"/>
  <c r="Y54" i="42"/>
  <c r="X54" i="42"/>
  <c r="AE55" i="42"/>
  <c r="AD55" i="42"/>
  <c r="AC55" i="42"/>
  <c r="AB55" i="42"/>
  <c r="AA55" i="42"/>
  <c r="Z55" i="42"/>
  <c r="Y55" i="42"/>
  <c r="X55" i="42"/>
  <c r="W55" i="42"/>
  <c r="AE56" i="42"/>
  <c r="AD56" i="42"/>
  <c r="AC56" i="42"/>
  <c r="AB56" i="42"/>
  <c r="AA56" i="42"/>
  <c r="Z56" i="42"/>
  <c r="Y56" i="42"/>
  <c r="X56" i="42"/>
  <c r="W56" i="42"/>
  <c r="AE57" i="42"/>
  <c r="AD57" i="42"/>
  <c r="AC57" i="42"/>
  <c r="AB57" i="42"/>
  <c r="AA57" i="42"/>
  <c r="Z57" i="42"/>
  <c r="Y57" i="42"/>
  <c r="X57" i="42"/>
  <c r="W57" i="42"/>
  <c r="AE58" i="42"/>
  <c r="AD58" i="42"/>
  <c r="AC58" i="42"/>
  <c r="AB58" i="42"/>
  <c r="AA58" i="42"/>
  <c r="Z58" i="42"/>
  <c r="AE59" i="42"/>
  <c r="AD59" i="42"/>
  <c r="AC59" i="42"/>
  <c r="AB59" i="42"/>
  <c r="AA59" i="42"/>
  <c r="Z59" i="42"/>
  <c r="Y59" i="42"/>
  <c r="X59" i="42"/>
  <c r="W59" i="42"/>
  <c r="AE60" i="42"/>
  <c r="AD60" i="42"/>
  <c r="AC60" i="42"/>
  <c r="AB60" i="42"/>
  <c r="AA60" i="42"/>
  <c r="Z60" i="42"/>
  <c r="Y60" i="42"/>
  <c r="X60" i="42"/>
  <c r="AE61" i="42"/>
  <c r="AD61" i="42"/>
  <c r="AC61" i="42"/>
  <c r="AB61" i="42"/>
  <c r="AA61" i="42"/>
  <c r="Z61" i="42"/>
  <c r="Y61" i="42"/>
  <c r="AE62" i="42"/>
  <c r="AD62" i="42"/>
  <c r="AC62" i="42"/>
  <c r="AB62" i="42"/>
  <c r="AA62" i="42"/>
  <c r="Z62" i="42"/>
  <c r="Y62" i="42"/>
  <c r="AE63" i="42"/>
  <c r="AD63" i="42"/>
  <c r="AC63" i="42"/>
  <c r="AB63" i="42"/>
  <c r="AA63" i="42"/>
  <c r="Z63" i="42"/>
  <c r="Y63" i="42"/>
  <c r="X63" i="42"/>
  <c r="AE64" i="42"/>
  <c r="AD64" i="42"/>
  <c r="AC64" i="42"/>
  <c r="AB64" i="42"/>
  <c r="AA64" i="42"/>
  <c r="Z64" i="42"/>
  <c r="X64" i="42"/>
  <c r="W64" i="42"/>
  <c r="AE65" i="42"/>
  <c r="AD65" i="42"/>
  <c r="AC65" i="42"/>
  <c r="AB65" i="42"/>
  <c r="AA65" i="42"/>
  <c r="Z65" i="42"/>
  <c r="Y65" i="42"/>
  <c r="X65" i="42"/>
  <c r="W65" i="42"/>
  <c r="AE66" i="42"/>
  <c r="AD66" i="42"/>
  <c r="AC66" i="42"/>
  <c r="AB66" i="42"/>
  <c r="AA66" i="42"/>
  <c r="Z66" i="42"/>
  <c r="Y66" i="42"/>
  <c r="AD11" i="42"/>
  <c r="AB11" i="42"/>
  <c r="Z11" i="42"/>
  <c r="X11" i="42"/>
  <c r="AE11" i="42"/>
  <c r="AC11" i="42"/>
  <c r="AA11" i="42"/>
  <c r="Y11" i="42"/>
  <c r="W11" i="42"/>
  <c r="AE20" i="41"/>
  <c r="AD20" i="41"/>
  <c r="AC20" i="41"/>
  <c r="AB20" i="41"/>
  <c r="AA20" i="41"/>
  <c r="Z20" i="41"/>
  <c r="Y20" i="41"/>
  <c r="X20" i="41"/>
  <c r="AE21" i="41"/>
  <c r="AD21" i="41"/>
  <c r="AC21" i="41"/>
  <c r="AB21" i="41"/>
  <c r="AA21" i="41"/>
  <c r="Z21" i="41"/>
  <c r="Y21" i="41"/>
  <c r="X21" i="41"/>
  <c r="AE22" i="41"/>
  <c r="AD22" i="41"/>
  <c r="AC22" i="41"/>
  <c r="AB22" i="41"/>
  <c r="AA22" i="41"/>
  <c r="Z22" i="41"/>
  <c r="Y22" i="41"/>
  <c r="X22" i="41"/>
  <c r="AA23" i="41"/>
  <c r="Z23" i="41"/>
  <c r="Y23" i="41"/>
  <c r="X23" i="41"/>
  <c r="W23" i="41"/>
  <c r="AE24" i="41"/>
  <c r="AD24" i="41"/>
  <c r="AC24" i="41"/>
  <c r="AB24" i="41"/>
  <c r="AA24" i="41"/>
  <c r="Z24" i="41"/>
  <c r="Y24" i="41"/>
  <c r="X24" i="41"/>
  <c r="AE25" i="41"/>
  <c r="AD25" i="41"/>
  <c r="AC25" i="41"/>
  <c r="AB25" i="41"/>
  <c r="AA25" i="41"/>
  <c r="Z25" i="41"/>
  <c r="Y25" i="41"/>
  <c r="X25" i="41"/>
  <c r="W25" i="41"/>
  <c r="AE26" i="41"/>
  <c r="AD26" i="41"/>
  <c r="AC26" i="41"/>
  <c r="AB26" i="41"/>
  <c r="AA26" i="41"/>
  <c r="Z26" i="41"/>
  <c r="Y26" i="41"/>
  <c r="X26" i="41"/>
  <c r="W26" i="41"/>
  <c r="AE28" i="41"/>
  <c r="AD28" i="41"/>
  <c r="AC28" i="41"/>
  <c r="AB28" i="41"/>
  <c r="AA28" i="41"/>
  <c r="Z28" i="41"/>
  <c r="Y28" i="41"/>
  <c r="X28" i="41"/>
  <c r="AE29" i="41"/>
  <c r="AD29" i="41"/>
  <c r="AC29" i="41"/>
  <c r="AB29" i="41"/>
  <c r="AA29" i="41"/>
  <c r="Z29" i="41"/>
  <c r="Y29" i="41"/>
  <c r="AE30" i="41"/>
  <c r="AD30" i="41"/>
  <c r="AC30" i="41"/>
  <c r="AB30" i="41"/>
  <c r="AA30" i="41"/>
  <c r="Z30" i="41"/>
  <c r="Y30" i="41"/>
  <c r="AE16" i="41"/>
  <c r="AD16" i="41"/>
  <c r="AC16" i="41"/>
  <c r="AB16" i="41"/>
  <c r="AA16" i="41"/>
  <c r="Z16" i="41"/>
  <c r="X16" i="41"/>
  <c r="W16" i="41"/>
  <c r="AE17" i="41"/>
  <c r="AD17" i="41"/>
  <c r="AC17" i="41"/>
  <c r="AB17" i="41"/>
  <c r="AA17" i="41"/>
  <c r="Z17" i="41"/>
  <c r="Y17" i="41"/>
  <c r="X17" i="41"/>
  <c r="W17" i="41"/>
  <c r="AE18" i="41"/>
  <c r="AD18" i="41"/>
  <c r="AC18" i="41"/>
  <c r="AE19" i="41"/>
  <c r="AD19" i="41"/>
  <c r="AC19" i="41"/>
  <c r="AB19" i="41"/>
  <c r="AA19" i="41"/>
  <c r="Z19" i="41"/>
  <c r="Y19" i="41"/>
  <c r="Z11" i="35"/>
  <c r="AD11" i="35"/>
  <c r="AA11" i="35"/>
  <c r="AB11" i="35"/>
  <c r="X11" i="35"/>
  <c r="W11" i="35"/>
  <c r="Y11" i="35"/>
  <c r="AE11" i="35"/>
  <c r="AC11" i="35"/>
  <c r="AD14" i="34"/>
  <c r="AA14" i="34"/>
  <c r="W14" i="34"/>
  <c r="AB14" i="34"/>
  <c r="X14" i="34"/>
  <c r="AC14" i="34"/>
  <c r="Y14" i="34"/>
  <c r="AE14" i="34"/>
  <c r="Z14" i="34"/>
  <c r="W46" i="46"/>
  <c r="W67" i="44"/>
  <c r="W39" i="44"/>
  <c r="W40" i="44"/>
  <c r="W46" i="44"/>
  <c r="W54" i="44"/>
  <c r="X19" i="41"/>
  <c r="AD23" i="41"/>
  <c r="AE23" i="41"/>
  <c r="W28" i="41"/>
  <c r="X29" i="41"/>
  <c r="X59" i="34"/>
  <c r="W59" i="34"/>
  <c r="Z62" i="34"/>
  <c r="W13" i="34"/>
  <c r="X37" i="34"/>
  <c r="W39" i="34"/>
  <c r="W42" i="34"/>
  <c r="W43" i="34"/>
  <c r="X44" i="34"/>
  <c r="W40" i="41"/>
  <c r="W63" i="41"/>
  <c r="AA78" i="46"/>
  <c r="AB78" i="46"/>
  <c r="W78" i="46"/>
  <c r="AD78" i="46"/>
  <c r="X78" i="46"/>
  <c r="AC78" i="46"/>
  <c r="Y78" i="46"/>
  <c r="Z78" i="46"/>
  <c r="AE78" i="46"/>
  <c r="X43" i="45"/>
  <c r="W43" i="45"/>
  <c r="X15" i="41"/>
  <c r="Y15" i="41"/>
  <c r="W18" i="41"/>
  <c r="Z18" i="41"/>
  <c r="Y18" i="41"/>
  <c r="AB18" i="41"/>
  <c r="AA18" i="41"/>
  <c r="X18" i="41"/>
  <c r="X36" i="41"/>
  <c r="Y36" i="41"/>
  <c r="Z36" i="41"/>
  <c r="AA36" i="41"/>
  <c r="AB36" i="41"/>
  <c r="AC36" i="41"/>
  <c r="AD36" i="41"/>
  <c r="AE36" i="41"/>
  <c r="AD21" i="38"/>
  <c r="AE21" i="38"/>
  <c r="AE10" i="44"/>
  <c r="AB10" i="44"/>
  <c r="W10" i="44"/>
  <c r="AD10" i="44"/>
  <c r="Y10" i="44"/>
  <c r="Z10" i="44"/>
  <c r="AA10" i="44"/>
  <c r="AC10" i="44"/>
  <c r="X10" i="44"/>
  <c r="AE25" i="43"/>
  <c r="AD25" i="43"/>
  <c r="AC25" i="43"/>
  <c r="AB25" i="43"/>
  <c r="AA25" i="43"/>
  <c r="Z25" i="43"/>
  <c r="Y25" i="43"/>
  <c r="X25" i="43"/>
  <c r="W25" i="43"/>
  <c r="AE26" i="43"/>
  <c r="AD26" i="43"/>
  <c r="AC26" i="43"/>
  <c r="AB26" i="43"/>
  <c r="AA26" i="43"/>
  <c r="Z26" i="43"/>
  <c r="Y26" i="43"/>
  <c r="X26" i="43"/>
  <c r="AE27" i="43"/>
  <c r="AD27" i="43"/>
  <c r="AC27" i="43"/>
  <c r="AB27" i="43"/>
  <c r="AA27" i="43"/>
  <c r="Z27" i="43"/>
  <c r="Y27" i="43"/>
  <c r="X27" i="43"/>
  <c r="AD28" i="43"/>
  <c r="AC28" i="43"/>
  <c r="AB28" i="43"/>
  <c r="AA28" i="43"/>
  <c r="Z28" i="43"/>
  <c r="Y28" i="43"/>
  <c r="X28" i="43"/>
  <c r="W28" i="43"/>
  <c r="AE34" i="43"/>
  <c r="AD34" i="43"/>
  <c r="AC34" i="43"/>
  <c r="AB34" i="43"/>
  <c r="AA34" i="43"/>
  <c r="Z34" i="43"/>
  <c r="Y34" i="43"/>
  <c r="X34" i="43"/>
  <c r="W34" i="43"/>
  <c r="AE35" i="43"/>
  <c r="AD35" i="43"/>
  <c r="AC35" i="43"/>
  <c r="AB35" i="43"/>
  <c r="AA35" i="43"/>
  <c r="AE36" i="43"/>
  <c r="AD36" i="43"/>
  <c r="AC36" i="43"/>
  <c r="AB36" i="43"/>
  <c r="AA36" i="43"/>
  <c r="Z36" i="43"/>
  <c r="Y36" i="43"/>
  <c r="X36" i="43"/>
  <c r="W36" i="43"/>
  <c r="AE37" i="43"/>
  <c r="AD37" i="43"/>
  <c r="AC37" i="43"/>
  <c r="AB37" i="43"/>
  <c r="AA37" i="43"/>
  <c r="Z37" i="43"/>
  <c r="AE38" i="43"/>
  <c r="AD38" i="43"/>
  <c r="AC38" i="43"/>
  <c r="AB38" i="43"/>
  <c r="AA38" i="43"/>
  <c r="Z38" i="43"/>
  <c r="Y38" i="43"/>
  <c r="X38" i="43"/>
  <c r="W38" i="43"/>
  <c r="AE39" i="43"/>
  <c r="AD39" i="43"/>
  <c r="AC39" i="43"/>
  <c r="AB39" i="43"/>
  <c r="AA39" i="43"/>
  <c r="Z39" i="43"/>
  <c r="Y39" i="43"/>
  <c r="W39" i="43"/>
  <c r="AE40" i="43"/>
  <c r="AD40" i="43"/>
  <c r="AC40" i="43"/>
  <c r="AB40" i="43"/>
  <c r="AA40" i="43"/>
  <c r="Z40" i="43"/>
  <c r="Y40" i="43"/>
  <c r="X40" i="43"/>
  <c r="AE41" i="43"/>
  <c r="AD41" i="43"/>
  <c r="AC41" i="43"/>
  <c r="AB41" i="43"/>
  <c r="AA41" i="43"/>
  <c r="Z41" i="43"/>
  <c r="Y41" i="43"/>
  <c r="X41" i="43"/>
  <c r="AE42" i="43"/>
  <c r="AD42" i="43"/>
  <c r="AC42" i="43"/>
  <c r="AB42" i="43"/>
  <c r="AA42" i="43"/>
  <c r="Z42" i="43"/>
  <c r="Y42" i="43"/>
  <c r="X42" i="43"/>
  <c r="W42" i="43"/>
  <c r="AE43" i="43"/>
  <c r="AD43" i="43"/>
  <c r="AC43" i="43"/>
  <c r="AB43" i="43"/>
  <c r="AA43" i="43"/>
  <c r="Z43" i="43"/>
  <c r="Y43" i="43"/>
  <c r="X43" i="43"/>
  <c r="W43" i="43"/>
  <c r="AE44" i="43"/>
  <c r="AD44" i="43"/>
  <c r="AC44" i="43"/>
  <c r="AB44" i="43"/>
  <c r="AA44" i="43"/>
  <c r="Z44" i="43"/>
  <c r="Y44" i="43"/>
  <c r="X44" i="43"/>
  <c r="AE45" i="43"/>
  <c r="AD45" i="43"/>
  <c r="AC45" i="43"/>
  <c r="AB45" i="43"/>
  <c r="AA45" i="43"/>
  <c r="Z45" i="43"/>
  <c r="Y45" i="43"/>
  <c r="X45" i="43"/>
  <c r="W45" i="43"/>
  <c r="AE46" i="43"/>
  <c r="AD46" i="43"/>
  <c r="AC46" i="43"/>
  <c r="AB46" i="43"/>
  <c r="AA46" i="43"/>
  <c r="Z46" i="43"/>
  <c r="Y46" i="43"/>
  <c r="X46" i="43"/>
  <c r="AE47" i="43"/>
  <c r="AD47" i="43"/>
  <c r="AC47" i="43"/>
  <c r="AB47" i="43"/>
  <c r="AA47" i="43"/>
  <c r="Z47" i="43"/>
  <c r="Y47" i="43"/>
  <c r="X47" i="43"/>
  <c r="W47" i="43"/>
  <c r="AE48" i="43"/>
  <c r="AD48" i="43"/>
  <c r="AC48" i="43"/>
  <c r="AB48" i="43"/>
  <c r="AA48" i="43"/>
  <c r="Z48" i="43"/>
  <c r="Y48" i="43"/>
  <c r="X48" i="43"/>
  <c r="W48" i="43"/>
  <c r="AE49" i="43"/>
  <c r="AD49" i="43"/>
  <c r="AC49" i="43"/>
  <c r="AB49" i="43"/>
  <c r="AA49" i="43"/>
  <c r="Z49" i="43"/>
  <c r="Y49" i="43"/>
  <c r="X49" i="43"/>
  <c r="W49" i="43"/>
  <c r="AE50" i="43"/>
  <c r="AD50" i="43"/>
  <c r="AC50" i="43"/>
  <c r="AB50" i="43"/>
  <c r="AA50" i="43"/>
  <c r="Z50" i="43"/>
  <c r="Y50" i="43"/>
  <c r="X50" i="43"/>
  <c r="AE51" i="43"/>
  <c r="AD51" i="43"/>
  <c r="AC51" i="43"/>
  <c r="AB51" i="43"/>
  <c r="AA51" i="43"/>
  <c r="Z51" i="43"/>
  <c r="Y51" i="43"/>
  <c r="X51" i="43"/>
  <c r="W51" i="43"/>
  <c r="AE52" i="43"/>
  <c r="AD52" i="43"/>
  <c r="AC52" i="43"/>
  <c r="AB52" i="43"/>
  <c r="AA52" i="43"/>
  <c r="Z52" i="43"/>
  <c r="Y52" i="43"/>
  <c r="AE53" i="43"/>
  <c r="AD53" i="43"/>
  <c r="AC53" i="43"/>
  <c r="AB53" i="43"/>
  <c r="AA53" i="43"/>
  <c r="Z53" i="43"/>
  <c r="Y53" i="43"/>
  <c r="X53" i="43"/>
  <c r="W53" i="43"/>
  <c r="AE54" i="43"/>
  <c r="AD54" i="43"/>
  <c r="AC54" i="43"/>
  <c r="AB54" i="43"/>
  <c r="AA54" i="43"/>
  <c r="Z54" i="43"/>
  <c r="Y54" i="43"/>
  <c r="X54" i="43"/>
  <c r="W54" i="43"/>
  <c r="AE55" i="43"/>
  <c r="AD55" i="43"/>
  <c r="AC55" i="43"/>
  <c r="AB55" i="43"/>
  <c r="AA55" i="43"/>
  <c r="Z55" i="43"/>
  <c r="Y55" i="43"/>
  <c r="AE56" i="43"/>
  <c r="AD56" i="43"/>
  <c r="AC56" i="43"/>
  <c r="AB56" i="43"/>
  <c r="AA56" i="43"/>
  <c r="Z56" i="43"/>
  <c r="Y56" i="43"/>
  <c r="X56" i="43"/>
  <c r="AE57" i="43"/>
  <c r="AD57" i="43"/>
  <c r="AC57" i="43"/>
  <c r="AB57" i="43"/>
  <c r="AA57" i="43"/>
  <c r="Z57" i="43"/>
  <c r="Y57" i="43"/>
  <c r="AE58" i="43"/>
  <c r="AD58" i="43"/>
  <c r="AC58" i="43"/>
  <c r="AB58" i="43"/>
  <c r="AA58" i="43"/>
  <c r="Z58" i="43"/>
  <c r="Y58" i="43"/>
  <c r="X58" i="43"/>
  <c r="W58" i="43"/>
  <c r="AE59" i="43"/>
  <c r="AD59" i="43"/>
  <c r="AC59" i="43"/>
  <c r="AB59" i="43"/>
  <c r="AA59" i="43"/>
  <c r="Z59" i="43"/>
  <c r="AE60" i="43"/>
  <c r="AD60" i="43"/>
  <c r="AC60" i="43"/>
  <c r="AB60" i="43"/>
  <c r="AA60" i="43"/>
  <c r="Z60" i="43"/>
  <c r="Y60" i="43"/>
  <c r="X60" i="43"/>
  <c r="W60" i="43"/>
  <c r="AE61" i="43"/>
  <c r="AD61" i="43"/>
  <c r="AC61" i="43"/>
  <c r="AB61" i="43"/>
  <c r="AA61" i="43"/>
  <c r="Z61" i="43"/>
  <c r="Y61" i="43"/>
  <c r="X61" i="43"/>
  <c r="AE62" i="43"/>
  <c r="AD62" i="43"/>
  <c r="AC62" i="43"/>
  <c r="AB62" i="43"/>
  <c r="AA62" i="43"/>
  <c r="Z62" i="43"/>
  <c r="Y62" i="43"/>
  <c r="X62" i="43"/>
  <c r="AE63" i="43"/>
  <c r="AD63" i="43"/>
  <c r="AC63" i="43"/>
  <c r="AB63" i="43"/>
  <c r="AA63" i="43"/>
  <c r="Z63" i="43"/>
  <c r="X63" i="43"/>
  <c r="W63" i="43"/>
  <c r="AE64" i="43"/>
  <c r="AD64" i="43"/>
  <c r="AC64" i="43"/>
  <c r="AB64" i="43"/>
  <c r="AA64" i="43"/>
  <c r="Z64" i="43"/>
  <c r="Y64" i="43"/>
  <c r="X64" i="43"/>
  <c r="AE65" i="43"/>
  <c r="AD65" i="43"/>
  <c r="AC65" i="43"/>
  <c r="AB65" i="43"/>
  <c r="AA65" i="43"/>
  <c r="Z65" i="43"/>
  <c r="Y65" i="43"/>
  <c r="X65" i="43"/>
  <c r="AE66" i="43"/>
  <c r="AD66" i="43"/>
  <c r="AC66" i="43"/>
  <c r="AB66" i="43"/>
  <c r="AA66" i="43"/>
  <c r="Z66" i="43"/>
  <c r="Y66" i="43"/>
  <c r="X66" i="43"/>
  <c r="W66" i="43"/>
  <c r="AE67" i="43"/>
  <c r="AD67" i="43"/>
  <c r="AC67" i="43"/>
  <c r="AB67" i="43"/>
  <c r="AA67" i="43"/>
  <c r="Z67" i="43"/>
  <c r="Y67" i="43"/>
  <c r="X67" i="43"/>
  <c r="W67" i="43"/>
  <c r="AE68" i="43"/>
  <c r="AD68" i="43"/>
  <c r="AC68" i="43"/>
  <c r="AB68" i="43"/>
  <c r="AA68" i="43"/>
  <c r="Z68" i="43"/>
  <c r="Y68" i="43"/>
  <c r="AE69" i="43"/>
  <c r="AD69" i="43"/>
  <c r="AC69" i="43"/>
  <c r="AB69" i="43"/>
  <c r="AA69" i="43"/>
  <c r="Z69" i="43"/>
  <c r="Y69" i="43"/>
  <c r="AE70" i="43"/>
  <c r="AD70" i="43"/>
  <c r="AC70" i="43"/>
  <c r="AB70" i="43"/>
  <c r="AA70" i="43"/>
  <c r="Z70" i="43"/>
  <c r="Y70" i="43"/>
  <c r="X70" i="43"/>
  <c r="AE71" i="43"/>
  <c r="AD71" i="43"/>
  <c r="AC71" i="43"/>
  <c r="AB71" i="43"/>
  <c r="AA71" i="43"/>
  <c r="Z71" i="43"/>
  <c r="Y71" i="43"/>
  <c r="X71" i="43"/>
  <c r="W71" i="43"/>
  <c r="AE72" i="43"/>
  <c r="AD72" i="43"/>
  <c r="AC72" i="43"/>
  <c r="AB72" i="43"/>
  <c r="AA72" i="43"/>
  <c r="Z72" i="43"/>
  <c r="Y72" i="43"/>
  <c r="X72" i="43"/>
  <c r="AE73" i="43"/>
  <c r="AD73" i="43"/>
  <c r="AC73" i="43"/>
  <c r="AB73" i="43"/>
  <c r="AA73" i="43"/>
  <c r="Z73" i="43"/>
  <c r="Y73" i="43"/>
  <c r="X73" i="43"/>
  <c r="AE74" i="43"/>
  <c r="AD74" i="43"/>
  <c r="AC74" i="43"/>
  <c r="AB74" i="43"/>
  <c r="AA74" i="43"/>
  <c r="Z74" i="43"/>
  <c r="Y74" i="43"/>
  <c r="X74" i="43"/>
  <c r="AE75" i="43"/>
  <c r="AD75" i="43"/>
  <c r="AC75" i="43"/>
  <c r="AB75" i="43"/>
  <c r="AA75" i="43"/>
  <c r="Z75" i="43"/>
  <c r="Y75" i="43"/>
  <c r="X75" i="43"/>
  <c r="AE76" i="43"/>
  <c r="AD76" i="43"/>
  <c r="AC76" i="43"/>
  <c r="AB76" i="43"/>
  <c r="AA76" i="43"/>
  <c r="Z76" i="43"/>
  <c r="Y76" i="43"/>
  <c r="X76" i="43"/>
  <c r="W76" i="43"/>
  <c r="AE77" i="43"/>
  <c r="AD77" i="43"/>
  <c r="AC77" i="43"/>
  <c r="AB77" i="43"/>
  <c r="AA77" i="43"/>
  <c r="Z77" i="43"/>
  <c r="Y77" i="43"/>
  <c r="X77" i="43"/>
  <c r="W77" i="43"/>
  <c r="AE78" i="43"/>
  <c r="AD78" i="43"/>
  <c r="AC78" i="43"/>
  <c r="AB78" i="43"/>
  <c r="AA78" i="43"/>
  <c r="Z78" i="43"/>
  <c r="Y78" i="43"/>
  <c r="X78" i="43"/>
  <c r="AE79" i="43"/>
  <c r="AD79" i="43"/>
  <c r="AC79" i="43"/>
  <c r="AB79" i="43"/>
  <c r="AA79" i="43"/>
  <c r="Z79" i="43"/>
  <c r="Y79" i="43"/>
  <c r="AE80" i="43"/>
  <c r="AD80" i="43"/>
  <c r="AC80" i="43"/>
  <c r="AB80" i="43"/>
  <c r="AA80" i="43"/>
  <c r="Z80" i="43"/>
  <c r="Y80" i="43"/>
  <c r="X80" i="43"/>
  <c r="W80" i="43"/>
  <c r="AE81" i="43"/>
  <c r="AD81" i="43"/>
  <c r="AC81" i="43"/>
  <c r="AB81" i="43"/>
  <c r="AA81" i="43"/>
  <c r="Z81" i="43"/>
  <c r="Y81" i="43"/>
  <c r="X81" i="43"/>
  <c r="W81" i="43"/>
  <c r="AE82" i="43"/>
  <c r="AD82" i="43"/>
  <c r="AC82" i="43"/>
  <c r="AB82" i="43"/>
  <c r="AA82" i="43"/>
  <c r="Z82" i="43"/>
  <c r="Y82" i="43"/>
  <c r="X82" i="43"/>
  <c r="W82" i="43"/>
  <c r="AE83" i="43"/>
  <c r="AD83" i="43"/>
  <c r="AC83" i="43"/>
  <c r="AB83" i="43"/>
  <c r="AA83" i="43"/>
  <c r="Z83" i="43"/>
  <c r="Y83" i="43"/>
  <c r="X83" i="43"/>
  <c r="AE84" i="43"/>
  <c r="AD84" i="43"/>
  <c r="AC84" i="43"/>
  <c r="AB84" i="43"/>
  <c r="AA84" i="43"/>
  <c r="Z84" i="43"/>
  <c r="Y84" i="43"/>
  <c r="X84" i="43"/>
  <c r="AE85" i="43"/>
  <c r="AD85" i="43"/>
  <c r="AC85" i="43"/>
  <c r="AB85" i="43"/>
  <c r="AA85" i="43"/>
  <c r="Z85" i="43"/>
  <c r="Y85" i="43"/>
  <c r="X85" i="43"/>
  <c r="W85" i="43"/>
  <c r="AE20" i="43"/>
  <c r="AD20" i="43"/>
  <c r="AC20" i="43"/>
  <c r="AB20" i="43"/>
  <c r="AA20" i="43"/>
  <c r="Z20" i="43"/>
  <c r="Y20" i="43"/>
  <c r="X20" i="43"/>
  <c r="AE21" i="43"/>
  <c r="AD21" i="43"/>
  <c r="AC21" i="43"/>
  <c r="AB21" i="43"/>
  <c r="AA21" i="43"/>
  <c r="Z21" i="43"/>
  <c r="Y21" i="43"/>
  <c r="AE22" i="43"/>
  <c r="AD22" i="43"/>
  <c r="AC22" i="43"/>
  <c r="AB22" i="43"/>
  <c r="AA22" i="43"/>
  <c r="Z22" i="43"/>
  <c r="Y22" i="43"/>
  <c r="X22" i="43"/>
  <c r="W22" i="43"/>
  <c r="AE23" i="43"/>
  <c r="AD23" i="43"/>
  <c r="AC23" i="43"/>
  <c r="AB23" i="43"/>
  <c r="AA23" i="43"/>
  <c r="Z23" i="43"/>
  <c r="Y23" i="43"/>
  <c r="X23" i="43"/>
  <c r="AE24" i="43"/>
  <c r="AD24" i="43"/>
  <c r="AC24" i="43"/>
  <c r="AB24" i="43"/>
  <c r="AA24" i="43"/>
  <c r="Z24" i="43"/>
  <c r="Y24" i="43"/>
  <c r="X24" i="43"/>
  <c r="AE74" i="42"/>
  <c r="AD74" i="42"/>
  <c r="AC74" i="42"/>
  <c r="AB74" i="42"/>
  <c r="AA74" i="42"/>
  <c r="Z74" i="42"/>
  <c r="Y74" i="42"/>
  <c r="X74" i="42"/>
  <c r="W74" i="42"/>
  <c r="AE75" i="42"/>
  <c r="AD75" i="42"/>
  <c r="AC75" i="42"/>
  <c r="AB75" i="42"/>
  <c r="AA75" i="42"/>
  <c r="Z75" i="42"/>
  <c r="Y75" i="42"/>
  <c r="X75" i="42"/>
  <c r="W75" i="42"/>
  <c r="AE76" i="42"/>
  <c r="AD76" i="42"/>
  <c r="AC76" i="42"/>
  <c r="AB76" i="42"/>
  <c r="AA76" i="42"/>
  <c r="Z76" i="42"/>
  <c r="Y76" i="42"/>
  <c r="X76" i="42"/>
  <c r="W76" i="42"/>
  <c r="AE77" i="42"/>
  <c r="AD77" i="42"/>
  <c r="AC77" i="42"/>
  <c r="AB77" i="42"/>
  <c r="AA77" i="42"/>
  <c r="Z77" i="42"/>
  <c r="Y77" i="42"/>
  <c r="X77" i="42"/>
  <c r="AE78" i="42"/>
  <c r="AD78" i="42"/>
  <c r="AC78" i="42"/>
  <c r="AB78" i="42"/>
  <c r="AA78" i="42"/>
  <c r="Z78" i="42"/>
  <c r="Y78" i="42"/>
  <c r="X78" i="42"/>
  <c r="W78" i="42"/>
  <c r="AE79" i="42"/>
  <c r="AD79" i="42"/>
  <c r="AC79" i="42"/>
  <c r="AB79" i="42"/>
  <c r="AA79" i="42"/>
  <c r="Z79" i="42"/>
  <c r="Y79" i="42"/>
  <c r="X79" i="42"/>
  <c r="W79" i="42"/>
  <c r="AE80" i="42"/>
  <c r="AD80" i="42"/>
  <c r="AC80" i="42"/>
  <c r="AB80" i="42"/>
  <c r="AA80" i="42"/>
  <c r="Z80" i="42"/>
  <c r="Y80" i="42"/>
  <c r="AE81" i="42"/>
  <c r="AD81" i="42"/>
  <c r="AC81" i="42"/>
  <c r="AB81" i="42"/>
  <c r="AA81" i="42"/>
  <c r="Z81" i="42"/>
  <c r="Y81" i="42"/>
  <c r="X81" i="42"/>
  <c r="W81" i="42"/>
  <c r="AE82" i="42"/>
  <c r="AD82" i="42"/>
  <c r="AC82" i="42"/>
  <c r="AB82" i="42"/>
  <c r="AA82" i="42"/>
  <c r="Z82" i="42"/>
  <c r="Y82" i="42"/>
  <c r="X82" i="42"/>
  <c r="W82" i="42"/>
  <c r="AE83" i="42"/>
  <c r="AD83" i="42"/>
  <c r="AC83" i="42"/>
  <c r="AB83" i="42"/>
  <c r="AA83" i="42"/>
  <c r="Z83" i="42"/>
  <c r="Y83" i="42"/>
  <c r="X83" i="42"/>
  <c r="AE84" i="42"/>
  <c r="AD84" i="42"/>
  <c r="AC84" i="42"/>
  <c r="AB84" i="42"/>
  <c r="AA84" i="42"/>
  <c r="Z84" i="42"/>
  <c r="Y84" i="42"/>
  <c r="X84" i="42"/>
  <c r="AE85" i="42"/>
  <c r="AD85" i="42"/>
  <c r="AC85" i="42"/>
  <c r="AB85" i="42"/>
  <c r="AA85" i="42"/>
  <c r="Z85" i="42"/>
  <c r="Y85" i="42"/>
  <c r="X85" i="42"/>
  <c r="W85" i="42"/>
  <c r="AE70" i="42"/>
  <c r="AD70" i="42"/>
  <c r="AC70" i="42"/>
  <c r="AB70" i="42"/>
  <c r="AA70" i="42"/>
  <c r="Z70" i="42"/>
  <c r="Y70" i="42"/>
  <c r="X70" i="42"/>
  <c r="W70" i="42"/>
  <c r="AE71" i="42"/>
  <c r="AD71" i="42"/>
  <c r="AC71" i="42"/>
  <c r="AB71" i="42"/>
  <c r="AA71" i="42"/>
  <c r="Z71" i="42"/>
  <c r="Y71" i="42"/>
  <c r="X71" i="42"/>
  <c r="AE72" i="42"/>
  <c r="AD72" i="42"/>
  <c r="AC72" i="42"/>
  <c r="AB72" i="42"/>
  <c r="AA72" i="42"/>
  <c r="Z72" i="42"/>
  <c r="Y72" i="42"/>
  <c r="X72" i="42"/>
  <c r="W72" i="42"/>
  <c r="AE73" i="42"/>
  <c r="AD73" i="42"/>
  <c r="AC73" i="42"/>
  <c r="AB73" i="42"/>
  <c r="AA73" i="42"/>
  <c r="Z73" i="42"/>
  <c r="Y73" i="42"/>
  <c r="X73" i="42"/>
  <c r="W73" i="42"/>
  <c r="W26" i="43"/>
  <c r="W62" i="43"/>
  <c r="W36" i="41"/>
  <c r="W24" i="43"/>
  <c r="Z20" i="40"/>
  <c r="X20" i="40"/>
  <c r="W20" i="40"/>
  <c r="Y20" i="40"/>
  <c r="Y52" i="34"/>
  <c r="X52" i="34"/>
  <c r="W52" i="34"/>
  <c r="X53" i="34"/>
  <c r="W53" i="34"/>
  <c r="W54" i="34"/>
  <c r="Z54" i="34"/>
  <c r="Y54" i="34"/>
  <c r="Y55" i="34"/>
  <c r="W55" i="34"/>
  <c r="W57" i="34"/>
  <c r="Z57" i="34"/>
  <c r="Y57" i="34"/>
  <c r="AC57" i="34"/>
  <c r="X57" i="34"/>
  <c r="AA60" i="34"/>
  <c r="AC60" i="34"/>
  <c r="AB60" i="34"/>
  <c r="W60" i="34"/>
  <c r="X60" i="34"/>
  <c r="Z60" i="34"/>
  <c r="X61" i="34"/>
  <c r="Y61" i="34"/>
  <c r="W61" i="34"/>
  <c r="Y62" i="34"/>
  <c r="W62" i="34"/>
  <c r="X62" i="34"/>
  <c r="Y63" i="34"/>
  <c r="AD63" i="34"/>
  <c r="X63" i="34"/>
  <c r="AA63" i="34"/>
  <c r="AB63" i="34"/>
  <c r="Z63" i="34"/>
  <c r="AC63" i="34"/>
  <c r="AE63" i="34"/>
  <c r="X50" i="34"/>
  <c r="W50" i="34"/>
  <c r="AD50" i="34"/>
  <c r="AC50" i="34"/>
  <c r="Y50" i="34"/>
  <c r="AB50" i="34"/>
  <c r="AE50" i="34"/>
  <c r="Z50" i="34"/>
  <c r="AA50" i="34"/>
  <c r="W37" i="34"/>
  <c r="Y37" i="34"/>
  <c r="Y39" i="34"/>
  <c r="X39" i="34"/>
  <c r="Y40" i="34"/>
  <c r="W40" i="34"/>
  <c r="X40" i="34"/>
  <c r="Y41" i="34"/>
  <c r="W41" i="34"/>
  <c r="X41" i="34"/>
  <c r="Y44" i="34"/>
  <c r="W44" i="34"/>
  <c r="W45" i="34"/>
  <c r="X45" i="34"/>
  <c r="Y45" i="34"/>
  <c r="AB45" i="34"/>
  <c r="AD45" i="34"/>
  <c r="AE45" i="34"/>
  <c r="Z45" i="34"/>
  <c r="AC45" i="34"/>
  <c r="X48" i="34"/>
  <c r="Y48" i="34"/>
  <c r="W48" i="34"/>
  <c r="Y49" i="34"/>
  <c r="X49" i="34"/>
  <c r="W49" i="34"/>
  <c r="AD44" i="41"/>
  <c r="AC44" i="41"/>
  <c r="AE44" i="41"/>
  <c r="AE37" i="45"/>
  <c r="AD37" i="45"/>
  <c r="AC37" i="45"/>
  <c r="AB37" i="45"/>
  <c r="AA37" i="45"/>
  <c r="Z37" i="45"/>
  <c r="Y37" i="45"/>
  <c r="X37" i="45"/>
  <c r="W37" i="45"/>
  <c r="AE33" i="45"/>
  <c r="AD33" i="45"/>
  <c r="AC33" i="45"/>
  <c r="AB33" i="45"/>
  <c r="AA33" i="45"/>
  <c r="Z33" i="45"/>
  <c r="Y33" i="45"/>
  <c r="X33" i="45"/>
  <c r="W33" i="45"/>
  <c r="AE34" i="45"/>
  <c r="AD34" i="45"/>
  <c r="AC34" i="45"/>
  <c r="AB34" i="45"/>
  <c r="AA34" i="45"/>
  <c r="Z34" i="45"/>
  <c r="Y34" i="45"/>
  <c r="X34" i="45"/>
  <c r="W34" i="45"/>
  <c r="AE35" i="45"/>
  <c r="AD35" i="45"/>
  <c r="AC35" i="45"/>
  <c r="AB35" i="45"/>
  <c r="AA35" i="45"/>
  <c r="Z35" i="45"/>
  <c r="Y35" i="45"/>
  <c r="X35" i="45"/>
  <c r="W35" i="45"/>
  <c r="AE36" i="45"/>
  <c r="AD36" i="45"/>
  <c r="AC36" i="45"/>
  <c r="AB36" i="45"/>
  <c r="AA36" i="45"/>
  <c r="Z36" i="45"/>
  <c r="Y36" i="45"/>
  <c r="X36" i="45"/>
  <c r="W36" i="45"/>
  <c r="AE55" i="45"/>
  <c r="AD55" i="45"/>
  <c r="AC55" i="45"/>
  <c r="AB55" i="45"/>
  <c r="AA55" i="45"/>
  <c r="Z55" i="45"/>
  <c r="Y55" i="45"/>
  <c r="X55" i="45"/>
  <c r="W55" i="45"/>
  <c r="AE38" i="45"/>
  <c r="AD38" i="45"/>
  <c r="AC38" i="45"/>
  <c r="AB38" i="45"/>
  <c r="AA38" i="45"/>
  <c r="Z38" i="45"/>
  <c r="Y38" i="45"/>
  <c r="X38" i="45"/>
  <c r="W38" i="45"/>
  <c r="AE33" i="41"/>
  <c r="AD33" i="41"/>
  <c r="AC33" i="41"/>
  <c r="AB33" i="41"/>
  <c r="AA33" i="41"/>
  <c r="Z33" i="41"/>
  <c r="Y33" i="41"/>
  <c r="AE34" i="41"/>
  <c r="AD34" i="41"/>
  <c r="AC34" i="41"/>
  <c r="AB34" i="41"/>
  <c r="AA34" i="41"/>
  <c r="Z34" i="41"/>
  <c r="Y34" i="41"/>
  <c r="X34" i="41"/>
  <c r="AE35" i="41"/>
  <c r="AD35" i="41"/>
  <c r="AC35" i="41"/>
  <c r="AB35" i="41"/>
  <c r="AA35" i="41"/>
  <c r="Z35" i="41"/>
  <c r="AE32" i="41"/>
  <c r="AD32" i="41"/>
  <c r="AC32" i="41"/>
  <c r="AB32" i="41"/>
  <c r="AA32" i="41"/>
  <c r="Z32" i="41"/>
  <c r="Y32" i="41"/>
  <c r="X32" i="41"/>
  <c r="W32" i="41"/>
  <c r="AE20" i="40"/>
  <c r="AD20" i="40"/>
  <c r="AC20" i="40"/>
  <c r="AB20" i="40"/>
  <c r="AA20" i="40"/>
  <c r="AE21" i="40"/>
  <c r="AD21" i="40"/>
  <c r="AC21" i="40"/>
  <c r="AB21" i="40"/>
  <c r="AA21" i="40"/>
  <c r="Z21" i="40"/>
  <c r="Y21" i="40"/>
  <c r="AE22" i="40"/>
  <c r="AD22" i="40"/>
  <c r="AC22" i="40"/>
  <c r="AB22" i="40"/>
  <c r="AA22" i="40"/>
  <c r="Z22" i="40"/>
  <c r="Y22" i="40"/>
  <c r="X22" i="40"/>
  <c r="W22" i="40"/>
  <c r="AE23" i="40"/>
  <c r="AD23" i="40"/>
  <c r="AC23" i="40"/>
  <c r="AB23" i="40"/>
  <c r="AA23" i="40"/>
  <c r="Z23" i="40"/>
  <c r="Y23" i="40"/>
  <c r="X23" i="40"/>
  <c r="W23" i="40"/>
  <c r="AE24" i="40"/>
  <c r="AD24" i="40"/>
  <c r="AC24" i="40"/>
  <c r="AB24" i="40"/>
  <c r="AA24" i="40"/>
  <c r="Z24" i="40"/>
  <c r="Y24" i="40"/>
  <c r="X24" i="40"/>
  <c r="W24" i="40"/>
  <c r="AE25" i="40"/>
  <c r="AD25" i="40"/>
  <c r="AC25" i="40"/>
  <c r="AB25" i="40"/>
  <c r="AA25" i="40"/>
  <c r="Z25" i="40"/>
  <c r="Y25" i="40"/>
  <c r="X25" i="40"/>
  <c r="AE26" i="40"/>
  <c r="AD26" i="40"/>
  <c r="AC26" i="40"/>
  <c r="AB26" i="40"/>
  <c r="AA26" i="40"/>
  <c r="Z26" i="40"/>
  <c r="Y26" i="40"/>
  <c r="X26" i="40"/>
  <c r="W26" i="40"/>
  <c r="AE18" i="40"/>
  <c r="AD18" i="40"/>
  <c r="AC18" i="40"/>
  <c r="AB18" i="40"/>
  <c r="AA18" i="40"/>
  <c r="Z18" i="40"/>
  <c r="Y18" i="40"/>
  <c r="X18" i="40"/>
  <c r="W18" i="40"/>
  <c r="AE19" i="40"/>
  <c r="AD19" i="40"/>
  <c r="AC19" i="40"/>
  <c r="AB19" i="40"/>
  <c r="AA19" i="40"/>
  <c r="Z19" i="40"/>
  <c r="Y19" i="40"/>
  <c r="X19" i="40"/>
  <c r="W19" i="40"/>
  <c r="W34" i="41"/>
  <c r="W35" i="41"/>
  <c r="W31" i="41"/>
  <c r="AE30" i="44"/>
  <c r="AD30" i="44"/>
  <c r="AC30" i="44"/>
  <c r="AB30" i="44"/>
  <c r="AA30" i="44"/>
  <c r="Z30" i="44"/>
  <c r="Y30" i="44"/>
  <c r="X30" i="44"/>
  <c r="W30" i="44"/>
  <c r="AE31" i="44"/>
  <c r="AD31" i="44"/>
  <c r="AC31" i="44"/>
  <c r="AB31" i="44"/>
  <c r="AA31" i="44"/>
  <c r="Z31" i="44"/>
  <c r="Y31" i="44"/>
  <c r="X31" i="44"/>
  <c r="W31" i="44"/>
  <c r="AC10" i="42"/>
  <c r="AA10" i="42"/>
  <c r="W10" i="42"/>
  <c r="AE10" i="42"/>
  <c r="AB10" i="42"/>
  <c r="Y10" i="42"/>
  <c r="Z10" i="42"/>
  <c r="AD10" i="42"/>
  <c r="X10" i="42"/>
  <c r="AD10" i="41"/>
  <c r="AE10" i="41"/>
  <c r="AC10" i="41"/>
  <c r="Z10" i="41"/>
  <c r="X10" i="41"/>
  <c r="AA10" i="41"/>
  <c r="W10" i="41"/>
  <c r="AB10" i="41"/>
  <c r="Y10" i="41"/>
  <c r="AE40" i="40"/>
  <c r="AD40" i="40"/>
  <c r="AC40" i="40"/>
  <c r="AB40" i="40"/>
  <c r="AA40" i="40"/>
  <c r="Z40" i="40"/>
  <c r="Y40" i="40"/>
  <c r="X40" i="40"/>
  <c r="W40" i="40"/>
  <c r="AE41" i="40"/>
  <c r="AD41" i="40"/>
  <c r="AC41" i="40"/>
  <c r="AB41" i="40"/>
  <c r="AA41" i="40"/>
  <c r="Z41" i="40"/>
  <c r="Y41" i="40"/>
  <c r="X41" i="40"/>
  <c r="AE42" i="40"/>
  <c r="AD42" i="40"/>
  <c r="AC42" i="40"/>
  <c r="AB42" i="40"/>
  <c r="AA42" i="40"/>
  <c r="Z42" i="40"/>
  <c r="Y42" i="40"/>
  <c r="X42" i="40"/>
  <c r="W42" i="40"/>
  <c r="AE37" i="40"/>
  <c r="AD37" i="40"/>
  <c r="AC37" i="40"/>
  <c r="AB37" i="40"/>
  <c r="AA37" i="40"/>
  <c r="Z37" i="40"/>
  <c r="Y37" i="40"/>
  <c r="X37" i="40"/>
  <c r="AE39" i="40"/>
  <c r="AD39" i="40"/>
  <c r="AC39" i="40"/>
  <c r="AB39" i="40"/>
  <c r="AA39" i="40"/>
  <c r="Z39" i="40"/>
  <c r="Y39" i="40"/>
  <c r="X39" i="40"/>
  <c r="W39" i="40"/>
  <c r="AE38" i="40"/>
  <c r="AD38" i="40"/>
  <c r="AC38" i="40"/>
  <c r="AB38" i="40"/>
  <c r="AA38" i="40"/>
  <c r="Z38" i="40"/>
  <c r="Y38" i="40"/>
  <c r="X38" i="40"/>
  <c r="W38" i="40"/>
  <c r="AE44" i="40"/>
  <c r="AD44" i="40"/>
  <c r="AC44" i="40"/>
  <c r="AB44" i="40"/>
  <c r="AA44" i="40"/>
  <c r="Z44" i="40"/>
  <c r="Y44" i="40"/>
  <c r="X44" i="40"/>
  <c r="W44" i="40"/>
  <c r="AE43" i="40"/>
  <c r="AD43" i="40"/>
  <c r="AC43" i="40"/>
  <c r="AB43" i="40"/>
  <c r="AA43" i="40"/>
  <c r="Z43" i="40"/>
  <c r="Y43" i="40"/>
  <c r="X43" i="40"/>
  <c r="W43" i="40"/>
  <c r="AE46" i="40"/>
  <c r="AD46" i="40"/>
  <c r="AC46" i="40"/>
  <c r="AB46" i="40"/>
  <c r="AA46" i="40"/>
  <c r="Z46" i="40"/>
  <c r="Y46" i="40"/>
  <c r="X46" i="40"/>
  <c r="W46" i="40"/>
  <c r="AE45" i="40"/>
  <c r="AD45" i="40"/>
  <c r="AC45" i="40"/>
  <c r="AB45" i="40"/>
  <c r="AA45" i="40"/>
  <c r="Z45" i="40"/>
  <c r="Y45" i="40"/>
  <c r="X45" i="40"/>
  <c r="W45" i="40"/>
  <c r="Z10" i="40"/>
  <c r="AD10" i="40"/>
  <c r="AE10" i="40"/>
  <c r="Y10" i="40"/>
  <c r="X10" i="40"/>
  <c r="AC10" i="40"/>
  <c r="W10" i="40"/>
  <c r="AB10" i="40"/>
  <c r="AA10" i="40"/>
  <c r="AE51" i="34"/>
  <c r="AD51" i="34"/>
  <c r="AC51" i="34"/>
  <c r="AB51" i="34"/>
  <c r="AA51" i="34"/>
  <c r="Z51" i="34"/>
  <c r="Y51" i="34"/>
  <c r="X51" i="34"/>
  <c r="AE52" i="34"/>
  <c r="AD52" i="34"/>
  <c r="AC52" i="34"/>
  <c r="AB52" i="34"/>
  <c r="Z52" i="34"/>
  <c r="AE53" i="34"/>
  <c r="AD53" i="34"/>
  <c r="AC53" i="34"/>
  <c r="AB53" i="34"/>
  <c r="AA53" i="34"/>
  <c r="Z53" i="34"/>
  <c r="Y53" i="34"/>
  <c r="AE54" i="34"/>
  <c r="AD54" i="34"/>
  <c r="AC54" i="34"/>
  <c r="AB54" i="34"/>
  <c r="AA54" i="34"/>
  <c r="AE55" i="34"/>
  <c r="AD55" i="34"/>
  <c r="AC55" i="34"/>
  <c r="AB55" i="34"/>
  <c r="AA55" i="34"/>
  <c r="Z55" i="34"/>
  <c r="X55" i="34"/>
  <c r="AE56" i="34"/>
  <c r="AD56" i="34"/>
  <c r="AC56" i="34"/>
  <c r="AB56" i="34"/>
  <c r="AA56" i="34"/>
  <c r="Z56" i="34"/>
  <c r="Y56" i="34"/>
  <c r="AE57" i="34"/>
  <c r="AD57" i="34"/>
  <c r="AB57" i="34"/>
  <c r="AA57" i="34"/>
  <c r="AE58" i="34"/>
  <c r="AD58" i="34"/>
  <c r="AC58" i="34"/>
  <c r="AB58" i="34"/>
  <c r="AA58" i="34"/>
  <c r="Z58" i="34"/>
  <c r="Y58" i="34"/>
  <c r="X58" i="34"/>
  <c r="AE59" i="34"/>
  <c r="AD59" i="34"/>
  <c r="AC59" i="34"/>
  <c r="AB59" i="34"/>
  <c r="AA59" i="34"/>
  <c r="Z59" i="34"/>
  <c r="Y59" i="34"/>
  <c r="AE61" i="34"/>
  <c r="AD61" i="34"/>
  <c r="AC61" i="34"/>
  <c r="AB61" i="34"/>
  <c r="AA61" i="34"/>
  <c r="AE62" i="34"/>
  <c r="AD62" i="34"/>
  <c r="AC62" i="34"/>
  <c r="AB62" i="34"/>
  <c r="AA62" i="34"/>
  <c r="AE13" i="34"/>
  <c r="AC13" i="34"/>
  <c r="Y13" i="34"/>
  <c r="AD13" i="34"/>
  <c r="AB13" i="34"/>
  <c r="AA13" i="34"/>
  <c r="Z13" i="34"/>
  <c r="X13" i="34"/>
  <c r="AE38" i="34"/>
  <c r="AD38" i="34"/>
  <c r="AC38" i="34"/>
  <c r="AB38" i="34"/>
  <c r="AA38" i="34"/>
  <c r="Z38" i="34"/>
  <c r="Y38" i="34"/>
  <c r="X38" i="34"/>
  <c r="AE39" i="34"/>
  <c r="AD39" i="34"/>
  <c r="AC39" i="34"/>
  <c r="AB39" i="34"/>
  <c r="AA39" i="34"/>
  <c r="Z39" i="34"/>
  <c r="AE40" i="34"/>
  <c r="AD40" i="34"/>
  <c r="AC40" i="34"/>
  <c r="AB40" i="34"/>
  <c r="AA40" i="34"/>
  <c r="Z40" i="34"/>
  <c r="AE41" i="34"/>
  <c r="AD41" i="34"/>
  <c r="AC41" i="34"/>
  <c r="AB41" i="34"/>
  <c r="AA41" i="34"/>
  <c r="Z41" i="34"/>
  <c r="AE42" i="34"/>
  <c r="AD42" i="34"/>
  <c r="AC42" i="34"/>
  <c r="AB42" i="34"/>
  <c r="AA42" i="34"/>
  <c r="Z42" i="34"/>
  <c r="Y42" i="34"/>
  <c r="X42" i="34"/>
  <c r="AE43" i="34"/>
  <c r="AD43" i="34"/>
  <c r="AC43" i="34"/>
  <c r="AB43" i="34"/>
  <c r="AA43" i="34"/>
  <c r="Z43" i="34"/>
  <c r="Y43" i="34"/>
  <c r="X43" i="34"/>
  <c r="AE44" i="34"/>
  <c r="AD44" i="34"/>
  <c r="AC44" i="34"/>
  <c r="AB44" i="34"/>
  <c r="AA44" i="34"/>
  <c r="Z44" i="34"/>
  <c r="AE46" i="34"/>
  <c r="AD46" i="34"/>
  <c r="AC46" i="34"/>
  <c r="AB46" i="34"/>
  <c r="AA46" i="34"/>
  <c r="Z46" i="34"/>
  <c r="Y46" i="34"/>
  <c r="X46" i="34"/>
  <c r="AE47" i="34"/>
  <c r="AD47" i="34"/>
  <c r="AC47" i="34"/>
  <c r="AB47" i="34"/>
  <c r="AA47" i="34"/>
  <c r="Z47" i="34"/>
  <c r="Y47" i="34"/>
  <c r="X47" i="34"/>
  <c r="AE48" i="34"/>
  <c r="AD48" i="34"/>
  <c r="AC48" i="34"/>
  <c r="AB48" i="34"/>
  <c r="AA48" i="34"/>
  <c r="Z48" i="34"/>
  <c r="AE49" i="34"/>
  <c r="AD49" i="34"/>
  <c r="AC49" i="34"/>
  <c r="AB49" i="34"/>
  <c r="AA49" i="34"/>
  <c r="Z49" i="34"/>
  <c r="W72" i="41"/>
  <c r="W52" i="39"/>
  <c r="W55" i="39"/>
  <c r="W67" i="39"/>
  <c r="W58" i="34"/>
  <c r="W65" i="41"/>
  <c r="W55" i="41"/>
  <c r="Z61" i="34"/>
  <c r="W45" i="41"/>
  <c r="AA45" i="34"/>
  <c r="AE60" i="34"/>
  <c r="W71" i="41"/>
  <c r="AC71" i="41"/>
  <c r="X71" i="41"/>
  <c r="Y71" i="41"/>
  <c r="Z71" i="41"/>
  <c r="AA71" i="41"/>
  <c r="AB71" i="41"/>
  <c r="AE71" i="41"/>
  <c r="AD71" i="41"/>
  <c r="W48" i="41"/>
  <c r="X48" i="41"/>
  <c r="X60" i="41"/>
  <c r="W60" i="41"/>
  <c r="X69" i="41"/>
  <c r="W69" i="41"/>
  <c r="W52" i="40"/>
  <c r="X52" i="40"/>
  <c r="AD63" i="40"/>
  <c r="AE63" i="40"/>
  <c r="Y63" i="40"/>
  <c r="Z63" i="40"/>
  <c r="AC63" i="40"/>
  <c r="W63" i="40"/>
  <c r="AB63" i="40"/>
  <c r="X63" i="40"/>
  <c r="AA63" i="40"/>
  <c r="AC72" i="40"/>
  <c r="AD72" i="40"/>
  <c r="AE72" i="40"/>
  <c r="W72" i="40"/>
  <c r="X72" i="40"/>
  <c r="Y72" i="40"/>
  <c r="Z72" i="40"/>
  <c r="AA72" i="40"/>
  <c r="AB72" i="40"/>
  <c r="W78" i="40"/>
  <c r="X78" i="40"/>
  <c r="Y78" i="40"/>
  <c r="Z78" i="40"/>
  <c r="AA78" i="40"/>
  <c r="Z79" i="40"/>
  <c r="X79" i="40"/>
  <c r="AE79" i="40"/>
  <c r="AB79" i="40"/>
  <c r="AD79" i="40"/>
  <c r="AA79" i="40"/>
  <c r="Y79" i="40"/>
  <c r="AC79" i="40"/>
  <c r="W79" i="40"/>
  <c r="X84" i="40"/>
  <c r="W84" i="40"/>
  <c r="AE29" i="43"/>
  <c r="AD29" i="43"/>
  <c r="AC29" i="43"/>
  <c r="AB29" i="43"/>
  <c r="AA29" i="43"/>
  <c r="Z29" i="43"/>
  <c r="Y29" i="43"/>
  <c r="X29" i="43"/>
  <c r="W29" i="43"/>
  <c r="AE30" i="43"/>
  <c r="AD30" i="43"/>
  <c r="AC30" i="43"/>
  <c r="AB30" i="43"/>
  <c r="AA30" i="43"/>
  <c r="Z30" i="43"/>
  <c r="Y30" i="43"/>
  <c r="X30" i="43"/>
  <c r="W30" i="43"/>
  <c r="AE31" i="43"/>
  <c r="AD31" i="43"/>
  <c r="AC31" i="43"/>
  <c r="AB31" i="43"/>
  <c r="AA31" i="43"/>
  <c r="Z31" i="43"/>
  <c r="Y31" i="43"/>
  <c r="X31" i="43"/>
  <c r="W31" i="43"/>
  <c r="AE32" i="43"/>
  <c r="AD32" i="43"/>
  <c r="AC32" i="43"/>
  <c r="AB32" i="43"/>
  <c r="AA32" i="43"/>
  <c r="Z32" i="43"/>
  <c r="Y32" i="43"/>
  <c r="X32" i="43"/>
  <c r="W32" i="43"/>
  <c r="AE33" i="43"/>
  <c r="AD33" i="43"/>
  <c r="AC33" i="43"/>
  <c r="AB33" i="43"/>
  <c r="AA33" i="43"/>
  <c r="Z33" i="43"/>
  <c r="Y33" i="43"/>
  <c r="X33" i="43"/>
  <c r="W33" i="43"/>
  <c r="AE37" i="41"/>
  <c r="AD37" i="41"/>
  <c r="AC37" i="41"/>
  <c r="AB37" i="41"/>
  <c r="AA37" i="41"/>
  <c r="Z37" i="41"/>
  <c r="Y37" i="41"/>
  <c r="X37" i="41"/>
  <c r="W37" i="41"/>
  <c r="AE38" i="41"/>
  <c r="AD38" i="41"/>
  <c r="AC38" i="41"/>
  <c r="AB38" i="41"/>
  <c r="AA38" i="41"/>
  <c r="Z38" i="41"/>
  <c r="Y38" i="41"/>
  <c r="X38" i="41"/>
  <c r="W38" i="41"/>
  <c r="AE39" i="41"/>
  <c r="AD39" i="41"/>
  <c r="AC39" i="41"/>
  <c r="AB39" i="41"/>
  <c r="AA39" i="41"/>
  <c r="Z39" i="41"/>
  <c r="Y39" i="41"/>
  <c r="X39" i="41"/>
  <c r="W39" i="41"/>
  <c r="AE40" i="41"/>
  <c r="AD40" i="41"/>
  <c r="AC40" i="41"/>
  <c r="AB40" i="41"/>
  <c r="AA40" i="41"/>
  <c r="Z40" i="41"/>
  <c r="Y40" i="41"/>
  <c r="X40" i="41"/>
  <c r="AE41" i="41"/>
  <c r="AD41" i="41"/>
  <c r="AC41" i="41"/>
  <c r="AB41" i="41"/>
  <c r="AA41" i="41"/>
  <c r="Z41" i="41"/>
  <c r="Y41" i="41"/>
  <c r="X41" i="41"/>
  <c r="W41" i="41"/>
  <c r="AE42" i="41"/>
  <c r="AD42" i="41"/>
  <c r="AC42" i="41"/>
  <c r="AB42" i="41"/>
  <c r="AA42" i="41"/>
  <c r="Z42" i="41"/>
  <c r="Y42" i="41"/>
  <c r="X42" i="41"/>
  <c r="AE43" i="41"/>
  <c r="AD43" i="41"/>
  <c r="AC43" i="41"/>
  <c r="AB43" i="41"/>
  <c r="AA43" i="41"/>
  <c r="Z43" i="41"/>
  <c r="Y43" i="41"/>
  <c r="X43" i="41"/>
  <c r="W43" i="41"/>
  <c r="AB44" i="41"/>
  <c r="AA44" i="41"/>
  <c r="Z44" i="41"/>
  <c r="Y44" i="41"/>
  <c r="X44" i="41"/>
  <c r="W44" i="41"/>
  <c r="AE45" i="41"/>
  <c r="AD45" i="41"/>
  <c r="AC45" i="41"/>
  <c r="AB45" i="41"/>
  <c r="AA45" i="41"/>
  <c r="Z45" i="41"/>
  <c r="Y45" i="41"/>
  <c r="X45" i="41"/>
  <c r="AE46" i="41"/>
  <c r="AD46" i="41"/>
  <c r="AC46" i="41"/>
  <c r="AB46" i="41"/>
  <c r="AA46" i="41"/>
  <c r="Z46" i="41"/>
  <c r="Y46" i="41"/>
  <c r="X46" i="41"/>
  <c r="W46" i="41"/>
  <c r="AE47" i="41"/>
  <c r="AD47" i="41"/>
  <c r="AC47" i="41"/>
  <c r="AB47" i="41"/>
  <c r="AA47" i="41"/>
  <c r="Z47" i="41"/>
  <c r="Y47" i="41"/>
  <c r="X47" i="41"/>
  <c r="W47" i="41"/>
  <c r="AE48" i="41"/>
  <c r="AD48" i="41"/>
  <c r="AC48" i="41"/>
  <c r="AB48" i="41"/>
  <c r="AA48" i="41"/>
  <c r="Z48" i="41"/>
  <c r="Y48" i="41"/>
  <c r="AE49" i="41"/>
  <c r="AD49" i="41"/>
  <c r="AC49" i="41"/>
  <c r="AB49" i="41"/>
  <c r="AA49" i="41"/>
  <c r="Z49" i="41"/>
  <c r="Y49" i="41"/>
  <c r="X49" i="41"/>
  <c r="W49" i="41"/>
  <c r="AE50" i="41"/>
  <c r="AD50" i="41"/>
  <c r="AC50" i="41"/>
  <c r="AB50" i="41"/>
  <c r="AA50" i="41"/>
  <c r="Z50" i="41"/>
  <c r="Y50" i="41"/>
  <c r="X50" i="41"/>
  <c r="W50" i="41"/>
  <c r="AE51" i="41"/>
  <c r="AD51" i="41"/>
  <c r="AC51" i="41"/>
  <c r="AB51" i="41"/>
  <c r="AA51" i="41"/>
  <c r="Z51" i="41"/>
  <c r="Y51" i="41"/>
  <c r="X51" i="41"/>
  <c r="W51" i="41"/>
  <c r="AE52" i="41"/>
  <c r="AD52" i="41"/>
  <c r="AC52" i="41"/>
  <c r="AB52" i="41"/>
  <c r="AA52" i="41"/>
  <c r="Z52" i="41"/>
  <c r="Y52" i="41"/>
  <c r="X52" i="41"/>
  <c r="W52" i="41"/>
  <c r="AE53" i="41"/>
  <c r="AD53" i="41"/>
  <c r="AC53" i="41"/>
  <c r="AB53" i="41"/>
  <c r="AA53" i="41"/>
  <c r="Z53" i="41"/>
  <c r="Y53" i="41"/>
  <c r="X53" i="41"/>
  <c r="W53" i="41"/>
  <c r="AE54" i="41"/>
  <c r="AD54" i="41"/>
  <c r="AC54" i="41"/>
  <c r="AB54" i="41"/>
  <c r="AA54" i="41"/>
  <c r="Z54" i="41"/>
  <c r="Y54" i="41"/>
  <c r="X54" i="41"/>
  <c r="W54" i="41"/>
  <c r="AE55" i="41"/>
  <c r="AD55" i="41"/>
  <c r="AC55" i="41"/>
  <c r="AB55" i="41"/>
  <c r="AA55" i="41"/>
  <c r="Z55" i="41"/>
  <c r="Y55" i="41"/>
  <c r="X55" i="41"/>
  <c r="AE56" i="41"/>
  <c r="AD56" i="41"/>
  <c r="AC56" i="41"/>
  <c r="AB56" i="41"/>
  <c r="AA56" i="41"/>
  <c r="Z56" i="41"/>
  <c r="Y56" i="41"/>
  <c r="X56" i="41"/>
  <c r="W56" i="41"/>
  <c r="AE57" i="41"/>
  <c r="AD57" i="41"/>
  <c r="AC57" i="41"/>
  <c r="AB57" i="41"/>
  <c r="AA57" i="41"/>
  <c r="Z57" i="41"/>
  <c r="Y57" i="41"/>
  <c r="X57" i="41"/>
  <c r="W57" i="41"/>
  <c r="AE58" i="41"/>
  <c r="AD58" i="41"/>
  <c r="AC58" i="41"/>
  <c r="AB58" i="41"/>
  <c r="AA58" i="41"/>
  <c r="Z58" i="41"/>
  <c r="Y58" i="41"/>
  <c r="X58" i="41"/>
  <c r="AE59" i="41"/>
  <c r="AD59" i="41"/>
  <c r="AC59" i="41"/>
  <c r="AB59" i="41"/>
  <c r="AA59" i="41"/>
  <c r="Z59" i="41"/>
  <c r="Y59" i="41"/>
  <c r="X59" i="41"/>
  <c r="AE60" i="41"/>
  <c r="AD60" i="41"/>
  <c r="AC60" i="41"/>
  <c r="AB60" i="41"/>
  <c r="AA60" i="41"/>
  <c r="Z60" i="41"/>
  <c r="Y60" i="41"/>
  <c r="AE61" i="41"/>
  <c r="AD61" i="41"/>
  <c r="AC61" i="41"/>
  <c r="AB61" i="41"/>
  <c r="AA61" i="41"/>
  <c r="Z61" i="41"/>
  <c r="Y61" i="41"/>
  <c r="X61" i="41"/>
  <c r="W61" i="41"/>
  <c r="AE62" i="41"/>
  <c r="AD62" i="41"/>
  <c r="AC62" i="41"/>
  <c r="AB62" i="41"/>
  <c r="AA62" i="41"/>
  <c r="Z62" i="41"/>
  <c r="Y62" i="41"/>
  <c r="X62" i="41"/>
  <c r="AE63" i="41"/>
  <c r="AD63" i="41"/>
  <c r="AC63" i="41"/>
  <c r="AB63" i="41"/>
  <c r="AA63" i="41"/>
  <c r="Z63" i="41"/>
  <c r="Y63" i="41"/>
  <c r="X63" i="41"/>
  <c r="AE64" i="41"/>
  <c r="AD64" i="41"/>
  <c r="AC64" i="41"/>
  <c r="AB64" i="41"/>
  <c r="AA64" i="41"/>
  <c r="Z64" i="41"/>
  <c r="Y64" i="41"/>
  <c r="X64" i="41"/>
  <c r="W64" i="41"/>
  <c r="AE65" i="41"/>
  <c r="AD65" i="41"/>
  <c r="AC65" i="41"/>
  <c r="AB65" i="41"/>
  <c r="AA65" i="41"/>
  <c r="Z65" i="41"/>
  <c r="Y65" i="41"/>
  <c r="X65" i="41"/>
  <c r="AE66" i="41"/>
  <c r="AD66" i="41"/>
  <c r="AC66" i="41"/>
  <c r="AB66" i="41"/>
  <c r="AA66" i="41"/>
  <c r="Z66" i="41"/>
  <c r="Y66" i="41"/>
  <c r="X66" i="41"/>
  <c r="W66" i="41"/>
  <c r="AE67" i="41"/>
  <c r="AD67" i="41"/>
  <c r="AC67" i="41"/>
  <c r="AB67" i="41"/>
  <c r="AA67" i="41"/>
  <c r="Z67" i="41"/>
  <c r="Y67" i="41"/>
  <c r="X67" i="41"/>
  <c r="W67" i="41"/>
  <c r="AE68" i="41"/>
  <c r="AD68" i="41"/>
  <c r="AC68" i="41"/>
  <c r="AB68" i="41"/>
  <c r="AA68" i="41"/>
  <c r="Z68" i="41"/>
  <c r="Y68" i="41"/>
  <c r="X68" i="41"/>
  <c r="W68" i="41"/>
  <c r="AE69" i="41"/>
  <c r="AD69" i="41"/>
  <c r="AC69" i="41"/>
  <c r="AB69" i="41"/>
  <c r="AA69" i="41"/>
  <c r="Z69" i="41"/>
  <c r="Y69" i="41"/>
  <c r="AE70" i="41"/>
  <c r="AD70" i="41"/>
  <c r="AC70" i="41"/>
  <c r="AB70" i="41"/>
  <c r="AA70" i="41"/>
  <c r="Z70" i="41"/>
  <c r="Y70" i="41"/>
  <c r="X70" i="41"/>
  <c r="W70" i="41"/>
  <c r="AE48" i="40"/>
  <c r="AD48" i="40"/>
  <c r="AC48" i="40"/>
  <c r="AB48" i="40"/>
  <c r="AA48" i="40"/>
  <c r="Z48" i="40"/>
  <c r="Y48" i="40"/>
  <c r="X48" i="40"/>
  <c r="W48" i="40"/>
  <c r="AE49" i="40"/>
  <c r="AD49" i="40"/>
  <c r="AC49" i="40"/>
  <c r="AB49" i="40"/>
  <c r="AA49" i="40"/>
  <c r="Z49" i="40"/>
  <c r="Y49" i="40"/>
  <c r="X49" i="40"/>
  <c r="W49" i="40"/>
  <c r="AE50" i="40"/>
  <c r="AD50" i="40"/>
  <c r="AC50" i="40"/>
  <c r="AB50" i="40"/>
  <c r="AA50" i="40"/>
  <c r="Z50" i="40"/>
  <c r="Y50" i="40"/>
  <c r="X50" i="40"/>
  <c r="W50" i="40"/>
  <c r="AE51" i="40"/>
  <c r="AD51" i="40"/>
  <c r="AC51" i="40"/>
  <c r="AB51" i="40"/>
  <c r="AA51" i="40"/>
  <c r="Z51" i="40"/>
  <c r="Y51" i="40"/>
  <c r="X51" i="40"/>
  <c r="W51" i="40"/>
  <c r="AE52" i="40"/>
  <c r="AD52" i="40"/>
  <c r="AC52" i="40"/>
  <c r="AB52" i="40"/>
  <c r="AA52" i="40"/>
  <c r="Z52" i="40"/>
  <c r="Y52" i="40"/>
  <c r="AE53" i="40"/>
  <c r="AD53" i="40"/>
  <c r="AC53" i="40"/>
  <c r="AB53" i="40"/>
  <c r="AA53" i="40"/>
  <c r="Z53" i="40"/>
  <c r="Y53" i="40"/>
  <c r="X53" i="40"/>
  <c r="W53" i="40"/>
  <c r="AE54" i="40"/>
  <c r="AD54" i="40"/>
  <c r="AC54" i="40"/>
  <c r="AB54" i="40"/>
  <c r="AA54" i="40"/>
  <c r="Z54" i="40"/>
  <c r="Y54" i="40"/>
  <c r="X54" i="40"/>
  <c r="W54" i="40"/>
  <c r="AE55" i="40"/>
  <c r="AD55" i="40"/>
  <c r="AC55" i="40"/>
  <c r="AB55" i="40"/>
  <c r="AA55" i="40"/>
  <c r="Z55" i="40"/>
  <c r="Y55" i="40"/>
  <c r="X55" i="40"/>
  <c r="W55" i="40"/>
  <c r="AE56" i="40"/>
  <c r="AD56" i="40"/>
  <c r="AC56" i="40"/>
  <c r="AB56" i="40"/>
  <c r="AA56" i="40"/>
  <c r="Z56" i="40"/>
  <c r="Y56" i="40"/>
  <c r="X56" i="40"/>
  <c r="W56" i="40"/>
  <c r="AE57" i="40"/>
  <c r="AD57" i="40"/>
  <c r="AC57" i="40"/>
  <c r="AB57" i="40"/>
  <c r="AA57" i="40"/>
  <c r="Z57" i="40"/>
  <c r="Y57" i="40"/>
  <c r="X57" i="40"/>
  <c r="W57" i="40"/>
  <c r="AE58" i="40"/>
  <c r="AD58" i="40"/>
  <c r="AC58" i="40"/>
  <c r="AB58" i="40"/>
  <c r="AA58" i="40"/>
  <c r="Z58" i="40"/>
  <c r="Y58" i="40"/>
  <c r="X58" i="40"/>
  <c r="AE59" i="40"/>
  <c r="AD59" i="40"/>
  <c r="AC59" i="40"/>
  <c r="AB59" i="40"/>
  <c r="AA59" i="40"/>
  <c r="Z59" i="40"/>
  <c r="Y59" i="40"/>
  <c r="X59" i="40"/>
  <c r="W59" i="40"/>
  <c r="AE60" i="40"/>
  <c r="AD60" i="40"/>
  <c r="AC60" i="40"/>
  <c r="AB60" i="40"/>
  <c r="AA60" i="40"/>
  <c r="Z60" i="40"/>
  <c r="Y60" i="40"/>
  <c r="X60" i="40"/>
  <c r="W60" i="40"/>
  <c r="AE61" i="40"/>
  <c r="AD61" i="40"/>
  <c r="AC61" i="40"/>
  <c r="AB61" i="40"/>
  <c r="AA61" i="40"/>
  <c r="Z61" i="40"/>
  <c r="Y61" i="40"/>
  <c r="X61" i="40"/>
  <c r="W61" i="40"/>
  <c r="AE62" i="40"/>
  <c r="AD62" i="40"/>
  <c r="AC62" i="40"/>
  <c r="AB62" i="40"/>
  <c r="AA62" i="40"/>
  <c r="Z62" i="40"/>
  <c r="Y62" i="40"/>
  <c r="X62" i="40"/>
  <c r="W62" i="40"/>
  <c r="AE64" i="40"/>
  <c r="AD64" i="40"/>
  <c r="AC64" i="40"/>
  <c r="AB64" i="40"/>
  <c r="AA64" i="40"/>
  <c r="Z64" i="40"/>
  <c r="Y64" i="40"/>
  <c r="X64" i="40"/>
  <c r="W64" i="40"/>
  <c r="AE65" i="40"/>
  <c r="AD65" i="40"/>
  <c r="AC65" i="40"/>
  <c r="AB65" i="40"/>
  <c r="AA65" i="40"/>
  <c r="Z65" i="40"/>
  <c r="Y65" i="40"/>
  <c r="X65" i="40"/>
  <c r="W65" i="40"/>
  <c r="AE66" i="40"/>
  <c r="AD66" i="40"/>
  <c r="AC66" i="40"/>
  <c r="AB66" i="40"/>
  <c r="AA66" i="40"/>
  <c r="Z66" i="40"/>
  <c r="Y66" i="40"/>
  <c r="X66" i="40"/>
  <c r="W66" i="40"/>
  <c r="AE67" i="40"/>
  <c r="AD67" i="40"/>
  <c r="AC67" i="40"/>
  <c r="AB67" i="40"/>
  <c r="AA67" i="40"/>
  <c r="Z67" i="40"/>
  <c r="Y67" i="40"/>
  <c r="X67" i="40"/>
  <c r="W67" i="40"/>
  <c r="AE68" i="40"/>
  <c r="AD68" i="40"/>
  <c r="AC68" i="40"/>
  <c r="AB68" i="40"/>
  <c r="AA68" i="40"/>
  <c r="Z68" i="40"/>
  <c r="Y68" i="40"/>
  <c r="X68" i="40"/>
  <c r="W68" i="40"/>
  <c r="AE69" i="40"/>
  <c r="AD69" i="40"/>
  <c r="AC69" i="40"/>
  <c r="AB69" i="40"/>
  <c r="AA69" i="40"/>
  <c r="Z69" i="40"/>
  <c r="Y69" i="40"/>
  <c r="X69" i="40"/>
  <c r="W69" i="40"/>
  <c r="AE70" i="40"/>
  <c r="AD70" i="40"/>
  <c r="AC70" i="40"/>
  <c r="AB70" i="40"/>
  <c r="AA70" i="40"/>
  <c r="Z70" i="40"/>
  <c r="Y70" i="40"/>
  <c r="X70" i="40"/>
  <c r="W70" i="40"/>
  <c r="AE71" i="40"/>
  <c r="AD71" i="40"/>
  <c r="AC71" i="40"/>
  <c r="AB71" i="40"/>
  <c r="AA71" i="40"/>
  <c r="Z71" i="40"/>
  <c r="Y71" i="40"/>
  <c r="X71" i="40"/>
  <c r="W71" i="40"/>
  <c r="AE73" i="40"/>
  <c r="AD73" i="40"/>
  <c r="AC73" i="40"/>
  <c r="AB73" i="40"/>
  <c r="AA73" i="40"/>
  <c r="Z73" i="40"/>
  <c r="Y73" i="40"/>
  <c r="X73" i="40"/>
  <c r="W73" i="40"/>
  <c r="AE74" i="40"/>
  <c r="AD74" i="40"/>
  <c r="AC74" i="40"/>
  <c r="AB74" i="40"/>
  <c r="AA74" i="40"/>
  <c r="Z74" i="40"/>
  <c r="Y74" i="40"/>
  <c r="X74" i="40"/>
  <c r="W74" i="40"/>
  <c r="AE75" i="40"/>
  <c r="AD75" i="40"/>
  <c r="AC75" i="40"/>
  <c r="AB75" i="40"/>
  <c r="AA75" i="40"/>
  <c r="Z75" i="40"/>
  <c r="Y75" i="40"/>
  <c r="X75" i="40"/>
  <c r="W75" i="40"/>
  <c r="AE76" i="40"/>
  <c r="AD76" i="40"/>
  <c r="AC76" i="40"/>
  <c r="AB76" i="40"/>
  <c r="AA76" i="40"/>
  <c r="Z76" i="40"/>
  <c r="Y76" i="40"/>
  <c r="X76" i="40"/>
  <c r="AE77" i="40"/>
  <c r="AD77" i="40"/>
  <c r="AC77" i="40"/>
  <c r="AB77" i="40"/>
  <c r="AA77" i="40"/>
  <c r="Z77" i="40"/>
  <c r="Y77" i="40"/>
  <c r="X77" i="40"/>
  <c r="AE78" i="40"/>
  <c r="AD78" i="40"/>
  <c r="AC78" i="40"/>
  <c r="AB78" i="40"/>
  <c r="AE80" i="40"/>
  <c r="AD80" i="40"/>
  <c r="AC80" i="40"/>
  <c r="AB80" i="40"/>
  <c r="AA80" i="40"/>
  <c r="Z80" i="40"/>
  <c r="Y80" i="40"/>
  <c r="X80" i="40"/>
  <c r="W80" i="40"/>
  <c r="AE81" i="40"/>
  <c r="AD81" i="40"/>
  <c r="AC81" i="40"/>
  <c r="AB81" i="40"/>
  <c r="AA81" i="40"/>
  <c r="Z81" i="40"/>
  <c r="Y81" i="40"/>
  <c r="X81" i="40"/>
  <c r="W81" i="40"/>
  <c r="AE82" i="40"/>
  <c r="AD82" i="40"/>
  <c r="AC82" i="40"/>
  <c r="AB82" i="40"/>
  <c r="AA82" i="40"/>
  <c r="Z82" i="40"/>
  <c r="Y82" i="40"/>
  <c r="X82" i="40"/>
  <c r="AE83" i="40"/>
  <c r="AD83" i="40"/>
  <c r="AC83" i="40"/>
  <c r="AB83" i="40"/>
  <c r="AA83" i="40"/>
  <c r="Z83" i="40"/>
  <c r="Y83" i="40"/>
  <c r="X83" i="40"/>
  <c r="AE84" i="40"/>
  <c r="AD84" i="40"/>
  <c r="AC84" i="40"/>
  <c r="AB84" i="40"/>
  <c r="AA84" i="40"/>
  <c r="Z84" i="40"/>
  <c r="Y84" i="40"/>
  <c r="AE85" i="40"/>
  <c r="AD85" i="40"/>
  <c r="AC85" i="40"/>
  <c r="AB85" i="40"/>
  <c r="AA85" i="40"/>
  <c r="Z85" i="40"/>
  <c r="Y85" i="40"/>
  <c r="X85" i="40"/>
  <c r="W53" i="39"/>
  <c r="W42" i="41"/>
  <c r="W59" i="41"/>
  <c r="W85" i="40"/>
  <c r="W83" i="39"/>
  <c r="X79" i="37"/>
  <c r="AB79" i="37"/>
  <c r="W79" i="37"/>
  <c r="AD79" i="37"/>
  <c r="Y79" i="37"/>
  <c r="AC79" i="37"/>
  <c r="Z79" i="37"/>
  <c r="AA79" i="37"/>
  <c r="AE28" i="42"/>
  <c r="AD28" i="42"/>
  <c r="AC28" i="42"/>
  <c r="AB28" i="42"/>
  <c r="AA28" i="42"/>
  <c r="Z28" i="42"/>
  <c r="Y28" i="42"/>
  <c r="X28" i="42"/>
  <c r="W28" i="42"/>
  <c r="AE29" i="42"/>
  <c r="AD29" i="42"/>
  <c r="AC29" i="42"/>
  <c r="AB29" i="42"/>
  <c r="AA29" i="42"/>
  <c r="Z29" i="42"/>
  <c r="Y29" i="42"/>
  <c r="X29" i="42"/>
  <c r="W29" i="42"/>
  <c r="AE30" i="42"/>
  <c r="AA30" i="42"/>
  <c r="Y30" i="42"/>
  <c r="AD30" i="42"/>
  <c r="W30" i="42"/>
  <c r="AC30" i="42"/>
  <c r="AB30" i="42"/>
  <c r="Z30" i="42"/>
  <c r="X30" i="42"/>
  <c r="AE80" i="41"/>
  <c r="AD80" i="41"/>
  <c r="AC80" i="41"/>
  <c r="AB80" i="41"/>
  <c r="AA80" i="41"/>
  <c r="Z80" i="41"/>
  <c r="Y80" i="41"/>
  <c r="X80" i="41"/>
  <c r="W80" i="41"/>
  <c r="AE81" i="41"/>
  <c r="AD81" i="41"/>
  <c r="AC81" i="41"/>
  <c r="AB81" i="41"/>
  <c r="AA81" i="41"/>
  <c r="Z81" i="41"/>
  <c r="Y81" i="41"/>
  <c r="X81" i="41"/>
  <c r="W81" i="41"/>
  <c r="AE84" i="41"/>
  <c r="AD84" i="41"/>
  <c r="AC84" i="41"/>
  <c r="AB84" i="41"/>
  <c r="AA84" i="41"/>
  <c r="Z84" i="41"/>
  <c r="Y84" i="41"/>
  <c r="X84" i="41"/>
  <c r="W84" i="41"/>
  <c r="AE85" i="41"/>
  <c r="AD85" i="41"/>
  <c r="AC85" i="41"/>
  <c r="AB85" i="41"/>
  <c r="AA85" i="41"/>
  <c r="Z85" i="41"/>
  <c r="Y85" i="41"/>
  <c r="X85" i="41"/>
  <c r="W85" i="41"/>
  <c r="AE82" i="41"/>
  <c r="AD82" i="41"/>
  <c r="AC82" i="41"/>
  <c r="AB82" i="41"/>
  <c r="AA82" i="41"/>
  <c r="Z82" i="41"/>
  <c r="Y82" i="41"/>
  <c r="X82" i="41"/>
  <c r="W82" i="41"/>
  <c r="AE83" i="41"/>
  <c r="AD83" i="41"/>
  <c r="AC83" i="41"/>
  <c r="AB83" i="41"/>
  <c r="AA83" i="41"/>
  <c r="Z83" i="41"/>
  <c r="Y83" i="41"/>
  <c r="X83" i="41"/>
  <c r="W83" i="41"/>
  <c r="AE72" i="41"/>
  <c r="AD72" i="41"/>
  <c r="AC72" i="41"/>
  <c r="AB72" i="41"/>
  <c r="AA72" i="41"/>
  <c r="Z72" i="41"/>
  <c r="Y72" i="41"/>
  <c r="X72" i="41"/>
  <c r="AE73" i="41"/>
  <c r="AD73" i="41"/>
  <c r="AC73" i="41"/>
  <c r="AB73" i="41"/>
  <c r="AA73" i="41"/>
  <c r="Z73" i="41"/>
  <c r="Y73" i="41"/>
  <c r="X73" i="41"/>
  <c r="W73" i="41"/>
  <c r="AE74" i="41"/>
  <c r="AD74" i="41"/>
  <c r="AC74" i="41"/>
  <c r="AB74" i="41"/>
  <c r="AA74" i="41"/>
  <c r="Z74" i="41"/>
  <c r="Y74" i="41"/>
  <c r="X74" i="41"/>
  <c r="W74" i="41"/>
  <c r="AE75" i="41"/>
  <c r="AD75" i="41"/>
  <c r="AC75" i="41"/>
  <c r="AB75" i="41"/>
  <c r="AA75" i="41"/>
  <c r="Z75" i="41"/>
  <c r="Y75" i="41"/>
  <c r="X75" i="41"/>
  <c r="W75" i="41"/>
  <c r="AE76" i="41"/>
  <c r="AD76" i="41"/>
  <c r="AC76" i="41"/>
  <c r="AB76" i="41"/>
  <c r="AA76" i="41"/>
  <c r="Z76" i="41"/>
  <c r="Y76" i="41"/>
  <c r="X76" i="41"/>
  <c r="W76" i="41"/>
  <c r="AE77" i="41"/>
  <c r="AD77" i="41"/>
  <c r="AC77" i="41"/>
  <c r="AB77" i="41"/>
  <c r="AA77" i="41"/>
  <c r="Z77" i="41"/>
  <c r="Y77" i="41"/>
  <c r="X77" i="41"/>
  <c r="W77" i="41"/>
  <c r="AE78" i="41"/>
  <c r="AD78" i="41"/>
  <c r="AC78" i="41"/>
  <c r="AB78" i="41"/>
  <c r="AA78" i="41"/>
  <c r="Z78" i="41"/>
  <c r="Y78" i="41"/>
  <c r="X78" i="41"/>
  <c r="W78" i="41"/>
  <c r="AE79" i="41"/>
  <c r="AD79" i="41"/>
  <c r="AC79" i="41"/>
  <c r="AB79" i="41"/>
  <c r="AA79" i="41"/>
  <c r="Z79" i="41"/>
  <c r="Y79" i="41"/>
  <c r="X79" i="41"/>
  <c r="W79" i="41"/>
  <c r="AE83" i="39"/>
  <c r="AD83" i="39"/>
  <c r="AC83" i="39"/>
  <c r="AB83" i="39"/>
  <c r="AA83" i="39"/>
  <c r="Z83" i="39"/>
  <c r="Y83" i="39"/>
  <c r="X83" i="39"/>
  <c r="AE84" i="39"/>
  <c r="AD84" i="39"/>
  <c r="AC84" i="39"/>
  <c r="AB84" i="39"/>
  <c r="AA84" i="39"/>
  <c r="Z84" i="39"/>
  <c r="Y84" i="39"/>
  <c r="X84" i="39"/>
  <c r="W84" i="39"/>
  <c r="AE85" i="39"/>
  <c r="AD85" i="39"/>
  <c r="AC85" i="39"/>
  <c r="AB85" i="39"/>
  <c r="AA85" i="39"/>
  <c r="Z85" i="39"/>
  <c r="Y85" i="39"/>
  <c r="X85" i="39"/>
  <c r="W85" i="39"/>
  <c r="AE44" i="39"/>
  <c r="AD44" i="39"/>
  <c r="AC44" i="39"/>
  <c r="AB44" i="39"/>
  <c r="AA44" i="39"/>
  <c r="Z44" i="39"/>
  <c r="Y44" i="39"/>
  <c r="X44" i="39"/>
  <c r="W44" i="39"/>
  <c r="AE45" i="39"/>
  <c r="AD45" i="39"/>
  <c r="AC45" i="39"/>
  <c r="AB45" i="39"/>
  <c r="AA45" i="39"/>
  <c r="Z45" i="39"/>
  <c r="Y45" i="39"/>
  <c r="X45" i="39"/>
  <c r="W45" i="39"/>
  <c r="AE46" i="39"/>
  <c r="AD46" i="39"/>
  <c r="AC46" i="39"/>
  <c r="AB46" i="39"/>
  <c r="AA46" i="39"/>
  <c r="Z46" i="39"/>
  <c r="Y46" i="39"/>
  <c r="X46" i="39"/>
  <c r="W46" i="39"/>
  <c r="AE47" i="39"/>
  <c r="AD47" i="39"/>
  <c r="AC47" i="39"/>
  <c r="AB47" i="39"/>
  <c r="AA47" i="39"/>
  <c r="Z47" i="39"/>
  <c r="Y47" i="39"/>
  <c r="X47" i="39"/>
  <c r="W47" i="39"/>
  <c r="AE48" i="39"/>
  <c r="AD48" i="39"/>
  <c r="AC48" i="39"/>
  <c r="AB48" i="39"/>
  <c r="AA48" i="39"/>
  <c r="Z48" i="39"/>
  <c r="Y48" i="39"/>
  <c r="X48" i="39"/>
  <c r="W48" i="39"/>
  <c r="AE49" i="39"/>
  <c r="AD49" i="39"/>
  <c r="AC49" i="39"/>
  <c r="AB49" i="39"/>
  <c r="AA49" i="39"/>
  <c r="Z49" i="39"/>
  <c r="Y49" i="39"/>
  <c r="X49" i="39"/>
  <c r="W49" i="39"/>
  <c r="AE51" i="39"/>
  <c r="AD51" i="39"/>
  <c r="AC51" i="39"/>
  <c r="AB51" i="39"/>
  <c r="AA51" i="39"/>
  <c r="Z51" i="39"/>
  <c r="Y51" i="39"/>
  <c r="X51" i="39"/>
  <c r="W51" i="39"/>
  <c r="AE52" i="39"/>
  <c r="AD52" i="39"/>
  <c r="AC52" i="39"/>
  <c r="AB52" i="39"/>
  <c r="AA52" i="39"/>
  <c r="Z52" i="39"/>
  <c r="Y52" i="39"/>
  <c r="X52" i="39"/>
  <c r="AE53" i="39"/>
  <c r="AD53" i="39"/>
  <c r="AC53" i="39"/>
  <c r="AB53" i="39"/>
  <c r="AA53" i="39"/>
  <c r="Z53" i="39"/>
  <c r="Y53" i="39"/>
  <c r="X53" i="39"/>
  <c r="AE54" i="39"/>
  <c r="AD54" i="39"/>
  <c r="AC54" i="39"/>
  <c r="AB54" i="39"/>
  <c r="AA54" i="39"/>
  <c r="Z54" i="39"/>
  <c r="Y54" i="39"/>
  <c r="X54" i="39"/>
  <c r="W54" i="39"/>
  <c r="AE55" i="39"/>
  <c r="AD55" i="39"/>
  <c r="AC55" i="39"/>
  <c r="AB55" i="39"/>
  <c r="AA55" i="39"/>
  <c r="Z55" i="39"/>
  <c r="Y55" i="39"/>
  <c r="X55" i="39"/>
  <c r="AE56" i="39"/>
  <c r="AD56" i="39"/>
  <c r="AC56" i="39"/>
  <c r="AB56" i="39"/>
  <c r="AA56" i="39"/>
  <c r="Z56" i="39"/>
  <c r="Y56" i="39"/>
  <c r="X56" i="39"/>
  <c r="AE57" i="39"/>
  <c r="AD57" i="39"/>
  <c r="AC57" i="39"/>
  <c r="AB57" i="39"/>
  <c r="AA57" i="39"/>
  <c r="Z57" i="39"/>
  <c r="Y57" i="39"/>
  <c r="X57" i="39"/>
  <c r="W57" i="39"/>
  <c r="AE58" i="39"/>
  <c r="AD58" i="39"/>
  <c r="AC58" i="39"/>
  <c r="AB58" i="39"/>
  <c r="AA58" i="39"/>
  <c r="Z58" i="39"/>
  <c r="Y58" i="39"/>
  <c r="X58" i="39"/>
  <c r="W58" i="39"/>
  <c r="AE59" i="39"/>
  <c r="AD59" i="39"/>
  <c r="AC59" i="39"/>
  <c r="AB59" i="39"/>
  <c r="AA59" i="39"/>
  <c r="Z59" i="39"/>
  <c r="Y59" i="39"/>
  <c r="X59" i="39"/>
  <c r="W59" i="39"/>
  <c r="AE60" i="39"/>
  <c r="AD60" i="39"/>
  <c r="AC60" i="39"/>
  <c r="AB60" i="39"/>
  <c r="AA60" i="39"/>
  <c r="Z60" i="39"/>
  <c r="Y60" i="39"/>
  <c r="X60" i="39"/>
  <c r="AE61" i="39"/>
  <c r="AD61" i="39"/>
  <c r="AC61" i="39"/>
  <c r="AB61" i="39"/>
  <c r="AA61" i="39"/>
  <c r="Z61" i="39"/>
  <c r="Y61" i="39"/>
  <c r="X61" i="39"/>
  <c r="AE62" i="39"/>
  <c r="AD62" i="39"/>
  <c r="AC62" i="39"/>
  <c r="AB62" i="39"/>
  <c r="AA62" i="39"/>
  <c r="Z62" i="39"/>
  <c r="Y62" i="39"/>
  <c r="X62" i="39"/>
  <c r="W62" i="39"/>
  <c r="AE63" i="39"/>
  <c r="AD63" i="39"/>
  <c r="AC63" i="39"/>
  <c r="AB63" i="39"/>
  <c r="AA63" i="39"/>
  <c r="Z63" i="39"/>
  <c r="Y63" i="39"/>
  <c r="X63" i="39"/>
  <c r="W63" i="39"/>
  <c r="AE64" i="39"/>
  <c r="AD64" i="39"/>
  <c r="AC64" i="39"/>
  <c r="AB64" i="39"/>
  <c r="AA64" i="39"/>
  <c r="Z64" i="39"/>
  <c r="Y64" i="39"/>
  <c r="X64" i="39"/>
  <c r="W64" i="39"/>
  <c r="AE65" i="39"/>
  <c r="AD65" i="39"/>
  <c r="AC65" i="39"/>
  <c r="AB65" i="39"/>
  <c r="AA65" i="39"/>
  <c r="Z65" i="39"/>
  <c r="Y65" i="39"/>
  <c r="X65" i="39"/>
  <c r="AE66" i="39"/>
  <c r="AD66" i="39"/>
  <c r="AC66" i="39"/>
  <c r="AB66" i="39"/>
  <c r="AA66" i="39"/>
  <c r="Z66" i="39"/>
  <c r="Y66" i="39"/>
  <c r="X66" i="39"/>
  <c r="AE67" i="39"/>
  <c r="AD67" i="39"/>
  <c r="AC67" i="39"/>
  <c r="AB67" i="39"/>
  <c r="AA67" i="39"/>
  <c r="Z67" i="39"/>
  <c r="Y67" i="39"/>
  <c r="X67" i="39"/>
  <c r="AE68" i="39"/>
  <c r="AD68" i="39"/>
  <c r="AC68" i="39"/>
  <c r="AB68" i="39"/>
  <c r="AA68" i="39"/>
  <c r="Z68" i="39"/>
  <c r="Y68" i="39"/>
  <c r="X68" i="39"/>
  <c r="AE69" i="39"/>
  <c r="AD69" i="39"/>
  <c r="AC69" i="39"/>
  <c r="AB69" i="39"/>
  <c r="AA69" i="39"/>
  <c r="Z69" i="39"/>
  <c r="Y69" i="39"/>
  <c r="X69" i="39"/>
  <c r="AE70" i="39"/>
  <c r="AD70" i="39"/>
  <c r="AC70" i="39"/>
  <c r="AB70" i="39"/>
  <c r="AA70" i="39"/>
  <c r="Z70" i="39"/>
  <c r="Y70" i="39"/>
  <c r="X70" i="39"/>
  <c r="W70" i="39"/>
  <c r="AE71" i="39"/>
  <c r="AD71" i="39"/>
  <c r="AC71" i="39"/>
  <c r="AB71" i="39"/>
  <c r="AA71" i="39"/>
  <c r="Z71" i="39"/>
  <c r="AE72" i="39"/>
  <c r="AD72" i="39"/>
  <c r="AC72" i="39"/>
  <c r="AB72" i="39"/>
  <c r="AA72" i="39"/>
  <c r="Z72" i="39"/>
  <c r="Y72" i="39"/>
  <c r="X72" i="39"/>
  <c r="AE73" i="39"/>
  <c r="AD73" i="39"/>
  <c r="AC73" i="39"/>
  <c r="AB73" i="39"/>
  <c r="AA73" i="39"/>
  <c r="Z73" i="39"/>
  <c r="Y73" i="39"/>
  <c r="X73" i="39"/>
  <c r="W73" i="39"/>
  <c r="AE74" i="39"/>
  <c r="AD74" i="39"/>
  <c r="AC74" i="39"/>
  <c r="AB74" i="39"/>
  <c r="AA74" i="39"/>
  <c r="Z74" i="39"/>
  <c r="Y74" i="39"/>
  <c r="AE75" i="39"/>
  <c r="AD75" i="39"/>
  <c r="AC75" i="39"/>
  <c r="AB75" i="39"/>
  <c r="AA75" i="39"/>
  <c r="Z75" i="39"/>
  <c r="Y75" i="39"/>
  <c r="X75" i="39"/>
  <c r="AE76" i="39"/>
  <c r="AD76" i="39"/>
  <c r="AC76" i="39"/>
  <c r="AB76" i="39"/>
  <c r="AA76" i="39"/>
  <c r="Z76" i="39"/>
  <c r="Y76" i="39"/>
  <c r="X76" i="39"/>
  <c r="AE78" i="39"/>
  <c r="AD78" i="39"/>
  <c r="AC78" i="39"/>
  <c r="AB78" i="39"/>
  <c r="AA78" i="39"/>
  <c r="Z78" i="39"/>
  <c r="Y78" i="39"/>
  <c r="X78" i="39"/>
  <c r="W78" i="39"/>
  <c r="AE79" i="39"/>
  <c r="AD79" i="39"/>
  <c r="AC79" i="39"/>
  <c r="AB79" i="39"/>
  <c r="AA79" i="39"/>
  <c r="Z79" i="39"/>
  <c r="Y79" i="39"/>
  <c r="X79" i="39"/>
  <c r="AE80" i="39"/>
  <c r="AD80" i="39"/>
  <c r="AC80" i="39"/>
  <c r="AB80" i="39"/>
  <c r="AA80" i="39"/>
  <c r="Z80" i="39"/>
  <c r="Y80" i="39"/>
  <c r="X80" i="39"/>
  <c r="W80" i="39"/>
  <c r="AE81" i="39"/>
  <c r="AD81" i="39"/>
  <c r="AC81" i="39"/>
  <c r="AB81" i="39"/>
  <c r="AA81" i="39"/>
  <c r="Z81" i="39"/>
  <c r="Y81" i="39"/>
  <c r="X81" i="39"/>
  <c r="W81" i="39"/>
  <c r="AE82" i="39"/>
  <c r="AD82" i="39"/>
  <c r="AC82" i="39"/>
  <c r="AB82" i="39"/>
  <c r="AA82" i="39"/>
  <c r="Z82" i="39"/>
  <c r="Y82" i="39"/>
  <c r="X82" i="39"/>
  <c r="W82" i="39"/>
  <c r="W65" i="39"/>
  <c r="W21" i="38"/>
  <c r="X39" i="38"/>
  <c r="X50" i="38"/>
  <c r="W52" i="38"/>
  <c r="W55" i="38"/>
  <c r="W79" i="39"/>
  <c r="X77" i="39"/>
  <c r="W20" i="38"/>
  <c r="AE50" i="39"/>
  <c r="AC50" i="39"/>
  <c r="Z50" i="39"/>
  <c r="AD50" i="39"/>
  <c r="AA50" i="39"/>
  <c r="W50" i="39"/>
  <c r="X50" i="39"/>
  <c r="Y50" i="39"/>
  <c r="AB50" i="39"/>
  <c r="W71" i="39"/>
  <c r="X71" i="39"/>
  <c r="Y71" i="39"/>
  <c r="Z77" i="39"/>
  <c r="Y77" i="39"/>
  <c r="AE77" i="39"/>
  <c r="AB77" i="39"/>
  <c r="AD77" i="39"/>
  <c r="AA77" i="39"/>
  <c r="AC77" i="39"/>
  <c r="AB10" i="36"/>
  <c r="Z10" i="36"/>
  <c r="W10" i="36"/>
  <c r="Y10" i="36"/>
  <c r="AC10" i="36"/>
  <c r="AA10" i="36"/>
  <c r="X10" i="36"/>
  <c r="AE10" i="36"/>
  <c r="AD10" i="36"/>
  <c r="X17" i="38"/>
  <c r="Z17" i="38"/>
  <c r="AA17" i="38"/>
  <c r="Y17" i="38"/>
  <c r="AD17" i="38"/>
  <c r="AC17" i="38"/>
  <c r="AE17" i="38"/>
  <c r="W17" i="38"/>
  <c r="AB17" i="38"/>
  <c r="X37" i="38"/>
  <c r="W37" i="38"/>
  <c r="Z37" i="38"/>
  <c r="AC37" i="38"/>
  <c r="AE37" i="38"/>
  <c r="AB37" i="38"/>
  <c r="Y37" i="38"/>
  <c r="AA37" i="38"/>
  <c r="AD37" i="38"/>
  <c r="AE27" i="41"/>
  <c r="AD27" i="41"/>
  <c r="AC27" i="41"/>
  <c r="AB27" i="41"/>
  <c r="AA27" i="41"/>
  <c r="Z27" i="41"/>
  <c r="Y27" i="41"/>
  <c r="X27" i="41"/>
  <c r="W27" i="41"/>
  <c r="AC10" i="39"/>
  <c r="Z10" i="39"/>
  <c r="W10" i="39"/>
  <c r="AE10" i="39"/>
  <c r="AB10" i="39"/>
  <c r="X10" i="39"/>
  <c r="AD10" i="39"/>
  <c r="AA10" i="39"/>
  <c r="Y10" i="39"/>
  <c r="AE31" i="38"/>
  <c r="AD31" i="38"/>
  <c r="AC31" i="38"/>
  <c r="AB31" i="38"/>
  <c r="AA31" i="38"/>
  <c r="Z31" i="38"/>
  <c r="Y31" i="38"/>
  <c r="X31" i="38"/>
  <c r="W31" i="38"/>
  <c r="AE18" i="38"/>
  <c r="AD18" i="38"/>
  <c r="AC18" i="38"/>
  <c r="AB18" i="38"/>
  <c r="Z18" i="38"/>
  <c r="Y18" i="38"/>
  <c r="AE19" i="38"/>
  <c r="AD19" i="38"/>
  <c r="AC19" i="38"/>
  <c r="AB19" i="38"/>
  <c r="AA19" i="38"/>
  <c r="Z19" i="38"/>
  <c r="X19" i="38"/>
  <c r="AE20" i="38"/>
  <c r="AD20" i="38"/>
  <c r="AC20" i="38"/>
  <c r="AB20" i="38"/>
  <c r="AA20" i="38"/>
  <c r="Z20" i="38"/>
  <c r="Y20" i="38"/>
  <c r="X20" i="38"/>
  <c r="AC21" i="38"/>
  <c r="AB21" i="38"/>
  <c r="AA21" i="38"/>
  <c r="Z21" i="38"/>
  <c r="Y21" i="38"/>
  <c r="X21" i="38"/>
  <c r="AE27" i="38"/>
  <c r="AD27" i="38"/>
  <c r="AC27" i="38"/>
  <c r="AB27" i="38"/>
  <c r="AA27" i="38"/>
  <c r="Z27" i="38"/>
  <c r="Y27" i="38"/>
  <c r="X27" i="38"/>
  <c r="W27" i="38"/>
  <c r="AE28" i="38"/>
  <c r="AD28" i="38"/>
  <c r="AC28" i="38"/>
  <c r="AB28" i="38"/>
  <c r="AA28" i="38"/>
  <c r="Z28" i="38"/>
  <c r="W28" i="38"/>
  <c r="AE29" i="38"/>
  <c r="AD29" i="38"/>
  <c r="AC29" i="38"/>
  <c r="AB29" i="38"/>
  <c r="AE30" i="38"/>
  <c r="AD30" i="38"/>
  <c r="AC30" i="38"/>
  <c r="AB30" i="38"/>
  <c r="AA30" i="38"/>
  <c r="Z30" i="38"/>
  <c r="Y30" i="38"/>
  <c r="X30" i="38"/>
  <c r="W30" i="38"/>
  <c r="AE32" i="38"/>
  <c r="AD32" i="38"/>
  <c r="AC32" i="38"/>
  <c r="AB32" i="38"/>
  <c r="AA32" i="38"/>
  <c r="Z32" i="38"/>
  <c r="Y32" i="38"/>
  <c r="X32" i="38"/>
  <c r="W32" i="38"/>
  <c r="AE33" i="38"/>
  <c r="AD33" i="38"/>
  <c r="AC33" i="38"/>
  <c r="AB33" i="38"/>
  <c r="AA33" i="38"/>
  <c r="Z33" i="38"/>
  <c r="Y33" i="38"/>
  <c r="X33" i="38"/>
  <c r="W33" i="38"/>
  <c r="AE34" i="38"/>
  <c r="AD34" i="38"/>
  <c r="AC34" i="38"/>
  <c r="AB34" i="38"/>
  <c r="AA34" i="38"/>
  <c r="Z34" i="38"/>
  <c r="Y34" i="38"/>
  <c r="X34" i="38"/>
  <c r="W34" i="38"/>
  <c r="AE35" i="38"/>
  <c r="AD35" i="38"/>
  <c r="AC35" i="38"/>
  <c r="AB35" i="38"/>
  <c r="AA35" i="38"/>
  <c r="Z35" i="38"/>
  <c r="Y35" i="38"/>
  <c r="X35" i="38"/>
  <c r="AE36" i="38"/>
  <c r="AD36" i="38"/>
  <c r="AC36" i="38"/>
  <c r="AB36" i="38"/>
  <c r="AA36" i="38"/>
  <c r="Z36" i="38"/>
  <c r="Y36" i="38"/>
  <c r="X36" i="38"/>
  <c r="AE38" i="38"/>
  <c r="AD38" i="38"/>
  <c r="AC38" i="38"/>
  <c r="AB38" i="38"/>
  <c r="AA38" i="38"/>
  <c r="Z38" i="38"/>
  <c r="Y38" i="38"/>
  <c r="X38" i="38"/>
  <c r="W38" i="38"/>
  <c r="AE39" i="38"/>
  <c r="AD39" i="38"/>
  <c r="AC39" i="38"/>
  <c r="AB39" i="38"/>
  <c r="AA39" i="38"/>
  <c r="Z39" i="38"/>
  <c r="Y39" i="38"/>
  <c r="AE40" i="38"/>
  <c r="AD40" i="38"/>
  <c r="AC40" i="38"/>
  <c r="AB40" i="38"/>
  <c r="AA40" i="38"/>
  <c r="AE42" i="38"/>
  <c r="AD42" i="38"/>
  <c r="AC42" i="38"/>
  <c r="AB42" i="38"/>
  <c r="AA42" i="38"/>
  <c r="Z42" i="38"/>
  <c r="Y42" i="38"/>
  <c r="X42" i="38"/>
  <c r="W42" i="38"/>
  <c r="AE43" i="38"/>
  <c r="AD43" i="38"/>
  <c r="AC43" i="38"/>
  <c r="AB43" i="38"/>
  <c r="AA43" i="38"/>
  <c r="Z43" i="38"/>
  <c r="Y43" i="38"/>
  <c r="X43" i="38"/>
  <c r="W43" i="38"/>
  <c r="AE44" i="38"/>
  <c r="AD44" i="38"/>
  <c r="AC44" i="38"/>
  <c r="AB44" i="38"/>
  <c r="AA44" i="38"/>
  <c r="Z44" i="38"/>
  <c r="Y44" i="38"/>
  <c r="X44" i="38"/>
  <c r="W44" i="38"/>
  <c r="AE45" i="38"/>
  <c r="AD45" i="38"/>
  <c r="AC45" i="38"/>
  <c r="AB45" i="38"/>
  <c r="AA45" i="38"/>
  <c r="Z45" i="38"/>
  <c r="AE47" i="38"/>
  <c r="AD47" i="38"/>
  <c r="AC47" i="38"/>
  <c r="AB47" i="38"/>
  <c r="AA47" i="38"/>
  <c r="Z47" i="38"/>
  <c r="Y47" i="38"/>
  <c r="X47" i="38"/>
  <c r="W47" i="38"/>
  <c r="AE48" i="38"/>
  <c r="AD48" i="38"/>
  <c r="AC48" i="38"/>
  <c r="AB48" i="38"/>
  <c r="AA48" i="38"/>
  <c r="Z48" i="38"/>
  <c r="Y48" i="38"/>
  <c r="X48" i="38"/>
  <c r="W48" i="38"/>
  <c r="AE49" i="38"/>
  <c r="AD49" i="38"/>
  <c r="AC49" i="38"/>
  <c r="AB49" i="38"/>
  <c r="AA49" i="38"/>
  <c r="Z49" i="38"/>
  <c r="Y49" i="38"/>
  <c r="X49" i="38"/>
  <c r="W49" i="38"/>
  <c r="AE50" i="38"/>
  <c r="AD50" i="38"/>
  <c r="AC50" i="38"/>
  <c r="AB50" i="38"/>
  <c r="AA50" i="38"/>
  <c r="Z50" i="38"/>
  <c r="Y50" i="38"/>
  <c r="W50" i="38"/>
  <c r="AE51" i="38"/>
  <c r="AD51" i="38"/>
  <c r="AC51" i="38"/>
  <c r="AB51" i="38"/>
  <c r="AA51" i="38"/>
  <c r="Z51" i="38"/>
  <c r="Y51" i="38"/>
  <c r="X51" i="38"/>
  <c r="W51" i="38"/>
  <c r="AE52" i="38"/>
  <c r="AD52" i="38"/>
  <c r="AC52" i="38"/>
  <c r="AB52" i="38"/>
  <c r="AA52" i="38"/>
  <c r="Z52" i="38"/>
  <c r="Y52" i="38"/>
  <c r="X52" i="38"/>
  <c r="AE53" i="38"/>
  <c r="AD53" i="38"/>
  <c r="AC53" i="38"/>
  <c r="AB53" i="38"/>
  <c r="AA53" i="38"/>
  <c r="Z53" i="38"/>
  <c r="AE54" i="38"/>
  <c r="AD54" i="38"/>
  <c r="AC54" i="38"/>
  <c r="AB54" i="38"/>
  <c r="AA54" i="38"/>
  <c r="Z54" i="38"/>
  <c r="Y54" i="38"/>
  <c r="AE55" i="38"/>
  <c r="AD55" i="38"/>
  <c r="AC55" i="38"/>
  <c r="AB55" i="38"/>
  <c r="AA55" i="38"/>
  <c r="AE56" i="38"/>
  <c r="AD56" i="38"/>
  <c r="AC56" i="38"/>
  <c r="AB56" i="38"/>
  <c r="AA56" i="38"/>
  <c r="X56" i="38"/>
  <c r="AE57" i="38"/>
  <c r="AD57" i="38"/>
  <c r="AC57" i="38"/>
  <c r="AB57" i="38"/>
  <c r="AA57" i="38"/>
  <c r="Z57" i="38"/>
  <c r="AE59" i="38"/>
  <c r="AD59" i="38"/>
  <c r="AC59" i="38"/>
  <c r="AB59" i="38"/>
  <c r="AA59" i="38"/>
  <c r="Z59" i="38"/>
  <c r="Y59" i="38"/>
  <c r="X59" i="38"/>
  <c r="W59" i="38"/>
  <c r="AE60" i="38"/>
  <c r="AD60" i="38"/>
  <c r="AC60" i="38"/>
  <c r="AB60" i="38"/>
  <c r="AA60" i="38"/>
  <c r="Z60" i="38"/>
  <c r="Y60" i="38"/>
  <c r="X60" i="38"/>
  <c r="W60" i="38"/>
  <c r="AE61" i="38"/>
  <c r="AD61" i="38"/>
  <c r="AC61" i="38"/>
  <c r="AB61" i="38"/>
  <c r="AA61" i="38"/>
  <c r="Z61" i="38"/>
  <c r="Y61" i="38"/>
  <c r="AE62" i="38"/>
  <c r="AD62" i="38"/>
  <c r="AC62" i="38"/>
  <c r="AB62" i="38"/>
  <c r="AA62" i="38"/>
  <c r="Z62" i="38"/>
  <c r="Y62" i="38"/>
  <c r="X62" i="38"/>
  <c r="W62" i="38"/>
  <c r="W35" i="38"/>
  <c r="W39" i="38"/>
  <c r="X18" i="38"/>
  <c r="W18" i="38"/>
  <c r="AA18" i="38"/>
  <c r="Y19" i="38"/>
  <c r="W19" i="38"/>
  <c r="Y28" i="38"/>
  <c r="X28" i="38"/>
  <c r="X29" i="38"/>
  <c r="AA29" i="38"/>
  <c r="W29" i="38"/>
  <c r="Y29" i="38"/>
  <c r="Z29" i="38"/>
  <c r="Y40" i="38"/>
  <c r="Z40" i="38"/>
  <c r="W40" i="38"/>
  <c r="X40" i="38"/>
  <c r="Z41" i="38"/>
  <c r="AA41" i="38"/>
  <c r="AE41" i="38"/>
  <c r="AB41" i="38"/>
  <c r="AC41" i="38"/>
  <c r="AD41" i="38"/>
  <c r="X45" i="38"/>
  <c r="Y45" i="38"/>
  <c r="W45" i="38"/>
  <c r="Y53" i="38"/>
  <c r="X53" i="38"/>
  <c r="W53" i="38"/>
  <c r="W54" i="38"/>
  <c r="X54" i="38"/>
  <c r="X55" i="38"/>
  <c r="Y55" i="38"/>
  <c r="X61" i="38"/>
  <c r="W61" i="38"/>
  <c r="AE63" i="38"/>
  <c r="Z63" i="38"/>
  <c r="Y63" i="38"/>
  <c r="X63" i="38"/>
  <c r="AB63" i="38"/>
  <c r="AC63" i="38"/>
  <c r="AD63" i="38"/>
  <c r="W63" i="38"/>
  <c r="AA63" i="38"/>
  <c r="AB11" i="37"/>
  <c r="X11" i="37"/>
  <c r="AE11" i="37"/>
  <c r="Z11" i="37"/>
  <c r="AC11" i="37"/>
  <c r="Y11" i="37"/>
  <c r="AD11" i="37"/>
  <c r="AA11" i="37"/>
  <c r="W11" i="37"/>
  <c r="AC57" i="37"/>
  <c r="X20" i="33"/>
  <c r="W35" i="33"/>
  <c r="X33" i="33"/>
  <c r="W57" i="37"/>
  <c r="X57" i="37"/>
  <c r="AE66" i="34"/>
  <c r="AD66" i="34"/>
  <c r="AC66" i="34"/>
  <c r="Z66" i="34"/>
  <c r="AB66" i="34"/>
  <c r="AA66" i="34"/>
  <c r="Y80" i="37"/>
  <c r="X80" i="37"/>
  <c r="W80" i="37"/>
  <c r="AB57" i="37"/>
  <c r="AE57" i="37"/>
  <c r="AD57" i="37"/>
  <c r="Y57" i="37"/>
  <c r="M69" i="31"/>
  <c r="P60" i="31"/>
  <c r="P64" i="31"/>
  <c r="P85" i="31"/>
  <c r="Q81" i="31"/>
  <c r="T16" i="31"/>
  <c r="M41" i="31"/>
  <c r="T85" i="31"/>
  <c r="Q57" i="31"/>
  <c r="U30" i="31"/>
  <c r="R58" i="31"/>
  <c r="V30" i="31"/>
  <c r="L62" i="31"/>
  <c r="T26" i="31"/>
  <c r="M39" i="31"/>
  <c r="N54" i="31"/>
  <c r="M62" i="31"/>
  <c r="N39" i="31"/>
  <c r="P43" i="31"/>
  <c r="O39" i="31"/>
  <c r="M46" i="31"/>
  <c r="R75" i="31"/>
  <c r="K14" i="31"/>
  <c r="V75" i="31"/>
  <c r="S79" i="31"/>
  <c r="L14" i="31"/>
  <c r="R59" i="31"/>
  <c r="P44" i="31"/>
  <c r="N34" i="31"/>
  <c r="M34" i="31"/>
  <c r="P11" i="31"/>
  <c r="K60" i="31"/>
  <c r="V42" i="31"/>
  <c r="M74" i="31"/>
  <c r="U70" i="31"/>
  <c r="N66" i="31"/>
  <c r="Q59" i="31"/>
  <c r="R41" i="31"/>
  <c r="U19" i="31"/>
  <c r="T14" i="31"/>
  <c r="L74" i="31"/>
  <c r="L66" i="31"/>
  <c r="Q41" i="31"/>
  <c r="T34" i="31"/>
  <c r="U26" i="31"/>
  <c r="O22" i="31"/>
  <c r="Q16" i="31"/>
  <c r="K20" i="31"/>
  <c r="L48" i="31"/>
  <c r="U52" i="31"/>
  <c r="K56" i="31"/>
  <c r="T70" i="31"/>
  <c r="S81" i="31"/>
  <c r="Q43" i="31"/>
  <c r="O79" i="31"/>
  <c r="L68" i="31"/>
  <c r="Q79" i="31"/>
  <c r="L40" i="31"/>
  <c r="O68" i="31"/>
  <c r="K72" i="31"/>
  <c r="R79" i="31"/>
  <c r="L23" i="31"/>
  <c r="U38" i="31"/>
  <c r="S59" i="31"/>
  <c r="P17" i="31"/>
  <c r="S10" i="31"/>
  <c r="P66" i="31"/>
  <c r="R56" i="31"/>
  <c r="V49" i="31"/>
  <c r="Q40" i="31"/>
  <c r="S37" i="31"/>
  <c r="N20" i="31"/>
  <c r="O17" i="31"/>
  <c r="O10" i="31"/>
  <c r="T19" i="31"/>
  <c r="U61" i="31"/>
  <c r="S36" i="31"/>
  <c r="R19" i="31"/>
  <c r="K39" i="31"/>
  <c r="K78" i="31"/>
  <c r="V71" i="31"/>
  <c r="R54" i="31"/>
  <c r="Q36" i="31"/>
  <c r="O33" i="31"/>
  <c r="T25" i="31"/>
  <c r="N19" i="31"/>
  <c r="L78" i="31"/>
  <c r="O51" i="31"/>
  <c r="P33" i="31"/>
  <c r="Q19" i="31"/>
  <c r="V81" i="31"/>
  <c r="U71" i="31"/>
  <c r="P54" i="31"/>
  <c r="P36" i="31"/>
  <c r="N33" i="31"/>
  <c r="S25" i="31"/>
  <c r="Q23" i="31"/>
  <c r="L26" i="31"/>
  <c r="U35" i="31"/>
  <c r="T40" i="31"/>
  <c r="R43" i="31"/>
  <c r="Q51" i="31"/>
  <c r="R68" i="31"/>
  <c r="L79" i="31"/>
  <c r="N84" i="31"/>
  <c r="U23" i="31"/>
  <c r="V35" i="31"/>
  <c r="V40" i="31"/>
  <c r="R51" i="31"/>
  <c r="L54" i="31"/>
  <c r="T68" i="31"/>
  <c r="K71" i="31"/>
  <c r="M79" i="31"/>
  <c r="O84" i="31"/>
  <c r="V68" i="31"/>
  <c r="L71" i="31"/>
  <c r="N79" i="31"/>
  <c r="P84" i="31"/>
  <c r="M26" i="31"/>
  <c r="S43" i="31"/>
  <c r="K12" i="31"/>
  <c r="K18" i="31"/>
  <c r="V23" i="31"/>
  <c r="Q26" i="31"/>
  <c r="T43" i="31"/>
  <c r="M54" i="31"/>
  <c r="P22" i="31"/>
  <c r="P34" i="31"/>
  <c r="S47" i="31"/>
  <c r="U64" i="31"/>
  <c r="M67" i="31"/>
  <c r="L70" i="31"/>
  <c r="V72" i="31"/>
  <c r="U75" i="31"/>
  <c r="U80" i="31"/>
  <c r="R83" i="31"/>
  <c r="U10" i="31"/>
  <c r="T13" i="31"/>
  <c r="U16" i="31"/>
  <c r="U25" i="31"/>
  <c r="T28" i="31"/>
  <c r="O31" i="31"/>
  <c r="R40" i="31"/>
  <c r="U43" i="31"/>
  <c r="O52" i="31"/>
  <c r="V60" i="31"/>
  <c r="K76" i="31"/>
  <c r="T84" i="31"/>
  <c r="V13" i="31"/>
  <c r="R22" i="31"/>
  <c r="V25" i="31"/>
  <c r="R31" i="31"/>
  <c r="S40" i="31"/>
  <c r="P49" i="31"/>
  <c r="P52" i="31"/>
  <c r="O55" i="31"/>
  <c r="M70" i="31"/>
  <c r="K73" i="31"/>
  <c r="L76" i="31"/>
  <c r="U84" i="31"/>
  <c r="T22" i="31"/>
  <c r="R49" i="31"/>
  <c r="S52" i="31"/>
  <c r="M64" i="31"/>
  <c r="R70" i="31"/>
  <c r="T52" i="31"/>
  <c r="V73" i="31"/>
  <c r="V10" i="31"/>
  <c r="V28" i="31"/>
  <c r="U73" i="31"/>
  <c r="S76" i="31"/>
  <c r="S22" i="31"/>
  <c r="V31" i="31"/>
  <c r="Q49" i="31"/>
  <c r="Q52" i="31"/>
  <c r="P55" i="31"/>
  <c r="L64" i="31"/>
  <c r="P70" i="31"/>
  <c r="S73" i="31"/>
  <c r="M76" i="31"/>
  <c r="V84" i="31"/>
  <c r="Q55" i="31"/>
  <c r="Q76" i="31"/>
  <c r="S49" i="31"/>
  <c r="R55" i="31"/>
  <c r="N64" i="31"/>
  <c r="S70" i="31"/>
  <c r="M18" i="31"/>
  <c r="K27" i="31"/>
  <c r="P39" i="31"/>
  <c r="P50" i="31"/>
  <c r="S56" i="31"/>
  <c r="T59" i="31"/>
  <c r="U62" i="31"/>
  <c r="R74" i="31"/>
  <c r="N83" i="31"/>
  <c r="L12" i="31"/>
  <c r="K15" i="31"/>
  <c r="N27" i="31"/>
  <c r="P30" i="31"/>
  <c r="Q39" i="31"/>
  <c r="R50" i="31"/>
  <c r="T56" i="31"/>
  <c r="U59" i="31"/>
  <c r="V62" i="31"/>
  <c r="S74" i="31"/>
  <c r="L80" i="31"/>
  <c r="O83" i="31"/>
  <c r="M12" i="31"/>
  <c r="M15" i="31"/>
  <c r="R21" i="31"/>
  <c r="T27" i="31"/>
  <c r="Q30" i="31"/>
  <c r="R39" i="31"/>
  <c r="N80" i="31"/>
  <c r="S83" i="31"/>
  <c r="Q12" i="31"/>
  <c r="N15" i="31"/>
  <c r="S21" i="31"/>
  <c r="K24" i="31"/>
  <c r="T30" i="31"/>
  <c r="L69" i="31"/>
  <c r="O80" i="31"/>
  <c r="T83" i="31"/>
  <c r="AE23" i="39"/>
  <c r="AD23" i="39"/>
  <c r="AC23" i="39"/>
  <c r="AB23" i="39"/>
  <c r="AA23" i="39"/>
  <c r="Z23" i="39"/>
  <c r="Y23" i="39"/>
  <c r="X23" i="39"/>
  <c r="W23" i="39"/>
  <c r="AE83" i="38"/>
  <c r="AD83" i="38"/>
  <c r="AC83" i="38"/>
  <c r="AB83" i="38"/>
  <c r="AA83" i="38"/>
  <c r="Z83" i="38"/>
  <c r="Y83" i="38"/>
  <c r="X83" i="38"/>
  <c r="W83" i="38"/>
  <c r="AE84" i="38"/>
  <c r="AD84" i="38"/>
  <c r="AC84" i="38"/>
  <c r="AB84" i="38"/>
  <c r="AA84" i="38"/>
  <c r="Z84" i="38"/>
  <c r="AE85" i="38"/>
  <c r="AD85" i="38"/>
  <c r="AC85" i="38"/>
  <c r="AB85" i="38"/>
  <c r="AA85" i="38"/>
  <c r="Z85" i="38"/>
  <c r="Y85" i="38"/>
  <c r="X85" i="38"/>
  <c r="W85" i="38"/>
  <c r="AE64" i="38"/>
  <c r="AD64" i="38"/>
  <c r="AC64" i="38"/>
  <c r="AB64" i="38"/>
  <c r="AA64" i="38"/>
  <c r="Z64" i="38"/>
  <c r="Y64" i="38"/>
  <c r="X64" i="38"/>
  <c r="W64" i="38"/>
  <c r="AE65" i="38"/>
  <c r="AD65" i="38"/>
  <c r="AC65" i="38"/>
  <c r="AB65" i="38"/>
  <c r="AA65" i="38"/>
  <c r="Z65" i="38"/>
  <c r="Y65" i="38"/>
  <c r="X65" i="38"/>
  <c r="W65" i="38"/>
  <c r="AE66" i="38"/>
  <c r="AD66" i="38"/>
  <c r="AC66" i="38"/>
  <c r="AB66" i="38"/>
  <c r="AA66" i="38"/>
  <c r="Z66" i="38"/>
  <c r="Y66" i="38"/>
  <c r="X66" i="38"/>
  <c r="W66" i="38"/>
  <c r="AE67" i="38"/>
  <c r="AD67" i="38"/>
  <c r="AC67" i="38"/>
  <c r="AB67" i="38"/>
  <c r="AA67" i="38"/>
  <c r="Z67" i="38"/>
  <c r="Y67" i="38"/>
  <c r="X67" i="38"/>
  <c r="W67" i="38"/>
  <c r="AE68" i="38"/>
  <c r="AD68" i="38"/>
  <c r="AC68" i="38"/>
  <c r="AB68" i="38"/>
  <c r="AA68" i="38"/>
  <c r="Z68" i="38"/>
  <c r="Y68" i="38"/>
  <c r="X68" i="38"/>
  <c r="W68" i="38"/>
  <c r="AE69" i="38"/>
  <c r="AD69" i="38"/>
  <c r="AC69" i="38"/>
  <c r="AB69" i="38"/>
  <c r="AA69" i="38"/>
  <c r="Z69" i="38"/>
  <c r="Y69" i="38"/>
  <c r="X69" i="38"/>
  <c r="W69" i="38"/>
  <c r="AE70" i="38"/>
  <c r="AD70" i="38"/>
  <c r="AC70" i="38"/>
  <c r="AB70" i="38"/>
  <c r="AA70" i="38"/>
  <c r="Z70" i="38"/>
  <c r="Y70" i="38"/>
  <c r="X70" i="38"/>
  <c r="W70" i="38"/>
  <c r="AE71" i="38"/>
  <c r="AD71" i="38"/>
  <c r="AC71" i="38"/>
  <c r="AB71" i="38"/>
  <c r="AA71" i="38"/>
  <c r="Z71" i="38"/>
  <c r="Y71" i="38"/>
  <c r="X71" i="38"/>
  <c r="W71" i="38"/>
  <c r="AE72" i="38"/>
  <c r="AD72" i="38"/>
  <c r="AC72" i="38"/>
  <c r="AB72" i="38"/>
  <c r="AA72" i="38"/>
  <c r="Z72" i="38"/>
  <c r="Y72" i="38"/>
  <c r="X72" i="38"/>
  <c r="W72" i="38"/>
  <c r="AE73" i="38"/>
  <c r="AD73" i="38"/>
  <c r="AC73" i="38"/>
  <c r="AB73" i="38"/>
  <c r="AA73" i="38"/>
  <c r="Z73" i="38"/>
  <c r="Y73" i="38"/>
  <c r="X73" i="38"/>
  <c r="W73" i="38"/>
  <c r="AE74" i="38"/>
  <c r="AD74" i="38"/>
  <c r="AC74" i="38"/>
  <c r="AB74" i="38"/>
  <c r="AA74" i="38"/>
  <c r="Z74" i="38"/>
  <c r="AE75" i="38"/>
  <c r="AD75" i="38"/>
  <c r="AC75" i="38"/>
  <c r="AB75" i="38"/>
  <c r="AA75" i="38"/>
  <c r="Z75" i="38"/>
  <c r="Y75" i="38"/>
  <c r="X75" i="38"/>
  <c r="W75" i="38"/>
  <c r="AE76" i="38"/>
  <c r="AD76" i="38"/>
  <c r="AC76" i="38"/>
  <c r="AB76" i="38"/>
  <c r="AA76" i="38"/>
  <c r="Z76" i="38"/>
  <c r="Y76" i="38"/>
  <c r="X76" i="38"/>
  <c r="W76" i="38"/>
  <c r="AE77" i="38"/>
  <c r="AD77" i="38"/>
  <c r="AC77" i="38"/>
  <c r="AB77" i="38"/>
  <c r="AA77" i="38"/>
  <c r="Z77" i="38"/>
  <c r="Y77" i="38"/>
  <c r="X77" i="38"/>
  <c r="W77" i="38"/>
  <c r="AE78" i="38"/>
  <c r="AD78" i="38"/>
  <c r="AC78" i="38"/>
  <c r="AB78" i="38"/>
  <c r="AA78" i="38"/>
  <c r="Z78" i="38"/>
  <c r="Y78" i="38"/>
  <c r="X78" i="38"/>
  <c r="W78" i="38"/>
  <c r="AE79" i="38"/>
  <c r="AD79" i="38"/>
  <c r="AC79" i="38"/>
  <c r="AB79" i="38"/>
  <c r="AA79" i="38"/>
  <c r="Z79" i="38"/>
  <c r="Y79" i="38"/>
  <c r="AE80" i="38"/>
  <c r="AD80" i="38"/>
  <c r="AC80" i="38"/>
  <c r="AB80" i="38"/>
  <c r="AA80" i="38"/>
  <c r="Z80" i="38"/>
  <c r="AE81" i="38"/>
  <c r="AD81" i="38"/>
  <c r="AC81" i="38"/>
  <c r="AB81" i="38"/>
  <c r="AA81" i="38"/>
  <c r="Z81" i="38"/>
  <c r="Y81" i="38"/>
  <c r="X81" i="38"/>
  <c r="W81" i="38"/>
  <c r="AE82" i="38"/>
  <c r="AD82" i="38"/>
  <c r="AC82" i="38"/>
  <c r="AB82" i="38"/>
  <c r="AA82" i="38"/>
  <c r="Z82" i="38"/>
  <c r="Y82" i="38"/>
  <c r="X82" i="38"/>
  <c r="W82" i="38"/>
  <c r="AE64" i="34"/>
  <c r="AD64" i="34"/>
  <c r="AC64" i="34"/>
  <c r="AB64" i="34"/>
  <c r="AA64" i="34"/>
  <c r="Z64" i="34"/>
  <c r="Y64" i="34"/>
  <c r="X64" i="34"/>
  <c r="AE65" i="34"/>
  <c r="AD65" i="34"/>
  <c r="AC65" i="34"/>
  <c r="AB65" i="34"/>
  <c r="AA65" i="34"/>
  <c r="Z65" i="34"/>
  <c r="Y65" i="34"/>
  <c r="X65" i="34"/>
  <c r="W65" i="34"/>
  <c r="W76" i="37"/>
  <c r="AA53" i="33"/>
  <c r="W72" i="33"/>
  <c r="W68" i="33"/>
  <c r="Z45" i="33"/>
  <c r="W37" i="33"/>
  <c r="AE80" i="33"/>
  <c r="W64" i="34"/>
  <c r="W81" i="37"/>
  <c r="W63" i="34"/>
  <c r="AE12" i="34"/>
  <c r="AC12" i="34"/>
  <c r="Y12" i="34"/>
  <c r="AD12" i="34"/>
  <c r="Z12" i="34"/>
  <c r="AA12" i="34"/>
  <c r="X12" i="34"/>
  <c r="W12" i="34"/>
  <c r="AB12" i="34"/>
  <c r="W66" i="34"/>
  <c r="Y66" i="34"/>
  <c r="X66" i="34"/>
  <c r="AA57" i="37"/>
  <c r="Z57" i="37"/>
  <c r="Y60" i="37"/>
  <c r="W60" i="37"/>
  <c r="X60" i="37"/>
  <c r="Y71" i="37"/>
  <c r="W71" i="37"/>
  <c r="X71" i="37"/>
  <c r="Z71" i="37"/>
  <c r="R13" i="31"/>
  <c r="O14" i="31"/>
  <c r="U44" i="31"/>
  <c r="V11" i="31"/>
  <c r="L24" i="31"/>
  <c r="Q28" i="31"/>
  <c r="T36" i="31"/>
  <c r="S57" i="31"/>
  <c r="T76" i="31"/>
  <c r="M24" i="31"/>
  <c r="R28" i="31"/>
  <c r="K32" i="31"/>
  <c r="U36" i="31"/>
  <c r="N43" i="31"/>
  <c r="U49" i="31"/>
  <c r="S28" i="31"/>
  <c r="O43" i="31"/>
  <c r="V57" i="31"/>
  <c r="L72" i="31"/>
  <c r="T11" i="31"/>
  <c r="L50" i="31"/>
  <c r="Q74" i="31"/>
  <c r="T78" i="31"/>
  <c r="K44" i="31"/>
  <c r="M28" i="31"/>
  <c r="M50" i="31"/>
  <c r="L82" i="31"/>
  <c r="P28" i="31"/>
  <c r="T55" i="31"/>
  <c r="M82" i="31"/>
  <c r="R38" i="31"/>
  <c r="M45" i="31"/>
  <c r="N72" i="31"/>
  <c r="P68" i="31"/>
  <c r="V44" i="31"/>
  <c r="O56" i="31"/>
  <c r="L60" i="31"/>
  <c r="K41" i="31"/>
  <c r="Q64" i="31"/>
  <c r="P16" i="31"/>
  <c r="S85" i="31"/>
  <c r="R24" i="31"/>
  <c r="N41" i="31"/>
  <c r="U41" i="31"/>
  <c r="N69" i="31"/>
  <c r="M60" i="31"/>
  <c r="O64" i="31"/>
  <c r="O16" i="31"/>
  <c r="P81" i="31"/>
  <c r="R12" i="31"/>
  <c r="K48" i="31"/>
  <c r="U60" i="31"/>
  <c r="N48" i="31"/>
  <c r="P48" i="31"/>
  <c r="K43" i="31"/>
  <c r="T57" i="31"/>
  <c r="V36" i="31"/>
  <c r="N24" i="31"/>
  <c r="P62" i="31"/>
  <c r="K82" i="31"/>
  <c r="K66" i="31"/>
  <c r="P40" i="31"/>
  <c r="K47" i="31"/>
  <c r="N45" i="31"/>
  <c r="N52" i="31"/>
  <c r="M72" i="31"/>
  <c r="L41" i="31"/>
  <c r="V77" i="31"/>
  <c r="O48" i="31"/>
  <c r="R33" i="31"/>
  <c r="R60" i="31"/>
  <c r="Q37" i="31"/>
  <c r="U77" i="31"/>
  <c r="T41" i="31"/>
  <c r="S84" i="31"/>
  <c r="T80" i="31"/>
  <c r="K79" i="31"/>
  <c r="O75" i="31"/>
  <c r="R71" i="31"/>
  <c r="Q67" i="31"/>
  <c r="O63" i="31"/>
  <c r="P59" i="31"/>
  <c r="N55" i="31"/>
  <c r="N51" i="31"/>
  <c r="T48" i="31"/>
  <c r="T44" i="31"/>
  <c r="O40" i="31"/>
  <c r="V37" i="31"/>
  <c r="L33" i="31"/>
  <c r="O30" i="31"/>
  <c r="R27" i="31"/>
  <c r="V24" i="31"/>
  <c r="O23" i="31"/>
  <c r="N16" i="31"/>
  <c r="O13" i="31"/>
  <c r="R10" i="31"/>
  <c r="R84" i="31"/>
  <c r="S80" i="31"/>
  <c r="N75" i="31"/>
  <c r="Q71" i="31"/>
  <c r="P67" i="31"/>
  <c r="N63" i="31"/>
  <c r="K59" i="31"/>
  <c r="M55" i="31"/>
  <c r="M51" i="31"/>
  <c r="S48" i="31"/>
  <c r="S44" i="31"/>
  <c r="N40" i="31"/>
  <c r="U37" i="31"/>
  <c r="K33" i="31"/>
  <c r="M30" i="31"/>
  <c r="Q27" i="31"/>
  <c r="T24" i="31"/>
  <c r="N23" i="31"/>
  <c r="T20" i="31"/>
  <c r="K16" i="31"/>
  <c r="K13" i="31"/>
  <c r="Q10" i="31"/>
  <c r="Q84" i="31"/>
  <c r="Q80" i="31"/>
  <c r="K75" i="31"/>
  <c r="P71" i="31"/>
  <c r="O67" i="31"/>
  <c r="M63" i="31"/>
  <c r="V56" i="31"/>
  <c r="K55" i="31"/>
  <c r="V52" i="31"/>
  <c r="L51" i="31"/>
  <c r="Q48" i="31"/>
  <c r="R44" i="31"/>
  <c r="M40" i="31"/>
  <c r="T37" i="31"/>
  <c r="U34" i="31"/>
  <c r="L30" i="31"/>
  <c r="P27" i="31"/>
  <c r="S24" i="31"/>
  <c r="M23" i="31"/>
  <c r="Q20" i="31"/>
  <c r="P10" i="31"/>
  <c r="V85" i="31"/>
  <c r="K84" i="31"/>
  <c r="M80" i="31"/>
  <c r="R76" i="31"/>
  <c r="Q72" i="31"/>
  <c r="U68" i="31"/>
  <c r="S64" i="31"/>
  <c r="Q60" i="31"/>
  <c r="Q56" i="31"/>
  <c r="R52" i="31"/>
  <c r="M48" i="31"/>
  <c r="V45" i="31"/>
  <c r="S41" i="31"/>
  <c r="M37" i="31"/>
  <c r="Q34" i="31"/>
  <c r="S31" i="31"/>
  <c r="U28" i="31"/>
  <c r="O24" i="31"/>
  <c r="L20" i="31"/>
  <c r="U17" i="31"/>
  <c r="R77" i="31"/>
  <c r="R73" i="31"/>
  <c r="K68" i="31"/>
  <c r="T61" i="31"/>
  <c r="P57" i="31"/>
  <c r="U53" i="31"/>
  <c r="S42" i="31"/>
  <c r="T35" i="31"/>
  <c r="R25" i="31"/>
  <c r="Q21" i="31"/>
  <c r="T18" i="31"/>
  <c r="K17" i="31"/>
  <c r="N11" i="31"/>
  <c r="L85" i="31"/>
  <c r="U82" i="31"/>
  <c r="M81" i="31"/>
  <c r="O77" i="31"/>
  <c r="Q73" i="31"/>
  <c r="V69" i="31"/>
  <c r="U65" i="31"/>
  <c r="S61" i="31"/>
  <c r="O57" i="31"/>
  <c r="T53" i="31"/>
  <c r="N49" i="31"/>
  <c r="V46" i="31"/>
  <c r="R42" i="31"/>
  <c r="M38" i="31"/>
  <c r="S35" i="31"/>
  <c r="K28" i="31"/>
  <c r="Q25" i="31"/>
  <c r="P21" i="31"/>
  <c r="S18" i="31"/>
  <c r="K11" i="31"/>
  <c r="K85" i="31"/>
  <c r="S82" i="31"/>
  <c r="K81" i="31"/>
  <c r="N77" i="31"/>
  <c r="P73" i="31"/>
  <c r="U69" i="31"/>
  <c r="S65" i="31"/>
  <c r="R61" i="31"/>
  <c r="N57" i="31"/>
  <c r="S53" i="31"/>
  <c r="M49" i="31"/>
  <c r="U46" i="31"/>
  <c r="Q42" i="31"/>
  <c r="L38" i="31"/>
  <c r="P35" i="31"/>
  <c r="P25" i="31"/>
  <c r="N21" i="31"/>
  <c r="R18" i="31"/>
  <c r="V15" i="31"/>
  <c r="R82" i="31"/>
  <c r="M77" i="31"/>
  <c r="O73" i="31"/>
  <c r="S69" i="31"/>
  <c r="R65" i="31"/>
  <c r="O61" i="31"/>
  <c r="V58" i="31"/>
  <c r="M57" i="31"/>
  <c r="P53" i="31"/>
  <c r="K49" i="31"/>
  <c r="T46" i="31"/>
  <c r="P42" i="31"/>
  <c r="K38" i="31"/>
  <c r="O35" i="31"/>
  <c r="U32" i="31"/>
  <c r="O25" i="31"/>
  <c r="M21" i="31"/>
  <c r="Q18" i="31"/>
  <c r="S15" i="31"/>
  <c r="U18" i="31"/>
  <c r="L17" i="31"/>
  <c r="O11" i="31"/>
  <c r="K64" i="31"/>
  <c r="O49" i="31"/>
  <c r="L28" i="31"/>
  <c r="P82" i="31"/>
  <c r="K77" i="31"/>
  <c r="V74" i="31"/>
  <c r="N73" i="31"/>
  <c r="R69" i="31"/>
  <c r="Q65" i="31"/>
  <c r="N61" i="31"/>
  <c r="U58" i="31"/>
  <c r="L57" i="31"/>
  <c r="N53" i="31"/>
  <c r="U50" i="31"/>
  <c r="Q46" i="31"/>
  <c r="O42" i="31"/>
  <c r="N35" i="31"/>
  <c r="Q32" i="31"/>
  <c r="V29" i="31"/>
  <c r="L25" i="31"/>
  <c r="L21" i="31"/>
  <c r="P18" i="31"/>
  <c r="R15" i="31"/>
  <c r="U12" i="31"/>
  <c r="K19" i="31"/>
  <c r="M20" i="31"/>
  <c r="O21" i="31"/>
  <c r="Q22" i="31"/>
  <c r="S23" i="31"/>
  <c r="U24" i="31"/>
  <c r="K35" i="31"/>
  <c r="M36" i="31"/>
  <c r="O37" i="31"/>
  <c r="Q38" i="31"/>
  <c r="S39" i="31"/>
  <c r="U40" i="31"/>
  <c r="K51" i="31"/>
  <c r="M52" i="31"/>
  <c r="O53" i="31"/>
  <c r="Q54" i="31"/>
  <c r="S55" i="31"/>
  <c r="U56" i="31"/>
  <c r="K67" i="31"/>
  <c r="M68" i="31"/>
  <c r="O69" i="31"/>
  <c r="Q70" i="31"/>
  <c r="S71" i="31"/>
  <c r="U72" i="31"/>
  <c r="L13" i="31"/>
  <c r="N14" i="31"/>
  <c r="P15" i="31"/>
  <c r="R16" i="31"/>
  <c r="T17" i="31"/>
  <c r="V18" i="31"/>
  <c r="L29" i="31"/>
  <c r="N30" i="31"/>
  <c r="P31" i="31"/>
  <c r="R32" i="31"/>
  <c r="T33" i="31"/>
  <c r="V34" i="31"/>
  <c r="L45" i="31"/>
  <c r="N46" i="31"/>
  <c r="P47" i="31"/>
  <c r="R48" i="31"/>
  <c r="T49" i="31"/>
  <c r="V50" i="31"/>
  <c r="L61" i="31"/>
  <c r="N62" i="31"/>
  <c r="P63" i="31"/>
  <c r="R64" i="31"/>
  <c r="T65" i="31"/>
  <c r="V66" i="31"/>
  <c r="L77" i="31"/>
  <c r="N78" i="31"/>
  <c r="P79" i="31"/>
  <c r="R80" i="31"/>
  <c r="T81" i="31"/>
  <c r="V82" i="31"/>
  <c r="L11" i="31"/>
  <c r="N12" i="31"/>
  <c r="P13" i="31"/>
  <c r="R14" i="31"/>
  <c r="T15" i="31"/>
  <c r="V16" i="31"/>
  <c r="L27" i="31"/>
  <c r="N28" i="31"/>
  <c r="P29" i="31"/>
  <c r="R30" i="31"/>
  <c r="T31" i="31"/>
  <c r="V32" i="31"/>
  <c r="L43" i="31"/>
  <c r="N44" i="31"/>
  <c r="P45" i="31"/>
  <c r="R46" i="31"/>
  <c r="T47" i="31"/>
  <c r="V48" i="31"/>
  <c r="L59" i="31"/>
  <c r="N60" i="31"/>
  <c r="P61" i="31"/>
  <c r="R62" i="31"/>
  <c r="T63" i="31"/>
  <c r="V64" i="31"/>
  <c r="L75" i="31"/>
  <c r="N76" i="31"/>
  <c r="P77" i="31"/>
  <c r="R78" i="31"/>
  <c r="T79" i="31"/>
  <c r="V80" i="31"/>
  <c r="K10" i="31"/>
  <c r="M11" i="31"/>
  <c r="O12" i="31"/>
  <c r="Q13" i="31"/>
  <c r="S14" i="31"/>
  <c r="U15" i="31"/>
  <c r="K26" i="31"/>
  <c r="M27" i="31"/>
  <c r="O28" i="31"/>
  <c r="Q29" i="31"/>
  <c r="S30" i="31"/>
  <c r="U31" i="31"/>
  <c r="K42" i="31"/>
  <c r="M43" i="31"/>
  <c r="O44" i="31"/>
  <c r="Q45" i="31"/>
  <c r="S46" i="31"/>
  <c r="U47" i="31"/>
  <c r="K58" i="31"/>
  <c r="M59" i="31"/>
  <c r="O60" i="31"/>
  <c r="Q61" i="31"/>
  <c r="S62" i="31"/>
  <c r="U63" i="31"/>
  <c r="K74" i="31"/>
  <c r="M75" i="31"/>
  <c r="O76" i="31"/>
  <c r="Q77" i="31"/>
  <c r="S78" i="31"/>
  <c r="U79" i="31"/>
  <c r="P14" i="31"/>
  <c r="L19" i="31"/>
  <c r="R20" i="31"/>
  <c r="O26" i="31"/>
  <c r="U27" i="31"/>
  <c r="O32" i="31"/>
  <c r="V33" i="31"/>
  <c r="K37" i="31"/>
  <c r="O38" i="31"/>
  <c r="V39" i="31"/>
  <c r="L44" i="31"/>
  <c r="T45" i="31"/>
  <c r="N50" i="31"/>
  <c r="T51" i="31"/>
  <c r="M56" i="31"/>
  <c r="R57" i="31"/>
  <c r="K62" i="31"/>
  <c r="R63" i="31"/>
  <c r="N68" i="31"/>
  <c r="T69" i="31"/>
  <c r="Q75" i="31"/>
  <c r="V76" i="31"/>
  <c r="L81" i="31"/>
  <c r="Q82" i="31"/>
  <c r="V83" i="31"/>
  <c r="Q14" i="31"/>
  <c r="M19" i="31"/>
  <c r="S20" i="31"/>
  <c r="S13" i="31"/>
  <c r="P26" i="31"/>
  <c r="V27" i="31"/>
  <c r="P32" i="31"/>
  <c r="L37" i="31"/>
  <c r="P38" i="31"/>
  <c r="M44" i="31"/>
  <c r="U45" i="31"/>
  <c r="O50" i="31"/>
  <c r="U51" i="31"/>
  <c r="N56" i="31"/>
  <c r="M13" i="31"/>
  <c r="U14" i="31"/>
  <c r="O19" i="31"/>
  <c r="U20" i="31"/>
  <c r="M25" i="31"/>
  <c r="R26" i="31"/>
  <c r="L31" i="31"/>
  <c r="S32" i="31"/>
  <c r="N37" i="31"/>
  <c r="S38" i="31"/>
  <c r="Q44" i="31"/>
  <c r="L49" i="31"/>
  <c r="Q50" i="31"/>
  <c r="L55" i="31"/>
  <c r="P56" i="31"/>
  <c r="U57" i="31"/>
  <c r="O62" i="31"/>
  <c r="Q68" i="31"/>
  <c r="N74" i="31"/>
  <c r="T75" i="31"/>
  <c r="O81" i="31"/>
  <c r="T82" i="31"/>
  <c r="N13" i="31"/>
  <c r="V14" i="31"/>
  <c r="P19" i="31"/>
  <c r="V20" i="31"/>
  <c r="N25" i="31"/>
  <c r="S26" i="31"/>
  <c r="M31" i="31"/>
  <c r="T32" i="31"/>
  <c r="P37" i="31"/>
  <c r="T38" i="31"/>
  <c r="L10" i="31"/>
  <c r="R11" i="31"/>
  <c r="L16" i="31"/>
  <c r="R17" i="31"/>
  <c r="L22" i="31"/>
  <c r="R23" i="31"/>
  <c r="O29" i="31"/>
  <c r="K34" i="31"/>
  <c r="Q35" i="31"/>
  <c r="O41" i="31"/>
  <c r="T42" i="31"/>
  <c r="N47" i="31"/>
  <c r="U48" i="31"/>
  <c r="Q53" i="31"/>
  <c r="U54" i="31"/>
  <c r="N59" i="31"/>
  <c r="S60" i="31"/>
  <c r="N65" i="31"/>
  <c r="S66" i="31"/>
  <c r="N71" i="31"/>
  <c r="R72" i="31"/>
  <c r="O78" i="31"/>
  <c r="V79" i="31"/>
  <c r="L84" i="31"/>
  <c r="Q85" i="31"/>
  <c r="N10" i="31"/>
  <c r="M10" i="31"/>
  <c r="K25" i="31"/>
  <c r="M16" i="31"/>
  <c r="S17" i="31"/>
  <c r="M22" i="31"/>
  <c r="T23" i="31"/>
  <c r="R29" i="31"/>
  <c r="L34" i="31"/>
  <c r="R35" i="31"/>
  <c r="K40" i="31"/>
  <c r="P41" i="31"/>
  <c r="U42" i="31"/>
  <c r="O47" i="31"/>
  <c r="K52" i="31"/>
  <c r="R53" i="31"/>
  <c r="V54" i="31"/>
  <c r="O59" i="31"/>
  <c r="T60" i="31"/>
  <c r="O65" i="31"/>
  <c r="T66" i="31"/>
  <c r="O71" i="31"/>
  <c r="S72" i="31"/>
  <c r="P78" i="31"/>
  <c r="M84" i="31"/>
  <c r="R85" i="31"/>
  <c r="M85" i="31"/>
  <c r="N81" i="31"/>
  <c r="V65" i="31"/>
  <c r="N38" i="31"/>
  <c r="O82" i="31"/>
  <c r="V78" i="31"/>
  <c r="U74" i="31"/>
  <c r="M73" i="31"/>
  <c r="Q69" i="31"/>
  <c r="P65" i="31"/>
  <c r="M61" i="31"/>
  <c r="T58" i="31"/>
  <c r="K57" i="31"/>
  <c r="T54" i="31"/>
  <c r="M53" i="31"/>
  <c r="T50" i="31"/>
  <c r="P46" i="31"/>
  <c r="N42" i="31"/>
  <c r="M35" i="31"/>
  <c r="N32" i="31"/>
  <c r="U29" i="31"/>
  <c r="V22" i="31"/>
  <c r="K21" i="31"/>
  <c r="O18" i="31"/>
  <c r="Q15" i="31"/>
  <c r="T12" i="31"/>
  <c r="N82" i="31"/>
  <c r="U78" i="31"/>
  <c r="T74" i="31"/>
  <c r="V70" i="31"/>
  <c r="P69" i="31"/>
  <c r="M65" i="31"/>
  <c r="K61" i="31"/>
  <c r="S58" i="31"/>
  <c r="S54" i="31"/>
  <c r="L53" i="31"/>
  <c r="S50" i="31"/>
  <c r="O46" i="31"/>
  <c r="M42" i="31"/>
  <c r="U39" i="31"/>
  <c r="L35" i="31"/>
  <c r="M32" i="31"/>
  <c r="T29" i="31"/>
  <c r="U22" i="31"/>
  <c r="N18" i="31"/>
  <c r="S12" i="31"/>
  <c r="S11" i="31"/>
  <c r="AE22" i="38"/>
  <c r="AD22" i="38"/>
  <c r="AC22" i="38"/>
  <c r="AB22" i="38"/>
  <c r="AA22" i="38"/>
  <c r="Z22" i="38"/>
  <c r="Y22" i="38"/>
  <c r="X22" i="38"/>
  <c r="W22" i="38"/>
  <c r="AE23" i="38"/>
  <c r="AD23" i="38"/>
  <c r="AC23" i="38"/>
  <c r="AB23" i="38"/>
  <c r="AA23" i="38"/>
  <c r="Z23" i="38"/>
  <c r="Y23" i="38"/>
  <c r="X23" i="38"/>
  <c r="W23" i="38"/>
  <c r="AE24" i="38"/>
  <c r="AD24" i="38"/>
  <c r="AC24" i="38"/>
  <c r="AB24" i="38"/>
  <c r="AA24" i="38"/>
  <c r="Z24" i="38"/>
  <c r="Y24" i="38"/>
  <c r="X24" i="38"/>
  <c r="W24" i="38"/>
  <c r="AE25" i="38"/>
  <c r="AD25" i="38"/>
  <c r="AC25" i="38"/>
  <c r="AB25" i="38"/>
  <c r="AA25" i="38"/>
  <c r="Z25" i="38"/>
  <c r="Y25" i="38"/>
  <c r="X25" i="38"/>
  <c r="W25" i="38"/>
  <c r="AD10" i="38"/>
  <c r="AA10" i="38"/>
  <c r="W10" i="38"/>
  <c r="AE10" i="38"/>
  <c r="AC10" i="38"/>
  <c r="AB10" i="38"/>
  <c r="Z10" i="38"/>
  <c r="Y10" i="38"/>
  <c r="X10" i="38"/>
  <c r="AE26" i="38"/>
  <c r="AD26" i="38"/>
  <c r="AC26" i="38"/>
  <c r="AB26" i="38"/>
  <c r="AA26" i="38"/>
  <c r="Z26" i="38"/>
  <c r="Y26" i="38"/>
  <c r="X26" i="38"/>
  <c r="W26" i="38"/>
  <c r="AE81" i="37"/>
  <c r="AD81" i="37"/>
  <c r="AC81" i="37"/>
  <c r="AB81" i="37"/>
  <c r="AA81" i="37"/>
  <c r="Z81" i="37"/>
  <c r="Y81" i="37"/>
  <c r="X81" i="37"/>
  <c r="AE82" i="37"/>
  <c r="AD82" i="37"/>
  <c r="AC82" i="37"/>
  <c r="AB82" i="37"/>
  <c r="AA82" i="37"/>
  <c r="Z82" i="37"/>
  <c r="Y82" i="37"/>
  <c r="X82" i="37"/>
  <c r="W82" i="37"/>
  <c r="AE83" i="37"/>
  <c r="AD83" i="37"/>
  <c r="AC83" i="37"/>
  <c r="AB83" i="37"/>
  <c r="AA83" i="37"/>
  <c r="Z83" i="37"/>
  <c r="Y83" i="37"/>
  <c r="X83" i="37"/>
  <c r="W83" i="37"/>
  <c r="AE84" i="37"/>
  <c r="AD84" i="37"/>
  <c r="AC84" i="37"/>
  <c r="AB84" i="37"/>
  <c r="AA84" i="37"/>
  <c r="Z84" i="37"/>
  <c r="Y84" i="37"/>
  <c r="X84" i="37"/>
  <c r="W84" i="37"/>
  <c r="AE85" i="37"/>
  <c r="AD85" i="37"/>
  <c r="AC85" i="37"/>
  <c r="AB85" i="37"/>
  <c r="AA85" i="37"/>
  <c r="Z85" i="37"/>
  <c r="Y85" i="37"/>
  <c r="X85" i="37"/>
  <c r="W85" i="37"/>
  <c r="Y10" i="37"/>
  <c r="AB10" i="37"/>
  <c r="Z10" i="37"/>
  <c r="AE10" i="37"/>
  <c r="W10" i="37"/>
  <c r="X10" i="37"/>
  <c r="AC10" i="37"/>
  <c r="AD10" i="37"/>
  <c r="AA10" i="37"/>
  <c r="AE58" i="37"/>
  <c r="AD58" i="37"/>
  <c r="AC58" i="37"/>
  <c r="AB58" i="37"/>
  <c r="AA58" i="37"/>
  <c r="Z58" i="37"/>
  <c r="Y58" i="37"/>
  <c r="X58" i="37"/>
  <c r="W58" i="37"/>
  <c r="AE59" i="37"/>
  <c r="AD59" i="37"/>
  <c r="AC59" i="37"/>
  <c r="AB59" i="37"/>
  <c r="AA59" i="37"/>
  <c r="Z59" i="37"/>
  <c r="Y59" i="37"/>
  <c r="X59" i="37"/>
  <c r="W59" i="37"/>
  <c r="AE60" i="37"/>
  <c r="AD60" i="37"/>
  <c r="AC60" i="37"/>
  <c r="AB60" i="37"/>
  <c r="AA60" i="37"/>
  <c r="Z60" i="37"/>
  <c r="AE61" i="37"/>
  <c r="AD61" i="37"/>
  <c r="AC61" i="37"/>
  <c r="AB61" i="37"/>
  <c r="AA61" i="37"/>
  <c r="Z61" i="37"/>
  <c r="Y61" i="37"/>
  <c r="X61" i="37"/>
  <c r="W61" i="37"/>
  <c r="AE62" i="37"/>
  <c r="AD62" i="37"/>
  <c r="AC62" i="37"/>
  <c r="AB62" i="37"/>
  <c r="AA62" i="37"/>
  <c r="Z62" i="37"/>
  <c r="Y62" i="37"/>
  <c r="X62" i="37"/>
  <c r="W62" i="37"/>
  <c r="AE63" i="37"/>
  <c r="AD63" i="37"/>
  <c r="AC63" i="37"/>
  <c r="AB63" i="37"/>
  <c r="AA63" i="37"/>
  <c r="Z63" i="37"/>
  <c r="Y63" i="37"/>
  <c r="X63" i="37"/>
  <c r="W63" i="37"/>
  <c r="AE64" i="37"/>
  <c r="AD64" i="37"/>
  <c r="AC64" i="37"/>
  <c r="AB64" i="37"/>
  <c r="AA64" i="37"/>
  <c r="Z64" i="37"/>
  <c r="Y64" i="37"/>
  <c r="X64" i="37"/>
  <c r="W64" i="37"/>
  <c r="AE65" i="37"/>
  <c r="AD65" i="37"/>
  <c r="AC65" i="37"/>
  <c r="AB65" i="37"/>
  <c r="AA65" i="37"/>
  <c r="Z65" i="37"/>
  <c r="Y65" i="37"/>
  <c r="X65" i="37"/>
  <c r="W65" i="37"/>
  <c r="AE66" i="37"/>
  <c r="AD66" i="37"/>
  <c r="AC66" i="37"/>
  <c r="AB66" i="37"/>
  <c r="AA66" i="37"/>
  <c r="Z66" i="37"/>
  <c r="Y66" i="37"/>
  <c r="X66" i="37"/>
  <c r="W66" i="37"/>
  <c r="AE67" i="37"/>
  <c r="AD67" i="37"/>
  <c r="AC67" i="37"/>
  <c r="AB67" i="37"/>
  <c r="AA67" i="37"/>
  <c r="Z67" i="37"/>
  <c r="Y67" i="37"/>
  <c r="X67" i="37"/>
  <c r="W67" i="37"/>
  <c r="AE68" i="37"/>
  <c r="AD68" i="37"/>
  <c r="AC68" i="37"/>
  <c r="AB68" i="37"/>
  <c r="AA68" i="37"/>
  <c r="Z68" i="37"/>
  <c r="Y68" i="37"/>
  <c r="X68" i="37"/>
  <c r="W68" i="37"/>
  <c r="AE69" i="37"/>
  <c r="AD69" i="37"/>
  <c r="AC69" i="37"/>
  <c r="AB69" i="37"/>
  <c r="AA69" i="37"/>
  <c r="Z69" i="37"/>
  <c r="Y69" i="37"/>
  <c r="X69" i="37"/>
  <c r="W69" i="37"/>
  <c r="AE70" i="37"/>
  <c r="AD70" i="37"/>
  <c r="AC70" i="37"/>
  <c r="AB70" i="37"/>
  <c r="AA70" i="37"/>
  <c r="Z70" i="37"/>
  <c r="Y70" i="37"/>
  <c r="X70" i="37"/>
  <c r="W70" i="37"/>
  <c r="AE71" i="37"/>
  <c r="AD71" i="37"/>
  <c r="AC71" i="37"/>
  <c r="AB71" i="37"/>
  <c r="AA71" i="37"/>
  <c r="AE72" i="37"/>
  <c r="AD72" i="37"/>
  <c r="AC72" i="37"/>
  <c r="AB72" i="37"/>
  <c r="AA72" i="37"/>
  <c r="Z72" i="37"/>
  <c r="Y72" i="37"/>
  <c r="X72" i="37"/>
  <c r="AE73" i="37"/>
  <c r="AD73" i="37"/>
  <c r="AC73" i="37"/>
  <c r="AB73" i="37"/>
  <c r="AA73" i="37"/>
  <c r="Z73" i="37"/>
  <c r="Y73" i="37"/>
  <c r="X73" i="37"/>
  <c r="W73" i="37"/>
  <c r="AE74" i="37"/>
  <c r="AD74" i="37"/>
  <c r="AC74" i="37"/>
  <c r="AB74" i="37"/>
  <c r="AA74" i="37"/>
  <c r="Z74" i="37"/>
  <c r="Y74" i="37"/>
  <c r="X74" i="37"/>
  <c r="W74" i="37"/>
  <c r="AE75" i="37"/>
  <c r="AD75" i="37"/>
  <c r="AC75" i="37"/>
  <c r="AB75" i="37"/>
  <c r="AA75" i="37"/>
  <c r="Z75" i="37"/>
  <c r="Y75" i="37"/>
  <c r="X75" i="37"/>
  <c r="W75" i="37"/>
  <c r="AE76" i="37"/>
  <c r="AD76" i="37"/>
  <c r="AC76" i="37"/>
  <c r="AB76" i="37"/>
  <c r="AA76" i="37"/>
  <c r="Z76" i="37"/>
  <c r="Y76" i="37"/>
  <c r="X76" i="37"/>
  <c r="AE77" i="37"/>
  <c r="AD77" i="37"/>
  <c r="AC77" i="37"/>
  <c r="AB77" i="37"/>
  <c r="AA77" i="37"/>
  <c r="Z77" i="37"/>
  <c r="Y77" i="37"/>
  <c r="X77" i="37"/>
  <c r="W77" i="37"/>
  <c r="AE78" i="37"/>
  <c r="AD78" i="37"/>
  <c r="AC78" i="37"/>
  <c r="AB78" i="37"/>
  <c r="AA78" i="37"/>
  <c r="Z78" i="37"/>
  <c r="Y78" i="37"/>
  <c r="X78" i="37"/>
  <c r="W78" i="37"/>
  <c r="AE80" i="37"/>
  <c r="AD80" i="37"/>
  <c r="AC80" i="37"/>
  <c r="AB80" i="37"/>
  <c r="AA80" i="37"/>
  <c r="Z80" i="37"/>
  <c r="AC10" i="35"/>
  <c r="Y10" i="35"/>
  <c r="AE10" i="35"/>
  <c r="AD10" i="35"/>
  <c r="AB10" i="35"/>
  <c r="AA10" i="35"/>
  <c r="Z10" i="35"/>
  <c r="X10" i="35"/>
  <c r="W10" i="35"/>
  <c r="W72" i="37"/>
  <c r="AE79" i="37"/>
  <c r="AE53" i="37"/>
  <c r="AD53" i="37"/>
  <c r="AC53" i="37"/>
  <c r="AB53" i="37"/>
  <c r="AA53" i="37"/>
  <c r="Z53" i="37"/>
  <c r="Y53" i="37"/>
  <c r="X53" i="37"/>
  <c r="W53" i="37"/>
  <c r="AB70" i="35"/>
  <c r="Y10" i="34"/>
  <c r="AC10" i="34"/>
  <c r="W10" i="34"/>
  <c r="AD10" i="34"/>
  <c r="AA10" i="34"/>
  <c r="AB10" i="34"/>
  <c r="Z10" i="34"/>
  <c r="AE10" i="34"/>
  <c r="X10" i="34"/>
  <c r="AE11" i="34"/>
  <c r="X11" i="34"/>
  <c r="AD11" i="34"/>
  <c r="W11" i="34"/>
  <c r="AC11" i="34"/>
  <c r="Z11" i="34"/>
  <c r="AB11" i="34"/>
  <c r="Y11" i="34"/>
  <c r="AA11" i="34"/>
  <c r="U83" i="31"/>
  <c r="T77" i="31"/>
  <c r="K63" i="31"/>
  <c r="L46" i="31"/>
  <c r="M83" i="31"/>
  <c r="S77" i="31"/>
  <c r="V53" i="31"/>
  <c r="K46" i="31"/>
  <c r="V17" i="31"/>
  <c r="L83" i="31"/>
  <c r="U66" i="31"/>
  <c r="K53" i="31"/>
  <c r="P20" i="31"/>
  <c r="Q17" i="31"/>
  <c r="T10" i="31"/>
  <c r="Q66" i="31"/>
  <c r="O20" i="31"/>
  <c r="Y69" i="35"/>
  <c r="AE69" i="35"/>
  <c r="AD69" i="35"/>
  <c r="AC69" i="35"/>
  <c r="AB69" i="35"/>
  <c r="AA69" i="35"/>
  <c r="Z69" i="35"/>
  <c r="X69" i="35"/>
  <c r="W69" i="35"/>
  <c r="AE37" i="35"/>
  <c r="AD37" i="35"/>
  <c r="AC37" i="35"/>
  <c r="AB37" i="35"/>
  <c r="AA37" i="35"/>
  <c r="Z37" i="35"/>
  <c r="Y37" i="35"/>
  <c r="X37" i="35"/>
  <c r="W37" i="35"/>
  <c r="AE38" i="35"/>
  <c r="AD38" i="35"/>
  <c r="AC38" i="35"/>
  <c r="AB38" i="35"/>
  <c r="AA38" i="35"/>
  <c r="Z38" i="35"/>
  <c r="Y38" i="35"/>
  <c r="X38" i="35"/>
  <c r="W38" i="35"/>
  <c r="AE39" i="35"/>
  <c r="AD39" i="35"/>
  <c r="AC39" i="35"/>
  <c r="AB39" i="35"/>
  <c r="AA39" i="35"/>
  <c r="Z39" i="35"/>
  <c r="Y39" i="35"/>
  <c r="X39" i="35"/>
  <c r="W39" i="35"/>
  <c r="AE40" i="35"/>
  <c r="AD40" i="35"/>
  <c r="AC40" i="35"/>
  <c r="AB40" i="35"/>
  <c r="AA40" i="35"/>
  <c r="Z40" i="35"/>
  <c r="Y40" i="35"/>
  <c r="X40" i="35"/>
  <c r="W40" i="35"/>
  <c r="AE41" i="35"/>
  <c r="AD41" i="35"/>
  <c r="AC41" i="35"/>
  <c r="AB41" i="35"/>
  <c r="AA41" i="35"/>
  <c r="Z41" i="35"/>
  <c r="Y41" i="35"/>
  <c r="X41" i="35"/>
  <c r="W41" i="35"/>
  <c r="AE73" i="35"/>
  <c r="AD73" i="35"/>
  <c r="AC73" i="35"/>
  <c r="AB73" i="35"/>
  <c r="AA73" i="35"/>
  <c r="Z73" i="35"/>
  <c r="Y73" i="35"/>
  <c r="X73" i="35"/>
  <c r="W73" i="35"/>
  <c r="AE74" i="35"/>
  <c r="AD74" i="35"/>
  <c r="AC74" i="35"/>
  <c r="AB74" i="35"/>
  <c r="AA74" i="35"/>
  <c r="Z74" i="35"/>
  <c r="Y74" i="35"/>
  <c r="X74" i="35"/>
  <c r="W74" i="35"/>
  <c r="AE75" i="35"/>
  <c r="AD75" i="35"/>
  <c r="AC75" i="35"/>
  <c r="AB75" i="35"/>
  <c r="AA75" i="35"/>
  <c r="Z75" i="35"/>
  <c r="Y75" i="35"/>
  <c r="X75" i="35"/>
  <c r="W75" i="35"/>
  <c r="AE82" i="35"/>
  <c r="AD82" i="35"/>
  <c r="AC82" i="35"/>
  <c r="AB82" i="35"/>
  <c r="AA82" i="35"/>
  <c r="Z82" i="35"/>
  <c r="Y82" i="35"/>
  <c r="X82" i="35"/>
  <c r="W82" i="35"/>
  <c r="AE83" i="35"/>
  <c r="AD83" i="35"/>
  <c r="AC83" i="35"/>
  <c r="AB83" i="35"/>
  <c r="AA83" i="35"/>
  <c r="Z83" i="35"/>
  <c r="Y83" i="35"/>
  <c r="X83" i="35"/>
  <c r="W83" i="35"/>
  <c r="AE46" i="35"/>
  <c r="AD46" i="35"/>
  <c r="AC46" i="35"/>
  <c r="AB46" i="35"/>
  <c r="AA46" i="35"/>
  <c r="Z46" i="35"/>
  <c r="Y46" i="35"/>
  <c r="X46" i="35"/>
  <c r="W46" i="35"/>
  <c r="AE47" i="35"/>
  <c r="AD47" i="35"/>
  <c r="AC47" i="35"/>
  <c r="AB47" i="35"/>
  <c r="AA47" i="35"/>
  <c r="Z47" i="35"/>
  <c r="Y47" i="35"/>
  <c r="X47" i="35"/>
  <c r="W47" i="35"/>
  <c r="AE48" i="35"/>
  <c r="AD48" i="35"/>
  <c r="AC48" i="35"/>
  <c r="AB48" i="35"/>
  <c r="AA48" i="35"/>
  <c r="Z48" i="35"/>
  <c r="Y48" i="35"/>
  <c r="X48" i="35"/>
  <c r="W48" i="35"/>
  <c r="AE55" i="35"/>
  <c r="AD55" i="35"/>
  <c r="AC55" i="35"/>
  <c r="AB55" i="35"/>
  <c r="AA55" i="35"/>
  <c r="Z55" i="35"/>
  <c r="Y55" i="35"/>
  <c r="X55" i="35"/>
  <c r="W55" i="35"/>
  <c r="AE56" i="35"/>
  <c r="AD56" i="35"/>
  <c r="AC56" i="35"/>
  <c r="AB56" i="35"/>
  <c r="AA56" i="35"/>
  <c r="Z56" i="35"/>
  <c r="Y56" i="35"/>
  <c r="X56" i="35"/>
  <c r="W56" i="35"/>
  <c r="AE57" i="35"/>
  <c r="AD57" i="35"/>
  <c r="AC57" i="35"/>
  <c r="AB57" i="35"/>
  <c r="AA57" i="35"/>
  <c r="Z57" i="35"/>
  <c r="Y57" i="35"/>
  <c r="X57" i="35"/>
  <c r="W57" i="35"/>
  <c r="AE58" i="35"/>
  <c r="AD58" i="35"/>
  <c r="AC58" i="35"/>
  <c r="AB58" i="35"/>
  <c r="AA58" i="35"/>
  <c r="Z58" i="35"/>
  <c r="Y58" i="35"/>
  <c r="X58" i="35"/>
  <c r="W58" i="35"/>
  <c r="AE59" i="35"/>
  <c r="AD59" i="35"/>
  <c r="AC59" i="35"/>
  <c r="AB59" i="35"/>
  <c r="AA59" i="35"/>
  <c r="Z59" i="35"/>
  <c r="Y59" i="35"/>
  <c r="X59" i="35"/>
  <c r="W59" i="35"/>
  <c r="AE60" i="35"/>
  <c r="AD60" i="35"/>
  <c r="AC60" i="35"/>
  <c r="AB60" i="35"/>
  <c r="AA60" i="35"/>
  <c r="Z60" i="35"/>
  <c r="Y60" i="35"/>
  <c r="X60" i="35"/>
  <c r="W60" i="35"/>
  <c r="AE61" i="35"/>
  <c r="AD61" i="35"/>
  <c r="AC61" i="35"/>
  <c r="AB61" i="35"/>
  <c r="AA61" i="35"/>
  <c r="Z61" i="35"/>
  <c r="Y61" i="35"/>
  <c r="X61" i="35"/>
  <c r="W61" i="35"/>
  <c r="AE62" i="35"/>
  <c r="AD62" i="35"/>
  <c r="AC62" i="35"/>
  <c r="AB62" i="35"/>
  <c r="AA62" i="35"/>
  <c r="Z62" i="35"/>
  <c r="Y62" i="35"/>
  <c r="X62" i="35"/>
  <c r="W62" i="35"/>
  <c r="AE63" i="35"/>
  <c r="AD63" i="35"/>
  <c r="AC63" i="35"/>
  <c r="AB63" i="35"/>
  <c r="AA63" i="35"/>
  <c r="Z63" i="35"/>
  <c r="Y63" i="35"/>
  <c r="X63" i="35"/>
  <c r="W63" i="35"/>
  <c r="AE64" i="35"/>
  <c r="AD64" i="35"/>
  <c r="AC64" i="35"/>
  <c r="AB64" i="35"/>
  <c r="AA64" i="35"/>
  <c r="Z64" i="35"/>
  <c r="Y64" i="35"/>
  <c r="X64" i="35"/>
  <c r="W64" i="35"/>
  <c r="AE65" i="35"/>
  <c r="AD65" i="35"/>
  <c r="AC65" i="35"/>
  <c r="AB65" i="35"/>
  <c r="AA65" i="35"/>
  <c r="Z65" i="35"/>
  <c r="Y65" i="35"/>
  <c r="X65" i="35"/>
  <c r="W65" i="35"/>
  <c r="AE66" i="35"/>
  <c r="AD66" i="35"/>
  <c r="AC66" i="35"/>
  <c r="AB66" i="35"/>
  <c r="AA66" i="35"/>
  <c r="Z66" i="35"/>
  <c r="Y66" i="35"/>
  <c r="X66" i="35"/>
  <c r="W66" i="35"/>
  <c r="W67" i="35"/>
  <c r="AE67" i="35"/>
  <c r="AD67" i="35"/>
  <c r="AC67" i="35"/>
  <c r="AB67" i="35"/>
  <c r="AA67" i="35"/>
  <c r="Z67" i="35"/>
  <c r="Y67" i="35"/>
  <c r="X67" i="35"/>
  <c r="AB68" i="35"/>
  <c r="W68" i="35"/>
  <c r="AE68" i="35"/>
  <c r="AD68" i="35"/>
  <c r="AC68" i="35"/>
  <c r="AA68" i="35"/>
  <c r="Z68" i="35"/>
  <c r="Y68" i="35"/>
  <c r="X68" i="35"/>
  <c r="AE84" i="35"/>
  <c r="AD84" i="35"/>
  <c r="AC84" i="35"/>
  <c r="AB84" i="35"/>
  <c r="AA84" i="35"/>
  <c r="Z84" i="35"/>
  <c r="Y84" i="35"/>
  <c r="X84" i="35"/>
  <c r="W84" i="35"/>
  <c r="AE42" i="35"/>
  <c r="AD42" i="35"/>
  <c r="AC42" i="35"/>
  <c r="AB42" i="35"/>
  <c r="AA42" i="35"/>
  <c r="Z42" i="35"/>
  <c r="Y42" i="35"/>
  <c r="X42" i="35"/>
  <c r="W42" i="35"/>
  <c r="AE76" i="35"/>
  <c r="AD76" i="35"/>
  <c r="AC76" i="35"/>
  <c r="AB76" i="35"/>
  <c r="AA76" i="35"/>
  <c r="Z76" i="35"/>
  <c r="Y76" i="35"/>
  <c r="X76" i="35"/>
  <c r="W76" i="35"/>
  <c r="AA70" i="35"/>
  <c r="AD70" i="35"/>
  <c r="Y70" i="35"/>
  <c r="AC70" i="35"/>
  <c r="AE70" i="35"/>
  <c r="W70" i="35"/>
  <c r="Z70" i="35"/>
  <c r="X70" i="35"/>
  <c r="AE68" i="34"/>
  <c r="AD68" i="34"/>
  <c r="AC68" i="34"/>
  <c r="AB68" i="34"/>
  <c r="AA68" i="34"/>
  <c r="Z68" i="34"/>
  <c r="Y68" i="34"/>
  <c r="X68" i="34"/>
  <c r="W68" i="34"/>
  <c r="AE85" i="34"/>
  <c r="AD85" i="34"/>
  <c r="AC85" i="34"/>
  <c r="AB85" i="34"/>
  <c r="AA85" i="34"/>
  <c r="Z85" i="34"/>
  <c r="Y85" i="34"/>
  <c r="X85" i="34"/>
  <c r="W85" i="34"/>
  <c r="AE84" i="34"/>
  <c r="AD84" i="34"/>
  <c r="AC84" i="34"/>
  <c r="AB84" i="34"/>
  <c r="AA84" i="34"/>
  <c r="Z84" i="34"/>
  <c r="Y84" i="34"/>
  <c r="X84" i="34"/>
  <c r="W84" i="34"/>
  <c r="AE83" i="34"/>
  <c r="AD83" i="34"/>
  <c r="AC83" i="34"/>
  <c r="AB83" i="34"/>
  <c r="AA83" i="34"/>
  <c r="Z83" i="34"/>
  <c r="Y83" i="34"/>
  <c r="X83" i="34"/>
  <c r="W83" i="34"/>
  <c r="AE82" i="34"/>
  <c r="AD82" i="34"/>
  <c r="AC82" i="34"/>
  <c r="AB82" i="34"/>
  <c r="AA82" i="34"/>
  <c r="Z82" i="34"/>
  <c r="Y82" i="34"/>
  <c r="X82" i="34"/>
  <c r="W82" i="34"/>
  <c r="AE81" i="34"/>
  <c r="AD81" i="34"/>
  <c r="AC81" i="34"/>
  <c r="AB81" i="34"/>
  <c r="AA81" i="34"/>
  <c r="Z81" i="34"/>
  <c r="Y81" i="34"/>
  <c r="X81" i="34"/>
  <c r="W81" i="34"/>
  <c r="AE80" i="34"/>
  <c r="AD80" i="34"/>
  <c r="AC80" i="34"/>
  <c r="AB80" i="34"/>
  <c r="AA80" i="34"/>
  <c r="Z80" i="34"/>
  <c r="Y80" i="34"/>
  <c r="X80" i="34"/>
  <c r="W80" i="34"/>
  <c r="AE79" i="34"/>
  <c r="AD79" i="34"/>
  <c r="AC79" i="34"/>
  <c r="AB79" i="34"/>
  <c r="AA79" i="34"/>
  <c r="Z79" i="34"/>
  <c r="Y79" i="34"/>
  <c r="X79" i="34"/>
  <c r="W79" i="34"/>
  <c r="AE78" i="34"/>
  <c r="AD78" i="34"/>
  <c r="AC78" i="34"/>
  <c r="AB78" i="34"/>
  <c r="AA78" i="34"/>
  <c r="Z78" i="34"/>
  <c r="Y78" i="34"/>
  <c r="X78" i="34"/>
  <c r="W78" i="34"/>
  <c r="AE77" i="34"/>
  <c r="AD77" i="34"/>
  <c r="AC77" i="34"/>
  <c r="AB77" i="34"/>
  <c r="AA77" i="34"/>
  <c r="Z77" i="34"/>
  <c r="Y77" i="34"/>
  <c r="X77" i="34"/>
  <c r="W77" i="34"/>
  <c r="AE76" i="34"/>
  <c r="AD76" i="34"/>
  <c r="AC76" i="34"/>
  <c r="AB76" i="34"/>
  <c r="AA76" i="34"/>
  <c r="Z76" i="34"/>
  <c r="Y76" i="34"/>
  <c r="X76" i="34"/>
  <c r="W76" i="34"/>
  <c r="AE75" i="34"/>
  <c r="AD75" i="34"/>
  <c r="AC75" i="34"/>
  <c r="AB75" i="34"/>
  <c r="AA75" i="34"/>
  <c r="Z75" i="34"/>
  <c r="Y75" i="34"/>
  <c r="X75" i="34"/>
  <c r="W75" i="34"/>
  <c r="AE74" i="34"/>
  <c r="AD74" i="34"/>
  <c r="AC74" i="34"/>
  <c r="AB74" i="34"/>
  <c r="AA74" i="34"/>
  <c r="Z74" i="34"/>
  <c r="Y74" i="34"/>
  <c r="X74" i="34"/>
  <c r="W74" i="34"/>
  <c r="AE72" i="34"/>
  <c r="AD72" i="34"/>
  <c r="AC72" i="34"/>
  <c r="AB72" i="34"/>
  <c r="AA72" i="34"/>
  <c r="Z72" i="34"/>
  <c r="Y72" i="34"/>
  <c r="X72" i="34"/>
  <c r="W72" i="34"/>
  <c r="AE70" i="34"/>
  <c r="AD70" i="34"/>
  <c r="AC70" i="34"/>
  <c r="AB70" i="34"/>
  <c r="AA70" i="34"/>
  <c r="Z70" i="34"/>
  <c r="Y70" i="34"/>
  <c r="X70" i="34"/>
  <c r="W70" i="34"/>
  <c r="AE69" i="34"/>
  <c r="AD69" i="34"/>
  <c r="AC69" i="34"/>
  <c r="AB69" i="34"/>
  <c r="AA69" i="34"/>
  <c r="Z69" i="34"/>
  <c r="AE73" i="34"/>
  <c r="AD73" i="34"/>
  <c r="AC73" i="34"/>
  <c r="AB73" i="34"/>
  <c r="AA73" i="34"/>
  <c r="Z73" i="34"/>
  <c r="Y73" i="34"/>
  <c r="X73" i="34"/>
  <c r="W73" i="34"/>
  <c r="AE71" i="34"/>
  <c r="AD71" i="34"/>
  <c r="AC71" i="34"/>
  <c r="AB71" i="34"/>
  <c r="AA71" i="34"/>
  <c r="Z71" i="34"/>
  <c r="Y71" i="34"/>
  <c r="X71" i="34"/>
  <c r="W71" i="34"/>
  <c r="X67" i="34"/>
  <c r="AA67" i="34"/>
  <c r="AB67" i="34"/>
  <c r="AD67" i="34"/>
  <c r="AE67" i="34"/>
  <c r="AC67" i="34"/>
  <c r="Z67" i="34"/>
  <c r="Y67" i="34"/>
  <c r="W67" i="34"/>
  <c r="K23" i="31"/>
  <c r="Q11" i="31"/>
  <c r="Q63" i="31"/>
  <c r="Q58" i="31"/>
  <c r="M47" i="31"/>
  <c r="S45" i="31"/>
  <c r="K45" i="31"/>
  <c r="K31" i="31"/>
  <c r="M17" i="31"/>
  <c r="P74" i="31"/>
  <c r="N67" i="31"/>
  <c r="L63" i="31"/>
  <c r="L47" i="31"/>
  <c r="O45" i="31"/>
  <c r="K36" i="31"/>
  <c r="N29" i="31"/>
  <c r="V21" i="31"/>
  <c r="R67" i="31"/>
  <c r="L65" i="31"/>
  <c r="P58" i="31"/>
  <c r="L52" i="31"/>
  <c r="S29" i="31"/>
  <c r="M29" i="31"/>
  <c r="K29" i="31"/>
  <c r="T21" i="31"/>
  <c r="N17" i="31"/>
  <c r="M14" i="31"/>
  <c r="O74" i="31"/>
  <c r="S67" i="31"/>
  <c r="L56" i="31"/>
  <c r="R45" i="31"/>
  <c r="S34" i="31"/>
  <c r="R34" i="31"/>
  <c r="N31" i="31"/>
  <c r="V19" i="31"/>
  <c r="Y71" i="33"/>
  <c r="Z69" i="33"/>
  <c r="AE54" i="33"/>
  <c r="W33" i="33"/>
  <c r="Z70" i="33"/>
  <c r="AB82" i="33"/>
  <c r="AE83" i="33"/>
  <c r="AC11" i="33"/>
  <c r="AE44" i="33"/>
  <c r="AC75" i="33"/>
  <c r="Z33" i="33"/>
  <c r="AE29" i="33"/>
  <c r="AA72" i="33"/>
  <c r="L73" i="31"/>
  <c r="L36" i="31"/>
  <c r="V38" i="31"/>
  <c r="V43" i="31"/>
  <c r="S51" i="31"/>
  <c r="V59" i="31"/>
  <c r="Q62" i="31"/>
  <c r="U67" i="31"/>
  <c r="N70" i="31"/>
  <c r="S75" i="31"/>
  <c r="P80" i="31"/>
  <c r="Q83" i="31"/>
  <c r="O15" i="31"/>
  <c r="O72" i="31"/>
  <c r="U11" i="31"/>
  <c r="M33" i="31"/>
  <c r="O36" i="31"/>
  <c r="V41" i="31"/>
  <c r="O54" i="31"/>
  <c r="T67" i="31"/>
  <c r="T71" i="31"/>
  <c r="U81" i="31"/>
  <c r="R36" i="31"/>
  <c r="N85" i="31"/>
  <c r="Q33" i="31"/>
  <c r="L39" i="31"/>
  <c r="P51" i="31"/>
  <c r="O58" i="31"/>
  <c r="Q78" i="31"/>
  <c r="N22" i="31"/>
  <c r="Q24" i="31"/>
  <c r="S27" i="31"/>
  <c r="K30" i="31"/>
  <c r="U33" i="31"/>
  <c r="N36" i="31"/>
  <c r="V51" i="31"/>
  <c r="K54" i="31"/>
  <c r="T62" i="31"/>
  <c r="S68" i="31"/>
  <c r="K65" i="31"/>
  <c r="V67" i="31"/>
  <c r="O70" i="31"/>
  <c r="P72" i="31"/>
  <c r="P75" i="31"/>
  <c r="K80" i="31"/>
  <c r="K83" i="31"/>
  <c r="O85" i="31"/>
  <c r="M66" i="31"/>
  <c r="S63" i="31"/>
  <c r="M58" i="31"/>
  <c r="K50" i="31"/>
  <c r="L32" i="31"/>
  <c r="V26" i="31"/>
  <c r="S19" i="31"/>
  <c r="S16" i="31"/>
  <c r="U13" i="31"/>
  <c r="V12" i="31"/>
  <c r="L58" i="31"/>
  <c r="O34" i="31"/>
  <c r="T39" i="31"/>
  <c r="Q47" i="31"/>
  <c r="V61" i="31"/>
  <c r="T64" i="31"/>
  <c r="L67" i="31"/>
  <c r="K70" i="31"/>
  <c r="T73" i="31"/>
  <c r="M78" i="31"/>
  <c r="P83" i="31"/>
  <c r="U85" i="31"/>
  <c r="U21" i="31"/>
  <c r="N26" i="31"/>
  <c r="R37" i="31"/>
  <c r="L42" i="31"/>
  <c r="V47" i="31"/>
  <c r="V55" i="31"/>
  <c r="T72" i="31"/>
  <c r="V63" i="31"/>
  <c r="O66" i="31"/>
  <c r="P76" i="31"/>
  <c r="R81" i="31"/>
  <c r="P12" i="31"/>
  <c r="L15" i="31"/>
  <c r="L18" i="31"/>
  <c r="P23" i="31"/>
  <c r="Q31" i="31"/>
  <c r="R47" i="31"/>
  <c r="U55" i="31"/>
  <c r="N58" i="31"/>
  <c r="R66" i="31"/>
  <c r="K69" i="31"/>
  <c r="M71" i="31"/>
  <c r="U76" i="31"/>
  <c r="K22" i="31"/>
  <c r="P24" i="31"/>
  <c r="O27" i="31"/>
  <c r="S33" i="31"/>
  <c r="AB41" i="33"/>
  <c r="X41" i="33"/>
  <c r="AE41" i="33"/>
  <c r="AD41" i="33"/>
  <c r="AC41" i="33"/>
  <c r="Y41" i="33"/>
  <c r="AA41" i="33"/>
  <c r="W41" i="33"/>
  <c r="Z41" i="33"/>
  <c r="X71" i="33"/>
  <c r="AE71" i="33"/>
  <c r="AD71" i="33"/>
  <c r="AB71" i="33"/>
  <c r="AC71" i="33"/>
  <c r="AA71" i="33"/>
  <c r="G34" i="30"/>
  <c r="F34" i="30"/>
  <c r="C34" i="30"/>
  <c r="E34" i="30"/>
  <c r="C44" i="30"/>
  <c r="D44" i="30"/>
  <c r="C46" i="30"/>
  <c r="E46" i="30"/>
  <c r="D57" i="30"/>
  <c r="C57" i="30"/>
  <c r="C60" i="30"/>
  <c r="D60" i="30"/>
  <c r="C61" i="30"/>
  <c r="D61" i="30"/>
  <c r="C66" i="30"/>
  <c r="D66" i="30"/>
  <c r="E70" i="30"/>
  <c r="F70" i="30"/>
  <c r="C76" i="30"/>
  <c r="D76" i="30"/>
  <c r="G84" i="30"/>
  <c r="H84" i="30"/>
  <c r="J3" i="29"/>
  <c r="J4" i="29"/>
  <c r="C10" i="29"/>
  <c r="E10" i="29"/>
  <c r="D10" i="29"/>
  <c r="F10" i="29"/>
  <c r="C12" i="29"/>
  <c r="E12" i="29"/>
  <c r="D12" i="29"/>
  <c r="E14" i="29"/>
  <c r="C14" i="29"/>
  <c r="D14" i="29"/>
  <c r="C17" i="29"/>
  <c r="F17" i="29"/>
  <c r="E19" i="29"/>
  <c r="C19" i="29"/>
  <c r="D19" i="29"/>
  <c r="H20" i="29"/>
  <c r="C20" i="29"/>
  <c r="D36" i="29"/>
  <c r="C36" i="29"/>
  <c r="H41" i="29"/>
  <c r="G41" i="29"/>
  <c r="D43" i="29"/>
  <c r="C43" i="29"/>
  <c r="F43" i="29"/>
  <c r="G50" i="29"/>
  <c r="D50" i="29"/>
  <c r="C50" i="29"/>
  <c r="D51" i="29"/>
  <c r="C51" i="29"/>
  <c r="D53" i="29"/>
  <c r="C53" i="29"/>
  <c r="D55" i="29"/>
  <c r="C55" i="29"/>
  <c r="E62" i="29"/>
  <c r="C62" i="29"/>
  <c r="C66" i="29"/>
  <c r="D66" i="29"/>
  <c r="C72" i="29"/>
  <c r="D72" i="29"/>
  <c r="F73" i="29"/>
  <c r="D73" i="29"/>
  <c r="C73" i="29"/>
  <c r="E73" i="29"/>
  <c r="C74" i="29"/>
  <c r="D74" i="29"/>
  <c r="C77" i="29"/>
  <c r="E77" i="29"/>
  <c r="E78" i="29"/>
  <c r="C78" i="29"/>
  <c r="D82" i="29"/>
  <c r="F82" i="29"/>
  <c r="E82" i="29"/>
  <c r="C82" i="29"/>
  <c r="C10" i="27"/>
  <c r="E10" i="27"/>
  <c r="D10" i="27"/>
  <c r="D23" i="27"/>
  <c r="E23" i="27"/>
  <c r="D24" i="27"/>
  <c r="C24" i="27"/>
  <c r="G24" i="27"/>
  <c r="D26" i="27"/>
  <c r="E26" i="27"/>
  <c r="C26" i="27"/>
  <c r="C39" i="27"/>
  <c r="E39" i="27"/>
  <c r="C46" i="27"/>
  <c r="F46" i="27"/>
  <c r="D46" i="27"/>
  <c r="F49" i="27"/>
  <c r="C49" i="27"/>
  <c r="D52" i="27"/>
  <c r="H52" i="27"/>
  <c r="C52" i="27"/>
  <c r="D58" i="27"/>
  <c r="C58" i="27"/>
  <c r="D67" i="27"/>
  <c r="C67" i="27"/>
  <c r="H68" i="27"/>
  <c r="E68" i="27"/>
  <c r="C75" i="27"/>
  <c r="F75" i="27"/>
  <c r="C77" i="27"/>
  <c r="F77" i="27"/>
  <c r="E77" i="27"/>
  <c r="C81" i="27"/>
  <c r="F81" i="27"/>
  <c r="C82" i="27"/>
  <c r="D82" i="27"/>
  <c r="C85" i="27"/>
  <c r="E85" i="27"/>
  <c r="F85" i="27"/>
  <c r="J3" i="26"/>
  <c r="J4" i="26"/>
  <c r="C13" i="26"/>
  <c r="G13" i="26"/>
  <c r="H13" i="26"/>
  <c r="G18" i="26"/>
  <c r="C18" i="26"/>
  <c r="C25" i="26"/>
  <c r="D25" i="26"/>
  <c r="D26" i="26"/>
  <c r="C26" i="26"/>
  <c r="E28" i="26"/>
  <c r="F28" i="26"/>
  <c r="G28" i="26"/>
  <c r="C29" i="26"/>
  <c r="G29" i="26"/>
  <c r="E44" i="26"/>
  <c r="D44" i="26"/>
  <c r="G44" i="26"/>
  <c r="C44" i="26"/>
  <c r="D52" i="26"/>
  <c r="C52" i="26"/>
  <c r="F52" i="26"/>
  <c r="G52" i="26"/>
  <c r="E52" i="26"/>
  <c r="H53" i="26"/>
  <c r="F53" i="26"/>
  <c r="C53" i="26"/>
  <c r="F56" i="26"/>
  <c r="C56" i="26"/>
  <c r="C58" i="26"/>
  <c r="D58" i="26"/>
  <c r="C59" i="26"/>
  <c r="H59" i="26"/>
  <c r="G59" i="26"/>
  <c r="C61" i="26"/>
  <c r="E61" i="26"/>
  <c r="F61" i="26"/>
  <c r="H61" i="26"/>
  <c r="G61" i="26"/>
  <c r="E62" i="26"/>
  <c r="C62" i="26"/>
  <c r="G62" i="26"/>
  <c r="D66" i="26"/>
  <c r="C66" i="26"/>
  <c r="E66" i="26"/>
  <c r="D67" i="26"/>
  <c r="E67" i="26"/>
  <c r="D70" i="26"/>
  <c r="E70" i="26"/>
  <c r="G70" i="26"/>
  <c r="H70" i="26"/>
  <c r="C72" i="26"/>
  <c r="H72" i="26"/>
  <c r="F72" i="26"/>
  <c r="H74" i="26"/>
  <c r="F74" i="26"/>
  <c r="E74" i="26"/>
  <c r="D74" i="26"/>
  <c r="C75" i="26"/>
  <c r="D75" i="26"/>
  <c r="C83" i="26"/>
  <c r="D83" i="26"/>
  <c r="J3" i="25"/>
  <c r="J4" i="25"/>
  <c r="C10" i="25"/>
  <c r="E10" i="25"/>
  <c r="C11" i="25"/>
  <c r="D11" i="25"/>
  <c r="F24" i="25"/>
  <c r="E24" i="25"/>
  <c r="C26" i="25"/>
  <c r="F26" i="25"/>
  <c r="E26" i="25"/>
  <c r="D36" i="25"/>
  <c r="C36" i="25"/>
  <c r="E38" i="25"/>
  <c r="F38" i="25"/>
  <c r="C42" i="25"/>
  <c r="E42" i="25"/>
  <c r="C43" i="25"/>
  <c r="D43" i="25"/>
  <c r="G43" i="25"/>
  <c r="C48" i="25"/>
  <c r="D48" i="25"/>
  <c r="C51" i="25"/>
  <c r="E51" i="25"/>
  <c r="F51" i="25"/>
  <c r="E52" i="25"/>
  <c r="D52" i="25"/>
  <c r="D57" i="25"/>
  <c r="C57" i="25"/>
  <c r="C58" i="25"/>
  <c r="E58" i="25"/>
  <c r="C59" i="25"/>
  <c r="D59" i="25"/>
  <c r="C60" i="25"/>
  <c r="F60" i="25"/>
  <c r="D64" i="25"/>
  <c r="C64" i="25"/>
  <c r="C66" i="25"/>
  <c r="D66" i="25"/>
  <c r="F70" i="25"/>
  <c r="E70" i="25"/>
  <c r="C74" i="25"/>
  <c r="E74" i="25"/>
  <c r="C75" i="25"/>
  <c r="D75" i="25"/>
  <c r="J5" i="24"/>
  <c r="J4" i="24"/>
  <c r="J3" i="24"/>
  <c r="D10" i="24"/>
  <c r="C10" i="24"/>
  <c r="E10" i="24"/>
  <c r="C14" i="24"/>
  <c r="D14" i="24"/>
  <c r="D16" i="24"/>
  <c r="C16" i="24"/>
  <c r="D22" i="24"/>
  <c r="C22" i="24"/>
  <c r="E23" i="24"/>
  <c r="C23" i="24"/>
  <c r="H25" i="24"/>
  <c r="E25" i="24"/>
  <c r="H26" i="24"/>
  <c r="D26" i="24"/>
  <c r="C26" i="24"/>
  <c r="C28" i="24"/>
  <c r="D28" i="24"/>
  <c r="E28" i="24"/>
  <c r="C29" i="24"/>
  <c r="F29" i="24"/>
  <c r="C35" i="24"/>
  <c r="D35" i="24"/>
  <c r="D37" i="24"/>
  <c r="F37" i="24"/>
  <c r="G37" i="24"/>
  <c r="C37" i="24"/>
  <c r="G39" i="24"/>
  <c r="F39" i="24"/>
  <c r="C41" i="24"/>
  <c r="E41" i="24"/>
  <c r="C44" i="24"/>
  <c r="D44" i="24"/>
  <c r="D53" i="24"/>
  <c r="C53" i="24"/>
  <c r="D55" i="24"/>
  <c r="G55" i="24"/>
  <c r="H57" i="24"/>
  <c r="D57" i="24"/>
  <c r="C57" i="24"/>
  <c r="E57" i="24"/>
  <c r="D59" i="24"/>
  <c r="C59" i="24"/>
  <c r="G67" i="24"/>
  <c r="C67" i="24"/>
  <c r="D73" i="24"/>
  <c r="C73" i="24"/>
  <c r="D84" i="24"/>
  <c r="C84" i="24"/>
  <c r="C85" i="24"/>
  <c r="D85" i="24"/>
  <c r="C10" i="23"/>
  <c r="E10" i="23"/>
  <c r="D10" i="23"/>
  <c r="C12" i="23"/>
  <c r="D12" i="23"/>
  <c r="E12" i="23"/>
  <c r="E13" i="23"/>
  <c r="D13" i="23"/>
  <c r="C13" i="23"/>
  <c r="F13" i="23"/>
  <c r="C14" i="23"/>
  <c r="D14" i="23"/>
  <c r="E14" i="23"/>
  <c r="E18" i="23"/>
  <c r="D18" i="23"/>
  <c r="F18" i="23"/>
  <c r="C18" i="23"/>
  <c r="C19" i="23"/>
  <c r="G19" i="23"/>
  <c r="C22" i="23"/>
  <c r="G22" i="23"/>
  <c r="D22" i="23"/>
  <c r="E22" i="23"/>
  <c r="E23" i="23"/>
  <c r="D23" i="23"/>
  <c r="C23" i="23"/>
  <c r="H24" i="23"/>
  <c r="C24" i="23"/>
  <c r="C26" i="23"/>
  <c r="D26" i="23"/>
  <c r="E29" i="23"/>
  <c r="C29" i="23"/>
  <c r="D29" i="23"/>
  <c r="G30" i="23"/>
  <c r="C30" i="23"/>
  <c r="C34" i="23"/>
  <c r="F34" i="23"/>
  <c r="C37" i="23"/>
  <c r="E37" i="23"/>
  <c r="C42" i="23"/>
  <c r="E42" i="23"/>
  <c r="C44" i="23"/>
  <c r="G44" i="23"/>
  <c r="D44" i="23"/>
  <c r="E44" i="23"/>
  <c r="F44" i="23"/>
  <c r="G52" i="23"/>
  <c r="D52" i="23"/>
  <c r="F52" i="23"/>
  <c r="C52" i="23"/>
  <c r="E52" i="23"/>
  <c r="E58" i="23"/>
  <c r="C58" i="23"/>
  <c r="D59" i="23"/>
  <c r="C59" i="23"/>
  <c r="E61" i="23"/>
  <c r="C61" i="23"/>
  <c r="G62" i="23"/>
  <c r="C62" i="23"/>
  <c r="D62" i="23"/>
  <c r="C64" i="23"/>
  <c r="D64" i="23"/>
  <c r="G78" i="23"/>
  <c r="C78" i="23"/>
  <c r="H84" i="23"/>
  <c r="C84" i="23"/>
  <c r="J4" i="22"/>
  <c r="J3" i="22"/>
  <c r="G13" i="22"/>
  <c r="C13" i="22"/>
  <c r="C14" i="22"/>
  <c r="E14" i="22"/>
  <c r="D14" i="22"/>
  <c r="C20" i="22"/>
  <c r="E20" i="22"/>
  <c r="D20" i="22"/>
  <c r="D21" i="22"/>
  <c r="C21" i="22"/>
  <c r="H25" i="22"/>
  <c r="C25" i="22"/>
  <c r="C30" i="22"/>
  <c r="D30" i="22"/>
  <c r="C31" i="22"/>
  <c r="D31" i="22"/>
  <c r="C42" i="22"/>
  <c r="D42" i="22"/>
  <c r="C43" i="22"/>
  <c r="E43" i="22"/>
  <c r="E44" i="22"/>
  <c r="C44" i="22"/>
  <c r="F52" i="22"/>
  <c r="C52" i="22"/>
  <c r="D52" i="22"/>
  <c r="E60" i="22"/>
  <c r="C60" i="22"/>
  <c r="G61" i="22"/>
  <c r="C61" i="22"/>
  <c r="C63" i="22"/>
  <c r="E63" i="22"/>
  <c r="D63" i="22"/>
  <c r="F63" i="22"/>
  <c r="E74" i="22"/>
  <c r="C74" i="22"/>
  <c r="D74" i="22"/>
  <c r="C75" i="22"/>
  <c r="E75" i="22"/>
  <c r="D78" i="22"/>
  <c r="C78" i="22"/>
  <c r="E78" i="22"/>
  <c r="C79" i="22"/>
  <c r="D79" i="22"/>
  <c r="D10" i="21"/>
  <c r="C10" i="21"/>
  <c r="D13" i="21"/>
  <c r="C13" i="21"/>
  <c r="D14" i="21"/>
  <c r="C14" i="21"/>
  <c r="E18" i="21"/>
  <c r="C18" i="21"/>
  <c r="H19" i="21"/>
  <c r="G19" i="21"/>
  <c r="C22" i="21"/>
  <c r="D22" i="21"/>
  <c r="E22" i="21"/>
  <c r="F23" i="21"/>
  <c r="C23" i="21"/>
  <c r="C29" i="21"/>
  <c r="D29" i="21"/>
  <c r="C39" i="21"/>
  <c r="D39" i="21"/>
  <c r="C57" i="21"/>
  <c r="D57" i="21"/>
  <c r="E59" i="21"/>
  <c r="D59" i="21"/>
  <c r="C59" i="21"/>
  <c r="D60" i="21"/>
  <c r="E60" i="21"/>
  <c r="C60" i="21"/>
  <c r="C62" i="21"/>
  <c r="D62" i="21"/>
  <c r="E71" i="21"/>
  <c r="C71" i="21"/>
  <c r="D71" i="21"/>
  <c r="C77" i="21"/>
  <c r="G77" i="21"/>
  <c r="G79" i="21"/>
  <c r="F79" i="21"/>
  <c r="D83" i="21"/>
  <c r="C83" i="21"/>
  <c r="C12" i="20"/>
  <c r="D12" i="20"/>
  <c r="F13" i="20"/>
  <c r="C13" i="20"/>
  <c r="C14" i="20"/>
  <c r="D14" i="20"/>
  <c r="E14" i="20"/>
  <c r="C16" i="20"/>
  <c r="D16" i="20"/>
  <c r="C19" i="20"/>
  <c r="D19" i="20"/>
  <c r="C21" i="20"/>
  <c r="D21" i="20"/>
  <c r="F23" i="20"/>
  <c r="G23" i="20"/>
  <c r="C23" i="20"/>
  <c r="F24" i="20"/>
  <c r="E24" i="20"/>
  <c r="C24" i="20"/>
  <c r="C26" i="20"/>
  <c r="D26" i="20"/>
  <c r="C30" i="20"/>
  <c r="D30" i="20"/>
  <c r="H32" i="20"/>
  <c r="C32" i="20"/>
  <c r="D32" i="20"/>
  <c r="D35" i="20"/>
  <c r="C35" i="20"/>
  <c r="C36" i="20"/>
  <c r="D36" i="20"/>
  <c r="G37" i="20"/>
  <c r="C37" i="20"/>
  <c r="D37" i="20"/>
  <c r="F40" i="20"/>
  <c r="D40" i="20"/>
  <c r="E40" i="20"/>
  <c r="C40" i="20"/>
  <c r="F41" i="20"/>
  <c r="E41" i="20"/>
  <c r="D42" i="20"/>
  <c r="C42" i="20"/>
  <c r="C52" i="20"/>
  <c r="D52" i="20"/>
  <c r="F56" i="20"/>
  <c r="C56" i="20"/>
  <c r="D56" i="20"/>
  <c r="D58" i="20"/>
  <c r="C58" i="20"/>
  <c r="C62" i="20"/>
  <c r="E62" i="20"/>
  <c r="D62" i="20"/>
  <c r="F63" i="20"/>
  <c r="G63" i="20"/>
  <c r="C69" i="20"/>
  <c r="D69" i="20"/>
  <c r="F72" i="20"/>
  <c r="C72" i="20"/>
  <c r="D72" i="20"/>
  <c r="E72" i="20"/>
  <c r="C76" i="20"/>
  <c r="F76" i="20"/>
  <c r="D76" i="20"/>
  <c r="G76" i="20"/>
  <c r="C80" i="20"/>
  <c r="D80" i="20"/>
  <c r="C82" i="20"/>
  <c r="D82" i="20"/>
  <c r="J4" i="19"/>
  <c r="J3" i="19"/>
  <c r="G10" i="19"/>
  <c r="H10" i="19"/>
  <c r="C10" i="19"/>
  <c r="C12" i="19"/>
  <c r="D12" i="19"/>
  <c r="C13" i="19"/>
  <c r="D13" i="19"/>
  <c r="D14" i="19"/>
  <c r="C14" i="19"/>
  <c r="E14" i="19"/>
  <c r="F14" i="19"/>
  <c r="H23" i="19"/>
  <c r="C23" i="19"/>
  <c r="E26" i="19"/>
  <c r="D26" i="19"/>
  <c r="F26" i="19"/>
  <c r="C26" i="19"/>
  <c r="C27" i="19"/>
  <c r="D27" i="19"/>
  <c r="D30" i="19"/>
  <c r="C30" i="19"/>
  <c r="E30" i="19"/>
  <c r="E39" i="19"/>
  <c r="C39" i="19"/>
  <c r="F40" i="19"/>
  <c r="D40" i="19"/>
  <c r="F41" i="19"/>
  <c r="C41" i="19"/>
  <c r="D41" i="19"/>
  <c r="D43" i="19"/>
  <c r="C43" i="19"/>
  <c r="D46" i="19"/>
  <c r="C46" i="19"/>
  <c r="E46" i="19"/>
  <c r="G52" i="19"/>
  <c r="C52" i="19"/>
  <c r="D55" i="19"/>
  <c r="C55" i="19"/>
  <c r="E55" i="19"/>
  <c r="C56" i="19"/>
  <c r="D56" i="19"/>
  <c r="H57" i="19"/>
  <c r="F57" i="19"/>
  <c r="D57" i="19"/>
  <c r="C57" i="19"/>
  <c r="C60" i="19"/>
  <c r="D60" i="19"/>
  <c r="D61" i="19"/>
  <c r="C61" i="19"/>
  <c r="D62" i="19"/>
  <c r="E62" i="19"/>
  <c r="C62" i="19"/>
  <c r="F69" i="19"/>
  <c r="C69" i="19"/>
  <c r="D69" i="19"/>
  <c r="C72" i="19"/>
  <c r="D72" i="19"/>
  <c r="G72" i="19"/>
  <c r="H73" i="19"/>
  <c r="E73" i="19"/>
  <c r="C73" i="19"/>
  <c r="D76" i="19"/>
  <c r="C76" i="19"/>
  <c r="F82" i="19"/>
  <c r="C82" i="19"/>
  <c r="C10" i="18"/>
  <c r="D10" i="18"/>
  <c r="D11" i="18"/>
  <c r="F11" i="18"/>
  <c r="C11" i="18"/>
  <c r="C12" i="18"/>
  <c r="D12" i="18"/>
  <c r="E12" i="18"/>
  <c r="C13" i="18"/>
  <c r="D13" i="18"/>
  <c r="C14" i="18"/>
  <c r="H14" i="18"/>
  <c r="C20" i="18"/>
  <c r="E20" i="18"/>
  <c r="D20" i="18"/>
  <c r="D21" i="18"/>
  <c r="C21" i="18"/>
  <c r="H25" i="18"/>
  <c r="F25" i="18"/>
  <c r="C26" i="18"/>
  <c r="E26" i="18"/>
  <c r="D26" i="18"/>
  <c r="D27" i="18"/>
  <c r="F27" i="18"/>
  <c r="C27" i="18"/>
  <c r="C29" i="18"/>
  <c r="D29" i="18"/>
  <c r="C30" i="18"/>
  <c r="H30" i="18"/>
  <c r="F30" i="18"/>
  <c r="G34" i="18"/>
  <c r="C34" i="18"/>
  <c r="D35" i="18"/>
  <c r="C35" i="18"/>
  <c r="D37" i="18"/>
  <c r="C37" i="18"/>
  <c r="D43" i="18"/>
  <c r="C43" i="18"/>
  <c r="C44" i="18"/>
  <c r="D44" i="18"/>
  <c r="C45" i="18"/>
  <c r="D45" i="18"/>
  <c r="C49" i="18"/>
  <c r="D49" i="18"/>
  <c r="G50" i="18"/>
  <c r="C50" i="18"/>
  <c r="D52" i="18"/>
  <c r="C52" i="18"/>
  <c r="D53" i="18"/>
  <c r="C53" i="18"/>
  <c r="D59" i="18"/>
  <c r="C59" i="18"/>
  <c r="C60" i="18"/>
  <c r="D60" i="18"/>
  <c r="C61" i="18"/>
  <c r="D61" i="18"/>
  <c r="F61" i="18"/>
  <c r="G66" i="18"/>
  <c r="C66" i="18"/>
  <c r="C68" i="18"/>
  <c r="D68" i="18"/>
  <c r="F72" i="18"/>
  <c r="C72" i="18"/>
  <c r="F81" i="18"/>
  <c r="C81" i="18"/>
  <c r="G82" i="18"/>
  <c r="H82" i="18"/>
  <c r="F82" i="18"/>
  <c r="D82" i="18"/>
  <c r="E82" i="18"/>
  <c r="C76" i="13"/>
  <c r="E76" i="13"/>
  <c r="D76" i="13"/>
  <c r="C77" i="13"/>
  <c r="D77" i="13"/>
  <c r="E10" i="12"/>
  <c r="C10" i="12"/>
  <c r="D10" i="12"/>
  <c r="E13" i="12"/>
  <c r="C13" i="12"/>
  <c r="F13" i="12"/>
  <c r="C14" i="12"/>
  <c r="F14" i="12"/>
  <c r="E14" i="12"/>
  <c r="H23" i="12"/>
  <c r="D23" i="12"/>
  <c r="C23" i="12"/>
  <c r="H24" i="12"/>
  <c r="D24" i="12"/>
  <c r="E24" i="12"/>
  <c r="C24" i="12"/>
  <c r="D26" i="12"/>
  <c r="C26" i="12"/>
  <c r="C30" i="12"/>
  <c r="D30" i="12"/>
  <c r="E30" i="12"/>
  <c r="F30" i="12"/>
  <c r="H30" i="12"/>
  <c r="D36" i="12"/>
  <c r="C36" i="12"/>
  <c r="C39" i="12"/>
  <c r="D39" i="12"/>
  <c r="C40" i="12"/>
  <c r="D40" i="12"/>
  <c r="D43" i="12"/>
  <c r="F43" i="12"/>
  <c r="E43" i="12"/>
  <c r="C43" i="12"/>
  <c r="C44" i="12"/>
  <c r="D44" i="12"/>
  <c r="E45" i="12"/>
  <c r="C45" i="12"/>
  <c r="G46" i="12"/>
  <c r="C46" i="12"/>
  <c r="D46" i="12"/>
  <c r="F54" i="12"/>
  <c r="C54" i="12"/>
  <c r="H55" i="12"/>
  <c r="E55" i="12"/>
  <c r="F55" i="12"/>
  <c r="C60" i="12"/>
  <c r="D60" i="12"/>
  <c r="D66" i="12"/>
  <c r="C66" i="12"/>
  <c r="E72" i="12"/>
  <c r="D72" i="12"/>
  <c r="G72" i="12"/>
  <c r="H72" i="12"/>
  <c r="F72" i="12"/>
  <c r="C72" i="12"/>
  <c r="C76" i="12"/>
  <c r="D76" i="12"/>
  <c r="E77" i="12"/>
  <c r="D77" i="12"/>
  <c r="C77" i="12"/>
  <c r="G78" i="12"/>
  <c r="C78" i="12"/>
  <c r="C80" i="12"/>
  <c r="D80" i="12"/>
  <c r="F83" i="12"/>
  <c r="E83" i="12"/>
  <c r="C83" i="12"/>
  <c r="G83" i="12"/>
  <c r="E85" i="12"/>
  <c r="C85" i="12"/>
  <c r="C10" i="11"/>
  <c r="D10" i="11"/>
  <c r="F10" i="11"/>
  <c r="G10" i="11"/>
  <c r="E10" i="11"/>
  <c r="E23" i="11"/>
  <c r="C23" i="11"/>
  <c r="D23" i="11"/>
  <c r="C24" i="11"/>
  <c r="D24" i="11"/>
  <c r="C35" i="11"/>
  <c r="D35" i="11"/>
  <c r="C36" i="11"/>
  <c r="E36" i="11"/>
  <c r="E39" i="11"/>
  <c r="C39" i="11"/>
  <c r="D39" i="11"/>
  <c r="F40" i="11"/>
  <c r="D40" i="11"/>
  <c r="C40" i="11"/>
  <c r="C41" i="11"/>
  <c r="D41" i="11"/>
  <c r="C43" i="11"/>
  <c r="D43" i="11"/>
  <c r="E52" i="11"/>
  <c r="D52" i="11"/>
  <c r="C52" i="11"/>
  <c r="E55" i="11"/>
  <c r="D55" i="11"/>
  <c r="G56" i="11"/>
  <c r="C56" i="11"/>
  <c r="C57" i="11"/>
  <c r="E57" i="11"/>
  <c r="D57" i="11"/>
  <c r="C61" i="11"/>
  <c r="D61" i="11"/>
  <c r="E62" i="11"/>
  <c r="D62" i="11"/>
  <c r="C66" i="11"/>
  <c r="D66" i="11"/>
  <c r="E67" i="11"/>
  <c r="D67" i="11"/>
  <c r="C67" i="11"/>
  <c r="C76" i="11"/>
  <c r="H76" i="11"/>
  <c r="D78" i="11"/>
  <c r="C78" i="11"/>
  <c r="C10" i="10"/>
  <c r="D10" i="10"/>
  <c r="D11" i="10"/>
  <c r="C11" i="10"/>
  <c r="G16" i="10"/>
  <c r="C16" i="10"/>
  <c r="F20" i="10"/>
  <c r="C20" i="10"/>
  <c r="C22" i="10"/>
  <c r="D22" i="10"/>
  <c r="F26" i="10"/>
  <c r="E26" i="10"/>
  <c r="E30" i="10"/>
  <c r="C30" i="10"/>
  <c r="D30" i="10"/>
  <c r="E35" i="10"/>
  <c r="F35" i="10"/>
  <c r="D35" i="10"/>
  <c r="C35" i="10"/>
  <c r="F39" i="10"/>
  <c r="E39" i="10"/>
  <c r="F47" i="10"/>
  <c r="E47" i="10"/>
  <c r="C48" i="10"/>
  <c r="D48" i="10"/>
  <c r="C60" i="10"/>
  <c r="D60" i="10"/>
  <c r="C62" i="10"/>
  <c r="D62" i="10"/>
  <c r="E63" i="10"/>
  <c r="F63" i="10"/>
  <c r="C66" i="10"/>
  <c r="D66" i="10"/>
  <c r="C67" i="10"/>
  <c r="E67" i="10"/>
  <c r="C68" i="10"/>
  <c r="D68" i="10"/>
  <c r="E76" i="10"/>
  <c r="C76" i="10"/>
  <c r="D76" i="10"/>
  <c r="C77" i="10"/>
  <c r="D77" i="10"/>
  <c r="C83" i="10"/>
  <c r="D83" i="10"/>
  <c r="H83" i="10"/>
  <c r="D85" i="10"/>
  <c r="C85" i="10"/>
  <c r="J3" i="9"/>
  <c r="J4" i="9"/>
  <c r="H10" i="9"/>
  <c r="C10" i="9"/>
  <c r="F10" i="9"/>
  <c r="E10" i="9"/>
  <c r="D10" i="9"/>
  <c r="C12" i="9"/>
  <c r="D12" i="9"/>
  <c r="D14" i="9"/>
  <c r="E14" i="9"/>
  <c r="C14" i="9"/>
  <c r="F21" i="9"/>
  <c r="C21" i="9"/>
  <c r="C23" i="9"/>
  <c r="D23" i="9"/>
  <c r="C45" i="9"/>
  <c r="D45" i="9"/>
  <c r="G47" i="9"/>
  <c r="D47" i="9"/>
  <c r="F50" i="9"/>
  <c r="C50" i="9"/>
  <c r="D50" i="9"/>
  <c r="C51" i="9"/>
  <c r="D51" i="9"/>
  <c r="E53" i="9"/>
  <c r="C53" i="9"/>
  <c r="H54" i="9"/>
  <c r="C54" i="9"/>
  <c r="E54" i="9"/>
  <c r="C55" i="9"/>
  <c r="D55" i="9"/>
  <c r="D56" i="9"/>
  <c r="E56" i="9"/>
  <c r="C56" i="9"/>
  <c r="C58" i="9"/>
  <c r="D58" i="9"/>
  <c r="C60" i="9"/>
  <c r="E60" i="9"/>
  <c r="H64" i="9"/>
  <c r="F64" i="9"/>
  <c r="C65" i="9"/>
  <c r="D65" i="9"/>
  <c r="C66" i="9"/>
  <c r="D66" i="9"/>
  <c r="H70" i="9"/>
  <c r="D70" i="9"/>
  <c r="C70" i="9"/>
  <c r="G72" i="9"/>
  <c r="C72" i="9"/>
  <c r="H72" i="9"/>
  <c r="D77" i="9"/>
  <c r="G77" i="9"/>
  <c r="E77" i="9"/>
  <c r="C77" i="9"/>
  <c r="F77" i="9"/>
  <c r="J3" i="8"/>
  <c r="J4" i="8"/>
  <c r="K49" i="8" s="1"/>
  <c r="D13" i="8"/>
  <c r="E13" i="8"/>
  <c r="C13" i="8"/>
  <c r="D14" i="8"/>
  <c r="E14" i="8"/>
  <c r="C14" i="8"/>
  <c r="C17" i="8"/>
  <c r="D17" i="8"/>
  <c r="E17" i="8"/>
  <c r="C21" i="8"/>
  <c r="E21" i="8"/>
  <c r="E23" i="8"/>
  <c r="D23" i="8"/>
  <c r="C23" i="8"/>
  <c r="G24" i="8"/>
  <c r="D24" i="8"/>
  <c r="C24" i="8"/>
  <c r="F28" i="8"/>
  <c r="C28" i="8"/>
  <c r="C34" i="8"/>
  <c r="D34" i="8"/>
  <c r="C39" i="8"/>
  <c r="D39" i="8"/>
  <c r="F47" i="8"/>
  <c r="E47" i="8"/>
  <c r="C48" i="8"/>
  <c r="G48" i="8"/>
  <c r="C50" i="8"/>
  <c r="D50" i="8"/>
  <c r="C51" i="8"/>
  <c r="G51" i="8"/>
  <c r="H51" i="8"/>
  <c r="E53" i="8"/>
  <c r="D53" i="8"/>
  <c r="C53" i="8"/>
  <c r="E55" i="8"/>
  <c r="C55" i="8"/>
  <c r="D55" i="8"/>
  <c r="F60" i="8"/>
  <c r="D60" i="8"/>
  <c r="C60" i="8"/>
  <c r="C61" i="8"/>
  <c r="D61" i="8"/>
  <c r="C71" i="8"/>
  <c r="F71" i="8"/>
  <c r="F79" i="8"/>
  <c r="E79" i="8"/>
  <c r="J3" i="7"/>
  <c r="J4" i="7"/>
  <c r="F11" i="7"/>
  <c r="C11" i="7"/>
  <c r="C13" i="7"/>
  <c r="D13" i="7"/>
  <c r="C17" i="7"/>
  <c r="D17" i="7"/>
  <c r="E18" i="7"/>
  <c r="C18" i="7"/>
  <c r="C19" i="7"/>
  <c r="D19" i="7"/>
  <c r="C21" i="7"/>
  <c r="E21" i="7"/>
  <c r="D21" i="7"/>
  <c r="C22" i="7"/>
  <c r="E22" i="7"/>
  <c r="D22" i="7"/>
  <c r="H25" i="7"/>
  <c r="F25" i="7"/>
  <c r="G25" i="7"/>
  <c r="C26" i="7"/>
  <c r="D26" i="7"/>
  <c r="C27" i="7"/>
  <c r="E27" i="7"/>
  <c r="H28" i="7"/>
  <c r="C28" i="7"/>
  <c r="E28" i="7"/>
  <c r="D28" i="7"/>
  <c r="H34" i="7"/>
  <c r="C34" i="7"/>
  <c r="D34" i="7"/>
  <c r="D48" i="7"/>
  <c r="C48" i="7"/>
  <c r="D50" i="7"/>
  <c r="C50" i="7"/>
  <c r="C57" i="7"/>
  <c r="D57" i="7"/>
  <c r="H60" i="7"/>
  <c r="C60" i="7"/>
  <c r="C67" i="7"/>
  <c r="D67" i="7"/>
  <c r="D69" i="7"/>
  <c r="H69" i="7"/>
  <c r="C69" i="7"/>
  <c r="H73" i="7"/>
  <c r="F73" i="7"/>
  <c r="G73" i="7"/>
  <c r="C83" i="7"/>
  <c r="D83" i="7"/>
  <c r="J3" i="6"/>
  <c r="J4" i="6"/>
  <c r="C10" i="6"/>
  <c r="D10" i="6"/>
  <c r="D11" i="6"/>
  <c r="C11" i="6"/>
  <c r="E11" i="6"/>
  <c r="F11" i="6"/>
  <c r="D13" i="6"/>
  <c r="C13" i="6"/>
  <c r="D18" i="6"/>
  <c r="C18" i="6"/>
  <c r="C21" i="6"/>
  <c r="F21" i="6"/>
  <c r="F24" i="6"/>
  <c r="H24" i="6"/>
  <c r="E24" i="6"/>
  <c r="D25" i="6"/>
  <c r="C25" i="6"/>
  <c r="D26" i="6"/>
  <c r="C26" i="6"/>
  <c r="D27" i="6"/>
  <c r="C27" i="6"/>
  <c r="D29" i="6"/>
  <c r="C29" i="6"/>
  <c r="C30" i="6"/>
  <c r="D30" i="6"/>
  <c r="E30" i="6"/>
  <c r="G34" i="6"/>
  <c r="E34" i="6"/>
  <c r="C34" i="6"/>
  <c r="G40" i="6"/>
  <c r="C40" i="6"/>
  <c r="H44" i="6"/>
  <c r="F44" i="6"/>
  <c r="C46" i="6"/>
  <c r="E46" i="6"/>
  <c r="D46" i="6"/>
  <c r="D50" i="6"/>
  <c r="C50" i="6"/>
  <c r="C52" i="6"/>
  <c r="D52" i="6"/>
  <c r="E52" i="6"/>
  <c r="C54" i="6"/>
  <c r="D54" i="6"/>
  <c r="C60" i="6"/>
  <c r="D60" i="6"/>
  <c r="E61" i="6"/>
  <c r="C61" i="6"/>
  <c r="D61" i="6"/>
  <c r="C62" i="6"/>
  <c r="E62" i="6"/>
  <c r="D62" i="6"/>
  <c r="F62" i="6"/>
  <c r="D64" i="6"/>
  <c r="C64" i="6"/>
  <c r="D73" i="6"/>
  <c r="C73" i="6"/>
  <c r="E73" i="6"/>
  <c r="D84" i="6"/>
  <c r="C84" i="6"/>
  <c r="D85" i="6"/>
  <c r="C85" i="6"/>
  <c r="J3" i="5"/>
  <c r="J4" i="5"/>
  <c r="C10" i="5"/>
  <c r="D10" i="5"/>
  <c r="H12" i="5"/>
  <c r="C12" i="5"/>
  <c r="C18" i="5"/>
  <c r="G18" i="5"/>
  <c r="F18" i="5"/>
  <c r="H20" i="5"/>
  <c r="C20" i="5"/>
  <c r="C26" i="5"/>
  <c r="G26" i="5"/>
  <c r="E26" i="5"/>
  <c r="H26" i="5"/>
  <c r="F26" i="5"/>
  <c r="D27" i="5"/>
  <c r="C27" i="5"/>
  <c r="E28" i="5"/>
  <c r="D28" i="5"/>
  <c r="C28" i="5"/>
  <c r="C30" i="5"/>
  <c r="E30" i="5"/>
  <c r="F31" i="5"/>
  <c r="E31" i="5"/>
  <c r="D34" i="5"/>
  <c r="F34" i="5"/>
  <c r="G34" i="5"/>
  <c r="C34" i="5"/>
  <c r="E34" i="5"/>
  <c r="D40" i="5"/>
  <c r="E40" i="5"/>
  <c r="C40" i="5"/>
  <c r="F41" i="5"/>
  <c r="C41" i="5"/>
  <c r="E41" i="5"/>
  <c r="D41" i="5"/>
  <c r="F47" i="5"/>
  <c r="E47" i="5"/>
  <c r="D51" i="5"/>
  <c r="C51" i="5"/>
  <c r="E51" i="5"/>
  <c r="G52" i="5"/>
  <c r="F52" i="5"/>
  <c r="H52" i="5"/>
  <c r="C59" i="5"/>
  <c r="D59" i="5"/>
  <c r="C62" i="5"/>
  <c r="E62" i="5"/>
  <c r="D62" i="5"/>
  <c r="D66" i="5"/>
  <c r="C66" i="5"/>
  <c r="E66" i="5"/>
  <c r="F66" i="5"/>
  <c r="D68" i="5"/>
  <c r="C68" i="5"/>
  <c r="D69" i="5"/>
  <c r="C69" i="5"/>
  <c r="E69" i="5"/>
  <c r="D70" i="5"/>
  <c r="E70" i="5"/>
  <c r="C70" i="5"/>
  <c r="J3" i="4"/>
  <c r="J4" i="4"/>
  <c r="C10" i="4"/>
  <c r="D10" i="4"/>
  <c r="E10" i="4"/>
  <c r="D12" i="4"/>
  <c r="C12" i="4"/>
  <c r="C13" i="4"/>
  <c r="E13" i="4"/>
  <c r="D13" i="4"/>
  <c r="E14" i="4"/>
  <c r="C14" i="4"/>
  <c r="F18" i="4"/>
  <c r="E18" i="4"/>
  <c r="C20" i="4"/>
  <c r="D20" i="4"/>
  <c r="D23" i="4"/>
  <c r="C23" i="4"/>
  <c r="C28" i="4"/>
  <c r="F28" i="4"/>
  <c r="G28" i="4"/>
  <c r="C35" i="4"/>
  <c r="D35" i="4"/>
  <c r="H36" i="4"/>
  <c r="D36" i="4"/>
  <c r="C36" i="4"/>
  <c r="D37" i="4"/>
  <c r="C37" i="4"/>
  <c r="E38" i="4"/>
  <c r="D38" i="4"/>
  <c r="C38" i="4"/>
  <c r="D42" i="4"/>
  <c r="C42" i="4"/>
  <c r="G43" i="4"/>
  <c r="C43" i="4"/>
  <c r="E51" i="4"/>
  <c r="C51" i="4"/>
  <c r="C54" i="4"/>
  <c r="D54" i="4"/>
  <c r="E54" i="4"/>
  <c r="D55" i="4"/>
  <c r="C55" i="4"/>
  <c r="E55" i="4"/>
  <c r="H57" i="4"/>
  <c r="D57" i="4"/>
  <c r="E57" i="4"/>
  <c r="C57" i="4"/>
  <c r="G68" i="4"/>
  <c r="F68" i="4"/>
  <c r="C70" i="4"/>
  <c r="D70" i="4"/>
  <c r="D84" i="4"/>
  <c r="C84" i="4"/>
  <c r="J3" i="3"/>
  <c r="J4" i="3"/>
  <c r="C12" i="3"/>
  <c r="D12" i="3"/>
  <c r="C14" i="3"/>
  <c r="D14" i="3"/>
  <c r="E24" i="3"/>
  <c r="D24" i="3"/>
  <c r="C24" i="3"/>
  <c r="E32" i="3"/>
  <c r="D32" i="3"/>
  <c r="H34" i="3"/>
  <c r="C34" i="3"/>
  <c r="D34" i="3"/>
  <c r="C35" i="3"/>
  <c r="D35" i="3"/>
  <c r="E40" i="3"/>
  <c r="C40" i="3"/>
  <c r="E41" i="3"/>
  <c r="C41" i="3"/>
  <c r="H45" i="3"/>
  <c r="F45" i="3"/>
  <c r="D45" i="3"/>
  <c r="C45" i="3"/>
  <c r="E45" i="3"/>
  <c r="C47" i="3"/>
  <c r="E47" i="3"/>
  <c r="C51" i="3"/>
  <c r="E51" i="3"/>
  <c r="D51" i="3"/>
  <c r="C57" i="3"/>
  <c r="E57" i="3"/>
  <c r="E60" i="3"/>
  <c r="D60" i="3"/>
  <c r="C60" i="3"/>
  <c r="C74" i="3"/>
  <c r="E74" i="3"/>
  <c r="C75" i="3"/>
  <c r="D75" i="3"/>
  <c r="E75" i="3"/>
  <c r="C77" i="3"/>
  <c r="E77" i="3"/>
  <c r="H85" i="3"/>
  <c r="C85" i="3"/>
  <c r="AC20" i="33"/>
  <c r="AB54" i="33"/>
  <c r="Y20" i="33"/>
  <c r="AE68" i="33"/>
  <c r="AE27" i="33"/>
  <c r="AE75" i="33"/>
  <c r="X77" i="33"/>
  <c r="X39" i="33"/>
  <c r="AD68" i="33"/>
  <c r="X16" i="33"/>
  <c r="W30" i="33"/>
  <c r="AE79" i="33"/>
  <c r="W71" i="33"/>
  <c r="AC69" i="33"/>
  <c r="AA54" i="33"/>
  <c r="AA19" i="33"/>
  <c r="AE65" i="33"/>
  <c r="W15" i="33"/>
  <c r="AB47" i="33"/>
  <c r="W76" i="33"/>
  <c r="AC18" i="33"/>
  <c r="AA39" i="33"/>
  <c r="W23" i="33"/>
  <c r="AC65" i="33"/>
  <c r="Z72" i="33"/>
  <c r="Z71" i="33"/>
  <c r="X62" i="33"/>
  <c r="AB25" i="33"/>
  <c r="AD69" i="33"/>
  <c r="AB61" i="33"/>
  <c r="Z40" i="33"/>
  <c r="AC83" i="33"/>
  <c r="AD36" i="33"/>
  <c r="AB59" i="33"/>
  <c r="Z18" i="33"/>
  <c r="Z66" i="33"/>
  <c r="AC82" i="33"/>
  <c r="X30" i="33"/>
  <c r="W78" i="33"/>
  <c r="AE56" i="33"/>
  <c r="Z56" i="33"/>
  <c r="AA55" i="33"/>
  <c r="AC55" i="33"/>
  <c r="AB55" i="33"/>
  <c r="AA49" i="33"/>
  <c r="Y49" i="33"/>
  <c r="W49" i="33"/>
  <c r="AB49" i="33"/>
  <c r="X49" i="33"/>
  <c r="AD49" i="33"/>
  <c r="Z49" i="33"/>
  <c r="AE49" i="33"/>
  <c r="AC49" i="33"/>
  <c r="W66" i="33"/>
  <c r="X66" i="33"/>
  <c r="AA66" i="33"/>
  <c r="AC84" i="33"/>
  <c r="Y84" i="33"/>
  <c r="X84" i="33"/>
  <c r="AD84" i="33"/>
  <c r="AE84" i="33"/>
  <c r="W84" i="33"/>
  <c r="AA84" i="33"/>
  <c r="Z84" i="33"/>
  <c r="AC45" i="33"/>
  <c r="AB45" i="33"/>
  <c r="AB63" i="33"/>
  <c r="AA63" i="33"/>
  <c r="AC63" i="33"/>
  <c r="Z64" i="33"/>
  <c r="X64" i="33"/>
  <c r="W64" i="33"/>
  <c r="AE64" i="33"/>
  <c r="Y64" i="33"/>
  <c r="AD77" i="33"/>
  <c r="AC77" i="33"/>
  <c r="AB53" i="33"/>
  <c r="AC53" i="33"/>
  <c r="X53" i="33"/>
  <c r="Y53" i="33"/>
  <c r="Z53" i="33"/>
  <c r="W55" i="33"/>
  <c r="Y55" i="33"/>
  <c r="X55" i="33"/>
  <c r="Y16" i="33"/>
  <c r="W16" i="33"/>
  <c r="Y23" i="33"/>
  <c r="Z23" i="33"/>
  <c r="AA23" i="33"/>
  <c r="AB37" i="33"/>
  <c r="AC37" i="33"/>
  <c r="AE37" i="33"/>
  <c r="S71" i="32"/>
  <c r="M27" i="32"/>
  <c r="O28" i="32"/>
  <c r="Q29" i="32"/>
  <c r="M43" i="32"/>
  <c r="O44" i="32"/>
  <c r="S62" i="32"/>
  <c r="U63" i="32"/>
  <c r="U14" i="32"/>
  <c r="L10" i="32"/>
  <c r="N11" i="32"/>
  <c r="P12" i="32"/>
  <c r="R13" i="32"/>
  <c r="T14" i="32"/>
  <c r="V15" i="32"/>
  <c r="L26" i="32"/>
  <c r="R45" i="32"/>
  <c r="T46" i="32"/>
  <c r="V47" i="32"/>
  <c r="L58" i="32"/>
  <c r="N59" i="32"/>
  <c r="P60" i="32"/>
  <c r="R61" i="32"/>
  <c r="V14" i="32"/>
  <c r="K18" i="32"/>
  <c r="S19" i="32"/>
  <c r="V51" i="32"/>
  <c r="M56" i="32"/>
  <c r="P57" i="32"/>
  <c r="U58" i="32"/>
  <c r="L63" i="32"/>
  <c r="P64" i="32"/>
  <c r="U65" i="32"/>
  <c r="L70" i="32"/>
  <c r="Q71" i="32"/>
  <c r="V72" i="32"/>
  <c r="N49" i="32"/>
  <c r="S50" i="32"/>
  <c r="O13" i="32"/>
  <c r="P18" i="32"/>
  <c r="U25" i="32"/>
  <c r="P30" i="32"/>
  <c r="P36" i="32"/>
  <c r="O42" i="32"/>
  <c r="T43" i="32"/>
  <c r="O49" i="32"/>
  <c r="V25" i="32"/>
  <c r="K29" i="32"/>
  <c r="Q30" i="32"/>
  <c r="K35" i="32"/>
  <c r="S36" i="32"/>
  <c r="K41" i="32"/>
  <c r="P42" i="32"/>
  <c r="M16" i="32"/>
  <c r="T17" i="32"/>
  <c r="P22" i="32"/>
  <c r="U41" i="32"/>
  <c r="L46" i="32"/>
  <c r="Q47" i="32"/>
  <c r="Q75" i="32"/>
  <c r="V76" i="32"/>
  <c r="L81" i="32"/>
  <c r="Q82" i="32"/>
  <c r="V83" i="32"/>
  <c r="Q11" i="32"/>
  <c r="N16" i="32"/>
  <c r="T22" i="32"/>
  <c r="P27" i="32"/>
  <c r="U28" i="32"/>
  <c r="O33" i="32"/>
  <c r="U34" i="32"/>
  <c r="N36" i="32"/>
  <c r="Q67" i="32"/>
  <c r="V68" i="32"/>
  <c r="K73" i="32"/>
  <c r="P74" i="32"/>
  <c r="O21" i="32"/>
  <c r="Q27" i="32"/>
  <c r="V28" i="32"/>
  <c r="P33" i="32"/>
  <c r="V34" i="32"/>
  <c r="K38" i="32"/>
  <c r="Q39" i="32"/>
  <c r="L45" i="32"/>
  <c r="Q46" i="32"/>
  <c r="M52" i="32"/>
  <c r="P21" i="32"/>
  <c r="R27" i="32"/>
  <c r="K32" i="32"/>
  <c r="M45" i="32"/>
  <c r="R46" i="32"/>
  <c r="N52" i="32"/>
  <c r="R53" i="32"/>
  <c r="L59" i="32"/>
  <c r="S60" i="32"/>
  <c r="P14" i="32"/>
  <c r="V66" i="32"/>
  <c r="M69" i="32"/>
  <c r="N73" i="32"/>
  <c r="O77" i="32"/>
  <c r="O81" i="32"/>
  <c r="M85" i="32"/>
  <c r="S10" i="32"/>
  <c r="O15" i="32"/>
  <c r="O31" i="32"/>
  <c r="R34" i="32"/>
  <c r="T57" i="32"/>
  <c r="M60" i="32"/>
  <c r="T10" i="32"/>
  <c r="P15" i="32"/>
  <c r="N20" i="32"/>
  <c r="R23" i="32"/>
  <c r="P31" i="32"/>
  <c r="S34" i="32"/>
  <c r="P37" i="32"/>
  <c r="T40" i="32"/>
  <c r="T64" i="32"/>
  <c r="L71" i="32"/>
  <c r="T72" i="32"/>
  <c r="U10" i="32"/>
  <c r="Q15" i="32"/>
  <c r="O20" i="32"/>
  <c r="S23" i="32"/>
  <c r="V57" i="32"/>
  <c r="T60" i="32"/>
  <c r="M63" i="32"/>
  <c r="P20" i="32"/>
  <c r="T23" i="32"/>
  <c r="L25" i="32"/>
  <c r="K28" i="32"/>
  <c r="R31" i="32"/>
  <c r="U37" i="32"/>
  <c r="R43" i="32"/>
  <c r="U46" i="32"/>
  <c r="M49" i="32"/>
  <c r="U53" i="32"/>
  <c r="T13" i="32"/>
  <c r="V43" i="32"/>
  <c r="V46" i="32"/>
  <c r="P49" i="32"/>
  <c r="P63" i="32"/>
  <c r="U77" i="32"/>
  <c r="S74" i="32"/>
  <c r="S52" i="32"/>
  <c r="P47" i="32"/>
  <c r="Q26" i="32"/>
  <c r="S12" i="32"/>
  <c r="L83" i="32"/>
  <c r="O80" i="32"/>
  <c r="T77" i="32"/>
  <c r="R74" i="32"/>
  <c r="T33" i="32"/>
  <c r="P26" i="32"/>
  <c r="V24" i="32"/>
  <c r="N80" i="32"/>
  <c r="S77" i="32"/>
  <c r="O74" i="32"/>
  <c r="R71" i="32"/>
  <c r="V45" i="32"/>
  <c r="M35" i="32"/>
  <c r="M80" i="32"/>
  <c r="P77" i="32"/>
  <c r="N74" i="32"/>
  <c r="P71" i="32"/>
  <c r="L68" i="32"/>
  <c r="L60" i="32"/>
  <c r="T24" i="32"/>
  <c r="P39" i="32"/>
  <c r="R22" i="32"/>
  <c r="U18" i="32"/>
  <c r="U16" i="32"/>
  <c r="M12" i="32"/>
  <c r="S41" i="32"/>
  <c r="O34" i="32"/>
  <c r="Q51" i="32"/>
  <c r="U44" i="32"/>
  <c r="R41" i="32"/>
  <c r="L36" i="32"/>
  <c r="L34" i="32"/>
  <c r="V32" i="32"/>
  <c r="L27" i="32"/>
  <c r="Q25" i="32"/>
  <c r="P23" i="32"/>
  <c r="V17" i="32"/>
  <c r="S53" i="32"/>
  <c r="U54" i="32"/>
  <c r="K65" i="32"/>
  <c r="S69" i="32"/>
  <c r="U70" i="32"/>
  <c r="K81" i="32"/>
  <c r="M82" i="32"/>
  <c r="O83" i="32"/>
  <c r="Q84" i="32"/>
  <c r="S85" i="32"/>
  <c r="O12" i="32"/>
  <c r="Q13" i="32"/>
  <c r="S14" i="32"/>
  <c r="U15" i="32"/>
  <c r="K26" i="32"/>
  <c r="T31" i="32"/>
  <c r="AA28" i="33"/>
  <c r="AB28" i="33"/>
  <c r="AC28" i="33"/>
  <c r="Z28" i="33"/>
  <c r="AA48" i="33"/>
  <c r="AB48" i="33"/>
  <c r="AC48" i="33"/>
  <c r="AD48" i="33"/>
  <c r="AE48" i="33"/>
  <c r="X65" i="33"/>
  <c r="W24" i="33"/>
  <c r="AC24" i="33"/>
  <c r="X24" i="33"/>
  <c r="AD24" i="33"/>
  <c r="AE24" i="33"/>
  <c r="AB24" i="33"/>
  <c r="AB51" i="33"/>
  <c r="AC51" i="33"/>
  <c r="Y51" i="33"/>
  <c r="Z51" i="33"/>
  <c r="AA51" i="33"/>
  <c r="AD51" i="33"/>
  <c r="X51" i="33"/>
  <c r="AE51" i="33"/>
  <c r="W51" i="33"/>
  <c r="W20" i="33"/>
  <c r="AA82" i="33"/>
  <c r="AD26" i="33"/>
  <c r="W26" i="33"/>
  <c r="X26" i="33"/>
  <c r="Y26" i="33"/>
  <c r="Z26" i="33"/>
  <c r="AA26" i="33"/>
  <c r="AB26" i="33"/>
  <c r="AC26" i="33"/>
  <c r="AE26" i="33"/>
  <c r="W27" i="33"/>
  <c r="AD54" i="33"/>
  <c r="Z82" i="33"/>
  <c r="AB57" i="33"/>
  <c r="Y57" i="33"/>
  <c r="Z57" i="33"/>
  <c r="AA57" i="33"/>
  <c r="AC57" i="33"/>
  <c r="AD57" i="33"/>
  <c r="AE57" i="33"/>
  <c r="X57" i="33"/>
  <c r="W57" i="33"/>
  <c r="W38" i="33"/>
  <c r="X38" i="33"/>
  <c r="AD38" i="33"/>
  <c r="AE38" i="33"/>
  <c r="Y38" i="33"/>
  <c r="Z38" i="33"/>
  <c r="AA38" i="33"/>
  <c r="AB38" i="33"/>
  <c r="AC38" i="33"/>
  <c r="AD55" i="33"/>
  <c r="AE55" i="33"/>
  <c r="Z55" i="33"/>
  <c r="Y82" i="33"/>
  <c r="AC27" i="33"/>
  <c r="W17" i="33"/>
  <c r="AA17" i="33"/>
  <c r="AB17" i="33"/>
  <c r="AC17" i="33"/>
  <c r="AD17" i="33"/>
  <c r="AE17" i="33"/>
  <c r="Z54" i="33"/>
  <c r="AB27" i="33"/>
  <c r="Z12" i="33"/>
  <c r="AA12" i="33"/>
  <c r="W12" i="33"/>
  <c r="X12" i="33"/>
  <c r="Y12" i="33"/>
  <c r="AB12" i="33"/>
  <c r="AC12" i="33"/>
  <c r="AD12" i="33"/>
  <c r="AE12" i="33"/>
  <c r="AE36" i="33"/>
  <c r="AD18" i="33"/>
  <c r="AB69" i="33"/>
  <c r="AA27" i="33"/>
  <c r="Z50" i="33"/>
  <c r="AA50" i="33"/>
  <c r="W50" i="33"/>
  <c r="AD50" i="33"/>
  <c r="AC50" i="33"/>
  <c r="AB50" i="33"/>
  <c r="X50" i="33"/>
  <c r="AE50" i="33"/>
  <c r="Y50" i="33"/>
  <c r="AD52" i="33"/>
  <c r="AE52" i="33"/>
  <c r="W52" i="33"/>
  <c r="X52" i="33"/>
  <c r="AC52" i="33"/>
  <c r="AB52" i="33"/>
  <c r="Y52" i="33"/>
  <c r="Z52" i="33"/>
  <c r="AA52" i="33"/>
  <c r="AD64" i="33"/>
  <c r="AD82" i="33"/>
  <c r="AE72" i="33"/>
  <c r="Z27" i="33"/>
  <c r="AC54" i="33"/>
  <c r="W11" i="33"/>
  <c r="X11" i="33"/>
  <c r="Y11" i="33"/>
  <c r="Z11" i="33"/>
  <c r="AA11" i="33"/>
  <c r="Z48" i="33"/>
  <c r="AB18" i="33"/>
  <c r="Z34" i="33"/>
  <c r="AA34" i="33"/>
  <c r="Y34" i="33"/>
  <c r="AB34" i="33"/>
  <c r="AC34" i="33"/>
  <c r="AD34" i="33"/>
  <c r="W34" i="33"/>
  <c r="X34" i="33"/>
  <c r="AE34" i="33"/>
  <c r="AC80" i="33"/>
  <c r="X56" i="33"/>
  <c r="AE69" i="33"/>
  <c r="AC33" i="33"/>
  <c r="W56" i="33"/>
  <c r="AA64" i="33"/>
  <c r="AE23" i="33"/>
  <c r="Z10" i="33"/>
  <c r="AA10" i="33"/>
  <c r="AD10" i="33"/>
  <c r="AC10" i="33"/>
  <c r="AE10" i="33"/>
  <c r="AB10" i="33"/>
  <c r="W10" i="33"/>
  <c r="X10" i="33"/>
  <c r="Y10" i="33"/>
  <c r="Y48" i="33"/>
  <c r="AA18" i="33"/>
  <c r="AB75" i="33"/>
  <c r="AA56" i="33"/>
  <c r="X69" i="33"/>
  <c r="AB33" i="33"/>
  <c r="AD56" i="33"/>
  <c r="AC72" i="33"/>
  <c r="AD23" i="33"/>
  <c r="Y43" i="33"/>
  <c r="Z43" i="33"/>
  <c r="AA43" i="33"/>
  <c r="AB43" i="33"/>
  <c r="AE43" i="33"/>
  <c r="X43" i="33"/>
  <c r="AD43" i="33"/>
  <c r="W43" i="33"/>
  <c r="AC43" i="33"/>
  <c r="X48" i="33"/>
  <c r="AA75" i="33"/>
  <c r="AE11" i="33"/>
  <c r="W69" i="33"/>
  <c r="AA33" i="33"/>
  <c r="AB68" i="33"/>
  <c r="AC56" i="33"/>
  <c r="AC23" i="33"/>
  <c r="AD37" i="33"/>
  <c r="Z83" i="33"/>
  <c r="W83" i="33"/>
  <c r="AD83" i="33"/>
  <c r="X83" i="33"/>
  <c r="AA83" i="33"/>
  <c r="Y83" i="33"/>
  <c r="W48" i="33"/>
  <c r="AD11" i="33"/>
  <c r="AE77" i="33"/>
  <c r="AA68" i="33"/>
  <c r="AB56" i="33"/>
  <c r="AD27" i="33"/>
  <c r="AB23" i="33"/>
  <c r="AE30" i="33"/>
  <c r="AC30" i="33"/>
  <c r="AB30" i="33"/>
  <c r="AA30" i="33"/>
  <c r="X47" i="33"/>
  <c r="AC47" i="33"/>
  <c r="AE47" i="33"/>
  <c r="W47" i="33"/>
  <c r="AD47" i="33"/>
  <c r="AD25" i="33"/>
  <c r="AD75" i="33"/>
  <c r="X15" i="33"/>
  <c r="W54" i="33"/>
  <c r="Z30" i="33"/>
  <c r="W45" i="33"/>
  <c r="Z19" i="33"/>
  <c r="Y56" i="33"/>
  <c r="AA47" i="33"/>
  <c r="AE20" i="33"/>
  <c r="AA76" i="33"/>
  <c r="AB36" i="33"/>
  <c r="AA36" i="33"/>
  <c r="AC36" i="33"/>
  <c r="Z36" i="33"/>
  <c r="W36" i="33"/>
  <c r="X36" i="33"/>
  <c r="Y36" i="33"/>
  <c r="Y33" i="33"/>
  <c r="W29" i="33"/>
  <c r="X29" i="33"/>
  <c r="Y29" i="33"/>
  <c r="Z29" i="33"/>
  <c r="AA29" i="33"/>
  <c r="AB29" i="33"/>
  <c r="AC29" i="33"/>
  <c r="AD29" i="33"/>
  <c r="AA70" i="33"/>
  <c r="AC59" i="33"/>
  <c r="Y37" i="33"/>
  <c r="Y70" i="33"/>
  <c r="AD65" i="33"/>
  <c r="AB72" i="33"/>
  <c r="AD78" i="33"/>
  <c r="AB11" i="33"/>
  <c r="AE28" i="33"/>
  <c r="AE82" i="33"/>
  <c r="W53" i="33"/>
  <c r="AE25" i="33"/>
  <c r="Y27" i="33"/>
  <c r="AD45" i="33"/>
  <c r="AE45" i="33"/>
  <c r="Y25" i="33"/>
  <c r="Z25" i="33"/>
  <c r="AA25" i="33"/>
  <c r="AC25" i="33"/>
  <c r="W25" i="33"/>
  <c r="X25" i="33"/>
  <c r="AD85" i="33"/>
  <c r="AE85" i="33"/>
  <c r="AA85" i="33"/>
  <c r="AB85" i="33"/>
  <c r="AC85" i="33"/>
  <c r="X85" i="33"/>
  <c r="W85" i="33"/>
  <c r="Y85" i="33"/>
  <c r="Z85" i="33"/>
  <c r="AE16" i="33"/>
  <c r="AE61" i="33"/>
  <c r="Y30" i="33"/>
  <c r="Y19" i="33"/>
  <c r="Z47" i="33"/>
  <c r="AD20" i="33"/>
  <c r="W77" i="33"/>
  <c r="AB77" i="33"/>
  <c r="AA37" i="33"/>
  <c r="Z77" i="33"/>
  <c r="AC68" i="33"/>
  <c r="AC66" i="33"/>
  <c r="AB66" i="33"/>
  <c r="AD66" i="33"/>
  <c r="Y66" i="33"/>
  <c r="AE66" i="33"/>
  <c r="AA77" i="33"/>
  <c r="Z80" i="33"/>
  <c r="AC78" i="33"/>
  <c r="AA24" i="33"/>
  <c r="AE59" i="33"/>
  <c r="AA59" i="33"/>
  <c r="W59" i="33"/>
  <c r="Y59" i="33"/>
  <c r="Z59" i="33"/>
  <c r="X59" i="33"/>
  <c r="W70" i="33"/>
  <c r="X70" i="33"/>
  <c r="AC70" i="33"/>
  <c r="AE70" i="33"/>
  <c r="AD70" i="33"/>
  <c r="AB70" i="33"/>
  <c r="X76" i="33"/>
  <c r="AB83" i="33"/>
  <c r="AB73" i="33"/>
  <c r="AA73" i="33"/>
  <c r="AC73" i="33"/>
  <c r="AD73" i="33"/>
  <c r="AE73" i="33"/>
  <c r="W73" i="33"/>
  <c r="Y73" i="33"/>
  <c r="X73" i="33"/>
  <c r="Z73" i="33"/>
  <c r="Y45" i="33"/>
  <c r="AE39" i="33"/>
  <c r="X45" i="33"/>
  <c r="X44" i="33"/>
  <c r="Y44" i="33"/>
  <c r="AC44" i="33"/>
  <c r="AD44" i="33"/>
  <c r="Z44" i="33"/>
  <c r="AA44" i="33"/>
  <c r="W44" i="33"/>
  <c r="AB44" i="33"/>
  <c r="X35" i="33"/>
  <c r="AD16" i="33"/>
  <c r="X19" i="33"/>
  <c r="Y47" i="33"/>
  <c r="Z39" i="33"/>
  <c r="Y69" i="33"/>
  <c r="AA46" i="33"/>
  <c r="AB46" i="33"/>
  <c r="W46" i="33"/>
  <c r="AE46" i="33"/>
  <c r="AD46" i="33"/>
  <c r="X46" i="33"/>
  <c r="Y46" i="33"/>
  <c r="Z46" i="33"/>
  <c r="AC46" i="33"/>
  <c r="Z68" i="33"/>
  <c r="X23" i="33"/>
  <c r="Z37" i="33"/>
  <c r="AD74" i="33"/>
  <c r="W74" i="33"/>
  <c r="AC74" i="33"/>
  <c r="Y74" i="33"/>
  <c r="AB74" i="33"/>
  <c r="X74" i="33"/>
  <c r="Z74" i="33"/>
  <c r="AA74" i="33"/>
  <c r="AE74" i="33"/>
  <c r="W63" i="33"/>
  <c r="X63" i="33"/>
  <c r="AD63" i="33"/>
  <c r="AE63" i="33"/>
  <c r="X37" i="33"/>
  <c r="AB64" i="33"/>
  <c r="AB67" i="33"/>
  <c r="AC67" i="33"/>
  <c r="X67" i="33"/>
  <c r="Y67" i="33"/>
  <c r="W67" i="33"/>
  <c r="AD67" i="33"/>
  <c r="Z67" i="33"/>
  <c r="AA67" i="33"/>
  <c r="AE67" i="33"/>
  <c r="Z76" i="33"/>
  <c r="Z61" i="33"/>
  <c r="W61" i="33"/>
  <c r="X61" i="33"/>
  <c r="Y61" i="33"/>
  <c r="AA45" i="33"/>
  <c r="X80" i="33"/>
  <c r="AB20" i="33"/>
  <c r="AD58" i="33"/>
  <c r="W58" i="33"/>
  <c r="Y58" i="33"/>
  <c r="X58" i="33"/>
  <c r="Z58" i="33"/>
  <c r="AA58" i="33"/>
  <c r="AB58" i="33"/>
  <c r="AC58" i="33"/>
  <c r="AE58" i="33"/>
  <c r="Z24" i="33"/>
  <c r="Z20" i="33"/>
  <c r="AA15" i="33"/>
  <c r="AB15" i="33"/>
  <c r="AE15" i="33"/>
  <c r="AC15" i="33"/>
  <c r="Z15" i="33"/>
  <c r="Y15" i="33"/>
  <c r="AD15" i="33"/>
  <c r="X79" i="33"/>
  <c r="AA79" i="33"/>
  <c r="Z79" i="33"/>
  <c r="Y79" i="33"/>
  <c r="AC79" i="33"/>
  <c r="W79" i="33"/>
  <c r="AB79" i="33"/>
  <c r="W32" i="33"/>
  <c r="AC32" i="33"/>
  <c r="AD32" i="33"/>
  <c r="AB32" i="33"/>
  <c r="AE32" i="33"/>
  <c r="X32" i="33"/>
  <c r="Y32" i="33"/>
  <c r="Z32" i="33"/>
  <c r="AA32" i="33"/>
  <c r="W13" i="33"/>
  <c r="X13" i="33"/>
  <c r="Y13" i="33"/>
  <c r="Z13" i="33"/>
  <c r="AA13" i="33"/>
  <c r="AB13" i="33"/>
  <c r="AC13" i="33"/>
  <c r="AD13" i="33"/>
  <c r="AE13" i="33"/>
  <c r="X81" i="33"/>
  <c r="Y81" i="33"/>
  <c r="AD81" i="33"/>
  <c r="AE81" i="33"/>
  <c r="AB81" i="33"/>
  <c r="AC81" i="33"/>
  <c r="W81" i="33"/>
  <c r="Z81" i="33"/>
  <c r="AA81" i="33"/>
  <c r="AD39" i="33"/>
  <c r="AC16" i="33"/>
  <c r="AA61" i="33"/>
  <c r="W19" i="33"/>
  <c r="Y72" i="33"/>
  <c r="Y39" i="33"/>
  <c r="X27" i="33"/>
  <c r="Y68" i="33"/>
  <c r="X68" i="33"/>
  <c r="Z75" i="33"/>
  <c r="W75" i="33"/>
  <c r="Y75" i="33"/>
  <c r="X75" i="33"/>
  <c r="Y77" i="33"/>
  <c r="AD59" i="33"/>
  <c r="AD80" i="33"/>
  <c r="AC64" i="33"/>
  <c r="AB80" i="33"/>
  <c r="X28" i="33"/>
  <c r="Y54" i="33"/>
  <c r="Y80" i="33"/>
  <c r="AD30" i="33"/>
  <c r="Y76" i="33"/>
  <c r="X17" i="33"/>
  <c r="X60" i="33"/>
  <c r="Y60" i="33"/>
  <c r="W60" i="33"/>
  <c r="Z60" i="33"/>
  <c r="AA60" i="33"/>
  <c r="AB60" i="33"/>
  <c r="AD60" i="33"/>
  <c r="AE60" i="33"/>
  <c r="AC60" i="33"/>
  <c r="AD42" i="33"/>
  <c r="AB42" i="33"/>
  <c r="AC42" i="33"/>
  <c r="AE42" i="33"/>
  <c r="W42" i="33"/>
  <c r="Z42" i="33"/>
  <c r="X42" i="33"/>
  <c r="AA42" i="33"/>
  <c r="Y42" i="33"/>
  <c r="AE35" i="33"/>
  <c r="AA35" i="33"/>
  <c r="AD35" i="33"/>
  <c r="Y35" i="33"/>
  <c r="Z35" i="33"/>
  <c r="AC35" i="33"/>
  <c r="AB16" i="33"/>
  <c r="AD61" i="33"/>
  <c r="AC19" i="33"/>
  <c r="X72" i="33"/>
  <c r="Y62" i="33"/>
  <c r="W39" i="33"/>
  <c r="X54" i="33"/>
  <c r="AD72" i="33"/>
  <c r="Y63" i="33"/>
  <c r="W28" i="33"/>
  <c r="Z63" i="33"/>
  <c r="W80" i="33"/>
  <c r="AD28" i="33"/>
  <c r="AB35" i="33"/>
  <c r="AD79" i="33"/>
  <c r="AA16" i="33"/>
  <c r="AC61" i="33"/>
  <c r="AD19" i="33"/>
  <c r="AC39" i="33"/>
  <c r="AB76" i="33"/>
  <c r="AC76" i="33"/>
  <c r="AD76" i="33"/>
  <c r="Z22" i="33"/>
  <c r="AE22" i="33"/>
  <c r="AA22" i="33"/>
  <c r="AB22" i="33"/>
  <c r="AC22" i="33"/>
  <c r="AD22" i="33"/>
  <c r="W22" i="33"/>
  <c r="X22" i="33"/>
  <c r="Y22" i="33"/>
  <c r="AA62" i="33"/>
  <c r="AD62" i="33"/>
  <c r="AB62" i="33"/>
  <c r="AC62" i="33"/>
  <c r="Z62" i="33"/>
  <c r="AE62" i="33"/>
  <c r="AA80" i="33"/>
  <c r="Y28" i="33"/>
  <c r="W18" i="33"/>
  <c r="X18" i="33"/>
  <c r="Y18" i="33"/>
  <c r="AE18" i="33"/>
  <c r="Z17" i="33"/>
  <c r="AA69" i="33"/>
  <c r="Y24" i="33"/>
  <c r="AA20" i="33"/>
  <c r="AE76" i="33"/>
  <c r="Y31" i="33"/>
  <c r="Z31" i="33"/>
  <c r="W31" i="33"/>
  <c r="X31" i="33"/>
  <c r="AA31" i="33"/>
  <c r="AB31" i="33"/>
  <c r="AC31" i="33"/>
  <c r="AD31" i="33"/>
  <c r="AE31" i="33"/>
  <c r="AD33" i="33"/>
  <c r="AE33" i="33"/>
  <c r="AA40" i="33"/>
  <c r="AE40" i="33"/>
  <c r="AB40" i="33"/>
  <c r="AC40" i="33"/>
  <c r="AD40" i="33"/>
  <c r="W40" i="33"/>
  <c r="X40" i="33"/>
  <c r="Y40" i="33"/>
  <c r="AE53" i="33"/>
  <c r="Z16" i="33"/>
  <c r="W82" i="33"/>
  <c r="AB19" i="33"/>
  <c r="W62" i="33"/>
  <c r="AB39" i="33"/>
  <c r="Y78" i="33"/>
  <c r="Z78" i="33"/>
  <c r="AB78" i="33"/>
  <c r="X78" i="33"/>
  <c r="AA78" i="33"/>
  <c r="Z14" i="33"/>
  <c r="AA14" i="33"/>
  <c r="AB14" i="33"/>
  <c r="AC14" i="33"/>
  <c r="X14" i="33"/>
  <c r="Y14" i="33"/>
  <c r="AD14" i="33"/>
  <c r="AE14" i="33"/>
  <c r="W14" i="33"/>
  <c r="AE78" i="33"/>
  <c r="AA65" i="33"/>
  <c r="Z65" i="33"/>
  <c r="W65" i="33"/>
  <c r="X82" i="33"/>
  <c r="Y17" i="33"/>
  <c r="AE21" i="33"/>
  <c r="Z21" i="33"/>
  <c r="AA21" i="33"/>
  <c r="AB21" i="33"/>
  <c r="AC21" i="33"/>
  <c r="AD21" i="33"/>
  <c r="Y21" i="33"/>
  <c r="W21" i="33"/>
  <c r="X21" i="33"/>
  <c r="AE19" i="33"/>
  <c r="AB65" i="33"/>
  <c r="Y65" i="33"/>
  <c r="AD53" i="33"/>
  <c r="AB84" i="33"/>
  <c r="L28" i="32"/>
  <c r="K63" i="32"/>
  <c r="L65" i="32"/>
  <c r="O10" i="32"/>
  <c r="R40" i="32"/>
  <c r="S43" i="32"/>
  <c r="P44" i="32"/>
  <c r="M11" i="32"/>
  <c r="S25" i="32"/>
  <c r="N47" i="32"/>
  <c r="M57" i="32"/>
  <c r="M25" i="32"/>
  <c r="N60" i="32"/>
  <c r="S24" i="32"/>
  <c r="U82" i="32"/>
  <c r="L39" i="32"/>
  <c r="N42" i="32"/>
  <c r="N43" i="32"/>
  <c r="R20" i="32"/>
  <c r="O27" i="32"/>
  <c r="P50" i="32"/>
  <c r="K62" i="32"/>
  <c r="U23" i="32"/>
  <c r="U57" i="32"/>
  <c r="O11" i="32"/>
  <c r="P81" i="32"/>
  <c r="Q34" i="32"/>
  <c r="V37" i="32"/>
  <c r="L42" i="32"/>
  <c r="P19" i="32"/>
  <c r="P52" i="32"/>
  <c r="N65" i="32"/>
  <c r="S20" i="32"/>
  <c r="N56" i="32"/>
  <c r="R14" i="32"/>
  <c r="K80" i="32"/>
  <c r="Q28" i="32"/>
  <c r="O36" i="32"/>
  <c r="V31" i="32"/>
  <c r="N18" i="32"/>
  <c r="K57" i="32"/>
  <c r="O68" i="32"/>
  <c r="S15" i="32"/>
  <c r="O43" i="32"/>
  <c r="L11" i="32"/>
  <c r="U75" i="32"/>
  <c r="V23" i="32"/>
  <c r="O30" i="32"/>
  <c r="N27" i="32"/>
  <c r="L17" i="32"/>
  <c r="M68" i="32"/>
  <c r="U71" i="32"/>
  <c r="K20" i="32"/>
  <c r="N26" i="32"/>
  <c r="N53" i="32"/>
  <c r="O60" i="32"/>
  <c r="U50" i="32"/>
  <c r="O63" i="32"/>
  <c r="M59" i="32"/>
  <c r="S57" i="32"/>
  <c r="M71" i="32"/>
  <c r="L43" i="32"/>
  <c r="P10" i="32"/>
  <c r="N10" i="32"/>
  <c r="P56" i="32"/>
  <c r="M30" i="32"/>
  <c r="U47" i="32"/>
  <c r="U38" i="32"/>
  <c r="M47" i="32"/>
  <c r="R15" i="32"/>
  <c r="N21" i="32"/>
  <c r="Q50" i="32"/>
  <c r="Q61" i="32"/>
  <c r="Q35" i="32"/>
  <c r="S16" i="32"/>
  <c r="L23" i="32"/>
  <c r="O51" i="32"/>
  <c r="K75" i="32"/>
  <c r="L15" i="32"/>
  <c r="L35" i="32"/>
  <c r="M46" i="32"/>
  <c r="T11" i="32"/>
  <c r="K49" i="32"/>
  <c r="K67" i="32"/>
  <c r="S40" i="32"/>
  <c r="V82" i="32"/>
  <c r="K21" i="32"/>
  <c r="K55" i="32"/>
  <c r="R25" i="32"/>
  <c r="S46" i="32"/>
  <c r="S37" i="32"/>
  <c r="L56" i="32"/>
  <c r="R24" i="32"/>
  <c r="Q52" i="32"/>
  <c r="M79" i="32"/>
  <c r="Q16" i="32"/>
  <c r="R37" i="32"/>
  <c r="R33" i="32"/>
  <c r="N15" i="32"/>
  <c r="M36" i="32"/>
  <c r="M50" i="32"/>
  <c r="U72" i="32"/>
  <c r="V11" i="32"/>
  <c r="S31" i="32"/>
  <c r="K58" i="32"/>
  <c r="U45" i="32"/>
  <c r="U64" i="32"/>
  <c r="O37" i="32"/>
  <c r="Q53" i="32"/>
  <c r="U17" i="32"/>
  <c r="T50" i="32"/>
  <c r="N24" i="32"/>
  <c r="Q45" i="32"/>
  <c r="K17" i="32"/>
  <c r="U55" i="32"/>
  <c r="L14" i="32"/>
  <c r="N19" i="32"/>
  <c r="U21" i="32"/>
  <c r="L32" i="32"/>
  <c r="P38" i="32"/>
  <c r="N40" i="32"/>
  <c r="P59" i="32"/>
  <c r="N61" i="32"/>
  <c r="T66" i="32"/>
  <c r="P68" i="32"/>
  <c r="Q73" i="32"/>
  <c r="Q78" i="32"/>
  <c r="L85" i="32"/>
  <c r="U61" i="32"/>
  <c r="K44" i="32"/>
  <c r="U59" i="32"/>
  <c r="V85" i="32"/>
  <c r="Q17" i="32"/>
  <c r="V30" i="32"/>
  <c r="M44" i="32"/>
  <c r="N54" i="32"/>
  <c r="T63" i="32"/>
  <c r="L82" i="32"/>
  <c r="S17" i="32"/>
  <c r="M14" i="32"/>
  <c r="Q19" i="32"/>
  <c r="V21" i="32"/>
  <c r="M26" i="32"/>
  <c r="N32" i="32"/>
  <c r="Q38" i="32"/>
  <c r="O40" i="32"/>
  <c r="Q42" i="32"/>
  <c r="Q59" i="32"/>
  <c r="O61" i="32"/>
  <c r="U66" i="32"/>
  <c r="S68" i="32"/>
  <c r="R73" i="32"/>
  <c r="R78" i="32"/>
  <c r="N85" i="32"/>
  <c r="N14" i="32"/>
  <c r="S73" i="32"/>
  <c r="S80" i="32"/>
  <c r="R85" i="32"/>
  <c r="U26" i="32"/>
  <c r="T28" i="32"/>
  <c r="R32" i="32"/>
  <c r="O48" i="32"/>
  <c r="R63" i="32"/>
  <c r="V73" i="32"/>
  <c r="L44" i="32"/>
  <c r="P70" i="32"/>
  <c r="T52" i="32"/>
  <c r="R48" i="32"/>
  <c r="K56" i="32"/>
  <c r="O65" i="32"/>
  <c r="K72" i="32"/>
  <c r="N82" i="32"/>
  <c r="R19" i="32"/>
  <c r="R26" i="32"/>
  <c r="M28" i="32"/>
  <c r="K30" i="32"/>
  <c r="O32" i="32"/>
  <c r="K34" i="32"/>
  <c r="R38" i="32"/>
  <c r="P40" i="32"/>
  <c r="R42" i="32"/>
  <c r="L48" i="32"/>
  <c r="R59" i="32"/>
  <c r="S61" i="32"/>
  <c r="T68" i="32"/>
  <c r="V78" i="32"/>
  <c r="Q80" i="32"/>
  <c r="O85" i="32"/>
  <c r="M70" i="32"/>
  <c r="P75" i="32"/>
  <c r="R30" i="32"/>
  <c r="U42" i="32"/>
  <c r="L54" i="32"/>
  <c r="R75" i="32"/>
  <c r="U80" i="32"/>
  <c r="U30" i="32"/>
  <c r="V42" i="32"/>
  <c r="P48" i="32"/>
  <c r="M54" i="32"/>
  <c r="S63" i="32"/>
  <c r="K82" i="32"/>
  <c r="Q48" i="32"/>
  <c r="T75" i="32"/>
  <c r="R17" i="32"/>
  <c r="U52" i="32"/>
  <c r="O14" i="32"/>
  <c r="M17" i="32"/>
  <c r="T19" i="32"/>
  <c r="S26" i="32"/>
  <c r="N28" i="32"/>
  <c r="L30" i="32"/>
  <c r="P32" i="32"/>
  <c r="P34" i="32"/>
  <c r="S38" i="32"/>
  <c r="Q40" i="32"/>
  <c r="S42" i="32"/>
  <c r="M48" i="32"/>
  <c r="S59" i="32"/>
  <c r="T61" i="32"/>
  <c r="K70" i="32"/>
  <c r="T73" i="32"/>
  <c r="O75" i="32"/>
  <c r="R80" i="32"/>
  <c r="Q85" i="32"/>
  <c r="T59" i="32"/>
  <c r="O17" i="32"/>
  <c r="N70" i="32"/>
  <c r="P17" i="32"/>
  <c r="M24" i="32"/>
  <c r="S32" i="32"/>
  <c r="K52" i="32"/>
  <c r="S75" i="32"/>
  <c r="O24" i="32"/>
  <c r="T32" i="32"/>
  <c r="Q70" i="32"/>
  <c r="U32" i="32"/>
  <c r="N44" i="32"/>
  <c r="O54" i="32"/>
  <c r="R70" i="32"/>
  <c r="Q14" i="32"/>
  <c r="N17" i="32"/>
  <c r="K24" i="32"/>
  <c r="T26" i="32"/>
  <c r="S28" i="32"/>
  <c r="N30" i="32"/>
  <c r="Q32" i="32"/>
  <c r="T38" i="32"/>
  <c r="T42" i="32"/>
  <c r="K46" i="32"/>
  <c r="N48" i="32"/>
  <c r="Q63" i="32"/>
  <c r="U73" i="32"/>
  <c r="L24" i="32"/>
  <c r="N25" i="32"/>
  <c r="V27" i="32"/>
  <c r="L29" i="32"/>
  <c r="M31" i="32"/>
  <c r="U35" i="32"/>
  <c r="M37" i="32"/>
  <c r="U39" i="32"/>
  <c r="V41" i="32"/>
  <c r="K47" i="32"/>
  <c r="N62" i="32"/>
  <c r="V67" i="32"/>
  <c r="N69" i="32"/>
  <c r="M74" i="32"/>
  <c r="R79" i="32"/>
  <c r="M81" i="32"/>
  <c r="T84" i="32"/>
  <c r="L18" i="32"/>
  <c r="O25" i="32"/>
  <c r="M29" i="32"/>
  <c r="N31" i="32"/>
  <c r="V35" i="32"/>
  <c r="N37" i="32"/>
  <c r="V39" i="32"/>
  <c r="L47" i="32"/>
  <c r="O62" i="32"/>
  <c r="O69" i="32"/>
  <c r="T74" i="32"/>
  <c r="S79" i="32"/>
  <c r="N81" i="32"/>
  <c r="U84" i="32"/>
  <c r="R18" i="32"/>
  <c r="P25" i="32"/>
  <c r="N29" i="32"/>
  <c r="M33" i="32"/>
  <c r="R47" i="32"/>
  <c r="P62" i="32"/>
  <c r="P69" i="32"/>
  <c r="U74" i="32"/>
  <c r="T79" i="32"/>
  <c r="R81" i="32"/>
  <c r="S18" i="32"/>
  <c r="O29" i="32"/>
  <c r="N33" i="32"/>
  <c r="K43" i="32"/>
  <c r="N45" i="32"/>
  <c r="S47" i="32"/>
  <c r="Q62" i="32"/>
  <c r="K64" i="32"/>
  <c r="Q69" i="32"/>
  <c r="V74" i="32"/>
  <c r="K76" i="32"/>
  <c r="S81" i="32"/>
  <c r="K13" i="32"/>
  <c r="T18" i="32"/>
  <c r="P29" i="32"/>
  <c r="V33" i="32"/>
  <c r="O45" i="32"/>
  <c r="T47" i="32"/>
  <c r="K51" i="32"/>
  <c r="R62" i="32"/>
  <c r="L64" i="32"/>
  <c r="R69" i="32"/>
  <c r="L76" i="32"/>
  <c r="T81" i="32"/>
  <c r="M13" i="32"/>
  <c r="S29" i="32"/>
  <c r="P45" i="32"/>
  <c r="Q49" i="32"/>
  <c r="L51" i="32"/>
  <c r="L55" i="32"/>
  <c r="U62" i="32"/>
  <c r="M64" i="32"/>
  <c r="T69" i="32"/>
  <c r="M76" i="32"/>
  <c r="U81" i="32"/>
  <c r="V13" i="32"/>
  <c r="M23" i="32"/>
  <c r="T29" i="32"/>
  <c r="S45" i="32"/>
  <c r="R49" i="32"/>
  <c r="M51" i="32"/>
  <c r="K53" i="32"/>
  <c r="M55" i="32"/>
  <c r="N64" i="32"/>
  <c r="U69" i="32"/>
  <c r="O71" i="32"/>
  <c r="N76" i="32"/>
  <c r="V81" i="32"/>
  <c r="K11" i="32"/>
  <c r="K16" i="32"/>
  <c r="N23" i="32"/>
  <c r="U29" i="32"/>
  <c r="T45" i="32"/>
  <c r="S49" i="32"/>
  <c r="N51" i="32"/>
  <c r="M53" i="32"/>
  <c r="N55" i="32"/>
  <c r="Q64" i="32"/>
  <c r="V71" i="32"/>
  <c r="Q76" i="32"/>
  <c r="R11" i="32"/>
  <c r="L16" i="32"/>
  <c r="O23" i="32"/>
  <c r="V29" i="32"/>
  <c r="T49" i="32"/>
  <c r="S51" i="32"/>
  <c r="O55" i="32"/>
  <c r="N66" i="32"/>
  <c r="R76" i="32"/>
  <c r="S11" i="32"/>
  <c r="O16" i="32"/>
  <c r="U49" i="32"/>
  <c r="T51" i="32"/>
  <c r="P55" i="32"/>
  <c r="N57" i="32"/>
  <c r="O66" i="32"/>
  <c r="S76" i="32"/>
  <c r="K78" i="32"/>
  <c r="Q83" i="32"/>
  <c r="P16" i="32"/>
  <c r="L21" i="32"/>
  <c r="K36" i="32"/>
  <c r="V49" i="32"/>
  <c r="U51" i="32"/>
  <c r="Q55" i="32"/>
  <c r="O57" i="32"/>
  <c r="P66" i="32"/>
  <c r="U76" i="32"/>
  <c r="L78" i="32"/>
  <c r="R83" i="32"/>
  <c r="T16" i="32"/>
  <c r="K19" i="32"/>
  <c r="M21" i="32"/>
  <c r="T36" i="32"/>
  <c r="K40" i="32"/>
  <c r="R55" i="32"/>
  <c r="Q57" i="32"/>
  <c r="Q66" i="32"/>
  <c r="M73" i="32"/>
  <c r="M78" i="32"/>
  <c r="S83" i="32"/>
  <c r="L19" i="32"/>
  <c r="Q21" i="32"/>
  <c r="U36" i="32"/>
  <c r="M38" i="32"/>
  <c r="L40" i="32"/>
  <c r="S55" i="32"/>
  <c r="R57" i="32"/>
  <c r="R66" i="32"/>
  <c r="O73" i="32"/>
  <c r="N78" i="32"/>
  <c r="T83" i="32"/>
  <c r="K14" i="32"/>
  <c r="M19" i="32"/>
  <c r="R21" i="32"/>
  <c r="V36" i="32"/>
  <c r="N38" i="32"/>
  <c r="M40" i="32"/>
  <c r="T55" i="32"/>
  <c r="O59" i="32"/>
  <c r="K61" i="32"/>
  <c r="S66" i="32"/>
  <c r="K68" i="32"/>
  <c r="P73" i="32"/>
  <c r="O78" i="32"/>
  <c r="U83" i="32"/>
  <c r="K85" i="32"/>
  <c r="V20" i="32"/>
  <c r="P54" i="32"/>
  <c r="K69" i="32"/>
  <c r="N72" i="32"/>
  <c r="S84" i="32"/>
  <c r="M41" i="32"/>
  <c r="Q44" i="32"/>
  <c r="S70" i="32"/>
  <c r="O79" i="32"/>
  <c r="R44" i="32"/>
  <c r="P79" i="32"/>
  <c r="O58" i="32"/>
  <c r="T67" i="32"/>
  <c r="K50" i="32"/>
  <c r="R54" i="32"/>
  <c r="L69" i="32"/>
  <c r="O72" i="32"/>
  <c r="T82" i="32"/>
  <c r="O41" i="32"/>
  <c r="K37" i="32"/>
  <c r="Q41" i="32"/>
  <c r="V70" i="32"/>
  <c r="L77" i="32"/>
  <c r="K12" i="32"/>
  <c r="L50" i="32"/>
  <c r="S54" i="32"/>
  <c r="P72" i="32"/>
  <c r="U12" i="32"/>
  <c r="P82" i="32"/>
  <c r="R82" i="32"/>
  <c r="L41" i="32"/>
  <c r="P41" i="32"/>
  <c r="V52" i="32"/>
  <c r="K22" i="32"/>
  <c r="Q58" i="32"/>
  <c r="R58" i="32"/>
  <c r="M77" i="32"/>
  <c r="L12" i="32"/>
  <c r="N50" i="32"/>
  <c r="T54" i="32"/>
  <c r="Q72" i="32"/>
  <c r="O82" i="32"/>
  <c r="R72" i="32"/>
  <c r="L79" i="32"/>
  <c r="T48" i="32"/>
  <c r="V48" i="32"/>
  <c r="U67" i="32"/>
  <c r="T70" i="32"/>
  <c r="S44" i="32"/>
  <c r="Q79" i="32"/>
  <c r="N67" i="32"/>
  <c r="S67" i="32"/>
  <c r="L22" i="32"/>
  <c r="M22" i="32"/>
  <c r="S58" i="32"/>
  <c r="P65" i="32"/>
  <c r="V77" i="32"/>
  <c r="N22" i="32"/>
  <c r="K39" i="32"/>
  <c r="T58" i="32"/>
  <c r="Q65" i="32"/>
  <c r="O22" i="32"/>
  <c r="M39" i="32"/>
  <c r="V58" i="32"/>
  <c r="R65" i="32"/>
  <c r="N39" i="32"/>
  <c r="S56" i="32"/>
  <c r="L62" i="32"/>
  <c r="S65" i="32"/>
  <c r="K15" i="32"/>
  <c r="S27" i="32"/>
  <c r="O39" i="32"/>
  <c r="T56" i="32"/>
  <c r="M62" i="32"/>
  <c r="T65" i="32"/>
  <c r="T15" i="32"/>
  <c r="T27" i="32"/>
  <c r="S39" i="32"/>
  <c r="U56" i="32"/>
  <c r="V65" i="32"/>
  <c r="U27" i="32"/>
  <c r="T39" i="32"/>
  <c r="V56" i="32"/>
  <c r="K31" i="32"/>
  <c r="S35" i="32"/>
  <c r="L31" i="32"/>
  <c r="T35" i="32"/>
  <c r="K84" i="32"/>
  <c r="M84" i="32"/>
  <c r="L20" i="32"/>
  <c r="N84" i="32"/>
  <c r="T41" i="32"/>
  <c r="T44" i="32"/>
  <c r="M58" i="32"/>
  <c r="P67" i="32"/>
  <c r="Q10" i="32"/>
  <c r="N58" i="32"/>
  <c r="R10" i="32"/>
  <c r="T20" i="32"/>
  <c r="L72" i="32"/>
  <c r="P84" i="32"/>
  <c r="U20" i="32"/>
  <c r="M72" i="32"/>
  <c r="R84" i="32"/>
  <c r="L37" i="32"/>
  <c r="V60" i="32"/>
  <c r="V10" i="32"/>
  <c r="O53" i="32"/>
  <c r="V26" i="32"/>
  <c r="R39" i="32"/>
  <c r="R16" i="32"/>
  <c r="R28" i="32"/>
  <c r="V12" i="32"/>
  <c r="Q24" i="32"/>
  <c r="L49" i="32"/>
  <c r="T30" i="32"/>
  <c r="K42" i="32"/>
  <c r="Q68" i="32"/>
  <c r="V59" i="32"/>
  <c r="U33" i="32"/>
  <c r="R56" i="32"/>
  <c r="M83" i="32"/>
  <c r="V50" i="32"/>
  <c r="Q23" i="32"/>
  <c r="L38" i="32"/>
  <c r="M15" i="32"/>
  <c r="K27" i="32"/>
  <c r="P11" i="32"/>
  <c r="K23" i="32"/>
  <c r="V44" i="32"/>
  <c r="R29" i="32"/>
  <c r="U31" i="32"/>
  <c r="O67" i="32"/>
  <c r="L61" i="32"/>
  <c r="O50" i="32"/>
  <c r="R35" i="32"/>
  <c r="V53" i="32"/>
  <c r="V80" i="32"/>
  <c r="N46" i="32"/>
  <c r="M20" i="32"/>
  <c r="Q33" i="32"/>
  <c r="U11" i="32"/>
  <c r="Q22" i="32"/>
  <c r="U43" i="32"/>
  <c r="V19" i="32"/>
  <c r="Q43" i="32"/>
  <c r="P28" i="32"/>
  <c r="S30" i="32"/>
  <c r="M66" i="32"/>
  <c r="U13" i="32"/>
  <c r="O52" i="32"/>
  <c r="R12" i="32"/>
  <c r="M42" i="32"/>
  <c r="N83" i="32"/>
  <c r="O56" i="32"/>
  <c r="V84" i="32"/>
  <c r="V62" i="32"/>
  <c r="Q81" i="32"/>
  <c r="K66" i="32"/>
  <c r="V69" i="32"/>
  <c r="Q18" i="32"/>
  <c r="T25" i="32"/>
  <c r="L13" i="32"/>
  <c r="S13" i="32"/>
  <c r="K10" i="32"/>
  <c r="Q36" i="32"/>
  <c r="K48" i="32"/>
  <c r="N12" i="32"/>
  <c r="P80" i="32"/>
  <c r="N79" i="32"/>
  <c r="T53" i="32"/>
  <c r="K83" i="32"/>
  <c r="P58" i="32"/>
  <c r="L80" i="32"/>
  <c r="V61" i="32"/>
  <c r="R68" i="32"/>
  <c r="P13" i="32"/>
  <c r="P24" i="32"/>
  <c r="V79" i="32"/>
  <c r="Q12" i="32"/>
  <c r="V38" i="32"/>
  <c r="O35" i="32"/>
  <c r="R51" i="32"/>
  <c r="V16" i="32"/>
  <c r="P83" i="32"/>
  <c r="L75" i="32"/>
  <c r="O46" i="32"/>
  <c r="T80" i="32"/>
  <c r="K54" i="32"/>
  <c r="V75" i="32"/>
  <c r="Q60" i="32"/>
  <c r="L67" i="32"/>
  <c r="T85" i="32"/>
  <c r="U19" i="32"/>
  <c r="T78" i="32"/>
  <c r="M10" i="32"/>
  <c r="T37" i="32"/>
  <c r="M34" i="32"/>
  <c r="M61" i="32"/>
  <c r="V18" i="32"/>
  <c r="N71" i="32"/>
  <c r="P43" i="32"/>
  <c r="K79" i="32"/>
  <c r="P51" i="32"/>
  <c r="Q74" i="32"/>
  <c r="V54" i="32"/>
  <c r="P61" i="32"/>
  <c r="O84" i="32"/>
  <c r="O18" i="32"/>
  <c r="R77" i="32"/>
  <c r="U79" i="32"/>
  <c r="R36" i="32"/>
  <c r="K33" i="32"/>
  <c r="S22" i="32"/>
  <c r="O47" i="32"/>
  <c r="M67" i="32"/>
  <c r="U40" i="32"/>
  <c r="T76" i="32"/>
  <c r="S48" i="32"/>
  <c r="L73" i="32"/>
  <c r="P53" i="32"/>
  <c r="K60" i="32"/>
  <c r="U78" i="32"/>
  <c r="N13" i="32"/>
  <c r="P76" i="32"/>
  <c r="S78" i="32"/>
  <c r="P35" i="32"/>
  <c r="U22" i="32"/>
  <c r="O64" i="32"/>
  <c r="U24" i="32"/>
  <c r="R50" i="32"/>
  <c r="V64" i="32"/>
  <c r="Q37" i="32"/>
  <c r="S72" i="32"/>
  <c r="N41" i="32"/>
  <c r="R67" i="32"/>
  <c r="L52" i="32"/>
  <c r="V55" i="32"/>
  <c r="N77" i="32"/>
  <c r="P85" i="32"/>
  <c r="N75" i="32"/>
  <c r="Q77" i="32"/>
  <c r="N34" i="32"/>
  <c r="S21" i="32"/>
  <c r="S82" i="32"/>
  <c r="O26" i="32"/>
  <c r="R52" i="32"/>
  <c r="T12" i="32"/>
  <c r="N63" i="32"/>
  <c r="T34" i="32"/>
  <c r="K71" i="32"/>
  <c r="O38" i="32"/>
  <c r="L66" i="32"/>
  <c r="P46" i="32"/>
  <c r="Q54" i="32"/>
  <c r="T71" i="32"/>
  <c r="L84" i="32"/>
  <c r="L74" i="32"/>
  <c r="O76" i="32"/>
  <c r="L33" i="32"/>
  <c r="Q20" i="32"/>
  <c r="U85" i="32"/>
  <c r="L57" i="32"/>
  <c r="U60" i="32"/>
  <c r="Q31" i="32"/>
  <c r="U68" i="32"/>
  <c r="N35" i="32"/>
  <c r="R60" i="32"/>
  <c r="K45" i="32"/>
  <c r="L53" i="32"/>
  <c r="O70" i="32"/>
  <c r="P78" i="32"/>
  <c r="V63" i="32"/>
  <c r="M75" i="32"/>
  <c r="V22" i="32"/>
  <c r="M65" i="32"/>
  <c r="O19" i="32"/>
  <c r="Q56" i="32"/>
  <c r="K25" i="32"/>
  <c r="R64" i="32"/>
  <c r="M32" i="32"/>
  <c r="K59" i="32"/>
  <c r="V40" i="32"/>
  <c r="U48" i="32"/>
  <c r="S64" i="32"/>
  <c r="K77" i="32"/>
  <c r="T62" i="32"/>
  <c r="K74" i="32"/>
  <c r="T21" i="32"/>
  <c r="M18" i="32"/>
  <c r="S33" i="32"/>
  <c r="N68" i="32"/>
  <c r="E55" i="30"/>
  <c r="F55" i="30"/>
  <c r="H55" i="30"/>
  <c r="E66" i="30"/>
  <c r="F66" i="30"/>
  <c r="G66" i="30"/>
  <c r="H66" i="30"/>
  <c r="C54" i="30"/>
  <c r="D54" i="30"/>
  <c r="H54" i="30"/>
  <c r="C15" i="30"/>
  <c r="D15" i="30"/>
  <c r="E15" i="30"/>
  <c r="F15" i="30"/>
  <c r="G15" i="30"/>
  <c r="H15" i="30"/>
  <c r="D71" i="30"/>
  <c r="G20" i="30"/>
  <c r="H20" i="30"/>
  <c r="G33" i="30"/>
  <c r="H33" i="30"/>
  <c r="F33" i="30"/>
  <c r="E71" i="30"/>
  <c r="F71" i="30"/>
  <c r="H71" i="30"/>
  <c r="G49" i="30"/>
  <c r="H49" i="30"/>
  <c r="D50" i="30"/>
  <c r="F38" i="30"/>
  <c r="D35" i="30"/>
  <c r="H25" i="30"/>
  <c r="C84" i="30"/>
  <c r="D84" i="30"/>
  <c r="E84" i="30"/>
  <c r="F84" i="30"/>
  <c r="G25" i="30"/>
  <c r="G81" i="30"/>
  <c r="H81" i="30"/>
  <c r="E50" i="30"/>
  <c r="F50" i="30"/>
  <c r="G50" i="30"/>
  <c r="H50" i="30"/>
  <c r="C38" i="30"/>
  <c r="D38" i="30"/>
  <c r="G38" i="30"/>
  <c r="H38" i="30"/>
  <c r="F25" i="30"/>
  <c r="C83" i="30"/>
  <c r="D83" i="30"/>
  <c r="E83" i="30"/>
  <c r="F83" i="30"/>
  <c r="G83" i="30"/>
  <c r="H83" i="30"/>
  <c r="AI5" i="30"/>
  <c r="E25" i="30"/>
  <c r="E32" i="30"/>
  <c r="F32" i="30"/>
  <c r="G32" i="30"/>
  <c r="H32" i="30"/>
  <c r="D25" i="30"/>
  <c r="C67" i="30"/>
  <c r="D67" i="30"/>
  <c r="E67" i="30"/>
  <c r="F67" i="30"/>
  <c r="C79" i="30"/>
  <c r="D79" i="30"/>
  <c r="E79" i="30"/>
  <c r="F79" i="30"/>
  <c r="G79" i="30"/>
  <c r="H79" i="30"/>
  <c r="G72" i="30"/>
  <c r="H72" i="30"/>
  <c r="F72" i="30"/>
  <c r="C25" i="30"/>
  <c r="F49" i="30"/>
  <c r="E64" i="30"/>
  <c r="F64" i="30"/>
  <c r="G64" i="30"/>
  <c r="H64" i="30"/>
  <c r="E23" i="30"/>
  <c r="F23" i="30"/>
  <c r="C47" i="30"/>
  <c r="D47" i="30"/>
  <c r="E47" i="30"/>
  <c r="F47" i="30"/>
  <c r="G47" i="30"/>
  <c r="H47" i="30"/>
  <c r="G40" i="30"/>
  <c r="H40" i="30"/>
  <c r="D65" i="30"/>
  <c r="E36" i="30"/>
  <c r="E16" i="30"/>
  <c r="F16" i="30"/>
  <c r="G16" i="30"/>
  <c r="H16" i="30"/>
  <c r="C70" i="30"/>
  <c r="D70" i="30"/>
  <c r="D36" i="30"/>
  <c r="F24" i="30"/>
  <c r="H68" i="30"/>
  <c r="G65" i="30"/>
  <c r="H65" i="30"/>
  <c r="H51" i="30"/>
  <c r="D48" i="30"/>
  <c r="E24" i="30"/>
  <c r="G68" i="30"/>
  <c r="G51" i="30"/>
  <c r="D24" i="30"/>
  <c r="F68" i="30"/>
  <c r="F51" i="30"/>
  <c r="E48" i="30"/>
  <c r="F48" i="30"/>
  <c r="G48" i="30"/>
  <c r="H48" i="30"/>
  <c r="D80" i="30"/>
  <c r="G73" i="30"/>
  <c r="D68" i="30"/>
  <c r="D51" i="30"/>
  <c r="H39" i="30"/>
  <c r="G22" i="30"/>
  <c r="F17" i="30"/>
  <c r="G24" i="30"/>
  <c r="H24" i="30"/>
  <c r="F56" i="30"/>
  <c r="G39" i="30"/>
  <c r="D34" i="30"/>
  <c r="E17" i="30"/>
  <c r="E80" i="30"/>
  <c r="F80" i="30"/>
  <c r="G80" i="30"/>
  <c r="H80" i="30"/>
  <c r="D17" i="30"/>
  <c r="C31" i="30"/>
  <c r="D31" i="30"/>
  <c r="E31" i="30"/>
  <c r="F31" i="30"/>
  <c r="G31" i="30"/>
  <c r="H31" i="30"/>
  <c r="D56" i="30"/>
  <c r="C22" i="30"/>
  <c r="D22" i="30"/>
  <c r="C63" i="30"/>
  <c r="D63" i="30"/>
  <c r="E63" i="30"/>
  <c r="F63" i="30"/>
  <c r="G63" i="30"/>
  <c r="H63" i="30"/>
  <c r="E39" i="30"/>
  <c r="F39" i="30"/>
  <c r="G17" i="30"/>
  <c r="H17" i="30"/>
  <c r="G56" i="30"/>
  <c r="H56" i="30"/>
  <c r="D46" i="30"/>
  <c r="D30" i="30"/>
  <c r="D14" i="30"/>
  <c r="J4" i="30"/>
  <c r="D68" i="29"/>
  <c r="E68" i="29"/>
  <c r="F68" i="29"/>
  <c r="G68" i="29"/>
  <c r="H68" i="29"/>
  <c r="D39" i="29"/>
  <c r="E39" i="29"/>
  <c r="F39" i="29"/>
  <c r="G39" i="29"/>
  <c r="H39" i="29"/>
  <c r="E81" i="29"/>
  <c r="E69" i="29"/>
  <c r="E40" i="29"/>
  <c r="D81" i="29"/>
  <c r="D69" i="29"/>
  <c r="D64" i="29"/>
  <c r="F57" i="29"/>
  <c r="D40" i="29"/>
  <c r="D16" i="29"/>
  <c r="C69" i="29"/>
  <c r="G67" i="29"/>
  <c r="C40" i="29"/>
  <c r="C79" i="29"/>
  <c r="D79" i="29"/>
  <c r="E79" i="29"/>
  <c r="F79" i="29"/>
  <c r="G79" i="29"/>
  <c r="H79" i="29"/>
  <c r="F72" i="29"/>
  <c r="H24" i="29"/>
  <c r="H25" i="29"/>
  <c r="F41" i="29"/>
  <c r="H34" i="29"/>
  <c r="E24" i="29"/>
  <c r="E17" i="29"/>
  <c r="AI5" i="29"/>
  <c r="E41" i="29"/>
  <c r="G34" i="29"/>
  <c r="D24" i="29"/>
  <c r="D17" i="29"/>
  <c r="E32" i="29"/>
  <c r="F32" i="29"/>
  <c r="G32" i="29"/>
  <c r="H32" i="29"/>
  <c r="C47" i="29"/>
  <c r="D47" i="29"/>
  <c r="E47" i="29"/>
  <c r="F47" i="29"/>
  <c r="G47" i="29"/>
  <c r="H47" i="29"/>
  <c r="G65" i="29"/>
  <c r="H65" i="29"/>
  <c r="F51" i="29"/>
  <c r="E48" i="29"/>
  <c r="F48" i="29"/>
  <c r="G48" i="29"/>
  <c r="H48" i="29"/>
  <c r="D41" i="29"/>
  <c r="F34" i="29"/>
  <c r="C31" i="29"/>
  <c r="D31" i="29"/>
  <c r="E31" i="29"/>
  <c r="F31" i="29"/>
  <c r="G31" i="29"/>
  <c r="H31" i="29"/>
  <c r="C24" i="29"/>
  <c r="E80" i="29"/>
  <c r="F80" i="29"/>
  <c r="G80" i="29"/>
  <c r="H80" i="29"/>
  <c r="C63" i="29"/>
  <c r="D63" i="29"/>
  <c r="E63" i="29"/>
  <c r="F63" i="29"/>
  <c r="G63" i="29"/>
  <c r="H63" i="29"/>
  <c r="C41" i="29"/>
  <c r="G17" i="29"/>
  <c r="H17" i="29"/>
  <c r="H73" i="29"/>
  <c r="H57" i="29"/>
  <c r="G33" i="29"/>
  <c r="H33" i="29"/>
  <c r="H85" i="29"/>
  <c r="G49" i="29"/>
  <c r="H49" i="29"/>
  <c r="G85" i="29"/>
  <c r="H56" i="29"/>
  <c r="C15" i="29"/>
  <c r="D15" i="29"/>
  <c r="E15" i="29"/>
  <c r="F15" i="29"/>
  <c r="G15" i="29"/>
  <c r="H15" i="29"/>
  <c r="G81" i="29"/>
  <c r="H81" i="29"/>
  <c r="E64" i="29"/>
  <c r="F64" i="29"/>
  <c r="G64" i="29"/>
  <c r="H64" i="29"/>
  <c r="E16" i="29"/>
  <c r="F16" i="29"/>
  <c r="G16" i="29"/>
  <c r="H16" i="29"/>
  <c r="G56" i="29"/>
  <c r="E75" i="29"/>
  <c r="E59" i="29"/>
  <c r="E43" i="29"/>
  <c r="C42" i="29"/>
  <c r="F78" i="29"/>
  <c r="D77" i="29"/>
  <c r="F62" i="29"/>
  <c r="D61" i="29"/>
  <c r="F46" i="29"/>
  <c r="D45" i="29"/>
  <c r="F30" i="29"/>
  <c r="D29" i="29"/>
  <c r="F14" i="29"/>
  <c r="D13" i="29"/>
  <c r="C60" i="26"/>
  <c r="G60" i="26"/>
  <c r="F60" i="26"/>
  <c r="H60" i="26"/>
  <c r="E60" i="26"/>
  <c r="G25" i="26"/>
  <c r="F25" i="26"/>
  <c r="E25" i="26"/>
  <c r="F41" i="26"/>
  <c r="G57" i="26"/>
  <c r="F57" i="26"/>
  <c r="F17" i="26"/>
  <c r="E57" i="26"/>
  <c r="AI5" i="26"/>
  <c r="M4" i="26"/>
  <c r="E41" i="26"/>
  <c r="E56" i="26"/>
  <c r="H12" i="26"/>
  <c r="F12" i="26"/>
  <c r="G12" i="26"/>
  <c r="D11" i="26"/>
  <c r="E40" i="26"/>
  <c r="F24" i="26"/>
  <c r="E24" i="26"/>
  <c r="F40" i="26"/>
  <c r="F71" i="26"/>
  <c r="C10" i="26"/>
  <c r="D10" i="26"/>
  <c r="E10" i="26"/>
  <c r="F10" i="26"/>
  <c r="G10" i="26"/>
  <c r="H10" i="26"/>
  <c r="C73" i="26"/>
  <c r="F73" i="26"/>
  <c r="G73" i="26"/>
  <c r="D73" i="26"/>
  <c r="E73" i="26"/>
  <c r="H73" i="26"/>
  <c r="C36" i="26"/>
  <c r="D36" i="26"/>
  <c r="F36" i="26"/>
  <c r="C23" i="26"/>
  <c r="F23" i="26"/>
  <c r="G41" i="26"/>
  <c r="H41" i="26"/>
  <c r="F84" i="26"/>
  <c r="G84" i="26"/>
  <c r="H84" i="26"/>
  <c r="D84" i="26"/>
  <c r="C27" i="26"/>
  <c r="G27" i="26"/>
  <c r="H27" i="26"/>
  <c r="E27" i="26"/>
  <c r="D50" i="26"/>
  <c r="F50" i="26"/>
  <c r="D82" i="26"/>
  <c r="C82" i="26"/>
  <c r="E21" i="26"/>
  <c r="F21" i="26"/>
  <c r="G21" i="26"/>
  <c r="C21" i="26"/>
  <c r="G38" i="26"/>
  <c r="G78" i="26"/>
  <c r="G14" i="26"/>
  <c r="F46" i="26"/>
  <c r="D46" i="26"/>
  <c r="E46" i="26"/>
  <c r="G46" i="26"/>
  <c r="F30" i="26"/>
  <c r="C77" i="26"/>
  <c r="E77" i="26"/>
  <c r="F77" i="26"/>
  <c r="G77" i="26"/>
  <c r="G53" i="26"/>
  <c r="F62" i="26"/>
  <c r="C67" i="26"/>
  <c r="G67" i="26"/>
  <c r="H67" i="26"/>
  <c r="C19" i="26"/>
  <c r="H19" i="26"/>
  <c r="D19" i="26"/>
  <c r="E19" i="26"/>
  <c r="F19" i="26"/>
  <c r="G19" i="26"/>
  <c r="E78" i="26"/>
  <c r="G34" i="26"/>
  <c r="E34" i="26"/>
  <c r="F34" i="26"/>
  <c r="H34" i="26"/>
  <c r="F13" i="26"/>
  <c r="F78" i="26"/>
  <c r="E51" i="26"/>
  <c r="F51" i="26"/>
  <c r="G51" i="26"/>
  <c r="D72" i="26"/>
  <c r="G24" i="26"/>
  <c r="D14" i="26"/>
  <c r="D59" i="26"/>
  <c r="E59" i="26"/>
  <c r="F59" i="26"/>
  <c r="C74" i="26"/>
  <c r="F29" i="26"/>
  <c r="F81" i="26"/>
  <c r="G18" i="27"/>
  <c r="E18" i="27"/>
  <c r="F18" i="27"/>
  <c r="H18" i="27"/>
  <c r="D18" i="27"/>
  <c r="E22" i="27"/>
  <c r="C11" i="27"/>
  <c r="H11" i="27"/>
  <c r="G25" i="27"/>
  <c r="F61" i="27"/>
  <c r="D35" i="27"/>
  <c r="F35" i="27"/>
  <c r="G35" i="27"/>
  <c r="H35" i="27"/>
  <c r="D62" i="27"/>
  <c r="G62" i="27"/>
  <c r="C62" i="27"/>
  <c r="H62" i="27"/>
  <c r="C14" i="27"/>
  <c r="H14" i="27"/>
  <c r="E76" i="27"/>
  <c r="H76" i="27"/>
  <c r="F29" i="27"/>
  <c r="C43" i="27"/>
  <c r="G43" i="27"/>
  <c r="H43" i="27"/>
  <c r="F43" i="27"/>
  <c r="G37" i="27"/>
  <c r="C50" i="27"/>
  <c r="F50" i="27"/>
  <c r="D50" i="27"/>
  <c r="E50" i="27"/>
  <c r="E70" i="27"/>
  <c r="F70" i="27"/>
  <c r="G70" i="27"/>
  <c r="H70" i="27"/>
  <c r="C70" i="27"/>
  <c r="D70" i="27"/>
  <c r="E61" i="27"/>
  <c r="C27" i="27"/>
  <c r="F27" i="27"/>
  <c r="G27" i="27"/>
  <c r="H27" i="27"/>
  <c r="D54" i="27"/>
  <c r="F54" i="27"/>
  <c r="H54" i="27"/>
  <c r="E54" i="27"/>
  <c r="G54" i="27"/>
  <c r="C59" i="27"/>
  <c r="H59" i="27"/>
  <c r="C53" i="27"/>
  <c r="G53" i="27"/>
  <c r="C13" i="27"/>
  <c r="E13" i="27"/>
  <c r="F13" i="27"/>
  <c r="F52" i="27"/>
  <c r="E20" i="27"/>
  <c r="F58" i="27"/>
  <c r="G58" i="27"/>
  <c r="H58" i="27"/>
  <c r="E52" i="27"/>
  <c r="F33" i="27"/>
  <c r="C78" i="27"/>
  <c r="G78" i="27"/>
  <c r="C71" i="27"/>
  <c r="E71" i="27"/>
  <c r="F71" i="27"/>
  <c r="G71" i="27"/>
  <c r="G55" i="27"/>
  <c r="G57" i="27"/>
  <c r="D57" i="27"/>
  <c r="F57" i="27"/>
  <c r="E57" i="27"/>
  <c r="E69" i="27"/>
  <c r="G52" i="27"/>
  <c r="G68" i="27"/>
  <c r="F68" i="27"/>
  <c r="F36" i="27"/>
  <c r="D36" i="27"/>
  <c r="G36" i="27"/>
  <c r="E36" i="27"/>
  <c r="H36" i="27"/>
  <c r="P2" i="27"/>
  <c r="J6" i="27" s="1"/>
  <c r="F24" i="27"/>
  <c r="H24" i="27"/>
  <c r="E29" i="27"/>
  <c r="E66" i="27"/>
  <c r="D66" i="27"/>
  <c r="F66" i="27"/>
  <c r="AI4" i="27"/>
  <c r="C56" i="27"/>
  <c r="G56" i="27"/>
  <c r="E38" i="27"/>
  <c r="D38" i="27"/>
  <c r="F38" i="27"/>
  <c r="G38" i="27"/>
  <c r="H38" i="27"/>
  <c r="D19" i="27"/>
  <c r="C19" i="27"/>
  <c r="F51" i="27"/>
  <c r="E74" i="27"/>
  <c r="F74" i="27"/>
  <c r="G74" i="27"/>
  <c r="H74" i="27"/>
  <c r="E44" i="27"/>
  <c r="C44" i="27"/>
  <c r="D44" i="27"/>
  <c r="G10" i="27"/>
  <c r="H10" i="27"/>
  <c r="E60" i="27"/>
  <c r="E67" i="27"/>
  <c r="G22" i="27"/>
  <c r="H22" i="27"/>
  <c r="M4" i="27"/>
  <c r="C30" i="27"/>
  <c r="F30" i="27"/>
  <c r="E12" i="27"/>
  <c r="E28" i="27"/>
  <c r="F20" i="27"/>
  <c r="G33" i="27"/>
  <c r="H33" i="27"/>
  <c r="E33" i="27"/>
  <c r="G20" i="27"/>
  <c r="H20" i="27"/>
  <c r="D39" i="27"/>
  <c r="G39" i="27"/>
  <c r="H39" i="27"/>
  <c r="H73" i="27"/>
  <c r="E73" i="27"/>
  <c r="F73" i="27"/>
  <c r="G73" i="27"/>
  <c r="E64" i="27"/>
  <c r="F64" i="27"/>
  <c r="G64" i="27"/>
  <c r="H64" i="27"/>
  <c r="C64" i="27"/>
  <c r="H19" i="27"/>
  <c r="F19" i="27"/>
  <c r="G19" i="27"/>
  <c r="F72" i="27"/>
  <c r="E72" i="27"/>
  <c r="G72" i="27"/>
  <c r="H72" i="27"/>
  <c r="C72" i="27"/>
  <c r="D72" i="27"/>
  <c r="D53" i="27"/>
  <c r="E53" i="27"/>
  <c r="F53" i="27"/>
  <c r="H53" i="27"/>
  <c r="E21" i="27"/>
  <c r="F21" i="27"/>
  <c r="G21" i="27"/>
  <c r="H21" i="27"/>
  <c r="C21" i="27"/>
  <c r="D21" i="27"/>
  <c r="H41" i="27"/>
  <c r="F41" i="27"/>
  <c r="G41" i="27"/>
  <c r="D41" i="27"/>
  <c r="E41" i="27"/>
  <c r="C63" i="27"/>
  <c r="D63" i="27"/>
  <c r="E63" i="27"/>
  <c r="F63" i="27"/>
  <c r="G63" i="27"/>
  <c r="H63" i="27"/>
  <c r="D68" i="27"/>
  <c r="G40" i="27"/>
  <c r="E32" i="27"/>
  <c r="F32" i="27"/>
  <c r="G32" i="27"/>
  <c r="H32" i="27"/>
  <c r="C32" i="27"/>
  <c r="G81" i="27"/>
  <c r="H81" i="27"/>
  <c r="E81" i="27"/>
  <c r="D71" i="27"/>
  <c r="H71" i="27"/>
  <c r="C68" i="27"/>
  <c r="G50" i="27"/>
  <c r="H50" i="27"/>
  <c r="E40" i="27"/>
  <c r="G51" i="27"/>
  <c r="H51" i="27"/>
  <c r="C40" i="27"/>
  <c r="G82" i="27"/>
  <c r="F82" i="27"/>
  <c r="H82" i="27"/>
  <c r="G65" i="27"/>
  <c r="H65" i="27"/>
  <c r="E65" i="27"/>
  <c r="C47" i="27"/>
  <c r="D47" i="27"/>
  <c r="E47" i="27"/>
  <c r="F47" i="27"/>
  <c r="G47" i="27"/>
  <c r="H47" i="27"/>
  <c r="F55" i="27"/>
  <c r="E35" i="27"/>
  <c r="G17" i="27"/>
  <c r="H17" i="27"/>
  <c r="E17" i="27"/>
  <c r="E84" i="27"/>
  <c r="H57" i="27"/>
  <c r="E55" i="27"/>
  <c r="E24" i="27"/>
  <c r="C79" i="27"/>
  <c r="D79" i="27"/>
  <c r="E79" i="27"/>
  <c r="F79" i="27"/>
  <c r="G79" i="27"/>
  <c r="H79" i="27"/>
  <c r="E48" i="27"/>
  <c r="F48" i="27"/>
  <c r="G48" i="27"/>
  <c r="H48" i="27"/>
  <c r="C48" i="27"/>
  <c r="G66" i="27"/>
  <c r="AI5" i="27"/>
  <c r="C15" i="27"/>
  <c r="D15" i="27"/>
  <c r="E15" i="27"/>
  <c r="F15" i="27"/>
  <c r="G15" i="27"/>
  <c r="H15" i="27"/>
  <c r="E80" i="27"/>
  <c r="F80" i="27"/>
  <c r="G80" i="27"/>
  <c r="H80" i="27"/>
  <c r="C80" i="27"/>
  <c r="F25" i="27"/>
  <c r="H83" i="27"/>
  <c r="G49" i="27"/>
  <c r="H49" i="27"/>
  <c r="E49" i="27"/>
  <c r="C31" i="27"/>
  <c r="D31" i="27"/>
  <c r="E31" i="27"/>
  <c r="F31" i="27"/>
  <c r="G31" i="27"/>
  <c r="H31" i="27"/>
  <c r="E25" i="27"/>
  <c r="H23" i="27"/>
  <c r="D85" i="27"/>
  <c r="G83" i="27"/>
  <c r="H34" i="27"/>
  <c r="D25" i="27"/>
  <c r="G23" i="27"/>
  <c r="F83" i="27"/>
  <c r="F56" i="27"/>
  <c r="F34" i="27"/>
  <c r="C25" i="27"/>
  <c r="F23" i="27"/>
  <c r="E16" i="27"/>
  <c r="F16" i="27"/>
  <c r="G16" i="27"/>
  <c r="H16" i="27"/>
  <c r="C16" i="27"/>
  <c r="E83" i="27"/>
  <c r="E34" i="27"/>
  <c r="D83" i="27"/>
  <c r="F65" i="27"/>
  <c r="D34" i="27"/>
  <c r="C23" i="27"/>
  <c r="D65" i="27"/>
  <c r="C34" i="27"/>
  <c r="C65" i="27"/>
  <c r="E75" i="27"/>
  <c r="E59" i="27"/>
  <c r="G44" i="27"/>
  <c r="E43" i="27"/>
  <c r="G28" i="27"/>
  <c r="E27" i="27"/>
  <c r="G12" i="27"/>
  <c r="E11" i="27"/>
  <c r="H77" i="27"/>
  <c r="F76" i="27"/>
  <c r="D75" i="27"/>
  <c r="H61" i="27"/>
  <c r="F60" i="27"/>
  <c r="D59" i="27"/>
  <c r="H45" i="27"/>
  <c r="F44" i="27"/>
  <c r="D43" i="27"/>
  <c r="H29" i="27"/>
  <c r="F28" i="27"/>
  <c r="D27" i="27"/>
  <c r="H13" i="27"/>
  <c r="F12" i="27"/>
  <c r="D11" i="27"/>
  <c r="G77" i="27"/>
  <c r="G61" i="27"/>
  <c r="G45" i="27"/>
  <c r="G29" i="27"/>
  <c r="G13" i="27"/>
  <c r="F62" i="27"/>
  <c r="D61" i="27"/>
  <c r="D45" i="27"/>
  <c r="D29" i="27"/>
  <c r="D13" i="27"/>
  <c r="E78" i="27"/>
  <c r="E62" i="27"/>
  <c r="E46" i="27"/>
  <c r="E30" i="27"/>
  <c r="E14" i="27"/>
  <c r="D21" i="26"/>
  <c r="H21" i="26"/>
  <c r="H35" i="26"/>
  <c r="H75" i="26"/>
  <c r="E71" i="26"/>
  <c r="H71" i="26"/>
  <c r="G71" i="26"/>
  <c r="D53" i="26"/>
  <c r="E53" i="26"/>
  <c r="G11" i="26"/>
  <c r="H11" i="26"/>
  <c r="E11" i="26"/>
  <c r="F11" i="26"/>
  <c r="E55" i="26"/>
  <c r="H55" i="26"/>
  <c r="G55" i="26"/>
  <c r="D55" i="26"/>
  <c r="F55" i="26"/>
  <c r="D69" i="26"/>
  <c r="G69" i="26"/>
  <c r="C31" i="26"/>
  <c r="D31" i="26"/>
  <c r="E31" i="26"/>
  <c r="F31" i="26"/>
  <c r="G31" i="26"/>
  <c r="H31" i="26"/>
  <c r="C22" i="26"/>
  <c r="F22" i="26"/>
  <c r="F65" i="26"/>
  <c r="E42" i="26"/>
  <c r="F42" i="26"/>
  <c r="G42" i="26"/>
  <c r="H42" i="26"/>
  <c r="C42" i="26"/>
  <c r="D42" i="26"/>
  <c r="E16" i="26"/>
  <c r="F16" i="26"/>
  <c r="G16" i="26"/>
  <c r="H16" i="26"/>
  <c r="C16" i="26"/>
  <c r="G81" i="26"/>
  <c r="H81" i="26"/>
  <c r="E81" i="26"/>
  <c r="C47" i="26"/>
  <c r="D47" i="26"/>
  <c r="E47" i="26"/>
  <c r="F47" i="26"/>
  <c r="G47" i="26"/>
  <c r="H47" i="26"/>
  <c r="C38" i="26"/>
  <c r="F38" i="26"/>
  <c r="C79" i="26"/>
  <c r="D79" i="26"/>
  <c r="E79" i="26"/>
  <c r="F79" i="26"/>
  <c r="G79" i="26"/>
  <c r="H79" i="26"/>
  <c r="H58" i="26"/>
  <c r="F58" i="26"/>
  <c r="G58" i="26"/>
  <c r="E72" i="26"/>
  <c r="F66" i="26"/>
  <c r="G56" i="26"/>
  <c r="H56" i="26"/>
  <c r="H50" i="26"/>
  <c r="H82" i="26"/>
  <c r="H37" i="26"/>
  <c r="F82" i="26"/>
  <c r="G37" i="26"/>
  <c r="E82" i="26"/>
  <c r="G72" i="26"/>
  <c r="F37" i="26"/>
  <c r="C15" i="26"/>
  <c r="D15" i="26"/>
  <c r="E15" i="26"/>
  <c r="F15" i="26"/>
  <c r="G15" i="26"/>
  <c r="H15" i="26"/>
  <c r="G66" i="26"/>
  <c r="H66" i="26"/>
  <c r="G50" i="26"/>
  <c r="E50" i="26"/>
  <c r="E37" i="26"/>
  <c r="G49" i="26"/>
  <c r="H49" i="26"/>
  <c r="E49" i="26"/>
  <c r="D49" i="26"/>
  <c r="F49" i="26"/>
  <c r="G65" i="26"/>
  <c r="H65" i="26"/>
  <c r="E65" i="26"/>
  <c r="G40" i="26"/>
  <c r="D40" i="26"/>
  <c r="C63" i="26"/>
  <c r="D63" i="26"/>
  <c r="E63" i="26"/>
  <c r="F63" i="26"/>
  <c r="G63" i="26"/>
  <c r="H63" i="26"/>
  <c r="G82" i="26"/>
  <c r="E39" i="26"/>
  <c r="H39" i="26"/>
  <c r="G33" i="26"/>
  <c r="H33" i="26"/>
  <c r="E33" i="26"/>
  <c r="E32" i="26"/>
  <c r="F32" i="26"/>
  <c r="G32" i="26"/>
  <c r="H32" i="26"/>
  <c r="C32" i="26"/>
  <c r="C54" i="26"/>
  <c r="F54" i="26"/>
  <c r="D57" i="26"/>
  <c r="C70" i="26"/>
  <c r="F70" i="26"/>
  <c r="E48" i="26"/>
  <c r="F48" i="26"/>
  <c r="G48" i="26"/>
  <c r="H48" i="26"/>
  <c r="C48" i="26"/>
  <c r="H26" i="26"/>
  <c r="G23" i="26"/>
  <c r="E64" i="26"/>
  <c r="F64" i="26"/>
  <c r="G64" i="26"/>
  <c r="H64" i="26"/>
  <c r="C64" i="26"/>
  <c r="F26" i="26"/>
  <c r="D23" i="26"/>
  <c r="D17" i="26"/>
  <c r="G39" i="26"/>
  <c r="E26" i="26"/>
  <c r="E80" i="26"/>
  <c r="F80" i="26"/>
  <c r="G80" i="26"/>
  <c r="H80" i="26"/>
  <c r="C80" i="26"/>
  <c r="F39" i="26"/>
  <c r="F33" i="26"/>
  <c r="E23" i="26"/>
  <c r="H23" i="26"/>
  <c r="G17" i="26"/>
  <c r="H17" i="26"/>
  <c r="E17" i="26"/>
  <c r="D39" i="26"/>
  <c r="D33" i="26"/>
  <c r="C39" i="26"/>
  <c r="C33" i="26"/>
  <c r="E45" i="26"/>
  <c r="E29" i="26"/>
  <c r="E13" i="26"/>
  <c r="D77" i="26"/>
  <c r="D61" i="26"/>
  <c r="D45" i="26"/>
  <c r="D29" i="26"/>
  <c r="F14" i="26"/>
  <c r="D13" i="26"/>
  <c r="E14" i="26"/>
  <c r="N24" i="21"/>
  <c r="O24" i="21"/>
  <c r="H19" i="25"/>
  <c r="G19" i="25"/>
  <c r="E84" i="25"/>
  <c r="D80" i="25"/>
  <c r="F56" i="25"/>
  <c r="D51" i="25"/>
  <c r="E35" i="25"/>
  <c r="D32" i="25"/>
  <c r="F19" i="25"/>
  <c r="D84" i="25"/>
  <c r="E71" i="25"/>
  <c r="F71" i="25"/>
  <c r="G65" i="25"/>
  <c r="H65" i="25"/>
  <c r="E48" i="25"/>
  <c r="F48" i="25"/>
  <c r="G48" i="25"/>
  <c r="H48" i="25"/>
  <c r="D35" i="25"/>
  <c r="E19" i="25"/>
  <c r="C84" i="25"/>
  <c r="E80" i="25"/>
  <c r="F80" i="25"/>
  <c r="G80" i="25"/>
  <c r="H80" i="25"/>
  <c r="C56" i="25"/>
  <c r="D56" i="25"/>
  <c r="G56" i="25"/>
  <c r="H56" i="25"/>
  <c r="E32" i="25"/>
  <c r="F32" i="25"/>
  <c r="G32" i="25"/>
  <c r="H32" i="25"/>
  <c r="D19" i="25"/>
  <c r="E16" i="25"/>
  <c r="F16" i="25"/>
  <c r="G16" i="25"/>
  <c r="H16" i="25"/>
  <c r="C54" i="25"/>
  <c r="D54" i="25"/>
  <c r="F40" i="25"/>
  <c r="AI5" i="25"/>
  <c r="E66" i="25"/>
  <c r="G38" i="25"/>
  <c r="C40" i="25"/>
  <c r="D40" i="25"/>
  <c r="G40" i="25"/>
  <c r="H40" i="25"/>
  <c r="E64" i="25"/>
  <c r="F64" i="25"/>
  <c r="G64" i="25"/>
  <c r="H64" i="25"/>
  <c r="C24" i="25"/>
  <c r="D24" i="25"/>
  <c r="G24" i="25"/>
  <c r="H24" i="25"/>
  <c r="C31" i="25"/>
  <c r="D31" i="25"/>
  <c r="E31" i="25"/>
  <c r="F31" i="25"/>
  <c r="G31" i="25"/>
  <c r="H31" i="25"/>
  <c r="C38" i="25"/>
  <c r="D38" i="25"/>
  <c r="H36" i="25"/>
  <c r="G81" i="25"/>
  <c r="H81" i="25"/>
  <c r="G36" i="25"/>
  <c r="C22" i="25"/>
  <c r="D22" i="25"/>
  <c r="H20" i="25"/>
  <c r="F17" i="25"/>
  <c r="C72" i="25"/>
  <c r="G72" i="25"/>
  <c r="H72" i="25"/>
  <c r="C47" i="25"/>
  <c r="D47" i="25"/>
  <c r="E47" i="25"/>
  <c r="F47" i="25"/>
  <c r="G47" i="25"/>
  <c r="H47" i="25"/>
  <c r="C15" i="25"/>
  <c r="D15" i="25"/>
  <c r="E15" i="25"/>
  <c r="F15" i="25"/>
  <c r="G15" i="25"/>
  <c r="H15" i="25"/>
  <c r="F72" i="25"/>
  <c r="C63" i="25"/>
  <c r="D63" i="25"/>
  <c r="E63" i="25"/>
  <c r="F63" i="25"/>
  <c r="G63" i="25"/>
  <c r="H63" i="25"/>
  <c r="F36" i="25"/>
  <c r="D33" i="25"/>
  <c r="G20" i="25"/>
  <c r="G17" i="25"/>
  <c r="H17" i="25"/>
  <c r="C70" i="25"/>
  <c r="D70" i="25"/>
  <c r="C79" i="25"/>
  <c r="D79" i="25"/>
  <c r="E79" i="25"/>
  <c r="F79" i="25"/>
  <c r="G79" i="25"/>
  <c r="H79" i="25"/>
  <c r="H82" i="25"/>
  <c r="E72" i="25"/>
  <c r="H67" i="25"/>
  <c r="C52" i="25"/>
  <c r="G49" i="25"/>
  <c r="H49" i="25"/>
  <c r="E36" i="25"/>
  <c r="F20" i="25"/>
  <c r="D17" i="25"/>
  <c r="D72" i="25"/>
  <c r="G67" i="25"/>
  <c r="G33" i="25"/>
  <c r="H33" i="25"/>
  <c r="C17" i="25"/>
  <c r="F55" i="25"/>
  <c r="F39" i="25"/>
  <c r="F23" i="25"/>
  <c r="E23" i="25"/>
  <c r="G74" i="25"/>
  <c r="G58" i="25"/>
  <c r="G42" i="25"/>
  <c r="G26" i="25"/>
  <c r="G10" i="25"/>
  <c r="H76" i="25"/>
  <c r="F75" i="25"/>
  <c r="D74" i="25"/>
  <c r="H60" i="25"/>
  <c r="F59" i="25"/>
  <c r="D58" i="25"/>
  <c r="H44" i="25"/>
  <c r="F43" i="25"/>
  <c r="D42" i="25"/>
  <c r="H28" i="25"/>
  <c r="F27" i="25"/>
  <c r="D26" i="25"/>
  <c r="H12" i="25"/>
  <c r="F11" i="25"/>
  <c r="D10" i="25"/>
  <c r="G76" i="25"/>
  <c r="E75" i="25"/>
  <c r="G60" i="25"/>
  <c r="E59" i="25"/>
  <c r="G44" i="25"/>
  <c r="E43" i="25"/>
  <c r="G28" i="25"/>
  <c r="E27" i="25"/>
  <c r="G12" i="25"/>
  <c r="E11" i="25"/>
  <c r="G77" i="25"/>
  <c r="E76" i="25"/>
  <c r="G61" i="25"/>
  <c r="E60" i="25"/>
  <c r="G45" i="25"/>
  <c r="E44" i="25"/>
  <c r="G29" i="25"/>
  <c r="E28" i="25"/>
  <c r="G13" i="25"/>
  <c r="E12" i="25"/>
  <c r="D76" i="25"/>
  <c r="D60" i="25"/>
  <c r="D44" i="25"/>
  <c r="D28" i="25"/>
  <c r="D12" i="25"/>
  <c r="E77" i="25"/>
  <c r="E61" i="25"/>
  <c r="E45" i="25"/>
  <c r="E29" i="25"/>
  <c r="E13" i="25"/>
  <c r="C61" i="25"/>
  <c r="F56" i="24"/>
  <c r="C56" i="24"/>
  <c r="D56" i="24"/>
  <c r="E56" i="24"/>
  <c r="G56" i="24"/>
  <c r="H56" i="24"/>
  <c r="D51" i="24"/>
  <c r="E51" i="24"/>
  <c r="C51" i="24"/>
  <c r="F51" i="24"/>
  <c r="G51" i="24"/>
  <c r="H51" i="24"/>
  <c r="F35" i="24"/>
  <c r="G35" i="24"/>
  <c r="H35" i="24"/>
  <c r="H82" i="24"/>
  <c r="D11" i="24"/>
  <c r="E11" i="24"/>
  <c r="F11" i="24"/>
  <c r="G11" i="24"/>
  <c r="H11" i="24"/>
  <c r="F84" i="24"/>
  <c r="E80" i="24"/>
  <c r="F80" i="24"/>
  <c r="G80" i="24"/>
  <c r="H80" i="24"/>
  <c r="C80" i="24"/>
  <c r="E84" i="24"/>
  <c r="D19" i="24"/>
  <c r="E26" i="24"/>
  <c r="F26" i="24"/>
  <c r="D50" i="24"/>
  <c r="D23" i="24"/>
  <c r="G23" i="24"/>
  <c r="H23" i="24"/>
  <c r="G49" i="24"/>
  <c r="H49" i="24"/>
  <c r="C49" i="24"/>
  <c r="D49" i="24"/>
  <c r="E49" i="24"/>
  <c r="F49" i="24"/>
  <c r="C63" i="24"/>
  <c r="D63" i="24"/>
  <c r="E63" i="24"/>
  <c r="F63" i="24"/>
  <c r="G63" i="24"/>
  <c r="H63" i="24"/>
  <c r="E19" i="24"/>
  <c r="F19" i="24"/>
  <c r="G19" i="24"/>
  <c r="H19" i="24"/>
  <c r="C50" i="24"/>
  <c r="E16" i="24"/>
  <c r="F16" i="24"/>
  <c r="G16" i="24"/>
  <c r="H16" i="24"/>
  <c r="D68" i="24"/>
  <c r="E68" i="24"/>
  <c r="F68" i="24"/>
  <c r="G68" i="24"/>
  <c r="H68" i="24"/>
  <c r="G84" i="24"/>
  <c r="H84" i="24"/>
  <c r="C47" i="24"/>
  <c r="D47" i="24"/>
  <c r="E47" i="24"/>
  <c r="F47" i="24"/>
  <c r="G47" i="24"/>
  <c r="H47" i="24"/>
  <c r="G75" i="24"/>
  <c r="H75" i="24"/>
  <c r="E75" i="24"/>
  <c r="C31" i="24"/>
  <c r="D31" i="24"/>
  <c r="E31" i="24"/>
  <c r="F31" i="24"/>
  <c r="G31" i="24"/>
  <c r="H31" i="24"/>
  <c r="D75" i="24"/>
  <c r="C66" i="24"/>
  <c r="D66" i="24"/>
  <c r="E48" i="24"/>
  <c r="F48" i="24"/>
  <c r="G48" i="24"/>
  <c r="H48" i="24"/>
  <c r="E69" i="24"/>
  <c r="H67" i="24"/>
  <c r="F55" i="24"/>
  <c r="F53" i="24"/>
  <c r="D43" i="24"/>
  <c r="D41" i="24"/>
  <c r="F20" i="24"/>
  <c r="D69" i="24"/>
  <c r="E55" i="24"/>
  <c r="E53" i="24"/>
  <c r="H39" i="24"/>
  <c r="D32" i="24"/>
  <c r="E20" i="24"/>
  <c r="F85" i="24"/>
  <c r="G85" i="24"/>
  <c r="D34" i="24"/>
  <c r="E34" i="24"/>
  <c r="F34" i="24"/>
  <c r="G34" i="24"/>
  <c r="H34" i="24"/>
  <c r="F24" i="24"/>
  <c r="G24" i="24"/>
  <c r="H24" i="24"/>
  <c r="C55" i="24"/>
  <c r="H41" i="24"/>
  <c r="F41" i="24"/>
  <c r="G41" i="24"/>
  <c r="D20" i="24"/>
  <c r="E32" i="24"/>
  <c r="F32" i="24"/>
  <c r="G32" i="24"/>
  <c r="H32" i="24"/>
  <c r="G36" i="24"/>
  <c r="H36" i="24"/>
  <c r="G53" i="24"/>
  <c r="H53" i="24"/>
  <c r="D39" i="24"/>
  <c r="C39" i="24"/>
  <c r="E39" i="24"/>
  <c r="H73" i="24"/>
  <c r="E73" i="24"/>
  <c r="F73" i="24"/>
  <c r="G17" i="24"/>
  <c r="H17" i="24"/>
  <c r="E17" i="24"/>
  <c r="F17" i="24"/>
  <c r="G65" i="24"/>
  <c r="H65" i="24"/>
  <c r="C27" i="24"/>
  <c r="D27" i="24"/>
  <c r="G81" i="24"/>
  <c r="H81" i="24"/>
  <c r="F83" i="24"/>
  <c r="F71" i="24"/>
  <c r="E59" i="24"/>
  <c r="E37" i="24"/>
  <c r="D25" i="24"/>
  <c r="G33" i="24"/>
  <c r="H33" i="24"/>
  <c r="E83" i="24"/>
  <c r="E71" i="24"/>
  <c r="C25" i="24"/>
  <c r="C79" i="24"/>
  <c r="D79" i="24"/>
  <c r="E79" i="24"/>
  <c r="F79" i="24"/>
  <c r="G79" i="24"/>
  <c r="H79" i="24"/>
  <c r="C15" i="24"/>
  <c r="D15" i="24"/>
  <c r="E15" i="24"/>
  <c r="F15" i="24"/>
  <c r="G15" i="24"/>
  <c r="H15" i="24"/>
  <c r="E64" i="24"/>
  <c r="F64" i="24"/>
  <c r="G64" i="24"/>
  <c r="H64" i="24"/>
  <c r="E77" i="24"/>
  <c r="E61" i="24"/>
  <c r="E45" i="24"/>
  <c r="E29" i="24"/>
  <c r="E13" i="24"/>
  <c r="D77" i="24"/>
  <c r="D61" i="24"/>
  <c r="D45" i="24"/>
  <c r="D29" i="24"/>
  <c r="D13" i="24"/>
  <c r="E16" i="23"/>
  <c r="F16" i="23"/>
  <c r="G16" i="23"/>
  <c r="H16" i="23"/>
  <c r="D16" i="23"/>
  <c r="C70" i="23"/>
  <c r="D70" i="23"/>
  <c r="E70" i="23"/>
  <c r="F70" i="23"/>
  <c r="G70" i="23"/>
  <c r="H70" i="23"/>
  <c r="F36" i="23"/>
  <c r="G36" i="23"/>
  <c r="H36" i="23"/>
  <c r="D36" i="23"/>
  <c r="E36" i="23"/>
  <c r="E32" i="23"/>
  <c r="F32" i="23"/>
  <c r="G32" i="23"/>
  <c r="H32" i="23"/>
  <c r="C32" i="23"/>
  <c r="D32" i="23"/>
  <c r="E80" i="23"/>
  <c r="F80" i="23"/>
  <c r="G80" i="23"/>
  <c r="H80" i="23"/>
  <c r="C80" i="23"/>
  <c r="D80" i="23"/>
  <c r="E55" i="23"/>
  <c r="C55" i="23"/>
  <c r="D55" i="23"/>
  <c r="F55" i="23"/>
  <c r="G55" i="23"/>
  <c r="H55" i="23"/>
  <c r="E39" i="23"/>
  <c r="H39" i="23"/>
  <c r="G84" i="23"/>
  <c r="G17" i="23"/>
  <c r="H17" i="23"/>
  <c r="G69" i="23"/>
  <c r="D41" i="23"/>
  <c r="E41" i="23"/>
  <c r="F41" i="23"/>
  <c r="G41" i="23"/>
  <c r="H41" i="23"/>
  <c r="C41" i="23"/>
  <c r="F69" i="23"/>
  <c r="E69" i="23"/>
  <c r="D69" i="23"/>
  <c r="F58" i="23"/>
  <c r="F38" i="23"/>
  <c r="C69" i="23"/>
  <c r="C63" i="23"/>
  <c r="D63" i="23"/>
  <c r="E63" i="23"/>
  <c r="F63" i="23"/>
  <c r="G63" i="23"/>
  <c r="H63" i="23"/>
  <c r="C38" i="23"/>
  <c r="G38" i="23"/>
  <c r="H38" i="23"/>
  <c r="G72" i="23"/>
  <c r="F72" i="23"/>
  <c r="H72" i="23"/>
  <c r="D72" i="23"/>
  <c r="E72" i="23"/>
  <c r="G58" i="23"/>
  <c r="H58" i="23"/>
  <c r="E48" i="23"/>
  <c r="F48" i="23"/>
  <c r="G48" i="23"/>
  <c r="H48" i="23"/>
  <c r="F26" i="23"/>
  <c r="G26" i="23"/>
  <c r="H26" i="23"/>
  <c r="G65" i="23"/>
  <c r="H65" i="23"/>
  <c r="C65" i="23"/>
  <c r="D65" i="23"/>
  <c r="E65" i="23"/>
  <c r="F65" i="23"/>
  <c r="G39" i="23"/>
  <c r="D21" i="23"/>
  <c r="E21" i="23"/>
  <c r="F21" i="23"/>
  <c r="H50" i="23"/>
  <c r="D50" i="23"/>
  <c r="E50" i="23"/>
  <c r="F50" i="23"/>
  <c r="G50" i="23"/>
  <c r="F39" i="23"/>
  <c r="G24" i="23"/>
  <c r="C47" i="23"/>
  <c r="D47" i="23"/>
  <c r="E47" i="23"/>
  <c r="F47" i="23"/>
  <c r="G47" i="23"/>
  <c r="H47" i="23"/>
  <c r="D39" i="23"/>
  <c r="D82" i="23"/>
  <c r="E82" i="23"/>
  <c r="F82" i="23"/>
  <c r="G82" i="23"/>
  <c r="H82" i="23"/>
  <c r="C39" i="23"/>
  <c r="G81" i="23"/>
  <c r="H81" i="23"/>
  <c r="E81" i="23"/>
  <c r="F81" i="23"/>
  <c r="G85" i="23"/>
  <c r="E27" i="23"/>
  <c r="E85" i="23"/>
  <c r="D42" i="23"/>
  <c r="D53" i="23"/>
  <c r="E53" i="23"/>
  <c r="F53" i="23"/>
  <c r="G53" i="23"/>
  <c r="H53" i="23"/>
  <c r="G27" i="23"/>
  <c r="H27" i="23"/>
  <c r="F42" i="23"/>
  <c r="G42" i="23"/>
  <c r="H42" i="23"/>
  <c r="F73" i="23"/>
  <c r="G73" i="23"/>
  <c r="H73" i="23"/>
  <c r="C31" i="23"/>
  <c r="D31" i="23"/>
  <c r="E31" i="23"/>
  <c r="F31" i="23"/>
  <c r="G31" i="23"/>
  <c r="H31" i="23"/>
  <c r="E75" i="23"/>
  <c r="F75" i="23"/>
  <c r="G75" i="23"/>
  <c r="H75" i="23"/>
  <c r="G33" i="23"/>
  <c r="H33" i="23"/>
  <c r="AI5" i="23"/>
  <c r="D37" i="23"/>
  <c r="D83" i="23"/>
  <c r="D71" i="23"/>
  <c r="G68" i="23"/>
  <c r="H56" i="23"/>
  <c r="G34" i="23"/>
  <c r="F22" i="23"/>
  <c r="H19" i="23"/>
  <c r="C79" i="23"/>
  <c r="D79" i="23"/>
  <c r="E79" i="23"/>
  <c r="F79" i="23"/>
  <c r="G79" i="23"/>
  <c r="H79" i="23"/>
  <c r="E68" i="23"/>
  <c r="E34" i="23"/>
  <c r="F19" i="23"/>
  <c r="D68" i="23"/>
  <c r="E64" i="23"/>
  <c r="F64" i="23"/>
  <c r="G64" i="23"/>
  <c r="H64" i="23"/>
  <c r="D34" i="23"/>
  <c r="E19" i="23"/>
  <c r="C56" i="23"/>
  <c r="G49" i="23"/>
  <c r="H49" i="23"/>
  <c r="D19" i="23"/>
  <c r="C15" i="23"/>
  <c r="D15" i="23"/>
  <c r="E15" i="23"/>
  <c r="F15" i="23"/>
  <c r="G15" i="23"/>
  <c r="H15" i="23"/>
  <c r="G14" i="23"/>
  <c r="J5" i="23"/>
  <c r="J4" i="23"/>
  <c r="T49" i="17"/>
  <c r="D55" i="22"/>
  <c r="E55" i="22"/>
  <c r="F55" i="22"/>
  <c r="H55" i="22"/>
  <c r="C55" i="22"/>
  <c r="G55" i="22"/>
  <c r="F67" i="22"/>
  <c r="G67" i="22"/>
  <c r="H67" i="22"/>
  <c r="D67" i="22"/>
  <c r="E67" i="22"/>
  <c r="G49" i="22"/>
  <c r="H49" i="22"/>
  <c r="E49" i="22"/>
  <c r="F49" i="22"/>
  <c r="C49" i="22"/>
  <c r="D49" i="22"/>
  <c r="E35" i="22"/>
  <c r="F35" i="22"/>
  <c r="G35" i="22"/>
  <c r="H35" i="22"/>
  <c r="C35" i="22"/>
  <c r="D35" i="22"/>
  <c r="F72" i="22"/>
  <c r="G72" i="22"/>
  <c r="H72" i="22"/>
  <c r="E72" i="22"/>
  <c r="C72" i="22"/>
  <c r="D72" i="22"/>
  <c r="E32" i="22"/>
  <c r="F32" i="22"/>
  <c r="G32" i="22"/>
  <c r="H32" i="22"/>
  <c r="C32" i="22"/>
  <c r="D32" i="22"/>
  <c r="G18" i="22"/>
  <c r="H18" i="22"/>
  <c r="E80" i="22"/>
  <c r="F80" i="22"/>
  <c r="G80" i="22"/>
  <c r="H80" i="22"/>
  <c r="C80" i="22"/>
  <c r="D80" i="22"/>
  <c r="D39" i="22"/>
  <c r="E39" i="22"/>
  <c r="F39" i="22"/>
  <c r="F56" i="22"/>
  <c r="G56" i="22"/>
  <c r="H56" i="22"/>
  <c r="F34" i="22"/>
  <c r="G84" i="22"/>
  <c r="E34" i="22"/>
  <c r="G17" i="22"/>
  <c r="H17" i="22"/>
  <c r="E17" i="22"/>
  <c r="F17" i="22"/>
  <c r="E48" i="22"/>
  <c r="F48" i="22"/>
  <c r="G48" i="22"/>
  <c r="H48" i="22"/>
  <c r="C48" i="22"/>
  <c r="D48" i="22"/>
  <c r="D34" i="22"/>
  <c r="F24" i="22"/>
  <c r="G24" i="22"/>
  <c r="H24" i="22"/>
  <c r="G34" i="22"/>
  <c r="H34" i="22"/>
  <c r="G82" i="22"/>
  <c r="H82" i="22"/>
  <c r="G66" i="22"/>
  <c r="H66" i="22"/>
  <c r="F40" i="22"/>
  <c r="G40" i="22"/>
  <c r="H40" i="22"/>
  <c r="D71" i="22"/>
  <c r="E71" i="22"/>
  <c r="F71" i="22"/>
  <c r="F18" i="22"/>
  <c r="G33" i="22"/>
  <c r="H33" i="22"/>
  <c r="E33" i="22"/>
  <c r="F33" i="22"/>
  <c r="G65" i="22"/>
  <c r="H65" i="22"/>
  <c r="E65" i="22"/>
  <c r="F65" i="22"/>
  <c r="D23" i="22"/>
  <c r="E23" i="22"/>
  <c r="F23" i="22"/>
  <c r="G23" i="22"/>
  <c r="E18" i="22"/>
  <c r="E64" i="22"/>
  <c r="F64" i="22"/>
  <c r="G64" i="22"/>
  <c r="H64" i="22"/>
  <c r="C64" i="22"/>
  <c r="D64" i="22"/>
  <c r="E16" i="22"/>
  <c r="F16" i="22"/>
  <c r="G16" i="22"/>
  <c r="H16" i="22"/>
  <c r="C16" i="22"/>
  <c r="D16" i="22"/>
  <c r="G50" i="22"/>
  <c r="H50" i="22"/>
  <c r="G81" i="22"/>
  <c r="H81" i="22"/>
  <c r="E81" i="22"/>
  <c r="F81" i="22"/>
  <c r="D18" i="22"/>
  <c r="C18" i="22"/>
  <c r="H57" i="22"/>
  <c r="D75" i="22"/>
  <c r="D59" i="22"/>
  <c r="D43" i="22"/>
  <c r="D27" i="22"/>
  <c r="D11" i="22"/>
  <c r="AI5" i="22"/>
  <c r="T66" i="21"/>
  <c r="Q28" i="21"/>
  <c r="P24" i="21"/>
  <c r="T72" i="21"/>
  <c r="S24" i="21"/>
  <c r="V20" i="21"/>
  <c r="V44" i="21"/>
  <c r="M66" i="21"/>
  <c r="L54" i="21"/>
  <c r="M54" i="21"/>
  <c r="N69" i="21"/>
  <c r="V31" i="21"/>
  <c r="N66" i="21"/>
  <c r="S72" i="21"/>
  <c r="M28" i="21"/>
  <c r="Q24" i="21"/>
  <c r="L66" i="21"/>
  <c r="P28" i="21"/>
  <c r="O66" i="21"/>
  <c r="N28" i="21"/>
  <c r="P83" i="21"/>
  <c r="K54" i="21"/>
  <c r="K21" i="21"/>
  <c r="P16" i="21"/>
  <c r="R69" i="21"/>
  <c r="R24" i="21"/>
  <c r="T24" i="21"/>
  <c r="V69" i="21"/>
  <c r="M24" i="21"/>
  <c r="R28" i="21"/>
  <c r="Q66" i="21"/>
  <c r="T31" i="21"/>
  <c r="S37" i="21"/>
  <c r="O41" i="21"/>
  <c r="N41" i="21"/>
  <c r="M41" i="21"/>
  <c r="K13" i="21"/>
  <c r="L41" i="21"/>
  <c r="K41" i="21"/>
  <c r="T79" i="21"/>
  <c r="T37" i="21"/>
  <c r="V14" i="21"/>
  <c r="R31" i="21"/>
  <c r="U80" i="21"/>
  <c r="O31" i="21"/>
  <c r="P13" i="21"/>
  <c r="O13" i="21"/>
  <c r="T12" i="21"/>
  <c r="M26" i="21"/>
  <c r="S29" i="21"/>
  <c r="Q32" i="21"/>
  <c r="T35" i="21"/>
  <c r="K38" i="21"/>
  <c r="S43" i="21"/>
  <c r="V48" i="21"/>
  <c r="Q56" i="21"/>
  <c r="L59" i="21"/>
  <c r="R61" i="21"/>
  <c r="M69" i="21"/>
  <c r="R71" i="21"/>
  <c r="L74" i="21"/>
  <c r="T76" i="21"/>
  <c r="S81" i="21"/>
  <c r="O26" i="21"/>
  <c r="P36" i="21"/>
  <c r="N39" i="21"/>
  <c r="K45" i="21"/>
  <c r="S47" i="21"/>
  <c r="R50" i="21"/>
  <c r="P65" i="21"/>
  <c r="P70" i="21"/>
  <c r="Q73" i="21"/>
  <c r="Q78" i="21"/>
  <c r="S84" i="21"/>
  <c r="P26" i="21"/>
  <c r="K33" i="21"/>
  <c r="Q36" i="21"/>
  <c r="O39" i="21"/>
  <c r="L45" i="21"/>
  <c r="T47" i="21"/>
  <c r="S50" i="21"/>
  <c r="Q65" i="21"/>
  <c r="L68" i="21"/>
  <c r="T70" i="21"/>
  <c r="R73" i="21"/>
  <c r="U84" i="21"/>
  <c r="Q26" i="21"/>
  <c r="M33" i="21"/>
  <c r="R36" i="21"/>
  <c r="P39" i="21"/>
  <c r="N45" i="21"/>
  <c r="V47" i="21"/>
  <c r="R65" i="21"/>
  <c r="Q68" i="21"/>
  <c r="U70" i="21"/>
  <c r="T73" i="21"/>
  <c r="V84" i="21"/>
  <c r="P20" i="21"/>
  <c r="R26" i="21"/>
  <c r="N33" i="21"/>
  <c r="S36" i="21"/>
  <c r="Q39" i="21"/>
  <c r="R42" i="21"/>
  <c r="P45" i="21"/>
  <c r="L62" i="21"/>
  <c r="S65" i="21"/>
  <c r="R68" i="21"/>
  <c r="V70" i="21"/>
  <c r="S10" i="21"/>
  <c r="R16" i="21"/>
  <c r="P19" i="21"/>
  <c r="R39" i="21"/>
  <c r="T42" i="21"/>
  <c r="L49" i="21"/>
  <c r="Q51" i="21"/>
  <c r="L58" i="21"/>
  <c r="O63" i="21"/>
  <c r="V81" i="21"/>
  <c r="P55" i="21"/>
  <c r="M40" i="21"/>
  <c r="K14" i="21"/>
  <c r="V55" i="21"/>
  <c r="R14" i="21"/>
  <c r="U61" i="21"/>
  <c r="N79" i="21"/>
  <c r="T10" i="21"/>
  <c r="T16" i="21"/>
  <c r="Q19" i="21"/>
  <c r="K25" i="21"/>
  <c r="R32" i="21"/>
  <c r="U42" i="21"/>
  <c r="N49" i="21"/>
  <c r="R51" i="21"/>
  <c r="Q58" i="21"/>
  <c r="R63" i="21"/>
  <c r="N78" i="21"/>
  <c r="K84" i="21"/>
  <c r="U19" i="21"/>
  <c r="T36" i="21"/>
  <c r="Q49" i="21"/>
  <c r="U58" i="21"/>
  <c r="V19" i="21"/>
  <c r="P25" i="21"/>
  <c r="V58" i="21"/>
  <c r="Q67" i="21"/>
  <c r="P73" i="21"/>
  <c r="S49" i="21"/>
  <c r="T11" i="21"/>
  <c r="S52" i="21"/>
  <c r="V43" i="21"/>
  <c r="N70" i="21"/>
  <c r="Q14" i="21"/>
  <c r="S61" i="21"/>
  <c r="L79" i="21"/>
  <c r="K17" i="21"/>
  <c r="N37" i="21"/>
  <c r="M46" i="21"/>
  <c r="N64" i="21"/>
  <c r="N82" i="21"/>
  <c r="U14" i="21"/>
  <c r="R37" i="21"/>
  <c r="O64" i="21"/>
  <c r="P82" i="21"/>
  <c r="V10" i="21"/>
  <c r="V16" i="21"/>
  <c r="R19" i="21"/>
  <c r="L25" i="21"/>
  <c r="T29" i="21"/>
  <c r="T32" i="21"/>
  <c r="K36" i="21"/>
  <c r="V42" i="21"/>
  <c r="O49" i="21"/>
  <c r="T51" i="21"/>
  <c r="S58" i="21"/>
  <c r="S63" i="21"/>
  <c r="P78" i="21"/>
  <c r="O25" i="21"/>
  <c r="R49" i="21"/>
  <c r="S11" i="21"/>
  <c r="R67" i="21"/>
  <c r="R55" i="21"/>
  <c r="M82" i="21"/>
  <c r="V52" i="21"/>
  <c r="N46" i="21"/>
  <c r="S19" i="21"/>
  <c r="K22" i="21"/>
  <c r="N25" i="21"/>
  <c r="U32" i="21"/>
  <c r="L36" i="21"/>
  <c r="P49" i="21"/>
  <c r="M55" i="21"/>
  <c r="T58" i="21"/>
  <c r="U22" i="21"/>
  <c r="N55" i="21"/>
  <c r="N73" i="21"/>
  <c r="V22" i="21"/>
  <c r="U36" i="21"/>
  <c r="O55" i="21"/>
  <c r="K70" i="21"/>
  <c r="U25" i="21"/>
  <c r="R52" i="21"/>
  <c r="L70" i="21"/>
  <c r="T49" i="21"/>
  <c r="Q55" i="21"/>
  <c r="M70" i="21"/>
  <c r="K85" i="21"/>
  <c r="U11" i="21"/>
  <c r="O33" i="21"/>
  <c r="N40" i="21"/>
  <c r="K46" i="21"/>
  <c r="T52" i="21"/>
  <c r="K61" i="21"/>
  <c r="L82" i="21"/>
  <c r="L85" i="21"/>
  <c r="V11" i="21"/>
  <c r="P33" i="21"/>
  <c r="P40" i="21"/>
  <c r="L46" i="21"/>
  <c r="U52" i="21"/>
  <c r="L64" i="21"/>
  <c r="O70" i="21"/>
  <c r="V76" i="21"/>
  <c r="M85" i="21"/>
  <c r="Q40" i="21"/>
  <c r="M79" i="21"/>
  <c r="N85" i="21"/>
  <c r="V61" i="21"/>
  <c r="R85" i="21"/>
  <c r="M15" i="21"/>
  <c r="P18" i="21"/>
  <c r="P41" i="21"/>
  <c r="M60" i="21"/>
  <c r="K63" i="21"/>
  <c r="M74" i="21"/>
  <c r="K77" i="21"/>
  <c r="L80" i="21"/>
  <c r="Q83" i="21"/>
  <c r="N15" i="21"/>
  <c r="Q18" i="21"/>
  <c r="Q41" i="21"/>
  <c r="R45" i="21"/>
  <c r="K49" i="21"/>
  <c r="K53" i="21"/>
  <c r="N60" i="21"/>
  <c r="P74" i="21"/>
  <c r="L77" i="21"/>
  <c r="N80" i="21"/>
  <c r="S83" i="21"/>
  <c r="O15" i="21"/>
  <c r="R18" i="21"/>
  <c r="S45" i="21"/>
  <c r="R53" i="21"/>
  <c r="L57" i="21"/>
  <c r="T60" i="21"/>
  <c r="U74" i="21"/>
  <c r="N77" i="21"/>
  <c r="O80" i="21"/>
  <c r="U12" i="21"/>
  <c r="P15" i="21"/>
  <c r="L38" i="21"/>
  <c r="T45" i="21"/>
  <c r="T53" i="21"/>
  <c r="N57" i="21"/>
  <c r="U60" i="21"/>
  <c r="P77" i="21"/>
  <c r="P80" i="21"/>
  <c r="R15" i="21"/>
  <c r="M38" i="21"/>
  <c r="U45" i="21"/>
  <c r="P57" i="21"/>
  <c r="V60" i="21"/>
  <c r="R77" i="21"/>
  <c r="Q80" i="21"/>
  <c r="T15" i="21"/>
  <c r="L34" i="21"/>
  <c r="U38" i="21"/>
  <c r="T57" i="21"/>
  <c r="S77" i="21"/>
  <c r="T80" i="21"/>
  <c r="L13" i="21"/>
  <c r="Q16" i="21"/>
  <c r="V27" i="21"/>
  <c r="N35" i="21"/>
  <c r="L39" i="21"/>
  <c r="Q50" i="21"/>
  <c r="O54" i="21"/>
  <c r="V65" i="21"/>
  <c r="Q72" i="21"/>
  <c r="R75" i="21"/>
  <c r="S85" i="21"/>
  <c r="T13" i="21"/>
  <c r="N21" i="21"/>
  <c r="U37" i="21"/>
  <c r="N54" i="21"/>
  <c r="M62" i="21"/>
  <c r="M10" i="21"/>
  <c r="N18" i="21"/>
  <c r="O10" i="21"/>
  <c r="K75" i="21"/>
  <c r="M30" i="21"/>
  <c r="K56" i="21"/>
  <c r="L75" i="21"/>
  <c r="U34" i="21"/>
  <c r="N75" i="21"/>
  <c r="Q30" i="21"/>
  <c r="N51" i="21"/>
  <c r="O19" i="21"/>
  <c r="P75" i="21"/>
  <c r="S27" i="21"/>
  <c r="P47" i="21"/>
  <c r="P64" i="21"/>
  <c r="V30" i="21"/>
  <c r="R47" i="21"/>
  <c r="T75" i="21"/>
  <c r="U44" i="21"/>
  <c r="T65" i="21"/>
  <c r="O83" i="21"/>
  <c r="S21" i="21"/>
  <c r="V37" i="21"/>
  <c r="M50" i="21"/>
  <c r="P62" i="21"/>
  <c r="U62" i="21"/>
  <c r="N10" i="21"/>
  <c r="O18" i="21"/>
  <c r="R10" i="21"/>
  <c r="M34" i="21"/>
  <c r="R82" i="21"/>
  <c r="S34" i="21"/>
  <c r="P44" i="21"/>
  <c r="V75" i="21"/>
  <c r="R72" i="21"/>
  <c r="T21" i="21"/>
  <c r="N50" i="21"/>
  <c r="N59" i="21"/>
  <c r="Q62" i="21"/>
  <c r="K81" i="21"/>
  <c r="T85" i="21"/>
  <c r="L18" i="21"/>
  <c r="S42" i="21"/>
  <c r="Q10" i="21"/>
  <c r="S82" i="21"/>
  <c r="T34" i="21"/>
  <c r="N30" i="21"/>
  <c r="L56" i="21"/>
  <c r="T27" i="21"/>
  <c r="L44" i="21"/>
  <c r="U68" i="21"/>
  <c r="N72" i="21"/>
  <c r="U75" i="21"/>
  <c r="O65" i="21"/>
  <c r="N83" i="21"/>
  <c r="O16" i="21"/>
  <c r="K48" i="21"/>
  <c r="O79" i="21"/>
  <c r="U21" i="21"/>
  <c r="O50" i="21"/>
  <c r="O59" i="21"/>
  <c r="R62" i="21"/>
  <c r="T77" i="21"/>
  <c r="U85" i="21"/>
  <c r="V21" i="21"/>
  <c r="P50" i="21"/>
  <c r="P59" i="21"/>
  <c r="T62" i="21"/>
  <c r="U77" i="21"/>
  <c r="V85" i="21"/>
  <c r="R59" i="21"/>
  <c r="V77" i="21"/>
  <c r="M18" i="21"/>
  <c r="V62" i="21"/>
  <c r="P46" i="21"/>
  <c r="R46" i="21"/>
  <c r="T46" i="21"/>
  <c r="V46" i="21"/>
  <c r="L30" i="21"/>
  <c r="U82" i="21"/>
  <c r="M39" i="21"/>
  <c r="V82" i="21"/>
  <c r="N19" i="21"/>
  <c r="R56" i="21"/>
  <c r="O75" i="21"/>
  <c r="R27" i="21"/>
  <c r="T30" i="21"/>
  <c r="O51" i="21"/>
  <c r="T56" i="21"/>
  <c r="S68" i="21"/>
  <c r="U30" i="21"/>
  <c r="P51" i="21"/>
  <c r="T68" i="21"/>
  <c r="Q75" i="21"/>
  <c r="U35" i="21"/>
  <c r="S75" i="21"/>
  <c r="U27" i="21"/>
  <c r="M44" i="21"/>
  <c r="V68" i="21"/>
  <c r="N44" i="21"/>
  <c r="O72" i="21"/>
  <c r="P72" i="21"/>
  <c r="V80" i="21"/>
  <c r="K31" i="21"/>
  <c r="N13" i="21"/>
  <c r="R66" i="21"/>
  <c r="L21" i="21"/>
  <c r="Q43" i="20"/>
  <c r="O66" i="20"/>
  <c r="Q76" i="20"/>
  <c r="R44" i="20"/>
  <c r="S44" i="20"/>
  <c r="N53" i="20"/>
  <c r="R40" i="20"/>
  <c r="O50" i="17"/>
  <c r="K23" i="21"/>
  <c r="R81" i="21"/>
  <c r="P76" i="21"/>
  <c r="Q71" i="21"/>
  <c r="L69" i="21"/>
  <c r="P61" i="21"/>
  <c r="K59" i="21"/>
  <c r="P56" i="21"/>
  <c r="U48" i="21"/>
  <c r="O43" i="21"/>
  <c r="S35" i="21"/>
  <c r="R29" i="21"/>
  <c r="S12" i="21"/>
  <c r="Q81" i="21"/>
  <c r="V78" i="21"/>
  <c r="N76" i="21"/>
  <c r="O71" i="21"/>
  <c r="O61" i="21"/>
  <c r="O56" i="21"/>
  <c r="R48" i="21"/>
  <c r="N43" i="21"/>
  <c r="T40" i="21"/>
  <c r="R35" i="21"/>
  <c r="O29" i="21"/>
  <c r="O23" i="21"/>
  <c r="N81" i="21"/>
  <c r="T78" i="21"/>
  <c r="M76" i="21"/>
  <c r="N71" i="21"/>
  <c r="V66" i="21"/>
  <c r="V63" i="21"/>
  <c r="N61" i="21"/>
  <c r="N56" i="21"/>
  <c r="V53" i="21"/>
  <c r="V50" i="21"/>
  <c r="N48" i="21"/>
  <c r="K43" i="21"/>
  <c r="S40" i="21"/>
  <c r="Q35" i="21"/>
  <c r="L29" i="21"/>
  <c r="V83" i="21"/>
  <c r="L81" i="21"/>
  <c r="R78" i="21"/>
  <c r="L76" i="21"/>
  <c r="L71" i="21"/>
  <c r="U66" i="21"/>
  <c r="T63" i="21"/>
  <c r="L61" i="21"/>
  <c r="M56" i="21"/>
  <c r="U53" i="21"/>
  <c r="U50" i="21"/>
  <c r="L48" i="21"/>
  <c r="V45" i="21"/>
  <c r="R40" i="21"/>
  <c r="P35" i="21"/>
  <c r="K29" i="21"/>
  <c r="L17" i="21"/>
  <c r="K15" i="21"/>
  <c r="M25" i="21"/>
  <c r="L28" i="21"/>
  <c r="R30" i="21"/>
  <c r="L33" i="21"/>
  <c r="N38" i="21"/>
  <c r="L43" i="21"/>
  <c r="M48" i="21"/>
  <c r="T50" i="21"/>
  <c r="M58" i="21"/>
  <c r="S60" i="21"/>
  <c r="N62" i="21"/>
  <c r="M65" i="21"/>
  <c r="T67" i="21"/>
  <c r="L78" i="21"/>
  <c r="R80" i="21"/>
  <c r="U10" i="21"/>
  <c r="S13" i="21"/>
  <c r="M21" i="21"/>
  <c r="L26" i="21"/>
  <c r="N29" i="21"/>
  <c r="P31" i="21"/>
  <c r="P34" i="21"/>
  <c r="V39" i="21"/>
  <c r="M57" i="21"/>
  <c r="S59" i="21"/>
  <c r="K64" i="21"/>
  <c r="K71" i="21"/>
  <c r="S73" i="21"/>
  <c r="K80" i="21"/>
  <c r="O82" i="21"/>
  <c r="N16" i="21"/>
  <c r="R21" i="21"/>
  <c r="L24" i="21"/>
  <c r="N26" i="21"/>
  <c r="P29" i="21"/>
  <c r="S31" i="21"/>
  <c r="R34" i="21"/>
  <c r="M42" i="21"/>
  <c r="K52" i="21"/>
  <c r="O57" i="21"/>
  <c r="M64" i="21"/>
  <c r="K69" i="21"/>
  <c r="M71" i="21"/>
  <c r="V73" i="21"/>
  <c r="M80" i="21"/>
  <c r="Q82" i="21"/>
  <c r="V12" i="21"/>
  <c r="L23" i="21"/>
  <c r="R25" i="21"/>
  <c r="L31" i="21"/>
  <c r="N34" i="21"/>
  <c r="L52" i="21"/>
  <c r="U57" i="21"/>
  <c r="S67" i="21"/>
  <c r="K72" i="21"/>
  <c r="N74" i="21"/>
  <c r="S76" i="21"/>
  <c r="U78" i="21"/>
  <c r="M81" i="21"/>
  <c r="R83" i="21"/>
  <c r="K20" i="21"/>
  <c r="M23" i="21"/>
  <c r="S25" i="21"/>
  <c r="M31" i="21"/>
  <c r="O34" i="21"/>
  <c r="P42" i="21"/>
  <c r="P52" i="21"/>
  <c r="V57" i="21"/>
  <c r="L65" i="21"/>
  <c r="U67" i="21"/>
  <c r="L72" i="21"/>
  <c r="L15" i="21"/>
  <c r="L20" i="21"/>
  <c r="N23" i="21"/>
  <c r="T25" i="21"/>
  <c r="N31" i="21"/>
  <c r="Q34" i="21"/>
  <c r="Q42" i="21"/>
  <c r="Q52" i="21"/>
  <c r="K55" i="21"/>
  <c r="N65" i="21"/>
  <c r="V67" i="21"/>
  <c r="M72" i="21"/>
  <c r="Q74" i="21"/>
  <c r="U76" i="21"/>
  <c r="P81" i="21"/>
  <c r="U83" i="21"/>
  <c r="Q23" i="16"/>
  <c r="L66" i="20"/>
  <c r="G33" i="21"/>
  <c r="H33" i="21"/>
  <c r="D33" i="21"/>
  <c r="E33" i="21"/>
  <c r="F33" i="21"/>
  <c r="H52" i="21"/>
  <c r="E48" i="21"/>
  <c r="F48" i="21"/>
  <c r="G48" i="21"/>
  <c r="C48" i="21"/>
  <c r="D48" i="21"/>
  <c r="H48" i="21"/>
  <c r="E44" i="21"/>
  <c r="D52" i="21"/>
  <c r="D44" i="21"/>
  <c r="C44" i="21"/>
  <c r="E52" i="21"/>
  <c r="F52" i="21"/>
  <c r="G52" i="21"/>
  <c r="H37" i="21"/>
  <c r="D37" i="21"/>
  <c r="E37" i="21"/>
  <c r="F37" i="21"/>
  <c r="G37" i="21"/>
  <c r="G26" i="21"/>
  <c r="D26" i="21"/>
  <c r="E26" i="21"/>
  <c r="F26" i="21"/>
  <c r="H26" i="21"/>
  <c r="G68" i="21"/>
  <c r="E32" i="21"/>
  <c r="F32" i="21"/>
  <c r="G32" i="21"/>
  <c r="D32" i="21"/>
  <c r="H32" i="21"/>
  <c r="F83" i="21"/>
  <c r="G83" i="21"/>
  <c r="H83" i="21"/>
  <c r="C43" i="21"/>
  <c r="D43" i="21"/>
  <c r="E43" i="21"/>
  <c r="F43" i="21"/>
  <c r="E39" i="21"/>
  <c r="H39" i="21"/>
  <c r="G81" i="21"/>
  <c r="H81" i="21"/>
  <c r="D81" i="21"/>
  <c r="E81" i="21"/>
  <c r="F81" i="21"/>
  <c r="G65" i="21"/>
  <c r="H65" i="21"/>
  <c r="F65" i="21"/>
  <c r="E65" i="21"/>
  <c r="C11" i="21"/>
  <c r="D11" i="21"/>
  <c r="E11" i="21"/>
  <c r="F11" i="21"/>
  <c r="G11" i="21"/>
  <c r="H11" i="21"/>
  <c r="C63" i="21"/>
  <c r="D63" i="21"/>
  <c r="E63" i="21"/>
  <c r="F63" i="21"/>
  <c r="G63" i="21"/>
  <c r="H63" i="21"/>
  <c r="G49" i="21"/>
  <c r="H49" i="21"/>
  <c r="E49" i="21"/>
  <c r="D49" i="21"/>
  <c r="F49" i="21"/>
  <c r="C38" i="21"/>
  <c r="F38" i="21"/>
  <c r="G38" i="21"/>
  <c r="H38" i="21"/>
  <c r="E27" i="21"/>
  <c r="E57" i="21"/>
  <c r="G57" i="21"/>
  <c r="H57" i="21"/>
  <c r="E75" i="21"/>
  <c r="D75" i="21"/>
  <c r="F75" i="21"/>
  <c r="G75" i="21"/>
  <c r="H75" i="21"/>
  <c r="D27" i="21"/>
  <c r="E21" i="21"/>
  <c r="F21" i="21"/>
  <c r="G21" i="21"/>
  <c r="H21" i="21"/>
  <c r="D21" i="21"/>
  <c r="C47" i="21"/>
  <c r="D47" i="21"/>
  <c r="E47" i="21"/>
  <c r="H47" i="21"/>
  <c r="D65" i="21"/>
  <c r="E29" i="21"/>
  <c r="F29" i="21"/>
  <c r="G29" i="21"/>
  <c r="H29" i="21"/>
  <c r="C65" i="21"/>
  <c r="F57" i="21"/>
  <c r="E38" i="21"/>
  <c r="G27" i="21"/>
  <c r="F27" i="21"/>
  <c r="H27" i="21"/>
  <c r="H84" i="21"/>
  <c r="H66" i="21"/>
  <c r="E35" i="21"/>
  <c r="H23" i="21"/>
  <c r="D18" i="21"/>
  <c r="F18" i="21"/>
  <c r="E80" i="21"/>
  <c r="F80" i="21"/>
  <c r="G80" i="21"/>
  <c r="H35" i="21"/>
  <c r="G42" i="21"/>
  <c r="F42" i="21"/>
  <c r="F35" i="21"/>
  <c r="G84" i="21"/>
  <c r="G66" i="21"/>
  <c r="H58" i="21"/>
  <c r="E55" i="21"/>
  <c r="H55" i="21"/>
  <c r="H53" i="21"/>
  <c r="D35" i="21"/>
  <c r="G23" i="21"/>
  <c r="D77" i="21"/>
  <c r="E77" i="21"/>
  <c r="F77" i="21"/>
  <c r="H77" i="21"/>
  <c r="G35" i="21"/>
  <c r="G50" i="21"/>
  <c r="H50" i="21"/>
  <c r="C35" i="21"/>
  <c r="D66" i="21"/>
  <c r="E66" i="21"/>
  <c r="F66" i="21"/>
  <c r="D53" i="21"/>
  <c r="E53" i="21"/>
  <c r="F53" i="21"/>
  <c r="E23" i="21"/>
  <c r="D23" i="21"/>
  <c r="C72" i="21"/>
  <c r="G72" i="21"/>
  <c r="D72" i="21"/>
  <c r="E72" i="21"/>
  <c r="F72" i="21"/>
  <c r="G58" i="21"/>
  <c r="D58" i="21"/>
  <c r="H45" i="21"/>
  <c r="C28" i="21"/>
  <c r="F28" i="21"/>
  <c r="G28" i="21"/>
  <c r="H28" i="21"/>
  <c r="H12" i="21"/>
  <c r="C40" i="21"/>
  <c r="G40" i="21"/>
  <c r="E85" i="21"/>
  <c r="C79" i="21"/>
  <c r="D79" i="21"/>
  <c r="E79" i="21"/>
  <c r="E73" i="21"/>
  <c r="C73" i="21"/>
  <c r="C70" i="21"/>
  <c r="G70" i="21"/>
  <c r="F54" i="21"/>
  <c r="G17" i="21"/>
  <c r="H17" i="21"/>
  <c r="C19" i="21"/>
  <c r="D19" i="21"/>
  <c r="E19" i="21"/>
  <c r="F19" i="21"/>
  <c r="F85" i="21"/>
  <c r="D85" i="21"/>
  <c r="C54" i="21"/>
  <c r="E54" i="21"/>
  <c r="C56" i="21"/>
  <c r="G56" i="21"/>
  <c r="D56" i="21"/>
  <c r="F56" i="21"/>
  <c r="H56" i="21"/>
  <c r="G10" i="21"/>
  <c r="H10" i="21"/>
  <c r="G34" i="21"/>
  <c r="F34" i="21"/>
  <c r="H34" i="21"/>
  <c r="C24" i="21"/>
  <c r="G24" i="21"/>
  <c r="T83" i="21"/>
  <c r="K79" i="21"/>
  <c r="R76" i="21"/>
  <c r="U73" i="21"/>
  <c r="S66" i="21"/>
  <c r="K62" i="21"/>
  <c r="Q59" i="21"/>
  <c r="M49" i="21"/>
  <c r="Q46" i="21"/>
  <c r="K39" i="21"/>
  <c r="K30" i="21"/>
  <c r="V25" i="21"/>
  <c r="T19" i="21"/>
  <c r="U16" i="21"/>
  <c r="U13" i="21"/>
  <c r="N17" i="21"/>
  <c r="S18" i="21"/>
  <c r="L22" i="21"/>
  <c r="U23" i="21"/>
  <c r="K27" i="21"/>
  <c r="S28" i="21"/>
  <c r="K32" i="21"/>
  <c r="Q33" i="21"/>
  <c r="V34" i="21"/>
  <c r="O38" i="21"/>
  <c r="P43" i="21"/>
  <c r="O48" i="21"/>
  <c r="V49" i="21"/>
  <c r="L53" i="21"/>
  <c r="V54" i="21"/>
  <c r="N58" i="21"/>
  <c r="T59" i="21"/>
  <c r="L63" i="21"/>
  <c r="T64" i="21"/>
  <c r="S69" i="21"/>
  <c r="K73" i="21"/>
  <c r="R74" i="21"/>
  <c r="P79" i="21"/>
  <c r="P84" i="21"/>
  <c r="L12" i="21"/>
  <c r="V13" i="21"/>
  <c r="O17" i="21"/>
  <c r="T18" i="21"/>
  <c r="M22" i="21"/>
  <c r="V23" i="21"/>
  <c r="L27" i="21"/>
  <c r="T28" i="21"/>
  <c r="L32" i="21"/>
  <c r="R33" i="21"/>
  <c r="P38" i="21"/>
  <c r="Q43" i="21"/>
  <c r="P48" i="21"/>
  <c r="M53" i="21"/>
  <c r="O58" i="21"/>
  <c r="U59" i="21"/>
  <c r="M63" i="21"/>
  <c r="U64" i="21"/>
  <c r="T69" i="21"/>
  <c r="L73" i="21"/>
  <c r="S74" i="21"/>
  <c r="R79" i="21"/>
  <c r="Q84" i="21"/>
  <c r="M12" i="21"/>
  <c r="P17" i="21"/>
  <c r="U18" i="21"/>
  <c r="N22" i="21"/>
  <c r="N27" i="21"/>
  <c r="U28" i="21"/>
  <c r="M32" i="21"/>
  <c r="S33" i="21"/>
  <c r="T38" i="21"/>
  <c r="L42" i="21"/>
  <c r="R43" i="21"/>
  <c r="Q48" i="21"/>
  <c r="N53" i="21"/>
  <c r="P58" i="21"/>
  <c r="V59" i="21"/>
  <c r="N63" i="21"/>
  <c r="V64" i="21"/>
  <c r="K68" i="21"/>
  <c r="U69" i="21"/>
  <c r="M73" i="21"/>
  <c r="T74" i="21"/>
  <c r="K78" i="21"/>
  <c r="S79" i="21"/>
  <c r="R84" i="21"/>
  <c r="N12" i="21"/>
  <c r="K16" i="21"/>
  <c r="Q17" i="21"/>
  <c r="V18" i="21"/>
  <c r="O22" i="21"/>
  <c r="O27" i="21"/>
  <c r="V28" i="21"/>
  <c r="N32" i="21"/>
  <c r="T33" i="21"/>
  <c r="K37" i="21"/>
  <c r="Q12" i="21"/>
  <c r="L16" i="21"/>
  <c r="R17" i="21"/>
  <c r="P22" i="21"/>
  <c r="P27" i="21"/>
  <c r="O32" i="21"/>
  <c r="V33" i="21"/>
  <c r="L37" i="21"/>
  <c r="V38" i="21"/>
  <c r="N42" i="21"/>
  <c r="T43" i="21"/>
  <c r="L47" i="21"/>
  <c r="T48" i="21"/>
  <c r="S53" i="21"/>
  <c r="K57" i="21"/>
  <c r="R58" i="21"/>
  <c r="P63" i="21"/>
  <c r="P68" i="21"/>
  <c r="O73" i="21"/>
  <c r="V74" i="21"/>
  <c r="M78" i="21"/>
  <c r="V79" i="21"/>
  <c r="T84" i="21"/>
  <c r="R12" i="21"/>
  <c r="M16" i="21"/>
  <c r="S17" i="21"/>
  <c r="T22" i="21"/>
  <c r="Q27" i="21"/>
  <c r="P32" i="21"/>
  <c r="M37" i="21"/>
  <c r="O42" i="21"/>
  <c r="U43" i="21"/>
  <c r="P10" i="21"/>
  <c r="S15" i="21"/>
  <c r="S20" i="21"/>
  <c r="K24" i="21"/>
  <c r="Q25" i="21"/>
  <c r="P30" i="21"/>
  <c r="O35" i="21"/>
  <c r="V36" i="21"/>
  <c r="O40" i="21"/>
  <c r="U41" i="21"/>
  <c r="O45" i="21"/>
  <c r="U46" i="21"/>
  <c r="L50" i="21"/>
  <c r="S51" i="21"/>
  <c r="L55" i="21"/>
  <c r="S56" i="21"/>
  <c r="L60" i="21"/>
  <c r="T61" i="21"/>
  <c r="K65" i="21"/>
  <c r="P66" i="21"/>
  <c r="P71" i="21"/>
  <c r="Q76" i="21"/>
  <c r="O81" i="21"/>
  <c r="T82" i="21"/>
  <c r="R11" i="21"/>
  <c r="Q11" i="21"/>
  <c r="P11" i="21"/>
  <c r="P67" i="21"/>
  <c r="R60" i="21"/>
  <c r="S57" i="21"/>
  <c r="U54" i="21"/>
  <c r="O47" i="21"/>
  <c r="T44" i="21"/>
  <c r="V41" i="21"/>
  <c r="L40" i="21"/>
  <c r="V26" i="21"/>
  <c r="U20" i="21"/>
  <c r="E16" i="21"/>
  <c r="F16" i="21"/>
  <c r="G16" i="21"/>
  <c r="H16" i="21"/>
  <c r="P14" i="21"/>
  <c r="O11" i="21"/>
  <c r="O67" i="21"/>
  <c r="R64" i="21"/>
  <c r="Q60" i="21"/>
  <c r="R57" i="21"/>
  <c r="T54" i="21"/>
  <c r="V51" i="21"/>
  <c r="N47" i="21"/>
  <c r="S44" i="21"/>
  <c r="T41" i="21"/>
  <c r="K40" i="21"/>
  <c r="U26" i="21"/>
  <c r="R23" i="21"/>
  <c r="T20" i="21"/>
  <c r="V17" i="21"/>
  <c r="N14" i="21"/>
  <c r="L11" i="21"/>
  <c r="L84" i="21"/>
  <c r="T81" i="21"/>
  <c r="O77" i="21"/>
  <c r="O74" i="21"/>
  <c r="V71" i="21"/>
  <c r="N67" i="21"/>
  <c r="Q64" i="21"/>
  <c r="P60" i="21"/>
  <c r="Q57" i="21"/>
  <c r="P54" i="21"/>
  <c r="U51" i="21"/>
  <c r="M47" i="21"/>
  <c r="R44" i="21"/>
  <c r="S41" i="21"/>
  <c r="V29" i="21"/>
  <c r="T26" i="21"/>
  <c r="Q23" i="21"/>
  <c r="R20" i="21"/>
  <c r="T17" i="21"/>
  <c r="M14" i="21"/>
  <c r="K11" i="21"/>
  <c r="K47" i="21"/>
  <c r="Q44" i="21"/>
  <c r="R41" i="21"/>
  <c r="V35" i="21"/>
  <c r="V32" i="21"/>
  <c r="U29" i="21"/>
  <c r="S26" i="21"/>
  <c r="P23" i="21"/>
  <c r="Q20" i="21"/>
  <c r="M17" i="21"/>
  <c r="L14" i="21"/>
  <c r="E64" i="21"/>
  <c r="F64" i="21"/>
  <c r="G64" i="21"/>
  <c r="C15" i="21"/>
  <c r="D15" i="21"/>
  <c r="E15" i="21"/>
  <c r="E82" i="21"/>
  <c r="G41" i="21"/>
  <c r="K18" i="21"/>
  <c r="K19" i="21"/>
  <c r="C41" i="21"/>
  <c r="C31" i="21"/>
  <c r="D31" i="21"/>
  <c r="E31" i="21"/>
  <c r="V15" i="21"/>
  <c r="T14" i="21"/>
  <c r="R13" i="21"/>
  <c r="P12" i="21"/>
  <c r="N11" i="21"/>
  <c r="L10" i="21"/>
  <c r="U79" i="21"/>
  <c r="S78" i="21"/>
  <c r="Q77" i="21"/>
  <c r="O76" i="21"/>
  <c r="M75" i="21"/>
  <c r="K74" i="21"/>
  <c r="U63" i="21"/>
  <c r="S62" i="21"/>
  <c r="Q61" i="21"/>
  <c r="O60" i="21"/>
  <c r="M59" i="21"/>
  <c r="K58" i="21"/>
  <c r="U47" i="21"/>
  <c r="S46" i="21"/>
  <c r="Q45" i="21"/>
  <c r="O44" i="21"/>
  <c r="M43" i="21"/>
  <c r="K42" i="21"/>
  <c r="U31" i="21"/>
  <c r="S30" i="21"/>
  <c r="Q29" i="21"/>
  <c r="O28" i="21"/>
  <c r="M27" i="21"/>
  <c r="K26" i="21"/>
  <c r="U15" i="21"/>
  <c r="S14" i="21"/>
  <c r="Q13" i="21"/>
  <c r="O12" i="21"/>
  <c r="M11" i="21"/>
  <c r="K10" i="21"/>
  <c r="U81" i="21"/>
  <c r="S80" i="21"/>
  <c r="Q79" i="21"/>
  <c r="O78" i="21"/>
  <c r="M77" i="21"/>
  <c r="K76" i="21"/>
  <c r="U65" i="21"/>
  <c r="S64" i="21"/>
  <c r="Q63" i="21"/>
  <c r="O62" i="21"/>
  <c r="M61" i="21"/>
  <c r="K60" i="21"/>
  <c r="U49" i="21"/>
  <c r="S48" i="21"/>
  <c r="Q47" i="21"/>
  <c r="O46" i="21"/>
  <c r="M45" i="21"/>
  <c r="K44" i="21"/>
  <c r="U33" i="21"/>
  <c r="S32" i="21"/>
  <c r="Q31" i="21"/>
  <c r="O30" i="21"/>
  <c r="M29" i="21"/>
  <c r="K28" i="21"/>
  <c r="U17" i="21"/>
  <c r="S16" i="21"/>
  <c r="Q15" i="21"/>
  <c r="O14" i="21"/>
  <c r="M13" i="21"/>
  <c r="K12" i="21"/>
  <c r="Q85" i="21"/>
  <c r="O84" i="21"/>
  <c r="M83" i="21"/>
  <c r="K82" i="21"/>
  <c r="U71" i="21"/>
  <c r="S70" i="21"/>
  <c r="Q69" i="21"/>
  <c r="O68" i="21"/>
  <c r="M67" i="21"/>
  <c r="K66" i="21"/>
  <c r="U55" i="21"/>
  <c r="S54" i="21"/>
  <c r="Q53" i="21"/>
  <c r="O52" i="21"/>
  <c r="M51" i="21"/>
  <c r="K50" i="21"/>
  <c r="U39" i="21"/>
  <c r="S38" i="21"/>
  <c r="Q37" i="21"/>
  <c r="O36" i="21"/>
  <c r="M35" i="21"/>
  <c r="K34" i="21"/>
  <c r="S22" i="21"/>
  <c r="Q21" i="21"/>
  <c r="O20" i="21"/>
  <c r="M19" i="21"/>
  <c r="P85" i="21"/>
  <c r="N84" i="21"/>
  <c r="L83" i="21"/>
  <c r="V72" i="21"/>
  <c r="T71" i="21"/>
  <c r="R70" i="21"/>
  <c r="P69" i="21"/>
  <c r="N68" i="21"/>
  <c r="L67" i="21"/>
  <c r="V56" i="21"/>
  <c r="T55" i="21"/>
  <c r="R54" i="21"/>
  <c r="P53" i="21"/>
  <c r="N52" i="21"/>
  <c r="L51" i="21"/>
  <c r="V40" i="21"/>
  <c r="T39" i="21"/>
  <c r="R38" i="21"/>
  <c r="P37" i="21"/>
  <c r="N36" i="21"/>
  <c r="L35" i="21"/>
  <c r="V24" i="21"/>
  <c r="T23" i="21"/>
  <c r="R22" i="21"/>
  <c r="P21" i="21"/>
  <c r="N20" i="21"/>
  <c r="L19" i="21"/>
  <c r="O85" i="21"/>
  <c r="M84" i="21"/>
  <c r="K83" i="21"/>
  <c r="U72" i="21"/>
  <c r="S71" i="21"/>
  <c r="Q70" i="21"/>
  <c r="O69" i="21"/>
  <c r="M68" i="21"/>
  <c r="K67" i="21"/>
  <c r="U56" i="21"/>
  <c r="S55" i="21"/>
  <c r="Q54" i="21"/>
  <c r="O53" i="21"/>
  <c r="M52" i="21"/>
  <c r="K51" i="21"/>
  <c r="U40" i="21"/>
  <c r="S39" i="21"/>
  <c r="Q38" i="21"/>
  <c r="O37" i="21"/>
  <c r="M36" i="21"/>
  <c r="K35" i="21"/>
  <c r="U24" i="21"/>
  <c r="S23" i="21"/>
  <c r="Q22" i="21"/>
  <c r="O21" i="21"/>
  <c r="M20" i="21"/>
  <c r="N29" i="20"/>
  <c r="M66" i="20"/>
  <c r="O62" i="20"/>
  <c r="T77" i="20"/>
  <c r="U64" i="20"/>
  <c r="S77" i="20"/>
  <c r="K68" i="20"/>
  <c r="T64" i="20"/>
  <c r="U19" i="20"/>
  <c r="R85" i="20"/>
  <c r="V81" i="20"/>
  <c r="T19" i="20"/>
  <c r="N85" i="20"/>
  <c r="U81" i="20"/>
  <c r="S19" i="20"/>
  <c r="R81" i="20"/>
  <c r="U37" i="20"/>
  <c r="T14" i="20"/>
  <c r="T37" i="20"/>
  <c r="R27" i="20"/>
  <c r="P49" i="20"/>
  <c r="L37" i="20"/>
  <c r="R76" i="20"/>
  <c r="K63" i="20"/>
  <c r="R43" i="20"/>
  <c r="O82" i="20"/>
  <c r="N49" i="20"/>
  <c r="S76" i="20"/>
  <c r="N18" i="20"/>
  <c r="O45" i="20"/>
  <c r="L63" i="20"/>
  <c r="O70" i="20"/>
  <c r="R73" i="20"/>
  <c r="V23" i="20"/>
  <c r="M61" i="20"/>
  <c r="P75" i="20"/>
  <c r="K78" i="20"/>
  <c r="O49" i="20"/>
  <c r="N66" i="20"/>
  <c r="L70" i="20"/>
  <c r="T43" i="20"/>
  <c r="M55" i="20"/>
  <c r="O75" i="20"/>
  <c r="L78" i="20"/>
  <c r="Q63" i="20"/>
  <c r="T85" i="20"/>
  <c r="M45" i="20"/>
  <c r="Q34" i="20"/>
  <c r="V42" i="20"/>
  <c r="N45" i="20"/>
  <c r="M10" i="20"/>
  <c r="N25" i="20"/>
  <c r="O71" i="20"/>
  <c r="Q74" i="20"/>
  <c r="S27" i="20"/>
  <c r="R72" i="20"/>
  <c r="U76" i="20"/>
  <c r="L39" i="20"/>
  <c r="S43" i="20"/>
  <c r="P72" i="20"/>
  <c r="V76" i="20"/>
  <c r="U80" i="20"/>
  <c r="M39" i="20"/>
  <c r="Q72" i="20"/>
  <c r="U26" i="20"/>
  <c r="K30" i="20"/>
  <c r="S72" i="20"/>
  <c r="U11" i="20"/>
  <c r="V26" i="20"/>
  <c r="V11" i="20"/>
  <c r="P17" i="20"/>
  <c r="R74" i="20"/>
  <c r="Q17" i="20"/>
  <c r="R17" i="20"/>
  <c r="O24" i="20"/>
  <c r="P71" i="20"/>
  <c r="O78" i="20"/>
  <c r="L82" i="20"/>
  <c r="V37" i="20"/>
  <c r="R58" i="20"/>
  <c r="N63" i="20"/>
  <c r="Q75" i="20"/>
  <c r="O67" i="20"/>
  <c r="S64" i="20"/>
  <c r="V67" i="20"/>
  <c r="V12" i="20"/>
  <c r="R50" i="20"/>
  <c r="K28" i="20"/>
  <c r="V71" i="20"/>
  <c r="N59" i="20"/>
  <c r="L28" i="20"/>
  <c r="Q71" i="20"/>
  <c r="N16" i="20"/>
  <c r="M28" i="20"/>
  <c r="R71" i="20"/>
  <c r="U77" i="20"/>
  <c r="S85" i="20"/>
  <c r="M18" i="20"/>
  <c r="V77" i="20"/>
  <c r="O18" i="20"/>
  <c r="Q73" i="20"/>
  <c r="P18" i="20"/>
  <c r="S73" i="20"/>
  <c r="K39" i="20"/>
  <c r="N17" i="20"/>
  <c r="M82" i="20"/>
  <c r="N70" i="20"/>
  <c r="K70" i="20"/>
  <c r="V17" i="20"/>
  <c r="M70" i="20"/>
  <c r="O17" i="20"/>
  <c r="N82" i="20"/>
  <c r="N57" i="17"/>
  <c r="C79" i="20"/>
  <c r="D79" i="20"/>
  <c r="E79" i="20"/>
  <c r="H79" i="20"/>
  <c r="E60" i="20"/>
  <c r="F60" i="20"/>
  <c r="G60" i="20"/>
  <c r="H60" i="20"/>
  <c r="F69" i="20"/>
  <c r="G69" i="20"/>
  <c r="H69" i="20"/>
  <c r="E69" i="20"/>
  <c r="C25" i="20"/>
  <c r="D25" i="20"/>
  <c r="H25" i="20"/>
  <c r="K37" i="20"/>
  <c r="R19" i="20"/>
  <c r="V68" i="20"/>
  <c r="L62" i="20"/>
  <c r="Q47" i="20"/>
  <c r="Q39" i="20"/>
  <c r="U30" i="20"/>
  <c r="Q19" i="20"/>
  <c r="U70" i="20"/>
  <c r="U68" i="20"/>
  <c r="K62" i="20"/>
  <c r="V44" i="20"/>
  <c r="P39" i="20"/>
  <c r="T30" i="20"/>
  <c r="N13" i="20"/>
  <c r="T70" i="20"/>
  <c r="T68" i="20"/>
  <c r="D53" i="20"/>
  <c r="U44" i="20"/>
  <c r="O39" i="20"/>
  <c r="H37" i="20"/>
  <c r="Q30" i="20"/>
  <c r="G83" i="20"/>
  <c r="H83" i="20"/>
  <c r="P70" i="20"/>
  <c r="L68" i="20"/>
  <c r="G59" i="20"/>
  <c r="H59" i="20"/>
  <c r="F59" i="20"/>
  <c r="T44" i="20"/>
  <c r="N39" i="20"/>
  <c r="P30" i="20"/>
  <c r="P64" i="20"/>
  <c r="V57" i="20"/>
  <c r="M41" i="20"/>
  <c r="T26" i="20"/>
  <c r="H85" i="20"/>
  <c r="D85" i="20"/>
  <c r="E85" i="20"/>
  <c r="F85" i="20"/>
  <c r="G85" i="20"/>
  <c r="O74" i="20"/>
  <c r="O64" i="20"/>
  <c r="U57" i="20"/>
  <c r="L41" i="20"/>
  <c r="O29" i="20"/>
  <c r="L15" i="20"/>
  <c r="R23" i="20"/>
  <c r="N74" i="20"/>
  <c r="C61" i="20"/>
  <c r="H61" i="20"/>
  <c r="D61" i="20"/>
  <c r="E61" i="20"/>
  <c r="F61" i="20"/>
  <c r="G61" i="20"/>
  <c r="N57" i="20"/>
  <c r="K41" i="20"/>
  <c r="E37" i="20"/>
  <c r="F37" i="20"/>
  <c r="G33" i="20"/>
  <c r="H33" i="20"/>
  <c r="D33" i="20"/>
  <c r="E33" i="20"/>
  <c r="G75" i="20"/>
  <c r="H75" i="20"/>
  <c r="C75" i="20"/>
  <c r="D75" i="20"/>
  <c r="E75" i="20"/>
  <c r="F75" i="20"/>
  <c r="G52" i="20"/>
  <c r="H52" i="20"/>
  <c r="L73" i="20"/>
  <c r="Q82" i="20"/>
  <c r="L40" i="20"/>
  <c r="T41" i="20"/>
  <c r="U45" i="20"/>
  <c r="R49" i="20"/>
  <c r="T53" i="20"/>
  <c r="P57" i="20"/>
  <c r="O61" i="20"/>
  <c r="N65" i="20"/>
  <c r="M69" i="20"/>
  <c r="T74" i="20"/>
  <c r="T78" i="20"/>
  <c r="U53" i="20"/>
  <c r="Q57" i="20"/>
  <c r="R61" i="20"/>
  <c r="O65" i="20"/>
  <c r="N69" i="20"/>
  <c r="M73" i="20"/>
  <c r="U74" i="20"/>
  <c r="U78" i="20"/>
  <c r="K81" i="20"/>
  <c r="R82" i="20"/>
  <c r="Q36" i="20"/>
  <c r="N40" i="20"/>
  <c r="V41" i="20"/>
  <c r="L44" i="20"/>
  <c r="L48" i="20"/>
  <c r="V49" i="20"/>
  <c r="V53" i="20"/>
  <c r="R57" i="20"/>
  <c r="S61" i="20"/>
  <c r="P65" i="20"/>
  <c r="R69" i="20"/>
  <c r="N73" i="20"/>
  <c r="V74" i="20"/>
  <c r="M77" i="20"/>
  <c r="V78" i="20"/>
  <c r="L81" i="20"/>
  <c r="S82" i="20"/>
  <c r="K85" i="20"/>
  <c r="M44" i="20"/>
  <c r="M48" i="20"/>
  <c r="K52" i="20"/>
  <c r="K56" i="20"/>
  <c r="S57" i="20"/>
  <c r="T61" i="20"/>
  <c r="Q65" i="20"/>
  <c r="S69" i="20"/>
  <c r="O73" i="20"/>
  <c r="N77" i="20"/>
  <c r="M81" i="20"/>
  <c r="T82" i="20"/>
  <c r="L85" i="20"/>
  <c r="S36" i="20"/>
  <c r="P40" i="20"/>
  <c r="P44" i="20"/>
  <c r="N48" i="20"/>
  <c r="L52" i="20"/>
  <c r="L56" i="20"/>
  <c r="T57" i="20"/>
  <c r="U61" i="20"/>
  <c r="R65" i="20"/>
  <c r="T69" i="20"/>
  <c r="P73" i="20"/>
  <c r="O77" i="20"/>
  <c r="N81" i="20"/>
  <c r="M85" i="20"/>
  <c r="T12" i="20"/>
  <c r="K15" i="20"/>
  <c r="P19" i="20"/>
  <c r="P23" i="20"/>
  <c r="P27" i="20"/>
  <c r="V28" i="20"/>
  <c r="U32" i="20"/>
  <c r="T36" i="20"/>
  <c r="Q40" i="20"/>
  <c r="Q44" i="20"/>
  <c r="O48" i="20"/>
  <c r="P52" i="20"/>
  <c r="O10" i="20"/>
  <c r="P14" i="20"/>
  <c r="R18" i="20"/>
  <c r="L21" i="20"/>
  <c r="V22" i="20"/>
  <c r="K25" i="20"/>
  <c r="S26" i="20"/>
  <c r="O30" i="20"/>
  <c r="N34" i="20"/>
  <c r="M38" i="20"/>
  <c r="M42" i="20"/>
  <c r="V43" i="20"/>
  <c r="V47" i="20"/>
  <c r="V14" i="20"/>
  <c r="V19" i="20"/>
  <c r="R21" i="20"/>
  <c r="P24" i="20"/>
  <c r="L26" i="20"/>
  <c r="U29" i="20"/>
  <c r="M31" i="20"/>
  <c r="N41" i="20"/>
  <c r="L46" i="20"/>
  <c r="O51" i="20"/>
  <c r="V54" i="20"/>
  <c r="R59" i="20"/>
  <c r="T62" i="20"/>
  <c r="P67" i="20"/>
  <c r="R75" i="20"/>
  <c r="P78" i="20"/>
  <c r="O83" i="20"/>
  <c r="K11" i="20"/>
  <c r="Q26" i="20"/>
  <c r="T38" i="20"/>
  <c r="N64" i="20"/>
  <c r="O80" i="20"/>
  <c r="S21" i="20"/>
  <c r="M26" i="20"/>
  <c r="V29" i="20"/>
  <c r="N31" i="20"/>
  <c r="U36" i="20"/>
  <c r="K38" i="20"/>
  <c r="O41" i="20"/>
  <c r="O46" i="20"/>
  <c r="P51" i="20"/>
  <c r="S59" i="20"/>
  <c r="U62" i="20"/>
  <c r="Q67" i="20"/>
  <c r="K72" i="20"/>
  <c r="S75" i="20"/>
  <c r="K80" i="20"/>
  <c r="P83" i="20"/>
  <c r="O43" i="20"/>
  <c r="U51" i="20"/>
  <c r="T83" i="20"/>
  <c r="T21" i="20"/>
  <c r="N26" i="20"/>
  <c r="Q31" i="20"/>
  <c r="K33" i="20"/>
  <c r="V36" i="20"/>
  <c r="N38" i="20"/>
  <c r="P41" i="20"/>
  <c r="P46" i="20"/>
  <c r="Q51" i="20"/>
  <c r="T59" i="20"/>
  <c r="V62" i="20"/>
  <c r="K64" i="20"/>
  <c r="R67" i="20"/>
  <c r="L72" i="20"/>
  <c r="T75" i="20"/>
  <c r="L80" i="20"/>
  <c r="Q83" i="20"/>
  <c r="N33" i="20"/>
  <c r="U46" i="20"/>
  <c r="K69" i="20"/>
  <c r="K16" i="20"/>
  <c r="U21" i="20"/>
  <c r="O26" i="20"/>
  <c r="R31" i="20"/>
  <c r="L33" i="20"/>
  <c r="O38" i="20"/>
  <c r="Q41" i="20"/>
  <c r="K43" i="20"/>
  <c r="Q46" i="20"/>
  <c r="S51" i="20"/>
  <c r="M56" i="20"/>
  <c r="U59" i="20"/>
  <c r="L64" i="20"/>
  <c r="S67" i="20"/>
  <c r="M72" i="20"/>
  <c r="U75" i="20"/>
  <c r="M80" i="20"/>
  <c r="R83" i="20"/>
  <c r="V31" i="20"/>
  <c r="O56" i="20"/>
  <c r="U67" i="20"/>
  <c r="O72" i="20"/>
  <c r="L16" i="20"/>
  <c r="V21" i="20"/>
  <c r="P26" i="20"/>
  <c r="S31" i="20"/>
  <c r="M33" i="20"/>
  <c r="P38" i="20"/>
  <c r="R41" i="20"/>
  <c r="N43" i="20"/>
  <c r="T46" i="20"/>
  <c r="T51" i="20"/>
  <c r="N56" i="20"/>
  <c r="V59" i="20"/>
  <c r="M64" i="20"/>
  <c r="T67" i="20"/>
  <c r="N72" i="20"/>
  <c r="V75" i="20"/>
  <c r="N80" i="20"/>
  <c r="S83" i="20"/>
  <c r="M16" i="20"/>
  <c r="P10" i="20"/>
  <c r="V13" i="20"/>
  <c r="M15" i="20"/>
  <c r="Q20" i="20"/>
  <c r="Q25" i="20"/>
  <c r="V30" i="20"/>
  <c r="S35" i="20"/>
  <c r="M37" i="20"/>
  <c r="P42" i="20"/>
  <c r="S45" i="20"/>
  <c r="K47" i="20"/>
  <c r="S50" i="20"/>
  <c r="R55" i="20"/>
  <c r="S58" i="20"/>
  <c r="L60" i="20"/>
  <c r="S63" i="20"/>
  <c r="Q66" i="20"/>
  <c r="P68" i="20"/>
  <c r="K76" i="20"/>
  <c r="N79" i="20"/>
  <c r="K84" i="20"/>
  <c r="R10" i="20"/>
  <c r="R15" i="20"/>
  <c r="K17" i="20"/>
  <c r="S20" i="20"/>
  <c r="S25" i="20"/>
  <c r="K32" i="20"/>
  <c r="U35" i="20"/>
  <c r="R37" i="20"/>
  <c r="R42" i="20"/>
  <c r="M47" i="20"/>
  <c r="Q52" i="20"/>
  <c r="U58" i="20"/>
  <c r="P60" i="20"/>
  <c r="S66" i="20"/>
  <c r="R68" i="20"/>
  <c r="M76" i="20"/>
  <c r="R79" i="20"/>
  <c r="P84" i="20"/>
  <c r="Q10" i="20"/>
  <c r="N15" i="20"/>
  <c r="R20" i="20"/>
  <c r="R25" i="20"/>
  <c r="T35" i="20"/>
  <c r="N37" i="20"/>
  <c r="Q42" i="20"/>
  <c r="L47" i="20"/>
  <c r="T50" i="20"/>
  <c r="V55" i="20"/>
  <c r="T58" i="20"/>
  <c r="M60" i="20"/>
  <c r="V63" i="20"/>
  <c r="R66" i="20"/>
  <c r="Q68" i="20"/>
  <c r="L76" i="20"/>
  <c r="Q79" i="20"/>
  <c r="L84" i="20"/>
  <c r="S10" i="20"/>
  <c r="S15" i="20"/>
  <c r="L17" i="20"/>
  <c r="K22" i="20"/>
  <c r="T25" i="20"/>
  <c r="S37" i="20"/>
  <c r="S42" i="20"/>
  <c r="N47" i="20"/>
  <c r="R52" i="20"/>
  <c r="V58" i="20"/>
  <c r="Q60" i="20"/>
  <c r="S68" i="20"/>
  <c r="P76" i="20"/>
  <c r="S79" i="20"/>
  <c r="Q84" i="20"/>
  <c r="T10" i="20"/>
  <c r="V15" i="20"/>
  <c r="M17" i="20"/>
  <c r="L22" i="20"/>
  <c r="U25" i="20"/>
  <c r="Q27" i="20"/>
  <c r="L32" i="20"/>
  <c r="N11" i="20"/>
  <c r="O13" i="20"/>
  <c r="O33" i="20"/>
  <c r="R39" i="20"/>
  <c r="S48" i="20"/>
  <c r="S52" i="20"/>
  <c r="L54" i="20"/>
  <c r="T60" i="20"/>
  <c r="P62" i="20"/>
  <c r="U85" i="20"/>
  <c r="T22" i="20"/>
  <c r="U54" i="20"/>
  <c r="Q58" i="20"/>
  <c r="N75" i="20"/>
  <c r="Q81" i="20"/>
  <c r="O11" i="20"/>
  <c r="R13" i="20"/>
  <c r="P33" i="20"/>
  <c r="N35" i="20"/>
  <c r="V39" i="20"/>
  <c r="T48" i="20"/>
  <c r="L50" i="20"/>
  <c r="T52" i="20"/>
  <c r="M54" i="20"/>
  <c r="L58" i="20"/>
  <c r="U60" i="20"/>
  <c r="Q62" i="20"/>
  <c r="V85" i="20"/>
  <c r="U42" i="20"/>
  <c r="T56" i="20"/>
  <c r="P11" i="20"/>
  <c r="S13" i="20"/>
  <c r="M22" i="20"/>
  <c r="Q33" i="20"/>
  <c r="O35" i="20"/>
  <c r="U48" i="20"/>
  <c r="M50" i="20"/>
  <c r="U52" i="20"/>
  <c r="N54" i="20"/>
  <c r="P56" i="20"/>
  <c r="M58" i="20"/>
  <c r="V60" i="20"/>
  <c r="N24" i="20"/>
  <c r="L31" i="20"/>
  <c r="Q50" i="20"/>
  <c r="R77" i="20"/>
  <c r="Q11" i="20"/>
  <c r="T13" i="20"/>
  <c r="N22" i="20"/>
  <c r="K24" i="20"/>
  <c r="R33" i="20"/>
  <c r="P35" i="20"/>
  <c r="N42" i="20"/>
  <c r="N50" i="20"/>
  <c r="V52" i="20"/>
  <c r="O54" i="20"/>
  <c r="Q56" i="20"/>
  <c r="N58" i="20"/>
  <c r="U69" i="20"/>
  <c r="K79" i="20"/>
  <c r="N83" i="20"/>
  <c r="T11" i="20"/>
  <c r="N71" i="20"/>
  <c r="R11" i="20"/>
  <c r="U13" i="20"/>
  <c r="O22" i="20"/>
  <c r="L24" i="20"/>
  <c r="U33" i="20"/>
  <c r="Q35" i="20"/>
  <c r="O42" i="20"/>
  <c r="K46" i="20"/>
  <c r="O50" i="20"/>
  <c r="P54" i="20"/>
  <c r="R56" i="20"/>
  <c r="O58" i="20"/>
  <c r="V69" i="20"/>
  <c r="K71" i="20"/>
  <c r="L79" i="20"/>
  <c r="O81" i="20"/>
  <c r="U83" i="20"/>
  <c r="V79" i="20"/>
  <c r="S11" i="20"/>
  <c r="P22" i="20"/>
  <c r="M24" i="20"/>
  <c r="K31" i="20"/>
  <c r="V33" i="20"/>
  <c r="R35" i="20"/>
  <c r="T42" i="20"/>
  <c r="V46" i="20"/>
  <c r="P50" i="20"/>
  <c r="T54" i="20"/>
  <c r="S56" i="20"/>
  <c r="P58" i="20"/>
  <c r="L71" i="20"/>
  <c r="M79" i="20"/>
  <c r="P81" i="20"/>
  <c r="V83" i="20"/>
  <c r="K20" i="20"/>
  <c r="S18" i="20"/>
  <c r="T27" i="20"/>
  <c r="R29" i="20"/>
  <c r="S40" i="20"/>
  <c r="V61" i="20"/>
  <c r="R63" i="20"/>
  <c r="K65" i="20"/>
  <c r="T73" i="20"/>
  <c r="T18" i="20"/>
  <c r="U27" i="20"/>
  <c r="S29" i="20"/>
  <c r="L34" i="20"/>
  <c r="T40" i="20"/>
  <c r="K53" i="20"/>
  <c r="L65" i="20"/>
  <c r="U73" i="20"/>
  <c r="K14" i="20"/>
  <c r="L25" i="20"/>
  <c r="V27" i="20"/>
  <c r="T29" i="20"/>
  <c r="O34" i="20"/>
  <c r="L53" i="20"/>
  <c r="K55" i="20"/>
  <c r="U65" i="20"/>
  <c r="V73" i="20"/>
  <c r="L10" i="20"/>
  <c r="Q14" i="20"/>
  <c r="M25" i="20"/>
  <c r="P34" i="20"/>
  <c r="M53" i="20"/>
  <c r="L55" i="20"/>
  <c r="K59" i="20"/>
  <c r="V65" i="20"/>
  <c r="U10" i="20"/>
  <c r="U14" i="20"/>
  <c r="O25" i="20"/>
  <c r="R34" i="20"/>
  <c r="R47" i="20"/>
  <c r="K49" i="20"/>
  <c r="R53" i="20"/>
  <c r="N55" i="20"/>
  <c r="O59" i="20"/>
  <c r="U84" i="20"/>
  <c r="V10" i="20"/>
  <c r="M21" i="20"/>
  <c r="P25" i="20"/>
  <c r="S34" i="20"/>
  <c r="L49" i="20"/>
  <c r="N51" i="20"/>
  <c r="O55" i="20"/>
  <c r="P59" i="20"/>
  <c r="P80" i="20"/>
  <c r="V84" i="20"/>
  <c r="N21" i="20"/>
  <c r="Q23" i="20"/>
  <c r="V25" i="20"/>
  <c r="T34" i="20"/>
  <c r="P43" i="20"/>
  <c r="M49" i="20"/>
  <c r="V51" i="20"/>
  <c r="P55" i="20"/>
  <c r="K57" i="20"/>
  <c r="S80" i="20"/>
  <c r="P74" i="20"/>
  <c r="M74" i="20"/>
  <c r="M57" i="20"/>
  <c r="V38" i="20"/>
  <c r="M29" i="20"/>
  <c r="L74" i="20"/>
  <c r="S60" i="20"/>
  <c r="L57" i="20"/>
  <c r="U38" i="20"/>
  <c r="P20" i="20"/>
  <c r="E42" i="20"/>
  <c r="F42" i="20"/>
  <c r="H42" i="20"/>
  <c r="E36" i="20"/>
  <c r="F36" i="20"/>
  <c r="G36" i="20"/>
  <c r="H36" i="20"/>
  <c r="E10" i="20"/>
  <c r="G10" i="20"/>
  <c r="F10" i="20"/>
  <c r="H10" i="20"/>
  <c r="L18" i="20"/>
  <c r="R60" i="20"/>
  <c r="L20" i="20"/>
  <c r="E53" i="20"/>
  <c r="F53" i="20"/>
  <c r="G53" i="20"/>
  <c r="H53" i="20"/>
  <c r="U12" i="20"/>
  <c r="T84" i="20"/>
  <c r="K60" i="20"/>
  <c r="K54" i="20"/>
  <c r="R84" i="20"/>
  <c r="P66" i="20"/>
  <c r="P48" i="20"/>
  <c r="R45" i="20"/>
  <c r="F17" i="20"/>
  <c r="E17" i="20"/>
  <c r="C68" i="20"/>
  <c r="D68" i="20"/>
  <c r="E68" i="20"/>
  <c r="F68" i="20"/>
  <c r="G68" i="20"/>
  <c r="H68" i="20"/>
  <c r="G17" i="20"/>
  <c r="H17" i="20"/>
  <c r="E32" i="20"/>
  <c r="F32" i="20"/>
  <c r="G32" i="20"/>
  <c r="E16" i="20"/>
  <c r="F16" i="20"/>
  <c r="G16" i="20"/>
  <c r="H16" i="20"/>
  <c r="G34" i="20"/>
  <c r="H34" i="20"/>
  <c r="C63" i="20"/>
  <c r="D63" i="20"/>
  <c r="E63" i="20"/>
  <c r="M12" i="20"/>
  <c r="G27" i="20"/>
  <c r="H27" i="20"/>
  <c r="F27" i="20"/>
  <c r="D27" i="20"/>
  <c r="E27" i="20"/>
  <c r="G19" i="20"/>
  <c r="H19" i="20"/>
  <c r="C73" i="20"/>
  <c r="D73" i="20"/>
  <c r="H73" i="20"/>
  <c r="G65" i="20"/>
  <c r="H65" i="20"/>
  <c r="C57" i="20"/>
  <c r="D57" i="20"/>
  <c r="H57" i="20"/>
  <c r="E29" i="20"/>
  <c r="F29" i="20"/>
  <c r="G81" i="20"/>
  <c r="H81" i="20"/>
  <c r="G49" i="20"/>
  <c r="H49" i="20"/>
  <c r="E58" i="20"/>
  <c r="F58" i="20"/>
  <c r="G58" i="20"/>
  <c r="F28" i="20"/>
  <c r="D13" i="20"/>
  <c r="E13" i="20"/>
  <c r="E74" i="20"/>
  <c r="F74" i="20"/>
  <c r="N10" i="20"/>
  <c r="D77" i="20"/>
  <c r="D71" i="20"/>
  <c r="E71" i="20"/>
  <c r="D48" i="20"/>
  <c r="D28" i="20"/>
  <c r="D23" i="20"/>
  <c r="E23" i="20"/>
  <c r="H77" i="20"/>
  <c r="E48" i="20"/>
  <c r="F48" i="20"/>
  <c r="G48" i="20"/>
  <c r="C41" i="20"/>
  <c r="D41" i="20"/>
  <c r="H41" i="20"/>
  <c r="S84" i="20"/>
  <c r="T80" i="20"/>
  <c r="T76" i="20"/>
  <c r="K75" i="20"/>
  <c r="T72" i="20"/>
  <c r="M71" i="20"/>
  <c r="N67" i="20"/>
  <c r="M63" i="20"/>
  <c r="Q59" i="20"/>
  <c r="Q55" i="20"/>
  <c r="R51" i="20"/>
  <c r="S47" i="20"/>
  <c r="U43" i="20"/>
  <c r="L42" i="20"/>
  <c r="L38" i="20"/>
  <c r="V35" i="20"/>
  <c r="M34" i="20"/>
  <c r="L30" i="20"/>
  <c r="R26" i="20"/>
  <c r="U22" i="20"/>
  <c r="K21" i="20"/>
  <c r="Q18" i="20"/>
  <c r="L14" i="20"/>
  <c r="D84" i="20"/>
  <c r="C47" i="20"/>
  <c r="D47" i="20"/>
  <c r="E47" i="20"/>
  <c r="T32" i="20"/>
  <c r="U28" i="20"/>
  <c r="O27" i="20"/>
  <c r="O23" i="20"/>
  <c r="O19" i="20"/>
  <c r="D18" i="20"/>
  <c r="S12" i="20"/>
  <c r="E80" i="20"/>
  <c r="F80" i="20"/>
  <c r="G80" i="20"/>
  <c r="E76" i="20"/>
  <c r="D55" i="20"/>
  <c r="E55" i="20"/>
  <c r="O40" i="20"/>
  <c r="R36" i="20"/>
  <c r="S32" i="20"/>
  <c r="H31" i="20"/>
  <c r="T28" i="20"/>
  <c r="N27" i="20"/>
  <c r="E26" i="20"/>
  <c r="F26" i="20"/>
  <c r="N23" i="20"/>
  <c r="N19" i="20"/>
  <c r="R12" i="20"/>
  <c r="P32" i="20"/>
  <c r="S28" i="20"/>
  <c r="K27" i="20"/>
  <c r="T24" i="20"/>
  <c r="M23" i="20"/>
  <c r="U16" i="20"/>
  <c r="Q12" i="20"/>
  <c r="K18" i="20"/>
  <c r="M19" i="20"/>
  <c r="O20" i="20"/>
  <c r="Q21" i="20"/>
  <c r="S22" i="20"/>
  <c r="U23" i="20"/>
  <c r="K34" i="20"/>
  <c r="M35" i="20"/>
  <c r="O36" i="20"/>
  <c r="Q37" i="20"/>
  <c r="S38" i="20"/>
  <c r="U39" i="20"/>
  <c r="K50" i="20"/>
  <c r="M51" i="20"/>
  <c r="O52" i="20"/>
  <c r="Q53" i="20"/>
  <c r="S54" i="20"/>
  <c r="U55" i="20"/>
  <c r="K66" i="20"/>
  <c r="M67" i="20"/>
  <c r="O68" i="20"/>
  <c r="Q69" i="20"/>
  <c r="S70" i="20"/>
  <c r="U71" i="20"/>
  <c r="K82" i="20"/>
  <c r="M83" i="20"/>
  <c r="O84" i="20"/>
  <c r="Q85" i="20"/>
  <c r="K12" i="20"/>
  <c r="M13" i="20"/>
  <c r="O14" i="20"/>
  <c r="Q15" i="20"/>
  <c r="S16" i="20"/>
  <c r="U17" i="20"/>
  <c r="K10" i="20"/>
  <c r="M11" i="20"/>
  <c r="O12" i="20"/>
  <c r="Q13" i="20"/>
  <c r="S14" i="20"/>
  <c r="U15" i="20"/>
  <c r="K26" i="20"/>
  <c r="M27" i="20"/>
  <c r="O28" i="20"/>
  <c r="Q29" i="20"/>
  <c r="S30" i="20"/>
  <c r="U31" i="20"/>
  <c r="K42" i="20"/>
  <c r="M43" i="20"/>
  <c r="O44" i="20"/>
  <c r="Q45" i="20"/>
  <c r="S46" i="20"/>
  <c r="U47" i="20"/>
  <c r="K58" i="20"/>
  <c r="M59" i="20"/>
  <c r="O60" i="20"/>
  <c r="Q61" i="20"/>
  <c r="S62" i="20"/>
  <c r="U63" i="20"/>
  <c r="K74" i="20"/>
  <c r="M75" i="20"/>
  <c r="O76" i="20"/>
  <c r="Q77" i="20"/>
  <c r="S78" i="20"/>
  <c r="U79" i="20"/>
  <c r="U49" i="20"/>
  <c r="K48" i="20"/>
  <c r="V45" i="20"/>
  <c r="K44" i="20"/>
  <c r="G43" i="20"/>
  <c r="H43" i="20"/>
  <c r="U41" i="20"/>
  <c r="M40" i="20"/>
  <c r="P36" i="20"/>
  <c r="O32" i="20"/>
  <c r="R28" i="20"/>
  <c r="S24" i="20"/>
  <c r="L23" i="20"/>
  <c r="V20" i="20"/>
  <c r="T16" i="20"/>
  <c r="P12" i="20"/>
  <c r="K19" i="20"/>
  <c r="L36" i="20"/>
  <c r="N32" i="20"/>
  <c r="C31" i="20"/>
  <c r="D31" i="20"/>
  <c r="E31" i="20"/>
  <c r="Q28" i="20"/>
  <c r="R24" i="20"/>
  <c r="K23" i="20"/>
  <c r="U20" i="20"/>
  <c r="P16" i="20"/>
  <c r="P82" i="20"/>
  <c r="Q78" i="20"/>
  <c r="S74" i="20"/>
  <c r="K73" i="20"/>
  <c r="V70" i="20"/>
  <c r="L69" i="20"/>
  <c r="T66" i="20"/>
  <c r="M65" i="20"/>
  <c r="E64" i="20"/>
  <c r="F64" i="20"/>
  <c r="G64" i="20"/>
  <c r="N61" i="20"/>
  <c r="O57" i="20"/>
  <c r="S53" i="20"/>
  <c r="Q49" i="20"/>
  <c r="T45" i="20"/>
  <c r="S41" i="20"/>
  <c r="K40" i="20"/>
  <c r="D39" i="20"/>
  <c r="E39" i="20"/>
  <c r="K36" i="20"/>
  <c r="M32" i="20"/>
  <c r="P28" i="20"/>
  <c r="Q24" i="20"/>
  <c r="T20" i="20"/>
  <c r="O16" i="20"/>
  <c r="C15" i="20"/>
  <c r="D15" i="20"/>
  <c r="E15" i="20"/>
  <c r="L12" i="20"/>
  <c r="G11" i="20"/>
  <c r="H11" i="20"/>
  <c r="V80" i="20"/>
  <c r="T79" i="20"/>
  <c r="R78" i="20"/>
  <c r="P77" i="20"/>
  <c r="N76" i="20"/>
  <c r="L75" i="20"/>
  <c r="V64" i="20"/>
  <c r="T63" i="20"/>
  <c r="R62" i="20"/>
  <c r="P61" i="20"/>
  <c r="N60" i="20"/>
  <c r="L59" i="20"/>
  <c r="V48" i="20"/>
  <c r="T47" i="20"/>
  <c r="R46" i="20"/>
  <c r="P45" i="20"/>
  <c r="N44" i="20"/>
  <c r="L43" i="20"/>
  <c r="V32" i="20"/>
  <c r="T31" i="20"/>
  <c r="R30" i="20"/>
  <c r="P29" i="20"/>
  <c r="N28" i="20"/>
  <c r="L27" i="20"/>
  <c r="V16" i="20"/>
  <c r="T15" i="20"/>
  <c r="R14" i="20"/>
  <c r="P13" i="20"/>
  <c r="N12" i="20"/>
  <c r="L11" i="20"/>
  <c r="V82" i="20"/>
  <c r="T81" i="20"/>
  <c r="R80" i="20"/>
  <c r="P79" i="20"/>
  <c r="N78" i="20"/>
  <c r="L77" i="20"/>
  <c r="V66" i="20"/>
  <c r="T65" i="20"/>
  <c r="R64" i="20"/>
  <c r="P63" i="20"/>
  <c r="N62" i="20"/>
  <c r="L61" i="20"/>
  <c r="V50" i="20"/>
  <c r="T49" i="20"/>
  <c r="R48" i="20"/>
  <c r="P47" i="20"/>
  <c r="N46" i="20"/>
  <c r="L45" i="20"/>
  <c r="V34" i="20"/>
  <c r="T33" i="20"/>
  <c r="R32" i="20"/>
  <c r="P31" i="20"/>
  <c r="N30" i="20"/>
  <c r="L29" i="20"/>
  <c r="V18" i="20"/>
  <c r="T17" i="20"/>
  <c r="R16" i="20"/>
  <c r="P15" i="20"/>
  <c r="N14" i="20"/>
  <c r="L13" i="20"/>
  <c r="U82" i="20"/>
  <c r="S81" i="20"/>
  <c r="Q80" i="20"/>
  <c r="O79" i="20"/>
  <c r="M78" i="20"/>
  <c r="K77" i="20"/>
  <c r="U66" i="20"/>
  <c r="S65" i="20"/>
  <c r="Q64" i="20"/>
  <c r="O63" i="20"/>
  <c r="M62" i="20"/>
  <c r="K61" i="20"/>
  <c r="U50" i="20"/>
  <c r="S49" i="20"/>
  <c r="Q48" i="20"/>
  <c r="O47" i="20"/>
  <c r="M46" i="20"/>
  <c r="K45" i="20"/>
  <c r="U34" i="20"/>
  <c r="S33" i="20"/>
  <c r="Q32" i="20"/>
  <c r="O31" i="20"/>
  <c r="M30" i="20"/>
  <c r="K29" i="20"/>
  <c r="U18" i="20"/>
  <c r="S17" i="20"/>
  <c r="Q16" i="20"/>
  <c r="O15" i="20"/>
  <c r="M14" i="20"/>
  <c r="K13" i="20"/>
  <c r="P85" i="20"/>
  <c r="N84" i="20"/>
  <c r="L83" i="20"/>
  <c r="V72" i="20"/>
  <c r="T71" i="20"/>
  <c r="R70" i="20"/>
  <c r="P69" i="20"/>
  <c r="N68" i="20"/>
  <c r="L67" i="20"/>
  <c r="V56" i="20"/>
  <c r="T55" i="20"/>
  <c r="R54" i="20"/>
  <c r="P53" i="20"/>
  <c r="N52" i="20"/>
  <c r="L51" i="20"/>
  <c r="V40" i="20"/>
  <c r="T39" i="20"/>
  <c r="R38" i="20"/>
  <c r="P37" i="20"/>
  <c r="N36" i="20"/>
  <c r="L35" i="20"/>
  <c r="V24" i="20"/>
  <c r="T23" i="20"/>
  <c r="R22" i="20"/>
  <c r="P21" i="20"/>
  <c r="N20" i="20"/>
  <c r="L19" i="20"/>
  <c r="O85" i="20"/>
  <c r="M84" i="20"/>
  <c r="K83" i="20"/>
  <c r="U72" i="20"/>
  <c r="S71" i="20"/>
  <c r="Q70" i="20"/>
  <c r="O69" i="20"/>
  <c r="M68" i="20"/>
  <c r="K67" i="20"/>
  <c r="U56" i="20"/>
  <c r="S55" i="20"/>
  <c r="Q54" i="20"/>
  <c r="O53" i="20"/>
  <c r="M52" i="20"/>
  <c r="K51" i="20"/>
  <c r="U40" i="20"/>
  <c r="S39" i="20"/>
  <c r="Q38" i="20"/>
  <c r="O37" i="20"/>
  <c r="M36" i="20"/>
  <c r="K35" i="20"/>
  <c r="U24" i="20"/>
  <c r="S23" i="20"/>
  <c r="Q22" i="20"/>
  <c r="O21" i="20"/>
  <c r="M20" i="20"/>
  <c r="T63" i="16"/>
  <c r="V25" i="16"/>
  <c r="P28" i="16"/>
  <c r="Q10" i="16"/>
  <c r="P68" i="16"/>
  <c r="O68" i="16"/>
  <c r="P30" i="16"/>
  <c r="U30" i="16"/>
  <c r="M74" i="16"/>
  <c r="L78" i="16"/>
  <c r="Q74" i="16"/>
  <c r="V20" i="16"/>
  <c r="N28" i="16"/>
  <c r="U25" i="16"/>
  <c r="T26" i="16"/>
  <c r="U26" i="16"/>
  <c r="O11" i="16"/>
  <c r="U23" i="16"/>
  <c r="V27" i="16"/>
  <c r="U27" i="16"/>
  <c r="S27" i="16"/>
  <c r="U42" i="16"/>
  <c r="T42" i="16"/>
  <c r="L45" i="17"/>
  <c r="E80" i="19"/>
  <c r="F80" i="19"/>
  <c r="G80" i="19"/>
  <c r="H80" i="19"/>
  <c r="C66" i="19"/>
  <c r="D66" i="19"/>
  <c r="E66" i="19"/>
  <c r="F66" i="19"/>
  <c r="G66" i="19"/>
  <c r="H66" i="19"/>
  <c r="D23" i="19"/>
  <c r="E23" i="19"/>
  <c r="F23" i="19"/>
  <c r="G23" i="19"/>
  <c r="E64" i="19"/>
  <c r="F64" i="19"/>
  <c r="G64" i="19"/>
  <c r="H64" i="19"/>
  <c r="D64" i="19"/>
  <c r="G53" i="19"/>
  <c r="H53" i="19"/>
  <c r="D36" i="19"/>
  <c r="E36" i="19"/>
  <c r="D58" i="19"/>
  <c r="H84" i="19"/>
  <c r="D10" i="19"/>
  <c r="E10" i="19"/>
  <c r="F10" i="19"/>
  <c r="E68" i="19"/>
  <c r="F68" i="19"/>
  <c r="G84" i="19"/>
  <c r="G81" i="19"/>
  <c r="H81" i="19"/>
  <c r="E72" i="19"/>
  <c r="F67" i="19"/>
  <c r="E56" i="19"/>
  <c r="G49" i="19"/>
  <c r="H49" i="19"/>
  <c r="E32" i="19"/>
  <c r="F32" i="19"/>
  <c r="G32" i="19"/>
  <c r="H32" i="19"/>
  <c r="H24" i="19"/>
  <c r="D39" i="19"/>
  <c r="G39" i="19"/>
  <c r="H39" i="19"/>
  <c r="G35" i="19"/>
  <c r="H35" i="19"/>
  <c r="H25" i="19"/>
  <c r="E25" i="19"/>
  <c r="F25" i="19"/>
  <c r="D83" i="19"/>
  <c r="E83" i="19"/>
  <c r="F83" i="19"/>
  <c r="G83" i="19"/>
  <c r="H83" i="19"/>
  <c r="F84" i="19"/>
  <c r="G24" i="19"/>
  <c r="E84" i="19"/>
  <c r="D67" i="19"/>
  <c r="E24" i="19"/>
  <c r="G85" i="19"/>
  <c r="H85" i="19"/>
  <c r="D84" i="19"/>
  <c r="F72" i="19"/>
  <c r="H72" i="19"/>
  <c r="F56" i="19"/>
  <c r="G56" i="19"/>
  <c r="H56" i="19"/>
  <c r="D24" i="19"/>
  <c r="E16" i="19"/>
  <c r="F16" i="19"/>
  <c r="G16" i="19"/>
  <c r="H16" i="19"/>
  <c r="G17" i="19"/>
  <c r="H17" i="19"/>
  <c r="F17" i="19"/>
  <c r="C84" i="19"/>
  <c r="G41" i="19"/>
  <c r="C24" i="19"/>
  <c r="G65" i="19"/>
  <c r="H65" i="19"/>
  <c r="D65" i="19"/>
  <c r="E65" i="19"/>
  <c r="C63" i="19"/>
  <c r="D63" i="19"/>
  <c r="E63" i="19"/>
  <c r="F63" i="19"/>
  <c r="G63" i="19"/>
  <c r="H63" i="19"/>
  <c r="G33" i="19"/>
  <c r="H33" i="19"/>
  <c r="D33" i="19"/>
  <c r="E33" i="19"/>
  <c r="E21" i="19"/>
  <c r="F21" i="19"/>
  <c r="G21" i="19"/>
  <c r="H21" i="19"/>
  <c r="C79" i="19"/>
  <c r="D79" i="19"/>
  <c r="E79" i="19"/>
  <c r="F79" i="19"/>
  <c r="G79" i="19"/>
  <c r="H79" i="19"/>
  <c r="H52" i="19"/>
  <c r="H41" i="19"/>
  <c r="G50" i="19"/>
  <c r="H50" i="19"/>
  <c r="D16" i="19"/>
  <c r="F65" i="19"/>
  <c r="E41" i="19"/>
  <c r="C16" i="19"/>
  <c r="C47" i="19"/>
  <c r="D47" i="19"/>
  <c r="E47" i="19"/>
  <c r="F47" i="19"/>
  <c r="G47" i="19"/>
  <c r="H47" i="19"/>
  <c r="H37" i="19"/>
  <c r="D73" i="19"/>
  <c r="E57" i="19"/>
  <c r="G40" i="19"/>
  <c r="C31" i="19"/>
  <c r="D31" i="19"/>
  <c r="E31" i="19"/>
  <c r="F31" i="19"/>
  <c r="G31" i="19"/>
  <c r="H31" i="19"/>
  <c r="C15" i="19"/>
  <c r="D15" i="19"/>
  <c r="E15" i="19"/>
  <c r="F15" i="19"/>
  <c r="G15" i="19"/>
  <c r="H15" i="19"/>
  <c r="D48" i="19"/>
  <c r="C40" i="19"/>
  <c r="E48" i="19"/>
  <c r="F48" i="19"/>
  <c r="G48" i="19"/>
  <c r="H48" i="19"/>
  <c r="T81" i="17"/>
  <c r="O34" i="17"/>
  <c r="P42" i="17"/>
  <c r="M57" i="17"/>
  <c r="V61" i="17"/>
  <c r="P65" i="17"/>
  <c r="U69" i="17"/>
  <c r="P80" i="17"/>
  <c r="T42" i="17"/>
  <c r="U30" i="17"/>
  <c r="L38" i="17"/>
  <c r="Q62" i="17"/>
  <c r="Q32" i="17"/>
  <c r="V52" i="17"/>
  <c r="M81" i="17"/>
  <c r="L85" i="17"/>
  <c r="R41" i="17"/>
  <c r="P18" i="17"/>
  <c r="T52" i="17"/>
  <c r="S18" i="17"/>
  <c r="U52" i="17"/>
  <c r="R77" i="17"/>
  <c r="V44" i="17"/>
  <c r="O22" i="17"/>
  <c r="O56" i="17"/>
  <c r="V37" i="17"/>
  <c r="Q75" i="17"/>
  <c r="U37" i="17"/>
  <c r="V70" i="17"/>
  <c r="R75" i="17"/>
  <c r="K34" i="17"/>
  <c r="S42" i="17"/>
  <c r="U51" i="17"/>
  <c r="M76" i="17"/>
  <c r="O46" i="17"/>
  <c r="U42" i="17"/>
  <c r="U54" i="17"/>
  <c r="K66" i="17"/>
  <c r="M34" i="17"/>
  <c r="T24" i="17"/>
  <c r="Q42" i="17"/>
  <c r="V51" i="17"/>
  <c r="R42" i="17"/>
  <c r="N80" i="17"/>
  <c r="T35" i="17"/>
  <c r="U35" i="17"/>
  <c r="Q52" i="17"/>
  <c r="P64" i="17"/>
  <c r="K60" i="17"/>
  <c r="Q64" i="17"/>
  <c r="K18" i="17"/>
  <c r="S72" i="17"/>
  <c r="S28" i="17"/>
  <c r="Q55" i="17"/>
  <c r="P46" i="17"/>
  <c r="L28" i="17"/>
  <c r="L22" i="17"/>
  <c r="M32" i="17"/>
  <c r="M41" i="17"/>
  <c r="P55" i="17"/>
  <c r="U32" i="17"/>
  <c r="Q41" i="17"/>
  <c r="N56" i="17"/>
  <c r="P34" i="17"/>
  <c r="N43" i="17"/>
  <c r="P56" i="17"/>
  <c r="K38" i="17"/>
  <c r="M38" i="17"/>
  <c r="O65" i="17"/>
  <c r="V12" i="17"/>
  <c r="Q20" i="17"/>
  <c r="N38" i="17"/>
  <c r="M53" i="17"/>
  <c r="N53" i="17"/>
  <c r="K49" i="17"/>
  <c r="K57" i="17"/>
  <c r="L40" i="17"/>
  <c r="U20" i="16"/>
  <c r="V47" i="16"/>
  <c r="R10" i="16"/>
  <c r="V23" i="16"/>
  <c r="T27" i="16"/>
  <c r="Q68" i="16"/>
  <c r="K85" i="16"/>
  <c r="Q20" i="16"/>
  <c r="K78" i="16"/>
  <c r="N11" i="16"/>
  <c r="K49" i="16"/>
  <c r="Q18" i="16"/>
  <c r="M23" i="16"/>
  <c r="T22" i="16"/>
  <c r="V63" i="16"/>
  <c r="P55" i="16"/>
  <c r="L68" i="16"/>
  <c r="T10" i="16"/>
  <c r="L14" i="16"/>
  <c r="N58" i="16"/>
  <c r="Q75" i="16"/>
  <c r="L11" i="16"/>
  <c r="R75" i="16"/>
  <c r="M67" i="16"/>
  <c r="K11" i="16"/>
  <c r="V44" i="16"/>
  <c r="N16" i="16"/>
  <c r="S40" i="16"/>
  <c r="K53" i="16"/>
  <c r="L58" i="16"/>
  <c r="M58" i="16"/>
  <c r="P75" i="16"/>
  <c r="U59" i="16"/>
  <c r="P65" i="16"/>
  <c r="O48" i="17"/>
  <c r="R18" i="16"/>
  <c r="M22" i="17"/>
  <c r="P10" i="16"/>
  <c r="Q28" i="16"/>
  <c r="K28" i="17"/>
  <c r="L32" i="17"/>
  <c r="O43" i="17"/>
  <c r="O55" i="17"/>
  <c r="M66" i="17"/>
  <c r="O75" i="17"/>
  <c r="P79" i="17"/>
  <c r="Q28" i="17"/>
  <c r="T32" i="17"/>
  <c r="R52" i="17"/>
  <c r="S67" i="17"/>
  <c r="O80" i="17"/>
  <c r="F69" i="18"/>
  <c r="C19" i="18"/>
  <c r="D19" i="18"/>
  <c r="E19" i="18"/>
  <c r="F19" i="18"/>
  <c r="C63" i="18"/>
  <c r="D63" i="18"/>
  <c r="E63" i="18"/>
  <c r="F63" i="18"/>
  <c r="G63" i="18"/>
  <c r="H63" i="18"/>
  <c r="D69" i="18"/>
  <c r="G69" i="18"/>
  <c r="H69" i="18"/>
  <c r="G35" i="18"/>
  <c r="H35" i="18"/>
  <c r="E35" i="18"/>
  <c r="F35" i="18"/>
  <c r="D71" i="18"/>
  <c r="H71" i="18"/>
  <c r="F71" i="18"/>
  <c r="G71" i="18"/>
  <c r="C71" i="18"/>
  <c r="E71" i="18"/>
  <c r="E80" i="18"/>
  <c r="F80" i="18"/>
  <c r="G80" i="18"/>
  <c r="H80" i="18"/>
  <c r="C80" i="18"/>
  <c r="D55" i="18"/>
  <c r="H55" i="18"/>
  <c r="E55" i="18"/>
  <c r="F55" i="18"/>
  <c r="G55" i="18"/>
  <c r="G17" i="18"/>
  <c r="H17" i="18"/>
  <c r="E17" i="18"/>
  <c r="F17" i="18"/>
  <c r="E16" i="18"/>
  <c r="F16" i="18"/>
  <c r="G16" i="18"/>
  <c r="H16" i="18"/>
  <c r="C16" i="18"/>
  <c r="D16" i="18"/>
  <c r="C67" i="18"/>
  <c r="E25" i="18"/>
  <c r="D25" i="18"/>
  <c r="AI5" i="18"/>
  <c r="F33" i="18"/>
  <c r="C25" i="18"/>
  <c r="D33" i="18"/>
  <c r="H57" i="18"/>
  <c r="C57" i="18"/>
  <c r="D57" i="18"/>
  <c r="E57" i="18"/>
  <c r="F57" i="18"/>
  <c r="C79" i="18"/>
  <c r="D79" i="18"/>
  <c r="E79" i="18"/>
  <c r="F79" i="18"/>
  <c r="G79" i="18"/>
  <c r="H79" i="18"/>
  <c r="G33" i="18"/>
  <c r="H33" i="18"/>
  <c r="E33" i="18"/>
  <c r="H19" i="18"/>
  <c r="G19" i="18"/>
  <c r="F56" i="18"/>
  <c r="D23" i="18"/>
  <c r="H23" i="18"/>
  <c r="G65" i="18"/>
  <c r="H65" i="18"/>
  <c r="E65" i="18"/>
  <c r="E48" i="18"/>
  <c r="F48" i="18"/>
  <c r="G48" i="18"/>
  <c r="H48" i="18"/>
  <c r="C48" i="18"/>
  <c r="H72" i="18"/>
  <c r="C31" i="18"/>
  <c r="D31" i="18"/>
  <c r="E31" i="18"/>
  <c r="F31" i="18"/>
  <c r="G31" i="18"/>
  <c r="H31" i="18"/>
  <c r="G72" i="18"/>
  <c r="H53" i="18"/>
  <c r="G85" i="18"/>
  <c r="D51" i="18"/>
  <c r="D34" i="18"/>
  <c r="C15" i="18"/>
  <c r="D15" i="18"/>
  <c r="E15" i="18"/>
  <c r="F15" i="18"/>
  <c r="G15" i="18"/>
  <c r="H15" i="18"/>
  <c r="H66" i="18"/>
  <c r="E85" i="18"/>
  <c r="F66" i="18"/>
  <c r="D66" i="18"/>
  <c r="G41" i="18"/>
  <c r="F41" i="18"/>
  <c r="G49" i="18"/>
  <c r="H49" i="18"/>
  <c r="E49" i="18"/>
  <c r="E41" i="18"/>
  <c r="G39" i="18"/>
  <c r="E32" i="18"/>
  <c r="F32" i="18"/>
  <c r="G32" i="18"/>
  <c r="H32" i="18"/>
  <c r="C32" i="18"/>
  <c r="H56" i="18"/>
  <c r="D41" i="18"/>
  <c r="F39" i="18"/>
  <c r="H18" i="18"/>
  <c r="G73" i="18"/>
  <c r="G56" i="18"/>
  <c r="C41" i="18"/>
  <c r="E39" i="18"/>
  <c r="H37" i="18"/>
  <c r="F18" i="18"/>
  <c r="E56" i="18"/>
  <c r="E18" i="18"/>
  <c r="E64" i="18"/>
  <c r="F64" i="18"/>
  <c r="G64" i="18"/>
  <c r="H64" i="18"/>
  <c r="C64" i="18"/>
  <c r="D56" i="18"/>
  <c r="D39" i="18"/>
  <c r="H39" i="18"/>
  <c r="D18" i="18"/>
  <c r="G81" i="18"/>
  <c r="H81" i="18"/>
  <c r="E81" i="18"/>
  <c r="C56" i="18"/>
  <c r="C47" i="18"/>
  <c r="D47" i="18"/>
  <c r="E47" i="18"/>
  <c r="F47" i="18"/>
  <c r="G47" i="18"/>
  <c r="H47" i="18"/>
  <c r="C18" i="18"/>
  <c r="G76" i="18"/>
  <c r="E75" i="18"/>
  <c r="G60" i="18"/>
  <c r="E59" i="18"/>
  <c r="G44" i="18"/>
  <c r="E43" i="18"/>
  <c r="G28" i="18"/>
  <c r="E27" i="18"/>
  <c r="G12" i="18"/>
  <c r="E11" i="18"/>
  <c r="F76" i="18"/>
  <c r="F60" i="18"/>
  <c r="F44" i="18"/>
  <c r="F28" i="18"/>
  <c r="F12" i="18"/>
  <c r="D76" i="18"/>
  <c r="G78" i="18"/>
  <c r="E77" i="18"/>
  <c r="G62" i="18"/>
  <c r="E61" i="18"/>
  <c r="G46" i="18"/>
  <c r="E45" i="18"/>
  <c r="G30" i="18"/>
  <c r="E29" i="18"/>
  <c r="G14" i="18"/>
  <c r="E13" i="18"/>
  <c r="J5" i="18"/>
  <c r="E78" i="18"/>
  <c r="E62" i="18"/>
  <c r="E46" i="18"/>
  <c r="E30" i="18"/>
  <c r="E14" i="18"/>
  <c r="D30" i="18"/>
  <c r="D14" i="18"/>
  <c r="J4" i="18"/>
  <c r="P12" i="15"/>
  <c r="T63" i="15"/>
  <c r="P39" i="15"/>
  <c r="Q41" i="15"/>
  <c r="O30" i="16"/>
  <c r="T18" i="16"/>
  <c r="M80" i="17"/>
  <c r="M56" i="17"/>
  <c r="S49" i="17"/>
  <c r="K45" i="17"/>
  <c r="N22" i="17"/>
  <c r="T58" i="16"/>
  <c r="L49" i="17"/>
  <c r="Q34" i="17"/>
  <c r="K27" i="17"/>
  <c r="P11" i="16"/>
  <c r="T36" i="17"/>
  <c r="U33" i="17"/>
  <c r="M15" i="17"/>
  <c r="K17" i="17"/>
  <c r="L46" i="17"/>
  <c r="M60" i="17"/>
  <c r="Q76" i="17"/>
  <c r="R79" i="17"/>
  <c r="N39" i="17"/>
  <c r="M46" i="17"/>
  <c r="P60" i="17"/>
  <c r="S76" i="17"/>
  <c r="K43" i="17"/>
  <c r="N46" i="17"/>
  <c r="O64" i="17"/>
  <c r="T76" i="17"/>
  <c r="U14" i="17"/>
  <c r="N34" i="17"/>
  <c r="K41" i="17"/>
  <c r="M47" i="17"/>
  <c r="S58" i="17"/>
  <c r="Q65" i="17"/>
  <c r="S77" i="17"/>
  <c r="K84" i="17"/>
  <c r="V43" i="16"/>
  <c r="U82" i="17"/>
  <c r="L47" i="17"/>
  <c r="S36" i="17"/>
  <c r="T33" i="17"/>
  <c r="L29" i="17"/>
  <c r="L82" i="16"/>
  <c r="T82" i="17"/>
  <c r="K47" i="17"/>
  <c r="R36" i="17"/>
  <c r="S33" i="17"/>
  <c r="V25" i="17"/>
  <c r="K82" i="16"/>
  <c r="S82" i="17"/>
  <c r="O78" i="17"/>
  <c r="R58" i="17"/>
  <c r="Q36" i="17"/>
  <c r="K46" i="17"/>
  <c r="Q17" i="16"/>
  <c r="R28" i="16"/>
  <c r="Q55" i="16"/>
  <c r="O78" i="16"/>
  <c r="P12" i="16"/>
  <c r="S28" i="16"/>
  <c r="R55" i="16"/>
  <c r="N75" i="16"/>
  <c r="M83" i="16"/>
  <c r="T47" i="16"/>
  <c r="K68" i="16"/>
  <c r="O75" i="16"/>
  <c r="V83" i="16"/>
  <c r="K14" i="16"/>
  <c r="T76" i="16"/>
  <c r="U34" i="16"/>
  <c r="Q65" i="16"/>
  <c r="O73" i="16"/>
  <c r="S43" i="16"/>
  <c r="K52" i="16"/>
  <c r="P73" i="16"/>
  <c r="S22" i="16"/>
  <c r="U29" i="16"/>
  <c r="T43" i="16"/>
  <c r="L52" i="16"/>
  <c r="R73" i="16"/>
  <c r="U76" i="16"/>
  <c r="R23" i="16"/>
  <c r="T30" i="16"/>
  <c r="L53" i="16"/>
  <c r="N74" i="16"/>
  <c r="Q82" i="17"/>
  <c r="Q43" i="17"/>
  <c r="L17" i="10"/>
  <c r="Q79" i="17"/>
  <c r="P76" i="17"/>
  <c r="L60" i="17"/>
  <c r="Q53" i="17"/>
  <c r="M19" i="17"/>
  <c r="K31" i="17"/>
  <c r="S41" i="17"/>
  <c r="T72" i="17"/>
  <c r="O19" i="17"/>
  <c r="S48" i="17"/>
  <c r="O58" i="17"/>
  <c r="T48" i="17"/>
  <c r="P58" i="17"/>
  <c r="K80" i="17"/>
  <c r="M83" i="17"/>
  <c r="U12" i="17"/>
  <c r="P16" i="17"/>
  <c r="U23" i="17"/>
  <c r="U48" i="17"/>
  <c r="K55" i="17"/>
  <c r="Q58" i="17"/>
  <c r="U61" i="17"/>
  <c r="L80" i="17"/>
  <c r="O83" i="17"/>
  <c r="K56" i="17"/>
  <c r="K62" i="17"/>
  <c r="N81" i="17"/>
  <c r="L84" i="17"/>
  <c r="G75" i="17"/>
  <c r="H75" i="17"/>
  <c r="F75" i="17"/>
  <c r="G81" i="17"/>
  <c r="H81" i="17"/>
  <c r="E81" i="17"/>
  <c r="F81" i="17"/>
  <c r="G65" i="17"/>
  <c r="H65" i="17"/>
  <c r="F65" i="17"/>
  <c r="H74" i="17"/>
  <c r="D39" i="17"/>
  <c r="E39" i="17"/>
  <c r="H39" i="17"/>
  <c r="F39" i="17"/>
  <c r="G39" i="17"/>
  <c r="G74" i="17"/>
  <c r="F74" i="17"/>
  <c r="C26" i="17"/>
  <c r="D26" i="17"/>
  <c r="E26" i="17"/>
  <c r="G26" i="17"/>
  <c r="H26" i="17"/>
  <c r="H10" i="17"/>
  <c r="D74" i="17"/>
  <c r="C31" i="17"/>
  <c r="D31" i="17"/>
  <c r="F31" i="17"/>
  <c r="E31" i="17"/>
  <c r="G31" i="17"/>
  <c r="H31" i="17"/>
  <c r="H44" i="17"/>
  <c r="D44" i="17"/>
  <c r="E44" i="17"/>
  <c r="F44" i="17"/>
  <c r="G44" i="17"/>
  <c r="C50" i="17"/>
  <c r="D50" i="17"/>
  <c r="E50" i="17"/>
  <c r="F50" i="17"/>
  <c r="G50" i="17"/>
  <c r="H50" i="17"/>
  <c r="H25" i="17"/>
  <c r="F25" i="17"/>
  <c r="G25" i="17"/>
  <c r="E25" i="17"/>
  <c r="K81" i="17"/>
  <c r="O79" i="17"/>
  <c r="L65" i="17"/>
  <c r="C63" i="17"/>
  <c r="D63" i="17"/>
  <c r="F63" i="17"/>
  <c r="S61" i="17"/>
  <c r="N55" i="17"/>
  <c r="O45" i="17"/>
  <c r="P41" i="17"/>
  <c r="M39" i="17"/>
  <c r="T37" i="17"/>
  <c r="P33" i="17"/>
  <c r="D21" i="17"/>
  <c r="L79" i="17"/>
  <c r="M55" i="17"/>
  <c r="T53" i="17"/>
  <c r="V49" i="17"/>
  <c r="N45" i="17"/>
  <c r="O41" i="17"/>
  <c r="S37" i="17"/>
  <c r="H35" i="17"/>
  <c r="O33" i="17"/>
  <c r="S22" i="17"/>
  <c r="E67" i="17"/>
  <c r="F67" i="17"/>
  <c r="G67" i="17"/>
  <c r="H67" i="17"/>
  <c r="L55" i="17"/>
  <c r="S53" i="17"/>
  <c r="U49" i="17"/>
  <c r="V47" i="17"/>
  <c r="M45" i="17"/>
  <c r="N41" i="17"/>
  <c r="M37" i="17"/>
  <c r="G35" i="17"/>
  <c r="N33" i="17"/>
  <c r="P22" i="17"/>
  <c r="C79" i="17"/>
  <c r="D79" i="17"/>
  <c r="F79" i="17"/>
  <c r="R72" i="17"/>
  <c r="U70" i="17"/>
  <c r="V66" i="17"/>
  <c r="P62" i="17"/>
  <c r="R51" i="17"/>
  <c r="H41" i="17"/>
  <c r="D41" i="17"/>
  <c r="E41" i="17"/>
  <c r="C41" i="17"/>
  <c r="F41" i="17"/>
  <c r="G41" i="17"/>
  <c r="T30" i="17"/>
  <c r="N24" i="17"/>
  <c r="K22" i="17"/>
  <c r="O20" i="17"/>
  <c r="U16" i="17"/>
  <c r="Q14" i="17"/>
  <c r="T12" i="17"/>
  <c r="V10" i="17"/>
  <c r="U80" i="17"/>
  <c r="U74" i="17"/>
  <c r="Q72" i="17"/>
  <c r="L70" i="17"/>
  <c r="V68" i="17"/>
  <c r="R66" i="17"/>
  <c r="O62" i="17"/>
  <c r="M51" i="17"/>
  <c r="Q30" i="17"/>
  <c r="V26" i="17"/>
  <c r="M24" i="17"/>
  <c r="L20" i="17"/>
  <c r="T16" i="17"/>
  <c r="P14" i="17"/>
  <c r="S12" i="17"/>
  <c r="U10" i="17"/>
  <c r="T80" i="17"/>
  <c r="T74" i="17"/>
  <c r="P72" i="17"/>
  <c r="K70" i="17"/>
  <c r="U68" i="17"/>
  <c r="P66" i="17"/>
  <c r="N62" i="17"/>
  <c r="V58" i="17"/>
  <c r="S56" i="17"/>
  <c r="V38" i="17"/>
  <c r="D37" i="17"/>
  <c r="H37" i="17"/>
  <c r="T34" i="17"/>
  <c r="P30" i="17"/>
  <c r="U26" i="17"/>
  <c r="L24" i="17"/>
  <c r="K20" i="17"/>
  <c r="V18" i="17"/>
  <c r="S16" i="17"/>
  <c r="O14" i="17"/>
  <c r="T10" i="17"/>
  <c r="V84" i="17"/>
  <c r="S80" i="17"/>
  <c r="V76" i="17"/>
  <c r="S74" i="17"/>
  <c r="O72" i="17"/>
  <c r="K68" i="17"/>
  <c r="O66" i="17"/>
  <c r="M62" i="17"/>
  <c r="V60" i="17"/>
  <c r="U58" i="17"/>
  <c r="R56" i="17"/>
  <c r="U38" i="17"/>
  <c r="S34" i="17"/>
  <c r="O30" i="17"/>
  <c r="M26" i="17"/>
  <c r="K24" i="17"/>
  <c r="U18" i="17"/>
  <c r="R16" i="17"/>
  <c r="N14" i="17"/>
  <c r="Q10" i="17"/>
  <c r="U84" i="17"/>
  <c r="V82" i="17"/>
  <c r="R80" i="17"/>
  <c r="U76" i="17"/>
  <c r="P74" i="17"/>
  <c r="N72" i="17"/>
  <c r="N66" i="17"/>
  <c r="R64" i="17"/>
  <c r="L62" i="17"/>
  <c r="Q60" i="17"/>
  <c r="T58" i="17"/>
  <c r="Q56" i="17"/>
  <c r="C47" i="17"/>
  <c r="D47" i="17"/>
  <c r="F47" i="17"/>
  <c r="O38" i="17"/>
  <c r="R34" i="17"/>
  <c r="L26" i="17"/>
  <c r="T18" i="17"/>
  <c r="Q16" i="17"/>
  <c r="M14" i="17"/>
  <c r="G58" i="17"/>
  <c r="H58" i="17"/>
  <c r="D58" i="17"/>
  <c r="E58" i="17"/>
  <c r="F58" i="17"/>
  <c r="R48" i="17"/>
  <c r="S69" i="17"/>
  <c r="M50" i="17"/>
  <c r="P23" i="17"/>
  <c r="R11" i="17"/>
  <c r="K50" i="17"/>
  <c r="T27" i="17"/>
  <c r="T83" i="17"/>
  <c r="M73" i="17"/>
  <c r="N69" i="17"/>
  <c r="V65" i="17"/>
  <c r="V29" i="17"/>
  <c r="S27" i="17"/>
  <c r="R25" i="17"/>
  <c r="N23" i="17"/>
  <c r="V21" i="17"/>
  <c r="V19" i="17"/>
  <c r="V85" i="17"/>
  <c r="S83" i="17"/>
  <c r="V75" i="17"/>
  <c r="K73" i="17"/>
  <c r="U71" i="17"/>
  <c r="M69" i="17"/>
  <c r="U65" i="17"/>
  <c r="E48" i="17"/>
  <c r="F48" i="17"/>
  <c r="H48" i="17"/>
  <c r="C48" i="17"/>
  <c r="D48" i="17"/>
  <c r="G48" i="17"/>
  <c r="C42" i="17"/>
  <c r="D42" i="17"/>
  <c r="E42" i="17"/>
  <c r="G42" i="17"/>
  <c r="H42" i="17"/>
  <c r="U29" i="17"/>
  <c r="R27" i="17"/>
  <c r="Q25" i="17"/>
  <c r="M23" i="17"/>
  <c r="U19" i="17"/>
  <c r="O15" i="17"/>
  <c r="K13" i="17"/>
  <c r="N11" i="17"/>
  <c r="T11" i="17"/>
  <c r="N50" i="17"/>
  <c r="O42" i="17"/>
  <c r="Q23" i="17"/>
  <c r="L52" i="17"/>
  <c r="T44" i="17"/>
  <c r="T25" i="17"/>
  <c r="K52" i="17"/>
  <c r="F40" i="17"/>
  <c r="G40" i="17"/>
  <c r="S25" i="17"/>
  <c r="O23" i="17"/>
  <c r="Q11" i="17"/>
  <c r="O11" i="17"/>
  <c r="T85" i="17"/>
  <c r="R83" i="17"/>
  <c r="U75" i="17"/>
  <c r="Q71" i="17"/>
  <c r="L69" i="17"/>
  <c r="V67" i="17"/>
  <c r="T65" i="17"/>
  <c r="Q63" i="17"/>
  <c r="O59" i="17"/>
  <c r="S29" i="17"/>
  <c r="Q27" i="17"/>
  <c r="P25" i="17"/>
  <c r="T19" i="17"/>
  <c r="N17" i="17"/>
  <c r="N15" i="17"/>
  <c r="K11" i="17"/>
  <c r="E64" i="17"/>
  <c r="F64" i="17"/>
  <c r="H64" i="17"/>
  <c r="R23" i="17"/>
  <c r="U25" i="17"/>
  <c r="E32" i="17"/>
  <c r="F32" i="17"/>
  <c r="H32" i="17"/>
  <c r="Q69" i="17"/>
  <c r="Q15" i="17"/>
  <c r="P15" i="17"/>
  <c r="S85" i="17"/>
  <c r="Q83" i="17"/>
  <c r="V81" i="17"/>
  <c r="V79" i="17"/>
  <c r="V77" i="17"/>
  <c r="T75" i="17"/>
  <c r="N71" i="17"/>
  <c r="K69" i="17"/>
  <c r="U67" i="17"/>
  <c r="S65" i="17"/>
  <c r="N59" i="17"/>
  <c r="V57" i="17"/>
  <c r="U55" i="17"/>
  <c r="M31" i="17"/>
  <c r="R29" i="17"/>
  <c r="O27" i="17"/>
  <c r="H21" i="17"/>
  <c r="Q19" i="17"/>
  <c r="M17" i="17"/>
  <c r="F82" i="17"/>
  <c r="G82" i="17"/>
  <c r="H82" i="17"/>
  <c r="T69" i="17"/>
  <c r="O52" i="17"/>
  <c r="U44" i="17"/>
  <c r="S11" i="17"/>
  <c r="K25" i="17"/>
  <c r="S26" i="17"/>
  <c r="M30" i="17"/>
  <c r="K39" i="17"/>
  <c r="R40" i="17"/>
  <c r="M44" i="17"/>
  <c r="L58" i="17"/>
  <c r="O63" i="17"/>
  <c r="S68" i="17"/>
  <c r="L72" i="17"/>
  <c r="M12" i="17"/>
  <c r="N16" i="17"/>
  <c r="V17" i="17"/>
  <c r="T21" i="17"/>
  <c r="R35" i="17"/>
  <c r="Q49" i="17"/>
  <c r="K53" i="17"/>
  <c r="P54" i="17"/>
  <c r="U59" i="17"/>
  <c r="S73" i="17"/>
  <c r="N77" i="17"/>
  <c r="M10" i="17"/>
  <c r="V11" i="17"/>
  <c r="S15" i="17"/>
  <c r="S19" i="17"/>
  <c r="L23" i="17"/>
  <c r="S24" i="17"/>
  <c r="P28" i="17"/>
  <c r="K32" i="17"/>
  <c r="R33" i="17"/>
  <c r="L37" i="17"/>
  <c r="S38" i="17"/>
  <c r="M42" i="17"/>
  <c r="V43" i="17"/>
  <c r="O17" i="17"/>
  <c r="R20" i="17"/>
  <c r="T28" i="17"/>
  <c r="N31" i="17"/>
  <c r="U34" i="17"/>
  <c r="O39" i="17"/>
  <c r="V42" i="17"/>
  <c r="N47" i="17"/>
  <c r="P50" i="17"/>
  <c r="U53" i="17"/>
  <c r="T56" i="17"/>
  <c r="K61" i="17"/>
  <c r="T62" i="17"/>
  <c r="M67" i="17"/>
  <c r="M70" i="17"/>
  <c r="N73" i="17"/>
  <c r="O81" i="17"/>
  <c r="O84" i="17"/>
  <c r="K14" i="17"/>
  <c r="P17" i="17"/>
  <c r="S20" i="17"/>
  <c r="U28" i="17"/>
  <c r="O31" i="17"/>
  <c r="V34" i="17"/>
  <c r="P39" i="17"/>
  <c r="P47" i="17"/>
  <c r="Q50" i="17"/>
  <c r="V53" i="17"/>
  <c r="L61" i="17"/>
  <c r="U62" i="17"/>
  <c r="K64" i="17"/>
  <c r="O67" i="17"/>
  <c r="N70" i="17"/>
  <c r="U73" i="17"/>
  <c r="K78" i="17"/>
  <c r="P81" i="17"/>
  <c r="Q84" i="17"/>
  <c r="U20" i="17"/>
  <c r="N25" i="17"/>
  <c r="L36" i="17"/>
  <c r="R47" i="17"/>
  <c r="O61" i="17"/>
  <c r="P70" i="17"/>
  <c r="R81" i="17"/>
  <c r="S84" i="17"/>
  <c r="M33" i="17"/>
  <c r="U39" i="17"/>
  <c r="R61" i="17"/>
  <c r="K75" i="17"/>
  <c r="N78" i="17"/>
  <c r="S81" i="17"/>
  <c r="Q17" i="17"/>
  <c r="T20" i="17"/>
  <c r="V28" i="17"/>
  <c r="P31" i="17"/>
  <c r="K33" i="17"/>
  <c r="K36" i="17"/>
  <c r="Q39" i="17"/>
  <c r="Q47" i="17"/>
  <c r="R50" i="17"/>
  <c r="M61" i="17"/>
  <c r="L64" i="17"/>
  <c r="P67" i="17"/>
  <c r="O70" i="17"/>
  <c r="V73" i="17"/>
  <c r="L78" i="17"/>
  <c r="Q81" i="17"/>
  <c r="R84" i="17"/>
  <c r="L33" i="17"/>
  <c r="R39" i="17"/>
  <c r="Q44" i="17"/>
  <c r="M64" i="17"/>
  <c r="Q67" i="17"/>
  <c r="M78" i="17"/>
  <c r="L14" i="17"/>
  <c r="V20" i="17"/>
  <c r="O25" i="17"/>
  <c r="O36" i="17"/>
  <c r="S44" i="17"/>
  <c r="S47" i="17"/>
  <c r="N64" i="17"/>
  <c r="R67" i="17"/>
  <c r="S70" i="17"/>
  <c r="T84" i="17"/>
  <c r="L13" i="17"/>
  <c r="M18" i="17"/>
  <c r="O24" i="17"/>
  <c r="U27" i="17"/>
  <c r="N32" i="17"/>
  <c r="V35" i="17"/>
  <c r="R43" i="17"/>
  <c r="Q46" i="17"/>
  <c r="L48" i="17"/>
  <c r="O51" i="17"/>
  <c r="O57" i="17"/>
  <c r="S60" i="17"/>
  <c r="R63" i="17"/>
  <c r="S66" i="17"/>
  <c r="V69" i="17"/>
  <c r="K71" i="17"/>
  <c r="L74" i="17"/>
  <c r="O10" i="17"/>
  <c r="M13" i="17"/>
  <c r="N18" i="17"/>
  <c r="K21" i="17"/>
  <c r="P24" i="17"/>
  <c r="V27" i="17"/>
  <c r="O32" i="17"/>
  <c r="S43" i="17"/>
  <c r="T46" i="17"/>
  <c r="M48" i="17"/>
  <c r="P51" i="17"/>
  <c r="P57" i="17"/>
  <c r="T60" i="17"/>
  <c r="S63" i="17"/>
  <c r="T66" i="17"/>
  <c r="L71" i="17"/>
  <c r="M74" i="17"/>
  <c r="O74" i="17"/>
  <c r="P10" i="17"/>
  <c r="N13" i="17"/>
  <c r="O18" i="17"/>
  <c r="L21" i="17"/>
  <c r="Q24" i="17"/>
  <c r="K29" i="17"/>
  <c r="P32" i="17"/>
  <c r="K40" i="17"/>
  <c r="T43" i="17"/>
  <c r="U46" i="17"/>
  <c r="N48" i="17"/>
  <c r="Q51" i="17"/>
  <c r="K54" i="17"/>
  <c r="Q57" i="17"/>
  <c r="U60" i="17"/>
  <c r="V63" i="17"/>
  <c r="U66" i="17"/>
  <c r="M71" i="17"/>
  <c r="K79" i="17"/>
  <c r="K85" i="17"/>
  <c r="R10" i="17"/>
  <c r="S13" i="17"/>
  <c r="K15" i="17"/>
  <c r="Q18" i="17"/>
  <c r="M29" i="17"/>
  <c r="R32" i="17"/>
  <c r="N37" i="17"/>
  <c r="M40" i="17"/>
  <c r="P48" i="17"/>
  <c r="S51" i="17"/>
  <c r="V54" i="17"/>
  <c r="T57" i="17"/>
  <c r="M65" i="17"/>
  <c r="O71" i="17"/>
  <c r="Q74" i="17"/>
  <c r="K76" i="17"/>
  <c r="M79" i="17"/>
  <c r="M85" i="17"/>
  <c r="S10" i="17"/>
  <c r="L15" i="17"/>
  <c r="R18" i="17"/>
  <c r="N29" i="17"/>
  <c r="S32" i="17"/>
  <c r="Q37" i="17"/>
  <c r="T40" i="17"/>
  <c r="Q48" i="17"/>
  <c r="T51" i="17"/>
  <c r="U57" i="17"/>
  <c r="N65" i="17"/>
  <c r="P71" i="17"/>
  <c r="R74" i="17"/>
  <c r="L76" i="17"/>
  <c r="N79" i="17"/>
  <c r="K82" i="17"/>
  <c r="N85" i="17"/>
  <c r="O13" i="17"/>
  <c r="Q85" i="17"/>
  <c r="P83" i="17"/>
  <c r="U81" i="17"/>
  <c r="S79" i="17"/>
  <c r="U77" i="17"/>
  <c r="S75" i="17"/>
  <c r="T67" i="17"/>
  <c r="R65" i="17"/>
  <c r="K59" i="17"/>
  <c r="R57" i="17"/>
  <c r="R55" i="17"/>
  <c r="T41" i="17"/>
  <c r="V33" i="17"/>
  <c r="L31" i="17"/>
  <c r="O29" i="17"/>
  <c r="N27" i="17"/>
  <c r="G21" i="17"/>
  <c r="P19" i="17"/>
  <c r="L17" i="17"/>
  <c r="E28" i="17"/>
  <c r="G23" i="17"/>
  <c r="E12" i="17"/>
  <c r="D53" i="17"/>
  <c r="G53" i="17"/>
  <c r="H53" i="17"/>
  <c r="D23" i="17"/>
  <c r="E23" i="17"/>
  <c r="H23" i="17"/>
  <c r="C76" i="17"/>
  <c r="D76" i="17"/>
  <c r="E76" i="17"/>
  <c r="G76" i="17"/>
  <c r="F76" i="17"/>
  <c r="H76" i="17"/>
  <c r="E34" i="17"/>
  <c r="F34" i="17"/>
  <c r="G34" i="17"/>
  <c r="H34" i="17"/>
  <c r="F56" i="17"/>
  <c r="G56" i="17"/>
  <c r="U13" i="17"/>
  <c r="E27" i="17"/>
  <c r="F27" i="17"/>
  <c r="F72" i="17"/>
  <c r="G72" i="17"/>
  <c r="H72" i="17"/>
  <c r="D69" i="17"/>
  <c r="E69" i="17"/>
  <c r="L12" i="17"/>
  <c r="E16" i="17"/>
  <c r="F16" i="17"/>
  <c r="H16" i="17"/>
  <c r="G49" i="17"/>
  <c r="H49" i="17"/>
  <c r="G17" i="17"/>
  <c r="H17" i="17"/>
  <c r="U85" i="17"/>
  <c r="Q80" i="17"/>
  <c r="N75" i="17"/>
  <c r="R71" i="17"/>
  <c r="Q66" i="17"/>
  <c r="K65" i="17"/>
  <c r="N61" i="17"/>
  <c r="S57" i="17"/>
  <c r="L56" i="17"/>
  <c r="D55" i="17"/>
  <c r="E55" i="17"/>
  <c r="H55" i="17"/>
  <c r="S52" i="17"/>
  <c r="O47" i="17"/>
  <c r="U43" i="17"/>
  <c r="L42" i="17"/>
  <c r="P38" i="17"/>
  <c r="K37" i="17"/>
  <c r="Q33" i="17"/>
  <c r="M28" i="17"/>
  <c r="R24" i="17"/>
  <c r="K23" i="17"/>
  <c r="R19" i="17"/>
  <c r="R15" i="17"/>
  <c r="U11" i="17"/>
  <c r="R82" i="17"/>
  <c r="L81" i="17"/>
  <c r="E80" i="17"/>
  <c r="F80" i="17"/>
  <c r="H80" i="17"/>
  <c r="O77" i="17"/>
  <c r="T73" i="17"/>
  <c r="M72" i="17"/>
  <c r="T68" i="17"/>
  <c r="P63" i="17"/>
  <c r="V59" i="17"/>
  <c r="M58" i="17"/>
  <c r="S54" i="17"/>
  <c r="L53" i="17"/>
  <c r="R49" i="17"/>
  <c r="K48" i="17"/>
  <c r="P44" i="17"/>
  <c r="S40" i="17"/>
  <c r="L39" i="17"/>
  <c r="S35" i="17"/>
  <c r="N30" i="17"/>
  <c r="T26" i="17"/>
  <c r="M25" i="17"/>
  <c r="U21" i="17"/>
  <c r="O16" i="17"/>
  <c r="Q12" i="17"/>
  <c r="C15" i="17"/>
  <c r="D15" i="17"/>
  <c r="F15" i="17"/>
  <c r="C85" i="17"/>
  <c r="P82" i="17"/>
  <c r="U78" i="17"/>
  <c r="M77" i="17"/>
  <c r="R73" i="17"/>
  <c r="K72" i="17"/>
  <c r="R68" i="17"/>
  <c r="N63" i="17"/>
  <c r="T59" i="17"/>
  <c r="C57" i="17"/>
  <c r="O54" i="17"/>
  <c r="V50" i="17"/>
  <c r="P49" i="17"/>
  <c r="V45" i="17"/>
  <c r="L44" i="17"/>
  <c r="D43" i="17"/>
  <c r="Q40" i="17"/>
  <c r="Q35" i="17"/>
  <c r="V31" i="17"/>
  <c r="L30" i="17"/>
  <c r="R26" i="17"/>
  <c r="F24" i="17"/>
  <c r="G24" i="17"/>
  <c r="S21" i="17"/>
  <c r="U17" i="17"/>
  <c r="M16" i="17"/>
  <c r="D11" i="17"/>
  <c r="D71" i="17"/>
  <c r="E71" i="17"/>
  <c r="H71" i="17"/>
  <c r="G33" i="17"/>
  <c r="H33" i="17"/>
  <c r="O82" i="17"/>
  <c r="T78" i="17"/>
  <c r="L77" i="17"/>
  <c r="Q73" i="17"/>
  <c r="Q68" i="17"/>
  <c r="U64" i="17"/>
  <c r="M63" i="17"/>
  <c r="S59" i="17"/>
  <c r="N54" i="17"/>
  <c r="U50" i="17"/>
  <c r="O49" i="17"/>
  <c r="U45" i="17"/>
  <c r="K44" i="17"/>
  <c r="P40" i="17"/>
  <c r="P35" i="17"/>
  <c r="S31" i="17"/>
  <c r="K30" i="17"/>
  <c r="Q26" i="17"/>
  <c r="Q21" i="17"/>
  <c r="T17" i="17"/>
  <c r="L16" i="17"/>
  <c r="K12" i="17"/>
  <c r="K19" i="17"/>
  <c r="M20" i="17"/>
  <c r="O21" i="17"/>
  <c r="Q22" i="17"/>
  <c r="S23" i="17"/>
  <c r="U24" i="17"/>
  <c r="K35" i="17"/>
  <c r="M36" i="17"/>
  <c r="O37" i="17"/>
  <c r="Q38" i="17"/>
  <c r="S39" i="17"/>
  <c r="U40" i="17"/>
  <c r="K51" i="17"/>
  <c r="M52" i="17"/>
  <c r="O53" i="17"/>
  <c r="Q54" i="17"/>
  <c r="S55" i="17"/>
  <c r="U56" i="17"/>
  <c r="K67" i="17"/>
  <c r="M68" i="17"/>
  <c r="O69" i="17"/>
  <c r="Q70" i="17"/>
  <c r="S71" i="17"/>
  <c r="U72" i="17"/>
  <c r="K83" i="17"/>
  <c r="M84" i="17"/>
  <c r="O85" i="17"/>
  <c r="L19" i="17"/>
  <c r="N20" i="17"/>
  <c r="P21" i="17"/>
  <c r="R22" i="17"/>
  <c r="T23" i="17"/>
  <c r="V24" i="17"/>
  <c r="L35" i="17"/>
  <c r="N36" i="17"/>
  <c r="P37" i="17"/>
  <c r="R38" i="17"/>
  <c r="T39" i="17"/>
  <c r="V40" i="17"/>
  <c r="L51" i="17"/>
  <c r="N52" i="17"/>
  <c r="P53" i="17"/>
  <c r="R54" i="17"/>
  <c r="T55" i="17"/>
  <c r="V56" i="17"/>
  <c r="L67" i="17"/>
  <c r="N68" i="17"/>
  <c r="P69" i="17"/>
  <c r="R70" i="17"/>
  <c r="T71" i="17"/>
  <c r="V72" i="17"/>
  <c r="L83" i="17"/>
  <c r="N84" i="17"/>
  <c r="P85" i="17"/>
  <c r="L18" i="17"/>
  <c r="N19" i="17"/>
  <c r="P20" i="17"/>
  <c r="R21" i="17"/>
  <c r="T22" i="17"/>
  <c r="V23" i="17"/>
  <c r="L34" i="17"/>
  <c r="N35" i="17"/>
  <c r="P36" i="17"/>
  <c r="R37" i="17"/>
  <c r="T38" i="17"/>
  <c r="V39" i="17"/>
  <c r="L50" i="17"/>
  <c r="N51" i="17"/>
  <c r="P52" i="17"/>
  <c r="R53" i="17"/>
  <c r="T54" i="17"/>
  <c r="V55" i="17"/>
  <c r="L66" i="17"/>
  <c r="N67" i="17"/>
  <c r="P68" i="17"/>
  <c r="R69" i="17"/>
  <c r="T70" i="17"/>
  <c r="V71" i="17"/>
  <c r="L82" i="17"/>
  <c r="N83" i="17"/>
  <c r="P84" i="17"/>
  <c r="R85" i="17"/>
  <c r="L11" i="17"/>
  <c r="N12" i="17"/>
  <c r="P13" i="17"/>
  <c r="R14" i="17"/>
  <c r="T15" i="17"/>
  <c r="V16" i="17"/>
  <c r="L27" i="17"/>
  <c r="N28" i="17"/>
  <c r="P29" i="17"/>
  <c r="R30" i="17"/>
  <c r="T31" i="17"/>
  <c r="V32" i="17"/>
  <c r="L43" i="17"/>
  <c r="N44" i="17"/>
  <c r="P45" i="17"/>
  <c r="R46" i="17"/>
  <c r="T47" i="17"/>
  <c r="V48" i="17"/>
  <c r="L59" i="17"/>
  <c r="N60" i="17"/>
  <c r="P61" i="17"/>
  <c r="R62" i="17"/>
  <c r="T63" i="17"/>
  <c r="V64" i="17"/>
  <c r="L75" i="17"/>
  <c r="N76" i="17"/>
  <c r="P77" i="17"/>
  <c r="R78" i="17"/>
  <c r="T79" i="17"/>
  <c r="V80" i="17"/>
  <c r="L10" i="17"/>
  <c r="P12" i="17"/>
  <c r="R13" i="17"/>
  <c r="T14" i="17"/>
  <c r="V15" i="17"/>
  <c r="K10" i="17"/>
  <c r="M11" i="17"/>
  <c r="O12" i="17"/>
  <c r="Q13" i="17"/>
  <c r="S14" i="17"/>
  <c r="U15" i="17"/>
  <c r="K26" i="17"/>
  <c r="M27" i="17"/>
  <c r="O28" i="17"/>
  <c r="Q29" i="17"/>
  <c r="S30" i="17"/>
  <c r="U31" i="17"/>
  <c r="K42" i="17"/>
  <c r="M43" i="17"/>
  <c r="O44" i="17"/>
  <c r="Q45" i="17"/>
  <c r="S46" i="17"/>
  <c r="U47" i="17"/>
  <c r="K58" i="17"/>
  <c r="M59" i="17"/>
  <c r="O60" i="17"/>
  <c r="Q61" i="17"/>
  <c r="S62" i="17"/>
  <c r="U63" i="17"/>
  <c r="K74" i="17"/>
  <c r="M75" i="17"/>
  <c r="O76" i="17"/>
  <c r="Q77" i="17"/>
  <c r="S78" i="17"/>
  <c r="U79" i="17"/>
  <c r="N10" i="17"/>
  <c r="P11" i="17"/>
  <c r="R12" i="17"/>
  <c r="T13" i="17"/>
  <c r="V14" i="17"/>
  <c r="L25" i="17"/>
  <c r="N26" i="17"/>
  <c r="P27" i="17"/>
  <c r="R28" i="17"/>
  <c r="T29" i="17"/>
  <c r="V30" i="17"/>
  <c r="L41" i="17"/>
  <c r="N42" i="17"/>
  <c r="P43" i="17"/>
  <c r="R44" i="17"/>
  <c r="T45" i="17"/>
  <c r="V46" i="17"/>
  <c r="L57" i="17"/>
  <c r="N58" i="17"/>
  <c r="P59" i="17"/>
  <c r="R60" i="17"/>
  <c r="T61" i="17"/>
  <c r="V62" i="17"/>
  <c r="L73" i="17"/>
  <c r="N74" i="17"/>
  <c r="P75" i="17"/>
  <c r="R76" i="17"/>
  <c r="T77" i="17"/>
  <c r="V78" i="17"/>
  <c r="V83" i="17"/>
  <c r="N82" i="17"/>
  <c r="Q78" i="17"/>
  <c r="K77" i="17"/>
  <c r="P73" i="17"/>
  <c r="O68" i="17"/>
  <c r="T64" i="17"/>
  <c r="L63" i="17"/>
  <c r="R59" i="17"/>
  <c r="M54" i="17"/>
  <c r="T50" i="17"/>
  <c r="N49" i="17"/>
  <c r="S45" i="17"/>
  <c r="V41" i="17"/>
  <c r="O40" i="17"/>
  <c r="V36" i="17"/>
  <c r="O35" i="17"/>
  <c r="R31" i="17"/>
  <c r="P26" i="17"/>
  <c r="V22" i="17"/>
  <c r="N21" i="17"/>
  <c r="S17" i="17"/>
  <c r="K16" i="17"/>
  <c r="V13" i="17"/>
  <c r="U83" i="17"/>
  <c r="M82" i="17"/>
  <c r="P78" i="17"/>
  <c r="V74" i="17"/>
  <c r="O73" i="17"/>
  <c r="L68" i="17"/>
  <c r="S64" i="17"/>
  <c r="K63" i="17"/>
  <c r="Q59" i="17"/>
  <c r="L54" i="17"/>
  <c r="S50" i="17"/>
  <c r="M49" i="17"/>
  <c r="R45" i="17"/>
  <c r="U41" i="17"/>
  <c r="N40" i="17"/>
  <c r="U36" i="17"/>
  <c r="M35" i="17"/>
  <c r="Q31" i="17"/>
  <c r="O26" i="17"/>
  <c r="U22" i="17"/>
  <c r="M21" i="17"/>
  <c r="R17" i="17"/>
  <c r="S59" i="16"/>
  <c r="R43" i="16"/>
  <c r="S29" i="16"/>
  <c r="V26" i="16"/>
  <c r="M18" i="16"/>
  <c r="S10" i="16"/>
  <c r="N53" i="16"/>
  <c r="U69" i="16"/>
  <c r="L61" i="16"/>
  <c r="M53" i="16"/>
  <c r="L10" i="16"/>
  <c r="M25" i="16"/>
  <c r="T28" i="16"/>
  <c r="R30" i="16"/>
  <c r="U35" i="16"/>
  <c r="K40" i="16"/>
  <c r="U43" i="16"/>
  <c r="R45" i="16"/>
  <c r="R47" i="16"/>
  <c r="T59" i="16"/>
  <c r="S61" i="16"/>
  <c r="S63" i="16"/>
  <c r="U67" i="16"/>
  <c r="N69" i="16"/>
  <c r="N71" i="16"/>
  <c r="Q73" i="16"/>
  <c r="V78" i="16"/>
  <c r="S82" i="16"/>
  <c r="U84" i="16"/>
  <c r="K17" i="16"/>
  <c r="S19" i="16"/>
  <c r="V29" i="16"/>
  <c r="M34" i="16"/>
  <c r="L41" i="16"/>
  <c r="T44" i="16"/>
  <c r="P46" i="16"/>
  <c r="K55" i="16"/>
  <c r="K57" i="16"/>
  <c r="T60" i="16"/>
  <c r="Q62" i="16"/>
  <c r="S68" i="16"/>
  <c r="O70" i="16"/>
  <c r="O72" i="16"/>
  <c r="O74" i="16"/>
  <c r="U83" i="16"/>
  <c r="S85" i="16"/>
  <c r="O25" i="16"/>
  <c r="O33" i="16"/>
  <c r="N38" i="16"/>
  <c r="T40" i="16"/>
  <c r="R42" i="16"/>
  <c r="L44" i="16"/>
  <c r="K46" i="16"/>
  <c r="T48" i="16"/>
  <c r="S50" i="16"/>
  <c r="U60" i="16"/>
  <c r="U62" i="16"/>
  <c r="K65" i="16"/>
  <c r="L73" i="16"/>
  <c r="R78" i="16"/>
  <c r="Q82" i="16"/>
  <c r="V84" i="16"/>
  <c r="T19" i="16"/>
  <c r="K24" i="16"/>
  <c r="M26" i="16"/>
  <c r="M32" i="16"/>
  <c r="V34" i="16"/>
  <c r="L37" i="16"/>
  <c r="Q39" i="16"/>
  <c r="V41" i="16"/>
  <c r="O43" i="16"/>
  <c r="M45" i="16"/>
  <c r="P47" i="16"/>
  <c r="V49" i="16"/>
  <c r="V59" i="16"/>
  <c r="K64" i="16"/>
  <c r="K66" i="16"/>
  <c r="V81" i="16"/>
  <c r="T83" i="16"/>
  <c r="U85" i="16"/>
  <c r="U12" i="16"/>
  <c r="U14" i="16"/>
  <c r="M19" i="16"/>
  <c r="N26" i="16"/>
  <c r="O32" i="16"/>
  <c r="U48" i="16"/>
  <c r="L55" i="16"/>
  <c r="M57" i="16"/>
  <c r="M63" i="16"/>
  <c r="U65" i="16"/>
  <c r="S67" i="16"/>
  <c r="Q69" i="16"/>
  <c r="Q71" i="16"/>
  <c r="S75" i="16"/>
  <c r="O77" i="16"/>
  <c r="P79" i="16"/>
  <c r="P81" i="16"/>
  <c r="N83" i="16"/>
  <c r="R85" i="16"/>
  <c r="V12" i="16"/>
  <c r="V14" i="16"/>
  <c r="N19" i="16"/>
  <c r="O26" i="16"/>
  <c r="P32" i="16"/>
  <c r="N35" i="16"/>
  <c r="L40" i="16"/>
  <c r="M42" i="16"/>
  <c r="V48" i="16"/>
  <c r="M55" i="16"/>
  <c r="N57" i="16"/>
  <c r="N63" i="16"/>
  <c r="V65" i="16"/>
  <c r="T67" i="16"/>
  <c r="R69" i="16"/>
  <c r="R71" i="16"/>
  <c r="T75" i="16"/>
  <c r="P77" i="16"/>
  <c r="Q79" i="16"/>
  <c r="Q81" i="16"/>
  <c r="O83" i="16"/>
  <c r="T85" i="16"/>
  <c r="O19" i="16"/>
  <c r="M24" i="16"/>
  <c r="P26" i="16"/>
  <c r="Q32" i="16"/>
  <c r="O35" i="16"/>
  <c r="M40" i="16"/>
  <c r="N42" i="16"/>
  <c r="L46" i="16"/>
  <c r="N55" i="16"/>
  <c r="O57" i="16"/>
  <c r="O63" i="16"/>
  <c r="V67" i="16"/>
  <c r="S69" i="16"/>
  <c r="U71" i="16"/>
  <c r="U75" i="16"/>
  <c r="R77" i="16"/>
  <c r="R79" i="16"/>
  <c r="R81" i="16"/>
  <c r="P83" i="16"/>
  <c r="U19" i="16"/>
  <c r="N24" i="16"/>
  <c r="Q26" i="16"/>
  <c r="R32" i="16"/>
  <c r="S35" i="16"/>
  <c r="N40" i="16"/>
  <c r="O42" i="16"/>
  <c r="K44" i="16"/>
  <c r="M46" i="16"/>
  <c r="O55" i="16"/>
  <c r="P57" i="16"/>
  <c r="K61" i="16"/>
  <c r="P63" i="16"/>
  <c r="T69" i="16"/>
  <c r="V75" i="16"/>
  <c r="S77" i="16"/>
  <c r="S79" i="16"/>
  <c r="S81" i="16"/>
  <c r="S83" i="16"/>
  <c r="R25" i="16"/>
  <c r="L31" i="16"/>
  <c r="T33" i="16"/>
  <c r="V36" i="16"/>
  <c r="N41" i="16"/>
  <c r="O47" i="16"/>
  <c r="K54" i="16"/>
  <c r="L56" i="16"/>
  <c r="T64" i="16"/>
  <c r="V66" i="16"/>
  <c r="R68" i="16"/>
  <c r="S70" i="16"/>
  <c r="T72" i="16"/>
  <c r="R76" i="16"/>
  <c r="M78" i="16"/>
  <c r="S80" i="16"/>
  <c r="M82" i="16"/>
  <c r="S84" i="16"/>
  <c r="S25" i="16"/>
  <c r="K27" i="16"/>
  <c r="M31" i="16"/>
  <c r="U33" i="16"/>
  <c r="O41" i="16"/>
  <c r="K45" i="16"/>
  <c r="Q47" i="16"/>
  <c r="L54" i="16"/>
  <c r="M56" i="16"/>
  <c r="U64" i="16"/>
  <c r="U68" i="16"/>
  <c r="T70" i="16"/>
  <c r="S76" i="16"/>
  <c r="N78" i="16"/>
  <c r="T80" i="16"/>
  <c r="N82" i="16"/>
  <c r="V10" i="16"/>
  <c r="Q12" i="16"/>
  <c r="T14" i="16"/>
  <c r="L22" i="16"/>
  <c r="R24" i="16"/>
  <c r="K34" i="16"/>
  <c r="R39" i="16"/>
  <c r="Q46" i="16"/>
  <c r="P49" i="16"/>
  <c r="T51" i="16"/>
  <c r="Q53" i="16"/>
  <c r="K56" i="16"/>
  <c r="O58" i="16"/>
  <c r="L60" i="16"/>
  <c r="O62" i="16"/>
  <c r="R65" i="16"/>
  <c r="P72" i="16"/>
  <c r="U74" i="16"/>
  <c r="V76" i="16"/>
  <c r="K79" i="16"/>
  <c r="U81" i="16"/>
  <c r="K37" i="16"/>
  <c r="M44" i="16"/>
  <c r="Q49" i="16"/>
  <c r="R53" i="16"/>
  <c r="N56" i="16"/>
  <c r="P58" i="16"/>
  <c r="P62" i="16"/>
  <c r="S65" i="16"/>
  <c r="Q72" i="16"/>
  <c r="V74" i="16"/>
  <c r="L79" i="16"/>
  <c r="K84" i="16"/>
  <c r="K15" i="16"/>
  <c r="P17" i="16"/>
  <c r="L20" i="16"/>
  <c r="P22" i="16"/>
  <c r="O31" i="16"/>
  <c r="S34" i="16"/>
  <c r="S42" i="16"/>
  <c r="Q44" i="16"/>
  <c r="T49" i="16"/>
  <c r="Q56" i="16"/>
  <c r="S58" i="16"/>
  <c r="R60" i="16"/>
  <c r="V62" i="16"/>
  <c r="L70" i="16"/>
  <c r="O79" i="16"/>
  <c r="P84" i="16"/>
  <c r="R12" i="16"/>
  <c r="M22" i="16"/>
  <c r="S24" i="16"/>
  <c r="L34" i="16"/>
  <c r="U39" i="16"/>
  <c r="T46" i="16"/>
  <c r="U51" i="16"/>
  <c r="M60" i="16"/>
  <c r="S12" i="16"/>
  <c r="N22" i="16"/>
  <c r="T24" i="16"/>
  <c r="K31" i="16"/>
  <c r="Q34" i="16"/>
  <c r="M37" i="16"/>
  <c r="V39" i="16"/>
  <c r="P42" i="16"/>
  <c r="N44" i="16"/>
  <c r="U46" i="16"/>
  <c r="R49" i="16"/>
  <c r="V51" i="16"/>
  <c r="S53" i="16"/>
  <c r="O56" i="16"/>
  <c r="Q58" i="16"/>
  <c r="N60" i="16"/>
  <c r="R62" i="16"/>
  <c r="T65" i="16"/>
  <c r="S72" i="16"/>
  <c r="M79" i="16"/>
  <c r="L84" i="16"/>
  <c r="O17" i="16"/>
  <c r="K20" i="16"/>
  <c r="O22" i="16"/>
  <c r="N31" i="16"/>
  <c r="R34" i="16"/>
  <c r="Q37" i="16"/>
  <c r="Q42" i="16"/>
  <c r="P44" i="16"/>
  <c r="V46" i="16"/>
  <c r="S49" i="16"/>
  <c r="P56" i="16"/>
  <c r="R58" i="16"/>
  <c r="Q60" i="16"/>
  <c r="T62" i="16"/>
  <c r="K70" i="16"/>
  <c r="N79" i="16"/>
  <c r="O84" i="16"/>
  <c r="R37" i="16"/>
  <c r="S11" i="16"/>
  <c r="N23" i="16"/>
  <c r="T32" i="16"/>
  <c r="S38" i="16"/>
  <c r="K43" i="16"/>
  <c r="O45" i="16"/>
  <c r="M48" i="16"/>
  <c r="M50" i="16"/>
  <c r="U52" i="16"/>
  <c r="T57" i="16"/>
  <c r="L59" i="16"/>
  <c r="R61" i="16"/>
  <c r="N64" i="16"/>
  <c r="U66" i="16"/>
  <c r="L71" i="16"/>
  <c r="R80" i="16"/>
  <c r="M85" i="16"/>
  <c r="T11" i="16"/>
  <c r="O23" i="16"/>
  <c r="V32" i="16"/>
  <c r="T38" i="16"/>
  <c r="K41" i="16"/>
  <c r="L43" i="16"/>
  <c r="P45" i="16"/>
  <c r="N48" i="16"/>
  <c r="Q50" i="16"/>
  <c r="V52" i="16"/>
  <c r="U57" i="16"/>
  <c r="N59" i="16"/>
  <c r="T61" i="16"/>
  <c r="O64" i="16"/>
  <c r="M71" i="16"/>
  <c r="U80" i="16"/>
  <c r="N85" i="16"/>
  <c r="V11" i="16"/>
  <c r="M16" i="16"/>
  <c r="K18" i="16"/>
  <c r="K21" i="16"/>
  <c r="P23" i="16"/>
  <c r="K36" i="16"/>
  <c r="U38" i="16"/>
  <c r="M41" i="16"/>
  <c r="N43" i="16"/>
  <c r="S45" i="16"/>
  <c r="O48" i="16"/>
  <c r="R50" i="16"/>
  <c r="V57" i="16"/>
  <c r="O59" i="16"/>
  <c r="U61" i="16"/>
  <c r="Q64" i="16"/>
  <c r="O71" i="16"/>
  <c r="V80" i="16"/>
  <c r="Q85" i="16"/>
  <c r="N13" i="16"/>
  <c r="T15" i="16"/>
  <c r="U28" i="16"/>
  <c r="V30" i="16"/>
  <c r="K38" i="16"/>
  <c r="R41" i="16"/>
  <c r="U58" i="16"/>
  <c r="N61" i="16"/>
  <c r="O67" i="16"/>
  <c r="L77" i="16"/>
  <c r="N80" i="16"/>
  <c r="K47" i="16"/>
  <c r="U50" i="16"/>
  <c r="O13" i="16"/>
  <c r="V15" i="16"/>
  <c r="L21" i="16"/>
  <c r="L38" i="16"/>
  <c r="S41" i="16"/>
  <c r="K50" i="16"/>
  <c r="O61" i="16"/>
  <c r="P67" i="16"/>
  <c r="M77" i="16"/>
  <c r="O80" i="16"/>
  <c r="U77" i="16"/>
  <c r="P13" i="16"/>
  <c r="M21" i="16"/>
  <c r="O24" i="16"/>
  <c r="M38" i="16"/>
  <c r="T41" i="16"/>
  <c r="L47" i="16"/>
  <c r="L50" i="16"/>
  <c r="P61" i="16"/>
  <c r="Q67" i="16"/>
  <c r="K73" i="16"/>
  <c r="N77" i="16"/>
  <c r="P80" i="16"/>
  <c r="Q24" i="16"/>
  <c r="R13" i="16"/>
  <c r="N21" i="16"/>
  <c r="P24" i="16"/>
  <c r="T35" i="16"/>
  <c r="P38" i="16"/>
  <c r="U41" i="16"/>
  <c r="M47" i="16"/>
  <c r="T50" i="16"/>
  <c r="V61" i="16"/>
  <c r="L65" i="16"/>
  <c r="M73" i="16"/>
  <c r="T77" i="16"/>
  <c r="Q80" i="16"/>
  <c r="S13" i="16"/>
  <c r="L18" i="16"/>
  <c r="Q21" i="16"/>
  <c r="P31" i="16"/>
  <c r="V35" i="16"/>
  <c r="N47" i="16"/>
  <c r="M65" i="16"/>
  <c r="N73" i="16"/>
  <c r="K75" i="16"/>
  <c r="M14" i="16"/>
  <c r="N45" i="16"/>
  <c r="P54" i="16"/>
  <c r="R57" i="16"/>
  <c r="Q66" i="16"/>
  <c r="V68" i="16"/>
  <c r="K71" i="16"/>
  <c r="K76" i="16"/>
  <c r="P78" i="16"/>
  <c r="N14" i="16"/>
  <c r="T45" i="16"/>
  <c r="S54" i="16"/>
  <c r="S57" i="16"/>
  <c r="K63" i="16"/>
  <c r="R66" i="16"/>
  <c r="P71" i="16"/>
  <c r="L76" i="16"/>
  <c r="Q78" i="16"/>
  <c r="O14" i="16"/>
  <c r="O20" i="16"/>
  <c r="V45" i="16"/>
  <c r="T54" i="16"/>
  <c r="Q63" i="16"/>
  <c r="S66" i="16"/>
  <c r="M76" i="16"/>
  <c r="T78" i="16"/>
  <c r="M10" i="16"/>
  <c r="K12" i="16"/>
  <c r="P14" i="16"/>
  <c r="P20" i="16"/>
  <c r="O40" i="16"/>
  <c r="U54" i="16"/>
  <c r="R63" i="16"/>
  <c r="T66" i="16"/>
  <c r="L74" i="16"/>
  <c r="N76" i="16"/>
  <c r="U78" i="16"/>
  <c r="Q11" i="16"/>
  <c r="R14" i="16"/>
  <c r="R17" i="16"/>
  <c r="V42" i="16"/>
  <c r="O49" i="16"/>
  <c r="O52" i="16"/>
  <c r="U55" i="16"/>
  <c r="R74" i="16"/>
  <c r="S17" i="16"/>
  <c r="K39" i="16"/>
  <c r="L45" i="16"/>
  <c r="U49" i="16"/>
  <c r="V55" i="16"/>
  <c r="S74" i="16"/>
  <c r="K81" i="16"/>
  <c r="N39" i="16"/>
  <c r="O81" i="16"/>
  <c r="O39" i="16"/>
  <c r="N66" i="16"/>
  <c r="T81" i="16"/>
  <c r="N15" i="16"/>
  <c r="P36" i="16"/>
  <c r="K72" i="16"/>
  <c r="K25" i="16"/>
  <c r="M29" i="16"/>
  <c r="Q36" i="16"/>
  <c r="L25" i="16"/>
  <c r="M72" i="16"/>
  <c r="Q15" i="16"/>
  <c r="O29" i="16"/>
  <c r="N62" i="16"/>
  <c r="N72" i="16"/>
  <c r="M12" i="16"/>
  <c r="Q27" i="16"/>
  <c r="P40" i="16"/>
  <c r="S56" i="16"/>
  <c r="O10" i="16"/>
  <c r="T25" i="16"/>
  <c r="R29" i="16"/>
  <c r="R40" i="16"/>
  <c r="M69" i="16"/>
  <c r="R11" i="16"/>
  <c r="Q31" i="16"/>
  <c r="P52" i="16"/>
  <c r="L15" i="16"/>
  <c r="L66" i="16"/>
  <c r="L36" i="16"/>
  <c r="L29" i="16"/>
  <c r="Q84" i="16"/>
  <c r="R21" i="16"/>
  <c r="P15" i="16"/>
  <c r="S21" i="16"/>
  <c r="N29" i="16"/>
  <c r="U36" i="16"/>
  <c r="N25" i="16"/>
  <c r="N10" i="16"/>
  <c r="S15" i="16"/>
  <c r="Q25" i="16"/>
  <c r="P43" i="16"/>
  <c r="P59" i="16"/>
  <c r="L69" i="16"/>
  <c r="R27" i="16"/>
  <c r="S32" i="16"/>
  <c r="Q43" i="16"/>
  <c r="R59" i="16"/>
  <c r="U17" i="16"/>
  <c r="S31" i="16"/>
  <c r="L39" i="16"/>
  <c r="Q52" i="16"/>
  <c r="T74" i="16"/>
  <c r="K77" i="16"/>
  <c r="L81" i="16"/>
  <c r="V31" i="16"/>
  <c r="K29" i="16"/>
  <c r="L27" i="16"/>
  <c r="O15" i="16"/>
  <c r="N27" i="16"/>
  <c r="L62" i="16"/>
  <c r="L72" i="16"/>
  <c r="O27" i="16"/>
  <c r="L12" i="16"/>
  <c r="P27" i="16"/>
  <c r="K59" i="16"/>
  <c r="P29" i="16"/>
  <c r="N46" i="16"/>
  <c r="O46" i="16"/>
  <c r="V17" i="16"/>
  <c r="T31" i="16"/>
  <c r="M39" i="16"/>
  <c r="V77" i="16"/>
  <c r="M81" i="16"/>
  <c r="M15" i="16"/>
  <c r="O66" i="16"/>
  <c r="M62" i="16"/>
  <c r="R56" i="16"/>
  <c r="K69" i="16"/>
  <c r="N32" i="16"/>
  <c r="N12" i="16"/>
  <c r="T56" i="16"/>
  <c r="U10" i="16"/>
  <c r="K13" i="16"/>
  <c r="O16" i="16"/>
  <c r="U18" i="16"/>
  <c r="U22" i="16"/>
  <c r="K33" i="16"/>
  <c r="M51" i="16"/>
  <c r="L57" i="16"/>
  <c r="N67" i="16"/>
  <c r="S73" i="16"/>
  <c r="O82" i="16"/>
  <c r="L85" i="16"/>
  <c r="L13" i="16"/>
  <c r="P16" i="16"/>
  <c r="V18" i="16"/>
  <c r="P33" i="16"/>
  <c r="S37" i="16"/>
  <c r="N51" i="16"/>
  <c r="Q57" i="16"/>
  <c r="M64" i="16"/>
  <c r="T73" i="16"/>
  <c r="T79" i="16"/>
  <c r="R82" i="16"/>
  <c r="M13" i="16"/>
  <c r="Q16" i="16"/>
  <c r="Q33" i="16"/>
  <c r="O51" i="16"/>
  <c r="R64" i="16"/>
  <c r="V73" i="16"/>
  <c r="V79" i="16"/>
  <c r="U82" i="16"/>
  <c r="U13" i="16"/>
  <c r="R16" i="16"/>
  <c r="R33" i="16"/>
  <c r="P41" i="16"/>
  <c r="S51" i="16"/>
  <c r="M54" i="16"/>
  <c r="S64" i="16"/>
  <c r="M70" i="16"/>
  <c r="V82" i="16"/>
  <c r="V13" i="16"/>
  <c r="S16" i="16"/>
  <c r="S33" i="16"/>
  <c r="P48" i="16"/>
  <c r="N54" i="16"/>
  <c r="K60" i="16"/>
  <c r="V64" i="16"/>
  <c r="N70" i="16"/>
  <c r="T16" i="16"/>
  <c r="K30" i="16"/>
  <c r="Q48" i="16"/>
  <c r="O54" i="16"/>
  <c r="S60" i="16"/>
  <c r="P70" i="16"/>
  <c r="V16" i="16"/>
  <c r="V19" i="16"/>
  <c r="L26" i="16"/>
  <c r="K28" i="16"/>
  <c r="L30" i="16"/>
  <c r="R44" i="16"/>
  <c r="R48" i="16"/>
  <c r="V60" i="16"/>
  <c r="U70" i="16"/>
  <c r="R26" i="16"/>
  <c r="L28" i="16"/>
  <c r="M30" i="16"/>
  <c r="S44" i="16"/>
  <c r="S48" i="16"/>
  <c r="P76" i="16"/>
  <c r="K80" i="16"/>
  <c r="K23" i="16"/>
  <c r="S26" i="16"/>
  <c r="M28" i="16"/>
  <c r="N30" i="16"/>
  <c r="T34" i="16"/>
  <c r="U44" i="16"/>
  <c r="Q76" i="16"/>
  <c r="M80" i="16"/>
  <c r="N39" i="15"/>
  <c r="N70" i="15"/>
  <c r="P63" i="15"/>
  <c r="O58" i="15"/>
  <c r="S70" i="15"/>
  <c r="K25" i="15"/>
  <c r="N32" i="13"/>
  <c r="L64" i="15"/>
  <c r="K19" i="16"/>
  <c r="U11" i="16"/>
  <c r="T13" i="16"/>
  <c r="R15" i="16"/>
  <c r="T17" i="16"/>
  <c r="K22" i="16"/>
  <c r="L24" i="16"/>
  <c r="T29" i="16"/>
  <c r="R31" i="16"/>
  <c r="V33" i="16"/>
  <c r="O36" i="16"/>
  <c r="O38" i="16"/>
  <c r="Q40" i="16"/>
  <c r="L42" i="16"/>
  <c r="U45" i="16"/>
  <c r="S47" i="16"/>
  <c r="Q59" i="16"/>
  <c r="M61" i="16"/>
  <c r="L63" i="16"/>
  <c r="O65" i="16"/>
  <c r="V70" i="16"/>
  <c r="R72" i="16"/>
  <c r="P74" i="16"/>
  <c r="Q83" i="16"/>
  <c r="T12" i="16"/>
  <c r="Q14" i="16"/>
  <c r="U16" i="16"/>
  <c r="S18" i="16"/>
  <c r="L23" i="16"/>
  <c r="P25" i="16"/>
  <c r="V28" i="16"/>
  <c r="Q30" i="16"/>
  <c r="U32" i="16"/>
  <c r="M35" i="16"/>
  <c r="N37" i="16"/>
  <c r="P39" i="16"/>
  <c r="Q41" i="16"/>
  <c r="R46" i="16"/>
  <c r="V50" i="16"/>
  <c r="V58" i="16"/>
  <c r="P60" i="16"/>
  <c r="K62" i="16"/>
  <c r="P64" i="16"/>
  <c r="M66" i="16"/>
  <c r="V71" i="16"/>
  <c r="U73" i="16"/>
  <c r="L75" i="16"/>
  <c r="T82" i="16"/>
  <c r="R84" i="16"/>
  <c r="G81" i="16"/>
  <c r="H81" i="16"/>
  <c r="G66" i="16"/>
  <c r="H66" i="16"/>
  <c r="E48" i="16"/>
  <c r="F48" i="16"/>
  <c r="G48" i="16"/>
  <c r="H48" i="16"/>
  <c r="D48" i="16"/>
  <c r="C25" i="16"/>
  <c r="D25" i="16"/>
  <c r="E25" i="16"/>
  <c r="F25" i="16"/>
  <c r="G25" i="16"/>
  <c r="H25" i="16"/>
  <c r="G33" i="16"/>
  <c r="H33" i="16"/>
  <c r="F33" i="16"/>
  <c r="E33" i="16"/>
  <c r="E55" i="16"/>
  <c r="F55" i="16"/>
  <c r="H51" i="16"/>
  <c r="G51" i="16"/>
  <c r="E16" i="16"/>
  <c r="F16" i="16"/>
  <c r="G16" i="16"/>
  <c r="H16" i="16"/>
  <c r="F57" i="16"/>
  <c r="G57" i="16"/>
  <c r="H57" i="16"/>
  <c r="E57" i="16"/>
  <c r="G20" i="16"/>
  <c r="H20" i="16"/>
  <c r="C63" i="16"/>
  <c r="D63" i="16"/>
  <c r="E63" i="16"/>
  <c r="F63" i="16"/>
  <c r="G63" i="16"/>
  <c r="H63" i="16"/>
  <c r="F20" i="16"/>
  <c r="C34" i="16"/>
  <c r="D34" i="16"/>
  <c r="E34" i="16"/>
  <c r="F34" i="16"/>
  <c r="G34" i="16"/>
  <c r="H34" i="16"/>
  <c r="D73" i="16"/>
  <c r="E20" i="16"/>
  <c r="C47" i="16"/>
  <c r="D47" i="16"/>
  <c r="E47" i="16"/>
  <c r="F47" i="16"/>
  <c r="G47" i="16"/>
  <c r="H47" i="16"/>
  <c r="D20" i="16"/>
  <c r="F73" i="16"/>
  <c r="G73" i="16"/>
  <c r="H73" i="16"/>
  <c r="C20" i="16"/>
  <c r="C70" i="16"/>
  <c r="D70" i="16"/>
  <c r="C41" i="16"/>
  <c r="D41" i="16"/>
  <c r="E23" i="16"/>
  <c r="F23" i="16"/>
  <c r="D19" i="16"/>
  <c r="E19" i="16"/>
  <c r="F19" i="16"/>
  <c r="G19" i="16"/>
  <c r="H19" i="16"/>
  <c r="F65" i="16"/>
  <c r="F40" i="16"/>
  <c r="H35" i="16"/>
  <c r="G24" i="16"/>
  <c r="H24" i="16"/>
  <c r="C24" i="16"/>
  <c r="D24" i="16"/>
  <c r="E40" i="16"/>
  <c r="G35" i="16"/>
  <c r="G65" i="16"/>
  <c r="H65" i="16"/>
  <c r="G40" i="16"/>
  <c r="H40" i="16"/>
  <c r="D35" i="16"/>
  <c r="E35" i="16"/>
  <c r="E80" i="16"/>
  <c r="F80" i="16"/>
  <c r="G80" i="16"/>
  <c r="H80" i="16"/>
  <c r="D80" i="16"/>
  <c r="E71" i="16"/>
  <c r="F71" i="16"/>
  <c r="C38" i="16"/>
  <c r="D38" i="16"/>
  <c r="C31" i="16"/>
  <c r="D31" i="16"/>
  <c r="E31" i="16"/>
  <c r="F31" i="16"/>
  <c r="G31" i="16"/>
  <c r="H31" i="16"/>
  <c r="G83" i="16"/>
  <c r="G17" i="16"/>
  <c r="H17" i="16"/>
  <c r="G56" i="16"/>
  <c r="H56" i="16"/>
  <c r="C79" i="16"/>
  <c r="D79" i="16"/>
  <c r="E79" i="16"/>
  <c r="F79" i="16"/>
  <c r="G79" i="16"/>
  <c r="H79" i="16"/>
  <c r="E39" i="16"/>
  <c r="F39" i="16"/>
  <c r="E36" i="16"/>
  <c r="E32" i="16"/>
  <c r="F32" i="16"/>
  <c r="G32" i="16"/>
  <c r="H32" i="16"/>
  <c r="E84" i="16"/>
  <c r="G72" i="16"/>
  <c r="H72" i="16"/>
  <c r="D64" i="16"/>
  <c r="D36" i="16"/>
  <c r="G49" i="16"/>
  <c r="H49" i="16"/>
  <c r="H54" i="16"/>
  <c r="C22" i="16"/>
  <c r="D22" i="16"/>
  <c r="E64" i="16"/>
  <c r="F64" i="16"/>
  <c r="G64" i="16"/>
  <c r="H64" i="16"/>
  <c r="F54" i="16"/>
  <c r="C15" i="16"/>
  <c r="D15" i="16"/>
  <c r="E15" i="16"/>
  <c r="F15" i="16"/>
  <c r="G15" i="16"/>
  <c r="H15" i="16"/>
  <c r="C54" i="16"/>
  <c r="D54" i="16"/>
  <c r="U79" i="16"/>
  <c r="S78" i="16"/>
  <c r="Q77" i="16"/>
  <c r="O76" i="16"/>
  <c r="M75" i="16"/>
  <c r="K74" i="16"/>
  <c r="U63" i="16"/>
  <c r="S62" i="16"/>
  <c r="Q61" i="16"/>
  <c r="O60" i="16"/>
  <c r="M59" i="16"/>
  <c r="K58" i="16"/>
  <c r="U47" i="16"/>
  <c r="S46" i="16"/>
  <c r="Q45" i="16"/>
  <c r="O44" i="16"/>
  <c r="M43" i="16"/>
  <c r="K42" i="16"/>
  <c r="U31" i="16"/>
  <c r="S30" i="16"/>
  <c r="Q29" i="16"/>
  <c r="O28" i="16"/>
  <c r="M27" i="16"/>
  <c r="K26" i="16"/>
  <c r="U15" i="16"/>
  <c r="S14" i="16"/>
  <c r="Q13" i="16"/>
  <c r="O12" i="16"/>
  <c r="M11" i="16"/>
  <c r="K10" i="16"/>
  <c r="G13" i="16"/>
  <c r="V85" i="16"/>
  <c r="T84" i="16"/>
  <c r="R83" i="16"/>
  <c r="P82" i="16"/>
  <c r="N81" i="16"/>
  <c r="L80" i="16"/>
  <c r="F77" i="16"/>
  <c r="D76" i="16"/>
  <c r="V69" i="16"/>
  <c r="T68" i="16"/>
  <c r="R67" i="16"/>
  <c r="P66" i="16"/>
  <c r="N65" i="16"/>
  <c r="L64" i="16"/>
  <c r="F61" i="16"/>
  <c r="D60" i="16"/>
  <c r="V53" i="16"/>
  <c r="T52" i="16"/>
  <c r="R51" i="16"/>
  <c r="P50" i="16"/>
  <c r="N49" i="16"/>
  <c r="L48" i="16"/>
  <c r="F45" i="16"/>
  <c r="D44" i="16"/>
  <c r="V37" i="16"/>
  <c r="T36" i="16"/>
  <c r="R35" i="16"/>
  <c r="P34" i="16"/>
  <c r="N33" i="16"/>
  <c r="L32" i="16"/>
  <c r="F29" i="16"/>
  <c r="D28" i="16"/>
  <c r="V21" i="16"/>
  <c r="T20" i="16"/>
  <c r="R19" i="16"/>
  <c r="P18" i="16"/>
  <c r="N17" i="16"/>
  <c r="L16" i="16"/>
  <c r="F13" i="16"/>
  <c r="D12" i="16"/>
  <c r="AI5" i="16"/>
  <c r="E77" i="16"/>
  <c r="E61" i="16"/>
  <c r="U53" i="16"/>
  <c r="S52" i="16"/>
  <c r="Q51" i="16"/>
  <c r="O50" i="16"/>
  <c r="M49" i="16"/>
  <c r="K48" i="16"/>
  <c r="E45" i="16"/>
  <c r="U37" i="16"/>
  <c r="S36" i="16"/>
  <c r="Q35" i="16"/>
  <c r="O34" i="16"/>
  <c r="M33" i="16"/>
  <c r="K32" i="16"/>
  <c r="E29" i="16"/>
  <c r="U21" i="16"/>
  <c r="S20" i="16"/>
  <c r="Q19" i="16"/>
  <c r="O18" i="16"/>
  <c r="M17" i="16"/>
  <c r="K16" i="16"/>
  <c r="E13" i="16"/>
  <c r="V54" i="16"/>
  <c r="T53" i="16"/>
  <c r="R52" i="16"/>
  <c r="P51" i="16"/>
  <c r="N50" i="16"/>
  <c r="L49" i="16"/>
  <c r="V38" i="16"/>
  <c r="T37" i="16"/>
  <c r="R36" i="16"/>
  <c r="P35" i="16"/>
  <c r="N34" i="16"/>
  <c r="L33" i="16"/>
  <c r="V22" i="16"/>
  <c r="T21" i="16"/>
  <c r="R20" i="16"/>
  <c r="P19" i="16"/>
  <c r="N18" i="16"/>
  <c r="L17" i="16"/>
  <c r="D13" i="16"/>
  <c r="P85" i="16"/>
  <c r="N84" i="16"/>
  <c r="L83" i="16"/>
  <c r="V72" i="16"/>
  <c r="T71" i="16"/>
  <c r="R70" i="16"/>
  <c r="P69" i="16"/>
  <c r="N68" i="16"/>
  <c r="L67" i="16"/>
  <c r="V56" i="16"/>
  <c r="T55" i="16"/>
  <c r="R54" i="16"/>
  <c r="P53" i="16"/>
  <c r="N52" i="16"/>
  <c r="L51" i="16"/>
  <c r="V40" i="16"/>
  <c r="T39" i="16"/>
  <c r="R38" i="16"/>
  <c r="P37" i="16"/>
  <c r="N36" i="16"/>
  <c r="L35" i="16"/>
  <c r="V24" i="16"/>
  <c r="T23" i="16"/>
  <c r="R22" i="16"/>
  <c r="P21" i="16"/>
  <c r="N20" i="16"/>
  <c r="L19" i="16"/>
  <c r="O85" i="16"/>
  <c r="M84" i="16"/>
  <c r="K83" i="16"/>
  <c r="U72" i="16"/>
  <c r="S71" i="16"/>
  <c r="Q70" i="16"/>
  <c r="O69" i="16"/>
  <c r="M68" i="16"/>
  <c r="K67" i="16"/>
  <c r="U56" i="16"/>
  <c r="S55" i="16"/>
  <c r="Q54" i="16"/>
  <c r="O53" i="16"/>
  <c r="M52" i="16"/>
  <c r="K51" i="16"/>
  <c r="U40" i="16"/>
  <c r="S39" i="16"/>
  <c r="Q38" i="16"/>
  <c r="O37" i="16"/>
  <c r="M36" i="16"/>
  <c r="K35" i="16"/>
  <c r="U24" i="16"/>
  <c r="S23" i="16"/>
  <c r="Q22" i="16"/>
  <c r="O21" i="16"/>
  <c r="M20" i="16"/>
  <c r="Q55" i="14"/>
  <c r="M74" i="14"/>
  <c r="N85" i="14"/>
  <c r="T61" i="14"/>
  <c r="S70" i="14"/>
  <c r="T85" i="14"/>
  <c r="O22" i="14"/>
  <c r="L74" i="14"/>
  <c r="M40" i="14"/>
  <c r="U61" i="14"/>
  <c r="O40" i="14"/>
  <c r="P83" i="14"/>
  <c r="S42" i="15"/>
  <c r="R15" i="13"/>
  <c r="R76" i="15"/>
  <c r="P76" i="15"/>
  <c r="L76" i="15"/>
  <c r="L10" i="15"/>
  <c r="S67" i="15"/>
  <c r="N42" i="15"/>
  <c r="S15" i="15"/>
  <c r="M85" i="15"/>
  <c r="U80" i="15"/>
  <c r="K75" i="15"/>
  <c r="V33" i="15"/>
  <c r="U29" i="15"/>
  <c r="P79" i="13"/>
  <c r="P42" i="15"/>
  <c r="R52" i="15"/>
  <c r="O20" i="15"/>
  <c r="U66" i="15"/>
  <c r="L84" i="15"/>
  <c r="Q42" i="15"/>
  <c r="T20" i="15"/>
  <c r="O42" i="15"/>
  <c r="V70" i="15"/>
  <c r="L54" i="15"/>
  <c r="R59" i="15"/>
  <c r="O40" i="15"/>
  <c r="P78" i="15"/>
  <c r="K18" i="13"/>
  <c r="M70" i="15"/>
  <c r="N78" i="15"/>
  <c r="Q37" i="15"/>
  <c r="M37" i="15"/>
  <c r="M26" i="15"/>
  <c r="V44" i="15"/>
  <c r="N40" i="15"/>
  <c r="L40" i="15"/>
  <c r="L61" i="15"/>
  <c r="T48" i="15"/>
  <c r="T81" i="15"/>
  <c r="N61" i="15"/>
  <c r="M73" i="15"/>
  <c r="R77" i="15"/>
  <c r="N73" i="15"/>
  <c r="N57" i="15"/>
  <c r="U57" i="15"/>
  <c r="K70" i="15"/>
  <c r="T45" i="15"/>
  <c r="M54" i="15"/>
  <c r="P58" i="15"/>
  <c r="K63" i="15"/>
  <c r="T78" i="15"/>
  <c r="V28" i="15"/>
  <c r="N75" i="15"/>
  <c r="U12" i="15"/>
  <c r="V25" i="15"/>
  <c r="R74" i="15"/>
  <c r="R78" i="15"/>
  <c r="P83" i="15"/>
  <c r="V78" i="15"/>
  <c r="S74" i="15"/>
  <c r="P67" i="15"/>
  <c r="R67" i="15"/>
  <c r="U45" i="15"/>
  <c r="V50" i="15"/>
  <c r="Q64" i="15"/>
  <c r="Q85" i="15"/>
  <c r="P41" i="15"/>
  <c r="V45" i="15"/>
  <c r="R64" i="15"/>
  <c r="S72" i="15"/>
  <c r="T85" i="15"/>
  <c r="M23" i="15"/>
  <c r="M55" i="15"/>
  <c r="M81" i="15"/>
  <c r="O55" i="15"/>
  <c r="N60" i="15"/>
  <c r="M69" i="15"/>
  <c r="N33" i="15"/>
  <c r="P55" i="15"/>
  <c r="P60" i="15"/>
  <c r="N69" i="15"/>
  <c r="N26" i="15"/>
  <c r="M42" i="15"/>
  <c r="N50" i="15"/>
  <c r="S25" i="13"/>
  <c r="V41" i="13"/>
  <c r="V54" i="15"/>
  <c r="R12" i="15"/>
  <c r="N30" i="14"/>
  <c r="N31" i="14"/>
  <c r="P28" i="14"/>
  <c r="M28" i="14"/>
  <c r="R49" i="14"/>
  <c r="T30" i="14"/>
  <c r="L65" i="14"/>
  <c r="V85" i="15"/>
  <c r="O81" i="15"/>
  <c r="P77" i="15"/>
  <c r="V73" i="15"/>
  <c r="P26" i="15"/>
  <c r="U16" i="13"/>
  <c r="N62" i="13"/>
  <c r="S12" i="15"/>
  <c r="L42" i="15"/>
  <c r="M67" i="15"/>
  <c r="V81" i="15"/>
  <c r="U85" i="15"/>
  <c r="T15" i="15"/>
  <c r="V37" i="15"/>
  <c r="K61" i="15"/>
  <c r="N76" i="15"/>
  <c r="Q26" i="15"/>
  <c r="K40" i="15"/>
  <c r="V48" i="15"/>
  <c r="O52" i="15"/>
  <c r="T64" i="15"/>
  <c r="S75" i="15"/>
  <c r="M83" i="15"/>
  <c r="U14" i="15"/>
  <c r="L37" i="15"/>
  <c r="L44" i="15"/>
  <c r="R14" i="15"/>
  <c r="U27" i="15"/>
  <c r="N37" i="15"/>
  <c r="V53" i="15"/>
  <c r="K73" i="15"/>
  <c r="L16" i="15"/>
  <c r="Q67" i="15"/>
  <c r="V12" i="15"/>
  <c r="O29" i="15"/>
  <c r="N55" i="15"/>
  <c r="Q59" i="15"/>
  <c r="M78" i="15"/>
  <c r="R75" i="15"/>
  <c r="K64" i="15"/>
  <c r="Q55" i="15"/>
  <c r="P51" i="15"/>
  <c r="V30" i="15"/>
  <c r="T80" i="15"/>
  <c r="U11" i="15"/>
  <c r="V46" i="15"/>
  <c r="K69" i="15"/>
  <c r="O77" i="15"/>
  <c r="Q14" i="15"/>
  <c r="T53" i="15"/>
  <c r="L56" i="15"/>
  <c r="U61" i="15"/>
  <c r="U82" i="15"/>
  <c r="S27" i="15"/>
  <c r="U30" i="15"/>
  <c r="T46" i="15"/>
  <c r="N77" i="15"/>
  <c r="P59" i="15"/>
  <c r="N14" i="15"/>
  <c r="N59" i="15"/>
  <c r="R27" i="15"/>
  <c r="R80" i="15"/>
  <c r="N41" i="15"/>
  <c r="P74" i="15"/>
  <c r="S11" i="15"/>
  <c r="Q53" i="15"/>
  <c r="O74" i="15"/>
  <c r="K50" i="15"/>
  <c r="L12" i="15"/>
  <c r="N22" i="15"/>
  <c r="O25" i="15"/>
  <c r="T31" i="15"/>
  <c r="K36" i="15"/>
  <c r="V41" i="15"/>
  <c r="R44" i="15"/>
  <c r="P47" i="15"/>
  <c r="K66" i="15"/>
  <c r="O72" i="15"/>
  <c r="M12" i="15"/>
  <c r="O22" i="15"/>
  <c r="R25" i="15"/>
  <c r="M28" i="15"/>
  <c r="V31" i="15"/>
  <c r="L36" i="15"/>
  <c r="S44" i="15"/>
  <c r="T47" i="15"/>
  <c r="L57" i="15"/>
  <c r="O66" i="15"/>
  <c r="Q72" i="15"/>
  <c r="N12" i="15"/>
  <c r="P15" i="15"/>
  <c r="T25" i="15"/>
  <c r="U28" i="15"/>
  <c r="M39" i="15"/>
  <c r="T44" i="15"/>
  <c r="V47" i="15"/>
  <c r="K54" i="15"/>
  <c r="M57" i="15"/>
  <c r="L60" i="15"/>
  <c r="Q66" i="15"/>
  <c r="R72" i="15"/>
  <c r="T12" i="15"/>
  <c r="V32" i="15"/>
  <c r="R48" i="15"/>
  <c r="N40" i="14"/>
  <c r="N81" i="15"/>
  <c r="P75" i="15"/>
  <c r="S63" i="15"/>
  <c r="Q60" i="15"/>
  <c r="V57" i="15"/>
  <c r="O54" i="15"/>
  <c r="M51" i="15"/>
  <c r="U39" i="15"/>
  <c r="V15" i="15"/>
  <c r="K19" i="15"/>
  <c r="R15" i="15"/>
  <c r="P18" i="15"/>
  <c r="M21" i="15"/>
  <c r="P23" i="15"/>
  <c r="P25" i="15"/>
  <c r="N27" i="15"/>
  <c r="N29" i="15"/>
  <c r="M35" i="15"/>
  <c r="K38" i="15"/>
  <c r="M40" i="15"/>
  <c r="T11" i="15"/>
  <c r="U13" i="15"/>
  <c r="R16" i="15"/>
  <c r="R19" i="15"/>
  <c r="L24" i="15"/>
  <c r="R42" i="15"/>
  <c r="U44" i="15"/>
  <c r="R46" i="15"/>
  <c r="T49" i="15"/>
  <c r="L52" i="15"/>
  <c r="U58" i="15"/>
  <c r="V62" i="15"/>
  <c r="N65" i="15"/>
  <c r="L68" i="15"/>
  <c r="L70" i="15"/>
  <c r="L72" i="15"/>
  <c r="Q80" i="15"/>
  <c r="V82" i="15"/>
  <c r="L85" i="15"/>
  <c r="M10" i="15"/>
  <c r="Q12" i="15"/>
  <c r="P14" i="15"/>
  <c r="K23" i="15"/>
  <c r="M25" i="15"/>
  <c r="K27" i="15"/>
  <c r="L29" i="15"/>
  <c r="R35" i="15"/>
  <c r="M38" i="15"/>
  <c r="P40" i="15"/>
  <c r="N44" i="15"/>
  <c r="S54" i="15"/>
  <c r="S58" i="15"/>
  <c r="U62" i="15"/>
  <c r="O65" i="15"/>
  <c r="R68" i="15"/>
  <c r="O70" i="15"/>
  <c r="P72" i="15"/>
  <c r="M76" i="15"/>
  <c r="T10" i="15"/>
  <c r="K18" i="15"/>
  <c r="Q21" i="15"/>
  <c r="U23" i="15"/>
  <c r="U25" i="15"/>
  <c r="T27" i="15"/>
  <c r="V29" i="15"/>
  <c r="K11" i="15"/>
  <c r="L13" i="15"/>
  <c r="M24" i="15"/>
  <c r="L28" i="15"/>
  <c r="L39" i="15"/>
  <c r="L41" i="15"/>
  <c r="K45" i="15"/>
  <c r="S47" i="15"/>
  <c r="P50" i="15"/>
  <c r="K53" i="15"/>
  <c r="U55" i="15"/>
  <c r="T57" i="15"/>
  <c r="S59" i="15"/>
  <c r="T61" i="15"/>
  <c r="P66" i="15"/>
  <c r="L69" i="15"/>
  <c r="M71" i="15"/>
  <c r="L73" i="15"/>
  <c r="K79" i="15"/>
  <c r="K84" i="15"/>
  <c r="O11" i="15"/>
  <c r="P13" i="15"/>
  <c r="K22" i="15"/>
  <c r="P24" i="15"/>
  <c r="L26" i="15"/>
  <c r="P28" i="15"/>
  <c r="N30" i="15"/>
  <c r="T33" i="15"/>
  <c r="K37" i="15"/>
  <c r="O39" i="15"/>
  <c r="O41" i="15"/>
  <c r="N43" i="15"/>
  <c r="O45" i="15"/>
  <c r="N53" i="15"/>
  <c r="V59" i="15"/>
  <c r="M64" i="15"/>
  <c r="V66" i="15"/>
  <c r="Q69" i="15"/>
  <c r="P71" i="15"/>
  <c r="O73" i="15"/>
  <c r="L75" i="15"/>
  <c r="L77" i="15"/>
  <c r="R79" i="15"/>
  <c r="R84" i="15"/>
  <c r="V10" i="15"/>
  <c r="M19" i="15"/>
  <c r="L22" i="15"/>
  <c r="T26" i="15"/>
  <c r="S38" i="15"/>
  <c r="U42" i="15"/>
  <c r="R47" i="15"/>
  <c r="U50" i="15"/>
  <c r="M53" i="15"/>
  <c r="K56" i="15"/>
  <c r="M60" i="15"/>
  <c r="P70" i="15"/>
  <c r="T72" i="15"/>
  <c r="Q74" i="15"/>
  <c r="V76" i="15"/>
  <c r="U78" i="15"/>
  <c r="S81" i="15"/>
  <c r="R13" i="15"/>
  <c r="T16" i="15"/>
  <c r="P22" i="15"/>
  <c r="P29" i="15"/>
  <c r="L32" i="15"/>
  <c r="O36" i="15"/>
  <c r="N45" i="15"/>
  <c r="O56" i="15"/>
  <c r="R60" i="15"/>
  <c r="P62" i="15"/>
  <c r="L65" i="15"/>
  <c r="T68" i="15"/>
  <c r="U74" i="15"/>
  <c r="O84" i="15"/>
  <c r="L11" i="15"/>
  <c r="S13" i="15"/>
  <c r="U16" i="15"/>
  <c r="S22" i="15"/>
  <c r="R29" i="15"/>
  <c r="R32" i="15"/>
  <c r="T36" i="15"/>
  <c r="P45" i="15"/>
  <c r="P56" i="15"/>
  <c r="L58" i="15"/>
  <c r="S60" i="15"/>
  <c r="Q62" i="15"/>
  <c r="M65" i="15"/>
  <c r="U68" i="15"/>
  <c r="V74" i="15"/>
  <c r="O79" i="15"/>
  <c r="S84" i="15"/>
  <c r="N11" i="15"/>
  <c r="T13" i="15"/>
  <c r="V16" i="15"/>
  <c r="S29" i="15"/>
  <c r="T32" i="15"/>
  <c r="K41" i="15"/>
  <c r="K43" i="15"/>
  <c r="R45" i="15"/>
  <c r="L48" i="15"/>
  <c r="Q56" i="15"/>
  <c r="M58" i="15"/>
  <c r="T60" i="15"/>
  <c r="R62" i="15"/>
  <c r="S65" i="15"/>
  <c r="P79" i="15"/>
  <c r="T84" i="15"/>
  <c r="P11" i="15"/>
  <c r="V13" i="15"/>
  <c r="K20" i="15"/>
  <c r="L27" i="15"/>
  <c r="T29" i="15"/>
  <c r="U32" i="15"/>
  <c r="M41" i="15"/>
  <c r="L43" i="15"/>
  <c r="S45" i="15"/>
  <c r="Q48" i="15"/>
  <c r="R56" i="15"/>
  <c r="N58" i="15"/>
  <c r="U60" i="15"/>
  <c r="T62" i="15"/>
  <c r="T65" i="15"/>
  <c r="S79" i="15"/>
  <c r="U84" i="15"/>
  <c r="N17" i="15"/>
  <c r="L23" i="15"/>
  <c r="S25" i="15"/>
  <c r="V27" i="15"/>
  <c r="R39" i="15"/>
  <c r="U41" i="15"/>
  <c r="U43" i="15"/>
  <c r="P54" i="15"/>
  <c r="R63" i="15"/>
  <c r="O71" i="15"/>
  <c r="R73" i="15"/>
  <c r="Q75" i="15"/>
  <c r="T77" i="15"/>
  <c r="K80" i="15"/>
  <c r="Q82" i="15"/>
  <c r="N85" i="15"/>
  <c r="O10" i="15"/>
  <c r="L20" i="15"/>
  <c r="Q25" i="15"/>
  <c r="R30" i="15"/>
  <c r="S40" i="15"/>
  <c r="T42" i="15"/>
  <c r="L45" i="15"/>
  <c r="U48" i="15"/>
  <c r="R51" i="15"/>
  <c r="N54" i="15"/>
  <c r="K57" i="15"/>
  <c r="O59" i="15"/>
  <c r="S68" i="15"/>
  <c r="O75" i="15"/>
  <c r="U77" i="15"/>
  <c r="V80" i="15"/>
  <c r="S10" i="15"/>
  <c r="N13" i="15"/>
  <c r="N23" i="15"/>
  <c r="N28" i="15"/>
  <c r="O38" i="15"/>
  <c r="O57" i="15"/>
  <c r="T59" i="15"/>
  <c r="P73" i="15"/>
  <c r="T75" i="15"/>
  <c r="R83" i="15"/>
  <c r="U10" i="15"/>
  <c r="O13" i="15"/>
  <c r="O23" i="15"/>
  <c r="Q28" i="15"/>
  <c r="P38" i="15"/>
  <c r="P57" i="15"/>
  <c r="U59" i="15"/>
  <c r="V65" i="15"/>
  <c r="K71" i="15"/>
  <c r="Q73" i="15"/>
  <c r="U75" i="15"/>
  <c r="S83" i="15"/>
  <c r="Q23" i="15"/>
  <c r="R28" i="15"/>
  <c r="O43" i="15"/>
  <c r="Q57" i="15"/>
  <c r="L71" i="15"/>
  <c r="S73" i="15"/>
  <c r="V75" i="15"/>
  <c r="T28" i="15"/>
  <c r="R31" i="15"/>
  <c r="Q43" i="15"/>
  <c r="K52" i="15"/>
  <c r="S57" i="15"/>
  <c r="M62" i="15"/>
  <c r="Q71" i="15"/>
  <c r="L81" i="15"/>
  <c r="R23" i="15"/>
  <c r="S28" i="15"/>
  <c r="P31" i="15"/>
  <c r="P43" i="15"/>
  <c r="K55" i="15"/>
  <c r="R57" i="15"/>
  <c r="N71" i="15"/>
  <c r="T73" i="15"/>
  <c r="L55" i="15"/>
  <c r="U73" i="15"/>
  <c r="V11" i="15"/>
  <c r="N21" i="15"/>
  <c r="N24" i="15"/>
  <c r="O26" i="15"/>
  <c r="K39" i="15"/>
  <c r="S41" i="15"/>
  <c r="N46" i="15"/>
  <c r="R55" i="15"/>
  <c r="V60" i="15"/>
  <c r="O63" i="15"/>
  <c r="N66" i="15"/>
  <c r="U69" i="15"/>
  <c r="Q76" i="15"/>
  <c r="Q78" i="15"/>
  <c r="T14" i="15"/>
  <c r="V18" i="15"/>
  <c r="S24" i="15"/>
  <c r="S26" i="15"/>
  <c r="Q39" i="15"/>
  <c r="M44" i="15"/>
  <c r="U46" i="15"/>
  <c r="V63" i="15"/>
  <c r="K72" i="15"/>
  <c r="L74" i="15"/>
  <c r="U76" i="15"/>
  <c r="K85" i="15"/>
  <c r="U49" i="14"/>
  <c r="V77" i="15"/>
  <c r="N72" i="15"/>
  <c r="V69" i="15"/>
  <c r="N62" i="15"/>
  <c r="O47" i="15"/>
  <c r="Q44" i="15"/>
  <c r="T41" i="15"/>
  <c r="S31" i="15"/>
  <c r="N25" i="15"/>
  <c r="M22" i="15"/>
  <c r="T49" i="14"/>
  <c r="Q83" i="15"/>
  <c r="S77" i="15"/>
  <c r="T74" i="15"/>
  <c r="M72" i="15"/>
  <c r="T69" i="15"/>
  <c r="P44" i="15"/>
  <c r="R41" i="15"/>
  <c r="L25" i="15"/>
  <c r="V14" i="15"/>
  <c r="M80" i="15"/>
  <c r="L53" i="15"/>
  <c r="T30" i="15"/>
  <c r="L80" i="15"/>
  <c r="M74" i="15"/>
  <c r="K59" i="15"/>
  <c r="T56" i="15"/>
  <c r="P46" i="15"/>
  <c r="V43" i="15"/>
  <c r="L38" i="15"/>
  <c r="Q30" i="15"/>
  <c r="P27" i="15"/>
  <c r="Q11" i="15"/>
  <c r="K77" i="15"/>
  <c r="L59" i="15"/>
  <c r="N38" i="15"/>
  <c r="S56" i="15"/>
  <c r="M46" i="15"/>
  <c r="T43" i="15"/>
  <c r="P30" i="15"/>
  <c r="O27" i="15"/>
  <c r="N74" i="15"/>
  <c r="Q46" i="15"/>
  <c r="Q27" i="15"/>
  <c r="R11" i="15"/>
  <c r="U71" i="15"/>
  <c r="N56" i="15"/>
  <c r="S43" i="15"/>
  <c r="V21" i="15"/>
  <c r="O32" i="13"/>
  <c r="R71" i="15"/>
  <c r="V61" i="15"/>
  <c r="M56" i="15"/>
  <c r="R43" i="15"/>
  <c r="V34" i="15"/>
  <c r="L21" i="15"/>
  <c r="P34" i="15"/>
  <c r="T24" i="15"/>
  <c r="K21" i="15"/>
  <c r="V17" i="15"/>
  <c r="O82" i="15"/>
  <c r="T79" i="15"/>
  <c r="R61" i="15"/>
  <c r="T58" i="15"/>
  <c r="S49" i="15"/>
  <c r="T40" i="15"/>
  <c r="V26" i="15"/>
  <c r="Q24" i="15"/>
  <c r="Q10" i="15"/>
  <c r="N49" i="15"/>
  <c r="O24" i="15"/>
  <c r="P10" i="15"/>
  <c r="T37" i="14"/>
  <c r="U30" i="14"/>
  <c r="S49" i="14"/>
  <c r="V27" i="14"/>
  <c r="Q83" i="14"/>
  <c r="R15" i="14"/>
  <c r="R85" i="14"/>
  <c r="P15" i="14"/>
  <c r="L49" i="14"/>
  <c r="S76" i="14"/>
  <c r="M49" i="14"/>
  <c r="P49" i="14"/>
  <c r="M83" i="14"/>
  <c r="S15" i="14"/>
  <c r="O76" i="14"/>
  <c r="V15" i="14"/>
  <c r="O43" i="14"/>
  <c r="U34" i="14"/>
  <c r="N83" i="14"/>
  <c r="P82" i="15"/>
  <c r="V79" i="15"/>
  <c r="S61" i="15"/>
  <c r="V58" i="15"/>
  <c r="V49" i="15"/>
  <c r="K34" i="15"/>
  <c r="R24" i="15"/>
  <c r="T17" i="15"/>
  <c r="R10" i="15"/>
  <c r="L28" i="14"/>
  <c r="N82" i="15"/>
  <c r="T76" i="15"/>
  <c r="O68" i="15"/>
  <c r="V64" i="15"/>
  <c r="P61" i="15"/>
  <c r="R58" i="15"/>
  <c r="R40" i="15"/>
  <c r="U26" i="15"/>
  <c r="K82" i="15"/>
  <c r="S76" i="15"/>
  <c r="K68" i="15"/>
  <c r="U64" i="15"/>
  <c r="O61" i="15"/>
  <c r="Q58" i="15"/>
  <c r="T52" i="15"/>
  <c r="L49" i="15"/>
  <c r="V42" i="15"/>
  <c r="Q40" i="15"/>
  <c r="R26" i="15"/>
  <c r="K24" i="15"/>
  <c r="N10" i="15"/>
  <c r="U58" i="13"/>
  <c r="P55" i="14"/>
  <c r="E51" i="15"/>
  <c r="F51" i="15"/>
  <c r="D68" i="15"/>
  <c r="F55" i="15"/>
  <c r="E48" i="15"/>
  <c r="F48" i="15"/>
  <c r="G48" i="15"/>
  <c r="H48" i="15"/>
  <c r="G36" i="15"/>
  <c r="H36" i="15"/>
  <c r="C34" i="15"/>
  <c r="D34" i="15"/>
  <c r="D55" i="15"/>
  <c r="E32" i="15"/>
  <c r="F32" i="15"/>
  <c r="G32" i="15"/>
  <c r="H32" i="15"/>
  <c r="H67" i="15"/>
  <c r="E56" i="15"/>
  <c r="G54" i="15"/>
  <c r="C47" i="15"/>
  <c r="D47" i="15"/>
  <c r="E47" i="15"/>
  <c r="F47" i="15"/>
  <c r="G47" i="15"/>
  <c r="H47" i="15"/>
  <c r="C15" i="15"/>
  <c r="D15" i="15"/>
  <c r="E15" i="15"/>
  <c r="F15" i="15"/>
  <c r="G15" i="15"/>
  <c r="H15" i="15"/>
  <c r="F56" i="15"/>
  <c r="E35" i="15"/>
  <c r="F35" i="15"/>
  <c r="C82" i="15"/>
  <c r="D82" i="15"/>
  <c r="G67" i="15"/>
  <c r="F54" i="15"/>
  <c r="C56" i="15"/>
  <c r="G56" i="15"/>
  <c r="C31" i="15"/>
  <c r="D31" i="15"/>
  <c r="E31" i="15"/>
  <c r="F31" i="15"/>
  <c r="G31" i="15"/>
  <c r="H31" i="15"/>
  <c r="G85" i="15"/>
  <c r="E64" i="15"/>
  <c r="F64" i="15"/>
  <c r="G64" i="15"/>
  <c r="H64" i="15"/>
  <c r="D54" i="15"/>
  <c r="F85" i="15"/>
  <c r="E67" i="15"/>
  <c r="F67" i="15"/>
  <c r="E85" i="15"/>
  <c r="D85" i="15"/>
  <c r="C85" i="15"/>
  <c r="G52" i="15"/>
  <c r="H52" i="15"/>
  <c r="G84" i="15"/>
  <c r="H84" i="15"/>
  <c r="C63" i="15"/>
  <c r="D63" i="15"/>
  <c r="E63" i="15"/>
  <c r="F63" i="15"/>
  <c r="G63" i="15"/>
  <c r="H63" i="15"/>
  <c r="C79" i="15"/>
  <c r="D79" i="15"/>
  <c r="E79" i="15"/>
  <c r="F79" i="15"/>
  <c r="G79" i="15"/>
  <c r="H79" i="15"/>
  <c r="C72" i="15"/>
  <c r="G72" i="15"/>
  <c r="C50" i="15"/>
  <c r="D50" i="15"/>
  <c r="C66" i="15"/>
  <c r="D66" i="15"/>
  <c r="E19" i="15"/>
  <c r="F19" i="15"/>
  <c r="E80" i="15"/>
  <c r="F80" i="15"/>
  <c r="G80" i="15"/>
  <c r="H80" i="15"/>
  <c r="E83" i="15"/>
  <c r="F83" i="15"/>
  <c r="F36" i="15"/>
  <c r="H34" i="15"/>
  <c r="C18" i="15"/>
  <c r="D18" i="15"/>
  <c r="E36" i="15"/>
  <c r="G34" i="15"/>
  <c r="G68" i="15"/>
  <c r="H68" i="15"/>
  <c r="F68" i="15"/>
  <c r="H55" i="15"/>
  <c r="D48" i="15"/>
  <c r="C40" i="15"/>
  <c r="G40" i="15"/>
  <c r="D36" i="15"/>
  <c r="F34" i="15"/>
  <c r="C24" i="15"/>
  <c r="D24" i="15"/>
  <c r="G24" i="15"/>
  <c r="G20" i="15"/>
  <c r="H20" i="15"/>
  <c r="E68" i="15"/>
  <c r="G55" i="15"/>
  <c r="C48" i="15"/>
  <c r="C36" i="15"/>
  <c r="E34" i="15"/>
  <c r="C22" i="15"/>
  <c r="E16" i="15"/>
  <c r="F16" i="15"/>
  <c r="G16" i="15"/>
  <c r="H16" i="15"/>
  <c r="U79" i="15"/>
  <c r="S78" i="15"/>
  <c r="Q77" i="15"/>
  <c r="O76" i="15"/>
  <c r="M75" i="15"/>
  <c r="K74" i="15"/>
  <c r="U63" i="15"/>
  <c r="S62" i="15"/>
  <c r="Q61" i="15"/>
  <c r="O60" i="15"/>
  <c r="M59" i="15"/>
  <c r="K58" i="15"/>
  <c r="U47" i="15"/>
  <c r="S46" i="15"/>
  <c r="Q45" i="15"/>
  <c r="O44" i="15"/>
  <c r="M43" i="15"/>
  <c r="K42" i="15"/>
  <c r="U31" i="15"/>
  <c r="S30" i="15"/>
  <c r="Q29" i="15"/>
  <c r="O28" i="15"/>
  <c r="M27" i="15"/>
  <c r="K26" i="15"/>
  <c r="U15" i="15"/>
  <c r="S14" i="15"/>
  <c r="Q13" i="15"/>
  <c r="O12" i="15"/>
  <c r="M11" i="15"/>
  <c r="K10" i="15"/>
  <c r="U81" i="15"/>
  <c r="S80" i="15"/>
  <c r="Q79" i="15"/>
  <c r="O78" i="15"/>
  <c r="M77" i="15"/>
  <c r="K76" i="15"/>
  <c r="U65" i="15"/>
  <c r="S64" i="15"/>
  <c r="Q63" i="15"/>
  <c r="O62" i="15"/>
  <c r="M61" i="15"/>
  <c r="K60" i="15"/>
  <c r="U49" i="15"/>
  <c r="S48" i="15"/>
  <c r="Q47" i="15"/>
  <c r="O46" i="15"/>
  <c r="M45" i="15"/>
  <c r="K44" i="15"/>
  <c r="U33" i="15"/>
  <c r="S32" i="15"/>
  <c r="Q31" i="15"/>
  <c r="O30" i="15"/>
  <c r="M29" i="15"/>
  <c r="K28" i="15"/>
  <c r="U17" i="15"/>
  <c r="S16" i="15"/>
  <c r="Q15" i="15"/>
  <c r="O14" i="15"/>
  <c r="M13" i="15"/>
  <c r="K12" i="15"/>
  <c r="G75" i="15"/>
  <c r="G59" i="15"/>
  <c r="G43" i="15"/>
  <c r="U34" i="15"/>
  <c r="S33" i="15"/>
  <c r="Q32" i="15"/>
  <c r="O31" i="15"/>
  <c r="M30" i="15"/>
  <c r="K29" i="15"/>
  <c r="G27" i="15"/>
  <c r="U18" i="15"/>
  <c r="S17" i="15"/>
  <c r="Q16" i="15"/>
  <c r="O15" i="15"/>
  <c r="M14" i="15"/>
  <c r="K13" i="15"/>
  <c r="G11" i="15"/>
  <c r="V83" i="15"/>
  <c r="T82" i="15"/>
  <c r="R81" i="15"/>
  <c r="P80" i="15"/>
  <c r="N79" i="15"/>
  <c r="L78" i="15"/>
  <c r="H76" i="15"/>
  <c r="F75" i="15"/>
  <c r="V67" i="15"/>
  <c r="T66" i="15"/>
  <c r="R65" i="15"/>
  <c r="P64" i="15"/>
  <c r="N63" i="15"/>
  <c r="L62" i="15"/>
  <c r="H60" i="15"/>
  <c r="F59" i="15"/>
  <c r="V51" i="15"/>
  <c r="T50" i="15"/>
  <c r="R49" i="15"/>
  <c r="P48" i="15"/>
  <c r="N47" i="15"/>
  <c r="L46" i="15"/>
  <c r="H44" i="15"/>
  <c r="F43" i="15"/>
  <c r="V35" i="15"/>
  <c r="T34" i="15"/>
  <c r="R33" i="15"/>
  <c r="P32" i="15"/>
  <c r="N31" i="15"/>
  <c r="L30" i="15"/>
  <c r="H28" i="15"/>
  <c r="F27" i="15"/>
  <c r="V19" i="15"/>
  <c r="T18" i="15"/>
  <c r="R17" i="15"/>
  <c r="P16" i="15"/>
  <c r="N15" i="15"/>
  <c r="L14" i="15"/>
  <c r="H12" i="15"/>
  <c r="F11" i="15"/>
  <c r="U83" i="15"/>
  <c r="S82" i="15"/>
  <c r="Q81" i="15"/>
  <c r="O80" i="15"/>
  <c r="M79" i="15"/>
  <c r="K78" i="15"/>
  <c r="G76" i="15"/>
  <c r="E75" i="15"/>
  <c r="U67" i="15"/>
  <c r="S66" i="15"/>
  <c r="Q65" i="15"/>
  <c r="O64" i="15"/>
  <c r="M63" i="15"/>
  <c r="K62" i="15"/>
  <c r="G60" i="15"/>
  <c r="E59" i="15"/>
  <c r="U51" i="15"/>
  <c r="S50" i="15"/>
  <c r="Q49" i="15"/>
  <c r="O48" i="15"/>
  <c r="M47" i="15"/>
  <c r="K46" i="15"/>
  <c r="G44" i="15"/>
  <c r="E43" i="15"/>
  <c r="U35" i="15"/>
  <c r="S34" i="15"/>
  <c r="Q33" i="15"/>
  <c r="O32" i="15"/>
  <c r="M31" i="15"/>
  <c r="K30" i="15"/>
  <c r="G28" i="15"/>
  <c r="E27" i="15"/>
  <c r="U19" i="15"/>
  <c r="S18" i="15"/>
  <c r="Q17" i="15"/>
  <c r="O16" i="15"/>
  <c r="M15" i="15"/>
  <c r="K14" i="15"/>
  <c r="G12" i="15"/>
  <c r="E11" i="15"/>
  <c r="V84" i="15"/>
  <c r="T83" i="15"/>
  <c r="R82" i="15"/>
  <c r="P81" i="15"/>
  <c r="N80" i="15"/>
  <c r="L79" i="15"/>
  <c r="H77" i="15"/>
  <c r="F76" i="15"/>
  <c r="D75" i="15"/>
  <c r="V68" i="15"/>
  <c r="T67" i="15"/>
  <c r="R66" i="15"/>
  <c r="P65" i="15"/>
  <c r="N64" i="15"/>
  <c r="L63" i="15"/>
  <c r="H61" i="15"/>
  <c r="F60" i="15"/>
  <c r="D59" i="15"/>
  <c r="V52" i="15"/>
  <c r="T51" i="15"/>
  <c r="R50" i="15"/>
  <c r="P49" i="15"/>
  <c r="N48" i="15"/>
  <c r="L47" i="15"/>
  <c r="H45" i="15"/>
  <c r="F44" i="15"/>
  <c r="D43" i="15"/>
  <c r="V36" i="15"/>
  <c r="T35" i="15"/>
  <c r="R34" i="15"/>
  <c r="P33" i="15"/>
  <c r="N32" i="15"/>
  <c r="L31" i="15"/>
  <c r="F28" i="15"/>
  <c r="D27" i="15"/>
  <c r="V20" i="15"/>
  <c r="T19" i="15"/>
  <c r="R18" i="15"/>
  <c r="P17" i="15"/>
  <c r="N16" i="15"/>
  <c r="L15" i="15"/>
  <c r="F12" i="15"/>
  <c r="D11" i="15"/>
  <c r="E76" i="15"/>
  <c r="E60" i="15"/>
  <c r="U52" i="15"/>
  <c r="S51" i="15"/>
  <c r="Q50" i="15"/>
  <c r="O49" i="15"/>
  <c r="M48" i="15"/>
  <c r="K47" i="15"/>
  <c r="E44" i="15"/>
  <c r="U36" i="15"/>
  <c r="S35" i="15"/>
  <c r="Q34" i="15"/>
  <c r="O33" i="15"/>
  <c r="M32" i="15"/>
  <c r="K31" i="15"/>
  <c r="E28" i="15"/>
  <c r="U20" i="15"/>
  <c r="S19" i="15"/>
  <c r="Q18" i="15"/>
  <c r="O17" i="15"/>
  <c r="M16" i="15"/>
  <c r="K15" i="15"/>
  <c r="E12" i="15"/>
  <c r="U53" i="15"/>
  <c r="S52" i="15"/>
  <c r="Q51" i="15"/>
  <c r="O50" i="15"/>
  <c r="M49" i="15"/>
  <c r="K48" i="15"/>
  <c r="U37" i="15"/>
  <c r="S36" i="15"/>
  <c r="Q35" i="15"/>
  <c r="O34" i="15"/>
  <c r="M33" i="15"/>
  <c r="K32" i="15"/>
  <c r="U21" i="15"/>
  <c r="S20" i="15"/>
  <c r="Q19" i="15"/>
  <c r="O18" i="15"/>
  <c r="M17" i="15"/>
  <c r="K16" i="15"/>
  <c r="V38" i="15"/>
  <c r="T37" i="15"/>
  <c r="R36" i="15"/>
  <c r="P35" i="15"/>
  <c r="N34" i="15"/>
  <c r="L33" i="15"/>
  <c r="V22" i="15"/>
  <c r="T21" i="15"/>
  <c r="R20" i="15"/>
  <c r="P19" i="15"/>
  <c r="N18" i="15"/>
  <c r="L17" i="15"/>
  <c r="S85" i="15"/>
  <c r="Q84" i="15"/>
  <c r="O83" i="15"/>
  <c r="M82" i="15"/>
  <c r="K81" i="15"/>
  <c r="U70" i="15"/>
  <c r="S69" i="15"/>
  <c r="Q68" i="15"/>
  <c r="O67" i="15"/>
  <c r="M66" i="15"/>
  <c r="K65" i="15"/>
  <c r="U54" i="15"/>
  <c r="S53" i="15"/>
  <c r="Q52" i="15"/>
  <c r="O51" i="15"/>
  <c r="M50" i="15"/>
  <c r="K49" i="15"/>
  <c r="U38" i="15"/>
  <c r="S37" i="15"/>
  <c r="Q36" i="15"/>
  <c r="O35" i="15"/>
  <c r="M34" i="15"/>
  <c r="K33" i="15"/>
  <c r="U22" i="15"/>
  <c r="S21" i="15"/>
  <c r="Q20" i="15"/>
  <c r="O19" i="15"/>
  <c r="M18" i="15"/>
  <c r="K17" i="15"/>
  <c r="R85" i="15"/>
  <c r="P84" i="15"/>
  <c r="N83" i="15"/>
  <c r="L82" i="15"/>
  <c r="V71" i="15"/>
  <c r="T70" i="15"/>
  <c r="R69" i="15"/>
  <c r="P68" i="15"/>
  <c r="N67" i="15"/>
  <c r="L66" i="15"/>
  <c r="V55" i="15"/>
  <c r="T54" i="15"/>
  <c r="R53" i="15"/>
  <c r="P52" i="15"/>
  <c r="N51" i="15"/>
  <c r="L50" i="15"/>
  <c r="V39" i="15"/>
  <c r="T38" i="15"/>
  <c r="R37" i="15"/>
  <c r="P36" i="15"/>
  <c r="N35" i="15"/>
  <c r="L34" i="15"/>
  <c r="V23" i="15"/>
  <c r="T22" i="15"/>
  <c r="R21" i="15"/>
  <c r="P20" i="15"/>
  <c r="N19" i="15"/>
  <c r="L18" i="15"/>
  <c r="P85" i="15"/>
  <c r="N84" i="15"/>
  <c r="L83" i="15"/>
  <c r="H81" i="15"/>
  <c r="V72" i="15"/>
  <c r="T71" i="15"/>
  <c r="R70" i="15"/>
  <c r="P69" i="15"/>
  <c r="N68" i="15"/>
  <c r="L67" i="15"/>
  <c r="H65" i="15"/>
  <c r="V56" i="15"/>
  <c r="T55" i="15"/>
  <c r="R54" i="15"/>
  <c r="P53" i="15"/>
  <c r="N52" i="15"/>
  <c r="L51" i="15"/>
  <c r="H49" i="15"/>
  <c r="V40" i="15"/>
  <c r="T39" i="15"/>
  <c r="R38" i="15"/>
  <c r="P37" i="15"/>
  <c r="N36" i="15"/>
  <c r="L35" i="15"/>
  <c r="H33" i="15"/>
  <c r="V24" i="15"/>
  <c r="T23" i="15"/>
  <c r="R22" i="15"/>
  <c r="P21" i="15"/>
  <c r="N20" i="15"/>
  <c r="L19" i="15"/>
  <c r="H17" i="15"/>
  <c r="O85" i="15"/>
  <c r="M84" i="15"/>
  <c r="K83" i="15"/>
  <c r="U72" i="15"/>
  <c r="S71" i="15"/>
  <c r="Q70" i="15"/>
  <c r="O69" i="15"/>
  <c r="M68" i="15"/>
  <c r="K67" i="15"/>
  <c r="U56" i="15"/>
  <c r="S55" i="15"/>
  <c r="Q54" i="15"/>
  <c r="O53" i="15"/>
  <c r="M52" i="15"/>
  <c r="K51" i="15"/>
  <c r="U40" i="15"/>
  <c r="S39" i="15"/>
  <c r="Q38" i="15"/>
  <c r="O37" i="15"/>
  <c r="M36" i="15"/>
  <c r="K35" i="15"/>
  <c r="U24" i="15"/>
  <c r="S23" i="15"/>
  <c r="Q22" i="15"/>
  <c r="O21" i="15"/>
  <c r="M20" i="15"/>
  <c r="S61" i="14"/>
  <c r="L31" i="14"/>
  <c r="U27" i="14"/>
  <c r="Q12" i="13"/>
  <c r="M41" i="13"/>
  <c r="U67" i="13"/>
  <c r="K21" i="13"/>
  <c r="S41" i="13"/>
  <c r="U62" i="13"/>
  <c r="O71" i="13"/>
  <c r="Q33" i="13"/>
  <c r="R33" i="13"/>
  <c r="P42" i="13"/>
  <c r="S64" i="13"/>
  <c r="L76" i="13"/>
  <c r="V83" i="13"/>
  <c r="M12" i="13"/>
  <c r="R41" i="13"/>
  <c r="P56" i="13"/>
  <c r="K79" i="13"/>
  <c r="T52" i="13"/>
  <c r="L60" i="13"/>
  <c r="R72" i="13"/>
  <c r="N79" i="13"/>
  <c r="O83" i="13"/>
  <c r="L21" i="13"/>
  <c r="Q49" i="13"/>
  <c r="S83" i="13"/>
  <c r="S33" i="13"/>
  <c r="R49" i="13"/>
  <c r="P22" i="13"/>
  <c r="R34" i="13"/>
  <c r="U42" i="13"/>
  <c r="L61" i="13"/>
  <c r="R65" i="13"/>
  <c r="U84" i="13"/>
  <c r="K45" i="13"/>
  <c r="L45" i="13"/>
  <c r="K61" i="13"/>
  <c r="S65" i="13"/>
  <c r="T33" i="13"/>
  <c r="U45" i="13"/>
  <c r="N61" i="13"/>
  <c r="U65" i="13"/>
  <c r="U77" i="13"/>
  <c r="U33" i="13"/>
  <c r="O61" i="13"/>
  <c r="L74" i="13"/>
  <c r="T25" i="13"/>
  <c r="L29" i="13"/>
  <c r="O42" i="13"/>
  <c r="U61" i="13"/>
  <c r="M74" i="13"/>
  <c r="V25" i="13"/>
  <c r="O29" i="13"/>
  <c r="Q42" i="13"/>
  <c r="V61" i="13"/>
  <c r="P74" i="13"/>
  <c r="S42" i="13"/>
  <c r="S58" i="13"/>
  <c r="M82" i="13"/>
  <c r="S13" i="13"/>
  <c r="T42" i="13"/>
  <c r="K54" i="13"/>
  <c r="T58" i="13"/>
  <c r="M70" i="13"/>
  <c r="P82" i="13"/>
  <c r="N30" i="13"/>
  <c r="K62" i="13"/>
  <c r="T46" i="13"/>
  <c r="U46" i="13"/>
  <c r="R51" i="13"/>
  <c r="M60" i="13"/>
  <c r="K23" i="13"/>
  <c r="O41" i="13"/>
  <c r="P10" i="13"/>
  <c r="V67" i="13"/>
  <c r="P12" i="13"/>
  <c r="V51" i="13"/>
  <c r="K81" i="13"/>
  <c r="L40" i="13"/>
  <c r="U14" i="13"/>
  <c r="O64" i="13"/>
  <c r="Q56" i="13"/>
  <c r="K40" i="13"/>
  <c r="L52" i="13"/>
  <c r="Q10" i="13"/>
  <c r="U52" i="13"/>
  <c r="R10" i="13"/>
  <c r="T19" i="13"/>
  <c r="V27" i="13"/>
  <c r="L79" i="13"/>
  <c r="V19" i="13"/>
  <c r="M32" i="13"/>
  <c r="T41" i="13"/>
  <c r="P71" i="13"/>
  <c r="M79" i="13"/>
  <c r="Q47" i="13"/>
  <c r="Q64" i="13"/>
  <c r="R47" i="13"/>
  <c r="R64" i="13"/>
  <c r="K69" i="13"/>
  <c r="V43" i="13"/>
  <c r="S47" i="13"/>
  <c r="K60" i="13"/>
  <c r="T64" i="13"/>
  <c r="V13" i="13"/>
  <c r="S10" i="13"/>
  <c r="O31" i="13"/>
  <c r="P49" i="13"/>
  <c r="N70" i="13"/>
  <c r="Q31" i="13"/>
  <c r="S49" i="13"/>
  <c r="P57" i="13"/>
  <c r="T49" i="13"/>
  <c r="S19" i="13"/>
  <c r="U49" i="13"/>
  <c r="R83" i="13"/>
  <c r="Q73" i="14"/>
  <c r="R61" i="14"/>
  <c r="U43" i="14"/>
  <c r="O73" i="14"/>
  <c r="R52" i="14"/>
  <c r="R43" i="14"/>
  <c r="N54" i="13"/>
  <c r="K52" i="14"/>
  <c r="Q43" i="14"/>
  <c r="K63" i="13"/>
  <c r="M54" i="13"/>
  <c r="U85" i="14"/>
  <c r="M65" i="14"/>
  <c r="T56" i="14"/>
  <c r="P43" i="14"/>
  <c r="V30" i="14"/>
  <c r="P22" i="14"/>
  <c r="U18" i="14"/>
  <c r="V58" i="13"/>
  <c r="Q85" i="14"/>
  <c r="U76" i="14"/>
  <c r="O30" i="14"/>
  <c r="U11" i="13"/>
  <c r="R76" i="14"/>
  <c r="R55" i="14"/>
  <c r="R34" i="14"/>
  <c r="R24" i="13"/>
  <c r="K15" i="13"/>
  <c r="K80" i="14"/>
  <c r="K68" i="14"/>
  <c r="T64" i="14"/>
  <c r="S59" i="14"/>
  <c r="T25" i="14"/>
  <c r="T12" i="14"/>
  <c r="Q76" i="13"/>
  <c r="P24" i="13"/>
  <c r="R59" i="14"/>
  <c r="R25" i="14"/>
  <c r="S12" i="14"/>
  <c r="M76" i="13"/>
  <c r="T72" i="13"/>
  <c r="O24" i="13"/>
  <c r="O59" i="14"/>
  <c r="Q25" i="14"/>
  <c r="R12" i="14"/>
  <c r="Q72" i="13"/>
  <c r="P25" i="14"/>
  <c r="P12" i="14"/>
  <c r="L71" i="14"/>
  <c r="L25" i="14"/>
  <c r="M12" i="14"/>
  <c r="N15" i="13"/>
  <c r="V68" i="14"/>
  <c r="T80" i="13"/>
  <c r="V42" i="13"/>
  <c r="K71" i="14"/>
  <c r="U37" i="14"/>
  <c r="L12" i="14"/>
  <c r="M15" i="13"/>
  <c r="O68" i="14"/>
  <c r="P80" i="13"/>
  <c r="V79" i="14"/>
  <c r="M76" i="14"/>
  <c r="K19" i="14"/>
  <c r="L10" i="14"/>
  <c r="K12" i="14"/>
  <c r="U16" i="14"/>
  <c r="Q19" i="14"/>
  <c r="L24" i="14"/>
  <c r="L26" i="14"/>
  <c r="Q32" i="14"/>
  <c r="T34" i="14"/>
  <c r="K37" i="14"/>
  <c r="P39" i="14"/>
  <c r="Q41" i="14"/>
  <c r="N43" i="14"/>
  <c r="M45" i="14"/>
  <c r="Q47" i="14"/>
  <c r="M13" i="14"/>
  <c r="Q15" i="14"/>
  <c r="L23" i="14"/>
  <c r="N25" i="14"/>
  <c r="O27" i="14"/>
  <c r="N29" i="14"/>
  <c r="R31" i="14"/>
  <c r="V36" i="14"/>
  <c r="L47" i="14"/>
  <c r="V49" i="14"/>
  <c r="L52" i="14"/>
  <c r="P54" i="14"/>
  <c r="V60" i="14"/>
  <c r="S10" i="14"/>
  <c r="U12" i="14"/>
  <c r="U14" i="14"/>
  <c r="U17" i="14"/>
  <c r="L20" i="14"/>
  <c r="V22" i="14"/>
  <c r="O31" i="14"/>
  <c r="R36" i="14"/>
  <c r="S52" i="14"/>
  <c r="P65" i="14"/>
  <c r="Q75" i="14"/>
  <c r="O77" i="14"/>
  <c r="Q79" i="14"/>
  <c r="V10" i="14"/>
  <c r="K25" i="14"/>
  <c r="K27" i="14"/>
  <c r="M29" i="14"/>
  <c r="S31" i="14"/>
  <c r="L41" i="14"/>
  <c r="P47" i="14"/>
  <c r="L57" i="14"/>
  <c r="K61" i="14"/>
  <c r="O63" i="14"/>
  <c r="T65" i="14"/>
  <c r="L72" i="14"/>
  <c r="T75" i="14"/>
  <c r="S77" i="14"/>
  <c r="U79" i="14"/>
  <c r="K82" i="14"/>
  <c r="N15" i="14"/>
  <c r="M25" i="14"/>
  <c r="P27" i="14"/>
  <c r="R29" i="14"/>
  <c r="L39" i="14"/>
  <c r="N41" i="14"/>
  <c r="L45" i="14"/>
  <c r="S47" i="14"/>
  <c r="L55" i="14"/>
  <c r="N57" i="14"/>
  <c r="K59" i="14"/>
  <c r="M61" i="14"/>
  <c r="Q63" i="14"/>
  <c r="V65" i="14"/>
  <c r="K70" i="14"/>
  <c r="N72" i="14"/>
  <c r="V75" i="14"/>
  <c r="U77" i="14"/>
  <c r="N82" i="14"/>
  <c r="L84" i="14"/>
  <c r="O15" i="14"/>
  <c r="K23" i="14"/>
  <c r="O25" i="14"/>
  <c r="Q27" i="14"/>
  <c r="S29" i="14"/>
  <c r="M39" i="14"/>
  <c r="O41" i="14"/>
  <c r="K43" i="14"/>
  <c r="N45" i="14"/>
  <c r="V47" i="14"/>
  <c r="M55" i="14"/>
  <c r="O57" i="14"/>
  <c r="N59" i="14"/>
  <c r="N61" i="14"/>
  <c r="R63" i="14"/>
  <c r="L70" i="14"/>
  <c r="O72" i="14"/>
  <c r="K74" i="14"/>
  <c r="V77" i="14"/>
  <c r="O82" i="14"/>
  <c r="O84" i="14"/>
  <c r="Q11" i="14"/>
  <c r="V13" i="14"/>
  <c r="V18" i="14"/>
  <c r="T21" i="14"/>
  <c r="T32" i="14"/>
  <c r="S48" i="14"/>
  <c r="U53" i="14"/>
  <c r="K64" i="14"/>
  <c r="N66" i="14"/>
  <c r="T74" i="14"/>
  <c r="P76" i="14"/>
  <c r="L78" i="14"/>
  <c r="S80" i="14"/>
  <c r="K85" i="14"/>
  <c r="N11" i="14"/>
  <c r="U13" i="14"/>
  <c r="Q16" i="14"/>
  <c r="P19" i="14"/>
  <c r="R24" i="14"/>
  <c r="Q31" i="14"/>
  <c r="N39" i="14"/>
  <c r="T41" i="14"/>
  <c r="S43" i="14"/>
  <c r="U48" i="14"/>
  <c r="P51" i="14"/>
  <c r="P56" i="14"/>
  <c r="R58" i="14"/>
  <c r="S60" i="14"/>
  <c r="V62" i="14"/>
  <c r="S65" i="14"/>
  <c r="M70" i="14"/>
  <c r="S72" i="14"/>
  <c r="P74" i="14"/>
  <c r="Q76" i="14"/>
  <c r="S78" i="14"/>
  <c r="L81" i="14"/>
  <c r="R11" i="14"/>
  <c r="T16" i="14"/>
  <c r="K29" i="14"/>
  <c r="R39" i="14"/>
  <c r="V43" i="14"/>
  <c r="V51" i="14"/>
  <c r="S56" i="14"/>
  <c r="U58" i="14"/>
  <c r="L68" i="14"/>
  <c r="P70" i="14"/>
  <c r="S74" i="14"/>
  <c r="T76" i="14"/>
  <c r="V78" i="14"/>
  <c r="R81" i="14"/>
  <c r="T11" i="14"/>
  <c r="L22" i="14"/>
  <c r="O29" i="14"/>
  <c r="N34" i="14"/>
  <c r="L37" i="14"/>
  <c r="N63" i="14"/>
  <c r="R68" i="14"/>
  <c r="V70" i="14"/>
  <c r="V74" i="14"/>
  <c r="V76" i="14"/>
  <c r="T81" i="14"/>
  <c r="U11" i="14"/>
  <c r="M22" i="14"/>
  <c r="T29" i="14"/>
  <c r="O34" i="14"/>
  <c r="M37" i="14"/>
  <c r="K54" i="14"/>
  <c r="P63" i="14"/>
  <c r="S68" i="14"/>
  <c r="U81" i="14"/>
  <c r="Q12" i="14"/>
  <c r="Q14" i="14"/>
  <c r="M23" i="14"/>
  <c r="S25" i="14"/>
  <c r="T35" i="14"/>
  <c r="Q40" i="14"/>
  <c r="R42" i="14"/>
  <c r="S44" i="14"/>
  <c r="U46" i="14"/>
  <c r="V52" i="14"/>
  <c r="P57" i="14"/>
  <c r="Q59" i="14"/>
  <c r="V61" i="14"/>
  <c r="N64" i="14"/>
  <c r="V66" i="14"/>
  <c r="N71" i="14"/>
  <c r="P73" i="14"/>
  <c r="K75" i="14"/>
  <c r="N77" i="14"/>
  <c r="V82" i="14"/>
  <c r="Q10" i="14"/>
  <c r="K13" i="14"/>
  <c r="T24" i="14"/>
  <c r="L29" i="14"/>
  <c r="K32" i="14"/>
  <c r="V34" i="14"/>
  <c r="P40" i="14"/>
  <c r="T42" i="14"/>
  <c r="O47" i="14"/>
  <c r="L53" i="14"/>
  <c r="O58" i="14"/>
  <c r="T60" i="14"/>
  <c r="M71" i="14"/>
  <c r="R73" i="14"/>
  <c r="U75" i="14"/>
  <c r="R10" i="14"/>
  <c r="L13" i="14"/>
  <c r="U29" i="14"/>
  <c r="N32" i="14"/>
  <c r="R40" i="14"/>
  <c r="U42" i="14"/>
  <c r="R47" i="14"/>
  <c r="N50" i="14"/>
  <c r="M53" i="14"/>
  <c r="K56" i="14"/>
  <c r="U60" i="14"/>
  <c r="L63" i="14"/>
  <c r="O71" i="14"/>
  <c r="M78" i="14"/>
  <c r="P58" i="14"/>
  <c r="S73" i="14"/>
  <c r="T10" i="14"/>
  <c r="N13" i="14"/>
  <c r="V29" i="14"/>
  <c r="P32" i="14"/>
  <c r="S40" i="14"/>
  <c r="V42" i="14"/>
  <c r="O50" i="14"/>
  <c r="N53" i="14"/>
  <c r="L56" i="14"/>
  <c r="Q58" i="14"/>
  <c r="S63" i="14"/>
  <c r="P71" i="14"/>
  <c r="T73" i="14"/>
  <c r="N78" i="14"/>
  <c r="U10" i="14"/>
  <c r="O13" i="14"/>
  <c r="K16" i="14"/>
  <c r="V19" i="14"/>
  <c r="R32" i="14"/>
  <c r="T40" i="14"/>
  <c r="R50" i="14"/>
  <c r="T53" i="14"/>
  <c r="M56" i="14"/>
  <c r="S58" i="14"/>
  <c r="U63" i="14"/>
  <c r="Q71" i="14"/>
  <c r="U73" i="14"/>
  <c r="O78" i="14"/>
  <c r="R13" i="14"/>
  <c r="S32" i="14"/>
  <c r="P35" i="14"/>
  <c r="T50" i="14"/>
  <c r="N56" i="14"/>
  <c r="V63" i="14"/>
  <c r="O66" i="14"/>
  <c r="R71" i="14"/>
  <c r="V73" i="14"/>
  <c r="P78" i="14"/>
  <c r="M81" i="14"/>
  <c r="P16" i="14"/>
  <c r="T58" i="14"/>
  <c r="S13" i="14"/>
  <c r="R16" i="14"/>
  <c r="N27" i="14"/>
  <c r="U32" i="14"/>
  <c r="Q35" i="14"/>
  <c r="K45" i="14"/>
  <c r="K48" i="14"/>
  <c r="U50" i="14"/>
  <c r="O56" i="14"/>
  <c r="V58" i="14"/>
  <c r="R66" i="14"/>
  <c r="K69" i="14"/>
  <c r="U71" i="14"/>
  <c r="Q78" i="14"/>
  <c r="P81" i="14"/>
  <c r="T13" i="14"/>
  <c r="S16" i="14"/>
  <c r="K22" i="14"/>
  <c r="R27" i="14"/>
  <c r="V35" i="14"/>
  <c r="O45" i="14"/>
  <c r="N48" i="14"/>
  <c r="V50" i="14"/>
  <c r="Q56" i="14"/>
  <c r="T66" i="14"/>
  <c r="L69" i="14"/>
  <c r="K76" i="14"/>
  <c r="T78" i="14"/>
  <c r="S81" i="14"/>
  <c r="N22" i="14"/>
  <c r="S27" i="14"/>
  <c r="K38" i="14"/>
  <c r="R45" i="14"/>
  <c r="P48" i="14"/>
  <c r="R56" i="14"/>
  <c r="U66" i="14"/>
  <c r="M69" i="14"/>
  <c r="L76" i="14"/>
  <c r="U78" i="14"/>
  <c r="V81" i="14"/>
  <c r="V11" i="14"/>
  <c r="S17" i="14"/>
  <c r="S20" i="14"/>
  <c r="N23" i="14"/>
  <c r="V25" i="14"/>
  <c r="P30" i="14"/>
  <c r="P33" i="14"/>
  <c r="R41" i="14"/>
  <c r="T43" i="14"/>
  <c r="N54" i="14"/>
  <c r="P59" i="14"/>
  <c r="U64" i="14"/>
  <c r="T67" i="14"/>
  <c r="Q72" i="14"/>
  <c r="Q74" i="14"/>
  <c r="R79" i="14"/>
  <c r="L14" i="14"/>
  <c r="T17" i="14"/>
  <c r="O23" i="14"/>
  <c r="K28" i="14"/>
  <c r="Q30" i="14"/>
  <c r="R33" i="14"/>
  <c r="K36" i="14"/>
  <c r="S41" i="14"/>
  <c r="V12" i="14"/>
  <c r="Q28" i="14"/>
  <c r="P31" i="14"/>
  <c r="L46" i="14"/>
  <c r="K53" i="14"/>
  <c r="T59" i="14"/>
  <c r="R65" i="14"/>
  <c r="N74" i="14"/>
  <c r="P80" i="14"/>
  <c r="T83" i="14"/>
  <c r="V31" i="14"/>
  <c r="L38" i="14"/>
  <c r="M46" i="14"/>
  <c r="Q80" i="14"/>
  <c r="T57" i="14"/>
  <c r="L42" i="14"/>
  <c r="O24" i="14"/>
  <c r="Q39" i="14"/>
  <c r="S84" i="14"/>
  <c r="V14" i="14"/>
  <c r="O18" i="14"/>
  <c r="K40" i="14"/>
  <c r="N58" i="14"/>
  <c r="N70" i="14"/>
  <c r="T18" i="14"/>
  <c r="S64" i="14"/>
  <c r="R28" i="14"/>
  <c r="K41" i="14"/>
  <c r="U59" i="14"/>
  <c r="U65" i="14"/>
  <c r="O74" i="14"/>
  <c r="V83" i="14"/>
  <c r="T44" i="14"/>
  <c r="K39" i="14"/>
  <c r="U57" i="14"/>
  <c r="O39" i="14"/>
  <c r="K21" i="14"/>
  <c r="P11" i="14"/>
  <c r="S45" i="14"/>
  <c r="L85" i="14"/>
  <c r="N73" i="14"/>
  <c r="S28" i="14"/>
  <c r="M38" i="14"/>
  <c r="M41" i="14"/>
  <c r="N46" i="14"/>
  <c r="V59" i="14"/>
  <c r="L62" i="14"/>
  <c r="R74" i="14"/>
  <c r="K77" i="14"/>
  <c r="R80" i="14"/>
  <c r="M24" i="14"/>
  <c r="Q60" i="14"/>
  <c r="M42" i="14"/>
  <c r="L61" i="14"/>
  <c r="T45" i="14"/>
  <c r="P23" i="14"/>
  <c r="M26" i="14"/>
  <c r="T28" i="14"/>
  <c r="N38" i="14"/>
  <c r="P41" i="14"/>
  <c r="O46" i="14"/>
  <c r="M62" i="14"/>
  <c r="U74" i="14"/>
  <c r="L77" i="14"/>
  <c r="T80" i="14"/>
  <c r="K20" i="14"/>
  <c r="Q23" i="14"/>
  <c r="N26" i="14"/>
  <c r="U28" i="14"/>
  <c r="O38" i="14"/>
  <c r="U41" i="14"/>
  <c r="P46" i="14"/>
  <c r="N62" i="14"/>
  <c r="M77" i="14"/>
  <c r="U80" i="14"/>
  <c r="N10" i="14"/>
  <c r="R17" i="14"/>
  <c r="P44" i="14"/>
  <c r="Q57" i="14"/>
  <c r="K60" i="14"/>
  <c r="T62" i="14"/>
  <c r="Q69" i="14"/>
  <c r="K24" i="14"/>
  <c r="U26" i="14"/>
  <c r="L36" i="14"/>
  <c r="N47" i="14"/>
  <c r="Q51" i="14"/>
  <c r="P60" i="14"/>
  <c r="K84" i="14"/>
  <c r="V26" i="14"/>
  <c r="T51" i="14"/>
  <c r="M75" i="14"/>
  <c r="P84" i="14"/>
  <c r="N24" i="14"/>
  <c r="V44" i="14"/>
  <c r="V54" i="14"/>
  <c r="V57" i="14"/>
  <c r="N75" i="14"/>
  <c r="R84" i="14"/>
  <c r="L33" i="14"/>
  <c r="N42" i="14"/>
  <c r="O75" i="14"/>
  <c r="L82" i="14"/>
  <c r="L30" i="14"/>
  <c r="N55" i="14"/>
  <c r="R64" i="14"/>
  <c r="M73" i="14"/>
  <c r="N79" i="14"/>
  <c r="S11" i="14"/>
  <c r="T27" i="14"/>
  <c r="M30" i="14"/>
  <c r="N37" i="14"/>
  <c r="L40" i="14"/>
  <c r="O55" i="14"/>
  <c r="O61" i="14"/>
  <c r="O70" i="14"/>
  <c r="O79" i="14"/>
  <c r="M85" i="14"/>
  <c r="M54" i="14"/>
  <c r="R20" i="14"/>
  <c r="R23" i="14"/>
  <c r="O26" i="14"/>
  <c r="V28" i="14"/>
  <c r="P38" i="14"/>
  <c r="V41" i="14"/>
  <c r="K44" i="14"/>
  <c r="Q46" i="14"/>
  <c r="O62" i="14"/>
  <c r="K72" i="14"/>
  <c r="Q77" i="14"/>
  <c r="O54" i="14"/>
  <c r="L17" i="14"/>
  <c r="P26" i="14"/>
  <c r="V38" i="14"/>
  <c r="L44" i="14"/>
  <c r="T46" i="14"/>
  <c r="K57" i="14"/>
  <c r="P62" i="14"/>
  <c r="M72" i="14"/>
  <c r="R77" i="14"/>
  <c r="R72" i="14"/>
  <c r="S36" i="14"/>
  <c r="M10" i="14"/>
  <c r="M17" i="14"/>
  <c r="Q26" i="14"/>
  <c r="M44" i="14"/>
  <c r="V46" i="14"/>
  <c r="M57" i="14"/>
  <c r="Q62" i="14"/>
  <c r="N69" i="14"/>
  <c r="P72" i="14"/>
  <c r="T77" i="14"/>
  <c r="R26" i="14"/>
  <c r="O10" i="14"/>
  <c r="V17" i="14"/>
  <c r="S26" i="14"/>
  <c r="Q44" i="14"/>
  <c r="R57" i="14"/>
  <c r="L60" i="14"/>
  <c r="U62" i="14"/>
  <c r="T69" i="14"/>
  <c r="T72" i="14"/>
  <c r="P10" i="14"/>
  <c r="T26" i="14"/>
  <c r="R44" i="14"/>
  <c r="L54" i="14"/>
  <c r="S57" i="14"/>
  <c r="M60" i="14"/>
  <c r="U69" i="14"/>
  <c r="U44" i="14"/>
  <c r="R60" i="14"/>
  <c r="M14" i="14"/>
  <c r="L21" i="14"/>
  <c r="P24" i="14"/>
  <c r="M33" i="14"/>
  <c r="O42" i="14"/>
  <c r="Q48" i="14"/>
  <c r="M67" i="14"/>
  <c r="P75" i="14"/>
  <c r="R82" i="14"/>
  <c r="U84" i="14"/>
  <c r="N14" i="14"/>
  <c r="M21" i="14"/>
  <c r="Q24" i="14"/>
  <c r="S33" i="14"/>
  <c r="P42" i="14"/>
  <c r="R48" i="14"/>
  <c r="P67" i="14"/>
  <c r="R75" i="14"/>
  <c r="T82" i="14"/>
  <c r="V84" i="14"/>
  <c r="O14" i="14"/>
  <c r="N21" i="14"/>
  <c r="S24" i="14"/>
  <c r="T33" i="14"/>
  <c r="Q42" i="14"/>
  <c r="T48" i="14"/>
  <c r="Q67" i="14"/>
  <c r="S75" i="14"/>
  <c r="U82" i="14"/>
  <c r="K11" i="14"/>
  <c r="P14" i="14"/>
  <c r="U21" i="14"/>
  <c r="U33" i="14"/>
  <c r="S42" i="14"/>
  <c r="L58" i="14"/>
  <c r="P64" i="14"/>
  <c r="V67" i="14"/>
  <c r="K73" i="14"/>
  <c r="O11" i="14"/>
  <c r="T14" i="14"/>
  <c r="N18" i="14"/>
  <c r="V33" i="14"/>
  <c r="K55" i="14"/>
  <c r="M58" i="14"/>
  <c r="Q64" i="14"/>
  <c r="L73" i="14"/>
  <c r="L79" i="14"/>
  <c r="T24" i="13"/>
  <c r="N80" i="14"/>
  <c r="U25" i="14"/>
  <c r="S79" i="14"/>
  <c r="V45" i="14"/>
  <c r="R71" i="13"/>
  <c r="P32" i="13"/>
  <c r="S83" i="14"/>
  <c r="P79" i="14"/>
  <c r="U45" i="14"/>
  <c r="M17" i="10"/>
  <c r="V42" i="10"/>
  <c r="K18" i="14"/>
  <c r="F24" i="14"/>
  <c r="G24" i="14"/>
  <c r="H24" i="14"/>
  <c r="D82" i="14"/>
  <c r="E82" i="14"/>
  <c r="F82" i="14"/>
  <c r="G82" i="14"/>
  <c r="H82" i="14"/>
  <c r="C82" i="14"/>
  <c r="F40" i="14"/>
  <c r="G40" i="14"/>
  <c r="H40" i="14"/>
  <c r="D35" i="14"/>
  <c r="E35" i="14"/>
  <c r="F35" i="14"/>
  <c r="G35" i="14"/>
  <c r="H35" i="14"/>
  <c r="C35" i="14"/>
  <c r="G17" i="14"/>
  <c r="H17" i="14"/>
  <c r="F17" i="14"/>
  <c r="E17" i="14"/>
  <c r="F56" i="14"/>
  <c r="G56" i="14"/>
  <c r="H56" i="14"/>
  <c r="E56" i="14"/>
  <c r="C26" i="14"/>
  <c r="D26" i="14"/>
  <c r="D55" i="14"/>
  <c r="F55" i="14"/>
  <c r="E55" i="14"/>
  <c r="H55" i="14"/>
  <c r="D39" i="14"/>
  <c r="F39" i="14"/>
  <c r="E39" i="14"/>
  <c r="H39" i="14"/>
  <c r="D23" i="14"/>
  <c r="E23" i="14"/>
  <c r="F23" i="14"/>
  <c r="H23" i="14"/>
  <c r="C74" i="14"/>
  <c r="D74" i="14"/>
  <c r="E16" i="14"/>
  <c r="F16" i="14"/>
  <c r="G16" i="14"/>
  <c r="H16" i="14"/>
  <c r="G81" i="14"/>
  <c r="H81" i="14"/>
  <c r="E80" i="14"/>
  <c r="F80" i="14"/>
  <c r="G80" i="14"/>
  <c r="H80" i="14"/>
  <c r="H85" i="14"/>
  <c r="H67" i="14"/>
  <c r="G19" i="14"/>
  <c r="G85" i="14"/>
  <c r="G67" i="14"/>
  <c r="E64" i="14"/>
  <c r="F64" i="14"/>
  <c r="G64" i="14"/>
  <c r="H64" i="14"/>
  <c r="D48" i="14"/>
  <c r="F19" i="14"/>
  <c r="C63" i="14"/>
  <c r="D63" i="14"/>
  <c r="E63" i="14"/>
  <c r="F63" i="14"/>
  <c r="G63" i="14"/>
  <c r="H63" i="14"/>
  <c r="F85" i="14"/>
  <c r="F72" i="14"/>
  <c r="G72" i="14"/>
  <c r="F67" i="14"/>
  <c r="H58" i="14"/>
  <c r="H51" i="14"/>
  <c r="E19" i="14"/>
  <c r="C15" i="14"/>
  <c r="D15" i="14"/>
  <c r="E15" i="14"/>
  <c r="F15" i="14"/>
  <c r="G15" i="14"/>
  <c r="H15" i="14"/>
  <c r="E85" i="14"/>
  <c r="E67" i="14"/>
  <c r="G58" i="14"/>
  <c r="G51" i="14"/>
  <c r="E48" i="14"/>
  <c r="F48" i="14"/>
  <c r="G48" i="14"/>
  <c r="H48" i="14"/>
  <c r="D19" i="14"/>
  <c r="C47" i="14"/>
  <c r="D47" i="14"/>
  <c r="E47" i="14"/>
  <c r="F47" i="14"/>
  <c r="G47" i="14"/>
  <c r="H47" i="14"/>
  <c r="C85" i="14"/>
  <c r="F51" i="14"/>
  <c r="E32" i="14"/>
  <c r="F32" i="14"/>
  <c r="G32" i="14"/>
  <c r="H32" i="14"/>
  <c r="H26" i="14"/>
  <c r="G65" i="14"/>
  <c r="H65" i="14"/>
  <c r="G33" i="14"/>
  <c r="H33" i="14"/>
  <c r="AI5" i="14"/>
  <c r="C31" i="14"/>
  <c r="D31" i="14"/>
  <c r="E31" i="14"/>
  <c r="F31" i="14"/>
  <c r="G31" i="14"/>
  <c r="H31" i="14"/>
  <c r="E51" i="14"/>
  <c r="G26" i="14"/>
  <c r="G49" i="14"/>
  <c r="H49" i="14"/>
  <c r="C79" i="14"/>
  <c r="D79" i="14"/>
  <c r="E79" i="14"/>
  <c r="F79" i="14"/>
  <c r="G79" i="14"/>
  <c r="H79" i="14"/>
  <c r="C58" i="14"/>
  <c r="D58" i="14"/>
  <c r="D51" i="14"/>
  <c r="F26" i="14"/>
  <c r="D71" i="14"/>
  <c r="E71" i="14"/>
  <c r="H71" i="14"/>
  <c r="C42" i="14"/>
  <c r="D42" i="14"/>
  <c r="E26" i="14"/>
  <c r="S62" i="14"/>
  <c r="Q61" i="14"/>
  <c r="O60" i="14"/>
  <c r="M59" i="14"/>
  <c r="K58" i="14"/>
  <c r="U47" i="14"/>
  <c r="S46" i="14"/>
  <c r="Q45" i="14"/>
  <c r="O44" i="14"/>
  <c r="M43" i="14"/>
  <c r="K42" i="14"/>
  <c r="U31" i="14"/>
  <c r="S30" i="14"/>
  <c r="Q29" i="14"/>
  <c r="O28" i="14"/>
  <c r="M27" i="14"/>
  <c r="K26" i="14"/>
  <c r="U15" i="14"/>
  <c r="S14" i="14"/>
  <c r="Q13" i="14"/>
  <c r="O12" i="14"/>
  <c r="M11" i="14"/>
  <c r="K10" i="14"/>
  <c r="V80" i="14"/>
  <c r="T79" i="14"/>
  <c r="R78" i="14"/>
  <c r="P77" i="14"/>
  <c r="N76" i="14"/>
  <c r="L75" i="14"/>
  <c r="H73" i="14"/>
  <c r="V64" i="14"/>
  <c r="T63" i="14"/>
  <c r="R62" i="14"/>
  <c r="P61" i="14"/>
  <c r="N60" i="14"/>
  <c r="L59" i="14"/>
  <c r="H57" i="14"/>
  <c r="V48" i="14"/>
  <c r="T47" i="14"/>
  <c r="R46" i="14"/>
  <c r="P45" i="14"/>
  <c r="N44" i="14"/>
  <c r="L43" i="14"/>
  <c r="H41" i="14"/>
  <c r="V32" i="14"/>
  <c r="T31" i="14"/>
  <c r="R30" i="14"/>
  <c r="P29" i="14"/>
  <c r="N28" i="14"/>
  <c r="L27" i="14"/>
  <c r="V16" i="14"/>
  <c r="T15" i="14"/>
  <c r="R14" i="14"/>
  <c r="P13" i="14"/>
  <c r="N12" i="14"/>
  <c r="L11" i="14"/>
  <c r="U83" i="14"/>
  <c r="S82" i="14"/>
  <c r="Q81" i="14"/>
  <c r="O80" i="14"/>
  <c r="M79" i="14"/>
  <c r="K78" i="14"/>
  <c r="G76" i="14"/>
  <c r="U67" i="14"/>
  <c r="S66" i="14"/>
  <c r="Q65" i="14"/>
  <c r="O64" i="14"/>
  <c r="M63" i="14"/>
  <c r="K62" i="14"/>
  <c r="G60" i="14"/>
  <c r="U51" i="14"/>
  <c r="S50" i="14"/>
  <c r="Q49" i="14"/>
  <c r="O48" i="14"/>
  <c r="M47" i="14"/>
  <c r="K46" i="14"/>
  <c r="G44" i="14"/>
  <c r="U35" i="14"/>
  <c r="S34" i="14"/>
  <c r="Q33" i="14"/>
  <c r="O32" i="14"/>
  <c r="M31" i="14"/>
  <c r="K30" i="14"/>
  <c r="G28" i="14"/>
  <c r="U19" i="14"/>
  <c r="S18" i="14"/>
  <c r="Q17" i="14"/>
  <c r="O16" i="14"/>
  <c r="M15" i="14"/>
  <c r="K14" i="14"/>
  <c r="G12" i="14"/>
  <c r="E11" i="14"/>
  <c r="V20" i="14"/>
  <c r="T19" i="14"/>
  <c r="R18" i="14"/>
  <c r="P17" i="14"/>
  <c r="N16" i="14"/>
  <c r="L15" i="14"/>
  <c r="H13" i="14"/>
  <c r="F12" i="14"/>
  <c r="Q82" i="14"/>
  <c r="O81" i="14"/>
  <c r="M80" i="14"/>
  <c r="K79" i="14"/>
  <c r="G77" i="14"/>
  <c r="E76" i="14"/>
  <c r="U68" i="14"/>
  <c r="S67" i="14"/>
  <c r="Q66" i="14"/>
  <c r="O65" i="14"/>
  <c r="M64" i="14"/>
  <c r="K63" i="14"/>
  <c r="G61" i="14"/>
  <c r="E60" i="14"/>
  <c r="U52" i="14"/>
  <c r="S51" i="14"/>
  <c r="Q50" i="14"/>
  <c r="O49" i="14"/>
  <c r="M48" i="14"/>
  <c r="K47" i="14"/>
  <c r="G45" i="14"/>
  <c r="E44" i="14"/>
  <c r="U36" i="14"/>
  <c r="S35" i="14"/>
  <c r="Q34" i="14"/>
  <c r="O33" i="14"/>
  <c r="M32" i="14"/>
  <c r="K31" i="14"/>
  <c r="G29" i="14"/>
  <c r="E28" i="14"/>
  <c r="U20" i="14"/>
  <c r="S19" i="14"/>
  <c r="Q18" i="14"/>
  <c r="O17" i="14"/>
  <c r="M16" i="14"/>
  <c r="K15" i="14"/>
  <c r="G13" i="14"/>
  <c r="E12" i="14"/>
  <c r="V85" i="14"/>
  <c r="T84" i="14"/>
  <c r="R83" i="14"/>
  <c r="P82" i="14"/>
  <c r="N81" i="14"/>
  <c r="L80" i="14"/>
  <c r="F77" i="14"/>
  <c r="D76" i="14"/>
  <c r="V69" i="14"/>
  <c r="T68" i="14"/>
  <c r="R67" i="14"/>
  <c r="P66" i="14"/>
  <c r="N65" i="14"/>
  <c r="L64" i="14"/>
  <c r="F61" i="14"/>
  <c r="D60" i="14"/>
  <c r="V53" i="14"/>
  <c r="T52" i="14"/>
  <c r="R51" i="14"/>
  <c r="P50" i="14"/>
  <c r="N49" i="14"/>
  <c r="L48" i="14"/>
  <c r="F45" i="14"/>
  <c r="D44" i="14"/>
  <c r="V37" i="14"/>
  <c r="T36" i="14"/>
  <c r="R35" i="14"/>
  <c r="P34" i="14"/>
  <c r="N33" i="14"/>
  <c r="L32" i="14"/>
  <c r="F29" i="14"/>
  <c r="D28" i="14"/>
  <c r="V21" i="14"/>
  <c r="T20" i="14"/>
  <c r="R19" i="14"/>
  <c r="P18" i="14"/>
  <c r="N17" i="14"/>
  <c r="L16" i="14"/>
  <c r="F13" i="14"/>
  <c r="D12" i="14"/>
  <c r="S85" i="14"/>
  <c r="Q84" i="14"/>
  <c r="O83" i="14"/>
  <c r="M82" i="14"/>
  <c r="K81" i="14"/>
  <c r="E78" i="14"/>
  <c r="U70" i="14"/>
  <c r="S69" i="14"/>
  <c r="Q68" i="14"/>
  <c r="O67" i="14"/>
  <c r="M66" i="14"/>
  <c r="K65" i="14"/>
  <c r="U54" i="14"/>
  <c r="S53" i="14"/>
  <c r="Q52" i="14"/>
  <c r="O51" i="14"/>
  <c r="M50" i="14"/>
  <c r="K49" i="14"/>
  <c r="U38" i="14"/>
  <c r="S37" i="14"/>
  <c r="Q36" i="14"/>
  <c r="O35" i="14"/>
  <c r="M34" i="14"/>
  <c r="K33" i="14"/>
  <c r="U22" i="14"/>
  <c r="S21" i="14"/>
  <c r="Q20" i="14"/>
  <c r="O19" i="14"/>
  <c r="M18" i="14"/>
  <c r="K17" i="14"/>
  <c r="V71" i="14"/>
  <c r="T70" i="14"/>
  <c r="R69" i="14"/>
  <c r="P68" i="14"/>
  <c r="N67" i="14"/>
  <c r="L66" i="14"/>
  <c r="V55" i="14"/>
  <c r="T54" i="14"/>
  <c r="R53" i="14"/>
  <c r="P52" i="14"/>
  <c r="N51" i="14"/>
  <c r="L50" i="14"/>
  <c r="V39" i="14"/>
  <c r="T38" i="14"/>
  <c r="R37" i="14"/>
  <c r="P36" i="14"/>
  <c r="N35" i="14"/>
  <c r="L34" i="14"/>
  <c r="V23" i="14"/>
  <c r="T22" i="14"/>
  <c r="R21" i="14"/>
  <c r="P20" i="14"/>
  <c r="N19" i="14"/>
  <c r="L18" i="14"/>
  <c r="K66" i="14"/>
  <c r="U55" i="14"/>
  <c r="S54" i="14"/>
  <c r="Q53" i="14"/>
  <c r="O52" i="14"/>
  <c r="M51" i="14"/>
  <c r="K50" i="14"/>
  <c r="U39" i="14"/>
  <c r="S38" i="14"/>
  <c r="Q37" i="14"/>
  <c r="O36" i="14"/>
  <c r="M35" i="14"/>
  <c r="K34" i="14"/>
  <c r="U23" i="14"/>
  <c r="S22" i="14"/>
  <c r="Q21" i="14"/>
  <c r="O20" i="14"/>
  <c r="M19" i="14"/>
  <c r="P85" i="14"/>
  <c r="N84" i="14"/>
  <c r="L83" i="14"/>
  <c r="V72" i="14"/>
  <c r="T71" i="14"/>
  <c r="R70" i="14"/>
  <c r="P69" i="14"/>
  <c r="N68" i="14"/>
  <c r="L67" i="14"/>
  <c r="V56" i="14"/>
  <c r="T55" i="14"/>
  <c r="R54" i="14"/>
  <c r="P53" i="14"/>
  <c r="N52" i="14"/>
  <c r="L51" i="14"/>
  <c r="V40" i="14"/>
  <c r="T39" i="14"/>
  <c r="R38" i="14"/>
  <c r="P37" i="14"/>
  <c r="N36" i="14"/>
  <c r="L35" i="14"/>
  <c r="V24" i="14"/>
  <c r="T23" i="14"/>
  <c r="R22" i="14"/>
  <c r="P21" i="14"/>
  <c r="N20" i="14"/>
  <c r="L19" i="14"/>
  <c r="O85" i="14"/>
  <c r="M84" i="14"/>
  <c r="K83" i="14"/>
  <c r="U72" i="14"/>
  <c r="S71" i="14"/>
  <c r="Q70" i="14"/>
  <c r="O69" i="14"/>
  <c r="M68" i="14"/>
  <c r="K67" i="14"/>
  <c r="U56" i="14"/>
  <c r="S55" i="14"/>
  <c r="Q54" i="14"/>
  <c r="O53" i="14"/>
  <c r="M52" i="14"/>
  <c r="K51" i="14"/>
  <c r="U40" i="14"/>
  <c r="S39" i="14"/>
  <c r="Q38" i="14"/>
  <c r="O37" i="14"/>
  <c r="M36" i="14"/>
  <c r="K35" i="14"/>
  <c r="U24" i="14"/>
  <c r="S23" i="14"/>
  <c r="Q22" i="14"/>
  <c r="O21" i="14"/>
  <c r="M20" i="14"/>
  <c r="M56" i="13"/>
  <c r="T16" i="13"/>
  <c r="M10" i="13"/>
  <c r="K59" i="13"/>
  <c r="L56" i="13"/>
  <c r="S16" i="13"/>
  <c r="L10" i="13"/>
  <c r="N48" i="13"/>
  <c r="P38" i="13"/>
  <c r="V34" i="13"/>
  <c r="P30" i="13"/>
  <c r="P16" i="13"/>
  <c r="T12" i="13"/>
  <c r="V65" i="13"/>
  <c r="M48" i="13"/>
  <c r="N38" i="13"/>
  <c r="U34" i="13"/>
  <c r="O30" i="13"/>
  <c r="L23" i="13"/>
  <c r="O16" i="13"/>
  <c r="Q46" i="13"/>
  <c r="K19" i="13"/>
  <c r="L15" i="13"/>
  <c r="V17" i="13"/>
  <c r="P25" i="13"/>
  <c r="Q27" i="13"/>
  <c r="M29" i="13"/>
  <c r="P31" i="13"/>
  <c r="L39" i="13"/>
  <c r="Q41" i="13"/>
  <c r="O43" i="13"/>
  <c r="M45" i="13"/>
  <c r="P47" i="13"/>
  <c r="O57" i="13"/>
  <c r="R59" i="13"/>
  <c r="M61" i="13"/>
  <c r="P63" i="13"/>
  <c r="L71" i="13"/>
  <c r="R73" i="13"/>
  <c r="R75" i="13"/>
  <c r="M77" i="13"/>
  <c r="O79" i="13"/>
  <c r="U81" i="13"/>
  <c r="U17" i="13"/>
  <c r="Q25" i="13"/>
  <c r="S27" i="13"/>
  <c r="S29" i="13"/>
  <c r="V31" i="13"/>
  <c r="V36" i="13"/>
  <c r="R39" i="13"/>
  <c r="L48" i="13"/>
  <c r="U50" i="13"/>
  <c r="P64" i="13"/>
  <c r="P72" i="13"/>
  <c r="S74" i="13"/>
  <c r="P76" i="13"/>
  <c r="L78" i="13"/>
  <c r="U80" i="13"/>
  <c r="K13" i="13"/>
  <c r="P15" i="13"/>
  <c r="O23" i="13"/>
  <c r="S32" i="13"/>
  <c r="O40" i="13"/>
  <c r="R42" i="13"/>
  <c r="Q44" i="13"/>
  <c r="O46" i="13"/>
  <c r="U51" i="13"/>
  <c r="L54" i="13"/>
  <c r="T65" i="13"/>
  <c r="L68" i="13"/>
  <c r="P73" i="13"/>
  <c r="S75" i="13"/>
  <c r="R77" i="13"/>
  <c r="V79" i="13"/>
  <c r="U19" i="13"/>
  <c r="K22" i="13"/>
  <c r="N31" i="13"/>
  <c r="L36" i="13"/>
  <c r="O39" i="13"/>
  <c r="P48" i="13"/>
  <c r="N56" i="13"/>
  <c r="P58" i="13"/>
  <c r="T60" i="13"/>
  <c r="O62" i="13"/>
  <c r="L70" i="13"/>
  <c r="K75" i="13"/>
  <c r="K77" i="13"/>
  <c r="R79" i="13"/>
  <c r="O11" i="13"/>
  <c r="R13" i="13"/>
  <c r="U18" i="13"/>
  <c r="N21" i="13"/>
  <c r="M24" i="13"/>
  <c r="T26" i="13"/>
  <c r="S28" i="13"/>
  <c r="Q30" i="13"/>
  <c r="P33" i="13"/>
  <c r="P41" i="13"/>
  <c r="R43" i="13"/>
  <c r="S45" i="13"/>
  <c r="T50" i="13"/>
  <c r="K53" i="13"/>
  <c r="P60" i="13"/>
  <c r="L62" i="13"/>
  <c r="K70" i="13"/>
  <c r="T10" i="13"/>
  <c r="U12" i="13"/>
  <c r="T17" i="13"/>
  <c r="L20" i="13"/>
  <c r="M23" i="13"/>
  <c r="S35" i="13"/>
  <c r="K38" i="13"/>
  <c r="N45" i="13"/>
  <c r="V47" i="13"/>
  <c r="R50" i="13"/>
  <c r="Q60" i="13"/>
  <c r="P62" i="13"/>
  <c r="P70" i="13"/>
  <c r="N73" i="13"/>
  <c r="T75" i="13"/>
  <c r="V77" i="13"/>
  <c r="M80" i="13"/>
  <c r="R82" i="13"/>
  <c r="V84" i="13"/>
  <c r="U10" i="13"/>
  <c r="V12" i="13"/>
  <c r="U20" i="13"/>
  <c r="N23" i="13"/>
  <c r="K30" i="13"/>
  <c r="T35" i="13"/>
  <c r="L38" i="13"/>
  <c r="K43" i="13"/>
  <c r="O45" i="13"/>
  <c r="S50" i="13"/>
  <c r="N53" i="13"/>
  <c r="L58" i="13"/>
  <c r="S60" i="13"/>
  <c r="Q62" i="13"/>
  <c r="N65" i="13"/>
  <c r="O73" i="13"/>
  <c r="U75" i="13"/>
  <c r="N80" i="13"/>
  <c r="S82" i="13"/>
  <c r="V10" i="13"/>
  <c r="V20" i="13"/>
  <c r="P23" i="13"/>
  <c r="L30" i="13"/>
  <c r="U35" i="13"/>
  <c r="M38" i="13"/>
  <c r="K41" i="13"/>
  <c r="N43" i="13"/>
  <c r="R45" i="13"/>
  <c r="V50" i="13"/>
  <c r="V53" i="13"/>
  <c r="K56" i="13"/>
  <c r="M58" i="13"/>
  <c r="U60" i="13"/>
  <c r="T62" i="13"/>
  <c r="P65" i="13"/>
  <c r="Q73" i="13"/>
  <c r="V75" i="13"/>
  <c r="O80" i="13"/>
  <c r="T82" i="13"/>
  <c r="V11" i="13"/>
  <c r="Q16" i="13"/>
  <c r="R31" i="13"/>
  <c r="L42" i="13"/>
  <c r="L44" i="13"/>
  <c r="N46" i="13"/>
  <c r="N49" i="13"/>
  <c r="K57" i="13"/>
  <c r="Q59" i="13"/>
  <c r="R61" i="13"/>
  <c r="T66" i="13"/>
  <c r="L69" i="13"/>
  <c r="N72" i="13"/>
  <c r="T74" i="13"/>
  <c r="U76" i="13"/>
  <c r="P81" i="13"/>
  <c r="T83" i="13"/>
  <c r="R16" i="13"/>
  <c r="K29" i="13"/>
  <c r="S31" i="13"/>
  <c r="P34" i="13"/>
  <c r="M42" i="13"/>
  <c r="M44" i="13"/>
  <c r="P46" i="13"/>
  <c r="O49" i="13"/>
  <c r="M57" i="13"/>
  <c r="S59" i="13"/>
  <c r="S61" i="13"/>
  <c r="U66" i="13"/>
  <c r="N69" i="13"/>
  <c r="O72" i="13"/>
  <c r="U74" i="13"/>
  <c r="V76" i="13"/>
  <c r="Q81" i="13"/>
  <c r="U83" i="13"/>
  <c r="M39" i="13"/>
  <c r="V49" i="13"/>
  <c r="V52" i="13"/>
  <c r="O58" i="13"/>
  <c r="R63" i="13"/>
  <c r="R66" i="13"/>
  <c r="S69" i="13"/>
  <c r="Q80" i="13"/>
  <c r="S85" i="13"/>
  <c r="N33" i="13"/>
  <c r="N39" i="13"/>
  <c r="K44" i="13"/>
  <c r="Q58" i="13"/>
  <c r="S63" i="13"/>
  <c r="S66" i="13"/>
  <c r="V69" i="13"/>
  <c r="R80" i="13"/>
  <c r="V85" i="13"/>
  <c r="M30" i="13"/>
  <c r="O33" i="13"/>
  <c r="P39" i="13"/>
  <c r="P44" i="13"/>
  <c r="R58" i="13"/>
  <c r="V63" i="13"/>
  <c r="V66" i="13"/>
  <c r="N75" i="13"/>
  <c r="S80" i="13"/>
  <c r="O15" i="13"/>
  <c r="R18" i="13"/>
  <c r="S34" i="13"/>
  <c r="T40" i="13"/>
  <c r="Q48" i="13"/>
  <c r="S51" i="13"/>
  <c r="P54" i="13"/>
  <c r="K71" i="13"/>
  <c r="S76" i="13"/>
  <c r="Q15" i="13"/>
  <c r="S18" i="13"/>
  <c r="T34" i="13"/>
  <c r="R48" i="13"/>
  <c r="T51" i="13"/>
  <c r="N57" i="13"/>
  <c r="N71" i="13"/>
  <c r="T76" i="13"/>
  <c r="L84" i="13"/>
  <c r="R23" i="13"/>
  <c r="L26" i="13"/>
  <c r="K28" i="13"/>
  <c r="T30" i="13"/>
  <c r="V33" i="13"/>
  <c r="N40" i="13"/>
  <c r="V45" i="13"/>
  <c r="O48" i="13"/>
  <c r="V57" i="13"/>
  <c r="V60" i="13"/>
  <c r="L63" i="13"/>
  <c r="P66" i="13"/>
  <c r="N81" i="13"/>
  <c r="L14" i="13"/>
  <c r="L37" i="13"/>
  <c r="M55" i="13"/>
  <c r="O63" i="13"/>
  <c r="K73" i="13"/>
  <c r="M14" i="13"/>
  <c r="R26" i="13"/>
  <c r="V81" i="13"/>
  <c r="S17" i="13"/>
  <c r="T28" i="13"/>
  <c r="K12" i="13"/>
  <c r="L24" i="13"/>
  <c r="U28" i="13"/>
  <c r="P55" i="13"/>
  <c r="S67" i="13"/>
  <c r="T73" i="13"/>
  <c r="L12" i="13"/>
  <c r="N24" i="13"/>
  <c r="V28" i="13"/>
  <c r="S43" i="13"/>
  <c r="K76" i="13"/>
  <c r="O17" i="13"/>
  <c r="M26" i="13"/>
  <c r="L28" i="13"/>
  <c r="U30" i="13"/>
  <c r="P40" i="13"/>
  <c r="S48" i="13"/>
  <c r="K55" i="13"/>
  <c r="M63" i="13"/>
  <c r="Q66" i="13"/>
  <c r="K78" i="13"/>
  <c r="O81" i="13"/>
  <c r="P28" i="13"/>
  <c r="R40" i="13"/>
  <c r="N78" i="13"/>
  <c r="Q28" i="13"/>
  <c r="N37" i="13"/>
  <c r="N55" i="13"/>
  <c r="O78" i="13"/>
  <c r="R67" i="13"/>
  <c r="P78" i="13"/>
  <c r="O14" i="13"/>
  <c r="U26" i="13"/>
  <c r="L31" i="13"/>
  <c r="Q43" i="13"/>
  <c r="Q78" i="13"/>
  <c r="P14" i="13"/>
  <c r="V26" i="13"/>
  <c r="Q34" i="13"/>
  <c r="V73" i="13"/>
  <c r="T84" i="13"/>
  <c r="K14" i="13"/>
  <c r="P17" i="13"/>
  <c r="P26" i="13"/>
  <c r="M28" i="13"/>
  <c r="K37" i="13"/>
  <c r="Q40" i="13"/>
  <c r="T48" i="13"/>
  <c r="L55" i="13"/>
  <c r="N63" i="13"/>
  <c r="M78" i="13"/>
  <c r="R81" i="13"/>
  <c r="Q17" i="13"/>
  <c r="Q26" i="13"/>
  <c r="U48" i="13"/>
  <c r="T81" i="13"/>
  <c r="R17" i="13"/>
  <c r="Q63" i="13"/>
  <c r="M73" i="13"/>
  <c r="N14" i="13"/>
  <c r="S26" i="13"/>
  <c r="K31" i="13"/>
  <c r="V37" i="13"/>
  <c r="O55" i="13"/>
  <c r="S73" i="13"/>
  <c r="M31" i="13"/>
  <c r="R55" i="13"/>
  <c r="T67" i="13"/>
  <c r="T78" i="13"/>
  <c r="S15" i="13"/>
  <c r="K27" i="13"/>
  <c r="R29" i="13"/>
  <c r="Q32" i="13"/>
  <c r="R35" i="13"/>
  <c r="R56" i="13"/>
  <c r="N59" i="13"/>
  <c r="U64" i="13"/>
  <c r="Q74" i="13"/>
  <c r="Q79" i="13"/>
  <c r="K85" i="13"/>
  <c r="V15" i="13"/>
  <c r="N27" i="13"/>
  <c r="U29" i="13"/>
  <c r="R32" i="13"/>
  <c r="V35" i="13"/>
  <c r="P50" i="13"/>
  <c r="T56" i="13"/>
  <c r="O59" i="13"/>
  <c r="R74" i="13"/>
  <c r="S79" i="13"/>
  <c r="L85" i="13"/>
  <c r="L13" i="13"/>
  <c r="O27" i="13"/>
  <c r="V29" i="13"/>
  <c r="T32" i="13"/>
  <c r="T44" i="13"/>
  <c r="K47" i="13"/>
  <c r="Q50" i="13"/>
  <c r="U59" i="13"/>
  <c r="T68" i="13"/>
  <c r="V74" i="13"/>
  <c r="N85" i="13"/>
  <c r="M13" i="13"/>
  <c r="L22" i="13"/>
  <c r="K25" i="13"/>
  <c r="R27" i="13"/>
  <c r="U32" i="13"/>
  <c r="U44" i="13"/>
  <c r="L47" i="13"/>
  <c r="V59" i="13"/>
  <c r="U68" i="13"/>
  <c r="N77" i="13"/>
  <c r="N13" i="13"/>
  <c r="M22" i="13"/>
  <c r="N25" i="13"/>
  <c r="T27" i="13"/>
  <c r="K39" i="13"/>
  <c r="V44" i="13"/>
  <c r="M47" i="13"/>
  <c r="V68" i="13"/>
  <c r="K72" i="13"/>
  <c r="O77" i="13"/>
  <c r="O13" i="13"/>
  <c r="N16" i="13"/>
  <c r="N22" i="13"/>
  <c r="O25" i="13"/>
  <c r="U27" i="13"/>
  <c r="O47" i="13"/>
  <c r="Q65" i="13"/>
  <c r="L72" i="13"/>
  <c r="S77" i="13"/>
  <c r="L80" i="13"/>
  <c r="Q75" i="13"/>
  <c r="M64" i="13"/>
  <c r="T43" i="13"/>
  <c r="T18" i="13"/>
  <c r="V82" i="13"/>
  <c r="O75" i="13"/>
  <c r="L64" i="13"/>
  <c r="S57" i="13"/>
  <c r="L46" i="13"/>
  <c r="T36" i="13"/>
  <c r="Q18" i="13"/>
  <c r="K11" i="13"/>
  <c r="N64" i="13"/>
  <c r="U43" i="13"/>
  <c r="R25" i="13"/>
  <c r="N11" i="13"/>
  <c r="U82" i="13"/>
  <c r="R57" i="13"/>
  <c r="K46" i="13"/>
  <c r="Q14" i="13"/>
  <c r="T11" i="13"/>
  <c r="M72" i="13"/>
  <c r="V18" i="13"/>
  <c r="S11" i="13"/>
  <c r="T57" i="13"/>
  <c r="M46" i="13"/>
  <c r="U36" i="13"/>
  <c r="Q82" i="13"/>
  <c r="Q57" i="13"/>
  <c r="M40" i="13"/>
  <c r="O51" i="10"/>
  <c r="Q51" i="10"/>
  <c r="Q44" i="10"/>
  <c r="P44" i="10"/>
  <c r="S78" i="10"/>
  <c r="F59" i="13"/>
  <c r="G59" i="13"/>
  <c r="H59" i="13"/>
  <c r="D59" i="13"/>
  <c r="E59" i="13"/>
  <c r="G65" i="13"/>
  <c r="H65" i="13"/>
  <c r="E65" i="13"/>
  <c r="C65" i="13"/>
  <c r="D65" i="13"/>
  <c r="D53" i="13"/>
  <c r="F53" i="13"/>
  <c r="G53" i="13"/>
  <c r="E53" i="13"/>
  <c r="H53" i="13"/>
  <c r="G50" i="13"/>
  <c r="C50" i="13"/>
  <c r="D50" i="13"/>
  <c r="F50" i="13"/>
  <c r="H50" i="13"/>
  <c r="D71" i="13"/>
  <c r="E71" i="13"/>
  <c r="H71" i="13"/>
  <c r="F71" i="13"/>
  <c r="G71" i="13"/>
  <c r="G66" i="13"/>
  <c r="E66" i="13"/>
  <c r="F66" i="13"/>
  <c r="H66" i="13"/>
  <c r="F37" i="13"/>
  <c r="E37" i="13"/>
  <c r="D37" i="13"/>
  <c r="H37" i="13"/>
  <c r="E32" i="13"/>
  <c r="F32" i="13"/>
  <c r="G32" i="13"/>
  <c r="H32" i="13"/>
  <c r="C32" i="13"/>
  <c r="D32" i="13"/>
  <c r="F72" i="13"/>
  <c r="G72" i="13"/>
  <c r="C63" i="13"/>
  <c r="D63" i="13"/>
  <c r="E63" i="13"/>
  <c r="F63" i="13"/>
  <c r="G63" i="13"/>
  <c r="H63" i="13"/>
  <c r="E48" i="13"/>
  <c r="F48" i="13"/>
  <c r="G48" i="13"/>
  <c r="H48" i="13"/>
  <c r="C48" i="13"/>
  <c r="G33" i="13"/>
  <c r="H33" i="13"/>
  <c r="E33" i="13"/>
  <c r="H19" i="13"/>
  <c r="G81" i="13"/>
  <c r="H81" i="13"/>
  <c r="E81" i="13"/>
  <c r="H82" i="13"/>
  <c r="C79" i="13"/>
  <c r="D79" i="13"/>
  <c r="E79" i="13"/>
  <c r="F79" i="13"/>
  <c r="H79" i="13"/>
  <c r="D55" i="13"/>
  <c r="E55" i="13"/>
  <c r="H55" i="13"/>
  <c r="E64" i="13"/>
  <c r="F64" i="13"/>
  <c r="G64" i="13"/>
  <c r="H64" i="13"/>
  <c r="C64" i="13"/>
  <c r="H41" i="13"/>
  <c r="F41" i="13"/>
  <c r="G41" i="13"/>
  <c r="D26" i="13"/>
  <c r="E26" i="13"/>
  <c r="G26" i="13"/>
  <c r="H26" i="13"/>
  <c r="D56" i="13"/>
  <c r="D49" i="13"/>
  <c r="F39" i="13"/>
  <c r="D34" i="13"/>
  <c r="D24" i="13"/>
  <c r="G74" i="13"/>
  <c r="H74" i="13"/>
  <c r="H67" i="13"/>
  <c r="G67" i="13"/>
  <c r="F56" i="13"/>
  <c r="G56" i="13"/>
  <c r="G49" i="13"/>
  <c r="H49" i="13"/>
  <c r="E49" i="13"/>
  <c r="D39" i="13"/>
  <c r="E39" i="13"/>
  <c r="H39" i="13"/>
  <c r="G34" i="13"/>
  <c r="F24" i="13"/>
  <c r="G24" i="13"/>
  <c r="E80" i="13"/>
  <c r="F80" i="13"/>
  <c r="G80" i="13"/>
  <c r="H80" i="13"/>
  <c r="C80" i="13"/>
  <c r="D80" i="13"/>
  <c r="F67" i="13"/>
  <c r="H72" i="13"/>
  <c r="E67" i="13"/>
  <c r="G17" i="13"/>
  <c r="H17" i="13"/>
  <c r="E17" i="13"/>
  <c r="F17" i="13"/>
  <c r="E72" i="13"/>
  <c r="D67" i="13"/>
  <c r="C31" i="13"/>
  <c r="D31" i="13"/>
  <c r="E31" i="13"/>
  <c r="F31" i="13"/>
  <c r="G31" i="13"/>
  <c r="H31" i="13"/>
  <c r="D69" i="13"/>
  <c r="D72" i="13"/>
  <c r="F40" i="13"/>
  <c r="G40" i="13"/>
  <c r="D23" i="13"/>
  <c r="E23" i="13"/>
  <c r="H23" i="13"/>
  <c r="F58" i="13"/>
  <c r="E43" i="13"/>
  <c r="H35" i="13"/>
  <c r="G18" i="13"/>
  <c r="H18" i="13"/>
  <c r="M66" i="13"/>
  <c r="O35" i="13"/>
  <c r="S53" i="13"/>
  <c r="O67" i="13"/>
  <c r="K33" i="13"/>
  <c r="U38" i="13"/>
  <c r="M50" i="13"/>
  <c r="Q52" i="13"/>
  <c r="U54" i="13"/>
  <c r="Q68" i="13"/>
  <c r="K17" i="13"/>
  <c r="M18" i="13"/>
  <c r="O19" i="13"/>
  <c r="Q20" i="13"/>
  <c r="S21" i="13"/>
  <c r="U22" i="13"/>
  <c r="M34" i="13"/>
  <c r="Q36" i="13"/>
  <c r="S37" i="13"/>
  <c r="K49" i="13"/>
  <c r="O51" i="13"/>
  <c r="K65" i="13"/>
  <c r="U70" i="13"/>
  <c r="L16" i="13"/>
  <c r="R19" i="13"/>
  <c r="V21" i="13"/>
  <c r="N17" i="13"/>
  <c r="P18" i="13"/>
  <c r="T20" i="13"/>
  <c r="O10" i="13"/>
  <c r="Q11" i="13"/>
  <c r="S12" i="13"/>
  <c r="U13" i="13"/>
  <c r="K24" i="13"/>
  <c r="M25" i="13"/>
  <c r="O26" i="13"/>
  <c r="Q84" i="13"/>
  <c r="S81" i="13"/>
  <c r="U78" i="13"/>
  <c r="L77" i="13"/>
  <c r="O74" i="13"/>
  <c r="M71" i="13"/>
  <c r="O65" i="13"/>
  <c r="M62" i="13"/>
  <c r="T59" i="13"/>
  <c r="O56" i="13"/>
  <c r="L53" i="13"/>
  <c r="N47" i="13"/>
  <c r="S44" i="13"/>
  <c r="N41" i="13"/>
  <c r="G35" i="13"/>
  <c r="L32" i="13"/>
  <c r="N29" i="13"/>
  <c r="Q24" i="13"/>
  <c r="M16" i="13"/>
  <c r="T14" i="13"/>
  <c r="R11" i="13"/>
  <c r="E16" i="13"/>
  <c r="F16" i="13"/>
  <c r="G16" i="13"/>
  <c r="H16" i="13"/>
  <c r="C16" i="13"/>
  <c r="D16" i="13"/>
  <c r="C47" i="13"/>
  <c r="D47" i="13"/>
  <c r="E47" i="13"/>
  <c r="F47" i="13"/>
  <c r="G47" i="13"/>
  <c r="H47" i="13"/>
  <c r="D21" i="13"/>
  <c r="E21" i="13"/>
  <c r="M85" i="13"/>
  <c r="K84" i="13"/>
  <c r="U73" i="13"/>
  <c r="S72" i="13"/>
  <c r="Q71" i="13"/>
  <c r="O70" i="13"/>
  <c r="M69" i="13"/>
  <c r="K68" i="13"/>
  <c r="U57" i="13"/>
  <c r="S56" i="13"/>
  <c r="Q55" i="13"/>
  <c r="O54" i="13"/>
  <c r="M53" i="13"/>
  <c r="K52" i="13"/>
  <c r="U41" i="13"/>
  <c r="S40" i="13"/>
  <c r="Q39" i="13"/>
  <c r="O38" i="13"/>
  <c r="M37" i="13"/>
  <c r="K36" i="13"/>
  <c r="U25" i="13"/>
  <c r="S24" i="13"/>
  <c r="Q23" i="13"/>
  <c r="O22" i="13"/>
  <c r="M21" i="13"/>
  <c r="K20" i="13"/>
  <c r="V78" i="13"/>
  <c r="T77" i="13"/>
  <c r="R76" i="13"/>
  <c r="P75" i="13"/>
  <c r="N74" i="13"/>
  <c r="L73" i="13"/>
  <c r="V62" i="13"/>
  <c r="T61" i="13"/>
  <c r="R60" i="13"/>
  <c r="P59" i="13"/>
  <c r="N58" i="13"/>
  <c r="L57" i="13"/>
  <c r="V46" i="13"/>
  <c r="T45" i="13"/>
  <c r="R44" i="13"/>
  <c r="P43" i="13"/>
  <c r="N42" i="13"/>
  <c r="L41" i="13"/>
  <c r="V30" i="13"/>
  <c r="T29" i="13"/>
  <c r="R28" i="13"/>
  <c r="P27" i="13"/>
  <c r="N26" i="13"/>
  <c r="L25" i="13"/>
  <c r="V14" i="13"/>
  <c r="T13" i="13"/>
  <c r="R12" i="13"/>
  <c r="P11" i="13"/>
  <c r="N10" i="13"/>
  <c r="U79" i="13"/>
  <c r="S78" i="13"/>
  <c r="Q77" i="13"/>
  <c r="O76" i="13"/>
  <c r="M75" i="13"/>
  <c r="K74" i="13"/>
  <c r="U63" i="13"/>
  <c r="S62" i="13"/>
  <c r="Q61" i="13"/>
  <c r="O60" i="13"/>
  <c r="M59" i="13"/>
  <c r="K58" i="13"/>
  <c r="U47" i="13"/>
  <c r="S46" i="13"/>
  <c r="Q45" i="13"/>
  <c r="O44" i="13"/>
  <c r="M43" i="13"/>
  <c r="K42" i="13"/>
  <c r="U31" i="13"/>
  <c r="S30" i="13"/>
  <c r="Q29" i="13"/>
  <c r="O28" i="13"/>
  <c r="M27" i="13"/>
  <c r="K26" i="13"/>
  <c r="U15" i="13"/>
  <c r="S14" i="13"/>
  <c r="Q13" i="13"/>
  <c r="O12" i="13"/>
  <c r="M11" i="13"/>
  <c r="K10" i="13"/>
  <c r="V80" i="13"/>
  <c r="T79" i="13"/>
  <c r="R78" i="13"/>
  <c r="P77" i="13"/>
  <c r="N76" i="13"/>
  <c r="L75" i="13"/>
  <c r="V64" i="13"/>
  <c r="T63" i="13"/>
  <c r="R62" i="13"/>
  <c r="P61" i="13"/>
  <c r="N60" i="13"/>
  <c r="L59" i="13"/>
  <c r="V48" i="13"/>
  <c r="T47" i="13"/>
  <c r="R46" i="13"/>
  <c r="P45" i="13"/>
  <c r="N44" i="13"/>
  <c r="L43" i="13"/>
  <c r="V32" i="13"/>
  <c r="T31" i="13"/>
  <c r="R30" i="13"/>
  <c r="P29" i="13"/>
  <c r="N28" i="13"/>
  <c r="L27" i="13"/>
  <c r="V16" i="13"/>
  <c r="T15" i="13"/>
  <c r="R14" i="13"/>
  <c r="P13" i="13"/>
  <c r="N12" i="13"/>
  <c r="L11" i="13"/>
  <c r="U85" i="13"/>
  <c r="S84" i="13"/>
  <c r="Q83" i="13"/>
  <c r="O82" i="13"/>
  <c r="M81" i="13"/>
  <c r="K80" i="13"/>
  <c r="U69" i="13"/>
  <c r="S68" i="13"/>
  <c r="Q67" i="13"/>
  <c r="O66" i="13"/>
  <c r="M65" i="13"/>
  <c r="K64" i="13"/>
  <c r="U53" i="13"/>
  <c r="S52" i="13"/>
  <c r="Q51" i="13"/>
  <c r="O50" i="13"/>
  <c r="M49" i="13"/>
  <c r="K48" i="13"/>
  <c r="E45" i="13"/>
  <c r="U37" i="13"/>
  <c r="S36" i="13"/>
  <c r="Q35" i="13"/>
  <c r="O34" i="13"/>
  <c r="M33" i="13"/>
  <c r="K32" i="13"/>
  <c r="E29" i="13"/>
  <c r="U21" i="13"/>
  <c r="S20" i="13"/>
  <c r="Q19" i="13"/>
  <c r="O18" i="13"/>
  <c r="M17" i="13"/>
  <c r="K16" i="13"/>
  <c r="E13" i="13"/>
  <c r="T85" i="13"/>
  <c r="R84" i="13"/>
  <c r="P83" i="13"/>
  <c r="N82" i="13"/>
  <c r="L81" i="13"/>
  <c r="V70" i="13"/>
  <c r="T69" i="13"/>
  <c r="R68" i="13"/>
  <c r="P67" i="13"/>
  <c r="N66" i="13"/>
  <c r="L65" i="13"/>
  <c r="V54" i="13"/>
  <c r="T53" i="13"/>
  <c r="R52" i="13"/>
  <c r="P51" i="13"/>
  <c r="N50" i="13"/>
  <c r="L49" i="13"/>
  <c r="V38" i="13"/>
  <c r="T37" i="13"/>
  <c r="R36" i="13"/>
  <c r="P35" i="13"/>
  <c r="N34" i="13"/>
  <c r="L33" i="13"/>
  <c r="V22" i="13"/>
  <c r="T21" i="13"/>
  <c r="R20" i="13"/>
  <c r="P19" i="13"/>
  <c r="N18" i="13"/>
  <c r="L17" i="13"/>
  <c r="H15" i="13"/>
  <c r="G15" i="13"/>
  <c r="R85" i="13"/>
  <c r="P84" i="13"/>
  <c r="N83" i="13"/>
  <c r="L82" i="13"/>
  <c r="V71" i="13"/>
  <c r="T70" i="13"/>
  <c r="R69" i="13"/>
  <c r="P68" i="13"/>
  <c r="N67" i="13"/>
  <c r="L66" i="13"/>
  <c r="V55" i="13"/>
  <c r="T54" i="13"/>
  <c r="R53" i="13"/>
  <c r="P52" i="13"/>
  <c r="N51" i="13"/>
  <c r="L50" i="13"/>
  <c r="V39" i="13"/>
  <c r="T38" i="13"/>
  <c r="R37" i="13"/>
  <c r="P36" i="13"/>
  <c r="N35" i="13"/>
  <c r="L34" i="13"/>
  <c r="V23" i="13"/>
  <c r="T22" i="13"/>
  <c r="R21" i="13"/>
  <c r="P20" i="13"/>
  <c r="N19" i="13"/>
  <c r="L18" i="13"/>
  <c r="F15" i="13"/>
  <c r="Q85" i="13"/>
  <c r="O84" i="13"/>
  <c r="M83" i="13"/>
  <c r="K82" i="13"/>
  <c r="U71" i="13"/>
  <c r="S70" i="13"/>
  <c r="Q69" i="13"/>
  <c r="O68" i="13"/>
  <c r="M67" i="13"/>
  <c r="K66" i="13"/>
  <c r="U55" i="13"/>
  <c r="S54" i="13"/>
  <c r="Q53" i="13"/>
  <c r="O52" i="13"/>
  <c r="M51" i="13"/>
  <c r="K50" i="13"/>
  <c r="U39" i="13"/>
  <c r="S38" i="13"/>
  <c r="Q37" i="13"/>
  <c r="O36" i="13"/>
  <c r="M35" i="13"/>
  <c r="K34" i="13"/>
  <c r="U23" i="13"/>
  <c r="S22" i="13"/>
  <c r="Q21" i="13"/>
  <c r="O20" i="13"/>
  <c r="M19" i="13"/>
  <c r="E15" i="13"/>
  <c r="P85" i="13"/>
  <c r="N84" i="13"/>
  <c r="L83" i="13"/>
  <c r="V72" i="13"/>
  <c r="T71" i="13"/>
  <c r="R70" i="13"/>
  <c r="P69" i="13"/>
  <c r="N68" i="13"/>
  <c r="L67" i="13"/>
  <c r="V56" i="13"/>
  <c r="T55" i="13"/>
  <c r="R54" i="13"/>
  <c r="P53" i="13"/>
  <c r="N52" i="13"/>
  <c r="L51" i="13"/>
  <c r="V40" i="13"/>
  <c r="T39" i="13"/>
  <c r="R38" i="13"/>
  <c r="P37" i="13"/>
  <c r="N36" i="13"/>
  <c r="L35" i="13"/>
  <c r="V24" i="13"/>
  <c r="T23" i="13"/>
  <c r="R22" i="13"/>
  <c r="P21" i="13"/>
  <c r="N20" i="13"/>
  <c r="L19" i="13"/>
  <c r="D15" i="13"/>
  <c r="O85" i="13"/>
  <c r="M84" i="13"/>
  <c r="K83" i="13"/>
  <c r="U72" i="13"/>
  <c r="S71" i="13"/>
  <c r="Q70" i="13"/>
  <c r="O69" i="13"/>
  <c r="M68" i="13"/>
  <c r="K67" i="13"/>
  <c r="U56" i="13"/>
  <c r="S55" i="13"/>
  <c r="Q54" i="13"/>
  <c r="O53" i="13"/>
  <c r="M52" i="13"/>
  <c r="K51" i="13"/>
  <c r="U40" i="13"/>
  <c r="S39" i="13"/>
  <c r="Q38" i="13"/>
  <c r="O37" i="13"/>
  <c r="M36" i="13"/>
  <c r="K35" i="13"/>
  <c r="U24" i="13"/>
  <c r="S23" i="13"/>
  <c r="Q22" i="13"/>
  <c r="O21" i="13"/>
  <c r="M20" i="13"/>
  <c r="K74" i="10"/>
  <c r="Q64" i="10"/>
  <c r="S50" i="10"/>
  <c r="S68" i="10"/>
  <c r="N54" i="10"/>
  <c r="M54" i="10"/>
  <c r="K76" i="10"/>
  <c r="O62" i="10"/>
  <c r="AI5" i="13"/>
  <c r="T78" i="10"/>
  <c r="K79" i="10"/>
  <c r="P56" i="10"/>
  <c r="V21" i="10"/>
  <c r="K26" i="10"/>
  <c r="Q56" i="10"/>
  <c r="R56" i="10"/>
  <c r="K61" i="10"/>
  <c r="N61" i="10"/>
  <c r="Q21" i="10"/>
  <c r="L26" i="10"/>
  <c r="T42" i="10"/>
  <c r="R51" i="10"/>
  <c r="M64" i="10"/>
  <c r="V68" i="10"/>
  <c r="N78" i="10"/>
  <c r="M78" i="10"/>
  <c r="N53" i="10"/>
  <c r="N74" i="10"/>
  <c r="S62" i="10"/>
  <c r="M53" i="10"/>
  <c r="P62" i="10"/>
  <c r="L74" i="10"/>
  <c r="R64" i="10"/>
  <c r="T40" i="10"/>
  <c r="O54" i="10"/>
  <c r="S42" i="10"/>
  <c r="P51" i="10"/>
  <c r="K17" i="10"/>
  <c r="K54" i="10"/>
  <c r="G11" i="12"/>
  <c r="H11" i="12"/>
  <c r="D11" i="12"/>
  <c r="E11" i="12"/>
  <c r="F11" i="12"/>
  <c r="D35" i="12"/>
  <c r="E35" i="12"/>
  <c r="F35" i="12"/>
  <c r="G35" i="12"/>
  <c r="H35" i="12"/>
  <c r="C63" i="12"/>
  <c r="D63" i="12"/>
  <c r="E63" i="12"/>
  <c r="F63" i="12"/>
  <c r="G63" i="12"/>
  <c r="H63" i="12"/>
  <c r="D27" i="12"/>
  <c r="E27" i="12"/>
  <c r="F27" i="12"/>
  <c r="G27" i="12"/>
  <c r="H27" i="12"/>
  <c r="D85" i="12"/>
  <c r="G85" i="12"/>
  <c r="H85" i="12"/>
  <c r="E41" i="12"/>
  <c r="F41" i="12"/>
  <c r="G41" i="12"/>
  <c r="H41" i="12"/>
  <c r="F38" i="12"/>
  <c r="C38" i="12"/>
  <c r="D38" i="12"/>
  <c r="E38" i="12"/>
  <c r="G38" i="12"/>
  <c r="H38" i="12"/>
  <c r="H71" i="12"/>
  <c r="D71" i="12"/>
  <c r="C51" i="12"/>
  <c r="D51" i="12"/>
  <c r="G67" i="12"/>
  <c r="H67" i="12"/>
  <c r="C47" i="12"/>
  <c r="D47" i="12"/>
  <c r="E47" i="12"/>
  <c r="F47" i="12"/>
  <c r="G47" i="12"/>
  <c r="H47" i="12"/>
  <c r="D59" i="12"/>
  <c r="H56" i="12"/>
  <c r="G56" i="12"/>
  <c r="E56" i="12"/>
  <c r="F56" i="12"/>
  <c r="D53" i="12"/>
  <c r="F53" i="12"/>
  <c r="G53" i="12"/>
  <c r="H53" i="12"/>
  <c r="E53" i="12"/>
  <c r="H50" i="12"/>
  <c r="E50" i="12"/>
  <c r="F50" i="12"/>
  <c r="G50" i="12"/>
  <c r="E48" i="12"/>
  <c r="F48" i="12"/>
  <c r="G48" i="12"/>
  <c r="H48" i="12"/>
  <c r="G17" i="12"/>
  <c r="H17" i="12"/>
  <c r="F17" i="12"/>
  <c r="C73" i="12"/>
  <c r="D73" i="12"/>
  <c r="E73" i="12"/>
  <c r="F73" i="12"/>
  <c r="G73" i="12"/>
  <c r="H73" i="12"/>
  <c r="F70" i="12"/>
  <c r="D70" i="12"/>
  <c r="E70" i="12"/>
  <c r="G70" i="12"/>
  <c r="H70" i="12"/>
  <c r="E59" i="12"/>
  <c r="F59" i="12"/>
  <c r="H59" i="12"/>
  <c r="C31" i="12"/>
  <c r="D31" i="12"/>
  <c r="E31" i="12"/>
  <c r="F31" i="12"/>
  <c r="G31" i="12"/>
  <c r="H31" i="12"/>
  <c r="G65" i="12"/>
  <c r="H65" i="12"/>
  <c r="F65" i="12"/>
  <c r="D21" i="12"/>
  <c r="G21" i="12"/>
  <c r="H21" i="12"/>
  <c r="D42" i="12"/>
  <c r="E42" i="12"/>
  <c r="F42" i="12"/>
  <c r="G42" i="12"/>
  <c r="H42" i="12"/>
  <c r="G81" i="12"/>
  <c r="H81" i="12"/>
  <c r="E81" i="12"/>
  <c r="F81" i="12"/>
  <c r="E64" i="12"/>
  <c r="F64" i="12"/>
  <c r="G64" i="12"/>
  <c r="H64" i="12"/>
  <c r="D37" i="12"/>
  <c r="E37" i="12"/>
  <c r="F37" i="12"/>
  <c r="D83" i="12"/>
  <c r="H83" i="12"/>
  <c r="H39" i="12"/>
  <c r="E39" i="12"/>
  <c r="F39" i="12"/>
  <c r="G39" i="12"/>
  <c r="C79" i="12"/>
  <c r="D79" i="12"/>
  <c r="E79" i="12"/>
  <c r="F79" i="12"/>
  <c r="G79" i="12"/>
  <c r="H79" i="12"/>
  <c r="E18" i="12"/>
  <c r="F18" i="12"/>
  <c r="C15" i="12"/>
  <c r="D15" i="12"/>
  <c r="E15" i="12"/>
  <c r="F15" i="12"/>
  <c r="G15" i="12"/>
  <c r="H15" i="12"/>
  <c r="AI5" i="12"/>
  <c r="D58" i="12"/>
  <c r="D55" i="12"/>
  <c r="D19" i="12"/>
  <c r="E80" i="12"/>
  <c r="F80" i="12"/>
  <c r="G80" i="12"/>
  <c r="H80" i="12"/>
  <c r="C58" i="12"/>
  <c r="C55" i="12"/>
  <c r="E49" i="12"/>
  <c r="H25" i="12"/>
  <c r="G22" i="12"/>
  <c r="E16" i="12"/>
  <c r="F16" i="12"/>
  <c r="G16" i="12"/>
  <c r="H16" i="12"/>
  <c r="F19" i="12"/>
  <c r="H19" i="12"/>
  <c r="F25" i="12"/>
  <c r="D22" i="12"/>
  <c r="G49" i="12"/>
  <c r="H49" i="12"/>
  <c r="E32" i="12"/>
  <c r="F32" i="12"/>
  <c r="G32" i="12"/>
  <c r="H32" i="12"/>
  <c r="D25" i="12"/>
  <c r="E25" i="12"/>
  <c r="F22" i="12"/>
  <c r="H22" i="12"/>
  <c r="G33" i="12"/>
  <c r="H33" i="12"/>
  <c r="G30" i="12"/>
  <c r="G14" i="12"/>
  <c r="J5" i="12"/>
  <c r="D14" i="12"/>
  <c r="J4" i="12"/>
  <c r="S65" i="10"/>
  <c r="P57" i="10"/>
  <c r="U53" i="10"/>
  <c r="K24" i="10"/>
  <c r="M56" i="10"/>
  <c r="M74" i="10"/>
  <c r="P85" i="10"/>
  <c r="V15" i="10"/>
  <c r="U35" i="10"/>
  <c r="M59" i="10"/>
  <c r="T62" i="10"/>
  <c r="N23" i="10"/>
  <c r="U62" i="10"/>
  <c r="L80" i="10"/>
  <c r="N85" i="10"/>
  <c r="P19" i="10"/>
  <c r="N59" i="10"/>
  <c r="T36" i="10"/>
  <c r="V55" i="10"/>
  <c r="O59" i="10"/>
  <c r="N80" i="10"/>
  <c r="K85" i="10"/>
  <c r="M69" i="10"/>
  <c r="K69" i="10"/>
  <c r="L85" i="10"/>
  <c r="U17" i="10"/>
  <c r="R21" i="10"/>
  <c r="R37" i="10"/>
  <c r="L57" i="10"/>
  <c r="K64" i="10"/>
  <c r="M75" i="10"/>
  <c r="V17" i="10"/>
  <c r="U21" i="10"/>
  <c r="T34" i="10"/>
  <c r="V37" i="10"/>
  <c r="L45" i="10"/>
  <c r="M57" i="10"/>
  <c r="L64" i="10"/>
  <c r="N75" i="10"/>
  <c r="M35" i="10"/>
  <c r="U78" i="10"/>
  <c r="V18" i="10"/>
  <c r="L56" i="10"/>
  <c r="N35" i="10"/>
  <c r="R18" i="10"/>
  <c r="P27" i="10"/>
  <c r="R35" i="10"/>
  <c r="R83" i="10"/>
  <c r="T48" i="10"/>
  <c r="U18" i="10"/>
  <c r="S27" i="10"/>
  <c r="T35" i="10"/>
  <c r="O75" i="10"/>
  <c r="K29" i="10"/>
  <c r="U33" i="10"/>
  <c r="N37" i="10"/>
  <c r="O65" i="10"/>
  <c r="Q11" i="10"/>
  <c r="L29" i="10"/>
  <c r="V33" i="10"/>
  <c r="Q37" i="10"/>
  <c r="P65" i="10"/>
  <c r="Q85" i="10"/>
  <c r="S11" i="10"/>
  <c r="P16" i="10"/>
  <c r="M29" i="10"/>
  <c r="Q65" i="10"/>
  <c r="T11" i="10"/>
  <c r="N29" i="10"/>
  <c r="R65" i="10"/>
  <c r="N57" i="10"/>
  <c r="R53" i="10"/>
  <c r="N49" i="10"/>
  <c r="K57" i="10"/>
  <c r="Q53" i="10"/>
  <c r="N17" i="10"/>
  <c r="M79" i="10"/>
  <c r="K63" i="10"/>
  <c r="Q43" i="10"/>
  <c r="V34" i="10"/>
  <c r="R15" i="10"/>
  <c r="N67" i="10"/>
  <c r="P43" i="10"/>
  <c r="Q15" i="10"/>
  <c r="L38" i="10"/>
  <c r="U34" i="10"/>
  <c r="Q29" i="10"/>
  <c r="U10" i="10"/>
  <c r="U51" i="10"/>
  <c r="K38" i="10"/>
  <c r="P15" i="10"/>
  <c r="S10" i="10"/>
  <c r="U15" i="10"/>
  <c r="K22" i="10"/>
  <c r="Q83" i="10"/>
  <c r="P11" i="10"/>
  <c r="S19" i="10"/>
  <c r="M23" i="10"/>
  <c r="S35" i="10"/>
  <c r="Q58" i="10"/>
  <c r="V10" i="10"/>
  <c r="T18" i="10"/>
  <c r="S83" i="10"/>
  <c r="T83" i="10"/>
  <c r="S18" i="10"/>
  <c r="T10" i="10"/>
  <c r="D34" i="11"/>
  <c r="E34" i="11"/>
  <c r="F34" i="11"/>
  <c r="G34" i="11"/>
  <c r="H34" i="11"/>
  <c r="C21" i="11"/>
  <c r="D21" i="11"/>
  <c r="G21" i="11"/>
  <c r="H21" i="11"/>
  <c r="E21" i="11"/>
  <c r="F21" i="11"/>
  <c r="C38" i="11"/>
  <c r="F38" i="11"/>
  <c r="G38" i="11"/>
  <c r="H38" i="11"/>
  <c r="E38" i="11"/>
  <c r="AI5" i="11"/>
  <c r="G45" i="11"/>
  <c r="H45" i="11"/>
  <c r="D45" i="11"/>
  <c r="E45" i="11"/>
  <c r="F45" i="11"/>
  <c r="F57" i="11"/>
  <c r="H57" i="11"/>
  <c r="G57" i="11"/>
  <c r="E50" i="11"/>
  <c r="F50" i="11"/>
  <c r="G50" i="11"/>
  <c r="H50" i="11"/>
  <c r="C53" i="11"/>
  <c r="E53" i="11"/>
  <c r="F53" i="11"/>
  <c r="G53" i="11"/>
  <c r="E35" i="11"/>
  <c r="F35" i="11"/>
  <c r="G35" i="11"/>
  <c r="H35" i="11"/>
  <c r="F68" i="11"/>
  <c r="H68" i="11"/>
  <c r="E48" i="11"/>
  <c r="G48" i="11"/>
  <c r="D48" i="11"/>
  <c r="F48" i="11"/>
  <c r="H48" i="11"/>
  <c r="F59" i="11"/>
  <c r="G59" i="11"/>
  <c r="C59" i="11"/>
  <c r="D59" i="11"/>
  <c r="E59" i="11"/>
  <c r="E28" i="11"/>
  <c r="F28" i="11"/>
  <c r="G28" i="11"/>
  <c r="H28" i="11"/>
  <c r="H20" i="11"/>
  <c r="E20" i="11"/>
  <c r="G20" i="11"/>
  <c r="F20" i="11"/>
  <c r="C14" i="11"/>
  <c r="E14" i="11"/>
  <c r="F14" i="11"/>
  <c r="G14" i="11"/>
  <c r="H14" i="11"/>
  <c r="C42" i="11"/>
  <c r="D42" i="11"/>
  <c r="G42" i="11"/>
  <c r="E42" i="11"/>
  <c r="F42" i="11"/>
  <c r="H42" i="11"/>
  <c r="G72" i="11"/>
  <c r="E72" i="11"/>
  <c r="G65" i="11"/>
  <c r="F65" i="11"/>
  <c r="H65" i="11"/>
  <c r="D65" i="11"/>
  <c r="E65" i="11"/>
  <c r="F58" i="11"/>
  <c r="G58" i="11"/>
  <c r="H58" i="11"/>
  <c r="C58" i="11"/>
  <c r="D58" i="11"/>
  <c r="E58" i="11"/>
  <c r="G74" i="11"/>
  <c r="H74" i="11"/>
  <c r="C74" i="11"/>
  <c r="E74" i="11"/>
  <c r="F74" i="11"/>
  <c r="D74" i="11"/>
  <c r="C22" i="11"/>
  <c r="D22" i="11"/>
  <c r="E22" i="11"/>
  <c r="G22" i="11"/>
  <c r="H22" i="11"/>
  <c r="F69" i="11"/>
  <c r="G69" i="11"/>
  <c r="H69" i="11"/>
  <c r="G49" i="11"/>
  <c r="F49" i="11"/>
  <c r="H49" i="11"/>
  <c r="E71" i="11"/>
  <c r="C71" i="11"/>
  <c r="D71" i="11"/>
  <c r="F71" i="11"/>
  <c r="G71" i="11"/>
  <c r="H71" i="11"/>
  <c r="C55" i="11"/>
  <c r="H52" i="11"/>
  <c r="G52" i="11"/>
  <c r="F52" i="11"/>
  <c r="F13" i="11"/>
  <c r="G13" i="11"/>
  <c r="D13" i="11"/>
  <c r="E13" i="11"/>
  <c r="H13" i="11"/>
  <c r="G24" i="11"/>
  <c r="H24" i="11"/>
  <c r="F24" i="11"/>
  <c r="C31" i="11"/>
  <c r="E31" i="11"/>
  <c r="E16" i="11"/>
  <c r="G16" i="11"/>
  <c r="D11" i="11"/>
  <c r="E11" i="11"/>
  <c r="F11" i="11"/>
  <c r="G11" i="11"/>
  <c r="H11" i="11"/>
  <c r="F82" i="11"/>
  <c r="G82" i="11"/>
  <c r="D82" i="11"/>
  <c r="E82" i="11"/>
  <c r="H82" i="11"/>
  <c r="E80" i="11"/>
  <c r="C80" i="11"/>
  <c r="C63" i="11"/>
  <c r="E63" i="11"/>
  <c r="D18" i="11"/>
  <c r="E18" i="11"/>
  <c r="F18" i="11"/>
  <c r="G18" i="11"/>
  <c r="H18" i="11"/>
  <c r="G40" i="11"/>
  <c r="E40" i="11"/>
  <c r="H40" i="11"/>
  <c r="D36" i="11"/>
  <c r="F36" i="11"/>
  <c r="G36" i="11"/>
  <c r="H36" i="11"/>
  <c r="E64" i="11"/>
  <c r="G64" i="11"/>
  <c r="H64" i="11"/>
  <c r="D64" i="11"/>
  <c r="F64" i="11"/>
  <c r="G17" i="11"/>
  <c r="D17" i="11"/>
  <c r="E17" i="11"/>
  <c r="G81" i="11"/>
  <c r="H81" i="11"/>
  <c r="D44" i="11"/>
  <c r="E44" i="11"/>
  <c r="D12" i="11"/>
  <c r="F12" i="11"/>
  <c r="C47" i="11"/>
  <c r="E47" i="11"/>
  <c r="G47" i="11"/>
  <c r="H47" i="11"/>
  <c r="G33" i="11"/>
  <c r="E33" i="11"/>
  <c r="H33" i="11"/>
  <c r="C30" i="11"/>
  <c r="F30" i="11"/>
  <c r="G30" i="11"/>
  <c r="C62" i="11"/>
  <c r="G62" i="11"/>
  <c r="H62" i="11"/>
  <c r="C54" i="11"/>
  <c r="H54" i="11"/>
  <c r="G54" i="11"/>
  <c r="F85" i="11"/>
  <c r="D85" i="11"/>
  <c r="E85" i="11"/>
  <c r="G85" i="11"/>
  <c r="G76" i="11"/>
  <c r="E43" i="11"/>
  <c r="F29" i="11"/>
  <c r="D26" i="11"/>
  <c r="F26" i="11"/>
  <c r="C70" i="11"/>
  <c r="E70" i="11"/>
  <c r="F70" i="11"/>
  <c r="D29" i="11"/>
  <c r="C79" i="11"/>
  <c r="D79" i="11"/>
  <c r="E79" i="11"/>
  <c r="H79" i="11"/>
  <c r="F79" i="11"/>
  <c r="G79" i="11"/>
  <c r="D76" i="11"/>
  <c r="E76" i="11"/>
  <c r="F76" i="11"/>
  <c r="C73" i="11"/>
  <c r="D73" i="11"/>
  <c r="E73" i="11"/>
  <c r="F73" i="11"/>
  <c r="G73" i="11"/>
  <c r="C29" i="11"/>
  <c r="C46" i="11"/>
  <c r="D46" i="11"/>
  <c r="H15" i="11"/>
  <c r="C19" i="11"/>
  <c r="E19" i="11"/>
  <c r="C15" i="11"/>
  <c r="E15" i="11"/>
  <c r="D15" i="11"/>
  <c r="F15" i="11"/>
  <c r="E32" i="11"/>
  <c r="G32" i="11"/>
  <c r="J4" i="11"/>
  <c r="Q75" i="11" s="1"/>
  <c r="S16" i="10"/>
  <c r="N19" i="10"/>
  <c r="T32" i="10"/>
  <c r="M38" i="10"/>
  <c r="U42" i="10"/>
  <c r="Q45" i="10"/>
  <c r="N69" i="10"/>
  <c r="M85" i="10"/>
  <c r="Q16" i="10"/>
  <c r="O19" i="10"/>
  <c r="P25" i="10"/>
  <c r="S36" i="10"/>
  <c r="V52" i="10"/>
  <c r="L55" i="10"/>
  <c r="N64" i="10"/>
  <c r="L79" i="10"/>
  <c r="T82" i="10"/>
  <c r="S12" i="10"/>
  <c r="T45" i="10"/>
  <c r="R49" i="10"/>
  <c r="Q52" i="10"/>
  <c r="K55" i="10"/>
  <c r="O64" i="10"/>
  <c r="U79" i="10"/>
  <c r="T12" i="10"/>
  <c r="T49" i="10"/>
  <c r="R52" i="10"/>
  <c r="O55" i="10"/>
  <c r="P64" i="10"/>
  <c r="V79" i="10"/>
  <c r="V14" i="10"/>
  <c r="K20" i="10"/>
  <c r="K23" i="10"/>
  <c r="T37" i="10"/>
  <c r="S51" i="10"/>
  <c r="K72" i="10"/>
  <c r="P75" i="10"/>
  <c r="O78" i="10"/>
  <c r="P20" i="10"/>
  <c r="L23" i="10"/>
  <c r="U37" i="10"/>
  <c r="T51" i="10"/>
  <c r="K60" i="10"/>
  <c r="S72" i="10"/>
  <c r="Q75" i="10"/>
  <c r="P78" i="10"/>
  <c r="P12" i="10"/>
  <c r="Q25" i="10"/>
  <c r="U36" i="10"/>
  <c r="L39" i="10"/>
  <c r="S43" i="10"/>
  <c r="T50" i="10"/>
  <c r="V53" i="10"/>
  <c r="S56" i="10"/>
  <c r="R85" i="10"/>
  <c r="T25" i="10"/>
  <c r="V36" i="10"/>
  <c r="N39" i="10"/>
  <c r="T43" i="10"/>
  <c r="Q82" i="10"/>
  <c r="S85" i="10"/>
  <c r="R12" i="10"/>
  <c r="K16" i="10"/>
  <c r="U25" i="10"/>
  <c r="R82" i="10"/>
  <c r="U12" i="10"/>
  <c r="L16" i="10"/>
  <c r="K46" i="10"/>
  <c r="U73" i="10"/>
  <c r="S82" i="10"/>
  <c r="M16" i="10"/>
  <c r="M19" i="10"/>
  <c r="L46" i="10"/>
  <c r="M51" i="10"/>
  <c r="O60" i="10"/>
  <c r="V73" i="10"/>
  <c r="U82" i="10"/>
  <c r="Q12" i="10"/>
  <c r="T28" i="10"/>
  <c r="T56" i="10"/>
  <c r="U14" i="10"/>
  <c r="Q20" i="10"/>
  <c r="O67" i="10"/>
  <c r="S74" i="10"/>
  <c r="U77" i="10"/>
  <c r="O80" i="10"/>
  <c r="V84" i="10"/>
  <c r="K52" i="10"/>
  <c r="P55" i="10"/>
  <c r="P67" i="10"/>
  <c r="S70" i="10"/>
  <c r="V77" i="10"/>
  <c r="P80" i="10"/>
  <c r="N27" i="10"/>
  <c r="P42" i="10"/>
  <c r="P52" i="10"/>
  <c r="Q55" i="10"/>
  <c r="O58" i="10"/>
  <c r="O27" i="10"/>
  <c r="Q42" i="10"/>
  <c r="K45" i="10"/>
  <c r="U55" i="10"/>
  <c r="P58" i="10"/>
  <c r="T16" i="10"/>
  <c r="T19" i="10"/>
  <c r="L22" i="10"/>
  <c r="P26" i="10"/>
  <c r="N45" i="10"/>
  <c r="S53" i="10"/>
  <c r="P69" i="10"/>
  <c r="U19" i="10"/>
  <c r="P22" i="10"/>
  <c r="R45" i="10"/>
  <c r="T53" i="10"/>
  <c r="Q69" i="10"/>
  <c r="V19" i="10"/>
  <c r="T22" i="10"/>
  <c r="R42" i="10"/>
  <c r="S45" i="10"/>
  <c r="M18" i="10"/>
  <c r="S21" i="10"/>
  <c r="P24" i="10"/>
  <c r="M62" i="10"/>
  <c r="M65" i="10"/>
  <c r="T68" i="10"/>
  <c r="U71" i="10"/>
  <c r="R75" i="10"/>
  <c r="N18" i="10"/>
  <c r="T21" i="10"/>
  <c r="S24" i="10"/>
  <c r="N62" i="10"/>
  <c r="N65" i="10"/>
  <c r="U68" i="10"/>
  <c r="S75" i="10"/>
  <c r="P34" i="10"/>
  <c r="S26" i="10"/>
  <c r="AI5" i="10"/>
  <c r="G34" i="10"/>
  <c r="H34" i="10"/>
  <c r="D34" i="10"/>
  <c r="E34" i="10"/>
  <c r="F34" i="10"/>
  <c r="E13" i="10"/>
  <c r="F13" i="10"/>
  <c r="G13" i="10"/>
  <c r="H13" i="10"/>
  <c r="F59" i="10"/>
  <c r="C59" i="10"/>
  <c r="D59" i="10"/>
  <c r="E59" i="10"/>
  <c r="G59" i="10"/>
  <c r="H59" i="10"/>
  <c r="H82" i="10"/>
  <c r="D51" i="10"/>
  <c r="E51" i="10"/>
  <c r="F51" i="10"/>
  <c r="G51" i="10"/>
  <c r="H51" i="10"/>
  <c r="G25" i="10"/>
  <c r="H25" i="10"/>
  <c r="D25" i="10"/>
  <c r="E25" i="10"/>
  <c r="F25" i="10"/>
  <c r="G73" i="10"/>
  <c r="H73" i="10"/>
  <c r="E73" i="10"/>
  <c r="F73" i="10"/>
  <c r="C73" i="10"/>
  <c r="D73" i="10"/>
  <c r="G41" i="10"/>
  <c r="H41" i="10"/>
  <c r="F41" i="10"/>
  <c r="D41" i="10"/>
  <c r="E41" i="10"/>
  <c r="G82" i="10"/>
  <c r="G68" i="10"/>
  <c r="E68" i="10"/>
  <c r="F68" i="10"/>
  <c r="H68" i="10"/>
  <c r="C84" i="10"/>
  <c r="D84" i="10"/>
  <c r="E84" i="10"/>
  <c r="F84" i="10"/>
  <c r="G84" i="10"/>
  <c r="E48" i="10"/>
  <c r="F48" i="10"/>
  <c r="H48" i="10"/>
  <c r="G48" i="10"/>
  <c r="G26" i="10"/>
  <c r="C26" i="10"/>
  <c r="D26" i="10"/>
  <c r="F29" i="10"/>
  <c r="C29" i="10"/>
  <c r="D29" i="10"/>
  <c r="E29" i="10"/>
  <c r="G29" i="10"/>
  <c r="H29" i="10"/>
  <c r="G57" i="10"/>
  <c r="H57" i="10"/>
  <c r="D57" i="10"/>
  <c r="E57" i="10"/>
  <c r="F57" i="10"/>
  <c r="E32" i="10"/>
  <c r="F32" i="10"/>
  <c r="H32" i="10"/>
  <c r="C32" i="10"/>
  <c r="D32" i="10"/>
  <c r="E72" i="10"/>
  <c r="F72" i="10"/>
  <c r="C72" i="10"/>
  <c r="D72" i="10"/>
  <c r="G72" i="10"/>
  <c r="C47" i="10"/>
  <c r="D47" i="10"/>
  <c r="G47" i="10"/>
  <c r="F12" i="10"/>
  <c r="G12" i="10"/>
  <c r="C12" i="10"/>
  <c r="D12" i="10"/>
  <c r="E12" i="10"/>
  <c r="H12" i="10"/>
  <c r="C39" i="10"/>
  <c r="D39" i="10"/>
  <c r="H39" i="10"/>
  <c r="C31" i="10"/>
  <c r="D31" i="10"/>
  <c r="E82" i="10"/>
  <c r="C41" i="10"/>
  <c r="C36" i="10"/>
  <c r="D36" i="10"/>
  <c r="E36" i="10"/>
  <c r="F36" i="10"/>
  <c r="G36" i="10"/>
  <c r="H36" i="10"/>
  <c r="E24" i="10"/>
  <c r="F24" i="10"/>
  <c r="N82" i="10"/>
  <c r="T77" i="10"/>
  <c r="R72" i="10"/>
  <c r="M67" i="10"/>
  <c r="L62" i="10"/>
  <c r="M49" i="10"/>
  <c r="O42" i="10"/>
  <c r="O40" i="10"/>
  <c r="P33" i="10"/>
  <c r="R10" i="10"/>
  <c r="M82" i="10"/>
  <c r="T80" i="10"/>
  <c r="O72" i="10"/>
  <c r="L67" i="10"/>
  <c r="K62" i="10"/>
  <c r="V58" i="10"/>
  <c r="C55" i="10"/>
  <c r="D55" i="10"/>
  <c r="G55" i="10"/>
  <c r="H55" i="10"/>
  <c r="G53" i="10"/>
  <c r="D53" i="10"/>
  <c r="E53" i="10"/>
  <c r="F53" i="10"/>
  <c r="H53" i="10"/>
  <c r="L49" i="10"/>
  <c r="K42" i="10"/>
  <c r="N40" i="10"/>
  <c r="O33" i="10"/>
  <c r="Q10" i="10"/>
  <c r="L82" i="10"/>
  <c r="S80" i="10"/>
  <c r="N72" i="10"/>
  <c r="V70" i="10"/>
  <c r="R60" i="10"/>
  <c r="U58" i="10"/>
  <c r="K49" i="10"/>
  <c r="M40" i="10"/>
  <c r="M33" i="10"/>
  <c r="R31" i="10"/>
  <c r="T29" i="10"/>
  <c r="Q23" i="10"/>
  <c r="P10" i="10"/>
  <c r="K82" i="10"/>
  <c r="R80" i="10"/>
  <c r="U75" i="10"/>
  <c r="M72" i="10"/>
  <c r="U70" i="10"/>
  <c r="Q60" i="10"/>
  <c r="T58" i="10"/>
  <c r="L47" i="10"/>
  <c r="L40" i="10"/>
  <c r="L33" i="10"/>
  <c r="P31" i="10"/>
  <c r="S29" i="10"/>
  <c r="U27" i="10"/>
  <c r="P23" i="10"/>
  <c r="G18" i="10"/>
  <c r="H18" i="10"/>
  <c r="O10" i="10"/>
  <c r="Q80" i="10"/>
  <c r="C79" i="10"/>
  <c r="H79" i="10"/>
  <c r="T75" i="10"/>
  <c r="L72" i="10"/>
  <c r="T70" i="10"/>
  <c r="V65" i="10"/>
  <c r="P60" i="10"/>
  <c r="R58" i="10"/>
  <c r="K47" i="10"/>
  <c r="K40" i="10"/>
  <c r="N38" i="10"/>
  <c r="K33" i="10"/>
  <c r="R29" i="10"/>
  <c r="T27" i="10"/>
  <c r="V25" i="10"/>
  <c r="O23" i="10"/>
  <c r="L78" i="10"/>
  <c r="T13" i="10"/>
  <c r="V76" i="10"/>
  <c r="N15" i="10"/>
  <c r="M83" i="10"/>
  <c r="N81" i="10"/>
  <c r="R76" i="10"/>
  <c r="Q73" i="10"/>
  <c r="P71" i="10"/>
  <c r="V66" i="10"/>
  <c r="P48" i="10"/>
  <c r="S46" i="10"/>
  <c r="M41" i="10"/>
  <c r="U39" i="10"/>
  <c r="O32" i="10"/>
  <c r="V30" i="10"/>
  <c r="U26" i="10"/>
  <c r="G17" i="10"/>
  <c r="H17" i="10"/>
  <c r="E17" i="10"/>
  <c r="F17" i="10"/>
  <c r="D17" i="10"/>
  <c r="K15" i="10"/>
  <c r="L13" i="10"/>
  <c r="U13" i="10"/>
  <c r="S13" i="10"/>
  <c r="U46" i="10"/>
  <c r="M13" i="10"/>
  <c r="M81" i="10"/>
  <c r="Q76" i="10"/>
  <c r="M71" i="10"/>
  <c r="U66" i="10"/>
  <c r="V59" i="10"/>
  <c r="O48" i="10"/>
  <c r="P46" i="10"/>
  <c r="L41" i="10"/>
  <c r="R39" i="10"/>
  <c r="N32" i="10"/>
  <c r="S30" i="10"/>
  <c r="T26" i="10"/>
  <c r="K13" i="10"/>
  <c r="G60" i="10"/>
  <c r="H60" i="10"/>
  <c r="P83" i="10"/>
  <c r="T73" i="10"/>
  <c r="R68" i="10"/>
  <c r="S48" i="10"/>
  <c r="Q34" i="10"/>
  <c r="N11" i="10"/>
  <c r="K78" i="10"/>
  <c r="E56" i="10"/>
  <c r="F56" i="10"/>
  <c r="D56" i="10"/>
  <c r="G56" i="10"/>
  <c r="H56" i="10"/>
  <c r="R48" i="10"/>
  <c r="N43" i="10"/>
  <c r="O41" i="10"/>
  <c r="Q32" i="10"/>
  <c r="M11" i="10"/>
  <c r="L68" i="10"/>
  <c r="M15" i="10"/>
  <c r="L81" i="10"/>
  <c r="P76" i="10"/>
  <c r="L71" i="10"/>
  <c r="T69" i="10"/>
  <c r="T66" i="10"/>
  <c r="C63" i="10"/>
  <c r="D63" i="10"/>
  <c r="V61" i="10"/>
  <c r="R59" i="10"/>
  <c r="N48" i="10"/>
  <c r="K41" i="10"/>
  <c r="Q39" i="10"/>
  <c r="M32" i="10"/>
  <c r="P30" i="10"/>
  <c r="E21" i="10"/>
  <c r="F21" i="10"/>
  <c r="G21" i="10"/>
  <c r="O15" i="10"/>
  <c r="Q68" i="10"/>
  <c r="P36" i="10"/>
  <c r="S34" i="10"/>
  <c r="S32" i="10"/>
  <c r="K21" i="10"/>
  <c r="O11" i="10"/>
  <c r="T71" i="10"/>
  <c r="R50" i="10"/>
  <c r="O43" i="10"/>
  <c r="V41" i="10"/>
  <c r="O36" i="10"/>
  <c r="R32" i="10"/>
  <c r="O83" i="10"/>
  <c r="S73" i="10"/>
  <c r="R71" i="10"/>
  <c r="Q50" i="10"/>
  <c r="L36" i="10"/>
  <c r="U38" i="10"/>
  <c r="P17" i="10"/>
  <c r="S20" i="10"/>
  <c r="U23" i="10"/>
  <c r="K25" i="10"/>
  <c r="K31" i="10"/>
  <c r="T38" i="10"/>
  <c r="Q41" i="10"/>
  <c r="S44" i="10"/>
  <c r="N47" i="10"/>
  <c r="L50" i="10"/>
  <c r="V54" i="10"/>
  <c r="T57" i="10"/>
  <c r="T60" i="10"/>
  <c r="Q63" i="10"/>
  <c r="S67" i="10"/>
  <c r="L70" i="10"/>
  <c r="U74" i="10"/>
  <c r="P81" i="10"/>
  <c r="P84" i="10"/>
  <c r="K14" i="10"/>
  <c r="Q17" i="10"/>
  <c r="T20" i="10"/>
  <c r="V23" i="10"/>
  <c r="L25" i="10"/>
  <c r="O28" i="10"/>
  <c r="L31" i="10"/>
  <c r="K34" i="10"/>
  <c r="R41" i="10"/>
  <c r="T44" i="10"/>
  <c r="O47" i="10"/>
  <c r="M50" i="10"/>
  <c r="U57" i="10"/>
  <c r="U60" i="10"/>
  <c r="R63" i="10"/>
  <c r="K66" i="10"/>
  <c r="T67" i="10"/>
  <c r="M70" i="10"/>
  <c r="V74" i="10"/>
  <c r="K77" i="10"/>
  <c r="Q81" i="10"/>
  <c r="R84" i="10"/>
  <c r="L14" i="10"/>
  <c r="R17" i="10"/>
  <c r="U20" i="10"/>
  <c r="M25" i="10"/>
  <c r="P28" i="10"/>
  <c r="M31" i="10"/>
  <c r="L34" i="10"/>
  <c r="V38" i="10"/>
  <c r="S41" i="10"/>
  <c r="U44" i="10"/>
  <c r="R47" i="10"/>
  <c r="N50" i="10"/>
  <c r="V60" i="10"/>
  <c r="U63" i="10"/>
  <c r="L66" i="10"/>
  <c r="U67" i="10"/>
  <c r="N70" i="10"/>
  <c r="L77" i="10"/>
  <c r="S81" i="10"/>
  <c r="S84" i="10"/>
  <c r="P14" i="10"/>
  <c r="S17" i="10"/>
  <c r="V20" i="10"/>
  <c r="N25" i="10"/>
  <c r="Q28" i="10"/>
  <c r="N31" i="10"/>
  <c r="M34" i="10"/>
  <c r="L37" i="10"/>
  <c r="T41" i="10"/>
  <c r="V44" i="10"/>
  <c r="U47" i="10"/>
  <c r="O50" i="10"/>
  <c r="V63" i="10"/>
  <c r="N66" i="10"/>
  <c r="V67" i="10"/>
  <c r="O70" i="10"/>
  <c r="O73" i="10"/>
  <c r="M77" i="10"/>
  <c r="T81" i="10"/>
  <c r="T84" i="10"/>
  <c r="T14" i="10"/>
  <c r="T17" i="10"/>
  <c r="O25" i="10"/>
  <c r="R28" i="10"/>
  <c r="O31" i="10"/>
  <c r="N34" i="10"/>
  <c r="M37" i="10"/>
  <c r="U41" i="10"/>
  <c r="V47" i="10"/>
  <c r="P50" i="10"/>
  <c r="K56" i="10"/>
  <c r="O66" i="10"/>
  <c r="R70" i="10"/>
  <c r="P73" i="10"/>
  <c r="N77" i="10"/>
  <c r="K80" i="10"/>
  <c r="U81" i="10"/>
  <c r="U84" i="10"/>
  <c r="M21" i="10"/>
  <c r="Q24" i="10"/>
  <c r="Q27" i="10"/>
  <c r="T30" i="10"/>
  <c r="S33" i="10"/>
  <c r="Q36" i="10"/>
  <c r="V46" i="10"/>
  <c r="U49" i="10"/>
  <c r="L52" i="10"/>
  <c r="M55" i="10"/>
  <c r="L61" i="10"/>
  <c r="V62" i="10"/>
  <c r="T65" i="10"/>
  <c r="P72" i="10"/>
  <c r="T76" i="10"/>
  <c r="Q79" i="10"/>
  <c r="U83" i="10"/>
  <c r="N10" i="10"/>
  <c r="V13" i="10"/>
  <c r="N21" i="10"/>
  <c r="R24" i="10"/>
  <c r="R27" i="10"/>
  <c r="U30" i="10"/>
  <c r="T33" i="10"/>
  <c r="R36" i="10"/>
  <c r="K39" i="10"/>
  <c r="V49" i="10"/>
  <c r="O52" i="10"/>
  <c r="N55" i="10"/>
  <c r="N58" i="10"/>
  <c r="M61" i="10"/>
  <c r="U65" i="10"/>
  <c r="K68" i="10"/>
  <c r="Q72" i="10"/>
  <c r="U76" i="10"/>
  <c r="R79" i="10"/>
  <c r="N83" i="10"/>
  <c r="V81" i="10"/>
  <c r="S76" i="10"/>
  <c r="R73" i="10"/>
  <c r="Q71" i="10"/>
  <c r="Q48" i="10"/>
  <c r="M43" i="10"/>
  <c r="N41" i="10"/>
  <c r="V39" i="10"/>
  <c r="O34" i="10"/>
  <c r="P32" i="10"/>
  <c r="O46" i="10"/>
  <c r="K81" i="10"/>
  <c r="O76" i="10"/>
  <c r="K71" i="10"/>
  <c r="S69" i="10"/>
  <c r="S66" i="10"/>
  <c r="U61" i="10"/>
  <c r="Q59" i="10"/>
  <c r="R57" i="10"/>
  <c r="L48" i="10"/>
  <c r="N46" i="10"/>
  <c r="P39" i="10"/>
  <c r="L32" i="10"/>
  <c r="O30" i="10"/>
  <c r="V28" i="10"/>
  <c r="R26" i="10"/>
  <c r="V22" i="10"/>
  <c r="L76" i="10"/>
  <c r="R69" i="10"/>
  <c r="P66" i="10"/>
  <c r="S64" i="10"/>
  <c r="S61" i="10"/>
  <c r="P59" i="10"/>
  <c r="Q57" i="10"/>
  <c r="H50" i="10"/>
  <c r="C50" i="10"/>
  <c r="D50" i="10"/>
  <c r="K48" i="10"/>
  <c r="M46" i="10"/>
  <c r="O39" i="10"/>
  <c r="K32" i="10"/>
  <c r="N30" i="10"/>
  <c r="U28" i="10"/>
  <c r="Q26" i="10"/>
  <c r="T24" i="10"/>
  <c r="U22" i="10"/>
  <c r="C15" i="10"/>
  <c r="D15" i="10"/>
  <c r="E15" i="10"/>
  <c r="F15" i="10"/>
  <c r="H15" i="10"/>
  <c r="C78" i="10"/>
  <c r="G78" i="10"/>
  <c r="H78" i="10"/>
  <c r="G33" i="10"/>
  <c r="H33" i="10"/>
  <c r="G43" i="10"/>
  <c r="F19" i="10"/>
  <c r="K12" i="10"/>
  <c r="N16" i="10"/>
  <c r="L20" i="10"/>
  <c r="N24" i="10"/>
  <c r="K28" i="10"/>
  <c r="U29" i="10"/>
  <c r="Q33" i="10"/>
  <c r="P38" i="10"/>
  <c r="M42" i="10"/>
  <c r="U43" i="10"/>
  <c r="P47" i="10"/>
  <c r="S52" i="10"/>
  <c r="N56" i="10"/>
  <c r="V57" i="10"/>
  <c r="Q61" i="10"/>
  <c r="K65" i="10"/>
  <c r="Q66" i="10"/>
  <c r="N71" i="10"/>
  <c r="T72" i="10"/>
  <c r="R77" i="10"/>
  <c r="O82" i="10"/>
  <c r="V83" i="10"/>
  <c r="L12" i="10"/>
  <c r="O16" i="10"/>
  <c r="O20" i="10"/>
  <c r="O24" i="10"/>
  <c r="L28" i="10"/>
  <c r="V29" i="10"/>
  <c r="R33" i="10"/>
  <c r="K37" i="10"/>
  <c r="S38" i="10"/>
  <c r="N42" i="10"/>
  <c r="V43" i="10"/>
  <c r="Q47" i="10"/>
  <c r="U52" i="10"/>
  <c r="O56" i="10"/>
  <c r="R61" i="10"/>
  <c r="L65" i="10"/>
  <c r="R66" i="10"/>
  <c r="O71" i="10"/>
  <c r="V72" i="10"/>
  <c r="S77" i="10"/>
  <c r="P82" i="10"/>
  <c r="U11" i="10"/>
  <c r="M14" i="10"/>
  <c r="O18" i="10"/>
  <c r="M22" i="10"/>
  <c r="M26" i="10"/>
  <c r="V27" i="10"/>
  <c r="U31" i="10"/>
  <c r="O35" i="10"/>
  <c r="P40" i="10"/>
  <c r="K44" i="10"/>
  <c r="U45" i="10"/>
  <c r="O49" i="10"/>
  <c r="U50" i="10"/>
  <c r="S54" i="10"/>
  <c r="K58" i="10"/>
  <c r="S59" i="10"/>
  <c r="M63" i="10"/>
  <c r="N68" i="10"/>
  <c r="U69" i="10"/>
  <c r="K73" i="10"/>
  <c r="O74" i="10"/>
  <c r="N79" i="10"/>
  <c r="L84" i="10"/>
  <c r="T85" i="10"/>
  <c r="L10" i="10"/>
  <c r="P49" i="10"/>
  <c r="K53" i="10"/>
  <c r="T59" i="10"/>
  <c r="O68" i="10"/>
  <c r="V11" i="10"/>
  <c r="N14" i="10"/>
  <c r="P18" i="10"/>
  <c r="N22" i="10"/>
  <c r="N26" i="10"/>
  <c r="L30" i="10"/>
  <c r="V31" i="10"/>
  <c r="P35" i="10"/>
  <c r="Q40" i="10"/>
  <c r="L44" i="10"/>
  <c r="V45" i="10"/>
  <c r="V50" i="10"/>
  <c r="T54" i="10"/>
  <c r="L58" i="10"/>
  <c r="O63" i="10"/>
  <c r="V69" i="10"/>
  <c r="L73" i="10"/>
  <c r="P74" i="10"/>
  <c r="O79" i="10"/>
  <c r="N84" i="10"/>
  <c r="U85" i="10"/>
  <c r="M10" i="10"/>
  <c r="O14" i="10"/>
  <c r="Q18" i="10"/>
  <c r="O22" i="10"/>
  <c r="O26" i="10"/>
  <c r="M30" i="10"/>
  <c r="Q35" i="10"/>
  <c r="R40" i="10"/>
  <c r="O44" i="10"/>
  <c r="Q49" i="10"/>
  <c r="L53" i="10"/>
  <c r="U54" i="10"/>
  <c r="M58" i="10"/>
  <c r="U59" i="10"/>
  <c r="P63" i="10"/>
  <c r="P68" i="10"/>
  <c r="M73" i="10"/>
  <c r="R74" i="10"/>
  <c r="P79" i="10"/>
  <c r="O84" i="10"/>
  <c r="E83" i="10"/>
  <c r="F83" i="10"/>
  <c r="G83" i="10"/>
  <c r="G65" i="10"/>
  <c r="H65" i="10"/>
  <c r="R11" i="10"/>
  <c r="C43" i="10"/>
  <c r="D43" i="10"/>
  <c r="E43" i="10"/>
  <c r="C19" i="10"/>
  <c r="D19" i="10"/>
  <c r="K19" i="10"/>
  <c r="E40" i="10"/>
  <c r="F40" i="10"/>
  <c r="E16" i="10"/>
  <c r="F16" i="10"/>
  <c r="K84" i="10"/>
  <c r="O81" i="10"/>
  <c r="T74" i="10"/>
  <c r="K70" i="10"/>
  <c r="Q67" i="10"/>
  <c r="L63" i="10"/>
  <c r="S60" i="10"/>
  <c r="S57" i="10"/>
  <c r="P54" i="10"/>
  <c r="V51" i="10"/>
  <c r="K50" i="10"/>
  <c r="M47" i="10"/>
  <c r="R44" i="10"/>
  <c r="P41" i="10"/>
  <c r="O38" i="10"/>
  <c r="V35" i="10"/>
  <c r="R23" i="10"/>
  <c r="R20" i="10"/>
  <c r="O17" i="10"/>
  <c r="V12" i="10"/>
  <c r="C23" i="10"/>
  <c r="D23" i="10"/>
  <c r="F23" i="10"/>
  <c r="G23" i="10"/>
  <c r="E64" i="10"/>
  <c r="F64" i="10"/>
  <c r="V85" i="10"/>
  <c r="Q84" i="10"/>
  <c r="L83" i="10"/>
  <c r="V78" i="10"/>
  <c r="Q77" i="10"/>
  <c r="V71" i="10"/>
  <c r="P70" i="10"/>
  <c r="L69" i="10"/>
  <c r="T64" i="10"/>
  <c r="N63" i="10"/>
  <c r="S58" i="10"/>
  <c r="O57" i="10"/>
  <c r="T52" i="10"/>
  <c r="N51" i="10"/>
  <c r="G49" i="10"/>
  <c r="H49" i="10"/>
  <c r="T46" i="10"/>
  <c r="M45" i="10"/>
  <c r="S40" i="10"/>
  <c r="M39" i="10"/>
  <c r="R34" i="10"/>
  <c r="N33" i="10"/>
  <c r="S28" i="10"/>
  <c r="M27" i="10"/>
  <c r="S22" i="10"/>
  <c r="L21" i="10"/>
  <c r="R16" i="10"/>
  <c r="L15" i="10"/>
  <c r="V40" i="10"/>
  <c r="L51" i="10"/>
  <c r="N52" i="10"/>
  <c r="P53" i="10"/>
  <c r="R54" i="10"/>
  <c r="T55" i="10"/>
  <c r="V56" i="10"/>
  <c r="K10" i="10"/>
  <c r="O12" i="10"/>
  <c r="Q13" i="10"/>
  <c r="S14" i="10"/>
  <c r="S25" i="10"/>
  <c r="M24" i="10"/>
  <c r="R19" i="10"/>
  <c r="L18" i="10"/>
  <c r="R13" i="10"/>
  <c r="V82" i="10"/>
  <c r="R81" i="10"/>
  <c r="M80" i="10"/>
  <c r="V75" i="10"/>
  <c r="Q74" i="10"/>
  <c r="N73" i="10"/>
  <c r="C71" i="10"/>
  <c r="D71" i="10"/>
  <c r="R67" i="10"/>
  <c r="M66" i="10"/>
  <c r="T61" i="10"/>
  <c r="L60" i="10"/>
  <c r="R55" i="10"/>
  <c r="L54" i="10"/>
  <c r="S49" i="10"/>
  <c r="M48" i="10"/>
  <c r="R43" i="10"/>
  <c r="L42" i="10"/>
  <c r="S37" i="10"/>
  <c r="K36" i="10"/>
  <c r="Q31" i="10"/>
  <c r="K30" i="10"/>
  <c r="V26" i="10"/>
  <c r="R25" i="10"/>
  <c r="L24" i="10"/>
  <c r="Q19" i="10"/>
  <c r="K18" i="10"/>
  <c r="N13" i="10"/>
  <c r="V80" i="10"/>
  <c r="T79" i="10"/>
  <c r="R78" i="10"/>
  <c r="P77" i="10"/>
  <c r="N76" i="10"/>
  <c r="L75" i="10"/>
  <c r="V64" i="10"/>
  <c r="T63" i="10"/>
  <c r="R62" i="10"/>
  <c r="P61" i="10"/>
  <c r="N60" i="10"/>
  <c r="L59" i="10"/>
  <c r="V48" i="10"/>
  <c r="T47" i="10"/>
  <c r="R46" i="10"/>
  <c r="P45" i="10"/>
  <c r="N44" i="10"/>
  <c r="L43" i="10"/>
  <c r="V32" i="10"/>
  <c r="T31" i="10"/>
  <c r="R30" i="10"/>
  <c r="P29" i="10"/>
  <c r="N28" i="10"/>
  <c r="L27" i="10"/>
  <c r="V16" i="10"/>
  <c r="T15" i="10"/>
  <c r="R14" i="10"/>
  <c r="P13" i="10"/>
  <c r="N12" i="10"/>
  <c r="L11" i="10"/>
  <c r="U80" i="10"/>
  <c r="S79" i="10"/>
  <c r="Q78" i="10"/>
  <c r="O77" i="10"/>
  <c r="M76" i="10"/>
  <c r="K75" i="10"/>
  <c r="U64" i="10"/>
  <c r="S63" i="10"/>
  <c r="Q62" i="10"/>
  <c r="O61" i="10"/>
  <c r="M60" i="10"/>
  <c r="K59" i="10"/>
  <c r="U48" i="10"/>
  <c r="S47" i="10"/>
  <c r="Q46" i="10"/>
  <c r="O45" i="10"/>
  <c r="M44" i="10"/>
  <c r="K43" i="10"/>
  <c r="U32" i="10"/>
  <c r="S31" i="10"/>
  <c r="Q30" i="10"/>
  <c r="O29" i="10"/>
  <c r="M28" i="10"/>
  <c r="K27" i="10"/>
  <c r="U16" i="10"/>
  <c r="S15" i="10"/>
  <c r="Q14" i="10"/>
  <c r="O13" i="10"/>
  <c r="M12" i="10"/>
  <c r="K11" i="10"/>
  <c r="T39" i="10"/>
  <c r="R38" i="10"/>
  <c r="P37" i="10"/>
  <c r="N36" i="10"/>
  <c r="L35" i="10"/>
  <c r="V24" i="10"/>
  <c r="T23" i="10"/>
  <c r="R22" i="10"/>
  <c r="P21" i="10"/>
  <c r="N20" i="10"/>
  <c r="L19" i="10"/>
  <c r="O85" i="10"/>
  <c r="M84" i="10"/>
  <c r="K83" i="10"/>
  <c r="U72" i="10"/>
  <c r="S71" i="10"/>
  <c r="Q70" i="10"/>
  <c r="O69" i="10"/>
  <c r="M68" i="10"/>
  <c r="K67" i="10"/>
  <c r="U56" i="10"/>
  <c r="S55" i="10"/>
  <c r="Q54" i="10"/>
  <c r="O53" i="10"/>
  <c r="M52" i="10"/>
  <c r="K51" i="10"/>
  <c r="U40" i="10"/>
  <c r="S39" i="10"/>
  <c r="Q38" i="10"/>
  <c r="O37" i="10"/>
  <c r="M36" i="10"/>
  <c r="K35" i="10"/>
  <c r="U24" i="10"/>
  <c r="S23" i="10"/>
  <c r="Q22" i="10"/>
  <c r="O21" i="10"/>
  <c r="M20" i="10"/>
  <c r="G26" i="9"/>
  <c r="H26" i="9"/>
  <c r="F26" i="9"/>
  <c r="H25" i="9"/>
  <c r="F25" i="9"/>
  <c r="G25" i="9"/>
  <c r="D83" i="9"/>
  <c r="E83" i="9"/>
  <c r="F83" i="9"/>
  <c r="H83" i="9"/>
  <c r="E46" i="9"/>
  <c r="F46" i="9"/>
  <c r="G46" i="9"/>
  <c r="C46" i="9"/>
  <c r="D46" i="9"/>
  <c r="D35" i="9"/>
  <c r="E35" i="9"/>
  <c r="C35" i="9"/>
  <c r="F35" i="9"/>
  <c r="G35" i="9"/>
  <c r="C52" i="9"/>
  <c r="D52" i="9"/>
  <c r="E52" i="9"/>
  <c r="F52" i="9"/>
  <c r="G52" i="9"/>
  <c r="H52" i="9"/>
  <c r="G30" i="9"/>
  <c r="H30" i="9"/>
  <c r="D30" i="9"/>
  <c r="E30" i="9"/>
  <c r="F30" i="9"/>
  <c r="D85" i="9"/>
  <c r="G33" i="9"/>
  <c r="C15" i="9"/>
  <c r="D15" i="9"/>
  <c r="E15" i="9"/>
  <c r="F15" i="9"/>
  <c r="G15" i="9"/>
  <c r="H15" i="9"/>
  <c r="E64" i="9"/>
  <c r="G64" i="9"/>
  <c r="C64" i="9"/>
  <c r="D64" i="9"/>
  <c r="E20" i="9"/>
  <c r="F20" i="9"/>
  <c r="G20" i="9"/>
  <c r="E41" i="9"/>
  <c r="F41" i="9"/>
  <c r="G41" i="9"/>
  <c r="H74" i="9"/>
  <c r="H62" i="9"/>
  <c r="G62" i="9"/>
  <c r="G74" i="9"/>
  <c r="H43" i="9"/>
  <c r="E43" i="9"/>
  <c r="F43" i="9"/>
  <c r="D43" i="9"/>
  <c r="G43" i="9"/>
  <c r="C22" i="9"/>
  <c r="D22" i="9"/>
  <c r="E22" i="9"/>
  <c r="F22" i="9"/>
  <c r="G22" i="9"/>
  <c r="H22" i="9"/>
  <c r="F74" i="9"/>
  <c r="E26" i="9"/>
  <c r="G82" i="9"/>
  <c r="E82" i="9"/>
  <c r="H82" i="9"/>
  <c r="F82" i="9"/>
  <c r="E74" i="9"/>
  <c r="D26" i="9"/>
  <c r="H19" i="9"/>
  <c r="C74" i="9"/>
  <c r="C26" i="9"/>
  <c r="C47" i="9"/>
  <c r="H47" i="9"/>
  <c r="D57" i="9"/>
  <c r="E57" i="9"/>
  <c r="G57" i="9"/>
  <c r="C40" i="9"/>
  <c r="D40" i="9"/>
  <c r="E40" i="9"/>
  <c r="E38" i="9"/>
  <c r="F38" i="9"/>
  <c r="H38" i="9"/>
  <c r="D38" i="9"/>
  <c r="G38" i="9"/>
  <c r="E59" i="9"/>
  <c r="F59" i="9"/>
  <c r="C59" i="9"/>
  <c r="D59" i="9"/>
  <c r="G59" i="9"/>
  <c r="H59" i="9"/>
  <c r="D71" i="9"/>
  <c r="C71" i="9"/>
  <c r="E71" i="9"/>
  <c r="F71" i="9"/>
  <c r="G71" i="9"/>
  <c r="H71" i="9"/>
  <c r="H73" i="9"/>
  <c r="G73" i="9"/>
  <c r="F73" i="9"/>
  <c r="D44" i="9"/>
  <c r="E44" i="9"/>
  <c r="F44" i="9"/>
  <c r="C44" i="9"/>
  <c r="G44" i="9"/>
  <c r="H44" i="9"/>
  <c r="E25" i="9"/>
  <c r="G81" i="9"/>
  <c r="C81" i="9"/>
  <c r="F81" i="9"/>
  <c r="H81" i="9"/>
  <c r="E73" i="9"/>
  <c r="E67" i="9"/>
  <c r="H67" i="9"/>
  <c r="G67" i="9"/>
  <c r="D67" i="9"/>
  <c r="F67" i="9"/>
  <c r="D25" i="9"/>
  <c r="G83" i="9"/>
  <c r="D73" i="9"/>
  <c r="C25" i="9"/>
  <c r="E13" i="9"/>
  <c r="F13" i="9"/>
  <c r="G13" i="9"/>
  <c r="H13" i="9"/>
  <c r="G65" i="9"/>
  <c r="E65" i="9"/>
  <c r="F65" i="9"/>
  <c r="H65" i="9"/>
  <c r="D18" i="9"/>
  <c r="E18" i="9"/>
  <c r="F18" i="9"/>
  <c r="G18" i="9"/>
  <c r="C68" i="9"/>
  <c r="D68" i="9"/>
  <c r="D60" i="9"/>
  <c r="H60" i="9"/>
  <c r="E16" i="9"/>
  <c r="H16" i="9"/>
  <c r="F16" i="9"/>
  <c r="G16" i="9"/>
  <c r="D16" i="9"/>
  <c r="C79" i="9"/>
  <c r="D79" i="9"/>
  <c r="E79" i="9"/>
  <c r="F51" i="9"/>
  <c r="G51" i="9"/>
  <c r="H51" i="9"/>
  <c r="F75" i="9"/>
  <c r="G75" i="9"/>
  <c r="E24" i="9"/>
  <c r="F24" i="9"/>
  <c r="D72" i="9"/>
  <c r="E72" i="9"/>
  <c r="F72" i="9"/>
  <c r="G58" i="9"/>
  <c r="H58" i="9"/>
  <c r="D21" i="9"/>
  <c r="E21" i="9"/>
  <c r="G36" i="9"/>
  <c r="H36" i="9"/>
  <c r="F36" i="9"/>
  <c r="E80" i="9"/>
  <c r="G80" i="9"/>
  <c r="H80" i="9"/>
  <c r="F69" i="9"/>
  <c r="G69" i="9"/>
  <c r="E32" i="9"/>
  <c r="H32" i="9"/>
  <c r="C31" i="9"/>
  <c r="E12" i="8"/>
  <c r="F12" i="8"/>
  <c r="G12" i="8"/>
  <c r="H12" i="8"/>
  <c r="D12" i="8"/>
  <c r="E20" i="8"/>
  <c r="F20" i="8"/>
  <c r="G20" i="8"/>
  <c r="H20" i="8"/>
  <c r="C20" i="8"/>
  <c r="D20" i="8"/>
  <c r="G19" i="8"/>
  <c r="C19" i="8"/>
  <c r="H19" i="8"/>
  <c r="D19" i="8"/>
  <c r="E19" i="8"/>
  <c r="F19" i="8"/>
  <c r="C35" i="8"/>
  <c r="D35" i="8"/>
  <c r="E35" i="8"/>
  <c r="F35" i="8"/>
  <c r="G35" i="8"/>
  <c r="H35" i="8"/>
  <c r="C27" i="8"/>
  <c r="D27" i="8"/>
  <c r="E27" i="8"/>
  <c r="F27" i="8"/>
  <c r="G27" i="8"/>
  <c r="H27" i="8"/>
  <c r="D42" i="8"/>
  <c r="C42" i="8"/>
  <c r="G42" i="8"/>
  <c r="E42" i="8"/>
  <c r="F42" i="8"/>
  <c r="H42" i="8"/>
  <c r="C15" i="8"/>
  <c r="D15" i="8"/>
  <c r="H15" i="8"/>
  <c r="F15" i="8"/>
  <c r="G15" i="8"/>
  <c r="E15" i="8"/>
  <c r="G72" i="8"/>
  <c r="H72" i="8"/>
  <c r="D72" i="8"/>
  <c r="E72" i="8"/>
  <c r="F72" i="8"/>
  <c r="C72" i="8"/>
  <c r="E44" i="8"/>
  <c r="F44" i="8"/>
  <c r="G44" i="8"/>
  <c r="H44" i="8"/>
  <c r="C44" i="8"/>
  <c r="D44" i="8"/>
  <c r="G33" i="8"/>
  <c r="H33" i="8"/>
  <c r="F33" i="8"/>
  <c r="E33" i="8"/>
  <c r="E74" i="8"/>
  <c r="G74" i="8"/>
  <c r="H74" i="8"/>
  <c r="C74" i="8"/>
  <c r="D74" i="8"/>
  <c r="F74" i="8"/>
  <c r="G66" i="8"/>
  <c r="H66" i="8"/>
  <c r="E66" i="8"/>
  <c r="F66" i="8"/>
  <c r="G56" i="8"/>
  <c r="D56" i="8"/>
  <c r="C56" i="8"/>
  <c r="E56" i="8"/>
  <c r="F56" i="8"/>
  <c r="C70" i="8"/>
  <c r="D70" i="8"/>
  <c r="E70" i="8"/>
  <c r="F70" i="8"/>
  <c r="E83" i="8"/>
  <c r="G83" i="8"/>
  <c r="H83" i="8"/>
  <c r="F83" i="8"/>
  <c r="C83" i="8"/>
  <c r="D83" i="8"/>
  <c r="E43" i="8"/>
  <c r="C47" i="8"/>
  <c r="D47" i="8"/>
  <c r="C85" i="8"/>
  <c r="D85" i="8"/>
  <c r="E85" i="8"/>
  <c r="F85" i="8"/>
  <c r="H26" i="8"/>
  <c r="D26" i="8"/>
  <c r="E26" i="8"/>
  <c r="F26" i="8"/>
  <c r="G26" i="8"/>
  <c r="AI5" i="8"/>
  <c r="G34" i="8"/>
  <c r="H34" i="8"/>
  <c r="E71" i="8"/>
  <c r="D71" i="8"/>
  <c r="G71" i="8"/>
  <c r="H71" i="8"/>
  <c r="E57" i="8"/>
  <c r="G57" i="8"/>
  <c r="H57" i="8"/>
  <c r="F57" i="8"/>
  <c r="C54" i="8"/>
  <c r="F54" i="8"/>
  <c r="G54" i="8"/>
  <c r="H54" i="8"/>
  <c r="C38" i="8"/>
  <c r="F38" i="8"/>
  <c r="E38" i="8"/>
  <c r="G38" i="8"/>
  <c r="H38" i="8"/>
  <c r="G81" i="8"/>
  <c r="H81" i="8"/>
  <c r="E81" i="8"/>
  <c r="G49" i="8"/>
  <c r="H49" i="8"/>
  <c r="D49" i="8"/>
  <c r="H36" i="8"/>
  <c r="G36" i="8"/>
  <c r="C31" i="8"/>
  <c r="D31" i="8"/>
  <c r="C79" i="8"/>
  <c r="D79" i="8"/>
  <c r="H79" i="8"/>
  <c r="F29" i="8"/>
  <c r="G29" i="8"/>
  <c r="H29" i="8"/>
  <c r="D11" i="8"/>
  <c r="H11" i="8"/>
  <c r="D52" i="8"/>
  <c r="E52" i="8"/>
  <c r="F52" i="8"/>
  <c r="G52" i="8"/>
  <c r="E32" i="8"/>
  <c r="F32" i="8"/>
  <c r="G32" i="8"/>
  <c r="H32" i="8"/>
  <c r="C32" i="8"/>
  <c r="D32" i="8"/>
  <c r="G40" i="8"/>
  <c r="D40" i="8"/>
  <c r="E40" i="8"/>
  <c r="F40" i="8"/>
  <c r="E64" i="8"/>
  <c r="F64" i="8"/>
  <c r="D59" i="8"/>
  <c r="C59" i="8"/>
  <c r="E59" i="8"/>
  <c r="F59" i="8"/>
  <c r="G59" i="8"/>
  <c r="F18" i="8"/>
  <c r="G18" i="8"/>
  <c r="C18" i="8"/>
  <c r="E18" i="8"/>
  <c r="H18" i="8"/>
  <c r="D18" i="8"/>
  <c r="F68" i="8"/>
  <c r="G68" i="8"/>
  <c r="H68" i="8"/>
  <c r="E39" i="8"/>
  <c r="F39" i="8"/>
  <c r="D51" i="8"/>
  <c r="E51" i="8"/>
  <c r="F51" i="8"/>
  <c r="E76" i="8"/>
  <c r="F76" i="8"/>
  <c r="G76" i="8"/>
  <c r="H76" i="8"/>
  <c r="E28" i="8"/>
  <c r="D28" i="8"/>
  <c r="D21" i="8"/>
  <c r="G21" i="8"/>
  <c r="H21" i="8"/>
  <c r="G65" i="8"/>
  <c r="H65" i="8"/>
  <c r="E65" i="8"/>
  <c r="C63" i="8"/>
  <c r="D63" i="8"/>
  <c r="E80" i="8"/>
  <c r="F80" i="8"/>
  <c r="H80" i="8"/>
  <c r="D48" i="8"/>
  <c r="D37" i="8"/>
  <c r="E48" i="8"/>
  <c r="F48" i="8"/>
  <c r="F25" i="8"/>
  <c r="G25" i="8"/>
  <c r="E16" i="8"/>
  <c r="F16" i="8"/>
  <c r="G17" i="8"/>
  <c r="H17" i="8"/>
  <c r="D39" i="7"/>
  <c r="E39" i="7"/>
  <c r="G68" i="7"/>
  <c r="H68" i="7"/>
  <c r="C68" i="7"/>
  <c r="D68" i="7"/>
  <c r="E68" i="7"/>
  <c r="F51" i="7"/>
  <c r="H41" i="7"/>
  <c r="D41" i="7"/>
  <c r="E41" i="7"/>
  <c r="G17" i="7"/>
  <c r="H17" i="7"/>
  <c r="F17" i="7"/>
  <c r="F40" i="7"/>
  <c r="G40" i="7"/>
  <c r="C40" i="7"/>
  <c r="D40" i="7"/>
  <c r="E40" i="7"/>
  <c r="H40" i="7"/>
  <c r="AI5" i="7"/>
  <c r="G37" i="7"/>
  <c r="H37" i="7"/>
  <c r="E64" i="7"/>
  <c r="F64" i="7"/>
  <c r="G64" i="7"/>
  <c r="H64" i="7"/>
  <c r="E12" i="7"/>
  <c r="F12" i="7"/>
  <c r="G12" i="7"/>
  <c r="H12" i="7"/>
  <c r="F72" i="7"/>
  <c r="G72" i="7"/>
  <c r="C72" i="7"/>
  <c r="D72" i="7"/>
  <c r="E72" i="7"/>
  <c r="G74" i="7"/>
  <c r="H74" i="7"/>
  <c r="E34" i="7"/>
  <c r="F34" i="7"/>
  <c r="G34" i="7"/>
  <c r="G49" i="7"/>
  <c r="H49" i="7"/>
  <c r="F24" i="7"/>
  <c r="H24" i="7"/>
  <c r="G24" i="7"/>
  <c r="E16" i="7"/>
  <c r="F16" i="7"/>
  <c r="G16" i="7"/>
  <c r="H16" i="7"/>
  <c r="C31" i="7"/>
  <c r="D31" i="7"/>
  <c r="E31" i="7"/>
  <c r="F31" i="7"/>
  <c r="H31" i="7"/>
  <c r="C63" i="7"/>
  <c r="D63" i="7"/>
  <c r="E63" i="7"/>
  <c r="F63" i="7"/>
  <c r="G63" i="7"/>
  <c r="C15" i="7"/>
  <c r="D15" i="7"/>
  <c r="E15" i="7"/>
  <c r="F15" i="7"/>
  <c r="D71" i="7"/>
  <c r="E71" i="7"/>
  <c r="H71" i="7"/>
  <c r="G33" i="7"/>
  <c r="H33" i="7"/>
  <c r="F33" i="7"/>
  <c r="E33" i="7"/>
  <c r="E42" i="7"/>
  <c r="C42" i="7"/>
  <c r="D42" i="7"/>
  <c r="F42" i="7"/>
  <c r="G42" i="7"/>
  <c r="H42" i="7"/>
  <c r="D27" i="7"/>
  <c r="D81" i="7"/>
  <c r="H57" i="7"/>
  <c r="G57" i="7"/>
  <c r="D20" i="7"/>
  <c r="G44" i="7"/>
  <c r="H44" i="7"/>
  <c r="H35" i="7"/>
  <c r="C20" i="7"/>
  <c r="G81" i="7"/>
  <c r="H81" i="7"/>
  <c r="G65" i="7"/>
  <c r="H65" i="7"/>
  <c r="C65" i="7"/>
  <c r="D65" i="7"/>
  <c r="E65" i="7"/>
  <c r="F65" i="7"/>
  <c r="E35" i="7"/>
  <c r="C79" i="7"/>
  <c r="D79" i="7"/>
  <c r="E79" i="7"/>
  <c r="F79" i="7"/>
  <c r="H47" i="7"/>
  <c r="D35" i="7"/>
  <c r="C35" i="7"/>
  <c r="D23" i="7"/>
  <c r="F23" i="7"/>
  <c r="E23" i="7"/>
  <c r="C47" i="7"/>
  <c r="D47" i="7"/>
  <c r="E47" i="7"/>
  <c r="F47" i="7"/>
  <c r="E80" i="7"/>
  <c r="F80" i="7"/>
  <c r="G80" i="7"/>
  <c r="H80" i="7"/>
  <c r="E32" i="7"/>
  <c r="F32" i="7"/>
  <c r="G32" i="7"/>
  <c r="H32" i="7"/>
  <c r="C32" i="7"/>
  <c r="D32" i="7"/>
  <c r="H11" i="7"/>
  <c r="E82" i="7"/>
  <c r="D73" i="7"/>
  <c r="F69" i="7"/>
  <c r="F56" i="7"/>
  <c r="G56" i="7"/>
  <c r="D52" i="7"/>
  <c r="D36" i="7"/>
  <c r="D25" i="7"/>
  <c r="F18" i="7"/>
  <c r="G11" i="7"/>
  <c r="F82" i="7"/>
  <c r="E73" i="7"/>
  <c r="G69" i="7"/>
  <c r="E52" i="7"/>
  <c r="E36" i="7"/>
  <c r="E25" i="7"/>
  <c r="G18" i="7"/>
  <c r="C73" i="7"/>
  <c r="E69" i="7"/>
  <c r="C52" i="7"/>
  <c r="C25" i="7"/>
  <c r="E48" i="7"/>
  <c r="F48" i="7"/>
  <c r="G48" i="7"/>
  <c r="H48" i="7"/>
  <c r="D11" i="7"/>
  <c r="E11" i="7"/>
  <c r="D55" i="7"/>
  <c r="E55" i="7"/>
  <c r="E51" i="6"/>
  <c r="G51" i="6"/>
  <c r="H51" i="6"/>
  <c r="C51" i="6"/>
  <c r="D51" i="6"/>
  <c r="F51" i="6"/>
  <c r="E71" i="6"/>
  <c r="H71" i="6"/>
  <c r="D71" i="6"/>
  <c r="F71" i="6"/>
  <c r="G71" i="6"/>
  <c r="C70" i="6"/>
  <c r="F70" i="6"/>
  <c r="G70" i="6"/>
  <c r="H70" i="6"/>
  <c r="E70" i="6"/>
  <c r="D70" i="6"/>
  <c r="C63" i="6"/>
  <c r="E63" i="6"/>
  <c r="G63" i="6"/>
  <c r="H63" i="6"/>
  <c r="F63" i="6"/>
  <c r="G77" i="6"/>
  <c r="H77" i="6"/>
  <c r="C77" i="6"/>
  <c r="D77" i="6"/>
  <c r="E77" i="6"/>
  <c r="F77" i="6"/>
  <c r="E53" i="6"/>
  <c r="F53" i="6"/>
  <c r="C53" i="6"/>
  <c r="G53" i="6"/>
  <c r="D53" i="6"/>
  <c r="H53" i="6"/>
  <c r="G81" i="6"/>
  <c r="H81" i="6"/>
  <c r="C81" i="6"/>
  <c r="F84" i="6"/>
  <c r="G84" i="6"/>
  <c r="E67" i="6"/>
  <c r="F67" i="6"/>
  <c r="G24" i="6"/>
  <c r="C24" i="6"/>
  <c r="D24" i="6"/>
  <c r="C20" i="6"/>
  <c r="D20" i="6"/>
  <c r="E20" i="6"/>
  <c r="F20" i="6"/>
  <c r="G20" i="6"/>
  <c r="H20" i="6"/>
  <c r="F74" i="6"/>
  <c r="G74" i="6"/>
  <c r="E74" i="6"/>
  <c r="C74" i="6"/>
  <c r="E41" i="6"/>
  <c r="F41" i="6"/>
  <c r="D41" i="6"/>
  <c r="G41" i="6"/>
  <c r="H41" i="6"/>
  <c r="F60" i="6"/>
  <c r="G60" i="6"/>
  <c r="AI5" i="6"/>
  <c r="C58" i="6"/>
  <c r="E58" i="6"/>
  <c r="F58" i="6"/>
  <c r="H58" i="6"/>
  <c r="C22" i="6"/>
  <c r="G22" i="6"/>
  <c r="H22" i="6"/>
  <c r="H82" i="6"/>
  <c r="E16" i="6"/>
  <c r="F16" i="6"/>
  <c r="G16" i="6"/>
  <c r="E29" i="6"/>
  <c r="F29" i="6"/>
  <c r="H29" i="6"/>
  <c r="G29" i="6"/>
  <c r="C31" i="6"/>
  <c r="D31" i="6"/>
  <c r="E31" i="6"/>
  <c r="E85" i="6"/>
  <c r="E48" i="6"/>
  <c r="F48" i="6"/>
  <c r="G48" i="6"/>
  <c r="C15" i="6"/>
  <c r="D15" i="6"/>
  <c r="E15" i="6"/>
  <c r="H15" i="6"/>
  <c r="C42" i="6"/>
  <c r="D42" i="6"/>
  <c r="C78" i="6"/>
  <c r="E78" i="6"/>
  <c r="G78" i="6"/>
  <c r="D21" i="6"/>
  <c r="E21" i="6"/>
  <c r="H34" i="6"/>
  <c r="G33" i="6"/>
  <c r="H33" i="6"/>
  <c r="E64" i="6"/>
  <c r="G64" i="6"/>
  <c r="G65" i="6"/>
  <c r="E44" i="6"/>
  <c r="F72" i="6"/>
  <c r="G56" i="6"/>
  <c r="E56" i="6"/>
  <c r="F56" i="6"/>
  <c r="H56" i="6"/>
  <c r="E50" i="6"/>
  <c r="D44" i="6"/>
  <c r="E38" i="6"/>
  <c r="H26" i="6"/>
  <c r="C79" i="6"/>
  <c r="E79" i="6"/>
  <c r="E72" i="6"/>
  <c r="C47" i="6"/>
  <c r="D47" i="6"/>
  <c r="E47" i="6"/>
  <c r="G47" i="6"/>
  <c r="H47" i="6"/>
  <c r="F47" i="6"/>
  <c r="C44" i="6"/>
  <c r="C38" i="6"/>
  <c r="F38" i="6"/>
  <c r="G38" i="6"/>
  <c r="H38" i="6"/>
  <c r="G50" i="6"/>
  <c r="H50" i="6"/>
  <c r="E26" i="6"/>
  <c r="F26" i="6"/>
  <c r="G26" i="6"/>
  <c r="E32" i="6"/>
  <c r="F32" i="6"/>
  <c r="G32" i="6"/>
  <c r="H32" i="6"/>
  <c r="G18" i="6"/>
  <c r="H18" i="6"/>
  <c r="G49" i="6"/>
  <c r="H49" i="6"/>
  <c r="E80" i="6"/>
  <c r="G80" i="6"/>
  <c r="G17" i="6"/>
  <c r="H17" i="6"/>
  <c r="E80" i="5"/>
  <c r="F80" i="5"/>
  <c r="H80" i="5"/>
  <c r="G61" i="5"/>
  <c r="H61" i="5"/>
  <c r="C61" i="5"/>
  <c r="D61" i="5"/>
  <c r="E61" i="5"/>
  <c r="F61" i="5"/>
  <c r="H21" i="5"/>
  <c r="E21" i="5"/>
  <c r="F21" i="5"/>
  <c r="G21" i="5"/>
  <c r="D43" i="5"/>
  <c r="E43" i="5"/>
  <c r="F43" i="5"/>
  <c r="C43" i="5"/>
  <c r="H43" i="5"/>
  <c r="G43" i="5"/>
  <c r="G37" i="5"/>
  <c r="H37" i="5"/>
  <c r="F37" i="5"/>
  <c r="D12" i="5"/>
  <c r="E12" i="5"/>
  <c r="F12" i="5"/>
  <c r="G12" i="5"/>
  <c r="F45" i="5"/>
  <c r="G45" i="5"/>
  <c r="H45" i="5"/>
  <c r="D45" i="5"/>
  <c r="E45" i="5"/>
  <c r="C55" i="5"/>
  <c r="D55" i="5"/>
  <c r="E55" i="5"/>
  <c r="G55" i="5"/>
  <c r="H55" i="5"/>
  <c r="F76" i="5"/>
  <c r="G76" i="5"/>
  <c r="H76" i="5"/>
  <c r="E25" i="5"/>
  <c r="F25" i="5"/>
  <c r="G25" i="5"/>
  <c r="H25" i="5"/>
  <c r="H85" i="5"/>
  <c r="G27" i="5"/>
  <c r="H27" i="5"/>
  <c r="F50" i="5"/>
  <c r="G50" i="5"/>
  <c r="H50" i="5"/>
  <c r="D50" i="5"/>
  <c r="E50" i="5"/>
  <c r="G81" i="5"/>
  <c r="H81" i="5"/>
  <c r="E81" i="5"/>
  <c r="E48" i="5"/>
  <c r="F48" i="5"/>
  <c r="G48" i="5"/>
  <c r="H48" i="5"/>
  <c r="C31" i="5"/>
  <c r="D31" i="5"/>
  <c r="F68" i="5"/>
  <c r="E68" i="5"/>
  <c r="H68" i="5"/>
  <c r="G68" i="5"/>
  <c r="D18" i="5"/>
  <c r="E18" i="5"/>
  <c r="H18" i="5"/>
  <c r="C54" i="5"/>
  <c r="G54" i="5"/>
  <c r="H54" i="5"/>
  <c r="D54" i="5"/>
  <c r="E54" i="5"/>
  <c r="F54" i="5"/>
  <c r="E16" i="5"/>
  <c r="F16" i="5"/>
  <c r="G16" i="5"/>
  <c r="C16" i="5"/>
  <c r="D16" i="5"/>
  <c r="H16" i="5"/>
  <c r="F70" i="5"/>
  <c r="G70" i="5"/>
  <c r="H70" i="5"/>
  <c r="F22" i="5"/>
  <c r="G22" i="5"/>
  <c r="E22" i="5"/>
  <c r="H22" i="5"/>
  <c r="C52" i="5"/>
  <c r="D52" i="5"/>
  <c r="E52" i="5"/>
  <c r="C15" i="5"/>
  <c r="E15" i="5"/>
  <c r="D15" i="5"/>
  <c r="G15" i="5"/>
  <c r="H15" i="5"/>
  <c r="D75" i="5"/>
  <c r="F75" i="5"/>
  <c r="G75" i="5"/>
  <c r="H75" i="5"/>
  <c r="E75" i="5"/>
  <c r="E57" i="5"/>
  <c r="G57" i="5"/>
  <c r="H57" i="5"/>
  <c r="F57" i="5"/>
  <c r="G41" i="5"/>
  <c r="H41" i="5"/>
  <c r="H66" i="5"/>
  <c r="E64" i="5"/>
  <c r="F64" i="5"/>
  <c r="D64" i="5"/>
  <c r="H64" i="5"/>
  <c r="G64" i="5"/>
  <c r="D35" i="5"/>
  <c r="E35" i="5"/>
  <c r="F35" i="5"/>
  <c r="AI5" i="5"/>
  <c r="D84" i="5"/>
  <c r="F84" i="5"/>
  <c r="G84" i="5"/>
  <c r="H84" i="5"/>
  <c r="E84" i="5"/>
  <c r="E72" i="5"/>
  <c r="H72" i="5"/>
  <c r="G40" i="5"/>
  <c r="H40" i="5"/>
  <c r="C47" i="5"/>
  <c r="D47" i="5"/>
  <c r="C63" i="5"/>
  <c r="D63" i="5"/>
  <c r="E32" i="5"/>
  <c r="F32" i="5"/>
  <c r="H32" i="5"/>
  <c r="E83" i="5"/>
  <c r="F83" i="5"/>
  <c r="G49" i="5"/>
  <c r="H49" i="5"/>
  <c r="C79" i="5"/>
  <c r="D79" i="5"/>
  <c r="D71" i="5"/>
  <c r="E71" i="5"/>
  <c r="F71" i="5"/>
  <c r="C60" i="5"/>
  <c r="D60" i="5"/>
  <c r="E60" i="5"/>
  <c r="F60" i="5"/>
  <c r="G60" i="5"/>
  <c r="H60" i="5"/>
  <c r="G53" i="5"/>
  <c r="H53" i="5"/>
  <c r="E29" i="5"/>
  <c r="F29" i="5"/>
  <c r="G29" i="5"/>
  <c r="D20" i="5"/>
  <c r="E20" i="5"/>
  <c r="F20" i="5"/>
  <c r="G20" i="5"/>
  <c r="G17" i="5"/>
  <c r="H17" i="5"/>
  <c r="G65" i="5"/>
  <c r="H65" i="5"/>
  <c r="G33" i="5"/>
  <c r="H33" i="5"/>
  <c r="D26" i="5"/>
  <c r="C67" i="4"/>
  <c r="D67" i="4"/>
  <c r="E67" i="4"/>
  <c r="F67" i="4"/>
  <c r="E48" i="4"/>
  <c r="F48" i="4"/>
  <c r="H48" i="4"/>
  <c r="G48" i="4"/>
  <c r="G61" i="4"/>
  <c r="H61" i="4"/>
  <c r="F61" i="4"/>
  <c r="C18" i="4"/>
  <c r="D18" i="4"/>
  <c r="H18" i="4"/>
  <c r="H25" i="4"/>
  <c r="E25" i="4"/>
  <c r="F25" i="4"/>
  <c r="G25" i="4"/>
  <c r="E32" i="4"/>
  <c r="G32" i="4"/>
  <c r="H32" i="4"/>
  <c r="F32" i="4"/>
  <c r="E77" i="4"/>
  <c r="G77" i="4"/>
  <c r="H77" i="4"/>
  <c r="G74" i="4"/>
  <c r="H74" i="4"/>
  <c r="C74" i="4"/>
  <c r="D74" i="4"/>
  <c r="E74" i="4"/>
  <c r="F74" i="4"/>
  <c r="G65" i="4"/>
  <c r="C65" i="4"/>
  <c r="D65" i="4"/>
  <c r="F56" i="4"/>
  <c r="G56" i="4"/>
  <c r="H56" i="4"/>
  <c r="H67" i="4"/>
  <c r="G45" i="4"/>
  <c r="H45" i="4"/>
  <c r="F60" i="4"/>
  <c r="D60" i="4"/>
  <c r="E60" i="4"/>
  <c r="H78" i="4"/>
  <c r="D78" i="4"/>
  <c r="E78" i="4"/>
  <c r="F78" i="4"/>
  <c r="G78" i="4"/>
  <c r="E80" i="4"/>
  <c r="G49" i="4"/>
  <c r="D49" i="4"/>
  <c r="E49" i="4"/>
  <c r="H66" i="4"/>
  <c r="C66" i="4"/>
  <c r="D66" i="4"/>
  <c r="E66" i="4"/>
  <c r="F66" i="4"/>
  <c r="G66" i="4"/>
  <c r="D53" i="4"/>
  <c r="E53" i="4"/>
  <c r="F53" i="4"/>
  <c r="E16" i="4"/>
  <c r="D16" i="4"/>
  <c r="F16" i="4"/>
  <c r="G16" i="4"/>
  <c r="H16" i="4"/>
  <c r="F77" i="4"/>
  <c r="F26" i="4"/>
  <c r="G26" i="4"/>
  <c r="H26" i="4"/>
  <c r="C26" i="4"/>
  <c r="D26" i="4"/>
  <c r="E26" i="4"/>
  <c r="E19" i="4"/>
  <c r="F19" i="4"/>
  <c r="G19" i="4"/>
  <c r="H19" i="4"/>
  <c r="D77" i="4"/>
  <c r="E84" i="4"/>
  <c r="C77" i="4"/>
  <c r="D48" i="4"/>
  <c r="G33" i="4"/>
  <c r="C33" i="4"/>
  <c r="H33" i="4"/>
  <c r="E33" i="4"/>
  <c r="F33" i="4"/>
  <c r="H41" i="4"/>
  <c r="C41" i="4"/>
  <c r="D41" i="4"/>
  <c r="E41" i="4"/>
  <c r="F41" i="4"/>
  <c r="G41" i="4"/>
  <c r="D28" i="4"/>
  <c r="E28" i="4"/>
  <c r="F21" i="4"/>
  <c r="G21" i="4"/>
  <c r="E21" i="4"/>
  <c r="H21" i="4"/>
  <c r="G17" i="4"/>
  <c r="G13" i="4"/>
  <c r="H13" i="4"/>
  <c r="F13" i="4"/>
  <c r="G82" i="4"/>
  <c r="H82" i="4"/>
  <c r="D76" i="4"/>
  <c r="E76" i="4"/>
  <c r="H76" i="4"/>
  <c r="E52" i="4"/>
  <c r="F52" i="4"/>
  <c r="C47" i="4"/>
  <c r="F47" i="4"/>
  <c r="G47" i="4"/>
  <c r="C15" i="4"/>
  <c r="D15" i="4"/>
  <c r="D68" i="4"/>
  <c r="C68" i="4"/>
  <c r="E68" i="4"/>
  <c r="H68" i="4"/>
  <c r="C29" i="4"/>
  <c r="D29" i="4"/>
  <c r="C63" i="4"/>
  <c r="G63" i="4"/>
  <c r="H63" i="4"/>
  <c r="F40" i="4"/>
  <c r="C79" i="4"/>
  <c r="G79" i="4"/>
  <c r="D71" i="4"/>
  <c r="H71" i="4"/>
  <c r="E64" i="4"/>
  <c r="D64" i="4"/>
  <c r="F64" i="4"/>
  <c r="D39" i="4"/>
  <c r="H39" i="4"/>
  <c r="C85" i="4"/>
  <c r="G44" i="4"/>
  <c r="H44" i="4"/>
  <c r="G81" i="4"/>
  <c r="C81" i="4"/>
  <c r="D81" i="4"/>
  <c r="H73" i="4"/>
  <c r="E73" i="4"/>
  <c r="F73" i="4"/>
  <c r="G30" i="4"/>
  <c r="H30" i="4"/>
  <c r="AI5" i="3"/>
  <c r="C23" i="3"/>
  <c r="G23" i="3"/>
  <c r="H23" i="3"/>
  <c r="D23" i="3"/>
  <c r="E23" i="3"/>
  <c r="F23" i="3"/>
  <c r="E37" i="3"/>
  <c r="C37" i="3"/>
  <c r="D37" i="3"/>
  <c r="F37" i="3"/>
  <c r="H37" i="3"/>
  <c r="H52" i="3"/>
  <c r="F52" i="3"/>
  <c r="G52" i="3"/>
  <c r="C52" i="3"/>
  <c r="D52" i="3"/>
  <c r="E52" i="3"/>
  <c r="D82" i="3"/>
  <c r="E82" i="3"/>
  <c r="F82" i="3"/>
  <c r="G82" i="3"/>
  <c r="H82" i="3"/>
  <c r="F48" i="3"/>
  <c r="H48" i="3"/>
  <c r="H54" i="3"/>
  <c r="C54" i="3"/>
  <c r="D54" i="3"/>
  <c r="D57" i="3"/>
  <c r="G57" i="3"/>
  <c r="F57" i="3"/>
  <c r="H57" i="3"/>
  <c r="D47" i="3"/>
  <c r="G47" i="3"/>
  <c r="F47" i="3"/>
  <c r="H47" i="3"/>
  <c r="C39" i="3"/>
  <c r="E39" i="3"/>
  <c r="F39" i="3"/>
  <c r="G39" i="3"/>
  <c r="H39" i="3"/>
  <c r="D21" i="3"/>
  <c r="E21" i="3"/>
  <c r="F21" i="3"/>
  <c r="G21" i="3"/>
  <c r="H21" i="3"/>
  <c r="D76" i="3"/>
  <c r="F76" i="3"/>
  <c r="G76" i="3"/>
  <c r="D63" i="3"/>
  <c r="G63" i="3"/>
  <c r="H63" i="3"/>
  <c r="E63" i="3"/>
  <c r="F63" i="3"/>
  <c r="F26" i="3"/>
  <c r="E26" i="3"/>
  <c r="G26" i="3"/>
  <c r="H26" i="3"/>
  <c r="C26" i="3"/>
  <c r="D26" i="3"/>
  <c r="D20" i="3"/>
  <c r="E20" i="3"/>
  <c r="F20" i="3"/>
  <c r="H20" i="3"/>
  <c r="G20" i="3"/>
  <c r="C20" i="3"/>
  <c r="E72" i="3"/>
  <c r="D72" i="3"/>
  <c r="F72" i="3"/>
  <c r="C55" i="3"/>
  <c r="H55" i="3"/>
  <c r="D48" i="3"/>
  <c r="F19" i="3"/>
  <c r="G19" i="3"/>
  <c r="H19" i="3"/>
  <c r="D19" i="3"/>
  <c r="E19" i="3"/>
  <c r="F10" i="3"/>
  <c r="G10" i="3"/>
  <c r="H10" i="3"/>
  <c r="C68" i="3"/>
  <c r="D68" i="3"/>
  <c r="E68" i="3"/>
  <c r="F68" i="3"/>
  <c r="G78" i="3"/>
  <c r="F78" i="3"/>
  <c r="H78" i="3"/>
  <c r="D25" i="3"/>
  <c r="G25" i="3"/>
  <c r="E25" i="3"/>
  <c r="F25" i="3"/>
  <c r="H25" i="3"/>
  <c r="C25" i="3"/>
  <c r="G48" i="3"/>
  <c r="E48" i="3"/>
  <c r="C71" i="3"/>
  <c r="D71" i="3"/>
  <c r="E71" i="3"/>
  <c r="F71" i="3"/>
  <c r="C48" i="3"/>
  <c r="D39" i="3"/>
  <c r="G28" i="3"/>
  <c r="H28" i="3"/>
  <c r="C28" i="3"/>
  <c r="D28" i="3"/>
  <c r="E28" i="3"/>
  <c r="F28" i="3"/>
  <c r="E18" i="3"/>
  <c r="G18" i="3"/>
  <c r="H18" i="3"/>
  <c r="F18" i="3"/>
  <c r="C18" i="3"/>
  <c r="D18" i="3"/>
  <c r="D77" i="3"/>
  <c r="H77" i="3"/>
  <c r="F77" i="3"/>
  <c r="G77" i="3"/>
  <c r="F36" i="3"/>
  <c r="G36" i="3"/>
  <c r="H36" i="3"/>
  <c r="H49" i="3"/>
  <c r="C49" i="3"/>
  <c r="D49" i="3"/>
  <c r="E49" i="3"/>
  <c r="F49" i="3"/>
  <c r="G49" i="3"/>
  <c r="G60" i="3"/>
  <c r="H60" i="3"/>
  <c r="F58" i="3"/>
  <c r="C58" i="3"/>
  <c r="E58" i="3"/>
  <c r="G58" i="3"/>
  <c r="H58" i="3"/>
  <c r="G73" i="3"/>
  <c r="H73" i="3"/>
  <c r="H33" i="3"/>
  <c r="C33" i="3"/>
  <c r="D33" i="3"/>
  <c r="E33" i="3"/>
  <c r="E79" i="3"/>
  <c r="F79" i="3"/>
  <c r="G79" i="3"/>
  <c r="C79" i="3"/>
  <c r="D79" i="3"/>
  <c r="H79" i="3"/>
  <c r="H17" i="3"/>
  <c r="D17" i="3"/>
  <c r="E17" i="3"/>
  <c r="F17" i="3"/>
  <c r="D84" i="3"/>
  <c r="E84" i="3"/>
  <c r="H84" i="3"/>
  <c r="F32" i="3"/>
  <c r="C32" i="3"/>
  <c r="D74" i="3"/>
  <c r="D61" i="3"/>
  <c r="C61" i="3"/>
  <c r="E61" i="3"/>
  <c r="F61" i="3"/>
  <c r="E34" i="3"/>
  <c r="F34" i="3"/>
  <c r="G34" i="3"/>
  <c r="C65" i="3"/>
  <c r="D65" i="3"/>
  <c r="H43" i="3"/>
  <c r="C43" i="3"/>
  <c r="D43" i="3"/>
  <c r="E43" i="3"/>
  <c r="D42" i="3"/>
  <c r="D31" i="3"/>
  <c r="H31" i="3"/>
  <c r="F12" i="3"/>
  <c r="D44" i="3"/>
  <c r="F44" i="3"/>
  <c r="G44" i="3"/>
  <c r="C38" i="3"/>
  <c r="D38" i="3"/>
  <c r="D69" i="3"/>
  <c r="H69" i="3"/>
  <c r="F16" i="3"/>
  <c r="E16" i="3"/>
  <c r="G16" i="3"/>
  <c r="F81" i="3"/>
  <c r="G81" i="3"/>
  <c r="H59" i="3"/>
  <c r="G59" i="3"/>
  <c r="D62" i="3"/>
  <c r="F41" i="3"/>
  <c r="C15" i="3"/>
  <c r="C11" i="3"/>
  <c r="C62" i="3"/>
  <c r="D41" i="3"/>
  <c r="G41" i="3"/>
  <c r="O58" i="25" l="1"/>
  <c r="K23" i="25"/>
  <c r="L49" i="25"/>
  <c r="S49" i="25"/>
  <c r="K25" i="25"/>
  <c r="R24" i="25"/>
  <c r="N57" i="25"/>
  <c r="L29" i="25"/>
  <c r="P31" i="25"/>
  <c r="R73" i="25"/>
  <c r="O82" i="25"/>
  <c r="V36" i="25"/>
  <c r="S42" i="25"/>
  <c r="K29" i="25"/>
  <c r="N50" i="25"/>
  <c r="V57" i="25"/>
  <c r="V66" i="25"/>
  <c r="U83" i="25"/>
  <c r="R16" i="25"/>
  <c r="N29" i="25"/>
  <c r="K38" i="25"/>
  <c r="P50" i="25"/>
  <c r="T16" i="25"/>
  <c r="O29" i="25"/>
  <c r="L38" i="25"/>
  <c r="R50" i="25"/>
  <c r="K11" i="25"/>
  <c r="U16" i="25"/>
  <c r="P29" i="25"/>
  <c r="M38" i="25"/>
  <c r="T74" i="25"/>
  <c r="T79" i="25"/>
  <c r="U11" i="25"/>
  <c r="R29" i="25"/>
  <c r="N38" i="25"/>
  <c r="M46" i="25"/>
  <c r="S54" i="25"/>
  <c r="U74" i="25"/>
  <c r="V79" i="25"/>
  <c r="V11" i="25"/>
  <c r="T38" i="25"/>
  <c r="N46" i="25"/>
  <c r="K21" i="25"/>
  <c r="K34" i="25"/>
  <c r="V38" i="25"/>
  <c r="P18" i="25"/>
  <c r="N41" i="25"/>
  <c r="T57" i="25"/>
  <c r="Q21" i="25"/>
  <c r="K30" i="25"/>
  <c r="Q57" i="25"/>
  <c r="M30" i="25"/>
  <c r="S57" i="25"/>
  <c r="U66" i="25"/>
  <c r="N30" i="25"/>
  <c r="K45" i="25"/>
  <c r="Q53" i="25"/>
  <c r="U57" i="25"/>
  <c r="P30" i="25"/>
  <c r="L45" i="25"/>
  <c r="U45" i="25"/>
  <c r="L68" i="25"/>
  <c r="L21" i="25"/>
  <c r="V61" i="25"/>
  <c r="K71" i="25"/>
  <c r="M21" i="25"/>
  <c r="M63" i="25"/>
  <c r="R71" i="25"/>
  <c r="T58" i="25"/>
  <c r="L71" i="25"/>
  <c r="K85" i="25"/>
  <c r="V58" i="25"/>
  <c r="L63" i="25"/>
  <c r="M71" i="25"/>
  <c r="M85" i="25"/>
  <c r="L50" i="25"/>
  <c r="R76" i="25"/>
  <c r="O63" i="25"/>
  <c r="U71" i="25"/>
  <c r="S76" i="25"/>
  <c r="N18" i="25"/>
  <c r="U27" i="25"/>
  <c r="R56" i="25"/>
  <c r="U60" i="25"/>
  <c r="T56" i="25"/>
  <c r="V39" i="25"/>
  <c r="V41" i="25"/>
  <c r="K60" i="25"/>
  <c r="M69" i="25"/>
  <c r="T60" i="25"/>
  <c r="Q69" i="25"/>
  <c r="T51" i="25"/>
  <c r="S27" i="25"/>
  <c r="L18" i="25"/>
  <c r="O23" i="25"/>
  <c r="K43" i="25"/>
  <c r="R43" i="25"/>
  <c r="U51" i="25"/>
  <c r="T27" i="25"/>
  <c r="Q56" i="25"/>
  <c r="P39" i="25"/>
  <c r="K20" i="25"/>
  <c r="U39" i="25"/>
  <c r="P20" i="25"/>
  <c r="Q63" i="25"/>
  <c r="V14" i="25"/>
  <c r="P24" i="25"/>
  <c r="O39" i="25"/>
  <c r="V34" i="25"/>
  <c r="U73" i="25"/>
  <c r="U44" i="25"/>
  <c r="R46" i="25"/>
  <c r="N51" i="25"/>
  <c r="T53" i="25"/>
  <c r="L66" i="25"/>
  <c r="R68" i="25"/>
  <c r="O70" i="25"/>
  <c r="S74" i="25"/>
  <c r="U76" i="25"/>
  <c r="Q78" i="25"/>
  <c r="P12" i="25"/>
  <c r="Q14" i="25"/>
  <c r="T30" i="25"/>
  <c r="O24" i="25"/>
  <c r="R74" i="25"/>
  <c r="P61" i="25"/>
  <c r="S58" i="25"/>
  <c r="N56" i="25"/>
  <c r="K46" i="25"/>
  <c r="N39" i="25"/>
  <c r="R32" i="25"/>
  <c r="V12" i="25"/>
  <c r="K19" i="25"/>
  <c r="Q11" i="25"/>
  <c r="S13" i="25"/>
  <c r="V15" i="25"/>
  <c r="K18" i="25"/>
  <c r="U26" i="25"/>
  <c r="V28" i="25"/>
  <c r="P33" i="25"/>
  <c r="R35" i="25"/>
  <c r="U43" i="25"/>
  <c r="K50" i="25"/>
  <c r="P52" i="25"/>
  <c r="P54" i="25"/>
  <c r="S56" i="25"/>
  <c r="N60" i="25"/>
  <c r="O64" i="25"/>
  <c r="O66" i="25"/>
  <c r="P68" i="25"/>
  <c r="L70" i="25"/>
  <c r="P72" i="25"/>
  <c r="L74" i="25"/>
  <c r="K76" i="25"/>
  <c r="L80" i="25"/>
  <c r="T10" i="25"/>
  <c r="U12" i="25"/>
  <c r="R14" i="25"/>
  <c r="P17" i="25"/>
  <c r="K24" i="25"/>
  <c r="V27" i="25"/>
  <c r="N32" i="25"/>
  <c r="R34" i="25"/>
  <c r="P49" i="25"/>
  <c r="R51" i="25"/>
  <c r="R53" i="25"/>
  <c r="R55" i="25"/>
  <c r="R57" i="25"/>
  <c r="P59" i="25"/>
  <c r="O61" i="25"/>
  <c r="P63" i="25"/>
  <c r="S65" i="25"/>
  <c r="T67" i="25"/>
  <c r="N69" i="25"/>
  <c r="O71" i="25"/>
  <c r="O73" i="25"/>
  <c r="L75" i="25"/>
  <c r="L77" i="25"/>
  <c r="K79" i="25"/>
  <c r="M81" i="25"/>
  <c r="L10" i="25"/>
  <c r="N12" i="25"/>
  <c r="M14" i="25"/>
  <c r="L17" i="25"/>
  <c r="L24" i="25"/>
  <c r="V32" i="25"/>
  <c r="Q37" i="25"/>
  <c r="R39" i="25"/>
  <c r="R41" i="25"/>
  <c r="P43" i="25"/>
  <c r="S45" i="25"/>
  <c r="V47" i="25"/>
  <c r="O52" i="25"/>
  <c r="T54" i="25"/>
  <c r="U58" i="25"/>
  <c r="T62" i="25"/>
  <c r="M67" i="25"/>
  <c r="K69" i="25"/>
  <c r="N71" i="25"/>
  <c r="Q73" i="25"/>
  <c r="Q75" i="25"/>
  <c r="S77" i="25"/>
  <c r="S79" i="25"/>
  <c r="T83" i="25"/>
  <c r="T85" i="25"/>
  <c r="N11" i="25"/>
  <c r="R13" i="25"/>
  <c r="R18" i="25"/>
  <c r="U28" i="24"/>
  <c r="P47" i="24"/>
  <c r="M39" i="24"/>
  <c r="L69" i="24"/>
  <c r="U48" i="24"/>
  <c r="V19" i="24"/>
  <c r="O71" i="24"/>
  <c r="S41" i="24"/>
  <c r="R26" i="24"/>
  <c r="N39" i="24"/>
  <c r="P39" i="24"/>
  <c r="P43" i="24"/>
  <c r="K58" i="24"/>
  <c r="O77" i="24"/>
  <c r="R43" i="24"/>
  <c r="U77" i="24"/>
  <c r="P32" i="24"/>
  <c r="M85" i="24"/>
  <c r="N85" i="24"/>
  <c r="K47" i="24"/>
  <c r="S17" i="24"/>
  <c r="O56" i="24"/>
  <c r="T67" i="24"/>
  <c r="U17" i="24"/>
  <c r="T41" i="24"/>
  <c r="U45" i="24"/>
  <c r="V17" i="24"/>
  <c r="V28" i="24"/>
  <c r="V41" i="24"/>
  <c r="V21" i="24"/>
  <c r="N56" i="24"/>
  <c r="S21" i="22"/>
  <c r="T21" i="22"/>
  <c r="M54" i="19"/>
  <c r="T27" i="19"/>
  <c r="T17" i="19"/>
  <c r="N30" i="19"/>
  <c r="K53" i="9"/>
  <c r="L40" i="9"/>
  <c r="S38" i="9"/>
  <c r="P14" i="9"/>
  <c r="L16" i="9"/>
  <c r="S21" i="9"/>
  <c r="S26" i="9"/>
  <c r="R29" i="9"/>
  <c r="K34" i="9"/>
  <c r="N10" i="9"/>
  <c r="R20" i="9"/>
  <c r="S83" i="9"/>
  <c r="P81" i="9"/>
  <c r="L75" i="9"/>
  <c r="V73" i="9"/>
  <c r="N67" i="9"/>
  <c r="R48" i="9"/>
  <c r="Q44" i="9"/>
  <c r="T35" i="9"/>
  <c r="T33" i="9"/>
  <c r="P31" i="9"/>
  <c r="S29" i="9"/>
  <c r="P27" i="9"/>
  <c r="S25" i="9"/>
  <c r="N18" i="9"/>
  <c r="M11" i="9"/>
  <c r="R83" i="9"/>
  <c r="O81" i="9"/>
  <c r="K75" i="9"/>
  <c r="M67" i="9"/>
  <c r="Q48" i="9"/>
  <c r="U46" i="9"/>
  <c r="P44" i="9"/>
  <c r="S35" i="9"/>
  <c r="S33" i="9"/>
  <c r="L31" i="9"/>
  <c r="M27" i="9"/>
  <c r="R25" i="9"/>
  <c r="M18" i="9"/>
  <c r="L11" i="9"/>
  <c r="M14" i="9"/>
  <c r="Q83" i="9"/>
  <c r="L67" i="9"/>
  <c r="O48" i="9"/>
  <c r="T46" i="9"/>
  <c r="O44" i="9"/>
  <c r="U39" i="9"/>
  <c r="R35" i="9"/>
  <c r="R33" i="9"/>
  <c r="K31" i="9"/>
  <c r="L27" i="9"/>
  <c r="Q25" i="9"/>
  <c r="L18" i="9"/>
  <c r="K11" i="9"/>
  <c r="N83" i="9"/>
  <c r="O56" i="9"/>
  <c r="L50" i="9"/>
  <c r="N48" i="9"/>
  <c r="S46" i="9"/>
  <c r="T39" i="9"/>
  <c r="Q35" i="9"/>
  <c r="Q33" i="9"/>
  <c r="K27" i="9"/>
  <c r="S68" i="9"/>
  <c r="U15" i="9"/>
  <c r="R72" i="9"/>
  <c r="R68" i="9"/>
  <c r="T15" i="9"/>
  <c r="K18" i="9"/>
  <c r="Q72" i="9"/>
  <c r="L14" i="9"/>
  <c r="R78" i="9"/>
  <c r="R27" i="9"/>
  <c r="M83" i="9"/>
  <c r="V78" i="9"/>
  <c r="P75" i="9"/>
  <c r="O75" i="9"/>
  <c r="N56" i="9"/>
  <c r="N75" i="9"/>
  <c r="M48" i="9"/>
  <c r="N46" i="9"/>
  <c r="U27" i="9"/>
  <c r="R39" i="9"/>
  <c r="K13" i="9"/>
  <c r="N70" i="9"/>
  <c r="P35" i="9"/>
  <c r="M75" i="9"/>
  <c r="U58" i="9"/>
  <c r="P33" i="9"/>
  <c r="V12" i="9"/>
  <c r="U78" i="9"/>
  <c r="T64" i="9"/>
  <c r="M56" i="9"/>
  <c r="U52" i="9"/>
  <c r="M46" i="9"/>
  <c r="O39" i="9"/>
  <c r="O35" i="9"/>
  <c r="O33" i="9"/>
  <c r="Q58" i="9"/>
  <c r="K15" i="9"/>
  <c r="S31" i="9"/>
  <c r="V43" i="9"/>
  <c r="Q62" i="9"/>
  <c r="U41" i="9"/>
  <c r="P67" i="9"/>
  <c r="R11" i="9"/>
  <c r="P23" i="9"/>
  <c r="V44" i="9"/>
  <c r="Q60" i="9"/>
  <c r="S79" i="9"/>
  <c r="Q23" i="9"/>
  <c r="R60" i="9"/>
  <c r="M16" i="9"/>
  <c r="R23" i="9"/>
  <c r="S60" i="9"/>
  <c r="K63" i="9"/>
  <c r="V17" i="9"/>
  <c r="U21" i="9"/>
  <c r="L59" i="9"/>
  <c r="N68" i="9"/>
  <c r="T71" i="9"/>
  <c r="N78" i="9"/>
  <c r="V81" i="9"/>
  <c r="T44" i="9"/>
  <c r="O67" i="9"/>
  <c r="U77" i="9"/>
  <c r="N11" i="9"/>
  <c r="R41" i="9"/>
  <c r="Q64" i="9"/>
  <c r="R75" i="9"/>
  <c r="Q11" i="9"/>
  <c r="S41" i="9"/>
  <c r="K54" i="9"/>
  <c r="K61" i="9"/>
  <c r="Q71" i="9"/>
  <c r="S75" i="9"/>
  <c r="O78" i="9"/>
  <c r="T41" i="9"/>
  <c r="L54" i="9"/>
  <c r="L61" i="9"/>
  <c r="R71" i="9"/>
  <c r="P78" i="9"/>
  <c r="N16" i="9"/>
  <c r="T54" i="9"/>
  <c r="M61" i="9"/>
  <c r="Q78" i="9"/>
  <c r="U71" i="9"/>
  <c r="S43" i="9"/>
  <c r="Q69" i="9"/>
  <c r="T43" i="9"/>
  <c r="M59" i="9"/>
  <c r="R62" i="9"/>
  <c r="L69" i="9"/>
  <c r="N59" i="9"/>
  <c r="M69" i="9"/>
  <c r="T16" i="9"/>
  <c r="V33" i="9"/>
  <c r="U59" i="9"/>
  <c r="R81" i="9"/>
  <c r="U62" i="9"/>
  <c r="L38" i="9"/>
  <c r="R16" i="9"/>
  <c r="K20" i="9"/>
  <c r="S59" i="9"/>
  <c r="N69" i="9"/>
  <c r="Q77" i="9"/>
  <c r="M24" i="9"/>
  <c r="T59" i="9"/>
  <c r="V77" i="9"/>
  <c r="K38" i="9"/>
  <c r="Q81" i="9"/>
  <c r="S16" i="9"/>
  <c r="S20" i="9"/>
  <c r="U33" i="9"/>
  <c r="T55" i="9"/>
  <c r="T20" i="9"/>
  <c r="U20" i="9"/>
  <c r="S44" i="9"/>
  <c r="M64" i="9"/>
  <c r="T83" i="9"/>
  <c r="U44" i="9"/>
  <c r="P64" i="9"/>
  <c r="V71" i="9"/>
  <c r="U83" i="9"/>
  <c r="Q31" i="9"/>
  <c r="O57" i="9"/>
  <c r="V83" i="9"/>
  <c r="O13" i="9"/>
  <c r="T78" i="9"/>
  <c r="L80" i="9"/>
  <c r="K78" i="9"/>
  <c r="R76" i="9"/>
  <c r="N72" i="9"/>
  <c r="M70" i="9"/>
  <c r="L68" i="9"/>
  <c r="M62" i="9"/>
  <c r="U45" i="9"/>
  <c r="Q43" i="9"/>
  <c r="L24" i="9"/>
  <c r="T22" i="9"/>
  <c r="K17" i="9"/>
  <c r="V82" i="9"/>
  <c r="K80" i="9"/>
  <c r="K76" i="9"/>
  <c r="M72" i="9"/>
  <c r="L70" i="9"/>
  <c r="K68" i="9"/>
  <c r="R45" i="9"/>
  <c r="P43" i="9"/>
  <c r="V34" i="9"/>
  <c r="V30" i="9"/>
  <c r="K24" i="9"/>
  <c r="O22" i="9"/>
  <c r="R12" i="9"/>
  <c r="U82" i="9"/>
  <c r="L72" i="9"/>
  <c r="V51" i="9"/>
  <c r="P45" i="9"/>
  <c r="O43" i="9"/>
  <c r="S34" i="9"/>
  <c r="U30" i="9"/>
  <c r="O28" i="9"/>
  <c r="N22" i="9"/>
  <c r="Q12" i="9"/>
  <c r="V10" i="9"/>
  <c r="R82" i="9"/>
  <c r="P74" i="9"/>
  <c r="K72" i="9"/>
  <c r="U51" i="9"/>
  <c r="Q49" i="9"/>
  <c r="O45" i="9"/>
  <c r="N43" i="9"/>
  <c r="R34" i="9"/>
  <c r="T30" i="9"/>
  <c r="N28" i="9"/>
  <c r="M22" i="9"/>
  <c r="P12" i="9"/>
  <c r="U10" i="9"/>
  <c r="O82" i="9"/>
  <c r="O74" i="9"/>
  <c r="R51" i="9"/>
  <c r="P49" i="9"/>
  <c r="K45" i="9"/>
  <c r="K43" i="9"/>
  <c r="Q34" i="9"/>
  <c r="M32" i="9"/>
  <c r="S30" i="9"/>
  <c r="M28" i="9"/>
  <c r="V26" i="9"/>
  <c r="L22" i="9"/>
  <c r="O12" i="9"/>
  <c r="T10" i="9"/>
  <c r="N82" i="9"/>
  <c r="Q51" i="9"/>
  <c r="M49" i="9"/>
  <c r="M34" i="9"/>
  <c r="L32" i="9"/>
  <c r="R30" i="9"/>
  <c r="L28" i="9"/>
  <c r="U26" i="9"/>
  <c r="K22" i="9"/>
  <c r="L12" i="9"/>
  <c r="S10" i="9"/>
  <c r="V84" i="9"/>
  <c r="Q53" i="9"/>
  <c r="P51" i="9"/>
  <c r="L49" i="9"/>
  <c r="L34" i="9"/>
  <c r="K32" i="9"/>
  <c r="Q30" i="9"/>
  <c r="T26" i="9"/>
  <c r="R19" i="9"/>
  <c r="R10" i="9"/>
  <c r="T63" i="9"/>
  <c r="P53" i="9"/>
  <c r="O51" i="9"/>
  <c r="V36" i="9"/>
  <c r="P30" i="9"/>
  <c r="Q19" i="9"/>
  <c r="V14" i="9"/>
  <c r="Q10" i="9"/>
  <c r="R63" i="9"/>
  <c r="N53" i="9"/>
  <c r="N51" i="9"/>
  <c r="V47" i="9"/>
  <c r="Q40" i="9"/>
  <c r="V38" i="9"/>
  <c r="U36" i="9"/>
  <c r="L30" i="9"/>
  <c r="U14" i="9"/>
  <c r="P10" i="9"/>
  <c r="N63" i="9"/>
  <c r="V57" i="9"/>
  <c r="M53" i="9"/>
  <c r="M51" i="9"/>
  <c r="P40" i="9"/>
  <c r="U38" i="9"/>
  <c r="P36" i="9"/>
  <c r="K30" i="9"/>
  <c r="Q14" i="9"/>
  <c r="O10" i="9"/>
  <c r="M63" i="9"/>
  <c r="U57" i="9"/>
  <c r="V55" i="9"/>
  <c r="L53" i="9"/>
  <c r="M40" i="9"/>
  <c r="T38" i="9"/>
  <c r="K36" i="9"/>
  <c r="V16" i="9"/>
  <c r="V75" i="9"/>
  <c r="L63" i="9"/>
  <c r="V59" i="9"/>
  <c r="P57" i="9"/>
  <c r="U55" i="9"/>
  <c r="P12" i="8"/>
  <c r="R13" i="8"/>
  <c r="T14" i="8"/>
  <c r="V15" i="8"/>
  <c r="T84" i="8"/>
  <c r="O83" i="8"/>
  <c r="U77" i="8"/>
  <c r="P76" i="8"/>
  <c r="U70" i="8"/>
  <c r="N69" i="8"/>
  <c r="T63" i="8"/>
  <c r="O62" i="8"/>
  <c r="K61" i="8"/>
  <c r="T56" i="8"/>
  <c r="O55" i="8"/>
  <c r="U49" i="8"/>
  <c r="R74" i="8"/>
  <c r="M26" i="8"/>
  <c r="M60" i="8"/>
  <c r="V60" i="8"/>
  <c r="O23" i="8"/>
  <c r="T48" i="8"/>
  <c r="U48" i="8"/>
  <c r="M76" i="8"/>
  <c r="Q39" i="8"/>
  <c r="L34" i="8"/>
  <c r="V39" i="8"/>
  <c r="U39" i="8"/>
  <c r="N34" i="8"/>
  <c r="P48" i="8"/>
  <c r="R29" i="8"/>
  <c r="U52" i="8"/>
  <c r="P23" i="8"/>
  <c r="Q21" i="8"/>
  <c r="T15" i="8"/>
  <c r="K38" i="8"/>
  <c r="L60" i="8"/>
  <c r="M16" i="8"/>
  <c r="V23" i="8"/>
  <c r="U43" i="8"/>
  <c r="V43" i="8"/>
  <c r="P52" i="8"/>
  <c r="L78" i="8"/>
  <c r="N48" i="8"/>
  <c r="U83" i="8"/>
  <c r="Q52" i="8"/>
  <c r="V38" i="8"/>
  <c r="U38" i="8"/>
  <c r="V62" i="8"/>
  <c r="R76" i="8"/>
  <c r="L80" i="8"/>
  <c r="V76" i="8"/>
  <c r="M80" i="8"/>
  <c r="O67" i="8"/>
  <c r="O70" i="8"/>
  <c r="S48" i="8"/>
  <c r="R57" i="8"/>
  <c r="T52" i="8"/>
  <c r="Q17" i="8"/>
  <c r="V75" i="8"/>
  <c r="O57" i="8"/>
  <c r="R52" i="8"/>
  <c r="Q75" i="8"/>
  <c r="K47" i="8"/>
  <c r="L68" i="8"/>
  <c r="Q50" i="8"/>
  <c r="O68" i="8"/>
  <c r="T42" i="8"/>
  <c r="N21" i="8"/>
  <c r="O14" i="8"/>
  <c r="Q68" i="8"/>
  <c r="S20" i="8"/>
  <c r="O41" i="8"/>
  <c r="K40" i="8"/>
  <c r="T35" i="8"/>
  <c r="O34" i="8"/>
  <c r="L33" i="8"/>
  <c r="U28" i="8"/>
  <c r="P27" i="8"/>
  <c r="U21" i="8"/>
  <c r="P20" i="8"/>
  <c r="Q14" i="8"/>
  <c r="L13" i="8"/>
  <c r="P17" i="8"/>
  <c r="P54" i="8"/>
  <c r="V59" i="8"/>
  <c r="M61" i="8"/>
  <c r="V64" i="8"/>
  <c r="M69" i="8"/>
  <c r="S85" i="8"/>
  <c r="V33" i="8"/>
  <c r="V85" i="8"/>
  <c r="M15" i="8"/>
  <c r="P35" i="8"/>
  <c r="V42" i="8"/>
  <c r="S44" i="8"/>
  <c r="V54" i="8"/>
  <c r="S61" i="8"/>
  <c r="P66" i="8"/>
  <c r="U13" i="8"/>
  <c r="R11" i="8"/>
  <c r="O13" i="8"/>
  <c r="R24" i="8"/>
  <c r="P33" i="8"/>
  <c r="M35" i="8"/>
  <c r="O42" i="8"/>
  <c r="P44" i="8"/>
  <c r="V47" i="8"/>
  <c r="L49" i="8"/>
  <c r="S54" i="8"/>
  <c r="N61" i="8"/>
  <c r="Q69" i="8"/>
  <c r="N74" i="8"/>
  <c r="T85" i="8"/>
  <c r="T13" i="8"/>
  <c r="K71" i="8"/>
  <c r="U11" i="8"/>
  <c r="P13" i="8"/>
  <c r="K15" i="8"/>
  <c r="T24" i="8"/>
  <c r="Q33" i="8"/>
  <c r="N35" i="8"/>
  <c r="P42" i="8"/>
  <c r="Q44" i="8"/>
  <c r="M49" i="8"/>
  <c r="T54" i="8"/>
  <c r="K56" i="8"/>
  <c r="O61" i="8"/>
  <c r="R69" i="8"/>
  <c r="O74" i="8"/>
  <c r="U85" i="8"/>
  <c r="V11" i="8"/>
  <c r="S13" i="8"/>
  <c r="L15" i="8"/>
  <c r="O35" i="8"/>
  <c r="Q42" i="8"/>
  <c r="R44" i="8"/>
  <c r="R49" i="8"/>
  <c r="U54" i="8"/>
  <c r="L56" i="8"/>
  <c r="P61" i="8"/>
  <c r="P74" i="8"/>
  <c r="K79" i="8"/>
  <c r="K82" i="8"/>
  <c r="S49" i="8"/>
  <c r="Q56" i="8"/>
  <c r="Q74" i="8"/>
  <c r="L79" i="8"/>
  <c r="L82" i="8"/>
  <c r="N15" i="8"/>
  <c r="Q35" i="8"/>
  <c r="T44" i="8"/>
  <c r="T49" i="8"/>
  <c r="R56" i="8"/>
  <c r="T61" i="8"/>
  <c r="T12" i="8"/>
  <c r="Q23" i="8"/>
  <c r="K25" i="8"/>
  <c r="Q32" i="8"/>
  <c r="Q34" i="8"/>
  <c r="U41" i="8"/>
  <c r="N43" i="8"/>
  <c r="O48" i="8"/>
  <c r="M55" i="8"/>
  <c r="O65" i="8"/>
  <c r="U73" i="8"/>
  <c r="N78" i="8"/>
  <c r="U81" i="8"/>
  <c r="U12" i="8"/>
  <c r="M14" i="8"/>
  <c r="R23" i="8"/>
  <c r="L25" i="8"/>
  <c r="R32" i="8"/>
  <c r="R34" i="8"/>
  <c r="V41" i="8"/>
  <c r="S43" i="8"/>
  <c r="Q48" i="8"/>
  <c r="N55" i="8"/>
  <c r="P65" i="8"/>
  <c r="M70" i="8"/>
  <c r="V73" i="8"/>
  <c r="O78" i="8"/>
  <c r="V81" i="8"/>
  <c r="V12" i="8"/>
  <c r="N14" i="8"/>
  <c r="K16" i="8"/>
  <c r="U23" i="8"/>
  <c r="M25" i="8"/>
  <c r="S32" i="8"/>
  <c r="S34" i="8"/>
  <c r="T43" i="8"/>
  <c r="K45" i="8"/>
  <c r="R48" i="8"/>
  <c r="P55" i="8"/>
  <c r="L57" i="8"/>
  <c r="Q65" i="8"/>
  <c r="N70" i="8"/>
  <c r="P78" i="8"/>
  <c r="U14" i="8"/>
  <c r="Q18" i="8"/>
  <c r="O25" i="8"/>
  <c r="P34" i="8"/>
  <c r="L58" i="8"/>
  <c r="S60" i="8"/>
  <c r="K62" i="8"/>
  <c r="T81" i="8"/>
  <c r="P83" i="8"/>
  <c r="N85" i="8"/>
  <c r="R18" i="8"/>
  <c r="P25" i="8"/>
  <c r="T34" i="8"/>
  <c r="K43" i="8"/>
  <c r="T58" i="8"/>
  <c r="T60" i="8"/>
  <c r="Q62" i="8"/>
  <c r="Q83" i="8"/>
  <c r="Q85" i="8"/>
  <c r="R25" i="8"/>
  <c r="U34" i="8"/>
  <c r="L43" i="8"/>
  <c r="S47" i="8"/>
  <c r="U58" i="8"/>
  <c r="U60" i="8"/>
  <c r="R62" i="8"/>
  <c r="R83" i="8"/>
  <c r="R85" i="8"/>
  <c r="L12" i="8"/>
  <c r="K24" i="8"/>
  <c r="K33" i="8"/>
  <c r="M46" i="8"/>
  <c r="T50" i="8"/>
  <c r="R55" i="8"/>
  <c r="S57" i="8"/>
  <c r="Q59" i="8"/>
  <c r="V61" i="8"/>
  <c r="K63" i="8"/>
  <c r="S80" i="8"/>
  <c r="V82" i="8"/>
  <c r="S84" i="8"/>
  <c r="M33" i="8"/>
  <c r="N46" i="8"/>
  <c r="U55" i="8"/>
  <c r="R59" i="8"/>
  <c r="L63" i="8"/>
  <c r="K65" i="8"/>
  <c r="T80" i="8"/>
  <c r="U84" i="8"/>
  <c r="K20" i="8"/>
  <c r="N33" i="8"/>
  <c r="O46" i="8"/>
  <c r="V55" i="8"/>
  <c r="T59" i="8"/>
  <c r="O63" i="8"/>
  <c r="L65" i="8"/>
  <c r="L71" i="8"/>
  <c r="K73" i="8"/>
  <c r="K75" i="8"/>
  <c r="V84" i="8"/>
  <c r="L42" i="8"/>
  <c r="P46" i="8"/>
  <c r="K53" i="8"/>
  <c r="U59" i="8"/>
  <c r="P63" i="8"/>
  <c r="M65" i="8"/>
  <c r="M71" i="8"/>
  <c r="L73" i="8"/>
  <c r="O75" i="8"/>
  <c r="S22" i="8"/>
  <c r="M42" i="8"/>
  <c r="Q46" i="8"/>
  <c r="N65" i="8"/>
  <c r="N71" i="8"/>
  <c r="M73" i="8"/>
  <c r="P75" i="8"/>
  <c r="L20" i="8"/>
  <c r="M67" i="8"/>
  <c r="R20" i="8"/>
  <c r="L53" i="8"/>
  <c r="Q63" i="8"/>
  <c r="N67" i="8"/>
  <c r="L84" i="8"/>
  <c r="Q64" i="8"/>
  <c r="V51" i="8"/>
  <c r="V49" i="8"/>
  <c r="U44" i="8"/>
  <c r="R41" i="8"/>
  <c r="V36" i="8"/>
  <c r="R30" i="8"/>
  <c r="N28" i="8"/>
  <c r="Q15" i="8"/>
  <c r="S12" i="8"/>
  <c r="K84" i="8"/>
  <c r="V77" i="8"/>
  <c r="T73" i="8"/>
  <c r="P64" i="8"/>
  <c r="P51" i="8"/>
  <c r="L46" i="8"/>
  <c r="L44" i="8"/>
  <c r="Q41" i="8"/>
  <c r="U36" i="8"/>
  <c r="Q30" i="8"/>
  <c r="M28" i="8"/>
  <c r="P15" i="8"/>
  <c r="R12" i="8"/>
  <c r="T77" i="8"/>
  <c r="N73" i="8"/>
  <c r="O64" i="8"/>
  <c r="P59" i="8"/>
  <c r="O51" i="8"/>
  <c r="K46" i="8"/>
  <c r="P41" i="8"/>
  <c r="T36" i="8"/>
  <c r="P30" i="8"/>
  <c r="L28" i="8"/>
  <c r="T25" i="8"/>
  <c r="O15" i="8"/>
  <c r="N12" i="8"/>
  <c r="V79" i="8"/>
  <c r="S77" i="8"/>
  <c r="U68" i="8"/>
  <c r="N64" i="8"/>
  <c r="O59" i="8"/>
  <c r="M51" i="8"/>
  <c r="S36" i="8"/>
  <c r="O30" i="8"/>
  <c r="K28" i="8"/>
  <c r="S25" i="8"/>
  <c r="V20" i="8"/>
  <c r="V17" i="8"/>
  <c r="M12" i="8"/>
  <c r="T79" i="8"/>
  <c r="R77" i="8"/>
  <c r="T68" i="8"/>
  <c r="V66" i="8"/>
  <c r="N59" i="8"/>
  <c r="M30" i="8"/>
  <c r="N25" i="8"/>
  <c r="U20" i="8"/>
  <c r="S17" i="8"/>
  <c r="S79" i="8"/>
  <c r="L77" i="8"/>
  <c r="S68" i="8"/>
  <c r="U66" i="8"/>
  <c r="L59" i="8"/>
  <c r="L30" i="8"/>
  <c r="V22" i="8"/>
  <c r="T20" i="8"/>
  <c r="R17" i="8"/>
  <c r="L72" i="8"/>
  <c r="R10" i="8"/>
  <c r="U75" i="8"/>
  <c r="K12" i="8"/>
  <c r="L74" i="8"/>
  <c r="N62" i="8"/>
  <c r="M54" i="8"/>
  <c r="K39" i="8"/>
  <c r="Q36" i="8"/>
  <c r="T33" i="8"/>
  <c r="Q26" i="8"/>
  <c r="L22" i="8"/>
  <c r="P84" i="8"/>
  <c r="V80" i="8"/>
  <c r="O79" i="8"/>
  <c r="S75" i="8"/>
  <c r="U71" i="8"/>
  <c r="V67" i="8"/>
  <c r="M66" i="8"/>
  <c r="M62" i="8"/>
  <c r="O58" i="8"/>
  <c r="L54" i="8"/>
  <c r="R51" i="8"/>
  <c r="M47" i="8"/>
  <c r="P43" i="8"/>
  <c r="P36" i="8"/>
  <c r="S33" i="8"/>
  <c r="V30" i="8"/>
  <c r="M29" i="8"/>
  <c r="P26" i="8"/>
  <c r="K22" i="8"/>
  <c r="Q19" i="8"/>
  <c r="S16" i="8"/>
  <c r="S10" i="8"/>
  <c r="R84" i="8"/>
  <c r="Q79" i="8"/>
  <c r="M74" i="8"/>
  <c r="L70" i="8"/>
  <c r="O66" i="8"/>
  <c r="P62" i="8"/>
  <c r="S58" i="8"/>
  <c r="N54" i="8"/>
  <c r="T51" i="8"/>
  <c r="R47" i="8"/>
  <c r="R43" i="8"/>
  <c r="L39" i="8"/>
  <c r="R36" i="8"/>
  <c r="U33" i="8"/>
  <c r="O29" i="8"/>
  <c r="R26" i="8"/>
  <c r="M22" i="8"/>
  <c r="S19" i="8"/>
  <c r="V16" i="8"/>
  <c r="U10" i="8"/>
  <c r="Q84" i="8"/>
  <c r="P79" i="8"/>
  <c r="T75" i="8"/>
  <c r="V71" i="8"/>
  <c r="K70" i="8"/>
  <c r="N66" i="8"/>
  <c r="P58" i="8"/>
  <c r="S51" i="8"/>
  <c r="N47" i="8"/>
  <c r="Q43" i="8"/>
  <c r="N29" i="8"/>
  <c r="R19" i="8"/>
  <c r="U16" i="8"/>
  <c r="T10" i="8"/>
  <c r="O84" i="8"/>
  <c r="U80" i="8"/>
  <c r="N79" i="8"/>
  <c r="R75" i="8"/>
  <c r="R71" i="8"/>
  <c r="U67" i="8"/>
  <c r="L66" i="8"/>
  <c r="L62" i="8"/>
  <c r="M58" i="8"/>
  <c r="K54" i="8"/>
  <c r="Q51" i="8"/>
  <c r="L47" i="8"/>
  <c r="O43" i="8"/>
  <c r="R33" i="8"/>
  <c r="U30" i="8"/>
  <c r="K29" i="8"/>
  <c r="O26" i="8"/>
  <c r="P19" i="8"/>
  <c r="R16" i="8"/>
  <c r="V13" i="8"/>
  <c r="S82" i="8"/>
  <c r="L81" i="8"/>
  <c r="P77" i="8"/>
  <c r="S73" i="8"/>
  <c r="V69" i="8"/>
  <c r="K68" i="8"/>
  <c r="V65" i="8"/>
  <c r="M64" i="8"/>
  <c r="R60" i="8"/>
  <c r="P56" i="8"/>
  <c r="Q49" i="8"/>
  <c r="V46" i="8"/>
  <c r="O45" i="8"/>
  <c r="N41" i="8"/>
  <c r="P38" i="8"/>
  <c r="O31" i="8"/>
  <c r="S28" i="8"/>
  <c r="O24" i="8"/>
  <c r="K17" i="8"/>
  <c r="K14" i="8"/>
  <c r="K11" i="8"/>
  <c r="K13" i="8"/>
  <c r="P14" i="8"/>
  <c r="M13" i="8"/>
  <c r="R14" i="8"/>
  <c r="Q20" i="8"/>
  <c r="V21" i="8"/>
  <c r="L26" i="8"/>
  <c r="Q27" i="8"/>
  <c r="V28" i="8"/>
  <c r="N44" i="8"/>
  <c r="T45" i="8"/>
  <c r="N51" i="8"/>
  <c r="S52" i="8"/>
  <c r="N58" i="8"/>
  <c r="S59" i="8"/>
  <c r="O16" i="8"/>
  <c r="U17" i="8"/>
  <c r="Q12" i="8"/>
  <c r="T16" i="8"/>
  <c r="O20" i="8"/>
  <c r="Q25" i="8"/>
  <c r="L29" i="8"/>
  <c r="T30" i="8"/>
  <c r="M34" i="8"/>
  <c r="U35" i="8"/>
  <c r="M39" i="8"/>
  <c r="T40" i="8"/>
  <c r="K44" i="8"/>
  <c r="R45" i="8"/>
  <c r="N50" i="8"/>
  <c r="U51" i="8"/>
  <c r="L55" i="8"/>
  <c r="S56" i="8"/>
  <c r="K60" i="8"/>
  <c r="R61" i="8"/>
  <c r="K66" i="8"/>
  <c r="Q67" i="8"/>
  <c r="V68" i="8"/>
  <c r="K72" i="8"/>
  <c r="P73" i="8"/>
  <c r="V74" i="8"/>
  <c r="O10" i="8"/>
  <c r="V14" i="8"/>
  <c r="M17" i="8"/>
  <c r="T18" i="8"/>
  <c r="N22" i="8"/>
  <c r="R27" i="8"/>
  <c r="L31" i="8"/>
  <c r="T32" i="8"/>
  <c r="K36" i="8"/>
  <c r="T37" i="8"/>
  <c r="K41" i="8"/>
  <c r="R42" i="8"/>
  <c r="O47" i="8"/>
  <c r="V48" i="8"/>
  <c r="K52" i="8"/>
  <c r="T53" i="8"/>
  <c r="Q58" i="8"/>
  <c r="M63" i="8"/>
  <c r="S64" i="8"/>
  <c r="K69" i="8"/>
  <c r="S70" i="8"/>
  <c r="L75" i="8"/>
  <c r="S76" i="8"/>
  <c r="N81" i="8"/>
  <c r="Q82" i="8"/>
  <c r="P10" i="8"/>
  <c r="N17" i="8"/>
  <c r="U18" i="8"/>
  <c r="O22" i="8"/>
  <c r="S27" i="8"/>
  <c r="M31" i="8"/>
  <c r="U32" i="8"/>
  <c r="L36" i="8"/>
  <c r="U37" i="8"/>
  <c r="L41" i="8"/>
  <c r="S42" i="8"/>
  <c r="P47" i="8"/>
  <c r="L52" i="8"/>
  <c r="U53" i="8"/>
  <c r="K57" i="8"/>
  <c r="R58" i="8"/>
  <c r="N63" i="8"/>
  <c r="T64" i="8"/>
  <c r="L69" i="8"/>
  <c r="T70" i="8"/>
  <c r="N75" i="8"/>
  <c r="T76" i="8"/>
  <c r="O81" i="8"/>
  <c r="R82" i="8"/>
  <c r="Q10" i="8"/>
  <c r="O17" i="8"/>
  <c r="P22" i="8"/>
  <c r="T27" i="8"/>
  <c r="N31" i="8"/>
  <c r="O36" i="8"/>
  <c r="M41" i="8"/>
  <c r="U42" i="8"/>
  <c r="Q47" i="8"/>
  <c r="O52" i="8"/>
  <c r="V53" i="8"/>
  <c r="V18" i="8"/>
  <c r="V32" i="8"/>
  <c r="V37" i="8"/>
  <c r="P82" i="8"/>
  <c r="K81" i="8"/>
  <c r="O77" i="8"/>
  <c r="R73" i="8"/>
  <c r="U69" i="8"/>
  <c r="U65" i="8"/>
  <c r="L64" i="8"/>
  <c r="Q60" i="8"/>
  <c r="V57" i="8"/>
  <c r="O56" i="8"/>
  <c r="S53" i="8"/>
  <c r="P49" i="8"/>
  <c r="U46" i="8"/>
  <c r="N45" i="8"/>
  <c r="O38" i="8"/>
  <c r="V35" i="8"/>
  <c r="K31" i="8"/>
  <c r="R28" i="8"/>
  <c r="N24" i="8"/>
  <c r="T21" i="8"/>
  <c r="M10" i="8"/>
  <c r="O82" i="8"/>
  <c r="V78" i="8"/>
  <c r="N77" i="8"/>
  <c r="Q73" i="8"/>
  <c r="T69" i="8"/>
  <c r="T65" i="8"/>
  <c r="K64" i="8"/>
  <c r="P60" i="8"/>
  <c r="U57" i="8"/>
  <c r="N56" i="8"/>
  <c r="R53" i="8"/>
  <c r="V50" i="8"/>
  <c r="O49" i="8"/>
  <c r="T46" i="8"/>
  <c r="M45" i="8"/>
  <c r="N38" i="8"/>
  <c r="S35" i="8"/>
  <c r="Q28" i="8"/>
  <c r="V25" i="8"/>
  <c r="M24" i="8"/>
  <c r="S21" i="8"/>
  <c r="V83" i="8"/>
  <c r="N82" i="8"/>
  <c r="U78" i="8"/>
  <c r="M77" i="8"/>
  <c r="O73" i="8"/>
  <c r="S69" i="8"/>
  <c r="S65" i="8"/>
  <c r="N60" i="8"/>
  <c r="T57" i="8"/>
  <c r="M56" i="8"/>
  <c r="Q53" i="8"/>
  <c r="U50" i="8"/>
  <c r="N49" i="8"/>
  <c r="R46" i="8"/>
  <c r="L45" i="8"/>
  <c r="M38" i="8"/>
  <c r="R35" i="8"/>
  <c r="P28" i="8"/>
  <c r="U25" i="8"/>
  <c r="L24" i="8"/>
  <c r="R21" i="8"/>
  <c r="S18" i="8"/>
  <c r="T11" i="8"/>
  <c r="N10" i="8"/>
  <c r="T38" i="8"/>
  <c r="M37" i="8"/>
  <c r="S31" i="8"/>
  <c r="N30" i="8"/>
  <c r="S24" i="8"/>
  <c r="N23" i="8"/>
  <c r="T17" i="8"/>
  <c r="N16" i="8"/>
  <c r="S11" i="8"/>
  <c r="K19" i="8"/>
  <c r="M20" i="8"/>
  <c r="O21" i="8"/>
  <c r="Q22" i="8"/>
  <c r="S23" i="8"/>
  <c r="U24" i="8"/>
  <c r="K35" i="8"/>
  <c r="M36" i="8"/>
  <c r="O37" i="8"/>
  <c r="Q38" i="8"/>
  <c r="S39" i="8"/>
  <c r="U40" i="8"/>
  <c r="K51" i="8"/>
  <c r="M52" i="8"/>
  <c r="O53" i="8"/>
  <c r="Q54" i="8"/>
  <c r="S55" i="8"/>
  <c r="U56" i="8"/>
  <c r="K67" i="8"/>
  <c r="M68" i="8"/>
  <c r="O69" i="8"/>
  <c r="Q70" i="8"/>
  <c r="S71" i="8"/>
  <c r="U72" i="8"/>
  <c r="K83" i="8"/>
  <c r="M84" i="8"/>
  <c r="O85" i="8"/>
  <c r="L19" i="8"/>
  <c r="N20" i="8"/>
  <c r="P21" i="8"/>
  <c r="R22" i="8"/>
  <c r="T23" i="8"/>
  <c r="V24" i="8"/>
  <c r="L35" i="8"/>
  <c r="N36" i="8"/>
  <c r="P37" i="8"/>
  <c r="R38" i="8"/>
  <c r="T39" i="8"/>
  <c r="V40" i="8"/>
  <c r="L51" i="8"/>
  <c r="N52" i="8"/>
  <c r="P53" i="8"/>
  <c r="R54" i="8"/>
  <c r="T55" i="8"/>
  <c r="V56" i="8"/>
  <c r="L67" i="8"/>
  <c r="N68" i="8"/>
  <c r="P69" i="8"/>
  <c r="R70" i="8"/>
  <c r="T71" i="8"/>
  <c r="V72" i="8"/>
  <c r="L83" i="8"/>
  <c r="N84" i="8"/>
  <c r="P85" i="8"/>
  <c r="K10" i="8"/>
  <c r="M11" i="8"/>
  <c r="O12" i="8"/>
  <c r="Q13" i="8"/>
  <c r="S14" i="8"/>
  <c r="U15" i="8"/>
  <c r="K26" i="8"/>
  <c r="M27" i="8"/>
  <c r="O28" i="8"/>
  <c r="Q29" i="8"/>
  <c r="S30" i="8"/>
  <c r="U31" i="8"/>
  <c r="K42" i="8"/>
  <c r="M43" i="8"/>
  <c r="O44" i="8"/>
  <c r="Q45" i="8"/>
  <c r="S46" i="8"/>
  <c r="U47" i="8"/>
  <c r="K58" i="8"/>
  <c r="M59" i="8"/>
  <c r="O60" i="8"/>
  <c r="Q61" i="8"/>
  <c r="S62" i="8"/>
  <c r="U63" i="8"/>
  <c r="K74" i="8"/>
  <c r="M75" i="8"/>
  <c r="O76" i="8"/>
  <c r="Q77" i="8"/>
  <c r="S78" i="8"/>
  <c r="U79" i="8"/>
  <c r="L10" i="8"/>
  <c r="N11" i="8"/>
  <c r="O67" i="7"/>
  <c r="S15" i="7"/>
  <c r="K20" i="7"/>
  <c r="K59" i="7"/>
  <c r="V77" i="7"/>
  <c r="L20" i="7"/>
  <c r="V69" i="7"/>
  <c r="K46" i="7"/>
  <c r="M46" i="7"/>
  <c r="R43" i="7"/>
  <c r="V33" i="7"/>
  <c r="L62" i="7"/>
  <c r="K77" i="7"/>
  <c r="L77" i="7"/>
  <c r="N77" i="7"/>
  <c r="P47" i="7"/>
  <c r="K62" i="7"/>
  <c r="R70" i="7"/>
  <c r="T11" i="7"/>
  <c r="P69" i="7"/>
  <c r="N68" i="7"/>
  <c r="L67" i="7"/>
  <c r="V56" i="7"/>
  <c r="T55" i="7"/>
  <c r="R54" i="7"/>
  <c r="P53" i="7"/>
  <c r="N52" i="7"/>
  <c r="L51" i="7"/>
  <c r="V40" i="7"/>
  <c r="T39" i="7"/>
  <c r="R38" i="7"/>
  <c r="P37" i="7"/>
  <c r="N36" i="7"/>
  <c r="L35" i="7"/>
  <c r="V24" i="7"/>
  <c r="T23" i="7"/>
  <c r="R22" i="7"/>
  <c r="P21" i="7"/>
  <c r="N20" i="7"/>
  <c r="L19" i="7"/>
  <c r="O85" i="7"/>
  <c r="M84" i="7"/>
  <c r="V81" i="7"/>
  <c r="V47" i="7"/>
  <c r="P81" i="7"/>
  <c r="R47" i="7"/>
  <c r="V29" i="7"/>
  <c r="L14" i="7"/>
  <c r="K83" i="7"/>
  <c r="U72" i="7"/>
  <c r="S71" i="7"/>
  <c r="Q70" i="7"/>
  <c r="O69" i="7"/>
  <c r="M68" i="7"/>
  <c r="K67" i="7"/>
  <c r="U56" i="7"/>
  <c r="S55" i="7"/>
  <c r="Q54" i="7"/>
  <c r="O53" i="7"/>
  <c r="M52" i="7"/>
  <c r="K51" i="7"/>
  <c r="U40" i="7"/>
  <c r="S39" i="7"/>
  <c r="Q38" i="7"/>
  <c r="O37" i="7"/>
  <c r="Q47" i="7"/>
  <c r="U29" i="7"/>
  <c r="M22" i="7"/>
  <c r="K14" i="7"/>
  <c r="R72" i="7"/>
  <c r="M36" i="7"/>
  <c r="Q72" i="7"/>
  <c r="U64" i="7"/>
  <c r="O24" i="7"/>
  <c r="U83" i="7"/>
  <c r="P72" i="7"/>
  <c r="T60" i="7"/>
  <c r="N24" i="7"/>
  <c r="M13" i="7"/>
  <c r="V83" i="7"/>
  <c r="V60" i="7"/>
  <c r="L13" i="7"/>
  <c r="K35" i="7"/>
  <c r="K72" i="7"/>
  <c r="K31" i="7"/>
  <c r="M24" i="7"/>
  <c r="Q20" i="7"/>
  <c r="L73" i="7"/>
  <c r="U76" i="7"/>
  <c r="V17" i="7"/>
  <c r="P24" i="7"/>
  <c r="Q56" i="7"/>
  <c r="P67" i="7"/>
  <c r="V70" i="7"/>
  <c r="O77" i="7"/>
  <c r="K21" i="7"/>
  <c r="Q32" i="7"/>
  <c r="S63" i="7"/>
  <c r="R32" i="7"/>
  <c r="R60" i="7"/>
  <c r="V63" i="7"/>
  <c r="U60" i="7"/>
  <c r="R68" i="7"/>
  <c r="R15" i="7"/>
  <c r="S47" i="7"/>
  <c r="R61" i="7"/>
  <c r="S69" i="7"/>
  <c r="U24" i="7"/>
  <c r="T56" i="7"/>
  <c r="M41" i="7"/>
  <c r="L24" i="7"/>
  <c r="S23" i="7"/>
  <c r="Q22" i="7"/>
  <c r="U68" i="7"/>
  <c r="P56" i="7"/>
  <c r="O21" i="7"/>
  <c r="M20" i="7"/>
  <c r="V10" i="7"/>
  <c r="V18" i="7"/>
  <c r="U41" i="7"/>
  <c r="P48" i="7"/>
  <c r="L21" i="7"/>
  <c r="L23" i="7"/>
  <c r="S43" i="7"/>
  <c r="S68" i="7"/>
  <c r="M77" i="7"/>
  <c r="Q81" i="7"/>
  <c r="S10" i="7"/>
  <c r="V41" i="7"/>
  <c r="R48" i="7"/>
  <c r="N59" i="7"/>
  <c r="S76" i="7"/>
  <c r="T83" i="7"/>
  <c r="U10" i="7"/>
  <c r="N25" i="7"/>
  <c r="T32" i="7"/>
  <c r="N42" i="7"/>
  <c r="S56" i="7"/>
  <c r="S25" i="7"/>
  <c r="Q60" i="7"/>
  <c r="R63" i="7"/>
  <c r="U70" i="7"/>
  <c r="O81" i="7"/>
  <c r="K75" i="7"/>
  <c r="V68" i="7"/>
  <c r="L46" i="7"/>
  <c r="V25" i="7"/>
  <c r="S83" i="7"/>
  <c r="U81" i="7"/>
  <c r="S79" i="7"/>
  <c r="O72" i="7"/>
  <c r="U65" i="7"/>
  <c r="R50" i="7"/>
  <c r="Q43" i="7"/>
  <c r="U35" i="7"/>
  <c r="V28" i="7"/>
  <c r="V19" i="7"/>
  <c r="R17" i="7"/>
  <c r="R10" i="7"/>
  <c r="L85" i="7"/>
  <c r="R83" i="7"/>
  <c r="T81" i="7"/>
  <c r="L79" i="7"/>
  <c r="N72" i="7"/>
  <c r="S67" i="7"/>
  <c r="T65" i="7"/>
  <c r="Q50" i="7"/>
  <c r="O43" i="7"/>
  <c r="T35" i="7"/>
  <c r="U28" i="7"/>
  <c r="Q17" i="7"/>
  <c r="Q10" i="7"/>
  <c r="K85" i="7"/>
  <c r="S81" i="7"/>
  <c r="M72" i="7"/>
  <c r="R67" i="7"/>
  <c r="S65" i="7"/>
  <c r="P50" i="7"/>
  <c r="N43" i="7"/>
  <c r="S35" i="7"/>
  <c r="P17" i="7"/>
  <c r="P10" i="7"/>
  <c r="R81" i="7"/>
  <c r="P74" i="7"/>
  <c r="L72" i="7"/>
  <c r="Q67" i="7"/>
  <c r="R65" i="7"/>
  <c r="K43" i="7"/>
  <c r="O23" i="7"/>
  <c r="M14" i="7"/>
  <c r="L32" i="7"/>
  <c r="S27" i="7"/>
  <c r="P80" i="7"/>
  <c r="O71" i="7"/>
  <c r="T64" i="7"/>
  <c r="V42" i="7"/>
  <c r="N34" i="7"/>
  <c r="K32" i="7"/>
  <c r="O29" i="7"/>
  <c r="R27" i="7"/>
  <c r="K25" i="7"/>
  <c r="R18" i="7"/>
  <c r="S64" i="7"/>
  <c r="U49" i="7"/>
  <c r="U42" i="7"/>
  <c r="M34" i="7"/>
  <c r="N29" i="7"/>
  <c r="Q27" i="7"/>
  <c r="Q18" i="7"/>
  <c r="R84" i="7"/>
  <c r="N80" i="7"/>
  <c r="T73" i="7"/>
  <c r="R64" i="7"/>
  <c r="T49" i="7"/>
  <c r="T42" i="7"/>
  <c r="O39" i="7"/>
  <c r="V36" i="7"/>
  <c r="M29" i="7"/>
  <c r="P27" i="7"/>
  <c r="P18" i="7"/>
  <c r="Q84" i="7"/>
  <c r="M80" i="7"/>
  <c r="S73" i="7"/>
  <c r="Q64" i="7"/>
  <c r="S49" i="7"/>
  <c r="T46" i="7"/>
  <c r="V44" i="7"/>
  <c r="S42" i="7"/>
  <c r="N39" i="7"/>
  <c r="T36" i="7"/>
  <c r="L29" i="7"/>
  <c r="O27" i="7"/>
  <c r="V22" i="7"/>
  <c r="V20" i="7"/>
  <c r="O18" i="7"/>
  <c r="L84" i="7"/>
  <c r="Q73" i="7"/>
  <c r="O64" i="7"/>
  <c r="L54" i="7"/>
  <c r="K49" i="7"/>
  <c r="Q46" i="7"/>
  <c r="U44" i="7"/>
  <c r="R42" i="7"/>
  <c r="M39" i="7"/>
  <c r="S36" i="7"/>
  <c r="K27" i="7"/>
  <c r="U22" i="7"/>
  <c r="U20" i="7"/>
  <c r="N18" i="7"/>
  <c r="V13" i="7"/>
  <c r="V11" i="7"/>
  <c r="O34" i="7"/>
  <c r="T29" i="7"/>
  <c r="L25" i="7"/>
  <c r="S18" i="7"/>
  <c r="V78" i="7"/>
  <c r="V49" i="7"/>
  <c r="K84" i="7"/>
  <c r="V82" i="7"/>
  <c r="P73" i="7"/>
  <c r="N64" i="7"/>
  <c r="K54" i="7"/>
  <c r="P46" i="7"/>
  <c r="T44" i="7"/>
  <c r="Q42" i="7"/>
  <c r="K39" i="7"/>
  <c r="R36" i="7"/>
  <c r="N31" i="7"/>
  <c r="P22" i="7"/>
  <c r="T20" i="7"/>
  <c r="M18" i="7"/>
  <c r="U13" i="7"/>
  <c r="U11" i="7"/>
  <c r="R16" i="7"/>
  <c r="K52" i="7"/>
  <c r="O80" i="7"/>
  <c r="U82" i="7"/>
  <c r="O73" i="7"/>
  <c r="O46" i="7"/>
  <c r="S44" i="7"/>
  <c r="P42" i="7"/>
  <c r="Q36" i="7"/>
  <c r="M31" i="7"/>
  <c r="R24" i="7"/>
  <c r="O22" i="7"/>
  <c r="S20" i="7"/>
  <c r="T13" i="7"/>
  <c r="U84" i="7"/>
  <c r="O15" i="7"/>
  <c r="U19" i="7"/>
  <c r="Q26" i="7"/>
  <c r="K29" i="7"/>
  <c r="U30" i="7"/>
  <c r="P33" i="7"/>
  <c r="T37" i="7"/>
  <c r="K40" i="7"/>
  <c r="K48" i="7"/>
  <c r="N57" i="7"/>
  <c r="O74" i="7"/>
  <c r="K22" i="7"/>
  <c r="T41" i="7"/>
  <c r="M44" i="7"/>
  <c r="R49" i="7"/>
  <c r="S53" i="7"/>
  <c r="V58" i="7"/>
  <c r="M61" i="7"/>
  <c r="U62" i="7"/>
  <c r="K65" i="7"/>
  <c r="R66" i="7"/>
  <c r="N70" i="7"/>
  <c r="K78" i="7"/>
  <c r="Q83" i="7"/>
  <c r="M81" i="7"/>
  <c r="T82" i="7"/>
  <c r="N14" i="7"/>
  <c r="N21" i="7"/>
  <c r="O31" i="7"/>
  <c r="K38" i="7"/>
  <c r="L40" i="7"/>
  <c r="K45" i="7"/>
  <c r="S48" i="7"/>
  <c r="U53" i="7"/>
  <c r="T61" i="7"/>
  <c r="S74" i="7"/>
  <c r="S80" i="7"/>
  <c r="M85" i="7"/>
  <c r="P14" i="7"/>
  <c r="S21" i="7"/>
  <c r="R26" i="7"/>
  <c r="K28" i="7"/>
  <c r="P31" i="7"/>
  <c r="L38" i="7"/>
  <c r="M40" i="7"/>
  <c r="L45" i="7"/>
  <c r="T48" i="7"/>
  <c r="V53" i="7"/>
  <c r="L58" i="7"/>
  <c r="U61" i="7"/>
  <c r="S66" i="7"/>
  <c r="T74" i="7"/>
  <c r="K76" i="7"/>
  <c r="T80" i="7"/>
  <c r="M82" i="7"/>
  <c r="N85" i="7"/>
  <c r="Q14" i="7"/>
  <c r="K16" i="7"/>
  <c r="T21" i="7"/>
  <c r="S26" i="7"/>
  <c r="L28" i="7"/>
  <c r="Q31" i="7"/>
  <c r="M38" i="7"/>
  <c r="N40" i="7"/>
  <c r="M45" i="7"/>
  <c r="U48" i="7"/>
  <c r="M58" i="7"/>
  <c r="V61" i="7"/>
  <c r="K63" i="7"/>
  <c r="T66" i="7"/>
  <c r="U74" i="7"/>
  <c r="L76" i="7"/>
  <c r="U80" i="7"/>
  <c r="N82" i="7"/>
  <c r="S85" i="7"/>
  <c r="V74" i="7"/>
  <c r="U14" i="7"/>
  <c r="L16" i="7"/>
  <c r="T26" i="7"/>
  <c r="M28" i="7"/>
  <c r="R31" i="7"/>
  <c r="Q33" i="7"/>
  <c r="P38" i="7"/>
  <c r="O40" i="7"/>
  <c r="N45" i="7"/>
  <c r="K55" i="7"/>
  <c r="N58" i="7"/>
  <c r="L63" i="7"/>
  <c r="U66" i="7"/>
  <c r="K71" i="7"/>
  <c r="M76" i="7"/>
  <c r="O82" i="7"/>
  <c r="T85" i="7"/>
  <c r="K11" i="7"/>
  <c r="V14" i="7"/>
  <c r="O16" i="7"/>
  <c r="U26" i="7"/>
  <c r="R28" i="7"/>
  <c r="S31" i="7"/>
  <c r="R33" i="7"/>
  <c r="U38" i="7"/>
  <c r="P40" i="7"/>
  <c r="M50" i="7"/>
  <c r="L55" i="7"/>
  <c r="O58" i="7"/>
  <c r="M63" i="7"/>
  <c r="V66" i="7"/>
  <c r="K68" i="7"/>
  <c r="L71" i="7"/>
  <c r="P76" i="7"/>
  <c r="P82" i="7"/>
  <c r="U85" i="7"/>
  <c r="O11" i="7"/>
  <c r="P16" i="7"/>
  <c r="V26" i="7"/>
  <c r="S28" i="7"/>
  <c r="S33" i="7"/>
  <c r="V38" i="7"/>
  <c r="Q40" i="7"/>
  <c r="K47" i="7"/>
  <c r="N50" i="7"/>
  <c r="M55" i="7"/>
  <c r="K60" i="7"/>
  <c r="N63" i="7"/>
  <c r="L68" i="7"/>
  <c r="M71" i="7"/>
  <c r="Q76" i="7"/>
  <c r="Q82" i="7"/>
  <c r="P11" i="7"/>
  <c r="Q16" i="7"/>
  <c r="T28" i="7"/>
  <c r="T33" i="7"/>
  <c r="R40" i="7"/>
  <c r="L47" i="7"/>
  <c r="O50" i="7"/>
  <c r="N55" i="7"/>
  <c r="L60" i="7"/>
  <c r="O63" i="7"/>
  <c r="Q68" i="7"/>
  <c r="N71" i="7"/>
  <c r="K73" i="7"/>
  <c r="R76" i="7"/>
  <c r="R82" i="7"/>
  <c r="S24" i="7"/>
  <c r="P39" i="7"/>
  <c r="V43" i="7"/>
  <c r="R51" i="7"/>
  <c r="O55" i="7"/>
  <c r="O57" i="7"/>
  <c r="O59" i="7"/>
  <c r="T72" i="7"/>
  <c r="Q74" i="7"/>
  <c r="M78" i="7"/>
  <c r="U57" i="7"/>
  <c r="K13" i="7"/>
  <c r="U33" i="7"/>
  <c r="U59" i="7"/>
  <c r="L80" i="7"/>
  <c r="T24" i="7"/>
  <c r="Q39" i="7"/>
  <c r="S51" i="7"/>
  <c r="P55" i="7"/>
  <c r="P57" i="7"/>
  <c r="P59" i="7"/>
  <c r="R74" i="7"/>
  <c r="N78" i="7"/>
  <c r="Q35" i="7"/>
  <c r="T59" i="7"/>
  <c r="T78" i="7"/>
  <c r="K80" i="7"/>
  <c r="R35" i="7"/>
  <c r="P65" i="7"/>
  <c r="U37" i="7"/>
  <c r="R39" i="7"/>
  <c r="T51" i="7"/>
  <c r="Q55" i="7"/>
  <c r="Q57" i="7"/>
  <c r="Q59" i="7"/>
  <c r="L65" i="7"/>
  <c r="O78" i="7"/>
  <c r="V57" i="7"/>
  <c r="K17" i="7"/>
  <c r="O35" i="7"/>
  <c r="V37" i="7"/>
  <c r="U51" i="7"/>
  <c r="T53" i="7"/>
  <c r="R55" i="7"/>
  <c r="R57" i="7"/>
  <c r="R59" i="7"/>
  <c r="M65" i="7"/>
  <c r="P78" i="7"/>
  <c r="R11" i="7"/>
  <c r="O65" i="7"/>
  <c r="S11" i="7"/>
  <c r="P63" i="7"/>
  <c r="U78" i="7"/>
  <c r="Q11" i="7"/>
  <c r="M17" i="7"/>
  <c r="P35" i="7"/>
  <c r="V51" i="7"/>
  <c r="T57" i="7"/>
  <c r="S59" i="7"/>
  <c r="N65" i="7"/>
  <c r="Q78" i="7"/>
  <c r="N17" i="7"/>
  <c r="O17" i="7"/>
  <c r="M32" i="7"/>
  <c r="U46" i="7"/>
  <c r="T52" i="7"/>
  <c r="M54" i="7"/>
  <c r="M56" i="7"/>
  <c r="K64" i="7"/>
  <c r="U73" i="7"/>
  <c r="R77" i="7"/>
  <c r="K81" i="7"/>
  <c r="M10" i="7"/>
  <c r="N32" i="7"/>
  <c r="U52" i="7"/>
  <c r="N54" i="7"/>
  <c r="N56" i="7"/>
  <c r="M60" i="7"/>
  <c r="L64" i="7"/>
  <c r="V73" i="7"/>
  <c r="T77" i="7"/>
  <c r="L81" i="7"/>
  <c r="N10" i="7"/>
  <c r="O32" i="7"/>
  <c r="O54" i="7"/>
  <c r="O56" i="7"/>
  <c r="P60" i="7"/>
  <c r="M64" i="7"/>
  <c r="U77" i="7"/>
  <c r="K79" i="7"/>
  <c r="N81" i="7"/>
  <c r="O10" i="7"/>
  <c r="P32" i="7"/>
  <c r="L78" i="7"/>
  <c r="S82" i="7"/>
  <c r="N73" i="7"/>
  <c r="Q51" i="7"/>
  <c r="N46" i="7"/>
  <c r="R44" i="7"/>
  <c r="O42" i="7"/>
  <c r="L36" i="7"/>
  <c r="L31" i="7"/>
  <c r="Q24" i="7"/>
  <c r="N22" i="7"/>
  <c r="R20" i="7"/>
  <c r="S13" i="7"/>
  <c r="U12" i="7"/>
  <c r="S77" i="7"/>
  <c r="R73" i="7"/>
  <c r="V65" i="7"/>
  <c r="P64" i="7"/>
  <c r="S60" i="7"/>
  <c r="R56" i="7"/>
  <c r="V52" i="7"/>
  <c r="M47" i="7"/>
  <c r="P43" i="7"/>
  <c r="L39" i="7"/>
  <c r="U36" i="7"/>
  <c r="S32" i="7"/>
  <c r="Q28" i="7"/>
  <c r="T25" i="7"/>
  <c r="M21" i="7"/>
  <c r="U18" i="7"/>
  <c r="L17" i="7"/>
  <c r="O14" i="7"/>
  <c r="R79" i="7"/>
  <c r="O83" i="7"/>
  <c r="Q79" i="7"/>
  <c r="V75" i="7"/>
  <c r="M74" i="7"/>
  <c r="L70" i="7"/>
  <c r="O66" i="7"/>
  <c r="Q62" i="7"/>
  <c r="K61" i="7"/>
  <c r="T58" i="7"/>
  <c r="L57" i="7"/>
  <c r="M53" i="7"/>
  <c r="P49" i="7"/>
  <c r="U45" i="7"/>
  <c r="K44" i="7"/>
  <c r="R41" i="7"/>
  <c r="N37" i="7"/>
  <c r="V34" i="7"/>
  <c r="L33" i="7"/>
  <c r="P30" i="7"/>
  <c r="O26" i="7"/>
  <c r="S19" i="7"/>
  <c r="M15" i="7"/>
  <c r="Q12" i="7"/>
  <c r="N16" i="7"/>
  <c r="U17" i="7"/>
  <c r="V21" i="7"/>
  <c r="K24" i="7"/>
  <c r="R25" i="7"/>
  <c r="S29" i="7"/>
  <c r="N33" i="7"/>
  <c r="T34" i="7"/>
  <c r="O38" i="7"/>
  <c r="M42" i="7"/>
  <c r="U43" i="7"/>
  <c r="P83" i="7"/>
  <c r="N74" i="7"/>
  <c r="M70" i="7"/>
  <c r="Q66" i="7"/>
  <c r="T62" i="7"/>
  <c r="L61" i="7"/>
  <c r="U58" i="7"/>
  <c r="M57" i="7"/>
  <c r="N53" i="7"/>
  <c r="Q49" i="7"/>
  <c r="V45" i="7"/>
  <c r="L44" i="7"/>
  <c r="S41" i="7"/>
  <c r="S37" i="7"/>
  <c r="O33" i="7"/>
  <c r="Q30" i="7"/>
  <c r="P26" i="7"/>
  <c r="T19" i="7"/>
  <c r="N15" i="7"/>
  <c r="V12" i="7"/>
  <c r="V84" i="7"/>
  <c r="P79" i="7"/>
  <c r="U75" i="7"/>
  <c r="L74" i="7"/>
  <c r="K70" i="7"/>
  <c r="N66" i="7"/>
  <c r="P62" i="7"/>
  <c r="S58" i="7"/>
  <c r="K57" i="7"/>
  <c r="L53" i="7"/>
  <c r="V50" i="7"/>
  <c r="O49" i="7"/>
  <c r="T45" i="7"/>
  <c r="Q41" i="7"/>
  <c r="M37" i="7"/>
  <c r="U34" i="7"/>
  <c r="K33" i="7"/>
  <c r="O30" i="7"/>
  <c r="N26" i="7"/>
  <c r="R19" i="7"/>
  <c r="L15" i="7"/>
  <c r="T12" i="7"/>
  <c r="O79" i="7"/>
  <c r="T75" i="7"/>
  <c r="V67" i="7"/>
  <c r="M66" i="7"/>
  <c r="O62" i="7"/>
  <c r="R58" i="7"/>
  <c r="V54" i="7"/>
  <c r="K53" i="7"/>
  <c r="U50" i="7"/>
  <c r="N49" i="7"/>
  <c r="S45" i="7"/>
  <c r="P41" i="7"/>
  <c r="L37" i="7"/>
  <c r="R34" i="7"/>
  <c r="N30" i="7"/>
  <c r="M26" i="7"/>
  <c r="R23" i="7"/>
  <c r="Q19" i="7"/>
  <c r="K15" i="7"/>
  <c r="S12" i="7"/>
  <c r="K19" i="7"/>
  <c r="T84" i="7"/>
  <c r="N79" i="7"/>
  <c r="S75" i="7"/>
  <c r="Q71" i="7"/>
  <c r="U67" i="7"/>
  <c r="N62" i="7"/>
  <c r="Q58" i="7"/>
  <c r="U54" i="7"/>
  <c r="T50" i="7"/>
  <c r="M49" i="7"/>
  <c r="R45" i="7"/>
  <c r="O41" i="7"/>
  <c r="K37" i="7"/>
  <c r="Q34" i="7"/>
  <c r="M30" i="7"/>
  <c r="Q23" i="7"/>
  <c r="P19" i="7"/>
  <c r="U16" i="7"/>
  <c r="R12" i="7"/>
  <c r="S84" i="7"/>
  <c r="M79" i="7"/>
  <c r="R75" i="7"/>
  <c r="P71" i="7"/>
  <c r="T67" i="7"/>
  <c r="M62" i="7"/>
  <c r="P58" i="7"/>
  <c r="P54" i="7"/>
  <c r="S50" i="7"/>
  <c r="L49" i="7"/>
  <c r="V46" i="7"/>
  <c r="O45" i="7"/>
  <c r="N41" i="7"/>
  <c r="P34" i="7"/>
  <c r="L30" i="7"/>
  <c r="V27" i="7"/>
  <c r="P23" i="7"/>
  <c r="O19" i="7"/>
  <c r="T16" i="7"/>
  <c r="L12" i="7"/>
  <c r="K34" i="7"/>
  <c r="M35" i="7"/>
  <c r="O36" i="7"/>
  <c r="Q37" i="7"/>
  <c r="S38" i="7"/>
  <c r="U39" i="7"/>
  <c r="K50" i="7"/>
  <c r="M51" i="7"/>
  <c r="O52" i="7"/>
  <c r="Q53" i="7"/>
  <c r="S54" i="7"/>
  <c r="U55" i="7"/>
  <c r="K66" i="7"/>
  <c r="M67" i="7"/>
  <c r="O68" i="7"/>
  <c r="Q69" i="7"/>
  <c r="S70" i="7"/>
  <c r="U71" i="7"/>
  <c r="K82" i="7"/>
  <c r="M83" i="7"/>
  <c r="O84" i="7"/>
  <c r="Q85" i="7"/>
  <c r="L18" i="7"/>
  <c r="N19" i="7"/>
  <c r="P20" i="7"/>
  <c r="R21" i="7"/>
  <c r="T22" i="7"/>
  <c r="V23" i="7"/>
  <c r="L34" i="7"/>
  <c r="N35" i="7"/>
  <c r="P36" i="7"/>
  <c r="R37" i="7"/>
  <c r="T38" i="7"/>
  <c r="V39" i="7"/>
  <c r="L50" i="7"/>
  <c r="N51" i="7"/>
  <c r="P52" i="7"/>
  <c r="R53" i="7"/>
  <c r="T54" i="7"/>
  <c r="V55" i="7"/>
  <c r="L66" i="7"/>
  <c r="N67" i="7"/>
  <c r="P68" i="7"/>
  <c r="R69" i="7"/>
  <c r="T70" i="7"/>
  <c r="V71" i="7"/>
  <c r="L82" i="7"/>
  <c r="N83" i="7"/>
  <c r="P84" i="7"/>
  <c r="R85" i="7"/>
  <c r="L10" i="7"/>
  <c r="T14" i="7"/>
  <c r="N27" i="7"/>
  <c r="P28" i="7"/>
  <c r="T30" i="7"/>
  <c r="V31" i="7"/>
  <c r="N11" i="7"/>
  <c r="P12" i="7"/>
  <c r="R13" i="7"/>
  <c r="V15" i="7"/>
  <c r="L26" i="7"/>
  <c r="V85" i="7"/>
  <c r="R80" i="7"/>
  <c r="P75" i="7"/>
  <c r="R71" i="7"/>
  <c r="P66" i="7"/>
  <c r="V62" i="7"/>
  <c r="O61" i="7"/>
  <c r="S57" i="7"/>
  <c r="L56" i="7"/>
  <c r="R52" i="7"/>
  <c r="N47" i="7"/>
  <c r="T43" i="7"/>
  <c r="L42" i="7"/>
  <c r="N38" i="7"/>
  <c r="S34" i="7"/>
  <c r="M33" i="7"/>
  <c r="R29" i="7"/>
  <c r="Q25" i="7"/>
  <c r="U21" i="7"/>
  <c r="T17" i="7"/>
  <c r="M16" i="7"/>
  <c r="M12" i="7"/>
  <c r="L83" i="7"/>
  <c r="U79" i="7"/>
  <c r="S78" i="7"/>
  <c r="Q77" i="7"/>
  <c r="O76" i="7"/>
  <c r="M75" i="7"/>
  <c r="K74" i="7"/>
  <c r="U63" i="7"/>
  <c r="S62" i="7"/>
  <c r="Q61" i="7"/>
  <c r="O60" i="7"/>
  <c r="M59" i="7"/>
  <c r="K58" i="7"/>
  <c r="U47" i="7"/>
  <c r="S46" i="7"/>
  <c r="Q45" i="7"/>
  <c r="O44" i="7"/>
  <c r="M43" i="7"/>
  <c r="K42" i="7"/>
  <c r="U31" i="7"/>
  <c r="S30" i="7"/>
  <c r="Q29" i="7"/>
  <c r="O28" i="7"/>
  <c r="M27" i="7"/>
  <c r="K26" i="7"/>
  <c r="U15" i="7"/>
  <c r="S14" i="7"/>
  <c r="Q13" i="7"/>
  <c r="O12" i="7"/>
  <c r="M11" i="7"/>
  <c r="K10" i="7"/>
  <c r="V80" i="7"/>
  <c r="T79" i="7"/>
  <c r="R78" i="7"/>
  <c r="P77" i="7"/>
  <c r="N76" i="7"/>
  <c r="L75" i="7"/>
  <c r="V64" i="7"/>
  <c r="T63" i="7"/>
  <c r="R62" i="7"/>
  <c r="P61" i="7"/>
  <c r="N60" i="7"/>
  <c r="L59" i="7"/>
  <c r="V48" i="7"/>
  <c r="T47" i="7"/>
  <c r="R46" i="7"/>
  <c r="P45" i="7"/>
  <c r="N44" i="7"/>
  <c r="L43" i="7"/>
  <c r="V32" i="7"/>
  <c r="T31" i="7"/>
  <c r="R30" i="7"/>
  <c r="P29" i="7"/>
  <c r="N28" i="7"/>
  <c r="L27" i="7"/>
  <c r="V16" i="7"/>
  <c r="T15" i="7"/>
  <c r="R14" i="7"/>
  <c r="P13" i="7"/>
  <c r="N12" i="7"/>
  <c r="L11" i="7"/>
  <c r="U23" i="7"/>
  <c r="S22" i="7"/>
  <c r="Q21" i="7"/>
  <c r="O20" i="7"/>
  <c r="M19" i="7"/>
  <c r="K18" i="7"/>
  <c r="P85" i="7"/>
  <c r="N84" i="7"/>
  <c r="V72" i="7"/>
  <c r="T71" i="7"/>
  <c r="M23" i="6"/>
  <c r="V16" i="6"/>
  <c r="R12" i="6"/>
  <c r="N10" i="6"/>
  <c r="L85" i="6"/>
  <c r="R79" i="6"/>
  <c r="M78" i="6"/>
  <c r="U73" i="6"/>
  <c r="Q72" i="6"/>
  <c r="L71" i="6"/>
  <c r="U66" i="6"/>
  <c r="Q65" i="6"/>
  <c r="T10" i="6"/>
  <c r="U85" i="6"/>
  <c r="S73" i="6"/>
  <c r="O66" i="6"/>
  <c r="Q68" i="6"/>
  <c r="M22" i="6"/>
  <c r="V73" i="6"/>
  <c r="U37" i="6"/>
  <c r="V76" i="6"/>
  <c r="O71" i="6"/>
  <c r="T75" i="6"/>
  <c r="P71" i="6"/>
  <c r="M64" i="6"/>
  <c r="U59" i="6"/>
  <c r="P58" i="6"/>
  <c r="K57" i="6"/>
  <c r="U52" i="6"/>
  <c r="O51" i="6"/>
  <c r="U46" i="6"/>
  <c r="O45" i="6"/>
  <c r="S40" i="6"/>
  <c r="M39" i="6"/>
  <c r="R34" i="6"/>
  <c r="N33" i="6"/>
  <c r="S28" i="6"/>
  <c r="L27" i="6"/>
  <c r="P22" i="6"/>
  <c r="R16" i="6"/>
  <c r="L15" i="6"/>
  <c r="V11" i="6"/>
  <c r="O10" i="6"/>
  <c r="K85" i="6"/>
  <c r="V80" i="6"/>
  <c r="Q79" i="6"/>
  <c r="M21" i="6"/>
  <c r="L78" i="6"/>
  <c r="U76" i="6"/>
  <c r="T37" i="6"/>
  <c r="T76" i="6"/>
  <c r="S56" i="6"/>
  <c r="R56" i="6"/>
  <c r="Q59" i="6"/>
  <c r="Q56" i="6"/>
  <c r="N59" i="6"/>
  <c r="Q41" i="6"/>
  <c r="K59" i="6"/>
  <c r="P41" i="6"/>
  <c r="O41" i="6"/>
  <c r="Q15" i="6"/>
  <c r="O39" i="6"/>
  <c r="U78" i="6"/>
  <c r="R21" i="6"/>
  <c r="T78" i="6"/>
  <c r="N21" i="6"/>
  <c r="T82" i="6"/>
  <c r="Q44" i="6"/>
  <c r="S83" i="6"/>
  <c r="P12" i="6"/>
  <c r="K24" i="6"/>
  <c r="N41" i="6"/>
  <c r="M41" i="6"/>
  <c r="R64" i="6"/>
  <c r="S64" i="6"/>
  <c r="P76" i="6"/>
  <c r="L22" i="6"/>
  <c r="R30" i="6"/>
  <c r="R78" i="6"/>
  <c r="R82" i="6"/>
  <c r="T85" i="6"/>
  <c r="S58" i="6"/>
  <c r="R58" i="6"/>
  <c r="V78" i="6"/>
  <c r="S82" i="6"/>
  <c r="N58" i="6"/>
  <c r="M58" i="6"/>
  <c r="L16" i="6"/>
  <c r="T53" i="6"/>
  <c r="Q78" i="6"/>
  <c r="R42" i="6"/>
  <c r="K22" i="6"/>
  <c r="P78" i="6"/>
  <c r="V55" i="6"/>
  <c r="Q42" i="6"/>
  <c r="T55" i="6"/>
  <c r="O42" i="6"/>
  <c r="R55" i="6"/>
  <c r="N42" i="6"/>
  <c r="Q25" i="6"/>
  <c r="T73" i="6"/>
  <c r="P72" i="6"/>
  <c r="R61" i="6"/>
  <c r="V58" i="6"/>
  <c r="Q55" i="6"/>
  <c r="P25" i="6"/>
  <c r="V13" i="6"/>
  <c r="K71" i="6"/>
  <c r="N61" i="6"/>
  <c r="U58" i="6"/>
  <c r="L55" i="6"/>
  <c r="K25" i="6"/>
  <c r="S17" i="6"/>
  <c r="T58" i="6"/>
  <c r="T34" i="6"/>
  <c r="R17" i="6"/>
  <c r="O83" i="6"/>
  <c r="L83" i="6"/>
  <c r="O79" i="6"/>
  <c r="L67" i="6"/>
  <c r="K48" i="6"/>
  <c r="P40" i="6"/>
  <c r="K36" i="6"/>
  <c r="T19" i="6"/>
  <c r="R15" i="6"/>
  <c r="P83" i="6"/>
  <c r="P44" i="6"/>
  <c r="L44" i="6"/>
  <c r="N83" i="6"/>
  <c r="P14" i="6"/>
  <c r="P17" i="6"/>
  <c r="L36" i="6"/>
  <c r="K39" i="6"/>
  <c r="P42" i="6"/>
  <c r="O15" i="6"/>
  <c r="L37" i="6"/>
  <c r="Q40" i="6"/>
  <c r="N43" i="6"/>
  <c r="K60" i="6"/>
  <c r="T72" i="6"/>
  <c r="N75" i="6"/>
  <c r="T83" i="6"/>
  <c r="V14" i="6"/>
  <c r="U17" i="6"/>
  <c r="V20" i="6"/>
  <c r="U34" i="6"/>
  <c r="S72" i="6"/>
  <c r="O75" i="6"/>
  <c r="K78" i="6"/>
  <c r="R11" i="6"/>
  <c r="M46" i="6"/>
  <c r="L50" i="6"/>
  <c r="K62" i="6"/>
  <c r="R68" i="6"/>
  <c r="M72" i="6"/>
  <c r="S11" i="6"/>
  <c r="N46" i="6"/>
  <c r="T57" i="6"/>
  <c r="S68" i="6"/>
  <c r="N72" i="6"/>
  <c r="O72" i="6"/>
  <c r="O81" i="6"/>
  <c r="M50" i="6"/>
  <c r="T11" i="6"/>
  <c r="O17" i="6"/>
  <c r="P20" i="6"/>
  <c r="O30" i="6"/>
  <c r="O46" i="6"/>
  <c r="T50" i="6"/>
  <c r="U57" i="6"/>
  <c r="T68" i="6"/>
  <c r="N78" i="6"/>
  <c r="M14" i="6"/>
  <c r="Q17" i="6"/>
  <c r="Q20" i="6"/>
  <c r="P30" i="6"/>
  <c r="P34" i="6"/>
  <c r="P46" i="6"/>
  <c r="U50" i="6"/>
  <c r="V57" i="6"/>
  <c r="R72" i="6"/>
  <c r="R75" i="6"/>
  <c r="O78" i="6"/>
  <c r="P81" i="6"/>
  <c r="O18" i="6"/>
  <c r="S21" i="6"/>
  <c r="L24" i="6"/>
  <c r="Q35" i="6"/>
  <c r="N38" i="6"/>
  <c r="L48" i="6"/>
  <c r="M56" i="6"/>
  <c r="M61" i="6"/>
  <c r="T64" i="6"/>
  <c r="S76" i="6"/>
  <c r="K79" i="6"/>
  <c r="V82" i="6"/>
  <c r="V85" i="6"/>
  <c r="P18" i="6"/>
  <c r="T21" i="6"/>
  <c r="T32" i="6"/>
  <c r="R35" i="6"/>
  <c r="N14" i="6"/>
  <c r="T17" i="6"/>
  <c r="S35" i="6"/>
  <c r="T38" i="6"/>
  <c r="M49" i="6"/>
  <c r="O14" i="6"/>
  <c r="T35" i="6"/>
  <c r="V49" i="6"/>
  <c r="Q14" i="6"/>
  <c r="U35" i="6"/>
  <c r="M66" i="6"/>
  <c r="M76" i="6"/>
  <c r="L79" i="6"/>
  <c r="R14" i="6"/>
  <c r="L21" i="6"/>
  <c r="U32" i="6"/>
  <c r="N66" i="6"/>
  <c r="R73" i="6"/>
  <c r="N76" i="6"/>
  <c r="M79" i="6"/>
  <c r="N22" i="6"/>
  <c r="O47" i="6"/>
  <c r="O61" i="6"/>
  <c r="Q71" i="6"/>
  <c r="K16" i="6"/>
  <c r="M40" i="6"/>
  <c r="L43" i="6"/>
  <c r="P61" i="6"/>
  <c r="T71" i="6"/>
  <c r="Q81" i="6"/>
  <c r="O16" i="6"/>
  <c r="U19" i="6"/>
  <c r="K38" i="6"/>
  <c r="P66" i="6"/>
  <c r="T69" i="6"/>
  <c r="V19" i="6"/>
  <c r="Q66" i="6"/>
  <c r="U69" i="6"/>
  <c r="K77" i="6"/>
  <c r="P38" i="6"/>
  <c r="N77" i="6"/>
  <c r="O23" i="6"/>
  <c r="N35" i="6"/>
  <c r="N74" i="6"/>
  <c r="S20" i="6"/>
  <c r="O74" i="6"/>
  <c r="S10" i="6"/>
  <c r="P16" i="6"/>
  <c r="L38" i="6"/>
  <c r="T60" i="6"/>
  <c r="M74" i="6"/>
  <c r="R20" i="6"/>
  <c r="M10" i="6"/>
  <c r="Q23" i="6"/>
  <c r="O64" i="6"/>
  <c r="P35" i="6"/>
  <c r="T16" i="6"/>
  <c r="M38" i="6"/>
  <c r="R66" i="6"/>
  <c r="V69" i="6"/>
  <c r="L77" i="6"/>
  <c r="N23" i="6"/>
  <c r="O35" i="6"/>
  <c r="U13" i="6"/>
  <c r="M42" i="6"/>
  <c r="P64" i="6"/>
  <c r="U16" i="6"/>
  <c r="P70" i="6"/>
  <c r="O38" i="6"/>
  <c r="S66" i="6"/>
  <c r="L74" i="6"/>
  <c r="M77" i="6"/>
  <c r="S13" i="6"/>
  <c r="K31" i="6"/>
  <c r="U60" i="6"/>
  <c r="T13" i="6"/>
  <c r="L31" i="6"/>
  <c r="R81" i="6"/>
  <c r="L58" i="6"/>
  <c r="U21" i="6"/>
  <c r="P36" i="6"/>
  <c r="M47" i="6"/>
  <c r="S61" i="6"/>
  <c r="U82" i="6"/>
  <c r="S33" i="6"/>
  <c r="N47" i="6"/>
  <c r="T61" i="6"/>
  <c r="V72" i="6"/>
  <c r="L18" i="6"/>
  <c r="T33" i="6"/>
  <c r="N56" i="6"/>
  <c r="O65" i="6"/>
  <c r="M18" i="6"/>
  <c r="O56" i="6"/>
  <c r="U65" i="6"/>
  <c r="N18" i="6"/>
  <c r="P29" i="6"/>
  <c r="S53" i="6"/>
  <c r="P56" i="6"/>
  <c r="V65" i="6"/>
  <c r="P68" i="6"/>
  <c r="Q64" i="6"/>
  <c r="T66" i="6"/>
  <c r="P65" i="6"/>
  <c r="L64" i="6"/>
  <c r="T59" i="6"/>
  <c r="O58" i="6"/>
  <c r="T52" i="6"/>
  <c r="N51" i="6"/>
  <c r="T46" i="6"/>
  <c r="N45" i="6"/>
  <c r="R40" i="6"/>
  <c r="L39" i="6"/>
  <c r="Q34" i="6"/>
  <c r="S59" i="6"/>
  <c r="V53" i="6"/>
  <c r="P15" i="6"/>
  <c r="N12" i="6"/>
  <c r="M12" i="6"/>
  <c r="M33" i="6"/>
  <c r="R28" i="6"/>
  <c r="K27" i="6"/>
  <c r="O22" i="6"/>
  <c r="V17" i="6"/>
  <c r="Q16" i="6"/>
  <c r="K15" i="6"/>
  <c r="U11" i="6"/>
  <c r="K19" i="6"/>
  <c r="M20" i="6"/>
  <c r="O21" i="6"/>
  <c r="Q22" i="6"/>
  <c r="S23" i="6"/>
  <c r="U24" i="6"/>
  <c r="K35" i="6"/>
  <c r="M36" i="6"/>
  <c r="O37" i="6"/>
  <c r="Q38" i="6"/>
  <c r="S39" i="6"/>
  <c r="U40" i="6"/>
  <c r="K51" i="6"/>
  <c r="M52" i="6"/>
  <c r="O53" i="6"/>
  <c r="Q54" i="6"/>
  <c r="S55" i="6"/>
  <c r="U56" i="6"/>
  <c r="K67" i="6"/>
  <c r="M68" i="6"/>
  <c r="O69" i="6"/>
  <c r="Q70" i="6"/>
  <c r="S71" i="6"/>
  <c r="U72" i="6"/>
  <c r="K83" i="6"/>
  <c r="M84" i="6"/>
  <c r="O85" i="6"/>
  <c r="L19" i="6"/>
  <c r="N20" i="6"/>
  <c r="P21" i="6"/>
  <c r="R22" i="6"/>
  <c r="T23" i="6"/>
  <c r="V24" i="6"/>
  <c r="L35" i="6"/>
  <c r="N36" i="6"/>
  <c r="R59" i="6"/>
  <c r="U53" i="6"/>
  <c r="P37" i="6"/>
  <c r="R38" i="6"/>
  <c r="T39" i="6"/>
  <c r="V40" i="6"/>
  <c r="L51" i="6"/>
  <c r="N52" i="6"/>
  <c r="K18" i="6"/>
  <c r="M19" i="6"/>
  <c r="O20" i="6"/>
  <c r="Q21" i="6"/>
  <c r="S22" i="6"/>
  <c r="U23" i="6"/>
  <c r="K34" i="6"/>
  <c r="M35" i="6"/>
  <c r="O36" i="6"/>
  <c r="Q37" i="6"/>
  <c r="S38" i="6"/>
  <c r="U39" i="6"/>
  <c r="K50" i="6"/>
  <c r="M51" i="6"/>
  <c r="O52" i="6"/>
  <c r="Q53" i="6"/>
  <c r="S54" i="6"/>
  <c r="U55" i="6"/>
  <c r="K66" i="6"/>
  <c r="M67" i="6"/>
  <c r="O68" i="6"/>
  <c r="Q69" i="6"/>
  <c r="S70" i="6"/>
  <c r="U71" i="6"/>
  <c r="K82" i="6"/>
  <c r="M83" i="6"/>
  <c r="O84" i="6"/>
  <c r="Q85" i="6"/>
  <c r="K10" i="6"/>
  <c r="M11" i="6"/>
  <c r="O12" i="6"/>
  <c r="Q13" i="6"/>
  <c r="S14" i="6"/>
  <c r="U15" i="6"/>
  <c r="K26" i="6"/>
  <c r="M27" i="6"/>
  <c r="O28" i="6"/>
  <c r="Q29" i="6"/>
  <c r="S30" i="6"/>
  <c r="U31" i="6"/>
  <c r="K42" i="6"/>
  <c r="M43" i="6"/>
  <c r="O44" i="6"/>
  <c r="Q45" i="6"/>
  <c r="S46" i="6"/>
  <c r="U47" i="6"/>
  <c r="K58" i="6"/>
  <c r="M59" i="6"/>
  <c r="O60" i="6"/>
  <c r="Q61" i="6"/>
  <c r="S62" i="6"/>
  <c r="U63" i="6"/>
  <c r="K74" i="6"/>
  <c r="M75" i="6"/>
  <c r="O76" i="6"/>
  <c r="Q77" i="6"/>
  <c r="S78" i="6"/>
  <c r="U79" i="6"/>
  <c r="L10" i="6"/>
  <c r="S85" i="6"/>
  <c r="Q82" i="6"/>
  <c r="L72" i="6"/>
  <c r="N70" i="6"/>
  <c r="N65" i="6"/>
  <c r="L56" i="6"/>
  <c r="M54" i="6"/>
  <c r="R52" i="6"/>
  <c r="S50" i="6"/>
  <c r="R33" i="6"/>
  <c r="L12" i="6"/>
  <c r="R85" i="6"/>
  <c r="P82" i="6"/>
  <c r="K72" i="6"/>
  <c r="M70" i="6"/>
  <c r="M65" i="6"/>
  <c r="K56" i="6"/>
  <c r="L54" i="6"/>
  <c r="Q52" i="6"/>
  <c r="R50" i="6"/>
  <c r="V44" i="6"/>
  <c r="Q33" i="6"/>
  <c r="V31" i="6"/>
  <c r="V29" i="6"/>
  <c r="Q27" i="6"/>
  <c r="V25" i="6"/>
  <c r="K12" i="6"/>
  <c r="P85" i="6"/>
  <c r="N82" i="6"/>
  <c r="T80" i="6"/>
  <c r="L70" i="6"/>
  <c r="L65" i="6"/>
  <c r="T63" i="6"/>
  <c r="P52" i="6"/>
  <c r="Q50" i="6"/>
  <c r="U44" i="6"/>
  <c r="K33" i="6"/>
  <c r="T31" i="6"/>
  <c r="U29" i="6"/>
  <c r="P27" i="6"/>
  <c r="U25" i="6"/>
  <c r="N85" i="6"/>
  <c r="S80" i="6"/>
  <c r="K65" i="6"/>
  <c r="S63" i="6"/>
  <c r="L52" i="6"/>
  <c r="P50" i="6"/>
  <c r="T44" i="6"/>
  <c r="O31" i="6"/>
  <c r="T29" i="6"/>
  <c r="O27" i="6"/>
  <c r="T25" i="6"/>
  <c r="V10" i="6"/>
  <c r="M85" i="6"/>
  <c r="V83" i="6"/>
  <c r="R80" i="6"/>
  <c r="V75" i="6"/>
  <c r="V68" i="6"/>
  <c r="P63" i="6"/>
  <c r="V61" i="6"/>
  <c r="K52" i="6"/>
  <c r="O50" i="6"/>
  <c r="P48" i="6"/>
  <c r="R46" i="6"/>
  <c r="S44" i="6"/>
  <c r="V38" i="6"/>
  <c r="N31" i="6"/>
  <c r="S29" i="6"/>
  <c r="S25" i="6"/>
  <c r="U10" i="6"/>
  <c r="U83" i="6"/>
  <c r="Q80" i="6"/>
  <c r="U75" i="6"/>
  <c r="U68" i="6"/>
  <c r="U61" i="6"/>
  <c r="N50" i="6"/>
  <c r="O48" i="6"/>
  <c r="Q46" i="6"/>
  <c r="R44" i="6"/>
  <c r="U38" i="6"/>
  <c r="M31" i="6"/>
  <c r="R29" i="6"/>
  <c r="R25" i="6"/>
  <c r="S24" i="6"/>
  <c r="L73" i="6"/>
  <c r="K32" i="6"/>
  <c r="T48" i="6"/>
  <c r="T51" i="6"/>
  <c r="P54" i="6"/>
  <c r="N60" i="6"/>
  <c r="R70" i="6"/>
  <c r="M73" i="6"/>
  <c r="R77" i="6"/>
  <c r="L80" i="6"/>
  <c r="U81" i="6"/>
  <c r="R36" i="6"/>
  <c r="V39" i="6"/>
  <c r="T42" i="6"/>
  <c r="M45" i="6"/>
  <c r="R48" i="6"/>
  <c r="S51" i="6"/>
  <c r="O54" i="6"/>
  <c r="N57" i="6"/>
  <c r="M60" i="6"/>
  <c r="V64" i="6"/>
  <c r="R67" i="6"/>
  <c r="N11" i="6"/>
  <c r="V74" i="6"/>
  <c r="P77" i="6"/>
  <c r="K80" i="6"/>
  <c r="T81" i="6"/>
  <c r="K84" i="6"/>
  <c r="V15" i="6"/>
  <c r="S18" i="6"/>
  <c r="T24" i="6"/>
  <c r="T27" i="6"/>
  <c r="S36" i="6"/>
  <c r="U42" i="6"/>
  <c r="R45" i="6"/>
  <c r="O57" i="6"/>
  <c r="U67" i="6"/>
  <c r="L84" i="6"/>
  <c r="K14" i="6"/>
  <c r="M17" i="6"/>
  <c r="V18" i="6"/>
  <c r="K20" i="6"/>
  <c r="K23" i="6"/>
  <c r="N29" i="6"/>
  <c r="N32" i="6"/>
  <c r="V36" i="6"/>
  <c r="K41" i="6"/>
  <c r="U45" i="6"/>
  <c r="U54" i="6"/>
  <c r="R57" i="6"/>
  <c r="R60" i="6"/>
  <c r="M63" i="6"/>
  <c r="P73" i="6"/>
  <c r="U77" i="6"/>
  <c r="O80" i="6"/>
  <c r="Q84" i="6"/>
  <c r="K11" i="6"/>
  <c r="L14" i="6"/>
  <c r="N17" i="6"/>
  <c r="L20" i="6"/>
  <c r="L23" i="6"/>
  <c r="O29" i="6"/>
  <c r="O32" i="6"/>
  <c r="L41" i="6"/>
  <c r="V45" i="6"/>
  <c r="L47" i="6"/>
  <c r="K53" i="6"/>
  <c r="V54" i="6"/>
  <c r="S57" i="6"/>
  <c r="S60" i="6"/>
  <c r="N63" i="6"/>
  <c r="L66" i="6"/>
  <c r="Q73" i="6"/>
  <c r="P80" i="6"/>
  <c r="R10" i="6"/>
  <c r="R13" i="6"/>
  <c r="N16" i="6"/>
  <c r="V22" i="6"/>
  <c r="M25" i="6"/>
  <c r="P28" i="6"/>
  <c r="S31" i="6"/>
  <c r="N34" i="6"/>
  <c r="O40" i="6"/>
  <c r="K43" i="6"/>
  <c r="L46" i="6"/>
  <c r="L49" i="6"/>
  <c r="U62" i="6"/>
  <c r="T65" i="6"/>
  <c r="N68" i="6"/>
  <c r="S69" i="6"/>
  <c r="V62" i="6"/>
  <c r="Q51" i="6"/>
  <c r="M30" i="6"/>
  <c r="R62" i="6"/>
  <c r="T84" i="6"/>
  <c r="L81" i="6"/>
  <c r="S74" i="6"/>
  <c r="M69" i="6"/>
  <c r="O62" i="6"/>
  <c r="N53" i="6"/>
  <c r="Q49" i="6"/>
  <c r="S47" i="6"/>
  <c r="T43" i="6"/>
  <c r="Q28" i="6"/>
  <c r="P24" i="6"/>
  <c r="L11" i="6"/>
  <c r="K64" i="6"/>
  <c r="R53" i="6"/>
  <c r="O34" i="6"/>
  <c r="S26" i="6"/>
  <c r="Q10" i="6"/>
  <c r="U43" i="6"/>
  <c r="L34" i="6"/>
  <c r="U28" i="6"/>
  <c r="O11" i="6"/>
  <c r="Q26" i="6"/>
  <c r="R84" i="6"/>
  <c r="K81" i="6"/>
  <c r="V79" i="6"/>
  <c r="R74" i="6"/>
  <c r="L69" i="6"/>
  <c r="N62" i="6"/>
  <c r="M53" i="6"/>
  <c r="P49" i="6"/>
  <c r="R47" i="6"/>
  <c r="K45" i="6"/>
  <c r="S43" i="6"/>
  <c r="M28" i="6"/>
  <c r="P26" i="6"/>
  <c r="O24" i="6"/>
  <c r="Q11" i="6"/>
  <c r="N81" i="6"/>
  <c r="L76" i="6"/>
  <c r="V47" i="6"/>
  <c r="V43" i="6"/>
  <c r="R32" i="6"/>
  <c r="P11" i="6"/>
  <c r="T74" i="6"/>
  <c r="N69" i="6"/>
  <c r="T47" i="6"/>
  <c r="L30" i="6"/>
  <c r="Q24" i="6"/>
  <c r="K13" i="6"/>
  <c r="T79" i="6"/>
  <c r="Q74" i="6"/>
  <c r="K69" i="6"/>
  <c r="O67" i="6"/>
  <c r="M62" i="6"/>
  <c r="L53" i="6"/>
  <c r="O49" i="6"/>
  <c r="Q47" i="6"/>
  <c r="P43" i="6"/>
  <c r="T41" i="6"/>
  <c r="Q39" i="6"/>
  <c r="L28" i="6"/>
  <c r="O26" i="6"/>
  <c r="N24" i="6"/>
  <c r="S32" i="6"/>
  <c r="N30" i="6"/>
  <c r="V26" i="6"/>
  <c r="M13" i="6"/>
  <c r="N71" i="6"/>
  <c r="U49" i="6"/>
  <c r="V28" i="6"/>
  <c r="L13" i="6"/>
  <c r="M81" i="6"/>
  <c r="K76" i="6"/>
  <c r="P53" i="6"/>
  <c r="T49" i="6"/>
  <c r="Q32" i="6"/>
  <c r="R26" i="6"/>
  <c r="P32" i="6"/>
  <c r="S79" i="6"/>
  <c r="P74" i="6"/>
  <c r="N67" i="6"/>
  <c r="L62" i="6"/>
  <c r="V60" i="6"/>
  <c r="N49" i="6"/>
  <c r="P47" i="6"/>
  <c r="O43" i="6"/>
  <c r="R41" i="6"/>
  <c r="P39" i="6"/>
  <c r="V37" i="6"/>
  <c r="V35" i="6"/>
  <c r="K28" i="6"/>
  <c r="L26" i="6"/>
  <c r="M24" i="6"/>
  <c r="O82" i="6"/>
  <c r="P75" i="6"/>
  <c r="L68" i="6"/>
  <c r="S65" i="6"/>
  <c r="T62" i="6"/>
  <c r="K49" i="6"/>
  <c r="K46" i="6"/>
  <c r="N40" i="6"/>
  <c r="M34" i="6"/>
  <c r="R31" i="6"/>
  <c r="N28" i="6"/>
  <c r="L25" i="6"/>
  <c r="U22" i="6"/>
  <c r="M16" i="6"/>
  <c r="P13" i="6"/>
  <c r="S12" i="6"/>
  <c r="Q19" i="6"/>
  <c r="P59" i="6"/>
  <c r="R63" i="6"/>
  <c r="T67" i="6"/>
  <c r="K70" i="6"/>
  <c r="P84" i="6"/>
  <c r="N80" i="6"/>
  <c r="T77" i="6"/>
  <c r="O73" i="6"/>
  <c r="U70" i="6"/>
  <c r="L63" i="6"/>
  <c r="Q60" i="6"/>
  <c r="Q57" i="6"/>
  <c r="T54" i="6"/>
  <c r="V51" i="6"/>
  <c r="T45" i="6"/>
  <c r="U36" i="6"/>
  <c r="M32" i="6"/>
  <c r="M29" i="6"/>
  <c r="U18" i="6"/>
  <c r="L17" i="6"/>
  <c r="N84" i="6"/>
  <c r="V81" i="6"/>
  <c r="M80" i="6"/>
  <c r="S77" i="6"/>
  <c r="N73" i="6"/>
  <c r="T70" i="6"/>
  <c r="V67" i="6"/>
  <c r="K63" i="6"/>
  <c r="P60" i="6"/>
  <c r="P57" i="6"/>
  <c r="R54" i="6"/>
  <c r="U51" i="6"/>
  <c r="S45" i="6"/>
  <c r="V42" i="6"/>
  <c r="T36" i="6"/>
  <c r="L32" i="6"/>
  <c r="L29" i="6"/>
  <c r="U27" i="6"/>
  <c r="T18" i="6"/>
  <c r="K17" i="6"/>
  <c r="T12" i="6"/>
  <c r="V33" i="6"/>
  <c r="S27" i="6"/>
  <c r="R18" i="6"/>
  <c r="T15" i="6"/>
  <c r="V12" i="6"/>
  <c r="S81" i="6"/>
  <c r="O77" i="6"/>
  <c r="U74" i="6"/>
  <c r="K73" i="6"/>
  <c r="O70" i="6"/>
  <c r="P67" i="6"/>
  <c r="U64" i="6"/>
  <c r="L60" i="6"/>
  <c r="M57" i="6"/>
  <c r="N54" i="6"/>
  <c r="R51" i="6"/>
  <c r="Q48" i="6"/>
  <c r="L45" i="6"/>
  <c r="S42" i="6"/>
  <c r="R39" i="6"/>
  <c r="Q36" i="6"/>
  <c r="U33" i="6"/>
  <c r="V30" i="6"/>
  <c r="R27" i="6"/>
  <c r="R24" i="6"/>
  <c r="V21" i="6"/>
  <c r="Q18" i="6"/>
  <c r="S15" i="6"/>
  <c r="Q12" i="6"/>
  <c r="N55" i="6"/>
  <c r="V48" i="6"/>
  <c r="K47" i="6"/>
  <c r="N44" i="6"/>
  <c r="V41" i="6"/>
  <c r="L40" i="6"/>
  <c r="S37" i="6"/>
  <c r="P33" i="6"/>
  <c r="U30" i="6"/>
  <c r="K29" i="6"/>
  <c r="N26" i="6"/>
  <c r="V23" i="6"/>
  <c r="S19" i="6"/>
  <c r="N15" i="6"/>
  <c r="U12" i="6"/>
  <c r="U84" i="6"/>
  <c r="P79" i="6"/>
  <c r="S75" i="6"/>
  <c r="V71" i="6"/>
  <c r="S67" i="6"/>
  <c r="Q63" i="6"/>
  <c r="O59" i="6"/>
  <c r="M55" i="6"/>
  <c r="U48" i="6"/>
  <c r="M44" i="6"/>
  <c r="U41" i="6"/>
  <c r="K40" i="6"/>
  <c r="M37" i="6"/>
  <c r="L33" i="6"/>
  <c r="T30" i="6"/>
  <c r="M26" i="6"/>
  <c r="R23" i="6"/>
  <c r="R19" i="6"/>
  <c r="N13" i="6"/>
  <c r="T14" i="6"/>
  <c r="N19" i="6"/>
  <c r="T20" i="6"/>
  <c r="N25" i="6"/>
  <c r="T26" i="6"/>
  <c r="P31" i="6"/>
  <c r="V32" i="6"/>
  <c r="N37" i="6"/>
  <c r="Q43" i="6"/>
  <c r="M48" i="6"/>
  <c r="R49" i="6"/>
  <c r="V50" i="6"/>
  <c r="O55" i="6"/>
  <c r="T56" i="6"/>
  <c r="K61" i="6"/>
  <c r="P62" i="6"/>
  <c r="V63" i="6"/>
  <c r="P69" i="6"/>
  <c r="V70" i="6"/>
  <c r="K75" i="6"/>
  <c r="Q76" i="6"/>
  <c r="V77" i="6"/>
  <c r="L82" i="6"/>
  <c r="Q83" i="6"/>
  <c r="V84" i="6"/>
  <c r="O13" i="6"/>
  <c r="U14" i="6"/>
  <c r="O19" i="6"/>
  <c r="U20" i="6"/>
  <c r="O25" i="6"/>
  <c r="U26" i="6"/>
  <c r="K30" i="6"/>
  <c r="Q31" i="6"/>
  <c r="R37" i="6"/>
  <c r="L42" i="6"/>
  <c r="R43" i="6"/>
  <c r="N48" i="6"/>
  <c r="S49" i="6"/>
  <c r="K54" i="6"/>
  <c r="P55" i="6"/>
  <c r="V56" i="6"/>
  <c r="L61" i="6"/>
  <c r="Q62" i="6"/>
  <c r="K68" i="6"/>
  <c r="R69" i="6"/>
  <c r="L75" i="6"/>
  <c r="R76" i="6"/>
  <c r="M82" i="6"/>
  <c r="R83" i="6"/>
  <c r="P10" i="6"/>
  <c r="M15" i="6"/>
  <c r="S16" i="6"/>
  <c r="K21" i="6"/>
  <c r="T22" i="6"/>
  <c r="N27" i="6"/>
  <c r="T28" i="6"/>
  <c r="O33" i="6"/>
  <c r="S34" i="6"/>
  <c r="N39" i="6"/>
  <c r="T40" i="6"/>
  <c r="P45" i="6"/>
  <c r="V46" i="6"/>
  <c r="P51" i="6"/>
  <c r="V52" i="6"/>
  <c r="L57" i="6"/>
  <c r="Q58" i="6"/>
  <c r="V59" i="6"/>
  <c r="N64" i="6"/>
  <c r="R65" i="6"/>
  <c r="V66" i="6"/>
  <c r="M71" i="6"/>
  <c r="S84" i="6"/>
  <c r="U80" i="6"/>
  <c r="N79" i="6"/>
  <c r="Q75" i="6"/>
  <c r="R71" i="6"/>
  <c r="Q67" i="6"/>
  <c r="O63" i="6"/>
  <c r="L59" i="6"/>
  <c r="K55" i="6"/>
  <c r="S52" i="6"/>
  <c r="S48" i="6"/>
  <c r="K44" i="6"/>
  <c r="S41" i="6"/>
  <c r="K37" i="6"/>
  <c r="V34" i="6"/>
  <c r="Q30" i="6"/>
  <c r="V27" i="6"/>
  <c r="P23" i="6"/>
  <c r="P19" i="6"/>
  <c r="S41" i="5"/>
  <c r="O74" i="5"/>
  <c r="N74" i="5"/>
  <c r="N56" i="5"/>
  <c r="M78" i="5"/>
  <c r="Q20" i="5"/>
  <c r="U62" i="5"/>
  <c r="R47" i="5"/>
  <c r="O56" i="5"/>
  <c r="Q16" i="5"/>
  <c r="P21" i="5"/>
  <c r="S83" i="5"/>
  <c r="V17" i="5"/>
  <c r="V29" i="5"/>
  <c r="M77" i="5"/>
  <c r="R53" i="5"/>
  <c r="M56" i="5"/>
  <c r="K65" i="5"/>
  <c r="O62" i="5"/>
  <c r="Q74" i="5"/>
  <c r="T68" i="5"/>
  <c r="K26" i="5"/>
  <c r="Q47" i="5"/>
  <c r="P74" i="5"/>
  <c r="N62" i="5"/>
  <c r="T62" i="5"/>
  <c r="V62" i="5"/>
  <c r="L85" i="5"/>
  <c r="N20" i="5"/>
  <c r="R19" i="5"/>
  <c r="U45" i="5"/>
  <c r="L19" i="5"/>
  <c r="O85" i="5"/>
  <c r="V45" i="5"/>
  <c r="M84" i="5"/>
  <c r="P16" i="5"/>
  <c r="L16" i="5"/>
  <c r="K83" i="5"/>
  <c r="U72" i="5"/>
  <c r="S71" i="5"/>
  <c r="Q70" i="5"/>
  <c r="O69" i="5"/>
  <c r="M68" i="5"/>
  <c r="K67" i="5"/>
  <c r="U56" i="5"/>
  <c r="S55" i="5"/>
  <c r="Q54" i="5"/>
  <c r="O53" i="5"/>
  <c r="M52" i="5"/>
  <c r="R20" i="5"/>
  <c r="S31" i="5"/>
  <c r="Q35" i="5"/>
  <c r="K42" i="5"/>
  <c r="U75" i="5"/>
  <c r="K82" i="5"/>
  <c r="L38" i="5"/>
  <c r="R50" i="5"/>
  <c r="L79" i="5"/>
  <c r="M79" i="5"/>
  <c r="T72" i="5"/>
  <c r="V64" i="5"/>
  <c r="P83" i="5"/>
  <c r="P34" i="5"/>
  <c r="S10" i="5"/>
  <c r="O38" i="5"/>
  <c r="M83" i="5"/>
  <c r="P23" i="5"/>
  <c r="N83" i="5"/>
  <c r="K27" i="5"/>
  <c r="U64" i="5"/>
  <c r="T27" i="5"/>
  <c r="N10" i="5"/>
  <c r="M38" i="5"/>
  <c r="U50" i="5"/>
  <c r="M23" i="5"/>
  <c r="Q23" i="5"/>
  <c r="O83" i="5"/>
  <c r="P10" i="5"/>
  <c r="N38" i="5"/>
  <c r="O79" i="5"/>
  <c r="P59" i="5"/>
  <c r="P79" i="5"/>
  <c r="O32" i="5"/>
  <c r="U32" i="5"/>
  <c r="K44" i="5"/>
  <c r="T28" i="5"/>
  <c r="V32" i="5"/>
  <c r="V44" i="5"/>
  <c r="O48" i="5"/>
  <c r="P48" i="5"/>
  <c r="Q48" i="5"/>
  <c r="K85" i="5"/>
  <c r="T20" i="5"/>
  <c r="K51" i="5"/>
  <c r="P77" i="5"/>
  <c r="S48" i="5"/>
  <c r="P45" i="5"/>
  <c r="O26" i="5"/>
  <c r="R10" i="5"/>
  <c r="U83" i="5"/>
  <c r="N77" i="5"/>
  <c r="R48" i="5"/>
  <c r="L26" i="5"/>
  <c r="Q10" i="5"/>
  <c r="O82" i="5"/>
  <c r="O59" i="5"/>
  <c r="U40" i="5"/>
  <c r="S39" i="5"/>
  <c r="Q38" i="5"/>
  <c r="O37" i="5"/>
  <c r="M36" i="5"/>
  <c r="K35" i="5"/>
  <c r="N82" i="5"/>
  <c r="S67" i="5"/>
  <c r="T35" i="5"/>
  <c r="K24" i="5"/>
  <c r="U20" i="5"/>
  <c r="M82" i="5"/>
  <c r="V75" i="5"/>
  <c r="R67" i="5"/>
  <c r="R35" i="5"/>
  <c r="M25" i="5"/>
  <c r="M21" i="5"/>
  <c r="P35" i="5"/>
  <c r="U38" i="5"/>
  <c r="P62" i="5"/>
  <c r="V79" i="5"/>
  <c r="V28" i="5"/>
  <c r="P32" i="5"/>
  <c r="V35" i="5"/>
  <c r="L42" i="5"/>
  <c r="T50" i="5"/>
  <c r="M74" i="5"/>
  <c r="Q77" i="5"/>
  <c r="V80" i="5"/>
  <c r="Q83" i="5"/>
  <c r="V13" i="5"/>
  <c r="U28" i="5"/>
  <c r="Q32" i="5"/>
  <c r="R74" i="5"/>
  <c r="R32" i="5"/>
  <c r="K59" i="5"/>
  <c r="V71" i="5"/>
  <c r="S74" i="5"/>
  <c r="M59" i="5"/>
  <c r="M67" i="5"/>
  <c r="T74" i="5"/>
  <c r="N67" i="5"/>
  <c r="N59" i="5"/>
  <c r="U74" i="5"/>
  <c r="S32" i="5"/>
  <c r="K10" i="5"/>
  <c r="T32" i="5"/>
  <c r="L39" i="5"/>
  <c r="K16" i="5"/>
  <c r="S45" i="5"/>
  <c r="N79" i="5"/>
  <c r="P20" i="5"/>
  <c r="U24" i="5"/>
  <c r="S23" i="5"/>
  <c r="Q22" i="5"/>
  <c r="O21" i="5"/>
  <c r="M20" i="5"/>
  <c r="T11" i="5"/>
  <c r="T18" i="5"/>
  <c r="Q64" i="5"/>
  <c r="N53" i="5"/>
  <c r="Q50" i="5"/>
  <c r="T40" i="5"/>
  <c r="O34" i="5"/>
  <c r="R31" i="5"/>
  <c r="S28" i="5"/>
  <c r="N19" i="5"/>
  <c r="V11" i="5"/>
  <c r="N34" i="5"/>
  <c r="L70" i="5"/>
  <c r="L53" i="5"/>
  <c r="S43" i="5"/>
  <c r="P31" i="5"/>
  <c r="P28" i="5"/>
  <c r="K11" i="5"/>
  <c r="V60" i="5"/>
  <c r="N31" i="5"/>
  <c r="R25" i="5"/>
  <c r="V63" i="5"/>
  <c r="L31" i="5"/>
  <c r="Q25" i="5"/>
  <c r="P84" i="5"/>
  <c r="M76" i="5"/>
  <c r="U63" i="5"/>
  <c r="V49" i="5"/>
  <c r="M22" i="5"/>
  <c r="V14" i="5"/>
  <c r="M81" i="5"/>
  <c r="R78" i="5"/>
  <c r="N73" i="5"/>
  <c r="N66" i="5"/>
  <c r="R63" i="5"/>
  <c r="R56" i="5"/>
  <c r="Q49" i="5"/>
  <c r="O42" i="5"/>
  <c r="R39" i="5"/>
  <c r="P13" i="5"/>
  <c r="O16" i="5"/>
  <c r="N29" i="5"/>
  <c r="K34" i="5"/>
  <c r="N39" i="5"/>
  <c r="M13" i="5"/>
  <c r="M16" i="5"/>
  <c r="L24" i="5"/>
  <c r="M29" i="5"/>
  <c r="L34" i="5"/>
  <c r="P39" i="5"/>
  <c r="L44" i="5"/>
  <c r="T49" i="5"/>
  <c r="O52" i="5"/>
  <c r="R55" i="5"/>
  <c r="P70" i="5"/>
  <c r="M75" i="5"/>
  <c r="S77" i="5"/>
  <c r="R79" i="5"/>
  <c r="S84" i="5"/>
  <c r="O29" i="5"/>
  <c r="M34" i="5"/>
  <c r="Q39" i="5"/>
  <c r="M44" i="5"/>
  <c r="U49" i="5"/>
  <c r="P52" i="5"/>
  <c r="U55" i="5"/>
  <c r="M60" i="5"/>
  <c r="S70" i="5"/>
  <c r="N75" i="5"/>
  <c r="U77" i="5"/>
  <c r="U79" i="5"/>
  <c r="T84" i="5"/>
  <c r="N13" i="5"/>
  <c r="N16" i="5"/>
  <c r="O11" i="5"/>
  <c r="L17" i="5"/>
  <c r="V25" i="5"/>
  <c r="K41" i="5"/>
  <c r="U43" i="5"/>
  <c r="K46" i="5"/>
  <c r="V59" i="5"/>
  <c r="M65" i="5"/>
  <c r="T67" i="5"/>
  <c r="N70" i="5"/>
  <c r="P75" i="5"/>
  <c r="P82" i="5"/>
  <c r="M41" i="5"/>
  <c r="L55" i="5"/>
  <c r="R11" i="5"/>
  <c r="K14" i="5"/>
  <c r="R17" i="5"/>
  <c r="L23" i="5"/>
  <c r="N41" i="5"/>
  <c r="V46" i="5"/>
  <c r="N49" i="5"/>
  <c r="M55" i="5"/>
  <c r="U70" i="5"/>
  <c r="L73" i="5"/>
  <c r="S75" i="5"/>
  <c r="R80" i="5"/>
  <c r="T82" i="5"/>
  <c r="P11" i="5"/>
  <c r="M17" i="5"/>
  <c r="L41" i="5"/>
  <c r="V43" i="5"/>
  <c r="R46" i="5"/>
  <c r="L49" i="5"/>
  <c r="K55" i="5"/>
  <c r="V67" i="5"/>
  <c r="O70" i="5"/>
  <c r="Q75" i="5"/>
  <c r="Q82" i="5"/>
  <c r="Q11" i="5"/>
  <c r="Q17" i="5"/>
  <c r="U46" i="5"/>
  <c r="M49" i="5"/>
  <c r="T70" i="5"/>
  <c r="R75" i="5"/>
  <c r="R82" i="5"/>
  <c r="T17" i="5"/>
  <c r="L20" i="5"/>
  <c r="N23" i="5"/>
  <c r="R28" i="5"/>
  <c r="M31" i="5"/>
  <c r="V33" i="5"/>
  <c r="L36" i="5"/>
  <c r="V50" i="5"/>
  <c r="Q53" i="5"/>
  <c r="L59" i="5"/>
  <c r="M62" i="5"/>
  <c r="L75" i="5"/>
  <c r="S80" i="5"/>
  <c r="L10" i="5"/>
  <c r="K15" i="5"/>
  <c r="M32" i="5"/>
  <c r="N55" i="5"/>
  <c r="P60" i="5"/>
  <c r="K63" i="5"/>
  <c r="Q68" i="5"/>
  <c r="O71" i="5"/>
  <c r="P81" i="5"/>
  <c r="M10" i="5"/>
  <c r="N32" i="5"/>
  <c r="N43" i="5"/>
  <c r="V55" i="5"/>
  <c r="Q60" i="5"/>
  <c r="L63" i="5"/>
  <c r="R68" i="5"/>
  <c r="P71" i="5"/>
  <c r="T10" i="5"/>
  <c r="R16" i="5"/>
  <c r="S19" i="5"/>
  <c r="T25" i="5"/>
  <c r="S53" i="5"/>
  <c r="O57" i="5"/>
  <c r="Q59" i="5"/>
  <c r="M71" i="5"/>
  <c r="R84" i="5"/>
  <c r="V10" i="5"/>
  <c r="U16" i="5"/>
  <c r="T19" i="5"/>
  <c r="U25" i="5"/>
  <c r="K36" i="5"/>
  <c r="T53" i="5"/>
  <c r="P57" i="5"/>
  <c r="R59" i="5"/>
  <c r="N71" i="5"/>
  <c r="U84" i="5"/>
  <c r="O13" i="5"/>
  <c r="U19" i="5"/>
  <c r="K33" i="5"/>
  <c r="O36" i="5"/>
  <c r="L48" i="5"/>
  <c r="U53" i="5"/>
  <c r="T57" i="5"/>
  <c r="S59" i="5"/>
  <c r="Q71" i="5"/>
  <c r="V84" i="5"/>
  <c r="T13" i="5"/>
  <c r="V19" i="5"/>
  <c r="P36" i="5"/>
  <c r="M48" i="5"/>
  <c r="V53" i="5"/>
  <c r="U57" i="5"/>
  <c r="T59" i="5"/>
  <c r="P68" i="5"/>
  <c r="R71" i="5"/>
  <c r="K74" i="5"/>
  <c r="U13" i="5"/>
  <c r="K31" i="5"/>
  <c r="Q36" i="5"/>
  <c r="K39" i="5"/>
  <c r="K45" i="5"/>
  <c r="N48" i="5"/>
  <c r="V57" i="5"/>
  <c r="U59" i="5"/>
  <c r="S68" i="5"/>
  <c r="U71" i="5"/>
  <c r="L74" i="5"/>
  <c r="M11" i="5"/>
  <c r="V20" i="5"/>
  <c r="T26" i="5"/>
  <c r="K58" i="5"/>
  <c r="R66" i="5"/>
  <c r="N11" i="5"/>
  <c r="P14" i="5"/>
  <c r="U26" i="5"/>
  <c r="L58" i="5"/>
  <c r="S66" i="5"/>
  <c r="K69" i="5"/>
  <c r="S11" i="5"/>
  <c r="Q14" i="5"/>
  <c r="V26" i="5"/>
  <c r="O43" i="5"/>
  <c r="N58" i="5"/>
  <c r="N64" i="5"/>
  <c r="T66" i="5"/>
  <c r="L69" i="5"/>
  <c r="R14" i="5"/>
  <c r="P29" i="5"/>
  <c r="P40" i="5"/>
  <c r="P43" i="5"/>
  <c r="O49" i="5"/>
  <c r="K52" i="5"/>
  <c r="O58" i="5"/>
  <c r="O64" i="5"/>
  <c r="M69" i="5"/>
  <c r="T80" i="5"/>
  <c r="U11" i="5"/>
  <c r="S14" i="5"/>
  <c r="L18" i="5"/>
  <c r="U29" i="5"/>
  <c r="L32" i="5"/>
  <c r="S40" i="5"/>
  <c r="Q43" i="5"/>
  <c r="P49" i="5"/>
  <c r="L52" i="5"/>
  <c r="P64" i="5"/>
  <c r="T75" i="5"/>
  <c r="U80" i="5"/>
  <c r="M53" i="5"/>
  <c r="O50" i="5"/>
  <c r="T43" i="5"/>
  <c r="Q31" i="5"/>
  <c r="Q28" i="5"/>
  <c r="L11" i="5"/>
  <c r="AB11" i="5" s="1"/>
  <c r="K70" i="5"/>
  <c r="N57" i="5"/>
  <c r="R43" i="5"/>
  <c r="O31" i="5"/>
  <c r="S25" i="5"/>
  <c r="V76" i="5"/>
  <c r="U60" i="5"/>
  <c r="U22" i="5"/>
  <c r="V78" i="5"/>
  <c r="Q66" i="5"/>
  <c r="T60" i="5"/>
  <c r="P25" i="5"/>
  <c r="U78" i="5"/>
  <c r="L76" i="5"/>
  <c r="P73" i="5"/>
  <c r="P66" i="5"/>
  <c r="T63" i="5"/>
  <c r="R60" i="5"/>
  <c r="S49" i="5"/>
  <c r="T42" i="5"/>
  <c r="O25" i="5"/>
  <c r="L22" i="5"/>
  <c r="U14" i="5"/>
  <c r="N81" i="5"/>
  <c r="S78" i="5"/>
  <c r="K76" i="5"/>
  <c r="O73" i="5"/>
  <c r="O66" i="5"/>
  <c r="S63" i="5"/>
  <c r="O60" i="5"/>
  <c r="R49" i="5"/>
  <c r="R42" i="5"/>
  <c r="U39" i="5"/>
  <c r="N25" i="5"/>
  <c r="K22" i="5"/>
  <c r="L81" i="5"/>
  <c r="Q78" i="5"/>
  <c r="M66" i="5"/>
  <c r="Q63" i="5"/>
  <c r="Q56" i="5"/>
  <c r="R52" i="5"/>
  <c r="N42" i="5"/>
  <c r="O39" i="5"/>
  <c r="V36" i="5"/>
  <c r="M18" i="5"/>
  <c r="V83" i="5"/>
  <c r="K81" i="5"/>
  <c r="P78" i="5"/>
  <c r="L66" i="5"/>
  <c r="P56" i="5"/>
  <c r="Q52" i="5"/>
  <c r="M42" i="5"/>
  <c r="M39" i="5"/>
  <c r="U36" i="5"/>
  <c r="U12" i="5"/>
  <c r="P12" i="5"/>
  <c r="U10" i="5"/>
  <c r="S20" i="5"/>
  <c r="O23" i="5"/>
  <c r="K28" i="5"/>
  <c r="U35" i="5"/>
  <c r="K38" i="5"/>
  <c r="Q40" i="5"/>
  <c r="S42" i="5"/>
  <c r="O45" i="5"/>
  <c r="S52" i="5"/>
  <c r="N60" i="5"/>
  <c r="U67" i="5"/>
  <c r="M70" i="5"/>
  <c r="O81" i="5"/>
  <c r="R83" i="5"/>
  <c r="O10" i="5"/>
  <c r="T14" i="5"/>
  <c r="S17" i="5"/>
  <c r="K23" i="5"/>
  <c r="S35" i="5"/>
  <c r="R40" i="5"/>
  <c r="U42" i="5"/>
  <c r="R45" i="5"/>
  <c r="K48" i="5"/>
  <c r="P50" i="5"/>
  <c r="M58" i="5"/>
  <c r="S60" i="5"/>
  <c r="M63" i="5"/>
  <c r="V70" i="5"/>
  <c r="K73" i="5"/>
  <c r="O75" i="5"/>
  <c r="T77" i="5"/>
  <c r="Q79" i="5"/>
  <c r="Q84" i="5"/>
  <c r="V61" i="5"/>
  <c r="N50" i="5"/>
  <c r="R27" i="5"/>
  <c r="V85" i="5"/>
  <c r="N80" i="5"/>
  <c r="S76" i="5"/>
  <c r="V69" i="5"/>
  <c r="K68" i="5"/>
  <c r="T65" i="5"/>
  <c r="K64" i="5"/>
  <c r="T61" i="5"/>
  <c r="U58" i="5"/>
  <c r="S54" i="5"/>
  <c r="L50" i="5"/>
  <c r="N47" i="5"/>
  <c r="S44" i="5"/>
  <c r="K43" i="5"/>
  <c r="M40" i="5"/>
  <c r="U37" i="5"/>
  <c r="S33" i="5"/>
  <c r="S30" i="5"/>
  <c r="Q27" i="5"/>
  <c r="V21" i="5"/>
  <c r="S18" i="5"/>
  <c r="U15" i="5"/>
  <c r="T12" i="5"/>
  <c r="U85" i="5"/>
  <c r="S65" i="5"/>
  <c r="P76" i="5"/>
  <c r="N85" i="5"/>
  <c r="T81" i="5"/>
  <c r="O76" i="5"/>
  <c r="R69" i="5"/>
  <c r="V66" i="5"/>
  <c r="O65" i="5"/>
  <c r="O61" i="5"/>
  <c r="Q58" i="5"/>
  <c r="S51" i="5"/>
  <c r="U48" i="5"/>
  <c r="O44" i="5"/>
  <c r="U41" i="5"/>
  <c r="Q37" i="5"/>
  <c r="R34" i="5"/>
  <c r="M33" i="5"/>
  <c r="O30" i="5"/>
  <c r="M27" i="5"/>
  <c r="N24" i="5"/>
  <c r="R21" i="5"/>
  <c r="O18" i="5"/>
  <c r="M15" i="5"/>
  <c r="O84" i="5"/>
  <c r="Q80" i="5"/>
  <c r="U76" i="5"/>
  <c r="K75" i="5"/>
  <c r="S72" i="5"/>
  <c r="O68" i="5"/>
  <c r="M64" i="5"/>
  <c r="L60" i="5"/>
  <c r="M57" i="5"/>
  <c r="U54" i="5"/>
  <c r="P47" i="5"/>
  <c r="U44" i="5"/>
  <c r="M43" i="5"/>
  <c r="O40" i="5"/>
  <c r="U33" i="5"/>
  <c r="K32" i="5"/>
  <c r="S27" i="5"/>
  <c r="T24" i="5"/>
  <c r="K20" i="5"/>
  <c r="V12" i="5"/>
  <c r="P80" i="5"/>
  <c r="T76" i="5"/>
  <c r="R72" i="5"/>
  <c r="L68" i="5"/>
  <c r="U65" i="5"/>
  <c r="L64" i="5"/>
  <c r="U61" i="5"/>
  <c r="K60" i="5"/>
  <c r="K57" i="5"/>
  <c r="T54" i="5"/>
  <c r="M50" i="5"/>
  <c r="O47" i="5"/>
  <c r="T44" i="5"/>
  <c r="L43" i="5"/>
  <c r="N40" i="5"/>
  <c r="V37" i="5"/>
  <c r="T33" i="5"/>
  <c r="S24" i="5"/>
  <c r="V15" i="5"/>
  <c r="T56" i="5"/>
  <c r="O63" i="5"/>
  <c r="S73" i="5"/>
  <c r="K62" i="5"/>
  <c r="S64" i="5"/>
  <c r="K71" i="5"/>
  <c r="O72" i="5"/>
  <c r="L13" i="5"/>
  <c r="O14" i="5"/>
  <c r="T15" i="5"/>
  <c r="L21" i="5"/>
  <c r="T22" i="5"/>
  <c r="O28" i="5"/>
  <c r="T29" i="5"/>
  <c r="Q13" i="5"/>
  <c r="N17" i="5"/>
  <c r="U18" i="5"/>
  <c r="V22" i="5"/>
  <c r="P26" i="5"/>
  <c r="L30" i="5"/>
  <c r="T31" i="5"/>
  <c r="M35" i="5"/>
  <c r="R36" i="5"/>
  <c r="P41" i="5"/>
  <c r="V42" i="5"/>
  <c r="L46" i="5"/>
  <c r="V47" i="5"/>
  <c r="M51" i="5"/>
  <c r="T52" i="5"/>
  <c r="Q57" i="5"/>
  <c r="L61" i="5"/>
  <c r="Q62" i="5"/>
  <c r="O67" i="5"/>
  <c r="V68" i="5"/>
  <c r="Q73" i="5"/>
  <c r="K77" i="5"/>
  <c r="N78" i="5"/>
  <c r="S79" i="5"/>
  <c r="K84" i="5"/>
  <c r="S85" i="5"/>
  <c r="K12" i="5"/>
  <c r="R13" i="5"/>
  <c r="O17" i="5"/>
  <c r="V18" i="5"/>
  <c r="K25" i="5"/>
  <c r="Q26" i="5"/>
  <c r="M30" i="5"/>
  <c r="U31" i="5"/>
  <c r="N35" i="5"/>
  <c r="S36" i="5"/>
  <c r="Q41" i="5"/>
  <c r="M46" i="5"/>
  <c r="N51" i="5"/>
  <c r="U52" i="5"/>
  <c r="K56" i="5"/>
  <c r="R57" i="5"/>
  <c r="M61" i="5"/>
  <c r="R62" i="5"/>
  <c r="P67" i="5"/>
  <c r="K72" i="5"/>
  <c r="U73" i="5"/>
  <c r="L77" i="5"/>
  <c r="O78" i="5"/>
  <c r="T79" i="5"/>
  <c r="L84" i="5"/>
  <c r="T85" i="5"/>
  <c r="L12" i="5"/>
  <c r="S13" i="5"/>
  <c r="P17" i="5"/>
  <c r="L25" i="5"/>
  <c r="R26" i="5"/>
  <c r="N30" i="5"/>
  <c r="V31" i="5"/>
  <c r="O35" i="5"/>
  <c r="T36" i="5"/>
  <c r="K40" i="5"/>
  <c r="R41" i="5"/>
  <c r="N46" i="5"/>
  <c r="O51" i="5"/>
  <c r="V52" i="5"/>
  <c r="L56" i="5"/>
  <c r="S57" i="5"/>
  <c r="N61" i="5"/>
  <c r="S62" i="5"/>
  <c r="Q67" i="5"/>
  <c r="N12" i="5"/>
  <c r="S16" i="5"/>
  <c r="P19" i="5"/>
  <c r="R23" i="5"/>
  <c r="M26" i="5"/>
  <c r="K29" i="5"/>
  <c r="P33" i="5"/>
  <c r="S34" i="5"/>
  <c r="V38" i="5"/>
  <c r="P42" i="5"/>
  <c r="S46" i="5"/>
  <c r="K49" i="5"/>
  <c r="S50" i="5"/>
  <c r="K53" i="5"/>
  <c r="L57" i="5"/>
  <c r="V58" i="5"/>
  <c r="S61" i="5"/>
  <c r="Q65" i="5"/>
  <c r="N69" i="5"/>
  <c r="M73" i="5"/>
  <c r="O77" i="5"/>
  <c r="T78" i="5"/>
  <c r="L82" i="5"/>
  <c r="T83" i="5"/>
  <c r="O12" i="5"/>
  <c r="T16" i="5"/>
  <c r="Q19" i="5"/>
  <c r="N26" i="5"/>
  <c r="L29" i="5"/>
  <c r="Q33" i="5"/>
  <c r="T34" i="5"/>
  <c r="Q42" i="5"/>
  <c r="T46" i="5"/>
  <c r="Q72" i="5"/>
  <c r="R24" i="5"/>
  <c r="L80" i="5"/>
  <c r="R76" i="5"/>
  <c r="M72" i="5"/>
  <c r="U69" i="5"/>
  <c r="R61" i="5"/>
  <c r="T58" i="5"/>
  <c r="P54" i="5"/>
  <c r="V51" i="5"/>
  <c r="K50" i="5"/>
  <c r="M47" i="5"/>
  <c r="R44" i="5"/>
  <c r="L40" i="5"/>
  <c r="T37" i="5"/>
  <c r="R33" i="5"/>
  <c r="R30" i="5"/>
  <c r="P27" i="5"/>
  <c r="Q24" i="5"/>
  <c r="U21" i="5"/>
  <c r="R18" i="5"/>
  <c r="P15" i="5"/>
  <c r="S12" i="5"/>
  <c r="L14" i="5"/>
  <c r="R85" i="5"/>
  <c r="V81" i="5"/>
  <c r="K80" i="5"/>
  <c r="Q76" i="5"/>
  <c r="L72" i="5"/>
  <c r="T69" i="5"/>
  <c r="R65" i="5"/>
  <c r="Q61" i="5"/>
  <c r="S58" i="5"/>
  <c r="O54" i="5"/>
  <c r="U51" i="5"/>
  <c r="L47" i="5"/>
  <c r="Q44" i="5"/>
  <c r="S37" i="5"/>
  <c r="V34" i="5"/>
  <c r="O33" i="5"/>
  <c r="Q30" i="5"/>
  <c r="O27" i="5"/>
  <c r="P24" i="5"/>
  <c r="T21" i="5"/>
  <c r="Q18" i="5"/>
  <c r="O15" i="5"/>
  <c r="R12" i="5"/>
  <c r="Q85" i="5"/>
  <c r="U81" i="5"/>
  <c r="S69" i="5"/>
  <c r="P65" i="5"/>
  <c r="P61" i="5"/>
  <c r="R58" i="5"/>
  <c r="N54" i="5"/>
  <c r="T51" i="5"/>
  <c r="V48" i="5"/>
  <c r="K47" i="5"/>
  <c r="P44" i="5"/>
  <c r="V41" i="5"/>
  <c r="R37" i="5"/>
  <c r="U34" i="5"/>
  <c r="N33" i="5"/>
  <c r="P30" i="5"/>
  <c r="N27" i="5"/>
  <c r="O24" i="5"/>
  <c r="S21" i="5"/>
  <c r="P18" i="5"/>
  <c r="N15" i="5"/>
  <c r="Q12" i="5"/>
  <c r="M85" i="5"/>
  <c r="R81" i="5"/>
  <c r="V77" i="5"/>
  <c r="N76" i="5"/>
  <c r="V73" i="5"/>
  <c r="Q69" i="5"/>
  <c r="U66" i="5"/>
  <c r="N65" i="5"/>
  <c r="K61" i="5"/>
  <c r="P58" i="5"/>
  <c r="R51" i="5"/>
  <c r="T48" i="5"/>
  <c r="N44" i="5"/>
  <c r="T41" i="5"/>
  <c r="K37" i="5"/>
  <c r="Q34" i="5"/>
  <c r="L33" i="5"/>
  <c r="K30" i="5"/>
  <c r="L27" i="5"/>
  <c r="M24" i="5"/>
  <c r="N21" i="5"/>
  <c r="N18" i="5"/>
  <c r="L15" i="5"/>
  <c r="M12" i="5"/>
  <c r="U82" i="5"/>
  <c r="S81" i="5"/>
  <c r="O80" i="5"/>
  <c r="K79" i="5"/>
  <c r="T73" i="5"/>
  <c r="P72" i="5"/>
  <c r="L71" i="5"/>
  <c r="T64" i="5"/>
  <c r="P63" i="5"/>
  <c r="L62" i="5"/>
  <c r="Q55" i="5"/>
  <c r="M54" i="5"/>
  <c r="U47" i="5"/>
  <c r="Q46" i="5"/>
  <c r="N45" i="5"/>
  <c r="T38" i="5"/>
  <c r="N37" i="5"/>
  <c r="V30" i="5"/>
  <c r="S29" i="5"/>
  <c r="N28" i="5"/>
  <c r="P22" i="5"/>
  <c r="K21" i="5"/>
  <c r="S15" i="5"/>
  <c r="N14" i="5"/>
  <c r="K13" i="5"/>
  <c r="K18" i="5"/>
  <c r="O20" i="5"/>
  <c r="U23" i="5"/>
  <c r="M19" i="5"/>
  <c r="Q21" i="5"/>
  <c r="S22" i="5"/>
  <c r="P55" i="5"/>
  <c r="T47" i="5"/>
  <c r="P46" i="5"/>
  <c r="M45" i="5"/>
  <c r="S38" i="5"/>
  <c r="M37" i="5"/>
  <c r="U30" i="5"/>
  <c r="O22" i="5"/>
  <c r="R15" i="5"/>
  <c r="M14" i="5"/>
  <c r="L54" i="5"/>
  <c r="R29" i="5"/>
  <c r="M28" i="5"/>
  <c r="K19" i="5"/>
  <c r="S82" i="5"/>
  <c r="Q81" i="5"/>
  <c r="M80" i="5"/>
  <c r="V74" i="5"/>
  <c r="R73" i="5"/>
  <c r="N72" i="5"/>
  <c r="V65" i="5"/>
  <c r="R64" i="5"/>
  <c r="N63" i="5"/>
  <c r="S56" i="5"/>
  <c r="O55" i="5"/>
  <c r="K54" i="5"/>
  <c r="S47" i="5"/>
  <c r="O46" i="5"/>
  <c r="L45" i="5"/>
  <c r="V39" i="5"/>
  <c r="P38" i="5"/>
  <c r="L37" i="5"/>
  <c r="T30" i="5"/>
  <c r="Q29" i="5"/>
  <c r="L28" i="5"/>
  <c r="V23" i="5"/>
  <c r="N22" i="5"/>
  <c r="V16" i="5"/>
  <c r="Q15" i="5"/>
  <c r="P85" i="5"/>
  <c r="N84" i="5"/>
  <c r="L83" i="5"/>
  <c r="V72" i="5"/>
  <c r="T71" i="5"/>
  <c r="R70" i="5"/>
  <c r="P69" i="5"/>
  <c r="N68" i="5"/>
  <c r="L67" i="5"/>
  <c r="V56" i="5"/>
  <c r="T55" i="5"/>
  <c r="R54" i="5"/>
  <c r="P53" i="5"/>
  <c r="N52" i="5"/>
  <c r="L51" i="5"/>
  <c r="V40" i="5"/>
  <c r="T39" i="5"/>
  <c r="R38" i="5"/>
  <c r="P37" i="5"/>
  <c r="N36" i="5"/>
  <c r="L35" i="5"/>
  <c r="V24" i="5"/>
  <c r="T23" i="5"/>
  <c r="R22" i="5"/>
  <c r="R17" i="4"/>
  <c r="Q29" i="4"/>
  <c r="K40" i="4"/>
  <c r="Q26" i="4"/>
  <c r="U84" i="4"/>
  <c r="M74" i="4"/>
  <c r="N21" i="4"/>
  <c r="R21" i="4"/>
  <c r="V12" i="4"/>
  <c r="M13" i="4"/>
  <c r="Q49" i="4"/>
  <c r="V71" i="4"/>
  <c r="R49" i="4"/>
  <c r="T67" i="4"/>
  <c r="T40" i="4"/>
  <c r="V40" i="4"/>
  <c r="S34" i="4"/>
  <c r="T21" i="4"/>
  <c r="T57" i="4"/>
  <c r="V61" i="4"/>
  <c r="K58" i="4"/>
  <c r="O62" i="4"/>
  <c r="K37" i="4"/>
  <c r="L37" i="4"/>
  <c r="P46" i="4"/>
  <c r="R57" i="4"/>
  <c r="U76" i="4"/>
  <c r="S57" i="4"/>
  <c r="V76" i="4"/>
  <c r="P79" i="4"/>
  <c r="R11" i="4"/>
  <c r="U34" i="4"/>
  <c r="V67" i="4"/>
  <c r="V70" i="4"/>
  <c r="S11" i="4"/>
  <c r="N19" i="4"/>
  <c r="Q27" i="4"/>
  <c r="O26" i="4"/>
  <c r="M55" i="4"/>
  <c r="T58" i="4"/>
  <c r="V66" i="4"/>
  <c r="N70" i="4"/>
  <c r="P12" i="4"/>
  <c r="Q12" i="4"/>
  <c r="P74" i="4"/>
  <c r="N16" i="4"/>
  <c r="S44" i="4"/>
  <c r="N55" i="4"/>
  <c r="O70" i="4"/>
  <c r="S12" i="4"/>
  <c r="O52" i="4"/>
  <c r="O55" i="4"/>
  <c r="L62" i="4"/>
  <c r="P70" i="4"/>
  <c r="L35" i="4"/>
  <c r="S27" i="4"/>
  <c r="L51" i="4"/>
  <c r="U31" i="4"/>
  <c r="Q68" i="4"/>
  <c r="V31" i="4"/>
  <c r="P55" i="4"/>
  <c r="S63" i="4"/>
  <c r="N85" i="4"/>
  <c r="N43" i="4"/>
  <c r="R77" i="4"/>
  <c r="M39" i="4"/>
  <c r="V85" i="4"/>
  <c r="K28" i="4"/>
  <c r="T52" i="4"/>
  <c r="T78" i="4"/>
  <c r="O15" i="4"/>
  <c r="M69" i="4"/>
  <c r="V42" i="4"/>
  <c r="T27" i="4"/>
  <c r="S31" i="4"/>
  <c r="V47" i="4"/>
  <c r="O68" i="4"/>
  <c r="U63" i="4"/>
  <c r="Q85" i="4"/>
  <c r="V63" i="4"/>
  <c r="R85" i="4"/>
  <c r="O82" i="4"/>
  <c r="P52" i="4"/>
  <c r="K15" i="4"/>
  <c r="U52" i="4"/>
  <c r="V52" i="4"/>
  <c r="M49" i="4"/>
  <c r="N69" i="4"/>
  <c r="R22" i="4"/>
  <c r="L28" i="4"/>
  <c r="M51" i="4"/>
  <c r="Q82" i="4"/>
  <c r="U85" i="4"/>
  <c r="S10" i="4"/>
  <c r="M83" i="4"/>
  <c r="O74" i="4"/>
  <c r="T66" i="4"/>
  <c r="S58" i="4"/>
  <c r="L55" i="4"/>
  <c r="U28" i="4"/>
  <c r="O20" i="4"/>
  <c r="V37" i="4"/>
  <c r="P26" i="4"/>
  <c r="N74" i="4"/>
  <c r="R66" i="4"/>
  <c r="R58" i="4"/>
  <c r="K55" i="4"/>
  <c r="M28" i="4"/>
  <c r="T76" i="4"/>
  <c r="U50" i="4"/>
  <c r="S60" i="4"/>
  <c r="T50" i="4"/>
  <c r="R41" i="4"/>
  <c r="K12" i="4"/>
  <c r="U27" i="4"/>
  <c r="U41" i="4"/>
  <c r="P62" i="4"/>
  <c r="U66" i="4"/>
  <c r="M73" i="4"/>
  <c r="T28" i="4"/>
  <c r="N57" i="4"/>
  <c r="T60" i="4"/>
  <c r="K68" i="4"/>
  <c r="U10" i="4"/>
  <c r="T13" i="4"/>
  <c r="P21" i="4"/>
  <c r="N39" i="4"/>
  <c r="U54" i="4"/>
  <c r="K64" i="4"/>
  <c r="U13" i="4"/>
  <c r="Q17" i="4"/>
  <c r="Q21" i="4"/>
  <c r="V36" i="4"/>
  <c r="O39" i="4"/>
  <c r="N47" i="4"/>
  <c r="T84" i="4"/>
  <c r="K30" i="4"/>
  <c r="T34" i="4"/>
  <c r="S41" i="4"/>
  <c r="U67" i="4"/>
  <c r="U70" i="4"/>
  <c r="P63" i="4"/>
  <c r="K79" i="4"/>
  <c r="V19" i="4"/>
  <c r="R27" i="4"/>
  <c r="Q63" i="4"/>
  <c r="L81" i="4"/>
  <c r="L64" i="4"/>
  <c r="U61" i="4"/>
  <c r="S40" i="4"/>
  <c r="M37" i="4"/>
  <c r="L13" i="4"/>
  <c r="V10" i="4"/>
  <c r="Q74" i="4"/>
  <c r="K71" i="4"/>
  <c r="U58" i="4"/>
  <c r="P39" i="4"/>
  <c r="K20" i="4"/>
  <c r="T24" i="4"/>
  <c r="M34" i="4"/>
  <c r="M46" i="4"/>
  <c r="T74" i="4"/>
  <c r="L78" i="4"/>
  <c r="Q81" i="4"/>
  <c r="N84" i="4"/>
  <c r="P34" i="4"/>
  <c r="N46" i="4"/>
  <c r="P71" i="4"/>
  <c r="Q84" i="4"/>
  <c r="O46" i="4"/>
  <c r="M50" i="4"/>
  <c r="V53" i="4"/>
  <c r="K62" i="4"/>
  <c r="U65" i="4"/>
  <c r="Q71" i="4"/>
  <c r="S84" i="4"/>
  <c r="U74" i="4"/>
  <c r="N71" i="4"/>
  <c r="R65" i="4"/>
  <c r="R34" i="4"/>
  <c r="N14" i="4"/>
  <c r="R81" i="4"/>
  <c r="P78" i="4"/>
  <c r="N78" i="4"/>
  <c r="R10" i="4"/>
  <c r="M16" i="4"/>
  <c r="T26" i="4"/>
  <c r="U32" i="4"/>
  <c r="M85" i="4"/>
  <c r="N82" i="4"/>
  <c r="M70" i="4"/>
  <c r="S50" i="4"/>
  <c r="L39" i="4"/>
  <c r="S36" i="4"/>
  <c r="P33" i="4"/>
  <c r="T29" i="4"/>
  <c r="P22" i="4"/>
  <c r="U19" i="4"/>
  <c r="L70" i="4"/>
  <c r="O42" i="4"/>
  <c r="R36" i="4"/>
  <c r="O33" i="4"/>
  <c r="S29" i="4"/>
  <c r="O22" i="4"/>
  <c r="S19" i="4"/>
  <c r="N73" i="4"/>
  <c r="N42" i="4"/>
  <c r="Q36" i="4"/>
  <c r="L33" i="4"/>
  <c r="R29" i="4"/>
  <c r="K22" i="4"/>
  <c r="O19" i="4"/>
  <c r="S82" i="4"/>
  <c r="N79" i="4"/>
  <c r="T75" i="4"/>
  <c r="M72" i="4"/>
  <c r="O63" i="4"/>
  <c r="K60" i="4"/>
  <c r="P57" i="4"/>
  <c r="O54" i="4"/>
  <c r="V44" i="4"/>
  <c r="K41" i="4"/>
  <c r="S26" i="4"/>
  <c r="R82" i="4"/>
  <c r="L79" i="4"/>
  <c r="O75" i="4"/>
  <c r="L72" i="4"/>
  <c r="N63" i="4"/>
  <c r="O57" i="4"/>
  <c r="K54" i="4"/>
  <c r="T44" i="4"/>
  <c r="R26" i="4"/>
  <c r="Q53" i="4"/>
  <c r="U26" i="4"/>
  <c r="R37" i="4"/>
  <c r="T10" i="4"/>
  <c r="U15" i="4"/>
  <c r="R19" i="4"/>
  <c r="V24" i="4"/>
  <c r="U36" i="4"/>
  <c r="T41" i="4"/>
  <c r="R44" i="4"/>
  <c r="P50" i="4"/>
  <c r="L58" i="4"/>
  <c r="S61" i="4"/>
  <c r="L67" i="4"/>
  <c r="O78" i="4"/>
  <c r="M81" i="4"/>
  <c r="V26" i="4"/>
  <c r="U37" i="4"/>
  <c r="N51" i="4"/>
  <c r="R54" i="4"/>
  <c r="M57" i="4"/>
  <c r="K59" i="4"/>
  <c r="M62" i="4"/>
  <c r="Q65" i="4"/>
  <c r="R68" i="4"/>
  <c r="P76" i="4"/>
  <c r="O79" i="4"/>
  <c r="P82" i="4"/>
  <c r="R12" i="4"/>
  <c r="P24" i="4"/>
  <c r="M30" i="4"/>
  <c r="T36" i="4"/>
  <c r="U44" i="4"/>
  <c r="M47" i="4"/>
  <c r="V50" i="4"/>
  <c r="P56" i="4"/>
  <c r="P68" i="4"/>
  <c r="Q73" i="4"/>
  <c r="L76" i="4"/>
  <c r="T82" i="4"/>
  <c r="V13" i="4"/>
  <c r="S17" i="4"/>
  <c r="M33" i="4"/>
  <c r="M38" i="4"/>
  <c r="L41" i="4"/>
  <c r="N50" i="4"/>
  <c r="V58" i="4"/>
  <c r="M64" i="4"/>
  <c r="L68" i="4"/>
  <c r="O73" i="4"/>
  <c r="K76" i="4"/>
  <c r="U82" i="4"/>
  <c r="M21" i="4"/>
  <c r="N33" i="4"/>
  <c r="N38" i="4"/>
  <c r="M41" i="4"/>
  <c r="O50" i="4"/>
  <c r="N68" i="4"/>
  <c r="P73" i="4"/>
  <c r="S76" i="4"/>
  <c r="V82" i="4"/>
  <c r="V15" i="4"/>
  <c r="T19" i="4"/>
  <c r="Q34" i="4"/>
  <c r="R39" i="4"/>
  <c r="M42" i="4"/>
  <c r="V45" i="4"/>
  <c r="O51" i="4"/>
  <c r="V54" i="4"/>
  <c r="Q57" i="4"/>
  <c r="S66" i="4"/>
  <c r="M78" i="4"/>
  <c r="N81" i="4"/>
  <c r="N13" i="4"/>
  <c r="N41" i="4"/>
  <c r="P44" i="4"/>
  <c r="M59" i="4"/>
  <c r="Q62" i="4"/>
  <c r="U78" i="4"/>
  <c r="R84" i="4"/>
  <c r="O13" i="4"/>
  <c r="O41" i="4"/>
  <c r="Q44" i="4"/>
  <c r="L47" i="4"/>
  <c r="V78" i="4"/>
  <c r="O14" i="4"/>
  <c r="V21" i="4"/>
  <c r="O24" i="4"/>
  <c r="Q39" i="4"/>
  <c r="P42" i="4"/>
  <c r="P49" i="4"/>
  <c r="T70" i="4"/>
  <c r="P85" i="4"/>
  <c r="P81" i="4"/>
  <c r="K78" i="4"/>
  <c r="S74" i="4"/>
  <c r="M71" i="4"/>
  <c r="L46" i="4"/>
  <c r="S24" i="4"/>
  <c r="U21" i="4"/>
  <c r="M14" i="4"/>
  <c r="O81" i="4"/>
  <c r="R74" i="4"/>
  <c r="L71" i="4"/>
  <c r="K46" i="4"/>
  <c r="N24" i="4"/>
  <c r="Q25" i="3"/>
  <c r="R25" i="3"/>
  <c r="R65" i="3"/>
  <c r="S25" i="3"/>
  <c r="L32" i="3"/>
  <c r="L59" i="3"/>
  <c r="U49" i="3"/>
  <c r="AC60" i="31"/>
  <c r="AC44" i="31"/>
  <c r="Z77" i="31"/>
  <c r="Y77" i="31"/>
  <c r="W77" i="31"/>
  <c r="X77" i="31"/>
  <c r="AD77" i="31"/>
  <c r="AA77" i="31"/>
  <c r="AE77" i="31"/>
  <c r="AC77" i="31"/>
  <c r="AB77" i="31"/>
  <c r="W28" i="31"/>
  <c r="Y28" i="31"/>
  <c r="AA28" i="31"/>
  <c r="AC28" i="31"/>
  <c r="AE28" i="31"/>
  <c r="Z28" i="31"/>
  <c r="AD28" i="31"/>
  <c r="AB28" i="31"/>
  <c r="X28" i="31"/>
  <c r="AE60" i="31"/>
  <c r="AA60" i="31"/>
  <c r="Z60" i="31"/>
  <c r="AB60" i="31"/>
  <c r="W60" i="31"/>
  <c r="AC49" i="31"/>
  <c r="W49" i="31"/>
  <c r="Y49" i="31"/>
  <c r="AD49" i="31"/>
  <c r="X49" i="31"/>
  <c r="W48" i="31"/>
  <c r="Y48" i="31"/>
  <c r="AA48" i="31"/>
  <c r="AD48" i="31"/>
  <c r="X48" i="31"/>
  <c r="Z48" i="31"/>
  <c r="AE48" i="31"/>
  <c r="AB48" i="31"/>
  <c r="AC48" i="31"/>
  <c r="X60" i="31"/>
  <c r="Y60" i="31"/>
  <c r="AD60" i="31"/>
  <c r="AD84" i="31"/>
  <c r="AE84" i="31"/>
  <c r="AB84" i="31"/>
  <c r="W84" i="31"/>
  <c r="Y84" i="31"/>
  <c r="Z84" i="31"/>
  <c r="X84" i="31"/>
  <c r="AA84" i="31"/>
  <c r="AC84" i="31"/>
  <c r="AB25" i="31"/>
  <c r="AA25" i="31"/>
  <c r="X25" i="31"/>
  <c r="W25" i="31"/>
  <c r="Z25" i="31"/>
  <c r="AD25" i="31"/>
  <c r="AC25" i="31"/>
  <c r="Y25" i="31"/>
  <c r="AE25" i="31"/>
  <c r="W57" i="31"/>
  <c r="AC57" i="31"/>
  <c r="AA57" i="31"/>
  <c r="AD57" i="31"/>
  <c r="AB57" i="31"/>
  <c r="Z57" i="31"/>
  <c r="AE57" i="31"/>
  <c r="Y57" i="31"/>
  <c r="X57" i="31"/>
  <c r="AE82" i="31"/>
  <c r="AB82" i="31"/>
  <c r="AD82" i="31"/>
  <c r="Y82" i="31"/>
  <c r="AC82" i="31"/>
  <c r="X82" i="31"/>
  <c r="AA82" i="31"/>
  <c r="AB35" i="31"/>
  <c r="Y35" i="31"/>
  <c r="AA35" i="31"/>
  <c r="AD35" i="31"/>
  <c r="W35" i="31"/>
  <c r="AC35" i="31"/>
  <c r="AE35" i="31"/>
  <c r="Z35" i="31"/>
  <c r="X35" i="31"/>
  <c r="AD46" i="31"/>
  <c r="AE46" i="31"/>
  <c r="AB46" i="31"/>
  <c r="AD53" i="31"/>
  <c r="AE53" i="31"/>
  <c r="W53" i="31"/>
  <c r="AA53" i="31"/>
  <c r="AE20" i="31"/>
  <c r="AD20" i="31"/>
  <c r="AD44" i="31"/>
  <c r="Y44" i="31"/>
  <c r="AE44" i="31"/>
  <c r="X44" i="31"/>
  <c r="AA44" i="31"/>
  <c r="Z44" i="31"/>
  <c r="AB44" i="31"/>
  <c r="W44" i="31"/>
  <c r="Z82" i="31"/>
  <c r="W82" i="31"/>
  <c r="W79" i="31"/>
  <c r="AC79" i="31"/>
  <c r="AD79" i="31"/>
  <c r="AE79" i="31"/>
  <c r="X79" i="31"/>
  <c r="AB79" i="31"/>
  <c r="Y79" i="31"/>
  <c r="Z79" i="31"/>
  <c r="AA79" i="31"/>
  <c r="Z20" i="31"/>
  <c r="AB20" i="31"/>
  <c r="AC20" i="31"/>
  <c r="W20" i="31"/>
  <c r="AA20" i="31"/>
  <c r="Y20" i="31"/>
  <c r="X20" i="31"/>
  <c r="AE49" i="31"/>
  <c r="AA49" i="31"/>
  <c r="AB49" i="31"/>
  <c r="Z49" i="31"/>
  <c r="Z46" i="31"/>
  <c r="X46" i="31"/>
  <c r="Y46" i="31"/>
  <c r="W46" i="31"/>
  <c r="AC46" i="31"/>
  <c r="AA46" i="31"/>
  <c r="Y10" i="31"/>
  <c r="W10" i="31"/>
  <c r="Z10" i="31"/>
  <c r="X10" i="31"/>
  <c r="AD10" i="31"/>
  <c r="AA10" i="31"/>
  <c r="AE10" i="31"/>
  <c r="AC10" i="31"/>
  <c r="AB10" i="31"/>
  <c r="Z40" i="31"/>
  <c r="AA40" i="31"/>
  <c r="AC40" i="31"/>
  <c r="Y40" i="31"/>
  <c r="AD40" i="31"/>
  <c r="W40" i="31"/>
  <c r="AE40" i="31"/>
  <c r="X40" i="31"/>
  <c r="AB40" i="31"/>
  <c r="X53" i="31"/>
  <c r="Y53" i="31"/>
  <c r="Z53" i="31"/>
  <c r="AC53" i="31"/>
  <c r="AB53" i="31"/>
  <c r="M56" i="19"/>
  <c r="P23" i="19"/>
  <c r="R23" i="19"/>
  <c r="S72" i="19"/>
  <c r="S11" i="29"/>
  <c r="R13" i="29"/>
  <c r="T16" i="29"/>
  <c r="P22" i="29"/>
  <c r="T48" i="29"/>
  <c r="V51" i="29"/>
  <c r="T60" i="29"/>
  <c r="S62" i="29"/>
  <c r="Q71" i="29"/>
  <c r="Q73" i="29"/>
  <c r="K75" i="29"/>
  <c r="R79" i="29"/>
  <c r="T11" i="29"/>
  <c r="S13" i="29"/>
  <c r="U16" i="29"/>
  <c r="U48" i="29"/>
  <c r="L54" i="29"/>
  <c r="U60" i="29"/>
  <c r="T62" i="29"/>
  <c r="K69" i="29"/>
  <c r="R71" i="29"/>
  <c r="R73" i="29"/>
  <c r="M75" i="29"/>
  <c r="S79" i="29"/>
  <c r="U11" i="29"/>
  <c r="T13" i="29"/>
  <c r="N31" i="29"/>
  <c r="K37" i="29"/>
  <c r="K40" i="29"/>
  <c r="K42" i="29"/>
  <c r="M54" i="29"/>
  <c r="V60" i="29"/>
  <c r="V62" i="29"/>
  <c r="L69" i="29"/>
  <c r="O10" i="29"/>
  <c r="P12" i="29"/>
  <c r="U14" i="29"/>
  <c r="V29" i="29"/>
  <c r="R32" i="29"/>
  <c r="M38" i="29"/>
  <c r="N55" i="29"/>
  <c r="V57" i="29"/>
  <c r="V59" i="29"/>
  <c r="R61" i="29"/>
  <c r="Q64" i="29"/>
  <c r="M70" i="29"/>
  <c r="R72" i="29"/>
  <c r="L74" i="29"/>
  <c r="O23" i="29"/>
  <c r="V25" i="29"/>
  <c r="U27" i="29"/>
  <c r="S29" i="29"/>
  <c r="Q32" i="29"/>
  <c r="N41" i="29"/>
  <c r="K43" i="29"/>
  <c r="P47" i="29"/>
  <c r="M53" i="29"/>
  <c r="K56" i="29"/>
  <c r="N58" i="29"/>
  <c r="O60" i="29"/>
  <c r="Q62" i="29"/>
  <c r="P23" i="29"/>
  <c r="T29" i="29"/>
  <c r="S32" i="29"/>
  <c r="O41" i="29"/>
  <c r="M43" i="29"/>
  <c r="Q47" i="29"/>
  <c r="U50" i="29"/>
  <c r="N53" i="29"/>
  <c r="L56" i="29"/>
  <c r="O58" i="29"/>
  <c r="P60" i="29"/>
  <c r="R81" i="29"/>
  <c r="P10" i="29"/>
  <c r="V15" i="29"/>
  <c r="T26" i="29"/>
  <c r="S28" i="29"/>
  <c r="T30" i="29"/>
  <c r="M57" i="29"/>
  <c r="N59" i="29"/>
  <c r="O61" i="29"/>
  <c r="T64" i="29"/>
  <c r="N79" i="29"/>
  <c r="V82" i="29"/>
  <c r="Q10" i="29"/>
  <c r="U26" i="29"/>
  <c r="T28" i="29"/>
  <c r="U30" i="29"/>
  <c r="L42" i="29"/>
  <c r="N57" i="29"/>
  <c r="Q59" i="29"/>
  <c r="Q61" i="29"/>
  <c r="U64" i="29"/>
  <c r="O79" i="29"/>
  <c r="U10" i="29"/>
  <c r="R16" i="29"/>
  <c r="K25" i="29"/>
  <c r="N27" i="29"/>
  <c r="O29" i="29"/>
  <c r="T41" i="29"/>
  <c r="T43" i="29"/>
  <c r="S45" i="29"/>
  <c r="P48" i="29"/>
  <c r="O57" i="29"/>
  <c r="V65" i="29"/>
  <c r="R29" i="29"/>
  <c r="R17" i="29"/>
  <c r="P39" i="29"/>
  <c r="S16" i="29"/>
  <c r="L25" i="29"/>
  <c r="O27" i="29"/>
  <c r="Q29" i="29"/>
  <c r="K39" i="29"/>
  <c r="U41" i="29"/>
  <c r="V43" i="29"/>
  <c r="T45" i="29"/>
  <c r="Q48" i="29"/>
  <c r="P57" i="29"/>
  <c r="K13" i="29"/>
  <c r="M25" i="29"/>
  <c r="Q27" i="29"/>
  <c r="L39" i="29"/>
  <c r="V41" i="29"/>
  <c r="U45" i="29"/>
  <c r="R48" i="29"/>
  <c r="R57" i="29"/>
  <c r="L62" i="29"/>
  <c r="M69" i="29"/>
  <c r="L13" i="29"/>
  <c r="N25" i="29"/>
  <c r="R27" i="29"/>
  <c r="U29" i="29"/>
  <c r="M39" i="29"/>
  <c r="V45" i="29"/>
  <c r="S57" i="29"/>
  <c r="M62" i="29"/>
  <c r="N69" i="29"/>
  <c r="T81" i="29"/>
  <c r="K84" i="29"/>
  <c r="M13" i="29"/>
  <c r="O25" i="29"/>
  <c r="S27" i="29"/>
  <c r="N39" i="29"/>
  <c r="U57" i="29"/>
  <c r="N62" i="29"/>
  <c r="U81" i="29"/>
  <c r="L84" i="29"/>
  <c r="N13" i="29"/>
  <c r="Q25" i="29"/>
  <c r="T27" i="29"/>
  <c r="K36" i="29"/>
  <c r="O39" i="29"/>
  <c r="O62" i="29"/>
  <c r="V81" i="29"/>
  <c r="O13" i="29"/>
  <c r="R25" i="29"/>
  <c r="L36" i="29"/>
  <c r="P62" i="29"/>
  <c r="K72" i="29"/>
  <c r="U12" i="29"/>
  <c r="M10" i="29"/>
  <c r="K12" i="29"/>
  <c r="L14" i="29"/>
  <c r="U17" i="29"/>
  <c r="K20" i="29"/>
  <c r="V26" i="29"/>
  <c r="P28" i="29"/>
  <c r="M30" i="29"/>
  <c r="N38" i="29"/>
  <c r="V42" i="29"/>
  <c r="P44" i="29"/>
  <c r="M46" i="29"/>
  <c r="K54" i="29"/>
  <c r="O56" i="29"/>
  <c r="K58" i="29"/>
  <c r="U61" i="29"/>
  <c r="P64" i="29"/>
  <c r="K70" i="29"/>
  <c r="O72" i="29"/>
  <c r="R77" i="29"/>
  <c r="V10" i="29"/>
  <c r="T18" i="29"/>
  <c r="M21" i="29"/>
  <c r="R23" i="29"/>
  <c r="U25" i="29"/>
  <c r="P27" i="29"/>
  <c r="K29" i="29"/>
  <c r="Q31" i="29"/>
  <c r="U43" i="29"/>
  <c r="Q45" i="29"/>
  <c r="V47" i="29"/>
  <c r="T50" i="29"/>
  <c r="K53" i="29"/>
  <c r="Q55" i="29"/>
  <c r="T57" i="29"/>
  <c r="P59" i="29"/>
  <c r="P63" i="29"/>
  <c r="Q75" i="29"/>
  <c r="K77" i="29"/>
  <c r="P79" i="29"/>
  <c r="L85" i="29"/>
  <c r="V13" i="29"/>
  <c r="O22" i="29"/>
  <c r="Q26" i="29"/>
  <c r="K28" i="29"/>
  <c r="U32" i="29"/>
  <c r="L38" i="29"/>
  <c r="U42" i="29"/>
  <c r="Q44" i="29"/>
  <c r="O46" i="29"/>
  <c r="N54" i="29"/>
  <c r="S56" i="29"/>
  <c r="P58" i="29"/>
  <c r="M14" i="29"/>
  <c r="L23" i="29"/>
  <c r="P25" i="29"/>
  <c r="M27" i="29"/>
  <c r="R31" i="29"/>
  <c r="U34" i="29"/>
  <c r="L37" i="29"/>
  <c r="S48" i="29"/>
  <c r="Q56" i="29"/>
  <c r="Q58" i="29"/>
  <c r="L60" i="29"/>
  <c r="U74" i="29"/>
  <c r="Q76" i="29"/>
  <c r="O78" i="29"/>
  <c r="S81" i="29"/>
  <c r="P24" i="29"/>
  <c r="M26" i="29"/>
  <c r="P38" i="29"/>
  <c r="K41" i="29"/>
  <c r="L55" i="29"/>
  <c r="Q57" i="29"/>
  <c r="O59" i="29"/>
  <c r="Q63" i="29"/>
  <c r="T75" i="29"/>
  <c r="N77" i="29"/>
  <c r="V79" i="29"/>
  <c r="U79" i="29"/>
  <c r="R75" i="29"/>
  <c r="L72" i="29"/>
  <c r="P70" i="29"/>
  <c r="U62" i="29"/>
  <c r="M61" i="29"/>
  <c r="R58" i="29"/>
  <c r="R44" i="29"/>
  <c r="R41" i="29"/>
  <c r="L30" i="29"/>
  <c r="V27" i="29"/>
  <c r="K26" i="29"/>
  <c r="Q24" i="29"/>
  <c r="T14" i="29"/>
  <c r="N10" i="29"/>
  <c r="Q11" i="29"/>
  <c r="O11" i="29"/>
  <c r="S15" i="29"/>
  <c r="N11" i="29"/>
  <c r="R15" i="29"/>
  <c r="V12" i="29"/>
  <c r="K11" i="29"/>
  <c r="K19" i="29"/>
  <c r="M20" i="29"/>
  <c r="O21" i="29"/>
  <c r="Q22" i="29"/>
  <c r="S23" i="29"/>
  <c r="U24" i="29"/>
  <c r="K35" i="29"/>
  <c r="M36" i="29"/>
  <c r="O37" i="29"/>
  <c r="Q38" i="29"/>
  <c r="S39" i="29"/>
  <c r="U40" i="29"/>
  <c r="K51" i="29"/>
  <c r="M52" i="29"/>
  <c r="O53" i="29"/>
  <c r="Q54" i="29"/>
  <c r="S55" i="29"/>
  <c r="U56" i="29"/>
  <c r="K67" i="29"/>
  <c r="M68" i="29"/>
  <c r="O69" i="29"/>
  <c r="Q70" i="29"/>
  <c r="S71" i="29"/>
  <c r="U72" i="29"/>
  <c r="K83" i="29"/>
  <c r="M84" i="29"/>
  <c r="O85" i="29"/>
  <c r="L19" i="29"/>
  <c r="N20" i="29"/>
  <c r="P21" i="29"/>
  <c r="R22" i="29"/>
  <c r="T23" i="29"/>
  <c r="V24" i="29"/>
  <c r="L35" i="29"/>
  <c r="N36" i="29"/>
  <c r="P37" i="29"/>
  <c r="R38" i="29"/>
  <c r="T39" i="29"/>
  <c r="V40" i="29"/>
  <c r="L51" i="29"/>
  <c r="N52" i="29"/>
  <c r="P53" i="29"/>
  <c r="R54" i="29"/>
  <c r="T55" i="29"/>
  <c r="V56" i="29"/>
  <c r="L67" i="29"/>
  <c r="N68" i="29"/>
  <c r="P69" i="29"/>
  <c r="R70" i="29"/>
  <c r="T71" i="29"/>
  <c r="V72" i="29"/>
  <c r="L83" i="29"/>
  <c r="N84" i="29"/>
  <c r="P85" i="29"/>
  <c r="K18" i="29"/>
  <c r="M19" i="29"/>
  <c r="O20" i="29"/>
  <c r="Q21" i="29"/>
  <c r="S22" i="29"/>
  <c r="U23" i="29"/>
  <c r="K34" i="29"/>
  <c r="M35" i="29"/>
  <c r="O36" i="29"/>
  <c r="Q37" i="29"/>
  <c r="S38" i="29"/>
  <c r="U39" i="29"/>
  <c r="K50" i="29"/>
  <c r="M51" i="29"/>
  <c r="O52" i="29"/>
  <c r="Q53" i="29"/>
  <c r="S54" i="29"/>
  <c r="U55" i="29"/>
  <c r="K66" i="29"/>
  <c r="M67" i="29"/>
  <c r="O68" i="29"/>
  <c r="Q69" i="29"/>
  <c r="S70" i="29"/>
  <c r="U71" i="29"/>
  <c r="K82" i="29"/>
  <c r="M83" i="29"/>
  <c r="O84" i="29"/>
  <c r="Q85" i="29"/>
  <c r="L18" i="29"/>
  <c r="N19" i="29"/>
  <c r="P20" i="29"/>
  <c r="R21" i="29"/>
  <c r="T22" i="29"/>
  <c r="V23" i="29"/>
  <c r="L34" i="29"/>
  <c r="N35" i="29"/>
  <c r="P36" i="29"/>
  <c r="R37" i="29"/>
  <c r="T38" i="29"/>
  <c r="V39" i="29"/>
  <c r="L50" i="29"/>
  <c r="N51" i="29"/>
  <c r="P52" i="29"/>
  <c r="R53" i="29"/>
  <c r="T54" i="29"/>
  <c r="V55" i="29"/>
  <c r="L66" i="29"/>
  <c r="N67" i="29"/>
  <c r="P68" i="29"/>
  <c r="R69" i="29"/>
  <c r="T70" i="29"/>
  <c r="V71" i="29"/>
  <c r="L82" i="29"/>
  <c r="N83" i="29"/>
  <c r="P84" i="29"/>
  <c r="R85" i="29"/>
  <c r="K17" i="29"/>
  <c r="M18" i="29"/>
  <c r="O19" i="29"/>
  <c r="Q20" i="29"/>
  <c r="S21" i="29"/>
  <c r="U22" i="29"/>
  <c r="K33" i="29"/>
  <c r="M34" i="29"/>
  <c r="O35" i="29"/>
  <c r="Q36" i="29"/>
  <c r="S37" i="29"/>
  <c r="U38" i="29"/>
  <c r="K49" i="29"/>
  <c r="M50" i="29"/>
  <c r="O51" i="29"/>
  <c r="Q52" i="29"/>
  <c r="S53" i="29"/>
  <c r="U54" i="29"/>
  <c r="K65" i="29"/>
  <c r="M66" i="29"/>
  <c r="O67" i="29"/>
  <c r="Q68" i="29"/>
  <c r="S69" i="29"/>
  <c r="U70" i="29"/>
  <c r="K81" i="29"/>
  <c r="M82" i="29"/>
  <c r="O83" i="29"/>
  <c r="Q84" i="29"/>
  <c r="S85" i="29"/>
  <c r="L17" i="29"/>
  <c r="N18" i="29"/>
  <c r="P19" i="29"/>
  <c r="R20" i="29"/>
  <c r="T21" i="29"/>
  <c r="V22" i="29"/>
  <c r="L33" i="29"/>
  <c r="N34" i="29"/>
  <c r="P35" i="29"/>
  <c r="R36" i="29"/>
  <c r="T37" i="29"/>
  <c r="V38" i="29"/>
  <c r="L49" i="29"/>
  <c r="N50" i="29"/>
  <c r="P51" i="29"/>
  <c r="R52" i="29"/>
  <c r="T53" i="29"/>
  <c r="V54" i="29"/>
  <c r="L65" i="29"/>
  <c r="N66" i="29"/>
  <c r="P67" i="29"/>
  <c r="R68" i="29"/>
  <c r="T69" i="29"/>
  <c r="V70" i="29"/>
  <c r="L81" i="29"/>
  <c r="N82" i="29"/>
  <c r="P83" i="29"/>
  <c r="R84" i="29"/>
  <c r="T85" i="29"/>
  <c r="K16" i="29"/>
  <c r="M17" i="29"/>
  <c r="O18" i="29"/>
  <c r="Q19" i="29"/>
  <c r="S20" i="29"/>
  <c r="U21" i="29"/>
  <c r="K32" i="29"/>
  <c r="M33" i="29"/>
  <c r="O34" i="29"/>
  <c r="Q35" i="29"/>
  <c r="S36" i="29"/>
  <c r="U37" i="29"/>
  <c r="K48" i="29"/>
  <c r="M49" i="29"/>
  <c r="O50" i="29"/>
  <c r="Q51" i="29"/>
  <c r="S52" i="29"/>
  <c r="U53" i="29"/>
  <c r="K64" i="29"/>
  <c r="M65" i="29"/>
  <c r="O66" i="29"/>
  <c r="Q67" i="29"/>
  <c r="S68" i="29"/>
  <c r="U69" i="29"/>
  <c r="K80" i="29"/>
  <c r="M81" i="29"/>
  <c r="O82" i="29"/>
  <c r="Q83" i="29"/>
  <c r="S84" i="29"/>
  <c r="U85" i="29"/>
  <c r="L16" i="29"/>
  <c r="N17" i="29"/>
  <c r="P18" i="29"/>
  <c r="R19" i="29"/>
  <c r="T20" i="29"/>
  <c r="V21" i="29"/>
  <c r="L32" i="29"/>
  <c r="N33" i="29"/>
  <c r="P34" i="29"/>
  <c r="R35" i="29"/>
  <c r="T36" i="29"/>
  <c r="V37" i="29"/>
  <c r="L48" i="29"/>
  <c r="N49" i="29"/>
  <c r="P50" i="29"/>
  <c r="R51" i="29"/>
  <c r="T52" i="29"/>
  <c r="V53" i="29"/>
  <c r="L64" i="29"/>
  <c r="N65" i="29"/>
  <c r="P66" i="29"/>
  <c r="R67" i="29"/>
  <c r="T68" i="29"/>
  <c r="V69" i="29"/>
  <c r="L80" i="29"/>
  <c r="N81" i="29"/>
  <c r="P82" i="29"/>
  <c r="R83" i="29"/>
  <c r="T84" i="29"/>
  <c r="V85" i="29"/>
  <c r="K15" i="29"/>
  <c r="M16" i="29"/>
  <c r="O17" i="29"/>
  <c r="Q18" i="29"/>
  <c r="S19" i="29"/>
  <c r="U20" i="29"/>
  <c r="K31" i="29"/>
  <c r="M32" i="29"/>
  <c r="O33" i="29"/>
  <c r="Q34" i="29"/>
  <c r="S35" i="29"/>
  <c r="U36" i="29"/>
  <c r="K47" i="29"/>
  <c r="M48" i="29"/>
  <c r="O49" i="29"/>
  <c r="Q50" i="29"/>
  <c r="S51" i="29"/>
  <c r="U52" i="29"/>
  <c r="K63" i="29"/>
  <c r="M64" i="29"/>
  <c r="O65" i="29"/>
  <c r="Q66" i="29"/>
  <c r="S67" i="29"/>
  <c r="U68" i="29"/>
  <c r="K79" i="29"/>
  <c r="M80" i="29"/>
  <c r="O81" i="29"/>
  <c r="Q82" i="29"/>
  <c r="S83" i="29"/>
  <c r="U84" i="29"/>
  <c r="L15" i="29"/>
  <c r="N16" i="29"/>
  <c r="P17" i="29"/>
  <c r="R18" i="29"/>
  <c r="T19" i="29"/>
  <c r="V20" i="29"/>
  <c r="L31" i="29"/>
  <c r="N32" i="29"/>
  <c r="P33" i="29"/>
  <c r="R34" i="29"/>
  <c r="T35" i="29"/>
  <c r="V36" i="29"/>
  <c r="L47" i="29"/>
  <c r="N48" i="29"/>
  <c r="P49" i="29"/>
  <c r="R50" i="29"/>
  <c r="T51" i="29"/>
  <c r="V52" i="29"/>
  <c r="L63" i="29"/>
  <c r="N64" i="29"/>
  <c r="P65" i="29"/>
  <c r="R66" i="29"/>
  <c r="T67" i="29"/>
  <c r="V68" i="29"/>
  <c r="L79" i="29"/>
  <c r="N80" i="29"/>
  <c r="P81" i="29"/>
  <c r="R82" i="29"/>
  <c r="T83" i="29"/>
  <c r="V84" i="29"/>
  <c r="K14" i="29"/>
  <c r="M15" i="29"/>
  <c r="O16" i="29"/>
  <c r="Q17" i="29"/>
  <c r="S18" i="29"/>
  <c r="U19" i="29"/>
  <c r="K30" i="29"/>
  <c r="M31" i="29"/>
  <c r="O32" i="29"/>
  <c r="Q33" i="29"/>
  <c r="S34" i="29"/>
  <c r="U35" i="29"/>
  <c r="K46" i="29"/>
  <c r="M47" i="29"/>
  <c r="O48" i="29"/>
  <c r="Q49" i="29"/>
  <c r="S50" i="29"/>
  <c r="U51" i="29"/>
  <c r="K62" i="29"/>
  <c r="M63" i="29"/>
  <c r="O64" i="29"/>
  <c r="Q65" i="29"/>
  <c r="S66" i="29"/>
  <c r="U67" i="29"/>
  <c r="K78" i="29"/>
  <c r="M79" i="29"/>
  <c r="O80" i="29"/>
  <c r="Q81" i="29"/>
  <c r="S82" i="29"/>
  <c r="U83" i="29"/>
  <c r="L11" i="29"/>
  <c r="N12" i="29"/>
  <c r="P13" i="29"/>
  <c r="R14" i="29"/>
  <c r="T15" i="29"/>
  <c r="V16" i="29"/>
  <c r="L27" i="29"/>
  <c r="N28" i="29"/>
  <c r="P29" i="29"/>
  <c r="R30" i="29"/>
  <c r="T31" i="29"/>
  <c r="V32" i="29"/>
  <c r="L43" i="29"/>
  <c r="N44" i="29"/>
  <c r="P45" i="29"/>
  <c r="R46" i="29"/>
  <c r="T47" i="29"/>
  <c r="V48" i="29"/>
  <c r="L59" i="29"/>
  <c r="N60" i="29"/>
  <c r="P61" i="29"/>
  <c r="R62" i="29"/>
  <c r="T63" i="29"/>
  <c r="V64" i="29"/>
  <c r="L75" i="29"/>
  <c r="N76" i="29"/>
  <c r="P77" i="29"/>
  <c r="R78" i="29"/>
  <c r="T79" i="29"/>
  <c r="V80" i="29"/>
  <c r="K10" i="29"/>
  <c r="M11" i="29"/>
  <c r="O12" i="29"/>
  <c r="Q13" i="29"/>
  <c r="S14" i="29"/>
  <c r="U15" i="29"/>
  <c r="R19" i="26"/>
  <c r="U59" i="26"/>
  <c r="V75" i="26"/>
  <c r="V79" i="26"/>
  <c r="R14" i="26"/>
  <c r="U28" i="26"/>
  <c r="V35" i="26"/>
  <c r="U61" i="26"/>
  <c r="Q33" i="26"/>
  <c r="K41" i="26"/>
  <c r="R47" i="26"/>
  <c r="V52" i="26"/>
  <c r="S66" i="26"/>
  <c r="L13" i="26"/>
  <c r="L20" i="26"/>
  <c r="R27" i="26"/>
  <c r="K24" i="26"/>
  <c r="V44" i="26"/>
  <c r="N57" i="26"/>
  <c r="O63" i="26"/>
  <c r="O75" i="26"/>
  <c r="S12" i="26"/>
  <c r="R71" i="26"/>
  <c r="U65" i="26"/>
  <c r="O55" i="26"/>
  <c r="S49" i="26"/>
  <c r="M45" i="26"/>
  <c r="L39" i="26"/>
  <c r="T24" i="26"/>
  <c r="O11" i="26"/>
  <c r="T81" i="26"/>
  <c r="P74" i="26"/>
  <c r="R65" i="26"/>
  <c r="N30" i="26"/>
  <c r="S81" i="26"/>
  <c r="M71" i="26"/>
  <c r="R62" i="26"/>
  <c r="K55" i="26"/>
  <c r="P46" i="26"/>
  <c r="T40" i="26"/>
  <c r="M20" i="26"/>
  <c r="S23" i="26"/>
  <c r="K35" i="26"/>
  <c r="O37" i="26"/>
  <c r="S55" i="26"/>
  <c r="O85" i="26"/>
  <c r="N20" i="26"/>
  <c r="L35" i="26"/>
  <c r="R38" i="26"/>
  <c r="V40" i="26"/>
  <c r="N52" i="26"/>
  <c r="R70" i="26"/>
  <c r="U23" i="26"/>
  <c r="M35" i="26"/>
  <c r="Q37" i="26"/>
  <c r="S38" i="26"/>
  <c r="U39" i="26"/>
  <c r="K50" i="26"/>
  <c r="M51" i="26"/>
  <c r="O52" i="26"/>
  <c r="Q53" i="26"/>
  <c r="S54" i="26"/>
  <c r="U55" i="26"/>
  <c r="K66" i="26"/>
  <c r="M67" i="26"/>
  <c r="O68" i="26"/>
  <c r="O84" i="26"/>
  <c r="P36" i="26"/>
  <c r="T53" i="26"/>
  <c r="N66" i="26"/>
  <c r="T69" i="26"/>
  <c r="V70" i="26"/>
  <c r="N82" i="26"/>
  <c r="R84" i="26"/>
  <c r="M17" i="26"/>
  <c r="K64" i="26"/>
  <c r="U69" i="26"/>
  <c r="M81" i="26"/>
  <c r="Q83" i="26"/>
  <c r="U85" i="26"/>
  <c r="M11" i="26"/>
  <c r="S14" i="26"/>
  <c r="Q61" i="26"/>
  <c r="K74" i="26"/>
  <c r="M75" i="26"/>
  <c r="Q77" i="26"/>
  <c r="L10" i="26"/>
  <c r="N10" i="26"/>
  <c r="R12" i="26"/>
  <c r="T29" i="26"/>
  <c r="N58" i="26"/>
  <c r="R60" i="26"/>
  <c r="L73" i="26"/>
  <c r="R76" i="26"/>
  <c r="K20" i="26"/>
  <c r="Q23" i="26"/>
  <c r="K36" i="26"/>
  <c r="M53" i="26"/>
  <c r="K84" i="26"/>
  <c r="R15" i="26"/>
  <c r="R58" i="26"/>
  <c r="V29" i="26"/>
  <c r="Q10" i="26"/>
  <c r="M62" i="26"/>
  <c r="V37" i="26"/>
  <c r="L31" i="26"/>
  <c r="T25" i="26"/>
  <c r="V15" i="26"/>
  <c r="M24" i="26"/>
  <c r="L30" i="26"/>
  <c r="P57" i="26"/>
  <c r="M61" i="26"/>
  <c r="L68" i="26"/>
  <c r="L14" i="26"/>
  <c r="M55" i="26"/>
  <c r="R59" i="26"/>
  <c r="R63" i="26"/>
  <c r="S73" i="26"/>
  <c r="O77" i="26"/>
  <c r="Q28" i="26"/>
  <c r="R24" i="26"/>
  <c r="S28" i="26"/>
  <c r="T35" i="26"/>
  <c r="K43" i="26"/>
  <c r="P55" i="26"/>
  <c r="R61" i="26"/>
  <c r="V73" i="26"/>
  <c r="V17" i="26"/>
  <c r="R34" i="26"/>
  <c r="N13" i="26"/>
  <c r="K28" i="26"/>
  <c r="L62" i="26"/>
  <c r="M70" i="26"/>
  <c r="Q73" i="26"/>
  <c r="V80" i="26"/>
  <c r="K25" i="26"/>
  <c r="R42" i="26"/>
  <c r="O62" i="26"/>
  <c r="N70" i="26"/>
  <c r="N12" i="26"/>
  <c r="M25" i="26"/>
  <c r="P70" i="26"/>
  <c r="O13" i="26"/>
  <c r="K31" i="26"/>
  <c r="T67" i="26"/>
  <c r="U74" i="26"/>
  <c r="M41" i="26"/>
  <c r="L63" i="26"/>
  <c r="P78" i="26"/>
  <c r="L27" i="26"/>
  <c r="P41" i="26"/>
  <c r="K57" i="26"/>
  <c r="T43" i="26"/>
  <c r="Q34" i="26"/>
  <c r="K13" i="26"/>
  <c r="L70" i="26"/>
  <c r="K70" i="26"/>
  <c r="P18" i="26"/>
  <c r="R46" i="26"/>
  <c r="V82" i="26"/>
  <c r="N46" i="26"/>
  <c r="U82" i="26"/>
  <c r="V65" i="26"/>
  <c r="M46" i="26"/>
  <c r="R33" i="26"/>
  <c r="N85" i="26"/>
  <c r="O73" i="26"/>
  <c r="T65" i="26"/>
  <c r="V60" i="26"/>
  <c r="L46" i="26"/>
  <c r="M13" i="26"/>
  <c r="L85" i="26"/>
  <c r="N73" i="26"/>
  <c r="T56" i="26"/>
  <c r="T46" i="26"/>
  <c r="K85" i="26"/>
  <c r="M73" i="26"/>
  <c r="R56" i="26"/>
  <c r="T64" i="26"/>
  <c r="O58" i="26"/>
  <c r="K54" i="26"/>
  <c r="Q26" i="26"/>
  <c r="T34" i="26"/>
  <c r="Q64" i="26"/>
  <c r="U50" i="26"/>
  <c r="T42" i="26"/>
  <c r="S34" i="26"/>
  <c r="L22" i="26"/>
  <c r="P64" i="26"/>
  <c r="S42" i="26"/>
  <c r="V66" i="26"/>
  <c r="S50" i="26"/>
  <c r="N53" i="26"/>
  <c r="K46" i="26"/>
  <c r="T50" i="26"/>
  <c r="U10" i="26"/>
  <c r="U13" i="26"/>
  <c r="R31" i="26"/>
  <c r="N39" i="26"/>
  <c r="U44" i="26"/>
  <c r="S48" i="26"/>
  <c r="P65" i="26"/>
  <c r="Q74" i="26"/>
  <c r="V10" i="26"/>
  <c r="V13" i="26"/>
  <c r="S31" i="26"/>
  <c r="R39" i="26"/>
  <c r="T48" i="26"/>
  <c r="K62" i="26"/>
  <c r="S65" i="26"/>
  <c r="U20" i="26"/>
  <c r="T20" i="26"/>
  <c r="V12" i="26"/>
  <c r="P15" i="26"/>
  <c r="K79" i="26"/>
  <c r="L59" i="26"/>
  <c r="V69" i="26"/>
  <c r="U66" i="26"/>
  <c r="N56" i="26"/>
  <c r="T32" i="26"/>
  <c r="S17" i="26"/>
  <c r="N69" i="26"/>
  <c r="U62" i="26"/>
  <c r="M56" i="26"/>
  <c r="L24" i="26"/>
  <c r="Q12" i="26"/>
  <c r="V41" i="26"/>
  <c r="M39" i="26"/>
  <c r="P31" i="26"/>
  <c r="S13" i="26"/>
  <c r="T10" i="26"/>
  <c r="L74" i="26"/>
  <c r="L48" i="26"/>
  <c r="S44" i="26"/>
  <c r="T41" i="26"/>
  <c r="N31" i="26"/>
  <c r="P13" i="26"/>
  <c r="S10" i="26"/>
  <c r="L53" i="26"/>
  <c r="R50" i="26"/>
  <c r="R40" i="26"/>
  <c r="L36" i="26"/>
  <c r="T33" i="26"/>
  <c r="N37" i="26"/>
  <c r="N49" i="26"/>
  <c r="V76" i="26"/>
  <c r="P10" i="26"/>
  <c r="R16" i="26"/>
  <c r="M23" i="26"/>
  <c r="O26" i="26"/>
  <c r="M29" i="26"/>
  <c r="R32" i="26"/>
  <c r="Q42" i="26"/>
  <c r="P44" i="26"/>
  <c r="S47" i="26"/>
  <c r="T60" i="26"/>
  <c r="K78" i="26"/>
  <c r="P81" i="26"/>
  <c r="N22" i="26"/>
  <c r="M22" i="26"/>
  <c r="O15" i="26"/>
  <c r="O81" i="26"/>
  <c r="Q75" i="26"/>
  <c r="P60" i="26"/>
  <c r="K47" i="26"/>
  <c r="N44" i="26"/>
  <c r="P42" i="26"/>
  <c r="P32" i="26"/>
  <c r="L29" i="26"/>
  <c r="L26" i="26"/>
  <c r="K23" i="26"/>
  <c r="Q16" i="26"/>
  <c r="O10" i="26"/>
  <c r="N81" i="26"/>
  <c r="N75" i="26"/>
  <c r="P16" i="26"/>
  <c r="M10" i="26"/>
  <c r="Q43" i="26"/>
  <c r="L37" i="26"/>
  <c r="P79" i="26"/>
  <c r="T76" i="26"/>
  <c r="K71" i="26"/>
  <c r="V45" i="26"/>
  <c r="O27" i="26"/>
  <c r="U11" i="26"/>
  <c r="T12" i="26"/>
  <c r="Q15" i="26"/>
  <c r="K37" i="26"/>
  <c r="K60" i="26"/>
  <c r="K63" i="26"/>
  <c r="N54" i="26"/>
  <c r="Q60" i="26"/>
  <c r="K75" i="26"/>
  <c r="N15" i="26"/>
  <c r="U18" i="26"/>
  <c r="U27" i="26"/>
  <c r="P45" i="26"/>
  <c r="R48" i="26"/>
  <c r="T51" i="26"/>
  <c r="P54" i="26"/>
  <c r="S60" i="26"/>
  <c r="L75" i="26"/>
  <c r="R13" i="26"/>
  <c r="P23" i="26"/>
  <c r="M26" i="26"/>
  <c r="M32" i="26"/>
  <c r="P39" i="26"/>
  <c r="V85" i="26"/>
  <c r="Q76" i="26"/>
  <c r="U45" i="26"/>
  <c r="N27" i="26"/>
  <c r="R11" i="26"/>
  <c r="Q49" i="26"/>
  <c r="S41" i="26"/>
  <c r="O39" i="26"/>
  <c r="Q32" i="26"/>
  <c r="K21" i="26"/>
  <c r="R18" i="26"/>
  <c r="U17" i="26"/>
  <c r="M76" i="26"/>
  <c r="O65" i="26"/>
  <c r="M48" i="26"/>
  <c r="O45" i="26"/>
  <c r="P34" i="26"/>
  <c r="M28" i="26"/>
  <c r="L23" i="26"/>
  <c r="O17" i="26"/>
  <c r="U16" i="26"/>
  <c r="R26" i="26"/>
  <c r="N28" i="26"/>
  <c r="U32" i="26"/>
  <c r="L47" i="26"/>
  <c r="V49" i="26"/>
  <c r="Q59" i="26"/>
  <c r="Q63" i="26"/>
  <c r="U84" i="26"/>
  <c r="Q57" i="26"/>
  <c r="N61" i="26"/>
  <c r="T68" i="26"/>
  <c r="O71" i="26"/>
  <c r="S75" i="26"/>
  <c r="R79" i="26"/>
  <c r="V84" i="26"/>
  <c r="O14" i="26"/>
  <c r="O24" i="26"/>
  <c r="T26" i="26"/>
  <c r="R30" i="26"/>
  <c r="S59" i="26"/>
  <c r="P61" i="26"/>
  <c r="P14" i="26"/>
  <c r="U26" i="26"/>
  <c r="T30" i="26"/>
  <c r="L38" i="26"/>
  <c r="O47" i="26"/>
  <c r="S57" i="26"/>
  <c r="T59" i="26"/>
  <c r="T63" i="26"/>
  <c r="P66" i="26"/>
  <c r="U75" i="26"/>
  <c r="V26" i="26"/>
  <c r="T57" i="26"/>
  <c r="S61" i="26"/>
  <c r="V63" i="26"/>
  <c r="Q66" i="26"/>
  <c r="U77" i="26"/>
  <c r="R82" i="26"/>
  <c r="L12" i="26"/>
  <c r="S19" i="26"/>
  <c r="N33" i="26"/>
  <c r="N38" i="26"/>
  <c r="N43" i="26"/>
  <c r="R66" i="26"/>
  <c r="P38" i="26"/>
  <c r="O43" i="26"/>
  <c r="N45" i="26"/>
  <c r="P50" i="26"/>
  <c r="V61" i="26"/>
  <c r="T82" i="26"/>
  <c r="S15" i="26"/>
  <c r="N23" i="26"/>
  <c r="R25" i="26"/>
  <c r="V58" i="26"/>
  <c r="N60" i="26"/>
  <c r="L21" i="26"/>
  <c r="P26" i="26"/>
  <c r="L28" i="26"/>
  <c r="S32" i="26"/>
  <c r="T49" i="26"/>
  <c r="N59" i="26"/>
  <c r="P73" i="26"/>
  <c r="O79" i="26"/>
  <c r="R77" i="26"/>
  <c r="S74" i="26"/>
  <c r="U68" i="26"/>
  <c r="O61" i="26"/>
  <c r="Q58" i="26"/>
  <c r="L52" i="26"/>
  <c r="U46" i="26"/>
  <c r="M42" i="26"/>
  <c r="P33" i="26"/>
  <c r="Q30" i="26"/>
  <c r="V18" i="26"/>
  <c r="M14" i="26"/>
  <c r="T84" i="26"/>
  <c r="N77" i="26"/>
  <c r="N71" i="26"/>
  <c r="Q46" i="26"/>
  <c r="K11" i="26"/>
  <c r="L84" i="26"/>
  <c r="U78" i="26"/>
  <c r="M77" i="26"/>
  <c r="O74" i="26"/>
  <c r="Q65" i="26"/>
  <c r="K61" i="26"/>
  <c r="L58" i="26"/>
  <c r="O49" i="26"/>
  <c r="V43" i="26"/>
  <c r="N21" i="26"/>
  <c r="S18" i="26"/>
  <c r="K19" i="26"/>
  <c r="O21" i="26"/>
  <c r="Q22" i="26"/>
  <c r="U24" i="26"/>
  <c r="M36" i="26"/>
  <c r="Q38" i="26"/>
  <c r="S39" i="26"/>
  <c r="U56" i="26"/>
  <c r="L19" i="26"/>
  <c r="P21" i="26"/>
  <c r="R22" i="26"/>
  <c r="T23" i="26"/>
  <c r="V24" i="26"/>
  <c r="N36" i="26"/>
  <c r="P37" i="26"/>
  <c r="T39" i="26"/>
  <c r="L51" i="26"/>
  <c r="P53" i="26"/>
  <c r="R54" i="26"/>
  <c r="T71" i="26"/>
  <c r="S22" i="26"/>
  <c r="K34" i="26"/>
  <c r="O36" i="26"/>
  <c r="Q85" i="26"/>
  <c r="R37" i="26"/>
  <c r="T38" i="26"/>
  <c r="V39" i="26"/>
  <c r="L50" i="26"/>
  <c r="N51" i="26"/>
  <c r="P52" i="26"/>
  <c r="R53" i="26"/>
  <c r="T54" i="26"/>
  <c r="V55" i="26"/>
  <c r="L66" i="26"/>
  <c r="N67" i="26"/>
  <c r="P68" i="26"/>
  <c r="R69" i="26"/>
  <c r="T70" i="26"/>
  <c r="V71" i="26"/>
  <c r="L82" i="26"/>
  <c r="O19" i="26"/>
  <c r="Q20" i="26"/>
  <c r="K49" i="26"/>
  <c r="M50" i="26"/>
  <c r="O51" i="26"/>
  <c r="Q52" i="26"/>
  <c r="S53" i="26"/>
  <c r="U54" i="26"/>
  <c r="K65" i="26"/>
  <c r="M66" i="26"/>
  <c r="O67" i="26"/>
  <c r="Q68" i="26"/>
  <c r="S69" i="26"/>
  <c r="U70" i="26"/>
  <c r="K81" i="26"/>
  <c r="M82" i="26"/>
  <c r="O83" i="26"/>
  <c r="Q84" i="26"/>
  <c r="S85" i="26"/>
  <c r="V22" i="26"/>
  <c r="L33" i="26"/>
  <c r="R52" i="26"/>
  <c r="V54" i="26"/>
  <c r="L65" i="26"/>
  <c r="P67" i="26"/>
  <c r="R68" i="26"/>
  <c r="L81" i="26"/>
  <c r="P83" i="26"/>
  <c r="T85" i="26"/>
  <c r="K16" i="26"/>
  <c r="O18" i="26"/>
  <c r="O34" i="26"/>
  <c r="Q35" i="26"/>
  <c r="M65" i="26"/>
  <c r="O66" i="26"/>
  <c r="Q67" i="26"/>
  <c r="S68" i="26"/>
  <c r="K80" i="26"/>
  <c r="O82" i="26"/>
  <c r="S84" i="26"/>
  <c r="K10" i="26"/>
  <c r="O12" i="26"/>
  <c r="Q13" i="26"/>
  <c r="S30" i="26"/>
  <c r="U31" i="26"/>
  <c r="O60" i="26"/>
  <c r="S62" i="26"/>
  <c r="U63" i="26"/>
  <c r="O76" i="26"/>
  <c r="S78" i="26"/>
  <c r="U79" i="26"/>
  <c r="N11" i="26"/>
  <c r="P12" i="26"/>
  <c r="P11" i="26"/>
  <c r="T13" i="26"/>
  <c r="V30" i="26"/>
  <c r="P59" i="26"/>
  <c r="T61" i="26"/>
  <c r="V62" i="26"/>
  <c r="N74" i="26"/>
  <c r="P75" i="26"/>
  <c r="T77" i="26"/>
  <c r="V78" i="26"/>
  <c r="M21" i="26"/>
  <c r="O22" i="26"/>
  <c r="S24" i="26"/>
  <c r="U25" i="26"/>
  <c r="K52" i="26"/>
  <c r="Q71" i="26"/>
  <c r="S72" i="26"/>
  <c r="U73" i="26"/>
  <c r="M85" i="26"/>
  <c r="U12" i="26"/>
  <c r="T17" i="25"/>
  <c r="L20" i="25"/>
  <c r="N22" i="25"/>
  <c r="S24" i="25"/>
  <c r="P26" i="25"/>
  <c r="S28" i="25"/>
  <c r="R30" i="25"/>
  <c r="V33" i="25"/>
  <c r="O38" i="25"/>
  <c r="S40" i="25"/>
  <c r="P42" i="25"/>
  <c r="T44" i="25"/>
  <c r="U46" i="25"/>
  <c r="N49" i="25"/>
  <c r="O56" i="25"/>
  <c r="M58" i="25"/>
  <c r="Q60" i="25"/>
  <c r="M62" i="25"/>
  <c r="V64" i="25"/>
  <c r="P71" i="25"/>
  <c r="S73" i="25"/>
  <c r="U75" i="25"/>
  <c r="N80" i="25"/>
  <c r="L82" i="25"/>
  <c r="L84" i="25"/>
  <c r="Q12" i="25"/>
  <c r="T14" i="25"/>
  <c r="V17" i="25"/>
  <c r="O20" i="25"/>
  <c r="O22" i="25"/>
  <c r="T24" i="25"/>
  <c r="Q26" i="25"/>
  <c r="T28" i="25"/>
  <c r="U30" i="25"/>
  <c r="K36" i="25"/>
  <c r="P38" i="25"/>
  <c r="T40" i="25"/>
  <c r="Q42" i="25"/>
  <c r="V44" i="25"/>
  <c r="V46" i="25"/>
  <c r="Q49" i="25"/>
  <c r="P56" i="25"/>
  <c r="N58" i="25"/>
  <c r="R60" i="25"/>
  <c r="N62" i="25"/>
  <c r="Q71" i="25"/>
  <c r="T73" i="25"/>
  <c r="V75" i="25"/>
  <c r="O80" i="25"/>
  <c r="N82" i="25"/>
  <c r="O84" i="25"/>
  <c r="L11" i="25"/>
  <c r="U13" i="25"/>
  <c r="L16" i="25"/>
  <c r="N21" i="25"/>
  <c r="Q23" i="25"/>
  <c r="S25" i="25"/>
  <c r="R27" i="25"/>
  <c r="Q32" i="25"/>
  <c r="M37" i="25"/>
  <c r="Q39" i="25"/>
  <c r="S41" i="25"/>
  <c r="S43" i="25"/>
  <c r="O48" i="25"/>
  <c r="S50" i="25"/>
  <c r="M55" i="25"/>
  <c r="O57" i="25"/>
  <c r="Q59" i="25"/>
  <c r="S61" i="25"/>
  <c r="V63" i="25"/>
  <c r="K68" i="25"/>
  <c r="N70" i="25"/>
  <c r="V74" i="25"/>
  <c r="P81" i="25"/>
  <c r="M83" i="25"/>
  <c r="L85" i="25"/>
  <c r="S10" i="25"/>
  <c r="R21" i="25"/>
  <c r="P28" i="25"/>
  <c r="Q30" i="25"/>
  <c r="P36" i="25"/>
  <c r="L43" i="25"/>
  <c r="V45" i="25"/>
  <c r="Q48" i="25"/>
  <c r="K53" i="25"/>
  <c r="U55" i="25"/>
  <c r="L60" i="25"/>
  <c r="O62" i="25"/>
  <c r="N67" i="25"/>
  <c r="R69" i="25"/>
  <c r="K72" i="25"/>
  <c r="M74" i="25"/>
  <c r="T76" i="25"/>
  <c r="T78" i="25"/>
  <c r="L81" i="25"/>
  <c r="N83" i="25"/>
  <c r="R85" i="25"/>
  <c r="M53" i="25"/>
  <c r="Q62" i="25"/>
  <c r="U69" i="25"/>
  <c r="O74" i="25"/>
  <c r="V78" i="25"/>
  <c r="Q83" i="25"/>
  <c r="M19" i="25"/>
  <c r="M26" i="25"/>
  <c r="R62" i="25"/>
  <c r="R67" i="25"/>
  <c r="N72" i="25"/>
  <c r="Q81" i="25"/>
  <c r="U10" i="25"/>
  <c r="K13" i="25"/>
  <c r="T21" i="25"/>
  <c r="Q28" i="25"/>
  <c r="V30" i="25"/>
  <c r="R36" i="25"/>
  <c r="K41" i="25"/>
  <c r="N43" i="25"/>
  <c r="R48" i="25"/>
  <c r="L53" i="25"/>
  <c r="V55" i="25"/>
  <c r="M60" i="25"/>
  <c r="P62" i="25"/>
  <c r="P67" i="25"/>
  <c r="T69" i="25"/>
  <c r="L72" i="25"/>
  <c r="N74" i="25"/>
  <c r="V76" i="25"/>
  <c r="U78" i="25"/>
  <c r="N81" i="25"/>
  <c r="P83" i="25"/>
  <c r="U85" i="25"/>
  <c r="V10" i="25"/>
  <c r="L13" i="25"/>
  <c r="V21" i="25"/>
  <c r="L26" i="25"/>
  <c r="R28" i="25"/>
  <c r="T36" i="25"/>
  <c r="L41" i="25"/>
  <c r="O43" i="25"/>
  <c r="T48" i="25"/>
  <c r="P60" i="25"/>
  <c r="Q67" i="25"/>
  <c r="M72" i="25"/>
  <c r="O81" i="25"/>
  <c r="V85" i="25"/>
  <c r="N13" i="25"/>
  <c r="M24" i="25"/>
  <c r="U28" i="25"/>
  <c r="M41" i="25"/>
  <c r="Q43" i="25"/>
  <c r="U48" i="25"/>
  <c r="N53" i="25"/>
  <c r="S60" i="25"/>
  <c r="U16" i="22"/>
  <c r="N81" i="22"/>
  <c r="K12" i="22"/>
  <c r="M81" i="22"/>
  <c r="R60" i="22"/>
  <c r="S48" i="22"/>
  <c r="L81" i="22"/>
  <c r="R48" i="22"/>
  <c r="V23" i="22"/>
  <c r="S12" i="22"/>
  <c r="N58" i="22"/>
  <c r="U62" i="22"/>
  <c r="R68" i="22"/>
  <c r="T85" i="22"/>
  <c r="K37" i="22"/>
  <c r="T70" i="22"/>
  <c r="Q10" i="22"/>
  <c r="N17" i="22"/>
  <c r="L28" i="22"/>
  <c r="N40" i="22"/>
  <c r="M60" i="22"/>
  <c r="U65" i="22"/>
  <c r="O11" i="22"/>
  <c r="S13" i="22"/>
  <c r="S15" i="22"/>
  <c r="V18" i="22"/>
  <c r="K21" i="22"/>
  <c r="R24" i="22"/>
  <c r="P32" i="22"/>
  <c r="L38" i="22"/>
  <c r="O41" i="22"/>
  <c r="L61" i="22"/>
  <c r="P63" i="22"/>
  <c r="O67" i="22"/>
  <c r="R69" i="22"/>
  <c r="L72" i="22"/>
  <c r="P74" i="22"/>
  <c r="V76" i="22"/>
  <c r="T78" i="22"/>
  <c r="T81" i="22"/>
  <c r="N15" i="22"/>
  <c r="U27" i="22"/>
  <c r="K49" i="22"/>
  <c r="N51" i="22"/>
  <c r="M57" i="22"/>
  <c r="Q59" i="22"/>
  <c r="N75" i="22"/>
  <c r="U81" i="22"/>
  <c r="P30" i="22"/>
  <c r="Q51" i="22"/>
  <c r="S69" i="22"/>
  <c r="R25" i="22"/>
  <c r="R34" i="22"/>
  <c r="K41" i="22"/>
  <c r="S25" i="22"/>
  <c r="S34" i="22"/>
  <c r="L41" i="22"/>
  <c r="P46" i="22"/>
  <c r="U51" i="22"/>
  <c r="U69" i="22"/>
  <c r="N16" i="22"/>
  <c r="T34" i="22"/>
  <c r="R49" i="22"/>
  <c r="V69" i="22"/>
  <c r="R84" i="22"/>
  <c r="S46" i="22"/>
  <c r="O13" i="22"/>
  <c r="S41" i="22"/>
  <c r="T49" i="22"/>
  <c r="K73" i="22"/>
  <c r="Q16" i="22"/>
  <c r="V22" i="22"/>
  <c r="V46" i="22"/>
  <c r="L82" i="22"/>
  <c r="R16" i="22"/>
  <c r="P28" i="22"/>
  <c r="O60" i="22"/>
  <c r="R67" i="22"/>
  <c r="M82" i="22"/>
  <c r="V13" i="22"/>
  <c r="R35" i="22"/>
  <c r="V44" i="22"/>
  <c r="P60" i="22"/>
  <c r="T67" i="22"/>
  <c r="Q60" i="22"/>
  <c r="O76" i="22"/>
  <c r="O82" i="22"/>
  <c r="O15" i="22"/>
  <c r="V27" i="22"/>
  <c r="K30" i="22"/>
  <c r="L37" i="22"/>
  <c r="L49" i="22"/>
  <c r="O51" i="22"/>
  <c r="R57" i="22"/>
  <c r="R59" i="22"/>
  <c r="P75" i="22"/>
  <c r="V81" i="22"/>
  <c r="Q25" i="22"/>
  <c r="T37" i="22"/>
  <c r="V62" i="22"/>
  <c r="Q30" i="22"/>
  <c r="R51" i="22"/>
  <c r="K78" i="22"/>
  <c r="L16" i="22"/>
  <c r="Q49" i="22"/>
  <c r="K54" i="22"/>
  <c r="L78" i="22"/>
  <c r="Q84" i="22"/>
  <c r="P41" i="22"/>
  <c r="Q46" i="22"/>
  <c r="V51" i="22"/>
  <c r="L54" i="22"/>
  <c r="M78" i="22"/>
  <c r="O16" i="22"/>
  <c r="Q41" i="22"/>
  <c r="S49" i="22"/>
  <c r="T10" i="22"/>
  <c r="U46" i="22"/>
  <c r="N54" i="22"/>
  <c r="T13" i="22"/>
  <c r="M44" i="22"/>
  <c r="U49" i="22"/>
  <c r="Q67" i="22"/>
  <c r="U13" i="22"/>
  <c r="Q44" i="22"/>
  <c r="L76" i="22"/>
  <c r="Q28" i="22"/>
  <c r="M76" i="22"/>
  <c r="N82" i="22"/>
  <c r="V35" i="22"/>
  <c r="U67" i="22"/>
  <c r="P25" i="22"/>
  <c r="O30" i="22"/>
  <c r="O34" i="22"/>
  <c r="S37" i="22"/>
  <c r="M49" i="22"/>
  <c r="P51" i="22"/>
  <c r="S57" i="22"/>
  <c r="P34" i="22"/>
  <c r="N49" i="22"/>
  <c r="T57" i="22"/>
  <c r="L66" i="22"/>
  <c r="P49" i="22"/>
  <c r="T69" i="22"/>
  <c r="P84" i="22"/>
  <c r="R10" i="22"/>
  <c r="S10" i="22"/>
  <c r="N13" i="22"/>
  <c r="T19" i="22"/>
  <c r="V34" i="22"/>
  <c r="K44" i="22"/>
  <c r="M54" i="22"/>
  <c r="P16" i="22"/>
  <c r="L44" i="22"/>
  <c r="P67" i="22"/>
  <c r="S16" i="22"/>
  <c r="T16" i="22"/>
  <c r="R28" i="22"/>
  <c r="L63" i="22"/>
  <c r="K11" i="22"/>
  <c r="Q20" i="22"/>
  <c r="O23" i="22"/>
  <c r="N26" i="22"/>
  <c r="R58" i="22"/>
  <c r="U70" i="22"/>
  <c r="N79" i="22"/>
  <c r="T11" i="22"/>
  <c r="R20" i="22"/>
  <c r="P23" i="22"/>
  <c r="O26" i="22"/>
  <c r="L50" i="22"/>
  <c r="S58" i="22"/>
  <c r="L64" i="22"/>
  <c r="V70" i="22"/>
  <c r="O79" i="22"/>
  <c r="U11" i="22"/>
  <c r="S20" i="22"/>
  <c r="P26" i="22"/>
  <c r="Q32" i="22"/>
  <c r="K42" i="22"/>
  <c r="R47" i="22"/>
  <c r="M50" i="22"/>
  <c r="K56" i="22"/>
  <c r="T58" i="22"/>
  <c r="S64" i="22"/>
  <c r="K74" i="22"/>
  <c r="P79" i="22"/>
  <c r="V11" i="22"/>
  <c r="P17" i="22"/>
  <c r="V20" i="22"/>
  <c r="Q26" i="22"/>
  <c r="R32" i="22"/>
  <c r="K39" i="22"/>
  <c r="S47" i="22"/>
  <c r="N50" i="22"/>
  <c r="N56" i="22"/>
  <c r="U58" i="22"/>
  <c r="T64" i="22"/>
  <c r="L74" i="22"/>
  <c r="Q79" i="22"/>
  <c r="Q17" i="22"/>
  <c r="R26" i="22"/>
  <c r="S32" i="22"/>
  <c r="L39" i="22"/>
  <c r="K45" i="22"/>
  <c r="U47" i="22"/>
  <c r="O50" i="22"/>
  <c r="O56" i="22"/>
  <c r="V58" i="22"/>
  <c r="U64" i="22"/>
  <c r="M74" i="22"/>
  <c r="K14" i="22"/>
  <c r="R17" i="22"/>
  <c r="U26" i="22"/>
  <c r="L45" i="22"/>
  <c r="V47" i="22"/>
  <c r="U50" i="22"/>
  <c r="P56" i="22"/>
  <c r="Q74" i="22"/>
  <c r="S17" i="22"/>
  <c r="V26" i="22"/>
  <c r="T36" i="22"/>
  <c r="M45" i="22"/>
  <c r="V50" i="22"/>
  <c r="Q56" i="22"/>
  <c r="M61" i="22"/>
  <c r="R74" i="22"/>
  <c r="K77" i="22"/>
  <c r="N83" i="22"/>
  <c r="U17" i="22"/>
  <c r="V36" i="22"/>
  <c r="N45" i="22"/>
  <c r="R56" i="22"/>
  <c r="O61" i="22"/>
  <c r="S68" i="22"/>
  <c r="V74" i="22"/>
  <c r="N77" i="22"/>
  <c r="O83" i="22"/>
  <c r="V17" i="22"/>
  <c r="M24" i="22"/>
  <c r="S45" i="22"/>
  <c r="K53" i="22"/>
  <c r="Q61" i="22"/>
  <c r="T68" i="22"/>
  <c r="V71" i="22"/>
  <c r="O77" i="22"/>
  <c r="P83" i="22"/>
  <c r="N24" i="22"/>
  <c r="T45" i="22"/>
  <c r="K48" i="22"/>
  <c r="L53" i="22"/>
  <c r="R61" i="22"/>
  <c r="V68" i="22"/>
  <c r="Q77" i="22"/>
  <c r="T83" i="22"/>
  <c r="U53" i="22"/>
  <c r="R53" i="22"/>
  <c r="V65" i="22"/>
  <c r="V28" i="22"/>
  <c r="R77" i="22"/>
  <c r="L65" i="22"/>
  <c r="U28" i="22"/>
  <c r="T12" i="22"/>
  <c r="S28" i="22"/>
  <c r="L12" i="22"/>
  <c r="K81" i="22"/>
  <c r="Q48" i="22"/>
  <c r="S31" i="22"/>
  <c r="M15" i="22"/>
  <c r="L15" i="22"/>
  <c r="S76" i="22"/>
  <c r="M63" i="22"/>
  <c r="T27" i="22"/>
  <c r="P27" i="22"/>
  <c r="O72" i="22"/>
  <c r="P59" i="22"/>
  <c r="Q43" i="22"/>
  <c r="N72" i="22"/>
  <c r="O59" i="22"/>
  <c r="P43" i="22"/>
  <c r="M79" i="22"/>
  <c r="M72" i="22"/>
  <c r="N59" i="22"/>
  <c r="O43" i="22"/>
  <c r="M59" i="22"/>
  <c r="M43" i="22"/>
  <c r="V83" i="22"/>
  <c r="K43" i="22"/>
  <c r="U83" i="22"/>
  <c r="K75" i="22"/>
  <c r="P72" i="22"/>
  <c r="K23" i="22"/>
  <c r="V67" i="22"/>
  <c r="L26" i="22"/>
  <c r="O40" i="22"/>
  <c r="L18" i="22"/>
  <c r="K18" i="22"/>
  <c r="Q81" i="22"/>
  <c r="O78" i="22"/>
  <c r="U76" i="22"/>
  <c r="O74" i="22"/>
  <c r="K72" i="22"/>
  <c r="L69" i="22"/>
  <c r="O63" i="22"/>
  <c r="K61" i="22"/>
  <c r="V43" i="22"/>
  <c r="N41" i="22"/>
  <c r="K38" i="22"/>
  <c r="N32" i="22"/>
  <c r="Q24" i="22"/>
  <c r="U18" i="22"/>
  <c r="R15" i="22"/>
  <c r="R13" i="22"/>
  <c r="N11" i="22"/>
  <c r="K19" i="22"/>
  <c r="O10" i="22"/>
  <c r="P15" i="22"/>
  <c r="T17" i="22"/>
  <c r="P24" i="22"/>
  <c r="M26" i="22"/>
  <c r="U29" i="22"/>
  <c r="N31" i="22"/>
  <c r="R33" i="22"/>
  <c r="R40" i="22"/>
  <c r="O42" i="22"/>
  <c r="P47" i="22"/>
  <c r="V49" i="22"/>
  <c r="T51" i="22"/>
  <c r="V53" i="22"/>
  <c r="U59" i="22"/>
  <c r="N61" i="22"/>
  <c r="K65" i="22"/>
  <c r="N67" i="22"/>
  <c r="K69" i="22"/>
  <c r="N71" i="22"/>
  <c r="T73" i="22"/>
  <c r="O75" i="22"/>
  <c r="U78" i="22"/>
  <c r="U80" i="22"/>
  <c r="U82" i="22"/>
  <c r="V84" i="22"/>
  <c r="R12" i="22"/>
  <c r="K16" i="22"/>
  <c r="R18" i="22"/>
  <c r="T20" i="22"/>
  <c r="K25" i="22"/>
  <c r="T28" i="22"/>
  <c r="M30" i="22"/>
  <c r="O32" i="22"/>
  <c r="U34" i="22"/>
  <c r="M39" i="22"/>
  <c r="R41" i="22"/>
  <c r="N43" i="22"/>
  <c r="T46" i="22"/>
  <c r="U48" i="22"/>
  <c r="L55" i="22"/>
  <c r="O57" i="22"/>
  <c r="Q62" i="22"/>
  <c r="R64" i="22"/>
  <c r="S66" i="22"/>
  <c r="O73" i="22"/>
  <c r="Q78" i="22"/>
  <c r="S80" i="22"/>
  <c r="T82" i="22"/>
  <c r="P11" i="22"/>
  <c r="O19" i="22"/>
  <c r="U21" i="22"/>
  <c r="R29" i="22"/>
  <c r="M31" i="22"/>
  <c r="T33" i="22"/>
  <c r="M38" i="22"/>
  <c r="V42" i="22"/>
  <c r="R44" i="22"/>
  <c r="L48" i="22"/>
  <c r="P50" i="22"/>
  <c r="R52" i="22"/>
  <c r="T54" i="22"/>
  <c r="S60" i="22"/>
  <c r="L62" i="22"/>
  <c r="N64" i="22"/>
  <c r="O66" i="22"/>
  <c r="M73" i="22"/>
  <c r="P78" i="22"/>
  <c r="T80" i="22"/>
  <c r="Q11" i="22"/>
  <c r="K13" i="22"/>
  <c r="P19" i="22"/>
  <c r="V21" i="22"/>
  <c r="S29" i="22"/>
  <c r="O31" i="22"/>
  <c r="U33" i="22"/>
  <c r="Q36" i="22"/>
  <c r="N38" i="22"/>
  <c r="S44" i="22"/>
  <c r="K46" i="22"/>
  <c r="N48" i="22"/>
  <c r="R50" i="22"/>
  <c r="S52" i="22"/>
  <c r="U54" i="22"/>
  <c r="T60" i="22"/>
  <c r="M62" i="22"/>
  <c r="O64" i="22"/>
  <c r="P66" i="22"/>
  <c r="N73" i="22"/>
  <c r="S78" i="22"/>
  <c r="R11" i="22"/>
  <c r="L13" i="22"/>
  <c r="K17" i="22"/>
  <c r="Q19" i="22"/>
  <c r="K24" i="22"/>
  <c r="T29" i="22"/>
  <c r="P31" i="22"/>
  <c r="V33" i="22"/>
  <c r="R36" i="22"/>
  <c r="U38" i="22"/>
  <c r="T44" i="22"/>
  <c r="L46" i="22"/>
  <c r="O48" i="22"/>
  <c r="S50" i="22"/>
  <c r="T52" i="22"/>
  <c r="V54" i="22"/>
  <c r="K57" i="22"/>
  <c r="U60" i="22"/>
  <c r="N62" i="22"/>
  <c r="P64" i="22"/>
  <c r="S11" i="22"/>
  <c r="M13" i="22"/>
  <c r="L17" i="22"/>
  <c r="R19" i="22"/>
  <c r="L24" i="22"/>
  <c r="K26" i="22"/>
  <c r="V29" i="22"/>
  <c r="Q31" i="22"/>
  <c r="S36" i="22"/>
  <c r="V38" i="22"/>
  <c r="U44" i="22"/>
  <c r="M46" i="22"/>
  <c r="P48" i="22"/>
  <c r="T50" i="22"/>
  <c r="V52" i="22"/>
  <c r="L57" i="22"/>
  <c r="V60" i="22"/>
  <c r="O62" i="22"/>
  <c r="Q64" i="22"/>
  <c r="T66" i="22"/>
  <c r="Q73" i="22"/>
  <c r="M75" i="22"/>
  <c r="V78" i="22"/>
  <c r="U15" i="22"/>
  <c r="O18" i="22"/>
  <c r="L23" i="22"/>
  <c r="T25" i="22"/>
  <c r="Q27" i="22"/>
  <c r="K29" i="22"/>
  <c r="N39" i="22"/>
  <c r="T41" i="22"/>
  <c r="R43" i="22"/>
  <c r="O45" i="22"/>
  <c r="M47" i="22"/>
  <c r="N57" i="22"/>
  <c r="R65" i="22"/>
  <c r="Q72" i="22"/>
  <c r="S74" i="22"/>
  <c r="P76" i="22"/>
  <c r="N80" i="22"/>
  <c r="P82" i="22"/>
  <c r="S84" i="22"/>
  <c r="V15" i="22"/>
  <c r="P18" i="22"/>
  <c r="M23" i="22"/>
  <c r="R27" i="22"/>
  <c r="L29" i="22"/>
  <c r="L31" i="22"/>
  <c r="M34" i="22"/>
  <c r="O39" i="22"/>
  <c r="S43" i="22"/>
  <c r="Q45" i="22"/>
  <c r="N47" i="22"/>
  <c r="P57" i="22"/>
  <c r="S65" i="22"/>
  <c r="R72" i="22"/>
  <c r="T74" i="22"/>
  <c r="Q76" i="22"/>
  <c r="O80" i="22"/>
  <c r="R82" i="22"/>
  <c r="T84" i="22"/>
  <c r="K10" i="22"/>
  <c r="S18" i="22"/>
  <c r="N23" i="22"/>
  <c r="S27" i="22"/>
  <c r="M29" i="22"/>
  <c r="R31" i="22"/>
  <c r="N34" i="22"/>
  <c r="P39" i="22"/>
  <c r="T43" i="22"/>
  <c r="R45" i="22"/>
  <c r="O47" i="22"/>
  <c r="P52" i="22"/>
  <c r="Q57" i="22"/>
  <c r="K59" i="22"/>
  <c r="T65" i="22"/>
  <c r="U74" i="22"/>
  <c r="R76" i="22"/>
  <c r="P80" i="22"/>
  <c r="S82" i="22"/>
  <c r="V14" i="22"/>
  <c r="U19" i="22"/>
  <c r="S26" i="22"/>
  <c r="M28" i="22"/>
  <c r="L30" i="22"/>
  <c r="T32" i="22"/>
  <c r="T35" i="22"/>
  <c r="R42" i="22"/>
  <c r="O44" i="22"/>
  <c r="N46" i="22"/>
  <c r="S53" i="22"/>
  <c r="L56" i="22"/>
  <c r="L58" i="22"/>
  <c r="U66" i="22"/>
  <c r="S75" i="22"/>
  <c r="L77" i="22"/>
  <c r="R81" i="22"/>
  <c r="Q83" i="22"/>
  <c r="U85" i="22"/>
  <c r="V19" i="22"/>
  <c r="T26" i="22"/>
  <c r="O28" i="22"/>
  <c r="N30" i="22"/>
  <c r="U32" i="22"/>
  <c r="U35" i="22"/>
  <c r="S42" i="22"/>
  <c r="P44" i="22"/>
  <c r="O46" i="22"/>
  <c r="T53" i="22"/>
  <c r="M56" i="22"/>
  <c r="M58" i="22"/>
  <c r="K64" i="22"/>
  <c r="V66" i="22"/>
  <c r="K71" i="22"/>
  <c r="T75" i="22"/>
  <c r="M77" i="22"/>
  <c r="L79" i="22"/>
  <c r="S81" i="22"/>
  <c r="R83" i="22"/>
  <c r="V85" i="22"/>
  <c r="U10" i="22"/>
  <c r="U12" i="22"/>
  <c r="P14" i="22"/>
  <c r="V31" i="22"/>
  <c r="U37" i="22"/>
  <c r="P40" i="22"/>
  <c r="Q42" i="22"/>
  <c r="S59" i="22"/>
  <c r="S61" i="22"/>
  <c r="Q63" i="22"/>
  <c r="M66" i="22"/>
  <c r="V10" i="22"/>
  <c r="V12" i="22"/>
  <c r="Q14" i="22"/>
  <c r="K22" i="22"/>
  <c r="V37" i="22"/>
  <c r="Q40" i="22"/>
  <c r="T42" i="22"/>
  <c r="T59" i="22"/>
  <c r="T61" i="22"/>
  <c r="R63" i="22"/>
  <c r="N66" i="22"/>
  <c r="K80" i="22"/>
  <c r="S85" i="22"/>
  <c r="S14" i="22"/>
  <c r="L22" i="22"/>
  <c r="L25" i="22"/>
  <c r="K27" i="22"/>
  <c r="N29" i="22"/>
  <c r="U42" i="22"/>
  <c r="K55" i="22"/>
  <c r="V59" i="22"/>
  <c r="U61" i="22"/>
  <c r="S63" i="22"/>
  <c r="R66" i="22"/>
  <c r="L71" i="22"/>
  <c r="L80" i="22"/>
  <c r="K85" i="22"/>
  <c r="T14" i="22"/>
  <c r="M22" i="22"/>
  <c r="M25" i="22"/>
  <c r="M27" i="22"/>
  <c r="O29" i="22"/>
  <c r="O35" i="22"/>
  <c r="M55" i="22"/>
  <c r="V61" i="22"/>
  <c r="U63" i="22"/>
  <c r="M71" i="22"/>
  <c r="Q80" i="22"/>
  <c r="L85" i="22"/>
  <c r="U14" i="22"/>
  <c r="N22" i="22"/>
  <c r="N25" i="22"/>
  <c r="N27" i="22"/>
  <c r="Q29" i="22"/>
  <c r="K32" i="22"/>
  <c r="P35" i="22"/>
  <c r="L47" i="22"/>
  <c r="Q52" i="22"/>
  <c r="N55" i="22"/>
  <c r="V63" i="22"/>
  <c r="O71" i="22"/>
  <c r="R80" i="22"/>
  <c r="R85" i="22"/>
  <c r="M17" i="22"/>
  <c r="U22" i="22"/>
  <c r="O25" i="22"/>
  <c r="O27" i="22"/>
  <c r="L32" i="22"/>
  <c r="Q35" i="22"/>
  <c r="Q47" i="22"/>
  <c r="O55" i="22"/>
  <c r="P71" i="22"/>
  <c r="K76" i="22"/>
  <c r="P81" i="22"/>
  <c r="N78" i="22"/>
  <c r="T76" i="22"/>
  <c r="N74" i="22"/>
  <c r="N63" i="22"/>
  <c r="T48" i="22"/>
  <c r="U43" i="22"/>
  <c r="M41" i="22"/>
  <c r="O24" i="22"/>
  <c r="T18" i="22"/>
  <c r="Q15" i="22"/>
  <c r="Q13" i="22"/>
  <c r="M11" i="22"/>
  <c r="V77" i="22"/>
  <c r="Q68" i="22"/>
  <c r="L60" i="22"/>
  <c r="O14" i="22"/>
  <c r="U79" i="22"/>
  <c r="U77" i="22"/>
  <c r="U75" i="22"/>
  <c r="R73" i="22"/>
  <c r="M70" i="22"/>
  <c r="P68" i="22"/>
  <c r="P65" i="22"/>
  <c r="S62" i="22"/>
  <c r="K60" i="22"/>
  <c r="N42" i="22"/>
  <c r="L40" i="22"/>
  <c r="U30" i="22"/>
  <c r="N14" i="22"/>
  <c r="P12" i="22"/>
  <c r="N10" i="22"/>
  <c r="S73" i="22"/>
  <c r="T62" i="22"/>
  <c r="P42" i="22"/>
  <c r="K28" i="22"/>
  <c r="Q12" i="22"/>
  <c r="S79" i="22"/>
  <c r="T77" i="22"/>
  <c r="R75" i="22"/>
  <c r="P73" i="22"/>
  <c r="L70" i="22"/>
  <c r="N65" i="22"/>
  <c r="P62" i="22"/>
  <c r="V55" i="22"/>
  <c r="M42" i="22"/>
  <c r="K40" i="22"/>
  <c r="S33" i="22"/>
  <c r="T30" i="22"/>
  <c r="M14" i="22"/>
  <c r="O12" i="22"/>
  <c r="M10" i="22"/>
  <c r="V79" i="22"/>
  <c r="V75" i="22"/>
  <c r="N70" i="22"/>
  <c r="Q65" i="22"/>
  <c r="K58" i="22"/>
  <c r="M40" i="22"/>
  <c r="V30" i="22"/>
  <c r="P10" i="22"/>
  <c r="V82" i="22"/>
  <c r="R79" i="22"/>
  <c r="S77" i="22"/>
  <c r="Q75" i="22"/>
  <c r="L73" i="22"/>
  <c r="K70" i="22"/>
  <c r="M65" i="22"/>
  <c r="K62" i="22"/>
  <c r="P55" i="22"/>
  <c r="L42" i="22"/>
  <c r="Q33" i="22"/>
  <c r="S30" i="22"/>
  <c r="L14" i="22"/>
  <c r="M12" i="22"/>
  <c r="L10" i="22"/>
  <c r="N85" i="22"/>
  <c r="L84" i="22"/>
  <c r="V73" i="22"/>
  <c r="T72" i="22"/>
  <c r="R71" i="22"/>
  <c r="P70" i="22"/>
  <c r="N69" i="22"/>
  <c r="L68" i="22"/>
  <c r="V57" i="22"/>
  <c r="T56" i="22"/>
  <c r="R55" i="22"/>
  <c r="P54" i="22"/>
  <c r="N53" i="22"/>
  <c r="L52" i="22"/>
  <c r="V41" i="22"/>
  <c r="T40" i="22"/>
  <c r="R39" i="22"/>
  <c r="P38" i="22"/>
  <c r="N37" i="22"/>
  <c r="L36" i="22"/>
  <c r="V25" i="22"/>
  <c r="T24" i="22"/>
  <c r="R23" i="22"/>
  <c r="P22" i="22"/>
  <c r="N21" i="22"/>
  <c r="L20" i="22"/>
  <c r="M85" i="22"/>
  <c r="K84" i="22"/>
  <c r="U73" i="22"/>
  <c r="S72" i="22"/>
  <c r="Q71" i="22"/>
  <c r="O70" i="22"/>
  <c r="M69" i="22"/>
  <c r="K68" i="22"/>
  <c r="U57" i="22"/>
  <c r="S56" i="22"/>
  <c r="Q55" i="22"/>
  <c r="O54" i="22"/>
  <c r="M53" i="22"/>
  <c r="K52" i="22"/>
  <c r="U41" i="22"/>
  <c r="S40" i="22"/>
  <c r="Q39" i="22"/>
  <c r="O38" i="22"/>
  <c r="M37" i="22"/>
  <c r="K36" i="22"/>
  <c r="U25" i="22"/>
  <c r="S24" i="22"/>
  <c r="Q23" i="22"/>
  <c r="O22" i="22"/>
  <c r="M21" i="22"/>
  <c r="K20" i="22"/>
  <c r="V80" i="22"/>
  <c r="T79" i="22"/>
  <c r="R78" i="22"/>
  <c r="P77" i="22"/>
  <c r="N76" i="22"/>
  <c r="L75" i="22"/>
  <c r="V64" i="22"/>
  <c r="T63" i="22"/>
  <c r="R62" i="22"/>
  <c r="P61" i="22"/>
  <c r="N60" i="22"/>
  <c r="L59" i="22"/>
  <c r="V48" i="22"/>
  <c r="T47" i="22"/>
  <c r="R46" i="22"/>
  <c r="P45" i="22"/>
  <c r="N44" i="22"/>
  <c r="L43" i="22"/>
  <c r="V32" i="22"/>
  <c r="T31" i="22"/>
  <c r="R30" i="22"/>
  <c r="P29" i="22"/>
  <c r="N28" i="22"/>
  <c r="L27" i="22"/>
  <c r="V16" i="22"/>
  <c r="T15" i="22"/>
  <c r="R14" i="22"/>
  <c r="P13" i="22"/>
  <c r="N12" i="22"/>
  <c r="L11" i="22"/>
  <c r="U84" i="22"/>
  <c r="S83" i="22"/>
  <c r="Q82" i="22"/>
  <c r="O81" i="22"/>
  <c r="M80" i="22"/>
  <c r="K79" i="22"/>
  <c r="U68" i="22"/>
  <c r="S67" i="22"/>
  <c r="Q66" i="22"/>
  <c r="O65" i="22"/>
  <c r="M64" i="22"/>
  <c r="K63" i="22"/>
  <c r="U52" i="22"/>
  <c r="S51" i="22"/>
  <c r="Q50" i="22"/>
  <c r="O49" i="22"/>
  <c r="M48" i="22"/>
  <c r="K47" i="22"/>
  <c r="U36" i="22"/>
  <c r="S35" i="22"/>
  <c r="Q34" i="22"/>
  <c r="O33" i="22"/>
  <c r="M32" i="22"/>
  <c r="K31" i="22"/>
  <c r="U20" i="22"/>
  <c r="S19" i="22"/>
  <c r="Q18" i="22"/>
  <c r="O17" i="22"/>
  <c r="M16" i="22"/>
  <c r="K15" i="22"/>
  <c r="V39" i="22"/>
  <c r="T38" i="22"/>
  <c r="R37" i="22"/>
  <c r="P36" i="22"/>
  <c r="N35" i="22"/>
  <c r="L34" i="22"/>
  <c r="T22" i="22"/>
  <c r="R21" i="22"/>
  <c r="P20" i="22"/>
  <c r="N19" i="22"/>
  <c r="Q85" i="22"/>
  <c r="O84" i="22"/>
  <c r="M83" i="22"/>
  <c r="K82" i="22"/>
  <c r="U71" i="22"/>
  <c r="S70" i="22"/>
  <c r="Q69" i="22"/>
  <c r="O68" i="22"/>
  <c r="M67" i="22"/>
  <c r="K66" i="22"/>
  <c r="U55" i="22"/>
  <c r="S54" i="22"/>
  <c r="Q53" i="22"/>
  <c r="O52" i="22"/>
  <c r="M51" i="22"/>
  <c r="K50" i="22"/>
  <c r="U39" i="22"/>
  <c r="S38" i="22"/>
  <c r="Q37" i="22"/>
  <c r="O36" i="22"/>
  <c r="M35" i="22"/>
  <c r="K34" i="22"/>
  <c r="U23" i="22"/>
  <c r="S22" i="22"/>
  <c r="Q21" i="22"/>
  <c r="O20" i="22"/>
  <c r="M19" i="22"/>
  <c r="P85" i="22"/>
  <c r="N84" i="22"/>
  <c r="L83" i="22"/>
  <c r="V72" i="22"/>
  <c r="T71" i="22"/>
  <c r="R70" i="22"/>
  <c r="P69" i="22"/>
  <c r="N68" i="22"/>
  <c r="L67" i="22"/>
  <c r="V56" i="22"/>
  <c r="T55" i="22"/>
  <c r="R54" i="22"/>
  <c r="P53" i="22"/>
  <c r="N52" i="22"/>
  <c r="L51" i="22"/>
  <c r="V40" i="22"/>
  <c r="T39" i="22"/>
  <c r="R38" i="22"/>
  <c r="P37" i="22"/>
  <c r="N36" i="22"/>
  <c r="L35" i="22"/>
  <c r="V24" i="22"/>
  <c r="T23" i="22"/>
  <c r="R22" i="22"/>
  <c r="P21" i="22"/>
  <c r="N20" i="22"/>
  <c r="L19" i="22"/>
  <c r="O85" i="22"/>
  <c r="M84" i="22"/>
  <c r="K83" i="22"/>
  <c r="U72" i="22"/>
  <c r="S71" i="22"/>
  <c r="Q70" i="22"/>
  <c r="O69" i="22"/>
  <c r="M68" i="22"/>
  <c r="K67" i="22"/>
  <c r="U56" i="22"/>
  <c r="S55" i="22"/>
  <c r="Q54" i="22"/>
  <c r="O53" i="22"/>
  <c r="M52" i="22"/>
  <c r="K51" i="22"/>
  <c r="U40" i="22"/>
  <c r="S39" i="22"/>
  <c r="Q38" i="22"/>
  <c r="O37" i="22"/>
  <c r="M36" i="22"/>
  <c r="K35" i="22"/>
  <c r="U24" i="22"/>
  <c r="S23" i="22"/>
  <c r="Q22" i="22"/>
  <c r="O21" i="22"/>
  <c r="M20" i="22"/>
  <c r="Q36" i="19"/>
  <c r="S37" i="19"/>
  <c r="U38" i="19"/>
  <c r="K49" i="19"/>
  <c r="M50" i="19"/>
  <c r="O51" i="19"/>
  <c r="Q52" i="19"/>
  <c r="S53" i="19"/>
  <c r="U54" i="19"/>
  <c r="K65" i="19"/>
  <c r="M66" i="19"/>
  <c r="O67" i="19"/>
  <c r="Q68" i="19"/>
  <c r="S69" i="19"/>
  <c r="U70" i="19"/>
  <c r="K81" i="19"/>
  <c r="M82" i="19"/>
  <c r="O83" i="19"/>
  <c r="Q84" i="19"/>
  <c r="S85" i="19"/>
  <c r="K16" i="19"/>
  <c r="M17" i="19"/>
  <c r="O18" i="19"/>
  <c r="Q19" i="19"/>
  <c r="S20" i="19"/>
  <c r="U21" i="19"/>
  <c r="K32" i="19"/>
  <c r="M33" i="19"/>
  <c r="O34" i="19"/>
  <c r="Q35" i="19"/>
  <c r="S36" i="19"/>
  <c r="U37" i="19"/>
  <c r="K48" i="19"/>
  <c r="M49" i="19"/>
  <c r="O50" i="19"/>
  <c r="Q51" i="19"/>
  <c r="S52" i="19"/>
  <c r="U53" i="19"/>
  <c r="L16" i="19"/>
  <c r="N17" i="19"/>
  <c r="P18" i="19"/>
  <c r="R19" i="19"/>
  <c r="T20" i="19"/>
  <c r="V21" i="19"/>
  <c r="L32" i="19"/>
  <c r="N33" i="19"/>
  <c r="P34" i="19"/>
  <c r="R35" i="19"/>
  <c r="T36" i="19"/>
  <c r="V37" i="19"/>
  <c r="L48" i="19"/>
  <c r="N49" i="19"/>
  <c r="P50" i="19"/>
  <c r="R51" i="19"/>
  <c r="T52" i="19"/>
  <c r="V53" i="19"/>
  <c r="L64" i="19"/>
  <c r="N65" i="19"/>
  <c r="P66" i="19"/>
  <c r="K15" i="19"/>
  <c r="M16" i="19"/>
  <c r="O17" i="19"/>
  <c r="Q18" i="19"/>
  <c r="S19" i="19"/>
  <c r="U20" i="19"/>
  <c r="K31" i="19"/>
  <c r="M32" i="19"/>
  <c r="O33" i="19"/>
  <c r="Q34" i="19"/>
  <c r="S35" i="19"/>
  <c r="U36" i="19"/>
  <c r="K47" i="19"/>
  <c r="M48" i="19"/>
  <c r="O49" i="19"/>
  <c r="Q50" i="19"/>
  <c r="K10" i="19"/>
  <c r="M11" i="19"/>
  <c r="O12" i="19"/>
  <c r="Q13" i="19"/>
  <c r="S14" i="19"/>
  <c r="U15" i="19"/>
  <c r="V80" i="19"/>
  <c r="T79" i="19"/>
  <c r="R78" i="19"/>
  <c r="P77" i="19"/>
  <c r="N76" i="19"/>
  <c r="L75" i="19"/>
  <c r="V64" i="19"/>
  <c r="T63" i="19"/>
  <c r="R62" i="19"/>
  <c r="P61" i="19"/>
  <c r="N60" i="19"/>
  <c r="L59" i="19"/>
  <c r="V48" i="19"/>
  <c r="T47" i="19"/>
  <c r="R46" i="19"/>
  <c r="P45" i="19"/>
  <c r="N44" i="19"/>
  <c r="L43" i="19"/>
  <c r="V32" i="19"/>
  <c r="T31" i="19"/>
  <c r="R30" i="19"/>
  <c r="P29" i="19"/>
  <c r="N28" i="19"/>
  <c r="L27" i="19"/>
  <c r="V16" i="19"/>
  <c r="T15" i="19"/>
  <c r="R14" i="19"/>
  <c r="P13" i="19"/>
  <c r="N12" i="19"/>
  <c r="L11" i="19"/>
  <c r="T85" i="19"/>
  <c r="R84" i="19"/>
  <c r="P83" i="19"/>
  <c r="N82" i="19"/>
  <c r="L81" i="19"/>
  <c r="V70" i="19"/>
  <c r="T69" i="19"/>
  <c r="R68" i="19"/>
  <c r="P67" i="19"/>
  <c r="N66" i="19"/>
  <c r="L65" i="19"/>
  <c r="V54" i="19"/>
  <c r="T53" i="19"/>
  <c r="R52" i="19"/>
  <c r="P51" i="19"/>
  <c r="N50" i="19"/>
  <c r="L49" i="19"/>
  <c r="V38" i="19"/>
  <c r="T37" i="19"/>
  <c r="R36" i="19"/>
  <c r="P35" i="19"/>
  <c r="N34" i="19"/>
  <c r="L33" i="19"/>
  <c r="V22" i="19"/>
  <c r="T21" i="19"/>
  <c r="R20" i="19"/>
  <c r="P19" i="19"/>
  <c r="N18" i="19"/>
  <c r="L17" i="19"/>
  <c r="R85" i="19"/>
  <c r="P84" i="19"/>
  <c r="N83" i="19"/>
  <c r="L82" i="19"/>
  <c r="V71" i="19"/>
  <c r="T70" i="19"/>
  <c r="R69" i="19"/>
  <c r="P68" i="19"/>
  <c r="N67" i="19"/>
  <c r="L66" i="19"/>
  <c r="V55" i="19"/>
  <c r="T54" i="19"/>
  <c r="R53" i="19"/>
  <c r="P52" i="19"/>
  <c r="N51" i="19"/>
  <c r="L50" i="19"/>
  <c r="V39" i="19"/>
  <c r="T38" i="19"/>
  <c r="R37" i="19"/>
  <c r="P36" i="19"/>
  <c r="N35" i="19"/>
  <c r="L34" i="19"/>
  <c r="V23" i="19"/>
  <c r="T22" i="19"/>
  <c r="R21" i="19"/>
  <c r="P20" i="19"/>
  <c r="N19" i="19"/>
  <c r="L18" i="19"/>
  <c r="P85" i="19"/>
  <c r="N84" i="19"/>
  <c r="L83" i="19"/>
  <c r="V72" i="19"/>
  <c r="T71" i="19"/>
  <c r="R70" i="19"/>
  <c r="P69" i="19"/>
  <c r="N68" i="19"/>
  <c r="L67" i="19"/>
  <c r="V56" i="19"/>
  <c r="T55" i="19"/>
  <c r="R54" i="19"/>
  <c r="P53" i="19"/>
  <c r="N52" i="19"/>
  <c r="L51" i="19"/>
  <c r="V40" i="19"/>
  <c r="T39" i="19"/>
  <c r="R38" i="19"/>
  <c r="P37" i="19"/>
  <c r="N36" i="19"/>
  <c r="L35" i="19"/>
  <c r="V24" i="19"/>
  <c r="T23" i="19"/>
  <c r="R22" i="19"/>
  <c r="P21" i="19"/>
  <c r="N20" i="19"/>
  <c r="L19" i="19"/>
  <c r="O85" i="19"/>
  <c r="M84" i="19"/>
  <c r="K83" i="19"/>
  <c r="U72" i="19"/>
  <c r="S71" i="19"/>
  <c r="Q70" i="19"/>
  <c r="O69" i="19"/>
  <c r="M68" i="19"/>
  <c r="K67" i="19"/>
  <c r="U56" i="19"/>
  <c r="S55" i="19"/>
  <c r="Q54" i="19"/>
  <c r="O53" i="19"/>
  <c r="M52" i="19"/>
  <c r="K51" i="19"/>
  <c r="U40" i="19"/>
  <c r="S39" i="19"/>
  <c r="Q38" i="19"/>
  <c r="O37" i="19"/>
  <c r="M36" i="19"/>
  <c r="K35" i="19"/>
  <c r="U24" i="19"/>
  <c r="S23" i="19"/>
  <c r="Q22" i="19"/>
  <c r="O21" i="19"/>
  <c r="M20" i="19"/>
  <c r="S64" i="9"/>
  <c r="V60" i="9"/>
  <c r="L56" i="9"/>
  <c r="V54" i="9"/>
  <c r="T52" i="9"/>
  <c r="N39" i="9"/>
  <c r="N33" i="9"/>
  <c r="N13" i="9"/>
  <c r="S78" i="9"/>
  <c r="R64" i="9"/>
  <c r="V62" i="9"/>
  <c r="T60" i="9"/>
  <c r="V58" i="9"/>
  <c r="K56" i="9"/>
  <c r="U54" i="9"/>
  <c r="S52" i="9"/>
  <c r="K39" i="9"/>
  <c r="M13" i="9"/>
  <c r="U84" i="9"/>
  <c r="N81" i="9"/>
  <c r="U73" i="9"/>
  <c r="K70" i="9"/>
  <c r="V65" i="9"/>
  <c r="L62" i="9"/>
  <c r="T57" i="9"/>
  <c r="P54" i="9"/>
  <c r="L51" i="9"/>
  <c r="R46" i="9"/>
  <c r="Q41" i="9"/>
  <c r="T36" i="9"/>
  <c r="L33" i="9"/>
  <c r="U28" i="9"/>
  <c r="M25" i="9"/>
  <c r="Q20" i="9"/>
  <c r="V13" i="9"/>
  <c r="M10" i="9"/>
  <c r="T84" i="9"/>
  <c r="M81" i="9"/>
  <c r="V79" i="9"/>
  <c r="O73" i="9"/>
  <c r="U65" i="9"/>
  <c r="K62" i="9"/>
  <c r="S57" i="9"/>
  <c r="O54" i="9"/>
  <c r="Q46" i="9"/>
  <c r="P41" i="9"/>
  <c r="S36" i="9"/>
  <c r="K33" i="9"/>
  <c r="V31" i="9"/>
  <c r="T28" i="9"/>
  <c r="L25" i="9"/>
  <c r="V23" i="9"/>
  <c r="O20" i="9"/>
  <c r="R13" i="9"/>
  <c r="L10" i="9"/>
  <c r="P84" i="9"/>
  <c r="L81" i="9"/>
  <c r="U79" i="9"/>
  <c r="V76" i="9"/>
  <c r="M73" i="9"/>
  <c r="T65" i="9"/>
  <c r="R57" i="9"/>
  <c r="N54" i="9"/>
  <c r="P46" i="9"/>
  <c r="N41" i="9"/>
  <c r="R36" i="9"/>
  <c r="U31" i="9"/>
  <c r="S28" i="9"/>
  <c r="K25" i="9"/>
  <c r="U23" i="9"/>
  <c r="N20" i="9"/>
  <c r="Q13" i="9"/>
  <c r="O84" i="9"/>
  <c r="T79" i="9"/>
  <c r="U76" i="9"/>
  <c r="S65" i="9"/>
  <c r="Q57" i="9"/>
  <c r="M54" i="9"/>
  <c r="R49" i="9"/>
  <c r="O46" i="9"/>
  <c r="M41" i="9"/>
  <c r="V39" i="9"/>
  <c r="Q36" i="9"/>
  <c r="T31" i="9"/>
  <c r="P28" i="9"/>
  <c r="T23" i="9"/>
  <c r="L20" i="9"/>
  <c r="P18" i="9"/>
  <c r="P13" i="9"/>
  <c r="R26" i="9"/>
  <c r="L29" i="9"/>
  <c r="L66" i="9"/>
  <c r="N50" i="9"/>
  <c r="O24" i="9"/>
  <c r="K82" i="9"/>
  <c r="P77" i="9"/>
  <c r="N74" i="9"/>
  <c r="V66" i="9"/>
  <c r="P58" i="9"/>
  <c r="R55" i="9"/>
  <c r="V50" i="9"/>
  <c r="U47" i="9"/>
  <c r="K44" i="9"/>
  <c r="N42" i="9"/>
  <c r="O29" i="9"/>
  <c r="R21" i="9"/>
  <c r="K16" i="9"/>
  <c r="N14" i="9"/>
  <c r="R85" i="9"/>
  <c r="O77" i="9"/>
  <c r="M74" i="9"/>
  <c r="U66" i="9"/>
  <c r="O58" i="9"/>
  <c r="Q55" i="9"/>
  <c r="U50" i="9"/>
  <c r="O47" i="9"/>
  <c r="M42" i="9"/>
  <c r="V37" i="9"/>
  <c r="N29" i="9"/>
  <c r="N26" i="9"/>
  <c r="M21" i="9"/>
  <c r="Q85" i="9"/>
  <c r="U80" i="9"/>
  <c r="N77" i="9"/>
  <c r="L74" i="9"/>
  <c r="U69" i="9"/>
  <c r="T66" i="9"/>
  <c r="N58" i="9"/>
  <c r="M55" i="9"/>
  <c r="T50" i="9"/>
  <c r="N47" i="9"/>
  <c r="L42" i="9"/>
  <c r="P37" i="9"/>
  <c r="M29" i="9"/>
  <c r="M26" i="9"/>
  <c r="L21" i="9"/>
  <c r="V19" i="9"/>
  <c r="N15" i="9"/>
  <c r="Q16" i="9"/>
  <c r="T17" i="9"/>
  <c r="V18" i="9"/>
  <c r="L13" i="9"/>
  <c r="O14" i="9"/>
  <c r="V15" i="9"/>
  <c r="P20" i="9"/>
  <c r="V21" i="9"/>
  <c r="Q27" i="9"/>
  <c r="V28" i="9"/>
  <c r="M33" i="9"/>
  <c r="P34" i="9"/>
  <c r="U35" i="9"/>
  <c r="O41" i="9"/>
  <c r="T42" i="9"/>
  <c r="K47" i="9"/>
  <c r="P48" i="9"/>
  <c r="U49" i="9"/>
  <c r="O55" i="9"/>
  <c r="S56" i="9"/>
  <c r="N62" i="9"/>
  <c r="S63" i="9"/>
  <c r="P69" i="9"/>
  <c r="S70" i="9"/>
  <c r="N76" i="9"/>
  <c r="S77" i="9"/>
  <c r="L83" i="9"/>
  <c r="Q84" i="9"/>
  <c r="O11" i="9"/>
  <c r="T12" i="9"/>
  <c r="N17" i="9"/>
  <c r="S18" i="9"/>
  <c r="M23" i="9"/>
  <c r="R24" i="9"/>
  <c r="V25" i="9"/>
  <c r="M30" i="9"/>
  <c r="R31" i="9"/>
  <c r="L37" i="9"/>
  <c r="R38" i="9"/>
  <c r="M44" i="9"/>
  <c r="Q45" i="9"/>
  <c r="V46" i="9"/>
  <c r="P52" i="9"/>
  <c r="U53" i="9"/>
  <c r="L58" i="9"/>
  <c r="P59" i="9"/>
  <c r="U60" i="9"/>
  <c r="L65" i="9"/>
  <c r="P66" i="9"/>
  <c r="U67" i="9"/>
  <c r="N73" i="9"/>
  <c r="S74" i="9"/>
  <c r="K79" i="9"/>
  <c r="P80" i="9"/>
  <c r="T81" i="9"/>
  <c r="P11" i="9"/>
  <c r="U12" i="9"/>
  <c r="O17" i="9"/>
  <c r="N23" i="9"/>
  <c r="S24" i="9"/>
  <c r="S13" i="9"/>
  <c r="P17" i="9"/>
  <c r="N21" i="9"/>
  <c r="U22" i="9"/>
  <c r="O26" i="9"/>
  <c r="V27" i="9"/>
  <c r="M31" i="9"/>
  <c r="T32" i="9"/>
  <c r="L36" i="9"/>
  <c r="S37" i="9"/>
  <c r="P42" i="9"/>
  <c r="P47" i="9"/>
  <c r="L52" i="9"/>
  <c r="T53" i="9"/>
  <c r="K57" i="9"/>
  <c r="R58" i="9"/>
  <c r="O63" i="9"/>
  <c r="V64" i="9"/>
  <c r="O68" i="9"/>
  <c r="V69" i="9"/>
  <c r="Q74" i="9"/>
  <c r="O79" i="9"/>
  <c r="V80" i="9"/>
  <c r="K84" i="9"/>
  <c r="S85" i="9"/>
  <c r="T13" i="9"/>
  <c r="Q17" i="9"/>
  <c r="P21" i="9"/>
  <c r="V22" i="9"/>
  <c r="P26" i="9"/>
  <c r="N31" i="9"/>
  <c r="U32" i="9"/>
  <c r="N36" i="9"/>
  <c r="T37" i="9"/>
  <c r="Q42" i="9"/>
  <c r="K46" i="9"/>
  <c r="Q47" i="9"/>
  <c r="N52" i="9"/>
  <c r="V53" i="9"/>
  <c r="L57" i="9"/>
  <c r="S58" i="9"/>
  <c r="P63" i="9"/>
  <c r="P68" i="9"/>
  <c r="K73" i="9"/>
  <c r="R74" i="9"/>
  <c r="P79" i="9"/>
  <c r="L84" i="9"/>
  <c r="T85" i="9"/>
  <c r="K12" i="9"/>
  <c r="U13" i="9"/>
  <c r="U17" i="9"/>
  <c r="Q21" i="9"/>
  <c r="Q26" i="9"/>
  <c r="O31" i="9"/>
  <c r="V32" i="9"/>
  <c r="O36" i="9"/>
  <c r="U37" i="9"/>
  <c r="K41" i="9"/>
  <c r="R42" i="9"/>
  <c r="L46" i="9"/>
  <c r="R47" i="9"/>
  <c r="O52" i="9"/>
  <c r="M57" i="9"/>
  <c r="T58" i="9"/>
  <c r="Q63" i="9"/>
  <c r="Q68" i="9"/>
  <c r="L73" i="9"/>
  <c r="T74" i="9"/>
  <c r="Q79" i="9"/>
  <c r="N84" i="9"/>
  <c r="S11" i="9"/>
  <c r="Q15" i="9"/>
  <c r="M19" i="9"/>
  <c r="V20" i="9"/>
  <c r="P24" i="9"/>
  <c r="P29" i="9"/>
  <c r="N34" i="9"/>
  <c r="V35" i="9"/>
  <c r="L39" i="9"/>
  <c r="R40" i="9"/>
  <c r="L44" i="9"/>
  <c r="S45" i="9"/>
  <c r="R50" i="9"/>
  <c r="N55" i="9"/>
  <c r="T56" i="9"/>
  <c r="K60" i="9"/>
  <c r="S61" i="9"/>
  <c r="K65" i="9"/>
  <c r="R66" i="9"/>
  <c r="O71" i="9"/>
  <c r="V72" i="9"/>
  <c r="L76" i="9"/>
  <c r="R77" i="9"/>
  <c r="P82" i="9"/>
  <c r="T11" i="9"/>
  <c r="R15" i="9"/>
  <c r="N19" i="9"/>
  <c r="Q24" i="9"/>
  <c r="Q29" i="9"/>
  <c r="O34" i="9"/>
  <c r="M39" i="9"/>
  <c r="V40" i="9"/>
  <c r="N44" i="9"/>
  <c r="T45" i="9"/>
  <c r="K49" i="9"/>
  <c r="S50" i="9"/>
  <c r="P55" i="9"/>
  <c r="V56" i="9"/>
  <c r="L60" i="9"/>
  <c r="T61" i="9"/>
  <c r="M65" i="9"/>
  <c r="S66" i="9"/>
  <c r="P71" i="9"/>
  <c r="M76" i="9"/>
  <c r="T77" i="9"/>
  <c r="Q82" i="9"/>
  <c r="U11" i="9"/>
  <c r="S15" i="9"/>
  <c r="O19" i="9"/>
  <c r="T24" i="9"/>
  <c r="M12" i="9"/>
  <c r="O15" i="9"/>
  <c r="Q18" i="9"/>
  <c r="S27" i="9"/>
  <c r="N30" i="9"/>
  <c r="T34" i="9"/>
  <c r="Q37" i="9"/>
  <c r="N40" i="9"/>
  <c r="L43" i="9"/>
  <c r="S47" i="9"/>
  <c r="R54" i="9"/>
  <c r="R61" i="9"/>
  <c r="N64" i="9"/>
  <c r="T68" i="9"/>
  <c r="K71" i="9"/>
  <c r="T75" i="9"/>
  <c r="L78" i="9"/>
  <c r="S82" i="9"/>
  <c r="N85" i="9"/>
  <c r="N12" i="9"/>
  <c r="P15" i="9"/>
  <c r="R18" i="9"/>
  <c r="T27" i="9"/>
  <c r="O30" i="9"/>
  <c r="U34" i="9"/>
  <c r="R37" i="9"/>
  <c r="O40" i="9"/>
  <c r="M43" i="9"/>
  <c r="T47" i="9"/>
  <c r="K50" i="9"/>
  <c r="S54" i="9"/>
  <c r="N57" i="9"/>
  <c r="U61" i="9"/>
  <c r="O64" i="9"/>
  <c r="U68" i="9"/>
  <c r="N71" i="9"/>
  <c r="U75" i="9"/>
  <c r="M78" i="9"/>
  <c r="T82" i="9"/>
  <c r="P85" i="9"/>
  <c r="V11" i="9"/>
  <c r="R14" i="9"/>
  <c r="P22" i="9"/>
  <c r="N25" i="9"/>
  <c r="V29" i="9"/>
  <c r="O32" i="9"/>
  <c r="L35" i="9"/>
  <c r="O42" i="9"/>
  <c r="L45" i="9"/>
  <c r="S49" i="9"/>
  <c r="K52" i="9"/>
  <c r="P56" i="9"/>
  <c r="O59" i="9"/>
  <c r="U63" i="9"/>
  <c r="N66" i="9"/>
  <c r="T70" i="9"/>
  <c r="P73" i="9"/>
  <c r="O76" i="9"/>
  <c r="N80" i="9"/>
  <c r="S14" i="9"/>
  <c r="L19" i="9"/>
  <c r="R22" i="9"/>
  <c r="O25" i="9"/>
  <c r="P32" i="9"/>
  <c r="M35" i="9"/>
  <c r="S42" i="9"/>
  <c r="M45" i="9"/>
  <c r="T49" i="9"/>
  <c r="Q52" i="9"/>
  <c r="Q56" i="9"/>
  <c r="Q59" i="9"/>
  <c r="O66" i="9"/>
  <c r="U70" i="9"/>
  <c r="Q73" i="9"/>
  <c r="P76" i="9"/>
  <c r="O80" i="9"/>
  <c r="K10" i="9"/>
  <c r="T14" i="9"/>
  <c r="P19" i="9"/>
  <c r="S22" i="9"/>
  <c r="P25" i="9"/>
  <c r="K28" i="9"/>
  <c r="Q32" i="9"/>
  <c r="N35" i="9"/>
  <c r="U42" i="9"/>
  <c r="N45" i="9"/>
  <c r="V49" i="9"/>
  <c r="R52" i="9"/>
  <c r="K55" i="9"/>
  <c r="R56" i="9"/>
  <c r="R59" i="9"/>
  <c r="Q66" i="9"/>
  <c r="K69" i="9"/>
  <c r="V70" i="9"/>
  <c r="T73" i="9"/>
  <c r="Q76" i="9"/>
  <c r="Q80" i="9"/>
  <c r="M85" i="9"/>
  <c r="T80" i="9"/>
  <c r="M77" i="9"/>
  <c r="K74" i="9"/>
  <c r="T69" i="9"/>
  <c r="M66" i="9"/>
  <c r="V61" i="9"/>
  <c r="M58" i="9"/>
  <c r="L55" i="9"/>
  <c r="O50" i="9"/>
  <c r="M47" i="9"/>
  <c r="K42" i="9"/>
  <c r="N37" i="9"/>
  <c r="S32" i="9"/>
  <c r="V24" i="9"/>
  <c r="K21" i="9"/>
  <c r="U19" i="9"/>
  <c r="K14" i="9"/>
  <c r="L85" i="9"/>
  <c r="S80" i="9"/>
  <c r="L77" i="9"/>
  <c r="T72" i="9"/>
  <c r="S69" i="9"/>
  <c r="O61" i="9"/>
  <c r="K58" i="9"/>
  <c r="S53" i="9"/>
  <c r="L47" i="9"/>
  <c r="M37" i="9"/>
  <c r="R32" i="9"/>
  <c r="K29" i="9"/>
  <c r="T19" i="9"/>
  <c r="K85" i="9"/>
  <c r="R80" i="9"/>
  <c r="K77" i="9"/>
  <c r="S72" i="9"/>
  <c r="R69" i="9"/>
  <c r="K66" i="9"/>
  <c r="U64" i="9"/>
  <c r="N61" i="9"/>
  <c r="R53" i="9"/>
  <c r="M50" i="9"/>
  <c r="V45" i="9"/>
  <c r="N32" i="9"/>
  <c r="N24" i="9"/>
  <c r="S19" i="9"/>
  <c r="S12" i="9"/>
  <c r="K19" i="9"/>
  <c r="M20" i="9"/>
  <c r="O21" i="9"/>
  <c r="Q22" i="9"/>
  <c r="S23" i="9"/>
  <c r="U24" i="9"/>
  <c r="K35" i="9"/>
  <c r="M36" i="9"/>
  <c r="O37" i="9"/>
  <c r="Q38" i="9"/>
  <c r="S39" i="9"/>
  <c r="U40" i="9"/>
  <c r="K51" i="9"/>
  <c r="M52" i="9"/>
  <c r="O53" i="9"/>
  <c r="Q54" i="9"/>
  <c r="S55" i="9"/>
  <c r="U56" i="9"/>
  <c r="K67" i="9"/>
  <c r="M68" i="9"/>
  <c r="O69" i="9"/>
  <c r="Q70" i="9"/>
  <c r="S71" i="9"/>
  <c r="U72" i="9"/>
  <c r="K83" i="9"/>
  <c r="M84" i="9"/>
  <c r="O85" i="9"/>
  <c r="V85" i="9"/>
  <c r="S84" i="9"/>
  <c r="P83" i="9"/>
  <c r="M82" i="9"/>
  <c r="K81" i="9"/>
  <c r="V74" i="9"/>
  <c r="S73" i="9"/>
  <c r="P72" i="9"/>
  <c r="M71" i="9"/>
  <c r="T62" i="9"/>
  <c r="Q61" i="9"/>
  <c r="N60" i="9"/>
  <c r="K59" i="9"/>
  <c r="T51" i="9"/>
  <c r="Q50" i="9"/>
  <c r="O49" i="9"/>
  <c r="L48" i="9"/>
  <c r="T40" i="9"/>
  <c r="Q39" i="9"/>
  <c r="N38" i="9"/>
  <c r="K37" i="9"/>
  <c r="U29" i="9"/>
  <c r="R28" i="9"/>
  <c r="O27" i="9"/>
  <c r="L26" i="9"/>
  <c r="U18" i="9"/>
  <c r="S17" i="9"/>
  <c r="P16" i="9"/>
  <c r="M15" i="9"/>
  <c r="U85" i="9"/>
  <c r="R84" i="9"/>
  <c r="O83" i="9"/>
  <c r="L82" i="9"/>
  <c r="U74" i="9"/>
  <c r="R73" i="9"/>
  <c r="O72" i="9"/>
  <c r="L71" i="9"/>
  <c r="V63" i="9"/>
  <c r="S62" i="9"/>
  <c r="P61" i="9"/>
  <c r="M60" i="9"/>
  <c r="V52" i="9"/>
  <c r="S51" i="9"/>
  <c r="P50" i="9"/>
  <c r="N49" i="9"/>
  <c r="K48" i="9"/>
  <c r="V41" i="9"/>
  <c r="S40" i="9"/>
  <c r="P39" i="9"/>
  <c r="M38" i="9"/>
  <c r="T29" i="9"/>
  <c r="Q28" i="9"/>
  <c r="N27" i="9"/>
  <c r="K26" i="9"/>
  <c r="T18" i="9"/>
  <c r="R17" i="9"/>
  <c r="O16" i="9"/>
  <c r="L15" i="9"/>
  <c r="O39" i="8"/>
  <c r="L85" i="8"/>
  <c r="L23" i="8"/>
  <c r="O50" i="8"/>
  <c r="K23" i="8"/>
  <c r="R31" i="8"/>
  <c r="V63" i="8"/>
  <c r="N53" i="8"/>
  <c r="T47" i="8"/>
  <c r="U27" i="8"/>
  <c r="S66" i="8"/>
  <c r="R81" i="8"/>
  <c r="M82" i="8"/>
  <c r="M78" i="8"/>
  <c r="Q57" i="8"/>
  <c r="P67" i="8"/>
  <c r="T82" i="8"/>
  <c r="R67" i="8"/>
  <c r="K76" i="8"/>
  <c r="R79" i="8"/>
  <c r="U82" i="8"/>
  <c r="M21" i="8"/>
  <c r="P29" i="8"/>
  <c r="N32" i="8"/>
  <c r="P40" i="8"/>
  <c r="K48" i="8"/>
  <c r="P50" i="8"/>
  <c r="S72" i="8"/>
  <c r="T83" i="8"/>
  <c r="L11" i="8"/>
  <c r="V27" i="8"/>
  <c r="O32" i="8"/>
  <c r="Q40" i="8"/>
  <c r="P45" i="8"/>
  <c r="T72" i="8"/>
  <c r="L76" i="8"/>
  <c r="R15" i="8"/>
  <c r="P16" i="8"/>
  <c r="S50" i="8"/>
  <c r="O80" i="8"/>
  <c r="N80" i="8"/>
  <c r="M18" i="8"/>
  <c r="V34" i="8"/>
  <c r="K77" i="8"/>
  <c r="P80" i="8"/>
  <c r="L16" i="8"/>
  <c r="K21" i="8"/>
  <c r="P32" i="8"/>
  <c r="K37" i="8"/>
  <c r="P68" i="8"/>
  <c r="N76" i="8"/>
  <c r="M79" i="8"/>
  <c r="P11" i="8"/>
  <c r="L37" i="8"/>
  <c r="L61" i="8"/>
  <c r="R65" i="8"/>
  <c r="R68" i="8"/>
  <c r="U76" i="8"/>
  <c r="O18" i="8"/>
  <c r="S26" i="8"/>
  <c r="K30" i="8"/>
  <c r="R39" i="8"/>
  <c r="M48" i="8"/>
  <c r="T67" i="8"/>
  <c r="P71" i="8"/>
  <c r="T22" i="8"/>
  <c r="R50" i="8"/>
  <c r="S67" i="8"/>
  <c r="Q71" i="8"/>
  <c r="U22" i="8"/>
  <c r="P39" i="8"/>
  <c r="L48" i="8"/>
  <c r="O11" i="8"/>
  <c r="L38" i="8"/>
  <c r="P70" i="8"/>
  <c r="S81" i="8"/>
  <c r="M85" i="8"/>
  <c r="L21" i="8"/>
  <c r="S38" i="8"/>
  <c r="K59" i="8"/>
  <c r="V70" i="8"/>
  <c r="K78" i="8"/>
  <c r="S29" i="8"/>
  <c r="L18" i="8"/>
  <c r="U26" i="8"/>
  <c r="P57" i="8"/>
  <c r="K80" i="8"/>
  <c r="N26" i="8"/>
  <c r="R40" i="8"/>
  <c r="U61" i="8"/>
  <c r="S74" i="8"/>
  <c r="T26" i="8"/>
  <c r="T74" i="8"/>
  <c r="V26" i="8"/>
  <c r="U74" i="8"/>
  <c r="T31" i="8"/>
  <c r="T66" i="8"/>
  <c r="M23" i="8"/>
  <c r="K18" i="8"/>
  <c r="M81" i="8"/>
  <c r="N18" i="8"/>
  <c r="Q66" i="8"/>
  <c r="P81" i="8"/>
  <c r="K85" i="8"/>
  <c r="P18" i="8"/>
  <c r="Q31" i="8"/>
  <c r="M53" i="8"/>
  <c r="R66" i="8"/>
  <c r="Q81" i="8"/>
  <c r="O40" i="8"/>
  <c r="M32" i="8"/>
  <c r="O27" i="8"/>
  <c r="V19" i="8"/>
  <c r="S63" i="8"/>
  <c r="N40" i="8"/>
  <c r="L32" i="8"/>
  <c r="N27" i="8"/>
  <c r="U19" i="8"/>
  <c r="R63" i="8"/>
  <c r="S83" i="8"/>
  <c r="R72" i="8"/>
  <c r="N83" i="8"/>
  <c r="Q72" i="8"/>
  <c r="M50" i="8"/>
  <c r="M83" i="8"/>
  <c r="P72" i="8"/>
  <c r="V58" i="8"/>
  <c r="L50" i="8"/>
  <c r="V45" i="8"/>
  <c r="M40" i="8"/>
  <c r="S37" i="8"/>
  <c r="K32" i="8"/>
  <c r="L27" i="8"/>
  <c r="T19" i="8"/>
  <c r="T78" i="8"/>
  <c r="O72" i="8"/>
  <c r="K50" i="8"/>
  <c r="U45" i="8"/>
  <c r="L40" i="8"/>
  <c r="R37" i="8"/>
  <c r="V29" i="8"/>
  <c r="K27" i="8"/>
  <c r="O19" i="8"/>
  <c r="R80" i="8"/>
  <c r="R78" i="8"/>
  <c r="N72" i="8"/>
  <c r="Q55" i="8"/>
  <c r="S45" i="8"/>
  <c r="Q37" i="8"/>
  <c r="U29" i="8"/>
  <c r="N19" i="8"/>
  <c r="Q16" i="8"/>
  <c r="Q80" i="8"/>
  <c r="Q78" i="8"/>
  <c r="M72" i="8"/>
  <c r="K55" i="8"/>
  <c r="V52" i="8"/>
  <c r="N37" i="8"/>
  <c r="T29" i="8"/>
  <c r="M19" i="8"/>
  <c r="O71" i="8"/>
  <c r="U64" i="8"/>
  <c r="U62" i="8"/>
  <c r="N57" i="8"/>
  <c r="T41" i="8"/>
  <c r="N39" i="8"/>
  <c r="S15" i="8"/>
  <c r="R64" i="8"/>
  <c r="T62" i="8"/>
  <c r="M57" i="8"/>
  <c r="O54" i="8"/>
  <c r="V44" i="8"/>
  <c r="S41" i="8"/>
  <c r="L14" i="8"/>
  <c r="L17" i="8"/>
  <c r="P24" i="8"/>
  <c r="T28" i="8"/>
  <c r="P31" i="8"/>
  <c r="K34" i="8"/>
  <c r="V10" i="8"/>
  <c r="Q11" i="8"/>
  <c r="N13" i="8"/>
  <c r="Q24" i="8"/>
  <c r="V31" i="8"/>
  <c r="O33" i="8"/>
  <c r="S40" i="8"/>
  <c r="N42" i="8"/>
  <c r="M44" i="8"/>
  <c r="T40" i="7"/>
  <c r="K36" i="7"/>
  <c r="V30" i="7"/>
  <c r="T18" i="7"/>
  <c r="S40" i="7"/>
  <c r="O47" i="7"/>
  <c r="L69" i="7"/>
  <c r="P15" i="7"/>
  <c r="K23" i="7"/>
  <c r="K41" i="7"/>
  <c r="T69" i="7"/>
  <c r="O48" i="7"/>
  <c r="S72" i="7"/>
  <c r="V79" i="7"/>
  <c r="L22" i="7"/>
  <c r="K69" i="7"/>
  <c r="M73" i="7"/>
  <c r="L48" i="7"/>
  <c r="N13" i="7"/>
  <c r="P44" i="7"/>
  <c r="N48" i="7"/>
  <c r="T76" i="7"/>
  <c r="O13" i="7"/>
  <c r="Q44" i="7"/>
  <c r="Q48" i="7"/>
  <c r="P25" i="7"/>
  <c r="V76" i="7"/>
  <c r="S17" i="7"/>
  <c r="M69" i="7"/>
  <c r="U25" i="7"/>
  <c r="M48" i="7"/>
  <c r="Q80" i="7"/>
  <c r="M23" i="7"/>
  <c r="K56" i="7"/>
  <c r="N69" i="7"/>
  <c r="Q52" i="7"/>
  <c r="L52" i="7"/>
  <c r="O25" i="7"/>
  <c r="M25" i="7"/>
  <c r="K12" i="7"/>
  <c r="L41" i="7"/>
  <c r="Q15" i="7"/>
  <c r="T10" i="7"/>
  <c r="Q63" i="7"/>
  <c r="P51" i="7"/>
  <c r="T68" i="7"/>
  <c r="V59" i="7"/>
  <c r="U32" i="7"/>
  <c r="V35" i="7"/>
  <c r="U69" i="7"/>
  <c r="Q65" i="7"/>
  <c r="T27" i="7"/>
  <c r="O70" i="7"/>
  <c r="S52" i="7"/>
  <c r="Q75" i="7"/>
  <c r="S61" i="7"/>
  <c r="O75" i="7"/>
  <c r="N61" i="7"/>
  <c r="K30" i="7"/>
  <c r="N75" i="7"/>
  <c r="P70" i="7"/>
  <c r="O51" i="7"/>
  <c r="Q45" i="5"/>
  <c r="U68" i="5"/>
  <c r="V54" i="5"/>
  <c r="U27" i="5"/>
  <c r="O19" i="5"/>
  <c r="V82" i="5"/>
  <c r="K78" i="5"/>
  <c r="L78" i="5"/>
  <c r="U17" i="5"/>
  <c r="S26" i="5"/>
  <c r="V27" i="5"/>
  <c r="K66" i="5"/>
  <c r="O41" i="5"/>
  <c r="L65" i="5"/>
  <c r="T45" i="5"/>
  <c r="R77" i="5"/>
  <c r="V65" i="4"/>
  <c r="Q66" i="4"/>
  <c r="AA47" i="31"/>
  <c r="Q76" i="8"/>
  <c r="T32" i="29"/>
  <c r="T61" i="29"/>
  <c r="N70" i="29"/>
  <c r="V63" i="29"/>
  <c r="K60" i="29"/>
  <c r="R56" i="29"/>
  <c r="U46" i="29"/>
  <c r="P42" i="29"/>
  <c r="N42" i="29"/>
  <c r="M42" i="29"/>
  <c r="T40" i="29"/>
  <c r="V34" i="29"/>
  <c r="L28" i="29"/>
  <c r="U63" i="29"/>
  <c r="L58" i="29"/>
  <c r="T56" i="29"/>
  <c r="S40" i="29"/>
  <c r="K21" i="29"/>
  <c r="P15" i="29"/>
  <c r="L73" i="29"/>
  <c r="P56" i="29"/>
  <c r="V46" i="29"/>
  <c r="O42" i="29"/>
  <c r="S26" i="29"/>
  <c r="V61" i="29"/>
  <c r="AE80" i="32"/>
  <c r="Y23" i="31"/>
  <c r="AB23" i="31"/>
  <c r="X23" i="31"/>
  <c r="AE23" i="31"/>
  <c r="W23" i="31"/>
  <c r="AA23" i="31"/>
  <c r="Z23" i="31"/>
  <c r="AD23" i="31"/>
  <c r="AC23" i="31"/>
  <c r="W11" i="31"/>
  <c r="AE11" i="31"/>
  <c r="AB11" i="31"/>
  <c r="Z11" i="31"/>
  <c r="Y11" i="31"/>
  <c r="AD11" i="31"/>
  <c r="AC11" i="31"/>
  <c r="AA11" i="31"/>
  <c r="X11" i="31"/>
  <c r="Y45" i="31"/>
  <c r="Z45" i="31"/>
  <c r="AC45" i="31"/>
  <c r="W45" i="31"/>
  <c r="AD45" i="31"/>
  <c r="AB45" i="31"/>
  <c r="X45" i="31"/>
  <c r="AA45" i="31"/>
  <c r="AE45" i="31"/>
  <c r="AE31" i="31"/>
  <c r="AC31" i="31"/>
  <c r="W31" i="31"/>
  <c r="Y31" i="31"/>
  <c r="Z31" i="31"/>
  <c r="AA31" i="31"/>
  <c r="AD31" i="31"/>
  <c r="X31" i="31"/>
  <c r="AB31" i="31"/>
  <c r="AA17" i="31"/>
  <c r="X17" i="31"/>
  <c r="AD17" i="31"/>
  <c r="AC17" i="31"/>
  <c r="AB17" i="31"/>
  <c r="Y17" i="31"/>
  <c r="AE17" i="31"/>
  <c r="W17" i="31"/>
  <c r="Z17" i="31"/>
  <c r="AE63" i="31"/>
  <c r="Y63" i="31"/>
  <c r="AA63" i="31"/>
  <c r="AB63" i="31"/>
  <c r="W63" i="31"/>
  <c r="X63" i="31"/>
  <c r="AC63" i="31"/>
  <c r="AD63" i="31"/>
  <c r="Z63" i="31"/>
  <c r="AD47" i="31"/>
  <c r="AC47" i="31"/>
  <c r="AE47" i="31"/>
  <c r="AB47" i="31"/>
  <c r="X47" i="31"/>
  <c r="Y47" i="31"/>
  <c r="W47" i="31"/>
  <c r="Z47" i="31"/>
  <c r="X36" i="31"/>
  <c r="AA36" i="31"/>
  <c r="AB36" i="31"/>
  <c r="AD36" i="31"/>
  <c r="Y36" i="31"/>
  <c r="AC36" i="31"/>
  <c r="Z36" i="31"/>
  <c r="W36" i="31"/>
  <c r="AE36" i="31"/>
  <c r="W52" i="31"/>
  <c r="AE52" i="31"/>
  <c r="Z52" i="31"/>
  <c r="AA52" i="31"/>
  <c r="AD52" i="31"/>
  <c r="Y52" i="31"/>
  <c r="X52" i="31"/>
  <c r="AB52" i="31"/>
  <c r="AC52" i="31"/>
  <c r="X29" i="31"/>
  <c r="AE29" i="31"/>
  <c r="Z29" i="31"/>
  <c r="AD29" i="31"/>
  <c r="W29" i="31"/>
  <c r="Y29" i="31"/>
  <c r="AB29" i="31"/>
  <c r="AC29" i="31"/>
  <c r="AA29" i="31"/>
  <c r="X21" i="31"/>
  <c r="AA21" i="31"/>
  <c r="AD21" i="31"/>
  <c r="W21" i="31"/>
  <c r="Y21" i="31"/>
  <c r="AE21" i="31"/>
  <c r="Z21" i="31"/>
  <c r="AC21" i="31"/>
  <c r="AB21" i="31"/>
  <c r="AE14" i="31"/>
  <c r="AD14" i="31"/>
  <c r="AB14" i="31"/>
  <c r="Y14" i="31"/>
  <c r="W14" i="31"/>
  <c r="X14" i="31"/>
  <c r="AC14" i="31"/>
  <c r="AA14" i="31"/>
  <c r="Z14" i="31"/>
  <c r="X74" i="31"/>
  <c r="AA74" i="31"/>
  <c r="Z74" i="31"/>
  <c r="Y74" i="31"/>
  <c r="AC74" i="31"/>
  <c r="AD74" i="31"/>
  <c r="AE74" i="31"/>
  <c r="W74" i="31"/>
  <c r="AB74" i="31"/>
  <c r="AD56" i="31"/>
  <c r="AA56" i="31"/>
  <c r="W56" i="31"/>
  <c r="AC56" i="31"/>
  <c r="AB56" i="31"/>
  <c r="Y56" i="31"/>
  <c r="Z56" i="31"/>
  <c r="X56" i="31"/>
  <c r="AE56" i="31"/>
  <c r="Z73" i="31"/>
  <c r="Y73" i="31"/>
  <c r="AB73" i="31"/>
  <c r="AA73" i="31"/>
  <c r="X73" i="31"/>
  <c r="W73" i="31"/>
  <c r="AE73" i="31"/>
  <c r="AC73" i="31"/>
  <c r="AD73" i="31"/>
  <c r="W38" i="31"/>
  <c r="AD38" i="31"/>
  <c r="Y38" i="31"/>
  <c r="AA38" i="31"/>
  <c r="X38" i="31"/>
  <c r="Z38" i="31"/>
  <c r="AE38" i="31"/>
  <c r="AB38" i="31"/>
  <c r="AC38" i="31"/>
  <c r="AE43" i="31"/>
  <c r="Y43" i="31"/>
  <c r="AA43" i="31"/>
  <c r="Z43" i="31"/>
  <c r="X43" i="31"/>
  <c r="AB43" i="31"/>
  <c r="AC43" i="31"/>
  <c r="AD43" i="31"/>
  <c r="W43" i="31"/>
  <c r="AD59" i="31"/>
  <c r="W59" i="31"/>
  <c r="AB59" i="31"/>
  <c r="Z59" i="31"/>
  <c r="AC59" i="31"/>
  <c r="Y59" i="31"/>
  <c r="AA59" i="31"/>
  <c r="AE59" i="31"/>
  <c r="X59" i="31"/>
  <c r="AE62" i="31"/>
  <c r="AA62" i="31"/>
  <c r="Z62" i="31"/>
  <c r="AB62" i="31"/>
  <c r="AC62" i="31"/>
  <c r="W62" i="31"/>
  <c r="AD62" i="31"/>
  <c r="Y62" i="31"/>
  <c r="X62" i="31"/>
  <c r="Z72" i="31"/>
  <c r="AD72" i="31"/>
  <c r="AE72" i="31"/>
  <c r="AA72" i="31"/>
  <c r="X72" i="31"/>
  <c r="AB72" i="31"/>
  <c r="Y72" i="31"/>
  <c r="W72" i="31"/>
  <c r="AC72" i="31"/>
  <c r="AB33" i="31"/>
  <c r="AA33" i="31"/>
  <c r="W33" i="31"/>
  <c r="Y33" i="31"/>
  <c r="X33" i="31"/>
  <c r="Z33" i="31"/>
  <c r="AC33" i="31"/>
  <c r="AD33" i="31"/>
  <c r="AE33" i="31"/>
  <c r="AA41" i="31"/>
  <c r="W41" i="31"/>
  <c r="AD41" i="31"/>
  <c r="X41" i="31"/>
  <c r="Y41" i="31"/>
  <c r="Z41" i="31"/>
  <c r="AB41" i="31"/>
  <c r="AE41" i="31"/>
  <c r="AC41" i="31"/>
  <c r="X85" i="31"/>
  <c r="AB85" i="31"/>
  <c r="AA85" i="31"/>
  <c r="W85" i="31"/>
  <c r="AD85" i="31"/>
  <c r="AE85" i="31"/>
  <c r="Z85" i="31"/>
  <c r="AC85" i="31"/>
  <c r="Y85" i="31"/>
  <c r="W39" i="31"/>
  <c r="AA39" i="31"/>
  <c r="Y39" i="31"/>
  <c r="Z39" i="31"/>
  <c r="X39" i="31"/>
  <c r="AE39" i="31"/>
  <c r="AB39" i="31"/>
  <c r="AC39" i="31"/>
  <c r="AD39" i="31"/>
  <c r="Z51" i="31"/>
  <c r="W51" i="31"/>
  <c r="AD51" i="31"/>
  <c r="AB51" i="31"/>
  <c r="X51" i="31"/>
  <c r="AC51" i="31"/>
  <c r="Y51" i="31"/>
  <c r="AA51" i="31"/>
  <c r="AE51" i="31"/>
  <c r="AC30" i="31"/>
  <c r="X30" i="31"/>
  <c r="AD30" i="31"/>
  <c r="AB30" i="31"/>
  <c r="Z30" i="31"/>
  <c r="W30" i="31"/>
  <c r="AE30" i="31"/>
  <c r="Y30" i="31"/>
  <c r="AA30" i="31"/>
  <c r="AA54" i="31"/>
  <c r="Y54" i="31"/>
  <c r="W54" i="31"/>
  <c r="AB54" i="31"/>
  <c r="X54" i="31"/>
  <c r="AC54" i="31"/>
  <c r="AE54" i="31"/>
  <c r="Z54" i="31"/>
  <c r="AD54" i="31"/>
  <c r="AC68" i="31"/>
  <c r="AD68" i="31"/>
  <c r="W68" i="31"/>
  <c r="X68" i="31"/>
  <c r="AE68" i="31"/>
  <c r="AA68" i="31"/>
  <c r="AB68" i="31"/>
  <c r="Y68" i="31"/>
  <c r="Z68" i="31"/>
  <c r="AD65" i="31"/>
  <c r="AB65" i="31"/>
  <c r="W65" i="31"/>
  <c r="AA65" i="31"/>
  <c r="AE65" i="31"/>
  <c r="AC65" i="31"/>
  <c r="Z65" i="31"/>
  <c r="X65" i="31"/>
  <c r="Y65" i="31"/>
  <c r="X75" i="31"/>
  <c r="Z75" i="31"/>
  <c r="AC75" i="31"/>
  <c r="W75" i="31"/>
  <c r="Y75" i="31"/>
  <c r="AD75" i="31"/>
  <c r="AB75" i="31"/>
  <c r="AE75" i="31"/>
  <c r="AA75" i="31"/>
  <c r="W80" i="31"/>
  <c r="AC80" i="31"/>
  <c r="Y80" i="31"/>
  <c r="AA80" i="31"/>
  <c r="X80" i="31"/>
  <c r="Z80" i="31"/>
  <c r="AD80" i="31"/>
  <c r="AE80" i="31"/>
  <c r="AB80" i="31"/>
  <c r="AB83" i="31"/>
  <c r="Y83" i="31"/>
  <c r="Z83" i="31"/>
  <c r="W83" i="31"/>
  <c r="AD83" i="31"/>
  <c r="AA83" i="31"/>
  <c r="AE83" i="31"/>
  <c r="X83" i="31"/>
  <c r="AC83" i="31"/>
  <c r="W66" i="31"/>
  <c r="AC66" i="31"/>
  <c r="Z66" i="31"/>
  <c r="X66" i="31"/>
  <c r="AA66" i="31"/>
  <c r="AE66" i="31"/>
  <c r="AD66" i="31"/>
  <c r="AB66" i="31"/>
  <c r="Y66" i="31"/>
  <c r="Z50" i="31"/>
  <c r="X50" i="31"/>
  <c r="AD50" i="31"/>
  <c r="Y50" i="31"/>
  <c r="AE50" i="31"/>
  <c r="W50" i="31"/>
  <c r="AA50" i="31"/>
  <c r="AB50" i="31"/>
  <c r="AC50" i="31"/>
  <c r="X32" i="31"/>
  <c r="AD32" i="31"/>
  <c r="Y32" i="31"/>
  <c r="AC32" i="31"/>
  <c r="Z32" i="31"/>
  <c r="W32" i="31"/>
  <c r="AB32" i="31"/>
  <c r="AA32" i="31"/>
  <c r="AE32" i="31"/>
  <c r="X19" i="31"/>
  <c r="AC19" i="31"/>
  <c r="Y19" i="31"/>
  <c r="W19" i="31"/>
  <c r="Z19" i="31"/>
  <c r="AE19" i="31"/>
  <c r="AA19" i="31"/>
  <c r="AB19" i="31"/>
  <c r="AD19" i="31"/>
  <c r="AB16" i="31"/>
  <c r="X16" i="31"/>
  <c r="Z16" i="31"/>
  <c r="AC16" i="31"/>
  <c r="Y16" i="31"/>
  <c r="AE16" i="31"/>
  <c r="AD16" i="31"/>
  <c r="W16" i="31"/>
  <c r="AA16" i="31"/>
  <c r="AB13" i="31"/>
  <c r="AA13" i="31"/>
  <c r="AE13" i="31"/>
  <c r="X13" i="31"/>
  <c r="AC13" i="31"/>
  <c r="W13" i="31"/>
  <c r="Z13" i="31"/>
  <c r="Y13" i="31"/>
  <c r="AD13" i="31"/>
  <c r="X58" i="31"/>
  <c r="AD58" i="31"/>
  <c r="AB58" i="31"/>
  <c r="AA58" i="31"/>
  <c r="AC58" i="31"/>
  <c r="Z58" i="31"/>
  <c r="W58" i="31"/>
  <c r="AE58" i="31"/>
  <c r="Y58" i="31"/>
  <c r="AD34" i="31"/>
  <c r="X34" i="31"/>
  <c r="AE34" i="31"/>
  <c r="W34" i="31"/>
  <c r="Y34" i="31"/>
  <c r="AB34" i="31"/>
  <c r="AA34" i="31"/>
  <c r="AC34" i="31"/>
  <c r="Z34" i="31"/>
  <c r="AB61" i="31"/>
  <c r="AA61" i="31"/>
  <c r="W61" i="31"/>
  <c r="AC61" i="31"/>
  <c r="AE61" i="31"/>
  <c r="X61" i="31"/>
  <c r="AD61" i="31"/>
  <c r="Y61" i="31"/>
  <c r="Z61" i="31"/>
  <c r="AD64" i="31"/>
  <c r="W64" i="31"/>
  <c r="AC64" i="31"/>
  <c r="X64" i="31"/>
  <c r="AE64" i="31"/>
  <c r="AB64" i="31"/>
  <c r="Y64" i="31"/>
  <c r="Z64" i="31"/>
  <c r="AA64" i="31"/>
  <c r="AE67" i="31"/>
  <c r="AD67" i="31"/>
  <c r="Z67" i="31"/>
  <c r="AB67" i="31"/>
  <c r="AC67" i="31"/>
  <c r="X67" i="31"/>
  <c r="W67" i="31"/>
  <c r="Y67" i="31"/>
  <c r="AA67" i="31"/>
  <c r="AA70" i="31"/>
  <c r="AD70" i="31"/>
  <c r="Z70" i="31"/>
  <c r="Y70" i="31"/>
  <c r="AC70" i="31"/>
  <c r="AE70" i="31"/>
  <c r="AB70" i="31"/>
  <c r="W70" i="31"/>
  <c r="X70" i="31"/>
  <c r="AC78" i="31"/>
  <c r="Y78" i="31"/>
  <c r="AE78" i="31"/>
  <c r="AD78" i="31"/>
  <c r="Z78" i="31"/>
  <c r="X78" i="31"/>
  <c r="AB78" i="31"/>
  <c r="AA78" i="31"/>
  <c r="W78" i="31"/>
  <c r="AD26" i="31"/>
  <c r="W26" i="31"/>
  <c r="Y26" i="31"/>
  <c r="AE26" i="31"/>
  <c r="X26" i="31"/>
  <c r="AB26" i="31"/>
  <c r="AA26" i="31"/>
  <c r="AC26" i="31"/>
  <c r="Z26" i="31"/>
  <c r="Y37" i="31"/>
  <c r="AD37" i="31"/>
  <c r="Z37" i="31"/>
  <c r="AA37" i="31"/>
  <c r="AB37" i="31"/>
  <c r="W37" i="31"/>
  <c r="X37" i="31"/>
  <c r="AE37" i="31"/>
  <c r="AC37" i="31"/>
  <c r="AB42" i="31"/>
  <c r="X42" i="31"/>
  <c r="AC42" i="31"/>
  <c r="W42" i="31"/>
  <c r="Y42" i="31"/>
  <c r="Z42" i="31"/>
  <c r="AE42" i="31"/>
  <c r="AA42" i="31"/>
  <c r="AD42" i="31"/>
  <c r="AC76" i="31"/>
  <c r="AA76" i="31"/>
  <c r="Y76" i="31"/>
  <c r="AD76" i="31"/>
  <c r="AB76" i="31"/>
  <c r="Z76" i="31"/>
  <c r="X76" i="31"/>
  <c r="AE76" i="31"/>
  <c r="W76" i="31"/>
  <c r="Y81" i="31"/>
  <c r="AA81" i="31"/>
  <c r="X81" i="31"/>
  <c r="AB81" i="31"/>
  <c r="Z81" i="31"/>
  <c r="AE81" i="31"/>
  <c r="AC81" i="31"/>
  <c r="W81" i="31"/>
  <c r="AD81" i="31"/>
  <c r="AB12" i="31"/>
  <c r="W12" i="31"/>
  <c r="Z12" i="31"/>
  <c r="Y12" i="31"/>
  <c r="X12" i="31"/>
  <c r="AC12" i="31"/>
  <c r="AD12" i="31"/>
  <c r="AE12" i="31"/>
  <c r="AA12" i="31"/>
  <c r="Z15" i="31"/>
  <c r="X15" i="31"/>
  <c r="Y15" i="31"/>
  <c r="AE15" i="31"/>
  <c r="W15" i="31"/>
  <c r="AD15" i="31"/>
  <c r="AA15" i="31"/>
  <c r="AC15" i="31"/>
  <c r="AB15" i="31"/>
  <c r="Y18" i="31"/>
  <c r="AD18" i="31"/>
  <c r="W18" i="31"/>
  <c r="AA18" i="31"/>
  <c r="AB18" i="31"/>
  <c r="X18" i="31"/>
  <c r="Z18" i="31"/>
  <c r="AC18" i="31"/>
  <c r="AE18" i="31"/>
  <c r="AD55" i="31"/>
  <c r="AA55" i="31"/>
  <c r="AB55" i="31"/>
  <c r="AE55" i="31"/>
  <c r="Y55" i="31"/>
  <c r="Z55" i="31"/>
  <c r="W55" i="31"/>
  <c r="X55" i="31"/>
  <c r="AC55" i="31"/>
  <c r="Z69" i="31"/>
  <c r="AB69" i="31"/>
  <c r="AE69" i="31"/>
  <c r="AC69" i="31"/>
  <c r="AA69" i="31"/>
  <c r="Y69" i="31"/>
  <c r="W69" i="31"/>
  <c r="AD69" i="31"/>
  <c r="X69" i="31"/>
  <c r="AD71" i="31"/>
  <c r="X71" i="31"/>
  <c r="Z71" i="31"/>
  <c r="AB71" i="31"/>
  <c r="AA71" i="31"/>
  <c r="W71" i="31"/>
  <c r="Y71" i="31"/>
  <c r="AC71" i="31"/>
  <c r="AE71" i="31"/>
  <c r="AB22" i="31"/>
  <c r="AD22" i="31"/>
  <c r="AA22" i="31"/>
  <c r="Z22" i="31"/>
  <c r="AC22" i="31"/>
  <c r="W22" i="31"/>
  <c r="AE22" i="31"/>
  <c r="X22" i="31"/>
  <c r="Y22" i="31"/>
  <c r="W24" i="31"/>
  <c r="AD24" i="31"/>
  <c r="AC24" i="31"/>
  <c r="AA24" i="31"/>
  <c r="Y24" i="31"/>
  <c r="X24" i="31"/>
  <c r="Z24" i="31"/>
  <c r="AB24" i="31"/>
  <c r="AE24" i="31"/>
  <c r="Z27" i="31"/>
  <c r="AB27" i="31"/>
  <c r="AA27" i="31"/>
  <c r="AE27" i="31"/>
  <c r="W27" i="31"/>
  <c r="AC27" i="31"/>
  <c r="AD27" i="31"/>
  <c r="Y27" i="31"/>
  <c r="X27" i="31"/>
  <c r="P40" i="29"/>
  <c r="T82" i="29"/>
  <c r="P76" i="29"/>
  <c r="S72" i="29"/>
  <c r="O40" i="29"/>
  <c r="K27" i="29"/>
  <c r="O76" i="29"/>
  <c r="Q72" i="29"/>
  <c r="N40" i="29"/>
  <c r="T24" i="29"/>
  <c r="M76" i="29"/>
  <c r="P72" i="29"/>
  <c r="T42" i="29"/>
  <c r="M40" i="29"/>
  <c r="S24" i="29"/>
  <c r="N85" i="29"/>
  <c r="M74" i="29"/>
  <c r="U59" i="29"/>
  <c r="S42" i="29"/>
  <c r="R24" i="29"/>
  <c r="M85" i="29"/>
  <c r="K76" i="29"/>
  <c r="M72" i="29"/>
  <c r="T59" i="29"/>
  <c r="V44" i="29"/>
  <c r="O24" i="29"/>
  <c r="P14" i="29"/>
  <c r="S59" i="29"/>
  <c r="Q42" i="29"/>
  <c r="N24" i="29"/>
  <c r="O14" i="29"/>
  <c r="S61" i="29"/>
  <c r="R26" i="29"/>
  <c r="S46" i="29"/>
  <c r="Q46" i="29"/>
  <c r="U77" i="29"/>
  <c r="L68" i="29"/>
  <c r="V35" i="29"/>
  <c r="T77" i="29"/>
  <c r="U73" i="29"/>
  <c r="S77" i="29"/>
  <c r="N71" i="29"/>
  <c r="M23" i="29"/>
  <c r="Q77" i="29"/>
  <c r="K38" i="29"/>
  <c r="T17" i="29"/>
  <c r="Q80" i="29"/>
  <c r="L71" i="29"/>
  <c r="R55" i="29"/>
  <c r="L20" i="29"/>
  <c r="P80" i="29"/>
  <c r="K71" i="29"/>
  <c r="S49" i="29"/>
  <c r="R28" i="29"/>
  <c r="N75" i="29"/>
  <c r="V67" i="29"/>
  <c r="S58" i="29"/>
  <c r="L52" i="29"/>
  <c r="Q41" i="29"/>
  <c r="Q28" i="29"/>
  <c r="L10" i="29"/>
  <c r="T46" i="29"/>
  <c r="R65" i="29"/>
  <c r="P32" i="29"/>
  <c r="L61" i="29"/>
  <c r="P71" i="29"/>
  <c r="T80" i="29"/>
  <c r="K68" i="29"/>
  <c r="S80" i="29"/>
  <c r="L46" i="29"/>
  <c r="R80" i="29"/>
  <c r="S73" i="29"/>
  <c r="U49" i="29"/>
  <c r="P75" i="29"/>
  <c r="S17" i="29"/>
  <c r="T58" i="29"/>
  <c r="M73" i="29"/>
  <c r="M58" i="29"/>
  <c r="P41" i="29"/>
  <c r="P31" i="29"/>
  <c r="S43" i="29"/>
  <c r="R43" i="29"/>
  <c r="Q43" i="29"/>
  <c r="T12" i="29"/>
  <c r="N21" i="29"/>
  <c r="S12" i="29"/>
  <c r="L21" i="29"/>
  <c r="M24" i="29"/>
  <c r="R11" i="29"/>
  <c r="Q15" i="29"/>
  <c r="K73" i="29"/>
  <c r="P43" i="29"/>
  <c r="L24" i="29"/>
  <c r="R12" i="29"/>
  <c r="Q12" i="29"/>
  <c r="K45" i="29"/>
  <c r="N43" i="29"/>
  <c r="M12" i="29"/>
  <c r="V76" i="29"/>
  <c r="R39" i="29"/>
  <c r="U13" i="29"/>
  <c r="U76" i="29"/>
  <c r="V30" i="29"/>
  <c r="S30" i="29"/>
  <c r="Q60" i="29"/>
  <c r="Q30" i="29"/>
  <c r="L53" i="29"/>
  <c r="L45" i="29"/>
  <c r="U65" i="29"/>
  <c r="N22" i="29"/>
  <c r="R63" i="29"/>
  <c r="M29" i="29"/>
  <c r="O44" i="29"/>
  <c r="T25" i="29"/>
  <c r="T74" i="29"/>
  <c r="V66" i="29"/>
  <c r="S25" i="29"/>
  <c r="N56" i="29"/>
  <c r="O63" i="29"/>
  <c r="L22" i="29"/>
  <c r="R59" i="29"/>
  <c r="M59" i="29"/>
  <c r="O31" i="29"/>
  <c r="L41" i="29"/>
  <c r="N26" i="29"/>
  <c r="S63" i="29"/>
  <c r="P11" i="29"/>
  <c r="N29" i="29"/>
  <c r="T44" i="29"/>
  <c r="M37" i="29"/>
  <c r="V83" i="29"/>
  <c r="K22" i="29"/>
  <c r="K59" i="29"/>
  <c r="O70" i="29"/>
  <c r="T65" i="29"/>
  <c r="O43" i="29"/>
  <c r="K24" i="29"/>
  <c r="V50" i="29"/>
  <c r="R45" i="29"/>
  <c r="L12" i="29"/>
  <c r="S60" i="29"/>
  <c r="O45" i="29"/>
  <c r="O28" i="29"/>
  <c r="R60" i="29"/>
  <c r="N45" i="29"/>
  <c r="Q16" i="29"/>
  <c r="M45" i="29"/>
  <c r="P16" i="29"/>
  <c r="M60" i="29"/>
  <c r="P30" i="29"/>
  <c r="V78" i="29"/>
  <c r="M41" i="29"/>
  <c r="T34" i="29"/>
  <c r="M22" i="29"/>
  <c r="N37" i="29"/>
  <c r="V74" i="29"/>
  <c r="L29" i="29"/>
  <c r="V19" i="29"/>
  <c r="N14" i="29"/>
  <c r="Q79" i="29"/>
  <c r="S44" i="29"/>
  <c r="M44" i="29"/>
  <c r="K55" i="29"/>
  <c r="M28" i="29"/>
  <c r="S74" i="29"/>
  <c r="N63" i="29"/>
  <c r="O15" i="29"/>
  <c r="S76" i="29"/>
  <c r="T66" i="29"/>
  <c r="P54" i="29"/>
  <c r="V33" i="29"/>
  <c r="U82" i="29"/>
  <c r="R76" i="29"/>
  <c r="Q74" i="29"/>
  <c r="U78" i="29"/>
  <c r="T76" i="29"/>
  <c r="L70" i="29"/>
  <c r="U66" i="29"/>
  <c r="R40" i="29"/>
  <c r="K57" i="29"/>
  <c r="T78" i="29"/>
  <c r="R74" i="29"/>
  <c r="L57" i="29"/>
  <c r="Q40" i="29"/>
  <c r="N30" i="29"/>
  <c r="N15" i="29"/>
  <c r="S78" i="29"/>
  <c r="T72" i="29"/>
  <c r="O54" i="29"/>
  <c r="U33" i="29"/>
  <c r="Q78" i="29"/>
  <c r="P74" i="29"/>
  <c r="U47" i="29"/>
  <c r="T33" i="29"/>
  <c r="P78" i="29"/>
  <c r="O74" i="29"/>
  <c r="S47" i="29"/>
  <c r="S33" i="29"/>
  <c r="N78" i="29"/>
  <c r="N74" i="29"/>
  <c r="R47" i="29"/>
  <c r="R33" i="29"/>
  <c r="V14" i="29"/>
  <c r="M78" i="29"/>
  <c r="L76" i="29"/>
  <c r="N72" i="29"/>
  <c r="O47" i="29"/>
  <c r="L40" i="29"/>
  <c r="Q14" i="29"/>
  <c r="L78" i="29"/>
  <c r="K74" i="29"/>
  <c r="N47" i="29"/>
  <c r="R42" i="29"/>
  <c r="V18" i="29"/>
  <c r="K85" i="29"/>
  <c r="U44" i="29"/>
  <c r="U18" i="29"/>
  <c r="V11" i="29"/>
  <c r="M56" i="29"/>
  <c r="L44" i="29"/>
  <c r="N61" i="29"/>
  <c r="V77" i="29"/>
  <c r="U80" i="29"/>
  <c r="V73" i="29"/>
  <c r="K61" i="29"/>
  <c r="O30" i="29"/>
  <c r="O71" i="29"/>
  <c r="N46" i="29"/>
  <c r="N23" i="29"/>
  <c r="U75" i="29"/>
  <c r="V49" i="29"/>
  <c r="V17" i="29"/>
  <c r="M71" i="29"/>
  <c r="K23" i="29"/>
  <c r="T10" i="29"/>
  <c r="O77" i="29"/>
  <c r="P73" i="29"/>
  <c r="U58" i="29"/>
  <c r="V31" i="29"/>
  <c r="U28" i="29"/>
  <c r="S10" i="29"/>
  <c r="O75" i="29"/>
  <c r="P55" i="29"/>
  <c r="S41" i="29"/>
  <c r="L77" i="29"/>
  <c r="N73" i="29"/>
  <c r="S64" i="29"/>
  <c r="O55" i="29"/>
  <c r="R49" i="29"/>
  <c r="S31" i="29"/>
  <c r="S65" i="29"/>
  <c r="Q39" i="29"/>
  <c r="K44" i="29"/>
  <c r="P26" i="29"/>
  <c r="O26" i="29"/>
  <c r="P46" i="29"/>
  <c r="V75" i="29"/>
  <c r="L26" i="29"/>
  <c r="T73" i="29"/>
  <c r="O38" i="29"/>
  <c r="S75" i="29"/>
  <c r="V58" i="29"/>
  <c r="V28" i="29"/>
  <c r="T49" i="29"/>
  <c r="M77" i="29"/>
  <c r="O73" i="29"/>
  <c r="U31" i="29"/>
  <c r="R10" i="29"/>
  <c r="R64" i="29"/>
  <c r="M55" i="29"/>
  <c r="K52" i="29"/>
  <c r="Q23" i="29"/>
  <c r="V69" i="25"/>
  <c r="P74" i="25"/>
  <c r="R83" i="25"/>
  <c r="N14" i="25"/>
  <c r="V20" i="25"/>
  <c r="L25" i="25"/>
  <c r="N27" i="25"/>
  <c r="V29" i="25"/>
  <c r="T32" i="25"/>
  <c r="M40" i="25"/>
  <c r="M42" i="25"/>
  <c r="K52" i="25"/>
  <c r="V54" i="25"/>
  <c r="K59" i="25"/>
  <c r="R61" i="25"/>
  <c r="K66" i="25"/>
  <c r="U68" i="25"/>
  <c r="K73" i="25"/>
  <c r="R75" i="25"/>
  <c r="M80" i="25"/>
  <c r="Q82" i="25"/>
  <c r="V84" i="25"/>
  <c r="P14" i="25"/>
  <c r="M25" i="25"/>
  <c r="O27" i="25"/>
  <c r="U32" i="25"/>
  <c r="N40" i="25"/>
  <c r="N42" i="25"/>
  <c r="L47" i="25"/>
  <c r="L52" i="25"/>
  <c r="L59" i="25"/>
  <c r="T61" i="25"/>
  <c r="N66" i="25"/>
  <c r="V68" i="25"/>
  <c r="L73" i="25"/>
  <c r="S75" i="25"/>
  <c r="Q80" i="25"/>
  <c r="R82" i="25"/>
  <c r="U14" i="25"/>
  <c r="N25" i="25"/>
  <c r="P27" i="25"/>
  <c r="O40" i="25"/>
  <c r="O42" i="25"/>
  <c r="M47" i="25"/>
  <c r="R52" i="25"/>
  <c r="N59" i="25"/>
  <c r="U61" i="25"/>
  <c r="P66" i="25"/>
  <c r="M73" i="25"/>
  <c r="T75" i="25"/>
  <c r="R80" i="25"/>
  <c r="S82" i="25"/>
  <c r="Q24" i="25"/>
  <c r="T35" i="25"/>
  <c r="S38" i="25"/>
  <c r="V49" i="25"/>
  <c r="P57" i="25"/>
  <c r="T65" i="25"/>
  <c r="O68" i="25"/>
  <c r="O79" i="25"/>
  <c r="K82" i="25"/>
  <c r="O11" i="25"/>
  <c r="S17" i="25"/>
  <c r="T20" i="25"/>
  <c r="U25" i="25"/>
  <c r="N28" i="25"/>
  <c r="M31" i="25"/>
  <c r="L34" i="25"/>
  <c r="K37" i="25"/>
  <c r="T42" i="25"/>
  <c r="N45" i="25"/>
  <c r="T64" i="25"/>
  <c r="U67" i="25"/>
  <c r="K70" i="25"/>
  <c r="L76" i="25"/>
  <c r="M78" i="25"/>
  <c r="U81" i="25"/>
  <c r="R84" i="25"/>
  <c r="R11" i="25"/>
  <c r="R31" i="25"/>
  <c r="P34" i="25"/>
  <c r="N37" i="25"/>
  <c r="V42" i="25"/>
  <c r="P45" i="25"/>
  <c r="N48" i="25"/>
  <c r="N76" i="25"/>
  <c r="O78" i="25"/>
  <c r="S11" i="25"/>
  <c r="M23" i="25"/>
  <c r="S31" i="25"/>
  <c r="S34" i="25"/>
  <c r="R37" i="25"/>
  <c r="R45" i="25"/>
  <c r="V48" i="25"/>
  <c r="K54" i="25"/>
  <c r="S70" i="25"/>
  <c r="P76" i="25"/>
  <c r="P78" i="25"/>
  <c r="T31" i="25"/>
  <c r="M51" i="25"/>
  <c r="P73" i="25"/>
  <c r="P11" i="25"/>
  <c r="V25" i="25"/>
  <c r="O31" i="25"/>
  <c r="N34" i="25"/>
  <c r="L37" i="25"/>
  <c r="U42" i="25"/>
  <c r="O45" i="25"/>
  <c r="L48" i="25"/>
  <c r="U64" i="25"/>
  <c r="M70" i="25"/>
  <c r="M76" i="25"/>
  <c r="N78" i="25"/>
  <c r="V81" i="25"/>
  <c r="S84" i="25"/>
  <c r="L23" i="25"/>
  <c r="P70" i="25"/>
  <c r="T84" i="25"/>
  <c r="K40" i="25"/>
  <c r="N73" i="25"/>
  <c r="U84" i="25"/>
  <c r="T11" i="25"/>
  <c r="K14" i="25"/>
  <c r="N23" i="25"/>
  <c r="U34" i="25"/>
  <c r="T37" i="25"/>
  <c r="L40" i="25"/>
  <c r="T45" i="25"/>
  <c r="L54" i="25"/>
  <c r="T70" i="25"/>
  <c r="Q76" i="25"/>
  <c r="R78" i="25"/>
  <c r="N33" i="25"/>
  <c r="O41" i="25"/>
  <c r="M44" i="25"/>
  <c r="P46" i="25"/>
  <c r="N55" i="25"/>
  <c r="V60" i="25"/>
  <c r="R63" i="25"/>
  <c r="R77" i="25"/>
  <c r="K80" i="25"/>
  <c r="M10" i="25"/>
  <c r="N19" i="25"/>
  <c r="Q33" i="25"/>
  <c r="P41" i="25"/>
  <c r="N44" i="25"/>
  <c r="Q46" i="25"/>
  <c r="O55" i="25"/>
  <c r="S63" i="25"/>
  <c r="T77" i="25"/>
  <c r="S80" i="25"/>
  <c r="N10" i="25"/>
  <c r="N16" i="25"/>
  <c r="P19" i="25"/>
  <c r="K22" i="25"/>
  <c r="K27" i="25"/>
  <c r="S33" i="25"/>
  <c r="Q41" i="25"/>
  <c r="P44" i="25"/>
  <c r="T46" i="25"/>
  <c r="P55" i="25"/>
  <c r="T63" i="25"/>
  <c r="U77" i="25"/>
  <c r="T80" i="25"/>
  <c r="O10" i="25"/>
  <c r="O16" i="25"/>
  <c r="R19" i="25"/>
  <c r="L22" i="25"/>
  <c r="L27" i="25"/>
  <c r="T33" i="25"/>
  <c r="L36" i="25"/>
  <c r="T41" i="25"/>
  <c r="Q44" i="25"/>
  <c r="Q55" i="25"/>
  <c r="R66" i="25"/>
  <c r="O72" i="25"/>
  <c r="V77" i="25"/>
  <c r="U80" i="25"/>
  <c r="P10" i="25"/>
  <c r="Q16" i="25"/>
  <c r="T19" i="25"/>
  <c r="M22" i="25"/>
  <c r="Q27" i="25"/>
  <c r="O36" i="25"/>
  <c r="U41" i="25"/>
  <c r="R44" i="25"/>
  <c r="S66" i="25"/>
  <c r="L69" i="25"/>
  <c r="Q72" i="25"/>
  <c r="V80" i="25"/>
  <c r="S83" i="25"/>
  <c r="N31" i="25"/>
  <c r="Q74" i="25"/>
  <c r="S64" i="25"/>
  <c r="N61" i="25"/>
  <c r="R58" i="25"/>
  <c r="M56" i="25"/>
  <c r="M39" i="25"/>
  <c r="O32" i="25"/>
  <c r="T25" i="25"/>
  <c r="T12" i="25"/>
  <c r="L30" i="25"/>
  <c r="R64" i="25"/>
  <c r="M61" i="25"/>
  <c r="Q58" i="25"/>
  <c r="L56" i="25"/>
  <c r="L39" i="25"/>
  <c r="L32" i="25"/>
  <c r="R25" i="25"/>
  <c r="U19" i="25"/>
  <c r="T15" i="25"/>
  <c r="S12" i="25"/>
  <c r="V19" i="25"/>
  <c r="T18" i="25"/>
  <c r="R17" i="25"/>
  <c r="P16" i="25"/>
  <c r="N15" i="25"/>
  <c r="T81" i="25"/>
  <c r="P77" i="25"/>
  <c r="Q64" i="25"/>
  <c r="L61" i="25"/>
  <c r="P58" i="25"/>
  <c r="K56" i="25"/>
  <c r="R42" i="25"/>
  <c r="K39" i="25"/>
  <c r="Q25" i="25"/>
  <c r="V22" i="25"/>
  <c r="S15" i="25"/>
  <c r="R12" i="25"/>
  <c r="L14" i="25"/>
  <c r="S67" i="25"/>
  <c r="S81" i="25"/>
  <c r="O77" i="25"/>
  <c r="N64" i="25"/>
  <c r="K61" i="25"/>
  <c r="L58" i="25"/>
  <c r="L42" i="25"/>
  <c r="U35" i="25"/>
  <c r="P25" i="25"/>
  <c r="T22" i="25"/>
  <c r="R15" i="25"/>
  <c r="M12" i="25"/>
  <c r="N77" i="25"/>
  <c r="L64" i="25"/>
  <c r="V52" i="25"/>
  <c r="P35" i="25"/>
  <c r="O25" i="25"/>
  <c r="S22" i="25"/>
  <c r="P15" i="25"/>
  <c r="L12" i="25"/>
  <c r="P84" i="25"/>
  <c r="M77" i="25"/>
  <c r="V70" i="25"/>
  <c r="K64" i="25"/>
  <c r="T52" i="25"/>
  <c r="N35" i="25"/>
  <c r="V31" i="25"/>
  <c r="M28" i="25"/>
  <c r="P22" i="25"/>
  <c r="V18" i="25"/>
  <c r="O15" i="25"/>
  <c r="K84" i="25"/>
  <c r="K77" i="25"/>
  <c r="L55" i="25"/>
  <c r="M35" i="25"/>
  <c r="L31" i="25"/>
  <c r="L28" i="25"/>
  <c r="U18" i="25"/>
  <c r="M15" i="25"/>
  <c r="V73" i="25"/>
  <c r="K55" i="25"/>
  <c r="T49" i="25"/>
  <c r="S18" i="25"/>
  <c r="L15" i="25"/>
  <c r="P51" i="25"/>
  <c r="Q79" i="25"/>
  <c r="V59" i="25"/>
  <c r="N24" i="25"/>
  <c r="P79" i="25"/>
  <c r="V62" i="25"/>
  <c r="U59" i="25"/>
  <c r="M54" i="25"/>
  <c r="R10" i="25"/>
  <c r="Q66" i="25"/>
  <c r="P75" i="25"/>
  <c r="T72" i="25"/>
  <c r="U62" i="25"/>
  <c r="L44" i="25"/>
  <c r="Q10" i="25"/>
  <c r="O65" i="25"/>
  <c r="M64" i="25"/>
  <c r="L79" i="25"/>
  <c r="S72" i="25"/>
  <c r="V65" i="25"/>
  <c r="S59" i="25"/>
  <c r="K63" i="25"/>
  <c r="N75" i="25"/>
  <c r="R72" i="25"/>
  <c r="R59" i="25"/>
  <c r="T47" i="25"/>
  <c r="R40" i="25"/>
  <c r="V37" i="25"/>
  <c r="T26" i="25"/>
  <c r="N17" i="25"/>
  <c r="K75" i="25"/>
  <c r="S26" i="25"/>
  <c r="U52" i="25"/>
  <c r="P65" i="25"/>
  <c r="R47" i="25"/>
  <c r="P40" i="25"/>
  <c r="U29" i="25"/>
  <c r="U23" i="25"/>
  <c r="P13" i="25"/>
  <c r="S51" i="25"/>
  <c r="Q50" i="25"/>
  <c r="O49" i="25"/>
  <c r="Q85" i="25"/>
  <c r="U82" i="25"/>
  <c r="K78" i="25"/>
  <c r="T68" i="25"/>
  <c r="N65" i="25"/>
  <c r="V50" i="25"/>
  <c r="P47" i="25"/>
  <c r="V43" i="25"/>
  <c r="T29" i="25"/>
  <c r="O26" i="25"/>
  <c r="R23" i="25"/>
  <c r="O13" i="25"/>
  <c r="R79" i="25"/>
  <c r="M57" i="25"/>
  <c r="O54" i="25"/>
  <c r="M48" i="25"/>
  <c r="K47" i="25"/>
  <c r="U36" i="25"/>
  <c r="S35" i="25"/>
  <c r="Q34" i="25"/>
  <c r="O33" i="25"/>
  <c r="M32" i="25"/>
  <c r="K31" i="25"/>
  <c r="U20" i="25"/>
  <c r="S19" i="25"/>
  <c r="Q18" i="25"/>
  <c r="O17" i="25"/>
  <c r="M16" i="25"/>
  <c r="K15" i="25"/>
  <c r="U53" i="25"/>
  <c r="S52" i="25"/>
  <c r="Q51" i="25"/>
  <c r="O50" i="25"/>
  <c r="M49" i="25"/>
  <c r="K48" i="25"/>
  <c r="U37" i="25"/>
  <c r="S36" i="25"/>
  <c r="L57" i="25"/>
  <c r="N54" i="25"/>
  <c r="Q35" i="25"/>
  <c r="K57" i="25"/>
  <c r="S44" i="25"/>
  <c r="O34" i="25"/>
  <c r="M79" i="25"/>
  <c r="T59" i="25"/>
  <c r="M33" i="25"/>
  <c r="O75" i="25"/>
  <c r="K62" i="25"/>
  <c r="V26" i="25"/>
  <c r="Q17" i="25"/>
  <c r="U65" i="25"/>
  <c r="V13" i="25"/>
  <c r="Q65" i="25"/>
  <c r="O59" i="25"/>
  <c r="S47" i="25"/>
  <c r="Q40" i="25"/>
  <c r="V23" i="25"/>
  <c r="T13" i="25"/>
  <c r="V82" i="25"/>
  <c r="R26" i="25"/>
  <c r="K32" i="25"/>
  <c r="U21" i="25"/>
  <c r="S20" i="25"/>
  <c r="Q19" i="25"/>
  <c r="N85" i="25"/>
  <c r="P82" i="25"/>
  <c r="V71" i="25"/>
  <c r="S68" i="25"/>
  <c r="M65" i="25"/>
  <c r="V53" i="25"/>
  <c r="U50" i="25"/>
  <c r="O47" i="25"/>
  <c r="T43" i="25"/>
  <c r="L33" i="25"/>
  <c r="S29" i="25"/>
  <c r="N26" i="25"/>
  <c r="P23" i="25"/>
  <c r="R20" i="25"/>
  <c r="V16" i="25"/>
  <c r="O18" i="25"/>
  <c r="M17" i="25"/>
  <c r="K16" i="25"/>
  <c r="S85" i="25"/>
  <c r="Q84" i="25"/>
  <c r="O83" i="25"/>
  <c r="M82" i="25"/>
  <c r="K81" i="25"/>
  <c r="U70" i="25"/>
  <c r="S69" i="25"/>
  <c r="Q68" i="25"/>
  <c r="O67" i="25"/>
  <c r="M66" i="25"/>
  <c r="K65" i="25"/>
  <c r="U54" i="25"/>
  <c r="S53" i="25"/>
  <c r="Q52" i="25"/>
  <c r="O51" i="25"/>
  <c r="M50" i="25"/>
  <c r="K49" i="25"/>
  <c r="U38" i="25"/>
  <c r="S37" i="25"/>
  <c r="Q36" i="25"/>
  <c r="O35" i="25"/>
  <c r="M34" i="25"/>
  <c r="K33" i="25"/>
  <c r="U22" i="25"/>
  <c r="S21" i="25"/>
  <c r="Q20" i="25"/>
  <c r="O19" i="25"/>
  <c r="M18" i="25"/>
  <c r="K17" i="25"/>
  <c r="P85" i="25"/>
  <c r="N84" i="25"/>
  <c r="L83" i="25"/>
  <c r="V72" i="25"/>
  <c r="T71" i="25"/>
  <c r="R70" i="25"/>
  <c r="P69" i="25"/>
  <c r="N68" i="25"/>
  <c r="L67" i="25"/>
  <c r="V56" i="25"/>
  <c r="T55" i="25"/>
  <c r="R54" i="25"/>
  <c r="P53" i="25"/>
  <c r="N52" i="25"/>
  <c r="L51" i="25"/>
  <c r="V40" i="25"/>
  <c r="T39" i="25"/>
  <c r="R38" i="25"/>
  <c r="P37" i="25"/>
  <c r="N36" i="25"/>
  <c r="L35" i="25"/>
  <c r="V24" i="25"/>
  <c r="T23" i="25"/>
  <c r="R22" i="25"/>
  <c r="P21" i="25"/>
  <c r="N20" i="25"/>
  <c r="L19" i="25"/>
  <c r="O85" i="25"/>
  <c r="M84" i="25"/>
  <c r="K83" i="25"/>
  <c r="U72" i="25"/>
  <c r="S71" i="25"/>
  <c r="Q70" i="25"/>
  <c r="O69" i="25"/>
  <c r="M68" i="25"/>
  <c r="K67" i="25"/>
  <c r="U56" i="25"/>
  <c r="S55" i="25"/>
  <c r="Q54" i="25"/>
  <c r="O53" i="25"/>
  <c r="M52" i="25"/>
  <c r="K51" i="25"/>
  <c r="U40" i="25"/>
  <c r="S39" i="25"/>
  <c r="Q38" i="25"/>
  <c r="O37" i="25"/>
  <c r="M36" i="25"/>
  <c r="K35" i="25"/>
  <c r="U24" i="25"/>
  <c r="S23" i="25"/>
  <c r="Q22" i="25"/>
  <c r="O21" i="25"/>
  <c r="M20" i="25"/>
  <c r="L65" i="25"/>
  <c r="U79" i="25"/>
  <c r="S78" i="25"/>
  <c r="Q77" i="25"/>
  <c r="O76" i="25"/>
  <c r="M75" i="25"/>
  <c r="K74" i="25"/>
  <c r="U63" i="25"/>
  <c r="S62" i="25"/>
  <c r="Q61" i="25"/>
  <c r="O60" i="25"/>
  <c r="M59" i="25"/>
  <c r="K58" i="25"/>
  <c r="U47" i="25"/>
  <c r="S46" i="25"/>
  <c r="Q45" i="25"/>
  <c r="O44" i="25"/>
  <c r="M43" i="25"/>
  <c r="K42" i="25"/>
  <c r="U31" i="25"/>
  <c r="S30" i="25"/>
  <c r="Q29" i="25"/>
  <c r="O28" i="25"/>
  <c r="M27" i="25"/>
  <c r="K26" i="25"/>
  <c r="U15" i="25"/>
  <c r="S14" i="25"/>
  <c r="Q13" i="25"/>
  <c r="O12" i="25"/>
  <c r="M11" i="25"/>
  <c r="K10" i="25"/>
  <c r="U49" i="25"/>
  <c r="S48" i="25"/>
  <c r="Q47" i="25"/>
  <c r="O46" i="25"/>
  <c r="M45" i="25"/>
  <c r="K44" i="25"/>
  <c r="U33" i="25"/>
  <c r="S32" i="25"/>
  <c r="Q31" i="25"/>
  <c r="O30" i="25"/>
  <c r="M29" i="25"/>
  <c r="K28" i="25"/>
  <c r="U17" i="25"/>
  <c r="S16" i="25"/>
  <c r="Q15" i="25"/>
  <c r="O14" i="25"/>
  <c r="M13" i="25"/>
  <c r="K12" i="25"/>
  <c r="V83" i="25"/>
  <c r="T82" i="25"/>
  <c r="R81" i="25"/>
  <c r="P80" i="25"/>
  <c r="N79" i="25"/>
  <c r="L78" i="25"/>
  <c r="V67" i="25"/>
  <c r="T66" i="25"/>
  <c r="R65" i="25"/>
  <c r="P64" i="25"/>
  <c r="N63" i="25"/>
  <c r="L62" i="25"/>
  <c r="V51" i="25"/>
  <c r="T50" i="25"/>
  <c r="R49" i="25"/>
  <c r="P48" i="25"/>
  <c r="N47" i="25"/>
  <c r="L46" i="25"/>
  <c r="V35" i="25"/>
  <c r="T34" i="25"/>
  <c r="R33" i="25"/>
  <c r="P32" i="25"/>
  <c r="L21" i="24"/>
  <c r="U29" i="24"/>
  <c r="V79" i="24"/>
  <c r="T75" i="24"/>
  <c r="T52" i="24"/>
  <c r="S34" i="24"/>
  <c r="T29" i="24"/>
  <c r="Q75" i="24"/>
  <c r="S29" i="24"/>
  <c r="R44" i="24"/>
  <c r="U36" i="24"/>
  <c r="M27" i="24"/>
  <c r="N22" i="24"/>
  <c r="M76" i="24"/>
  <c r="L76" i="24"/>
  <c r="O62" i="24"/>
  <c r="M58" i="24"/>
  <c r="S28" i="24"/>
  <c r="S40" i="24"/>
  <c r="P48" i="24"/>
  <c r="U83" i="24"/>
  <c r="L24" i="24"/>
  <c r="P75" i="24"/>
  <c r="N32" i="24"/>
  <c r="N53" i="24"/>
  <c r="T28" i="24"/>
  <c r="O32" i="24"/>
  <c r="T40" i="24"/>
  <c r="T48" i="24"/>
  <c r="V53" i="24"/>
  <c r="V83" i="24"/>
  <c r="R13" i="24"/>
  <c r="U51" i="24"/>
  <c r="T13" i="24"/>
  <c r="K39" i="24"/>
  <c r="Q64" i="24"/>
  <c r="K22" i="24"/>
  <c r="L39" i="24"/>
  <c r="K69" i="24"/>
  <c r="O31" i="24"/>
  <c r="N31" i="24"/>
  <c r="M31" i="24"/>
  <c r="K76" i="24"/>
  <c r="V67" i="24"/>
  <c r="N62" i="24"/>
  <c r="L58" i="24"/>
  <c r="R17" i="24"/>
  <c r="M24" i="24"/>
  <c r="O27" i="24"/>
  <c r="V30" i="24"/>
  <c r="T45" i="24"/>
  <c r="K61" i="24"/>
  <c r="M69" i="24"/>
  <c r="P76" i="24"/>
  <c r="U19" i="24"/>
  <c r="P22" i="24"/>
  <c r="Q26" i="24"/>
  <c r="R40" i="24"/>
  <c r="M47" i="24"/>
  <c r="N63" i="24"/>
  <c r="Q71" i="24"/>
  <c r="R75" i="24"/>
  <c r="M22" i="24"/>
  <c r="P26" i="24"/>
  <c r="L29" i="24"/>
  <c r="P56" i="24"/>
  <c r="P64" i="24"/>
  <c r="U13" i="24"/>
  <c r="T32" i="24"/>
  <c r="L47" i="24"/>
  <c r="U68" i="24"/>
  <c r="L80" i="24"/>
  <c r="P40" i="24"/>
  <c r="N47" i="24"/>
  <c r="V68" i="24"/>
  <c r="M80" i="24"/>
  <c r="K27" i="24"/>
  <c r="U74" i="24"/>
  <c r="Q24" i="24"/>
  <c r="P31" i="24"/>
  <c r="M46" i="24"/>
  <c r="V51" i="24"/>
  <c r="N55" i="24"/>
  <c r="O17" i="24"/>
  <c r="N43" i="24"/>
  <c r="O63" i="24"/>
  <c r="T24" i="24"/>
  <c r="O43" i="24"/>
  <c r="Q55" i="24"/>
  <c r="K68" i="24"/>
  <c r="R24" i="24"/>
  <c r="N46" i="24"/>
  <c r="O55" i="24"/>
  <c r="T80" i="24"/>
  <c r="S24" i="24"/>
  <c r="P55" i="24"/>
  <c r="Q17" i="24"/>
  <c r="T36" i="24"/>
  <c r="O22" i="24"/>
  <c r="U26" i="24"/>
  <c r="O61" i="24"/>
  <c r="O10" i="24"/>
  <c r="K14" i="24"/>
  <c r="S19" i="24"/>
  <c r="V26" i="24"/>
  <c r="P34" i="24"/>
  <c r="Q61" i="24"/>
  <c r="V10" i="24"/>
  <c r="L14" i="24"/>
  <c r="T19" i="24"/>
  <c r="Q34" i="24"/>
  <c r="V74" i="24"/>
  <c r="V37" i="24"/>
  <c r="V44" i="24"/>
  <c r="S75" i="24"/>
  <c r="U81" i="24"/>
  <c r="M55" i="24"/>
  <c r="T51" i="24"/>
  <c r="N13" i="24"/>
  <c r="T81" i="24"/>
  <c r="S51" i="24"/>
  <c r="T26" i="24"/>
  <c r="O48" i="24"/>
  <c r="R83" i="24"/>
  <c r="L70" i="24"/>
  <c r="N61" i="24"/>
  <c r="L48" i="24"/>
  <c r="T83" i="24"/>
  <c r="Q40" i="24"/>
  <c r="L32" i="24"/>
  <c r="V36" i="24"/>
  <c r="Q10" i="24"/>
  <c r="L85" i="24"/>
  <c r="S81" i="24"/>
  <c r="N77" i="24"/>
  <c r="T74" i="24"/>
  <c r="P59" i="24"/>
  <c r="M56" i="24"/>
  <c r="Q44" i="24"/>
  <c r="R41" i="24"/>
  <c r="V34" i="24"/>
  <c r="L31" i="24"/>
  <c r="R28" i="24"/>
  <c r="U10" i="24"/>
  <c r="K85" i="24"/>
  <c r="R81" i="24"/>
  <c r="M77" i="24"/>
  <c r="R74" i="24"/>
  <c r="N70" i="24"/>
  <c r="T62" i="24"/>
  <c r="N59" i="24"/>
  <c r="L56" i="24"/>
  <c r="P41" i="24"/>
  <c r="U34" i="24"/>
  <c r="K31" i="24"/>
  <c r="Q28" i="24"/>
  <c r="V25" i="24"/>
  <c r="T10" i="24"/>
  <c r="Q81" i="24"/>
  <c r="M70" i="24"/>
  <c r="P62" i="24"/>
  <c r="K59" i="24"/>
  <c r="K56" i="24"/>
  <c r="T34" i="24"/>
  <c r="P28" i="24"/>
  <c r="U11" i="24"/>
  <c r="P17" i="24"/>
  <c r="K36" i="24"/>
  <c r="O39" i="24"/>
  <c r="K54" i="24"/>
  <c r="K57" i="24"/>
  <c r="U64" i="24"/>
  <c r="U67" i="24"/>
  <c r="R73" i="24"/>
  <c r="P81" i="24"/>
  <c r="T17" i="24"/>
  <c r="U20" i="24"/>
  <c r="O28" i="24"/>
  <c r="Q30" i="24"/>
  <c r="S44" i="24"/>
  <c r="O47" i="24"/>
  <c r="S60" i="24"/>
  <c r="Q62" i="24"/>
  <c r="V65" i="24"/>
  <c r="P71" i="24"/>
  <c r="P10" i="24"/>
  <c r="O13" i="24"/>
  <c r="N27" i="24"/>
  <c r="O29" i="24"/>
  <c r="M32" i="24"/>
  <c r="P38" i="24"/>
  <c r="N41" i="24"/>
  <c r="S43" i="24"/>
  <c r="O59" i="24"/>
  <c r="O64" i="24"/>
  <c r="K70" i="24"/>
  <c r="N73" i="24"/>
  <c r="L12" i="24"/>
  <c r="M21" i="24"/>
  <c r="O24" i="24"/>
  <c r="T43" i="24"/>
  <c r="U59" i="24"/>
  <c r="O76" i="24"/>
  <c r="U78" i="24"/>
  <c r="V85" i="24"/>
  <c r="M12" i="24"/>
  <c r="M15" i="24"/>
  <c r="N21" i="24"/>
  <c r="Q14" i="24"/>
  <c r="N24" i="24"/>
  <c r="U43" i="24"/>
  <c r="K46" i="24"/>
  <c r="L68" i="24"/>
  <c r="L71" i="24"/>
  <c r="Q82" i="24"/>
  <c r="T14" i="24"/>
  <c r="P24" i="24"/>
  <c r="K29" i="24"/>
  <c r="O41" i="24"/>
  <c r="V43" i="24"/>
  <c r="L46" i="24"/>
  <c r="K62" i="24"/>
  <c r="T68" i="24"/>
  <c r="M71" i="24"/>
  <c r="U79" i="24"/>
  <c r="R10" i="24"/>
  <c r="V13" i="24"/>
  <c r="S30" i="24"/>
  <c r="O33" i="24"/>
  <c r="L42" i="24"/>
  <c r="M48" i="24"/>
  <c r="K52" i="24"/>
  <c r="V58" i="24"/>
  <c r="L61" i="24"/>
  <c r="R63" i="24"/>
  <c r="V66" i="24"/>
  <c r="K73" i="24"/>
  <c r="V75" i="24"/>
  <c r="N81" i="24"/>
  <c r="S10" i="24"/>
  <c r="K28" i="24"/>
  <c r="T30" i="24"/>
  <c r="P33" i="24"/>
  <c r="M42" i="24"/>
  <c r="S45" i="24"/>
  <c r="N48" i="24"/>
  <c r="L52" i="24"/>
  <c r="M61" i="24"/>
  <c r="L73" i="24"/>
  <c r="O81" i="24"/>
  <c r="K12" i="24"/>
  <c r="R15" i="24"/>
  <c r="V18" i="24"/>
  <c r="R27" i="24"/>
  <c r="K42" i="24"/>
  <c r="V45" i="24"/>
  <c r="Q59" i="24"/>
  <c r="Q77" i="24"/>
  <c r="U80" i="24"/>
  <c r="V15" i="24"/>
  <c r="V59" i="24"/>
  <c r="S77" i="24"/>
  <c r="N33" i="24"/>
  <c r="M62" i="24"/>
  <c r="V12" i="24"/>
  <c r="S15" i="24"/>
  <c r="V49" i="24"/>
  <c r="T59" i="24"/>
  <c r="R77" i="24"/>
  <c r="P25" i="24"/>
  <c r="L62" i="24"/>
  <c r="S25" i="24"/>
  <c r="N65" i="24"/>
  <c r="O75" i="24"/>
  <c r="T77" i="24"/>
  <c r="T11" i="24"/>
  <c r="M14" i="24"/>
  <c r="P27" i="24"/>
  <c r="U62" i="24"/>
  <c r="K78" i="24"/>
  <c r="R18" i="24"/>
  <c r="Q66" i="24"/>
  <c r="O73" i="24"/>
  <c r="P78" i="24"/>
  <c r="K40" i="24"/>
  <c r="L54" i="24"/>
  <c r="T60" i="24"/>
  <c r="S66" i="24"/>
  <c r="Q73" i="24"/>
  <c r="R82" i="24"/>
  <c r="O15" i="24"/>
  <c r="T25" i="24"/>
  <c r="L40" i="24"/>
  <c r="M54" i="24"/>
  <c r="V57" i="24"/>
  <c r="U60" i="24"/>
  <c r="L63" i="24"/>
  <c r="T66" i="24"/>
  <c r="S73" i="24"/>
  <c r="V78" i="24"/>
  <c r="S82" i="24"/>
  <c r="V11" i="24"/>
  <c r="P14" i="24"/>
  <c r="Q27" i="24"/>
  <c r="V62" i="24"/>
  <c r="L78" i="24"/>
  <c r="Q18" i="24"/>
  <c r="P66" i="24"/>
  <c r="M78" i="24"/>
  <c r="U18" i="24"/>
  <c r="Q33" i="24"/>
  <c r="L57" i="24"/>
  <c r="R66" i="24"/>
  <c r="P73" i="24"/>
  <c r="S78" i="24"/>
  <c r="N15" i="24"/>
  <c r="M57" i="24"/>
  <c r="K63" i="24"/>
  <c r="T78" i="24"/>
  <c r="P15" i="24"/>
  <c r="U25" i="24"/>
  <c r="U30" i="24"/>
  <c r="N37" i="24"/>
  <c r="M40" i="24"/>
  <c r="M43" i="24"/>
  <c r="N54" i="24"/>
  <c r="V60" i="24"/>
  <c r="M63" i="24"/>
  <c r="U66" i="24"/>
  <c r="T73" i="24"/>
  <c r="S13" i="24"/>
  <c r="N17" i="24"/>
  <c r="K20" i="24"/>
  <c r="S26" i="24"/>
  <c r="Q41" i="24"/>
  <c r="R55" i="24"/>
  <c r="U58" i="24"/>
  <c r="R61" i="24"/>
  <c r="S64" i="24"/>
  <c r="K71" i="24"/>
  <c r="S74" i="24"/>
  <c r="L77" i="24"/>
  <c r="Q29" i="24"/>
  <c r="T64" i="24"/>
  <c r="R39" i="24"/>
  <c r="R32" i="24"/>
  <c r="N29" i="24"/>
  <c r="T20" i="24"/>
  <c r="L36" i="24"/>
  <c r="S32" i="24"/>
  <c r="U75" i="24"/>
  <c r="R64" i="24"/>
  <c r="Q39" i="24"/>
  <c r="Q32" i="24"/>
  <c r="M29" i="24"/>
  <c r="L20" i="24"/>
  <c r="Q22" i="24"/>
  <c r="O21" i="24"/>
  <c r="M20" i="24"/>
  <c r="S11" i="24"/>
  <c r="S83" i="24"/>
  <c r="Q78" i="24"/>
  <c r="M73" i="24"/>
  <c r="N71" i="24"/>
  <c r="N64" i="24"/>
  <c r="S62" i="24"/>
  <c r="M59" i="24"/>
  <c r="U57" i="24"/>
  <c r="S48" i="24"/>
  <c r="Q43" i="24"/>
  <c r="U41" i="24"/>
  <c r="R34" i="24"/>
  <c r="U32" i="24"/>
  <c r="R29" i="24"/>
  <c r="K24" i="24"/>
  <c r="L22" i="24"/>
  <c r="Q15" i="24"/>
  <c r="N10" i="24"/>
  <c r="S79" i="24"/>
  <c r="Q74" i="24"/>
  <c r="R60" i="24"/>
  <c r="T58" i="24"/>
  <c r="R51" i="24"/>
  <c r="U49" i="24"/>
  <c r="P44" i="24"/>
  <c r="M37" i="24"/>
  <c r="P30" i="24"/>
  <c r="O25" i="24"/>
  <c r="P18" i="24"/>
  <c r="M13" i="24"/>
  <c r="Q12" i="24"/>
  <c r="Q16" i="24"/>
  <c r="M23" i="24"/>
  <c r="T27" i="24"/>
  <c r="R31" i="24"/>
  <c r="T35" i="24"/>
  <c r="Q42" i="24"/>
  <c r="L45" i="24"/>
  <c r="P46" i="24"/>
  <c r="Q50" i="24"/>
  <c r="O57" i="24"/>
  <c r="T61" i="24"/>
  <c r="P65" i="24"/>
  <c r="V69" i="24"/>
  <c r="L72" i="24"/>
  <c r="V73" i="24"/>
  <c r="R76" i="24"/>
  <c r="O80" i="24"/>
  <c r="L84" i="24"/>
  <c r="R16" i="24"/>
  <c r="N23" i="24"/>
  <c r="K26" i="24"/>
  <c r="U27" i="24"/>
  <c r="S31" i="24"/>
  <c r="U35" i="24"/>
  <c r="K38" i="24"/>
  <c r="R42" i="24"/>
  <c r="M45" i="24"/>
  <c r="Q46" i="24"/>
  <c r="R50" i="24"/>
  <c r="P57" i="24"/>
  <c r="K60" i="24"/>
  <c r="U61" i="24"/>
  <c r="Q65" i="24"/>
  <c r="M72" i="24"/>
  <c r="S76" i="24"/>
  <c r="P80" i="24"/>
  <c r="T84" i="24"/>
  <c r="S12" i="24"/>
  <c r="S16" i="24"/>
  <c r="O23" i="24"/>
  <c r="L26" i="24"/>
  <c r="V27" i="24"/>
  <c r="K30" i="24"/>
  <c r="U31" i="24"/>
  <c r="V35" i="24"/>
  <c r="L38" i="24"/>
  <c r="S42" i="24"/>
  <c r="N45" i="24"/>
  <c r="S46" i="24"/>
  <c r="S50" i="24"/>
  <c r="Q57" i="24"/>
  <c r="L60" i="24"/>
  <c r="V61" i="24"/>
  <c r="R65" i="24"/>
  <c r="N72" i="24"/>
  <c r="T76" i="24"/>
  <c r="Q80" i="24"/>
  <c r="U84" i="24"/>
  <c r="R19" i="24"/>
  <c r="R23" i="24"/>
  <c r="O26" i="24"/>
  <c r="N30" i="24"/>
  <c r="O38" i="24"/>
  <c r="M41" i="24"/>
  <c r="V42" i="24"/>
  <c r="R45" i="24"/>
  <c r="V46" i="24"/>
  <c r="N49" i="24"/>
  <c r="V50" i="24"/>
  <c r="M53" i="24"/>
  <c r="T57" i="24"/>
  <c r="P60" i="24"/>
  <c r="M64" i="24"/>
  <c r="U65" i="24"/>
  <c r="Q72" i="24"/>
  <c r="N75" i="24"/>
  <c r="L79" i="24"/>
  <c r="M75" i="24"/>
  <c r="V76" i="24"/>
  <c r="K79" i="24"/>
  <c r="S80" i="24"/>
  <c r="M10" i="24"/>
  <c r="O14" i="24"/>
  <c r="T18" i="24"/>
  <c r="K21" i="24"/>
  <c r="R25" i="24"/>
  <c r="M28" i="24"/>
  <c r="S33" i="24"/>
  <c r="O40" i="24"/>
  <c r="K43" i="24"/>
  <c r="U44" i="24"/>
  <c r="R48" i="24"/>
  <c r="V52" i="24"/>
  <c r="L55" i="24"/>
  <c r="S59" i="24"/>
  <c r="Q63" i="24"/>
  <c r="S67" i="24"/>
  <c r="P74" i="24"/>
  <c r="K77" i="24"/>
  <c r="O78" i="24"/>
  <c r="P82" i="24"/>
  <c r="R79" i="24"/>
  <c r="N74" i="24"/>
  <c r="Q60" i="24"/>
  <c r="S58" i="24"/>
  <c r="T49" i="24"/>
  <c r="O44" i="24"/>
  <c r="L37" i="24"/>
  <c r="R35" i="24"/>
  <c r="O30" i="24"/>
  <c r="N25" i="24"/>
  <c r="L13" i="24"/>
  <c r="R11" i="24"/>
  <c r="Q79" i="24"/>
  <c r="M74" i="24"/>
  <c r="T72" i="24"/>
  <c r="R58" i="24"/>
  <c r="S49" i="24"/>
  <c r="V47" i="24"/>
  <c r="M44" i="24"/>
  <c r="K37" i="24"/>
  <c r="M25" i="24"/>
  <c r="K23" i="24"/>
  <c r="O16" i="24"/>
  <c r="K13" i="24"/>
  <c r="Q11" i="24"/>
  <c r="P79" i="24"/>
  <c r="L74" i="24"/>
  <c r="S72" i="24"/>
  <c r="Q58" i="24"/>
  <c r="T56" i="24"/>
  <c r="R49" i="24"/>
  <c r="U47" i="24"/>
  <c r="L44" i="24"/>
  <c r="L25" i="24"/>
  <c r="N16" i="24"/>
  <c r="P11" i="24"/>
  <c r="V82" i="24"/>
  <c r="O79" i="24"/>
  <c r="K74" i="24"/>
  <c r="R72" i="24"/>
  <c r="V63" i="24"/>
  <c r="P58" i="24"/>
  <c r="S56" i="24"/>
  <c r="Q49" i="24"/>
  <c r="S47" i="24"/>
  <c r="K44" i="24"/>
  <c r="V33" i="24"/>
  <c r="K25" i="24"/>
  <c r="M16" i="24"/>
  <c r="O11" i="24"/>
  <c r="U82" i="24"/>
  <c r="N79" i="24"/>
  <c r="P70" i="24"/>
  <c r="U63" i="24"/>
  <c r="O58" i="24"/>
  <c r="R56" i="24"/>
  <c r="P49" i="24"/>
  <c r="R47" i="24"/>
  <c r="O42" i="24"/>
  <c r="U33" i="24"/>
  <c r="L16" i="24"/>
  <c r="V14" i="24"/>
  <c r="N11" i="24"/>
  <c r="R12" i="24"/>
  <c r="T82" i="24"/>
  <c r="M79" i="24"/>
  <c r="V77" i="24"/>
  <c r="O70" i="24"/>
  <c r="S63" i="24"/>
  <c r="N58" i="24"/>
  <c r="Q56" i="24"/>
  <c r="O54" i="24"/>
  <c r="O49" i="24"/>
  <c r="Q47" i="24"/>
  <c r="N42" i="24"/>
  <c r="T33" i="24"/>
  <c r="U14" i="24"/>
  <c r="K11" i="24"/>
  <c r="N78" i="24"/>
  <c r="O74" i="24"/>
  <c r="R71" i="24"/>
  <c r="R67" i="24"/>
  <c r="P63" i="24"/>
  <c r="R59" i="24"/>
  <c r="K55" i="24"/>
  <c r="U52" i="24"/>
  <c r="Q48" i="24"/>
  <c r="T44" i="24"/>
  <c r="N40" i="24"/>
  <c r="R33" i="24"/>
  <c r="V29" i="24"/>
  <c r="L28" i="24"/>
  <c r="Q25" i="24"/>
  <c r="S18" i="24"/>
  <c r="N14" i="24"/>
  <c r="L10" i="24"/>
  <c r="P72" i="24"/>
  <c r="T65" i="24"/>
  <c r="L64" i="24"/>
  <c r="O60" i="24"/>
  <c r="S57" i="24"/>
  <c r="L53" i="24"/>
  <c r="U50" i="24"/>
  <c r="U46" i="24"/>
  <c r="Q45" i="24"/>
  <c r="U42" i="24"/>
  <c r="L41" i="24"/>
  <c r="N38" i="24"/>
  <c r="M30" i="24"/>
  <c r="N26" i="24"/>
  <c r="Q23" i="24"/>
  <c r="U16" i="24"/>
  <c r="L15" i="24"/>
  <c r="U12" i="24"/>
  <c r="V84" i="24"/>
  <c r="R80" i="24"/>
  <c r="U76" i="24"/>
  <c r="K75" i="24"/>
  <c r="O72" i="24"/>
  <c r="S65" i="24"/>
  <c r="M60" i="24"/>
  <c r="R57" i="24"/>
  <c r="K53" i="24"/>
  <c r="T50" i="24"/>
  <c r="T46" i="24"/>
  <c r="O45" i="24"/>
  <c r="T42" i="24"/>
  <c r="K41" i="24"/>
  <c r="M38" i="24"/>
  <c r="V31" i="24"/>
  <c r="L30" i="24"/>
  <c r="M26" i="24"/>
  <c r="P23" i="24"/>
  <c r="T16" i="24"/>
  <c r="K15" i="24"/>
  <c r="T12" i="24"/>
  <c r="K19" i="24"/>
  <c r="K18" i="24"/>
  <c r="M19" i="24"/>
  <c r="O20" i="24"/>
  <c r="Q21" i="24"/>
  <c r="S22" i="24"/>
  <c r="U23" i="24"/>
  <c r="K34" i="24"/>
  <c r="M35" i="24"/>
  <c r="O36" i="24"/>
  <c r="Q37" i="24"/>
  <c r="S38" i="24"/>
  <c r="U39" i="24"/>
  <c r="K50" i="24"/>
  <c r="M51" i="24"/>
  <c r="O52" i="24"/>
  <c r="Q53" i="24"/>
  <c r="S54" i="24"/>
  <c r="U55" i="24"/>
  <c r="K66" i="24"/>
  <c r="M67" i="24"/>
  <c r="O68" i="24"/>
  <c r="Q69" i="24"/>
  <c r="S70" i="24"/>
  <c r="U71" i="24"/>
  <c r="K82" i="24"/>
  <c r="M83" i="24"/>
  <c r="O84" i="24"/>
  <c r="Q85" i="24"/>
  <c r="L18" i="24"/>
  <c r="N19" i="24"/>
  <c r="P20" i="24"/>
  <c r="R21" i="24"/>
  <c r="T22" i="24"/>
  <c r="V23" i="24"/>
  <c r="L34" i="24"/>
  <c r="N35" i="24"/>
  <c r="P36" i="24"/>
  <c r="R37" i="24"/>
  <c r="T38" i="24"/>
  <c r="V39" i="24"/>
  <c r="L50" i="24"/>
  <c r="N51" i="24"/>
  <c r="P52" i="24"/>
  <c r="R53" i="24"/>
  <c r="T54" i="24"/>
  <c r="V55" i="24"/>
  <c r="L66" i="24"/>
  <c r="N67" i="24"/>
  <c r="P68" i="24"/>
  <c r="R69" i="24"/>
  <c r="T70" i="24"/>
  <c r="V71" i="24"/>
  <c r="L82" i="24"/>
  <c r="N83" i="24"/>
  <c r="P84" i="24"/>
  <c r="R85" i="24"/>
  <c r="K10" i="24"/>
  <c r="M11" i="24"/>
  <c r="O12" i="24"/>
  <c r="Q13" i="24"/>
  <c r="S14" i="24"/>
  <c r="U15" i="24"/>
  <c r="K84" i="24"/>
  <c r="V81" i="24"/>
  <c r="N80" i="24"/>
  <c r="Q76" i="24"/>
  <c r="U73" i="24"/>
  <c r="K72" i="24"/>
  <c r="N69" i="24"/>
  <c r="O65" i="24"/>
  <c r="S61" i="24"/>
  <c r="N57" i="24"/>
  <c r="P54" i="24"/>
  <c r="P50" i="24"/>
  <c r="O46" i="24"/>
  <c r="K45" i="24"/>
  <c r="P42" i="24"/>
  <c r="S35" i="24"/>
  <c r="Q31" i="24"/>
  <c r="S27" i="24"/>
  <c r="L23" i="24"/>
  <c r="V20" i="24"/>
  <c r="P16" i="24"/>
  <c r="P12" i="24"/>
  <c r="V80" i="24"/>
  <c r="T79" i="24"/>
  <c r="R78" i="24"/>
  <c r="P77" i="24"/>
  <c r="N76" i="24"/>
  <c r="L75" i="24"/>
  <c r="V64" i="24"/>
  <c r="T63" i="24"/>
  <c r="R62" i="24"/>
  <c r="P61" i="24"/>
  <c r="N60" i="24"/>
  <c r="L59" i="24"/>
  <c r="V48" i="24"/>
  <c r="T47" i="24"/>
  <c r="R46" i="24"/>
  <c r="P45" i="24"/>
  <c r="N44" i="24"/>
  <c r="L43" i="24"/>
  <c r="V32" i="24"/>
  <c r="T31" i="24"/>
  <c r="R30" i="24"/>
  <c r="P29" i="24"/>
  <c r="N28" i="24"/>
  <c r="L27" i="24"/>
  <c r="V16" i="24"/>
  <c r="T15" i="24"/>
  <c r="R14" i="24"/>
  <c r="P13" i="24"/>
  <c r="N12" i="24"/>
  <c r="L11" i="24"/>
  <c r="U85" i="24"/>
  <c r="S84" i="24"/>
  <c r="Q83" i="24"/>
  <c r="O82" i="24"/>
  <c r="M81" i="24"/>
  <c r="K80" i="24"/>
  <c r="U69" i="24"/>
  <c r="S68" i="24"/>
  <c r="Q67" i="24"/>
  <c r="O66" i="24"/>
  <c r="M65" i="24"/>
  <c r="K64" i="24"/>
  <c r="U53" i="24"/>
  <c r="S52" i="24"/>
  <c r="Q51" i="24"/>
  <c r="O50" i="24"/>
  <c r="M49" i="24"/>
  <c r="K48" i="24"/>
  <c r="U37" i="24"/>
  <c r="S36" i="24"/>
  <c r="Q35" i="24"/>
  <c r="O34" i="24"/>
  <c r="M33" i="24"/>
  <c r="K32" i="24"/>
  <c r="U21" i="24"/>
  <c r="S20" i="24"/>
  <c r="Q19" i="24"/>
  <c r="O18" i="24"/>
  <c r="M17" i="24"/>
  <c r="K16" i="24"/>
  <c r="T85" i="24"/>
  <c r="R84" i="24"/>
  <c r="P83" i="24"/>
  <c r="N82" i="24"/>
  <c r="L81" i="24"/>
  <c r="V70" i="24"/>
  <c r="T69" i="24"/>
  <c r="R68" i="24"/>
  <c r="P67" i="24"/>
  <c r="N66" i="24"/>
  <c r="L65" i="24"/>
  <c r="V54" i="24"/>
  <c r="T53" i="24"/>
  <c r="R52" i="24"/>
  <c r="P51" i="24"/>
  <c r="N50" i="24"/>
  <c r="L49" i="24"/>
  <c r="V38" i="24"/>
  <c r="T37" i="24"/>
  <c r="R36" i="24"/>
  <c r="P35" i="24"/>
  <c r="N34" i="24"/>
  <c r="L33" i="24"/>
  <c r="V22" i="24"/>
  <c r="T21" i="24"/>
  <c r="R20" i="24"/>
  <c r="P19" i="24"/>
  <c r="N18" i="24"/>
  <c r="L17" i="24"/>
  <c r="S85" i="24"/>
  <c r="Q84" i="24"/>
  <c r="O83" i="24"/>
  <c r="M82" i="24"/>
  <c r="K81" i="24"/>
  <c r="U70" i="24"/>
  <c r="S69" i="24"/>
  <c r="Q68" i="24"/>
  <c r="O67" i="24"/>
  <c r="M66" i="24"/>
  <c r="K65" i="24"/>
  <c r="U54" i="24"/>
  <c r="S53" i="24"/>
  <c r="Q52" i="24"/>
  <c r="O51" i="24"/>
  <c r="M50" i="24"/>
  <c r="K49" i="24"/>
  <c r="U38" i="24"/>
  <c r="S37" i="24"/>
  <c r="Q36" i="24"/>
  <c r="O35" i="24"/>
  <c r="M34" i="24"/>
  <c r="K33" i="24"/>
  <c r="U22" i="24"/>
  <c r="S21" i="24"/>
  <c r="Q20" i="24"/>
  <c r="O19" i="24"/>
  <c r="M18" i="24"/>
  <c r="K17" i="24"/>
  <c r="P85" i="24"/>
  <c r="N84" i="24"/>
  <c r="L83" i="24"/>
  <c r="V72" i="24"/>
  <c r="T71" i="24"/>
  <c r="R70" i="24"/>
  <c r="P69" i="24"/>
  <c r="N68" i="24"/>
  <c r="L67" i="24"/>
  <c r="V56" i="24"/>
  <c r="T55" i="24"/>
  <c r="R54" i="24"/>
  <c r="P53" i="24"/>
  <c r="N52" i="24"/>
  <c r="L51" i="24"/>
  <c r="V40" i="24"/>
  <c r="T39" i="24"/>
  <c r="R38" i="24"/>
  <c r="P37" i="24"/>
  <c r="N36" i="24"/>
  <c r="L35" i="24"/>
  <c r="V24" i="24"/>
  <c r="T23" i="24"/>
  <c r="R22" i="24"/>
  <c r="P21" i="24"/>
  <c r="N20" i="24"/>
  <c r="L19" i="24"/>
  <c r="O85" i="24"/>
  <c r="M84" i="24"/>
  <c r="K83" i="24"/>
  <c r="U72" i="24"/>
  <c r="S71" i="24"/>
  <c r="Q70" i="24"/>
  <c r="O69" i="24"/>
  <c r="M68" i="24"/>
  <c r="K67" i="24"/>
  <c r="U56" i="24"/>
  <c r="S55" i="24"/>
  <c r="Q54" i="24"/>
  <c r="O53" i="24"/>
  <c r="M52" i="24"/>
  <c r="K51" i="24"/>
  <c r="U40" i="24"/>
  <c r="S39" i="24"/>
  <c r="Q38" i="24"/>
  <c r="O37" i="24"/>
  <c r="M36" i="24"/>
  <c r="K35" i="24"/>
  <c r="U24" i="24"/>
  <c r="S23" i="24"/>
  <c r="M33" i="22"/>
  <c r="K33" i="22"/>
  <c r="P33" i="22"/>
  <c r="U31" i="22"/>
  <c r="N18" i="22"/>
  <c r="L33" i="22"/>
  <c r="M18" i="22"/>
  <c r="O58" i="22"/>
  <c r="V45" i="22"/>
  <c r="P58" i="22"/>
  <c r="Q58" i="22"/>
  <c r="U45" i="22"/>
  <c r="L21" i="22"/>
  <c r="N33" i="22"/>
  <c r="N54" i="19"/>
  <c r="Q27" i="19"/>
  <c r="V85" i="19"/>
  <c r="T72" i="19"/>
  <c r="V68" i="19"/>
  <c r="U11" i="19"/>
  <c r="K59" i="19"/>
  <c r="N56" i="19"/>
  <c r="U68" i="19"/>
  <c r="R72" i="19"/>
  <c r="P27" i="19"/>
  <c r="M46" i="19"/>
  <c r="L30" i="19"/>
  <c r="N27" i="19"/>
  <c r="S13" i="19"/>
  <c r="K46" i="19"/>
  <c r="K30" i="19"/>
  <c r="M27" i="19"/>
  <c r="R13" i="19"/>
  <c r="O13" i="19"/>
  <c r="M13" i="19"/>
  <c r="U79" i="19"/>
  <c r="L13" i="19"/>
  <c r="K13" i="19"/>
  <c r="N38" i="19"/>
  <c r="M38" i="19"/>
  <c r="O54" i="19"/>
  <c r="R82" i="19"/>
  <c r="S57" i="19"/>
  <c r="U12" i="19"/>
  <c r="O82" i="19"/>
  <c r="V33" i="19"/>
  <c r="L57" i="19"/>
  <c r="L37" i="19"/>
  <c r="M65" i="19"/>
  <c r="Q82" i="19"/>
  <c r="S65" i="19"/>
  <c r="O57" i="19"/>
  <c r="P65" i="19"/>
  <c r="O41" i="19"/>
  <c r="K41" i="19"/>
  <c r="P82" i="19"/>
  <c r="P57" i="19"/>
  <c r="V77" i="19"/>
  <c r="Q41" i="19"/>
  <c r="U33" i="19"/>
  <c r="K44" i="19"/>
  <c r="S48" i="19"/>
  <c r="V11" i="19"/>
  <c r="Q57" i="19"/>
  <c r="R65" i="19"/>
  <c r="N57" i="19"/>
  <c r="N37" i="19"/>
  <c r="O65" i="19"/>
  <c r="M44" i="19"/>
  <c r="L44" i="19"/>
  <c r="N59" i="19"/>
  <c r="Q48" i="19"/>
  <c r="R10" i="19"/>
  <c r="K12" i="19"/>
  <c r="S16" i="19"/>
  <c r="Q24" i="19"/>
  <c r="N26" i="19"/>
  <c r="U29" i="19"/>
  <c r="R34" i="19"/>
  <c r="M37" i="19"/>
  <c r="S43" i="19"/>
  <c r="M45" i="19"/>
  <c r="N47" i="19"/>
  <c r="M57" i="19"/>
  <c r="U60" i="19"/>
  <c r="Q62" i="19"/>
  <c r="U67" i="19"/>
  <c r="M72" i="19"/>
  <c r="O77" i="19"/>
  <c r="O79" i="19"/>
  <c r="R81" i="19"/>
  <c r="T11" i="19"/>
  <c r="N13" i="19"/>
  <c r="R15" i="19"/>
  <c r="Q23" i="19"/>
  <c r="U27" i="19"/>
  <c r="L29" i="19"/>
  <c r="N31" i="19"/>
  <c r="P39" i="19"/>
  <c r="V41" i="19"/>
  <c r="N43" i="19"/>
  <c r="U52" i="19"/>
  <c r="K57" i="19"/>
  <c r="T60" i="19"/>
  <c r="S62" i="19"/>
  <c r="P72" i="19"/>
  <c r="L74" i="19"/>
  <c r="T77" i="19"/>
  <c r="V84" i="19"/>
  <c r="O10" i="19"/>
  <c r="U26" i="19"/>
  <c r="P28" i="19"/>
  <c r="S32" i="19"/>
  <c r="T35" i="19"/>
  <c r="L38" i="19"/>
  <c r="T42" i="19"/>
  <c r="Q44" i="19"/>
  <c r="L46" i="19"/>
  <c r="T51" i="19"/>
  <c r="Q56" i="19"/>
  <c r="O58" i="19"/>
  <c r="O64" i="19"/>
  <c r="V69" i="19"/>
  <c r="T75" i="19"/>
  <c r="L77" i="19"/>
  <c r="N79" i="19"/>
  <c r="S81" i="19"/>
  <c r="K84" i="19"/>
  <c r="T16" i="19"/>
  <c r="S26" i="19"/>
  <c r="O28" i="19"/>
  <c r="T32" i="19"/>
  <c r="P38" i="19"/>
  <c r="S46" i="19"/>
  <c r="R49" i="19"/>
  <c r="L10" i="19"/>
  <c r="U16" i="19"/>
  <c r="L15" i="19"/>
  <c r="K20" i="19"/>
  <c r="L23" i="19"/>
  <c r="V25" i="19"/>
  <c r="R27" i="19"/>
  <c r="M29" i="19"/>
  <c r="Q31" i="19"/>
  <c r="K37" i="19"/>
  <c r="U45" i="19"/>
  <c r="S61" i="19"/>
  <c r="V66" i="19"/>
  <c r="P71" i="19"/>
  <c r="U73" i="19"/>
  <c r="P75" i="19"/>
  <c r="L79" i="19"/>
  <c r="Q81" i="19"/>
  <c r="L84" i="19"/>
  <c r="T13" i="19"/>
  <c r="N16" i="19"/>
  <c r="T24" i="19"/>
  <c r="T26" i="19"/>
  <c r="S28" i="19"/>
  <c r="O30" i="19"/>
  <c r="P33" i="19"/>
  <c r="L39" i="19"/>
  <c r="R41" i="19"/>
  <c r="M43" i="19"/>
  <c r="Q47" i="19"/>
  <c r="N55" i="19"/>
  <c r="V57" i="19"/>
  <c r="Q59" i="19"/>
  <c r="L61" i="19"/>
  <c r="Q63" i="19"/>
  <c r="O66" i="19"/>
  <c r="L71" i="19"/>
  <c r="R73" i="19"/>
  <c r="N75" i="19"/>
  <c r="K79" i="19"/>
  <c r="T81" i="19"/>
  <c r="T84" i="19"/>
  <c r="U13" i="19"/>
  <c r="O16" i="19"/>
  <c r="V26" i="19"/>
  <c r="T28" i="19"/>
  <c r="P30" i="19"/>
  <c r="Q33" i="19"/>
  <c r="K36" i="19"/>
  <c r="M39" i="19"/>
  <c r="T41" i="19"/>
  <c r="O43" i="19"/>
  <c r="K45" i="19"/>
  <c r="R47" i="19"/>
  <c r="R50" i="19"/>
  <c r="O55" i="19"/>
  <c r="R59" i="19"/>
  <c r="M61" i="19"/>
  <c r="R63" i="19"/>
  <c r="R66" i="19"/>
  <c r="M71" i="19"/>
  <c r="S73" i="19"/>
  <c r="O75" i="19"/>
  <c r="M79" i="19"/>
  <c r="U81" i="19"/>
  <c r="U84" i="19"/>
  <c r="V13" i="19"/>
  <c r="P16" i="19"/>
  <c r="U28" i="19"/>
  <c r="Q30" i="19"/>
  <c r="R33" i="19"/>
  <c r="L36" i="19"/>
  <c r="N39" i="19"/>
  <c r="U41" i="19"/>
  <c r="P43" i="19"/>
  <c r="L45" i="19"/>
  <c r="S47" i="19"/>
  <c r="S50" i="19"/>
  <c r="K53" i="19"/>
  <c r="Q55" i="19"/>
  <c r="S59" i="19"/>
  <c r="N61" i="19"/>
  <c r="S63" i="19"/>
  <c r="S66" i="19"/>
  <c r="N71" i="19"/>
  <c r="T73" i="19"/>
  <c r="Q75" i="19"/>
  <c r="P79" i="19"/>
  <c r="V81" i="19"/>
  <c r="Q16" i="19"/>
  <c r="V28" i="19"/>
  <c r="S30" i="19"/>
  <c r="S33" i="19"/>
  <c r="V36" i="19"/>
  <c r="O39" i="19"/>
  <c r="Q43" i="19"/>
  <c r="N45" i="19"/>
  <c r="U47" i="19"/>
  <c r="T50" i="19"/>
  <c r="L53" i="19"/>
  <c r="R55" i="19"/>
  <c r="T59" i="19"/>
  <c r="O61" i="19"/>
  <c r="U63" i="19"/>
  <c r="T66" i="19"/>
  <c r="O71" i="19"/>
  <c r="V73" i="19"/>
  <c r="R75" i="19"/>
  <c r="K77" i="19"/>
  <c r="R79" i="19"/>
  <c r="R16" i="19"/>
  <c r="T30" i="19"/>
  <c r="T33" i="19"/>
  <c r="Q39" i="19"/>
  <c r="R43" i="19"/>
  <c r="O45" i="19"/>
  <c r="V47" i="19"/>
  <c r="U50" i="19"/>
  <c r="M53" i="19"/>
  <c r="U59" i="19"/>
  <c r="Q61" i="19"/>
  <c r="U66" i="19"/>
  <c r="Q71" i="19"/>
  <c r="S75" i="19"/>
  <c r="M77" i="19"/>
  <c r="S79" i="19"/>
  <c r="K26" i="19"/>
  <c r="L28" i="19"/>
  <c r="U30" i="19"/>
  <c r="R40" i="19"/>
  <c r="U42" i="19"/>
  <c r="M47" i="19"/>
  <c r="R56" i="19"/>
  <c r="S58" i="19"/>
  <c r="R60" i="19"/>
  <c r="L76" i="19"/>
  <c r="U83" i="19"/>
  <c r="Q15" i="19"/>
  <c r="R18" i="19"/>
  <c r="K24" i="19"/>
  <c r="L26" i="19"/>
  <c r="M28" i="19"/>
  <c r="V30" i="19"/>
  <c r="T40" i="19"/>
  <c r="V42" i="19"/>
  <c r="O47" i="19"/>
  <c r="S56" i="19"/>
  <c r="U58" i="19"/>
  <c r="S60" i="19"/>
  <c r="K63" i="19"/>
  <c r="K74" i="19"/>
  <c r="M76" i="19"/>
  <c r="K78" i="19"/>
  <c r="V83" i="19"/>
  <c r="S18" i="19"/>
  <c r="K21" i="19"/>
  <c r="L24" i="19"/>
  <c r="M26" i="19"/>
  <c r="Q28" i="19"/>
  <c r="T56" i="19"/>
  <c r="V58" i="19"/>
  <c r="V60" i="19"/>
  <c r="L63" i="19"/>
  <c r="N74" i="19"/>
  <c r="O76" i="19"/>
  <c r="M78" i="19"/>
  <c r="M15" i="19"/>
  <c r="T18" i="19"/>
  <c r="L21" i="19"/>
  <c r="M24" i="19"/>
  <c r="O26" i="19"/>
  <c r="R28" i="19"/>
  <c r="M63" i="19"/>
  <c r="K69" i="19"/>
  <c r="O74" i="19"/>
  <c r="P76" i="19"/>
  <c r="N78" i="19"/>
  <c r="N15" i="19"/>
  <c r="U18" i="19"/>
  <c r="M21" i="19"/>
  <c r="O24" i="19"/>
  <c r="P26" i="19"/>
  <c r="N63" i="19"/>
  <c r="L69" i="19"/>
  <c r="K72" i="19"/>
  <c r="P74" i="19"/>
  <c r="Q76" i="19"/>
  <c r="O78" i="19"/>
  <c r="P15" i="19"/>
  <c r="V18" i="19"/>
  <c r="P24" i="19"/>
  <c r="R26" i="19"/>
  <c r="L31" i="19"/>
  <c r="S34" i="19"/>
  <c r="O48" i="19"/>
  <c r="K54" i="19"/>
  <c r="O63" i="19"/>
  <c r="M69" i="19"/>
  <c r="L72" i="19"/>
  <c r="R74" i="19"/>
  <c r="R76" i="19"/>
  <c r="P78" i="19"/>
  <c r="M81" i="19"/>
  <c r="S84" i="19"/>
  <c r="S24" i="19"/>
  <c r="M31" i="19"/>
  <c r="T34" i="19"/>
  <c r="P48" i="19"/>
  <c r="L54" i="19"/>
  <c r="P63" i="19"/>
  <c r="U69" i="19"/>
  <c r="N72" i="19"/>
  <c r="S74" i="19"/>
  <c r="S76" i="19"/>
  <c r="Q78" i="19"/>
  <c r="N81" i="19"/>
  <c r="U17" i="19"/>
  <c r="V20" i="19"/>
  <c r="O29" i="19"/>
  <c r="P32" i="19"/>
  <c r="K42" i="19"/>
  <c r="O44" i="19"/>
  <c r="T46" i="19"/>
  <c r="P56" i="19"/>
  <c r="P64" i="19"/>
  <c r="M70" i="19"/>
  <c r="M73" i="19"/>
  <c r="T78" i="19"/>
  <c r="K85" i="19"/>
  <c r="V17" i="19"/>
  <c r="Q29" i="19"/>
  <c r="Q32" i="19"/>
  <c r="L42" i="19"/>
  <c r="R44" i="19"/>
  <c r="U46" i="19"/>
  <c r="V50" i="19"/>
  <c r="Q64" i="19"/>
  <c r="O70" i="19"/>
  <c r="N73" i="19"/>
  <c r="U78" i="19"/>
  <c r="L85" i="19"/>
  <c r="R29" i="19"/>
  <c r="R32" i="19"/>
  <c r="M42" i="19"/>
  <c r="S44" i="19"/>
  <c r="V46" i="19"/>
  <c r="R64" i="19"/>
  <c r="P70" i="19"/>
  <c r="O73" i="19"/>
  <c r="V78" i="19"/>
  <c r="M85" i="19"/>
  <c r="S29" i="19"/>
  <c r="N42" i="19"/>
  <c r="U44" i="19"/>
  <c r="S64" i="19"/>
  <c r="P73" i="19"/>
  <c r="N85" i="19"/>
  <c r="N10" i="19"/>
  <c r="K14" i="19"/>
  <c r="K27" i="19"/>
  <c r="T29" i="19"/>
  <c r="O42" i="19"/>
  <c r="V44" i="19"/>
  <c r="R61" i="19"/>
  <c r="T64" i="19"/>
  <c r="K76" i="19"/>
  <c r="U85" i="19"/>
  <c r="V15" i="19"/>
  <c r="M22" i="19"/>
  <c r="T25" i="19"/>
  <c r="L41" i="19"/>
  <c r="T45" i="19"/>
  <c r="N62" i="19"/>
  <c r="V65" i="19"/>
  <c r="N77" i="19"/>
  <c r="P80" i="19"/>
  <c r="N22" i="19"/>
  <c r="U25" i="19"/>
  <c r="V34" i="19"/>
  <c r="M41" i="19"/>
  <c r="U43" i="19"/>
  <c r="O62" i="19"/>
  <c r="O72" i="19"/>
  <c r="Q77" i="19"/>
  <c r="Q80" i="19"/>
  <c r="T19" i="19"/>
  <c r="O22" i="19"/>
  <c r="N41" i="19"/>
  <c r="V43" i="19"/>
  <c r="T62" i="19"/>
  <c r="Q72" i="19"/>
  <c r="R77" i="19"/>
  <c r="R80" i="19"/>
  <c r="Q83" i="19"/>
  <c r="M14" i="19"/>
  <c r="P25" i="19"/>
  <c r="R31" i="19"/>
  <c r="T48" i="19"/>
  <c r="T57" i="19"/>
  <c r="K62" i="19"/>
  <c r="S82" i="19"/>
  <c r="S42" i="19"/>
  <c r="N40" i="19"/>
  <c r="O40" i="19"/>
  <c r="P10" i="19"/>
  <c r="L12" i="19"/>
  <c r="N14" i="19"/>
  <c r="Q25" i="19"/>
  <c r="S31" i="19"/>
  <c r="V35" i="19"/>
  <c r="U48" i="19"/>
  <c r="U57" i="19"/>
  <c r="M62" i="19"/>
  <c r="K73" i="19"/>
  <c r="T82" i="19"/>
  <c r="L70" i="19"/>
  <c r="S49" i="19"/>
  <c r="K58" i="19"/>
  <c r="T80" i="19"/>
  <c r="T49" i="19"/>
  <c r="V19" i="19"/>
  <c r="U49" i="19"/>
  <c r="M58" i="19"/>
  <c r="M64" i="19"/>
  <c r="U74" i="19"/>
  <c r="N64" i="19"/>
  <c r="K29" i="19"/>
  <c r="Q58" i="19"/>
  <c r="S77" i="19"/>
  <c r="Q10" i="19"/>
  <c r="M12" i="19"/>
  <c r="O14" i="19"/>
  <c r="R25" i="19"/>
  <c r="U31" i="19"/>
  <c r="U62" i="19"/>
  <c r="L73" i="19"/>
  <c r="U82" i="19"/>
  <c r="K55" i="19"/>
  <c r="S45" i="19"/>
  <c r="L55" i="19"/>
  <c r="O80" i="19"/>
  <c r="Q49" i="19"/>
  <c r="T83" i="19"/>
  <c r="K64" i="19"/>
  <c r="L40" i="19"/>
  <c r="Q60" i="19"/>
  <c r="N58" i="19"/>
  <c r="M23" i="19"/>
  <c r="U64" i="19"/>
  <c r="S10" i="19"/>
  <c r="P12" i="19"/>
  <c r="P14" i="19"/>
  <c r="S25" i="19"/>
  <c r="V31" i="19"/>
  <c r="V62" i="19"/>
  <c r="T76" i="19"/>
  <c r="V82" i="19"/>
  <c r="V10" i="19"/>
  <c r="V14" i="19"/>
  <c r="R45" i="19"/>
  <c r="V12" i="19"/>
  <c r="L52" i="19"/>
  <c r="N32" i="19"/>
  <c r="S15" i="19"/>
  <c r="L58" i="19"/>
  <c r="K23" i="19"/>
  <c r="K56" i="19"/>
  <c r="N29" i="19"/>
  <c r="R58" i="19"/>
  <c r="T10" i="19"/>
  <c r="Q12" i="19"/>
  <c r="Q14" i="19"/>
  <c r="K28" i="19"/>
  <c r="K39" i="19"/>
  <c r="P42" i="19"/>
  <c r="Q67" i="19"/>
  <c r="U76" i="19"/>
  <c r="K80" i="19"/>
  <c r="U10" i="19"/>
  <c r="R12" i="19"/>
  <c r="T14" i="19"/>
  <c r="K22" i="19"/>
  <c r="R39" i="19"/>
  <c r="Q42" i="19"/>
  <c r="R67" i="19"/>
  <c r="V76" i="19"/>
  <c r="L80" i="19"/>
  <c r="S12" i="19"/>
  <c r="U14" i="19"/>
  <c r="L22" i="19"/>
  <c r="R42" i="19"/>
  <c r="Q45" i="19"/>
  <c r="S67" i="19"/>
  <c r="K70" i="19"/>
  <c r="M80" i="19"/>
  <c r="T12" i="19"/>
  <c r="P22" i="19"/>
  <c r="K52" i="19"/>
  <c r="T67" i="19"/>
  <c r="N80" i="19"/>
  <c r="P49" i="19"/>
  <c r="K60" i="19"/>
  <c r="R83" i="19"/>
  <c r="V52" i="19"/>
  <c r="M55" i="19"/>
  <c r="L60" i="19"/>
  <c r="S80" i="19"/>
  <c r="O32" i="19"/>
  <c r="O60" i="19"/>
  <c r="U19" i="19"/>
  <c r="P60" i="19"/>
  <c r="T74" i="19"/>
  <c r="U80" i="19"/>
  <c r="M40" i="19"/>
  <c r="V49" i="19"/>
  <c r="V74" i="19"/>
  <c r="O23" i="19"/>
  <c r="L56" i="19"/>
  <c r="K68" i="19"/>
  <c r="P31" i="19"/>
  <c r="N46" i="19"/>
  <c r="P54" i="19"/>
  <c r="T65" i="19"/>
  <c r="L20" i="19"/>
  <c r="O46" i="19"/>
  <c r="U65" i="19"/>
  <c r="V51" i="19"/>
  <c r="O25" i="19"/>
  <c r="V61" i="19"/>
  <c r="P46" i="19"/>
  <c r="S51" i="19"/>
  <c r="O81" i="19"/>
  <c r="L25" i="19"/>
  <c r="P40" i="19"/>
  <c r="S17" i="19"/>
  <c r="K25" i="19"/>
  <c r="Q46" i="19"/>
  <c r="U51" i="19"/>
  <c r="P81" i="19"/>
  <c r="P17" i="19"/>
  <c r="M25" i="19"/>
  <c r="Q40" i="19"/>
  <c r="Q17" i="19"/>
  <c r="N25" i="19"/>
  <c r="U61" i="19"/>
  <c r="R17" i="19"/>
  <c r="L47" i="19"/>
  <c r="U77" i="19"/>
  <c r="K11" i="19"/>
  <c r="V29" i="19"/>
  <c r="O59" i="19"/>
  <c r="K71" i="19"/>
  <c r="O11" i="19"/>
  <c r="V59" i="19"/>
  <c r="K75" i="19"/>
  <c r="S68" i="19"/>
  <c r="T68" i="19"/>
  <c r="N11" i="19"/>
  <c r="P59" i="19"/>
  <c r="R71" i="19"/>
  <c r="S78" i="19"/>
  <c r="N53" i="19"/>
  <c r="L68" i="19"/>
  <c r="Q11" i="19"/>
  <c r="M75" i="19"/>
  <c r="R11" i="19"/>
  <c r="K38" i="19"/>
  <c r="U75" i="19"/>
  <c r="P41" i="19"/>
  <c r="M59" i="19"/>
  <c r="O56" i="19"/>
  <c r="S11" i="19"/>
  <c r="Q73" i="19"/>
  <c r="N69" i="19"/>
  <c r="Q65" i="19"/>
  <c r="T61" i="19"/>
  <c r="M60" i="19"/>
  <c r="R57" i="19"/>
  <c r="P47" i="19"/>
  <c r="T43" i="19"/>
  <c r="S40" i="19"/>
  <c r="U34" i="19"/>
  <c r="M30" i="19"/>
  <c r="Q26" i="19"/>
  <c r="N23" i="19"/>
  <c r="L14" i="19"/>
  <c r="M10" i="19"/>
  <c r="S83" i="19"/>
  <c r="V79" i="19"/>
  <c r="L78" i="19"/>
  <c r="Q74" i="19"/>
  <c r="N70" i="19"/>
  <c r="Q66" i="19"/>
  <c r="P62" i="19"/>
  <c r="K61" i="19"/>
  <c r="T58" i="19"/>
  <c r="R48" i="19"/>
  <c r="T44" i="19"/>
  <c r="K43" i="19"/>
  <c r="K40" i="19"/>
  <c r="O31" i="19"/>
  <c r="S27" i="19"/>
  <c r="R24" i="19"/>
  <c r="N21" i="19"/>
  <c r="O15" i="19"/>
  <c r="P11" i="19"/>
  <c r="Q79" i="19"/>
  <c r="V75" i="19"/>
  <c r="M74" i="19"/>
  <c r="V67" i="19"/>
  <c r="V63" i="19"/>
  <c r="L62" i="19"/>
  <c r="P58" i="19"/>
  <c r="P55" i="19"/>
  <c r="N48" i="19"/>
  <c r="V45" i="19"/>
  <c r="P44" i="19"/>
  <c r="S41" i="19"/>
  <c r="O38" i="19"/>
  <c r="U35" i="19"/>
  <c r="U32" i="19"/>
  <c r="O27" i="19"/>
  <c r="N24" i="19"/>
  <c r="K19" i="19"/>
  <c r="K18" i="19"/>
  <c r="M19" i="19"/>
  <c r="O20" i="19"/>
  <c r="Q21" i="19"/>
  <c r="S22" i="19"/>
  <c r="U23" i="19"/>
  <c r="K34" i="19"/>
  <c r="M35" i="19"/>
  <c r="O36" i="19"/>
  <c r="Q37" i="19"/>
  <c r="S38" i="19"/>
  <c r="U39" i="19"/>
  <c r="K50" i="19"/>
  <c r="M51" i="19"/>
  <c r="O52" i="19"/>
  <c r="Q53" i="19"/>
  <c r="S54" i="19"/>
  <c r="U55" i="19"/>
  <c r="K66" i="19"/>
  <c r="M67" i="19"/>
  <c r="O68" i="19"/>
  <c r="Q69" i="19"/>
  <c r="S70" i="19"/>
  <c r="U71" i="19"/>
  <c r="K82" i="19"/>
  <c r="M83" i="19"/>
  <c r="O84" i="19"/>
  <c r="Q85" i="19"/>
  <c r="K17" i="19"/>
  <c r="M18" i="19"/>
  <c r="O19" i="19"/>
  <c r="Q20" i="19"/>
  <c r="S21" i="19"/>
  <c r="U22" i="19"/>
  <c r="K33" i="19"/>
  <c r="M34" i="19"/>
  <c r="O35" i="19"/>
  <c r="V27" i="19"/>
  <c r="P65" i="9"/>
  <c r="Q67" i="9"/>
  <c r="R67" i="9"/>
  <c r="R70" i="9"/>
  <c r="S76" i="9"/>
  <c r="T76" i="9"/>
  <c r="O38" i="9"/>
  <c r="R43" i="9"/>
  <c r="U48" i="9"/>
  <c r="V48" i="9"/>
  <c r="U25" i="9"/>
  <c r="U81" i="9"/>
  <c r="K40" i="9"/>
  <c r="T21" i="9"/>
  <c r="M80" i="9"/>
  <c r="K23" i="9"/>
  <c r="V42" i="9"/>
  <c r="L17" i="9"/>
  <c r="V67" i="9"/>
  <c r="P38" i="9"/>
  <c r="R65" i="9"/>
  <c r="O23" i="9"/>
  <c r="Q75" i="9"/>
  <c r="U16" i="9"/>
  <c r="O70" i="9"/>
  <c r="R44" i="9"/>
  <c r="N79" i="9"/>
  <c r="M79" i="9"/>
  <c r="T67" i="9"/>
  <c r="O18" i="9"/>
  <c r="O60" i="9"/>
  <c r="P60" i="9"/>
  <c r="S81" i="9"/>
  <c r="P62" i="9"/>
  <c r="L64" i="9"/>
  <c r="L41" i="9"/>
  <c r="K64" i="9"/>
  <c r="O62" i="9"/>
  <c r="L79" i="9"/>
  <c r="N65" i="9"/>
  <c r="O65" i="9"/>
  <c r="T48" i="9"/>
  <c r="U43" i="9"/>
  <c r="S67" i="9"/>
  <c r="M17" i="9"/>
  <c r="V68" i="9"/>
  <c r="S48" i="9"/>
  <c r="T25" i="9"/>
  <c r="L23" i="9"/>
  <c r="Q65" i="9"/>
  <c r="P70" i="9"/>
  <c r="R79" i="9"/>
  <c r="U27" i="7"/>
  <c r="S16" i="7"/>
  <c r="N23" i="7"/>
  <c r="P51" i="5"/>
  <c r="K17" i="5"/>
  <c r="Q51" i="5"/>
  <c r="R70" i="4"/>
  <c r="Q33" i="4"/>
  <c r="T61" i="4"/>
  <c r="V84" i="4"/>
  <c r="K33" i="4"/>
  <c r="T37" i="4"/>
  <c r="K75" i="4"/>
  <c r="L30" i="4"/>
  <c r="V27" i="4"/>
  <c r="M24" i="4"/>
  <c r="S21" i="4"/>
  <c r="V11" i="4"/>
  <c r="S16" i="4"/>
  <c r="M65" i="4"/>
  <c r="R60" i="4"/>
  <c r="S52" i="4"/>
  <c r="L49" i="4"/>
  <c r="U47" i="4"/>
  <c r="O44" i="4"/>
  <c r="K39" i="4"/>
  <c r="K36" i="4"/>
  <c r="R31" i="4"/>
  <c r="L24" i="4"/>
  <c r="M19" i="4"/>
  <c r="P17" i="4"/>
  <c r="Q10" i="4"/>
  <c r="K81" i="4"/>
  <c r="V79" i="4"/>
  <c r="O76" i="4"/>
  <c r="L73" i="4"/>
  <c r="V68" i="4"/>
  <c r="L65" i="4"/>
  <c r="M60" i="4"/>
  <c r="R55" i="4"/>
  <c r="R52" i="4"/>
  <c r="K49" i="4"/>
  <c r="S47" i="4"/>
  <c r="M44" i="4"/>
  <c r="N31" i="4"/>
  <c r="T22" i="4"/>
  <c r="L17" i="4"/>
  <c r="P10" i="4"/>
  <c r="Q79" i="4"/>
  <c r="M76" i="4"/>
  <c r="V74" i="4"/>
  <c r="K73" i="4"/>
  <c r="S68" i="4"/>
  <c r="K65" i="4"/>
  <c r="L60" i="4"/>
  <c r="Q55" i="4"/>
  <c r="Q52" i="4"/>
  <c r="O47" i="4"/>
  <c r="L44" i="4"/>
  <c r="S22" i="4"/>
  <c r="K17" i="4"/>
  <c r="K85" i="4"/>
  <c r="Q77" i="4"/>
  <c r="L74" i="4"/>
  <c r="P66" i="4"/>
  <c r="R61" i="4"/>
  <c r="U53" i="4"/>
  <c r="U45" i="4"/>
  <c r="Q32" i="4"/>
  <c r="O25" i="4"/>
  <c r="L20" i="4"/>
  <c r="S18" i="4"/>
  <c r="N11" i="4"/>
  <c r="O77" i="4"/>
  <c r="O66" i="4"/>
  <c r="Q61" i="4"/>
  <c r="N32" i="4"/>
  <c r="N25" i="4"/>
  <c r="R18" i="4"/>
  <c r="U80" i="4"/>
  <c r="N77" i="4"/>
  <c r="N66" i="4"/>
  <c r="U64" i="4"/>
  <c r="O61" i="4"/>
  <c r="S53" i="4"/>
  <c r="T48" i="4"/>
  <c r="L45" i="4"/>
  <c r="R35" i="4"/>
  <c r="T30" i="4"/>
  <c r="M25" i="4"/>
  <c r="Q18" i="4"/>
  <c r="K11" i="4"/>
  <c r="T80" i="4"/>
  <c r="S83" i="4"/>
  <c r="S80" i="4"/>
  <c r="S69" i="4"/>
  <c r="S64" i="4"/>
  <c r="M61" i="4"/>
  <c r="U59" i="4"/>
  <c r="T56" i="4"/>
  <c r="R48" i="4"/>
  <c r="U43" i="4"/>
  <c r="P35" i="4"/>
  <c r="K32" i="4"/>
  <c r="Q30" i="4"/>
  <c r="K25" i="4"/>
  <c r="T23" i="4"/>
  <c r="O18" i="4"/>
  <c r="R16" i="4"/>
  <c r="M17" i="4"/>
  <c r="T18" i="4"/>
  <c r="L22" i="4"/>
  <c r="U23" i="4"/>
  <c r="K27" i="4"/>
  <c r="V28" i="4"/>
  <c r="R32" i="4"/>
  <c r="N37" i="4"/>
  <c r="S38" i="4"/>
  <c r="Q43" i="4"/>
  <c r="O48" i="4"/>
  <c r="V49" i="4"/>
  <c r="K53" i="4"/>
  <c r="S54" i="4"/>
  <c r="N59" i="4"/>
  <c r="U60" i="4"/>
  <c r="N64" i="4"/>
  <c r="S65" i="4"/>
  <c r="K69" i="4"/>
  <c r="S13" i="4"/>
  <c r="O17" i="4"/>
  <c r="V18" i="4"/>
  <c r="N22" i="4"/>
  <c r="P27" i="4"/>
  <c r="M31" i="4"/>
  <c r="T32" i="4"/>
  <c r="Q37" i="4"/>
  <c r="U38" i="4"/>
  <c r="L42" i="4"/>
  <c r="S43" i="4"/>
  <c r="K47" i="4"/>
  <c r="Q48" i="4"/>
  <c r="O34" i="4"/>
  <c r="U35" i="4"/>
  <c r="Q40" i="4"/>
  <c r="Q45" i="4"/>
  <c r="V46" i="4"/>
  <c r="K50" i="4"/>
  <c r="R51" i="4"/>
  <c r="O56" i="4"/>
  <c r="V57" i="4"/>
  <c r="L61" i="4"/>
  <c r="T62" i="4"/>
  <c r="R67" i="4"/>
  <c r="O72" i="4"/>
  <c r="V73" i="4"/>
  <c r="L77" i="4"/>
  <c r="S78" i="4"/>
  <c r="L82" i="4"/>
  <c r="R83" i="4"/>
  <c r="L12" i="4"/>
  <c r="L15" i="4"/>
  <c r="U22" i="4"/>
  <c r="P25" i="4"/>
  <c r="O28" i="4"/>
  <c r="O31" i="4"/>
  <c r="S35" i="4"/>
  <c r="T39" i="4"/>
  <c r="Q42" i="4"/>
  <c r="R45" i="4"/>
  <c r="S49" i="4"/>
  <c r="K52" i="4"/>
  <c r="K56" i="4"/>
  <c r="O60" i="4"/>
  <c r="K63" i="4"/>
  <c r="M67" i="4"/>
  <c r="R71" i="4"/>
  <c r="Q75" i="4"/>
  <c r="R79" i="4"/>
  <c r="T83" i="4"/>
  <c r="S28" i="4"/>
  <c r="Q31" i="4"/>
  <c r="V39" i="4"/>
  <c r="U42" i="4"/>
  <c r="M63" i="4"/>
  <c r="S75" i="4"/>
  <c r="U79" i="4"/>
  <c r="M82" i="4"/>
  <c r="V83" i="4"/>
  <c r="M12" i="4"/>
  <c r="M15" i="4"/>
  <c r="K18" i="4"/>
  <c r="K21" i="4"/>
  <c r="V22" i="4"/>
  <c r="Q25" i="4"/>
  <c r="P28" i="4"/>
  <c r="P31" i="4"/>
  <c r="K34" i="4"/>
  <c r="V35" i="4"/>
  <c r="K38" i="4"/>
  <c r="U39" i="4"/>
  <c r="R42" i="4"/>
  <c r="S45" i="4"/>
  <c r="T49" i="4"/>
  <c r="L52" i="4"/>
  <c r="L56" i="4"/>
  <c r="P60" i="4"/>
  <c r="L63" i="4"/>
  <c r="N67" i="4"/>
  <c r="T71" i="4"/>
  <c r="R75" i="4"/>
  <c r="S79" i="4"/>
  <c r="U83" i="4"/>
  <c r="O12" i="4"/>
  <c r="N15" i="4"/>
  <c r="N18" i="4"/>
  <c r="L21" i="4"/>
  <c r="T25" i="4"/>
  <c r="L34" i="4"/>
  <c r="L38" i="4"/>
  <c r="T45" i="4"/>
  <c r="U49" i="4"/>
  <c r="N52" i="4"/>
  <c r="M56" i="4"/>
  <c r="Q60" i="4"/>
  <c r="S67" i="4"/>
  <c r="U71" i="4"/>
  <c r="T14" i="4"/>
  <c r="T17" i="4"/>
  <c r="P20" i="4"/>
  <c r="K23" i="4"/>
  <c r="K26" i="4"/>
  <c r="R33" i="4"/>
  <c r="L36" i="4"/>
  <c r="N40" i="4"/>
  <c r="P47" i="4"/>
  <c r="L54" i="4"/>
  <c r="T55" i="4"/>
  <c r="M58" i="4"/>
  <c r="U62" i="4"/>
  <c r="N65" i="4"/>
  <c r="T69" i="4"/>
  <c r="R73" i="4"/>
  <c r="S77" i="4"/>
  <c r="K80" i="4"/>
  <c r="S81" i="4"/>
  <c r="M10" i="4"/>
  <c r="U14" i="4"/>
  <c r="U17" i="4"/>
  <c r="S20" i="4"/>
  <c r="L23" i="4"/>
  <c r="L26" i="4"/>
  <c r="K29" i="4"/>
  <c r="U33" i="4"/>
  <c r="N36" i="4"/>
  <c r="O40" i="4"/>
  <c r="K43" i="4"/>
  <c r="Q47" i="4"/>
  <c r="M54" i="4"/>
  <c r="V55" i="4"/>
  <c r="P58" i="4"/>
  <c r="V62" i="4"/>
  <c r="O65" i="4"/>
  <c r="U69" i="4"/>
  <c r="S73" i="4"/>
  <c r="T77" i="4"/>
  <c r="L80" i="4"/>
  <c r="T81" i="4"/>
  <c r="K84" i="4"/>
  <c r="N10" i="4"/>
  <c r="V14" i="4"/>
  <c r="K16" i="4"/>
  <c r="V17" i="4"/>
  <c r="V20" i="4"/>
  <c r="O23" i="4"/>
  <c r="M26" i="4"/>
  <c r="N29" i="4"/>
  <c r="V33" i="4"/>
  <c r="P36" i="4"/>
  <c r="R40" i="4"/>
  <c r="M43" i="4"/>
  <c r="R47" i="4"/>
  <c r="L50" i="4"/>
  <c r="N54" i="4"/>
  <c r="Q58" i="4"/>
  <c r="P65" i="4"/>
  <c r="V69" i="4"/>
  <c r="K72" i="4"/>
  <c r="T73" i="4"/>
  <c r="M80" i="4"/>
  <c r="L84" i="4"/>
  <c r="O10" i="4"/>
  <c r="K13" i="4"/>
  <c r="L16" i="4"/>
  <c r="P23" i="4"/>
  <c r="N26" i="4"/>
  <c r="O29" i="4"/>
  <c r="S56" i="4"/>
  <c r="P53" i="4"/>
  <c r="T51" i="4"/>
  <c r="N48" i="4"/>
  <c r="T43" i="4"/>
  <c r="R38" i="4"/>
  <c r="O35" i="4"/>
  <c r="P30" i="4"/>
  <c r="O83" i="4"/>
  <c r="P80" i="4"/>
  <c r="V75" i="4"/>
  <c r="Q72" i="4"/>
  <c r="Q69" i="4"/>
  <c r="Q64" i="4"/>
  <c r="Q59" i="4"/>
  <c r="R56" i="4"/>
  <c r="N53" i="4"/>
  <c r="S51" i="4"/>
  <c r="M48" i="4"/>
  <c r="S46" i="4"/>
  <c r="P43" i="4"/>
  <c r="P38" i="4"/>
  <c r="N35" i="4"/>
  <c r="O30" i="4"/>
  <c r="Q23" i="4"/>
  <c r="P16" i="4"/>
  <c r="Q14" i="4"/>
  <c r="N20" i="4"/>
  <c r="Q11" i="4"/>
  <c r="K74" i="4"/>
  <c r="T53" i="4"/>
  <c r="U48" i="4"/>
  <c r="M45" i="4"/>
  <c r="M11" i="4"/>
  <c r="M77" i="4"/>
  <c r="V72" i="4"/>
  <c r="K66" i="4"/>
  <c r="T64" i="4"/>
  <c r="N61" i="4"/>
  <c r="V59" i="4"/>
  <c r="V56" i="4"/>
  <c r="R53" i="4"/>
  <c r="S48" i="4"/>
  <c r="K45" i="4"/>
  <c r="V43" i="4"/>
  <c r="Q35" i="4"/>
  <c r="L32" i="4"/>
  <c r="S30" i="4"/>
  <c r="L25" i="4"/>
  <c r="P18" i="4"/>
  <c r="T72" i="4"/>
  <c r="P83" i="4"/>
  <c r="R80" i="4"/>
  <c r="R72" i="4"/>
  <c r="R69" i="4"/>
  <c r="R64" i="4"/>
  <c r="T59" i="4"/>
  <c r="R23" i="4"/>
  <c r="Q16" i="4"/>
  <c r="S14" i="4"/>
  <c r="N83" i="4"/>
  <c r="O80" i="4"/>
  <c r="U75" i="4"/>
  <c r="P72" i="4"/>
  <c r="P69" i="4"/>
  <c r="P64" i="4"/>
  <c r="P59" i="4"/>
  <c r="Q56" i="4"/>
  <c r="P51" i="4"/>
  <c r="L48" i="4"/>
  <c r="M32" i="4"/>
  <c r="O43" i="4"/>
  <c r="V41" i="4"/>
  <c r="O38" i="4"/>
  <c r="M35" i="4"/>
  <c r="N30" i="4"/>
  <c r="O16" i="4"/>
  <c r="P14" i="4"/>
  <c r="T11" i="4"/>
  <c r="V30" i="4"/>
  <c r="M29" i="4"/>
  <c r="S25" i="4"/>
  <c r="K24" i="4"/>
  <c r="R20" i="4"/>
  <c r="L19" i="4"/>
  <c r="S15" i="4"/>
  <c r="U11" i="4"/>
  <c r="L10" i="4"/>
  <c r="Q83" i="4"/>
  <c r="K82" i="4"/>
  <c r="Q78" i="4"/>
  <c r="K77" i="4"/>
  <c r="U73" i="4"/>
  <c r="N72" i="4"/>
  <c r="O67" i="4"/>
  <c r="S62" i="4"/>
  <c r="K61" i="4"/>
  <c r="U57" i="4"/>
  <c r="N56" i="4"/>
  <c r="Q51" i="4"/>
  <c r="U46" i="4"/>
  <c r="N45" i="4"/>
  <c r="P40" i="4"/>
  <c r="T35" i="4"/>
  <c r="N34" i="4"/>
  <c r="U30" i="4"/>
  <c r="L29" i="4"/>
  <c r="R25" i="4"/>
  <c r="Q20" i="4"/>
  <c r="R15" i="4"/>
  <c r="K19" i="4"/>
  <c r="M20" i="4"/>
  <c r="O21" i="4"/>
  <c r="Q22" i="4"/>
  <c r="S23" i="4"/>
  <c r="U24" i="4"/>
  <c r="K35" i="4"/>
  <c r="M36" i="4"/>
  <c r="O37" i="4"/>
  <c r="Q38" i="4"/>
  <c r="S39" i="4"/>
  <c r="U40" i="4"/>
  <c r="K51" i="4"/>
  <c r="M52" i="4"/>
  <c r="O53" i="4"/>
  <c r="Q54" i="4"/>
  <c r="S55" i="4"/>
  <c r="U56" i="4"/>
  <c r="K67" i="4"/>
  <c r="M68" i="4"/>
  <c r="O69" i="4"/>
  <c r="Q70" i="4"/>
  <c r="S71" i="4"/>
  <c r="U72" i="4"/>
  <c r="K83" i="4"/>
  <c r="M84" i="4"/>
  <c r="O85" i="4"/>
  <c r="L11" i="4"/>
  <c r="N12" i="4"/>
  <c r="P13" i="4"/>
  <c r="R14" i="4"/>
  <c r="T15" i="4"/>
  <c r="V16" i="4"/>
  <c r="L27" i="4"/>
  <c r="N28" i="4"/>
  <c r="P29" i="4"/>
  <c r="R30" i="4"/>
  <c r="T31" i="4"/>
  <c r="V32" i="4"/>
  <c r="L43" i="4"/>
  <c r="N44" i="4"/>
  <c r="P45" i="4"/>
  <c r="R46" i="4"/>
  <c r="T47" i="4"/>
  <c r="V48" i="4"/>
  <c r="L59" i="4"/>
  <c r="N60" i="4"/>
  <c r="P61" i="4"/>
  <c r="R62" i="4"/>
  <c r="T63" i="4"/>
  <c r="V64" i="4"/>
  <c r="L75" i="4"/>
  <c r="N76" i="4"/>
  <c r="P77" i="4"/>
  <c r="R78" i="4"/>
  <c r="T79" i="4"/>
  <c r="V80" i="4"/>
  <c r="K14" i="4"/>
  <c r="P15" i="4"/>
  <c r="T16" i="4"/>
  <c r="M23" i="4"/>
  <c r="Q24" i="4"/>
  <c r="U25" i="4"/>
  <c r="K31" i="4"/>
  <c r="O32" i="4"/>
  <c r="S33" i="4"/>
  <c r="V34" i="4"/>
  <c r="L40" i="4"/>
  <c r="P41" i="4"/>
  <c r="S42" i="4"/>
  <c r="N49" i="4"/>
  <c r="Q50" i="4"/>
  <c r="U51" i="4"/>
  <c r="K57" i="4"/>
  <c r="N58" i="4"/>
  <c r="R59" i="4"/>
  <c r="V60" i="4"/>
  <c r="L66" i="4"/>
  <c r="P67" i="4"/>
  <c r="T68" i="4"/>
  <c r="M75" i="4"/>
  <c r="Q76" i="4"/>
  <c r="U77" i="4"/>
  <c r="O84" i="4"/>
  <c r="S85" i="4"/>
  <c r="T85" i="4"/>
  <c r="L14" i="4"/>
  <c r="Q15" i="4"/>
  <c r="U16" i="4"/>
  <c r="N23" i="4"/>
  <c r="R24" i="4"/>
  <c r="V25" i="4"/>
  <c r="L31" i="4"/>
  <c r="P32" i="4"/>
  <c r="T33" i="4"/>
  <c r="M40" i="4"/>
  <c r="Q41" i="4"/>
  <c r="T42" i="4"/>
  <c r="K48" i="4"/>
  <c r="O49" i="4"/>
  <c r="R50" i="4"/>
  <c r="V51" i="4"/>
  <c r="L57" i="4"/>
  <c r="O58" i="4"/>
  <c r="S59" i="4"/>
  <c r="M66" i="4"/>
  <c r="Q67" i="4"/>
  <c r="U68" i="4"/>
  <c r="N75" i="4"/>
  <c r="R76" i="4"/>
  <c r="V77" i="4"/>
  <c r="L83" i="4"/>
  <c r="P84" i="4"/>
  <c r="O11" i="4"/>
  <c r="T12" i="4"/>
  <c r="L18" i="4"/>
  <c r="P19" i="4"/>
  <c r="T20" i="4"/>
  <c r="M27" i="4"/>
  <c r="Q28" i="4"/>
  <c r="U29" i="4"/>
  <c r="O36" i="4"/>
  <c r="S37" i="4"/>
  <c r="V38" i="4"/>
  <c r="K44" i="4"/>
  <c r="O45" i="4"/>
  <c r="T46" i="4"/>
  <c r="M53" i="4"/>
  <c r="P54" i="4"/>
  <c r="U55" i="4"/>
  <c r="N62" i="4"/>
  <c r="R63" i="4"/>
  <c r="K70" i="4"/>
  <c r="O71" i="4"/>
  <c r="S72" i="4"/>
  <c r="M79" i="4"/>
  <c r="Q80" i="4"/>
  <c r="U81" i="4"/>
  <c r="K10" i="4"/>
  <c r="P11" i="4"/>
  <c r="U12" i="4"/>
  <c r="M18" i="4"/>
  <c r="Q19" i="4"/>
  <c r="U20" i="4"/>
  <c r="N27" i="4"/>
  <c r="R28" i="4"/>
  <c r="V29" i="4"/>
  <c r="L85" i="4"/>
  <c r="V81" i="4"/>
  <c r="N80" i="4"/>
  <c r="P75" i="4"/>
  <c r="S70" i="4"/>
  <c r="L69" i="4"/>
  <c r="T65" i="4"/>
  <c r="O64" i="4"/>
  <c r="O59" i="4"/>
  <c r="T54" i="4"/>
  <c r="L53" i="4"/>
  <c r="P48" i="4"/>
  <c r="R43" i="4"/>
  <c r="K42" i="4"/>
  <c r="T38" i="4"/>
  <c r="P37" i="4"/>
  <c r="S32" i="4"/>
  <c r="O27" i="4"/>
  <c r="V23" i="4"/>
  <c r="M22" i="4"/>
  <c r="U18" i="4"/>
  <c r="N17" i="4"/>
  <c r="R13" i="4"/>
  <c r="Q13" i="4"/>
  <c r="Q46" i="4"/>
  <c r="K58" i="3"/>
  <c r="L77" i="3"/>
  <c r="N49" i="3"/>
  <c r="T25" i="3"/>
  <c r="O55" i="3"/>
  <c r="U25" i="3"/>
  <c r="O49" i="3"/>
  <c r="Q65" i="3"/>
  <c r="Q15" i="3"/>
  <c r="O15" i="3"/>
  <c r="U36" i="3"/>
  <c r="N15" i="3"/>
  <c r="K36" i="3"/>
  <c r="M77" i="3"/>
  <c r="M49" i="3"/>
  <c r="Q58" i="3"/>
  <c r="V14" i="3"/>
  <c r="U14" i="3"/>
  <c r="Q83" i="3"/>
  <c r="L47" i="3"/>
  <c r="P83" i="3"/>
  <c r="N17" i="3"/>
  <c r="T41" i="3"/>
  <c r="T73" i="3"/>
  <c r="L50" i="3"/>
  <c r="S21" i="3"/>
  <c r="N73" i="3"/>
  <c r="V60" i="3"/>
  <c r="N85" i="3"/>
  <c r="M85" i="3"/>
  <c r="L85" i="3"/>
  <c r="V43" i="3"/>
  <c r="V23" i="3"/>
  <c r="Q20" i="3"/>
  <c r="R83" i="3"/>
  <c r="V21" i="3"/>
  <c r="T85" i="3"/>
  <c r="M83" i="3"/>
  <c r="U73" i="3"/>
  <c r="U21" i="3"/>
  <c r="S85" i="3"/>
  <c r="R85" i="3"/>
  <c r="R34" i="3"/>
  <c r="M73" i="3"/>
  <c r="U60" i="3"/>
  <c r="Q34" i="3"/>
  <c r="T11" i="3"/>
  <c r="V63" i="3"/>
  <c r="P16" i="3"/>
  <c r="K85" i="3"/>
  <c r="S69" i="3"/>
  <c r="S20" i="3"/>
  <c r="O16" i="3"/>
  <c r="P79" i="3"/>
  <c r="L69" i="3"/>
  <c r="T56" i="3"/>
  <c r="R20" i="3"/>
  <c r="N79" i="3"/>
  <c r="V75" i="3"/>
  <c r="S56" i="3"/>
  <c r="L37" i="3"/>
  <c r="M79" i="3"/>
  <c r="U75" i="3"/>
  <c r="P43" i="3"/>
  <c r="K37" i="3"/>
  <c r="U23" i="3"/>
  <c r="Q17" i="3"/>
  <c r="P17" i="3"/>
  <c r="O17" i="3"/>
  <c r="U85" i="3"/>
  <c r="V73" i="3"/>
  <c r="L79" i="3"/>
  <c r="T75" i="3"/>
  <c r="V52" i="3"/>
  <c r="U33" i="3"/>
  <c r="S23" i="3"/>
  <c r="Q13" i="3"/>
  <c r="K79" i="3"/>
  <c r="M75" i="3"/>
  <c r="L72" i="3"/>
  <c r="N59" i="3"/>
  <c r="U52" i="3"/>
  <c r="R33" i="3"/>
  <c r="R23" i="3"/>
  <c r="N13" i="3"/>
  <c r="L75" i="3"/>
  <c r="K72" i="3"/>
  <c r="M59" i="3"/>
  <c r="M13" i="3"/>
  <c r="T58" i="3"/>
  <c r="O74" i="3"/>
  <c r="U12" i="3"/>
  <c r="T12" i="3"/>
  <c r="K61" i="3"/>
  <c r="K32" i="3"/>
  <c r="O25" i="3"/>
  <c r="M15" i="3"/>
  <c r="L71" i="3"/>
  <c r="V45" i="3"/>
  <c r="N22" i="3"/>
  <c r="M37" i="3"/>
  <c r="T38" i="3"/>
  <c r="Q43" i="3"/>
  <c r="N48" i="3"/>
  <c r="V49" i="3"/>
  <c r="N53" i="3"/>
  <c r="V54" i="3"/>
  <c r="M58" i="3"/>
  <c r="T59" i="3"/>
  <c r="M64" i="3"/>
  <c r="S65" i="3"/>
  <c r="M70" i="3"/>
  <c r="Q71" i="3"/>
  <c r="V72" i="3"/>
  <c r="L78" i="3"/>
  <c r="O79" i="3"/>
  <c r="N37" i="3"/>
  <c r="U38" i="3"/>
  <c r="K42" i="3"/>
  <c r="R43" i="3"/>
  <c r="O48" i="3"/>
  <c r="O53" i="3"/>
  <c r="N58" i="3"/>
  <c r="U59" i="3"/>
  <c r="N64" i="3"/>
  <c r="V65" i="3"/>
  <c r="N70" i="3"/>
  <c r="R71" i="3"/>
  <c r="K25" i="3"/>
  <c r="P26" i="3"/>
  <c r="L31" i="3"/>
  <c r="R37" i="3"/>
  <c r="N42" i="3"/>
  <c r="U43" i="3"/>
  <c r="K47" i="3"/>
  <c r="S48" i="3"/>
  <c r="K52" i="3"/>
  <c r="S53" i="3"/>
  <c r="K57" i="3"/>
  <c r="Q21" i="3"/>
  <c r="T32" i="3"/>
  <c r="N10" i="3"/>
  <c r="V15" i="3"/>
  <c r="P19" i="3"/>
  <c r="L23" i="3"/>
  <c r="S24" i="3"/>
  <c r="Q29" i="3"/>
  <c r="V30" i="3"/>
  <c r="K34" i="3"/>
  <c r="L14" i="3"/>
  <c r="O22" i="3"/>
  <c r="V25" i="3"/>
  <c r="L33" i="3"/>
  <c r="L36" i="3"/>
  <c r="M39" i="3"/>
  <c r="Q45" i="3"/>
  <c r="M51" i="3"/>
  <c r="N54" i="3"/>
  <c r="O57" i="3"/>
  <c r="N60" i="3"/>
  <c r="R67" i="3"/>
  <c r="K70" i="3"/>
  <c r="R74" i="3"/>
  <c r="R78" i="3"/>
  <c r="S83" i="3"/>
  <c r="O11" i="3"/>
  <c r="M14" i="3"/>
  <c r="K19" i="3"/>
  <c r="P22" i="3"/>
  <c r="M33" i="3"/>
  <c r="M36" i="3"/>
  <c r="N39" i="3"/>
  <c r="R45" i="3"/>
  <c r="N51" i="3"/>
  <c r="O54" i="3"/>
  <c r="P57" i="3"/>
  <c r="O60" i="3"/>
  <c r="S67" i="3"/>
  <c r="L70" i="3"/>
  <c r="S74" i="3"/>
  <c r="S78" i="3"/>
  <c r="L82" i="3"/>
  <c r="T83" i="3"/>
  <c r="O14" i="3"/>
  <c r="M19" i="3"/>
  <c r="Q22" i="3"/>
  <c r="L27" i="3"/>
  <c r="K30" i="3"/>
  <c r="N33" i="3"/>
  <c r="O36" i="3"/>
  <c r="P39" i="3"/>
  <c r="O42" i="3"/>
  <c r="S45" i="3"/>
  <c r="K48" i="3"/>
  <c r="O51" i="3"/>
  <c r="P54" i="3"/>
  <c r="Q57" i="3"/>
  <c r="P60" i="3"/>
  <c r="K63" i="3"/>
  <c r="T67" i="3"/>
  <c r="R70" i="3"/>
  <c r="T74" i="3"/>
  <c r="T78" i="3"/>
  <c r="M82" i="3"/>
  <c r="U83" i="3"/>
  <c r="P14" i="3"/>
  <c r="Q19" i="3"/>
  <c r="M27" i="3"/>
  <c r="L30" i="3"/>
  <c r="O33" i="3"/>
  <c r="P36" i="3"/>
  <c r="Q39" i="3"/>
  <c r="P42" i="3"/>
  <c r="T45" i="3"/>
  <c r="M48" i="3"/>
  <c r="P51" i="3"/>
  <c r="Q54" i="3"/>
  <c r="R57" i="3"/>
  <c r="Q60" i="3"/>
  <c r="M63" i="3"/>
  <c r="U67" i="3"/>
  <c r="S70" i="3"/>
  <c r="L73" i="3"/>
  <c r="U74" i="3"/>
  <c r="U78" i="3"/>
  <c r="N82" i="3"/>
  <c r="P11" i="3"/>
  <c r="T14" i="3"/>
  <c r="R19" i="3"/>
  <c r="N27" i="3"/>
  <c r="M30" i="3"/>
  <c r="P33" i="3"/>
  <c r="Q36" i="3"/>
  <c r="R39" i="3"/>
  <c r="Q42" i="3"/>
  <c r="U45" i="3"/>
  <c r="T48" i="3"/>
  <c r="S51" i="3"/>
  <c r="T54" i="3"/>
  <c r="O10" i="3"/>
  <c r="R13" i="3"/>
  <c r="N18" i="3"/>
  <c r="M23" i="3"/>
  <c r="Q26" i="3"/>
  <c r="U29" i="3"/>
  <c r="M32" i="3"/>
  <c r="S35" i="3"/>
  <c r="Q38" i="3"/>
  <c r="Q41" i="3"/>
  <c r="R44" i="3"/>
  <c r="Q47" i="3"/>
  <c r="R50" i="3"/>
  <c r="V53" i="3"/>
  <c r="U56" i="3"/>
  <c r="R59" i="3"/>
  <c r="P62" i="3"/>
  <c r="L65" i="3"/>
  <c r="U66" i="3"/>
  <c r="T69" i="3"/>
  <c r="O72" i="3"/>
  <c r="P76" i="3"/>
  <c r="K80" i="3"/>
  <c r="T81" i="3"/>
  <c r="O85" i="3"/>
  <c r="P10" i="3"/>
  <c r="S13" i="3"/>
  <c r="Q18" i="3"/>
  <c r="N23" i="3"/>
  <c r="R26" i="3"/>
  <c r="V29" i="3"/>
  <c r="V32" i="3"/>
  <c r="T35" i="3"/>
  <c r="S38" i="3"/>
  <c r="R41" i="3"/>
  <c r="S44" i="3"/>
  <c r="T47" i="3"/>
  <c r="S50" i="3"/>
  <c r="S59" i="3"/>
  <c r="R62" i="3"/>
  <c r="M65" i="3"/>
  <c r="K68" i="3"/>
  <c r="U69" i="3"/>
  <c r="P72" i="3"/>
  <c r="Q76" i="3"/>
  <c r="L80" i="3"/>
  <c r="U81" i="3"/>
  <c r="P85" i="3"/>
  <c r="Q10" i="3"/>
  <c r="R18" i="3"/>
  <c r="O23" i="3"/>
  <c r="S26" i="3"/>
  <c r="U35" i="3"/>
  <c r="S41" i="3"/>
  <c r="T44" i="3"/>
  <c r="U47" i="3"/>
  <c r="T50" i="3"/>
  <c r="S62" i="3"/>
  <c r="N65" i="3"/>
  <c r="L68" i="3"/>
  <c r="V69" i="3"/>
  <c r="Q72" i="3"/>
  <c r="R76" i="3"/>
  <c r="N80" i="3"/>
  <c r="V81" i="3"/>
  <c r="Q85" i="3"/>
  <c r="S34" i="3"/>
  <c r="R36" i="3"/>
  <c r="L38" i="3"/>
  <c r="P49" i="3"/>
  <c r="V58" i="3"/>
  <c r="R60" i="3"/>
  <c r="K62" i="3"/>
  <c r="L67" i="3"/>
  <c r="T72" i="3"/>
  <c r="N77" i="3"/>
  <c r="T80" i="3"/>
  <c r="Q11" i="3"/>
  <c r="K21" i="3"/>
  <c r="P23" i="3"/>
  <c r="T34" i="3"/>
  <c r="S36" i="3"/>
  <c r="M38" i="3"/>
  <c r="R49" i="3"/>
  <c r="L55" i="3"/>
  <c r="S60" i="3"/>
  <c r="L62" i="3"/>
  <c r="M67" i="3"/>
  <c r="U72" i="3"/>
  <c r="P77" i="3"/>
  <c r="R11" i="3"/>
  <c r="R21" i="3"/>
  <c r="Q23" i="3"/>
  <c r="U34" i="3"/>
  <c r="T36" i="3"/>
  <c r="N38" i="3"/>
  <c r="K40" i="3"/>
  <c r="S49" i="3"/>
  <c r="K51" i="3"/>
  <c r="N55" i="3"/>
  <c r="T60" i="3"/>
  <c r="M62" i="3"/>
  <c r="P67" i="3"/>
  <c r="K74" i="3"/>
  <c r="Q77" i="3"/>
  <c r="S11" i="3"/>
  <c r="R10" i="3"/>
  <c r="L15" i="3"/>
  <c r="N35" i="3"/>
  <c r="S37" i="3"/>
  <c r="U46" i="3"/>
  <c r="M50" i="3"/>
  <c r="M52" i="3"/>
  <c r="P59" i="3"/>
  <c r="Q61" i="3"/>
  <c r="O66" i="3"/>
  <c r="M68" i="3"/>
  <c r="O73" i="3"/>
  <c r="L81" i="3"/>
  <c r="N84" i="3"/>
  <c r="S10" i="3"/>
  <c r="K20" i="3"/>
  <c r="R31" i="3"/>
  <c r="O35" i="3"/>
  <c r="T37" i="3"/>
  <c r="K39" i="3"/>
  <c r="V46" i="3"/>
  <c r="N50" i="3"/>
  <c r="O52" i="3"/>
  <c r="Q59" i="3"/>
  <c r="R61" i="3"/>
  <c r="P66" i="3"/>
  <c r="N68" i="3"/>
  <c r="P73" i="3"/>
  <c r="M81" i="3"/>
  <c r="O84" i="3"/>
  <c r="T10" i="3"/>
  <c r="L20" i="3"/>
  <c r="T31" i="3"/>
  <c r="V35" i="3"/>
  <c r="U37" i="3"/>
  <c r="L39" i="3"/>
  <c r="O50" i="3"/>
  <c r="P52" i="3"/>
  <c r="K54" i="3"/>
  <c r="S61" i="3"/>
  <c r="Q66" i="3"/>
  <c r="O68" i="3"/>
  <c r="Q73" i="3"/>
  <c r="N81" i="3"/>
  <c r="P84" i="3"/>
  <c r="U10" i="3"/>
  <c r="P12" i="3"/>
  <c r="K18" i="3"/>
  <c r="M20" i="3"/>
  <c r="K22" i="3"/>
  <c r="M24" i="3"/>
  <c r="K28" i="3"/>
  <c r="U31" i="3"/>
  <c r="V37" i="3"/>
  <c r="S39" i="3"/>
  <c r="K41" i="3"/>
  <c r="P50" i="3"/>
  <c r="Q52" i="3"/>
  <c r="L54" i="3"/>
  <c r="T61" i="3"/>
  <c r="R66" i="3"/>
  <c r="P68" i="3"/>
  <c r="R73" i="3"/>
  <c r="O81" i="3"/>
  <c r="Q84" i="3"/>
  <c r="V10" i="3"/>
  <c r="Q12" i="3"/>
  <c r="K14" i="3"/>
  <c r="L18" i="3"/>
  <c r="P20" i="3"/>
  <c r="L22" i="3"/>
  <c r="N24" i="3"/>
  <c r="L28" i="3"/>
  <c r="V31" i="3"/>
  <c r="U39" i="3"/>
  <c r="L41" i="3"/>
  <c r="Q50" i="3"/>
  <c r="R52" i="3"/>
  <c r="M54" i="3"/>
  <c r="U61" i="3"/>
  <c r="N63" i="3"/>
  <c r="S66" i="3"/>
  <c r="Q68" i="3"/>
  <c r="S73" i="3"/>
  <c r="K78" i="3"/>
  <c r="Q81" i="3"/>
  <c r="T84" i="3"/>
  <c r="T20" i="3"/>
  <c r="K29" i="3"/>
  <c r="M31" i="3"/>
  <c r="V36" i="3"/>
  <c r="M47" i="3"/>
  <c r="U54" i="3"/>
  <c r="K56" i="3"/>
  <c r="U58" i="3"/>
  <c r="O63" i="3"/>
  <c r="M69" i="3"/>
  <c r="M71" i="3"/>
  <c r="N75" i="3"/>
  <c r="S77" i="3"/>
  <c r="T79" i="3"/>
  <c r="K81" i="3"/>
  <c r="U20" i="3"/>
  <c r="M29" i="3"/>
  <c r="N31" i="3"/>
  <c r="L34" i="3"/>
  <c r="L43" i="3"/>
  <c r="N47" i="3"/>
  <c r="L56" i="3"/>
  <c r="Q63" i="3"/>
  <c r="K67" i="3"/>
  <c r="O69" i="3"/>
  <c r="N71" i="3"/>
  <c r="O75" i="3"/>
  <c r="T77" i="3"/>
  <c r="U79" i="3"/>
  <c r="R81" i="3"/>
  <c r="T52" i="3"/>
  <c r="L25" i="3"/>
  <c r="P27" i="3"/>
  <c r="R29" i="3"/>
  <c r="O31" i="3"/>
  <c r="N34" i="3"/>
  <c r="M41" i="3"/>
  <c r="M43" i="3"/>
  <c r="O47" i="3"/>
  <c r="L52" i="3"/>
  <c r="M56" i="3"/>
  <c r="R63" i="3"/>
  <c r="K65" i="3"/>
  <c r="Q67" i="3"/>
  <c r="P69" i="3"/>
  <c r="O71" i="3"/>
  <c r="P75" i="3"/>
  <c r="U77" i="3"/>
  <c r="V79" i="3"/>
  <c r="S81" i="3"/>
  <c r="K83" i="3"/>
  <c r="M25" i="3"/>
  <c r="Q27" i="3"/>
  <c r="S29" i="3"/>
  <c r="O34" i="3"/>
  <c r="O41" i="3"/>
  <c r="N43" i="3"/>
  <c r="K45" i="3"/>
  <c r="V47" i="3"/>
  <c r="S52" i="3"/>
  <c r="N56" i="3"/>
  <c r="T63" i="3"/>
  <c r="O65" i="3"/>
  <c r="V67" i="3"/>
  <c r="Q69" i="3"/>
  <c r="P71" i="3"/>
  <c r="S75" i="3"/>
  <c r="V77" i="3"/>
  <c r="L83" i="3"/>
  <c r="M18" i="3"/>
  <c r="N25" i="3"/>
  <c r="R27" i="3"/>
  <c r="T29" i="3"/>
  <c r="P34" i="3"/>
  <c r="P41" i="3"/>
  <c r="O43" i="3"/>
  <c r="P45" i="3"/>
  <c r="O56" i="3"/>
  <c r="U63" i="3"/>
  <c r="P65" i="3"/>
  <c r="R69" i="3"/>
  <c r="V71" i="3"/>
  <c r="V12" i="3"/>
  <c r="Q16" i="3"/>
  <c r="P55" i="3"/>
  <c r="O59" i="3"/>
  <c r="N72" i="3"/>
  <c r="Q74" i="3"/>
  <c r="S16" i="3"/>
  <c r="N28" i="3"/>
  <c r="Q55" i="3"/>
  <c r="R72" i="3"/>
  <c r="V74" i="3"/>
  <c r="K76" i="3"/>
  <c r="M78" i="3"/>
  <c r="K10" i="3"/>
  <c r="T16" i="3"/>
  <c r="O28" i="3"/>
  <c r="R55" i="3"/>
  <c r="L57" i="3"/>
  <c r="R68" i="3"/>
  <c r="S72" i="3"/>
  <c r="L76" i="3"/>
  <c r="P78" i="3"/>
  <c r="O80" i="3"/>
  <c r="O82" i="3"/>
  <c r="V19" i="3"/>
  <c r="U26" i="3"/>
  <c r="O30" i="3"/>
  <c r="K35" i="3"/>
  <c r="L40" i="3"/>
  <c r="L44" i="3"/>
  <c r="V55" i="3"/>
  <c r="T70" i="3"/>
  <c r="S76" i="3"/>
  <c r="R80" i="3"/>
  <c r="R82" i="3"/>
  <c r="V26" i="3"/>
  <c r="T28" i="3"/>
  <c r="P30" i="3"/>
  <c r="M40" i="3"/>
  <c r="N44" i="3"/>
  <c r="K66" i="3"/>
  <c r="T76" i="3"/>
  <c r="S80" i="3"/>
  <c r="K84" i="3"/>
  <c r="U28" i="3"/>
  <c r="P40" i="3"/>
  <c r="K46" i="3"/>
  <c r="U57" i="3"/>
  <c r="L64" i="3"/>
  <c r="L66" i="3"/>
  <c r="V70" i="3"/>
  <c r="U82" i="3"/>
  <c r="O24" i="3"/>
  <c r="S30" i="3"/>
  <c r="Q40" i="3"/>
  <c r="P44" i="3"/>
  <c r="M46" i="3"/>
  <c r="S64" i="3"/>
  <c r="V82" i="3"/>
  <c r="P24" i="3"/>
  <c r="K38" i="3"/>
  <c r="U42" i="3"/>
  <c r="O46" i="3"/>
  <c r="T51" i="3"/>
  <c r="T64" i="3"/>
  <c r="U84" i="3"/>
  <c r="U51" i="3"/>
  <c r="V84" i="3"/>
  <c r="M17" i="3"/>
  <c r="U24" i="3"/>
  <c r="Q33" i="3"/>
  <c r="P38" i="3"/>
  <c r="R46" i="3"/>
  <c r="V51" i="3"/>
  <c r="T53" i="3"/>
  <c r="U70" i="3"/>
  <c r="O44" i="3"/>
  <c r="U53" i="3"/>
  <c r="L84" i="3"/>
  <c r="M84" i="3"/>
  <c r="R40" i="3"/>
  <c r="T24" i="3"/>
  <c r="T40" i="3"/>
  <c r="U44" i="3"/>
  <c r="K49" i="3"/>
  <c r="V64" i="3"/>
  <c r="K15" i="3"/>
  <c r="V16" i="3"/>
  <c r="P28" i="3"/>
  <c r="V48" i="3"/>
  <c r="S55" i="3"/>
  <c r="M57" i="3"/>
  <c r="U68" i="3"/>
  <c r="N76" i="3"/>
  <c r="V78" i="3"/>
  <c r="P80" i="3"/>
  <c r="P82" i="3"/>
  <c r="S19" i="3"/>
  <c r="K26" i="3"/>
  <c r="Q28" i="3"/>
  <c r="K44" i="3"/>
  <c r="K53" i="3"/>
  <c r="U55" i="3"/>
  <c r="N57" i="3"/>
  <c r="O62" i="3"/>
  <c r="V68" i="3"/>
  <c r="O76" i="3"/>
  <c r="Q80" i="3"/>
  <c r="Q82" i="3"/>
  <c r="R28" i="3"/>
  <c r="L53" i="3"/>
  <c r="S57" i="3"/>
  <c r="M35" i="3"/>
  <c r="T57" i="3"/>
  <c r="K64" i="3"/>
  <c r="T82" i="3"/>
  <c r="R30" i="3"/>
  <c r="S42" i="3"/>
  <c r="V28" i="3"/>
  <c r="T42" i="3"/>
  <c r="M66" i="3"/>
  <c r="Q44" i="3"/>
  <c r="N66" i="3"/>
  <c r="K33" i="3"/>
  <c r="O38" i="3"/>
  <c r="V42" i="3"/>
  <c r="P46" i="3"/>
  <c r="T66" i="3"/>
  <c r="U40" i="3"/>
  <c r="V44" i="3"/>
  <c r="L49" i="3"/>
  <c r="L60" i="3"/>
  <c r="K71" i="3"/>
  <c r="M22" i="3"/>
  <c r="U18" i="3"/>
  <c r="P74" i="3"/>
  <c r="T18" i="3"/>
  <c r="S58" i="3"/>
  <c r="V39" i="3"/>
  <c r="S18" i="3"/>
  <c r="L74" i="3"/>
  <c r="V61" i="3"/>
  <c r="R58" i="3"/>
  <c r="R77" i="3"/>
  <c r="L58" i="3"/>
  <c r="T13" i="3"/>
  <c r="L12" i="3"/>
  <c r="S84" i="3"/>
  <c r="O83" i="3"/>
  <c r="K82" i="3"/>
  <c r="V76" i="3"/>
  <c r="R75" i="3"/>
  <c r="N74" i="3"/>
  <c r="K73" i="3"/>
  <c r="T68" i="3"/>
  <c r="O67" i="3"/>
  <c r="V62" i="3"/>
  <c r="N61" i="3"/>
  <c r="R56" i="3"/>
  <c r="K55" i="3"/>
  <c r="R51" i="3"/>
  <c r="K50" i="3"/>
  <c r="T46" i="3"/>
  <c r="N45" i="3"/>
  <c r="V41" i="3"/>
  <c r="O40" i="3"/>
  <c r="Q35" i="3"/>
  <c r="U30" i="3"/>
  <c r="P29" i="3"/>
  <c r="R24" i="3"/>
  <c r="K23" i="3"/>
  <c r="O19" i="3"/>
  <c r="U15" i="3"/>
  <c r="V11" i="3"/>
  <c r="M10" i="3"/>
  <c r="V85" i="3"/>
  <c r="R84" i="3"/>
  <c r="N83" i="3"/>
  <c r="U76" i="3"/>
  <c r="Q75" i="3"/>
  <c r="M74" i="3"/>
  <c r="S68" i="3"/>
  <c r="N67" i="3"/>
  <c r="U62" i="3"/>
  <c r="M61" i="3"/>
  <c r="P56" i="3"/>
  <c r="Q51" i="3"/>
  <c r="S46" i="3"/>
  <c r="M45" i="3"/>
  <c r="U41" i="3"/>
  <c r="N40" i="3"/>
  <c r="P35" i="3"/>
  <c r="T30" i="3"/>
  <c r="N29" i="3"/>
  <c r="Q24" i="3"/>
  <c r="V20" i="3"/>
  <c r="N19" i="3"/>
  <c r="R15" i="3"/>
  <c r="U11" i="3"/>
  <c r="L10" i="3"/>
  <c r="R79" i="3"/>
  <c r="O78" i="3"/>
  <c r="K77" i="3"/>
  <c r="U71" i="3"/>
  <c r="P70" i="3"/>
  <c r="K69" i="3"/>
  <c r="Q64" i="3"/>
  <c r="P58" i="3"/>
  <c r="R53" i="3"/>
  <c r="Q48" i="3"/>
  <c r="T43" i="3"/>
  <c r="M42" i="3"/>
  <c r="Q37" i="3"/>
  <c r="S32" i="3"/>
  <c r="K31" i="3"/>
  <c r="V27" i="3"/>
  <c r="O26" i="3"/>
  <c r="V22" i="3"/>
  <c r="O21" i="3"/>
  <c r="V17" i="3"/>
  <c r="M16" i="3"/>
  <c r="N16" i="3"/>
  <c r="O12" i="3"/>
  <c r="V80" i="3"/>
  <c r="Q79" i="3"/>
  <c r="N78" i="3"/>
  <c r="S71" i="3"/>
  <c r="O70" i="3"/>
  <c r="O64" i="3"/>
  <c r="V59" i="3"/>
  <c r="O58" i="3"/>
  <c r="Q53" i="3"/>
  <c r="P48" i="3"/>
  <c r="S43" i="3"/>
  <c r="L42" i="3"/>
  <c r="V38" i="3"/>
  <c r="O37" i="3"/>
  <c r="Q32" i="3"/>
  <c r="U27" i="3"/>
  <c r="N26" i="3"/>
  <c r="U22" i="3"/>
  <c r="N21" i="3"/>
  <c r="U17" i="3"/>
  <c r="L16" i="3"/>
  <c r="V13" i="3"/>
  <c r="K12" i="3"/>
  <c r="L19" i="3"/>
  <c r="N20" i="3"/>
  <c r="P21" i="3"/>
  <c r="R22" i="3"/>
  <c r="T23" i="3"/>
  <c r="V24" i="3"/>
  <c r="L35" i="3"/>
  <c r="N36" i="3"/>
  <c r="P37" i="3"/>
  <c r="R38" i="3"/>
  <c r="T39" i="3"/>
  <c r="V40" i="3"/>
  <c r="L51" i="3"/>
  <c r="N52" i="3"/>
  <c r="P53" i="3"/>
  <c r="R54" i="3"/>
  <c r="T55" i="3"/>
  <c r="V56" i="3"/>
  <c r="L13" i="3"/>
  <c r="N14" i="3"/>
  <c r="P15" i="3"/>
  <c r="R16" i="3"/>
  <c r="T17" i="3"/>
  <c r="V18" i="3"/>
  <c r="L29" i="3"/>
  <c r="N30" i="3"/>
  <c r="P31" i="3"/>
  <c r="R32" i="3"/>
  <c r="T33" i="3"/>
  <c r="V34" i="3"/>
  <c r="L45" i="3"/>
  <c r="N46" i="3"/>
  <c r="P47" i="3"/>
  <c r="R48" i="3"/>
  <c r="T49" i="3"/>
  <c r="V50" i="3"/>
  <c r="L61" i="3"/>
  <c r="N62" i="3"/>
  <c r="P63" i="3"/>
  <c r="R64" i="3"/>
  <c r="T65" i="3"/>
  <c r="V66" i="3"/>
  <c r="K11" i="3"/>
  <c r="M12" i="3"/>
  <c r="O13" i="3"/>
  <c r="Q14" i="3"/>
  <c r="S15" i="3"/>
  <c r="U16" i="3"/>
  <c r="K27" i="3"/>
  <c r="M28" i="3"/>
  <c r="O29" i="3"/>
  <c r="Q30" i="3"/>
  <c r="S31" i="3"/>
  <c r="U32" i="3"/>
  <c r="K43" i="3"/>
  <c r="M44" i="3"/>
  <c r="O45" i="3"/>
  <c r="Q46" i="3"/>
  <c r="S47" i="3"/>
  <c r="U48" i="3"/>
  <c r="K59" i="3"/>
  <c r="M60" i="3"/>
  <c r="O61" i="3"/>
  <c r="Q62" i="3"/>
  <c r="S63" i="3"/>
  <c r="U64" i="3"/>
  <c r="K75" i="3"/>
  <c r="M76" i="3"/>
  <c r="O77" i="3"/>
  <c r="Q78" i="3"/>
  <c r="S79" i="3"/>
  <c r="U80" i="3"/>
  <c r="L11" i="3"/>
  <c r="N12" i="3"/>
  <c r="P13" i="3"/>
  <c r="R14" i="3"/>
  <c r="T15" i="3"/>
  <c r="K13" i="3"/>
  <c r="S14" i="3"/>
  <c r="O20" i="3"/>
  <c r="T21" i="3"/>
  <c r="O27" i="3"/>
  <c r="S28" i="3"/>
  <c r="M34" i="3"/>
  <c r="R35" i="3"/>
  <c r="N41" i="3"/>
  <c r="R42" i="3"/>
  <c r="L48" i="3"/>
  <c r="Q49" i="3"/>
  <c r="U50" i="3"/>
  <c r="M55" i="3"/>
  <c r="Q56" i="3"/>
  <c r="V57" i="3"/>
  <c r="L63" i="3"/>
  <c r="P64" i="3"/>
  <c r="U65" i="3"/>
  <c r="M72" i="3"/>
  <c r="M11" i="3"/>
  <c r="R12" i="3"/>
  <c r="K17" i="3"/>
  <c r="O18" i="3"/>
  <c r="T19" i="3"/>
  <c r="K24" i="3"/>
  <c r="P25" i="3"/>
  <c r="T26" i="3"/>
  <c r="N32" i="3"/>
  <c r="S33" i="3"/>
  <c r="O39" i="3"/>
  <c r="S40" i="3"/>
  <c r="L46" i="3"/>
  <c r="R47" i="3"/>
  <c r="M53" i="3"/>
  <c r="S54" i="3"/>
  <c r="K60" i="3"/>
  <c r="P61" i="3"/>
  <c r="T62" i="3"/>
  <c r="N69" i="3"/>
  <c r="Q70" i="3"/>
  <c r="T71" i="3"/>
  <c r="M80" i="3"/>
  <c r="P81" i="3"/>
  <c r="S82" i="3"/>
  <c r="V83" i="3"/>
  <c r="N11" i="3"/>
  <c r="S12" i="3"/>
  <c r="L17" i="3"/>
  <c r="P18" i="3"/>
  <c r="U19" i="3"/>
  <c r="L24" i="3"/>
  <c r="P32" i="3"/>
  <c r="T27" i="3"/>
  <c r="M26" i="3"/>
  <c r="T22" i="3"/>
  <c r="M21" i="3"/>
  <c r="S17" i="3"/>
  <c r="K16" i="3"/>
  <c r="U13" i="3"/>
  <c r="V33" i="3"/>
  <c r="O32" i="3"/>
  <c r="S27" i="3"/>
  <c r="L26" i="3"/>
  <c r="S22" i="3"/>
  <c r="L21" i="3"/>
  <c r="R17" i="3"/>
  <c r="Q31" i="3"/>
  <c r="Z28" i="32"/>
  <c r="AC35" i="32"/>
  <c r="AB49" i="32"/>
  <c r="Z21" i="32"/>
  <c r="AD32" i="32"/>
  <c r="Z80" i="32"/>
  <c r="W18" i="32"/>
  <c r="AD18" i="32"/>
  <c r="Y49" i="32"/>
  <c r="AC57" i="32"/>
  <c r="X58" i="32"/>
  <c r="W62" i="32"/>
  <c r="AC49" i="32"/>
  <c r="AA28" i="32"/>
  <c r="X21" i="32"/>
  <c r="O62" i="30"/>
  <c r="M52" i="30"/>
  <c r="V39" i="30"/>
  <c r="V68" i="30"/>
  <c r="Q10" i="30"/>
  <c r="M65" i="30"/>
  <c r="T67" i="30"/>
  <c r="X38" i="32"/>
  <c r="AA73" i="32"/>
  <c r="AC67" i="32"/>
  <c r="AE63" i="32"/>
  <c r="Z20" i="32"/>
  <c r="AC58" i="32"/>
  <c r="W29" i="32"/>
  <c r="AA29" i="32"/>
  <c r="AC73" i="32"/>
  <c r="W55" i="32"/>
  <c r="Y65" i="32"/>
  <c r="W58" i="32"/>
  <c r="Z38" i="32"/>
  <c r="W75" i="32"/>
  <c r="X67" i="32"/>
  <c r="AB26" i="32"/>
  <c r="AE20" i="32"/>
  <c r="X55" i="32"/>
  <c r="AE75" i="32"/>
  <c r="AA32" i="32"/>
  <c r="AB63" i="32"/>
  <c r="AD67" i="32"/>
  <c r="Y41" i="32"/>
  <c r="AA21" i="32"/>
  <c r="AB29" i="32"/>
  <c r="AA35" i="32"/>
  <c r="AA57" i="32"/>
  <c r="Z18" i="32"/>
  <c r="W28" i="32"/>
  <c r="X65" i="32"/>
  <c r="AC21" i="32"/>
  <c r="X28" i="32"/>
  <c r="AE28" i="32"/>
  <c r="Y17" i="32"/>
  <c r="Y28" i="32"/>
  <c r="AC26" i="32"/>
  <c r="AE21" i="32"/>
  <c r="W67" i="32"/>
  <c r="X32" i="32"/>
  <c r="W49" i="32"/>
  <c r="AE32" i="32"/>
  <c r="X80" i="32"/>
  <c r="AC63" i="32"/>
  <c r="AA38" i="32"/>
  <c r="AB67" i="32"/>
  <c r="W80" i="32"/>
  <c r="Y81" i="32"/>
  <c r="W35" i="32"/>
  <c r="Y18" i="32"/>
  <c r="AD75" i="32"/>
  <c r="AE49" i="32"/>
  <c r="AA41" i="32"/>
  <c r="W15" i="32"/>
  <c r="AC15" i="32"/>
  <c r="AE15" i="32"/>
  <c r="AB15" i="32"/>
  <c r="AD15" i="32"/>
  <c r="X15" i="32"/>
  <c r="Y15" i="32"/>
  <c r="Z15" i="32"/>
  <c r="AA15" i="32"/>
  <c r="Y63" i="32"/>
  <c r="AE58" i="32"/>
  <c r="AD35" i="32"/>
  <c r="X18" i="32"/>
  <c r="AC75" i="32"/>
  <c r="AD49" i="32"/>
  <c r="AE43" i="32"/>
  <c r="AD43" i="32"/>
  <c r="W43" i="32"/>
  <c r="X43" i="32"/>
  <c r="Y43" i="32"/>
  <c r="Z43" i="32"/>
  <c r="AA43" i="32"/>
  <c r="AB43" i="32"/>
  <c r="AC43" i="32"/>
  <c r="AA82" i="32"/>
  <c r="AB82" i="32"/>
  <c r="Y82" i="32"/>
  <c r="AE82" i="32"/>
  <c r="W82" i="32"/>
  <c r="X82" i="32"/>
  <c r="AD82" i="32"/>
  <c r="AC82" i="32"/>
  <c r="Z82" i="32"/>
  <c r="Y56" i="32"/>
  <c r="AB56" i="32"/>
  <c r="W56" i="32"/>
  <c r="X56" i="32"/>
  <c r="Z56" i="32"/>
  <c r="AA56" i="32"/>
  <c r="AC56" i="32"/>
  <c r="AD56" i="32"/>
  <c r="AE56" i="32"/>
  <c r="X63" i="32"/>
  <c r="AD58" i="32"/>
  <c r="W63" i="32"/>
  <c r="AD63" i="32"/>
  <c r="AA63" i="32"/>
  <c r="Z63" i="32"/>
  <c r="AD28" i="32"/>
  <c r="AB21" i="32"/>
  <c r="Z65" i="32"/>
  <c r="Y67" i="32"/>
  <c r="AB62" i="32"/>
  <c r="AE68" i="32"/>
  <c r="W68" i="32"/>
  <c r="X68" i="32"/>
  <c r="Y68" i="32"/>
  <c r="Z68" i="32"/>
  <c r="AC68" i="32"/>
  <c r="AA68" i="32"/>
  <c r="AD68" i="32"/>
  <c r="AB68" i="32"/>
  <c r="AC38" i="32"/>
  <c r="Y29" i="32"/>
  <c r="AD21" i="32"/>
  <c r="AE73" i="32"/>
  <c r="AA62" i="32"/>
  <c r="W39" i="32"/>
  <c r="X39" i="32"/>
  <c r="AE39" i="32"/>
  <c r="AB39" i="32"/>
  <c r="AC39" i="32"/>
  <c r="Y39" i="32"/>
  <c r="Z39" i="32"/>
  <c r="AA39" i="32"/>
  <c r="AD39" i="32"/>
  <c r="AC28" i="32"/>
  <c r="AB38" i="32"/>
  <c r="W71" i="32"/>
  <c r="AD71" i="32"/>
  <c r="AE71" i="32"/>
  <c r="X71" i="32"/>
  <c r="Y71" i="32"/>
  <c r="Z71" i="32"/>
  <c r="AA71" i="32"/>
  <c r="AB71" i="32"/>
  <c r="AC71" i="32"/>
  <c r="AB65" i="32"/>
  <c r="Y33" i="32"/>
  <c r="Z33" i="32"/>
  <c r="AE33" i="32"/>
  <c r="AB33" i="32"/>
  <c r="W33" i="32"/>
  <c r="X33" i="32"/>
  <c r="AA33" i="32"/>
  <c r="AC33" i="32"/>
  <c r="AD33" i="32"/>
  <c r="Z69" i="32"/>
  <c r="AA69" i="32"/>
  <c r="AD69" i="32"/>
  <c r="AE69" i="32"/>
  <c r="AB69" i="32"/>
  <c r="AC69" i="32"/>
  <c r="W69" i="32"/>
  <c r="X69" i="32"/>
  <c r="Y69" i="32"/>
  <c r="AE52" i="32"/>
  <c r="AA52" i="32"/>
  <c r="AD52" i="32"/>
  <c r="AB52" i="32"/>
  <c r="W52" i="32"/>
  <c r="X52" i="32"/>
  <c r="Z52" i="32"/>
  <c r="AC52" i="32"/>
  <c r="Y52" i="32"/>
  <c r="AC18" i="32"/>
  <c r="AA65" i="32"/>
  <c r="Z49" i="32"/>
  <c r="AE62" i="32"/>
  <c r="W22" i="32"/>
  <c r="X22" i="32"/>
  <c r="AC22" i="32"/>
  <c r="Y22" i="32"/>
  <c r="Z22" i="32"/>
  <c r="AA22" i="32"/>
  <c r="AB22" i="32"/>
  <c r="AD22" i="32"/>
  <c r="AE22" i="32"/>
  <c r="W47" i="32"/>
  <c r="X47" i="32"/>
  <c r="Y47" i="32"/>
  <c r="AC47" i="32"/>
  <c r="AD47" i="32"/>
  <c r="AE47" i="32"/>
  <c r="Z47" i="32"/>
  <c r="AA47" i="32"/>
  <c r="AB47" i="32"/>
  <c r="AA45" i="32"/>
  <c r="AC45" i="32"/>
  <c r="AD45" i="32"/>
  <c r="AE45" i="32"/>
  <c r="X45" i="32"/>
  <c r="W45" i="32"/>
  <c r="Y45" i="32"/>
  <c r="Z45" i="32"/>
  <c r="AB45" i="32"/>
  <c r="Y21" i="32"/>
  <c r="AB18" i="32"/>
  <c r="W65" i="32"/>
  <c r="AD62" i="32"/>
  <c r="W23" i="32"/>
  <c r="X23" i="32"/>
  <c r="Y23" i="32"/>
  <c r="AB23" i="32"/>
  <c r="AD23" i="32"/>
  <c r="AC23" i="32"/>
  <c r="Z23" i="32"/>
  <c r="AA23" i="32"/>
  <c r="AE23" i="32"/>
  <c r="W38" i="32"/>
  <c r="AA18" i="32"/>
  <c r="AE65" i="32"/>
  <c r="AE67" i="32"/>
  <c r="Z62" i="32"/>
  <c r="AE85" i="32"/>
  <c r="AC85" i="32"/>
  <c r="W85" i="32"/>
  <c r="X85" i="32"/>
  <c r="Y85" i="32"/>
  <c r="AD85" i="32"/>
  <c r="AA85" i="32"/>
  <c r="AB85" i="32"/>
  <c r="Z85" i="32"/>
  <c r="Y40" i="32"/>
  <c r="W40" i="32"/>
  <c r="X40" i="32"/>
  <c r="Z40" i="32"/>
  <c r="AA40" i="32"/>
  <c r="AB40" i="32"/>
  <c r="AC40" i="32"/>
  <c r="AD40" i="32"/>
  <c r="AE40" i="32"/>
  <c r="Y38" i="32"/>
  <c r="W21" i="32"/>
  <c r="X73" i="32"/>
  <c r="AD65" i="32"/>
  <c r="Y62" i="32"/>
  <c r="AE27" i="32"/>
  <c r="AD27" i="32"/>
  <c r="W27" i="32"/>
  <c r="X27" i="32"/>
  <c r="Y27" i="32"/>
  <c r="Z27" i="32"/>
  <c r="AA27" i="32"/>
  <c r="AB27" i="32"/>
  <c r="AC27" i="32"/>
  <c r="AE38" i="32"/>
  <c r="AE29" i="32"/>
  <c r="AB73" i="32"/>
  <c r="AC65" i="32"/>
  <c r="AA67" i="32"/>
  <c r="X62" i="32"/>
  <c r="X44" i="32"/>
  <c r="Y44" i="32"/>
  <c r="Z44" i="32"/>
  <c r="AB44" i="32"/>
  <c r="AC44" i="32"/>
  <c r="AD44" i="32"/>
  <c r="AE44" i="32"/>
  <c r="W44" i="32"/>
  <c r="AA44" i="32"/>
  <c r="AD29" i="32"/>
  <c r="Z73" i="32"/>
  <c r="Z67" i="32"/>
  <c r="AC62" i="32"/>
  <c r="AC19" i="32"/>
  <c r="AD19" i="32"/>
  <c r="W19" i="32"/>
  <c r="X19" i="32"/>
  <c r="Y19" i="32"/>
  <c r="AB19" i="32"/>
  <c r="AE19" i="32"/>
  <c r="AA19" i="32"/>
  <c r="Z19" i="32"/>
  <c r="AD38" i="32"/>
  <c r="Z29" i="32"/>
  <c r="W73" i="32"/>
  <c r="AB28" i="32"/>
  <c r="AC29" i="32"/>
  <c r="AD73" i="32"/>
  <c r="X61" i="32"/>
  <c r="W61" i="32"/>
  <c r="AC61" i="32"/>
  <c r="AD61" i="32"/>
  <c r="AE61" i="32"/>
  <c r="AA61" i="32"/>
  <c r="AB61" i="32"/>
  <c r="Y61" i="32"/>
  <c r="Z61" i="32"/>
  <c r="W79" i="32"/>
  <c r="Z79" i="32"/>
  <c r="X79" i="32"/>
  <c r="Y79" i="32"/>
  <c r="AA79" i="32"/>
  <c r="AB79" i="32"/>
  <c r="AC79" i="32"/>
  <c r="AD79" i="32"/>
  <c r="AE79" i="32"/>
  <c r="AE59" i="32"/>
  <c r="Z59" i="32"/>
  <c r="AC59" i="32"/>
  <c r="AA59" i="32"/>
  <c r="W59" i="32"/>
  <c r="X59" i="32"/>
  <c r="Y59" i="32"/>
  <c r="AB59" i="32"/>
  <c r="AD59" i="32"/>
  <c r="X26" i="32"/>
  <c r="AA20" i="32"/>
  <c r="Z78" i="32"/>
  <c r="AB78" i="32"/>
  <c r="AC78" i="32"/>
  <c r="AD78" i="32"/>
  <c r="AE78" i="32"/>
  <c r="X78" i="32"/>
  <c r="Y78" i="32"/>
  <c r="W78" i="32"/>
  <c r="AA78" i="32"/>
  <c r="AB81" i="32"/>
  <c r="X57" i="32"/>
  <c r="AD17" i="32"/>
  <c r="AE11" i="32"/>
  <c r="Z11" i="32"/>
  <c r="AA11" i="32"/>
  <c r="AB11" i="32"/>
  <c r="AD11" i="32"/>
  <c r="W11" i="32"/>
  <c r="X11" i="32"/>
  <c r="Y11" i="32"/>
  <c r="AC11" i="32"/>
  <c r="AD26" i="32"/>
  <c r="Y20" i="32"/>
  <c r="AE41" i="32"/>
  <c r="AA50" i="32"/>
  <c r="AB50" i="32"/>
  <c r="W50" i="32"/>
  <c r="X50" i="32"/>
  <c r="Y50" i="32"/>
  <c r="Z50" i="32"/>
  <c r="AC50" i="32"/>
  <c r="AD50" i="32"/>
  <c r="AE50" i="32"/>
  <c r="AC13" i="32"/>
  <c r="AD13" i="32"/>
  <c r="W13" i="32"/>
  <c r="X13" i="32"/>
  <c r="Y13" i="32"/>
  <c r="Z13" i="32"/>
  <c r="AA13" i="32"/>
  <c r="AB13" i="32"/>
  <c r="AE13" i="32"/>
  <c r="Y24" i="32"/>
  <c r="Z24" i="32"/>
  <c r="AD24" i="32"/>
  <c r="AE24" i="32"/>
  <c r="W24" i="32"/>
  <c r="X24" i="32"/>
  <c r="AA24" i="32"/>
  <c r="AB24" i="32"/>
  <c r="AC24" i="32"/>
  <c r="AA34" i="32"/>
  <c r="AB34" i="32"/>
  <c r="W34" i="32"/>
  <c r="X34" i="32"/>
  <c r="Y34" i="32"/>
  <c r="AC34" i="32"/>
  <c r="AD34" i="32"/>
  <c r="AE34" i="32"/>
  <c r="Z34" i="32"/>
  <c r="AA81" i="32"/>
  <c r="W57" i="32"/>
  <c r="AE17" i="32"/>
  <c r="AC83" i="32"/>
  <c r="AD83" i="32"/>
  <c r="Z83" i="32"/>
  <c r="AA83" i="32"/>
  <c r="W83" i="32"/>
  <c r="X83" i="32"/>
  <c r="Y83" i="32"/>
  <c r="AE83" i="32"/>
  <c r="AB83" i="32"/>
  <c r="X29" i="32"/>
  <c r="AE26" i="32"/>
  <c r="AD20" i="32"/>
  <c r="AE60" i="32"/>
  <c r="W60" i="32"/>
  <c r="X60" i="32"/>
  <c r="Y60" i="32"/>
  <c r="Z60" i="32"/>
  <c r="AA60" i="32"/>
  <c r="AB60" i="32"/>
  <c r="AC60" i="32"/>
  <c r="AD60" i="32"/>
  <c r="AB57" i="32"/>
  <c r="AC10" i="32"/>
  <c r="AD10" i="32"/>
  <c r="AB10" i="32"/>
  <c r="W10" i="32"/>
  <c r="Z10" i="32"/>
  <c r="AA10" i="32"/>
  <c r="AE10" i="32"/>
  <c r="X10" i="32"/>
  <c r="Y10" i="32"/>
  <c r="AD41" i="32"/>
  <c r="X81" i="32"/>
  <c r="AE57" i="32"/>
  <c r="W17" i="32"/>
  <c r="W12" i="32"/>
  <c r="Z12" i="32"/>
  <c r="AA12" i="32"/>
  <c r="AB12" i="32"/>
  <c r="Y12" i="32"/>
  <c r="AD12" i="32"/>
  <c r="AE12" i="32"/>
  <c r="X12" i="32"/>
  <c r="AC12" i="32"/>
  <c r="AE55" i="32"/>
  <c r="Z32" i="32"/>
  <c r="Z55" i="32"/>
  <c r="AC74" i="32"/>
  <c r="AE74" i="32"/>
  <c r="W74" i="32"/>
  <c r="X74" i="32"/>
  <c r="Y74" i="32"/>
  <c r="Z74" i="32"/>
  <c r="AA74" i="32"/>
  <c r="AB74" i="32"/>
  <c r="AD74" i="32"/>
  <c r="W20" i="32"/>
  <c r="Y55" i="32"/>
  <c r="Y57" i="32"/>
  <c r="AC55" i="32"/>
  <c r="Y32" i="32"/>
  <c r="AD80" i="32"/>
  <c r="W48" i="32"/>
  <c r="X48" i="32"/>
  <c r="AA48" i="32"/>
  <c r="AB48" i="32"/>
  <c r="AC48" i="32"/>
  <c r="AE48" i="32"/>
  <c r="Y48" i="32"/>
  <c r="Z48" i="32"/>
  <c r="AD48" i="32"/>
  <c r="X14" i="32"/>
  <c r="Y14" i="32"/>
  <c r="Z14" i="32"/>
  <c r="W14" i="32"/>
  <c r="AA14" i="32"/>
  <c r="AB14" i="32"/>
  <c r="AC14" i="32"/>
  <c r="AD14" i="32"/>
  <c r="AE14" i="32"/>
  <c r="AA26" i="32"/>
  <c r="AC20" i="32"/>
  <c r="AA80" i="32"/>
  <c r="AB20" i="32"/>
  <c r="AA25" i="32"/>
  <c r="AB25" i="32"/>
  <c r="W25" i="32"/>
  <c r="X25" i="32"/>
  <c r="Y25" i="32"/>
  <c r="Z25" i="32"/>
  <c r="AC25" i="32"/>
  <c r="AD25" i="32"/>
  <c r="AE25" i="32"/>
  <c r="Z35" i="32"/>
  <c r="AA75" i="32"/>
  <c r="AC41" i="32"/>
  <c r="Z76" i="32"/>
  <c r="AA76" i="32"/>
  <c r="W76" i="32"/>
  <c r="X76" i="32"/>
  <c r="AB76" i="32"/>
  <c r="AE76" i="32"/>
  <c r="Y76" i="32"/>
  <c r="AC76" i="32"/>
  <c r="AD76" i="32"/>
  <c r="AC30" i="32"/>
  <c r="AD30" i="32"/>
  <c r="Y30" i="32"/>
  <c r="AB30" i="32"/>
  <c r="AE30" i="32"/>
  <c r="W30" i="32"/>
  <c r="X30" i="32"/>
  <c r="Z30" i="32"/>
  <c r="AA30" i="32"/>
  <c r="W81" i="32"/>
  <c r="AC17" i="32"/>
  <c r="Y73" i="32"/>
  <c r="AB32" i="32"/>
  <c r="X20" i="32"/>
  <c r="AB80" i="32"/>
  <c r="W37" i="32"/>
  <c r="X37" i="32"/>
  <c r="Y37" i="32"/>
  <c r="Z37" i="32"/>
  <c r="AA37" i="32"/>
  <c r="AB37" i="32"/>
  <c r="AC37" i="32"/>
  <c r="AD37" i="32"/>
  <c r="AE37" i="32"/>
  <c r="AC51" i="32"/>
  <c r="AD51" i="32"/>
  <c r="Y51" i="32"/>
  <c r="AA51" i="32"/>
  <c r="AB51" i="32"/>
  <c r="AE51" i="32"/>
  <c r="W51" i="32"/>
  <c r="X51" i="32"/>
  <c r="Z51" i="32"/>
  <c r="W32" i="32"/>
  <c r="Y35" i="32"/>
  <c r="Z75" i="32"/>
  <c r="X41" i="32"/>
  <c r="AE53" i="32"/>
  <c r="AC53" i="32"/>
  <c r="AD53" i="32"/>
  <c r="W53" i="32"/>
  <c r="X53" i="32"/>
  <c r="Y53" i="32"/>
  <c r="Z53" i="32"/>
  <c r="AA53" i="32"/>
  <c r="AB53" i="32"/>
  <c r="AE81" i="32"/>
  <c r="AB58" i="32"/>
  <c r="AB17" i="32"/>
  <c r="AA70" i="32"/>
  <c r="AE70" i="32"/>
  <c r="X70" i="32"/>
  <c r="W70" i="32"/>
  <c r="AD70" i="32"/>
  <c r="Y70" i="32"/>
  <c r="Z70" i="32"/>
  <c r="AC70" i="32"/>
  <c r="AB70" i="32"/>
  <c r="Z57" i="32"/>
  <c r="X35" i="32"/>
  <c r="Y75" i="32"/>
  <c r="W41" i="32"/>
  <c r="W54" i="32"/>
  <c r="X54" i="32"/>
  <c r="AC54" i="32"/>
  <c r="AD54" i="32"/>
  <c r="AE54" i="32"/>
  <c r="AB54" i="32"/>
  <c r="Y54" i="32"/>
  <c r="Z54" i="32"/>
  <c r="AA54" i="32"/>
  <c r="AA66" i="32"/>
  <c r="AB66" i="32"/>
  <c r="Z66" i="32"/>
  <c r="AE66" i="32"/>
  <c r="Y66" i="32"/>
  <c r="AC66" i="32"/>
  <c r="AD66" i="32"/>
  <c r="W66" i="32"/>
  <c r="X66" i="32"/>
  <c r="AD81" i="32"/>
  <c r="AA58" i="32"/>
  <c r="X17" i="32"/>
  <c r="AE84" i="32"/>
  <c r="AA84" i="32"/>
  <c r="X84" i="32"/>
  <c r="Y84" i="32"/>
  <c r="AB84" i="32"/>
  <c r="AC84" i="32"/>
  <c r="AD84" i="32"/>
  <c r="W84" i="32"/>
  <c r="Z84" i="32"/>
  <c r="AC32" i="32"/>
  <c r="AC80" i="32"/>
  <c r="AC42" i="32"/>
  <c r="Z42" i="32"/>
  <c r="AE42" i="32"/>
  <c r="AA42" i="32"/>
  <c r="W42" i="32"/>
  <c r="X42" i="32"/>
  <c r="Y42" i="32"/>
  <c r="AB42" i="32"/>
  <c r="AD42" i="32"/>
  <c r="Y80" i="32"/>
  <c r="W16" i="32"/>
  <c r="Y16" i="32"/>
  <c r="X16" i="32"/>
  <c r="AE16" i="32"/>
  <c r="Z16" i="32"/>
  <c r="AA16" i="32"/>
  <c r="AB16" i="32"/>
  <c r="AC16" i="32"/>
  <c r="AD16" i="32"/>
  <c r="AD57" i="32"/>
  <c r="Z26" i="32"/>
  <c r="AE35" i="32"/>
  <c r="X75" i="32"/>
  <c r="AA49" i="32"/>
  <c r="AB41" i="32"/>
  <c r="W64" i="32"/>
  <c r="X64" i="32"/>
  <c r="Y64" i="32"/>
  <c r="Z64" i="32"/>
  <c r="AA64" i="32"/>
  <c r="AB64" i="32"/>
  <c r="AC64" i="32"/>
  <c r="AD64" i="32"/>
  <c r="AE64" i="32"/>
  <c r="AC81" i="32"/>
  <c r="Z58" i="32"/>
  <c r="Z17" i="32"/>
  <c r="AD55" i="32"/>
  <c r="Y26" i="32"/>
  <c r="W31" i="32"/>
  <c r="X31" i="32"/>
  <c r="Y31" i="32"/>
  <c r="AE31" i="32"/>
  <c r="Z31" i="32"/>
  <c r="AA31" i="32"/>
  <c r="AB31" i="32"/>
  <c r="AC31" i="32"/>
  <c r="AD31" i="32"/>
  <c r="AA77" i="32"/>
  <c r="AE77" i="32"/>
  <c r="AD77" i="32"/>
  <c r="W77" i="32"/>
  <c r="X77" i="32"/>
  <c r="Y77" i="32"/>
  <c r="Z77" i="32"/>
  <c r="AB77" i="32"/>
  <c r="AC77" i="32"/>
  <c r="W26" i="32"/>
  <c r="AE36" i="32"/>
  <c r="AC36" i="32"/>
  <c r="W36" i="32"/>
  <c r="AB36" i="32"/>
  <c r="X36" i="32"/>
  <c r="Y36" i="32"/>
  <c r="Z36" i="32"/>
  <c r="AD36" i="32"/>
  <c r="AA36" i="32"/>
  <c r="AB55" i="32"/>
  <c r="AA55" i="32"/>
  <c r="AB35" i="32"/>
  <c r="AE18" i="32"/>
  <c r="AB75" i="32"/>
  <c r="X49" i="32"/>
  <c r="Z41" i="32"/>
  <c r="Z81" i="32"/>
  <c r="Y58" i="32"/>
  <c r="AA17" i="32"/>
  <c r="Y46" i="32"/>
  <c r="Z46" i="32"/>
  <c r="W46" i="32"/>
  <c r="X46" i="32"/>
  <c r="AA46" i="32"/>
  <c r="AB46" i="32"/>
  <c r="AC46" i="32"/>
  <c r="AD46" i="32"/>
  <c r="AE46" i="32"/>
  <c r="Y72" i="32"/>
  <c r="Z72" i="32"/>
  <c r="W72" i="32"/>
  <c r="AE72" i="32"/>
  <c r="AB72" i="32"/>
  <c r="AC72" i="32"/>
  <c r="AD72" i="32"/>
  <c r="X72" i="32"/>
  <c r="AA72" i="32"/>
  <c r="U53" i="30"/>
  <c r="V52" i="30"/>
  <c r="O50" i="30"/>
  <c r="V23" i="30"/>
  <c r="L36" i="30"/>
  <c r="R50" i="30"/>
  <c r="K48" i="30"/>
  <c r="T22" i="30"/>
  <c r="O41" i="30"/>
  <c r="R77" i="30"/>
  <c r="N48" i="30"/>
  <c r="U37" i="30"/>
  <c r="P20" i="30"/>
  <c r="U48" i="30"/>
  <c r="P76" i="30"/>
  <c r="V36" i="30"/>
  <c r="Q35" i="30"/>
  <c r="N19" i="30"/>
  <c r="O58" i="30"/>
  <c r="N75" i="30"/>
  <c r="M80" i="30"/>
  <c r="U21" i="30"/>
  <c r="Q85" i="30"/>
  <c r="S65" i="30"/>
  <c r="L74" i="30"/>
  <c r="K79" i="30"/>
  <c r="L65" i="30"/>
  <c r="M83" i="30"/>
  <c r="V63" i="30"/>
  <c r="U68" i="30"/>
  <c r="V54" i="30"/>
  <c r="U71" i="30"/>
  <c r="T62" i="30"/>
  <c r="S67" i="30"/>
  <c r="T53" i="30"/>
  <c r="M35" i="30"/>
  <c r="R61" i="30"/>
  <c r="Q66" i="30"/>
  <c r="R52" i="30"/>
  <c r="K34" i="30"/>
  <c r="P65" i="30"/>
  <c r="L34" i="30"/>
  <c r="U23" i="30"/>
  <c r="Q21" i="30"/>
  <c r="Q50" i="30"/>
  <c r="V69" i="30"/>
  <c r="N20" i="30"/>
  <c r="U38" i="30"/>
  <c r="P66" i="30"/>
  <c r="U63" i="30"/>
  <c r="N65" i="30"/>
  <c r="Q36" i="30"/>
  <c r="M84" i="30"/>
  <c r="R37" i="30"/>
  <c r="L63" i="30"/>
  <c r="P60" i="30"/>
  <c r="R45" i="30"/>
  <c r="M48" i="30"/>
  <c r="L67" i="30"/>
  <c r="O76" i="30"/>
  <c r="R67" i="30"/>
  <c r="S62" i="30"/>
  <c r="L64" i="30"/>
  <c r="O35" i="30"/>
  <c r="K83" i="30"/>
  <c r="U19" i="30"/>
  <c r="L58" i="30"/>
  <c r="L49" i="30"/>
  <c r="T71" i="30"/>
  <c r="U79" i="30"/>
  <c r="L33" i="30"/>
  <c r="S37" i="30"/>
  <c r="O60" i="30"/>
  <c r="V37" i="30"/>
  <c r="K33" i="30"/>
  <c r="U72" i="30"/>
  <c r="S52" i="30"/>
  <c r="P24" i="30"/>
  <c r="K63" i="30"/>
  <c r="U36" i="30"/>
  <c r="Q34" i="30"/>
  <c r="Q77" i="30"/>
  <c r="M75" i="30"/>
  <c r="K74" i="30"/>
  <c r="O85" i="30"/>
  <c r="M59" i="30"/>
  <c r="R35" i="30"/>
  <c r="U22" i="30"/>
  <c r="S71" i="30"/>
  <c r="M13" i="30"/>
  <c r="Q51" i="30"/>
  <c r="M64" i="30"/>
  <c r="V47" i="30"/>
  <c r="L83" i="30"/>
  <c r="R36" i="30"/>
  <c r="U47" i="30"/>
  <c r="N33" i="30"/>
  <c r="Q20" i="30"/>
  <c r="O69" i="30"/>
  <c r="T38" i="30"/>
  <c r="O16" i="30"/>
  <c r="N50" i="30"/>
  <c r="V38" i="30"/>
  <c r="P35" i="30"/>
  <c r="S78" i="30"/>
  <c r="T21" i="30"/>
  <c r="K49" i="30"/>
  <c r="Q45" i="30"/>
  <c r="Q67" i="30"/>
  <c r="M18" i="30"/>
  <c r="M68" i="30"/>
  <c r="K64" i="30"/>
  <c r="R66" i="30"/>
  <c r="P36" i="30"/>
  <c r="P51" i="30"/>
  <c r="S22" i="30"/>
  <c r="S51" i="30"/>
  <c r="N43" i="30"/>
  <c r="P69" i="30"/>
  <c r="P21" i="30"/>
  <c r="T68" i="30"/>
  <c r="L19" i="30"/>
  <c r="M43" i="30"/>
  <c r="O66" i="30"/>
  <c r="R85" i="30"/>
  <c r="Q54" i="30"/>
  <c r="P11" i="30"/>
  <c r="V31" i="30"/>
  <c r="O65" i="30"/>
  <c r="M33" i="30"/>
  <c r="N35" i="30"/>
  <c r="U56" i="30"/>
  <c r="R82" i="30"/>
  <c r="V53" i="30"/>
  <c r="P19" i="30"/>
  <c r="O20" i="30"/>
  <c r="P81" i="30"/>
  <c r="T52" i="30"/>
  <c r="Q52" i="30"/>
  <c r="M19" i="30"/>
  <c r="N80" i="30"/>
  <c r="P50" i="30"/>
  <c r="O51" i="30"/>
  <c r="K18" i="30"/>
  <c r="L79" i="30"/>
  <c r="N49" i="30"/>
  <c r="M50" i="30"/>
  <c r="N84" i="30"/>
  <c r="V79" i="30"/>
  <c r="Q12" i="30"/>
  <c r="V84" i="30"/>
  <c r="Q82" i="30"/>
  <c r="N81" i="30"/>
  <c r="U69" i="30"/>
  <c r="P67" i="30"/>
  <c r="U54" i="30"/>
  <c r="N51" i="30"/>
  <c r="Q37" i="30"/>
  <c r="T23" i="30"/>
  <c r="T78" i="30"/>
  <c r="M10" i="30"/>
  <c r="T83" i="30"/>
  <c r="O81" i="30"/>
  <c r="L80" i="30"/>
  <c r="S68" i="30"/>
  <c r="N66" i="30"/>
  <c r="S53" i="30"/>
  <c r="L50" i="30"/>
  <c r="O36" i="30"/>
  <c r="R22" i="30"/>
  <c r="N59" i="30"/>
  <c r="Q61" i="30"/>
  <c r="N64" i="30"/>
  <c r="U52" i="30"/>
  <c r="R51" i="30"/>
  <c r="M49" i="30"/>
  <c r="T37" i="30"/>
  <c r="M34" i="30"/>
  <c r="R21" i="30"/>
  <c r="P85" i="30"/>
  <c r="Q70" i="30"/>
  <c r="T27" i="30"/>
  <c r="K11" i="30"/>
  <c r="T46" i="30"/>
  <c r="K58" i="30"/>
  <c r="T51" i="30"/>
  <c r="O49" i="30"/>
  <c r="L48" i="30"/>
  <c r="S36" i="30"/>
  <c r="N34" i="30"/>
  <c r="S21" i="30"/>
  <c r="L18" i="30"/>
  <c r="V72" i="30"/>
  <c r="K67" i="30"/>
  <c r="Q44" i="30"/>
  <c r="P44" i="30"/>
  <c r="S46" i="30"/>
  <c r="P49" i="30"/>
  <c r="K47" i="30"/>
  <c r="T36" i="30"/>
  <c r="O34" i="30"/>
  <c r="V22" i="30"/>
  <c r="O19" i="30"/>
  <c r="O84" i="30"/>
  <c r="R70" i="30"/>
  <c r="S55" i="30"/>
  <c r="L53" i="30"/>
  <c r="L42" i="30"/>
  <c r="O44" i="30"/>
  <c r="L47" i="30"/>
  <c r="S35" i="30"/>
  <c r="P34" i="30"/>
  <c r="K32" i="30"/>
  <c r="R20" i="30"/>
  <c r="K17" i="30"/>
  <c r="K82" i="30"/>
  <c r="N68" i="30"/>
  <c r="O53" i="30"/>
  <c r="V12" i="30"/>
  <c r="P15" i="30"/>
  <c r="U18" i="30"/>
  <c r="P23" i="30"/>
  <c r="S29" i="30"/>
  <c r="P32" i="30"/>
  <c r="V35" i="30"/>
  <c r="Q40" i="30"/>
  <c r="U43" i="30"/>
  <c r="K46" i="30"/>
  <c r="P57" i="30"/>
  <c r="R60" i="30"/>
  <c r="U64" i="30"/>
  <c r="L69" i="30"/>
  <c r="O74" i="30"/>
  <c r="O78" i="30"/>
  <c r="S81" i="30"/>
  <c r="U74" i="30"/>
  <c r="O27" i="30"/>
  <c r="Q31" i="30"/>
  <c r="Q15" i="30"/>
  <c r="V18" i="30"/>
  <c r="Q23" i="30"/>
  <c r="K25" i="30"/>
  <c r="K28" i="30"/>
  <c r="T29" i="30"/>
  <c r="Q32" i="30"/>
  <c r="R40" i="30"/>
  <c r="V43" i="30"/>
  <c r="L46" i="30"/>
  <c r="Q57" i="30"/>
  <c r="S60" i="30"/>
  <c r="V64" i="30"/>
  <c r="M69" i="30"/>
  <c r="P74" i="30"/>
  <c r="P78" i="30"/>
  <c r="T81" i="30"/>
  <c r="V57" i="30"/>
  <c r="P39" i="30"/>
  <c r="S45" i="30"/>
  <c r="V51" i="30"/>
  <c r="U59" i="30"/>
  <c r="L68" i="30"/>
  <c r="T80" i="30"/>
  <c r="R15" i="30"/>
  <c r="R23" i="30"/>
  <c r="L25" i="30"/>
  <c r="L28" i="30"/>
  <c r="U29" i="30"/>
  <c r="R32" i="30"/>
  <c r="S40" i="30"/>
  <c r="M46" i="30"/>
  <c r="Q49" i="30"/>
  <c r="R57" i="30"/>
  <c r="T60" i="30"/>
  <c r="N69" i="30"/>
  <c r="Q74" i="30"/>
  <c r="K77" i="30"/>
  <c r="Q78" i="30"/>
  <c r="U81" i="30"/>
  <c r="U49" i="30"/>
  <c r="N71" i="30"/>
  <c r="O77" i="30"/>
  <c r="O22" i="30"/>
  <c r="U34" i="30"/>
  <c r="S15" i="30"/>
  <c r="M25" i="30"/>
  <c r="M28" i="30"/>
  <c r="V29" i="30"/>
  <c r="S32" i="30"/>
  <c r="T40" i="30"/>
  <c r="M42" i="30"/>
  <c r="N46" i="30"/>
  <c r="R49" i="30"/>
  <c r="K54" i="30"/>
  <c r="S57" i="30"/>
  <c r="U60" i="30"/>
  <c r="K71" i="30"/>
  <c r="R74" i="30"/>
  <c r="L77" i="30"/>
  <c r="R78" i="30"/>
  <c r="V81" i="30"/>
  <c r="N54" i="30"/>
  <c r="T15" i="30"/>
  <c r="K20" i="30"/>
  <c r="N25" i="30"/>
  <c r="N28" i="30"/>
  <c r="T32" i="30"/>
  <c r="K37" i="30"/>
  <c r="N42" i="30"/>
  <c r="O46" i="30"/>
  <c r="S49" i="30"/>
  <c r="L54" i="30"/>
  <c r="T57" i="30"/>
  <c r="V60" i="30"/>
  <c r="M63" i="30"/>
  <c r="L71" i="30"/>
  <c r="S74" i="30"/>
  <c r="M77" i="30"/>
  <c r="U78" i="30"/>
  <c r="P25" i="30"/>
  <c r="R28" i="30"/>
  <c r="V32" i="30"/>
  <c r="M37" i="30"/>
  <c r="P42" i="30"/>
  <c r="Q46" i="30"/>
  <c r="L59" i="30"/>
  <c r="O63" i="30"/>
  <c r="S66" i="30"/>
  <c r="K24" i="30"/>
  <c r="P48" i="30"/>
  <c r="Q56" i="30"/>
  <c r="Q76" i="30"/>
  <c r="L20" i="30"/>
  <c r="O25" i="30"/>
  <c r="Q28" i="30"/>
  <c r="U32" i="30"/>
  <c r="L37" i="30"/>
  <c r="O42" i="30"/>
  <c r="P46" i="30"/>
  <c r="T49" i="30"/>
  <c r="M54" i="30"/>
  <c r="U57" i="30"/>
  <c r="K59" i="30"/>
  <c r="N63" i="30"/>
  <c r="M71" i="30"/>
  <c r="T74" i="30"/>
  <c r="N77" i="30"/>
  <c r="V78" i="30"/>
  <c r="Q11" i="30"/>
  <c r="V17" i="30"/>
  <c r="R11" i="30"/>
  <c r="Q25" i="30"/>
  <c r="S28" i="30"/>
  <c r="N37" i="30"/>
  <c r="Q42" i="30"/>
  <c r="K45" i="30"/>
  <c r="R46" i="30"/>
  <c r="V49" i="30"/>
  <c r="O54" i="30"/>
  <c r="K56" i="30"/>
  <c r="O59" i="30"/>
  <c r="P63" i="30"/>
  <c r="T66" i="30"/>
  <c r="O71" i="30"/>
  <c r="V74" i="30"/>
  <c r="P77" i="30"/>
  <c r="P14" i="30"/>
  <c r="O73" i="30"/>
  <c r="S11" i="30"/>
  <c r="K14" i="30"/>
  <c r="Q17" i="30"/>
  <c r="R25" i="30"/>
  <c r="T28" i="30"/>
  <c r="K39" i="30"/>
  <c r="R42" i="30"/>
  <c r="L45" i="30"/>
  <c r="U46" i="30"/>
  <c r="P54" i="30"/>
  <c r="L56" i="30"/>
  <c r="P59" i="30"/>
  <c r="Q63" i="30"/>
  <c r="U66" i="30"/>
  <c r="P71" i="30"/>
  <c r="S77" i="30"/>
  <c r="O80" i="30"/>
  <c r="U83" i="30"/>
  <c r="U17" i="30"/>
  <c r="N22" i="30"/>
  <c r="V25" i="30"/>
  <c r="L27" i="30"/>
  <c r="P31" i="30"/>
  <c r="T34" i="30"/>
  <c r="V42" i="30"/>
  <c r="P45" i="30"/>
  <c r="O48" i="30"/>
  <c r="P56" i="30"/>
  <c r="K68" i="30"/>
  <c r="T11" i="30"/>
  <c r="L14" i="30"/>
  <c r="R17" i="30"/>
  <c r="K22" i="30"/>
  <c r="S25" i="30"/>
  <c r="U28" i="30"/>
  <c r="M31" i="30"/>
  <c r="L39" i="30"/>
  <c r="S42" i="30"/>
  <c r="M45" i="30"/>
  <c r="V46" i="30"/>
  <c r="M56" i="30"/>
  <c r="Q59" i="30"/>
  <c r="R63" i="30"/>
  <c r="V66" i="30"/>
  <c r="Q71" i="30"/>
  <c r="K73" i="30"/>
  <c r="K76" i="30"/>
  <c r="T77" i="30"/>
  <c r="P80" i="30"/>
  <c r="V83" i="30"/>
  <c r="O14" i="30"/>
  <c r="O39" i="30"/>
  <c r="U51" i="30"/>
  <c r="T59" i="30"/>
  <c r="K85" i="30"/>
  <c r="U11" i="30"/>
  <c r="M14" i="30"/>
  <c r="S17" i="30"/>
  <c r="L22" i="30"/>
  <c r="T25" i="30"/>
  <c r="V28" i="30"/>
  <c r="N31" i="30"/>
  <c r="M39" i="30"/>
  <c r="T42" i="30"/>
  <c r="N45" i="30"/>
  <c r="N56" i="30"/>
  <c r="R59" i="30"/>
  <c r="S63" i="30"/>
  <c r="R71" i="30"/>
  <c r="L73" i="30"/>
  <c r="L76" i="30"/>
  <c r="U77" i="30"/>
  <c r="Q80" i="30"/>
  <c r="N76" i="30"/>
  <c r="V11" i="30"/>
  <c r="N14" i="30"/>
  <c r="T17" i="30"/>
  <c r="M22" i="30"/>
  <c r="U25" i="30"/>
  <c r="K27" i="30"/>
  <c r="O31" i="30"/>
  <c r="S34" i="30"/>
  <c r="N39" i="30"/>
  <c r="U42" i="30"/>
  <c r="O45" i="30"/>
  <c r="O56" i="30"/>
  <c r="S59" i="30"/>
  <c r="T63" i="30"/>
  <c r="M73" i="30"/>
  <c r="M76" i="30"/>
  <c r="V77" i="30"/>
  <c r="R80" i="30"/>
  <c r="N73" i="30"/>
  <c r="S80" i="30"/>
  <c r="R10" i="30"/>
  <c r="N13" i="30"/>
  <c r="P16" i="30"/>
  <c r="V19" i="30"/>
  <c r="Q24" i="30"/>
  <c r="U27" i="30"/>
  <c r="K30" i="30"/>
  <c r="P41" i="30"/>
  <c r="R44" i="30"/>
  <c r="V48" i="30"/>
  <c r="M53" i="30"/>
  <c r="P58" i="30"/>
  <c r="P62" i="30"/>
  <c r="T65" i="30"/>
  <c r="M70" i="30"/>
  <c r="U73" i="30"/>
  <c r="K75" i="30"/>
  <c r="N79" i="30"/>
  <c r="S10" i="30"/>
  <c r="O13" i="30"/>
  <c r="Q16" i="30"/>
  <c r="R24" i="30"/>
  <c r="V27" i="30"/>
  <c r="L30" i="30"/>
  <c r="Q41" i="30"/>
  <c r="S44" i="30"/>
  <c r="N53" i="30"/>
  <c r="Q58" i="30"/>
  <c r="K61" i="30"/>
  <c r="Q62" i="30"/>
  <c r="U65" i="30"/>
  <c r="N70" i="30"/>
  <c r="V73" i="30"/>
  <c r="L75" i="30"/>
  <c r="O79" i="30"/>
  <c r="S82" i="30"/>
  <c r="T10" i="30"/>
  <c r="P13" i="30"/>
  <c r="R16" i="30"/>
  <c r="S24" i="30"/>
  <c r="M30" i="30"/>
  <c r="Q33" i="30"/>
  <c r="R41" i="30"/>
  <c r="T44" i="30"/>
  <c r="K55" i="30"/>
  <c r="R58" i="30"/>
  <c r="L61" i="30"/>
  <c r="R62" i="30"/>
  <c r="V65" i="30"/>
  <c r="O70" i="30"/>
  <c r="K72" i="30"/>
  <c r="O75" i="30"/>
  <c r="P79" i="30"/>
  <c r="T82" i="30"/>
  <c r="T16" i="30"/>
  <c r="K29" i="30"/>
  <c r="V34" i="30"/>
  <c r="U44" i="30"/>
  <c r="L55" i="30"/>
  <c r="O64" i="30"/>
  <c r="K70" i="30"/>
  <c r="T75" i="30"/>
  <c r="V80" i="30"/>
  <c r="L38" i="30"/>
  <c r="Q47" i="30"/>
  <c r="R47" i="30"/>
  <c r="V62" i="30"/>
  <c r="T58" i="30"/>
  <c r="R81" i="30"/>
  <c r="R14" i="30"/>
  <c r="U35" i="30"/>
  <c r="L43" i="30"/>
  <c r="K53" i="30"/>
  <c r="T12" i="30"/>
  <c r="O30" i="30"/>
  <c r="P38" i="30"/>
  <c r="V58" i="30"/>
  <c r="P30" i="30"/>
  <c r="S76" i="30"/>
  <c r="P10" i="30"/>
  <c r="R30" i="30"/>
  <c r="R43" i="30"/>
  <c r="M44" i="30"/>
  <c r="U16" i="30"/>
  <c r="L29" i="30"/>
  <c r="V44" i="30"/>
  <c r="M55" i="30"/>
  <c r="P64" i="30"/>
  <c r="U67" i="30"/>
  <c r="P70" i="30"/>
  <c r="U75" i="30"/>
  <c r="T50" i="30"/>
  <c r="N58" i="30"/>
  <c r="Q60" i="30"/>
  <c r="U62" i="30"/>
  <c r="K78" i="30"/>
  <c r="K84" i="30"/>
  <c r="N12" i="30"/>
  <c r="U50" i="30"/>
  <c r="Q65" i="30"/>
  <c r="S12" i="30"/>
  <c r="N30" i="30"/>
  <c r="O38" i="30"/>
  <c r="T47" i="30"/>
  <c r="R56" i="30"/>
  <c r="N10" i="30"/>
  <c r="P43" i="30"/>
  <c r="S56" i="30"/>
  <c r="T33" i="30"/>
  <c r="K41" i="30"/>
  <c r="M74" i="30"/>
  <c r="U13" i="30"/>
  <c r="P75" i="30"/>
  <c r="S16" i="30"/>
  <c r="V16" i="30"/>
  <c r="M29" i="30"/>
  <c r="K40" i="30"/>
  <c r="K52" i="30"/>
  <c r="N55" i="30"/>
  <c r="Q64" i="30"/>
  <c r="V67" i="30"/>
  <c r="V75" i="30"/>
  <c r="M12" i="30"/>
  <c r="S58" i="30"/>
  <c r="L78" i="30"/>
  <c r="V50" i="30"/>
  <c r="R65" i="30"/>
  <c r="U58" i="30"/>
  <c r="U33" i="30"/>
  <c r="U76" i="30"/>
  <c r="N24" i="30"/>
  <c r="V13" i="30"/>
  <c r="N57" i="30"/>
  <c r="N29" i="30"/>
  <c r="L40" i="30"/>
  <c r="L52" i="30"/>
  <c r="O55" i="30"/>
  <c r="R64" i="30"/>
  <c r="Q81" i="30"/>
  <c r="V14" i="30"/>
  <c r="R33" i="30"/>
  <c r="O43" i="30"/>
  <c r="U12" i="30"/>
  <c r="S33" i="30"/>
  <c r="Q30" i="30"/>
  <c r="Q43" i="30"/>
  <c r="T56" i="30"/>
  <c r="S31" i="30"/>
  <c r="S75" i="30"/>
  <c r="O29" i="30"/>
  <c r="M40" i="30"/>
  <c r="P55" i="30"/>
  <c r="S64" i="30"/>
  <c r="P73" i="30"/>
  <c r="M38" i="30"/>
  <c r="Q14" i="30"/>
  <c r="K43" i="30"/>
  <c r="M78" i="30"/>
  <c r="O10" i="30"/>
  <c r="O24" i="30"/>
  <c r="T24" i="30"/>
  <c r="N44" i="30"/>
  <c r="O57" i="30"/>
  <c r="U80" i="30"/>
  <c r="P27" i="30"/>
  <c r="P29" i="30"/>
  <c r="N40" i="30"/>
  <c r="Q55" i="30"/>
  <c r="T64" i="30"/>
  <c r="Q73" i="30"/>
  <c r="N78" i="30"/>
  <c r="T45" i="30"/>
  <c r="V26" i="30"/>
  <c r="Q27" i="30"/>
  <c r="O40" i="30"/>
  <c r="M47" i="30"/>
  <c r="R55" i="30"/>
  <c r="K60" i="30"/>
  <c r="K62" i="30"/>
  <c r="R73" i="30"/>
  <c r="P40" i="30"/>
  <c r="L84" i="30"/>
  <c r="R12" i="30"/>
  <c r="N38" i="30"/>
  <c r="S47" i="30"/>
  <c r="R76" i="30"/>
  <c r="T76" i="30"/>
  <c r="K44" i="30"/>
  <c r="L57" i="30"/>
  <c r="L44" i="30"/>
  <c r="M57" i="30"/>
  <c r="Q75" i="30"/>
  <c r="R75" i="30"/>
  <c r="P22" i="30"/>
  <c r="R27" i="30"/>
  <c r="O32" i="30"/>
  <c r="N47" i="30"/>
  <c r="L60" i="30"/>
  <c r="L62" i="30"/>
  <c r="S73" i="30"/>
  <c r="M24" i="30"/>
  <c r="K12" i="30"/>
  <c r="S27" i="30"/>
  <c r="O47" i="30"/>
  <c r="M60" i="30"/>
  <c r="M62" i="30"/>
  <c r="K57" i="30"/>
  <c r="T72" i="30"/>
  <c r="N85" i="30"/>
  <c r="N21" i="30"/>
  <c r="L12" i="30"/>
  <c r="K38" i="30"/>
  <c r="P47" i="30"/>
  <c r="S50" i="30"/>
  <c r="M58" i="30"/>
  <c r="N60" i="30"/>
  <c r="N62" i="30"/>
  <c r="T13" i="30"/>
  <c r="T31" i="30"/>
  <c r="U10" i="30"/>
  <c r="K23" i="30"/>
  <c r="M26" i="30"/>
  <c r="U30" i="30"/>
  <c r="V33" i="30"/>
  <c r="L41" i="30"/>
  <c r="S43" i="30"/>
  <c r="U45" i="30"/>
  <c r="N74" i="30"/>
  <c r="Q79" i="30"/>
  <c r="V10" i="30"/>
  <c r="L23" i="30"/>
  <c r="N26" i="30"/>
  <c r="V30" i="30"/>
  <c r="M41" i="30"/>
  <c r="T43" i="30"/>
  <c r="V45" i="30"/>
  <c r="Q48" i="30"/>
  <c r="L72" i="30"/>
  <c r="R79" i="30"/>
  <c r="M23" i="30"/>
  <c r="O26" i="30"/>
  <c r="K36" i="30"/>
  <c r="N41" i="30"/>
  <c r="R48" i="30"/>
  <c r="M61" i="30"/>
  <c r="M72" i="30"/>
  <c r="S79" i="30"/>
  <c r="N23" i="30"/>
  <c r="P26" i="30"/>
  <c r="S41" i="30"/>
  <c r="S48" i="30"/>
  <c r="N61" i="30"/>
  <c r="T79" i="30"/>
  <c r="O23" i="30"/>
  <c r="Q26" i="30"/>
  <c r="T41" i="30"/>
  <c r="T48" i="30"/>
  <c r="O61" i="30"/>
  <c r="O72" i="30"/>
  <c r="U82" i="30"/>
  <c r="Q72" i="30"/>
  <c r="R72" i="30"/>
  <c r="L85" i="30"/>
  <c r="V59" i="30"/>
  <c r="U61" i="30"/>
  <c r="S72" i="30"/>
  <c r="M85" i="30"/>
  <c r="N72" i="30"/>
  <c r="M15" i="30"/>
  <c r="R26" i="30"/>
  <c r="Q39" i="30"/>
  <c r="U41" i="30"/>
  <c r="P61" i="30"/>
  <c r="P72" i="30"/>
  <c r="V82" i="30"/>
  <c r="N15" i="30"/>
  <c r="S26" i="30"/>
  <c r="R39" i="30"/>
  <c r="V41" i="30"/>
  <c r="S61" i="30"/>
  <c r="K69" i="30"/>
  <c r="K13" i="30"/>
  <c r="O15" i="30"/>
  <c r="S18" i="30"/>
  <c r="K21" i="30"/>
  <c r="T26" i="30"/>
  <c r="T61" i="30"/>
  <c r="L13" i="30"/>
  <c r="T18" i="30"/>
  <c r="L21" i="30"/>
  <c r="L24" i="30"/>
  <c r="U26" i="30"/>
  <c r="R31" i="30"/>
  <c r="M21" i="30"/>
  <c r="V61" i="30"/>
  <c r="T30" i="30"/>
  <c r="K42" i="30"/>
  <c r="T35" i="30"/>
  <c r="O33" i="30"/>
  <c r="L32" i="30"/>
  <c r="S20" i="30"/>
  <c r="N18" i="30"/>
  <c r="P84" i="30"/>
  <c r="S70" i="30"/>
  <c r="V56" i="30"/>
  <c r="K51" i="30"/>
  <c r="L70" i="30"/>
  <c r="R29" i="30"/>
  <c r="U31" i="30"/>
  <c r="R34" i="30"/>
  <c r="M32" i="30"/>
  <c r="V21" i="30"/>
  <c r="Q19" i="30"/>
  <c r="L17" i="30"/>
  <c r="N83" i="30"/>
  <c r="Q69" i="30"/>
  <c r="T55" i="30"/>
  <c r="U40" i="30"/>
  <c r="L11" i="30"/>
  <c r="T73" i="30"/>
  <c r="P28" i="30"/>
  <c r="S30" i="30"/>
  <c r="P33" i="30"/>
  <c r="K31" i="30"/>
  <c r="T20" i="30"/>
  <c r="O18" i="30"/>
  <c r="S85" i="30"/>
  <c r="L82" i="30"/>
  <c r="O68" i="30"/>
  <c r="R54" i="30"/>
  <c r="S39" i="30"/>
  <c r="V76" i="30"/>
  <c r="N27" i="30"/>
  <c r="Q29" i="30"/>
  <c r="N32" i="30"/>
  <c r="U20" i="30"/>
  <c r="R19" i="30"/>
  <c r="M17" i="30"/>
  <c r="Q84" i="30"/>
  <c r="V71" i="30"/>
  <c r="M67" i="30"/>
  <c r="P53" i="30"/>
  <c r="Q38" i="30"/>
  <c r="M79" i="30"/>
  <c r="L26" i="30"/>
  <c r="O28" i="30"/>
  <c r="L31" i="30"/>
  <c r="S19" i="30"/>
  <c r="P18" i="30"/>
  <c r="K16" i="30"/>
  <c r="O83" i="30"/>
  <c r="T70" i="30"/>
  <c r="K66" i="30"/>
  <c r="N52" i="30"/>
  <c r="O37" i="30"/>
  <c r="V15" i="30"/>
  <c r="M27" i="30"/>
  <c r="V20" i="30"/>
  <c r="Q18" i="30"/>
  <c r="N17" i="30"/>
  <c r="T85" i="30"/>
  <c r="M82" i="30"/>
  <c r="R69" i="30"/>
  <c r="U55" i="30"/>
  <c r="M36" i="30"/>
  <c r="L51" i="30"/>
  <c r="T14" i="30"/>
  <c r="K26" i="30"/>
  <c r="T19" i="30"/>
  <c r="O17" i="30"/>
  <c r="L16" i="30"/>
  <c r="R84" i="30"/>
  <c r="K81" i="30"/>
  <c r="P68" i="30"/>
  <c r="S54" i="30"/>
  <c r="V40" i="30"/>
  <c r="K35" i="30"/>
  <c r="R13" i="30"/>
  <c r="U15" i="30"/>
  <c r="R18" i="30"/>
  <c r="M16" i="30"/>
  <c r="U85" i="30"/>
  <c r="P83" i="30"/>
  <c r="U70" i="30"/>
  <c r="N67" i="30"/>
  <c r="Q53" i="30"/>
  <c r="T39" i="30"/>
  <c r="U24" i="30"/>
  <c r="O11" i="30"/>
  <c r="P12" i="30"/>
  <c r="S14" i="30"/>
  <c r="P17" i="30"/>
  <c r="K15" i="30"/>
  <c r="S84" i="30"/>
  <c r="N82" i="30"/>
  <c r="S69" i="30"/>
  <c r="L66" i="30"/>
  <c r="O52" i="30"/>
  <c r="R38" i="30"/>
  <c r="S23" i="30"/>
  <c r="N11" i="30"/>
  <c r="Q13" i="30"/>
  <c r="N16" i="30"/>
  <c r="V85" i="30"/>
  <c r="Q83" i="30"/>
  <c r="L81" i="30"/>
  <c r="Q68" i="30"/>
  <c r="V55" i="30"/>
  <c r="M51" i="30"/>
  <c r="P37" i="30"/>
  <c r="Q22" i="30"/>
  <c r="L10" i="30"/>
  <c r="O12" i="30"/>
  <c r="L15" i="30"/>
  <c r="T84" i="30"/>
  <c r="O82" i="30"/>
  <c r="V70" i="30"/>
  <c r="O67" i="30"/>
  <c r="T54" i="30"/>
  <c r="K50" i="30"/>
  <c r="N36" i="30"/>
  <c r="O21" i="30"/>
  <c r="U14" i="30"/>
  <c r="M11" i="30"/>
  <c r="U84" i="30"/>
  <c r="R83" i="30"/>
  <c r="M81" i="30"/>
  <c r="T69" i="30"/>
  <c r="M66" i="30"/>
  <c r="R53" i="30"/>
  <c r="U39" i="30"/>
  <c r="L35" i="30"/>
  <c r="M20" i="30"/>
  <c r="S13" i="30"/>
  <c r="K10" i="30"/>
  <c r="S83" i="30"/>
  <c r="P82" i="30"/>
  <c r="K80" i="30"/>
  <c r="R68" i="30"/>
  <c r="K65" i="30"/>
  <c r="P52" i="30"/>
  <c r="S38" i="30"/>
  <c r="V24" i="30"/>
  <c r="K19" i="30"/>
  <c r="U48" i="26"/>
  <c r="L79" i="26"/>
  <c r="K40" i="26"/>
  <c r="V48" i="26"/>
  <c r="S83" i="26"/>
  <c r="L40" i="26"/>
  <c r="S67" i="26"/>
  <c r="T83" i="26"/>
  <c r="U29" i="26"/>
  <c r="M16" i="26"/>
  <c r="U49" i="26"/>
  <c r="Q80" i="26"/>
  <c r="P25" i="26"/>
  <c r="U80" i="26"/>
  <c r="Q25" i="26"/>
  <c r="K72" i="26"/>
  <c r="U81" i="26"/>
  <c r="L72" i="26"/>
  <c r="V81" i="26"/>
  <c r="O25" i="26"/>
  <c r="S25" i="26"/>
  <c r="R49" i="26"/>
  <c r="M72" i="26"/>
  <c r="N72" i="26"/>
  <c r="K76" i="26"/>
  <c r="P72" i="26"/>
  <c r="L76" i="26"/>
  <c r="N25" i="26"/>
  <c r="L15" i="26"/>
  <c r="U83" i="26"/>
  <c r="V83" i="26"/>
  <c r="K73" i="26"/>
  <c r="N40" i="26"/>
  <c r="Q44" i="26"/>
  <c r="U51" i="26"/>
  <c r="L80" i="26"/>
  <c r="O40" i="26"/>
  <c r="V51" i="26"/>
  <c r="N80" i="26"/>
  <c r="R80" i="26"/>
  <c r="P58" i="26"/>
  <c r="N16" i="26"/>
  <c r="S58" i="26"/>
  <c r="S45" i="26"/>
  <c r="O64" i="26"/>
  <c r="V64" i="26"/>
  <c r="R10" i="26"/>
  <c r="Q41" i="26"/>
  <c r="M40" i="26"/>
  <c r="K44" i="26"/>
  <c r="S80" i="26"/>
  <c r="L64" i="26"/>
  <c r="T80" i="26"/>
  <c r="L16" i="26"/>
  <c r="M64" i="26"/>
  <c r="N64" i="26"/>
  <c r="T16" i="26"/>
  <c r="T58" i="26"/>
  <c r="U58" i="26"/>
  <c r="R41" i="26"/>
  <c r="R81" i="26"/>
  <c r="N76" i="26"/>
  <c r="R23" i="26"/>
  <c r="K15" i="26"/>
  <c r="P56" i="26"/>
  <c r="R74" i="26"/>
  <c r="L32" i="26"/>
  <c r="O29" i="26"/>
  <c r="T78" i="26"/>
  <c r="M60" i="26"/>
  <c r="R45" i="26"/>
  <c r="O46" i="26"/>
  <c r="Q31" i="26"/>
  <c r="L71" i="26"/>
  <c r="S35" i="26"/>
  <c r="S77" i="26"/>
  <c r="K45" i="26"/>
  <c r="P29" i="26"/>
  <c r="N14" i="26"/>
  <c r="T62" i="26"/>
  <c r="V34" i="26"/>
  <c r="U40" i="26"/>
  <c r="T55" i="26"/>
  <c r="Q69" i="26"/>
  <c r="N83" i="26"/>
  <c r="L17" i="26"/>
  <c r="Q19" i="26"/>
  <c r="U15" i="26"/>
  <c r="V14" i="26"/>
  <c r="M37" i="26"/>
  <c r="L78" i="26"/>
  <c r="V47" i="26"/>
  <c r="N29" i="26"/>
  <c r="O57" i="26"/>
  <c r="P49" i="26"/>
  <c r="R28" i="26"/>
  <c r="T31" i="26"/>
  <c r="L11" i="26"/>
  <c r="T11" i="26"/>
  <c r="K59" i="26"/>
  <c r="Q17" i="26"/>
  <c r="S11" i="26"/>
  <c r="K53" i="26"/>
  <c r="M44" i="26"/>
  <c r="P48" i="26"/>
  <c r="Q50" i="26"/>
  <c r="O23" i="26"/>
  <c r="R73" i="26"/>
  <c r="K38" i="26"/>
  <c r="T79" i="26"/>
  <c r="Q47" i="26"/>
  <c r="V31" i="26"/>
  <c r="Q11" i="26"/>
  <c r="L61" i="26"/>
  <c r="M30" i="26"/>
  <c r="K51" i="26"/>
  <c r="V56" i="26"/>
  <c r="S70" i="26"/>
  <c r="P84" i="26"/>
  <c r="N18" i="26"/>
  <c r="S20" i="26"/>
  <c r="K26" i="26"/>
  <c r="L25" i="26"/>
  <c r="O38" i="26"/>
  <c r="U33" i="26"/>
  <c r="P62" i="26"/>
  <c r="K29" i="26"/>
  <c r="M79" i="26"/>
  <c r="O31" i="26"/>
  <c r="Q79" i="26"/>
  <c r="R57" i="26"/>
  <c r="Q14" i="26"/>
  <c r="V59" i="26"/>
  <c r="Q56" i="26"/>
  <c r="P24" i="26"/>
  <c r="Q54" i="26"/>
  <c r="P69" i="26"/>
  <c r="M83" i="26"/>
  <c r="M18" i="26"/>
  <c r="T21" i="26"/>
  <c r="M33" i="26"/>
  <c r="Q29" i="26"/>
  <c r="U41" i="26"/>
  <c r="M54" i="26"/>
  <c r="T15" i="26"/>
  <c r="V20" i="26"/>
  <c r="R78" i="26"/>
  <c r="P40" i="26"/>
  <c r="O42" i="26"/>
  <c r="R51" i="26"/>
  <c r="O56" i="26"/>
  <c r="T17" i="26"/>
  <c r="R75" i="26"/>
  <c r="N47" i="26"/>
  <c r="Q82" i="26"/>
  <c r="U52" i="26"/>
  <c r="V36" i="26"/>
  <c r="M58" i="26"/>
  <c r="S27" i="26"/>
  <c r="M52" i="26"/>
  <c r="L67" i="26"/>
  <c r="U71" i="26"/>
  <c r="R85" i="26"/>
  <c r="P19" i="26"/>
  <c r="U21" i="26"/>
  <c r="M27" i="26"/>
  <c r="N26" i="26"/>
  <c r="Q39" i="26"/>
  <c r="U67" i="26"/>
  <c r="R29" i="26"/>
  <c r="T66" i="26"/>
  <c r="Q72" i="26"/>
  <c r="S33" i="26"/>
  <c r="O32" i="26"/>
  <c r="L54" i="26"/>
  <c r="S76" i="26"/>
  <c r="U14" i="26"/>
  <c r="L77" i="26"/>
  <c r="N55" i="26"/>
  <c r="K12" i="26"/>
  <c r="V57" i="26"/>
  <c r="Q48" i="26"/>
  <c r="L55" i="26"/>
  <c r="O53" i="26"/>
  <c r="N68" i="26"/>
  <c r="K82" i="26"/>
  <c r="K17" i="26"/>
  <c r="R20" i="26"/>
  <c r="K32" i="26"/>
  <c r="O28" i="26"/>
  <c r="P27" i="26"/>
  <c r="S40" i="26"/>
  <c r="V67" i="26"/>
  <c r="U19" i="26"/>
  <c r="K69" i="26"/>
  <c r="R17" i="26"/>
  <c r="V16" i="26"/>
  <c r="S63" i="26"/>
  <c r="T28" i="26"/>
  <c r="V77" i="26"/>
  <c r="N62" i="26"/>
  <c r="T27" i="26"/>
  <c r="K67" i="26"/>
  <c r="V72" i="26"/>
  <c r="L18" i="26"/>
  <c r="S21" i="26"/>
  <c r="N34" i="26"/>
  <c r="S36" i="26"/>
  <c r="K42" i="26"/>
  <c r="L41" i="26"/>
  <c r="O54" i="26"/>
  <c r="O16" i="26"/>
  <c r="V25" i="26"/>
  <c r="P30" i="26"/>
  <c r="S37" i="26"/>
  <c r="O70" i="26"/>
  <c r="U43" i="26"/>
  <c r="P17" i="26"/>
  <c r="M80" i="26"/>
  <c r="M84" i="26"/>
  <c r="P51" i="26"/>
  <c r="M59" i="26"/>
  <c r="M78" i="26"/>
  <c r="V33" i="26"/>
  <c r="P63" i="26"/>
  <c r="O72" i="26"/>
  <c r="U76" i="26"/>
  <c r="Q81" i="26"/>
  <c r="N24" i="26"/>
  <c r="V68" i="26"/>
  <c r="U30" i="26"/>
  <c r="S82" i="26"/>
  <c r="U64" i="26"/>
  <c r="M68" i="26"/>
  <c r="L83" i="26"/>
  <c r="N19" i="26"/>
  <c r="U22" i="26"/>
  <c r="P35" i="26"/>
  <c r="U37" i="26"/>
  <c r="M43" i="26"/>
  <c r="N42" i="26"/>
  <c r="Q55" i="26"/>
  <c r="O41" i="26"/>
  <c r="V50" i="26"/>
  <c r="K22" i="26"/>
  <c r="O20" i="26"/>
  <c r="T44" i="26"/>
  <c r="V19" i="26"/>
  <c r="N41" i="26"/>
  <c r="S64" i="26"/>
  <c r="S43" i="26"/>
  <c r="L60" i="26"/>
  <c r="O80" i="26"/>
  <c r="K56" i="26"/>
  <c r="Q78" i="26"/>
  <c r="S26" i="26"/>
  <c r="P71" i="26"/>
  <c r="U35" i="26"/>
  <c r="M12" i="26"/>
  <c r="R67" i="26"/>
  <c r="L45" i="26"/>
  <c r="Q24" i="26"/>
  <c r="O69" i="26"/>
  <c r="N84" i="26"/>
  <c r="P20" i="26"/>
  <c r="K33" i="26"/>
  <c r="R36" i="26"/>
  <c r="K48" i="26"/>
  <c r="O44" i="26"/>
  <c r="P43" i="26"/>
  <c r="S56" i="26"/>
  <c r="S29" i="26"/>
  <c r="T52" i="26"/>
  <c r="K83" i="26"/>
  <c r="K58" i="26"/>
  <c r="U60" i="26"/>
  <c r="V27" i="26"/>
  <c r="Q21" i="26"/>
  <c r="U53" i="26"/>
  <c r="M63" i="26"/>
  <c r="V42" i="26"/>
  <c r="V53" i="26"/>
  <c r="K77" i="26"/>
  <c r="M57" i="26"/>
  <c r="M15" i="26"/>
  <c r="K30" i="26"/>
  <c r="O59" i="26"/>
  <c r="P28" i="26"/>
  <c r="T73" i="26"/>
  <c r="M38" i="26"/>
  <c r="T14" i="26"/>
  <c r="V74" i="26"/>
  <c r="L42" i="26"/>
  <c r="Q70" i="26"/>
  <c r="P85" i="26"/>
  <c r="R21" i="26"/>
  <c r="M34" i="26"/>
  <c r="T37" i="26"/>
  <c r="M49" i="26"/>
  <c r="Q45" i="26"/>
  <c r="R44" i="26"/>
  <c r="U57" i="26"/>
  <c r="N48" i="26"/>
  <c r="S79" i="26"/>
  <c r="L57" i="26"/>
  <c r="U42" i="26"/>
  <c r="L56" i="26"/>
  <c r="S51" i="26"/>
  <c r="P82" i="26"/>
  <c r="N78" i="26"/>
  <c r="U34" i="26"/>
  <c r="P22" i="26"/>
  <c r="R72" i="26"/>
  <c r="M74" i="26"/>
  <c r="L44" i="26"/>
  <c r="Q18" i="26"/>
  <c r="V11" i="26"/>
  <c r="Q40" i="26"/>
  <c r="O30" i="26"/>
  <c r="T75" i="26"/>
  <c r="L43" i="26"/>
  <c r="N17" i="26"/>
  <c r="P76" i="26"/>
  <c r="K39" i="26"/>
  <c r="V21" i="26"/>
  <c r="S71" i="26"/>
  <c r="K18" i="26"/>
  <c r="T22" i="26"/>
  <c r="O35" i="26"/>
  <c r="V38" i="26"/>
  <c r="O50" i="26"/>
  <c r="S46" i="26"/>
  <c r="T45" i="26"/>
  <c r="K68" i="26"/>
  <c r="R43" i="26"/>
  <c r="N50" i="26"/>
  <c r="N63" i="26"/>
  <c r="U36" i="26"/>
  <c r="N79" i="26"/>
  <c r="V28" i="26"/>
  <c r="N35" i="26"/>
  <c r="T74" i="26"/>
  <c r="K27" i="26"/>
  <c r="R64" i="26"/>
  <c r="T36" i="26"/>
  <c r="L69" i="26"/>
  <c r="N65" i="26"/>
  <c r="N32" i="26"/>
  <c r="Q27" i="26"/>
  <c r="P80" i="26"/>
  <c r="M31" i="26"/>
  <c r="V32" i="26"/>
  <c r="P77" i="26"/>
  <c r="P47" i="26"/>
  <c r="T19" i="26"/>
  <c r="O78" i="26"/>
  <c r="O33" i="26"/>
  <c r="T18" i="26"/>
  <c r="U72" i="26"/>
  <c r="M19" i="26"/>
  <c r="V23" i="26"/>
  <c r="Q36" i="26"/>
  <c r="L49" i="26"/>
  <c r="Q51" i="26"/>
  <c r="U47" i="26"/>
  <c r="V46" i="26"/>
  <c r="M69" i="26"/>
  <c r="Q62" i="26"/>
  <c r="O48" i="26"/>
  <c r="T72" i="26"/>
  <c r="R35" i="26"/>
  <c r="R83" i="26"/>
  <c r="L34" i="26"/>
  <c r="S52" i="26"/>
  <c r="T47" i="26"/>
  <c r="M47" i="26"/>
  <c r="R55" i="26"/>
  <c r="S16" i="26"/>
  <c r="K14" i="26"/>
  <c r="U38" i="26"/>
  <c r="J3" i="27"/>
  <c r="J5" i="27"/>
  <c r="J4" i="27"/>
  <c r="P42" i="23"/>
  <c r="N36" i="23"/>
  <c r="R70" i="23"/>
  <c r="P37" i="23"/>
  <c r="Q80" i="23"/>
  <c r="N46" i="23"/>
  <c r="Q76" i="23"/>
  <c r="O67" i="23"/>
  <c r="Q20" i="23"/>
  <c r="M80" i="23"/>
  <c r="M33" i="23"/>
  <c r="O19" i="23"/>
  <c r="Q85" i="23"/>
  <c r="V22" i="23"/>
  <c r="O84" i="23"/>
  <c r="L33" i="23"/>
  <c r="M51" i="23"/>
  <c r="T21" i="23"/>
  <c r="K50" i="23"/>
  <c r="U81" i="23"/>
  <c r="V70" i="23"/>
  <c r="Q68" i="23"/>
  <c r="T71" i="23"/>
  <c r="L81" i="23"/>
  <c r="Q12" i="23"/>
  <c r="O16" i="23"/>
  <c r="L20" i="23"/>
  <c r="T24" i="23"/>
  <c r="Q27" i="23"/>
  <c r="N31" i="23"/>
  <c r="V32" i="23"/>
  <c r="Q39" i="23"/>
  <c r="N42" i="23"/>
  <c r="L46" i="23"/>
  <c r="V47" i="23"/>
  <c r="N54" i="23"/>
  <c r="K57" i="23"/>
  <c r="U58" i="23"/>
  <c r="N61" i="23"/>
  <c r="T62" i="23"/>
  <c r="T66" i="23"/>
  <c r="K69" i="23"/>
  <c r="R73" i="23"/>
  <c r="N76" i="23"/>
  <c r="V77" i="23"/>
  <c r="S81" i="23"/>
  <c r="R12" i="23"/>
  <c r="P16" i="23"/>
  <c r="T20" i="23"/>
  <c r="K23" i="23"/>
  <c r="R27" i="23"/>
  <c r="O31" i="23"/>
  <c r="R39" i="23"/>
  <c r="O42" i="23"/>
  <c r="M46" i="23"/>
  <c r="O54" i="23"/>
  <c r="L57" i="23"/>
  <c r="V58" i="23"/>
  <c r="O61" i="23"/>
  <c r="U62" i="23"/>
  <c r="U66" i="23"/>
  <c r="L69" i="23"/>
  <c r="S73" i="23"/>
  <c r="P76" i="23"/>
  <c r="L80" i="23"/>
  <c r="T81" i="23"/>
  <c r="N72" i="23"/>
  <c r="R16" i="23"/>
  <c r="L60" i="23"/>
  <c r="R23" i="23"/>
  <c r="V20" i="23"/>
  <c r="M23" i="23"/>
  <c r="T27" i="23"/>
  <c r="Q31" i="23"/>
  <c r="S35" i="23"/>
  <c r="Q42" i="23"/>
  <c r="O46" i="23"/>
  <c r="P50" i="23"/>
  <c r="N57" i="23"/>
  <c r="R61" i="23"/>
  <c r="O65" i="23"/>
  <c r="N69" i="23"/>
  <c r="L72" i="23"/>
  <c r="U73" i="23"/>
  <c r="R76" i="23"/>
  <c r="N80" i="23"/>
  <c r="V81" i="23"/>
  <c r="K84" i="23"/>
  <c r="N75" i="23"/>
  <c r="K11" i="23"/>
  <c r="U12" i="23"/>
  <c r="S16" i="23"/>
  <c r="N23" i="23"/>
  <c r="U27" i="23"/>
  <c r="R31" i="23"/>
  <c r="T35" i="23"/>
  <c r="K38" i="23"/>
  <c r="R42" i="23"/>
  <c r="K45" i="23"/>
  <c r="P46" i="23"/>
  <c r="Q50" i="23"/>
  <c r="O57" i="23"/>
  <c r="K60" i="23"/>
  <c r="S61" i="23"/>
  <c r="P65" i="23"/>
  <c r="V69" i="23"/>
  <c r="M72" i="23"/>
  <c r="V73" i="23"/>
  <c r="S76" i="23"/>
  <c r="O80" i="23"/>
  <c r="L84" i="23"/>
  <c r="T61" i="23"/>
  <c r="P60" i="23"/>
  <c r="L11" i="23"/>
  <c r="V12" i="23"/>
  <c r="K15" i="23"/>
  <c r="T16" i="23"/>
  <c r="O23" i="23"/>
  <c r="L26" i="23"/>
  <c r="V27" i="23"/>
  <c r="S31" i="23"/>
  <c r="U35" i="23"/>
  <c r="L38" i="23"/>
  <c r="S42" i="23"/>
  <c r="L45" i="23"/>
  <c r="Q46" i="23"/>
  <c r="R50" i="23"/>
  <c r="P57" i="23"/>
  <c r="Q65" i="23"/>
  <c r="T76" i="23"/>
  <c r="P80" i="23"/>
  <c r="T84" i="23"/>
  <c r="Q23" i="23"/>
  <c r="N26" i="23"/>
  <c r="L30" i="23"/>
  <c r="V31" i="23"/>
  <c r="N38" i="23"/>
  <c r="K41" i="23"/>
  <c r="U42" i="23"/>
  <c r="N45" i="23"/>
  <c r="T46" i="23"/>
  <c r="T50" i="23"/>
  <c r="K53" i="23"/>
  <c r="R57" i="23"/>
  <c r="N60" i="23"/>
  <c r="V61" i="23"/>
  <c r="S65" i="23"/>
  <c r="P72" i="23"/>
  <c r="L75" i="23"/>
  <c r="V76" i="23"/>
  <c r="R80" i="23"/>
  <c r="P11" i="23"/>
  <c r="N15" i="23"/>
  <c r="O26" i="23"/>
  <c r="M30" i="23"/>
  <c r="O38" i="23"/>
  <c r="L41" i="23"/>
  <c r="V42" i="23"/>
  <c r="O45" i="23"/>
  <c r="U46" i="23"/>
  <c r="U50" i="23"/>
  <c r="L53" i="23"/>
  <c r="S57" i="23"/>
  <c r="L64" i="23"/>
  <c r="T65" i="23"/>
  <c r="Q72" i="23"/>
  <c r="K79" i="23"/>
  <c r="S80" i="23"/>
  <c r="P26" i="23"/>
  <c r="N30" i="23"/>
  <c r="P38" i="23"/>
  <c r="M41" i="23"/>
  <c r="P45" i="23"/>
  <c r="V46" i="23"/>
  <c r="N49" i="23"/>
  <c r="V50" i="23"/>
  <c r="M53" i="23"/>
  <c r="K56" i="23"/>
  <c r="T57" i="23"/>
  <c r="Q60" i="23"/>
  <c r="M64" i="23"/>
  <c r="U65" i="23"/>
  <c r="R72" i="23"/>
  <c r="O75" i="23"/>
  <c r="L79" i="23"/>
  <c r="O11" i="23"/>
  <c r="M15" i="23"/>
  <c r="V16" i="23"/>
  <c r="V84" i="23"/>
  <c r="T14" i="23"/>
  <c r="L25" i="23"/>
  <c r="L37" i="23"/>
  <c r="U44" i="23"/>
  <c r="V49" i="23"/>
  <c r="K55" i="23"/>
  <c r="T60" i="23"/>
  <c r="V67" i="23"/>
  <c r="K71" i="23"/>
  <c r="P78" i="23"/>
  <c r="L85" i="23"/>
  <c r="L48" i="23"/>
  <c r="N53" i="23"/>
  <c r="Q78" i="23"/>
  <c r="M85" i="23"/>
  <c r="U14" i="23"/>
  <c r="M25" i="23"/>
  <c r="M37" i="23"/>
  <c r="V44" i="23"/>
  <c r="L55" i="23"/>
  <c r="U60" i="23"/>
  <c r="L71" i="23"/>
  <c r="V14" i="23"/>
  <c r="M16" i="23"/>
  <c r="N25" i="23"/>
  <c r="O30" i="23"/>
  <c r="N37" i="23"/>
  <c r="M48" i="23"/>
  <c r="R51" i="23"/>
  <c r="V53" i="23"/>
  <c r="M55" i="23"/>
  <c r="V60" i="23"/>
  <c r="K62" i="23"/>
  <c r="M71" i="23"/>
  <c r="R78" i="23"/>
  <c r="N85" i="23"/>
  <c r="Q11" i="23"/>
  <c r="N16" i="23"/>
  <c r="O25" i="23"/>
  <c r="P30" i="23"/>
  <c r="V37" i="23"/>
  <c r="K39" i="23"/>
  <c r="N41" i="23"/>
  <c r="K43" i="23"/>
  <c r="N48" i="23"/>
  <c r="S51" i="23"/>
  <c r="N55" i="23"/>
  <c r="L62" i="23"/>
  <c r="N71" i="23"/>
  <c r="T78" i="23"/>
  <c r="V85" i="23"/>
  <c r="R11" i="23"/>
  <c r="P18" i="23"/>
  <c r="P25" i="23"/>
  <c r="K27" i="23"/>
  <c r="Q30" i="23"/>
  <c r="L32" i="23"/>
  <c r="L39" i="23"/>
  <c r="O41" i="23"/>
  <c r="L43" i="23"/>
  <c r="O48" i="23"/>
  <c r="T51" i="23"/>
  <c r="O55" i="23"/>
  <c r="M62" i="23"/>
  <c r="N64" i="23"/>
  <c r="O71" i="23"/>
  <c r="U78" i="23"/>
  <c r="T80" i="23"/>
  <c r="S11" i="23"/>
  <c r="K13" i="23"/>
  <c r="Q18" i="23"/>
  <c r="Q25" i="23"/>
  <c r="L27" i="23"/>
  <c r="R30" i="23"/>
  <c r="M32" i="23"/>
  <c r="M39" i="23"/>
  <c r="P41" i="23"/>
  <c r="N43" i="23"/>
  <c r="K46" i="23"/>
  <c r="P48" i="23"/>
  <c r="U51" i="23"/>
  <c r="P55" i="23"/>
  <c r="N62" i="23"/>
  <c r="O64" i="23"/>
  <c r="P71" i="23"/>
  <c r="K73" i="23"/>
  <c r="V78" i="23"/>
  <c r="U80" i="23"/>
  <c r="Q10" i="23"/>
  <c r="T15" i="23"/>
  <c r="N17" i="23"/>
  <c r="O24" i="23"/>
  <c r="L28" i="23"/>
  <c r="T36" i="23"/>
  <c r="L40" i="23"/>
  <c r="T45" i="23"/>
  <c r="K47" i="23"/>
  <c r="T52" i="23"/>
  <c r="L61" i="23"/>
  <c r="N63" i="23"/>
  <c r="N70" i="23"/>
  <c r="U77" i="23"/>
  <c r="R79" i="23"/>
  <c r="R10" i="23"/>
  <c r="V15" i="23"/>
  <c r="O17" i="23"/>
  <c r="P24" i="23"/>
  <c r="Q26" i="23"/>
  <c r="M28" i="23"/>
  <c r="U36" i="23"/>
  <c r="M40" i="23"/>
  <c r="U45" i="23"/>
  <c r="L47" i="23"/>
  <c r="U52" i="23"/>
  <c r="L56" i="23"/>
  <c r="M61" i="23"/>
  <c r="O63" i="23"/>
  <c r="O70" i="23"/>
  <c r="S79" i="23"/>
  <c r="S10" i="23"/>
  <c r="P17" i="23"/>
  <c r="Q24" i="23"/>
  <c r="R26" i="23"/>
  <c r="N28" i="23"/>
  <c r="V36" i="23"/>
  <c r="N40" i="23"/>
  <c r="V45" i="23"/>
  <c r="M47" i="23"/>
  <c r="T11" i="23"/>
  <c r="M13" i="23"/>
  <c r="O15" i="23"/>
  <c r="S17" i="23"/>
  <c r="U19" i="23"/>
  <c r="V26" i="23"/>
  <c r="T30" i="23"/>
  <c r="R32" i="23"/>
  <c r="U34" i="23"/>
  <c r="V52" i="23"/>
  <c r="L63" i="23"/>
  <c r="R67" i="23"/>
  <c r="M74" i="23"/>
  <c r="V80" i="23"/>
  <c r="V82" i="23"/>
  <c r="P59" i="23"/>
  <c r="V74" i="23"/>
  <c r="Q59" i="23"/>
  <c r="O27" i="23"/>
  <c r="U11" i="23"/>
  <c r="N13" i="23"/>
  <c r="P15" i="23"/>
  <c r="T17" i="23"/>
  <c r="V19" i="23"/>
  <c r="K24" i="23"/>
  <c r="U30" i="23"/>
  <c r="S32" i="23"/>
  <c r="V34" i="23"/>
  <c r="N39" i="23"/>
  <c r="Q48" i="23"/>
  <c r="M63" i="23"/>
  <c r="S67" i="23"/>
  <c r="N74" i="23"/>
  <c r="K78" i="23"/>
  <c r="M29" i="23"/>
  <c r="V11" i="23"/>
  <c r="O13" i="23"/>
  <c r="Q15" i="23"/>
  <c r="U17" i="23"/>
  <c r="L24" i="23"/>
  <c r="V30" i="23"/>
  <c r="T32" i="23"/>
  <c r="O39" i="23"/>
  <c r="R48" i="23"/>
  <c r="P63" i="23"/>
  <c r="T67" i="23"/>
  <c r="O74" i="23"/>
  <c r="K76" i="23"/>
  <c r="L78" i="23"/>
  <c r="P70" i="23"/>
  <c r="P13" i="23"/>
  <c r="R15" i="23"/>
  <c r="V17" i="23"/>
  <c r="M24" i="23"/>
  <c r="U32" i="23"/>
  <c r="P39" i="23"/>
  <c r="S48" i="23"/>
  <c r="Q63" i="23"/>
  <c r="U67" i="23"/>
  <c r="P74" i="23"/>
  <c r="L76" i="23"/>
  <c r="M78" i="23"/>
  <c r="V13" i="23"/>
  <c r="N27" i="23"/>
  <c r="N29" i="23"/>
  <c r="R13" i="23"/>
  <c r="S15" i="23"/>
  <c r="N24" i="23"/>
  <c r="K44" i="23"/>
  <c r="T48" i="23"/>
  <c r="R63" i="23"/>
  <c r="S72" i="23"/>
  <c r="Q74" i="23"/>
  <c r="M76" i="23"/>
  <c r="N78" i="23"/>
  <c r="L44" i="23"/>
  <c r="K59" i="23"/>
  <c r="S63" i="23"/>
  <c r="T72" i="23"/>
  <c r="R74" i="23"/>
  <c r="O78" i="23"/>
  <c r="M22" i="23"/>
  <c r="K29" i="23"/>
  <c r="L42" i="23"/>
  <c r="P44" i="23"/>
  <c r="R55" i="23"/>
  <c r="O59" i="23"/>
  <c r="L70" i="23"/>
  <c r="U74" i="23"/>
  <c r="N22" i="23"/>
  <c r="L29" i="23"/>
  <c r="M42" i="23"/>
  <c r="M70" i="23"/>
  <c r="R44" i="23"/>
  <c r="N33" i="23"/>
  <c r="S13" i="23"/>
  <c r="R24" i="23"/>
  <c r="U48" i="23"/>
  <c r="Q44" i="23"/>
  <c r="T13" i="23"/>
  <c r="K22" i="23"/>
  <c r="S24" i="23"/>
  <c r="K37" i="23"/>
  <c r="M44" i="23"/>
  <c r="V48" i="23"/>
  <c r="L59" i="23"/>
  <c r="T63" i="23"/>
  <c r="V65" i="23"/>
  <c r="S74" i="23"/>
  <c r="N44" i="23"/>
  <c r="Q55" i="23"/>
  <c r="N59" i="23"/>
  <c r="K61" i="23"/>
  <c r="K70" i="23"/>
  <c r="U57" i="23"/>
  <c r="V57" i="23"/>
  <c r="K85" i="23"/>
  <c r="S44" i="23"/>
  <c r="R59" i="23"/>
  <c r="K68" i="23"/>
  <c r="U13" i="23"/>
  <c r="L22" i="23"/>
  <c r="V63" i="23"/>
  <c r="T74" i="23"/>
  <c r="O22" i="23"/>
  <c r="K14" i="23"/>
  <c r="T25" i="23"/>
  <c r="S28" i="23"/>
  <c r="Q33" i="23"/>
  <c r="U41" i="23"/>
  <c r="Q56" i="23"/>
  <c r="S58" i="23"/>
  <c r="Q64" i="23"/>
  <c r="P73" i="23"/>
  <c r="M79" i="23"/>
  <c r="S18" i="23"/>
  <c r="T18" i="23"/>
  <c r="M77" i="23"/>
  <c r="L14" i="23"/>
  <c r="Q17" i="23"/>
  <c r="U25" i="23"/>
  <c r="T28" i="23"/>
  <c r="R33" i="23"/>
  <c r="V41" i="23"/>
  <c r="R56" i="23"/>
  <c r="T58" i="23"/>
  <c r="R64" i="23"/>
  <c r="Q73" i="23"/>
  <c r="N79" i="23"/>
  <c r="S26" i="23"/>
  <c r="M14" i="23"/>
  <c r="R17" i="23"/>
  <c r="V25" i="23"/>
  <c r="U28" i="23"/>
  <c r="S33" i="23"/>
  <c r="S56" i="23"/>
  <c r="S64" i="23"/>
  <c r="O79" i="23"/>
  <c r="K20" i="23"/>
  <c r="R18" i="23"/>
  <c r="N14" i="23"/>
  <c r="V28" i="23"/>
  <c r="T33" i="23"/>
  <c r="T56" i="23"/>
  <c r="T64" i="23"/>
  <c r="P79" i="23"/>
  <c r="O14" i="23"/>
  <c r="U33" i="23"/>
  <c r="N47" i="23"/>
  <c r="U64" i="23"/>
  <c r="Q79" i="23"/>
  <c r="P82" i="23"/>
  <c r="K12" i="23"/>
  <c r="T82" i="23"/>
  <c r="S45" i="23"/>
  <c r="L74" i="23"/>
  <c r="U59" i="23"/>
  <c r="U68" i="23"/>
  <c r="K77" i="23"/>
  <c r="L10" i="23"/>
  <c r="P34" i="23"/>
  <c r="K54" i="23"/>
  <c r="V59" i="23"/>
  <c r="V68" i="23"/>
  <c r="L77" i="23"/>
  <c r="Q34" i="23"/>
  <c r="K40" i="23"/>
  <c r="L54" i="23"/>
  <c r="P14" i="23"/>
  <c r="V33" i="23"/>
  <c r="K36" i="23"/>
  <c r="O47" i="23"/>
  <c r="V64" i="23"/>
  <c r="T79" i="23"/>
  <c r="Q82" i="23"/>
  <c r="Q14" i="23"/>
  <c r="K31" i="23"/>
  <c r="L36" i="23"/>
  <c r="P47" i="23"/>
  <c r="V79" i="23"/>
  <c r="R82" i="23"/>
  <c r="R14" i="23"/>
  <c r="L31" i="23"/>
  <c r="Q47" i="23"/>
  <c r="S82" i="23"/>
  <c r="M31" i="23"/>
  <c r="R47" i="23"/>
  <c r="L12" i="23"/>
  <c r="S47" i="23"/>
  <c r="U82" i="23"/>
  <c r="M12" i="23"/>
  <c r="R45" i="23"/>
  <c r="T47" i="23"/>
  <c r="S59" i="23"/>
  <c r="L68" i="23"/>
  <c r="Q71" i="23"/>
  <c r="N12" i="23"/>
  <c r="T59" i="23"/>
  <c r="T68" i="23"/>
  <c r="R71" i="23"/>
  <c r="P12" i="23"/>
  <c r="T26" i="23"/>
  <c r="M10" i="23"/>
  <c r="O43" i="23"/>
  <c r="T10" i="23"/>
  <c r="L21" i="23"/>
  <c r="S29" i="23"/>
  <c r="R40" i="23"/>
  <c r="S43" i="23"/>
  <c r="R62" i="23"/>
  <c r="Q75" i="23"/>
  <c r="R77" i="23"/>
  <c r="R83" i="23"/>
  <c r="U10" i="23"/>
  <c r="M21" i="23"/>
  <c r="P27" i="23"/>
  <c r="T29" i="23"/>
  <c r="N32" i="23"/>
  <c r="S40" i="23"/>
  <c r="T43" i="23"/>
  <c r="R75" i="23"/>
  <c r="S77" i="23"/>
  <c r="S83" i="23"/>
  <c r="V10" i="23"/>
  <c r="N21" i="23"/>
  <c r="U29" i="23"/>
  <c r="O32" i="23"/>
  <c r="T40" i="23"/>
  <c r="U43" i="23"/>
  <c r="S75" i="23"/>
  <c r="T77" i="23"/>
  <c r="T83" i="23"/>
  <c r="V21" i="23"/>
  <c r="V29" i="23"/>
  <c r="P32" i="23"/>
  <c r="V43" i="23"/>
  <c r="T75" i="23"/>
  <c r="U83" i="23"/>
  <c r="Q32" i="23"/>
  <c r="U75" i="23"/>
  <c r="V83" i="23"/>
  <c r="V75" i="23"/>
  <c r="L13" i="23"/>
  <c r="O49" i="23"/>
  <c r="R60" i="23"/>
  <c r="K63" i="23"/>
  <c r="P66" i="23"/>
  <c r="N81" i="23"/>
  <c r="P49" i="23"/>
  <c r="K52" i="23"/>
  <c r="L58" i="23"/>
  <c r="S60" i="23"/>
  <c r="Q66" i="23"/>
  <c r="O81" i="23"/>
  <c r="Q49" i="23"/>
  <c r="L52" i="23"/>
  <c r="M58" i="23"/>
  <c r="R66" i="23"/>
  <c r="P81" i="23"/>
  <c r="R49" i="23"/>
  <c r="N58" i="23"/>
  <c r="T19" i="23"/>
  <c r="R25" i="23"/>
  <c r="Q28" i="23"/>
  <c r="O33" i="23"/>
  <c r="S41" i="23"/>
  <c r="U49" i="23"/>
  <c r="O56" i="23"/>
  <c r="Q58" i="23"/>
  <c r="N73" i="23"/>
  <c r="P22" i="23"/>
  <c r="S25" i="23"/>
  <c r="R28" i="23"/>
  <c r="P33" i="23"/>
  <c r="T41" i="23"/>
  <c r="T44" i="23"/>
  <c r="P56" i="23"/>
  <c r="R58" i="23"/>
  <c r="P64" i="23"/>
  <c r="O73" i="23"/>
  <c r="U26" i="23"/>
  <c r="K21" i="23"/>
  <c r="P75" i="23"/>
  <c r="R81" i="23"/>
  <c r="O62" i="23"/>
  <c r="N10" i="23"/>
  <c r="P10" i="23"/>
  <c r="L73" i="23"/>
  <c r="M73" i="23"/>
  <c r="V18" i="23"/>
  <c r="M54" i="23"/>
  <c r="S66" i="23"/>
  <c r="Q62" i="23"/>
  <c r="O40" i="23"/>
  <c r="Q41" i="23"/>
  <c r="R19" i="23"/>
  <c r="P40" i="23"/>
  <c r="O10" i="23"/>
  <c r="S19" i="23"/>
  <c r="Q40" i="23"/>
  <c r="P62" i="23"/>
  <c r="U18" i="23"/>
  <c r="S49" i="23"/>
  <c r="O58" i="23"/>
  <c r="T49" i="23"/>
  <c r="P58" i="23"/>
  <c r="Q81" i="23"/>
  <c r="R41" i="23"/>
  <c r="N77" i="23"/>
  <c r="K28" i="23"/>
  <c r="O77" i="23"/>
  <c r="P28" i="23"/>
  <c r="P77" i="23"/>
  <c r="V51" i="23"/>
  <c r="M56" i="23"/>
  <c r="P43" i="23"/>
  <c r="N56" i="23"/>
  <c r="Q43" i="23"/>
  <c r="R43" i="23"/>
  <c r="R34" i="23"/>
  <c r="S34" i="23"/>
  <c r="O29" i="23"/>
  <c r="T34" i="23"/>
  <c r="P29" i="23"/>
  <c r="K25" i="23"/>
  <c r="R29" i="23"/>
  <c r="U76" i="23"/>
  <c r="R35" i="23"/>
  <c r="K67" i="23"/>
  <c r="V72" i="23"/>
  <c r="L18" i="23"/>
  <c r="S21" i="23"/>
  <c r="N34" i="23"/>
  <c r="S36" i="23"/>
  <c r="U31" i="23"/>
  <c r="O85" i="23"/>
  <c r="P36" i="23"/>
  <c r="K49" i="23"/>
  <c r="K64" i="23"/>
  <c r="U23" i="23"/>
  <c r="M65" i="23"/>
  <c r="K34" i="23"/>
  <c r="Q67" i="23"/>
  <c r="O36" i="23"/>
  <c r="T23" i="23"/>
  <c r="U54" i="23"/>
  <c r="M38" i="23"/>
  <c r="V35" i="23"/>
  <c r="K75" i="23"/>
  <c r="P31" i="23"/>
  <c r="M68" i="23"/>
  <c r="L83" i="23"/>
  <c r="N19" i="23"/>
  <c r="U22" i="23"/>
  <c r="P35" i="23"/>
  <c r="U37" i="23"/>
  <c r="K42" i="23"/>
  <c r="L19" i="23"/>
  <c r="M50" i="23"/>
  <c r="T53" i="23"/>
  <c r="O60" i="23"/>
  <c r="Q61" i="23"/>
  <c r="M35" i="23"/>
  <c r="S62" i="23"/>
  <c r="L50" i="23"/>
  <c r="S38" i="23"/>
  <c r="K80" i="23"/>
  <c r="O72" i="23"/>
  <c r="S27" i="23"/>
  <c r="O69" i="23"/>
  <c r="N84" i="23"/>
  <c r="P20" i="23"/>
  <c r="K33" i="23"/>
  <c r="R36" i="23"/>
  <c r="K48" i="23"/>
  <c r="M43" i="23"/>
  <c r="S22" i="23"/>
  <c r="M59" i="23"/>
  <c r="N20" i="23"/>
  <c r="T38" i="23"/>
  <c r="O51" i="23"/>
  <c r="V54" i="23"/>
  <c r="O66" i="23"/>
  <c r="P21" i="23"/>
  <c r="L65" i="23"/>
  <c r="N66" i="23"/>
  <c r="Q37" i="23"/>
  <c r="N51" i="23"/>
  <c r="U69" i="23"/>
  <c r="V24" i="23"/>
  <c r="R68" i="23"/>
  <c r="U39" i="23"/>
  <c r="M66" i="23"/>
  <c r="M81" i="23"/>
  <c r="L23" i="23"/>
  <c r="Q70" i="23"/>
  <c r="P85" i="23"/>
  <c r="R21" i="23"/>
  <c r="M34" i="23"/>
  <c r="T37" i="23"/>
  <c r="M49" i="23"/>
  <c r="O44" i="23"/>
  <c r="Q52" i="23"/>
  <c r="S68" i="23"/>
  <c r="K74" i="23"/>
  <c r="U20" i="23"/>
  <c r="S71" i="23"/>
  <c r="K18" i="23"/>
  <c r="T22" i="23"/>
  <c r="O35" i="23"/>
  <c r="V38" i="23"/>
  <c r="O50" i="23"/>
  <c r="Q45" i="23"/>
  <c r="S50" i="23"/>
  <c r="M45" i="23"/>
  <c r="T42" i="23"/>
  <c r="P52" i="23"/>
  <c r="L35" i="23"/>
  <c r="R53" i="23"/>
  <c r="T69" i="23"/>
  <c r="R65" i="23"/>
  <c r="U72" i="23"/>
  <c r="M19" i="23"/>
  <c r="V23" i="23"/>
  <c r="Q36" i="23"/>
  <c r="L49" i="23"/>
  <c r="Q51" i="23"/>
  <c r="S46" i="23"/>
  <c r="R52" i="23"/>
  <c r="R37" i="23"/>
  <c r="V39" i="23"/>
  <c r="R22" i="23"/>
  <c r="S53" i="23"/>
  <c r="U63" i="23"/>
  <c r="P67" i="23"/>
  <c r="K19" i="23"/>
  <c r="K65" i="23"/>
  <c r="O76" i="23"/>
  <c r="U61" i="23"/>
  <c r="Q16" i="23"/>
  <c r="K83" i="23"/>
  <c r="O20" i="23"/>
  <c r="L34" i="23"/>
  <c r="S37" i="23"/>
  <c r="N50" i="23"/>
  <c r="S52" i="23"/>
  <c r="U47" i="23"/>
  <c r="M60" i="23"/>
  <c r="M84" i="23"/>
  <c r="Q21" i="23"/>
  <c r="N35" i="23"/>
  <c r="U38" i="23"/>
  <c r="P51" i="23"/>
  <c r="U53" i="23"/>
  <c r="K58" i="23"/>
  <c r="Q57" i="23"/>
  <c r="T12" i="23"/>
  <c r="R46" i="23"/>
  <c r="M75" i="23"/>
  <c r="K30" i="23"/>
  <c r="T73" i="23"/>
  <c r="S23" i="23"/>
  <c r="R38" i="23"/>
  <c r="O52" i="23"/>
  <c r="L66" i="23"/>
  <c r="S69" i="23"/>
  <c r="N82" i="23"/>
  <c r="S84" i="23"/>
  <c r="U79" i="23"/>
  <c r="M26" i="23"/>
  <c r="K72" i="23"/>
  <c r="U24" i="23"/>
  <c r="T39" i="23"/>
  <c r="Q53" i="23"/>
  <c r="N67" i="23"/>
  <c r="U70" i="23"/>
  <c r="P83" i="23"/>
  <c r="U85" i="23"/>
  <c r="S12" i="23"/>
  <c r="N65" i="23"/>
  <c r="O37" i="23"/>
  <c r="N52" i="23"/>
  <c r="K66" i="23"/>
  <c r="T70" i="23"/>
  <c r="O83" i="23"/>
  <c r="K16" i="23"/>
  <c r="M11" i="23"/>
  <c r="U16" i="23"/>
  <c r="V62" i="23"/>
  <c r="Q38" i="23"/>
  <c r="P53" i="23"/>
  <c r="M67" i="23"/>
  <c r="V71" i="23"/>
  <c r="Q84" i="23"/>
  <c r="M17" i="23"/>
  <c r="O12" i="23"/>
  <c r="L15" i="23"/>
  <c r="P61" i="23"/>
  <c r="S39" i="23"/>
  <c r="R54" i="23"/>
  <c r="O68" i="23"/>
  <c r="L82" i="23"/>
  <c r="S85" i="23"/>
  <c r="O18" i="23"/>
  <c r="Q13" i="23"/>
  <c r="N11" i="23"/>
  <c r="M57" i="23"/>
  <c r="U40" i="23"/>
  <c r="T55" i="23"/>
  <c r="Q69" i="23"/>
  <c r="N83" i="23"/>
  <c r="L17" i="23"/>
  <c r="Q19" i="23"/>
  <c r="S14" i="23"/>
  <c r="K51" i="23"/>
  <c r="V56" i="23"/>
  <c r="S70" i="23"/>
  <c r="P84" i="23"/>
  <c r="N18" i="23"/>
  <c r="S20" i="23"/>
  <c r="U15" i="23"/>
  <c r="P54" i="23"/>
  <c r="M52" i="23"/>
  <c r="L67" i="23"/>
  <c r="U71" i="23"/>
  <c r="R85" i="23"/>
  <c r="P19" i="23"/>
  <c r="U21" i="23"/>
  <c r="K26" i="23"/>
  <c r="O53" i="23"/>
  <c r="N68" i="23"/>
  <c r="K82" i="23"/>
  <c r="K17" i="23"/>
  <c r="R20" i="23"/>
  <c r="K32" i="23"/>
  <c r="M27" i="23"/>
  <c r="U84" i="23"/>
  <c r="Q54" i="23"/>
  <c r="P69" i="23"/>
  <c r="M83" i="23"/>
  <c r="M18" i="23"/>
  <c r="P23" i="23"/>
  <c r="M69" i="23"/>
  <c r="K35" i="23"/>
  <c r="V40" i="23"/>
  <c r="S54" i="23"/>
  <c r="P68" i="23"/>
  <c r="K81" i="23"/>
  <c r="R84" i="23"/>
  <c r="L16" i="23"/>
  <c r="V66" i="23"/>
  <c r="M36" i="23"/>
  <c r="L51" i="23"/>
  <c r="U55" i="23"/>
  <c r="R69" i="23"/>
  <c r="M82" i="23"/>
  <c r="T85" i="23"/>
  <c r="K10" i="23"/>
  <c r="V55" i="23"/>
  <c r="T54" i="23"/>
  <c r="U56" i="23"/>
  <c r="S55" i="23"/>
  <c r="Q22" i="23"/>
  <c r="S78" i="23"/>
  <c r="O21" i="23"/>
  <c r="Q77" i="23"/>
  <c r="M20" i="23"/>
  <c r="S30" i="23"/>
  <c r="Q29" i="23"/>
  <c r="O28" i="23"/>
  <c r="Q83" i="23"/>
  <c r="O82" i="23"/>
  <c r="Q35" i="23"/>
  <c r="O34" i="23"/>
  <c r="T31" i="23"/>
  <c r="AA61" i="21"/>
  <c r="Z29" i="21"/>
  <c r="AE81" i="21"/>
  <c r="AC25" i="21"/>
  <c r="Y54" i="21"/>
  <c r="Z25" i="21"/>
  <c r="Z43" i="21"/>
  <c r="AA54" i="21"/>
  <c r="AC22" i="21"/>
  <c r="AA29" i="21"/>
  <c r="W25" i="21"/>
  <c r="AE80" i="21"/>
  <c r="Y81" i="21"/>
  <c r="X71" i="21"/>
  <c r="Y80" i="21"/>
  <c r="AA75" i="21"/>
  <c r="Y71" i="21"/>
  <c r="W72" i="21"/>
  <c r="X31" i="21"/>
  <c r="X29" i="21"/>
  <c r="AB45" i="21"/>
  <c r="AA25" i="21"/>
  <c r="W56" i="21"/>
  <c r="AB25" i="21"/>
  <c r="Z13" i="21"/>
  <c r="AE70" i="21"/>
  <c r="W71" i="21"/>
  <c r="AC81" i="21"/>
  <c r="Y38" i="21"/>
  <c r="AD80" i="21"/>
  <c r="Y55" i="21"/>
  <c r="AC75" i="21"/>
  <c r="AD41" i="21"/>
  <c r="Y13" i="21"/>
  <c r="Z80" i="21"/>
  <c r="AD55" i="21"/>
  <c r="W13" i="21"/>
  <c r="AA17" i="21"/>
  <c r="W54" i="21"/>
  <c r="AB15" i="21"/>
  <c r="AE54" i="21"/>
  <c r="Y43" i="21"/>
  <c r="AE45" i="21"/>
  <c r="Z75" i="21"/>
  <c r="AE61" i="21"/>
  <c r="AD36" i="21"/>
  <c r="X13" i="21"/>
  <c r="AE13" i="21"/>
  <c r="AA31" i="21"/>
  <c r="AE41" i="21"/>
  <c r="Z17" i="21"/>
  <c r="X78" i="20"/>
  <c r="AA49" i="21"/>
  <c r="X53" i="21"/>
  <c r="AB75" i="21"/>
  <c r="AB43" i="21"/>
  <c r="AE71" i="21"/>
  <c r="AB85" i="21"/>
  <c r="AD25" i="21"/>
  <c r="W29" i="21"/>
  <c r="AA43" i="21"/>
  <c r="Z31" i="21"/>
  <c r="W80" i="21"/>
  <c r="Z54" i="21"/>
  <c r="X25" i="21"/>
  <c r="W64" i="21"/>
  <c r="AC85" i="21"/>
  <c r="AD63" i="21"/>
  <c r="W33" i="21"/>
  <c r="Z78" i="20"/>
  <c r="AD75" i="21"/>
  <c r="AC21" i="21"/>
  <c r="X75" i="21"/>
  <c r="Z41" i="21"/>
  <c r="AA69" i="21"/>
  <c r="Y31" i="21"/>
  <c r="AA55" i="21"/>
  <c r="AD29" i="21"/>
  <c r="W31" i="21"/>
  <c r="Y25" i="21"/>
  <c r="X72" i="21"/>
  <c r="AD17" i="21"/>
  <c r="AC46" i="21"/>
  <c r="W43" i="21"/>
  <c r="X23" i="21"/>
  <c r="AE29" i="21"/>
  <c r="AE39" i="20"/>
  <c r="AC29" i="21"/>
  <c r="Z72" i="21"/>
  <c r="Z85" i="21"/>
  <c r="Y29" i="21"/>
  <c r="X54" i="21"/>
  <c r="W69" i="21"/>
  <c r="AA78" i="20"/>
  <c r="AA59" i="21"/>
  <c r="AE75" i="21"/>
  <c r="AC61" i="21"/>
  <c r="Y75" i="21"/>
  <c r="W75" i="21"/>
  <c r="AD72" i="21"/>
  <c r="Y46" i="21"/>
  <c r="AC53" i="21"/>
  <c r="Y17" i="21"/>
  <c r="AB84" i="21"/>
  <c r="W84" i="21"/>
  <c r="X84" i="21"/>
  <c r="Y84" i="21"/>
  <c r="Z84" i="21"/>
  <c r="W53" i="21"/>
  <c r="AB53" i="21"/>
  <c r="Y53" i="21"/>
  <c r="Z53" i="21"/>
  <c r="AA53" i="21"/>
  <c r="Y49" i="21"/>
  <c r="AC69" i="21"/>
  <c r="AC36" i="21"/>
  <c r="Y74" i="21"/>
  <c r="Z74" i="21"/>
  <c r="AA74" i="21"/>
  <c r="W74" i="21"/>
  <c r="X74" i="21"/>
  <c r="AB74" i="21"/>
  <c r="AD74" i="21"/>
  <c r="AE74" i="21"/>
  <c r="AC74" i="21"/>
  <c r="W14" i="21"/>
  <c r="Y14" i="21"/>
  <c r="X14" i="21"/>
  <c r="Z14" i="21"/>
  <c r="AE84" i="21"/>
  <c r="AA64" i="21"/>
  <c r="Z36" i="21"/>
  <c r="AC76" i="21"/>
  <c r="AD76" i="21"/>
  <c r="AE76" i="21"/>
  <c r="W76" i="21"/>
  <c r="AB76" i="21"/>
  <c r="X76" i="21"/>
  <c r="Z76" i="21"/>
  <c r="AA76" i="21"/>
  <c r="Y76" i="21"/>
  <c r="X17" i="21"/>
  <c r="X48" i="21"/>
  <c r="Y48" i="21"/>
  <c r="AD48" i="21"/>
  <c r="AE48" i="21"/>
  <c r="AA84" i="21"/>
  <c r="X43" i="21"/>
  <c r="W36" i="21"/>
  <c r="Z64" i="21"/>
  <c r="AB77" i="21"/>
  <c r="AA77" i="21"/>
  <c r="AC77" i="21"/>
  <c r="AB29" i="21"/>
  <c r="Y72" i="21"/>
  <c r="Y36" i="21"/>
  <c r="AD52" i="21"/>
  <c r="W52" i="21"/>
  <c r="X52" i="21"/>
  <c r="Y52" i="21"/>
  <c r="AB52" i="21"/>
  <c r="W82" i="21"/>
  <c r="AA82" i="21"/>
  <c r="AE82" i="21"/>
  <c r="AD82" i="21"/>
  <c r="X82" i="21"/>
  <c r="Y82" i="21"/>
  <c r="Z82" i="21"/>
  <c r="AB82" i="21"/>
  <c r="AC82" i="21"/>
  <c r="W16" i="21"/>
  <c r="AB16" i="21"/>
  <c r="AA16" i="21"/>
  <c r="AC16" i="21"/>
  <c r="AD16" i="21"/>
  <c r="AE16" i="21"/>
  <c r="Y16" i="21"/>
  <c r="X16" i="21"/>
  <c r="Z16" i="21"/>
  <c r="AD53" i="21"/>
  <c r="AA23" i="21"/>
  <c r="X36" i="21"/>
  <c r="W81" i="21"/>
  <c r="X81" i="21"/>
  <c r="Z81" i="21"/>
  <c r="AA81" i="21"/>
  <c r="X33" i="21"/>
  <c r="Z33" i="21"/>
  <c r="AA33" i="21"/>
  <c r="AB33" i="21"/>
  <c r="AC33" i="21"/>
  <c r="AD33" i="21"/>
  <c r="AE33" i="21"/>
  <c r="Z23" i="21"/>
  <c r="AE36" i="21"/>
  <c r="W40" i="21"/>
  <c r="AA40" i="21"/>
  <c r="AC40" i="21"/>
  <c r="AD40" i="21"/>
  <c r="AE40" i="21"/>
  <c r="Y40" i="21"/>
  <c r="Z40" i="21"/>
  <c r="AB40" i="21"/>
  <c r="X40" i="21"/>
  <c r="W32" i="21"/>
  <c r="AE32" i="21"/>
  <c r="X32" i="21"/>
  <c r="Y32" i="21"/>
  <c r="Z32" i="21"/>
  <c r="AA32" i="21"/>
  <c r="AB32" i="21"/>
  <c r="AC32" i="21"/>
  <c r="AD32" i="21"/>
  <c r="AB72" i="21"/>
  <c r="Y41" i="21"/>
  <c r="Y23" i="21"/>
  <c r="AA36" i="21"/>
  <c r="Z55" i="21"/>
  <c r="AE53" i="21"/>
  <c r="X15" i="21"/>
  <c r="W15" i="21"/>
  <c r="Y15" i="21"/>
  <c r="AD56" i="21"/>
  <c r="AE56" i="21"/>
  <c r="AA68" i="21"/>
  <c r="AE68" i="21"/>
  <c r="X68" i="21"/>
  <c r="Y68" i="21"/>
  <c r="Z68" i="21"/>
  <c r="AB68" i="21"/>
  <c r="AC68" i="21"/>
  <c r="AD68" i="21"/>
  <c r="W68" i="21"/>
  <c r="AA52" i="21"/>
  <c r="X46" i="21"/>
  <c r="AE55" i="21"/>
  <c r="W63" i="21"/>
  <c r="Y20" i="21"/>
  <c r="AB20" i="21"/>
  <c r="Z20" i="21"/>
  <c r="AC20" i="21"/>
  <c r="W20" i="21"/>
  <c r="X20" i="21"/>
  <c r="AD20" i="21"/>
  <c r="W24" i="21"/>
  <c r="AB24" i="21"/>
  <c r="AC24" i="21"/>
  <c r="AD24" i="21"/>
  <c r="AE24" i="21"/>
  <c r="X24" i="21"/>
  <c r="Y24" i="21"/>
  <c r="Z24" i="21"/>
  <c r="AA24" i="21"/>
  <c r="AC17" i="21"/>
  <c r="AB17" i="21"/>
  <c r="Y51" i="21"/>
  <c r="AC51" i="21"/>
  <c r="W51" i="21"/>
  <c r="X51" i="21"/>
  <c r="AA51" i="21"/>
  <c r="AB51" i="21"/>
  <c r="Z51" i="21"/>
  <c r="AD51" i="21"/>
  <c r="AE51" i="21"/>
  <c r="AC23" i="21"/>
  <c r="AB23" i="21"/>
  <c r="AD23" i="21"/>
  <c r="AC38" i="21"/>
  <c r="AB38" i="21"/>
  <c r="AD38" i="21"/>
  <c r="Z71" i="21"/>
  <c r="AD71" i="21"/>
  <c r="AC71" i="21"/>
  <c r="X41" i="21"/>
  <c r="Y10" i="21"/>
  <c r="Z10" i="21"/>
  <c r="AA10" i="21"/>
  <c r="X10" i="21"/>
  <c r="W10" i="21"/>
  <c r="AE10" i="21"/>
  <c r="AD10" i="21"/>
  <c r="AB10" i="21"/>
  <c r="AC10" i="21"/>
  <c r="AC78" i="21"/>
  <c r="X78" i="21"/>
  <c r="AA78" i="21"/>
  <c r="AB78" i="21"/>
  <c r="AD78" i="21"/>
  <c r="AE78" i="21"/>
  <c r="W78" i="21"/>
  <c r="Y78" i="21"/>
  <c r="Z78" i="21"/>
  <c r="AA27" i="21"/>
  <c r="AB27" i="21"/>
  <c r="AC27" i="21"/>
  <c r="W27" i="21"/>
  <c r="AE27" i="21"/>
  <c r="X27" i="21"/>
  <c r="Y27" i="21"/>
  <c r="Z27" i="21"/>
  <c r="AD27" i="21"/>
  <c r="AB81" i="21"/>
  <c r="W41" i="21"/>
  <c r="AA41" i="21"/>
  <c r="Y33" i="21"/>
  <c r="W23" i="21"/>
  <c r="Y67" i="21"/>
  <c r="AC67" i="21"/>
  <c r="W67" i="21"/>
  <c r="AD67" i="21"/>
  <c r="AE67" i="21"/>
  <c r="Z67" i="21"/>
  <c r="AA67" i="21"/>
  <c r="X67" i="21"/>
  <c r="AB67" i="21"/>
  <c r="AC12" i="21"/>
  <c r="AD12" i="21"/>
  <c r="AE12" i="21"/>
  <c r="Z12" i="21"/>
  <c r="AA12" i="21"/>
  <c r="AB12" i="21"/>
  <c r="W12" i="21"/>
  <c r="X12" i="21"/>
  <c r="Y12" i="21"/>
  <c r="Y65" i="21"/>
  <c r="AA65" i="21"/>
  <c r="AB65" i="21"/>
  <c r="AC65" i="21"/>
  <c r="AE65" i="21"/>
  <c r="X65" i="21"/>
  <c r="Z65" i="21"/>
  <c r="AD65" i="21"/>
  <c r="W65" i="21"/>
  <c r="X64" i="21"/>
  <c r="AA13" i="21"/>
  <c r="AB13" i="21"/>
  <c r="AC13" i="21"/>
  <c r="AD13" i="21"/>
  <c r="AB47" i="21"/>
  <c r="AC47" i="21"/>
  <c r="W47" i="21"/>
  <c r="X47" i="21"/>
  <c r="Y47" i="21"/>
  <c r="Z47" i="21"/>
  <c r="AA47" i="21"/>
  <c r="AD47" i="21"/>
  <c r="AE47" i="21"/>
  <c r="W22" i="21"/>
  <c r="AA22" i="21"/>
  <c r="Z22" i="21"/>
  <c r="AB22" i="21"/>
  <c r="X22" i="21"/>
  <c r="Z52" i="21"/>
  <c r="Y64" i="21"/>
  <c r="AA38" i="21"/>
  <c r="Z15" i="21"/>
  <c r="X69" i="21"/>
  <c r="Z69" i="21"/>
  <c r="Y69" i="21"/>
  <c r="AA11" i="21"/>
  <c r="AB11" i="21"/>
  <c r="AC11" i="21"/>
  <c r="W11" i="21"/>
  <c r="AD11" i="21"/>
  <c r="Y11" i="21"/>
  <c r="Z11" i="21"/>
  <c r="AE11" i="21"/>
  <c r="X11" i="21"/>
  <c r="AE52" i="21"/>
  <c r="AD69" i="21"/>
  <c r="W57" i="21"/>
  <c r="X57" i="21"/>
  <c r="Y57" i="21"/>
  <c r="AB57" i="21"/>
  <c r="AE57" i="21"/>
  <c r="AC57" i="21"/>
  <c r="AA57" i="21"/>
  <c r="Z57" i="21"/>
  <c r="AD57" i="21"/>
  <c r="AB69" i="21"/>
  <c r="AD81" i="21"/>
  <c r="AA15" i="21"/>
  <c r="X38" i="21"/>
  <c r="AE14" i="21"/>
  <c r="AB46" i="21"/>
  <c r="AA63" i="21"/>
  <c r="AA85" i="21"/>
  <c r="X49" i="21"/>
  <c r="AC84" i="21"/>
  <c r="Z38" i="21"/>
  <c r="Y26" i="21"/>
  <c r="Z26" i="21"/>
  <c r="AA26" i="21"/>
  <c r="X26" i="21"/>
  <c r="AB26" i="21"/>
  <c r="W26" i="21"/>
  <c r="AC26" i="21"/>
  <c r="AE26" i="21"/>
  <c r="AD26" i="21"/>
  <c r="AD84" i="21"/>
  <c r="AE21" i="21"/>
  <c r="W38" i="21"/>
  <c r="AD14" i="21"/>
  <c r="AA46" i="21"/>
  <c r="AA72" i="21"/>
  <c r="AC55" i="21"/>
  <c r="AC63" i="21"/>
  <c r="Y85" i="21"/>
  <c r="X70" i="21"/>
  <c r="AA20" i="21"/>
  <c r="Y83" i="21"/>
  <c r="AC83" i="21"/>
  <c r="AB83" i="21"/>
  <c r="W83" i="21"/>
  <c r="AD83" i="21"/>
  <c r="AE83" i="21"/>
  <c r="AA83" i="21"/>
  <c r="X83" i="21"/>
  <c r="Z83" i="21"/>
  <c r="AC28" i="21"/>
  <c r="AD28" i="21"/>
  <c r="AE28" i="21"/>
  <c r="W28" i="21"/>
  <c r="X28" i="21"/>
  <c r="AB28" i="21"/>
  <c r="Y28" i="21"/>
  <c r="Z28" i="21"/>
  <c r="AA28" i="21"/>
  <c r="Y22" i="21"/>
  <c r="Z21" i="21"/>
  <c r="AE38" i="21"/>
  <c r="AC14" i="21"/>
  <c r="W46" i="21"/>
  <c r="Z59" i="21"/>
  <c r="AB63" i="21"/>
  <c r="X85" i="21"/>
  <c r="AC70" i="21"/>
  <c r="AE22" i="21"/>
  <c r="AE15" i="21"/>
  <c r="AC41" i="21"/>
  <c r="AB14" i="21"/>
  <c r="Y59" i="21"/>
  <c r="Y63" i="21"/>
  <c r="W85" i="21"/>
  <c r="Y70" i="21"/>
  <c r="AC72" i="21"/>
  <c r="Y58" i="21"/>
  <c r="Z58" i="21"/>
  <c r="AA58" i="21"/>
  <c r="AC58" i="21"/>
  <c r="AD58" i="21"/>
  <c r="AE58" i="21"/>
  <c r="X58" i="21"/>
  <c r="W58" i="21"/>
  <c r="AB58" i="21"/>
  <c r="W17" i="21"/>
  <c r="W49" i="21"/>
  <c r="AB36" i="21"/>
  <c r="X55" i="21"/>
  <c r="W55" i="21"/>
  <c r="AE30" i="21"/>
  <c r="W30" i="21"/>
  <c r="Y30" i="21"/>
  <c r="AC30" i="21"/>
  <c r="X30" i="21"/>
  <c r="AD30" i="21"/>
  <c r="Z30" i="21"/>
  <c r="AA30" i="21"/>
  <c r="AB30" i="21"/>
  <c r="AD15" i="21"/>
  <c r="AD22" i="21"/>
  <c r="AB41" i="21"/>
  <c r="AC48" i="21"/>
  <c r="AA14" i="21"/>
  <c r="AE59" i="21"/>
  <c r="Z77" i="21"/>
  <c r="W70" i="21"/>
  <c r="AA71" i="21"/>
  <c r="W50" i="21"/>
  <c r="AA50" i="21"/>
  <c r="AB50" i="21"/>
  <c r="AC50" i="21"/>
  <c r="AD50" i="21"/>
  <c r="X50" i="21"/>
  <c r="Y50" i="21"/>
  <c r="Z50" i="21"/>
  <c r="AE50" i="21"/>
  <c r="AB71" i="21"/>
  <c r="AD85" i="21"/>
  <c r="AE85" i="21"/>
  <c r="Z46" i="21"/>
  <c r="W34" i="21"/>
  <c r="AA34" i="21"/>
  <c r="X34" i="21"/>
  <c r="Y34" i="21"/>
  <c r="Z34" i="21"/>
  <c r="AB34" i="21"/>
  <c r="AC34" i="21"/>
  <c r="AD34" i="21"/>
  <c r="AE34" i="21"/>
  <c r="AC31" i="21"/>
  <c r="AD31" i="21"/>
  <c r="AE31" i="21"/>
  <c r="AB31" i="21"/>
  <c r="Y39" i="21"/>
  <c r="Z39" i="21"/>
  <c r="AA39" i="21"/>
  <c r="AC39" i="21"/>
  <c r="AD39" i="21"/>
  <c r="X39" i="21"/>
  <c r="AE39" i="21"/>
  <c r="AB39" i="21"/>
  <c r="W39" i="21"/>
  <c r="AC15" i="21"/>
  <c r="AD45" i="21"/>
  <c r="AB48" i="21"/>
  <c r="AD59" i="21"/>
  <c r="Y77" i="21"/>
  <c r="Z56" i="21"/>
  <c r="AD70" i="21"/>
  <c r="AB80" i="21"/>
  <c r="X21" i="21"/>
  <c r="AA21" i="21"/>
  <c r="AB21" i="21"/>
  <c r="Y21" i="21"/>
  <c r="AD21" i="21"/>
  <c r="W79" i="21"/>
  <c r="X79" i="21"/>
  <c r="Y79" i="21"/>
  <c r="Z79" i="21"/>
  <c r="AC79" i="21"/>
  <c r="AE79" i="21"/>
  <c r="AA79" i="21"/>
  <c r="AD79" i="21"/>
  <c r="AB79" i="21"/>
  <c r="AB49" i="21"/>
  <c r="AC52" i="21"/>
  <c r="AE69" i="21"/>
  <c r="AA48" i="21"/>
  <c r="W59" i="21"/>
  <c r="W77" i="21"/>
  <c r="AB56" i="21"/>
  <c r="AB70" i="21"/>
  <c r="W73" i="21"/>
  <c r="X73" i="21"/>
  <c r="Y73" i="21"/>
  <c r="Z73" i="21"/>
  <c r="AE73" i="21"/>
  <c r="AA73" i="21"/>
  <c r="AB73" i="21"/>
  <c r="AC73" i="21"/>
  <c r="AD73" i="21"/>
  <c r="Y42" i="21"/>
  <c r="Z42" i="21"/>
  <c r="AA42" i="21"/>
  <c r="AE42" i="21"/>
  <c r="X42" i="21"/>
  <c r="AC42" i="21"/>
  <c r="AD42" i="21"/>
  <c r="AB42" i="21"/>
  <c r="W42" i="21"/>
  <c r="Y19" i="21"/>
  <c r="AC19" i="21"/>
  <c r="AA19" i="21"/>
  <c r="AB19" i="21"/>
  <c r="AD19" i="21"/>
  <c r="AE19" i="21"/>
  <c r="X19" i="21"/>
  <c r="Z19" i="21"/>
  <c r="W19" i="21"/>
  <c r="AC49" i="21"/>
  <c r="AD49" i="21"/>
  <c r="AE49" i="21"/>
  <c r="Z49" i="21"/>
  <c r="AE72" i="21"/>
  <c r="Z48" i="21"/>
  <c r="AD54" i="21"/>
  <c r="X80" i="21"/>
  <c r="X59" i="21"/>
  <c r="AD77" i="21"/>
  <c r="Y56" i="21"/>
  <c r="AA70" i="21"/>
  <c r="W66" i="21"/>
  <c r="AA66" i="21"/>
  <c r="X66" i="21"/>
  <c r="Y66" i="21"/>
  <c r="AE66" i="21"/>
  <c r="Z66" i="21"/>
  <c r="AB66" i="21"/>
  <c r="AC66" i="21"/>
  <c r="AD66" i="21"/>
  <c r="Z63" i="21"/>
  <c r="AE23" i="21"/>
  <c r="AC44" i="21"/>
  <c r="AD44" i="21"/>
  <c r="AE44" i="21"/>
  <c r="W44" i="21"/>
  <c r="X44" i="21"/>
  <c r="Y44" i="21"/>
  <c r="AA44" i="21"/>
  <c r="AB44" i="21"/>
  <c r="Z44" i="21"/>
  <c r="AE43" i="21"/>
  <c r="AD43" i="21"/>
  <c r="W48" i="21"/>
  <c r="AC54" i="21"/>
  <c r="AC80" i="21"/>
  <c r="AC59" i="21"/>
  <c r="X77" i="21"/>
  <c r="AC56" i="21"/>
  <c r="Z70" i="21"/>
  <c r="AB64" i="21"/>
  <c r="AC64" i="21"/>
  <c r="AD64" i="21"/>
  <c r="AE64" i="21"/>
  <c r="W21" i="21"/>
  <c r="AB55" i="21"/>
  <c r="X63" i="21"/>
  <c r="AC45" i="21"/>
  <c r="W45" i="21"/>
  <c r="X45" i="21"/>
  <c r="Y45" i="21"/>
  <c r="Z45" i="21"/>
  <c r="AA45" i="21"/>
  <c r="W18" i="21"/>
  <c r="AA18" i="21"/>
  <c r="X18" i="21"/>
  <c r="Y18" i="21"/>
  <c r="Z18" i="21"/>
  <c r="AE18" i="21"/>
  <c r="AB18" i="21"/>
  <c r="AC18" i="21"/>
  <c r="AD18" i="21"/>
  <c r="Y62" i="21"/>
  <c r="W62" i="21"/>
  <c r="AE62" i="21"/>
  <c r="X62" i="21"/>
  <c r="AC62" i="21"/>
  <c r="AD62" i="21"/>
  <c r="Z62" i="21"/>
  <c r="AA62" i="21"/>
  <c r="AB62" i="21"/>
  <c r="AB54" i="21"/>
  <c r="AA80" i="21"/>
  <c r="AB59" i="21"/>
  <c r="AE77" i="21"/>
  <c r="AA56" i="21"/>
  <c r="AC60" i="21"/>
  <c r="AD60" i="21"/>
  <c r="AE60" i="21"/>
  <c r="AA60" i="21"/>
  <c r="AB60" i="21"/>
  <c r="W60" i="21"/>
  <c r="X60" i="21"/>
  <c r="Y60" i="21"/>
  <c r="Z60" i="21"/>
  <c r="AE63" i="21"/>
  <c r="W61" i="21"/>
  <c r="Z61" i="21"/>
  <c r="AD61" i="21"/>
  <c r="X61" i="21"/>
  <c r="Y61" i="21"/>
  <c r="AC37" i="21"/>
  <c r="AD37" i="21"/>
  <c r="Y37" i="21"/>
  <c r="X37" i="21"/>
  <c r="AB37" i="21"/>
  <c r="Z37" i="21"/>
  <c r="AA37" i="21"/>
  <c r="W37" i="21"/>
  <c r="AE37" i="21"/>
  <c r="AE20" i="21"/>
  <c r="Y35" i="21"/>
  <c r="AC35" i="21"/>
  <c r="AE35" i="21"/>
  <c r="W35" i="21"/>
  <c r="X35" i="21"/>
  <c r="Z35" i="21"/>
  <c r="AA35" i="21"/>
  <c r="AB35" i="21"/>
  <c r="AD35" i="21"/>
  <c r="AD46" i="21"/>
  <c r="AE46" i="21"/>
  <c r="AE25" i="21"/>
  <c r="AC43" i="21"/>
  <c r="AB61" i="21"/>
  <c r="X56" i="21"/>
  <c r="AE17" i="21"/>
  <c r="M13" i="18"/>
  <c r="P24" i="18"/>
  <c r="AC39" i="20"/>
  <c r="AB78" i="20"/>
  <c r="AC78" i="20"/>
  <c r="Y39" i="20"/>
  <c r="Z39" i="20"/>
  <c r="AA39" i="20"/>
  <c r="AB39" i="20"/>
  <c r="X68" i="20"/>
  <c r="Y78" i="20"/>
  <c r="AC63" i="20"/>
  <c r="X39" i="20"/>
  <c r="U18" i="18"/>
  <c r="W78" i="20"/>
  <c r="AA68" i="20"/>
  <c r="AE70" i="20"/>
  <c r="AD70" i="20"/>
  <c r="AA63" i="20"/>
  <c r="AA30" i="20"/>
  <c r="T79" i="18"/>
  <c r="Y74" i="20"/>
  <c r="Z74" i="20"/>
  <c r="AA74" i="20"/>
  <c r="W74" i="20"/>
  <c r="X74" i="20"/>
  <c r="AB74" i="20"/>
  <c r="AD74" i="20"/>
  <c r="AC74" i="20"/>
  <c r="AE74" i="20"/>
  <c r="AC22" i="20"/>
  <c r="AD22" i="20"/>
  <c r="AB22" i="20"/>
  <c r="AE22" i="20"/>
  <c r="Z22" i="20"/>
  <c r="Y22" i="20"/>
  <c r="AA22" i="20"/>
  <c r="W22" i="20"/>
  <c r="X22" i="20"/>
  <c r="W72" i="20"/>
  <c r="AE72" i="20"/>
  <c r="AB72" i="20"/>
  <c r="AC72" i="20"/>
  <c r="AD72" i="20"/>
  <c r="X72" i="20"/>
  <c r="Y72" i="20"/>
  <c r="Z72" i="20"/>
  <c r="AA72" i="20"/>
  <c r="AC68" i="20"/>
  <c r="AA21" i="20"/>
  <c r="AB21" i="20"/>
  <c r="AE21" i="20"/>
  <c r="W21" i="20"/>
  <c r="Y21" i="20"/>
  <c r="X21" i="20"/>
  <c r="Z21" i="20"/>
  <c r="AC21" i="20"/>
  <c r="AD21" i="20"/>
  <c r="AE13" i="20"/>
  <c r="X13" i="20"/>
  <c r="Y13" i="20"/>
  <c r="Z13" i="20"/>
  <c r="AA13" i="20"/>
  <c r="AB13" i="20"/>
  <c r="AC13" i="20"/>
  <c r="AD13" i="20"/>
  <c r="W13" i="20"/>
  <c r="W83" i="20"/>
  <c r="X83" i="20"/>
  <c r="AB83" i="20"/>
  <c r="AC83" i="20"/>
  <c r="AA83" i="20"/>
  <c r="AD83" i="20"/>
  <c r="AE83" i="20"/>
  <c r="Y83" i="20"/>
  <c r="Z83" i="20"/>
  <c r="X49" i="20"/>
  <c r="Y49" i="20"/>
  <c r="W49" i="20"/>
  <c r="Z49" i="20"/>
  <c r="AA49" i="20"/>
  <c r="AD49" i="20"/>
  <c r="AE49" i="20"/>
  <c r="AB49" i="20"/>
  <c r="AC49" i="20"/>
  <c r="X65" i="20"/>
  <c r="Y65" i="20"/>
  <c r="AB65" i="20"/>
  <c r="AC65" i="20"/>
  <c r="AD65" i="20"/>
  <c r="AE65" i="20"/>
  <c r="Z65" i="20"/>
  <c r="AA65" i="20"/>
  <c r="W65" i="20"/>
  <c r="X17" i="20"/>
  <c r="Y17" i="20"/>
  <c r="AC17" i="20"/>
  <c r="AD17" i="20"/>
  <c r="AE17" i="20"/>
  <c r="AB17" i="20"/>
  <c r="AA17" i="20"/>
  <c r="Z17" i="20"/>
  <c r="W17" i="20"/>
  <c r="W16" i="20"/>
  <c r="X16" i="20"/>
  <c r="Y16" i="20"/>
  <c r="Z16" i="20"/>
  <c r="AC16" i="20"/>
  <c r="AD16" i="20"/>
  <c r="AE16" i="20"/>
  <c r="AA16" i="20"/>
  <c r="AB16" i="20"/>
  <c r="Y58" i="20"/>
  <c r="Z58" i="20"/>
  <c r="AA58" i="20"/>
  <c r="W58" i="20"/>
  <c r="X58" i="20"/>
  <c r="AB58" i="20"/>
  <c r="AC58" i="20"/>
  <c r="AD58" i="20"/>
  <c r="AE58" i="20"/>
  <c r="AA69" i="20"/>
  <c r="AB69" i="20"/>
  <c r="X69" i="20"/>
  <c r="W69" i="20"/>
  <c r="AC69" i="20"/>
  <c r="AD69" i="20"/>
  <c r="AE69" i="20"/>
  <c r="Z69" i="20"/>
  <c r="Y69" i="20"/>
  <c r="W28" i="20"/>
  <c r="X28" i="20"/>
  <c r="Y28" i="20"/>
  <c r="AA46" i="20"/>
  <c r="AB46" i="20"/>
  <c r="AC46" i="20"/>
  <c r="AD46" i="20"/>
  <c r="AE46" i="20"/>
  <c r="W46" i="20"/>
  <c r="Z46" i="20"/>
  <c r="Y46" i="20"/>
  <c r="X46" i="20"/>
  <c r="AC38" i="20"/>
  <c r="AD38" i="20"/>
  <c r="X38" i="20"/>
  <c r="Y38" i="20"/>
  <c r="Z38" i="20"/>
  <c r="AA38" i="20"/>
  <c r="AE38" i="20"/>
  <c r="W38" i="20"/>
  <c r="AB38" i="20"/>
  <c r="Z66" i="20"/>
  <c r="AA66" i="20"/>
  <c r="W66" i="20"/>
  <c r="X66" i="20"/>
  <c r="Y66" i="20"/>
  <c r="AB66" i="20"/>
  <c r="AC66" i="20"/>
  <c r="AD66" i="20"/>
  <c r="AE66" i="20"/>
  <c r="Y84" i="20"/>
  <c r="Z84" i="20"/>
  <c r="AD84" i="20"/>
  <c r="AE84" i="20"/>
  <c r="W84" i="20"/>
  <c r="X84" i="20"/>
  <c r="AA84" i="20"/>
  <c r="AB84" i="20"/>
  <c r="AC84" i="20"/>
  <c r="W62" i="20"/>
  <c r="X62" i="20"/>
  <c r="Y62" i="20"/>
  <c r="Z62" i="20"/>
  <c r="AA62" i="20"/>
  <c r="AB62" i="20"/>
  <c r="AC62" i="20"/>
  <c r="AE62" i="20"/>
  <c r="AD62" i="20"/>
  <c r="Y36" i="20"/>
  <c r="Z36" i="20"/>
  <c r="AD36" i="20"/>
  <c r="AE36" i="20"/>
  <c r="AA36" i="20"/>
  <c r="W36" i="20"/>
  <c r="X36" i="20"/>
  <c r="AB36" i="20"/>
  <c r="AC36" i="20"/>
  <c r="W19" i="20"/>
  <c r="X19" i="20"/>
  <c r="Y19" i="20"/>
  <c r="AB19" i="20"/>
  <c r="AC19" i="20"/>
  <c r="Z19" i="20"/>
  <c r="AA19" i="20"/>
  <c r="AD19" i="20"/>
  <c r="AE19" i="20"/>
  <c r="AE29" i="20"/>
  <c r="X29" i="20"/>
  <c r="Y29" i="20"/>
  <c r="Z29" i="20"/>
  <c r="AA29" i="20"/>
  <c r="AB29" i="20"/>
  <c r="AC29" i="20"/>
  <c r="AD29" i="20"/>
  <c r="W29" i="20"/>
  <c r="AC76" i="20"/>
  <c r="AD76" i="20"/>
  <c r="AE76" i="20"/>
  <c r="Y76" i="20"/>
  <c r="Z76" i="20"/>
  <c r="AA76" i="20"/>
  <c r="AB76" i="20"/>
  <c r="X76" i="20"/>
  <c r="W76" i="20"/>
  <c r="W25" i="20"/>
  <c r="X25" i="20"/>
  <c r="Y25" i="20"/>
  <c r="AB25" i="20"/>
  <c r="AC25" i="20"/>
  <c r="AD25" i="20"/>
  <c r="AE25" i="20"/>
  <c r="AA25" i="20"/>
  <c r="Z25" i="20"/>
  <c r="X81" i="20"/>
  <c r="Y81" i="20"/>
  <c r="AD81" i="20"/>
  <c r="AA81" i="20"/>
  <c r="AB81" i="20"/>
  <c r="AC81" i="20"/>
  <c r="AE81" i="20"/>
  <c r="W81" i="20"/>
  <c r="Z81" i="20"/>
  <c r="W40" i="20"/>
  <c r="AE40" i="20"/>
  <c r="Y40" i="20"/>
  <c r="AA40" i="20"/>
  <c r="Z40" i="20"/>
  <c r="AB40" i="20"/>
  <c r="X40" i="20"/>
  <c r="AC40" i="20"/>
  <c r="AD40" i="20"/>
  <c r="Y42" i="20"/>
  <c r="Z42" i="20"/>
  <c r="AA42" i="20"/>
  <c r="AD42" i="20"/>
  <c r="AE42" i="20"/>
  <c r="W42" i="20"/>
  <c r="X42" i="20"/>
  <c r="AB42" i="20"/>
  <c r="AC42" i="20"/>
  <c r="AA59" i="20"/>
  <c r="AB59" i="20"/>
  <c r="AC59" i="20"/>
  <c r="W59" i="20"/>
  <c r="X59" i="20"/>
  <c r="Y59" i="20"/>
  <c r="Z59" i="20"/>
  <c r="AD59" i="20"/>
  <c r="AE59" i="20"/>
  <c r="Y20" i="20"/>
  <c r="Z20" i="20"/>
  <c r="AD20" i="20"/>
  <c r="AE20" i="20"/>
  <c r="W20" i="20"/>
  <c r="X20" i="20"/>
  <c r="AA20" i="20"/>
  <c r="AB20" i="20"/>
  <c r="AC20" i="20"/>
  <c r="AE63" i="20"/>
  <c r="Z50" i="20"/>
  <c r="AA50" i="20"/>
  <c r="AB50" i="20"/>
  <c r="AC50" i="20"/>
  <c r="AD50" i="20"/>
  <c r="AE50" i="20"/>
  <c r="W50" i="20"/>
  <c r="X50" i="20"/>
  <c r="Y50" i="20"/>
  <c r="W57" i="20"/>
  <c r="X57" i="20"/>
  <c r="Y57" i="20"/>
  <c r="AB57" i="20"/>
  <c r="AC57" i="20"/>
  <c r="AD57" i="20"/>
  <c r="AE57" i="20"/>
  <c r="Z57" i="20"/>
  <c r="AA57" i="20"/>
  <c r="W64" i="20"/>
  <c r="Z64" i="20"/>
  <c r="AE64" i="20"/>
  <c r="Y64" i="20"/>
  <c r="AA64" i="20"/>
  <c r="AB64" i="20"/>
  <c r="AC64" i="20"/>
  <c r="AD64" i="20"/>
  <c r="X64" i="20"/>
  <c r="AD63" i="20"/>
  <c r="AC44" i="20"/>
  <c r="AD44" i="20"/>
  <c r="AE44" i="20"/>
  <c r="AB44" i="20"/>
  <c r="X44" i="20"/>
  <c r="Y44" i="20"/>
  <c r="Z44" i="20"/>
  <c r="AA44" i="20"/>
  <c r="W44" i="20"/>
  <c r="W30" i="20"/>
  <c r="AA85" i="20"/>
  <c r="AB85" i="20"/>
  <c r="AD85" i="20"/>
  <c r="AE85" i="20"/>
  <c r="AC85" i="20"/>
  <c r="W85" i="20"/>
  <c r="X85" i="20"/>
  <c r="Y85" i="20"/>
  <c r="Z85" i="20"/>
  <c r="AA11" i="20"/>
  <c r="AB11" i="20"/>
  <c r="AC11" i="20"/>
  <c r="W11" i="20"/>
  <c r="X11" i="20"/>
  <c r="AD11" i="20"/>
  <c r="AE11" i="20"/>
  <c r="Y11" i="20"/>
  <c r="Z11" i="20"/>
  <c r="X33" i="20"/>
  <c r="Y33" i="20"/>
  <c r="W33" i="20"/>
  <c r="Z33" i="20"/>
  <c r="AA33" i="20"/>
  <c r="AB33" i="20"/>
  <c r="AC33" i="20"/>
  <c r="AD33" i="20"/>
  <c r="AE33" i="20"/>
  <c r="Y10" i="20"/>
  <c r="Z10" i="20"/>
  <c r="AA10" i="20"/>
  <c r="W10" i="20"/>
  <c r="X10" i="20"/>
  <c r="AB10" i="20"/>
  <c r="AC10" i="20"/>
  <c r="AD10" i="20"/>
  <c r="AE10" i="20"/>
  <c r="X30" i="20"/>
  <c r="AA28" i="20"/>
  <c r="AC54" i="20"/>
  <c r="AD54" i="20"/>
  <c r="Z54" i="20"/>
  <c r="AA54" i="20"/>
  <c r="AB54" i="20"/>
  <c r="AE54" i="20"/>
  <c r="W54" i="20"/>
  <c r="X54" i="20"/>
  <c r="Y54" i="20"/>
  <c r="X63" i="20"/>
  <c r="AD30" i="20"/>
  <c r="Z68" i="20"/>
  <c r="Z30" i="20"/>
  <c r="AE55" i="20"/>
  <c r="W55" i="20"/>
  <c r="X55" i="20"/>
  <c r="AA55" i="20"/>
  <c r="AC55" i="20"/>
  <c r="Y55" i="20"/>
  <c r="Z55" i="20"/>
  <c r="AB55" i="20"/>
  <c r="AD55" i="20"/>
  <c r="Y68" i="20"/>
  <c r="AE61" i="20"/>
  <c r="AD61" i="20"/>
  <c r="W61" i="20"/>
  <c r="X61" i="20"/>
  <c r="Y61" i="20"/>
  <c r="AA61" i="20"/>
  <c r="AB61" i="20"/>
  <c r="AC61" i="20"/>
  <c r="Z61" i="20"/>
  <c r="W51" i="20"/>
  <c r="X51" i="20"/>
  <c r="AB51" i="20"/>
  <c r="AC51" i="20"/>
  <c r="Y51" i="20"/>
  <c r="Z51" i="20"/>
  <c r="AA51" i="20"/>
  <c r="AD51" i="20"/>
  <c r="AE51" i="20"/>
  <c r="W48" i="20"/>
  <c r="AD48" i="20"/>
  <c r="AA48" i="20"/>
  <c r="X48" i="20"/>
  <c r="Y48" i="20"/>
  <c r="Z48" i="20"/>
  <c r="AB48" i="20"/>
  <c r="AC48" i="20"/>
  <c r="AE48" i="20"/>
  <c r="AE30" i="20"/>
  <c r="Y31" i="20"/>
  <c r="Z31" i="20"/>
  <c r="AD31" i="20"/>
  <c r="AE31" i="20"/>
  <c r="AC31" i="20"/>
  <c r="AA31" i="20"/>
  <c r="AB31" i="20"/>
  <c r="W31" i="20"/>
  <c r="X31" i="20"/>
  <c r="Z28" i="20"/>
  <c r="W68" i="20"/>
  <c r="W70" i="20"/>
  <c r="W63" i="20"/>
  <c r="Y30" i="20"/>
  <c r="W41" i="20"/>
  <c r="X41" i="20"/>
  <c r="Y41" i="20"/>
  <c r="Z41" i="20"/>
  <c r="AA41" i="20"/>
  <c r="AB41" i="20"/>
  <c r="AC41" i="20"/>
  <c r="AD41" i="20"/>
  <c r="AE41" i="20"/>
  <c r="W18" i="20"/>
  <c r="Z18" i="20"/>
  <c r="AA18" i="20"/>
  <c r="AC18" i="20"/>
  <c r="AE18" i="20"/>
  <c r="AD18" i="20"/>
  <c r="X18" i="20"/>
  <c r="Y18" i="20"/>
  <c r="AB18" i="20"/>
  <c r="AA15" i="20"/>
  <c r="AB15" i="20"/>
  <c r="Z15" i="20"/>
  <c r="AC15" i="20"/>
  <c r="AD15" i="20"/>
  <c r="AE15" i="20"/>
  <c r="W15" i="20"/>
  <c r="Y15" i="20"/>
  <c r="X15" i="20"/>
  <c r="AE28" i="20"/>
  <c r="AE71" i="20"/>
  <c r="W71" i="20"/>
  <c r="Y71" i="20"/>
  <c r="X71" i="20"/>
  <c r="Z71" i="20"/>
  <c r="AA71" i="20"/>
  <c r="AB71" i="20"/>
  <c r="AC71" i="20"/>
  <c r="AD71" i="20"/>
  <c r="AB70" i="20"/>
  <c r="AC60" i="20"/>
  <c r="AD60" i="20"/>
  <c r="AE60" i="20"/>
  <c r="X60" i="20"/>
  <c r="AA60" i="20"/>
  <c r="W60" i="20"/>
  <c r="Y60" i="20"/>
  <c r="Z60" i="20"/>
  <c r="AB60" i="20"/>
  <c r="AA37" i="20"/>
  <c r="AB37" i="20"/>
  <c r="W37" i="20"/>
  <c r="X37" i="20"/>
  <c r="Y37" i="20"/>
  <c r="Z37" i="20"/>
  <c r="AC37" i="20"/>
  <c r="AD37" i="20"/>
  <c r="AE37" i="20"/>
  <c r="W35" i="20"/>
  <c r="X35" i="20"/>
  <c r="AB35" i="20"/>
  <c r="AC35" i="20"/>
  <c r="Y35" i="20"/>
  <c r="Z35" i="20"/>
  <c r="AA35" i="20"/>
  <c r="AE35" i="20"/>
  <c r="AD35" i="20"/>
  <c r="W56" i="20"/>
  <c r="AA56" i="20"/>
  <c r="AE56" i="20"/>
  <c r="AD56" i="20"/>
  <c r="X56" i="20"/>
  <c r="Y56" i="20"/>
  <c r="Z56" i="20"/>
  <c r="AB56" i="20"/>
  <c r="AC56" i="20"/>
  <c r="Y52" i="20"/>
  <c r="Z52" i="20"/>
  <c r="AD52" i="20"/>
  <c r="AE52" i="20"/>
  <c r="AC52" i="20"/>
  <c r="AA52" i="20"/>
  <c r="W52" i="20"/>
  <c r="X52" i="20"/>
  <c r="AB52" i="20"/>
  <c r="AC70" i="20"/>
  <c r="W73" i="20"/>
  <c r="X73" i="20"/>
  <c r="Y73" i="20"/>
  <c r="AE73" i="20"/>
  <c r="AB73" i="20"/>
  <c r="AC73" i="20"/>
  <c r="AD73" i="20"/>
  <c r="Z73" i="20"/>
  <c r="AA73" i="20"/>
  <c r="W14" i="20"/>
  <c r="X14" i="20"/>
  <c r="Y14" i="20"/>
  <c r="AA14" i="20"/>
  <c r="Z14" i="20"/>
  <c r="AB14" i="20"/>
  <c r="AC14" i="20"/>
  <c r="AE14" i="20"/>
  <c r="AD14" i="20"/>
  <c r="AB28" i="20"/>
  <c r="Y70" i="20"/>
  <c r="AB79" i="20"/>
  <c r="AC79" i="20"/>
  <c r="AD79" i="20"/>
  <c r="AE79" i="20"/>
  <c r="W79" i="20"/>
  <c r="X79" i="20"/>
  <c r="Y79" i="20"/>
  <c r="Z79" i="20"/>
  <c r="AA79" i="20"/>
  <c r="X70" i="20"/>
  <c r="AB30" i="20"/>
  <c r="AA75" i="20"/>
  <c r="AB75" i="20"/>
  <c r="AC75" i="20"/>
  <c r="AE75" i="20"/>
  <c r="W75" i="20"/>
  <c r="Z75" i="20"/>
  <c r="AD75" i="20"/>
  <c r="X75" i="20"/>
  <c r="Y75" i="20"/>
  <c r="AE77" i="20"/>
  <c r="AC77" i="20"/>
  <c r="AA77" i="20"/>
  <c r="AD77" i="20"/>
  <c r="AB77" i="20"/>
  <c r="X77" i="20"/>
  <c r="Y77" i="20"/>
  <c r="Z77" i="20"/>
  <c r="W77" i="20"/>
  <c r="W24" i="20"/>
  <c r="X24" i="20"/>
  <c r="Y24" i="20"/>
  <c r="Z24" i="20"/>
  <c r="AA24" i="20"/>
  <c r="AE24" i="20"/>
  <c r="AB24" i="20"/>
  <c r="AC24" i="20"/>
  <c r="AD24" i="20"/>
  <c r="AD28" i="20"/>
  <c r="AB63" i="20"/>
  <c r="AA70" i="20"/>
  <c r="Z70" i="20"/>
  <c r="Z63" i="20"/>
  <c r="Y26" i="20"/>
  <c r="Z26" i="20"/>
  <c r="AA26" i="20"/>
  <c r="W26" i="20"/>
  <c r="X26" i="20"/>
  <c r="AB26" i="20"/>
  <c r="AC26" i="20"/>
  <c r="AD26" i="20"/>
  <c r="AE26" i="20"/>
  <c r="W47" i="20"/>
  <c r="X47" i="20"/>
  <c r="Y47" i="20"/>
  <c r="Z47" i="20"/>
  <c r="AA47" i="20"/>
  <c r="AB47" i="20"/>
  <c r="AC47" i="20"/>
  <c r="AD47" i="20"/>
  <c r="AE47" i="20"/>
  <c r="AE68" i="20"/>
  <c r="AD68" i="20"/>
  <c r="AD78" i="20"/>
  <c r="AE78" i="20"/>
  <c r="W39" i="20"/>
  <c r="AC28" i="20"/>
  <c r="AE23" i="20"/>
  <c r="AD23" i="20"/>
  <c r="AB23" i="20"/>
  <c r="AC23" i="20"/>
  <c r="X23" i="20"/>
  <c r="Y23" i="20"/>
  <c r="Z23" i="20"/>
  <c r="AA23" i="20"/>
  <c r="W23" i="20"/>
  <c r="Z82" i="20"/>
  <c r="AA82" i="20"/>
  <c r="W82" i="20"/>
  <c r="X82" i="20"/>
  <c r="AB82" i="20"/>
  <c r="Y82" i="20"/>
  <c r="AC82" i="20"/>
  <c r="AD82" i="20"/>
  <c r="AE82" i="20"/>
  <c r="W32" i="20"/>
  <c r="X32" i="20"/>
  <c r="AA32" i="20"/>
  <c r="AD32" i="20"/>
  <c r="AC32" i="20"/>
  <c r="AB32" i="20"/>
  <c r="AE32" i="20"/>
  <c r="Y32" i="20"/>
  <c r="Z32" i="20"/>
  <c r="Z34" i="20"/>
  <c r="AA34" i="20"/>
  <c r="AC34" i="20"/>
  <c r="AD34" i="20"/>
  <c r="AE34" i="20"/>
  <c r="W34" i="20"/>
  <c r="X34" i="20"/>
  <c r="Y34" i="20"/>
  <c r="AB34" i="20"/>
  <c r="AC12" i="20"/>
  <c r="AD12" i="20"/>
  <c r="AE12" i="20"/>
  <c r="Y12" i="20"/>
  <c r="Z12" i="20"/>
  <c r="AA12" i="20"/>
  <c r="AB12" i="20"/>
  <c r="W12" i="20"/>
  <c r="X12" i="20"/>
  <c r="AD39" i="20"/>
  <c r="AA53" i="20"/>
  <c r="AB53" i="20"/>
  <c r="W53" i="20"/>
  <c r="X53" i="20"/>
  <c r="Y53" i="20"/>
  <c r="Z53" i="20"/>
  <c r="AC53" i="20"/>
  <c r="AD53" i="20"/>
  <c r="AE53" i="20"/>
  <c r="AA43" i="20"/>
  <c r="AB43" i="20"/>
  <c r="AC43" i="20"/>
  <c r="W43" i="20"/>
  <c r="X43" i="20"/>
  <c r="Y43" i="20"/>
  <c r="Z43" i="20"/>
  <c r="AD43" i="20"/>
  <c r="AE43" i="20"/>
  <c r="W80" i="20"/>
  <c r="Y80" i="20"/>
  <c r="Z80" i="20"/>
  <c r="X80" i="20"/>
  <c r="AA80" i="20"/>
  <c r="AB80" i="20"/>
  <c r="AC80" i="20"/>
  <c r="AD80" i="20"/>
  <c r="AE80" i="20"/>
  <c r="AC30" i="20"/>
  <c r="AE45" i="20"/>
  <c r="W45" i="20"/>
  <c r="X45" i="20"/>
  <c r="Y45" i="20"/>
  <c r="Z45" i="20"/>
  <c r="AB45" i="20"/>
  <c r="AA45" i="20"/>
  <c r="AC45" i="20"/>
  <c r="AD45" i="20"/>
  <c r="Y63" i="20"/>
  <c r="W67" i="20"/>
  <c r="X67" i="20"/>
  <c r="AB67" i="20"/>
  <c r="AC67" i="20"/>
  <c r="Y67" i="20"/>
  <c r="Z67" i="20"/>
  <c r="AA67" i="20"/>
  <c r="AD67" i="20"/>
  <c r="AE67" i="20"/>
  <c r="AA27" i="20"/>
  <c r="AB27" i="20"/>
  <c r="AC27" i="20"/>
  <c r="AD27" i="20"/>
  <c r="W27" i="20"/>
  <c r="Y27" i="20"/>
  <c r="Z27" i="20"/>
  <c r="AE27" i="20"/>
  <c r="X27" i="20"/>
  <c r="AB68" i="20"/>
  <c r="AA23" i="16"/>
  <c r="W25" i="16"/>
  <c r="S29" i="18"/>
  <c r="R51" i="18"/>
  <c r="V64" i="18"/>
  <c r="P66" i="18"/>
  <c r="P50" i="18"/>
  <c r="T63" i="18"/>
  <c r="P36" i="18"/>
  <c r="R21" i="18"/>
  <c r="P20" i="18"/>
  <c r="U83" i="18"/>
  <c r="N37" i="18"/>
  <c r="N19" i="18"/>
  <c r="Q67" i="18"/>
  <c r="M35" i="18"/>
  <c r="AE43" i="17"/>
  <c r="S82" i="18"/>
  <c r="O66" i="18"/>
  <c r="K34" i="18"/>
  <c r="V18" i="18"/>
  <c r="Q81" i="18"/>
  <c r="M65" i="18"/>
  <c r="U23" i="18"/>
  <c r="S11" i="18"/>
  <c r="T27" i="18"/>
  <c r="O80" i="18"/>
  <c r="K64" i="18"/>
  <c r="S22" i="18"/>
  <c r="S16" i="18"/>
  <c r="U30" i="18"/>
  <c r="AB46" i="17"/>
  <c r="Q65" i="18"/>
  <c r="M49" i="18"/>
  <c r="P85" i="18"/>
  <c r="O43" i="18"/>
  <c r="O64" i="18"/>
  <c r="K48" i="18"/>
  <c r="N84" i="18"/>
  <c r="S25" i="18"/>
  <c r="O46" i="18"/>
  <c r="AC46" i="17"/>
  <c r="M63" i="18"/>
  <c r="U37" i="18"/>
  <c r="L83" i="18"/>
  <c r="P54" i="18"/>
  <c r="V51" i="18"/>
  <c r="T83" i="18"/>
  <c r="N66" i="18"/>
  <c r="R22" i="18"/>
  <c r="N56" i="18"/>
  <c r="R82" i="18"/>
  <c r="L65" i="18"/>
  <c r="P21" i="18"/>
  <c r="T42" i="18"/>
  <c r="K58" i="18"/>
  <c r="AC28" i="17"/>
  <c r="R62" i="18"/>
  <c r="L11" i="18"/>
  <c r="T30" i="18"/>
  <c r="V54" i="18"/>
  <c r="T53" i="18"/>
  <c r="L79" i="18"/>
  <c r="N64" i="18"/>
  <c r="Z18" i="17"/>
  <c r="AE80" i="17"/>
  <c r="M80" i="18"/>
  <c r="M50" i="18"/>
  <c r="N74" i="18"/>
  <c r="S67" i="18"/>
  <c r="K49" i="18"/>
  <c r="O44" i="18"/>
  <c r="N23" i="18"/>
  <c r="W59" i="16"/>
  <c r="O61" i="18"/>
  <c r="Y65" i="16"/>
  <c r="L63" i="18"/>
  <c r="M68" i="18"/>
  <c r="V78" i="18"/>
  <c r="O51" i="18"/>
  <c r="P75" i="18"/>
  <c r="U68" i="18"/>
  <c r="U42" i="18"/>
  <c r="O14" i="18"/>
  <c r="P59" i="18"/>
  <c r="U52" i="18"/>
  <c r="M34" i="18"/>
  <c r="L29" i="18"/>
  <c r="M42" i="18"/>
  <c r="AB14" i="16"/>
  <c r="L57" i="18"/>
  <c r="Q50" i="18"/>
  <c r="U22" i="18"/>
  <c r="O39" i="18"/>
  <c r="R57" i="18"/>
  <c r="N49" i="18"/>
  <c r="M44" i="18"/>
  <c r="T37" i="18"/>
  <c r="Z28" i="16"/>
  <c r="O69" i="18"/>
  <c r="AD61" i="16"/>
  <c r="O12" i="18"/>
  <c r="L80" i="18"/>
  <c r="L50" i="18"/>
  <c r="U59" i="18"/>
  <c r="N41" i="18"/>
  <c r="O36" i="18"/>
  <c r="O85" i="18"/>
  <c r="Q70" i="18"/>
  <c r="AD73" i="16"/>
  <c r="Z41" i="17"/>
  <c r="R36" i="18"/>
  <c r="X62" i="17"/>
  <c r="V52" i="18"/>
  <c r="O81" i="18"/>
  <c r="Q52" i="18"/>
  <c r="S32" i="18"/>
  <c r="M11" i="18"/>
  <c r="V69" i="18"/>
  <c r="V39" i="18"/>
  <c r="U14" i="18"/>
  <c r="U11" i="18"/>
  <c r="S49" i="18"/>
  <c r="AD11" i="16"/>
  <c r="S27" i="18"/>
  <c r="S68" i="18"/>
  <c r="N20" i="18"/>
  <c r="L19" i="18"/>
  <c r="R52" i="18"/>
  <c r="Y78" i="16"/>
  <c r="Q71" i="18"/>
  <c r="P35" i="18"/>
  <c r="W41" i="16"/>
  <c r="R76" i="18"/>
  <c r="K10" i="18"/>
  <c r="T68" i="18"/>
  <c r="T38" i="18"/>
  <c r="Q16" i="18"/>
  <c r="K12" i="18"/>
  <c r="P81" i="18"/>
  <c r="N80" i="18"/>
  <c r="S72" i="18"/>
  <c r="AC63" i="16"/>
  <c r="O70" i="18"/>
  <c r="S53" i="18"/>
  <c r="AC13" i="16"/>
  <c r="T77" i="18"/>
  <c r="AB34" i="17"/>
  <c r="K79" i="18"/>
  <c r="N58" i="18"/>
  <c r="S51" i="18"/>
  <c r="K33" i="18"/>
  <c r="R45" i="18"/>
  <c r="V80" i="18"/>
  <c r="R67" i="18"/>
  <c r="R37" i="18"/>
  <c r="Q15" i="18"/>
  <c r="L52" i="18"/>
  <c r="M21" i="18"/>
  <c r="S14" i="18"/>
  <c r="P13" i="18"/>
  <c r="K14" i="18"/>
  <c r="S83" i="18"/>
  <c r="P82" i="18"/>
  <c r="K80" i="18"/>
  <c r="R68" i="18"/>
  <c r="K65" i="18"/>
  <c r="P52" i="18"/>
  <c r="S38" i="18"/>
  <c r="V24" i="18"/>
  <c r="K19" i="18"/>
  <c r="S76" i="18"/>
  <c r="L61" i="18"/>
  <c r="U44" i="18"/>
  <c r="L22" i="18"/>
  <c r="O26" i="18"/>
  <c r="K20" i="18"/>
  <c r="Q13" i="18"/>
  <c r="N12" i="18"/>
  <c r="V84" i="18"/>
  <c r="Q82" i="18"/>
  <c r="N81" i="18"/>
  <c r="U69" i="18"/>
  <c r="P67" i="18"/>
  <c r="U54" i="18"/>
  <c r="N51" i="18"/>
  <c r="Q37" i="18"/>
  <c r="T23" i="18"/>
  <c r="S79" i="18"/>
  <c r="V47" i="18"/>
  <c r="K24" i="18"/>
  <c r="N11" i="18"/>
  <c r="Q14" i="18"/>
  <c r="P23" i="18"/>
  <c r="O25" i="18"/>
  <c r="U33" i="18"/>
  <c r="R40" i="18"/>
  <c r="P42" i="18"/>
  <c r="U45" i="18"/>
  <c r="U50" i="18"/>
  <c r="T57" i="18"/>
  <c r="O59" i="18"/>
  <c r="O62" i="18"/>
  <c r="V67" i="18"/>
  <c r="T74" i="18"/>
  <c r="O76" i="18"/>
  <c r="P79" i="18"/>
  <c r="M29" i="18"/>
  <c r="O11" i="18"/>
  <c r="T14" i="18"/>
  <c r="P16" i="18"/>
  <c r="R23" i="18"/>
  <c r="P25" i="18"/>
  <c r="L30" i="18"/>
  <c r="V33" i="18"/>
  <c r="T40" i="18"/>
  <c r="Q42" i="18"/>
  <c r="V45" i="18"/>
  <c r="V50" i="18"/>
  <c r="V57" i="18"/>
  <c r="Q59" i="18"/>
  <c r="P62" i="18"/>
  <c r="U74" i="18"/>
  <c r="P76" i="18"/>
  <c r="Q79" i="18"/>
  <c r="Q25" i="18"/>
  <c r="K27" i="18"/>
  <c r="M30" i="18"/>
  <c r="R42" i="18"/>
  <c r="K44" i="18"/>
  <c r="R59" i="18"/>
  <c r="Q62" i="18"/>
  <c r="K69" i="18"/>
  <c r="V74" i="18"/>
  <c r="Q76" i="18"/>
  <c r="R79" i="18"/>
  <c r="M22" i="18"/>
  <c r="T66" i="18"/>
  <c r="V83" i="18"/>
  <c r="M10" i="18"/>
  <c r="R39" i="18"/>
  <c r="P41" i="18"/>
  <c r="U62" i="18"/>
  <c r="P64" i="18"/>
  <c r="L71" i="18"/>
  <c r="U76" i="18"/>
  <c r="V79" i="18"/>
  <c r="K37" i="18"/>
  <c r="V42" i="18"/>
  <c r="P44" i="18"/>
  <c r="Q47" i="18"/>
  <c r="K54" i="18"/>
  <c r="V59" i="18"/>
  <c r="K61" i="18"/>
  <c r="Q64" i="18"/>
  <c r="M71" i="18"/>
  <c r="K73" i="18"/>
  <c r="V76" i="18"/>
  <c r="R81" i="18"/>
  <c r="L24" i="18"/>
  <c r="R64" i="18"/>
  <c r="N71" i="18"/>
  <c r="M73" i="18"/>
  <c r="S81" i="18"/>
  <c r="M54" i="18"/>
  <c r="L56" i="18"/>
  <c r="M61" i="18"/>
  <c r="S64" i="18"/>
  <c r="O71" i="18"/>
  <c r="N73" i="18"/>
  <c r="T81" i="18"/>
  <c r="U13" i="18"/>
  <c r="U81" i="18"/>
  <c r="U64" i="18"/>
  <c r="R71" i="18"/>
  <c r="P73" i="18"/>
  <c r="L78" i="18"/>
  <c r="V81" i="18"/>
  <c r="T49" i="18"/>
  <c r="Q56" i="18"/>
  <c r="S73" i="18"/>
  <c r="N75" i="18"/>
  <c r="O78" i="18"/>
  <c r="R73" i="18"/>
  <c r="M75" i="18"/>
  <c r="N78" i="18"/>
  <c r="L10" i="18"/>
  <c r="T32" i="18"/>
  <c r="P39" i="18"/>
  <c r="O41" i="18"/>
  <c r="O58" i="18"/>
  <c r="S61" i="18"/>
  <c r="S10" i="18"/>
  <c r="M12" i="18"/>
  <c r="S15" i="18"/>
  <c r="R24" i="18"/>
  <c r="P26" i="18"/>
  <c r="U29" i="18"/>
  <c r="V34" i="18"/>
  <c r="V41" i="18"/>
  <c r="Q43" i="18"/>
  <c r="P46" i="18"/>
  <c r="U58" i="18"/>
  <c r="O60" i="18"/>
  <c r="P63" i="18"/>
  <c r="U75" i="18"/>
  <c r="K77" i="18"/>
  <c r="Q80" i="18"/>
  <c r="T10" i="18"/>
  <c r="P12" i="18"/>
  <c r="V15" i="18"/>
  <c r="R17" i="18"/>
  <c r="T24" i="18"/>
  <c r="Q26" i="18"/>
  <c r="V29" i="18"/>
  <c r="R43" i="18"/>
  <c r="Q46" i="18"/>
  <c r="K53" i="18"/>
  <c r="V58" i="18"/>
  <c r="P60" i="18"/>
  <c r="Q63" i="18"/>
  <c r="K70" i="18"/>
  <c r="V75" i="18"/>
  <c r="L77" i="18"/>
  <c r="R80" i="18"/>
  <c r="K11" i="18"/>
  <c r="P14" i="18"/>
  <c r="O23" i="18"/>
  <c r="N25" i="18"/>
  <c r="T33" i="18"/>
  <c r="Q40" i="18"/>
  <c r="O42" i="18"/>
  <c r="S45" i="18"/>
  <c r="T50" i="18"/>
  <c r="S57" i="18"/>
  <c r="N59" i="18"/>
  <c r="N62" i="18"/>
  <c r="S74" i="18"/>
  <c r="M76" i="18"/>
  <c r="O79" i="18"/>
  <c r="L84" i="18"/>
  <c r="S12" i="18"/>
  <c r="P15" i="18"/>
  <c r="M24" i="18"/>
  <c r="K42" i="18"/>
  <c r="U66" i="18"/>
  <c r="O72" i="18"/>
  <c r="S28" i="18"/>
  <c r="V26" i="18"/>
  <c r="T56" i="18"/>
  <c r="T12" i="18"/>
  <c r="N24" i="18"/>
  <c r="L42" i="18"/>
  <c r="K45" i="18"/>
  <c r="K57" i="18"/>
  <c r="K60" i="18"/>
  <c r="R63" i="18"/>
  <c r="V66" i="18"/>
  <c r="P72" i="18"/>
  <c r="P28" i="18"/>
  <c r="Q28" i="18"/>
  <c r="K38" i="18"/>
  <c r="N53" i="18"/>
  <c r="U12" i="18"/>
  <c r="O24" i="18"/>
  <c r="L45" i="18"/>
  <c r="P48" i="18"/>
  <c r="M57" i="18"/>
  <c r="Q60" i="18"/>
  <c r="S63" i="18"/>
  <c r="Q72" i="18"/>
  <c r="P58" i="18"/>
  <c r="U82" i="18"/>
  <c r="M40" i="18"/>
  <c r="T46" i="18"/>
  <c r="K55" i="18"/>
  <c r="V65" i="18"/>
  <c r="L38" i="18"/>
  <c r="K72" i="18"/>
  <c r="K21" i="18"/>
  <c r="L72" i="18"/>
  <c r="V12" i="18"/>
  <c r="L36" i="18"/>
  <c r="M45" i="18"/>
  <c r="Q48" i="18"/>
  <c r="N57" i="18"/>
  <c r="S60" i="18"/>
  <c r="U63" i="18"/>
  <c r="R72" i="18"/>
  <c r="O75" i="18"/>
  <c r="V13" i="18"/>
  <c r="L85" i="18"/>
  <c r="Q58" i="18"/>
  <c r="N29" i="18"/>
  <c r="P74" i="18"/>
  <c r="V19" i="18"/>
  <c r="N45" i="18"/>
  <c r="R48" i="18"/>
  <c r="O57" i="18"/>
  <c r="T60" i="18"/>
  <c r="V63" i="18"/>
  <c r="T72" i="18"/>
  <c r="Q75" i="18"/>
  <c r="N70" i="18"/>
  <c r="K76" i="18"/>
  <c r="V10" i="18"/>
  <c r="U26" i="18"/>
  <c r="K59" i="18"/>
  <c r="O29" i="18"/>
  <c r="R56" i="18"/>
  <c r="Q74" i="18"/>
  <c r="O45" i="18"/>
  <c r="S48" i="18"/>
  <c r="P57" i="18"/>
  <c r="U60" i="18"/>
  <c r="R75" i="18"/>
  <c r="P78" i="18"/>
  <c r="V73" i="18"/>
  <c r="P10" i="18"/>
  <c r="P70" i="18"/>
  <c r="T82" i="18"/>
  <c r="U10" i="18"/>
  <c r="T26" i="18"/>
  <c r="U32" i="18"/>
  <c r="V77" i="18"/>
  <c r="Q45" i="18"/>
  <c r="T48" i="18"/>
  <c r="Q57" i="18"/>
  <c r="V60" i="18"/>
  <c r="Q78" i="18"/>
  <c r="K85" i="18"/>
  <c r="V82" i="18"/>
  <c r="L14" i="18"/>
  <c r="M14" i="18"/>
  <c r="O74" i="18"/>
  <c r="N14" i="18"/>
  <c r="R33" i="18"/>
  <c r="U48" i="18"/>
  <c r="S78" i="18"/>
  <c r="V43" i="18"/>
  <c r="L46" i="18"/>
  <c r="M46" i="18"/>
  <c r="S46" i="18"/>
  <c r="R77" i="18"/>
  <c r="K43" i="18"/>
  <c r="N31" i="18"/>
  <c r="V49" i="18"/>
  <c r="K28" i="18"/>
  <c r="M43" i="18"/>
  <c r="O28" i="18"/>
  <c r="O31" i="18"/>
  <c r="M38" i="18"/>
  <c r="N22" i="18"/>
  <c r="K25" i="18"/>
  <c r="L28" i="18"/>
  <c r="S43" i="18"/>
  <c r="L70" i="18"/>
  <c r="O10" i="18"/>
  <c r="P22" i="18"/>
  <c r="M28" i="18"/>
  <c r="T43" i="18"/>
  <c r="M70" i="18"/>
  <c r="T73" i="18"/>
  <c r="U43" i="18"/>
  <c r="U49" i="18"/>
  <c r="S17" i="18"/>
  <c r="T28" i="18"/>
  <c r="P31" i="18"/>
  <c r="N40" i="18"/>
  <c r="U46" i="18"/>
  <c r="L55" i="18"/>
  <c r="R58" i="18"/>
  <c r="T17" i="18"/>
  <c r="U28" i="18"/>
  <c r="Q31" i="18"/>
  <c r="O40" i="18"/>
  <c r="M55" i="18"/>
  <c r="U61" i="18"/>
  <c r="U17" i="18"/>
  <c r="R31" i="18"/>
  <c r="N55" i="18"/>
  <c r="V61" i="18"/>
  <c r="V17" i="18"/>
  <c r="K26" i="18"/>
  <c r="S31" i="18"/>
  <c r="O55" i="18"/>
  <c r="K23" i="18"/>
  <c r="L26" i="18"/>
  <c r="U31" i="18"/>
  <c r="P55" i="18"/>
  <c r="S80" i="18"/>
  <c r="L23" i="18"/>
  <c r="R26" i="18"/>
  <c r="V31" i="18"/>
  <c r="Q41" i="18"/>
  <c r="R55" i="18"/>
  <c r="R65" i="18"/>
  <c r="K74" i="18"/>
  <c r="M77" i="18"/>
  <c r="T80" i="18"/>
  <c r="M23" i="18"/>
  <c r="S26" i="18"/>
  <c r="R41" i="18"/>
  <c r="S65" i="18"/>
  <c r="L74" i="18"/>
  <c r="N77" i="18"/>
  <c r="U80" i="18"/>
  <c r="T65" i="18"/>
  <c r="M74" i="18"/>
  <c r="O77" i="18"/>
  <c r="U65" i="18"/>
  <c r="Q77" i="18"/>
  <c r="L53" i="18"/>
  <c r="S77" i="18"/>
  <c r="Q29" i="18"/>
  <c r="U77" i="18"/>
  <c r="L62" i="18"/>
  <c r="N15" i="18"/>
  <c r="L21" i="18"/>
  <c r="N38" i="18"/>
  <c r="M72" i="18"/>
  <c r="Q12" i="18"/>
  <c r="O15" i="18"/>
  <c r="N21" i="18"/>
  <c r="P38" i="18"/>
  <c r="N72" i="18"/>
  <c r="K40" i="18"/>
  <c r="L40" i="18"/>
  <c r="L73" i="18"/>
  <c r="R78" i="18"/>
  <c r="M79" i="18"/>
  <c r="V68" i="18"/>
  <c r="Q66" i="18"/>
  <c r="N65" i="18"/>
  <c r="U53" i="18"/>
  <c r="P51" i="18"/>
  <c r="U38" i="18"/>
  <c r="N35" i="18"/>
  <c r="Q21" i="18"/>
  <c r="M84" i="18"/>
  <c r="N27" i="18"/>
  <c r="P47" i="18"/>
  <c r="K39" i="18"/>
  <c r="R13" i="18"/>
  <c r="P56" i="18"/>
  <c r="M25" i="18"/>
  <c r="M85" i="18"/>
  <c r="V62" i="18"/>
  <c r="P77" i="18"/>
  <c r="K78" i="18"/>
  <c r="T67" i="18"/>
  <c r="O65" i="18"/>
  <c r="L64" i="18"/>
  <c r="S52" i="18"/>
  <c r="N50" i="18"/>
  <c r="S37" i="18"/>
  <c r="L34" i="18"/>
  <c r="O20" i="18"/>
  <c r="K83" i="18"/>
  <c r="O30" i="18"/>
  <c r="S44" i="18"/>
  <c r="M58" i="18"/>
  <c r="V28" i="18"/>
  <c r="K84" i="18"/>
  <c r="T61" i="18"/>
  <c r="N76" i="18"/>
  <c r="U67" i="18"/>
  <c r="R66" i="18"/>
  <c r="M64" i="18"/>
  <c r="V53" i="18"/>
  <c r="Q51" i="18"/>
  <c r="L49" i="18"/>
  <c r="Q36" i="18"/>
  <c r="V23" i="18"/>
  <c r="M19" i="18"/>
  <c r="U72" i="18"/>
  <c r="V35" i="18"/>
  <c r="S47" i="18"/>
  <c r="R61" i="18"/>
  <c r="U34" i="18"/>
  <c r="S33" i="18"/>
  <c r="U73" i="18"/>
  <c r="R60" i="18"/>
  <c r="L75" i="18"/>
  <c r="S66" i="18"/>
  <c r="P65" i="18"/>
  <c r="K63" i="18"/>
  <c r="T52" i="18"/>
  <c r="O50" i="18"/>
  <c r="V38" i="18"/>
  <c r="O35" i="18"/>
  <c r="T22" i="18"/>
  <c r="K18" i="18"/>
  <c r="S71" i="18"/>
  <c r="N13" i="18"/>
  <c r="Q10" i="18"/>
  <c r="T41" i="18"/>
  <c r="P40" i="18"/>
  <c r="O47" i="18"/>
  <c r="L68" i="18"/>
  <c r="T75" i="18"/>
  <c r="M69" i="18"/>
  <c r="V46" i="18"/>
  <c r="K62" i="18"/>
  <c r="O49" i="18"/>
  <c r="L48" i="18"/>
  <c r="N34" i="18"/>
  <c r="L18" i="18"/>
  <c r="T45" i="18"/>
  <c r="N60" i="18"/>
  <c r="U51" i="18"/>
  <c r="R50" i="18"/>
  <c r="V37" i="18"/>
  <c r="Q35" i="18"/>
  <c r="L33" i="18"/>
  <c r="Q20" i="18"/>
  <c r="Q85" i="18"/>
  <c r="T71" i="18"/>
  <c r="R11" i="18"/>
  <c r="R44" i="18"/>
  <c r="L59" i="18"/>
  <c r="P49" i="18"/>
  <c r="K47" i="18"/>
  <c r="T36" i="18"/>
  <c r="V22" i="18"/>
  <c r="O19" i="18"/>
  <c r="R16" i="18"/>
  <c r="S56" i="18"/>
  <c r="V48" i="18"/>
  <c r="N48" i="18"/>
  <c r="R35" i="18"/>
  <c r="T21" i="18"/>
  <c r="Q55" i="18"/>
  <c r="T47" i="18"/>
  <c r="O48" i="18"/>
  <c r="S35" i="18"/>
  <c r="P34" i="18"/>
  <c r="K32" i="18"/>
  <c r="K17" i="18"/>
  <c r="K82" i="18"/>
  <c r="O53" i="18"/>
  <c r="R25" i="18"/>
  <c r="T62" i="18"/>
  <c r="N54" i="18"/>
  <c r="N43" i="18"/>
  <c r="N79" i="18"/>
  <c r="O54" i="18"/>
  <c r="L41" i="18"/>
  <c r="R46" i="18"/>
  <c r="M47" i="18"/>
  <c r="V36" i="18"/>
  <c r="Q34" i="18"/>
  <c r="N33" i="18"/>
  <c r="U21" i="18"/>
  <c r="P19" i="18"/>
  <c r="R85" i="18"/>
  <c r="U71" i="18"/>
  <c r="L67" i="18"/>
  <c r="M52" i="18"/>
  <c r="N39" i="18"/>
  <c r="M53" i="18"/>
  <c r="V30" i="18"/>
  <c r="P45" i="18"/>
  <c r="K46" i="18"/>
  <c r="T35" i="18"/>
  <c r="O33" i="18"/>
  <c r="L32" i="18"/>
  <c r="S20" i="18"/>
  <c r="N18" i="18"/>
  <c r="P84" i="18"/>
  <c r="S70" i="18"/>
  <c r="V56" i="18"/>
  <c r="K51" i="18"/>
  <c r="N30" i="18"/>
  <c r="K71" i="18"/>
  <c r="N61" i="18"/>
  <c r="M41" i="18"/>
  <c r="U78" i="18"/>
  <c r="P61" i="18"/>
  <c r="T51" i="18"/>
  <c r="S36" i="18"/>
  <c r="S21" i="18"/>
  <c r="K68" i="18"/>
  <c r="M48" i="18"/>
  <c r="U56" i="18"/>
  <c r="U57" i="18"/>
  <c r="S50" i="18"/>
  <c r="O34" i="18"/>
  <c r="O84" i="18"/>
  <c r="P43" i="18"/>
  <c r="Q49" i="18"/>
  <c r="U36" i="18"/>
  <c r="M33" i="18"/>
  <c r="M18" i="18"/>
  <c r="N42" i="18"/>
  <c r="L47" i="18"/>
  <c r="R20" i="18"/>
  <c r="N68" i="18"/>
  <c r="Q30" i="18"/>
  <c r="M27" i="18"/>
  <c r="N69" i="18"/>
  <c r="M56" i="18"/>
  <c r="N46" i="18"/>
  <c r="K52" i="18"/>
  <c r="T29" i="18"/>
  <c r="N44" i="18"/>
  <c r="U35" i="18"/>
  <c r="R34" i="18"/>
  <c r="M32" i="18"/>
  <c r="V21" i="18"/>
  <c r="Q19" i="18"/>
  <c r="L17" i="18"/>
  <c r="N83" i="18"/>
  <c r="Q69" i="18"/>
  <c r="T55" i="18"/>
  <c r="U40" i="18"/>
  <c r="T76" i="18"/>
  <c r="V11" i="18"/>
  <c r="T64" i="18"/>
  <c r="V44" i="18"/>
  <c r="S58" i="18"/>
  <c r="P80" i="18"/>
  <c r="L76" i="18"/>
  <c r="U41" i="18"/>
  <c r="R28" i="18"/>
  <c r="L43" i="18"/>
  <c r="S34" i="18"/>
  <c r="P33" i="18"/>
  <c r="K31" i="18"/>
  <c r="T20" i="18"/>
  <c r="O18" i="18"/>
  <c r="S85" i="18"/>
  <c r="L82" i="18"/>
  <c r="O68" i="18"/>
  <c r="R54" i="18"/>
  <c r="S39" i="18"/>
  <c r="U79" i="18"/>
  <c r="L13" i="18"/>
  <c r="R49" i="18"/>
  <c r="L60" i="18"/>
  <c r="M83" i="18"/>
  <c r="S40" i="18"/>
  <c r="P27" i="18"/>
  <c r="V32" i="18"/>
  <c r="Q33" i="18"/>
  <c r="N32" i="18"/>
  <c r="U20" i="18"/>
  <c r="R19" i="18"/>
  <c r="M17" i="18"/>
  <c r="Q84" i="18"/>
  <c r="V71" i="18"/>
  <c r="M67" i="18"/>
  <c r="P53" i="18"/>
  <c r="Q38" i="18"/>
  <c r="T18" i="18"/>
  <c r="P71" i="18"/>
  <c r="N63" i="18"/>
  <c r="V72" i="18"/>
  <c r="R70" i="18"/>
  <c r="P69" i="18"/>
  <c r="Q39" i="18"/>
  <c r="N26" i="18"/>
  <c r="T31" i="18"/>
  <c r="O32" i="18"/>
  <c r="L31" i="18"/>
  <c r="S19" i="18"/>
  <c r="P18" i="18"/>
  <c r="K16" i="18"/>
  <c r="O83" i="18"/>
  <c r="T70" i="18"/>
  <c r="K66" i="18"/>
  <c r="N52" i="18"/>
  <c r="O37" i="18"/>
  <c r="S42" i="18"/>
  <c r="R27" i="18"/>
  <c r="O73" i="18"/>
  <c r="O56" i="18"/>
  <c r="Q11" i="18"/>
  <c r="K67" i="18"/>
  <c r="S55" i="18"/>
  <c r="Q54" i="18"/>
  <c r="O38" i="18"/>
  <c r="L25" i="18"/>
  <c r="R30" i="18"/>
  <c r="M31" i="18"/>
  <c r="V20" i="18"/>
  <c r="Q18" i="18"/>
  <c r="N17" i="18"/>
  <c r="T85" i="18"/>
  <c r="M82" i="18"/>
  <c r="R69" i="18"/>
  <c r="U55" i="18"/>
  <c r="L51" i="18"/>
  <c r="M36" i="18"/>
  <c r="L44" i="18"/>
  <c r="T11" i="18"/>
  <c r="S30" i="18"/>
  <c r="L58" i="18"/>
  <c r="S75" i="18"/>
  <c r="M26" i="18"/>
  <c r="R29" i="18"/>
  <c r="T44" i="18"/>
  <c r="Q27" i="18"/>
  <c r="M37" i="18"/>
  <c r="V14" i="18"/>
  <c r="P29" i="18"/>
  <c r="K30" i="18"/>
  <c r="T19" i="18"/>
  <c r="O17" i="18"/>
  <c r="L16" i="18"/>
  <c r="R84" i="18"/>
  <c r="K81" i="18"/>
  <c r="P68" i="18"/>
  <c r="S54" i="18"/>
  <c r="V40" i="18"/>
  <c r="K35" i="18"/>
  <c r="N47" i="18"/>
  <c r="T16" i="18"/>
  <c r="L37" i="18"/>
  <c r="O13" i="18"/>
  <c r="Q61" i="18"/>
  <c r="T78" i="18"/>
  <c r="M59" i="18"/>
  <c r="U16" i="18"/>
  <c r="V25" i="18"/>
  <c r="U47" i="18"/>
  <c r="K36" i="18"/>
  <c r="T13" i="18"/>
  <c r="N28" i="18"/>
  <c r="U19" i="18"/>
  <c r="R18" i="18"/>
  <c r="M16" i="18"/>
  <c r="U85" i="18"/>
  <c r="P83" i="18"/>
  <c r="U70" i="18"/>
  <c r="N67" i="18"/>
  <c r="Q53" i="18"/>
  <c r="T39" i="18"/>
  <c r="U24" i="18"/>
  <c r="T25" i="18"/>
  <c r="L20" i="18"/>
  <c r="Q73" i="18"/>
  <c r="N85" i="18"/>
  <c r="P32" i="18"/>
  <c r="M62" i="18"/>
  <c r="R74" i="18"/>
  <c r="S41" i="18"/>
  <c r="U25" i="18"/>
  <c r="R12" i="18"/>
  <c r="L27" i="18"/>
  <c r="S18" i="18"/>
  <c r="P17" i="18"/>
  <c r="K15" i="18"/>
  <c r="S84" i="18"/>
  <c r="N82" i="18"/>
  <c r="S69" i="18"/>
  <c r="L66" i="18"/>
  <c r="O52" i="18"/>
  <c r="R38" i="18"/>
  <c r="S23" i="18"/>
  <c r="S59" i="18"/>
  <c r="O27" i="18"/>
  <c r="Q44" i="18"/>
  <c r="U27" i="18"/>
  <c r="K75" i="18"/>
  <c r="R10" i="18"/>
  <c r="K13" i="18"/>
  <c r="M60" i="18"/>
  <c r="K29" i="18"/>
  <c r="R32" i="18"/>
  <c r="S24" i="18"/>
  <c r="P11" i="18"/>
  <c r="V16" i="18"/>
  <c r="Q17" i="18"/>
  <c r="N16" i="18"/>
  <c r="V85" i="18"/>
  <c r="Q83" i="18"/>
  <c r="L81" i="18"/>
  <c r="Q68" i="18"/>
  <c r="V55" i="18"/>
  <c r="M51" i="18"/>
  <c r="P37" i="18"/>
  <c r="Q22" i="18"/>
  <c r="S62" i="18"/>
  <c r="P30" i="18"/>
  <c r="R47" i="18"/>
  <c r="Q32" i="18"/>
  <c r="M78" i="18"/>
  <c r="L12" i="18"/>
  <c r="T58" i="18"/>
  <c r="L39" i="18"/>
  <c r="O63" i="18"/>
  <c r="Q23" i="18"/>
  <c r="N10" i="18"/>
  <c r="T15" i="18"/>
  <c r="O16" i="18"/>
  <c r="L15" i="18"/>
  <c r="T84" i="18"/>
  <c r="O82" i="18"/>
  <c r="V70" i="18"/>
  <c r="O67" i="18"/>
  <c r="T54" i="18"/>
  <c r="K50" i="18"/>
  <c r="N36" i="18"/>
  <c r="O21" i="18"/>
  <c r="L69" i="18"/>
  <c r="L54" i="18"/>
  <c r="M39" i="18"/>
  <c r="R15" i="18"/>
  <c r="K22" i="18"/>
  <c r="V27" i="18"/>
  <c r="T34" i="18"/>
  <c r="T59" i="18"/>
  <c r="O22" i="18"/>
  <c r="U15" i="18"/>
  <c r="R14" i="18"/>
  <c r="M15" i="18"/>
  <c r="U84" i="18"/>
  <c r="R83" i="18"/>
  <c r="M81" i="18"/>
  <c r="T69" i="18"/>
  <c r="M66" i="18"/>
  <c r="R53" i="18"/>
  <c r="U39" i="18"/>
  <c r="L35" i="18"/>
  <c r="M20" i="18"/>
  <c r="K56" i="18"/>
  <c r="K41" i="18"/>
  <c r="S13" i="18"/>
  <c r="Q24" i="18"/>
  <c r="AC71" i="16"/>
  <c r="W73" i="16"/>
  <c r="AC73" i="16"/>
  <c r="X45" i="16"/>
  <c r="AE45" i="17"/>
  <c r="X47" i="17"/>
  <c r="AB73" i="16"/>
  <c r="AD13" i="16"/>
  <c r="AA73" i="16"/>
  <c r="AC60" i="17"/>
  <c r="W38" i="17"/>
  <c r="AE56" i="15"/>
  <c r="W15" i="16"/>
  <c r="Z73" i="16"/>
  <c r="AE31" i="16"/>
  <c r="AB44" i="16"/>
  <c r="AA57" i="17"/>
  <c r="Z55" i="16"/>
  <c r="W28" i="16"/>
  <c r="AE27" i="16"/>
  <c r="X31" i="17"/>
  <c r="X71" i="16"/>
  <c r="AA27" i="16"/>
  <c r="AA28" i="16"/>
  <c r="AB11" i="16"/>
  <c r="Y17" i="17"/>
  <c r="AB56" i="17"/>
  <c r="AE34" i="17"/>
  <c r="Y46" i="17"/>
  <c r="AC34" i="17"/>
  <c r="X60" i="17"/>
  <c r="W85" i="16"/>
  <c r="AB57" i="17"/>
  <c r="W62" i="17"/>
  <c r="AB73" i="15"/>
  <c r="W55" i="17"/>
  <c r="AE73" i="16"/>
  <c r="W64" i="16"/>
  <c r="Y41" i="17"/>
  <c r="AD30" i="16"/>
  <c r="Y15" i="16"/>
  <c r="AC12" i="16"/>
  <c r="AC56" i="16"/>
  <c r="Z22" i="16"/>
  <c r="AB62" i="17"/>
  <c r="W66" i="17"/>
  <c r="AA24" i="16"/>
  <c r="AE63" i="16"/>
  <c r="W45" i="17"/>
  <c r="AE27" i="17"/>
  <c r="Y31" i="17"/>
  <c r="W34" i="17"/>
  <c r="AD56" i="17"/>
  <c r="AC62" i="17"/>
  <c r="Z31" i="16"/>
  <c r="Z60" i="17"/>
  <c r="Z31" i="17"/>
  <c r="AA46" i="16"/>
  <c r="Y60" i="17"/>
  <c r="AD60" i="16"/>
  <c r="AD21" i="16"/>
  <c r="W31" i="16"/>
  <c r="AE38" i="17"/>
  <c r="X56" i="17"/>
  <c r="AA66" i="16"/>
  <c r="Y23" i="16"/>
  <c r="AD49" i="17"/>
  <c r="AE46" i="17"/>
  <c r="AB43" i="16"/>
  <c r="AD41" i="16"/>
  <c r="Z66" i="17"/>
  <c r="Y70" i="16"/>
  <c r="AE45" i="16"/>
  <c r="Y57" i="17"/>
  <c r="AA43" i="16"/>
  <c r="AA34" i="16"/>
  <c r="AE20" i="16"/>
  <c r="AD63" i="16"/>
  <c r="AA31" i="16"/>
  <c r="AB41" i="17"/>
  <c r="AE29" i="16"/>
  <c r="AB62" i="16"/>
  <c r="W71" i="16"/>
  <c r="X46" i="17"/>
  <c r="W57" i="16"/>
  <c r="AE59" i="16"/>
  <c r="AE44" i="16"/>
  <c r="Z59" i="16"/>
  <c r="W13" i="16"/>
  <c r="W61" i="16"/>
  <c r="X57" i="16"/>
  <c r="Y43" i="17"/>
  <c r="AE41" i="16"/>
  <c r="AA13" i="16"/>
  <c r="AD22" i="16"/>
  <c r="AD46" i="17"/>
  <c r="W55" i="16"/>
  <c r="X13" i="16"/>
  <c r="AB24" i="16"/>
  <c r="X73" i="16"/>
  <c r="W27" i="17"/>
  <c r="Y34" i="17"/>
  <c r="Y45" i="17"/>
  <c r="Z84" i="17"/>
  <c r="AA84" i="17"/>
  <c r="W54" i="17"/>
  <c r="AD54" i="17"/>
  <c r="AE54" i="17"/>
  <c r="Z54" i="17"/>
  <c r="AA54" i="17"/>
  <c r="X54" i="17"/>
  <c r="Y54" i="17"/>
  <c r="AC54" i="17"/>
  <c r="AB54" i="17"/>
  <c r="AD71" i="17"/>
  <c r="AE71" i="17"/>
  <c r="X71" i="17"/>
  <c r="Z71" i="17"/>
  <c r="Y71" i="17"/>
  <c r="W71" i="17"/>
  <c r="AA71" i="17"/>
  <c r="AB71" i="17"/>
  <c r="AC71" i="17"/>
  <c r="Z57" i="17"/>
  <c r="AD43" i="17"/>
  <c r="AD34" i="17"/>
  <c r="AE47" i="17"/>
  <c r="AB45" i="17"/>
  <c r="AB83" i="17"/>
  <c r="AC83" i="17"/>
  <c r="W83" i="17"/>
  <c r="X83" i="17"/>
  <c r="Z83" i="17"/>
  <c r="Y83" i="17"/>
  <c r="AA83" i="17"/>
  <c r="AD83" i="17"/>
  <c r="AE83" i="17"/>
  <c r="W78" i="17"/>
  <c r="X78" i="17"/>
  <c r="AB78" i="17"/>
  <c r="AC78" i="17"/>
  <c r="AD78" i="17"/>
  <c r="AE78" i="17"/>
  <c r="Y78" i="17"/>
  <c r="Z78" i="17"/>
  <c r="AA78" i="17"/>
  <c r="X24" i="17"/>
  <c r="W24" i="17"/>
  <c r="Y24" i="17"/>
  <c r="AC24" i="17"/>
  <c r="AD24" i="17"/>
  <c r="AE24" i="17"/>
  <c r="Z24" i="17"/>
  <c r="AA24" i="17"/>
  <c r="AB24" i="17"/>
  <c r="W22" i="17"/>
  <c r="X22" i="17"/>
  <c r="Y22" i="17"/>
  <c r="Z22" i="17"/>
  <c r="AD22" i="17"/>
  <c r="AE22" i="17"/>
  <c r="AA22" i="17"/>
  <c r="AB22" i="17"/>
  <c r="AC22" i="17"/>
  <c r="X57" i="17"/>
  <c r="AB43" i="17"/>
  <c r="AA34" i="17"/>
  <c r="AD47" i="17"/>
  <c r="AD45" i="17"/>
  <c r="AA39" i="17"/>
  <c r="AB39" i="17"/>
  <c r="Y39" i="17"/>
  <c r="Z39" i="17"/>
  <c r="AC39" i="17"/>
  <c r="AD39" i="17"/>
  <c r="AE39" i="17"/>
  <c r="W39" i="17"/>
  <c r="X39" i="17"/>
  <c r="AB70" i="17"/>
  <c r="AC70" i="17"/>
  <c r="AD70" i="17"/>
  <c r="AE70" i="17"/>
  <c r="Z70" i="17"/>
  <c r="AA70" i="17"/>
  <c r="W70" i="17"/>
  <c r="X70" i="17"/>
  <c r="Y70" i="17"/>
  <c r="W57" i="17"/>
  <c r="AA43" i="17"/>
  <c r="Z34" i="17"/>
  <c r="AC47" i="17"/>
  <c r="AC45" i="17"/>
  <c r="AC44" i="17"/>
  <c r="AD44" i="17"/>
  <c r="AE44" i="17"/>
  <c r="X44" i="17"/>
  <c r="Y44" i="17"/>
  <c r="W44" i="17"/>
  <c r="AA44" i="17"/>
  <c r="AB44" i="17"/>
  <c r="Z44" i="17"/>
  <c r="W48" i="17"/>
  <c r="Z48" i="17"/>
  <c r="Y48" i="17"/>
  <c r="AE48" i="17"/>
  <c r="AC48" i="17"/>
  <c r="X48" i="17"/>
  <c r="AA48" i="17"/>
  <c r="AB48" i="17"/>
  <c r="AD48" i="17"/>
  <c r="AA62" i="17"/>
  <c r="AA46" i="17"/>
  <c r="AE62" i="17"/>
  <c r="AC56" i="17"/>
  <c r="X45" i="17"/>
  <c r="Y10" i="17"/>
  <c r="Z10" i="17"/>
  <c r="AB10" i="17"/>
  <c r="AE10" i="17"/>
  <c r="AD10" i="17"/>
  <c r="W10" i="17"/>
  <c r="X10" i="17"/>
  <c r="AA10" i="17"/>
  <c r="AC10" i="17"/>
  <c r="Z46" i="17"/>
  <c r="AD62" i="17"/>
  <c r="X40" i="17"/>
  <c r="AB40" i="17"/>
  <c r="AC40" i="17"/>
  <c r="AD40" i="17"/>
  <c r="AE40" i="17"/>
  <c r="W40" i="17"/>
  <c r="Y40" i="17"/>
  <c r="Z40" i="17"/>
  <c r="AA40" i="17"/>
  <c r="W64" i="17"/>
  <c r="Z64" i="17"/>
  <c r="X64" i="17"/>
  <c r="Y64" i="17"/>
  <c r="AA64" i="17"/>
  <c r="AB64" i="17"/>
  <c r="AC64" i="17"/>
  <c r="AD64" i="17"/>
  <c r="AE64" i="17"/>
  <c r="W25" i="17"/>
  <c r="X25" i="17"/>
  <c r="Z25" i="17"/>
  <c r="AB25" i="17"/>
  <c r="AC25" i="17"/>
  <c r="AD25" i="17"/>
  <c r="Y25" i="17"/>
  <c r="AA25" i="17"/>
  <c r="AE25" i="17"/>
  <c r="W60" i="17"/>
  <c r="AD31" i="17"/>
  <c r="Y62" i="17"/>
  <c r="AA56" i="17"/>
  <c r="AA49" i="17"/>
  <c r="AE77" i="17"/>
  <c r="AD77" i="17"/>
  <c r="W77" i="17"/>
  <c r="X77" i="17"/>
  <c r="Y77" i="17"/>
  <c r="AA77" i="17"/>
  <c r="AB77" i="17"/>
  <c r="Z77" i="17"/>
  <c r="AC77" i="17"/>
  <c r="AD57" i="17"/>
  <c r="AE60" i="17"/>
  <c r="AC31" i="17"/>
  <c r="AE28" i="17"/>
  <c r="Y56" i="17"/>
  <c r="AC55" i="17"/>
  <c r="AE17" i="17"/>
  <c r="AB67" i="17"/>
  <c r="AC67" i="17"/>
  <c r="Y67" i="17"/>
  <c r="Z67" i="17"/>
  <c r="AE67" i="17"/>
  <c r="AD67" i="17"/>
  <c r="W67" i="17"/>
  <c r="X67" i="17"/>
  <c r="AA67" i="17"/>
  <c r="AE29" i="17"/>
  <c r="W29" i="17"/>
  <c r="X29" i="17"/>
  <c r="AC29" i="17"/>
  <c r="AD29" i="17"/>
  <c r="AA29" i="17"/>
  <c r="AB29" i="17"/>
  <c r="Y29" i="17"/>
  <c r="Z29" i="17"/>
  <c r="W73" i="17"/>
  <c r="X73" i="17"/>
  <c r="Z73" i="17"/>
  <c r="Y73" i="17"/>
  <c r="AA73" i="17"/>
  <c r="AC73" i="17"/>
  <c r="AB73" i="17"/>
  <c r="AD73" i="17"/>
  <c r="AE73" i="17"/>
  <c r="AB60" i="17"/>
  <c r="AE31" i="17"/>
  <c r="AB28" i="17"/>
  <c r="Z62" i="17"/>
  <c r="Z56" i="17"/>
  <c r="AB55" i="17"/>
  <c r="AD17" i="17"/>
  <c r="X65" i="17"/>
  <c r="Y65" i="17"/>
  <c r="AB65" i="17"/>
  <c r="AC65" i="17"/>
  <c r="AD65" i="17"/>
  <c r="AE65" i="17"/>
  <c r="Z65" i="17"/>
  <c r="AA65" i="17"/>
  <c r="W65" i="17"/>
  <c r="AA59" i="17"/>
  <c r="AB59" i="17"/>
  <c r="AD59" i="17"/>
  <c r="Y59" i="17"/>
  <c r="Z59" i="17"/>
  <c r="AC59" i="17"/>
  <c r="AE59" i="17"/>
  <c r="W59" i="17"/>
  <c r="X59" i="17"/>
  <c r="W46" i="17"/>
  <c r="AD52" i="17"/>
  <c r="AE52" i="17"/>
  <c r="Z52" i="17"/>
  <c r="AA52" i="17"/>
  <c r="AB52" i="17"/>
  <c r="Y52" i="17"/>
  <c r="W52" i="17"/>
  <c r="X52" i="17"/>
  <c r="AC52" i="17"/>
  <c r="AA60" i="17"/>
  <c r="AB31" i="17"/>
  <c r="AA28" i="17"/>
  <c r="W56" i="17"/>
  <c r="AA55" i="17"/>
  <c r="AC17" i="17"/>
  <c r="AE55" i="17"/>
  <c r="AD55" i="17"/>
  <c r="AC76" i="17"/>
  <c r="AD76" i="17"/>
  <c r="W76" i="17"/>
  <c r="Z76" i="17"/>
  <c r="AA76" i="17"/>
  <c r="AE76" i="17"/>
  <c r="AB76" i="17"/>
  <c r="X76" i="17"/>
  <c r="Y76" i="17"/>
  <c r="W32" i="17"/>
  <c r="Z32" i="17"/>
  <c r="AB32" i="17"/>
  <c r="AC32" i="17"/>
  <c r="AD32" i="17"/>
  <c r="AE32" i="17"/>
  <c r="X32" i="17"/>
  <c r="Y32" i="17"/>
  <c r="AA32" i="17"/>
  <c r="AA31" i="17"/>
  <c r="Z28" i="17"/>
  <c r="AC38" i="17"/>
  <c r="AE56" i="17"/>
  <c r="Z55" i="17"/>
  <c r="AA17" i="17"/>
  <c r="X63" i="17"/>
  <c r="AE63" i="17"/>
  <c r="Y63" i="17"/>
  <c r="Z63" i="17"/>
  <c r="AB63" i="17"/>
  <c r="AD63" i="17"/>
  <c r="AA63" i="17"/>
  <c r="W63" i="17"/>
  <c r="AC63" i="17"/>
  <c r="AE57" i="17"/>
  <c r="Y28" i="17"/>
  <c r="Z38" i="17"/>
  <c r="Y55" i="17"/>
  <c r="W17" i="17"/>
  <c r="AD66" i="17"/>
  <c r="AC84" i="17"/>
  <c r="X16" i="17"/>
  <c r="W16" i="17"/>
  <c r="Z16" i="17"/>
  <c r="AE16" i="17"/>
  <c r="AA16" i="17"/>
  <c r="AB16" i="17"/>
  <c r="AC16" i="17"/>
  <c r="Y16" i="17"/>
  <c r="AD16" i="17"/>
  <c r="AB35" i="17"/>
  <c r="AC35" i="17"/>
  <c r="W35" i="17"/>
  <c r="X35" i="17"/>
  <c r="Z35" i="17"/>
  <c r="AA35" i="17"/>
  <c r="Y35" i="17"/>
  <c r="AD35" i="17"/>
  <c r="AE35" i="17"/>
  <c r="AA75" i="17"/>
  <c r="AB75" i="17"/>
  <c r="AD75" i="17"/>
  <c r="AE75" i="17"/>
  <c r="Z75" i="17"/>
  <c r="AC75" i="17"/>
  <c r="W75" i="17"/>
  <c r="X75" i="17"/>
  <c r="Y75" i="17"/>
  <c r="Y49" i="17"/>
  <c r="AB18" i="17"/>
  <c r="AA80" i="17"/>
  <c r="AB27" i="17"/>
  <c r="AB84" i="17"/>
  <c r="AC12" i="17"/>
  <c r="AD12" i="17"/>
  <c r="W12" i="17"/>
  <c r="AA12" i="17"/>
  <c r="X12" i="17"/>
  <c r="Z12" i="17"/>
  <c r="Y12" i="17"/>
  <c r="AE12" i="17"/>
  <c r="AB12" i="17"/>
  <c r="AB47" i="17"/>
  <c r="Z43" i="17"/>
  <c r="W43" i="17"/>
  <c r="Y47" i="17"/>
  <c r="W47" i="17"/>
  <c r="AB17" i="17"/>
  <c r="X33" i="17"/>
  <c r="Y33" i="17"/>
  <c r="AB33" i="17"/>
  <c r="AE33" i="17"/>
  <c r="AD33" i="17"/>
  <c r="W33" i="17"/>
  <c r="Z33" i="17"/>
  <c r="AA33" i="17"/>
  <c r="AC33" i="17"/>
  <c r="W31" i="17"/>
  <c r="AA38" i="17"/>
  <c r="AB51" i="17"/>
  <c r="AC51" i="17"/>
  <c r="AA51" i="17"/>
  <c r="AD51" i="17"/>
  <c r="AE51" i="17"/>
  <c r="Y51" i="17"/>
  <c r="Z51" i="17"/>
  <c r="W51" i="17"/>
  <c r="X51" i="17"/>
  <c r="Z49" i="17"/>
  <c r="Z27" i="17"/>
  <c r="W49" i="17"/>
  <c r="X17" i="17"/>
  <c r="AE49" i="17"/>
  <c r="X18" i="17"/>
  <c r="Y27" i="17"/>
  <c r="W18" i="17"/>
  <c r="AB14" i="17"/>
  <c r="AC14" i="17"/>
  <c r="AD14" i="17"/>
  <c r="AE14" i="17"/>
  <c r="Z14" i="17"/>
  <c r="AA14" i="17"/>
  <c r="X14" i="17"/>
  <c r="Y14" i="17"/>
  <c r="W14" i="17"/>
  <c r="AE13" i="17"/>
  <c r="W13" i="17"/>
  <c r="X13" i="17"/>
  <c r="Y13" i="17"/>
  <c r="Z13" i="17"/>
  <c r="AA13" i="17"/>
  <c r="AB13" i="17"/>
  <c r="AC13" i="17"/>
  <c r="AD13" i="17"/>
  <c r="AC49" i="17"/>
  <c r="Y58" i="17"/>
  <c r="Z58" i="17"/>
  <c r="AB58" i="17"/>
  <c r="AC58" i="17"/>
  <c r="AE58" i="17"/>
  <c r="W58" i="17"/>
  <c r="X58" i="17"/>
  <c r="AA58" i="17"/>
  <c r="AD58" i="17"/>
  <c r="AC57" i="17"/>
  <c r="AA53" i="17"/>
  <c r="W53" i="17"/>
  <c r="X53" i="17"/>
  <c r="Y53" i="17"/>
  <c r="AE53" i="17"/>
  <c r="Z53" i="17"/>
  <c r="AB53" i="17"/>
  <c r="AC53" i="17"/>
  <c r="AD53" i="17"/>
  <c r="AD20" i="17"/>
  <c r="AE20" i="17"/>
  <c r="Y20" i="17"/>
  <c r="Z20" i="17"/>
  <c r="AB20" i="17"/>
  <c r="AC20" i="17"/>
  <c r="W20" i="17"/>
  <c r="X20" i="17"/>
  <c r="AA20" i="17"/>
  <c r="AE41" i="17"/>
  <c r="AD18" i="17"/>
  <c r="X80" i="17"/>
  <c r="AD84" i="17"/>
  <c r="X79" i="17"/>
  <c r="AA79" i="17"/>
  <c r="AB79" i="17"/>
  <c r="AC79" i="17"/>
  <c r="AD79" i="17"/>
  <c r="AE79" i="17"/>
  <c r="W79" i="17"/>
  <c r="Y79" i="17"/>
  <c r="Z79" i="17"/>
  <c r="W69" i="17"/>
  <c r="X69" i="17"/>
  <c r="Y69" i="17"/>
  <c r="Z69" i="17"/>
  <c r="AA69" i="17"/>
  <c r="AB69" i="17"/>
  <c r="AC69" i="17"/>
  <c r="AD69" i="17"/>
  <c r="AE69" i="17"/>
  <c r="Y26" i="17"/>
  <c r="Z26" i="17"/>
  <c r="AB26" i="17"/>
  <c r="AC26" i="17"/>
  <c r="AD26" i="17"/>
  <c r="AE26" i="17"/>
  <c r="W26" i="17"/>
  <c r="X26" i="17"/>
  <c r="AA26" i="17"/>
  <c r="X43" i="17"/>
  <c r="AD36" i="17"/>
  <c r="AE36" i="17"/>
  <c r="W36" i="17"/>
  <c r="Y36" i="17"/>
  <c r="X36" i="17"/>
  <c r="Z36" i="17"/>
  <c r="AB36" i="17"/>
  <c r="AC36" i="17"/>
  <c r="AA36" i="17"/>
  <c r="AD68" i="17"/>
  <c r="AE68" i="17"/>
  <c r="AB68" i="17"/>
  <c r="AC68" i="17"/>
  <c r="W68" i="17"/>
  <c r="Y68" i="17"/>
  <c r="Z68" i="17"/>
  <c r="AA68" i="17"/>
  <c r="X68" i="17"/>
  <c r="X55" i="17"/>
  <c r="Y74" i="17"/>
  <c r="Z74" i="17"/>
  <c r="AB74" i="17"/>
  <c r="W74" i="17"/>
  <c r="X74" i="17"/>
  <c r="AC74" i="17"/>
  <c r="AA74" i="17"/>
  <c r="AD74" i="17"/>
  <c r="AE74" i="17"/>
  <c r="Z17" i="17"/>
  <c r="AC27" i="17"/>
  <c r="AA11" i="17"/>
  <c r="AB11" i="17"/>
  <c r="AD11" i="17"/>
  <c r="AC11" i="17"/>
  <c r="AE11" i="17"/>
  <c r="Z11" i="17"/>
  <c r="X11" i="17"/>
  <c r="W11" i="17"/>
  <c r="Y11" i="17"/>
  <c r="X84" i="17"/>
  <c r="AE66" i="17"/>
  <c r="Y66" i="17"/>
  <c r="AB66" i="17"/>
  <c r="AC66" i="17"/>
  <c r="W84" i="17"/>
  <c r="AB49" i="17"/>
  <c r="AC18" i="17"/>
  <c r="AD27" i="17"/>
  <c r="X49" i="17"/>
  <c r="Y18" i="17"/>
  <c r="Y80" i="17"/>
  <c r="AA27" i="17"/>
  <c r="AE84" i="17"/>
  <c r="X15" i="17"/>
  <c r="AB15" i="17"/>
  <c r="AC15" i="17"/>
  <c r="AE15" i="17"/>
  <c r="AD15" i="17"/>
  <c r="W15" i="17"/>
  <c r="Y15" i="17"/>
  <c r="Z15" i="17"/>
  <c r="AA15" i="17"/>
  <c r="AD41" i="17"/>
  <c r="AA18" i="17"/>
  <c r="Z80" i="17"/>
  <c r="Z50" i="17"/>
  <c r="AA50" i="17"/>
  <c r="AD50" i="17"/>
  <c r="W50" i="17"/>
  <c r="X50" i="17"/>
  <c r="Y50" i="17"/>
  <c r="AB50" i="17"/>
  <c r="AC50" i="17"/>
  <c r="AE50" i="17"/>
  <c r="Z47" i="17"/>
  <c r="X28" i="17"/>
  <c r="W28" i="17"/>
  <c r="AD28" i="17"/>
  <c r="X66" i="17"/>
  <c r="AE18" i="17"/>
  <c r="AC41" i="17"/>
  <c r="W80" i="17"/>
  <c r="AC37" i="17"/>
  <c r="AD37" i="17"/>
  <c r="AE37" i="17"/>
  <c r="AB37" i="17"/>
  <c r="X37" i="17"/>
  <c r="Y37" i="17"/>
  <c r="Z37" i="17"/>
  <c r="AA37" i="17"/>
  <c r="W37" i="17"/>
  <c r="X41" i="17"/>
  <c r="W41" i="17"/>
  <c r="X34" i="17"/>
  <c r="AC30" i="17"/>
  <c r="AD30" i="17"/>
  <c r="X30" i="17"/>
  <c r="Y30" i="17"/>
  <c r="Z30" i="17"/>
  <c r="AB30" i="17"/>
  <c r="AE30" i="17"/>
  <c r="W30" i="17"/>
  <c r="AA30" i="17"/>
  <c r="X72" i="17"/>
  <c r="AB72" i="17"/>
  <c r="Z72" i="17"/>
  <c r="AA72" i="17"/>
  <c r="AC72" i="17"/>
  <c r="AE72" i="17"/>
  <c r="AD72" i="17"/>
  <c r="W72" i="17"/>
  <c r="Y72" i="17"/>
  <c r="Y84" i="17"/>
  <c r="X27" i="17"/>
  <c r="AC80" i="17"/>
  <c r="Z82" i="17"/>
  <c r="AA82" i="17"/>
  <c r="AD82" i="17"/>
  <c r="AC82" i="17"/>
  <c r="AE82" i="17"/>
  <c r="W82" i="17"/>
  <c r="X82" i="17"/>
  <c r="Y82" i="17"/>
  <c r="AB82" i="17"/>
  <c r="AD38" i="17"/>
  <c r="Y42" i="17"/>
  <c r="Z42" i="17"/>
  <c r="AB42" i="17"/>
  <c r="AE42" i="17"/>
  <c r="W42" i="17"/>
  <c r="AA42" i="17"/>
  <c r="AC42" i="17"/>
  <c r="X42" i="17"/>
  <c r="AD42" i="17"/>
  <c r="AC23" i="17"/>
  <c r="AD23" i="17"/>
  <c r="AE23" i="17"/>
  <c r="W23" i="17"/>
  <c r="X23" i="17"/>
  <c r="Z23" i="17"/>
  <c r="Y23" i="17"/>
  <c r="AA23" i="17"/>
  <c r="AB23" i="17"/>
  <c r="AE61" i="17"/>
  <c r="X61" i="17"/>
  <c r="Y61" i="17"/>
  <c r="Z61" i="17"/>
  <c r="AC61" i="17"/>
  <c r="AD61" i="17"/>
  <c r="AA61" i="17"/>
  <c r="AB61" i="17"/>
  <c r="W61" i="17"/>
  <c r="Z45" i="17"/>
  <c r="AA45" i="17"/>
  <c r="AA41" i="17"/>
  <c r="AA47" i="17"/>
  <c r="W21" i="17"/>
  <c r="X21" i="17"/>
  <c r="AA21" i="17"/>
  <c r="Y21" i="17"/>
  <c r="AB21" i="17"/>
  <c r="Z21" i="17"/>
  <c r="AC21" i="17"/>
  <c r="AD21" i="17"/>
  <c r="AE21" i="17"/>
  <c r="AC43" i="17"/>
  <c r="AD60" i="17"/>
  <c r="AB38" i="17"/>
  <c r="Y38" i="17"/>
  <c r="X38" i="17"/>
  <c r="AB80" i="17"/>
  <c r="AD80" i="17"/>
  <c r="AA66" i="17"/>
  <c r="AB19" i="17"/>
  <c r="AC19" i="17"/>
  <c r="AD19" i="17"/>
  <c r="AE19" i="17"/>
  <c r="Z19" i="17"/>
  <c r="W19" i="17"/>
  <c r="Y19" i="17"/>
  <c r="X19" i="17"/>
  <c r="AA19" i="17"/>
  <c r="AB85" i="17"/>
  <c r="AC85" i="17"/>
  <c r="AE85" i="17"/>
  <c r="AD85" i="17"/>
  <c r="X85" i="17"/>
  <c r="W85" i="17"/>
  <c r="Z85" i="17"/>
  <c r="Y85" i="17"/>
  <c r="AA85" i="17"/>
  <c r="X81" i="17"/>
  <c r="Y81" i="17"/>
  <c r="AB81" i="17"/>
  <c r="Z81" i="17"/>
  <c r="AC81" i="17"/>
  <c r="AE81" i="17"/>
  <c r="W81" i="17"/>
  <c r="AA81" i="17"/>
  <c r="AD81" i="17"/>
  <c r="AC41" i="16"/>
  <c r="AB59" i="16"/>
  <c r="AE25" i="16"/>
  <c r="Y30" i="16"/>
  <c r="AB41" i="16"/>
  <c r="AB13" i="16"/>
  <c r="W54" i="15"/>
  <c r="AD69" i="16"/>
  <c r="AE84" i="16"/>
  <c r="AA30" i="16"/>
  <c r="W69" i="16"/>
  <c r="AD25" i="16"/>
  <c r="X30" i="16"/>
  <c r="AA41" i="16"/>
  <c r="AC45" i="16"/>
  <c r="W70" i="16"/>
  <c r="AC31" i="16"/>
  <c r="Y73" i="16"/>
  <c r="AC25" i="16"/>
  <c r="Z41" i="16"/>
  <c r="Z13" i="16"/>
  <c r="W73" i="14"/>
  <c r="X77" i="14"/>
  <c r="AB56" i="14"/>
  <c r="W41" i="15"/>
  <c r="Z71" i="16"/>
  <c r="AE57" i="16"/>
  <c r="AB25" i="16"/>
  <c r="Y41" i="16"/>
  <c r="AE13" i="16"/>
  <c r="AE60" i="14"/>
  <c r="AC56" i="15"/>
  <c r="AE72" i="16"/>
  <c r="AD57" i="16"/>
  <c r="AA25" i="16"/>
  <c r="X41" i="16"/>
  <c r="AC22" i="16"/>
  <c r="AD44" i="16"/>
  <c r="AC57" i="16"/>
  <c r="Z25" i="16"/>
  <c r="X20" i="16"/>
  <c r="AE24" i="16"/>
  <c r="AA84" i="16"/>
  <c r="AB57" i="16"/>
  <c r="Y25" i="16"/>
  <c r="W20" i="16"/>
  <c r="W45" i="16"/>
  <c r="AD24" i="16"/>
  <c r="AB28" i="16"/>
  <c r="AB46" i="16"/>
  <c r="AA57" i="16"/>
  <c r="X25" i="16"/>
  <c r="X59" i="16"/>
  <c r="AC24" i="16"/>
  <c r="AC19" i="16"/>
  <c r="Z57" i="16"/>
  <c r="Z27" i="16"/>
  <c r="AD31" i="16"/>
  <c r="AB61" i="16"/>
  <c r="Y28" i="16"/>
  <c r="Y20" i="16"/>
  <c r="Y57" i="16"/>
  <c r="Y27" i="16"/>
  <c r="AB31" i="16"/>
  <c r="Z61" i="16"/>
  <c r="X28" i="16"/>
  <c r="P34" i="12"/>
  <c r="Y33" i="16"/>
  <c r="AA59" i="16"/>
  <c r="AE28" i="16"/>
  <c r="AE43" i="16"/>
  <c r="AE61" i="16"/>
  <c r="AA71" i="16"/>
  <c r="W46" i="16"/>
  <c r="AE62" i="16"/>
  <c r="W44" i="16"/>
  <c r="AC44" i="16"/>
  <c r="AA45" i="16"/>
  <c r="AD19" i="16"/>
  <c r="X79" i="16"/>
  <c r="Y52" i="16"/>
  <c r="AE60" i="16"/>
  <c r="AB12" i="16"/>
  <c r="AE21" i="16"/>
  <c r="W54" i="16"/>
  <c r="Y22" i="16"/>
  <c r="AE40" i="16"/>
  <c r="Y55" i="16"/>
  <c r="Y17" i="16"/>
  <c r="AA11" i="16"/>
  <c r="X22" i="16"/>
  <c r="AC21" i="16"/>
  <c r="W12" i="16"/>
  <c r="AC59" i="16"/>
  <c r="Z44" i="16"/>
  <c r="AB27" i="16"/>
  <c r="X44" i="16"/>
  <c r="AD56" i="15"/>
  <c r="AC76" i="16"/>
  <c r="X70" i="16"/>
  <c r="AC78" i="16"/>
  <c r="AE36" i="16"/>
  <c r="X84" i="16"/>
  <c r="AE22" i="16"/>
  <c r="Y85" i="16"/>
  <c r="W38" i="16"/>
  <c r="X12" i="16"/>
  <c r="AC60" i="16"/>
  <c r="Y45" i="16"/>
  <c r="Y74" i="14"/>
  <c r="AB56" i="16"/>
  <c r="Z12" i="16"/>
  <c r="AD45" i="16"/>
  <c r="W22" i="16"/>
  <c r="Z45" i="16"/>
  <c r="AB45" i="16"/>
  <c r="AE12" i="16"/>
  <c r="AD56" i="16"/>
  <c r="AC28" i="16"/>
  <c r="AB71" i="16"/>
  <c r="AA44" i="16"/>
  <c r="X23" i="16"/>
  <c r="AD43" i="16"/>
  <c r="AC43" i="16"/>
  <c r="Y71" i="16"/>
  <c r="Z46" i="16"/>
  <c r="W24" i="16"/>
  <c r="AE77" i="16"/>
  <c r="X38" i="14"/>
  <c r="Z20" i="16"/>
  <c r="L65" i="11"/>
  <c r="W37" i="16"/>
  <c r="Z21" i="16"/>
  <c r="AB23" i="16"/>
  <c r="AD39" i="16"/>
  <c r="Y12" i="16"/>
  <c r="AE52" i="16"/>
  <c r="Y13" i="16"/>
  <c r="AD12" i="16"/>
  <c r="AC11" i="16"/>
  <c r="AD27" i="16"/>
  <c r="AC27" i="16"/>
  <c r="AA75" i="16"/>
  <c r="W23" i="16"/>
  <c r="AA18" i="16"/>
  <c r="Z78" i="16"/>
  <c r="AA12" i="16"/>
  <c r="O24" i="11"/>
  <c r="Z53" i="16"/>
  <c r="AE11" i="16"/>
  <c r="AC38" i="16"/>
  <c r="Z49" i="16"/>
  <c r="AE49" i="16"/>
  <c r="AC49" i="16"/>
  <c r="AD49" i="16"/>
  <c r="X49" i="16"/>
  <c r="W49" i="16"/>
  <c r="AA49" i="16"/>
  <c r="AB49" i="16"/>
  <c r="AB78" i="16"/>
  <c r="AC35" i="16"/>
  <c r="AD35" i="16"/>
  <c r="AA35" i="16"/>
  <c r="AB35" i="16"/>
  <c r="AE35" i="16"/>
  <c r="W35" i="16"/>
  <c r="X35" i="16"/>
  <c r="Y35" i="16"/>
  <c r="Z35" i="16"/>
  <c r="AB50" i="16"/>
  <c r="AC50" i="16"/>
  <c r="AD50" i="16"/>
  <c r="W50" i="16"/>
  <c r="X50" i="16"/>
  <c r="Z50" i="16"/>
  <c r="Y50" i="16"/>
  <c r="AE50" i="16"/>
  <c r="X80" i="16"/>
  <c r="Y80" i="16"/>
  <c r="AA80" i="16"/>
  <c r="AB80" i="16"/>
  <c r="AC80" i="16"/>
  <c r="AD80" i="16"/>
  <c r="AE80" i="16"/>
  <c r="Z80" i="16"/>
  <c r="Y63" i="16"/>
  <c r="X63" i="16"/>
  <c r="W63" i="16"/>
  <c r="Z63" i="16"/>
  <c r="AA63" i="16"/>
  <c r="AB63" i="16"/>
  <c r="AD28" i="16"/>
  <c r="X55" i="16"/>
  <c r="AB30" i="16"/>
  <c r="AA78" i="16"/>
  <c r="AE54" i="16"/>
  <c r="Y10" i="16"/>
  <c r="Z10" i="16"/>
  <c r="AA10" i="16"/>
  <c r="AB10" i="16"/>
  <c r="AC10" i="16"/>
  <c r="AD10" i="16"/>
  <c r="AE10" i="16"/>
  <c r="X10" i="16"/>
  <c r="W10" i="16"/>
  <c r="Z23" i="16"/>
  <c r="Z39" i="16"/>
  <c r="AA38" i="16"/>
  <c r="W52" i="16"/>
  <c r="AE46" i="16"/>
  <c r="Z56" i="16"/>
  <c r="Z24" i="16"/>
  <c r="X15" i="16"/>
  <c r="AC36" i="16"/>
  <c r="W75" i="16"/>
  <c r="Z75" i="16"/>
  <c r="X75" i="16"/>
  <c r="Y75" i="16"/>
  <c r="AD52" i="16"/>
  <c r="AE75" i="16"/>
  <c r="AA52" i="16"/>
  <c r="AC51" i="16"/>
  <c r="AD51" i="16"/>
  <c r="W51" i="16"/>
  <c r="AA51" i="16"/>
  <c r="AB51" i="16"/>
  <c r="X51" i="16"/>
  <c r="Y51" i="16"/>
  <c r="Z51" i="16"/>
  <c r="AE51" i="16"/>
  <c r="W16" i="16"/>
  <c r="X16" i="16"/>
  <c r="AB16" i="16"/>
  <c r="Z16" i="16"/>
  <c r="Y16" i="16"/>
  <c r="AA16" i="16"/>
  <c r="AC16" i="16"/>
  <c r="AD16" i="16"/>
  <c r="AE16" i="16"/>
  <c r="AD75" i="16"/>
  <c r="AD38" i="16"/>
  <c r="Z52" i="16"/>
  <c r="X21" i="16"/>
  <c r="AB39" i="16"/>
  <c r="AA39" i="16"/>
  <c r="AB75" i="16"/>
  <c r="AB38" i="16"/>
  <c r="X52" i="16"/>
  <c r="AA56" i="16"/>
  <c r="W11" i="16"/>
  <c r="X11" i="16"/>
  <c r="Y11" i="16"/>
  <c r="Z11" i="16"/>
  <c r="AE76" i="16"/>
  <c r="Y39" i="16"/>
  <c r="Z38" i="16"/>
  <c r="AD54" i="16"/>
  <c r="Y56" i="16"/>
  <c r="Y24" i="16"/>
  <c r="AB36" i="16"/>
  <c r="AD76" i="16"/>
  <c r="Y54" i="16"/>
  <c r="X39" i="16"/>
  <c r="Y38" i="16"/>
  <c r="AE71" i="16"/>
  <c r="AC54" i="16"/>
  <c r="Y79" i="16"/>
  <c r="X56" i="16"/>
  <c r="X24" i="16"/>
  <c r="AC62" i="16"/>
  <c r="AA36" i="16"/>
  <c r="AC67" i="16"/>
  <c r="AD67" i="16"/>
  <c r="W67" i="16"/>
  <c r="X67" i="16"/>
  <c r="Y67" i="16"/>
  <c r="Z67" i="16"/>
  <c r="AA67" i="16"/>
  <c r="AB67" i="16"/>
  <c r="AE67" i="16"/>
  <c r="AA50" i="16"/>
  <c r="Z54" i="16"/>
  <c r="W39" i="16"/>
  <c r="X38" i="16"/>
  <c r="AD71" i="16"/>
  <c r="AB54" i="16"/>
  <c r="AC30" i="16"/>
  <c r="W56" i="16"/>
  <c r="AD62" i="16"/>
  <c r="AD36" i="16"/>
  <c r="AB37" i="16"/>
  <c r="AC37" i="16"/>
  <c r="Y37" i="16"/>
  <c r="Z37" i="16"/>
  <c r="AA37" i="16"/>
  <c r="AD37" i="16"/>
  <c r="AE37" i="16"/>
  <c r="AB82" i="16"/>
  <c r="W82" i="16"/>
  <c r="X82" i="16"/>
  <c r="Y82" i="16"/>
  <c r="AE82" i="16"/>
  <c r="Z82" i="16"/>
  <c r="AC82" i="16"/>
  <c r="AD82" i="16"/>
  <c r="Y76" i="16"/>
  <c r="Z76" i="16"/>
  <c r="W76" i="16"/>
  <c r="X76" i="16"/>
  <c r="AA76" i="16"/>
  <c r="AB76" i="16"/>
  <c r="AE38" i="16"/>
  <c r="AB21" i="16"/>
  <c r="X68" i="16"/>
  <c r="AA68" i="16"/>
  <c r="AB68" i="16"/>
  <c r="AC68" i="16"/>
  <c r="W32" i="16"/>
  <c r="X32" i="16"/>
  <c r="Y32" i="16"/>
  <c r="Z32" i="16"/>
  <c r="AA32" i="16"/>
  <c r="AB32" i="16"/>
  <c r="AC32" i="16"/>
  <c r="AD32" i="16"/>
  <c r="AE32" i="16"/>
  <c r="X14" i="16"/>
  <c r="W14" i="16"/>
  <c r="X54" i="16"/>
  <c r="AC84" i="16"/>
  <c r="AA54" i="16"/>
  <c r="Z36" i="16"/>
  <c r="AE69" i="16"/>
  <c r="Z69" i="16"/>
  <c r="AA69" i="16"/>
  <c r="Y69" i="16"/>
  <c r="AA15" i="16"/>
  <c r="AC15" i="16"/>
  <c r="AB15" i="16"/>
  <c r="Z15" i="16"/>
  <c r="AD15" i="16"/>
  <c r="AE15" i="16"/>
  <c r="X69" i="16"/>
  <c r="W79" i="16"/>
  <c r="AD14" i="16"/>
  <c r="AA62" i="16"/>
  <c r="Y36" i="16"/>
  <c r="AC70" i="16"/>
  <c r="AD70" i="16"/>
  <c r="AE70" i="16"/>
  <c r="Z70" i="16"/>
  <c r="AA70" i="16"/>
  <c r="AB70" i="16"/>
  <c r="Y26" i="16"/>
  <c r="Z26" i="16"/>
  <c r="AA26" i="16"/>
  <c r="AB26" i="16"/>
  <c r="AC26" i="16"/>
  <c r="AD26" i="16"/>
  <c r="AE26" i="16"/>
  <c r="W26" i="16"/>
  <c r="X26" i="16"/>
  <c r="AC40" i="16"/>
  <c r="AD84" i="16"/>
  <c r="Z62" i="16"/>
  <c r="X36" i="16"/>
  <c r="X27" i="16"/>
  <c r="W27" i="16"/>
  <c r="AD40" i="16"/>
  <c r="AE39" i="16"/>
  <c r="AC14" i="16"/>
  <c r="Y59" i="16"/>
  <c r="Y44" i="16"/>
  <c r="AE53" i="16"/>
  <c r="Y62" i="16"/>
  <c r="W36" i="16"/>
  <c r="X62" i="16"/>
  <c r="AC83" i="16"/>
  <c r="AD83" i="16"/>
  <c r="AB83" i="16"/>
  <c r="AE83" i="16"/>
  <c r="X83" i="16"/>
  <c r="Y83" i="16"/>
  <c r="Z83" i="16"/>
  <c r="AA83" i="16"/>
  <c r="W83" i="16"/>
  <c r="Z29" i="16"/>
  <c r="AA29" i="16"/>
  <c r="Y29" i="16"/>
  <c r="AB29" i="16"/>
  <c r="W29" i="16"/>
  <c r="X29" i="16"/>
  <c r="AC29" i="16"/>
  <c r="AD29" i="16"/>
  <c r="AA40" i="16"/>
  <c r="AC39" i="16"/>
  <c r="AC53" i="16"/>
  <c r="W62" i="16"/>
  <c r="Y74" i="16"/>
  <c r="Z74" i="16"/>
  <c r="AA74" i="16"/>
  <c r="AB74" i="16"/>
  <c r="AC74" i="16"/>
  <c r="AD74" i="16"/>
  <c r="AE74" i="16"/>
  <c r="W74" i="16"/>
  <c r="X74" i="16"/>
  <c r="AB52" i="16"/>
  <c r="AB40" i="16"/>
  <c r="AA79" i="16"/>
  <c r="AD53" i="16"/>
  <c r="Z17" i="16"/>
  <c r="AA17" i="16"/>
  <c r="AB17" i="16"/>
  <c r="AC17" i="16"/>
  <c r="AD17" i="16"/>
  <c r="AE17" i="16"/>
  <c r="X17" i="16"/>
  <c r="W17" i="16"/>
  <c r="Z40" i="16"/>
  <c r="AE14" i="16"/>
  <c r="AE30" i="16"/>
  <c r="Y14" i="16"/>
  <c r="AB53" i="16"/>
  <c r="Z84" i="16"/>
  <c r="Z85" i="16"/>
  <c r="AA85" i="16"/>
  <c r="AB85" i="16"/>
  <c r="AC85" i="16"/>
  <c r="AD85" i="16"/>
  <c r="AE85" i="16"/>
  <c r="AB18" i="16"/>
  <c r="AE18" i="16"/>
  <c r="W18" i="16"/>
  <c r="X18" i="16"/>
  <c r="AD18" i="16"/>
  <c r="Y18" i="16"/>
  <c r="Z18" i="16"/>
  <c r="AC18" i="16"/>
  <c r="W48" i="16"/>
  <c r="X48" i="16"/>
  <c r="Y48" i="16"/>
  <c r="Z48" i="16"/>
  <c r="AA48" i="16"/>
  <c r="AB48" i="16"/>
  <c r="AC48" i="16"/>
  <c r="AD48" i="16"/>
  <c r="AE48" i="16"/>
  <c r="Y40" i="16"/>
  <c r="Y49" i="16"/>
  <c r="Z30" i="16"/>
  <c r="Z14" i="16"/>
  <c r="AA14" i="16"/>
  <c r="AA61" i="16"/>
  <c r="AB79" i="16"/>
  <c r="AA53" i="16"/>
  <c r="Y84" i="16"/>
  <c r="AD59" i="16"/>
  <c r="W21" i="16"/>
  <c r="W84" i="16"/>
  <c r="AD72" i="16"/>
  <c r="AD77" i="16"/>
  <c r="W30" i="16"/>
  <c r="AC69" i="16"/>
  <c r="Y31" i="16"/>
  <c r="AB69" i="16"/>
  <c r="AC61" i="16"/>
  <c r="W68" i="16"/>
  <c r="X53" i="16"/>
  <c r="AB84" i="16"/>
  <c r="Z81" i="16"/>
  <c r="W81" i="16"/>
  <c r="X81" i="16"/>
  <c r="AA81" i="16"/>
  <c r="AB81" i="16"/>
  <c r="AE81" i="16"/>
  <c r="AD81" i="16"/>
  <c r="AC81" i="16"/>
  <c r="X37" i="16"/>
  <c r="AC52" i="16"/>
  <c r="W19" i="16"/>
  <c r="X19" i="16"/>
  <c r="Y19" i="16"/>
  <c r="Z19" i="16"/>
  <c r="AA19" i="16"/>
  <c r="AB19" i="16"/>
  <c r="AE19" i="16"/>
  <c r="Y42" i="16"/>
  <c r="Z42" i="16"/>
  <c r="AA42" i="16"/>
  <c r="AB42" i="16"/>
  <c r="AC42" i="16"/>
  <c r="AD42" i="16"/>
  <c r="AE42" i="16"/>
  <c r="X42" i="16"/>
  <c r="W42" i="16"/>
  <c r="X40" i="16"/>
  <c r="AC77" i="16"/>
  <c r="Y43" i="16"/>
  <c r="Z43" i="16"/>
  <c r="W43" i="16"/>
  <c r="X43" i="16"/>
  <c r="W40" i="16"/>
  <c r="AA21" i="16"/>
  <c r="AC72" i="16"/>
  <c r="AB77" i="16"/>
  <c r="X46" i="16"/>
  <c r="Y53" i="16"/>
  <c r="X64" i="16"/>
  <c r="AB64" i="16"/>
  <c r="AC64" i="16"/>
  <c r="AD64" i="16"/>
  <c r="AE64" i="16"/>
  <c r="Y64" i="16"/>
  <c r="Z64" i="16"/>
  <c r="AA64" i="16"/>
  <c r="AB72" i="16"/>
  <c r="AA77" i="16"/>
  <c r="Y46" i="16"/>
  <c r="X31" i="16"/>
  <c r="X61" i="16"/>
  <c r="AD68" i="16"/>
  <c r="W53" i="16"/>
  <c r="AB34" i="16"/>
  <c r="W34" i="16"/>
  <c r="X34" i="16"/>
  <c r="Y34" i="16"/>
  <c r="AD34" i="16"/>
  <c r="Z34" i="16"/>
  <c r="AC34" i="16"/>
  <c r="AE34" i="16"/>
  <c r="AB66" i="16"/>
  <c r="W66" i="16"/>
  <c r="X66" i="16"/>
  <c r="Z66" i="16"/>
  <c r="Y66" i="16"/>
  <c r="AC66" i="16"/>
  <c r="AD66" i="16"/>
  <c r="AE66" i="16"/>
  <c r="AA47" i="16"/>
  <c r="Y47" i="16"/>
  <c r="X47" i="16"/>
  <c r="W47" i="16"/>
  <c r="AB47" i="16"/>
  <c r="AC47" i="16"/>
  <c r="AD47" i="16"/>
  <c r="AE47" i="16"/>
  <c r="AD55" i="16"/>
  <c r="Z72" i="16"/>
  <c r="Y77" i="16"/>
  <c r="AE56" i="16"/>
  <c r="Y61" i="16"/>
  <c r="W78" i="16"/>
  <c r="AE68" i="16"/>
  <c r="AB20" i="16"/>
  <c r="AC20" i="16"/>
  <c r="AD20" i="16"/>
  <c r="Y58" i="16"/>
  <c r="Z58" i="16"/>
  <c r="AA58" i="16"/>
  <c r="AB58" i="16"/>
  <c r="AC58" i="16"/>
  <c r="AD58" i="16"/>
  <c r="AE58" i="16"/>
  <c r="W58" i="16"/>
  <c r="X58" i="16"/>
  <c r="AC55" i="16"/>
  <c r="Y72" i="16"/>
  <c r="X77" i="16"/>
  <c r="X78" i="16"/>
  <c r="Y68" i="16"/>
  <c r="Y21" i="16"/>
  <c r="AB55" i="16"/>
  <c r="X72" i="16"/>
  <c r="W77" i="16"/>
  <c r="AA82" i="16"/>
  <c r="Z79" i="16"/>
  <c r="AC79" i="16"/>
  <c r="AE78" i="16"/>
  <c r="AE79" i="16"/>
  <c r="Z68" i="16"/>
  <c r="AC75" i="16"/>
  <c r="Z65" i="16"/>
  <c r="AA65" i="16"/>
  <c r="AB65" i="16"/>
  <c r="W65" i="16"/>
  <c r="X65" i="16"/>
  <c r="AC65" i="16"/>
  <c r="AD65" i="16"/>
  <c r="AE65" i="16"/>
  <c r="AA72" i="16"/>
  <c r="Z77" i="16"/>
  <c r="AB22" i="16"/>
  <c r="AA22" i="16"/>
  <c r="AB60" i="16"/>
  <c r="Z60" i="16"/>
  <c r="AA60" i="16"/>
  <c r="W60" i="16"/>
  <c r="X60" i="16"/>
  <c r="Y60" i="16"/>
  <c r="X85" i="16"/>
  <c r="AA55" i="16"/>
  <c r="W72" i="16"/>
  <c r="AD78" i="16"/>
  <c r="AD79" i="16"/>
  <c r="Y81" i="16"/>
  <c r="Z33" i="16"/>
  <c r="AA33" i="16"/>
  <c r="AB33" i="16"/>
  <c r="W33" i="16"/>
  <c r="X33" i="16"/>
  <c r="AC33" i="16"/>
  <c r="AD33" i="16"/>
  <c r="AE33" i="16"/>
  <c r="AC46" i="16"/>
  <c r="AD46" i="16"/>
  <c r="AE55" i="16"/>
  <c r="AC23" i="16"/>
  <c r="AD23" i="16"/>
  <c r="AE23" i="16"/>
  <c r="W80" i="16"/>
  <c r="AA20" i="16"/>
  <c r="Z47" i="16"/>
  <c r="AB43" i="14"/>
  <c r="W48" i="14"/>
  <c r="Y45" i="15"/>
  <c r="AC73" i="15"/>
  <c r="W73" i="15"/>
  <c r="X73" i="15"/>
  <c r="W40" i="15"/>
  <c r="W64" i="15"/>
  <c r="AD57" i="14"/>
  <c r="Y73" i="15"/>
  <c r="Z73" i="15"/>
  <c r="AE61" i="15"/>
  <c r="AD59" i="14"/>
  <c r="AC72" i="15"/>
  <c r="Y43" i="15"/>
  <c r="AE36" i="15"/>
  <c r="AE75" i="15"/>
  <c r="Z71" i="15"/>
  <c r="W71" i="15"/>
  <c r="X40" i="15"/>
  <c r="AE77" i="15"/>
  <c r="AD72" i="15"/>
  <c r="AE57" i="14"/>
  <c r="AA57" i="14"/>
  <c r="AA69" i="15"/>
  <c r="Z70" i="15"/>
  <c r="Y41" i="15"/>
  <c r="Z27" i="15"/>
  <c r="AA75" i="15"/>
  <c r="Z69" i="15"/>
  <c r="AE71" i="15"/>
  <c r="Z85" i="15"/>
  <c r="AA18" i="15"/>
  <c r="Z72" i="15"/>
  <c r="AD74" i="14"/>
  <c r="Z25" i="15"/>
  <c r="W25" i="14"/>
  <c r="Y57" i="14"/>
  <c r="W23" i="15"/>
  <c r="N14" i="11"/>
  <c r="Z45" i="15"/>
  <c r="Y57" i="15"/>
  <c r="W70" i="15"/>
  <c r="AD27" i="14"/>
  <c r="Z25" i="14"/>
  <c r="AD75" i="14"/>
  <c r="AA24" i="15"/>
  <c r="AD43" i="15"/>
  <c r="AB25" i="15"/>
  <c r="X53" i="15"/>
  <c r="AE37" i="15"/>
  <c r="AA54" i="15"/>
  <c r="X41" i="14"/>
  <c r="AB72" i="14"/>
  <c r="AC57" i="14"/>
  <c r="AD71" i="15"/>
  <c r="AA11" i="15"/>
  <c r="AD57" i="15"/>
  <c r="AA38" i="14"/>
  <c r="AA43" i="15"/>
  <c r="X56" i="15"/>
  <c r="W57" i="14"/>
  <c r="AD75" i="15"/>
  <c r="W56" i="15"/>
  <c r="X69" i="15"/>
  <c r="AB72" i="15"/>
  <c r="W69" i="15"/>
  <c r="AA72" i="15"/>
  <c r="AA73" i="15"/>
  <c r="W19" i="15"/>
  <c r="AC75" i="15"/>
  <c r="AA57" i="15"/>
  <c r="AC71" i="15"/>
  <c r="AB56" i="15"/>
  <c r="AC74" i="14"/>
  <c r="AB75" i="15"/>
  <c r="Z57" i="15"/>
  <c r="AB71" i="15"/>
  <c r="AA56" i="15"/>
  <c r="AD73" i="14"/>
  <c r="AA71" i="15"/>
  <c r="Z56" i="15"/>
  <c r="AC76" i="14"/>
  <c r="Y71" i="14"/>
  <c r="AB27" i="15"/>
  <c r="AB57" i="15"/>
  <c r="W85" i="14"/>
  <c r="AB23" i="14"/>
  <c r="Z73" i="14"/>
  <c r="X57" i="15"/>
  <c r="AE43" i="15"/>
  <c r="Z82" i="14"/>
  <c r="Y73" i="14"/>
  <c r="AB27" i="14"/>
  <c r="Y36" i="15"/>
  <c r="W57" i="15"/>
  <c r="Y71" i="15"/>
  <c r="AE25" i="15"/>
  <c r="AA73" i="13"/>
  <c r="AB45" i="13"/>
  <c r="X68" i="14"/>
  <c r="W34" i="15"/>
  <c r="Z43" i="15"/>
  <c r="X71" i="15"/>
  <c r="AD25" i="15"/>
  <c r="AC43" i="15"/>
  <c r="W69" i="14"/>
  <c r="Z77" i="14"/>
  <c r="AE21" i="15"/>
  <c r="AC25" i="15"/>
  <c r="AB43" i="15"/>
  <c r="AC27" i="14"/>
  <c r="AC39" i="14"/>
  <c r="AC53" i="15"/>
  <c r="Y25" i="15"/>
  <c r="Y25" i="14"/>
  <c r="X39" i="15"/>
  <c r="AD41" i="15"/>
  <c r="X25" i="15"/>
  <c r="AE63" i="13"/>
  <c r="AB77" i="14"/>
  <c r="AC41" i="15"/>
  <c r="W25" i="15"/>
  <c r="AE38" i="15"/>
  <c r="AE41" i="15"/>
  <c r="Z12" i="14"/>
  <c r="AA38" i="15"/>
  <c r="W61" i="15"/>
  <c r="AB41" i="15"/>
  <c r="AA61" i="15"/>
  <c r="W61" i="13"/>
  <c r="Z57" i="14"/>
  <c r="AC44" i="14"/>
  <c r="Y55" i="14"/>
  <c r="W39" i="15"/>
  <c r="AA53" i="15"/>
  <c r="W66" i="15"/>
  <c r="AE11" i="15"/>
  <c r="AA41" i="15"/>
  <c r="X23" i="15"/>
  <c r="AA29" i="13"/>
  <c r="AA43" i="14"/>
  <c r="AA40" i="15"/>
  <c r="AD11" i="15"/>
  <c r="Z41" i="15"/>
  <c r="AE44" i="14"/>
  <c r="AC43" i="14"/>
  <c r="Y38" i="14"/>
  <c r="AA41" i="14"/>
  <c r="AC28" i="14"/>
  <c r="W53" i="15"/>
  <c r="AC11" i="15"/>
  <c r="AC77" i="14"/>
  <c r="W18" i="15"/>
  <c r="AC57" i="15"/>
  <c r="Y22" i="15"/>
  <c r="AE74" i="14"/>
  <c r="AD69" i="15"/>
  <c r="AB11" i="15"/>
  <c r="X41" i="15"/>
  <c r="X11" i="15"/>
  <c r="X73" i="14"/>
  <c r="AE45" i="14"/>
  <c r="Y53" i="15"/>
  <c r="AA70" i="15"/>
  <c r="AE72" i="14"/>
  <c r="W72" i="15"/>
  <c r="AE18" i="13"/>
  <c r="W85" i="15"/>
  <c r="W39" i="14"/>
  <c r="W54" i="14"/>
  <c r="AB54" i="15"/>
  <c r="AD68" i="15"/>
  <c r="W80" i="15"/>
  <c r="Z77" i="15"/>
  <c r="AD24" i="15"/>
  <c r="AE57" i="15"/>
  <c r="AB52" i="14"/>
  <c r="X57" i="14"/>
  <c r="AD55" i="13"/>
  <c r="AB19" i="15"/>
  <c r="AA24" i="14"/>
  <c r="Z24" i="15"/>
  <c r="W38" i="14"/>
  <c r="W55" i="15"/>
  <c r="Y69" i="15"/>
  <c r="AC24" i="15"/>
  <c r="AD56" i="14"/>
  <c r="AE19" i="15"/>
  <c r="AB25" i="14"/>
  <c r="AC84" i="15"/>
  <c r="AA23" i="15"/>
  <c r="AA25" i="15"/>
  <c r="AB84" i="15"/>
  <c r="W56" i="14"/>
  <c r="X25" i="14"/>
  <c r="Y56" i="15"/>
  <c r="AC70" i="15"/>
  <c r="W82" i="15"/>
  <c r="AB24" i="15"/>
  <c r="AE72" i="15"/>
  <c r="AE73" i="15"/>
  <c r="AD60" i="14"/>
  <c r="AE45" i="13"/>
  <c r="AC25" i="14"/>
  <c r="X36" i="15"/>
  <c r="AE28" i="14"/>
  <c r="AA25" i="14"/>
  <c r="AD39" i="14"/>
  <c r="Y27" i="14"/>
  <c r="AE75" i="14"/>
  <c r="AD73" i="15"/>
  <c r="AD25" i="14"/>
  <c r="AE45" i="15"/>
  <c r="AE30" i="13"/>
  <c r="AE68" i="14"/>
  <c r="X27" i="14"/>
  <c r="X84" i="15"/>
  <c r="Y24" i="15"/>
  <c r="AA82" i="15"/>
  <c r="Z40" i="15"/>
  <c r="Z23" i="15"/>
  <c r="AC20" i="15"/>
  <c r="Z22" i="15"/>
  <c r="AB22" i="15"/>
  <c r="AE22" i="15"/>
  <c r="AE24" i="15"/>
  <c r="Y40" i="15"/>
  <c r="Y23" i="15"/>
  <c r="AA36" i="15"/>
  <c r="W16" i="15"/>
  <c r="AE16" i="15"/>
  <c r="X16" i="15"/>
  <c r="Y16" i="15"/>
  <c r="Z16" i="15"/>
  <c r="AA16" i="15"/>
  <c r="AB16" i="15"/>
  <c r="AD16" i="15"/>
  <c r="AC16" i="15"/>
  <c r="AD36" i="15"/>
  <c r="AC31" i="15"/>
  <c r="AD31" i="15"/>
  <c r="X31" i="15"/>
  <c r="Z31" i="15"/>
  <c r="AB31" i="15"/>
  <c r="Y31" i="15"/>
  <c r="W31" i="15"/>
  <c r="AA31" i="15"/>
  <c r="AE31" i="15"/>
  <c r="AB37" i="15"/>
  <c r="AB50" i="15"/>
  <c r="AE50" i="15"/>
  <c r="AC50" i="15"/>
  <c r="AD50" i="15"/>
  <c r="X50" i="15"/>
  <c r="Z50" i="15"/>
  <c r="Y50" i="15"/>
  <c r="AA62" i="15"/>
  <c r="AB62" i="15"/>
  <c r="Y62" i="15"/>
  <c r="X62" i="15"/>
  <c r="Z62" i="15"/>
  <c r="AC62" i="15"/>
  <c r="AE62" i="15"/>
  <c r="W62" i="15"/>
  <c r="AD62" i="15"/>
  <c r="X24" i="15"/>
  <c r="W50" i="15"/>
  <c r="AE84" i="15"/>
  <c r="AC44" i="15"/>
  <c r="AD44" i="15"/>
  <c r="AE44" i="15"/>
  <c r="W44" i="15"/>
  <c r="X44" i="15"/>
  <c r="Y44" i="15"/>
  <c r="Z44" i="15"/>
  <c r="AA44" i="15"/>
  <c r="AB44" i="15"/>
  <c r="Z53" i="15"/>
  <c r="W24" i="15"/>
  <c r="AA84" i="15"/>
  <c r="Z38" i="15"/>
  <c r="AB38" i="15"/>
  <c r="AB45" i="15"/>
  <c r="AD45" i="15"/>
  <c r="W45" i="15"/>
  <c r="AA45" i="15"/>
  <c r="AC45" i="15"/>
  <c r="X45" i="15"/>
  <c r="AE39" i="15"/>
  <c r="Y84" i="15"/>
  <c r="W84" i="15"/>
  <c r="AB52" i="15"/>
  <c r="Z52" i="15"/>
  <c r="AD52" i="15"/>
  <c r="AC52" i="15"/>
  <c r="Y38" i="15"/>
  <c r="AA14" i="15"/>
  <c r="AB14" i="15"/>
  <c r="W14" i="15"/>
  <c r="X14" i="15"/>
  <c r="Y14" i="15"/>
  <c r="Z14" i="15"/>
  <c r="AC14" i="15"/>
  <c r="AE14" i="15"/>
  <c r="AD14" i="15"/>
  <c r="AC22" i="15"/>
  <c r="AB39" i="15"/>
  <c r="AE27" i="15"/>
  <c r="AD53" i="15"/>
  <c r="X66" i="15"/>
  <c r="Y66" i="15"/>
  <c r="Z66" i="15"/>
  <c r="AB66" i="15"/>
  <c r="AC66" i="15"/>
  <c r="AD66" i="15"/>
  <c r="AE66" i="15"/>
  <c r="AB61" i="15"/>
  <c r="AC61" i="15"/>
  <c r="AA39" i="15"/>
  <c r="AD27" i="15"/>
  <c r="X34" i="15"/>
  <c r="Y34" i="15"/>
  <c r="Z34" i="15"/>
  <c r="AB34" i="15"/>
  <c r="AC34" i="15"/>
  <c r="AD34" i="15"/>
  <c r="AE34" i="15"/>
  <c r="W67" i="15"/>
  <c r="Y67" i="15"/>
  <c r="AC67" i="15"/>
  <c r="X67" i="15"/>
  <c r="AB67" i="15"/>
  <c r="AD67" i="15"/>
  <c r="AA67" i="15"/>
  <c r="AE67" i="15"/>
  <c r="Z67" i="15"/>
  <c r="AA50" i="15"/>
  <c r="Z19" i="15"/>
  <c r="AC55" i="15"/>
  <c r="AC37" i="15"/>
  <c r="AD38" i="15"/>
  <c r="AC19" i="15"/>
  <c r="Z68" i="15"/>
  <c r="AC68" i="15"/>
  <c r="AA22" i="15"/>
  <c r="Y58" i="15"/>
  <c r="Z58" i="15"/>
  <c r="AA58" i="15"/>
  <c r="AB58" i="15"/>
  <c r="AC58" i="15"/>
  <c r="AD58" i="15"/>
  <c r="AE58" i="15"/>
  <c r="W58" i="15"/>
  <c r="X58" i="15"/>
  <c r="Y19" i="15"/>
  <c r="AB55" i="15"/>
  <c r="AA37" i="15"/>
  <c r="AE20" i="15"/>
  <c r="AE52" i="15"/>
  <c r="AA34" i="15"/>
  <c r="AA27" i="15"/>
  <c r="W51" i="15"/>
  <c r="Y51" i="15"/>
  <c r="AC51" i="15"/>
  <c r="X51" i="15"/>
  <c r="Z51" i="15"/>
  <c r="AA51" i="15"/>
  <c r="AB51" i="15"/>
  <c r="AD51" i="15"/>
  <c r="AE51" i="15"/>
  <c r="Y42" i="15"/>
  <c r="Z42" i="15"/>
  <c r="AA42" i="15"/>
  <c r="AB42" i="15"/>
  <c r="AC42" i="15"/>
  <c r="AD42" i="15"/>
  <c r="AE42" i="15"/>
  <c r="W42" i="15"/>
  <c r="X42" i="15"/>
  <c r="AD54" i="15"/>
  <c r="Z84" i="15"/>
  <c r="AC60" i="15"/>
  <c r="AD60" i="15"/>
  <c r="AE60" i="15"/>
  <c r="W60" i="15"/>
  <c r="X60" i="15"/>
  <c r="Y60" i="15"/>
  <c r="Z60" i="15"/>
  <c r="AA60" i="15"/>
  <c r="AB60" i="15"/>
  <c r="AB69" i="15"/>
  <c r="AE55" i="15"/>
  <c r="AD84" i="15"/>
  <c r="Y81" i="15"/>
  <c r="W81" i="15"/>
  <c r="X81" i="15"/>
  <c r="Z81" i="15"/>
  <c r="AA81" i="15"/>
  <c r="AB81" i="15"/>
  <c r="AC81" i="15"/>
  <c r="AD81" i="15"/>
  <c r="AE81" i="15"/>
  <c r="W48" i="15"/>
  <c r="AE48" i="15"/>
  <c r="X48" i="15"/>
  <c r="Y48" i="15"/>
  <c r="Z48" i="15"/>
  <c r="AA48" i="15"/>
  <c r="AB48" i="15"/>
  <c r="AD48" i="15"/>
  <c r="AC48" i="15"/>
  <c r="AA78" i="15"/>
  <c r="AB78" i="15"/>
  <c r="W78" i="15"/>
  <c r="X78" i="15"/>
  <c r="AD78" i="15"/>
  <c r="Y78" i="15"/>
  <c r="AC78" i="15"/>
  <c r="Z78" i="15"/>
  <c r="AE78" i="15"/>
  <c r="AC82" i="15"/>
  <c r="AE82" i="15"/>
  <c r="AD82" i="15"/>
  <c r="X82" i="15"/>
  <c r="Y82" i="15"/>
  <c r="Z82" i="15"/>
  <c r="AB82" i="15"/>
  <c r="Z54" i="15"/>
  <c r="Y59" i="15"/>
  <c r="X59" i="15"/>
  <c r="W59" i="15"/>
  <c r="Z59" i="15"/>
  <c r="AA55" i="15"/>
  <c r="Z37" i="15"/>
  <c r="AB20" i="15"/>
  <c r="Y72" i="15"/>
  <c r="AC85" i="15"/>
  <c r="AA52" i="15"/>
  <c r="Z36" i="15"/>
  <c r="AD70" i="15"/>
  <c r="Y54" i="15"/>
  <c r="AC38" i="15"/>
  <c r="AE69" i="15"/>
  <c r="Z55" i="15"/>
  <c r="Y37" i="15"/>
  <c r="AA20" i="15"/>
  <c r="X27" i="15"/>
  <c r="X72" i="15"/>
  <c r="AA85" i="15"/>
  <c r="Y52" i="15"/>
  <c r="AD22" i="15"/>
  <c r="AD39" i="15"/>
  <c r="AA30" i="15"/>
  <c r="AB30" i="15"/>
  <c r="X30" i="15"/>
  <c r="W30" i="15"/>
  <c r="Y30" i="15"/>
  <c r="Z30" i="15"/>
  <c r="AC30" i="15"/>
  <c r="AD30" i="15"/>
  <c r="AE30" i="15"/>
  <c r="AE70" i="15"/>
  <c r="AD21" i="15"/>
  <c r="Y55" i="15"/>
  <c r="X37" i="15"/>
  <c r="Y20" i="15"/>
  <c r="W43" i="15"/>
  <c r="X52" i="15"/>
  <c r="AB36" i="15"/>
  <c r="AC28" i="15"/>
  <c r="AD28" i="15"/>
  <c r="AE28" i="15"/>
  <c r="W28" i="15"/>
  <c r="X28" i="15"/>
  <c r="Z28" i="15"/>
  <c r="Y28" i="15"/>
  <c r="AA28" i="15"/>
  <c r="AB28" i="15"/>
  <c r="AD55" i="15"/>
  <c r="Y70" i="15"/>
  <c r="AC54" i="15"/>
  <c r="AC76" i="15"/>
  <c r="AD76" i="15"/>
  <c r="AE76" i="15"/>
  <c r="W76" i="15"/>
  <c r="X76" i="15"/>
  <c r="Y76" i="15"/>
  <c r="AA76" i="15"/>
  <c r="Z76" i="15"/>
  <c r="AB76" i="15"/>
  <c r="AC21" i="15"/>
  <c r="AD61" i="15"/>
  <c r="X55" i="15"/>
  <c r="W37" i="15"/>
  <c r="X20" i="15"/>
  <c r="AE53" i="15"/>
  <c r="Y85" i="15"/>
  <c r="W52" i="15"/>
  <c r="AB21" i="15"/>
  <c r="W83" i="15"/>
  <c r="Y83" i="15"/>
  <c r="AC83" i="15"/>
  <c r="AD83" i="15"/>
  <c r="Z83" i="15"/>
  <c r="AE83" i="15"/>
  <c r="X83" i="15"/>
  <c r="AA83" i="15"/>
  <c r="AB83" i="15"/>
  <c r="AC63" i="15"/>
  <c r="AD63" i="15"/>
  <c r="W63" i="15"/>
  <c r="X63" i="15"/>
  <c r="Y63" i="15"/>
  <c r="Z63" i="15"/>
  <c r="AA63" i="15"/>
  <c r="AB63" i="15"/>
  <c r="AE63" i="15"/>
  <c r="AC77" i="15"/>
  <c r="AD77" i="15"/>
  <c r="AA77" i="15"/>
  <c r="W77" i="15"/>
  <c r="AB77" i="15"/>
  <c r="X77" i="15"/>
  <c r="AA21" i="15"/>
  <c r="Z61" i="15"/>
  <c r="W20" i="15"/>
  <c r="Y77" i="15"/>
  <c r="X85" i="15"/>
  <c r="AB68" i="15"/>
  <c r="W36" i="15"/>
  <c r="Y17" i="15"/>
  <c r="AC17" i="15"/>
  <c r="AD17" i="15"/>
  <c r="Z17" i="15"/>
  <c r="AE17" i="15"/>
  <c r="W17" i="15"/>
  <c r="X17" i="15"/>
  <c r="AA17" i="15"/>
  <c r="AB17" i="15"/>
  <c r="X22" i="15"/>
  <c r="AE64" i="15"/>
  <c r="AB64" i="15"/>
  <c r="Z64" i="15"/>
  <c r="X64" i="15"/>
  <c r="Y64" i="15"/>
  <c r="AA64" i="15"/>
  <c r="AC64" i="15"/>
  <c r="AD64" i="15"/>
  <c r="AA66" i="15"/>
  <c r="Z21" i="15"/>
  <c r="Y61" i="15"/>
  <c r="AE68" i="15"/>
  <c r="W22" i="15"/>
  <c r="Y27" i="15"/>
  <c r="AD20" i="15"/>
  <c r="AE80" i="15"/>
  <c r="AA80" i="15"/>
  <c r="AD80" i="15"/>
  <c r="AB80" i="15"/>
  <c r="AC80" i="15"/>
  <c r="X80" i="15"/>
  <c r="Z80" i="15"/>
  <c r="Y80" i="15"/>
  <c r="W35" i="15"/>
  <c r="Y35" i="15"/>
  <c r="AC35" i="15"/>
  <c r="Z35" i="15"/>
  <c r="X35" i="15"/>
  <c r="AA35" i="15"/>
  <c r="AB35" i="15"/>
  <c r="AE35" i="15"/>
  <c r="AD35" i="15"/>
  <c r="Y65" i="15"/>
  <c r="AD65" i="15"/>
  <c r="AC65" i="15"/>
  <c r="W65" i="15"/>
  <c r="Z65" i="15"/>
  <c r="X65" i="15"/>
  <c r="AA65" i="15"/>
  <c r="AB65" i="15"/>
  <c r="AE65" i="15"/>
  <c r="AE85" i="15"/>
  <c r="AD85" i="15"/>
  <c r="AB85" i="15"/>
  <c r="X38" i="15"/>
  <c r="Y74" i="15"/>
  <c r="Z74" i="15"/>
  <c r="AA74" i="15"/>
  <c r="AB74" i="15"/>
  <c r="AC74" i="15"/>
  <c r="AD74" i="15"/>
  <c r="AE74" i="15"/>
  <c r="W74" i="15"/>
  <c r="X74" i="15"/>
  <c r="Y21" i="15"/>
  <c r="AA68" i="15"/>
  <c r="W38" i="15"/>
  <c r="X43" i="15"/>
  <c r="X61" i="15"/>
  <c r="Y49" i="15"/>
  <c r="AA49" i="15"/>
  <c r="AB49" i="15"/>
  <c r="AC49" i="15"/>
  <c r="W49" i="15"/>
  <c r="AD49" i="15"/>
  <c r="AE49" i="15"/>
  <c r="X49" i="15"/>
  <c r="Z49" i="15"/>
  <c r="AC39" i="15"/>
  <c r="Z39" i="15"/>
  <c r="Y39" i="15"/>
  <c r="X54" i="15"/>
  <c r="AC12" i="15"/>
  <c r="AD12" i="15"/>
  <c r="AE12" i="15"/>
  <c r="W12" i="15"/>
  <c r="X12" i="15"/>
  <c r="Z12" i="15"/>
  <c r="AA12" i="15"/>
  <c r="AB12" i="15"/>
  <c r="Y12" i="15"/>
  <c r="Z75" i="15"/>
  <c r="Y75" i="15"/>
  <c r="X75" i="15"/>
  <c r="X21" i="15"/>
  <c r="Y68" i="15"/>
  <c r="AE40" i="15"/>
  <c r="AE59" i="15"/>
  <c r="AE23" i="15"/>
  <c r="AC36" i="15"/>
  <c r="AC47" i="15"/>
  <c r="AD47" i="15"/>
  <c r="AA47" i="15"/>
  <c r="AB47" i="15"/>
  <c r="X47" i="15"/>
  <c r="W47" i="15"/>
  <c r="Y47" i="15"/>
  <c r="AE47" i="15"/>
  <c r="Z47" i="15"/>
  <c r="AE29" i="15"/>
  <c r="Y29" i="15"/>
  <c r="Z29" i="15"/>
  <c r="AD29" i="15"/>
  <c r="AC29" i="15"/>
  <c r="AB29" i="15"/>
  <c r="W29" i="15"/>
  <c r="X29" i="15"/>
  <c r="AA29" i="15"/>
  <c r="Z20" i="15"/>
  <c r="X19" i="15"/>
  <c r="AA19" i="15"/>
  <c r="AD19" i="15"/>
  <c r="X18" i="15"/>
  <c r="AE18" i="15"/>
  <c r="Y18" i="15"/>
  <c r="Z18" i="15"/>
  <c r="AC18" i="15"/>
  <c r="AD18" i="15"/>
  <c r="AB18" i="15"/>
  <c r="X70" i="15"/>
  <c r="AB70" i="15"/>
  <c r="W21" i="15"/>
  <c r="X68" i="15"/>
  <c r="AD40" i="15"/>
  <c r="AD59" i="15"/>
  <c r="AD23" i="15"/>
  <c r="AD37" i="15"/>
  <c r="Y26" i="15"/>
  <c r="Z26" i="15"/>
  <c r="AA26" i="15"/>
  <c r="AB26" i="15"/>
  <c r="AC26" i="15"/>
  <c r="AD26" i="15"/>
  <c r="AE26" i="15"/>
  <c r="X26" i="15"/>
  <c r="W26" i="15"/>
  <c r="W32" i="15"/>
  <c r="AE32" i="15"/>
  <c r="X32" i="15"/>
  <c r="Y32" i="15"/>
  <c r="Z32" i="15"/>
  <c r="AA32" i="15"/>
  <c r="AB32" i="15"/>
  <c r="AC32" i="15"/>
  <c r="AD32" i="15"/>
  <c r="W68" i="15"/>
  <c r="AC40" i="15"/>
  <c r="AC59" i="15"/>
  <c r="AC23" i="15"/>
  <c r="W27" i="15"/>
  <c r="AE13" i="15"/>
  <c r="Y13" i="15"/>
  <c r="Z13" i="15"/>
  <c r="AA13" i="15"/>
  <c r="W13" i="15"/>
  <c r="AB13" i="15"/>
  <c r="X13" i="15"/>
  <c r="AD13" i="15"/>
  <c r="AC13" i="15"/>
  <c r="Y10" i="15"/>
  <c r="Z10" i="15"/>
  <c r="AA10" i="15"/>
  <c r="AB10" i="15"/>
  <c r="AC10" i="15"/>
  <c r="AD10" i="15"/>
  <c r="AE10" i="15"/>
  <c r="W10" i="15"/>
  <c r="X10" i="15"/>
  <c r="AC69" i="15"/>
  <c r="AB40" i="15"/>
  <c r="AB59" i="15"/>
  <c r="AB23" i="15"/>
  <c r="AC79" i="15"/>
  <c r="AD79" i="15"/>
  <c r="Z79" i="15"/>
  <c r="AB79" i="15"/>
  <c r="AA79" i="15"/>
  <c r="AE79" i="15"/>
  <c r="W79" i="15"/>
  <c r="X79" i="15"/>
  <c r="Y79" i="15"/>
  <c r="AE54" i="15"/>
  <c r="AC27" i="15"/>
  <c r="AB53" i="15"/>
  <c r="Y33" i="15"/>
  <c r="W33" i="15"/>
  <c r="AD33" i="15"/>
  <c r="X33" i="15"/>
  <c r="AC33" i="15"/>
  <c r="Z33" i="15"/>
  <c r="AB33" i="15"/>
  <c r="AA33" i="15"/>
  <c r="AE33" i="15"/>
  <c r="AC15" i="15"/>
  <c r="AD15" i="15"/>
  <c r="Y15" i="15"/>
  <c r="AA15" i="15"/>
  <c r="X15" i="15"/>
  <c r="W15" i="15"/>
  <c r="Z15" i="15"/>
  <c r="AB15" i="15"/>
  <c r="AE15" i="15"/>
  <c r="AA46" i="15"/>
  <c r="AB46" i="15"/>
  <c r="W46" i="15"/>
  <c r="X46" i="15"/>
  <c r="Y46" i="15"/>
  <c r="Z46" i="15"/>
  <c r="AC46" i="15"/>
  <c r="AD46" i="15"/>
  <c r="AE46" i="15"/>
  <c r="W11" i="15"/>
  <c r="Y11" i="15"/>
  <c r="Z11" i="15"/>
  <c r="AA59" i="15"/>
  <c r="W75" i="15"/>
  <c r="AD57" i="13"/>
  <c r="Y69" i="14"/>
  <c r="X54" i="14"/>
  <c r="Z41" i="14"/>
  <c r="Y45" i="13"/>
  <c r="W40" i="13"/>
  <c r="W32" i="14"/>
  <c r="Y41" i="14"/>
  <c r="Y43" i="13"/>
  <c r="X47" i="13"/>
  <c r="AA63" i="13"/>
  <c r="W57" i="13"/>
  <c r="AE56" i="14"/>
  <c r="U60" i="11"/>
  <c r="AC45" i="13"/>
  <c r="W72" i="14"/>
  <c r="AC56" i="14"/>
  <c r="W41" i="14"/>
  <c r="AA52" i="14"/>
  <c r="AA62" i="13"/>
  <c r="AD31" i="13"/>
  <c r="AA84" i="14"/>
  <c r="W77" i="14"/>
  <c r="AA56" i="14"/>
  <c r="W74" i="14"/>
  <c r="Z56" i="14"/>
  <c r="AB59" i="13"/>
  <c r="AC53" i="13"/>
  <c r="AC19" i="14"/>
  <c r="X55" i="14"/>
  <c r="AB38" i="14"/>
  <c r="Y56" i="14"/>
  <c r="AA11" i="14"/>
  <c r="X56" i="14"/>
  <c r="AC12" i="14"/>
  <c r="W23" i="14"/>
  <c r="W37" i="14"/>
  <c r="Z46" i="13"/>
  <c r="W30" i="13"/>
  <c r="W70" i="14"/>
  <c r="X84" i="14"/>
  <c r="AD28" i="14"/>
  <c r="W45" i="13"/>
  <c r="AB20" i="14"/>
  <c r="Y39" i="14"/>
  <c r="AE71" i="14"/>
  <c r="W27" i="14"/>
  <c r="AB74" i="14"/>
  <c r="AA27" i="14"/>
  <c r="AE25" i="14"/>
  <c r="AE73" i="14"/>
  <c r="AE27" i="14"/>
  <c r="X61" i="13"/>
  <c r="W80" i="14"/>
  <c r="AC73" i="14"/>
  <c r="AD24" i="14"/>
  <c r="AB73" i="14"/>
  <c r="Y40" i="14"/>
  <c r="AE29" i="14"/>
  <c r="AA73" i="14"/>
  <c r="AA45" i="13"/>
  <c r="AD53" i="13"/>
  <c r="W36" i="14"/>
  <c r="Y40" i="13"/>
  <c r="Y30" i="13"/>
  <c r="Z37" i="14"/>
  <c r="W52" i="14"/>
  <c r="AA18" i="13"/>
  <c r="X37" i="13"/>
  <c r="X45" i="13"/>
  <c r="Z53" i="14"/>
  <c r="AA74" i="14"/>
  <c r="AD43" i="14"/>
  <c r="AB57" i="14"/>
  <c r="AC52" i="14"/>
  <c r="AC31" i="13"/>
  <c r="AE73" i="13"/>
  <c r="Y54" i="14"/>
  <c r="AB18" i="14"/>
  <c r="AE59" i="13"/>
  <c r="AC28" i="13"/>
  <c r="AE29" i="13"/>
  <c r="AA75" i="13"/>
  <c r="Z40" i="14"/>
  <c r="AB55" i="14"/>
  <c r="AD44" i="14"/>
  <c r="X74" i="14"/>
  <c r="AD63" i="13"/>
  <c r="Y76" i="13"/>
  <c r="Z38" i="13"/>
  <c r="W14" i="13"/>
  <c r="Z68" i="14"/>
  <c r="S15" i="11"/>
  <c r="Z44" i="13"/>
  <c r="AE41" i="14"/>
  <c r="M21" i="11"/>
  <c r="AE59" i="14"/>
  <c r="AD41" i="14"/>
  <c r="O21" i="11"/>
  <c r="AD38" i="13"/>
  <c r="W71" i="14"/>
  <c r="AC60" i="14"/>
  <c r="AC41" i="14"/>
  <c r="M20" i="11"/>
  <c r="AA72" i="14"/>
  <c r="AE61" i="14"/>
  <c r="AB41" i="14"/>
  <c r="K19" i="11"/>
  <c r="Z30" i="13"/>
  <c r="AA43" i="13"/>
  <c r="Y68" i="14"/>
  <c r="Z74" i="14"/>
  <c r="AE52" i="14"/>
  <c r="X64" i="14"/>
  <c r="Z64" i="14"/>
  <c r="AA64" i="14"/>
  <c r="AB64" i="14"/>
  <c r="AC64" i="14"/>
  <c r="Y64" i="14"/>
  <c r="AD64" i="14"/>
  <c r="AE64" i="14"/>
  <c r="Z14" i="14"/>
  <c r="AB14" i="14"/>
  <c r="AC14" i="14"/>
  <c r="Y14" i="14"/>
  <c r="AE14" i="14"/>
  <c r="AD14" i="14"/>
  <c r="W14" i="14"/>
  <c r="X14" i="14"/>
  <c r="AA14" i="14"/>
  <c r="AE40" i="14"/>
  <c r="AA39" i="14"/>
  <c r="AD52" i="14"/>
  <c r="AA21" i="14"/>
  <c r="AC21" i="14"/>
  <c r="AE21" i="14"/>
  <c r="AD21" i="14"/>
  <c r="AB21" i="14"/>
  <c r="Z50" i="14"/>
  <c r="AB50" i="14"/>
  <c r="AA50" i="14"/>
  <c r="AD50" i="14"/>
  <c r="AE50" i="14"/>
  <c r="X50" i="14"/>
  <c r="W50" i="14"/>
  <c r="Y50" i="14"/>
  <c r="AC50" i="14"/>
  <c r="X47" i="14"/>
  <c r="AB47" i="14"/>
  <c r="AC47" i="14"/>
  <c r="AD47" i="14"/>
  <c r="AE47" i="14"/>
  <c r="AA47" i="14"/>
  <c r="W47" i="14"/>
  <c r="Y47" i="14"/>
  <c r="Z47" i="14"/>
  <c r="AC40" i="14"/>
  <c r="Z39" i="14"/>
  <c r="Z21" i="14"/>
  <c r="AB68" i="14"/>
  <c r="X52" i="14"/>
  <c r="AD22" i="14"/>
  <c r="AE22" i="14"/>
  <c r="X17" i="14"/>
  <c r="Z17" i="14"/>
  <c r="Y17" i="14"/>
  <c r="AB17" i="14"/>
  <c r="AE17" i="14"/>
  <c r="W17" i="14"/>
  <c r="AA17" i="14"/>
  <c r="AC17" i="14"/>
  <c r="AD17" i="14"/>
  <c r="W75" i="14"/>
  <c r="Z75" i="14"/>
  <c r="Y75" i="14"/>
  <c r="X75" i="14"/>
  <c r="W12" i="14"/>
  <c r="AB40" i="14"/>
  <c r="Y21" i="14"/>
  <c r="AB70" i="14"/>
  <c r="AE23" i="14"/>
  <c r="AE24" i="14"/>
  <c r="AA40" i="14"/>
  <c r="X39" i="14"/>
  <c r="X21" i="14"/>
  <c r="Z69" i="14"/>
  <c r="AA70" i="14"/>
  <c r="AC24" i="14"/>
  <c r="AA77" i="14"/>
  <c r="W21" i="14"/>
  <c r="Y70" i="14"/>
  <c r="AC20" i="14"/>
  <c r="Z27" i="14"/>
  <c r="AD19" i="14"/>
  <c r="AD18" i="14"/>
  <c r="AE77" i="14"/>
  <c r="AC72" i="14"/>
  <c r="AC71" i="14"/>
  <c r="W20" i="14"/>
  <c r="AA76" i="14"/>
  <c r="W68" i="14"/>
  <c r="X40" i="14"/>
  <c r="AB53" i="14"/>
  <c r="AA53" i="14"/>
  <c r="AD53" i="14"/>
  <c r="X53" i="14"/>
  <c r="AE53" i="14"/>
  <c r="AC53" i="14"/>
  <c r="AB19" i="14"/>
  <c r="AA71" i="14"/>
  <c r="Y36" i="14"/>
  <c r="Z76" i="14"/>
  <c r="X20" i="14"/>
  <c r="AA23" i="14"/>
  <c r="AB59" i="14"/>
  <c r="Y58" i="14"/>
  <c r="Z58" i="14"/>
  <c r="AA58" i="14"/>
  <c r="AB58" i="14"/>
  <c r="AC58" i="14"/>
  <c r="AD58" i="14"/>
  <c r="AE58" i="14"/>
  <c r="W58" i="14"/>
  <c r="X58" i="14"/>
  <c r="Z52" i="14"/>
  <c r="X23" i="14"/>
  <c r="X70" i="14"/>
  <c r="W30" i="14"/>
  <c r="X30" i="14"/>
  <c r="AE30" i="14"/>
  <c r="Y30" i="14"/>
  <c r="Z30" i="14"/>
  <c r="AA30" i="14"/>
  <c r="AB30" i="14"/>
  <c r="AC30" i="14"/>
  <c r="AD30" i="14"/>
  <c r="W40" i="14"/>
  <c r="X16" i="14"/>
  <c r="Z16" i="14"/>
  <c r="Y16" i="14"/>
  <c r="AA16" i="14"/>
  <c r="AB16" i="14"/>
  <c r="AC16" i="14"/>
  <c r="AE16" i="14"/>
  <c r="AD16" i="14"/>
  <c r="AB39" i="14"/>
  <c r="AE39" i="14"/>
  <c r="AC18" i="14"/>
  <c r="AE18" i="14"/>
  <c r="Y18" i="14"/>
  <c r="W18" i="14"/>
  <c r="X18" i="14"/>
  <c r="X63" i="14"/>
  <c r="Z63" i="14"/>
  <c r="AA63" i="14"/>
  <c r="AB63" i="14"/>
  <c r="AC63" i="14"/>
  <c r="AD63" i="14"/>
  <c r="AE63" i="14"/>
  <c r="Y63" i="14"/>
  <c r="W63" i="14"/>
  <c r="Y13" i="14"/>
  <c r="W13" i="14"/>
  <c r="Z13" i="14"/>
  <c r="AA13" i="14"/>
  <c r="X13" i="14"/>
  <c r="AD13" i="14"/>
  <c r="AB13" i="14"/>
  <c r="AC13" i="14"/>
  <c r="X24" i="14"/>
  <c r="AD40" i="14"/>
  <c r="W24" i="14"/>
  <c r="X12" i="14"/>
  <c r="AB51" i="14"/>
  <c r="AC51" i="14"/>
  <c r="AD51" i="14"/>
  <c r="AA51" i="14"/>
  <c r="Y51" i="14"/>
  <c r="Z51" i="14"/>
  <c r="AE51" i="14"/>
  <c r="X51" i="14"/>
  <c r="W51" i="14"/>
  <c r="Y10" i="14"/>
  <c r="Z10" i="14"/>
  <c r="AA10" i="14"/>
  <c r="AB10" i="14"/>
  <c r="AC10" i="14"/>
  <c r="AD10" i="14"/>
  <c r="AE10" i="14"/>
  <c r="W10" i="14"/>
  <c r="X10" i="14"/>
  <c r="AB76" i="14"/>
  <c r="Z54" i="14"/>
  <c r="AC54" i="14"/>
  <c r="AD54" i="14"/>
  <c r="AE54" i="14"/>
  <c r="X49" i="14"/>
  <c r="Y49" i="14"/>
  <c r="Z49" i="14"/>
  <c r="AB49" i="14"/>
  <c r="W49" i="14"/>
  <c r="AA49" i="14"/>
  <c r="AC49" i="14"/>
  <c r="AD49" i="14"/>
  <c r="AE49" i="14"/>
  <c r="AC46" i="14"/>
  <c r="AD46" i="14"/>
  <c r="W46" i="14"/>
  <c r="AE46" i="14"/>
  <c r="X46" i="14"/>
  <c r="Y46" i="14"/>
  <c r="Z46" i="14"/>
  <c r="AA46" i="14"/>
  <c r="AB46" i="14"/>
  <c r="W28" i="14"/>
  <c r="X28" i="14"/>
  <c r="AB28" i="14"/>
  <c r="Y28" i="14"/>
  <c r="Z28" i="14"/>
  <c r="AA28" i="14"/>
  <c r="Y12" i="14"/>
  <c r="AA18" i="14"/>
  <c r="Z71" i="14"/>
  <c r="AC36" i="14"/>
  <c r="Y76" i="14"/>
  <c r="AA29" i="14"/>
  <c r="AB29" i="14"/>
  <c r="AD29" i="14"/>
  <c r="Z29" i="14"/>
  <c r="AC29" i="14"/>
  <c r="W29" i="14"/>
  <c r="X29" i="14"/>
  <c r="Y29" i="14"/>
  <c r="Y77" i="14"/>
  <c r="AB22" i="14"/>
  <c r="Z18" i="14"/>
  <c r="Z72" i="14"/>
  <c r="AB36" i="14"/>
  <c r="X76" i="14"/>
  <c r="W55" i="14"/>
  <c r="X32" i="14"/>
  <c r="Z32" i="14"/>
  <c r="AE32" i="14"/>
  <c r="AD32" i="14"/>
  <c r="AB32" i="14"/>
  <c r="Y32" i="14"/>
  <c r="AA32" i="14"/>
  <c r="AC32" i="14"/>
  <c r="AB84" i="14"/>
  <c r="AA22" i="14"/>
  <c r="AE11" i="14"/>
  <c r="Z85" i="14"/>
  <c r="Y72" i="14"/>
  <c r="X71" i="14"/>
  <c r="AA36" i="14"/>
  <c r="W76" i="14"/>
  <c r="AD71" i="14"/>
  <c r="AB67" i="14"/>
  <c r="AC67" i="14"/>
  <c r="X67" i="14"/>
  <c r="AE67" i="14"/>
  <c r="AA67" i="14"/>
  <c r="W67" i="14"/>
  <c r="AD67" i="14"/>
  <c r="Y67" i="14"/>
  <c r="Z67" i="14"/>
  <c r="X15" i="14"/>
  <c r="W15" i="14"/>
  <c r="Y15" i="14"/>
  <c r="Z15" i="14"/>
  <c r="AA15" i="14"/>
  <c r="AB15" i="14"/>
  <c r="AC15" i="14"/>
  <c r="AD15" i="14"/>
  <c r="AE15" i="14"/>
  <c r="X79" i="14"/>
  <c r="AC79" i="14"/>
  <c r="AE79" i="14"/>
  <c r="AA79" i="14"/>
  <c r="AD79" i="14"/>
  <c r="Y79" i="14"/>
  <c r="Z79" i="14"/>
  <c r="AB79" i="14"/>
  <c r="W79" i="14"/>
  <c r="Y26" i="14"/>
  <c r="Z26" i="14"/>
  <c r="AA26" i="14"/>
  <c r="AB26" i="14"/>
  <c r="AC26" i="14"/>
  <c r="AD26" i="14"/>
  <c r="AE26" i="14"/>
  <c r="X26" i="14"/>
  <c r="W26" i="14"/>
  <c r="Y22" i="14"/>
  <c r="AD11" i="14"/>
  <c r="Y85" i="14"/>
  <c r="X72" i="14"/>
  <c r="Z36" i="14"/>
  <c r="AE76" i="14"/>
  <c r="AE84" i="14"/>
  <c r="AA75" i="14"/>
  <c r="AC84" i="14"/>
  <c r="Z22" i="14"/>
  <c r="AC11" i="14"/>
  <c r="AE36" i="14"/>
  <c r="AD76" i="14"/>
  <c r="AD84" i="14"/>
  <c r="X69" i="14"/>
  <c r="AC69" i="14"/>
  <c r="AD69" i="14"/>
  <c r="AE69" i="14"/>
  <c r="AA69" i="14"/>
  <c r="AB69" i="14"/>
  <c r="X22" i="14"/>
  <c r="AB11" i="14"/>
  <c r="AE13" i="14"/>
  <c r="AD36" i="14"/>
  <c r="Z23" i="14"/>
  <c r="AD68" i="14"/>
  <c r="Y52" i="14"/>
  <c r="AB75" i="14"/>
  <c r="AC70" i="14"/>
  <c r="Z70" i="14"/>
  <c r="AD70" i="14"/>
  <c r="AE70" i="14"/>
  <c r="X65" i="14"/>
  <c r="Z65" i="14"/>
  <c r="Y65" i="14"/>
  <c r="AB65" i="14"/>
  <c r="W65" i="14"/>
  <c r="AA65" i="14"/>
  <c r="AC65" i="14"/>
  <c r="AD65" i="14"/>
  <c r="AE65" i="14"/>
  <c r="W22" i="14"/>
  <c r="AD77" i="14"/>
  <c r="W64" i="14"/>
  <c r="Y53" i="14"/>
  <c r="AE55" i="14"/>
  <c r="Z43" i="14"/>
  <c r="X36" i="14"/>
  <c r="AA68" i="14"/>
  <c r="AB24" i="14"/>
  <c r="AE37" i="14"/>
  <c r="AB37" i="14"/>
  <c r="X37" i="14"/>
  <c r="AC37" i="14"/>
  <c r="AD37" i="14"/>
  <c r="AA37" i="14"/>
  <c r="Z66" i="14"/>
  <c r="AB66" i="14"/>
  <c r="AA66" i="14"/>
  <c r="AD66" i="14"/>
  <c r="AE66" i="14"/>
  <c r="AC66" i="14"/>
  <c r="W66" i="14"/>
  <c r="X66" i="14"/>
  <c r="Y66" i="14"/>
  <c r="Y11" i="14"/>
  <c r="X11" i="14"/>
  <c r="Z11" i="14"/>
  <c r="W11" i="14"/>
  <c r="Z24" i="14"/>
  <c r="Z38" i="14"/>
  <c r="AC38" i="14"/>
  <c r="AD38" i="14"/>
  <c r="AE38" i="14"/>
  <c r="X33" i="14"/>
  <c r="Y33" i="14"/>
  <c r="Z33" i="14"/>
  <c r="AB33" i="14"/>
  <c r="W33" i="14"/>
  <c r="AA33" i="14"/>
  <c r="AC33" i="14"/>
  <c r="AD33" i="14"/>
  <c r="AE33" i="14"/>
  <c r="Z80" i="14"/>
  <c r="X80" i="14"/>
  <c r="Y80" i="14"/>
  <c r="AA80" i="14"/>
  <c r="AB80" i="14"/>
  <c r="AC80" i="14"/>
  <c r="AD80" i="14"/>
  <c r="AE80" i="14"/>
  <c r="Y24" i="14"/>
  <c r="AD20" i="14"/>
  <c r="W84" i="14"/>
  <c r="AB62" i="14"/>
  <c r="AD62" i="14"/>
  <c r="AE62" i="14"/>
  <c r="AC62" i="14"/>
  <c r="W62" i="14"/>
  <c r="X62" i="14"/>
  <c r="Y62" i="14"/>
  <c r="Z62" i="14"/>
  <c r="AA62" i="14"/>
  <c r="W44" i="14"/>
  <c r="X44" i="14"/>
  <c r="Y44" i="14"/>
  <c r="Z44" i="14"/>
  <c r="AA44" i="14"/>
  <c r="AB44" i="14"/>
  <c r="AA12" i="14"/>
  <c r="W53" i="14"/>
  <c r="Z59" i="14"/>
  <c r="Y43" i="14"/>
  <c r="Y23" i="14"/>
  <c r="AA20" i="14"/>
  <c r="Z20" i="14"/>
  <c r="Y20" i="14"/>
  <c r="AE20" i="14"/>
  <c r="AB71" i="14"/>
  <c r="AB12" i="14"/>
  <c r="AD72" i="14"/>
  <c r="AB45" i="14"/>
  <c r="Y45" i="14"/>
  <c r="AA45" i="14"/>
  <c r="AC45" i="14"/>
  <c r="X45" i="14"/>
  <c r="Z45" i="14"/>
  <c r="W45" i="14"/>
  <c r="AD45" i="14"/>
  <c r="AD55" i="14"/>
  <c r="Y59" i="14"/>
  <c r="X43" i="14"/>
  <c r="X81" i="14"/>
  <c r="Y81" i="14"/>
  <c r="AB81" i="14"/>
  <c r="W81" i="14"/>
  <c r="Z81" i="14"/>
  <c r="AD81" i="14"/>
  <c r="AC81" i="14"/>
  <c r="AA81" i="14"/>
  <c r="AE81" i="14"/>
  <c r="Z61" i="14"/>
  <c r="AB61" i="14"/>
  <c r="AC61" i="14"/>
  <c r="X61" i="14"/>
  <c r="AA61" i="14"/>
  <c r="W61" i="14"/>
  <c r="AD61" i="14"/>
  <c r="Y61" i="14"/>
  <c r="AB35" i="14"/>
  <c r="AC35" i="14"/>
  <c r="AD35" i="14"/>
  <c r="Y35" i="14"/>
  <c r="AE35" i="14"/>
  <c r="Z35" i="14"/>
  <c r="AA35" i="14"/>
  <c r="W35" i="14"/>
  <c r="X35" i="14"/>
  <c r="Y37" i="14"/>
  <c r="AB83" i="14"/>
  <c r="AC83" i="14"/>
  <c r="W83" i="14"/>
  <c r="X83" i="14"/>
  <c r="Y83" i="14"/>
  <c r="Z83" i="14"/>
  <c r="AA83" i="14"/>
  <c r="AD83" i="14"/>
  <c r="AE83" i="14"/>
  <c r="Y42" i="14"/>
  <c r="Z42" i="14"/>
  <c r="AA42" i="14"/>
  <c r="AB42" i="14"/>
  <c r="AC42" i="14"/>
  <c r="AD42" i="14"/>
  <c r="AE42" i="14"/>
  <c r="W42" i="14"/>
  <c r="X42" i="14"/>
  <c r="AE12" i="14"/>
  <c r="W16" i="14"/>
  <c r="AB54" i="14"/>
  <c r="AC55" i="14"/>
  <c r="X59" i="14"/>
  <c r="W43" i="14"/>
  <c r="Z34" i="14"/>
  <c r="AB34" i="14"/>
  <c r="AA34" i="14"/>
  <c r="AD34" i="14"/>
  <c r="W34" i="14"/>
  <c r="X34" i="14"/>
  <c r="Y34" i="14"/>
  <c r="AC34" i="14"/>
  <c r="AE34" i="14"/>
  <c r="AC59" i="14"/>
  <c r="AE78" i="14"/>
  <c r="X78" i="14"/>
  <c r="W78" i="14"/>
  <c r="AD78" i="14"/>
  <c r="Y78" i="14"/>
  <c r="Z78" i="14"/>
  <c r="AA78" i="14"/>
  <c r="AB78" i="14"/>
  <c r="AC78" i="14"/>
  <c r="AA82" i="14"/>
  <c r="AD82" i="14"/>
  <c r="Y82" i="14"/>
  <c r="X82" i="14"/>
  <c r="W82" i="14"/>
  <c r="AE82" i="14"/>
  <c r="AB82" i="14"/>
  <c r="AC82" i="14"/>
  <c r="AA59" i="14"/>
  <c r="Y84" i="14"/>
  <c r="Z84" i="14"/>
  <c r="X48" i="14"/>
  <c r="Z48" i="14"/>
  <c r="AE48" i="14"/>
  <c r="AA48" i="14"/>
  <c r="AC48" i="14"/>
  <c r="Y48" i="14"/>
  <c r="AD48" i="14"/>
  <c r="AB48" i="14"/>
  <c r="AD12" i="14"/>
  <c r="AA54" i="14"/>
  <c r="AA55" i="14"/>
  <c r="AD23" i="14"/>
  <c r="W59" i="14"/>
  <c r="AE43" i="14"/>
  <c r="AC22" i="14"/>
  <c r="X19" i="14"/>
  <c r="Y19" i="14"/>
  <c r="Z19" i="14"/>
  <c r="W19" i="14"/>
  <c r="AA19" i="14"/>
  <c r="AE19" i="14"/>
  <c r="Z60" i="14"/>
  <c r="X60" i="14"/>
  <c r="Y60" i="14"/>
  <c r="AA60" i="14"/>
  <c r="W60" i="14"/>
  <c r="AC68" i="14"/>
  <c r="AC75" i="14"/>
  <c r="AC85" i="14"/>
  <c r="AE85" i="14"/>
  <c r="X85" i="14"/>
  <c r="AA85" i="14"/>
  <c r="AD85" i="14"/>
  <c r="AB85" i="14"/>
  <c r="X31" i="14"/>
  <c r="AC31" i="14"/>
  <c r="AD31" i="14"/>
  <c r="AE31" i="14"/>
  <c r="AB31" i="14"/>
  <c r="Y31" i="14"/>
  <c r="AA31" i="14"/>
  <c r="Z31" i="14"/>
  <c r="W31" i="14"/>
  <c r="Z55" i="14"/>
  <c r="AC23" i="14"/>
  <c r="AB60" i="14"/>
  <c r="AD18" i="13"/>
  <c r="AC57" i="13"/>
  <c r="AB57" i="13"/>
  <c r="AB29" i="13"/>
  <c r="Z57" i="13"/>
  <c r="AE46" i="13"/>
  <c r="AE76" i="13"/>
  <c r="Y57" i="13"/>
  <c r="Z75" i="13"/>
  <c r="AD29" i="13"/>
  <c r="AA57" i="13"/>
  <c r="X75" i="13"/>
  <c r="X57" i="13"/>
  <c r="AE85" i="13"/>
  <c r="Y75" i="13"/>
  <c r="W60" i="13"/>
  <c r="AD73" i="13"/>
  <c r="Y41" i="13"/>
  <c r="AD75" i="13"/>
  <c r="AA28" i="13"/>
  <c r="AB28" i="13"/>
  <c r="AD44" i="13"/>
  <c r="AC75" i="13"/>
  <c r="AE28" i="13"/>
  <c r="AB31" i="13"/>
  <c r="AB62" i="13"/>
  <c r="AB75" i="13"/>
  <c r="AD28" i="13"/>
  <c r="AE14" i="13"/>
  <c r="AE53" i="13"/>
  <c r="Z63" i="13"/>
  <c r="AC47" i="13"/>
  <c r="AC56" i="13"/>
  <c r="AB76" i="13"/>
  <c r="AB44" i="13"/>
  <c r="W63" i="13"/>
  <c r="AA76" i="13"/>
  <c r="X40" i="13"/>
  <c r="Y59" i="13"/>
  <c r="AE23" i="13"/>
  <c r="AE31" i="13"/>
  <c r="AD59" i="13"/>
  <c r="AC59" i="13"/>
  <c r="Y54" i="13"/>
  <c r="AB38" i="13"/>
  <c r="AE11" i="13"/>
  <c r="AC12" i="13"/>
  <c r="AE38" i="13"/>
  <c r="W39" i="13"/>
  <c r="AD72" i="13"/>
  <c r="X14" i="13"/>
  <c r="Z40" i="13"/>
  <c r="AD15" i="13"/>
  <c r="AC46" i="13"/>
  <c r="AB46" i="13"/>
  <c r="V54" i="12"/>
  <c r="AC27" i="13"/>
  <c r="AE60" i="13"/>
  <c r="AD45" i="13"/>
  <c r="AC40" i="13"/>
  <c r="Z22" i="13"/>
  <c r="X46" i="13"/>
  <c r="AB79" i="13"/>
  <c r="W78" i="13"/>
  <c r="X31" i="13"/>
  <c r="AA13" i="13"/>
  <c r="Y46" i="13"/>
  <c r="AA59" i="13"/>
  <c r="AA46" i="13"/>
  <c r="W27" i="13"/>
  <c r="M65" i="12"/>
  <c r="AD69" i="13"/>
  <c r="Z60" i="13"/>
  <c r="R23" i="12"/>
  <c r="Z72" i="13"/>
  <c r="W41" i="13"/>
  <c r="AA54" i="13"/>
  <c r="X60" i="13"/>
  <c r="AD60" i="13"/>
  <c r="Z45" i="13"/>
  <c r="Y71" i="13"/>
  <c r="X77" i="13"/>
  <c r="Y12" i="13"/>
  <c r="X30" i="13"/>
  <c r="AE55" i="13"/>
  <c r="X56" i="13"/>
  <c r="Y25" i="13"/>
  <c r="Z18" i="13"/>
  <c r="AB60" i="13"/>
  <c r="K64" i="12"/>
  <c r="X70" i="13"/>
  <c r="AA60" i="13"/>
  <c r="W19" i="13"/>
  <c r="Y55" i="13"/>
  <c r="Z50" i="13"/>
  <c r="AA50" i="13"/>
  <c r="AD50" i="13"/>
  <c r="AE50" i="13"/>
  <c r="W50" i="13"/>
  <c r="X50" i="13"/>
  <c r="Y50" i="13"/>
  <c r="AB50" i="13"/>
  <c r="AC50" i="13"/>
  <c r="Y58" i="13"/>
  <c r="Z58" i="13"/>
  <c r="AA58" i="13"/>
  <c r="AB58" i="13"/>
  <c r="AC58" i="13"/>
  <c r="AD58" i="13"/>
  <c r="AE58" i="13"/>
  <c r="W58" i="13"/>
  <c r="X58" i="13"/>
  <c r="AC11" i="13"/>
  <c r="W29" i="13"/>
  <c r="X29" i="13"/>
  <c r="Y29" i="13"/>
  <c r="AB54" i="13"/>
  <c r="W70" i="13"/>
  <c r="X55" i="13"/>
  <c r="Z39" i="13"/>
  <c r="AC85" i="13"/>
  <c r="AA56" i="13"/>
  <c r="Y72" i="13"/>
  <c r="Y27" i="13"/>
  <c r="W59" i="13"/>
  <c r="X59" i="13"/>
  <c r="Z59" i="13"/>
  <c r="AD84" i="13"/>
  <c r="AE84" i="13"/>
  <c r="W84" i="13"/>
  <c r="X84" i="13"/>
  <c r="Z84" i="13"/>
  <c r="Y84" i="13"/>
  <c r="AA84" i="13"/>
  <c r="AB84" i="13"/>
  <c r="AC84" i="13"/>
  <c r="AB11" i="13"/>
  <c r="X49" i="13"/>
  <c r="Y49" i="13"/>
  <c r="AB49" i="13"/>
  <c r="AA49" i="13"/>
  <c r="AD49" i="13"/>
  <c r="AE49" i="13"/>
  <c r="W49" i="13"/>
  <c r="Z49" i="13"/>
  <c r="AC49" i="13"/>
  <c r="AD56" i="13"/>
  <c r="W55" i="13"/>
  <c r="AA38" i="13"/>
  <c r="AB85" i="13"/>
  <c r="AB35" i="13"/>
  <c r="AC35" i="13"/>
  <c r="W35" i="13"/>
  <c r="AE35" i="13"/>
  <c r="X35" i="13"/>
  <c r="Y35" i="13"/>
  <c r="Z35" i="13"/>
  <c r="AA35" i="13"/>
  <c r="AD35" i="13"/>
  <c r="W64" i="13"/>
  <c r="Z64" i="13"/>
  <c r="X64" i="13"/>
  <c r="Y64" i="13"/>
  <c r="AB64" i="13"/>
  <c r="AA64" i="13"/>
  <c r="AC64" i="13"/>
  <c r="AD64" i="13"/>
  <c r="AE64" i="13"/>
  <c r="Z79" i="13"/>
  <c r="AE56" i="13"/>
  <c r="AB13" i="13"/>
  <c r="Z85" i="13"/>
  <c r="AB61" i="13"/>
  <c r="AD61" i="13"/>
  <c r="AA11" i="13"/>
  <c r="X54" i="13"/>
  <c r="Y61" i="13"/>
  <c r="AA55" i="13"/>
  <c r="Z13" i="13"/>
  <c r="Y85" i="13"/>
  <c r="W38" i="13"/>
  <c r="W54" i="13"/>
  <c r="AB56" i="13"/>
  <c r="AC73" i="13"/>
  <c r="AD14" i="13"/>
  <c r="W47" i="13"/>
  <c r="Y47" i="13"/>
  <c r="AE47" i="13"/>
  <c r="Z47" i="13"/>
  <c r="AA47" i="13"/>
  <c r="AB47" i="13"/>
  <c r="AC77" i="13"/>
  <c r="AB73" i="13"/>
  <c r="AE40" i="13"/>
  <c r="AC14" i="13"/>
  <c r="Z66" i="13"/>
  <c r="AA66" i="13"/>
  <c r="AD66" i="13"/>
  <c r="W66" i="13"/>
  <c r="X66" i="13"/>
  <c r="AB66" i="13"/>
  <c r="AC66" i="13"/>
  <c r="AE66" i="13"/>
  <c r="Y66" i="13"/>
  <c r="Y74" i="13"/>
  <c r="Z74" i="13"/>
  <c r="AA74" i="13"/>
  <c r="AB74" i="13"/>
  <c r="AD74" i="13"/>
  <c r="AE74" i="13"/>
  <c r="W74" i="13"/>
  <c r="AC74" i="13"/>
  <c r="X74" i="13"/>
  <c r="W53" i="13"/>
  <c r="X53" i="13"/>
  <c r="Y53" i="13"/>
  <c r="Z53" i="13"/>
  <c r="AA53" i="13"/>
  <c r="AB53" i="13"/>
  <c r="AE77" i="13"/>
  <c r="Z73" i="13"/>
  <c r="AD40" i="13"/>
  <c r="AA14" i="13"/>
  <c r="AC81" i="13"/>
  <c r="AD81" i="13"/>
  <c r="AE81" i="13"/>
  <c r="W81" i="13"/>
  <c r="Z81" i="13"/>
  <c r="AA81" i="13"/>
  <c r="W75" i="13"/>
  <c r="AE75" i="13"/>
  <c r="AE22" i="13"/>
  <c r="Y23" i="13"/>
  <c r="Y73" i="13"/>
  <c r="Z14" i="13"/>
  <c r="AB51" i="13"/>
  <c r="AC51" i="13"/>
  <c r="X51" i="13"/>
  <c r="Y51" i="13"/>
  <c r="AA51" i="13"/>
  <c r="AD51" i="13"/>
  <c r="W51" i="13"/>
  <c r="Z51" i="13"/>
  <c r="AE51" i="13"/>
  <c r="W80" i="13"/>
  <c r="Z80" i="13"/>
  <c r="Y80" i="13"/>
  <c r="AE80" i="13"/>
  <c r="AA80" i="13"/>
  <c r="AB80" i="13"/>
  <c r="AC80" i="13"/>
  <c r="AD80" i="13"/>
  <c r="X80" i="13"/>
  <c r="X76" i="13"/>
  <c r="W76" i="13"/>
  <c r="AB23" i="13"/>
  <c r="AD22" i="13"/>
  <c r="Z23" i="13"/>
  <c r="AD76" i="13"/>
  <c r="X73" i="13"/>
  <c r="AB40" i="13"/>
  <c r="Y14" i="13"/>
  <c r="AD20" i="13"/>
  <c r="AE20" i="13"/>
  <c r="X20" i="13"/>
  <c r="Y20" i="13"/>
  <c r="Z20" i="13"/>
  <c r="AA20" i="13"/>
  <c r="W20" i="13"/>
  <c r="AB20" i="13"/>
  <c r="AC20" i="13"/>
  <c r="AC62" i="13"/>
  <c r="AD62" i="13"/>
  <c r="W62" i="13"/>
  <c r="X62" i="13"/>
  <c r="Y62" i="13"/>
  <c r="AB55" i="13"/>
  <c r="AB22" i="13"/>
  <c r="X23" i="13"/>
  <c r="AC76" i="13"/>
  <c r="W73" i="13"/>
  <c r="AA40" i="13"/>
  <c r="AB14" i="13"/>
  <c r="X78" i="13"/>
  <c r="Y78" i="13"/>
  <c r="Z78" i="13"/>
  <c r="AA78" i="13"/>
  <c r="AB78" i="13"/>
  <c r="AC78" i="13"/>
  <c r="AD78" i="13"/>
  <c r="AD21" i="13"/>
  <c r="AE21" i="13"/>
  <c r="AB21" i="13"/>
  <c r="AC21" i="13"/>
  <c r="Y21" i="13"/>
  <c r="Z21" i="13"/>
  <c r="AA21" i="13"/>
  <c r="W21" i="13"/>
  <c r="X21" i="13"/>
  <c r="AC29" i="13"/>
  <c r="X17" i="13"/>
  <c r="Y17" i="13"/>
  <c r="AB17" i="13"/>
  <c r="AC17" i="13"/>
  <c r="W17" i="13"/>
  <c r="Z17" i="13"/>
  <c r="AA17" i="13"/>
  <c r="AD17" i="13"/>
  <c r="AE17" i="13"/>
  <c r="AA22" i="13"/>
  <c r="AD23" i="13"/>
  <c r="W23" i="13"/>
  <c r="Z76" i="13"/>
  <c r="Z55" i="13"/>
  <c r="AA77" i="13"/>
  <c r="AB77" i="13"/>
  <c r="AD77" i="13"/>
  <c r="AC60" i="13"/>
  <c r="AC22" i="13"/>
  <c r="X22" i="13"/>
  <c r="AA23" i="13"/>
  <c r="AC69" i="13"/>
  <c r="X81" i="13"/>
  <c r="W28" i="13"/>
  <c r="X28" i="13"/>
  <c r="Y28" i="13"/>
  <c r="Z28" i="13"/>
  <c r="AA44" i="13"/>
  <c r="Z54" i="13"/>
  <c r="AC54" i="13"/>
  <c r="AE39" i="13"/>
  <c r="X79" i="13"/>
  <c r="AB69" i="13"/>
  <c r="Z19" i="13"/>
  <c r="AE19" i="13"/>
  <c r="AA19" i="13"/>
  <c r="AD19" i="13"/>
  <c r="X63" i="13"/>
  <c r="W31" i="13"/>
  <c r="Y31" i="13"/>
  <c r="AC44" i="13"/>
  <c r="AB39" i="13"/>
  <c r="AC61" i="13"/>
  <c r="AD43" i="13"/>
  <c r="AB27" i="13"/>
  <c r="Z15" i="13"/>
  <c r="Y69" i="13"/>
  <c r="X25" i="13"/>
  <c r="W12" i="13"/>
  <c r="X12" i="13"/>
  <c r="W56" i="13"/>
  <c r="AC72" i="13"/>
  <c r="X27" i="13"/>
  <c r="AB63" i="13"/>
  <c r="AE27" i="13"/>
  <c r="AD27" i="13"/>
  <c r="Z71" i="13"/>
  <c r="AA71" i="13"/>
  <c r="AB71" i="13"/>
  <c r="AC71" i="13"/>
  <c r="AD71" i="13"/>
  <c r="AE71" i="13"/>
  <c r="Z56" i="13"/>
  <c r="W79" i="13"/>
  <c r="AA37" i="13"/>
  <c r="AB37" i="13"/>
  <c r="AC37" i="13"/>
  <c r="AD37" i="13"/>
  <c r="AE37" i="13"/>
  <c r="Z37" i="13"/>
  <c r="W37" i="13"/>
  <c r="Y37" i="13"/>
  <c r="Y56" i="13"/>
  <c r="AC25" i="13"/>
  <c r="Y42" i="13"/>
  <c r="Z42" i="13"/>
  <c r="AA42" i="13"/>
  <c r="AB42" i="13"/>
  <c r="AC42" i="13"/>
  <c r="AD42" i="13"/>
  <c r="AE42" i="13"/>
  <c r="W42" i="13"/>
  <c r="X42" i="13"/>
  <c r="AE61" i="13"/>
  <c r="AC43" i="13"/>
  <c r="AA27" i="13"/>
  <c r="W15" i="13"/>
  <c r="Z29" i="13"/>
  <c r="W25" i="13"/>
  <c r="X43" i="13"/>
  <c r="W43" i="13"/>
  <c r="Z43" i="13"/>
  <c r="AD68" i="13"/>
  <c r="AE68" i="13"/>
  <c r="W68" i="13"/>
  <c r="X68" i="13"/>
  <c r="Y68" i="13"/>
  <c r="Z68" i="13"/>
  <c r="AA68" i="13"/>
  <c r="AB68" i="13"/>
  <c r="AC68" i="13"/>
  <c r="AC19" i="13"/>
  <c r="W71" i="13"/>
  <c r="Y39" i="13"/>
  <c r="AC23" i="13"/>
  <c r="Z12" i="13"/>
  <c r="AE43" i="13"/>
  <c r="AE15" i="13"/>
  <c r="Z62" i="13"/>
  <c r="AD85" i="13"/>
  <c r="AA31" i="13"/>
  <c r="W22" i="13"/>
  <c r="W77" i="13"/>
  <c r="X13" i="13"/>
  <c r="Y13" i="13"/>
  <c r="W13" i="13"/>
  <c r="Y77" i="13"/>
  <c r="AB41" i="13"/>
  <c r="AE78" i="13"/>
  <c r="AE25" i="13"/>
  <c r="W24" i="13"/>
  <c r="X24" i="13"/>
  <c r="Y24" i="13"/>
  <c r="Z24" i="13"/>
  <c r="AA24" i="13"/>
  <c r="AB24" i="13"/>
  <c r="AC24" i="13"/>
  <c r="AD24" i="13"/>
  <c r="AE24" i="13"/>
  <c r="AC79" i="13"/>
  <c r="AD25" i="13"/>
  <c r="AA72" i="13"/>
  <c r="AB25" i="13"/>
  <c r="X41" i="13"/>
  <c r="AA79" i="13"/>
  <c r="AE44" i="13"/>
  <c r="Y60" i="13"/>
  <c r="X72" i="13"/>
  <c r="AC39" i="13"/>
  <c r="Z25" i="13"/>
  <c r="AB30" i="13"/>
  <c r="AC30" i="13"/>
  <c r="AD30" i="13"/>
  <c r="AA30" i="13"/>
  <c r="AE62" i="13"/>
  <c r="X19" i="13"/>
  <c r="AD39" i="13"/>
  <c r="W72" i="13"/>
  <c r="Z34" i="13"/>
  <c r="AA34" i="13"/>
  <c r="AD34" i="13"/>
  <c r="AE34" i="13"/>
  <c r="W34" i="13"/>
  <c r="X34" i="13"/>
  <c r="Y34" i="13"/>
  <c r="AB34" i="13"/>
  <c r="AC34" i="13"/>
  <c r="X71" i="13"/>
  <c r="AA39" i="13"/>
  <c r="X69" i="13"/>
  <c r="W48" i="13"/>
  <c r="Z48" i="13"/>
  <c r="X48" i="13"/>
  <c r="Y48" i="13"/>
  <c r="AB48" i="13"/>
  <c r="AC48" i="13"/>
  <c r="AD48" i="13"/>
  <c r="AA48" i="13"/>
  <c r="AE48" i="13"/>
  <c r="Y44" i="13"/>
  <c r="W44" i="13"/>
  <c r="X44" i="13"/>
  <c r="AB19" i="13"/>
  <c r="AD13" i="13"/>
  <c r="X39" i="13"/>
  <c r="AC38" i="13"/>
  <c r="AB12" i="13"/>
  <c r="AB43" i="13"/>
  <c r="AD46" i="13"/>
  <c r="X85" i="13"/>
  <c r="Y38" i="13"/>
  <c r="AB67" i="13"/>
  <c r="AC67" i="13"/>
  <c r="AA67" i="13"/>
  <c r="AD67" i="13"/>
  <c r="AE67" i="13"/>
  <c r="Z67" i="13"/>
  <c r="W67" i="13"/>
  <c r="X67" i="13"/>
  <c r="Y67" i="13"/>
  <c r="W16" i="13"/>
  <c r="Z16" i="13"/>
  <c r="AA16" i="13"/>
  <c r="AB16" i="13"/>
  <c r="AC16" i="13"/>
  <c r="AD16" i="13"/>
  <c r="AE16" i="13"/>
  <c r="Y16" i="13"/>
  <c r="X16" i="13"/>
  <c r="W11" i="13"/>
  <c r="X11" i="13"/>
  <c r="X33" i="13"/>
  <c r="Y33" i="13"/>
  <c r="AB33" i="13"/>
  <c r="W33" i="13"/>
  <c r="Z33" i="13"/>
  <c r="AA33" i="13"/>
  <c r="AC33" i="13"/>
  <c r="AD33" i="13"/>
  <c r="AE33" i="13"/>
  <c r="AC41" i="13"/>
  <c r="AA15" i="13"/>
  <c r="AB15" i="13"/>
  <c r="AA41" i="13"/>
  <c r="Y79" i="13"/>
  <c r="Y81" i="13"/>
  <c r="Z41" i="13"/>
  <c r="Z69" i="13"/>
  <c r="W32" i="13"/>
  <c r="Z32" i="13"/>
  <c r="X32" i="13"/>
  <c r="Y32" i="13"/>
  <c r="AA32" i="13"/>
  <c r="AE32" i="13"/>
  <c r="AB32" i="13"/>
  <c r="AC32" i="13"/>
  <c r="AD32" i="13"/>
  <c r="AD52" i="13"/>
  <c r="AE52" i="13"/>
  <c r="Y52" i="13"/>
  <c r="Z52" i="13"/>
  <c r="AB52" i="13"/>
  <c r="X52" i="13"/>
  <c r="AA52" i="13"/>
  <c r="W52" i="13"/>
  <c r="AC52" i="13"/>
  <c r="AE69" i="13"/>
  <c r="AA25" i="13"/>
  <c r="AA69" i="13"/>
  <c r="AE57" i="13"/>
  <c r="AA70" i="13"/>
  <c r="AB70" i="13"/>
  <c r="AC70" i="13"/>
  <c r="AD70" i="13"/>
  <c r="Y70" i="13"/>
  <c r="Z70" i="13"/>
  <c r="AE70" i="13"/>
  <c r="Z11" i="13"/>
  <c r="AC13" i="13"/>
  <c r="AC55" i="13"/>
  <c r="AA12" i="13"/>
  <c r="AC15" i="13"/>
  <c r="AA85" i="13"/>
  <c r="Z31" i="13"/>
  <c r="Y10" i="13"/>
  <c r="Z10" i="13"/>
  <c r="AA10" i="13"/>
  <c r="AB10" i="13"/>
  <c r="AC10" i="13"/>
  <c r="AD10" i="13"/>
  <c r="AE10" i="13"/>
  <c r="W10" i="13"/>
  <c r="X10" i="13"/>
  <c r="AD36" i="13"/>
  <c r="AE36" i="13"/>
  <c r="W36" i="13"/>
  <c r="X36" i="13"/>
  <c r="Z36" i="13"/>
  <c r="AA36" i="13"/>
  <c r="AB36" i="13"/>
  <c r="Y36" i="13"/>
  <c r="AC36" i="13"/>
  <c r="X18" i="13"/>
  <c r="AC18" i="13"/>
  <c r="AB18" i="13"/>
  <c r="W18" i="13"/>
  <c r="Y18" i="13"/>
  <c r="X38" i="13"/>
  <c r="AB81" i="13"/>
  <c r="W69" i="13"/>
  <c r="AB83" i="13"/>
  <c r="AC83" i="13"/>
  <c r="W83" i="13"/>
  <c r="AA83" i="13"/>
  <c r="AD83" i="13"/>
  <c r="AE83" i="13"/>
  <c r="Z83" i="13"/>
  <c r="X83" i="13"/>
  <c r="Y83" i="13"/>
  <c r="Y26" i="13"/>
  <c r="Z26" i="13"/>
  <c r="AA26" i="13"/>
  <c r="AB26" i="13"/>
  <c r="AC26" i="13"/>
  <c r="AD26" i="13"/>
  <c r="AE26" i="13"/>
  <c r="W26" i="13"/>
  <c r="X26" i="13"/>
  <c r="AD79" i="13"/>
  <c r="AC63" i="13"/>
  <c r="Z27" i="13"/>
  <c r="AD41" i="13"/>
  <c r="AE41" i="13"/>
  <c r="Y63" i="13"/>
  <c r="Y11" i="13"/>
  <c r="AE13" i="13"/>
  <c r="AE54" i="13"/>
  <c r="AE12" i="13"/>
  <c r="Y15" i="13"/>
  <c r="W46" i="13"/>
  <c r="W85" i="13"/>
  <c r="Z61" i="13"/>
  <c r="Y22" i="13"/>
  <c r="Z82" i="13"/>
  <c r="AA82" i="13"/>
  <c r="AD82" i="13"/>
  <c r="W82" i="13"/>
  <c r="X82" i="13"/>
  <c r="AB82" i="13"/>
  <c r="AC82" i="13"/>
  <c r="AE82" i="13"/>
  <c r="Y82" i="13"/>
  <c r="Z77" i="13"/>
  <c r="AE79" i="13"/>
  <c r="AB72" i="13"/>
  <c r="AE72" i="13"/>
  <c r="AD11" i="13"/>
  <c r="X65" i="13"/>
  <c r="Y65" i="13"/>
  <c r="AB65" i="13"/>
  <c r="Z65" i="13"/>
  <c r="AC65" i="13"/>
  <c r="AD65" i="13"/>
  <c r="AE65" i="13"/>
  <c r="AA65" i="13"/>
  <c r="W65" i="13"/>
  <c r="Y19" i="13"/>
  <c r="AD54" i="13"/>
  <c r="AD12" i="13"/>
  <c r="AD47" i="13"/>
  <c r="X15" i="13"/>
  <c r="AA61" i="13"/>
  <c r="S23" i="11"/>
  <c r="K15" i="12"/>
  <c r="Q22" i="11"/>
  <c r="S16" i="12"/>
  <c r="U46" i="11"/>
  <c r="L57" i="12"/>
  <c r="P45" i="12"/>
  <c r="P52" i="11"/>
  <c r="V46" i="12"/>
  <c r="T46" i="12"/>
  <c r="U46" i="12"/>
  <c r="V43" i="11"/>
  <c r="N49" i="12"/>
  <c r="N48" i="11"/>
  <c r="U53" i="11"/>
  <c r="T45" i="12"/>
  <c r="P59" i="11"/>
  <c r="O66" i="12"/>
  <c r="K74" i="11"/>
  <c r="M50" i="12"/>
  <c r="U63" i="11"/>
  <c r="K49" i="12"/>
  <c r="S25" i="11"/>
  <c r="N28" i="11"/>
  <c r="R52" i="12"/>
  <c r="T29" i="11"/>
  <c r="O51" i="12"/>
  <c r="Q13" i="11"/>
  <c r="T38" i="12"/>
  <c r="T22" i="11"/>
  <c r="T53" i="12"/>
  <c r="O12" i="11"/>
  <c r="R37" i="12"/>
  <c r="P36" i="12"/>
  <c r="Q53" i="11"/>
  <c r="K34" i="12"/>
  <c r="O52" i="11"/>
  <c r="U23" i="12"/>
  <c r="S54" i="11"/>
  <c r="M51" i="11"/>
  <c r="S22" i="12"/>
  <c r="K50" i="11"/>
  <c r="T71" i="12"/>
  <c r="K83" i="11"/>
  <c r="N20" i="12"/>
  <c r="U72" i="11"/>
  <c r="L19" i="12"/>
  <c r="U24" i="11"/>
  <c r="O85" i="12"/>
  <c r="R44" i="12"/>
  <c r="U53" i="12"/>
  <c r="P51" i="12"/>
  <c r="U38" i="12"/>
  <c r="N35" i="12"/>
  <c r="Q21" i="12"/>
  <c r="M84" i="12"/>
  <c r="O26" i="12"/>
  <c r="V50" i="12"/>
  <c r="P43" i="12"/>
  <c r="S52" i="12"/>
  <c r="N50" i="12"/>
  <c r="S37" i="12"/>
  <c r="L34" i="12"/>
  <c r="O20" i="12"/>
  <c r="K83" i="12"/>
  <c r="N30" i="12"/>
  <c r="L53" i="12"/>
  <c r="N42" i="12"/>
  <c r="Q51" i="12"/>
  <c r="L49" i="12"/>
  <c r="Q36" i="12"/>
  <c r="V23" i="12"/>
  <c r="M19" i="12"/>
  <c r="U72" i="12"/>
  <c r="S12" i="12"/>
  <c r="L41" i="12"/>
  <c r="O50" i="12"/>
  <c r="V38" i="12"/>
  <c r="O35" i="12"/>
  <c r="T22" i="12"/>
  <c r="K18" i="12"/>
  <c r="S71" i="12"/>
  <c r="V30" i="12"/>
  <c r="M49" i="12"/>
  <c r="T37" i="12"/>
  <c r="M34" i="12"/>
  <c r="R21" i="12"/>
  <c r="P85" i="12"/>
  <c r="Q70" i="12"/>
  <c r="O38" i="12"/>
  <c r="T29" i="12"/>
  <c r="K48" i="12"/>
  <c r="R36" i="12"/>
  <c r="K33" i="12"/>
  <c r="P20" i="12"/>
  <c r="N84" i="12"/>
  <c r="O69" i="12"/>
  <c r="K41" i="12"/>
  <c r="R28" i="12"/>
  <c r="U37" i="12"/>
  <c r="P35" i="12"/>
  <c r="U22" i="12"/>
  <c r="N19" i="12"/>
  <c r="L83" i="12"/>
  <c r="M68" i="12"/>
  <c r="V42" i="12"/>
  <c r="P27" i="12"/>
  <c r="S36" i="12"/>
  <c r="N34" i="12"/>
  <c r="S21" i="12"/>
  <c r="L18" i="12"/>
  <c r="V72" i="12"/>
  <c r="K67" i="12"/>
  <c r="O45" i="12"/>
  <c r="O84" i="12"/>
  <c r="M33" i="12"/>
  <c r="R57" i="12"/>
  <c r="P11" i="12"/>
  <c r="N18" i="12"/>
  <c r="V56" i="12"/>
  <c r="V61" i="12"/>
  <c r="S65" i="12"/>
  <c r="Q84" i="12"/>
  <c r="V78" i="12"/>
  <c r="P18" i="12"/>
  <c r="T85" i="12"/>
  <c r="M82" i="12"/>
  <c r="R69" i="12"/>
  <c r="U55" i="12"/>
  <c r="L51" i="12"/>
  <c r="M36" i="12"/>
  <c r="T77" i="12"/>
  <c r="N17" i="12"/>
  <c r="R84" i="12"/>
  <c r="K81" i="12"/>
  <c r="P68" i="12"/>
  <c r="S54" i="12"/>
  <c r="V40" i="12"/>
  <c r="K35" i="12"/>
  <c r="R76" i="12"/>
  <c r="U85" i="12"/>
  <c r="P83" i="12"/>
  <c r="U70" i="12"/>
  <c r="N67" i="12"/>
  <c r="Q53" i="12"/>
  <c r="T39" i="12"/>
  <c r="U24" i="12"/>
  <c r="P75" i="12"/>
  <c r="S84" i="12"/>
  <c r="N82" i="12"/>
  <c r="S69" i="12"/>
  <c r="L66" i="12"/>
  <c r="O52" i="12"/>
  <c r="R38" i="12"/>
  <c r="S23" i="12"/>
  <c r="V12" i="12"/>
  <c r="N74" i="12"/>
  <c r="Q83" i="12"/>
  <c r="L81" i="12"/>
  <c r="Q68" i="12"/>
  <c r="V55" i="12"/>
  <c r="M51" i="12"/>
  <c r="P37" i="12"/>
  <c r="Q22" i="12"/>
  <c r="L15" i="12"/>
  <c r="K53" i="12"/>
  <c r="Q69" i="12"/>
  <c r="V21" i="12"/>
  <c r="M17" i="12"/>
  <c r="T84" i="12"/>
  <c r="L11" i="12"/>
  <c r="L73" i="12"/>
  <c r="O82" i="12"/>
  <c r="V70" i="12"/>
  <c r="O67" i="12"/>
  <c r="T54" i="12"/>
  <c r="K50" i="12"/>
  <c r="N36" i="12"/>
  <c r="O21" i="12"/>
  <c r="T16" i="12"/>
  <c r="N26" i="12"/>
  <c r="Q20" i="12"/>
  <c r="V22" i="12"/>
  <c r="T21" i="12"/>
  <c r="N72" i="12"/>
  <c r="M67" i="12"/>
  <c r="P12" i="12"/>
  <c r="V62" i="12"/>
  <c r="M81" i="12"/>
  <c r="T69" i="12"/>
  <c r="M66" i="12"/>
  <c r="R53" i="12"/>
  <c r="U39" i="12"/>
  <c r="L35" i="12"/>
  <c r="M20" i="12"/>
  <c r="P26" i="12"/>
  <c r="U50" i="12"/>
  <c r="K17" i="12"/>
  <c r="N60" i="12"/>
  <c r="O18" i="12"/>
  <c r="K75" i="12"/>
  <c r="T61" i="12"/>
  <c r="K80" i="12"/>
  <c r="R68" i="12"/>
  <c r="K65" i="12"/>
  <c r="P52" i="12"/>
  <c r="S38" i="12"/>
  <c r="V24" i="12"/>
  <c r="K19" i="12"/>
  <c r="O30" i="12"/>
  <c r="L25" i="12"/>
  <c r="K82" i="12"/>
  <c r="S70" i="12"/>
  <c r="L82" i="12"/>
  <c r="V71" i="12"/>
  <c r="K16" i="12"/>
  <c r="U76" i="12"/>
  <c r="Q80" i="12"/>
  <c r="R60" i="12"/>
  <c r="U69" i="12"/>
  <c r="P67" i="12"/>
  <c r="U54" i="12"/>
  <c r="N51" i="12"/>
  <c r="Q37" i="12"/>
  <c r="T23" i="12"/>
  <c r="T12" i="12"/>
  <c r="O16" i="12"/>
  <c r="Q12" i="12"/>
  <c r="Q16" i="12"/>
  <c r="S57" i="12"/>
  <c r="M14" i="12"/>
  <c r="L23" i="12"/>
  <c r="L26" i="12"/>
  <c r="R30" i="12"/>
  <c r="V34" i="12"/>
  <c r="O40" i="12"/>
  <c r="Q43" i="12"/>
  <c r="R47" i="12"/>
  <c r="T57" i="12"/>
  <c r="T60" i="12"/>
  <c r="R64" i="12"/>
  <c r="P71" i="12"/>
  <c r="O74" i="12"/>
  <c r="P78" i="12"/>
  <c r="S82" i="12"/>
  <c r="K85" i="12"/>
  <c r="R50" i="12"/>
  <c r="R77" i="12"/>
  <c r="N14" i="12"/>
  <c r="O17" i="12"/>
  <c r="M23" i="12"/>
  <c r="M26" i="12"/>
  <c r="K29" i="12"/>
  <c r="S30" i="12"/>
  <c r="N33" i="12"/>
  <c r="P40" i="12"/>
  <c r="R43" i="12"/>
  <c r="S47" i="12"/>
  <c r="U57" i="12"/>
  <c r="U60" i="12"/>
  <c r="K63" i="12"/>
  <c r="S64" i="12"/>
  <c r="Q71" i="12"/>
  <c r="P74" i="12"/>
  <c r="K77" i="12"/>
  <c r="Q78" i="12"/>
  <c r="T82" i="12"/>
  <c r="L85" i="12"/>
  <c r="M53" i="12"/>
  <c r="M11" i="12"/>
  <c r="O14" i="12"/>
  <c r="P17" i="12"/>
  <c r="K20" i="12"/>
  <c r="N23" i="12"/>
  <c r="Q26" i="12"/>
  <c r="L29" i="12"/>
  <c r="T30" i="12"/>
  <c r="O33" i="12"/>
  <c r="Q40" i="12"/>
  <c r="S43" i="12"/>
  <c r="T47" i="12"/>
  <c r="V57" i="12"/>
  <c r="K59" i="12"/>
  <c r="V60" i="12"/>
  <c r="L63" i="12"/>
  <c r="T64" i="12"/>
  <c r="R71" i="12"/>
  <c r="Q74" i="12"/>
  <c r="L77" i="12"/>
  <c r="R78" i="12"/>
  <c r="U82" i="12"/>
  <c r="M85" i="12"/>
  <c r="N11" i="12"/>
  <c r="P14" i="12"/>
  <c r="Q17" i="12"/>
  <c r="L20" i="12"/>
  <c r="O23" i="12"/>
  <c r="R26" i="12"/>
  <c r="M29" i="12"/>
  <c r="U30" i="12"/>
  <c r="P33" i="12"/>
  <c r="R40" i="12"/>
  <c r="T43" i="12"/>
  <c r="U47" i="12"/>
  <c r="P50" i="12"/>
  <c r="K56" i="12"/>
  <c r="L59" i="12"/>
  <c r="M63" i="12"/>
  <c r="U64" i="12"/>
  <c r="R74" i="12"/>
  <c r="M77" i="12"/>
  <c r="S78" i="12"/>
  <c r="V82" i="12"/>
  <c r="N85" i="12"/>
  <c r="O63" i="12"/>
  <c r="T74" i="12"/>
  <c r="O77" i="12"/>
  <c r="U78" i="12"/>
  <c r="O11" i="12"/>
  <c r="Q14" i="12"/>
  <c r="R17" i="12"/>
  <c r="U20" i="12"/>
  <c r="P23" i="12"/>
  <c r="S26" i="12"/>
  <c r="N29" i="12"/>
  <c r="Q33" i="12"/>
  <c r="S40" i="12"/>
  <c r="U43" i="12"/>
  <c r="K46" i="12"/>
  <c r="V47" i="12"/>
  <c r="Q50" i="12"/>
  <c r="L56" i="12"/>
  <c r="M59" i="12"/>
  <c r="N63" i="12"/>
  <c r="V64" i="12"/>
  <c r="R67" i="12"/>
  <c r="S74" i="12"/>
  <c r="N77" i="12"/>
  <c r="T78" i="12"/>
  <c r="N81" i="12"/>
  <c r="V85" i="12"/>
  <c r="K39" i="12"/>
  <c r="O81" i="12"/>
  <c r="Q11" i="12"/>
  <c r="R14" i="12"/>
  <c r="S17" i="12"/>
  <c r="V20" i="12"/>
  <c r="Q23" i="12"/>
  <c r="T26" i="12"/>
  <c r="O29" i="12"/>
  <c r="R33" i="12"/>
  <c r="T40" i="12"/>
  <c r="V43" i="12"/>
  <c r="L46" i="12"/>
  <c r="M56" i="12"/>
  <c r="N59" i="12"/>
  <c r="S67" i="12"/>
  <c r="R11" i="12"/>
  <c r="S14" i="12"/>
  <c r="T17" i="12"/>
  <c r="U26" i="12"/>
  <c r="P29" i="12"/>
  <c r="S33" i="12"/>
  <c r="L39" i="12"/>
  <c r="M46" i="12"/>
  <c r="S50" i="12"/>
  <c r="N53" i="12"/>
  <c r="N56" i="12"/>
  <c r="O59" i="12"/>
  <c r="P63" i="12"/>
  <c r="T67" i="12"/>
  <c r="K70" i="12"/>
  <c r="U74" i="12"/>
  <c r="P77" i="12"/>
  <c r="P81" i="12"/>
  <c r="S11" i="12"/>
  <c r="T14" i="12"/>
  <c r="U17" i="12"/>
  <c r="V26" i="12"/>
  <c r="Q29" i="12"/>
  <c r="L32" i="12"/>
  <c r="T33" i="12"/>
  <c r="K36" i="12"/>
  <c r="M39" i="12"/>
  <c r="K42" i="12"/>
  <c r="N46" i="12"/>
  <c r="T50" i="12"/>
  <c r="V53" i="12"/>
  <c r="O56" i="12"/>
  <c r="Q59" i="12"/>
  <c r="Q63" i="12"/>
  <c r="U67" i="12"/>
  <c r="L70" i="12"/>
  <c r="V74" i="12"/>
  <c r="Q77" i="12"/>
  <c r="Q81" i="12"/>
  <c r="T11" i="12"/>
  <c r="U14" i="12"/>
  <c r="V17" i="12"/>
  <c r="K28" i="12"/>
  <c r="R29" i="12"/>
  <c r="M32" i="12"/>
  <c r="U33" i="12"/>
  <c r="L36" i="12"/>
  <c r="N39" i="12"/>
  <c r="L42" i="12"/>
  <c r="O46" i="12"/>
  <c r="P56" i="12"/>
  <c r="R59" i="12"/>
  <c r="R63" i="12"/>
  <c r="V67" i="12"/>
  <c r="M70" i="12"/>
  <c r="K73" i="12"/>
  <c r="R81" i="12"/>
  <c r="O10" i="12"/>
  <c r="R13" i="12"/>
  <c r="V16" i="12"/>
  <c r="T25" i="12"/>
  <c r="U28" i="12"/>
  <c r="L31" i="12"/>
  <c r="V32" i="12"/>
  <c r="K38" i="12"/>
  <c r="S45" i="12"/>
  <c r="M48" i="12"/>
  <c r="V49" i="12"/>
  <c r="T52" i="12"/>
  <c r="O55" i="12"/>
  <c r="O58" i="12"/>
  <c r="K61" i="12"/>
  <c r="Q62" i="12"/>
  <c r="T66" i="12"/>
  <c r="K69" i="12"/>
  <c r="U73" i="12"/>
  <c r="T76" i="12"/>
  <c r="S80" i="12"/>
  <c r="P10" i="12"/>
  <c r="S13" i="12"/>
  <c r="U25" i="12"/>
  <c r="V28" i="12"/>
  <c r="M31" i="12"/>
  <c r="R35" i="12"/>
  <c r="L38" i="12"/>
  <c r="K44" i="12"/>
  <c r="U45" i="12"/>
  <c r="N48" i="12"/>
  <c r="U52" i="12"/>
  <c r="P55" i="12"/>
  <c r="P58" i="12"/>
  <c r="L61" i="12"/>
  <c r="R62" i="12"/>
  <c r="U66" i="12"/>
  <c r="L69" i="12"/>
  <c r="K72" i="12"/>
  <c r="V73" i="12"/>
  <c r="V76" i="12"/>
  <c r="K79" i="12"/>
  <c r="T80" i="12"/>
  <c r="U11" i="12"/>
  <c r="L13" i="12"/>
  <c r="O15" i="12"/>
  <c r="V19" i="12"/>
  <c r="S25" i="12"/>
  <c r="T27" i="12"/>
  <c r="N31" i="12"/>
  <c r="P46" i="12"/>
  <c r="R48" i="12"/>
  <c r="T65" i="12"/>
  <c r="M69" i="12"/>
  <c r="L71" i="12"/>
  <c r="Q73" i="12"/>
  <c r="R75" i="12"/>
  <c r="L84" i="12"/>
  <c r="V13" i="12"/>
  <c r="S58" i="12"/>
  <c r="U35" i="12"/>
  <c r="Q79" i="12"/>
  <c r="V11" i="12"/>
  <c r="M13" i="12"/>
  <c r="P15" i="12"/>
  <c r="V25" i="12"/>
  <c r="U27" i="12"/>
  <c r="O31" i="12"/>
  <c r="Q46" i="12"/>
  <c r="S48" i="12"/>
  <c r="U65" i="12"/>
  <c r="N69" i="12"/>
  <c r="M71" i="12"/>
  <c r="R73" i="12"/>
  <c r="S75" i="12"/>
  <c r="U84" i="12"/>
  <c r="V15" i="12"/>
  <c r="U31" i="12"/>
  <c r="S35" i="12"/>
  <c r="O79" i="12"/>
  <c r="P39" i="12"/>
  <c r="K62" i="12"/>
  <c r="N43" i="12"/>
  <c r="P54" i="12"/>
  <c r="N13" i="12"/>
  <c r="Q15" i="12"/>
  <c r="V27" i="12"/>
  <c r="P31" i="12"/>
  <c r="R46" i="12"/>
  <c r="T48" i="12"/>
  <c r="K58" i="12"/>
  <c r="V65" i="12"/>
  <c r="V69" i="12"/>
  <c r="N71" i="12"/>
  <c r="S73" i="12"/>
  <c r="T75" i="12"/>
  <c r="V84" i="12"/>
  <c r="V75" i="12"/>
  <c r="O39" i="12"/>
  <c r="L43" i="12"/>
  <c r="N54" i="12"/>
  <c r="T56" i="12"/>
  <c r="V33" i="12"/>
  <c r="P41" i="12"/>
  <c r="P79" i="12"/>
  <c r="K24" i="12"/>
  <c r="O13" i="12"/>
  <c r="R15" i="12"/>
  <c r="S29" i="12"/>
  <c r="Q31" i="12"/>
  <c r="S46" i="12"/>
  <c r="U48" i="12"/>
  <c r="K52" i="12"/>
  <c r="L58" i="12"/>
  <c r="O71" i="12"/>
  <c r="T73" i="12"/>
  <c r="U75" i="12"/>
  <c r="O41" i="12"/>
  <c r="O60" i="12"/>
  <c r="U77" i="12"/>
  <c r="T35" i="12"/>
  <c r="T58" i="12"/>
  <c r="Q41" i="12"/>
  <c r="L62" i="12"/>
  <c r="P13" i="12"/>
  <c r="S15" i="12"/>
  <c r="U29" i="12"/>
  <c r="R31" i="12"/>
  <c r="V48" i="12"/>
  <c r="L52" i="12"/>
  <c r="K54" i="12"/>
  <c r="Q56" i="12"/>
  <c r="M58" i="12"/>
  <c r="K60" i="12"/>
  <c r="L79" i="12"/>
  <c r="M54" i="12"/>
  <c r="V31" i="12"/>
  <c r="M43" i="12"/>
  <c r="O54" i="12"/>
  <c r="Q39" i="12"/>
  <c r="K45" i="12"/>
  <c r="Q60" i="12"/>
  <c r="Q13" i="12"/>
  <c r="T15" i="12"/>
  <c r="V29" i="12"/>
  <c r="S31" i="12"/>
  <c r="V52" i="12"/>
  <c r="L54" i="12"/>
  <c r="R56" i="12"/>
  <c r="Q58" i="12"/>
  <c r="L60" i="12"/>
  <c r="M79" i="12"/>
  <c r="R58" i="12"/>
  <c r="P60" i="12"/>
  <c r="V77" i="12"/>
  <c r="U58" i="12"/>
  <c r="U13" i="12"/>
  <c r="U15" i="12"/>
  <c r="T31" i="12"/>
  <c r="N41" i="12"/>
  <c r="K43" i="12"/>
  <c r="S56" i="12"/>
  <c r="M60" i="12"/>
  <c r="S77" i="12"/>
  <c r="N79" i="12"/>
  <c r="Q10" i="12"/>
  <c r="N12" i="12"/>
  <c r="K14" i="12"/>
  <c r="N16" i="12"/>
  <c r="S18" i="12"/>
  <c r="S24" i="12"/>
  <c r="P28" i="12"/>
  <c r="N47" i="12"/>
  <c r="Q49" i="12"/>
  <c r="K55" i="12"/>
  <c r="R66" i="12"/>
  <c r="P70" i="12"/>
  <c r="Q72" i="12"/>
  <c r="L76" i="12"/>
  <c r="R10" i="12"/>
  <c r="O12" i="12"/>
  <c r="L14" i="12"/>
  <c r="P16" i="12"/>
  <c r="T18" i="12"/>
  <c r="T24" i="12"/>
  <c r="Q28" i="12"/>
  <c r="N32" i="12"/>
  <c r="O47" i="12"/>
  <c r="R49" i="12"/>
  <c r="L55" i="12"/>
  <c r="S66" i="12"/>
  <c r="R72" i="12"/>
  <c r="M76" i="12"/>
  <c r="S10" i="12"/>
  <c r="R16" i="12"/>
  <c r="U18" i="12"/>
  <c r="S28" i="12"/>
  <c r="K30" i="12"/>
  <c r="O32" i="12"/>
  <c r="P47" i="12"/>
  <c r="S49" i="12"/>
  <c r="R51" i="12"/>
  <c r="M55" i="12"/>
  <c r="M61" i="12"/>
  <c r="V66" i="12"/>
  <c r="K68" i="12"/>
  <c r="S72" i="12"/>
  <c r="N76" i="12"/>
  <c r="T10" i="12"/>
  <c r="U16" i="12"/>
  <c r="V18" i="12"/>
  <c r="T28" i="12"/>
  <c r="L30" i="12"/>
  <c r="P32" i="12"/>
  <c r="L44" i="12"/>
  <c r="Q47" i="12"/>
  <c r="T49" i="12"/>
  <c r="S51" i="12"/>
  <c r="N55" i="12"/>
  <c r="S59" i="12"/>
  <c r="N61" i="12"/>
  <c r="L68" i="12"/>
  <c r="T72" i="12"/>
  <c r="O76" i="12"/>
  <c r="U10" i="12"/>
  <c r="M30" i="12"/>
  <c r="Q32" i="12"/>
  <c r="M42" i="12"/>
  <c r="M44" i="12"/>
  <c r="U49" i="12"/>
  <c r="T51" i="12"/>
  <c r="Q55" i="12"/>
  <c r="K57" i="12"/>
  <c r="T59" i="12"/>
  <c r="O61" i="12"/>
  <c r="T68" i="12"/>
  <c r="P76" i="12"/>
  <c r="V10" i="12"/>
  <c r="P30" i="12"/>
  <c r="R32" i="12"/>
  <c r="T19" i="12"/>
  <c r="N25" i="12"/>
  <c r="U41" i="12"/>
  <c r="V58" i="12"/>
  <c r="P61" i="12"/>
  <c r="T63" i="12"/>
  <c r="M75" i="12"/>
  <c r="P82" i="12"/>
  <c r="R80" i="12"/>
  <c r="R42" i="12"/>
  <c r="M47" i="12"/>
  <c r="O64" i="12"/>
  <c r="M78" i="12"/>
  <c r="S83" i="12"/>
  <c r="T83" i="12"/>
  <c r="K13" i="12"/>
  <c r="Q34" i="12"/>
  <c r="U19" i="12"/>
  <c r="O25" i="12"/>
  <c r="V41" i="12"/>
  <c r="Q61" i="12"/>
  <c r="U63" i="12"/>
  <c r="P66" i="12"/>
  <c r="N75" i="12"/>
  <c r="Q82" i="12"/>
  <c r="U59" i="12"/>
  <c r="P73" i="12"/>
  <c r="L47" i="12"/>
  <c r="N64" i="12"/>
  <c r="N78" i="12"/>
  <c r="Q76" i="12"/>
  <c r="U42" i="12"/>
  <c r="L10" i="12"/>
  <c r="K12" i="12"/>
  <c r="P25" i="12"/>
  <c r="N44" i="12"/>
  <c r="R61" i="12"/>
  <c r="V63" i="12"/>
  <c r="Q66" i="12"/>
  <c r="O75" i="12"/>
  <c r="L80" i="12"/>
  <c r="R82" i="12"/>
  <c r="K78" i="12"/>
  <c r="V59" i="12"/>
  <c r="S42" i="12"/>
  <c r="P64" i="12"/>
  <c r="T42" i="12"/>
  <c r="O78" i="12"/>
  <c r="K10" i="12"/>
  <c r="R34" i="12"/>
  <c r="L12" i="12"/>
  <c r="L16" i="12"/>
  <c r="Q25" i="12"/>
  <c r="O44" i="12"/>
  <c r="S61" i="12"/>
  <c r="Q75" i="12"/>
  <c r="M80" i="12"/>
  <c r="N70" i="12"/>
  <c r="K23" i="12"/>
  <c r="R83" i="12"/>
  <c r="Q64" i="12"/>
  <c r="U83" i="12"/>
  <c r="S34" i="12"/>
  <c r="M12" i="12"/>
  <c r="M16" i="12"/>
  <c r="R25" i="12"/>
  <c r="L28" i="12"/>
  <c r="P44" i="12"/>
  <c r="U61" i="12"/>
  <c r="N80" i="12"/>
  <c r="M28" i="12"/>
  <c r="K31" i="12"/>
  <c r="R39" i="12"/>
  <c r="Q44" i="12"/>
  <c r="O80" i="12"/>
  <c r="N28" i="12"/>
  <c r="T36" i="12"/>
  <c r="S44" i="12"/>
  <c r="M73" i="12"/>
  <c r="P80" i="12"/>
  <c r="O28" i="12"/>
  <c r="U36" i="12"/>
  <c r="T44" i="12"/>
  <c r="N73" i="12"/>
  <c r="V36" i="12"/>
  <c r="O42" i="12"/>
  <c r="U44" i="12"/>
  <c r="L64" i="12"/>
  <c r="O70" i="12"/>
  <c r="O73" i="12"/>
  <c r="U80" i="12"/>
  <c r="P42" i="12"/>
  <c r="V44" i="12"/>
  <c r="K47" i="12"/>
  <c r="M64" i="12"/>
  <c r="V80" i="12"/>
  <c r="Q42" i="12"/>
  <c r="L78" i="12"/>
  <c r="K76" i="12"/>
  <c r="S32" i="12"/>
  <c r="S76" i="12"/>
  <c r="V83" i="12"/>
  <c r="K26" i="12"/>
  <c r="T32" i="12"/>
  <c r="N24" i="12"/>
  <c r="L27" i="12"/>
  <c r="V37" i="12"/>
  <c r="M40" i="12"/>
  <c r="M45" i="12"/>
  <c r="Q48" i="12"/>
  <c r="N57" i="12"/>
  <c r="P62" i="12"/>
  <c r="O65" i="12"/>
  <c r="M74" i="12"/>
  <c r="O24" i="12"/>
  <c r="M27" i="12"/>
  <c r="V35" i="12"/>
  <c r="N40" i="12"/>
  <c r="N45" i="12"/>
  <c r="O57" i="12"/>
  <c r="S62" i="12"/>
  <c r="P65" i="12"/>
  <c r="R79" i="12"/>
  <c r="Q18" i="12"/>
  <c r="P24" i="12"/>
  <c r="N27" i="12"/>
  <c r="Q45" i="12"/>
  <c r="P57" i="12"/>
  <c r="S60" i="12"/>
  <c r="T62" i="12"/>
  <c r="Q65" i="12"/>
  <c r="S79" i="12"/>
  <c r="R18" i="12"/>
  <c r="Q24" i="12"/>
  <c r="O27" i="12"/>
  <c r="O43" i="12"/>
  <c r="R45" i="12"/>
  <c r="Q57" i="12"/>
  <c r="U62" i="12"/>
  <c r="R65" i="12"/>
  <c r="U68" i="12"/>
  <c r="T79" i="12"/>
  <c r="R24" i="12"/>
  <c r="Q27" i="12"/>
  <c r="M38" i="12"/>
  <c r="V45" i="12"/>
  <c r="V68" i="12"/>
  <c r="U79" i="12"/>
  <c r="K22" i="12"/>
  <c r="R27" i="12"/>
  <c r="N38" i="12"/>
  <c r="V79" i="12"/>
  <c r="K84" i="12"/>
  <c r="L22" i="12"/>
  <c r="S27" i="12"/>
  <c r="N22" i="12"/>
  <c r="L72" i="12"/>
  <c r="M15" i="12"/>
  <c r="K74" i="12"/>
  <c r="O22" i="12"/>
  <c r="Q30" i="12"/>
  <c r="M72" i="12"/>
  <c r="N65" i="12"/>
  <c r="O48" i="12"/>
  <c r="N15" i="12"/>
  <c r="S63" i="12"/>
  <c r="P22" i="12"/>
  <c r="O72" i="12"/>
  <c r="L48" i="12"/>
  <c r="M10" i="12"/>
  <c r="U81" i="12"/>
  <c r="T34" i="12"/>
  <c r="R55" i="12"/>
  <c r="P72" i="12"/>
  <c r="K27" i="12"/>
  <c r="N37" i="12"/>
  <c r="U34" i="12"/>
  <c r="U51" i="12"/>
  <c r="U32" i="12"/>
  <c r="S81" i="12"/>
  <c r="V51" i="12"/>
  <c r="S19" i="12"/>
  <c r="P48" i="12"/>
  <c r="T81" i="12"/>
  <c r="M22" i="12"/>
  <c r="K40" i="12"/>
  <c r="L74" i="12"/>
  <c r="V81" i="12"/>
  <c r="L40" i="12"/>
  <c r="L24" i="12"/>
  <c r="O49" i="12"/>
  <c r="M24" i="12"/>
  <c r="P49" i="12"/>
  <c r="M57" i="12"/>
  <c r="K71" i="12"/>
  <c r="K21" i="12"/>
  <c r="L21" i="12"/>
  <c r="R41" i="12"/>
  <c r="L45" i="12"/>
  <c r="M62" i="12"/>
  <c r="M21" i="12"/>
  <c r="K25" i="12"/>
  <c r="K37" i="12"/>
  <c r="S41" i="12"/>
  <c r="N62" i="12"/>
  <c r="N21" i="12"/>
  <c r="M25" i="12"/>
  <c r="L37" i="12"/>
  <c r="T41" i="12"/>
  <c r="O62" i="12"/>
  <c r="M37" i="12"/>
  <c r="L75" i="12"/>
  <c r="Q35" i="12"/>
  <c r="L33" i="12"/>
  <c r="Q85" i="12"/>
  <c r="U56" i="12"/>
  <c r="R70" i="12"/>
  <c r="M18" i="12"/>
  <c r="P69" i="12"/>
  <c r="O53" i="12"/>
  <c r="U21" i="12"/>
  <c r="U71" i="12"/>
  <c r="N10" i="12"/>
  <c r="Q19" i="12"/>
  <c r="L17" i="12"/>
  <c r="N83" i="12"/>
  <c r="U40" i="12"/>
  <c r="S85" i="12"/>
  <c r="O68" i="12"/>
  <c r="S39" i="12"/>
  <c r="P53" i="12"/>
  <c r="O83" i="12"/>
  <c r="K66" i="12"/>
  <c r="N52" i="12"/>
  <c r="P59" i="12"/>
  <c r="S68" i="12"/>
  <c r="N66" i="12"/>
  <c r="S53" i="12"/>
  <c r="L50" i="12"/>
  <c r="O36" i="12"/>
  <c r="R22" i="12"/>
  <c r="K11" i="12"/>
  <c r="P38" i="12"/>
  <c r="O34" i="12"/>
  <c r="O19" i="12"/>
  <c r="S55" i="12"/>
  <c r="V14" i="12"/>
  <c r="M83" i="12"/>
  <c r="Q54" i="12"/>
  <c r="T13" i="12"/>
  <c r="K32" i="12"/>
  <c r="R20" i="12"/>
  <c r="N68" i="12"/>
  <c r="R12" i="12"/>
  <c r="P19" i="12"/>
  <c r="R85" i="12"/>
  <c r="L67" i="12"/>
  <c r="M52" i="12"/>
  <c r="S20" i="12"/>
  <c r="P84" i="12"/>
  <c r="K51" i="12"/>
  <c r="T55" i="12"/>
  <c r="R54" i="12"/>
  <c r="T20" i="12"/>
  <c r="Q38" i="12"/>
  <c r="R19" i="12"/>
  <c r="T70" i="12"/>
  <c r="O37" i="12"/>
  <c r="N58" i="12"/>
  <c r="Q67" i="12"/>
  <c r="L65" i="12"/>
  <c r="Q52" i="12"/>
  <c r="V39" i="12"/>
  <c r="M35" i="12"/>
  <c r="P21" i="12"/>
  <c r="U12" i="12"/>
  <c r="M41" i="12"/>
  <c r="O66" i="11"/>
  <c r="O35" i="11"/>
  <c r="U39" i="11"/>
  <c r="Q28" i="11"/>
  <c r="U76" i="11"/>
  <c r="T36" i="11"/>
  <c r="S38" i="11"/>
  <c r="V29" i="11"/>
  <c r="K82" i="11"/>
  <c r="O42" i="11"/>
  <c r="Q37" i="11"/>
  <c r="O83" i="11"/>
  <c r="T50" i="11"/>
  <c r="O36" i="11"/>
  <c r="S84" i="11"/>
  <c r="U79" i="11"/>
  <c r="M35" i="11"/>
  <c r="L34" i="11"/>
  <c r="N10" i="11"/>
  <c r="S78" i="11"/>
  <c r="K34" i="11"/>
  <c r="Q35" i="11"/>
  <c r="S11" i="11"/>
  <c r="Q77" i="11"/>
  <c r="U23" i="11"/>
  <c r="V36" i="11"/>
  <c r="K16" i="11"/>
  <c r="O76" i="11"/>
  <c r="S22" i="11"/>
  <c r="L41" i="11"/>
  <c r="O17" i="11"/>
  <c r="M75" i="11"/>
  <c r="M84" i="11"/>
  <c r="Q42" i="11"/>
  <c r="S18" i="11"/>
  <c r="X57" i="10"/>
  <c r="R56" i="11"/>
  <c r="O60" i="11"/>
  <c r="M59" i="11"/>
  <c r="S63" i="11"/>
  <c r="K58" i="11"/>
  <c r="U56" i="11"/>
  <c r="AA24" i="10"/>
  <c r="S55" i="11"/>
  <c r="P79" i="11"/>
  <c r="T80" i="11"/>
  <c r="O28" i="11"/>
  <c r="M27" i="11"/>
  <c r="Q38" i="11"/>
  <c r="T32" i="11"/>
  <c r="Q61" i="11"/>
  <c r="Q70" i="11"/>
  <c r="Y16" i="10"/>
  <c r="AE16" i="10"/>
  <c r="AC69" i="10"/>
  <c r="Q54" i="11"/>
  <c r="K26" i="11"/>
  <c r="O37" i="11"/>
  <c r="N38" i="11"/>
  <c r="S62" i="11"/>
  <c r="O69" i="11"/>
  <c r="M68" i="11"/>
  <c r="X23" i="10"/>
  <c r="N70" i="11"/>
  <c r="R71" i="11"/>
  <c r="L78" i="11"/>
  <c r="AE76" i="10"/>
  <c r="U40" i="11"/>
  <c r="M10" i="11"/>
  <c r="U15" i="11"/>
  <c r="M36" i="11"/>
  <c r="T39" i="11"/>
  <c r="S71" i="11"/>
  <c r="V57" i="11"/>
  <c r="N62" i="11"/>
  <c r="K67" i="11"/>
  <c r="K42" i="11"/>
  <c r="U31" i="11"/>
  <c r="S30" i="11"/>
  <c r="AD16" i="10"/>
  <c r="Q29" i="11"/>
  <c r="S39" i="11"/>
  <c r="S14" i="11"/>
  <c r="K35" i="11"/>
  <c r="O45" i="11"/>
  <c r="L48" i="11"/>
  <c r="K10" i="11"/>
  <c r="M52" i="11"/>
  <c r="V50" i="11"/>
  <c r="M74" i="11"/>
  <c r="T43" i="11"/>
  <c r="M11" i="11"/>
  <c r="O53" i="11"/>
  <c r="R49" i="11"/>
  <c r="S67" i="11"/>
  <c r="P49" i="11"/>
  <c r="U55" i="11"/>
  <c r="K51" i="11"/>
  <c r="M55" i="11"/>
  <c r="M12" i="11"/>
  <c r="V13" i="11"/>
  <c r="M16" i="11"/>
  <c r="U17" i="11"/>
  <c r="U21" i="11"/>
  <c r="O25" i="11"/>
  <c r="M29" i="11"/>
  <c r="U30" i="11"/>
  <c r="O34" i="11"/>
  <c r="P39" i="11"/>
  <c r="K43" i="11"/>
  <c r="S44" i="11"/>
  <c r="P48" i="11"/>
  <c r="P53" i="11"/>
  <c r="O58" i="11"/>
  <c r="V59" i="11"/>
  <c r="N63" i="11"/>
  <c r="U64" i="11"/>
  <c r="N69" i="11"/>
  <c r="U70" i="11"/>
  <c r="N75" i="11"/>
  <c r="T76" i="11"/>
  <c r="P81" i="11"/>
  <c r="N12" i="11"/>
  <c r="N16" i="11"/>
  <c r="V17" i="11"/>
  <c r="K20" i="11"/>
  <c r="V21" i="11"/>
  <c r="P25" i="11"/>
  <c r="N29" i="11"/>
  <c r="V30" i="11"/>
  <c r="P34" i="11"/>
  <c r="Q39" i="11"/>
  <c r="L43" i="11"/>
  <c r="T44" i="11"/>
  <c r="Q48" i="11"/>
  <c r="R53" i="11"/>
  <c r="P58" i="11"/>
  <c r="O63" i="11"/>
  <c r="V64" i="11"/>
  <c r="P69" i="11"/>
  <c r="V70" i="11"/>
  <c r="O75" i="11"/>
  <c r="V76" i="11"/>
  <c r="K80" i="11"/>
  <c r="Q81" i="11"/>
  <c r="V82" i="11"/>
  <c r="Q16" i="11"/>
  <c r="P20" i="11"/>
  <c r="L24" i="11"/>
  <c r="R29" i="11"/>
  <c r="M33" i="11"/>
  <c r="T48" i="11"/>
  <c r="V53" i="11"/>
  <c r="S58" i="11"/>
  <c r="K62" i="11"/>
  <c r="S75" i="11"/>
  <c r="P12" i="11"/>
  <c r="O16" i="11"/>
  <c r="L20" i="11"/>
  <c r="Q25" i="11"/>
  <c r="O29" i="11"/>
  <c r="K33" i="11"/>
  <c r="Q34" i="11"/>
  <c r="K38" i="11"/>
  <c r="R39" i="11"/>
  <c r="N43" i="11"/>
  <c r="U44" i="11"/>
  <c r="R48" i="11"/>
  <c r="S53" i="11"/>
  <c r="K57" i="11"/>
  <c r="Q58" i="11"/>
  <c r="P63" i="11"/>
  <c r="K68" i="11"/>
  <c r="Q69" i="11"/>
  <c r="P75" i="11"/>
  <c r="L80" i="11"/>
  <c r="R81" i="11"/>
  <c r="Q12" i="11"/>
  <c r="P16" i="11"/>
  <c r="N20" i="11"/>
  <c r="K24" i="11"/>
  <c r="T25" i="11"/>
  <c r="P29" i="11"/>
  <c r="L33" i="11"/>
  <c r="R34" i="11"/>
  <c r="L38" i="11"/>
  <c r="V39" i="11"/>
  <c r="O43" i="11"/>
  <c r="V44" i="11"/>
  <c r="K47" i="11"/>
  <c r="S48" i="11"/>
  <c r="K52" i="11"/>
  <c r="T53" i="11"/>
  <c r="L57" i="11"/>
  <c r="R58" i="11"/>
  <c r="Q63" i="11"/>
  <c r="L68" i="11"/>
  <c r="R69" i="11"/>
  <c r="R75" i="11"/>
  <c r="M80" i="11"/>
  <c r="S81" i="11"/>
  <c r="R12" i="11"/>
  <c r="U25" i="11"/>
  <c r="S34" i="11"/>
  <c r="M38" i="11"/>
  <c r="P43" i="11"/>
  <c r="L47" i="11"/>
  <c r="L52" i="11"/>
  <c r="M57" i="11"/>
  <c r="R63" i="11"/>
  <c r="N68" i="11"/>
  <c r="S69" i="11"/>
  <c r="L74" i="11"/>
  <c r="N80" i="11"/>
  <c r="T81" i="11"/>
  <c r="P10" i="11"/>
  <c r="O14" i="11"/>
  <c r="M18" i="11"/>
  <c r="V19" i="11"/>
  <c r="L22" i="11"/>
  <c r="T23" i="11"/>
  <c r="R27" i="11"/>
  <c r="M31" i="11"/>
  <c r="U32" i="11"/>
  <c r="N36" i="11"/>
  <c r="V37" i="11"/>
  <c r="P41" i="11"/>
  <c r="K45" i="11"/>
  <c r="T46" i="11"/>
  <c r="N50" i="11"/>
  <c r="U51" i="11"/>
  <c r="O55" i="11"/>
  <c r="M60" i="11"/>
  <c r="T61" i="11"/>
  <c r="M65" i="11"/>
  <c r="R66" i="11"/>
  <c r="K71" i="11"/>
  <c r="Q72" i="11"/>
  <c r="U73" i="11"/>
  <c r="K77" i="11"/>
  <c r="Q78" i="11"/>
  <c r="L83" i="11"/>
  <c r="Q84" i="11"/>
  <c r="Q10" i="11"/>
  <c r="Q14" i="11"/>
  <c r="N18" i="11"/>
  <c r="M22" i="11"/>
  <c r="V23" i="11"/>
  <c r="S27" i="11"/>
  <c r="N31" i="11"/>
  <c r="V32" i="11"/>
  <c r="P36" i="11"/>
  <c r="K40" i="11"/>
  <c r="Q41" i="11"/>
  <c r="L45" i="11"/>
  <c r="V46" i="11"/>
  <c r="O50" i="11"/>
  <c r="V51" i="11"/>
  <c r="P55" i="11"/>
  <c r="N60" i="11"/>
  <c r="U61" i="11"/>
  <c r="N65" i="11"/>
  <c r="S66" i="11"/>
  <c r="L71" i="11"/>
  <c r="R72" i="11"/>
  <c r="V73" i="11"/>
  <c r="L77" i="11"/>
  <c r="R78" i="11"/>
  <c r="M83" i="11"/>
  <c r="R84" i="11"/>
  <c r="R10" i="11"/>
  <c r="L11" i="11"/>
  <c r="R19" i="11"/>
  <c r="N27" i="11"/>
  <c r="Q30" i="11"/>
  <c r="T33" i="11"/>
  <c r="N44" i="11"/>
  <c r="S47" i="11"/>
  <c r="K55" i="11"/>
  <c r="V56" i="11"/>
  <c r="U59" i="11"/>
  <c r="V62" i="11"/>
  <c r="K64" i="11"/>
  <c r="Q68" i="11"/>
  <c r="P71" i="11"/>
  <c r="Q74" i="11"/>
  <c r="R77" i="11"/>
  <c r="S80" i="11"/>
  <c r="R83" i="11"/>
  <c r="N11" i="11"/>
  <c r="L16" i="11"/>
  <c r="S19" i="11"/>
  <c r="M24" i="11"/>
  <c r="O27" i="11"/>
  <c r="R30" i="11"/>
  <c r="U33" i="11"/>
  <c r="P44" i="11"/>
  <c r="T47" i="11"/>
  <c r="L55" i="11"/>
  <c r="L64" i="11"/>
  <c r="R68" i="11"/>
  <c r="Q71" i="11"/>
  <c r="R74" i="11"/>
  <c r="S77" i="11"/>
  <c r="U80" i="11"/>
  <c r="S83" i="11"/>
  <c r="L21" i="11"/>
  <c r="O11" i="11"/>
  <c r="R16" i="11"/>
  <c r="T19" i="11"/>
  <c r="P24" i="11"/>
  <c r="P27" i="11"/>
  <c r="T30" i="11"/>
  <c r="V33" i="11"/>
  <c r="K41" i="11"/>
  <c r="Q44" i="11"/>
  <c r="V47" i="11"/>
  <c r="K49" i="11"/>
  <c r="N55" i="11"/>
  <c r="K61" i="11"/>
  <c r="M64" i="11"/>
  <c r="S68" i="11"/>
  <c r="T71" i="11"/>
  <c r="S74" i="11"/>
  <c r="T77" i="11"/>
  <c r="V80" i="11"/>
  <c r="T83" i="11"/>
  <c r="Q11" i="11"/>
  <c r="T11" i="11"/>
  <c r="L13" i="11"/>
  <c r="U16" i="11"/>
  <c r="S24" i="11"/>
  <c r="N35" i="11"/>
  <c r="O41" i="11"/>
  <c r="L46" i="11"/>
  <c r="U11" i="11"/>
  <c r="M13" i="11"/>
  <c r="V16" i="11"/>
  <c r="N21" i="11"/>
  <c r="N32" i="11"/>
  <c r="P35" i="11"/>
  <c r="P38" i="11"/>
  <c r="R41" i="11"/>
  <c r="P11" i="11"/>
  <c r="S16" i="11"/>
  <c r="U19" i="11"/>
  <c r="Q24" i="11"/>
  <c r="Q27" i="11"/>
  <c r="K32" i="11"/>
  <c r="M41" i="11"/>
  <c r="R44" i="11"/>
  <c r="L49" i="11"/>
  <c r="N52" i="11"/>
  <c r="Q55" i="11"/>
  <c r="L61" i="11"/>
  <c r="N64" i="11"/>
  <c r="T68" i="11"/>
  <c r="U71" i="11"/>
  <c r="T74" i="11"/>
  <c r="U77" i="11"/>
  <c r="U83" i="11"/>
  <c r="T16" i="11"/>
  <c r="K21" i="11"/>
  <c r="R24" i="11"/>
  <c r="T27" i="11"/>
  <c r="L32" i="11"/>
  <c r="L35" i="11"/>
  <c r="N41" i="11"/>
  <c r="K46" i="11"/>
  <c r="M49" i="11"/>
  <c r="Q52" i="11"/>
  <c r="R55" i="11"/>
  <c r="M61" i="11"/>
  <c r="O64" i="11"/>
  <c r="U68" i="11"/>
  <c r="V71" i="11"/>
  <c r="U74" i="11"/>
  <c r="V77" i="11"/>
  <c r="K79" i="11"/>
  <c r="V83" i="11"/>
  <c r="U27" i="11"/>
  <c r="M32" i="11"/>
  <c r="O38" i="11"/>
  <c r="N49" i="11"/>
  <c r="R52" i="11"/>
  <c r="T55" i="11"/>
  <c r="L58" i="11"/>
  <c r="N61" i="11"/>
  <c r="P64" i="11"/>
  <c r="V68" i="11"/>
  <c r="K73" i="11"/>
  <c r="V74" i="11"/>
  <c r="L79" i="11"/>
  <c r="L82" i="11"/>
  <c r="T24" i="11"/>
  <c r="V27" i="11"/>
  <c r="M46" i="11"/>
  <c r="O49" i="11"/>
  <c r="S10" i="11"/>
  <c r="T15" i="11"/>
  <c r="R20" i="11"/>
  <c r="R23" i="11"/>
  <c r="T26" i="11"/>
  <c r="K28" i="11"/>
  <c r="R31" i="11"/>
  <c r="N34" i="11"/>
  <c r="P37" i="11"/>
  <c r="Q40" i="11"/>
  <c r="N45" i="11"/>
  <c r="O48" i="11"/>
  <c r="R51" i="11"/>
  <c r="T54" i="11"/>
  <c r="Q57" i="11"/>
  <c r="T60" i="11"/>
  <c r="V63" i="11"/>
  <c r="T66" i="11"/>
  <c r="M72" i="11"/>
  <c r="M78" i="11"/>
  <c r="M81" i="11"/>
  <c r="V85" i="11"/>
  <c r="T10" i="11"/>
  <c r="K12" i="11"/>
  <c r="K17" i="11"/>
  <c r="S20" i="11"/>
  <c r="U26" i="11"/>
  <c r="L28" i="11"/>
  <c r="S31" i="11"/>
  <c r="T34" i="11"/>
  <c r="R37" i="11"/>
  <c r="R40" i="11"/>
  <c r="P45" i="11"/>
  <c r="U48" i="11"/>
  <c r="S51" i="11"/>
  <c r="U54" i="11"/>
  <c r="R57" i="11"/>
  <c r="V60" i="11"/>
  <c r="U66" i="11"/>
  <c r="N72" i="11"/>
  <c r="N78" i="11"/>
  <c r="N81" i="11"/>
  <c r="K84" i="11"/>
  <c r="U10" i="11"/>
  <c r="L12" i="11"/>
  <c r="L17" i="11"/>
  <c r="T20" i="11"/>
  <c r="V26" i="11"/>
  <c r="M28" i="11"/>
  <c r="T31" i="11"/>
  <c r="U34" i="11"/>
  <c r="S37" i="11"/>
  <c r="S40" i="11"/>
  <c r="R45" i="11"/>
  <c r="V48" i="11"/>
  <c r="T51" i="11"/>
  <c r="V54" i="11"/>
  <c r="S57" i="11"/>
  <c r="V66" i="11"/>
  <c r="K69" i="11"/>
  <c r="O72" i="11"/>
  <c r="K75" i="11"/>
  <c r="O78" i="11"/>
  <c r="O81" i="11"/>
  <c r="L84" i="11"/>
  <c r="V10" i="11"/>
  <c r="S12" i="11"/>
  <c r="M17" i="11"/>
  <c r="U20" i="11"/>
  <c r="P28" i="11"/>
  <c r="V31" i="11"/>
  <c r="V34" i="11"/>
  <c r="T37" i="11"/>
  <c r="T40" i="11"/>
  <c r="L42" i="11"/>
  <c r="S45" i="11"/>
  <c r="K14" i="11"/>
  <c r="P31" i="11"/>
  <c r="N33" i="11"/>
  <c r="U35" i="11"/>
  <c r="U37" i="11"/>
  <c r="L39" i="11"/>
  <c r="L50" i="11"/>
  <c r="K54" i="11"/>
  <c r="L67" i="11"/>
  <c r="T82" i="11"/>
  <c r="P84" i="11"/>
  <c r="R14" i="11"/>
  <c r="T14" i="11"/>
  <c r="L14" i="11"/>
  <c r="K29" i="11"/>
  <c r="Q31" i="11"/>
  <c r="O33" i="11"/>
  <c r="V35" i="11"/>
  <c r="M39" i="11"/>
  <c r="M50" i="11"/>
  <c r="L54" i="11"/>
  <c r="M67" i="11"/>
  <c r="U82" i="11"/>
  <c r="T84" i="11"/>
  <c r="S29" i="11"/>
  <c r="Q50" i="11"/>
  <c r="S52" i="11"/>
  <c r="K56" i="11"/>
  <c r="M14" i="11"/>
  <c r="L29" i="11"/>
  <c r="P33" i="11"/>
  <c r="N39" i="11"/>
  <c r="P50" i="11"/>
  <c r="M54" i="11"/>
  <c r="N67" i="11"/>
  <c r="U84" i="11"/>
  <c r="K23" i="11"/>
  <c r="Q33" i="11"/>
  <c r="O39" i="11"/>
  <c r="N54" i="11"/>
  <c r="O67" i="11"/>
  <c r="V84" i="11"/>
  <c r="R21" i="11"/>
  <c r="L23" i="11"/>
  <c r="U29" i="11"/>
  <c r="R33" i="11"/>
  <c r="R50" i="11"/>
  <c r="T52" i="11"/>
  <c r="O54" i="11"/>
  <c r="L56" i="11"/>
  <c r="K60" i="11"/>
  <c r="P67" i="11"/>
  <c r="L73" i="11"/>
  <c r="U14" i="11"/>
  <c r="S21" i="11"/>
  <c r="M23" i="11"/>
  <c r="K25" i="11"/>
  <c r="S33" i="11"/>
  <c r="N46" i="11"/>
  <c r="K48" i="11"/>
  <c r="S50" i="11"/>
  <c r="U52" i="11"/>
  <c r="R15" i="11"/>
  <c r="N22" i="11"/>
  <c r="R28" i="11"/>
  <c r="L30" i="11"/>
  <c r="R32" i="11"/>
  <c r="N51" i="11"/>
  <c r="K53" i="11"/>
  <c r="V55" i="11"/>
  <c r="P85" i="11"/>
  <c r="O13" i="11"/>
  <c r="P22" i="11"/>
  <c r="T28" i="11"/>
  <c r="N30" i="11"/>
  <c r="S49" i="11"/>
  <c r="P51" i="11"/>
  <c r="M53" i="11"/>
  <c r="K59" i="11"/>
  <c r="K72" i="11"/>
  <c r="R22" i="11"/>
  <c r="V24" i="11"/>
  <c r="L26" i="11"/>
  <c r="U28" i="11"/>
  <c r="O30" i="11"/>
  <c r="M47" i="11"/>
  <c r="T49" i="11"/>
  <c r="Q51" i="11"/>
  <c r="N53" i="11"/>
  <c r="N57" i="11"/>
  <c r="L59" i="11"/>
  <c r="O68" i="11"/>
  <c r="K70" i="11"/>
  <c r="L72" i="11"/>
  <c r="S85" i="11"/>
  <c r="L18" i="11"/>
  <c r="U22" i="11"/>
  <c r="M26" i="11"/>
  <c r="V28" i="11"/>
  <c r="P30" i="11"/>
  <c r="M45" i="11"/>
  <c r="N47" i="11"/>
  <c r="U49" i="11"/>
  <c r="O57" i="11"/>
  <c r="N59" i="11"/>
  <c r="K65" i="11"/>
  <c r="P68" i="11"/>
  <c r="L70" i="11"/>
  <c r="P72" i="11"/>
  <c r="T85" i="11"/>
  <c r="O18" i="11"/>
  <c r="Q20" i="11"/>
  <c r="N26" i="11"/>
  <c r="T45" i="11"/>
  <c r="O47" i="11"/>
  <c r="V49" i="11"/>
  <c r="P57" i="11"/>
  <c r="O59" i="11"/>
  <c r="O61" i="11"/>
  <c r="O65" i="11"/>
  <c r="M70" i="11"/>
  <c r="S72" i="11"/>
  <c r="U85" i="11"/>
  <c r="T13" i="11"/>
  <c r="N13" i="11"/>
  <c r="O22" i="11"/>
  <c r="S28" i="11"/>
  <c r="M30" i="11"/>
  <c r="S32" i="11"/>
  <c r="Q49" i="11"/>
  <c r="O51" i="11"/>
  <c r="L53" i="11"/>
  <c r="Q85" i="11"/>
  <c r="R85" i="11"/>
  <c r="P13" i="11"/>
  <c r="R13" i="11"/>
  <c r="S13" i="11"/>
  <c r="P15" i="11"/>
  <c r="U18" i="11"/>
  <c r="R35" i="11"/>
  <c r="Q43" i="11"/>
  <c r="K66" i="11"/>
  <c r="P73" i="11"/>
  <c r="V75" i="11"/>
  <c r="S82" i="11"/>
  <c r="Q15" i="11"/>
  <c r="V18" i="11"/>
  <c r="S35" i="11"/>
  <c r="R43" i="11"/>
  <c r="L66" i="11"/>
  <c r="Q73" i="11"/>
  <c r="U12" i="11"/>
  <c r="V12" i="11"/>
  <c r="T21" i="11"/>
  <c r="T35" i="11"/>
  <c r="S43" i="11"/>
  <c r="M66" i="11"/>
  <c r="R73" i="11"/>
  <c r="K85" i="11"/>
  <c r="T12" i="11"/>
  <c r="O26" i="11"/>
  <c r="R38" i="11"/>
  <c r="U43" i="11"/>
  <c r="T57" i="11"/>
  <c r="Q64" i="11"/>
  <c r="N66" i="11"/>
  <c r="S73" i="11"/>
  <c r="O80" i="11"/>
  <c r="L85" i="11"/>
  <c r="P26" i="11"/>
  <c r="O32" i="11"/>
  <c r="T38" i="11"/>
  <c r="O46" i="11"/>
  <c r="U57" i="11"/>
  <c r="R64" i="11"/>
  <c r="P66" i="11"/>
  <c r="T73" i="11"/>
  <c r="P80" i="11"/>
  <c r="M85" i="11"/>
  <c r="Q26" i="11"/>
  <c r="P32" i="11"/>
  <c r="U38" i="11"/>
  <c r="P46" i="11"/>
  <c r="S64" i="11"/>
  <c r="Q66" i="11"/>
  <c r="M71" i="11"/>
  <c r="Q80" i="11"/>
  <c r="N85" i="11"/>
  <c r="R26" i="11"/>
  <c r="Q32" i="11"/>
  <c r="V38" i="11"/>
  <c r="Q46" i="11"/>
  <c r="T64" i="11"/>
  <c r="N71" i="11"/>
  <c r="R80" i="11"/>
  <c r="S26" i="11"/>
  <c r="R46" i="11"/>
  <c r="O71" i="11"/>
  <c r="K36" i="11"/>
  <c r="S41" i="11"/>
  <c r="V52" i="11"/>
  <c r="L60" i="11"/>
  <c r="L62" i="11"/>
  <c r="L36" i="11"/>
  <c r="T41" i="11"/>
  <c r="P60" i="11"/>
  <c r="M62" i="11"/>
  <c r="K78" i="11"/>
  <c r="Q36" i="11"/>
  <c r="U41" i="11"/>
  <c r="Q60" i="11"/>
  <c r="O62" i="11"/>
  <c r="K76" i="11"/>
  <c r="P78" i="11"/>
  <c r="N83" i="11"/>
  <c r="R36" i="11"/>
  <c r="V41" i="11"/>
  <c r="R60" i="11"/>
  <c r="P62" i="11"/>
  <c r="L69" i="11"/>
  <c r="L76" i="11"/>
  <c r="T78" i="11"/>
  <c r="P83" i="11"/>
  <c r="L19" i="11"/>
  <c r="K44" i="11"/>
  <c r="S60" i="11"/>
  <c r="Q62" i="11"/>
  <c r="M69" i="11"/>
  <c r="N74" i="11"/>
  <c r="M76" i="11"/>
  <c r="U78" i="11"/>
  <c r="Q83" i="11"/>
  <c r="Q17" i="11"/>
  <c r="R42" i="11"/>
  <c r="U50" i="11"/>
  <c r="S65" i="11"/>
  <c r="Q67" i="11"/>
  <c r="T72" i="11"/>
  <c r="R17" i="11"/>
  <c r="S42" i="11"/>
  <c r="P47" i="11"/>
  <c r="T65" i="11"/>
  <c r="R67" i="11"/>
  <c r="V72" i="11"/>
  <c r="M79" i="11"/>
  <c r="S17" i="11"/>
  <c r="L25" i="11"/>
  <c r="T42" i="11"/>
  <c r="Q47" i="11"/>
  <c r="M56" i="11"/>
  <c r="U65" i="11"/>
  <c r="T67" i="11"/>
  <c r="N79" i="11"/>
  <c r="T17" i="11"/>
  <c r="M25" i="11"/>
  <c r="U42" i="11"/>
  <c r="R47" i="11"/>
  <c r="N56" i="11"/>
  <c r="V65" i="11"/>
  <c r="U67" i="11"/>
  <c r="O79" i="11"/>
  <c r="K11" i="11"/>
  <c r="V14" i="11"/>
  <c r="N25" i="11"/>
  <c r="V42" i="11"/>
  <c r="O56" i="11"/>
  <c r="V67" i="11"/>
  <c r="Q79" i="11"/>
  <c r="V11" i="11"/>
  <c r="V25" i="11"/>
  <c r="U45" i="11"/>
  <c r="P56" i="11"/>
  <c r="R79" i="11"/>
  <c r="N84" i="11"/>
  <c r="V20" i="11"/>
  <c r="L40" i="11"/>
  <c r="V45" i="11"/>
  <c r="Q56" i="11"/>
  <c r="K63" i="11"/>
  <c r="S79" i="11"/>
  <c r="O84" i="11"/>
  <c r="N23" i="11"/>
  <c r="K31" i="11"/>
  <c r="M34" i="11"/>
  <c r="K37" i="11"/>
  <c r="M40" i="11"/>
  <c r="S56" i="11"/>
  <c r="L63" i="11"/>
  <c r="T79" i="11"/>
  <c r="O23" i="11"/>
  <c r="L37" i="11"/>
  <c r="N40" i="11"/>
  <c r="T56" i="11"/>
  <c r="P61" i="11"/>
  <c r="M63" i="11"/>
  <c r="M77" i="11"/>
  <c r="V79" i="11"/>
  <c r="K15" i="11"/>
  <c r="N82" i="11"/>
  <c r="L31" i="11"/>
  <c r="M82" i="11"/>
  <c r="P23" i="11"/>
  <c r="M37" i="11"/>
  <c r="O40" i="11"/>
  <c r="R61" i="11"/>
  <c r="T63" i="11"/>
  <c r="O70" i="11"/>
  <c r="N77" i="11"/>
  <c r="P76" i="11"/>
  <c r="Q76" i="11"/>
  <c r="R76" i="11"/>
  <c r="S76" i="11"/>
  <c r="V40" i="11"/>
  <c r="L44" i="11"/>
  <c r="M73" i="11"/>
  <c r="M44" i="11"/>
  <c r="N73" i="11"/>
  <c r="N19" i="11"/>
  <c r="O73" i="11"/>
  <c r="M15" i="11"/>
  <c r="N15" i="11"/>
  <c r="L27" i="11"/>
  <c r="O15" i="11"/>
  <c r="P54" i="11"/>
  <c r="R65" i="11"/>
  <c r="R54" i="11"/>
  <c r="O74" i="11"/>
  <c r="O10" i="11"/>
  <c r="V69" i="11"/>
  <c r="P74" i="11"/>
  <c r="U13" i="11"/>
  <c r="P18" i="11"/>
  <c r="K30" i="11"/>
  <c r="K39" i="11"/>
  <c r="N76" i="11"/>
  <c r="S36" i="11"/>
  <c r="U36" i="11"/>
  <c r="P40" i="11"/>
  <c r="M58" i="11"/>
  <c r="L15" i="11"/>
  <c r="Q23" i="11"/>
  <c r="N58" i="11"/>
  <c r="O19" i="11"/>
  <c r="T58" i="11"/>
  <c r="P65" i="11"/>
  <c r="U58" i="11"/>
  <c r="V61" i="11"/>
  <c r="Q65" i="11"/>
  <c r="V58" i="11"/>
  <c r="T69" i="11"/>
  <c r="L10" i="11"/>
  <c r="U69" i="11"/>
  <c r="O77" i="11"/>
  <c r="Q18" i="11"/>
  <c r="M48" i="11"/>
  <c r="T18" i="11"/>
  <c r="S61" i="11"/>
  <c r="P77" i="11"/>
  <c r="K81" i="11"/>
  <c r="R59" i="11"/>
  <c r="T59" i="11"/>
  <c r="R62" i="11"/>
  <c r="M42" i="11"/>
  <c r="T62" i="11"/>
  <c r="T70" i="11"/>
  <c r="P17" i="11"/>
  <c r="R82" i="11"/>
  <c r="V78" i="11"/>
  <c r="K22" i="11"/>
  <c r="U75" i="11"/>
  <c r="P19" i="11"/>
  <c r="N37" i="11"/>
  <c r="Q59" i="11"/>
  <c r="L81" i="11"/>
  <c r="U81" i="11"/>
  <c r="S59" i="11"/>
  <c r="V81" i="11"/>
  <c r="N42" i="11"/>
  <c r="L51" i="11"/>
  <c r="U62" i="11"/>
  <c r="P70" i="11"/>
  <c r="P42" i="11"/>
  <c r="R70" i="11"/>
  <c r="S70" i="11"/>
  <c r="O82" i="11"/>
  <c r="P82" i="11"/>
  <c r="Q82" i="11"/>
  <c r="L75" i="11"/>
  <c r="T75" i="11"/>
  <c r="Q19" i="11"/>
  <c r="R11" i="11"/>
  <c r="K13" i="11"/>
  <c r="U47" i="11"/>
  <c r="Q21" i="11"/>
  <c r="P14" i="11"/>
  <c r="N17" i="11"/>
  <c r="S46" i="11"/>
  <c r="O20" i="11"/>
  <c r="V15" i="11"/>
  <c r="R18" i="11"/>
  <c r="Q45" i="11"/>
  <c r="M19" i="11"/>
  <c r="P21" i="11"/>
  <c r="N24" i="11"/>
  <c r="O44" i="11"/>
  <c r="K18" i="11"/>
  <c r="V22" i="11"/>
  <c r="R25" i="11"/>
  <c r="M43" i="11"/>
  <c r="O85" i="11"/>
  <c r="K27" i="11"/>
  <c r="O31" i="11"/>
  <c r="X38" i="10"/>
  <c r="Y22" i="10"/>
  <c r="AA72" i="10"/>
  <c r="AC46" i="10"/>
  <c r="AD61" i="10"/>
  <c r="Z54" i="10"/>
  <c r="Y23" i="10"/>
  <c r="AA57" i="10"/>
  <c r="AE63" i="10"/>
  <c r="W79" i="10"/>
  <c r="W24" i="10"/>
  <c r="Y26" i="10"/>
  <c r="W57" i="10"/>
  <c r="Z16" i="10"/>
  <c r="Z45" i="10"/>
  <c r="Y60" i="10"/>
  <c r="AE74" i="10"/>
  <c r="X85" i="10"/>
  <c r="AB61" i="10"/>
  <c r="AE55" i="10"/>
  <c r="AC52" i="10"/>
  <c r="Y64" i="10"/>
  <c r="Y29" i="10"/>
  <c r="Y69" i="10"/>
  <c r="Z23" i="10"/>
  <c r="AA69" i="10"/>
  <c r="Z69" i="10"/>
  <c r="AD69" i="10"/>
  <c r="AE29" i="10"/>
  <c r="Z57" i="10"/>
  <c r="Y57" i="10"/>
  <c r="AC24" i="10"/>
  <c r="AA76" i="10"/>
  <c r="Z17" i="10"/>
  <c r="AD46" i="10"/>
  <c r="Y50" i="10"/>
  <c r="Z50" i="10"/>
  <c r="W50" i="10"/>
  <c r="X50" i="10"/>
  <c r="AD50" i="10"/>
  <c r="AA50" i="10"/>
  <c r="AB50" i="10"/>
  <c r="AC50" i="10"/>
  <c r="AE50" i="10"/>
  <c r="Z60" i="10"/>
  <c r="W69" i="10"/>
  <c r="W60" i="10"/>
  <c r="AB52" i="10"/>
  <c r="Z55" i="10"/>
  <c r="AB46" i="10"/>
  <c r="AE77" i="10"/>
  <c r="W77" i="10"/>
  <c r="AD77" i="10"/>
  <c r="X77" i="10"/>
  <c r="AC77" i="10"/>
  <c r="Y77" i="10"/>
  <c r="Z77" i="10"/>
  <c r="AA77" i="10"/>
  <c r="AB77" i="10"/>
  <c r="Y55" i="10"/>
  <c r="W85" i="10"/>
  <c r="AA17" i="10"/>
  <c r="X55" i="10"/>
  <c r="AA74" i="10"/>
  <c r="AB74" i="10"/>
  <c r="AC74" i="10"/>
  <c r="Y17" i="10"/>
  <c r="X22" i="10"/>
  <c r="AC16" i="10"/>
  <c r="W25" i="10"/>
  <c r="X25" i="10"/>
  <c r="Y25" i="10"/>
  <c r="Z25" i="10"/>
  <c r="AA25" i="10"/>
  <c r="AB25" i="10"/>
  <c r="AC25" i="10"/>
  <c r="AD25" i="10"/>
  <c r="AE25" i="10"/>
  <c r="Z85" i="10"/>
  <c r="AC55" i="10"/>
  <c r="Z74" i="10"/>
  <c r="AC63" i="10"/>
  <c r="Y66" i="10"/>
  <c r="Z66" i="10"/>
  <c r="AE66" i="10"/>
  <c r="X66" i="10"/>
  <c r="AA66" i="10"/>
  <c r="W66" i="10"/>
  <c r="AB66" i="10"/>
  <c r="AC66" i="10"/>
  <c r="AD66" i="10"/>
  <c r="AE38" i="10"/>
  <c r="AE64" i="10"/>
  <c r="W17" i="10"/>
  <c r="AA22" i="10"/>
  <c r="W80" i="10"/>
  <c r="X80" i="10"/>
  <c r="Y80" i="10"/>
  <c r="AC80" i="10"/>
  <c r="AD80" i="10"/>
  <c r="Z80" i="10"/>
  <c r="AA80" i="10"/>
  <c r="AE80" i="10"/>
  <c r="AB80" i="10"/>
  <c r="Z47" i="10"/>
  <c r="W47" i="10"/>
  <c r="X47" i="10"/>
  <c r="Y47" i="10"/>
  <c r="AA47" i="10"/>
  <c r="AB47" i="10"/>
  <c r="AC47" i="10"/>
  <c r="AD47" i="10"/>
  <c r="AE47" i="10"/>
  <c r="Y63" i="10"/>
  <c r="Y74" i="10"/>
  <c r="AD63" i="10"/>
  <c r="Y79" i="10"/>
  <c r="Y58" i="10"/>
  <c r="Z58" i="10"/>
  <c r="AC58" i="10"/>
  <c r="AD58" i="10"/>
  <c r="W58" i="10"/>
  <c r="X58" i="10"/>
  <c r="AA58" i="10"/>
  <c r="AE58" i="10"/>
  <c r="AB58" i="10"/>
  <c r="Y54" i="10"/>
  <c r="AA54" i="10"/>
  <c r="X54" i="10"/>
  <c r="AC26" i="10"/>
  <c r="X64" i="10"/>
  <c r="AD39" i="10"/>
  <c r="Z39" i="10"/>
  <c r="AA39" i="10"/>
  <c r="AE39" i="10"/>
  <c r="W39" i="10"/>
  <c r="X39" i="10"/>
  <c r="Y39" i="10"/>
  <c r="AB39" i="10"/>
  <c r="AC39" i="10"/>
  <c r="AB45" i="10"/>
  <c r="W54" i="10"/>
  <c r="AB26" i="10"/>
  <c r="AE23" i="10"/>
  <c r="AA67" i="10"/>
  <c r="AB67" i="10"/>
  <c r="W67" i="10"/>
  <c r="X67" i="10"/>
  <c r="Y67" i="10"/>
  <c r="Z67" i="10"/>
  <c r="AC67" i="10"/>
  <c r="AD67" i="10"/>
  <c r="AE67" i="10"/>
  <c r="AA43" i="10"/>
  <c r="AB43" i="10"/>
  <c r="Y43" i="10"/>
  <c r="Z43" i="10"/>
  <c r="X43" i="10"/>
  <c r="W43" i="10"/>
  <c r="AC43" i="10"/>
  <c r="AD43" i="10"/>
  <c r="AE43" i="10"/>
  <c r="Z56" i="10"/>
  <c r="AB56" i="10"/>
  <c r="AC56" i="10"/>
  <c r="W56" i="10"/>
  <c r="X56" i="10"/>
  <c r="Y56" i="10"/>
  <c r="AA56" i="10"/>
  <c r="AD56" i="10"/>
  <c r="AE56" i="10"/>
  <c r="W72" i="10"/>
  <c r="X72" i="10"/>
  <c r="Y72" i="10"/>
  <c r="Z72" i="10"/>
  <c r="AB72" i="10"/>
  <c r="AC72" i="10"/>
  <c r="AD72" i="10"/>
  <c r="AE72" i="10"/>
  <c r="W49" i="10"/>
  <c r="X49" i="10"/>
  <c r="Y49" i="10"/>
  <c r="Z49" i="10"/>
  <c r="AA49" i="10"/>
  <c r="AB49" i="10"/>
  <c r="AC49" i="10"/>
  <c r="AD49" i="10"/>
  <c r="AE49" i="10"/>
  <c r="AE54" i="10"/>
  <c r="AA26" i="10"/>
  <c r="AD23" i="10"/>
  <c r="AA59" i="10"/>
  <c r="AB59" i="10"/>
  <c r="Y59" i="10"/>
  <c r="AC59" i="10"/>
  <c r="AD59" i="10"/>
  <c r="X59" i="10"/>
  <c r="Z59" i="10"/>
  <c r="AE59" i="10"/>
  <c r="W59" i="10"/>
  <c r="W81" i="10"/>
  <c r="X81" i="10"/>
  <c r="AC81" i="10"/>
  <c r="AD81" i="10"/>
  <c r="AE81" i="10"/>
  <c r="Y81" i="10"/>
  <c r="AA81" i="10"/>
  <c r="Z81" i="10"/>
  <c r="AB81" i="10"/>
  <c r="AC76" i="10"/>
  <c r="AC38" i="10"/>
  <c r="X61" i="10"/>
  <c r="X69" i="10"/>
  <c r="Y61" i="10"/>
  <c r="AE69" i="10"/>
  <c r="AD45" i="10"/>
  <c r="X46" i="10"/>
  <c r="AA70" i="10"/>
  <c r="AB70" i="10"/>
  <c r="AC70" i="10"/>
  <c r="W70" i="10"/>
  <c r="X70" i="10"/>
  <c r="Y70" i="10"/>
  <c r="Z70" i="10"/>
  <c r="AD70" i="10"/>
  <c r="AE70" i="10"/>
  <c r="AE53" i="10"/>
  <c r="Z53" i="10"/>
  <c r="AB53" i="10"/>
  <c r="AC53" i="10"/>
  <c r="AA53" i="10"/>
  <c r="AD53" i="10"/>
  <c r="W53" i="10"/>
  <c r="X53" i="10"/>
  <c r="Y53" i="10"/>
  <c r="AA60" i="10"/>
  <c r="AC60" i="10"/>
  <c r="AC84" i="10"/>
  <c r="AD84" i="10"/>
  <c r="AE84" i="10"/>
  <c r="W84" i="10"/>
  <c r="X84" i="10"/>
  <c r="Y84" i="10"/>
  <c r="Z84" i="10"/>
  <c r="AA84" i="10"/>
  <c r="AB84" i="10"/>
  <c r="W16" i="10"/>
  <c r="X16" i="10"/>
  <c r="AA16" i="10"/>
  <c r="AD30" i="10"/>
  <c r="AB30" i="10"/>
  <c r="AC30" i="10"/>
  <c r="W30" i="10"/>
  <c r="X30" i="10"/>
  <c r="Z30" i="10"/>
  <c r="Y30" i="10"/>
  <c r="AA30" i="10"/>
  <c r="AE30" i="10"/>
  <c r="AB64" i="10"/>
  <c r="Y76" i="10"/>
  <c r="Z76" i="10"/>
  <c r="AB76" i="10"/>
  <c r="W31" i="10"/>
  <c r="X31" i="10"/>
  <c r="Y31" i="10"/>
  <c r="Z31" i="10"/>
  <c r="AB31" i="10"/>
  <c r="AC31" i="10"/>
  <c r="AD31" i="10"/>
  <c r="AE31" i="10"/>
  <c r="AA31" i="10"/>
  <c r="W55" i="10"/>
  <c r="AD74" i="10"/>
  <c r="W73" i="10"/>
  <c r="AB73" i="10"/>
  <c r="AC73" i="10"/>
  <c r="AE73" i="10"/>
  <c r="AD73" i="10"/>
  <c r="Z73" i="10"/>
  <c r="X73" i="10"/>
  <c r="Y73" i="10"/>
  <c r="AA73" i="10"/>
  <c r="W22" i="10"/>
  <c r="AE37" i="10"/>
  <c r="AD37" i="10"/>
  <c r="AB37" i="10"/>
  <c r="AC37" i="10"/>
  <c r="W37" i="10"/>
  <c r="X37" i="10"/>
  <c r="Y37" i="10"/>
  <c r="Z37" i="10"/>
  <c r="AA37" i="10"/>
  <c r="X17" i="10"/>
  <c r="AB55" i="10"/>
  <c r="AD22" i="10"/>
  <c r="AA55" i="10"/>
  <c r="AD64" i="10"/>
  <c r="Z22" i="10"/>
  <c r="AC22" i="10"/>
  <c r="AC15" i="10"/>
  <c r="AD15" i="10"/>
  <c r="Y15" i="10"/>
  <c r="Z15" i="10"/>
  <c r="AA15" i="10"/>
  <c r="AE15" i="10"/>
  <c r="W15" i="10"/>
  <c r="X15" i="10"/>
  <c r="AB15" i="10"/>
  <c r="AB22" i="10"/>
  <c r="AE22" i="10"/>
  <c r="Y34" i="10"/>
  <c r="Z34" i="10"/>
  <c r="W34" i="10"/>
  <c r="X34" i="10"/>
  <c r="AE34" i="10"/>
  <c r="AB34" i="10"/>
  <c r="AC34" i="10"/>
  <c r="AD34" i="10"/>
  <c r="AA34" i="10"/>
  <c r="AD52" i="10"/>
  <c r="AE52" i="10"/>
  <c r="AE57" i="10"/>
  <c r="X26" i="10"/>
  <c r="AC23" i="10"/>
  <c r="AA83" i="10"/>
  <c r="AB83" i="10"/>
  <c r="AC83" i="10"/>
  <c r="W83" i="10"/>
  <c r="X83" i="10"/>
  <c r="Y83" i="10"/>
  <c r="Z83" i="10"/>
  <c r="AD83" i="10"/>
  <c r="AE83" i="10"/>
  <c r="AD76" i="10"/>
  <c r="Z48" i="10"/>
  <c r="AA48" i="10"/>
  <c r="AB48" i="10"/>
  <c r="AC48" i="10"/>
  <c r="AD48" i="10"/>
  <c r="AE48" i="10"/>
  <c r="W48" i="10"/>
  <c r="X48" i="10"/>
  <c r="Y48" i="10"/>
  <c r="Y24" i="10"/>
  <c r="AB69" i="10"/>
  <c r="X63" i="10"/>
  <c r="AE60" i="10"/>
  <c r="Z29" i="10"/>
  <c r="X29" i="10"/>
  <c r="AD85" i="10"/>
  <c r="AD60" i="10"/>
  <c r="AA11" i="10"/>
  <c r="AB11" i="10"/>
  <c r="AC11" i="10"/>
  <c r="W11" i="10"/>
  <c r="AD11" i="10"/>
  <c r="AE11" i="10"/>
  <c r="X11" i="10"/>
  <c r="Z11" i="10"/>
  <c r="Y11" i="10"/>
  <c r="Z20" i="10"/>
  <c r="AA20" i="10"/>
  <c r="AC29" i="10"/>
  <c r="AB29" i="10"/>
  <c r="AB20" i="10"/>
  <c r="Y20" i="10"/>
  <c r="X20" i="10"/>
  <c r="AD54" i="10"/>
  <c r="AA27" i="10"/>
  <c r="AB27" i="10"/>
  <c r="AD27" i="10"/>
  <c r="AE27" i="10"/>
  <c r="W27" i="10"/>
  <c r="X27" i="10"/>
  <c r="Y27" i="10"/>
  <c r="Z27" i="10"/>
  <c r="AC27" i="10"/>
  <c r="AA19" i="10"/>
  <c r="AB19" i="10"/>
  <c r="X19" i="10"/>
  <c r="Y19" i="10"/>
  <c r="Z19" i="10"/>
  <c r="W19" i="10"/>
  <c r="AC19" i="10"/>
  <c r="AD19" i="10"/>
  <c r="AE19" i="10"/>
  <c r="AD20" i="10"/>
  <c r="AB79" i="10"/>
  <c r="AE26" i="10"/>
  <c r="AD26" i="10"/>
  <c r="AB17" i="10"/>
  <c r="AC17" i="10"/>
  <c r="AD17" i="10"/>
  <c r="AC44" i="10"/>
  <c r="AD44" i="10"/>
  <c r="X44" i="10"/>
  <c r="AE44" i="10"/>
  <c r="W44" i="10"/>
  <c r="Y44" i="10"/>
  <c r="Z44" i="10"/>
  <c r="AA44" i="10"/>
  <c r="AB44" i="10"/>
  <c r="W41" i="10"/>
  <c r="X41" i="10"/>
  <c r="AA41" i="10"/>
  <c r="Z41" i="10"/>
  <c r="AB41" i="10"/>
  <c r="AC41" i="10"/>
  <c r="Y41" i="10"/>
  <c r="AD41" i="10"/>
  <c r="AE41" i="10"/>
  <c r="AD57" i="10"/>
  <c r="W26" i="10"/>
  <c r="AB23" i="10"/>
  <c r="X71" i="10"/>
  <c r="Y71" i="10"/>
  <c r="Z71" i="10"/>
  <c r="AA71" i="10"/>
  <c r="AB71" i="10"/>
  <c r="AC71" i="10"/>
  <c r="W71" i="10"/>
  <c r="AD71" i="10"/>
  <c r="AE71" i="10"/>
  <c r="W14" i="10"/>
  <c r="X14" i="10"/>
  <c r="AE14" i="10"/>
  <c r="AB14" i="10"/>
  <c r="AC14" i="10"/>
  <c r="Z14" i="10"/>
  <c r="AA14" i="10"/>
  <c r="AD14" i="10"/>
  <c r="Y14" i="10"/>
  <c r="AD38" i="10"/>
  <c r="Y42" i="10"/>
  <c r="Z42" i="10"/>
  <c r="AE42" i="10"/>
  <c r="AC42" i="10"/>
  <c r="AD42" i="10"/>
  <c r="AB42" i="10"/>
  <c r="W42" i="10"/>
  <c r="X42" i="10"/>
  <c r="AA42" i="10"/>
  <c r="W61" i="10"/>
  <c r="AA75" i="10"/>
  <c r="W75" i="10"/>
  <c r="X75" i="10"/>
  <c r="Y75" i="10"/>
  <c r="AE75" i="10"/>
  <c r="Z75" i="10"/>
  <c r="AB75" i="10"/>
  <c r="AC75" i="10"/>
  <c r="AD75" i="10"/>
  <c r="AA46" i="10"/>
  <c r="AE46" i="10"/>
  <c r="AC45" i="10"/>
  <c r="Z24" i="10"/>
  <c r="Z38" i="10"/>
  <c r="X60" i="10"/>
  <c r="AC61" i="10"/>
  <c r="AA45" i="10"/>
  <c r="AA61" i="10"/>
  <c r="Z61" i="10"/>
  <c r="Z52" i="10"/>
  <c r="W52" i="10"/>
  <c r="X52" i="10"/>
  <c r="Y52" i="10"/>
  <c r="AE61" i="10"/>
  <c r="AD29" i="10"/>
  <c r="AE85" i="10"/>
  <c r="W33" i="10"/>
  <c r="X33" i="10"/>
  <c r="AE33" i="10"/>
  <c r="Y33" i="10"/>
  <c r="Z33" i="10"/>
  <c r="AA33" i="10"/>
  <c r="AB33" i="10"/>
  <c r="AC33" i="10"/>
  <c r="AD33" i="10"/>
  <c r="W64" i="10"/>
  <c r="Y78" i="10"/>
  <c r="Z78" i="10"/>
  <c r="W78" i="10"/>
  <c r="X78" i="10"/>
  <c r="AB78" i="10"/>
  <c r="AC78" i="10"/>
  <c r="AD78" i="10"/>
  <c r="AA78" i="10"/>
  <c r="AE78" i="10"/>
  <c r="X74" i="10"/>
  <c r="AD79" i="10"/>
  <c r="AC79" i="10"/>
  <c r="AC20" i="10"/>
  <c r="Z79" i="10"/>
  <c r="AA79" i="10"/>
  <c r="AC57" i="10"/>
  <c r="Z26" i="10"/>
  <c r="Z63" i="10"/>
  <c r="W65" i="10"/>
  <c r="X65" i="10"/>
  <c r="AB65" i="10"/>
  <c r="AE65" i="10"/>
  <c r="Y65" i="10"/>
  <c r="Z65" i="10"/>
  <c r="AA65" i="10"/>
  <c r="AC65" i="10"/>
  <c r="AD65" i="10"/>
  <c r="AE21" i="10"/>
  <c r="AC21" i="10"/>
  <c r="AD21" i="10"/>
  <c r="W21" i="10"/>
  <c r="X21" i="10"/>
  <c r="AA21" i="10"/>
  <c r="AB21" i="10"/>
  <c r="Y21" i="10"/>
  <c r="Z21" i="10"/>
  <c r="Y38" i="10"/>
  <c r="Z46" i="10"/>
  <c r="Y46" i="10"/>
  <c r="AB60" i="10"/>
  <c r="W46" i="10"/>
  <c r="AC28" i="10"/>
  <c r="AD28" i="10"/>
  <c r="Z28" i="10"/>
  <c r="AA28" i="10"/>
  <c r="AE28" i="10"/>
  <c r="W28" i="10"/>
  <c r="AB28" i="10"/>
  <c r="X28" i="10"/>
  <c r="Y28" i="10"/>
  <c r="W29" i="10"/>
  <c r="AC85" i="10"/>
  <c r="AA35" i="10"/>
  <c r="AB35" i="10"/>
  <c r="X35" i="10"/>
  <c r="W35" i="10"/>
  <c r="Y35" i="10"/>
  <c r="Z35" i="10"/>
  <c r="AC35" i="10"/>
  <c r="AD35" i="10"/>
  <c r="AE35" i="10"/>
  <c r="Y10" i="10"/>
  <c r="Z10" i="10"/>
  <c r="AA10" i="10"/>
  <c r="AC10" i="10"/>
  <c r="AD10" i="10"/>
  <c r="AE10" i="10"/>
  <c r="W10" i="10"/>
  <c r="X10" i="10"/>
  <c r="AB10" i="10"/>
  <c r="AB85" i="10"/>
  <c r="AE24" i="10"/>
  <c r="AA85" i="10"/>
  <c r="AE17" i="10"/>
  <c r="AC12" i="10"/>
  <c r="AD12" i="10"/>
  <c r="AE12" i="10"/>
  <c r="Z12" i="10"/>
  <c r="W12" i="10"/>
  <c r="X12" i="10"/>
  <c r="Y12" i="10"/>
  <c r="AA12" i="10"/>
  <c r="AB12" i="10"/>
  <c r="W63" i="10"/>
  <c r="Y82" i="10"/>
  <c r="Z82" i="10"/>
  <c r="AC82" i="10"/>
  <c r="AD82" i="10"/>
  <c r="AE82" i="10"/>
  <c r="W82" i="10"/>
  <c r="AB82" i="10"/>
  <c r="X82" i="10"/>
  <c r="AA82" i="10"/>
  <c r="AA64" i="10"/>
  <c r="AC36" i="10"/>
  <c r="AD36" i="10"/>
  <c r="W36" i="10"/>
  <c r="X36" i="10"/>
  <c r="Y36" i="10"/>
  <c r="AE36" i="10"/>
  <c r="AA36" i="10"/>
  <c r="Z36" i="10"/>
  <c r="AB36" i="10"/>
  <c r="AC68" i="10"/>
  <c r="AD68" i="10"/>
  <c r="W68" i="10"/>
  <c r="AE68" i="10"/>
  <c r="X68" i="10"/>
  <c r="AB68" i="10"/>
  <c r="AA68" i="10"/>
  <c r="Y68" i="10"/>
  <c r="Z68" i="10"/>
  <c r="Y62" i="10"/>
  <c r="W62" i="10"/>
  <c r="X62" i="10"/>
  <c r="Z62" i="10"/>
  <c r="AD62" i="10"/>
  <c r="AE62" i="10"/>
  <c r="AA62" i="10"/>
  <c r="AB62" i="10"/>
  <c r="AC62" i="10"/>
  <c r="AE79" i="10"/>
  <c r="W20" i="10"/>
  <c r="AC54" i="10"/>
  <c r="AB54" i="10"/>
  <c r="Y32" i="10"/>
  <c r="AC32" i="10"/>
  <c r="AD32" i="10"/>
  <c r="AE32" i="10"/>
  <c r="W32" i="10"/>
  <c r="X32" i="10"/>
  <c r="Z32" i="10"/>
  <c r="AA32" i="10"/>
  <c r="AB32" i="10"/>
  <c r="AB38" i="10"/>
  <c r="AA38" i="10"/>
  <c r="W38" i="10"/>
  <c r="W45" i="10"/>
  <c r="AB24" i="10"/>
  <c r="X24" i="10"/>
  <c r="Y45" i="10"/>
  <c r="Y18" i="10"/>
  <c r="Z18" i="10"/>
  <c r="AD18" i="10"/>
  <c r="AC18" i="10"/>
  <c r="AE18" i="10"/>
  <c r="W18" i="10"/>
  <c r="X18" i="10"/>
  <c r="AA18" i="10"/>
  <c r="AB18" i="10"/>
  <c r="AE45" i="10"/>
  <c r="AD24" i="10"/>
  <c r="AB63" i="10"/>
  <c r="AD55" i="10"/>
  <c r="Y85" i="10"/>
  <c r="AA52" i="10"/>
  <c r="AE20" i="10"/>
  <c r="AA29" i="10"/>
  <c r="X79" i="10"/>
  <c r="AA51" i="10"/>
  <c r="AB51" i="10"/>
  <c r="AE51" i="10"/>
  <c r="W51" i="10"/>
  <c r="X51" i="10"/>
  <c r="Y51" i="10"/>
  <c r="Z51" i="10"/>
  <c r="AC51" i="10"/>
  <c r="AD51" i="10"/>
  <c r="Z40" i="10"/>
  <c r="AA40" i="10"/>
  <c r="W40" i="10"/>
  <c r="Y40" i="10"/>
  <c r="AB40" i="10"/>
  <c r="AD40" i="10"/>
  <c r="AE40" i="10"/>
  <c r="X40" i="10"/>
  <c r="AC40" i="10"/>
  <c r="W74" i="10"/>
  <c r="AC64" i="10"/>
  <c r="Z64" i="10"/>
  <c r="W23" i="10"/>
  <c r="AB16" i="10"/>
  <c r="W76" i="10"/>
  <c r="AB57" i="10"/>
  <c r="AA23" i="10"/>
  <c r="X45" i="10"/>
  <c r="AE13" i="10"/>
  <c r="Y13" i="10"/>
  <c r="Z13" i="10"/>
  <c r="W13" i="10"/>
  <c r="AA13" i="10"/>
  <c r="AC13" i="10"/>
  <c r="X13" i="10"/>
  <c r="AB13" i="10"/>
  <c r="AD13" i="10"/>
  <c r="X76" i="10"/>
  <c r="AA63" i="10"/>
  <c r="W62" i="6" l="1"/>
  <c r="AB24" i="6"/>
  <c r="Z22" i="6"/>
  <c r="W25" i="6"/>
  <c r="AC48" i="6"/>
  <c r="AD78" i="6"/>
  <c r="X62" i="6"/>
  <c r="AC16" i="6"/>
  <c r="AD31" i="6"/>
  <c r="X59" i="5"/>
  <c r="Z10" i="5"/>
  <c r="X63" i="5"/>
  <c r="AE36" i="5"/>
  <c r="AE23" i="4"/>
  <c r="Y23" i="4"/>
  <c r="AC23" i="4"/>
  <c r="X23" i="4"/>
  <c r="AB23" i="4"/>
  <c r="W23" i="4"/>
  <c r="AD23" i="4"/>
  <c r="Z23" i="4"/>
  <c r="AA23" i="4"/>
  <c r="AC73" i="24"/>
  <c r="AA11" i="24"/>
  <c r="Z36" i="6"/>
  <c r="X36" i="6"/>
  <c r="Y36" i="6"/>
  <c r="W60" i="6"/>
  <c r="AA60" i="6"/>
  <c r="Z60" i="6"/>
  <c r="X38" i="6"/>
  <c r="AB38" i="6"/>
  <c r="AE38" i="6"/>
  <c r="AC35" i="6"/>
  <c r="Y35" i="6"/>
  <c r="AB35" i="6"/>
  <c r="AE35" i="6"/>
  <c r="X35" i="6"/>
  <c r="Z35" i="6"/>
  <c r="W35" i="6"/>
  <c r="AA35" i="6"/>
  <c r="AD35" i="6"/>
  <c r="AE14" i="6"/>
  <c r="W14" i="6"/>
  <c r="AD14" i="6"/>
  <c r="AC14" i="6"/>
  <c r="Y14" i="6"/>
  <c r="X14" i="6"/>
  <c r="AA14" i="6"/>
  <c r="Z14" i="6"/>
  <c r="AB14" i="6"/>
  <c r="AA20" i="6"/>
  <c r="X20" i="6"/>
  <c r="AE20" i="6"/>
  <c r="AD20" i="6"/>
  <c r="AB20" i="6"/>
  <c r="W20" i="6"/>
  <c r="Z20" i="6"/>
  <c r="Y20" i="6"/>
  <c r="AC20" i="6"/>
  <c r="X13" i="6"/>
  <c r="AE13" i="6"/>
  <c r="W13" i="6"/>
  <c r="AA13" i="6"/>
  <c r="Z13" i="6"/>
  <c r="AC13" i="6"/>
  <c r="Y13" i="6"/>
  <c r="AB13" i="6"/>
  <c r="AD13" i="6"/>
  <c r="AD61" i="6"/>
  <c r="AC61" i="6"/>
  <c r="AA61" i="6"/>
  <c r="AE61" i="6"/>
  <c r="W61" i="6"/>
  <c r="X61" i="6"/>
  <c r="Y61" i="6"/>
  <c r="AB61" i="6"/>
  <c r="Z61" i="6"/>
  <c r="Z30" i="6"/>
  <c r="X30" i="6"/>
  <c r="AD30" i="6"/>
  <c r="AA30" i="6"/>
  <c r="AE30" i="6"/>
  <c r="W30" i="6"/>
  <c r="AC30" i="6"/>
  <c r="Y30" i="6"/>
  <c r="AB30" i="6"/>
  <c r="AE85" i="5"/>
  <c r="Y85" i="5"/>
  <c r="X85" i="5"/>
  <c r="Z74" i="5"/>
  <c r="Y74" i="5"/>
  <c r="AC49" i="8"/>
  <c r="Y49" i="8"/>
  <c r="W49" i="8"/>
  <c r="X49" i="8"/>
  <c r="AE49" i="8"/>
  <c r="AB49" i="8"/>
  <c r="AA49" i="8"/>
  <c r="Z49" i="8"/>
  <c r="AD49" i="8"/>
  <c r="W56" i="8"/>
  <c r="AB56" i="8"/>
  <c r="Y56" i="8"/>
  <c r="AE56" i="8"/>
  <c r="AA56" i="8"/>
  <c r="AD56" i="8"/>
  <c r="X56" i="8"/>
  <c r="AC56" i="8"/>
  <c r="Z56" i="8"/>
  <c r="Z25" i="8"/>
  <c r="AB25" i="8"/>
  <c r="AC25" i="8"/>
  <c r="Y25" i="8"/>
  <c r="X25" i="8"/>
  <c r="AA25" i="8"/>
  <c r="AD25" i="8"/>
  <c r="AE25" i="8"/>
  <c r="W25" i="8"/>
  <c r="AD43" i="8"/>
  <c r="Z43" i="8"/>
  <c r="AB43" i="8"/>
  <c r="X43" i="8"/>
  <c r="W43" i="8"/>
  <c r="AA43" i="8"/>
  <c r="Y43" i="8"/>
  <c r="AC43" i="8"/>
  <c r="AE43" i="8"/>
  <c r="AD20" i="8"/>
  <c r="AC20" i="8"/>
  <c r="AB20" i="8"/>
  <c r="Z20" i="8"/>
  <c r="Y20" i="8"/>
  <c r="X20" i="8"/>
  <c r="AA20" i="8"/>
  <c r="AE20" i="8"/>
  <c r="W20" i="8"/>
  <c r="Y73" i="8"/>
  <c r="AA73" i="8"/>
  <c r="AD73" i="8"/>
  <c r="W73" i="8"/>
  <c r="AB73" i="8"/>
  <c r="X73" i="8"/>
  <c r="AC73" i="8"/>
  <c r="AE73" i="8"/>
  <c r="Z73" i="8"/>
  <c r="AD75" i="8"/>
  <c r="AE75" i="8"/>
  <c r="AB75" i="8"/>
  <c r="Y75" i="8"/>
  <c r="W75" i="8"/>
  <c r="Z75" i="8"/>
  <c r="AA75" i="8"/>
  <c r="AC75" i="8"/>
  <c r="X75" i="8"/>
  <c r="Y84" i="8"/>
  <c r="X84" i="8"/>
  <c r="Z84" i="8"/>
  <c r="AE84" i="8"/>
  <c r="AB84" i="8"/>
  <c r="W84" i="8"/>
  <c r="AC84" i="8"/>
  <c r="AD84" i="8"/>
  <c r="AA84" i="8"/>
  <c r="X46" i="8"/>
  <c r="AC46" i="8"/>
  <c r="AD46" i="8"/>
  <c r="AE46" i="8"/>
  <c r="Y46" i="8"/>
  <c r="Z46" i="8"/>
  <c r="AB46" i="8"/>
  <c r="W46" i="8"/>
  <c r="AA46" i="8"/>
  <c r="AC12" i="8"/>
  <c r="AA12" i="8"/>
  <c r="AE12" i="8"/>
  <c r="W12" i="8"/>
  <c r="Z12" i="8"/>
  <c r="AB12" i="8"/>
  <c r="AD12" i="8"/>
  <c r="X12" i="8"/>
  <c r="Y12" i="8"/>
  <c r="AB60" i="8"/>
  <c r="Z60" i="8"/>
  <c r="AC60" i="8"/>
  <c r="Y60" i="8"/>
  <c r="W60" i="8"/>
  <c r="AE60" i="8"/>
  <c r="AA60" i="8"/>
  <c r="X60" i="8"/>
  <c r="AD60" i="8"/>
  <c r="AD36" i="8"/>
  <c r="Z36" i="8"/>
  <c r="W36" i="8"/>
  <c r="X36" i="8"/>
  <c r="AE36" i="8"/>
  <c r="AC36" i="8"/>
  <c r="Y36" i="8"/>
  <c r="AB36" i="8"/>
  <c r="AA36" i="8"/>
  <c r="Z69" i="8"/>
  <c r="W69" i="8"/>
  <c r="AD69" i="8"/>
  <c r="AB69" i="8"/>
  <c r="Y69" i="8"/>
  <c r="AA69" i="8"/>
  <c r="AE69" i="8"/>
  <c r="AC69" i="8"/>
  <c r="X69" i="8"/>
  <c r="AC35" i="8"/>
  <c r="X35" i="8"/>
  <c r="AB35" i="8"/>
  <c r="Z35" i="8"/>
  <c r="AE35" i="8"/>
  <c r="W35" i="8"/>
  <c r="Y35" i="8"/>
  <c r="AD35" i="8"/>
  <c r="AA35" i="8"/>
  <c r="Y51" i="8"/>
  <c r="X51" i="8"/>
  <c r="AE51" i="8"/>
  <c r="AA51" i="8"/>
  <c r="AD51" i="8"/>
  <c r="Z51" i="8"/>
  <c r="W51" i="8"/>
  <c r="AC51" i="8"/>
  <c r="AB51" i="8"/>
  <c r="AA20" i="7"/>
  <c r="W20" i="7"/>
  <c r="X20" i="7"/>
  <c r="AD20" i="7"/>
  <c r="AE20" i="7"/>
  <c r="Y20" i="7"/>
  <c r="Z20" i="7"/>
  <c r="AD46" i="7"/>
  <c r="AC46" i="7"/>
  <c r="W46" i="7"/>
  <c r="Y46" i="7"/>
  <c r="AE46" i="7"/>
  <c r="Z77" i="7"/>
  <c r="AB77" i="7"/>
  <c r="AA77" i="7"/>
  <c r="Y77" i="7"/>
  <c r="AE77" i="7"/>
  <c r="W77" i="7"/>
  <c r="AC77" i="7"/>
  <c r="AD62" i="7"/>
  <c r="X62" i="7"/>
  <c r="AE62" i="7"/>
  <c r="AB62" i="7"/>
  <c r="AA62" i="7"/>
  <c r="Y62" i="7"/>
  <c r="W62" i="7"/>
  <c r="AB14" i="7"/>
  <c r="AE14" i="7"/>
  <c r="AA14" i="7"/>
  <c r="Y14" i="7"/>
  <c r="Z31" i="7"/>
  <c r="AD31" i="7"/>
  <c r="X31" i="7"/>
  <c r="AB31" i="7"/>
  <c r="AE31" i="7"/>
  <c r="Y31" i="7"/>
  <c r="AC31" i="7"/>
  <c r="AA21" i="7"/>
  <c r="AE21" i="7"/>
  <c r="Y21" i="7"/>
  <c r="X21" i="7"/>
  <c r="AD21" i="7"/>
  <c r="AB21" i="7"/>
  <c r="AC21" i="7"/>
  <c r="AD49" i="7"/>
  <c r="X49" i="7"/>
  <c r="Z49" i="7"/>
  <c r="AC49" i="7"/>
  <c r="AE49" i="7"/>
  <c r="Y49" i="7"/>
  <c r="AB49" i="7"/>
  <c r="W49" i="7"/>
  <c r="AA49" i="7"/>
  <c r="AD84" i="7"/>
  <c r="AC84" i="7"/>
  <c r="W84" i="7"/>
  <c r="AB84" i="7"/>
  <c r="Z84" i="7"/>
  <c r="X84" i="7"/>
  <c r="AE84" i="7"/>
  <c r="Y84" i="7"/>
  <c r="AA84" i="7"/>
  <c r="W54" i="7"/>
  <c r="AA54" i="7"/>
  <c r="AE54" i="7"/>
  <c r="AC54" i="7"/>
  <c r="AD54" i="7"/>
  <c r="AB54" i="7"/>
  <c r="X54" i="7"/>
  <c r="Z54" i="7"/>
  <c r="Y54" i="7"/>
  <c r="AC39" i="7"/>
  <c r="W39" i="7"/>
  <c r="Y39" i="7"/>
  <c r="AA39" i="7"/>
  <c r="X39" i="7"/>
  <c r="AD39" i="7"/>
  <c r="AE39" i="7"/>
  <c r="AB39" i="7"/>
  <c r="Z39" i="7"/>
  <c r="AE29" i="7"/>
  <c r="Y29" i="7"/>
  <c r="AB29" i="7"/>
  <c r="AD29" i="7"/>
  <c r="AC29" i="7"/>
  <c r="W29" i="7"/>
  <c r="Z29" i="7"/>
  <c r="AA29" i="7"/>
  <c r="X29" i="7"/>
  <c r="AE78" i="7"/>
  <c r="W78" i="7"/>
  <c r="X78" i="7"/>
  <c r="Y78" i="7"/>
  <c r="AC78" i="7"/>
  <c r="AA78" i="7"/>
  <c r="Z78" i="7"/>
  <c r="AB78" i="7"/>
  <c r="AD78" i="7"/>
  <c r="AD45" i="7"/>
  <c r="X45" i="7"/>
  <c r="AA45" i="7"/>
  <c r="Y45" i="7"/>
  <c r="AB45" i="7"/>
  <c r="AC45" i="7"/>
  <c r="Z45" i="7"/>
  <c r="AE45" i="7"/>
  <c r="W45" i="7"/>
  <c r="AE28" i="7"/>
  <c r="AC28" i="7"/>
  <c r="W28" i="7"/>
  <c r="AA28" i="7"/>
  <c r="X28" i="7"/>
  <c r="Z28" i="7"/>
  <c r="AD28" i="7"/>
  <c r="Y28" i="7"/>
  <c r="Z71" i="7"/>
  <c r="AE71" i="7"/>
  <c r="X71" i="7"/>
  <c r="Y71" i="7"/>
  <c r="AD71" i="7"/>
  <c r="AA71" i="7"/>
  <c r="W71" i="7"/>
  <c r="AC71" i="7"/>
  <c r="AB71" i="7"/>
  <c r="AB60" i="7"/>
  <c r="W60" i="7"/>
  <c r="AD60" i="7"/>
  <c r="X60" i="7"/>
  <c r="Y60" i="7"/>
  <c r="AE60" i="7"/>
  <c r="AC60" i="7"/>
  <c r="AA60" i="7"/>
  <c r="Z60" i="7"/>
  <c r="Z64" i="7"/>
  <c r="AC64" i="7"/>
  <c r="Y64" i="7"/>
  <c r="AB64" i="7"/>
  <c r="AE64" i="7"/>
  <c r="X64" i="7"/>
  <c r="W64" i="7"/>
  <c r="AD64" i="7"/>
  <c r="AA64" i="7"/>
  <c r="AE57" i="7"/>
  <c r="AD57" i="7"/>
  <c r="Y57" i="7"/>
  <c r="X57" i="7"/>
  <c r="AB57" i="7"/>
  <c r="AA57" i="7"/>
  <c r="W57" i="7"/>
  <c r="Z57" i="7"/>
  <c r="AC57" i="7"/>
  <c r="Y33" i="7"/>
  <c r="AC33" i="7"/>
  <c r="W33" i="7"/>
  <c r="Z33" i="7"/>
  <c r="AB33" i="7"/>
  <c r="X33" i="7"/>
  <c r="AE33" i="7"/>
  <c r="AD33" i="7"/>
  <c r="AA33" i="7"/>
  <c r="W50" i="7"/>
  <c r="Z50" i="7"/>
  <c r="Y50" i="7"/>
  <c r="AD50" i="7"/>
  <c r="X50" i="7"/>
  <c r="AA50" i="7"/>
  <c r="AB50" i="7"/>
  <c r="AC50" i="7"/>
  <c r="AE50" i="7"/>
  <c r="W66" i="7"/>
  <c r="X66" i="7"/>
  <c r="Z66" i="7"/>
  <c r="Y66" i="7"/>
  <c r="AD66" i="7"/>
  <c r="AC66" i="7"/>
  <c r="AB66" i="7"/>
  <c r="AA66" i="7"/>
  <c r="AE66" i="7"/>
  <c r="W82" i="7"/>
  <c r="AB82" i="7"/>
  <c r="AA82" i="7"/>
  <c r="X82" i="7"/>
  <c r="AE82" i="7"/>
  <c r="Y82" i="7"/>
  <c r="AC82" i="7"/>
  <c r="AD82" i="7"/>
  <c r="Z82" i="7"/>
  <c r="AE42" i="7"/>
  <c r="AB42" i="7"/>
  <c r="Z42" i="7"/>
  <c r="AC42" i="7"/>
  <c r="AD42" i="7"/>
  <c r="X42" i="7"/>
  <c r="AA42" i="7"/>
  <c r="Y42" i="7"/>
  <c r="W42" i="7"/>
  <c r="W26" i="7"/>
  <c r="AA26" i="7"/>
  <c r="X26" i="7"/>
  <c r="AC26" i="7"/>
  <c r="Z26" i="7"/>
  <c r="AE26" i="7"/>
  <c r="AB26" i="7"/>
  <c r="Y26" i="7"/>
  <c r="AD26" i="7"/>
  <c r="AE27" i="6"/>
  <c r="X25" i="6"/>
  <c r="W36" i="6"/>
  <c r="X77" i="6"/>
  <c r="AE24" i="5"/>
  <c r="AB79" i="6"/>
  <c r="AE22" i="6"/>
  <c r="AA16" i="5"/>
  <c r="X16" i="5"/>
  <c r="AB28" i="7"/>
  <c r="AC62" i="6"/>
  <c r="W16" i="6"/>
  <c r="AA38" i="6"/>
  <c r="AE70" i="5"/>
  <c r="AA52" i="5"/>
  <c r="Z46" i="4"/>
  <c r="AC36" i="3"/>
  <c r="AC20" i="7"/>
  <c r="AB20" i="7"/>
  <c r="AA46" i="7"/>
  <c r="X46" i="7"/>
  <c r="Z46" i="7"/>
  <c r="AB46" i="7"/>
  <c r="AD77" i="7"/>
  <c r="X77" i="7"/>
  <c r="Z62" i="7"/>
  <c r="AC62" i="7"/>
  <c r="Z83" i="7"/>
  <c r="W83" i="7"/>
  <c r="Y83" i="7"/>
  <c r="X83" i="7"/>
  <c r="AD83" i="7"/>
  <c r="AC83" i="7"/>
  <c r="AB83" i="7"/>
  <c r="AE83" i="7"/>
  <c r="AA83" i="7"/>
  <c r="AA67" i="7"/>
  <c r="AE67" i="7"/>
  <c r="AC67" i="7"/>
  <c r="AB67" i="7"/>
  <c r="X67" i="7"/>
  <c r="AD67" i="7"/>
  <c r="W67" i="7"/>
  <c r="Z67" i="7"/>
  <c r="Y67" i="7"/>
  <c r="Z14" i="7"/>
  <c r="X14" i="7"/>
  <c r="AC14" i="7"/>
  <c r="W14" i="7"/>
  <c r="AD14" i="7"/>
  <c r="AA31" i="7"/>
  <c r="W31" i="7"/>
  <c r="W21" i="7"/>
  <c r="Z21" i="7"/>
  <c r="AA85" i="7"/>
  <c r="Z85" i="7"/>
  <c r="Y85" i="7"/>
  <c r="AD85" i="7"/>
  <c r="AC85" i="7"/>
  <c r="AE85" i="7"/>
  <c r="W85" i="7"/>
  <c r="X85" i="7"/>
  <c r="AB85" i="7"/>
  <c r="Z43" i="7"/>
  <c r="AE43" i="7"/>
  <c r="AA43" i="7"/>
  <c r="AB43" i="7"/>
  <c r="AC43" i="7"/>
  <c r="AD43" i="7"/>
  <c r="W43" i="7"/>
  <c r="X43" i="7"/>
  <c r="Y43" i="7"/>
  <c r="W38" i="7"/>
  <c r="X38" i="7"/>
  <c r="Z38" i="7"/>
  <c r="AB38" i="7"/>
  <c r="AC38" i="7"/>
  <c r="AD38" i="7"/>
  <c r="AE38" i="7"/>
  <c r="Y38" i="7"/>
  <c r="AA38" i="7"/>
  <c r="X55" i="7"/>
  <c r="W55" i="7"/>
  <c r="Z55" i="7"/>
  <c r="AA55" i="7"/>
  <c r="AB55" i="7"/>
  <c r="AC55" i="7"/>
  <c r="AD55" i="7"/>
  <c r="AE55" i="7"/>
  <c r="Y55" i="7"/>
  <c r="AD11" i="7"/>
  <c r="AB11" i="7"/>
  <c r="AC11" i="7"/>
  <c r="W11" i="7"/>
  <c r="AE11" i="7"/>
  <c r="X11" i="7"/>
  <c r="Y11" i="7"/>
  <c r="Z11" i="7"/>
  <c r="AA11" i="7"/>
  <c r="Y81" i="7"/>
  <c r="Z81" i="7"/>
  <c r="AE81" i="7"/>
  <c r="AD81" i="7"/>
  <c r="AA81" i="7"/>
  <c r="AB81" i="7"/>
  <c r="W81" i="7"/>
  <c r="AC81" i="7"/>
  <c r="X81" i="7"/>
  <c r="X24" i="7"/>
  <c r="AE24" i="7"/>
  <c r="AD24" i="7"/>
  <c r="W24" i="7"/>
  <c r="Z24" i="7"/>
  <c r="AC24" i="7"/>
  <c r="AB24" i="7"/>
  <c r="AA24" i="7"/>
  <c r="Y24" i="7"/>
  <c r="W53" i="7"/>
  <c r="X53" i="7"/>
  <c r="Y53" i="7"/>
  <c r="AA53" i="7"/>
  <c r="AB53" i="7"/>
  <c r="AD53" i="7"/>
  <c r="AC53" i="7"/>
  <c r="Z53" i="7"/>
  <c r="AE53" i="7"/>
  <c r="AB19" i="7"/>
  <c r="AD19" i="7"/>
  <c r="AC19" i="7"/>
  <c r="Y19" i="7"/>
  <c r="Z19" i="7"/>
  <c r="AA19" i="7"/>
  <c r="AE19" i="7"/>
  <c r="W19" i="7"/>
  <c r="X19" i="7"/>
  <c r="AE37" i="7"/>
  <c r="AD37" i="7"/>
  <c r="Y37" i="7"/>
  <c r="AA37" i="7"/>
  <c r="AC37" i="7"/>
  <c r="AB37" i="7"/>
  <c r="Z37" i="7"/>
  <c r="W37" i="7"/>
  <c r="X37" i="7"/>
  <c r="AA34" i="7"/>
  <c r="W34" i="7"/>
  <c r="Z34" i="7"/>
  <c r="AC34" i="7"/>
  <c r="AE34" i="7"/>
  <c r="AB34" i="7"/>
  <c r="X34" i="7"/>
  <c r="AD34" i="7"/>
  <c r="Y34" i="7"/>
  <c r="Y74" i="7"/>
  <c r="AC74" i="7"/>
  <c r="AE74" i="7"/>
  <c r="X74" i="7"/>
  <c r="W74" i="7"/>
  <c r="AD74" i="7"/>
  <c r="AB74" i="7"/>
  <c r="AA74" i="7"/>
  <c r="Z74" i="7"/>
  <c r="Z58" i="7"/>
  <c r="AA58" i="7"/>
  <c r="AB58" i="7"/>
  <c r="AD58" i="7"/>
  <c r="X58" i="7"/>
  <c r="AC58" i="7"/>
  <c r="AE58" i="7"/>
  <c r="W58" i="7"/>
  <c r="Y58" i="7"/>
  <c r="AA23" i="6"/>
  <c r="AB23" i="6"/>
  <c r="AC23" i="6"/>
  <c r="AD23" i="6"/>
  <c r="AE23" i="6"/>
  <c r="X23" i="6"/>
  <c r="Y23" i="6"/>
  <c r="Z23" i="6"/>
  <c r="W23" i="6"/>
  <c r="AA71" i="6"/>
  <c r="AB71" i="6"/>
  <c r="W71" i="6"/>
  <c r="Z71" i="6"/>
  <c r="X71" i="6"/>
  <c r="Y71" i="6"/>
  <c r="AC71" i="6"/>
  <c r="AD71" i="6"/>
  <c r="AE71" i="6"/>
  <c r="AC65" i="6"/>
  <c r="AD65" i="6"/>
  <c r="W65" i="6"/>
  <c r="X65" i="6"/>
  <c r="AA65" i="6"/>
  <c r="AB65" i="6"/>
  <c r="Z65" i="6"/>
  <c r="Y65" i="6"/>
  <c r="AE65" i="6"/>
  <c r="AD22" i="6"/>
  <c r="AC22" i="6"/>
  <c r="W22" i="6"/>
  <c r="X22" i="6"/>
  <c r="Y22" i="6"/>
  <c r="AA22" i="6"/>
  <c r="AB22" i="6"/>
  <c r="X64" i="6"/>
  <c r="AC64" i="6"/>
  <c r="AA64" i="6"/>
  <c r="W64" i="6"/>
  <c r="Y64" i="6"/>
  <c r="AE64" i="6"/>
  <c r="AB64" i="6"/>
  <c r="AD64" i="6"/>
  <c r="Z64" i="6"/>
  <c r="AA58" i="6"/>
  <c r="AE58" i="6"/>
  <c r="AB58" i="6"/>
  <c r="AD58" i="6"/>
  <c r="AC58" i="6"/>
  <c r="W58" i="6"/>
  <c r="X58" i="6"/>
  <c r="Z58" i="6"/>
  <c r="Y58" i="6"/>
  <c r="AD57" i="6"/>
  <c r="W57" i="6"/>
  <c r="Y57" i="6"/>
  <c r="Z57" i="6"/>
  <c r="AA57" i="6"/>
  <c r="X57" i="6"/>
  <c r="AE57" i="6"/>
  <c r="AB57" i="6"/>
  <c r="AC57" i="6"/>
  <c r="AE51" i="6"/>
  <c r="Z51" i="6"/>
  <c r="AC51" i="6"/>
  <c r="AB51" i="6"/>
  <c r="AD51" i="6"/>
  <c r="W51" i="6"/>
  <c r="X51" i="6"/>
  <c r="Y51" i="6"/>
  <c r="AA51" i="6"/>
  <c r="Z46" i="6"/>
  <c r="Y46" i="6"/>
  <c r="W46" i="6"/>
  <c r="X46" i="6"/>
  <c r="AC46" i="6"/>
  <c r="AE46" i="6"/>
  <c r="AD46" i="6"/>
  <c r="AB46" i="6"/>
  <c r="AA46" i="6"/>
  <c r="W39" i="6"/>
  <c r="AA39" i="6"/>
  <c r="Z39" i="6"/>
  <c r="X39" i="6"/>
  <c r="Y39" i="6"/>
  <c r="AE39" i="6"/>
  <c r="AB39" i="6"/>
  <c r="AA16" i="6"/>
  <c r="AB16" i="6"/>
  <c r="AE85" i="6"/>
  <c r="AA85" i="6"/>
  <c r="AB85" i="6"/>
  <c r="AD85" i="6"/>
  <c r="W85" i="6"/>
  <c r="X85" i="6"/>
  <c r="Y85" i="6"/>
  <c r="Z85" i="6"/>
  <c r="AC85" i="6"/>
  <c r="AE80" i="6"/>
  <c r="W80" i="6"/>
  <c r="Z80" i="6"/>
  <c r="Y80" i="6"/>
  <c r="AA80" i="6"/>
  <c r="AB80" i="6"/>
  <c r="AC80" i="6"/>
  <c r="AD80" i="6"/>
  <c r="X80" i="6"/>
  <c r="Z78" i="6"/>
  <c r="Y78" i="6"/>
  <c r="X78" i="6"/>
  <c r="AA56" i="6"/>
  <c r="Y56" i="6"/>
  <c r="W56" i="6"/>
  <c r="AB56" i="6"/>
  <c r="Z59" i="6"/>
  <c r="AD59" i="6"/>
  <c r="X59" i="6"/>
  <c r="AA59" i="6"/>
  <c r="AE59" i="6"/>
  <c r="AB59" i="6"/>
  <c r="AC59" i="6"/>
  <c r="Y59" i="6"/>
  <c r="W59" i="6"/>
  <c r="AD12" i="6"/>
  <c r="AC12" i="6"/>
  <c r="W12" i="6"/>
  <c r="X12" i="6"/>
  <c r="Y12" i="6"/>
  <c r="Z12" i="6"/>
  <c r="AA12" i="6"/>
  <c r="AE12" i="6"/>
  <c r="AB12" i="6"/>
  <c r="X24" i="6"/>
  <c r="W24" i="6"/>
  <c r="AA24" i="6"/>
  <c r="AD24" i="6"/>
  <c r="AC24" i="6"/>
  <c r="AE24" i="6"/>
  <c r="Z24" i="6"/>
  <c r="Y24" i="6"/>
  <c r="AA76" i="6"/>
  <c r="Z76" i="6"/>
  <c r="X76" i="6"/>
  <c r="AE76" i="6"/>
  <c r="AC76" i="6"/>
  <c r="W76" i="6"/>
  <c r="AD76" i="6"/>
  <c r="AB76" i="6"/>
  <c r="Y76" i="6"/>
  <c r="X48" i="6"/>
  <c r="Z48" i="6"/>
  <c r="AB36" i="6"/>
  <c r="AA36" i="6"/>
  <c r="AD39" i="6"/>
  <c r="AC39" i="6"/>
  <c r="X60" i="6"/>
  <c r="AD60" i="6"/>
  <c r="AA78" i="6"/>
  <c r="AB78" i="6"/>
  <c r="W78" i="6"/>
  <c r="AE78" i="6"/>
  <c r="AC78" i="6"/>
  <c r="AE79" i="6"/>
  <c r="Z79" i="6"/>
  <c r="Y79" i="6"/>
  <c r="AC79" i="6"/>
  <c r="Y38" i="6"/>
  <c r="Z38" i="6"/>
  <c r="AC38" i="6"/>
  <c r="AE77" i="6"/>
  <c r="AC77" i="6"/>
  <c r="AB31" i="6"/>
  <c r="AE31" i="6"/>
  <c r="AC31" i="6"/>
  <c r="Y31" i="6"/>
  <c r="AA31" i="6"/>
  <c r="Z31" i="6"/>
  <c r="X31" i="6"/>
  <c r="W31" i="6"/>
  <c r="AD27" i="6"/>
  <c r="X27" i="6"/>
  <c r="Y27" i="6"/>
  <c r="W27" i="6"/>
  <c r="AA27" i="6"/>
  <c r="AB27" i="6"/>
  <c r="AC27" i="6"/>
  <c r="Z27" i="6"/>
  <c r="Y15" i="6"/>
  <c r="AE15" i="6"/>
  <c r="AC15" i="6"/>
  <c r="AD15" i="6"/>
  <c r="AB15" i="6"/>
  <c r="X15" i="6"/>
  <c r="W15" i="6"/>
  <c r="AA15" i="6"/>
  <c r="Z15" i="6"/>
  <c r="AE19" i="6"/>
  <c r="AD19" i="6"/>
  <c r="AB19" i="6"/>
  <c r="Z19" i="6"/>
  <c r="Y19" i="6"/>
  <c r="AC19" i="6"/>
  <c r="X19" i="6"/>
  <c r="AA19" i="6"/>
  <c r="W19" i="6"/>
  <c r="AE36" i="6"/>
  <c r="AC36" i="6"/>
  <c r="AD36" i="6"/>
  <c r="W83" i="6"/>
  <c r="AC83" i="6"/>
  <c r="AA83" i="6"/>
  <c r="AE83" i="6"/>
  <c r="AD83" i="6"/>
  <c r="AB83" i="6"/>
  <c r="Z83" i="6"/>
  <c r="Y83" i="6"/>
  <c r="X83" i="6"/>
  <c r="AD66" i="6"/>
  <c r="AB66" i="6"/>
  <c r="AC66" i="6"/>
  <c r="W66" i="6"/>
  <c r="X66" i="6"/>
  <c r="Y66" i="6"/>
  <c r="Z66" i="6"/>
  <c r="AA66" i="6"/>
  <c r="AE66" i="6"/>
  <c r="X82" i="6"/>
  <c r="W82" i="6"/>
  <c r="Y82" i="6"/>
  <c r="AB82" i="6"/>
  <c r="Z82" i="6"/>
  <c r="AD82" i="6"/>
  <c r="AE82" i="6"/>
  <c r="AC82" i="6"/>
  <c r="AA82" i="6"/>
  <c r="Z10" i="6"/>
  <c r="AD10" i="6"/>
  <c r="AC10" i="6"/>
  <c r="X10" i="6"/>
  <c r="W10" i="6"/>
  <c r="AE10" i="6"/>
  <c r="AA10" i="6"/>
  <c r="Y10" i="6"/>
  <c r="AB10" i="6"/>
  <c r="AC74" i="6"/>
  <c r="X74" i="6"/>
  <c r="W74" i="6"/>
  <c r="AB74" i="6"/>
  <c r="Z74" i="6"/>
  <c r="AA74" i="6"/>
  <c r="Y74" i="6"/>
  <c r="AE74" i="6"/>
  <c r="AD74" i="6"/>
  <c r="X72" i="6"/>
  <c r="AD72" i="6"/>
  <c r="AC72" i="6"/>
  <c r="Y72" i="6"/>
  <c r="AE72" i="6"/>
  <c r="W72" i="6"/>
  <c r="Z72" i="6"/>
  <c r="AB72" i="6"/>
  <c r="AA72" i="6"/>
  <c r="AD56" i="6"/>
  <c r="AE56" i="6"/>
  <c r="AC56" i="6"/>
  <c r="Z56" i="6"/>
  <c r="X56" i="6"/>
  <c r="W33" i="6"/>
  <c r="AC33" i="6"/>
  <c r="X33" i="6"/>
  <c r="Z33" i="6"/>
  <c r="AE33" i="6"/>
  <c r="AA33" i="6"/>
  <c r="AD33" i="6"/>
  <c r="AB33" i="6"/>
  <c r="Y33" i="6"/>
  <c r="AD52" i="6"/>
  <c r="AE52" i="6"/>
  <c r="AC52" i="6"/>
  <c r="W52" i="6"/>
  <c r="X52" i="6"/>
  <c r="Z52" i="6"/>
  <c r="AB52" i="6"/>
  <c r="AA52" i="6"/>
  <c r="Y52" i="6"/>
  <c r="W38" i="6"/>
  <c r="AD38" i="6"/>
  <c r="AA32" i="6"/>
  <c r="Y32" i="6"/>
  <c r="AE32" i="6"/>
  <c r="W32" i="6"/>
  <c r="X32" i="6"/>
  <c r="AD32" i="6"/>
  <c r="AB32" i="6"/>
  <c r="AC32" i="6"/>
  <c r="Z32" i="6"/>
  <c r="X41" i="6"/>
  <c r="W41" i="6"/>
  <c r="AE41" i="6"/>
  <c r="Y41" i="6"/>
  <c r="Z41" i="6"/>
  <c r="AA41" i="6"/>
  <c r="AB41" i="6"/>
  <c r="AC41" i="6"/>
  <c r="AD41" i="6"/>
  <c r="AC11" i="6"/>
  <c r="W11" i="6"/>
  <c r="AE11" i="6"/>
  <c r="AA11" i="6"/>
  <c r="Z11" i="6"/>
  <c r="X11" i="6"/>
  <c r="AB11" i="6"/>
  <c r="Y11" i="6"/>
  <c r="AD11" i="6"/>
  <c r="X53" i="6"/>
  <c r="W53" i="6"/>
  <c r="AE53" i="6"/>
  <c r="AD53" i="6"/>
  <c r="AC53" i="6"/>
  <c r="AB53" i="6"/>
  <c r="AA53" i="6"/>
  <c r="Z53" i="6"/>
  <c r="Y53" i="6"/>
  <c r="AC43" i="6"/>
  <c r="AA43" i="6"/>
  <c r="AB43" i="6"/>
  <c r="AD43" i="6"/>
  <c r="AE43" i="6"/>
  <c r="W43" i="6"/>
  <c r="X43" i="6"/>
  <c r="Y43" i="6"/>
  <c r="Z43" i="6"/>
  <c r="X34" i="6"/>
  <c r="AB34" i="6"/>
  <c r="AE34" i="6"/>
  <c r="Z34" i="6"/>
  <c r="W34" i="6"/>
  <c r="AD34" i="6"/>
  <c r="AC34" i="6"/>
  <c r="AA34" i="6"/>
  <c r="Y34" i="6"/>
  <c r="AE81" i="6"/>
  <c r="W81" i="6"/>
  <c r="AB81" i="6"/>
  <c r="X81" i="6"/>
  <c r="AA81" i="6"/>
  <c r="Y81" i="6"/>
  <c r="AC81" i="6"/>
  <c r="Z81" i="6"/>
  <c r="AD81" i="6"/>
  <c r="AD45" i="6"/>
  <c r="AC45" i="6"/>
  <c r="AE45" i="6"/>
  <c r="X45" i="6"/>
  <c r="AB45" i="6"/>
  <c r="AA45" i="6"/>
  <c r="Z45" i="6"/>
  <c r="Y45" i="6"/>
  <c r="W45" i="6"/>
  <c r="Z69" i="6"/>
  <c r="W69" i="6"/>
  <c r="AE69" i="6"/>
  <c r="AD69" i="6"/>
  <c r="X69" i="6"/>
  <c r="AA69" i="6"/>
  <c r="AC69" i="6"/>
  <c r="Y69" i="6"/>
  <c r="AB69" i="6"/>
  <c r="AB62" i="6"/>
  <c r="Y62" i="6"/>
  <c r="AA62" i="6"/>
  <c r="AD62" i="6"/>
  <c r="Z62" i="6"/>
  <c r="AE62" i="6"/>
  <c r="Z28" i="6"/>
  <c r="AA28" i="6"/>
  <c r="AE28" i="6"/>
  <c r="AD28" i="6"/>
  <c r="AC28" i="6"/>
  <c r="W28" i="6"/>
  <c r="X28" i="6"/>
  <c r="AB28" i="6"/>
  <c r="Y28" i="6"/>
  <c r="AA26" i="6"/>
  <c r="AD26" i="6"/>
  <c r="AE26" i="6"/>
  <c r="W26" i="6"/>
  <c r="X26" i="6"/>
  <c r="AC26" i="6"/>
  <c r="AB26" i="6"/>
  <c r="Y26" i="6"/>
  <c r="Z26" i="6"/>
  <c r="AA25" i="6"/>
  <c r="Y25" i="6"/>
  <c r="AD25" i="6"/>
  <c r="AB25" i="6"/>
  <c r="Z25" i="6"/>
  <c r="AC25" i="6"/>
  <c r="AE25" i="6"/>
  <c r="AD16" i="6"/>
  <c r="Z16" i="6"/>
  <c r="AE16" i="6"/>
  <c r="Y16" i="6"/>
  <c r="X16" i="6"/>
  <c r="X70" i="6"/>
  <c r="Y70" i="6"/>
  <c r="AD70" i="6"/>
  <c r="W70" i="6"/>
  <c r="AC70" i="6"/>
  <c r="AB70" i="6"/>
  <c r="AA70" i="6"/>
  <c r="AE70" i="6"/>
  <c r="Z70" i="6"/>
  <c r="AE84" i="6"/>
  <c r="W84" i="6"/>
  <c r="Y84" i="6"/>
  <c r="Z84" i="6"/>
  <c r="AD84" i="6"/>
  <c r="AA84" i="6"/>
  <c r="X84" i="6"/>
  <c r="AB84" i="6"/>
  <c r="AC84" i="6"/>
  <c r="AC63" i="6"/>
  <c r="AE63" i="6"/>
  <c r="Y63" i="6"/>
  <c r="Z63" i="6"/>
  <c r="AD63" i="6"/>
  <c r="AA63" i="6"/>
  <c r="AB63" i="6"/>
  <c r="X63" i="6"/>
  <c r="W63" i="6"/>
  <c r="X17" i="6"/>
  <c r="AD17" i="6"/>
  <c r="AE17" i="6"/>
  <c r="AB17" i="6"/>
  <c r="AC17" i="6"/>
  <c r="AA17" i="6"/>
  <c r="Z17" i="6"/>
  <c r="W17" i="6"/>
  <c r="Y17" i="6"/>
  <c r="Y77" i="6"/>
  <c r="Z77" i="6"/>
  <c r="AB77" i="6"/>
  <c r="W77" i="6"/>
  <c r="AA77" i="6"/>
  <c r="AD77" i="6"/>
  <c r="Y73" i="6"/>
  <c r="AE73" i="6"/>
  <c r="Z73" i="6"/>
  <c r="X73" i="6"/>
  <c r="AA73" i="6"/>
  <c r="W73" i="6"/>
  <c r="AB73" i="6"/>
  <c r="AC73" i="6"/>
  <c r="AD73" i="6"/>
  <c r="X67" i="6"/>
  <c r="AB67" i="6"/>
  <c r="W67" i="6"/>
  <c r="AA67" i="6"/>
  <c r="Z67" i="6"/>
  <c r="Y67" i="6"/>
  <c r="AE67" i="6"/>
  <c r="AD67" i="6"/>
  <c r="AC67" i="6"/>
  <c r="Y60" i="6"/>
  <c r="AE60" i="6"/>
  <c r="AC60" i="6"/>
  <c r="AB60" i="6"/>
  <c r="AB18" i="6"/>
  <c r="Z18" i="6"/>
  <c r="AC18" i="6"/>
  <c r="W18" i="6"/>
  <c r="X18" i="6"/>
  <c r="AE18" i="6"/>
  <c r="AA18" i="6"/>
  <c r="AD18" i="6"/>
  <c r="Y18" i="6"/>
  <c r="AB47" i="6"/>
  <c r="Z47" i="6"/>
  <c r="AA47" i="6"/>
  <c r="Y47" i="6"/>
  <c r="AC47" i="6"/>
  <c r="AD47" i="6"/>
  <c r="X47" i="6"/>
  <c r="AE47" i="6"/>
  <c r="W47" i="6"/>
  <c r="AC29" i="6"/>
  <c r="AB29" i="6"/>
  <c r="AA29" i="6"/>
  <c r="W29" i="6"/>
  <c r="Z29" i="6"/>
  <c r="Y29" i="6"/>
  <c r="X29" i="6"/>
  <c r="AE29" i="6"/>
  <c r="AD29" i="6"/>
  <c r="AE40" i="6"/>
  <c r="X40" i="6"/>
  <c r="Y40" i="6"/>
  <c r="Z40" i="6"/>
  <c r="W40" i="6"/>
  <c r="AA40" i="6"/>
  <c r="AD40" i="6"/>
  <c r="AC40" i="6"/>
  <c r="AB40" i="6"/>
  <c r="AD48" i="6"/>
  <c r="Y48" i="6"/>
  <c r="W48" i="6"/>
  <c r="AE48" i="6"/>
  <c r="AB48" i="6"/>
  <c r="AA48" i="6"/>
  <c r="AE49" i="6"/>
  <c r="AC49" i="6"/>
  <c r="Z49" i="6"/>
  <c r="X49" i="6"/>
  <c r="AB49" i="6"/>
  <c r="AD49" i="6"/>
  <c r="Y49" i="6"/>
  <c r="AA49" i="6"/>
  <c r="W49" i="6"/>
  <c r="AE50" i="6"/>
  <c r="X50" i="6"/>
  <c r="Y50" i="6"/>
  <c r="AD50" i="6"/>
  <c r="Z50" i="6"/>
  <c r="AB50" i="6"/>
  <c r="AC50" i="6"/>
  <c r="W50" i="6"/>
  <c r="AA50" i="6"/>
  <c r="AB75" i="6"/>
  <c r="Z75" i="6"/>
  <c r="Y75" i="6"/>
  <c r="X75" i="6"/>
  <c r="AC75" i="6"/>
  <c r="AA75" i="6"/>
  <c r="W75" i="6"/>
  <c r="AE75" i="6"/>
  <c r="AD75" i="6"/>
  <c r="AD42" i="6"/>
  <c r="W42" i="6"/>
  <c r="X42" i="6"/>
  <c r="AE42" i="6"/>
  <c r="Y42" i="6"/>
  <c r="AB42" i="6"/>
  <c r="AC42" i="6"/>
  <c r="Z42" i="6"/>
  <c r="AA42" i="6"/>
  <c r="AA54" i="6"/>
  <c r="Z54" i="6"/>
  <c r="AB54" i="6"/>
  <c r="AC54" i="6"/>
  <c r="X54" i="6"/>
  <c r="Y54" i="6"/>
  <c r="W54" i="6"/>
  <c r="AE54" i="6"/>
  <c r="AD54" i="6"/>
  <c r="AC68" i="6"/>
  <c r="W68" i="6"/>
  <c r="X68" i="6"/>
  <c r="Y68" i="6"/>
  <c r="AA68" i="6"/>
  <c r="AB68" i="6"/>
  <c r="Z68" i="6"/>
  <c r="AD68" i="6"/>
  <c r="AE68" i="6"/>
  <c r="AE21" i="6"/>
  <c r="AD21" i="6"/>
  <c r="AC21" i="6"/>
  <c r="AB21" i="6"/>
  <c r="X21" i="6"/>
  <c r="W21" i="6"/>
  <c r="AA21" i="6"/>
  <c r="Z21" i="6"/>
  <c r="Y21" i="6"/>
  <c r="AD79" i="6"/>
  <c r="AA79" i="6"/>
  <c r="W79" i="6"/>
  <c r="X79" i="6"/>
  <c r="W55" i="6"/>
  <c r="AE55" i="6"/>
  <c r="Y55" i="6"/>
  <c r="AC55" i="6"/>
  <c r="AA55" i="6"/>
  <c r="AD55" i="6"/>
  <c r="AB55" i="6"/>
  <c r="X55" i="6"/>
  <c r="Z55" i="6"/>
  <c r="Y44" i="6"/>
  <c r="X44" i="6"/>
  <c r="AB44" i="6"/>
  <c r="AA44" i="6"/>
  <c r="Z44" i="6"/>
  <c r="W44" i="6"/>
  <c r="AE44" i="6"/>
  <c r="AD44" i="6"/>
  <c r="AC44" i="6"/>
  <c r="AE37" i="6"/>
  <c r="W37" i="6"/>
  <c r="Z37" i="6"/>
  <c r="AA37" i="6"/>
  <c r="X37" i="6"/>
  <c r="Y37" i="6"/>
  <c r="AB37" i="6"/>
  <c r="AC37" i="6"/>
  <c r="AD37" i="6"/>
  <c r="AB74" i="5"/>
  <c r="AE74" i="5"/>
  <c r="AD42" i="5"/>
  <c r="Z42" i="5"/>
  <c r="AD59" i="5"/>
  <c r="AE59" i="5"/>
  <c r="AC59" i="5"/>
  <c r="AB59" i="5"/>
  <c r="Y59" i="5"/>
  <c r="AA59" i="5"/>
  <c r="AB10" i="5"/>
  <c r="Y10" i="5"/>
  <c r="AA10" i="5"/>
  <c r="AD10" i="5"/>
  <c r="W10" i="5"/>
  <c r="X10" i="5"/>
  <c r="AC16" i="5"/>
  <c r="W16" i="5"/>
  <c r="AD11" i="5"/>
  <c r="Z11" i="5"/>
  <c r="W11" i="5"/>
  <c r="Y11" i="5"/>
  <c r="AC11" i="5"/>
  <c r="AE11" i="5"/>
  <c r="X11" i="5"/>
  <c r="AA11" i="5"/>
  <c r="AC34" i="5"/>
  <c r="AD34" i="5"/>
  <c r="Y34" i="5"/>
  <c r="AE34" i="5"/>
  <c r="Y16" i="5"/>
  <c r="AB16" i="5"/>
  <c r="AD16" i="5"/>
  <c r="Z16" i="5"/>
  <c r="AE16" i="5"/>
  <c r="AB24" i="5"/>
  <c r="W24" i="5"/>
  <c r="X24" i="5"/>
  <c r="W44" i="5"/>
  <c r="AA44" i="5"/>
  <c r="AD44" i="5"/>
  <c r="Z44" i="5"/>
  <c r="AC44" i="5"/>
  <c r="AB44" i="5"/>
  <c r="W46" i="5"/>
  <c r="X46" i="5"/>
  <c r="Y46" i="5"/>
  <c r="Z46" i="5"/>
  <c r="AA46" i="5"/>
  <c r="AB46" i="5"/>
  <c r="AC46" i="5"/>
  <c r="AD46" i="5"/>
  <c r="AE46" i="5"/>
  <c r="Z14" i="5"/>
  <c r="AE14" i="5"/>
  <c r="AD14" i="5"/>
  <c r="X14" i="5"/>
  <c r="W14" i="5"/>
  <c r="AD55" i="5"/>
  <c r="AA55" i="5"/>
  <c r="Y55" i="5"/>
  <c r="Z59" i="5"/>
  <c r="W59" i="5"/>
  <c r="AC10" i="5"/>
  <c r="AE10" i="5"/>
  <c r="Y63" i="5"/>
  <c r="Z63" i="5"/>
  <c r="AC36" i="5"/>
  <c r="Z36" i="5"/>
  <c r="AB36" i="5"/>
  <c r="AE33" i="5"/>
  <c r="AD33" i="5"/>
  <c r="AA33" i="5"/>
  <c r="W33" i="5"/>
  <c r="AB33" i="5"/>
  <c r="AC33" i="5"/>
  <c r="X74" i="5"/>
  <c r="AC74" i="5"/>
  <c r="AA74" i="5"/>
  <c r="W74" i="5"/>
  <c r="AD74" i="5"/>
  <c r="AE31" i="5"/>
  <c r="Y31" i="5"/>
  <c r="AD31" i="5"/>
  <c r="AA31" i="5"/>
  <c r="W31" i="5"/>
  <c r="AB31" i="5"/>
  <c r="Z31" i="5"/>
  <c r="X31" i="5"/>
  <c r="AC31" i="5"/>
  <c r="X39" i="5"/>
  <c r="W39" i="5"/>
  <c r="AD39" i="5"/>
  <c r="AE39" i="5"/>
  <c r="Y39" i="5"/>
  <c r="AA39" i="5"/>
  <c r="Z39" i="5"/>
  <c r="AB39" i="5"/>
  <c r="AC39" i="5"/>
  <c r="AA58" i="5"/>
  <c r="AC58" i="5"/>
  <c r="AB58" i="5"/>
  <c r="AD58" i="5"/>
  <c r="X58" i="5"/>
  <c r="AE58" i="5"/>
  <c r="Y58" i="5"/>
  <c r="W58" i="5"/>
  <c r="Z58" i="5"/>
  <c r="AD69" i="5"/>
  <c r="Y69" i="5"/>
  <c r="AA69" i="5"/>
  <c r="X69" i="5"/>
  <c r="AC69" i="5"/>
  <c r="AE69" i="5"/>
  <c r="W69" i="5"/>
  <c r="AB69" i="5"/>
  <c r="Z69" i="5"/>
  <c r="AC52" i="5"/>
  <c r="W52" i="5"/>
  <c r="X52" i="5"/>
  <c r="Y52" i="5"/>
  <c r="AD52" i="5"/>
  <c r="AB52" i="5"/>
  <c r="Z52" i="5"/>
  <c r="AE52" i="5"/>
  <c r="AD70" i="5"/>
  <c r="AB70" i="5"/>
  <c r="Z70" i="5"/>
  <c r="W70" i="5"/>
  <c r="AA70" i="5"/>
  <c r="X70" i="5"/>
  <c r="Y70" i="5"/>
  <c r="AC70" i="5"/>
  <c r="X76" i="5"/>
  <c r="AA76" i="5"/>
  <c r="Y76" i="5"/>
  <c r="Z76" i="5"/>
  <c r="AD76" i="5"/>
  <c r="AE76" i="5"/>
  <c r="AC76" i="5"/>
  <c r="AB76" i="5"/>
  <c r="W76" i="5"/>
  <c r="Y22" i="5"/>
  <c r="Z22" i="5"/>
  <c r="AD22" i="5"/>
  <c r="X22" i="5"/>
  <c r="AE22" i="5"/>
  <c r="W22" i="5"/>
  <c r="AC22" i="5"/>
  <c r="AA22" i="5"/>
  <c r="AB22" i="5"/>
  <c r="AA81" i="5"/>
  <c r="X81" i="5"/>
  <c r="Z81" i="5"/>
  <c r="Y81" i="5"/>
  <c r="AE81" i="5"/>
  <c r="W81" i="5"/>
  <c r="AB81" i="5"/>
  <c r="Y42" i="5"/>
  <c r="W42" i="5"/>
  <c r="AE42" i="5"/>
  <c r="X42" i="5"/>
  <c r="AC42" i="5"/>
  <c r="AA42" i="5"/>
  <c r="AB42" i="5"/>
  <c r="AE28" i="5"/>
  <c r="Z28" i="5"/>
  <c r="AB28" i="5"/>
  <c r="Y28" i="5"/>
  <c r="AA28" i="5"/>
  <c r="AD28" i="5"/>
  <c r="W28" i="5"/>
  <c r="AC28" i="5"/>
  <c r="X28" i="5"/>
  <c r="AD38" i="5"/>
  <c r="AA38" i="5"/>
  <c r="Z38" i="5"/>
  <c r="Y38" i="5"/>
  <c r="X38" i="5"/>
  <c r="AB38" i="5"/>
  <c r="AE38" i="5"/>
  <c r="AC38" i="5"/>
  <c r="W38" i="5"/>
  <c r="X23" i="5"/>
  <c r="AA23" i="5"/>
  <c r="Z23" i="5"/>
  <c r="Y23" i="5"/>
  <c r="AC23" i="5"/>
  <c r="AE23" i="5"/>
  <c r="W23" i="5"/>
  <c r="AB23" i="5"/>
  <c r="AD23" i="5"/>
  <c r="Z48" i="5"/>
  <c r="AB48" i="5"/>
  <c r="Y48" i="5"/>
  <c r="W48" i="5"/>
  <c r="AA48" i="5"/>
  <c r="AD48" i="5"/>
  <c r="AC48" i="5"/>
  <c r="X48" i="5"/>
  <c r="AE48" i="5"/>
  <c r="AA63" i="5"/>
  <c r="W63" i="5"/>
  <c r="AB63" i="5"/>
  <c r="AC63" i="5"/>
  <c r="AD63" i="5"/>
  <c r="AE63" i="5"/>
  <c r="AD73" i="5"/>
  <c r="Y73" i="5"/>
  <c r="W73" i="5"/>
  <c r="AA73" i="5"/>
  <c r="AC73" i="5"/>
  <c r="X73" i="5"/>
  <c r="AB73" i="5"/>
  <c r="Z73" i="5"/>
  <c r="AE73" i="5"/>
  <c r="AE64" i="5"/>
  <c r="Z64" i="5"/>
  <c r="AC64" i="5"/>
  <c r="Y64" i="5"/>
  <c r="X64" i="5"/>
  <c r="W64" i="5"/>
  <c r="AD64" i="5"/>
  <c r="AB64" i="5"/>
  <c r="AA64" i="5"/>
  <c r="AA43" i="5"/>
  <c r="AE43" i="5"/>
  <c r="Z43" i="5"/>
  <c r="AC43" i="5"/>
  <c r="X43" i="5"/>
  <c r="W43" i="5"/>
  <c r="Y43" i="5"/>
  <c r="AD43" i="5"/>
  <c r="AB43" i="5"/>
  <c r="X75" i="5"/>
  <c r="W75" i="5"/>
  <c r="AD75" i="5"/>
  <c r="AC75" i="5"/>
  <c r="Z75" i="5"/>
  <c r="AB75" i="5"/>
  <c r="AA75" i="5"/>
  <c r="Y75" i="5"/>
  <c r="AE75" i="5"/>
  <c r="Y32" i="5"/>
  <c r="X32" i="5"/>
  <c r="AA32" i="5"/>
  <c r="Z32" i="5"/>
  <c r="W32" i="5"/>
  <c r="AE32" i="5"/>
  <c r="AD32" i="5"/>
  <c r="AC32" i="5"/>
  <c r="AB32" i="5"/>
  <c r="AC20" i="5"/>
  <c r="X20" i="5"/>
  <c r="W20" i="5"/>
  <c r="AB20" i="5"/>
  <c r="AE20" i="5"/>
  <c r="AD20" i="5"/>
  <c r="AA20" i="5"/>
  <c r="Z20" i="5"/>
  <c r="Y20" i="5"/>
  <c r="AA60" i="5"/>
  <c r="W60" i="5"/>
  <c r="AC60" i="5"/>
  <c r="Z60" i="5"/>
  <c r="AE60" i="5"/>
  <c r="AB60" i="5"/>
  <c r="Y60" i="5"/>
  <c r="X60" i="5"/>
  <c r="AD60" i="5"/>
  <c r="AE57" i="5"/>
  <c r="X57" i="5"/>
  <c r="AC57" i="5"/>
  <c r="AD57" i="5"/>
  <c r="AB57" i="5"/>
  <c r="Z57" i="5"/>
  <c r="AA57" i="5"/>
  <c r="W57" i="5"/>
  <c r="Y57" i="5"/>
  <c r="AC62" i="5"/>
  <c r="W62" i="5"/>
  <c r="AA62" i="5"/>
  <c r="Y62" i="5"/>
  <c r="Z62" i="5"/>
  <c r="AB62" i="5"/>
  <c r="AD62" i="5"/>
  <c r="AE62" i="5"/>
  <c r="X62" i="5"/>
  <c r="AE71" i="5"/>
  <c r="AD71" i="5"/>
  <c r="AC71" i="5"/>
  <c r="AA71" i="5"/>
  <c r="AB71" i="5"/>
  <c r="Z71" i="5"/>
  <c r="Y71" i="5"/>
  <c r="X71" i="5"/>
  <c r="W71" i="5"/>
  <c r="Z84" i="5"/>
  <c r="W84" i="5"/>
  <c r="AB84" i="5"/>
  <c r="AE84" i="5"/>
  <c r="X84" i="5"/>
  <c r="AA84" i="5"/>
  <c r="AC84" i="5"/>
  <c r="AD84" i="5"/>
  <c r="Y84" i="5"/>
  <c r="Y12" i="5"/>
  <c r="AD12" i="5"/>
  <c r="AE12" i="5"/>
  <c r="X12" i="5"/>
  <c r="W12" i="5"/>
  <c r="AB12" i="5"/>
  <c r="AC12" i="5"/>
  <c r="Z12" i="5"/>
  <c r="AA12" i="5"/>
  <c r="AE25" i="5"/>
  <c r="AB25" i="5"/>
  <c r="AD25" i="5"/>
  <c r="W25" i="5"/>
  <c r="Z25" i="5"/>
  <c r="AA25" i="5"/>
  <c r="Y25" i="5"/>
  <c r="X25" i="5"/>
  <c r="AC25" i="5"/>
  <c r="AD56" i="5"/>
  <c r="AC56" i="5"/>
  <c r="W56" i="5"/>
  <c r="AA56" i="5"/>
  <c r="AB56" i="5"/>
  <c r="Z56" i="5"/>
  <c r="Y56" i="5"/>
  <c r="X56" i="5"/>
  <c r="AE56" i="5"/>
  <c r="W72" i="5"/>
  <c r="AD72" i="5"/>
  <c r="AE72" i="5"/>
  <c r="X72" i="5"/>
  <c r="Y72" i="5"/>
  <c r="Z72" i="5"/>
  <c r="AA72" i="5"/>
  <c r="AB72" i="5"/>
  <c r="AC72" i="5"/>
  <c r="X40" i="5"/>
  <c r="Y40" i="5"/>
  <c r="AB40" i="5"/>
  <c r="W40" i="5"/>
  <c r="Z40" i="5"/>
  <c r="AA40" i="5"/>
  <c r="AD40" i="5"/>
  <c r="AC40" i="5"/>
  <c r="AE40" i="5"/>
  <c r="AA29" i="5"/>
  <c r="AB29" i="5"/>
  <c r="AC29" i="5"/>
  <c r="Z29" i="5"/>
  <c r="AE29" i="5"/>
  <c r="X29" i="5"/>
  <c r="Y29" i="5"/>
  <c r="W29" i="5"/>
  <c r="AD29" i="5"/>
  <c r="Y49" i="5"/>
  <c r="X49" i="5"/>
  <c r="AB49" i="5"/>
  <c r="AA49" i="5"/>
  <c r="AC49" i="5"/>
  <c r="AE49" i="5"/>
  <c r="W49" i="5"/>
  <c r="AD49" i="5"/>
  <c r="Z49" i="5"/>
  <c r="Z53" i="5"/>
  <c r="AA53" i="5"/>
  <c r="AB53" i="5"/>
  <c r="W53" i="5"/>
  <c r="X53" i="5"/>
  <c r="Y53" i="5"/>
  <c r="AC53" i="5"/>
  <c r="AD53" i="5"/>
  <c r="AE53" i="5"/>
  <c r="W50" i="5"/>
  <c r="Z50" i="5"/>
  <c r="AE50" i="5"/>
  <c r="AC50" i="5"/>
  <c r="AB50" i="5"/>
  <c r="AA50" i="5"/>
  <c r="Y50" i="5"/>
  <c r="AD50" i="5"/>
  <c r="X50" i="5"/>
  <c r="AC14" i="5"/>
  <c r="AB14" i="5"/>
  <c r="AA14" i="5"/>
  <c r="Y14" i="5"/>
  <c r="Z80" i="5"/>
  <c r="AB80" i="5"/>
  <c r="Y80" i="5"/>
  <c r="AC80" i="5"/>
  <c r="AA80" i="5"/>
  <c r="X80" i="5"/>
  <c r="AE80" i="5"/>
  <c r="AD80" i="5"/>
  <c r="W80" i="5"/>
  <c r="AB47" i="5"/>
  <c r="AA47" i="5"/>
  <c r="Z47" i="5"/>
  <c r="Y47" i="5"/>
  <c r="AC47" i="5"/>
  <c r="X47" i="5"/>
  <c r="W47" i="5"/>
  <c r="AE47" i="5"/>
  <c r="AD47" i="5"/>
  <c r="AD85" i="5"/>
  <c r="AC85" i="5"/>
  <c r="W85" i="5"/>
  <c r="AB85" i="5"/>
  <c r="AA85" i="5"/>
  <c r="Z85" i="5"/>
  <c r="AD61" i="5"/>
  <c r="AC61" i="5"/>
  <c r="AA61" i="5"/>
  <c r="X61" i="5"/>
  <c r="AE61" i="5"/>
  <c r="Z61" i="5"/>
  <c r="AB61" i="5"/>
  <c r="Y61" i="5"/>
  <c r="W61" i="5"/>
  <c r="X44" i="5"/>
  <c r="Y44" i="5"/>
  <c r="AE44" i="5"/>
  <c r="AE37" i="5"/>
  <c r="AD37" i="5"/>
  <c r="AC37" i="5"/>
  <c r="AB37" i="5"/>
  <c r="Y37" i="5"/>
  <c r="W37" i="5"/>
  <c r="Z37" i="5"/>
  <c r="AA37" i="5"/>
  <c r="X37" i="5"/>
  <c r="AB34" i="5"/>
  <c r="W34" i="5"/>
  <c r="AA34" i="5"/>
  <c r="X34" i="5"/>
  <c r="Z34" i="5"/>
  <c r="X33" i="5"/>
  <c r="Y33" i="5"/>
  <c r="Z33" i="5"/>
  <c r="AB30" i="5"/>
  <c r="AD30" i="5"/>
  <c r="AE30" i="5"/>
  <c r="W30" i="5"/>
  <c r="Y30" i="5"/>
  <c r="X30" i="5"/>
  <c r="AA30" i="5"/>
  <c r="Z30" i="5"/>
  <c r="AC30" i="5"/>
  <c r="AC24" i="5"/>
  <c r="Y24" i="5"/>
  <c r="AA24" i="5"/>
  <c r="Z24" i="5"/>
  <c r="AD24" i="5"/>
  <c r="Z15" i="5"/>
  <c r="AB15" i="5"/>
  <c r="Y15" i="5"/>
  <c r="X15" i="5"/>
  <c r="AD15" i="5"/>
  <c r="AA15" i="5"/>
  <c r="W15" i="5"/>
  <c r="AC15" i="5"/>
  <c r="AE15" i="5"/>
  <c r="AC79" i="5"/>
  <c r="AE79" i="5"/>
  <c r="AB79" i="5"/>
  <c r="Z79" i="5"/>
  <c r="Y79" i="5"/>
  <c r="X79" i="5"/>
  <c r="AA79" i="5"/>
  <c r="AD79" i="5"/>
  <c r="W79" i="5"/>
  <c r="W21" i="5"/>
  <c r="AD21" i="5"/>
  <c r="AE21" i="5"/>
  <c r="X21" i="5"/>
  <c r="AA21" i="5"/>
  <c r="Y21" i="5"/>
  <c r="AB21" i="5"/>
  <c r="AC21" i="5"/>
  <c r="Z21" i="5"/>
  <c r="Z13" i="5"/>
  <c r="AC13" i="5"/>
  <c r="X13" i="5"/>
  <c r="AE13" i="5"/>
  <c r="Y13" i="5"/>
  <c r="AA13" i="5"/>
  <c r="AD13" i="5"/>
  <c r="AB13" i="5"/>
  <c r="W13" i="5"/>
  <c r="W18" i="5"/>
  <c r="AE18" i="5"/>
  <c r="Z18" i="5"/>
  <c r="AC18" i="5"/>
  <c r="X18" i="5"/>
  <c r="AD18" i="5"/>
  <c r="AB18" i="5"/>
  <c r="AA18" i="5"/>
  <c r="Y18" i="5"/>
  <c r="AC81" i="5"/>
  <c r="AD81" i="5"/>
  <c r="X55" i="5"/>
  <c r="AC55" i="5"/>
  <c r="AE55" i="5"/>
  <c r="AB55" i="5"/>
  <c r="Z55" i="5"/>
  <c r="W55" i="5"/>
  <c r="X83" i="5"/>
  <c r="AE83" i="5"/>
  <c r="AA83" i="5"/>
  <c r="Y83" i="5"/>
  <c r="Z83" i="5"/>
  <c r="W83" i="5"/>
  <c r="AC83" i="5"/>
  <c r="AB83" i="5"/>
  <c r="AD83" i="5"/>
  <c r="X67" i="5"/>
  <c r="AB67" i="5"/>
  <c r="AC67" i="5"/>
  <c r="AD67" i="5"/>
  <c r="W67" i="5"/>
  <c r="Y67" i="5"/>
  <c r="Z67" i="5"/>
  <c r="AA67" i="5"/>
  <c r="AE67" i="5"/>
  <c r="W36" i="5"/>
  <c r="AA36" i="5"/>
  <c r="AD36" i="5"/>
  <c r="Y36" i="5"/>
  <c r="X36" i="5"/>
  <c r="X35" i="5"/>
  <c r="W35" i="5"/>
  <c r="AB35" i="5"/>
  <c r="AA35" i="5"/>
  <c r="Z35" i="5"/>
  <c r="Y35" i="5"/>
  <c r="AE35" i="5"/>
  <c r="AD35" i="5"/>
  <c r="AC35" i="5"/>
  <c r="AC29" i="4"/>
  <c r="W29" i="4"/>
  <c r="X29" i="4"/>
  <c r="AE29" i="4"/>
  <c r="AD29" i="4"/>
  <c r="Y29" i="4"/>
  <c r="Z29" i="4"/>
  <c r="AA29" i="4"/>
  <c r="AB29" i="4"/>
  <c r="W40" i="4"/>
  <c r="X40" i="4"/>
  <c r="AA40" i="4"/>
  <c r="AC40" i="4"/>
  <c r="Y40" i="4"/>
  <c r="Z40" i="4"/>
  <c r="Y58" i="4"/>
  <c r="AC58" i="4"/>
  <c r="AE58" i="4"/>
  <c r="AA58" i="4"/>
  <c r="Z58" i="4"/>
  <c r="AB58" i="4"/>
  <c r="AA37" i="4"/>
  <c r="AB37" i="4"/>
  <c r="W37" i="4"/>
  <c r="AC37" i="4"/>
  <c r="X37" i="4"/>
  <c r="Z37" i="4"/>
  <c r="AD37" i="4"/>
  <c r="AE26" i="4"/>
  <c r="X26" i="4"/>
  <c r="Y26" i="4"/>
  <c r="AB26" i="4"/>
  <c r="AC26" i="4"/>
  <c r="AD26" i="4"/>
  <c r="AA26" i="4"/>
  <c r="W26" i="4"/>
  <c r="Z26" i="4"/>
  <c r="X52" i="4"/>
  <c r="Y52" i="4"/>
  <c r="Z52" i="4"/>
  <c r="W52" i="4"/>
  <c r="AE52" i="4"/>
  <c r="AD52" i="4"/>
  <c r="AC52" i="4"/>
  <c r="AB52" i="4"/>
  <c r="AA52" i="4"/>
  <c r="AA51" i="4"/>
  <c r="Y51" i="4"/>
  <c r="X51" i="4"/>
  <c r="Z51" i="4"/>
  <c r="AB51" i="4"/>
  <c r="W51" i="4"/>
  <c r="AE51" i="4"/>
  <c r="AD51" i="4"/>
  <c r="AC51" i="4"/>
  <c r="AC28" i="4"/>
  <c r="AA28" i="4"/>
  <c r="AD28" i="4"/>
  <c r="AB28" i="4"/>
  <c r="Z28" i="4"/>
  <c r="AE28" i="4"/>
  <c r="Y28" i="4"/>
  <c r="W28" i="4"/>
  <c r="AB15" i="4"/>
  <c r="AD15" i="4"/>
  <c r="W55" i="4"/>
  <c r="X55" i="4"/>
  <c r="AD55" i="4"/>
  <c r="Z55" i="4"/>
  <c r="AB55" i="4"/>
  <c r="AC55" i="4"/>
  <c r="AA55" i="4"/>
  <c r="Y55" i="4"/>
  <c r="W12" i="4"/>
  <c r="Z12" i="4"/>
  <c r="X12" i="4"/>
  <c r="W68" i="4"/>
  <c r="Z68" i="4"/>
  <c r="AC68" i="4"/>
  <c r="X68" i="4"/>
  <c r="AA64" i="4"/>
  <c r="X64" i="4"/>
  <c r="Z64" i="4"/>
  <c r="AB64" i="4"/>
  <c r="Y64" i="4"/>
  <c r="AC64" i="4"/>
  <c r="AD64" i="4"/>
  <c r="W64" i="4"/>
  <c r="AD30" i="4"/>
  <c r="W30" i="4"/>
  <c r="AC30" i="4"/>
  <c r="AE30" i="4"/>
  <c r="AE79" i="4"/>
  <c r="AB79" i="4"/>
  <c r="AD79" i="4"/>
  <c r="AA79" i="4"/>
  <c r="Z79" i="4"/>
  <c r="Y79" i="4"/>
  <c r="W79" i="4"/>
  <c r="Y71" i="4"/>
  <c r="AB71" i="4"/>
  <c r="AC71" i="4"/>
  <c r="Z71" i="4"/>
  <c r="AD71" i="4"/>
  <c r="X71" i="4"/>
  <c r="W71" i="4"/>
  <c r="AD20" i="4"/>
  <c r="AE20" i="4"/>
  <c r="AC20" i="4"/>
  <c r="AB20" i="4"/>
  <c r="AA20" i="4"/>
  <c r="Z20" i="4"/>
  <c r="Y20" i="4"/>
  <c r="W20" i="4"/>
  <c r="X20" i="4"/>
  <c r="Y84" i="4"/>
  <c r="Z84" i="4"/>
  <c r="AB84" i="4"/>
  <c r="W84" i="4"/>
  <c r="AC84" i="4"/>
  <c r="AE84" i="4"/>
  <c r="X84" i="4"/>
  <c r="AD84" i="4"/>
  <c r="AA84" i="4"/>
  <c r="X62" i="4"/>
  <c r="AE62" i="4"/>
  <c r="AB62" i="4"/>
  <c r="W62" i="4"/>
  <c r="AC62" i="4"/>
  <c r="AA62" i="4"/>
  <c r="AA22" i="4"/>
  <c r="AB22" i="4"/>
  <c r="W22" i="4"/>
  <c r="AD60" i="4"/>
  <c r="AB60" i="4"/>
  <c r="Y60" i="4"/>
  <c r="AE60" i="4"/>
  <c r="AA60" i="4"/>
  <c r="Z60" i="4"/>
  <c r="X60" i="4"/>
  <c r="AC60" i="4"/>
  <c r="AE41" i="4"/>
  <c r="AA41" i="4"/>
  <c r="Z41" i="4"/>
  <c r="AD41" i="4"/>
  <c r="AB41" i="4"/>
  <c r="AC41" i="4"/>
  <c r="AB72" i="4"/>
  <c r="AD72" i="4"/>
  <c r="AC72" i="4"/>
  <c r="Z72" i="4"/>
  <c r="AA72" i="4"/>
  <c r="W72" i="4"/>
  <c r="X72" i="4"/>
  <c r="Y72" i="4"/>
  <c r="AE72" i="4"/>
  <c r="AB54" i="4"/>
  <c r="AC54" i="4"/>
  <c r="W54" i="4"/>
  <c r="AA54" i="4"/>
  <c r="Z54" i="4"/>
  <c r="Y54" i="4"/>
  <c r="AD54" i="4"/>
  <c r="AC53" i="4"/>
  <c r="AE53" i="4"/>
  <c r="AB53" i="4"/>
  <c r="AA53" i="4"/>
  <c r="Z53" i="4"/>
  <c r="Y53" i="4"/>
  <c r="X53" i="4"/>
  <c r="AD53" i="4"/>
  <c r="W53" i="4"/>
  <c r="Y57" i="4"/>
  <c r="W57" i="4"/>
  <c r="AC57" i="4"/>
  <c r="X57" i="4"/>
  <c r="Z57" i="4"/>
  <c r="AA57" i="4"/>
  <c r="AD57" i="4"/>
  <c r="AE57" i="4"/>
  <c r="AB57" i="4"/>
  <c r="Z59" i="4"/>
  <c r="AB59" i="4"/>
  <c r="X59" i="4"/>
  <c r="AD59" i="4"/>
  <c r="AE59" i="4"/>
  <c r="AD56" i="4"/>
  <c r="AE56" i="4"/>
  <c r="AC56" i="4"/>
  <c r="AA56" i="4"/>
  <c r="AB56" i="4"/>
  <c r="W56" i="4"/>
  <c r="Z56" i="4"/>
  <c r="X56" i="4"/>
  <c r="Y56" i="4"/>
  <c r="X38" i="4"/>
  <c r="AC38" i="4"/>
  <c r="W38" i="4"/>
  <c r="Y38" i="4"/>
  <c r="Z38" i="4"/>
  <c r="AA38" i="4"/>
  <c r="AD38" i="4"/>
  <c r="AE38" i="4"/>
  <c r="AB38" i="4"/>
  <c r="AD76" i="4"/>
  <c r="AC76" i="4"/>
  <c r="X76" i="4"/>
  <c r="AE76" i="4"/>
  <c r="AB76" i="4"/>
  <c r="AA76" i="4"/>
  <c r="Z76" i="4"/>
  <c r="Y76" i="4"/>
  <c r="AE21" i="4"/>
  <c r="W21" i="4"/>
  <c r="Y21" i="4"/>
  <c r="AB21" i="4"/>
  <c r="Z21" i="4"/>
  <c r="X21" i="4"/>
  <c r="AA21" i="4"/>
  <c r="AD21" i="4"/>
  <c r="AC21" i="4"/>
  <c r="AE47" i="4"/>
  <c r="X47" i="4"/>
  <c r="AB47" i="4"/>
  <c r="W47" i="4"/>
  <c r="Y47" i="4"/>
  <c r="AC47" i="4"/>
  <c r="AD47" i="4"/>
  <c r="Z47" i="4"/>
  <c r="AA47" i="4"/>
  <c r="AB78" i="4"/>
  <c r="AC78" i="4"/>
  <c r="X78" i="4"/>
  <c r="Y33" i="4"/>
  <c r="AC33" i="4"/>
  <c r="AD33" i="4"/>
  <c r="AA33" i="4"/>
  <c r="AB33" i="4"/>
  <c r="W33" i="4"/>
  <c r="Y75" i="4"/>
  <c r="Z75" i="4"/>
  <c r="AE75" i="4"/>
  <c r="AC75" i="4"/>
  <c r="W75" i="4"/>
  <c r="AB75" i="4"/>
  <c r="X75" i="4"/>
  <c r="AD75" i="4"/>
  <c r="AD39" i="4"/>
  <c r="Y39" i="4"/>
  <c r="Z39" i="4"/>
  <c r="AB39" i="4"/>
  <c r="AE39" i="4"/>
  <c r="AC39" i="4"/>
  <c r="X39" i="4"/>
  <c r="W39" i="4"/>
  <c r="AA39" i="4"/>
  <c r="W36" i="4"/>
  <c r="X36" i="4"/>
  <c r="AC36" i="4"/>
  <c r="Y36" i="4"/>
  <c r="AE36" i="4"/>
  <c r="Z36" i="4"/>
  <c r="AD36" i="4"/>
  <c r="AA36" i="4"/>
  <c r="AB36" i="4"/>
  <c r="AB24" i="4"/>
  <c r="AE24" i="4"/>
  <c r="AA24" i="4"/>
  <c r="W24" i="4"/>
  <c r="Z24" i="4"/>
  <c r="Y24" i="4"/>
  <c r="AD24" i="4"/>
  <c r="AC24" i="4"/>
  <c r="X24" i="4"/>
  <c r="X19" i="4"/>
  <c r="AB19" i="4"/>
  <c r="Y19" i="4"/>
  <c r="Z19" i="4"/>
  <c r="AA19" i="4"/>
  <c r="W19" i="4"/>
  <c r="AD19" i="4"/>
  <c r="AE19" i="4"/>
  <c r="AC19" i="4"/>
  <c r="AA49" i="4"/>
  <c r="AE49" i="4"/>
  <c r="Y49" i="4"/>
  <c r="W49" i="4"/>
  <c r="Z49" i="4"/>
  <c r="AB49" i="4"/>
  <c r="X49" i="4"/>
  <c r="AC49" i="4"/>
  <c r="AD49" i="4"/>
  <c r="X10" i="4"/>
  <c r="Z10" i="4"/>
  <c r="AA10" i="4"/>
  <c r="AE10" i="4"/>
  <c r="AD10" i="4"/>
  <c r="AB10" i="4"/>
  <c r="W10" i="4"/>
  <c r="Y10" i="4"/>
  <c r="AC10" i="4"/>
  <c r="AD73" i="4"/>
  <c r="Z73" i="4"/>
  <c r="Y73" i="4"/>
  <c r="AB73" i="4"/>
  <c r="AE73" i="4"/>
  <c r="AC73" i="4"/>
  <c r="AA73" i="4"/>
  <c r="W73" i="4"/>
  <c r="X73" i="4"/>
  <c r="Y44" i="4"/>
  <c r="AB44" i="4"/>
  <c r="AC44" i="4"/>
  <c r="AD44" i="4"/>
  <c r="W44" i="4"/>
  <c r="AA44" i="4"/>
  <c r="Z44" i="4"/>
  <c r="AE44" i="4"/>
  <c r="X44" i="4"/>
  <c r="Y17" i="4"/>
  <c r="Z17" i="4"/>
  <c r="X17" i="4"/>
  <c r="AB17" i="4"/>
  <c r="AC17" i="4"/>
  <c r="AD17" i="4"/>
  <c r="AE17" i="4"/>
  <c r="AA17" i="4"/>
  <c r="W17" i="4"/>
  <c r="X85" i="4"/>
  <c r="Y85" i="4"/>
  <c r="AB85" i="4"/>
  <c r="AC85" i="4"/>
  <c r="AD85" i="4"/>
  <c r="Z85" i="4"/>
  <c r="AA85" i="4"/>
  <c r="W85" i="4"/>
  <c r="AE85" i="4"/>
  <c r="AC74" i="4"/>
  <c r="X74" i="4"/>
  <c r="AB74" i="4"/>
  <c r="Z74" i="4"/>
  <c r="AA74" i="4"/>
  <c r="Y74" i="4"/>
  <c r="W74" i="4"/>
  <c r="AD74" i="4"/>
  <c r="AE74" i="4"/>
  <c r="AC11" i="4"/>
  <c r="Y11" i="4"/>
  <c r="Z11" i="4"/>
  <c r="AD11" i="4"/>
  <c r="X11" i="4"/>
  <c r="W11" i="4"/>
  <c r="AE11" i="4"/>
  <c r="AA11" i="4"/>
  <c r="AB11" i="4"/>
  <c r="Z32" i="4"/>
  <c r="AA32" i="4"/>
  <c r="AE32" i="4"/>
  <c r="AB32" i="4"/>
  <c r="AD32" i="4"/>
  <c r="AC32" i="4"/>
  <c r="Y32" i="4"/>
  <c r="W32" i="4"/>
  <c r="X32" i="4"/>
  <c r="X77" i="4"/>
  <c r="W77" i="4"/>
  <c r="AD77" i="4"/>
  <c r="AE77" i="4"/>
  <c r="Y77" i="4"/>
  <c r="AC77" i="4"/>
  <c r="AB77" i="4"/>
  <c r="AA77" i="4"/>
  <c r="Z77" i="4"/>
  <c r="X61" i="4"/>
  <c r="AE61" i="4"/>
  <c r="Z61" i="4"/>
  <c r="W61" i="4"/>
  <c r="AC61" i="4"/>
  <c r="AD61" i="4"/>
  <c r="Y61" i="4"/>
  <c r="AB61" i="4"/>
  <c r="AA61" i="4"/>
  <c r="Y25" i="4"/>
  <c r="AB25" i="4"/>
  <c r="X25" i="4"/>
  <c r="W25" i="4"/>
  <c r="AC25" i="4"/>
  <c r="AE25" i="4"/>
  <c r="AD25" i="4"/>
  <c r="Z25" i="4"/>
  <c r="AA25" i="4"/>
  <c r="AB69" i="4"/>
  <c r="AA69" i="4"/>
  <c r="Z69" i="4"/>
  <c r="AD69" i="4"/>
  <c r="W69" i="4"/>
  <c r="AE69" i="4"/>
  <c r="AC69" i="4"/>
  <c r="Y69" i="4"/>
  <c r="X69" i="4"/>
  <c r="X18" i="4"/>
  <c r="W18" i="4"/>
  <c r="AC18" i="4"/>
  <c r="AE18" i="4"/>
  <c r="AB18" i="4"/>
  <c r="AA18" i="4"/>
  <c r="Z18" i="4"/>
  <c r="AD18" i="4"/>
  <c r="Y18" i="4"/>
  <c r="AC80" i="4"/>
  <c r="AD80" i="4"/>
  <c r="AE80" i="4"/>
  <c r="Y80" i="4"/>
  <c r="Z80" i="4"/>
  <c r="W80" i="4"/>
  <c r="X80" i="4"/>
  <c r="AA80" i="4"/>
  <c r="AB80" i="4"/>
  <c r="AB43" i="4"/>
  <c r="AD43" i="4"/>
  <c r="AE43" i="4"/>
  <c r="AA43" i="4"/>
  <c r="W43" i="4"/>
  <c r="X43" i="4"/>
  <c r="Z43" i="4"/>
  <c r="AC43" i="4"/>
  <c r="Y43" i="4"/>
  <c r="W13" i="4"/>
  <c r="AB13" i="4"/>
  <c r="AA13" i="4"/>
  <c r="X13" i="4"/>
  <c r="Z13" i="4"/>
  <c r="Y13" i="4"/>
  <c r="AE13" i="4"/>
  <c r="AC13" i="4"/>
  <c r="AD13" i="4"/>
  <c r="Y82" i="4"/>
  <c r="AA82" i="4"/>
  <c r="AD82" i="4"/>
  <c r="AB82" i="4"/>
  <c r="W82" i="4"/>
  <c r="Z82" i="4"/>
  <c r="X82" i="4"/>
  <c r="AC82" i="4"/>
  <c r="AE82" i="4"/>
  <c r="AE35" i="4"/>
  <c r="AB35" i="4"/>
  <c r="AD35" i="4"/>
  <c r="Y35" i="4"/>
  <c r="Z35" i="4"/>
  <c r="AA35" i="4"/>
  <c r="W35" i="4"/>
  <c r="AC35" i="4"/>
  <c r="X35" i="4"/>
  <c r="Z14" i="4"/>
  <c r="AA14" i="4"/>
  <c r="W14" i="4"/>
  <c r="AE14" i="4"/>
  <c r="X14" i="4"/>
  <c r="AB14" i="4"/>
  <c r="AC14" i="4"/>
  <c r="AD14" i="4"/>
  <c r="Y14" i="4"/>
  <c r="W31" i="4"/>
  <c r="AE31" i="4"/>
  <c r="AD31" i="4"/>
  <c r="AC31" i="4"/>
  <c r="X31" i="4"/>
  <c r="Y31" i="4"/>
  <c r="Z31" i="4"/>
  <c r="AA31" i="4"/>
  <c r="AB31" i="4"/>
  <c r="Z48" i="4"/>
  <c r="AA48" i="4"/>
  <c r="AD48" i="4"/>
  <c r="AB48" i="4"/>
  <c r="AC48" i="4"/>
  <c r="AE48" i="4"/>
  <c r="X48" i="4"/>
  <c r="Y48" i="4"/>
  <c r="W48" i="4"/>
  <c r="AC70" i="4"/>
  <c r="W70" i="4"/>
  <c r="X70" i="4"/>
  <c r="Y70" i="4"/>
  <c r="Z70" i="4"/>
  <c r="AB70" i="4"/>
  <c r="AA70" i="4"/>
  <c r="AD70" i="4"/>
  <c r="AE70" i="4"/>
  <c r="AC42" i="4"/>
  <c r="AB42" i="4"/>
  <c r="AA42" i="4"/>
  <c r="Z42" i="4"/>
  <c r="X42" i="4"/>
  <c r="W42" i="4"/>
  <c r="AE42" i="4"/>
  <c r="AD42" i="4"/>
  <c r="Y42" i="4"/>
  <c r="AC58" i="3"/>
  <c r="AA58" i="3"/>
  <c r="AB58" i="3"/>
  <c r="AD58" i="3"/>
  <c r="Z58" i="3"/>
  <c r="AE58" i="3"/>
  <c r="W58" i="3"/>
  <c r="Z36" i="3"/>
  <c r="Y36" i="3"/>
  <c r="AE36" i="3"/>
  <c r="AA36" i="3"/>
  <c r="AB36" i="3"/>
  <c r="AD36" i="3"/>
  <c r="W85" i="3"/>
  <c r="AB85" i="3"/>
  <c r="AE85" i="3"/>
  <c r="X85" i="3"/>
  <c r="AC85" i="3"/>
  <c r="AA85" i="3"/>
  <c r="Z85" i="3"/>
  <c r="Y85" i="3"/>
  <c r="AD85" i="3"/>
  <c r="Z37" i="3"/>
  <c r="X37" i="3"/>
  <c r="AB37" i="3"/>
  <c r="AE37" i="3"/>
  <c r="AC37" i="3"/>
  <c r="AA37" i="3"/>
  <c r="AD37" i="3"/>
  <c r="W37" i="3"/>
  <c r="Y37" i="3"/>
  <c r="AA72" i="3"/>
  <c r="AE72" i="3"/>
  <c r="AC72" i="3"/>
  <c r="AB72" i="3"/>
  <c r="AD72" i="3"/>
  <c r="Z72" i="3"/>
  <c r="Y72" i="3"/>
  <c r="X72" i="3"/>
  <c r="W72" i="3"/>
  <c r="X32" i="3"/>
  <c r="AE32" i="3"/>
  <c r="AD32" i="3"/>
  <c r="AC32" i="3"/>
  <c r="Y32" i="3"/>
  <c r="Z32" i="3"/>
  <c r="AB32" i="3"/>
  <c r="W32" i="3"/>
  <c r="AA32" i="3"/>
  <c r="AD42" i="3"/>
  <c r="AA42" i="3"/>
  <c r="Y42" i="3"/>
  <c r="X42" i="3"/>
  <c r="W42" i="3"/>
  <c r="AB42" i="3"/>
  <c r="AC42" i="3"/>
  <c r="Z42" i="3"/>
  <c r="AE42" i="3"/>
  <c r="X47" i="3"/>
  <c r="Y47" i="3"/>
  <c r="AB47" i="3"/>
  <c r="AE47" i="3"/>
  <c r="AC47" i="3"/>
  <c r="AD47" i="3"/>
  <c r="Z47" i="3"/>
  <c r="AA47" i="3"/>
  <c r="W47" i="3"/>
  <c r="AB52" i="3"/>
  <c r="AD52" i="3"/>
  <c r="AE52" i="3"/>
  <c r="W52" i="3"/>
  <c r="AA52" i="3"/>
  <c r="Y52" i="3"/>
  <c r="X52" i="3"/>
  <c r="AC52" i="3"/>
  <c r="Z52" i="3"/>
  <c r="Y57" i="3"/>
  <c r="AC57" i="3"/>
  <c r="Z57" i="3"/>
  <c r="AA57" i="3"/>
  <c r="AB57" i="3"/>
  <c r="AD57" i="3"/>
  <c r="AE57" i="3"/>
  <c r="W57" i="3"/>
  <c r="X57" i="3"/>
  <c r="Y34" i="3"/>
  <c r="X34" i="3"/>
  <c r="AC34" i="3"/>
  <c r="Z34" i="3"/>
  <c r="W34" i="3"/>
  <c r="AA34" i="3"/>
  <c r="AE34" i="3"/>
  <c r="AB34" i="3"/>
  <c r="AD34" i="3"/>
  <c r="Z19" i="3"/>
  <c r="AD19" i="3"/>
  <c r="AC19" i="3"/>
  <c r="AE19" i="3"/>
  <c r="AB19" i="3"/>
  <c r="X19" i="3"/>
  <c r="AA19" i="3"/>
  <c r="W19" i="3"/>
  <c r="Y19" i="3"/>
  <c r="AD30" i="3"/>
  <c r="W30" i="3"/>
  <c r="AB30" i="3"/>
  <c r="AA30" i="3"/>
  <c r="AE30" i="3"/>
  <c r="X30" i="3"/>
  <c r="Y30" i="3"/>
  <c r="Z30" i="3"/>
  <c r="AC30" i="3"/>
  <c r="AA48" i="3"/>
  <c r="X48" i="3"/>
  <c r="W48" i="3"/>
  <c r="AE48" i="3"/>
  <c r="Y48" i="3"/>
  <c r="AD48" i="3"/>
  <c r="Z48" i="3"/>
  <c r="AC48" i="3"/>
  <c r="AB48" i="3"/>
  <c r="AD63" i="3"/>
  <c r="AC63" i="3"/>
  <c r="X63" i="3"/>
  <c r="AA63" i="3"/>
  <c r="AB63" i="3"/>
  <c r="AE63" i="3"/>
  <c r="W63" i="3"/>
  <c r="Z63" i="3"/>
  <c r="Y63" i="3"/>
  <c r="W80" i="3"/>
  <c r="Z80" i="3"/>
  <c r="AE80" i="3"/>
  <c r="X80" i="3"/>
  <c r="Y80" i="3"/>
  <c r="AD80" i="3"/>
  <c r="AB80" i="3"/>
  <c r="AA80" i="3"/>
  <c r="AC80" i="3"/>
  <c r="X68" i="3"/>
  <c r="Y68" i="3"/>
  <c r="AA68" i="3"/>
  <c r="AD68" i="3"/>
  <c r="AB68" i="3"/>
  <c r="Z68" i="3"/>
  <c r="AC68" i="3"/>
  <c r="AE68" i="3"/>
  <c r="W68" i="3"/>
  <c r="Y62" i="3"/>
  <c r="AE62" i="3"/>
  <c r="AB62" i="3"/>
  <c r="AC62" i="3"/>
  <c r="AA62" i="3"/>
  <c r="Z62" i="3"/>
  <c r="X62" i="3"/>
  <c r="W62" i="3"/>
  <c r="AD62" i="3"/>
  <c r="X21" i="3"/>
  <c r="Y21" i="3"/>
  <c r="AE21" i="3"/>
  <c r="AD21" i="3"/>
  <c r="Z21" i="3"/>
  <c r="AB21" i="3"/>
  <c r="AA21" i="3"/>
  <c r="AC21" i="3"/>
  <c r="W21" i="3"/>
  <c r="AA40" i="3"/>
  <c r="AB40" i="3"/>
  <c r="AC40" i="3"/>
  <c r="AD40" i="3"/>
  <c r="W40" i="3"/>
  <c r="Y40" i="3"/>
  <c r="Z40" i="3"/>
  <c r="X40" i="3"/>
  <c r="AE40" i="3"/>
  <c r="Z51" i="3"/>
  <c r="AC51" i="3"/>
  <c r="Y51" i="3"/>
  <c r="AE51" i="3"/>
  <c r="AD51" i="3"/>
  <c r="X51" i="3"/>
  <c r="AA51" i="3"/>
  <c r="AB51" i="3"/>
  <c r="W51" i="3"/>
  <c r="Y74" i="3"/>
  <c r="AE74" i="3"/>
  <c r="Z74" i="3"/>
  <c r="X74" i="3"/>
  <c r="AC74" i="3"/>
  <c r="AA74" i="3"/>
  <c r="W74" i="3"/>
  <c r="AD74" i="3"/>
  <c r="AB74" i="3"/>
  <c r="AA20" i="3"/>
  <c r="W20" i="3"/>
  <c r="X20" i="3"/>
  <c r="AB20" i="3"/>
  <c r="AD20" i="3"/>
  <c r="AE20" i="3"/>
  <c r="Y20" i="3"/>
  <c r="Z20" i="3"/>
  <c r="AC20" i="3"/>
  <c r="AB39" i="3"/>
  <c r="AA39" i="3"/>
  <c r="AD39" i="3"/>
  <c r="X39" i="3"/>
  <c r="Y39" i="3"/>
  <c r="AC39" i="3"/>
  <c r="AE39" i="3"/>
  <c r="Z39" i="3"/>
  <c r="W39" i="3"/>
  <c r="W54" i="3"/>
  <c r="AE54" i="3"/>
  <c r="AD54" i="3"/>
  <c r="AC54" i="3"/>
  <c r="AB54" i="3"/>
  <c r="AA54" i="3"/>
  <c r="Y54" i="3"/>
  <c r="Z54" i="3"/>
  <c r="X54" i="3"/>
  <c r="X18" i="3"/>
  <c r="Z18" i="3"/>
  <c r="W18" i="3"/>
  <c r="AA18" i="3"/>
  <c r="AB18" i="3"/>
  <c r="AC18" i="3"/>
  <c r="AE18" i="3"/>
  <c r="AD18" i="3"/>
  <c r="Y18" i="3"/>
  <c r="AE22" i="3"/>
  <c r="AC22" i="3"/>
  <c r="AB22" i="3"/>
  <c r="Z22" i="3"/>
  <c r="X22" i="3"/>
  <c r="W22" i="3"/>
  <c r="Y22" i="3"/>
  <c r="AD22" i="3"/>
  <c r="AA22" i="3"/>
  <c r="AD28" i="3"/>
  <c r="Z28" i="3"/>
  <c r="AA28" i="3"/>
  <c r="W28" i="3"/>
  <c r="AE28" i="3"/>
  <c r="AB28" i="3"/>
  <c r="X28" i="3"/>
  <c r="AC28" i="3"/>
  <c r="Y28" i="3"/>
  <c r="AC41" i="3"/>
  <c r="AB41" i="3"/>
  <c r="W41" i="3"/>
  <c r="AE41" i="3"/>
  <c r="Y41" i="3"/>
  <c r="X41" i="3"/>
  <c r="AA41" i="3"/>
  <c r="Z41" i="3"/>
  <c r="AD41" i="3"/>
  <c r="AC14" i="3"/>
  <c r="AA14" i="3"/>
  <c r="Z14" i="3"/>
  <c r="Y14" i="3"/>
  <c r="X14" i="3"/>
  <c r="AE14" i="3"/>
  <c r="AB14" i="3"/>
  <c r="AD14" i="3"/>
  <c r="W14" i="3"/>
  <c r="Y78" i="3"/>
  <c r="AA78" i="3"/>
  <c r="W78" i="3"/>
  <c r="AE78" i="3"/>
  <c r="AB78" i="3"/>
  <c r="X78" i="3"/>
  <c r="AD78" i="3"/>
  <c r="AC78" i="3"/>
  <c r="Z78" i="3"/>
  <c r="W29" i="3"/>
  <c r="AC29" i="3"/>
  <c r="AD29" i="3"/>
  <c r="AE29" i="3"/>
  <c r="Z29" i="3"/>
  <c r="X29" i="3"/>
  <c r="AA29" i="3"/>
  <c r="AB29" i="3"/>
  <c r="Y29" i="3"/>
  <c r="Y56" i="3"/>
  <c r="AE56" i="3"/>
  <c r="Z56" i="3"/>
  <c r="AD56" i="3"/>
  <c r="AA56" i="3"/>
  <c r="AC56" i="3"/>
  <c r="AB56" i="3"/>
  <c r="W56" i="3"/>
  <c r="X56" i="3"/>
  <c r="Y81" i="3"/>
  <c r="X81" i="3"/>
  <c r="AA81" i="3"/>
  <c r="AC81" i="3"/>
  <c r="AD81" i="3"/>
  <c r="AE81" i="3"/>
  <c r="Z81" i="3"/>
  <c r="W81" i="3"/>
  <c r="AB81" i="3"/>
  <c r="W67" i="3"/>
  <c r="AD67" i="3"/>
  <c r="AA67" i="3"/>
  <c r="X67" i="3"/>
  <c r="AB67" i="3"/>
  <c r="AC67" i="3"/>
  <c r="Y67" i="3"/>
  <c r="AE67" i="3"/>
  <c r="Z67" i="3"/>
  <c r="W25" i="3"/>
  <c r="AA25" i="3"/>
  <c r="Z25" i="3"/>
  <c r="Y25" i="3"/>
  <c r="X25" i="3"/>
  <c r="AD25" i="3"/>
  <c r="AB25" i="3"/>
  <c r="AE25" i="3"/>
  <c r="AC25" i="3"/>
  <c r="Z65" i="3"/>
  <c r="AA65" i="3"/>
  <c r="AB65" i="3"/>
  <c r="AE65" i="3"/>
  <c r="W65" i="3"/>
  <c r="X65" i="3"/>
  <c r="Y65" i="3"/>
  <c r="AC65" i="3"/>
  <c r="AD65" i="3"/>
  <c r="Z83" i="3"/>
  <c r="Y83" i="3"/>
  <c r="AA83" i="3"/>
  <c r="X83" i="3"/>
  <c r="AD83" i="3"/>
  <c r="AE83" i="3"/>
  <c r="AC83" i="3"/>
  <c r="AB83" i="3"/>
  <c r="W83" i="3"/>
  <c r="AE45" i="3"/>
  <c r="AB45" i="3"/>
  <c r="AC45" i="3"/>
  <c r="W45" i="3"/>
  <c r="X45" i="3"/>
  <c r="Y45" i="3"/>
  <c r="Z45" i="3"/>
  <c r="AA45" i="3"/>
  <c r="AD45" i="3"/>
  <c r="AB76" i="3"/>
  <c r="AE76" i="3"/>
  <c r="AC76" i="3"/>
  <c r="AD76" i="3"/>
  <c r="AA76" i="3"/>
  <c r="Z76" i="3"/>
  <c r="Y76" i="3"/>
  <c r="W76" i="3"/>
  <c r="X76" i="3"/>
  <c r="W10" i="3"/>
  <c r="AB10" i="3"/>
  <c r="AA10" i="3"/>
  <c r="Y10" i="3"/>
  <c r="AC10" i="3"/>
  <c r="Z10" i="3"/>
  <c r="AD10" i="3"/>
  <c r="AE10" i="3"/>
  <c r="X10" i="3"/>
  <c r="W35" i="3"/>
  <c r="AC35" i="3"/>
  <c r="X35" i="3"/>
  <c r="AA35" i="3"/>
  <c r="AD35" i="3"/>
  <c r="Y35" i="3"/>
  <c r="AB35" i="3"/>
  <c r="Z35" i="3"/>
  <c r="AE35" i="3"/>
  <c r="W66" i="3"/>
  <c r="X66" i="3"/>
  <c r="AE66" i="3"/>
  <c r="AD66" i="3"/>
  <c r="AC66" i="3"/>
  <c r="AB66" i="3"/>
  <c r="AA66" i="3"/>
  <c r="Y66" i="3"/>
  <c r="Z66" i="3"/>
  <c r="W84" i="3"/>
  <c r="X84" i="3"/>
  <c r="AA84" i="3"/>
  <c r="Y84" i="3"/>
  <c r="Z84" i="3"/>
  <c r="AD84" i="3"/>
  <c r="AC84" i="3"/>
  <c r="AE84" i="3"/>
  <c r="AB84" i="3"/>
  <c r="AB46" i="3"/>
  <c r="W46" i="3"/>
  <c r="X46" i="3"/>
  <c r="AE46" i="3"/>
  <c r="Y46" i="3"/>
  <c r="Z46" i="3"/>
  <c r="AD46" i="3"/>
  <c r="AA46" i="3"/>
  <c r="AC46" i="3"/>
  <c r="AC38" i="3"/>
  <c r="Z38" i="3"/>
  <c r="AA38" i="3"/>
  <c r="AB38" i="3"/>
  <c r="AE38" i="3"/>
  <c r="Y38" i="3"/>
  <c r="AD38" i="3"/>
  <c r="X38" i="3"/>
  <c r="W38" i="3"/>
  <c r="AA49" i="3"/>
  <c r="Y49" i="3"/>
  <c r="X49" i="3"/>
  <c r="AC49" i="3"/>
  <c r="AB49" i="3"/>
  <c r="AD49" i="3"/>
  <c r="AE49" i="3"/>
  <c r="Z49" i="3"/>
  <c r="W49" i="3"/>
  <c r="AD15" i="3"/>
  <c r="Y15" i="3"/>
  <c r="AE15" i="3"/>
  <c r="X15" i="3"/>
  <c r="Z15" i="3"/>
  <c r="AA15" i="3"/>
  <c r="AB15" i="3"/>
  <c r="AC15" i="3"/>
  <c r="W15" i="3"/>
  <c r="AB26" i="3"/>
  <c r="AC26" i="3"/>
  <c r="X26" i="3"/>
  <c r="Z26" i="3"/>
  <c r="AD26" i="3"/>
  <c r="AE26" i="3"/>
  <c r="W26" i="3"/>
  <c r="Y26" i="3"/>
  <c r="AA26" i="3"/>
  <c r="Z44" i="3"/>
  <c r="Y44" i="3"/>
  <c r="X44" i="3"/>
  <c r="AC44" i="3"/>
  <c r="AE44" i="3"/>
  <c r="W44" i="3"/>
  <c r="AB44" i="3"/>
  <c r="AA44" i="3"/>
  <c r="AD44" i="3"/>
  <c r="AB53" i="3"/>
  <c r="W53" i="3"/>
  <c r="AE53" i="3"/>
  <c r="X53" i="3"/>
  <c r="Y53" i="3"/>
  <c r="Z53" i="3"/>
  <c r="AA53" i="3"/>
  <c r="AC53" i="3"/>
  <c r="AD53" i="3"/>
  <c r="W64" i="3"/>
  <c r="AD64" i="3"/>
  <c r="AC64" i="3"/>
  <c r="AE64" i="3"/>
  <c r="Z64" i="3"/>
  <c r="AA64" i="3"/>
  <c r="Y64" i="3"/>
  <c r="AB64" i="3"/>
  <c r="X64" i="3"/>
  <c r="AA33" i="3"/>
  <c r="W33" i="3"/>
  <c r="X33" i="3"/>
  <c r="Y33" i="3"/>
  <c r="AC33" i="3"/>
  <c r="Z33" i="3"/>
  <c r="AB33" i="3"/>
  <c r="AD33" i="3"/>
  <c r="AE33" i="3"/>
  <c r="AD71" i="3"/>
  <c r="AE71" i="3"/>
  <c r="Z71" i="3"/>
  <c r="Y71" i="3"/>
  <c r="AB71" i="3"/>
  <c r="AC71" i="3"/>
  <c r="W71" i="3"/>
  <c r="X71" i="3"/>
  <c r="AA71" i="3"/>
  <c r="Y82" i="3"/>
  <c r="AD82" i="3"/>
  <c r="AE82" i="3"/>
  <c r="AB82" i="3"/>
  <c r="AC82" i="3"/>
  <c r="W82" i="3"/>
  <c r="Z82" i="3"/>
  <c r="X82" i="3"/>
  <c r="AA82" i="3"/>
  <c r="AC73" i="3"/>
  <c r="W73" i="3"/>
  <c r="AE73" i="3"/>
  <c r="Y73" i="3"/>
  <c r="X73" i="3"/>
  <c r="AD73" i="3"/>
  <c r="AB73" i="3"/>
  <c r="AA73" i="3"/>
  <c r="Z73" i="3"/>
  <c r="AB55" i="3"/>
  <c r="AC55" i="3"/>
  <c r="W55" i="3"/>
  <c r="Y55" i="3"/>
  <c r="X55" i="3"/>
  <c r="AD55" i="3"/>
  <c r="AE55" i="3"/>
  <c r="Z55" i="3"/>
  <c r="AA55" i="3"/>
  <c r="X50" i="3"/>
  <c r="AB50" i="3"/>
  <c r="AE50" i="3"/>
  <c r="AD50" i="3"/>
  <c r="AC50" i="3"/>
  <c r="Y50" i="3"/>
  <c r="W50" i="3"/>
  <c r="Z50" i="3"/>
  <c r="AA50" i="3"/>
  <c r="W23" i="3"/>
  <c r="AE23" i="3"/>
  <c r="AC23" i="3"/>
  <c r="AD23" i="3"/>
  <c r="AA23" i="3"/>
  <c r="AB23" i="3"/>
  <c r="Z23" i="3"/>
  <c r="Y23" i="3"/>
  <c r="X23" i="3"/>
  <c r="Y77" i="3"/>
  <c r="AE77" i="3"/>
  <c r="Z77" i="3"/>
  <c r="W77" i="3"/>
  <c r="AD77" i="3"/>
  <c r="AC77" i="3"/>
  <c r="AB77" i="3"/>
  <c r="AA77" i="3"/>
  <c r="X77" i="3"/>
  <c r="X69" i="3"/>
  <c r="AB69" i="3"/>
  <c r="AD69" i="3"/>
  <c r="W69" i="3"/>
  <c r="AA69" i="3"/>
  <c r="AC69" i="3"/>
  <c r="Z69" i="3"/>
  <c r="Y69" i="3"/>
  <c r="AE69" i="3"/>
  <c r="AE31" i="3"/>
  <c r="AD31" i="3"/>
  <c r="AC31" i="3"/>
  <c r="Y31" i="3"/>
  <c r="X31" i="3"/>
  <c r="AB31" i="3"/>
  <c r="AA31" i="3"/>
  <c r="Z31" i="3"/>
  <c r="W31" i="3"/>
  <c r="AC79" i="3"/>
  <c r="AB79" i="3"/>
  <c r="AA79" i="3"/>
  <c r="Z79" i="3"/>
  <c r="AE79" i="3"/>
  <c r="Y79" i="3"/>
  <c r="X79" i="3"/>
  <c r="W79" i="3"/>
  <c r="AD79" i="3"/>
  <c r="AA70" i="3"/>
  <c r="Z70" i="3"/>
  <c r="AD70" i="3"/>
  <c r="W70" i="3"/>
  <c r="X70" i="3"/>
  <c r="Y70" i="3"/>
  <c r="AE70" i="3"/>
  <c r="AC70" i="3"/>
  <c r="AB70" i="3"/>
  <c r="W12" i="3"/>
  <c r="X12" i="3"/>
  <c r="Y12" i="3"/>
  <c r="Z12" i="3"/>
  <c r="AE12" i="3"/>
  <c r="AD12" i="3"/>
  <c r="AC12" i="3"/>
  <c r="AA12" i="3"/>
  <c r="AB12" i="3"/>
  <c r="AD61" i="3"/>
  <c r="X61" i="3"/>
  <c r="W61" i="3"/>
  <c r="AC61" i="3"/>
  <c r="AB61" i="3"/>
  <c r="AA61" i="3"/>
  <c r="Z61" i="3"/>
  <c r="AE61" i="3"/>
  <c r="Y61" i="3"/>
  <c r="AD11" i="3"/>
  <c r="AA11" i="3"/>
  <c r="AE11" i="3"/>
  <c r="W11" i="3"/>
  <c r="AC11" i="3"/>
  <c r="AB11" i="3"/>
  <c r="Y11" i="3"/>
  <c r="Z11" i="3"/>
  <c r="X11" i="3"/>
  <c r="Y27" i="3"/>
  <c r="AB27" i="3"/>
  <c r="W27" i="3"/>
  <c r="AC27" i="3"/>
  <c r="AE27" i="3"/>
  <c r="X27" i="3"/>
  <c r="Z27" i="3"/>
  <c r="AA27" i="3"/>
  <c r="AD27" i="3"/>
  <c r="AB43" i="3"/>
  <c r="AC43" i="3"/>
  <c r="Z43" i="3"/>
  <c r="Y43" i="3"/>
  <c r="X43" i="3"/>
  <c r="AE43" i="3"/>
  <c r="AA43" i="3"/>
  <c r="W43" i="3"/>
  <c r="AD43" i="3"/>
  <c r="Z59" i="3"/>
  <c r="Y59" i="3"/>
  <c r="X59" i="3"/>
  <c r="W59" i="3"/>
  <c r="AE59" i="3"/>
  <c r="AB59" i="3"/>
  <c r="AC59" i="3"/>
  <c r="AD59" i="3"/>
  <c r="AA59" i="3"/>
  <c r="AC75" i="3"/>
  <c r="Y75" i="3"/>
  <c r="AD75" i="3"/>
  <c r="X75" i="3"/>
  <c r="W75" i="3"/>
  <c r="AA75" i="3"/>
  <c r="AE75" i="3"/>
  <c r="Z75" i="3"/>
  <c r="AB75" i="3"/>
  <c r="W13" i="3"/>
  <c r="Z13" i="3"/>
  <c r="Y13" i="3"/>
  <c r="X13" i="3"/>
  <c r="AB13" i="3"/>
  <c r="AC13" i="3"/>
  <c r="AD13" i="3"/>
  <c r="AE13" i="3"/>
  <c r="AA13" i="3"/>
  <c r="Y17" i="3"/>
  <c r="AD17" i="3"/>
  <c r="X17" i="3"/>
  <c r="AC17" i="3"/>
  <c r="AB17" i="3"/>
  <c r="AA17" i="3"/>
  <c r="W17" i="3"/>
  <c r="Z17" i="3"/>
  <c r="AE17" i="3"/>
  <c r="Y24" i="3"/>
  <c r="AB24" i="3"/>
  <c r="Z24" i="3"/>
  <c r="AE24" i="3"/>
  <c r="AA24" i="3"/>
  <c r="AD24" i="3"/>
  <c r="AC24" i="3"/>
  <c r="W24" i="3"/>
  <c r="X24" i="3"/>
  <c r="AB60" i="3"/>
  <c r="W60" i="3"/>
  <c r="X60" i="3"/>
  <c r="AC60" i="3"/>
  <c r="AD60" i="3"/>
  <c r="Y60" i="3"/>
  <c r="Z60" i="3"/>
  <c r="AA60" i="3"/>
  <c r="AE60" i="3"/>
  <c r="Z16" i="3"/>
  <c r="Y16" i="3"/>
  <c r="AE16" i="3"/>
  <c r="AC16" i="3"/>
  <c r="W16" i="3"/>
  <c r="AD16" i="3"/>
  <c r="X16" i="3"/>
  <c r="AA16" i="3"/>
  <c r="AB16" i="3"/>
  <c r="X11" i="25"/>
  <c r="W58" i="22"/>
  <c r="AA73" i="19"/>
  <c r="AE74" i="19"/>
  <c r="AB41" i="19"/>
  <c r="AE64" i="4"/>
  <c r="X54" i="4"/>
  <c r="W21" i="22"/>
  <c r="AB30" i="22"/>
  <c r="AE42" i="22"/>
  <c r="AE43" i="22"/>
  <c r="AB18" i="22"/>
  <c r="AD61" i="22"/>
  <c r="X19" i="22"/>
  <c r="AD46" i="22"/>
  <c r="AE26" i="22"/>
  <c r="AE10" i="22"/>
  <c r="W71" i="22"/>
  <c r="AD69" i="24"/>
  <c r="W76" i="24"/>
  <c r="W62" i="24"/>
  <c r="X58" i="24"/>
  <c r="Z46" i="24"/>
  <c r="AD85" i="24"/>
  <c r="X62" i="24"/>
  <c r="AC78" i="24"/>
  <c r="AC54" i="24"/>
  <c r="W54" i="24"/>
  <c r="AB71" i="24"/>
  <c r="AB73" i="24"/>
  <c r="AD78" i="24"/>
  <c r="AC28" i="24"/>
  <c r="AD52" i="24"/>
  <c r="AB36" i="24"/>
  <c r="W41" i="19"/>
  <c r="AC57" i="19"/>
  <c r="AE73" i="19"/>
  <c r="X60" i="19"/>
  <c r="Z33" i="4"/>
  <c r="AA30" i="4"/>
  <c r="Y37" i="4"/>
  <c r="Y12" i="4"/>
  <c r="AD58" i="4"/>
  <c r="AE54" i="4"/>
  <c r="AE37" i="4"/>
  <c r="AE55" i="4"/>
  <c r="X28" i="4"/>
  <c r="W60" i="4"/>
  <c r="AA75" i="4"/>
  <c r="W76" i="4"/>
  <c r="Y10" i="26"/>
  <c r="AB61" i="26"/>
  <c r="AA66" i="26"/>
  <c r="AA65" i="26"/>
  <c r="AD69" i="29"/>
  <c r="Z69" i="29"/>
  <c r="X69" i="29"/>
  <c r="W69" i="29"/>
  <c r="AA69" i="29"/>
  <c r="AE69" i="29"/>
  <c r="AC69" i="29"/>
  <c r="AB69" i="29"/>
  <c r="Y69" i="29"/>
  <c r="AE84" i="29"/>
  <c r="AD84" i="29"/>
  <c r="W84" i="29"/>
  <c r="AC84" i="29"/>
  <c r="Y84" i="29"/>
  <c r="AB84" i="29"/>
  <c r="AA84" i="29"/>
  <c r="Z84" i="29"/>
  <c r="X84" i="29"/>
  <c r="Z36" i="29"/>
  <c r="AD36" i="29"/>
  <c r="X36" i="29"/>
  <c r="AC36" i="29"/>
  <c r="AB36" i="29"/>
  <c r="AE36" i="29"/>
  <c r="AA36" i="29"/>
  <c r="W36" i="29"/>
  <c r="Y36" i="29"/>
  <c r="W51" i="29"/>
  <c r="AE51" i="29"/>
  <c r="X51" i="29"/>
  <c r="Y51" i="29"/>
  <c r="AA51" i="29"/>
  <c r="Z51" i="29"/>
  <c r="AD51" i="29"/>
  <c r="AC51" i="29"/>
  <c r="AB51" i="29"/>
  <c r="X81" i="29"/>
  <c r="AB81" i="29"/>
  <c r="AA81" i="29"/>
  <c r="AE81" i="29"/>
  <c r="W81" i="29"/>
  <c r="AD81" i="29"/>
  <c r="Y81" i="29"/>
  <c r="AC81" i="29"/>
  <c r="Z81" i="29"/>
  <c r="X48" i="29"/>
  <c r="AC48" i="29"/>
  <c r="AD48" i="29"/>
  <c r="W48" i="29"/>
  <c r="AE48" i="29"/>
  <c r="Z48" i="29"/>
  <c r="AA48" i="29"/>
  <c r="AB48" i="29"/>
  <c r="Y48" i="29"/>
  <c r="AA64" i="29"/>
  <c r="AB64" i="29"/>
  <c r="Y64" i="29"/>
  <c r="AC64" i="29"/>
  <c r="AD64" i="29"/>
  <c r="W64" i="29"/>
  <c r="AE64" i="29"/>
  <c r="X64" i="29"/>
  <c r="Z64" i="29"/>
  <c r="Z62" i="29"/>
  <c r="X62" i="29"/>
  <c r="W62" i="29"/>
  <c r="AC62" i="29"/>
  <c r="AA62" i="29"/>
  <c r="AE62" i="29"/>
  <c r="AD62" i="29"/>
  <c r="Y62" i="29"/>
  <c r="AB62" i="29"/>
  <c r="AD13" i="26"/>
  <c r="W13" i="26"/>
  <c r="AC13" i="26"/>
  <c r="AA13" i="26"/>
  <c r="X13" i="26"/>
  <c r="AE13" i="26"/>
  <c r="Y13" i="26"/>
  <c r="Z13" i="26"/>
  <c r="AB13" i="26"/>
  <c r="Z65" i="26"/>
  <c r="X65" i="26"/>
  <c r="Y65" i="26"/>
  <c r="AB20" i="25"/>
  <c r="W20" i="25"/>
  <c r="Y20" i="25"/>
  <c r="AD20" i="25"/>
  <c r="Z20" i="25"/>
  <c r="AE20" i="25"/>
  <c r="AA20" i="25"/>
  <c r="AC20" i="25"/>
  <c r="X20" i="25"/>
  <c r="Z38" i="25"/>
  <c r="W38" i="25"/>
  <c r="AD38" i="25"/>
  <c r="X38" i="25"/>
  <c r="AB38" i="25"/>
  <c r="AE38" i="25"/>
  <c r="Y38" i="25"/>
  <c r="AC71" i="25"/>
  <c r="Z71" i="25"/>
  <c r="AD71" i="25"/>
  <c r="W71" i="25"/>
  <c r="X71" i="25"/>
  <c r="AB71" i="25"/>
  <c r="Y71" i="25"/>
  <c r="AE71" i="25"/>
  <c r="AA71" i="25"/>
  <c r="W36" i="25"/>
  <c r="X36" i="25"/>
  <c r="Y36" i="25"/>
  <c r="AB36" i="25"/>
  <c r="AA36" i="25"/>
  <c r="AE36" i="25"/>
  <c r="Z36" i="25"/>
  <c r="AE11" i="25"/>
  <c r="AB11" i="25"/>
  <c r="Z11" i="25"/>
  <c r="W11" i="25"/>
  <c r="Y11" i="25"/>
  <c r="AA11" i="25"/>
  <c r="AC11" i="25"/>
  <c r="AD11" i="25"/>
  <c r="AD21" i="25"/>
  <c r="AC21" i="25"/>
  <c r="AE21" i="25"/>
  <c r="Y21" i="25"/>
  <c r="X21" i="25"/>
  <c r="W21" i="25"/>
  <c r="AA21" i="25"/>
  <c r="AB21" i="25"/>
  <c r="Z21" i="25"/>
  <c r="AB68" i="25"/>
  <c r="AA68" i="25"/>
  <c r="AE68" i="25"/>
  <c r="Z68" i="25"/>
  <c r="AC68" i="25"/>
  <c r="X68" i="25"/>
  <c r="AD68" i="25"/>
  <c r="W68" i="25"/>
  <c r="Y68" i="25"/>
  <c r="AC85" i="25"/>
  <c r="Z85" i="25"/>
  <c r="X85" i="25"/>
  <c r="W85" i="25"/>
  <c r="AB85" i="25"/>
  <c r="AD85" i="25"/>
  <c r="AA85" i="25"/>
  <c r="AE85" i="25"/>
  <c r="Y85" i="25"/>
  <c r="AE43" i="25"/>
  <c r="X43" i="25"/>
  <c r="AD43" i="25"/>
  <c r="W43" i="25"/>
  <c r="Y43" i="25"/>
  <c r="AC43" i="25"/>
  <c r="Z43" i="25"/>
  <c r="AA43" i="25"/>
  <c r="AB43" i="25"/>
  <c r="AC53" i="25"/>
  <c r="X53" i="25"/>
  <c r="AA53" i="25"/>
  <c r="AB53" i="25"/>
  <c r="W53" i="25"/>
  <c r="AE53" i="25"/>
  <c r="AD53" i="25"/>
  <c r="Z53" i="25"/>
  <c r="Y53" i="25"/>
  <c r="Y60" i="25"/>
  <c r="AC60" i="25"/>
  <c r="X60" i="25"/>
  <c r="W60" i="25"/>
  <c r="AE60" i="25"/>
  <c r="Z60" i="25"/>
  <c r="AB60" i="25"/>
  <c r="AD60" i="25"/>
  <c r="AA60" i="25"/>
  <c r="Z72" i="25"/>
  <c r="Y72" i="25"/>
  <c r="AC72" i="25"/>
  <c r="AA72" i="25"/>
  <c r="AD72" i="25"/>
  <c r="AB72" i="25"/>
  <c r="X72" i="25"/>
  <c r="W72" i="25"/>
  <c r="AE72" i="25"/>
  <c r="AB13" i="25"/>
  <c r="W13" i="25"/>
  <c r="AC13" i="25"/>
  <c r="AD13" i="25"/>
  <c r="AE13" i="25"/>
  <c r="X13" i="25"/>
  <c r="Y13" i="25"/>
  <c r="Z13" i="25"/>
  <c r="AA13" i="25"/>
  <c r="AE41" i="25"/>
  <c r="AD41" i="25"/>
  <c r="AC41" i="25"/>
  <c r="X41" i="25"/>
  <c r="W41" i="25"/>
  <c r="AA41" i="25"/>
  <c r="Z41" i="25"/>
  <c r="Y41" i="25"/>
  <c r="AB41" i="25"/>
  <c r="W24" i="25"/>
  <c r="Y24" i="25"/>
  <c r="AE24" i="25"/>
  <c r="AD24" i="25"/>
  <c r="X24" i="25"/>
  <c r="AB24" i="25"/>
  <c r="AC24" i="25"/>
  <c r="AA24" i="25"/>
  <c r="Z24" i="25"/>
  <c r="Z25" i="25"/>
  <c r="X25" i="25"/>
  <c r="AD25" i="25"/>
  <c r="AA25" i="25"/>
  <c r="Y25" i="25"/>
  <c r="AC25" i="25"/>
  <c r="W25" i="25"/>
  <c r="AE25" i="25"/>
  <c r="AB25" i="25"/>
  <c r="AE52" i="25"/>
  <c r="X52" i="25"/>
  <c r="Y52" i="25"/>
  <c r="Z52" i="25"/>
  <c r="AD52" i="25"/>
  <c r="AC52" i="25"/>
  <c r="W52" i="25"/>
  <c r="AB52" i="25"/>
  <c r="AA52" i="25"/>
  <c r="AD59" i="25"/>
  <c r="W59" i="25"/>
  <c r="AB59" i="25"/>
  <c r="X59" i="25"/>
  <c r="Y59" i="25"/>
  <c r="AA59" i="25"/>
  <c r="Z59" i="25"/>
  <c r="AE59" i="25"/>
  <c r="AC59" i="25"/>
  <c r="Y66" i="25"/>
  <c r="W66" i="25"/>
  <c r="X66" i="25"/>
  <c r="AB66" i="25"/>
  <c r="AC66" i="25"/>
  <c r="AD66" i="25"/>
  <c r="Z66" i="25"/>
  <c r="AE66" i="25"/>
  <c r="AA66" i="25"/>
  <c r="X73" i="25"/>
  <c r="AA73" i="25"/>
  <c r="W73" i="25"/>
  <c r="Z73" i="25"/>
  <c r="AD73" i="25"/>
  <c r="AC73" i="25"/>
  <c r="Y73" i="25"/>
  <c r="AB73" i="25"/>
  <c r="AE73" i="25"/>
  <c r="AD82" i="25"/>
  <c r="X82" i="25"/>
  <c r="AA82" i="25"/>
  <c r="AB82" i="25"/>
  <c r="Z82" i="25"/>
  <c r="Y82" i="25"/>
  <c r="AE82" i="25"/>
  <c r="AC82" i="25"/>
  <c r="W82" i="25"/>
  <c r="AE34" i="25"/>
  <c r="X34" i="25"/>
  <c r="AB34" i="25"/>
  <c r="Z34" i="25"/>
  <c r="AC34" i="25"/>
  <c r="AA34" i="25"/>
  <c r="AD34" i="25"/>
  <c r="W34" i="25"/>
  <c r="Y34" i="25"/>
  <c r="AD37" i="25"/>
  <c r="AC37" i="25"/>
  <c r="AE37" i="25"/>
  <c r="AA37" i="25"/>
  <c r="W37" i="25"/>
  <c r="AB37" i="25"/>
  <c r="X37" i="25"/>
  <c r="Y37" i="25"/>
  <c r="Z37" i="25"/>
  <c r="Z70" i="25"/>
  <c r="Y70" i="25"/>
  <c r="AA70" i="25"/>
  <c r="AB70" i="25"/>
  <c r="W70" i="25"/>
  <c r="AE70" i="25"/>
  <c r="X70" i="25"/>
  <c r="AD70" i="25"/>
  <c r="AC70" i="25"/>
  <c r="AE76" i="25"/>
  <c r="AC76" i="25"/>
  <c r="Y76" i="25"/>
  <c r="AA76" i="25"/>
  <c r="Z76" i="25"/>
  <c r="AB76" i="25"/>
  <c r="AD76" i="25"/>
  <c r="W76" i="25"/>
  <c r="X76" i="25"/>
  <c r="Y54" i="25"/>
  <c r="X54" i="25"/>
  <c r="AA54" i="25"/>
  <c r="AC54" i="25"/>
  <c r="Z54" i="25"/>
  <c r="AD54" i="25"/>
  <c r="AB54" i="25"/>
  <c r="W54" i="25"/>
  <c r="AE54" i="25"/>
  <c r="AE23" i="25"/>
  <c r="Z23" i="25"/>
  <c r="AB23" i="25"/>
  <c r="W23" i="25"/>
  <c r="AC23" i="25"/>
  <c r="X23" i="25"/>
  <c r="Y23" i="25"/>
  <c r="AA23" i="25"/>
  <c r="AD23" i="25"/>
  <c r="Z40" i="25"/>
  <c r="AA40" i="25"/>
  <c r="AC40" i="25"/>
  <c r="W40" i="25"/>
  <c r="AD40" i="25"/>
  <c r="AE40" i="25"/>
  <c r="X40" i="25"/>
  <c r="AB40" i="25"/>
  <c r="Y40" i="25"/>
  <c r="Y14" i="25"/>
  <c r="AC14" i="25"/>
  <c r="AD14" i="25"/>
  <c r="AA14" i="25"/>
  <c r="Z14" i="25"/>
  <c r="AB14" i="25"/>
  <c r="AE14" i="25"/>
  <c r="W14" i="25"/>
  <c r="X14" i="25"/>
  <c r="AA80" i="25"/>
  <c r="AB80" i="25"/>
  <c r="X80" i="25"/>
  <c r="W80" i="25"/>
  <c r="AD80" i="25"/>
  <c r="AC80" i="25"/>
  <c r="AE80" i="25"/>
  <c r="Y80" i="25"/>
  <c r="Z80" i="25"/>
  <c r="AB22" i="25"/>
  <c r="AD22" i="25"/>
  <c r="AE22" i="25"/>
  <c r="AA22" i="25"/>
  <c r="AC22" i="25"/>
  <c r="Y22" i="25"/>
  <c r="W22" i="25"/>
  <c r="Z22" i="25"/>
  <c r="X22" i="25"/>
  <c r="AB27" i="25"/>
  <c r="AC27" i="25"/>
  <c r="AD27" i="25"/>
  <c r="Y27" i="25"/>
  <c r="Z27" i="25"/>
  <c r="AE27" i="25"/>
  <c r="W27" i="25"/>
  <c r="AA27" i="25"/>
  <c r="X27" i="25"/>
  <c r="AC36" i="25"/>
  <c r="AD36" i="25"/>
  <c r="AD69" i="25"/>
  <c r="X69" i="25"/>
  <c r="Y69" i="25"/>
  <c r="W69" i="25"/>
  <c r="AC69" i="25"/>
  <c r="AA69" i="25"/>
  <c r="AB69" i="25"/>
  <c r="AE69" i="25"/>
  <c r="Z69" i="25"/>
  <c r="Y30" i="25"/>
  <c r="AB30" i="25"/>
  <c r="AD30" i="25"/>
  <c r="W30" i="25"/>
  <c r="X30" i="25"/>
  <c r="AC30" i="25"/>
  <c r="Z30" i="25"/>
  <c r="AA30" i="25"/>
  <c r="AE30" i="25"/>
  <c r="AB56" i="25"/>
  <c r="Z56" i="25"/>
  <c r="X56" i="25"/>
  <c r="AC56" i="25"/>
  <c r="Y56" i="25"/>
  <c r="AE56" i="25"/>
  <c r="AA56" i="25"/>
  <c r="W56" i="25"/>
  <c r="AD56" i="25"/>
  <c r="AC39" i="25"/>
  <c r="W39" i="25"/>
  <c r="AE39" i="25"/>
  <c r="AB39" i="25"/>
  <c r="X39" i="25"/>
  <c r="AD39" i="25"/>
  <c r="Y39" i="25"/>
  <c r="AA39" i="25"/>
  <c r="Z39" i="25"/>
  <c r="AC61" i="25"/>
  <c r="Y61" i="25"/>
  <c r="W61" i="25"/>
  <c r="X61" i="25"/>
  <c r="Z61" i="25"/>
  <c r="AA61" i="25"/>
  <c r="AB61" i="25"/>
  <c r="AD61" i="25"/>
  <c r="AE61" i="25"/>
  <c r="Y64" i="25"/>
  <c r="AC64" i="25"/>
  <c r="AD64" i="25"/>
  <c r="AE64" i="25"/>
  <c r="X64" i="25"/>
  <c r="W64" i="25"/>
  <c r="Z64" i="25"/>
  <c r="AA64" i="25"/>
  <c r="AB64" i="25"/>
  <c r="Y84" i="25"/>
  <c r="AB84" i="25"/>
  <c r="Z84" i="25"/>
  <c r="AC84" i="25"/>
  <c r="X84" i="25"/>
  <c r="W84" i="25"/>
  <c r="AA84" i="25"/>
  <c r="AE84" i="25"/>
  <c r="AD84" i="25"/>
  <c r="AE77" i="25"/>
  <c r="AC77" i="25"/>
  <c r="AA77" i="25"/>
  <c r="X77" i="25"/>
  <c r="AB77" i="25"/>
  <c r="AD77" i="25"/>
  <c r="Z77" i="25"/>
  <c r="Y77" i="25"/>
  <c r="W77" i="25"/>
  <c r="AE55" i="25"/>
  <c r="AC55" i="25"/>
  <c r="Y55" i="25"/>
  <c r="X55" i="25"/>
  <c r="AD55" i="25"/>
  <c r="Z55" i="25"/>
  <c r="W55" i="25"/>
  <c r="AA55" i="25"/>
  <c r="AB55" i="25"/>
  <c r="X79" i="25"/>
  <c r="Y79" i="25"/>
  <c r="Z79" i="25"/>
  <c r="AA79" i="25"/>
  <c r="AB79" i="25"/>
  <c r="AC79" i="25"/>
  <c r="AD79" i="25"/>
  <c r="AE79" i="25"/>
  <c r="W79" i="25"/>
  <c r="AC63" i="25"/>
  <c r="Z63" i="25"/>
  <c r="Y63" i="25"/>
  <c r="X63" i="25"/>
  <c r="W63" i="25"/>
  <c r="AE63" i="25"/>
  <c r="AD63" i="25"/>
  <c r="AB63" i="25"/>
  <c r="AA63" i="25"/>
  <c r="AA75" i="25"/>
  <c r="AD75" i="25"/>
  <c r="AB75" i="25"/>
  <c r="AE75" i="25"/>
  <c r="Y75" i="25"/>
  <c r="W75" i="25"/>
  <c r="Z75" i="25"/>
  <c r="X75" i="25"/>
  <c r="AC75" i="25"/>
  <c r="AE78" i="25"/>
  <c r="AA78" i="25"/>
  <c r="X78" i="25"/>
  <c r="Y78" i="25"/>
  <c r="Z78" i="25"/>
  <c r="AB78" i="25"/>
  <c r="AC78" i="25"/>
  <c r="AD78" i="25"/>
  <c r="W78" i="25"/>
  <c r="AA47" i="25"/>
  <c r="W47" i="25"/>
  <c r="X47" i="25"/>
  <c r="Y47" i="25"/>
  <c r="Z47" i="25"/>
  <c r="AB47" i="25"/>
  <c r="AC47" i="25"/>
  <c r="AD47" i="25"/>
  <c r="AE47" i="25"/>
  <c r="W31" i="25"/>
  <c r="X31" i="25"/>
  <c r="Y31" i="25"/>
  <c r="AA31" i="25"/>
  <c r="AE31" i="25"/>
  <c r="AD31" i="25"/>
  <c r="AC31" i="25"/>
  <c r="AB31" i="25"/>
  <c r="Z31" i="25"/>
  <c r="AE15" i="25"/>
  <c r="AC15" i="25"/>
  <c r="AB15" i="25"/>
  <c r="AD15" i="25"/>
  <c r="W15" i="25"/>
  <c r="X15" i="25"/>
  <c r="Y15" i="25"/>
  <c r="Z15" i="25"/>
  <c r="AA15" i="25"/>
  <c r="AA48" i="25"/>
  <c r="AC48" i="25"/>
  <c r="Z48" i="25"/>
  <c r="Y48" i="25"/>
  <c r="AD48" i="25"/>
  <c r="AB48" i="25"/>
  <c r="AE48" i="25"/>
  <c r="X48" i="25"/>
  <c r="W48" i="25"/>
  <c r="AD57" i="25"/>
  <c r="AC57" i="25"/>
  <c r="Y57" i="25"/>
  <c r="AA57" i="25"/>
  <c r="X57" i="25"/>
  <c r="AB57" i="25"/>
  <c r="AE57" i="25"/>
  <c r="Z57" i="25"/>
  <c r="W57" i="25"/>
  <c r="AB62" i="25"/>
  <c r="W62" i="25"/>
  <c r="AA62" i="25"/>
  <c r="Y62" i="25"/>
  <c r="AC62" i="25"/>
  <c r="AE62" i="25"/>
  <c r="AD62" i="25"/>
  <c r="X62" i="25"/>
  <c r="Z62" i="25"/>
  <c r="AA32" i="25"/>
  <c r="Z32" i="25"/>
  <c r="AB32" i="25"/>
  <c r="Y32" i="25"/>
  <c r="AD32" i="25"/>
  <c r="AC32" i="25"/>
  <c r="X32" i="25"/>
  <c r="AE32" i="25"/>
  <c r="W32" i="25"/>
  <c r="X16" i="25"/>
  <c r="W16" i="25"/>
  <c r="Y16" i="25"/>
  <c r="AC16" i="25"/>
  <c r="AE16" i="25"/>
  <c r="AB16" i="25"/>
  <c r="Z16" i="25"/>
  <c r="AA16" i="25"/>
  <c r="AD16" i="25"/>
  <c r="AB81" i="25"/>
  <c r="W81" i="25"/>
  <c r="X81" i="25"/>
  <c r="AE81" i="25"/>
  <c r="Y81" i="25"/>
  <c r="Z81" i="25"/>
  <c r="AA81" i="25"/>
  <c r="AD81" i="25"/>
  <c r="AC81" i="25"/>
  <c r="AE65" i="25"/>
  <c r="Y65" i="25"/>
  <c r="Z65" i="25"/>
  <c r="AB65" i="25"/>
  <c r="W65" i="25"/>
  <c r="X65" i="25"/>
  <c r="AD65" i="25"/>
  <c r="AA65" i="25"/>
  <c r="AC65" i="25"/>
  <c r="Z50" i="25"/>
  <c r="Y50" i="25"/>
  <c r="AB50" i="25"/>
  <c r="AC50" i="25"/>
  <c r="X50" i="25"/>
  <c r="AA50" i="25"/>
  <c r="AD50" i="25"/>
  <c r="AE50" i="25"/>
  <c r="W50" i="25"/>
  <c r="W49" i="25"/>
  <c r="X49" i="25"/>
  <c r="AA49" i="25"/>
  <c r="AC49" i="25"/>
  <c r="Z49" i="25"/>
  <c r="AB49" i="25"/>
  <c r="Y49" i="25"/>
  <c r="AD49" i="25"/>
  <c r="AE49" i="25"/>
  <c r="W33" i="25"/>
  <c r="AD33" i="25"/>
  <c r="AC33" i="25"/>
  <c r="AB33" i="25"/>
  <c r="AA33" i="25"/>
  <c r="X33" i="25"/>
  <c r="Y33" i="25"/>
  <c r="AE33" i="25"/>
  <c r="Z33" i="25"/>
  <c r="X18" i="25"/>
  <c r="Y18" i="25"/>
  <c r="AE18" i="25"/>
  <c r="AD18" i="25"/>
  <c r="AC18" i="25"/>
  <c r="Z18" i="25"/>
  <c r="W18" i="25"/>
  <c r="AB18" i="25"/>
  <c r="AA18" i="25"/>
  <c r="AD17" i="25"/>
  <c r="AE17" i="25"/>
  <c r="Z17" i="25"/>
  <c r="Y17" i="25"/>
  <c r="AB17" i="25"/>
  <c r="AA17" i="25"/>
  <c r="X17" i="25"/>
  <c r="W17" i="25"/>
  <c r="AC17" i="25"/>
  <c r="AA19" i="25"/>
  <c r="Z19" i="25"/>
  <c r="AC19" i="25"/>
  <c r="AE19" i="25"/>
  <c r="AB19" i="25"/>
  <c r="AD19" i="25"/>
  <c r="X19" i="25"/>
  <c r="W19" i="25"/>
  <c r="Y19" i="25"/>
  <c r="AB83" i="25"/>
  <c r="AA83" i="25"/>
  <c r="Z83" i="25"/>
  <c r="X83" i="25"/>
  <c r="W83" i="25"/>
  <c r="AD83" i="25"/>
  <c r="Y83" i="25"/>
  <c r="AC83" i="25"/>
  <c r="AE83" i="25"/>
  <c r="AE67" i="25"/>
  <c r="AB67" i="25"/>
  <c r="AA67" i="25"/>
  <c r="X67" i="25"/>
  <c r="W67" i="25"/>
  <c r="AD67" i="25"/>
  <c r="AC67" i="25"/>
  <c r="Y67" i="25"/>
  <c r="Z67" i="25"/>
  <c r="AC51" i="25"/>
  <c r="Z51" i="25"/>
  <c r="Y51" i="25"/>
  <c r="AE51" i="25"/>
  <c r="W51" i="25"/>
  <c r="X51" i="25"/>
  <c r="AA51" i="25"/>
  <c r="AB51" i="25"/>
  <c r="AD51" i="25"/>
  <c r="AC38" i="25"/>
  <c r="AA38" i="25"/>
  <c r="Z35" i="25"/>
  <c r="AC35" i="25"/>
  <c r="AD35" i="25"/>
  <c r="X35" i="25"/>
  <c r="AE35" i="25"/>
  <c r="AB35" i="25"/>
  <c r="AA35" i="25"/>
  <c r="W35" i="25"/>
  <c r="Y35" i="25"/>
  <c r="W74" i="25"/>
  <c r="Y74" i="25"/>
  <c r="X74" i="25"/>
  <c r="AE74" i="25"/>
  <c r="AD74" i="25"/>
  <c r="AC74" i="25"/>
  <c r="AB74" i="25"/>
  <c r="AA74" i="25"/>
  <c r="Z74" i="25"/>
  <c r="AE58" i="25"/>
  <c r="W58" i="25"/>
  <c r="X58" i="25"/>
  <c r="AD58" i="25"/>
  <c r="Y58" i="25"/>
  <c r="Z58" i="25"/>
  <c r="AA58" i="25"/>
  <c r="AB58" i="25"/>
  <c r="AC58" i="25"/>
  <c r="W42" i="25"/>
  <c r="X42" i="25"/>
  <c r="AB42" i="25"/>
  <c r="AA42" i="25"/>
  <c r="Z42" i="25"/>
  <c r="Y42" i="25"/>
  <c r="AC42" i="25"/>
  <c r="AD42" i="25"/>
  <c r="AE42" i="25"/>
  <c r="AD26" i="25"/>
  <c r="X26" i="25"/>
  <c r="W26" i="25"/>
  <c r="AE26" i="25"/>
  <c r="AC26" i="25"/>
  <c r="AB26" i="25"/>
  <c r="AA26" i="25"/>
  <c r="Z26" i="25"/>
  <c r="Y26" i="25"/>
  <c r="W10" i="25"/>
  <c r="Y10" i="25"/>
  <c r="Z10" i="25"/>
  <c r="AA10" i="25"/>
  <c r="AB10" i="25"/>
  <c r="AC10" i="25"/>
  <c r="AD10" i="25"/>
  <c r="AE10" i="25"/>
  <c r="X10" i="25"/>
  <c r="W45" i="25"/>
  <c r="X45" i="25"/>
  <c r="Y45" i="25"/>
  <c r="AC45" i="25"/>
  <c r="Z45" i="25"/>
  <c r="AA45" i="25"/>
  <c r="AB45" i="25"/>
  <c r="AD45" i="25"/>
  <c r="AE45" i="25"/>
  <c r="AB44" i="25"/>
  <c r="AC44" i="25"/>
  <c r="AD44" i="25"/>
  <c r="AE44" i="25"/>
  <c r="W44" i="25"/>
  <c r="X44" i="25"/>
  <c r="Y44" i="25"/>
  <c r="Z44" i="25"/>
  <c r="AA44" i="25"/>
  <c r="AE29" i="25"/>
  <c r="AC29" i="25"/>
  <c r="Y29" i="25"/>
  <c r="AB29" i="25"/>
  <c r="W29" i="25"/>
  <c r="AD29" i="25"/>
  <c r="AA29" i="25"/>
  <c r="Z29" i="25"/>
  <c r="X29" i="25"/>
  <c r="X28" i="25"/>
  <c r="Y28" i="25"/>
  <c r="Z28" i="25"/>
  <c r="W28" i="25"/>
  <c r="AA28" i="25"/>
  <c r="AB28" i="25"/>
  <c r="AC28" i="25"/>
  <c r="AD28" i="25"/>
  <c r="AE28" i="25"/>
  <c r="W12" i="25"/>
  <c r="X12" i="25"/>
  <c r="AB12" i="25"/>
  <c r="AA12" i="25"/>
  <c r="Z12" i="25"/>
  <c r="Y12" i="25"/>
  <c r="AE12" i="25"/>
  <c r="AD12" i="25"/>
  <c r="AC12" i="25"/>
  <c r="Y46" i="25"/>
  <c r="AC46" i="25"/>
  <c r="Z46" i="25"/>
  <c r="AA46" i="25"/>
  <c r="AE46" i="25"/>
  <c r="AD46" i="25"/>
  <c r="AB46" i="25"/>
  <c r="W46" i="25"/>
  <c r="X46" i="25"/>
  <c r="AC39" i="24"/>
  <c r="AD39" i="24"/>
  <c r="W39" i="24"/>
  <c r="Y22" i="24"/>
  <c r="AE22" i="24"/>
  <c r="AD22" i="24"/>
  <c r="Z22" i="24"/>
  <c r="AB61" i="24"/>
  <c r="Y61" i="24"/>
  <c r="AD61" i="24"/>
  <c r="AC63" i="24"/>
  <c r="AD63" i="24"/>
  <c r="W63" i="24"/>
  <c r="AB29" i="24"/>
  <c r="AD29" i="24"/>
  <c r="Z47" i="24"/>
  <c r="Y47" i="24"/>
  <c r="X27" i="24"/>
  <c r="AC27" i="24"/>
  <c r="AB27" i="24"/>
  <c r="AE27" i="24"/>
  <c r="Y27" i="24"/>
  <c r="AD27" i="24"/>
  <c r="AA27" i="24"/>
  <c r="W27" i="24"/>
  <c r="AE68" i="24"/>
  <c r="AA68" i="24"/>
  <c r="W68" i="24"/>
  <c r="W14" i="24"/>
  <c r="X14" i="24"/>
  <c r="AD14" i="24"/>
  <c r="Y70" i="24"/>
  <c r="AD70" i="24"/>
  <c r="AE70" i="24"/>
  <c r="Z70" i="24"/>
  <c r="X70" i="24"/>
  <c r="W70" i="24"/>
  <c r="AB42" i="24"/>
  <c r="Y42" i="24"/>
  <c r="Y84" i="24"/>
  <c r="AA84" i="24"/>
  <c r="AB84" i="24"/>
  <c r="AC84" i="24"/>
  <c r="AE84" i="24"/>
  <c r="W84" i="24"/>
  <c r="Z84" i="24"/>
  <c r="AD84" i="24"/>
  <c r="X84" i="24"/>
  <c r="AE72" i="24"/>
  <c r="AD72" i="24"/>
  <c r="AB72" i="24"/>
  <c r="W72" i="24"/>
  <c r="Y72" i="24"/>
  <c r="Z72" i="24"/>
  <c r="AC72" i="24"/>
  <c r="X72" i="24"/>
  <c r="AA72" i="24"/>
  <c r="X54" i="24"/>
  <c r="AA54" i="24"/>
  <c r="Y54" i="24"/>
  <c r="Z54" i="24"/>
  <c r="AC42" i="24"/>
  <c r="AD42" i="24"/>
  <c r="W42" i="24"/>
  <c r="AE42" i="24"/>
  <c r="Y59" i="24"/>
  <c r="Z59" i="24"/>
  <c r="Y16" i="24"/>
  <c r="W16" i="24"/>
  <c r="AA16" i="24"/>
  <c r="AB16" i="24"/>
  <c r="AC16" i="24"/>
  <c r="X16" i="24"/>
  <c r="Z16" i="24"/>
  <c r="AD16" i="24"/>
  <c r="AE16" i="24"/>
  <c r="AC26" i="19"/>
  <c r="AE26" i="19"/>
  <c r="Z26" i="19"/>
  <c r="AD26" i="19"/>
  <c r="AC74" i="19"/>
  <c r="AD74" i="19"/>
  <c r="AB42" i="19"/>
  <c r="AC42" i="19"/>
  <c r="Y42" i="19"/>
  <c r="X42" i="19"/>
  <c r="Y41" i="19"/>
  <c r="Z41" i="19"/>
  <c r="AA41" i="19"/>
  <c r="Y58" i="19"/>
  <c r="W58" i="19"/>
  <c r="X58" i="19"/>
  <c r="AA25" i="19"/>
  <c r="AB25" i="19"/>
  <c r="AE25" i="19"/>
  <c r="X36" i="3"/>
  <c r="AC51" i="5"/>
  <c r="X51" i="5"/>
  <c r="Y51" i="5"/>
  <c r="Z51" i="5"/>
  <c r="W51" i="5"/>
  <c r="AA51" i="5"/>
  <c r="AB51" i="5"/>
  <c r="AD51" i="5"/>
  <c r="AE51" i="5"/>
  <c r="AE12" i="4"/>
  <c r="AA12" i="4"/>
  <c r="X30" i="4"/>
  <c r="Y30" i="4"/>
  <c r="AB30" i="4"/>
  <c r="Z30" i="4"/>
  <c r="Y78" i="4"/>
  <c r="W78" i="4"/>
  <c r="AE78" i="4"/>
  <c r="AA78" i="4"/>
  <c r="AD78" i="4"/>
  <c r="Z78" i="4"/>
  <c r="AD34" i="4"/>
  <c r="Z34" i="4"/>
  <c r="AE34" i="4"/>
  <c r="X34" i="4"/>
  <c r="W34" i="4"/>
  <c r="Y34" i="4"/>
  <c r="AA34" i="4"/>
  <c r="AB34" i="4"/>
  <c r="AC34" i="4"/>
  <c r="AA68" i="4"/>
  <c r="Y68" i="4"/>
  <c r="AE68" i="4"/>
  <c r="AB68" i="4"/>
  <c r="AD68" i="4"/>
  <c r="AC83" i="4"/>
  <c r="AB83" i="4"/>
  <c r="AE83" i="4"/>
  <c r="X83" i="4"/>
  <c r="W83" i="4"/>
  <c r="AD83" i="4"/>
  <c r="AA83" i="4"/>
  <c r="Z83" i="4"/>
  <c r="Y83" i="4"/>
  <c r="AC12" i="4"/>
  <c r="AD12" i="4"/>
  <c r="AB12" i="4"/>
  <c r="Y27" i="4"/>
  <c r="Z27" i="4"/>
  <c r="AB27" i="4"/>
  <c r="AE27" i="4"/>
  <c r="W27" i="4"/>
  <c r="AA27" i="4"/>
  <c r="AC27" i="4"/>
  <c r="AD27" i="4"/>
  <c r="X27" i="4"/>
  <c r="Y59" i="4"/>
  <c r="AA59" i="4"/>
  <c r="AE15" i="4"/>
  <c r="X15" i="4"/>
  <c r="AC15" i="4"/>
  <c r="AA15" i="4"/>
  <c r="W15" i="4"/>
  <c r="Z15" i="4"/>
  <c r="Y15" i="4"/>
  <c r="AC16" i="4"/>
  <c r="AB16" i="4"/>
  <c r="Z16" i="4"/>
  <c r="X16" i="4"/>
  <c r="AE16" i="4"/>
  <c r="AD16" i="4"/>
  <c r="AA16" i="4"/>
  <c r="W16" i="4"/>
  <c r="Y16" i="4"/>
  <c r="X33" i="4"/>
  <c r="AE33" i="4"/>
  <c r="AE40" i="4"/>
  <c r="AB40" i="4"/>
  <c r="AD40" i="4"/>
  <c r="Y41" i="4"/>
  <c r="W41" i="4"/>
  <c r="X41" i="4"/>
  <c r="Z50" i="4"/>
  <c r="AA50" i="4"/>
  <c r="AE50" i="4"/>
  <c r="X50" i="4"/>
  <c r="AB50" i="4"/>
  <c r="Y50" i="4"/>
  <c r="W50" i="4"/>
  <c r="AD50" i="4"/>
  <c r="AC50" i="4"/>
  <c r="W58" i="4"/>
  <c r="X58" i="4"/>
  <c r="Y67" i="4"/>
  <c r="AD67" i="4"/>
  <c r="AE67" i="4"/>
  <c r="AB67" i="4"/>
  <c r="AA67" i="4"/>
  <c r="Z67" i="4"/>
  <c r="AC67" i="4"/>
  <c r="W67" i="4"/>
  <c r="X67" i="4"/>
  <c r="Y45" i="4"/>
  <c r="Z45" i="4"/>
  <c r="AB45" i="4"/>
  <c r="AD45" i="4"/>
  <c r="AA45" i="4"/>
  <c r="AC45" i="4"/>
  <c r="AE45" i="4"/>
  <c r="W45" i="4"/>
  <c r="X45" i="4"/>
  <c r="Y62" i="4"/>
  <c r="AD62" i="4"/>
  <c r="Z62" i="4"/>
  <c r="AA63" i="4"/>
  <c r="X63" i="4"/>
  <c r="Y63" i="4"/>
  <c r="AB63" i="4"/>
  <c r="AC63" i="4"/>
  <c r="W63" i="4"/>
  <c r="AD63" i="4"/>
  <c r="AE63" i="4"/>
  <c r="Z63" i="4"/>
  <c r="AE71" i="4"/>
  <c r="AA71" i="4"/>
  <c r="AC79" i="4"/>
  <c r="X79" i="4"/>
  <c r="AC81" i="4"/>
  <c r="AD81" i="4"/>
  <c r="Y81" i="4"/>
  <c r="Z81" i="4"/>
  <c r="X81" i="4"/>
  <c r="W81" i="4"/>
  <c r="AE81" i="4"/>
  <c r="AA81" i="4"/>
  <c r="AB81" i="4"/>
  <c r="Y22" i="4"/>
  <c r="AE22" i="4"/>
  <c r="AC22" i="4"/>
  <c r="X22" i="4"/>
  <c r="Z22" i="4"/>
  <c r="AD22" i="4"/>
  <c r="W46" i="4"/>
  <c r="AA46" i="4"/>
  <c r="Y46" i="4"/>
  <c r="AD46" i="4"/>
  <c r="AE46" i="4"/>
  <c r="X46" i="4"/>
  <c r="AC46" i="4"/>
  <c r="AB46" i="4"/>
  <c r="W55" i="19"/>
  <c r="AE44" i="19"/>
  <c r="Y14" i="19"/>
  <c r="AE85" i="19"/>
  <c r="X39" i="19"/>
  <c r="AC24" i="19"/>
  <c r="AD21" i="19"/>
  <c r="X23" i="9"/>
  <c r="Y64" i="9"/>
  <c r="Z27" i="24"/>
  <c r="W24" i="19"/>
  <c r="W84" i="19"/>
  <c r="Y58" i="3"/>
  <c r="W36" i="3"/>
  <c r="X58" i="3"/>
  <c r="AC80" i="19"/>
  <c r="Y77" i="19"/>
  <c r="W60" i="19"/>
  <c r="W12" i="22"/>
  <c r="AB12" i="22"/>
  <c r="AC12" i="22"/>
  <c r="AE12" i="22"/>
  <c r="Z12" i="22"/>
  <c r="AA12" i="22"/>
  <c r="AD12" i="22"/>
  <c r="Y12" i="22"/>
  <c r="X12" i="22"/>
  <c r="AD37" i="22"/>
  <c r="W37" i="22"/>
  <c r="Y37" i="22"/>
  <c r="AE37" i="22"/>
  <c r="AA37" i="22"/>
  <c r="AC37" i="22"/>
  <c r="AB37" i="22"/>
  <c r="Z37" i="22"/>
  <c r="X37" i="22"/>
  <c r="Y21" i="22"/>
  <c r="X21" i="22"/>
  <c r="AA21" i="22"/>
  <c r="AE21" i="22"/>
  <c r="AD21" i="22"/>
  <c r="Z21" i="22"/>
  <c r="AC21" i="22"/>
  <c r="AB21" i="22"/>
  <c r="Z49" i="22"/>
  <c r="AC49" i="22"/>
  <c r="X49" i="22"/>
  <c r="Y49" i="22"/>
  <c r="AB49" i="22"/>
  <c r="AA49" i="22"/>
  <c r="W49" i="22"/>
  <c r="AD49" i="22"/>
  <c r="AE49" i="22"/>
  <c r="AD41" i="22"/>
  <c r="AB41" i="22"/>
  <c r="AC41" i="22"/>
  <c r="AA41" i="22"/>
  <c r="Z41" i="22"/>
  <c r="Y41" i="22"/>
  <c r="X41" i="22"/>
  <c r="W41" i="22"/>
  <c r="AE41" i="22"/>
  <c r="AC73" i="22"/>
  <c r="Y73" i="22"/>
  <c r="W73" i="22"/>
  <c r="X73" i="22"/>
  <c r="AB73" i="22"/>
  <c r="AE73" i="22"/>
  <c r="Z73" i="22"/>
  <c r="AD73" i="22"/>
  <c r="AA73" i="22"/>
  <c r="Z30" i="22"/>
  <c r="AD30" i="22"/>
  <c r="AC30" i="22"/>
  <c r="Y30" i="22"/>
  <c r="W30" i="22"/>
  <c r="AA30" i="22"/>
  <c r="X30" i="22"/>
  <c r="AE30" i="22"/>
  <c r="AD78" i="22"/>
  <c r="AC78" i="22"/>
  <c r="Z78" i="22"/>
  <c r="X78" i="22"/>
  <c r="AA78" i="22"/>
  <c r="AB78" i="22"/>
  <c r="Y78" i="22"/>
  <c r="AE78" i="22"/>
  <c r="W78" i="22"/>
  <c r="AE54" i="22"/>
  <c r="X54" i="22"/>
  <c r="AD54" i="22"/>
  <c r="AC54" i="22"/>
  <c r="Z54" i="22"/>
  <c r="Y54" i="22"/>
  <c r="W54" i="22"/>
  <c r="AA54" i="22"/>
  <c r="AB54" i="22"/>
  <c r="Y44" i="22"/>
  <c r="AD44" i="22"/>
  <c r="AE44" i="22"/>
  <c r="Z44" i="22"/>
  <c r="X44" i="22"/>
  <c r="W44" i="22"/>
  <c r="AC44" i="22"/>
  <c r="AB44" i="22"/>
  <c r="AA44" i="22"/>
  <c r="Z11" i="22"/>
  <c r="X11" i="22"/>
  <c r="AA11" i="22"/>
  <c r="AE11" i="22"/>
  <c r="W11" i="22"/>
  <c r="AB11" i="22"/>
  <c r="AD11" i="22"/>
  <c r="Y11" i="22"/>
  <c r="AC11" i="22"/>
  <c r="AC42" i="22"/>
  <c r="W42" i="22"/>
  <c r="Y42" i="22"/>
  <c r="AD42" i="22"/>
  <c r="X42" i="22"/>
  <c r="AA42" i="22"/>
  <c r="Z42" i="22"/>
  <c r="AB42" i="22"/>
  <c r="Z56" i="22"/>
  <c r="AC56" i="22"/>
  <c r="W56" i="22"/>
  <c r="X56" i="22"/>
  <c r="AE56" i="22"/>
  <c r="AB56" i="22"/>
  <c r="Y56" i="22"/>
  <c r="AD56" i="22"/>
  <c r="AA56" i="22"/>
  <c r="AD74" i="22"/>
  <c r="AB74" i="22"/>
  <c r="X74" i="22"/>
  <c r="AE74" i="22"/>
  <c r="Y74" i="22"/>
  <c r="Z74" i="22"/>
  <c r="W74" i="22"/>
  <c r="AC74" i="22"/>
  <c r="AA74" i="22"/>
  <c r="AD39" i="22"/>
  <c r="AC39" i="22"/>
  <c r="AA39" i="22"/>
  <c r="X39" i="22"/>
  <c r="AB39" i="22"/>
  <c r="Z39" i="22"/>
  <c r="AE39" i="22"/>
  <c r="W39" i="22"/>
  <c r="Y39" i="22"/>
  <c r="AE45" i="22"/>
  <c r="AC45" i="22"/>
  <c r="X45" i="22"/>
  <c r="AB45" i="22"/>
  <c r="Y45" i="22"/>
  <c r="W45" i="22"/>
  <c r="Z45" i="22"/>
  <c r="AA45" i="22"/>
  <c r="AD45" i="22"/>
  <c r="AE14" i="22"/>
  <c r="AA14" i="22"/>
  <c r="AB14" i="22"/>
  <c r="W14" i="22"/>
  <c r="Z14" i="22"/>
  <c r="AC14" i="22"/>
  <c r="Y14" i="22"/>
  <c r="X14" i="22"/>
  <c r="AD14" i="22"/>
  <c r="AA77" i="22"/>
  <c r="AB77" i="22"/>
  <c r="W77" i="22"/>
  <c r="Y77" i="22"/>
  <c r="AE77" i="22"/>
  <c r="X77" i="22"/>
  <c r="AC77" i="22"/>
  <c r="AD77" i="22"/>
  <c r="Z77" i="22"/>
  <c r="AC53" i="22"/>
  <c r="AE53" i="22"/>
  <c r="AB53" i="22"/>
  <c r="X53" i="22"/>
  <c r="Y53" i="22"/>
  <c r="W53" i="22"/>
  <c r="Z53" i="22"/>
  <c r="AD53" i="22"/>
  <c r="AA53" i="22"/>
  <c r="AE48" i="22"/>
  <c r="AA48" i="22"/>
  <c r="W48" i="22"/>
  <c r="X48" i="22"/>
  <c r="AB48" i="22"/>
  <c r="Y48" i="22"/>
  <c r="Z48" i="22"/>
  <c r="AD48" i="22"/>
  <c r="AC48" i="22"/>
  <c r="Y81" i="22"/>
  <c r="AA81" i="22"/>
  <c r="AD81" i="22"/>
  <c r="AC81" i="22"/>
  <c r="AE81" i="22"/>
  <c r="AB81" i="22"/>
  <c r="X81" i="22"/>
  <c r="Z81" i="22"/>
  <c r="W81" i="22"/>
  <c r="Z43" i="22"/>
  <c r="AA43" i="22"/>
  <c r="Y43" i="22"/>
  <c r="AD43" i="22"/>
  <c r="AC43" i="22"/>
  <c r="AB43" i="22"/>
  <c r="W43" i="22"/>
  <c r="X43" i="22"/>
  <c r="W75" i="22"/>
  <c r="AC75" i="22"/>
  <c r="AA75" i="22"/>
  <c r="AD75" i="22"/>
  <c r="Z75" i="22"/>
  <c r="AE75" i="22"/>
  <c r="X75" i="22"/>
  <c r="Y75" i="22"/>
  <c r="AB75" i="22"/>
  <c r="AB23" i="22"/>
  <c r="AC23" i="22"/>
  <c r="W23" i="22"/>
  <c r="X23" i="22"/>
  <c r="AE23" i="22"/>
  <c r="Z23" i="22"/>
  <c r="AD23" i="22"/>
  <c r="AA23" i="22"/>
  <c r="Y23" i="22"/>
  <c r="AC18" i="22"/>
  <c r="W18" i="22"/>
  <c r="AE18" i="22"/>
  <c r="AA18" i="22"/>
  <c r="AD18" i="22"/>
  <c r="Y18" i="22"/>
  <c r="Z18" i="22"/>
  <c r="X18" i="22"/>
  <c r="X72" i="22"/>
  <c r="AE72" i="22"/>
  <c r="AD72" i="22"/>
  <c r="Z72" i="22"/>
  <c r="AB72" i="22"/>
  <c r="AC72" i="22"/>
  <c r="W72" i="22"/>
  <c r="Y72" i="22"/>
  <c r="AA72" i="22"/>
  <c r="AA61" i="22"/>
  <c r="AB61" i="22"/>
  <c r="W61" i="22"/>
  <c r="AE61" i="22"/>
  <c r="AC61" i="22"/>
  <c r="Y61" i="22"/>
  <c r="Z61" i="22"/>
  <c r="X61" i="22"/>
  <c r="AA38" i="22"/>
  <c r="AB38" i="22"/>
  <c r="AE38" i="22"/>
  <c r="AC38" i="22"/>
  <c r="W38" i="22"/>
  <c r="Y38" i="22"/>
  <c r="AD38" i="22"/>
  <c r="X38" i="22"/>
  <c r="Z38" i="22"/>
  <c r="AD19" i="22"/>
  <c r="W19" i="22"/>
  <c r="Z19" i="22"/>
  <c r="AA19" i="22"/>
  <c r="Y19" i="22"/>
  <c r="AB19" i="22"/>
  <c r="AE19" i="22"/>
  <c r="AC19" i="22"/>
  <c r="AC65" i="22"/>
  <c r="X65" i="22"/>
  <c r="Y65" i="22"/>
  <c r="AE65" i="22"/>
  <c r="AA65" i="22"/>
  <c r="Z65" i="22"/>
  <c r="W65" i="22"/>
  <c r="AB65" i="22"/>
  <c r="AD65" i="22"/>
  <c r="AC69" i="22"/>
  <c r="AE69" i="22"/>
  <c r="AB69" i="22"/>
  <c r="AD69" i="22"/>
  <c r="W69" i="22"/>
  <c r="AA69" i="22"/>
  <c r="X69" i="22"/>
  <c r="Z69" i="22"/>
  <c r="Y69" i="22"/>
  <c r="AB16" i="22"/>
  <c r="AE16" i="22"/>
  <c r="AA16" i="22"/>
  <c r="X16" i="22"/>
  <c r="W16" i="22"/>
  <c r="Z16" i="22"/>
  <c r="Y16" i="22"/>
  <c r="AD16" i="22"/>
  <c r="AC16" i="22"/>
  <c r="Y25" i="22"/>
  <c r="AC25" i="22"/>
  <c r="AB25" i="22"/>
  <c r="AA25" i="22"/>
  <c r="W25" i="22"/>
  <c r="Z25" i="22"/>
  <c r="X25" i="22"/>
  <c r="AE25" i="22"/>
  <c r="AD25" i="22"/>
  <c r="AB13" i="22"/>
  <c r="Z13" i="22"/>
  <c r="Y13" i="22"/>
  <c r="AA13" i="22"/>
  <c r="AE13" i="22"/>
  <c r="W13" i="22"/>
  <c r="X13" i="22"/>
  <c r="AD13" i="22"/>
  <c r="AC13" i="22"/>
  <c r="X46" i="22"/>
  <c r="Z46" i="22"/>
  <c r="AA46" i="22"/>
  <c r="Y46" i="22"/>
  <c r="AC46" i="22"/>
  <c r="AB46" i="22"/>
  <c r="W46" i="22"/>
  <c r="AE46" i="22"/>
  <c r="AD17" i="22"/>
  <c r="Y17" i="22"/>
  <c r="AA17" i="22"/>
  <c r="W17" i="22"/>
  <c r="X17" i="22"/>
  <c r="Z17" i="22"/>
  <c r="AB17" i="22"/>
  <c r="AC17" i="22"/>
  <c r="AE17" i="22"/>
  <c r="AC24" i="22"/>
  <c r="Y24" i="22"/>
  <c r="Z24" i="22"/>
  <c r="AD24" i="22"/>
  <c r="X24" i="22"/>
  <c r="AB24" i="22"/>
  <c r="W24" i="22"/>
  <c r="AE24" i="22"/>
  <c r="AA24" i="22"/>
  <c r="AD57" i="22"/>
  <c r="AE57" i="22"/>
  <c r="Z57" i="22"/>
  <c r="AC57" i="22"/>
  <c r="X57" i="22"/>
  <c r="AB57" i="22"/>
  <c r="W57" i="22"/>
  <c r="AA57" i="22"/>
  <c r="Y57" i="22"/>
  <c r="Z26" i="22"/>
  <c r="AA26" i="22"/>
  <c r="X26" i="22"/>
  <c r="AB26" i="22"/>
  <c r="W26" i="22"/>
  <c r="Y26" i="22"/>
  <c r="AD26" i="22"/>
  <c r="AC26" i="22"/>
  <c r="AC29" i="22"/>
  <c r="AD29" i="22"/>
  <c r="AB29" i="22"/>
  <c r="AA29" i="22"/>
  <c r="X29" i="22"/>
  <c r="W29" i="22"/>
  <c r="Y29" i="22"/>
  <c r="Z29" i="22"/>
  <c r="AE29" i="22"/>
  <c r="Z10" i="22"/>
  <c r="AC10" i="22"/>
  <c r="AD10" i="22"/>
  <c r="AA10" i="22"/>
  <c r="W10" i="22"/>
  <c r="AB10" i="22"/>
  <c r="X10" i="22"/>
  <c r="Y10" i="22"/>
  <c r="AC59" i="22"/>
  <c r="X59" i="22"/>
  <c r="AD59" i="22"/>
  <c r="AA59" i="22"/>
  <c r="Z59" i="22"/>
  <c r="Y59" i="22"/>
  <c r="AB59" i="22"/>
  <c r="AE59" i="22"/>
  <c r="W59" i="22"/>
  <c r="AE64" i="22"/>
  <c r="AD64" i="22"/>
  <c r="Z64" i="22"/>
  <c r="Y64" i="22"/>
  <c r="AC64" i="22"/>
  <c r="AB64" i="22"/>
  <c r="W64" i="22"/>
  <c r="X64" i="22"/>
  <c r="AA64" i="22"/>
  <c r="AD71" i="22"/>
  <c r="AC71" i="22"/>
  <c r="AA71" i="22"/>
  <c r="AB71" i="22"/>
  <c r="AE71" i="22"/>
  <c r="Y71" i="22"/>
  <c r="X71" i="22"/>
  <c r="Z71" i="22"/>
  <c r="X22" i="22"/>
  <c r="AA22" i="22"/>
  <c r="Y22" i="22"/>
  <c r="AE22" i="22"/>
  <c r="W22" i="22"/>
  <c r="AB22" i="22"/>
  <c r="AD22" i="22"/>
  <c r="AC22" i="22"/>
  <c r="Z22" i="22"/>
  <c r="AC80" i="22"/>
  <c r="AE80" i="22"/>
  <c r="X80" i="22"/>
  <c r="W80" i="22"/>
  <c r="AD80" i="22"/>
  <c r="Z80" i="22"/>
  <c r="AB80" i="22"/>
  <c r="AA80" i="22"/>
  <c r="Y80" i="22"/>
  <c r="Z27" i="22"/>
  <c r="AB27" i="22"/>
  <c r="AD27" i="22"/>
  <c r="W27" i="22"/>
  <c r="AE27" i="22"/>
  <c r="AA27" i="22"/>
  <c r="AC27" i="22"/>
  <c r="X27" i="22"/>
  <c r="Y27" i="22"/>
  <c r="AD55" i="22"/>
  <c r="AE55" i="22"/>
  <c r="X55" i="22"/>
  <c r="AC55" i="22"/>
  <c r="Z55" i="22"/>
  <c r="AB55" i="22"/>
  <c r="W55" i="22"/>
  <c r="AA55" i="22"/>
  <c r="Y55" i="22"/>
  <c r="Y85" i="22"/>
  <c r="AD85" i="22"/>
  <c r="Z85" i="22"/>
  <c r="AA85" i="22"/>
  <c r="AE85" i="22"/>
  <c r="AC85" i="22"/>
  <c r="W85" i="22"/>
  <c r="AB85" i="22"/>
  <c r="X85" i="22"/>
  <c r="W32" i="22"/>
  <c r="X32" i="22"/>
  <c r="AD32" i="22"/>
  <c r="Y32" i="22"/>
  <c r="AA32" i="22"/>
  <c r="AE32" i="22"/>
  <c r="AC32" i="22"/>
  <c r="Z32" i="22"/>
  <c r="AB32" i="22"/>
  <c r="AC76" i="22"/>
  <c r="AE76" i="22"/>
  <c r="X76" i="22"/>
  <c r="Z76" i="22"/>
  <c r="AB76" i="22"/>
  <c r="W76" i="22"/>
  <c r="AD76" i="22"/>
  <c r="Y76" i="22"/>
  <c r="AA76" i="22"/>
  <c r="AD60" i="22"/>
  <c r="AC60" i="22"/>
  <c r="Y60" i="22"/>
  <c r="AA60" i="22"/>
  <c r="W60" i="22"/>
  <c r="X60" i="22"/>
  <c r="AE60" i="22"/>
  <c r="Z60" i="22"/>
  <c r="AB60" i="22"/>
  <c r="W28" i="22"/>
  <c r="AE28" i="22"/>
  <c r="Y28" i="22"/>
  <c r="X28" i="22"/>
  <c r="AB28" i="22"/>
  <c r="AA28" i="22"/>
  <c r="Z28" i="22"/>
  <c r="AD28" i="22"/>
  <c r="AC28" i="22"/>
  <c r="Y40" i="22"/>
  <c r="AD40" i="22"/>
  <c r="AB40" i="22"/>
  <c r="W40" i="22"/>
  <c r="AE40" i="22"/>
  <c r="AA40" i="22"/>
  <c r="Z40" i="22"/>
  <c r="AC40" i="22"/>
  <c r="X40" i="22"/>
  <c r="X58" i="22"/>
  <c r="AE58" i="22"/>
  <c r="AA58" i="22"/>
  <c r="Z58" i="22"/>
  <c r="AD58" i="22"/>
  <c r="Y58" i="22"/>
  <c r="Y70" i="22"/>
  <c r="AA70" i="22"/>
  <c r="AB70" i="22"/>
  <c r="Z70" i="22"/>
  <c r="AE70" i="22"/>
  <c r="AC70" i="22"/>
  <c r="AD70" i="22"/>
  <c r="W70" i="22"/>
  <c r="X70" i="22"/>
  <c r="X62" i="22"/>
  <c r="AC62" i="22"/>
  <c r="AD62" i="22"/>
  <c r="AA62" i="22"/>
  <c r="Y62" i="22"/>
  <c r="AB62" i="22"/>
  <c r="W62" i="22"/>
  <c r="Z62" i="22"/>
  <c r="AE62" i="22"/>
  <c r="Z84" i="22"/>
  <c r="AB84" i="22"/>
  <c r="AD84" i="22"/>
  <c r="AA84" i="22"/>
  <c r="AE84" i="22"/>
  <c r="AC84" i="22"/>
  <c r="W84" i="22"/>
  <c r="Y84" i="22"/>
  <c r="X84" i="22"/>
  <c r="AD68" i="22"/>
  <c r="X68" i="22"/>
  <c r="W68" i="22"/>
  <c r="AE68" i="22"/>
  <c r="Y68" i="22"/>
  <c r="AA68" i="22"/>
  <c r="AC68" i="22"/>
  <c r="AB68" i="22"/>
  <c r="Z68" i="22"/>
  <c r="W52" i="22"/>
  <c r="AD52" i="22"/>
  <c r="X52" i="22"/>
  <c r="AB52" i="22"/>
  <c r="Y52" i="22"/>
  <c r="Z52" i="22"/>
  <c r="AE52" i="22"/>
  <c r="AC52" i="22"/>
  <c r="AA52" i="22"/>
  <c r="AE36" i="22"/>
  <c r="Z36" i="22"/>
  <c r="AB36" i="22"/>
  <c r="AA36" i="22"/>
  <c r="AC36" i="22"/>
  <c r="X36" i="22"/>
  <c r="W36" i="22"/>
  <c r="AD36" i="22"/>
  <c r="Y36" i="22"/>
  <c r="AD20" i="22"/>
  <c r="X20" i="22"/>
  <c r="Y20" i="22"/>
  <c r="AC20" i="22"/>
  <c r="Z20" i="22"/>
  <c r="AA20" i="22"/>
  <c r="AB20" i="22"/>
  <c r="W20" i="22"/>
  <c r="AE20" i="22"/>
  <c r="Y79" i="22"/>
  <c r="AB79" i="22"/>
  <c r="AD79" i="22"/>
  <c r="AA79" i="22"/>
  <c r="AC79" i="22"/>
  <c r="W79" i="22"/>
  <c r="X79" i="22"/>
  <c r="AE79" i="22"/>
  <c r="Z79" i="22"/>
  <c r="X63" i="22"/>
  <c r="Z63" i="22"/>
  <c r="AA63" i="22"/>
  <c r="AD63" i="22"/>
  <c r="AE63" i="22"/>
  <c r="AB63" i="22"/>
  <c r="AC63" i="22"/>
  <c r="Y63" i="22"/>
  <c r="W63" i="22"/>
  <c r="AD47" i="22"/>
  <c r="AC47" i="22"/>
  <c r="AB47" i="22"/>
  <c r="AE47" i="22"/>
  <c r="AA47" i="22"/>
  <c r="Z47" i="22"/>
  <c r="Y47" i="22"/>
  <c r="X47" i="22"/>
  <c r="W47" i="22"/>
  <c r="Z33" i="22"/>
  <c r="AA33" i="22"/>
  <c r="AC33" i="22"/>
  <c r="W33" i="22"/>
  <c r="AB33" i="22"/>
  <c r="AE33" i="22"/>
  <c r="AD33" i="22"/>
  <c r="Y33" i="22"/>
  <c r="AB31" i="22"/>
  <c r="W31" i="22"/>
  <c r="X31" i="22"/>
  <c r="AE31" i="22"/>
  <c r="AD31" i="22"/>
  <c r="Y31" i="22"/>
  <c r="Z31" i="22"/>
  <c r="AA31" i="22"/>
  <c r="AC31" i="22"/>
  <c r="AA15" i="22"/>
  <c r="W15" i="22"/>
  <c r="AD15" i="22"/>
  <c r="Y15" i="22"/>
  <c r="Z15" i="22"/>
  <c r="AC15" i="22"/>
  <c r="X15" i="22"/>
  <c r="AE15" i="22"/>
  <c r="AB15" i="22"/>
  <c r="AD82" i="22"/>
  <c r="AA82" i="22"/>
  <c r="Z82" i="22"/>
  <c r="Y82" i="22"/>
  <c r="AC82" i="22"/>
  <c r="X82" i="22"/>
  <c r="AB82" i="22"/>
  <c r="AE82" i="22"/>
  <c r="W82" i="22"/>
  <c r="AB66" i="22"/>
  <c r="X66" i="22"/>
  <c r="AE66" i="22"/>
  <c r="W66" i="22"/>
  <c r="AD66" i="22"/>
  <c r="AC66" i="22"/>
  <c r="Z66" i="22"/>
  <c r="Y66" i="22"/>
  <c r="AA66" i="22"/>
  <c r="W50" i="22"/>
  <c r="AB50" i="22"/>
  <c r="AA50" i="22"/>
  <c r="Z50" i="22"/>
  <c r="X50" i="22"/>
  <c r="AE50" i="22"/>
  <c r="AD50" i="22"/>
  <c r="AC50" i="22"/>
  <c r="Y50" i="22"/>
  <c r="Z34" i="22"/>
  <c r="Y34" i="22"/>
  <c r="AE34" i="22"/>
  <c r="AD34" i="22"/>
  <c r="AA34" i="22"/>
  <c r="AB34" i="22"/>
  <c r="W34" i="22"/>
  <c r="X34" i="22"/>
  <c r="AC34" i="22"/>
  <c r="AD83" i="22"/>
  <c r="AA83" i="22"/>
  <c r="X83" i="22"/>
  <c r="AC83" i="22"/>
  <c r="Z83" i="22"/>
  <c r="Y83" i="22"/>
  <c r="AB83" i="22"/>
  <c r="AE83" i="22"/>
  <c r="W83" i="22"/>
  <c r="X67" i="22"/>
  <c r="AC67" i="22"/>
  <c r="AE67" i="22"/>
  <c r="Y67" i="22"/>
  <c r="Z67" i="22"/>
  <c r="AB67" i="22"/>
  <c r="AD67" i="22"/>
  <c r="AA67" i="22"/>
  <c r="W67" i="22"/>
  <c r="X51" i="22"/>
  <c r="Z51" i="22"/>
  <c r="Y51" i="22"/>
  <c r="AB51" i="22"/>
  <c r="AC51" i="22"/>
  <c r="AD51" i="22"/>
  <c r="AE51" i="22"/>
  <c r="W51" i="22"/>
  <c r="AA51" i="22"/>
  <c r="W35" i="22"/>
  <c r="Y35" i="22"/>
  <c r="Z35" i="22"/>
  <c r="AE35" i="22"/>
  <c r="AC35" i="22"/>
  <c r="AB35" i="22"/>
  <c r="AD35" i="22"/>
  <c r="AA35" i="22"/>
  <c r="X35" i="22"/>
  <c r="W49" i="19"/>
  <c r="AC49" i="19"/>
  <c r="AD49" i="19"/>
  <c r="AB49" i="19"/>
  <c r="Y49" i="19"/>
  <c r="X49" i="19"/>
  <c r="Z49" i="19"/>
  <c r="AE49" i="19"/>
  <c r="AA49" i="19"/>
  <c r="X32" i="19"/>
  <c r="AC32" i="19"/>
  <c r="AB32" i="19"/>
  <c r="Z32" i="19"/>
  <c r="AA32" i="19"/>
  <c r="AE32" i="19"/>
  <c r="AD32" i="19"/>
  <c r="W32" i="19"/>
  <c r="Y32" i="19"/>
  <c r="AD64" i="19"/>
  <c r="X64" i="19"/>
  <c r="W64" i="19"/>
  <c r="AC15" i="19"/>
  <c r="Z15" i="19"/>
  <c r="AD15" i="19"/>
  <c r="AE15" i="19"/>
  <c r="Y15" i="19"/>
  <c r="W15" i="19"/>
  <c r="X15" i="19"/>
  <c r="AA15" i="19"/>
  <c r="AB15" i="19"/>
  <c r="Z47" i="19"/>
  <c r="AD47" i="19"/>
  <c r="Y47" i="19"/>
  <c r="W47" i="19"/>
  <c r="AE47" i="19"/>
  <c r="AC47" i="19"/>
  <c r="AB47" i="19"/>
  <c r="AA47" i="19"/>
  <c r="X47" i="19"/>
  <c r="AE80" i="19"/>
  <c r="Z80" i="19"/>
  <c r="X80" i="19"/>
  <c r="Y80" i="19"/>
  <c r="AB79" i="19"/>
  <c r="Y79" i="19"/>
  <c r="X79" i="19"/>
  <c r="AA79" i="19"/>
  <c r="AC79" i="19"/>
  <c r="Z79" i="19"/>
  <c r="AD78" i="19"/>
  <c r="Z78" i="19"/>
  <c r="W78" i="19"/>
  <c r="AA78" i="19"/>
  <c r="AC78" i="19"/>
  <c r="Y78" i="19"/>
  <c r="X78" i="19"/>
  <c r="AB78" i="19"/>
  <c r="AE77" i="19"/>
  <c r="AA77" i="19"/>
  <c r="AB77" i="19"/>
  <c r="AD77" i="19"/>
  <c r="X77" i="19"/>
  <c r="W77" i="19"/>
  <c r="AC76" i="19"/>
  <c r="X76" i="19"/>
  <c r="W75" i="19"/>
  <c r="X75" i="19"/>
  <c r="Z75" i="19"/>
  <c r="AB75" i="19"/>
  <c r="Y75" i="19"/>
  <c r="AE75" i="19"/>
  <c r="AD75" i="19"/>
  <c r="AC63" i="19"/>
  <c r="Z63" i="19"/>
  <c r="AA63" i="19"/>
  <c r="W63" i="19"/>
  <c r="X63" i="19"/>
  <c r="AE62" i="19"/>
  <c r="X62" i="19"/>
  <c r="Z62" i="19"/>
  <c r="AB62" i="19"/>
  <c r="AA62" i="19"/>
  <c r="AD62" i="19"/>
  <c r="AC62" i="19"/>
  <c r="W62" i="19"/>
  <c r="AD60" i="19"/>
  <c r="AC60" i="19"/>
  <c r="AB59" i="19"/>
  <c r="W59" i="19"/>
  <c r="AA59" i="19"/>
  <c r="X46" i="19"/>
  <c r="W46" i="19"/>
  <c r="AA45" i="19"/>
  <c r="AC45" i="19"/>
  <c r="AA29" i="19"/>
  <c r="AE29" i="19"/>
  <c r="AD29" i="19"/>
  <c r="AC29" i="19"/>
  <c r="AB29" i="19"/>
  <c r="Z29" i="19"/>
  <c r="AD28" i="19"/>
  <c r="AE28" i="19"/>
  <c r="AC28" i="19"/>
  <c r="Z27" i="19"/>
  <c r="W27" i="19"/>
  <c r="Y27" i="19"/>
  <c r="X27" i="19"/>
  <c r="AA13" i="19"/>
  <c r="AB13" i="19"/>
  <c r="Z13" i="19"/>
  <c r="AE13" i="19"/>
  <c r="W13" i="19"/>
  <c r="Y13" i="19"/>
  <c r="AC13" i="19"/>
  <c r="X13" i="19"/>
  <c r="AA12" i="19"/>
  <c r="AC12" i="19"/>
  <c r="Y12" i="19"/>
  <c r="AE12" i="19"/>
  <c r="Z12" i="19"/>
  <c r="AE11" i="19"/>
  <c r="X11" i="19"/>
  <c r="AD11" i="19"/>
  <c r="AB33" i="19"/>
  <c r="AA33" i="19"/>
  <c r="AD33" i="19"/>
  <c r="Z33" i="19"/>
  <c r="W33" i="19"/>
  <c r="X33" i="19"/>
  <c r="Y33" i="19"/>
  <c r="AC33" i="19"/>
  <c r="AE33" i="19"/>
  <c r="AE50" i="19"/>
  <c r="Z50" i="19"/>
  <c r="AC50" i="19"/>
  <c r="Y50" i="19"/>
  <c r="AB50" i="19"/>
  <c r="AA50" i="19"/>
  <c r="X50" i="19"/>
  <c r="W50" i="19"/>
  <c r="AD50" i="19"/>
  <c r="AC34" i="19"/>
  <c r="Z34" i="19"/>
  <c r="AA34" i="19"/>
  <c r="X34" i="19"/>
  <c r="AE34" i="19"/>
  <c r="Y34" i="19"/>
  <c r="W34" i="19"/>
  <c r="AD34" i="19"/>
  <c r="AB34" i="19"/>
  <c r="AE18" i="19"/>
  <c r="AD18" i="19"/>
  <c r="AB18" i="19"/>
  <c r="Z18" i="19"/>
  <c r="Y18" i="19"/>
  <c r="W18" i="19"/>
  <c r="AC18" i="19"/>
  <c r="X18" i="19"/>
  <c r="AA18" i="19"/>
  <c r="AB84" i="19"/>
  <c r="AC84" i="19"/>
  <c r="AD72" i="19"/>
  <c r="AE72" i="19"/>
  <c r="X72" i="19"/>
  <c r="Z72" i="19"/>
  <c r="W72" i="19"/>
  <c r="AC72" i="19"/>
  <c r="Y72" i="19"/>
  <c r="AA70" i="19"/>
  <c r="X70" i="19"/>
  <c r="W70" i="19"/>
  <c r="Z70" i="19"/>
  <c r="AE70" i="19"/>
  <c r="Y70" i="19"/>
  <c r="AD70" i="19"/>
  <c r="AA67" i="19"/>
  <c r="AE67" i="19"/>
  <c r="W67" i="19"/>
  <c r="AB67" i="19"/>
  <c r="X67" i="19"/>
  <c r="AD67" i="19"/>
  <c r="AC67" i="19"/>
  <c r="Z67" i="19"/>
  <c r="Y67" i="19"/>
  <c r="W56" i="19"/>
  <c r="AA56" i="19"/>
  <c r="AE56" i="19"/>
  <c r="Y56" i="19"/>
  <c r="AD56" i="19"/>
  <c r="X56" i="19"/>
  <c r="Z56" i="19"/>
  <c r="AB56" i="19"/>
  <c r="AD54" i="19"/>
  <c r="AC54" i="19"/>
  <c r="AE54" i="19"/>
  <c r="AA54" i="19"/>
  <c r="AB54" i="19"/>
  <c r="Y53" i="19"/>
  <c r="AD53" i="19"/>
  <c r="X53" i="19"/>
  <c r="Z53" i="19"/>
  <c r="W53" i="19"/>
  <c r="AB53" i="19"/>
  <c r="AA53" i="19"/>
  <c r="AC53" i="19"/>
  <c r="AC52" i="19"/>
  <c r="AE52" i="19"/>
  <c r="Y52" i="19"/>
  <c r="Z52" i="19"/>
  <c r="W52" i="19"/>
  <c r="AA52" i="19"/>
  <c r="W38" i="19"/>
  <c r="AC38" i="19"/>
  <c r="AD37" i="19"/>
  <c r="Y37" i="19"/>
  <c r="Y36" i="19"/>
  <c r="W36" i="19"/>
  <c r="X36" i="19"/>
  <c r="AD36" i="19"/>
  <c r="Z36" i="19"/>
  <c r="AC36" i="19"/>
  <c r="AA36" i="19"/>
  <c r="Z35" i="19"/>
  <c r="AA35" i="19"/>
  <c r="W35" i="19"/>
  <c r="AC35" i="19"/>
  <c r="AE35" i="19"/>
  <c r="Y35" i="19"/>
  <c r="X35" i="19"/>
  <c r="AD35" i="19"/>
  <c r="AB35" i="19"/>
  <c r="AA23" i="19"/>
  <c r="Y23" i="19"/>
  <c r="Z23" i="19"/>
  <c r="AE23" i="19"/>
  <c r="AA56" i="9"/>
  <c r="Y56" i="9"/>
  <c r="AD56" i="9"/>
  <c r="W56" i="9"/>
  <c r="AC56" i="9"/>
  <c r="Z56" i="9"/>
  <c r="AB56" i="9"/>
  <c r="X56" i="9"/>
  <c r="AE56" i="9"/>
  <c r="AE39" i="9"/>
  <c r="AC39" i="9"/>
  <c r="AA39" i="9"/>
  <c r="Y39" i="9"/>
  <c r="W39" i="9"/>
  <c r="X39" i="9"/>
  <c r="Z39" i="9"/>
  <c r="AB39" i="9"/>
  <c r="AD39" i="9"/>
  <c r="W33" i="9"/>
  <c r="Z33" i="9"/>
  <c r="AD33" i="9"/>
  <c r="AA33" i="9"/>
  <c r="Y33" i="9"/>
  <c r="AC33" i="9"/>
  <c r="AB33" i="9"/>
  <c r="X33" i="9"/>
  <c r="AE33" i="9"/>
  <c r="AE54" i="9"/>
  <c r="AA54" i="9"/>
  <c r="AB54" i="9"/>
  <c r="W54" i="9"/>
  <c r="Y54" i="9"/>
  <c r="AD54" i="9"/>
  <c r="AC54" i="9"/>
  <c r="Z54" i="9"/>
  <c r="X54" i="9"/>
  <c r="AE20" i="9"/>
  <c r="Y20" i="9"/>
  <c r="AB20" i="9"/>
  <c r="AA20" i="9"/>
  <c r="W20" i="9"/>
  <c r="AD20" i="9"/>
  <c r="Z20" i="9"/>
  <c r="X20" i="9"/>
  <c r="AC20" i="9"/>
  <c r="AE82" i="9"/>
  <c r="Y82" i="9"/>
  <c r="Z82" i="9"/>
  <c r="W82" i="9"/>
  <c r="AD82" i="9"/>
  <c r="AB82" i="9"/>
  <c r="AA82" i="9"/>
  <c r="X82" i="9"/>
  <c r="AC82" i="9"/>
  <c r="AB16" i="9"/>
  <c r="Z16" i="9"/>
  <c r="W16" i="9"/>
  <c r="AD16" i="9"/>
  <c r="X16" i="9"/>
  <c r="Y16" i="9"/>
  <c r="AA16" i="9"/>
  <c r="AC16" i="9"/>
  <c r="AE16" i="9"/>
  <c r="AA13" i="9"/>
  <c r="Z13" i="9"/>
  <c r="X13" i="9"/>
  <c r="W13" i="9"/>
  <c r="AE13" i="9"/>
  <c r="AB13" i="9"/>
  <c r="Y13" i="9"/>
  <c r="AD13" i="9"/>
  <c r="AC13" i="9"/>
  <c r="AB47" i="9"/>
  <c r="AC47" i="9"/>
  <c r="W47" i="9"/>
  <c r="X47" i="9"/>
  <c r="AD47" i="9"/>
  <c r="Y47" i="9"/>
  <c r="Z47" i="9"/>
  <c r="AA47" i="9"/>
  <c r="AE47" i="9"/>
  <c r="W11" i="9"/>
  <c r="AA11" i="9"/>
  <c r="Y11" i="9"/>
  <c r="Z11" i="9"/>
  <c r="AD11" i="9"/>
  <c r="AC11" i="9"/>
  <c r="X11" i="9"/>
  <c r="AE11" i="9"/>
  <c r="AB11" i="9"/>
  <c r="Z30" i="9"/>
  <c r="Y30" i="9"/>
  <c r="W30" i="9"/>
  <c r="AC30" i="9"/>
  <c r="AD30" i="9"/>
  <c r="X30" i="9"/>
  <c r="AB30" i="9"/>
  <c r="AA30" i="9"/>
  <c r="AE30" i="9"/>
  <c r="Z31" i="9"/>
  <c r="X31" i="9"/>
  <c r="AE31" i="9"/>
  <c r="Y31" i="9"/>
  <c r="AB31" i="9"/>
  <c r="AD31" i="9"/>
  <c r="W31" i="9"/>
  <c r="AC31" i="9"/>
  <c r="AA31" i="9"/>
  <c r="X36" i="9"/>
  <c r="Y36" i="9"/>
  <c r="Z36" i="9"/>
  <c r="AE36" i="9"/>
  <c r="W36" i="9"/>
  <c r="AD36" i="9"/>
  <c r="AA36" i="9"/>
  <c r="AC36" i="9"/>
  <c r="AB36" i="9"/>
  <c r="AA57" i="9"/>
  <c r="X57" i="9"/>
  <c r="W57" i="9"/>
  <c r="AC57" i="9"/>
  <c r="AE57" i="9"/>
  <c r="Y57" i="9"/>
  <c r="AD57" i="9"/>
  <c r="Z57" i="9"/>
  <c r="AB57" i="9"/>
  <c r="AE63" i="9"/>
  <c r="AD63" i="9"/>
  <c r="W63" i="9"/>
  <c r="AC63" i="9"/>
  <c r="AA63" i="9"/>
  <c r="Y63" i="9"/>
  <c r="Z63" i="9"/>
  <c r="X63" i="9"/>
  <c r="AB63" i="9"/>
  <c r="X84" i="9"/>
  <c r="AA84" i="9"/>
  <c r="AD84" i="9"/>
  <c r="AC84" i="9"/>
  <c r="W84" i="9"/>
  <c r="Y84" i="9"/>
  <c r="Z84" i="9"/>
  <c r="AB84" i="9"/>
  <c r="AE84" i="9"/>
  <c r="X46" i="9"/>
  <c r="AD46" i="9"/>
  <c r="AC46" i="9"/>
  <c r="W46" i="9"/>
  <c r="AE46" i="9"/>
  <c r="Z46" i="9"/>
  <c r="AB46" i="9"/>
  <c r="AA46" i="9"/>
  <c r="Y46" i="9"/>
  <c r="AE73" i="9"/>
  <c r="W73" i="9"/>
  <c r="Z73" i="9"/>
  <c r="X73" i="9"/>
  <c r="AC73" i="9"/>
  <c r="AD73" i="9"/>
  <c r="AB73" i="9"/>
  <c r="Y73" i="9"/>
  <c r="AA73" i="9"/>
  <c r="AD12" i="9"/>
  <c r="AE12" i="9"/>
  <c r="X12" i="9"/>
  <c r="AA12" i="9"/>
  <c r="Y12" i="9"/>
  <c r="AC12" i="9"/>
  <c r="Z12" i="9"/>
  <c r="AB12" i="9"/>
  <c r="W12" i="9"/>
  <c r="Z34" i="9"/>
  <c r="AC34" i="9"/>
  <c r="AA34" i="9"/>
  <c r="AB34" i="9"/>
  <c r="AD34" i="9"/>
  <c r="AE34" i="9"/>
  <c r="X34" i="9"/>
  <c r="Y34" i="9"/>
  <c r="W34" i="9"/>
  <c r="AC49" i="9"/>
  <c r="AD49" i="9"/>
  <c r="W49" i="9"/>
  <c r="AA49" i="9"/>
  <c r="Y49" i="9"/>
  <c r="AE49" i="9"/>
  <c r="AB49" i="9"/>
  <c r="Z49" i="9"/>
  <c r="X49" i="9"/>
  <c r="AD40" i="9"/>
  <c r="AE40" i="9"/>
  <c r="W71" i="9"/>
  <c r="AD71" i="9"/>
  <c r="AB71" i="9"/>
  <c r="AE71" i="9"/>
  <c r="X71" i="9"/>
  <c r="AA71" i="9"/>
  <c r="AC71" i="9"/>
  <c r="Z71" i="9"/>
  <c r="Y71" i="9"/>
  <c r="AC78" i="9"/>
  <c r="AA78" i="9"/>
  <c r="Z78" i="9"/>
  <c r="X78" i="9"/>
  <c r="Y78" i="9"/>
  <c r="AE78" i="9"/>
  <c r="AD78" i="9"/>
  <c r="W78" i="9"/>
  <c r="AB78" i="9"/>
  <c r="AA50" i="9"/>
  <c r="W50" i="9"/>
  <c r="AE50" i="9"/>
  <c r="X50" i="9"/>
  <c r="Y50" i="9"/>
  <c r="AB50" i="9"/>
  <c r="AC50" i="9"/>
  <c r="Z50" i="9"/>
  <c r="AD50" i="9"/>
  <c r="Z22" i="9"/>
  <c r="AE22" i="9"/>
  <c r="AB22" i="9"/>
  <c r="Y22" i="9"/>
  <c r="W22" i="9"/>
  <c r="AC22" i="9"/>
  <c r="X22" i="9"/>
  <c r="AD22" i="9"/>
  <c r="AA22" i="9"/>
  <c r="X45" i="9"/>
  <c r="Z45" i="9"/>
  <c r="AC45" i="9"/>
  <c r="AD45" i="9"/>
  <c r="AB45" i="9"/>
  <c r="AA45" i="9"/>
  <c r="Y45" i="9"/>
  <c r="W45" i="9"/>
  <c r="AE45" i="9"/>
  <c r="X52" i="9"/>
  <c r="AB52" i="9"/>
  <c r="AA52" i="9"/>
  <c r="Y52" i="9"/>
  <c r="AD52" i="9"/>
  <c r="AE52" i="9"/>
  <c r="W52" i="9"/>
  <c r="AC52" i="9"/>
  <c r="Z52" i="9"/>
  <c r="X80" i="9"/>
  <c r="AB80" i="9"/>
  <c r="Z80" i="9"/>
  <c r="AC80" i="9"/>
  <c r="AA80" i="9"/>
  <c r="AD80" i="9"/>
  <c r="Y80" i="9"/>
  <c r="AE80" i="9"/>
  <c r="W80" i="9"/>
  <c r="AC10" i="9"/>
  <c r="AE10" i="9"/>
  <c r="Y10" i="9"/>
  <c r="W10" i="9"/>
  <c r="AD10" i="9"/>
  <c r="X10" i="9"/>
  <c r="AA10" i="9"/>
  <c r="AB10" i="9"/>
  <c r="Z10" i="9"/>
  <c r="AD28" i="9"/>
  <c r="AB28" i="9"/>
  <c r="Y28" i="9"/>
  <c r="AC28" i="9"/>
  <c r="AA28" i="9"/>
  <c r="AE28" i="9"/>
  <c r="W28" i="9"/>
  <c r="X28" i="9"/>
  <c r="Z28" i="9"/>
  <c r="AA55" i="9"/>
  <c r="AD55" i="9"/>
  <c r="AE55" i="9"/>
  <c r="AC55" i="9"/>
  <c r="W55" i="9"/>
  <c r="X55" i="9"/>
  <c r="Y55" i="9"/>
  <c r="Z55" i="9"/>
  <c r="AB55" i="9"/>
  <c r="W69" i="9"/>
  <c r="AE69" i="9"/>
  <c r="AB69" i="9"/>
  <c r="AC69" i="9"/>
  <c r="AA69" i="9"/>
  <c r="Z69" i="9"/>
  <c r="Y69" i="9"/>
  <c r="X69" i="9"/>
  <c r="AD69" i="9"/>
  <c r="AC74" i="9"/>
  <c r="Y74" i="9"/>
  <c r="AB74" i="9"/>
  <c r="AD74" i="9"/>
  <c r="AA74" i="9"/>
  <c r="AE74" i="9"/>
  <c r="W74" i="9"/>
  <c r="Z74" i="9"/>
  <c r="X74" i="9"/>
  <c r="X14" i="9"/>
  <c r="AD14" i="9"/>
  <c r="AA14" i="9"/>
  <c r="AC14" i="9"/>
  <c r="Z14" i="9"/>
  <c r="AB14" i="9"/>
  <c r="Y14" i="9"/>
  <c r="W14" i="9"/>
  <c r="AE14" i="9"/>
  <c r="AA58" i="9"/>
  <c r="Z58" i="9"/>
  <c r="X58" i="9"/>
  <c r="AB58" i="9"/>
  <c r="W58" i="9"/>
  <c r="Y58" i="9"/>
  <c r="AE58" i="9"/>
  <c r="AC58" i="9"/>
  <c r="AD58" i="9"/>
  <c r="X29" i="9"/>
  <c r="Y29" i="9"/>
  <c r="AC29" i="9"/>
  <c r="Z29" i="9"/>
  <c r="AE29" i="9"/>
  <c r="W29" i="9"/>
  <c r="AB29" i="9"/>
  <c r="AA29" i="9"/>
  <c r="AD29" i="9"/>
  <c r="AE85" i="9"/>
  <c r="AA85" i="9"/>
  <c r="X85" i="9"/>
  <c r="AC85" i="9"/>
  <c r="AD85" i="9"/>
  <c r="AB85" i="9"/>
  <c r="Y85" i="9"/>
  <c r="Z85" i="9"/>
  <c r="W85" i="9"/>
  <c r="AD77" i="9"/>
  <c r="AE77" i="9"/>
  <c r="W77" i="9"/>
  <c r="X77" i="9"/>
  <c r="Z77" i="9"/>
  <c r="AC77" i="9"/>
  <c r="Y77" i="9"/>
  <c r="AA77" i="9"/>
  <c r="AB77" i="9"/>
  <c r="AA66" i="9"/>
  <c r="AD66" i="9"/>
  <c r="AC66" i="9"/>
  <c r="AE66" i="9"/>
  <c r="X66" i="9"/>
  <c r="Z66" i="9"/>
  <c r="W66" i="9"/>
  <c r="AB66" i="9"/>
  <c r="Y66" i="9"/>
  <c r="AE61" i="9"/>
  <c r="Y61" i="9"/>
  <c r="AD61" i="9"/>
  <c r="X61" i="9"/>
  <c r="W61" i="9"/>
  <c r="AA61" i="9"/>
  <c r="Z61" i="9"/>
  <c r="AB61" i="9"/>
  <c r="AC61" i="9"/>
  <c r="W32" i="9"/>
  <c r="Z32" i="9"/>
  <c r="AC32" i="9"/>
  <c r="AD32" i="9"/>
  <c r="AB32" i="9"/>
  <c r="X32" i="9"/>
  <c r="Y32" i="9"/>
  <c r="AE32" i="9"/>
  <c r="AA32" i="9"/>
  <c r="AC24" i="9"/>
  <c r="AE24" i="9"/>
  <c r="X24" i="9"/>
  <c r="Y24" i="9"/>
  <c r="Z24" i="9"/>
  <c r="AA24" i="9"/>
  <c r="W24" i="9"/>
  <c r="AB24" i="9"/>
  <c r="AD24" i="9"/>
  <c r="AA19" i="9"/>
  <c r="X19" i="9"/>
  <c r="AE19" i="9"/>
  <c r="AD19" i="9"/>
  <c r="W19" i="9"/>
  <c r="AC19" i="9"/>
  <c r="Y19" i="9"/>
  <c r="AB19" i="9"/>
  <c r="Z19" i="9"/>
  <c r="Z35" i="9"/>
  <c r="Y35" i="9"/>
  <c r="AE35" i="9"/>
  <c r="AB35" i="9"/>
  <c r="AA35" i="9"/>
  <c r="X35" i="9"/>
  <c r="AC35" i="9"/>
  <c r="AD35" i="9"/>
  <c r="W35" i="9"/>
  <c r="AB51" i="9"/>
  <c r="AE51" i="9"/>
  <c r="Y51" i="9"/>
  <c r="AC51" i="9"/>
  <c r="AD51" i="9"/>
  <c r="X51" i="9"/>
  <c r="W51" i="9"/>
  <c r="AA51" i="9"/>
  <c r="Z51" i="9"/>
  <c r="AE53" i="9"/>
  <c r="AC53" i="9"/>
  <c r="AB53" i="9"/>
  <c r="Z53" i="9"/>
  <c r="AD53" i="9"/>
  <c r="Y53" i="9"/>
  <c r="W53" i="9"/>
  <c r="AA53" i="9"/>
  <c r="X53" i="9"/>
  <c r="W83" i="9"/>
  <c r="Y83" i="9"/>
  <c r="AC83" i="9"/>
  <c r="AB83" i="9"/>
  <c r="AD83" i="9"/>
  <c r="Z83" i="9"/>
  <c r="AA83" i="9"/>
  <c r="AE83" i="9"/>
  <c r="X83" i="9"/>
  <c r="AC59" i="9"/>
  <c r="Z59" i="9"/>
  <c r="Y59" i="9"/>
  <c r="AB59" i="9"/>
  <c r="AD59" i="9"/>
  <c r="W59" i="9"/>
  <c r="X59" i="9"/>
  <c r="AE59" i="9"/>
  <c r="AA59" i="9"/>
  <c r="Y37" i="9"/>
  <c r="AE37" i="9"/>
  <c r="AD37" i="9"/>
  <c r="X37" i="9"/>
  <c r="Z37" i="9"/>
  <c r="AC37" i="9"/>
  <c r="AB37" i="9"/>
  <c r="AA37" i="9"/>
  <c r="W37" i="9"/>
  <c r="Y72" i="9"/>
  <c r="AE72" i="9"/>
  <c r="AA72" i="9"/>
  <c r="Z72" i="9"/>
  <c r="X72" i="9"/>
  <c r="AC72" i="9"/>
  <c r="AB72" i="9"/>
  <c r="W72" i="9"/>
  <c r="AD72" i="9"/>
  <c r="Z38" i="9"/>
  <c r="AB38" i="9"/>
  <c r="AA38" i="9"/>
  <c r="Y27" i="9"/>
  <c r="AE27" i="9"/>
  <c r="X27" i="9"/>
  <c r="W27" i="9"/>
  <c r="AB27" i="9"/>
  <c r="AA27" i="9"/>
  <c r="AC27" i="9"/>
  <c r="AD27" i="9"/>
  <c r="Z27" i="9"/>
  <c r="AE26" i="9"/>
  <c r="AA26" i="9"/>
  <c r="AC26" i="9"/>
  <c r="AD26" i="9"/>
  <c r="Z26" i="9"/>
  <c r="W26" i="9"/>
  <c r="Y26" i="9"/>
  <c r="X26" i="9"/>
  <c r="AB26" i="9"/>
  <c r="AD15" i="9"/>
  <c r="AB15" i="9"/>
  <c r="Z15" i="9"/>
  <c r="AC15" i="9"/>
  <c r="AA15" i="9"/>
  <c r="AE15" i="9"/>
  <c r="W15" i="9"/>
  <c r="Y15" i="9"/>
  <c r="X15" i="9"/>
  <c r="AB23" i="8"/>
  <c r="X23" i="8"/>
  <c r="W23" i="8"/>
  <c r="Z23" i="8"/>
  <c r="AC23" i="8"/>
  <c r="AD23" i="8"/>
  <c r="Y23" i="8"/>
  <c r="AE23" i="8"/>
  <c r="AA23" i="8"/>
  <c r="AE47" i="8"/>
  <c r="Y47" i="8"/>
  <c r="AB47" i="8"/>
  <c r="AA47" i="8"/>
  <c r="AD47" i="8"/>
  <c r="Z47" i="8"/>
  <c r="X47" i="8"/>
  <c r="W47" i="8"/>
  <c r="AC47" i="8"/>
  <c r="AA82" i="8"/>
  <c r="Y82" i="8"/>
  <c r="Z82" i="8"/>
  <c r="AC82" i="8"/>
  <c r="X82" i="8"/>
  <c r="W82" i="8"/>
  <c r="AE82" i="8"/>
  <c r="AD82" i="8"/>
  <c r="AB82" i="8"/>
  <c r="W67" i="8"/>
  <c r="AC67" i="8"/>
  <c r="AA67" i="8"/>
  <c r="Z67" i="8"/>
  <c r="Y67" i="8"/>
  <c r="AE67" i="8"/>
  <c r="AD67" i="8"/>
  <c r="AB67" i="8"/>
  <c r="X67" i="8"/>
  <c r="AC76" i="8"/>
  <c r="AD76" i="8"/>
  <c r="Y76" i="8"/>
  <c r="X76" i="8"/>
  <c r="W76" i="8"/>
  <c r="AE76" i="8"/>
  <c r="Z76" i="8"/>
  <c r="AA76" i="8"/>
  <c r="AB76" i="8"/>
  <c r="AD29" i="8"/>
  <c r="AC29" i="8"/>
  <c r="W29" i="8"/>
  <c r="AE29" i="8"/>
  <c r="Z29" i="8"/>
  <c r="AA29" i="8"/>
  <c r="Y29" i="8"/>
  <c r="X29" i="8"/>
  <c r="AB29" i="8"/>
  <c r="AA48" i="8"/>
  <c r="Y48" i="8"/>
  <c r="X48" i="8"/>
  <c r="AE48" i="8"/>
  <c r="W48" i="8"/>
  <c r="Z48" i="8"/>
  <c r="AC48" i="8"/>
  <c r="AB48" i="8"/>
  <c r="AD48" i="8"/>
  <c r="AD11" i="8"/>
  <c r="Z11" i="8"/>
  <c r="AB11" i="8"/>
  <c r="AE11" i="8"/>
  <c r="Y11" i="8"/>
  <c r="W11" i="8"/>
  <c r="AA11" i="8"/>
  <c r="X11" i="8"/>
  <c r="AC11" i="8"/>
  <c r="AE45" i="8"/>
  <c r="AC45" i="8"/>
  <c r="Z45" i="8"/>
  <c r="AB45" i="8"/>
  <c r="Y45" i="8"/>
  <c r="AD45" i="8"/>
  <c r="X45" i="8"/>
  <c r="AA45" i="8"/>
  <c r="W45" i="8"/>
  <c r="AD15" i="8"/>
  <c r="AE15" i="8"/>
  <c r="AB15" i="8"/>
  <c r="W15" i="8"/>
  <c r="Z15" i="8"/>
  <c r="Y15" i="8"/>
  <c r="X15" i="8"/>
  <c r="AC15" i="8"/>
  <c r="AA15" i="8"/>
  <c r="X77" i="8"/>
  <c r="W77" i="8"/>
  <c r="AE77" i="8"/>
  <c r="AD77" i="8"/>
  <c r="Y77" i="8"/>
  <c r="AB77" i="8"/>
  <c r="AC77" i="8"/>
  <c r="AA77" i="8"/>
  <c r="Z77" i="8"/>
  <c r="AD16" i="8"/>
  <c r="Z16" i="8"/>
  <c r="AE16" i="8"/>
  <c r="X16" i="8"/>
  <c r="W16" i="8"/>
  <c r="AC16" i="8"/>
  <c r="Y16" i="8"/>
  <c r="AA16" i="8"/>
  <c r="AB16" i="8"/>
  <c r="AC21" i="8"/>
  <c r="AD21" i="8"/>
  <c r="AB21" i="8"/>
  <c r="W21" i="8"/>
  <c r="X21" i="8"/>
  <c r="AE21" i="8"/>
  <c r="Z21" i="8"/>
  <c r="Y21" i="8"/>
  <c r="AA21" i="8"/>
  <c r="X37" i="8"/>
  <c r="AA37" i="8"/>
  <c r="W37" i="8"/>
  <c r="Z37" i="8"/>
  <c r="AD37" i="8"/>
  <c r="AB37" i="8"/>
  <c r="AC37" i="8"/>
  <c r="Y37" i="8"/>
  <c r="AE37" i="8"/>
  <c r="AA68" i="8"/>
  <c r="AB68" i="8"/>
  <c r="Z68" i="8"/>
  <c r="W68" i="8"/>
  <c r="Y68" i="8"/>
  <c r="X68" i="8"/>
  <c r="AD68" i="8"/>
  <c r="AC68" i="8"/>
  <c r="AE68" i="8"/>
  <c r="AD79" i="8"/>
  <c r="AB79" i="8"/>
  <c r="X79" i="8"/>
  <c r="Z79" i="8"/>
  <c r="AA79" i="8"/>
  <c r="W79" i="8"/>
  <c r="AE79" i="8"/>
  <c r="AC79" i="8"/>
  <c r="Y79" i="8"/>
  <c r="AC61" i="8"/>
  <c r="AE61" i="8"/>
  <c r="AD61" i="8"/>
  <c r="AA61" i="8"/>
  <c r="Y61" i="8"/>
  <c r="W61" i="8"/>
  <c r="AB61" i="8"/>
  <c r="X61" i="8"/>
  <c r="Z61" i="8"/>
  <c r="X65" i="8"/>
  <c r="Z65" i="8"/>
  <c r="W65" i="8"/>
  <c r="AE65" i="8"/>
  <c r="AC65" i="8"/>
  <c r="AD65" i="8"/>
  <c r="Y65" i="8"/>
  <c r="AB65" i="8"/>
  <c r="AA65" i="8"/>
  <c r="AA30" i="8"/>
  <c r="AB30" i="8"/>
  <c r="Y30" i="8"/>
  <c r="Z30" i="8"/>
  <c r="AC30" i="8"/>
  <c r="W30" i="8"/>
  <c r="AD30" i="8"/>
  <c r="X30" i="8"/>
  <c r="AE30" i="8"/>
  <c r="X22" i="8"/>
  <c r="AE22" i="8"/>
  <c r="Z22" i="8"/>
  <c r="W22" i="8"/>
  <c r="AA22" i="8"/>
  <c r="AB22" i="8"/>
  <c r="Y22" i="8"/>
  <c r="AD22" i="8"/>
  <c r="AC22" i="8"/>
  <c r="W38" i="8"/>
  <c r="Y38" i="8"/>
  <c r="AE38" i="8"/>
  <c r="AD38" i="8"/>
  <c r="Z38" i="8"/>
  <c r="AA38" i="8"/>
  <c r="AC38" i="8"/>
  <c r="AB38" i="8"/>
  <c r="X38" i="8"/>
  <c r="W70" i="8"/>
  <c r="X70" i="8"/>
  <c r="Y70" i="8"/>
  <c r="AC70" i="8"/>
  <c r="AB70" i="8"/>
  <c r="AD70" i="8"/>
  <c r="AE70" i="8"/>
  <c r="Z70" i="8"/>
  <c r="AA70" i="8"/>
  <c r="AA59" i="8"/>
  <c r="Y59" i="8"/>
  <c r="X59" i="8"/>
  <c r="AD59" i="8"/>
  <c r="W59" i="8"/>
  <c r="AC59" i="8"/>
  <c r="AB59" i="8"/>
  <c r="AE59" i="8"/>
  <c r="Z59" i="8"/>
  <c r="AA78" i="8"/>
  <c r="Y78" i="8"/>
  <c r="AC78" i="8"/>
  <c r="Z78" i="8"/>
  <c r="X78" i="8"/>
  <c r="AE78" i="8"/>
  <c r="AD78" i="8"/>
  <c r="W78" i="8"/>
  <c r="AB78" i="8"/>
  <c r="Y80" i="8"/>
  <c r="W80" i="8"/>
  <c r="AC80" i="8"/>
  <c r="X80" i="8"/>
  <c r="AD80" i="8"/>
  <c r="Z80" i="8"/>
  <c r="AE80" i="8"/>
  <c r="AB80" i="8"/>
  <c r="AA80" i="8"/>
  <c r="Z26" i="8"/>
  <c r="AD26" i="8"/>
  <c r="AA26" i="8"/>
  <c r="AC26" i="8"/>
  <c r="AE26" i="8"/>
  <c r="AB26" i="8"/>
  <c r="X26" i="8"/>
  <c r="W26" i="8"/>
  <c r="Y26" i="8"/>
  <c r="AB74" i="8"/>
  <c r="Y74" i="8"/>
  <c r="Z74" i="8"/>
  <c r="AA74" i="8"/>
  <c r="AC74" i="8"/>
  <c r="AD74" i="8"/>
  <c r="W74" i="8"/>
  <c r="X74" i="8"/>
  <c r="AE74" i="8"/>
  <c r="X18" i="8"/>
  <c r="AA18" i="8"/>
  <c r="Z18" i="8"/>
  <c r="W18" i="8"/>
  <c r="AE18" i="8"/>
  <c r="Y18" i="8"/>
  <c r="AB18" i="8"/>
  <c r="AC18" i="8"/>
  <c r="AD18" i="8"/>
  <c r="Y81" i="8"/>
  <c r="AD81" i="8"/>
  <c r="AE81" i="8"/>
  <c r="W81" i="8"/>
  <c r="X81" i="8"/>
  <c r="Z81" i="8"/>
  <c r="AC81" i="8"/>
  <c r="AB81" i="8"/>
  <c r="AA81" i="8"/>
  <c r="AA66" i="8"/>
  <c r="W66" i="8"/>
  <c r="AE66" i="8"/>
  <c r="AB66" i="8"/>
  <c r="AC66" i="8"/>
  <c r="AD66" i="8"/>
  <c r="Z66" i="8"/>
  <c r="Y66" i="8"/>
  <c r="X66" i="8"/>
  <c r="W85" i="8"/>
  <c r="Y85" i="8"/>
  <c r="AA85" i="8"/>
  <c r="AD85" i="8"/>
  <c r="AC85" i="8"/>
  <c r="AE85" i="8"/>
  <c r="Z85" i="8"/>
  <c r="AB85" i="8"/>
  <c r="X85" i="8"/>
  <c r="AA53" i="8"/>
  <c r="AD53" i="8"/>
  <c r="AC53" i="8"/>
  <c r="Y53" i="8"/>
  <c r="AE53" i="8"/>
  <c r="AB53" i="8"/>
  <c r="X53" i="8"/>
  <c r="W53" i="8"/>
  <c r="Z53" i="8"/>
  <c r="W63" i="8"/>
  <c r="Z63" i="8"/>
  <c r="Y63" i="8"/>
  <c r="AC63" i="8"/>
  <c r="AB63" i="8"/>
  <c r="AA63" i="8"/>
  <c r="AE63" i="8"/>
  <c r="X63" i="8"/>
  <c r="AD63" i="8"/>
  <c r="Z83" i="8"/>
  <c r="Y83" i="8"/>
  <c r="X83" i="8"/>
  <c r="W83" i="8"/>
  <c r="AC83" i="8"/>
  <c r="AD83" i="8"/>
  <c r="AB83" i="8"/>
  <c r="AE83" i="8"/>
  <c r="AA83" i="8"/>
  <c r="X58" i="8"/>
  <c r="AA58" i="8"/>
  <c r="AE58" i="8"/>
  <c r="Z58" i="8"/>
  <c r="AB58" i="8"/>
  <c r="AC58" i="8"/>
  <c r="AD58" i="8"/>
  <c r="W58" i="8"/>
  <c r="Y58" i="8"/>
  <c r="AB32" i="8"/>
  <c r="AA32" i="8"/>
  <c r="Z32" i="8"/>
  <c r="W32" i="8"/>
  <c r="Y32" i="8"/>
  <c r="AE32" i="8"/>
  <c r="X32" i="8"/>
  <c r="AD32" i="8"/>
  <c r="AC32" i="8"/>
  <c r="AC50" i="8"/>
  <c r="AD50" i="8"/>
  <c r="Z50" i="8"/>
  <c r="X50" i="8"/>
  <c r="AA50" i="8"/>
  <c r="W50" i="8"/>
  <c r="Y50" i="8"/>
  <c r="AB50" i="8"/>
  <c r="AE50" i="8"/>
  <c r="AA40" i="8"/>
  <c r="AE40" i="8"/>
  <c r="X40" i="8"/>
  <c r="Z40" i="8"/>
  <c r="Y40" i="8"/>
  <c r="W40" i="8"/>
  <c r="AD40" i="8"/>
  <c r="AC40" i="8"/>
  <c r="AB40" i="8"/>
  <c r="AA27" i="8"/>
  <c r="Y27" i="8"/>
  <c r="AE27" i="8"/>
  <c r="Z27" i="8"/>
  <c r="X27" i="8"/>
  <c r="W27" i="8"/>
  <c r="AD27" i="8"/>
  <c r="AC27" i="8"/>
  <c r="AB27" i="8"/>
  <c r="AE72" i="8"/>
  <c r="AA72" i="8"/>
  <c r="W72" i="8"/>
  <c r="Y72" i="8"/>
  <c r="AC72" i="8"/>
  <c r="AB72" i="8"/>
  <c r="X72" i="8"/>
  <c r="Z72" i="8"/>
  <c r="AD72" i="8"/>
  <c r="AE55" i="8"/>
  <c r="AD55" i="8"/>
  <c r="AC55" i="8"/>
  <c r="AB55" i="8"/>
  <c r="Y55" i="8"/>
  <c r="AA55" i="8"/>
  <c r="Z55" i="8"/>
  <c r="X55" i="8"/>
  <c r="W55" i="8"/>
  <c r="AE52" i="8"/>
  <c r="AB52" i="8"/>
  <c r="AC52" i="8"/>
  <c r="AD52" i="8"/>
  <c r="W52" i="8"/>
  <c r="AA52" i="8"/>
  <c r="X52" i="8"/>
  <c r="Y52" i="8"/>
  <c r="Z52" i="8"/>
  <c r="W19" i="8"/>
  <c r="AD19" i="8"/>
  <c r="AE19" i="8"/>
  <c r="X19" i="8"/>
  <c r="Z19" i="8"/>
  <c r="AC19" i="8"/>
  <c r="Y19" i="8"/>
  <c r="AA19" i="8"/>
  <c r="AB19" i="8"/>
  <c r="AA71" i="8"/>
  <c r="Y71" i="8"/>
  <c r="Z71" i="8"/>
  <c r="X71" i="8"/>
  <c r="AC71" i="8"/>
  <c r="AE71" i="8"/>
  <c r="AD71" i="8"/>
  <c r="W71" i="8"/>
  <c r="AB71" i="8"/>
  <c r="AA39" i="8"/>
  <c r="AB39" i="8"/>
  <c r="AC39" i="8"/>
  <c r="AD39" i="8"/>
  <c r="Z39" i="8"/>
  <c r="X39" i="8"/>
  <c r="W39" i="8"/>
  <c r="AE39" i="8"/>
  <c r="Y39" i="8"/>
  <c r="AB64" i="8"/>
  <c r="Z64" i="8"/>
  <c r="W64" i="8"/>
  <c r="AA64" i="8"/>
  <c r="AC64" i="8"/>
  <c r="AD64" i="8"/>
  <c r="Y64" i="8"/>
  <c r="AE64" i="8"/>
  <c r="X64" i="8"/>
  <c r="AB62" i="8"/>
  <c r="W62" i="8"/>
  <c r="AC62" i="8"/>
  <c r="AD62" i="8"/>
  <c r="AE62" i="8"/>
  <c r="X62" i="8"/>
  <c r="Y62" i="8"/>
  <c r="Z62" i="8"/>
  <c r="AA62" i="8"/>
  <c r="AB57" i="8"/>
  <c r="X57" i="8"/>
  <c r="AE57" i="8"/>
  <c r="AC57" i="8"/>
  <c r="AD57" i="8"/>
  <c r="Y57" i="8"/>
  <c r="AA57" i="8"/>
  <c r="W57" i="8"/>
  <c r="Z57" i="8"/>
  <c r="AA54" i="8"/>
  <c r="AB54" i="8"/>
  <c r="AE54" i="8"/>
  <c r="W54" i="8"/>
  <c r="X54" i="8"/>
  <c r="AD54" i="8"/>
  <c r="AC54" i="8"/>
  <c r="Z54" i="8"/>
  <c r="Y54" i="8"/>
  <c r="AD41" i="8"/>
  <c r="AC41" i="8"/>
  <c r="AE41" i="8"/>
  <c r="AA41" i="8"/>
  <c r="Z41" i="8"/>
  <c r="AB41" i="8"/>
  <c r="X41" i="8"/>
  <c r="W41" i="8"/>
  <c r="Y41" i="8"/>
  <c r="AE14" i="8"/>
  <c r="AD14" i="8"/>
  <c r="X14" i="8"/>
  <c r="Y14" i="8"/>
  <c r="Z14" i="8"/>
  <c r="AA14" i="8"/>
  <c r="AB14" i="8"/>
  <c r="W14" i="8"/>
  <c r="AC14" i="8"/>
  <c r="W17" i="8"/>
  <c r="X17" i="8"/>
  <c r="Y17" i="8"/>
  <c r="AD17" i="8"/>
  <c r="Z17" i="8"/>
  <c r="AB17" i="8"/>
  <c r="AA17" i="8"/>
  <c r="AC17" i="8"/>
  <c r="AE17" i="8"/>
  <c r="AB24" i="8"/>
  <c r="AD24" i="8"/>
  <c r="X24" i="8"/>
  <c r="AE24" i="8"/>
  <c r="Z24" i="8"/>
  <c r="AC24" i="8"/>
  <c r="AA24" i="8"/>
  <c r="W24" i="8"/>
  <c r="Y24" i="8"/>
  <c r="AD28" i="8"/>
  <c r="Z28" i="8"/>
  <c r="AA28" i="8"/>
  <c r="AB28" i="8"/>
  <c r="AE28" i="8"/>
  <c r="W28" i="8"/>
  <c r="X28" i="8"/>
  <c r="Y28" i="8"/>
  <c r="AC28" i="8"/>
  <c r="AC31" i="8"/>
  <c r="AE31" i="8"/>
  <c r="AA31" i="8"/>
  <c r="Y31" i="8"/>
  <c r="X31" i="8"/>
  <c r="W31" i="8"/>
  <c r="Z31" i="8"/>
  <c r="AB31" i="8"/>
  <c r="AD31" i="8"/>
  <c r="AC34" i="8"/>
  <c r="AA34" i="8"/>
  <c r="AB34" i="8"/>
  <c r="AD34" i="8"/>
  <c r="AE34" i="8"/>
  <c r="W34" i="8"/>
  <c r="X34" i="8"/>
  <c r="Y34" i="8"/>
  <c r="Z34" i="8"/>
  <c r="AB10" i="8"/>
  <c r="AA10" i="8"/>
  <c r="X10" i="8"/>
  <c r="W10" i="8"/>
  <c r="AE10" i="8"/>
  <c r="AD10" i="8"/>
  <c r="AC10" i="8"/>
  <c r="Z10" i="8"/>
  <c r="Y10" i="8"/>
  <c r="X13" i="8"/>
  <c r="AE13" i="8"/>
  <c r="Y13" i="8"/>
  <c r="W13" i="8"/>
  <c r="Z13" i="8"/>
  <c r="AA13" i="8"/>
  <c r="AD13" i="8"/>
  <c r="AC13" i="8"/>
  <c r="AB13" i="8"/>
  <c r="AC33" i="8"/>
  <c r="AD33" i="8"/>
  <c r="Y33" i="8"/>
  <c r="AB33" i="8"/>
  <c r="W33" i="8"/>
  <c r="AA33" i="8"/>
  <c r="Z33" i="8"/>
  <c r="X33" i="8"/>
  <c r="AE33" i="8"/>
  <c r="Y42" i="8"/>
  <c r="AD42" i="8"/>
  <c r="AE42" i="8"/>
  <c r="AC42" i="8"/>
  <c r="AB42" i="8"/>
  <c r="AA42" i="8"/>
  <c r="X42" i="8"/>
  <c r="W42" i="8"/>
  <c r="Z42" i="8"/>
  <c r="X44" i="8"/>
  <c r="Y44" i="8"/>
  <c r="AB44" i="8"/>
  <c r="W44" i="8"/>
  <c r="AA44" i="8"/>
  <c r="AE44" i="8"/>
  <c r="Z44" i="8"/>
  <c r="AD44" i="8"/>
  <c r="AC44" i="8"/>
  <c r="Z36" i="7"/>
  <c r="W36" i="7"/>
  <c r="AB36" i="7"/>
  <c r="AA36" i="7"/>
  <c r="AE36" i="7"/>
  <c r="AC36" i="7"/>
  <c r="X36" i="7"/>
  <c r="Y36" i="7"/>
  <c r="AD36" i="7"/>
  <c r="AC18" i="7"/>
  <c r="Y18" i="7"/>
  <c r="X18" i="7"/>
  <c r="W18" i="7"/>
  <c r="AE18" i="7"/>
  <c r="AD18" i="7"/>
  <c r="AB18" i="7"/>
  <c r="AA18" i="7"/>
  <c r="Z18" i="7"/>
  <c r="AD40" i="7"/>
  <c r="Y40" i="7"/>
  <c r="AA40" i="7"/>
  <c r="AE40" i="7"/>
  <c r="Z40" i="7"/>
  <c r="W40" i="7"/>
  <c r="X40" i="7"/>
  <c r="AB40" i="7"/>
  <c r="AC40" i="7"/>
  <c r="AC47" i="7"/>
  <c r="AB47" i="7"/>
  <c r="AD47" i="7"/>
  <c r="AA47" i="7"/>
  <c r="Z47" i="7"/>
  <c r="Y47" i="7"/>
  <c r="AE47" i="7"/>
  <c r="X47" i="7"/>
  <c r="W47" i="7"/>
  <c r="X15" i="7"/>
  <c r="W15" i="7"/>
  <c r="AC15" i="7"/>
  <c r="AD15" i="7"/>
  <c r="AE15" i="7"/>
  <c r="Z15" i="7"/>
  <c r="AA15" i="7"/>
  <c r="AB15" i="7"/>
  <c r="Y15" i="7"/>
  <c r="W41" i="7"/>
  <c r="AA41" i="7"/>
  <c r="X41" i="7"/>
  <c r="Z41" i="7"/>
  <c r="AE41" i="7"/>
  <c r="AC41" i="7"/>
  <c r="AB41" i="7"/>
  <c r="AD41" i="7"/>
  <c r="Y41" i="7"/>
  <c r="AA72" i="7"/>
  <c r="Z72" i="7"/>
  <c r="AE72" i="7"/>
  <c r="W72" i="7"/>
  <c r="Y72" i="7"/>
  <c r="AB72" i="7"/>
  <c r="X72" i="7"/>
  <c r="AD72" i="7"/>
  <c r="AC72" i="7"/>
  <c r="X79" i="7"/>
  <c r="Y79" i="7"/>
  <c r="AD79" i="7"/>
  <c r="Z79" i="7"/>
  <c r="AC79" i="7"/>
  <c r="W79" i="7"/>
  <c r="AA79" i="7"/>
  <c r="AB79" i="7"/>
  <c r="AE79" i="7"/>
  <c r="Z22" i="7"/>
  <c r="AE22" i="7"/>
  <c r="AD22" i="7"/>
  <c r="Y22" i="7"/>
  <c r="AC22" i="7"/>
  <c r="AA22" i="7"/>
  <c r="W22" i="7"/>
  <c r="X22" i="7"/>
  <c r="AB22" i="7"/>
  <c r="W69" i="7"/>
  <c r="X69" i="7"/>
  <c r="AA69" i="7"/>
  <c r="Z69" i="7"/>
  <c r="AB69" i="7"/>
  <c r="AE69" i="7"/>
  <c r="AD69" i="7"/>
  <c r="Y69" i="7"/>
  <c r="AC69" i="7"/>
  <c r="Y73" i="7"/>
  <c r="X73" i="7"/>
  <c r="W73" i="7"/>
  <c r="AB73" i="7"/>
  <c r="AE73" i="7"/>
  <c r="AD73" i="7"/>
  <c r="AC73" i="7"/>
  <c r="Z73" i="7"/>
  <c r="AA73" i="7"/>
  <c r="Z48" i="7"/>
  <c r="Y48" i="7"/>
  <c r="X48" i="7"/>
  <c r="W48" i="7"/>
  <c r="AE48" i="7"/>
  <c r="AA48" i="7"/>
  <c r="AB48" i="7"/>
  <c r="AC48" i="7"/>
  <c r="AD48" i="7"/>
  <c r="AE13" i="7"/>
  <c r="W13" i="7"/>
  <c r="AC13" i="7"/>
  <c r="Z13" i="7"/>
  <c r="AD13" i="7"/>
  <c r="AB13" i="7"/>
  <c r="AA13" i="7"/>
  <c r="Y13" i="7"/>
  <c r="X13" i="7"/>
  <c r="AB44" i="7"/>
  <c r="AE44" i="7"/>
  <c r="AD44" i="7"/>
  <c r="AC44" i="7"/>
  <c r="Y44" i="7"/>
  <c r="W44" i="7"/>
  <c r="X44" i="7"/>
  <c r="AA44" i="7"/>
  <c r="Z44" i="7"/>
  <c r="W76" i="7"/>
  <c r="Y76" i="7"/>
  <c r="Z76" i="7"/>
  <c r="AC76" i="7"/>
  <c r="AD76" i="7"/>
  <c r="AE76" i="7"/>
  <c r="X76" i="7"/>
  <c r="AA76" i="7"/>
  <c r="AB76" i="7"/>
  <c r="W17" i="7"/>
  <c r="X17" i="7"/>
  <c r="Z17" i="7"/>
  <c r="Y17" i="7"/>
  <c r="AE17" i="7"/>
  <c r="AC17" i="7"/>
  <c r="AD17" i="7"/>
  <c r="AA17" i="7"/>
  <c r="AB17" i="7"/>
  <c r="W80" i="7"/>
  <c r="Z80" i="7"/>
  <c r="AE80" i="7"/>
  <c r="AD80" i="7"/>
  <c r="Y80" i="7"/>
  <c r="AB80" i="7"/>
  <c r="AC80" i="7"/>
  <c r="X80" i="7"/>
  <c r="AA80" i="7"/>
  <c r="AE56" i="7"/>
  <c r="AB56" i="7"/>
  <c r="AC56" i="7"/>
  <c r="X56" i="7"/>
  <c r="Z56" i="7"/>
  <c r="W56" i="7"/>
  <c r="AD56" i="7"/>
  <c r="AA56" i="7"/>
  <c r="Y56" i="7"/>
  <c r="AB52" i="7"/>
  <c r="AD52" i="7"/>
  <c r="AE52" i="7"/>
  <c r="W52" i="7"/>
  <c r="X52" i="7"/>
  <c r="Z52" i="7"/>
  <c r="AA52" i="7"/>
  <c r="AC52" i="7"/>
  <c r="Y52" i="7"/>
  <c r="AA25" i="7"/>
  <c r="AB25" i="7"/>
  <c r="W25" i="7"/>
  <c r="AE25" i="7"/>
  <c r="Y25" i="7"/>
  <c r="Z25" i="7"/>
  <c r="AD25" i="7"/>
  <c r="AC25" i="7"/>
  <c r="X25" i="7"/>
  <c r="AD12" i="7"/>
  <c r="AB12" i="7"/>
  <c r="X12" i="7"/>
  <c r="Y12" i="7"/>
  <c r="AE12" i="7"/>
  <c r="AC12" i="7"/>
  <c r="Z12" i="7"/>
  <c r="W12" i="7"/>
  <c r="AA12" i="7"/>
  <c r="AA10" i="7"/>
  <c r="X10" i="7"/>
  <c r="AD10" i="7"/>
  <c r="AC10" i="7"/>
  <c r="W10" i="7"/>
  <c r="AE10" i="7"/>
  <c r="AB10" i="7"/>
  <c r="Z10" i="7"/>
  <c r="Y10" i="7"/>
  <c r="Z63" i="7"/>
  <c r="AA63" i="7"/>
  <c r="AB63" i="7"/>
  <c r="W63" i="7"/>
  <c r="AE63" i="7"/>
  <c r="Y63" i="7"/>
  <c r="X63" i="7"/>
  <c r="AC63" i="7"/>
  <c r="AD63" i="7"/>
  <c r="AA68" i="7"/>
  <c r="AE68" i="7"/>
  <c r="Z68" i="7"/>
  <c r="Y68" i="7"/>
  <c r="W68" i="7"/>
  <c r="X68" i="7"/>
  <c r="AC68" i="7"/>
  <c r="AD68" i="7"/>
  <c r="AB68" i="7"/>
  <c r="AE59" i="7"/>
  <c r="Y59" i="7"/>
  <c r="AB59" i="7"/>
  <c r="AD59" i="7"/>
  <c r="Z59" i="7"/>
  <c r="AC59" i="7"/>
  <c r="X59" i="7"/>
  <c r="W59" i="7"/>
  <c r="AA59" i="7"/>
  <c r="AE32" i="7"/>
  <c r="Z32" i="7"/>
  <c r="X32" i="7"/>
  <c r="Y32" i="7"/>
  <c r="AA32" i="7"/>
  <c r="AB32" i="7"/>
  <c r="AD32" i="7"/>
  <c r="W32" i="7"/>
  <c r="AC32" i="7"/>
  <c r="X35" i="7"/>
  <c r="AB35" i="7"/>
  <c r="AC35" i="7"/>
  <c r="AA35" i="7"/>
  <c r="AD35" i="7"/>
  <c r="Z35" i="7"/>
  <c r="W35" i="7"/>
  <c r="AE35" i="7"/>
  <c r="Y35" i="7"/>
  <c r="Z65" i="7"/>
  <c r="W65" i="7"/>
  <c r="AC65" i="7"/>
  <c r="AE65" i="7"/>
  <c r="AD65" i="7"/>
  <c r="Y65" i="7"/>
  <c r="X65" i="7"/>
  <c r="AB65" i="7"/>
  <c r="AA65" i="7"/>
  <c r="Y70" i="7"/>
  <c r="AE70" i="7"/>
  <c r="AD70" i="7"/>
  <c r="W70" i="7"/>
  <c r="X70" i="7"/>
  <c r="AA70" i="7"/>
  <c r="Z70" i="7"/>
  <c r="AC70" i="7"/>
  <c r="AB70" i="7"/>
  <c r="W61" i="7"/>
  <c r="X61" i="7"/>
  <c r="Z61" i="7"/>
  <c r="Y61" i="7"/>
  <c r="AD61" i="7"/>
  <c r="AB61" i="7"/>
  <c r="AC61" i="7"/>
  <c r="AE61" i="7"/>
  <c r="AA61" i="7"/>
  <c r="Z30" i="7"/>
  <c r="AD30" i="7"/>
  <c r="AB30" i="7"/>
  <c r="AA30" i="7"/>
  <c r="W30" i="7"/>
  <c r="Y30" i="7"/>
  <c r="AE30" i="7"/>
  <c r="X30" i="7"/>
  <c r="AC30" i="7"/>
  <c r="AE75" i="7"/>
  <c r="AA75" i="7"/>
  <c r="Z75" i="7"/>
  <c r="AD75" i="7"/>
  <c r="Y75" i="7"/>
  <c r="W75" i="7"/>
  <c r="X75" i="7"/>
  <c r="AB75" i="7"/>
  <c r="AC75" i="7"/>
  <c r="X51" i="7"/>
  <c r="AB51" i="7"/>
  <c r="AA51" i="7"/>
  <c r="AC51" i="7"/>
  <c r="AD51" i="7"/>
  <c r="AE51" i="7"/>
  <c r="Z51" i="7"/>
  <c r="W51" i="7"/>
  <c r="Y51" i="7"/>
  <c r="Z45" i="5"/>
  <c r="AA45" i="5"/>
  <c r="AB45" i="5"/>
  <c r="Y45" i="5"/>
  <c r="AE45" i="5"/>
  <c r="W45" i="5"/>
  <c r="X45" i="5"/>
  <c r="AC45" i="5"/>
  <c r="AD45" i="5"/>
  <c r="W68" i="5"/>
  <c r="AA68" i="5"/>
  <c r="Z68" i="5"/>
  <c r="X68" i="5"/>
  <c r="AC68" i="5"/>
  <c r="AD68" i="5"/>
  <c r="Y68" i="5"/>
  <c r="AB68" i="5"/>
  <c r="AE68" i="5"/>
  <c r="Z54" i="5"/>
  <c r="Y54" i="5"/>
  <c r="X54" i="5"/>
  <c r="W54" i="5"/>
  <c r="AC54" i="5"/>
  <c r="AE54" i="5"/>
  <c r="AD54" i="5"/>
  <c r="AB54" i="5"/>
  <c r="AA54" i="5"/>
  <c r="Y27" i="5"/>
  <c r="AE27" i="5"/>
  <c r="AB27" i="5"/>
  <c r="AA27" i="5"/>
  <c r="X27" i="5"/>
  <c r="Z27" i="5"/>
  <c r="AC27" i="5"/>
  <c r="AD27" i="5"/>
  <c r="W27" i="5"/>
  <c r="AA19" i="5"/>
  <c r="AE19" i="5"/>
  <c r="AD19" i="5"/>
  <c r="AC19" i="5"/>
  <c r="AB19" i="5"/>
  <c r="X19" i="5"/>
  <c r="Y19" i="5"/>
  <c r="Z19" i="5"/>
  <c r="W19" i="5"/>
  <c r="AC82" i="5"/>
  <c r="AD82" i="5"/>
  <c r="Y82" i="5"/>
  <c r="AB82" i="5"/>
  <c r="X82" i="5"/>
  <c r="W82" i="5"/>
  <c r="Z82" i="5"/>
  <c r="AA82" i="5"/>
  <c r="AE82" i="5"/>
  <c r="AE78" i="5"/>
  <c r="AD78" i="5"/>
  <c r="AC78" i="5"/>
  <c r="Z78" i="5"/>
  <c r="Y78" i="5"/>
  <c r="AA78" i="5"/>
  <c r="AB78" i="5"/>
  <c r="W78" i="5"/>
  <c r="X78" i="5"/>
  <c r="W17" i="5"/>
  <c r="AC17" i="5"/>
  <c r="AD17" i="5"/>
  <c r="AE17" i="5"/>
  <c r="X17" i="5"/>
  <c r="Z17" i="5"/>
  <c r="Y17" i="5"/>
  <c r="AA17" i="5"/>
  <c r="AB17" i="5"/>
  <c r="AC26" i="5"/>
  <c r="AB26" i="5"/>
  <c r="AE26" i="5"/>
  <c r="Z26" i="5"/>
  <c r="Y26" i="5"/>
  <c r="X26" i="5"/>
  <c r="AA26" i="5"/>
  <c r="W26" i="5"/>
  <c r="AD26" i="5"/>
  <c r="AC66" i="5"/>
  <c r="Z66" i="5"/>
  <c r="Y66" i="5"/>
  <c r="AE66" i="5"/>
  <c r="AB66" i="5"/>
  <c r="AA66" i="5"/>
  <c r="W66" i="5"/>
  <c r="AD66" i="5"/>
  <c r="X66" i="5"/>
  <c r="Z41" i="5"/>
  <c r="W41" i="5"/>
  <c r="X41" i="5"/>
  <c r="AC41" i="5"/>
  <c r="AA41" i="5"/>
  <c r="AB41" i="5"/>
  <c r="Y41" i="5"/>
  <c r="AD41" i="5"/>
  <c r="AE41" i="5"/>
  <c r="Z65" i="5"/>
  <c r="AA65" i="5"/>
  <c r="AB65" i="5"/>
  <c r="AC65" i="5"/>
  <c r="AE65" i="5"/>
  <c r="X65" i="5"/>
  <c r="W65" i="5"/>
  <c r="AD65" i="5"/>
  <c r="Y65" i="5"/>
  <c r="Z77" i="5"/>
  <c r="W77" i="5"/>
  <c r="Y77" i="5"/>
  <c r="AC77" i="5"/>
  <c r="AB77" i="5"/>
  <c r="AA77" i="5"/>
  <c r="AD77" i="5"/>
  <c r="X77" i="5"/>
  <c r="AE77" i="5"/>
  <c r="Z65" i="4"/>
  <c r="AE65" i="4"/>
  <c r="AC65" i="4"/>
  <c r="Y65" i="4"/>
  <c r="AB65" i="4"/>
  <c r="X65" i="4"/>
  <c r="AA65" i="4"/>
  <c r="W65" i="4"/>
  <c r="AD65" i="4"/>
  <c r="W66" i="4"/>
  <c r="AB66" i="4"/>
  <c r="Z66" i="4"/>
  <c r="AE66" i="4"/>
  <c r="X66" i="4"/>
  <c r="AA66" i="4"/>
  <c r="AC66" i="4"/>
  <c r="Y66" i="4"/>
  <c r="AD66" i="4"/>
  <c r="AD21" i="24"/>
  <c r="X21" i="24"/>
  <c r="W21" i="24"/>
  <c r="AE21" i="24"/>
  <c r="Y21" i="24"/>
  <c r="Z21" i="24"/>
  <c r="AA21" i="24"/>
  <c r="AB21" i="24"/>
  <c r="AC21" i="24"/>
  <c r="W24" i="24"/>
  <c r="X24" i="24"/>
  <c r="Y24" i="24"/>
  <c r="Z24" i="24"/>
  <c r="AA24" i="24"/>
  <c r="AC24" i="24"/>
  <c r="AD24" i="24"/>
  <c r="AE24" i="24"/>
  <c r="AB24" i="24"/>
  <c r="AA53" i="24"/>
  <c r="Y53" i="24"/>
  <c r="W53" i="24"/>
  <c r="Z53" i="24"/>
  <c r="AC53" i="24"/>
  <c r="AB53" i="24"/>
  <c r="AD53" i="24"/>
  <c r="AE53" i="24"/>
  <c r="X53" i="24"/>
  <c r="AE39" i="24"/>
  <c r="AA39" i="24"/>
  <c r="AB39" i="24"/>
  <c r="Y39" i="24"/>
  <c r="X39" i="24"/>
  <c r="Z39" i="24"/>
  <c r="AB22" i="24"/>
  <c r="X22" i="24"/>
  <c r="AC22" i="24"/>
  <c r="W22" i="24"/>
  <c r="AA22" i="24"/>
  <c r="AA69" i="24"/>
  <c r="AE69" i="24"/>
  <c r="X69" i="24"/>
  <c r="W69" i="24"/>
  <c r="AB69" i="24"/>
  <c r="AC69" i="24"/>
  <c r="Z69" i="24"/>
  <c r="Y69" i="24"/>
  <c r="Y76" i="24"/>
  <c r="AD76" i="24"/>
  <c r="AC76" i="24"/>
  <c r="AA76" i="24"/>
  <c r="Z76" i="24"/>
  <c r="AE76" i="24"/>
  <c r="AB76" i="24"/>
  <c r="X76" i="24"/>
  <c r="AD58" i="24"/>
  <c r="W58" i="24"/>
  <c r="AA58" i="24"/>
  <c r="AC58" i="24"/>
  <c r="Y58" i="24"/>
  <c r="AB58" i="24"/>
  <c r="AE58" i="24"/>
  <c r="Z58" i="24"/>
  <c r="AC61" i="24"/>
  <c r="W61" i="24"/>
  <c r="Z61" i="24"/>
  <c r="AA61" i="24"/>
  <c r="X61" i="24"/>
  <c r="AE61" i="24"/>
  <c r="AB47" i="24"/>
  <c r="W47" i="24"/>
  <c r="X47" i="24"/>
  <c r="AC47" i="24"/>
  <c r="AD47" i="24"/>
  <c r="AE47" i="24"/>
  <c r="AA47" i="24"/>
  <c r="W80" i="24"/>
  <c r="Y80" i="24"/>
  <c r="Z80" i="24"/>
  <c r="AD80" i="24"/>
  <c r="AB80" i="24"/>
  <c r="AE80" i="24"/>
  <c r="AC80" i="24"/>
  <c r="AA80" i="24"/>
  <c r="X80" i="24"/>
  <c r="AC68" i="24"/>
  <c r="Y68" i="24"/>
  <c r="AD68" i="24"/>
  <c r="Z68" i="24"/>
  <c r="X68" i="24"/>
  <c r="AB68" i="24"/>
  <c r="AB10" i="24"/>
  <c r="AA10" i="24"/>
  <c r="AE10" i="24"/>
  <c r="AC10" i="24"/>
  <c r="AD10" i="24"/>
  <c r="Z10" i="24"/>
  <c r="X10" i="24"/>
  <c r="W10" i="24"/>
  <c r="Y10" i="24"/>
  <c r="AC14" i="24"/>
  <c r="Y14" i="24"/>
  <c r="AB14" i="24"/>
  <c r="Z14" i="24"/>
  <c r="AE14" i="24"/>
  <c r="AA14" i="24"/>
  <c r="AE34" i="24"/>
  <c r="AC34" i="24"/>
  <c r="Z34" i="24"/>
  <c r="AA34" i="24"/>
  <c r="W34" i="24"/>
  <c r="AB34" i="24"/>
  <c r="X34" i="24"/>
  <c r="Y34" i="24"/>
  <c r="AD34" i="24"/>
  <c r="AB13" i="24"/>
  <c r="Y13" i="24"/>
  <c r="AE13" i="24"/>
  <c r="X13" i="24"/>
  <c r="AA13" i="24"/>
  <c r="Z13" i="24"/>
  <c r="AC13" i="24"/>
  <c r="AD13" i="24"/>
  <c r="W13" i="24"/>
  <c r="AE83" i="24"/>
  <c r="AC83" i="24"/>
  <c r="Y83" i="24"/>
  <c r="AD83" i="24"/>
  <c r="AB83" i="24"/>
  <c r="Z83" i="24"/>
  <c r="W83" i="24"/>
  <c r="X83" i="24"/>
  <c r="AA83" i="24"/>
  <c r="Z48" i="24"/>
  <c r="AC48" i="24"/>
  <c r="AE48" i="24"/>
  <c r="W48" i="24"/>
  <c r="X48" i="24"/>
  <c r="AB48" i="24"/>
  <c r="AD48" i="24"/>
  <c r="AA48" i="24"/>
  <c r="Y48" i="24"/>
  <c r="AA85" i="24"/>
  <c r="W85" i="24"/>
  <c r="AC85" i="24"/>
  <c r="X85" i="24"/>
  <c r="Y85" i="24"/>
  <c r="Z85" i="24"/>
  <c r="AB85" i="24"/>
  <c r="AE85" i="24"/>
  <c r="AB74" i="24"/>
  <c r="AC74" i="24"/>
  <c r="AD74" i="24"/>
  <c r="AE74" i="24"/>
  <c r="X74" i="24"/>
  <c r="W74" i="24"/>
  <c r="Y74" i="24"/>
  <c r="Z74" i="24"/>
  <c r="AA74" i="24"/>
  <c r="AA31" i="24"/>
  <c r="AB31" i="24"/>
  <c r="Y31" i="24"/>
  <c r="AC31" i="24"/>
  <c r="AE31" i="24"/>
  <c r="AD31" i="24"/>
  <c r="X31" i="24"/>
  <c r="W31" i="24"/>
  <c r="Z31" i="24"/>
  <c r="W59" i="24"/>
  <c r="AE59" i="24"/>
  <c r="AB59" i="24"/>
  <c r="X59" i="24"/>
  <c r="AC59" i="24"/>
  <c r="AA59" i="24"/>
  <c r="AD59" i="24"/>
  <c r="AA56" i="24"/>
  <c r="AE56" i="24"/>
  <c r="AC56" i="24"/>
  <c r="AB56" i="24"/>
  <c r="Y56" i="24"/>
  <c r="X56" i="24"/>
  <c r="W56" i="24"/>
  <c r="Z56" i="24"/>
  <c r="AD56" i="24"/>
  <c r="AC36" i="24"/>
  <c r="AE36" i="24"/>
  <c r="W36" i="24"/>
  <c r="Y36" i="24"/>
  <c r="AA36" i="24"/>
  <c r="AD36" i="24"/>
  <c r="X36" i="24"/>
  <c r="Z36" i="24"/>
  <c r="AE54" i="24"/>
  <c r="AD54" i="24"/>
  <c r="AB54" i="24"/>
  <c r="AB57" i="24"/>
  <c r="AD57" i="24"/>
  <c r="AE57" i="24"/>
  <c r="AA57" i="24"/>
  <c r="Z57" i="24"/>
  <c r="AC57" i="24"/>
  <c r="X57" i="24"/>
  <c r="Y57" i="24"/>
  <c r="W57" i="24"/>
  <c r="W67" i="24"/>
  <c r="X67" i="24"/>
  <c r="AB67" i="24"/>
  <c r="Z67" i="24"/>
  <c r="AC67" i="24"/>
  <c r="AE67" i="24"/>
  <c r="Y67" i="24"/>
  <c r="AD67" i="24"/>
  <c r="AA67" i="24"/>
  <c r="W30" i="24"/>
  <c r="X30" i="24"/>
  <c r="AC30" i="24"/>
  <c r="AB30" i="24"/>
  <c r="AD30" i="24"/>
  <c r="AE30" i="24"/>
  <c r="Z30" i="24"/>
  <c r="Y30" i="24"/>
  <c r="AA30" i="24"/>
  <c r="W60" i="24"/>
  <c r="AE60" i="24"/>
  <c r="AB60" i="24"/>
  <c r="AD60" i="24"/>
  <c r="AA60" i="24"/>
  <c r="AC60" i="24"/>
  <c r="Z60" i="24"/>
  <c r="X60" i="24"/>
  <c r="Y60" i="24"/>
  <c r="AD41" i="24"/>
  <c r="AC41" i="24"/>
  <c r="AB41" i="24"/>
  <c r="AA41" i="24"/>
  <c r="X41" i="24"/>
  <c r="Z41" i="24"/>
  <c r="AE41" i="24"/>
  <c r="Y41" i="24"/>
  <c r="W41" i="24"/>
  <c r="AA64" i="24"/>
  <c r="Y64" i="24"/>
  <c r="X64" i="24"/>
  <c r="AD64" i="24"/>
  <c r="AE64" i="24"/>
  <c r="Z64" i="24"/>
  <c r="W64" i="24"/>
  <c r="AB64" i="24"/>
  <c r="AC64" i="24"/>
  <c r="AC70" i="24"/>
  <c r="AB70" i="24"/>
  <c r="AA70" i="24"/>
  <c r="AB46" i="24"/>
  <c r="AE46" i="24"/>
  <c r="X46" i="24"/>
  <c r="W46" i="24"/>
  <c r="Y46" i="24"/>
  <c r="AC46" i="24"/>
  <c r="AA46" i="24"/>
  <c r="AD46" i="24"/>
  <c r="AD82" i="24"/>
  <c r="Y82" i="24"/>
  <c r="AB82" i="24"/>
  <c r="AC82" i="24"/>
  <c r="AA82" i="24"/>
  <c r="W82" i="24"/>
  <c r="X82" i="24"/>
  <c r="AE82" i="24"/>
  <c r="Z82" i="24"/>
  <c r="AC29" i="24"/>
  <c r="W29" i="24"/>
  <c r="AE29" i="24"/>
  <c r="Z29" i="24"/>
  <c r="AA29" i="24"/>
  <c r="X29" i="24"/>
  <c r="Y29" i="24"/>
  <c r="Y62" i="24"/>
  <c r="AE62" i="24"/>
  <c r="AD62" i="24"/>
  <c r="AB62" i="24"/>
  <c r="AC62" i="24"/>
  <c r="Z62" i="24"/>
  <c r="AA62" i="24"/>
  <c r="AD79" i="24"/>
  <c r="W79" i="24"/>
  <c r="Z79" i="24"/>
  <c r="AA79" i="24"/>
  <c r="AC79" i="24"/>
  <c r="AB79" i="24"/>
  <c r="Y79" i="24"/>
  <c r="X79" i="24"/>
  <c r="AE79" i="24"/>
  <c r="Y52" i="24"/>
  <c r="AC52" i="24"/>
  <c r="AA52" i="24"/>
  <c r="X52" i="24"/>
  <c r="Z52" i="24"/>
  <c r="W52" i="24"/>
  <c r="AB52" i="24"/>
  <c r="AE52" i="24"/>
  <c r="W73" i="24"/>
  <c r="AE73" i="24"/>
  <c r="Y73" i="24"/>
  <c r="AD73" i="24"/>
  <c r="Z73" i="24"/>
  <c r="X73" i="24"/>
  <c r="AA73" i="24"/>
  <c r="AB81" i="24"/>
  <c r="AD81" i="24"/>
  <c r="AE81" i="24"/>
  <c r="AC81" i="24"/>
  <c r="AA81" i="24"/>
  <c r="Z81" i="24"/>
  <c r="X81" i="24"/>
  <c r="W81" i="24"/>
  <c r="Y81" i="24"/>
  <c r="AB28" i="24"/>
  <c r="X28" i="24"/>
  <c r="AD28" i="24"/>
  <c r="Z28" i="24"/>
  <c r="AE28" i="24"/>
  <c r="Y28" i="24"/>
  <c r="W28" i="24"/>
  <c r="AA28" i="24"/>
  <c r="AA12" i="24"/>
  <c r="AC12" i="24"/>
  <c r="AE12" i="24"/>
  <c r="Z12" i="24"/>
  <c r="AB12" i="24"/>
  <c r="AD12" i="24"/>
  <c r="X12" i="24"/>
  <c r="Y12" i="24"/>
  <c r="W12" i="24"/>
  <c r="AA42" i="24"/>
  <c r="Z42" i="24"/>
  <c r="X42" i="24"/>
  <c r="X33" i="24"/>
  <c r="Y33" i="24"/>
  <c r="Z33" i="24"/>
  <c r="AB33" i="24"/>
  <c r="AC33" i="24"/>
  <c r="AD33" i="24"/>
  <c r="AE33" i="24"/>
  <c r="AA33" i="24"/>
  <c r="W33" i="24"/>
  <c r="AE25" i="24"/>
  <c r="W25" i="24"/>
  <c r="X25" i="24"/>
  <c r="Y25" i="24"/>
  <c r="Z25" i="24"/>
  <c r="AA25" i="24"/>
  <c r="AB25" i="24"/>
  <c r="AC25" i="24"/>
  <c r="AD25" i="24"/>
  <c r="AE65" i="24"/>
  <c r="Z65" i="24"/>
  <c r="AB65" i="24"/>
  <c r="X65" i="24"/>
  <c r="W65" i="24"/>
  <c r="AC65" i="24"/>
  <c r="AD65" i="24"/>
  <c r="Y65" i="24"/>
  <c r="AA65" i="24"/>
  <c r="AA75" i="24"/>
  <c r="X75" i="24"/>
  <c r="W75" i="24"/>
  <c r="Z75" i="24"/>
  <c r="Y75" i="24"/>
  <c r="AE75" i="24"/>
  <c r="AD75" i="24"/>
  <c r="AC75" i="24"/>
  <c r="AB75" i="24"/>
  <c r="X11" i="24"/>
  <c r="Z11" i="24"/>
  <c r="Y11" i="24"/>
  <c r="W11" i="24"/>
  <c r="AE11" i="24"/>
  <c r="AD11" i="24"/>
  <c r="AC11" i="24"/>
  <c r="AB11" i="24"/>
  <c r="Y78" i="24"/>
  <c r="AB78" i="24"/>
  <c r="AA78" i="24"/>
  <c r="W78" i="24"/>
  <c r="AE78" i="24"/>
  <c r="X78" i="24"/>
  <c r="Z78" i="24"/>
  <c r="W40" i="24"/>
  <c r="Y40" i="24"/>
  <c r="X40" i="24"/>
  <c r="AB40" i="24"/>
  <c r="Z40" i="24"/>
  <c r="AE40" i="24"/>
  <c r="AA40" i="24"/>
  <c r="AD40" i="24"/>
  <c r="AC40" i="24"/>
  <c r="X18" i="24"/>
  <c r="Y18" i="24"/>
  <c r="AE18" i="24"/>
  <c r="W18" i="24"/>
  <c r="Z18" i="24"/>
  <c r="AD18" i="24"/>
  <c r="AC18" i="24"/>
  <c r="AB18" i="24"/>
  <c r="AA18" i="24"/>
  <c r="AB63" i="24"/>
  <c r="AA63" i="24"/>
  <c r="AE63" i="24"/>
  <c r="Y63" i="24"/>
  <c r="Z63" i="24"/>
  <c r="X63" i="24"/>
  <c r="AC37" i="24"/>
  <c r="AA37" i="24"/>
  <c r="AB37" i="24"/>
  <c r="Z37" i="24"/>
  <c r="AD37" i="24"/>
  <c r="AE37" i="24"/>
  <c r="X37" i="24"/>
  <c r="W37" i="24"/>
  <c r="Y37" i="24"/>
  <c r="X17" i="24"/>
  <c r="W17" i="24"/>
  <c r="Z17" i="24"/>
  <c r="AE17" i="24"/>
  <c r="AD17" i="24"/>
  <c r="AC17" i="24"/>
  <c r="Y17" i="24"/>
  <c r="AB17" i="24"/>
  <c r="AA17" i="24"/>
  <c r="Z20" i="24"/>
  <c r="AB20" i="24"/>
  <c r="X20" i="24"/>
  <c r="AA20" i="24"/>
  <c r="AD20" i="24"/>
  <c r="Y20" i="24"/>
  <c r="W20" i="24"/>
  <c r="AE20" i="24"/>
  <c r="AC20" i="24"/>
  <c r="Z71" i="24"/>
  <c r="AD71" i="24"/>
  <c r="AE71" i="24"/>
  <c r="Y71" i="24"/>
  <c r="AA71" i="24"/>
  <c r="W71" i="24"/>
  <c r="X71" i="24"/>
  <c r="AC71" i="24"/>
  <c r="AC77" i="24"/>
  <c r="AB77" i="24"/>
  <c r="AA77" i="24"/>
  <c r="Z77" i="24"/>
  <c r="AE77" i="24"/>
  <c r="X77" i="24"/>
  <c r="Y77" i="24"/>
  <c r="W77" i="24"/>
  <c r="AD77" i="24"/>
  <c r="W43" i="24"/>
  <c r="AB43" i="24"/>
  <c r="AE43" i="24"/>
  <c r="Y43" i="24"/>
  <c r="AA43" i="24"/>
  <c r="X43" i="24"/>
  <c r="AD43" i="24"/>
  <c r="Z43" i="24"/>
  <c r="AC43" i="24"/>
  <c r="X44" i="24"/>
  <c r="Y44" i="24"/>
  <c r="AE44" i="24"/>
  <c r="AC44" i="24"/>
  <c r="AD44" i="24"/>
  <c r="AB44" i="24"/>
  <c r="AA44" i="24"/>
  <c r="Z44" i="24"/>
  <c r="W44" i="24"/>
  <c r="AA55" i="24"/>
  <c r="AC55" i="24"/>
  <c r="AB55" i="24"/>
  <c r="Y55" i="24"/>
  <c r="AE55" i="24"/>
  <c r="Z55" i="24"/>
  <c r="X55" i="24"/>
  <c r="W55" i="24"/>
  <c r="AD55" i="24"/>
  <c r="AB38" i="24"/>
  <c r="AA38" i="24"/>
  <c r="Z38" i="24"/>
  <c r="Y38" i="24"/>
  <c r="X38" i="24"/>
  <c r="W38" i="24"/>
  <c r="AE38" i="24"/>
  <c r="AC38" i="24"/>
  <c r="AD38" i="24"/>
  <c r="AC26" i="24"/>
  <c r="AB26" i="24"/>
  <c r="AA26" i="24"/>
  <c r="Z26" i="24"/>
  <c r="Y26" i="24"/>
  <c r="AE26" i="24"/>
  <c r="AD26" i="24"/>
  <c r="X26" i="24"/>
  <c r="W26" i="24"/>
  <c r="Y15" i="24"/>
  <c r="AA15" i="24"/>
  <c r="AB15" i="24"/>
  <c r="X15" i="24"/>
  <c r="AC15" i="24"/>
  <c r="W15" i="24"/>
  <c r="Z15" i="24"/>
  <c r="AD15" i="24"/>
  <c r="AE15" i="24"/>
  <c r="Y66" i="24"/>
  <c r="X66" i="24"/>
  <c r="AB66" i="24"/>
  <c r="AD66" i="24"/>
  <c r="Z66" i="24"/>
  <c r="AA66" i="24"/>
  <c r="W66" i="24"/>
  <c r="AE66" i="24"/>
  <c r="AC66" i="24"/>
  <c r="AA45" i="24"/>
  <c r="AE45" i="24"/>
  <c r="AC45" i="24"/>
  <c r="AD45" i="24"/>
  <c r="AB45" i="24"/>
  <c r="Y45" i="24"/>
  <c r="Z45" i="24"/>
  <c r="X45" i="24"/>
  <c r="W45" i="24"/>
  <c r="AC23" i="24"/>
  <c r="AD23" i="24"/>
  <c r="AE23" i="24"/>
  <c r="AA23" i="24"/>
  <c r="Y23" i="24"/>
  <c r="X23" i="24"/>
  <c r="Z23" i="24"/>
  <c r="W23" i="24"/>
  <c r="AB23" i="24"/>
  <c r="AD32" i="24"/>
  <c r="Z32" i="24"/>
  <c r="AA32" i="24"/>
  <c r="AB32" i="24"/>
  <c r="Y32" i="24"/>
  <c r="AE32" i="24"/>
  <c r="W32" i="24"/>
  <c r="X32" i="24"/>
  <c r="AC32" i="24"/>
  <c r="AE50" i="24"/>
  <c r="AC50" i="24"/>
  <c r="AD50" i="24"/>
  <c r="W50" i="24"/>
  <c r="Z50" i="24"/>
  <c r="X50" i="24"/>
  <c r="Y50" i="24"/>
  <c r="AB50" i="24"/>
  <c r="AA50" i="24"/>
  <c r="AC49" i="24"/>
  <c r="W49" i="24"/>
  <c r="AD49" i="24"/>
  <c r="Y49" i="24"/>
  <c r="AA49" i="24"/>
  <c r="AE49" i="24"/>
  <c r="X49" i="24"/>
  <c r="Z49" i="24"/>
  <c r="AB49" i="24"/>
  <c r="AC19" i="24"/>
  <c r="AA19" i="24"/>
  <c r="AE19" i="24"/>
  <c r="AB19" i="24"/>
  <c r="AD19" i="24"/>
  <c r="Z19" i="24"/>
  <c r="Y19" i="24"/>
  <c r="X19" i="24"/>
  <c r="W19" i="24"/>
  <c r="AA51" i="24"/>
  <c r="AE51" i="24"/>
  <c r="AC51" i="24"/>
  <c r="Y51" i="24"/>
  <c r="X51" i="24"/>
  <c r="W51" i="24"/>
  <c r="AD51" i="24"/>
  <c r="AB51" i="24"/>
  <c r="Z51" i="24"/>
  <c r="AA35" i="24"/>
  <c r="Z35" i="24"/>
  <c r="AE35" i="24"/>
  <c r="AD35" i="24"/>
  <c r="X35" i="24"/>
  <c r="Y35" i="24"/>
  <c r="W35" i="24"/>
  <c r="AB35" i="24"/>
  <c r="AC35" i="24"/>
  <c r="X33" i="22"/>
  <c r="AC46" i="19"/>
  <c r="AC30" i="19"/>
  <c r="AD13" i="19"/>
  <c r="X41" i="19"/>
  <c r="AD20" i="19"/>
  <c r="W79" i="19"/>
  <c r="AE53" i="19"/>
  <c r="AE78" i="19"/>
  <c r="X21" i="19"/>
  <c r="X31" i="19"/>
  <c r="AA27" i="19"/>
  <c r="Y62" i="19"/>
  <c r="AC56" i="19"/>
  <c r="W76" i="19"/>
  <c r="Y46" i="19"/>
  <c r="AE27" i="7"/>
  <c r="Z27" i="7"/>
  <c r="AA27" i="7"/>
  <c r="AB27" i="7"/>
  <c r="AC27" i="7"/>
  <c r="AD27" i="7"/>
  <c r="W27" i="7"/>
  <c r="X27" i="7"/>
  <c r="Y27" i="7"/>
  <c r="X16" i="7"/>
  <c r="W16" i="7"/>
  <c r="Y16" i="7"/>
  <c r="Z16" i="7"/>
  <c r="AB16" i="7"/>
  <c r="AA16" i="7"/>
  <c r="AC16" i="7"/>
  <c r="AE16" i="7"/>
  <c r="AD16" i="7"/>
  <c r="AD23" i="7"/>
  <c r="Z23" i="7"/>
  <c r="X23" i="7"/>
  <c r="Y23" i="7"/>
  <c r="AB23" i="7"/>
  <c r="AA23" i="7"/>
  <c r="W23" i="7"/>
  <c r="AE23" i="7"/>
  <c r="AC23" i="7"/>
  <c r="W59" i="4"/>
  <c r="AC59" i="4"/>
  <c r="Z60" i="29"/>
  <c r="AC60" i="29"/>
  <c r="X60" i="29"/>
  <c r="AD60" i="29"/>
  <c r="W60" i="29"/>
  <c r="AE60" i="29"/>
  <c r="Y60" i="29"/>
  <c r="AB60" i="29"/>
  <c r="AA60" i="29"/>
  <c r="AA42" i="29"/>
  <c r="Z42" i="29"/>
  <c r="Y42" i="29"/>
  <c r="AC42" i="29"/>
  <c r="AB42" i="29"/>
  <c r="X42" i="29"/>
  <c r="AE42" i="29"/>
  <c r="W42" i="29"/>
  <c r="AD42" i="29"/>
  <c r="W28" i="29"/>
  <c r="AD28" i="29"/>
  <c r="AA28" i="29"/>
  <c r="Y28" i="29"/>
  <c r="AC28" i="29"/>
  <c r="AB28" i="29"/>
  <c r="AE28" i="29"/>
  <c r="X28" i="29"/>
  <c r="Z28" i="29"/>
  <c r="AA58" i="29"/>
  <c r="Z58" i="29"/>
  <c r="AB58" i="29"/>
  <c r="AD58" i="29"/>
  <c r="W58" i="29"/>
  <c r="AC58" i="29"/>
  <c r="AE58" i="29"/>
  <c r="X58" i="29"/>
  <c r="Y58" i="29"/>
  <c r="AC21" i="29"/>
  <c r="AB21" i="29"/>
  <c r="AD21" i="29"/>
  <c r="Z21" i="29"/>
  <c r="Y21" i="29"/>
  <c r="W21" i="29"/>
  <c r="X21" i="29"/>
  <c r="AA21" i="29"/>
  <c r="AE21" i="29"/>
  <c r="AA82" i="29"/>
  <c r="AB82" i="29"/>
  <c r="AD82" i="29"/>
  <c r="Y82" i="29"/>
  <c r="Z82" i="29"/>
  <c r="AE82" i="29"/>
  <c r="W82" i="29"/>
  <c r="X82" i="29"/>
  <c r="AC82" i="29"/>
  <c r="Z27" i="29"/>
  <c r="W27" i="29"/>
  <c r="X27" i="29"/>
  <c r="Y27" i="29"/>
  <c r="AE27" i="29"/>
  <c r="AB27" i="29"/>
  <c r="AA27" i="29"/>
  <c r="AD27" i="29"/>
  <c r="AC27" i="29"/>
  <c r="AE76" i="29"/>
  <c r="AC76" i="29"/>
  <c r="Y76" i="29"/>
  <c r="X76" i="29"/>
  <c r="W76" i="29"/>
  <c r="Z76" i="29"/>
  <c r="AB76" i="29"/>
  <c r="AA76" i="29"/>
  <c r="AD76" i="29"/>
  <c r="X72" i="29"/>
  <c r="AC72" i="29"/>
  <c r="AA72" i="29"/>
  <c r="Z72" i="29"/>
  <c r="AD72" i="29"/>
  <c r="Y72" i="29"/>
  <c r="AE72" i="29"/>
  <c r="AB72" i="29"/>
  <c r="W72" i="29"/>
  <c r="W35" i="29"/>
  <c r="X35" i="29"/>
  <c r="AA35" i="29"/>
  <c r="AE35" i="29"/>
  <c r="AD35" i="29"/>
  <c r="AC35" i="29"/>
  <c r="Z35" i="29"/>
  <c r="Y35" i="29"/>
  <c r="AB35" i="29"/>
  <c r="AB23" i="29"/>
  <c r="AE23" i="29"/>
  <c r="Z23" i="29"/>
  <c r="W23" i="29"/>
  <c r="Y23" i="29"/>
  <c r="X23" i="29"/>
  <c r="AA23" i="29"/>
  <c r="AC23" i="29"/>
  <c r="AD23" i="29"/>
  <c r="AB77" i="29"/>
  <c r="AC77" i="29"/>
  <c r="Z77" i="29"/>
  <c r="Y77" i="29"/>
  <c r="W77" i="29"/>
  <c r="AE77" i="29"/>
  <c r="AA77" i="29"/>
  <c r="AD77" i="29"/>
  <c r="X77" i="29"/>
  <c r="Y38" i="29"/>
  <c r="X38" i="29"/>
  <c r="AE38" i="29"/>
  <c r="Z38" i="29"/>
  <c r="AC38" i="29"/>
  <c r="AD38" i="29"/>
  <c r="AB38" i="29"/>
  <c r="AA38" i="29"/>
  <c r="W38" i="29"/>
  <c r="AC20" i="29"/>
  <c r="W20" i="29"/>
  <c r="Y20" i="29"/>
  <c r="AD20" i="29"/>
  <c r="AE20" i="29"/>
  <c r="Z20" i="29"/>
  <c r="AA20" i="29"/>
  <c r="X20" i="29"/>
  <c r="AB20" i="29"/>
  <c r="Y80" i="29"/>
  <c r="W80" i="29"/>
  <c r="AD80" i="29"/>
  <c r="AE80" i="29"/>
  <c r="AB80" i="29"/>
  <c r="AA80" i="29"/>
  <c r="X80" i="29"/>
  <c r="AC80" i="29"/>
  <c r="Z80" i="29"/>
  <c r="AC71" i="29"/>
  <c r="W71" i="29"/>
  <c r="AD71" i="29"/>
  <c r="X71" i="29"/>
  <c r="Y71" i="29"/>
  <c r="AE71" i="29"/>
  <c r="AA71" i="29"/>
  <c r="Z71" i="29"/>
  <c r="AB71" i="29"/>
  <c r="W49" i="29"/>
  <c r="AD49" i="29"/>
  <c r="AB49" i="29"/>
  <c r="AC49" i="29"/>
  <c r="AA49" i="29"/>
  <c r="Z49" i="29"/>
  <c r="AE49" i="29"/>
  <c r="Y49" i="29"/>
  <c r="X49" i="29"/>
  <c r="AC75" i="29"/>
  <c r="AA75" i="29"/>
  <c r="AD75" i="29"/>
  <c r="AB75" i="29"/>
  <c r="X75" i="29"/>
  <c r="W75" i="29"/>
  <c r="Y75" i="29"/>
  <c r="Z75" i="29"/>
  <c r="AE75" i="29"/>
  <c r="AD67" i="29"/>
  <c r="W67" i="29"/>
  <c r="AE67" i="29"/>
  <c r="Y67" i="29"/>
  <c r="Z67" i="29"/>
  <c r="AC67" i="29"/>
  <c r="AB67" i="29"/>
  <c r="AA67" i="29"/>
  <c r="X67" i="29"/>
  <c r="AC52" i="29"/>
  <c r="AA52" i="29"/>
  <c r="X52" i="29"/>
  <c r="W52" i="29"/>
  <c r="AE52" i="29"/>
  <c r="AD52" i="29"/>
  <c r="Y52" i="29"/>
  <c r="AB52" i="29"/>
  <c r="Z52" i="29"/>
  <c r="AE10" i="29"/>
  <c r="AB10" i="29"/>
  <c r="AA10" i="29"/>
  <c r="AD10" i="29"/>
  <c r="Y10" i="29"/>
  <c r="Z10" i="29"/>
  <c r="AC10" i="29"/>
  <c r="X10" i="29"/>
  <c r="W10" i="29"/>
  <c r="Y65" i="29"/>
  <c r="AA65" i="29"/>
  <c r="W65" i="29"/>
  <c r="Z65" i="29"/>
  <c r="AB65" i="29"/>
  <c r="AD65" i="29"/>
  <c r="AC65" i="29"/>
  <c r="AE65" i="29"/>
  <c r="X65" i="29"/>
  <c r="AE32" i="29"/>
  <c r="W32" i="29"/>
  <c r="X32" i="29"/>
  <c r="AA32" i="29"/>
  <c r="AD32" i="29"/>
  <c r="Z32" i="29"/>
  <c r="Y32" i="29"/>
  <c r="AB32" i="29"/>
  <c r="AC32" i="29"/>
  <c r="AD61" i="29"/>
  <c r="AC61" i="29"/>
  <c r="W61" i="29"/>
  <c r="Y61" i="29"/>
  <c r="Z61" i="29"/>
  <c r="X61" i="29"/>
  <c r="AA61" i="29"/>
  <c r="AE61" i="29"/>
  <c r="AB61" i="29"/>
  <c r="AB68" i="29"/>
  <c r="W68" i="29"/>
  <c r="AA68" i="29"/>
  <c r="Z68" i="29"/>
  <c r="AE68" i="29"/>
  <c r="AC68" i="29"/>
  <c r="Y68" i="29"/>
  <c r="AD68" i="29"/>
  <c r="X68" i="29"/>
  <c r="W46" i="29"/>
  <c r="AE46" i="29"/>
  <c r="Z46" i="29"/>
  <c r="AC46" i="29"/>
  <c r="Y46" i="29"/>
  <c r="AD46" i="29"/>
  <c r="AA46" i="29"/>
  <c r="X46" i="29"/>
  <c r="AB46" i="29"/>
  <c r="X17" i="29"/>
  <c r="AD17" i="29"/>
  <c r="AC17" i="29"/>
  <c r="AB17" i="29"/>
  <c r="AA17" i="29"/>
  <c r="AE17" i="29"/>
  <c r="Z17" i="29"/>
  <c r="W17" i="29"/>
  <c r="Y17" i="29"/>
  <c r="Z73" i="29"/>
  <c r="AE73" i="29"/>
  <c r="AB73" i="29"/>
  <c r="AA73" i="29"/>
  <c r="W73" i="29"/>
  <c r="AC73" i="29"/>
  <c r="AD73" i="29"/>
  <c r="Y73" i="29"/>
  <c r="X73" i="29"/>
  <c r="Y45" i="29"/>
  <c r="W45" i="29"/>
  <c r="X45" i="29"/>
  <c r="AE45" i="29"/>
  <c r="Z45" i="29"/>
  <c r="AB45" i="29"/>
  <c r="AC45" i="29"/>
  <c r="AA45" i="29"/>
  <c r="AD45" i="29"/>
  <c r="Y43" i="29"/>
  <c r="AD43" i="29"/>
  <c r="Z43" i="29"/>
  <c r="AE43" i="29"/>
  <c r="AB43" i="29"/>
  <c r="AA43" i="29"/>
  <c r="AC43" i="29"/>
  <c r="X43" i="29"/>
  <c r="W43" i="29"/>
  <c r="Y39" i="29"/>
  <c r="W39" i="29"/>
  <c r="AD39" i="29"/>
  <c r="AA39" i="29"/>
  <c r="AE39" i="29"/>
  <c r="X39" i="29"/>
  <c r="AB39" i="29"/>
  <c r="Z39" i="29"/>
  <c r="AC39" i="29"/>
  <c r="Z13" i="29"/>
  <c r="AA13" i="29"/>
  <c r="AC13" i="29"/>
  <c r="AD13" i="29"/>
  <c r="AB13" i="29"/>
  <c r="AE13" i="29"/>
  <c r="Y13" i="29"/>
  <c r="W13" i="29"/>
  <c r="X13" i="29"/>
  <c r="W53" i="29"/>
  <c r="Y53" i="29"/>
  <c r="AC53" i="29"/>
  <c r="X53" i="29"/>
  <c r="AB53" i="29"/>
  <c r="Z53" i="29"/>
  <c r="AD53" i="29"/>
  <c r="AE53" i="29"/>
  <c r="AA53" i="29"/>
  <c r="AA25" i="29"/>
  <c r="AE25" i="29"/>
  <c r="AD25" i="29"/>
  <c r="AC25" i="29"/>
  <c r="AB25" i="29"/>
  <c r="W25" i="29"/>
  <c r="Z25" i="29"/>
  <c r="X25" i="29"/>
  <c r="Y25" i="29"/>
  <c r="W31" i="29"/>
  <c r="X31" i="29"/>
  <c r="AA31" i="29"/>
  <c r="AB31" i="29"/>
  <c r="AD31" i="29"/>
  <c r="Z31" i="29"/>
  <c r="AC31" i="29"/>
  <c r="Y31" i="29"/>
  <c r="AE31" i="29"/>
  <c r="Z41" i="29"/>
  <c r="AA41" i="29"/>
  <c r="W41" i="29"/>
  <c r="AB41" i="29"/>
  <c r="AE41" i="29"/>
  <c r="AD41" i="29"/>
  <c r="X41" i="29"/>
  <c r="Y41" i="29"/>
  <c r="AC41" i="29"/>
  <c r="X26" i="29"/>
  <c r="AE26" i="29"/>
  <c r="AA26" i="29"/>
  <c r="AB26" i="29"/>
  <c r="AC26" i="29"/>
  <c r="AD26" i="29"/>
  <c r="Z26" i="29"/>
  <c r="W26" i="29"/>
  <c r="Y26" i="29"/>
  <c r="Y11" i="29"/>
  <c r="AA11" i="29"/>
  <c r="AB11" i="29"/>
  <c r="AC11" i="29"/>
  <c r="AD11" i="29"/>
  <c r="AE11" i="29"/>
  <c r="W11" i="29"/>
  <c r="X11" i="29"/>
  <c r="Z11" i="29"/>
  <c r="X37" i="29"/>
  <c r="AC37" i="29"/>
  <c r="AB37" i="29"/>
  <c r="AD37" i="29"/>
  <c r="W37" i="29"/>
  <c r="AE37" i="29"/>
  <c r="Y37" i="29"/>
  <c r="Z37" i="29"/>
  <c r="AA37" i="29"/>
  <c r="X83" i="29"/>
  <c r="Z83" i="29"/>
  <c r="Y83" i="29"/>
  <c r="W83" i="29"/>
  <c r="AB83" i="29"/>
  <c r="AA83" i="29"/>
  <c r="AC83" i="29"/>
  <c r="AD83" i="29"/>
  <c r="AE83" i="29"/>
  <c r="X22" i="29"/>
  <c r="AA22" i="29"/>
  <c r="Z22" i="29"/>
  <c r="W22" i="29"/>
  <c r="Y22" i="29"/>
  <c r="AE22" i="29"/>
  <c r="AB22" i="29"/>
  <c r="AD22" i="29"/>
  <c r="AC22" i="29"/>
  <c r="AE59" i="29"/>
  <c r="Y59" i="29"/>
  <c r="X59" i="29"/>
  <c r="AD59" i="29"/>
  <c r="W59" i="29"/>
  <c r="Z59" i="29"/>
  <c r="AC59" i="29"/>
  <c r="AA59" i="29"/>
  <c r="AB59" i="29"/>
  <c r="AD24" i="29"/>
  <c r="AB24" i="29"/>
  <c r="Z24" i="29"/>
  <c r="AE24" i="29"/>
  <c r="AA24" i="29"/>
  <c r="W24" i="29"/>
  <c r="X24" i="29"/>
  <c r="Y24" i="29"/>
  <c r="AC24" i="29"/>
  <c r="W50" i="29"/>
  <c r="AA50" i="29"/>
  <c r="AB50" i="29"/>
  <c r="AC50" i="29"/>
  <c r="X50" i="29"/>
  <c r="Y50" i="29"/>
  <c r="AD50" i="29"/>
  <c r="AE50" i="29"/>
  <c r="Z50" i="29"/>
  <c r="AB12" i="29"/>
  <c r="Z12" i="29"/>
  <c r="AD12" i="29"/>
  <c r="W12" i="29"/>
  <c r="X12" i="29"/>
  <c r="AC12" i="29"/>
  <c r="Y12" i="29"/>
  <c r="AE12" i="29"/>
  <c r="AA12" i="29"/>
  <c r="Z16" i="29"/>
  <c r="Y16" i="29"/>
  <c r="AA16" i="29"/>
  <c r="AB16" i="29"/>
  <c r="W16" i="29"/>
  <c r="AC16" i="29"/>
  <c r="AD16" i="29"/>
  <c r="AE16" i="29"/>
  <c r="X16" i="29"/>
  <c r="W34" i="29"/>
  <c r="AA34" i="29"/>
  <c r="Y34" i="29"/>
  <c r="X34" i="29"/>
  <c r="Z34" i="29"/>
  <c r="AD34" i="29"/>
  <c r="AE34" i="29"/>
  <c r="AC34" i="29"/>
  <c r="AB34" i="29"/>
  <c r="W29" i="29"/>
  <c r="AB29" i="29"/>
  <c r="Y29" i="29"/>
  <c r="AD29" i="29"/>
  <c r="X29" i="29"/>
  <c r="AA29" i="29"/>
  <c r="AE29" i="29"/>
  <c r="Z29" i="29"/>
  <c r="AC29" i="29"/>
  <c r="AB19" i="29"/>
  <c r="Y19" i="29"/>
  <c r="AC19" i="29"/>
  <c r="AE19" i="29"/>
  <c r="X19" i="29"/>
  <c r="W19" i="29"/>
  <c r="AA19" i="29"/>
  <c r="AD19" i="29"/>
  <c r="Z19" i="29"/>
  <c r="AC14" i="29"/>
  <c r="AE14" i="29"/>
  <c r="Z14" i="29"/>
  <c r="AB14" i="29"/>
  <c r="Y14" i="29"/>
  <c r="AA14" i="29"/>
  <c r="X14" i="29"/>
  <c r="W14" i="29"/>
  <c r="AD14" i="29"/>
  <c r="AD79" i="29"/>
  <c r="AE79" i="29"/>
  <c r="Z79" i="29"/>
  <c r="X79" i="29"/>
  <c r="AB79" i="29"/>
  <c r="Y79" i="29"/>
  <c r="AA79" i="29"/>
  <c r="AC79" i="29"/>
  <c r="W79" i="29"/>
  <c r="Y44" i="29"/>
  <c r="W44" i="29"/>
  <c r="AA44" i="29"/>
  <c r="X44" i="29"/>
  <c r="AB44" i="29"/>
  <c r="AD44" i="29"/>
  <c r="AC44" i="29"/>
  <c r="Z44" i="29"/>
  <c r="AE44" i="29"/>
  <c r="Y55" i="29"/>
  <c r="AC55" i="29"/>
  <c r="AA55" i="29"/>
  <c r="W55" i="29"/>
  <c r="Z55" i="29"/>
  <c r="X55" i="29"/>
  <c r="AB55" i="29"/>
  <c r="AE55" i="29"/>
  <c r="AD55" i="29"/>
  <c r="Y63" i="29"/>
  <c r="Z63" i="29"/>
  <c r="X63" i="29"/>
  <c r="W63" i="29"/>
  <c r="AE63" i="29"/>
  <c r="AC63" i="29"/>
  <c r="AB63" i="29"/>
  <c r="AA63" i="29"/>
  <c r="AD63" i="29"/>
  <c r="X66" i="29"/>
  <c r="Z66" i="29"/>
  <c r="AE66" i="29"/>
  <c r="W66" i="29"/>
  <c r="Y66" i="29"/>
  <c r="AA66" i="29"/>
  <c r="AB66" i="29"/>
  <c r="AC66" i="29"/>
  <c r="AD66" i="29"/>
  <c r="AE70" i="29"/>
  <c r="AD70" i="29"/>
  <c r="X70" i="29"/>
  <c r="AC70" i="29"/>
  <c r="W70" i="29"/>
  <c r="AA70" i="29"/>
  <c r="Z70" i="29"/>
  <c r="AB70" i="29"/>
  <c r="Y70" i="29"/>
  <c r="AA57" i="29"/>
  <c r="X57" i="29"/>
  <c r="W57" i="29"/>
  <c r="AE57" i="29"/>
  <c r="Y57" i="29"/>
  <c r="AB57" i="29"/>
  <c r="AC57" i="29"/>
  <c r="Z57" i="29"/>
  <c r="AD57" i="29"/>
  <c r="AD30" i="29"/>
  <c r="Y30" i="29"/>
  <c r="AE30" i="29"/>
  <c r="AA30" i="29"/>
  <c r="AB30" i="29"/>
  <c r="AC30" i="29"/>
  <c r="Z30" i="29"/>
  <c r="W30" i="29"/>
  <c r="X30" i="29"/>
  <c r="W15" i="29"/>
  <c r="X15" i="29"/>
  <c r="Y15" i="29"/>
  <c r="Z15" i="29"/>
  <c r="AA15" i="29"/>
  <c r="AC15" i="29"/>
  <c r="AE15" i="29"/>
  <c r="AD15" i="29"/>
  <c r="AB15" i="29"/>
  <c r="Y54" i="29"/>
  <c r="X54" i="29"/>
  <c r="AA54" i="29"/>
  <c r="W54" i="29"/>
  <c r="AC54" i="29"/>
  <c r="AD54" i="29"/>
  <c r="AB54" i="29"/>
  <c r="Z54" i="29"/>
  <c r="AE54" i="29"/>
  <c r="Z33" i="29"/>
  <c r="Y33" i="29"/>
  <c r="AA33" i="29"/>
  <c r="AC33" i="29"/>
  <c r="AD33" i="29"/>
  <c r="AE33" i="29"/>
  <c r="X33" i="29"/>
  <c r="AB33" i="29"/>
  <c r="W33" i="29"/>
  <c r="AC40" i="29"/>
  <c r="Y40" i="29"/>
  <c r="W40" i="29"/>
  <c r="AE40" i="29"/>
  <c r="X40" i="29"/>
  <c r="Z40" i="29"/>
  <c r="AB40" i="29"/>
  <c r="AA40" i="29"/>
  <c r="AD40" i="29"/>
  <c r="AA78" i="29"/>
  <c r="X78" i="29"/>
  <c r="Y78" i="29"/>
  <c r="Z78" i="29"/>
  <c r="AB78" i="29"/>
  <c r="AC78" i="29"/>
  <c r="AD78" i="29"/>
  <c r="AE78" i="29"/>
  <c r="W78" i="29"/>
  <c r="AD74" i="29"/>
  <c r="Z74" i="29"/>
  <c r="AB74" i="29"/>
  <c r="AE74" i="29"/>
  <c r="AA74" i="29"/>
  <c r="Y74" i="29"/>
  <c r="W74" i="29"/>
  <c r="AC74" i="29"/>
  <c r="X74" i="29"/>
  <c r="AB47" i="29"/>
  <c r="AC47" i="29"/>
  <c r="X47" i="29"/>
  <c r="AD47" i="29"/>
  <c r="W47" i="29"/>
  <c r="AE47" i="29"/>
  <c r="Y47" i="29"/>
  <c r="AA47" i="29"/>
  <c r="Z47" i="29"/>
  <c r="AC85" i="29"/>
  <c r="AB85" i="29"/>
  <c r="AA85" i="29"/>
  <c r="Y85" i="29"/>
  <c r="X85" i="29"/>
  <c r="W85" i="29"/>
  <c r="AE85" i="29"/>
  <c r="Z85" i="29"/>
  <c r="AD85" i="29"/>
  <c r="AE18" i="29"/>
  <c r="Z18" i="29"/>
  <c r="AA18" i="29"/>
  <c r="W18" i="29"/>
  <c r="X18" i="29"/>
  <c r="Y18" i="29"/>
  <c r="AB18" i="29"/>
  <c r="AC18" i="29"/>
  <c r="AD18" i="29"/>
  <c r="AE56" i="29"/>
  <c r="AA56" i="29"/>
  <c r="Z56" i="29"/>
  <c r="AB56" i="29"/>
  <c r="AC56" i="29"/>
  <c r="W56" i="29"/>
  <c r="X56" i="29"/>
  <c r="Y56" i="29"/>
  <c r="AD56" i="29"/>
  <c r="AB58" i="22"/>
  <c r="AC58" i="22"/>
  <c r="X59" i="19"/>
  <c r="Z59" i="19"/>
  <c r="AD59" i="19"/>
  <c r="AE59" i="19"/>
  <c r="Y59" i="19"/>
  <c r="AC59" i="19"/>
  <c r="AD44" i="19"/>
  <c r="AC44" i="19"/>
  <c r="W12" i="19"/>
  <c r="AD12" i="19"/>
  <c r="AE57" i="19"/>
  <c r="AD57" i="19"/>
  <c r="Y57" i="19"/>
  <c r="Z57" i="19"/>
  <c r="W57" i="19"/>
  <c r="AA57" i="19"/>
  <c r="AB57" i="19"/>
  <c r="X57" i="19"/>
  <c r="AE84" i="19"/>
  <c r="Y84" i="19"/>
  <c r="AA84" i="19"/>
  <c r="Z84" i="19"/>
  <c r="AD84" i="19"/>
  <c r="X84" i="19"/>
  <c r="AE37" i="19"/>
  <c r="X37" i="19"/>
  <c r="AD16" i="19"/>
  <c r="W16" i="19"/>
  <c r="AC16" i="19"/>
  <c r="Y16" i="19"/>
  <c r="Z16" i="19"/>
  <c r="AE16" i="19"/>
  <c r="AB16" i="19"/>
  <c r="X16" i="19"/>
  <c r="AA16" i="19"/>
  <c r="AB36" i="19"/>
  <c r="AE36" i="19"/>
  <c r="X45" i="19"/>
  <c r="AD45" i="19"/>
  <c r="Y45" i="19"/>
  <c r="Z45" i="19"/>
  <c r="AB45" i="19"/>
  <c r="W45" i="19"/>
  <c r="AE45" i="19"/>
  <c r="AC77" i="19"/>
  <c r="Z77" i="19"/>
  <c r="Y26" i="19"/>
  <c r="AA26" i="19"/>
  <c r="AB26" i="19"/>
  <c r="AE24" i="19"/>
  <c r="X24" i="19"/>
  <c r="Z24" i="19"/>
  <c r="AD24" i="19"/>
  <c r="Y24" i="19"/>
  <c r="AB24" i="19"/>
  <c r="AA24" i="19"/>
  <c r="AB63" i="19"/>
  <c r="Y63" i="19"/>
  <c r="AD63" i="19"/>
  <c r="AE63" i="19"/>
  <c r="Y74" i="19"/>
  <c r="AA74" i="19"/>
  <c r="Z74" i="19"/>
  <c r="AB74" i="19"/>
  <c r="W74" i="19"/>
  <c r="X74" i="19"/>
  <c r="AB21" i="19"/>
  <c r="Y21" i="19"/>
  <c r="AE21" i="19"/>
  <c r="AC21" i="19"/>
  <c r="AA21" i="19"/>
  <c r="Z21" i="19"/>
  <c r="W21" i="19"/>
  <c r="X26" i="19"/>
  <c r="W26" i="19"/>
  <c r="AA69" i="19"/>
  <c r="AE69" i="19"/>
  <c r="W69" i="19"/>
  <c r="Z69" i="19"/>
  <c r="X69" i="19"/>
  <c r="AC69" i="19"/>
  <c r="AD69" i="19"/>
  <c r="AB69" i="19"/>
  <c r="Y69" i="19"/>
  <c r="AA72" i="19"/>
  <c r="AB72" i="19"/>
  <c r="Y54" i="19"/>
  <c r="W54" i="19"/>
  <c r="Z54" i="19"/>
  <c r="X54" i="19"/>
  <c r="W81" i="19"/>
  <c r="Z81" i="19"/>
  <c r="Y81" i="19"/>
  <c r="AD81" i="19"/>
  <c r="AE81" i="19"/>
  <c r="X81" i="19"/>
  <c r="AA81" i="19"/>
  <c r="AB81" i="19"/>
  <c r="AC81" i="19"/>
  <c r="AD42" i="19"/>
  <c r="AA42" i="19"/>
  <c r="Z42" i="19"/>
  <c r="W42" i="19"/>
  <c r="AE42" i="19"/>
  <c r="AA44" i="19"/>
  <c r="Z44" i="19"/>
  <c r="Y44" i="19"/>
  <c r="X44" i="19"/>
  <c r="AB44" i="19"/>
  <c r="W44" i="19"/>
  <c r="AB85" i="19"/>
  <c r="AD85" i="19"/>
  <c r="Z85" i="19"/>
  <c r="AA85" i="19"/>
  <c r="AC85" i="19"/>
  <c r="Y85" i="19"/>
  <c r="AD14" i="19"/>
  <c r="X14" i="19"/>
  <c r="Z14" i="19"/>
  <c r="AC14" i="19"/>
  <c r="AA14" i="19"/>
  <c r="AE76" i="19"/>
  <c r="AA76" i="19"/>
  <c r="Z76" i="19"/>
  <c r="Y76" i="19"/>
  <c r="AB76" i="19"/>
  <c r="AD76" i="19"/>
  <c r="AB12" i="19"/>
  <c r="X12" i="19"/>
  <c r="Y73" i="19"/>
  <c r="Z73" i="19"/>
  <c r="W73" i="19"/>
  <c r="AD73" i="19"/>
  <c r="AB73" i="19"/>
  <c r="AC73" i="19"/>
  <c r="X73" i="19"/>
  <c r="Z58" i="19"/>
  <c r="AE58" i="19"/>
  <c r="AC58" i="19"/>
  <c r="AD58" i="19"/>
  <c r="AB58" i="19"/>
  <c r="AA58" i="19"/>
  <c r="X29" i="19"/>
  <c r="Y29" i="19"/>
  <c r="W29" i="19"/>
  <c r="Z55" i="19"/>
  <c r="X55" i="19"/>
  <c r="Y55" i="19"/>
  <c r="AC55" i="19"/>
  <c r="AB55" i="19"/>
  <c r="AE64" i="19"/>
  <c r="AA64" i="19"/>
  <c r="AC64" i="19"/>
  <c r="AB64" i="19"/>
  <c r="Y64" i="19"/>
  <c r="Z64" i="19"/>
  <c r="AB23" i="19"/>
  <c r="AD23" i="19"/>
  <c r="W23" i="19"/>
  <c r="X23" i="19"/>
  <c r="AC23" i="19"/>
  <c r="AA28" i="19"/>
  <c r="Z28" i="19"/>
  <c r="AB28" i="19"/>
  <c r="W28" i="19"/>
  <c r="X28" i="19"/>
  <c r="Y28" i="19"/>
  <c r="AE39" i="19"/>
  <c r="AD39" i="19"/>
  <c r="W39" i="19"/>
  <c r="Y39" i="19"/>
  <c r="AC39" i="19"/>
  <c r="AA39" i="19"/>
  <c r="AB39" i="19"/>
  <c r="Z39" i="19"/>
  <c r="AB80" i="19"/>
  <c r="W80" i="19"/>
  <c r="AA80" i="19"/>
  <c r="AD80" i="19"/>
  <c r="AD22" i="19"/>
  <c r="W22" i="19"/>
  <c r="AA22" i="19"/>
  <c r="X22" i="19"/>
  <c r="Y22" i="19"/>
  <c r="AB22" i="19"/>
  <c r="AE22" i="19"/>
  <c r="Z22" i="19"/>
  <c r="AC22" i="19"/>
  <c r="AB70" i="19"/>
  <c r="AC70" i="19"/>
  <c r="AB52" i="19"/>
  <c r="AD52" i="19"/>
  <c r="X52" i="19"/>
  <c r="AB60" i="19"/>
  <c r="Y60" i="19"/>
  <c r="AA60" i="19"/>
  <c r="Z60" i="19"/>
  <c r="AE60" i="19"/>
  <c r="AC68" i="19"/>
  <c r="AE68" i="19"/>
  <c r="Y68" i="19"/>
  <c r="AD68" i="19"/>
  <c r="AB68" i="19"/>
  <c r="Z68" i="19"/>
  <c r="W68" i="19"/>
  <c r="AA68" i="19"/>
  <c r="X68" i="19"/>
  <c r="AA46" i="19"/>
  <c r="AB46" i="19"/>
  <c r="Z46" i="19"/>
  <c r="AD46" i="19"/>
  <c r="AE46" i="19"/>
  <c r="AC20" i="19"/>
  <c r="AA20" i="19"/>
  <c r="AE20" i="19"/>
  <c r="W20" i="19"/>
  <c r="AB20" i="19"/>
  <c r="X20" i="19"/>
  <c r="Z20" i="19"/>
  <c r="Y20" i="19"/>
  <c r="W25" i="19"/>
  <c r="AD25" i="19"/>
  <c r="AC25" i="19"/>
  <c r="Y25" i="19"/>
  <c r="Z25" i="19"/>
  <c r="X25" i="19"/>
  <c r="AA11" i="19"/>
  <c r="AC11" i="19"/>
  <c r="AB11" i="19"/>
  <c r="Y11" i="19"/>
  <c r="W11" i="19"/>
  <c r="Z11" i="19"/>
  <c r="Y71" i="19"/>
  <c r="AC71" i="19"/>
  <c r="AA71" i="19"/>
  <c r="Z71" i="19"/>
  <c r="X71" i="19"/>
  <c r="AE71" i="19"/>
  <c r="AD71" i="19"/>
  <c r="AB71" i="19"/>
  <c r="W71" i="19"/>
  <c r="AA75" i="19"/>
  <c r="AC75" i="19"/>
  <c r="AB38" i="19"/>
  <c r="Y38" i="19"/>
  <c r="AE38" i="19"/>
  <c r="AD38" i="19"/>
  <c r="X38" i="19"/>
  <c r="Z38" i="19"/>
  <c r="AA38" i="19"/>
  <c r="AD41" i="19"/>
  <c r="AE41" i="19"/>
  <c r="AC41" i="19"/>
  <c r="W65" i="19"/>
  <c r="AE65" i="19"/>
  <c r="AB65" i="19"/>
  <c r="AA65" i="19"/>
  <c r="Y65" i="19"/>
  <c r="AD65" i="19"/>
  <c r="Z65" i="19"/>
  <c r="AC65" i="19"/>
  <c r="X65" i="19"/>
  <c r="AE30" i="19"/>
  <c r="AD30" i="19"/>
  <c r="AB30" i="19"/>
  <c r="Y30" i="19"/>
  <c r="AA30" i="19"/>
  <c r="Z30" i="19"/>
  <c r="X30" i="19"/>
  <c r="W30" i="19"/>
  <c r="AE14" i="19"/>
  <c r="W14" i="19"/>
  <c r="AB14" i="19"/>
  <c r="X10" i="19"/>
  <c r="Y10" i="19"/>
  <c r="Z10" i="19"/>
  <c r="AA10" i="19"/>
  <c r="AB10" i="19"/>
  <c r="AD10" i="19"/>
  <c r="AE10" i="19"/>
  <c r="AC10" i="19"/>
  <c r="W10" i="19"/>
  <c r="AC61" i="19"/>
  <c r="X61" i="19"/>
  <c r="AA61" i="19"/>
  <c r="Y61" i="19"/>
  <c r="W61" i="19"/>
  <c r="AE61" i="19"/>
  <c r="Z61" i="19"/>
  <c r="AD61" i="19"/>
  <c r="AB61" i="19"/>
  <c r="AA43" i="19"/>
  <c r="AD43" i="19"/>
  <c r="AE43" i="19"/>
  <c r="X43" i="19"/>
  <c r="Y43" i="19"/>
  <c r="Z43" i="19"/>
  <c r="W43" i="19"/>
  <c r="AB43" i="19"/>
  <c r="AC43" i="19"/>
  <c r="AA40" i="19"/>
  <c r="AB40" i="19"/>
  <c r="AC40" i="19"/>
  <c r="AE40" i="19"/>
  <c r="AD40" i="19"/>
  <c r="W40" i="19"/>
  <c r="Y40" i="19"/>
  <c r="Z40" i="19"/>
  <c r="X40" i="19"/>
  <c r="Y31" i="19"/>
  <c r="Z31" i="19"/>
  <c r="AB31" i="19"/>
  <c r="AC31" i="19"/>
  <c r="AD31" i="19"/>
  <c r="AE31" i="19"/>
  <c r="W31" i="19"/>
  <c r="AA31" i="19"/>
  <c r="AE79" i="19"/>
  <c r="AD79" i="19"/>
  <c r="AD55" i="19"/>
  <c r="AA55" i="19"/>
  <c r="AE55" i="19"/>
  <c r="Z48" i="19"/>
  <c r="AB48" i="19"/>
  <c r="X48" i="19"/>
  <c r="Y48" i="19"/>
  <c r="W48" i="19"/>
  <c r="AC48" i="19"/>
  <c r="AD48" i="19"/>
  <c r="AE48" i="19"/>
  <c r="AA48" i="19"/>
  <c r="AB27" i="19"/>
  <c r="AC27" i="19"/>
  <c r="AE27" i="19"/>
  <c r="AD27" i="19"/>
  <c r="X19" i="19"/>
  <c r="Z19" i="19"/>
  <c r="AE19" i="19"/>
  <c r="AD19" i="19"/>
  <c r="Y19" i="19"/>
  <c r="AA19" i="19"/>
  <c r="AB19" i="19"/>
  <c r="AC19" i="19"/>
  <c r="W19" i="19"/>
  <c r="AA37" i="19"/>
  <c r="W37" i="19"/>
  <c r="AB37" i="19"/>
  <c r="Z37" i="19"/>
  <c r="AC37" i="19"/>
  <c r="W51" i="19"/>
  <c r="AE51" i="19"/>
  <c r="AC51" i="19"/>
  <c r="AA51" i="19"/>
  <c r="AD51" i="19"/>
  <c r="X51" i="19"/>
  <c r="Z51" i="19"/>
  <c r="Y51" i="19"/>
  <c r="AB51" i="19"/>
  <c r="Z66" i="19"/>
  <c r="AC66" i="19"/>
  <c r="AB66" i="19"/>
  <c r="AA66" i="19"/>
  <c r="W66" i="19"/>
  <c r="AE66" i="19"/>
  <c r="X66" i="19"/>
  <c r="AD66" i="19"/>
  <c r="Y66" i="19"/>
  <c r="AA82" i="19"/>
  <c r="Y82" i="19"/>
  <c r="AB82" i="19"/>
  <c r="AC82" i="19"/>
  <c r="X82" i="19"/>
  <c r="W82" i="19"/>
  <c r="AD82" i="19"/>
  <c r="Z82" i="19"/>
  <c r="AE82" i="19"/>
  <c r="W83" i="19"/>
  <c r="AD83" i="19"/>
  <c r="AE83" i="19"/>
  <c r="AC83" i="19"/>
  <c r="AA83" i="19"/>
  <c r="AB83" i="19"/>
  <c r="X83" i="19"/>
  <c r="Y83" i="19"/>
  <c r="Z83" i="19"/>
  <c r="X85" i="19"/>
  <c r="W85" i="19"/>
  <c r="Y17" i="19"/>
  <c r="W17" i="19"/>
  <c r="X17" i="19"/>
  <c r="AA17" i="19"/>
  <c r="AB17" i="19"/>
  <c r="Z17" i="19"/>
  <c r="AC17" i="19"/>
  <c r="AE17" i="19"/>
  <c r="AD17" i="19"/>
  <c r="W67" i="9"/>
  <c r="X67" i="9"/>
  <c r="AD67" i="9"/>
  <c r="Y67" i="9"/>
  <c r="Z67" i="9"/>
  <c r="AA67" i="9"/>
  <c r="AB67" i="9"/>
  <c r="AC67" i="9"/>
  <c r="AE67" i="9"/>
  <c r="Y76" i="9"/>
  <c r="AC76" i="9"/>
  <c r="AD76" i="9"/>
  <c r="Z76" i="9"/>
  <c r="AE76" i="9"/>
  <c r="X76" i="9"/>
  <c r="W76" i="9"/>
  <c r="AB76" i="9"/>
  <c r="AA76" i="9"/>
  <c r="Y38" i="9"/>
  <c r="W38" i="9"/>
  <c r="AC38" i="9"/>
  <c r="AE38" i="9"/>
  <c r="AD38" i="9"/>
  <c r="X38" i="9"/>
  <c r="AC43" i="9"/>
  <c r="AA43" i="9"/>
  <c r="AD43" i="9"/>
  <c r="Y43" i="9"/>
  <c r="W43" i="9"/>
  <c r="X43" i="9"/>
  <c r="Z43" i="9"/>
  <c r="AB43" i="9"/>
  <c r="AE43" i="9"/>
  <c r="AA40" i="9"/>
  <c r="Y40" i="9"/>
  <c r="Z40" i="9"/>
  <c r="AC40" i="9"/>
  <c r="AB40" i="9"/>
  <c r="W40" i="9"/>
  <c r="X40" i="9"/>
  <c r="AC21" i="9"/>
  <c r="AD21" i="9"/>
  <c r="Z21" i="9"/>
  <c r="AA21" i="9"/>
  <c r="Y21" i="9"/>
  <c r="AB21" i="9"/>
  <c r="AE21" i="9"/>
  <c r="W21" i="9"/>
  <c r="X21" i="9"/>
  <c r="AC23" i="9"/>
  <c r="AB23" i="9"/>
  <c r="AD23" i="9"/>
  <c r="AE23" i="9"/>
  <c r="Y23" i="9"/>
  <c r="Z23" i="9"/>
  <c r="W23" i="9"/>
  <c r="AA23" i="9"/>
  <c r="AA42" i="9"/>
  <c r="Z42" i="9"/>
  <c r="Y42" i="9"/>
  <c r="AB42" i="9"/>
  <c r="X42" i="9"/>
  <c r="AC42" i="9"/>
  <c r="AE42" i="9"/>
  <c r="AD42" i="9"/>
  <c r="W42" i="9"/>
  <c r="AA17" i="9"/>
  <c r="AB17" i="9"/>
  <c r="X17" i="9"/>
  <c r="AC17" i="9"/>
  <c r="AD17" i="9"/>
  <c r="AE17" i="9"/>
  <c r="Y17" i="9"/>
  <c r="W17" i="9"/>
  <c r="Z17" i="9"/>
  <c r="X75" i="9"/>
  <c r="AE75" i="9"/>
  <c r="AD75" i="9"/>
  <c r="AB75" i="9"/>
  <c r="W75" i="9"/>
  <c r="Z75" i="9"/>
  <c r="Y75" i="9"/>
  <c r="AA75" i="9"/>
  <c r="AC75" i="9"/>
  <c r="Y70" i="9"/>
  <c r="Z70" i="9"/>
  <c r="AD70" i="9"/>
  <c r="AE70" i="9"/>
  <c r="W70" i="9"/>
  <c r="AA70" i="9"/>
  <c r="AB70" i="9"/>
  <c r="AC70" i="9"/>
  <c r="X70" i="9"/>
  <c r="AE44" i="9"/>
  <c r="AC44" i="9"/>
  <c r="X44" i="9"/>
  <c r="Y44" i="9"/>
  <c r="Z44" i="9"/>
  <c r="AA44" i="9"/>
  <c r="AB44" i="9"/>
  <c r="AD44" i="9"/>
  <c r="W44" i="9"/>
  <c r="AA18" i="9"/>
  <c r="W18" i="9"/>
  <c r="AB18" i="9"/>
  <c r="AC18" i="9"/>
  <c r="X18" i="9"/>
  <c r="Y18" i="9"/>
  <c r="Z18" i="9"/>
  <c r="AD18" i="9"/>
  <c r="AE18" i="9"/>
  <c r="Y60" i="9"/>
  <c r="X60" i="9"/>
  <c r="AC60" i="9"/>
  <c r="AB60" i="9"/>
  <c r="AD60" i="9"/>
  <c r="AE60" i="9"/>
  <c r="W60" i="9"/>
  <c r="Z60" i="9"/>
  <c r="AA60" i="9"/>
  <c r="AA81" i="9"/>
  <c r="Y81" i="9"/>
  <c r="Z81" i="9"/>
  <c r="W81" i="9"/>
  <c r="AB81" i="9"/>
  <c r="AD81" i="9"/>
  <c r="X81" i="9"/>
  <c r="AE81" i="9"/>
  <c r="AC81" i="9"/>
  <c r="W41" i="9"/>
  <c r="X41" i="9"/>
  <c r="AB41" i="9"/>
  <c r="AC41" i="9"/>
  <c r="AA41" i="9"/>
  <c r="AD41" i="9"/>
  <c r="Y41" i="9"/>
  <c r="Z41" i="9"/>
  <c r="AE41" i="9"/>
  <c r="Z64" i="9"/>
  <c r="AE64" i="9"/>
  <c r="AA64" i="9"/>
  <c r="W64" i="9"/>
  <c r="X64" i="9"/>
  <c r="AD64" i="9"/>
  <c r="AC64" i="9"/>
  <c r="AB64" i="9"/>
  <c r="AA62" i="9"/>
  <c r="AE62" i="9"/>
  <c r="Z62" i="9"/>
  <c r="AD62" i="9"/>
  <c r="W62" i="9"/>
  <c r="X62" i="9"/>
  <c r="AB62" i="9"/>
  <c r="AC62" i="9"/>
  <c r="Y62" i="9"/>
  <c r="AA79" i="9"/>
  <c r="AC79" i="9"/>
  <c r="AD79" i="9"/>
  <c r="X79" i="9"/>
  <c r="Y79" i="9"/>
  <c r="AE79" i="9"/>
  <c r="Z79" i="9"/>
  <c r="W79" i="9"/>
  <c r="AB79" i="9"/>
  <c r="AB65" i="9"/>
  <c r="AC65" i="9"/>
  <c r="AE65" i="9"/>
  <c r="Z65" i="9"/>
  <c r="AA65" i="9"/>
  <c r="W65" i="9"/>
  <c r="Y65" i="9"/>
  <c r="AD65" i="9"/>
  <c r="X65" i="9"/>
  <c r="W68" i="9"/>
  <c r="Z68" i="9"/>
  <c r="AD68" i="9"/>
  <c r="AC68" i="9"/>
  <c r="Y68" i="9"/>
  <c r="AB68" i="9"/>
  <c r="AA68" i="9"/>
  <c r="X68" i="9"/>
  <c r="AE68" i="9"/>
  <c r="AE48" i="9"/>
  <c r="W48" i="9"/>
  <c r="AD48" i="9"/>
  <c r="AB48" i="9"/>
  <c r="AA48" i="9"/>
  <c r="AC48" i="9"/>
  <c r="Z48" i="9"/>
  <c r="Y48" i="9"/>
  <c r="X48" i="9"/>
  <c r="Z25" i="9"/>
  <c r="X25" i="9"/>
  <c r="AE25" i="9"/>
  <c r="AD25" i="9"/>
  <c r="AC25" i="9"/>
  <c r="Y25" i="9"/>
  <c r="AB25" i="9"/>
  <c r="AA25" i="9"/>
  <c r="W25" i="9"/>
  <c r="X81" i="26"/>
  <c r="AA36" i="26"/>
  <c r="X33" i="26"/>
  <c r="Y46" i="26"/>
  <c r="AC65" i="26"/>
  <c r="Z59" i="26"/>
  <c r="AD10" i="26"/>
  <c r="AC60" i="26"/>
  <c r="AA82" i="26"/>
  <c r="AE70" i="26"/>
  <c r="AA53" i="26"/>
  <c r="W34" i="26"/>
  <c r="AA83" i="26"/>
  <c r="Z41" i="26"/>
  <c r="Y77" i="26"/>
  <c r="AE18" i="30"/>
  <c r="W64" i="30"/>
  <c r="AE79" i="30"/>
  <c r="X74" i="30"/>
  <c r="AD63" i="30"/>
  <c r="AB62" i="26"/>
  <c r="X23" i="26"/>
  <c r="AA33" i="30"/>
  <c r="AE29" i="26"/>
  <c r="AA12" i="26"/>
  <c r="AE69" i="26"/>
  <c r="Z85" i="26"/>
  <c r="Y34" i="26"/>
  <c r="AB75" i="26"/>
  <c r="AC28" i="26"/>
  <c r="Y15" i="26"/>
  <c r="AC73" i="26"/>
  <c r="AD60" i="26"/>
  <c r="AA34" i="30"/>
  <c r="Z34" i="30"/>
  <c r="X72" i="26"/>
  <c r="AE81" i="26"/>
  <c r="AA74" i="26"/>
  <c r="AC36" i="26"/>
  <c r="AA77" i="26"/>
  <c r="AC43" i="26"/>
  <c r="Y71" i="26"/>
  <c r="AA64" i="30"/>
  <c r="Z31" i="26"/>
  <c r="AB23" i="26"/>
  <c r="AC83" i="30"/>
  <c r="Y78" i="26"/>
  <c r="AD15" i="26"/>
  <c r="Z79" i="30"/>
  <c r="Y16" i="26"/>
  <c r="Z74" i="26"/>
  <c r="W26" i="26"/>
  <c r="Z37" i="26"/>
  <c r="AB55" i="26"/>
  <c r="Z36" i="26"/>
  <c r="W41" i="26"/>
  <c r="AD75" i="26"/>
  <c r="AD43" i="26"/>
  <c r="AE40" i="26"/>
  <c r="AA18" i="30"/>
  <c r="AE49" i="30"/>
  <c r="AE12" i="26"/>
  <c r="W64" i="26"/>
  <c r="W65" i="26"/>
  <c r="Y48" i="30"/>
  <c r="AE33" i="30"/>
  <c r="AB63" i="30"/>
  <c r="X26" i="26"/>
  <c r="Z33" i="30"/>
  <c r="AA50" i="26"/>
  <c r="AB33" i="30"/>
  <c r="S47" i="27"/>
  <c r="AC64" i="30"/>
  <c r="Z10" i="26"/>
  <c r="Z62" i="26"/>
  <c r="W21" i="26"/>
  <c r="AC24" i="26"/>
  <c r="AB79" i="30"/>
  <c r="AC35" i="30"/>
  <c r="AD35" i="30"/>
  <c r="W35" i="30"/>
  <c r="X35" i="30"/>
  <c r="AB35" i="30"/>
  <c r="Y35" i="30"/>
  <c r="Z35" i="30"/>
  <c r="AA35" i="30"/>
  <c r="AE35" i="30"/>
  <c r="AA75" i="30"/>
  <c r="AB75" i="30"/>
  <c r="AC75" i="30"/>
  <c r="AD75" i="30"/>
  <c r="AE75" i="30"/>
  <c r="Z75" i="30"/>
  <c r="W75" i="30"/>
  <c r="X75" i="30"/>
  <c r="Y75" i="30"/>
  <c r="AC76" i="30"/>
  <c r="AD76" i="30"/>
  <c r="AE76" i="30"/>
  <c r="W76" i="30"/>
  <c r="X76" i="30"/>
  <c r="Y76" i="30"/>
  <c r="Z76" i="30"/>
  <c r="AA76" i="30"/>
  <c r="AB76" i="30"/>
  <c r="W79" i="30"/>
  <c r="Z64" i="30"/>
  <c r="AA63" i="30"/>
  <c r="W73" i="30"/>
  <c r="X73" i="30"/>
  <c r="Y73" i="30"/>
  <c r="Z73" i="30"/>
  <c r="AA73" i="30"/>
  <c r="AB73" i="30"/>
  <c r="AC73" i="30"/>
  <c r="AD73" i="30"/>
  <c r="AE73" i="30"/>
  <c r="AC33" i="30"/>
  <c r="Y64" i="30"/>
  <c r="AE63" i="30"/>
  <c r="Y42" i="30"/>
  <c r="Z42" i="30"/>
  <c r="AA42" i="30"/>
  <c r="AB42" i="30"/>
  <c r="AC42" i="30"/>
  <c r="AD42" i="30"/>
  <c r="AE42" i="30"/>
  <c r="W42" i="30"/>
  <c r="X42" i="30"/>
  <c r="AA59" i="30"/>
  <c r="AB59" i="30"/>
  <c r="AC59" i="30"/>
  <c r="AD59" i="30"/>
  <c r="AE59" i="30"/>
  <c r="Z59" i="30"/>
  <c r="X59" i="30"/>
  <c r="Y59" i="30"/>
  <c r="W59" i="30"/>
  <c r="AA82" i="30"/>
  <c r="AB82" i="30"/>
  <c r="AC82" i="30"/>
  <c r="AD82" i="30"/>
  <c r="AE82" i="30"/>
  <c r="W82" i="30"/>
  <c r="Y82" i="30"/>
  <c r="X82" i="30"/>
  <c r="Z82" i="30"/>
  <c r="Y26" i="30"/>
  <c r="Z26" i="30"/>
  <c r="AA26" i="30"/>
  <c r="AB26" i="30"/>
  <c r="AC26" i="30"/>
  <c r="AD26" i="30"/>
  <c r="AE26" i="30"/>
  <c r="W26" i="30"/>
  <c r="X26" i="30"/>
  <c r="Y17" i="30"/>
  <c r="Z17" i="30"/>
  <c r="AC17" i="30"/>
  <c r="AD17" i="30"/>
  <c r="AE17" i="30"/>
  <c r="AB17" i="30"/>
  <c r="W17" i="30"/>
  <c r="X17" i="30"/>
  <c r="AA17" i="30"/>
  <c r="Y33" i="30"/>
  <c r="X34" i="30"/>
  <c r="Z30" i="30"/>
  <c r="AA30" i="30"/>
  <c r="AB30" i="30"/>
  <c r="AC30" i="30"/>
  <c r="AD30" i="30"/>
  <c r="AE30" i="30"/>
  <c r="W30" i="30"/>
  <c r="X30" i="30"/>
  <c r="Y30" i="30"/>
  <c r="AE77" i="30"/>
  <c r="X77" i="30"/>
  <c r="W77" i="30"/>
  <c r="AC77" i="30"/>
  <c r="AD77" i="30"/>
  <c r="AA77" i="30"/>
  <c r="AB77" i="30"/>
  <c r="Z77" i="30"/>
  <c r="Y77" i="30"/>
  <c r="AC48" i="30"/>
  <c r="AD33" i="30"/>
  <c r="X31" i="30"/>
  <c r="Y31" i="30"/>
  <c r="Z31" i="30"/>
  <c r="AA31" i="30"/>
  <c r="AD31" i="30"/>
  <c r="AE31" i="30"/>
  <c r="AB31" i="30"/>
  <c r="W31" i="30"/>
  <c r="AC31" i="30"/>
  <c r="W53" i="30"/>
  <c r="X53" i="30"/>
  <c r="Y53" i="30"/>
  <c r="AA53" i="30"/>
  <c r="AB53" i="30"/>
  <c r="AC53" i="30"/>
  <c r="Z53" i="30"/>
  <c r="AD53" i="30"/>
  <c r="AE53" i="30"/>
  <c r="Y34" i="30"/>
  <c r="W39" i="30"/>
  <c r="X39" i="30"/>
  <c r="Y39" i="30"/>
  <c r="Z39" i="30"/>
  <c r="AA39" i="30"/>
  <c r="AB39" i="30"/>
  <c r="AE39" i="30"/>
  <c r="AC39" i="30"/>
  <c r="AD39" i="30"/>
  <c r="Y65" i="30"/>
  <c r="Z65" i="30"/>
  <c r="W65" i="30"/>
  <c r="X65" i="30"/>
  <c r="AA65" i="30"/>
  <c r="AB65" i="30"/>
  <c r="AC65" i="30"/>
  <c r="AD65" i="30"/>
  <c r="AE65" i="30"/>
  <c r="W15" i="30"/>
  <c r="Y15" i="30"/>
  <c r="X15" i="30"/>
  <c r="Z15" i="30"/>
  <c r="AE15" i="30"/>
  <c r="AA15" i="30"/>
  <c r="AB15" i="30"/>
  <c r="AC15" i="30"/>
  <c r="AD15" i="30"/>
  <c r="W34" i="30"/>
  <c r="W37" i="30"/>
  <c r="X37" i="30"/>
  <c r="AD37" i="30"/>
  <c r="Y37" i="30"/>
  <c r="AC37" i="30"/>
  <c r="Z37" i="30"/>
  <c r="AA37" i="30"/>
  <c r="AB37" i="30"/>
  <c r="AE37" i="30"/>
  <c r="AC28" i="30"/>
  <c r="AD28" i="30"/>
  <c r="AE28" i="30"/>
  <c r="Y28" i="30"/>
  <c r="X28" i="30"/>
  <c r="W28" i="30"/>
  <c r="Z28" i="30"/>
  <c r="AB28" i="30"/>
  <c r="AA28" i="30"/>
  <c r="W32" i="30"/>
  <c r="X32" i="30"/>
  <c r="AE32" i="30"/>
  <c r="Y32" i="30"/>
  <c r="Z32" i="30"/>
  <c r="AD32" i="30"/>
  <c r="AA32" i="30"/>
  <c r="AB32" i="30"/>
  <c r="AC32" i="30"/>
  <c r="AB48" i="30"/>
  <c r="W80" i="30"/>
  <c r="X80" i="30"/>
  <c r="AA80" i="30"/>
  <c r="AB80" i="30"/>
  <c r="AC80" i="30"/>
  <c r="AD80" i="30"/>
  <c r="Y80" i="30"/>
  <c r="Z80" i="30"/>
  <c r="AE80" i="30"/>
  <c r="AD34" i="30"/>
  <c r="X14" i="30"/>
  <c r="Y14" i="30"/>
  <c r="Z14" i="30"/>
  <c r="AA14" i="30"/>
  <c r="AC14" i="30"/>
  <c r="AB14" i="30"/>
  <c r="W14" i="30"/>
  <c r="AD14" i="30"/>
  <c r="AE14" i="30"/>
  <c r="Y47" i="30"/>
  <c r="Z47" i="30"/>
  <c r="AA47" i="30"/>
  <c r="AB47" i="30"/>
  <c r="AC47" i="30"/>
  <c r="AE47" i="30"/>
  <c r="AD47" i="30"/>
  <c r="W47" i="30"/>
  <c r="X47" i="30"/>
  <c r="AD48" i="30"/>
  <c r="AC34" i="30"/>
  <c r="W22" i="30"/>
  <c r="X22" i="30"/>
  <c r="Y22" i="30"/>
  <c r="Z22" i="30"/>
  <c r="AD22" i="30"/>
  <c r="AE22" i="30"/>
  <c r="AC22" i="30"/>
  <c r="AA22" i="30"/>
  <c r="AB22" i="30"/>
  <c r="AE48" i="30"/>
  <c r="AD78" i="30"/>
  <c r="W78" i="30"/>
  <c r="X78" i="30"/>
  <c r="AC78" i="30"/>
  <c r="Y78" i="30"/>
  <c r="Z78" i="30"/>
  <c r="AA78" i="30"/>
  <c r="AB78" i="30"/>
  <c r="AE78" i="30"/>
  <c r="X48" i="30"/>
  <c r="W25" i="30"/>
  <c r="X25" i="30"/>
  <c r="Y25" i="30"/>
  <c r="Z25" i="30"/>
  <c r="AA25" i="30"/>
  <c r="AB25" i="30"/>
  <c r="AC25" i="30"/>
  <c r="AD25" i="30"/>
  <c r="AE25" i="30"/>
  <c r="Z48" i="30"/>
  <c r="Y10" i="30"/>
  <c r="Z10" i="30"/>
  <c r="AA10" i="30"/>
  <c r="AB10" i="30"/>
  <c r="AC10" i="30"/>
  <c r="AD10" i="30"/>
  <c r="AE10" i="30"/>
  <c r="W10" i="30"/>
  <c r="X10" i="30"/>
  <c r="AB34" i="30"/>
  <c r="AE84" i="30"/>
  <c r="AA84" i="30"/>
  <c r="AB84" i="30"/>
  <c r="AC84" i="30"/>
  <c r="AD84" i="30"/>
  <c r="X84" i="30"/>
  <c r="Y84" i="30"/>
  <c r="Z84" i="30"/>
  <c r="W84" i="30"/>
  <c r="AE68" i="30"/>
  <c r="AA68" i="30"/>
  <c r="AB68" i="30"/>
  <c r="AC68" i="30"/>
  <c r="AD68" i="30"/>
  <c r="Z68" i="30"/>
  <c r="W68" i="30"/>
  <c r="X68" i="30"/>
  <c r="Y68" i="30"/>
  <c r="W48" i="30"/>
  <c r="AC12" i="30"/>
  <c r="AD12" i="30"/>
  <c r="AE12" i="30"/>
  <c r="AB12" i="30"/>
  <c r="W12" i="30"/>
  <c r="X12" i="30"/>
  <c r="Y12" i="30"/>
  <c r="Z12" i="30"/>
  <c r="AA12" i="30"/>
  <c r="AA48" i="30"/>
  <c r="AE83" i="30"/>
  <c r="W21" i="30"/>
  <c r="X21" i="30"/>
  <c r="AD21" i="30"/>
  <c r="AE21" i="30"/>
  <c r="AB21" i="30"/>
  <c r="Y21" i="30"/>
  <c r="AC21" i="30"/>
  <c r="Z21" i="30"/>
  <c r="AA21" i="30"/>
  <c r="W23" i="30"/>
  <c r="X23" i="30"/>
  <c r="Y23" i="30"/>
  <c r="Z23" i="30"/>
  <c r="AA23" i="30"/>
  <c r="AB23" i="30"/>
  <c r="AC23" i="30"/>
  <c r="AD23" i="30"/>
  <c r="AE23" i="30"/>
  <c r="AA43" i="30"/>
  <c r="AB43" i="30"/>
  <c r="AC43" i="30"/>
  <c r="AD43" i="30"/>
  <c r="AE43" i="30"/>
  <c r="W43" i="30"/>
  <c r="X43" i="30"/>
  <c r="Y43" i="30"/>
  <c r="Z43" i="30"/>
  <c r="W70" i="30"/>
  <c r="X70" i="30"/>
  <c r="Y70" i="30"/>
  <c r="Z70" i="30"/>
  <c r="AA70" i="30"/>
  <c r="AB70" i="30"/>
  <c r="AC70" i="30"/>
  <c r="AD70" i="30"/>
  <c r="AE70" i="30"/>
  <c r="AE61" i="30"/>
  <c r="Y61" i="30"/>
  <c r="Z61" i="30"/>
  <c r="AA61" i="30"/>
  <c r="AB61" i="30"/>
  <c r="AC61" i="30"/>
  <c r="AD61" i="30"/>
  <c r="W61" i="30"/>
  <c r="X61" i="30"/>
  <c r="W74" i="30"/>
  <c r="AC49" i="30"/>
  <c r="AB83" i="30"/>
  <c r="AC44" i="30"/>
  <c r="AD44" i="30"/>
  <c r="AE44" i="30"/>
  <c r="W44" i="30"/>
  <c r="X44" i="30"/>
  <c r="Y44" i="30"/>
  <c r="Z44" i="30"/>
  <c r="AA44" i="30"/>
  <c r="AB44" i="30"/>
  <c r="AE74" i="30"/>
  <c r="AC67" i="30"/>
  <c r="AD67" i="30"/>
  <c r="AA67" i="30"/>
  <c r="AB67" i="30"/>
  <c r="AE67" i="30"/>
  <c r="W67" i="30"/>
  <c r="X67" i="30"/>
  <c r="Y67" i="30"/>
  <c r="Z67" i="30"/>
  <c r="AB49" i="30"/>
  <c r="AD18" i="30"/>
  <c r="AA83" i="30"/>
  <c r="W24" i="30"/>
  <c r="X24" i="30"/>
  <c r="Y24" i="30"/>
  <c r="Z24" i="30"/>
  <c r="AA24" i="30"/>
  <c r="AB24" i="30"/>
  <c r="AC24" i="30"/>
  <c r="AD24" i="30"/>
  <c r="AE24" i="30"/>
  <c r="W71" i="30"/>
  <c r="X71" i="30"/>
  <c r="Y71" i="30"/>
  <c r="Z71" i="30"/>
  <c r="AA71" i="30"/>
  <c r="AB71" i="30"/>
  <c r="AD71" i="30"/>
  <c r="AC71" i="30"/>
  <c r="AE71" i="30"/>
  <c r="AD74" i="30"/>
  <c r="AA49" i="30"/>
  <c r="Z18" i="30"/>
  <c r="X83" i="30"/>
  <c r="AE13" i="30"/>
  <c r="AD13" i="30"/>
  <c r="Y13" i="30"/>
  <c r="X13" i="30"/>
  <c r="Z13" i="30"/>
  <c r="AA13" i="30"/>
  <c r="AB13" i="30"/>
  <c r="W13" i="30"/>
  <c r="AC13" i="30"/>
  <c r="W56" i="30"/>
  <c r="X56" i="30"/>
  <c r="Y56" i="30"/>
  <c r="Z56" i="30"/>
  <c r="AA56" i="30"/>
  <c r="AB56" i="30"/>
  <c r="AC56" i="30"/>
  <c r="AD56" i="30"/>
  <c r="AE56" i="30"/>
  <c r="AC74" i="30"/>
  <c r="X49" i="30"/>
  <c r="AC18" i="30"/>
  <c r="W83" i="30"/>
  <c r="W69" i="30"/>
  <c r="X69" i="30"/>
  <c r="Y69" i="30"/>
  <c r="Z69" i="30"/>
  <c r="AB69" i="30"/>
  <c r="AA69" i="30"/>
  <c r="AC69" i="30"/>
  <c r="AD69" i="30"/>
  <c r="AE69" i="30"/>
  <c r="W85" i="30"/>
  <c r="X85" i="30"/>
  <c r="Z85" i="30"/>
  <c r="AA85" i="30"/>
  <c r="AB85" i="30"/>
  <c r="AC85" i="30"/>
  <c r="AE85" i="30"/>
  <c r="Y85" i="30"/>
  <c r="AD85" i="30"/>
  <c r="AB74" i="30"/>
  <c r="W49" i="30"/>
  <c r="Y18" i="30"/>
  <c r="AC63" i="30"/>
  <c r="Y81" i="30"/>
  <c r="Z81" i="30"/>
  <c r="W81" i="30"/>
  <c r="AA81" i="30"/>
  <c r="X81" i="30"/>
  <c r="AB81" i="30"/>
  <c r="AC81" i="30"/>
  <c r="AD81" i="30"/>
  <c r="AE81" i="30"/>
  <c r="W55" i="30"/>
  <c r="X55" i="30"/>
  <c r="Y55" i="30"/>
  <c r="Z55" i="30"/>
  <c r="AA55" i="30"/>
  <c r="AB55" i="30"/>
  <c r="AC55" i="30"/>
  <c r="AD55" i="30"/>
  <c r="AE55" i="30"/>
  <c r="W63" i="30"/>
  <c r="AA11" i="30"/>
  <c r="AB11" i="30"/>
  <c r="AC11" i="30"/>
  <c r="AD11" i="30"/>
  <c r="AE11" i="30"/>
  <c r="W11" i="30"/>
  <c r="X11" i="30"/>
  <c r="Y11" i="30"/>
  <c r="Z11" i="30"/>
  <c r="Y83" i="30"/>
  <c r="AE29" i="30"/>
  <c r="Y29" i="30"/>
  <c r="W29" i="30"/>
  <c r="X29" i="30"/>
  <c r="Z29" i="30"/>
  <c r="AA29" i="30"/>
  <c r="AB29" i="30"/>
  <c r="AC29" i="30"/>
  <c r="AD29" i="30"/>
  <c r="W54" i="30"/>
  <c r="X54" i="30"/>
  <c r="Y54" i="30"/>
  <c r="Z54" i="30"/>
  <c r="AA54" i="30"/>
  <c r="AE54" i="30"/>
  <c r="AB54" i="30"/>
  <c r="AD54" i="30"/>
  <c r="AC54" i="30"/>
  <c r="AA74" i="30"/>
  <c r="AD49" i="30"/>
  <c r="X18" i="30"/>
  <c r="AD79" i="30"/>
  <c r="X33" i="30"/>
  <c r="Z83" i="30"/>
  <c r="Z46" i="30"/>
  <c r="Y46" i="30"/>
  <c r="W46" i="30"/>
  <c r="X46" i="30"/>
  <c r="AE46" i="30"/>
  <c r="AB46" i="30"/>
  <c r="AA46" i="30"/>
  <c r="AC46" i="30"/>
  <c r="AD46" i="30"/>
  <c r="Z74" i="30"/>
  <c r="Z49" i="30"/>
  <c r="W18" i="30"/>
  <c r="X64" i="30"/>
  <c r="AC79" i="30"/>
  <c r="W33" i="30"/>
  <c r="AD83" i="30"/>
  <c r="AE52" i="30"/>
  <c r="W52" i="30"/>
  <c r="AC52" i="30"/>
  <c r="X52" i="30"/>
  <c r="Y52" i="30"/>
  <c r="Z52" i="30"/>
  <c r="AA52" i="30"/>
  <c r="AB52" i="30"/>
  <c r="AD52" i="30"/>
  <c r="AE45" i="30"/>
  <c r="X45" i="30"/>
  <c r="Y45" i="30"/>
  <c r="Z45" i="30"/>
  <c r="AA45" i="30"/>
  <c r="W45" i="30"/>
  <c r="AB45" i="30"/>
  <c r="AC45" i="30"/>
  <c r="AD45" i="30"/>
  <c r="Y74" i="30"/>
  <c r="Y49" i="30"/>
  <c r="AB18" i="30"/>
  <c r="W57" i="30"/>
  <c r="X57" i="30"/>
  <c r="Y57" i="30"/>
  <c r="Z57" i="30"/>
  <c r="AA57" i="30"/>
  <c r="AB57" i="30"/>
  <c r="AC57" i="30"/>
  <c r="AD57" i="30"/>
  <c r="AE57" i="30"/>
  <c r="AE34" i="30"/>
  <c r="AA66" i="30"/>
  <c r="AB66" i="30"/>
  <c r="W66" i="30"/>
  <c r="Z66" i="30"/>
  <c r="X66" i="30"/>
  <c r="Y66" i="30"/>
  <c r="AE66" i="30"/>
  <c r="AD66" i="30"/>
  <c r="AC66" i="30"/>
  <c r="W40" i="30"/>
  <c r="X40" i="30"/>
  <c r="Y40" i="30"/>
  <c r="Z40" i="30"/>
  <c r="AA40" i="30"/>
  <c r="AB40" i="30"/>
  <c r="AC40" i="30"/>
  <c r="AD40" i="30"/>
  <c r="AE40" i="30"/>
  <c r="Y79" i="30"/>
  <c r="AE64" i="30"/>
  <c r="W41" i="30"/>
  <c r="X41" i="30"/>
  <c r="Y41" i="30"/>
  <c r="Z41" i="30"/>
  <c r="AA41" i="30"/>
  <c r="AB41" i="30"/>
  <c r="AC41" i="30"/>
  <c r="AD41" i="30"/>
  <c r="AE41" i="30"/>
  <c r="AE20" i="30"/>
  <c r="AD20" i="30"/>
  <c r="W20" i="30"/>
  <c r="X20" i="30"/>
  <c r="Y20" i="30"/>
  <c r="AC20" i="30"/>
  <c r="Z20" i="30"/>
  <c r="AA20" i="30"/>
  <c r="AB20" i="30"/>
  <c r="W38" i="30"/>
  <c r="X38" i="30"/>
  <c r="Y38" i="30"/>
  <c r="Z38" i="30"/>
  <c r="AE38" i="30"/>
  <c r="AC38" i="30"/>
  <c r="AB38" i="30"/>
  <c r="AA38" i="30"/>
  <c r="AD38" i="30"/>
  <c r="X79" i="30"/>
  <c r="AD64" i="30"/>
  <c r="Z63" i="30"/>
  <c r="X63" i="30"/>
  <c r="AC19" i="30"/>
  <c r="AD19" i="30"/>
  <c r="W19" i="30"/>
  <c r="X19" i="30"/>
  <c r="Y19" i="30"/>
  <c r="Z19" i="30"/>
  <c r="AA19" i="30"/>
  <c r="AB19" i="30"/>
  <c r="AE19" i="30"/>
  <c r="AA50" i="30"/>
  <c r="AB50" i="30"/>
  <c r="AC50" i="30"/>
  <c r="AD50" i="30"/>
  <c r="AE50" i="30"/>
  <c r="W50" i="30"/>
  <c r="X50" i="30"/>
  <c r="Y50" i="30"/>
  <c r="Z50" i="30"/>
  <c r="AE62" i="30"/>
  <c r="Z62" i="30"/>
  <c r="AB62" i="30"/>
  <c r="X62" i="30"/>
  <c r="Y62" i="30"/>
  <c r="W62" i="30"/>
  <c r="AA62" i="30"/>
  <c r="AC62" i="30"/>
  <c r="AD62" i="30"/>
  <c r="W72" i="30"/>
  <c r="X72" i="30"/>
  <c r="Y72" i="30"/>
  <c r="Z72" i="30"/>
  <c r="AA72" i="30"/>
  <c r="AB72" i="30"/>
  <c r="AC72" i="30"/>
  <c r="AD72" i="30"/>
  <c r="AE72" i="30"/>
  <c r="AA79" i="30"/>
  <c r="Y58" i="30"/>
  <c r="Z58" i="30"/>
  <c r="AA58" i="30"/>
  <c r="AB58" i="30"/>
  <c r="AC58" i="30"/>
  <c r="AD58" i="30"/>
  <c r="AE58" i="30"/>
  <c r="W58" i="30"/>
  <c r="X58" i="30"/>
  <c r="AB64" i="30"/>
  <c r="Y63" i="30"/>
  <c r="W16" i="30"/>
  <c r="X16" i="30"/>
  <c r="AE16" i="30"/>
  <c r="Y16" i="30"/>
  <c r="Z16" i="30"/>
  <c r="AA16" i="30"/>
  <c r="AB16" i="30"/>
  <c r="AC16" i="30"/>
  <c r="AD16" i="30"/>
  <c r="AC51" i="30"/>
  <c r="AD51" i="30"/>
  <c r="AA51" i="30"/>
  <c r="AB51" i="30"/>
  <c r="AE51" i="30"/>
  <c r="W51" i="30"/>
  <c r="X51" i="30"/>
  <c r="Y51" i="30"/>
  <c r="Z51" i="30"/>
  <c r="AE36" i="30"/>
  <c r="W36" i="30"/>
  <c r="X36" i="30"/>
  <c r="Y36" i="30"/>
  <c r="Z36" i="30"/>
  <c r="AA36" i="30"/>
  <c r="AB36" i="30"/>
  <c r="AC36" i="30"/>
  <c r="AD36" i="30"/>
  <c r="AC60" i="30"/>
  <c r="AD60" i="30"/>
  <c r="AE60" i="30"/>
  <c r="W60" i="30"/>
  <c r="X60" i="30"/>
  <c r="Y60" i="30"/>
  <c r="Z60" i="30"/>
  <c r="AA60" i="30"/>
  <c r="AB60" i="30"/>
  <c r="AA27" i="30"/>
  <c r="AB27" i="30"/>
  <c r="AC27" i="30"/>
  <c r="AD27" i="30"/>
  <c r="AE27" i="30"/>
  <c r="W27" i="30"/>
  <c r="Z27" i="30"/>
  <c r="Y27" i="30"/>
  <c r="X27" i="30"/>
  <c r="AE59" i="26"/>
  <c r="Z34" i="26"/>
  <c r="AA20" i="26"/>
  <c r="W31" i="26"/>
  <c r="Y58" i="26"/>
  <c r="Y75" i="26"/>
  <c r="W37" i="26"/>
  <c r="AD19" i="26"/>
  <c r="AA22" i="26"/>
  <c r="AC84" i="26"/>
  <c r="AB39" i="26"/>
  <c r="AD85" i="26"/>
  <c r="AD53" i="26"/>
  <c r="AA81" i="26"/>
  <c r="W71" i="26"/>
  <c r="AB70" i="26"/>
  <c r="Z81" i="26"/>
  <c r="AA24" i="26"/>
  <c r="AC16" i="26"/>
  <c r="AD59" i="26"/>
  <c r="Y74" i="26"/>
  <c r="AC80" i="26"/>
  <c r="AC26" i="26"/>
  <c r="Z77" i="26"/>
  <c r="AD69" i="26"/>
  <c r="X30" i="26"/>
  <c r="AA28" i="26"/>
  <c r="AD58" i="26"/>
  <c r="AE76" i="26"/>
  <c r="AD12" i="26"/>
  <c r="Y59" i="26"/>
  <c r="W60" i="26"/>
  <c r="Z84" i="26"/>
  <c r="AB11" i="26"/>
  <c r="X71" i="26"/>
  <c r="X41" i="26"/>
  <c r="AB32" i="26"/>
  <c r="W29" i="26"/>
  <c r="AD14" i="26"/>
  <c r="AB77" i="26"/>
  <c r="X17" i="26"/>
  <c r="Z76" i="26"/>
  <c r="W47" i="26"/>
  <c r="AA26" i="26"/>
  <c r="X47" i="26"/>
  <c r="AE60" i="26"/>
  <c r="AB73" i="26"/>
  <c r="AD27" i="26"/>
  <c r="Y53" i="26"/>
  <c r="AC55" i="26"/>
  <c r="X64" i="26"/>
  <c r="X37" i="26"/>
  <c r="X34" i="26"/>
  <c r="AE24" i="26"/>
  <c r="AD24" i="26"/>
  <c r="Z60" i="26"/>
  <c r="AB35" i="26"/>
  <c r="AE53" i="26"/>
  <c r="AA75" i="26"/>
  <c r="AB69" i="26"/>
  <c r="X59" i="26"/>
  <c r="W82" i="26"/>
  <c r="AE75" i="26"/>
  <c r="AC82" i="26"/>
  <c r="AA41" i="26"/>
  <c r="AD77" i="26"/>
  <c r="X44" i="26"/>
  <c r="AB37" i="26"/>
  <c r="Y55" i="26"/>
  <c r="AB82" i="26"/>
  <c r="X63" i="26"/>
  <c r="AE57" i="26"/>
  <c r="AB52" i="26"/>
  <c r="AE14" i="26"/>
  <c r="X15" i="26"/>
  <c r="X11" i="26"/>
  <c r="Y81" i="26"/>
  <c r="AB71" i="26"/>
  <c r="AC77" i="26"/>
  <c r="AD82" i="26"/>
  <c r="AB79" i="26"/>
  <c r="AC29" i="26"/>
  <c r="W43" i="26"/>
  <c r="AE36" i="26"/>
  <c r="AC76" i="26"/>
  <c r="Z54" i="26"/>
  <c r="AE31" i="26"/>
  <c r="Y41" i="26"/>
  <c r="W72" i="26"/>
  <c r="AA84" i="26"/>
  <c r="AA69" i="26"/>
  <c r="AD37" i="26"/>
  <c r="AC54" i="26"/>
  <c r="Y47" i="26"/>
  <c r="X84" i="26"/>
  <c r="AC85" i="26"/>
  <c r="AA32" i="26"/>
  <c r="X85" i="26"/>
  <c r="U34" i="27"/>
  <c r="AE68" i="26"/>
  <c r="AD32" i="26"/>
  <c r="W84" i="26"/>
  <c r="W75" i="26"/>
  <c r="X32" i="26"/>
  <c r="X40" i="26"/>
  <c r="Z18" i="26"/>
  <c r="AC33" i="26"/>
  <c r="AE38" i="26"/>
  <c r="AB64" i="26"/>
  <c r="Z25" i="26"/>
  <c r="Y84" i="26"/>
  <c r="X53" i="26"/>
  <c r="Y51" i="26"/>
  <c r="AC46" i="26"/>
  <c r="AD48" i="26"/>
  <c r="Z73" i="26"/>
  <c r="AE84" i="26"/>
  <c r="Z75" i="26"/>
  <c r="Z28" i="26"/>
  <c r="Y49" i="26"/>
  <c r="W12" i="26"/>
  <c r="AC19" i="26"/>
  <c r="Y28" i="26"/>
  <c r="L52" i="27"/>
  <c r="AB59" i="26"/>
  <c r="AE34" i="26"/>
  <c r="AB84" i="26"/>
  <c r="Z26" i="26"/>
  <c r="AD55" i="26"/>
  <c r="AB19" i="26"/>
  <c r="AD81" i="26"/>
  <c r="Y63" i="26"/>
  <c r="V18" i="27"/>
  <c r="Y12" i="26"/>
  <c r="AC51" i="26"/>
  <c r="AD64" i="26"/>
  <c r="W25" i="26"/>
  <c r="X60" i="26"/>
  <c r="AC15" i="26"/>
  <c r="AA19" i="26"/>
  <c r="AC81" i="26"/>
  <c r="Y44" i="26"/>
  <c r="W28" i="26"/>
  <c r="X79" i="26"/>
  <c r="X56" i="26"/>
  <c r="Z58" i="26"/>
  <c r="AE55" i="26"/>
  <c r="Y42" i="26"/>
  <c r="X77" i="26"/>
  <c r="AB25" i="26"/>
  <c r="W81" i="26"/>
  <c r="Y36" i="26"/>
  <c r="AA57" i="26"/>
  <c r="X54" i="26"/>
  <c r="X14" i="26"/>
  <c r="W77" i="26"/>
  <c r="Y37" i="26"/>
  <c r="AC38" i="26"/>
  <c r="W69" i="26"/>
  <c r="AB81" i="26"/>
  <c r="AD38" i="26"/>
  <c r="AA79" i="26"/>
  <c r="AD63" i="26"/>
  <c r="AA29" i="26"/>
  <c r="Z11" i="26"/>
  <c r="Z14" i="26"/>
  <c r="AD44" i="26"/>
  <c r="Z33" i="26"/>
  <c r="AC45" i="26"/>
  <c r="AC50" i="26"/>
  <c r="W33" i="26"/>
  <c r="W11" i="26"/>
  <c r="X10" i="26"/>
  <c r="W14" i="26"/>
  <c r="AE63" i="26"/>
  <c r="AE64" i="26"/>
  <c r="Y54" i="26"/>
  <c r="AB50" i="26"/>
  <c r="AE33" i="26"/>
  <c r="X69" i="26"/>
  <c r="AB41" i="26"/>
  <c r="Y11" i="26"/>
  <c r="W10" i="26"/>
  <c r="AA14" i="26"/>
  <c r="U55" i="27"/>
  <c r="AD36" i="26"/>
  <c r="W67" i="26"/>
  <c r="Y23" i="26"/>
  <c r="W50" i="26"/>
  <c r="AB33" i="26"/>
  <c r="W85" i="26"/>
  <c r="AE11" i="26"/>
  <c r="AE10" i="26"/>
  <c r="AC47" i="26"/>
  <c r="AD29" i="26"/>
  <c r="AC63" i="26"/>
  <c r="AC64" i="26"/>
  <c r="AC72" i="26"/>
  <c r="AD50" i="26"/>
  <c r="Y33" i="26"/>
  <c r="AD11" i="26"/>
  <c r="W76" i="26"/>
  <c r="AE45" i="26"/>
  <c r="AC79" i="26"/>
  <c r="AA62" i="26"/>
  <c r="AC31" i="26"/>
  <c r="AC69" i="26"/>
  <c r="AC18" i="26"/>
  <c r="AC11" i="26"/>
  <c r="AC10" i="26"/>
  <c r="Y76" i="26"/>
  <c r="AC32" i="26"/>
  <c r="AB57" i="26"/>
  <c r="Z63" i="26"/>
  <c r="AB44" i="26"/>
  <c r="AE46" i="26"/>
  <c r="Y64" i="26"/>
  <c r="Z46" i="26"/>
  <c r="Y18" i="26"/>
  <c r="AD83" i="26"/>
  <c r="AA10" i="26"/>
  <c r="AB12" i="26"/>
  <c r="AB28" i="26"/>
  <c r="AB60" i="26"/>
  <c r="Y31" i="26"/>
  <c r="W18" i="26"/>
  <c r="Y83" i="26"/>
  <c r="AE25" i="26"/>
  <c r="Y73" i="26"/>
  <c r="AD73" i="26"/>
  <c r="AE32" i="26"/>
  <c r="Z44" i="26"/>
  <c r="Z24" i="26"/>
  <c r="AB83" i="26"/>
  <c r="AE71" i="26"/>
  <c r="AA46" i="26"/>
  <c r="AD18" i="26"/>
  <c r="Z83" i="26"/>
  <c r="Z39" i="26"/>
  <c r="AA23" i="26"/>
  <c r="AA37" i="26"/>
  <c r="Z32" i="26"/>
  <c r="Z69" i="26"/>
  <c r="AE47" i="26"/>
  <c r="AD39" i="26"/>
  <c r="AD71" i="26"/>
  <c r="X46" i="26"/>
  <c r="AA18" i="26"/>
  <c r="X58" i="26"/>
  <c r="AA39" i="26"/>
  <c r="AB63" i="26"/>
  <c r="AC20" i="26"/>
  <c r="W32" i="26"/>
  <c r="AA63" i="26"/>
  <c r="Y32" i="26"/>
  <c r="AD40" i="26"/>
  <c r="Y29" i="26"/>
  <c r="AC71" i="26"/>
  <c r="W46" i="26"/>
  <c r="AD68" i="26"/>
  <c r="W58" i="26"/>
  <c r="AE39" i="26"/>
  <c r="W66" i="26"/>
  <c r="W20" i="26"/>
  <c r="Y57" i="26"/>
  <c r="AD28" i="26"/>
  <c r="AC74" i="26"/>
  <c r="X29" i="26"/>
  <c r="Z67" i="26"/>
  <c r="AE85" i="26"/>
  <c r="AC68" i="26"/>
  <c r="AC39" i="26"/>
  <c r="AC66" i="26"/>
  <c r="W15" i="26"/>
  <c r="AD47" i="26"/>
  <c r="AB43" i="26"/>
  <c r="AB38" i="26"/>
  <c r="AE67" i="26"/>
  <c r="AE65" i="26"/>
  <c r="W23" i="26"/>
  <c r="AB68" i="26"/>
  <c r="AC58" i="26"/>
  <c r="Y39" i="26"/>
  <c r="AB66" i="26"/>
  <c r="AE15" i="26"/>
  <c r="AB53" i="26"/>
  <c r="AE28" i="26"/>
  <c r="Y60" i="26"/>
  <c r="X75" i="26"/>
  <c r="Y26" i="26"/>
  <c r="AE52" i="26"/>
  <c r="Z79" i="26"/>
  <c r="Z15" i="26"/>
  <c r="AE73" i="26"/>
  <c r="Y72" i="26"/>
  <c r="AA38" i="26"/>
  <c r="AD67" i="26"/>
  <c r="AD65" i="26"/>
  <c r="AB15" i="26"/>
  <c r="AA68" i="26"/>
  <c r="AB58" i="26"/>
  <c r="X39" i="26"/>
  <c r="Z66" i="26"/>
  <c r="W51" i="26"/>
  <c r="AE62" i="26"/>
  <c r="X31" i="26"/>
  <c r="X18" i="26"/>
  <c r="W38" i="26"/>
  <c r="Z38" i="26"/>
  <c r="AB67" i="26"/>
  <c r="AB24" i="26"/>
  <c r="Z68" i="26"/>
  <c r="W39" i="26"/>
  <c r="AD66" i="26"/>
  <c r="AD54" i="26"/>
  <c r="Z51" i="26"/>
  <c r="AE77" i="26"/>
  <c r="AA31" i="26"/>
  <c r="AD56" i="26"/>
  <c r="W59" i="26"/>
  <c r="AB80" i="26"/>
  <c r="X38" i="26"/>
  <c r="AA67" i="26"/>
  <c r="AB65" i="26"/>
  <c r="AA61" i="26"/>
  <c r="Y68" i="26"/>
  <c r="Y70" i="26"/>
  <c r="AA60" i="26"/>
  <c r="AD23" i="26"/>
  <c r="X28" i="26"/>
  <c r="Z47" i="26"/>
  <c r="AA73" i="26"/>
  <c r="X22" i="26"/>
  <c r="X67" i="26"/>
  <c r="Z61" i="26"/>
  <c r="X68" i="26"/>
  <c r="AE21" i="26"/>
  <c r="X16" i="26"/>
  <c r="W24" i="26"/>
  <c r="W73" i="26"/>
  <c r="W63" i="26"/>
  <c r="X45" i="26"/>
  <c r="AC40" i="26"/>
  <c r="AC67" i="26"/>
  <c r="Y61" i="26"/>
  <c r="W68" i="26"/>
  <c r="Z21" i="26"/>
  <c r="X24" i="26"/>
  <c r="Z23" i="26"/>
  <c r="AA85" i="26"/>
  <c r="AB14" i="26"/>
  <c r="AD25" i="26"/>
  <c r="W78" i="26"/>
  <c r="AB45" i="26"/>
  <c r="AC42" i="26"/>
  <c r="X61" i="26"/>
  <c r="X19" i="26"/>
  <c r="M20" i="27"/>
  <c r="X12" i="26"/>
  <c r="Z45" i="26"/>
  <c r="W54" i="26"/>
  <c r="AB42" i="26"/>
  <c r="AE26" i="26"/>
  <c r="W61" i="26"/>
  <c r="Y69" i="26"/>
  <c r="W19" i="26"/>
  <c r="X73" i="26"/>
  <c r="Y40" i="26"/>
  <c r="S73" i="27"/>
  <c r="AA40" i="26"/>
  <c r="AA11" i="26"/>
  <c r="W45" i="26"/>
  <c r="Y85" i="26"/>
  <c r="AE41" i="26"/>
  <c r="AD26" i="26"/>
  <c r="AC61" i="26"/>
  <c r="AB85" i="26"/>
  <c r="Z19" i="26"/>
  <c r="AA54" i="26"/>
  <c r="P56" i="27"/>
  <c r="Y24" i="26"/>
  <c r="AB47" i="26"/>
  <c r="Z70" i="26"/>
  <c r="AC53" i="26"/>
  <c r="AA15" i="26"/>
  <c r="Z64" i="26"/>
  <c r="AD45" i="26"/>
  <c r="AC59" i="26"/>
  <c r="AD41" i="26"/>
  <c r="AE61" i="26"/>
  <c r="Y19" i="26"/>
  <c r="O25" i="27"/>
  <c r="AB27" i="26"/>
  <c r="AC37" i="26"/>
  <c r="W55" i="26"/>
  <c r="AB40" i="26"/>
  <c r="AB26" i="26"/>
  <c r="AE19" i="26"/>
  <c r="AE23" i="26"/>
  <c r="T45" i="27"/>
  <c r="W52" i="26"/>
  <c r="AB74" i="26"/>
  <c r="Z78" i="26"/>
  <c r="Y21" i="26"/>
  <c r="AE20" i="26"/>
  <c r="W30" i="26"/>
  <c r="W48" i="26"/>
  <c r="AB51" i="26"/>
  <c r="AA70" i="26"/>
  <c r="Y17" i="26"/>
  <c r="AA16" i="26"/>
  <c r="AD49" i="26"/>
  <c r="AB54" i="26"/>
  <c r="Z40" i="26"/>
  <c r="W40" i="26"/>
  <c r="L23" i="27"/>
  <c r="AB34" i="26"/>
  <c r="AC35" i="26"/>
  <c r="Z82" i="26"/>
  <c r="W27" i="26"/>
  <c r="AB22" i="26"/>
  <c r="X57" i="26"/>
  <c r="Z42" i="26"/>
  <c r="AC56" i="26"/>
  <c r="AC83" i="26"/>
  <c r="W80" i="26"/>
  <c r="AC25" i="26"/>
  <c r="S23" i="27"/>
  <c r="Q75" i="27"/>
  <c r="T65" i="27"/>
  <c r="V46" i="27"/>
  <c r="O71" i="27"/>
  <c r="K60" i="27"/>
  <c r="S79" i="27"/>
  <c r="R16" i="27"/>
  <c r="O21" i="27"/>
  <c r="O37" i="27"/>
  <c r="R69" i="27"/>
  <c r="N57" i="27"/>
  <c r="U11" i="27"/>
  <c r="U65" i="27"/>
  <c r="R60" i="27"/>
  <c r="M76" i="27"/>
  <c r="V12" i="27"/>
  <c r="T16" i="27"/>
  <c r="N56" i="27"/>
  <c r="R53" i="27"/>
  <c r="N44" i="27"/>
  <c r="P47" i="27"/>
  <c r="T60" i="27"/>
  <c r="N59" i="27"/>
  <c r="R64" i="27"/>
  <c r="T58" i="27"/>
  <c r="K53" i="27"/>
  <c r="P63" i="27"/>
  <c r="P80" i="27"/>
  <c r="U80" i="27"/>
  <c r="U35" i="27"/>
  <c r="K38" i="27"/>
  <c r="U63" i="27"/>
  <c r="L62" i="27"/>
  <c r="S74" i="27"/>
  <c r="R28" i="27"/>
  <c r="R58" i="27"/>
  <c r="N74" i="27"/>
  <c r="L12" i="27"/>
  <c r="U42" i="27"/>
  <c r="L76" i="27"/>
  <c r="V34" i="27"/>
  <c r="U59" i="27"/>
  <c r="R57" i="27"/>
  <c r="Q53" i="27"/>
  <c r="O63" i="27"/>
  <c r="T48" i="27"/>
  <c r="P78" i="27"/>
  <c r="N67" i="27"/>
  <c r="K39" i="27"/>
  <c r="P39" i="27"/>
  <c r="T74" i="27"/>
  <c r="R40" i="27"/>
  <c r="R31" i="27"/>
  <c r="U43" i="27"/>
  <c r="S49" i="27"/>
  <c r="Q22" i="27"/>
  <c r="T44" i="27"/>
  <c r="N15" i="27"/>
  <c r="S30" i="27"/>
  <c r="N73" i="27"/>
  <c r="V49" i="27"/>
  <c r="T73" i="27"/>
  <c r="U33" i="27"/>
  <c r="P27" i="27"/>
  <c r="S43" i="27"/>
  <c r="N61" i="27"/>
  <c r="L38" i="27"/>
  <c r="U49" i="27"/>
  <c r="O28" i="27"/>
  <c r="R72" i="27"/>
  <c r="O75" i="27"/>
  <c r="L22" i="27"/>
  <c r="S63" i="27"/>
  <c r="O44" i="27"/>
  <c r="P30" i="27"/>
  <c r="T77" i="27"/>
  <c r="M30" i="27"/>
  <c r="T56" i="27"/>
  <c r="R43" i="27"/>
  <c r="L13" i="27"/>
  <c r="U50" i="27"/>
  <c r="U66" i="27"/>
  <c r="N55" i="27"/>
  <c r="M29" i="27"/>
  <c r="L51" i="27"/>
  <c r="K71" i="27"/>
  <c r="V71" i="27"/>
  <c r="R81" i="27"/>
  <c r="L61" i="27"/>
  <c r="Q25" i="27"/>
  <c r="S45" i="27"/>
  <c r="N29" i="27"/>
  <c r="U62" i="27"/>
  <c r="U30" i="27"/>
  <c r="O77" i="27"/>
  <c r="U74" i="27"/>
  <c r="N45" i="27"/>
  <c r="M55" i="27"/>
  <c r="AD30" i="26"/>
  <c r="AB16" i="26"/>
  <c r="AC30" i="26"/>
  <c r="AD34" i="26"/>
  <c r="AE16" i="26"/>
  <c r="AD57" i="26"/>
  <c r="M51" i="27"/>
  <c r="T59" i="27"/>
  <c r="V58" i="27"/>
  <c r="P23" i="27"/>
  <c r="P73" i="27"/>
  <c r="N69" i="27"/>
  <c r="U14" i="27"/>
  <c r="T32" i="27"/>
  <c r="U70" i="27"/>
  <c r="U29" i="27"/>
  <c r="Y79" i="26"/>
  <c r="AE80" i="26"/>
  <c r="AB30" i="26"/>
  <c r="AA34" i="26"/>
  <c r="AB48" i="26"/>
  <c r="AD31" i="26"/>
  <c r="AD16" i="26"/>
  <c r="V55" i="27"/>
  <c r="R49" i="27"/>
  <c r="Q43" i="27"/>
  <c r="R12" i="27"/>
  <c r="K57" i="27"/>
  <c r="S64" i="27"/>
  <c r="Q78" i="27"/>
  <c r="N26" i="27"/>
  <c r="P83" i="27"/>
  <c r="T55" i="27"/>
  <c r="Y80" i="26"/>
  <c r="AA52" i="26"/>
  <c r="AA30" i="26"/>
  <c r="AE78" i="26"/>
  <c r="X42" i="26"/>
  <c r="AE48" i="26"/>
  <c r="AA76" i="26"/>
  <c r="Z16" i="26"/>
  <c r="AE43" i="26"/>
  <c r="AE30" i="26"/>
  <c r="AC57" i="26"/>
  <c r="Q68" i="27"/>
  <c r="Q30" i="27"/>
  <c r="Q27" i="27"/>
  <c r="O43" i="27"/>
  <c r="L42" i="27"/>
  <c r="Q61" i="27"/>
  <c r="U75" i="27"/>
  <c r="Q16" i="27"/>
  <c r="M16" i="27"/>
  <c r="Q19" i="27"/>
  <c r="X80" i="26"/>
  <c r="Z52" i="26"/>
  <c r="Z30" i="26"/>
  <c r="Y25" i="26"/>
  <c r="W42" i="26"/>
  <c r="AC48" i="26"/>
  <c r="X21" i="26"/>
  <c r="Z29" i="26"/>
  <c r="AD22" i="26"/>
  <c r="W16" i="26"/>
  <c r="W56" i="26"/>
  <c r="AA27" i="26"/>
  <c r="L81" i="27"/>
  <c r="N25" i="27"/>
  <c r="L24" i="27"/>
  <c r="S58" i="27"/>
  <c r="S28" i="27"/>
  <c r="M58" i="27"/>
  <c r="L72" i="27"/>
  <c r="S81" i="27"/>
  <c r="Q23" i="27"/>
  <c r="V21" i="27"/>
  <c r="AD80" i="26"/>
  <c r="AD52" i="26"/>
  <c r="Y30" i="26"/>
  <c r="X78" i="26"/>
  <c r="AE42" i="26"/>
  <c r="AA25" i="26"/>
  <c r="AA48" i="26"/>
  <c r="V85" i="27"/>
  <c r="N22" i="27"/>
  <c r="U10" i="27"/>
  <c r="P48" i="27"/>
  <c r="O73" i="27"/>
  <c r="R56" i="27"/>
  <c r="N70" i="27"/>
  <c r="L78" i="27"/>
  <c r="L57" i="27"/>
  <c r="M32" i="27"/>
  <c r="AA80" i="26"/>
  <c r="AC52" i="26"/>
  <c r="AD42" i="26"/>
  <c r="AE50" i="26"/>
  <c r="Y48" i="26"/>
  <c r="Z22" i="26"/>
  <c r="AD20" i="26"/>
  <c r="X51" i="26"/>
  <c r="M21" i="27"/>
  <c r="Q80" i="27"/>
  <c r="Q79" i="27"/>
  <c r="L10" i="27"/>
  <c r="K42" i="27"/>
  <c r="S46" i="27"/>
  <c r="S65" i="27"/>
  <c r="P75" i="27"/>
  <c r="O27" i="27"/>
  <c r="R34" i="27"/>
  <c r="AC41" i="26"/>
  <c r="AB29" i="26"/>
  <c r="Y52" i="26"/>
  <c r="X48" i="26"/>
  <c r="AD21" i="26"/>
  <c r="Z20" i="26"/>
  <c r="AE51" i="26"/>
  <c r="Z80" i="26"/>
  <c r="X52" i="26"/>
  <c r="AC70" i="26"/>
  <c r="AA42" i="26"/>
  <c r="Z50" i="26"/>
  <c r="Z48" i="26"/>
  <c r="X83" i="26"/>
  <c r="AC21" i="26"/>
  <c r="Y20" i="26"/>
  <c r="Y82" i="26"/>
  <c r="AD51" i="26"/>
  <c r="Y22" i="26"/>
  <c r="AE56" i="26"/>
  <c r="M73" i="27"/>
  <c r="R59" i="27"/>
  <c r="R48" i="27"/>
  <c r="M43" i="27"/>
  <c r="T40" i="27"/>
  <c r="O61" i="27"/>
  <c r="L77" i="27"/>
  <c r="O57" i="27"/>
  <c r="K35" i="27"/>
  <c r="Q39" i="27"/>
  <c r="Y50" i="26"/>
  <c r="W83" i="26"/>
  <c r="AB21" i="26"/>
  <c r="X20" i="26"/>
  <c r="X82" i="26"/>
  <c r="V67" i="27"/>
  <c r="O30" i="27"/>
  <c r="M13" i="27"/>
  <c r="S15" i="27"/>
  <c r="T18" i="27"/>
  <c r="L58" i="27"/>
  <c r="V44" i="27"/>
  <c r="R55" i="27"/>
  <c r="V40" i="27"/>
  <c r="AE54" i="26"/>
  <c r="AB31" i="26"/>
  <c r="Y45" i="26"/>
  <c r="Y38" i="26"/>
  <c r="X50" i="26"/>
  <c r="AB46" i="26"/>
  <c r="AE83" i="26"/>
  <c r="AA21" i="26"/>
  <c r="AB10" i="26"/>
  <c r="AB20" i="26"/>
  <c r="AE82" i="26"/>
  <c r="AA51" i="26"/>
  <c r="X62" i="26"/>
  <c r="M54" i="27"/>
  <c r="L25" i="27"/>
  <c r="Q10" i="27"/>
  <c r="L84" i="27"/>
  <c r="K29" i="27"/>
  <c r="Q46" i="27"/>
  <c r="P41" i="27"/>
  <c r="K11" i="27"/>
  <c r="S54" i="27"/>
  <c r="AA45" i="26"/>
  <c r="Z43" i="26"/>
  <c r="AC23" i="26"/>
  <c r="AD46" i="26"/>
  <c r="AA78" i="26"/>
  <c r="W62" i="26"/>
  <c r="AB36" i="26"/>
  <c r="Y43" i="26"/>
  <c r="Z57" i="26"/>
  <c r="L70" i="27"/>
  <c r="L85" i="27"/>
  <c r="T64" i="27"/>
  <c r="O60" i="27"/>
  <c r="Q40" i="27"/>
  <c r="N75" i="27"/>
  <c r="K27" i="27"/>
  <c r="U26" i="27"/>
  <c r="V73" i="27"/>
  <c r="T14" i="27"/>
  <c r="Y62" i="26"/>
  <c r="W53" i="26"/>
  <c r="U39" i="27"/>
  <c r="V61" i="27"/>
  <c r="O56" i="27"/>
  <c r="P40" i="27"/>
  <c r="V78" i="27"/>
  <c r="R63" i="27"/>
  <c r="N72" i="27"/>
  <c r="O62" i="27"/>
  <c r="S60" i="27"/>
  <c r="R84" i="27"/>
  <c r="AE22" i="26"/>
  <c r="W70" i="26"/>
  <c r="AC49" i="26"/>
  <c r="Y27" i="26"/>
  <c r="Z27" i="26"/>
  <c r="AE17" i="26"/>
  <c r="M67" i="27"/>
  <c r="AD78" i="26"/>
  <c r="X43" i="26"/>
  <c r="AA49" i="26"/>
  <c r="AE27" i="26"/>
  <c r="AE72" i="26"/>
  <c r="W79" i="26"/>
  <c r="AB76" i="26"/>
  <c r="Y56" i="26"/>
  <c r="Z56" i="26"/>
  <c r="X36" i="26"/>
  <c r="AD17" i="26"/>
  <c r="AE79" i="26"/>
  <c r="M66" i="27"/>
  <c r="V41" i="27"/>
  <c r="U13" i="27"/>
  <c r="V26" i="27"/>
  <c r="S62" i="27"/>
  <c r="M57" i="27"/>
  <c r="N62" i="27"/>
  <c r="K70" i="27"/>
  <c r="P55" i="27"/>
  <c r="M82" i="27"/>
  <c r="AC78" i="26"/>
  <c r="AA64" i="26"/>
  <c r="Z49" i="26"/>
  <c r="AD72" i="26"/>
  <c r="AC22" i="26"/>
  <c r="W36" i="26"/>
  <c r="AA56" i="26"/>
  <c r="AA17" i="26"/>
  <c r="T69" i="27"/>
  <c r="V27" i="27"/>
  <c r="U79" i="27"/>
  <c r="L29" i="27"/>
  <c r="O42" i="27"/>
  <c r="O55" i="27"/>
  <c r="P59" i="27"/>
  <c r="V60" i="27"/>
  <c r="S42" i="27"/>
  <c r="N17" i="27"/>
  <c r="X76" i="26"/>
  <c r="AC27" i="26"/>
  <c r="X49" i="26"/>
  <c r="W22" i="26"/>
  <c r="AD76" i="26"/>
  <c r="AE58" i="26"/>
  <c r="AA35" i="26"/>
  <c r="AE66" i="26"/>
  <c r="Z17" i="26"/>
  <c r="R83" i="27"/>
  <c r="S16" i="27"/>
  <c r="Q74" i="27"/>
  <c r="Q15" i="27"/>
  <c r="Q62" i="27"/>
  <c r="K44" i="27"/>
  <c r="U47" i="27"/>
  <c r="Q57" i="27"/>
  <c r="L26" i="27"/>
  <c r="R30" i="27"/>
  <c r="AE44" i="26"/>
  <c r="AA43" i="26"/>
  <c r="AA72" i="26"/>
  <c r="W49" i="26"/>
  <c r="AD62" i="26"/>
  <c r="X27" i="26"/>
  <c r="Z35" i="26"/>
  <c r="AB56" i="26"/>
  <c r="W17" i="26"/>
  <c r="AD79" i="26"/>
  <c r="U15" i="27"/>
  <c r="K85" i="27"/>
  <c r="V66" i="27"/>
  <c r="V76" i="27"/>
  <c r="O31" i="27"/>
  <c r="R42" i="27"/>
  <c r="U44" i="27"/>
  <c r="V50" i="27"/>
  <c r="Q24" i="27"/>
  <c r="U25" i="27"/>
  <c r="AD70" i="26"/>
  <c r="Z53" i="26"/>
  <c r="M75" i="27"/>
  <c r="Q72" i="27"/>
  <c r="M61" i="27"/>
  <c r="R45" i="27"/>
  <c r="U28" i="27"/>
  <c r="N79" i="27"/>
  <c r="O41" i="27"/>
  <c r="O47" i="27"/>
  <c r="V17" i="27"/>
  <c r="V45" i="27"/>
  <c r="AA47" i="26"/>
  <c r="AE49" i="26"/>
  <c r="AC62" i="26"/>
  <c r="Y35" i="26"/>
  <c r="X74" i="26"/>
  <c r="AB78" i="26"/>
  <c r="X35" i="26"/>
  <c r="AC17" i="26"/>
  <c r="M40" i="27"/>
  <c r="T41" i="27"/>
  <c r="K56" i="27"/>
  <c r="V31" i="27"/>
  <c r="M23" i="27"/>
  <c r="K73" i="27"/>
  <c r="R39" i="27"/>
  <c r="P44" i="27"/>
  <c r="L14" i="27"/>
  <c r="U18" i="27"/>
  <c r="W57" i="26"/>
  <c r="W44" i="26"/>
  <c r="W74" i="26"/>
  <c r="AA71" i="26"/>
  <c r="AB49" i="26"/>
  <c r="AC12" i="26"/>
  <c r="AB72" i="26"/>
  <c r="AA55" i="26"/>
  <c r="AA58" i="26"/>
  <c r="Z12" i="26"/>
  <c r="W35" i="26"/>
  <c r="Y66" i="26"/>
  <c r="Y14" i="26"/>
  <c r="AB17" i="26"/>
  <c r="X25" i="26"/>
  <c r="AA59" i="26"/>
  <c r="K58" i="27"/>
  <c r="N38" i="27"/>
  <c r="R41" i="27"/>
  <c r="U12" i="27"/>
  <c r="K75" i="27"/>
  <c r="M71" i="27"/>
  <c r="V75" i="27"/>
  <c r="V42" i="27"/>
  <c r="T33" i="27"/>
  <c r="R11" i="27"/>
  <c r="AA44" i="26"/>
  <c r="Z72" i="26"/>
  <c r="AE74" i="26"/>
  <c r="Z71" i="26"/>
  <c r="AD33" i="26"/>
  <c r="AE18" i="26"/>
  <c r="Z55" i="26"/>
  <c r="AD35" i="26"/>
  <c r="X66" i="26"/>
  <c r="AE37" i="26"/>
  <c r="K59" i="27"/>
  <c r="U27" i="27"/>
  <c r="V82" i="27"/>
  <c r="S76" i="27"/>
  <c r="M74" i="27"/>
  <c r="T61" i="27"/>
  <c r="P70" i="27"/>
  <c r="L39" i="27"/>
  <c r="P46" i="27"/>
  <c r="K41" i="27"/>
  <c r="AC44" i="26"/>
  <c r="AC75" i="26"/>
  <c r="AC34" i="26"/>
  <c r="Y67" i="26"/>
  <c r="AD84" i="26"/>
  <c r="AA33" i="26"/>
  <c r="AD61" i="26"/>
  <c r="AB18" i="26"/>
  <c r="X55" i="26"/>
  <c r="X70" i="26"/>
  <c r="AE35" i="26"/>
  <c r="AC14" i="26"/>
  <c r="N36" i="27"/>
  <c r="T13" i="27"/>
  <c r="M77" i="27"/>
  <c r="S12" i="27"/>
  <c r="Q58" i="27"/>
  <c r="M45" i="27"/>
  <c r="M62" i="27"/>
  <c r="U60" i="27"/>
  <c r="R38" i="27"/>
  <c r="N52" i="27"/>
  <c r="AD74" i="26"/>
  <c r="K50" i="27"/>
  <c r="V79" i="27"/>
  <c r="P74" i="27"/>
  <c r="R76" i="27"/>
  <c r="Q73" i="27"/>
  <c r="N40" i="27"/>
  <c r="V57" i="27"/>
  <c r="P57" i="27"/>
  <c r="O22" i="27"/>
  <c r="P53" i="27"/>
  <c r="V43" i="27"/>
  <c r="P38" i="27"/>
  <c r="R77" i="27"/>
  <c r="K54" i="27"/>
  <c r="O46" i="27"/>
  <c r="S48" i="27"/>
  <c r="T12" i="27"/>
  <c r="O79" i="27"/>
  <c r="N42" i="27"/>
  <c r="P54" i="27"/>
  <c r="P76" i="27"/>
  <c r="L69" i="27"/>
  <c r="M72" i="27"/>
  <c r="V47" i="27"/>
  <c r="V63" i="27"/>
  <c r="K23" i="27"/>
  <c r="Q60" i="27"/>
  <c r="V25" i="27"/>
  <c r="U24" i="27"/>
  <c r="Q44" i="27"/>
  <c r="L35" i="27"/>
  <c r="P37" i="27"/>
  <c r="N46" i="27"/>
  <c r="S33" i="27"/>
  <c r="N77" i="27"/>
  <c r="N13" i="27"/>
  <c r="L55" i="27"/>
  <c r="P71" i="27"/>
  <c r="R17" i="27"/>
  <c r="L74" i="27"/>
  <c r="P58" i="27"/>
  <c r="Q56" i="27"/>
  <c r="O59" i="27"/>
  <c r="N31" i="27"/>
  <c r="N47" i="27"/>
  <c r="L68" i="27"/>
  <c r="T39" i="27"/>
  <c r="M36" i="27"/>
  <c r="M81" i="27"/>
  <c r="Q83" i="27"/>
  <c r="Q77" i="27"/>
  <c r="S59" i="27"/>
  <c r="U48" i="27"/>
  <c r="U58" i="27"/>
  <c r="V62" i="27"/>
  <c r="U45" i="27"/>
  <c r="K43" i="27"/>
  <c r="N54" i="27"/>
  <c r="N30" i="27"/>
  <c r="R25" i="27"/>
  <c r="N41" i="27"/>
  <c r="U78" i="27"/>
  <c r="S29" i="27"/>
  <c r="L44" i="27"/>
  <c r="U85" i="27"/>
  <c r="T85" i="27"/>
  <c r="U40" i="27"/>
  <c r="U84" i="27"/>
  <c r="N16" i="27"/>
  <c r="U61" i="27"/>
  <c r="M25" i="27"/>
  <c r="S27" i="27"/>
  <c r="P43" i="27"/>
  <c r="O45" i="27"/>
  <c r="N71" i="27"/>
  <c r="P62" i="27"/>
  <c r="L36" i="27"/>
  <c r="P15" i="27"/>
  <c r="O10" i="27"/>
  <c r="L28" i="27"/>
  <c r="U81" i="27"/>
  <c r="T24" i="27"/>
  <c r="L37" i="27"/>
  <c r="R18" i="27"/>
  <c r="Q18" i="27"/>
  <c r="Q69" i="27"/>
  <c r="U64" i="27"/>
  <c r="R44" i="27"/>
  <c r="T71" i="27"/>
  <c r="R37" i="27"/>
  <c r="P19" i="27"/>
  <c r="M49" i="27"/>
  <c r="V69" i="27"/>
  <c r="V36" i="27"/>
  <c r="Q65" i="27"/>
  <c r="M11" i="27"/>
  <c r="M52" i="27"/>
  <c r="P35" i="27"/>
  <c r="K31" i="27"/>
  <c r="Q67" i="27"/>
  <c r="P65" i="27"/>
  <c r="M18" i="27"/>
  <c r="U36" i="27"/>
  <c r="K34" i="27"/>
  <c r="O54" i="27"/>
  <c r="O78" i="27"/>
  <c r="M35" i="27"/>
  <c r="Q20" i="27"/>
  <c r="P18" i="27"/>
  <c r="T31" i="27"/>
  <c r="Q55" i="27"/>
  <c r="S56" i="27"/>
  <c r="U72" i="27"/>
  <c r="R46" i="27"/>
  <c r="S61" i="27"/>
  <c r="L41" i="27"/>
  <c r="V72" i="27"/>
  <c r="T38" i="27"/>
  <c r="R20" i="27"/>
  <c r="O50" i="27"/>
  <c r="L80" i="27"/>
  <c r="L47" i="27"/>
  <c r="S66" i="27"/>
  <c r="O12" i="27"/>
  <c r="O33" i="27"/>
  <c r="Q54" i="27"/>
  <c r="K17" i="27"/>
  <c r="K52" i="27"/>
  <c r="U23" i="27"/>
  <c r="R66" i="27"/>
  <c r="S75" i="27"/>
  <c r="R19" i="27"/>
  <c r="U57" i="27"/>
  <c r="S38" i="27"/>
  <c r="P81" i="27"/>
  <c r="L65" i="27"/>
  <c r="O58" i="27"/>
  <c r="V13" i="27"/>
  <c r="N39" i="27"/>
  <c r="L83" i="27"/>
  <c r="V39" i="27"/>
  <c r="T21" i="27"/>
  <c r="Q51" i="27"/>
  <c r="N81" i="27"/>
  <c r="N48" i="27"/>
  <c r="U67" i="27"/>
  <c r="Q13" i="27"/>
  <c r="U46" i="27"/>
  <c r="L82" i="27"/>
  <c r="Q81" i="27"/>
  <c r="O66" i="27"/>
  <c r="R85" i="27"/>
  <c r="N64" i="27"/>
  <c r="O15" i="27"/>
  <c r="S22" i="27"/>
  <c r="S68" i="27"/>
  <c r="S35" i="27"/>
  <c r="L11" i="27"/>
  <c r="S11" i="27"/>
  <c r="U69" i="27"/>
  <c r="M53" i="27"/>
  <c r="O36" i="27"/>
  <c r="R52" i="27"/>
  <c r="Q37" i="27"/>
  <c r="T20" i="27"/>
  <c r="N80" i="27"/>
  <c r="O68" i="27"/>
  <c r="N10" i="27"/>
  <c r="K19" i="27"/>
  <c r="N84" i="27"/>
  <c r="L50" i="27"/>
  <c r="V22" i="27"/>
  <c r="S52" i="27"/>
  <c r="P82" i="27"/>
  <c r="P49" i="27"/>
  <c r="K78" i="27"/>
  <c r="S14" i="27"/>
  <c r="M19" i="27"/>
  <c r="O38" i="27"/>
  <c r="L45" i="27"/>
  <c r="T37" i="27"/>
  <c r="U83" i="27"/>
  <c r="Q11" i="27"/>
  <c r="U56" i="27"/>
  <c r="K67" i="27"/>
  <c r="O19" i="27"/>
  <c r="K80" i="27"/>
  <c r="T67" i="27"/>
  <c r="P13" i="27"/>
  <c r="M68" i="27"/>
  <c r="M48" i="27"/>
  <c r="O69" i="27"/>
  <c r="S21" i="27"/>
  <c r="O49" i="27"/>
  <c r="U22" i="27"/>
  <c r="M69" i="27"/>
  <c r="V29" i="27"/>
  <c r="S39" i="27"/>
  <c r="P85" i="27"/>
  <c r="N51" i="27"/>
  <c r="L33" i="27"/>
  <c r="U53" i="27"/>
  <c r="S19" i="27"/>
  <c r="R50" i="27"/>
  <c r="M79" i="27"/>
  <c r="K36" i="27"/>
  <c r="M65" i="27"/>
  <c r="O53" i="27"/>
  <c r="P84" i="27"/>
  <c r="L63" i="27"/>
  <c r="S40" i="27"/>
  <c r="Q21" i="27"/>
  <c r="Q34" i="27"/>
  <c r="U41" i="27"/>
  <c r="S55" i="27"/>
  <c r="N50" i="27"/>
  <c r="V68" i="27"/>
  <c r="V32" i="27"/>
  <c r="Q70" i="27"/>
  <c r="T53" i="27"/>
  <c r="Q50" i="27"/>
  <c r="L43" i="27"/>
  <c r="P45" i="27"/>
  <c r="P26" i="27"/>
  <c r="R82" i="27"/>
  <c r="V51" i="27"/>
  <c r="Q26" i="27"/>
  <c r="K51" i="27"/>
  <c r="K18" i="27"/>
  <c r="P52" i="27"/>
  <c r="N34" i="27"/>
  <c r="K64" i="27"/>
  <c r="U20" i="27"/>
  <c r="T51" i="27"/>
  <c r="O80" i="27"/>
  <c r="M37" i="27"/>
  <c r="N11" i="27"/>
  <c r="V52" i="27"/>
  <c r="O20" i="27"/>
  <c r="R36" i="27"/>
  <c r="S82" i="27"/>
  <c r="Q14" i="27"/>
  <c r="V38" i="27"/>
  <c r="R10" i="27"/>
  <c r="L49" i="27"/>
  <c r="N12" i="27"/>
  <c r="V81" i="27"/>
  <c r="K47" i="27"/>
  <c r="P51" i="27"/>
  <c r="L79" i="27"/>
  <c r="S71" i="27"/>
  <c r="V54" i="27"/>
  <c r="S51" i="27"/>
  <c r="U52" i="27"/>
  <c r="K83" i="27"/>
  <c r="S70" i="27"/>
  <c r="O35" i="27"/>
  <c r="N66" i="27"/>
  <c r="P34" i="27"/>
  <c r="K63" i="27"/>
  <c r="T83" i="27"/>
  <c r="T47" i="27"/>
  <c r="O70" i="27"/>
  <c r="S37" i="27"/>
  <c r="T36" i="27"/>
  <c r="L59" i="27"/>
  <c r="O24" i="27"/>
  <c r="L19" i="27"/>
  <c r="U38" i="27"/>
  <c r="V37" i="27"/>
  <c r="O32" i="27"/>
  <c r="U73" i="27"/>
  <c r="N20" i="27"/>
  <c r="K49" i="27"/>
  <c r="L48" i="27"/>
  <c r="P61" i="27"/>
  <c r="P21" i="27"/>
  <c r="M50" i="27"/>
  <c r="N49" i="27"/>
  <c r="S34" i="27"/>
  <c r="M85" i="27"/>
  <c r="P50" i="27"/>
  <c r="T82" i="27"/>
  <c r="R65" i="27"/>
  <c r="O11" i="27"/>
  <c r="V23" i="27"/>
  <c r="O83" i="27"/>
  <c r="Q35" i="27"/>
  <c r="L31" i="27"/>
  <c r="U51" i="27"/>
  <c r="S36" i="27"/>
  <c r="T79" i="27"/>
  <c r="K33" i="27"/>
  <c r="L32" i="27"/>
  <c r="K68" i="27"/>
  <c r="N33" i="27"/>
  <c r="M84" i="27"/>
  <c r="U71" i="27"/>
  <c r="Q36" i="27"/>
  <c r="P67" i="27"/>
  <c r="R35" i="27"/>
  <c r="M64" i="27"/>
  <c r="V84" i="27"/>
  <c r="V48" i="27"/>
  <c r="Q71" i="27"/>
  <c r="P32" i="27"/>
  <c r="O85" i="27"/>
  <c r="K82" i="27"/>
  <c r="R68" i="27"/>
  <c r="O65" i="27"/>
  <c r="K14" i="27"/>
  <c r="S72" i="27"/>
  <c r="M83" i="27"/>
  <c r="K16" i="27"/>
  <c r="Q66" i="27"/>
  <c r="N60" i="27"/>
  <c r="T17" i="27"/>
  <c r="O84" i="27"/>
  <c r="M17" i="27"/>
  <c r="S67" i="27"/>
  <c r="Q33" i="27"/>
  <c r="K84" i="27"/>
  <c r="Q85" i="27"/>
  <c r="O18" i="27"/>
  <c r="U68" i="27"/>
  <c r="R62" i="27"/>
  <c r="R22" i="27"/>
  <c r="L18" i="27"/>
  <c r="O51" i="27"/>
  <c r="S20" i="27"/>
  <c r="K79" i="27"/>
  <c r="K46" i="27"/>
  <c r="T63" i="27"/>
  <c r="L67" i="27"/>
  <c r="N65" i="27"/>
  <c r="R78" i="27"/>
  <c r="O76" i="27"/>
  <c r="M59" i="27"/>
  <c r="N68" i="27"/>
  <c r="L34" i="27"/>
  <c r="Q84" i="27"/>
  <c r="P66" i="27"/>
  <c r="N32" i="27"/>
  <c r="K62" i="27"/>
  <c r="M34" i="27"/>
  <c r="U77" i="27"/>
  <c r="P14" i="27"/>
  <c r="T23" i="27"/>
  <c r="N19" i="27"/>
  <c r="Q52" i="27"/>
  <c r="U21" i="27"/>
  <c r="R51" i="27"/>
  <c r="M80" i="27"/>
  <c r="M47" i="27"/>
  <c r="V64" i="27"/>
  <c r="R74" i="27"/>
  <c r="T75" i="27"/>
  <c r="P11" i="27"/>
  <c r="V24" i="27"/>
  <c r="P20" i="27"/>
  <c r="S53" i="27"/>
  <c r="K32" i="27"/>
  <c r="T52" i="27"/>
  <c r="O81" i="27"/>
  <c r="O48" i="27"/>
  <c r="L75" i="27"/>
  <c r="K69" i="27"/>
  <c r="K72" i="27"/>
  <c r="R54" i="27"/>
  <c r="R21" i="27"/>
  <c r="U54" i="27"/>
  <c r="M33" i="27"/>
  <c r="V53" i="27"/>
  <c r="Q82" i="27"/>
  <c r="Q49" i="27"/>
  <c r="N76" i="27"/>
  <c r="Q64" i="27"/>
  <c r="M70" i="27"/>
  <c r="V56" i="27"/>
  <c r="T22" i="27"/>
  <c r="K65" i="27"/>
  <c r="O34" i="27"/>
  <c r="L64" i="27"/>
  <c r="S83" i="27"/>
  <c r="S50" i="27"/>
  <c r="P77" i="27"/>
  <c r="V74" i="27"/>
  <c r="S57" i="27"/>
  <c r="P69" i="27"/>
  <c r="N35" i="27"/>
  <c r="S85" i="27"/>
  <c r="U37" i="27"/>
  <c r="R67" i="27"/>
  <c r="P33" i="27"/>
  <c r="M63" i="27"/>
  <c r="V80" i="27"/>
  <c r="L71" i="27"/>
  <c r="Q47" i="27"/>
  <c r="R70" i="27"/>
  <c r="P36" i="27"/>
  <c r="N18" i="27"/>
  <c r="K48" i="27"/>
  <c r="T68" i="27"/>
  <c r="T35" i="27"/>
  <c r="O64" i="27"/>
  <c r="K10" i="27"/>
  <c r="M15" i="27"/>
  <c r="Q17" i="27"/>
  <c r="M56" i="27"/>
  <c r="M22" i="27"/>
  <c r="N24" i="27"/>
  <c r="N27" i="27"/>
  <c r="S31" i="27"/>
  <c r="P60" i="27"/>
  <c r="M42" i="27"/>
  <c r="V30" i="27"/>
  <c r="M12" i="27"/>
  <c r="T78" i="27"/>
  <c r="S26" i="27"/>
  <c r="N78" i="27"/>
  <c r="N14" i="27"/>
  <c r="R32" i="27"/>
  <c r="U19" i="27"/>
  <c r="V20" i="27"/>
  <c r="N83" i="27"/>
  <c r="R14" i="27"/>
  <c r="V16" i="27"/>
  <c r="M46" i="27"/>
  <c r="V11" i="27"/>
  <c r="R13" i="27"/>
  <c r="K24" i="27"/>
  <c r="R23" i="27"/>
  <c r="N58" i="27"/>
  <c r="T28" i="27"/>
  <c r="Q28" i="27"/>
  <c r="S10" i="27"/>
  <c r="K77" i="27"/>
  <c r="L21" i="27"/>
  <c r="R75" i="27"/>
  <c r="V65" i="27"/>
  <c r="Q29" i="27"/>
  <c r="N28" i="27"/>
  <c r="M31" i="27"/>
  <c r="L17" i="27"/>
  <c r="T54" i="27"/>
  <c r="P28" i="27"/>
  <c r="P72" i="27"/>
  <c r="T46" i="27"/>
  <c r="Q41" i="27"/>
  <c r="U76" i="27"/>
  <c r="P22" i="27"/>
  <c r="P31" i="27"/>
  <c r="V33" i="27"/>
  <c r="K37" i="27"/>
  <c r="T43" i="27"/>
  <c r="T34" i="27"/>
  <c r="T57" i="27"/>
  <c r="U32" i="27"/>
  <c r="T50" i="27"/>
  <c r="O52" i="27"/>
  <c r="P68" i="27"/>
  <c r="K66" i="27"/>
  <c r="O67" i="27"/>
  <c r="T25" i="27"/>
  <c r="R61" i="27"/>
  <c r="L30" i="27"/>
  <c r="R27" i="27"/>
  <c r="M60" i="27"/>
  <c r="Q48" i="27"/>
  <c r="V28" i="27"/>
  <c r="R80" i="27"/>
  <c r="Q32" i="27"/>
  <c r="K40" i="27"/>
  <c r="M28" i="27"/>
  <c r="R47" i="27"/>
  <c r="T29" i="27"/>
  <c r="M44" i="27"/>
  <c r="L66" i="27"/>
  <c r="K81" i="27"/>
  <c r="T70" i="27"/>
  <c r="V70" i="27"/>
  <c r="O82" i="27"/>
  <c r="L73" i="27"/>
  <c r="L46" i="27"/>
  <c r="K22" i="27"/>
  <c r="O13" i="27"/>
  <c r="O40" i="27"/>
  <c r="T62" i="27"/>
  <c r="S17" i="27"/>
  <c r="N53" i="27"/>
  <c r="K26" i="27"/>
  <c r="R33" i="27"/>
  <c r="N21" i="27"/>
  <c r="M41" i="27"/>
  <c r="V19" i="27"/>
  <c r="N37" i="27"/>
  <c r="N82" i="27"/>
  <c r="L16" i="27"/>
  <c r="K55" i="27"/>
  <c r="T26" i="27"/>
  <c r="T84" i="27"/>
  <c r="V59" i="27"/>
  <c r="S41" i="27"/>
  <c r="U16" i="27"/>
  <c r="V10" i="27"/>
  <c r="T76" i="27"/>
  <c r="K45" i="27"/>
  <c r="K12" i="27"/>
  <c r="M10" i="27"/>
  <c r="P24" i="27"/>
  <c r="M27" i="27"/>
  <c r="P16" i="27"/>
  <c r="O39" i="27"/>
  <c r="O14" i="27"/>
  <c r="S32" i="27"/>
  <c r="S84" i="27"/>
  <c r="O17" i="27"/>
  <c r="AC50" i="23"/>
  <c r="K25" i="27"/>
  <c r="O29" i="27"/>
  <c r="S69" i="27"/>
  <c r="L15" i="27"/>
  <c r="L54" i="27"/>
  <c r="V35" i="27"/>
  <c r="N85" i="27"/>
  <c r="R79" i="27"/>
  <c r="L60" i="27"/>
  <c r="P42" i="27"/>
  <c r="N63" i="27"/>
  <c r="R71" i="27"/>
  <c r="U17" i="27"/>
  <c r="S25" i="27"/>
  <c r="V14" i="27"/>
  <c r="K28" i="27"/>
  <c r="O72" i="27"/>
  <c r="R29" i="27"/>
  <c r="K15" i="27"/>
  <c r="T19" i="27"/>
  <c r="Q42" i="27"/>
  <c r="L56" i="27"/>
  <c r="Q76" i="27"/>
  <c r="M38" i="27"/>
  <c r="T42" i="27"/>
  <c r="O16" i="27"/>
  <c r="T49" i="27"/>
  <c r="T27" i="27"/>
  <c r="S77" i="27"/>
  <c r="O74" i="27"/>
  <c r="Q45" i="27"/>
  <c r="Q31" i="27"/>
  <c r="V15" i="27"/>
  <c r="L53" i="27"/>
  <c r="P12" i="27"/>
  <c r="P10" i="27"/>
  <c r="K13" i="27"/>
  <c r="R26" i="27"/>
  <c r="Q59" i="27"/>
  <c r="M26" i="27"/>
  <c r="P17" i="27"/>
  <c r="K30" i="27"/>
  <c r="L20" i="27"/>
  <c r="T80" i="27"/>
  <c r="N23" i="27"/>
  <c r="O26" i="27"/>
  <c r="T15" i="27"/>
  <c r="T30" i="27"/>
  <c r="S13" i="27"/>
  <c r="T72" i="27"/>
  <c r="T66" i="27"/>
  <c r="L40" i="27"/>
  <c r="O23" i="27"/>
  <c r="K74" i="27"/>
  <c r="N43" i="27"/>
  <c r="T10" i="27"/>
  <c r="V77" i="27"/>
  <c r="T11" i="27"/>
  <c r="K21" i="27"/>
  <c r="T81" i="27"/>
  <c r="R24" i="27"/>
  <c r="S18" i="27"/>
  <c r="P29" i="27"/>
  <c r="M39" i="27"/>
  <c r="M24" i="27"/>
  <c r="P79" i="27"/>
  <c r="S44" i="27"/>
  <c r="K20" i="27"/>
  <c r="P25" i="27"/>
  <c r="S80" i="27"/>
  <c r="P64" i="27"/>
  <c r="K61" i="27"/>
  <c r="U31" i="27"/>
  <c r="Q12" i="27"/>
  <c r="R73" i="27"/>
  <c r="R15" i="27"/>
  <c r="U82" i="27"/>
  <c r="K76" i="27"/>
  <c r="S78" i="27"/>
  <c r="V83" i="27"/>
  <c r="M78" i="27"/>
  <c r="M14" i="27"/>
  <c r="L27" i="27"/>
  <c r="S24" i="27"/>
  <c r="Q38" i="27"/>
  <c r="Q63" i="27"/>
  <c r="AE50" i="23"/>
  <c r="Z50" i="23"/>
  <c r="Y50" i="23"/>
  <c r="AA50" i="23"/>
  <c r="X50" i="23"/>
  <c r="AD50" i="23"/>
  <c r="AC60" i="23"/>
  <c r="AD60" i="23"/>
  <c r="AE60" i="23"/>
  <c r="W60" i="23"/>
  <c r="X60" i="23"/>
  <c r="Y60" i="23"/>
  <c r="Z60" i="23"/>
  <c r="AA60" i="23"/>
  <c r="AB60" i="23"/>
  <c r="W16" i="23"/>
  <c r="X16" i="23"/>
  <c r="Y16" i="23"/>
  <c r="Z16" i="23"/>
  <c r="AA16" i="23"/>
  <c r="AB16" i="23"/>
  <c r="AC16" i="23"/>
  <c r="AD16" i="23"/>
  <c r="AE16" i="23"/>
  <c r="W54" i="23"/>
  <c r="X54" i="23"/>
  <c r="Y54" i="23"/>
  <c r="Z54" i="23"/>
  <c r="AA54" i="23"/>
  <c r="AB54" i="23"/>
  <c r="AC54" i="23"/>
  <c r="AD54" i="23"/>
  <c r="AE54" i="23"/>
  <c r="Y42" i="23"/>
  <c r="Z42" i="23"/>
  <c r="AA42" i="23"/>
  <c r="AB42" i="23"/>
  <c r="AC42" i="23"/>
  <c r="AD42" i="23"/>
  <c r="AE42" i="23"/>
  <c r="W42" i="23"/>
  <c r="X42" i="23"/>
  <c r="W25" i="23"/>
  <c r="X25" i="23"/>
  <c r="Y25" i="23"/>
  <c r="Z25" i="23"/>
  <c r="AA25" i="23"/>
  <c r="AB25" i="23"/>
  <c r="AC25" i="23"/>
  <c r="AD25" i="23"/>
  <c r="AE25" i="23"/>
  <c r="W24" i="23"/>
  <c r="X24" i="23"/>
  <c r="Y24" i="23"/>
  <c r="Z24" i="23"/>
  <c r="AA24" i="23"/>
  <c r="AB24" i="23"/>
  <c r="AC24" i="23"/>
  <c r="AD24" i="23"/>
  <c r="AE24" i="23"/>
  <c r="AB50" i="23"/>
  <c r="Y81" i="23"/>
  <c r="W81" i="23"/>
  <c r="X81" i="23"/>
  <c r="Z81" i="23"/>
  <c r="AA81" i="23"/>
  <c r="AB81" i="23"/>
  <c r="AD81" i="23"/>
  <c r="AE81" i="23"/>
  <c r="AC81" i="23"/>
  <c r="AE68" i="23"/>
  <c r="W68" i="23"/>
  <c r="X68" i="23"/>
  <c r="Y68" i="23"/>
  <c r="AC68" i="23"/>
  <c r="AD68" i="23"/>
  <c r="Z68" i="23"/>
  <c r="AA68" i="23"/>
  <c r="AB68" i="23"/>
  <c r="W50" i="23"/>
  <c r="AC51" i="23"/>
  <c r="W51" i="23"/>
  <c r="X51" i="23"/>
  <c r="Y51" i="23"/>
  <c r="Z51" i="23"/>
  <c r="AA51" i="23"/>
  <c r="AB51" i="23"/>
  <c r="AD51" i="23"/>
  <c r="AE51" i="23"/>
  <c r="AA66" i="23"/>
  <c r="W66" i="23"/>
  <c r="Y66" i="23"/>
  <c r="X66" i="23"/>
  <c r="Z66" i="23"/>
  <c r="AC66" i="23"/>
  <c r="AD66" i="23"/>
  <c r="AB66" i="23"/>
  <c r="AE66" i="23"/>
  <c r="AA27" i="23"/>
  <c r="AB27" i="23"/>
  <c r="AC27" i="23"/>
  <c r="AD27" i="23"/>
  <c r="AE27" i="23"/>
  <c r="W27" i="23"/>
  <c r="X27" i="23"/>
  <c r="Y27" i="23"/>
  <c r="Z27" i="23"/>
  <c r="W15" i="23"/>
  <c r="AA15" i="23"/>
  <c r="AC15" i="23"/>
  <c r="AB15" i="23"/>
  <c r="X15" i="23"/>
  <c r="Y15" i="23"/>
  <c r="AD15" i="23"/>
  <c r="Z15" i="23"/>
  <c r="AE15" i="23"/>
  <c r="Y85" i="23"/>
  <c r="Z85" i="23"/>
  <c r="AA85" i="23"/>
  <c r="AB85" i="23"/>
  <c r="AC85" i="23"/>
  <c r="AD85" i="23"/>
  <c r="AE85" i="23"/>
  <c r="W85" i="23"/>
  <c r="X85" i="23"/>
  <c r="W23" i="23"/>
  <c r="X23" i="23"/>
  <c r="Y23" i="23"/>
  <c r="Z23" i="23"/>
  <c r="AA23" i="23"/>
  <c r="AB23" i="23"/>
  <c r="AC23" i="23"/>
  <c r="AD23" i="23"/>
  <c r="AE23" i="23"/>
  <c r="AC35" i="23"/>
  <c r="W35" i="23"/>
  <c r="X35" i="23"/>
  <c r="Y35" i="23"/>
  <c r="Z35" i="23"/>
  <c r="AA35" i="23"/>
  <c r="AB35" i="23"/>
  <c r="AD35" i="23"/>
  <c r="AE35" i="23"/>
  <c r="AE77" i="23"/>
  <c r="W77" i="23"/>
  <c r="X77" i="23"/>
  <c r="Y77" i="23"/>
  <c r="Z77" i="23"/>
  <c r="AA77" i="23"/>
  <c r="AB77" i="23"/>
  <c r="AC77" i="23"/>
  <c r="AD77" i="23"/>
  <c r="W70" i="23"/>
  <c r="AB70" i="23"/>
  <c r="AC70" i="23"/>
  <c r="AD70" i="23"/>
  <c r="AE70" i="23"/>
  <c r="X70" i="23"/>
  <c r="Y70" i="23"/>
  <c r="Z70" i="23"/>
  <c r="AA70" i="23"/>
  <c r="W53" i="23"/>
  <c r="X53" i="23"/>
  <c r="Y53" i="23"/>
  <c r="AA53" i="23"/>
  <c r="AB53" i="23"/>
  <c r="AC53" i="23"/>
  <c r="AD53" i="23"/>
  <c r="AE53" i="23"/>
  <c r="Z53" i="23"/>
  <c r="AA75" i="23"/>
  <c r="AB75" i="23"/>
  <c r="AC75" i="23"/>
  <c r="AD75" i="23"/>
  <c r="AE75" i="23"/>
  <c r="W75" i="23"/>
  <c r="X75" i="23"/>
  <c r="Y75" i="23"/>
  <c r="Z75" i="23"/>
  <c r="AE61" i="23"/>
  <c r="W61" i="23"/>
  <c r="X61" i="23"/>
  <c r="AB61" i="23"/>
  <c r="AA61" i="23"/>
  <c r="Y61" i="23"/>
  <c r="Z61" i="23"/>
  <c r="AC61" i="23"/>
  <c r="AD61" i="23"/>
  <c r="AC76" i="23"/>
  <c r="AD76" i="23"/>
  <c r="AE76" i="23"/>
  <c r="W76" i="23"/>
  <c r="X76" i="23"/>
  <c r="AB76" i="23"/>
  <c r="Y76" i="23"/>
  <c r="Z76" i="23"/>
  <c r="AA76" i="23"/>
  <c r="AE29" i="23"/>
  <c r="W29" i="23"/>
  <c r="X29" i="23"/>
  <c r="Y29" i="23"/>
  <c r="Z29" i="23"/>
  <c r="AA29" i="23"/>
  <c r="AB29" i="23"/>
  <c r="AC29" i="23"/>
  <c r="AD29" i="23"/>
  <c r="X46" i="23"/>
  <c r="W46" i="23"/>
  <c r="Y46" i="23"/>
  <c r="AE46" i="23"/>
  <c r="Z46" i="23"/>
  <c r="AC46" i="23"/>
  <c r="AD46" i="23"/>
  <c r="AA46" i="23"/>
  <c r="AB46" i="23"/>
  <c r="Y17" i="23"/>
  <c r="W17" i="23"/>
  <c r="X17" i="23"/>
  <c r="Z17" i="23"/>
  <c r="AA17" i="23"/>
  <c r="AB17" i="23"/>
  <c r="AC17" i="23"/>
  <c r="AD17" i="23"/>
  <c r="AE17" i="23"/>
  <c r="Y65" i="23"/>
  <c r="AA65" i="23"/>
  <c r="AB65" i="23"/>
  <c r="AC65" i="23"/>
  <c r="AD65" i="23"/>
  <c r="AE65" i="23"/>
  <c r="X65" i="23"/>
  <c r="Z65" i="23"/>
  <c r="W65" i="23"/>
  <c r="Y74" i="23"/>
  <c r="Z74" i="23"/>
  <c r="AA74" i="23"/>
  <c r="AB74" i="23"/>
  <c r="AC74" i="23"/>
  <c r="AD74" i="23"/>
  <c r="AE74" i="23"/>
  <c r="W74" i="23"/>
  <c r="X74" i="23"/>
  <c r="Y33" i="23"/>
  <c r="AE33" i="23"/>
  <c r="Z33" i="23"/>
  <c r="AA33" i="23"/>
  <c r="AB33" i="23"/>
  <c r="AC33" i="23"/>
  <c r="AD33" i="23"/>
  <c r="W33" i="23"/>
  <c r="X33" i="23"/>
  <c r="W71" i="23"/>
  <c r="X71" i="23"/>
  <c r="Y71" i="23"/>
  <c r="AB71" i="23"/>
  <c r="Z71" i="23"/>
  <c r="AA71" i="23"/>
  <c r="AC71" i="23"/>
  <c r="AD71" i="23"/>
  <c r="AE71" i="23"/>
  <c r="AA82" i="23"/>
  <c r="AB82" i="23"/>
  <c r="AC82" i="23"/>
  <c r="AD82" i="23"/>
  <c r="AE82" i="23"/>
  <c r="W82" i="23"/>
  <c r="X82" i="23"/>
  <c r="Y82" i="23"/>
  <c r="Z82" i="23"/>
  <c r="AC19" i="23"/>
  <c r="AA19" i="23"/>
  <c r="AB19" i="23"/>
  <c r="AD19" i="23"/>
  <c r="AE19" i="23"/>
  <c r="W19" i="23"/>
  <c r="X19" i="23"/>
  <c r="Y19" i="23"/>
  <c r="Z19" i="23"/>
  <c r="W57" i="23"/>
  <c r="X57" i="23"/>
  <c r="Y57" i="23"/>
  <c r="Z57" i="23"/>
  <c r="AA57" i="23"/>
  <c r="AB57" i="23"/>
  <c r="AC57" i="23"/>
  <c r="AD57" i="23"/>
  <c r="AE57" i="23"/>
  <c r="W56" i="23"/>
  <c r="X56" i="23"/>
  <c r="Y56" i="23"/>
  <c r="Z56" i="23"/>
  <c r="AA56" i="23"/>
  <c r="AB56" i="23"/>
  <c r="AC56" i="23"/>
  <c r="AD56" i="23"/>
  <c r="AE56" i="23"/>
  <c r="AC21" i="23"/>
  <c r="AD21" i="23"/>
  <c r="AE21" i="23"/>
  <c r="Y21" i="23"/>
  <c r="Z21" i="23"/>
  <c r="AA21" i="23"/>
  <c r="AB21" i="23"/>
  <c r="W21" i="23"/>
  <c r="X21" i="23"/>
  <c r="AE52" i="23"/>
  <c r="W52" i="23"/>
  <c r="X52" i="23"/>
  <c r="Y52" i="23"/>
  <c r="Z52" i="23"/>
  <c r="AA52" i="23"/>
  <c r="AD52" i="23"/>
  <c r="AB52" i="23"/>
  <c r="AC52" i="23"/>
  <c r="AC83" i="23"/>
  <c r="X83" i="23"/>
  <c r="Y83" i="23"/>
  <c r="Z83" i="23"/>
  <c r="AA83" i="23"/>
  <c r="AB83" i="23"/>
  <c r="AD83" i="23"/>
  <c r="W83" i="23"/>
  <c r="AE83" i="23"/>
  <c r="AC12" i="23"/>
  <c r="AD12" i="23"/>
  <c r="AE12" i="23"/>
  <c r="W12" i="23"/>
  <c r="Y12" i="23"/>
  <c r="X12" i="23"/>
  <c r="AA12" i="23"/>
  <c r="Z12" i="23"/>
  <c r="AB12" i="23"/>
  <c r="AA59" i="23"/>
  <c r="AB59" i="23"/>
  <c r="AC59" i="23"/>
  <c r="AD59" i="23"/>
  <c r="AE59" i="23"/>
  <c r="W59" i="23"/>
  <c r="X59" i="23"/>
  <c r="Y59" i="23"/>
  <c r="Z59" i="23"/>
  <c r="W69" i="23"/>
  <c r="X69" i="23"/>
  <c r="Y69" i="23"/>
  <c r="Z69" i="23"/>
  <c r="AA69" i="23"/>
  <c r="AB69" i="23"/>
  <c r="AC69" i="23"/>
  <c r="AD69" i="23"/>
  <c r="AE69" i="23"/>
  <c r="AA18" i="23"/>
  <c r="AE18" i="23"/>
  <c r="X18" i="23"/>
  <c r="Y18" i="23"/>
  <c r="Z18" i="23"/>
  <c r="AB18" i="23"/>
  <c r="AC18" i="23"/>
  <c r="AD18" i="23"/>
  <c r="W18" i="23"/>
  <c r="W32" i="23"/>
  <c r="X32" i="23"/>
  <c r="Y32" i="23"/>
  <c r="Z32" i="23"/>
  <c r="AA32" i="23"/>
  <c r="AB32" i="23"/>
  <c r="AC32" i="23"/>
  <c r="AD32" i="23"/>
  <c r="AE32" i="23"/>
  <c r="W72" i="23"/>
  <c r="X72" i="23"/>
  <c r="Y72" i="23"/>
  <c r="Z72" i="23"/>
  <c r="AA72" i="23"/>
  <c r="AE72" i="23"/>
  <c r="AD72" i="23"/>
  <c r="AB72" i="23"/>
  <c r="AC72" i="23"/>
  <c r="W48" i="23"/>
  <c r="AD48" i="23"/>
  <c r="AE48" i="23"/>
  <c r="AA48" i="23"/>
  <c r="AB48" i="23"/>
  <c r="Y48" i="23"/>
  <c r="Z48" i="23"/>
  <c r="X48" i="23"/>
  <c r="AC48" i="23"/>
  <c r="AA34" i="23"/>
  <c r="X34" i="23"/>
  <c r="Y34" i="23"/>
  <c r="Z34" i="23"/>
  <c r="W34" i="23"/>
  <c r="AB34" i="23"/>
  <c r="AC34" i="23"/>
  <c r="AD34" i="23"/>
  <c r="AE34" i="23"/>
  <c r="AC28" i="23"/>
  <c r="AD28" i="23"/>
  <c r="AE28" i="23"/>
  <c r="Z28" i="23"/>
  <c r="AA28" i="23"/>
  <c r="AB28" i="23"/>
  <c r="W28" i="23"/>
  <c r="X28" i="23"/>
  <c r="Y28" i="23"/>
  <c r="AC63" i="23"/>
  <c r="AD63" i="23"/>
  <c r="AE63" i="23"/>
  <c r="Y63" i="23"/>
  <c r="Z63" i="23"/>
  <c r="W63" i="23"/>
  <c r="X63" i="23"/>
  <c r="AA63" i="23"/>
  <c r="AB63" i="23"/>
  <c r="W64" i="23"/>
  <c r="AC64" i="23"/>
  <c r="AD64" i="23"/>
  <c r="AE64" i="23"/>
  <c r="X64" i="23"/>
  <c r="Y64" i="23"/>
  <c r="Z64" i="23"/>
  <c r="AA64" i="23"/>
  <c r="AB64" i="23"/>
  <c r="W37" i="23"/>
  <c r="X37" i="23"/>
  <c r="AC37" i="23"/>
  <c r="Z37" i="23"/>
  <c r="AA37" i="23"/>
  <c r="AB37" i="23"/>
  <c r="Y37" i="23"/>
  <c r="AE37" i="23"/>
  <c r="AD37" i="23"/>
  <c r="Y49" i="23"/>
  <c r="W49" i="23"/>
  <c r="X49" i="23"/>
  <c r="Z49" i="23"/>
  <c r="AA49" i="23"/>
  <c r="AB49" i="23"/>
  <c r="AD49" i="23"/>
  <c r="AE49" i="23"/>
  <c r="AC49" i="23"/>
  <c r="AE13" i="23"/>
  <c r="X13" i="23"/>
  <c r="Y13" i="23"/>
  <c r="Z13" i="23"/>
  <c r="AA13" i="23"/>
  <c r="AB13" i="23"/>
  <c r="AC13" i="23"/>
  <c r="AD13" i="23"/>
  <c r="W13" i="23"/>
  <c r="W55" i="23"/>
  <c r="X55" i="23"/>
  <c r="Y55" i="23"/>
  <c r="AE55" i="23"/>
  <c r="AA55" i="23"/>
  <c r="Z55" i="23"/>
  <c r="AB55" i="23"/>
  <c r="AC55" i="23"/>
  <c r="AD55" i="23"/>
  <c r="AE45" i="23"/>
  <c r="AD45" i="23"/>
  <c r="W45" i="23"/>
  <c r="X45" i="23"/>
  <c r="Y45" i="23"/>
  <c r="AC45" i="23"/>
  <c r="AA45" i="23"/>
  <c r="AB45" i="23"/>
  <c r="Z45" i="23"/>
  <c r="Y26" i="23"/>
  <c r="Z26" i="23"/>
  <c r="AA26" i="23"/>
  <c r="AB26" i="23"/>
  <c r="AC26" i="23"/>
  <c r="AD26" i="23"/>
  <c r="AE26" i="23"/>
  <c r="W26" i="23"/>
  <c r="X26" i="23"/>
  <c r="W31" i="23"/>
  <c r="X31" i="23"/>
  <c r="Y31" i="23"/>
  <c r="Z31" i="23"/>
  <c r="AA31" i="23"/>
  <c r="AC31" i="23"/>
  <c r="AD31" i="23"/>
  <c r="AB31" i="23"/>
  <c r="AE31" i="23"/>
  <c r="W22" i="23"/>
  <c r="Y22" i="23"/>
  <c r="Z22" i="23"/>
  <c r="AA22" i="23"/>
  <c r="X22" i="23"/>
  <c r="AB22" i="23"/>
  <c r="AC22" i="23"/>
  <c r="AD22" i="23"/>
  <c r="AE22" i="23"/>
  <c r="AC44" i="23"/>
  <c r="AD44" i="23"/>
  <c r="AE44" i="23"/>
  <c r="W44" i="23"/>
  <c r="X44" i="23"/>
  <c r="Y44" i="23"/>
  <c r="Z44" i="23"/>
  <c r="AA44" i="23"/>
  <c r="AB44" i="23"/>
  <c r="W38" i="23"/>
  <c r="X38" i="23"/>
  <c r="Y38" i="23"/>
  <c r="Z38" i="23"/>
  <c r="AA38" i="23"/>
  <c r="AB38" i="23"/>
  <c r="AE38" i="23"/>
  <c r="AC38" i="23"/>
  <c r="AD38" i="23"/>
  <c r="AA79" i="23"/>
  <c r="W79" i="23"/>
  <c r="X79" i="23"/>
  <c r="Y79" i="23"/>
  <c r="Z79" i="23"/>
  <c r="AB79" i="23"/>
  <c r="AC79" i="23"/>
  <c r="AD79" i="23"/>
  <c r="AE79" i="23"/>
  <c r="W80" i="23"/>
  <c r="X80" i="23"/>
  <c r="Y80" i="23"/>
  <c r="Z80" i="23"/>
  <c r="AA80" i="23"/>
  <c r="AB80" i="23"/>
  <c r="AE80" i="23"/>
  <c r="AC80" i="23"/>
  <c r="AD80" i="23"/>
  <c r="Y10" i="23"/>
  <c r="Z10" i="23"/>
  <c r="AA10" i="23"/>
  <c r="AB10" i="23"/>
  <c r="AC10" i="23"/>
  <c r="AD10" i="23"/>
  <c r="AE10" i="23"/>
  <c r="W10" i="23"/>
  <c r="X10" i="23"/>
  <c r="AA78" i="23"/>
  <c r="AB78" i="23"/>
  <c r="AC78" i="23"/>
  <c r="AD78" i="23"/>
  <c r="AE78" i="23"/>
  <c r="Y78" i="23"/>
  <c r="Z78" i="23"/>
  <c r="W78" i="23"/>
  <c r="X78" i="23"/>
  <c r="W47" i="23"/>
  <c r="X47" i="23"/>
  <c r="Y47" i="23"/>
  <c r="Z47" i="23"/>
  <c r="AA47" i="23"/>
  <c r="AB47" i="23"/>
  <c r="AD47" i="23"/>
  <c r="AE47" i="23"/>
  <c r="AC47" i="23"/>
  <c r="W62" i="23"/>
  <c r="X62" i="23"/>
  <c r="Y62" i="23"/>
  <c r="Z62" i="23"/>
  <c r="AA62" i="23"/>
  <c r="AB62" i="23"/>
  <c r="AC62" i="23"/>
  <c r="AD62" i="23"/>
  <c r="AE62" i="23"/>
  <c r="AA43" i="23"/>
  <c r="AB43" i="23"/>
  <c r="AC43" i="23"/>
  <c r="AD43" i="23"/>
  <c r="AE43" i="23"/>
  <c r="X43" i="23"/>
  <c r="Y43" i="23"/>
  <c r="Z43" i="23"/>
  <c r="W43" i="23"/>
  <c r="AD30" i="23"/>
  <c r="W30" i="23"/>
  <c r="X30" i="23"/>
  <c r="AB30" i="23"/>
  <c r="AC30" i="23"/>
  <c r="Y30" i="23"/>
  <c r="Z30" i="23"/>
  <c r="AA30" i="23"/>
  <c r="AE30" i="23"/>
  <c r="W41" i="23"/>
  <c r="X41" i="23"/>
  <c r="Y41" i="23"/>
  <c r="Z41" i="23"/>
  <c r="AA41" i="23"/>
  <c r="AB41" i="23"/>
  <c r="AC41" i="23"/>
  <c r="AD41" i="23"/>
  <c r="AE41" i="23"/>
  <c r="AE36" i="23"/>
  <c r="Z36" i="23"/>
  <c r="AA36" i="23"/>
  <c r="AB36" i="23"/>
  <c r="AC36" i="23"/>
  <c r="AD36" i="23"/>
  <c r="Y36" i="23"/>
  <c r="W36" i="23"/>
  <c r="X36" i="23"/>
  <c r="AE20" i="23"/>
  <c r="W20" i="23"/>
  <c r="X20" i="23"/>
  <c r="Y20" i="23"/>
  <c r="Z20" i="23"/>
  <c r="AA20" i="23"/>
  <c r="AB20" i="23"/>
  <c r="AC20" i="23"/>
  <c r="AD20" i="23"/>
  <c r="AD14" i="23"/>
  <c r="AE14" i="23"/>
  <c r="W14" i="23"/>
  <c r="X14" i="23"/>
  <c r="Y14" i="23"/>
  <c r="Z14" i="23"/>
  <c r="AA14" i="23"/>
  <c r="AB14" i="23"/>
  <c r="AC14" i="23"/>
  <c r="AC67" i="23"/>
  <c r="AE67" i="23"/>
  <c r="W67" i="23"/>
  <c r="X67" i="23"/>
  <c r="Y67" i="23"/>
  <c r="Z67" i="23"/>
  <c r="AA67" i="23"/>
  <c r="AB67" i="23"/>
  <c r="AD67" i="23"/>
  <c r="AA11" i="23"/>
  <c r="AB11" i="23"/>
  <c r="AC11" i="23"/>
  <c r="AD11" i="23"/>
  <c r="AE11" i="23"/>
  <c r="W11" i="23"/>
  <c r="X11" i="23"/>
  <c r="Y11" i="23"/>
  <c r="Z11" i="23"/>
  <c r="W39" i="23"/>
  <c r="X39" i="23"/>
  <c r="Y39" i="23"/>
  <c r="Z39" i="23"/>
  <c r="AA39" i="23"/>
  <c r="AB39" i="23"/>
  <c r="AC39" i="23"/>
  <c r="AD39" i="23"/>
  <c r="AE39" i="23"/>
  <c r="W73" i="23"/>
  <c r="X73" i="23"/>
  <c r="Y73" i="23"/>
  <c r="Z73" i="23"/>
  <c r="AA73" i="23"/>
  <c r="AB73" i="23"/>
  <c r="AC73" i="23"/>
  <c r="AD73" i="23"/>
  <c r="AE73" i="23"/>
  <c r="Y58" i="23"/>
  <c r="Z58" i="23"/>
  <c r="AA58" i="23"/>
  <c r="AB58" i="23"/>
  <c r="AC58" i="23"/>
  <c r="AD58" i="23"/>
  <c r="AE58" i="23"/>
  <c r="W58" i="23"/>
  <c r="X58" i="23"/>
  <c r="W40" i="23"/>
  <c r="X40" i="23"/>
  <c r="Y40" i="23"/>
  <c r="Z40" i="23"/>
  <c r="AA40" i="23"/>
  <c r="AB40" i="23"/>
  <c r="AC40" i="23"/>
  <c r="AD40" i="23"/>
  <c r="AE40" i="23"/>
  <c r="AE84" i="23"/>
  <c r="W84" i="23"/>
  <c r="AA84" i="23"/>
  <c r="AB84" i="23"/>
  <c r="AD84" i="23"/>
  <c r="X84" i="23"/>
  <c r="Y84" i="23"/>
  <c r="Z84" i="23"/>
  <c r="AC84" i="23"/>
  <c r="AA79" i="18"/>
  <c r="Z79" i="18"/>
  <c r="AA48" i="18"/>
  <c r="Y79" i="18"/>
  <c r="AB79" i="18"/>
  <c r="AE49" i="18"/>
  <c r="AC12" i="18"/>
  <c r="Z48" i="18"/>
  <c r="Z58" i="18"/>
  <c r="AB48" i="18"/>
  <c r="AC79" i="18"/>
  <c r="AE79" i="18"/>
  <c r="AC48" i="18"/>
  <c r="W10" i="18"/>
  <c r="Z64" i="18"/>
  <c r="Y58" i="18"/>
  <c r="AA34" i="18"/>
  <c r="Y10" i="18"/>
  <c r="AE12" i="18"/>
  <c r="AB58" i="18"/>
  <c r="AE48" i="18"/>
  <c r="AA49" i="18"/>
  <c r="X33" i="18"/>
  <c r="W79" i="18"/>
  <c r="AC49" i="18"/>
  <c r="AC28" i="18"/>
  <c r="AD28" i="18"/>
  <c r="AE28" i="18"/>
  <c r="AA28" i="18"/>
  <c r="X28" i="18"/>
  <c r="Y28" i="18"/>
  <c r="Z28" i="18"/>
  <c r="AB28" i="18"/>
  <c r="W28" i="18"/>
  <c r="AD79" i="18"/>
  <c r="AD48" i="18"/>
  <c r="AA58" i="18"/>
  <c r="W68" i="18"/>
  <c r="AD68" i="18"/>
  <c r="X68" i="18"/>
  <c r="Y68" i="18"/>
  <c r="AC68" i="18"/>
  <c r="AE68" i="18"/>
  <c r="Z68" i="18"/>
  <c r="AA68" i="18"/>
  <c r="AB68" i="18"/>
  <c r="X63" i="18"/>
  <c r="AE63" i="18"/>
  <c r="AC63" i="18"/>
  <c r="AD63" i="18"/>
  <c r="W63" i="18"/>
  <c r="Y63" i="18"/>
  <c r="Z63" i="18"/>
  <c r="AA63" i="18"/>
  <c r="AB63" i="18"/>
  <c r="X79" i="18"/>
  <c r="AE10" i="18"/>
  <c r="Y26" i="18"/>
  <c r="Z26" i="18"/>
  <c r="AA26" i="18"/>
  <c r="AB26" i="18"/>
  <c r="AC26" i="18"/>
  <c r="AD26" i="18"/>
  <c r="AE26" i="18"/>
  <c r="W26" i="18"/>
  <c r="X26" i="18"/>
  <c r="AC60" i="18"/>
  <c r="AD60" i="18"/>
  <c r="AE60" i="18"/>
  <c r="AA60" i="18"/>
  <c r="AB60" i="18"/>
  <c r="W60" i="18"/>
  <c r="X60" i="18"/>
  <c r="Y60" i="18"/>
  <c r="Z60" i="18"/>
  <c r="AD10" i="18"/>
  <c r="W71" i="18"/>
  <c r="X71" i="18"/>
  <c r="Y71" i="18"/>
  <c r="Z71" i="18"/>
  <c r="AA71" i="18"/>
  <c r="AB71" i="18"/>
  <c r="AC71" i="18"/>
  <c r="AD71" i="18"/>
  <c r="AE71" i="18"/>
  <c r="W57" i="18"/>
  <c r="X57" i="18"/>
  <c r="Y57" i="18"/>
  <c r="Z57" i="18"/>
  <c r="AA57" i="18"/>
  <c r="AB57" i="18"/>
  <c r="AC57" i="18"/>
  <c r="AD57" i="18"/>
  <c r="AE57" i="18"/>
  <c r="AA27" i="18"/>
  <c r="AB27" i="18"/>
  <c r="AC27" i="18"/>
  <c r="AD27" i="18"/>
  <c r="AE27" i="18"/>
  <c r="Y27" i="18"/>
  <c r="X27" i="18"/>
  <c r="W27" i="18"/>
  <c r="Z27" i="18"/>
  <c r="X15" i="18"/>
  <c r="W15" i="18"/>
  <c r="Y15" i="18"/>
  <c r="Z15" i="18"/>
  <c r="AA15" i="18"/>
  <c r="AB15" i="18"/>
  <c r="AC15" i="18"/>
  <c r="AD15" i="18"/>
  <c r="AE15" i="18"/>
  <c r="AC10" i="18"/>
  <c r="AB35" i="18"/>
  <c r="W35" i="18"/>
  <c r="X35" i="18"/>
  <c r="Y35" i="18"/>
  <c r="Z35" i="18"/>
  <c r="AA35" i="18"/>
  <c r="AC35" i="18"/>
  <c r="AD35" i="18"/>
  <c r="AE35" i="18"/>
  <c r="AE45" i="18"/>
  <c r="AC45" i="18"/>
  <c r="W45" i="18"/>
  <c r="X45" i="18"/>
  <c r="Y45" i="18"/>
  <c r="Z45" i="18"/>
  <c r="AA45" i="18"/>
  <c r="AB45" i="18"/>
  <c r="AD45" i="18"/>
  <c r="W70" i="18"/>
  <c r="X70" i="18"/>
  <c r="Y70" i="18"/>
  <c r="Z70" i="18"/>
  <c r="AA70" i="18"/>
  <c r="AB70" i="18"/>
  <c r="AC70" i="18"/>
  <c r="AD70" i="18"/>
  <c r="AE70" i="18"/>
  <c r="AB10" i="18"/>
  <c r="AB51" i="18"/>
  <c r="W51" i="18"/>
  <c r="X51" i="18"/>
  <c r="Y51" i="18"/>
  <c r="Z51" i="18"/>
  <c r="AA51" i="18"/>
  <c r="AC51" i="18"/>
  <c r="AD51" i="18"/>
  <c r="AE51" i="18"/>
  <c r="W73" i="18"/>
  <c r="X73" i="18"/>
  <c r="Y73" i="18"/>
  <c r="Z73" i="18"/>
  <c r="AA73" i="18"/>
  <c r="AB73" i="18"/>
  <c r="AC73" i="18"/>
  <c r="AD73" i="18"/>
  <c r="AE73" i="18"/>
  <c r="W41" i="18"/>
  <c r="X41" i="18"/>
  <c r="Y41" i="18"/>
  <c r="Z41" i="18"/>
  <c r="AA41" i="18"/>
  <c r="AB41" i="18"/>
  <c r="AC41" i="18"/>
  <c r="AD41" i="18"/>
  <c r="AE41" i="18"/>
  <c r="Z10" i="18"/>
  <c r="X17" i="18"/>
  <c r="Y17" i="18"/>
  <c r="AB17" i="18"/>
  <c r="AE17" i="18"/>
  <c r="AC17" i="18"/>
  <c r="AD17" i="18"/>
  <c r="W17" i="18"/>
  <c r="Z17" i="18"/>
  <c r="AA17" i="18"/>
  <c r="W39" i="18"/>
  <c r="X39" i="18"/>
  <c r="Y39" i="18"/>
  <c r="Z39" i="18"/>
  <c r="AA39" i="18"/>
  <c r="AB39" i="18"/>
  <c r="AC39" i="18"/>
  <c r="AD39" i="18"/>
  <c r="AE39" i="18"/>
  <c r="W20" i="18"/>
  <c r="AD20" i="18"/>
  <c r="AE20" i="18"/>
  <c r="X20" i="18"/>
  <c r="Z20" i="18"/>
  <c r="Y20" i="18"/>
  <c r="AA20" i="18"/>
  <c r="AB20" i="18"/>
  <c r="AC20" i="18"/>
  <c r="W56" i="18"/>
  <c r="X56" i="18"/>
  <c r="Y56" i="18"/>
  <c r="Z56" i="18"/>
  <c r="AA56" i="18"/>
  <c r="AB56" i="18"/>
  <c r="AC56" i="18"/>
  <c r="AD56" i="18"/>
  <c r="AE56" i="18"/>
  <c r="X81" i="18"/>
  <c r="AB81" i="18"/>
  <c r="Z81" i="18"/>
  <c r="W81" i="18"/>
  <c r="Y81" i="18"/>
  <c r="AE81" i="18"/>
  <c r="AA81" i="18"/>
  <c r="AC81" i="18"/>
  <c r="AD81" i="18"/>
  <c r="AE34" i="18"/>
  <c r="Z32" i="18"/>
  <c r="Y32" i="18"/>
  <c r="AA32" i="18"/>
  <c r="AB32" i="18"/>
  <c r="AC32" i="18"/>
  <c r="AE32" i="18"/>
  <c r="W32" i="18"/>
  <c r="X32" i="18"/>
  <c r="AD32" i="18"/>
  <c r="W53" i="18"/>
  <c r="X53" i="18"/>
  <c r="Y53" i="18"/>
  <c r="AD53" i="18"/>
  <c r="AE53" i="18"/>
  <c r="AA53" i="18"/>
  <c r="Z53" i="18"/>
  <c r="AB53" i="18"/>
  <c r="AC53" i="18"/>
  <c r="AE61" i="18"/>
  <c r="AC61" i="18"/>
  <c r="X61" i="18"/>
  <c r="Y61" i="18"/>
  <c r="Z61" i="18"/>
  <c r="AA61" i="18"/>
  <c r="W61" i="18"/>
  <c r="AB61" i="18"/>
  <c r="AD61" i="18"/>
  <c r="AD49" i="18"/>
  <c r="Z50" i="18"/>
  <c r="AD50" i="18"/>
  <c r="W50" i="18"/>
  <c r="X50" i="18"/>
  <c r="Y50" i="18"/>
  <c r="AA50" i="18"/>
  <c r="AB50" i="18"/>
  <c r="AC50" i="18"/>
  <c r="AE50" i="18"/>
  <c r="AC34" i="18"/>
  <c r="AA43" i="18"/>
  <c r="AB43" i="18"/>
  <c r="AC43" i="18"/>
  <c r="AD43" i="18"/>
  <c r="AE43" i="18"/>
  <c r="Y43" i="18"/>
  <c r="X43" i="18"/>
  <c r="W43" i="18"/>
  <c r="Z43" i="18"/>
  <c r="W49" i="18"/>
  <c r="X34" i="18"/>
  <c r="Z49" i="18"/>
  <c r="W23" i="18"/>
  <c r="X23" i="18"/>
  <c r="Y23" i="18"/>
  <c r="Z23" i="18"/>
  <c r="AA23" i="18"/>
  <c r="AB23" i="18"/>
  <c r="AC23" i="18"/>
  <c r="AD23" i="18"/>
  <c r="AE23" i="18"/>
  <c r="AE13" i="18"/>
  <c r="AC13" i="18"/>
  <c r="Y13" i="18"/>
  <c r="Z13" i="18"/>
  <c r="AA13" i="18"/>
  <c r="AB13" i="18"/>
  <c r="W13" i="18"/>
  <c r="X13" i="18"/>
  <c r="AD13" i="18"/>
  <c r="AE30" i="18"/>
  <c r="Z30" i="18"/>
  <c r="W30" i="18"/>
  <c r="X30" i="18"/>
  <c r="Y30" i="18"/>
  <c r="AD30" i="18"/>
  <c r="AA30" i="18"/>
  <c r="AB30" i="18"/>
  <c r="AC30" i="18"/>
  <c r="Y34" i="18"/>
  <c r="X31" i="18"/>
  <c r="AA31" i="18"/>
  <c r="AB31" i="18"/>
  <c r="AC31" i="18"/>
  <c r="AD31" i="18"/>
  <c r="AE31" i="18"/>
  <c r="Y31" i="18"/>
  <c r="Z31" i="18"/>
  <c r="W31" i="18"/>
  <c r="Y42" i="18"/>
  <c r="Z42" i="18"/>
  <c r="AA42" i="18"/>
  <c r="AB42" i="18"/>
  <c r="AC42" i="18"/>
  <c r="AD42" i="18"/>
  <c r="AE42" i="18"/>
  <c r="W42" i="18"/>
  <c r="X42" i="18"/>
  <c r="Y49" i="18"/>
  <c r="AB19" i="18"/>
  <c r="AC19" i="18"/>
  <c r="AE19" i="18"/>
  <c r="AA19" i="18"/>
  <c r="AD19" i="18"/>
  <c r="W19" i="18"/>
  <c r="X19" i="18"/>
  <c r="Y19" i="18"/>
  <c r="Z19" i="18"/>
  <c r="Z12" i="18"/>
  <c r="AE33" i="18"/>
  <c r="W34" i="18"/>
  <c r="AE46" i="18"/>
  <c r="AC46" i="18"/>
  <c r="AD46" i="18"/>
  <c r="W46" i="18"/>
  <c r="X46" i="18"/>
  <c r="Y46" i="18"/>
  <c r="Z46" i="18"/>
  <c r="AA46" i="18"/>
  <c r="AB46" i="18"/>
  <c r="AA59" i="18"/>
  <c r="AB59" i="18"/>
  <c r="AC59" i="18"/>
  <c r="AD59" i="18"/>
  <c r="AE59" i="18"/>
  <c r="Y59" i="18"/>
  <c r="W59" i="18"/>
  <c r="X59" i="18"/>
  <c r="Z59" i="18"/>
  <c r="W55" i="18"/>
  <c r="X55" i="18"/>
  <c r="Y55" i="18"/>
  <c r="Z55" i="18"/>
  <c r="AA55" i="18"/>
  <c r="AB55" i="18"/>
  <c r="AC55" i="18"/>
  <c r="AE55" i="18"/>
  <c r="AD55" i="18"/>
  <c r="W37" i="18"/>
  <c r="X37" i="18"/>
  <c r="Y37" i="18"/>
  <c r="AE37" i="18"/>
  <c r="Z37" i="18"/>
  <c r="AA37" i="18"/>
  <c r="AB37" i="18"/>
  <c r="AC37" i="18"/>
  <c r="AD37" i="18"/>
  <c r="AB49" i="18"/>
  <c r="Y12" i="18"/>
  <c r="AD33" i="18"/>
  <c r="AD34" i="18"/>
  <c r="X49" i="18"/>
  <c r="X12" i="18"/>
  <c r="AC33" i="18"/>
  <c r="Z34" i="18"/>
  <c r="W52" i="18"/>
  <c r="AD52" i="18"/>
  <c r="X52" i="18"/>
  <c r="Y52" i="18"/>
  <c r="Z52" i="18"/>
  <c r="AA52" i="18"/>
  <c r="AB52" i="18"/>
  <c r="AC52" i="18"/>
  <c r="AE52" i="18"/>
  <c r="AA33" i="18"/>
  <c r="X65" i="18"/>
  <c r="AB65" i="18"/>
  <c r="Z65" i="18"/>
  <c r="AA65" i="18"/>
  <c r="AC65" i="18"/>
  <c r="AD65" i="18"/>
  <c r="AE65" i="18"/>
  <c r="W65" i="18"/>
  <c r="Y65" i="18"/>
  <c r="AB12" i="18"/>
  <c r="Z33" i="18"/>
  <c r="AB67" i="18"/>
  <c r="W67" i="18"/>
  <c r="X67" i="18"/>
  <c r="Y67" i="18"/>
  <c r="Z67" i="18"/>
  <c r="AA67" i="18"/>
  <c r="AC67" i="18"/>
  <c r="AD67" i="18"/>
  <c r="AE67" i="18"/>
  <c r="W84" i="18"/>
  <c r="AD84" i="18"/>
  <c r="X84" i="18"/>
  <c r="Y84" i="18"/>
  <c r="Z84" i="18"/>
  <c r="AA84" i="18"/>
  <c r="AB84" i="18"/>
  <c r="AC84" i="18"/>
  <c r="AE84" i="18"/>
  <c r="AA12" i="18"/>
  <c r="Y33" i="18"/>
  <c r="AE77" i="18"/>
  <c r="AC77" i="18"/>
  <c r="Z77" i="18"/>
  <c r="AA77" i="18"/>
  <c r="AB77" i="18"/>
  <c r="AD77" i="18"/>
  <c r="X77" i="18"/>
  <c r="Y77" i="18"/>
  <c r="W77" i="18"/>
  <c r="AE64" i="18"/>
  <c r="Z80" i="18"/>
  <c r="AD80" i="18"/>
  <c r="AE80" i="18"/>
  <c r="AC80" i="18"/>
  <c r="Y80" i="18"/>
  <c r="AA80" i="18"/>
  <c r="AB80" i="18"/>
  <c r="W80" i="18"/>
  <c r="X80" i="18"/>
  <c r="W38" i="18"/>
  <c r="X38" i="18"/>
  <c r="Y38" i="18"/>
  <c r="Z38" i="18"/>
  <c r="AA38" i="18"/>
  <c r="AE38" i="18"/>
  <c r="AC38" i="18"/>
  <c r="AD38" i="18"/>
  <c r="AB38" i="18"/>
  <c r="X10" i="18"/>
  <c r="AA10" i="18"/>
  <c r="AA64" i="18"/>
  <c r="W12" i="18"/>
  <c r="AC76" i="18"/>
  <c r="AD76" i="18"/>
  <c r="AE76" i="18"/>
  <c r="AA76" i="18"/>
  <c r="W76" i="18"/>
  <c r="X76" i="18"/>
  <c r="Y76" i="18"/>
  <c r="Z76" i="18"/>
  <c r="AB76" i="18"/>
  <c r="AC64" i="18"/>
  <c r="AB64" i="18"/>
  <c r="W33" i="18"/>
  <c r="Y74" i="18"/>
  <c r="Z74" i="18"/>
  <c r="AA74" i="18"/>
  <c r="AB74" i="18"/>
  <c r="AC74" i="18"/>
  <c r="AD74" i="18"/>
  <c r="AE74" i="18"/>
  <c r="W74" i="18"/>
  <c r="X74" i="18"/>
  <c r="AD64" i="18"/>
  <c r="W16" i="18"/>
  <c r="Z16" i="18"/>
  <c r="AE16" i="18"/>
  <c r="X16" i="18"/>
  <c r="Y16" i="18"/>
  <c r="AA16" i="18"/>
  <c r="AB16" i="18"/>
  <c r="AC16" i="18"/>
  <c r="AD16" i="18"/>
  <c r="AE78" i="18"/>
  <c r="W78" i="18"/>
  <c r="X78" i="18"/>
  <c r="AD78" i="18"/>
  <c r="Z78" i="18"/>
  <c r="Y78" i="18"/>
  <c r="AA78" i="18"/>
  <c r="AB78" i="18"/>
  <c r="AC78" i="18"/>
  <c r="AC44" i="18"/>
  <c r="AD44" i="18"/>
  <c r="AE44" i="18"/>
  <c r="AA44" i="18"/>
  <c r="Y44" i="18"/>
  <c r="W44" i="18"/>
  <c r="X44" i="18"/>
  <c r="Z44" i="18"/>
  <c r="AB44" i="18"/>
  <c r="AB34" i="18"/>
  <c r="AD12" i="18"/>
  <c r="AB33" i="18"/>
  <c r="X58" i="18"/>
  <c r="Z18" i="18"/>
  <c r="AA18" i="18"/>
  <c r="AD18" i="18"/>
  <c r="AB18" i="18"/>
  <c r="W18" i="18"/>
  <c r="X18" i="18"/>
  <c r="Y18" i="18"/>
  <c r="AC18" i="18"/>
  <c r="AE18" i="18"/>
  <c r="X64" i="18"/>
  <c r="W69" i="18"/>
  <c r="X69" i="18"/>
  <c r="Y69" i="18"/>
  <c r="Z69" i="18"/>
  <c r="AA69" i="18"/>
  <c r="AB69" i="18"/>
  <c r="AC69" i="18"/>
  <c r="AD69" i="18"/>
  <c r="AE69" i="18"/>
  <c r="Z82" i="18"/>
  <c r="AD82" i="18"/>
  <c r="AA82" i="18"/>
  <c r="AB82" i="18"/>
  <c r="AC82" i="18"/>
  <c r="AE82" i="18"/>
  <c r="X82" i="18"/>
  <c r="Y82" i="18"/>
  <c r="W82" i="18"/>
  <c r="W54" i="18"/>
  <c r="X54" i="18"/>
  <c r="Y54" i="18"/>
  <c r="Z54" i="18"/>
  <c r="AA54" i="18"/>
  <c r="AD54" i="18"/>
  <c r="AB54" i="18"/>
  <c r="AC54" i="18"/>
  <c r="AE54" i="18"/>
  <c r="W58" i="18"/>
  <c r="W64" i="18"/>
  <c r="AE14" i="18"/>
  <c r="W14" i="18"/>
  <c r="X14" i="18"/>
  <c r="Y14" i="18"/>
  <c r="Z14" i="18"/>
  <c r="AA14" i="18"/>
  <c r="AB14" i="18"/>
  <c r="AC14" i="18"/>
  <c r="AD14" i="18"/>
  <c r="W48" i="18"/>
  <c r="AE58" i="18"/>
  <c r="X47" i="18"/>
  <c r="W47" i="18"/>
  <c r="Y47" i="18"/>
  <c r="Z47" i="18"/>
  <c r="AD47" i="18"/>
  <c r="AE47" i="18"/>
  <c r="AC47" i="18"/>
  <c r="AA47" i="18"/>
  <c r="AB47" i="18"/>
  <c r="AB83" i="18"/>
  <c r="Z83" i="18"/>
  <c r="AA83" i="18"/>
  <c r="AC83" i="18"/>
  <c r="AD83" i="18"/>
  <c r="W83" i="18"/>
  <c r="X83" i="18"/>
  <c r="Y83" i="18"/>
  <c r="AE83" i="18"/>
  <c r="W40" i="18"/>
  <c r="X40" i="18"/>
  <c r="Y40" i="18"/>
  <c r="Z40" i="18"/>
  <c r="AA40" i="18"/>
  <c r="AB40" i="18"/>
  <c r="AC40" i="18"/>
  <c r="AD40" i="18"/>
  <c r="AE40" i="18"/>
  <c r="W85" i="18"/>
  <c r="X85" i="18"/>
  <c r="Y85" i="18"/>
  <c r="Z85" i="18"/>
  <c r="AA85" i="18"/>
  <c r="AB85" i="18"/>
  <c r="AC85" i="18"/>
  <c r="AD85" i="18"/>
  <c r="AE85" i="18"/>
  <c r="Y64" i="18"/>
  <c r="W25" i="18"/>
  <c r="X25" i="18"/>
  <c r="Y25" i="18"/>
  <c r="Z25" i="18"/>
  <c r="AA25" i="18"/>
  <c r="AB25" i="18"/>
  <c r="AC25" i="18"/>
  <c r="AD25" i="18"/>
  <c r="AE25" i="18"/>
  <c r="AA11" i="18"/>
  <c r="AB11" i="18"/>
  <c r="AC11" i="18"/>
  <c r="AD11" i="18"/>
  <c r="AE11" i="18"/>
  <c r="Y11" i="18"/>
  <c r="W11" i="18"/>
  <c r="X11" i="18"/>
  <c r="Z11" i="18"/>
  <c r="AE29" i="18"/>
  <c r="AC29" i="18"/>
  <c r="Z29" i="18"/>
  <c r="AA29" i="18"/>
  <c r="AB29" i="18"/>
  <c r="AD29" i="18"/>
  <c r="W29" i="18"/>
  <c r="X29" i="18"/>
  <c r="Y29" i="18"/>
  <c r="AA75" i="18"/>
  <c r="AB75" i="18"/>
  <c r="AC75" i="18"/>
  <c r="AD75" i="18"/>
  <c r="AE75" i="18"/>
  <c r="Y75" i="18"/>
  <c r="W75" i="18"/>
  <c r="X75" i="18"/>
  <c r="Z75" i="18"/>
  <c r="Y48" i="18"/>
  <c r="AD58" i="18"/>
  <c r="AE62" i="18"/>
  <c r="W62" i="18"/>
  <c r="X62" i="18"/>
  <c r="Y62" i="18"/>
  <c r="AD62" i="18"/>
  <c r="Z62" i="18"/>
  <c r="AA62" i="18"/>
  <c r="AB62" i="18"/>
  <c r="AC62" i="18"/>
  <c r="W21" i="18"/>
  <c r="X21" i="18"/>
  <c r="Y21" i="18"/>
  <c r="AD21" i="18"/>
  <c r="AE21" i="18"/>
  <c r="AB21" i="18"/>
  <c r="AC21" i="18"/>
  <c r="Z21" i="18"/>
  <c r="AA21" i="18"/>
  <c r="W22" i="18"/>
  <c r="X22" i="18"/>
  <c r="Y22" i="18"/>
  <c r="Z22" i="18"/>
  <c r="AA22" i="18"/>
  <c r="AC22" i="18"/>
  <c r="AD22" i="18"/>
  <c r="AE22" i="18"/>
  <c r="AB22" i="18"/>
  <c r="X48" i="18"/>
  <c r="W36" i="18"/>
  <c r="AD36" i="18"/>
  <c r="X36" i="18"/>
  <c r="Y36" i="18"/>
  <c r="Z36" i="18"/>
  <c r="AA36" i="18"/>
  <c r="AB36" i="18"/>
  <c r="AC36" i="18"/>
  <c r="AE36" i="18"/>
  <c r="AC58" i="18"/>
  <c r="W24" i="18"/>
  <c r="X24" i="18"/>
  <c r="Y24" i="18"/>
  <c r="Z24" i="18"/>
  <c r="AA24" i="18"/>
  <c r="AB24" i="18"/>
  <c r="AC24" i="18"/>
  <c r="AD24" i="18"/>
  <c r="AE24" i="18"/>
  <c r="W72" i="18"/>
  <c r="X72" i="18"/>
  <c r="Y72" i="18"/>
  <c r="Z72" i="18"/>
  <c r="AA72" i="18"/>
  <c r="AB72" i="18"/>
  <c r="AC72" i="18"/>
  <c r="AD72" i="18"/>
  <c r="AE72" i="18"/>
  <c r="Z66" i="18"/>
  <c r="AD66" i="18"/>
  <c r="X66" i="18"/>
  <c r="Y66" i="18"/>
  <c r="AA66" i="18"/>
  <c r="AB66" i="18"/>
  <c r="W66" i="18"/>
  <c r="AC66" i="18"/>
  <c r="AE66" i="18"/>
  <c r="AA64" i="12"/>
  <c r="AC64" i="12"/>
  <c r="AD74" i="11"/>
  <c r="AD49" i="12"/>
  <c r="W82" i="11"/>
  <c r="AE26" i="11"/>
  <c r="AD34" i="12"/>
  <c r="AB49" i="12"/>
  <c r="Z64" i="12"/>
  <c r="AD64" i="12"/>
  <c r="AC49" i="12"/>
  <c r="X49" i="12"/>
  <c r="AB26" i="11"/>
  <c r="AE35" i="11"/>
  <c r="AC16" i="11"/>
  <c r="X15" i="12"/>
  <c r="AE49" i="12"/>
  <c r="AD58" i="11"/>
  <c r="Y10" i="12"/>
  <c r="Z10" i="12"/>
  <c r="AA10" i="12"/>
  <c r="AB10" i="12"/>
  <c r="AC10" i="12"/>
  <c r="AD10" i="12"/>
  <c r="AE10" i="12"/>
  <c r="W10" i="12"/>
  <c r="X10" i="12"/>
  <c r="AA43" i="12"/>
  <c r="AB43" i="12"/>
  <c r="AC43" i="12"/>
  <c r="AD43" i="12"/>
  <c r="AE43" i="12"/>
  <c r="W43" i="12"/>
  <c r="X43" i="12"/>
  <c r="Y43" i="12"/>
  <c r="Z43" i="12"/>
  <c r="AB36" i="12"/>
  <c r="AC36" i="12"/>
  <c r="Y36" i="12"/>
  <c r="Z36" i="12"/>
  <c r="AA36" i="12"/>
  <c r="AD36" i="12"/>
  <c r="AE36" i="12"/>
  <c r="X36" i="12"/>
  <c r="W36" i="12"/>
  <c r="AE67" i="12"/>
  <c r="AC67" i="12"/>
  <c r="AD67" i="12"/>
  <c r="AB67" i="12"/>
  <c r="W67" i="12"/>
  <c r="X67" i="12"/>
  <c r="Y67" i="12"/>
  <c r="Z67" i="12"/>
  <c r="AA67" i="12"/>
  <c r="AD18" i="12"/>
  <c r="Z18" i="12"/>
  <c r="AA18" i="12"/>
  <c r="AB18" i="12"/>
  <c r="AC18" i="12"/>
  <c r="AE18" i="12"/>
  <c r="W18" i="12"/>
  <c r="X18" i="12"/>
  <c r="Y18" i="12"/>
  <c r="AE13" i="12"/>
  <c r="X13" i="12"/>
  <c r="Z13" i="12"/>
  <c r="AA13" i="12"/>
  <c r="AB13" i="12"/>
  <c r="AC13" i="12"/>
  <c r="Y13" i="12"/>
  <c r="W13" i="12"/>
  <c r="AD13" i="12"/>
  <c r="AB81" i="12"/>
  <c r="Y81" i="12"/>
  <c r="AC81" i="12"/>
  <c r="AD81" i="12"/>
  <c r="Z81" i="12"/>
  <c r="AA81" i="12"/>
  <c r="AE81" i="12"/>
  <c r="W81" i="12"/>
  <c r="X81" i="12"/>
  <c r="AA27" i="12"/>
  <c r="AB27" i="12"/>
  <c r="AC27" i="12"/>
  <c r="AD27" i="12"/>
  <c r="AE27" i="12"/>
  <c r="Y27" i="12"/>
  <c r="Z27" i="12"/>
  <c r="W27" i="12"/>
  <c r="X27" i="12"/>
  <c r="W73" i="12"/>
  <c r="X73" i="12"/>
  <c r="Y73" i="12"/>
  <c r="Z73" i="12"/>
  <c r="AA73" i="12"/>
  <c r="AB73" i="12"/>
  <c r="AC73" i="12"/>
  <c r="AE73" i="12"/>
  <c r="AD73" i="12"/>
  <c r="AE29" i="12"/>
  <c r="AB29" i="12"/>
  <c r="AC29" i="12"/>
  <c r="Y29" i="12"/>
  <c r="X29" i="12"/>
  <c r="Z29" i="12"/>
  <c r="W29" i="12"/>
  <c r="AD29" i="12"/>
  <c r="AA29" i="12"/>
  <c r="AB17" i="12"/>
  <c r="Z17" i="12"/>
  <c r="AC17" i="12"/>
  <c r="AD17" i="12"/>
  <c r="W17" i="12"/>
  <c r="X17" i="12"/>
  <c r="AE17" i="12"/>
  <c r="Y17" i="12"/>
  <c r="AA17" i="12"/>
  <c r="W53" i="12"/>
  <c r="X53" i="12"/>
  <c r="Y53" i="12"/>
  <c r="AC53" i="12"/>
  <c r="AE53" i="12"/>
  <c r="AB53" i="12"/>
  <c r="AD53" i="12"/>
  <c r="Z53" i="12"/>
  <c r="AA53" i="12"/>
  <c r="W25" i="12"/>
  <c r="X25" i="12"/>
  <c r="Y25" i="12"/>
  <c r="Z25" i="12"/>
  <c r="AA25" i="12"/>
  <c r="AB25" i="12"/>
  <c r="AC25" i="12"/>
  <c r="AD25" i="12"/>
  <c r="AE25" i="12"/>
  <c r="X31" i="12"/>
  <c r="W31" i="12"/>
  <c r="Y31" i="12"/>
  <c r="AD31" i="12"/>
  <c r="AE31" i="12"/>
  <c r="Z31" i="12"/>
  <c r="AA31" i="12"/>
  <c r="AB31" i="12"/>
  <c r="AC31" i="12"/>
  <c r="W39" i="12"/>
  <c r="X39" i="12"/>
  <c r="Y39" i="12"/>
  <c r="AD39" i="12"/>
  <c r="AE39" i="12"/>
  <c r="Z39" i="12"/>
  <c r="AA39" i="12"/>
  <c r="AB39" i="12"/>
  <c r="AC39" i="12"/>
  <c r="AD85" i="12"/>
  <c r="W85" i="12"/>
  <c r="X85" i="12"/>
  <c r="Y85" i="12"/>
  <c r="Z85" i="12"/>
  <c r="AA85" i="12"/>
  <c r="AB85" i="12"/>
  <c r="AC85" i="12"/>
  <c r="AE85" i="12"/>
  <c r="Y26" i="12"/>
  <c r="Z26" i="12"/>
  <c r="AA26" i="12"/>
  <c r="AB26" i="12"/>
  <c r="AC26" i="12"/>
  <c r="AD26" i="12"/>
  <c r="AE26" i="12"/>
  <c r="W26" i="12"/>
  <c r="X26" i="12"/>
  <c r="Z32" i="12"/>
  <c r="W32" i="12"/>
  <c r="AE32" i="12"/>
  <c r="AC32" i="12"/>
  <c r="AD32" i="12"/>
  <c r="AB32" i="12"/>
  <c r="X32" i="12"/>
  <c r="Y32" i="12"/>
  <c r="AA32" i="12"/>
  <c r="AC44" i="12"/>
  <c r="AD44" i="12"/>
  <c r="AE44" i="12"/>
  <c r="Z44" i="12"/>
  <c r="AA44" i="12"/>
  <c r="AB44" i="12"/>
  <c r="Y44" i="12"/>
  <c r="W44" i="12"/>
  <c r="X44" i="12"/>
  <c r="AA59" i="12"/>
  <c r="AB59" i="12"/>
  <c r="AC59" i="12"/>
  <c r="AD59" i="12"/>
  <c r="AE59" i="12"/>
  <c r="Y59" i="12"/>
  <c r="X59" i="12"/>
  <c r="Z59" i="12"/>
  <c r="W59" i="12"/>
  <c r="W37" i="12"/>
  <c r="X37" i="12"/>
  <c r="Y37" i="12"/>
  <c r="Z37" i="12"/>
  <c r="AA37" i="12"/>
  <c r="AB37" i="12"/>
  <c r="AC37" i="12"/>
  <c r="AD37" i="12"/>
  <c r="AE37" i="12"/>
  <c r="W78" i="12"/>
  <c r="X78" i="12"/>
  <c r="Y78" i="12"/>
  <c r="AE78" i="12"/>
  <c r="AA78" i="12"/>
  <c r="Z78" i="12"/>
  <c r="AB78" i="12"/>
  <c r="AC78" i="12"/>
  <c r="AD78" i="12"/>
  <c r="Y58" i="12"/>
  <c r="Z58" i="12"/>
  <c r="AA58" i="12"/>
  <c r="AB58" i="12"/>
  <c r="AC58" i="12"/>
  <c r="AD58" i="12"/>
  <c r="AE58" i="12"/>
  <c r="W58" i="12"/>
  <c r="X58" i="12"/>
  <c r="Z16" i="12"/>
  <c r="W16" i="12"/>
  <c r="X16" i="12"/>
  <c r="Y16" i="12"/>
  <c r="AD16" i="12"/>
  <c r="AE16" i="12"/>
  <c r="AA16" i="12"/>
  <c r="AB16" i="12"/>
  <c r="AC16" i="12"/>
  <c r="AD66" i="12"/>
  <c r="AA66" i="12"/>
  <c r="W66" i="12"/>
  <c r="X66" i="12"/>
  <c r="AE66" i="12"/>
  <c r="Y66" i="12"/>
  <c r="Z66" i="12"/>
  <c r="AB66" i="12"/>
  <c r="AC66" i="12"/>
  <c r="W70" i="12"/>
  <c r="AC70" i="12"/>
  <c r="AD70" i="12"/>
  <c r="X70" i="12"/>
  <c r="Y70" i="12"/>
  <c r="Z70" i="12"/>
  <c r="AA70" i="12"/>
  <c r="AE70" i="12"/>
  <c r="AB70" i="12"/>
  <c r="AD82" i="12"/>
  <c r="X82" i="12"/>
  <c r="W82" i="12"/>
  <c r="Y82" i="12"/>
  <c r="Z82" i="12"/>
  <c r="AA82" i="12"/>
  <c r="AB82" i="12"/>
  <c r="AC82" i="12"/>
  <c r="AE82" i="12"/>
  <c r="Z49" i="12"/>
  <c r="Y49" i="12"/>
  <c r="AD21" i="12"/>
  <c r="AE21" i="12"/>
  <c r="X21" i="12"/>
  <c r="Y21" i="12"/>
  <c r="Z21" i="12"/>
  <c r="AA21" i="12"/>
  <c r="AB21" i="12"/>
  <c r="AC21" i="12"/>
  <c r="W21" i="12"/>
  <c r="W56" i="12"/>
  <c r="X56" i="12"/>
  <c r="Y56" i="12"/>
  <c r="Z56" i="12"/>
  <c r="AA56" i="12"/>
  <c r="AB56" i="12"/>
  <c r="AC56" i="12"/>
  <c r="AE56" i="12"/>
  <c r="AD56" i="12"/>
  <c r="AE64" i="12"/>
  <c r="W71" i="12"/>
  <c r="X71" i="12"/>
  <c r="Y71" i="12"/>
  <c r="AE71" i="12"/>
  <c r="Z71" i="12"/>
  <c r="AB71" i="12"/>
  <c r="AA71" i="12"/>
  <c r="AC71" i="12"/>
  <c r="AD71" i="12"/>
  <c r="AC76" i="12"/>
  <c r="AD76" i="12"/>
  <c r="AE76" i="12"/>
  <c r="W76" i="12"/>
  <c r="AB76" i="12"/>
  <c r="X76" i="12"/>
  <c r="Y76" i="12"/>
  <c r="Z76" i="12"/>
  <c r="AA76" i="12"/>
  <c r="Z20" i="12"/>
  <c r="AA20" i="12"/>
  <c r="W20" i="12"/>
  <c r="X20" i="12"/>
  <c r="Y20" i="12"/>
  <c r="AB20" i="12"/>
  <c r="AC20" i="12"/>
  <c r="AD20" i="12"/>
  <c r="AE20" i="12"/>
  <c r="Z34" i="12"/>
  <c r="AE14" i="12"/>
  <c r="W14" i="12"/>
  <c r="X14" i="12"/>
  <c r="Y14" i="12"/>
  <c r="Z14" i="12"/>
  <c r="AA14" i="12"/>
  <c r="AB14" i="12"/>
  <c r="AC14" i="12"/>
  <c r="AD14" i="12"/>
  <c r="W38" i="12"/>
  <c r="AD38" i="12"/>
  <c r="AE38" i="12"/>
  <c r="AC38" i="12"/>
  <c r="X38" i="12"/>
  <c r="Y38" i="12"/>
  <c r="Z38" i="12"/>
  <c r="AA38" i="12"/>
  <c r="AB38" i="12"/>
  <c r="AD15" i="12"/>
  <c r="W41" i="12"/>
  <c r="X41" i="12"/>
  <c r="Y41" i="12"/>
  <c r="Z41" i="12"/>
  <c r="AA41" i="12"/>
  <c r="AB41" i="12"/>
  <c r="AC41" i="12"/>
  <c r="AD41" i="12"/>
  <c r="AE41" i="12"/>
  <c r="W68" i="12"/>
  <c r="X68" i="12"/>
  <c r="Y68" i="12"/>
  <c r="Z68" i="12"/>
  <c r="AA68" i="12"/>
  <c r="AB68" i="12"/>
  <c r="AC68" i="12"/>
  <c r="AD68" i="12"/>
  <c r="AE68" i="12"/>
  <c r="AE45" i="12"/>
  <c r="X45" i="12"/>
  <c r="Y45" i="12"/>
  <c r="Z45" i="12"/>
  <c r="AA45" i="12"/>
  <c r="AB45" i="12"/>
  <c r="W45" i="12"/>
  <c r="AC45" i="12"/>
  <c r="AD45" i="12"/>
  <c r="Y15" i="12"/>
  <c r="W15" i="12"/>
  <c r="W57" i="12"/>
  <c r="X57" i="12"/>
  <c r="Y57" i="12"/>
  <c r="Z57" i="12"/>
  <c r="AA57" i="12"/>
  <c r="AB57" i="12"/>
  <c r="AC57" i="12"/>
  <c r="AD57" i="12"/>
  <c r="AE57" i="12"/>
  <c r="AE51" i="12"/>
  <c r="Y51" i="12"/>
  <c r="Z51" i="12"/>
  <c r="AA51" i="12"/>
  <c r="AB51" i="12"/>
  <c r="AC51" i="12"/>
  <c r="AD51" i="12"/>
  <c r="X51" i="12"/>
  <c r="W51" i="12"/>
  <c r="Y34" i="12"/>
  <c r="W72" i="12"/>
  <c r="X72" i="12"/>
  <c r="Y72" i="12"/>
  <c r="Z72" i="12"/>
  <c r="AA72" i="12"/>
  <c r="AB72" i="12"/>
  <c r="AC72" i="12"/>
  <c r="AD72" i="12"/>
  <c r="AE72" i="12"/>
  <c r="X63" i="12"/>
  <c r="AB63" i="12"/>
  <c r="AC63" i="12"/>
  <c r="W63" i="12"/>
  <c r="Y63" i="12"/>
  <c r="Z63" i="12"/>
  <c r="AA63" i="12"/>
  <c r="AD63" i="12"/>
  <c r="AE63" i="12"/>
  <c r="AC15" i="12"/>
  <c r="AA62" i="12"/>
  <c r="W62" i="12"/>
  <c r="X62" i="12"/>
  <c r="Y62" i="12"/>
  <c r="Z62" i="12"/>
  <c r="AB62" i="12"/>
  <c r="AC62" i="12"/>
  <c r="AD62" i="12"/>
  <c r="AE62" i="12"/>
  <c r="X69" i="12"/>
  <c r="Y69" i="12"/>
  <c r="AD69" i="12"/>
  <c r="W69" i="12"/>
  <c r="AB69" i="12"/>
  <c r="AC69" i="12"/>
  <c r="Z69" i="12"/>
  <c r="AA69" i="12"/>
  <c r="AE69" i="12"/>
  <c r="AC28" i="12"/>
  <c r="AD28" i="12"/>
  <c r="AE28" i="12"/>
  <c r="W28" i="12"/>
  <c r="X28" i="12"/>
  <c r="AA28" i="12"/>
  <c r="AB28" i="12"/>
  <c r="Y28" i="12"/>
  <c r="Z28" i="12"/>
  <c r="AA49" i="12"/>
  <c r="W55" i="12"/>
  <c r="X55" i="12"/>
  <c r="Y55" i="12"/>
  <c r="AB55" i="12"/>
  <c r="AC55" i="12"/>
  <c r="AD55" i="12"/>
  <c r="AE55" i="12"/>
  <c r="Z55" i="12"/>
  <c r="AA55" i="12"/>
  <c r="AE61" i="12"/>
  <c r="AB61" i="12"/>
  <c r="AC61" i="12"/>
  <c r="AD61" i="12"/>
  <c r="AA61" i="12"/>
  <c r="W61" i="12"/>
  <c r="X61" i="12"/>
  <c r="Y61" i="12"/>
  <c r="Z61" i="12"/>
  <c r="AC34" i="12"/>
  <c r="W23" i="12"/>
  <c r="X23" i="12"/>
  <c r="Y23" i="12"/>
  <c r="Z23" i="12"/>
  <c r="AA23" i="12"/>
  <c r="AB23" i="12"/>
  <c r="AC23" i="12"/>
  <c r="AE23" i="12"/>
  <c r="AD23" i="12"/>
  <c r="AB34" i="12"/>
  <c r="X34" i="12"/>
  <c r="W30" i="12"/>
  <c r="X30" i="12"/>
  <c r="Y30" i="12"/>
  <c r="Z30" i="12"/>
  <c r="AA30" i="12"/>
  <c r="AD30" i="12"/>
  <c r="AE30" i="12"/>
  <c r="AB30" i="12"/>
  <c r="AC30" i="12"/>
  <c r="AC60" i="12"/>
  <c r="AD60" i="12"/>
  <c r="AE60" i="12"/>
  <c r="W60" i="12"/>
  <c r="X60" i="12"/>
  <c r="Y60" i="12"/>
  <c r="Z60" i="12"/>
  <c r="AA60" i="12"/>
  <c r="AB60" i="12"/>
  <c r="AB65" i="12"/>
  <c r="AA65" i="12"/>
  <c r="AC65" i="12"/>
  <c r="AD65" i="12"/>
  <c r="AE65" i="12"/>
  <c r="W65" i="12"/>
  <c r="X65" i="12"/>
  <c r="Y65" i="12"/>
  <c r="Z65" i="12"/>
  <c r="AB15" i="12"/>
  <c r="AB64" i="12"/>
  <c r="Y74" i="12"/>
  <c r="Z74" i="12"/>
  <c r="AA74" i="12"/>
  <c r="AB74" i="12"/>
  <c r="AC74" i="12"/>
  <c r="AD74" i="12"/>
  <c r="AE74" i="12"/>
  <c r="W74" i="12"/>
  <c r="X74" i="12"/>
  <c r="Y64" i="12"/>
  <c r="AB33" i="12"/>
  <c r="AE33" i="12"/>
  <c r="W33" i="12"/>
  <c r="Z33" i="12"/>
  <c r="AA33" i="12"/>
  <c r="AC33" i="12"/>
  <c r="AD33" i="12"/>
  <c r="X33" i="12"/>
  <c r="Y33" i="12"/>
  <c r="W64" i="12"/>
  <c r="AE34" i="12"/>
  <c r="Z48" i="12"/>
  <c r="AC48" i="12"/>
  <c r="AD48" i="12"/>
  <c r="AE48" i="12"/>
  <c r="X48" i="12"/>
  <c r="AA48" i="12"/>
  <c r="AB48" i="12"/>
  <c r="Y48" i="12"/>
  <c r="W48" i="12"/>
  <c r="W40" i="12"/>
  <c r="X40" i="12"/>
  <c r="Y40" i="12"/>
  <c r="Z40" i="12"/>
  <c r="AA40" i="12"/>
  <c r="AB40" i="12"/>
  <c r="AC40" i="12"/>
  <c r="AD40" i="12"/>
  <c r="AE40" i="12"/>
  <c r="W24" i="12"/>
  <c r="X24" i="12"/>
  <c r="Y24" i="12"/>
  <c r="Z24" i="12"/>
  <c r="AA24" i="12"/>
  <c r="AD24" i="12"/>
  <c r="AE24" i="12"/>
  <c r="AB24" i="12"/>
  <c r="AC24" i="12"/>
  <c r="X79" i="12"/>
  <c r="Z79" i="12"/>
  <c r="AA79" i="12"/>
  <c r="AB79" i="12"/>
  <c r="AC79" i="12"/>
  <c r="AE79" i="12"/>
  <c r="AD79" i="12"/>
  <c r="W79" i="12"/>
  <c r="Y79" i="12"/>
  <c r="AD50" i="12"/>
  <c r="W50" i="12"/>
  <c r="AA50" i="12"/>
  <c r="AB50" i="12"/>
  <c r="Y50" i="12"/>
  <c r="Z50" i="12"/>
  <c r="X50" i="12"/>
  <c r="AC50" i="12"/>
  <c r="AE50" i="12"/>
  <c r="AE15" i="12"/>
  <c r="W34" i="12"/>
  <c r="W22" i="12"/>
  <c r="Z22" i="12"/>
  <c r="AA22" i="12"/>
  <c r="Y22" i="12"/>
  <c r="AB22" i="12"/>
  <c r="AC22" i="12"/>
  <c r="AD22" i="12"/>
  <c r="AE22" i="12"/>
  <c r="X22" i="12"/>
  <c r="AA15" i="12"/>
  <c r="Y52" i="12"/>
  <c r="X52" i="12"/>
  <c r="Z52" i="12"/>
  <c r="W52" i="12"/>
  <c r="AB52" i="12"/>
  <c r="AC52" i="12"/>
  <c r="AD52" i="12"/>
  <c r="AE52" i="12"/>
  <c r="AA52" i="12"/>
  <c r="AE77" i="12"/>
  <c r="AB77" i="12"/>
  <c r="AC77" i="12"/>
  <c r="AD77" i="12"/>
  <c r="W77" i="12"/>
  <c r="AA77" i="12"/>
  <c r="X77" i="12"/>
  <c r="Y77" i="12"/>
  <c r="Z77" i="12"/>
  <c r="AA34" i="12"/>
  <c r="Z80" i="12"/>
  <c r="Y80" i="12"/>
  <c r="AA80" i="12"/>
  <c r="AB80" i="12"/>
  <c r="AC80" i="12"/>
  <c r="AD80" i="12"/>
  <c r="AE80" i="12"/>
  <c r="W80" i="12"/>
  <c r="X80" i="12"/>
  <c r="Y35" i="12"/>
  <c r="Z35" i="12"/>
  <c r="AE35" i="12"/>
  <c r="W35" i="12"/>
  <c r="X35" i="12"/>
  <c r="AA35" i="12"/>
  <c r="AB35" i="12"/>
  <c r="AC35" i="12"/>
  <c r="AD35" i="12"/>
  <c r="Z15" i="12"/>
  <c r="AC12" i="12"/>
  <c r="AD12" i="12"/>
  <c r="AE12" i="12"/>
  <c r="AA12" i="12"/>
  <c r="AB12" i="12"/>
  <c r="W12" i="12"/>
  <c r="X12" i="12"/>
  <c r="Y12" i="12"/>
  <c r="Z12" i="12"/>
  <c r="AD83" i="12"/>
  <c r="AE83" i="12"/>
  <c r="Y83" i="12"/>
  <c r="Z83" i="12"/>
  <c r="AA83" i="12"/>
  <c r="AB83" i="12"/>
  <c r="AC83" i="12"/>
  <c r="W83" i="12"/>
  <c r="X83" i="12"/>
  <c r="AA46" i="12"/>
  <c r="AB46" i="12"/>
  <c r="Z46" i="12"/>
  <c r="AC46" i="12"/>
  <c r="Y46" i="12"/>
  <c r="AD46" i="12"/>
  <c r="W46" i="12"/>
  <c r="X46" i="12"/>
  <c r="AE46" i="12"/>
  <c r="X19" i="12"/>
  <c r="Y19" i="12"/>
  <c r="W19" i="12"/>
  <c r="Z19" i="12"/>
  <c r="AA19" i="12"/>
  <c r="AB19" i="12"/>
  <c r="AC19" i="12"/>
  <c r="AE19" i="12"/>
  <c r="AD19" i="12"/>
  <c r="Y84" i="12"/>
  <c r="X84" i="12"/>
  <c r="AB84" i="12"/>
  <c r="AA84" i="12"/>
  <c r="W84" i="12"/>
  <c r="AC84" i="12"/>
  <c r="Z84" i="12"/>
  <c r="AD84" i="12"/>
  <c r="AE84" i="12"/>
  <c r="W54" i="12"/>
  <c r="AB54" i="12"/>
  <c r="AC54" i="12"/>
  <c r="Y54" i="12"/>
  <c r="Z54" i="12"/>
  <c r="AA54" i="12"/>
  <c r="AD54" i="12"/>
  <c r="AE54" i="12"/>
  <c r="X54" i="12"/>
  <c r="Y42" i="12"/>
  <c r="Z42" i="12"/>
  <c r="AA42" i="12"/>
  <c r="AB42" i="12"/>
  <c r="AC42" i="12"/>
  <c r="AD42" i="12"/>
  <c r="AE42" i="12"/>
  <c r="W42" i="12"/>
  <c r="X42" i="12"/>
  <c r="W49" i="12"/>
  <c r="X47" i="12"/>
  <c r="AD47" i="12"/>
  <c r="AE47" i="12"/>
  <c r="W47" i="12"/>
  <c r="Y47" i="12"/>
  <c r="Z47" i="12"/>
  <c r="AA47" i="12"/>
  <c r="AB47" i="12"/>
  <c r="AC47" i="12"/>
  <c r="X64" i="12"/>
  <c r="AA11" i="12"/>
  <c r="AB11" i="12"/>
  <c r="AC11" i="12"/>
  <c r="AD11" i="12"/>
  <c r="AE11" i="12"/>
  <c r="W11" i="12"/>
  <c r="X11" i="12"/>
  <c r="Y11" i="12"/>
  <c r="Z11" i="12"/>
  <c r="AA75" i="12"/>
  <c r="AB75" i="12"/>
  <c r="AC75" i="12"/>
  <c r="AD75" i="12"/>
  <c r="AE75" i="12"/>
  <c r="Z75" i="12"/>
  <c r="Y75" i="12"/>
  <c r="W75" i="12"/>
  <c r="X75" i="12"/>
  <c r="W26" i="11"/>
  <c r="Y19" i="11"/>
  <c r="Z58" i="11"/>
  <c r="AB74" i="11"/>
  <c r="AC83" i="11"/>
  <c r="AB82" i="11"/>
  <c r="Y58" i="11"/>
  <c r="W67" i="11"/>
  <c r="Y42" i="11"/>
  <c r="Z16" i="11"/>
  <c r="W58" i="11"/>
  <c r="AA82" i="11"/>
  <c r="AC35" i="11"/>
  <c r="Y16" i="11"/>
  <c r="AA34" i="11"/>
  <c r="AC26" i="11"/>
  <c r="Z26" i="11"/>
  <c r="Y26" i="11"/>
  <c r="AD34" i="11"/>
  <c r="AE82" i="11"/>
  <c r="AC67" i="11"/>
  <c r="AE58" i="11"/>
  <c r="X19" i="11"/>
  <c r="AA50" i="11"/>
  <c r="AE34" i="11"/>
  <c r="W19" i="11"/>
  <c r="Z34" i="11"/>
  <c r="AC19" i="11"/>
  <c r="AD82" i="11"/>
  <c r="X82" i="11"/>
  <c r="AB35" i="11"/>
  <c r="AE13" i="11"/>
  <c r="AB13" i="11"/>
  <c r="AC13" i="11"/>
  <c r="W13" i="11"/>
  <c r="X13" i="11"/>
  <c r="Y13" i="11"/>
  <c r="Z13" i="11"/>
  <c r="AD13" i="11"/>
  <c r="AA13" i="11"/>
  <c r="Z54" i="11"/>
  <c r="X54" i="11"/>
  <c r="Y54" i="11"/>
  <c r="AA54" i="11"/>
  <c r="AB54" i="11"/>
  <c r="AC54" i="11"/>
  <c r="AE54" i="11"/>
  <c r="W54" i="11"/>
  <c r="AD54" i="11"/>
  <c r="Y33" i="11"/>
  <c r="X33" i="11"/>
  <c r="AC33" i="11"/>
  <c r="AD33" i="11"/>
  <c r="W33" i="11"/>
  <c r="Z33" i="11"/>
  <c r="AA33" i="11"/>
  <c r="AB33" i="11"/>
  <c r="AE33" i="11"/>
  <c r="Y74" i="11"/>
  <c r="Y81" i="11"/>
  <c r="X81" i="11"/>
  <c r="AC81" i="11"/>
  <c r="AE81" i="11"/>
  <c r="AD81" i="11"/>
  <c r="W81" i="11"/>
  <c r="Z81" i="11"/>
  <c r="AA81" i="11"/>
  <c r="AB81" i="11"/>
  <c r="AE36" i="11"/>
  <c r="Z36" i="11"/>
  <c r="AA36" i="11"/>
  <c r="AB36" i="11"/>
  <c r="AC36" i="11"/>
  <c r="AD36" i="11"/>
  <c r="Y36" i="11"/>
  <c r="W36" i="11"/>
  <c r="X36" i="11"/>
  <c r="AB58" i="11"/>
  <c r="X50" i="11"/>
  <c r="AA11" i="11"/>
  <c r="AC11" i="11"/>
  <c r="Y11" i="11"/>
  <c r="Z11" i="11"/>
  <c r="AB11" i="11"/>
  <c r="W11" i="11"/>
  <c r="X11" i="11"/>
  <c r="AD11" i="11"/>
  <c r="AE11" i="11"/>
  <c r="AE61" i="11"/>
  <c r="Z61" i="11"/>
  <c r="AB61" i="11"/>
  <c r="AC61" i="11"/>
  <c r="AD61" i="11"/>
  <c r="Y61" i="11"/>
  <c r="AA61" i="11"/>
  <c r="W61" i="11"/>
  <c r="X61" i="11"/>
  <c r="AE52" i="11"/>
  <c r="AC52" i="11"/>
  <c r="AD52" i="11"/>
  <c r="W52" i="11"/>
  <c r="X52" i="11"/>
  <c r="Y52" i="11"/>
  <c r="Z52" i="11"/>
  <c r="AA52" i="11"/>
  <c r="AB52" i="11"/>
  <c r="W50" i="11"/>
  <c r="AA53" i="11"/>
  <c r="AB53" i="11"/>
  <c r="AC53" i="11"/>
  <c r="AD53" i="11"/>
  <c r="AE53" i="11"/>
  <c r="W53" i="11"/>
  <c r="X53" i="11"/>
  <c r="Y53" i="11"/>
  <c r="Z53" i="11"/>
  <c r="Y23" i="11"/>
  <c r="AA23" i="11"/>
  <c r="W23" i="11"/>
  <c r="X23" i="11"/>
  <c r="Z23" i="11"/>
  <c r="AE23" i="11"/>
  <c r="AB23" i="11"/>
  <c r="AC23" i="11"/>
  <c r="AD23" i="11"/>
  <c r="X58" i="11"/>
  <c r="Y10" i="11"/>
  <c r="AA10" i="11"/>
  <c r="AC10" i="11"/>
  <c r="AE10" i="11"/>
  <c r="X10" i="11"/>
  <c r="AB10" i="11"/>
  <c r="AD10" i="11"/>
  <c r="Z10" i="11"/>
  <c r="W10" i="11"/>
  <c r="AD50" i="11"/>
  <c r="Y49" i="11"/>
  <c r="W49" i="11"/>
  <c r="X49" i="11"/>
  <c r="Z49" i="11"/>
  <c r="AA49" i="11"/>
  <c r="AB49" i="11"/>
  <c r="AC49" i="11"/>
  <c r="AD49" i="11"/>
  <c r="AE49" i="11"/>
  <c r="Z47" i="11"/>
  <c r="AB47" i="11"/>
  <c r="AC47" i="11"/>
  <c r="W47" i="11"/>
  <c r="X47" i="11"/>
  <c r="Y47" i="11"/>
  <c r="AA47" i="11"/>
  <c r="AD47" i="11"/>
  <c r="AE47" i="11"/>
  <c r="AE20" i="11"/>
  <c r="AB20" i="11"/>
  <c r="AC20" i="11"/>
  <c r="W20" i="11"/>
  <c r="X20" i="11"/>
  <c r="Y20" i="11"/>
  <c r="Z20" i="11"/>
  <c r="AD20" i="11"/>
  <c r="AA20" i="11"/>
  <c r="AC50" i="11"/>
  <c r="W32" i="11"/>
  <c r="AD32" i="11"/>
  <c r="AE32" i="11"/>
  <c r="X32" i="11"/>
  <c r="Y32" i="11"/>
  <c r="Z32" i="11"/>
  <c r="AA32" i="11"/>
  <c r="AB32" i="11"/>
  <c r="AC32" i="11"/>
  <c r="W40" i="11"/>
  <c r="Z40" i="11"/>
  <c r="AA40" i="11"/>
  <c r="AB40" i="11"/>
  <c r="AC40" i="11"/>
  <c r="AD40" i="11"/>
  <c r="AE40" i="11"/>
  <c r="Y40" i="11"/>
  <c r="X40" i="11"/>
  <c r="AC58" i="11"/>
  <c r="AE67" i="11"/>
  <c r="AB50" i="11"/>
  <c r="AA58" i="11"/>
  <c r="AD35" i="11"/>
  <c r="Z67" i="11"/>
  <c r="Z50" i="11"/>
  <c r="AC44" i="11"/>
  <c r="AE44" i="11"/>
  <c r="Y44" i="11"/>
  <c r="AA44" i="11"/>
  <c r="W44" i="11"/>
  <c r="AB44" i="11"/>
  <c r="X44" i="11"/>
  <c r="Z44" i="11"/>
  <c r="AD44" i="11"/>
  <c r="AE14" i="11"/>
  <c r="X14" i="11"/>
  <c r="Y14" i="11"/>
  <c r="Z14" i="11"/>
  <c r="AC14" i="11"/>
  <c r="AD14" i="11"/>
  <c r="AA14" i="11"/>
  <c r="AB14" i="11"/>
  <c r="W14" i="11"/>
  <c r="X79" i="11"/>
  <c r="Y79" i="11"/>
  <c r="AC79" i="11"/>
  <c r="AD79" i="11"/>
  <c r="AE79" i="11"/>
  <c r="Z79" i="11"/>
  <c r="AB79" i="11"/>
  <c r="AA79" i="11"/>
  <c r="W79" i="11"/>
  <c r="W41" i="11"/>
  <c r="Y41" i="11"/>
  <c r="AD41" i="11"/>
  <c r="X41" i="11"/>
  <c r="Z41" i="11"/>
  <c r="AA41" i="11"/>
  <c r="AB41" i="11"/>
  <c r="AC41" i="11"/>
  <c r="AE41" i="11"/>
  <c r="W64" i="11"/>
  <c r="Y64" i="11"/>
  <c r="X64" i="11"/>
  <c r="Z64" i="11"/>
  <c r="AA64" i="11"/>
  <c r="AB64" i="11"/>
  <c r="AC64" i="11"/>
  <c r="AD64" i="11"/>
  <c r="AE64" i="11"/>
  <c r="AE62" i="11"/>
  <c r="AA62" i="11"/>
  <c r="AB62" i="11"/>
  <c r="W62" i="11"/>
  <c r="X62" i="11"/>
  <c r="AC62" i="11"/>
  <c r="Y62" i="11"/>
  <c r="Z62" i="11"/>
  <c r="AD62" i="11"/>
  <c r="Y67" i="11"/>
  <c r="Y50" i="11"/>
  <c r="AD19" i="11"/>
  <c r="Z35" i="11"/>
  <c r="AD67" i="11"/>
  <c r="AE50" i="11"/>
  <c r="W85" i="11"/>
  <c r="X85" i="11"/>
  <c r="Y85" i="11"/>
  <c r="Z85" i="11"/>
  <c r="AA85" i="11"/>
  <c r="AB85" i="11"/>
  <c r="AC85" i="11"/>
  <c r="AD85" i="11"/>
  <c r="AE85" i="11"/>
  <c r="AE84" i="11"/>
  <c r="AB84" i="11"/>
  <c r="AC84" i="11"/>
  <c r="AD84" i="11"/>
  <c r="W84" i="11"/>
  <c r="X84" i="11"/>
  <c r="Y84" i="11"/>
  <c r="Z84" i="11"/>
  <c r="AA84" i="11"/>
  <c r="AE19" i="11"/>
  <c r="Y35" i="11"/>
  <c r="AB67" i="11"/>
  <c r="AB19" i="11"/>
  <c r="AA35" i="11"/>
  <c r="AA67" i="11"/>
  <c r="Y37" i="11"/>
  <c r="AA37" i="11"/>
  <c r="W37" i="11"/>
  <c r="X37" i="11"/>
  <c r="AB37" i="11"/>
  <c r="Z37" i="11"/>
  <c r="AC37" i="11"/>
  <c r="AD37" i="11"/>
  <c r="AE37" i="11"/>
  <c r="AE70" i="11"/>
  <c r="Y70" i="11"/>
  <c r="W70" i="11"/>
  <c r="X70" i="11"/>
  <c r="AB70" i="11"/>
  <c r="AC70" i="11"/>
  <c r="AD70" i="11"/>
  <c r="Z70" i="11"/>
  <c r="AA70" i="11"/>
  <c r="AE55" i="11"/>
  <c r="X55" i="11"/>
  <c r="Y55" i="11"/>
  <c r="Z55" i="11"/>
  <c r="AA55" i="11"/>
  <c r="W55" i="11"/>
  <c r="AB55" i="11"/>
  <c r="AC55" i="11"/>
  <c r="AD55" i="11"/>
  <c r="Z19" i="11"/>
  <c r="X35" i="11"/>
  <c r="X67" i="11"/>
  <c r="W48" i="11"/>
  <c r="AE48" i="11"/>
  <c r="X48" i="11"/>
  <c r="AA48" i="11"/>
  <c r="AB48" i="11"/>
  <c r="AC48" i="11"/>
  <c r="AD48" i="11"/>
  <c r="Y48" i="11"/>
  <c r="Z48" i="11"/>
  <c r="W56" i="11"/>
  <c r="X56" i="11"/>
  <c r="Y56" i="11"/>
  <c r="Z56" i="11"/>
  <c r="AA56" i="11"/>
  <c r="AB56" i="11"/>
  <c r="AC56" i="11"/>
  <c r="AD56" i="11"/>
  <c r="AE56" i="11"/>
  <c r="AA19" i="11"/>
  <c r="W35" i="11"/>
  <c r="AD31" i="11"/>
  <c r="AC31" i="11"/>
  <c r="AE31" i="11"/>
  <c r="W31" i="11"/>
  <c r="X31" i="11"/>
  <c r="Y31" i="11"/>
  <c r="Z31" i="11"/>
  <c r="AA31" i="11"/>
  <c r="AB31" i="11"/>
  <c r="W24" i="11"/>
  <c r="AD24" i="11"/>
  <c r="AE24" i="11"/>
  <c r="X24" i="11"/>
  <c r="Y24" i="11"/>
  <c r="Z24" i="11"/>
  <c r="AA24" i="11"/>
  <c r="AB24" i="11"/>
  <c r="AC24" i="11"/>
  <c r="W25" i="11"/>
  <c r="Y25" i="11"/>
  <c r="AC25" i="11"/>
  <c r="AD25" i="11"/>
  <c r="AE25" i="11"/>
  <c r="X25" i="11"/>
  <c r="Z25" i="11"/>
  <c r="AA25" i="11"/>
  <c r="AB25" i="11"/>
  <c r="AE16" i="11"/>
  <c r="AD16" i="11"/>
  <c r="AE77" i="11"/>
  <c r="Y77" i="11"/>
  <c r="AA77" i="11"/>
  <c r="AB77" i="11"/>
  <c r="AC77" i="11"/>
  <c r="AD77" i="11"/>
  <c r="W77" i="11"/>
  <c r="X77" i="11"/>
  <c r="Z77" i="11"/>
  <c r="W34" i="11"/>
  <c r="AA43" i="11"/>
  <c r="AC43" i="11"/>
  <c r="Z43" i="11"/>
  <c r="AB43" i="11"/>
  <c r="AD43" i="11"/>
  <c r="AE43" i="11"/>
  <c r="X43" i="11"/>
  <c r="Y43" i="11"/>
  <c r="W43" i="11"/>
  <c r="AA71" i="11"/>
  <c r="AB71" i="11"/>
  <c r="AC71" i="11"/>
  <c r="AD71" i="11"/>
  <c r="AE71" i="11"/>
  <c r="W71" i="11"/>
  <c r="X71" i="11"/>
  <c r="Y71" i="11"/>
  <c r="Z71" i="11"/>
  <c r="W16" i="11"/>
  <c r="Z74" i="11"/>
  <c r="AA59" i="11"/>
  <c r="AC59" i="11"/>
  <c r="W59" i="11"/>
  <c r="X59" i="11"/>
  <c r="Y59" i="11"/>
  <c r="Z59" i="11"/>
  <c r="AB59" i="11"/>
  <c r="AD59" i="11"/>
  <c r="AE59" i="11"/>
  <c r="AE29" i="11"/>
  <c r="AC29" i="11"/>
  <c r="AD29" i="11"/>
  <c r="W29" i="11"/>
  <c r="X29" i="11"/>
  <c r="Y29" i="11"/>
  <c r="Z29" i="11"/>
  <c r="AA29" i="11"/>
  <c r="AB29" i="11"/>
  <c r="X34" i="11"/>
  <c r="AA83" i="11"/>
  <c r="AE42" i="11"/>
  <c r="AC28" i="11"/>
  <c r="AE28" i="11"/>
  <c r="Z28" i="11"/>
  <c r="AA28" i="11"/>
  <c r="W28" i="11"/>
  <c r="AD28" i="11"/>
  <c r="Y28" i="11"/>
  <c r="AB28" i="11"/>
  <c r="X28" i="11"/>
  <c r="X16" i="11"/>
  <c r="AC51" i="11"/>
  <c r="Y51" i="11"/>
  <c r="AA51" i="11"/>
  <c r="W51" i="11"/>
  <c r="X51" i="11"/>
  <c r="AD51" i="11"/>
  <c r="AE51" i="11"/>
  <c r="Z51" i="11"/>
  <c r="AB51" i="11"/>
  <c r="AD26" i="11"/>
  <c r="W63" i="11"/>
  <c r="X63" i="11"/>
  <c r="AB63" i="11"/>
  <c r="AC63" i="11"/>
  <c r="AD63" i="11"/>
  <c r="AE63" i="11"/>
  <c r="Y63" i="11"/>
  <c r="AA63" i="11"/>
  <c r="Z63" i="11"/>
  <c r="AC46" i="11"/>
  <c r="AD46" i="11"/>
  <c r="AE46" i="11"/>
  <c r="W46" i="11"/>
  <c r="X46" i="11"/>
  <c r="Y46" i="11"/>
  <c r="Z46" i="11"/>
  <c r="AA46" i="11"/>
  <c r="AB46" i="11"/>
  <c r="AA27" i="11"/>
  <c r="AC27" i="11"/>
  <c r="AD27" i="11"/>
  <c r="W27" i="11"/>
  <c r="X27" i="11"/>
  <c r="Y27" i="11"/>
  <c r="Z27" i="11"/>
  <c r="AB27" i="11"/>
  <c r="AE27" i="11"/>
  <c r="Y34" i="11"/>
  <c r="X74" i="11"/>
  <c r="W39" i="11"/>
  <c r="Y39" i="11"/>
  <c r="Z39" i="11"/>
  <c r="AA39" i="11"/>
  <c r="AB39" i="11"/>
  <c r="AC39" i="11"/>
  <c r="AD39" i="11"/>
  <c r="AE39" i="11"/>
  <c r="X39" i="11"/>
  <c r="AA66" i="11"/>
  <c r="Z66" i="11"/>
  <c r="AC66" i="11"/>
  <c r="AD66" i="11"/>
  <c r="AE66" i="11"/>
  <c r="AB66" i="11"/>
  <c r="W66" i="11"/>
  <c r="X66" i="11"/>
  <c r="Y66" i="11"/>
  <c r="AC34" i="11"/>
  <c r="Y83" i="11"/>
  <c r="W57" i="11"/>
  <c r="Y57" i="11"/>
  <c r="AD57" i="11"/>
  <c r="AE57" i="11"/>
  <c r="X57" i="11"/>
  <c r="Z57" i="11"/>
  <c r="AA57" i="11"/>
  <c r="AB57" i="11"/>
  <c r="AC57" i="11"/>
  <c r="AD42" i="11"/>
  <c r="W74" i="11"/>
  <c r="Y30" i="11"/>
  <c r="AA30" i="11"/>
  <c r="Z30" i="11"/>
  <c r="W30" i="11"/>
  <c r="X30" i="11"/>
  <c r="AD30" i="11"/>
  <c r="AB30" i="11"/>
  <c r="AC30" i="11"/>
  <c r="AE30" i="11"/>
  <c r="Y17" i="11"/>
  <c r="AC17" i="11"/>
  <c r="AE17" i="11"/>
  <c r="W17" i="11"/>
  <c r="X17" i="11"/>
  <c r="Z17" i="11"/>
  <c r="AA17" i="11"/>
  <c r="AB17" i="11"/>
  <c r="AD17" i="11"/>
  <c r="W73" i="11"/>
  <c r="Z73" i="11"/>
  <c r="AB73" i="11"/>
  <c r="AC73" i="11"/>
  <c r="AD73" i="11"/>
  <c r="Y73" i="11"/>
  <c r="X73" i="11"/>
  <c r="AA73" i="11"/>
  <c r="AE73" i="11"/>
  <c r="W83" i="11"/>
  <c r="AC42" i="11"/>
  <c r="W80" i="11"/>
  <c r="AD80" i="11"/>
  <c r="AE80" i="11"/>
  <c r="Z80" i="11"/>
  <c r="X80" i="11"/>
  <c r="Y80" i="11"/>
  <c r="AA80" i="11"/>
  <c r="AB80" i="11"/>
  <c r="AC80" i="11"/>
  <c r="AA18" i="11"/>
  <c r="AD18" i="11"/>
  <c r="AE18" i="11"/>
  <c r="AB18" i="11"/>
  <c r="AC18" i="11"/>
  <c r="Z18" i="11"/>
  <c r="W18" i="11"/>
  <c r="X18" i="11"/>
  <c r="Y18" i="11"/>
  <c r="AB34" i="11"/>
  <c r="AC78" i="11"/>
  <c r="AE78" i="11"/>
  <c r="X78" i="11"/>
  <c r="Y78" i="11"/>
  <c r="Z78" i="11"/>
  <c r="AA78" i="11"/>
  <c r="AB78" i="11"/>
  <c r="AD78" i="11"/>
  <c r="W78" i="11"/>
  <c r="AE74" i="11"/>
  <c r="AC12" i="11"/>
  <c r="AE12" i="11"/>
  <c r="W12" i="11"/>
  <c r="X12" i="11"/>
  <c r="Y12" i="11"/>
  <c r="Z12" i="11"/>
  <c r="AA12" i="11"/>
  <c r="AB12" i="11"/>
  <c r="AD12" i="11"/>
  <c r="AC82" i="11"/>
  <c r="AE83" i="11"/>
  <c r="Z42" i="11"/>
  <c r="AC76" i="11"/>
  <c r="W76" i="11"/>
  <c r="X76" i="11"/>
  <c r="Y76" i="11"/>
  <c r="AD76" i="11"/>
  <c r="AE76" i="11"/>
  <c r="Z76" i="11"/>
  <c r="AA76" i="11"/>
  <c r="AB76" i="11"/>
  <c r="X26" i="11"/>
  <c r="AB16" i="11"/>
  <c r="AA26" i="11"/>
  <c r="AA75" i="11"/>
  <c r="AE75" i="11"/>
  <c r="AC75" i="11"/>
  <c r="AD75" i="11"/>
  <c r="W75" i="11"/>
  <c r="X75" i="11"/>
  <c r="Y75" i="11"/>
  <c r="Z75" i="11"/>
  <c r="AB75" i="11"/>
  <c r="AD22" i="11"/>
  <c r="AE22" i="11"/>
  <c r="AA22" i="11"/>
  <c r="AB22" i="11"/>
  <c r="AC22" i="11"/>
  <c r="W22" i="11"/>
  <c r="X22" i="11"/>
  <c r="Y22" i="11"/>
  <c r="Z22" i="11"/>
  <c r="W21" i="11"/>
  <c r="X21" i="11"/>
  <c r="Y21" i="11"/>
  <c r="Z21" i="11"/>
  <c r="AA21" i="11"/>
  <c r="AB21" i="11"/>
  <c r="AC21" i="11"/>
  <c r="AD21" i="11"/>
  <c r="AE21" i="11"/>
  <c r="X83" i="11"/>
  <c r="Z83" i="11"/>
  <c r="AA74" i="11"/>
  <c r="Z82" i="11"/>
  <c r="AD83" i="11"/>
  <c r="X42" i="11"/>
  <c r="AA16" i="11"/>
  <c r="AE68" i="11"/>
  <c r="W68" i="11"/>
  <c r="AC68" i="11"/>
  <c r="AD68" i="11"/>
  <c r="X68" i="11"/>
  <c r="Y68" i="11"/>
  <c r="Z68" i="11"/>
  <c r="AA68" i="11"/>
  <c r="AB68" i="11"/>
  <c r="W42" i="11"/>
  <c r="W72" i="11"/>
  <c r="AE72" i="11"/>
  <c r="AD72" i="11"/>
  <c r="X72" i="11"/>
  <c r="Y72" i="11"/>
  <c r="Z72" i="11"/>
  <c r="AA72" i="11"/>
  <c r="AB72" i="11"/>
  <c r="AC72" i="11"/>
  <c r="AA69" i="11"/>
  <c r="AD69" i="11"/>
  <c r="AE69" i="11"/>
  <c r="Y69" i="11"/>
  <c r="Z69" i="11"/>
  <c r="AB69" i="11"/>
  <c r="AC69" i="11"/>
  <c r="W69" i="11"/>
  <c r="X69" i="11"/>
  <c r="AC74" i="11"/>
  <c r="Z15" i="11"/>
  <c r="AA15" i="11"/>
  <c r="W15" i="11"/>
  <c r="X15" i="11"/>
  <c r="Y15" i="11"/>
  <c r="AC15" i="11"/>
  <c r="AD15" i="11"/>
  <c r="AE15" i="11"/>
  <c r="AB15" i="11"/>
  <c r="Y65" i="11"/>
  <c r="AC65" i="11"/>
  <c r="AB65" i="11"/>
  <c r="AD65" i="11"/>
  <c r="AE65" i="11"/>
  <c r="X65" i="11"/>
  <c r="Z65" i="11"/>
  <c r="AA65" i="11"/>
  <c r="W65" i="11"/>
  <c r="AE45" i="11"/>
  <c r="AD45" i="11"/>
  <c r="AA45" i="11"/>
  <c r="AB45" i="11"/>
  <c r="AC45" i="11"/>
  <c r="W45" i="11"/>
  <c r="X45" i="11"/>
  <c r="Y45" i="11"/>
  <c r="Z45" i="11"/>
  <c r="AD38" i="11"/>
  <c r="AE38" i="11"/>
  <c r="Y38" i="11"/>
  <c r="Z38" i="11"/>
  <c r="AA38" i="11"/>
  <c r="AB38" i="11"/>
  <c r="AC38" i="11"/>
  <c r="W38" i="11"/>
  <c r="X38" i="11"/>
  <c r="Y82" i="11"/>
  <c r="AB83" i="11"/>
  <c r="AA42" i="11"/>
  <c r="AC60" i="11"/>
  <c r="AE60" i="11"/>
  <c r="AD60" i="11"/>
  <c r="W60" i="11"/>
  <c r="Y60" i="11"/>
  <c r="Z60" i="11"/>
  <c r="AB60" i="11"/>
  <c r="AA60" i="11"/>
  <c r="X60" i="11"/>
  <c r="AB42" i="11"/>
  <c r="AD33" i="27" l="1"/>
  <c r="AE16" i="27"/>
  <c r="AC62" i="27"/>
  <c r="AB60" i="27"/>
  <c r="AA22" i="27"/>
  <c r="AC59" i="27"/>
  <c r="Z51" i="27"/>
  <c r="AA43" i="27"/>
  <c r="X15" i="27"/>
  <c r="W40" i="27"/>
  <c r="AB15" i="27"/>
  <c r="AB30" i="27"/>
  <c r="X28" i="27"/>
  <c r="AC29" i="27"/>
  <c r="AD78" i="27"/>
  <c r="AA69" i="27"/>
  <c r="Y46" i="27"/>
  <c r="AA59" i="27"/>
  <c r="X81" i="27"/>
  <c r="X42" i="27"/>
  <c r="AC21" i="27"/>
  <c r="Y83" i="27"/>
  <c r="AD17" i="27"/>
  <c r="W35" i="27"/>
  <c r="Z52" i="27"/>
  <c r="AE29" i="27"/>
  <c r="AC51" i="27"/>
  <c r="AC76" i="27"/>
  <c r="Y74" i="27"/>
  <c r="AE12" i="27"/>
  <c r="X10" i="27"/>
  <c r="Z24" i="27"/>
  <c r="AB16" i="27"/>
  <c r="X19" i="27"/>
  <c r="AA15" i="27"/>
  <c r="AC47" i="27"/>
  <c r="AA85" i="27"/>
  <c r="AA80" i="27"/>
  <c r="AB14" i="27"/>
  <c r="AA76" i="27"/>
  <c r="AD15" i="27"/>
  <c r="AD14" i="27"/>
  <c r="Y62" i="27"/>
  <c r="Z60" i="27"/>
  <c r="AA21" i="27"/>
  <c r="X56" i="27"/>
  <c r="X40" i="27"/>
  <c r="AE72" i="27"/>
  <c r="AE53" i="27"/>
  <c r="AD28" i="27"/>
  <c r="AA75" i="27"/>
  <c r="W67" i="27"/>
  <c r="W54" i="27"/>
  <c r="Y28" i="27"/>
  <c r="AC85" i="27"/>
  <c r="W71" i="27"/>
  <c r="AC52" i="27"/>
  <c r="AB18" i="27"/>
  <c r="AB47" i="27"/>
  <c r="W57" i="27"/>
  <c r="AE80" i="27"/>
  <c r="AA33" i="27"/>
  <c r="AD54" i="27"/>
  <c r="AC26" i="27"/>
  <c r="Y80" i="27"/>
  <c r="AD32" i="27"/>
  <c r="W56" i="27"/>
  <c r="AB12" i="27"/>
  <c r="AA57" i="27"/>
  <c r="Y19" i="27"/>
  <c r="Z58" i="27"/>
  <c r="W41" i="27"/>
  <c r="W24" i="27"/>
  <c r="W29" i="27"/>
  <c r="AE64" i="27"/>
  <c r="AA51" i="27"/>
  <c r="Z65" i="27"/>
  <c r="X34" i="27"/>
  <c r="AB57" i="27"/>
  <c r="AA19" i="27"/>
  <c r="Y70" i="27"/>
  <c r="Y34" i="27"/>
  <c r="AC17" i="27"/>
  <c r="Z29" i="27"/>
  <c r="AD22" i="27"/>
  <c r="Y57" i="27"/>
  <c r="X57" i="27"/>
  <c r="AC30" i="27"/>
  <c r="AB59" i="27"/>
  <c r="AE58" i="27"/>
  <c r="W12" i="27"/>
  <c r="X24" i="27"/>
  <c r="X21" i="27"/>
  <c r="Z22" i="27"/>
  <c r="AC31" i="27"/>
  <c r="AE77" i="27"/>
  <c r="AC33" i="27"/>
  <c r="W18" i="27"/>
  <c r="AA52" i="27"/>
  <c r="X11" i="27"/>
  <c r="AE14" i="27"/>
  <c r="AD76" i="27"/>
  <c r="Y77" i="27"/>
  <c r="AD47" i="27"/>
  <c r="AC84" i="27"/>
  <c r="Z12" i="27"/>
  <c r="AC80" i="27"/>
  <c r="Y41" i="27"/>
  <c r="Z80" i="27"/>
  <c r="X53" i="27"/>
  <c r="AD52" i="27"/>
  <c r="Z33" i="27"/>
  <c r="Z18" i="27"/>
  <c r="AA24" i="27"/>
  <c r="AE85" i="27"/>
  <c r="AB83" i="27"/>
  <c r="Z56" i="27"/>
  <c r="AD12" i="27"/>
  <c r="AA66" i="27"/>
  <c r="AA11" i="27"/>
  <c r="AE57" i="27"/>
  <c r="AC23" i="27"/>
  <c r="AC45" i="27"/>
  <c r="AE44" i="27"/>
  <c r="AE42" i="27"/>
  <c r="AD57" i="27"/>
  <c r="AB28" i="27"/>
  <c r="AB29" i="27"/>
  <c r="AD42" i="27"/>
  <c r="AC57" i="27"/>
  <c r="AE27" i="27"/>
  <c r="Y15" i="27"/>
  <c r="Y29" i="27"/>
  <c r="AC42" i="27"/>
  <c r="AB23" i="27"/>
  <c r="X29" i="27"/>
  <c r="AB42" i="27"/>
  <c r="Y40" i="27"/>
  <c r="AC67" i="27"/>
  <c r="W28" i="27"/>
  <c r="Y42" i="27"/>
  <c r="Z57" i="27"/>
  <c r="Y54" i="27"/>
  <c r="W14" i="27"/>
  <c r="AD58" i="27"/>
  <c r="X41" i="27"/>
  <c r="X54" i="27"/>
  <c r="W76" i="27"/>
  <c r="Y26" i="27"/>
  <c r="W10" i="27"/>
  <c r="AD50" i="27"/>
  <c r="AE83" i="27"/>
  <c r="AD23" i="27"/>
  <c r="AA17" i="27"/>
  <c r="AE55" i="27"/>
  <c r="Z77" i="27"/>
  <c r="AB64" i="27"/>
  <c r="Z84" i="27"/>
  <c r="AE34" i="27"/>
  <c r="AB82" i="27"/>
  <c r="AA18" i="27"/>
  <c r="Z14" i="27"/>
  <c r="Z47" i="27"/>
  <c r="X80" i="27"/>
  <c r="W16" i="27"/>
  <c r="AC34" i="27"/>
  <c r="AD82" i="27"/>
  <c r="AC61" i="27"/>
  <c r="Z41" i="27"/>
  <c r="AD59" i="27"/>
  <c r="W73" i="27"/>
  <c r="AB85" i="27"/>
  <c r="AA77" i="27"/>
  <c r="W60" i="27"/>
  <c r="AE30" i="27"/>
  <c r="AA42" i="27"/>
  <c r="AC63" i="27"/>
  <c r="AC19" i="27"/>
  <c r="AA67" i="27"/>
  <c r="Y20" i="27"/>
  <c r="W63" i="27"/>
  <c r="Z54" i="27"/>
  <c r="W38" i="27"/>
  <c r="AE13" i="27"/>
  <c r="AE61" i="27"/>
  <c r="AD37" i="27"/>
  <c r="W26" i="27"/>
  <c r="X83" i="27"/>
  <c r="AA83" i="27"/>
  <c r="AC60" i="27"/>
  <c r="AC71" i="27"/>
  <c r="AB20" i="27"/>
  <c r="AB81" i="27"/>
  <c r="AD26" i="27"/>
  <c r="AD21" i="27"/>
  <c r="Y61" i="27"/>
  <c r="AC79" i="27"/>
  <c r="W36" i="27"/>
  <c r="AD72" i="27"/>
  <c r="Y78" i="27"/>
  <c r="Y56" i="27"/>
  <c r="AC28" i="27"/>
  <c r="AB22" i="27"/>
  <c r="AA47" i="27"/>
  <c r="X85" i="27"/>
  <c r="AB24" i="27"/>
  <c r="Z70" i="27"/>
  <c r="Y69" i="27"/>
  <c r="AE32" i="27"/>
  <c r="W65" i="27"/>
  <c r="AD51" i="27"/>
  <c r="Y35" i="27"/>
  <c r="Y64" i="27"/>
  <c r="AA54" i="27"/>
  <c r="AB11" i="27"/>
  <c r="Y18" i="27"/>
  <c r="X76" i="27"/>
  <c r="W15" i="27"/>
  <c r="AB65" i="27"/>
  <c r="W20" i="27"/>
  <c r="AC15" i="27"/>
  <c r="W46" i="27"/>
  <c r="AB62" i="27"/>
  <c r="AB76" i="27"/>
  <c r="AB79" i="27"/>
  <c r="AE50" i="27"/>
  <c r="W39" i="27"/>
  <c r="AE35" i="27"/>
  <c r="AB71" i="27"/>
  <c r="Z76" i="27"/>
  <c r="Z15" i="27"/>
  <c r="W53" i="27"/>
  <c r="AA29" i="27"/>
  <c r="AE59" i="27"/>
  <c r="AE15" i="27"/>
  <c r="AE79" i="27"/>
  <c r="W25" i="27"/>
  <c r="AE51" i="27"/>
  <c r="W84" i="27"/>
  <c r="Y58" i="27"/>
  <c r="AD34" i="27"/>
  <c r="X33" i="27"/>
  <c r="AC39" i="27"/>
  <c r="AE18" i="27"/>
  <c r="AA64" i="27"/>
  <c r="Y51" i="27"/>
  <c r="AA65" i="27"/>
  <c r="W34" i="27"/>
  <c r="Z43" i="27"/>
  <c r="W78" i="27"/>
  <c r="X30" i="27"/>
  <c r="W52" i="27"/>
  <c r="AA74" i="27"/>
  <c r="AB35" i="27"/>
  <c r="AC11" i="27"/>
  <c r="AE62" i="27"/>
  <c r="AE52" i="27"/>
  <c r="AB80" i="27"/>
  <c r="AD18" i="27"/>
  <c r="AB33" i="27"/>
  <c r="AC65" i="27"/>
  <c r="X12" i="27"/>
  <c r="Y24" i="27"/>
  <c r="Z31" i="27"/>
  <c r="Z28" i="27"/>
  <c r="AD84" i="27"/>
  <c r="Y76" i="27"/>
  <c r="Y31" i="27"/>
  <c r="W42" i="27"/>
  <c r="AC72" i="27"/>
  <c r="X36" i="27"/>
  <c r="X46" i="27"/>
  <c r="AA31" i="27"/>
  <c r="AB21" i="27"/>
  <c r="Y10" i="27"/>
  <c r="Z63" i="27"/>
  <c r="AA28" i="27"/>
  <c r="Y60" i="27"/>
  <c r="Z85" i="27"/>
  <c r="AC22" i="27"/>
  <c r="AE76" i="27"/>
  <c r="X58" i="27"/>
  <c r="AE21" i="27"/>
  <c r="Y12" i="27"/>
  <c r="X63" i="27"/>
  <c r="X49" i="27"/>
  <c r="Y48" i="27"/>
  <c r="W48" i="27"/>
  <c r="AC48" i="27"/>
  <c r="AD48" i="27"/>
  <c r="AE48" i="27"/>
  <c r="X48" i="27"/>
  <c r="AC49" i="27"/>
  <c r="AD49" i="27"/>
  <c r="AE49" i="27"/>
  <c r="AA49" i="27"/>
  <c r="AB49" i="27"/>
  <c r="AE28" i="27"/>
  <c r="X60" i="27"/>
  <c r="Y17" i="27"/>
  <c r="W17" i="27"/>
  <c r="AD85" i="27"/>
  <c r="AE22" i="27"/>
  <c r="W58" i="27"/>
  <c r="Z67" i="27"/>
  <c r="Z42" i="27"/>
  <c r="Z69" i="27"/>
  <c r="Z21" i="27"/>
  <c r="AA12" i="27"/>
  <c r="AB48" i="27"/>
  <c r="AE63" i="27"/>
  <c r="W79" i="27"/>
  <c r="W83" i="27"/>
  <c r="AA60" i="27"/>
  <c r="AE82" i="27"/>
  <c r="AE60" i="27"/>
  <c r="X43" i="27"/>
  <c r="X35" i="27"/>
  <c r="Y85" i="27"/>
  <c r="W33" i="27"/>
  <c r="Y22" i="27"/>
  <c r="Z61" i="27"/>
  <c r="AC58" i="27"/>
  <c r="AE17" i="27"/>
  <c r="AE67" i="27"/>
  <c r="W21" i="27"/>
  <c r="Y13" i="27"/>
  <c r="AC12" i="27"/>
  <c r="X65" i="27"/>
  <c r="AE36" i="27"/>
  <c r="AC36" i="27"/>
  <c r="Y36" i="27"/>
  <c r="Z36" i="27"/>
  <c r="W49" i="27"/>
  <c r="AC64" i="27"/>
  <c r="AD60" i="27"/>
  <c r="W43" i="27"/>
  <c r="X62" i="27"/>
  <c r="X22" i="27"/>
  <c r="AB58" i="27"/>
  <c r="X72" i="27"/>
  <c r="AE69" i="27"/>
  <c r="AA62" i="27"/>
  <c r="X74" i="27"/>
  <c r="AB13" i="27"/>
  <c r="W45" i="27"/>
  <c r="AC16" i="27"/>
  <c r="W66" i="27"/>
  <c r="AC81" i="27"/>
  <c r="Z48" i="27"/>
  <c r="AE70" i="27"/>
  <c r="Y43" i="27"/>
  <c r="AD35" i="27"/>
  <c r="W85" i="27"/>
  <c r="W22" i="27"/>
  <c r="X61" i="27"/>
  <c r="AA58" i="27"/>
  <c r="Z83" i="27"/>
  <c r="AC82" i="27"/>
  <c r="W74" i="27"/>
  <c r="AA13" i="27"/>
  <c r="AD45" i="27"/>
  <c r="Z44" i="27"/>
  <c r="Y66" i="27"/>
  <c r="AD81" i="27"/>
  <c r="AE46" i="27"/>
  <c r="AD46" i="27"/>
  <c r="AA46" i="27"/>
  <c r="AB46" i="27"/>
  <c r="AE10" i="27"/>
  <c r="AD70" i="27"/>
  <c r="AB10" i="27"/>
  <c r="AE43" i="27"/>
  <c r="AC35" i="27"/>
  <c r="Y14" i="27"/>
  <c r="AA14" i="27"/>
  <c r="W61" i="27"/>
  <c r="Z16" i="27"/>
  <c r="AD67" i="27"/>
  <c r="AD31" i="27"/>
  <c r="AE74" i="27"/>
  <c r="Z13" i="27"/>
  <c r="AB45" i="27"/>
  <c r="Z79" i="27"/>
  <c r="Y44" i="27"/>
  <c r="X66" i="27"/>
  <c r="AE81" i="27"/>
  <c r="Y52" i="27"/>
  <c r="AD79" i="27"/>
  <c r="Y47" i="27"/>
  <c r="AB70" i="27"/>
  <c r="X26" i="27"/>
  <c r="AD43" i="27"/>
  <c r="AA35" i="27"/>
  <c r="AE19" i="27"/>
  <c r="AC38" i="27"/>
  <c r="AE84" i="27"/>
  <c r="AD61" i="27"/>
  <c r="W80" i="27"/>
  <c r="W62" i="27"/>
  <c r="AD36" i="27"/>
  <c r="AD74" i="27"/>
  <c r="X13" i="27"/>
  <c r="AA45" i="27"/>
  <c r="X44" i="27"/>
  <c r="AE66" i="27"/>
  <c r="AA81" i="27"/>
  <c r="X32" i="27"/>
  <c r="Y32" i="27"/>
  <c r="Z32" i="27"/>
  <c r="Z82" i="27"/>
  <c r="AC70" i="27"/>
  <c r="AC43" i="27"/>
  <c r="Z35" i="27"/>
  <c r="AB84" i="27"/>
  <c r="AE38" i="27"/>
  <c r="AA78" i="27"/>
  <c r="AB61" i="27"/>
  <c r="AB69" i="27"/>
  <c r="AA72" i="27"/>
  <c r="AC74" i="27"/>
  <c r="W13" i="27"/>
  <c r="Z45" i="27"/>
  <c r="AD16" i="27"/>
  <c r="W44" i="27"/>
  <c r="AD66" i="27"/>
  <c r="Z81" i="27"/>
  <c r="Z49" i="27"/>
  <c r="W19" i="27"/>
  <c r="AB19" i="27"/>
  <c r="AA70" i="27"/>
  <c r="AE26" i="27"/>
  <c r="AB43" i="27"/>
  <c r="X78" i="27"/>
  <c r="AD38" i="27"/>
  <c r="X69" i="27"/>
  <c r="Y84" i="27"/>
  <c r="AE31" i="27"/>
  <c r="Z11" i="27"/>
  <c r="AB74" i="27"/>
  <c r="AC13" i="27"/>
  <c r="Y45" i="27"/>
  <c r="AD65" i="27"/>
  <c r="AB44" i="27"/>
  <c r="AC66" i="27"/>
  <c r="Y81" i="27"/>
  <c r="Z34" i="27"/>
  <c r="AC69" i="27"/>
  <c r="AE65" i="27"/>
  <c r="AA61" i="27"/>
  <c r="W81" i="27"/>
  <c r="Z74" i="27"/>
  <c r="AA82" i="27"/>
  <c r="W69" i="27"/>
  <c r="X70" i="27"/>
  <c r="AB26" i="27"/>
  <c r="Z27" i="27"/>
  <c r="AB52" i="27"/>
  <c r="Z38" i="27"/>
  <c r="AE71" i="27"/>
  <c r="AD62" i="27"/>
  <c r="Y11" i="27"/>
  <c r="W30" i="27"/>
  <c r="AE45" i="27"/>
  <c r="AC32" i="27"/>
  <c r="AD44" i="27"/>
  <c r="Z66" i="27"/>
  <c r="W70" i="27"/>
  <c r="AA26" i="27"/>
  <c r="Z64" i="27"/>
  <c r="X27" i="27"/>
  <c r="Z17" i="27"/>
  <c r="Y38" i="27"/>
  <c r="AB17" i="27"/>
  <c r="AD71" i="27"/>
  <c r="AB67" i="27"/>
  <c r="W82" i="27"/>
  <c r="AE23" i="27"/>
  <c r="AE11" i="27"/>
  <c r="AE20" i="27"/>
  <c r="AD30" i="27"/>
  <c r="X16" i="27"/>
  <c r="AA16" i="27"/>
  <c r="AC44" i="27"/>
  <c r="AD77" i="27"/>
  <c r="AB72" i="27"/>
  <c r="W64" i="27"/>
  <c r="AD64" i="27"/>
  <c r="X17" i="27"/>
  <c r="AA63" i="27"/>
  <c r="AB63" i="27"/>
  <c r="AD63" i="27"/>
  <c r="AB51" i="27"/>
  <c r="W51" i="27"/>
  <c r="X51" i="27"/>
  <c r="AA44" i="27"/>
  <c r="Z68" i="27"/>
  <c r="AA68" i="27"/>
  <c r="AB68" i="27"/>
  <c r="W68" i="27"/>
  <c r="AD68" i="27"/>
  <c r="X68" i="27"/>
  <c r="Y68" i="27"/>
  <c r="AC68" i="27"/>
  <c r="AE68" i="27"/>
  <c r="Z78" i="27"/>
  <c r="AA79" i="27"/>
  <c r="AD13" i="27"/>
  <c r="AC83" i="27"/>
  <c r="AA48" i="27"/>
  <c r="Z26" i="27"/>
  <c r="Y33" i="27"/>
  <c r="X45" i="27"/>
  <c r="W27" i="27"/>
  <c r="W11" i="27"/>
  <c r="AA34" i="27"/>
  <c r="AC20" i="27"/>
  <c r="AB77" i="27"/>
  <c r="AE39" i="27"/>
  <c r="Y72" i="27"/>
  <c r="AD10" i="27"/>
  <c r="AE25" i="27"/>
  <c r="AD55" i="27"/>
  <c r="AD27" i="27"/>
  <c r="AD39" i="27"/>
  <c r="AB34" i="27"/>
  <c r="W75" i="27"/>
  <c r="AA71" i="27"/>
  <c r="AE73" i="27"/>
  <c r="AA23" i="27"/>
  <c r="AA20" i="27"/>
  <c r="AA30" i="27"/>
  <c r="X47" i="27"/>
  <c r="AC37" i="27"/>
  <c r="AB50" i="27"/>
  <c r="X77" i="27"/>
  <c r="AE47" i="27"/>
  <c r="AE33" i="27"/>
  <c r="AD25" i="27"/>
  <c r="AC55" i="27"/>
  <c r="AC27" i="27"/>
  <c r="AB53" i="27"/>
  <c r="X75" i="27"/>
  <c r="Z71" i="27"/>
  <c r="AD73" i="27"/>
  <c r="Z23" i="27"/>
  <c r="Z20" i="27"/>
  <c r="Z30" i="27"/>
  <c r="AA32" i="27"/>
  <c r="AB37" i="27"/>
  <c r="AA50" i="27"/>
  <c r="W72" i="27"/>
  <c r="AC10" i="27"/>
  <c r="AC25" i="27"/>
  <c r="AB55" i="27"/>
  <c r="AB27" i="27"/>
  <c r="AB39" i="27"/>
  <c r="AA53" i="27"/>
  <c r="Y75" i="27"/>
  <c r="Y71" i="27"/>
  <c r="X82" i="27"/>
  <c r="AC73" i="27"/>
  <c r="Y23" i="27"/>
  <c r="Y30" i="27"/>
  <c r="AA37" i="27"/>
  <c r="Y50" i="27"/>
  <c r="Y79" i="27"/>
  <c r="Y21" i="27"/>
  <c r="AB66" i="27"/>
  <c r="Z62" i="27"/>
  <c r="Z10" i="27"/>
  <c r="W31" i="27"/>
  <c r="X31" i="27"/>
  <c r="X52" i="27"/>
  <c r="AB25" i="27"/>
  <c r="AA55" i="27"/>
  <c r="AA27" i="27"/>
  <c r="AA39" i="27"/>
  <c r="Z53" i="27"/>
  <c r="AE75" i="27"/>
  <c r="X71" i="27"/>
  <c r="AC14" i="27"/>
  <c r="AB73" i="27"/>
  <c r="X23" i="27"/>
  <c r="AD69" i="27"/>
  <c r="X20" i="27"/>
  <c r="AE40" i="27"/>
  <c r="Z37" i="27"/>
  <c r="X50" i="27"/>
  <c r="W77" i="27"/>
  <c r="AE78" i="27"/>
  <c r="AD11" i="27"/>
  <c r="AE37" i="27"/>
  <c r="AC78" i="27"/>
  <c r="AE41" i="27"/>
  <c r="AA25" i="27"/>
  <c r="Z55" i="27"/>
  <c r="AE56" i="27"/>
  <c r="Z39" i="27"/>
  <c r="AD53" i="27"/>
  <c r="AD75" i="27"/>
  <c r="AA73" i="27"/>
  <c r="W23" i="27"/>
  <c r="X64" i="27"/>
  <c r="AD20" i="27"/>
  <c r="AD80" i="27"/>
  <c r="AD40" i="27"/>
  <c r="Y37" i="27"/>
  <c r="AC50" i="27"/>
  <c r="AC77" i="27"/>
  <c r="AB38" i="27"/>
  <c r="Y16" i="27"/>
  <c r="AA38" i="27"/>
  <c r="Y27" i="27"/>
  <c r="AB31" i="27"/>
  <c r="Z75" i="27"/>
  <c r="AD41" i="27"/>
  <c r="Z25" i="27"/>
  <c r="Y55" i="27"/>
  <c r="AD56" i="27"/>
  <c r="Y39" i="27"/>
  <c r="AC53" i="27"/>
  <c r="AC75" i="27"/>
  <c r="W59" i="27"/>
  <c r="AA84" i="27"/>
  <c r="Z73" i="27"/>
  <c r="AC54" i="27"/>
  <c r="AD83" i="27"/>
  <c r="AA10" i="27"/>
  <c r="AC40" i="27"/>
  <c r="X37" i="27"/>
  <c r="W50" i="27"/>
  <c r="W32" i="27"/>
  <c r="Z19" i="27"/>
  <c r="AC41" i="27"/>
  <c r="Y25" i="27"/>
  <c r="X55" i="27"/>
  <c r="AC56" i="27"/>
  <c r="X39" i="27"/>
  <c r="AB75" i="27"/>
  <c r="X59" i="27"/>
  <c r="AB78" i="27"/>
  <c r="Y73" i="27"/>
  <c r="AB54" i="27"/>
  <c r="X67" i="27"/>
  <c r="AB40" i="27"/>
  <c r="W37" i="27"/>
  <c r="Z50" i="27"/>
  <c r="AE24" i="27"/>
  <c r="X84" i="27"/>
  <c r="Z72" i="27"/>
  <c r="AB41" i="27"/>
  <c r="X25" i="27"/>
  <c r="W55" i="27"/>
  <c r="AB56" i="27"/>
  <c r="Y53" i="27"/>
  <c r="Z59" i="27"/>
  <c r="Y67" i="27"/>
  <c r="X73" i="27"/>
  <c r="AE54" i="27"/>
  <c r="Y82" i="27"/>
  <c r="AB36" i="27"/>
  <c r="AA40" i="27"/>
  <c r="Y65" i="27"/>
  <c r="AD24" i="27"/>
  <c r="X79" i="27"/>
  <c r="X14" i="27"/>
  <c r="Y59" i="27"/>
  <c r="Z40" i="27"/>
  <c r="Y63" i="27"/>
  <c r="AC24" i="27"/>
  <c r="AC18" i="27"/>
  <c r="AC46" i="27"/>
  <c r="X18" i="27"/>
  <c r="X38" i="27"/>
  <c r="AA41" i="27"/>
  <c r="AA56" i="27"/>
  <c r="AD29" i="27"/>
  <c r="AD19" i="27"/>
  <c r="AA36" i="27"/>
  <c r="AB32" i="27"/>
  <c r="Y49" i="27"/>
  <c r="Z46" i="27"/>
  <c r="W47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E172D166-30EF-4B43-9EBB-158DF5D844EB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3E65F2FC-DBAA-47D0-B0E9-7AA27D7B1AC3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1CB87F7B-93F0-40E4-B4DD-765DAE1E80C0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76C8596E-4F4F-4B72-B73B-0C6F47481D92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9E8EBE07-E28A-4364-9B7D-1286F1CA8FB9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84FF0EA0-723C-489F-A3ED-00AA3CB4BB5A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277DC410-D2EC-4359-9D7F-CDD50D318892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EEB7D947-8C10-4ADF-87C5-2811DAFD2962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77EAA8F6-7FBF-4AEE-BF3E-A5A2CA64D02A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4BC5C3BD-A3A9-464B-A418-78C0E0441B67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61B68363-BDEE-4D15-8C32-D11ED59206D0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2D2D53A7-3AA9-4ED2-A1F5-1546F271E0A8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B3406619-0954-487D-A91B-06B4A448BD44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22D6586D-BF5C-4F15-A592-ECD6633705E8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3DA3AFCC-7D9A-4E57-9D40-4221179F94E1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E0B407C4-9184-442C-A96F-0EDAE2935BEA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BC64EF47-058F-4D87-BBFC-8703EE83F537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8FAEE4A7-6854-49E2-9335-73F6E172D6E4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79CBDCD0-9C8B-4DB1-AAF9-0A976E541E69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B6BD95E4-4D42-4146-986E-AEA742C74B2A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CBB0DFAF-0D56-4981-B82B-D8B8B6F530FE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615044AC-0BA8-4FEA-BAD4-4B9061ABFA43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3D6AB3A6-D26B-44B2-8CB0-F70F61E74FC4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4B9F0EA8-A128-4784-A3F2-3B584CF07602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946BFE93-4C92-40E0-A2D3-EFF996B61D5C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1CB8905D-2432-4BA5-BD3A-79DEE5C2C008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19AE5DFD-E47B-491A-95B3-D5DACB5C29D8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7BE57529-0AE6-4B45-9185-42B1CB0C06CF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E0C71FF9-5C32-491C-B934-F4777E50516D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3CD7BDB8-183B-41A7-B7D4-81F4BCDB0BEE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0E3201CB-3948-4CAD-BD6E-A2A0BA8520B0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65AC02CB-7809-46DB-BEC0-F89C4B384FBB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E64F7197-14A5-48A2-9BA7-F4548AE6ED34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002C27CB-09E1-4F76-B9F0-92E7A1CE7482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BCE7CD36-FFD6-475A-AABD-778E1C57E454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65F8EE52-959D-4462-9A42-B358BFBBC43C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2FB5429E-E9B2-4120-9BB2-7AC621A0FE82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38837A76-3113-4EEC-AA1C-A2A07F48C3A4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34972EDC-F8A3-43B5-8115-7E94A8370208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B82CC3A5-4B5E-4D86-94EF-BA06CC8F0231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26B89403-81F3-477C-8D42-B9ADE33D60A2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D02213DA-D929-4DAA-9746-02DBC8F09293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9DBA4C06-856C-4673-8D80-7C77F6D63994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 variable</t>
        </r>
      </text>
    </comment>
    <comment ref="J7" authorId="0" shapeId="0" xr:uid="{CD3533F0-A953-46C0-9241-D60F04A5D58E}">
      <text>
        <r>
          <rPr>
            <b/>
            <sz val="8"/>
            <color indexed="81"/>
            <rFont val="Tahoma"/>
          </rPr>
          <t>PJP:</t>
        </r>
        <r>
          <rPr>
            <sz val="8"/>
            <color indexed="81"/>
            <rFont val="Tahoma"/>
          </rPr>
          <t xml:space="preserve">
Reserved for future calibration coefficient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2CA53AF4-4F39-49C5-A21E-6087095D35DB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BF5721DC-9062-4A9B-A470-076BA0E7A6B7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C2521843-CD5F-4FC6-B27A-E52DA4E984B4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12B7C511-63C0-4528-92D4-64B7397DED99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A7F11906-1E9F-4EA0-95BA-EE51F0613EFF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7830F05B-DDCE-466B-9568-927E96918A83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38079D6D-9012-450B-92A1-FF6199AB0EE1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D4B645E8-69F7-42BA-B116-190FD4F2F469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28C363D5-708E-407D-A60D-07B104C1A01C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033DE068-3403-46C2-85D7-4162029749E6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526D1967-C881-4691-85B5-FA4BC475AFCD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6C195B25-2BAB-450C-934F-A5295E66D7D1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9789C54A-8458-4FB6-868D-D6936AAC8CDA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6DFCE9BB-E574-4A37-A199-68AD1853C9DF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E42FF8C1-4168-4FCD-83D4-D3324D2F7E4E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0E1702A3-564E-4919-B3A6-D075D0BA5BFC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8274C638-2D2E-4536-9D69-1C4E8C8351D9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16D58E43-7016-49D7-AFF5-98C83AB90783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4CF01D13-1503-4CD1-9529-FAB61C134CB7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F940A2BC-E8C3-46AA-97A0-068371684BC9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D1716D1D-26FA-40B5-AB62-6749B90EC34E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B56FDA50-DE0C-4E0D-A708-5E9CC086A5F9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4923BB31-C075-491D-93D3-4FCA9155EB7B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10462E05-EF8B-4822-93EF-3E4CD29CB1D4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2E486E1C-4034-49E8-9E9C-86D88493402A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24BB7A14-4348-4CEF-8F84-DD4C0D8CAA81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376E7E24-52C7-480A-A699-FB26EEA0AECD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80757B10-7374-4A9A-9645-EB99AAFB9A73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76DD9E46-48B6-460D-A858-D581305DBC0A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F3A30C4F-3839-4280-A325-9AE3766A4F8A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542EE285-1C0C-49AB-B9F6-74F21C8D0E4C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32AA187A-6454-4B4B-8E71-56D7F3F27DEC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F0FC033B-595A-4E11-8EEE-AA37236067E1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A89E8B3F-4068-4E65-B7E3-C63D9E6495BC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15FBC194-0513-4BCC-A58C-F950AC32FC4E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0E0933C9-5226-414C-A999-A612791CCFD3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B74D6E3E-D7AD-4C63-94EC-5F98B6D60FEB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C5968EAF-4EA6-4B1D-8A50-B149FB8113AA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1BDBDC96-6E5D-425B-91C7-5E33AC861C6B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D1331F9B-E745-4A29-BBE6-31751A1AB2D6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FFEDECAF-D7B1-4EB6-8452-21F12DFF8AA1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16414713-50C3-431C-8392-448079681763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8C4BB8E3-C9C2-4B1F-B459-448F8BDF75EC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8FB72420-ABF6-4F3A-A00B-AB84A3970F7E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1D35B069-1F76-4B7F-B3AC-364F4196C1E0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E523FF3B-BBCF-45EC-99C8-2C0E91440B93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D6D45318-18C3-4DAA-9FA1-5A9740BF8BC1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38BA64F3-9891-42D5-99C1-8B6E80E261E7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1F96EC4F-1B0B-45B5-983F-F5E6C3A99B24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4B91EAAF-6DBF-43E8-A112-EFBA4340B911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7E4C2946-7868-42F4-B0DB-3EDC5E7EAB7C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421CDCB8-A680-4197-B5E7-415159DB2FD1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451A6166-6A68-4311-B556-45ECB5D10F47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3D14E0D3-F81E-48FD-8A46-23A2F8E9C244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36E3C76A-B319-4A5A-ADF3-87B60F1A5F0A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6527A801-9FCE-4271-AAE3-CC5085B309D0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3846DD47-732D-4696-AA02-7807970FE657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E9131539-E13F-4011-A165-FD001068A073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</author>
  </authors>
  <commentList>
    <comment ref="M5" authorId="0" shapeId="0" xr:uid="{E1AB7361-C2F1-444B-BE39-FA1508EC50EA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 variable</t>
        </r>
      </text>
    </comment>
    <comment ref="J7" authorId="0" shapeId="0" xr:uid="{071EBC69-F698-4C0C-B97D-64E07231B637}">
      <text>
        <r>
          <rPr>
            <b/>
            <sz val="8"/>
            <color indexed="81"/>
            <rFont val="Tahoma"/>
            <family val="2"/>
          </rPr>
          <t>PJP:</t>
        </r>
        <r>
          <rPr>
            <sz val="8"/>
            <color indexed="81"/>
            <rFont val="Tahoma"/>
            <family val="2"/>
          </rPr>
          <t xml:space="preserve">
Reserved for future calibration coefficient</t>
        </r>
      </text>
    </comment>
  </commentList>
</comments>
</file>

<file path=xl/sharedStrings.xml><?xml version="1.0" encoding="utf-8"?>
<sst xmlns="http://schemas.openxmlformats.org/spreadsheetml/2006/main" count="2463" uniqueCount="137">
  <si>
    <t>Plot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</si>
  <si>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</si>
  <si>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</si>
  <si>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</si>
  <si>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</si>
  <si>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</si>
  <si>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</si>
  <si>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</si>
  <si>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</si>
  <si>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</si>
  <si>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</si>
  <si>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</si>
  <si>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</si>
  <si>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</si>
  <si>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</si>
  <si>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</si>
  <si>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</si>
  <si>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</si>
  <si>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</si>
  <si>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</si>
  <si>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</si>
  <si>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</si>
  <si>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</si>
  <si>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</si>
  <si>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</si>
  <si>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</si>
  <si>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</si>
  <si>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</si>
  <si>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</si>
  <si>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</si>
  <si>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</si>
  <si>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</si>
  <si>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</si>
  <si>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p901</t>
  </si>
  <si>
    <t>p902</t>
  </si>
  <si>
    <t>p903</t>
  </si>
  <si>
    <t>p904</t>
  </si>
  <si>
    <t>p905</t>
  </si>
  <si>
    <t>p906</t>
  </si>
  <si>
    <t>p907</t>
  </si>
  <si>
    <t>p908</t>
  </si>
  <si>
    <t>DOY128</t>
  </si>
  <si>
    <t>DOY132</t>
  </si>
  <si>
    <t>DOY136</t>
  </si>
  <si>
    <t>DOY139</t>
  </si>
  <si>
    <t>DOY141</t>
  </si>
  <si>
    <t>DOY143</t>
  </si>
  <si>
    <t>DOY147</t>
  </si>
  <si>
    <t>DOY148</t>
  </si>
  <si>
    <t>DOY149</t>
  </si>
  <si>
    <t>DOY150</t>
  </si>
  <si>
    <t>DOY153</t>
  </si>
  <si>
    <t>DOY154</t>
  </si>
  <si>
    <t>DOY155</t>
  </si>
  <si>
    <t>DOY156</t>
  </si>
  <si>
    <t>DOY157</t>
  </si>
  <si>
    <t>DOY160</t>
  </si>
  <si>
    <t>DOY161</t>
  </si>
  <si>
    <t>DOY162</t>
  </si>
  <si>
    <t>DOY163</t>
  </si>
  <si>
    <t>DOY164</t>
  </si>
  <si>
    <t>DOY167</t>
  </si>
  <si>
    <t>DOY168</t>
  </si>
  <si>
    <t>DOY169</t>
  </si>
  <si>
    <t>DOY170</t>
  </si>
  <si>
    <t>DOY171</t>
  </si>
  <si>
    <t>DOY173</t>
  </si>
  <si>
    <t>DOY174</t>
  </si>
  <si>
    <t>DOY175</t>
  </si>
  <si>
    <t>DOY176</t>
  </si>
  <si>
    <t>DOY177</t>
  </si>
  <si>
    <t>DOY178</t>
  </si>
  <si>
    <t>DOY180</t>
  </si>
  <si>
    <t>DOY181</t>
  </si>
  <si>
    <t>DOY182</t>
  </si>
  <si>
    <t>DOY183</t>
  </si>
  <si>
    <t>DOY184</t>
  </si>
  <si>
    <t>DOY185</t>
  </si>
  <si>
    <t>DOY188</t>
  </si>
  <si>
    <t>DOY189</t>
  </si>
  <si>
    <t>DOY195</t>
  </si>
  <si>
    <t>DOY196</t>
  </si>
  <si>
    <t>DOY197</t>
  </si>
  <si>
    <t>DOY198</t>
  </si>
  <si>
    <t>DOY213</t>
  </si>
  <si>
    <t>DOY216</t>
  </si>
  <si>
    <t>DOY246</t>
  </si>
  <si>
    <t>DOY247</t>
  </si>
  <si>
    <t>DOY248</t>
  </si>
  <si>
    <t>DOY251</t>
  </si>
  <si>
    <t>DOY252</t>
  </si>
  <si>
    <t>DOY253</t>
  </si>
  <si>
    <t>DOY254</t>
  </si>
  <si>
    <t>Kurtosis</t>
  </si>
  <si>
    <t>Skewness</t>
  </si>
  <si>
    <t>Maximum</t>
  </si>
  <si>
    <t>Quartile3</t>
  </si>
  <si>
    <t>Median</t>
  </si>
  <si>
    <t>Quartile1</t>
  </si>
  <si>
    <t>Minimum</t>
  </si>
  <si>
    <t>StdErr</t>
  </si>
  <si>
    <t>Mean</t>
  </si>
  <si>
    <t>Obs12</t>
  </si>
  <si>
    <t>Obs11</t>
  </si>
  <si>
    <t>Obs10</t>
  </si>
  <si>
    <t>Obs9</t>
  </si>
  <si>
    <t>Obs8</t>
  </si>
  <si>
    <t>Obs7</t>
  </si>
  <si>
    <t>Obs6</t>
  </si>
  <si>
    <t>Obs5</t>
  </si>
  <si>
    <t>Obs4</t>
  </si>
  <si>
    <t>Obs3</t>
  </si>
  <si>
    <t>Obs2</t>
  </si>
  <si>
    <t>Obs1</t>
  </si>
  <si>
    <t>Time</t>
  </si>
  <si>
    <t>View</t>
  </si>
  <si>
    <t>Block</t>
  </si>
  <si>
    <t>N</t>
  </si>
  <si>
    <t>Pop</t>
  </si>
  <si>
    <t>Irrig</t>
  </si>
  <si>
    <t>Trt</t>
  </si>
  <si>
    <t>Acronym</t>
  </si>
  <si>
    <t>PlotID</t>
  </si>
  <si>
    <t>X</t>
  </si>
  <si>
    <t>Foliage</t>
  </si>
  <si>
    <t>IRTDisp^2</t>
  </si>
  <si>
    <t>canopy</t>
  </si>
  <si>
    <t>x</t>
  </si>
  <si>
    <t>Tair</t>
  </si>
  <si>
    <t># std errors</t>
  </si>
  <si>
    <t>view</t>
  </si>
  <si>
    <t>DryBulb</t>
  </si>
  <si>
    <t>IRTDisplay</t>
  </si>
  <si>
    <t>Title for Time Sequence Chart</t>
  </si>
  <si>
    <t>Conditional Display of data outside mean</t>
  </si>
  <si>
    <t>Intercept</t>
  </si>
  <si>
    <t>IRT Calibration Coefficients for IRT 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</si>
</sst>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2"/>
      <name val="Arial"/>
      <family val="2"/>
    </font>
    <font>
      <b/>
      <sz val="8"/>
      <color indexed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1"/>
      <color indexed="12"/>
      <name val="Arial"/>
      <family val="2"/>
    </font>
    <font>
      <b/>
      <sz val="12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</font>
    <font>
      <b/>
      <sz val="8"/>
      <color indexed="81"/>
      <name val="Tahoma"/>
    </font>
    <font>
      <sz val="8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67">
    <xf numFmtId="0" fontId="0" fillId="0" borderId="0" xfId="0"/>
    <xf numFmtId="0" fontId="1" fillId="0" borderId="0" xfId="1"/>
    <xf numFmtId="2" fontId="1" fillId="0" borderId="0" xfId="1" applyNumberFormat="1"/>
    <xf numFmtId="164" fontId="1" fillId="0" borderId="0" xfId="1" applyNumberFormat="1"/>
    <xf numFmtId="165" fontId="1" fillId="0" borderId="0" xfId="1" applyNumberFormat="1"/>
    <xf numFmtId="2" fontId="2" fillId="0" borderId="0" xfId="1" applyNumberFormat="1" applyFont="1"/>
    <xf numFmtId="164" fontId="1" fillId="2" borderId="0" xfId="1" applyNumberFormat="1" applyFill="1"/>
    <xf numFmtId="2" fontId="1" fillId="0" borderId="1" xfId="1" applyNumberFormat="1" applyBorder="1"/>
    <xf numFmtId="164" fontId="1" fillId="0" borderId="1" xfId="1" applyNumberFormat="1" applyBorder="1"/>
    <xf numFmtId="165" fontId="1" fillId="0" borderId="1" xfId="1" applyNumberFormat="1" applyBorder="1"/>
    <xf numFmtId="2" fontId="2" fillId="0" borderId="1" xfId="1" applyNumberFormat="1" applyFont="1" applyBorder="1"/>
    <xf numFmtId="164" fontId="1" fillId="2" borderId="1" xfId="1" applyNumberFormat="1" applyFill="1" applyBorder="1"/>
    <xf numFmtId="0" fontId="1" fillId="0" borderId="1" xfId="1" applyBorder="1"/>
    <xf numFmtId="2" fontId="1" fillId="3" borderId="0" xfId="1" applyNumberFormat="1" applyFill="1"/>
    <xf numFmtId="164" fontId="1" fillId="3" borderId="0" xfId="1" applyNumberFormat="1" applyFill="1"/>
    <xf numFmtId="165" fontId="1" fillId="3" borderId="0" xfId="1" applyNumberFormat="1" applyFill="1"/>
    <xf numFmtId="2" fontId="2" fillId="3" borderId="0" xfId="1" applyNumberFormat="1" applyFont="1" applyFill="1"/>
    <xf numFmtId="0" fontId="1" fillId="3" borderId="0" xfId="1" applyFill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166" fontId="4" fillId="0" borderId="0" xfId="1" applyNumberFormat="1" applyFont="1"/>
    <xf numFmtId="0" fontId="5" fillId="0" borderId="0" xfId="1" applyFont="1" applyAlignment="1">
      <alignment horizontal="right"/>
    </xf>
    <xf numFmtId="0" fontId="6" fillId="0" borderId="0" xfId="1" applyFont="1"/>
    <xf numFmtId="0" fontId="6" fillId="2" borderId="0" xfId="1" applyFont="1" applyFill="1"/>
    <xf numFmtId="0" fontId="4" fillId="0" borderId="0" xfId="1" applyFont="1" applyAlignment="1">
      <alignment horizontal="right"/>
    </xf>
    <xf numFmtId="165" fontId="4" fillId="0" borderId="0" xfId="1" applyNumberFormat="1" applyFont="1"/>
    <xf numFmtId="164" fontId="4" fillId="2" borderId="0" xfId="1" applyNumberFormat="1" applyFont="1" applyFill="1"/>
    <xf numFmtId="0" fontId="5" fillId="0" borderId="0" xfId="1" applyFont="1"/>
    <xf numFmtId="0" fontId="7" fillId="0" borderId="0" xfId="1" applyFont="1"/>
    <xf numFmtId="0" fontId="8" fillId="0" borderId="0" xfId="1" applyFont="1"/>
    <xf numFmtId="0" fontId="4" fillId="0" borderId="0" xfId="1" applyFont="1"/>
    <xf numFmtId="0" fontId="9" fillId="0" borderId="0" xfId="1" applyFont="1"/>
    <xf numFmtId="0" fontId="12" fillId="0" borderId="0" xfId="2"/>
    <xf numFmtId="2" fontId="12" fillId="0" borderId="0" xfId="2" applyNumberFormat="1"/>
    <xf numFmtId="164" fontId="12" fillId="0" borderId="0" xfId="2" applyNumberFormat="1"/>
    <xf numFmtId="165" fontId="12" fillId="0" borderId="0" xfId="2" applyNumberFormat="1"/>
    <xf numFmtId="2" fontId="2" fillId="0" borderId="0" xfId="2" applyNumberFormat="1" applyFont="1"/>
    <xf numFmtId="164" fontId="12" fillId="2" borderId="0" xfId="2" applyNumberFormat="1" applyFill="1"/>
    <xf numFmtId="2" fontId="12" fillId="0" borderId="1" xfId="2" applyNumberFormat="1" applyBorder="1"/>
    <xf numFmtId="164" fontId="12" fillId="0" borderId="1" xfId="2" applyNumberFormat="1" applyBorder="1"/>
    <xf numFmtId="165" fontId="12" fillId="0" borderId="1" xfId="2" applyNumberFormat="1" applyBorder="1"/>
    <xf numFmtId="2" fontId="2" fillId="0" borderId="1" xfId="2" applyNumberFormat="1" applyFont="1" applyBorder="1"/>
    <xf numFmtId="164" fontId="12" fillId="2" borderId="1" xfId="2" applyNumberFormat="1" applyFill="1" applyBorder="1"/>
    <xf numFmtId="0" fontId="12" fillId="0" borderId="1" xfId="2" applyBorder="1"/>
    <xf numFmtId="2" fontId="12" fillId="3" borderId="0" xfId="2" applyNumberFormat="1" applyFill="1"/>
    <xf numFmtId="164" fontId="12" fillId="3" borderId="0" xfId="2" applyNumberFormat="1" applyFill="1"/>
    <xf numFmtId="165" fontId="12" fillId="3" borderId="0" xfId="2" applyNumberFormat="1" applyFill="1"/>
    <xf numFmtId="2" fontId="2" fillId="3" borderId="0" xfId="2" applyNumberFormat="1" applyFont="1" applyFill="1"/>
    <xf numFmtId="0" fontId="12" fillId="3" borderId="0" xfId="2" applyFill="1"/>
    <xf numFmtId="0" fontId="2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166" fontId="4" fillId="0" borderId="0" xfId="2" applyNumberFormat="1" applyFont="1"/>
    <xf numFmtId="0" fontId="5" fillId="0" borderId="0" xfId="2" applyFont="1" applyAlignment="1">
      <alignment horizontal="right"/>
    </xf>
    <xf numFmtId="0" fontId="6" fillId="0" borderId="0" xfId="2" applyFont="1"/>
    <xf numFmtId="0" fontId="6" fillId="2" borderId="0" xfId="2" applyFont="1" applyFill="1"/>
    <xf numFmtId="0" fontId="4" fillId="0" borderId="0" xfId="2" applyFont="1" applyAlignment="1">
      <alignment horizontal="right"/>
    </xf>
    <xf numFmtId="165" fontId="4" fillId="0" borderId="0" xfId="2" applyNumberFormat="1" applyFont="1"/>
    <xf numFmtId="164" fontId="4" fillId="2" borderId="0" xfId="2" applyNumberFormat="1" applyFont="1" applyFill="1"/>
    <xf numFmtId="0" fontId="5" fillId="0" borderId="0" xfId="2" applyFont="1"/>
    <xf numFmtId="0" fontId="7" fillId="0" borderId="0" xfId="2" applyFont="1"/>
    <xf numFmtId="0" fontId="8" fillId="0" borderId="0" xfId="2" applyFont="1"/>
    <xf numFmtId="0" fontId="4" fillId="0" borderId="0" xfId="2" applyFont="1"/>
    <xf numFmtId="0" fontId="9" fillId="0" borderId="0" xfId="2" applyFont="1"/>
  </cellXfs>
  <cellStyles count="3">
    <cellStyle name="Normal" xfId="0" builtinId="0"/>
    <cellStyle name="Normal 2" xfId="1" xr:uid="{CF59B7E0-38E7-4E68-90A0-12B0F607A473}"/>
    <cellStyle name="Normal 3" xfId="2" xr:uid="{8FACEC5D-5DF5-4731-BF5B-1E280B8CA84A}"/>
  </cellStyles>
  <dxfs count="208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9.xml"/><Relationship Id="rId68" Type="http://schemas.openxmlformats.org/officeDocument/2006/relationships/externalLink" Target="externalLinks/externalLink14.xml"/><Relationship Id="rId84" Type="http://schemas.openxmlformats.org/officeDocument/2006/relationships/externalLink" Target="externalLinks/externalLink30.xml"/><Relationship Id="rId89" Type="http://schemas.openxmlformats.org/officeDocument/2006/relationships/externalLink" Target="externalLinks/externalLink35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53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4.xml"/><Relationship Id="rId74" Type="http://schemas.openxmlformats.org/officeDocument/2006/relationships/externalLink" Target="externalLinks/externalLink20.xml"/><Relationship Id="rId79" Type="http://schemas.openxmlformats.org/officeDocument/2006/relationships/externalLink" Target="externalLinks/externalLink25.xml"/><Relationship Id="rId102" Type="http://schemas.openxmlformats.org/officeDocument/2006/relationships/externalLink" Target="externalLinks/externalLink4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36.xml"/><Relationship Id="rId95" Type="http://schemas.openxmlformats.org/officeDocument/2006/relationships/externalLink" Target="externalLinks/externalLink4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externalLink" Target="externalLinks/externalLink10.xml"/><Relationship Id="rId69" Type="http://schemas.openxmlformats.org/officeDocument/2006/relationships/externalLink" Target="externalLinks/externalLink15.xml"/><Relationship Id="rId80" Type="http://schemas.openxmlformats.org/officeDocument/2006/relationships/externalLink" Target="externalLinks/externalLink26.xml"/><Relationship Id="rId85" Type="http://schemas.openxmlformats.org/officeDocument/2006/relationships/externalLink" Target="externalLinks/externalLink3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externalLink" Target="externalLinks/externalLink5.xml"/><Relationship Id="rId103" Type="http://schemas.openxmlformats.org/officeDocument/2006/relationships/externalLink" Target="externalLinks/externalLink49.xml"/><Relationship Id="rId108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externalLink" Target="externalLinks/externalLink16.xml"/><Relationship Id="rId75" Type="http://schemas.openxmlformats.org/officeDocument/2006/relationships/externalLink" Target="externalLinks/externalLink21.xml"/><Relationship Id="rId91" Type="http://schemas.openxmlformats.org/officeDocument/2006/relationships/externalLink" Target="externalLinks/externalLink37.xml"/><Relationship Id="rId96" Type="http://schemas.openxmlformats.org/officeDocument/2006/relationships/externalLink" Target="externalLinks/externalLink4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3.xml"/><Relationship Id="rId106" Type="http://schemas.openxmlformats.org/officeDocument/2006/relationships/externalLink" Target="externalLinks/externalLink5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6.xml"/><Relationship Id="rId65" Type="http://schemas.openxmlformats.org/officeDocument/2006/relationships/externalLink" Target="externalLinks/externalLink11.xml"/><Relationship Id="rId73" Type="http://schemas.openxmlformats.org/officeDocument/2006/relationships/externalLink" Target="externalLinks/externalLink19.xml"/><Relationship Id="rId78" Type="http://schemas.openxmlformats.org/officeDocument/2006/relationships/externalLink" Target="externalLinks/externalLink24.xml"/><Relationship Id="rId81" Type="http://schemas.openxmlformats.org/officeDocument/2006/relationships/externalLink" Target="externalLinks/externalLink27.xml"/><Relationship Id="rId86" Type="http://schemas.openxmlformats.org/officeDocument/2006/relationships/externalLink" Target="externalLinks/externalLink32.xml"/><Relationship Id="rId94" Type="http://schemas.openxmlformats.org/officeDocument/2006/relationships/externalLink" Target="externalLinks/externalLink40.xml"/><Relationship Id="rId99" Type="http://schemas.openxmlformats.org/officeDocument/2006/relationships/externalLink" Target="externalLinks/externalLink45.xml"/><Relationship Id="rId101" Type="http://schemas.openxmlformats.org/officeDocument/2006/relationships/externalLink" Target="externalLinks/externalLink4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6" Type="http://schemas.openxmlformats.org/officeDocument/2006/relationships/externalLink" Target="externalLinks/externalLink22.xml"/><Relationship Id="rId97" Type="http://schemas.openxmlformats.org/officeDocument/2006/relationships/externalLink" Target="externalLinks/externalLink43.xml"/><Relationship Id="rId104" Type="http://schemas.openxmlformats.org/officeDocument/2006/relationships/externalLink" Target="externalLinks/externalLink5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7.xml"/><Relationship Id="rId92" Type="http://schemas.openxmlformats.org/officeDocument/2006/relationships/externalLink" Target="externalLinks/externalLink38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2.xml"/><Relationship Id="rId87" Type="http://schemas.openxmlformats.org/officeDocument/2006/relationships/externalLink" Target="externalLinks/externalLink33.xml"/><Relationship Id="rId110" Type="http://schemas.openxmlformats.org/officeDocument/2006/relationships/sharedStrings" Target="sharedStrings.xml"/><Relationship Id="rId61" Type="http://schemas.openxmlformats.org/officeDocument/2006/relationships/externalLink" Target="externalLinks/externalLink7.xml"/><Relationship Id="rId82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2.xml"/><Relationship Id="rId77" Type="http://schemas.openxmlformats.org/officeDocument/2006/relationships/externalLink" Target="externalLinks/externalLink23.xml"/><Relationship Id="rId100" Type="http://schemas.openxmlformats.org/officeDocument/2006/relationships/externalLink" Target="externalLinks/externalLink46.xml"/><Relationship Id="rId105" Type="http://schemas.openxmlformats.org/officeDocument/2006/relationships/externalLink" Target="externalLinks/externalLink5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8.xml"/><Relationship Id="rId93" Type="http://schemas.openxmlformats.org/officeDocument/2006/relationships/externalLink" Target="externalLinks/externalLink39.xml"/><Relationship Id="rId98" Type="http://schemas.openxmlformats.org/officeDocument/2006/relationships/externalLink" Target="externalLinks/externalLink4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1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8.xml"/><Relationship Id="rId83" Type="http://schemas.openxmlformats.org/officeDocument/2006/relationships/externalLink" Target="externalLinks/externalLink29.xml"/><Relationship Id="rId88" Type="http://schemas.openxmlformats.org/officeDocument/2006/relationships/externalLink" Target="externalLinks/externalLink34.xml"/><Relationship Id="rId111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'DOY128'!$J$10:$J$39</c:f>
              <c:numCache>
                <c:formatCode>0.000</c:formatCode>
                <c:ptCount val="30"/>
                <c:pt idx="0">
                  <c:v>13.115</c:v>
                </c:pt>
                <c:pt idx="1">
                  <c:v>13.106999999999999</c:v>
                </c:pt>
                <c:pt idx="2">
                  <c:v>13.098000000000001</c:v>
                </c:pt>
                <c:pt idx="3">
                  <c:v>13.089</c:v>
                </c:pt>
                <c:pt idx="4">
                  <c:v>13.081</c:v>
                </c:pt>
                <c:pt idx="5">
                  <c:v>13.071999999999999</c:v>
                </c:pt>
                <c:pt idx="6">
                  <c:v>13.063000000000001</c:v>
                </c:pt>
                <c:pt idx="7">
                  <c:v>13.054</c:v>
                </c:pt>
                <c:pt idx="8">
                  <c:v>13.132999999999999</c:v>
                </c:pt>
                <c:pt idx="9">
                  <c:v>13.138</c:v>
                </c:pt>
                <c:pt idx="10">
                  <c:v>13.146000000000001</c:v>
                </c:pt>
                <c:pt idx="11">
                  <c:v>13.151999999999999</c:v>
                </c:pt>
                <c:pt idx="12">
                  <c:v>13.157999999999999</c:v>
                </c:pt>
                <c:pt idx="13">
                  <c:v>13.164</c:v>
                </c:pt>
                <c:pt idx="14">
                  <c:v>13.169</c:v>
                </c:pt>
                <c:pt idx="15">
                  <c:v>13.176</c:v>
                </c:pt>
                <c:pt idx="16">
                  <c:v>13.272</c:v>
                </c:pt>
                <c:pt idx="17">
                  <c:v>13.278</c:v>
                </c:pt>
                <c:pt idx="18">
                  <c:v>13.282999999999999</c:v>
                </c:pt>
                <c:pt idx="19">
                  <c:v>13.289</c:v>
                </c:pt>
                <c:pt idx="20">
                  <c:v>13.295</c:v>
                </c:pt>
                <c:pt idx="21">
                  <c:v>13.301</c:v>
                </c:pt>
                <c:pt idx="22">
                  <c:v>13.307</c:v>
                </c:pt>
                <c:pt idx="23">
                  <c:v>13.313000000000001</c:v>
                </c:pt>
                <c:pt idx="24">
                  <c:v>13.391999999999999</c:v>
                </c:pt>
                <c:pt idx="25">
                  <c:v>13.382</c:v>
                </c:pt>
                <c:pt idx="26">
                  <c:v>13.374000000000001</c:v>
                </c:pt>
                <c:pt idx="27">
                  <c:v>13.365</c:v>
                </c:pt>
                <c:pt idx="28">
                  <c:v>13.356</c:v>
                </c:pt>
                <c:pt idx="29">
                  <c:v>13.347</c:v>
                </c:pt>
              </c:numCache>
            </c:numRef>
          </c:xVal>
          <c:yVal>
            <c:numRef>
              <c:f>'DOY128'!$W$10:$W$39</c:f>
              <c:numCache>
                <c:formatCode>0.00</c:formatCode>
                <c:ptCount val="30"/>
                <c:pt idx="0">
                  <c:v>43.521943048886243</c:v>
                </c:pt>
                <c:pt idx="1">
                  <c:v>43.573965493840213</c:v>
                </c:pt>
                <c:pt idx="2">
                  <c:v>43.383534591522498</c:v>
                </c:pt>
                <c:pt idx="3">
                  <c:v>43.134024348075947</c:v>
                </c:pt>
                <c:pt idx="4">
                  <c:v>43.839974179651449</c:v>
                </c:pt>
                <c:pt idx="5">
                  <c:v>43.871058413039428</c:v>
                </c:pt>
                <c:pt idx="6">
                  <c:v>44.438360265536232</c:v>
                </c:pt>
                <c:pt idx="7">
                  <c:v>44.564139424474519</c:v>
                </c:pt>
                <c:pt idx="8">
                  <c:v>44.195720232222037</c:v>
                </c:pt>
                <c:pt idx="9">
                  <c:v>44.037380963446331</c:v>
                </c:pt>
                <c:pt idx="10">
                  <c:v>44.490069218833874</c:v>
                </c:pt>
                <c:pt idx="11">
                  <c:v>44.30793156742552</c:v>
                </c:pt>
                <c:pt idx="12">
                  <c:v>44.08757529413478</c:v>
                </c:pt>
                <c:pt idx="13">
                  <c:v>44.940746196291542</c:v>
                </c:pt>
                <c:pt idx="14">
                  <c:v>44.556938110795052</c:v>
                </c:pt>
                <c:pt idx="15">
                  <c:v>44.580581508788619</c:v>
                </c:pt>
                <c:pt idx="16">
                  <c:v>42.851802532531075</c:v>
                </c:pt>
                <c:pt idx="17">
                  <c:v>42.761586122341839</c:v>
                </c:pt>
                <c:pt idx="18">
                  <c:v>42.94417816053295</c:v>
                </c:pt>
                <c:pt idx="19">
                  <c:v>43.85500731270119</c:v>
                </c:pt>
                <c:pt idx="20">
                  <c:v>43.966267605801228</c:v>
                </c:pt>
                <c:pt idx="21">
                  <c:v>44.052678274858131</c:v>
                </c:pt>
                <c:pt idx="22">
                  <c:v>44.444843014070869</c:v>
                </c:pt>
                <c:pt idx="23">
                  <c:v>44.596678400042968</c:v>
                </c:pt>
                <c:pt idx="24">
                  <c:v>43.058781190507716</c:v>
                </c:pt>
                <c:pt idx="25">
                  <c:v>42.387605094973239</c:v>
                </c:pt>
                <c:pt idx="26">
                  <c:v>43.234333944414779</c:v>
                </c:pt>
                <c:pt idx="27">
                  <c:v>43.702425182558976</c:v>
                </c:pt>
                <c:pt idx="28">
                  <c:v>44.007487293876729</c:v>
                </c:pt>
                <c:pt idx="29">
                  <c:v>43.649673605325688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4-4A63-A50D-B41F6B128458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'DOY128'!$J$48:$J$85</c:f>
              <c:numCache>
                <c:formatCode>0.000</c:formatCode>
                <c:ptCount val="38"/>
                <c:pt idx="0">
                  <c:v>13.199</c:v>
                </c:pt>
                <c:pt idx="1">
                  <c:v>13.19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'DOY128'!$W$48:$W$85</c:f>
              <c:numCache>
                <c:formatCode>0.00</c:formatCode>
                <c:ptCount val="38"/>
                <c:pt idx="0">
                  <c:v>48.527627262070062</c:v>
                </c:pt>
                <c:pt idx="1">
                  <c:v>44.064794878790622</c:v>
                </c:pt>
                <c:pt idx="2">
                  <c:v>-0.97538515428118211</c:v>
                </c:pt>
                <c:pt idx="3">
                  <c:v>-0.97538515428118211</c:v>
                </c:pt>
                <c:pt idx="4">
                  <c:v>-0.97538515428118211</c:v>
                </c:pt>
                <c:pt idx="5">
                  <c:v>-0.97538515428118211</c:v>
                </c:pt>
                <c:pt idx="6">
                  <c:v>-0.97538515428118211</c:v>
                </c:pt>
                <c:pt idx="7">
                  <c:v>-0.97538515428118211</c:v>
                </c:pt>
                <c:pt idx="8">
                  <c:v>-0.97538515428118211</c:v>
                </c:pt>
                <c:pt idx="9">
                  <c:v>-0.97538515428118211</c:v>
                </c:pt>
                <c:pt idx="10">
                  <c:v>-0.97538515428118211</c:v>
                </c:pt>
                <c:pt idx="11">
                  <c:v>-0.97538515428118211</c:v>
                </c:pt>
                <c:pt idx="12">
                  <c:v>-0.97538515428118211</c:v>
                </c:pt>
                <c:pt idx="13">
                  <c:v>-0.97538515428118211</c:v>
                </c:pt>
                <c:pt idx="14">
                  <c:v>-0.97538515428118211</c:v>
                </c:pt>
                <c:pt idx="15">
                  <c:v>-0.97538515428118211</c:v>
                </c:pt>
                <c:pt idx="16">
                  <c:v>-0.97538515428118211</c:v>
                </c:pt>
                <c:pt idx="17">
                  <c:v>-0.97538515428118211</c:v>
                </c:pt>
                <c:pt idx="18">
                  <c:v>-0.97538515428118211</c:v>
                </c:pt>
                <c:pt idx="19">
                  <c:v>-0.97538515428118211</c:v>
                </c:pt>
                <c:pt idx="20">
                  <c:v>-0.97538515428118211</c:v>
                </c:pt>
                <c:pt idx="21">
                  <c:v>-0.97538515428118211</c:v>
                </c:pt>
                <c:pt idx="22">
                  <c:v>-0.97538515428118211</c:v>
                </c:pt>
                <c:pt idx="23">
                  <c:v>-0.97538515428118211</c:v>
                </c:pt>
                <c:pt idx="24">
                  <c:v>-0.97538515428118211</c:v>
                </c:pt>
                <c:pt idx="25">
                  <c:v>-0.97538515428118211</c:v>
                </c:pt>
                <c:pt idx="26">
                  <c:v>-0.97538515428118211</c:v>
                </c:pt>
                <c:pt idx="27">
                  <c:v>-0.97538515428118211</c:v>
                </c:pt>
                <c:pt idx="28">
                  <c:v>-0.97538515428118211</c:v>
                </c:pt>
                <c:pt idx="29">
                  <c:v>-0.97538515428118211</c:v>
                </c:pt>
                <c:pt idx="30">
                  <c:v>-0.97538515428118211</c:v>
                </c:pt>
                <c:pt idx="31">
                  <c:v>-0.97538515428118211</c:v>
                </c:pt>
                <c:pt idx="32">
                  <c:v>-0.97538515428118211</c:v>
                </c:pt>
                <c:pt idx="33">
                  <c:v>-0.97538515428118211</c:v>
                </c:pt>
                <c:pt idx="34">
                  <c:v>-0.97538515428118211</c:v>
                </c:pt>
                <c:pt idx="35">
                  <c:v>-0.97538515428118211</c:v>
                </c:pt>
                <c:pt idx="36">
                  <c:v>-0.97538515428118211</c:v>
                </c:pt>
                <c:pt idx="37">
                  <c:v>-0.97538515428118211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24-4A63-A50D-B41F6B128458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('DOY128'!$J$17,'DOY128'!$J$26)</c:f>
              <c:numCache>
                <c:formatCode>0.000</c:formatCode>
                <c:ptCount val="2"/>
                <c:pt idx="0">
                  <c:v>13.054</c:v>
                </c:pt>
                <c:pt idx="1">
                  <c:v>13.272</c:v>
                </c:pt>
              </c:numCache>
            </c:numRef>
          </c:xVal>
          <c:yVal>
            <c:numRef>
              <c:f>('DOY128'!$W$17,'DOY128'!$W$26)</c:f>
              <c:numCache>
                <c:formatCode>0.00</c:formatCode>
                <c:ptCount val="2"/>
                <c:pt idx="0">
                  <c:v>44.564139424474519</c:v>
                </c:pt>
                <c:pt idx="1">
                  <c:v>42.851802532531075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24-4A63-A50D-B41F6B128458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('DOY128'!$J$59,'DOY128'!$J$68)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('DOY128'!$W$59,'DOY128'!$W$68)</c:f>
              <c:numCache>
                <c:formatCode>0.00</c:formatCode>
                <c:ptCount val="2"/>
                <c:pt idx="0">
                  <c:v>-0.97538515428118211</c:v>
                </c:pt>
                <c:pt idx="1">
                  <c:v>-0.97538515428118211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24-4A63-A50D-B41F6B128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673999"/>
        <c:axId val="1"/>
      </c:scatterChart>
      <c:valAx>
        <c:axId val="1581673999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1673999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'DOY132'!$J$10:$J$39</c:f>
              <c:numCache>
                <c:formatCode>0.000</c:formatCode>
                <c:ptCount val="30"/>
                <c:pt idx="0">
                  <c:v>13.103</c:v>
                </c:pt>
                <c:pt idx="1">
                  <c:v>13.093999999999999</c:v>
                </c:pt>
                <c:pt idx="2">
                  <c:v>13.085000000000001</c:v>
                </c:pt>
                <c:pt idx="3">
                  <c:v>13.077</c:v>
                </c:pt>
                <c:pt idx="4">
                  <c:v>13.068</c:v>
                </c:pt>
                <c:pt idx="5">
                  <c:v>13.06</c:v>
                </c:pt>
                <c:pt idx="6">
                  <c:v>13.051</c:v>
                </c:pt>
                <c:pt idx="7">
                  <c:v>13.042999999999999</c:v>
                </c:pt>
                <c:pt idx="8">
                  <c:v>13.135</c:v>
                </c:pt>
                <c:pt idx="9">
                  <c:v>13.14</c:v>
                </c:pt>
                <c:pt idx="10">
                  <c:v>13.148</c:v>
                </c:pt>
                <c:pt idx="11">
                  <c:v>13.153</c:v>
                </c:pt>
                <c:pt idx="12">
                  <c:v>13.159000000000001</c:v>
                </c:pt>
                <c:pt idx="13">
                  <c:v>13.164</c:v>
                </c:pt>
                <c:pt idx="14">
                  <c:v>13.169</c:v>
                </c:pt>
                <c:pt idx="15">
                  <c:v>13.175000000000001</c:v>
                </c:pt>
                <c:pt idx="16">
                  <c:v>13.27</c:v>
                </c:pt>
                <c:pt idx="17">
                  <c:v>13.276</c:v>
                </c:pt>
                <c:pt idx="18">
                  <c:v>13.281000000000001</c:v>
                </c:pt>
                <c:pt idx="19">
                  <c:v>13.287000000000001</c:v>
                </c:pt>
                <c:pt idx="20">
                  <c:v>13.292</c:v>
                </c:pt>
                <c:pt idx="21">
                  <c:v>13.298</c:v>
                </c:pt>
                <c:pt idx="22">
                  <c:v>13.303000000000001</c:v>
                </c:pt>
                <c:pt idx="23">
                  <c:v>13.308999999999999</c:v>
                </c:pt>
                <c:pt idx="24">
                  <c:v>13.385999999999999</c:v>
                </c:pt>
                <c:pt idx="25">
                  <c:v>13.377000000000001</c:v>
                </c:pt>
                <c:pt idx="26">
                  <c:v>13.369</c:v>
                </c:pt>
                <c:pt idx="27">
                  <c:v>13.36</c:v>
                </c:pt>
                <c:pt idx="28">
                  <c:v>13.351000000000001</c:v>
                </c:pt>
                <c:pt idx="29">
                  <c:v>13.343</c:v>
                </c:pt>
              </c:numCache>
            </c:numRef>
          </c:xVal>
          <c:yVal>
            <c:numRef>
              <c:f>'DOY132'!$W$10:$W$39</c:f>
              <c:numCache>
                <c:formatCode>0.00</c:formatCode>
                <c:ptCount val="30"/>
                <c:pt idx="0">
                  <c:v>39.236021936608736</c:v>
                </c:pt>
                <c:pt idx="1">
                  <c:v>40.733551054747103</c:v>
                </c:pt>
                <c:pt idx="2">
                  <c:v>41.486645214464772</c:v>
                </c:pt>
                <c:pt idx="3">
                  <c:v>38.36100681781641</c:v>
                </c:pt>
                <c:pt idx="4">
                  <c:v>38.326069102720368</c:v>
                </c:pt>
                <c:pt idx="5">
                  <c:v>40.057224865400222</c:v>
                </c:pt>
                <c:pt idx="6">
                  <c:v>42.922959676426579</c:v>
                </c:pt>
                <c:pt idx="7">
                  <c:v>40.509020386394546</c:v>
                </c:pt>
                <c:pt idx="8">
                  <c:v>40.687854424029062</c:v>
                </c:pt>
                <c:pt idx="9">
                  <c:v>39.633975892799512</c:v>
                </c:pt>
                <c:pt idx="10">
                  <c:v>41.693068909410528</c:v>
                </c:pt>
                <c:pt idx="11">
                  <c:v>41.104134559908942</c:v>
                </c:pt>
                <c:pt idx="12">
                  <c:v>39.501104236963641</c:v>
                </c:pt>
                <c:pt idx="13">
                  <c:v>41.444535937433081</c:v>
                </c:pt>
                <c:pt idx="14">
                  <c:v>42.450370361370886</c:v>
                </c:pt>
                <c:pt idx="15">
                  <c:v>42.283299117134234</c:v>
                </c:pt>
                <c:pt idx="16">
                  <c:v>38.706893733914548</c:v>
                </c:pt>
                <c:pt idx="17">
                  <c:v>38.185659934561222</c:v>
                </c:pt>
                <c:pt idx="18">
                  <c:v>38.70286488718066</c:v>
                </c:pt>
                <c:pt idx="19">
                  <c:v>39.635192685983554</c:v>
                </c:pt>
                <c:pt idx="20">
                  <c:v>39.726958942563598</c:v>
                </c:pt>
                <c:pt idx="21">
                  <c:v>39.152575160303698</c:v>
                </c:pt>
                <c:pt idx="22">
                  <c:v>42.90190642215871</c:v>
                </c:pt>
                <c:pt idx="23">
                  <c:v>44.848203388791518</c:v>
                </c:pt>
                <c:pt idx="24">
                  <c:v>38.914948666889913</c:v>
                </c:pt>
                <c:pt idx="25">
                  <c:v>36.003621765667042</c:v>
                </c:pt>
                <c:pt idx="26">
                  <c:v>40.396469330169069</c:v>
                </c:pt>
                <c:pt idx="27">
                  <c:v>39.820153335017345</c:v>
                </c:pt>
                <c:pt idx="28">
                  <c:v>39.307997899962153</c:v>
                </c:pt>
                <c:pt idx="29">
                  <c:v>38.406506195357437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2-4EA5-992F-2C096B6118B9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'DOY132'!$J$48:$J$85</c:f>
              <c:numCache>
                <c:formatCode>0.000</c:formatCode>
                <c:ptCount val="38"/>
                <c:pt idx="0">
                  <c:v>13.198</c:v>
                </c:pt>
                <c:pt idx="1">
                  <c:v>13.189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'DOY132'!$W$48:$W$85</c:f>
              <c:numCache>
                <c:formatCode>0.00</c:formatCode>
                <c:ptCount val="38"/>
                <c:pt idx="0">
                  <c:v>58.352480809576122</c:v>
                </c:pt>
                <c:pt idx="1">
                  <c:v>39.855316105374577</c:v>
                </c:pt>
                <c:pt idx="2">
                  <c:v>-0.76818973658313661</c:v>
                </c:pt>
                <c:pt idx="3">
                  <c:v>-0.76818973658313661</c:v>
                </c:pt>
                <c:pt idx="4">
                  <c:v>-0.76818973658313661</c:v>
                </c:pt>
                <c:pt idx="5">
                  <c:v>-0.76818973658313661</c:v>
                </c:pt>
                <c:pt idx="6">
                  <c:v>-0.76818973658313661</c:v>
                </c:pt>
                <c:pt idx="7">
                  <c:v>-0.76818973658313661</c:v>
                </c:pt>
                <c:pt idx="8">
                  <c:v>-0.76818973658313661</c:v>
                </c:pt>
                <c:pt idx="9">
                  <c:v>-0.76818973658313661</c:v>
                </c:pt>
                <c:pt idx="10">
                  <c:v>-0.76818973658313661</c:v>
                </c:pt>
                <c:pt idx="11">
                  <c:v>-0.76818973658313661</c:v>
                </c:pt>
                <c:pt idx="12">
                  <c:v>-0.76818973658313661</c:v>
                </c:pt>
                <c:pt idx="13">
                  <c:v>-0.76818973658313661</c:v>
                </c:pt>
                <c:pt idx="14">
                  <c:v>-0.76818973658313661</c:v>
                </c:pt>
                <c:pt idx="15">
                  <c:v>-0.76818973658313661</c:v>
                </c:pt>
                <c:pt idx="16">
                  <c:v>-0.76818973658313661</c:v>
                </c:pt>
                <c:pt idx="17">
                  <c:v>-0.76818973658313661</c:v>
                </c:pt>
                <c:pt idx="18">
                  <c:v>-0.76818973658313661</c:v>
                </c:pt>
                <c:pt idx="19">
                  <c:v>-0.76818973658313661</c:v>
                </c:pt>
                <c:pt idx="20">
                  <c:v>-0.76818973658313661</c:v>
                </c:pt>
                <c:pt idx="21">
                  <c:v>-0.76818973658313661</c:v>
                </c:pt>
                <c:pt idx="22">
                  <c:v>-0.76818973658313661</c:v>
                </c:pt>
                <c:pt idx="23">
                  <c:v>-0.76818973658313661</c:v>
                </c:pt>
                <c:pt idx="24">
                  <c:v>-0.76818973658313661</c:v>
                </c:pt>
                <c:pt idx="25">
                  <c:v>-0.76818973658313661</c:v>
                </c:pt>
                <c:pt idx="26">
                  <c:v>-0.76818973658313661</c:v>
                </c:pt>
                <c:pt idx="27">
                  <c:v>-0.76818973658313661</c:v>
                </c:pt>
                <c:pt idx="28">
                  <c:v>-0.76818973658313661</c:v>
                </c:pt>
                <c:pt idx="29">
                  <c:v>-0.76818973658313661</c:v>
                </c:pt>
                <c:pt idx="30">
                  <c:v>-0.76818973658313661</c:v>
                </c:pt>
                <c:pt idx="31">
                  <c:v>-0.76818973658313661</c:v>
                </c:pt>
                <c:pt idx="32">
                  <c:v>-0.76818973658313661</c:v>
                </c:pt>
                <c:pt idx="33">
                  <c:v>-0.76818973658313661</c:v>
                </c:pt>
                <c:pt idx="34">
                  <c:v>-0.76818973658313661</c:v>
                </c:pt>
                <c:pt idx="35">
                  <c:v>-0.76818973658313661</c:v>
                </c:pt>
                <c:pt idx="36">
                  <c:v>-0.76818973658313661</c:v>
                </c:pt>
                <c:pt idx="37">
                  <c:v>-0.76818973658313661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02-4EA5-992F-2C096B6118B9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('DOY132'!$J$17,'DOY132'!$J$26)</c:f>
              <c:numCache>
                <c:formatCode>0.000</c:formatCode>
                <c:ptCount val="2"/>
                <c:pt idx="0">
                  <c:v>13.042999999999999</c:v>
                </c:pt>
                <c:pt idx="1">
                  <c:v>13.27</c:v>
                </c:pt>
              </c:numCache>
            </c:numRef>
          </c:xVal>
          <c:yVal>
            <c:numRef>
              <c:f>('DOY132'!$W$17,'DOY132'!$W$26)</c:f>
              <c:numCache>
                <c:formatCode>0.00</c:formatCode>
                <c:ptCount val="2"/>
                <c:pt idx="0">
                  <c:v>40.509020386394546</c:v>
                </c:pt>
                <c:pt idx="1">
                  <c:v>38.706893733914548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02-4EA5-992F-2C096B6118B9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('DOY132'!$J$59,'DOY132'!$J$68)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('DOY132'!$W$59,'DOY132'!$W$68)</c:f>
              <c:numCache>
                <c:formatCode>0.00</c:formatCode>
                <c:ptCount val="2"/>
                <c:pt idx="0">
                  <c:v>-0.76818973658313661</c:v>
                </c:pt>
                <c:pt idx="1">
                  <c:v>-0.76818973658313661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02-4EA5-992F-2C096B611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673999"/>
        <c:axId val="1"/>
      </c:scatterChart>
      <c:valAx>
        <c:axId val="1581673999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1673999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'DOY136'!$J$10:$J$39</c:f>
              <c:numCache>
                <c:formatCode>0.000</c:formatCode>
                <c:ptCount val="30"/>
                <c:pt idx="0">
                  <c:v>13.365</c:v>
                </c:pt>
                <c:pt idx="1">
                  <c:v>13.356</c:v>
                </c:pt>
                <c:pt idx="2">
                  <c:v>13.348000000000001</c:v>
                </c:pt>
                <c:pt idx="3">
                  <c:v>13.34</c:v>
                </c:pt>
                <c:pt idx="4">
                  <c:v>13.331</c:v>
                </c:pt>
                <c:pt idx="5">
                  <c:v>13.323</c:v>
                </c:pt>
                <c:pt idx="6">
                  <c:v>13.315</c:v>
                </c:pt>
                <c:pt idx="7">
                  <c:v>13.307</c:v>
                </c:pt>
                <c:pt idx="8">
                  <c:v>13.377000000000001</c:v>
                </c:pt>
                <c:pt idx="9">
                  <c:v>13.382</c:v>
                </c:pt>
                <c:pt idx="10">
                  <c:v>13.387</c:v>
                </c:pt>
                <c:pt idx="11">
                  <c:v>13.391999999999999</c:v>
                </c:pt>
                <c:pt idx="12">
                  <c:v>13.398</c:v>
                </c:pt>
                <c:pt idx="13">
                  <c:v>13.403</c:v>
                </c:pt>
                <c:pt idx="14">
                  <c:v>13.407999999999999</c:v>
                </c:pt>
                <c:pt idx="15">
                  <c:v>13.413</c:v>
                </c:pt>
                <c:pt idx="16">
                  <c:v>13.103999999999999</c:v>
                </c:pt>
                <c:pt idx="17">
                  <c:v>13.109</c:v>
                </c:pt>
                <c:pt idx="18">
                  <c:v>13.115</c:v>
                </c:pt>
                <c:pt idx="19">
                  <c:v>13.12</c:v>
                </c:pt>
                <c:pt idx="20">
                  <c:v>13.127000000000001</c:v>
                </c:pt>
                <c:pt idx="21">
                  <c:v>13.132</c:v>
                </c:pt>
                <c:pt idx="22">
                  <c:v>13.138</c:v>
                </c:pt>
                <c:pt idx="23">
                  <c:v>13.143000000000001</c:v>
                </c:pt>
                <c:pt idx="24">
                  <c:v>13.254</c:v>
                </c:pt>
                <c:pt idx="25">
                  <c:v>13.244999999999999</c:v>
                </c:pt>
                <c:pt idx="26">
                  <c:v>13.236000000000001</c:v>
                </c:pt>
                <c:pt idx="27">
                  <c:v>13.227</c:v>
                </c:pt>
                <c:pt idx="28">
                  <c:v>13.217000000000001</c:v>
                </c:pt>
                <c:pt idx="29">
                  <c:v>13.208</c:v>
                </c:pt>
              </c:numCache>
            </c:numRef>
          </c:xVal>
          <c:yVal>
            <c:numRef>
              <c:f>'DOY136'!$W$10:$W$39</c:f>
              <c:numCache>
                <c:formatCode>0.00</c:formatCode>
                <c:ptCount val="30"/>
                <c:pt idx="0">
                  <c:v>51.59725210246345</c:v>
                </c:pt>
                <c:pt idx="1">
                  <c:v>51.313952816142425</c:v>
                </c:pt>
                <c:pt idx="2">
                  <c:v>52.06655975685058</c:v>
                </c:pt>
                <c:pt idx="3">
                  <c:v>51.632647349779297</c:v>
                </c:pt>
                <c:pt idx="4">
                  <c:v>50.937444670913912</c:v>
                </c:pt>
                <c:pt idx="5">
                  <c:v>51.436056184999238</c:v>
                </c:pt>
                <c:pt idx="6">
                  <c:v>52.073350525003754</c:v>
                </c:pt>
                <c:pt idx="7">
                  <c:v>51.389477387022424</c:v>
                </c:pt>
                <c:pt idx="8">
                  <c:v>51.852196998471214</c:v>
                </c:pt>
                <c:pt idx="9">
                  <c:v>51.423099682345907</c:v>
                </c:pt>
                <c:pt idx="10">
                  <c:v>51.979407815661354</c:v>
                </c:pt>
                <c:pt idx="11">
                  <c:v>52.076512047873742</c:v>
                </c:pt>
                <c:pt idx="12">
                  <c:v>51.03134196628131</c:v>
                </c:pt>
                <c:pt idx="13">
                  <c:v>51.969978786265663</c:v>
                </c:pt>
                <c:pt idx="14">
                  <c:v>51.515860822285866</c:v>
                </c:pt>
                <c:pt idx="15">
                  <c:v>51.988951510817834</c:v>
                </c:pt>
                <c:pt idx="16">
                  <c:v>47.204718211696523</c:v>
                </c:pt>
                <c:pt idx="17">
                  <c:v>50.116850294707938</c:v>
                </c:pt>
                <c:pt idx="18">
                  <c:v>50.222695119856105</c:v>
                </c:pt>
                <c:pt idx="19">
                  <c:v>50.952733364850864</c:v>
                </c:pt>
                <c:pt idx="20">
                  <c:v>50.550084832453784</c:v>
                </c:pt>
                <c:pt idx="21">
                  <c:v>50.723983641343729</c:v>
                </c:pt>
                <c:pt idx="22">
                  <c:v>37.170971518465663</c:v>
                </c:pt>
                <c:pt idx="23">
                  <c:v>51.962981770519526</c:v>
                </c:pt>
                <c:pt idx="24">
                  <c:v>51.466444937170991</c:v>
                </c:pt>
                <c:pt idx="25">
                  <c:v>50.697277724009773</c:v>
                </c:pt>
                <c:pt idx="26">
                  <c:v>51.786994191380153</c:v>
                </c:pt>
                <c:pt idx="27">
                  <c:v>51.597838389956685</c:v>
                </c:pt>
                <c:pt idx="28">
                  <c:v>51.454946322135186</c:v>
                </c:pt>
                <c:pt idx="29">
                  <c:v>50.996208947667895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C8-4E87-8436-84E48B250F49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'DOY136'!$J$48:$J$85</c:f>
              <c:numCache>
                <c:formatCode>0.000</c:formatCode>
                <c:ptCount val="38"/>
                <c:pt idx="0">
                  <c:v>13.045999999999999</c:v>
                </c:pt>
                <c:pt idx="1">
                  <c:v>13.038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'DOY136'!$W$48:$W$85</c:f>
              <c:numCache>
                <c:formatCode>0.00</c:formatCode>
                <c:ptCount val="38"/>
                <c:pt idx="0">
                  <c:v>60.350309277936596</c:v>
                </c:pt>
                <c:pt idx="1">
                  <c:v>50.865806855863944</c:v>
                </c:pt>
                <c:pt idx="2">
                  <c:v>-0.69867901580701808</c:v>
                </c:pt>
                <c:pt idx="3">
                  <c:v>-0.69867901580701808</c:v>
                </c:pt>
                <c:pt idx="4">
                  <c:v>-0.69867901580701808</c:v>
                </c:pt>
                <c:pt idx="5">
                  <c:v>-0.69867901580701808</c:v>
                </c:pt>
                <c:pt idx="6">
                  <c:v>-0.69867901580701808</c:v>
                </c:pt>
                <c:pt idx="7">
                  <c:v>-0.69867901580701808</c:v>
                </c:pt>
                <c:pt idx="8">
                  <c:v>-0.69867901580701808</c:v>
                </c:pt>
                <c:pt idx="9">
                  <c:v>-0.69867901580701808</c:v>
                </c:pt>
                <c:pt idx="10">
                  <c:v>-0.69867901580701808</c:v>
                </c:pt>
                <c:pt idx="11">
                  <c:v>-0.69867901580701808</c:v>
                </c:pt>
                <c:pt idx="12">
                  <c:v>-0.69867901580701808</c:v>
                </c:pt>
                <c:pt idx="13">
                  <c:v>-0.69867901580701808</c:v>
                </c:pt>
                <c:pt idx="14">
                  <c:v>-0.69867901580701808</c:v>
                </c:pt>
                <c:pt idx="15">
                  <c:v>-0.69867901580701808</c:v>
                </c:pt>
                <c:pt idx="16">
                  <c:v>-0.69867901580701808</c:v>
                </c:pt>
                <c:pt idx="17">
                  <c:v>-0.69867901580701808</c:v>
                </c:pt>
                <c:pt idx="18">
                  <c:v>-0.69867901580701808</c:v>
                </c:pt>
                <c:pt idx="19">
                  <c:v>-0.69867901580701808</c:v>
                </c:pt>
                <c:pt idx="20">
                  <c:v>-0.69867901580701808</c:v>
                </c:pt>
                <c:pt idx="21">
                  <c:v>-0.69867901580701808</c:v>
                </c:pt>
                <c:pt idx="22">
                  <c:v>-0.69867901580701808</c:v>
                </c:pt>
                <c:pt idx="23">
                  <c:v>-0.69867901580701808</c:v>
                </c:pt>
                <c:pt idx="24">
                  <c:v>-0.69867901580701808</c:v>
                </c:pt>
                <c:pt idx="25">
                  <c:v>-0.69867901580701808</c:v>
                </c:pt>
                <c:pt idx="26">
                  <c:v>-0.69867901580701808</c:v>
                </c:pt>
                <c:pt idx="27">
                  <c:v>-0.69867901580701808</c:v>
                </c:pt>
                <c:pt idx="28">
                  <c:v>-0.69867901580701808</c:v>
                </c:pt>
                <c:pt idx="29">
                  <c:v>-0.69867901580701808</c:v>
                </c:pt>
                <c:pt idx="30">
                  <c:v>-0.69867901580701808</c:v>
                </c:pt>
                <c:pt idx="31">
                  <c:v>-0.69867901580701808</c:v>
                </c:pt>
                <c:pt idx="32">
                  <c:v>-0.69867901580701808</c:v>
                </c:pt>
                <c:pt idx="33">
                  <c:v>-0.69867901580701808</c:v>
                </c:pt>
                <c:pt idx="34">
                  <c:v>-0.69867901580701808</c:v>
                </c:pt>
                <c:pt idx="35">
                  <c:v>-0.69867901580701808</c:v>
                </c:pt>
                <c:pt idx="36">
                  <c:v>-0.69867901580701808</c:v>
                </c:pt>
                <c:pt idx="37">
                  <c:v>-0.69867901580701808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C8-4E87-8436-84E48B250F49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('DOY136'!$J$17,'DOY136'!$J$26)</c:f>
              <c:numCache>
                <c:formatCode>0.000</c:formatCode>
                <c:ptCount val="2"/>
                <c:pt idx="0">
                  <c:v>13.307</c:v>
                </c:pt>
                <c:pt idx="1">
                  <c:v>13.103999999999999</c:v>
                </c:pt>
              </c:numCache>
            </c:numRef>
          </c:xVal>
          <c:yVal>
            <c:numRef>
              <c:f>('DOY136'!$W$17,'DOY136'!$W$26)</c:f>
              <c:numCache>
                <c:formatCode>0.00</c:formatCode>
                <c:ptCount val="2"/>
                <c:pt idx="0">
                  <c:v>51.389477387022424</c:v>
                </c:pt>
                <c:pt idx="1">
                  <c:v>47.204718211696523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C8-4E87-8436-84E48B250F49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('DOY136'!$J$59,'DOY136'!$J$68)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('DOY136'!$W$59,'DOY136'!$W$68)</c:f>
              <c:numCache>
                <c:formatCode>0.00</c:formatCode>
                <c:ptCount val="2"/>
                <c:pt idx="0">
                  <c:v>-0.69867901580701808</c:v>
                </c:pt>
                <c:pt idx="1">
                  <c:v>-0.69867901580701808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C8-4E87-8436-84E48B250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667759"/>
        <c:axId val="1"/>
      </c:scatterChart>
      <c:valAx>
        <c:axId val="1581667759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1667759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'DOY139'!$J$10:$J$39</c:f>
              <c:numCache>
                <c:formatCode>0.000</c:formatCode>
                <c:ptCount val="30"/>
                <c:pt idx="0">
                  <c:v>12.973000000000001</c:v>
                </c:pt>
                <c:pt idx="1">
                  <c:v>12.964</c:v>
                </c:pt>
                <c:pt idx="2">
                  <c:v>12.956</c:v>
                </c:pt>
                <c:pt idx="3">
                  <c:v>12.946999999999999</c:v>
                </c:pt>
                <c:pt idx="4">
                  <c:v>12.939</c:v>
                </c:pt>
                <c:pt idx="5">
                  <c:v>12.930999999999999</c:v>
                </c:pt>
                <c:pt idx="6">
                  <c:v>12.922000000000001</c:v>
                </c:pt>
                <c:pt idx="7">
                  <c:v>12.914</c:v>
                </c:pt>
                <c:pt idx="8">
                  <c:v>12.984999999999999</c:v>
                </c:pt>
                <c:pt idx="9">
                  <c:v>12.99</c:v>
                </c:pt>
                <c:pt idx="10">
                  <c:v>12.994999999999999</c:v>
                </c:pt>
                <c:pt idx="11">
                  <c:v>13</c:v>
                </c:pt>
                <c:pt idx="12">
                  <c:v>13.005000000000001</c:v>
                </c:pt>
                <c:pt idx="13">
                  <c:v>13.01</c:v>
                </c:pt>
                <c:pt idx="14">
                  <c:v>13.015000000000001</c:v>
                </c:pt>
                <c:pt idx="15">
                  <c:v>13.02</c:v>
                </c:pt>
                <c:pt idx="16">
                  <c:v>13.090999999999999</c:v>
                </c:pt>
                <c:pt idx="17">
                  <c:v>13.096</c:v>
                </c:pt>
                <c:pt idx="18">
                  <c:v>13.101000000000001</c:v>
                </c:pt>
                <c:pt idx="19">
                  <c:v>13.106</c:v>
                </c:pt>
                <c:pt idx="20">
                  <c:v>13.111000000000001</c:v>
                </c:pt>
                <c:pt idx="21">
                  <c:v>13.116</c:v>
                </c:pt>
                <c:pt idx="22">
                  <c:v>13.122</c:v>
                </c:pt>
                <c:pt idx="23">
                  <c:v>13.127000000000001</c:v>
                </c:pt>
                <c:pt idx="24">
                  <c:v>13.231999999999999</c:v>
                </c:pt>
                <c:pt idx="25">
                  <c:v>13.191000000000001</c:v>
                </c:pt>
                <c:pt idx="26">
                  <c:v>13.182</c:v>
                </c:pt>
                <c:pt idx="27">
                  <c:v>13.173999999999999</c:v>
                </c:pt>
                <c:pt idx="28">
                  <c:v>13.166</c:v>
                </c:pt>
                <c:pt idx="29">
                  <c:v>13.157</c:v>
                </c:pt>
              </c:numCache>
            </c:numRef>
          </c:xVal>
          <c:yVal>
            <c:numRef>
              <c:f>'DOY139'!$W$10:$W$39</c:f>
              <c:numCache>
                <c:formatCode>0.00</c:formatCode>
                <c:ptCount val="30"/>
                <c:pt idx="0">
                  <c:v>53.463261194019374</c:v>
                </c:pt>
                <c:pt idx="1">
                  <c:v>53.176156166566024</c:v>
                </c:pt>
                <c:pt idx="2">
                  <c:v>53.939319297681386</c:v>
                </c:pt>
                <c:pt idx="3">
                  <c:v>52.783953058134621</c:v>
                </c:pt>
                <c:pt idx="4">
                  <c:v>52.444434601751432</c:v>
                </c:pt>
                <c:pt idx="5">
                  <c:v>53.194896414159594</c:v>
                </c:pt>
                <c:pt idx="6">
                  <c:v>53.646007839908471</c:v>
                </c:pt>
                <c:pt idx="7">
                  <c:v>53.339736357104094</c:v>
                </c:pt>
                <c:pt idx="8">
                  <c:v>53.104171208796664</c:v>
                </c:pt>
                <c:pt idx="9">
                  <c:v>53.074478314782247</c:v>
                </c:pt>
                <c:pt idx="10">
                  <c:v>53.615628082152682</c:v>
                </c:pt>
                <c:pt idx="11">
                  <c:v>53.361939102429851</c:v>
                </c:pt>
                <c:pt idx="12">
                  <c:v>52.665678137397634</c:v>
                </c:pt>
                <c:pt idx="13">
                  <c:v>53.317706208308216</c:v>
                </c:pt>
                <c:pt idx="14">
                  <c:v>53.259697670140305</c:v>
                </c:pt>
                <c:pt idx="15">
                  <c:v>53.711640377135161</c:v>
                </c:pt>
                <c:pt idx="16">
                  <c:v>52.145686541757691</c:v>
                </c:pt>
                <c:pt idx="17">
                  <c:v>52.494554962498505</c:v>
                </c:pt>
                <c:pt idx="18">
                  <c:v>53.175846197287861</c:v>
                </c:pt>
                <c:pt idx="19">
                  <c:v>53.608671762225946</c:v>
                </c:pt>
                <c:pt idx="20">
                  <c:v>53.383257730837208</c:v>
                </c:pt>
                <c:pt idx="21">
                  <c:v>53.09022296822048</c:v>
                </c:pt>
                <c:pt idx="22">
                  <c:v>53.823210639513377</c:v>
                </c:pt>
                <c:pt idx="23">
                  <c:v>53.602351043086713</c:v>
                </c:pt>
                <c:pt idx="24">
                  <c:v>52.966680519414389</c:v>
                </c:pt>
                <c:pt idx="25">
                  <c:v>52.510535615273547</c:v>
                </c:pt>
                <c:pt idx="26">
                  <c:v>53.535059465746208</c:v>
                </c:pt>
                <c:pt idx="27">
                  <c:v>53.937892734526208</c:v>
                </c:pt>
                <c:pt idx="28">
                  <c:v>53.412478626178064</c:v>
                </c:pt>
                <c:pt idx="29">
                  <c:v>52.869600943849129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0F-414B-8D38-B082123EF4A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'DOY139'!$J$48:$J$85</c:f>
              <c:numCache>
                <c:formatCode>0.000</c:formatCode>
                <c:ptCount val="38"/>
                <c:pt idx="0">
                  <c:v>13.037000000000001</c:v>
                </c:pt>
                <c:pt idx="1">
                  <c:v>13.03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'DOY139'!$W$48:$W$85</c:f>
              <c:numCache>
                <c:formatCode>0.00</c:formatCode>
                <c:ptCount val="38"/>
                <c:pt idx="0">
                  <c:v>60.857641463412058</c:v>
                </c:pt>
                <c:pt idx="1">
                  <c:v>52.125738118454933</c:v>
                </c:pt>
                <c:pt idx="2">
                  <c:v>-0.68798505876453842</c:v>
                </c:pt>
                <c:pt idx="3">
                  <c:v>-0.68798505876453842</c:v>
                </c:pt>
                <c:pt idx="4">
                  <c:v>-0.68798505876453842</c:v>
                </c:pt>
                <c:pt idx="5">
                  <c:v>-0.68798505876453842</c:v>
                </c:pt>
                <c:pt idx="6">
                  <c:v>-0.68798505876453842</c:v>
                </c:pt>
                <c:pt idx="7">
                  <c:v>-0.68798505876453842</c:v>
                </c:pt>
                <c:pt idx="8">
                  <c:v>-0.68798505876453842</c:v>
                </c:pt>
                <c:pt idx="9">
                  <c:v>-0.68798505876453842</c:v>
                </c:pt>
                <c:pt idx="10">
                  <c:v>-0.68798505876453842</c:v>
                </c:pt>
                <c:pt idx="11">
                  <c:v>-0.68798505876453842</c:v>
                </c:pt>
                <c:pt idx="12">
                  <c:v>-0.68798505876453842</c:v>
                </c:pt>
                <c:pt idx="13">
                  <c:v>-0.68798505876453842</c:v>
                </c:pt>
                <c:pt idx="14">
                  <c:v>-0.68798505876453842</c:v>
                </c:pt>
                <c:pt idx="15">
                  <c:v>-0.68798505876453842</c:v>
                </c:pt>
                <c:pt idx="16">
                  <c:v>-0.68798505876453842</c:v>
                </c:pt>
                <c:pt idx="17">
                  <c:v>-0.68798505876453842</c:v>
                </c:pt>
                <c:pt idx="18">
                  <c:v>-0.68798505876453842</c:v>
                </c:pt>
                <c:pt idx="19">
                  <c:v>-0.68798505876453842</c:v>
                </c:pt>
                <c:pt idx="20">
                  <c:v>-0.68798505876453842</c:v>
                </c:pt>
                <c:pt idx="21">
                  <c:v>-0.68798505876453842</c:v>
                </c:pt>
                <c:pt idx="22">
                  <c:v>-0.68798505876453842</c:v>
                </c:pt>
                <c:pt idx="23">
                  <c:v>-0.68798505876453842</c:v>
                </c:pt>
                <c:pt idx="24">
                  <c:v>-0.68798505876453842</c:v>
                </c:pt>
                <c:pt idx="25">
                  <c:v>-0.68798505876453842</c:v>
                </c:pt>
                <c:pt idx="26">
                  <c:v>-0.68798505876453842</c:v>
                </c:pt>
                <c:pt idx="27">
                  <c:v>-0.68798505876453842</c:v>
                </c:pt>
                <c:pt idx="28">
                  <c:v>-0.68798505876453842</c:v>
                </c:pt>
                <c:pt idx="29">
                  <c:v>-0.68798505876453842</c:v>
                </c:pt>
                <c:pt idx="30">
                  <c:v>-0.68798505876453842</c:v>
                </c:pt>
                <c:pt idx="31">
                  <c:v>-0.68798505876453842</c:v>
                </c:pt>
                <c:pt idx="32">
                  <c:v>-0.68798505876453842</c:v>
                </c:pt>
                <c:pt idx="33">
                  <c:v>-0.68798505876453842</c:v>
                </c:pt>
                <c:pt idx="34">
                  <c:v>-0.68798505876453842</c:v>
                </c:pt>
                <c:pt idx="35">
                  <c:v>-0.68798505876453842</c:v>
                </c:pt>
                <c:pt idx="36">
                  <c:v>-0.68798505876453842</c:v>
                </c:pt>
                <c:pt idx="37">
                  <c:v>-0.68798505876453842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0F-414B-8D38-B082123EF4A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('DOY139'!$J$17,'DOY139'!$J$26)</c:f>
              <c:numCache>
                <c:formatCode>0.000</c:formatCode>
                <c:ptCount val="2"/>
                <c:pt idx="0">
                  <c:v>12.914</c:v>
                </c:pt>
                <c:pt idx="1">
                  <c:v>13.090999999999999</c:v>
                </c:pt>
              </c:numCache>
            </c:numRef>
          </c:xVal>
          <c:yVal>
            <c:numRef>
              <c:f>('DOY139'!$W$17,'DOY139'!$W$26)</c:f>
              <c:numCache>
                <c:formatCode>0.00</c:formatCode>
                <c:ptCount val="2"/>
                <c:pt idx="0">
                  <c:v>53.339736357104094</c:v>
                </c:pt>
                <c:pt idx="1">
                  <c:v>52.145686541757691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0F-414B-8D38-B082123EF4A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('DOY139'!$J$59,'DOY139'!$J$68)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('DOY139'!$W$59,'DOY139'!$W$68)</c:f>
              <c:numCache>
                <c:formatCode>0.00</c:formatCode>
                <c:ptCount val="2"/>
                <c:pt idx="0">
                  <c:v>-0.68798505876453842</c:v>
                </c:pt>
                <c:pt idx="1">
                  <c:v>-0.68798505876453842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0F-414B-8D38-B082123EF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115071"/>
        <c:axId val="1"/>
      </c:scatterChart>
      <c:valAx>
        <c:axId val="156011507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011507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'DOY141'!$J$10:$J$39</c:f>
              <c:numCache>
                <c:formatCode>0.000</c:formatCode>
                <c:ptCount val="30"/>
                <c:pt idx="0">
                  <c:v>13.186999999999999</c:v>
                </c:pt>
                <c:pt idx="1">
                  <c:v>13.178000000000001</c:v>
                </c:pt>
                <c:pt idx="2">
                  <c:v>13.17</c:v>
                </c:pt>
                <c:pt idx="3">
                  <c:v>13.161</c:v>
                </c:pt>
                <c:pt idx="4">
                  <c:v>13.154</c:v>
                </c:pt>
                <c:pt idx="5">
                  <c:v>13.145</c:v>
                </c:pt>
                <c:pt idx="6">
                  <c:v>13.137</c:v>
                </c:pt>
                <c:pt idx="7">
                  <c:v>13.129</c:v>
                </c:pt>
                <c:pt idx="8">
                  <c:v>13.199</c:v>
                </c:pt>
                <c:pt idx="9">
                  <c:v>13.204000000000001</c:v>
                </c:pt>
                <c:pt idx="10">
                  <c:v>13.209</c:v>
                </c:pt>
                <c:pt idx="11">
                  <c:v>13.215</c:v>
                </c:pt>
                <c:pt idx="12">
                  <c:v>13.22</c:v>
                </c:pt>
                <c:pt idx="13">
                  <c:v>13.226000000000001</c:v>
                </c:pt>
                <c:pt idx="14">
                  <c:v>13.231</c:v>
                </c:pt>
                <c:pt idx="15">
                  <c:v>13.237</c:v>
                </c:pt>
                <c:pt idx="16">
                  <c:v>13.319000000000001</c:v>
                </c:pt>
                <c:pt idx="17">
                  <c:v>13.324999999999999</c:v>
                </c:pt>
                <c:pt idx="18">
                  <c:v>13.33</c:v>
                </c:pt>
                <c:pt idx="19">
                  <c:v>13.335000000000001</c:v>
                </c:pt>
                <c:pt idx="20">
                  <c:v>13.34</c:v>
                </c:pt>
                <c:pt idx="21">
                  <c:v>13.346</c:v>
                </c:pt>
                <c:pt idx="22">
                  <c:v>13.351000000000001</c:v>
                </c:pt>
                <c:pt idx="23">
                  <c:v>13.356999999999999</c:v>
                </c:pt>
                <c:pt idx="24">
                  <c:v>13.43</c:v>
                </c:pt>
                <c:pt idx="25">
                  <c:v>13.420999999999999</c:v>
                </c:pt>
                <c:pt idx="26">
                  <c:v>13.413</c:v>
                </c:pt>
                <c:pt idx="27">
                  <c:v>13.404</c:v>
                </c:pt>
                <c:pt idx="28">
                  <c:v>13.396000000000001</c:v>
                </c:pt>
                <c:pt idx="29">
                  <c:v>13.387</c:v>
                </c:pt>
              </c:numCache>
            </c:numRef>
          </c:xVal>
          <c:yVal>
            <c:numRef>
              <c:f>'DOY141'!$W$10:$W$39</c:f>
              <c:numCache>
                <c:formatCode>0.00</c:formatCode>
                <c:ptCount val="30"/>
                <c:pt idx="0">
                  <c:v>54.394491867345856</c:v>
                </c:pt>
                <c:pt idx="1">
                  <c:v>54.021657939480292</c:v>
                </c:pt>
                <c:pt idx="2">
                  <c:v>54.364422078868223</c:v>
                </c:pt>
                <c:pt idx="3">
                  <c:v>54.063833764755941</c:v>
                </c:pt>
                <c:pt idx="4">
                  <c:v>54.077993348021749</c:v>
                </c:pt>
                <c:pt idx="5">
                  <c:v>54.49857003137577</c:v>
                </c:pt>
                <c:pt idx="6">
                  <c:v>54.829524013731202</c:v>
                </c:pt>
                <c:pt idx="7">
                  <c:v>54.858051000574342</c:v>
                </c:pt>
                <c:pt idx="8">
                  <c:v>53.618542880447421</c:v>
                </c:pt>
                <c:pt idx="9">
                  <c:v>53.3149112316041</c:v>
                </c:pt>
                <c:pt idx="10">
                  <c:v>53.849037753862767</c:v>
                </c:pt>
                <c:pt idx="11">
                  <c:v>54.17842075555842</c:v>
                </c:pt>
                <c:pt idx="12">
                  <c:v>53.933681761801402</c:v>
                </c:pt>
                <c:pt idx="13">
                  <c:v>54.444048647587174</c:v>
                </c:pt>
                <c:pt idx="14">
                  <c:v>53.525003294933917</c:v>
                </c:pt>
                <c:pt idx="15">
                  <c:v>53.876782772754176</c:v>
                </c:pt>
                <c:pt idx="16">
                  <c:v>53.991521225817593</c:v>
                </c:pt>
                <c:pt idx="17">
                  <c:v>53.580968853768489</c:v>
                </c:pt>
                <c:pt idx="18">
                  <c:v>54.073928523624055</c:v>
                </c:pt>
                <c:pt idx="19">
                  <c:v>55.266535736642993</c:v>
                </c:pt>
                <c:pt idx="20">
                  <c:v>54.229699978720426</c:v>
                </c:pt>
                <c:pt idx="21">
                  <c:v>54.286102312446964</c:v>
                </c:pt>
                <c:pt idx="22">
                  <c:v>54.709599047296372</c:v>
                </c:pt>
                <c:pt idx="23">
                  <c:v>54.442696054373378</c:v>
                </c:pt>
                <c:pt idx="24">
                  <c:v>53.935830412479568</c:v>
                </c:pt>
                <c:pt idx="25">
                  <c:v>53.459050221294582</c:v>
                </c:pt>
                <c:pt idx="26">
                  <c:v>53.990387020049781</c:v>
                </c:pt>
                <c:pt idx="27">
                  <c:v>54.305628050370409</c:v>
                </c:pt>
                <c:pt idx="28">
                  <c:v>53.863362888902145</c:v>
                </c:pt>
                <c:pt idx="29">
                  <c:v>54.157119739041867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76-45AC-9E53-50AA70BD59A7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'DOY141'!$J$48:$J$85</c:f>
              <c:numCache>
                <c:formatCode>0.000</c:formatCode>
                <c:ptCount val="38"/>
                <c:pt idx="0">
                  <c:v>13.255000000000001</c:v>
                </c:pt>
                <c:pt idx="1">
                  <c:v>13.247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'DOY141'!$W$48:$W$85</c:f>
              <c:numCache>
                <c:formatCode>0.00</c:formatCode>
                <c:ptCount val="38"/>
                <c:pt idx="0">
                  <c:v>59.907791117964877</c:v>
                </c:pt>
                <c:pt idx="1">
                  <c:v>53.089694453392383</c:v>
                </c:pt>
                <c:pt idx="2">
                  <c:v>-0.62783155040058969</c:v>
                </c:pt>
                <c:pt idx="3">
                  <c:v>-0.62783155040058969</c:v>
                </c:pt>
                <c:pt idx="4">
                  <c:v>-0.62783155040058969</c:v>
                </c:pt>
                <c:pt idx="5">
                  <c:v>-0.62783155040058969</c:v>
                </c:pt>
                <c:pt idx="6">
                  <c:v>-0.62783155040058969</c:v>
                </c:pt>
                <c:pt idx="7">
                  <c:v>-0.62783155040058969</c:v>
                </c:pt>
                <c:pt idx="8">
                  <c:v>-0.62783155040058969</c:v>
                </c:pt>
                <c:pt idx="9">
                  <c:v>-0.62783155040058969</c:v>
                </c:pt>
                <c:pt idx="10">
                  <c:v>-0.62783155040058969</c:v>
                </c:pt>
                <c:pt idx="11">
                  <c:v>-0.62783155040058969</c:v>
                </c:pt>
                <c:pt idx="12">
                  <c:v>-0.62783155040058969</c:v>
                </c:pt>
                <c:pt idx="13">
                  <c:v>-0.62783155040058969</c:v>
                </c:pt>
                <c:pt idx="14">
                  <c:v>-0.62783155040058969</c:v>
                </c:pt>
                <c:pt idx="15">
                  <c:v>-0.62783155040058969</c:v>
                </c:pt>
                <c:pt idx="16">
                  <c:v>-0.62783155040058969</c:v>
                </c:pt>
                <c:pt idx="17">
                  <c:v>-0.62783155040058969</c:v>
                </c:pt>
                <c:pt idx="18">
                  <c:v>-0.62783155040058969</c:v>
                </c:pt>
                <c:pt idx="19">
                  <c:v>-0.62783155040058969</c:v>
                </c:pt>
                <c:pt idx="20">
                  <c:v>-0.62783155040058969</c:v>
                </c:pt>
                <c:pt idx="21">
                  <c:v>-0.62783155040058969</c:v>
                </c:pt>
                <c:pt idx="22">
                  <c:v>-0.62783155040058969</c:v>
                </c:pt>
                <c:pt idx="23">
                  <c:v>-0.62783155040058969</c:v>
                </c:pt>
                <c:pt idx="24">
                  <c:v>-0.62783155040058969</c:v>
                </c:pt>
                <c:pt idx="25">
                  <c:v>-0.62783155040058969</c:v>
                </c:pt>
                <c:pt idx="26">
                  <c:v>-0.62783155040058969</c:v>
                </c:pt>
                <c:pt idx="27">
                  <c:v>-0.62783155040058969</c:v>
                </c:pt>
                <c:pt idx="28">
                  <c:v>-0.62783155040058969</c:v>
                </c:pt>
                <c:pt idx="29">
                  <c:v>-0.62783155040058969</c:v>
                </c:pt>
                <c:pt idx="30">
                  <c:v>-0.62783155040058969</c:v>
                </c:pt>
                <c:pt idx="31">
                  <c:v>-0.62783155040058969</c:v>
                </c:pt>
                <c:pt idx="32">
                  <c:v>-0.62783155040058969</c:v>
                </c:pt>
                <c:pt idx="33">
                  <c:v>-0.62783155040058969</c:v>
                </c:pt>
                <c:pt idx="34">
                  <c:v>-0.62783155040058969</c:v>
                </c:pt>
                <c:pt idx="35">
                  <c:v>-0.62783155040058969</c:v>
                </c:pt>
                <c:pt idx="36">
                  <c:v>-0.62783155040058969</c:v>
                </c:pt>
                <c:pt idx="37">
                  <c:v>-0.62783155040058969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76-45AC-9E53-50AA70BD59A7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('DOY141'!$J$17,'DOY141'!$J$26)</c:f>
              <c:numCache>
                <c:formatCode>0.000</c:formatCode>
                <c:ptCount val="2"/>
                <c:pt idx="0">
                  <c:v>13.129</c:v>
                </c:pt>
                <c:pt idx="1">
                  <c:v>13.319000000000001</c:v>
                </c:pt>
              </c:numCache>
            </c:numRef>
          </c:xVal>
          <c:yVal>
            <c:numRef>
              <c:f>('DOY141'!$W$17,'DOY141'!$W$26)</c:f>
              <c:numCache>
                <c:formatCode>0.00</c:formatCode>
                <c:ptCount val="2"/>
                <c:pt idx="0">
                  <c:v>54.858051000574342</c:v>
                </c:pt>
                <c:pt idx="1">
                  <c:v>53.991521225817593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76-45AC-9E53-50AA70BD59A7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('DOY141'!$J$59,'DOY141'!$J$68)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('DOY141'!$W$59,'DOY141'!$W$68)</c:f>
              <c:numCache>
                <c:formatCode>0.00</c:formatCode>
                <c:ptCount val="2"/>
                <c:pt idx="0">
                  <c:v>-0.62783155040058969</c:v>
                </c:pt>
                <c:pt idx="1">
                  <c:v>-0.62783155040058969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76-45AC-9E53-50AA70BD5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115551"/>
        <c:axId val="1"/>
      </c:scatterChart>
      <c:valAx>
        <c:axId val="156011555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011555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'DOY143'!$J$10:$J$39</c:f>
              <c:numCache>
                <c:formatCode>0.000</c:formatCode>
                <c:ptCount val="30"/>
                <c:pt idx="0">
                  <c:v>13.14</c:v>
                </c:pt>
                <c:pt idx="1">
                  <c:v>13.132</c:v>
                </c:pt>
                <c:pt idx="2">
                  <c:v>13.122999999999999</c:v>
                </c:pt>
                <c:pt idx="3">
                  <c:v>13.115</c:v>
                </c:pt>
                <c:pt idx="4">
                  <c:v>13.106999999999999</c:v>
                </c:pt>
                <c:pt idx="5">
                  <c:v>13.099</c:v>
                </c:pt>
                <c:pt idx="6">
                  <c:v>13.090999999999999</c:v>
                </c:pt>
                <c:pt idx="7">
                  <c:v>13.082000000000001</c:v>
                </c:pt>
                <c:pt idx="8">
                  <c:v>13.154999999999999</c:v>
                </c:pt>
                <c:pt idx="9">
                  <c:v>13.161</c:v>
                </c:pt>
                <c:pt idx="10">
                  <c:v>13.167</c:v>
                </c:pt>
                <c:pt idx="11">
                  <c:v>13.173</c:v>
                </c:pt>
                <c:pt idx="12">
                  <c:v>13.178000000000001</c:v>
                </c:pt>
                <c:pt idx="13">
                  <c:v>13.183</c:v>
                </c:pt>
                <c:pt idx="14">
                  <c:v>13.189</c:v>
                </c:pt>
                <c:pt idx="15">
                  <c:v>13.215999999999999</c:v>
                </c:pt>
                <c:pt idx="16">
                  <c:v>13.294</c:v>
                </c:pt>
                <c:pt idx="17">
                  <c:v>13.3</c:v>
                </c:pt>
                <c:pt idx="18">
                  <c:v>13.305</c:v>
                </c:pt>
                <c:pt idx="19">
                  <c:v>13.31</c:v>
                </c:pt>
                <c:pt idx="20">
                  <c:v>13.316000000000001</c:v>
                </c:pt>
                <c:pt idx="21">
                  <c:v>13.321</c:v>
                </c:pt>
                <c:pt idx="22">
                  <c:v>13.327</c:v>
                </c:pt>
                <c:pt idx="23">
                  <c:v>13.332000000000001</c:v>
                </c:pt>
                <c:pt idx="24">
                  <c:v>13.398999999999999</c:v>
                </c:pt>
                <c:pt idx="25">
                  <c:v>13.391999999999999</c:v>
                </c:pt>
                <c:pt idx="26">
                  <c:v>13.384</c:v>
                </c:pt>
                <c:pt idx="27">
                  <c:v>13.375999999999999</c:v>
                </c:pt>
                <c:pt idx="28">
                  <c:v>13.368</c:v>
                </c:pt>
                <c:pt idx="29">
                  <c:v>13.36</c:v>
                </c:pt>
              </c:numCache>
            </c:numRef>
          </c:xVal>
          <c:yVal>
            <c:numRef>
              <c:f>'DOY143'!$W$10:$W$39</c:f>
              <c:numCache>
                <c:formatCode>0.00</c:formatCode>
                <c:ptCount val="30"/>
                <c:pt idx="0">
                  <c:v>53.31023074208094</c:v>
                </c:pt>
                <c:pt idx="1">
                  <c:v>53.878722404513944</c:v>
                </c:pt>
                <c:pt idx="2">
                  <c:v>53.547335169644697</c:v>
                </c:pt>
                <c:pt idx="3">
                  <c:v>53.59114890076517</c:v>
                </c:pt>
                <c:pt idx="4">
                  <c:v>36.534006539735039</c:v>
                </c:pt>
                <c:pt idx="5">
                  <c:v>52.862632700077036</c:v>
                </c:pt>
                <c:pt idx="6">
                  <c:v>53.09242309786017</c:v>
                </c:pt>
                <c:pt idx="7">
                  <c:v>52.6290909695525</c:v>
                </c:pt>
                <c:pt idx="8">
                  <c:v>36.795947255711503</c:v>
                </c:pt>
                <c:pt idx="9">
                  <c:v>53.417274748522367</c:v>
                </c:pt>
                <c:pt idx="10">
                  <c:v>53.712856190549438</c:v>
                </c:pt>
                <c:pt idx="11">
                  <c:v>36.70686115197082</c:v>
                </c:pt>
                <c:pt idx="12">
                  <c:v>53.810148681522868</c:v>
                </c:pt>
                <c:pt idx="13">
                  <c:v>54.121164807710024</c:v>
                </c:pt>
                <c:pt idx="14">
                  <c:v>53.373573733503029</c:v>
                </c:pt>
                <c:pt idx="15">
                  <c:v>54.070477344079052</c:v>
                </c:pt>
                <c:pt idx="16">
                  <c:v>52.68025747661337</c:v>
                </c:pt>
                <c:pt idx="17">
                  <c:v>52.303534843258142</c:v>
                </c:pt>
                <c:pt idx="18">
                  <c:v>52.084194964537367</c:v>
                </c:pt>
                <c:pt idx="19">
                  <c:v>52.774346553119983</c:v>
                </c:pt>
                <c:pt idx="20">
                  <c:v>35.689492512274519</c:v>
                </c:pt>
                <c:pt idx="21">
                  <c:v>52.252452873273143</c:v>
                </c:pt>
                <c:pt idx="22">
                  <c:v>52.476901773045789</c:v>
                </c:pt>
                <c:pt idx="23">
                  <c:v>52.12269185429448</c:v>
                </c:pt>
                <c:pt idx="24">
                  <c:v>52.042089586824936</c:v>
                </c:pt>
                <c:pt idx="25">
                  <c:v>51.167776929051058</c:v>
                </c:pt>
                <c:pt idx="26">
                  <c:v>51.64241394159567</c:v>
                </c:pt>
                <c:pt idx="27">
                  <c:v>52.100122781639975</c:v>
                </c:pt>
                <c:pt idx="28">
                  <c:v>51.591508090518722</c:v>
                </c:pt>
                <c:pt idx="29">
                  <c:v>51.480367558276157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F-4EBE-8C4E-6223A636B578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'DOY143'!$J$48:$J$85</c:f>
              <c:numCache>
                <c:formatCode>0.000</c:formatCode>
                <c:ptCount val="38"/>
                <c:pt idx="0">
                  <c:v>13.234</c:v>
                </c:pt>
                <c:pt idx="1">
                  <c:v>13.226000000000001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'DOY143'!$W$48:$W$85</c:f>
              <c:numCache>
                <c:formatCode>0.00</c:formatCode>
                <c:ptCount val="38"/>
                <c:pt idx="0">
                  <c:v>59.406364779004271</c:v>
                </c:pt>
                <c:pt idx="1">
                  <c:v>53.482850927698479</c:v>
                </c:pt>
                <c:pt idx="2">
                  <c:v>-0.67060737857050878</c:v>
                </c:pt>
                <c:pt idx="3">
                  <c:v>-0.67060737857050878</c:v>
                </c:pt>
                <c:pt idx="4">
                  <c:v>-0.67060737857050878</c:v>
                </c:pt>
                <c:pt idx="5">
                  <c:v>-0.67060737857050878</c:v>
                </c:pt>
                <c:pt idx="6">
                  <c:v>-0.67060737857050878</c:v>
                </c:pt>
                <c:pt idx="7">
                  <c:v>-0.67060737857050878</c:v>
                </c:pt>
                <c:pt idx="8">
                  <c:v>-0.67060737857050878</c:v>
                </c:pt>
                <c:pt idx="9">
                  <c:v>-0.67060737857050878</c:v>
                </c:pt>
                <c:pt idx="10">
                  <c:v>-0.67060737857050878</c:v>
                </c:pt>
                <c:pt idx="11">
                  <c:v>-0.67060737857050878</c:v>
                </c:pt>
                <c:pt idx="12">
                  <c:v>-0.67060737857050878</c:v>
                </c:pt>
                <c:pt idx="13">
                  <c:v>-0.67060737857050878</c:v>
                </c:pt>
                <c:pt idx="14">
                  <c:v>-0.67060737857050878</c:v>
                </c:pt>
                <c:pt idx="15">
                  <c:v>-0.67060737857050878</c:v>
                </c:pt>
                <c:pt idx="16">
                  <c:v>-0.67060737857050878</c:v>
                </c:pt>
                <c:pt idx="17">
                  <c:v>-0.67060737857050878</c:v>
                </c:pt>
                <c:pt idx="18">
                  <c:v>-0.67060737857050878</c:v>
                </c:pt>
                <c:pt idx="19">
                  <c:v>-0.67060737857050878</c:v>
                </c:pt>
                <c:pt idx="20">
                  <c:v>-0.67060737857050878</c:v>
                </c:pt>
                <c:pt idx="21">
                  <c:v>-0.67060737857050878</c:v>
                </c:pt>
                <c:pt idx="22">
                  <c:v>-0.67060737857050878</c:v>
                </c:pt>
                <c:pt idx="23">
                  <c:v>-0.67060737857050878</c:v>
                </c:pt>
                <c:pt idx="24">
                  <c:v>-0.67060737857050878</c:v>
                </c:pt>
                <c:pt idx="25">
                  <c:v>-0.67060737857050878</c:v>
                </c:pt>
                <c:pt idx="26">
                  <c:v>-0.67060737857050878</c:v>
                </c:pt>
                <c:pt idx="27">
                  <c:v>-0.67060737857050878</c:v>
                </c:pt>
                <c:pt idx="28">
                  <c:v>-0.67060737857050878</c:v>
                </c:pt>
                <c:pt idx="29">
                  <c:v>-0.67060737857050878</c:v>
                </c:pt>
                <c:pt idx="30">
                  <c:v>-0.67060737857050878</c:v>
                </c:pt>
                <c:pt idx="31">
                  <c:v>-0.67060737857050878</c:v>
                </c:pt>
                <c:pt idx="32">
                  <c:v>-0.67060737857050878</c:v>
                </c:pt>
                <c:pt idx="33">
                  <c:v>-0.67060737857050878</c:v>
                </c:pt>
                <c:pt idx="34">
                  <c:v>-0.67060737857050878</c:v>
                </c:pt>
                <c:pt idx="35">
                  <c:v>-0.67060737857050878</c:v>
                </c:pt>
                <c:pt idx="36">
                  <c:v>-0.67060737857050878</c:v>
                </c:pt>
                <c:pt idx="37">
                  <c:v>-0.67060737857050878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9F-4EBE-8C4E-6223A636B578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('DOY143'!$J$17,'DOY143'!$J$26)</c:f>
              <c:numCache>
                <c:formatCode>0.000</c:formatCode>
                <c:ptCount val="2"/>
                <c:pt idx="0">
                  <c:v>13.082000000000001</c:v>
                </c:pt>
                <c:pt idx="1">
                  <c:v>13.294</c:v>
                </c:pt>
              </c:numCache>
            </c:numRef>
          </c:xVal>
          <c:yVal>
            <c:numRef>
              <c:f>('DOY143'!$W$17,'DOY143'!$W$26)</c:f>
              <c:numCache>
                <c:formatCode>0.00</c:formatCode>
                <c:ptCount val="2"/>
                <c:pt idx="0">
                  <c:v>52.6290909695525</c:v>
                </c:pt>
                <c:pt idx="1">
                  <c:v>52.68025747661337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9F-4EBE-8C4E-6223A636B578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('DOY143'!$J$59,'DOY143'!$J$68)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('DOY143'!$W$59,'DOY143'!$W$68)</c:f>
              <c:numCache>
                <c:formatCode>0.00</c:formatCode>
                <c:ptCount val="2"/>
                <c:pt idx="0">
                  <c:v>-0.67060737857050878</c:v>
                </c:pt>
                <c:pt idx="1">
                  <c:v>-0.67060737857050878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9F-4EBE-8C4E-6223A636B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096831"/>
        <c:axId val="1"/>
      </c:scatterChart>
      <c:valAx>
        <c:axId val="156009683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009683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'DOY147'!$J$10:$J$39</c:f>
              <c:numCache>
                <c:formatCode>0.000</c:formatCode>
                <c:ptCount val="30"/>
                <c:pt idx="0">
                  <c:v>13.016999999999999</c:v>
                </c:pt>
                <c:pt idx="1">
                  <c:v>13.009</c:v>
                </c:pt>
                <c:pt idx="2">
                  <c:v>13.000999999999999</c:v>
                </c:pt>
                <c:pt idx="3">
                  <c:v>12.992000000000001</c:v>
                </c:pt>
                <c:pt idx="4">
                  <c:v>12.984</c:v>
                </c:pt>
                <c:pt idx="5">
                  <c:v>12.977</c:v>
                </c:pt>
                <c:pt idx="6">
                  <c:v>12.968</c:v>
                </c:pt>
                <c:pt idx="7">
                  <c:v>12.959</c:v>
                </c:pt>
                <c:pt idx="8">
                  <c:v>13.03</c:v>
                </c:pt>
                <c:pt idx="9">
                  <c:v>13.035</c:v>
                </c:pt>
                <c:pt idx="10">
                  <c:v>13.04</c:v>
                </c:pt>
                <c:pt idx="11">
                  <c:v>13.044</c:v>
                </c:pt>
                <c:pt idx="12">
                  <c:v>13.048999999999999</c:v>
                </c:pt>
                <c:pt idx="13">
                  <c:v>13.054</c:v>
                </c:pt>
                <c:pt idx="14">
                  <c:v>13.058</c:v>
                </c:pt>
                <c:pt idx="15">
                  <c:v>13.066000000000001</c:v>
                </c:pt>
                <c:pt idx="16">
                  <c:v>13.141999999999999</c:v>
                </c:pt>
                <c:pt idx="17">
                  <c:v>13.147</c:v>
                </c:pt>
                <c:pt idx="18">
                  <c:v>13.151999999999999</c:v>
                </c:pt>
                <c:pt idx="19">
                  <c:v>13.157</c:v>
                </c:pt>
                <c:pt idx="20">
                  <c:v>13.162000000000001</c:v>
                </c:pt>
                <c:pt idx="21">
                  <c:v>13.167</c:v>
                </c:pt>
                <c:pt idx="22">
                  <c:v>13.170999999999999</c:v>
                </c:pt>
                <c:pt idx="23">
                  <c:v>13.176</c:v>
                </c:pt>
                <c:pt idx="24">
                  <c:v>13.255000000000001</c:v>
                </c:pt>
                <c:pt idx="25">
                  <c:v>13.239000000000001</c:v>
                </c:pt>
                <c:pt idx="26">
                  <c:v>13.231</c:v>
                </c:pt>
                <c:pt idx="27">
                  <c:v>13.222</c:v>
                </c:pt>
                <c:pt idx="28">
                  <c:v>13.214</c:v>
                </c:pt>
                <c:pt idx="29">
                  <c:v>13.205</c:v>
                </c:pt>
              </c:numCache>
            </c:numRef>
          </c:xVal>
          <c:yVal>
            <c:numRef>
              <c:f>'DOY147'!$W$10:$W$39</c:f>
              <c:numCache>
                <c:formatCode>0.00</c:formatCode>
                <c:ptCount val="30"/>
                <c:pt idx="0">
                  <c:v>56.990155154581238</c:v>
                </c:pt>
                <c:pt idx="1">
                  <c:v>56.260550915982492</c:v>
                </c:pt>
                <c:pt idx="2">
                  <c:v>55.263152522786008</c:v>
                </c:pt>
                <c:pt idx="3">
                  <c:v>54.920701875054391</c:v>
                </c:pt>
                <c:pt idx="4">
                  <c:v>50.722178688685865</c:v>
                </c:pt>
                <c:pt idx="5">
                  <c:v>55.840157396292852</c:v>
                </c:pt>
                <c:pt idx="6">
                  <c:v>56.461114946386978</c:v>
                </c:pt>
                <c:pt idx="7">
                  <c:v>55.855021455190865</c:v>
                </c:pt>
                <c:pt idx="8">
                  <c:v>52.391571941868698</c:v>
                </c:pt>
                <c:pt idx="9">
                  <c:v>56.813415736175067</c:v>
                </c:pt>
                <c:pt idx="10">
                  <c:v>56.848615679973534</c:v>
                </c:pt>
                <c:pt idx="11">
                  <c:v>52.602224063326105</c:v>
                </c:pt>
                <c:pt idx="12">
                  <c:v>56.971715881849882</c:v>
                </c:pt>
                <c:pt idx="13">
                  <c:v>56.997134558436578</c:v>
                </c:pt>
                <c:pt idx="14">
                  <c:v>56.451707051260236</c:v>
                </c:pt>
                <c:pt idx="15">
                  <c:v>57.631829006417213</c:v>
                </c:pt>
                <c:pt idx="16">
                  <c:v>55.47884321773207</c:v>
                </c:pt>
                <c:pt idx="17">
                  <c:v>55.343173597858986</c:v>
                </c:pt>
                <c:pt idx="18">
                  <c:v>55.460618810068517</c:v>
                </c:pt>
                <c:pt idx="19">
                  <c:v>56.301095880169612</c:v>
                </c:pt>
                <c:pt idx="20">
                  <c:v>50.780641613636533</c:v>
                </c:pt>
                <c:pt idx="21">
                  <c:v>55.861726113549629</c:v>
                </c:pt>
                <c:pt idx="22">
                  <c:v>56.542661211203637</c:v>
                </c:pt>
                <c:pt idx="23">
                  <c:v>55.406093903901763</c:v>
                </c:pt>
                <c:pt idx="24">
                  <c:v>57.280150104845085</c:v>
                </c:pt>
                <c:pt idx="25">
                  <c:v>56.067203861488643</c:v>
                </c:pt>
                <c:pt idx="26">
                  <c:v>56.033198003886717</c:v>
                </c:pt>
                <c:pt idx="27">
                  <c:v>55.553932963379729</c:v>
                </c:pt>
                <c:pt idx="28">
                  <c:v>55.070450063495592</c:v>
                </c:pt>
                <c:pt idx="29">
                  <c:v>55.446483883449794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92-44EF-BF38-BC298943B57E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'DOY147'!$J$48:$J$85</c:f>
              <c:numCache>
                <c:formatCode>0.000</c:formatCode>
                <c:ptCount val="38"/>
                <c:pt idx="0">
                  <c:v>13.083</c:v>
                </c:pt>
                <c:pt idx="1">
                  <c:v>13.076000000000001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'DOY147'!$W$48:$W$85</c:f>
              <c:numCache>
                <c:formatCode>0.00</c:formatCode>
                <c:ptCount val="38"/>
                <c:pt idx="0">
                  <c:v>62.017527039826575</c:v>
                </c:pt>
                <c:pt idx="1">
                  <c:v>55.974122185136032</c:v>
                </c:pt>
                <c:pt idx="2">
                  <c:v>-0.56767804203664085</c:v>
                </c:pt>
                <c:pt idx="3">
                  <c:v>-0.56767804203664085</c:v>
                </c:pt>
                <c:pt idx="4">
                  <c:v>-0.56767804203664085</c:v>
                </c:pt>
                <c:pt idx="5">
                  <c:v>-0.56767804203664085</c:v>
                </c:pt>
                <c:pt idx="6">
                  <c:v>-0.56767804203664085</c:v>
                </c:pt>
                <c:pt idx="7">
                  <c:v>-0.56767804203664085</c:v>
                </c:pt>
                <c:pt idx="8">
                  <c:v>-0.56767804203664085</c:v>
                </c:pt>
                <c:pt idx="9">
                  <c:v>-0.56767804203664085</c:v>
                </c:pt>
                <c:pt idx="10">
                  <c:v>-0.56767804203664085</c:v>
                </c:pt>
                <c:pt idx="11">
                  <c:v>-0.56767804203664085</c:v>
                </c:pt>
                <c:pt idx="12">
                  <c:v>-0.56767804203664085</c:v>
                </c:pt>
                <c:pt idx="13">
                  <c:v>-0.56767804203664085</c:v>
                </c:pt>
                <c:pt idx="14">
                  <c:v>-0.56767804203664085</c:v>
                </c:pt>
                <c:pt idx="15">
                  <c:v>-0.56767804203664085</c:v>
                </c:pt>
                <c:pt idx="16">
                  <c:v>-0.56767804203664085</c:v>
                </c:pt>
                <c:pt idx="17">
                  <c:v>-0.56767804203664085</c:v>
                </c:pt>
                <c:pt idx="18">
                  <c:v>-0.56767804203664085</c:v>
                </c:pt>
                <c:pt idx="19">
                  <c:v>-0.56767804203664085</c:v>
                </c:pt>
                <c:pt idx="20">
                  <c:v>-0.56767804203664085</c:v>
                </c:pt>
                <c:pt idx="21">
                  <c:v>-0.56767804203664085</c:v>
                </c:pt>
                <c:pt idx="22">
                  <c:v>-0.56767804203664085</c:v>
                </c:pt>
                <c:pt idx="23">
                  <c:v>-0.56767804203664085</c:v>
                </c:pt>
                <c:pt idx="24">
                  <c:v>-0.56767804203664085</c:v>
                </c:pt>
                <c:pt idx="25">
                  <c:v>-0.56767804203664085</c:v>
                </c:pt>
                <c:pt idx="26">
                  <c:v>-0.56767804203664085</c:v>
                </c:pt>
                <c:pt idx="27">
                  <c:v>-0.56767804203664085</c:v>
                </c:pt>
                <c:pt idx="28">
                  <c:v>-0.56767804203664085</c:v>
                </c:pt>
                <c:pt idx="29">
                  <c:v>-0.56767804203664085</c:v>
                </c:pt>
                <c:pt idx="30">
                  <c:v>-0.56767804203664085</c:v>
                </c:pt>
                <c:pt idx="31">
                  <c:v>-0.56767804203664085</c:v>
                </c:pt>
                <c:pt idx="32">
                  <c:v>-0.56767804203664085</c:v>
                </c:pt>
                <c:pt idx="33">
                  <c:v>-0.56767804203664085</c:v>
                </c:pt>
                <c:pt idx="34">
                  <c:v>-0.56767804203664085</c:v>
                </c:pt>
                <c:pt idx="35">
                  <c:v>-0.56767804203664085</c:v>
                </c:pt>
                <c:pt idx="36">
                  <c:v>-0.56767804203664085</c:v>
                </c:pt>
                <c:pt idx="37">
                  <c:v>-0.56767804203664085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92-44EF-BF38-BC298943B57E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('DOY147'!$J$17,'DOY147'!$J$26)</c:f>
              <c:numCache>
                <c:formatCode>0.000</c:formatCode>
                <c:ptCount val="2"/>
                <c:pt idx="0">
                  <c:v>12.959</c:v>
                </c:pt>
                <c:pt idx="1">
                  <c:v>13.141999999999999</c:v>
                </c:pt>
              </c:numCache>
            </c:numRef>
          </c:xVal>
          <c:yVal>
            <c:numRef>
              <c:f>('DOY147'!$W$17,'DOY147'!$W$26)</c:f>
              <c:numCache>
                <c:formatCode>0.00</c:formatCode>
                <c:ptCount val="2"/>
                <c:pt idx="0">
                  <c:v>55.855021455190865</c:v>
                </c:pt>
                <c:pt idx="1">
                  <c:v>55.47884321773207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92-44EF-BF38-BC298943B57E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('DOY147'!$J$59,'DOY147'!$J$68)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('DOY147'!$W$59,'DOY147'!$W$68)</c:f>
              <c:numCache>
                <c:formatCode>0.00</c:formatCode>
                <c:ptCount val="2"/>
                <c:pt idx="0">
                  <c:v>-0.56767804203664085</c:v>
                </c:pt>
                <c:pt idx="1">
                  <c:v>-0.56767804203664085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92-44EF-BF38-BC298943B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08655"/>
        <c:axId val="1"/>
      </c:scatterChart>
      <c:valAx>
        <c:axId val="137040865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0865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'DOY148'!$J$10:$J$39</c:f>
              <c:numCache>
                <c:formatCode>0.000</c:formatCode>
                <c:ptCount val="30"/>
                <c:pt idx="0">
                  <c:v>12.895</c:v>
                </c:pt>
                <c:pt idx="1">
                  <c:v>12.887</c:v>
                </c:pt>
                <c:pt idx="2">
                  <c:v>12.878</c:v>
                </c:pt>
                <c:pt idx="3">
                  <c:v>12.869</c:v>
                </c:pt>
                <c:pt idx="4">
                  <c:v>12.862</c:v>
                </c:pt>
                <c:pt idx="5">
                  <c:v>12.853</c:v>
                </c:pt>
                <c:pt idx="6">
                  <c:v>12.843999999999999</c:v>
                </c:pt>
                <c:pt idx="7">
                  <c:v>12.836</c:v>
                </c:pt>
                <c:pt idx="8">
                  <c:v>12.907999999999999</c:v>
                </c:pt>
                <c:pt idx="9">
                  <c:v>12.914</c:v>
                </c:pt>
                <c:pt idx="10">
                  <c:v>12.917999999999999</c:v>
                </c:pt>
                <c:pt idx="11">
                  <c:v>12.923</c:v>
                </c:pt>
                <c:pt idx="12">
                  <c:v>12.928000000000001</c:v>
                </c:pt>
                <c:pt idx="13">
                  <c:v>12.933999999999999</c:v>
                </c:pt>
                <c:pt idx="14">
                  <c:v>12.938000000000001</c:v>
                </c:pt>
                <c:pt idx="15">
                  <c:v>12.943</c:v>
                </c:pt>
                <c:pt idx="16">
                  <c:v>13.007999999999999</c:v>
                </c:pt>
                <c:pt idx="17">
                  <c:v>13.013</c:v>
                </c:pt>
                <c:pt idx="18">
                  <c:v>13.018000000000001</c:v>
                </c:pt>
                <c:pt idx="19">
                  <c:v>13.023</c:v>
                </c:pt>
                <c:pt idx="20">
                  <c:v>13.026999999999999</c:v>
                </c:pt>
                <c:pt idx="21">
                  <c:v>13.032</c:v>
                </c:pt>
                <c:pt idx="22">
                  <c:v>13.037000000000001</c:v>
                </c:pt>
                <c:pt idx="23">
                  <c:v>13.042</c:v>
                </c:pt>
                <c:pt idx="24">
                  <c:v>13.114000000000001</c:v>
                </c:pt>
                <c:pt idx="25">
                  <c:v>13.105</c:v>
                </c:pt>
                <c:pt idx="26">
                  <c:v>13.097</c:v>
                </c:pt>
                <c:pt idx="27">
                  <c:v>13.089</c:v>
                </c:pt>
                <c:pt idx="28">
                  <c:v>13.08</c:v>
                </c:pt>
                <c:pt idx="29">
                  <c:v>13.071</c:v>
                </c:pt>
              </c:numCache>
            </c:numRef>
          </c:xVal>
          <c:yVal>
            <c:numRef>
              <c:f>'DOY148'!$W$10:$W$39</c:f>
              <c:numCache>
                <c:formatCode>0.00</c:formatCode>
                <c:ptCount val="30"/>
                <c:pt idx="0">
                  <c:v>33.799133964531443</c:v>
                </c:pt>
                <c:pt idx="1">
                  <c:v>33.840973591163262</c:v>
                </c:pt>
                <c:pt idx="2">
                  <c:v>35.279244480768796</c:v>
                </c:pt>
                <c:pt idx="3">
                  <c:v>34.373655496480723</c:v>
                </c:pt>
                <c:pt idx="4">
                  <c:v>50.614396112231468</c:v>
                </c:pt>
                <c:pt idx="5">
                  <c:v>34.535378197950536</c:v>
                </c:pt>
                <c:pt idx="6">
                  <c:v>34.270876713051088</c:v>
                </c:pt>
                <c:pt idx="7">
                  <c:v>34.191755417127673</c:v>
                </c:pt>
                <c:pt idx="8">
                  <c:v>51.209932217242965</c:v>
                </c:pt>
                <c:pt idx="9">
                  <c:v>34.649396513150592</c:v>
                </c:pt>
                <c:pt idx="10">
                  <c:v>34.672356569780952</c:v>
                </c:pt>
                <c:pt idx="11">
                  <c:v>50.777386492898124</c:v>
                </c:pt>
                <c:pt idx="12">
                  <c:v>33.535336955264164</c:v>
                </c:pt>
                <c:pt idx="13">
                  <c:v>52.829372234170819</c:v>
                </c:pt>
                <c:pt idx="14">
                  <c:v>33.802466134271668</c:v>
                </c:pt>
                <c:pt idx="15">
                  <c:v>33.725984672309323</c:v>
                </c:pt>
                <c:pt idx="16">
                  <c:v>33.816312225881184</c:v>
                </c:pt>
                <c:pt idx="17">
                  <c:v>34.645611529346127</c:v>
                </c:pt>
                <c:pt idx="18">
                  <c:v>52.430795570927764</c:v>
                </c:pt>
                <c:pt idx="19">
                  <c:v>33.485690165909183</c:v>
                </c:pt>
                <c:pt idx="20">
                  <c:v>50.044359698504365</c:v>
                </c:pt>
                <c:pt idx="21">
                  <c:v>34.101885772716741</c:v>
                </c:pt>
                <c:pt idx="22">
                  <c:v>34.53601379873804</c:v>
                </c:pt>
                <c:pt idx="23">
                  <c:v>34.460390224328421</c:v>
                </c:pt>
                <c:pt idx="24">
                  <c:v>52.422921483019564</c:v>
                </c:pt>
                <c:pt idx="25">
                  <c:v>33.478943239012487</c:v>
                </c:pt>
                <c:pt idx="26">
                  <c:v>32.841214138729761</c:v>
                </c:pt>
                <c:pt idx="27">
                  <c:v>34.226272019562927</c:v>
                </c:pt>
                <c:pt idx="28">
                  <c:v>34.839337804903934</c:v>
                </c:pt>
                <c:pt idx="29">
                  <c:v>33.429962179129923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E2-43EB-BB18-3F9F799CF6BF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'DOY148'!$J$48:$J$85</c:f>
              <c:numCache>
                <c:formatCode>0.000</c:formatCode>
                <c:ptCount val="38"/>
                <c:pt idx="0">
                  <c:v>12.959</c:v>
                </c:pt>
                <c:pt idx="1">
                  <c:v>12.952999999999999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'DOY148'!$W$48:$W$85</c:f>
              <c:numCache>
                <c:formatCode>0.00</c:formatCode>
                <c:ptCount val="38"/>
                <c:pt idx="0">
                  <c:v>56.164333879748938</c:v>
                </c:pt>
                <c:pt idx="1">
                  <c:v>36.24185341073899</c:v>
                </c:pt>
                <c:pt idx="2">
                  <c:v>-0.6505562091158591</c:v>
                </c:pt>
                <c:pt idx="3">
                  <c:v>-0.6505562091158591</c:v>
                </c:pt>
                <c:pt idx="4">
                  <c:v>-0.6505562091158591</c:v>
                </c:pt>
                <c:pt idx="5">
                  <c:v>-0.6505562091158591</c:v>
                </c:pt>
                <c:pt idx="6">
                  <c:v>-0.6505562091158591</c:v>
                </c:pt>
                <c:pt idx="7">
                  <c:v>-0.6505562091158591</c:v>
                </c:pt>
                <c:pt idx="8">
                  <c:v>-0.6505562091158591</c:v>
                </c:pt>
                <c:pt idx="9">
                  <c:v>-0.6505562091158591</c:v>
                </c:pt>
                <c:pt idx="10">
                  <c:v>-0.6505562091158591</c:v>
                </c:pt>
                <c:pt idx="11">
                  <c:v>-0.6505562091158591</c:v>
                </c:pt>
                <c:pt idx="12">
                  <c:v>-0.6505562091158591</c:v>
                </c:pt>
                <c:pt idx="13">
                  <c:v>-0.6505562091158591</c:v>
                </c:pt>
                <c:pt idx="14">
                  <c:v>-0.6505562091158591</c:v>
                </c:pt>
                <c:pt idx="15">
                  <c:v>-0.6505562091158591</c:v>
                </c:pt>
                <c:pt idx="16">
                  <c:v>-0.6505562091158591</c:v>
                </c:pt>
                <c:pt idx="17">
                  <c:v>-0.6505562091158591</c:v>
                </c:pt>
                <c:pt idx="18">
                  <c:v>-0.6505562091158591</c:v>
                </c:pt>
                <c:pt idx="19">
                  <c:v>-0.6505562091158591</c:v>
                </c:pt>
                <c:pt idx="20">
                  <c:v>-0.6505562091158591</c:v>
                </c:pt>
                <c:pt idx="21">
                  <c:v>-0.6505562091158591</c:v>
                </c:pt>
                <c:pt idx="22">
                  <c:v>-0.6505562091158591</c:v>
                </c:pt>
                <c:pt idx="23">
                  <c:v>-0.6505562091158591</c:v>
                </c:pt>
                <c:pt idx="24">
                  <c:v>-0.6505562091158591</c:v>
                </c:pt>
                <c:pt idx="25">
                  <c:v>-0.6505562091158591</c:v>
                </c:pt>
                <c:pt idx="26">
                  <c:v>-0.6505562091158591</c:v>
                </c:pt>
                <c:pt idx="27">
                  <c:v>-0.6505562091158591</c:v>
                </c:pt>
                <c:pt idx="28">
                  <c:v>-0.6505562091158591</c:v>
                </c:pt>
                <c:pt idx="29">
                  <c:v>-0.6505562091158591</c:v>
                </c:pt>
                <c:pt idx="30">
                  <c:v>-0.6505562091158591</c:v>
                </c:pt>
                <c:pt idx="31">
                  <c:v>-0.6505562091158591</c:v>
                </c:pt>
                <c:pt idx="32">
                  <c:v>-0.6505562091158591</c:v>
                </c:pt>
                <c:pt idx="33">
                  <c:v>-0.6505562091158591</c:v>
                </c:pt>
                <c:pt idx="34">
                  <c:v>-0.6505562091158591</c:v>
                </c:pt>
                <c:pt idx="35">
                  <c:v>-0.6505562091158591</c:v>
                </c:pt>
                <c:pt idx="36">
                  <c:v>-0.6505562091158591</c:v>
                </c:pt>
                <c:pt idx="37">
                  <c:v>-0.6505562091158591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E2-43EB-BB18-3F9F799CF6BF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('DOY148'!$J$17,'DOY148'!$J$26)</c:f>
              <c:numCache>
                <c:formatCode>0.000</c:formatCode>
                <c:ptCount val="2"/>
                <c:pt idx="0">
                  <c:v>12.836</c:v>
                </c:pt>
                <c:pt idx="1">
                  <c:v>13.007999999999999</c:v>
                </c:pt>
              </c:numCache>
            </c:numRef>
          </c:xVal>
          <c:yVal>
            <c:numRef>
              <c:f>('DOY148'!$W$17,'DOY148'!$W$26)</c:f>
              <c:numCache>
                <c:formatCode>0.00</c:formatCode>
                <c:ptCount val="2"/>
                <c:pt idx="0">
                  <c:v>34.191755417127673</c:v>
                </c:pt>
                <c:pt idx="1">
                  <c:v>33.816312225881184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E2-43EB-BB18-3F9F799CF6BF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('DOY148'!$J$59,'DOY148'!$J$68)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('DOY148'!$W$59,'DOY148'!$W$68)</c:f>
              <c:numCache>
                <c:formatCode>0.00</c:formatCode>
                <c:ptCount val="2"/>
                <c:pt idx="0">
                  <c:v>-0.6505562091158591</c:v>
                </c:pt>
                <c:pt idx="1">
                  <c:v>-0.6505562091158591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E2-43EB-BB18-3F9F799CF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504175"/>
        <c:axId val="1"/>
      </c:scatterChart>
      <c:valAx>
        <c:axId val="137050417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50417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'DOY149'!$J$10:$J$39</c:f>
              <c:numCache>
                <c:formatCode>0.000</c:formatCode>
                <c:ptCount val="30"/>
                <c:pt idx="0">
                  <c:v>13.183999999999999</c:v>
                </c:pt>
                <c:pt idx="1">
                  <c:v>13.176</c:v>
                </c:pt>
                <c:pt idx="2">
                  <c:v>13.167</c:v>
                </c:pt>
                <c:pt idx="3">
                  <c:v>13.159000000000001</c:v>
                </c:pt>
                <c:pt idx="4">
                  <c:v>13.148999999999999</c:v>
                </c:pt>
                <c:pt idx="5">
                  <c:v>13.14</c:v>
                </c:pt>
                <c:pt idx="6">
                  <c:v>13.132</c:v>
                </c:pt>
                <c:pt idx="7">
                  <c:v>13.122999999999999</c:v>
                </c:pt>
                <c:pt idx="8">
                  <c:v>13.2</c:v>
                </c:pt>
                <c:pt idx="9">
                  <c:v>13.205</c:v>
                </c:pt>
                <c:pt idx="10">
                  <c:v>13.211</c:v>
                </c:pt>
                <c:pt idx="11">
                  <c:v>13.215999999999999</c:v>
                </c:pt>
                <c:pt idx="12">
                  <c:v>13.221</c:v>
                </c:pt>
                <c:pt idx="13">
                  <c:v>13.227</c:v>
                </c:pt>
                <c:pt idx="14">
                  <c:v>13.231999999999999</c:v>
                </c:pt>
                <c:pt idx="15">
                  <c:v>13.237</c:v>
                </c:pt>
                <c:pt idx="16">
                  <c:v>13.321</c:v>
                </c:pt>
                <c:pt idx="17">
                  <c:v>13.327999999999999</c:v>
                </c:pt>
                <c:pt idx="18">
                  <c:v>13.333</c:v>
                </c:pt>
                <c:pt idx="19">
                  <c:v>13.337999999999999</c:v>
                </c:pt>
                <c:pt idx="20">
                  <c:v>13.343</c:v>
                </c:pt>
                <c:pt idx="21">
                  <c:v>13.349</c:v>
                </c:pt>
                <c:pt idx="22">
                  <c:v>13.355</c:v>
                </c:pt>
                <c:pt idx="23">
                  <c:v>13.36</c:v>
                </c:pt>
                <c:pt idx="24">
                  <c:v>13.435</c:v>
                </c:pt>
                <c:pt idx="25">
                  <c:v>13.426</c:v>
                </c:pt>
                <c:pt idx="26">
                  <c:v>13.417999999999999</c:v>
                </c:pt>
                <c:pt idx="27">
                  <c:v>13.41</c:v>
                </c:pt>
                <c:pt idx="28">
                  <c:v>13.401</c:v>
                </c:pt>
                <c:pt idx="29">
                  <c:v>13.391999999999999</c:v>
                </c:pt>
              </c:numCache>
            </c:numRef>
          </c:xVal>
          <c:yVal>
            <c:numRef>
              <c:f>'DOY149'!$W$10:$W$39</c:f>
              <c:numCache>
                <c:formatCode>0.00</c:formatCode>
                <c:ptCount val="30"/>
                <c:pt idx="0">
                  <c:v>37.256580667767565</c:v>
                </c:pt>
                <c:pt idx="1">
                  <c:v>37.563185580719825</c:v>
                </c:pt>
                <c:pt idx="2">
                  <c:v>38.275777044788299</c:v>
                </c:pt>
                <c:pt idx="3">
                  <c:v>36.84632851669847</c:v>
                </c:pt>
                <c:pt idx="4">
                  <c:v>53.287633734657156</c:v>
                </c:pt>
                <c:pt idx="5">
                  <c:v>36.66159292292587</c:v>
                </c:pt>
                <c:pt idx="6">
                  <c:v>40.092704353359409</c:v>
                </c:pt>
                <c:pt idx="7">
                  <c:v>38.416077019224453</c:v>
                </c:pt>
                <c:pt idx="8">
                  <c:v>54.317453292224251</c:v>
                </c:pt>
                <c:pt idx="9">
                  <c:v>36.827184768334924</c:v>
                </c:pt>
                <c:pt idx="10">
                  <c:v>39.468194738314644</c:v>
                </c:pt>
                <c:pt idx="11">
                  <c:v>54.074021100764931</c:v>
                </c:pt>
                <c:pt idx="12">
                  <c:v>38.132527267112906</c:v>
                </c:pt>
                <c:pt idx="13">
                  <c:v>38.641923107349577</c:v>
                </c:pt>
                <c:pt idx="14">
                  <c:v>39.270104613156541</c:v>
                </c:pt>
                <c:pt idx="15">
                  <c:v>42.27839881573874</c:v>
                </c:pt>
                <c:pt idx="16">
                  <c:v>36.880015787547372</c:v>
                </c:pt>
                <c:pt idx="17">
                  <c:v>38.160119251024881</c:v>
                </c:pt>
                <c:pt idx="18">
                  <c:v>37.187446886648921</c:v>
                </c:pt>
                <c:pt idx="19">
                  <c:v>39.148398896090825</c:v>
                </c:pt>
                <c:pt idx="20">
                  <c:v>53.659229735069694</c:v>
                </c:pt>
                <c:pt idx="21">
                  <c:v>38.297782913878144</c:v>
                </c:pt>
                <c:pt idx="22">
                  <c:v>38.582188603882798</c:v>
                </c:pt>
                <c:pt idx="23">
                  <c:v>39.425833799715001</c:v>
                </c:pt>
                <c:pt idx="24">
                  <c:v>35.96952402980039</c:v>
                </c:pt>
                <c:pt idx="25">
                  <c:v>37.414305470024743</c:v>
                </c:pt>
                <c:pt idx="26">
                  <c:v>37.748076159131493</c:v>
                </c:pt>
                <c:pt idx="27">
                  <c:v>39.132238602029581</c:v>
                </c:pt>
                <c:pt idx="28">
                  <c:v>39.130008936653709</c:v>
                </c:pt>
                <c:pt idx="29">
                  <c:v>38.017036597841582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0-4547-A2C9-E114AB50495D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'DOY149'!$J$48:$J$85</c:f>
              <c:numCache>
                <c:formatCode>0.000</c:formatCode>
                <c:ptCount val="38"/>
                <c:pt idx="0">
                  <c:v>13.257</c:v>
                </c:pt>
                <c:pt idx="1">
                  <c:v>13.247999999999999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'DOY149'!$W$48:$W$85</c:f>
              <c:numCache>
                <c:formatCode>0.00</c:formatCode>
                <c:ptCount val="38"/>
                <c:pt idx="0">
                  <c:v>61.695468215740163</c:v>
                </c:pt>
                <c:pt idx="1">
                  <c:v>40.957546467081862</c:v>
                </c:pt>
                <c:pt idx="2">
                  <c:v>-0.59441293464284051</c:v>
                </c:pt>
                <c:pt idx="3">
                  <c:v>-0.59441293464284051</c:v>
                </c:pt>
                <c:pt idx="4">
                  <c:v>-0.59441293464284051</c:v>
                </c:pt>
                <c:pt idx="5">
                  <c:v>-0.59441293464284051</c:v>
                </c:pt>
                <c:pt idx="6">
                  <c:v>-0.59441293464284051</c:v>
                </c:pt>
                <c:pt idx="7">
                  <c:v>-0.59441293464284051</c:v>
                </c:pt>
                <c:pt idx="8">
                  <c:v>-0.59441293464284051</c:v>
                </c:pt>
                <c:pt idx="9">
                  <c:v>-0.59441293464284051</c:v>
                </c:pt>
                <c:pt idx="10">
                  <c:v>-0.59441293464284051</c:v>
                </c:pt>
                <c:pt idx="11">
                  <c:v>-0.59441293464284051</c:v>
                </c:pt>
                <c:pt idx="12">
                  <c:v>-0.59441293464284051</c:v>
                </c:pt>
                <c:pt idx="13">
                  <c:v>-0.59441293464284051</c:v>
                </c:pt>
                <c:pt idx="14">
                  <c:v>-0.59441293464284051</c:v>
                </c:pt>
                <c:pt idx="15">
                  <c:v>-0.59441293464284051</c:v>
                </c:pt>
                <c:pt idx="16">
                  <c:v>-0.59441293464284051</c:v>
                </c:pt>
                <c:pt idx="17">
                  <c:v>-0.59441293464284051</c:v>
                </c:pt>
                <c:pt idx="18">
                  <c:v>-0.59441293464284051</c:v>
                </c:pt>
                <c:pt idx="19">
                  <c:v>-0.59441293464284051</c:v>
                </c:pt>
                <c:pt idx="20">
                  <c:v>-0.59441293464284051</c:v>
                </c:pt>
                <c:pt idx="21">
                  <c:v>-0.59441293464284051</c:v>
                </c:pt>
                <c:pt idx="22">
                  <c:v>-0.59441293464284051</c:v>
                </c:pt>
                <c:pt idx="23">
                  <c:v>-0.59441293464284051</c:v>
                </c:pt>
                <c:pt idx="24">
                  <c:v>-0.59441293464284051</c:v>
                </c:pt>
                <c:pt idx="25">
                  <c:v>-0.59441293464284051</c:v>
                </c:pt>
                <c:pt idx="26">
                  <c:v>-0.59441293464284051</c:v>
                </c:pt>
                <c:pt idx="27">
                  <c:v>-0.59441293464284051</c:v>
                </c:pt>
                <c:pt idx="28">
                  <c:v>-0.59441293464284051</c:v>
                </c:pt>
                <c:pt idx="29">
                  <c:v>-0.59441293464284051</c:v>
                </c:pt>
                <c:pt idx="30">
                  <c:v>-0.59441293464284051</c:v>
                </c:pt>
                <c:pt idx="31">
                  <c:v>-0.59441293464284051</c:v>
                </c:pt>
                <c:pt idx="32">
                  <c:v>-0.59441293464284051</c:v>
                </c:pt>
                <c:pt idx="33">
                  <c:v>-0.59441293464284051</c:v>
                </c:pt>
                <c:pt idx="34">
                  <c:v>-0.59441293464284051</c:v>
                </c:pt>
                <c:pt idx="35">
                  <c:v>-0.59441293464284051</c:v>
                </c:pt>
                <c:pt idx="36">
                  <c:v>-0.59441293464284051</c:v>
                </c:pt>
                <c:pt idx="37">
                  <c:v>-0.59441293464284051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70-4547-A2C9-E114AB50495D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('DOY149'!$J$17,'DOY149'!$J$26)</c:f>
              <c:numCache>
                <c:formatCode>0.000</c:formatCode>
                <c:ptCount val="2"/>
                <c:pt idx="0">
                  <c:v>13.122999999999999</c:v>
                </c:pt>
                <c:pt idx="1">
                  <c:v>13.321</c:v>
                </c:pt>
              </c:numCache>
            </c:numRef>
          </c:xVal>
          <c:yVal>
            <c:numRef>
              <c:f>('DOY149'!$W$17,'DOY149'!$W$26)</c:f>
              <c:numCache>
                <c:formatCode>0.00</c:formatCode>
                <c:ptCount val="2"/>
                <c:pt idx="0">
                  <c:v>38.416077019224453</c:v>
                </c:pt>
                <c:pt idx="1">
                  <c:v>36.880015787547372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70-4547-A2C9-E114AB50495D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('DOY149'!$J$59,'DOY149'!$J$68)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('DOY149'!$W$59,'DOY149'!$W$68)</c:f>
              <c:numCache>
                <c:formatCode>0.00</c:formatCode>
                <c:ptCount val="2"/>
                <c:pt idx="0">
                  <c:v>-0.59441293464284051</c:v>
                </c:pt>
                <c:pt idx="1">
                  <c:v>-0.59441293464284051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70-4547-A2C9-E114AB504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143871"/>
        <c:axId val="1"/>
      </c:scatterChart>
      <c:valAx>
        <c:axId val="156014387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014387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'DOY150'!$J$10:$J$39</c:f>
              <c:numCache>
                <c:formatCode>0.000</c:formatCode>
                <c:ptCount val="30"/>
                <c:pt idx="0">
                  <c:v>13.183999999999999</c:v>
                </c:pt>
                <c:pt idx="1">
                  <c:v>13.176</c:v>
                </c:pt>
                <c:pt idx="2">
                  <c:v>13.167</c:v>
                </c:pt>
                <c:pt idx="3">
                  <c:v>13.159000000000001</c:v>
                </c:pt>
                <c:pt idx="4">
                  <c:v>13.151999999999999</c:v>
                </c:pt>
                <c:pt idx="5">
                  <c:v>13.137</c:v>
                </c:pt>
                <c:pt idx="6">
                  <c:v>13.128</c:v>
                </c:pt>
                <c:pt idx="7">
                  <c:v>13.12</c:v>
                </c:pt>
                <c:pt idx="8">
                  <c:v>13.201000000000001</c:v>
                </c:pt>
                <c:pt idx="9">
                  <c:v>13.206</c:v>
                </c:pt>
                <c:pt idx="10">
                  <c:v>13.211</c:v>
                </c:pt>
                <c:pt idx="11">
                  <c:v>13.217000000000001</c:v>
                </c:pt>
                <c:pt idx="12">
                  <c:v>13.222</c:v>
                </c:pt>
                <c:pt idx="13">
                  <c:v>13.227</c:v>
                </c:pt>
                <c:pt idx="14">
                  <c:v>13.233000000000001</c:v>
                </c:pt>
                <c:pt idx="15">
                  <c:v>13.238</c:v>
                </c:pt>
                <c:pt idx="16">
                  <c:v>13.323</c:v>
                </c:pt>
                <c:pt idx="17">
                  <c:v>13.327999999999999</c:v>
                </c:pt>
                <c:pt idx="18">
                  <c:v>13.333</c:v>
                </c:pt>
                <c:pt idx="19">
                  <c:v>13.339</c:v>
                </c:pt>
                <c:pt idx="20">
                  <c:v>13.343999999999999</c:v>
                </c:pt>
                <c:pt idx="21">
                  <c:v>13.35</c:v>
                </c:pt>
                <c:pt idx="22">
                  <c:v>13.355</c:v>
                </c:pt>
                <c:pt idx="23">
                  <c:v>13.361000000000001</c:v>
                </c:pt>
                <c:pt idx="24">
                  <c:v>13.436</c:v>
                </c:pt>
                <c:pt idx="25">
                  <c:v>13.428000000000001</c:v>
                </c:pt>
                <c:pt idx="26">
                  <c:v>13.42</c:v>
                </c:pt>
                <c:pt idx="27">
                  <c:v>13.412000000000001</c:v>
                </c:pt>
                <c:pt idx="28">
                  <c:v>13.404</c:v>
                </c:pt>
                <c:pt idx="29">
                  <c:v>13.396000000000001</c:v>
                </c:pt>
              </c:numCache>
            </c:numRef>
          </c:xVal>
          <c:yVal>
            <c:numRef>
              <c:f>'DOY150'!$W$10:$W$39</c:f>
              <c:numCache>
                <c:formatCode>0.00</c:formatCode>
                <c:ptCount val="30"/>
                <c:pt idx="0">
                  <c:v>42.81143586852631</c:v>
                </c:pt>
                <c:pt idx="1">
                  <c:v>43.860304005292484</c:v>
                </c:pt>
                <c:pt idx="2">
                  <c:v>44.127489165409457</c:v>
                </c:pt>
                <c:pt idx="3">
                  <c:v>42.481762082161815</c:v>
                </c:pt>
                <c:pt idx="4">
                  <c:v>52.352508866857328</c:v>
                </c:pt>
                <c:pt idx="5">
                  <c:v>42.225698265676307</c:v>
                </c:pt>
                <c:pt idx="6">
                  <c:v>46.482073237992807</c:v>
                </c:pt>
                <c:pt idx="7">
                  <c:v>44.139323979089085</c:v>
                </c:pt>
                <c:pt idx="8">
                  <c:v>52.89581980170005</c:v>
                </c:pt>
                <c:pt idx="9">
                  <c:v>41.554076777775016</c:v>
                </c:pt>
                <c:pt idx="10">
                  <c:v>44.591187997986985</c:v>
                </c:pt>
                <c:pt idx="11">
                  <c:v>52.844350370117354</c:v>
                </c:pt>
                <c:pt idx="12">
                  <c:v>40.865033607489778</c:v>
                </c:pt>
                <c:pt idx="13">
                  <c:v>36.556119284420078</c:v>
                </c:pt>
                <c:pt idx="14">
                  <c:v>45.0796014084601</c:v>
                </c:pt>
                <c:pt idx="15">
                  <c:v>46.578131323891377</c:v>
                </c:pt>
                <c:pt idx="16">
                  <c:v>40.378351634353301</c:v>
                </c:pt>
                <c:pt idx="17">
                  <c:v>42.442999064382995</c:v>
                </c:pt>
                <c:pt idx="18">
                  <c:v>36.828591911097725</c:v>
                </c:pt>
                <c:pt idx="19">
                  <c:v>43.840188080556523</c:v>
                </c:pt>
                <c:pt idx="20">
                  <c:v>51.557551554684004</c:v>
                </c:pt>
                <c:pt idx="21">
                  <c:v>42.719071184600004</c:v>
                </c:pt>
                <c:pt idx="22">
                  <c:v>43.640842416054603</c:v>
                </c:pt>
                <c:pt idx="23">
                  <c:v>44.384988162524998</c:v>
                </c:pt>
                <c:pt idx="24">
                  <c:v>35.175276494468129</c:v>
                </c:pt>
                <c:pt idx="25">
                  <c:v>40.238243441056362</c:v>
                </c:pt>
                <c:pt idx="26">
                  <c:v>43.815879330031635</c:v>
                </c:pt>
                <c:pt idx="27">
                  <c:v>42.786908730555439</c:v>
                </c:pt>
                <c:pt idx="28">
                  <c:v>42.148292744858367</c:v>
                </c:pt>
                <c:pt idx="29">
                  <c:v>40.257364105491305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10-48FE-933B-BDD9E0CAC221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'DOY150'!$J$48:$J$85</c:f>
              <c:numCache>
                <c:formatCode>0.000</c:formatCode>
                <c:ptCount val="38"/>
                <c:pt idx="0">
                  <c:v>13.257999999999999</c:v>
                </c:pt>
                <c:pt idx="1">
                  <c:v>13.249000000000001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'DOY150'!$W$48:$W$85</c:f>
              <c:numCache>
                <c:formatCode>0.00</c:formatCode>
                <c:ptCount val="38"/>
                <c:pt idx="0">
                  <c:v>58.237984868390249</c:v>
                </c:pt>
                <c:pt idx="1">
                  <c:v>43.49211339067935</c:v>
                </c:pt>
                <c:pt idx="2">
                  <c:v>-0.66526040004926867</c:v>
                </c:pt>
                <c:pt idx="3">
                  <c:v>-0.66526040004926867</c:v>
                </c:pt>
                <c:pt idx="4">
                  <c:v>-0.66526040004926867</c:v>
                </c:pt>
                <c:pt idx="5">
                  <c:v>-0.66526040004926867</c:v>
                </c:pt>
                <c:pt idx="6">
                  <c:v>-0.66526040004926867</c:v>
                </c:pt>
                <c:pt idx="7">
                  <c:v>-0.66526040004926867</c:v>
                </c:pt>
                <c:pt idx="8">
                  <c:v>-0.66526040004926867</c:v>
                </c:pt>
                <c:pt idx="9">
                  <c:v>-0.66526040004926867</c:v>
                </c:pt>
                <c:pt idx="10">
                  <c:v>-0.66526040004926867</c:v>
                </c:pt>
                <c:pt idx="11">
                  <c:v>-0.66526040004926867</c:v>
                </c:pt>
                <c:pt idx="12">
                  <c:v>-0.66526040004926867</c:v>
                </c:pt>
                <c:pt idx="13">
                  <c:v>-0.66526040004926867</c:v>
                </c:pt>
                <c:pt idx="14">
                  <c:v>-0.66526040004926867</c:v>
                </c:pt>
                <c:pt idx="15">
                  <c:v>-0.66526040004926867</c:v>
                </c:pt>
                <c:pt idx="16">
                  <c:v>-0.66526040004926867</c:v>
                </c:pt>
                <c:pt idx="17">
                  <c:v>-0.66526040004926867</c:v>
                </c:pt>
                <c:pt idx="18">
                  <c:v>-0.66526040004926867</c:v>
                </c:pt>
                <c:pt idx="19">
                  <c:v>-0.66526040004926867</c:v>
                </c:pt>
                <c:pt idx="20">
                  <c:v>-0.66526040004926867</c:v>
                </c:pt>
                <c:pt idx="21">
                  <c:v>-0.66526040004926867</c:v>
                </c:pt>
                <c:pt idx="22">
                  <c:v>-0.66526040004926867</c:v>
                </c:pt>
                <c:pt idx="23">
                  <c:v>-0.66526040004926867</c:v>
                </c:pt>
                <c:pt idx="24">
                  <c:v>-0.66526040004926867</c:v>
                </c:pt>
                <c:pt idx="25">
                  <c:v>-0.66526040004926867</c:v>
                </c:pt>
                <c:pt idx="26">
                  <c:v>-0.66526040004926867</c:v>
                </c:pt>
                <c:pt idx="27">
                  <c:v>-0.66526040004926867</c:v>
                </c:pt>
                <c:pt idx="28">
                  <c:v>-0.66526040004926867</c:v>
                </c:pt>
                <c:pt idx="29">
                  <c:v>-0.66526040004926867</c:v>
                </c:pt>
                <c:pt idx="30">
                  <c:v>-0.66526040004926867</c:v>
                </c:pt>
                <c:pt idx="31">
                  <c:v>-0.66526040004926867</c:v>
                </c:pt>
                <c:pt idx="32">
                  <c:v>-0.66526040004926867</c:v>
                </c:pt>
                <c:pt idx="33">
                  <c:v>-0.66526040004926867</c:v>
                </c:pt>
                <c:pt idx="34">
                  <c:v>-0.66526040004926867</c:v>
                </c:pt>
                <c:pt idx="35">
                  <c:v>-0.66526040004926867</c:v>
                </c:pt>
                <c:pt idx="36">
                  <c:v>-0.66526040004926867</c:v>
                </c:pt>
                <c:pt idx="37">
                  <c:v>-0.66526040004926867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10-48FE-933B-BDD9E0CAC221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('DOY150'!$J$17,'DOY150'!$J$26)</c:f>
              <c:numCache>
                <c:formatCode>0.000</c:formatCode>
                <c:ptCount val="2"/>
                <c:pt idx="0">
                  <c:v>13.12</c:v>
                </c:pt>
                <c:pt idx="1">
                  <c:v>13.323</c:v>
                </c:pt>
              </c:numCache>
            </c:numRef>
          </c:xVal>
          <c:yVal>
            <c:numRef>
              <c:f>('DOY150'!$W$17,'DOY150'!$W$26)</c:f>
              <c:numCache>
                <c:formatCode>0.00</c:formatCode>
                <c:ptCount val="2"/>
                <c:pt idx="0">
                  <c:v>44.139323979089085</c:v>
                </c:pt>
                <c:pt idx="1">
                  <c:v>40.378351634353301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10-48FE-933B-BDD9E0CAC221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('DOY150'!$J$59,'DOY150'!$J$68)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('DOY150'!$W$59,'DOY150'!$W$68)</c:f>
              <c:numCache>
                <c:formatCode>0.00</c:formatCode>
                <c:ptCount val="2"/>
                <c:pt idx="0">
                  <c:v>-0.66526040004926867</c:v>
                </c:pt>
                <c:pt idx="1">
                  <c:v>-0.66526040004926867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10-48FE-933B-BDD9E0CAC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502255"/>
        <c:axId val="1"/>
      </c:scatterChart>
      <c:valAx>
        <c:axId val="137050225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50225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'DOY153'!$J$10:$J$39</c:f>
              <c:numCache>
                <c:formatCode>0.000</c:formatCode>
                <c:ptCount val="30"/>
                <c:pt idx="0">
                  <c:v>13.147</c:v>
                </c:pt>
                <c:pt idx="1">
                  <c:v>13.138</c:v>
                </c:pt>
                <c:pt idx="2">
                  <c:v>13.127000000000001</c:v>
                </c:pt>
                <c:pt idx="3">
                  <c:v>13.118</c:v>
                </c:pt>
                <c:pt idx="4">
                  <c:v>13.109</c:v>
                </c:pt>
                <c:pt idx="5">
                  <c:v>13.1</c:v>
                </c:pt>
                <c:pt idx="6">
                  <c:v>13.092000000000001</c:v>
                </c:pt>
                <c:pt idx="7">
                  <c:v>13.083</c:v>
                </c:pt>
                <c:pt idx="8">
                  <c:v>13.164</c:v>
                </c:pt>
                <c:pt idx="9">
                  <c:v>13.169</c:v>
                </c:pt>
                <c:pt idx="10">
                  <c:v>13.175000000000001</c:v>
                </c:pt>
                <c:pt idx="11">
                  <c:v>13.18</c:v>
                </c:pt>
                <c:pt idx="12">
                  <c:v>13.185</c:v>
                </c:pt>
                <c:pt idx="13">
                  <c:v>13.191000000000001</c:v>
                </c:pt>
                <c:pt idx="14">
                  <c:v>13.196</c:v>
                </c:pt>
                <c:pt idx="15">
                  <c:v>13.202</c:v>
                </c:pt>
                <c:pt idx="16">
                  <c:v>13.284000000000001</c:v>
                </c:pt>
                <c:pt idx="17">
                  <c:v>13.289</c:v>
                </c:pt>
                <c:pt idx="18">
                  <c:v>13.295</c:v>
                </c:pt>
                <c:pt idx="19">
                  <c:v>13.3</c:v>
                </c:pt>
                <c:pt idx="20">
                  <c:v>13.305999999999999</c:v>
                </c:pt>
                <c:pt idx="21">
                  <c:v>13.311999999999999</c:v>
                </c:pt>
                <c:pt idx="22">
                  <c:v>13.317</c:v>
                </c:pt>
                <c:pt idx="23">
                  <c:v>13.321999999999999</c:v>
                </c:pt>
                <c:pt idx="24">
                  <c:v>13.4</c:v>
                </c:pt>
                <c:pt idx="25">
                  <c:v>13.391</c:v>
                </c:pt>
                <c:pt idx="26">
                  <c:v>13.382</c:v>
                </c:pt>
                <c:pt idx="27">
                  <c:v>13.372999999999999</c:v>
                </c:pt>
                <c:pt idx="28">
                  <c:v>13.365</c:v>
                </c:pt>
                <c:pt idx="29">
                  <c:v>13.356999999999999</c:v>
                </c:pt>
              </c:numCache>
            </c:numRef>
          </c:xVal>
          <c:yVal>
            <c:numRef>
              <c:f>'DOY153'!$W$10:$W$39</c:f>
              <c:numCache>
                <c:formatCode>0.00</c:formatCode>
                <c:ptCount val="30"/>
                <c:pt idx="0">
                  <c:v>53.404605769361588</c:v>
                </c:pt>
                <c:pt idx="1">
                  <c:v>53.208338663372331</c:v>
                </c:pt>
                <c:pt idx="2">
                  <c:v>51.737669186475443</c:v>
                </c:pt>
                <c:pt idx="3">
                  <c:v>52.724297278079121</c:v>
                </c:pt>
                <c:pt idx="4">
                  <c:v>52.899504461985309</c:v>
                </c:pt>
                <c:pt idx="5">
                  <c:v>52.37628479523142</c:v>
                </c:pt>
                <c:pt idx="6">
                  <c:v>52.548645897583562</c:v>
                </c:pt>
                <c:pt idx="7">
                  <c:v>52.787865701703531</c:v>
                </c:pt>
                <c:pt idx="8">
                  <c:v>53.795089580309359</c:v>
                </c:pt>
                <c:pt idx="9">
                  <c:v>52.372258716993485</c:v>
                </c:pt>
                <c:pt idx="10">
                  <c:v>52.884154314901103</c:v>
                </c:pt>
                <c:pt idx="11">
                  <c:v>53.620458116761945</c:v>
                </c:pt>
                <c:pt idx="12">
                  <c:v>53.193650723382355</c:v>
                </c:pt>
                <c:pt idx="13">
                  <c:v>52.253506702486241</c:v>
                </c:pt>
                <c:pt idx="14">
                  <c:v>53.098314725006766</c:v>
                </c:pt>
                <c:pt idx="15">
                  <c:v>53.526799147332063</c:v>
                </c:pt>
                <c:pt idx="16">
                  <c:v>52.35525500183325</c:v>
                </c:pt>
                <c:pt idx="17">
                  <c:v>52.42758867504056</c:v>
                </c:pt>
                <c:pt idx="18">
                  <c:v>51.759502459035417</c:v>
                </c:pt>
                <c:pt idx="19">
                  <c:v>52.934681698796282</c:v>
                </c:pt>
                <c:pt idx="20">
                  <c:v>53.431623228692239</c:v>
                </c:pt>
                <c:pt idx="21">
                  <c:v>52.847314892539252</c:v>
                </c:pt>
                <c:pt idx="22">
                  <c:v>52.533621758949778</c:v>
                </c:pt>
                <c:pt idx="23">
                  <c:v>50.852301733314043</c:v>
                </c:pt>
                <c:pt idx="24">
                  <c:v>52.063930165343116</c:v>
                </c:pt>
                <c:pt idx="25">
                  <c:v>51.809238880562937</c:v>
                </c:pt>
                <c:pt idx="26">
                  <c:v>51.856368742251384</c:v>
                </c:pt>
                <c:pt idx="27">
                  <c:v>51.539829527107877</c:v>
                </c:pt>
                <c:pt idx="28">
                  <c:v>50.994188350641146</c:v>
                </c:pt>
                <c:pt idx="29">
                  <c:v>52.287723902777827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4-4B55-A3CC-E53312ACEBD5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'DOY153'!$J$48:$J$85</c:f>
              <c:numCache>
                <c:formatCode>0.000</c:formatCode>
                <c:ptCount val="38"/>
                <c:pt idx="0">
                  <c:v>13.22</c:v>
                </c:pt>
                <c:pt idx="1">
                  <c:v>13.211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'DOY153'!$W$48:$W$85</c:f>
              <c:numCache>
                <c:formatCode>0.00</c:formatCode>
                <c:ptCount val="38"/>
                <c:pt idx="0">
                  <c:v>58.725687830040108</c:v>
                </c:pt>
                <c:pt idx="1">
                  <c:v>52.673342113707925</c:v>
                </c:pt>
                <c:pt idx="2">
                  <c:v>-0.58371897760036073</c:v>
                </c:pt>
                <c:pt idx="3">
                  <c:v>-0.58371897760036073</c:v>
                </c:pt>
                <c:pt idx="4">
                  <c:v>-0.58371897760036073</c:v>
                </c:pt>
                <c:pt idx="5">
                  <c:v>-0.58371897760036073</c:v>
                </c:pt>
                <c:pt idx="6">
                  <c:v>-0.58371897760036073</c:v>
                </c:pt>
                <c:pt idx="7">
                  <c:v>-0.58371897760036073</c:v>
                </c:pt>
                <c:pt idx="8">
                  <c:v>-0.58371897760036073</c:v>
                </c:pt>
                <c:pt idx="9">
                  <c:v>-0.58371897760036073</c:v>
                </c:pt>
                <c:pt idx="10">
                  <c:v>-0.58371897760036073</c:v>
                </c:pt>
                <c:pt idx="11">
                  <c:v>-0.58371897760036073</c:v>
                </c:pt>
                <c:pt idx="12">
                  <c:v>-0.58371897760036073</c:v>
                </c:pt>
                <c:pt idx="13">
                  <c:v>-0.58371897760036073</c:v>
                </c:pt>
                <c:pt idx="14">
                  <c:v>-0.58371897760036073</c:v>
                </c:pt>
                <c:pt idx="15">
                  <c:v>-0.58371897760036073</c:v>
                </c:pt>
                <c:pt idx="16">
                  <c:v>-0.58371897760036073</c:v>
                </c:pt>
                <c:pt idx="17">
                  <c:v>-0.58371897760036073</c:v>
                </c:pt>
                <c:pt idx="18">
                  <c:v>-0.58371897760036073</c:v>
                </c:pt>
                <c:pt idx="19">
                  <c:v>-0.58371897760036073</c:v>
                </c:pt>
                <c:pt idx="20">
                  <c:v>-0.58371897760036073</c:v>
                </c:pt>
                <c:pt idx="21">
                  <c:v>-0.58371897760036073</c:v>
                </c:pt>
                <c:pt idx="22">
                  <c:v>-0.58371897760036073</c:v>
                </c:pt>
                <c:pt idx="23">
                  <c:v>-0.58371897760036073</c:v>
                </c:pt>
                <c:pt idx="24">
                  <c:v>-0.58371897760036073</c:v>
                </c:pt>
                <c:pt idx="25">
                  <c:v>-0.58371897760036073</c:v>
                </c:pt>
                <c:pt idx="26">
                  <c:v>-0.58371897760036073</c:v>
                </c:pt>
                <c:pt idx="27">
                  <c:v>-0.58371897760036073</c:v>
                </c:pt>
                <c:pt idx="28">
                  <c:v>-0.58371897760036073</c:v>
                </c:pt>
                <c:pt idx="29">
                  <c:v>-0.58371897760036073</c:v>
                </c:pt>
                <c:pt idx="30">
                  <c:v>-0.58371897760036073</c:v>
                </c:pt>
                <c:pt idx="31">
                  <c:v>-0.58371897760036073</c:v>
                </c:pt>
                <c:pt idx="32">
                  <c:v>-0.58371897760036073</c:v>
                </c:pt>
                <c:pt idx="33">
                  <c:v>-0.58371897760036073</c:v>
                </c:pt>
                <c:pt idx="34">
                  <c:v>-0.58371897760036073</c:v>
                </c:pt>
                <c:pt idx="35">
                  <c:v>-0.58371897760036073</c:v>
                </c:pt>
                <c:pt idx="36">
                  <c:v>-0.58371897760036073</c:v>
                </c:pt>
                <c:pt idx="37">
                  <c:v>-0.58371897760036073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4-4B55-A3CC-E53312ACEBD5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('DOY153'!$J$17,'DOY153'!$J$26)</c:f>
              <c:numCache>
                <c:formatCode>0.000</c:formatCode>
                <c:ptCount val="2"/>
                <c:pt idx="0">
                  <c:v>13.083</c:v>
                </c:pt>
                <c:pt idx="1">
                  <c:v>13.284000000000001</c:v>
                </c:pt>
              </c:numCache>
            </c:numRef>
          </c:xVal>
          <c:yVal>
            <c:numRef>
              <c:f>('DOY153'!$W$17,'DOY153'!$W$26)</c:f>
              <c:numCache>
                <c:formatCode>0.00</c:formatCode>
                <c:ptCount val="2"/>
                <c:pt idx="0">
                  <c:v>52.787865701703531</c:v>
                </c:pt>
                <c:pt idx="1">
                  <c:v>52.35525500183325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34-4B55-A3CC-E53312ACEBD5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('DOY153'!$J$59,'DOY153'!$J$68)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('DOY153'!$W$59,'DOY153'!$W$68)</c:f>
              <c:numCache>
                <c:formatCode>0.00</c:formatCode>
                <c:ptCount val="2"/>
                <c:pt idx="0">
                  <c:v>-0.58371897760036073</c:v>
                </c:pt>
                <c:pt idx="1">
                  <c:v>-0.58371897760036073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34-4B55-A3CC-E53312ACE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92655"/>
        <c:axId val="1"/>
      </c:scatterChart>
      <c:valAx>
        <c:axId val="137049265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9265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'DOY154'!$J$10:$J$39</c:f>
              <c:numCache>
                <c:formatCode>0.000</c:formatCode>
                <c:ptCount val="30"/>
                <c:pt idx="0">
                  <c:v>12.996</c:v>
                </c:pt>
                <c:pt idx="1">
                  <c:v>12.981</c:v>
                </c:pt>
                <c:pt idx="2">
                  <c:v>12.962999999999999</c:v>
                </c:pt>
                <c:pt idx="3">
                  <c:v>12.946999999999999</c:v>
                </c:pt>
                <c:pt idx="4">
                  <c:v>12.932</c:v>
                </c:pt>
                <c:pt idx="5">
                  <c:v>12.917</c:v>
                </c:pt>
                <c:pt idx="6">
                  <c:v>12.901999999999999</c:v>
                </c:pt>
                <c:pt idx="7">
                  <c:v>12.885999999999999</c:v>
                </c:pt>
                <c:pt idx="8">
                  <c:v>13.026</c:v>
                </c:pt>
                <c:pt idx="9">
                  <c:v>13.042</c:v>
                </c:pt>
                <c:pt idx="10">
                  <c:v>13.057</c:v>
                </c:pt>
                <c:pt idx="11">
                  <c:v>13.071999999999999</c:v>
                </c:pt>
                <c:pt idx="12">
                  <c:v>13.089</c:v>
                </c:pt>
                <c:pt idx="13">
                  <c:v>13.11</c:v>
                </c:pt>
                <c:pt idx="14">
                  <c:v>13.125</c:v>
                </c:pt>
                <c:pt idx="15">
                  <c:v>13.14</c:v>
                </c:pt>
                <c:pt idx="16">
                  <c:v>13.260999999999999</c:v>
                </c:pt>
                <c:pt idx="17">
                  <c:v>13.281000000000001</c:v>
                </c:pt>
                <c:pt idx="18">
                  <c:v>13.295999999999999</c:v>
                </c:pt>
                <c:pt idx="19">
                  <c:v>13.311999999999999</c:v>
                </c:pt>
                <c:pt idx="20">
                  <c:v>13.327999999999999</c:v>
                </c:pt>
                <c:pt idx="21">
                  <c:v>13.343</c:v>
                </c:pt>
                <c:pt idx="22">
                  <c:v>13.358000000000001</c:v>
                </c:pt>
                <c:pt idx="23">
                  <c:v>13.375</c:v>
                </c:pt>
                <c:pt idx="24">
                  <c:v>13.516999999999999</c:v>
                </c:pt>
                <c:pt idx="25">
                  <c:v>13.500999999999999</c:v>
                </c:pt>
                <c:pt idx="26">
                  <c:v>13.484999999999999</c:v>
                </c:pt>
                <c:pt idx="27">
                  <c:v>13.467000000000001</c:v>
                </c:pt>
                <c:pt idx="28">
                  <c:v>13.451000000000001</c:v>
                </c:pt>
                <c:pt idx="29">
                  <c:v>13.435</c:v>
                </c:pt>
              </c:numCache>
            </c:numRef>
          </c:xVal>
          <c:yVal>
            <c:numRef>
              <c:f>'DOY154'!$W$10:$W$39</c:f>
              <c:numCache>
                <c:formatCode>0.00</c:formatCode>
                <c:ptCount val="30"/>
                <c:pt idx="0">
                  <c:v>54.597071827459196</c:v>
                </c:pt>
                <c:pt idx="1">
                  <c:v>53.124720980402138</c:v>
                </c:pt>
                <c:pt idx="2">
                  <c:v>52.160975830050376</c:v>
                </c:pt>
                <c:pt idx="3">
                  <c:v>51.825398537888169</c:v>
                </c:pt>
                <c:pt idx="4">
                  <c:v>53.058404724871131</c:v>
                </c:pt>
                <c:pt idx="5">
                  <c:v>52.872935657604728</c:v>
                </c:pt>
                <c:pt idx="6">
                  <c:v>53.703888594099801</c:v>
                </c:pt>
                <c:pt idx="7">
                  <c:v>53.889041401213916</c:v>
                </c:pt>
                <c:pt idx="8">
                  <c:v>53.252283658467285</c:v>
                </c:pt>
                <c:pt idx="9">
                  <c:v>53.473425045146804</c:v>
                </c:pt>
                <c:pt idx="10">
                  <c:v>53.186885170917741</c:v>
                </c:pt>
                <c:pt idx="11">
                  <c:v>54.075306525944676</c:v>
                </c:pt>
                <c:pt idx="12">
                  <c:v>54.782712295478042</c:v>
                </c:pt>
                <c:pt idx="13">
                  <c:v>52.805542308238678</c:v>
                </c:pt>
                <c:pt idx="14">
                  <c:v>51.133075214698778</c:v>
                </c:pt>
                <c:pt idx="15">
                  <c:v>53.672253673941277</c:v>
                </c:pt>
                <c:pt idx="16">
                  <c:v>51.462726671016874</c:v>
                </c:pt>
                <c:pt idx="17">
                  <c:v>51.178090453713246</c:v>
                </c:pt>
                <c:pt idx="18">
                  <c:v>51.270284867710387</c:v>
                </c:pt>
                <c:pt idx="19">
                  <c:v>52.853852166611027</c:v>
                </c:pt>
                <c:pt idx="20">
                  <c:v>51.787616690897728</c:v>
                </c:pt>
                <c:pt idx="21">
                  <c:v>50.051435560451431</c:v>
                </c:pt>
                <c:pt idx="22">
                  <c:v>50.515014255230348</c:v>
                </c:pt>
                <c:pt idx="23">
                  <c:v>50.294425881922088</c:v>
                </c:pt>
                <c:pt idx="24">
                  <c:v>54.018117506110819</c:v>
                </c:pt>
                <c:pt idx="25">
                  <c:v>53.434652591056825</c:v>
                </c:pt>
                <c:pt idx="26">
                  <c:v>51.67635325236062</c:v>
                </c:pt>
                <c:pt idx="27">
                  <c:v>52.314103551866431</c:v>
                </c:pt>
                <c:pt idx="28">
                  <c:v>51.842050392173398</c:v>
                </c:pt>
                <c:pt idx="29">
                  <c:v>50.957366280375219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C-4B61-A724-8A08227A0BFC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'DOY154'!$J$48:$J$85</c:f>
              <c:numCache>
                <c:formatCode>0.000</c:formatCode>
                <c:ptCount val="38"/>
                <c:pt idx="0">
                  <c:v>13.176</c:v>
                </c:pt>
                <c:pt idx="1">
                  <c:v>13.162000000000001</c:v>
                </c:pt>
                <c:pt idx="2">
                  <c:v>13.000999999999999</c:v>
                </c:pt>
                <c:pt idx="3">
                  <c:v>12.986000000000001</c:v>
                </c:pt>
                <c:pt idx="4">
                  <c:v>12.968999999999999</c:v>
                </c:pt>
                <c:pt idx="5">
                  <c:v>12.952</c:v>
                </c:pt>
                <c:pt idx="6">
                  <c:v>12.936999999999999</c:v>
                </c:pt>
                <c:pt idx="7">
                  <c:v>12.920999999999999</c:v>
                </c:pt>
                <c:pt idx="8">
                  <c:v>12.906000000000001</c:v>
                </c:pt>
                <c:pt idx="9">
                  <c:v>12.891</c:v>
                </c:pt>
                <c:pt idx="10">
                  <c:v>13.031000000000001</c:v>
                </c:pt>
                <c:pt idx="11">
                  <c:v>13.047000000000001</c:v>
                </c:pt>
                <c:pt idx="12">
                  <c:v>13.061</c:v>
                </c:pt>
                <c:pt idx="13">
                  <c:v>13.077</c:v>
                </c:pt>
                <c:pt idx="14">
                  <c:v>13.096</c:v>
                </c:pt>
                <c:pt idx="15">
                  <c:v>13.114000000000001</c:v>
                </c:pt>
                <c:pt idx="16">
                  <c:v>13.13</c:v>
                </c:pt>
                <c:pt idx="17">
                  <c:v>13.145</c:v>
                </c:pt>
                <c:pt idx="18">
                  <c:v>13.27</c:v>
                </c:pt>
                <c:pt idx="19">
                  <c:v>13.286</c:v>
                </c:pt>
                <c:pt idx="20">
                  <c:v>13.301</c:v>
                </c:pt>
                <c:pt idx="21">
                  <c:v>13.317</c:v>
                </c:pt>
                <c:pt idx="22">
                  <c:v>13.333</c:v>
                </c:pt>
                <c:pt idx="23">
                  <c:v>13.348000000000001</c:v>
                </c:pt>
                <c:pt idx="24">
                  <c:v>13.364000000000001</c:v>
                </c:pt>
                <c:pt idx="25">
                  <c:v>13.382</c:v>
                </c:pt>
                <c:pt idx="26">
                  <c:v>13.522</c:v>
                </c:pt>
                <c:pt idx="27">
                  <c:v>13.506</c:v>
                </c:pt>
                <c:pt idx="28">
                  <c:v>13.49</c:v>
                </c:pt>
                <c:pt idx="29">
                  <c:v>13.472</c:v>
                </c:pt>
                <c:pt idx="30">
                  <c:v>13.456</c:v>
                </c:pt>
                <c:pt idx="31">
                  <c:v>13.44</c:v>
                </c:pt>
                <c:pt idx="32">
                  <c:v>13.423</c:v>
                </c:pt>
                <c:pt idx="33">
                  <c:v>13.407999999999999</c:v>
                </c:pt>
                <c:pt idx="34">
                  <c:v>13.236000000000001</c:v>
                </c:pt>
                <c:pt idx="35">
                  <c:v>13.215</c:v>
                </c:pt>
                <c:pt idx="36">
                  <c:v>13.19</c:v>
                </c:pt>
                <c:pt idx="37">
                  <c:v>13.167</c:v>
                </c:pt>
              </c:numCache>
            </c:numRef>
          </c:xVal>
          <c:yVal>
            <c:numRef>
              <c:f>'DOY154'!$W$48:$W$85</c:f>
              <c:numCache>
                <c:formatCode>0.00</c:formatCode>
                <c:ptCount val="38"/>
                <c:pt idx="0">
                  <c:v>61.056373255751197</c:v>
                </c:pt>
                <c:pt idx="1">
                  <c:v>52.958140100612063</c:v>
                </c:pt>
                <c:pt idx="2">
                  <c:v>32.178538518637872</c:v>
                </c:pt>
                <c:pt idx="3">
                  <c:v>30.749578470289109</c:v>
                </c:pt>
                <c:pt idx="4">
                  <c:v>30.740415191973998</c:v>
                </c:pt>
                <c:pt idx="5">
                  <c:v>30.019638916836957</c:v>
                </c:pt>
                <c:pt idx="6">
                  <c:v>31.479945804217252</c:v>
                </c:pt>
                <c:pt idx="7">
                  <c:v>31.641129581828455</c:v>
                </c:pt>
                <c:pt idx="8">
                  <c:v>31.371950378731288</c:v>
                </c:pt>
                <c:pt idx="9">
                  <c:v>31.864101409374246</c:v>
                </c:pt>
                <c:pt idx="10">
                  <c:v>31.137591079532314</c:v>
                </c:pt>
                <c:pt idx="11">
                  <c:v>30.65017569785617</c:v>
                </c:pt>
                <c:pt idx="12">
                  <c:v>31.124678041194354</c:v>
                </c:pt>
                <c:pt idx="13">
                  <c:v>31.059447055078</c:v>
                </c:pt>
                <c:pt idx="14">
                  <c:v>34.293894858554509</c:v>
                </c:pt>
                <c:pt idx="15">
                  <c:v>34.713246885131817</c:v>
                </c:pt>
                <c:pt idx="16">
                  <c:v>32.15443016672706</c:v>
                </c:pt>
                <c:pt idx="17">
                  <c:v>35.347583558304471</c:v>
                </c:pt>
                <c:pt idx="18">
                  <c:v>35.876389651867477</c:v>
                </c:pt>
                <c:pt idx="19">
                  <c:v>34.534287991543145</c:v>
                </c:pt>
                <c:pt idx="20">
                  <c:v>35.865548148829241</c:v>
                </c:pt>
                <c:pt idx="21">
                  <c:v>37.504821039508649</c:v>
                </c:pt>
                <c:pt idx="22">
                  <c:v>35.448888791885402</c:v>
                </c:pt>
                <c:pt idx="23">
                  <c:v>33.059383550227643</c:v>
                </c:pt>
                <c:pt idx="24">
                  <c:v>34.648628792815479</c:v>
                </c:pt>
                <c:pt idx="25">
                  <c:v>33.318721228743179</c:v>
                </c:pt>
                <c:pt idx="26">
                  <c:v>36.865435602653974</c:v>
                </c:pt>
                <c:pt idx="27">
                  <c:v>34.514124703172577</c:v>
                </c:pt>
                <c:pt idx="28">
                  <c:v>33.433084737003</c:v>
                </c:pt>
                <c:pt idx="29">
                  <c:v>37.463903080177566</c:v>
                </c:pt>
                <c:pt idx="30">
                  <c:v>34.570808827151971</c:v>
                </c:pt>
                <c:pt idx="31">
                  <c:v>33.937609505184199</c:v>
                </c:pt>
                <c:pt idx="32">
                  <c:v>38.021029536049646</c:v>
                </c:pt>
                <c:pt idx="33">
                  <c:v>35.120429472104227</c:v>
                </c:pt>
                <c:pt idx="34">
                  <c:v>32.652739510172751</c:v>
                </c:pt>
                <c:pt idx="35">
                  <c:v>34.43445196659642</c:v>
                </c:pt>
                <c:pt idx="36">
                  <c:v>34.381307455727644</c:v>
                </c:pt>
                <c:pt idx="37">
                  <c:v>34.886638848507694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0C-4B61-A724-8A08227A0BFC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('DOY154'!$J$17,'DOY154'!$J$26)</c:f>
              <c:numCache>
                <c:formatCode>0.000</c:formatCode>
                <c:ptCount val="2"/>
                <c:pt idx="0">
                  <c:v>12.885999999999999</c:v>
                </c:pt>
                <c:pt idx="1">
                  <c:v>13.260999999999999</c:v>
                </c:pt>
              </c:numCache>
            </c:numRef>
          </c:xVal>
          <c:yVal>
            <c:numRef>
              <c:f>('DOY154'!$W$17,'DOY154'!$W$26)</c:f>
              <c:numCache>
                <c:formatCode>0.00</c:formatCode>
                <c:ptCount val="2"/>
                <c:pt idx="0">
                  <c:v>53.889041401213916</c:v>
                </c:pt>
                <c:pt idx="1">
                  <c:v>51.462726671016874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0C-4B61-A724-8A08227A0BFC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('DOY154'!$J$59,'DOY154'!$J$68)</c:f>
              <c:numCache>
                <c:formatCode>0.000</c:formatCode>
                <c:ptCount val="2"/>
                <c:pt idx="0">
                  <c:v>13.047000000000001</c:v>
                </c:pt>
                <c:pt idx="1">
                  <c:v>13.301</c:v>
                </c:pt>
              </c:numCache>
            </c:numRef>
          </c:xVal>
          <c:yVal>
            <c:numRef>
              <c:f>('DOY154'!$W$59,'DOY154'!$W$68)</c:f>
              <c:numCache>
                <c:formatCode>0.00</c:formatCode>
                <c:ptCount val="2"/>
                <c:pt idx="0">
                  <c:v>30.65017569785617</c:v>
                </c:pt>
                <c:pt idx="1">
                  <c:v>35.865548148829241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0C-4B61-A724-8A08227A0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72975"/>
        <c:axId val="1"/>
      </c:scatterChart>
      <c:valAx>
        <c:axId val="137047297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7297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'DOY155'!$J$10:$J$39</c:f>
              <c:numCache>
                <c:formatCode>0.000</c:formatCode>
                <c:ptCount val="30"/>
                <c:pt idx="0">
                  <c:v>13.223000000000001</c:v>
                </c:pt>
                <c:pt idx="1">
                  <c:v>13.206</c:v>
                </c:pt>
                <c:pt idx="2">
                  <c:v>13.19</c:v>
                </c:pt>
                <c:pt idx="3">
                  <c:v>13.173</c:v>
                </c:pt>
                <c:pt idx="4">
                  <c:v>13.157</c:v>
                </c:pt>
                <c:pt idx="5">
                  <c:v>13.14</c:v>
                </c:pt>
                <c:pt idx="6">
                  <c:v>13.122</c:v>
                </c:pt>
                <c:pt idx="7">
                  <c:v>13.103</c:v>
                </c:pt>
                <c:pt idx="8">
                  <c:v>13.244</c:v>
                </c:pt>
                <c:pt idx="9">
                  <c:v>13.26</c:v>
                </c:pt>
                <c:pt idx="10">
                  <c:v>13.276</c:v>
                </c:pt>
                <c:pt idx="11">
                  <c:v>13.292</c:v>
                </c:pt>
                <c:pt idx="12">
                  <c:v>13.308</c:v>
                </c:pt>
                <c:pt idx="13">
                  <c:v>13.324</c:v>
                </c:pt>
                <c:pt idx="14">
                  <c:v>13.342000000000001</c:v>
                </c:pt>
                <c:pt idx="15">
                  <c:v>13.356999999999999</c:v>
                </c:pt>
                <c:pt idx="16">
                  <c:v>13.483000000000001</c:v>
                </c:pt>
                <c:pt idx="17">
                  <c:v>13.499000000000001</c:v>
                </c:pt>
                <c:pt idx="18">
                  <c:v>13.515000000000001</c:v>
                </c:pt>
                <c:pt idx="19">
                  <c:v>13.531000000000001</c:v>
                </c:pt>
                <c:pt idx="20">
                  <c:v>13.547000000000001</c:v>
                </c:pt>
                <c:pt idx="21">
                  <c:v>13.561999999999999</c:v>
                </c:pt>
                <c:pt idx="22">
                  <c:v>13.577999999999999</c:v>
                </c:pt>
                <c:pt idx="23">
                  <c:v>13.593999999999999</c:v>
                </c:pt>
                <c:pt idx="24">
                  <c:v>13.726000000000001</c:v>
                </c:pt>
                <c:pt idx="25">
                  <c:v>13.71</c:v>
                </c:pt>
                <c:pt idx="26">
                  <c:v>13.694000000000001</c:v>
                </c:pt>
                <c:pt idx="27">
                  <c:v>13.677</c:v>
                </c:pt>
                <c:pt idx="28">
                  <c:v>13.662000000000001</c:v>
                </c:pt>
                <c:pt idx="29">
                  <c:v>13.646000000000001</c:v>
                </c:pt>
              </c:numCache>
            </c:numRef>
          </c:xVal>
          <c:yVal>
            <c:numRef>
              <c:f>'DOY155'!$W$10:$W$39</c:f>
              <c:numCache>
                <c:formatCode>0.00</c:formatCode>
                <c:ptCount val="30"/>
                <c:pt idx="0">
                  <c:v>55.482513113640387</c:v>
                </c:pt>
                <c:pt idx="1">
                  <c:v>55.184524314610883</c:v>
                </c:pt>
                <c:pt idx="2">
                  <c:v>51.530568421265201</c:v>
                </c:pt>
                <c:pt idx="3">
                  <c:v>53.793219554671623</c:v>
                </c:pt>
                <c:pt idx="4">
                  <c:v>35.578439085135031</c:v>
                </c:pt>
                <c:pt idx="5">
                  <c:v>53.224678578944371</c:v>
                </c:pt>
                <c:pt idx="6">
                  <c:v>55.195744284830852</c:v>
                </c:pt>
                <c:pt idx="7">
                  <c:v>53.299141341279409</c:v>
                </c:pt>
                <c:pt idx="8">
                  <c:v>36.705789771600074</c:v>
                </c:pt>
                <c:pt idx="9">
                  <c:v>54.398746319924932</c:v>
                </c:pt>
                <c:pt idx="10">
                  <c:v>55.706327608402972</c:v>
                </c:pt>
                <c:pt idx="11">
                  <c:v>37.322457000140076</c:v>
                </c:pt>
                <c:pt idx="12">
                  <c:v>54.761112116837324</c:v>
                </c:pt>
                <c:pt idx="13">
                  <c:v>55.501723787188986</c:v>
                </c:pt>
                <c:pt idx="14">
                  <c:v>53.185841591224197</c:v>
                </c:pt>
                <c:pt idx="15">
                  <c:v>55.942090386828511</c:v>
                </c:pt>
                <c:pt idx="16">
                  <c:v>53.25049453038104</c:v>
                </c:pt>
                <c:pt idx="17">
                  <c:v>54.870435101948864</c:v>
                </c:pt>
                <c:pt idx="18">
                  <c:v>55.043425137273289</c:v>
                </c:pt>
                <c:pt idx="19">
                  <c:v>55.153035007734381</c:v>
                </c:pt>
                <c:pt idx="20">
                  <c:v>36.445983616789128</c:v>
                </c:pt>
                <c:pt idx="21">
                  <c:v>54.122040925521162</c:v>
                </c:pt>
                <c:pt idx="22">
                  <c:v>53.012064115910242</c:v>
                </c:pt>
                <c:pt idx="23">
                  <c:v>50.331350081379298</c:v>
                </c:pt>
                <c:pt idx="24">
                  <c:v>54.585119442601247</c:v>
                </c:pt>
                <c:pt idx="25">
                  <c:v>54.634313417892002</c:v>
                </c:pt>
                <c:pt idx="26">
                  <c:v>51.47623994943914</c:v>
                </c:pt>
                <c:pt idx="27">
                  <c:v>54.819705369779946</c:v>
                </c:pt>
                <c:pt idx="28">
                  <c:v>51.012986886169529</c:v>
                </c:pt>
                <c:pt idx="29">
                  <c:v>54.60063514145903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5E-4F95-8A04-5830547C966F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'DOY155'!$J$48:$J$85</c:f>
              <c:numCache>
                <c:formatCode>0.000</c:formatCode>
                <c:ptCount val="38"/>
                <c:pt idx="0">
                  <c:v>13.396000000000001</c:v>
                </c:pt>
                <c:pt idx="1">
                  <c:v>13.379</c:v>
                </c:pt>
                <c:pt idx="2">
                  <c:v>13.227</c:v>
                </c:pt>
                <c:pt idx="3">
                  <c:v>13.211</c:v>
                </c:pt>
                <c:pt idx="4">
                  <c:v>13.194000000000001</c:v>
                </c:pt>
                <c:pt idx="5">
                  <c:v>13.178000000000001</c:v>
                </c:pt>
                <c:pt idx="6">
                  <c:v>13.161</c:v>
                </c:pt>
                <c:pt idx="7">
                  <c:v>13.145</c:v>
                </c:pt>
                <c:pt idx="8">
                  <c:v>13.127000000000001</c:v>
                </c:pt>
                <c:pt idx="9">
                  <c:v>13.109</c:v>
                </c:pt>
                <c:pt idx="10">
                  <c:v>13.247999999999999</c:v>
                </c:pt>
                <c:pt idx="11">
                  <c:v>13.265000000000001</c:v>
                </c:pt>
                <c:pt idx="12">
                  <c:v>13.28</c:v>
                </c:pt>
                <c:pt idx="13">
                  <c:v>13.297000000000001</c:v>
                </c:pt>
                <c:pt idx="14">
                  <c:v>13.311999999999999</c:v>
                </c:pt>
                <c:pt idx="15">
                  <c:v>13.329000000000001</c:v>
                </c:pt>
                <c:pt idx="16">
                  <c:v>13.346</c:v>
                </c:pt>
                <c:pt idx="17">
                  <c:v>13.361000000000001</c:v>
                </c:pt>
                <c:pt idx="18">
                  <c:v>13.488</c:v>
                </c:pt>
                <c:pt idx="19">
                  <c:v>13.503</c:v>
                </c:pt>
                <c:pt idx="20">
                  <c:v>13.519</c:v>
                </c:pt>
                <c:pt idx="21">
                  <c:v>13.536</c:v>
                </c:pt>
                <c:pt idx="22">
                  <c:v>13.552</c:v>
                </c:pt>
                <c:pt idx="23">
                  <c:v>13.567</c:v>
                </c:pt>
                <c:pt idx="24">
                  <c:v>13.583</c:v>
                </c:pt>
                <c:pt idx="25">
                  <c:v>13.598000000000001</c:v>
                </c:pt>
                <c:pt idx="26">
                  <c:v>13.731</c:v>
                </c:pt>
                <c:pt idx="27">
                  <c:v>13.714</c:v>
                </c:pt>
                <c:pt idx="28">
                  <c:v>13.698</c:v>
                </c:pt>
                <c:pt idx="29">
                  <c:v>13.680999999999999</c:v>
                </c:pt>
                <c:pt idx="30">
                  <c:v>13.666</c:v>
                </c:pt>
                <c:pt idx="31">
                  <c:v>13.65</c:v>
                </c:pt>
                <c:pt idx="32">
                  <c:v>13.634</c:v>
                </c:pt>
                <c:pt idx="33">
                  <c:v>13.617000000000001</c:v>
                </c:pt>
                <c:pt idx="34">
                  <c:v>13.46</c:v>
                </c:pt>
                <c:pt idx="35">
                  <c:v>13.435</c:v>
                </c:pt>
                <c:pt idx="36">
                  <c:v>13.41</c:v>
                </c:pt>
                <c:pt idx="37">
                  <c:v>13.384</c:v>
                </c:pt>
              </c:numCache>
            </c:numRef>
          </c:xVal>
          <c:yVal>
            <c:numRef>
              <c:f>'DOY155'!$W$48:$W$85</c:f>
              <c:numCache>
                <c:formatCode>0.00</c:formatCode>
                <c:ptCount val="38"/>
                <c:pt idx="0">
                  <c:v>61.370774250429427</c:v>
                </c:pt>
                <c:pt idx="1">
                  <c:v>54.729326930195306</c:v>
                </c:pt>
                <c:pt idx="2">
                  <c:v>34.607005843989505</c:v>
                </c:pt>
                <c:pt idx="3">
                  <c:v>32.454167059226116</c:v>
                </c:pt>
                <c:pt idx="4">
                  <c:v>31.933848324312411</c:v>
                </c:pt>
                <c:pt idx="5">
                  <c:v>32.056581003082613</c:v>
                </c:pt>
                <c:pt idx="6">
                  <c:v>29.665262555508274</c:v>
                </c:pt>
                <c:pt idx="7">
                  <c:v>30.886764902450519</c:v>
                </c:pt>
                <c:pt idx="8">
                  <c:v>31.939800766463282</c:v>
                </c:pt>
                <c:pt idx="9">
                  <c:v>31.37775707067853</c:v>
                </c:pt>
                <c:pt idx="10">
                  <c:v>30.33026857532813</c:v>
                </c:pt>
                <c:pt idx="11">
                  <c:v>30.885972367364307</c:v>
                </c:pt>
                <c:pt idx="12">
                  <c:v>31.847046671279646</c:v>
                </c:pt>
                <c:pt idx="13">
                  <c:v>29.867880886262796</c:v>
                </c:pt>
                <c:pt idx="14">
                  <c:v>32.859475741016915</c:v>
                </c:pt>
                <c:pt idx="15">
                  <c:v>33.134288799511943</c:v>
                </c:pt>
                <c:pt idx="16">
                  <c:v>30.321837951670499</c:v>
                </c:pt>
                <c:pt idx="17">
                  <c:v>33.891073215764841</c:v>
                </c:pt>
                <c:pt idx="18">
                  <c:v>31.707114596890758</c:v>
                </c:pt>
                <c:pt idx="19">
                  <c:v>32.151267311158058</c:v>
                </c:pt>
                <c:pt idx="20">
                  <c:v>32.875500235048399</c:v>
                </c:pt>
                <c:pt idx="21">
                  <c:v>32.277273851958277</c:v>
                </c:pt>
                <c:pt idx="22">
                  <c:v>30.991185114103146</c:v>
                </c:pt>
                <c:pt idx="23">
                  <c:v>31.030111733995884</c:v>
                </c:pt>
                <c:pt idx="24">
                  <c:v>31.652728636190805</c:v>
                </c:pt>
                <c:pt idx="25">
                  <c:v>33.109239972632146</c:v>
                </c:pt>
                <c:pt idx="26">
                  <c:v>35.852280409152861</c:v>
                </c:pt>
                <c:pt idx="27">
                  <c:v>32.909226252057081</c:v>
                </c:pt>
                <c:pt idx="28">
                  <c:v>33.761489511471645</c:v>
                </c:pt>
                <c:pt idx="29">
                  <c:v>32.242040257096718</c:v>
                </c:pt>
                <c:pt idx="30">
                  <c:v>31.757381324802044</c:v>
                </c:pt>
                <c:pt idx="31">
                  <c:v>32.654122472090975</c:v>
                </c:pt>
                <c:pt idx="32">
                  <c:v>36.385980281758826</c:v>
                </c:pt>
                <c:pt idx="33">
                  <c:v>32.356414332491028</c:v>
                </c:pt>
                <c:pt idx="34">
                  <c:v>31.590373106431198</c:v>
                </c:pt>
                <c:pt idx="35">
                  <c:v>33.455883004257466</c:v>
                </c:pt>
                <c:pt idx="36">
                  <c:v>32.040411714605419</c:v>
                </c:pt>
                <c:pt idx="37">
                  <c:v>32.611113038968618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5E-4F95-8A04-5830547C966F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('DOY155'!$J$17,'DOY155'!$J$26)</c:f>
              <c:numCache>
                <c:formatCode>0.000</c:formatCode>
                <c:ptCount val="2"/>
                <c:pt idx="0">
                  <c:v>13.103</c:v>
                </c:pt>
                <c:pt idx="1">
                  <c:v>13.483000000000001</c:v>
                </c:pt>
              </c:numCache>
            </c:numRef>
          </c:xVal>
          <c:yVal>
            <c:numRef>
              <c:f>('DOY155'!$W$17,'DOY155'!$W$26)</c:f>
              <c:numCache>
                <c:formatCode>0.00</c:formatCode>
                <c:ptCount val="2"/>
                <c:pt idx="0">
                  <c:v>53.299141341279409</c:v>
                </c:pt>
                <c:pt idx="1">
                  <c:v>53.25049453038104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5E-4F95-8A04-5830547C966F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('DOY155'!$J$59,'DOY155'!$J$68)</c:f>
              <c:numCache>
                <c:formatCode>0.000</c:formatCode>
                <c:ptCount val="2"/>
                <c:pt idx="0">
                  <c:v>13.265000000000001</c:v>
                </c:pt>
                <c:pt idx="1">
                  <c:v>13.519</c:v>
                </c:pt>
              </c:numCache>
            </c:numRef>
          </c:xVal>
          <c:yVal>
            <c:numRef>
              <c:f>('DOY155'!$W$59,'DOY155'!$W$68)</c:f>
              <c:numCache>
                <c:formatCode>0.00</c:formatCode>
                <c:ptCount val="2"/>
                <c:pt idx="0">
                  <c:v>30.885972367364307</c:v>
                </c:pt>
                <c:pt idx="1">
                  <c:v>32.875500235048399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5E-4F95-8A04-5830547C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01935"/>
        <c:axId val="1"/>
      </c:scatterChart>
      <c:valAx>
        <c:axId val="137040193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0193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'DOY156'!$J$10:$J$39</c:f>
              <c:numCache>
                <c:formatCode>0.000</c:formatCode>
                <c:ptCount val="30"/>
                <c:pt idx="0">
                  <c:v>13.224</c:v>
                </c:pt>
                <c:pt idx="1">
                  <c:v>13.208</c:v>
                </c:pt>
                <c:pt idx="2">
                  <c:v>13.193</c:v>
                </c:pt>
                <c:pt idx="3">
                  <c:v>13.176</c:v>
                </c:pt>
                <c:pt idx="4">
                  <c:v>13.161</c:v>
                </c:pt>
                <c:pt idx="5">
                  <c:v>13.144</c:v>
                </c:pt>
                <c:pt idx="6">
                  <c:v>13.127000000000001</c:v>
                </c:pt>
                <c:pt idx="7">
                  <c:v>13.11</c:v>
                </c:pt>
                <c:pt idx="8">
                  <c:v>13.244999999999999</c:v>
                </c:pt>
                <c:pt idx="9">
                  <c:v>13.26</c:v>
                </c:pt>
                <c:pt idx="10">
                  <c:v>13.276</c:v>
                </c:pt>
                <c:pt idx="11">
                  <c:v>13.292</c:v>
                </c:pt>
                <c:pt idx="12">
                  <c:v>13.31</c:v>
                </c:pt>
                <c:pt idx="13">
                  <c:v>13.326000000000001</c:v>
                </c:pt>
                <c:pt idx="14">
                  <c:v>13.342000000000001</c:v>
                </c:pt>
                <c:pt idx="15">
                  <c:v>13.356999999999999</c:v>
                </c:pt>
                <c:pt idx="16">
                  <c:v>13.486000000000001</c:v>
                </c:pt>
                <c:pt idx="17">
                  <c:v>13.502000000000001</c:v>
                </c:pt>
                <c:pt idx="18">
                  <c:v>13.518000000000001</c:v>
                </c:pt>
                <c:pt idx="19">
                  <c:v>13.534000000000001</c:v>
                </c:pt>
                <c:pt idx="20">
                  <c:v>13.55</c:v>
                </c:pt>
                <c:pt idx="21">
                  <c:v>13.565</c:v>
                </c:pt>
                <c:pt idx="22">
                  <c:v>13.581</c:v>
                </c:pt>
                <c:pt idx="23">
                  <c:v>13.597</c:v>
                </c:pt>
                <c:pt idx="24">
                  <c:v>13.733000000000001</c:v>
                </c:pt>
                <c:pt idx="25">
                  <c:v>13.717000000000001</c:v>
                </c:pt>
                <c:pt idx="26">
                  <c:v>13.701000000000001</c:v>
                </c:pt>
                <c:pt idx="27">
                  <c:v>13.685</c:v>
                </c:pt>
                <c:pt idx="28">
                  <c:v>13.669</c:v>
                </c:pt>
                <c:pt idx="29">
                  <c:v>13.651999999999999</c:v>
                </c:pt>
              </c:numCache>
            </c:numRef>
          </c:xVal>
          <c:yVal>
            <c:numRef>
              <c:f>'DOY156'!$W$10:$W$39</c:f>
              <c:numCache>
                <c:formatCode>0.00</c:formatCode>
                <c:ptCount val="30"/>
                <c:pt idx="0">
                  <c:v>54.873460028542127</c:v>
                </c:pt>
                <c:pt idx="1">
                  <c:v>53.811973095530867</c:v>
                </c:pt>
                <c:pt idx="2">
                  <c:v>51.971412826192442</c:v>
                </c:pt>
                <c:pt idx="3">
                  <c:v>54.002785987408487</c:v>
                </c:pt>
                <c:pt idx="4">
                  <c:v>34.24954711938576</c:v>
                </c:pt>
                <c:pt idx="5">
                  <c:v>53.767769953153056</c:v>
                </c:pt>
                <c:pt idx="6">
                  <c:v>55.303280627967837</c:v>
                </c:pt>
                <c:pt idx="7">
                  <c:v>54.814112986673059</c:v>
                </c:pt>
                <c:pt idx="8">
                  <c:v>35.33755397261654</c:v>
                </c:pt>
                <c:pt idx="9">
                  <c:v>53.842334864454756</c:v>
                </c:pt>
                <c:pt idx="10">
                  <c:v>55.192594105566911</c:v>
                </c:pt>
                <c:pt idx="11">
                  <c:v>36.588730847800178</c:v>
                </c:pt>
                <c:pt idx="12">
                  <c:v>56.037916772240045</c:v>
                </c:pt>
                <c:pt idx="13">
                  <c:v>55.939514732145916</c:v>
                </c:pt>
                <c:pt idx="14">
                  <c:v>53.93369762026483</c:v>
                </c:pt>
                <c:pt idx="15">
                  <c:v>56.479315428680714</c:v>
                </c:pt>
                <c:pt idx="16">
                  <c:v>54.246332844628597</c:v>
                </c:pt>
                <c:pt idx="17">
                  <c:v>54.639530836419901</c:v>
                </c:pt>
                <c:pt idx="18">
                  <c:v>55.556973507009936</c:v>
                </c:pt>
                <c:pt idx="19">
                  <c:v>55.364020958870107</c:v>
                </c:pt>
                <c:pt idx="20">
                  <c:v>34.679584091643697</c:v>
                </c:pt>
                <c:pt idx="21">
                  <c:v>53.876881595574936</c:v>
                </c:pt>
                <c:pt idx="22">
                  <c:v>53.203596349404258</c:v>
                </c:pt>
                <c:pt idx="23">
                  <c:v>50.378479523761882</c:v>
                </c:pt>
                <c:pt idx="24">
                  <c:v>54.836911013908029</c:v>
                </c:pt>
                <c:pt idx="25">
                  <c:v>53.672457038706064</c:v>
                </c:pt>
                <c:pt idx="26">
                  <c:v>52.35044224030198</c:v>
                </c:pt>
                <c:pt idx="27">
                  <c:v>53.254796884469322</c:v>
                </c:pt>
                <c:pt idx="28">
                  <c:v>51.314277683889621</c:v>
                </c:pt>
                <c:pt idx="29">
                  <c:v>52.841282192386863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89-41D8-B75A-D5717785A214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'DOY156'!$J$48:$J$85</c:f>
              <c:numCache>
                <c:formatCode>0.000</c:formatCode>
                <c:ptCount val="38"/>
                <c:pt idx="0">
                  <c:v>13.393000000000001</c:v>
                </c:pt>
                <c:pt idx="1">
                  <c:v>13.375999999999999</c:v>
                </c:pt>
                <c:pt idx="2">
                  <c:v>13.228999999999999</c:v>
                </c:pt>
                <c:pt idx="3">
                  <c:v>13.212999999999999</c:v>
                </c:pt>
                <c:pt idx="4">
                  <c:v>13.196999999999999</c:v>
                </c:pt>
                <c:pt idx="5">
                  <c:v>13.180999999999999</c:v>
                </c:pt>
                <c:pt idx="6">
                  <c:v>13.164999999999999</c:v>
                </c:pt>
                <c:pt idx="7">
                  <c:v>13.148</c:v>
                </c:pt>
                <c:pt idx="8">
                  <c:v>13.132</c:v>
                </c:pt>
                <c:pt idx="9">
                  <c:v>13.114000000000001</c:v>
                </c:pt>
                <c:pt idx="10">
                  <c:v>13.249000000000001</c:v>
                </c:pt>
                <c:pt idx="11">
                  <c:v>13.265000000000001</c:v>
                </c:pt>
                <c:pt idx="12">
                  <c:v>13.281000000000001</c:v>
                </c:pt>
                <c:pt idx="13">
                  <c:v>13.297000000000001</c:v>
                </c:pt>
                <c:pt idx="14">
                  <c:v>13.315</c:v>
                </c:pt>
                <c:pt idx="15">
                  <c:v>13.331</c:v>
                </c:pt>
                <c:pt idx="16">
                  <c:v>13.347</c:v>
                </c:pt>
                <c:pt idx="17">
                  <c:v>13.362</c:v>
                </c:pt>
                <c:pt idx="18">
                  <c:v>13.491</c:v>
                </c:pt>
                <c:pt idx="19">
                  <c:v>13.507</c:v>
                </c:pt>
                <c:pt idx="20">
                  <c:v>13.522</c:v>
                </c:pt>
                <c:pt idx="21">
                  <c:v>13.539</c:v>
                </c:pt>
                <c:pt idx="22">
                  <c:v>13.555</c:v>
                </c:pt>
                <c:pt idx="23">
                  <c:v>13.57</c:v>
                </c:pt>
                <c:pt idx="24">
                  <c:v>13.585000000000001</c:v>
                </c:pt>
                <c:pt idx="25">
                  <c:v>13.602</c:v>
                </c:pt>
                <c:pt idx="26">
                  <c:v>13.738</c:v>
                </c:pt>
                <c:pt idx="27">
                  <c:v>13.722</c:v>
                </c:pt>
                <c:pt idx="28">
                  <c:v>13.706</c:v>
                </c:pt>
                <c:pt idx="29">
                  <c:v>13.689</c:v>
                </c:pt>
                <c:pt idx="30">
                  <c:v>13.673999999999999</c:v>
                </c:pt>
                <c:pt idx="31">
                  <c:v>13.657</c:v>
                </c:pt>
                <c:pt idx="32">
                  <c:v>13.64</c:v>
                </c:pt>
                <c:pt idx="33">
                  <c:v>13.622999999999999</c:v>
                </c:pt>
                <c:pt idx="34">
                  <c:v>13.46</c:v>
                </c:pt>
                <c:pt idx="35">
                  <c:v>13.433</c:v>
                </c:pt>
                <c:pt idx="36">
                  <c:v>13.407</c:v>
                </c:pt>
                <c:pt idx="37">
                  <c:v>13.381</c:v>
                </c:pt>
              </c:numCache>
            </c:numRef>
          </c:xVal>
          <c:yVal>
            <c:numRef>
              <c:f>'DOY156'!$W$48:$W$85</c:f>
              <c:numCache>
                <c:formatCode>0.00</c:formatCode>
                <c:ptCount val="38"/>
                <c:pt idx="0">
                  <c:v>61.893663213166633</c:v>
                </c:pt>
                <c:pt idx="1">
                  <c:v>54.018005806500753</c:v>
                </c:pt>
                <c:pt idx="2">
                  <c:v>32.944614035310764</c:v>
                </c:pt>
                <c:pt idx="3">
                  <c:v>32.092558596207688</c:v>
                </c:pt>
                <c:pt idx="4">
                  <c:v>34.351793269830878</c:v>
                </c:pt>
                <c:pt idx="5">
                  <c:v>30.136361862237148</c:v>
                </c:pt>
                <c:pt idx="6">
                  <c:v>28.970030966324753</c:v>
                </c:pt>
                <c:pt idx="7">
                  <c:v>30.399551449742216</c:v>
                </c:pt>
                <c:pt idx="8">
                  <c:v>30.973588843164922</c:v>
                </c:pt>
                <c:pt idx="9">
                  <c:v>30.357113018823032</c:v>
                </c:pt>
                <c:pt idx="10">
                  <c:v>29.492644719080847</c:v>
                </c:pt>
                <c:pt idx="11">
                  <c:v>32.527764093005139</c:v>
                </c:pt>
                <c:pt idx="12">
                  <c:v>31.643192762262213</c:v>
                </c:pt>
                <c:pt idx="13">
                  <c:v>30.511803480765106</c:v>
                </c:pt>
                <c:pt idx="14">
                  <c:v>34.079029039648098</c:v>
                </c:pt>
                <c:pt idx="15">
                  <c:v>34.509027265746262</c:v>
                </c:pt>
                <c:pt idx="16">
                  <c:v>32.01377035349104</c:v>
                </c:pt>
                <c:pt idx="17">
                  <c:v>34.075970042685874</c:v>
                </c:pt>
                <c:pt idx="18">
                  <c:v>30.549465566898089</c:v>
                </c:pt>
                <c:pt idx="19">
                  <c:v>32.916187247774644</c:v>
                </c:pt>
                <c:pt idx="20">
                  <c:v>32.243020631638132</c:v>
                </c:pt>
                <c:pt idx="21">
                  <c:v>34.07840872415067</c:v>
                </c:pt>
                <c:pt idx="22">
                  <c:v>28.472462518070277</c:v>
                </c:pt>
                <c:pt idx="23">
                  <c:v>30.47030552481489</c:v>
                </c:pt>
                <c:pt idx="24">
                  <c:v>31.316376820363654</c:v>
                </c:pt>
                <c:pt idx="25">
                  <c:v>31.267497909447766</c:v>
                </c:pt>
                <c:pt idx="26">
                  <c:v>34.836213057351721</c:v>
                </c:pt>
                <c:pt idx="27">
                  <c:v>32.422044500752229</c:v>
                </c:pt>
                <c:pt idx="28">
                  <c:v>35.643427868583956</c:v>
                </c:pt>
                <c:pt idx="29">
                  <c:v>32.53138195231751</c:v>
                </c:pt>
                <c:pt idx="30">
                  <c:v>31.434016140313144</c:v>
                </c:pt>
                <c:pt idx="31">
                  <c:v>31.219302339895091</c:v>
                </c:pt>
                <c:pt idx="32">
                  <c:v>37.790802249042336</c:v>
                </c:pt>
                <c:pt idx="33">
                  <c:v>32.282595369112478</c:v>
                </c:pt>
                <c:pt idx="34">
                  <c:v>30.864568405634127</c:v>
                </c:pt>
                <c:pt idx="35">
                  <c:v>32.089911717490303</c:v>
                </c:pt>
                <c:pt idx="36">
                  <c:v>34.284452379196146</c:v>
                </c:pt>
                <c:pt idx="37">
                  <c:v>32.335776676481395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89-41D8-B75A-D5717785A214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('DOY156'!$J$17,'DOY156'!$J$26)</c:f>
              <c:numCache>
                <c:formatCode>0.000</c:formatCode>
                <c:ptCount val="2"/>
                <c:pt idx="0">
                  <c:v>13.11</c:v>
                </c:pt>
                <c:pt idx="1">
                  <c:v>13.486000000000001</c:v>
                </c:pt>
              </c:numCache>
            </c:numRef>
          </c:xVal>
          <c:yVal>
            <c:numRef>
              <c:f>('DOY156'!$W$17,'DOY156'!$W$26)</c:f>
              <c:numCache>
                <c:formatCode>0.00</c:formatCode>
                <c:ptCount val="2"/>
                <c:pt idx="0">
                  <c:v>54.814112986673059</c:v>
                </c:pt>
                <c:pt idx="1">
                  <c:v>54.246332844628597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89-41D8-B75A-D5717785A214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('DOY156'!$J$59,'DOY156'!$J$68)</c:f>
              <c:numCache>
                <c:formatCode>0.000</c:formatCode>
                <c:ptCount val="2"/>
                <c:pt idx="0">
                  <c:v>13.265000000000001</c:v>
                </c:pt>
                <c:pt idx="1">
                  <c:v>13.522</c:v>
                </c:pt>
              </c:numCache>
            </c:numRef>
          </c:xVal>
          <c:yVal>
            <c:numRef>
              <c:f>('DOY156'!$W$59,'DOY156'!$W$68)</c:f>
              <c:numCache>
                <c:formatCode>0.00</c:formatCode>
                <c:ptCount val="2"/>
                <c:pt idx="0">
                  <c:v>32.527764093005139</c:v>
                </c:pt>
                <c:pt idx="1">
                  <c:v>32.243020631638132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89-41D8-B75A-D5717785A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38415"/>
        <c:axId val="1"/>
      </c:scatterChart>
      <c:valAx>
        <c:axId val="137043841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3841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'DOY157'!$J$10:$J$39</c:f>
              <c:numCache>
                <c:formatCode>0.000</c:formatCode>
                <c:ptCount val="30"/>
                <c:pt idx="0">
                  <c:v>13.009</c:v>
                </c:pt>
                <c:pt idx="1">
                  <c:v>12.99</c:v>
                </c:pt>
                <c:pt idx="2">
                  <c:v>12.972</c:v>
                </c:pt>
                <c:pt idx="3">
                  <c:v>12.954000000000001</c:v>
                </c:pt>
                <c:pt idx="4">
                  <c:v>12.936</c:v>
                </c:pt>
                <c:pt idx="5">
                  <c:v>12.917999999999999</c:v>
                </c:pt>
                <c:pt idx="6">
                  <c:v>12.901</c:v>
                </c:pt>
                <c:pt idx="7">
                  <c:v>12.885</c:v>
                </c:pt>
                <c:pt idx="8">
                  <c:v>13.032</c:v>
                </c:pt>
                <c:pt idx="9">
                  <c:v>13.048</c:v>
                </c:pt>
                <c:pt idx="10">
                  <c:v>13.067</c:v>
                </c:pt>
                <c:pt idx="11">
                  <c:v>13.085000000000001</c:v>
                </c:pt>
                <c:pt idx="12">
                  <c:v>13.102</c:v>
                </c:pt>
                <c:pt idx="13">
                  <c:v>13.121</c:v>
                </c:pt>
                <c:pt idx="14">
                  <c:v>13.138999999999999</c:v>
                </c:pt>
                <c:pt idx="15">
                  <c:v>13.157</c:v>
                </c:pt>
                <c:pt idx="16">
                  <c:v>13.287000000000001</c:v>
                </c:pt>
                <c:pt idx="17">
                  <c:v>13.305</c:v>
                </c:pt>
                <c:pt idx="18">
                  <c:v>13.321999999999999</c:v>
                </c:pt>
                <c:pt idx="19">
                  <c:v>13.342000000000001</c:v>
                </c:pt>
                <c:pt idx="20">
                  <c:v>13.363</c:v>
                </c:pt>
                <c:pt idx="21">
                  <c:v>13.38</c:v>
                </c:pt>
                <c:pt idx="22">
                  <c:v>13.398</c:v>
                </c:pt>
                <c:pt idx="23">
                  <c:v>13.42</c:v>
                </c:pt>
                <c:pt idx="24">
                  <c:v>13.605</c:v>
                </c:pt>
                <c:pt idx="25">
                  <c:v>13.582000000000001</c:v>
                </c:pt>
                <c:pt idx="26">
                  <c:v>13.561999999999999</c:v>
                </c:pt>
                <c:pt idx="27">
                  <c:v>13.539</c:v>
                </c:pt>
                <c:pt idx="28">
                  <c:v>13.519</c:v>
                </c:pt>
                <c:pt idx="29">
                  <c:v>13.492000000000001</c:v>
                </c:pt>
              </c:numCache>
            </c:numRef>
          </c:xVal>
          <c:yVal>
            <c:numRef>
              <c:f>'DOY157'!$W$10:$W$39</c:f>
              <c:numCache>
                <c:formatCode>0.00</c:formatCode>
                <c:ptCount val="30"/>
                <c:pt idx="0">
                  <c:v>53.336470353023238</c:v>
                </c:pt>
                <c:pt idx="1">
                  <c:v>53.390745170340573</c:v>
                </c:pt>
                <c:pt idx="2">
                  <c:v>50.916547231423884</c:v>
                </c:pt>
                <c:pt idx="3">
                  <c:v>53.530586858674702</c:v>
                </c:pt>
                <c:pt idx="4">
                  <c:v>37.740262304581258</c:v>
                </c:pt>
                <c:pt idx="5">
                  <c:v>54.048090082614522</c:v>
                </c:pt>
                <c:pt idx="6">
                  <c:v>54.538196249218622</c:v>
                </c:pt>
                <c:pt idx="7">
                  <c:v>52.522087125292408</c:v>
                </c:pt>
                <c:pt idx="8">
                  <c:v>37.375102507905062</c:v>
                </c:pt>
                <c:pt idx="9">
                  <c:v>52.57374519257727</c:v>
                </c:pt>
                <c:pt idx="10">
                  <c:v>54.3496838472212</c:v>
                </c:pt>
                <c:pt idx="11">
                  <c:v>40.914273962408878</c:v>
                </c:pt>
                <c:pt idx="12">
                  <c:v>55.079043845949428</c:v>
                </c:pt>
                <c:pt idx="13">
                  <c:v>54.771176725838139</c:v>
                </c:pt>
                <c:pt idx="14">
                  <c:v>54.585423541718143</c:v>
                </c:pt>
                <c:pt idx="15">
                  <c:v>54.754178105774599</c:v>
                </c:pt>
                <c:pt idx="16">
                  <c:v>51.693856610174628</c:v>
                </c:pt>
                <c:pt idx="17">
                  <c:v>54.284911147206884</c:v>
                </c:pt>
                <c:pt idx="18">
                  <c:v>53.078726739096076</c:v>
                </c:pt>
                <c:pt idx="19">
                  <c:v>54.57376327422805</c:v>
                </c:pt>
                <c:pt idx="20">
                  <c:v>38.271210822902439</c:v>
                </c:pt>
                <c:pt idx="21">
                  <c:v>53.243885331991329</c:v>
                </c:pt>
                <c:pt idx="22">
                  <c:v>53.705178003343832</c:v>
                </c:pt>
                <c:pt idx="23">
                  <c:v>51.831294463884483</c:v>
                </c:pt>
                <c:pt idx="24">
                  <c:v>52.578749296166528</c:v>
                </c:pt>
                <c:pt idx="25">
                  <c:v>53.494172071351812</c:v>
                </c:pt>
                <c:pt idx="26">
                  <c:v>51.293151234744961</c:v>
                </c:pt>
                <c:pt idx="27">
                  <c:v>53.265633690534337</c:v>
                </c:pt>
                <c:pt idx="28">
                  <c:v>49.372239228681643</c:v>
                </c:pt>
                <c:pt idx="29">
                  <c:v>52.118900422918919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A-476B-AB4B-D2B9BB78EBC7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'DOY157'!$J$48:$J$85</c:f>
              <c:numCache>
                <c:formatCode>0.000</c:formatCode>
                <c:ptCount val="38"/>
                <c:pt idx="0">
                  <c:v>13.202</c:v>
                </c:pt>
                <c:pt idx="1">
                  <c:v>13.183999999999999</c:v>
                </c:pt>
                <c:pt idx="2">
                  <c:v>13.013999999999999</c:v>
                </c:pt>
                <c:pt idx="3">
                  <c:v>12.994999999999999</c:v>
                </c:pt>
                <c:pt idx="4">
                  <c:v>12.977</c:v>
                </c:pt>
                <c:pt idx="5">
                  <c:v>12.959</c:v>
                </c:pt>
                <c:pt idx="6">
                  <c:v>12.941000000000001</c:v>
                </c:pt>
                <c:pt idx="7">
                  <c:v>12.922000000000001</c:v>
                </c:pt>
                <c:pt idx="8">
                  <c:v>12.904999999999999</c:v>
                </c:pt>
                <c:pt idx="9">
                  <c:v>12.888999999999999</c:v>
                </c:pt>
                <c:pt idx="10">
                  <c:v>13.037000000000001</c:v>
                </c:pt>
                <c:pt idx="11">
                  <c:v>13.054</c:v>
                </c:pt>
                <c:pt idx="12">
                  <c:v>13.071999999999999</c:v>
                </c:pt>
                <c:pt idx="13">
                  <c:v>13.09</c:v>
                </c:pt>
                <c:pt idx="14">
                  <c:v>13.106999999999999</c:v>
                </c:pt>
                <c:pt idx="15">
                  <c:v>13.125</c:v>
                </c:pt>
                <c:pt idx="16">
                  <c:v>13.144</c:v>
                </c:pt>
                <c:pt idx="17">
                  <c:v>13.163</c:v>
                </c:pt>
                <c:pt idx="18">
                  <c:v>13.292</c:v>
                </c:pt>
                <c:pt idx="19">
                  <c:v>13.311</c:v>
                </c:pt>
                <c:pt idx="20">
                  <c:v>13.327999999999999</c:v>
                </c:pt>
                <c:pt idx="21">
                  <c:v>13.347</c:v>
                </c:pt>
                <c:pt idx="22">
                  <c:v>13.367000000000001</c:v>
                </c:pt>
                <c:pt idx="23">
                  <c:v>13.385999999999999</c:v>
                </c:pt>
                <c:pt idx="24">
                  <c:v>13.407</c:v>
                </c:pt>
                <c:pt idx="25">
                  <c:v>13.426</c:v>
                </c:pt>
                <c:pt idx="26">
                  <c:v>13.613</c:v>
                </c:pt>
                <c:pt idx="27">
                  <c:v>13.589</c:v>
                </c:pt>
                <c:pt idx="28">
                  <c:v>13.567</c:v>
                </c:pt>
                <c:pt idx="29">
                  <c:v>13.545</c:v>
                </c:pt>
                <c:pt idx="30">
                  <c:v>13.525</c:v>
                </c:pt>
                <c:pt idx="31">
                  <c:v>13.497999999999999</c:v>
                </c:pt>
                <c:pt idx="32">
                  <c:v>13.476000000000001</c:v>
                </c:pt>
                <c:pt idx="33">
                  <c:v>13.455</c:v>
                </c:pt>
                <c:pt idx="34">
                  <c:v>13.262</c:v>
                </c:pt>
                <c:pt idx="35">
                  <c:v>13.238</c:v>
                </c:pt>
                <c:pt idx="36">
                  <c:v>13.214</c:v>
                </c:pt>
                <c:pt idx="37">
                  <c:v>13.19</c:v>
                </c:pt>
              </c:numCache>
            </c:numRef>
          </c:xVal>
          <c:yVal>
            <c:numRef>
              <c:f>'DOY157'!$W$48:$W$85</c:f>
              <c:numCache>
                <c:formatCode>0.00</c:formatCode>
                <c:ptCount val="38"/>
                <c:pt idx="0">
                  <c:v>60.065389708963984</c:v>
                </c:pt>
                <c:pt idx="1">
                  <c:v>54.15563973879258</c:v>
                </c:pt>
                <c:pt idx="2">
                  <c:v>31.993776160454559</c:v>
                </c:pt>
                <c:pt idx="3">
                  <c:v>31.401995352457831</c:v>
                </c:pt>
                <c:pt idx="4">
                  <c:v>30.472382176393694</c:v>
                </c:pt>
                <c:pt idx="5">
                  <c:v>29.714303097696089</c:v>
                </c:pt>
                <c:pt idx="6">
                  <c:v>28.845019707007925</c:v>
                </c:pt>
                <c:pt idx="7">
                  <c:v>30.631177781611779</c:v>
                </c:pt>
                <c:pt idx="8">
                  <c:v>31.033915504286217</c:v>
                </c:pt>
                <c:pt idx="9">
                  <c:v>31.748989049180711</c:v>
                </c:pt>
                <c:pt idx="10">
                  <c:v>28.941731382525912</c:v>
                </c:pt>
                <c:pt idx="11">
                  <c:v>32.582443186157029</c:v>
                </c:pt>
                <c:pt idx="12">
                  <c:v>29.948847510219064</c:v>
                </c:pt>
                <c:pt idx="13">
                  <c:v>28.764732503913237</c:v>
                </c:pt>
                <c:pt idx="14">
                  <c:v>31.033358968536785</c:v>
                </c:pt>
                <c:pt idx="15">
                  <c:v>31.797188141111544</c:v>
                </c:pt>
                <c:pt idx="16">
                  <c:v>32.019698537118252</c:v>
                </c:pt>
                <c:pt idx="17">
                  <c:v>32.194309243337813</c:v>
                </c:pt>
                <c:pt idx="18">
                  <c:v>30.533974922810899</c:v>
                </c:pt>
                <c:pt idx="19">
                  <c:v>30.46887583740504</c:v>
                </c:pt>
                <c:pt idx="20">
                  <c:v>30.868823459634907</c:v>
                </c:pt>
                <c:pt idx="21">
                  <c:v>33.376655638865749</c:v>
                </c:pt>
                <c:pt idx="22">
                  <c:v>29.73560763659081</c:v>
                </c:pt>
                <c:pt idx="23">
                  <c:v>30.971058224109228</c:v>
                </c:pt>
                <c:pt idx="24">
                  <c:v>30.825832392285559</c:v>
                </c:pt>
                <c:pt idx="25">
                  <c:v>33.564138687603865</c:v>
                </c:pt>
                <c:pt idx="26">
                  <c:v>31.551502823406661</c:v>
                </c:pt>
                <c:pt idx="27">
                  <c:v>32.480435803544637</c:v>
                </c:pt>
                <c:pt idx="28">
                  <c:v>31.743821720418634</c:v>
                </c:pt>
                <c:pt idx="29">
                  <c:v>33.630393113046516</c:v>
                </c:pt>
                <c:pt idx="30">
                  <c:v>32.001674905009885</c:v>
                </c:pt>
                <c:pt idx="31">
                  <c:v>31.411553137126958</c:v>
                </c:pt>
                <c:pt idx="32">
                  <c:v>33.783338048139306</c:v>
                </c:pt>
                <c:pt idx="33">
                  <c:v>32.163999179263023</c:v>
                </c:pt>
                <c:pt idx="34">
                  <c:v>31.746748816670362</c:v>
                </c:pt>
                <c:pt idx="35">
                  <c:v>32.205177352682803</c:v>
                </c:pt>
                <c:pt idx="36">
                  <c:v>32.871711330742293</c:v>
                </c:pt>
                <c:pt idx="37">
                  <c:v>31.22485205634057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4A-476B-AB4B-D2B9BB78EBC7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('DOY157'!$J$17,'DOY157'!$J$26)</c:f>
              <c:numCache>
                <c:formatCode>0.000</c:formatCode>
                <c:ptCount val="2"/>
                <c:pt idx="0">
                  <c:v>12.885</c:v>
                </c:pt>
                <c:pt idx="1">
                  <c:v>13.287000000000001</c:v>
                </c:pt>
              </c:numCache>
            </c:numRef>
          </c:xVal>
          <c:yVal>
            <c:numRef>
              <c:f>('DOY157'!$W$17,'DOY157'!$W$26)</c:f>
              <c:numCache>
                <c:formatCode>0.00</c:formatCode>
                <c:ptCount val="2"/>
                <c:pt idx="0">
                  <c:v>52.522087125292408</c:v>
                </c:pt>
                <c:pt idx="1">
                  <c:v>51.693856610174628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4A-476B-AB4B-D2B9BB78EBC7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('DOY157'!$J$59,'DOY157'!$J$68)</c:f>
              <c:numCache>
                <c:formatCode>0.000</c:formatCode>
                <c:ptCount val="2"/>
                <c:pt idx="0">
                  <c:v>13.054</c:v>
                </c:pt>
                <c:pt idx="1">
                  <c:v>13.327999999999999</c:v>
                </c:pt>
              </c:numCache>
            </c:numRef>
          </c:xVal>
          <c:yVal>
            <c:numRef>
              <c:f>('DOY157'!$W$59,'DOY157'!$W$68)</c:f>
              <c:numCache>
                <c:formatCode>0.00</c:formatCode>
                <c:ptCount val="2"/>
                <c:pt idx="0">
                  <c:v>32.582443186157029</c:v>
                </c:pt>
                <c:pt idx="1">
                  <c:v>30.868823459634907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4A-476B-AB4B-D2B9BB78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27375"/>
        <c:axId val="1"/>
      </c:scatterChart>
      <c:valAx>
        <c:axId val="137042737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2737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'DOY160'!$J$10:$J$39</c:f>
              <c:numCache>
                <c:formatCode>0.000</c:formatCode>
                <c:ptCount val="30"/>
                <c:pt idx="0">
                  <c:v>12.917999999999999</c:v>
                </c:pt>
                <c:pt idx="1">
                  <c:v>12.9</c:v>
                </c:pt>
                <c:pt idx="2">
                  <c:v>12.881</c:v>
                </c:pt>
                <c:pt idx="3">
                  <c:v>12.864000000000001</c:v>
                </c:pt>
                <c:pt idx="4">
                  <c:v>12.847</c:v>
                </c:pt>
                <c:pt idx="5">
                  <c:v>12.83</c:v>
                </c:pt>
                <c:pt idx="6">
                  <c:v>12.813000000000001</c:v>
                </c:pt>
                <c:pt idx="7">
                  <c:v>12.795999999999999</c:v>
                </c:pt>
                <c:pt idx="8">
                  <c:v>12.939</c:v>
                </c:pt>
                <c:pt idx="9">
                  <c:v>12.956</c:v>
                </c:pt>
                <c:pt idx="10">
                  <c:v>12.972</c:v>
                </c:pt>
                <c:pt idx="11">
                  <c:v>12.989000000000001</c:v>
                </c:pt>
                <c:pt idx="12">
                  <c:v>13.004</c:v>
                </c:pt>
                <c:pt idx="13">
                  <c:v>13.021000000000001</c:v>
                </c:pt>
                <c:pt idx="14">
                  <c:v>13.037000000000001</c:v>
                </c:pt>
                <c:pt idx="15">
                  <c:v>13.052</c:v>
                </c:pt>
                <c:pt idx="16">
                  <c:v>13.166</c:v>
                </c:pt>
                <c:pt idx="17">
                  <c:v>13.183999999999999</c:v>
                </c:pt>
                <c:pt idx="18">
                  <c:v>13.202</c:v>
                </c:pt>
                <c:pt idx="19">
                  <c:v>13.218999999999999</c:v>
                </c:pt>
                <c:pt idx="20">
                  <c:v>13.236000000000001</c:v>
                </c:pt>
                <c:pt idx="21">
                  <c:v>13.253</c:v>
                </c:pt>
                <c:pt idx="22">
                  <c:v>13.271000000000001</c:v>
                </c:pt>
                <c:pt idx="23">
                  <c:v>13.289</c:v>
                </c:pt>
                <c:pt idx="24">
                  <c:v>13.451000000000001</c:v>
                </c:pt>
                <c:pt idx="25">
                  <c:v>13.433</c:v>
                </c:pt>
                <c:pt idx="26">
                  <c:v>13.414999999999999</c:v>
                </c:pt>
                <c:pt idx="27">
                  <c:v>13.391</c:v>
                </c:pt>
                <c:pt idx="28">
                  <c:v>13.372999999999999</c:v>
                </c:pt>
                <c:pt idx="29">
                  <c:v>13.353</c:v>
                </c:pt>
              </c:numCache>
            </c:numRef>
          </c:xVal>
          <c:yVal>
            <c:numRef>
              <c:f>'DOY160'!$W$10:$W$39</c:f>
              <c:numCache>
                <c:formatCode>0.00</c:formatCode>
                <c:ptCount val="30"/>
                <c:pt idx="0">
                  <c:v>53.855895054720953</c:v>
                </c:pt>
                <c:pt idx="1">
                  <c:v>51.571430587246113</c:v>
                </c:pt>
                <c:pt idx="2">
                  <c:v>50.485613392499907</c:v>
                </c:pt>
                <c:pt idx="3">
                  <c:v>50.494016655968558</c:v>
                </c:pt>
                <c:pt idx="4">
                  <c:v>45.532587601998642</c:v>
                </c:pt>
                <c:pt idx="5">
                  <c:v>51.668612311778027</c:v>
                </c:pt>
                <c:pt idx="6">
                  <c:v>50.937323245595046</c:v>
                </c:pt>
                <c:pt idx="7">
                  <c:v>51.030973597550066</c:v>
                </c:pt>
                <c:pt idx="8">
                  <c:v>46.359415391772053</c:v>
                </c:pt>
                <c:pt idx="9">
                  <c:v>50.138005229258489</c:v>
                </c:pt>
                <c:pt idx="10">
                  <c:v>52.225315393342726</c:v>
                </c:pt>
                <c:pt idx="11">
                  <c:v>47.34521490567159</c:v>
                </c:pt>
                <c:pt idx="12">
                  <c:v>53.811121287081058</c:v>
                </c:pt>
                <c:pt idx="13">
                  <c:v>54.333690067757402</c:v>
                </c:pt>
                <c:pt idx="14">
                  <c:v>50.446459832640436</c:v>
                </c:pt>
                <c:pt idx="15">
                  <c:v>53.357606403649015</c:v>
                </c:pt>
                <c:pt idx="16">
                  <c:v>49.631392821651168</c:v>
                </c:pt>
                <c:pt idx="17">
                  <c:v>50.205065083522562</c:v>
                </c:pt>
                <c:pt idx="18">
                  <c:v>51.591043942728369</c:v>
                </c:pt>
                <c:pt idx="19">
                  <c:v>52.764200141647457</c:v>
                </c:pt>
                <c:pt idx="20">
                  <c:v>44.919467720253685</c:v>
                </c:pt>
                <c:pt idx="21">
                  <c:v>49.508840914990508</c:v>
                </c:pt>
                <c:pt idx="22">
                  <c:v>49.874170227713648</c:v>
                </c:pt>
                <c:pt idx="23">
                  <c:v>52.440401305114278</c:v>
                </c:pt>
                <c:pt idx="24">
                  <c:v>54.031319807236791</c:v>
                </c:pt>
                <c:pt idx="25">
                  <c:v>52.166824978294848</c:v>
                </c:pt>
                <c:pt idx="26">
                  <c:v>49.412560919267776</c:v>
                </c:pt>
                <c:pt idx="27">
                  <c:v>52.899560988019793</c:v>
                </c:pt>
                <c:pt idx="28">
                  <c:v>51.918031727274602</c:v>
                </c:pt>
                <c:pt idx="29">
                  <c:v>51.230708608355208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C5-4148-98A8-3EC190FFAAC7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'DOY160'!$J$48:$J$85</c:f>
              <c:numCache>
                <c:formatCode>0.000</c:formatCode>
                <c:ptCount val="38"/>
                <c:pt idx="0">
                  <c:v>13.090999999999999</c:v>
                </c:pt>
                <c:pt idx="1">
                  <c:v>13.074999999999999</c:v>
                </c:pt>
                <c:pt idx="2">
                  <c:v>12.922000000000001</c:v>
                </c:pt>
                <c:pt idx="3">
                  <c:v>12.904999999999999</c:v>
                </c:pt>
                <c:pt idx="4">
                  <c:v>12.885999999999999</c:v>
                </c:pt>
                <c:pt idx="5">
                  <c:v>12.869</c:v>
                </c:pt>
                <c:pt idx="6">
                  <c:v>12.852</c:v>
                </c:pt>
                <c:pt idx="7">
                  <c:v>12.835000000000001</c:v>
                </c:pt>
                <c:pt idx="8">
                  <c:v>12.818</c:v>
                </c:pt>
                <c:pt idx="9">
                  <c:v>12.8</c:v>
                </c:pt>
                <c:pt idx="10">
                  <c:v>12.944000000000001</c:v>
                </c:pt>
                <c:pt idx="11">
                  <c:v>12.961</c:v>
                </c:pt>
                <c:pt idx="12">
                  <c:v>12.977</c:v>
                </c:pt>
                <c:pt idx="13">
                  <c:v>12.994</c:v>
                </c:pt>
                <c:pt idx="14">
                  <c:v>13.009</c:v>
                </c:pt>
                <c:pt idx="15">
                  <c:v>13.026</c:v>
                </c:pt>
                <c:pt idx="16">
                  <c:v>13.042</c:v>
                </c:pt>
                <c:pt idx="17">
                  <c:v>13.058</c:v>
                </c:pt>
                <c:pt idx="18">
                  <c:v>13.170999999999999</c:v>
                </c:pt>
                <c:pt idx="19">
                  <c:v>13.189</c:v>
                </c:pt>
                <c:pt idx="20">
                  <c:v>13.207000000000001</c:v>
                </c:pt>
                <c:pt idx="21">
                  <c:v>13.224</c:v>
                </c:pt>
                <c:pt idx="22">
                  <c:v>13.241</c:v>
                </c:pt>
                <c:pt idx="23">
                  <c:v>13.257999999999999</c:v>
                </c:pt>
                <c:pt idx="24">
                  <c:v>13.275</c:v>
                </c:pt>
                <c:pt idx="25">
                  <c:v>13.292999999999999</c:v>
                </c:pt>
                <c:pt idx="26">
                  <c:v>13.456</c:v>
                </c:pt>
                <c:pt idx="27">
                  <c:v>13.438000000000001</c:v>
                </c:pt>
                <c:pt idx="28">
                  <c:v>13.419</c:v>
                </c:pt>
                <c:pt idx="29">
                  <c:v>13.398999999999999</c:v>
                </c:pt>
                <c:pt idx="30">
                  <c:v>13.377000000000001</c:v>
                </c:pt>
                <c:pt idx="31">
                  <c:v>13.359</c:v>
                </c:pt>
                <c:pt idx="32">
                  <c:v>13.337</c:v>
                </c:pt>
                <c:pt idx="33">
                  <c:v>13.32</c:v>
                </c:pt>
                <c:pt idx="34">
                  <c:v>13.146000000000001</c:v>
                </c:pt>
                <c:pt idx="35">
                  <c:v>13.124000000000001</c:v>
                </c:pt>
                <c:pt idx="36">
                  <c:v>13.101000000000001</c:v>
                </c:pt>
                <c:pt idx="37">
                  <c:v>13.08</c:v>
                </c:pt>
              </c:numCache>
            </c:numRef>
          </c:xVal>
          <c:yVal>
            <c:numRef>
              <c:f>'DOY160'!$W$48:$W$85</c:f>
              <c:numCache>
                <c:formatCode>0.00</c:formatCode>
                <c:ptCount val="38"/>
                <c:pt idx="0">
                  <c:v>59.446869034662576</c:v>
                </c:pt>
                <c:pt idx="1">
                  <c:v>52.660533341980162</c:v>
                </c:pt>
                <c:pt idx="2">
                  <c:v>31.305765632853237</c:v>
                </c:pt>
                <c:pt idx="3">
                  <c:v>30.602393051268233</c:v>
                </c:pt>
                <c:pt idx="4">
                  <c:v>31.209230076243305</c:v>
                </c:pt>
                <c:pt idx="5">
                  <c:v>29.501566314250208</c:v>
                </c:pt>
                <c:pt idx="6">
                  <c:v>28.898094733137356</c:v>
                </c:pt>
                <c:pt idx="7">
                  <c:v>30.628072383838823</c:v>
                </c:pt>
                <c:pt idx="8">
                  <c:v>30.671611369462756</c:v>
                </c:pt>
                <c:pt idx="9">
                  <c:v>32.489570292939796</c:v>
                </c:pt>
                <c:pt idx="10">
                  <c:v>28.540060330539603</c:v>
                </c:pt>
                <c:pt idx="11">
                  <c:v>31.153037135546793</c:v>
                </c:pt>
                <c:pt idx="12">
                  <c:v>30.457954282492981</c:v>
                </c:pt>
                <c:pt idx="13">
                  <c:v>29.926233609472359</c:v>
                </c:pt>
                <c:pt idx="14">
                  <c:v>31.103975060966537</c:v>
                </c:pt>
                <c:pt idx="15">
                  <c:v>30.441210846375558</c:v>
                </c:pt>
                <c:pt idx="16">
                  <c:v>31.015116339087786</c:v>
                </c:pt>
                <c:pt idx="17">
                  <c:v>30.941903644058772</c:v>
                </c:pt>
                <c:pt idx="18">
                  <c:v>31.345245266117246</c:v>
                </c:pt>
                <c:pt idx="19">
                  <c:v>31.892694553403839</c:v>
                </c:pt>
                <c:pt idx="20">
                  <c:v>31.512295376084921</c:v>
                </c:pt>
                <c:pt idx="21">
                  <c:v>32.116131334866878</c:v>
                </c:pt>
                <c:pt idx="22">
                  <c:v>30.68060205124797</c:v>
                </c:pt>
                <c:pt idx="23">
                  <c:v>32.075725316146553</c:v>
                </c:pt>
                <c:pt idx="24">
                  <c:v>32.894356090044255</c:v>
                </c:pt>
                <c:pt idx="25">
                  <c:v>34.123390477271975</c:v>
                </c:pt>
                <c:pt idx="26">
                  <c:v>32.593772117146443</c:v>
                </c:pt>
                <c:pt idx="27">
                  <c:v>32.169178791865676</c:v>
                </c:pt>
                <c:pt idx="28">
                  <c:v>31.496557767403001</c:v>
                </c:pt>
                <c:pt idx="29">
                  <c:v>31.98088050105385</c:v>
                </c:pt>
                <c:pt idx="30">
                  <c:v>31.578021444803436</c:v>
                </c:pt>
                <c:pt idx="31">
                  <c:v>31.287375296475034</c:v>
                </c:pt>
                <c:pt idx="32">
                  <c:v>31.583750404411632</c:v>
                </c:pt>
                <c:pt idx="33">
                  <c:v>31.206662262563984</c:v>
                </c:pt>
                <c:pt idx="34">
                  <c:v>31.321260197442069</c:v>
                </c:pt>
                <c:pt idx="35">
                  <c:v>31.3523127294266</c:v>
                </c:pt>
                <c:pt idx="36">
                  <c:v>30.077812238779813</c:v>
                </c:pt>
                <c:pt idx="37">
                  <c:v>30.003838710068042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C5-4148-98A8-3EC190FFAAC7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('DOY160'!$J$17,'DOY160'!$J$26)</c:f>
              <c:numCache>
                <c:formatCode>0.000</c:formatCode>
                <c:ptCount val="2"/>
                <c:pt idx="0">
                  <c:v>12.795999999999999</c:v>
                </c:pt>
                <c:pt idx="1">
                  <c:v>13.166</c:v>
                </c:pt>
              </c:numCache>
            </c:numRef>
          </c:xVal>
          <c:yVal>
            <c:numRef>
              <c:f>('DOY160'!$W$17,'DOY160'!$W$26)</c:f>
              <c:numCache>
                <c:formatCode>0.00</c:formatCode>
                <c:ptCount val="2"/>
                <c:pt idx="0">
                  <c:v>51.030973597550066</c:v>
                </c:pt>
                <c:pt idx="1">
                  <c:v>49.631392821651168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C5-4148-98A8-3EC190FFAAC7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('DOY160'!$J$59,'DOY160'!$J$68)</c:f>
              <c:numCache>
                <c:formatCode>0.000</c:formatCode>
                <c:ptCount val="2"/>
                <c:pt idx="0">
                  <c:v>12.961</c:v>
                </c:pt>
                <c:pt idx="1">
                  <c:v>13.207000000000001</c:v>
                </c:pt>
              </c:numCache>
            </c:numRef>
          </c:xVal>
          <c:yVal>
            <c:numRef>
              <c:f>('DOY160'!$W$59,'DOY160'!$W$68)</c:f>
              <c:numCache>
                <c:formatCode>0.00</c:formatCode>
                <c:ptCount val="2"/>
                <c:pt idx="0">
                  <c:v>31.153037135546793</c:v>
                </c:pt>
                <c:pt idx="1">
                  <c:v>31.512295376084921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C5-4148-98A8-3EC190FFA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26895"/>
        <c:axId val="1"/>
      </c:scatterChart>
      <c:valAx>
        <c:axId val="137042689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2689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'DOY161'!$J$10:$J$39</c:f>
              <c:numCache>
                <c:formatCode>0.000</c:formatCode>
                <c:ptCount val="30"/>
                <c:pt idx="0">
                  <c:v>13.199</c:v>
                </c:pt>
                <c:pt idx="1">
                  <c:v>13.183</c:v>
                </c:pt>
                <c:pt idx="2">
                  <c:v>13.167999999999999</c:v>
                </c:pt>
                <c:pt idx="3">
                  <c:v>13.151999999999999</c:v>
                </c:pt>
                <c:pt idx="4">
                  <c:v>13.135</c:v>
                </c:pt>
                <c:pt idx="5">
                  <c:v>13.118</c:v>
                </c:pt>
                <c:pt idx="6">
                  <c:v>13.102</c:v>
                </c:pt>
                <c:pt idx="7">
                  <c:v>13.087</c:v>
                </c:pt>
                <c:pt idx="8">
                  <c:v>13.226000000000001</c:v>
                </c:pt>
                <c:pt idx="9">
                  <c:v>13.241</c:v>
                </c:pt>
                <c:pt idx="10">
                  <c:v>13.257</c:v>
                </c:pt>
                <c:pt idx="11">
                  <c:v>13.273</c:v>
                </c:pt>
                <c:pt idx="12">
                  <c:v>13.288</c:v>
                </c:pt>
                <c:pt idx="13">
                  <c:v>13.304</c:v>
                </c:pt>
                <c:pt idx="14">
                  <c:v>13.327</c:v>
                </c:pt>
                <c:pt idx="15">
                  <c:v>13.343</c:v>
                </c:pt>
                <c:pt idx="16">
                  <c:v>13.468</c:v>
                </c:pt>
                <c:pt idx="17">
                  <c:v>13.484</c:v>
                </c:pt>
                <c:pt idx="18">
                  <c:v>13.5</c:v>
                </c:pt>
                <c:pt idx="19">
                  <c:v>13.516</c:v>
                </c:pt>
                <c:pt idx="20">
                  <c:v>13.532999999999999</c:v>
                </c:pt>
                <c:pt idx="21">
                  <c:v>13.548999999999999</c:v>
                </c:pt>
                <c:pt idx="22">
                  <c:v>13.565</c:v>
                </c:pt>
                <c:pt idx="23">
                  <c:v>13.581</c:v>
                </c:pt>
                <c:pt idx="24">
                  <c:v>13.724</c:v>
                </c:pt>
                <c:pt idx="25">
                  <c:v>13.708</c:v>
                </c:pt>
                <c:pt idx="26">
                  <c:v>13.692</c:v>
                </c:pt>
                <c:pt idx="27">
                  <c:v>13.675000000000001</c:v>
                </c:pt>
                <c:pt idx="28">
                  <c:v>13.659000000000001</c:v>
                </c:pt>
                <c:pt idx="29">
                  <c:v>13.64</c:v>
                </c:pt>
              </c:numCache>
            </c:numRef>
          </c:xVal>
          <c:yVal>
            <c:numRef>
              <c:f>'DOY161'!$W$10:$W$39</c:f>
              <c:numCache>
                <c:formatCode>0.00</c:formatCode>
                <c:ptCount val="30"/>
                <c:pt idx="0">
                  <c:v>32.259841921477268</c:v>
                </c:pt>
                <c:pt idx="1">
                  <c:v>31.463857712553605</c:v>
                </c:pt>
                <c:pt idx="2">
                  <c:v>31.156530335137262</c:v>
                </c:pt>
                <c:pt idx="3">
                  <c:v>48.166313113232718</c:v>
                </c:pt>
                <c:pt idx="4">
                  <c:v>44.573928896989408</c:v>
                </c:pt>
                <c:pt idx="5">
                  <c:v>49.362012155440631</c:v>
                </c:pt>
                <c:pt idx="6">
                  <c:v>50.386838488539951</c:v>
                </c:pt>
                <c:pt idx="7">
                  <c:v>32.011233029898825</c:v>
                </c:pt>
                <c:pt idx="8">
                  <c:v>45.228538871091949</c:v>
                </c:pt>
                <c:pt idx="9">
                  <c:v>51.203998546039031</c:v>
                </c:pt>
                <c:pt idx="10">
                  <c:v>32.97948204118687</c:v>
                </c:pt>
                <c:pt idx="11">
                  <c:v>44.969279438778152</c:v>
                </c:pt>
                <c:pt idx="12">
                  <c:v>34.35762744334977</c:v>
                </c:pt>
                <c:pt idx="13">
                  <c:v>52.345457240829013</c:v>
                </c:pt>
                <c:pt idx="14">
                  <c:v>33.322833598891357</c:v>
                </c:pt>
                <c:pt idx="15">
                  <c:v>33.524187395886102</c:v>
                </c:pt>
                <c:pt idx="16">
                  <c:v>48.709514035516129</c:v>
                </c:pt>
                <c:pt idx="17">
                  <c:v>32.131767744696589</c:v>
                </c:pt>
                <c:pt idx="18">
                  <c:v>50.939147526865305</c:v>
                </c:pt>
                <c:pt idx="19">
                  <c:v>31.161174402271897</c:v>
                </c:pt>
                <c:pt idx="20">
                  <c:v>44.238605216054786</c:v>
                </c:pt>
                <c:pt idx="21">
                  <c:v>31.291104872343386</c:v>
                </c:pt>
                <c:pt idx="22">
                  <c:v>51.525477708082668</c:v>
                </c:pt>
                <c:pt idx="23">
                  <c:v>30.90627297057949</c:v>
                </c:pt>
                <c:pt idx="24">
                  <c:v>50.663396320002057</c:v>
                </c:pt>
                <c:pt idx="25">
                  <c:v>50.186923771494492</c:v>
                </c:pt>
                <c:pt idx="26">
                  <c:v>30.559617422160063</c:v>
                </c:pt>
                <c:pt idx="27">
                  <c:v>31.302430890849305</c:v>
                </c:pt>
                <c:pt idx="28">
                  <c:v>30.544122857571242</c:v>
                </c:pt>
                <c:pt idx="29">
                  <c:v>31.310058412286242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B6-42CB-82EC-CE7F423B18D4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'DOY161'!$J$48:$J$85</c:f>
              <c:numCache>
                <c:formatCode>0.000</c:formatCode>
                <c:ptCount val="38"/>
                <c:pt idx="0">
                  <c:v>13.378</c:v>
                </c:pt>
                <c:pt idx="1">
                  <c:v>13.361000000000001</c:v>
                </c:pt>
                <c:pt idx="2">
                  <c:v>13.204000000000001</c:v>
                </c:pt>
                <c:pt idx="3">
                  <c:v>13.188000000000001</c:v>
                </c:pt>
                <c:pt idx="4">
                  <c:v>13.172000000000001</c:v>
                </c:pt>
                <c:pt idx="5">
                  <c:v>13.156000000000001</c:v>
                </c:pt>
                <c:pt idx="6">
                  <c:v>13.14</c:v>
                </c:pt>
                <c:pt idx="7">
                  <c:v>13.122999999999999</c:v>
                </c:pt>
                <c:pt idx="8">
                  <c:v>13.106999999999999</c:v>
                </c:pt>
                <c:pt idx="9">
                  <c:v>13.090999999999999</c:v>
                </c:pt>
                <c:pt idx="10">
                  <c:v>13.23</c:v>
                </c:pt>
                <c:pt idx="11">
                  <c:v>13.246</c:v>
                </c:pt>
                <c:pt idx="12">
                  <c:v>13.262</c:v>
                </c:pt>
                <c:pt idx="13">
                  <c:v>13.278</c:v>
                </c:pt>
                <c:pt idx="14">
                  <c:v>13.292999999999999</c:v>
                </c:pt>
                <c:pt idx="15">
                  <c:v>13.308</c:v>
                </c:pt>
                <c:pt idx="16">
                  <c:v>13.331</c:v>
                </c:pt>
                <c:pt idx="17">
                  <c:v>13.347</c:v>
                </c:pt>
                <c:pt idx="18">
                  <c:v>13.472</c:v>
                </c:pt>
                <c:pt idx="19">
                  <c:v>13.488</c:v>
                </c:pt>
                <c:pt idx="20">
                  <c:v>13.504</c:v>
                </c:pt>
                <c:pt idx="21">
                  <c:v>13.521000000000001</c:v>
                </c:pt>
                <c:pt idx="22">
                  <c:v>13.538</c:v>
                </c:pt>
                <c:pt idx="23">
                  <c:v>13.554</c:v>
                </c:pt>
                <c:pt idx="24">
                  <c:v>13.57</c:v>
                </c:pt>
                <c:pt idx="25">
                  <c:v>13.589</c:v>
                </c:pt>
                <c:pt idx="26">
                  <c:v>13.728999999999999</c:v>
                </c:pt>
                <c:pt idx="27">
                  <c:v>13.712</c:v>
                </c:pt>
                <c:pt idx="28">
                  <c:v>13.696</c:v>
                </c:pt>
                <c:pt idx="29">
                  <c:v>13.68</c:v>
                </c:pt>
                <c:pt idx="30">
                  <c:v>13.663</c:v>
                </c:pt>
                <c:pt idx="31">
                  <c:v>13.645</c:v>
                </c:pt>
                <c:pt idx="32">
                  <c:v>13.627000000000001</c:v>
                </c:pt>
                <c:pt idx="33">
                  <c:v>13.61</c:v>
                </c:pt>
                <c:pt idx="34">
                  <c:v>13.441000000000001</c:v>
                </c:pt>
                <c:pt idx="35">
                  <c:v>13.416</c:v>
                </c:pt>
                <c:pt idx="36">
                  <c:v>13.391</c:v>
                </c:pt>
                <c:pt idx="37">
                  <c:v>13.365</c:v>
                </c:pt>
              </c:numCache>
            </c:numRef>
          </c:xVal>
          <c:yVal>
            <c:numRef>
              <c:f>'DOY161'!$W$48:$W$85</c:f>
              <c:numCache>
                <c:formatCode>0.00</c:formatCode>
                <c:ptCount val="38"/>
                <c:pt idx="0">
                  <c:v>55.517348244924989</c:v>
                </c:pt>
                <c:pt idx="1">
                  <c:v>31.881587872458365</c:v>
                </c:pt>
                <c:pt idx="2">
                  <c:v>29.791061218093336</c:v>
                </c:pt>
                <c:pt idx="3">
                  <c:v>28.993993689414626</c:v>
                </c:pt>
                <c:pt idx="4">
                  <c:v>29.287668706020323</c:v>
                </c:pt>
                <c:pt idx="5">
                  <c:v>32.069984789858687</c:v>
                </c:pt>
                <c:pt idx="6">
                  <c:v>31.278156987164916</c:v>
                </c:pt>
                <c:pt idx="7">
                  <c:v>32.969483959247619</c:v>
                </c:pt>
                <c:pt idx="8">
                  <c:v>32.098379875991355</c:v>
                </c:pt>
                <c:pt idx="9">
                  <c:v>30.252723297257504</c:v>
                </c:pt>
                <c:pt idx="10">
                  <c:v>31.815636371537554</c:v>
                </c:pt>
                <c:pt idx="11">
                  <c:v>31.848266928938187</c:v>
                </c:pt>
                <c:pt idx="12">
                  <c:v>29.328173351329156</c:v>
                </c:pt>
                <c:pt idx="13">
                  <c:v>30.317487756738078</c:v>
                </c:pt>
                <c:pt idx="14">
                  <c:v>31.831822894964443</c:v>
                </c:pt>
                <c:pt idx="15">
                  <c:v>33.143601532524663</c:v>
                </c:pt>
                <c:pt idx="16">
                  <c:v>29.838812967997725</c:v>
                </c:pt>
                <c:pt idx="17">
                  <c:v>30.534329073565335</c:v>
                </c:pt>
                <c:pt idx="18">
                  <c:v>32.050504842851332</c:v>
                </c:pt>
                <c:pt idx="19">
                  <c:v>29.554762661246226</c:v>
                </c:pt>
                <c:pt idx="20">
                  <c:v>33.687149597527458</c:v>
                </c:pt>
                <c:pt idx="21">
                  <c:v>29.860779713986698</c:v>
                </c:pt>
                <c:pt idx="22">
                  <c:v>31.664464765378238</c:v>
                </c:pt>
                <c:pt idx="23">
                  <c:v>29.595816797548157</c:v>
                </c:pt>
                <c:pt idx="24">
                  <c:v>33.092938725540805</c:v>
                </c:pt>
                <c:pt idx="25">
                  <c:v>30.527779399845638</c:v>
                </c:pt>
                <c:pt idx="26">
                  <c:v>35.357796687427367</c:v>
                </c:pt>
                <c:pt idx="27">
                  <c:v>33.010707169701298</c:v>
                </c:pt>
                <c:pt idx="28">
                  <c:v>29.490688587885188</c:v>
                </c:pt>
                <c:pt idx="29">
                  <c:v>29.838323357433357</c:v>
                </c:pt>
                <c:pt idx="30">
                  <c:v>29.660500242331036</c:v>
                </c:pt>
                <c:pt idx="31">
                  <c:v>29.878944241221504</c:v>
                </c:pt>
                <c:pt idx="32">
                  <c:v>35.334611198594708</c:v>
                </c:pt>
                <c:pt idx="33">
                  <c:v>32.937036565511363</c:v>
                </c:pt>
                <c:pt idx="34">
                  <c:v>28.594943896674696</c:v>
                </c:pt>
                <c:pt idx="35">
                  <c:v>28.644203224431973</c:v>
                </c:pt>
                <c:pt idx="36">
                  <c:v>29.124367979134401</c:v>
                </c:pt>
                <c:pt idx="37">
                  <c:v>29.513581719330485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B6-42CB-82EC-CE7F423B18D4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('DOY161'!$J$17,'DOY161'!$J$26)</c:f>
              <c:numCache>
                <c:formatCode>0.000</c:formatCode>
                <c:ptCount val="2"/>
                <c:pt idx="0">
                  <c:v>13.087</c:v>
                </c:pt>
                <c:pt idx="1">
                  <c:v>13.468</c:v>
                </c:pt>
              </c:numCache>
            </c:numRef>
          </c:xVal>
          <c:yVal>
            <c:numRef>
              <c:f>('DOY161'!$W$17,'DOY161'!$W$26)</c:f>
              <c:numCache>
                <c:formatCode>0.00</c:formatCode>
                <c:ptCount val="2"/>
                <c:pt idx="0">
                  <c:v>32.011233029898825</c:v>
                </c:pt>
                <c:pt idx="1">
                  <c:v>48.709514035516129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B6-42CB-82EC-CE7F423B18D4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('DOY161'!$J$59,'DOY161'!$J$68)</c:f>
              <c:numCache>
                <c:formatCode>0.000</c:formatCode>
                <c:ptCount val="2"/>
                <c:pt idx="0">
                  <c:v>13.246</c:v>
                </c:pt>
                <c:pt idx="1">
                  <c:v>13.504</c:v>
                </c:pt>
              </c:numCache>
            </c:numRef>
          </c:xVal>
          <c:yVal>
            <c:numRef>
              <c:f>('DOY161'!$W$59,'DOY161'!$W$68)</c:f>
              <c:numCache>
                <c:formatCode>0.00</c:formatCode>
                <c:ptCount val="2"/>
                <c:pt idx="0">
                  <c:v>31.848266928938187</c:v>
                </c:pt>
                <c:pt idx="1">
                  <c:v>33.687149597527458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B6-42CB-82EC-CE7F423B1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03375"/>
        <c:axId val="1"/>
      </c:scatterChart>
      <c:valAx>
        <c:axId val="137040337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0337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'DOY162'!$J$10:$J$39</c:f>
              <c:numCache>
                <c:formatCode>0.000</c:formatCode>
                <c:ptCount val="30"/>
                <c:pt idx="0">
                  <c:v>12.894</c:v>
                </c:pt>
                <c:pt idx="1">
                  <c:v>12.877000000000001</c:v>
                </c:pt>
                <c:pt idx="2">
                  <c:v>12.861000000000001</c:v>
                </c:pt>
                <c:pt idx="3">
                  <c:v>12.845000000000001</c:v>
                </c:pt>
                <c:pt idx="4">
                  <c:v>12.827999999999999</c:v>
                </c:pt>
                <c:pt idx="5">
                  <c:v>12.811</c:v>
                </c:pt>
                <c:pt idx="6">
                  <c:v>12.795</c:v>
                </c:pt>
                <c:pt idx="7">
                  <c:v>12.78</c:v>
                </c:pt>
                <c:pt idx="8">
                  <c:v>12.916</c:v>
                </c:pt>
                <c:pt idx="9">
                  <c:v>12.932</c:v>
                </c:pt>
                <c:pt idx="10">
                  <c:v>12.946999999999999</c:v>
                </c:pt>
                <c:pt idx="11">
                  <c:v>12.961</c:v>
                </c:pt>
                <c:pt idx="12">
                  <c:v>12.978</c:v>
                </c:pt>
                <c:pt idx="13">
                  <c:v>12.993</c:v>
                </c:pt>
                <c:pt idx="14">
                  <c:v>13.010999999999999</c:v>
                </c:pt>
                <c:pt idx="15">
                  <c:v>13.031000000000001</c:v>
                </c:pt>
                <c:pt idx="16">
                  <c:v>13.144</c:v>
                </c:pt>
                <c:pt idx="17">
                  <c:v>13.159000000000001</c:v>
                </c:pt>
                <c:pt idx="18">
                  <c:v>13.175000000000001</c:v>
                </c:pt>
                <c:pt idx="19">
                  <c:v>13.194000000000001</c:v>
                </c:pt>
                <c:pt idx="20">
                  <c:v>13.212</c:v>
                </c:pt>
                <c:pt idx="21">
                  <c:v>13.23</c:v>
                </c:pt>
                <c:pt idx="22">
                  <c:v>13.247</c:v>
                </c:pt>
                <c:pt idx="23">
                  <c:v>13.265000000000001</c:v>
                </c:pt>
                <c:pt idx="24">
                  <c:v>13.425000000000001</c:v>
                </c:pt>
                <c:pt idx="25">
                  <c:v>13.403</c:v>
                </c:pt>
                <c:pt idx="26">
                  <c:v>13.387</c:v>
                </c:pt>
                <c:pt idx="27">
                  <c:v>13.37</c:v>
                </c:pt>
                <c:pt idx="28">
                  <c:v>13.352</c:v>
                </c:pt>
                <c:pt idx="29">
                  <c:v>13.336</c:v>
                </c:pt>
              </c:numCache>
            </c:numRef>
          </c:xVal>
          <c:yVal>
            <c:numRef>
              <c:f>'DOY162'!$W$10:$W$39</c:f>
              <c:numCache>
                <c:formatCode>0.00</c:formatCode>
                <c:ptCount val="30"/>
                <c:pt idx="0">
                  <c:v>33.854494769831327</c:v>
                </c:pt>
                <c:pt idx="1">
                  <c:v>33.135372439711389</c:v>
                </c:pt>
                <c:pt idx="2">
                  <c:v>33.273389913099265</c:v>
                </c:pt>
                <c:pt idx="3">
                  <c:v>33.831610255860873</c:v>
                </c:pt>
                <c:pt idx="4">
                  <c:v>43.637463124090722</c:v>
                </c:pt>
                <c:pt idx="5">
                  <c:v>49.750490161903294</c:v>
                </c:pt>
                <c:pt idx="6">
                  <c:v>35.28696430260581</c:v>
                </c:pt>
                <c:pt idx="7">
                  <c:v>33.235474215738712</c:v>
                </c:pt>
                <c:pt idx="8">
                  <c:v>44.369528686187657</c:v>
                </c:pt>
                <c:pt idx="9">
                  <c:v>33.208643065509499</c:v>
                </c:pt>
                <c:pt idx="10">
                  <c:v>34.27165392753291</c:v>
                </c:pt>
                <c:pt idx="11">
                  <c:v>44.208100668705924</c:v>
                </c:pt>
                <c:pt idx="12">
                  <c:v>34.978684310367477</c:v>
                </c:pt>
                <c:pt idx="13">
                  <c:v>51.64827341412564</c:v>
                </c:pt>
                <c:pt idx="14">
                  <c:v>34.037949790671867</c:v>
                </c:pt>
                <c:pt idx="15">
                  <c:v>34.802212215760427</c:v>
                </c:pt>
                <c:pt idx="16">
                  <c:v>49.774425475389002</c:v>
                </c:pt>
                <c:pt idx="17">
                  <c:v>34.091876269492374</c:v>
                </c:pt>
                <c:pt idx="18">
                  <c:v>50.24298443594639</c:v>
                </c:pt>
                <c:pt idx="19">
                  <c:v>34.783776465407236</c:v>
                </c:pt>
                <c:pt idx="20">
                  <c:v>45.183978774149438</c:v>
                </c:pt>
                <c:pt idx="21">
                  <c:v>33.959374463363396</c:v>
                </c:pt>
                <c:pt idx="22">
                  <c:v>35.022719951312105</c:v>
                </c:pt>
                <c:pt idx="23">
                  <c:v>34.318104347177389</c:v>
                </c:pt>
                <c:pt idx="24">
                  <c:v>51.025695570077481</c:v>
                </c:pt>
                <c:pt idx="25">
                  <c:v>49.90877539922915</c:v>
                </c:pt>
                <c:pt idx="26">
                  <c:v>32.034773084555283</c:v>
                </c:pt>
                <c:pt idx="27">
                  <c:v>32.904124973147042</c:v>
                </c:pt>
                <c:pt idx="28">
                  <c:v>33.212172488426738</c:v>
                </c:pt>
                <c:pt idx="29">
                  <c:v>33.096016089683012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E-4170-A085-9845286B5915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'DOY162'!$J$48:$J$85</c:f>
              <c:numCache>
                <c:formatCode>0.000</c:formatCode>
                <c:ptCount val="38"/>
                <c:pt idx="0">
                  <c:v>13.068</c:v>
                </c:pt>
                <c:pt idx="1">
                  <c:v>13.051</c:v>
                </c:pt>
                <c:pt idx="2">
                  <c:v>12.898999999999999</c:v>
                </c:pt>
                <c:pt idx="3">
                  <c:v>12.882</c:v>
                </c:pt>
                <c:pt idx="4">
                  <c:v>12.866</c:v>
                </c:pt>
                <c:pt idx="5">
                  <c:v>12.849</c:v>
                </c:pt>
                <c:pt idx="6">
                  <c:v>12.832000000000001</c:v>
                </c:pt>
                <c:pt idx="7">
                  <c:v>12.816000000000001</c:v>
                </c:pt>
                <c:pt idx="8">
                  <c:v>12.8</c:v>
                </c:pt>
                <c:pt idx="9">
                  <c:v>12.785</c:v>
                </c:pt>
                <c:pt idx="10">
                  <c:v>12.920999999999999</c:v>
                </c:pt>
                <c:pt idx="11">
                  <c:v>12.936999999999999</c:v>
                </c:pt>
                <c:pt idx="12">
                  <c:v>12.951000000000001</c:v>
                </c:pt>
                <c:pt idx="13">
                  <c:v>12.965999999999999</c:v>
                </c:pt>
                <c:pt idx="14">
                  <c:v>12.983000000000001</c:v>
                </c:pt>
                <c:pt idx="15">
                  <c:v>12.997999999999999</c:v>
                </c:pt>
                <c:pt idx="16">
                  <c:v>13.016</c:v>
                </c:pt>
                <c:pt idx="17">
                  <c:v>13.035</c:v>
                </c:pt>
                <c:pt idx="18">
                  <c:v>13.148999999999999</c:v>
                </c:pt>
                <c:pt idx="19">
                  <c:v>13.164</c:v>
                </c:pt>
                <c:pt idx="20">
                  <c:v>13.18</c:v>
                </c:pt>
                <c:pt idx="21">
                  <c:v>13.198</c:v>
                </c:pt>
                <c:pt idx="22">
                  <c:v>13.218</c:v>
                </c:pt>
                <c:pt idx="23">
                  <c:v>13.234999999999999</c:v>
                </c:pt>
                <c:pt idx="24">
                  <c:v>13.253</c:v>
                </c:pt>
                <c:pt idx="25">
                  <c:v>13.27</c:v>
                </c:pt>
                <c:pt idx="26">
                  <c:v>13.43</c:v>
                </c:pt>
                <c:pt idx="27">
                  <c:v>13.411</c:v>
                </c:pt>
                <c:pt idx="28">
                  <c:v>13.391999999999999</c:v>
                </c:pt>
                <c:pt idx="29">
                  <c:v>13.374000000000001</c:v>
                </c:pt>
                <c:pt idx="30">
                  <c:v>13.356999999999999</c:v>
                </c:pt>
                <c:pt idx="31">
                  <c:v>13.340999999999999</c:v>
                </c:pt>
                <c:pt idx="32">
                  <c:v>13.319000000000001</c:v>
                </c:pt>
                <c:pt idx="33">
                  <c:v>13.298</c:v>
                </c:pt>
                <c:pt idx="34">
                  <c:v>13.124000000000001</c:v>
                </c:pt>
                <c:pt idx="35">
                  <c:v>13.101000000000001</c:v>
                </c:pt>
                <c:pt idx="36">
                  <c:v>13.079000000000001</c:v>
                </c:pt>
                <c:pt idx="37">
                  <c:v>13.057</c:v>
                </c:pt>
              </c:numCache>
            </c:numRef>
          </c:xVal>
          <c:yVal>
            <c:numRef>
              <c:f>'DOY162'!$W$48:$W$85</c:f>
              <c:numCache>
                <c:formatCode>0.00</c:formatCode>
                <c:ptCount val="38"/>
                <c:pt idx="0">
                  <c:v>58.959678775978638</c:v>
                </c:pt>
                <c:pt idx="1">
                  <c:v>33.457039041679771</c:v>
                </c:pt>
                <c:pt idx="2">
                  <c:v>28.178445374755825</c:v>
                </c:pt>
                <c:pt idx="3">
                  <c:v>28.040235743287621</c:v>
                </c:pt>
                <c:pt idx="4">
                  <c:v>27.851104221570193</c:v>
                </c:pt>
                <c:pt idx="5">
                  <c:v>27.859344636807126</c:v>
                </c:pt>
                <c:pt idx="6">
                  <c:v>29.188724598037492</c:v>
                </c:pt>
                <c:pt idx="7">
                  <c:v>28.837930255278966</c:v>
                </c:pt>
                <c:pt idx="8">
                  <c:v>27.86783514089349</c:v>
                </c:pt>
                <c:pt idx="9">
                  <c:v>26.818902093556005</c:v>
                </c:pt>
                <c:pt idx="10">
                  <c:v>28.258838249195332</c:v>
                </c:pt>
                <c:pt idx="11">
                  <c:v>28.544758938750295</c:v>
                </c:pt>
                <c:pt idx="12">
                  <c:v>28.204082438788486</c:v>
                </c:pt>
                <c:pt idx="13">
                  <c:v>28.497074114030955</c:v>
                </c:pt>
                <c:pt idx="14">
                  <c:v>27.566046514664652</c:v>
                </c:pt>
                <c:pt idx="15">
                  <c:v>29.882655633432677</c:v>
                </c:pt>
                <c:pt idx="16">
                  <c:v>28.369029688994086</c:v>
                </c:pt>
                <c:pt idx="17">
                  <c:v>27.941600849293767</c:v>
                </c:pt>
                <c:pt idx="18">
                  <c:v>29.217050809325471</c:v>
                </c:pt>
                <c:pt idx="19">
                  <c:v>27.024711698924325</c:v>
                </c:pt>
                <c:pt idx="20">
                  <c:v>29.660095924131713</c:v>
                </c:pt>
                <c:pt idx="21">
                  <c:v>28.097481875054243</c:v>
                </c:pt>
                <c:pt idx="22">
                  <c:v>29.406872717162447</c:v>
                </c:pt>
                <c:pt idx="23">
                  <c:v>30.244092653333894</c:v>
                </c:pt>
                <c:pt idx="24">
                  <c:v>29.806232479180533</c:v>
                </c:pt>
                <c:pt idx="25">
                  <c:v>28.644415322410811</c:v>
                </c:pt>
                <c:pt idx="26">
                  <c:v>31.712810602821389</c:v>
                </c:pt>
                <c:pt idx="27">
                  <c:v>30.025525371207788</c:v>
                </c:pt>
                <c:pt idx="28">
                  <c:v>28.120001634414482</c:v>
                </c:pt>
                <c:pt idx="29">
                  <c:v>27.60498722407004</c:v>
                </c:pt>
                <c:pt idx="30">
                  <c:v>26.884244223054967</c:v>
                </c:pt>
                <c:pt idx="31">
                  <c:v>27.114785641268597</c:v>
                </c:pt>
                <c:pt idx="32">
                  <c:v>29.47420146794417</c:v>
                </c:pt>
                <c:pt idx="33">
                  <c:v>29.4161487115787</c:v>
                </c:pt>
                <c:pt idx="34">
                  <c:v>27.975182448797849</c:v>
                </c:pt>
                <c:pt idx="35">
                  <c:v>27.590168956088117</c:v>
                </c:pt>
                <c:pt idx="36">
                  <c:v>27.917105035785244</c:v>
                </c:pt>
                <c:pt idx="37">
                  <c:v>27.499795611600163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4E-4170-A085-9845286B5915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('DOY162'!$J$17,'DOY162'!$J$26)</c:f>
              <c:numCache>
                <c:formatCode>0.000</c:formatCode>
                <c:ptCount val="2"/>
                <c:pt idx="0">
                  <c:v>12.78</c:v>
                </c:pt>
                <c:pt idx="1">
                  <c:v>13.144</c:v>
                </c:pt>
              </c:numCache>
            </c:numRef>
          </c:xVal>
          <c:yVal>
            <c:numRef>
              <c:f>('DOY162'!$W$17,'DOY162'!$W$26)</c:f>
              <c:numCache>
                <c:formatCode>0.00</c:formatCode>
                <c:ptCount val="2"/>
                <c:pt idx="0">
                  <c:v>33.235474215738712</c:v>
                </c:pt>
                <c:pt idx="1">
                  <c:v>49.774425475389002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4E-4170-A085-9845286B5915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('DOY162'!$J$59,'DOY162'!$J$68)</c:f>
              <c:numCache>
                <c:formatCode>0.000</c:formatCode>
                <c:ptCount val="2"/>
                <c:pt idx="0">
                  <c:v>12.936999999999999</c:v>
                </c:pt>
                <c:pt idx="1">
                  <c:v>13.18</c:v>
                </c:pt>
              </c:numCache>
            </c:numRef>
          </c:xVal>
          <c:yVal>
            <c:numRef>
              <c:f>('DOY162'!$W$59,'DOY162'!$W$68)</c:f>
              <c:numCache>
                <c:formatCode>0.00</c:formatCode>
                <c:ptCount val="2"/>
                <c:pt idx="0">
                  <c:v>28.544758938750295</c:v>
                </c:pt>
                <c:pt idx="1">
                  <c:v>29.660095924131713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4E-4170-A085-9845286B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07695"/>
        <c:axId val="1"/>
      </c:scatterChart>
      <c:valAx>
        <c:axId val="137040769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40769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'DOY163'!$J$10:$J$39</c:f>
              <c:numCache>
                <c:formatCode>0.000</c:formatCode>
                <c:ptCount val="30"/>
                <c:pt idx="0">
                  <c:v>13.218</c:v>
                </c:pt>
                <c:pt idx="1">
                  <c:v>13.201000000000001</c:v>
                </c:pt>
                <c:pt idx="2">
                  <c:v>13.185</c:v>
                </c:pt>
                <c:pt idx="3">
                  <c:v>13.167999999999999</c:v>
                </c:pt>
                <c:pt idx="4">
                  <c:v>13.151999999999999</c:v>
                </c:pt>
                <c:pt idx="5">
                  <c:v>13.135999999999999</c:v>
                </c:pt>
                <c:pt idx="6">
                  <c:v>13.12</c:v>
                </c:pt>
                <c:pt idx="7">
                  <c:v>13.103999999999999</c:v>
                </c:pt>
                <c:pt idx="8">
                  <c:v>13.239000000000001</c:v>
                </c:pt>
                <c:pt idx="9">
                  <c:v>13.255000000000001</c:v>
                </c:pt>
                <c:pt idx="10">
                  <c:v>13.272</c:v>
                </c:pt>
                <c:pt idx="11">
                  <c:v>13.288</c:v>
                </c:pt>
                <c:pt idx="12">
                  <c:v>13.303000000000001</c:v>
                </c:pt>
                <c:pt idx="13">
                  <c:v>13.319000000000001</c:v>
                </c:pt>
                <c:pt idx="14">
                  <c:v>13.335000000000001</c:v>
                </c:pt>
                <c:pt idx="15">
                  <c:v>13.351000000000001</c:v>
                </c:pt>
                <c:pt idx="16">
                  <c:v>13.473000000000001</c:v>
                </c:pt>
                <c:pt idx="17">
                  <c:v>13.489000000000001</c:v>
                </c:pt>
                <c:pt idx="18">
                  <c:v>13.507</c:v>
                </c:pt>
                <c:pt idx="19">
                  <c:v>13.522</c:v>
                </c:pt>
                <c:pt idx="20">
                  <c:v>13.539</c:v>
                </c:pt>
                <c:pt idx="21">
                  <c:v>13.555</c:v>
                </c:pt>
                <c:pt idx="22">
                  <c:v>13.571</c:v>
                </c:pt>
                <c:pt idx="23">
                  <c:v>13.586</c:v>
                </c:pt>
                <c:pt idx="24">
                  <c:v>13.724</c:v>
                </c:pt>
                <c:pt idx="25">
                  <c:v>13.708</c:v>
                </c:pt>
                <c:pt idx="26">
                  <c:v>13.692</c:v>
                </c:pt>
                <c:pt idx="27">
                  <c:v>13.676</c:v>
                </c:pt>
                <c:pt idx="28">
                  <c:v>13.661</c:v>
                </c:pt>
                <c:pt idx="29">
                  <c:v>13.644</c:v>
                </c:pt>
              </c:numCache>
            </c:numRef>
          </c:xVal>
          <c:yVal>
            <c:numRef>
              <c:f>'DOY163'!$W$10:$W$39</c:f>
              <c:numCache>
                <c:formatCode>0.00</c:formatCode>
                <c:ptCount val="30"/>
                <c:pt idx="0">
                  <c:v>39.023369564619564</c:v>
                </c:pt>
                <c:pt idx="1">
                  <c:v>36.9665864741999</c:v>
                </c:pt>
                <c:pt idx="2">
                  <c:v>35.123477328758611</c:v>
                </c:pt>
                <c:pt idx="3">
                  <c:v>35.128951104420686</c:v>
                </c:pt>
                <c:pt idx="4">
                  <c:v>46.241450193243274</c:v>
                </c:pt>
                <c:pt idx="5">
                  <c:v>36.498454163295207</c:v>
                </c:pt>
                <c:pt idx="6">
                  <c:v>35.585961694752804</c:v>
                </c:pt>
                <c:pt idx="7">
                  <c:v>36.076946441283411</c:v>
                </c:pt>
                <c:pt idx="8">
                  <c:v>45.665594433853215</c:v>
                </c:pt>
                <c:pt idx="9">
                  <c:v>34.197098072787306</c:v>
                </c:pt>
                <c:pt idx="10">
                  <c:v>37.962153542739692</c:v>
                </c:pt>
                <c:pt idx="11">
                  <c:v>46.081307466849182</c:v>
                </c:pt>
                <c:pt idx="12">
                  <c:v>38.419690540136315</c:v>
                </c:pt>
                <c:pt idx="13">
                  <c:v>54.747735261048888</c:v>
                </c:pt>
                <c:pt idx="14">
                  <c:v>37.35384843995373</c:v>
                </c:pt>
                <c:pt idx="15">
                  <c:v>40.48008759054909</c:v>
                </c:pt>
                <c:pt idx="16">
                  <c:v>35.598729938645072</c:v>
                </c:pt>
                <c:pt idx="17">
                  <c:v>36.626348698789684</c:v>
                </c:pt>
                <c:pt idx="18">
                  <c:v>54.118076683015055</c:v>
                </c:pt>
                <c:pt idx="19">
                  <c:v>38.934207918218981</c:v>
                </c:pt>
                <c:pt idx="20">
                  <c:v>45.372932731334551</c:v>
                </c:pt>
                <c:pt idx="21">
                  <c:v>37.276172891794822</c:v>
                </c:pt>
                <c:pt idx="22">
                  <c:v>35.518204786553973</c:v>
                </c:pt>
                <c:pt idx="23">
                  <c:v>36.788048316330901</c:v>
                </c:pt>
                <c:pt idx="24">
                  <c:v>53.438238994628733</c:v>
                </c:pt>
                <c:pt idx="25">
                  <c:v>53.728838221217735</c:v>
                </c:pt>
                <c:pt idx="26">
                  <c:v>34.673919713673918</c:v>
                </c:pt>
                <c:pt idx="27">
                  <c:v>37.156767287668181</c:v>
                </c:pt>
                <c:pt idx="28">
                  <c:v>33.747367861172727</c:v>
                </c:pt>
                <c:pt idx="29">
                  <c:v>35.062326829271143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37-480B-99C8-365C82807A58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'DOY163'!$J$48:$J$85</c:f>
              <c:numCache>
                <c:formatCode>0.000</c:formatCode>
                <c:ptCount val="38"/>
                <c:pt idx="0">
                  <c:v>13.385999999999999</c:v>
                </c:pt>
                <c:pt idx="1">
                  <c:v>13.369</c:v>
                </c:pt>
                <c:pt idx="2">
                  <c:v>13.222</c:v>
                </c:pt>
                <c:pt idx="3">
                  <c:v>13.206</c:v>
                </c:pt>
                <c:pt idx="4">
                  <c:v>13.19</c:v>
                </c:pt>
                <c:pt idx="5">
                  <c:v>13.173</c:v>
                </c:pt>
                <c:pt idx="6">
                  <c:v>13.156000000000001</c:v>
                </c:pt>
                <c:pt idx="7">
                  <c:v>13.141</c:v>
                </c:pt>
                <c:pt idx="8">
                  <c:v>13.124000000000001</c:v>
                </c:pt>
                <c:pt idx="9">
                  <c:v>13.108000000000001</c:v>
                </c:pt>
                <c:pt idx="10">
                  <c:v>13.243</c:v>
                </c:pt>
                <c:pt idx="11">
                  <c:v>13.26</c:v>
                </c:pt>
                <c:pt idx="12">
                  <c:v>13.276</c:v>
                </c:pt>
                <c:pt idx="13">
                  <c:v>13.292</c:v>
                </c:pt>
                <c:pt idx="14">
                  <c:v>13.307</c:v>
                </c:pt>
                <c:pt idx="15">
                  <c:v>13.324</c:v>
                </c:pt>
                <c:pt idx="16">
                  <c:v>13.34</c:v>
                </c:pt>
                <c:pt idx="17">
                  <c:v>13.355</c:v>
                </c:pt>
                <c:pt idx="18">
                  <c:v>13.478</c:v>
                </c:pt>
                <c:pt idx="19">
                  <c:v>13.494</c:v>
                </c:pt>
                <c:pt idx="20">
                  <c:v>13.510999999999999</c:v>
                </c:pt>
                <c:pt idx="21">
                  <c:v>13.526999999999999</c:v>
                </c:pt>
                <c:pt idx="22">
                  <c:v>13.542999999999999</c:v>
                </c:pt>
                <c:pt idx="23">
                  <c:v>13.558999999999999</c:v>
                </c:pt>
                <c:pt idx="24">
                  <c:v>13.574999999999999</c:v>
                </c:pt>
                <c:pt idx="25">
                  <c:v>13.59</c:v>
                </c:pt>
                <c:pt idx="26">
                  <c:v>13.728999999999999</c:v>
                </c:pt>
                <c:pt idx="27">
                  <c:v>13.712</c:v>
                </c:pt>
                <c:pt idx="28">
                  <c:v>13.696999999999999</c:v>
                </c:pt>
                <c:pt idx="29">
                  <c:v>13.680999999999999</c:v>
                </c:pt>
                <c:pt idx="30">
                  <c:v>13.664999999999999</c:v>
                </c:pt>
                <c:pt idx="31">
                  <c:v>13.648</c:v>
                </c:pt>
                <c:pt idx="32">
                  <c:v>13.629</c:v>
                </c:pt>
                <c:pt idx="33">
                  <c:v>13.613</c:v>
                </c:pt>
                <c:pt idx="34">
                  <c:v>13.449</c:v>
                </c:pt>
                <c:pt idx="35">
                  <c:v>13.425000000000001</c:v>
                </c:pt>
                <c:pt idx="36">
                  <c:v>13.4</c:v>
                </c:pt>
                <c:pt idx="37">
                  <c:v>13.374000000000001</c:v>
                </c:pt>
              </c:numCache>
            </c:numRef>
          </c:xVal>
          <c:yVal>
            <c:numRef>
              <c:f>'DOY163'!$W$48:$W$85</c:f>
              <c:numCache>
                <c:formatCode>0.00</c:formatCode>
                <c:ptCount val="38"/>
                <c:pt idx="0">
                  <c:v>60.429642331619057</c:v>
                </c:pt>
                <c:pt idx="1">
                  <c:v>37.279209181769552</c:v>
                </c:pt>
                <c:pt idx="2">
                  <c:v>30.502444505045617</c:v>
                </c:pt>
                <c:pt idx="3">
                  <c:v>30.307865813972864</c:v>
                </c:pt>
                <c:pt idx="4">
                  <c:v>29.911704371324898</c:v>
                </c:pt>
                <c:pt idx="5">
                  <c:v>30.155052779590559</c:v>
                </c:pt>
                <c:pt idx="6">
                  <c:v>30.387758510713521</c:v>
                </c:pt>
                <c:pt idx="7">
                  <c:v>30.438268282717917</c:v>
                </c:pt>
                <c:pt idx="8">
                  <c:v>29.658935551138384</c:v>
                </c:pt>
                <c:pt idx="9">
                  <c:v>29.692270584171208</c:v>
                </c:pt>
                <c:pt idx="10">
                  <c:v>30.389266088566401</c:v>
                </c:pt>
                <c:pt idx="11">
                  <c:v>29.350149909163409</c:v>
                </c:pt>
                <c:pt idx="12">
                  <c:v>29.1722986150358</c:v>
                </c:pt>
                <c:pt idx="13">
                  <c:v>31.326982307119199</c:v>
                </c:pt>
                <c:pt idx="14">
                  <c:v>29.813150492028743</c:v>
                </c:pt>
                <c:pt idx="15">
                  <c:v>31.045010203482644</c:v>
                </c:pt>
                <c:pt idx="16">
                  <c:v>29.587329060550758</c:v>
                </c:pt>
                <c:pt idx="17">
                  <c:v>30.227892102534501</c:v>
                </c:pt>
                <c:pt idx="18">
                  <c:v>29.278480015768896</c:v>
                </c:pt>
                <c:pt idx="19">
                  <c:v>29.203798489046779</c:v>
                </c:pt>
                <c:pt idx="20">
                  <c:v>31.416430838869349</c:v>
                </c:pt>
                <c:pt idx="21">
                  <c:v>30.080561461289133</c:v>
                </c:pt>
                <c:pt idx="22">
                  <c:v>30.769580728809458</c:v>
                </c:pt>
                <c:pt idx="23">
                  <c:v>29.155292950215941</c:v>
                </c:pt>
                <c:pt idx="24">
                  <c:v>29.952240718037178</c:v>
                </c:pt>
                <c:pt idx="25">
                  <c:v>30.081949278284537</c:v>
                </c:pt>
                <c:pt idx="26">
                  <c:v>34.351476615791604</c:v>
                </c:pt>
                <c:pt idx="27">
                  <c:v>33.541246713807716</c:v>
                </c:pt>
                <c:pt idx="28">
                  <c:v>28.762306743009503</c:v>
                </c:pt>
                <c:pt idx="29">
                  <c:v>29.818143274601308</c:v>
                </c:pt>
                <c:pt idx="30">
                  <c:v>29.041670714088454</c:v>
                </c:pt>
                <c:pt idx="31">
                  <c:v>29.334658866952761</c:v>
                </c:pt>
                <c:pt idx="32">
                  <c:v>34.278712835507555</c:v>
                </c:pt>
                <c:pt idx="33">
                  <c:v>30.794548540991531</c:v>
                </c:pt>
                <c:pt idx="34">
                  <c:v>29.343557966905788</c:v>
                </c:pt>
                <c:pt idx="35">
                  <c:v>28.822723015120967</c:v>
                </c:pt>
                <c:pt idx="36">
                  <c:v>29.926772728156248</c:v>
                </c:pt>
                <c:pt idx="37">
                  <c:v>29.779442086910866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37-480B-99C8-365C82807A58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('DOY163'!$J$17,'DOY163'!$J$26)</c:f>
              <c:numCache>
                <c:formatCode>0.000</c:formatCode>
                <c:ptCount val="2"/>
                <c:pt idx="0">
                  <c:v>13.103999999999999</c:v>
                </c:pt>
                <c:pt idx="1">
                  <c:v>13.473000000000001</c:v>
                </c:pt>
              </c:numCache>
            </c:numRef>
          </c:xVal>
          <c:yVal>
            <c:numRef>
              <c:f>('DOY163'!$W$17,'DOY163'!$W$26)</c:f>
              <c:numCache>
                <c:formatCode>0.00</c:formatCode>
                <c:ptCount val="2"/>
                <c:pt idx="0">
                  <c:v>36.076946441283411</c:v>
                </c:pt>
                <c:pt idx="1">
                  <c:v>35.598729938645072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37-480B-99C8-365C82807A58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('DOY163'!$J$59,'DOY163'!$J$68)</c:f>
              <c:numCache>
                <c:formatCode>0.000</c:formatCode>
                <c:ptCount val="2"/>
                <c:pt idx="0">
                  <c:v>13.26</c:v>
                </c:pt>
                <c:pt idx="1">
                  <c:v>13.510999999999999</c:v>
                </c:pt>
              </c:numCache>
            </c:numRef>
          </c:xVal>
          <c:yVal>
            <c:numRef>
              <c:f>('DOY163'!$W$59,'DOY163'!$W$68)</c:f>
              <c:numCache>
                <c:formatCode>0.00</c:formatCode>
                <c:ptCount val="2"/>
                <c:pt idx="0">
                  <c:v>29.350149909163409</c:v>
                </c:pt>
                <c:pt idx="1">
                  <c:v>31.416430838869349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37-480B-99C8-365C82807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935967"/>
        <c:axId val="1"/>
      </c:scatterChart>
      <c:valAx>
        <c:axId val="110993596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993596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'DOY164'!$J$10:$J$39</c:f>
              <c:numCache>
                <c:formatCode>0.000</c:formatCode>
                <c:ptCount val="30"/>
                <c:pt idx="0">
                  <c:v>13.202</c:v>
                </c:pt>
                <c:pt idx="1">
                  <c:v>13.186999999999999</c:v>
                </c:pt>
                <c:pt idx="2">
                  <c:v>13.170999999999999</c:v>
                </c:pt>
                <c:pt idx="3">
                  <c:v>13.154999999999999</c:v>
                </c:pt>
                <c:pt idx="4">
                  <c:v>13.135999999999999</c:v>
                </c:pt>
                <c:pt idx="5">
                  <c:v>13.12</c:v>
                </c:pt>
                <c:pt idx="6">
                  <c:v>13.103</c:v>
                </c:pt>
                <c:pt idx="7">
                  <c:v>13.087</c:v>
                </c:pt>
                <c:pt idx="8">
                  <c:v>13.223000000000001</c:v>
                </c:pt>
                <c:pt idx="9">
                  <c:v>13.239000000000001</c:v>
                </c:pt>
                <c:pt idx="10">
                  <c:v>13.254</c:v>
                </c:pt>
                <c:pt idx="11">
                  <c:v>13.27</c:v>
                </c:pt>
                <c:pt idx="12">
                  <c:v>13.284000000000001</c:v>
                </c:pt>
                <c:pt idx="13">
                  <c:v>13.3</c:v>
                </c:pt>
                <c:pt idx="14">
                  <c:v>13.316000000000001</c:v>
                </c:pt>
                <c:pt idx="15">
                  <c:v>13.331</c:v>
                </c:pt>
                <c:pt idx="16">
                  <c:v>13.449</c:v>
                </c:pt>
                <c:pt idx="17">
                  <c:v>13.464</c:v>
                </c:pt>
                <c:pt idx="18">
                  <c:v>13.48</c:v>
                </c:pt>
                <c:pt idx="19">
                  <c:v>13.496</c:v>
                </c:pt>
                <c:pt idx="20">
                  <c:v>13.510999999999999</c:v>
                </c:pt>
                <c:pt idx="21">
                  <c:v>13.526999999999999</c:v>
                </c:pt>
                <c:pt idx="22">
                  <c:v>13.542</c:v>
                </c:pt>
                <c:pt idx="23">
                  <c:v>13.557</c:v>
                </c:pt>
                <c:pt idx="24">
                  <c:v>13.69</c:v>
                </c:pt>
                <c:pt idx="25">
                  <c:v>13.673</c:v>
                </c:pt>
                <c:pt idx="26">
                  <c:v>13.656000000000001</c:v>
                </c:pt>
                <c:pt idx="27">
                  <c:v>13.64</c:v>
                </c:pt>
                <c:pt idx="28">
                  <c:v>13.624000000000001</c:v>
                </c:pt>
                <c:pt idx="29">
                  <c:v>13.608000000000001</c:v>
                </c:pt>
              </c:numCache>
            </c:numRef>
          </c:xVal>
          <c:yVal>
            <c:numRef>
              <c:f>'DOY164'!$W$10:$W$39</c:f>
              <c:numCache>
                <c:formatCode>0.00</c:formatCode>
                <c:ptCount val="30"/>
                <c:pt idx="0">
                  <c:v>45.165585845747664</c:v>
                </c:pt>
                <c:pt idx="1">
                  <c:v>44.228201861565303</c:v>
                </c:pt>
                <c:pt idx="2">
                  <c:v>40.214539761681088</c:v>
                </c:pt>
                <c:pt idx="3">
                  <c:v>36.635139161247182</c:v>
                </c:pt>
                <c:pt idx="4">
                  <c:v>45.162451812974865</c:v>
                </c:pt>
                <c:pt idx="5">
                  <c:v>35.120709295751574</c:v>
                </c:pt>
                <c:pt idx="6">
                  <c:v>39.91244776903519</c:v>
                </c:pt>
                <c:pt idx="7">
                  <c:v>44.222985596450066</c:v>
                </c:pt>
                <c:pt idx="8">
                  <c:v>46.560842337042367</c:v>
                </c:pt>
                <c:pt idx="9">
                  <c:v>36.531893474240668</c:v>
                </c:pt>
                <c:pt idx="10">
                  <c:v>44.381129184767282</c:v>
                </c:pt>
                <c:pt idx="11">
                  <c:v>44.710973618002022</c:v>
                </c:pt>
                <c:pt idx="12">
                  <c:v>44.65268756584161</c:v>
                </c:pt>
                <c:pt idx="13">
                  <c:v>54.74157870025104</c:v>
                </c:pt>
                <c:pt idx="14">
                  <c:v>42.603582064035351</c:v>
                </c:pt>
                <c:pt idx="15">
                  <c:v>47.386107698676739</c:v>
                </c:pt>
                <c:pt idx="16">
                  <c:v>34.461420472628014</c:v>
                </c:pt>
                <c:pt idx="17">
                  <c:v>41.266036346437524</c:v>
                </c:pt>
                <c:pt idx="18">
                  <c:v>53.96213199183881</c:v>
                </c:pt>
                <c:pt idx="19">
                  <c:v>44.638790211278227</c:v>
                </c:pt>
                <c:pt idx="20">
                  <c:v>45.141221997903727</c:v>
                </c:pt>
                <c:pt idx="21">
                  <c:v>40.873858713489561</c:v>
                </c:pt>
                <c:pt idx="22">
                  <c:v>38.113049386911378</c:v>
                </c:pt>
                <c:pt idx="23">
                  <c:v>41.26723005569297</c:v>
                </c:pt>
                <c:pt idx="24">
                  <c:v>55.163778822996129</c:v>
                </c:pt>
                <c:pt idx="25">
                  <c:v>36.62051267440448</c:v>
                </c:pt>
                <c:pt idx="26">
                  <c:v>42.093573706939793</c:v>
                </c:pt>
                <c:pt idx="27">
                  <c:v>44.275110567311806</c:v>
                </c:pt>
                <c:pt idx="28">
                  <c:v>39.494065969170663</c:v>
                </c:pt>
                <c:pt idx="29">
                  <c:v>41.585481523563779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CB-4153-B32F-9311A56233DC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'DOY164'!$J$48:$J$85</c:f>
              <c:numCache>
                <c:formatCode>0.000</c:formatCode>
                <c:ptCount val="38"/>
                <c:pt idx="0">
                  <c:v>13.364000000000001</c:v>
                </c:pt>
                <c:pt idx="1">
                  <c:v>13.348000000000001</c:v>
                </c:pt>
                <c:pt idx="2">
                  <c:v>13.207000000000001</c:v>
                </c:pt>
                <c:pt idx="3">
                  <c:v>13.191000000000001</c:v>
                </c:pt>
                <c:pt idx="4">
                  <c:v>13.176</c:v>
                </c:pt>
                <c:pt idx="5">
                  <c:v>13.159000000000001</c:v>
                </c:pt>
                <c:pt idx="6">
                  <c:v>13.141</c:v>
                </c:pt>
                <c:pt idx="7">
                  <c:v>13.124000000000001</c:v>
                </c:pt>
                <c:pt idx="8">
                  <c:v>13.106999999999999</c:v>
                </c:pt>
                <c:pt idx="9">
                  <c:v>13.090999999999999</c:v>
                </c:pt>
                <c:pt idx="10">
                  <c:v>13.227</c:v>
                </c:pt>
                <c:pt idx="11">
                  <c:v>13.243</c:v>
                </c:pt>
                <c:pt idx="12">
                  <c:v>13.259</c:v>
                </c:pt>
                <c:pt idx="13">
                  <c:v>13.273999999999999</c:v>
                </c:pt>
                <c:pt idx="14">
                  <c:v>13.289</c:v>
                </c:pt>
                <c:pt idx="15">
                  <c:v>13.304</c:v>
                </c:pt>
                <c:pt idx="16">
                  <c:v>13.32</c:v>
                </c:pt>
                <c:pt idx="17">
                  <c:v>13.335000000000001</c:v>
                </c:pt>
                <c:pt idx="18">
                  <c:v>13.452999999999999</c:v>
                </c:pt>
                <c:pt idx="19">
                  <c:v>13.468999999999999</c:v>
                </c:pt>
                <c:pt idx="20">
                  <c:v>13.484</c:v>
                </c:pt>
                <c:pt idx="21">
                  <c:v>13.5</c:v>
                </c:pt>
                <c:pt idx="22">
                  <c:v>13.516</c:v>
                </c:pt>
                <c:pt idx="23">
                  <c:v>13.531000000000001</c:v>
                </c:pt>
                <c:pt idx="24">
                  <c:v>13.545999999999999</c:v>
                </c:pt>
                <c:pt idx="25">
                  <c:v>13.561999999999999</c:v>
                </c:pt>
                <c:pt idx="26">
                  <c:v>13.694000000000001</c:v>
                </c:pt>
                <c:pt idx="27">
                  <c:v>13.678000000000001</c:v>
                </c:pt>
                <c:pt idx="28">
                  <c:v>13.661</c:v>
                </c:pt>
                <c:pt idx="29">
                  <c:v>13.644</c:v>
                </c:pt>
                <c:pt idx="30">
                  <c:v>13.629</c:v>
                </c:pt>
                <c:pt idx="31">
                  <c:v>13.613</c:v>
                </c:pt>
                <c:pt idx="32">
                  <c:v>13.597</c:v>
                </c:pt>
                <c:pt idx="33">
                  <c:v>13.581</c:v>
                </c:pt>
                <c:pt idx="34">
                  <c:v>13.426</c:v>
                </c:pt>
                <c:pt idx="35">
                  <c:v>13.401999999999999</c:v>
                </c:pt>
                <c:pt idx="36">
                  <c:v>13.377000000000001</c:v>
                </c:pt>
                <c:pt idx="37">
                  <c:v>13.353</c:v>
                </c:pt>
              </c:numCache>
            </c:numRef>
          </c:xVal>
          <c:yVal>
            <c:numRef>
              <c:f>'DOY164'!$W$48:$W$85</c:f>
              <c:numCache>
                <c:formatCode>0.00</c:formatCode>
                <c:ptCount val="38"/>
                <c:pt idx="0">
                  <c:v>60.223270455854617</c:v>
                </c:pt>
                <c:pt idx="1">
                  <c:v>43.218840341310987</c:v>
                </c:pt>
                <c:pt idx="2">
                  <c:v>30.898035878658977</c:v>
                </c:pt>
                <c:pt idx="3">
                  <c:v>29.921438831129521</c:v>
                </c:pt>
                <c:pt idx="4">
                  <c:v>30.177742169329978</c:v>
                </c:pt>
                <c:pt idx="5">
                  <c:v>29.620840768719081</c:v>
                </c:pt>
                <c:pt idx="6">
                  <c:v>29.87232039849869</c:v>
                </c:pt>
                <c:pt idx="7">
                  <c:v>29.701216031267791</c:v>
                </c:pt>
                <c:pt idx="8">
                  <c:v>29.668367086421171</c:v>
                </c:pt>
                <c:pt idx="9">
                  <c:v>29.246385416076169</c:v>
                </c:pt>
                <c:pt idx="10">
                  <c:v>30.650659819436836</c:v>
                </c:pt>
                <c:pt idx="11">
                  <c:v>29.70697669227944</c:v>
                </c:pt>
                <c:pt idx="12">
                  <c:v>29.5385246758037</c:v>
                </c:pt>
                <c:pt idx="13">
                  <c:v>29.758733386152802</c:v>
                </c:pt>
                <c:pt idx="14">
                  <c:v>30.363009642204862</c:v>
                </c:pt>
                <c:pt idx="15">
                  <c:v>31.551405910694744</c:v>
                </c:pt>
                <c:pt idx="16">
                  <c:v>28.905226350306325</c:v>
                </c:pt>
                <c:pt idx="17">
                  <c:v>31.125981304167997</c:v>
                </c:pt>
                <c:pt idx="18">
                  <c:v>28.979583818237629</c:v>
                </c:pt>
                <c:pt idx="19">
                  <c:v>29.405695288505758</c:v>
                </c:pt>
                <c:pt idx="20">
                  <c:v>31.036101092622584</c:v>
                </c:pt>
                <c:pt idx="21">
                  <c:v>29.839696885854377</c:v>
                </c:pt>
                <c:pt idx="22">
                  <c:v>31.537665490430072</c:v>
                </c:pt>
                <c:pt idx="23">
                  <c:v>28.334286700005595</c:v>
                </c:pt>
                <c:pt idx="24">
                  <c:v>29.669134964860259</c:v>
                </c:pt>
                <c:pt idx="25">
                  <c:v>30.241537974816293</c:v>
                </c:pt>
                <c:pt idx="26">
                  <c:v>32.179152968210509</c:v>
                </c:pt>
                <c:pt idx="27">
                  <c:v>30.972467316531663</c:v>
                </c:pt>
                <c:pt idx="28">
                  <c:v>31.077257377891183</c:v>
                </c:pt>
                <c:pt idx="29">
                  <c:v>30.934366505847109</c:v>
                </c:pt>
                <c:pt idx="30">
                  <c:v>30.221582506757205</c:v>
                </c:pt>
                <c:pt idx="31">
                  <c:v>29.198556173852239</c:v>
                </c:pt>
                <c:pt idx="32">
                  <c:v>33.002371451192268</c:v>
                </c:pt>
                <c:pt idx="33">
                  <c:v>28.95354520309462</c:v>
                </c:pt>
                <c:pt idx="34">
                  <c:v>29.540525386599111</c:v>
                </c:pt>
                <c:pt idx="35">
                  <c:v>30.801961753588117</c:v>
                </c:pt>
                <c:pt idx="36">
                  <c:v>32.08440677970632</c:v>
                </c:pt>
                <c:pt idx="37">
                  <c:v>30.125932639784192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CB-4153-B32F-9311A56233DC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('DOY164'!$J$17,'DOY164'!$J$26)</c:f>
              <c:numCache>
                <c:formatCode>0.000</c:formatCode>
                <c:ptCount val="2"/>
                <c:pt idx="0">
                  <c:v>13.087</c:v>
                </c:pt>
                <c:pt idx="1">
                  <c:v>13.449</c:v>
                </c:pt>
              </c:numCache>
            </c:numRef>
          </c:xVal>
          <c:yVal>
            <c:numRef>
              <c:f>('DOY164'!$W$17,'DOY164'!$W$26)</c:f>
              <c:numCache>
                <c:formatCode>0.00</c:formatCode>
                <c:ptCount val="2"/>
                <c:pt idx="0">
                  <c:v>44.222985596450066</c:v>
                </c:pt>
                <c:pt idx="1">
                  <c:v>34.461420472628014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CB-4153-B32F-9311A56233DC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('DOY164'!$J$59,'DOY164'!$J$68)</c:f>
              <c:numCache>
                <c:formatCode>0.000</c:formatCode>
                <c:ptCount val="2"/>
                <c:pt idx="0">
                  <c:v>13.243</c:v>
                </c:pt>
                <c:pt idx="1">
                  <c:v>13.484</c:v>
                </c:pt>
              </c:numCache>
            </c:numRef>
          </c:xVal>
          <c:yVal>
            <c:numRef>
              <c:f>('DOY164'!$W$59,'DOY164'!$W$68)</c:f>
              <c:numCache>
                <c:formatCode>0.00</c:formatCode>
                <c:ptCount val="2"/>
                <c:pt idx="0">
                  <c:v>29.70697669227944</c:v>
                </c:pt>
                <c:pt idx="1">
                  <c:v>31.036101092622584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CB-4153-B32F-9311A5623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927327"/>
        <c:axId val="1"/>
      </c:scatterChart>
      <c:valAx>
        <c:axId val="110992732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992732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'DOY167'!$J$10:$J$39</c:f>
              <c:numCache>
                <c:formatCode>0.000</c:formatCode>
                <c:ptCount val="30"/>
                <c:pt idx="0">
                  <c:v>12.944000000000001</c:v>
                </c:pt>
                <c:pt idx="1">
                  <c:v>12.928000000000001</c:v>
                </c:pt>
                <c:pt idx="2">
                  <c:v>12.911</c:v>
                </c:pt>
                <c:pt idx="3">
                  <c:v>12.895</c:v>
                </c:pt>
                <c:pt idx="4">
                  <c:v>12.878</c:v>
                </c:pt>
                <c:pt idx="5">
                  <c:v>12.86</c:v>
                </c:pt>
                <c:pt idx="6">
                  <c:v>12.842000000000001</c:v>
                </c:pt>
                <c:pt idx="7">
                  <c:v>12.824999999999999</c:v>
                </c:pt>
                <c:pt idx="8">
                  <c:v>12.967000000000001</c:v>
                </c:pt>
                <c:pt idx="9">
                  <c:v>12.981</c:v>
                </c:pt>
                <c:pt idx="10">
                  <c:v>12.997999999999999</c:v>
                </c:pt>
                <c:pt idx="11">
                  <c:v>13.013999999999999</c:v>
                </c:pt>
                <c:pt idx="12">
                  <c:v>13.03</c:v>
                </c:pt>
                <c:pt idx="13">
                  <c:v>13.045999999999999</c:v>
                </c:pt>
                <c:pt idx="14">
                  <c:v>13.063000000000001</c:v>
                </c:pt>
                <c:pt idx="15">
                  <c:v>13.08</c:v>
                </c:pt>
                <c:pt idx="16">
                  <c:v>13.196</c:v>
                </c:pt>
                <c:pt idx="17">
                  <c:v>13.214</c:v>
                </c:pt>
                <c:pt idx="18">
                  <c:v>13.23</c:v>
                </c:pt>
                <c:pt idx="19">
                  <c:v>13.244999999999999</c:v>
                </c:pt>
                <c:pt idx="20">
                  <c:v>13.262</c:v>
                </c:pt>
                <c:pt idx="21">
                  <c:v>13.278</c:v>
                </c:pt>
                <c:pt idx="22">
                  <c:v>13.295</c:v>
                </c:pt>
                <c:pt idx="23">
                  <c:v>13.311999999999999</c:v>
                </c:pt>
                <c:pt idx="24">
                  <c:v>13.456</c:v>
                </c:pt>
                <c:pt idx="25">
                  <c:v>13.441000000000001</c:v>
                </c:pt>
                <c:pt idx="26">
                  <c:v>13.423</c:v>
                </c:pt>
                <c:pt idx="27">
                  <c:v>13.406000000000001</c:v>
                </c:pt>
                <c:pt idx="28">
                  <c:v>13.388999999999999</c:v>
                </c:pt>
                <c:pt idx="29">
                  <c:v>13.372999999999999</c:v>
                </c:pt>
              </c:numCache>
            </c:numRef>
          </c:xVal>
          <c:yVal>
            <c:numRef>
              <c:f>'DOY167'!$W$10:$W$39</c:f>
              <c:numCache>
                <c:formatCode>0.00</c:formatCode>
                <c:ptCount val="30"/>
                <c:pt idx="0">
                  <c:v>52.060817982593221</c:v>
                </c:pt>
                <c:pt idx="1">
                  <c:v>50.419946621156839</c:v>
                </c:pt>
                <c:pt idx="2">
                  <c:v>42.341252617309287</c:v>
                </c:pt>
                <c:pt idx="3">
                  <c:v>45.933414858774341</c:v>
                </c:pt>
                <c:pt idx="4">
                  <c:v>34.440914621365039</c:v>
                </c:pt>
                <c:pt idx="5">
                  <c:v>44.382863252271306</c:v>
                </c:pt>
                <c:pt idx="6">
                  <c:v>48.281088090360051</c:v>
                </c:pt>
                <c:pt idx="7">
                  <c:v>46.354586447096466</c:v>
                </c:pt>
                <c:pt idx="8">
                  <c:v>34.678602567926085</c:v>
                </c:pt>
                <c:pt idx="9">
                  <c:v>47.741726872259051</c:v>
                </c:pt>
                <c:pt idx="10">
                  <c:v>47.913621512929545</c:v>
                </c:pt>
                <c:pt idx="11">
                  <c:v>34.64034834532098</c:v>
                </c:pt>
                <c:pt idx="12">
                  <c:v>49.064101772071872</c:v>
                </c:pt>
                <c:pt idx="13">
                  <c:v>36.502661496495648</c:v>
                </c:pt>
                <c:pt idx="14">
                  <c:v>44.391209845702406</c:v>
                </c:pt>
                <c:pt idx="15">
                  <c:v>49.155279349603823</c:v>
                </c:pt>
                <c:pt idx="16">
                  <c:v>42.787918359923871</c:v>
                </c:pt>
                <c:pt idx="17">
                  <c:v>46.83700986503635</c:v>
                </c:pt>
                <c:pt idx="18">
                  <c:v>35.254506444832984</c:v>
                </c:pt>
                <c:pt idx="19">
                  <c:v>49.769788933049718</c:v>
                </c:pt>
                <c:pt idx="20">
                  <c:v>34.318900507739677</c:v>
                </c:pt>
                <c:pt idx="21">
                  <c:v>44.246640307039968</c:v>
                </c:pt>
                <c:pt idx="22">
                  <c:v>44.534901051471223</c:v>
                </c:pt>
                <c:pt idx="23">
                  <c:v>44.575146990455785</c:v>
                </c:pt>
                <c:pt idx="24">
                  <c:v>53.960297890265821</c:v>
                </c:pt>
                <c:pt idx="25">
                  <c:v>41.842863766930314</c:v>
                </c:pt>
                <c:pt idx="26">
                  <c:v>43.653337389782514</c:v>
                </c:pt>
                <c:pt idx="27">
                  <c:v>48.292901327875491</c:v>
                </c:pt>
                <c:pt idx="28">
                  <c:v>43.701893814626125</c:v>
                </c:pt>
                <c:pt idx="29">
                  <c:v>46.717669613376245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1-46B6-9365-87055C0B7CC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'DOY167'!$J$48:$J$85</c:f>
              <c:numCache>
                <c:formatCode>0.000</c:formatCode>
                <c:ptCount val="38"/>
                <c:pt idx="0">
                  <c:v>13.117000000000001</c:v>
                </c:pt>
                <c:pt idx="1">
                  <c:v>13.101000000000001</c:v>
                </c:pt>
                <c:pt idx="2">
                  <c:v>12.949</c:v>
                </c:pt>
                <c:pt idx="3">
                  <c:v>12.933</c:v>
                </c:pt>
                <c:pt idx="4">
                  <c:v>12.917</c:v>
                </c:pt>
                <c:pt idx="5">
                  <c:v>12.9</c:v>
                </c:pt>
                <c:pt idx="6">
                  <c:v>12.882999999999999</c:v>
                </c:pt>
                <c:pt idx="7">
                  <c:v>12.865</c:v>
                </c:pt>
                <c:pt idx="8">
                  <c:v>12.847</c:v>
                </c:pt>
                <c:pt idx="9">
                  <c:v>12.83</c:v>
                </c:pt>
                <c:pt idx="10">
                  <c:v>12.972</c:v>
                </c:pt>
                <c:pt idx="11">
                  <c:v>12.986000000000001</c:v>
                </c:pt>
                <c:pt idx="12">
                  <c:v>13.003</c:v>
                </c:pt>
                <c:pt idx="13">
                  <c:v>13.019</c:v>
                </c:pt>
                <c:pt idx="14">
                  <c:v>13.035</c:v>
                </c:pt>
                <c:pt idx="15">
                  <c:v>13.051</c:v>
                </c:pt>
                <c:pt idx="16">
                  <c:v>13.068</c:v>
                </c:pt>
                <c:pt idx="17">
                  <c:v>13.085000000000001</c:v>
                </c:pt>
                <c:pt idx="18">
                  <c:v>13.202</c:v>
                </c:pt>
                <c:pt idx="19">
                  <c:v>13.218999999999999</c:v>
                </c:pt>
                <c:pt idx="20">
                  <c:v>13.234999999999999</c:v>
                </c:pt>
                <c:pt idx="21">
                  <c:v>13.25</c:v>
                </c:pt>
                <c:pt idx="22">
                  <c:v>13.266999999999999</c:v>
                </c:pt>
                <c:pt idx="23">
                  <c:v>13.282999999999999</c:v>
                </c:pt>
                <c:pt idx="24">
                  <c:v>13.3</c:v>
                </c:pt>
                <c:pt idx="25">
                  <c:v>13.316000000000001</c:v>
                </c:pt>
                <c:pt idx="26">
                  <c:v>13.461</c:v>
                </c:pt>
                <c:pt idx="27">
                  <c:v>13.446</c:v>
                </c:pt>
                <c:pt idx="28">
                  <c:v>13.429</c:v>
                </c:pt>
                <c:pt idx="29">
                  <c:v>13.411</c:v>
                </c:pt>
                <c:pt idx="30">
                  <c:v>13.394</c:v>
                </c:pt>
                <c:pt idx="31">
                  <c:v>13.378</c:v>
                </c:pt>
                <c:pt idx="32">
                  <c:v>13.361000000000001</c:v>
                </c:pt>
                <c:pt idx="33">
                  <c:v>13.345000000000001</c:v>
                </c:pt>
                <c:pt idx="34">
                  <c:v>13.173</c:v>
                </c:pt>
                <c:pt idx="35">
                  <c:v>13.15</c:v>
                </c:pt>
                <c:pt idx="36">
                  <c:v>13.129</c:v>
                </c:pt>
                <c:pt idx="37">
                  <c:v>13.106</c:v>
                </c:pt>
              </c:numCache>
            </c:numRef>
          </c:xVal>
          <c:yVal>
            <c:numRef>
              <c:f>'DOY167'!$W$48:$W$85</c:f>
              <c:numCache>
                <c:formatCode>0.00</c:formatCode>
                <c:ptCount val="38"/>
                <c:pt idx="0">
                  <c:v>63.485166960925056</c:v>
                </c:pt>
                <c:pt idx="1">
                  <c:v>47.199467997663135</c:v>
                </c:pt>
                <c:pt idx="2">
                  <c:v>29.653637935342118</c:v>
                </c:pt>
                <c:pt idx="3">
                  <c:v>29.8321056456479</c:v>
                </c:pt>
                <c:pt idx="4">
                  <c:v>29.848977460097633</c:v>
                </c:pt>
                <c:pt idx="5">
                  <c:v>30.497414589989589</c:v>
                </c:pt>
                <c:pt idx="6">
                  <c:v>30.252724155644618</c:v>
                </c:pt>
                <c:pt idx="7">
                  <c:v>29.060058764823683</c:v>
                </c:pt>
                <c:pt idx="8">
                  <c:v>29.150041125335772</c:v>
                </c:pt>
                <c:pt idx="9">
                  <c:v>28.530335280220314</c:v>
                </c:pt>
                <c:pt idx="10">
                  <c:v>29.320698150540242</c:v>
                </c:pt>
                <c:pt idx="11">
                  <c:v>29.304541378857166</c:v>
                </c:pt>
                <c:pt idx="12">
                  <c:v>29.65430014243638</c:v>
                </c:pt>
                <c:pt idx="13">
                  <c:v>28.096545025561351</c:v>
                </c:pt>
                <c:pt idx="14">
                  <c:v>28.946566856688147</c:v>
                </c:pt>
                <c:pt idx="15">
                  <c:v>27.72894227115999</c:v>
                </c:pt>
                <c:pt idx="16">
                  <c:v>28.310070211820644</c:v>
                </c:pt>
                <c:pt idx="17">
                  <c:v>29.522766990301658</c:v>
                </c:pt>
                <c:pt idx="18">
                  <c:v>28.894951057941213</c:v>
                </c:pt>
                <c:pt idx="19">
                  <c:v>29.214485048403713</c:v>
                </c:pt>
                <c:pt idx="20">
                  <c:v>27.933934684794973</c:v>
                </c:pt>
                <c:pt idx="21">
                  <c:v>29.149621962334624</c:v>
                </c:pt>
                <c:pt idx="22">
                  <c:v>29.784223567751553</c:v>
                </c:pt>
                <c:pt idx="23">
                  <c:v>28.848382827098888</c:v>
                </c:pt>
                <c:pt idx="24">
                  <c:v>29.172867331596013</c:v>
                </c:pt>
                <c:pt idx="25">
                  <c:v>28.814970301746531</c:v>
                </c:pt>
                <c:pt idx="26">
                  <c:v>31.068327633983557</c:v>
                </c:pt>
                <c:pt idx="27">
                  <c:v>29.864475547064625</c:v>
                </c:pt>
                <c:pt idx="28">
                  <c:v>29.083983953070135</c:v>
                </c:pt>
                <c:pt idx="29">
                  <c:v>30.33438508622206</c:v>
                </c:pt>
                <c:pt idx="30">
                  <c:v>29.571751572562377</c:v>
                </c:pt>
                <c:pt idx="31">
                  <c:v>28.99587197536151</c:v>
                </c:pt>
                <c:pt idx="32">
                  <c:v>30.206332043710344</c:v>
                </c:pt>
                <c:pt idx="33">
                  <c:v>29.479849515952594</c:v>
                </c:pt>
                <c:pt idx="34">
                  <c:v>29.180308166990425</c:v>
                </c:pt>
                <c:pt idx="35">
                  <c:v>29.668487904727488</c:v>
                </c:pt>
                <c:pt idx="36">
                  <c:v>28.668182106737934</c:v>
                </c:pt>
                <c:pt idx="37">
                  <c:v>28.439694234992132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01-46B6-9365-87055C0B7CC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('DOY167'!$J$17,'DOY167'!$J$26)</c:f>
              <c:numCache>
                <c:formatCode>0.000</c:formatCode>
                <c:ptCount val="2"/>
                <c:pt idx="0">
                  <c:v>12.824999999999999</c:v>
                </c:pt>
                <c:pt idx="1">
                  <c:v>13.196</c:v>
                </c:pt>
              </c:numCache>
            </c:numRef>
          </c:xVal>
          <c:yVal>
            <c:numRef>
              <c:f>('DOY167'!$W$17,'DOY167'!$W$26)</c:f>
              <c:numCache>
                <c:formatCode>0.00</c:formatCode>
                <c:ptCount val="2"/>
                <c:pt idx="0">
                  <c:v>46.354586447096466</c:v>
                </c:pt>
                <c:pt idx="1">
                  <c:v>42.787918359923871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01-46B6-9365-87055C0B7CC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('DOY167'!$J$59,'DOY167'!$J$68)</c:f>
              <c:numCache>
                <c:formatCode>0.000</c:formatCode>
                <c:ptCount val="2"/>
                <c:pt idx="0">
                  <c:v>12.986000000000001</c:v>
                </c:pt>
                <c:pt idx="1">
                  <c:v>13.234999999999999</c:v>
                </c:pt>
              </c:numCache>
            </c:numRef>
          </c:xVal>
          <c:yVal>
            <c:numRef>
              <c:f>('DOY167'!$W$59,'DOY167'!$W$68)</c:f>
              <c:numCache>
                <c:formatCode>0.00</c:formatCode>
                <c:ptCount val="2"/>
                <c:pt idx="0">
                  <c:v>29.304541378857166</c:v>
                </c:pt>
                <c:pt idx="1">
                  <c:v>27.933934684794973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01-46B6-9365-87055C0B7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850527"/>
        <c:axId val="1"/>
      </c:scatterChart>
      <c:valAx>
        <c:axId val="110985052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985052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'DOY168'!$J$10:$J$39</c:f>
              <c:numCache>
                <c:formatCode>0.000</c:formatCode>
                <c:ptCount val="30"/>
                <c:pt idx="0">
                  <c:v>13.17</c:v>
                </c:pt>
                <c:pt idx="1">
                  <c:v>13.154999999999999</c:v>
                </c:pt>
                <c:pt idx="2">
                  <c:v>13.138999999999999</c:v>
                </c:pt>
                <c:pt idx="3">
                  <c:v>13.122999999999999</c:v>
                </c:pt>
                <c:pt idx="4">
                  <c:v>13.106999999999999</c:v>
                </c:pt>
                <c:pt idx="5">
                  <c:v>13.093</c:v>
                </c:pt>
                <c:pt idx="6">
                  <c:v>13.076000000000001</c:v>
                </c:pt>
                <c:pt idx="7">
                  <c:v>13.06</c:v>
                </c:pt>
                <c:pt idx="8">
                  <c:v>13.19</c:v>
                </c:pt>
                <c:pt idx="9">
                  <c:v>13.205</c:v>
                </c:pt>
                <c:pt idx="10">
                  <c:v>13.221</c:v>
                </c:pt>
                <c:pt idx="11">
                  <c:v>13.236000000000001</c:v>
                </c:pt>
                <c:pt idx="12">
                  <c:v>13.252000000000001</c:v>
                </c:pt>
                <c:pt idx="13">
                  <c:v>13.268000000000001</c:v>
                </c:pt>
                <c:pt idx="14">
                  <c:v>13.285</c:v>
                </c:pt>
                <c:pt idx="15">
                  <c:v>13.302</c:v>
                </c:pt>
                <c:pt idx="16">
                  <c:v>13.423999999999999</c:v>
                </c:pt>
                <c:pt idx="17">
                  <c:v>13.44</c:v>
                </c:pt>
                <c:pt idx="18">
                  <c:v>13.456</c:v>
                </c:pt>
                <c:pt idx="19">
                  <c:v>13.472</c:v>
                </c:pt>
                <c:pt idx="20">
                  <c:v>13.488</c:v>
                </c:pt>
                <c:pt idx="21">
                  <c:v>13.505000000000001</c:v>
                </c:pt>
                <c:pt idx="22">
                  <c:v>13.522</c:v>
                </c:pt>
                <c:pt idx="23">
                  <c:v>13.538</c:v>
                </c:pt>
                <c:pt idx="24">
                  <c:v>13.679</c:v>
                </c:pt>
                <c:pt idx="25">
                  <c:v>13.662000000000001</c:v>
                </c:pt>
                <c:pt idx="26">
                  <c:v>13.645</c:v>
                </c:pt>
                <c:pt idx="27">
                  <c:v>13.628</c:v>
                </c:pt>
                <c:pt idx="28">
                  <c:v>13.612</c:v>
                </c:pt>
                <c:pt idx="29">
                  <c:v>13.596</c:v>
                </c:pt>
              </c:numCache>
            </c:numRef>
          </c:xVal>
          <c:yVal>
            <c:numRef>
              <c:f>'DOY168'!$W$10:$W$39</c:f>
              <c:numCache>
                <c:formatCode>0.00</c:formatCode>
                <c:ptCount val="30"/>
                <c:pt idx="0">
                  <c:v>52.550237224738304</c:v>
                </c:pt>
                <c:pt idx="1">
                  <c:v>50.977423434375986</c:v>
                </c:pt>
                <c:pt idx="2">
                  <c:v>44.917589401890119</c:v>
                </c:pt>
                <c:pt idx="3">
                  <c:v>49.130001195438957</c:v>
                </c:pt>
                <c:pt idx="4">
                  <c:v>35.100075070392755</c:v>
                </c:pt>
                <c:pt idx="5">
                  <c:v>48.293872689648076</c:v>
                </c:pt>
                <c:pt idx="6">
                  <c:v>51.698073722735558</c:v>
                </c:pt>
                <c:pt idx="7">
                  <c:v>48.730520099844874</c:v>
                </c:pt>
                <c:pt idx="8">
                  <c:v>34.591670591137834</c:v>
                </c:pt>
                <c:pt idx="9">
                  <c:v>50.158582006716721</c:v>
                </c:pt>
                <c:pt idx="10">
                  <c:v>49.675330452967899</c:v>
                </c:pt>
                <c:pt idx="11">
                  <c:v>34.741509165633808</c:v>
                </c:pt>
                <c:pt idx="12">
                  <c:v>53.528853101803293</c:v>
                </c:pt>
                <c:pt idx="13">
                  <c:v>40.153405544214891</c:v>
                </c:pt>
                <c:pt idx="14">
                  <c:v>48.308539118427966</c:v>
                </c:pt>
                <c:pt idx="15">
                  <c:v>53.067128373714432</c:v>
                </c:pt>
                <c:pt idx="16">
                  <c:v>46.104050818900447</c:v>
                </c:pt>
                <c:pt idx="17">
                  <c:v>50.843190502897357</c:v>
                </c:pt>
                <c:pt idx="18">
                  <c:v>37.373705326618563</c:v>
                </c:pt>
                <c:pt idx="19">
                  <c:v>52.104298287802294</c:v>
                </c:pt>
                <c:pt idx="20">
                  <c:v>32.357871452109933</c:v>
                </c:pt>
                <c:pt idx="21">
                  <c:v>47.631534240919358</c:v>
                </c:pt>
                <c:pt idx="22">
                  <c:v>48.249137733122069</c:v>
                </c:pt>
                <c:pt idx="23">
                  <c:v>43.762259204961282</c:v>
                </c:pt>
                <c:pt idx="24">
                  <c:v>36.26221395935255</c:v>
                </c:pt>
                <c:pt idx="25">
                  <c:v>46.591474753097337</c:v>
                </c:pt>
                <c:pt idx="26">
                  <c:v>45.884760253473935</c:v>
                </c:pt>
                <c:pt idx="27">
                  <c:v>48.857583354093371</c:v>
                </c:pt>
                <c:pt idx="28">
                  <c:v>44.268720969144006</c:v>
                </c:pt>
                <c:pt idx="29">
                  <c:v>48.617355772878291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09-4619-9983-079573231366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'DOY168'!$J$48:$J$85</c:f>
              <c:numCache>
                <c:formatCode>0.000</c:formatCode>
                <c:ptCount val="38"/>
                <c:pt idx="0">
                  <c:v>13.339</c:v>
                </c:pt>
                <c:pt idx="1">
                  <c:v>13.32</c:v>
                </c:pt>
                <c:pt idx="2">
                  <c:v>13.175000000000001</c:v>
                </c:pt>
                <c:pt idx="3">
                  <c:v>13.159000000000001</c:v>
                </c:pt>
                <c:pt idx="4">
                  <c:v>13.143000000000001</c:v>
                </c:pt>
                <c:pt idx="5">
                  <c:v>13.127000000000001</c:v>
                </c:pt>
                <c:pt idx="6">
                  <c:v>13.112</c:v>
                </c:pt>
                <c:pt idx="7">
                  <c:v>13.097</c:v>
                </c:pt>
                <c:pt idx="8">
                  <c:v>13.081</c:v>
                </c:pt>
                <c:pt idx="9">
                  <c:v>13.064</c:v>
                </c:pt>
                <c:pt idx="10">
                  <c:v>13.194000000000001</c:v>
                </c:pt>
                <c:pt idx="11">
                  <c:v>13.209</c:v>
                </c:pt>
                <c:pt idx="12">
                  <c:v>13.225</c:v>
                </c:pt>
                <c:pt idx="13">
                  <c:v>13.241</c:v>
                </c:pt>
                <c:pt idx="14">
                  <c:v>13.256</c:v>
                </c:pt>
                <c:pt idx="15">
                  <c:v>13.273</c:v>
                </c:pt>
                <c:pt idx="16">
                  <c:v>13.289</c:v>
                </c:pt>
                <c:pt idx="17">
                  <c:v>13.305999999999999</c:v>
                </c:pt>
                <c:pt idx="18">
                  <c:v>13.429</c:v>
                </c:pt>
                <c:pt idx="19">
                  <c:v>13.445</c:v>
                </c:pt>
                <c:pt idx="20">
                  <c:v>13.461</c:v>
                </c:pt>
                <c:pt idx="21">
                  <c:v>13.476000000000001</c:v>
                </c:pt>
                <c:pt idx="22">
                  <c:v>13.493</c:v>
                </c:pt>
                <c:pt idx="23">
                  <c:v>13.51</c:v>
                </c:pt>
                <c:pt idx="24">
                  <c:v>13.526</c:v>
                </c:pt>
                <c:pt idx="25">
                  <c:v>13.542</c:v>
                </c:pt>
                <c:pt idx="26">
                  <c:v>13.683999999999999</c:v>
                </c:pt>
                <c:pt idx="27">
                  <c:v>13.666</c:v>
                </c:pt>
                <c:pt idx="28">
                  <c:v>13.648999999999999</c:v>
                </c:pt>
                <c:pt idx="29">
                  <c:v>13.632999999999999</c:v>
                </c:pt>
                <c:pt idx="30">
                  <c:v>13.617000000000001</c:v>
                </c:pt>
                <c:pt idx="31">
                  <c:v>13.6</c:v>
                </c:pt>
                <c:pt idx="32">
                  <c:v>13.58</c:v>
                </c:pt>
                <c:pt idx="33">
                  <c:v>13.564</c:v>
                </c:pt>
                <c:pt idx="34">
                  <c:v>13.401</c:v>
                </c:pt>
                <c:pt idx="35">
                  <c:v>13.375999999999999</c:v>
                </c:pt>
                <c:pt idx="36">
                  <c:v>13.351000000000001</c:v>
                </c:pt>
                <c:pt idx="37">
                  <c:v>13.326000000000001</c:v>
                </c:pt>
              </c:numCache>
            </c:numRef>
          </c:xVal>
          <c:yVal>
            <c:numRef>
              <c:f>'DOY168'!$W$48:$W$85</c:f>
              <c:numCache>
                <c:formatCode>0.00</c:formatCode>
                <c:ptCount val="38"/>
                <c:pt idx="0">
                  <c:v>64.036951611036116</c:v>
                </c:pt>
                <c:pt idx="1">
                  <c:v>47.368375665889637</c:v>
                </c:pt>
                <c:pt idx="2">
                  <c:v>32.004659562155588</c:v>
                </c:pt>
                <c:pt idx="3">
                  <c:v>31.126912273687804</c:v>
                </c:pt>
                <c:pt idx="4">
                  <c:v>30.86136112009639</c:v>
                </c:pt>
                <c:pt idx="5">
                  <c:v>31.201857978771987</c:v>
                </c:pt>
                <c:pt idx="6">
                  <c:v>29.274795653406812</c:v>
                </c:pt>
                <c:pt idx="7">
                  <c:v>30.248192808847609</c:v>
                </c:pt>
                <c:pt idx="8">
                  <c:v>30.677551911780117</c:v>
                </c:pt>
                <c:pt idx="9">
                  <c:v>30.320908848555927</c:v>
                </c:pt>
                <c:pt idx="10">
                  <c:v>29.874621573123093</c:v>
                </c:pt>
                <c:pt idx="11">
                  <c:v>30.879081827682921</c:v>
                </c:pt>
                <c:pt idx="12">
                  <c:v>29.793429118841061</c:v>
                </c:pt>
                <c:pt idx="13">
                  <c:v>31.289036526267978</c:v>
                </c:pt>
                <c:pt idx="14">
                  <c:v>30.926882890881561</c:v>
                </c:pt>
                <c:pt idx="15">
                  <c:v>29.39636242500573</c:v>
                </c:pt>
                <c:pt idx="16">
                  <c:v>29.241305635734914</c:v>
                </c:pt>
                <c:pt idx="17">
                  <c:v>30.580033611663282</c:v>
                </c:pt>
                <c:pt idx="18">
                  <c:v>29.680578283530803</c:v>
                </c:pt>
                <c:pt idx="19">
                  <c:v>29.851076801718033</c:v>
                </c:pt>
                <c:pt idx="20">
                  <c:v>28.231103904772784</c:v>
                </c:pt>
                <c:pt idx="21">
                  <c:v>29.39670409568734</c:v>
                </c:pt>
                <c:pt idx="22">
                  <c:v>27.84604814352512</c:v>
                </c:pt>
                <c:pt idx="23">
                  <c:v>28.394411676415029</c:v>
                </c:pt>
                <c:pt idx="24">
                  <c:v>29.631459850899969</c:v>
                </c:pt>
                <c:pt idx="25">
                  <c:v>31.000835285324371</c:v>
                </c:pt>
                <c:pt idx="26">
                  <c:v>30.110493922212736</c:v>
                </c:pt>
                <c:pt idx="27">
                  <c:v>30.377767518724852</c:v>
                </c:pt>
                <c:pt idx="28">
                  <c:v>29.907896725727184</c:v>
                </c:pt>
                <c:pt idx="29">
                  <c:v>30.068876205405047</c:v>
                </c:pt>
                <c:pt idx="30">
                  <c:v>29.338309668640253</c:v>
                </c:pt>
                <c:pt idx="31">
                  <c:v>29.697760067258709</c:v>
                </c:pt>
                <c:pt idx="32">
                  <c:v>29.071405921835041</c:v>
                </c:pt>
                <c:pt idx="33">
                  <c:v>28.776762251235098</c:v>
                </c:pt>
                <c:pt idx="34">
                  <c:v>30.329586038684823</c:v>
                </c:pt>
                <c:pt idx="35">
                  <c:v>29.452259485936718</c:v>
                </c:pt>
                <c:pt idx="36">
                  <c:v>31.653930571863594</c:v>
                </c:pt>
                <c:pt idx="37">
                  <c:v>31.37992061558926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09-4619-9983-079573231366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('DOY168'!$J$17,'DOY168'!$J$26)</c:f>
              <c:numCache>
                <c:formatCode>0.000</c:formatCode>
                <c:ptCount val="2"/>
                <c:pt idx="0">
                  <c:v>13.06</c:v>
                </c:pt>
                <c:pt idx="1">
                  <c:v>13.423999999999999</c:v>
                </c:pt>
              </c:numCache>
            </c:numRef>
          </c:xVal>
          <c:yVal>
            <c:numRef>
              <c:f>('DOY168'!$W$17,'DOY168'!$W$26)</c:f>
              <c:numCache>
                <c:formatCode>0.00</c:formatCode>
                <c:ptCount val="2"/>
                <c:pt idx="0">
                  <c:v>48.730520099844874</c:v>
                </c:pt>
                <c:pt idx="1">
                  <c:v>46.104050818900447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09-4619-9983-079573231366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('DOY168'!$J$59,'DOY168'!$J$68)</c:f>
              <c:numCache>
                <c:formatCode>0.000</c:formatCode>
                <c:ptCount val="2"/>
                <c:pt idx="0">
                  <c:v>13.209</c:v>
                </c:pt>
                <c:pt idx="1">
                  <c:v>13.461</c:v>
                </c:pt>
              </c:numCache>
            </c:numRef>
          </c:xVal>
          <c:yVal>
            <c:numRef>
              <c:f>('DOY168'!$W$59,'DOY168'!$W$68)</c:f>
              <c:numCache>
                <c:formatCode>0.00</c:formatCode>
                <c:ptCount val="2"/>
                <c:pt idx="0">
                  <c:v>30.879081827682921</c:v>
                </c:pt>
                <c:pt idx="1">
                  <c:v>28.231103904772784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09-4619-9983-079573231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866367"/>
        <c:axId val="1"/>
      </c:scatterChart>
      <c:valAx>
        <c:axId val="110986636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986636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'DOY169'!$J$10:$J$39</c:f>
              <c:numCache>
                <c:formatCode>0.000</c:formatCode>
                <c:ptCount val="30"/>
                <c:pt idx="0">
                  <c:v>12.984999999999999</c:v>
                </c:pt>
                <c:pt idx="1">
                  <c:v>12.97</c:v>
                </c:pt>
                <c:pt idx="2">
                  <c:v>12.954000000000001</c:v>
                </c:pt>
                <c:pt idx="3">
                  <c:v>12.939</c:v>
                </c:pt>
                <c:pt idx="4">
                  <c:v>12.925000000000001</c:v>
                </c:pt>
                <c:pt idx="5">
                  <c:v>12.909000000000001</c:v>
                </c:pt>
                <c:pt idx="6">
                  <c:v>12.894</c:v>
                </c:pt>
                <c:pt idx="7">
                  <c:v>12.88</c:v>
                </c:pt>
                <c:pt idx="8">
                  <c:v>13.007</c:v>
                </c:pt>
                <c:pt idx="9">
                  <c:v>13.021000000000001</c:v>
                </c:pt>
                <c:pt idx="10">
                  <c:v>13.037000000000001</c:v>
                </c:pt>
                <c:pt idx="11">
                  <c:v>13.053000000000001</c:v>
                </c:pt>
                <c:pt idx="12">
                  <c:v>13.066000000000001</c:v>
                </c:pt>
                <c:pt idx="13">
                  <c:v>13.082000000000001</c:v>
                </c:pt>
                <c:pt idx="14">
                  <c:v>13.097</c:v>
                </c:pt>
                <c:pt idx="15">
                  <c:v>13.114000000000001</c:v>
                </c:pt>
                <c:pt idx="16">
                  <c:v>13.225</c:v>
                </c:pt>
                <c:pt idx="17">
                  <c:v>13.24</c:v>
                </c:pt>
                <c:pt idx="18">
                  <c:v>13.254</c:v>
                </c:pt>
                <c:pt idx="19">
                  <c:v>13.272</c:v>
                </c:pt>
                <c:pt idx="20">
                  <c:v>13.287000000000001</c:v>
                </c:pt>
                <c:pt idx="21">
                  <c:v>13.301</c:v>
                </c:pt>
                <c:pt idx="22">
                  <c:v>13.317</c:v>
                </c:pt>
                <c:pt idx="23">
                  <c:v>13.332000000000001</c:v>
                </c:pt>
                <c:pt idx="24">
                  <c:v>13.467000000000001</c:v>
                </c:pt>
                <c:pt idx="25">
                  <c:v>13.452</c:v>
                </c:pt>
                <c:pt idx="26">
                  <c:v>13.436</c:v>
                </c:pt>
                <c:pt idx="27">
                  <c:v>13.419</c:v>
                </c:pt>
                <c:pt idx="28">
                  <c:v>13.401999999999999</c:v>
                </c:pt>
                <c:pt idx="29">
                  <c:v>13.385</c:v>
                </c:pt>
              </c:numCache>
            </c:numRef>
          </c:xVal>
          <c:yVal>
            <c:numRef>
              <c:f>'DOY169'!$W$10:$W$39</c:f>
              <c:numCache>
                <c:formatCode>0.00</c:formatCode>
                <c:ptCount val="30"/>
                <c:pt idx="0">
                  <c:v>51.506545809273653</c:v>
                </c:pt>
                <c:pt idx="1">
                  <c:v>49.809762543511432</c:v>
                </c:pt>
                <c:pt idx="2">
                  <c:v>44.15714211047333</c:v>
                </c:pt>
                <c:pt idx="3">
                  <c:v>47.81493764304728</c:v>
                </c:pt>
                <c:pt idx="4">
                  <c:v>36.068433296586164</c:v>
                </c:pt>
                <c:pt idx="5">
                  <c:v>46.006894903021355</c:v>
                </c:pt>
                <c:pt idx="6">
                  <c:v>48.551180810597181</c:v>
                </c:pt>
                <c:pt idx="7">
                  <c:v>48.573908325314811</c:v>
                </c:pt>
                <c:pt idx="8">
                  <c:v>36.274118864836652</c:v>
                </c:pt>
                <c:pt idx="9">
                  <c:v>45.551754318551581</c:v>
                </c:pt>
                <c:pt idx="10">
                  <c:v>48.00990392562597</c:v>
                </c:pt>
                <c:pt idx="11">
                  <c:v>36.479405208577532</c:v>
                </c:pt>
                <c:pt idx="12">
                  <c:v>48.811535325577921</c:v>
                </c:pt>
                <c:pt idx="13">
                  <c:v>44.175488540640963</c:v>
                </c:pt>
                <c:pt idx="14">
                  <c:v>44.4104863390316</c:v>
                </c:pt>
                <c:pt idx="15">
                  <c:v>49.526072650155648</c:v>
                </c:pt>
                <c:pt idx="16">
                  <c:v>44.633247135874733</c:v>
                </c:pt>
                <c:pt idx="17">
                  <c:v>47.05417533102738</c:v>
                </c:pt>
                <c:pt idx="18">
                  <c:v>41.481749635461341</c:v>
                </c:pt>
                <c:pt idx="19">
                  <c:v>48.666032356702857</c:v>
                </c:pt>
                <c:pt idx="20">
                  <c:v>35.087276718997948</c:v>
                </c:pt>
                <c:pt idx="21">
                  <c:v>45.185282247539867</c:v>
                </c:pt>
                <c:pt idx="22">
                  <c:v>45.352191904276317</c:v>
                </c:pt>
                <c:pt idx="23">
                  <c:v>46.067367975078589</c:v>
                </c:pt>
                <c:pt idx="24">
                  <c:v>34.415151154078544</c:v>
                </c:pt>
                <c:pt idx="25">
                  <c:v>44.271631982451716</c:v>
                </c:pt>
                <c:pt idx="26">
                  <c:v>45.117798824106046</c:v>
                </c:pt>
                <c:pt idx="27">
                  <c:v>48.72801759486034</c:v>
                </c:pt>
                <c:pt idx="28">
                  <c:v>45.3398489843511</c:v>
                </c:pt>
                <c:pt idx="29">
                  <c:v>47.148253775445404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99-4498-9289-194B78D6CEA6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'DOY169'!$J$48:$J$85</c:f>
              <c:numCache>
                <c:formatCode>0.000</c:formatCode>
                <c:ptCount val="38"/>
                <c:pt idx="0">
                  <c:v>13.154999999999999</c:v>
                </c:pt>
                <c:pt idx="1">
                  <c:v>13.135999999999999</c:v>
                </c:pt>
                <c:pt idx="2">
                  <c:v>12.99</c:v>
                </c:pt>
                <c:pt idx="3">
                  <c:v>12.975</c:v>
                </c:pt>
                <c:pt idx="4">
                  <c:v>12.959</c:v>
                </c:pt>
                <c:pt idx="5">
                  <c:v>12.944000000000001</c:v>
                </c:pt>
                <c:pt idx="6">
                  <c:v>12.929</c:v>
                </c:pt>
                <c:pt idx="7">
                  <c:v>12.913</c:v>
                </c:pt>
                <c:pt idx="8">
                  <c:v>12.898</c:v>
                </c:pt>
                <c:pt idx="9">
                  <c:v>12.885</c:v>
                </c:pt>
                <c:pt idx="10">
                  <c:v>13.010999999999999</c:v>
                </c:pt>
                <c:pt idx="11">
                  <c:v>13.025</c:v>
                </c:pt>
                <c:pt idx="12">
                  <c:v>13.041</c:v>
                </c:pt>
                <c:pt idx="13">
                  <c:v>13.057</c:v>
                </c:pt>
                <c:pt idx="14">
                  <c:v>13.071</c:v>
                </c:pt>
                <c:pt idx="15">
                  <c:v>13.086</c:v>
                </c:pt>
                <c:pt idx="16">
                  <c:v>13.102</c:v>
                </c:pt>
                <c:pt idx="17">
                  <c:v>13.119</c:v>
                </c:pt>
                <c:pt idx="18">
                  <c:v>13.23</c:v>
                </c:pt>
                <c:pt idx="19">
                  <c:v>13.244999999999999</c:v>
                </c:pt>
                <c:pt idx="20">
                  <c:v>13.260999999999999</c:v>
                </c:pt>
                <c:pt idx="21">
                  <c:v>13.276999999999999</c:v>
                </c:pt>
                <c:pt idx="22">
                  <c:v>13.292</c:v>
                </c:pt>
                <c:pt idx="23">
                  <c:v>13.305999999999999</c:v>
                </c:pt>
                <c:pt idx="24">
                  <c:v>13.321999999999999</c:v>
                </c:pt>
                <c:pt idx="25">
                  <c:v>13.337</c:v>
                </c:pt>
                <c:pt idx="26">
                  <c:v>13.472</c:v>
                </c:pt>
                <c:pt idx="27">
                  <c:v>13.456</c:v>
                </c:pt>
                <c:pt idx="28">
                  <c:v>13.44</c:v>
                </c:pt>
                <c:pt idx="29">
                  <c:v>13.423999999999999</c:v>
                </c:pt>
                <c:pt idx="30">
                  <c:v>13.407</c:v>
                </c:pt>
                <c:pt idx="31">
                  <c:v>13.39</c:v>
                </c:pt>
                <c:pt idx="32">
                  <c:v>13.375</c:v>
                </c:pt>
                <c:pt idx="33">
                  <c:v>13.359</c:v>
                </c:pt>
                <c:pt idx="34">
                  <c:v>13.207000000000001</c:v>
                </c:pt>
                <c:pt idx="35">
                  <c:v>13.186999999999999</c:v>
                </c:pt>
                <c:pt idx="36">
                  <c:v>13.166</c:v>
                </c:pt>
                <c:pt idx="37">
                  <c:v>13.145</c:v>
                </c:pt>
              </c:numCache>
            </c:numRef>
          </c:xVal>
          <c:yVal>
            <c:numRef>
              <c:f>'DOY169'!$W$48:$W$85</c:f>
              <c:numCache>
                <c:formatCode>0.00</c:formatCode>
                <c:ptCount val="38"/>
                <c:pt idx="0">
                  <c:v>63.106617369546463</c:v>
                </c:pt>
                <c:pt idx="1">
                  <c:v>46.988314970043525</c:v>
                </c:pt>
                <c:pt idx="2">
                  <c:v>30.277209804378611</c:v>
                </c:pt>
                <c:pt idx="3">
                  <c:v>29.425235003032132</c:v>
                </c:pt>
                <c:pt idx="4">
                  <c:v>30.213223790471602</c:v>
                </c:pt>
                <c:pt idx="5">
                  <c:v>30.924333087216535</c:v>
                </c:pt>
                <c:pt idx="6">
                  <c:v>31.584453568527177</c:v>
                </c:pt>
                <c:pt idx="7">
                  <c:v>30.79599473207378</c:v>
                </c:pt>
                <c:pt idx="8">
                  <c:v>31.392865376513043</c:v>
                </c:pt>
                <c:pt idx="9">
                  <c:v>31.988298890662662</c:v>
                </c:pt>
                <c:pt idx="10">
                  <c:v>29.156855379777497</c:v>
                </c:pt>
                <c:pt idx="11">
                  <c:v>29.376916150243826</c:v>
                </c:pt>
                <c:pt idx="12">
                  <c:v>28.824102281018146</c:v>
                </c:pt>
                <c:pt idx="13">
                  <c:v>30.634740506899359</c:v>
                </c:pt>
                <c:pt idx="14">
                  <c:v>29.417973808923932</c:v>
                </c:pt>
                <c:pt idx="15">
                  <c:v>29.310577187725318</c:v>
                </c:pt>
                <c:pt idx="16">
                  <c:v>28.202881813293477</c:v>
                </c:pt>
                <c:pt idx="17">
                  <c:v>28.374155254676111</c:v>
                </c:pt>
                <c:pt idx="18">
                  <c:v>29.62193768813593</c:v>
                </c:pt>
                <c:pt idx="19">
                  <c:v>29.605467424796529</c:v>
                </c:pt>
                <c:pt idx="20">
                  <c:v>29.725998617216145</c:v>
                </c:pt>
                <c:pt idx="21">
                  <c:v>29.384917043765828</c:v>
                </c:pt>
                <c:pt idx="22">
                  <c:v>30.96452424086905</c:v>
                </c:pt>
                <c:pt idx="23">
                  <c:v>29.610541222066797</c:v>
                </c:pt>
                <c:pt idx="24">
                  <c:v>29.132000283696559</c:v>
                </c:pt>
                <c:pt idx="25">
                  <c:v>30.923751894819976</c:v>
                </c:pt>
                <c:pt idx="26">
                  <c:v>27.882992062636735</c:v>
                </c:pt>
                <c:pt idx="27">
                  <c:v>29.166096150412141</c:v>
                </c:pt>
                <c:pt idx="28">
                  <c:v>29.083431342058827</c:v>
                </c:pt>
                <c:pt idx="29">
                  <c:v>29.084142862447337</c:v>
                </c:pt>
                <c:pt idx="30">
                  <c:v>29.636354405007513</c:v>
                </c:pt>
                <c:pt idx="31">
                  <c:v>30.317372779005836</c:v>
                </c:pt>
                <c:pt idx="32">
                  <c:v>30.052029445725918</c:v>
                </c:pt>
                <c:pt idx="33">
                  <c:v>29.320001122024326</c:v>
                </c:pt>
                <c:pt idx="34">
                  <c:v>30.197443913251746</c:v>
                </c:pt>
                <c:pt idx="35">
                  <c:v>28.799786108795828</c:v>
                </c:pt>
                <c:pt idx="36">
                  <c:v>28.546640394146095</c:v>
                </c:pt>
                <c:pt idx="37">
                  <c:v>28.455368843227117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99-4498-9289-194B78D6CEA6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('DOY169'!$J$17,'DOY169'!$J$26)</c:f>
              <c:numCache>
                <c:formatCode>0.000</c:formatCode>
                <c:ptCount val="2"/>
                <c:pt idx="0">
                  <c:v>12.88</c:v>
                </c:pt>
                <c:pt idx="1">
                  <c:v>13.225</c:v>
                </c:pt>
              </c:numCache>
            </c:numRef>
          </c:xVal>
          <c:yVal>
            <c:numRef>
              <c:f>('DOY169'!$W$17,'DOY169'!$W$26)</c:f>
              <c:numCache>
                <c:formatCode>0.00</c:formatCode>
                <c:ptCount val="2"/>
                <c:pt idx="0">
                  <c:v>48.573908325314811</c:v>
                </c:pt>
                <c:pt idx="1">
                  <c:v>44.633247135874733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99-4498-9289-194B78D6CEA6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('DOY169'!$J$59,'DOY169'!$J$68)</c:f>
              <c:numCache>
                <c:formatCode>0.000</c:formatCode>
                <c:ptCount val="2"/>
                <c:pt idx="0">
                  <c:v>13.025</c:v>
                </c:pt>
                <c:pt idx="1">
                  <c:v>13.260999999999999</c:v>
                </c:pt>
              </c:numCache>
            </c:numRef>
          </c:xVal>
          <c:yVal>
            <c:numRef>
              <c:f>('DOY169'!$W$59,'DOY169'!$W$68)</c:f>
              <c:numCache>
                <c:formatCode>0.00</c:formatCode>
                <c:ptCount val="2"/>
                <c:pt idx="0">
                  <c:v>29.376916150243826</c:v>
                </c:pt>
                <c:pt idx="1">
                  <c:v>29.725998617216145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99-4498-9289-194B78D6C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692671"/>
        <c:axId val="1"/>
      </c:scatterChart>
      <c:valAx>
        <c:axId val="163469267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469267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'DOY170'!$J$10:$J$39</c:f>
              <c:numCache>
                <c:formatCode>0.000</c:formatCode>
                <c:ptCount val="30"/>
                <c:pt idx="0">
                  <c:v>13.244999999999999</c:v>
                </c:pt>
                <c:pt idx="1">
                  <c:v>13.228999999999999</c:v>
                </c:pt>
                <c:pt idx="2">
                  <c:v>13.21</c:v>
                </c:pt>
                <c:pt idx="3">
                  <c:v>13.194000000000001</c:v>
                </c:pt>
                <c:pt idx="4">
                  <c:v>13.178000000000001</c:v>
                </c:pt>
                <c:pt idx="5">
                  <c:v>13.163</c:v>
                </c:pt>
                <c:pt idx="6">
                  <c:v>13.147</c:v>
                </c:pt>
                <c:pt idx="7">
                  <c:v>13.13</c:v>
                </c:pt>
                <c:pt idx="8">
                  <c:v>13.266</c:v>
                </c:pt>
                <c:pt idx="9">
                  <c:v>13.282</c:v>
                </c:pt>
                <c:pt idx="10">
                  <c:v>13.297000000000001</c:v>
                </c:pt>
                <c:pt idx="11">
                  <c:v>13.313000000000001</c:v>
                </c:pt>
                <c:pt idx="12">
                  <c:v>13.327999999999999</c:v>
                </c:pt>
                <c:pt idx="13">
                  <c:v>13.343</c:v>
                </c:pt>
                <c:pt idx="14">
                  <c:v>13.359</c:v>
                </c:pt>
                <c:pt idx="15">
                  <c:v>13.375</c:v>
                </c:pt>
                <c:pt idx="16">
                  <c:v>13.499000000000001</c:v>
                </c:pt>
                <c:pt idx="17">
                  <c:v>13.516</c:v>
                </c:pt>
                <c:pt idx="18">
                  <c:v>13.531000000000001</c:v>
                </c:pt>
                <c:pt idx="19">
                  <c:v>13.548</c:v>
                </c:pt>
                <c:pt idx="20">
                  <c:v>13.564</c:v>
                </c:pt>
                <c:pt idx="21">
                  <c:v>13.58</c:v>
                </c:pt>
                <c:pt idx="22">
                  <c:v>13.596</c:v>
                </c:pt>
                <c:pt idx="23">
                  <c:v>13.613</c:v>
                </c:pt>
                <c:pt idx="24">
                  <c:v>13.750999999999999</c:v>
                </c:pt>
                <c:pt idx="25">
                  <c:v>13.734999999999999</c:v>
                </c:pt>
                <c:pt idx="26">
                  <c:v>13.718999999999999</c:v>
                </c:pt>
                <c:pt idx="27">
                  <c:v>13.702</c:v>
                </c:pt>
                <c:pt idx="28">
                  <c:v>13.685</c:v>
                </c:pt>
                <c:pt idx="29">
                  <c:v>13.669</c:v>
                </c:pt>
              </c:numCache>
            </c:numRef>
          </c:xVal>
          <c:yVal>
            <c:numRef>
              <c:f>'DOY170'!$W$10:$W$39</c:f>
              <c:numCache>
                <c:formatCode>0.00</c:formatCode>
                <c:ptCount val="30"/>
                <c:pt idx="0">
                  <c:v>49.037553657251095</c:v>
                </c:pt>
                <c:pt idx="1">
                  <c:v>49.191274711316709</c:v>
                </c:pt>
                <c:pt idx="2">
                  <c:v>43.989474477463439</c:v>
                </c:pt>
                <c:pt idx="3">
                  <c:v>46.998923266200222</c:v>
                </c:pt>
                <c:pt idx="4">
                  <c:v>38.18566608710676</c:v>
                </c:pt>
                <c:pt idx="5">
                  <c:v>45.096650554541213</c:v>
                </c:pt>
                <c:pt idx="6">
                  <c:v>46.631965483943397</c:v>
                </c:pt>
                <c:pt idx="7">
                  <c:v>45.92869033316947</c:v>
                </c:pt>
                <c:pt idx="8">
                  <c:v>38.874811029417572</c:v>
                </c:pt>
                <c:pt idx="9">
                  <c:v>46.470434563612791</c:v>
                </c:pt>
                <c:pt idx="10">
                  <c:v>46.627868581201142</c:v>
                </c:pt>
                <c:pt idx="11">
                  <c:v>38.17017624067352</c:v>
                </c:pt>
                <c:pt idx="12">
                  <c:v>49.035001505802938</c:v>
                </c:pt>
                <c:pt idx="13">
                  <c:v>46.42090004846375</c:v>
                </c:pt>
                <c:pt idx="14">
                  <c:v>45.418299167677681</c:v>
                </c:pt>
                <c:pt idx="15">
                  <c:v>49.729408504145077</c:v>
                </c:pt>
                <c:pt idx="16">
                  <c:v>43.619901517892693</c:v>
                </c:pt>
                <c:pt idx="17">
                  <c:v>45.050927317516404</c:v>
                </c:pt>
                <c:pt idx="18">
                  <c:v>44.815153153120065</c:v>
                </c:pt>
                <c:pt idx="19">
                  <c:v>47.821851029467247</c:v>
                </c:pt>
                <c:pt idx="20">
                  <c:v>36.529700269381614</c:v>
                </c:pt>
                <c:pt idx="21">
                  <c:v>45.183529322952417</c:v>
                </c:pt>
                <c:pt idx="22">
                  <c:v>44.41617028556518</c:v>
                </c:pt>
                <c:pt idx="23">
                  <c:v>45.223326347192007</c:v>
                </c:pt>
                <c:pt idx="24">
                  <c:v>37.725477115896062</c:v>
                </c:pt>
                <c:pt idx="25">
                  <c:v>44.821270770103375</c:v>
                </c:pt>
                <c:pt idx="26">
                  <c:v>42.659961354791058</c:v>
                </c:pt>
                <c:pt idx="27">
                  <c:v>46.735557559787104</c:v>
                </c:pt>
                <c:pt idx="28">
                  <c:v>42.031650716769555</c:v>
                </c:pt>
                <c:pt idx="29">
                  <c:v>46.228718147258945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45-4D7A-9F7D-1A203C11F849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'DOY170'!$J$48:$J$85</c:f>
              <c:numCache>
                <c:formatCode>0.000</c:formatCode>
                <c:ptCount val="38"/>
                <c:pt idx="0">
                  <c:v>13.409000000000001</c:v>
                </c:pt>
                <c:pt idx="1">
                  <c:v>13.391999999999999</c:v>
                </c:pt>
                <c:pt idx="2">
                  <c:v>13.249000000000001</c:v>
                </c:pt>
                <c:pt idx="3">
                  <c:v>13.233000000000001</c:v>
                </c:pt>
                <c:pt idx="4">
                  <c:v>13.215</c:v>
                </c:pt>
                <c:pt idx="5">
                  <c:v>13.198</c:v>
                </c:pt>
                <c:pt idx="6">
                  <c:v>13.183</c:v>
                </c:pt>
                <c:pt idx="7">
                  <c:v>13.167</c:v>
                </c:pt>
                <c:pt idx="8">
                  <c:v>13.151</c:v>
                </c:pt>
                <c:pt idx="9">
                  <c:v>13.135</c:v>
                </c:pt>
                <c:pt idx="10">
                  <c:v>13.271000000000001</c:v>
                </c:pt>
                <c:pt idx="11">
                  <c:v>13.286</c:v>
                </c:pt>
                <c:pt idx="12">
                  <c:v>13.302</c:v>
                </c:pt>
                <c:pt idx="13">
                  <c:v>13.317</c:v>
                </c:pt>
                <c:pt idx="14">
                  <c:v>13.332000000000001</c:v>
                </c:pt>
                <c:pt idx="15">
                  <c:v>13.347</c:v>
                </c:pt>
                <c:pt idx="16">
                  <c:v>13.363</c:v>
                </c:pt>
                <c:pt idx="17">
                  <c:v>13.379</c:v>
                </c:pt>
                <c:pt idx="18">
                  <c:v>13.503</c:v>
                </c:pt>
                <c:pt idx="19">
                  <c:v>13.52</c:v>
                </c:pt>
                <c:pt idx="20">
                  <c:v>13.536</c:v>
                </c:pt>
                <c:pt idx="21">
                  <c:v>13.552</c:v>
                </c:pt>
                <c:pt idx="22">
                  <c:v>13.569000000000001</c:v>
                </c:pt>
                <c:pt idx="23">
                  <c:v>13.584</c:v>
                </c:pt>
                <c:pt idx="24">
                  <c:v>13.601000000000001</c:v>
                </c:pt>
                <c:pt idx="25">
                  <c:v>13.617000000000001</c:v>
                </c:pt>
                <c:pt idx="26">
                  <c:v>13.756</c:v>
                </c:pt>
                <c:pt idx="27">
                  <c:v>13.74</c:v>
                </c:pt>
                <c:pt idx="28">
                  <c:v>13.724</c:v>
                </c:pt>
                <c:pt idx="29">
                  <c:v>13.707000000000001</c:v>
                </c:pt>
                <c:pt idx="30">
                  <c:v>13.69</c:v>
                </c:pt>
                <c:pt idx="31">
                  <c:v>13.673</c:v>
                </c:pt>
                <c:pt idx="32">
                  <c:v>13.657</c:v>
                </c:pt>
                <c:pt idx="33">
                  <c:v>13.638</c:v>
                </c:pt>
                <c:pt idx="34">
                  <c:v>13.471</c:v>
                </c:pt>
                <c:pt idx="35">
                  <c:v>13.446</c:v>
                </c:pt>
                <c:pt idx="36">
                  <c:v>13.420999999999999</c:v>
                </c:pt>
                <c:pt idx="37">
                  <c:v>13.397</c:v>
                </c:pt>
              </c:numCache>
            </c:numRef>
          </c:xVal>
          <c:yVal>
            <c:numRef>
              <c:f>'DOY170'!$W$48:$W$85</c:f>
              <c:numCache>
                <c:formatCode>0.00</c:formatCode>
                <c:ptCount val="38"/>
                <c:pt idx="0">
                  <c:v>55.819521471105723</c:v>
                </c:pt>
                <c:pt idx="1">
                  <c:v>45.069690649038563</c:v>
                </c:pt>
                <c:pt idx="2">
                  <c:v>33.336679532396886</c:v>
                </c:pt>
                <c:pt idx="3">
                  <c:v>34.544696266079463</c:v>
                </c:pt>
                <c:pt idx="4">
                  <c:v>34.013458535807985</c:v>
                </c:pt>
                <c:pt idx="5">
                  <c:v>32.79833364299666</c:v>
                </c:pt>
                <c:pt idx="6">
                  <c:v>30.618967828303315</c:v>
                </c:pt>
                <c:pt idx="7">
                  <c:v>32.782987018290605</c:v>
                </c:pt>
                <c:pt idx="8">
                  <c:v>31.61151734958251</c:v>
                </c:pt>
                <c:pt idx="9">
                  <c:v>32.381878583986158</c:v>
                </c:pt>
                <c:pt idx="10">
                  <c:v>31.885773872328105</c:v>
                </c:pt>
                <c:pt idx="11">
                  <c:v>33.105058693747488</c:v>
                </c:pt>
                <c:pt idx="12">
                  <c:v>32.896154867635339</c:v>
                </c:pt>
                <c:pt idx="13">
                  <c:v>31.612211258080208</c:v>
                </c:pt>
                <c:pt idx="14">
                  <c:v>33.105134236407402</c:v>
                </c:pt>
                <c:pt idx="15">
                  <c:v>33.51399347538441</c:v>
                </c:pt>
                <c:pt idx="16">
                  <c:v>32.014792046455923</c:v>
                </c:pt>
                <c:pt idx="17">
                  <c:v>33.583537802029362</c:v>
                </c:pt>
                <c:pt idx="18">
                  <c:v>31.933028966911817</c:v>
                </c:pt>
                <c:pt idx="19">
                  <c:v>32.67174238742173</c:v>
                </c:pt>
                <c:pt idx="20">
                  <c:v>32.100163613955353</c:v>
                </c:pt>
                <c:pt idx="21">
                  <c:v>33.633584192835052</c:v>
                </c:pt>
                <c:pt idx="22">
                  <c:v>30.434566860456016</c:v>
                </c:pt>
                <c:pt idx="23">
                  <c:v>32.728611624725126</c:v>
                </c:pt>
                <c:pt idx="24">
                  <c:v>32.526792873813143</c:v>
                </c:pt>
                <c:pt idx="25">
                  <c:v>35.456775043658503</c:v>
                </c:pt>
                <c:pt idx="26">
                  <c:v>32.059644879133863</c:v>
                </c:pt>
                <c:pt idx="27">
                  <c:v>32.60714700209288</c:v>
                </c:pt>
                <c:pt idx="28">
                  <c:v>33.845770875393185</c:v>
                </c:pt>
                <c:pt idx="29">
                  <c:v>33.846144247478236</c:v>
                </c:pt>
                <c:pt idx="30">
                  <c:v>34.124889852719384</c:v>
                </c:pt>
                <c:pt idx="31">
                  <c:v>33.692580946547658</c:v>
                </c:pt>
                <c:pt idx="32">
                  <c:v>32.396272216929134</c:v>
                </c:pt>
                <c:pt idx="33">
                  <c:v>32.854554762718458</c:v>
                </c:pt>
                <c:pt idx="34">
                  <c:v>32.712659150975391</c:v>
                </c:pt>
                <c:pt idx="35">
                  <c:v>32.046637113526664</c:v>
                </c:pt>
                <c:pt idx="36">
                  <c:v>32.013978377100742</c:v>
                </c:pt>
                <c:pt idx="37">
                  <c:v>32.30356743503976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45-4D7A-9F7D-1A203C11F849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('DOY170'!$J$17,'DOY170'!$J$26)</c:f>
              <c:numCache>
                <c:formatCode>0.000</c:formatCode>
                <c:ptCount val="2"/>
                <c:pt idx="0">
                  <c:v>13.13</c:v>
                </c:pt>
                <c:pt idx="1">
                  <c:v>13.499000000000001</c:v>
                </c:pt>
              </c:numCache>
            </c:numRef>
          </c:xVal>
          <c:yVal>
            <c:numRef>
              <c:f>('DOY170'!$W$17,'DOY170'!$W$26)</c:f>
              <c:numCache>
                <c:formatCode>0.00</c:formatCode>
                <c:ptCount val="2"/>
                <c:pt idx="0">
                  <c:v>45.92869033316947</c:v>
                </c:pt>
                <c:pt idx="1">
                  <c:v>43.619901517892693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45-4D7A-9F7D-1A203C11F849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('DOY170'!$J$59,'DOY170'!$J$68)</c:f>
              <c:numCache>
                <c:formatCode>0.000</c:formatCode>
                <c:ptCount val="2"/>
                <c:pt idx="0">
                  <c:v>13.286</c:v>
                </c:pt>
                <c:pt idx="1">
                  <c:v>13.536</c:v>
                </c:pt>
              </c:numCache>
            </c:numRef>
          </c:xVal>
          <c:yVal>
            <c:numRef>
              <c:f>('DOY170'!$W$59,'DOY170'!$W$68)</c:f>
              <c:numCache>
                <c:formatCode>0.00</c:formatCode>
                <c:ptCount val="2"/>
                <c:pt idx="0">
                  <c:v>33.105058693747488</c:v>
                </c:pt>
                <c:pt idx="1">
                  <c:v>32.100163613955353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45-4D7A-9F7D-1A203C11F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762895"/>
        <c:axId val="1"/>
      </c:scatterChart>
      <c:valAx>
        <c:axId val="127876289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76289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'DOY171'!$J$10:$J$39</c:f>
              <c:numCache>
                <c:formatCode>0.000</c:formatCode>
                <c:ptCount val="30"/>
                <c:pt idx="0">
                  <c:v>13.02</c:v>
                </c:pt>
                <c:pt idx="1">
                  <c:v>13.003</c:v>
                </c:pt>
                <c:pt idx="2">
                  <c:v>12.984999999999999</c:v>
                </c:pt>
                <c:pt idx="3">
                  <c:v>12.967000000000001</c:v>
                </c:pt>
                <c:pt idx="4">
                  <c:v>12.948</c:v>
                </c:pt>
                <c:pt idx="5">
                  <c:v>12.929</c:v>
                </c:pt>
                <c:pt idx="6">
                  <c:v>12.911</c:v>
                </c:pt>
                <c:pt idx="7">
                  <c:v>12.895</c:v>
                </c:pt>
                <c:pt idx="8">
                  <c:v>13.042</c:v>
                </c:pt>
                <c:pt idx="9">
                  <c:v>13.057</c:v>
                </c:pt>
                <c:pt idx="10">
                  <c:v>13.073</c:v>
                </c:pt>
                <c:pt idx="11">
                  <c:v>13.089</c:v>
                </c:pt>
                <c:pt idx="12">
                  <c:v>13.103999999999999</c:v>
                </c:pt>
                <c:pt idx="13">
                  <c:v>13.121</c:v>
                </c:pt>
                <c:pt idx="14">
                  <c:v>13.137</c:v>
                </c:pt>
                <c:pt idx="15">
                  <c:v>13.154999999999999</c:v>
                </c:pt>
                <c:pt idx="16">
                  <c:v>13.279</c:v>
                </c:pt>
                <c:pt idx="17">
                  <c:v>13.297000000000001</c:v>
                </c:pt>
                <c:pt idx="18">
                  <c:v>13.314</c:v>
                </c:pt>
                <c:pt idx="19">
                  <c:v>13.331</c:v>
                </c:pt>
                <c:pt idx="20">
                  <c:v>13.348000000000001</c:v>
                </c:pt>
                <c:pt idx="21">
                  <c:v>13.364000000000001</c:v>
                </c:pt>
                <c:pt idx="22">
                  <c:v>13.379</c:v>
                </c:pt>
                <c:pt idx="23">
                  <c:v>13.398</c:v>
                </c:pt>
                <c:pt idx="24">
                  <c:v>13.545999999999999</c:v>
                </c:pt>
                <c:pt idx="25">
                  <c:v>13.529</c:v>
                </c:pt>
                <c:pt idx="26">
                  <c:v>13.510999999999999</c:v>
                </c:pt>
                <c:pt idx="27">
                  <c:v>13.493</c:v>
                </c:pt>
                <c:pt idx="28">
                  <c:v>13.475</c:v>
                </c:pt>
                <c:pt idx="29">
                  <c:v>13.457000000000001</c:v>
                </c:pt>
              </c:numCache>
            </c:numRef>
          </c:xVal>
          <c:yVal>
            <c:numRef>
              <c:f>'DOY171'!$W$10:$W$39</c:f>
              <c:numCache>
                <c:formatCode>0.00</c:formatCode>
                <c:ptCount val="30"/>
                <c:pt idx="0">
                  <c:v>44.325607332655728</c:v>
                </c:pt>
                <c:pt idx="1">
                  <c:v>45.01673222843408</c:v>
                </c:pt>
                <c:pt idx="2">
                  <c:v>41.688795972489714</c:v>
                </c:pt>
                <c:pt idx="3">
                  <c:v>42.358655517428339</c:v>
                </c:pt>
                <c:pt idx="4">
                  <c:v>37.150167171237911</c:v>
                </c:pt>
                <c:pt idx="5">
                  <c:v>42.69520649372739</c:v>
                </c:pt>
                <c:pt idx="6">
                  <c:v>43.317944794452409</c:v>
                </c:pt>
                <c:pt idx="7">
                  <c:v>42.674606495418963</c:v>
                </c:pt>
                <c:pt idx="8">
                  <c:v>38.7561684316914</c:v>
                </c:pt>
                <c:pt idx="9">
                  <c:v>43.261000391430201</c:v>
                </c:pt>
                <c:pt idx="10">
                  <c:v>44.182126650740258</c:v>
                </c:pt>
                <c:pt idx="11">
                  <c:v>37.143409300265617</c:v>
                </c:pt>
                <c:pt idx="12">
                  <c:v>44.866571544806959</c:v>
                </c:pt>
                <c:pt idx="13">
                  <c:v>43.942097453525491</c:v>
                </c:pt>
                <c:pt idx="14">
                  <c:v>42.194426832367576</c:v>
                </c:pt>
                <c:pt idx="15">
                  <c:v>44.89337369717456</c:v>
                </c:pt>
                <c:pt idx="16">
                  <c:v>41.981943074266496</c:v>
                </c:pt>
                <c:pt idx="17">
                  <c:v>43.265590050173898</c:v>
                </c:pt>
                <c:pt idx="18">
                  <c:v>42.527598652232861</c:v>
                </c:pt>
                <c:pt idx="19">
                  <c:v>45.965187047176236</c:v>
                </c:pt>
                <c:pt idx="20">
                  <c:v>38.049345050331986</c:v>
                </c:pt>
                <c:pt idx="21">
                  <c:v>42.905988189294526</c:v>
                </c:pt>
                <c:pt idx="22">
                  <c:v>43.843219957333751</c:v>
                </c:pt>
                <c:pt idx="23">
                  <c:v>44.427430355826338</c:v>
                </c:pt>
                <c:pt idx="24">
                  <c:v>41.490108550808678</c:v>
                </c:pt>
                <c:pt idx="25">
                  <c:v>43.087485144818693</c:v>
                </c:pt>
                <c:pt idx="26">
                  <c:v>43.443511037982518</c:v>
                </c:pt>
                <c:pt idx="27">
                  <c:v>46.060255786706819</c:v>
                </c:pt>
                <c:pt idx="28">
                  <c:v>43.8864830016837</c:v>
                </c:pt>
                <c:pt idx="29">
                  <c:v>43.22453396421232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7-41B6-8282-398B5DDAA037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'DOY171'!$J$48:$J$85</c:f>
              <c:numCache>
                <c:formatCode>0.000</c:formatCode>
                <c:ptCount val="38"/>
                <c:pt idx="0">
                  <c:v>13.207000000000001</c:v>
                </c:pt>
                <c:pt idx="1">
                  <c:v>13.193</c:v>
                </c:pt>
                <c:pt idx="2">
                  <c:v>13.025</c:v>
                </c:pt>
                <c:pt idx="3">
                  <c:v>13.007</c:v>
                </c:pt>
                <c:pt idx="4">
                  <c:v>12.99</c:v>
                </c:pt>
                <c:pt idx="5">
                  <c:v>12.972</c:v>
                </c:pt>
                <c:pt idx="6">
                  <c:v>12.952999999999999</c:v>
                </c:pt>
                <c:pt idx="7">
                  <c:v>12.933</c:v>
                </c:pt>
                <c:pt idx="8">
                  <c:v>12.916</c:v>
                </c:pt>
                <c:pt idx="9">
                  <c:v>12.9</c:v>
                </c:pt>
                <c:pt idx="10">
                  <c:v>13.045999999999999</c:v>
                </c:pt>
                <c:pt idx="11">
                  <c:v>13.061999999999999</c:v>
                </c:pt>
                <c:pt idx="12">
                  <c:v>13.077999999999999</c:v>
                </c:pt>
                <c:pt idx="13">
                  <c:v>13.093999999999999</c:v>
                </c:pt>
                <c:pt idx="14">
                  <c:v>13.109</c:v>
                </c:pt>
                <c:pt idx="15">
                  <c:v>13.125</c:v>
                </c:pt>
                <c:pt idx="16">
                  <c:v>13.141999999999999</c:v>
                </c:pt>
                <c:pt idx="17">
                  <c:v>13.16</c:v>
                </c:pt>
                <c:pt idx="18">
                  <c:v>13.284000000000001</c:v>
                </c:pt>
                <c:pt idx="19">
                  <c:v>13.303000000000001</c:v>
                </c:pt>
                <c:pt idx="20">
                  <c:v>13.319000000000001</c:v>
                </c:pt>
                <c:pt idx="21">
                  <c:v>13.336</c:v>
                </c:pt>
                <c:pt idx="22">
                  <c:v>13.353</c:v>
                </c:pt>
                <c:pt idx="23">
                  <c:v>13.369</c:v>
                </c:pt>
                <c:pt idx="24">
                  <c:v>13.387</c:v>
                </c:pt>
                <c:pt idx="25">
                  <c:v>13.401999999999999</c:v>
                </c:pt>
                <c:pt idx="26">
                  <c:v>13.551</c:v>
                </c:pt>
                <c:pt idx="27">
                  <c:v>13.532999999999999</c:v>
                </c:pt>
                <c:pt idx="28">
                  <c:v>13.515000000000001</c:v>
                </c:pt>
                <c:pt idx="29">
                  <c:v>13.499000000000001</c:v>
                </c:pt>
                <c:pt idx="30">
                  <c:v>13.48</c:v>
                </c:pt>
                <c:pt idx="31">
                  <c:v>13.462</c:v>
                </c:pt>
                <c:pt idx="32">
                  <c:v>13.444000000000001</c:v>
                </c:pt>
                <c:pt idx="33">
                  <c:v>13.427</c:v>
                </c:pt>
                <c:pt idx="34">
                  <c:v>13.260999999999999</c:v>
                </c:pt>
                <c:pt idx="35">
                  <c:v>13.24</c:v>
                </c:pt>
                <c:pt idx="36">
                  <c:v>13.218</c:v>
                </c:pt>
                <c:pt idx="37">
                  <c:v>13.198</c:v>
                </c:pt>
              </c:numCache>
            </c:numRef>
          </c:xVal>
          <c:yVal>
            <c:numRef>
              <c:f>'DOY171'!$W$48:$W$85</c:f>
              <c:numCache>
                <c:formatCode>0.00</c:formatCode>
                <c:ptCount val="38"/>
                <c:pt idx="0">
                  <c:v>52.926906159797539</c:v>
                </c:pt>
                <c:pt idx="1">
                  <c:v>43.290371995149769</c:v>
                </c:pt>
                <c:pt idx="2">
                  <c:v>32.075134506729967</c:v>
                </c:pt>
                <c:pt idx="3">
                  <c:v>31.109623955991484</c:v>
                </c:pt>
                <c:pt idx="4">
                  <c:v>31.254481887767891</c:v>
                </c:pt>
                <c:pt idx="5">
                  <c:v>29.595626589127466</c:v>
                </c:pt>
                <c:pt idx="6">
                  <c:v>28.219625561382372</c:v>
                </c:pt>
                <c:pt idx="7">
                  <c:v>29.474161966495217</c:v>
                </c:pt>
                <c:pt idx="8">
                  <c:v>29.384324023487732</c:v>
                </c:pt>
                <c:pt idx="9">
                  <c:v>30.803166605980891</c:v>
                </c:pt>
                <c:pt idx="10">
                  <c:v>29.439668071047453</c:v>
                </c:pt>
                <c:pt idx="11">
                  <c:v>31.382971705171567</c:v>
                </c:pt>
                <c:pt idx="12">
                  <c:v>30.406913581500735</c:v>
                </c:pt>
                <c:pt idx="13">
                  <c:v>28.626894635090277</c:v>
                </c:pt>
                <c:pt idx="14">
                  <c:v>30.07352997705058</c:v>
                </c:pt>
                <c:pt idx="15">
                  <c:v>30.113946562905397</c:v>
                </c:pt>
                <c:pt idx="16">
                  <c:v>30.414188865121584</c:v>
                </c:pt>
                <c:pt idx="17">
                  <c:v>31.067076331349313</c:v>
                </c:pt>
                <c:pt idx="18">
                  <c:v>30.575876342809796</c:v>
                </c:pt>
                <c:pt idx="19">
                  <c:v>30.180102361759538</c:v>
                </c:pt>
                <c:pt idx="20">
                  <c:v>29.740949474821111</c:v>
                </c:pt>
                <c:pt idx="21">
                  <c:v>30.864042359971801</c:v>
                </c:pt>
                <c:pt idx="22">
                  <c:v>29.554826064053117</c:v>
                </c:pt>
                <c:pt idx="23">
                  <c:v>31.341639300994913</c:v>
                </c:pt>
                <c:pt idx="24">
                  <c:v>33.383166971599586</c:v>
                </c:pt>
                <c:pt idx="25">
                  <c:v>33.762002148060937</c:v>
                </c:pt>
                <c:pt idx="26">
                  <c:v>30.995695272963985</c:v>
                </c:pt>
                <c:pt idx="27">
                  <c:v>29.474500114798662</c:v>
                </c:pt>
                <c:pt idx="28">
                  <c:v>30.735344722256631</c:v>
                </c:pt>
                <c:pt idx="29">
                  <c:v>31.374040903815082</c:v>
                </c:pt>
                <c:pt idx="30">
                  <c:v>31.50413340328198</c:v>
                </c:pt>
                <c:pt idx="31">
                  <c:v>31.573041752198339</c:v>
                </c:pt>
                <c:pt idx="32">
                  <c:v>29.984713523709768</c:v>
                </c:pt>
                <c:pt idx="33">
                  <c:v>30.36638075716662</c:v>
                </c:pt>
                <c:pt idx="34">
                  <c:v>30.794669057138197</c:v>
                </c:pt>
                <c:pt idx="35">
                  <c:v>30.082665076340401</c:v>
                </c:pt>
                <c:pt idx="36">
                  <c:v>30.348755153790439</c:v>
                </c:pt>
                <c:pt idx="37">
                  <c:v>30.54386924634365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D7-41B6-8282-398B5DDAA037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('DOY171'!$J$17,'DOY171'!$J$26)</c:f>
              <c:numCache>
                <c:formatCode>0.000</c:formatCode>
                <c:ptCount val="2"/>
                <c:pt idx="0">
                  <c:v>12.895</c:v>
                </c:pt>
                <c:pt idx="1">
                  <c:v>13.279</c:v>
                </c:pt>
              </c:numCache>
            </c:numRef>
          </c:xVal>
          <c:yVal>
            <c:numRef>
              <c:f>('DOY171'!$W$17,'DOY171'!$W$26)</c:f>
              <c:numCache>
                <c:formatCode>0.00</c:formatCode>
                <c:ptCount val="2"/>
                <c:pt idx="0">
                  <c:v>42.674606495418963</c:v>
                </c:pt>
                <c:pt idx="1">
                  <c:v>41.981943074266496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D7-41B6-8282-398B5DDAA037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('DOY171'!$J$59,'DOY171'!$J$68)</c:f>
              <c:numCache>
                <c:formatCode>0.000</c:formatCode>
                <c:ptCount val="2"/>
                <c:pt idx="0">
                  <c:v>13.061999999999999</c:v>
                </c:pt>
                <c:pt idx="1">
                  <c:v>13.319000000000001</c:v>
                </c:pt>
              </c:numCache>
            </c:numRef>
          </c:xVal>
          <c:yVal>
            <c:numRef>
              <c:f>('DOY171'!$W$59,'DOY171'!$W$68)</c:f>
              <c:numCache>
                <c:formatCode>0.00</c:formatCode>
                <c:ptCount val="2"/>
                <c:pt idx="0">
                  <c:v>31.382971705171567</c:v>
                </c:pt>
                <c:pt idx="1">
                  <c:v>29.740949474821111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D7-41B6-8282-398B5DDAA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562639"/>
        <c:axId val="1"/>
      </c:scatterChart>
      <c:valAx>
        <c:axId val="1735562639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5562639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'DOY173'!$J$10:$J$39</c:f>
              <c:numCache>
                <c:formatCode>0.000</c:formatCode>
                <c:ptCount val="30"/>
                <c:pt idx="0">
                  <c:v>13.275</c:v>
                </c:pt>
                <c:pt idx="1">
                  <c:v>13.255000000000001</c:v>
                </c:pt>
                <c:pt idx="2">
                  <c:v>13.233000000000001</c:v>
                </c:pt>
                <c:pt idx="3">
                  <c:v>13.207000000000001</c:v>
                </c:pt>
                <c:pt idx="4">
                  <c:v>13.183999999999999</c:v>
                </c:pt>
                <c:pt idx="5">
                  <c:v>13.164</c:v>
                </c:pt>
                <c:pt idx="6">
                  <c:v>13.14</c:v>
                </c:pt>
                <c:pt idx="7">
                  <c:v>13.118</c:v>
                </c:pt>
                <c:pt idx="8">
                  <c:v>13.298999999999999</c:v>
                </c:pt>
                <c:pt idx="9">
                  <c:v>13.319000000000001</c:v>
                </c:pt>
                <c:pt idx="10">
                  <c:v>13.339</c:v>
                </c:pt>
                <c:pt idx="11">
                  <c:v>13.358000000000001</c:v>
                </c:pt>
                <c:pt idx="12">
                  <c:v>13.375999999999999</c:v>
                </c:pt>
                <c:pt idx="13">
                  <c:v>13.397</c:v>
                </c:pt>
                <c:pt idx="14">
                  <c:v>13.417</c:v>
                </c:pt>
                <c:pt idx="15">
                  <c:v>13.436999999999999</c:v>
                </c:pt>
                <c:pt idx="16">
                  <c:v>13.608000000000001</c:v>
                </c:pt>
                <c:pt idx="17">
                  <c:v>13.625999999999999</c:v>
                </c:pt>
                <c:pt idx="18">
                  <c:v>13.645</c:v>
                </c:pt>
                <c:pt idx="19">
                  <c:v>13.670999999999999</c:v>
                </c:pt>
                <c:pt idx="20">
                  <c:v>13.693</c:v>
                </c:pt>
                <c:pt idx="21">
                  <c:v>13.721</c:v>
                </c:pt>
                <c:pt idx="22">
                  <c:v>13.743</c:v>
                </c:pt>
                <c:pt idx="23">
                  <c:v>13.765000000000001</c:v>
                </c:pt>
                <c:pt idx="24">
                  <c:v>13.954000000000001</c:v>
                </c:pt>
                <c:pt idx="25">
                  <c:v>13.930999999999999</c:v>
                </c:pt>
                <c:pt idx="26">
                  <c:v>13.909000000000001</c:v>
                </c:pt>
                <c:pt idx="27">
                  <c:v>13.884</c:v>
                </c:pt>
                <c:pt idx="28">
                  <c:v>13.862</c:v>
                </c:pt>
                <c:pt idx="29">
                  <c:v>13.837999999999999</c:v>
                </c:pt>
              </c:numCache>
            </c:numRef>
          </c:xVal>
          <c:yVal>
            <c:numRef>
              <c:f>'DOY173'!$W$10:$W$39</c:f>
              <c:numCache>
                <c:formatCode>0.00</c:formatCode>
                <c:ptCount val="30"/>
                <c:pt idx="0">
                  <c:v>48.840114012981111</c:v>
                </c:pt>
                <c:pt idx="1">
                  <c:v>49.969801673839477</c:v>
                </c:pt>
                <c:pt idx="2">
                  <c:v>43.928515730866856</c:v>
                </c:pt>
                <c:pt idx="3">
                  <c:v>46.575316997392484</c:v>
                </c:pt>
                <c:pt idx="4">
                  <c:v>36.957212045190921</c:v>
                </c:pt>
                <c:pt idx="5">
                  <c:v>45.579794082096129</c:v>
                </c:pt>
                <c:pt idx="6">
                  <c:v>44.639782026864623</c:v>
                </c:pt>
                <c:pt idx="7">
                  <c:v>46.107870419405849</c:v>
                </c:pt>
                <c:pt idx="8">
                  <c:v>38.66938810351639</c:v>
                </c:pt>
                <c:pt idx="9">
                  <c:v>46.501272579222267</c:v>
                </c:pt>
                <c:pt idx="10">
                  <c:v>47.595474671664142</c:v>
                </c:pt>
                <c:pt idx="11">
                  <c:v>38.377668760672222</c:v>
                </c:pt>
                <c:pt idx="12">
                  <c:v>49.097076919688078</c:v>
                </c:pt>
                <c:pt idx="13">
                  <c:v>49.049832262330625</c:v>
                </c:pt>
                <c:pt idx="14">
                  <c:v>45.837063877598325</c:v>
                </c:pt>
                <c:pt idx="15">
                  <c:v>48.761757138072731</c:v>
                </c:pt>
                <c:pt idx="16">
                  <c:v>43.992011510235507</c:v>
                </c:pt>
                <c:pt idx="17">
                  <c:v>47.463727785284924</c:v>
                </c:pt>
                <c:pt idx="18">
                  <c:v>47.666630609834165</c:v>
                </c:pt>
                <c:pt idx="19">
                  <c:v>48.080950795692154</c:v>
                </c:pt>
                <c:pt idx="20">
                  <c:v>39.162799391658758</c:v>
                </c:pt>
                <c:pt idx="21">
                  <c:v>46.329110809614996</c:v>
                </c:pt>
                <c:pt idx="22">
                  <c:v>46.146889310058867</c:v>
                </c:pt>
                <c:pt idx="23">
                  <c:v>46.829623966012001</c:v>
                </c:pt>
                <c:pt idx="24">
                  <c:v>46.881056601094571</c:v>
                </c:pt>
                <c:pt idx="25">
                  <c:v>45.412134665660723</c:v>
                </c:pt>
                <c:pt idx="26">
                  <c:v>44.424731273920543</c:v>
                </c:pt>
                <c:pt idx="27">
                  <c:v>46.554783170386912</c:v>
                </c:pt>
                <c:pt idx="28">
                  <c:v>43.809739943502933</c:v>
                </c:pt>
                <c:pt idx="29">
                  <c:v>47.064229454741131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A-4277-AA65-8946D6D6860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'DOY173'!$J$48:$J$85</c:f>
              <c:numCache>
                <c:formatCode>0.000</c:formatCode>
                <c:ptCount val="38"/>
                <c:pt idx="0">
                  <c:v>13.494</c:v>
                </c:pt>
                <c:pt idx="1">
                  <c:v>13.465</c:v>
                </c:pt>
                <c:pt idx="2">
                  <c:v>13.28</c:v>
                </c:pt>
                <c:pt idx="3">
                  <c:v>13.26</c:v>
                </c:pt>
                <c:pt idx="4">
                  <c:v>13.239000000000001</c:v>
                </c:pt>
                <c:pt idx="5">
                  <c:v>13.215</c:v>
                </c:pt>
                <c:pt idx="6">
                  <c:v>13.192</c:v>
                </c:pt>
                <c:pt idx="7">
                  <c:v>13.170999999999999</c:v>
                </c:pt>
                <c:pt idx="8">
                  <c:v>13.148</c:v>
                </c:pt>
                <c:pt idx="9">
                  <c:v>13.125</c:v>
                </c:pt>
                <c:pt idx="10">
                  <c:v>13.305</c:v>
                </c:pt>
                <c:pt idx="11">
                  <c:v>13.324</c:v>
                </c:pt>
                <c:pt idx="12">
                  <c:v>13.343999999999999</c:v>
                </c:pt>
                <c:pt idx="13">
                  <c:v>13.364000000000001</c:v>
                </c:pt>
                <c:pt idx="14">
                  <c:v>13.381</c:v>
                </c:pt>
                <c:pt idx="15">
                  <c:v>13.401999999999999</c:v>
                </c:pt>
                <c:pt idx="16">
                  <c:v>13.423</c:v>
                </c:pt>
                <c:pt idx="17">
                  <c:v>13.443</c:v>
                </c:pt>
                <c:pt idx="18">
                  <c:v>13.613</c:v>
                </c:pt>
                <c:pt idx="19">
                  <c:v>13.631</c:v>
                </c:pt>
                <c:pt idx="20">
                  <c:v>13.651</c:v>
                </c:pt>
                <c:pt idx="21">
                  <c:v>13.677</c:v>
                </c:pt>
                <c:pt idx="22">
                  <c:v>13.7</c:v>
                </c:pt>
                <c:pt idx="23">
                  <c:v>13.728</c:v>
                </c:pt>
                <c:pt idx="24">
                  <c:v>13.747999999999999</c:v>
                </c:pt>
                <c:pt idx="25">
                  <c:v>13.77</c:v>
                </c:pt>
                <c:pt idx="26">
                  <c:v>13.959</c:v>
                </c:pt>
                <c:pt idx="27">
                  <c:v>13.936</c:v>
                </c:pt>
                <c:pt idx="28">
                  <c:v>13.917</c:v>
                </c:pt>
                <c:pt idx="29">
                  <c:v>13.89</c:v>
                </c:pt>
                <c:pt idx="30">
                  <c:v>13.867000000000001</c:v>
                </c:pt>
                <c:pt idx="31">
                  <c:v>13.843999999999999</c:v>
                </c:pt>
                <c:pt idx="32">
                  <c:v>13.821999999999999</c:v>
                </c:pt>
                <c:pt idx="33">
                  <c:v>13.798</c:v>
                </c:pt>
                <c:pt idx="34">
                  <c:v>13.58</c:v>
                </c:pt>
                <c:pt idx="35">
                  <c:v>13.542999999999999</c:v>
                </c:pt>
                <c:pt idx="36">
                  <c:v>13.510999999999999</c:v>
                </c:pt>
                <c:pt idx="37">
                  <c:v>13.47</c:v>
                </c:pt>
              </c:numCache>
            </c:numRef>
          </c:xVal>
          <c:yVal>
            <c:numRef>
              <c:f>'DOY173'!$W$48:$W$85</c:f>
              <c:numCache>
                <c:formatCode>0.00</c:formatCode>
                <c:ptCount val="38"/>
                <c:pt idx="0">
                  <c:v>60.653364240767786</c:v>
                </c:pt>
                <c:pt idx="1">
                  <c:v>47.275283569204099</c:v>
                </c:pt>
                <c:pt idx="2">
                  <c:v>29.929804491971158</c:v>
                </c:pt>
                <c:pt idx="3">
                  <c:v>30.658789480941692</c:v>
                </c:pt>
                <c:pt idx="4">
                  <c:v>32.701682196600174</c:v>
                </c:pt>
                <c:pt idx="5">
                  <c:v>29.303644077346338</c:v>
                </c:pt>
                <c:pt idx="6">
                  <c:v>28.840252510505149</c:v>
                </c:pt>
                <c:pt idx="7">
                  <c:v>29.98669486354353</c:v>
                </c:pt>
                <c:pt idx="8">
                  <c:v>30.042179806229687</c:v>
                </c:pt>
                <c:pt idx="9">
                  <c:v>30.115959604142603</c:v>
                </c:pt>
                <c:pt idx="10">
                  <c:v>28.318783530651356</c:v>
                </c:pt>
                <c:pt idx="11">
                  <c:v>30.908455085968424</c:v>
                </c:pt>
                <c:pt idx="12">
                  <c:v>29.329217738572108</c:v>
                </c:pt>
                <c:pt idx="13">
                  <c:v>29.335753322779158</c:v>
                </c:pt>
                <c:pt idx="14">
                  <c:v>29.897948857765925</c:v>
                </c:pt>
                <c:pt idx="15">
                  <c:v>29.027235381544418</c:v>
                </c:pt>
                <c:pt idx="16">
                  <c:v>30.181150271380648</c:v>
                </c:pt>
                <c:pt idx="17">
                  <c:v>29.272137158579046</c:v>
                </c:pt>
                <c:pt idx="18">
                  <c:v>28.807121775405662</c:v>
                </c:pt>
                <c:pt idx="19">
                  <c:v>30.2536021327269</c:v>
                </c:pt>
                <c:pt idx="20">
                  <c:v>29.523320908593139</c:v>
                </c:pt>
                <c:pt idx="21">
                  <c:v>28.864522891811372</c:v>
                </c:pt>
                <c:pt idx="22">
                  <c:v>27.933445979150818</c:v>
                </c:pt>
                <c:pt idx="23">
                  <c:v>29.7913201150064</c:v>
                </c:pt>
                <c:pt idx="24">
                  <c:v>30.74753548671929</c:v>
                </c:pt>
                <c:pt idx="25">
                  <c:v>33.178435339583181</c:v>
                </c:pt>
                <c:pt idx="26">
                  <c:v>28.390967691257373</c:v>
                </c:pt>
                <c:pt idx="27">
                  <c:v>29.156929852279131</c:v>
                </c:pt>
                <c:pt idx="28">
                  <c:v>29.677571073265103</c:v>
                </c:pt>
                <c:pt idx="29">
                  <c:v>29.336478932680304</c:v>
                </c:pt>
                <c:pt idx="30">
                  <c:v>30.098545343456081</c:v>
                </c:pt>
                <c:pt idx="31">
                  <c:v>29.548584600540735</c:v>
                </c:pt>
                <c:pt idx="32">
                  <c:v>27.450283680633436</c:v>
                </c:pt>
                <c:pt idx="33">
                  <c:v>28.489789271293755</c:v>
                </c:pt>
                <c:pt idx="34">
                  <c:v>29.91255226068003</c:v>
                </c:pt>
                <c:pt idx="35">
                  <c:v>29.11705923503926</c:v>
                </c:pt>
                <c:pt idx="36">
                  <c:v>30.132038883506141</c:v>
                </c:pt>
                <c:pt idx="37">
                  <c:v>30.10850115685739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9A-4277-AA65-8946D6D6860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('DOY173'!$J$17,'DOY173'!$J$26)</c:f>
              <c:numCache>
                <c:formatCode>0.000</c:formatCode>
                <c:ptCount val="2"/>
                <c:pt idx="0">
                  <c:v>13.118</c:v>
                </c:pt>
                <c:pt idx="1">
                  <c:v>13.608000000000001</c:v>
                </c:pt>
              </c:numCache>
            </c:numRef>
          </c:xVal>
          <c:yVal>
            <c:numRef>
              <c:f>('DOY173'!$W$17,'DOY173'!$W$26)</c:f>
              <c:numCache>
                <c:formatCode>0.00</c:formatCode>
                <c:ptCount val="2"/>
                <c:pt idx="0">
                  <c:v>46.107870419405849</c:v>
                </c:pt>
                <c:pt idx="1">
                  <c:v>43.992011510235507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9A-4277-AA65-8946D6D6860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('DOY173'!$J$59,'DOY173'!$J$68)</c:f>
              <c:numCache>
                <c:formatCode>0.000</c:formatCode>
                <c:ptCount val="2"/>
                <c:pt idx="0">
                  <c:v>13.324</c:v>
                </c:pt>
                <c:pt idx="1">
                  <c:v>13.651</c:v>
                </c:pt>
              </c:numCache>
            </c:numRef>
          </c:xVal>
          <c:yVal>
            <c:numRef>
              <c:f>('DOY173'!$W$59,'DOY173'!$W$68)</c:f>
              <c:numCache>
                <c:formatCode>0.00</c:formatCode>
                <c:ptCount val="2"/>
                <c:pt idx="0">
                  <c:v>30.908455085968424</c:v>
                </c:pt>
                <c:pt idx="1">
                  <c:v>29.523320908593139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9A-4277-AA65-8946D6D6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244544"/>
        <c:axId val="1"/>
      </c:scatterChart>
      <c:valAx>
        <c:axId val="1015244544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5244544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'DOY174'!$J$10:$J$39</c:f>
              <c:numCache>
                <c:formatCode>0.000</c:formatCode>
                <c:ptCount val="30"/>
                <c:pt idx="0">
                  <c:v>13.209</c:v>
                </c:pt>
                <c:pt idx="1">
                  <c:v>13.193</c:v>
                </c:pt>
                <c:pt idx="2">
                  <c:v>13.177</c:v>
                </c:pt>
                <c:pt idx="3">
                  <c:v>13.16</c:v>
                </c:pt>
                <c:pt idx="4">
                  <c:v>13.143000000000001</c:v>
                </c:pt>
                <c:pt idx="5">
                  <c:v>13.125999999999999</c:v>
                </c:pt>
                <c:pt idx="6">
                  <c:v>13.11</c:v>
                </c:pt>
                <c:pt idx="7">
                  <c:v>13.093</c:v>
                </c:pt>
                <c:pt idx="8">
                  <c:v>13.234999999999999</c:v>
                </c:pt>
                <c:pt idx="9">
                  <c:v>13.250999999999999</c:v>
                </c:pt>
                <c:pt idx="10">
                  <c:v>13.269</c:v>
                </c:pt>
                <c:pt idx="11">
                  <c:v>13.286</c:v>
                </c:pt>
                <c:pt idx="12">
                  <c:v>13.301</c:v>
                </c:pt>
                <c:pt idx="13">
                  <c:v>13.317</c:v>
                </c:pt>
                <c:pt idx="14">
                  <c:v>13.334</c:v>
                </c:pt>
                <c:pt idx="15">
                  <c:v>13.351000000000001</c:v>
                </c:pt>
                <c:pt idx="16">
                  <c:v>13.481</c:v>
                </c:pt>
                <c:pt idx="17">
                  <c:v>13.500999999999999</c:v>
                </c:pt>
                <c:pt idx="18">
                  <c:v>13.516999999999999</c:v>
                </c:pt>
                <c:pt idx="19">
                  <c:v>13.534000000000001</c:v>
                </c:pt>
                <c:pt idx="20">
                  <c:v>13.55</c:v>
                </c:pt>
                <c:pt idx="21">
                  <c:v>13.567</c:v>
                </c:pt>
                <c:pt idx="22">
                  <c:v>13.583</c:v>
                </c:pt>
                <c:pt idx="23">
                  <c:v>13.599</c:v>
                </c:pt>
                <c:pt idx="24">
                  <c:v>13.744</c:v>
                </c:pt>
                <c:pt idx="25">
                  <c:v>13.726000000000001</c:v>
                </c:pt>
                <c:pt idx="26">
                  <c:v>13.71</c:v>
                </c:pt>
                <c:pt idx="27">
                  <c:v>13.694000000000001</c:v>
                </c:pt>
                <c:pt idx="28">
                  <c:v>13.677</c:v>
                </c:pt>
                <c:pt idx="29">
                  <c:v>13.66</c:v>
                </c:pt>
              </c:numCache>
            </c:numRef>
          </c:xVal>
          <c:yVal>
            <c:numRef>
              <c:f>'DOY174'!$W$10:$W$39</c:f>
              <c:numCache>
                <c:formatCode>0.00</c:formatCode>
                <c:ptCount val="30"/>
                <c:pt idx="0">
                  <c:v>31.908791241359967</c:v>
                </c:pt>
                <c:pt idx="1">
                  <c:v>31.771511517726239</c:v>
                </c:pt>
                <c:pt idx="2">
                  <c:v>31.305039819653874</c:v>
                </c:pt>
                <c:pt idx="3">
                  <c:v>43.650946386753304</c:v>
                </c:pt>
                <c:pt idx="4">
                  <c:v>37.770289830164423</c:v>
                </c:pt>
                <c:pt idx="5">
                  <c:v>46.860190573573277</c:v>
                </c:pt>
                <c:pt idx="6">
                  <c:v>45.76577915305549</c:v>
                </c:pt>
                <c:pt idx="7">
                  <c:v>32.045602488698286</c:v>
                </c:pt>
                <c:pt idx="8">
                  <c:v>37.880811177732888</c:v>
                </c:pt>
                <c:pt idx="9">
                  <c:v>46.566393404555271</c:v>
                </c:pt>
                <c:pt idx="10">
                  <c:v>32.39789893727189</c:v>
                </c:pt>
                <c:pt idx="11">
                  <c:v>37.871994665196084</c:v>
                </c:pt>
                <c:pt idx="12">
                  <c:v>32.557258122995727</c:v>
                </c:pt>
                <c:pt idx="13">
                  <c:v>44.805601482852666</c:v>
                </c:pt>
                <c:pt idx="14">
                  <c:v>31.913931963815287</c:v>
                </c:pt>
                <c:pt idx="15">
                  <c:v>32.478619392880361</c:v>
                </c:pt>
                <c:pt idx="16">
                  <c:v>46.193890580236832</c:v>
                </c:pt>
                <c:pt idx="17">
                  <c:v>33.741342623675529</c:v>
                </c:pt>
                <c:pt idx="18">
                  <c:v>46.621614987715674</c:v>
                </c:pt>
                <c:pt idx="19">
                  <c:v>33.108509629036497</c:v>
                </c:pt>
                <c:pt idx="20">
                  <c:v>38.289720925781573</c:v>
                </c:pt>
                <c:pt idx="21">
                  <c:v>33.260133672318936</c:v>
                </c:pt>
                <c:pt idx="22">
                  <c:v>45.83521007467121</c:v>
                </c:pt>
                <c:pt idx="23">
                  <c:v>32.538854074045986</c:v>
                </c:pt>
                <c:pt idx="24">
                  <c:v>47.542874278559516</c:v>
                </c:pt>
                <c:pt idx="25">
                  <c:v>44.368226643003304</c:v>
                </c:pt>
                <c:pt idx="26">
                  <c:v>32.628258764539673</c:v>
                </c:pt>
                <c:pt idx="27">
                  <c:v>33.235729440642601</c:v>
                </c:pt>
                <c:pt idx="28">
                  <c:v>32.460012618715808</c:v>
                </c:pt>
                <c:pt idx="29">
                  <c:v>32.25740328237724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95-4C5C-80B5-67DAF339DF2D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'DOY174'!$J$48:$J$85</c:f>
              <c:numCache>
                <c:formatCode>0.000</c:formatCode>
                <c:ptCount val="38"/>
                <c:pt idx="0">
                  <c:v>13.385999999999999</c:v>
                </c:pt>
                <c:pt idx="1">
                  <c:v>13.37</c:v>
                </c:pt>
                <c:pt idx="2">
                  <c:v>13.214</c:v>
                </c:pt>
                <c:pt idx="3">
                  <c:v>13.196999999999999</c:v>
                </c:pt>
                <c:pt idx="4">
                  <c:v>13.180999999999999</c:v>
                </c:pt>
                <c:pt idx="5">
                  <c:v>13.164999999999999</c:v>
                </c:pt>
                <c:pt idx="6">
                  <c:v>13.148</c:v>
                </c:pt>
                <c:pt idx="7">
                  <c:v>13.131</c:v>
                </c:pt>
                <c:pt idx="8">
                  <c:v>13.115</c:v>
                </c:pt>
                <c:pt idx="9">
                  <c:v>13.097</c:v>
                </c:pt>
                <c:pt idx="10">
                  <c:v>13.24</c:v>
                </c:pt>
                <c:pt idx="11">
                  <c:v>13.257999999999999</c:v>
                </c:pt>
                <c:pt idx="12">
                  <c:v>13.275</c:v>
                </c:pt>
                <c:pt idx="13">
                  <c:v>13.29</c:v>
                </c:pt>
                <c:pt idx="14">
                  <c:v>13.305</c:v>
                </c:pt>
                <c:pt idx="15">
                  <c:v>13.321999999999999</c:v>
                </c:pt>
                <c:pt idx="16">
                  <c:v>13.339</c:v>
                </c:pt>
                <c:pt idx="17">
                  <c:v>13.355</c:v>
                </c:pt>
                <c:pt idx="18">
                  <c:v>13.488</c:v>
                </c:pt>
                <c:pt idx="19">
                  <c:v>13.505000000000001</c:v>
                </c:pt>
                <c:pt idx="20">
                  <c:v>13.522</c:v>
                </c:pt>
                <c:pt idx="21">
                  <c:v>13.538</c:v>
                </c:pt>
                <c:pt idx="22">
                  <c:v>13.555</c:v>
                </c:pt>
                <c:pt idx="23">
                  <c:v>13.571</c:v>
                </c:pt>
                <c:pt idx="24">
                  <c:v>13.587</c:v>
                </c:pt>
                <c:pt idx="25">
                  <c:v>13.603</c:v>
                </c:pt>
                <c:pt idx="26">
                  <c:v>13.747999999999999</c:v>
                </c:pt>
                <c:pt idx="27">
                  <c:v>13.731</c:v>
                </c:pt>
                <c:pt idx="28">
                  <c:v>13.714</c:v>
                </c:pt>
                <c:pt idx="29">
                  <c:v>13.698</c:v>
                </c:pt>
                <c:pt idx="30">
                  <c:v>13.682</c:v>
                </c:pt>
                <c:pt idx="31">
                  <c:v>13.664999999999999</c:v>
                </c:pt>
                <c:pt idx="32">
                  <c:v>13.643000000000001</c:v>
                </c:pt>
                <c:pt idx="33">
                  <c:v>13.627000000000001</c:v>
                </c:pt>
                <c:pt idx="34">
                  <c:v>13.458</c:v>
                </c:pt>
                <c:pt idx="35">
                  <c:v>13.433999999999999</c:v>
                </c:pt>
                <c:pt idx="36">
                  <c:v>13.398999999999999</c:v>
                </c:pt>
                <c:pt idx="37">
                  <c:v>13.374000000000001</c:v>
                </c:pt>
              </c:numCache>
            </c:numRef>
          </c:xVal>
          <c:yVal>
            <c:numRef>
              <c:f>'DOY174'!$W$48:$W$85</c:f>
              <c:numCache>
                <c:formatCode>0.00</c:formatCode>
                <c:ptCount val="38"/>
                <c:pt idx="0">
                  <c:v>54.322063248032158</c:v>
                </c:pt>
                <c:pt idx="1">
                  <c:v>45.480124968463343</c:v>
                </c:pt>
                <c:pt idx="2">
                  <c:v>30.853664657438134</c:v>
                </c:pt>
                <c:pt idx="3">
                  <c:v>30.40140185592584</c:v>
                </c:pt>
                <c:pt idx="4">
                  <c:v>30.214292179272785</c:v>
                </c:pt>
                <c:pt idx="5">
                  <c:v>33.670491871673974</c:v>
                </c:pt>
                <c:pt idx="6">
                  <c:v>30.688074384747619</c:v>
                </c:pt>
                <c:pt idx="7">
                  <c:v>32.575454351633979</c:v>
                </c:pt>
                <c:pt idx="8">
                  <c:v>31.851400692088735</c:v>
                </c:pt>
                <c:pt idx="9">
                  <c:v>29.849894788997858</c:v>
                </c:pt>
                <c:pt idx="10">
                  <c:v>31.49841385739559</c:v>
                </c:pt>
                <c:pt idx="11">
                  <c:v>33.311272377295609</c:v>
                </c:pt>
                <c:pt idx="12">
                  <c:v>30.157961865827996</c:v>
                </c:pt>
                <c:pt idx="13">
                  <c:v>31.571341239793572</c:v>
                </c:pt>
                <c:pt idx="14">
                  <c:v>29.533555595527332</c:v>
                </c:pt>
                <c:pt idx="15">
                  <c:v>31.230146950242105</c:v>
                </c:pt>
                <c:pt idx="16">
                  <c:v>29.71193172400092</c:v>
                </c:pt>
                <c:pt idx="17">
                  <c:v>29.614050618933504</c:v>
                </c:pt>
                <c:pt idx="18">
                  <c:v>33.214747387820161</c:v>
                </c:pt>
                <c:pt idx="19">
                  <c:v>30.804845626950982</c:v>
                </c:pt>
                <c:pt idx="20">
                  <c:v>30.966071673100107</c:v>
                </c:pt>
                <c:pt idx="21">
                  <c:v>29.87371430589948</c:v>
                </c:pt>
                <c:pt idx="22">
                  <c:v>30.812846520472974</c:v>
                </c:pt>
                <c:pt idx="23">
                  <c:v>29.102241572715503</c:v>
                </c:pt>
                <c:pt idx="24">
                  <c:v>31.571689955231506</c:v>
                </c:pt>
                <c:pt idx="25">
                  <c:v>30.012529786411367</c:v>
                </c:pt>
                <c:pt idx="26">
                  <c:v>30.902138494865515</c:v>
                </c:pt>
                <c:pt idx="27">
                  <c:v>31.981581251009668</c:v>
                </c:pt>
                <c:pt idx="28">
                  <c:v>29.801783756521058</c:v>
                </c:pt>
                <c:pt idx="29">
                  <c:v>29.045957050186814</c:v>
                </c:pt>
                <c:pt idx="30">
                  <c:v>30.368771298525214</c:v>
                </c:pt>
                <c:pt idx="31">
                  <c:v>29.508943543539502</c:v>
                </c:pt>
                <c:pt idx="32">
                  <c:v>31.482968606101021</c:v>
                </c:pt>
                <c:pt idx="33">
                  <c:v>31.644134771821427</c:v>
                </c:pt>
                <c:pt idx="34">
                  <c:v>30.190916482019446</c:v>
                </c:pt>
                <c:pt idx="35">
                  <c:v>32.093558536536001</c:v>
                </c:pt>
                <c:pt idx="36">
                  <c:v>29.728719001374799</c:v>
                </c:pt>
                <c:pt idx="37">
                  <c:v>31.378326484624264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95-4C5C-80B5-67DAF339DF2D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('DOY174'!$J$17,'DOY174'!$J$26)</c:f>
              <c:numCache>
                <c:formatCode>0.000</c:formatCode>
                <c:ptCount val="2"/>
                <c:pt idx="0">
                  <c:v>13.093</c:v>
                </c:pt>
                <c:pt idx="1">
                  <c:v>13.481</c:v>
                </c:pt>
              </c:numCache>
            </c:numRef>
          </c:xVal>
          <c:yVal>
            <c:numRef>
              <c:f>('DOY174'!$W$17,'DOY174'!$W$26)</c:f>
              <c:numCache>
                <c:formatCode>0.00</c:formatCode>
                <c:ptCount val="2"/>
                <c:pt idx="0">
                  <c:v>32.045602488698286</c:v>
                </c:pt>
                <c:pt idx="1">
                  <c:v>46.193890580236832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95-4C5C-80B5-67DAF339DF2D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('DOY174'!$J$59,'DOY174'!$J$68)</c:f>
              <c:numCache>
                <c:formatCode>0.000</c:formatCode>
                <c:ptCount val="2"/>
                <c:pt idx="0">
                  <c:v>13.257999999999999</c:v>
                </c:pt>
                <c:pt idx="1">
                  <c:v>13.522</c:v>
                </c:pt>
              </c:numCache>
            </c:numRef>
          </c:xVal>
          <c:yVal>
            <c:numRef>
              <c:f>('DOY174'!$W$59,'DOY174'!$W$68)</c:f>
              <c:numCache>
                <c:formatCode>0.00</c:formatCode>
                <c:ptCount val="2"/>
                <c:pt idx="0">
                  <c:v>33.311272377295609</c:v>
                </c:pt>
                <c:pt idx="1">
                  <c:v>30.966071673100107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95-4C5C-80B5-67DAF339D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597520"/>
        <c:axId val="1"/>
      </c:scatterChart>
      <c:valAx>
        <c:axId val="877597520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597520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'DOY175'!$J$10:$J$39</c:f>
              <c:numCache>
                <c:formatCode>0.000</c:formatCode>
                <c:ptCount val="30"/>
                <c:pt idx="0">
                  <c:v>12.978</c:v>
                </c:pt>
                <c:pt idx="1">
                  <c:v>12.962</c:v>
                </c:pt>
                <c:pt idx="2">
                  <c:v>12.946999999999999</c:v>
                </c:pt>
                <c:pt idx="3">
                  <c:v>12.929</c:v>
                </c:pt>
                <c:pt idx="4">
                  <c:v>12.913</c:v>
                </c:pt>
                <c:pt idx="5">
                  <c:v>12.891</c:v>
                </c:pt>
                <c:pt idx="6">
                  <c:v>12.872999999999999</c:v>
                </c:pt>
                <c:pt idx="7">
                  <c:v>12.859</c:v>
                </c:pt>
                <c:pt idx="8">
                  <c:v>12.997999999999999</c:v>
                </c:pt>
                <c:pt idx="9">
                  <c:v>13.012</c:v>
                </c:pt>
                <c:pt idx="10">
                  <c:v>13.026</c:v>
                </c:pt>
                <c:pt idx="11">
                  <c:v>13.04</c:v>
                </c:pt>
                <c:pt idx="12">
                  <c:v>13.053000000000001</c:v>
                </c:pt>
                <c:pt idx="13">
                  <c:v>13.069000000000001</c:v>
                </c:pt>
                <c:pt idx="14">
                  <c:v>13.085000000000001</c:v>
                </c:pt>
                <c:pt idx="15">
                  <c:v>13.1</c:v>
                </c:pt>
                <c:pt idx="16">
                  <c:v>13.209</c:v>
                </c:pt>
                <c:pt idx="17">
                  <c:v>13.223000000000001</c:v>
                </c:pt>
                <c:pt idx="18">
                  <c:v>13.238</c:v>
                </c:pt>
                <c:pt idx="19">
                  <c:v>13.253</c:v>
                </c:pt>
                <c:pt idx="20">
                  <c:v>13.266</c:v>
                </c:pt>
                <c:pt idx="21">
                  <c:v>13.281000000000001</c:v>
                </c:pt>
                <c:pt idx="22">
                  <c:v>13.295</c:v>
                </c:pt>
                <c:pt idx="23">
                  <c:v>13.31</c:v>
                </c:pt>
                <c:pt idx="24">
                  <c:v>13.446999999999999</c:v>
                </c:pt>
                <c:pt idx="25">
                  <c:v>13.429</c:v>
                </c:pt>
                <c:pt idx="26">
                  <c:v>13.414</c:v>
                </c:pt>
                <c:pt idx="27">
                  <c:v>13.397</c:v>
                </c:pt>
                <c:pt idx="28">
                  <c:v>13.382</c:v>
                </c:pt>
                <c:pt idx="29">
                  <c:v>13.366</c:v>
                </c:pt>
              </c:numCache>
            </c:numRef>
          </c:xVal>
          <c:yVal>
            <c:numRef>
              <c:f>'DOY175'!$W$10:$W$39</c:f>
              <c:numCache>
                <c:formatCode>0.00</c:formatCode>
                <c:ptCount val="30"/>
                <c:pt idx="0">
                  <c:v>32.556310181135096</c:v>
                </c:pt>
                <c:pt idx="1">
                  <c:v>32.035915903561488</c:v>
                </c:pt>
                <c:pt idx="2">
                  <c:v>31.912099905036257</c:v>
                </c:pt>
                <c:pt idx="3">
                  <c:v>45.047174632285085</c:v>
                </c:pt>
                <c:pt idx="4">
                  <c:v>39.820347966552539</c:v>
                </c:pt>
                <c:pt idx="5">
                  <c:v>44.621059574684672</c:v>
                </c:pt>
                <c:pt idx="6">
                  <c:v>45.623592087475373</c:v>
                </c:pt>
                <c:pt idx="7">
                  <c:v>32.774516231029146</c:v>
                </c:pt>
                <c:pt idx="8">
                  <c:v>40.607107132026854</c:v>
                </c:pt>
                <c:pt idx="9">
                  <c:v>44.736076737518026</c:v>
                </c:pt>
                <c:pt idx="10">
                  <c:v>33.285011430193116</c:v>
                </c:pt>
                <c:pt idx="11">
                  <c:v>40.384035859056233</c:v>
                </c:pt>
                <c:pt idx="12">
                  <c:v>33.739702722976823</c:v>
                </c:pt>
                <c:pt idx="13">
                  <c:v>46.50639556132262</c:v>
                </c:pt>
                <c:pt idx="14">
                  <c:v>32.311690194353339</c:v>
                </c:pt>
                <c:pt idx="15">
                  <c:v>32.879656957486233</c:v>
                </c:pt>
                <c:pt idx="16">
                  <c:v>43.949752774217131</c:v>
                </c:pt>
                <c:pt idx="17">
                  <c:v>32.894779722708527</c:v>
                </c:pt>
                <c:pt idx="18">
                  <c:v>43.42222178154838</c:v>
                </c:pt>
                <c:pt idx="19">
                  <c:v>32.995318650568912</c:v>
                </c:pt>
                <c:pt idx="20">
                  <c:v>40.10621971975435</c:v>
                </c:pt>
                <c:pt idx="21">
                  <c:v>32.869908587455313</c:v>
                </c:pt>
                <c:pt idx="22">
                  <c:v>44.484536473427454</c:v>
                </c:pt>
                <c:pt idx="23">
                  <c:v>33.073915112146352</c:v>
                </c:pt>
                <c:pt idx="24">
                  <c:v>45.645140736332394</c:v>
                </c:pt>
                <c:pt idx="25">
                  <c:v>45.142089517999892</c:v>
                </c:pt>
                <c:pt idx="26">
                  <c:v>31.82677765083109</c:v>
                </c:pt>
                <c:pt idx="27">
                  <c:v>33.414205723228982</c:v>
                </c:pt>
                <c:pt idx="28">
                  <c:v>32.315659914540696</c:v>
                </c:pt>
                <c:pt idx="29">
                  <c:v>32.979270695667729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0-4AE8-AD5A-458DCD58F1F2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'DOY175'!$J$48:$J$85</c:f>
              <c:numCache>
                <c:formatCode>0.000</c:formatCode>
                <c:ptCount val="38"/>
                <c:pt idx="0">
                  <c:v>13.137</c:v>
                </c:pt>
                <c:pt idx="1">
                  <c:v>13.122</c:v>
                </c:pt>
                <c:pt idx="2">
                  <c:v>12.983000000000001</c:v>
                </c:pt>
                <c:pt idx="3">
                  <c:v>12.967000000000001</c:v>
                </c:pt>
                <c:pt idx="4">
                  <c:v>12.952</c:v>
                </c:pt>
                <c:pt idx="5">
                  <c:v>12.933999999999999</c:v>
                </c:pt>
                <c:pt idx="6">
                  <c:v>12.917</c:v>
                </c:pt>
                <c:pt idx="7">
                  <c:v>12.896000000000001</c:v>
                </c:pt>
                <c:pt idx="8">
                  <c:v>12.878</c:v>
                </c:pt>
                <c:pt idx="9">
                  <c:v>12.863</c:v>
                </c:pt>
                <c:pt idx="10">
                  <c:v>13.003</c:v>
                </c:pt>
                <c:pt idx="11">
                  <c:v>13.016</c:v>
                </c:pt>
                <c:pt idx="12">
                  <c:v>13.03</c:v>
                </c:pt>
                <c:pt idx="13">
                  <c:v>13.045</c:v>
                </c:pt>
                <c:pt idx="14">
                  <c:v>13.058</c:v>
                </c:pt>
                <c:pt idx="15">
                  <c:v>13.074999999999999</c:v>
                </c:pt>
                <c:pt idx="16">
                  <c:v>13.09</c:v>
                </c:pt>
                <c:pt idx="17">
                  <c:v>13.105</c:v>
                </c:pt>
                <c:pt idx="18">
                  <c:v>13.214</c:v>
                </c:pt>
                <c:pt idx="19">
                  <c:v>13.228</c:v>
                </c:pt>
                <c:pt idx="20">
                  <c:v>13.243</c:v>
                </c:pt>
                <c:pt idx="21">
                  <c:v>13.257</c:v>
                </c:pt>
                <c:pt idx="22">
                  <c:v>13.272</c:v>
                </c:pt>
                <c:pt idx="23">
                  <c:v>13.286</c:v>
                </c:pt>
                <c:pt idx="24">
                  <c:v>13.3</c:v>
                </c:pt>
                <c:pt idx="25">
                  <c:v>13.315</c:v>
                </c:pt>
                <c:pt idx="26">
                  <c:v>13.452</c:v>
                </c:pt>
                <c:pt idx="27">
                  <c:v>13.435</c:v>
                </c:pt>
                <c:pt idx="28">
                  <c:v>13.417999999999999</c:v>
                </c:pt>
                <c:pt idx="29">
                  <c:v>13.403</c:v>
                </c:pt>
                <c:pt idx="30">
                  <c:v>13.387</c:v>
                </c:pt>
                <c:pt idx="31">
                  <c:v>13.37</c:v>
                </c:pt>
                <c:pt idx="32">
                  <c:v>13.353999999999999</c:v>
                </c:pt>
                <c:pt idx="33">
                  <c:v>13.337</c:v>
                </c:pt>
                <c:pt idx="34">
                  <c:v>13.19</c:v>
                </c:pt>
                <c:pt idx="35">
                  <c:v>13.167999999999999</c:v>
                </c:pt>
                <c:pt idx="36">
                  <c:v>13.148</c:v>
                </c:pt>
                <c:pt idx="37">
                  <c:v>13.127000000000001</c:v>
                </c:pt>
              </c:numCache>
            </c:numRef>
          </c:xVal>
          <c:yVal>
            <c:numRef>
              <c:f>'DOY175'!$W$48:$W$85</c:f>
              <c:numCache>
                <c:formatCode>0.00</c:formatCode>
                <c:ptCount val="38"/>
                <c:pt idx="0">
                  <c:v>58.376555904310869</c:v>
                </c:pt>
                <c:pt idx="1">
                  <c:v>44.270136164665729</c:v>
                </c:pt>
                <c:pt idx="2">
                  <c:v>28.0209299612922</c:v>
                </c:pt>
                <c:pt idx="3">
                  <c:v>27.152666110611065</c:v>
                </c:pt>
                <c:pt idx="4">
                  <c:v>28.209628230495841</c:v>
                </c:pt>
                <c:pt idx="5">
                  <c:v>30.60510855633785</c:v>
                </c:pt>
                <c:pt idx="6">
                  <c:v>28.004899995222917</c:v>
                </c:pt>
                <c:pt idx="7">
                  <c:v>29.096424508459048</c:v>
                </c:pt>
                <c:pt idx="8">
                  <c:v>29.966116495013882</c:v>
                </c:pt>
                <c:pt idx="9">
                  <c:v>28.397114801612123</c:v>
                </c:pt>
                <c:pt idx="10">
                  <c:v>29.120804083488256</c:v>
                </c:pt>
                <c:pt idx="11">
                  <c:v>31.371502020213779</c:v>
                </c:pt>
                <c:pt idx="12">
                  <c:v>30.094486551560092</c:v>
                </c:pt>
                <c:pt idx="13">
                  <c:v>30.558110595359903</c:v>
                </c:pt>
                <c:pt idx="14">
                  <c:v>28.527175599675569</c:v>
                </c:pt>
                <c:pt idx="15">
                  <c:v>28.999550803545656</c:v>
                </c:pt>
                <c:pt idx="16">
                  <c:v>27.578311054243429</c:v>
                </c:pt>
                <c:pt idx="17">
                  <c:v>28.445905653073989</c:v>
                </c:pt>
                <c:pt idx="18">
                  <c:v>29.593933076284781</c:v>
                </c:pt>
                <c:pt idx="19">
                  <c:v>27.97975606413279</c:v>
                </c:pt>
                <c:pt idx="20">
                  <c:v>28.118585634157313</c:v>
                </c:pt>
                <c:pt idx="21">
                  <c:v>28.843419688935754</c:v>
                </c:pt>
                <c:pt idx="22">
                  <c:v>29.795790573356538</c:v>
                </c:pt>
                <c:pt idx="23">
                  <c:v>28.813314676676509</c:v>
                </c:pt>
                <c:pt idx="24">
                  <c:v>31.37250589798963</c:v>
                </c:pt>
                <c:pt idx="25">
                  <c:v>28.54407911552876</c:v>
                </c:pt>
                <c:pt idx="26">
                  <c:v>28.731914402082964</c:v>
                </c:pt>
                <c:pt idx="27">
                  <c:v>30.742617234552032</c:v>
                </c:pt>
                <c:pt idx="28">
                  <c:v>27.832809362106957</c:v>
                </c:pt>
                <c:pt idx="29">
                  <c:v>27.702452684277986</c:v>
                </c:pt>
                <c:pt idx="30">
                  <c:v>28.355954993965355</c:v>
                </c:pt>
                <c:pt idx="31">
                  <c:v>28.101534178421371</c:v>
                </c:pt>
                <c:pt idx="32">
                  <c:v>28.767181271066505</c:v>
                </c:pt>
                <c:pt idx="33">
                  <c:v>29.414729188943369</c:v>
                </c:pt>
                <c:pt idx="34">
                  <c:v>29.130513330418299</c:v>
                </c:pt>
                <c:pt idx="35">
                  <c:v>29.819673493065064</c:v>
                </c:pt>
                <c:pt idx="36">
                  <c:v>28.763590395001998</c:v>
                </c:pt>
                <c:pt idx="37">
                  <c:v>29.715552683556123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40-4AE8-AD5A-458DCD58F1F2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('DOY175'!$J$17,'DOY175'!$J$26)</c:f>
              <c:numCache>
                <c:formatCode>0.000</c:formatCode>
                <c:ptCount val="2"/>
                <c:pt idx="0">
                  <c:v>12.859</c:v>
                </c:pt>
                <c:pt idx="1">
                  <c:v>13.209</c:v>
                </c:pt>
              </c:numCache>
            </c:numRef>
          </c:xVal>
          <c:yVal>
            <c:numRef>
              <c:f>('DOY175'!$W$17,'DOY175'!$W$26)</c:f>
              <c:numCache>
                <c:formatCode>0.00</c:formatCode>
                <c:ptCount val="2"/>
                <c:pt idx="0">
                  <c:v>32.774516231029146</c:v>
                </c:pt>
                <c:pt idx="1">
                  <c:v>43.949752774217131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40-4AE8-AD5A-458DCD58F1F2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('DOY175'!$J$59,'DOY175'!$J$68)</c:f>
              <c:numCache>
                <c:formatCode>0.000</c:formatCode>
                <c:ptCount val="2"/>
                <c:pt idx="0">
                  <c:v>13.016</c:v>
                </c:pt>
                <c:pt idx="1">
                  <c:v>13.243</c:v>
                </c:pt>
              </c:numCache>
            </c:numRef>
          </c:xVal>
          <c:yVal>
            <c:numRef>
              <c:f>('DOY175'!$W$59,'DOY175'!$W$68)</c:f>
              <c:numCache>
                <c:formatCode>0.00</c:formatCode>
                <c:ptCount val="2"/>
                <c:pt idx="0">
                  <c:v>31.371502020213779</c:v>
                </c:pt>
                <c:pt idx="1">
                  <c:v>28.118585634157313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40-4AE8-AD5A-458DCD58F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99567"/>
        <c:axId val="1"/>
      </c:scatterChart>
      <c:valAx>
        <c:axId val="133209956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209956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'DOY176'!$J$10:$J$39</c:f>
              <c:numCache>
                <c:formatCode>0.000</c:formatCode>
                <c:ptCount val="30"/>
                <c:pt idx="0">
                  <c:v>13.196999999999999</c:v>
                </c:pt>
                <c:pt idx="1">
                  <c:v>13.179</c:v>
                </c:pt>
                <c:pt idx="2">
                  <c:v>13.161</c:v>
                </c:pt>
                <c:pt idx="3">
                  <c:v>13.143000000000001</c:v>
                </c:pt>
                <c:pt idx="4">
                  <c:v>13.125999999999999</c:v>
                </c:pt>
                <c:pt idx="5">
                  <c:v>13.109</c:v>
                </c:pt>
                <c:pt idx="6">
                  <c:v>13.090999999999999</c:v>
                </c:pt>
                <c:pt idx="7">
                  <c:v>13.074999999999999</c:v>
                </c:pt>
                <c:pt idx="8">
                  <c:v>13.226000000000001</c:v>
                </c:pt>
                <c:pt idx="9">
                  <c:v>13.243</c:v>
                </c:pt>
                <c:pt idx="10">
                  <c:v>13.26</c:v>
                </c:pt>
                <c:pt idx="11">
                  <c:v>13.278</c:v>
                </c:pt>
                <c:pt idx="12">
                  <c:v>13.295</c:v>
                </c:pt>
                <c:pt idx="13">
                  <c:v>13.311</c:v>
                </c:pt>
                <c:pt idx="14">
                  <c:v>13.329000000000001</c:v>
                </c:pt>
                <c:pt idx="15">
                  <c:v>13.345000000000001</c:v>
                </c:pt>
                <c:pt idx="16">
                  <c:v>13.48</c:v>
                </c:pt>
                <c:pt idx="17">
                  <c:v>13.497999999999999</c:v>
                </c:pt>
                <c:pt idx="18">
                  <c:v>13.515000000000001</c:v>
                </c:pt>
                <c:pt idx="19">
                  <c:v>13.532</c:v>
                </c:pt>
                <c:pt idx="20">
                  <c:v>13.55</c:v>
                </c:pt>
                <c:pt idx="21">
                  <c:v>13.567</c:v>
                </c:pt>
                <c:pt idx="22">
                  <c:v>13.584</c:v>
                </c:pt>
                <c:pt idx="23">
                  <c:v>13.6</c:v>
                </c:pt>
                <c:pt idx="24">
                  <c:v>13.744</c:v>
                </c:pt>
                <c:pt idx="25">
                  <c:v>13.727</c:v>
                </c:pt>
                <c:pt idx="26">
                  <c:v>13.71</c:v>
                </c:pt>
                <c:pt idx="27">
                  <c:v>13.693</c:v>
                </c:pt>
                <c:pt idx="28">
                  <c:v>13.676</c:v>
                </c:pt>
                <c:pt idx="29">
                  <c:v>13.657999999999999</c:v>
                </c:pt>
              </c:numCache>
            </c:numRef>
          </c:xVal>
          <c:yVal>
            <c:numRef>
              <c:f>'DOY176'!$W$10:$W$39</c:f>
              <c:numCache>
                <c:formatCode>0.00</c:formatCode>
                <c:ptCount val="30"/>
                <c:pt idx="0">
                  <c:v>35.930708314677744</c:v>
                </c:pt>
                <c:pt idx="1">
                  <c:v>35.251927404693824</c:v>
                </c:pt>
                <c:pt idx="2">
                  <c:v>33.801926995812387</c:v>
                </c:pt>
                <c:pt idx="3">
                  <c:v>35.988372036726993</c:v>
                </c:pt>
                <c:pt idx="4">
                  <c:v>32.614096634428996</c:v>
                </c:pt>
                <c:pt idx="5">
                  <c:v>35.142454530039892</c:v>
                </c:pt>
                <c:pt idx="6">
                  <c:v>35.734194642217219</c:v>
                </c:pt>
                <c:pt idx="7">
                  <c:v>34.381596671914423</c:v>
                </c:pt>
                <c:pt idx="8">
                  <c:v>33.511894118225101</c:v>
                </c:pt>
                <c:pt idx="9">
                  <c:v>36.685596118761545</c:v>
                </c:pt>
                <c:pt idx="10">
                  <c:v>35.66071229678834</c:v>
                </c:pt>
                <c:pt idx="11">
                  <c:v>33.116013270052576</c:v>
                </c:pt>
                <c:pt idx="12">
                  <c:v>36.682772744195013</c:v>
                </c:pt>
                <c:pt idx="13">
                  <c:v>49.269079501822972</c:v>
                </c:pt>
                <c:pt idx="14">
                  <c:v>35.03927224584028</c:v>
                </c:pt>
                <c:pt idx="15">
                  <c:v>36.027541700712838</c:v>
                </c:pt>
                <c:pt idx="16">
                  <c:v>46.975783990403478</c:v>
                </c:pt>
                <c:pt idx="17">
                  <c:v>34.74458278432423</c:v>
                </c:pt>
                <c:pt idx="18">
                  <c:v>47.119669810761572</c:v>
                </c:pt>
                <c:pt idx="19">
                  <c:v>35.177992622141815</c:v>
                </c:pt>
                <c:pt idx="20">
                  <c:v>33.575952529354964</c:v>
                </c:pt>
                <c:pt idx="21">
                  <c:v>35.313776907775669</c:v>
                </c:pt>
                <c:pt idx="22">
                  <c:v>35.839831647053892</c:v>
                </c:pt>
                <c:pt idx="23">
                  <c:v>33.72744114954876</c:v>
                </c:pt>
                <c:pt idx="24">
                  <c:v>49.664296505228599</c:v>
                </c:pt>
                <c:pt idx="25">
                  <c:v>47.728087187753466</c:v>
                </c:pt>
                <c:pt idx="26">
                  <c:v>32.290814833603271</c:v>
                </c:pt>
                <c:pt idx="27">
                  <c:v>34.40442602361172</c:v>
                </c:pt>
                <c:pt idx="28">
                  <c:v>33.231165414079349</c:v>
                </c:pt>
                <c:pt idx="29">
                  <c:v>34.703937620830068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E-4660-8830-98FDEF7787A6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'DOY176'!$J$48:$J$85</c:f>
              <c:numCache>
                <c:formatCode>0.000</c:formatCode>
                <c:ptCount val="38"/>
                <c:pt idx="0">
                  <c:v>13.385</c:v>
                </c:pt>
                <c:pt idx="1">
                  <c:v>13.367000000000001</c:v>
                </c:pt>
                <c:pt idx="2">
                  <c:v>13.202</c:v>
                </c:pt>
                <c:pt idx="3">
                  <c:v>13.183999999999999</c:v>
                </c:pt>
                <c:pt idx="4">
                  <c:v>13.166</c:v>
                </c:pt>
                <c:pt idx="5">
                  <c:v>13.148</c:v>
                </c:pt>
                <c:pt idx="6">
                  <c:v>13.13</c:v>
                </c:pt>
                <c:pt idx="7">
                  <c:v>13.114000000000001</c:v>
                </c:pt>
                <c:pt idx="8">
                  <c:v>13.096</c:v>
                </c:pt>
                <c:pt idx="9">
                  <c:v>13.08</c:v>
                </c:pt>
                <c:pt idx="10">
                  <c:v>13.231</c:v>
                </c:pt>
                <c:pt idx="11">
                  <c:v>13.247999999999999</c:v>
                </c:pt>
                <c:pt idx="12">
                  <c:v>13.265000000000001</c:v>
                </c:pt>
                <c:pt idx="13">
                  <c:v>13.282</c:v>
                </c:pt>
                <c:pt idx="14">
                  <c:v>13.298999999999999</c:v>
                </c:pt>
                <c:pt idx="15">
                  <c:v>13.316000000000001</c:v>
                </c:pt>
                <c:pt idx="16">
                  <c:v>13.333</c:v>
                </c:pt>
                <c:pt idx="17">
                  <c:v>13.35</c:v>
                </c:pt>
                <c:pt idx="18">
                  <c:v>13.484999999999999</c:v>
                </c:pt>
                <c:pt idx="19">
                  <c:v>13.502000000000001</c:v>
                </c:pt>
                <c:pt idx="20">
                  <c:v>13.52</c:v>
                </c:pt>
                <c:pt idx="21">
                  <c:v>13.537000000000001</c:v>
                </c:pt>
                <c:pt idx="22">
                  <c:v>13.554</c:v>
                </c:pt>
                <c:pt idx="23">
                  <c:v>13.571</c:v>
                </c:pt>
                <c:pt idx="24">
                  <c:v>13.587999999999999</c:v>
                </c:pt>
                <c:pt idx="25">
                  <c:v>13.605</c:v>
                </c:pt>
                <c:pt idx="26">
                  <c:v>13.749000000000001</c:v>
                </c:pt>
                <c:pt idx="27">
                  <c:v>13.731</c:v>
                </c:pt>
                <c:pt idx="28">
                  <c:v>13.715</c:v>
                </c:pt>
                <c:pt idx="29">
                  <c:v>13.696999999999999</c:v>
                </c:pt>
                <c:pt idx="30">
                  <c:v>13.68</c:v>
                </c:pt>
                <c:pt idx="31">
                  <c:v>13.663</c:v>
                </c:pt>
                <c:pt idx="32">
                  <c:v>13.645</c:v>
                </c:pt>
                <c:pt idx="33">
                  <c:v>13.625999999999999</c:v>
                </c:pt>
                <c:pt idx="34">
                  <c:v>13.456</c:v>
                </c:pt>
                <c:pt idx="35">
                  <c:v>13.43</c:v>
                </c:pt>
                <c:pt idx="36">
                  <c:v>13.401</c:v>
                </c:pt>
                <c:pt idx="37">
                  <c:v>13.372</c:v>
                </c:pt>
              </c:numCache>
            </c:numRef>
          </c:xVal>
          <c:yVal>
            <c:numRef>
              <c:f>'DOY176'!$W$48:$W$85</c:f>
              <c:numCache>
                <c:formatCode>0.00</c:formatCode>
                <c:ptCount val="38"/>
                <c:pt idx="0">
                  <c:v>60.983227867084814</c:v>
                </c:pt>
                <c:pt idx="1">
                  <c:v>45.50580414574393</c:v>
                </c:pt>
                <c:pt idx="2">
                  <c:v>29.131351104429626</c:v>
                </c:pt>
                <c:pt idx="3">
                  <c:v>28.984284641546321</c:v>
                </c:pt>
                <c:pt idx="4">
                  <c:v>29.430874841500984</c:v>
                </c:pt>
                <c:pt idx="5">
                  <c:v>30.299031071177662</c:v>
                </c:pt>
                <c:pt idx="6">
                  <c:v>29.244314655841034</c:v>
                </c:pt>
                <c:pt idx="7">
                  <c:v>29.870077041733655</c:v>
                </c:pt>
                <c:pt idx="8">
                  <c:v>30.016435506606623</c:v>
                </c:pt>
                <c:pt idx="9">
                  <c:v>29.658277820773225</c:v>
                </c:pt>
                <c:pt idx="10">
                  <c:v>29.659412026541052</c:v>
                </c:pt>
                <c:pt idx="11">
                  <c:v>29.910842343026413</c:v>
                </c:pt>
                <c:pt idx="12">
                  <c:v>29.700194939724593</c:v>
                </c:pt>
                <c:pt idx="13">
                  <c:v>30.340296550169253</c:v>
                </c:pt>
                <c:pt idx="14">
                  <c:v>29.723214876783686</c:v>
                </c:pt>
                <c:pt idx="15">
                  <c:v>30.453601772262271</c:v>
                </c:pt>
                <c:pt idx="16">
                  <c:v>29.480993629529525</c:v>
                </c:pt>
                <c:pt idx="17">
                  <c:v>28.543222625644677</c:v>
                </c:pt>
                <c:pt idx="18">
                  <c:v>31.067830319337489</c:v>
                </c:pt>
                <c:pt idx="19">
                  <c:v>28.455174050742944</c:v>
                </c:pt>
                <c:pt idx="20">
                  <c:v>30.112685750585516</c:v>
                </c:pt>
                <c:pt idx="21">
                  <c:v>29.236496925983403</c:v>
                </c:pt>
                <c:pt idx="22">
                  <c:v>30.227357655404976</c:v>
                </c:pt>
                <c:pt idx="23">
                  <c:v>31.099037835961116</c:v>
                </c:pt>
                <c:pt idx="24">
                  <c:v>29.422183561859445</c:v>
                </c:pt>
                <c:pt idx="25">
                  <c:v>30.736169157808025</c:v>
                </c:pt>
                <c:pt idx="26">
                  <c:v>29.74042836191504</c:v>
                </c:pt>
                <c:pt idx="27">
                  <c:v>31.373086538395217</c:v>
                </c:pt>
                <c:pt idx="28">
                  <c:v>27.669902589584083</c:v>
                </c:pt>
                <c:pt idx="29">
                  <c:v>28.869986108811926</c:v>
                </c:pt>
                <c:pt idx="30">
                  <c:v>27.547011403796649</c:v>
                </c:pt>
                <c:pt idx="31">
                  <c:v>30.169227406719958</c:v>
                </c:pt>
                <c:pt idx="32">
                  <c:v>29.724183530777939</c:v>
                </c:pt>
                <c:pt idx="33">
                  <c:v>31.091181359943715</c:v>
                </c:pt>
                <c:pt idx="34">
                  <c:v>28.152585844671577</c:v>
                </c:pt>
                <c:pt idx="35">
                  <c:v>31.323823688259779</c:v>
                </c:pt>
                <c:pt idx="36">
                  <c:v>28.06267393172271</c:v>
                </c:pt>
                <c:pt idx="37">
                  <c:v>30.438026192975752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6E-4660-8830-98FDEF7787A6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('DOY176'!$J$17,'DOY176'!$J$26)</c:f>
              <c:numCache>
                <c:formatCode>0.000</c:formatCode>
                <c:ptCount val="2"/>
                <c:pt idx="0">
                  <c:v>13.074999999999999</c:v>
                </c:pt>
                <c:pt idx="1">
                  <c:v>13.48</c:v>
                </c:pt>
              </c:numCache>
            </c:numRef>
          </c:xVal>
          <c:yVal>
            <c:numRef>
              <c:f>('DOY176'!$W$17,'DOY176'!$W$26)</c:f>
              <c:numCache>
                <c:formatCode>0.00</c:formatCode>
                <c:ptCount val="2"/>
                <c:pt idx="0">
                  <c:v>34.381596671914423</c:v>
                </c:pt>
                <c:pt idx="1">
                  <c:v>46.975783990403478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6E-4660-8830-98FDEF7787A6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('DOY176'!$J$59,'DOY176'!$J$68)</c:f>
              <c:numCache>
                <c:formatCode>0.000</c:formatCode>
                <c:ptCount val="2"/>
                <c:pt idx="0">
                  <c:v>13.247999999999999</c:v>
                </c:pt>
                <c:pt idx="1">
                  <c:v>13.52</c:v>
                </c:pt>
              </c:numCache>
            </c:numRef>
          </c:xVal>
          <c:yVal>
            <c:numRef>
              <c:f>('DOY176'!$W$59,'DOY176'!$W$68)</c:f>
              <c:numCache>
                <c:formatCode>0.00</c:formatCode>
                <c:ptCount val="2"/>
                <c:pt idx="0">
                  <c:v>29.910842343026413</c:v>
                </c:pt>
                <c:pt idx="1">
                  <c:v>30.112685750585516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6E-4660-8830-98FDEF778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293824"/>
        <c:axId val="1"/>
      </c:scatterChart>
      <c:valAx>
        <c:axId val="815293824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5293824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'DOY177'!$J$10:$J$39</c:f>
              <c:numCache>
                <c:formatCode>0.000</c:formatCode>
                <c:ptCount val="30"/>
                <c:pt idx="0">
                  <c:v>12.967000000000001</c:v>
                </c:pt>
                <c:pt idx="1">
                  <c:v>12.952</c:v>
                </c:pt>
                <c:pt idx="2">
                  <c:v>12.938000000000001</c:v>
                </c:pt>
                <c:pt idx="3">
                  <c:v>12.923</c:v>
                </c:pt>
                <c:pt idx="4">
                  <c:v>12.909000000000001</c:v>
                </c:pt>
                <c:pt idx="5">
                  <c:v>12.894</c:v>
                </c:pt>
                <c:pt idx="6">
                  <c:v>12.88</c:v>
                </c:pt>
                <c:pt idx="7">
                  <c:v>12.865</c:v>
                </c:pt>
                <c:pt idx="8">
                  <c:v>12.986000000000001</c:v>
                </c:pt>
                <c:pt idx="9">
                  <c:v>13.000999999999999</c:v>
                </c:pt>
                <c:pt idx="10">
                  <c:v>13.015000000000001</c:v>
                </c:pt>
                <c:pt idx="11">
                  <c:v>13.031000000000001</c:v>
                </c:pt>
                <c:pt idx="12">
                  <c:v>13.045999999999999</c:v>
                </c:pt>
                <c:pt idx="13">
                  <c:v>13.06</c:v>
                </c:pt>
                <c:pt idx="14">
                  <c:v>13.074</c:v>
                </c:pt>
                <c:pt idx="15">
                  <c:v>13.087999999999999</c:v>
                </c:pt>
                <c:pt idx="16">
                  <c:v>13.192</c:v>
                </c:pt>
                <c:pt idx="17">
                  <c:v>13.205</c:v>
                </c:pt>
                <c:pt idx="18">
                  <c:v>13.218</c:v>
                </c:pt>
                <c:pt idx="19">
                  <c:v>13.233000000000001</c:v>
                </c:pt>
                <c:pt idx="20">
                  <c:v>13.247999999999999</c:v>
                </c:pt>
                <c:pt idx="21">
                  <c:v>13.260999999999999</c:v>
                </c:pt>
                <c:pt idx="22">
                  <c:v>13.275</c:v>
                </c:pt>
                <c:pt idx="23">
                  <c:v>13.29</c:v>
                </c:pt>
                <c:pt idx="24">
                  <c:v>13.484999999999999</c:v>
                </c:pt>
                <c:pt idx="25">
                  <c:v>13.468</c:v>
                </c:pt>
                <c:pt idx="26">
                  <c:v>13.451000000000001</c:v>
                </c:pt>
                <c:pt idx="27">
                  <c:v>13.436</c:v>
                </c:pt>
                <c:pt idx="28">
                  <c:v>13.375999999999999</c:v>
                </c:pt>
                <c:pt idx="29">
                  <c:v>13.353</c:v>
                </c:pt>
              </c:numCache>
            </c:numRef>
          </c:xVal>
          <c:yVal>
            <c:numRef>
              <c:f>'DOY177'!$W$10:$W$39</c:f>
              <c:numCache>
                <c:formatCode>0.00</c:formatCode>
                <c:ptCount val="30"/>
                <c:pt idx="0">
                  <c:v>36.901221921504693</c:v>
                </c:pt>
                <c:pt idx="1">
                  <c:v>37.420422112881745</c:v>
                </c:pt>
                <c:pt idx="2">
                  <c:v>33.657164628509967</c:v>
                </c:pt>
                <c:pt idx="3">
                  <c:v>36.286217632397744</c:v>
                </c:pt>
                <c:pt idx="4">
                  <c:v>35.501144178298105</c:v>
                </c:pt>
                <c:pt idx="5">
                  <c:v>35.804814950242303</c:v>
                </c:pt>
                <c:pt idx="6">
                  <c:v>35.375510632641841</c:v>
                </c:pt>
                <c:pt idx="7">
                  <c:v>35.401695238007967</c:v>
                </c:pt>
                <c:pt idx="8">
                  <c:v>34.185269391877831</c:v>
                </c:pt>
                <c:pt idx="9">
                  <c:v>34.182567727828406</c:v>
                </c:pt>
                <c:pt idx="10">
                  <c:v>35.678189666663179</c:v>
                </c:pt>
                <c:pt idx="11">
                  <c:v>32.136949068414474</c:v>
                </c:pt>
                <c:pt idx="12">
                  <c:v>35.724661597517738</c:v>
                </c:pt>
                <c:pt idx="13">
                  <c:v>48.082906249262152</c:v>
                </c:pt>
                <c:pt idx="14">
                  <c:v>34.18146132414477</c:v>
                </c:pt>
                <c:pt idx="15">
                  <c:v>38.245861266823425</c:v>
                </c:pt>
                <c:pt idx="16">
                  <c:v>35.404028625069031</c:v>
                </c:pt>
                <c:pt idx="17">
                  <c:v>34.09055999987379</c:v>
                </c:pt>
                <c:pt idx="18">
                  <c:v>47.564895048984972</c:v>
                </c:pt>
                <c:pt idx="19">
                  <c:v>35.707161227036821</c:v>
                </c:pt>
                <c:pt idx="20">
                  <c:v>33.15509143552876</c:v>
                </c:pt>
                <c:pt idx="21">
                  <c:v>34.809123844584676</c:v>
                </c:pt>
                <c:pt idx="22">
                  <c:v>35.000256077097511</c:v>
                </c:pt>
                <c:pt idx="23">
                  <c:v>35.621373265032197</c:v>
                </c:pt>
                <c:pt idx="24">
                  <c:v>49.4583187278674</c:v>
                </c:pt>
                <c:pt idx="25">
                  <c:v>47.413946106531995</c:v>
                </c:pt>
                <c:pt idx="26">
                  <c:v>35.35299634531939</c:v>
                </c:pt>
                <c:pt idx="27">
                  <c:v>35.564685995615726</c:v>
                </c:pt>
                <c:pt idx="28">
                  <c:v>34.111514250612046</c:v>
                </c:pt>
                <c:pt idx="29">
                  <c:v>34.770102497422684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78-409D-A0AD-0F047050459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'DOY177'!$J$48:$J$85</c:f>
              <c:numCache>
                <c:formatCode>0.000</c:formatCode>
                <c:ptCount val="38"/>
                <c:pt idx="0">
                  <c:v>13.122999999999999</c:v>
                </c:pt>
                <c:pt idx="1">
                  <c:v>13.109</c:v>
                </c:pt>
                <c:pt idx="2">
                  <c:v>12.972</c:v>
                </c:pt>
                <c:pt idx="3">
                  <c:v>12.957000000000001</c:v>
                </c:pt>
                <c:pt idx="4">
                  <c:v>12.943</c:v>
                </c:pt>
                <c:pt idx="5">
                  <c:v>12.928000000000001</c:v>
                </c:pt>
                <c:pt idx="6">
                  <c:v>12.914</c:v>
                </c:pt>
                <c:pt idx="7">
                  <c:v>12.898999999999999</c:v>
                </c:pt>
                <c:pt idx="8">
                  <c:v>12.884</c:v>
                </c:pt>
                <c:pt idx="9">
                  <c:v>12.871</c:v>
                </c:pt>
                <c:pt idx="10">
                  <c:v>12.991</c:v>
                </c:pt>
                <c:pt idx="11">
                  <c:v>13.005000000000001</c:v>
                </c:pt>
                <c:pt idx="12">
                  <c:v>13.022</c:v>
                </c:pt>
                <c:pt idx="13">
                  <c:v>13.036</c:v>
                </c:pt>
                <c:pt idx="14">
                  <c:v>13.05</c:v>
                </c:pt>
                <c:pt idx="15">
                  <c:v>13.065</c:v>
                </c:pt>
                <c:pt idx="16">
                  <c:v>13.08</c:v>
                </c:pt>
                <c:pt idx="17">
                  <c:v>13.093</c:v>
                </c:pt>
                <c:pt idx="18">
                  <c:v>13.196999999999999</c:v>
                </c:pt>
                <c:pt idx="19">
                  <c:v>13.21</c:v>
                </c:pt>
                <c:pt idx="20">
                  <c:v>13.223000000000001</c:v>
                </c:pt>
                <c:pt idx="21">
                  <c:v>13.237</c:v>
                </c:pt>
                <c:pt idx="22">
                  <c:v>13.252000000000001</c:v>
                </c:pt>
                <c:pt idx="23">
                  <c:v>13.266</c:v>
                </c:pt>
                <c:pt idx="24">
                  <c:v>13.281000000000001</c:v>
                </c:pt>
                <c:pt idx="25">
                  <c:v>13.298</c:v>
                </c:pt>
                <c:pt idx="26">
                  <c:v>13.49</c:v>
                </c:pt>
                <c:pt idx="27">
                  <c:v>13.473000000000001</c:v>
                </c:pt>
                <c:pt idx="28">
                  <c:v>13.456</c:v>
                </c:pt>
                <c:pt idx="29">
                  <c:v>13.441000000000001</c:v>
                </c:pt>
                <c:pt idx="30">
                  <c:v>13.382</c:v>
                </c:pt>
                <c:pt idx="31">
                  <c:v>13.36</c:v>
                </c:pt>
                <c:pt idx="32">
                  <c:v>13.337999999999999</c:v>
                </c:pt>
                <c:pt idx="33">
                  <c:v>13.323</c:v>
                </c:pt>
                <c:pt idx="34">
                  <c:v>13.173999999999999</c:v>
                </c:pt>
                <c:pt idx="35">
                  <c:v>13.154</c:v>
                </c:pt>
                <c:pt idx="36">
                  <c:v>13.134</c:v>
                </c:pt>
                <c:pt idx="37">
                  <c:v>13.114000000000001</c:v>
                </c:pt>
              </c:numCache>
            </c:numRef>
          </c:xVal>
          <c:yVal>
            <c:numRef>
              <c:f>'DOY177'!$W$48:$W$85</c:f>
              <c:numCache>
                <c:formatCode>0.00</c:formatCode>
                <c:ptCount val="38"/>
                <c:pt idx="0">
                  <c:v>63.44415332138076</c:v>
                </c:pt>
                <c:pt idx="1">
                  <c:v>47.530505252163501</c:v>
                </c:pt>
                <c:pt idx="2">
                  <c:v>29.06922184407706</c:v>
                </c:pt>
                <c:pt idx="3">
                  <c:v>30.965027339524358</c:v>
                </c:pt>
                <c:pt idx="4">
                  <c:v>29.012451233362157</c:v>
                </c:pt>
                <c:pt idx="5">
                  <c:v>30.779333658891996</c:v>
                </c:pt>
                <c:pt idx="6">
                  <c:v>31.611558862831245</c:v>
                </c:pt>
                <c:pt idx="7">
                  <c:v>31.708967969225096</c:v>
                </c:pt>
                <c:pt idx="8">
                  <c:v>30.716101433911422</c:v>
                </c:pt>
                <c:pt idx="9">
                  <c:v>29.101774909158141</c:v>
                </c:pt>
                <c:pt idx="10">
                  <c:v>28.694629118685871</c:v>
                </c:pt>
                <c:pt idx="11">
                  <c:v>27.992254942838937</c:v>
                </c:pt>
                <c:pt idx="12">
                  <c:v>27.435112070853474</c:v>
                </c:pt>
                <c:pt idx="13">
                  <c:v>27.927085409869864</c:v>
                </c:pt>
                <c:pt idx="14">
                  <c:v>28.97135482852228</c:v>
                </c:pt>
                <c:pt idx="15">
                  <c:v>30.157710067338456</c:v>
                </c:pt>
                <c:pt idx="16">
                  <c:v>30.302641969056239</c:v>
                </c:pt>
                <c:pt idx="17">
                  <c:v>28.082600108301605</c:v>
                </c:pt>
                <c:pt idx="18">
                  <c:v>29.26250782236475</c:v>
                </c:pt>
                <c:pt idx="19">
                  <c:v>29.159193637454653</c:v>
                </c:pt>
                <c:pt idx="20">
                  <c:v>31.467507555653697</c:v>
                </c:pt>
                <c:pt idx="21">
                  <c:v>28.556919664916521</c:v>
                </c:pt>
                <c:pt idx="22">
                  <c:v>28.180558705688558</c:v>
                </c:pt>
                <c:pt idx="23">
                  <c:v>30.50584853696364</c:v>
                </c:pt>
                <c:pt idx="24">
                  <c:v>30.868696080847759</c:v>
                </c:pt>
                <c:pt idx="25">
                  <c:v>28.881492228867668</c:v>
                </c:pt>
                <c:pt idx="26">
                  <c:v>29.352373944397524</c:v>
                </c:pt>
                <c:pt idx="27">
                  <c:v>32.118521116699817</c:v>
                </c:pt>
                <c:pt idx="28">
                  <c:v>29.224838691475455</c:v>
                </c:pt>
                <c:pt idx="29">
                  <c:v>30.748922199732743</c:v>
                </c:pt>
                <c:pt idx="30">
                  <c:v>30.302427103988425</c:v>
                </c:pt>
                <c:pt idx="31">
                  <c:v>30.705658778441702</c:v>
                </c:pt>
                <c:pt idx="32">
                  <c:v>29.622328070690099</c:v>
                </c:pt>
                <c:pt idx="33">
                  <c:v>31.812123647117946</c:v>
                </c:pt>
                <c:pt idx="34">
                  <c:v>29.322272454516437</c:v>
                </c:pt>
                <c:pt idx="35">
                  <c:v>31.892009299102288</c:v>
                </c:pt>
                <c:pt idx="36">
                  <c:v>29.296734017072286</c:v>
                </c:pt>
                <c:pt idx="37">
                  <c:v>30.514698323622422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78-409D-A0AD-0F047050459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('DOY177'!$J$17,'DOY177'!$J$26)</c:f>
              <c:numCache>
                <c:formatCode>0.000</c:formatCode>
                <c:ptCount val="2"/>
                <c:pt idx="0">
                  <c:v>12.865</c:v>
                </c:pt>
                <c:pt idx="1">
                  <c:v>13.192</c:v>
                </c:pt>
              </c:numCache>
            </c:numRef>
          </c:xVal>
          <c:yVal>
            <c:numRef>
              <c:f>('DOY177'!$W$17,'DOY177'!$W$26)</c:f>
              <c:numCache>
                <c:formatCode>0.00</c:formatCode>
                <c:ptCount val="2"/>
                <c:pt idx="0">
                  <c:v>35.401695238007967</c:v>
                </c:pt>
                <c:pt idx="1">
                  <c:v>35.404028625069031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78-409D-A0AD-0F047050459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('DOY177'!$J$59,'DOY177'!$J$68)</c:f>
              <c:numCache>
                <c:formatCode>0.000</c:formatCode>
                <c:ptCount val="2"/>
                <c:pt idx="0">
                  <c:v>13.005000000000001</c:v>
                </c:pt>
                <c:pt idx="1">
                  <c:v>13.223000000000001</c:v>
                </c:pt>
              </c:numCache>
            </c:numRef>
          </c:xVal>
          <c:yVal>
            <c:numRef>
              <c:f>('DOY177'!$W$59,'DOY177'!$W$68)</c:f>
              <c:numCache>
                <c:formatCode>0.00</c:formatCode>
                <c:ptCount val="2"/>
                <c:pt idx="0">
                  <c:v>27.992254942838937</c:v>
                </c:pt>
                <c:pt idx="1">
                  <c:v>31.467507555653697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78-409D-A0AD-0F0470504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80128"/>
        <c:axId val="1"/>
      </c:scatterChart>
      <c:valAx>
        <c:axId val="882980128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80128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'DOY178'!$J$10:$J$39</c:f>
              <c:numCache>
                <c:formatCode>0.000</c:formatCode>
                <c:ptCount val="30"/>
                <c:pt idx="0">
                  <c:v>12.981999999999999</c:v>
                </c:pt>
                <c:pt idx="1">
                  <c:v>12.967000000000001</c:v>
                </c:pt>
                <c:pt idx="2">
                  <c:v>12.952999999999999</c:v>
                </c:pt>
                <c:pt idx="3">
                  <c:v>12.939</c:v>
                </c:pt>
                <c:pt idx="4">
                  <c:v>12.925000000000001</c:v>
                </c:pt>
                <c:pt idx="5">
                  <c:v>12.909000000000001</c:v>
                </c:pt>
                <c:pt idx="6">
                  <c:v>12.893000000000001</c:v>
                </c:pt>
                <c:pt idx="7">
                  <c:v>12.878</c:v>
                </c:pt>
                <c:pt idx="8">
                  <c:v>13</c:v>
                </c:pt>
                <c:pt idx="9">
                  <c:v>13.013999999999999</c:v>
                </c:pt>
                <c:pt idx="10">
                  <c:v>13.028</c:v>
                </c:pt>
                <c:pt idx="11">
                  <c:v>13.042</c:v>
                </c:pt>
                <c:pt idx="12">
                  <c:v>13.055</c:v>
                </c:pt>
                <c:pt idx="13">
                  <c:v>13.068</c:v>
                </c:pt>
                <c:pt idx="14">
                  <c:v>13.083</c:v>
                </c:pt>
                <c:pt idx="15">
                  <c:v>13.097</c:v>
                </c:pt>
                <c:pt idx="16">
                  <c:v>13.206</c:v>
                </c:pt>
                <c:pt idx="17">
                  <c:v>13.22</c:v>
                </c:pt>
                <c:pt idx="18">
                  <c:v>13.234</c:v>
                </c:pt>
                <c:pt idx="19">
                  <c:v>13.249000000000001</c:v>
                </c:pt>
                <c:pt idx="20">
                  <c:v>13.265000000000001</c:v>
                </c:pt>
                <c:pt idx="21">
                  <c:v>13.28</c:v>
                </c:pt>
                <c:pt idx="22">
                  <c:v>13.294</c:v>
                </c:pt>
                <c:pt idx="23">
                  <c:v>13.308</c:v>
                </c:pt>
                <c:pt idx="24">
                  <c:v>13.458</c:v>
                </c:pt>
                <c:pt idx="25">
                  <c:v>13.427</c:v>
                </c:pt>
                <c:pt idx="26">
                  <c:v>13.412000000000001</c:v>
                </c:pt>
                <c:pt idx="27">
                  <c:v>13.396000000000001</c:v>
                </c:pt>
                <c:pt idx="28">
                  <c:v>13.379</c:v>
                </c:pt>
                <c:pt idx="29">
                  <c:v>13.363</c:v>
                </c:pt>
              </c:numCache>
            </c:numRef>
          </c:xVal>
          <c:yVal>
            <c:numRef>
              <c:f>'DOY178'!$W$10:$W$39</c:f>
              <c:numCache>
                <c:formatCode>0.00</c:formatCode>
                <c:ptCount val="30"/>
                <c:pt idx="0">
                  <c:v>42.608436844257717</c:v>
                </c:pt>
                <c:pt idx="1">
                  <c:v>44.050312764394526</c:v>
                </c:pt>
                <c:pt idx="2">
                  <c:v>37.183684851258427</c:v>
                </c:pt>
                <c:pt idx="3">
                  <c:v>36.836959609157987</c:v>
                </c:pt>
                <c:pt idx="4">
                  <c:v>34.887110954515656</c:v>
                </c:pt>
                <c:pt idx="5">
                  <c:v>35.336154302388856</c:v>
                </c:pt>
                <c:pt idx="6">
                  <c:v>35.501849492542</c:v>
                </c:pt>
                <c:pt idx="7">
                  <c:v>38.914864893644328</c:v>
                </c:pt>
                <c:pt idx="8">
                  <c:v>34.642100360699139</c:v>
                </c:pt>
                <c:pt idx="9">
                  <c:v>35.865903639416779</c:v>
                </c:pt>
                <c:pt idx="10">
                  <c:v>40.668758426189292</c:v>
                </c:pt>
                <c:pt idx="11">
                  <c:v>33.935827289169168</c:v>
                </c:pt>
                <c:pt idx="12">
                  <c:v>40.042465668958783</c:v>
                </c:pt>
                <c:pt idx="13">
                  <c:v>49.272621544632251</c:v>
                </c:pt>
                <c:pt idx="14">
                  <c:v>38.600465334763037</c:v>
                </c:pt>
                <c:pt idx="15">
                  <c:v>42.457595145868112</c:v>
                </c:pt>
                <c:pt idx="16">
                  <c:v>36.742840027025345</c:v>
                </c:pt>
                <c:pt idx="17">
                  <c:v>37.376567705717257</c:v>
                </c:pt>
                <c:pt idx="18">
                  <c:v>47.512220229964413</c:v>
                </c:pt>
                <c:pt idx="19">
                  <c:v>40.592765755954986</c:v>
                </c:pt>
                <c:pt idx="20">
                  <c:v>34.804386642674714</c:v>
                </c:pt>
                <c:pt idx="21">
                  <c:v>35.921189756207404</c:v>
                </c:pt>
                <c:pt idx="22">
                  <c:v>35.327138587015405</c:v>
                </c:pt>
                <c:pt idx="23">
                  <c:v>39.138927085701475</c:v>
                </c:pt>
                <c:pt idx="24">
                  <c:v>51.007817098121592</c:v>
                </c:pt>
                <c:pt idx="25">
                  <c:v>35.983537864269586</c:v>
                </c:pt>
                <c:pt idx="26">
                  <c:v>36.80582964980804</c:v>
                </c:pt>
                <c:pt idx="27">
                  <c:v>39.031964535852978</c:v>
                </c:pt>
                <c:pt idx="28">
                  <c:v>34.367539340713172</c:v>
                </c:pt>
                <c:pt idx="29">
                  <c:v>36.56419896630748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4-4ED3-B0CE-C60DE3969AE6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'DOY178'!$J$48:$J$85</c:f>
              <c:numCache>
                <c:formatCode>0.000</c:formatCode>
                <c:ptCount val="38"/>
                <c:pt idx="0">
                  <c:v>13.137</c:v>
                </c:pt>
                <c:pt idx="1">
                  <c:v>13.121</c:v>
                </c:pt>
                <c:pt idx="2">
                  <c:v>12.986000000000001</c:v>
                </c:pt>
                <c:pt idx="3">
                  <c:v>12.972</c:v>
                </c:pt>
                <c:pt idx="4">
                  <c:v>12.958</c:v>
                </c:pt>
                <c:pt idx="5">
                  <c:v>12.944000000000001</c:v>
                </c:pt>
                <c:pt idx="6">
                  <c:v>12.929</c:v>
                </c:pt>
                <c:pt idx="7">
                  <c:v>12.913</c:v>
                </c:pt>
                <c:pt idx="8">
                  <c:v>12.898</c:v>
                </c:pt>
                <c:pt idx="9">
                  <c:v>12.882999999999999</c:v>
                </c:pt>
                <c:pt idx="10">
                  <c:v>13.005000000000001</c:v>
                </c:pt>
                <c:pt idx="11">
                  <c:v>13.019</c:v>
                </c:pt>
                <c:pt idx="12">
                  <c:v>13.032999999999999</c:v>
                </c:pt>
                <c:pt idx="13">
                  <c:v>13.045999999999999</c:v>
                </c:pt>
                <c:pt idx="14">
                  <c:v>13.06</c:v>
                </c:pt>
                <c:pt idx="15">
                  <c:v>13.073</c:v>
                </c:pt>
                <c:pt idx="16">
                  <c:v>13.087999999999999</c:v>
                </c:pt>
                <c:pt idx="17">
                  <c:v>13.102</c:v>
                </c:pt>
                <c:pt idx="18">
                  <c:v>13.211</c:v>
                </c:pt>
                <c:pt idx="19">
                  <c:v>13.226000000000001</c:v>
                </c:pt>
                <c:pt idx="20">
                  <c:v>13.24</c:v>
                </c:pt>
                <c:pt idx="21">
                  <c:v>13.253</c:v>
                </c:pt>
                <c:pt idx="22">
                  <c:v>13.271000000000001</c:v>
                </c:pt>
                <c:pt idx="23">
                  <c:v>13.285</c:v>
                </c:pt>
                <c:pt idx="24">
                  <c:v>13.298999999999999</c:v>
                </c:pt>
                <c:pt idx="25">
                  <c:v>13.313000000000001</c:v>
                </c:pt>
                <c:pt idx="26">
                  <c:v>13.468999999999999</c:v>
                </c:pt>
                <c:pt idx="27">
                  <c:v>13.435</c:v>
                </c:pt>
                <c:pt idx="28">
                  <c:v>13.417</c:v>
                </c:pt>
                <c:pt idx="29">
                  <c:v>13.401</c:v>
                </c:pt>
                <c:pt idx="30">
                  <c:v>13.385</c:v>
                </c:pt>
                <c:pt idx="31">
                  <c:v>13.368</c:v>
                </c:pt>
                <c:pt idx="32">
                  <c:v>13.353</c:v>
                </c:pt>
                <c:pt idx="33">
                  <c:v>13.335000000000001</c:v>
                </c:pt>
                <c:pt idx="34">
                  <c:v>13.188000000000001</c:v>
                </c:pt>
                <c:pt idx="35">
                  <c:v>13.167999999999999</c:v>
                </c:pt>
                <c:pt idx="36">
                  <c:v>13.147</c:v>
                </c:pt>
                <c:pt idx="37">
                  <c:v>13.127000000000001</c:v>
                </c:pt>
              </c:numCache>
            </c:numRef>
          </c:xVal>
          <c:yVal>
            <c:numRef>
              <c:f>'DOY178'!$W$48:$W$85</c:f>
              <c:numCache>
                <c:formatCode>0.00</c:formatCode>
                <c:ptCount val="38"/>
                <c:pt idx="0">
                  <c:v>64.944688438505565</c:v>
                </c:pt>
                <c:pt idx="1">
                  <c:v>49.326664703827277</c:v>
                </c:pt>
                <c:pt idx="2">
                  <c:v>31.842267048371252</c:v>
                </c:pt>
                <c:pt idx="3">
                  <c:v>31.124949748588236</c:v>
                </c:pt>
                <c:pt idx="4">
                  <c:v>30.35659784245485</c:v>
                </c:pt>
                <c:pt idx="5">
                  <c:v>32.436943251216256</c:v>
                </c:pt>
                <c:pt idx="6">
                  <c:v>30.170875982797199</c:v>
                </c:pt>
                <c:pt idx="7">
                  <c:v>30.049957328779882</c:v>
                </c:pt>
                <c:pt idx="8">
                  <c:v>29.253869021229914</c:v>
                </c:pt>
                <c:pt idx="9">
                  <c:v>29.782025047551681</c:v>
                </c:pt>
                <c:pt idx="10">
                  <c:v>30.503002098243893</c:v>
                </c:pt>
                <c:pt idx="11">
                  <c:v>32.955972795723063</c:v>
                </c:pt>
                <c:pt idx="12">
                  <c:v>30.915056134212872</c:v>
                </c:pt>
                <c:pt idx="13">
                  <c:v>30.435204871166761</c:v>
                </c:pt>
                <c:pt idx="14">
                  <c:v>32.203240687073752</c:v>
                </c:pt>
                <c:pt idx="15">
                  <c:v>31.722570659575791</c:v>
                </c:pt>
                <c:pt idx="16">
                  <c:v>32.015155311670114</c:v>
                </c:pt>
                <c:pt idx="17">
                  <c:v>30.171925651489147</c:v>
                </c:pt>
                <c:pt idx="18">
                  <c:v>31.383067111541564</c:v>
                </c:pt>
                <c:pt idx="19">
                  <c:v>30.8503903013208</c:v>
                </c:pt>
                <c:pt idx="20">
                  <c:v>30.713114100065241</c:v>
                </c:pt>
                <c:pt idx="21">
                  <c:v>30.358207569274384</c:v>
                </c:pt>
                <c:pt idx="22">
                  <c:v>31.198039160381615</c:v>
                </c:pt>
                <c:pt idx="23">
                  <c:v>29.739614795657783</c:v>
                </c:pt>
                <c:pt idx="24">
                  <c:v>30.072308013988401</c:v>
                </c:pt>
                <c:pt idx="25">
                  <c:v>31.325341936345058</c:v>
                </c:pt>
                <c:pt idx="26">
                  <c:v>30.877596396353606</c:v>
                </c:pt>
                <c:pt idx="27">
                  <c:v>30.089775110347336</c:v>
                </c:pt>
                <c:pt idx="28">
                  <c:v>28.706329724829668</c:v>
                </c:pt>
                <c:pt idx="29">
                  <c:v>28.389247309567182</c:v>
                </c:pt>
                <c:pt idx="30">
                  <c:v>28.503862856336056</c:v>
                </c:pt>
                <c:pt idx="31">
                  <c:v>28.094769190740791</c:v>
                </c:pt>
                <c:pt idx="32">
                  <c:v>29.6916728373327</c:v>
                </c:pt>
                <c:pt idx="33">
                  <c:v>30.608126785528707</c:v>
                </c:pt>
                <c:pt idx="34">
                  <c:v>30.574312709066007</c:v>
                </c:pt>
                <c:pt idx="35">
                  <c:v>33.525237366737706</c:v>
                </c:pt>
                <c:pt idx="36">
                  <c:v>31.883219035706531</c:v>
                </c:pt>
                <c:pt idx="37">
                  <c:v>33.77824023660137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4-4ED3-B0CE-C60DE3969AE6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('DOY178'!$J$17,'DOY178'!$J$26)</c:f>
              <c:numCache>
                <c:formatCode>0.000</c:formatCode>
                <c:ptCount val="2"/>
                <c:pt idx="0">
                  <c:v>12.878</c:v>
                </c:pt>
                <c:pt idx="1">
                  <c:v>13.206</c:v>
                </c:pt>
              </c:numCache>
            </c:numRef>
          </c:xVal>
          <c:yVal>
            <c:numRef>
              <c:f>('DOY178'!$W$17,'DOY178'!$W$26)</c:f>
              <c:numCache>
                <c:formatCode>0.00</c:formatCode>
                <c:ptCount val="2"/>
                <c:pt idx="0">
                  <c:v>38.914864893644328</c:v>
                </c:pt>
                <c:pt idx="1">
                  <c:v>36.742840027025345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4-4ED3-B0CE-C60DE3969AE6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('DOY178'!$J$59,'DOY178'!$J$68)</c:f>
              <c:numCache>
                <c:formatCode>0.000</c:formatCode>
                <c:ptCount val="2"/>
                <c:pt idx="0">
                  <c:v>13.019</c:v>
                </c:pt>
                <c:pt idx="1">
                  <c:v>13.24</c:v>
                </c:pt>
              </c:numCache>
            </c:numRef>
          </c:xVal>
          <c:yVal>
            <c:numRef>
              <c:f>('DOY178'!$W$59,'DOY178'!$W$68)</c:f>
              <c:numCache>
                <c:formatCode>0.00</c:formatCode>
                <c:ptCount val="2"/>
                <c:pt idx="0">
                  <c:v>32.955972795723063</c:v>
                </c:pt>
                <c:pt idx="1">
                  <c:v>30.713114100065241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4-4ED3-B0CE-C60DE3969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491071"/>
        <c:axId val="1"/>
      </c:scatterChart>
      <c:valAx>
        <c:axId val="132749107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749107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'DOY180'!$J$10:$J$39</c:f>
              <c:numCache>
                <c:formatCode>0.000</c:formatCode>
                <c:ptCount val="30"/>
                <c:pt idx="0">
                  <c:v>13.257999999999999</c:v>
                </c:pt>
                <c:pt idx="1">
                  <c:v>13.24</c:v>
                </c:pt>
                <c:pt idx="2">
                  <c:v>13.22</c:v>
                </c:pt>
                <c:pt idx="3">
                  <c:v>13.204000000000001</c:v>
                </c:pt>
                <c:pt idx="4">
                  <c:v>13.186</c:v>
                </c:pt>
                <c:pt idx="5">
                  <c:v>13.166</c:v>
                </c:pt>
                <c:pt idx="6">
                  <c:v>13.15</c:v>
                </c:pt>
                <c:pt idx="7">
                  <c:v>13.127000000000001</c:v>
                </c:pt>
                <c:pt idx="8">
                  <c:v>13.281000000000001</c:v>
                </c:pt>
                <c:pt idx="9">
                  <c:v>13.298999999999999</c:v>
                </c:pt>
                <c:pt idx="10">
                  <c:v>13.317</c:v>
                </c:pt>
                <c:pt idx="11">
                  <c:v>13.334</c:v>
                </c:pt>
                <c:pt idx="12">
                  <c:v>13.351000000000001</c:v>
                </c:pt>
                <c:pt idx="13">
                  <c:v>13.369</c:v>
                </c:pt>
                <c:pt idx="14">
                  <c:v>13.387</c:v>
                </c:pt>
                <c:pt idx="15">
                  <c:v>13.404999999999999</c:v>
                </c:pt>
                <c:pt idx="16">
                  <c:v>13.558999999999999</c:v>
                </c:pt>
                <c:pt idx="17">
                  <c:v>13.577999999999999</c:v>
                </c:pt>
                <c:pt idx="18">
                  <c:v>13.596</c:v>
                </c:pt>
                <c:pt idx="19">
                  <c:v>13.613</c:v>
                </c:pt>
                <c:pt idx="20">
                  <c:v>13.632999999999999</c:v>
                </c:pt>
                <c:pt idx="21">
                  <c:v>13.651</c:v>
                </c:pt>
                <c:pt idx="22">
                  <c:v>13.667999999999999</c:v>
                </c:pt>
                <c:pt idx="23">
                  <c:v>13.686</c:v>
                </c:pt>
                <c:pt idx="24">
                  <c:v>13.863</c:v>
                </c:pt>
                <c:pt idx="25">
                  <c:v>13.840999999999999</c:v>
                </c:pt>
                <c:pt idx="26">
                  <c:v>13.824</c:v>
                </c:pt>
                <c:pt idx="27">
                  <c:v>13.805</c:v>
                </c:pt>
                <c:pt idx="28">
                  <c:v>13.786</c:v>
                </c:pt>
                <c:pt idx="29">
                  <c:v>13.769</c:v>
                </c:pt>
              </c:numCache>
            </c:numRef>
          </c:xVal>
          <c:yVal>
            <c:numRef>
              <c:f>'DOY180'!$W$10:$W$39</c:f>
              <c:numCache>
                <c:formatCode>0.00</c:formatCode>
                <c:ptCount val="30"/>
                <c:pt idx="0">
                  <c:v>46.792044965687161</c:v>
                </c:pt>
                <c:pt idx="1">
                  <c:v>46.473794563685566</c:v>
                </c:pt>
                <c:pt idx="2">
                  <c:v>37.628417572024802</c:v>
                </c:pt>
                <c:pt idx="3">
                  <c:v>37.965379158804261</c:v>
                </c:pt>
                <c:pt idx="4">
                  <c:v>34.435951798070988</c:v>
                </c:pt>
                <c:pt idx="5">
                  <c:v>38.636457381632447</c:v>
                </c:pt>
                <c:pt idx="6">
                  <c:v>39.977272243104721</c:v>
                </c:pt>
                <c:pt idx="7">
                  <c:v>40.698978114089265</c:v>
                </c:pt>
                <c:pt idx="8">
                  <c:v>32.832988842205957</c:v>
                </c:pt>
                <c:pt idx="9">
                  <c:v>39.655067094218829</c:v>
                </c:pt>
                <c:pt idx="10">
                  <c:v>43.042434240180022</c:v>
                </c:pt>
                <c:pt idx="11">
                  <c:v>32.421616574881675</c:v>
                </c:pt>
                <c:pt idx="12">
                  <c:v>45.298014634931796</c:v>
                </c:pt>
                <c:pt idx="13">
                  <c:v>50.969969219616473</c:v>
                </c:pt>
                <c:pt idx="14">
                  <c:v>41.805145283248599</c:v>
                </c:pt>
                <c:pt idx="15">
                  <c:v>46.524933333616339</c:v>
                </c:pt>
                <c:pt idx="16">
                  <c:v>34.632448235581819</c:v>
                </c:pt>
                <c:pt idx="17">
                  <c:v>41.357063791646205</c:v>
                </c:pt>
                <c:pt idx="18">
                  <c:v>50.234155028319982</c:v>
                </c:pt>
                <c:pt idx="19">
                  <c:v>44.148273386275172</c:v>
                </c:pt>
                <c:pt idx="20">
                  <c:v>33.220527880057084</c:v>
                </c:pt>
                <c:pt idx="21">
                  <c:v>38.941344192878489</c:v>
                </c:pt>
                <c:pt idx="22">
                  <c:v>38.059339480037451</c:v>
                </c:pt>
                <c:pt idx="23">
                  <c:v>40.644456730300668</c:v>
                </c:pt>
                <c:pt idx="24">
                  <c:v>48.798954014798142</c:v>
                </c:pt>
                <c:pt idx="25">
                  <c:v>35.256339484788782</c:v>
                </c:pt>
                <c:pt idx="26">
                  <c:v>37.720598715345631</c:v>
                </c:pt>
                <c:pt idx="27">
                  <c:v>43.000938103981206</c:v>
                </c:pt>
                <c:pt idx="28">
                  <c:v>38.039591832289865</c:v>
                </c:pt>
                <c:pt idx="29">
                  <c:v>40.184612510254532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4E-48EA-9DA9-68306752000A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'DOY180'!$J$48:$J$85</c:f>
              <c:numCache>
                <c:formatCode>0.000</c:formatCode>
                <c:ptCount val="38"/>
                <c:pt idx="0">
                  <c:v>13.461</c:v>
                </c:pt>
                <c:pt idx="1">
                  <c:v>13.442</c:v>
                </c:pt>
                <c:pt idx="2">
                  <c:v>13.263999999999999</c:v>
                </c:pt>
                <c:pt idx="3">
                  <c:v>13.244999999999999</c:v>
                </c:pt>
                <c:pt idx="4">
                  <c:v>13.227</c:v>
                </c:pt>
                <c:pt idx="5">
                  <c:v>13.21</c:v>
                </c:pt>
                <c:pt idx="6">
                  <c:v>13.191000000000001</c:v>
                </c:pt>
                <c:pt idx="7">
                  <c:v>13.172000000000001</c:v>
                </c:pt>
                <c:pt idx="8">
                  <c:v>13.154999999999999</c:v>
                </c:pt>
                <c:pt idx="9">
                  <c:v>13.132999999999999</c:v>
                </c:pt>
                <c:pt idx="10">
                  <c:v>13.286</c:v>
                </c:pt>
                <c:pt idx="11">
                  <c:v>13.304</c:v>
                </c:pt>
                <c:pt idx="12">
                  <c:v>13.321</c:v>
                </c:pt>
                <c:pt idx="13">
                  <c:v>13.339</c:v>
                </c:pt>
                <c:pt idx="14">
                  <c:v>13.356999999999999</c:v>
                </c:pt>
                <c:pt idx="15">
                  <c:v>13.375</c:v>
                </c:pt>
                <c:pt idx="16">
                  <c:v>13.393000000000001</c:v>
                </c:pt>
                <c:pt idx="17">
                  <c:v>13.411</c:v>
                </c:pt>
                <c:pt idx="18">
                  <c:v>13.565</c:v>
                </c:pt>
                <c:pt idx="19">
                  <c:v>13.583</c:v>
                </c:pt>
                <c:pt idx="20">
                  <c:v>13.601000000000001</c:v>
                </c:pt>
                <c:pt idx="21">
                  <c:v>13.619</c:v>
                </c:pt>
                <c:pt idx="22">
                  <c:v>13.638</c:v>
                </c:pt>
                <c:pt idx="23">
                  <c:v>13.656000000000001</c:v>
                </c:pt>
                <c:pt idx="24">
                  <c:v>13.673999999999999</c:v>
                </c:pt>
                <c:pt idx="25">
                  <c:v>13.692</c:v>
                </c:pt>
                <c:pt idx="26">
                  <c:v>13.868</c:v>
                </c:pt>
                <c:pt idx="27">
                  <c:v>13.847</c:v>
                </c:pt>
                <c:pt idx="28">
                  <c:v>13.829000000000001</c:v>
                </c:pt>
                <c:pt idx="29">
                  <c:v>13.81</c:v>
                </c:pt>
                <c:pt idx="30">
                  <c:v>13.791</c:v>
                </c:pt>
                <c:pt idx="31">
                  <c:v>13.773999999999999</c:v>
                </c:pt>
                <c:pt idx="32">
                  <c:v>13.753</c:v>
                </c:pt>
                <c:pt idx="33">
                  <c:v>13.731</c:v>
                </c:pt>
                <c:pt idx="34">
                  <c:v>13.535</c:v>
                </c:pt>
                <c:pt idx="35">
                  <c:v>13.507</c:v>
                </c:pt>
                <c:pt idx="36">
                  <c:v>13.476000000000001</c:v>
                </c:pt>
                <c:pt idx="37">
                  <c:v>13.446999999999999</c:v>
                </c:pt>
              </c:numCache>
            </c:numRef>
          </c:xVal>
          <c:yVal>
            <c:numRef>
              <c:f>'DOY180'!$W$48:$W$85</c:f>
              <c:numCache>
                <c:formatCode>0.00</c:formatCode>
                <c:ptCount val="38"/>
                <c:pt idx="0">
                  <c:v>64.694482281827504</c:v>
                </c:pt>
                <c:pt idx="1">
                  <c:v>48.841062161006533</c:v>
                </c:pt>
                <c:pt idx="2">
                  <c:v>30.606583174937835</c:v>
                </c:pt>
                <c:pt idx="3">
                  <c:v>30.596556913973302</c:v>
                </c:pt>
                <c:pt idx="4">
                  <c:v>30.612805267488572</c:v>
                </c:pt>
                <c:pt idx="5">
                  <c:v>30.945329411667462</c:v>
                </c:pt>
                <c:pt idx="6">
                  <c:v>30.90378918717931</c:v>
                </c:pt>
                <c:pt idx="7">
                  <c:v>30.339644204351018</c:v>
                </c:pt>
                <c:pt idx="8">
                  <c:v>31.179377168869735</c:v>
                </c:pt>
                <c:pt idx="9">
                  <c:v>30.99103465986035</c:v>
                </c:pt>
                <c:pt idx="10">
                  <c:v>30.182283779762951</c:v>
                </c:pt>
                <c:pt idx="11">
                  <c:v>30.144762588756418</c:v>
                </c:pt>
                <c:pt idx="12">
                  <c:v>30.233166923852405</c:v>
                </c:pt>
                <c:pt idx="13">
                  <c:v>29.975720385468179</c:v>
                </c:pt>
                <c:pt idx="14">
                  <c:v>31.445925155480698</c:v>
                </c:pt>
                <c:pt idx="15">
                  <c:v>32.825273638256107</c:v>
                </c:pt>
                <c:pt idx="16">
                  <c:v>30.68362274536814</c:v>
                </c:pt>
                <c:pt idx="17">
                  <c:v>31.124115708726251</c:v>
                </c:pt>
                <c:pt idx="18">
                  <c:v>28.737821745127928</c:v>
                </c:pt>
                <c:pt idx="19">
                  <c:v>29.901671314096507</c:v>
                </c:pt>
                <c:pt idx="20">
                  <c:v>31.678842229293313</c:v>
                </c:pt>
                <c:pt idx="21">
                  <c:v>30.233343042760453</c:v>
                </c:pt>
                <c:pt idx="22">
                  <c:v>30.500845593853025</c:v>
                </c:pt>
                <c:pt idx="23">
                  <c:v>29.510005998700407</c:v>
                </c:pt>
                <c:pt idx="24">
                  <c:v>29.966333624610414</c:v>
                </c:pt>
                <c:pt idx="25">
                  <c:v>29.722196203636702</c:v>
                </c:pt>
                <c:pt idx="26">
                  <c:v>31.364771447358425</c:v>
                </c:pt>
                <c:pt idx="27">
                  <c:v>29.859729538498016</c:v>
                </c:pt>
                <c:pt idx="28">
                  <c:v>29.315849993006967</c:v>
                </c:pt>
                <c:pt idx="29">
                  <c:v>28.518476017428259</c:v>
                </c:pt>
                <c:pt idx="30">
                  <c:v>30.452487994904946</c:v>
                </c:pt>
                <c:pt idx="31">
                  <c:v>29.820499994083434</c:v>
                </c:pt>
                <c:pt idx="32">
                  <c:v>30.565666411384175</c:v>
                </c:pt>
                <c:pt idx="33">
                  <c:v>31.509703349076204</c:v>
                </c:pt>
                <c:pt idx="34">
                  <c:v>30.678010024239256</c:v>
                </c:pt>
                <c:pt idx="35">
                  <c:v>33.551984743653215</c:v>
                </c:pt>
                <c:pt idx="36">
                  <c:v>30.896957723206739</c:v>
                </c:pt>
                <c:pt idx="37">
                  <c:v>33.299207305991857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4E-48EA-9DA9-68306752000A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('DOY180'!$J$17,'DOY180'!$J$26)</c:f>
              <c:numCache>
                <c:formatCode>0.000</c:formatCode>
                <c:ptCount val="2"/>
                <c:pt idx="0">
                  <c:v>13.127000000000001</c:v>
                </c:pt>
                <c:pt idx="1">
                  <c:v>13.558999999999999</c:v>
                </c:pt>
              </c:numCache>
            </c:numRef>
          </c:xVal>
          <c:yVal>
            <c:numRef>
              <c:f>('DOY180'!$W$17,'DOY180'!$W$26)</c:f>
              <c:numCache>
                <c:formatCode>0.00</c:formatCode>
                <c:ptCount val="2"/>
                <c:pt idx="0">
                  <c:v>40.698978114089265</c:v>
                </c:pt>
                <c:pt idx="1">
                  <c:v>34.632448235581819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4E-48EA-9DA9-68306752000A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('DOY180'!$J$59,'DOY180'!$J$68)</c:f>
              <c:numCache>
                <c:formatCode>0.000</c:formatCode>
                <c:ptCount val="2"/>
                <c:pt idx="0">
                  <c:v>13.304</c:v>
                </c:pt>
                <c:pt idx="1">
                  <c:v>13.601000000000001</c:v>
                </c:pt>
              </c:numCache>
            </c:numRef>
          </c:xVal>
          <c:yVal>
            <c:numRef>
              <c:f>('DOY180'!$W$59,'DOY180'!$W$68)</c:f>
              <c:numCache>
                <c:formatCode>0.00</c:formatCode>
                <c:ptCount val="2"/>
                <c:pt idx="0">
                  <c:v>30.144762588756418</c:v>
                </c:pt>
                <c:pt idx="1">
                  <c:v>31.678842229293313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4E-48EA-9DA9-683067520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200832"/>
        <c:axId val="1"/>
      </c:scatterChart>
      <c:valAx>
        <c:axId val="882200832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200832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'DOY181'!$J$10:$J$39</c:f>
              <c:numCache>
                <c:formatCode>0.000</c:formatCode>
                <c:ptCount val="30"/>
                <c:pt idx="0">
                  <c:v>13.223000000000001</c:v>
                </c:pt>
                <c:pt idx="1">
                  <c:v>13.204000000000001</c:v>
                </c:pt>
                <c:pt idx="2">
                  <c:v>13.186</c:v>
                </c:pt>
                <c:pt idx="3">
                  <c:v>13.169</c:v>
                </c:pt>
                <c:pt idx="4">
                  <c:v>13.151</c:v>
                </c:pt>
                <c:pt idx="5">
                  <c:v>13.134</c:v>
                </c:pt>
                <c:pt idx="6">
                  <c:v>13.115</c:v>
                </c:pt>
                <c:pt idx="7">
                  <c:v>13.098000000000001</c:v>
                </c:pt>
                <c:pt idx="8">
                  <c:v>13.244</c:v>
                </c:pt>
                <c:pt idx="9">
                  <c:v>13.260999999999999</c:v>
                </c:pt>
                <c:pt idx="10">
                  <c:v>13.278</c:v>
                </c:pt>
                <c:pt idx="11">
                  <c:v>13.295</c:v>
                </c:pt>
                <c:pt idx="12">
                  <c:v>13.311</c:v>
                </c:pt>
                <c:pt idx="13">
                  <c:v>13.329000000000001</c:v>
                </c:pt>
                <c:pt idx="14">
                  <c:v>13.346</c:v>
                </c:pt>
                <c:pt idx="15">
                  <c:v>13.363</c:v>
                </c:pt>
                <c:pt idx="16">
                  <c:v>13.491</c:v>
                </c:pt>
                <c:pt idx="17">
                  <c:v>13.509</c:v>
                </c:pt>
                <c:pt idx="18">
                  <c:v>13.526999999999999</c:v>
                </c:pt>
                <c:pt idx="19">
                  <c:v>13.544</c:v>
                </c:pt>
                <c:pt idx="20">
                  <c:v>13.56</c:v>
                </c:pt>
                <c:pt idx="21">
                  <c:v>13.577</c:v>
                </c:pt>
                <c:pt idx="22">
                  <c:v>13.593</c:v>
                </c:pt>
                <c:pt idx="23">
                  <c:v>13.61</c:v>
                </c:pt>
                <c:pt idx="24">
                  <c:v>13.752000000000001</c:v>
                </c:pt>
                <c:pt idx="25">
                  <c:v>13.734999999999999</c:v>
                </c:pt>
                <c:pt idx="26">
                  <c:v>13.718</c:v>
                </c:pt>
                <c:pt idx="27">
                  <c:v>13.701000000000001</c:v>
                </c:pt>
                <c:pt idx="28">
                  <c:v>13.683999999999999</c:v>
                </c:pt>
                <c:pt idx="29">
                  <c:v>13.667</c:v>
                </c:pt>
              </c:numCache>
            </c:numRef>
          </c:xVal>
          <c:yVal>
            <c:numRef>
              <c:f>'DOY181'!$W$10:$W$39</c:f>
              <c:numCache>
                <c:formatCode>0.00</c:formatCode>
                <c:ptCount val="30"/>
                <c:pt idx="0">
                  <c:v>45.871726074978248</c:v>
                </c:pt>
                <c:pt idx="1">
                  <c:v>44.830134417610338</c:v>
                </c:pt>
                <c:pt idx="2">
                  <c:v>38.947553004872951</c:v>
                </c:pt>
                <c:pt idx="3">
                  <c:v>40.703372459435641</c:v>
                </c:pt>
                <c:pt idx="4">
                  <c:v>33.721826204917051</c:v>
                </c:pt>
                <c:pt idx="5">
                  <c:v>39.166873257089172</c:v>
                </c:pt>
                <c:pt idx="6">
                  <c:v>44.416868176704675</c:v>
                </c:pt>
                <c:pt idx="7">
                  <c:v>42.382838076486088</c:v>
                </c:pt>
                <c:pt idx="8">
                  <c:v>35.118245704978847</c:v>
                </c:pt>
                <c:pt idx="9">
                  <c:v>44.214855318052734</c:v>
                </c:pt>
                <c:pt idx="10">
                  <c:v>41.689444392230989</c:v>
                </c:pt>
                <c:pt idx="11">
                  <c:v>33.877383925768932</c:v>
                </c:pt>
                <c:pt idx="12">
                  <c:v>45.504300193367129</c:v>
                </c:pt>
                <c:pt idx="13">
                  <c:v>52.010371434109366</c:v>
                </c:pt>
                <c:pt idx="14">
                  <c:v>41.967834237277884</c:v>
                </c:pt>
                <c:pt idx="15">
                  <c:v>47.987489944892339</c:v>
                </c:pt>
                <c:pt idx="16">
                  <c:v>35.341277036012265</c:v>
                </c:pt>
                <c:pt idx="17">
                  <c:v>43.039102372546836</c:v>
                </c:pt>
                <c:pt idx="18">
                  <c:v>49.625215510644033</c:v>
                </c:pt>
                <c:pt idx="19">
                  <c:v>44.062492459146917</c:v>
                </c:pt>
                <c:pt idx="20">
                  <c:v>33.243135753945531</c:v>
                </c:pt>
                <c:pt idx="21">
                  <c:v>40.657915415386647</c:v>
                </c:pt>
                <c:pt idx="22">
                  <c:v>40.271623611391483</c:v>
                </c:pt>
                <c:pt idx="23">
                  <c:v>36.820394241608248</c:v>
                </c:pt>
                <c:pt idx="24">
                  <c:v>52.35136891237903</c:v>
                </c:pt>
                <c:pt idx="25">
                  <c:v>35.785383959363486</c:v>
                </c:pt>
                <c:pt idx="26">
                  <c:v>41.061725071845302</c:v>
                </c:pt>
                <c:pt idx="27">
                  <c:v>43.553082022548288</c:v>
                </c:pt>
                <c:pt idx="28">
                  <c:v>38.049269809831742</c:v>
                </c:pt>
                <c:pt idx="29">
                  <c:v>42.075408927044172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AB-4DE5-92FA-B120A11023BE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'DOY181'!$J$48:$J$85</c:f>
              <c:numCache>
                <c:formatCode>0.000</c:formatCode>
                <c:ptCount val="38"/>
                <c:pt idx="0">
                  <c:v>13.4</c:v>
                </c:pt>
                <c:pt idx="1">
                  <c:v>13.382999999999999</c:v>
                </c:pt>
                <c:pt idx="2">
                  <c:v>13.227</c:v>
                </c:pt>
                <c:pt idx="3">
                  <c:v>13.208</c:v>
                </c:pt>
                <c:pt idx="4">
                  <c:v>13.191000000000001</c:v>
                </c:pt>
                <c:pt idx="5">
                  <c:v>13.173999999999999</c:v>
                </c:pt>
                <c:pt idx="6">
                  <c:v>13.156000000000001</c:v>
                </c:pt>
                <c:pt idx="7">
                  <c:v>13.138</c:v>
                </c:pt>
                <c:pt idx="8">
                  <c:v>13.12</c:v>
                </c:pt>
                <c:pt idx="9">
                  <c:v>13.102</c:v>
                </c:pt>
                <c:pt idx="10">
                  <c:v>13.247999999999999</c:v>
                </c:pt>
                <c:pt idx="11">
                  <c:v>13.265000000000001</c:v>
                </c:pt>
                <c:pt idx="12">
                  <c:v>13.282999999999999</c:v>
                </c:pt>
                <c:pt idx="13">
                  <c:v>13.3</c:v>
                </c:pt>
                <c:pt idx="14">
                  <c:v>13.316000000000001</c:v>
                </c:pt>
                <c:pt idx="15">
                  <c:v>13.334</c:v>
                </c:pt>
                <c:pt idx="16">
                  <c:v>13.351000000000001</c:v>
                </c:pt>
                <c:pt idx="17">
                  <c:v>13.368</c:v>
                </c:pt>
                <c:pt idx="18">
                  <c:v>13.497999999999999</c:v>
                </c:pt>
                <c:pt idx="19">
                  <c:v>13.513999999999999</c:v>
                </c:pt>
                <c:pt idx="20">
                  <c:v>13.531000000000001</c:v>
                </c:pt>
                <c:pt idx="21">
                  <c:v>13.548</c:v>
                </c:pt>
                <c:pt idx="22">
                  <c:v>13.565</c:v>
                </c:pt>
                <c:pt idx="23">
                  <c:v>13.581</c:v>
                </c:pt>
                <c:pt idx="24">
                  <c:v>13.598000000000001</c:v>
                </c:pt>
                <c:pt idx="25">
                  <c:v>13.614000000000001</c:v>
                </c:pt>
                <c:pt idx="26">
                  <c:v>13.756</c:v>
                </c:pt>
                <c:pt idx="27">
                  <c:v>13.739000000000001</c:v>
                </c:pt>
                <c:pt idx="28">
                  <c:v>13.722</c:v>
                </c:pt>
                <c:pt idx="29">
                  <c:v>13.705</c:v>
                </c:pt>
                <c:pt idx="30">
                  <c:v>13.688000000000001</c:v>
                </c:pt>
                <c:pt idx="31">
                  <c:v>13.670999999999999</c:v>
                </c:pt>
                <c:pt idx="32">
                  <c:v>13.654999999999999</c:v>
                </c:pt>
                <c:pt idx="33">
                  <c:v>13.635999999999999</c:v>
                </c:pt>
                <c:pt idx="34">
                  <c:v>13.465</c:v>
                </c:pt>
                <c:pt idx="35">
                  <c:v>13.439</c:v>
                </c:pt>
                <c:pt idx="36">
                  <c:v>13.413</c:v>
                </c:pt>
                <c:pt idx="37">
                  <c:v>13.388</c:v>
                </c:pt>
              </c:numCache>
            </c:numRef>
          </c:xVal>
          <c:yVal>
            <c:numRef>
              <c:f>'DOY181'!$W$48:$W$85</c:f>
              <c:numCache>
                <c:formatCode>0.00</c:formatCode>
                <c:ptCount val="38"/>
                <c:pt idx="0">
                  <c:v>62.407466653939672</c:v>
                </c:pt>
                <c:pt idx="1">
                  <c:v>52.628277408938693</c:v>
                </c:pt>
                <c:pt idx="2">
                  <c:v>31.785746526505779</c:v>
                </c:pt>
                <c:pt idx="3">
                  <c:v>30.509988546855553</c:v>
                </c:pt>
                <c:pt idx="4">
                  <c:v>29.830696138156071</c:v>
                </c:pt>
                <c:pt idx="5">
                  <c:v>29.058723227273251</c:v>
                </c:pt>
                <c:pt idx="6">
                  <c:v>28.748817469043107</c:v>
                </c:pt>
                <c:pt idx="7">
                  <c:v>29.50617288749919</c:v>
                </c:pt>
                <c:pt idx="8">
                  <c:v>30.292418097748982</c:v>
                </c:pt>
                <c:pt idx="9">
                  <c:v>30.559984051648453</c:v>
                </c:pt>
                <c:pt idx="10">
                  <c:v>30.832461773422782</c:v>
                </c:pt>
                <c:pt idx="11">
                  <c:v>31.811144068823495</c:v>
                </c:pt>
                <c:pt idx="12">
                  <c:v>30.736704662386405</c:v>
                </c:pt>
                <c:pt idx="13">
                  <c:v>29.904409010883938</c:v>
                </c:pt>
                <c:pt idx="14">
                  <c:v>31.057219446696166</c:v>
                </c:pt>
                <c:pt idx="15">
                  <c:v>34.949838283641789</c:v>
                </c:pt>
                <c:pt idx="16">
                  <c:v>33.929894408568735</c:v>
                </c:pt>
                <c:pt idx="17">
                  <c:v>32.299279588363007</c:v>
                </c:pt>
                <c:pt idx="18">
                  <c:v>29.164411495063813</c:v>
                </c:pt>
                <c:pt idx="19">
                  <c:v>29.42495577657002</c:v>
                </c:pt>
                <c:pt idx="20">
                  <c:v>34.352652574827665</c:v>
                </c:pt>
                <c:pt idx="21">
                  <c:v>30.210679674852006</c:v>
                </c:pt>
                <c:pt idx="22">
                  <c:v>29.098495217924608</c:v>
                </c:pt>
                <c:pt idx="23">
                  <c:v>29.904056773067847</c:v>
                </c:pt>
                <c:pt idx="24">
                  <c:v>29.457515886407432</c:v>
                </c:pt>
                <c:pt idx="25">
                  <c:v>30.640986297509802</c:v>
                </c:pt>
                <c:pt idx="26">
                  <c:v>33.987994528568834</c:v>
                </c:pt>
                <c:pt idx="27">
                  <c:v>29.425304492007943</c:v>
                </c:pt>
                <c:pt idx="28">
                  <c:v>31.012916105011318</c:v>
                </c:pt>
                <c:pt idx="29">
                  <c:v>30.316822329425321</c:v>
                </c:pt>
                <c:pt idx="30">
                  <c:v>29.237240250873274</c:v>
                </c:pt>
                <c:pt idx="31">
                  <c:v>29.773950184088307</c:v>
                </c:pt>
                <c:pt idx="32">
                  <c:v>32.446293215573895</c:v>
                </c:pt>
                <c:pt idx="33">
                  <c:v>29.343580158623606</c:v>
                </c:pt>
                <c:pt idx="34">
                  <c:v>31.93158367941092</c:v>
                </c:pt>
                <c:pt idx="35">
                  <c:v>34.697488626456426</c:v>
                </c:pt>
                <c:pt idx="36">
                  <c:v>30.575869600213135</c:v>
                </c:pt>
                <c:pt idx="37">
                  <c:v>33.259323408195719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AB-4DE5-92FA-B120A11023BE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('DOY181'!$J$17,'DOY181'!$J$26)</c:f>
              <c:numCache>
                <c:formatCode>0.000</c:formatCode>
                <c:ptCount val="2"/>
                <c:pt idx="0">
                  <c:v>13.098000000000001</c:v>
                </c:pt>
                <c:pt idx="1">
                  <c:v>13.491</c:v>
                </c:pt>
              </c:numCache>
            </c:numRef>
          </c:xVal>
          <c:yVal>
            <c:numRef>
              <c:f>('DOY181'!$W$17,'DOY181'!$W$26)</c:f>
              <c:numCache>
                <c:formatCode>0.00</c:formatCode>
                <c:ptCount val="2"/>
                <c:pt idx="0">
                  <c:v>42.382838076486088</c:v>
                </c:pt>
                <c:pt idx="1">
                  <c:v>35.341277036012265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AB-4DE5-92FA-B120A11023BE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('DOY181'!$J$59,'DOY181'!$J$68)</c:f>
              <c:numCache>
                <c:formatCode>0.000</c:formatCode>
                <c:ptCount val="2"/>
                <c:pt idx="0">
                  <c:v>13.265000000000001</c:v>
                </c:pt>
                <c:pt idx="1">
                  <c:v>13.531000000000001</c:v>
                </c:pt>
              </c:numCache>
            </c:numRef>
          </c:xVal>
          <c:yVal>
            <c:numRef>
              <c:f>('DOY181'!$W$59,'DOY181'!$W$68)</c:f>
              <c:numCache>
                <c:formatCode>0.00</c:formatCode>
                <c:ptCount val="2"/>
                <c:pt idx="0">
                  <c:v>31.811144068823495</c:v>
                </c:pt>
                <c:pt idx="1">
                  <c:v>34.352652574827665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AB-4DE5-92FA-B120A1102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767391"/>
        <c:axId val="1"/>
      </c:scatterChart>
      <c:valAx>
        <c:axId val="184776739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776739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'DOY182'!$J$10:$J$39</c:f>
              <c:numCache>
                <c:formatCode>0.000</c:formatCode>
                <c:ptCount val="30"/>
                <c:pt idx="0">
                  <c:v>12.992000000000001</c:v>
                </c:pt>
                <c:pt idx="1">
                  <c:v>12.978</c:v>
                </c:pt>
                <c:pt idx="2">
                  <c:v>12.962999999999999</c:v>
                </c:pt>
                <c:pt idx="3">
                  <c:v>12.949</c:v>
                </c:pt>
                <c:pt idx="4">
                  <c:v>12.933999999999999</c:v>
                </c:pt>
                <c:pt idx="5">
                  <c:v>12.92</c:v>
                </c:pt>
                <c:pt idx="6">
                  <c:v>12.906000000000001</c:v>
                </c:pt>
                <c:pt idx="7">
                  <c:v>12.891999999999999</c:v>
                </c:pt>
                <c:pt idx="8">
                  <c:v>13.012</c:v>
                </c:pt>
                <c:pt idx="9">
                  <c:v>13.026</c:v>
                </c:pt>
                <c:pt idx="10">
                  <c:v>13.039</c:v>
                </c:pt>
                <c:pt idx="11">
                  <c:v>13.054</c:v>
                </c:pt>
                <c:pt idx="12">
                  <c:v>13.068</c:v>
                </c:pt>
                <c:pt idx="13">
                  <c:v>13.081</c:v>
                </c:pt>
                <c:pt idx="14">
                  <c:v>13.095000000000001</c:v>
                </c:pt>
                <c:pt idx="15">
                  <c:v>13.112</c:v>
                </c:pt>
                <c:pt idx="16">
                  <c:v>13.212999999999999</c:v>
                </c:pt>
                <c:pt idx="17">
                  <c:v>13.226000000000001</c:v>
                </c:pt>
                <c:pt idx="18">
                  <c:v>13.239000000000001</c:v>
                </c:pt>
                <c:pt idx="19">
                  <c:v>13.253</c:v>
                </c:pt>
                <c:pt idx="20">
                  <c:v>13.268000000000001</c:v>
                </c:pt>
                <c:pt idx="21">
                  <c:v>13.282999999999999</c:v>
                </c:pt>
                <c:pt idx="22">
                  <c:v>13.297000000000001</c:v>
                </c:pt>
                <c:pt idx="23">
                  <c:v>13.311</c:v>
                </c:pt>
                <c:pt idx="24">
                  <c:v>13.446</c:v>
                </c:pt>
                <c:pt idx="25">
                  <c:v>13.43</c:v>
                </c:pt>
                <c:pt idx="26">
                  <c:v>13.416</c:v>
                </c:pt>
                <c:pt idx="27">
                  <c:v>13.401</c:v>
                </c:pt>
                <c:pt idx="28">
                  <c:v>13.381</c:v>
                </c:pt>
                <c:pt idx="29">
                  <c:v>13.366</c:v>
                </c:pt>
              </c:numCache>
            </c:numRef>
          </c:xVal>
          <c:yVal>
            <c:numRef>
              <c:f>'DOY182'!$W$10:$W$39</c:f>
              <c:numCache>
                <c:formatCode>0.00</c:formatCode>
                <c:ptCount val="30"/>
                <c:pt idx="0">
                  <c:v>45.797563180678452</c:v>
                </c:pt>
                <c:pt idx="1">
                  <c:v>45.777638283199515</c:v>
                </c:pt>
                <c:pt idx="2">
                  <c:v>40.879764759118764</c:v>
                </c:pt>
                <c:pt idx="3">
                  <c:v>41.933491074205186</c:v>
                </c:pt>
                <c:pt idx="4">
                  <c:v>37.61493587220081</c:v>
                </c:pt>
                <c:pt idx="5">
                  <c:v>42.66306819964786</c:v>
                </c:pt>
                <c:pt idx="6">
                  <c:v>42.733007097600961</c:v>
                </c:pt>
                <c:pt idx="7">
                  <c:v>42.337520313887239</c:v>
                </c:pt>
                <c:pt idx="8">
                  <c:v>36.854804377858713</c:v>
                </c:pt>
                <c:pt idx="9">
                  <c:v>41.753582711231594</c:v>
                </c:pt>
                <c:pt idx="10">
                  <c:v>42.133810045902827</c:v>
                </c:pt>
                <c:pt idx="11">
                  <c:v>36.58208323505017</c:v>
                </c:pt>
                <c:pt idx="12">
                  <c:v>43.513046319426422</c:v>
                </c:pt>
                <c:pt idx="13">
                  <c:v>36.127564473842241</c:v>
                </c:pt>
                <c:pt idx="14">
                  <c:v>41.643472351084647</c:v>
                </c:pt>
                <c:pt idx="15">
                  <c:v>44.709875538174664</c:v>
                </c:pt>
                <c:pt idx="16">
                  <c:v>38.790891542921514</c:v>
                </c:pt>
                <c:pt idx="17">
                  <c:v>42.233360446231529</c:v>
                </c:pt>
                <c:pt idx="18">
                  <c:v>35.942997577280273</c:v>
                </c:pt>
                <c:pt idx="19">
                  <c:v>43.371855937197751</c:v>
                </c:pt>
                <c:pt idx="20">
                  <c:v>35.276392774716456</c:v>
                </c:pt>
                <c:pt idx="21">
                  <c:v>39.456422020146242</c:v>
                </c:pt>
                <c:pt idx="22">
                  <c:v>41.168501843438051</c:v>
                </c:pt>
                <c:pt idx="23">
                  <c:v>41.052888644813315</c:v>
                </c:pt>
                <c:pt idx="24">
                  <c:v>49.116424594702842</c:v>
                </c:pt>
                <c:pt idx="25">
                  <c:v>38.562092506120116</c:v>
                </c:pt>
                <c:pt idx="26">
                  <c:v>37.486237038708225</c:v>
                </c:pt>
                <c:pt idx="27">
                  <c:v>41.495900862438681</c:v>
                </c:pt>
                <c:pt idx="28">
                  <c:v>37.693393765252544</c:v>
                </c:pt>
                <c:pt idx="29">
                  <c:v>41.148208162121406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A-4CD7-A055-D918ABD90CA2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'DOY182'!$J$48:$J$85</c:f>
              <c:numCache>
                <c:formatCode>0.000</c:formatCode>
                <c:ptCount val="38"/>
                <c:pt idx="0">
                  <c:v>13.147</c:v>
                </c:pt>
                <c:pt idx="1">
                  <c:v>13.132999999999999</c:v>
                </c:pt>
                <c:pt idx="2">
                  <c:v>12.997</c:v>
                </c:pt>
                <c:pt idx="3">
                  <c:v>12.983000000000001</c:v>
                </c:pt>
                <c:pt idx="4">
                  <c:v>12.968</c:v>
                </c:pt>
                <c:pt idx="5">
                  <c:v>12.954000000000001</c:v>
                </c:pt>
                <c:pt idx="6">
                  <c:v>12.939</c:v>
                </c:pt>
                <c:pt idx="7">
                  <c:v>12.925000000000001</c:v>
                </c:pt>
                <c:pt idx="8">
                  <c:v>12.911</c:v>
                </c:pt>
                <c:pt idx="9">
                  <c:v>12.897</c:v>
                </c:pt>
                <c:pt idx="10">
                  <c:v>13.016999999999999</c:v>
                </c:pt>
                <c:pt idx="11">
                  <c:v>13.031000000000001</c:v>
                </c:pt>
                <c:pt idx="12">
                  <c:v>13.044</c:v>
                </c:pt>
                <c:pt idx="13">
                  <c:v>13.058999999999999</c:v>
                </c:pt>
                <c:pt idx="14">
                  <c:v>13.073</c:v>
                </c:pt>
                <c:pt idx="15">
                  <c:v>13.086</c:v>
                </c:pt>
                <c:pt idx="16">
                  <c:v>13.102</c:v>
                </c:pt>
                <c:pt idx="17">
                  <c:v>13.118</c:v>
                </c:pt>
                <c:pt idx="18">
                  <c:v>13.217000000000001</c:v>
                </c:pt>
                <c:pt idx="19">
                  <c:v>13.231</c:v>
                </c:pt>
                <c:pt idx="20">
                  <c:v>13.244</c:v>
                </c:pt>
                <c:pt idx="21">
                  <c:v>13.257999999999999</c:v>
                </c:pt>
                <c:pt idx="22">
                  <c:v>13.273999999999999</c:v>
                </c:pt>
                <c:pt idx="23">
                  <c:v>13.289</c:v>
                </c:pt>
                <c:pt idx="24">
                  <c:v>13.302</c:v>
                </c:pt>
                <c:pt idx="25">
                  <c:v>13.316000000000001</c:v>
                </c:pt>
                <c:pt idx="26">
                  <c:v>13.452</c:v>
                </c:pt>
                <c:pt idx="27">
                  <c:v>13.435</c:v>
                </c:pt>
                <c:pt idx="28">
                  <c:v>13.420999999999999</c:v>
                </c:pt>
                <c:pt idx="29">
                  <c:v>13.407</c:v>
                </c:pt>
                <c:pt idx="30">
                  <c:v>13.39</c:v>
                </c:pt>
                <c:pt idx="31">
                  <c:v>13.371</c:v>
                </c:pt>
                <c:pt idx="32">
                  <c:v>13.353999999999999</c:v>
                </c:pt>
                <c:pt idx="33">
                  <c:v>13.34</c:v>
                </c:pt>
                <c:pt idx="34">
                  <c:v>13.195</c:v>
                </c:pt>
                <c:pt idx="35">
                  <c:v>13.176</c:v>
                </c:pt>
                <c:pt idx="36">
                  <c:v>13.157999999999999</c:v>
                </c:pt>
                <c:pt idx="37">
                  <c:v>13.138</c:v>
                </c:pt>
              </c:numCache>
            </c:numRef>
          </c:xVal>
          <c:yVal>
            <c:numRef>
              <c:f>'DOY182'!$W$48:$W$85</c:f>
              <c:numCache>
                <c:formatCode>0.00</c:formatCode>
                <c:ptCount val="38"/>
                <c:pt idx="0">
                  <c:v>63.118345512336077</c:v>
                </c:pt>
                <c:pt idx="1">
                  <c:v>49.944144053000286</c:v>
                </c:pt>
                <c:pt idx="2">
                  <c:v>31.823202701029121</c:v>
                </c:pt>
                <c:pt idx="3">
                  <c:v>31.201617855635348</c:v>
                </c:pt>
                <c:pt idx="4">
                  <c:v>31.098719311348248</c:v>
                </c:pt>
                <c:pt idx="5">
                  <c:v>30.094586637957391</c:v>
                </c:pt>
                <c:pt idx="6">
                  <c:v>29.61748282987681</c:v>
                </c:pt>
                <c:pt idx="7">
                  <c:v>30.703431418484186</c:v>
                </c:pt>
                <c:pt idx="8">
                  <c:v>31.066300096637267</c:v>
                </c:pt>
                <c:pt idx="9">
                  <c:v>30.581600468523202</c:v>
                </c:pt>
                <c:pt idx="10">
                  <c:v>30.364075810332725</c:v>
                </c:pt>
                <c:pt idx="11">
                  <c:v>30.330057435936691</c:v>
                </c:pt>
                <c:pt idx="12">
                  <c:v>30.29837087588319</c:v>
                </c:pt>
                <c:pt idx="13">
                  <c:v>29.365066247506395</c:v>
                </c:pt>
                <c:pt idx="14">
                  <c:v>29.211281036751675</c:v>
                </c:pt>
                <c:pt idx="15">
                  <c:v>31.798960498748187</c:v>
                </c:pt>
                <c:pt idx="16">
                  <c:v>29.957011034558153</c:v>
                </c:pt>
                <c:pt idx="17">
                  <c:v>29.941453067162442</c:v>
                </c:pt>
                <c:pt idx="18">
                  <c:v>28.534913774644295</c:v>
                </c:pt>
                <c:pt idx="19">
                  <c:v>30.320904724756065</c:v>
                </c:pt>
                <c:pt idx="20">
                  <c:v>31.050812576804777</c:v>
                </c:pt>
                <c:pt idx="21">
                  <c:v>30.676646059171066</c:v>
                </c:pt>
                <c:pt idx="22">
                  <c:v>29.454685803067907</c:v>
                </c:pt>
                <c:pt idx="23">
                  <c:v>28.844801920983631</c:v>
                </c:pt>
                <c:pt idx="24">
                  <c:v>29.917644117395298</c:v>
                </c:pt>
                <c:pt idx="25">
                  <c:v>30.687116139783868</c:v>
                </c:pt>
                <c:pt idx="26">
                  <c:v>32.885852707761593</c:v>
                </c:pt>
                <c:pt idx="27">
                  <c:v>30.282626222444943</c:v>
                </c:pt>
                <c:pt idx="28">
                  <c:v>29.844170766382387</c:v>
                </c:pt>
                <c:pt idx="29">
                  <c:v>29.858939721070055</c:v>
                </c:pt>
                <c:pt idx="30">
                  <c:v>29.761949777677355</c:v>
                </c:pt>
                <c:pt idx="31">
                  <c:v>30.176617418241729</c:v>
                </c:pt>
                <c:pt idx="32">
                  <c:v>32.282141981874908</c:v>
                </c:pt>
                <c:pt idx="33">
                  <c:v>29.39879226451507</c:v>
                </c:pt>
                <c:pt idx="34">
                  <c:v>30.459773040940366</c:v>
                </c:pt>
                <c:pt idx="35">
                  <c:v>34.499109625331364</c:v>
                </c:pt>
                <c:pt idx="36">
                  <c:v>30.41976152857406</c:v>
                </c:pt>
                <c:pt idx="37">
                  <c:v>34.252135117219581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9A-4CD7-A055-D918ABD90CA2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('DOY182'!$J$17,'DOY182'!$J$26)</c:f>
              <c:numCache>
                <c:formatCode>0.000</c:formatCode>
                <c:ptCount val="2"/>
                <c:pt idx="0">
                  <c:v>12.891999999999999</c:v>
                </c:pt>
                <c:pt idx="1">
                  <c:v>13.212999999999999</c:v>
                </c:pt>
              </c:numCache>
            </c:numRef>
          </c:xVal>
          <c:yVal>
            <c:numRef>
              <c:f>('DOY182'!$W$17,'DOY182'!$W$26)</c:f>
              <c:numCache>
                <c:formatCode>0.00</c:formatCode>
                <c:ptCount val="2"/>
                <c:pt idx="0">
                  <c:v>42.337520313887239</c:v>
                </c:pt>
                <c:pt idx="1">
                  <c:v>38.790891542921514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9A-4CD7-A055-D918ABD90CA2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('DOY182'!$J$59,'DOY182'!$J$68)</c:f>
              <c:numCache>
                <c:formatCode>0.000</c:formatCode>
                <c:ptCount val="2"/>
                <c:pt idx="0">
                  <c:v>13.031000000000001</c:v>
                </c:pt>
                <c:pt idx="1">
                  <c:v>13.244</c:v>
                </c:pt>
              </c:numCache>
            </c:numRef>
          </c:xVal>
          <c:yVal>
            <c:numRef>
              <c:f>('DOY182'!$W$59,'DOY182'!$W$68)</c:f>
              <c:numCache>
                <c:formatCode>0.00</c:formatCode>
                <c:ptCount val="2"/>
                <c:pt idx="0">
                  <c:v>30.330057435936691</c:v>
                </c:pt>
                <c:pt idx="1">
                  <c:v>31.050812576804777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9A-4CD7-A055-D918ABD90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200832"/>
        <c:axId val="1"/>
      </c:scatterChart>
      <c:valAx>
        <c:axId val="882200832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200832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'DOY183'!$J$10:$J$39</c:f>
              <c:numCache>
                <c:formatCode>0.000</c:formatCode>
                <c:ptCount val="30"/>
                <c:pt idx="0">
                  <c:v>13.036</c:v>
                </c:pt>
                <c:pt idx="1">
                  <c:v>13.021000000000001</c:v>
                </c:pt>
                <c:pt idx="2">
                  <c:v>13.005000000000001</c:v>
                </c:pt>
                <c:pt idx="3">
                  <c:v>12.991</c:v>
                </c:pt>
                <c:pt idx="4">
                  <c:v>12.976000000000001</c:v>
                </c:pt>
                <c:pt idx="5">
                  <c:v>12.961</c:v>
                </c:pt>
                <c:pt idx="6">
                  <c:v>12.946</c:v>
                </c:pt>
                <c:pt idx="7">
                  <c:v>12.930999999999999</c:v>
                </c:pt>
                <c:pt idx="8">
                  <c:v>13.055</c:v>
                </c:pt>
                <c:pt idx="9">
                  <c:v>13.069000000000001</c:v>
                </c:pt>
                <c:pt idx="10">
                  <c:v>13.083</c:v>
                </c:pt>
                <c:pt idx="11">
                  <c:v>13.096</c:v>
                </c:pt>
                <c:pt idx="12">
                  <c:v>13.109</c:v>
                </c:pt>
                <c:pt idx="13">
                  <c:v>13.122</c:v>
                </c:pt>
                <c:pt idx="14">
                  <c:v>13.135999999999999</c:v>
                </c:pt>
                <c:pt idx="15">
                  <c:v>13.15</c:v>
                </c:pt>
                <c:pt idx="16">
                  <c:v>13.249000000000001</c:v>
                </c:pt>
                <c:pt idx="17">
                  <c:v>13.269</c:v>
                </c:pt>
                <c:pt idx="18">
                  <c:v>13.282</c:v>
                </c:pt>
                <c:pt idx="19">
                  <c:v>13.295</c:v>
                </c:pt>
                <c:pt idx="20">
                  <c:v>13.308999999999999</c:v>
                </c:pt>
                <c:pt idx="21">
                  <c:v>13.321999999999999</c:v>
                </c:pt>
                <c:pt idx="22">
                  <c:v>13.335000000000001</c:v>
                </c:pt>
                <c:pt idx="23">
                  <c:v>13.349</c:v>
                </c:pt>
                <c:pt idx="24">
                  <c:v>13.472</c:v>
                </c:pt>
                <c:pt idx="25">
                  <c:v>13.457000000000001</c:v>
                </c:pt>
                <c:pt idx="26">
                  <c:v>13.443</c:v>
                </c:pt>
                <c:pt idx="27">
                  <c:v>13.428000000000001</c:v>
                </c:pt>
                <c:pt idx="28">
                  <c:v>13.414</c:v>
                </c:pt>
                <c:pt idx="29">
                  <c:v>13.401</c:v>
                </c:pt>
              </c:numCache>
            </c:numRef>
          </c:xVal>
          <c:yVal>
            <c:numRef>
              <c:f>'DOY183'!$W$10:$W$39</c:f>
              <c:numCache>
                <c:formatCode>0.00</c:formatCode>
                <c:ptCount val="30"/>
                <c:pt idx="0">
                  <c:v>45.353118216305582</c:v>
                </c:pt>
                <c:pt idx="1">
                  <c:v>45.656961272792678</c:v>
                </c:pt>
                <c:pt idx="2">
                  <c:v>41.509194931749143</c:v>
                </c:pt>
                <c:pt idx="3">
                  <c:v>42.009290185876537</c:v>
                </c:pt>
                <c:pt idx="4">
                  <c:v>37.42771409357772</c:v>
                </c:pt>
                <c:pt idx="5">
                  <c:v>41.601706801675988</c:v>
                </c:pt>
                <c:pt idx="6">
                  <c:v>43.447399929877093</c:v>
                </c:pt>
                <c:pt idx="7">
                  <c:v>41.616358764002136</c:v>
                </c:pt>
                <c:pt idx="8">
                  <c:v>35.682344339241084</c:v>
                </c:pt>
                <c:pt idx="9">
                  <c:v>41.003968456431714</c:v>
                </c:pt>
                <c:pt idx="10">
                  <c:v>43.256005403707711</c:v>
                </c:pt>
                <c:pt idx="11">
                  <c:v>36.060106451094889</c:v>
                </c:pt>
                <c:pt idx="12">
                  <c:v>43.787784072451558</c:v>
                </c:pt>
                <c:pt idx="13">
                  <c:v>35.48630341933633</c:v>
                </c:pt>
                <c:pt idx="14">
                  <c:v>42.349646149425702</c:v>
                </c:pt>
                <c:pt idx="15">
                  <c:v>45.104249864520646</c:v>
                </c:pt>
                <c:pt idx="16">
                  <c:v>38.842158798466407</c:v>
                </c:pt>
                <c:pt idx="17">
                  <c:v>41.376362463968249</c:v>
                </c:pt>
                <c:pt idx="18">
                  <c:v>33.931657743541074</c:v>
                </c:pt>
                <c:pt idx="19">
                  <c:v>40.959115935740748</c:v>
                </c:pt>
                <c:pt idx="20">
                  <c:v>34.077323872634864</c:v>
                </c:pt>
                <c:pt idx="21">
                  <c:v>41.013631158563449</c:v>
                </c:pt>
                <c:pt idx="22">
                  <c:v>42.042385697194398</c:v>
                </c:pt>
                <c:pt idx="23">
                  <c:v>41.624043397371857</c:v>
                </c:pt>
                <c:pt idx="24">
                  <c:v>51.483357296439202</c:v>
                </c:pt>
                <c:pt idx="25">
                  <c:v>40.266638823689703</c:v>
                </c:pt>
                <c:pt idx="26">
                  <c:v>39.588000823445959</c:v>
                </c:pt>
                <c:pt idx="27">
                  <c:v>39.75886050891112</c:v>
                </c:pt>
                <c:pt idx="28">
                  <c:v>41.782674958580799</c:v>
                </c:pt>
                <c:pt idx="29">
                  <c:v>42.67310016984019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29-4D60-94F5-51815E254999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'DOY183'!$J$48:$J$85</c:f>
              <c:numCache>
                <c:formatCode>0.000</c:formatCode>
                <c:ptCount val="38"/>
                <c:pt idx="0">
                  <c:v>13.180999999999999</c:v>
                </c:pt>
                <c:pt idx="1">
                  <c:v>13.167999999999999</c:v>
                </c:pt>
                <c:pt idx="2">
                  <c:v>13.041</c:v>
                </c:pt>
                <c:pt idx="3">
                  <c:v>13.026</c:v>
                </c:pt>
                <c:pt idx="4">
                  <c:v>13.012</c:v>
                </c:pt>
                <c:pt idx="5">
                  <c:v>12.996</c:v>
                </c:pt>
                <c:pt idx="6">
                  <c:v>12.98</c:v>
                </c:pt>
                <c:pt idx="7">
                  <c:v>12.965999999999999</c:v>
                </c:pt>
                <c:pt idx="8">
                  <c:v>12.952</c:v>
                </c:pt>
                <c:pt idx="9">
                  <c:v>12.936</c:v>
                </c:pt>
                <c:pt idx="10">
                  <c:v>13.06</c:v>
                </c:pt>
                <c:pt idx="11">
                  <c:v>13.074</c:v>
                </c:pt>
                <c:pt idx="12">
                  <c:v>13.087999999999999</c:v>
                </c:pt>
                <c:pt idx="13">
                  <c:v>13.101000000000001</c:v>
                </c:pt>
                <c:pt idx="14">
                  <c:v>13.114000000000001</c:v>
                </c:pt>
                <c:pt idx="15">
                  <c:v>13.127000000000001</c:v>
                </c:pt>
                <c:pt idx="16">
                  <c:v>13.141</c:v>
                </c:pt>
                <c:pt idx="17">
                  <c:v>13.154999999999999</c:v>
                </c:pt>
                <c:pt idx="18">
                  <c:v>13.26</c:v>
                </c:pt>
                <c:pt idx="19">
                  <c:v>13.273999999999999</c:v>
                </c:pt>
                <c:pt idx="20">
                  <c:v>13.287000000000001</c:v>
                </c:pt>
                <c:pt idx="21">
                  <c:v>13.3</c:v>
                </c:pt>
                <c:pt idx="22">
                  <c:v>13.314</c:v>
                </c:pt>
                <c:pt idx="23">
                  <c:v>13.327</c:v>
                </c:pt>
                <c:pt idx="24">
                  <c:v>13.34</c:v>
                </c:pt>
                <c:pt idx="25">
                  <c:v>13.355</c:v>
                </c:pt>
                <c:pt idx="26">
                  <c:v>13.477</c:v>
                </c:pt>
                <c:pt idx="27">
                  <c:v>13.462</c:v>
                </c:pt>
                <c:pt idx="28">
                  <c:v>13.448</c:v>
                </c:pt>
                <c:pt idx="29">
                  <c:v>13.433999999999999</c:v>
                </c:pt>
                <c:pt idx="30">
                  <c:v>13.419</c:v>
                </c:pt>
                <c:pt idx="31">
                  <c:v>13.406000000000001</c:v>
                </c:pt>
                <c:pt idx="32">
                  <c:v>13.391</c:v>
                </c:pt>
                <c:pt idx="33">
                  <c:v>13.375999999999999</c:v>
                </c:pt>
                <c:pt idx="34">
                  <c:v>13.231</c:v>
                </c:pt>
                <c:pt idx="35">
                  <c:v>13.212</c:v>
                </c:pt>
                <c:pt idx="36">
                  <c:v>13.193</c:v>
                </c:pt>
                <c:pt idx="37">
                  <c:v>13.172000000000001</c:v>
                </c:pt>
              </c:numCache>
            </c:numRef>
          </c:xVal>
          <c:yVal>
            <c:numRef>
              <c:f>'DOY183'!$W$48:$W$85</c:f>
              <c:numCache>
                <c:formatCode>0.00</c:formatCode>
                <c:ptCount val="38"/>
                <c:pt idx="0">
                  <c:v>62.034910371344751</c:v>
                </c:pt>
                <c:pt idx="1">
                  <c:v>50.388920023496865</c:v>
                </c:pt>
                <c:pt idx="2">
                  <c:v>32.440982419421665</c:v>
                </c:pt>
                <c:pt idx="3">
                  <c:v>30.483193570522392</c:v>
                </c:pt>
                <c:pt idx="4">
                  <c:v>31.481820766847715</c:v>
                </c:pt>
                <c:pt idx="5">
                  <c:v>29.341948297989916</c:v>
                </c:pt>
                <c:pt idx="6">
                  <c:v>29.558178670676799</c:v>
                </c:pt>
                <c:pt idx="7">
                  <c:v>29.17642690014409</c:v>
                </c:pt>
                <c:pt idx="8">
                  <c:v>30.027082382398742</c:v>
                </c:pt>
                <c:pt idx="9">
                  <c:v>30.062796970349819</c:v>
                </c:pt>
                <c:pt idx="10">
                  <c:v>28.899602563719174</c:v>
                </c:pt>
                <c:pt idx="11">
                  <c:v>30.419087795757914</c:v>
                </c:pt>
                <c:pt idx="12">
                  <c:v>30.514622996970157</c:v>
                </c:pt>
                <c:pt idx="13">
                  <c:v>29.272652487475867</c:v>
                </c:pt>
                <c:pt idx="14">
                  <c:v>30.629030723427537</c:v>
                </c:pt>
                <c:pt idx="15">
                  <c:v>31.033245895269918</c:v>
                </c:pt>
                <c:pt idx="16">
                  <c:v>30.515334517358657</c:v>
                </c:pt>
                <c:pt idx="17">
                  <c:v>30.701264197327813</c:v>
                </c:pt>
                <c:pt idx="18">
                  <c:v>29.957429238971908</c:v>
                </c:pt>
                <c:pt idx="19">
                  <c:v>30.272680017590702</c:v>
                </c:pt>
                <c:pt idx="20">
                  <c:v>30.08617618998132</c:v>
                </c:pt>
                <c:pt idx="21">
                  <c:v>29.972811087459576</c:v>
                </c:pt>
                <c:pt idx="22">
                  <c:v>30.51623624616786</c:v>
                </c:pt>
                <c:pt idx="23">
                  <c:v>30.085651355635346</c:v>
                </c:pt>
                <c:pt idx="24">
                  <c:v>30.670081337351316</c:v>
                </c:pt>
                <c:pt idx="25">
                  <c:v>31.565841690792976</c:v>
                </c:pt>
                <c:pt idx="26">
                  <c:v>34.252063711068949</c:v>
                </c:pt>
                <c:pt idx="27">
                  <c:v>30.44293196930667</c:v>
                </c:pt>
                <c:pt idx="28">
                  <c:v>30.273148493886112</c:v>
                </c:pt>
                <c:pt idx="29">
                  <c:v>30.305363410663748</c:v>
                </c:pt>
                <c:pt idx="30">
                  <c:v>32.400875802845015</c:v>
                </c:pt>
                <c:pt idx="31">
                  <c:v>31.557178590176733</c:v>
                </c:pt>
                <c:pt idx="32">
                  <c:v>34.183155362152604</c:v>
                </c:pt>
                <c:pt idx="33">
                  <c:v>30.959769021878841</c:v>
                </c:pt>
                <c:pt idx="34">
                  <c:v>32.464777279676163</c:v>
                </c:pt>
                <c:pt idx="35">
                  <c:v>34.725167670277244</c:v>
                </c:pt>
                <c:pt idx="36">
                  <c:v>31.466854558983027</c:v>
                </c:pt>
                <c:pt idx="37">
                  <c:v>36.045045074065747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29-4D60-94F5-51815E254999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('DOY183'!$J$17,'DOY183'!$J$26)</c:f>
              <c:numCache>
                <c:formatCode>0.000</c:formatCode>
                <c:ptCount val="2"/>
                <c:pt idx="0">
                  <c:v>12.930999999999999</c:v>
                </c:pt>
                <c:pt idx="1">
                  <c:v>13.249000000000001</c:v>
                </c:pt>
              </c:numCache>
            </c:numRef>
          </c:xVal>
          <c:yVal>
            <c:numRef>
              <c:f>('DOY183'!$W$17,'DOY183'!$W$26)</c:f>
              <c:numCache>
                <c:formatCode>0.00</c:formatCode>
                <c:ptCount val="2"/>
                <c:pt idx="0">
                  <c:v>41.616358764002136</c:v>
                </c:pt>
                <c:pt idx="1">
                  <c:v>38.842158798466407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29-4D60-94F5-51815E254999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('DOY183'!$J$59,'DOY183'!$J$68)</c:f>
              <c:numCache>
                <c:formatCode>0.000</c:formatCode>
                <c:ptCount val="2"/>
                <c:pt idx="0">
                  <c:v>13.074</c:v>
                </c:pt>
                <c:pt idx="1">
                  <c:v>13.287000000000001</c:v>
                </c:pt>
              </c:numCache>
            </c:numRef>
          </c:xVal>
          <c:yVal>
            <c:numRef>
              <c:f>('DOY183'!$W$59,'DOY183'!$W$68)</c:f>
              <c:numCache>
                <c:formatCode>0.00</c:formatCode>
                <c:ptCount val="2"/>
                <c:pt idx="0">
                  <c:v>30.419087795757914</c:v>
                </c:pt>
                <c:pt idx="1">
                  <c:v>30.08617618998132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29-4D60-94F5-51815E254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313183"/>
        <c:axId val="1"/>
      </c:scatterChart>
      <c:valAx>
        <c:axId val="1849313183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9313183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'DOY184'!$J$10:$J$39</c:f>
              <c:numCache>
                <c:formatCode>0.000</c:formatCode>
                <c:ptCount val="30"/>
                <c:pt idx="0">
                  <c:v>13.194000000000001</c:v>
                </c:pt>
                <c:pt idx="1">
                  <c:v>13.176</c:v>
                </c:pt>
                <c:pt idx="2">
                  <c:v>13.157999999999999</c:v>
                </c:pt>
                <c:pt idx="3">
                  <c:v>13.138</c:v>
                </c:pt>
                <c:pt idx="4">
                  <c:v>13.12</c:v>
                </c:pt>
                <c:pt idx="5">
                  <c:v>13.102</c:v>
                </c:pt>
                <c:pt idx="6">
                  <c:v>13.084</c:v>
                </c:pt>
                <c:pt idx="7">
                  <c:v>13.067</c:v>
                </c:pt>
                <c:pt idx="8">
                  <c:v>13.217000000000001</c:v>
                </c:pt>
                <c:pt idx="9">
                  <c:v>13.234999999999999</c:v>
                </c:pt>
                <c:pt idx="10">
                  <c:v>13.253</c:v>
                </c:pt>
                <c:pt idx="11">
                  <c:v>13.273</c:v>
                </c:pt>
                <c:pt idx="12">
                  <c:v>13.29</c:v>
                </c:pt>
                <c:pt idx="13">
                  <c:v>13.308</c:v>
                </c:pt>
                <c:pt idx="14">
                  <c:v>13.326000000000001</c:v>
                </c:pt>
                <c:pt idx="15">
                  <c:v>13.343</c:v>
                </c:pt>
                <c:pt idx="16">
                  <c:v>13.484999999999999</c:v>
                </c:pt>
                <c:pt idx="17">
                  <c:v>13.502000000000001</c:v>
                </c:pt>
                <c:pt idx="18">
                  <c:v>13.519</c:v>
                </c:pt>
                <c:pt idx="19">
                  <c:v>13.537000000000001</c:v>
                </c:pt>
                <c:pt idx="20">
                  <c:v>13.554</c:v>
                </c:pt>
                <c:pt idx="21">
                  <c:v>13.573</c:v>
                </c:pt>
                <c:pt idx="22">
                  <c:v>13.59</c:v>
                </c:pt>
                <c:pt idx="23">
                  <c:v>13.609</c:v>
                </c:pt>
                <c:pt idx="24">
                  <c:v>13.757999999999999</c:v>
                </c:pt>
                <c:pt idx="25">
                  <c:v>13.74</c:v>
                </c:pt>
                <c:pt idx="26">
                  <c:v>13.722</c:v>
                </c:pt>
                <c:pt idx="27">
                  <c:v>13.705</c:v>
                </c:pt>
                <c:pt idx="28">
                  <c:v>13.686</c:v>
                </c:pt>
                <c:pt idx="29">
                  <c:v>13.667999999999999</c:v>
                </c:pt>
              </c:numCache>
            </c:numRef>
          </c:xVal>
          <c:yVal>
            <c:numRef>
              <c:f>'DOY184'!$W$10:$W$39</c:f>
              <c:numCache>
                <c:formatCode>0.00</c:formatCode>
                <c:ptCount val="30"/>
                <c:pt idx="0">
                  <c:v>45.607066901897866</c:v>
                </c:pt>
                <c:pt idx="1">
                  <c:v>48.059729709666733</c:v>
                </c:pt>
                <c:pt idx="2">
                  <c:v>41.694349869231736</c:v>
                </c:pt>
                <c:pt idx="3">
                  <c:v>42.655202705218159</c:v>
                </c:pt>
                <c:pt idx="4">
                  <c:v>38.889562455536947</c:v>
                </c:pt>
                <c:pt idx="5">
                  <c:v>42.33410006069662</c:v>
                </c:pt>
                <c:pt idx="6">
                  <c:v>44.42273532789747</c:v>
                </c:pt>
                <c:pt idx="7">
                  <c:v>44.191446346677402</c:v>
                </c:pt>
                <c:pt idx="8">
                  <c:v>37.563222995587559</c:v>
                </c:pt>
                <c:pt idx="9">
                  <c:v>46.886721450630404</c:v>
                </c:pt>
                <c:pt idx="10">
                  <c:v>44.830328902291406</c:v>
                </c:pt>
                <c:pt idx="11">
                  <c:v>34.524428962405104</c:v>
                </c:pt>
                <c:pt idx="12">
                  <c:v>43.120255391741011</c:v>
                </c:pt>
                <c:pt idx="13">
                  <c:v>36.726250756710684</c:v>
                </c:pt>
                <c:pt idx="14">
                  <c:v>41.085809962886422</c:v>
                </c:pt>
                <c:pt idx="15">
                  <c:v>46.209753811517146</c:v>
                </c:pt>
                <c:pt idx="16">
                  <c:v>39.698480083185338</c:v>
                </c:pt>
                <c:pt idx="17">
                  <c:v>43.895252010850328</c:v>
                </c:pt>
                <c:pt idx="18">
                  <c:v>34.982200763361085</c:v>
                </c:pt>
                <c:pt idx="19">
                  <c:v>45.04783078854026</c:v>
                </c:pt>
                <c:pt idx="20">
                  <c:v>35.190565665614606</c:v>
                </c:pt>
                <c:pt idx="21">
                  <c:v>43.181324811576651</c:v>
                </c:pt>
                <c:pt idx="22">
                  <c:v>41.526417968946404</c:v>
                </c:pt>
                <c:pt idx="23">
                  <c:v>40.914395184482139</c:v>
                </c:pt>
                <c:pt idx="24">
                  <c:v>56.509981981465707</c:v>
                </c:pt>
                <c:pt idx="25">
                  <c:v>43.382231643486058</c:v>
                </c:pt>
                <c:pt idx="26">
                  <c:v>40.199034000355859</c:v>
                </c:pt>
                <c:pt idx="27">
                  <c:v>44.08223224330186</c:v>
                </c:pt>
                <c:pt idx="28">
                  <c:v>40.776468539044224</c:v>
                </c:pt>
                <c:pt idx="29">
                  <c:v>42.604626826865015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6-4619-A600-9E63AC1734D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'DOY184'!$J$48:$J$85</c:f>
              <c:numCache>
                <c:formatCode>0.000</c:formatCode>
                <c:ptCount val="38"/>
                <c:pt idx="0">
                  <c:v>13.388</c:v>
                </c:pt>
                <c:pt idx="1">
                  <c:v>13.364000000000001</c:v>
                </c:pt>
                <c:pt idx="2">
                  <c:v>13.198</c:v>
                </c:pt>
                <c:pt idx="3">
                  <c:v>13.18</c:v>
                </c:pt>
                <c:pt idx="4">
                  <c:v>13.163</c:v>
                </c:pt>
                <c:pt idx="5">
                  <c:v>13.143000000000001</c:v>
                </c:pt>
                <c:pt idx="6">
                  <c:v>13.125</c:v>
                </c:pt>
                <c:pt idx="7">
                  <c:v>13.106999999999999</c:v>
                </c:pt>
                <c:pt idx="8">
                  <c:v>13.089</c:v>
                </c:pt>
                <c:pt idx="9">
                  <c:v>13.071999999999999</c:v>
                </c:pt>
                <c:pt idx="10">
                  <c:v>13.222</c:v>
                </c:pt>
                <c:pt idx="11">
                  <c:v>13.24</c:v>
                </c:pt>
                <c:pt idx="12">
                  <c:v>13.257999999999999</c:v>
                </c:pt>
                <c:pt idx="13">
                  <c:v>13.278</c:v>
                </c:pt>
                <c:pt idx="14">
                  <c:v>13.295</c:v>
                </c:pt>
                <c:pt idx="15">
                  <c:v>13.313000000000001</c:v>
                </c:pt>
                <c:pt idx="16">
                  <c:v>13.33</c:v>
                </c:pt>
                <c:pt idx="17">
                  <c:v>13.348000000000001</c:v>
                </c:pt>
                <c:pt idx="18">
                  <c:v>13.489000000000001</c:v>
                </c:pt>
                <c:pt idx="19">
                  <c:v>13.507</c:v>
                </c:pt>
                <c:pt idx="20">
                  <c:v>13.523999999999999</c:v>
                </c:pt>
                <c:pt idx="21">
                  <c:v>13.542</c:v>
                </c:pt>
                <c:pt idx="22">
                  <c:v>13.558999999999999</c:v>
                </c:pt>
                <c:pt idx="23">
                  <c:v>13.577999999999999</c:v>
                </c:pt>
                <c:pt idx="24">
                  <c:v>13.596</c:v>
                </c:pt>
                <c:pt idx="25">
                  <c:v>13.614000000000001</c:v>
                </c:pt>
                <c:pt idx="26">
                  <c:v>13.762</c:v>
                </c:pt>
                <c:pt idx="27">
                  <c:v>13.744</c:v>
                </c:pt>
                <c:pt idx="28">
                  <c:v>13.727</c:v>
                </c:pt>
                <c:pt idx="29">
                  <c:v>13.709</c:v>
                </c:pt>
                <c:pt idx="30">
                  <c:v>13.692</c:v>
                </c:pt>
                <c:pt idx="31">
                  <c:v>13.673</c:v>
                </c:pt>
                <c:pt idx="32">
                  <c:v>13.654999999999999</c:v>
                </c:pt>
                <c:pt idx="33">
                  <c:v>13.637</c:v>
                </c:pt>
                <c:pt idx="34">
                  <c:v>13.457000000000001</c:v>
                </c:pt>
                <c:pt idx="35">
                  <c:v>13.43</c:v>
                </c:pt>
                <c:pt idx="36">
                  <c:v>13.403</c:v>
                </c:pt>
                <c:pt idx="37">
                  <c:v>13.368</c:v>
                </c:pt>
              </c:numCache>
            </c:numRef>
          </c:xVal>
          <c:yVal>
            <c:numRef>
              <c:f>'DOY184'!$W$48:$W$85</c:f>
              <c:numCache>
                <c:formatCode>0.00</c:formatCode>
                <c:ptCount val="38"/>
                <c:pt idx="0">
                  <c:v>61.412769105956301</c:v>
                </c:pt>
                <c:pt idx="1">
                  <c:v>52.720690210381832</c:v>
                </c:pt>
                <c:pt idx="2">
                  <c:v>31.359751294716958</c:v>
                </c:pt>
                <c:pt idx="3">
                  <c:v>31.455797240762525</c:v>
                </c:pt>
                <c:pt idx="4">
                  <c:v>33.48567319639784</c:v>
                </c:pt>
                <c:pt idx="5">
                  <c:v>31.760972445122547</c:v>
                </c:pt>
                <c:pt idx="6">
                  <c:v>31.41430280719047</c:v>
                </c:pt>
                <c:pt idx="7">
                  <c:v>31.883458557421477</c:v>
                </c:pt>
                <c:pt idx="8">
                  <c:v>32.565616232284306</c:v>
                </c:pt>
                <c:pt idx="9">
                  <c:v>31.890152648645753</c:v>
                </c:pt>
                <c:pt idx="10">
                  <c:v>32.652164274089486</c:v>
                </c:pt>
                <c:pt idx="11">
                  <c:v>31.438537964715085</c:v>
                </c:pt>
                <c:pt idx="12">
                  <c:v>30.656075788610121</c:v>
                </c:pt>
                <c:pt idx="13">
                  <c:v>28.577547550038631</c:v>
                </c:pt>
                <c:pt idx="14">
                  <c:v>29.967500340738059</c:v>
                </c:pt>
                <c:pt idx="15">
                  <c:v>29.522533957115588</c:v>
                </c:pt>
                <c:pt idx="16">
                  <c:v>28.667050867120835</c:v>
                </c:pt>
                <c:pt idx="17">
                  <c:v>29.20272169877839</c:v>
                </c:pt>
                <c:pt idx="18">
                  <c:v>31.413203825204263</c:v>
                </c:pt>
                <c:pt idx="19">
                  <c:v>32.499559060018676</c:v>
                </c:pt>
                <c:pt idx="20">
                  <c:v>31.210870807080777</c:v>
                </c:pt>
                <c:pt idx="21">
                  <c:v>31.11807601607774</c:v>
                </c:pt>
                <c:pt idx="22">
                  <c:v>31.149410338315153</c:v>
                </c:pt>
                <c:pt idx="23">
                  <c:v>30.972351579273749</c:v>
                </c:pt>
                <c:pt idx="24">
                  <c:v>30.322952840143866</c:v>
                </c:pt>
                <c:pt idx="25">
                  <c:v>33.021480476995599</c:v>
                </c:pt>
                <c:pt idx="26">
                  <c:v>35.690650664594514</c:v>
                </c:pt>
                <c:pt idx="27">
                  <c:v>31.648343519636427</c:v>
                </c:pt>
                <c:pt idx="28">
                  <c:v>32.091273968681882</c:v>
                </c:pt>
                <c:pt idx="29">
                  <c:v>31.827040184522669</c:v>
                </c:pt>
                <c:pt idx="30">
                  <c:v>31.028604400398986</c:v>
                </c:pt>
                <c:pt idx="31">
                  <c:v>31.687407512277449</c:v>
                </c:pt>
                <c:pt idx="32">
                  <c:v>35.281620778747246</c:v>
                </c:pt>
                <c:pt idx="33">
                  <c:v>29.951449240399825</c:v>
                </c:pt>
                <c:pt idx="34">
                  <c:v>35.01381373041432</c:v>
                </c:pt>
                <c:pt idx="35">
                  <c:v>38.05653993340178</c:v>
                </c:pt>
                <c:pt idx="36">
                  <c:v>32.065076846521642</c:v>
                </c:pt>
                <c:pt idx="37">
                  <c:v>37.43014075094424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E6-4619-A600-9E63AC1734D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('DOY184'!$J$17,'DOY184'!$J$26)</c:f>
              <c:numCache>
                <c:formatCode>0.000</c:formatCode>
                <c:ptCount val="2"/>
                <c:pt idx="0">
                  <c:v>13.067</c:v>
                </c:pt>
                <c:pt idx="1">
                  <c:v>13.484999999999999</c:v>
                </c:pt>
              </c:numCache>
            </c:numRef>
          </c:xVal>
          <c:yVal>
            <c:numRef>
              <c:f>('DOY184'!$W$17,'DOY184'!$W$26)</c:f>
              <c:numCache>
                <c:formatCode>0.00</c:formatCode>
                <c:ptCount val="2"/>
                <c:pt idx="0">
                  <c:v>44.191446346677402</c:v>
                </c:pt>
                <c:pt idx="1">
                  <c:v>39.698480083185338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E6-4619-A600-9E63AC1734D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('DOY184'!$J$59,'DOY184'!$J$68)</c:f>
              <c:numCache>
                <c:formatCode>0.000</c:formatCode>
                <c:ptCount val="2"/>
                <c:pt idx="0">
                  <c:v>13.24</c:v>
                </c:pt>
                <c:pt idx="1">
                  <c:v>13.523999999999999</c:v>
                </c:pt>
              </c:numCache>
            </c:numRef>
          </c:xVal>
          <c:yVal>
            <c:numRef>
              <c:f>('DOY184'!$W$59,'DOY184'!$W$68)</c:f>
              <c:numCache>
                <c:formatCode>0.00</c:formatCode>
                <c:ptCount val="2"/>
                <c:pt idx="0">
                  <c:v>31.438537964715085</c:v>
                </c:pt>
                <c:pt idx="1">
                  <c:v>31.210870807080777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E6-4619-A600-9E63AC173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966287"/>
        <c:axId val="1"/>
      </c:scatterChart>
      <c:valAx>
        <c:axId val="135096628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096628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'DOY185'!$J$10:$J$39</c:f>
              <c:numCache>
                <c:formatCode>0.000</c:formatCode>
                <c:ptCount val="30"/>
                <c:pt idx="0">
                  <c:v>13.205</c:v>
                </c:pt>
                <c:pt idx="1">
                  <c:v>13.183999999999999</c:v>
                </c:pt>
                <c:pt idx="2">
                  <c:v>13.161</c:v>
                </c:pt>
                <c:pt idx="3">
                  <c:v>13.141</c:v>
                </c:pt>
                <c:pt idx="4">
                  <c:v>13.121</c:v>
                </c:pt>
                <c:pt idx="5">
                  <c:v>13.102</c:v>
                </c:pt>
                <c:pt idx="6">
                  <c:v>13.083</c:v>
                </c:pt>
                <c:pt idx="7">
                  <c:v>13.061999999999999</c:v>
                </c:pt>
                <c:pt idx="8">
                  <c:v>13.25</c:v>
                </c:pt>
                <c:pt idx="9">
                  <c:v>13.27</c:v>
                </c:pt>
                <c:pt idx="10">
                  <c:v>13.29</c:v>
                </c:pt>
                <c:pt idx="11">
                  <c:v>13.31</c:v>
                </c:pt>
                <c:pt idx="12">
                  <c:v>13.331</c:v>
                </c:pt>
                <c:pt idx="13">
                  <c:v>13.349</c:v>
                </c:pt>
                <c:pt idx="14">
                  <c:v>13.37</c:v>
                </c:pt>
                <c:pt idx="15">
                  <c:v>13.388999999999999</c:v>
                </c:pt>
                <c:pt idx="16">
                  <c:v>13.554</c:v>
                </c:pt>
                <c:pt idx="17">
                  <c:v>13.577</c:v>
                </c:pt>
                <c:pt idx="18">
                  <c:v>13.597</c:v>
                </c:pt>
                <c:pt idx="19">
                  <c:v>13.615</c:v>
                </c:pt>
                <c:pt idx="20">
                  <c:v>13.638</c:v>
                </c:pt>
                <c:pt idx="21">
                  <c:v>13.657999999999999</c:v>
                </c:pt>
                <c:pt idx="22">
                  <c:v>13.677</c:v>
                </c:pt>
                <c:pt idx="23">
                  <c:v>13.696</c:v>
                </c:pt>
                <c:pt idx="24">
                  <c:v>13.874000000000001</c:v>
                </c:pt>
                <c:pt idx="25">
                  <c:v>13.847</c:v>
                </c:pt>
                <c:pt idx="26">
                  <c:v>13.827999999999999</c:v>
                </c:pt>
                <c:pt idx="27">
                  <c:v>13.808</c:v>
                </c:pt>
                <c:pt idx="28">
                  <c:v>13.787000000000001</c:v>
                </c:pt>
                <c:pt idx="29">
                  <c:v>13.765000000000001</c:v>
                </c:pt>
              </c:numCache>
            </c:numRef>
          </c:xVal>
          <c:yVal>
            <c:numRef>
              <c:f>'DOY185'!$W$10:$W$39</c:f>
              <c:numCache>
                <c:formatCode>0.00</c:formatCode>
                <c:ptCount val="30"/>
                <c:pt idx="0">
                  <c:v>31.712979812555854</c:v>
                </c:pt>
                <c:pt idx="1">
                  <c:v>36.467105071105529</c:v>
                </c:pt>
                <c:pt idx="2">
                  <c:v>33.195321943828716</c:v>
                </c:pt>
                <c:pt idx="3">
                  <c:v>36.012956601499717</c:v>
                </c:pt>
                <c:pt idx="4">
                  <c:v>33.468470490172145</c:v>
                </c:pt>
                <c:pt idx="5">
                  <c:v>34.950657259864819</c:v>
                </c:pt>
                <c:pt idx="6">
                  <c:v>34.542396825175167</c:v>
                </c:pt>
                <c:pt idx="7">
                  <c:v>35.464432988874044</c:v>
                </c:pt>
                <c:pt idx="8">
                  <c:v>31.534210750446771</c:v>
                </c:pt>
                <c:pt idx="9">
                  <c:v>31.524094857309688</c:v>
                </c:pt>
                <c:pt idx="10">
                  <c:v>35.145751790867607</c:v>
                </c:pt>
                <c:pt idx="11">
                  <c:v>34.224950409184686</c:v>
                </c:pt>
                <c:pt idx="12">
                  <c:v>35.850275813170128</c:v>
                </c:pt>
                <c:pt idx="13">
                  <c:v>38.584808510654767</c:v>
                </c:pt>
                <c:pt idx="14">
                  <c:v>35.029590297027177</c:v>
                </c:pt>
                <c:pt idx="15">
                  <c:v>35.804600693662145</c:v>
                </c:pt>
                <c:pt idx="16">
                  <c:v>34.710771349331353</c:v>
                </c:pt>
                <c:pt idx="17">
                  <c:v>36.460002384014572</c:v>
                </c:pt>
                <c:pt idx="18">
                  <c:v>35.299966731757955</c:v>
                </c:pt>
                <c:pt idx="19">
                  <c:v>34.742077492543473</c:v>
                </c:pt>
                <c:pt idx="20">
                  <c:v>31.1323434321192</c:v>
                </c:pt>
                <c:pt idx="21">
                  <c:v>34.959671025578636</c:v>
                </c:pt>
                <c:pt idx="22">
                  <c:v>32.794417807457599</c:v>
                </c:pt>
                <c:pt idx="23">
                  <c:v>32.929601716085578</c:v>
                </c:pt>
                <c:pt idx="24">
                  <c:v>33.043424727768247</c:v>
                </c:pt>
                <c:pt idx="25">
                  <c:v>40.134578084251977</c:v>
                </c:pt>
                <c:pt idx="26">
                  <c:v>33.99772002644233</c:v>
                </c:pt>
                <c:pt idx="27">
                  <c:v>31.700568901576375</c:v>
                </c:pt>
                <c:pt idx="28">
                  <c:v>34.831342860629256</c:v>
                </c:pt>
                <c:pt idx="29">
                  <c:v>31.99860971744198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D3-4C34-9820-7A8354F74B5C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'DOY185'!$J$48:$J$85</c:f>
              <c:numCache>
                <c:formatCode>0.000</c:formatCode>
                <c:ptCount val="38"/>
                <c:pt idx="0">
                  <c:v>13.451000000000001</c:v>
                </c:pt>
                <c:pt idx="1">
                  <c:v>13.426</c:v>
                </c:pt>
                <c:pt idx="2">
                  <c:v>13.211</c:v>
                </c:pt>
                <c:pt idx="3">
                  <c:v>13.189</c:v>
                </c:pt>
                <c:pt idx="4">
                  <c:v>13.167</c:v>
                </c:pt>
                <c:pt idx="5">
                  <c:v>13.146000000000001</c:v>
                </c:pt>
                <c:pt idx="6">
                  <c:v>13.125999999999999</c:v>
                </c:pt>
                <c:pt idx="7">
                  <c:v>13.106999999999999</c:v>
                </c:pt>
                <c:pt idx="8">
                  <c:v>13.087999999999999</c:v>
                </c:pt>
                <c:pt idx="9">
                  <c:v>13.068</c:v>
                </c:pt>
                <c:pt idx="10">
                  <c:v>13.255000000000001</c:v>
                </c:pt>
                <c:pt idx="11">
                  <c:v>13.275</c:v>
                </c:pt>
                <c:pt idx="12">
                  <c:v>13.294</c:v>
                </c:pt>
                <c:pt idx="13">
                  <c:v>13.315</c:v>
                </c:pt>
                <c:pt idx="14">
                  <c:v>13.335000000000001</c:v>
                </c:pt>
                <c:pt idx="15">
                  <c:v>13.355</c:v>
                </c:pt>
                <c:pt idx="16">
                  <c:v>13.375</c:v>
                </c:pt>
                <c:pt idx="17">
                  <c:v>13.394</c:v>
                </c:pt>
                <c:pt idx="18">
                  <c:v>13.558999999999999</c:v>
                </c:pt>
                <c:pt idx="19">
                  <c:v>13.582000000000001</c:v>
                </c:pt>
                <c:pt idx="20">
                  <c:v>13.601000000000001</c:v>
                </c:pt>
                <c:pt idx="21">
                  <c:v>13.619</c:v>
                </c:pt>
                <c:pt idx="22">
                  <c:v>13.643000000000001</c:v>
                </c:pt>
                <c:pt idx="23">
                  <c:v>13.662000000000001</c:v>
                </c:pt>
                <c:pt idx="24">
                  <c:v>13.682</c:v>
                </c:pt>
                <c:pt idx="25">
                  <c:v>13.701000000000001</c:v>
                </c:pt>
                <c:pt idx="26">
                  <c:v>13.879</c:v>
                </c:pt>
                <c:pt idx="27">
                  <c:v>13.852</c:v>
                </c:pt>
                <c:pt idx="28">
                  <c:v>13.833</c:v>
                </c:pt>
                <c:pt idx="29">
                  <c:v>13.813000000000001</c:v>
                </c:pt>
                <c:pt idx="30">
                  <c:v>13.792</c:v>
                </c:pt>
                <c:pt idx="31">
                  <c:v>13.77</c:v>
                </c:pt>
                <c:pt idx="32">
                  <c:v>13.749000000000001</c:v>
                </c:pt>
                <c:pt idx="33">
                  <c:v>13.73</c:v>
                </c:pt>
                <c:pt idx="34">
                  <c:v>13.53</c:v>
                </c:pt>
                <c:pt idx="35">
                  <c:v>13.499000000000001</c:v>
                </c:pt>
                <c:pt idx="36">
                  <c:v>13.472</c:v>
                </c:pt>
                <c:pt idx="37">
                  <c:v>13.430999999999999</c:v>
                </c:pt>
              </c:numCache>
            </c:numRef>
          </c:xVal>
          <c:yVal>
            <c:numRef>
              <c:f>'DOY185'!$W$48:$W$85</c:f>
              <c:numCache>
                <c:formatCode>0.00</c:formatCode>
                <c:ptCount val="38"/>
                <c:pt idx="0">
                  <c:v>64.142243074120273</c:v>
                </c:pt>
                <c:pt idx="1">
                  <c:v>52.594133194582263</c:v>
                </c:pt>
                <c:pt idx="2">
                  <c:v>31.019425671623882</c:v>
                </c:pt>
                <c:pt idx="3">
                  <c:v>29.072388316649185</c:v>
                </c:pt>
                <c:pt idx="4">
                  <c:v>32.138834149218241</c:v>
                </c:pt>
                <c:pt idx="5">
                  <c:v>29.480175179946745</c:v>
                </c:pt>
                <c:pt idx="6">
                  <c:v>29.487686462904374</c:v>
                </c:pt>
                <c:pt idx="7">
                  <c:v>29.70745839836151</c:v>
                </c:pt>
                <c:pt idx="8">
                  <c:v>29.682842823995525</c:v>
                </c:pt>
                <c:pt idx="9">
                  <c:v>29.568952887127793</c:v>
                </c:pt>
                <c:pt idx="10">
                  <c:v>29.112491410847678</c:v>
                </c:pt>
                <c:pt idx="11">
                  <c:v>29.584718674834999</c:v>
                </c:pt>
                <c:pt idx="12">
                  <c:v>32.2890371013833</c:v>
                </c:pt>
                <c:pt idx="13">
                  <c:v>33.596018259888318</c:v>
                </c:pt>
                <c:pt idx="14">
                  <c:v>30.340175531462339</c:v>
                </c:pt>
                <c:pt idx="15">
                  <c:v>29.324410392665573</c:v>
                </c:pt>
                <c:pt idx="16">
                  <c:v>28.91021475077476</c:v>
                </c:pt>
                <c:pt idx="17">
                  <c:v>28.517753377914293</c:v>
                </c:pt>
                <c:pt idx="18">
                  <c:v>30.428755985466378</c:v>
                </c:pt>
                <c:pt idx="19">
                  <c:v>30.421744880207601</c:v>
                </c:pt>
                <c:pt idx="20">
                  <c:v>28.51832400317636</c:v>
                </c:pt>
                <c:pt idx="21">
                  <c:v>29.738859645783986</c:v>
                </c:pt>
                <c:pt idx="22">
                  <c:v>31.716753852284729</c:v>
                </c:pt>
                <c:pt idx="23">
                  <c:v>30.153696360500089</c:v>
                </c:pt>
                <c:pt idx="24">
                  <c:v>29.754896656609578</c:v>
                </c:pt>
                <c:pt idx="25">
                  <c:v>29.698288075290083</c:v>
                </c:pt>
                <c:pt idx="26">
                  <c:v>31.48602417531005</c:v>
                </c:pt>
                <c:pt idx="27">
                  <c:v>32.010027317780079</c:v>
                </c:pt>
                <c:pt idx="28">
                  <c:v>31.75207550660032</c:v>
                </c:pt>
                <c:pt idx="29">
                  <c:v>29.772779393591517</c:v>
                </c:pt>
                <c:pt idx="30">
                  <c:v>31.397496556978425</c:v>
                </c:pt>
                <c:pt idx="31">
                  <c:v>29.446459730072544</c:v>
                </c:pt>
                <c:pt idx="32">
                  <c:v>29.439416923410324</c:v>
                </c:pt>
                <c:pt idx="33">
                  <c:v>29.297801152260504</c:v>
                </c:pt>
                <c:pt idx="34">
                  <c:v>31.429905204554924</c:v>
                </c:pt>
                <c:pt idx="35">
                  <c:v>34.738615371752381</c:v>
                </c:pt>
                <c:pt idx="36">
                  <c:v>32.482270243998578</c:v>
                </c:pt>
                <c:pt idx="37">
                  <c:v>35.671132183198559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D3-4C34-9820-7A8354F74B5C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('DOY185'!$J$17,'DOY185'!$J$26)</c:f>
              <c:numCache>
                <c:formatCode>0.000</c:formatCode>
                <c:ptCount val="2"/>
                <c:pt idx="0">
                  <c:v>13.061999999999999</c:v>
                </c:pt>
                <c:pt idx="1">
                  <c:v>13.554</c:v>
                </c:pt>
              </c:numCache>
            </c:numRef>
          </c:xVal>
          <c:yVal>
            <c:numRef>
              <c:f>('DOY185'!$W$17,'DOY185'!$W$26)</c:f>
              <c:numCache>
                <c:formatCode>0.00</c:formatCode>
                <c:ptCount val="2"/>
                <c:pt idx="0">
                  <c:v>35.464432988874044</c:v>
                </c:pt>
                <c:pt idx="1">
                  <c:v>34.710771349331353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D3-4C34-9820-7A8354F74B5C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('DOY185'!$J$59,'DOY185'!$J$68)</c:f>
              <c:numCache>
                <c:formatCode>0.000</c:formatCode>
                <c:ptCount val="2"/>
                <c:pt idx="0">
                  <c:v>13.275</c:v>
                </c:pt>
                <c:pt idx="1">
                  <c:v>13.601000000000001</c:v>
                </c:pt>
              </c:numCache>
            </c:numRef>
          </c:xVal>
          <c:yVal>
            <c:numRef>
              <c:f>('DOY185'!$W$59,'DOY185'!$W$68)</c:f>
              <c:numCache>
                <c:formatCode>0.00</c:formatCode>
                <c:ptCount val="2"/>
                <c:pt idx="0">
                  <c:v>29.584718674834999</c:v>
                </c:pt>
                <c:pt idx="1">
                  <c:v>28.51832400317636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D3-4C34-9820-7A8354F7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970432"/>
        <c:axId val="1"/>
      </c:scatterChart>
      <c:valAx>
        <c:axId val="873970432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3970432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'DOY188'!$J$10:$J$39</c:f>
              <c:numCache>
                <c:formatCode>0.000</c:formatCode>
                <c:ptCount val="30"/>
                <c:pt idx="0">
                  <c:v>13.253</c:v>
                </c:pt>
                <c:pt idx="1">
                  <c:v>13.234999999999999</c:v>
                </c:pt>
                <c:pt idx="2">
                  <c:v>13.218</c:v>
                </c:pt>
                <c:pt idx="3">
                  <c:v>13.2</c:v>
                </c:pt>
                <c:pt idx="4">
                  <c:v>13.180999999999999</c:v>
                </c:pt>
                <c:pt idx="5">
                  <c:v>13.163</c:v>
                </c:pt>
                <c:pt idx="6">
                  <c:v>13.145</c:v>
                </c:pt>
                <c:pt idx="7">
                  <c:v>13.128</c:v>
                </c:pt>
                <c:pt idx="8">
                  <c:v>13.273999999999999</c:v>
                </c:pt>
                <c:pt idx="9">
                  <c:v>13.291</c:v>
                </c:pt>
                <c:pt idx="10">
                  <c:v>13.308</c:v>
                </c:pt>
                <c:pt idx="11">
                  <c:v>13.324999999999999</c:v>
                </c:pt>
                <c:pt idx="12">
                  <c:v>13.340999999999999</c:v>
                </c:pt>
                <c:pt idx="13">
                  <c:v>13.359</c:v>
                </c:pt>
                <c:pt idx="14">
                  <c:v>13.375999999999999</c:v>
                </c:pt>
                <c:pt idx="15">
                  <c:v>13.393000000000001</c:v>
                </c:pt>
                <c:pt idx="16">
                  <c:v>13.519</c:v>
                </c:pt>
                <c:pt idx="17">
                  <c:v>13.536</c:v>
                </c:pt>
                <c:pt idx="18">
                  <c:v>13.553000000000001</c:v>
                </c:pt>
                <c:pt idx="19">
                  <c:v>13.57</c:v>
                </c:pt>
                <c:pt idx="20">
                  <c:v>13.586</c:v>
                </c:pt>
                <c:pt idx="21">
                  <c:v>13.603</c:v>
                </c:pt>
                <c:pt idx="22">
                  <c:v>13.619</c:v>
                </c:pt>
                <c:pt idx="23">
                  <c:v>13.635</c:v>
                </c:pt>
                <c:pt idx="24">
                  <c:v>13.773999999999999</c:v>
                </c:pt>
                <c:pt idx="25">
                  <c:v>13.757999999999999</c:v>
                </c:pt>
                <c:pt idx="26">
                  <c:v>13.742000000000001</c:v>
                </c:pt>
                <c:pt idx="27">
                  <c:v>13.724</c:v>
                </c:pt>
                <c:pt idx="28">
                  <c:v>13.707000000000001</c:v>
                </c:pt>
                <c:pt idx="29">
                  <c:v>13.69</c:v>
                </c:pt>
              </c:numCache>
            </c:numRef>
          </c:xVal>
          <c:yVal>
            <c:numRef>
              <c:f>'DOY188'!$W$10:$W$39</c:f>
              <c:numCache>
                <c:formatCode>0.00</c:formatCode>
                <c:ptCount val="30"/>
                <c:pt idx="0">
                  <c:v>36.795481995466254</c:v>
                </c:pt>
                <c:pt idx="1">
                  <c:v>35.417907595506527</c:v>
                </c:pt>
                <c:pt idx="2">
                  <c:v>33.417452491930923</c:v>
                </c:pt>
                <c:pt idx="3">
                  <c:v>33.580211968357482</c:v>
                </c:pt>
                <c:pt idx="4">
                  <c:v>31.629729285646174</c:v>
                </c:pt>
                <c:pt idx="5">
                  <c:v>33.659682356659928</c:v>
                </c:pt>
                <c:pt idx="6">
                  <c:v>35.269388340102388</c:v>
                </c:pt>
                <c:pt idx="7">
                  <c:v>33.017802322185105</c:v>
                </c:pt>
                <c:pt idx="8">
                  <c:v>32.087132809613792</c:v>
                </c:pt>
                <c:pt idx="9">
                  <c:v>35.624828322714073</c:v>
                </c:pt>
                <c:pt idx="10">
                  <c:v>34.823346435363405</c:v>
                </c:pt>
                <c:pt idx="11">
                  <c:v>33.307671597658469</c:v>
                </c:pt>
                <c:pt idx="12">
                  <c:v>35.080186747762845</c:v>
                </c:pt>
                <c:pt idx="13">
                  <c:v>45.995866094166011</c:v>
                </c:pt>
                <c:pt idx="14">
                  <c:v>36.63587699715336</c:v>
                </c:pt>
                <c:pt idx="15">
                  <c:v>36.668850797954128</c:v>
                </c:pt>
                <c:pt idx="16">
                  <c:v>34.858423472867351</c:v>
                </c:pt>
                <c:pt idx="17">
                  <c:v>35.481543321257078</c:v>
                </c:pt>
                <c:pt idx="18">
                  <c:v>41.765720387308427</c:v>
                </c:pt>
                <c:pt idx="19">
                  <c:v>34.066526795328883</c:v>
                </c:pt>
                <c:pt idx="20">
                  <c:v>30.775533813339791</c:v>
                </c:pt>
                <c:pt idx="21">
                  <c:v>32.365723430215859</c:v>
                </c:pt>
                <c:pt idx="22">
                  <c:v>33.618272460163745</c:v>
                </c:pt>
                <c:pt idx="23">
                  <c:v>30.800674222051754</c:v>
                </c:pt>
                <c:pt idx="24">
                  <c:v>41.294361889995294</c:v>
                </c:pt>
                <c:pt idx="25">
                  <c:v>36.796038908156788</c:v>
                </c:pt>
                <c:pt idx="26">
                  <c:v>33.335992336908646</c:v>
                </c:pt>
                <c:pt idx="27">
                  <c:v>33.233914506733036</c:v>
                </c:pt>
                <c:pt idx="28">
                  <c:v>32.201126468166713</c:v>
                </c:pt>
                <c:pt idx="29">
                  <c:v>33.307336594792069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4-41E1-8E7C-537F4E8C388B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'DOY188'!$J$48:$J$85</c:f>
              <c:numCache>
                <c:formatCode>0.000</c:formatCode>
                <c:ptCount val="38"/>
                <c:pt idx="0">
                  <c:v>13.43</c:v>
                </c:pt>
                <c:pt idx="1">
                  <c:v>13.412000000000001</c:v>
                </c:pt>
                <c:pt idx="2">
                  <c:v>13.257</c:v>
                </c:pt>
                <c:pt idx="3">
                  <c:v>13.24</c:v>
                </c:pt>
                <c:pt idx="4">
                  <c:v>13.223000000000001</c:v>
                </c:pt>
                <c:pt idx="5">
                  <c:v>13.205</c:v>
                </c:pt>
                <c:pt idx="6">
                  <c:v>13.185</c:v>
                </c:pt>
                <c:pt idx="7">
                  <c:v>13.167</c:v>
                </c:pt>
                <c:pt idx="8">
                  <c:v>13.15</c:v>
                </c:pt>
                <c:pt idx="9">
                  <c:v>13.132</c:v>
                </c:pt>
                <c:pt idx="10">
                  <c:v>13.279</c:v>
                </c:pt>
                <c:pt idx="11">
                  <c:v>13.295</c:v>
                </c:pt>
                <c:pt idx="12">
                  <c:v>13.311999999999999</c:v>
                </c:pt>
                <c:pt idx="13">
                  <c:v>13.33</c:v>
                </c:pt>
                <c:pt idx="14">
                  <c:v>13.348000000000001</c:v>
                </c:pt>
                <c:pt idx="15">
                  <c:v>13.363</c:v>
                </c:pt>
                <c:pt idx="16">
                  <c:v>13.381</c:v>
                </c:pt>
                <c:pt idx="17">
                  <c:v>13.397</c:v>
                </c:pt>
                <c:pt idx="18">
                  <c:v>13.523999999999999</c:v>
                </c:pt>
                <c:pt idx="19">
                  <c:v>13.541</c:v>
                </c:pt>
                <c:pt idx="20">
                  <c:v>13.558</c:v>
                </c:pt>
                <c:pt idx="21">
                  <c:v>13.574</c:v>
                </c:pt>
                <c:pt idx="22">
                  <c:v>13.59</c:v>
                </c:pt>
                <c:pt idx="23">
                  <c:v>13.606999999999999</c:v>
                </c:pt>
                <c:pt idx="24">
                  <c:v>13.624000000000001</c:v>
                </c:pt>
                <c:pt idx="25">
                  <c:v>13.641</c:v>
                </c:pt>
                <c:pt idx="26">
                  <c:v>13.779</c:v>
                </c:pt>
                <c:pt idx="27">
                  <c:v>13.763</c:v>
                </c:pt>
                <c:pt idx="28">
                  <c:v>13.746</c:v>
                </c:pt>
                <c:pt idx="29">
                  <c:v>13.728999999999999</c:v>
                </c:pt>
                <c:pt idx="30">
                  <c:v>13.712</c:v>
                </c:pt>
                <c:pt idx="31">
                  <c:v>13.695</c:v>
                </c:pt>
                <c:pt idx="32">
                  <c:v>13.678000000000001</c:v>
                </c:pt>
                <c:pt idx="33">
                  <c:v>13.662000000000001</c:v>
                </c:pt>
                <c:pt idx="34">
                  <c:v>13.494999999999999</c:v>
                </c:pt>
                <c:pt idx="35">
                  <c:v>13.468</c:v>
                </c:pt>
                <c:pt idx="36">
                  <c:v>13.443</c:v>
                </c:pt>
                <c:pt idx="37">
                  <c:v>13.417</c:v>
                </c:pt>
              </c:numCache>
            </c:numRef>
          </c:xVal>
          <c:yVal>
            <c:numRef>
              <c:f>'DOY188'!$W$48:$W$85</c:f>
              <c:numCache>
                <c:formatCode>0.00</c:formatCode>
                <c:ptCount val="38"/>
                <c:pt idx="0">
                  <c:v>64.442010866116846</c:v>
                </c:pt>
                <c:pt idx="1">
                  <c:v>52.884519697758833</c:v>
                </c:pt>
                <c:pt idx="2">
                  <c:v>32.244975800009904</c:v>
                </c:pt>
                <c:pt idx="3">
                  <c:v>32.708717655007554</c:v>
                </c:pt>
                <c:pt idx="4">
                  <c:v>32.413079101047707</c:v>
                </c:pt>
                <c:pt idx="5">
                  <c:v>29.685427245783988</c:v>
                </c:pt>
                <c:pt idx="6">
                  <c:v>29.960589019716938</c:v>
                </c:pt>
                <c:pt idx="7">
                  <c:v>30.153889087517282</c:v>
                </c:pt>
                <c:pt idx="8">
                  <c:v>29.693061811977248</c:v>
                </c:pt>
                <c:pt idx="9">
                  <c:v>30.195718147014627</c:v>
                </c:pt>
                <c:pt idx="10">
                  <c:v>30.20278913270214</c:v>
                </c:pt>
                <c:pt idx="11">
                  <c:v>31.173727668186611</c:v>
                </c:pt>
                <c:pt idx="12">
                  <c:v>32.140030754011299</c:v>
                </c:pt>
                <c:pt idx="13">
                  <c:v>31.770496163659214</c:v>
                </c:pt>
                <c:pt idx="14">
                  <c:v>32.092532615334491</c:v>
                </c:pt>
                <c:pt idx="15">
                  <c:v>32.187712056352474</c:v>
                </c:pt>
                <c:pt idx="16">
                  <c:v>32.836710817090534</c:v>
                </c:pt>
                <c:pt idx="17">
                  <c:v>30.995996134916471</c:v>
                </c:pt>
                <c:pt idx="18">
                  <c:v>30.671652525545785</c:v>
                </c:pt>
                <c:pt idx="19">
                  <c:v>30.592545319135017</c:v>
                </c:pt>
                <c:pt idx="20">
                  <c:v>32.028433885326336</c:v>
                </c:pt>
                <c:pt idx="21">
                  <c:v>30.212346917371278</c:v>
                </c:pt>
                <c:pt idx="22">
                  <c:v>28.977877123700129</c:v>
                </c:pt>
                <c:pt idx="23">
                  <c:v>28.782361480036567</c:v>
                </c:pt>
                <c:pt idx="24">
                  <c:v>29.725569086142247</c:v>
                </c:pt>
                <c:pt idx="25">
                  <c:v>30.236800462341865</c:v>
                </c:pt>
                <c:pt idx="26">
                  <c:v>31.141917824897476</c:v>
                </c:pt>
                <c:pt idx="27">
                  <c:v>33.100349319340573</c:v>
                </c:pt>
                <c:pt idx="28">
                  <c:v>30.663341662745623</c:v>
                </c:pt>
                <c:pt idx="29">
                  <c:v>32.276112869070303</c:v>
                </c:pt>
                <c:pt idx="30">
                  <c:v>29.270439068806965</c:v>
                </c:pt>
                <c:pt idx="31">
                  <c:v>30.544244078237515</c:v>
                </c:pt>
                <c:pt idx="32">
                  <c:v>31.687345267119692</c:v>
                </c:pt>
                <c:pt idx="33">
                  <c:v>30.129724377555892</c:v>
                </c:pt>
                <c:pt idx="34">
                  <c:v>32.436070859081511</c:v>
                </c:pt>
                <c:pt idx="35">
                  <c:v>37.547523717996022</c:v>
                </c:pt>
                <c:pt idx="36">
                  <c:v>30.90815185794807</c:v>
                </c:pt>
                <c:pt idx="37">
                  <c:v>36.743988284177533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4-41E1-8E7C-537F4E8C388B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('DOY188'!$J$17,'DOY188'!$J$26)</c:f>
              <c:numCache>
                <c:formatCode>0.000</c:formatCode>
                <c:ptCount val="2"/>
                <c:pt idx="0">
                  <c:v>13.128</c:v>
                </c:pt>
                <c:pt idx="1">
                  <c:v>13.519</c:v>
                </c:pt>
              </c:numCache>
            </c:numRef>
          </c:xVal>
          <c:yVal>
            <c:numRef>
              <c:f>('DOY188'!$W$17,'DOY188'!$W$26)</c:f>
              <c:numCache>
                <c:formatCode>0.00</c:formatCode>
                <c:ptCount val="2"/>
                <c:pt idx="0">
                  <c:v>33.017802322185105</c:v>
                </c:pt>
                <c:pt idx="1">
                  <c:v>34.858423472867351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D4-41E1-8E7C-537F4E8C388B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('DOY188'!$J$59,'DOY188'!$J$68)</c:f>
              <c:numCache>
                <c:formatCode>0.000</c:formatCode>
                <c:ptCount val="2"/>
                <c:pt idx="0">
                  <c:v>13.295</c:v>
                </c:pt>
                <c:pt idx="1">
                  <c:v>13.558</c:v>
                </c:pt>
              </c:numCache>
            </c:numRef>
          </c:xVal>
          <c:yVal>
            <c:numRef>
              <c:f>('DOY188'!$W$59,'DOY188'!$W$68)</c:f>
              <c:numCache>
                <c:formatCode>0.00</c:formatCode>
                <c:ptCount val="2"/>
                <c:pt idx="0">
                  <c:v>31.173727668186611</c:v>
                </c:pt>
                <c:pt idx="1">
                  <c:v>32.028433885326336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D4-41E1-8E7C-537F4E8C3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421327"/>
        <c:axId val="1"/>
      </c:scatterChart>
      <c:valAx>
        <c:axId val="133342132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342132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'DOY189'!$J$10:$J$39</c:f>
              <c:numCache>
                <c:formatCode>0.000</c:formatCode>
                <c:ptCount val="30"/>
                <c:pt idx="0">
                  <c:v>12.939</c:v>
                </c:pt>
                <c:pt idx="1">
                  <c:v>12.925000000000001</c:v>
                </c:pt>
                <c:pt idx="2">
                  <c:v>12.911</c:v>
                </c:pt>
                <c:pt idx="3">
                  <c:v>12.898</c:v>
                </c:pt>
                <c:pt idx="4">
                  <c:v>12.884</c:v>
                </c:pt>
                <c:pt idx="5">
                  <c:v>12.87</c:v>
                </c:pt>
                <c:pt idx="6">
                  <c:v>12.856999999999999</c:v>
                </c:pt>
                <c:pt idx="7">
                  <c:v>12.843999999999999</c:v>
                </c:pt>
                <c:pt idx="8">
                  <c:v>12.958</c:v>
                </c:pt>
                <c:pt idx="9">
                  <c:v>12.971</c:v>
                </c:pt>
                <c:pt idx="10">
                  <c:v>12.983000000000001</c:v>
                </c:pt>
                <c:pt idx="11">
                  <c:v>12.997</c:v>
                </c:pt>
                <c:pt idx="12">
                  <c:v>13.010999999999999</c:v>
                </c:pt>
                <c:pt idx="13">
                  <c:v>13.023999999999999</c:v>
                </c:pt>
                <c:pt idx="14">
                  <c:v>13.037000000000001</c:v>
                </c:pt>
                <c:pt idx="15">
                  <c:v>13.051</c:v>
                </c:pt>
                <c:pt idx="16">
                  <c:v>13.154</c:v>
                </c:pt>
                <c:pt idx="17">
                  <c:v>13.167999999999999</c:v>
                </c:pt>
                <c:pt idx="18">
                  <c:v>13.182</c:v>
                </c:pt>
                <c:pt idx="19">
                  <c:v>13.196</c:v>
                </c:pt>
                <c:pt idx="20">
                  <c:v>13.21</c:v>
                </c:pt>
                <c:pt idx="21">
                  <c:v>13.223000000000001</c:v>
                </c:pt>
                <c:pt idx="22">
                  <c:v>13.276</c:v>
                </c:pt>
                <c:pt idx="23">
                  <c:v>13.29</c:v>
                </c:pt>
                <c:pt idx="24">
                  <c:v>13.417</c:v>
                </c:pt>
                <c:pt idx="25">
                  <c:v>13.401999999999999</c:v>
                </c:pt>
                <c:pt idx="26">
                  <c:v>13.385999999999999</c:v>
                </c:pt>
                <c:pt idx="27">
                  <c:v>13.37</c:v>
                </c:pt>
                <c:pt idx="28">
                  <c:v>13.355</c:v>
                </c:pt>
                <c:pt idx="29">
                  <c:v>13.34</c:v>
                </c:pt>
              </c:numCache>
            </c:numRef>
          </c:xVal>
          <c:yVal>
            <c:numRef>
              <c:f>'DOY189'!$W$10:$W$39</c:f>
              <c:numCache>
                <c:formatCode>0.00</c:formatCode>
                <c:ptCount val="30"/>
                <c:pt idx="0">
                  <c:v>36.53672101284279</c:v>
                </c:pt>
                <c:pt idx="1">
                  <c:v>37.447222206900946</c:v>
                </c:pt>
                <c:pt idx="2">
                  <c:v>32.63297139595452</c:v>
                </c:pt>
                <c:pt idx="3">
                  <c:v>32.425818191788352</c:v>
                </c:pt>
                <c:pt idx="4">
                  <c:v>31.236647377044168</c:v>
                </c:pt>
                <c:pt idx="5">
                  <c:v>33.51663080769486</c:v>
                </c:pt>
                <c:pt idx="6">
                  <c:v>35.202939209734573</c:v>
                </c:pt>
                <c:pt idx="7">
                  <c:v>34.184128344651917</c:v>
                </c:pt>
                <c:pt idx="8">
                  <c:v>33.092925498651745</c:v>
                </c:pt>
                <c:pt idx="9">
                  <c:v>35.064748762875702</c:v>
                </c:pt>
                <c:pt idx="10">
                  <c:v>34.797309991531129</c:v>
                </c:pt>
                <c:pt idx="11">
                  <c:v>29.274270819060831</c:v>
                </c:pt>
                <c:pt idx="12">
                  <c:v>33.935144508269872</c:v>
                </c:pt>
                <c:pt idx="13">
                  <c:v>42.354505822800938</c:v>
                </c:pt>
                <c:pt idx="14">
                  <c:v>32.143645312596618</c:v>
                </c:pt>
                <c:pt idx="15">
                  <c:v>36.376925871063314</c:v>
                </c:pt>
                <c:pt idx="16">
                  <c:v>31.053815440196999</c:v>
                </c:pt>
                <c:pt idx="17">
                  <c:v>32.576664166438327</c:v>
                </c:pt>
                <c:pt idx="18">
                  <c:v>38.148030874125901</c:v>
                </c:pt>
                <c:pt idx="19">
                  <c:v>32.986306946085591</c:v>
                </c:pt>
                <c:pt idx="20">
                  <c:v>30.641254558713957</c:v>
                </c:pt>
                <c:pt idx="21">
                  <c:v>31.3655915812306</c:v>
                </c:pt>
                <c:pt idx="22">
                  <c:v>31.993505763238449</c:v>
                </c:pt>
                <c:pt idx="23">
                  <c:v>32.720119814765575</c:v>
                </c:pt>
                <c:pt idx="24">
                  <c:v>42.697846813370937</c:v>
                </c:pt>
                <c:pt idx="25">
                  <c:v>34.115359318143469</c:v>
                </c:pt>
                <c:pt idx="26">
                  <c:v>33.228750103163897</c:v>
                </c:pt>
                <c:pt idx="27">
                  <c:v>33.090595257027736</c:v>
                </c:pt>
                <c:pt idx="28">
                  <c:v>35.167437095296464</c:v>
                </c:pt>
                <c:pt idx="29">
                  <c:v>32.932965558980918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5-4706-A61F-0B2A51FF9BA6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'DOY189'!$J$48:$J$85</c:f>
              <c:numCache>
                <c:formatCode>0.000</c:formatCode>
                <c:ptCount val="38"/>
                <c:pt idx="0">
                  <c:v>13.083</c:v>
                </c:pt>
                <c:pt idx="1">
                  <c:v>13.07</c:v>
                </c:pt>
                <c:pt idx="2">
                  <c:v>12.944000000000001</c:v>
                </c:pt>
                <c:pt idx="3">
                  <c:v>12.93</c:v>
                </c:pt>
                <c:pt idx="4">
                  <c:v>12.916</c:v>
                </c:pt>
                <c:pt idx="5">
                  <c:v>12.903</c:v>
                </c:pt>
                <c:pt idx="6">
                  <c:v>12.888999999999999</c:v>
                </c:pt>
                <c:pt idx="7">
                  <c:v>12.875</c:v>
                </c:pt>
                <c:pt idx="8">
                  <c:v>12.862</c:v>
                </c:pt>
                <c:pt idx="9">
                  <c:v>12.848000000000001</c:v>
                </c:pt>
                <c:pt idx="10">
                  <c:v>12.962999999999999</c:v>
                </c:pt>
                <c:pt idx="11">
                  <c:v>12.976000000000001</c:v>
                </c:pt>
                <c:pt idx="12">
                  <c:v>12.988</c:v>
                </c:pt>
                <c:pt idx="13">
                  <c:v>13.002000000000001</c:v>
                </c:pt>
                <c:pt idx="14">
                  <c:v>13.016</c:v>
                </c:pt>
                <c:pt idx="15">
                  <c:v>13.029</c:v>
                </c:pt>
                <c:pt idx="16">
                  <c:v>13.042999999999999</c:v>
                </c:pt>
                <c:pt idx="17">
                  <c:v>13.055999999999999</c:v>
                </c:pt>
                <c:pt idx="18">
                  <c:v>13.16</c:v>
                </c:pt>
                <c:pt idx="19">
                  <c:v>13.173999999999999</c:v>
                </c:pt>
                <c:pt idx="20">
                  <c:v>13.186999999999999</c:v>
                </c:pt>
                <c:pt idx="21">
                  <c:v>13.201000000000001</c:v>
                </c:pt>
                <c:pt idx="22">
                  <c:v>13.215</c:v>
                </c:pt>
                <c:pt idx="23">
                  <c:v>13.228</c:v>
                </c:pt>
                <c:pt idx="24">
                  <c:v>13.282</c:v>
                </c:pt>
                <c:pt idx="25">
                  <c:v>13.295</c:v>
                </c:pt>
                <c:pt idx="26">
                  <c:v>13.423</c:v>
                </c:pt>
                <c:pt idx="27">
                  <c:v>13.406000000000001</c:v>
                </c:pt>
                <c:pt idx="28">
                  <c:v>13.391</c:v>
                </c:pt>
                <c:pt idx="29">
                  <c:v>13.375999999999999</c:v>
                </c:pt>
                <c:pt idx="30">
                  <c:v>13.361000000000001</c:v>
                </c:pt>
                <c:pt idx="31">
                  <c:v>13.345000000000001</c:v>
                </c:pt>
                <c:pt idx="32">
                  <c:v>13.329000000000001</c:v>
                </c:pt>
                <c:pt idx="33">
                  <c:v>13.316000000000001</c:v>
                </c:pt>
                <c:pt idx="34">
                  <c:v>13.135</c:v>
                </c:pt>
                <c:pt idx="35">
                  <c:v>13.114000000000001</c:v>
                </c:pt>
                <c:pt idx="36">
                  <c:v>13.096</c:v>
                </c:pt>
                <c:pt idx="37">
                  <c:v>13.074999999999999</c:v>
                </c:pt>
              </c:numCache>
            </c:numRef>
          </c:xVal>
          <c:yVal>
            <c:numRef>
              <c:f>'DOY189'!$W$48:$W$85</c:f>
              <c:numCache>
                <c:formatCode>0.00</c:formatCode>
                <c:ptCount val="38"/>
                <c:pt idx="0">
                  <c:v>63.147887545511253</c:v>
                </c:pt>
                <c:pt idx="1">
                  <c:v>49.712536644553687</c:v>
                </c:pt>
                <c:pt idx="2">
                  <c:v>30.539824846119966</c:v>
                </c:pt>
                <c:pt idx="3">
                  <c:v>29.363168287099352</c:v>
                </c:pt>
                <c:pt idx="4">
                  <c:v>28.777325831740843</c:v>
                </c:pt>
                <c:pt idx="5">
                  <c:v>28.263371657222834</c:v>
                </c:pt>
                <c:pt idx="6">
                  <c:v>29.832567081423452</c:v>
                </c:pt>
                <c:pt idx="7">
                  <c:v>28.851633986377895</c:v>
                </c:pt>
                <c:pt idx="8">
                  <c:v>30.200391745648961</c:v>
                </c:pt>
                <c:pt idx="9">
                  <c:v>30.580414028504663</c:v>
                </c:pt>
                <c:pt idx="10">
                  <c:v>31.054252592030064</c:v>
                </c:pt>
                <c:pt idx="11">
                  <c:v>29.452801932173504</c:v>
                </c:pt>
                <c:pt idx="12">
                  <c:v>29.257740675292698</c:v>
                </c:pt>
                <c:pt idx="13">
                  <c:v>28.614824684697449</c:v>
                </c:pt>
                <c:pt idx="14">
                  <c:v>29.574664583537938</c:v>
                </c:pt>
                <c:pt idx="15">
                  <c:v>29.14206489269738</c:v>
                </c:pt>
                <c:pt idx="16">
                  <c:v>28.401535497774955</c:v>
                </c:pt>
                <c:pt idx="17">
                  <c:v>28.352727034422276</c:v>
                </c:pt>
                <c:pt idx="18">
                  <c:v>27.951993544921425</c:v>
                </c:pt>
                <c:pt idx="19">
                  <c:v>27.532806693176578</c:v>
                </c:pt>
                <c:pt idx="20">
                  <c:v>29.055492194245065</c:v>
                </c:pt>
                <c:pt idx="21">
                  <c:v>28.155855275166758</c:v>
                </c:pt>
                <c:pt idx="22">
                  <c:v>28.443163781717121</c:v>
                </c:pt>
                <c:pt idx="23">
                  <c:v>29.304460368395937</c:v>
                </c:pt>
                <c:pt idx="24">
                  <c:v>29.663562051576459</c:v>
                </c:pt>
                <c:pt idx="25">
                  <c:v>28.981303800465483</c:v>
                </c:pt>
                <c:pt idx="26">
                  <c:v>30.570401857052776</c:v>
                </c:pt>
                <c:pt idx="27">
                  <c:v>31.999423735489923</c:v>
                </c:pt>
                <c:pt idx="28">
                  <c:v>30.15097743325261</c:v>
                </c:pt>
                <c:pt idx="29">
                  <c:v>29.120767398558979</c:v>
                </c:pt>
                <c:pt idx="30">
                  <c:v>31.025123278521388</c:v>
                </c:pt>
                <c:pt idx="31">
                  <c:v>32.765785121021281</c:v>
                </c:pt>
                <c:pt idx="32">
                  <c:v>29.501430754239966</c:v>
                </c:pt>
                <c:pt idx="33">
                  <c:v>30.627623332172274</c:v>
                </c:pt>
                <c:pt idx="34">
                  <c:v>28.271576848678169</c:v>
                </c:pt>
                <c:pt idx="35">
                  <c:v>38.705873503587974</c:v>
                </c:pt>
                <c:pt idx="36">
                  <c:v>29.559148884680155</c:v>
                </c:pt>
                <c:pt idx="37">
                  <c:v>36.148691922532088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55-4706-A61F-0B2A51FF9BA6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('DOY189'!$J$17,'DOY189'!$J$26)</c:f>
              <c:numCache>
                <c:formatCode>0.000</c:formatCode>
                <c:ptCount val="2"/>
                <c:pt idx="0">
                  <c:v>12.843999999999999</c:v>
                </c:pt>
                <c:pt idx="1">
                  <c:v>13.154</c:v>
                </c:pt>
              </c:numCache>
            </c:numRef>
          </c:xVal>
          <c:yVal>
            <c:numRef>
              <c:f>('DOY189'!$W$17,'DOY189'!$W$26)</c:f>
              <c:numCache>
                <c:formatCode>0.00</c:formatCode>
                <c:ptCount val="2"/>
                <c:pt idx="0">
                  <c:v>34.184128344651917</c:v>
                </c:pt>
                <c:pt idx="1">
                  <c:v>31.053815440196999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55-4706-A61F-0B2A51FF9BA6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('DOY189'!$J$59,'DOY189'!$J$68)</c:f>
              <c:numCache>
                <c:formatCode>0.000</c:formatCode>
                <c:ptCount val="2"/>
                <c:pt idx="0">
                  <c:v>12.976000000000001</c:v>
                </c:pt>
                <c:pt idx="1">
                  <c:v>13.186999999999999</c:v>
                </c:pt>
              </c:numCache>
            </c:numRef>
          </c:xVal>
          <c:yVal>
            <c:numRef>
              <c:f>('DOY189'!$W$59,'DOY189'!$W$68)</c:f>
              <c:numCache>
                <c:formatCode>0.00</c:formatCode>
                <c:ptCount val="2"/>
                <c:pt idx="0">
                  <c:v>29.452801932173504</c:v>
                </c:pt>
                <c:pt idx="1">
                  <c:v>29.055492194245065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55-4706-A61F-0B2A51FF9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552256"/>
        <c:axId val="1"/>
      </c:scatterChart>
      <c:valAx>
        <c:axId val="882552256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552256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'DOY195'!$J$10:$J$39</c:f>
              <c:numCache>
                <c:formatCode>0.000</c:formatCode>
                <c:ptCount val="30"/>
                <c:pt idx="0">
                  <c:v>13.154999999999999</c:v>
                </c:pt>
                <c:pt idx="1">
                  <c:v>13.138</c:v>
                </c:pt>
                <c:pt idx="2">
                  <c:v>13.121</c:v>
                </c:pt>
                <c:pt idx="3">
                  <c:v>13.103999999999999</c:v>
                </c:pt>
                <c:pt idx="4">
                  <c:v>13.087</c:v>
                </c:pt>
                <c:pt idx="5">
                  <c:v>13.07</c:v>
                </c:pt>
                <c:pt idx="6">
                  <c:v>13.053000000000001</c:v>
                </c:pt>
                <c:pt idx="7">
                  <c:v>13.037000000000001</c:v>
                </c:pt>
                <c:pt idx="8">
                  <c:v>13.212</c:v>
                </c:pt>
                <c:pt idx="9">
                  <c:v>13.228</c:v>
                </c:pt>
                <c:pt idx="10">
                  <c:v>13.244999999999999</c:v>
                </c:pt>
                <c:pt idx="11">
                  <c:v>13.260999999999999</c:v>
                </c:pt>
                <c:pt idx="12">
                  <c:v>13.278</c:v>
                </c:pt>
                <c:pt idx="13">
                  <c:v>13.294</c:v>
                </c:pt>
                <c:pt idx="14">
                  <c:v>13.314</c:v>
                </c:pt>
                <c:pt idx="15">
                  <c:v>13.331</c:v>
                </c:pt>
                <c:pt idx="16">
                  <c:v>13.455</c:v>
                </c:pt>
                <c:pt idx="17">
                  <c:v>13.472</c:v>
                </c:pt>
                <c:pt idx="18">
                  <c:v>13.489000000000001</c:v>
                </c:pt>
                <c:pt idx="19">
                  <c:v>13.505000000000001</c:v>
                </c:pt>
                <c:pt idx="20">
                  <c:v>13.521000000000001</c:v>
                </c:pt>
                <c:pt idx="21">
                  <c:v>13.538</c:v>
                </c:pt>
                <c:pt idx="22">
                  <c:v>13.553000000000001</c:v>
                </c:pt>
                <c:pt idx="23">
                  <c:v>13.57</c:v>
                </c:pt>
                <c:pt idx="24">
                  <c:v>13.707000000000001</c:v>
                </c:pt>
                <c:pt idx="25">
                  <c:v>13.69</c:v>
                </c:pt>
                <c:pt idx="26">
                  <c:v>13.673999999999999</c:v>
                </c:pt>
                <c:pt idx="27">
                  <c:v>13.657</c:v>
                </c:pt>
                <c:pt idx="28">
                  <c:v>13.64</c:v>
                </c:pt>
                <c:pt idx="29">
                  <c:v>13.625</c:v>
                </c:pt>
              </c:numCache>
            </c:numRef>
          </c:xVal>
          <c:yVal>
            <c:numRef>
              <c:f>'DOY195'!$W$10:$W$39</c:f>
              <c:numCache>
                <c:formatCode>0.00</c:formatCode>
                <c:ptCount val="30"/>
                <c:pt idx="0">
                  <c:v>32.413072516555012</c:v>
                </c:pt>
                <c:pt idx="1">
                  <c:v>32.06139600653772</c:v>
                </c:pt>
                <c:pt idx="2">
                  <c:v>34.980253310373449</c:v>
                </c:pt>
                <c:pt idx="3">
                  <c:v>34.057831257795385</c:v>
                </c:pt>
                <c:pt idx="4">
                  <c:v>32.771962857045864</c:v>
                </c:pt>
                <c:pt idx="5">
                  <c:v>33.681884366471898</c:v>
                </c:pt>
                <c:pt idx="6">
                  <c:v>33.529192665665576</c:v>
                </c:pt>
                <c:pt idx="7">
                  <c:v>32.384041829634846</c:v>
                </c:pt>
                <c:pt idx="8">
                  <c:v>31.086715132727818</c:v>
                </c:pt>
                <c:pt idx="9">
                  <c:v>33.553230570013177</c:v>
                </c:pt>
                <c:pt idx="10">
                  <c:v>29.826899059692838</c:v>
                </c:pt>
                <c:pt idx="11">
                  <c:v>31.453655680034931</c:v>
                </c:pt>
                <c:pt idx="12">
                  <c:v>31.284213875295986</c:v>
                </c:pt>
                <c:pt idx="13">
                  <c:v>36.552980172105059</c:v>
                </c:pt>
                <c:pt idx="14">
                  <c:v>31.877308530346735</c:v>
                </c:pt>
                <c:pt idx="15">
                  <c:v>33.185050522534524</c:v>
                </c:pt>
                <c:pt idx="16">
                  <c:v>30.679011233787602</c:v>
                </c:pt>
                <c:pt idx="17">
                  <c:v>31.137309441808085</c:v>
                </c:pt>
                <c:pt idx="18">
                  <c:v>33.740854513877743</c:v>
                </c:pt>
                <c:pt idx="19">
                  <c:v>30.821097053951338</c:v>
                </c:pt>
                <c:pt idx="20">
                  <c:v>31.73632521454736</c:v>
                </c:pt>
                <c:pt idx="21">
                  <c:v>33.863858415766323</c:v>
                </c:pt>
                <c:pt idx="22">
                  <c:v>32.128108341141292</c:v>
                </c:pt>
                <c:pt idx="23">
                  <c:v>31.629689427031508</c:v>
                </c:pt>
                <c:pt idx="24">
                  <c:v>47.930889649300845</c:v>
                </c:pt>
                <c:pt idx="25">
                  <c:v>36.265560522172073</c:v>
                </c:pt>
                <c:pt idx="26">
                  <c:v>31.645916646277801</c:v>
                </c:pt>
                <c:pt idx="27">
                  <c:v>33.059547681811317</c:v>
                </c:pt>
                <c:pt idx="28">
                  <c:v>33.049503808955983</c:v>
                </c:pt>
                <c:pt idx="29">
                  <c:v>32.721953262740321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E3-4216-8363-8182E7C473C6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'DOY195'!$J$48:$J$85</c:f>
              <c:numCache>
                <c:formatCode>0.000</c:formatCode>
                <c:ptCount val="38"/>
                <c:pt idx="0">
                  <c:v>13.366</c:v>
                </c:pt>
                <c:pt idx="1">
                  <c:v>13.349</c:v>
                </c:pt>
                <c:pt idx="2">
                  <c:v>13.16</c:v>
                </c:pt>
                <c:pt idx="3">
                  <c:v>13.143000000000001</c:v>
                </c:pt>
                <c:pt idx="4">
                  <c:v>13.125999999999999</c:v>
                </c:pt>
                <c:pt idx="5">
                  <c:v>13.109</c:v>
                </c:pt>
                <c:pt idx="6">
                  <c:v>13.090999999999999</c:v>
                </c:pt>
                <c:pt idx="7">
                  <c:v>13.074</c:v>
                </c:pt>
                <c:pt idx="8">
                  <c:v>13.058</c:v>
                </c:pt>
                <c:pt idx="9">
                  <c:v>13.041</c:v>
                </c:pt>
                <c:pt idx="10">
                  <c:v>13.217000000000001</c:v>
                </c:pt>
                <c:pt idx="11">
                  <c:v>13.233000000000001</c:v>
                </c:pt>
                <c:pt idx="12">
                  <c:v>13.249000000000001</c:v>
                </c:pt>
                <c:pt idx="13">
                  <c:v>13.266</c:v>
                </c:pt>
                <c:pt idx="14">
                  <c:v>13.282</c:v>
                </c:pt>
                <c:pt idx="15">
                  <c:v>13.298999999999999</c:v>
                </c:pt>
                <c:pt idx="16">
                  <c:v>13.319000000000001</c:v>
                </c:pt>
                <c:pt idx="17">
                  <c:v>13.335000000000001</c:v>
                </c:pt>
                <c:pt idx="18">
                  <c:v>13.46</c:v>
                </c:pt>
                <c:pt idx="19">
                  <c:v>13.477</c:v>
                </c:pt>
                <c:pt idx="20">
                  <c:v>13.494</c:v>
                </c:pt>
                <c:pt idx="21">
                  <c:v>13.51</c:v>
                </c:pt>
                <c:pt idx="22">
                  <c:v>13.525</c:v>
                </c:pt>
                <c:pt idx="23">
                  <c:v>13.542</c:v>
                </c:pt>
                <c:pt idx="24">
                  <c:v>13.558</c:v>
                </c:pt>
                <c:pt idx="25">
                  <c:v>13.574999999999999</c:v>
                </c:pt>
                <c:pt idx="26">
                  <c:v>13.711</c:v>
                </c:pt>
                <c:pt idx="27">
                  <c:v>13.695</c:v>
                </c:pt>
                <c:pt idx="28">
                  <c:v>13.678000000000001</c:v>
                </c:pt>
                <c:pt idx="29">
                  <c:v>13.661</c:v>
                </c:pt>
                <c:pt idx="30">
                  <c:v>13.645</c:v>
                </c:pt>
                <c:pt idx="31">
                  <c:v>13.629</c:v>
                </c:pt>
                <c:pt idx="32">
                  <c:v>13.612</c:v>
                </c:pt>
                <c:pt idx="33">
                  <c:v>13.596</c:v>
                </c:pt>
                <c:pt idx="34">
                  <c:v>13.428000000000001</c:v>
                </c:pt>
                <c:pt idx="35">
                  <c:v>13.403</c:v>
                </c:pt>
                <c:pt idx="36">
                  <c:v>13.378</c:v>
                </c:pt>
                <c:pt idx="37">
                  <c:v>13.353</c:v>
                </c:pt>
              </c:numCache>
            </c:numRef>
          </c:xVal>
          <c:yVal>
            <c:numRef>
              <c:f>'DOY195'!$W$48:$W$85</c:f>
              <c:numCache>
                <c:formatCode>0.00</c:formatCode>
                <c:ptCount val="38"/>
                <c:pt idx="0">
                  <c:v>65.06137128950806</c:v>
                </c:pt>
                <c:pt idx="1">
                  <c:v>38.175442259586767</c:v>
                </c:pt>
                <c:pt idx="2">
                  <c:v>31.066382770205518</c:v>
                </c:pt>
                <c:pt idx="3">
                  <c:v>29.429501262310385</c:v>
                </c:pt>
                <c:pt idx="4">
                  <c:v>31.007297957038887</c:v>
                </c:pt>
                <c:pt idx="5">
                  <c:v>34.429547772947622</c:v>
                </c:pt>
                <c:pt idx="6">
                  <c:v>32.601400936051746</c:v>
                </c:pt>
                <c:pt idx="7">
                  <c:v>32.265775526372714</c:v>
                </c:pt>
                <c:pt idx="8">
                  <c:v>31.752351658238471</c:v>
                </c:pt>
                <c:pt idx="9">
                  <c:v>31.098541328932587</c:v>
                </c:pt>
                <c:pt idx="10">
                  <c:v>30.47649152962158</c:v>
                </c:pt>
                <c:pt idx="11">
                  <c:v>29.899188891643689</c:v>
                </c:pt>
                <c:pt idx="12">
                  <c:v>31.831821669599822</c:v>
                </c:pt>
                <c:pt idx="13">
                  <c:v>31.516873815502862</c:v>
                </c:pt>
                <c:pt idx="14">
                  <c:v>31.603552185299993</c:v>
                </c:pt>
                <c:pt idx="15">
                  <c:v>32.451120491567146</c:v>
                </c:pt>
                <c:pt idx="16">
                  <c:v>30.451964014709606</c:v>
                </c:pt>
                <c:pt idx="17">
                  <c:v>30.719301014028606</c:v>
                </c:pt>
                <c:pt idx="18">
                  <c:v>29.283128707924789</c:v>
                </c:pt>
                <c:pt idx="19">
                  <c:v>29.380523724805993</c:v>
                </c:pt>
                <c:pt idx="20">
                  <c:v>29.315773354838058</c:v>
                </c:pt>
                <c:pt idx="21">
                  <c:v>30.127236466119381</c:v>
                </c:pt>
                <c:pt idx="22">
                  <c:v>31.364631406382625</c:v>
                </c:pt>
                <c:pt idx="23">
                  <c:v>32.907555361540503</c:v>
                </c:pt>
                <c:pt idx="24">
                  <c:v>30.257219771863287</c:v>
                </c:pt>
                <c:pt idx="25">
                  <c:v>30.160131201882081</c:v>
                </c:pt>
                <c:pt idx="26">
                  <c:v>34.582910298323036</c:v>
                </c:pt>
                <c:pt idx="27">
                  <c:v>31.363021679563072</c:v>
                </c:pt>
                <c:pt idx="28">
                  <c:v>30.589712214638727</c:v>
                </c:pt>
                <c:pt idx="29">
                  <c:v>30.993782968976507</c:v>
                </c:pt>
                <c:pt idx="30">
                  <c:v>32.507260596591237</c:v>
                </c:pt>
                <c:pt idx="31">
                  <c:v>31.911915141895651</c:v>
                </c:pt>
                <c:pt idx="32">
                  <c:v>30.28935719632139</c:v>
                </c:pt>
                <c:pt idx="33">
                  <c:v>29.827677505266408</c:v>
                </c:pt>
                <c:pt idx="34">
                  <c:v>33.814031985125133</c:v>
                </c:pt>
                <c:pt idx="35">
                  <c:v>35.068974282562813</c:v>
                </c:pt>
                <c:pt idx="36">
                  <c:v>32.938477565533091</c:v>
                </c:pt>
                <c:pt idx="37">
                  <c:v>34.752336063889707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E3-4216-8363-8182E7C473C6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('DOY195'!$J$17,'DOY195'!$J$26)</c:f>
              <c:numCache>
                <c:formatCode>0.000</c:formatCode>
                <c:ptCount val="2"/>
                <c:pt idx="0">
                  <c:v>13.037000000000001</c:v>
                </c:pt>
                <c:pt idx="1">
                  <c:v>13.455</c:v>
                </c:pt>
              </c:numCache>
            </c:numRef>
          </c:xVal>
          <c:yVal>
            <c:numRef>
              <c:f>('DOY195'!$W$17,'DOY195'!$W$26)</c:f>
              <c:numCache>
                <c:formatCode>0.00</c:formatCode>
                <c:ptCount val="2"/>
                <c:pt idx="0">
                  <c:v>32.384041829634846</c:v>
                </c:pt>
                <c:pt idx="1">
                  <c:v>30.679011233787602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E3-4216-8363-8182E7C473C6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('DOY195'!$J$59,'DOY195'!$J$68)</c:f>
              <c:numCache>
                <c:formatCode>0.000</c:formatCode>
                <c:ptCount val="2"/>
                <c:pt idx="0">
                  <c:v>13.233000000000001</c:v>
                </c:pt>
                <c:pt idx="1">
                  <c:v>13.494</c:v>
                </c:pt>
              </c:numCache>
            </c:numRef>
          </c:xVal>
          <c:yVal>
            <c:numRef>
              <c:f>('DOY195'!$W$59,'DOY195'!$W$68)</c:f>
              <c:numCache>
                <c:formatCode>0.00</c:formatCode>
                <c:ptCount val="2"/>
                <c:pt idx="0">
                  <c:v>29.899188891643689</c:v>
                </c:pt>
                <c:pt idx="1">
                  <c:v>29.315773354838058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E3-4216-8363-8182E7C47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418671"/>
        <c:axId val="1"/>
      </c:scatterChart>
      <c:valAx>
        <c:axId val="134341867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341867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'DOY196'!$J$10:$J$39</c:f>
              <c:numCache>
                <c:formatCode>0.000</c:formatCode>
                <c:ptCount val="30"/>
                <c:pt idx="0">
                  <c:v>13.189</c:v>
                </c:pt>
                <c:pt idx="1">
                  <c:v>13.173</c:v>
                </c:pt>
                <c:pt idx="2">
                  <c:v>13.157</c:v>
                </c:pt>
                <c:pt idx="3">
                  <c:v>13.14</c:v>
                </c:pt>
                <c:pt idx="4">
                  <c:v>13.122999999999999</c:v>
                </c:pt>
                <c:pt idx="5">
                  <c:v>13.102</c:v>
                </c:pt>
                <c:pt idx="6">
                  <c:v>13.086</c:v>
                </c:pt>
                <c:pt idx="7">
                  <c:v>13.069000000000001</c:v>
                </c:pt>
                <c:pt idx="8">
                  <c:v>13.211</c:v>
                </c:pt>
                <c:pt idx="9">
                  <c:v>13.226000000000001</c:v>
                </c:pt>
                <c:pt idx="10">
                  <c:v>13.242000000000001</c:v>
                </c:pt>
                <c:pt idx="11">
                  <c:v>13.259</c:v>
                </c:pt>
                <c:pt idx="12">
                  <c:v>13.276</c:v>
                </c:pt>
                <c:pt idx="13">
                  <c:v>13.295</c:v>
                </c:pt>
                <c:pt idx="14">
                  <c:v>13.324999999999999</c:v>
                </c:pt>
                <c:pt idx="15">
                  <c:v>13.349</c:v>
                </c:pt>
                <c:pt idx="16">
                  <c:v>13.462999999999999</c:v>
                </c:pt>
                <c:pt idx="17">
                  <c:v>13.478999999999999</c:v>
                </c:pt>
                <c:pt idx="18">
                  <c:v>13.497999999999999</c:v>
                </c:pt>
                <c:pt idx="19">
                  <c:v>13.512</c:v>
                </c:pt>
                <c:pt idx="20">
                  <c:v>13.528</c:v>
                </c:pt>
                <c:pt idx="21">
                  <c:v>13.544</c:v>
                </c:pt>
                <c:pt idx="22">
                  <c:v>13.56</c:v>
                </c:pt>
                <c:pt idx="23">
                  <c:v>13.574999999999999</c:v>
                </c:pt>
                <c:pt idx="24">
                  <c:v>13.709</c:v>
                </c:pt>
                <c:pt idx="25">
                  <c:v>13.693</c:v>
                </c:pt>
                <c:pt idx="26">
                  <c:v>13.678000000000001</c:v>
                </c:pt>
                <c:pt idx="27">
                  <c:v>13.662000000000001</c:v>
                </c:pt>
                <c:pt idx="28">
                  <c:v>13.646000000000001</c:v>
                </c:pt>
                <c:pt idx="29">
                  <c:v>13.63</c:v>
                </c:pt>
              </c:numCache>
            </c:numRef>
          </c:xVal>
          <c:yVal>
            <c:numRef>
              <c:f>'DOY196'!$W$10:$W$39</c:f>
              <c:numCache>
                <c:formatCode>0.00</c:formatCode>
                <c:ptCount val="30"/>
                <c:pt idx="0">
                  <c:v>29.774835741040103</c:v>
                </c:pt>
                <c:pt idx="1">
                  <c:v>29.032754927008341</c:v>
                </c:pt>
                <c:pt idx="2">
                  <c:v>28.626393054147425</c:v>
                </c:pt>
                <c:pt idx="3">
                  <c:v>30.251186137135353</c:v>
                </c:pt>
                <c:pt idx="4">
                  <c:v>29.962009197441166</c:v>
                </c:pt>
                <c:pt idx="5">
                  <c:v>30.545368376196219</c:v>
                </c:pt>
                <c:pt idx="6">
                  <c:v>31.916874472466869</c:v>
                </c:pt>
                <c:pt idx="7">
                  <c:v>30.433410275279204</c:v>
                </c:pt>
                <c:pt idx="8">
                  <c:v>28.236996150286974</c:v>
                </c:pt>
                <c:pt idx="9">
                  <c:v>32.281504339700419</c:v>
                </c:pt>
                <c:pt idx="10">
                  <c:v>32.408331594612129</c:v>
                </c:pt>
                <c:pt idx="11">
                  <c:v>31.726841598881339</c:v>
                </c:pt>
                <c:pt idx="12">
                  <c:v>32.96788534597821</c:v>
                </c:pt>
                <c:pt idx="13">
                  <c:v>31.900883252557364</c:v>
                </c:pt>
                <c:pt idx="14">
                  <c:v>32.074333523643446</c:v>
                </c:pt>
                <c:pt idx="15">
                  <c:v>34.599731048880635</c:v>
                </c:pt>
                <c:pt idx="16">
                  <c:v>31.20729583750342</c:v>
                </c:pt>
                <c:pt idx="17">
                  <c:v>32.47280017432719</c:v>
                </c:pt>
                <c:pt idx="18">
                  <c:v>32.98519550803843</c:v>
                </c:pt>
                <c:pt idx="19">
                  <c:v>32.549378313218412</c:v>
                </c:pt>
                <c:pt idx="20">
                  <c:v>30.432661958390565</c:v>
                </c:pt>
                <c:pt idx="21">
                  <c:v>33.711263967891718</c:v>
                </c:pt>
                <c:pt idx="22">
                  <c:v>33.056958932924772</c:v>
                </c:pt>
                <c:pt idx="23">
                  <c:v>35.807652678352859</c:v>
                </c:pt>
                <c:pt idx="24">
                  <c:v>47.098430529792068</c:v>
                </c:pt>
                <c:pt idx="25">
                  <c:v>37.468684494709741</c:v>
                </c:pt>
                <c:pt idx="26">
                  <c:v>32.278445342738202</c:v>
                </c:pt>
                <c:pt idx="27">
                  <c:v>32.69867091909942</c:v>
                </c:pt>
                <c:pt idx="28">
                  <c:v>33.305338869922764</c:v>
                </c:pt>
                <c:pt idx="29">
                  <c:v>32.684528947724395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B3-437E-A6AA-B02E548B5B02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'DOY196'!$J$48:$J$85</c:f>
              <c:numCache>
                <c:formatCode>0.000</c:formatCode>
                <c:ptCount val="38"/>
                <c:pt idx="0">
                  <c:v>13.381</c:v>
                </c:pt>
                <c:pt idx="1">
                  <c:v>13.366</c:v>
                </c:pt>
                <c:pt idx="2">
                  <c:v>13.194000000000001</c:v>
                </c:pt>
                <c:pt idx="3">
                  <c:v>13.178000000000001</c:v>
                </c:pt>
                <c:pt idx="4">
                  <c:v>13.161</c:v>
                </c:pt>
                <c:pt idx="5">
                  <c:v>13.144</c:v>
                </c:pt>
                <c:pt idx="6">
                  <c:v>13.128</c:v>
                </c:pt>
                <c:pt idx="7">
                  <c:v>13.106</c:v>
                </c:pt>
                <c:pt idx="8">
                  <c:v>13.09</c:v>
                </c:pt>
                <c:pt idx="9">
                  <c:v>13.074</c:v>
                </c:pt>
                <c:pt idx="10">
                  <c:v>13.215</c:v>
                </c:pt>
                <c:pt idx="11">
                  <c:v>13.231</c:v>
                </c:pt>
                <c:pt idx="12">
                  <c:v>13.246</c:v>
                </c:pt>
                <c:pt idx="13">
                  <c:v>13.263999999999999</c:v>
                </c:pt>
                <c:pt idx="14">
                  <c:v>13.284000000000001</c:v>
                </c:pt>
                <c:pt idx="15">
                  <c:v>13.302</c:v>
                </c:pt>
                <c:pt idx="16">
                  <c:v>13.33</c:v>
                </c:pt>
                <c:pt idx="17">
                  <c:v>13.353</c:v>
                </c:pt>
                <c:pt idx="18">
                  <c:v>13.468</c:v>
                </c:pt>
                <c:pt idx="19">
                  <c:v>13.484</c:v>
                </c:pt>
                <c:pt idx="20">
                  <c:v>13.502000000000001</c:v>
                </c:pt>
                <c:pt idx="21">
                  <c:v>13.516999999999999</c:v>
                </c:pt>
                <c:pt idx="22">
                  <c:v>13.532</c:v>
                </c:pt>
                <c:pt idx="23">
                  <c:v>13.548</c:v>
                </c:pt>
                <c:pt idx="24">
                  <c:v>13.564</c:v>
                </c:pt>
                <c:pt idx="25">
                  <c:v>13.58</c:v>
                </c:pt>
                <c:pt idx="26">
                  <c:v>13.712999999999999</c:v>
                </c:pt>
                <c:pt idx="27">
                  <c:v>13.698</c:v>
                </c:pt>
                <c:pt idx="28">
                  <c:v>13.682</c:v>
                </c:pt>
                <c:pt idx="29">
                  <c:v>13.666</c:v>
                </c:pt>
                <c:pt idx="30">
                  <c:v>13.651</c:v>
                </c:pt>
                <c:pt idx="31">
                  <c:v>13.635</c:v>
                </c:pt>
                <c:pt idx="32">
                  <c:v>13.615</c:v>
                </c:pt>
                <c:pt idx="33">
                  <c:v>13.599</c:v>
                </c:pt>
                <c:pt idx="34">
                  <c:v>13.441000000000001</c:v>
                </c:pt>
                <c:pt idx="35">
                  <c:v>13.417</c:v>
                </c:pt>
                <c:pt idx="36">
                  <c:v>13.394</c:v>
                </c:pt>
                <c:pt idx="37">
                  <c:v>13.37</c:v>
                </c:pt>
              </c:numCache>
            </c:numRef>
          </c:xVal>
          <c:yVal>
            <c:numRef>
              <c:f>'DOY196'!$W$48:$W$85</c:f>
              <c:numCache>
                <c:formatCode>0.00</c:formatCode>
                <c:ptCount val="38"/>
                <c:pt idx="0">
                  <c:v>63.832032409239353</c:v>
                </c:pt>
                <c:pt idx="1">
                  <c:v>36.618993702175963</c:v>
                </c:pt>
                <c:pt idx="2">
                  <c:v>26.906627973511906</c:v>
                </c:pt>
                <c:pt idx="3">
                  <c:v>25.836180617308582</c:v>
                </c:pt>
                <c:pt idx="4">
                  <c:v>26.917175546444255</c:v>
                </c:pt>
                <c:pt idx="5">
                  <c:v>26.742939785028288</c:v>
                </c:pt>
                <c:pt idx="6">
                  <c:v>28.089771180386425</c:v>
                </c:pt>
                <c:pt idx="7">
                  <c:v>28.383252466193266</c:v>
                </c:pt>
                <c:pt idx="8">
                  <c:v>30.441677296822906</c:v>
                </c:pt>
                <c:pt idx="9">
                  <c:v>27.631382963252278</c:v>
                </c:pt>
                <c:pt idx="10">
                  <c:v>28.963165186388398</c:v>
                </c:pt>
                <c:pt idx="11">
                  <c:v>29.167174856516493</c:v>
                </c:pt>
                <c:pt idx="12">
                  <c:v>30.636044645206002</c:v>
                </c:pt>
                <c:pt idx="13">
                  <c:v>32.030551493926417</c:v>
                </c:pt>
                <c:pt idx="14">
                  <c:v>29.004490545808732</c:v>
                </c:pt>
                <c:pt idx="15">
                  <c:v>26.718824388361156</c:v>
                </c:pt>
                <c:pt idx="16">
                  <c:v>29.753073669925566</c:v>
                </c:pt>
                <c:pt idx="17">
                  <c:v>31.427839173777802</c:v>
                </c:pt>
                <c:pt idx="18">
                  <c:v>29.866093579387552</c:v>
                </c:pt>
                <c:pt idx="19">
                  <c:v>30.093676199946</c:v>
                </c:pt>
                <c:pt idx="20">
                  <c:v>31.101723808192165</c:v>
                </c:pt>
                <c:pt idx="21">
                  <c:v>29.939795884980928</c:v>
                </c:pt>
                <c:pt idx="22">
                  <c:v>31.435019353188306</c:v>
                </c:pt>
                <c:pt idx="23">
                  <c:v>32.608908895692956</c:v>
                </c:pt>
                <c:pt idx="24">
                  <c:v>31.669084722281386</c:v>
                </c:pt>
                <c:pt idx="25">
                  <c:v>33.729643360194345</c:v>
                </c:pt>
                <c:pt idx="26">
                  <c:v>33.919428094590081</c:v>
                </c:pt>
                <c:pt idx="27">
                  <c:v>31.621829627697679</c:v>
                </c:pt>
                <c:pt idx="28">
                  <c:v>32.402051571292304</c:v>
                </c:pt>
                <c:pt idx="29">
                  <c:v>31.653695829037392</c:v>
                </c:pt>
                <c:pt idx="30">
                  <c:v>31.250776892358235</c:v>
                </c:pt>
                <c:pt idx="31">
                  <c:v>30.564107051071247</c:v>
                </c:pt>
                <c:pt idx="32">
                  <c:v>32.007869705170776</c:v>
                </c:pt>
                <c:pt idx="33">
                  <c:v>31.670053376275643</c:v>
                </c:pt>
                <c:pt idx="34">
                  <c:v>34.420099381063224</c:v>
                </c:pt>
                <c:pt idx="35">
                  <c:v>32.192961059137623</c:v>
                </c:pt>
                <c:pt idx="36">
                  <c:v>33.202232505324169</c:v>
                </c:pt>
                <c:pt idx="37">
                  <c:v>32.20888535386208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B3-437E-A6AA-B02E548B5B02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('DOY196'!$J$17,'DOY196'!$J$26)</c:f>
              <c:numCache>
                <c:formatCode>0.000</c:formatCode>
                <c:ptCount val="2"/>
                <c:pt idx="0">
                  <c:v>13.069000000000001</c:v>
                </c:pt>
                <c:pt idx="1">
                  <c:v>13.462999999999999</c:v>
                </c:pt>
              </c:numCache>
            </c:numRef>
          </c:xVal>
          <c:yVal>
            <c:numRef>
              <c:f>('DOY196'!$W$17,'DOY196'!$W$26)</c:f>
              <c:numCache>
                <c:formatCode>0.00</c:formatCode>
                <c:ptCount val="2"/>
                <c:pt idx="0">
                  <c:v>30.433410275279204</c:v>
                </c:pt>
                <c:pt idx="1">
                  <c:v>31.20729583750342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B3-437E-A6AA-B02E548B5B02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('DOY196'!$J$59,'DOY196'!$J$68)</c:f>
              <c:numCache>
                <c:formatCode>0.000</c:formatCode>
                <c:ptCount val="2"/>
                <c:pt idx="0">
                  <c:v>13.231</c:v>
                </c:pt>
                <c:pt idx="1">
                  <c:v>13.502000000000001</c:v>
                </c:pt>
              </c:numCache>
            </c:numRef>
          </c:xVal>
          <c:yVal>
            <c:numRef>
              <c:f>('DOY196'!$W$59,'DOY196'!$W$68)</c:f>
              <c:numCache>
                <c:formatCode>0.00</c:formatCode>
                <c:ptCount val="2"/>
                <c:pt idx="0">
                  <c:v>29.167174856516493</c:v>
                </c:pt>
                <c:pt idx="1">
                  <c:v>31.101723808192165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B3-437E-A6AA-B02E548B5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304255"/>
        <c:axId val="1"/>
      </c:scatterChart>
      <c:valAx>
        <c:axId val="1634304255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4304255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'DOY197'!$J$10:$J$39</c:f>
              <c:numCache>
                <c:formatCode>0.000</c:formatCode>
                <c:ptCount val="30"/>
                <c:pt idx="0">
                  <c:v>13.191000000000001</c:v>
                </c:pt>
                <c:pt idx="1">
                  <c:v>13.173</c:v>
                </c:pt>
                <c:pt idx="2">
                  <c:v>13.156000000000001</c:v>
                </c:pt>
                <c:pt idx="3">
                  <c:v>13.138999999999999</c:v>
                </c:pt>
                <c:pt idx="4">
                  <c:v>13.121</c:v>
                </c:pt>
                <c:pt idx="5">
                  <c:v>13.103999999999999</c:v>
                </c:pt>
                <c:pt idx="6">
                  <c:v>13.087</c:v>
                </c:pt>
                <c:pt idx="7">
                  <c:v>13.069000000000001</c:v>
                </c:pt>
                <c:pt idx="8">
                  <c:v>13.212</c:v>
                </c:pt>
                <c:pt idx="9">
                  <c:v>13.228999999999999</c:v>
                </c:pt>
                <c:pt idx="10">
                  <c:v>13.244999999999999</c:v>
                </c:pt>
                <c:pt idx="11">
                  <c:v>13.263</c:v>
                </c:pt>
                <c:pt idx="12">
                  <c:v>13.279</c:v>
                </c:pt>
                <c:pt idx="13">
                  <c:v>13.295999999999999</c:v>
                </c:pt>
                <c:pt idx="14">
                  <c:v>13.311999999999999</c:v>
                </c:pt>
                <c:pt idx="15">
                  <c:v>13.327999999999999</c:v>
                </c:pt>
                <c:pt idx="16">
                  <c:v>13.454000000000001</c:v>
                </c:pt>
                <c:pt idx="17">
                  <c:v>13.468999999999999</c:v>
                </c:pt>
                <c:pt idx="18">
                  <c:v>13.484999999999999</c:v>
                </c:pt>
                <c:pt idx="19">
                  <c:v>13.502000000000001</c:v>
                </c:pt>
                <c:pt idx="20">
                  <c:v>13.521000000000001</c:v>
                </c:pt>
                <c:pt idx="21">
                  <c:v>13.537000000000001</c:v>
                </c:pt>
                <c:pt idx="22">
                  <c:v>13.555999999999999</c:v>
                </c:pt>
                <c:pt idx="23">
                  <c:v>13.571999999999999</c:v>
                </c:pt>
                <c:pt idx="24">
                  <c:v>13.715</c:v>
                </c:pt>
                <c:pt idx="25">
                  <c:v>13.698</c:v>
                </c:pt>
                <c:pt idx="26">
                  <c:v>13.680999999999999</c:v>
                </c:pt>
                <c:pt idx="27">
                  <c:v>13.664</c:v>
                </c:pt>
                <c:pt idx="28">
                  <c:v>13.648</c:v>
                </c:pt>
                <c:pt idx="29">
                  <c:v>13.631</c:v>
                </c:pt>
              </c:numCache>
            </c:numRef>
          </c:xVal>
          <c:yVal>
            <c:numRef>
              <c:f>'DOY197'!$W$10:$W$39</c:f>
              <c:numCache>
                <c:formatCode>0.00</c:formatCode>
                <c:ptCount val="30"/>
                <c:pt idx="0">
                  <c:v>35.026948579783102</c:v>
                </c:pt>
                <c:pt idx="1">
                  <c:v>34.584220479011343</c:v>
                </c:pt>
                <c:pt idx="2">
                  <c:v>31.099172444518036</c:v>
                </c:pt>
                <c:pt idx="3">
                  <c:v>32.070059717048622</c:v>
                </c:pt>
                <c:pt idx="4">
                  <c:v>31.737185284713274</c:v>
                </c:pt>
                <c:pt idx="5">
                  <c:v>32.425871499026833</c:v>
                </c:pt>
                <c:pt idx="6">
                  <c:v>32.896353236164863</c:v>
                </c:pt>
                <c:pt idx="7">
                  <c:v>32.754323774051691</c:v>
                </c:pt>
                <c:pt idx="8">
                  <c:v>31.94830468668864</c:v>
                </c:pt>
                <c:pt idx="9">
                  <c:v>33.493283761032878</c:v>
                </c:pt>
                <c:pt idx="10">
                  <c:v>32.963894902354781</c:v>
                </c:pt>
                <c:pt idx="11">
                  <c:v>28.984172683631979</c:v>
                </c:pt>
                <c:pt idx="12">
                  <c:v>31.111870240847082</c:v>
                </c:pt>
                <c:pt idx="13">
                  <c:v>34.264178447257358</c:v>
                </c:pt>
                <c:pt idx="14">
                  <c:v>31.370977392063626</c:v>
                </c:pt>
                <c:pt idx="15">
                  <c:v>33.000558582749676</c:v>
                </c:pt>
                <c:pt idx="16">
                  <c:v>32.260258519348817</c:v>
                </c:pt>
                <c:pt idx="17">
                  <c:v>33.578970392907159</c:v>
                </c:pt>
                <c:pt idx="18">
                  <c:v>35.725303722148418</c:v>
                </c:pt>
                <c:pt idx="19">
                  <c:v>32.814669221658825</c:v>
                </c:pt>
                <c:pt idx="20">
                  <c:v>32.141506127900477</c:v>
                </c:pt>
                <c:pt idx="21">
                  <c:v>34.067016280274103</c:v>
                </c:pt>
                <c:pt idx="22">
                  <c:v>31.915265533421344</c:v>
                </c:pt>
                <c:pt idx="23">
                  <c:v>30.729504003795839</c:v>
                </c:pt>
                <c:pt idx="24">
                  <c:v>51.328138494734411</c:v>
                </c:pt>
                <c:pt idx="25">
                  <c:v>39.112308310191914</c:v>
                </c:pt>
                <c:pt idx="26">
                  <c:v>30.03079310123627</c:v>
                </c:pt>
                <c:pt idx="27">
                  <c:v>30.542232297747372</c:v>
                </c:pt>
                <c:pt idx="28">
                  <c:v>30.591611386362114</c:v>
                </c:pt>
                <c:pt idx="29">
                  <c:v>31.823282462113848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8C-495F-8BB5-9A7EEEE5CD15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'DOY197'!$J$48:$J$85</c:f>
              <c:numCache>
                <c:formatCode>0.000</c:formatCode>
                <c:ptCount val="38"/>
                <c:pt idx="0">
                  <c:v>13.365</c:v>
                </c:pt>
                <c:pt idx="1">
                  <c:v>13.349</c:v>
                </c:pt>
                <c:pt idx="2">
                  <c:v>13.195</c:v>
                </c:pt>
                <c:pt idx="3">
                  <c:v>13.178000000000001</c:v>
                </c:pt>
                <c:pt idx="4">
                  <c:v>13.16</c:v>
                </c:pt>
                <c:pt idx="5">
                  <c:v>13.143000000000001</c:v>
                </c:pt>
                <c:pt idx="6">
                  <c:v>13.125999999999999</c:v>
                </c:pt>
                <c:pt idx="7">
                  <c:v>13.108000000000001</c:v>
                </c:pt>
                <c:pt idx="8">
                  <c:v>13.092000000000001</c:v>
                </c:pt>
                <c:pt idx="9">
                  <c:v>13.074</c:v>
                </c:pt>
                <c:pt idx="10">
                  <c:v>13.217000000000001</c:v>
                </c:pt>
                <c:pt idx="11">
                  <c:v>13.233000000000001</c:v>
                </c:pt>
                <c:pt idx="12">
                  <c:v>13.25</c:v>
                </c:pt>
                <c:pt idx="13">
                  <c:v>13.266999999999999</c:v>
                </c:pt>
                <c:pt idx="14">
                  <c:v>13.284000000000001</c:v>
                </c:pt>
                <c:pt idx="15">
                  <c:v>13.3</c:v>
                </c:pt>
                <c:pt idx="16">
                  <c:v>13.317</c:v>
                </c:pt>
                <c:pt idx="17">
                  <c:v>13.333</c:v>
                </c:pt>
                <c:pt idx="18">
                  <c:v>13.458</c:v>
                </c:pt>
                <c:pt idx="19">
                  <c:v>13.474</c:v>
                </c:pt>
                <c:pt idx="20">
                  <c:v>13.491</c:v>
                </c:pt>
                <c:pt idx="21">
                  <c:v>13.509</c:v>
                </c:pt>
                <c:pt idx="22">
                  <c:v>13.525</c:v>
                </c:pt>
                <c:pt idx="23">
                  <c:v>13.545</c:v>
                </c:pt>
                <c:pt idx="24">
                  <c:v>13.56</c:v>
                </c:pt>
                <c:pt idx="25">
                  <c:v>13.576000000000001</c:v>
                </c:pt>
                <c:pt idx="26">
                  <c:v>13.718999999999999</c:v>
                </c:pt>
                <c:pt idx="27">
                  <c:v>13.702</c:v>
                </c:pt>
                <c:pt idx="28">
                  <c:v>13.685</c:v>
                </c:pt>
                <c:pt idx="29">
                  <c:v>13.669</c:v>
                </c:pt>
                <c:pt idx="30">
                  <c:v>13.651999999999999</c:v>
                </c:pt>
                <c:pt idx="31">
                  <c:v>13.635</c:v>
                </c:pt>
                <c:pt idx="32">
                  <c:v>13.616</c:v>
                </c:pt>
                <c:pt idx="33">
                  <c:v>13.598000000000001</c:v>
                </c:pt>
                <c:pt idx="34">
                  <c:v>13.429</c:v>
                </c:pt>
                <c:pt idx="35">
                  <c:v>13.404</c:v>
                </c:pt>
                <c:pt idx="36">
                  <c:v>13.379</c:v>
                </c:pt>
                <c:pt idx="37">
                  <c:v>13.353</c:v>
                </c:pt>
              </c:numCache>
            </c:numRef>
          </c:xVal>
          <c:yVal>
            <c:numRef>
              <c:f>'DOY197'!$W$48:$W$85</c:f>
              <c:numCache>
                <c:formatCode>0.00</c:formatCode>
                <c:ptCount val="38"/>
                <c:pt idx="0">
                  <c:v>64.266398860044092</c:v>
                </c:pt>
                <c:pt idx="1">
                  <c:v>35.320690521573852</c:v>
                </c:pt>
                <c:pt idx="2">
                  <c:v>32.558845303829365</c:v>
                </c:pt>
                <c:pt idx="3">
                  <c:v>30.542038566948516</c:v>
                </c:pt>
                <c:pt idx="4">
                  <c:v>30.25209022643709</c:v>
                </c:pt>
                <c:pt idx="5">
                  <c:v>28.845360725498253</c:v>
                </c:pt>
                <c:pt idx="6">
                  <c:v>32.10703336672168</c:v>
                </c:pt>
                <c:pt idx="7">
                  <c:v>30.607595561515307</c:v>
                </c:pt>
                <c:pt idx="8">
                  <c:v>29.641906942209143</c:v>
                </c:pt>
                <c:pt idx="9">
                  <c:v>30.730779104690097</c:v>
                </c:pt>
                <c:pt idx="10">
                  <c:v>31.352103294099948</c:v>
                </c:pt>
                <c:pt idx="11">
                  <c:v>30.301370688463326</c:v>
                </c:pt>
                <c:pt idx="12">
                  <c:v>29.37532725419474</c:v>
                </c:pt>
                <c:pt idx="13">
                  <c:v>28.787924385310941</c:v>
                </c:pt>
                <c:pt idx="14">
                  <c:v>29.456628902199768</c:v>
                </c:pt>
                <c:pt idx="15">
                  <c:v>29.270051104649003</c:v>
                </c:pt>
                <c:pt idx="16">
                  <c:v>28.789682052013248</c:v>
                </c:pt>
                <c:pt idx="17">
                  <c:v>30.042013448397356</c:v>
                </c:pt>
                <c:pt idx="18">
                  <c:v>30.680794167031664</c:v>
                </c:pt>
                <c:pt idx="19">
                  <c:v>31.318585097402764</c:v>
                </c:pt>
                <c:pt idx="20">
                  <c:v>31.576959593961835</c:v>
                </c:pt>
                <c:pt idx="21">
                  <c:v>30.374410786962446</c:v>
                </c:pt>
                <c:pt idx="22">
                  <c:v>32.550770440366001</c:v>
                </c:pt>
                <c:pt idx="23">
                  <c:v>30.050229206987169</c:v>
                </c:pt>
                <c:pt idx="24">
                  <c:v>29.570677346084736</c:v>
                </c:pt>
                <c:pt idx="25">
                  <c:v>30.235553037912627</c:v>
                </c:pt>
                <c:pt idx="26">
                  <c:v>37.582084413009696</c:v>
                </c:pt>
                <c:pt idx="27">
                  <c:v>33.34379937401264</c:v>
                </c:pt>
                <c:pt idx="28">
                  <c:v>28.707344824828908</c:v>
                </c:pt>
                <c:pt idx="29">
                  <c:v>28.487005786487853</c:v>
                </c:pt>
                <c:pt idx="30">
                  <c:v>29.619693629748909</c:v>
                </c:pt>
                <c:pt idx="31">
                  <c:v>29.838137628639377</c:v>
                </c:pt>
                <c:pt idx="32">
                  <c:v>30.422518297061099</c:v>
                </c:pt>
                <c:pt idx="33">
                  <c:v>32.676685399334026</c:v>
                </c:pt>
                <c:pt idx="34">
                  <c:v>35.771716968351647</c:v>
                </c:pt>
                <c:pt idx="35">
                  <c:v>29.928694136791695</c:v>
                </c:pt>
                <c:pt idx="36">
                  <c:v>33.698503179588691</c:v>
                </c:pt>
                <c:pt idx="37">
                  <c:v>29.531025116290845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8C-495F-8BB5-9A7EEEE5CD15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('DOY197'!$J$17,'DOY197'!$J$26)</c:f>
              <c:numCache>
                <c:formatCode>0.000</c:formatCode>
                <c:ptCount val="2"/>
                <c:pt idx="0">
                  <c:v>13.069000000000001</c:v>
                </c:pt>
                <c:pt idx="1">
                  <c:v>13.454000000000001</c:v>
                </c:pt>
              </c:numCache>
            </c:numRef>
          </c:xVal>
          <c:yVal>
            <c:numRef>
              <c:f>('DOY197'!$W$17,'DOY197'!$W$26)</c:f>
              <c:numCache>
                <c:formatCode>0.00</c:formatCode>
                <c:ptCount val="2"/>
                <c:pt idx="0">
                  <c:v>32.754323774051691</c:v>
                </c:pt>
                <c:pt idx="1">
                  <c:v>32.260258519348817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8C-495F-8BB5-9A7EEEE5CD15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('DOY197'!$J$59,'DOY197'!$J$68)</c:f>
              <c:numCache>
                <c:formatCode>0.000</c:formatCode>
                <c:ptCount val="2"/>
                <c:pt idx="0">
                  <c:v>13.233000000000001</c:v>
                </c:pt>
                <c:pt idx="1">
                  <c:v>13.491</c:v>
                </c:pt>
              </c:numCache>
            </c:numRef>
          </c:xVal>
          <c:yVal>
            <c:numRef>
              <c:f>('DOY197'!$W$59,'DOY197'!$W$68)</c:f>
              <c:numCache>
                <c:formatCode>0.00</c:formatCode>
                <c:ptCount val="2"/>
                <c:pt idx="0">
                  <c:v>30.301370688463326</c:v>
                </c:pt>
                <c:pt idx="1">
                  <c:v>31.576959593961835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8C-495F-8BB5-9A7EEEE5C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76832"/>
        <c:axId val="1"/>
      </c:scatterChart>
      <c:valAx>
        <c:axId val="877476832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476832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'DOY198'!$J$10:$J$39</c:f>
              <c:numCache>
                <c:formatCode>0.000</c:formatCode>
                <c:ptCount val="30"/>
                <c:pt idx="0">
                  <c:v>13.183999999999999</c:v>
                </c:pt>
                <c:pt idx="1">
                  <c:v>13.167</c:v>
                </c:pt>
                <c:pt idx="2">
                  <c:v>13.151</c:v>
                </c:pt>
                <c:pt idx="3">
                  <c:v>13.135</c:v>
                </c:pt>
                <c:pt idx="4">
                  <c:v>13.118</c:v>
                </c:pt>
                <c:pt idx="5">
                  <c:v>13.102</c:v>
                </c:pt>
                <c:pt idx="6">
                  <c:v>13.087</c:v>
                </c:pt>
                <c:pt idx="7">
                  <c:v>13.071</c:v>
                </c:pt>
                <c:pt idx="8">
                  <c:v>13.204000000000001</c:v>
                </c:pt>
                <c:pt idx="9">
                  <c:v>13.218999999999999</c:v>
                </c:pt>
                <c:pt idx="10">
                  <c:v>13.234999999999999</c:v>
                </c:pt>
                <c:pt idx="11">
                  <c:v>13.250999999999999</c:v>
                </c:pt>
                <c:pt idx="12">
                  <c:v>13.268000000000001</c:v>
                </c:pt>
                <c:pt idx="13">
                  <c:v>13.282999999999999</c:v>
                </c:pt>
                <c:pt idx="14">
                  <c:v>13.302</c:v>
                </c:pt>
                <c:pt idx="15">
                  <c:v>13.319000000000001</c:v>
                </c:pt>
                <c:pt idx="16">
                  <c:v>13.44</c:v>
                </c:pt>
                <c:pt idx="17">
                  <c:v>13.46</c:v>
                </c:pt>
                <c:pt idx="18">
                  <c:v>13.48</c:v>
                </c:pt>
                <c:pt idx="19">
                  <c:v>13.5</c:v>
                </c:pt>
                <c:pt idx="20">
                  <c:v>13.523999999999999</c:v>
                </c:pt>
                <c:pt idx="21">
                  <c:v>13.542</c:v>
                </c:pt>
                <c:pt idx="22">
                  <c:v>13.561</c:v>
                </c:pt>
                <c:pt idx="23">
                  <c:v>13.577</c:v>
                </c:pt>
                <c:pt idx="24">
                  <c:v>13.73</c:v>
                </c:pt>
                <c:pt idx="25">
                  <c:v>13.712</c:v>
                </c:pt>
                <c:pt idx="26">
                  <c:v>13.695</c:v>
                </c:pt>
                <c:pt idx="27">
                  <c:v>13.676</c:v>
                </c:pt>
                <c:pt idx="28">
                  <c:v>13.657999999999999</c:v>
                </c:pt>
                <c:pt idx="29">
                  <c:v>13.638</c:v>
                </c:pt>
              </c:numCache>
            </c:numRef>
          </c:xVal>
          <c:yVal>
            <c:numRef>
              <c:f>'DOY198'!$W$10:$W$39</c:f>
              <c:numCache>
                <c:formatCode>0.00</c:formatCode>
                <c:ptCount val="30"/>
                <c:pt idx="0">
                  <c:v>29.462417585471588</c:v>
                </c:pt>
                <c:pt idx="1">
                  <c:v>29.576761909122084</c:v>
                </c:pt>
                <c:pt idx="2">
                  <c:v>29.186607693957018</c:v>
                </c:pt>
                <c:pt idx="3">
                  <c:v>29.617030555094132</c:v>
                </c:pt>
                <c:pt idx="4">
                  <c:v>30.347678106556629</c:v>
                </c:pt>
                <c:pt idx="5">
                  <c:v>29.772372656995984</c:v>
                </c:pt>
                <c:pt idx="6">
                  <c:v>30.007248173066092</c:v>
                </c:pt>
                <c:pt idx="7">
                  <c:v>29.739858338074665</c:v>
                </c:pt>
                <c:pt idx="8">
                  <c:v>28.967297190038963</c:v>
                </c:pt>
                <c:pt idx="9">
                  <c:v>29.421271867337463</c:v>
                </c:pt>
                <c:pt idx="10">
                  <c:v>29.056550418271737</c:v>
                </c:pt>
                <c:pt idx="11">
                  <c:v>28.118853384328261</c:v>
                </c:pt>
                <c:pt idx="12">
                  <c:v>29.007999088524812</c:v>
                </c:pt>
                <c:pt idx="13">
                  <c:v>30.039075628246025</c:v>
                </c:pt>
                <c:pt idx="14">
                  <c:v>29.487839784436432</c:v>
                </c:pt>
                <c:pt idx="15">
                  <c:v>30.088253941305595</c:v>
                </c:pt>
                <c:pt idx="16">
                  <c:v>29.389159099526491</c:v>
                </c:pt>
                <c:pt idx="17">
                  <c:v>29.747383710544938</c:v>
                </c:pt>
                <c:pt idx="18">
                  <c:v>29.195151033715803</c:v>
                </c:pt>
                <c:pt idx="19">
                  <c:v>29.177853011508585</c:v>
                </c:pt>
                <c:pt idx="20">
                  <c:v>27.635994010332734</c:v>
                </c:pt>
                <c:pt idx="21">
                  <c:v>28.469376503968402</c:v>
                </c:pt>
                <c:pt idx="22">
                  <c:v>28.184294140415734</c:v>
                </c:pt>
                <c:pt idx="23">
                  <c:v>28.298536315099565</c:v>
                </c:pt>
                <c:pt idx="24">
                  <c:v>35.721448134015617</c:v>
                </c:pt>
                <c:pt idx="25">
                  <c:v>31.570418380951882</c:v>
                </c:pt>
                <c:pt idx="26">
                  <c:v>29.113895176626869</c:v>
                </c:pt>
                <c:pt idx="27">
                  <c:v>28.575917187273898</c:v>
                </c:pt>
                <c:pt idx="28">
                  <c:v>28.853231134263183</c:v>
                </c:pt>
                <c:pt idx="29">
                  <c:v>28.32240162291728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F2-4029-8F14-2C462567AC6E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'DOY198'!$J$48:$J$85</c:f>
              <c:numCache>
                <c:formatCode>0.000</c:formatCode>
                <c:ptCount val="38"/>
                <c:pt idx="0">
                  <c:v>13.358000000000001</c:v>
                </c:pt>
                <c:pt idx="1">
                  <c:v>13.340999999999999</c:v>
                </c:pt>
                <c:pt idx="2">
                  <c:v>13.188000000000001</c:v>
                </c:pt>
                <c:pt idx="3">
                  <c:v>13.170999999999999</c:v>
                </c:pt>
                <c:pt idx="4">
                  <c:v>13.156000000000001</c:v>
                </c:pt>
                <c:pt idx="5">
                  <c:v>13.138999999999999</c:v>
                </c:pt>
                <c:pt idx="6">
                  <c:v>13.122999999999999</c:v>
                </c:pt>
                <c:pt idx="7">
                  <c:v>13.106999999999999</c:v>
                </c:pt>
                <c:pt idx="8">
                  <c:v>13.092000000000001</c:v>
                </c:pt>
                <c:pt idx="9">
                  <c:v>13.076000000000001</c:v>
                </c:pt>
                <c:pt idx="10">
                  <c:v>13.208</c:v>
                </c:pt>
                <c:pt idx="11">
                  <c:v>13.224</c:v>
                </c:pt>
                <c:pt idx="12">
                  <c:v>13.24</c:v>
                </c:pt>
                <c:pt idx="13">
                  <c:v>13.256</c:v>
                </c:pt>
                <c:pt idx="14">
                  <c:v>13.272</c:v>
                </c:pt>
                <c:pt idx="15">
                  <c:v>13.288</c:v>
                </c:pt>
                <c:pt idx="16">
                  <c:v>13.308</c:v>
                </c:pt>
                <c:pt idx="17">
                  <c:v>13.324</c:v>
                </c:pt>
                <c:pt idx="18">
                  <c:v>13.446</c:v>
                </c:pt>
                <c:pt idx="19">
                  <c:v>13.465999999999999</c:v>
                </c:pt>
                <c:pt idx="20">
                  <c:v>13.486000000000001</c:v>
                </c:pt>
                <c:pt idx="21">
                  <c:v>13.506</c:v>
                </c:pt>
                <c:pt idx="22">
                  <c:v>13.531000000000001</c:v>
                </c:pt>
                <c:pt idx="23">
                  <c:v>13.547000000000001</c:v>
                </c:pt>
                <c:pt idx="24">
                  <c:v>13.565</c:v>
                </c:pt>
                <c:pt idx="25">
                  <c:v>13.582000000000001</c:v>
                </c:pt>
                <c:pt idx="26">
                  <c:v>13.734999999999999</c:v>
                </c:pt>
                <c:pt idx="27">
                  <c:v>13.717000000000001</c:v>
                </c:pt>
                <c:pt idx="28">
                  <c:v>13.699</c:v>
                </c:pt>
                <c:pt idx="29">
                  <c:v>13.680999999999999</c:v>
                </c:pt>
                <c:pt idx="30">
                  <c:v>13.663</c:v>
                </c:pt>
                <c:pt idx="31">
                  <c:v>13.644</c:v>
                </c:pt>
                <c:pt idx="32">
                  <c:v>13.624000000000001</c:v>
                </c:pt>
                <c:pt idx="33">
                  <c:v>13.606</c:v>
                </c:pt>
                <c:pt idx="34">
                  <c:v>13.417999999999999</c:v>
                </c:pt>
                <c:pt idx="35">
                  <c:v>13.394</c:v>
                </c:pt>
                <c:pt idx="36">
                  <c:v>13.37</c:v>
                </c:pt>
                <c:pt idx="37">
                  <c:v>13.346</c:v>
                </c:pt>
              </c:numCache>
            </c:numRef>
          </c:xVal>
          <c:yVal>
            <c:numRef>
              <c:f>'DOY198'!$W$48:$W$85</c:f>
              <c:numCache>
                <c:formatCode>0.00</c:formatCode>
                <c:ptCount val="38"/>
                <c:pt idx="0">
                  <c:v>47.616741321326622</c:v>
                </c:pt>
                <c:pt idx="1">
                  <c:v>31.509148120606948</c:v>
                </c:pt>
                <c:pt idx="2">
                  <c:v>28.478240380139823</c:v>
                </c:pt>
                <c:pt idx="3">
                  <c:v>28.388479929451876</c:v>
                </c:pt>
                <c:pt idx="4">
                  <c:v>28.396639329991118</c:v>
                </c:pt>
                <c:pt idx="5">
                  <c:v>28.306836610765234</c:v>
                </c:pt>
                <c:pt idx="6">
                  <c:v>29.902035426327249</c:v>
                </c:pt>
                <c:pt idx="7">
                  <c:v>29.804686200362131</c:v>
                </c:pt>
                <c:pt idx="8">
                  <c:v>29.219660936736961</c:v>
                </c:pt>
                <c:pt idx="9">
                  <c:v>29.195489182019248</c:v>
                </c:pt>
                <c:pt idx="10">
                  <c:v>28.37223862069294</c:v>
                </c:pt>
                <c:pt idx="11">
                  <c:v>28.241483914131788</c:v>
                </c:pt>
                <c:pt idx="12">
                  <c:v>28.200563628199969</c:v>
                </c:pt>
                <c:pt idx="13">
                  <c:v>28.282242170668212</c:v>
                </c:pt>
                <c:pt idx="14">
                  <c:v>28.649594836220157</c:v>
                </c:pt>
                <c:pt idx="15">
                  <c:v>28.942857734581015</c:v>
                </c:pt>
                <c:pt idx="16">
                  <c:v>28.869750710896838</c:v>
                </c:pt>
                <c:pt idx="17">
                  <c:v>29.179054142461467</c:v>
                </c:pt>
                <c:pt idx="18">
                  <c:v>28.478247424896143</c:v>
                </c:pt>
                <c:pt idx="19">
                  <c:v>28.535394930074261</c:v>
                </c:pt>
                <c:pt idx="20">
                  <c:v>28.771947098148956</c:v>
                </c:pt>
                <c:pt idx="21">
                  <c:v>27.816148939777587</c:v>
                </c:pt>
                <c:pt idx="22">
                  <c:v>27.308191425608005</c:v>
                </c:pt>
                <c:pt idx="23">
                  <c:v>27.799851272968073</c:v>
                </c:pt>
                <c:pt idx="24">
                  <c:v>27.636124338324681</c:v>
                </c:pt>
                <c:pt idx="25">
                  <c:v>27.938916842329387</c:v>
                </c:pt>
                <c:pt idx="26">
                  <c:v>30.46868482002796</c:v>
                </c:pt>
                <c:pt idx="27">
                  <c:v>29.471513938601635</c:v>
                </c:pt>
                <c:pt idx="28">
                  <c:v>28.869740143762357</c:v>
                </c:pt>
                <c:pt idx="29">
                  <c:v>28.445067376502408</c:v>
                </c:pt>
                <c:pt idx="30">
                  <c:v>28.061695312015662</c:v>
                </c:pt>
                <c:pt idx="31">
                  <c:v>27.930856068378656</c:v>
                </c:pt>
                <c:pt idx="32">
                  <c:v>28.861640623651851</c:v>
                </c:pt>
                <c:pt idx="33">
                  <c:v>29.154420956204675</c:v>
                </c:pt>
                <c:pt idx="34">
                  <c:v>29.788057430005495</c:v>
                </c:pt>
                <c:pt idx="35">
                  <c:v>29.064614714600634</c:v>
                </c:pt>
                <c:pt idx="36">
                  <c:v>30.412093850599273</c:v>
                </c:pt>
                <c:pt idx="37">
                  <c:v>29.764209734078591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F2-4029-8F14-2C462567AC6E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('DOY198'!$J$17,'DOY198'!$J$26)</c:f>
              <c:numCache>
                <c:formatCode>0.000</c:formatCode>
                <c:ptCount val="2"/>
                <c:pt idx="0">
                  <c:v>13.071</c:v>
                </c:pt>
                <c:pt idx="1">
                  <c:v>13.44</c:v>
                </c:pt>
              </c:numCache>
            </c:numRef>
          </c:xVal>
          <c:yVal>
            <c:numRef>
              <c:f>('DOY198'!$W$17,'DOY198'!$W$26)</c:f>
              <c:numCache>
                <c:formatCode>0.00</c:formatCode>
                <c:ptCount val="2"/>
                <c:pt idx="0">
                  <c:v>29.739858338074665</c:v>
                </c:pt>
                <c:pt idx="1">
                  <c:v>29.389159099526491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F2-4029-8F14-2C462567AC6E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('DOY198'!$J$59,'DOY198'!$J$68)</c:f>
              <c:numCache>
                <c:formatCode>0.000</c:formatCode>
                <c:ptCount val="2"/>
                <c:pt idx="0">
                  <c:v>13.224</c:v>
                </c:pt>
                <c:pt idx="1">
                  <c:v>13.486000000000001</c:v>
                </c:pt>
              </c:numCache>
            </c:numRef>
          </c:xVal>
          <c:yVal>
            <c:numRef>
              <c:f>('DOY198'!$W$59,'DOY198'!$W$68)</c:f>
              <c:numCache>
                <c:formatCode>0.00</c:formatCode>
                <c:ptCount val="2"/>
                <c:pt idx="0">
                  <c:v>28.241483914131788</c:v>
                </c:pt>
                <c:pt idx="1">
                  <c:v>28.771947098148956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F2-4029-8F14-2C462567A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823600"/>
        <c:axId val="1"/>
      </c:scatterChart>
      <c:valAx>
        <c:axId val="868823600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823600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'DOY213'!$J$10:$J$39</c:f>
              <c:numCache>
                <c:formatCode>0.000</c:formatCode>
                <c:ptCount val="30"/>
                <c:pt idx="0">
                  <c:v>13.238</c:v>
                </c:pt>
                <c:pt idx="1">
                  <c:v>13.22</c:v>
                </c:pt>
                <c:pt idx="2">
                  <c:v>13.202</c:v>
                </c:pt>
                <c:pt idx="3">
                  <c:v>13.186</c:v>
                </c:pt>
                <c:pt idx="4">
                  <c:v>13.167</c:v>
                </c:pt>
                <c:pt idx="5">
                  <c:v>13.148999999999999</c:v>
                </c:pt>
                <c:pt idx="6">
                  <c:v>13.132</c:v>
                </c:pt>
                <c:pt idx="7">
                  <c:v>13.115</c:v>
                </c:pt>
                <c:pt idx="8">
                  <c:v>13.257999999999999</c:v>
                </c:pt>
                <c:pt idx="9">
                  <c:v>13.273999999999999</c:v>
                </c:pt>
                <c:pt idx="10">
                  <c:v>13.29</c:v>
                </c:pt>
                <c:pt idx="11">
                  <c:v>13.305999999999999</c:v>
                </c:pt>
                <c:pt idx="12">
                  <c:v>13.323</c:v>
                </c:pt>
                <c:pt idx="13">
                  <c:v>13.339</c:v>
                </c:pt>
                <c:pt idx="14">
                  <c:v>13.355</c:v>
                </c:pt>
                <c:pt idx="15">
                  <c:v>13.371</c:v>
                </c:pt>
                <c:pt idx="16">
                  <c:v>13.496</c:v>
                </c:pt>
                <c:pt idx="17">
                  <c:v>13.512</c:v>
                </c:pt>
                <c:pt idx="18">
                  <c:v>13.529</c:v>
                </c:pt>
                <c:pt idx="19">
                  <c:v>13.545</c:v>
                </c:pt>
                <c:pt idx="20">
                  <c:v>13.561999999999999</c:v>
                </c:pt>
                <c:pt idx="21">
                  <c:v>13.577999999999999</c:v>
                </c:pt>
                <c:pt idx="22">
                  <c:v>13.595000000000001</c:v>
                </c:pt>
                <c:pt idx="23">
                  <c:v>13.61</c:v>
                </c:pt>
                <c:pt idx="24">
                  <c:v>13.755000000000001</c:v>
                </c:pt>
                <c:pt idx="25">
                  <c:v>13.737</c:v>
                </c:pt>
                <c:pt idx="26">
                  <c:v>13.718999999999999</c:v>
                </c:pt>
                <c:pt idx="27">
                  <c:v>13.7</c:v>
                </c:pt>
                <c:pt idx="28">
                  <c:v>13.682</c:v>
                </c:pt>
                <c:pt idx="29">
                  <c:v>13.664999999999999</c:v>
                </c:pt>
              </c:numCache>
            </c:numRef>
          </c:xVal>
          <c:yVal>
            <c:numRef>
              <c:f>'DOY213'!$W$10:$W$39</c:f>
              <c:numCache>
                <c:formatCode>0.00</c:formatCode>
                <c:ptCount val="30"/>
                <c:pt idx="0">
                  <c:v>31.559891494734305</c:v>
                </c:pt>
                <c:pt idx="1">
                  <c:v>32.541932189240917</c:v>
                </c:pt>
                <c:pt idx="2">
                  <c:v>30.949187275479641</c:v>
                </c:pt>
                <c:pt idx="3">
                  <c:v>31.898160637693664</c:v>
                </c:pt>
                <c:pt idx="4">
                  <c:v>31.061435784124374</c:v>
                </c:pt>
                <c:pt idx="5">
                  <c:v>29.662043396894756</c:v>
                </c:pt>
                <c:pt idx="6">
                  <c:v>29.246132356839563</c:v>
                </c:pt>
                <c:pt idx="7">
                  <c:v>29.149959605180204</c:v>
                </c:pt>
                <c:pt idx="8">
                  <c:v>29.751539669220637</c:v>
                </c:pt>
                <c:pt idx="9">
                  <c:v>30.025806759100707</c:v>
                </c:pt>
                <c:pt idx="10">
                  <c:v>31.324958047895095</c:v>
                </c:pt>
                <c:pt idx="11">
                  <c:v>29.182956489909568</c:v>
                </c:pt>
                <c:pt idx="12">
                  <c:v>30.019031653178725</c:v>
                </c:pt>
                <c:pt idx="13">
                  <c:v>31.535376496616447</c:v>
                </c:pt>
                <c:pt idx="14">
                  <c:v>31.511063846772291</c:v>
                </c:pt>
                <c:pt idx="15">
                  <c:v>31.58128956512083</c:v>
                </c:pt>
                <c:pt idx="16">
                  <c:v>30.35875358865891</c:v>
                </c:pt>
                <c:pt idx="17">
                  <c:v>28.816294210477171</c:v>
                </c:pt>
                <c:pt idx="18">
                  <c:v>30.195378891831613</c:v>
                </c:pt>
                <c:pt idx="19">
                  <c:v>30.277825312738944</c:v>
                </c:pt>
                <c:pt idx="20">
                  <c:v>28.376422758393915</c:v>
                </c:pt>
                <c:pt idx="21">
                  <c:v>29.377295659267386</c:v>
                </c:pt>
                <c:pt idx="22">
                  <c:v>28.22096089563459</c:v>
                </c:pt>
                <c:pt idx="23">
                  <c:v>28.743373872835519</c:v>
                </c:pt>
                <c:pt idx="24">
                  <c:v>31.679873196160802</c:v>
                </c:pt>
                <c:pt idx="25">
                  <c:v>30.470382158747327</c:v>
                </c:pt>
                <c:pt idx="26">
                  <c:v>30.83572354636938</c:v>
                </c:pt>
                <c:pt idx="27">
                  <c:v>30.55941347715596</c:v>
                </c:pt>
                <c:pt idx="28">
                  <c:v>28.995374814582945</c:v>
                </c:pt>
                <c:pt idx="29">
                  <c:v>28.889922546129171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C-4ACA-BF4F-C62AA85590E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'DOY213'!$J$48:$J$85</c:f>
              <c:numCache>
                <c:formatCode>0.000</c:formatCode>
                <c:ptCount val="38"/>
                <c:pt idx="0">
                  <c:v>13.404999999999999</c:v>
                </c:pt>
                <c:pt idx="1">
                  <c:v>13.388999999999999</c:v>
                </c:pt>
                <c:pt idx="2">
                  <c:v>13.242000000000001</c:v>
                </c:pt>
                <c:pt idx="3">
                  <c:v>13.225</c:v>
                </c:pt>
                <c:pt idx="4">
                  <c:v>13.207000000000001</c:v>
                </c:pt>
                <c:pt idx="5">
                  <c:v>13.19</c:v>
                </c:pt>
                <c:pt idx="6">
                  <c:v>13.170999999999999</c:v>
                </c:pt>
                <c:pt idx="7">
                  <c:v>13.154</c:v>
                </c:pt>
                <c:pt idx="8">
                  <c:v>13.135999999999999</c:v>
                </c:pt>
                <c:pt idx="9">
                  <c:v>13.12</c:v>
                </c:pt>
                <c:pt idx="10">
                  <c:v>13.262</c:v>
                </c:pt>
                <c:pt idx="11">
                  <c:v>13.278</c:v>
                </c:pt>
                <c:pt idx="12">
                  <c:v>13.294</c:v>
                </c:pt>
                <c:pt idx="13">
                  <c:v>13.311</c:v>
                </c:pt>
                <c:pt idx="14">
                  <c:v>13.327999999999999</c:v>
                </c:pt>
                <c:pt idx="15">
                  <c:v>13.343999999999999</c:v>
                </c:pt>
                <c:pt idx="16">
                  <c:v>13.36</c:v>
                </c:pt>
                <c:pt idx="17">
                  <c:v>13.375999999999999</c:v>
                </c:pt>
                <c:pt idx="18">
                  <c:v>13.5</c:v>
                </c:pt>
                <c:pt idx="19">
                  <c:v>13.516999999999999</c:v>
                </c:pt>
                <c:pt idx="20">
                  <c:v>13.532999999999999</c:v>
                </c:pt>
                <c:pt idx="21">
                  <c:v>13.55</c:v>
                </c:pt>
                <c:pt idx="22">
                  <c:v>13.567</c:v>
                </c:pt>
                <c:pt idx="23">
                  <c:v>13.583</c:v>
                </c:pt>
                <c:pt idx="24">
                  <c:v>13.599</c:v>
                </c:pt>
                <c:pt idx="25">
                  <c:v>13.615</c:v>
                </c:pt>
                <c:pt idx="26">
                  <c:v>13.759</c:v>
                </c:pt>
                <c:pt idx="27">
                  <c:v>13.742000000000001</c:v>
                </c:pt>
                <c:pt idx="28">
                  <c:v>13.724</c:v>
                </c:pt>
                <c:pt idx="29">
                  <c:v>13.705</c:v>
                </c:pt>
                <c:pt idx="30">
                  <c:v>13.686</c:v>
                </c:pt>
                <c:pt idx="31">
                  <c:v>13.669</c:v>
                </c:pt>
                <c:pt idx="32">
                  <c:v>13.651999999999999</c:v>
                </c:pt>
                <c:pt idx="33">
                  <c:v>13.635</c:v>
                </c:pt>
                <c:pt idx="34">
                  <c:v>13.47</c:v>
                </c:pt>
                <c:pt idx="35">
                  <c:v>13.444000000000001</c:v>
                </c:pt>
                <c:pt idx="36">
                  <c:v>13.419</c:v>
                </c:pt>
                <c:pt idx="37">
                  <c:v>13.394</c:v>
                </c:pt>
              </c:numCache>
            </c:numRef>
          </c:xVal>
          <c:yVal>
            <c:numRef>
              <c:f>'DOY213'!$W$48:$W$85</c:f>
              <c:numCache>
                <c:formatCode>0.00</c:formatCode>
                <c:ptCount val="38"/>
                <c:pt idx="0">
                  <c:v>54.461059122289974</c:v>
                </c:pt>
                <c:pt idx="1">
                  <c:v>38.947131501086531</c:v>
                </c:pt>
                <c:pt idx="2">
                  <c:v>29.864936473145836</c:v>
                </c:pt>
                <c:pt idx="3">
                  <c:v>29.191133502339614</c:v>
                </c:pt>
                <c:pt idx="4">
                  <c:v>30.729003221777663</c:v>
                </c:pt>
                <c:pt idx="5">
                  <c:v>30.633443363918307</c:v>
                </c:pt>
                <c:pt idx="6">
                  <c:v>30.569288275859567</c:v>
                </c:pt>
                <c:pt idx="7">
                  <c:v>30.115944104251877</c:v>
                </c:pt>
                <c:pt idx="8">
                  <c:v>28.637428471439211</c:v>
                </c:pt>
                <c:pt idx="9">
                  <c:v>29.807947474984957</c:v>
                </c:pt>
                <c:pt idx="10">
                  <c:v>29.937870900300126</c:v>
                </c:pt>
                <c:pt idx="11">
                  <c:v>29.759276384380556</c:v>
                </c:pt>
                <c:pt idx="12">
                  <c:v>29.417152186994613</c:v>
                </c:pt>
                <c:pt idx="13">
                  <c:v>29.060097005525588</c:v>
                </c:pt>
                <c:pt idx="14">
                  <c:v>29.03465014991362</c:v>
                </c:pt>
                <c:pt idx="15">
                  <c:v>29.920160759848077</c:v>
                </c:pt>
                <c:pt idx="16">
                  <c:v>30.229495892816161</c:v>
                </c:pt>
                <c:pt idx="17">
                  <c:v>29.653538803295746</c:v>
                </c:pt>
                <c:pt idx="18">
                  <c:v>29.733239341956079</c:v>
                </c:pt>
                <c:pt idx="19">
                  <c:v>27.492836939653852</c:v>
                </c:pt>
                <c:pt idx="20">
                  <c:v>29.304392933516539</c:v>
                </c:pt>
                <c:pt idx="21">
                  <c:v>29.239195221522177</c:v>
                </c:pt>
                <c:pt idx="22">
                  <c:v>28.163996554120846</c:v>
                </c:pt>
                <c:pt idx="23">
                  <c:v>28.368094283702959</c:v>
                </c:pt>
                <c:pt idx="24">
                  <c:v>28.082018609508918</c:v>
                </c:pt>
                <c:pt idx="25">
                  <c:v>28.5229502974186</c:v>
                </c:pt>
                <c:pt idx="26">
                  <c:v>28.588391053506076</c:v>
                </c:pt>
                <c:pt idx="27">
                  <c:v>28.946798828188893</c:v>
                </c:pt>
                <c:pt idx="28">
                  <c:v>31.181533724030189</c:v>
                </c:pt>
                <c:pt idx="29">
                  <c:v>31.874418613111583</c:v>
                </c:pt>
                <c:pt idx="30">
                  <c:v>28.531416144857843</c:v>
                </c:pt>
                <c:pt idx="31">
                  <c:v>28.49798248523652</c:v>
                </c:pt>
                <c:pt idx="32">
                  <c:v>30.147563739120326</c:v>
                </c:pt>
                <c:pt idx="33">
                  <c:v>28.84096262051558</c:v>
                </c:pt>
                <c:pt idx="34">
                  <c:v>32.498037443422731</c:v>
                </c:pt>
                <c:pt idx="35">
                  <c:v>33.251354266846754</c:v>
                </c:pt>
                <c:pt idx="36">
                  <c:v>29.92879920381721</c:v>
                </c:pt>
                <c:pt idx="37">
                  <c:v>32.516508417557539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DC-4ACA-BF4F-C62AA85590E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('DOY213'!$J$17,'DOY213'!$J$26)</c:f>
              <c:numCache>
                <c:formatCode>0.000</c:formatCode>
                <c:ptCount val="2"/>
                <c:pt idx="0">
                  <c:v>13.115</c:v>
                </c:pt>
                <c:pt idx="1">
                  <c:v>13.496</c:v>
                </c:pt>
              </c:numCache>
            </c:numRef>
          </c:xVal>
          <c:yVal>
            <c:numRef>
              <c:f>('DOY213'!$W$17,'DOY213'!$W$26)</c:f>
              <c:numCache>
                <c:formatCode>0.00</c:formatCode>
                <c:ptCount val="2"/>
                <c:pt idx="0">
                  <c:v>29.149959605180204</c:v>
                </c:pt>
                <c:pt idx="1">
                  <c:v>30.35875358865891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DC-4ACA-BF4F-C62AA85590E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('DOY213'!$J$59,'DOY213'!$J$68)</c:f>
              <c:numCache>
                <c:formatCode>0.000</c:formatCode>
                <c:ptCount val="2"/>
                <c:pt idx="0">
                  <c:v>13.278</c:v>
                </c:pt>
                <c:pt idx="1">
                  <c:v>13.532999999999999</c:v>
                </c:pt>
              </c:numCache>
            </c:numRef>
          </c:xVal>
          <c:yVal>
            <c:numRef>
              <c:f>('DOY213'!$W$59,'DOY213'!$W$68)</c:f>
              <c:numCache>
                <c:formatCode>0.00</c:formatCode>
                <c:ptCount val="2"/>
                <c:pt idx="0">
                  <c:v>29.759276384380556</c:v>
                </c:pt>
                <c:pt idx="1">
                  <c:v>29.304392933516539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DC-4ACA-BF4F-C62AA8559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264367"/>
        <c:axId val="1"/>
      </c:scatterChart>
      <c:valAx>
        <c:axId val="184526436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526436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'DOY216'!$J$10:$J$39</c:f>
              <c:numCache>
                <c:formatCode>0.000</c:formatCode>
                <c:ptCount val="30"/>
                <c:pt idx="0">
                  <c:v>13.201000000000001</c:v>
                </c:pt>
                <c:pt idx="1">
                  <c:v>13.183999999999999</c:v>
                </c:pt>
                <c:pt idx="2">
                  <c:v>13.167</c:v>
                </c:pt>
                <c:pt idx="3">
                  <c:v>13.148999999999999</c:v>
                </c:pt>
                <c:pt idx="4">
                  <c:v>13.131</c:v>
                </c:pt>
                <c:pt idx="5">
                  <c:v>13.112</c:v>
                </c:pt>
                <c:pt idx="6">
                  <c:v>13.093999999999999</c:v>
                </c:pt>
                <c:pt idx="7">
                  <c:v>13.074999999999999</c:v>
                </c:pt>
                <c:pt idx="8">
                  <c:v>13.222</c:v>
                </c:pt>
                <c:pt idx="9">
                  <c:v>13.24</c:v>
                </c:pt>
                <c:pt idx="10">
                  <c:v>13.257</c:v>
                </c:pt>
                <c:pt idx="11">
                  <c:v>13.275</c:v>
                </c:pt>
                <c:pt idx="12">
                  <c:v>13.292</c:v>
                </c:pt>
                <c:pt idx="13">
                  <c:v>13.308999999999999</c:v>
                </c:pt>
                <c:pt idx="14">
                  <c:v>13.327</c:v>
                </c:pt>
                <c:pt idx="15">
                  <c:v>13.343999999999999</c:v>
                </c:pt>
                <c:pt idx="16">
                  <c:v>13.473000000000001</c:v>
                </c:pt>
                <c:pt idx="17">
                  <c:v>13.491</c:v>
                </c:pt>
                <c:pt idx="18">
                  <c:v>13.507999999999999</c:v>
                </c:pt>
                <c:pt idx="19">
                  <c:v>13.525</c:v>
                </c:pt>
                <c:pt idx="20">
                  <c:v>13.542</c:v>
                </c:pt>
                <c:pt idx="21">
                  <c:v>13.56</c:v>
                </c:pt>
                <c:pt idx="22">
                  <c:v>13.576000000000001</c:v>
                </c:pt>
                <c:pt idx="23">
                  <c:v>13.593</c:v>
                </c:pt>
                <c:pt idx="24">
                  <c:v>13.738</c:v>
                </c:pt>
                <c:pt idx="25">
                  <c:v>13.721</c:v>
                </c:pt>
                <c:pt idx="26">
                  <c:v>13.702999999999999</c:v>
                </c:pt>
                <c:pt idx="27">
                  <c:v>13.686</c:v>
                </c:pt>
                <c:pt idx="28">
                  <c:v>13.667999999999999</c:v>
                </c:pt>
                <c:pt idx="29">
                  <c:v>13.65</c:v>
                </c:pt>
              </c:numCache>
            </c:numRef>
          </c:xVal>
          <c:yVal>
            <c:numRef>
              <c:f>'DOY216'!$W$10:$W$39</c:f>
              <c:numCache>
                <c:formatCode>0.00</c:formatCode>
                <c:ptCount val="30"/>
                <c:pt idx="0">
                  <c:v>32.793421157960886</c:v>
                </c:pt>
                <c:pt idx="1">
                  <c:v>33.694692083564767</c:v>
                </c:pt>
                <c:pt idx="2">
                  <c:v>29.11865261071506</c:v>
                </c:pt>
                <c:pt idx="3">
                  <c:v>29.831170858724366</c:v>
                </c:pt>
                <c:pt idx="4">
                  <c:v>30.052587744782656</c:v>
                </c:pt>
                <c:pt idx="5">
                  <c:v>31.7159532601876</c:v>
                </c:pt>
                <c:pt idx="6">
                  <c:v>32.589424381568016</c:v>
                </c:pt>
                <c:pt idx="7">
                  <c:v>31.401251972561898</c:v>
                </c:pt>
                <c:pt idx="8">
                  <c:v>30.117595248356338</c:v>
                </c:pt>
                <c:pt idx="9">
                  <c:v>32.188048246523344</c:v>
                </c:pt>
                <c:pt idx="10">
                  <c:v>33.254410839837426</c:v>
                </c:pt>
                <c:pt idx="11">
                  <c:v>31.023867950948738</c:v>
                </c:pt>
                <c:pt idx="12">
                  <c:v>30.474421475244899</c:v>
                </c:pt>
                <c:pt idx="13">
                  <c:v>33.390094926164245</c:v>
                </c:pt>
                <c:pt idx="14">
                  <c:v>31.225348553557286</c:v>
                </c:pt>
                <c:pt idx="15">
                  <c:v>33.602862424177836</c:v>
                </c:pt>
                <c:pt idx="16">
                  <c:v>30.579355954109019</c:v>
                </c:pt>
                <c:pt idx="17">
                  <c:v>31.835755320327902</c:v>
                </c:pt>
                <c:pt idx="18">
                  <c:v>32.326860204657066</c:v>
                </c:pt>
                <c:pt idx="19">
                  <c:v>31.545440652487731</c:v>
                </c:pt>
                <c:pt idx="20">
                  <c:v>29.874842121999876</c:v>
                </c:pt>
                <c:pt idx="21">
                  <c:v>30.407201918186161</c:v>
                </c:pt>
                <c:pt idx="22">
                  <c:v>31.394832626834159</c:v>
                </c:pt>
                <c:pt idx="23">
                  <c:v>34.364949969222565</c:v>
                </c:pt>
                <c:pt idx="24">
                  <c:v>34.753945763867897</c:v>
                </c:pt>
                <c:pt idx="25">
                  <c:v>31.458233925966457</c:v>
                </c:pt>
                <c:pt idx="26">
                  <c:v>31.584233422010357</c:v>
                </c:pt>
                <c:pt idx="27">
                  <c:v>32.857004424980126</c:v>
                </c:pt>
                <c:pt idx="28">
                  <c:v>32.825543297128917</c:v>
                </c:pt>
                <c:pt idx="29">
                  <c:v>32.34301345396198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7-4132-A0CB-A115869CA7D1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'DOY216'!$J$48:$J$85</c:f>
              <c:numCache>
                <c:formatCode>0.000</c:formatCode>
                <c:ptCount val="38"/>
                <c:pt idx="0">
                  <c:v>13.381</c:v>
                </c:pt>
                <c:pt idx="1">
                  <c:v>13.363</c:v>
                </c:pt>
                <c:pt idx="2">
                  <c:v>13.206</c:v>
                </c:pt>
                <c:pt idx="3">
                  <c:v>13.189</c:v>
                </c:pt>
                <c:pt idx="4">
                  <c:v>13.170999999999999</c:v>
                </c:pt>
                <c:pt idx="5">
                  <c:v>13.153</c:v>
                </c:pt>
                <c:pt idx="6">
                  <c:v>13.135999999999999</c:v>
                </c:pt>
                <c:pt idx="7">
                  <c:v>13.117000000000001</c:v>
                </c:pt>
                <c:pt idx="8">
                  <c:v>13.098000000000001</c:v>
                </c:pt>
                <c:pt idx="9">
                  <c:v>13.08</c:v>
                </c:pt>
                <c:pt idx="10">
                  <c:v>13.227</c:v>
                </c:pt>
                <c:pt idx="11">
                  <c:v>13.244</c:v>
                </c:pt>
                <c:pt idx="12">
                  <c:v>13.260999999999999</c:v>
                </c:pt>
                <c:pt idx="13">
                  <c:v>13.279</c:v>
                </c:pt>
                <c:pt idx="14">
                  <c:v>13.297000000000001</c:v>
                </c:pt>
                <c:pt idx="15">
                  <c:v>13.314</c:v>
                </c:pt>
                <c:pt idx="16">
                  <c:v>13.331</c:v>
                </c:pt>
                <c:pt idx="17">
                  <c:v>13.349</c:v>
                </c:pt>
                <c:pt idx="18">
                  <c:v>13.478</c:v>
                </c:pt>
                <c:pt idx="19">
                  <c:v>13.496</c:v>
                </c:pt>
                <c:pt idx="20">
                  <c:v>13.513</c:v>
                </c:pt>
                <c:pt idx="21">
                  <c:v>13.53</c:v>
                </c:pt>
                <c:pt idx="22">
                  <c:v>13.547000000000001</c:v>
                </c:pt>
                <c:pt idx="23">
                  <c:v>13.564</c:v>
                </c:pt>
                <c:pt idx="24">
                  <c:v>13.581</c:v>
                </c:pt>
                <c:pt idx="25">
                  <c:v>13.598000000000001</c:v>
                </c:pt>
                <c:pt idx="26">
                  <c:v>13.743</c:v>
                </c:pt>
                <c:pt idx="27">
                  <c:v>13.725</c:v>
                </c:pt>
                <c:pt idx="28">
                  <c:v>13.708</c:v>
                </c:pt>
                <c:pt idx="29">
                  <c:v>13.69</c:v>
                </c:pt>
                <c:pt idx="30">
                  <c:v>13.673</c:v>
                </c:pt>
                <c:pt idx="31">
                  <c:v>13.656000000000001</c:v>
                </c:pt>
                <c:pt idx="32">
                  <c:v>13.635999999999999</c:v>
                </c:pt>
                <c:pt idx="33">
                  <c:v>13.62</c:v>
                </c:pt>
                <c:pt idx="34">
                  <c:v>13.448</c:v>
                </c:pt>
                <c:pt idx="35">
                  <c:v>13.420999999999999</c:v>
                </c:pt>
                <c:pt idx="36">
                  <c:v>13.394</c:v>
                </c:pt>
                <c:pt idx="37">
                  <c:v>13.368</c:v>
                </c:pt>
              </c:numCache>
            </c:numRef>
          </c:xVal>
          <c:yVal>
            <c:numRef>
              <c:f>'DOY216'!$W$48:$W$85</c:f>
              <c:numCache>
                <c:formatCode>0.00</c:formatCode>
                <c:ptCount val="38"/>
                <c:pt idx="0">
                  <c:v>62.794865633853554</c:v>
                </c:pt>
                <c:pt idx="1">
                  <c:v>45.574661665144191</c:v>
                </c:pt>
                <c:pt idx="2">
                  <c:v>29.866559438225007</c:v>
                </c:pt>
                <c:pt idx="3">
                  <c:v>28.996663153736829</c:v>
                </c:pt>
                <c:pt idx="4">
                  <c:v>30.027982737551152</c:v>
                </c:pt>
                <c:pt idx="5">
                  <c:v>28.417349237829058</c:v>
                </c:pt>
                <c:pt idx="6">
                  <c:v>29.720183361461242</c:v>
                </c:pt>
                <c:pt idx="7">
                  <c:v>29.435224281144215</c:v>
                </c:pt>
                <c:pt idx="8">
                  <c:v>31.668240256442981</c:v>
                </c:pt>
                <c:pt idx="9">
                  <c:v>30.765465275364374</c:v>
                </c:pt>
                <c:pt idx="10">
                  <c:v>31.353690431078203</c:v>
                </c:pt>
                <c:pt idx="11">
                  <c:v>30.859147705663972</c:v>
                </c:pt>
                <c:pt idx="12">
                  <c:v>31.547871093418774</c:v>
                </c:pt>
                <c:pt idx="13">
                  <c:v>30.813851053337739</c:v>
                </c:pt>
                <c:pt idx="14">
                  <c:v>29.589305371664452</c:v>
                </c:pt>
                <c:pt idx="15">
                  <c:v>32.318094955074152</c:v>
                </c:pt>
                <c:pt idx="16">
                  <c:v>31.272906572662833</c:v>
                </c:pt>
                <c:pt idx="17">
                  <c:v>30.132417038716415</c:v>
                </c:pt>
                <c:pt idx="18">
                  <c:v>29.744453742767462</c:v>
                </c:pt>
                <c:pt idx="19">
                  <c:v>32.062908210750713</c:v>
                </c:pt>
                <c:pt idx="20">
                  <c:v>30.48995478599349</c:v>
                </c:pt>
                <c:pt idx="21">
                  <c:v>30.432824892706176</c:v>
                </c:pt>
                <c:pt idx="22">
                  <c:v>30.052774430825192</c:v>
                </c:pt>
                <c:pt idx="23">
                  <c:v>31.925452368208948</c:v>
                </c:pt>
                <c:pt idx="24">
                  <c:v>33.190135990921227</c:v>
                </c:pt>
                <c:pt idx="25">
                  <c:v>35.064835019487148</c:v>
                </c:pt>
                <c:pt idx="26">
                  <c:v>28.662180567300467</c:v>
                </c:pt>
                <c:pt idx="27">
                  <c:v>29.622112047973133</c:v>
                </c:pt>
                <c:pt idx="28">
                  <c:v>32.300550366395669</c:v>
                </c:pt>
                <c:pt idx="29">
                  <c:v>32.086069042936238</c:v>
                </c:pt>
                <c:pt idx="30">
                  <c:v>31.431966356242992</c:v>
                </c:pt>
                <c:pt idx="31">
                  <c:v>32.398984484834344</c:v>
                </c:pt>
                <c:pt idx="32">
                  <c:v>31.723401140338336</c:v>
                </c:pt>
                <c:pt idx="33">
                  <c:v>33.398969369470159</c:v>
                </c:pt>
                <c:pt idx="34">
                  <c:v>32.904851279094864</c:v>
                </c:pt>
                <c:pt idx="35">
                  <c:v>39.700921798531837</c:v>
                </c:pt>
                <c:pt idx="36">
                  <c:v>31.757109545456206</c:v>
                </c:pt>
                <c:pt idx="37">
                  <c:v>35.875705994296325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87-4132-A0CB-A115869CA7D1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('DOY216'!$J$17,'DOY216'!$J$26)</c:f>
              <c:numCache>
                <c:formatCode>0.000</c:formatCode>
                <c:ptCount val="2"/>
                <c:pt idx="0">
                  <c:v>13.074999999999999</c:v>
                </c:pt>
                <c:pt idx="1">
                  <c:v>13.473000000000001</c:v>
                </c:pt>
              </c:numCache>
            </c:numRef>
          </c:xVal>
          <c:yVal>
            <c:numRef>
              <c:f>('DOY216'!$W$17,'DOY216'!$W$26)</c:f>
              <c:numCache>
                <c:formatCode>0.00</c:formatCode>
                <c:ptCount val="2"/>
                <c:pt idx="0">
                  <c:v>31.401251972561898</c:v>
                </c:pt>
                <c:pt idx="1">
                  <c:v>30.579355954109019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87-4132-A0CB-A115869CA7D1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('DOY216'!$J$59,'DOY216'!$J$68)</c:f>
              <c:numCache>
                <c:formatCode>0.000</c:formatCode>
                <c:ptCount val="2"/>
                <c:pt idx="0">
                  <c:v>13.244</c:v>
                </c:pt>
                <c:pt idx="1">
                  <c:v>13.513</c:v>
                </c:pt>
              </c:numCache>
            </c:numRef>
          </c:xVal>
          <c:yVal>
            <c:numRef>
              <c:f>('DOY216'!$W$59,'DOY216'!$W$68)</c:f>
              <c:numCache>
                <c:formatCode>0.00</c:formatCode>
                <c:ptCount val="2"/>
                <c:pt idx="0">
                  <c:v>30.859147705663972</c:v>
                </c:pt>
                <c:pt idx="1">
                  <c:v>30.48995478599349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87-4132-A0CB-A115869CA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799712"/>
        <c:axId val="1"/>
      </c:scatterChart>
      <c:valAx>
        <c:axId val="995799712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5799712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'DOY246'!$J$10:$J$39</c:f>
              <c:numCache>
                <c:formatCode>0.000</c:formatCode>
                <c:ptCount val="30"/>
                <c:pt idx="0">
                  <c:v>13.212999999999999</c:v>
                </c:pt>
                <c:pt idx="1">
                  <c:v>13.195</c:v>
                </c:pt>
                <c:pt idx="2">
                  <c:v>13.178000000000001</c:v>
                </c:pt>
                <c:pt idx="3">
                  <c:v>13.16</c:v>
                </c:pt>
                <c:pt idx="4">
                  <c:v>13.141999999999999</c:v>
                </c:pt>
                <c:pt idx="5">
                  <c:v>13.122999999999999</c:v>
                </c:pt>
                <c:pt idx="6">
                  <c:v>13.105</c:v>
                </c:pt>
                <c:pt idx="7">
                  <c:v>13.087</c:v>
                </c:pt>
                <c:pt idx="8">
                  <c:v>13.233000000000001</c:v>
                </c:pt>
                <c:pt idx="9">
                  <c:v>13.25</c:v>
                </c:pt>
                <c:pt idx="10">
                  <c:v>13.266999999999999</c:v>
                </c:pt>
                <c:pt idx="11">
                  <c:v>13.285</c:v>
                </c:pt>
                <c:pt idx="12">
                  <c:v>13.304</c:v>
                </c:pt>
                <c:pt idx="13">
                  <c:v>13.32</c:v>
                </c:pt>
                <c:pt idx="14">
                  <c:v>13.337</c:v>
                </c:pt>
                <c:pt idx="15">
                  <c:v>13.353999999999999</c:v>
                </c:pt>
                <c:pt idx="16">
                  <c:v>13.487</c:v>
                </c:pt>
                <c:pt idx="17">
                  <c:v>13.504</c:v>
                </c:pt>
                <c:pt idx="18">
                  <c:v>13.522</c:v>
                </c:pt>
                <c:pt idx="19">
                  <c:v>13.539</c:v>
                </c:pt>
                <c:pt idx="20">
                  <c:v>13.555999999999999</c:v>
                </c:pt>
                <c:pt idx="21">
                  <c:v>13.574</c:v>
                </c:pt>
                <c:pt idx="22">
                  <c:v>13.590999999999999</c:v>
                </c:pt>
                <c:pt idx="23">
                  <c:v>13.609</c:v>
                </c:pt>
                <c:pt idx="24">
                  <c:v>13.759</c:v>
                </c:pt>
                <c:pt idx="25">
                  <c:v>13.742000000000001</c:v>
                </c:pt>
                <c:pt idx="26">
                  <c:v>13.725</c:v>
                </c:pt>
                <c:pt idx="27">
                  <c:v>13.707000000000001</c:v>
                </c:pt>
                <c:pt idx="28">
                  <c:v>13.683999999999999</c:v>
                </c:pt>
                <c:pt idx="29">
                  <c:v>13.666</c:v>
                </c:pt>
              </c:numCache>
            </c:numRef>
          </c:xVal>
          <c:yVal>
            <c:numRef>
              <c:f>'DOY246'!$W$10:$W$39</c:f>
              <c:numCache>
                <c:formatCode>0.00</c:formatCode>
                <c:ptCount val="30"/>
                <c:pt idx="0">
                  <c:v>30.785897264020363</c:v>
                </c:pt>
                <c:pt idx="1">
                  <c:v>32.659594741411162</c:v>
                </c:pt>
                <c:pt idx="2">
                  <c:v>31.600549700255851</c:v>
                </c:pt>
                <c:pt idx="3">
                  <c:v>30.850108710129675</c:v>
                </c:pt>
                <c:pt idx="4">
                  <c:v>30.874097301183014</c:v>
                </c:pt>
                <c:pt idx="5">
                  <c:v>30.995308312587682</c:v>
                </c:pt>
                <c:pt idx="6">
                  <c:v>32.081790353015883</c:v>
                </c:pt>
                <c:pt idx="7">
                  <c:v>32.348141086449836</c:v>
                </c:pt>
                <c:pt idx="8">
                  <c:v>31.204927181466498</c:v>
                </c:pt>
                <c:pt idx="9">
                  <c:v>30.38909827092526</c:v>
                </c:pt>
                <c:pt idx="10">
                  <c:v>29.448211912027627</c:v>
                </c:pt>
                <c:pt idx="11">
                  <c:v>29.570155578089771</c:v>
                </c:pt>
                <c:pt idx="12">
                  <c:v>29.943554217284397</c:v>
                </c:pt>
                <c:pt idx="13">
                  <c:v>29.989625792806024</c:v>
                </c:pt>
                <c:pt idx="14">
                  <c:v>31.398132145056497</c:v>
                </c:pt>
                <c:pt idx="15">
                  <c:v>31.391025935587376</c:v>
                </c:pt>
                <c:pt idx="16">
                  <c:v>32.122911414502887</c:v>
                </c:pt>
                <c:pt idx="17">
                  <c:v>31.93731283808086</c:v>
                </c:pt>
                <c:pt idx="18">
                  <c:v>31.888560732778767</c:v>
                </c:pt>
                <c:pt idx="19">
                  <c:v>32.683343810749555</c:v>
                </c:pt>
                <c:pt idx="20">
                  <c:v>31.213565625435624</c:v>
                </c:pt>
                <c:pt idx="21">
                  <c:v>31.486730210951336</c:v>
                </c:pt>
                <c:pt idx="22">
                  <c:v>31.415049750422327</c:v>
                </c:pt>
                <c:pt idx="23">
                  <c:v>29.910250885655021</c:v>
                </c:pt>
                <c:pt idx="24">
                  <c:v>29.763765615168268</c:v>
                </c:pt>
                <c:pt idx="25">
                  <c:v>29.967704837733148</c:v>
                </c:pt>
                <c:pt idx="26">
                  <c:v>29.780806503769742</c:v>
                </c:pt>
                <c:pt idx="27">
                  <c:v>31.526981245032587</c:v>
                </c:pt>
                <c:pt idx="28">
                  <c:v>30.510524147397756</c:v>
                </c:pt>
                <c:pt idx="29">
                  <c:v>30.122247359792468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8-4DCB-8EB3-42B58C513302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'DOY246'!$J$48:$J$85</c:f>
              <c:numCache>
                <c:formatCode>0.000</c:formatCode>
                <c:ptCount val="38"/>
                <c:pt idx="0">
                  <c:v>13.391999999999999</c:v>
                </c:pt>
                <c:pt idx="1">
                  <c:v>13.372</c:v>
                </c:pt>
                <c:pt idx="2">
                  <c:v>13.217000000000001</c:v>
                </c:pt>
                <c:pt idx="3">
                  <c:v>13.2</c:v>
                </c:pt>
                <c:pt idx="4">
                  <c:v>13.183</c:v>
                </c:pt>
                <c:pt idx="5">
                  <c:v>13.164999999999999</c:v>
                </c:pt>
                <c:pt idx="6">
                  <c:v>13.146000000000001</c:v>
                </c:pt>
                <c:pt idx="7">
                  <c:v>13.128</c:v>
                </c:pt>
                <c:pt idx="8">
                  <c:v>13.11</c:v>
                </c:pt>
                <c:pt idx="9">
                  <c:v>13.092000000000001</c:v>
                </c:pt>
                <c:pt idx="10">
                  <c:v>13.237</c:v>
                </c:pt>
                <c:pt idx="11">
                  <c:v>13.255000000000001</c:v>
                </c:pt>
                <c:pt idx="12">
                  <c:v>13.271000000000001</c:v>
                </c:pt>
                <c:pt idx="13">
                  <c:v>13.289</c:v>
                </c:pt>
                <c:pt idx="14">
                  <c:v>13.308</c:v>
                </c:pt>
                <c:pt idx="15">
                  <c:v>13.324999999999999</c:v>
                </c:pt>
                <c:pt idx="16">
                  <c:v>13.340999999999999</c:v>
                </c:pt>
                <c:pt idx="17">
                  <c:v>13.359</c:v>
                </c:pt>
                <c:pt idx="18">
                  <c:v>13.492000000000001</c:v>
                </c:pt>
                <c:pt idx="19">
                  <c:v>13.509</c:v>
                </c:pt>
                <c:pt idx="20">
                  <c:v>13.526</c:v>
                </c:pt>
                <c:pt idx="21">
                  <c:v>13.542999999999999</c:v>
                </c:pt>
                <c:pt idx="22">
                  <c:v>13.561</c:v>
                </c:pt>
                <c:pt idx="23">
                  <c:v>13.577999999999999</c:v>
                </c:pt>
                <c:pt idx="24">
                  <c:v>13.596</c:v>
                </c:pt>
                <c:pt idx="25">
                  <c:v>13.613</c:v>
                </c:pt>
                <c:pt idx="26">
                  <c:v>13.763999999999999</c:v>
                </c:pt>
                <c:pt idx="27">
                  <c:v>13.747</c:v>
                </c:pt>
                <c:pt idx="28">
                  <c:v>13.73</c:v>
                </c:pt>
                <c:pt idx="29">
                  <c:v>13.712</c:v>
                </c:pt>
                <c:pt idx="30">
                  <c:v>13.688000000000001</c:v>
                </c:pt>
                <c:pt idx="31">
                  <c:v>13.67</c:v>
                </c:pt>
                <c:pt idx="32">
                  <c:v>13.651999999999999</c:v>
                </c:pt>
                <c:pt idx="33">
                  <c:v>13.635</c:v>
                </c:pt>
                <c:pt idx="34">
                  <c:v>13.46</c:v>
                </c:pt>
                <c:pt idx="35">
                  <c:v>13.432</c:v>
                </c:pt>
                <c:pt idx="36">
                  <c:v>13.404999999999999</c:v>
                </c:pt>
                <c:pt idx="37">
                  <c:v>13.378</c:v>
                </c:pt>
              </c:numCache>
            </c:numRef>
          </c:xVal>
          <c:yVal>
            <c:numRef>
              <c:f>'DOY246'!$W$48:$W$85</c:f>
              <c:numCache>
                <c:formatCode>0.00</c:formatCode>
                <c:ptCount val="38"/>
                <c:pt idx="0">
                  <c:v>56.882953039246082</c:v>
                </c:pt>
                <c:pt idx="1">
                  <c:v>46.756778974813528</c:v>
                </c:pt>
                <c:pt idx="2">
                  <c:v>31.391304203462084</c:v>
                </c:pt>
                <c:pt idx="3">
                  <c:v>33.263543039353159</c:v>
                </c:pt>
                <c:pt idx="4">
                  <c:v>31.865671123711625</c:v>
                </c:pt>
                <c:pt idx="5">
                  <c:v>31.44531679207698</c:v>
                </c:pt>
                <c:pt idx="6">
                  <c:v>30.194283580515727</c:v>
                </c:pt>
                <c:pt idx="7">
                  <c:v>31.632405334461072</c:v>
                </c:pt>
                <c:pt idx="8">
                  <c:v>31.604718246338752</c:v>
                </c:pt>
                <c:pt idx="9">
                  <c:v>32.106948373618657</c:v>
                </c:pt>
                <c:pt idx="10">
                  <c:v>32.808917099035988</c:v>
                </c:pt>
                <c:pt idx="11">
                  <c:v>29.731673981626262</c:v>
                </c:pt>
                <c:pt idx="12">
                  <c:v>29.244216331412176</c:v>
                </c:pt>
                <c:pt idx="13">
                  <c:v>29.836636639515671</c:v>
                </c:pt>
                <c:pt idx="14">
                  <c:v>30.363683116716743</c:v>
                </c:pt>
                <c:pt idx="15">
                  <c:v>30.428327815339845</c:v>
                </c:pt>
                <c:pt idx="16">
                  <c:v>30.937336570919911</c:v>
                </c:pt>
                <c:pt idx="17">
                  <c:v>31.710977139391385</c:v>
                </c:pt>
                <c:pt idx="18">
                  <c:v>31.107954849964603</c:v>
                </c:pt>
                <c:pt idx="19">
                  <c:v>32.274093587796685</c:v>
                </c:pt>
                <c:pt idx="20">
                  <c:v>32.258327800089468</c:v>
                </c:pt>
                <c:pt idx="21">
                  <c:v>33.26819805056337</c:v>
                </c:pt>
                <c:pt idx="22">
                  <c:v>30.745744856527612</c:v>
                </c:pt>
                <c:pt idx="23">
                  <c:v>31.082754560823901</c:v>
                </c:pt>
                <c:pt idx="24">
                  <c:v>31.058727223610784</c:v>
                </c:pt>
                <c:pt idx="25">
                  <c:v>30.445587091387292</c:v>
                </c:pt>
                <c:pt idx="26">
                  <c:v>30.678560523250486</c:v>
                </c:pt>
                <c:pt idx="27">
                  <c:v>29.569401789163333</c:v>
                </c:pt>
                <c:pt idx="28">
                  <c:v>30.088288865825167</c:v>
                </c:pt>
                <c:pt idx="29">
                  <c:v>31.784968279993958</c:v>
                </c:pt>
                <c:pt idx="30">
                  <c:v>30.109297524954368</c:v>
                </c:pt>
                <c:pt idx="31">
                  <c:v>30.939127511744186</c:v>
                </c:pt>
                <c:pt idx="32">
                  <c:v>30.028295279093015</c:v>
                </c:pt>
                <c:pt idx="33">
                  <c:v>29.381946919450499</c:v>
                </c:pt>
                <c:pt idx="34">
                  <c:v>42.456152677648284</c:v>
                </c:pt>
                <c:pt idx="35">
                  <c:v>43.520694643348385</c:v>
                </c:pt>
                <c:pt idx="36">
                  <c:v>42.122679817966684</c:v>
                </c:pt>
                <c:pt idx="37">
                  <c:v>42.855916759272674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A8-4DCB-8EB3-42B58C513302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('DOY246'!$J$17,'DOY246'!$J$26)</c:f>
              <c:numCache>
                <c:formatCode>0.000</c:formatCode>
                <c:ptCount val="2"/>
                <c:pt idx="0">
                  <c:v>13.087</c:v>
                </c:pt>
                <c:pt idx="1">
                  <c:v>13.487</c:v>
                </c:pt>
              </c:numCache>
            </c:numRef>
          </c:xVal>
          <c:yVal>
            <c:numRef>
              <c:f>('DOY246'!$W$17,'DOY246'!$W$26)</c:f>
              <c:numCache>
                <c:formatCode>0.00</c:formatCode>
                <c:ptCount val="2"/>
                <c:pt idx="0">
                  <c:v>32.348141086449836</c:v>
                </c:pt>
                <c:pt idx="1">
                  <c:v>32.122911414502887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A8-4DCB-8EB3-42B58C513302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('DOY246'!$J$59,'DOY246'!$J$68)</c:f>
              <c:numCache>
                <c:formatCode>0.000</c:formatCode>
                <c:ptCount val="2"/>
                <c:pt idx="0">
                  <c:v>13.255000000000001</c:v>
                </c:pt>
                <c:pt idx="1">
                  <c:v>13.526</c:v>
                </c:pt>
              </c:numCache>
            </c:numRef>
          </c:xVal>
          <c:yVal>
            <c:numRef>
              <c:f>('DOY246'!$W$59,'DOY246'!$W$68)</c:f>
              <c:numCache>
                <c:formatCode>0.00</c:formatCode>
                <c:ptCount val="2"/>
                <c:pt idx="0">
                  <c:v>29.731673981626262</c:v>
                </c:pt>
                <c:pt idx="1">
                  <c:v>32.258327800089468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A8-4DCB-8EB3-42B58C513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129071"/>
        <c:axId val="1"/>
      </c:scatterChart>
      <c:valAx>
        <c:axId val="173112907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12907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'DOY247'!$J$10:$J$39</c:f>
              <c:numCache>
                <c:formatCode>0.000</c:formatCode>
                <c:ptCount val="30"/>
                <c:pt idx="0">
                  <c:v>12.988</c:v>
                </c:pt>
                <c:pt idx="1">
                  <c:v>12.973000000000001</c:v>
                </c:pt>
                <c:pt idx="2">
                  <c:v>12.958</c:v>
                </c:pt>
                <c:pt idx="3">
                  <c:v>12.943</c:v>
                </c:pt>
                <c:pt idx="4">
                  <c:v>12.928000000000001</c:v>
                </c:pt>
                <c:pt idx="5">
                  <c:v>12.914</c:v>
                </c:pt>
                <c:pt idx="6">
                  <c:v>12.898999999999999</c:v>
                </c:pt>
                <c:pt idx="7">
                  <c:v>12.885</c:v>
                </c:pt>
                <c:pt idx="8">
                  <c:v>13.005000000000001</c:v>
                </c:pt>
                <c:pt idx="9">
                  <c:v>13.022</c:v>
                </c:pt>
                <c:pt idx="10">
                  <c:v>13.037000000000001</c:v>
                </c:pt>
                <c:pt idx="11">
                  <c:v>13.051</c:v>
                </c:pt>
                <c:pt idx="12">
                  <c:v>13.067</c:v>
                </c:pt>
                <c:pt idx="13">
                  <c:v>13.083</c:v>
                </c:pt>
                <c:pt idx="14">
                  <c:v>13.098000000000001</c:v>
                </c:pt>
                <c:pt idx="15">
                  <c:v>13.113</c:v>
                </c:pt>
                <c:pt idx="16">
                  <c:v>13.218999999999999</c:v>
                </c:pt>
                <c:pt idx="17">
                  <c:v>13.236000000000001</c:v>
                </c:pt>
                <c:pt idx="18">
                  <c:v>13.25</c:v>
                </c:pt>
                <c:pt idx="19">
                  <c:v>13.27</c:v>
                </c:pt>
                <c:pt idx="20">
                  <c:v>13.285</c:v>
                </c:pt>
                <c:pt idx="21">
                  <c:v>13.298999999999999</c:v>
                </c:pt>
                <c:pt idx="22">
                  <c:v>13.314</c:v>
                </c:pt>
                <c:pt idx="23">
                  <c:v>13.329000000000001</c:v>
                </c:pt>
                <c:pt idx="24">
                  <c:v>13.474</c:v>
                </c:pt>
                <c:pt idx="25">
                  <c:v>13.459</c:v>
                </c:pt>
                <c:pt idx="26">
                  <c:v>13.445</c:v>
                </c:pt>
                <c:pt idx="27">
                  <c:v>13.428000000000001</c:v>
                </c:pt>
                <c:pt idx="28">
                  <c:v>13.413</c:v>
                </c:pt>
                <c:pt idx="29">
                  <c:v>13.398999999999999</c:v>
                </c:pt>
              </c:numCache>
            </c:numRef>
          </c:xVal>
          <c:yVal>
            <c:numRef>
              <c:f>'DOY247'!$W$10:$W$39</c:f>
              <c:numCache>
                <c:formatCode>0.00</c:formatCode>
                <c:ptCount val="30"/>
                <c:pt idx="0">
                  <c:v>31.195305135603373</c:v>
                </c:pt>
                <c:pt idx="1">
                  <c:v>32.559835350396853</c:v>
                </c:pt>
                <c:pt idx="2">
                  <c:v>32.665995616860982</c:v>
                </c:pt>
                <c:pt idx="3">
                  <c:v>32.914840507776219</c:v>
                </c:pt>
                <c:pt idx="4">
                  <c:v>32.312839708016106</c:v>
                </c:pt>
                <c:pt idx="5">
                  <c:v>32.368539515770088</c:v>
                </c:pt>
                <c:pt idx="6">
                  <c:v>32.697329939098402</c:v>
                </c:pt>
                <c:pt idx="7">
                  <c:v>33.121796458765367</c:v>
                </c:pt>
                <c:pt idx="8">
                  <c:v>32.641799205496135</c:v>
                </c:pt>
                <c:pt idx="9">
                  <c:v>31.049651146362589</c:v>
                </c:pt>
                <c:pt idx="10">
                  <c:v>30.452822770461257</c:v>
                </c:pt>
                <c:pt idx="11">
                  <c:v>30.305918336973349</c:v>
                </c:pt>
                <c:pt idx="12">
                  <c:v>30.808306971270497</c:v>
                </c:pt>
                <c:pt idx="13">
                  <c:v>30.710915476767457</c:v>
                </c:pt>
                <c:pt idx="14">
                  <c:v>30.792044528242602</c:v>
                </c:pt>
                <c:pt idx="15">
                  <c:v>31.251727030880335</c:v>
                </c:pt>
                <c:pt idx="16">
                  <c:v>31.445164471428949</c:v>
                </c:pt>
                <c:pt idx="17">
                  <c:v>31.154980131580743</c:v>
                </c:pt>
                <c:pt idx="18">
                  <c:v>31.251529777703322</c:v>
                </c:pt>
                <c:pt idx="19">
                  <c:v>32.714733632650443</c:v>
                </c:pt>
                <c:pt idx="20">
                  <c:v>30.759561910724727</c:v>
                </c:pt>
                <c:pt idx="21">
                  <c:v>32.120360354327268</c:v>
                </c:pt>
                <c:pt idx="22">
                  <c:v>31.50180827653006</c:v>
                </c:pt>
                <c:pt idx="23">
                  <c:v>31.70206661391676</c:v>
                </c:pt>
                <c:pt idx="24">
                  <c:v>32.257122288371328</c:v>
                </c:pt>
                <c:pt idx="25">
                  <c:v>32.094885319690007</c:v>
                </c:pt>
                <c:pt idx="26">
                  <c:v>32.304926873948126</c:v>
                </c:pt>
                <c:pt idx="27">
                  <c:v>34.158989042751386</c:v>
                </c:pt>
                <c:pt idx="28">
                  <c:v>33.354400040921682</c:v>
                </c:pt>
                <c:pt idx="29">
                  <c:v>31.83134896640664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94-4E56-8EF1-7BA4698E3E4C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'DOY247'!$J$48:$J$85</c:f>
              <c:numCache>
                <c:formatCode>0.000</c:formatCode>
                <c:ptCount val="38"/>
                <c:pt idx="0">
                  <c:v>13.148999999999999</c:v>
                </c:pt>
                <c:pt idx="1">
                  <c:v>13.134</c:v>
                </c:pt>
                <c:pt idx="2">
                  <c:v>12.993</c:v>
                </c:pt>
                <c:pt idx="3">
                  <c:v>12.978</c:v>
                </c:pt>
                <c:pt idx="4">
                  <c:v>12.962999999999999</c:v>
                </c:pt>
                <c:pt idx="5">
                  <c:v>12.948</c:v>
                </c:pt>
                <c:pt idx="6">
                  <c:v>12.933</c:v>
                </c:pt>
                <c:pt idx="7">
                  <c:v>12.917999999999999</c:v>
                </c:pt>
                <c:pt idx="8">
                  <c:v>12.904</c:v>
                </c:pt>
                <c:pt idx="9">
                  <c:v>12.89</c:v>
                </c:pt>
                <c:pt idx="10">
                  <c:v>13.010999999999999</c:v>
                </c:pt>
                <c:pt idx="11">
                  <c:v>13.026999999999999</c:v>
                </c:pt>
                <c:pt idx="12">
                  <c:v>13.042</c:v>
                </c:pt>
                <c:pt idx="13">
                  <c:v>13.057</c:v>
                </c:pt>
                <c:pt idx="14">
                  <c:v>13.071999999999999</c:v>
                </c:pt>
                <c:pt idx="15">
                  <c:v>13.087999999999999</c:v>
                </c:pt>
                <c:pt idx="16">
                  <c:v>13.103999999999999</c:v>
                </c:pt>
                <c:pt idx="17">
                  <c:v>13.119</c:v>
                </c:pt>
                <c:pt idx="18">
                  <c:v>13.224</c:v>
                </c:pt>
                <c:pt idx="19">
                  <c:v>13.241</c:v>
                </c:pt>
                <c:pt idx="20">
                  <c:v>13.26</c:v>
                </c:pt>
                <c:pt idx="21">
                  <c:v>13.275</c:v>
                </c:pt>
                <c:pt idx="22">
                  <c:v>13.29</c:v>
                </c:pt>
                <c:pt idx="23">
                  <c:v>13.304</c:v>
                </c:pt>
                <c:pt idx="24">
                  <c:v>13.319000000000001</c:v>
                </c:pt>
                <c:pt idx="25">
                  <c:v>13.334</c:v>
                </c:pt>
                <c:pt idx="26">
                  <c:v>13.478999999999999</c:v>
                </c:pt>
                <c:pt idx="27">
                  <c:v>13.464</c:v>
                </c:pt>
                <c:pt idx="28">
                  <c:v>13.45</c:v>
                </c:pt>
                <c:pt idx="29">
                  <c:v>13.435</c:v>
                </c:pt>
                <c:pt idx="30">
                  <c:v>13.419</c:v>
                </c:pt>
                <c:pt idx="31">
                  <c:v>13.404</c:v>
                </c:pt>
                <c:pt idx="32">
                  <c:v>13.387</c:v>
                </c:pt>
                <c:pt idx="33">
                  <c:v>13.374000000000001</c:v>
                </c:pt>
                <c:pt idx="34">
                  <c:v>13.201000000000001</c:v>
                </c:pt>
                <c:pt idx="35">
                  <c:v>13.179</c:v>
                </c:pt>
                <c:pt idx="36">
                  <c:v>13.16</c:v>
                </c:pt>
                <c:pt idx="37">
                  <c:v>13.138999999999999</c:v>
                </c:pt>
              </c:numCache>
            </c:numRef>
          </c:xVal>
          <c:yVal>
            <c:numRef>
              <c:f>'DOY247'!$W$48:$W$85</c:f>
              <c:numCache>
                <c:formatCode>0.00</c:formatCode>
                <c:ptCount val="38"/>
                <c:pt idx="0">
                  <c:v>56.755807911912768</c:v>
                </c:pt>
                <c:pt idx="1">
                  <c:v>46.046725910070869</c:v>
                </c:pt>
                <c:pt idx="2">
                  <c:v>31.989869826128174</c:v>
                </c:pt>
                <c:pt idx="3">
                  <c:v>32.413131692464127</c:v>
                </c:pt>
                <c:pt idx="4">
                  <c:v>33.70318467846883</c:v>
                </c:pt>
                <c:pt idx="5">
                  <c:v>33.293293382690671</c:v>
                </c:pt>
                <c:pt idx="6">
                  <c:v>32.174890732531814</c:v>
                </c:pt>
                <c:pt idx="7">
                  <c:v>32.470902658576726</c:v>
                </c:pt>
                <c:pt idx="8">
                  <c:v>32.46573375709611</c:v>
                </c:pt>
                <c:pt idx="9">
                  <c:v>32.510864857648777</c:v>
                </c:pt>
                <c:pt idx="10">
                  <c:v>32.72879811170592</c:v>
                </c:pt>
                <c:pt idx="11">
                  <c:v>30.40301747408904</c:v>
                </c:pt>
                <c:pt idx="12">
                  <c:v>30.871430002528083</c:v>
                </c:pt>
                <c:pt idx="13">
                  <c:v>32.656642130125185</c:v>
                </c:pt>
                <c:pt idx="14">
                  <c:v>30.580749007359184</c:v>
                </c:pt>
                <c:pt idx="15">
                  <c:v>30.587890440609911</c:v>
                </c:pt>
                <c:pt idx="16">
                  <c:v>30.313285202426382</c:v>
                </c:pt>
                <c:pt idx="17">
                  <c:v>31.186177081069875</c:v>
                </c:pt>
                <c:pt idx="18">
                  <c:v>30.64431233588688</c:v>
                </c:pt>
                <c:pt idx="19">
                  <c:v>32.191607562342476</c:v>
                </c:pt>
                <c:pt idx="20">
                  <c:v>32.918304578226945</c:v>
                </c:pt>
                <c:pt idx="21">
                  <c:v>31.587658887459373</c:v>
                </c:pt>
                <c:pt idx="22">
                  <c:v>31.844677268426491</c:v>
                </c:pt>
                <c:pt idx="23">
                  <c:v>33.213858595110928</c:v>
                </c:pt>
                <c:pt idx="24">
                  <c:v>33.056450806888243</c:v>
                </c:pt>
                <c:pt idx="25">
                  <c:v>33.240901088029801</c:v>
                </c:pt>
                <c:pt idx="26">
                  <c:v>32.337698326475213</c:v>
                </c:pt>
                <c:pt idx="27">
                  <c:v>32.864320168637335</c:v>
                </c:pt>
                <c:pt idx="28">
                  <c:v>33.576139036111144</c:v>
                </c:pt>
                <c:pt idx="29">
                  <c:v>33.552169629667119</c:v>
                </c:pt>
                <c:pt idx="30">
                  <c:v>32.956910661707035</c:v>
                </c:pt>
                <c:pt idx="31">
                  <c:v>34.051856599914849</c:v>
                </c:pt>
                <c:pt idx="32">
                  <c:v>32.374828533505877</c:v>
                </c:pt>
                <c:pt idx="33">
                  <c:v>31.870670092653409</c:v>
                </c:pt>
                <c:pt idx="34">
                  <c:v>33.597665484829996</c:v>
                </c:pt>
                <c:pt idx="35">
                  <c:v>40.128776233265498</c:v>
                </c:pt>
                <c:pt idx="36">
                  <c:v>34.582009437712756</c:v>
                </c:pt>
                <c:pt idx="37">
                  <c:v>40.719078838212056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94-4E56-8EF1-7BA4698E3E4C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('DOY247'!$J$17,'DOY247'!$J$26)</c:f>
              <c:numCache>
                <c:formatCode>0.000</c:formatCode>
                <c:ptCount val="2"/>
                <c:pt idx="0">
                  <c:v>12.885</c:v>
                </c:pt>
                <c:pt idx="1">
                  <c:v>13.218999999999999</c:v>
                </c:pt>
              </c:numCache>
            </c:numRef>
          </c:xVal>
          <c:yVal>
            <c:numRef>
              <c:f>('DOY247'!$W$17,'DOY247'!$W$26)</c:f>
              <c:numCache>
                <c:formatCode>0.00</c:formatCode>
                <c:ptCount val="2"/>
                <c:pt idx="0">
                  <c:v>33.121796458765367</c:v>
                </c:pt>
                <c:pt idx="1">
                  <c:v>31.445164471428949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94-4E56-8EF1-7BA4698E3E4C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('DOY247'!$J$59,'DOY247'!$J$68)</c:f>
              <c:numCache>
                <c:formatCode>0.000</c:formatCode>
                <c:ptCount val="2"/>
                <c:pt idx="0">
                  <c:v>13.026999999999999</c:v>
                </c:pt>
                <c:pt idx="1">
                  <c:v>13.26</c:v>
                </c:pt>
              </c:numCache>
            </c:numRef>
          </c:xVal>
          <c:yVal>
            <c:numRef>
              <c:f>('DOY247'!$W$59,'DOY247'!$W$68)</c:f>
              <c:numCache>
                <c:formatCode>0.00</c:formatCode>
                <c:ptCount val="2"/>
                <c:pt idx="0">
                  <c:v>30.40301747408904</c:v>
                </c:pt>
                <c:pt idx="1">
                  <c:v>32.918304578226945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94-4E56-8EF1-7BA4698E3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769264"/>
        <c:axId val="1"/>
      </c:scatterChart>
      <c:valAx>
        <c:axId val="926769264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769264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'DOY248'!$J$10:$J$39</c:f>
              <c:numCache>
                <c:formatCode>0.000</c:formatCode>
                <c:ptCount val="30"/>
                <c:pt idx="0">
                  <c:v>12.967000000000001</c:v>
                </c:pt>
                <c:pt idx="1">
                  <c:v>12.952999999999999</c:v>
                </c:pt>
                <c:pt idx="2">
                  <c:v>12.935</c:v>
                </c:pt>
                <c:pt idx="3">
                  <c:v>12.911</c:v>
                </c:pt>
                <c:pt idx="4">
                  <c:v>12.895</c:v>
                </c:pt>
                <c:pt idx="5">
                  <c:v>12.88</c:v>
                </c:pt>
                <c:pt idx="6">
                  <c:v>12.865</c:v>
                </c:pt>
                <c:pt idx="7">
                  <c:v>12.849</c:v>
                </c:pt>
                <c:pt idx="8">
                  <c:v>12.984999999999999</c:v>
                </c:pt>
                <c:pt idx="9">
                  <c:v>12.999000000000001</c:v>
                </c:pt>
                <c:pt idx="10">
                  <c:v>13.013</c:v>
                </c:pt>
                <c:pt idx="11">
                  <c:v>13.03</c:v>
                </c:pt>
                <c:pt idx="12">
                  <c:v>13.05</c:v>
                </c:pt>
                <c:pt idx="13">
                  <c:v>13.067</c:v>
                </c:pt>
                <c:pt idx="14">
                  <c:v>13.083</c:v>
                </c:pt>
                <c:pt idx="15">
                  <c:v>13.1</c:v>
                </c:pt>
                <c:pt idx="16">
                  <c:v>13.208</c:v>
                </c:pt>
                <c:pt idx="17">
                  <c:v>13.227</c:v>
                </c:pt>
                <c:pt idx="18">
                  <c:v>13.244</c:v>
                </c:pt>
                <c:pt idx="19">
                  <c:v>13.259</c:v>
                </c:pt>
                <c:pt idx="20">
                  <c:v>13.276</c:v>
                </c:pt>
                <c:pt idx="21">
                  <c:v>13.303000000000001</c:v>
                </c:pt>
                <c:pt idx="22">
                  <c:v>13.318</c:v>
                </c:pt>
                <c:pt idx="23">
                  <c:v>13.34</c:v>
                </c:pt>
                <c:pt idx="24">
                  <c:v>13.486000000000001</c:v>
                </c:pt>
                <c:pt idx="25">
                  <c:v>13.465</c:v>
                </c:pt>
                <c:pt idx="26">
                  <c:v>13.449</c:v>
                </c:pt>
                <c:pt idx="27">
                  <c:v>13.433999999999999</c:v>
                </c:pt>
                <c:pt idx="28">
                  <c:v>13.416</c:v>
                </c:pt>
                <c:pt idx="29">
                  <c:v>13.398</c:v>
                </c:pt>
              </c:numCache>
            </c:numRef>
          </c:xVal>
          <c:yVal>
            <c:numRef>
              <c:f>'DOY248'!$W$10:$W$39</c:f>
              <c:numCache>
                <c:formatCode>0.00</c:formatCode>
                <c:ptCount val="30"/>
                <c:pt idx="0">
                  <c:v>31.070866613548688</c:v>
                </c:pt>
                <c:pt idx="1">
                  <c:v>31.80177639371362</c:v>
                </c:pt>
                <c:pt idx="2">
                  <c:v>31.046659635049355</c:v>
                </c:pt>
                <c:pt idx="3">
                  <c:v>30.860694731298604</c:v>
                </c:pt>
                <c:pt idx="4">
                  <c:v>30.537464193426771</c:v>
                </c:pt>
                <c:pt idx="5">
                  <c:v>30.294820260793298</c:v>
                </c:pt>
                <c:pt idx="6">
                  <c:v>31.417367177329044</c:v>
                </c:pt>
                <c:pt idx="7">
                  <c:v>32.06864491673722</c:v>
                </c:pt>
                <c:pt idx="8">
                  <c:v>31.915877673271009</c:v>
                </c:pt>
                <c:pt idx="9">
                  <c:v>31.141923613143206</c:v>
                </c:pt>
                <c:pt idx="10">
                  <c:v>31.232420240866791</c:v>
                </c:pt>
                <c:pt idx="11">
                  <c:v>31.377507127223655</c:v>
                </c:pt>
                <c:pt idx="12">
                  <c:v>31.51421974797346</c:v>
                </c:pt>
                <c:pt idx="13">
                  <c:v>29.970811277347895</c:v>
                </c:pt>
                <c:pt idx="14">
                  <c:v>30.675032752069693</c:v>
                </c:pt>
                <c:pt idx="15">
                  <c:v>31.101563385338974</c:v>
                </c:pt>
                <c:pt idx="16">
                  <c:v>32.581040250448467</c:v>
                </c:pt>
                <c:pt idx="17">
                  <c:v>32.14116722564669</c:v>
                </c:pt>
                <c:pt idx="18">
                  <c:v>30.367730031300468</c:v>
                </c:pt>
                <c:pt idx="19">
                  <c:v>31.521871926057525</c:v>
                </c:pt>
                <c:pt idx="20">
                  <c:v>30.641162317556407</c:v>
                </c:pt>
                <c:pt idx="21">
                  <c:v>30.957582525724636</c:v>
                </c:pt>
                <c:pt idx="22">
                  <c:v>30.843164232132768</c:v>
                </c:pt>
                <c:pt idx="23">
                  <c:v>30.310811480702807</c:v>
                </c:pt>
                <c:pt idx="24">
                  <c:v>29.873067545028761</c:v>
                </c:pt>
                <c:pt idx="25">
                  <c:v>30.326031299795076</c:v>
                </c:pt>
                <c:pt idx="26">
                  <c:v>30.553546995168464</c:v>
                </c:pt>
                <c:pt idx="27">
                  <c:v>32.606011585008709</c:v>
                </c:pt>
                <c:pt idx="28">
                  <c:v>31.554513050592647</c:v>
                </c:pt>
                <c:pt idx="29">
                  <c:v>31.473112775999109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09-4328-BF04-3002390FE1D9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'DOY248'!$J$48:$J$85</c:f>
              <c:numCache>
                <c:formatCode>0.000</c:formatCode>
                <c:ptCount val="38"/>
                <c:pt idx="0">
                  <c:v>13.135999999999999</c:v>
                </c:pt>
                <c:pt idx="1">
                  <c:v>13.121</c:v>
                </c:pt>
                <c:pt idx="2">
                  <c:v>12.972</c:v>
                </c:pt>
                <c:pt idx="3">
                  <c:v>12.957000000000001</c:v>
                </c:pt>
                <c:pt idx="4">
                  <c:v>12.94</c:v>
                </c:pt>
                <c:pt idx="5">
                  <c:v>12.916</c:v>
                </c:pt>
                <c:pt idx="6">
                  <c:v>12.9</c:v>
                </c:pt>
                <c:pt idx="7">
                  <c:v>12.885</c:v>
                </c:pt>
                <c:pt idx="8">
                  <c:v>12.87</c:v>
                </c:pt>
                <c:pt idx="9">
                  <c:v>12.855</c:v>
                </c:pt>
                <c:pt idx="10">
                  <c:v>12.99</c:v>
                </c:pt>
                <c:pt idx="11">
                  <c:v>13.004</c:v>
                </c:pt>
                <c:pt idx="12">
                  <c:v>13.018000000000001</c:v>
                </c:pt>
                <c:pt idx="13">
                  <c:v>13.036</c:v>
                </c:pt>
                <c:pt idx="14">
                  <c:v>13.055</c:v>
                </c:pt>
                <c:pt idx="15">
                  <c:v>13.071999999999999</c:v>
                </c:pt>
                <c:pt idx="16">
                  <c:v>13.089</c:v>
                </c:pt>
                <c:pt idx="17">
                  <c:v>13.105</c:v>
                </c:pt>
                <c:pt idx="18">
                  <c:v>13.212999999999999</c:v>
                </c:pt>
                <c:pt idx="19">
                  <c:v>13.233000000000001</c:v>
                </c:pt>
                <c:pt idx="20">
                  <c:v>13.247999999999999</c:v>
                </c:pt>
                <c:pt idx="21">
                  <c:v>13.263999999999999</c:v>
                </c:pt>
                <c:pt idx="22">
                  <c:v>13.282</c:v>
                </c:pt>
                <c:pt idx="23">
                  <c:v>13.308</c:v>
                </c:pt>
                <c:pt idx="24">
                  <c:v>13.329000000000001</c:v>
                </c:pt>
                <c:pt idx="25">
                  <c:v>13.345000000000001</c:v>
                </c:pt>
                <c:pt idx="26">
                  <c:v>13.49</c:v>
                </c:pt>
                <c:pt idx="27">
                  <c:v>13.47</c:v>
                </c:pt>
                <c:pt idx="28">
                  <c:v>13.454000000000001</c:v>
                </c:pt>
                <c:pt idx="29">
                  <c:v>13.439</c:v>
                </c:pt>
                <c:pt idx="30">
                  <c:v>13.420999999999999</c:v>
                </c:pt>
                <c:pt idx="31">
                  <c:v>13.401999999999999</c:v>
                </c:pt>
                <c:pt idx="32">
                  <c:v>13.385999999999999</c:v>
                </c:pt>
                <c:pt idx="33">
                  <c:v>13.37</c:v>
                </c:pt>
                <c:pt idx="34">
                  <c:v>13.19</c:v>
                </c:pt>
                <c:pt idx="35">
                  <c:v>13.167</c:v>
                </c:pt>
                <c:pt idx="36">
                  <c:v>13.147</c:v>
                </c:pt>
                <c:pt idx="37">
                  <c:v>13.125999999999999</c:v>
                </c:pt>
              </c:numCache>
            </c:numRef>
          </c:xVal>
          <c:yVal>
            <c:numRef>
              <c:f>'DOY248'!$W$48:$W$85</c:f>
              <c:numCache>
                <c:formatCode>0.00</c:formatCode>
                <c:ptCount val="38"/>
                <c:pt idx="0">
                  <c:v>52.819932804217558</c:v>
                </c:pt>
                <c:pt idx="1">
                  <c:v>46.046802832031027</c:v>
                </c:pt>
                <c:pt idx="2">
                  <c:v>31.568447201656166</c:v>
                </c:pt>
                <c:pt idx="3">
                  <c:v>30.794577678604238</c:v>
                </c:pt>
                <c:pt idx="4">
                  <c:v>31.061086919055423</c:v>
                </c:pt>
                <c:pt idx="5">
                  <c:v>30.521236974180479</c:v>
                </c:pt>
                <c:pt idx="6">
                  <c:v>30.657988341090057</c:v>
                </c:pt>
                <c:pt idx="7">
                  <c:v>30.479369168523359</c:v>
                </c:pt>
                <c:pt idx="8">
                  <c:v>30.834677250424562</c:v>
                </c:pt>
                <c:pt idx="9">
                  <c:v>31.513254616357369</c:v>
                </c:pt>
                <c:pt idx="10">
                  <c:v>31.946965429037153</c:v>
                </c:pt>
                <c:pt idx="11">
                  <c:v>31.214195833203249</c:v>
                </c:pt>
                <c:pt idx="12">
                  <c:v>31.497305664985788</c:v>
                </c:pt>
                <c:pt idx="13">
                  <c:v>31.604597810616998</c:v>
                </c:pt>
                <c:pt idx="14">
                  <c:v>30.553300428697195</c:v>
                </c:pt>
                <c:pt idx="15">
                  <c:v>29.14215933758236</c:v>
                </c:pt>
                <c:pt idx="16">
                  <c:v>30.656924582885452</c:v>
                </c:pt>
                <c:pt idx="17">
                  <c:v>30.971928795032994</c:v>
                </c:pt>
                <c:pt idx="18">
                  <c:v>32.387310452512494</c:v>
                </c:pt>
                <c:pt idx="19">
                  <c:v>32.123129504025677</c:v>
                </c:pt>
                <c:pt idx="20">
                  <c:v>30.254498779148829</c:v>
                </c:pt>
                <c:pt idx="21">
                  <c:v>31.606658778782244</c:v>
                </c:pt>
                <c:pt idx="22">
                  <c:v>30.890035387496926</c:v>
                </c:pt>
                <c:pt idx="23">
                  <c:v>30.57749684006205</c:v>
                </c:pt>
                <c:pt idx="24">
                  <c:v>32.482796340430482</c:v>
                </c:pt>
                <c:pt idx="25">
                  <c:v>30.269877105258345</c:v>
                </c:pt>
                <c:pt idx="26">
                  <c:v>31.279573186483827</c:v>
                </c:pt>
                <c:pt idx="27">
                  <c:v>30.447013356619284</c:v>
                </c:pt>
                <c:pt idx="28">
                  <c:v>30.921313351683768</c:v>
                </c:pt>
                <c:pt idx="29">
                  <c:v>33.012310055062727</c:v>
                </c:pt>
                <c:pt idx="30">
                  <c:v>31.028068900057093</c:v>
                </c:pt>
                <c:pt idx="31">
                  <c:v>31.961833010313327</c:v>
                </c:pt>
                <c:pt idx="32">
                  <c:v>30.448735799539975</c:v>
                </c:pt>
                <c:pt idx="33">
                  <c:v>29.734526810013435</c:v>
                </c:pt>
                <c:pt idx="34">
                  <c:v>34.455572154522301</c:v>
                </c:pt>
                <c:pt idx="35">
                  <c:v>39.27805866255008</c:v>
                </c:pt>
                <c:pt idx="36">
                  <c:v>36.338909250116238</c:v>
                </c:pt>
                <c:pt idx="37">
                  <c:v>39.18662703189532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09-4328-BF04-3002390FE1D9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('DOY248'!$J$17,'DOY248'!$J$26)</c:f>
              <c:numCache>
                <c:formatCode>0.000</c:formatCode>
                <c:ptCount val="2"/>
                <c:pt idx="0">
                  <c:v>12.849</c:v>
                </c:pt>
                <c:pt idx="1">
                  <c:v>13.208</c:v>
                </c:pt>
              </c:numCache>
            </c:numRef>
          </c:xVal>
          <c:yVal>
            <c:numRef>
              <c:f>('DOY248'!$W$17,'DOY248'!$W$26)</c:f>
              <c:numCache>
                <c:formatCode>0.00</c:formatCode>
                <c:ptCount val="2"/>
                <c:pt idx="0">
                  <c:v>32.06864491673722</c:v>
                </c:pt>
                <c:pt idx="1">
                  <c:v>32.581040250448467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09-4328-BF04-3002390FE1D9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('DOY248'!$J$59,'DOY248'!$J$68)</c:f>
              <c:numCache>
                <c:formatCode>0.000</c:formatCode>
                <c:ptCount val="2"/>
                <c:pt idx="0">
                  <c:v>13.004</c:v>
                </c:pt>
                <c:pt idx="1">
                  <c:v>13.247999999999999</c:v>
                </c:pt>
              </c:numCache>
            </c:numRef>
          </c:xVal>
          <c:yVal>
            <c:numRef>
              <c:f>('DOY248'!$W$59,'DOY248'!$W$68)</c:f>
              <c:numCache>
                <c:formatCode>0.00</c:formatCode>
                <c:ptCount val="2"/>
                <c:pt idx="0">
                  <c:v>31.214195833203249</c:v>
                </c:pt>
                <c:pt idx="1">
                  <c:v>30.254498779148829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09-4328-BF04-3002390F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939951"/>
        <c:axId val="1"/>
      </c:scatterChart>
      <c:valAx>
        <c:axId val="158993995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993995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'DOY251'!$J$10:$J$39</c:f>
              <c:numCache>
                <c:formatCode>0.000</c:formatCode>
                <c:ptCount val="30"/>
                <c:pt idx="0">
                  <c:v>12.997</c:v>
                </c:pt>
                <c:pt idx="1">
                  <c:v>12.981999999999999</c:v>
                </c:pt>
                <c:pt idx="2">
                  <c:v>12.967000000000001</c:v>
                </c:pt>
                <c:pt idx="3">
                  <c:v>12.952</c:v>
                </c:pt>
                <c:pt idx="4">
                  <c:v>12.936999999999999</c:v>
                </c:pt>
                <c:pt idx="5">
                  <c:v>12.922000000000001</c:v>
                </c:pt>
                <c:pt idx="6">
                  <c:v>12.906000000000001</c:v>
                </c:pt>
                <c:pt idx="7">
                  <c:v>12.891999999999999</c:v>
                </c:pt>
                <c:pt idx="8">
                  <c:v>13.015000000000001</c:v>
                </c:pt>
                <c:pt idx="9">
                  <c:v>13.031000000000001</c:v>
                </c:pt>
                <c:pt idx="10">
                  <c:v>13.045</c:v>
                </c:pt>
                <c:pt idx="11">
                  <c:v>13.061</c:v>
                </c:pt>
                <c:pt idx="12">
                  <c:v>13.077</c:v>
                </c:pt>
                <c:pt idx="13">
                  <c:v>13.090999999999999</c:v>
                </c:pt>
                <c:pt idx="14">
                  <c:v>13.106</c:v>
                </c:pt>
                <c:pt idx="15">
                  <c:v>13.122</c:v>
                </c:pt>
                <c:pt idx="16">
                  <c:v>13.227</c:v>
                </c:pt>
                <c:pt idx="17">
                  <c:v>13.242000000000001</c:v>
                </c:pt>
                <c:pt idx="18">
                  <c:v>13.257999999999999</c:v>
                </c:pt>
                <c:pt idx="19">
                  <c:v>13.272</c:v>
                </c:pt>
                <c:pt idx="20">
                  <c:v>13.289</c:v>
                </c:pt>
                <c:pt idx="21">
                  <c:v>13.305</c:v>
                </c:pt>
                <c:pt idx="22">
                  <c:v>13.32</c:v>
                </c:pt>
                <c:pt idx="23">
                  <c:v>13.335000000000001</c:v>
                </c:pt>
                <c:pt idx="24">
                  <c:v>13.468</c:v>
                </c:pt>
                <c:pt idx="25">
                  <c:v>13.452999999999999</c:v>
                </c:pt>
                <c:pt idx="26">
                  <c:v>13.436999999999999</c:v>
                </c:pt>
                <c:pt idx="27">
                  <c:v>13.420999999999999</c:v>
                </c:pt>
                <c:pt idx="28">
                  <c:v>13.406000000000001</c:v>
                </c:pt>
                <c:pt idx="29">
                  <c:v>13.391</c:v>
                </c:pt>
              </c:numCache>
            </c:numRef>
          </c:xVal>
          <c:yVal>
            <c:numRef>
              <c:f>'DOY251'!$W$10:$W$39</c:f>
              <c:numCache>
                <c:formatCode>0.00</c:formatCode>
                <c:ptCount val="30"/>
                <c:pt idx="0">
                  <c:v>31.689294449522858</c:v>
                </c:pt>
                <c:pt idx="1">
                  <c:v>33.355206267397044</c:v>
                </c:pt>
                <c:pt idx="2">
                  <c:v>33.284395834273788</c:v>
                </c:pt>
                <c:pt idx="3">
                  <c:v>32.668101600877733</c:v>
                </c:pt>
                <c:pt idx="4">
                  <c:v>32.588173680355474</c:v>
                </c:pt>
                <c:pt idx="5">
                  <c:v>32.195946734113264</c:v>
                </c:pt>
                <c:pt idx="6">
                  <c:v>33.330826692367829</c:v>
                </c:pt>
                <c:pt idx="7">
                  <c:v>34.787621391780583</c:v>
                </c:pt>
                <c:pt idx="8">
                  <c:v>32.203232584868587</c:v>
                </c:pt>
                <c:pt idx="9">
                  <c:v>31.317438611962714</c:v>
                </c:pt>
                <c:pt idx="10">
                  <c:v>32.557011954647948</c:v>
                </c:pt>
                <c:pt idx="11">
                  <c:v>33.323875467537796</c:v>
                </c:pt>
                <c:pt idx="12">
                  <c:v>34.05735463410057</c:v>
                </c:pt>
                <c:pt idx="13">
                  <c:v>31.287065898963238</c:v>
                </c:pt>
                <c:pt idx="14">
                  <c:v>32.458630671881672</c:v>
                </c:pt>
                <c:pt idx="15">
                  <c:v>32.322073035770948</c:v>
                </c:pt>
                <c:pt idx="16">
                  <c:v>34.200014601904563</c:v>
                </c:pt>
                <c:pt idx="17">
                  <c:v>33.906739563690678</c:v>
                </c:pt>
                <c:pt idx="18">
                  <c:v>31.472051581585259</c:v>
                </c:pt>
                <c:pt idx="19">
                  <c:v>33.483755965229449</c:v>
                </c:pt>
                <c:pt idx="20">
                  <c:v>33.019355425515705</c:v>
                </c:pt>
                <c:pt idx="21">
                  <c:v>33.13824871209048</c:v>
                </c:pt>
                <c:pt idx="22">
                  <c:v>32.971681167930853</c:v>
                </c:pt>
                <c:pt idx="23">
                  <c:v>33.131399636227115</c:v>
                </c:pt>
                <c:pt idx="24">
                  <c:v>30.922527613561879</c:v>
                </c:pt>
                <c:pt idx="25">
                  <c:v>31.463166571144868</c:v>
                </c:pt>
                <c:pt idx="26">
                  <c:v>32.074714588439626</c:v>
                </c:pt>
                <c:pt idx="27">
                  <c:v>35.437192350499245</c:v>
                </c:pt>
                <c:pt idx="28">
                  <c:v>33.93069645334058</c:v>
                </c:pt>
                <c:pt idx="29">
                  <c:v>34.582433674628213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D1-4644-92E1-D08DAC7E2514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'DOY251'!$J$48:$J$85</c:f>
              <c:numCache>
                <c:formatCode>0.000</c:formatCode>
                <c:ptCount val="38"/>
                <c:pt idx="0">
                  <c:v>13.157</c:v>
                </c:pt>
                <c:pt idx="1">
                  <c:v>13.141</c:v>
                </c:pt>
                <c:pt idx="2">
                  <c:v>13.002000000000001</c:v>
                </c:pt>
                <c:pt idx="3">
                  <c:v>12.987</c:v>
                </c:pt>
                <c:pt idx="4">
                  <c:v>12.973000000000001</c:v>
                </c:pt>
                <c:pt idx="5">
                  <c:v>12.957000000000001</c:v>
                </c:pt>
                <c:pt idx="6">
                  <c:v>12.942</c:v>
                </c:pt>
                <c:pt idx="7">
                  <c:v>12.927</c:v>
                </c:pt>
                <c:pt idx="8">
                  <c:v>12.91</c:v>
                </c:pt>
                <c:pt idx="9">
                  <c:v>12.897</c:v>
                </c:pt>
                <c:pt idx="10">
                  <c:v>13.021000000000001</c:v>
                </c:pt>
                <c:pt idx="11">
                  <c:v>13.036</c:v>
                </c:pt>
                <c:pt idx="12">
                  <c:v>13.05</c:v>
                </c:pt>
                <c:pt idx="13">
                  <c:v>13.066000000000001</c:v>
                </c:pt>
                <c:pt idx="14">
                  <c:v>13.081</c:v>
                </c:pt>
                <c:pt idx="15">
                  <c:v>13.095000000000001</c:v>
                </c:pt>
                <c:pt idx="16">
                  <c:v>13.111000000000001</c:v>
                </c:pt>
                <c:pt idx="17">
                  <c:v>13.127000000000001</c:v>
                </c:pt>
                <c:pt idx="18">
                  <c:v>13.231999999999999</c:v>
                </c:pt>
                <c:pt idx="19">
                  <c:v>13.247999999999999</c:v>
                </c:pt>
                <c:pt idx="20">
                  <c:v>13.263</c:v>
                </c:pt>
                <c:pt idx="21">
                  <c:v>13.276999999999999</c:v>
                </c:pt>
                <c:pt idx="22">
                  <c:v>13.295</c:v>
                </c:pt>
                <c:pt idx="23">
                  <c:v>13.31</c:v>
                </c:pt>
                <c:pt idx="24">
                  <c:v>13.324999999999999</c:v>
                </c:pt>
                <c:pt idx="25">
                  <c:v>13.340999999999999</c:v>
                </c:pt>
                <c:pt idx="26">
                  <c:v>13.473000000000001</c:v>
                </c:pt>
                <c:pt idx="27">
                  <c:v>13.458</c:v>
                </c:pt>
                <c:pt idx="28">
                  <c:v>13.441000000000001</c:v>
                </c:pt>
                <c:pt idx="29">
                  <c:v>13.426</c:v>
                </c:pt>
                <c:pt idx="30">
                  <c:v>13.411</c:v>
                </c:pt>
                <c:pt idx="31">
                  <c:v>13.395</c:v>
                </c:pt>
                <c:pt idx="32">
                  <c:v>13.379</c:v>
                </c:pt>
                <c:pt idx="33">
                  <c:v>13.364000000000001</c:v>
                </c:pt>
                <c:pt idx="34">
                  <c:v>13.209</c:v>
                </c:pt>
                <c:pt idx="35">
                  <c:v>13.186999999999999</c:v>
                </c:pt>
                <c:pt idx="36">
                  <c:v>13.167</c:v>
                </c:pt>
                <c:pt idx="37">
                  <c:v>13.146000000000001</c:v>
                </c:pt>
              </c:numCache>
            </c:numRef>
          </c:xVal>
          <c:yVal>
            <c:numRef>
              <c:f>'DOY251'!$W$48:$W$85</c:f>
              <c:numCache>
                <c:formatCode>0.00</c:formatCode>
                <c:ptCount val="38"/>
                <c:pt idx="0">
                  <c:v>57.045971538204874</c:v>
                </c:pt>
                <c:pt idx="1">
                  <c:v>46.897652282274549</c:v>
                </c:pt>
                <c:pt idx="2">
                  <c:v>30.986960969495328</c:v>
                </c:pt>
                <c:pt idx="3">
                  <c:v>32.777595609800628</c:v>
                </c:pt>
                <c:pt idx="4">
                  <c:v>32.729202787070946</c:v>
                </c:pt>
                <c:pt idx="5">
                  <c:v>31.641716868866876</c:v>
                </c:pt>
                <c:pt idx="6">
                  <c:v>32.97785394718732</c:v>
                </c:pt>
                <c:pt idx="7">
                  <c:v>33.512628145132375</c:v>
                </c:pt>
                <c:pt idx="8">
                  <c:v>33.474442797371964</c:v>
                </c:pt>
                <c:pt idx="9">
                  <c:v>35.136511700672578</c:v>
                </c:pt>
                <c:pt idx="10">
                  <c:v>31.454954334933223</c:v>
                </c:pt>
                <c:pt idx="11">
                  <c:v>31.45382717392172</c:v>
                </c:pt>
                <c:pt idx="12">
                  <c:v>32.443019868813543</c:v>
                </c:pt>
                <c:pt idx="13">
                  <c:v>32.860267462910258</c:v>
                </c:pt>
                <c:pt idx="14">
                  <c:v>33.539163415596072</c:v>
                </c:pt>
                <c:pt idx="15">
                  <c:v>30.187827754495785</c:v>
                </c:pt>
                <c:pt idx="16">
                  <c:v>31.629515727858522</c:v>
                </c:pt>
                <c:pt idx="17">
                  <c:v>31.025711470480015</c:v>
                </c:pt>
                <c:pt idx="18">
                  <c:v>32.911715760223991</c:v>
                </c:pt>
                <c:pt idx="19">
                  <c:v>32.544865222030531</c:v>
                </c:pt>
                <c:pt idx="20">
                  <c:v>31.140763792140856</c:v>
                </c:pt>
                <c:pt idx="21">
                  <c:v>33.217542604543787</c:v>
                </c:pt>
                <c:pt idx="22">
                  <c:v>35.274150329937598</c:v>
                </c:pt>
                <c:pt idx="23">
                  <c:v>32.706520998315298</c:v>
                </c:pt>
                <c:pt idx="24">
                  <c:v>35.01660396918745</c:v>
                </c:pt>
                <c:pt idx="25">
                  <c:v>32.561289694453841</c:v>
                </c:pt>
                <c:pt idx="26">
                  <c:v>30.83407396517163</c:v>
                </c:pt>
                <c:pt idx="27">
                  <c:v>32.009101235822264</c:v>
                </c:pt>
                <c:pt idx="28">
                  <c:v>31.97212758614921</c:v>
                </c:pt>
                <c:pt idx="29">
                  <c:v>34.920269188132686</c:v>
                </c:pt>
                <c:pt idx="30">
                  <c:v>32.961697175504256</c:v>
                </c:pt>
                <c:pt idx="31">
                  <c:v>34.167003627662545</c:v>
                </c:pt>
                <c:pt idx="32">
                  <c:v>32.451242672159687</c:v>
                </c:pt>
                <c:pt idx="33">
                  <c:v>32.737481948467654</c:v>
                </c:pt>
                <c:pt idx="34">
                  <c:v>34.735931623092277</c:v>
                </c:pt>
                <c:pt idx="35">
                  <c:v>40.465727231728088</c:v>
                </c:pt>
                <c:pt idx="36">
                  <c:v>38.256643424477978</c:v>
                </c:pt>
                <c:pt idx="37">
                  <c:v>40.107511615125595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D1-4644-92E1-D08DAC7E2514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('DOY251'!$J$17,'DOY251'!$J$26)</c:f>
              <c:numCache>
                <c:formatCode>0.000</c:formatCode>
                <c:ptCount val="2"/>
                <c:pt idx="0">
                  <c:v>12.891999999999999</c:v>
                </c:pt>
                <c:pt idx="1">
                  <c:v>13.227</c:v>
                </c:pt>
              </c:numCache>
            </c:numRef>
          </c:xVal>
          <c:yVal>
            <c:numRef>
              <c:f>('DOY251'!$W$17,'DOY251'!$W$26)</c:f>
              <c:numCache>
                <c:formatCode>0.00</c:formatCode>
                <c:ptCount val="2"/>
                <c:pt idx="0">
                  <c:v>34.787621391780583</c:v>
                </c:pt>
                <c:pt idx="1">
                  <c:v>34.200014601904563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D1-4644-92E1-D08DAC7E2514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('DOY251'!$J$59,'DOY251'!$J$68)</c:f>
              <c:numCache>
                <c:formatCode>0.000</c:formatCode>
                <c:ptCount val="2"/>
                <c:pt idx="0">
                  <c:v>13.036</c:v>
                </c:pt>
                <c:pt idx="1">
                  <c:v>13.263</c:v>
                </c:pt>
              </c:numCache>
            </c:numRef>
          </c:xVal>
          <c:yVal>
            <c:numRef>
              <c:f>('DOY251'!$W$59,'DOY251'!$W$68)</c:f>
              <c:numCache>
                <c:formatCode>0.00</c:formatCode>
                <c:ptCount val="2"/>
                <c:pt idx="0">
                  <c:v>31.45382717392172</c:v>
                </c:pt>
                <c:pt idx="1">
                  <c:v>31.140763792140856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D1-4644-92E1-D08DAC7E2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772144"/>
        <c:axId val="1"/>
      </c:scatterChart>
      <c:valAx>
        <c:axId val="926772144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772144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'DOY252'!$J$10:$J$39</c:f>
              <c:numCache>
                <c:formatCode>0.000</c:formatCode>
                <c:ptCount val="30"/>
                <c:pt idx="0">
                  <c:v>13.189</c:v>
                </c:pt>
                <c:pt idx="1">
                  <c:v>13.173</c:v>
                </c:pt>
                <c:pt idx="2">
                  <c:v>13.154999999999999</c:v>
                </c:pt>
                <c:pt idx="3">
                  <c:v>13.14</c:v>
                </c:pt>
                <c:pt idx="4">
                  <c:v>13.122999999999999</c:v>
                </c:pt>
                <c:pt idx="5">
                  <c:v>13.103999999999999</c:v>
                </c:pt>
                <c:pt idx="6">
                  <c:v>13.086</c:v>
                </c:pt>
                <c:pt idx="7">
                  <c:v>13.067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'DOY252'!$W$10:$W$39</c:f>
              <c:numCache>
                <c:formatCode>0.00</c:formatCode>
                <c:ptCount val="30"/>
                <c:pt idx="0">
                  <c:v>30.783708256183839</c:v>
                </c:pt>
                <c:pt idx="1">
                  <c:v>29.277683603816538</c:v>
                </c:pt>
                <c:pt idx="2">
                  <c:v>31.219440913928</c:v>
                </c:pt>
                <c:pt idx="3">
                  <c:v>29.887828141884707</c:v>
                </c:pt>
                <c:pt idx="4">
                  <c:v>30.404369314691362</c:v>
                </c:pt>
                <c:pt idx="5">
                  <c:v>32.773558609940203</c:v>
                </c:pt>
                <c:pt idx="6">
                  <c:v>33.302904823139265</c:v>
                </c:pt>
                <c:pt idx="7">
                  <c:v>34.651463002632575</c:v>
                </c:pt>
                <c:pt idx="8">
                  <c:v>-1.1852540612398474</c:v>
                </c:pt>
                <c:pt idx="9">
                  <c:v>-1.1852540612398474</c:v>
                </c:pt>
                <c:pt idx="10">
                  <c:v>-1.1852540612398474</c:v>
                </c:pt>
                <c:pt idx="11">
                  <c:v>-1.1852540612398474</c:v>
                </c:pt>
                <c:pt idx="12">
                  <c:v>-1.1852540612398474</c:v>
                </c:pt>
                <c:pt idx="13">
                  <c:v>-1.1852540612398474</c:v>
                </c:pt>
                <c:pt idx="14">
                  <c:v>-1.1852540612398474</c:v>
                </c:pt>
                <c:pt idx="15">
                  <c:v>-1.1852540612398474</c:v>
                </c:pt>
                <c:pt idx="16">
                  <c:v>-1.1852540612398474</c:v>
                </c:pt>
                <c:pt idx="17">
                  <c:v>-1.1852540612398474</c:v>
                </c:pt>
                <c:pt idx="18">
                  <c:v>-1.1852540612398474</c:v>
                </c:pt>
                <c:pt idx="19">
                  <c:v>-1.1852540612398474</c:v>
                </c:pt>
                <c:pt idx="20">
                  <c:v>-1.1852540612398474</c:v>
                </c:pt>
                <c:pt idx="21">
                  <c:v>-1.1852540612398474</c:v>
                </c:pt>
                <c:pt idx="22">
                  <c:v>-1.1852540612398474</c:v>
                </c:pt>
                <c:pt idx="23">
                  <c:v>-1.1852540612398474</c:v>
                </c:pt>
                <c:pt idx="24">
                  <c:v>-1.1852540612398474</c:v>
                </c:pt>
                <c:pt idx="25">
                  <c:v>-1.1852540612398474</c:v>
                </c:pt>
                <c:pt idx="26">
                  <c:v>-1.1852540612398474</c:v>
                </c:pt>
                <c:pt idx="27">
                  <c:v>-1.1852540612398474</c:v>
                </c:pt>
                <c:pt idx="28">
                  <c:v>-1.1852540612398474</c:v>
                </c:pt>
                <c:pt idx="29">
                  <c:v>-1.1852540612398474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19-4D06-AD15-3E7D851BF177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'DOY252'!$J$48:$J$85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13.194000000000001</c:v>
                </c:pt>
                <c:pt idx="3">
                  <c:v>13.177</c:v>
                </c:pt>
                <c:pt idx="4">
                  <c:v>13.16</c:v>
                </c:pt>
                <c:pt idx="5">
                  <c:v>13.144</c:v>
                </c:pt>
                <c:pt idx="6">
                  <c:v>13.127000000000001</c:v>
                </c:pt>
                <c:pt idx="7">
                  <c:v>13.109</c:v>
                </c:pt>
                <c:pt idx="8">
                  <c:v>13.09</c:v>
                </c:pt>
                <c:pt idx="9">
                  <c:v>13.071999999999999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'DOY252'!$W$48:$W$85</c:f>
              <c:numCache>
                <c:formatCode>0.00</c:formatCode>
                <c:ptCount val="38"/>
                <c:pt idx="0">
                  <c:v>-1.1852540612398474</c:v>
                </c:pt>
                <c:pt idx="1">
                  <c:v>-1.1852540612398474</c:v>
                </c:pt>
                <c:pt idx="2">
                  <c:v>30.499844635474869</c:v>
                </c:pt>
                <c:pt idx="3">
                  <c:v>29.238538596477813</c:v>
                </c:pt>
                <c:pt idx="4">
                  <c:v>30.573892134128016</c:v>
                </c:pt>
                <c:pt idx="5">
                  <c:v>29.247046712454985</c:v>
                </c:pt>
                <c:pt idx="6">
                  <c:v>29.401758308666036</c:v>
                </c:pt>
                <c:pt idx="7">
                  <c:v>33.39482801401801</c:v>
                </c:pt>
                <c:pt idx="8">
                  <c:v>33.227069906039993</c:v>
                </c:pt>
                <c:pt idx="9">
                  <c:v>34.412059657907157</c:v>
                </c:pt>
                <c:pt idx="10">
                  <c:v>-1.1852540612398474</c:v>
                </c:pt>
                <c:pt idx="11">
                  <c:v>-1.1852540612398474</c:v>
                </c:pt>
                <c:pt idx="12">
                  <c:v>-1.1852540612398474</c:v>
                </c:pt>
                <c:pt idx="13">
                  <c:v>-1.1852540612398474</c:v>
                </c:pt>
                <c:pt idx="14">
                  <c:v>-1.1852540612398474</c:v>
                </c:pt>
                <c:pt idx="15">
                  <c:v>-1.1852540612398474</c:v>
                </c:pt>
                <c:pt idx="16">
                  <c:v>-1.1852540612398474</c:v>
                </c:pt>
                <c:pt idx="17">
                  <c:v>-1.1852540612398474</c:v>
                </c:pt>
                <c:pt idx="18">
                  <c:v>-1.1852540612398474</c:v>
                </c:pt>
                <c:pt idx="19">
                  <c:v>-1.1852540612398474</c:v>
                </c:pt>
                <c:pt idx="20">
                  <c:v>-1.1852540612398474</c:v>
                </c:pt>
                <c:pt idx="21">
                  <c:v>-1.1852540612398474</c:v>
                </c:pt>
                <c:pt idx="22">
                  <c:v>-1.1852540612398474</c:v>
                </c:pt>
                <c:pt idx="23">
                  <c:v>-1.1852540612398474</c:v>
                </c:pt>
                <c:pt idx="24">
                  <c:v>-1.1852540612398474</c:v>
                </c:pt>
                <c:pt idx="25">
                  <c:v>-1.1852540612398474</c:v>
                </c:pt>
                <c:pt idx="26">
                  <c:v>-1.1852540612398474</c:v>
                </c:pt>
                <c:pt idx="27">
                  <c:v>-1.1852540612398474</c:v>
                </c:pt>
                <c:pt idx="28">
                  <c:v>-1.1852540612398474</c:v>
                </c:pt>
                <c:pt idx="29">
                  <c:v>-1.1852540612398474</c:v>
                </c:pt>
                <c:pt idx="30">
                  <c:v>-1.1852540612398474</c:v>
                </c:pt>
                <c:pt idx="31">
                  <c:v>-1.1852540612398474</c:v>
                </c:pt>
                <c:pt idx="32">
                  <c:v>-1.1852540612398474</c:v>
                </c:pt>
                <c:pt idx="33">
                  <c:v>-1.1852540612398474</c:v>
                </c:pt>
                <c:pt idx="34">
                  <c:v>-1.1852540612398474</c:v>
                </c:pt>
                <c:pt idx="35">
                  <c:v>-1.1852540612398474</c:v>
                </c:pt>
                <c:pt idx="36">
                  <c:v>-1.1852540612398474</c:v>
                </c:pt>
                <c:pt idx="37">
                  <c:v>-1.1852540612398474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19-4D06-AD15-3E7D851BF177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('DOY252'!$J$17,'DOY252'!$J$26)</c:f>
              <c:numCache>
                <c:formatCode>0.000</c:formatCode>
                <c:ptCount val="2"/>
                <c:pt idx="0">
                  <c:v>13.067</c:v>
                </c:pt>
                <c:pt idx="1">
                  <c:v>0</c:v>
                </c:pt>
              </c:numCache>
            </c:numRef>
          </c:xVal>
          <c:yVal>
            <c:numRef>
              <c:f>('DOY252'!$W$17,'DOY252'!$W$26)</c:f>
              <c:numCache>
                <c:formatCode>0.00</c:formatCode>
                <c:ptCount val="2"/>
                <c:pt idx="0">
                  <c:v>34.651463002632575</c:v>
                </c:pt>
                <c:pt idx="1">
                  <c:v>-1.1852540612398474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19-4D06-AD15-3E7D851BF177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('DOY252'!$J$59,'DOY252'!$J$68)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('DOY252'!$W$59,'DOY252'!$W$68)</c:f>
              <c:numCache>
                <c:formatCode>0.00</c:formatCode>
                <c:ptCount val="2"/>
                <c:pt idx="0">
                  <c:v>-1.1852540612398474</c:v>
                </c:pt>
                <c:pt idx="1">
                  <c:v>-1.1852540612398474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19-4D06-AD15-3E7D851BF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612351"/>
        <c:axId val="1"/>
      </c:scatterChart>
      <c:valAx>
        <c:axId val="173561235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5612351"/>
        <c:crosses val="autoZero"/>
        <c:crossBetween val="midCat"/>
        <c:majorUnit val="31.758815776459748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'DOY253'!$J$10:$J$39</c:f>
              <c:numCache>
                <c:formatCode>0.000</c:formatCode>
                <c:ptCount val="30"/>
                <c:pt idx="0">
                  <c:v>12.987</c:v>
                </c:pt>
                <c:pt idx="1">
                  <c:v>12.972</c:v>
                </c:pt>
                <c:pt idx="2">
                  <c:v>12.954000000000001</c:v>
                </c:pt>
                <c:pt idx="3">
                  <c:v>12.938000000000001</c:v>
                </c:pt>
                <c:pt idx="4">
                  <c:v>12.922000000000001</c:v>
                </c:pt>
                <c:pt idx="5">
                  <c:v>12.907</c:v>
                </c:pt>
                <c:pt idx="6">
                  <c:v>12.891999999999999</c:v>
                </c:pt>
                <c:pt idx="7">
                  <c:v>12.872999999999999</c:v>
                </c:pt>
                <c:pt idx="8">
                  <c:v>13.004</c:v>
                </c:pt>
                <c:pt idx="9">
                  <c:v>13.019</c:v>
                </c:pt>
                <c:pt idx="10">
                  <c:v>13.045</c:v>
                </c:pt>
                <c:pt idx="11">
                  <c:v>13.061</c:v>
                </c:pt>
                <c:pt idx="12">
                  <c:v>13.083</c:v>
                </c:pt>
                <c:pt idx="13">
                  <c:v>13.098000000000001</c:v>
                </c:pt>
                <c:pt idx="14">
                  <c:v>13.113</c:v>
                </c:pt>
                <c:pt idx="15">
                  <c:v>13.128</c:v>
                </c:pt>
                <c:pt idx="16">
                  <c:v>13.239000000000001</c:v>
                </c:pt>
                <c:pt idx="17">
                  <c:v>13.254</c:v>
                </c:pt>
                <c:pt idx="18">
                  <c:v>13.269</c:v>
                </c:pt>
                <c:pt idx="19">
                  <c:v>13.285</c:v>
                </c:pt>
                <c:pt idx="20">
                  <c:v>13.301</c:v>
                </c:pt>
                <c:pt idx="21">
                  <c:v>13.315</c:v>
                </c:pt>
                <c:pt idx="22">
                  <c:v>13.33</c:v>
                </c:pt>
                <c:pt idx="23">
                  <c:v>13.345000000000001</c:v>
                </c:pt>
                <c:pt idx="24">
                  <c:v>13.475</c:v>
                </c:pt>
                <c:pt idx="25">
                  <c:v>13.459</c:v>
                </c:pt>
                <c:pt idx="26">
                  <c:v>13.444000000000001</c:v>
                </c:pt>
                <c:pt idx="27">
                  <c:v>13.429</c:v>
                </c:pt>
                <c:pt idx="28">
                  <c:v>13.413</c:v>
                </c:pt>
                <c:pt idx="29">
                  <c:v>13.398</c:v>
                </c:pt>
              </c:numCache>
            </c:numRef>
          </c:xVal>
          <c:yVal>
            <c:numRef>
              <c:f>'DOY253'!$W$10:$W$39</c:f>
              <c:numCache>
                <c:formatCode>0.00</c:formatCode>
                <c:ptCount val="30"/>
                <c:pt idx="0">
                  <c:v>33.335331972139635</c:v>
                </c:pt>
                <c:pt idx="1">
                  <c:v>33.037224231088963</c:v>
                </c:pt>
                <c:pt idx="2">
                  <c:v>33.902486638635885</c:v>
                </c:pt>
                <c:pt idx="3">
                  <c:v>32.904414405341463</c:v>
                </c:pt>
                <c:pt idx="4">
                  <c:v>31.990248430231528</c:v>
                </c:pt>
                <c:pt idx="5">
                  <c:v>33.047602729869588</c:v>
                </c:pt>
                <c:pt idx="6">
                  <c:v>32.620624754573868</c:v>
                </c:pt>
                <c:pt idx="7">
                  <c:v>34.64122981088962</c:v>
                </c:pt>
                <c:pt idx="8">
                  <c:v>33.04840230971211</c:v>
                </c:pt>
                <c:pt idx="9">
                  <c:v>32.494061678024224</c:v>
                </c:pt>
                <c:pt idx="10">
                  <c:v>32.696944187140808</c:v>
                </c:pt>
                <c:pt idx="11">
                  <c:v>33.240349784298665</c:v>
                </c:pt>
                <c:pt idx="12">
                  <c:v>34.403570043353859</c:v>
                </c:pt>
                <c:pt idx="13">
                  <c:v>31.604969186441192</c:v>
                </c:pt>
                <c:pt idx="14">
                  <c:v>33.48637325030699</c:v>
                </c:pt>
                <c:pt idx="15">
                  <c:v>33.311272933523064</c:v>
                </c:pt>
                <c:pt idx="16">
                  <c:v>35.069512638823412</c:v>
                </c:pt>
                <c:pt idx="17">
                  <c:v>34.871815070359709</c:v>
                </c:pt>
                <c:pt idx="18">
                  <c:v>32.576567979360291</c:v>
                </c:pt>
                <c:pt idx="19">
                  <c:v>33.254305069631151</c:v>
                </c:pt>
                <c:pt idx="20">
                  <c:v>33.694935405737532</c:v>
                </c:pt>
                <c:pt idx="21">
                  <c:v>34.018769842993414</c:v>
                </c:pt>
                <c:pt idx="22">
                  <c:v>33.519081300027175</c:v>
                </c:pt>
                <c:pt idx="23">
                  <c:v>33.119297279911237</c:v>
                </c:pt>
                <c:pt idx="24">
                  <c:v>32.66426431644593</c:v>
                </c:pt>
                <c:pt idx="25">
                  <c:v>33.32726415343258</c:v>
                </c:pt>
                <c:pt idx="26">
                  <c:v>33.215216420343012</c:v>
                </c:pt>
                <c:pt idx="27">
                  <c:v>35.415919671111951</c:v>
                </c:pt>
                <c:pt idx="28">
                  <c:v>34.466122449349371</c:v>
                </c:pt>
                <c:pt idx="29">
                  <c:v>35.465284670214054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23-450B-956E-3FE20658F563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'DOY253'!$J$48:$J$85</c:f>
              <c:numCache>
                <c:formatCode>0.000</c:formatCode>
                <c:ptCount val="38"/>
                <c:pt idx="0">
                  <c:v>13.164</c:v>
                </c:pt>
                <c:pt idx="1">
                  <c:v>13.147</c:v>
                </c:pt>
                <c:pt idx="2">
                  <c:v>12.991</c:v>
                </c:pt>
                <c:pt idx="3">
                  <c:v>12.977</c:v>
                </c:pt>
                <c:pt idx="4">
                  <c:v>12.961</c:v>
                </c:pt>
                <c:pt idx="5">
                  <c:v>12.943</c:v>
                </c:pt>
                <c:pt idx="6">
                  <c:v>12.927</c:v>
                </c:pt>
                <c:pt idx="7">
                  <c:v>12.912000000000001</c:v>
                </c:pt>
                <c:pt idx="8">
                  <c:v>12.896000000000001</c:v>
                </c:pt>
                <c:pt idx="9">
                  <c:v>12.878</c:v>
                </c:pt>
                <c:pt idx="10">
                  <c:v>13.01</c:v>
                </c:pt>
                <c:pt idx="11">
                  <c:v>13.023999999999999</c:v>
                </c:pt>
                <c:pt idx="12">
                  <c:v>13.05</c:v>
                </c:pt>
                <c:pt idx="13">
                  <c:v>13.067</c:v>
                </c:pt>
                <c:pt idx="14">
                  <c:v>13.087999999999999</c:v>
                </c:pt>
                <c:pt idx="15">
                  <c:v>13.103</c:v>
                </c:pt>
                <c:pt idx="16">
                  <c:v>13.117000000000001</c:v>
                </c:pt>
                <c:pt idx="17">
                  <c:v>13.132</c:v>
                </c:pt>
                <c:pt idx="18">
                  <c:v>13.244</c:v>
                </c:pt>
                <c:pt idx="19">
                  <c:v>13.259</c:v>
                </c:pt>
                <c:pt idx="20">
                  <c:v>13.273999999999999</c:v>
                </c:pt>
                <c:pt idx="21">
                  <c:v>13.289</c:v>
                </c:pt>
                <c:pt idx="22">
                  <c:v>13.305999999999999</c:v>
                </c:pt>
                <c:pt idx="23">
                  <c:v>13.32</c:v>
                </c:pt>
                <c:pt idx="24">
                  <c:v>13.335000000000001</c:v>
                </c:pt>
                <c:pt idx="25">
                  <c:v>13.35</c:v>
                </c:pt>
                <c:pt idx="26">
                  <c:v>13.478999999999999</c:v>
                </c:pt>
                <c:pt idx="27">
                  <c:v>13.464</c:v>
                </c:pt>
                <c:pt idx="28">
                  <c:v>13.449</c:v>
                </c:pt>
                <c:pt idx="29">
                  <c:v>13.433999999999999</c:v>
                </c:pt>
                <c:pt idx="30">
                  <c:v>13.417999999999999</c:v>
                </c:pt>
                <c:pt idx="31">
                  <c:v>13.401999999999999</c:v>
                </c:pt>
                <c:pt idx="32">
                  <c:v>13.387</c:v>
                </c:pt>
                <c:pt idx="33">
                  <c:v>13.372</c:v>
                </c:pt>
                <c:pt idx="34">
                  <c:v>13.22</c:v>
                </c:pt>
                <c:pt idx="35">
                  <c:v>13.198</c:v>
                </c:pt>
                <c:pt idx="36">
                  <c:v>13.175000000000001</c:v>
                </c:pt>
                <c:pt idx="37">
                  <c:v>13.151999999999999</c:v>
                </c:pt>
              </c:numCache>
            </c:numRef>
          </c:xVal>
          <c:yVal>
            <c:numRef>
              <c:f>'DOY253'!$W$48:$W$85</c:f>
              <c:numCache>
                <c:formatCode>0.00</c:formatCode>
                <c:ptCount val="38"/>
                <c:pt idx="0">
                  <c:v>53.310949270504487</c:v>
                </c:pt>
                <c:pt idx="1">
                  <c:v>44.516459881272318</c:v>
                </c:pt>
                <c:pt idx="2">
                  <c:v>32.469801863852474</c:v>
                </c:pt>
                <c:pt idx="3">
                  <c:v>31.296926766258178</c:v>
                </c:pt>
                <c:pt idx="4">
                  <c:v>33.099442011159191</c:v>
                </c:pt>
                <c:pt idx="5">
                  <c:v>32.275283053208462</c:v>
                </c:pt>
                <c:pt idx="6">
                  <c:v>31.282865809580851</c:v>
                </c:pt>
                <c:pt idx="7">
                  <c:v>32.728095345713854</c:v>
                </c:pt>
                <c:pt idx="8">
                  <c:v>33.22094185757306</c:v>
                </c:pt>
                <c:pt idx="9">
                  <c:v>34.369685519327938</c:v>
                </c:pt>
                <c:pt idx="10">
                  <c:v>32.403519259384552</c:v>
                </c:pt>
                <c:pt idx="11">
                  <c:v>32.680466879045092</c:v>
                </c:pt>
                <c:pt idx="12">
                  <c:v>32.416211960616899</c:v>
                </c:pt>
                <c:pt idx="13">
                  <c:v>32.936516606017953</c:v>
                </c:pt>
                <c:pt idx="14">
                  <c:v>32.752235399028123</c:v>
                </c:pt>
                <c:pt idx="15">
                  <c:v>30.709413130932859</c:v>
                </c:pt>
                <c:pt idx="16">
                  <c:v>32.150562180436978</c:v>
                </c:pt>
                <c:pt idx="17">
                  <c:v>32.311157720895316</c:v>
                </c:pt>
                <c:pt idx="18">
                  <c:v>34.437114469416706</c:v>
                </c:pt>
                <c:pt idx="19">
                  <c:v>34.425057745912945</c:v>
                </c:pt>
                <c:pt idx="20">
                  <c:v>31.08145213215737</c:v>
                </c:pt>
                <c:pt idx="21">
                  <c:v>32.491286044033409</c:v>
                </c:pt>
                <c:pt idx="22">
                  <c:v>33.207469138048594</c:v>
                </c:pt>
                <c:pt idx="23">
                  <c:v>32.710462697581356</c:v>
                </c:pt>
                <c:pt idx="24">
                  <c:v>34.479159966700394</c:v>
                </c:pt>
                <c:pt idx="25">
                  <c:v>31.618515875907026</c:v>
                </c:pt>
                <c:pt idx="26">
                  <c:v>32.759591697346671</c:v>
                </c:pt>
                <c:pt idx="27">
                  <c:v>33.406160017153688</c:v>
                </c:pt>
                <c:pt idx="28">
                  <c:v>33.03792166196483</c:v>
                </c:pt>
                <c:pt idx="29">
                  <c:v>35.069688757731456</c:v>
                </c:pt>
                <c:pt idx="30">
                  <c:v>34.565583152551405</c:v>
                </c:pt>
                <c:pt idx="31">
                  <c:v>34.156673027561617</c:v>
                </c:pt>
                <c:pt idx="32">
                  <c:v>32.54098919143896</c:v>
                </c:pt>
                <c:pt idx="33">
                  <c:v>30.798701582947245</c:v>
                </c:pt>
                <c:pt idx="34">
                  <c:v>34.24343241205645</c:v>
                </c:pt>
                <c:pt idx="35">
                  <c:v>40.729592897002924</c:v>
                </c:pt>
                <c:pt idx="36">
                  <c:v>35.599691705986977</c:v>
                </c:pt>
                <c:pt idx="37">
                  <c:v>38.07770972258151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23-450B-956E-3FE20658F563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('DOY253'!$J$17,'DOY253'!$J$26)</c:f>
              <c:numCache>
                <c:formatCode>0.000</c:formatCode>
                <c:ptCount val="2"/>
                <c:pt idx="0">
                  <c:v>12.872999999999999</c:v>
                </c:pt>
                <c:pt idx="1">
                  <c:v>13.239000000000001</c:v>
                </c:pt>
              </c:numCache>
            </c:numRef>
          </c:xVal>
          <c:yVal>
            <c:numRef>
              <c:f>('DOY253'!$W$17,'DOY253'!$W$26)</c:f>
              <c:numCache>
                <c:formatCode>0.00</c:formatCode>
                <c:ptCount val="2"/>
                <c:pt idx="0">
                  <c:v>34.64122981088962</c:v>
                </c:pt>
                <c:pt idx="1">
                  <c:v>35.069512638823412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23-450B-956E-3FE20658F563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('DOY253'!$J$59,'DOY253'!$J$68)</c:f>
              <c:numCache>
                <c:formatCode>0.000</c:formatCode>
                <c:ptCount val="2"/>
                <c:pt idx="0">
                  <c:v>13.023999999999999</c:v>
                </c:pt>
                <c:pt idx="1">
                  <c:v>13.273999999999999</c:v>
                </c:pt>
              </c:numCache>
            </c:numRef>
          </c:xVal>
          <c:yVal>
            <c:numRef>
              <c:f>('DOY253'!$W$59,'DOY253'!$W$68)</c:f>
              <c:numCache>
                <c:formatCode>0.00</c:formatCode>
                <c:ptCount val="2"/>
                <c:pt idx="0">
                  <c:v>32.680466879045092</c:v>
                </c:pt>
                <c:pt idx="1">
                  <c:v>31.08145213215737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23-450B-956E-3FE20658F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655152"/>
        <c:axId val="1"/>
      </c:scatterChart>
      <c:valAx>
        <c:axId val="925655152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5655152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'DOY254'!$J$10:$J$39</c:f>
              <c:numCache>
                <c:formatCode>0.000</c:formatCode>
                <c:ptCount val="30"/>
                <c:pt idx="0">
                  <c:v>13.195</c:v>
                </c:pt>
                <c:pt idx="1">
                  <c:v>13.179</c:v>
                </c:pt>
                <c:pt idx="2">
                  <c:v>13.163</c:v>
                </c:pt>
                <c:pt idx="3">
                  <c:v>13.146000000000001</c:v>
                </c:pt>
                <c:pt idx="4">
                  <c:v>13.129</c:v>
                </c:pt>
                <c:pt idx="5">
                  <c:v>13.112</c:v>
                </c:pt>
                <c:pt idx="6">
                  <c:v>13.093999999999999</c:v>
                </c:pt>
                <c:pt idx="7">
                  <c:v>13.077</c:v>
                </c:pt>
                <c:pt idx="8">
                  <c:v>13.215999999999999</c:v>
                </c:pt>
                <c:pt idx="9">
                  <c:v>13.231999999999999</c:v>
                </c:pt>
                <c:pt idx="10">
                  <c:v>13.247999999999999</c:v>
                </c:pt>
                <c:pt idx="11">
                  <c:v>13.265000000000001</c:v>
                </c:pt>
                <c:pt idx="12">
                  <c:v>13.281000000000001</c:v>
                </c:pt>
                <c:pt idx="13">
                  <c:v>13.295999999999999</c:v>
                </c:pt>
                <c:pt idx="14">
                  <c:v>13.311999999999999</c:v>
                </c:pt>
                <c:pt idx="15">
                  <c:v>13.327999999999999</c:v>
                </c:pt>
                <c:pt idx="16">
                  <c:v>13.455</c:v>
                </c:pt>
                <c:pt idx="17">
                  <c:v>13.471</c:v>
                </c:pt>
                <c:pt idx="18">
                  <c:v>13.486000000000001</c:v>
                </c:pt>
                <c:pt idx="19">
                  <c:v>13.502000000000001</c:v>
                </c:pt>
                <c:pt idx="20">
                  <c:v>13.519</c:v>
                </c:pt>
                <c:pt idx="21">
                  <c:v>13.535</c:v>
                </c:pt>
                <c:pt idx="22">
                  <c:v>13.551</c:v>
                </c:pt>
                <c:pt idx="23">
                  <c:v>13.567</c:v>
                </c:pt>
                <c:pt idx="24">
                  <c:v>13.704000000000001</c:v>
                </c:pt>
                <c:pt idx="25">
                  <c:v>13.688000000000001</c:v>
                </c:pt>
                <c:pt idx="26">
                  <c:v>13.670999999999999</c:v>
                </c:pt>
                <c:pt idx="27">
                  <c:v>13.654</c:v>
                </c:pt>
                <c:pt idx="28">
                  <c:v>13.637</c:v>
                </c:pt>
                <c:pt idx="29">
                  <c:v>13.621</c:v>
                </c:pt>
              </c:numCache>
            </c:numRef>
          </c:xVal>
          <c:yVal>
            <c:numRef>
              <c:f>'DOY254'!$W$10:$W$39</c:f>
              <c:numCache>
                <c:formatCode>0.00</c:formatCode>
                <c:ptCount val="30"/>
                <c:pt idx="0">
                  <c:v>32.119362866218829</c:v>
                </c:pt>
                <c:pt idx="1">
                  <c:v>32.255499389668778</c:v>
                </c:pt>
                <c:pt idx="2">
                  <c:v>34.156938363572834</c:v>
                </c:pt>
                <c:pt idx="3">
                  <c:v>33.206674238233383</c:v>
                </c:pt>
                <c:pt idx="4">
                  <c:v>31.994661178056678</c:v>
                </c:pt>
                <c:pt idx="5">
                  <c:v>32.301643362413259</c:v>
                </c:pt>
                <c:pt idx="6">
                  <c:v>32.429750813315913</c:v>
                </c:pt>
                <c:pt idx="7">
                  <c:v>34.996843547680335</c:v>
                </c:pt>
                <c:pt idx="8">
                  <c:v>32.552122636795161</c:v>
                </c:pt>
                <c:pt idx="9">
                  <c:v>30.919321992470021</c:v>
                </c:pt>
                <c:pt idx="10">
                  <c:v>32.350726571262477</c:v>
                </c:pt>
                <c:pt idx="11">
                  <c:v>33.318869911205695</c:v>
                </c:pt>
                <c:pt idx="12">
                  <c:v>33.932825285502894</c:v>
                </c:pt>
                <c:pt idx="13">
                  <c:v>31.247953908781088</c:v>
                </c:pt>
                <c:pt idx="14">
                  <c:v>32.911359743064331</c:v>
                </c:pt>
                <c:pt idx="15">
                  <c:v>32.406725781160141</c:v>
                </c:pt>
                <c:pt idx="16">
                  <c:v>33.988500436609748</c:v>
                </c:pt>
                <c:pt idx="17">
                  <c:v>33.638972577270629</c:v>
                </c:pt>
                <c:pt idx="18">
                  <c:v>31.838324192794914</c:v>
                </c:pt>
                <c:pt idx="19">
                  <c:v>33.023389864263088</c:v>
                </c:pt>
                <c:pt idx="20">
                  <c:v>33.048336542176209</c:v>
                </c:pt>
                <c:pt idx="21">
                  <c:v>32.909838075698808</c:v>
                </c:pt>
                <c:pt idx="22">
                  <c:v>32.727032745158397</c:v>
                </c:pt>
                <c:pt idx="23">
                  <c:v>32.423284103953556</c:v>
                </c:pt>
                <c:pt idx="24">
                  <c:v>30.928569807860992</c:v>
                </c:pt>
                <c:pt idx="25">
                  <c:v>32.544484548223743</c:v>
                </c:pt>
                <c:pt idx="26">
                  <c:v>32.046798288771427</c:v>
                </c:pt>
                <c:pt idx="27">
                  <c:v>34.394171923351117</c:v>
                </c:pt>
                <c:pt idx="28">
                  <c:v>33.893155443818202</c:v>
                </c:pt>
                <c:pt idx="29">
                  <c:v>34.522059414089277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E-4C8A-B4E7-2DFB3760ADF3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'DOY254'!$J$48:$J$85</c:f>
              <c:numCache>
                <c:formatCode>0.000</c:formatCode>
                <c:ptCount val="38"/>
                <c:pt idx="0">
                  <c:v>13.364000000000001</c:v>
                </c:pt>
                <c:pt idx="1">
                  <c:v>13.346</c:v>
                </c:pt>
                <c:pt idx="2">
                  <c:v>13.2</c:v>
                </c:pt>
                <c:pt idx="3">
                  <c:v>13.183</c:v>
                </c:pt>
                <c:pt idx="4">
                  <c:v>13.167</c:v>
                </c:pt>
                <c:pt idx="5">
                  <c:v>13.151</c:v>
                </c:pt>
                <c:pt idx="6">
                  <c:v>13.134</c:v>
                </c:pt>
                <c:pt idx="7">
                  <c:v>13.116</c:v>
                </c:pt>
                <c:pt idx="8">
                  <c:v>13.099</c:v>
                </c:pt>
                <c:pt idx="9">
                  <c:v>13.082000000000001</c:v>
                </c:pt>
                <c:pt idx="10">
                  <c:v>13.221</c:v>
                </c:pt>
                <c:pt idx="11">
                  <c:v>13.236000000000001</c:v>
                </c:pt>
                <c:pt idx="12">
                  <c:v>13.253</c:v>
                </c:pt>
                <c:pt idx="13">
                  <c:v>13.269</c:v>
                </c:pt>
                <c:pt idx="14">
                  <c:v>13.286</c:v>
                </c:pt>
                <c:pt idx="15">
                  <c:v>13.301</c:v>
                </c:pt>
                <c:pt idx="16">
                  <c:v>13.317</c:v>
                </c:pt>
                <c:pt idx="17">
                  <c:v>13.332000000000001</c:v>
                </c:pt>
                <c:pt idx="18">
                  <c:v>13.46</c:v>
                </c:pt>
                <c:pt idx="19">
                  <c:v>13.475</c:v>
                </c:pt>
                <c:pt idx="20">
                  <c:v>13.491</c:v>
                </c:pt>
                <c:pt idx="21">
                  <c:v>13.506</c:v>
                </c:pt>
                <c:pt idx="22">
                  <c:v>13.523</c:v>
                </c:pt>
                <c:pt idx="23">
                  <c:v>13.54</c:v>
                </c:pt>
                <c:pt idx="24">
                  <c:v>13.555999999999999</c:v>
                </c:pt>
                <c:pt idx="25">
                  <c:v>13.571</c:v>
                </c:pt>
                <c:pt idx="26">
                  <c:v>13.709</c:v>
                </c:pt>
                <c:pt idx="27">
                  <c:v>13.693</c:v>
                </c:pt>
                <c:pt idx="28">
                  <c:v>13.676</c:v>
                </c:pt>
                <c:pt idx="29">
                  <c:v>13.657999999999999</c:v>
                </c:pt>
                <c:pt idx="30">
                  <c:v>13.641999999999999</c:v>
                </c:pt>
                <c:pt idx="31">
                  <c:v>13.625999999999999</c:v>
                </c:pt>
                <c:pt idx="32">
                  <c:v>13.609</c:v>
                </c:pt>
                <c:pt idx="33">
                  <c:v>13.593</c:v>
                </c:pt>
                <c:pt idx="34">
                  <c:v>13.429</c:v>
                </c:pt>
                <c:pt idx="35">
                  <c:v>13.403</c:v>
                </c:pt>
                <c:pt idx="36">
                  <c:v>13.377000000000001</c:v>
                </c:pt>
                <c:pt idx="37">
                  <c:v>13.35</c:v>
                </c:pt>
              </c:numCache>
            </c:numRef>
          </c:xVal>
          <c:yVal>
            <c:numRef>
              <c:f>'DOY254'!$W$48:$W$85</c:f>
              <c:numCache>
                <c:formatCode>0.00</c:formatCode>
                <c:ptCount val="38"/>
                <c:pt idx="0">
                  <c:v>55.466087194117705</c:v>
                </c:pt>
                <c:pt idx="1">
                  <c:v>45.588518186898462</c:v>
                </c:pt>
                <c:pt idx="2">
                  <c:v>32.430312821103136</c:v>
                </c:pt>
                <c:pt idx="3">
                  <c:v>31.57071949273568</c:v>
                </c:pt>
                <c:pt idx="4">
                  <c:v>33.087819697818375</c:v>
                </c:pt>
                <c:pt idx="5">
                  <c:v>32.640229142466005</c:v>
                </c:pt>
                <c:pt idx="6">
                  <c:v>31.34746235255885</c:v>
                </c:pt>
                <c:pt idx="7">
                  <c:v>31.359180927759159</c:v>
                </c:pt>
                <c:pt idx="8">
                  <c:v>30.502801580992983</c:v>
                </c:pt>
                <c:pt idx="9">
                  <c:v>34.152521301359023</c:v>
                </c:pt>
                <c:pt idx="10">
                  <c:v>31.391688201924158</c:v>
                </c:pt>
                <c:pt idx="11">
                  <c:v>30.628658609191927</c:v>
                </c:pt>
                <c:pt idx="12">
                  <c:v>31.112143016840474</c:v>
                </c:pt>
                <c:pt idx="13">
                  <c:v>33.103358103663659</c:v>
                </c:pt>
                <c:pt idx="14">
                  <c:v>33.221200148827947</c:v>
                </c:pt>
                <c:pt idx="15">
                  <c:v>30.068625814395961</c:v>
                </c:pt>
                <c:pt idx="16">
                  <c:v>31.96467045461711</c:v>
                </c:pt>
                <c:pt idx="17">
                  <c:v>30.847567561999636</c:v>
                </c:pt>
                <c:pt idx="18">
                  <c:v>32.59939534326967</c:v>
                </c:pt>
                <c:pt idx="19">
                  <c:v>31.626940612457474</c:v>
                </c:pt>
                <c:pt idx="20">
                  <c:v>30.973528311883769</c:v>
                </c:pt>
                <c:pt idx="21">
                  <c:v>32.275534299707033</c:v>
                </c:pt>
                <c:pt idx="22">
                  <c:v>31.917695577567759</c:v>
                </c:pt>
                <c:pt idx="23">
                  <c:v>31.925213905281709</c:v>
                </c:pt>
                <c:pt idx="24">
                  <c:v>32.496524978007848</c:v>
                </c:pt>
                <c:pt idx="25">
                  <c:v>31.883384845784359</c:v>
                </c:pt>
                <c:pt idx="26">
                  <c:v>30.377985604011162</c:v>
                </c:pt>
                <c:pt idx="27">
                  <c:v>31.354462890683141</c:v>
                </c:pt>
                <c:pt idx="28">
                  <c:v>31.015255222414442</c:v>
                </c:pt>
                <c:pt idx="29">
                  <c:v>33.690829470451042</c:v>
                </c:pt>
                <c:pt idx="30">
                  <c:v>32.35854782349827</c:v>
                </c:pt>
                <c:pt idx="31">
                  <c:v>33.46235763787751</c:v>
                </c:pt>
                <c:pt idx="32">
                  <c:v>31.321163081431937</c:v>
                </c:pt>
                <c:pt idx="33">
                  <c:v>30.151822501851569</c:v>
                </c:pt>
                <c:pt idx="34">
                  <c:v>38.89001508601023</c:v>
                </c:pt>
                <c:pt idx="35">
                  <c:v>39.774600129324696</c:v>
                </c:pt>
                <c:pt idx="36">
                  <c:v>39.307237646518708</c:v>
                </c:pt>
                <c:pt idx="37">
                  <c:v>39.760186557890172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4E-4C8A-B4E7-2DFB3760ADF3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('DOY254'!$J$17,'DOY254'!$J$26)</c:f>
              <c:numCache>
                <c:formatCode>0.000</c:formatCode>
                <c:ptCount val="2"/>
                <c:pt idx="0">
                  <c:v>13.077</c:v>
                </c:pt>
                <c:pt idx="1">
                  <c:v>13.455</c:v>
                </c:pt>
              </c:numCache>
            </c:numRef>
          </c:xVal>
          <c:yVal>
            <c:numRef>
              <c:f>('DOY254'!$W$17,'DOY254'!$W$26)</c:f>
              <c:numCache>
                <c:formatCode>0.00</c:formatCode>
                <c:ptCount val="2"/>
                <c:pt idx="0">
                  <c:v>34.996843547680335</c:v>
                </c:pt>
                <c:pt idx="1">
                  <c:v>33.988500436609748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4E-4C8A-B4E7-2DFB3760ADF3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('DOY254'!$J$59,'DOY254'!$J$68)</c:f>
              <c:numCache>
                <c:formatCode>0.000</c:formatCode>
                <c:ptCount val="2"/>
                <c:pt idx="0">
                  <c:v>13.236000000000001</c:v>
                </c:pt>
                <c:pt idx="1">
                  <c:v>13.491</c:v>
                </c:pt>
              </c:numCache>
            </c:numRef>
          </c:xVal>
          <c:yVal>
            <c:numRef>
              <c:f>('DOY254'!$W$59,'DOY254'!$W$68)</c:f>
              <c:numCache>
                <c:formatCode>0.00</c:formatCode>
                <c:ptCount val="2"/>
                <c:pt idx="0">
                  <c:v>30.628658609191927</c:v>
                </c:pt>
                <c:pt idx="1">
                  <c:v>30.973528311883769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4E-4C8A-B4E7-2DFB3760A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525343"/>
        <c:axId val="1"/>
      </c:scatterChart>
      <c:valAx>
        <c:axId val="1496525343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6525343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E2264DDD-6C59-42D6-8051-9521F49A3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3D93D713-3E69-4262-894F-41FFCF42F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CCF20D7D-00BA-4D1F-829F-E3BE678EC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F7606757-C6F4-4603-83FE-01A2AB2EF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BE188BE3-8FC9-4DE8-8600-DBE5373D1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9531337A-ED15-4D1C-873D-38F74E6D8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4691322F-D393-473F-94A7-625BF6F77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C31622B7-04E6-47BA-8FCC-E82E07587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F5F01CDB-496C-46E2-8687-87D9E90C9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860EDB27-520B-46FD-95E5-9E97797BB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42420BA2-FEDF-43DA-AE6C-1CD2E5100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04F0D642-E2B5-4C54-8BDF-F62EA0340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9510597C-1D5E-4A72-A5C4-EFB38A592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E32A9F73-3403-4EA0-82E5-082322F74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E779E4FB-267E-4B5C-A191-DA40802AB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764A7E5D-4460-40BE-8D1E-C8BA66B25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18EDBC4F-9D2D-4BE7-973E-FC948BF0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51FF8C79-8831-463B-9675-731564F41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52C32049-EE48-40A5-B05B-16C7365B4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365F1EB7-9BE2-4772-B6B4-2FE781478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D0D82E23-BF86-49BA-9B0E-0F948C819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E3830E7B-286C-4C5C-A60F-9EBA99048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1F34252E-D093-4C4A-9524-D4E680638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543CD766-D725-4D5A-9809-D0294BC4F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7BA1933D-07E3-4BE8-82DB-F86F7C368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CC44AA2F-F320-430A-88B7-45F78DAB6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BC798F44-56D3-4035-A57B-86429F324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4B8B0CB7-CAAF-403F-A910-0C40735E5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DB378613-18BB-4EAE-A511-423BC7CF6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60990E2C-E4B5-44BF-BA05-6D0E0112E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1DF516D0-99D8-459E-BD54-87CD6BADD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005B19EB-6E38-4915-99B7-189767C2D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FB82FDBD-9F84-4457-8D55-BD7D6D9FC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D66EDAD1-F073-478B-A3E3-CECCF30C8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FFEFF165-E87B-403C-B1E1-F55CBECAF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90BC30E2-C99A-4F6E-9F05-5916A735E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90F6DD65-547A-4244-9DBB-3A37FA11C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FD6BE109-7E4D-45AB-9885-EEA6472A3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1D908544-70E0-4132-A712-F9032E9A1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357BA07A-5BD7-4628-805F-250038216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D8DA791F-3D00-4CBF-A2E0-C044F7875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6F481AD5-4CA5-442C-8891-869170244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6D773416-FE25-43C9-9E10-D40FD0021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35532E65-CABF-462E-9720-8BF4E6FEA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0BFD78FA-FF9D-44A8-A330-EA5A3421B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443F0EC4-9865-462E-A013-7415A63DB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86BF4582-9EB8-4D8A-B3EE-6E4EA8B6F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2097D6F8-B238-4F03-A90F-FE01B9868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B7EA767D-C621-46AB-B4EF-C7A21AAC6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B4D4F155-A58E-4F45-BD22-D1BD8994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95A688A6-A9C4-4EEE-989C-8A1AD1451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86</xdr:row>
      <xdr:rowOff>152400</xdr:rowOff>
    </xdr:from>
    <xdr:to>
      <xdr:col>33</xdr:col>
      <xdr:colOff>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B2395054-1D95-449D-8D4D-A01CDD333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69.xls" TargetMode="External"/><Relationship Id="rId1" Type="http://schemas.openxmlformats.org/officeDocument/2006/relationships/externalLinkPath" Target="/media/kthorp/Seagate%20Portable%20Drive/az_mac/field105/03CottonFISE/Midday%20IRT/IA16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a/kthorp/Seagate%20Portable%20Drive/az_mac/field105/03CottonFISE/Midday%20IRT/IRTEqnSummary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70.xls" TargetMode="External"/><Relationship Id="rId1" Type="http://schemas.openxmlformats.org/officeDocument/2006/relationships/externalLinkPath" Target="/media/kthorp/Seagate%20Portable%20Drive/az_mac/field105/03CottonFISE/Midday%20IRT/IA17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71.xls" TargetMode="External"/><Relationship Id="rId1" Type="http://schemas.openxmlformats.org/officeDocument/2006/relationships/externalLinkPath" Target="/media/kthorp/Seagate%20Portable%20Drive/az_mac/field105/03CottonFISE/Midday%20IRT/IA17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73.xls" TargetMode="External"/><Relationship Id="rId1" Type="http://schemas.openxmlformats.org/officeDocument/2006/relationships/externalLinkPath" Target="/media/kthorp/Seagate%20Portable%20Drive/az_mac/field105/03CottonFISE/Midday%20IRT/IA173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74.xls" TargetMode="External"/><Relationship Id="rId1" Type="http://schemas.openxmlformats.org/officeDocument/2006/relationships/externalLinkPath" Target="/media/kthorp/Seagate%20Portable%20Drive/az_mac/field105/03CottonFISE/Midday%20IRT/IA174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75.xls" TargetMode="External"/><Relationship Id="rId1" Type="http://schemas.openxmlformats.org/officeDocument/2006/relationships/externalLinkPath" Target="/media/kthorp/Seagate%20Portable%20Drive/az_mac/field105/03CottonFISE/Midday%20IRT/IA175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76.xls" TargetMode="External"/><Relationship Id="rId1" Type="http://schemas.openxmlformats.org/officeDocument/2006/relationships/externalLinkPath" Target="/media/kthorp/Seagate%20Portable%20Drive/az_mac/field105/03CottonFISE/Midday%20IRT/IA17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77.xls" TargetMode="External"/><Relationship Id="rId1" Type="http://schemas.openxmlformats.org/officeDocument/2006/relationships/externalLinkPath" Target="/media/kthorp/Seagate%20Portable%20Drive/az_mac/field105/03CottonFISE/Midday%20IRT/IA177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78.xls" TargetMode="External"/><Relationship Id="rId1" Type="http://schemas.openxmlformats.org/officeDocument/2006/relationships/externalLinkPath" Target="/media/kthorp/Seagate%20Portable%20Drive/az_mac/field105/03CottonFISE/Midday%20IRT/IA178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80.xls" TargetMode="External"/><Relationship Id="rId1" Type="http://schemas.openxmlformats.org/officeDocument/2006/relationships/externalLinkPath" Target="/media/kthorp/Seagate%20Portable%20Drive/az_mac/field105/03CottonFISE/Midday%20IRT/IA180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81.xls" TargetMode="External"/><Relationship Id="rId1" Type="http://schemas.openxmlformats.org/officeDocument/2006/relationships/externalLinkPath" Target="/media/kthorp/Seagate%20Portable%20Drive/az_mac/field105/03CottonFISE/Midday%20IRT/IA181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82.xls" TargetMode="External"/><Relationship Id="rId1" Type="http://schemas.openxmlformats.org/officeDocument/2006/relationships/externalLinkPath" Target="/media/kthorp/Seagate%20Portable%20Drive/az_mac/field105/03CottonFISE/Midday%20IRT/IA182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83.xls" TargetMode="External"/><Relationship Id="rId1" Type="http://schemas.openxmlformats.org/officeDocument/2006/relationships/externalLinkPath" Target="/media/kthorp/Seagate%20Portable%20Drive/az_mac/field105/03CottonFISE/Midday%20IRT/IA183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84.xls" TargetMode="External"/><Relationship Id="rId1" Type="http://schemas.openxmlformats.org/officeDocument/2006/relationships/externalLinkPath" Target="/media/kthorp/Seagate%20Portable%20Drive/az_mac/field105/03CottonFISE/Midday%20IRT/IA184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85.xls" TargetMode="External"/><Relationship Id="rId1" Type="http://schemas.openxmlformats.org/officeDocument/2006/relationships/externalLinkPath" Target="/media/kthorp/Seagate%20Portable%20Drive/az_mac/field105/03CottonFISE/Midday%20IRT/IA185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88.xls" TargetMode="External"/><Relationship Id="rId1" Type="http://schemas.openxmlformats.org/officeDocument/2006/relationships/externalLinkPath" Target="/media/kthorp/Seagate%20Portable%20Drive/az_mac/field105/03CottonFISE/Midday%20IRT/IA188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89.xls" TargetMode="External"/><Relationship Id="rId1" Type="http://schemas.openxmlformats.org/officeDocument/2006/relationships/externalLinkPath" Target="/media/kthorp/Seagate%20Portable%20Drive/az_mac/field105/03CottonFISE/Midday%20IRT/IA189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95.xls" TargetMode="External"/><Relationship Id="rId1" Type="http://schemas.openxmlformats.org/officeDocument/2006/relationships/externalLinkPath" Target="/media/kthorp/Seagate%20Portable%20Drive/az_mac/field105/03CottonFISE/Midday%20IRT/IA195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96.xls" TargetMode="External"/><Relationship Id="rId1" Type="http://schemas.openxmlformats.org/officeDocument/2006/relationships/externalLinkPath" Target="/media/kthorp/Seagate%20Portable%20Drive/az_mac/field105/03CottonFISE/Midday%20IRT/IA196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97.xls" TargetMode="External"/><Relationship Id="rId1" Type="http://schemas.openxmlformats.org/officeDocument/2006/relationships/externalLinkPath" Target="/media/kthorp/Seagate%20Portable%20Drive/az_mac/field105/03CottonFISE/Midday%20IRT/IA197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98.xls" TargetMode="External"/><Relationship Id="rId1" Type="http://schemas.openxmlformats.org/officeDocument/2006/relationships/externalLinkPath" Target="/media/kthorp/Seagate%20Portable%20Drive/az_mac/field105/03CottonFISE/Midday%20IRT/IA198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13.xls" TargetMode="External"/><Relationship Id="rId1" Type="http://schemas.openxmlformats.org/officeDocument/2006/relationships/externalLinkPath" Target="/media/kthorp/Seagate%20Portable%20Drive/az_mac/field105/03CottonFISE/Midday%20IRT/IA213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16.xls" TargetMode="External"/><Relationship Id="rId1" Type="http://schemas.openxmlformats.org/officeDocument/2006/relationships/externalLinkPath" Target="/media/kthorp/Seagate%20Portable%20Drive/az_mac/field105/03CottonFISE/Midday%20IRT/IA216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46.xls" TargetMode="External"/><Relationship Id="rId1" Type="http://schemas.openxmlformats.org/officeDocument/2006/relationships/externalLinkPath" Target="/media/kthorp/Seagate%20Portable%20Drive/az_mac/field105/03CottonFISE/Midday%20IRT/IA246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47.xls" TargetMode="External"/><Relationship Id="rId1" Type="http://schemas.openxmlformats.org/officeDocument/2006/relationships/externalLinkPath" Target="/media/kthorp/Seagate%20Portable%20Drive/az_mac/field105/03CottonFISE/Midday%20IRT/IA247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48.xls" TargetMode="External"/><Relationship Id="rId1" Type="http://schemas.openxmlformats.org/officeDocument/2006/relationships/externalLinkPath" Target="/media/kthorp/Seagate%20Portable%20Drive/az_mac/field105/03CottonFISE/Midday%20IRT/IA248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51.xls" TargetMode="External"/><Relationship Id="rId1" Type="http://schemas.openxmlformats.org/officeDocument/2006/relationships/externalLinkPath" Target="/media/kthorp/Seagate%20Portable%20Drive/az_mac/field105/03CottonFISE/Midday%20IRT/IA251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52.xls" TargetMode="External"/><Relationship Id="rId1" Type="http://schemas.openxmlformats.org/officeDocument/2006/relationships/externalLinkPath" Target="/media/kthorp/Seagate%20Portable%20Drive/az_mac/field105/03CottonFISE/Midday%20IRT/IA252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53.xls" TargetMode="External"/><Relationship Id="rId1" Type="http://schemas.openxmlformats.org/officeDocument/2006/relationships/externalLinkPath" Target="/media/kthorp/Seagate%20Portable%20Drive/az_mac/field105/03CottonFISE/Midday%20IRT/IA253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254.xls" TargetMode="External"/><Relationship Id="rId1" Type="http://schemas.openxmlformats.org/officeDocument/2006/relationships/externalLinkPath" Target="/media/kthorp/Seagate%20Portable%20Drive/az_mac/field105/03CottonFISE/Midday%20IRT/IA254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68.xls" TargetMode="External"/><Relationship Id="rId1" Type="http://schemas.openxmlformats.org/officeDocument/2006/relationships/externalLinkPath" Target="/media/kthorp/Seagate%20Portable%20Drive/az_mac/field105/03CottonFISE/Midday%20IRT/IA168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67.xls" TargetMode="External"/><Relationship Id="rId1" Type="http://schemas.openxmlformats.org/officeDocument/2006/relationships/externalLinkPath" Target="/media/kthorp/Seagate%20Portable%20Drive/az_mac/field105/03CottonFISE/Midday%20IRT/IA167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64.xls" TargetMode="External"/><Relationship Id="rId1" Type="http://schemas.openxmlformats.org/officeDocument/2006/relationships/externalLinkPath" Target="/media/kthorp/Seagate%20Portable%20Drive/az_mac/field105/03CottonFISE/Midday%20IRT/IA164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63.xls" TargetMode="External"/><Relationship Id="rId1" Type="http://schemas.openxmlformats.org/officeDocument/2006/relationships/externalLinkPath" Target="/media/kthorp/Seagate%20Portable%20Drive/az_mac/field105/03CottonFISE/Midday%20IRT/IA163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62.xls" TargetMode="External"/><Relationship Id="rId1" Type="http://schemas.openxmlformats.org/officeDocument/2006/relationships/externalLinkPath" Target="/media/kthorp/Seagate%20Portable%20Drive/az_mac/field105/03CottonFISE/Midday%20IRT/IA162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61.xls" TargetMode="External"/><Relationship Id="rId1" Type="http://schemas.openxmlformats.org/officeDocument/2006/relationships/externalLinkPath" Target="/media/kthorp/Seagate%20Portable%20Drive/az_mac/field105/03CottonFISE/Midday%20IRT/IA161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60.xls" TargetMode="External"/><Relationship Id="rId1" Type="http://schemas.openxmlformats.org/officeDocument/2006/relationships/externalLinkPath" Target="/media/kthorp/Seagate%20Portable%20Drive/az_mac/field105/03CottonFISE/Midday%20IRT/IA160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57.xls" TargetMode="External"/><Relationship Id="rId1" Type="http://schemas.openxmlformats.org/officeDocument/2006/relationships/externalLinkPath" Target="/media/kthorp/Seagate%20Portable%20Drive/az_mac/field105/03CottonFISE/Midday%20IRT/IA157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56.xls" TargetMode="External"/><Relationship Id="rId1" Type="http://schemas.openxmlformats.org/officeDocument/2006/relationships/externalLinkPath" Target="/media/kthorp/Seagate%20Portable%20Drive/az_mac/field105/03CottonFISE/Midday%20IRT/IA156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55.xls" TargetMode="External"/><Relationship Id="rId1" Type="http://schemas.openxmlformats.org/officeDocument/2006/relationships/externalLinkPath" Target="/media/kthorp/Seagate%20Portable%20Drive/az_mac/field105/03CottonFISE/Midday%20IRT/IA155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54.XLS" TargetMode="External"/><Relationship Id="rId1" Type="http://schemas.openxmlformats.org/officeDocument/2006/relationships/externalLinkPath" Target="/media/kthorp/Seagate%20Portable%20Drive/az_mac/field105/03CottonFISE/Midday%20IRT/IA154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53.xls" TargetMode="External"/><Relationship Id="rId1" Type="http://schemas.openxmlformats.org/officeDocument/2006/relationships/externalLinkPath" Target="/media/kthorp/Seagate%20Portable%20Drive/az_mac/field105/03CottonFISE/Midday%20IRT/IA153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50.xls" TargetMode="External"/><Relationship Id="rId1" Type="http://schemas.openxmlformats.org/officeDocument/2006/relationships/externalLinkPath" Target="/media/kthorp/Seagate%20Portable%20Drive/az_mac/field105/03CottonFISE/Midday%20IRT/IA150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49.xls" TargetMode="External"/><Relationship Id="rId1" Type="http://schemas.openxmlformats.org/officeDocument/2006/relationships/externalLinkPath" Target="/media/kthorp/Seagate%20Portable%20Drive/az_mac/field105/03CottonFISE/Midday%20IRT/IA149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48.xls" TargetMode="External"/><Relationship Id="rId1" Type="http://schemas.openxmlformats.org/officeDocument/2006/relationships/externalLinkPath" Target="/media/kthorp/Seagate%20Portable%20Drive/az_mac/field105/03CottonFISE/Midday%20IRT/IA148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47.xls" TargetMode="External"/><Relationship Id="rId1" Type="http://schemas.openxmlformats.org/officeDocument/2006/relationships/externalLinkPath" Target="/media/kthorp/Seagate%20Portable%20Drive/az_mac/field105/03CottonFISE/Midday%20IRT/IA147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43.xls" TargetMode="External"/><Relationship Id="rId1" Type="http://schemas.openxmlformats.org/officeDocument/2006/relationships/externalLinkPath" Target="/media/kthorp/Seagate%20Portable%20Drive/az_mac/field105/03CottonFISE/Midday%20IRT/IA143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41.xls" TargetMode="External"/><Relationship Id="rId1" Type="http://schemas.openxmlformats.org/officeDocument/2006/relationships/externalLinkPath" Target="/media/kthorp/Seagate%20Portable%20Drive/az_mac/field105/03CottonFISE/Midday%20IRT/IA141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39.xls" TargetMode="External"/><Relationship Id="rId1" Type="http://schemas.openxmlformats.org/officeDocument/2006/relationships/externalLinkPath" Target="/media/kthorp/Seagate%20Portable%20Drive/az_mac/field105/03CottonFISE/Midday%20IRT/IA139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36.xls" TargetMode="External"/><Relationship Id="rId1" Type="http://schemas.openxmlformats.org/officeDocument/2006/relationships/externalLinkPath" Target="/media/kthorp/Seagate%20Portable%20Drive/az_mac/field105/03CottonFISE/Midday%20IRT/IA136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32.xls" TargetMode="External"/><Relationship Id="rId1" Type="http://schemas.openxmlformats.org/officeDocument/2006/relationships/externalLinkPath" Target="/media/kthorp/Seagate%20Portable%20Drive/az_mac/field105/03CottonFISE/Midday%20IRT/IA132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dia\kthorp\Seagate%20Portable%20Drive\az_mac\field105\03CottonFISE\Midday%20IRT\IA128.xls" TargetMode="External"/><Relationship Id="rId1" Type="http://schemas.openxmlformats.org/officeDocument/2006/relationships/externalLinkPath" Target="/media/kthorp/Seagate%20Portable%20Drive/az_mac/field105/03CottonFISE/Midday%20IRT/IA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'IA169.03R'</v>
          </cell>
        </row>
        <row r="14">
          <cell r="A14">
            <v>108</v>
          </cell>
          <cell r="B14">
            <v>1</v>
          </cell>
          <cell r="C14">
            <v>12.88</v>
          </cell>
          <cell r="D14">
            <v>58.8</v>
          </cell>
          <cell r="E14">
            <v>56.2</v>
          </cell>
          <cell r="F14">
            <v>48.8</v>
          </cell>
          <cell r="G14">
            <v>43.4</v>
          </cell>
          <cell r="H14">
            <v>53</v>
          </cell>
          <cell r="I14">
            <v>46.2</v>
          </cell>
          <cell r="J14">
            <v>52.7</v>
          </cell>
          <cell r="K14">
            <v>42.9</v>
          </cell>
          <cell r="L14">
            <v>51.5</v>
          </cell>
          <cell r="M14">
            <v>46.1</v>
          </cell>
          <cell r="N14">
            <v>54.5</v>
          </cell>
          <cell r="O14">
            <v>40.6</v>
          </cell>
        </row>
        <row r="15">
          <cell r="A15">
            <v>108</v>
          </cell>
          <cell r="B15">
            <v>2</v>
          </cell>
          <cell r="C15">
            <v>12.885</v>
          </cell>
          <cell r="D15">
            <v>31.1</v>
          </cell>
          <cell r="E15">
            <v>30.6</v>
          </cell>
          <cell r="F15">
            <v>30.4</v>
          </cell>
          <cell r="G15">
            <v>31.3</v>
          </cell>
          <cell r="H15">
            <v>32.200000000000003</v>
          </cell>
          <cell r="I15">
            <v>33</v>
          </cell>
          <cell r="J15">
            <v>32.6</v>
          </cell>
          <cell r="K15">
            <v>31</v>
          </cell>
          <cell r="L15">
            <v>31.8</v>
          </cell>
          <cell r="M15">
            <v>30.2</v>
          </cell>
          <cell r="N15">
            <v>33.200000000000003</v>
          </cell>
          <cell r="O15">
            <v>31.7</v>
          </cell>
        </row>
        <row r="16">
          <cell r="A16">
            <v>107</v>
          </cell>
          <cell r="B16">
            <v>1</v>
          </cell>
          <cell r="C16">
            <v>12.894</v>
          </cell>
          <cell r="D16">
            <v>57.5</v>
          </cell>
          <cell r="E16">
            <v>50.9</v>
          </cell>
          <cell r="F16">
            <v>57.1</v>
          </cell>
          <cell r="G16">
            <v>38.200000000000003</v>
          </cell>
          <cell r="H16">
            <v>55.5</v>
          </cell>
          <cell r="I16">
            <v>45.1</v>
          </cell>
          <cell r="J16">
            <v>57.4</v>
          </cell>
          <cell r="K16">
            <v>37.9</v>
          </cell>
          <cell r="L16">
            <v>56.5</v>
          </cell>
          <cell r="M16">
            <v>44.5</v>
          </cell>
          <cell r="N16">
            <v>56.3</v>
          </cell>
          <cell r="O16">
            <v>38.4</v>
          </cell>
        </row>
        <row r="17">
          <cell r="A17">
            <v>107</v>
          </cell>
          <cell r="B17">
            <v>2</v>
          </cell>
          <cell r="C17">
            <v>12.898</v>
          </cell>
          <cell r="D17">
            <v>31.5</v>
          </cell>
          <cell r="E17">
            <v>30.8</v>
          </cell>
          <cell r="F17">
            <v>30.9</v>
          </cell>
          <cell r="G17">
            <v>30.2</v>
          </cell>
          <cell r="H17">
            <v>30.4</v>
          </cell>
          <cell r="I17">
            <v>30</v>
          </cell>
          <cell r="J17">
            <v>33.200000000000003</v>
          </cell>
          <cell r="K17">
            <v>31</v>
          </cell>
          <cell r="L17">
            <v>31.3</v>
          </cell>
          <cell r="M17">
            <v>29.5</v>
          </cell>
          <cell r="N17">
            <v>31.3</v>
          </cell>
          <cell r="O17">
            <v>31.6</v>
          </cell>
        </row>
        <row r="18">
          <cell r="A18">
            <v>106</v>
          </cell>
          <cell r="B18">
            <v>1</v>
          </cell>
          <cell r="C18">
            <v>12.909000000000001</v>
          </cell>
          <cell r="D18">
            <v>55.7</v>
          </cell>
          <cell r="E18">
            <v>38.5</v>
          </cell>
          <cell r="F18">
            <v>52.6</v>
          </cell>
          <cell r="G18">
            <v>40.4</v>
          </cell>
          <cell r="H18">
            <v>54.5</v>
          </cell>
          <cell r="I18">
            <v>39.4</v>
          </cell>
          <cell r="J18">
            <v>47</v>
          </cell>
          <cell r="K18">
            <v>41.3</v>
          </cell>
          <cell r="L18">
            <v>53.4</v>
          </cell>
          <cell r="M18">
            <v>38.299999999999997</v>
          </cell>
          <cell r="N18">
            <v>54.7</v>
          </cell>
          <cell r="O18">
            <v>44.9</v>
          </cell>
        </row>
        <row r="19">
          <cell r="A19">
            <v>106</v>
          </cell>
          <cell r="B19">
            <v>2</v>
          </cell>
          <cell r="C19">
            <v>12.913</v>
          </cell>
          <cell r="D19">
            <v>29.8</v>
          </cell>
          <cell r="E19">
            <v>31.3</v>
          </cell>
          <cell r="F19">
            <v>29.7</v>
          </cell>
          <cell r="G19">
            <v>30.1</v>
          </cell>
          <cell r="H19">
            <v>29.2</v>
          </cell>
          <cell r="I19">
            <v>30</v>
          </cell>
          <cell r="J19">
            <v>31.6</v>
          </cell>
          <cell r="K19">
            <v>30.7</v>
          </cell>
          <cell r="L19">
            <v>31.6</v>
          </cell>
          <cell r="M19">
            <v>29.3</v>
          </cell>
          <cell r="N19">
            <v>30.9</v>
          </cell>
          <cell r="O19">
            <v>30.1</v>
          </cell>
        </row>
        <row r="20">
          <cell r="A20">
            <v>105</v>
          </cell>
          <cell r="B20">
            <v>1</v>
          </cell>
          <cell r="C20">
            <v>12.925000000000001</v>
          </cell>
          <cell r="D20">
            <v>38.6</v>
          </cell>
          <cell r="E20">
            <v>33.200000000000003</v>
          </cell>
          <cell r="F20">
            <v>38.799999999999997</v>
          </cell>
          <cell r="G20">
            <v>32.9</v>
          </cell>
          <cell r="H20">
            <v>40.799999999999997</v>
          </cell>
          <cell r="I20">
            <v>33.5</v>
          </cell>
          <cell r="J20">
            <v>36.9</v>
          </cell>
          <cell r="K20">
            <v>32.799999999999997</v>
          </cell>
          <cell r="L20">
            <v>33.700000000000003</v>
          </cell>
          <cell r="M20">
            <v>36.299999999999997</v>
          </cell>
          <cell r="N20">
            <v>38.1</v>
          </cell>
          <cell r="O20">
            <v>34.9</v>
          </cell>
        </row>
        <row r="21">
          <cell r="A21">
            <v>105</v>
          </cell>
          <cell r="B21">
            <v>2</v>
          </cell>
          <cell r="C21">
            <v>12.929</v>
          </cell>
          <cell r="D21">
            <v>31</v>
          </cell>
          <cell r="E21">
            <v>28.7</v>
          </cell>
          <cell r="F21">
            <v>31.1</v>
          </cell>
          <cell r="G21">
            <v>31.4</v>
          </cell>
          <cell r="H21">
            <v>32.9</v>
          </cell>
          <cell r="I21">
            <v>29.5</v>
          </cell>
          <cell r="J21">
            <v>32.9</v>
          </cell>
          <cell r="K21">
            <v>32.5</v>
          </cell>
          <cell r="L21">
            <v>32</v>
          </cell>
          <cell r="M21">
            <v>31.1</v>
          </cell>
          <cell r="N21">
            <v>29.6</v>
          </cell>
          <cell r="O21">
            <v>31.4</v>
          </cell>
        </row>
        <row r="22">
          <cell r="A22">
            <v>104</v>
          </cell>
          <cell r="B22">
            <v>1</v>
          </cell>
          <cell r="C22">
            <v>12.939</v>
          </cell>
          <cell r="D22">
            <v>58.2</v>
          </cell>
          <cell r="E22">
            <v>48.4</v>
          </cell>
          <cell r="F22">
            <v>54.5</v>
          </cell>
          <cell r="G22">
            <v>40.1</v>
          </cell>
          <cell r="H22">
            <v>45.8</v>
          </cell>
          <cell r="I22">
            <v>48.4</v>
          </cell>
          <cell r="J22">
            <v>52.3</v>
          </cell>
          <cell r="K22">
            <v>45.2</v>
          </cell>
          <cell r="L22">
            <v>54.7</v>
          </cell>
          <cell r="M22">
            <v>43.2</v>
          </cell>
          <cell r="N22">
            <v>54.5</v>
          </cell>
          <cell r="O22">
            <v>39.299999999999997</v>
          </cell>
        </row>
        <row r="23">
          <cell r="A23">
            <v>104</v>
          </cell>
          <cell r="B23">
            <v>2</v>
          </cell>
          <cell r="C23">
            <v>12.944000000000001</v>
          </cell>
          <cell r="D23">
            <v>32.4</v>
          </cell>
          <cell r="E23">
            <v>30.4</v>
          </cell>
          <cell r="F23">
            <v>31.6</v>
          </cell>
          <cell r="G23">
            <v>31.6</v>
          </cell>
          <cell r="H23">
            <v>31.2</v>
          </cell>
          <cell r="I23">
            <v>30.2</v>
          </cell>
          <cell r="J23">
            <v>30.6</v>
          </cell>
          <cell r="K23">
            <v>29.7</v>
          </cell>
          <cell r="L23">
            <v>28.8</v>
          </cell>
          <cell r="M23">
            <v>29.3</v>
          </cell>
          <cell r="N23">
            <v>29.3</v>
          </cell>
          <cell r="O23">
            <v>30.8</v>
          </cell>
        </row>
        <row r="24">
          <cell r="A24">
            <v>103</v>
          </cell>
          <cell r="B24">
            <v>1</v>
          </cell>
          <cell r="C24">
            <v>12.954000000000001</v>
          </cell>
          <cell r="D24">
            <v>57.2</v>
          </cell>
          <cell r="E24">
            <v>41.2</v>
          </cell>
          <cell r="F24">
            <v>53</v>
          </cell>
          <cell r="G24">
            <v>36</v>
          </cell>
          <cell r="H24">
            <v>46.6</v>
          </cell>
          <cell r="I24">
            <v>35</v>
          </cell>
          <cell r="J24">
            <v>46.8</v>
          </cell>
          <cell r="K24">
            <v>36.299999999999997</v>
          </cell>
          <cell r="L24">
            <v>52</v>
          </cell>
          <cell r="M24">
            <v>42.3</v>
          </cell>
          <cell r="N24">
            <v>55.9</v>
          </cell>
          <cell r="O24">
            <v>34.4</v>
          </cell>
        </row>
        <row r="25">
          <cell r="A25">
            <v>103</v>
          </cell>
          <cell r="B25">
            <v>2</v>
          </cell>
          <cell r="C25">
            <v>12.959</v>
          </cell>
          <cell r="D25">
            <v>30.8</v>
          </cell>
          <cell r="E25">
            <v>31</v>
          </cell>
          <cell r="F25">
            <v>29.4</v>
          </cell>
          <cell r="G25">
            <v>30.4</v>
          </cell>
          <cell r="H25">
            <v>30.8</v>
          </cell>
          <cell r="I25">
            <v>29.3</v>
          </cell>
          <cell r="J25">
            <v>29.8</v>
          </cell>
          <cell r="K25">
            <v>28.7</v>
          </cell>
          <cell r="L25">
            <v>29.8</v>
          </cell>
          <cell r="M25">
            <v>28.7</v>
          </cell>
          <cell r="N25">
            <v>30</v>
          </cell>
          <cell r="O25">
            <v>28.4</v>
          </cell>
        </row>
        <row r="26">
          <cell r="A26">
            <v>102</v>
          </cell>
          <cell r="B26">
            <v>1</v>
          </cell>
          <cell r="C26">
            <v>12.97</v>
          </cell>
          <cell r="D26">
            <v>58.1</v>
          </cell>
          <cell r="E26">
            <v>41.4</v>
          </cell>
          <cell r="F26">
            <v>56.9</v>
          </cell>
          <cell r="G26">
            <v>40.700000000000003</v>
          </cell>
          <cell r="H26">
            <v>55.4</v>
          </cell>
          <cell r="I26">
            <v>44.6</v>
          </cell>
          <cell r="J26">
            <v>57.3</v>
          </cell>
          <cell r="K26">
            <v>56</v>
          </cell>
          <cell r="L26">
            <v>54.1</v>
          </cell>
          <cell r="M26">
            <v>53.7</v>
          </cell>
          <cell r="N26">
            <v>49.1</v>
          </cell>
          <cell r="O26">
            <v>44.4</v>
          </cell>
        </row>
        <row r="27">
          <cell r="A27">
            <v>102</v>
          </cell>
          <cell r="B27">
            <v>2</v>
          </cell>
          <cell r="C27">
            <v>12.975</v>
          </cell>
          <cell r="D27">
            <v>28</v>
          </cell>
          <cell r="E27">
            <v>27.6</v>
          </cell>
          <cell r="F27">
            <v>28.4</v>
          </cell>
          <cell r="G27">
            <v>28.1</v>
          </cell>
          <cell r="H27">
            <v>29.2</v>
          </cell>
          <cell r="I27">
            <v>27.6</v>
          </cell>
          <cell r="J27">
            <v>30.9</v>
          </cell>
          <cell r="K27">
            <v>29.7</v>
          </cell>
          <cell r="L27">
            <v>29.6</v>
          </cell>
          <cell r="M27">
            <v>29.4</v>
          </cell>
          <cell r="N27">
            <v>28.7</v>
          </cell>
          <cell r="O27">
            <v>30.2</v>
          </cell>
        </row>
        <row r="28">
          <cell r="A28">
            <v>101</v>
          </cell>
          <cell r="B28">
            <v>1</v>
          </cell>
          <cell r="C28">
            <v>12.984999999999999</v>
          </cell>
          <cell r="D28">
            <v>58.7</v>
          </cell>
          <cell r="E28">
            <v>44.1</v>
          </cell>
          <cell r="F28">
            <v>56.7</v>
          </cell>
          <cell r="G28">
            <v>41.8</v>
          </cell>
          <cell r="H28">
            <v>46.8</v>
          </cell>
          <cell r="I28">
            <v>56.7</v>
          </cell>
          <cell r="J28">
            <v>50.5</v>
          </cell>
          <cell r="K28">
            <v>57.8</v>
          </cell>
          <cell r="L28">
            <v>56.1</v>
          </cell>
          <cell r="M28">
            <v>55.7</v>
          </cell>
          <cell r="N28">
            <v>56</v>
          </cell>
          <cell r="O28">
            <v>53.7</v>
          </cell>
        </row>
        <row r="29">
          <cell r="A29">
            <v>101</v>
          </cell>
          <cell r="B29">
            <v>2</v>
          </cell>
          <cell r="C29">
            <v>12.99</v>
          </cell>
          <cell r="D29">
            <v>29.2</v>
          </cell>
          <cell r="E29">
            <v>31.8</v>
          </cell>
          <cell r="F29">
            <v>29.2</v>
          </cell>
          <cell r="G29">
            <v>30</v>
          </cell>
          <cell r="H29">
            <v>31.4</v>
          </cell>
          <cell r="I29">
            <v>29.3</v>
          </cell>
          <cell r="J29">
            <v>28.7</v>
          </cell>
          <cell r="K29">
            <v>28.5</v>
          </cell>
          <cell r="L29">
            <v>30.4</v>
          </cell>
          <cell r="M29">
            <v>28.8</v>
          </cell>
          <cell r="N29">
            <v>31</v>
          </cell>
          <cell r="O29">
            <v>29.6</v>
          </cell>
        </row>
        <row r="30">
          <cell r="A30">
            <v>201</v>
          </cell>
          <cell r="B30">
            <v>1</v>
          </cell>
          <cell r="C30">
            <v>13.007</v>
          </cell>
          <cell r="D30">
            <v>42.9</v>
          </cell>
          <cell r="E30">
            <v>32.5</v>
          </cell>
          <cell r="F30">
            <v>39.1</v>
          </cell>
          <cell r="G30">
            <v>31.4</v>
          </cell>
          <cell r="H30">
            <v>38.6</v>
          </cell>
          <cell r="I30">
            <v>30.6</v>
          </cell>
          <cell r="J30">
            <v>38.4</v>
          </cell>
          <cell r="K30">
            <v>31</v>
          </cell>
          <cell r="L30">
            <v>39.200000000000003</v>
          </cell>
          <cell r="M30">
            <v>31.2</v>
          </cell>
          <cell r="N30">
            <v>40.200000000000003</v>
          </cell>
          <cell r="O30">
            <v>38.299999999999997</v>
          </cell>
        </row>
        <row r="31">
          <cell r="A31">
            <v>201</v>
          </cell>
          <cell r="B31">
            <v>2</v>
          </cell>
          <cell r="C31">
            <v>13.010999999999999</v>
          </cell>
          <cell r="D31">
            <v>30.3</v>
          </cell>
          <cell r="E31">
            <v>29.4</v>
          </cell>
          <cell r="F31">
            <v>28.9</v>
          </cell>
          <cell r="G31">
            <v>27.7</v>
          </cell>
          <cell r="H31">
            <v>29.3</v>
          </cell>
          <cell r="I31">
            <v>29.8</v>
          </cell>
          <cell r="J31">
            <v>28.2</v>
          </cell>
          <cell r="K31">
            <v>28.1</v>
          </cell>
          <cell r="L31">
            <v>28.1</v>
          </cell>
          <cell r="M31">
            <v>29.1</v>
          </cell>
          <cell r="N31">
            <v>28.7</v>
          </cell>
          <cell r="O31">
            <v>26.5</v>
          </cell>
        </row>
        <row r="32">
          <cell r="A32">
            <v>202</v>
          </cell>
          <cell r="B32">
            <v>1</v>
          </cell>
          <cell r="C32">
            <v>13.021000000000001</v>
          </cell>
          <cell r="D32">
            <v>49.9</v>
          </cell>
          <cell r="E32">
            <v>44.1</v>
          </cell>
          <cell r="F32">
            <v>54.3</v>
          </cell>
          <cell r="G32">
            <v>35.5</v>
          </cell>
          <cell r="H32">
            <v>56.4</v>
          </cell>
          <cell r="I32">
            <v>37.700000000000003</v>
          </cell>
          <cell r="J32">
            <v>55.6</v>
          </cell>
          <cell r="K32">
            <v>39.5</v>
          </cell>
          <cell r="L32">
            <v>53.2</v>
          </cell>
          <cell r="M32">
            <v>38.9</v>
          </cell>
          <cell r="N32">
            <v>53.1</v>
          </cell>
          <cell r="O32">
            <v>36.9</v>
          </cell>
        </row>
        <row r="33">
          <cell r="A33">
            <v>202</v>
          </cell>
          <cell r="B33">
            <v>2</v>
          </cell>
          <cell r="C33">
            <v>13.025</v>
          </cell>
          <cell r="D33">
            <v>28.4</v>
          </cell>
          <cell r="E33">
            <v>27.8</v>
          </cell>
          <cell r="F33">
            <v>28.6</v>
          </cell>
          <cell r="G33">
            <v>28.9</v>
          </cell>
          <cell r="H33">
            <v>28.9</v>
          </cell>
          <cell r="I33">
            <v>29.2</v>
          </cell>
          <cell r="J33">
            <v>31.4</v>
          </cell>
          <cell r="K33">
            <v>29.3</v>
          </cell>
          <cell r="L33">
            <v>29.1</v>
          </cell>
          <cell r="M33">
            <v>27.8</v>
          </cell>
          <cell r="N33">
            <v>29</v>
          </cell>
          <cell r="O33">
            <v>28.4</v>
          </cell>
        </row>
        <row r="34">
          <cell r="A34">
            <v>203</v>
          </cell>
          <cell r="B34">
            <v>1</v>
          </cell>
          <cell r="C34">
            <v>13.037000000000001</v>
          </cell>
          <cell r="D34">
            <v>58.5</v>
          </cell>
          <cell r="E34">
            <v>50.7</v>
          </cell>
          <cell r="F34">
            <v>56.2</v>
          </cell>
          <cell r="G34">
            <v>35.5</v>
          </cell>
          <cell r="H34">
            <v>54.5</v>
          </cell>
          <cell r="I34">
            <v>35.4</v>
          </cell>
          <cell r="J34">
            <v>56.8</v>
          </cell>
          <cell r="K34">
            <v>53.9</v>
          </cell>
          <cell r="L34">
            <v>58.2</v>
          </cell>
          <cell r="M34">
            <v>34.299999999999997</v>
          </cell>
          <cell r="N34">
            <v>56.1</v>
          </cell>
          <cell r="O34">
            <v>38.700000000000003</v>
          </cell>
        </row>
        <row r="35">
          <cell r="A35">
            <v>203</v>
          </cell>
          <cell r="B35">
            <v>2</v>
          </cell>
          <cell r="C35">
            <v>13.041</v>
          </cell>
          <cell r="D35">
            <v>27.3</v>
          </cell>
          <cell r="E35">
            <v>28.9</v>
          </cell>
          <cell r="F35">
            <v>28.6</v>
          </cell>
          <cell r="G35">
            <v>27.7</v>
          </cell>
          <cell r="H35">
            <v>27.9</v>
          </cell>
          <cell r="I35">
            <v>27.7</v>
          </cell>
          <cell r="J35">
            <v>28.8</v>
          </cell>
          <cell r="K35">
            <v>28.4</v>
          </cell>
          <cell r="L35">
            <v>28.6</v>
          </cell>
          <cell r="M35">
            <v>29.3</v>
          </cell>
          <cell r="N35">
            <v>29</v>
          </cell>
          <cell r="O35">
            <v>27.8</v>
          </cell>
        </row>
        <row r="36">
          <cell r="A36">
            <v>204</v>
          </cell>
          <cell r="B36">
            <v>1</v>
          </cell>
          <cell r="C36">
            <v>13.053000000000001</v>
          </cell>
          <cell r="D36">
            <v>31.1</v>
          </cell>
          <cell r="E36">
            <v>34.299999999999997</v>
          </cell>
          <cell r="F36">
            <v>40.9</v>
          </cell>
          <cell r="G36">
            <v>34.6</v>
          </cell>
          <cell r="H36">
            <v>43.9</v>
          </cell>
          <cell r="I36">
            <v>34.5</v>
          </cell>
          <cell r="J36">
            <v>41.4</v>
          </cell>
          <cell r="K36">
            <v>31.5</v>
          </cell>
          <cell r="L36">
            <v>40</v>
          </cell>
          <cell r="M36">
            <v>32.6</v>
          </cell>
          <cell r="N36">
            <v>38.5</v>
          </cell>
          <cell r="O36">
            <v>32.700000000000003</v>
          </cell>
        </row>
        <row r="37">
          <cell r="A37">
            <v>204</v>
          </cell>
          <cell r="B37">
            <v>2</v>
          </cell>
          <cell r="C37">
            <v>13.057</v>
          </cell>
          <cell r="D37">
            <v>30.3</v>
          </cell>
          <cell r="E37">
            <v>30.1</v>
          </cell>
          <cell r="F37">
            <v>29</v>
          </cell>
          <cell r="G37">
            <v>30.5</v>
          </cell>
          <cell r="H37">
            <v>28.9</v>
          </cell>
          <cell r="I37">
            <v>30.3</v>
          </cell>
          <cell r="J37">
            <v>31.3</v>
          </cell>
          <cell r="K37">
            <v>30.5</v>
          </cell>
          <cell r="L37">
            <v>30.6</v>
          </cell>
          <cell r="M37">
            <v>30.9</v>
          </cell>
          <cell r="N37">
            <v>30.1</v>
          </cell>
          <cell r="O37">
            <v>29.8</v>
          </cell>
        </row>
        <row r="38">
          <cell r="A38">
            <v>205</v>
          </cell>
          <cell r="B38">
            <v>1</v>
          </cell>
          <cell r="C38">
            <v>13.066000000000001</v>
          </cell>
          <cell r="D38">
            <v>46.1</v>
          </cell>
          <cell r="E38">
            <v>57.7</v>
          </cell>
          <cell r="F38">
            <v>56.7</v>
          </cell>
          <cell r="G38">
            <v>37.200000000000003</v>
          </cell>
          <cell r="H38">
            <v>57.4</v>
          </cell>
          <cell r="I38">
            <v>38.5</v>
          </cell>
          <cell r="J38">
            <v>57.9</v>
          </cell>
          <cell r="K38">
            <v>54.5</v>
          </cell>
          <cell r="L38">
            <v>58.6</v>
          </cell>
          <cell r="M38">
            <v>36.1</v>
          </cell>
          <cell r="N38">
            <v>55.8</v>
          </cell>
          <cell r="O38">
            <v>42.7</v>
          </cell>
        </row>
        <row r="39">
          <cell r="A39">
            <v>205</v>
          </cell>
          <cell r="B39">
            <v>2</v>
          </cell>
          <cell r="C39">
            <v>13.071</v>
          </cell>
          <cell r="D39">
            <v>29.5</v>
          </cell>
          <cell r="E39">
            <v>28.9</v>
          </cell>
          <cell r="F39">
            <v>28.9</v>
          </cell>
          <cell r="G39">
            <v>28.9</v>
          </cell>
          <cell r="H39">
            <v>28.8</v>
          </cell>
          <cell r="I39">
            <v>27.8</v>
          </cell>
          <cell r="J39">
            <v>29.6</v>
          </cell>
          <cell r="K39">
            <v>28.5</v>
          </cell>
          <cell r="L39">
            <v>30.1</v>
          </cell>
          <cell r="M39">
            <v>28.2</v>
          </cell>
          <cell r="N39">
            <v>30.3</v>
          </cell>
          <cell r="O39">
            <v>27.8</v>
          </cell>
        </row>
        <row r="40">
          <cell r="A40">
            <v>206</v>
          </cell>
          <cell r="B40">
            <v>1</v>
          </cell>
          <cell r="C40">
            <v>13.082000000000001</v>
          </cell>
          <cell r="D40">
            <v>44.5</v>
          </cell>
          <cell r="E40">
            <v>46.2</v>
          </cell>
          <cell r="F40">
            <v>46.1</v>
          </cell>
          <cell r="G40">
            <v>44.4</v>
          </cell>
          <cell r="H40">
            <v>49.6</v>
          </cell>
          <cell r="I40">
            <v>40.4</v>
          </cell>
          <cell r="J40">
            <v>48.8</v>
          </cell>
          <cell r="K40">
            <v>36</v>
          </cell>
          <cell r="L40">
            <v>46</v>
          </cell>
          <cell r="M40">
            <v>36.4</v>
          </cell>
          <cell r="N40">
            <v>49.3</v>
          </cell>
          <cell r="O40">
            <v>48</v>
          </cell>
        </row>
        <row r="41">
          <cell r="A41">
            <v>206</v>
          </cell>
          <cell r="B41">
            <v>2</v>
          </cell>
          <cell r="C41">
            <v>13.086</v>
          </cell>
          <cell r="D41">
            <v>28.6</v>
          </cell>
          <cell r="E41">
            <v>26.9</v>
          </cell>
          <cell r="F41">
            <v>30.3</v>
          </cell>
          <cell r="G41">
            <v>29.2</v>
          </cell>
          <cell r="H41">
            <v>31.6</v>
          </cell>
          <cell r="I41">
            <v>27.9</v>
          </cell>
          <cell r="J41">
            <v>29.7</v>
          </cell>
          <cell r="K41">
            <v>28.4</v>
          </cell>
          <cell r="L41">
            <v>28.6</v>
          </cell>
          <cell r="M41">
            <v>28.2</v>
          </cell>
          <cell r="N41">
            <v>28</v>
          </cell>
          <cell r="O41">
            <v>28.6</v>
          </cell>
        </row>
        <row r="42">
          <cell r="A42">
            <v>207</v>
          </cell>
          <cell r="B42">
            <v>1</v>
          </cell>
          <cell r="C42">
            <v>13.097</v>
          </cell>
          <cell r="D42">
            <v>39.799999999999997</v>
          </cell>
          <cell r="E42">
            <v>57.3</v>
          </cell>
          <cell r="F42">
            <v>51</v>
          </cell>
          <cell r="G42">
            <v>35.4</v>
          </cell>
          <cell r="H42">
            <v>51.7</v>
          </cell>
          <cell r="I42">
            <v>33.799999999999997</v>
          </cell>
          <cell r="J42">
            <v>55.9</v>
          </cell>
          <cell r="K42">
            <v>31.1</v>
          </cell>
          <cell r="L42">
            <v>55.1</v>
          </cell>
          <cell r="M42">
            <v>33.4</v>
          </cell>
          <cell r="N42">
            <v>56.6</v>
          </cell>
          <cell r="O42">
            <v>39.9</v>
          </cell>
        </row>
        <row r="43">
          <cell r="A43">
            <v>207</v>
          </cell>
          <cell r="B43">
            <v>2</v>
          </cell>
          <cell r="C43">
            <v>13.102</v>
          </cell>
          <cell r="D43">
            <v>26.6</v>
          </cell>
          <cell r="E43">
            <v>27.7</v>
          </cell>
          <cell r="F43">
            <v>27.2</v>
          </cell>
          <cell r="G43">
            <v>28.1</v>
          </cell>
          <cell r="H43">
            <v>29.5</v>
          </cell>
          <cell r="I43">
            <v>26.7</v>
          </cell>
          <cell r="J43">
            <v>28.2</v>
          </cell>
          <cell r="K43">
            <v>26.7</v>
          </cell>
          <cell r="L43">
            <v>27.3</v>
          </cell>
          <cell r="M43">
            <v>28.4</v>
          </cell>
          <cell r="N43">
            <v>28.6</v>
          </cell>
          <cell r="O43">
            <v>27.4</v>
          </cell>
        </row>
        <row r="44">
          <cell r="A44">
            <v>208</v>
          </cell>
          <cell r="B44">
            <v>1</v>
          </cell>
          <cell r="C44">
            <v>13.114000000000001</v>
          </cell>
          <cell r="D44">
            <v>49</v>
          </cell>
          <cell r="E44">
            <v>47.3</v>
          </cell>
          <cell r="F44">
            <v>54.5</v>
          </cell>
          <cell r="G44">
            <v>41.9</v>
          </cell>
          <cell r="H44">
            <v>57.6</v>
          </cell>
          <cell r="I44">
            <v>46.8</v>
          </cell>
          <cell r="J44">
            <v>58.7</v>
          </cell>
          <cell r="K44">
            <v>43.2</v>
          </cell>
          <cell r="L44">
            <v>57</v>
          </cell>
          <cell r="M44">
            <v>45.7</v>
          </cell>
          <cell r="N44">
            <v>54.6</v>
          </cell>
          <cell r="O44">
            <v>51.3</v>
          </cell>
        </row>
        <row r="45">
          <cell r="A45">
            <v>208</v>
          </cell>
          <cell r="B45">
            <v>2</v>
          </cell>
          <cell r="C45">
            <v>13.119</v>
          </cell>
          <cell r="D45">
            <v>27.3</v>
          </cell>
          <cell r="E45">
            <v>27.4</v>
          </cell>
          <cell r="F45">
            <v>29.8</v>
          </cell>
          <cell r="G45">
            <v>27.6</v>
          </cell>
          <cell r="H45">
            <v>29.2</v>
          </cell>
          <cell r="I45">
            <v>28</v>
          </cell>
          <cell r="J45">
            <v>27.5</v>
          </cell>
          <cell r="K45">
            <v>27.4</v>
          </cell>
          <cell r="L45">
            <v>27.4</v>
          </cell>
          <cell r="M45">
            <v>27</v>
          </cell>
          <cell r="N45">
            <v>29.2</v>
          </cell>
          <cell r="O45">
            <v>26.7</v>
          </cell>
        </row>
        <row r="46">
          <cell r="A46">
            <v>908</v>
          </cell>
          <cell r="B46">
            <v>1</v>
          </cell>
          <cell r="C46">
            <v>13.135999999999999</v>
          </cell>
          <cell r="D46">
            <v>58.4</v>
          </cell>
          <cell r="E46">
            <v>44.1</v>
          </cell>
          <cell r="F46">
            <v>52.3</v>
          </cell>
          <cell r="G46">
            <v>37.299999999999997</v>
          </cell>
          <cell r="H46">
            <v>54.2</v>
          </cell>
          <cell r="I46">
            <v>38.700000000000003</v>
          </cell>
          <cell r="J46">
            <v>55.7</v>
          </cell>
          <cell r="K46">
            <v>38.5</v>
          </cell>
          <cell r="L46">
            <v>55.6</v>
          </cell>
          <cell r="M46">
            <v>44</v>
          </cell>
          <cell r="N46">
            <v>55.1</v>
          </cell>
          <cell r="O46">
            <v>40.299999999999997</v>
          </cell>
        </row>
        <row r="47">
          <cell r="A47">
            <v>908</v>
          </cell>
          <cell r="B47">
            <v>2</v>
          </cell>
          <cell r="C47">
            <v>13.145</v>
          </cell>
          <cell r="D47">
            <v>30.3</v>
          </cell>
          <cell r="E47">
            <v>27.8</v>
          </cell>
          <cell r="F47">
            <v>28.9</v>
          </cell>
          <cell r="G47">
            <v>27.7</v>
          </cell>
          <cell r="H47">
            <v>26.9</v>
          </cell>
          <cell r="I47">
            <v>27.1</v>
          </cell>
          <cell r="J47">
            <v>28.9</v>
          </cell>
          <cell r="K47">
            <v>27.4</v>
          </cell>
          <cell r="L47">
            <v>27.9</v>
          </cell>
          <cell r="M47">
            <v>27.7</v>
          </cell>
          <cell r="N47">
            <v>28.7</v>
          </cell>
          <cell r="O47">
            <v>26.2</v>
          </cell>
        </row>
        <row r="48">
          <cell r="A48">
            <v>907</v>
          </cell>
          <cell r="B48">
            <v>1</v>
          </cell>
          <cell r="C48">
            <v>13.154999999999999</v>
          </cell>
          <cell r="D48">
            <v>65.7</v>
          </cell>
          <cell r="E48">
            <v>66.8</v>
          </cell>
          <cell r="F48">
            <v>66.900000000000006</v>
          </cell>
          <cell r="G48">
            <v>67</v>
          </cell>
          <cell r="H48">
            <v>67.099999999999994</v>
          </cell>
          <cell r="I48">
            <v>66.099999999999994</v>
          </cell>
          <cell r="J48">
            <v>65.599999999999994</v>
          </cell>
          <cell r="K48">
            <v>66.8</v>
          </cell>
          <cell r="L48">
            <v>66.400000000000006</v>
          </cell>
          <cell r="M48">
            <v>66.3</v>
          </cell>
          <cell r="N48">
            <v>66.400000000000006</v>
          </cell>
          <cell r="O48">
            <v>67.2</v>
          </cell>
        </row>
        <row r="50">
          <cell r="A50">
            <v>906</v>
          </cell>
          <cell r="B50">
            <v>1</v>
          </cell>
          <cell r="C50">
            <v>13.162000000000001</v>
          </cell>
          <cell r="D50">
            <v>59.9</v>
          </cell>
          <cell r="E50">
            <v>52.5</v>
          </cell>
          <cell r="F50">
            <v>51</v>
          </cell>
          <cell r="G50">
            <v>37.6</v>
          </cell>
          <cell r="H50">
            <v>51.4</v>
          </cell>
          <cell r="I50">
            <v>42.7</v>
          </cell>
          <cell r="J50">
            <v>54.8</v>
          </cell>
          <cell r="K50">
            <v>40.1</v>
          </cell>
          <cell r="L50">
            <v>53.4</v>
          </cell>
          <cell r="M50">
            <v>45.1</v>
          </cell>
          <cell r="N50">
            <v>57.6</v>
          </cell>
          <cell r="O50">
            <v>34.6</v>
          </cell>
        </row>
        <row r="51">
          <cell r="A51">
            <v>906</v>
          </cell>
          <cell r="B51">
            <v>2</v>
          </cell>
          <cell r="C51">
            <v>13.166</v>
          </cell>
          <cell r="D51">
            <v>28.2</v>
          </cell>
          <cell r="E51">
            <v>29.5</v>
          </cell>
          <cell r="F51">
            <v>28.2</v>
          </cell>
          <cell r="G51">
            <v>28.9</v>
          </cell>
          <cell r="H51">
            <v>27.3</v>
          </cell>
          <cell r="I51">
            <v>27.5</v>
          </cell>
          <cell r="J51">
            <v>27.9</v>
          </cell>
          <cell r="K51">
            <v>27.3</v>
          </cell>
          <cell r="L51">
            <v>27.6</v>
          </cell>
          <cell r="M51">
            <v>27.6</v>
          </cell>
          <cell r="N51">
            <v>28.1</v>
          </cell>
          <cell r="O51">
            <v>28.5</v>
          </cell>
        </row>
        <row r="52">
          <cell r="A52">
            <v>905</v>
          </cell>
          <cell r="B52">
            <v>1</v>
          </cell>
          <cell r="C52">
            <v>13.176</v>
          </cell>
          <cell r="D52">
            <v>39.200000000000003</v>
          </cell>
          <cell r="E52">
            <v>39.5</v>
          </cell>
          <cell r="F52">
            <v>37.700000000000003</v>
          </cell>
          <cell r="G52">
            <v>37.6</v>
          </cell>
          <cell r="H52">
            <v>40.799999999999997</v>
          </cell>
          <cell r="I52">
            <v>38.700000000000003</v>
          </cell>
          <cell r="J52">
            <v>43.8</v>
          </cell>
          <cell r="K52">
            <v>38.799999999999997</v>
          </cell>
          <cell r="L52">
            <v>37.200000000000003</v>
          </cell>
          <cell r="M52">
            <v>37.1</v>
          </cell>
          <cell r="N52">
            <v>36.9</v>
          </cell>
          <cell r="O52">
            <v>36.9</v>
          </cell>
        </row>
        <row r="54">
          <cell r="A54">
            <v>904</v>
          </cell>
          <cell r="B54">
            <v>1</v>
          </cell>
          <cell r="C54">
            <v>13.182</v>
          </cell>
          <cell r="D54">
            <v>60</v>
          </cell>
          <cell r="E54">
            <v>45.1</v>
          </cell>
          <cell r="F54">
            <v>53.5</v>
          </cell>
          <cell r="G54">
            <v>35.799999999999997</v>
          </cell>
          <cell r="H54">
            <v>55.5</v>
          </cell>
          <cell r="I54">
            <v>37.799999999999997</v>
          </cell>
          <cell r="J54">
            <v>58</v>
          </cell>
          <cell r="K54">
            <v>39.200000000000003</v>
          </cell>
          <cell r="L54">
            <v>54.8</v>
          </cell>
          <cell r="M54">
            <v>35.299999999999997</v>
          </cell>
          <cell r="N54">
            <v>54.9</v>
          </cell>
          <cell r="O54">
            <v>40.9</v>
          </cell>
        </row>
        <row r="55">
          <cell r="A55">
            <v>904</v>
          </cell>
          <cell r="B55">
            <v>2</v>
          </cell>
          <cell r="C55">
            <v>13.186999999999999</v>
          </cell>
          <cell r="D55">
            <v>28</v>
          </cell>
          <cell r="E55">
            <v>27.8</v>
          </cell>
          <cell r="F55">
            <v>28.8</v>
          </cell>
          <cell r="G55">
            <v>28.9</v>
          </cell>
          <cell r="H55">
            <v>28.2</v>
          </cell>
          <cell r="I55">
            <v>28.9</v>
          </cell>
          <cell r="J55">
            <v>28.1</v>
          </cell>
          <cell r="K55">
            <v>27</v>
          </cell>
          <cell r="L55">
            <v>29</v>
          </cell>
          <cell r="M55">
            <v>28.2</v>
          </cell>
          <cell r="N55">
            <v>28.5</v>
          </cell>
          <cell r="O55">
            <v>28.3</v>
          </cell>
        </row>
        <row r="56">
          <cell r="A56">
            <v>903</v>
          </cell>
          <cell r="B56">
            <v>1</v>
          </cell>
          <cell r="C56">
            <v>13.196</v>
          </cell>
          <cell r="D56">
            <v>66.5</v>
          </cell>
          <cell r="E56">
            <v>65.5</v>
          </cell>
          <cell r="F56">
            <v>65.599999999999994</v>
          </cell>
          <cell r="G56">
            <v>66.400000000000006</v>
          </cell>
          <cell r="H56">
            <v>66.3</v>
          </cell>
          <cell r="I56">
            <v>66.599999999999994</v>
          </cell>
          <cell r="J56">
            <v>66.099999999999994</v>
          </cell>
          <cell r="K56">
            <v>66</v>
          </cell>
          <cell r="L56">
            <v>65.599999999999994</v>
          </cell>
          <cell r="M56">
            <v>66.099999999999994</v>
          </cell>
          <cell r="N56">
            <v>65.900000000000006</v>
          </cell>
          <cell r="O56">
            <v>66.5</v>
          </cell>
        </row>
        <row r="58">
          <cell r="A58">
            <v>902</v>
          </cell>
          <cell r="B58">
            <v>1</v>
          </cell>
          <cell r="C58">
            <v>13.202999999999999</v>
          </cell>
          <cell r="D58">
            <v>60.1</v>
          </cell>
          <cell r="E58">
            <v>41.3</v>
          </cell>
          <cell r="F58">
            <v>54.9</v>
          </cell>
          <cell r="G58">
            <v>39.1</v>
          </cell>
          <cell r="H58">
            <v>56.1</v>
          </cell>
          <cell r="I58">
            <v>40.5</v>
          </cell>
          <cell r="J58">
            <v>57.6</v>
          </cell>
          <cell r="K58">
            <v>39.299999999999997</v>
          </cell>
          <cell r="L58">
            <v>52.9</v>
          </cell>
          <cell r="M58">
            <v>44.9</v>
          </cell>
          <cell r="N58">
            <v>55.4</v>
          </cell>
          <cell r="O58">
            <v>38</v>
          </cell>
        </row>
        <row r="59">
          <cell r="A59">
            <v>902</v>
          </cell>
          <cell r="B59">
            <v>2</v>
          </cell>
          <cell r="C59">
            <v>13.207000000000001</v>
          </cell>
          <cell r="D59">
            <v>28.8</v>
          </cell>
          <cell r="E59">
            <v>29.9</v>
          </cell>
          <cell r="F59">
            <v>29.3</v>
          </cell>
          <cell r="G59">
            <v>29.5</v>
          </cell>
          <cell r="H59">
            <v>31.6</v>
          </cell>
          <cell r="I59">
            <v>30.3</v>
          </cell>
          <cell r="J59">
            <v>28.9</v>
          </cell>
          <cell r="K59">
            <v>30</v>
          </cell>
          <cell r="L59">
            <v>29.7</v>
          </cell>
          <cell r="M59">
            <v>29.1</v>
          </cell>
          <cell r="N59">
            <v>30</v>
          </cell>
          <cell r="O59">
            <v>29.8</v>
          </cell>
        </row>
        <row r="60">
          <cell r="A60">
            <v>901</v>
          </cell>
          <cell r="B60">
            <v>1</v>
          </cell>
          <cell r="C60">
            <v>13.215999999999999</v>
          </cell>
          <cell r="D60">
            <v>52.6</v>
          </cell>
          <cell r="E60">
            <v>52.5</v>
          </cell>
          <cell r="F60">
            <v>50.9</v>
          </cell>
          <cell r="G60">
            <v>52.1</v>
          </cell>
          <cell r="H60">
            <v>51.4</v>
          </cell>
          <cell r="I60">
            <v>51.8</v>
          </cell>
          <cell r="J60">
            <v>52.8</v>
          </cell>
          <cell r="K60">
            <v>53</v>
          </cell>
          <cell r="L60">
            <v>50.8</v>
          </cell>
          <cell r="M60">
            <v>52.5</v>
          </cell>
          <cell r="N60">
            <v>52.5</v>
          </cell>
          <cell r="O60">
            <v>52.9</v>
          </cell>
        </row>
        <row r="62">
          <cell r="A62">
            <v>301</v>
          </cell>
          <cell r="B62">
            <v>1</v>
          </cell>
          <cell r="C62">
            <v>13.225</v>
          </cell>
          <cell r="D62">
            <v>43.6</v>
          </cell>
          <cell r="E62">
            <v>43.1</v>
          </cell>
          <cell r="F62">
            <v>53.4</v>
          </cell>
          <cell r="G62">
            <v>43.4</v>
          </cell>
          <cell r="H62">
            <v>51.7</v>
          </cell>
          <cell r="I62">
            <v>41.2</v>
          </cell>
          <cell r="J62">
            <v>53.1</v>
          </cell>
          <cell r="K62">
            <v>35.6</v>
          </cell>
          <cell r="L62">
            <v>53.4</v>
          </cell>
          <cell r="M62">
            <v>35.4</v>
          </cell>
          <cell r="N62">
            <v>54.3</v>
          </cell>
          <cell r="O62">
            <v>34.5</v>
          </cell>
        </row>
        <row r="63">
          <cell r="A63">
            <v>301</v>
          </cell>
          <cell r="B63">
            <v>2</v>
          </cell>
          <cell r="C63">
            <v>13.23</v>
          </cell>
          <cell r="D63">
            <v>28.8</v>
          </cell>
          <cell r="E63">
            <v>29.4</v>
          </cell>
          <cell r="F63">
            <v>29.7</v>
          </cell>
          <cell r="G63">
            <v>28.1</v>
          </cell>
          <cell r="H63">
            <v>29</v>
          </cell>
          <cell r="I63">
            <v>29.1</v>
          </cell>
          <cell r="J63">
            <v>29.5</v>
          </cell>
          <cell r="K63">
            <v>28.6</v>
          </cell>
          <cell r="L63">
            <v>29.6</v>
          </cell>
          <cell r="M63">
            <v>29.3</v>
          </cell>
          <cell r="N63">
            <v>29.9</v>
          </cell>
          <cell r="O63">
            <v>28.8</v>
          </cell>
        </row>
        <row r="64">
          <cell r="A64">
            <v>302</v>
          </cell>
          <cell r="B64">
            <v>1</v>
          </cell>
          <cell r="C64">
            <v>13.24</v>
          </cell>
          <cell r="D64">
            <v>45.4</v>
          </cell>
          <cell r="E64">
            <v>58.6</v>
          </cell>
          <cell r="F64">
            <v>52</v>
          </cell>
          <cell r="G64">
            <v>41.3</v>
          </cell>
          <cell r="H64">
            <v>56.3</v>
          </cell>
          <cell r="I64">
            <v>37</v>
          </cell>
          <cell r="J64">
            <v>58.9</v>
          </cell>
          <cell r="K64">
            <v>35</v>
          </cell>
          <cell r="L64">
            <v>56.4</v>
          </cell>
          <cell r="M64">
            <v>37</v>
          </cell>
          <cell r="N64">
            <v>56.8</v>
          </cell>
          <cell r="O64">
            <v>41</v>
          </cell>
        </row>
        <row r="65">
          <cell r="A65">
            <v>302</v>
          </cell>
          <cell r="B65">
            <v>2</v>
          </cell>
          <cell r="C65">
            <v>13.244999999999999</v>
          </cell>
          <cell r="D65">
            <v>29.9</v>
          </cell>
          <cell r="E65">
            <v>28.9</v>
          </cell>
          <cell r="F65">
            <v>29.6</v>
          </cell>
          <cell r="G65">
            <v>28.4</v>
          </cell>
          <cell r="H65">
            <v>28.9</v>
          </cell>
          <cell r="I65">
            <v>29.4</v>
          </cell>
          <cell r="J65">
            <v>29.5</v>
          </cell>
          <cell r="K65">
            <v>29</v>
          </cell>
          <cell r="L65">
            <v>30.2</v>
          </cell>
          <cell r="M65">
            <v>28.9</v>
          </cell>
          <cell r="N65">
            <v>28.9</v>
          </cell>
          <cell r="O65">
            <v>28</v>
          </cell>
        </row>
        <row r="66">
          <cell r="A66">
            <v>303</v>
          </cell>
          <cell r="B66">
            <v>1</v>
          </cell>
          <cell r="C66">
            <v>13.254</v>
          </cell>
          <cell r="D66">
            <v>46.2</v>
          </cell>
          <cell r="E66">
            <v>41</v>
          </cell>
          <cell r="F66">
            <v>45.4</v>
          </cell>
          <cell r="G66">
            <v>40.9</v>
          </cell>
          <cell r="H66">
            <v>44.3</v>
          </cell>
          <cell r="I66">
            <v>36</v>
          </cell>
          <cell r="J66">
            <v>46.5</v>
          </cell>
          <cell r="K66">
            <v>36.6</v>
          </cell>
          <cell r="L66">
            <v>45.1</v>
          </cell>
          <cell r="M66">
            <v>35</v>
          </cell>
          <cell r="N66">
            <v>44.8</v>
          </cell>
          <cell r="O66">
            <v>38.5</v>
          </cell>
        </row>
        <row r="67">
          <cell r="A67">
            <v>303</v>
          </cell>
          <cell r="B67">
            <v>2</v>
          </cell>
          <cell r="C67">
            <v>13.260999999999999</v>
          </cell>
          <cell r="D67">
            <v>30.8</v>
          </cell>
          <cell r="E67">
            <v>30.4</v>
          </cell>
          <cell r="F67">
            <v>29.7</v>
          </cell>
          <cell r="G67">
            <v>29.3</v>
          </cell>
          <cell r="H67">
            <v>29.5</v>
          </cell>
          <cell r="I67">
            <v>28.3</v>
          </cell>
          <cell r="J67">
            <v>30</v>
          </cell>
          <cell r="K67">
            <v>28.7</v>
          </cell>
          <cell r="L67">
            <v>30.3</v>
          </cell>
          <cell r="M67">
            <v>27.8</v>
          </cell>
          <cell r="N67">
            <v>28.5</v>
          </cell>
          <cell r="O67">
            <v>27.8</v>
          </cell>
        </row>
        <row r="68">
          <cell r="A68">
            <v>304</v>
          </cell>
          <cell r="B68">
            <v>1</v>
          </cell>
          <cell r="C68">
            <v>13.272</v>
          </cell>
          <cell r="D68">
            <v>51.2</v>
          </cell>
          <cell r="E68">
            <v>53.5</v>
          </cell>
          <cell r="F68">
            <v>53.6</v>
          </cell>
          <cell r="G68">
            <v>39.299999999999997</v>
          </cell>
          <cell r="H68">
            <v>56.5</v>
          </cell>
          <cell r="I68">
            <v>49.4</v>
          </cell>
          <cell r="J68">
            <v>58.3</v>
          </cell>
          <cell r="K68">
            <v>35.9</v>
          </cell>
          <cell r="L68">
            <v>57.4</v>
          </cell>
          <cell r="M68">
            <v>41.3</v>
          </cell>
          <cell r="N68">
            <v>57.3</v>
          </cell>
          <cell r="O68">
            <v>43</v>
          </cell>
        </row>
        <row r="69">
          <cell r="A69">
            <v>304</v>
          </cell>
          <cell r="B69">
            <v>2</v>
          </cell>
          <cell r="C69">
            <v>13.276999999999999</v>
          </cell>
          <cell r="D69">
            <v>28.9</v>
          </cell>
          <cell r="E69">
            <v>29.2</v>
          </cell>
          <cell r="F69">
            <v>29.5</v>
          </cell>
          <cell r="G69">
            <v>28.5</v>
          </cell>
          <cell r="H69">
            <v>28.3</v>
          </cell>
          <cell r="I69">
            <v>28.4</v>
          </cell>
          <cell r="J69">
            <v>28.4</v>
          </cell>
          <cell r="K69">
            <v>27.4</v>
          </cell>
          <cell r="L69">
            <v>28.9</v>
          </cell>
          <cell r="M69">
            <v>31</v>
          </cell>
          <cell r="N69">
            <v>30.2</v>
          </cell>
          <cell r="O69">
            <v>28.2</v>
          </cell>
        </row>
        <row r="70">
          <cell r="A70">
            <v>305</v>
          </cell>
          <cell r="B70">
            <v>1</v>
          </cell>
          <cell r="C70">
            <v>13.287000000000001</v>
          </cell>
          <cell r="D70">
            <v>33.9</v>
          </cell>
          <cell r="E70">
            <v>32.1</v>
          </cell>
          <cell r="F70">
            <v>38.5</v>
          </cell>
          <cell r="G70">
            <v>31</v>
          </cell>
          <cell r="H70">
            <v>39.299999999999997</v>
          </cell>
          <cell r="I70">
            <v>34.1</v>
          </cell>
          <cell r="J70">
            <v>39.9</v>
          </cell>
          <cell r="K70">
            <v>30.3</v>
          </cell>
          <cell r="L70">
            <v>39.799999999999997</v>
          </cell>
          <cell r="M70">
            <v>30.6</v>
          </cell>
          <cell r="N70">
            <v>38.4</v>
          </cell>
          <cell r="O70">
            <v>30.4</v>
          </cell>
        </row>
        <row r="71">
          <cell r="A71">
            <v>305</v>
          </cell>
          <cell r="B71">
            <v>2</v>
          </cell>
          <cell r="C71">
            <v>13.292</v>
          </cell>
          <cell r="D71">
            <v>30.7</v>
          </cell>
          <cell r="E71">
            <v>29.1</v>
          </cell>
          <cell r="F71">
            <v>29.6</v>
          </cell>
          <cell r="G71">
            <v>30.1</v>
          </cell>
          <cell r="H71">
            <v>32</v>
          </cell>
          <cell r="I71">
            <v>31</v>
          </cell>
          <cell r="J71">
            <v>32.1</v>
          </cell>
          <cell r="K71">
            <v>31.2</v>
          </cell>
          <cell r="L71">
            <v>31.5</v>
          </cell>
          <cell r="M71">
            <v>30.7</v>
          </cell>
          <cell r="N71">
            <v>30</v>
          </cell>
          <cell r="O71">
            <v>28.4</v>
          </cell>
        </row>
        <row r="72">
          <cell r="A72">
            <v>306</v>
          </cell>
          <cell r="B72">
            <v>1</v>
          </cell>
          <cell r="C72">
            <v>13.301</v>
          </cell>
          <cell r="D72">
            <v>43.5</v>
          </cell>
          <cell r="E72">
            <v>52.2</v>
          </cell>
          <cell r="F72">
            <v>48.5</v>
          </cell>
          <cell r="G72">
            <v>41.2</v>
          </cell>
          <cell r="H72">
            <v>55.7</v>
          </cell>
          <cell r="I72">
            <v>36.299999999999997</v>
          </cell>
          <cell r="J72">
            <v>56.5</v>
          </cell>
          <cell r="K72">
            <v>33.5</v>
          </cell>
          <cell r="L72">
            <v>56</v>
          </cell>
          <cell r="M72">
            <v>34.9</v>
          </cell>
          <cell r="N72">
            <v>54.8</v>
          </cell>
          <cell r="O72">
            <v>37.5</v>
          </cell>
        </row>
        <row r="73">
          <cell r="A73">
            <v>306</v>
          </cell>
          <cell r="B73">
            <v>2</v>
          </cell>
          <cell r="C73">
            <v>13.305999999999999</v>
          </cell>
          <cell r="D73">
            <v>30.7</v>
          </cell>
          <cell r="E73">
            <v>28.4</v>
          </cell>
          <cell r="F73">
            <v>30.3</v>
          </cell>
          <cell r="G73">
            <v>29.7</v>
          </cell>
          <cell r="H73">
            <v>30.8</v>
          </cell>
          <cell r="I73">
            <v>30.8</v>
          </cell>
          <cell r="J73">
            <v>29.1</v>
          </cell>
          <cell r="K73">
            <v>28.6</v>
          </cell>
          <cell r="L73">
            <v>27.4</v>
          </cell>
          <cell r="M73">
            <v>29.1</v>
          </cell>
          <cell r="N73">
            <v>28.4</v>
          </cell>
          <cell r="O73">
            <v>26.4</v>
          </cell>
        </row>
        <row r="74">
          <cell r="A74">
            <v>307</v>
          </cell>
          <cell r="B74">
            <v>1</v>
          </cell>
          <cell r="C74">
            <v>13.317</v>
          </cell>
          <cell r="D74">
            <v>43.9</v>
          </cell>
          <cell r="E74">
            <v>47.6</v>
          </cell>
          <cell r="F74">
            <v>54</v>
          </cell>
          <cell r="G74">
            <v>34.9</v>
          </cell>
          <cell r="H74">
            <v>57</v>
          </cell>
          <cell r="I74">
            <v>32.4</v>
          </cell>
          <cell r="J74">
            <v>57.6</v>
          </cell>
          <cell r="K74">
            <v>32.9</v>
          </cell>
          <cell r="L74">
            <v>56.7</v>
          </cell>
          <cell r="M74">
            <v>38.5</v>
          </cell>
          <cell r="N74">
            <v>57.8</v>
          </cell>
          <cell r="O74">
            <v>40.1</v>
          </cell>
        </row>
        <row r="75">
          <cell r="A75">
            <v>307</v>
          </cell>
          <cell r="B75">
            <v>2</v>
          </cell>
          <cell r="C75">
            <v>13.321999999999999</v>
          </cell>
          <cell r="D75">
            <v>29.8</v>
          </cell>
          <cell r="E75">
            <v>27.5</v>
          </cell>
          <cell r="F75">
            <v>29.9</v>
          </cell>
          <cell r="G75">
            <v>27.3</v>
          </cell>
          <cell r="H75">
            <v>29.6</v>
          </cell>
          <cell r="I75">
            <v>29.5</v>
          </cell>
          <cell r="J75">
            <v>29.9</v>
          </cell>
          <cell r="K75">
            <v>26.6</v>
          </cell>
          <cell r="L75">
            <v>28.2</v>
          </cell>
          <cell r="M75">
            <v>29</v>
          </cell>
          <cell r="N75">
            <v>28.3</v>
          </cell>
          <cell r="O75">
            <v>28.2</v>
          </cell>
        </row>
        <row r="76">
          <cell r="A76">
            <v>308</v>
          </cell>
          <cell r="B76">
            <v>1</v>
          </cell>
          <cell r="C76">
            <v>13.332000000000001</v>
          </cell>
          <cell r="D76">
            <v>47</v>
          </cell>
          <cell r="E76">
            <v>39.6</v>
          </cell>
          <cell r="F76">
            <v>54.2</v>
          </cell>
          <cell r="G76">
            <v>36.9</v>
          </cell>
          <cell r="H76">
            <v>54.1</v>
          </cell>
          <cell r="I76">
            <v>41.8</v>
          </cell>
          <cell r="J76">
            <v>58.3</v>
          </cell>
          <cell r="K76">
            <v>39</v>
          </cell>
          <cell r="L76">
            <v>57.2</v>
          </cell>
          <cell r="M76">
            <v>34.5</v>
          </cell>
          <cell r="N76">
            <v>54.7</v>
          </cell>
          <cell r="O76">
            <v>44.8</v>
          </cell>
        </row>
        <row r="77">
          <cell r="A77">
            <v>308</v>
          </cell>
          <cell r="B77">
            <v>2</v>
          </cell>
          <cell r="C77">
            <v>13.337</v>
          </cell>
          <cell r="D77">
            <v>29.3</v>
          </cell>
          <cell r="E77">
            <v>30.9</v>
          </cell>
          <cell r="F77">
            <v>31.7</v>
          </cell>
          <cell r="G77">
            <v>30</v>
          </cell>
          <cell r="H77">
            <v>31.7</v>
          </cell>
          <cell r="I77">
            <v>30.7</v>
          </cell>
          <cell r="J77">
            <v>33.200000000000003</v>
          </cell>
          <cell r="K77">
            <v>29.8</v>
          </cell>
          <cell r="L77">
            <v>29.6</v>
          </cell>
          <cell r="M77">
            <v>29</v>
          </cell>
          <cell r="N77">
            <v>30.4</v>
          </cell>
          <cell r="O77">
            <v>29.6</v>
          </cell>
        </row>
        <row r="78">
          <cell r="A78">
            <v>408</v>
          </cell>
          <cell r="B78">
            <v>1</v>
          </cell>
          <cell r="C78">
            <v>13.355</v>
          </cell>
          <cell r="D78">
            <v>55.4</v>
          </cell>
          <cell r="E78">
            <v>41.4</v>
          </cell>
          <cell r="F78">
            <v>55.3</v>
          </cell>
          <cell r="G78">
            <v>36.9</v>
          </cell>
          <cell r="H78">
            <v>53.4</v>
          </cell>
          <cell r="I78">
            <v>35.9</v>
          </cell>
          <cell r="J78">
            <v>52.8</v>
          </cell>
          <cell r="K78">
            <v>40.5</v>
          </cell>
          <cell r="L78">
            <v>48.9</v>
          </cell>
          <cell r="M78">
            <v>40.9</v>
          </cell>
          <cell r="N78">
            <v>52.6</v>
          </cell>
          <cell r="O78">
            <v>39.6</v>
          </cell>
        </row>
        <row r="79">
          <cell r="A79">
            <v>408</v>
          </cell>
          <cell r="B79">
            <v>2</v>
          </cell>
          <cell r="C79">
            <v>13.359</v>
          </cell>
          <cell r="D79">
            <v>27.2</v>
          </cell>
          <cell r="E79">
            <v>29.7</v>
          </cell>
          <cell r="F79">
            <v>30.3</v>
          </cell>
          <cell r="G79">
            <v>28.8</v>
          </cell>
          <cell r="H79">
            <v>29</v>
          </cell>
          <cell r="I79">
            <v>28.1</v>
          </cell>
          <cell r="J79">
            <v>29.2</v>
          </cell>
          <cell r="K79">
            <v>27.6</v>
          </cell>
          <cell r="L79">
            <v>29.1</v>
          </cell>
          <cell r="M79">
            <v>28.2</v>
          </cell>
          <cell r="N79">
            <v>29.9</v>
          </cell>
          <cell r="O79">
            <v>29</v>
          </cell>
        </row>
        <row r="80">
          <cell r="A80">
            <v>407</v>
          </cell>
          <cell r="B80">
            <v>1</v>
          </cell>
          <cell r="C80">
            <v>13.371</v>
          </cell>
          <cell r="D80">
            <v>38.799999999999997</v>
          </cell>
          <cell r="E80">
            <v>37.799999999999997</v>
          </cell>
          <cell r="F80">
            <v>38.1</v>
          </cell>
          <cell r="G80">
            <v>35.799999999999997</v>
          </cell>
          <cell r="H80">
            <v>38.4</v>
          </cell>
          <cell r="I80">
            <v>40.1</v>
          </cell>
          <cell r="J80">
            <v>39.1</v>
          </cell>
          <cell r="K80">
            <v>34.4</v>
          </cell>
          <cell r="L80">
            <v>38.4</v>
          </cell>
          <cell r="M80">
            <v>35.4</v>
          </cell>
          <cell r="N80">
            <v>38</v>
          </cell>
          <cell r="O80">
            <v>34.4</v>
          </cell>
        </row>
        <row r="81">
          <cell r="A81">
            <v>407</v>
          </cell>
          <cell r="B81">
            <v>2</v>
          </cell>
          <cell r="C81">
            <v>13.375</v>
          </cell>
          <cell r="D81">
            <v>30</v>
          </cell>
          <cell r="E81">
            <v>29.4</v>
          </cell>
          <cell r="F81">
            <v>30</v>
          </cell>
          <cell r="G81">
            <v>28.4</v>
          </cell>
          <cell r="H81">
            <v>29.8</v>
          </cell>
          <cell r="I81">
            <v>30.1</v>
          </cell>
          <cell r="J81">
            <v>29.8</v>
          </cell>
          <cell r="K81">
            <v>28.9</v>
          </cell>
          <cell r="L81">
            <v>29.3</v>
          </cell>
          <cell r="M81">
            <v>29.6</v>
          </cell>
          <cell r="N81">
            <v>30.4</v>
          </cell>
          <cell r="O81">
            <v>29.4</v>
          </cell>
        </row>
        <row r="82">
          <cell r="A82">
            <v>406</v>
          </cell>
          <cell r="B82">
            <v>1</v>
          </cell>
          <cell r="C82">
            <v>13.385</v>
          </cell>
          <cell r="D82">
            <v>58.3</v>
          </cell>
          <cell r="E82">
            <v>46.2</v>
          </cell>
          <cell r="F82">
            <v>55.3</v>
          </cell>
          <cell r="G82">
            <v>36.299999999999997</v>
          </cell>
          <cell r="H82">
            <v>51.1</v>
          </cell>
          <cell r="I82">
            <v>40</v>
          </cell>
          <cell r="J82">
            <v>54.9</v>
          </cell>
          <cell r="K82">
            <v>40.700000000000003</v>
          </cell>
          <cell r="L82">
            <v>55.3</v>
          </cell>
          <cell r="M82">
            <v>42.9</v>
          </cell>
          <cell r="N82">
            <v>52.9</v>
          </cell>
          <cell r="O82">
            <v>42.2</v>
          </cell>
        </row>
        <row r="83">
          <cell r="A83">
            <v>406</v>
          </cell>
          <cell r="B83">
            <v>2</v>
          </cell>
          <cell r="C83">
            <v>13.39</v>
          </cell>
          <cell r="D83">
            <v>31.4</v>
          </cell>
          <cell r="E83">
            <v>30.8</v>
          </cell>
          <cell r="F83">
            <v>29.4</v>
          </cell>
          <cell r="G83">
            <v>29.7</v>
          </cell>
          <cell r="H83">
            <v>28.9</v>
          </cell>
          <cell r="I83">
            <v>28.9</v>
          </cell>
          <cell r="J83">
            <v>31.8</v>
          </cell>
          <cell r="K83">
            <v>28.9</v>
          </cell>
          <cell r="L83">
            <v>28.8</v>
          </cell>
          <cell r="M83">
            <v>30.6</v>
          </cell>
          <cell r="N83">
            <v>30.9</v>
          </cell>
          <cell r="O83">
            <v>28.3</v>
          </cell>
        </row>
        <row r="84">
          <cell r="A84">
            <v>405</v>
          </cell>
          <cell r="B84">
            <v>1</v>
          </cell>
          <cell r="C84">
            <v>13.401999999999999</v>
          </cell>
          <cell r="D84">
            <v>57</v>
          </cell>
          <cell r="E84">
            <v>45.7</v>
          </cell>
          <cell r="F84">
            <v>49.5</v>
          </cell>
          <cell r="G84">
            <v>42.2</v>
          </cell>
          <cell r="H84">
            <v>45.8</v>
          </cell>
          <cell r="I84">
            <v>36.1</v>
          </cell>
          <cell r="J84">
            <v>45.2</v>
          </cell>
          <cell r="K84">
            <v>47</v>
          </cell>
          <cell r="L84">
            <v>55</v>
          </cell>
          <cell r="M84">
            <v>35.5</v>
          </cell>
          <cell r="N84">
            <v>53.4</v>
          </cell>
          <cell r="O84">
            <v>39.4</v>
          </cell>
        </row>
        <row r="85">
          <cell r="A85">
            <v>405</v>
          </cell>
          <cell r="B85">
            <v>2</v>
          </cell>
          <cell r="C85">
            <v>13.407</v>
          </cell>
          <cell r="D85">
            <v>28.7</v>
          </cell>
          <cell r="E85">
            <v>29.5</v>
          </cell>
          <cell r="F85">
            <v>30.3</v>
          </cell>
          <cell r="G85">
            <v>30.1</v>
          </cell>
          <cell r="H85">
            <v>31</v>
          </cell>
          <cell r="I85">
            <v>28.1</v>
          </cell>
          <cell r="J85">
            <v>29.2</v>
          </cell>
          <cell r="K85">
            <v>30.3</v>
          </cell>
          <cell r="L85">
            <v>28.8</v>
          </cell>
          <cell r="M85">
            <v>27.9</v>
          </cell>
          <cell r="N85">
            <v>28.7</v>
          </cell>
          <cell r="O85">
            <v>27.4</v>
          </cell>
        </row>
        <row r="86">
          <cell r="A86">
            <v>404</v>
          </cell>
          <cell r="B86">
            <v>1</v>
          </cell>
          <cell r="C86">
            <v>13.419</v>
          </cell>
          <cell r="D86">
            <v>59.3</v>
          </cell>
          <cell r="E86">
            <v>43.8</v>
          </cell>
          <cell r="F86">
            <v>54.1</v>
          </cell>
          <cell r="G86">
            <v>43.8</v>
          </cell>
          <cell r="H86">
            <v>48.6</v>
          </cell>
          <cell r="I86">
            <v>49.4</v>
          </cell>
          <cell r="J86">
            <v>56.8</v>
          </cell>
          <cell r="K86">
            <v>49</v>
          </cell>
          <cell r="L86">
            <v>45.9</v>
          </cell>
          <cell r="M86">
            <v>50.2</v>
          </cell>
          <cell r="N86">
            <v>52</v>
          </cell>
          <cell r="O86">
            <v>43.7</v>
          </cell>
        </row>
        <row r="87">
          <cell r="A87">
            <v>404</v>
          </cell>
          <cell r="B87">
            <v>2</v>
          </cell>
          <cell r="C87">
            <v>13.423999999999999</v>
          </cell>
          <cell r="D87">
            <v>29</v>
          </cell>
          <cell r="E87">
            <v>28</v>
          </cell>
          <cell r="F87">
            <v>28.6</v>
          </cell>
          <cell r="G87">
            <v>27.6</v>
          </cell>
          <cell r="H87">
            <v>28.8</v>
          </cell>
          <cell r="I87">
            <v>29.7</v>
          </cell>
          <cell r="J87">
            <v>29.5</v>
          </cell>
          <cell r="K87">
            <v>27.4</v>
          </cell>
          <cell r="L87">
            <v>29.8</v>
          </cell>
          <cell r="M87">
            <v>27.7</v>
          </cell>
          <cell r="N87">
            <v>29.3</v>
          </cell>
          <cell r="O87">
            <v>27.8</v>
          </cell>
        </row>
        <row r="88">
          <cell r="A88">
            <v>403</v>
          </cell>
          <cell r="B88">
            <v>1</v>
          </cell>
          <cell r="C88">
            <v>13.436</v>
          </cell>
          <cell r="D88">
            <v>54.8</v>
          </cell>
          <cell r="E88">
            <v>47.7</v>
          </cell>
          <cell r="F88">
            <v>36.200000000000003</v>
          </cell>
          <cell r="G88">
            <v>40.700000000000003</v>
          </cell>
          <cell r="H88">
            <v>35.5</v>
          </cell>
          <cell r="I88">
            <v>43.3</v>
          </cell>
          <cell r="J88">
            <v>47.3</v>
          </cell>
          <cell r="K88">
            <v>47</v>
          </cell>
          <cell r="L88">
            <v>53.6</v>
          </cell>
          <cell r="M88">
            <v>52.9</v>
          </cell>
          <cell r="N88">
            <v>49.3</v>
          </cell>
          <cell r="O88">
            <v>40.4</v>
          </cell>
        </row>
        <row r="89">
          <cell r="A89">
            <v>403</v>
          </cell>
          <cell r="B89">
            <v>2</v>
          </cell>
          <cell r="C89">
            <v>13.44</v>
          </cell>
          <cell r="D89">
            <v>28.1</v>
          </cell>
          <cell r="E89">
            <v>27.6</v>
          </cell>
          <cell r="F89">
            <v>30.1</v>
          </cell>
          <cell r="G89">
            <v>27.9</v>
          </cell>
          <cell r="H89">
            <v>26.6</v>
          </cell>
          <cell r="I89">
            <v>29.2</v>
          </cell>
          <cell r="J89">
            <v>30.5</v>
          </cell>
          <cell r="K89">
            <v>28.5</v>
          </cell>
          <cell r="L89">
            <v>28.9</v>
          </cell>
          <cell r="M89">
            <v>29.1</v>
          </cell>
          <cell r="N89">
            <v>28.3</v>
          </cell>
          <cell r="O89">
            <v>28.4</v>
          </cell>
        </row>
        <row r="90">
          <cell r="A90">
            <v>402</v>
          </cell>
          <cell r="B90">
            <v>1</v>
          </cell>
          <cell r="C90">
            <v>13.452</v>
          </cell>
          <cell r="D90">
            <v>45.6</v>
          </cell>
          <cell r="E90">
            <v>47.1</v>
          </cell>
          <cell r="F90">
            <v>50.9</v>
          </cell>
          <cell r="G90">
            <v>44.2</v>
          </cell>
          <cell r="H90">
            <v>52.5</v>
          </cell>
          <cell r="I90">
            <v>36.6</v>
          </cell>
          <cell r="J90">
            <v>50.9</v>
          </cell>
          <cell r="K90">
            <v>36.1</v>
          </cell>
          <cell r="L90">
            <v>48.4</v>
          </cell>
          <cell r="M90">
            <v>41.7</v>
          </cell>
          <cell r="N90">
            <v>50.3</v>
          </cell>
          <cell r="O90">
            <v>33.200000000000003</v>
          </cell>
        </row>
        <row r="91">
          <cell r="A91">
            <v>402</v>
          </cell>
          <cell r="B91">
            <v>2</v>
          </cell>
          <cell r="C91">
            <v>13.456</v>
          </cell>
          <cell r="D91">
            <v>28</v>
          </cell>
          <cell r="E91">
            <v>28.6</v>
          </cell>
          <cell r="F91">
            <v>29.1</v>
          </cell>
          <cell r="G91">
            <v>28.5</v>
          </cell>
          <cell r="H91">
            <v>29</v>
          </cell>
          <cell r="I91">
            <v>28.7</v>
          </cell>
          <cell r="J91">
            <v>29.6</v>
          </cell>
          <cell r="K91">
            <v>27</v>
          </cell>
          <cell r="L91">
            <v>29.1</v>
          </cell>
          <cell r="M91">
            <v>28.7</v>
          </cell>
          <cell r="N91">
            <v>29.5</v>
          </cell>
          <cell r="O91">
            <v>28.4</v>
          </cell>
        </row>
        <row r="92">
          <cell r="A92">
            <v>401</v>
          </cell>
          <cell r="B92">
            <v>1</v>
          </cell>
          <cell r="C92">
            <v>13.467000000000001</v>
          </cell>
          <cell r="D92">
            <v>37.299999999999997</v>
          </cell>
          <cell r="E92">
            <v>32.700000000000003</v>
          </cell>
          <cell r="F92">
            <v>36.4</v>
          </cell>
          <cell r="G92">
            <v>32.9</v>
          </cell>
          <cell r="H92">
            <v>35.9</v>
          </cell>
          <cell r="I92">
            <v>33.1</v>
          </cell>
          <cell r="J92">
            <v>35.799999999999997</v>
          </cell>
          <cell r="K92">
            <v>32.200000000000003</v>
          </cell>
          <cell r="L92">
            <v>36.700000000000003</v>
          </cell>
          <cell r="M92">
            <v>29.2</v>
          </cell>
          <cell r="N92">
            <v>36.299999999999997</v>
          </cell>
          <cell r="O92">
            <v>31.1</v>
          </cell>
        </row>
        <row r="93">
          <cell r="A93">
            <v>401</v>
          </cell>
          <cell r="B93">
            <v>2</v>
          </cell>
          <cell r="C93">
            <v>13.472</v>
          </cell>
          <cell r="D93">
            <v>26.7</v>
          </cell>
          <cell r="E93">
            <v>26.3</v>
          </cell>
          <cell r="F93">
            <v>26.3</v>
          </cell>
          <cell r="G93">
            <v>26.4</v>
          </cell>
          <cell r="H93">
            <v>28.9</v>
          </cell>
          <cell r="I93">
            <v>29.4</v>
          </cell>
          <cell r="J93">
            <v>28.7</v>
          </cell>
          <cell r="K93">
            <v>26.6</v>
          </cell>
          <cell r="L93">
            <v>27.2</v>
          </cell>
          <cell r="M93">
            <v>28</v>
          </cell>
          <cell r="N93">
            <v>27.3</v>
          </cell>
          <cell r="O93">
            <v>26.7</v>
          </cell>
        </row>
      </sheetData>
      <sheetData sheetId="2">
        <row r="7">
          <cell r="C7">
            <v>169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39.700000000000003</v>
          </cell>
        </row>
        <row r="29">
          <cell r="E29">
            <v>6.4191562439818695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9">
          <cell r="C9">
            <v>5481</v>
          </cell>
          <cell r="D9">
            <v>-1.6531146818483371</v>
          </cell>
          <cell r="E9">
            <v>1.0981139989847872</v>
          </cell>
          <cell r="F9">
            <v>2.673489260619941E-2</v>
          </cell>
          <cell r="G9">
            <v>-2.1134268965570043E-3</v>
          </cell>
          <cell r="H9">
            <v>0.99975577255589465</v>
          </cell>
          <cell r="I9">
            <v>0.26315420021079988</v>
          </cell>
          <cell r="J9">
            <v>69</v>
          </cell>
          <cell r="K9" t="str">
            <v>Apr 02</v>
          </cell>
          <cell r="L9" t="str">
            <v>"IRT 5481.xls"</v>
          </cell>
        </row>
        <row r="10">
          <cell r="C10">
            <v>142</v>
          </cell>
          <cell r="D10">
            <v>5.8712637995125216E-2</v>
          </cell>
          <cell r="E10">
            <v>1.0066114386533156</v>
          </cell>
          <cell r="F10">
            <v>-4.4596124918156507E-3</v>
          </cell>
          <cell r="G10">
            <v>-3.0991098003455209E-4</v>
          </cell>
          <cell r="H10">
            <v>0.99990212031075421</v>
          </cell>
          <cell r="I10">
            <v>0.16659400343037783</v>
          </cell>
          <cell r="J10">
            <v>69</v>
          </cell>
          <cell r="K10" t="str">
            <v>Apr 02</v>
          </cell>
          <cell r="L10" t="str">
            <v>"IRT-142.xls"</v>
          </cell>
        </row>
        <row r="11">
          <cell r="C11">
            <v>5566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'IA170.03R'</v>
          </cell>
        </row>
        <row r="14">
          <cell r="A14">
            <v>108</v>
          </cell>
          <cell r="B14">
            <v>1</v>
          </cell>
          <cell r="C14">
            <v>13.13</v>
          </cell>
          <cell r="D14">
            <v>54.8</v>
          </cell>
          <cell r="E14">
            <v>42.8</v>
          </cell>
          <cell r="F14">
            <v>47.4</v>
          </cell>
          <cell r="G14">
            <v>40.700000000000003</v>
          </cell>
          <cell r="H14">
            <v>49.2</v>
          </cell>
          <cell r="I14">
            <v>48.8</v>
          </cell>
          <cell r="J14">
            <v>52.4</v>
          </cell>
          <cell r="K14">
            <v>41</v>
          </cell>
          <cell r="L14">
            <v>52.1</v>
          </cell>
          <cell r="M14">
            <v>38.200000000000003</v>
          </cell>
          <cell r="N14">
            <v>52.9</v>
          </cell>
          <cell r="O14">
            <v>39.799999999999997</v>
          </cell>
        </row>
        <row r="15">
          <cell r="A15">
            <v>108</v>
          </cell>
          <cell r="B15">
            <v>2</v>
          </cell>
          <cell r="C15">
            <v>13.135</v>
          </cell>
          <cell r="D15">
            <v>29.6</v>
          </cell>
          <cell r="E15">
            <v>30</v>
          </cell>
          <cell r="F15">
            <v>34</v>
          </cell>
          <cell r="G15">
            <v>32.9</v>
          </cell>
          <cell r="H15">
            <v>32.200000000000003</v>
          </cell>
          <cell r="I15">
            <v>33.5</v>
          </cell>
          <cell r="J15">
            <v>33.1</v>
          </cell>
          <cell r="K15">
            <v>31.7</v>
          </cell>
          <cell r="L15">
            <v>32</v>
          </cell>
          <cell r="M15">
            <v>31.6</v>
          </cell>
          <cell r="N15">
            <v>32.299999999999997</v>
          </cell>
          <cell r="O15">
            <v>31.9</v>
          </cell>
        </row>
        <row r="16">
          <cell r="A16">
            <v>107</v>
          </cell>
          <cell r="B16">
            <v>1</v>
          </cell>
          <cell r="C16">
            <v>13.147</v>
          </cell>
          <cell r="D16">
            <v>54.9</v>
          </cell>
          <cell r="E16">
            <v>49.8</v>
          </cell>
          <cell r="F16">
            <v>48.2</v>
          </cell>
          <cell r="G16">
            <v>49.5</v>
          </cell>
          <cell r="H16">
            <v>38.5</v>
          </cell>
          <cell r="I16">
            <v>48.8</v>
          </cell>
          <cell r="J16">
            <v>40.9</v>
          </cell>
          <cell r="K16">
            <v>51.2</v>
          </cell>
          <cell r="L16">
            <v>46.1</v>
          </cell>
          <cell r="M16">
            <v>49.3</v>
          </cell>
          <cell r="N16">
            <v>47</v>
          </cell>
          <cell r="O16">
            <v>44.9</v>
          </cell>
        </row>
        <row r="17">
          <cell r="A17">
            <v>107</v>
          </cell>
          <cell r="B17">
            <v>2</v>
          </cell>
          <cell r="C17">
            <v>13.151</v>
          </cell>
          <cell r="D17">
            <v>30.8</v>
          </cell>
          <cell r="E17">
            <v>30.8</v>
          </cell>
          <cell r="F17">
            <v>31.1</v>
          </cell>
          <cell r="G17">
            <v>31</v>
          </cell>
          <cell r="H17">
            <v>32.9</v>
          </cell>
          <cell r="I17">
            <v>30.1</v>
          </cell>
          <cell r="J17">
            <v>32.4</v>
          </cell>
          <cell r="K17">
            <v>29.9</v>
          </cell>
          <cell r="L17">
            <v>32.9</v>
          </cell>
          <cell r="M17">
            <v>31.9</v>
          </cell>
          <cell r="N17">
            <v>31.4</v>
          </cell>
          <cell r="O17">
            <v>30</v>
          </cell>
        </row>
        <row r="18">
          <cell r="A18">
            <v>106</v>
          </cell>
          <cell r="B18">
            <v>1</v>
          </cell>
          <cell r="C18">
            <v>13.163</v>
          </cell>
          <cell r="D18">
            <v>52.7</v>
          </cell>
          <cell r="E18">
            <v>42.7</v>
          </cell>
          <cell r="F18">
            <v>49.3</v>
          </cell>
          <cell r="G18">
            <v>42.1</v>
          </cell>
          <cell r="H18">
            <v>52</v>
          </cell>
          <cell r="I18">
            <v>47.2</v>
          </cell>
          <cell r="J18">
            <v>42.7</v>
          </cell>
          <cell r="K18">
            <v>46.5</v>
          </cell>
          <cell r="L18">
            <v>40.299999999999997</v>
          </cell>
          <cell r="M18">
            <v>44.7</v>
          </cell>
          <cell r="N18">
            <v>40.9</v>
          </cell>
          <cell r="O18">
            <v>47.5</v>
          </cell>
        </row>
        <row r="19">
          <cell r="A19">
            <v>106</v>
          </cell>
          <cell r="B19">
            <v>2</v>
          </cell>
          <cell r="C19">
            <v>13.167</v>
          </cell>
          <cell r="D19">
            <v>32</v>
          </cell>
          <cell r="E19">
            <v>30.2</v>
          </cell>
          <cell r="F19">
            <v>33.6</v>
          </cell>
          <cell r="G19">
            <v>33.9</v>
          </cell>
          <cell r="H19">
            <v>32.4</v>
          </cell>
          <cell r="I19">
            <v>33.1</v>
          </cell>
          <cell r="J19">
            <v>34.1</v>
          </cell>
          <cell r="K19">
            <v>31.8</v>
          </cell>
          <cell r="L19">
            <v>31.6</v>
          </cell>
          <cell r="M19">
            <v>31.6</v>
          </cell>
          <cell r="N19">
            <v>33.799999999999997</v>
          </cell>
          <cell r="O19">
            <v>31.7</v>
          </cell>
        </row>
        <row r="20">
          <cell r="A20">
            <v>105</v>
          </cell>
          <cell r="B20">
            <v>1</v>
          </cell>
          <cell r="C20">
            <v>13.178000000000001</v>
          </cell>
          <cell r="D20">
            <v>39.200000000000003</v>
          </cell>
          <cell r="E20">
            <v>31.4</v>
          </cell>
          <cell r="F20">
            <v>36.6</v>
          </cell>
          <cell r="G20">
            <v>38.799999999999997</v>
          </cell>
          <cell r="H20">
            <v>40.200000000000003</v>
          </cell>
          <cell r="I20">
            <v>42.1</v>
          </cell>
          <cell r="J20">
            <v>32.700000000000003</v>
          </cell>
          <cell r="K20">
            <v>38.6</v>
          </cell>
          <cell r="L20">
            <v>35.4</v>
          </cell>
          <cell r="M20">
            <v>42.9</v>
          </cell>
          <cell r="N20">
            <v>35.799999999999997</v>
          </cell>
          <cell r="O20">
            <v>44.8</v>
          </cell>
        </row>
        <row r="21">
          <cell r="A21">
            <v>105</v>
          </cell>
          <cell r="B21">
            <v>2</v>
          </cell>
          <cell r="C21">
            <v>13.183</v>
          </cell>
          <cell r="D21">
            <v>30</v>
          </cell>
          <cell r="E21">
            <v>31</v>
          </cell>
          <cell r="F21">
            <v>32.200000000000003</v>
          </cell>
          <cell r="G21">
            <v>31.7</v>
          </cell>
          <cell r="H21">
            <v>28.6</v>
          </cell>
          <cell r="I21">
            <v>30.4</v>
          </cell>
          <cell r="J21">
            <v>31.3</v>
          </cell>
          <cell r="K21">
            <v>30</v>
          </cell>
          <cell r="L21">
            <v>29.3</v>
          </cell>
          <cell r="M21">
            <v>29</v>
          </cell>
          <cell r="N21">
            <v>30</v>
          </cell>
          <cell r="O21">
            <v>29.4</v>
          </cell>
        </row>
        <row r="22">
          <cell r="A22">
            <v>104</v>
          </cell>
          <cell r="B22">
            <v>1</v>
          </cell>
          <cell r="C22">
            <v>13.194000000000001</v>
          </cell>
          <cell r="D22">
            <v>53.1</v>
          </cell>
          <cell r="E22">
            <v>48.6</v>
          </cell>
          <cell r="F22">
            <v>47.3</v>
          </cell>
          <cell r="G22">
            <v>39.1</v>
          </cell>
          <cell r="H22">
            <v>47.3</v>
          </cell>
          <cell r="I22">
            <v>51.1</v>
          </cell>
          <cell r="J22">
            <v>49.7</v>
          </cell>
          <cell r="K22">
            <v>47.2</v>
          </cell>
          <cell r="L22">
            <v>46.6</v>
          </cell>
          <cell r="M22">
            <v>46.3</v>
          </cell>
          <cell r="N22">
            <v>47.7</v>
          </cell>
          <cell r="O22">
            <v>49.8</v>
          </cell>
        </row>
        <row r="23">
          <cell r="A23">
            <v>104</v>
          </cell>
          <cell r="B23">
            <v>2</v>
          </cell>
          <cell r="C23">
            <v>13.198</v>
          </cell>
          <cell r="D23">
            <v>32.799999999999997</v>
          </cell>
          <cell r="E23">
            <v>33.799999999999997</v>
          </cell>
          <cell r="F23">
            <v>30.7</v>
          </cell>
          <cell r="G23">
            <v>32.9</v>
          </cell>
          <cell r="H23">
            <v>32.700000000000003</v>
          </cell>
          <cell r="I23">
            <v>31.9</v>
          </cell>
          <cell r="J23">
            <v>32.4</v>
          </cell>
          <cell r="K23">
            <v>30.4</v>
          </cell>
          <cell r="L23">
            <v>32.200000000000003</v>
          </cell>
          <cell r="M23">
            <v>32.5</v>
          </cell>
          <cell r="N23">
            <v>35.6</v>
          </cell>
          <cell r="O23">
            <v>32.1</v>
          </cell>
        </row>
        <row r="24">
          <cell r="A24">
            <v>103</v>
          </cell>
          <cell r="B24">
            <v>1</v>
          </cell>
          <cell r="C24">
            <v>13.21</v>
          </cell>
          <cell r="D24">
            <v>52.5</v>
          </cell>
          <cell r="E24">
            <v>41.5</v>
          </cell>
          <cell r="F24">
            <v>40.799999999999997</v>
          </cell>
          <cell r="G24">
            <v>47.8</v>
          </cell>
          <cell r="H24">
            <v>37.6</v>
          </cell>
          <cell r="I24">
            <v>48.7</v>
          </cell>
          <cell r="J24">
            <v>36.4</v>
          </cell>
          <cell r="K24">
            <v>46.1</v>
          </cell>
          <cell r="L24">
            <v>39.200000000000003</v>
          </cell>
          <cell r="M24">
            <v>47.9</v>
          </cell>
          <cell r="N24">
            <v>49</v>
          </cell>
          <cell r="O24">
            <v>46.7</v>
          </cell>
        </row>
        <row r="25">
          <cell r="A25">
            <v>103</v>
          </cell>
          <cell r="B25">
            <v>2</v>
          </cell>
          <cell r="C25">
            <v>13.215</v>
          </cell>
          <cell r="D25">
            <v>34.9</v>
          </cell>
          <cell r="E25">
            <v>33.5</v>
          </cell>
          <cell r="F25">
            <v>34.5</v>
          </cell>
          <cell r="G25">
            <v>34.200000000000003</v>
          </cell>
          <cell r="H25">
            <v>34.6</v>
          </cell>
          <cell r="I25">
            <v>34</v>
          </cell>
          <cell r="J25">
            <v>33.9</v>
          </cell>
          <cell r="K25">
            <v>35</v>
          </cell>
          <cell r="L25">
            <v>32.200000000000003</v>
          </cell>
          <cell r="M25">
            <v>33.6</v>
          </cell>
          <cell r="N25">
            <v>32.799999999999997</v>
          </cell>
          <cell r="O25">
            <v>32</v>
          </cell>
        </row>
        <row r="26">
          <cell r="A26">
            <v>102</v>
          </cell>
          <cell r="B26">
            <v>1</v>
          </cell>
          <cell r="C26">
            <v>13.228999999999999</v>
          </cell>
          <cell r="D26">
            <v>55.3</v>
          </cell>
          <cell r="E26">
            <v>52</v>
          </cell>
          <cell r="F26">
            <v>44.4</v>
          </cell>
          <cell r="G26">
            <v>54.2</v>
          </cell>
          <cell r="H26">
            <v>47.2</v>
          </cell>
          <cell r="I26">
            <v>54.3</v>
          </cell>
          <cell r="J26">
            <v>53.6</v>
          </cell>
          <cell r="K26">
            <v>52.8</v>
          </cell>
          <cell r="L26">
            <v>45.8</v>
          </cell>
          <cell r="M26">
            <v>52.7</v>
          </cell>
          <cell r="N26">
            <v>47.4</v>
          </cell>
          <cell r="O26">
            <v>43.8</v>
          </cell>
        </row>
        <row r="27">
          <cell r="A27">
            <v>102</v>
          </cell>
          <cell r="B27">
            <v>2</v>
          </cell>
          <cell r="C27">
            <v>13.233000000000001</v>
          </cell>
          <cell r="D27">
            <v>33.700000000000003</v>
          </cell>
          <cell r="E27">
            <v>32.799999999999997</v>
          </cell>
          <cell r="F27">
            <v>33.700000000000003</v>
          </cell>
          <cell r="G27">
            <v>34.1</v>
          </cell>
          <cell r="H27">
            <v>34.200000000000003</v>
          </cell>
          <cell r="I27">
            <v>32.799999999999997</v>
          </cell>
          <cell r="J27">
            <v>37.4</v>
          </cell>
          <cell r="K27">
            <v>35.4</v>
          </cell>
          <cell r="L27">
            <v>34.5</v>
          </cell>
          <cell r="M27">
            <v>34</v>
          </cell>
          <cell r="N27">
            <v>35.9</v>
          </cell>
          <cell r="O27">
            <v>33.4</v>
          </cell>
        </row>
        <row r="28">
          <cell r="A28">
            <v>101</v>
          </cell>
          <cell r="B28">
            <v>1</v>
          </cell>
          <cell r="C28">
            <v>13.244999999999999</v>
          </cell>
          <cell r="D28">
            <v>54.2</v>
          </cell>
          <cell r="E28">
            <v>46.1</v>
          </cell>
          <cell r="F28">
            <v>51</v>
          </cell>
          <cell r="G28">
            <v>46.4</v>
          </cell>
          <cell r="H28">
            <v>46</v>
          </cell>
          <cell r="I28">
            <v>54.6</v>
          </cell>
          <cell r="J28">
            <v>46.6</v>
          </cell>
          <cell r="K28">
            <v>50.6</v>
          </cell>
          <cell r="L28">
            <v>52.1</v>
          </cell>
          <cell r="M28">
            <v>52.2</v>
          </cell>
          <cell r="N28">
            <v>50.7</v>
          </cell>
          <cell r="O28">
            <v>50.7</v>
          </cell>
        </row>
        <row r="29">
          <cell r="A29">
            <v>101</v>
          </cell>
          <cell r="B29">
            <v>2</v>
          </cell>
          <cell r="C29">
            <v>13.249000000000001</v>
          </cell>
          <cell r="D29">
            <v>32.200000000000003</v>
          </cell>
          <cell r="E29">
            <v>32.6</v>
          </cell>
          <cell r="F29">
            <v>32.700000000000003</v>
          </cell>
          <cell r="G29">
            <v>34.5</v>
          </cell>
          <cell r="H29">
            <v>33.799999999999997</v>
          </cell>
          <cell r="I29">
            <v>32.5</v>
          </cell>
          <cell r="J29">
            <v>33.700000000000003</v>
          </cell>
          <cell r="K29">
            <v>32.9</v>
          </cell>
          <cell r="L29">
            <v>33.5</v>
          </cell>
          <cell r="M29">
            <v>32.799999999999997</v>
          </cell>
          <cell r="N29">
            <v>32.4</v>
          </cell>
          <cell r="O29">
            <v>33.1</v>
          </cell>
        </row>
        <row r="30">
          <cell r="A30">
            <v>201</v>
          </cell>
          <cell r="B30">
            <v>1</v>
          </cell>
          <cell r="C30">
            <v>13.266</v>
          </cell>
          <cell r="D30">
            <v>46.7</v>
          </cell>
          <cell r="E30">
            <v>37.200000000000003</v>
          </cell>
          <cell r="F30">
            <v>42.5</v>
          </cell>
          <cell r="G30">
            <v>32</v>
          </cell>
          <cell r="H30">
            <v>43.7</v>
          </cell>
          <cell r="I30">
            <v>32.799999999999997</v>
          </cell>
          <cell r="J30">
            <v>42.9</v>
          </cell>
          <cell r="K30">
            <v>33.299999999999997</v>
          </cell>
          <cell r="L30">
            <v>43.2</v>
          </cell>
          <cell r="M30">
            <v>33.4</v>
          </cell>
          <cell r="N30">
            <v>42.1</v>
          </cell>
          <cell r="O30">
            <v>37.799999999999997</v>
          </cell>
        </row>
        <row r="31">
          <cell r="A31">
            <v>201</v>
          </cell>
          <cell r="B31">
            <v>2</v>
          </cell>
          <cell r="C31">
            <v>13.271000000000001</v>
          </cell>
          <cell r="D31">
            <v>32.200000000000003</v>
          </cell>
          <cell r="E31">
            <v>29.9</v>
          </cell>
          <cell r="F31">
            <v>31.4</v>
          </cell>
          <cell r="G31">
            <v>31.9</v>
          </cell>
          <cell r="H31">
            <v>32.5</v>
          </cell>
          <cell r="I31">
            <v>31.3</v>
          </cell>
          <cell r="J31">
            <v>31.3</v>
          </cell>
          <cell r="K31">
            <v>31.7</v>
          </cell>
          <cell r="L31">
            <v>30.1</v>
          </cell>
          <cell r="M31">
            <v>32.799999999999997</v>
          </cell>
          <cell r="N31">
            <v>32</v>
          </cell>
          <cell r="O31">
            <v>31.5</v>
          </cell>
        </row>
        <row r="32">
          <cell r="A32">
            <v>202</v>
          </cell>
          <cell r="B32">
            <v>1</v>
          </cell>
          <cell r="C32">
            <v>13.282</v>
          </cell>
          <cell r="D32">
            <v>54.1</v>
          </cell>
          <cell r="E32">
            <v>54</v>
          </cell>
          <cell r="F32">
            <v>40.1</v>
          </cell>
          <cell r="G32">
            <v>46.5</v>
          </cell>
          <cell r="H32">
            <v>41</v>
          </cell>
          <cell r="I32">
            <v>51.5</v>
          </cell>
          <cell r="J32">
            <v>45</v>
          </cell>
          <cell r="K32">
            <v>52</v>
          </cell>
          <cell r="L32">
            <v>49.9</v>
          </cell>
          <cell r="M32">
            <v>46</v>
          </cell>
          <cell r="N32">
            <v>49.1</v>
          </cell>
          <cell r="O32">
            <v>38</v>
          </cell>
        </row>
        <row r="33">
          <cell r="A33">
            <v>202</v>
          </cell>
          <cell r="B33">
            <v>2</v>
          </cell>
          <cell r="C33">
            <v>13.286</v>
          </cell>
          <cell r="D33">
            <v>33.200000000000003</v>
          </cell>
          <cell r="E33">
            <v>32.6</v>
          </cell>
          <cell r="F33">
            <v>32.799999999999997</v>
          </cell>
          <cell r="G33">
            <v>33.9</v>
          </cell>
          <cell r="H33">
            <v>32.5</v>
          </cell>
          <cell r="I33">
            <v>34</v>
          </cell>
          <cell r="J33">
            <v>32.6</v>
          </cell>
          <cell r="K33">
            <v>32</v>
          </cell>
          <cell r="L33">
            <v>32.700000000000003</v>
          </cell>
          <cell r="M33">
            <v>31.9</v>
          </cell>
          <cell r="N33">
            <v>32.6</v>
          </cell>
          <cell r="O33">
            <v>33</v>
          </cell>
        </row>
        <row r="34">
          <cell r="A34">
            <v>203</v>
          </cell>
          <cell r="B34">
            <v>1</v>
          </cell>
          <cell r="C34">
            <v>13.297000000000001</v>
          </cell>
          <cell r="D34">
            <v>54.4</v>
          </cell>
          <cell r="E34">
            <v>50.1</v>
          </cell>
          <cell r="F34">
            <v>51.9</v>
          </cell>
          <cell r="G34">
            <v>39.799999999999997</v>
          </cell>
          <cell r="H34">
            <v>46.2</v>
          </cell>
          <cell r="I34">
            <v>48.2</v>
          </cell>
          <cell r="J34">
            <v>43.6</v>
          </cell>
          <cell r="K34">
            <v>54.9</v>
          </cell>
          <cell r="L34">
            <v>53</v>
          </cell>
          <cell r="M34">
            <v>42.9</v>
          </cell>
          <cell r="N34">
            <v>39.799999999999997</v>
          </cell>
          <cell r="O34">
            <v>44.5</v>
          </cell>
        </row>
        <row r="35">
          <cell r="A35">
            <v>203</v>
          </cell>
          <cell r="B35">
            <v>2</v>
          </cell>
          <cell r="C35">
            <v>13.302</v>
          </cell>
          <cell r="D35">
            <v>32.5</v>
          </cell>
          <cell r="E35">
            <v>31.5</v>
          </cell>
          <cell r="F35">
            <v>32.700000000000003</v>
          </cell>
          <cell r="G35">
            <v>31.7</v>
          </cell>
          <cell r="H35">
            <v>33.700000000000003</v>
          </cell>
          <cell r="I35">
            <v>32.4</v>
          </cell>
          <cell r="J35">
            <v>32.4</v>
          </cell>
          <cell r="K35">
            <v>32.200000000000003</v>
          </cell>
          <cell r="L35">
            <v>33.799999999999997</v>
          </cell>
          <cell r="M35">
            <v>32.799999999999997</v>
          </cell>
          <cell r="N35">
            <v>34.299999999999997</v>
          </cell>
          <cell r="O35">
            <v>31.2</v>
          </cell>
        </row>
        <row r="36">
          <cell r="A36">
            <v>204</v>
          </cell>
          <cell r="B36">
            <v>1</v>
          </cell>
          <cell r="C36">
            <v>13.313000000000001</v>
          </cell>
          <cell r="D36">
            <v>45.7</v>
          </cell>
          <cell r="E36">
            <v>35.299999999999997</v>
          </cell>
          <cell r="F36">
            <v>35.700000000000003</v>
          </cell>
          <cell r="G36">
            <v>35.200000000000003</v>
          </cell>
          <cell r="H36">
            <v>45.1</v>
          </cell>
          <cell r="I36">
            <v>36.4</v>
          </cell>
          <cell r="J36">
            <v>42.7</v>
          </cell>
          <cell r="K36">
            <v>32.200000000000003</v>
          </cell>
          <cell r="L36">
            <v>43</v>
          </cell>
          <cell r="M36">
            <v>32.6</v>
          </cell>
          <cell r="N36">
            <v>43.2</v>
          </cell>
          <cell r="O36">
            <v>31.5</v>
          </cell>
        </row>
        <row r="37">
          <cell r="A37">
            <v>204</v>
          </cell>
          <cell r="B37">
            <v>2</v>
          </cell>
          <cell r="C37">
            <v>13.317</v>
          </cell>
          <cell r="D37">
            <v>30.7</v>
          </cell>
          <cell r="E37">
            <v>30.8</v>
          </cell>
          <cell r="F37">
            <v>32.5</v>
          </cell>
          <cell r="G37">
            <v>31.3</v>
          </cell>
          <cell r="H37">
            <v>31.9</v>
          </cell>
          <cell r="I37">
            <v>31.8</v>
          </cell>
          <cell r="J37">
            <v>32</v>
          </cell>
          <cell r="K37">
            <v>31.6</v>
          </cell>
          <cell r="L37">
            <v>31.3</v>
          </cell>
          <cell r="M37">
            <v>29.1</v>
          </cell>
          <cell r="N37">
            <v>31.5</v>
          </cell>
          <cell r="O37">
            <v>30.7</v>
          </cell>
        </row>
        <row r="38">
          <cell r="A38">
            <v>205</v>
          </cell>
          <cell r="B38">
            <v>1</v>
          </cell>
          <cell r="C38">
            <v>13.327999999999999</v>
          </cell>
          <cell r="D38">
            <v>53.7</v>
          </cell>
          <cell r="E38">
            <v>54.8</v>
          </cell>
          <cell r="F38">
            <v>51.3</v>
          </cell>
          <cell r="G38">
            <v>50</v>
          </cell>
          <cell r="H38">
            <v>49.2</v>
          </cell>
          <cell r="I38">
            <v>47.4</v>
          </cell>
          <cell r="J38">
            <v>49.2</v>
          </cell>
          <cell r="K38">
            <v>53.6</v>
          </cell>
          <cell r="L38">
            <v>53.5</v>
          </cell>
          <cell r="M38">
            <v>42.4</v>
          </cell>
          <cell r="N38">
            <v>51.7</v>
          </cell>
          <cell r="O38">
            <v>44.5</v>
          </cell>
        </row>
        <row r="39">
          <cell r="A39">
            <v>205</v>
          </cell>
          <cell r="B39">
            <v>2</v>
          </cell>
          <cell r="C39">
            <v>13.332000000000001</v>
          </cell>
          <cell r="D39">
            <v>32.299999999999997</v>
          </cell>
          <cell r="E39">
            <v>33.200000000000003</v>
          </cell>
          <cell r="F39">
            <v>31.2</v>
          </cell>
          <cell r="G39">
            <v>31.4</v>
          </cell>
          <cell r="H39">
            <v>36.6</v>
          </cell>
          <cell r="I39">
            <v>30.6</v>
          </cell>
          <cell r="J39">
            <v>32.299999999999997</v>
          </cell>
          <cell r="K39">
            <v>31.1</v>
          </cell>
          <cell r="L39">
            <v>37.4</v>
          </cell>
          <cell r="M39">
            <v>32.700000000000003</v>
          </cell>
          <cell r="N39">
            <v>31.9</v>
          </cell>
          <cell r="O39">
            <v>33.200000000000003</v>
          </cell>
        </row>
        <row r="40">
          <cell r="A40">
            <v>206</v>
          </cell>
          <cell r="B40">
            <v>1</v>
          </cell>
          <cell r="C40">
            <v>13.343</v>
          </cell>
          <cell r="D40">
            <v>49.5</v>
          </cell>
          <cell r="E40">
            <v>45.3</v>
          </cell>
          <cell r="F40">
            <v>50.2</v>
          </cell>
          <cell r="G40">
            <v>46.5</v>
          </cell>
          <cell r="H40">
            <v>49.5</v>
          </cell>
          <cell r="I40">
            <v>44.8</v>
          </cell>
          <cell r="J40">
            <v>49.3</v>
          </cell>
          <cell r="K40">
            <v>43.8</v>
          </cell>
          <cell r="L40">
            <v>46.4</v>
          </cell>
          <cell r="M40">
            <v>49.2</v>
          </cell>
          <cell r="N40">
            <v>45.2</v>
          </cell>
          <cell r="O40">
            <v>46.2</v>
          </cell>
        </row>
        <row r="41">
          <cell r="A41">
            <v>206</v>
          </cell>
          <cell r="B41">
            <v>2</v>
          </cell>
          <cell r="C41">
            <v>13.347</v>
          </cell>
          <cell r="D41">
            <v>31.9</v>
          </cell>
          <cell r="E41">
            <v>37.4</v>
          </cell>
          <cell r="F41">
            <v>32.5</v>
          </cell>
          <cell r="G41">
            <v>31.8</v>
          </cell>
          <cell r="H41">
            <v>30.9</v>
          </cell>
          <cell r="I41">
            <v>32.5</v>
          </cell>
          <cell r="J41">
            <v>33.6</v>
          </cell>
          <cell r="K41">
            <v>36</v>
          </cell>
          <cell r="L41">
            <v>34.6</v>
          </cell>
          <cell r="M41">
            <v>33.799999999999997</v>
          </cell>
          <cell r="N41">
            <v>32.299999999999997</v>
          </cell>
          <cell r="O41">
            <v>31.7</v>
          </cell>
        </row>
        <row r="42">
          <cell r="A42">
            <v>207</v>
          </cell>
          <cell r="B42">
            <v>1</v>
          </cell>
          <cell r="C42">
            <v>13.359</v>
          </cell>
          <cell r="D42">
            <v>55.2</v>
          </cell>
          <cell r="E42">
            <v>44.6</v>
          </cell>
          <cell r="F42">
            <v>44</v>
          </cell>
          <cell r="G42">
            <v>43.4</v>
          </cell>
          <cell r="H42">
            <v>47.3</v>
          </cell>
          <cell r="I42">
            <v>49.5</v>
          </cell>
          <cell r="J42">
            <v>47.2</v>
          </cell>
          <cell r="K42">
            <v>44.9</v>
          </cell>
          <cell r="L42">
            <v>45.9</v>
          </cell>
          <cell r="M42">
            <v>47.6</v>
          </cell>
          <cell r="N42">
            <v>43.5</v>
          </cell>
          <cell r="O42">
            <v>39.700000000000003</v>
          </cell>
        </row>
        <row r="43">
          <cell r="A43">
            <v>207</v>
          </cell>
          <cell r="B43">
            <v>2</v>
          </cell>
          <cell r="C43">
            <v>13.363</v>
          </cell>
          <cell r="D43">
            <v>31.4</v>
          </cell>
          <cell r="E43">
            <v>30.9</v>
          </cell>
          <cell r="F43">
            <v>31.2</v>
          </cell>
          <cell r="G43">
            <v>32.6</v>
          </cell>
          <cell r="H43">
            <v>31.5</v>
          </cell>
          <cell r="I43">
            <v>31.8</v>
          </cell>
          <cell r="J43">
            <v>31.6</v>
          </cell>
          <cell r="K43">
            <v>31.1</v>
          </cell>
          <cell r="L43">
            <v>33.1</v>
          </cell>
          <cell r="M43">
            <v>31</v>
          </cell>
          <cell r="N43">
            <v>32.700000000000003</v>
          </cell>
          <cell r="O43">
            <v>31.3</v>
          </cell>
        </row>
        <row r="44">
          <cell r="A44">
            <v>208</v>
          </cell>
          <cell r="B44">
            <v>1</v>
          </cell>
          <cell r="C44">
            <v>13.375</v>
          </cell>
          <cell r="D44">
            <v>50.8</v>
          </cell>
          <cell r="E44">
            <v>53.8</v>
          </cell>
          <cell r="F44">
            <v>47.6</v>
          </cell>
          <cell r="G44">
            <v>50.2</v>
          </cell>
          <cell r="H44">
            <v>48.2</v>
          </cell>
          <cell r="I44">
            <v>54.3</v>
          </cell>
          <cell r="J44">
            <v>52.8</v>
          </cell>
          <cell r="K44">
            <v>53.7</v>
          </cell>
          <cell r="L44">
            <v>51.2</v>
          </cell>
          <cell r="M44">
            <v>52.8</v>
          </cell>
          <cell r="N44">
            <v>51.9</v>
          </cell>
          <cell r="O44">
            <v>43.3</v>
          </cell>
        </row>
        <row r="45">
          <cell r="A45">
            <v>208</v>
          </cell>
          <cell r="B45">
            <v>2</v>
          </cell>
          <cell r="C45">
            <v>13.379</v>
          </cell>
          <cell r="D45">
            <v>34.299999999999997</v>
          </cell>
          <cell r="E45">
            <v>33.299999999999997</v>
          </cell>
          <cell r="F45">
            <v>32.6</v>
          </cell>
          <cell r="G45">
            <v>32.1</v>
          </cell>
          <cell r="H45">
            <v>34.299999999999997</v>
          </cell>
          <cell r="I45">
            <v>32.799999999999997</v>
          </cell>
          <cell r="J45">
            <v>33.700000000000003</v>
          </cell>
          <cell r="K45">
            <v>32.6</v>
          </cell>
          <cell r="L45">
            <v>33.700000000000003</v>
          </cell>
          <cell r="M45">
            <v>33.4</v>
          </cell>
          <cell r="N45">
            <v>34.799999999999997</v>
          </cell>
          <cell r="O45">
            <v>32.200000000000003</v>
          </cell>
        </row>
        <row r="46">
          <cell r="A46">
            <v>908</v>
          </cell>
          <cell r="B46">
            <v>1</v>
          </cell>
          <cell r="C46">
            <v>13.391999999999999</v>
          </cell>
          <cell r="D46">
            <v>53.7</v>
          </cell>
          <cell r="E46">
            <v>42.8</v>
          </cell>
          <cell r="F46">
            <v>45.4</v>
          </cell>
          <cell r="G46">
            <v>45.5</v>
          </cell>
          <cell r="H46">
            <v>49.2</v>
          </cell>
          <cell r="I46">
            <v>48.3</v>
          </cell>
          <cell r="J46">
            <v>41.3</v>
          </cell>
          <cell r="K46">
            <v>52.2</v>
          </cell>
          <cell r="L46">
            <v>40.299999999999997</v>
          </cell>
          <cell r="M46">
            <v>47.7</v>
          </cell>
          <cell r="N46">
            <v>44.8</v>
          </cell>
          <cell r="O46">
            <v>37.200000000000003</v>
          </cell>
        </row>
        <row r="47">
          <cell r="A47">
            <v>908</v>
          </cell>
          <cell r="B47">
            <v>2</v>
          </cell>
          <cell r="C47">
            <v>13.397</v>
          </cell>
          <cell r="D47">
            <v>31.2</v>
          </cell>
          <cell r="E47">
            <v>32</v>
          </cell>
          <cell r="F47">
            <v>32.799999999999997</v>
          </cell>
          <cell r="G47">
            <v>31</v>
          </cell>
          <cell r="H47">
            <v>30.4</v>
          </cell>
          <cell r="I47">
            <v>31.8</v>
          </cell>
          <cell r="J47">
            <v>32.1</v>
          </cell>
          <cell r="K47">
            <v>32.299999999999997</v>
          </cell>
          <cell r="L47">
            <v>32.700000000000003</v>
          </cell>
          <cell r="M47">
            <v>32.799999999999997</v>
          </cell>
          <cell r="N47">
            <v>33.1</v>
          </cell>
          <cell r="O47">
            <v>31.6</v>
          </cell>
        </row>
        <row r="48">
          <cell r="A48">
            <v>907</v>
          </cell>
          <cell r="B48">
            <v>1</v>
          </cell>
          <cell r="C48">
            <v>13.409000000000001</v>
          </cell>
          <cell r="D48">
            <v>58</v>
          </cell>
          <cell r="E48">
            <v>57.6</v>
          </cell>
          <cell r="F48">
            <v>57.9</v>
          </cell>
          <cell r="G48">
            <v>58.1</v>
          </cell>
          <cell r="H48">
            <v>58.1</v>
          </cell>
          <cell r="I48">
            <v>58.3</v>
          </cell>
          <cell r="J48">
            <v>58.1</v>
          </cell>
          <cell r="K48">
            <v>57.3</v>
          </cell>
          <cell r="L48">
            <v>57</v>
          </cell>
          <cell r="M48">
            <v>58.3</v>
          </cell>
          <cell r="N48">
            <v>58</v>
          </cell>
          <cell r="O48">
            <v>57.8</v>
          </cell>
        </row>
        <row r="50">
          <cell r="A50">
            <v>906</v>
          </cell>
          <cell r="B50">
            <v>1</v>
          </cell>
          <cell r="C50">
            <v>13.417</v>
          </cell>
          <cell r="D50">
            <v>54.9</v>
          </cell>
          <cell r="E50">
            <v>47</v>
          </cell>
          <cell r="F50">
            <v>41.5</v>
          </cell>
          <cell r="G50">
            <v>51.1</v>
          </cell>
          <cell r="H50">
            <v>48</v>
          </cell>
          <cell r="I50">
            <v>51.4</v>
          </cell>
          <cell r="J50">
            <v>46.3</v>
          </cell>
          <cell r="K50">
            <v>51.2</v>
          </cell>
          <cell r="L50">
            <v>53.6</v>
          </cell>
          <cell r="M50">
            <v>46.2</v>
          </cell>
          <cell r="N50">
            <v>53.6</v>
          </cell>
          <cell r="O50">
            <v>34.9</v>
          </cell>
        </row>
        <row r="51">
          <cell r="A51">
            <v>906</v>
          </cell>
          <cell r="B51">
            <v>2</v>
          </cell>
          <cell r="C51">
            <v>13.420999999999999</v>
          </cell>
          <cell r="D51">
            <v>29.9</v>
          </cell>
          <cell r="E51">
            <v>32</v>
          </cell>
          <cell r="F51">
            <v>33.799999999999997</v>
          </cell>
          <cell r="G51">
            <v>31.9</v>
          </cell>
          <cell r="H51">
            <v>30.8</v>
          </cell>
          <cell r="I51">
            <v>31.3</v>
          </cell>
          <cell r="J51">
            <v>31.2</v>
          </cell>
          <cell r="K51">
            <v>31.6</v>
          </cell>
          <cell r="L51">
            <v>31.4</v>
          </cell>
          <cell r="M51">
            <v>32.700000000000003</v>
          </cell>
          <cell r="N51">
            <v>31.4</v>
          </cell>
          <cell r="O51">
            <v>32.200000000000003</v>
          </cell>
        </row>
        <row r="52">
          <cell r="A52">
            <v>905</v>
          </cell>
          <cell r="B52">
            <v>1</v>
          </cell>
          <cell r="C52">
            <v>13.433</v>
          </cell>
          <cell r="D52">
            <v>46.8</v>
          </cell>
          <cell r="E52">
            <v>46.8</v>
          </cell>
          <cell r="F52">
            <v>48.2</v>
          </cell>
          <cell r="G52">
            <v>48.2</v>
          </cell>
          <cell r="H52">
            <v>48.9</v>
          </cell>
          <cell r="I52">
            <v>48.6</v>
          </cell>
          <cell r="J52">
            <v>49.9</v>
          </cell>
          <cell r="K52">
            <v>48.8</v>
          </cell>
          <cell r="L52">
            <v>49.2</v>
          </cell>
          <cell r="M52">
            <v>49.1</v>
          </cell>
          <cell r="N52">
            <v>48.7</v>
          </cell>
          <cell r="O52">
            <v>48.8</v>
          </cell>
        </row>
        <row r="54">
          <cell r="A54">
            <v>904</v>
          </cell>
          <cell r="B54">
            <v>1</v>
          </cell>
          <cell r="C54">
            <v>13.442</v>
          </cell>
          <cell r="D54">
            <v>56.7</v>
          </cell>
          <cell r="E54">
            <v>45.9</v>
          </cell>
          <cell r="F54">
            <v>46.2</v>
          </cell>
          <cell r="G54">
            <v>52.9</v>
          </cell>
          <cell r="H54">
            <v>35.299999999999997</v>
          </cell>
          <cell r="I54">
            <v>53.9</v>
          </cell>
          <cell r="J54">
            <v>41</v>
          </cell>
          <cell r="K54">
            <v>57.7</v>
          </cell>
          <cell r="L54">
            <v>40.200000000000003</v>
          </cell>
          <cell r="M54">
            <v>48.8</v>
          </cell>
          <cell r="N54">
            <v>48.2</v>
          </cell>
          <cell r="O54">
            <v>53</v>
          </cell>
        </row>
        <row r="55">
          <cell r="A55">
            <v>904</v>
          </cell>
          <cell r="B55">
            <v>2</v>
          </cell>
          <cell r="C55">
            <v>13.446</v>
          </cell>
          <cell r="D55">
            <v>32.6</v>
          </cell>
          <cell r="E55">
            <v>31.1</v>
          </cell>
          <cell r="F55">
            <v>31.7</v>
          </cell>
          <cell r="G55">
            <v>30.6</v>
          </cell>
          <cell r="H55">
            <v>32.6</v>
          </cell>
          <cell r="I55">
            <v>31.3</v>
          </cell>
          <cell r="J55">
            <v>33.1</v>
          </cell>
          <cell r="K55">
            <v>31.3</v>
          </cell>
          <cell r="L55">
            <v>32.700000000000003</v>
          </cell>
          <cell r="M55">
            <v>31.6</v>
          </cell>
          <cell r="N55">
            <v>31.1</v>
          </cell>
          <cell r="O55">
            <v>30.9</v>
          </cell>
        </row>
        <row r="56">
          <cell r="A56">
            <v>903</v>
          </cell>
          <cell r="B56">
            <v>1</v>
          </cell>
          <cell r="C56">
            <v>13.458</v>
          </cell>
          <cell r="D56">
            <v>57.7</v>
          </cell>
          <cell r="E56">
            <v>58.2</v>
          </cell>
          <cell r="F56">
            <v>57.9</v>
          </cell>
          <cell r="G56">
            <v>57.9</v>
          </cell>
          <cell r="H56">
            <v>58</v>
          </cell>
          <cell r="I56">
            <v>58.4</v>
          </cell>
          <cell r="J56">
            <v>58.4</v>
          </cell>
          <cell r="K56">
            <v>57.9</v>
          </cell>
          <cell r="L56">
            <v>58.4</v>
          </cell>
          <cell r="M56">
            <v>58.4</v>
          </cell>
          <cell r="N56">
            <v>58.2</v>
          </cell>
          <cell r="O56">
            <v>58.5</v>
          </cell>
        </row>
        <row r="58">
          <cell r="A58">
            <v>902</v>
          </cell>
          <cell r="B58">
            <v>1</v>
          </cell>
          <cell r="C58">
            <v>13.465999999999999</v>
          </cell>
          <cell r="D58">
            <v>53.4</v>
          </cell>
          <cell r="E58">
            <v>49.3</v>
          </cell>
          <cell r="F58">
            <v>46.2</v>
          </cell>
          <cell r="G58">
            <v>49.9</v>
          </cell>
          <cell r="H58">
            <v>47.5</v>
          </cell>
          <cell r="I58">
            <v>49.7</v>
          </cell>
          <cell r="J58">
            <v>49.1</v>
          </cell>
          <cell r="K58">
            <v>44.9</v>
          </cell>
          <cell r="L58">
            <v>47.1</v>
          </cell>
          <cell r="M58">
            <v>47.4</v>
          </cell>
          <cell r="N58">
            <v>51.5</v>
          </cell>
          <cell r="O58">
            <v>44.6</v>
          </cell>
        </row>
        <row r="59">
          <cell r="A59">
            <v>902</v>
          </cell>
          <cell r="B59">
            <v>2</v>
          </cell>
          <cell r="C59">
            <v>13.471</v>
          </cell>
          <cell r="D59">
            <v>32.9</v>
          </cell>
          <cell r="E59">
            <v>32.6</v>
          </cell>
          <cell r="F59">
            <v>32.4</v>
          </cell>
          <cell r="G59">
            <v>33.200000000000003</v>
          </cell>
          <cell r="H59">
            <v>31.9</v>
          </cell>
          <cell r="I59">
            <v>32.200000000000003</v>
          </cell>
          <cell r="J59">
            <v>33</v>
          </cell>
          <cell r="K59">
            <v>32.9</v>
          </cell>
          <cell r="L59">
            <v>31.9</v>
          </cell>
          <cell r="M59">
            <v>31.2</v>
          </cell>
          <cell r="N59">
            <v>33.5</v>
          </cell>
          <cell r="O59">
            <v>31.2</v>
          </cell>
        </row>
        <row r="60">
          <cell r="A60">
            <v>901</v>
          </cell>
          <cell r="B60">
            <v>1</v>
          </cell>
          <cell r="C60">
            <v>13.488</v>
          </cell>
          <cell r="D60">
            <v>49.3</v>
          </cell>
          <cell r="E60">
            <v>49.2</v>
          </cell>
          <cell r="F60">
            <v>49.2</v>
          </cell>
          <cell r="G60">
            <v>48.9</v>
          </cell>
          <cell r="H60">
            <v>49.4</v>
          </cell>
          <cell r="I60">
            <v>49.5</v>
          </cell>
          <cell r="J60">
            <v>49.9</v>
          </cell>
          <cell r="K60">
            <v>48.7</v>
          </cell>
          <cell r="L60">
            <v>47.6</v>
          </cell>
          <cell r="M60">
            <v>47.8</v>
          </cell>
          <cell r="N60">
            <v>49.4</v>
          </cell>
          <cell r="O60">
            <v>49.2</v>
          </cell>
        </row>
        <row r="62">
          <cell r="A62">
            <v>301</v>
          </cell>
          <cell r="B62">
            <v>1</v>
          </cell>
          <cell r="C62">
            <v>13.499000000000001</v>
          </cell>
          <cell r="D62">
            <v>48.8</v>
          </cell>
          <cell r="E62">
            <v>45.7</v>
          </cell>
          <cell r="F62">
            <v>48.7</v>
          </cell>
          <cell r="G62">
            <v>41.7</v>
          </cell>
          <cell r="H62">
            <v>50.3</v>
          </cell>
          <cell r="I62">
            <v>34.5</v>
          </cell>
          <cell r="J62">
            <v>49.9</v>
          </cell>
          <cell r="K62">
            <v>40.5</v>
          </cell>
          <cell r="L62">
            <v>43.1</v>
          </cell>
          <cell r="M62">
            <v>41.7</v>
          </cell>
          <cell r="N62">
            <v>48.7</v>
          </cell>
          <cell r="O62">
            <v>35.799999999999997</v>
          </cell>
        </row>
        <row r="63">
          <cell r="A63">
            <v>301</v>
          </cell>
          <cell r="B63">
            <v>2</v>
          </cell>
          <cell r="C63">
            <v>13.503</v>
          </cell>
          <cell r="D63">
            <v>32.1</v>
          </cell>
          <cell r="E63">
            <v>30.6</v>
          </cell>
          <cell r="F63">
            <v>31.1</v>
          </cell>
          <cell r="G63">
            <v>31.1</v>
          </cell>
          <cell r="H63">
            <v>33.700000000000003</v>
          </cell>
          <cell r="I63">
            <v>31.1</v>
          </cell>
          <cell r="J63">
            <v>32.299999999999997</v>
          </cell>
          <cell r="K63">
            <v>30.9</v>
          </cell>
          <cell r="L63">
            <v>33.700000000000003</v>
          </cell>
          <cell r="M63">
            <v>30.4</v>
          </cell>
          <cell r="N63">
            <v>31.2</v>
          </cell>
          <cell r="O63">
            <v>31</v>
          </cell>
        </row>
        <row r="64">
          <cell r="A64">
            <v>302</v>
          </cell>
          <cell r="B64">
            <v>1</v>
          </cell>
          <cell r="C64">
            <v>13.516</v>
          </cell>
          <cell r="D64">
            <v>51.4</v>
          </cell>
          <cell r="E64">
            <v>50.5</v>
          </cell>
          <cell r="F64">
            <v>45.6</v>
          </cell>
          <cell r="G64">
            <v>48.7</v>
          </cell>
          <cell r="H64">
            <v>38.4</v>
          </cell>
          <cell r="I64">
            <v>44.8</v>
          </cell>
          <cell r="J64">
            <v>38.799999999999997</v>
          </cell>
          <cell r="K64">
            <v>52.8</v>
          </cell>
          <cell r="L64">
            <v>41.5</v>
          </cell>
          <cell r="M64">
            <v>49.8</v>
          </cell>
          <cell r="N64">
            <v>40.299999999999997</v>
          </cell>
          <cell r="O64">
            <v>45.6</v>
          </cell>
        </row>
        <row r="65">
          <cell r="A65">
            <v>302</v>
          </cell>
          <cell r="B65">
            <v>2</v>
          </cell>
          <cell r="C65">
            <v>13.52</v>
          </cell>
          <cell r="D65">
            <v>31.9</v>
          </cell>
          <cell r="E65">
            <v>33.200000000000003</v>
          </cell>
          <cell r="F65">
            <v>34.1</v>
          </cell>
          <cell r="G65">
            <v>31.9</v>
          </cell>
          <cell r="H65">
            <v>31.3</v>
          </cell>
          <cell r="I65">
            <v>32.5</v>
          </cell>
          <cell r="J65">
            <v>31.3</v>
          </cell>
          <cell r="K65">
            <v>32.5</v>
          </cell>
          <cell r="L65">
            <v>33.9</v>
          </cell>
          <cell r="M65">
            <v>32.200000000000003</v>
          </cell>
          <cell r="N65">
            <v>32.700000000000003</v>
          </cell>
          <cell r="O65">
            <v>30.9</v>
          </cell>
        </row>
        <row r="66">
          <cell r="A66">
            <v>303</v>
          </cell>
          <cell r="B66">
            <v>1</v>
          </cell>
          <cell r="C66">
            <v>13.531000000000001</v>
          </cell>
          <cell r="D66">
            <v>48.2</v>
          </cell>
          <cell r="E66">
            <v>43.9</v>
          </cell>
          <cell r="F66">
            <v>43.6</v>
          </cell>
          <cell r="G66">
            <v>47.5</v>
          </cell>
          <cell r="H66">
            <v>44.1</v>
          </cell>
          <cell r="I66">
            <v>47.1</v>
          </cell>
          <cell r="J66">
            <v>44.2</v>
          </cell>
          <cell r="K66">
            <v>48.1</v>
          </cell>
          <cell r="L66">
            <v>41.5</v>
          </cell>
          <cell r="M66">
            <v>48.5</v>
          </cell>
          <cell r="N66">
            <v>41.1</v>
          </cell>
          <cell r="O66">
            <v>46.8</v>
          </cell>
        </row>
        <row r="67">
          <cell r="A67">
            <v>303</v>
          </cell>
          <cell r="B67">
            <v>2</v>
          </cell>
          <cell r="C67">
            <v>13.536</v>
          </cell>
          <cell r="D67">
            <v>30.3</v>
          </cell>
          <cell r="E67">
            <v>32.700000000000003</v>
          </cell>
          <cell r="F67">
            <v>35.299999999999997</v>
          </cell>
          <cell r="G67">
            <v>30.7</v>
          </cell>
          <cell r="H67">
            <v>31</v>
          </cell>
          <cell r="I67">
            <v>30.5</v>
          </cell>
          <cell r="J67">
            <v>32.1</v>
          </cell>
          <cell r="K67">
            <v>32</v>
          </cell>
          <cell r="L67">
            <v>32.200000000000003</v>
          </cell>
          <cell r="M67">
            <v>30.6</v>
          </cell>
          <cell r="N67">
            <v>33</v>
          </cell>
          <cell r="O67">
            <v>30.9</v>
          </cell>
        </row>
        <row r="68">
          <cell r="A68">
            <v>304</v>
          </cell>
          <cell r="B68">
            <v>1</v>
          </cell>
          <cell r="C68">
            <v>13.548</v>
          </cell>
          <cell r="D68">
            <v>53.2</v>
          </cell>
          <cell r="E68">
            <v>53.4</v>
          </cell>
          <cell r="F68">
            <v>41.5</v>
          </cell>
          <cell r="G68">
            <v>47.6</v>
          </cell>
          <cell r="H68">
            <v>48.1</v>
          </cell>
          <cell r="I68">
            <v>54.5</v>
          </cell>
          <cell r="J68">
            <v>48.2</v>
          </cell>
          <cell r="K68">
            <v>50.9</v>
          </cell>
          <cell r="L68">
            <v>39.9</v>
          </cell>
          <cell r="M68">
            <v>50.5</v>
          </cell>
          <cell r="N68">
            <v>45.5</v>
          </cell>
          <cell r="O68">
            <v>51.8</v>
          </cell>
        </row>
        <row r="69">
          <cell r="A69">
            <v>304</v>
          </cell>
          <cell r="B69">
            <v>2</v>
          </cell>
          <cell r="C69">
            <v>13.552</v>
          </cell>
          <cell r="D69">
            <v>34.6</v>
          </cell>
          <cell r="E69">
            <v>31.5</v>
          </cell>
          <cell r="F69">
            <v>33.9</v>
          </cell>
          <cell r="G69">
            <v>31.2</v>
          </cell>
          <cell r="H69">
            <v>36.200000000000003</v>
          </cell>
          <cell r="I69">
            <v>30.8</v>
          </cell>
          <cell r="J69">
            <v>33.5</v>
          </cell>
          <cell r="K69">
            <v>32.1</v>
          </cell>
          <cell r="L69">
            <v>36.200000000000003</v>
          </cell>
          <cell r="M69">
            <v>31.4</v>
          </cell>
          <cell r="N69">
            <v>34.1</v>
          </cell>
          <cell r="O69">
            <v>35</v>
          </cell>
        </row>
        <row r="70">
          <cell r="A70">
            <v>305</v>
          </cell>
          <cell r="B70">
            <v>1</v>
          </cell>
          <cell r="C70">
            <v>13.564</v>
          </cell>
          <cell r="D70">
            <v>39.4</v>
          </cell>
          <cell r="E70">
            <v>38</v>
          </cell>
          <cell r="F70">
            <v>36.799999999999997</v>
          </cell>
          <cell r="G70">
            <v>35.9</v>
          </cell>
          <cell r="H70">
            <v>42.2</v>
          </cell>
          <cell r="I70">
            <v>32.200000000000003</v>
          </cell>
          <cell r="J70">
            <v>42.6</v>
          </cell>
          <cell r="K70">
            <v>31.5</v>
          </cell>
          <cell r="L70">
            <v>38.299999999999997</v>
          </cell>
          <cell r="M70">
            <v>31</v>
          </cell>
          <cell r="N70">
            <v>38.6</v>
          </cell>
          <cell r="O70">
            <v>30.9</v>
          </cell>
        </row>
        <row r="71">
          <cell r="A71">
            <v>305</v>
          </cell>
          <cell r="B71">
            <v>2</v>
          </cell>
          <cell r="C71">
            <v>13.569000000000001</v>
          </cell>
          <cell r="D71">
            <v>29.6</v>
          </cell>
          <cell r="E71">
            <v>31.5</v>
          </cell>
          <cell r="F71">
            <v>30</v>
          </cell>
          <cell r="G71">
            <v>29</v>
          </cell>
          <cell r="H71">
            <v>30.3</v>
          </cell>
          <cell r="I71">
            <v>29.9</v>
          </cell>
          <cell r="J71">
            <v>30.2</v>
          </cell>
          <cell r="K71">
            <v>30.4</v>
          </cell>
          <cell r="L71">
            <v>29.4</v>
          </cell>
          <cell r="M71">
            <v>30.2</v>
          </cell>
          <cell r="N71">
            <v>30.4</v>
          </cell>
          <cell r="O71">
            <v>29.7</v>
          </cell>
        </row>
        <row r="72">
          <cell r="A72">
            <v>306</v>
          </cell>
          <cell r="B72">
            <v>1</v>
          </cell>
          <cell r="C72">
            <v>13.58</v>
          </cell>
          <cell r="D72">
            <v>51.9</v>
          </cell>
          <cell r="E72">
            <v>42.5</v>
          </cell>
          <cell r="F72">
            <v>49</v>
          </cell>
          <cell r="G72">
            <v>41.2</v>
          </cell>
          <cell r="H72">
            <v>47.9</v>
          </cell>
          <cell r="I72">
            <v>50.8</v>
          </cell>
          <cell r="J72">
            <v>36</v>
          </cell>
          <cell r="K72">
            <v>49.3</v>
          </cell>
          <cell r="L72">
            <v>40.700000000000003</v>
          </cell>
          <cell r="M72">
            <v>46.1</v>
          </cell>
          <cell r="N72">
            <v>45.3</v>
          </cell>
          <cell r="O72">
            <v>49.2</v>
          </cell>
        </row>
        <row r="73">
          <cell r="A73">
            <v>306</v>
          </cell>
          <cell r="B73">
            <v>2</v>
          </cell>
          <cell r="C73">
            <v>13.584</v>
          </cell>
          <cell r="D73">
            <v>33.799999999999997</v>
          </cell>
          <cell r="E73">
            <v>31.5</v>
          </cell>
          <cell r="F73">
            <v>32.700000000000003</v>
          </cell>
          <cell r="G73">
            <v>32</v>
          </cell>
          <cell r="H73">
            <v>33.1</v>
          </cell>
          <cell r="I73">
            <v>31.7</v>
          </cell>
          <cell r="J73">
            <v>31.7</v>
          </cell>
          <cell r="K73">
            <v>33.6</v>
          </cell>
          <cell r="L73">
            <v>32.200000000000003</v>
          </cell>
          <cell r="M73">
            <v>31.7</v>
          </cell>
          <cell r="N73">
            <v>32.700000000000003</v>
          </cell>
          <cell r="O73">
            <v>32.4</v>
          </cell>
        </row>
        <row r="74">
          <cell r="A74">
            <v>307</v>
          </cell>
          <cell r="B74">
            <v>1</v>
          </cell>
          <cell r="C74">
            <v>13.596</v>
          </cell>
          <cell r="D74">
            <v>53.3</v>
          </cell>
          <cell r="E74">
            <v>41.5</v>
          </cell>
          <cell r="F74">
            <v>45.8</v>
          </cell>
          <cell r="G74">
            <v>41.1</v>
          </cell>
          <cell r="H74">
            <v>48.9</v>
          </cell>
          <cell r="I74">
            <v>40.9</v>
          </cell>
          <cell r="J74">
            <v>45</v>
          </cell>
          <cell r="K74">
            <v>41</v>
          </cell>
          <cell r="L74">
            <v>48.5</v>
          </cell>
          <cell r="M74">
            <v>46.8</v>
          </cell>
          <cell r="N74">
            <v>49.5</v>
          </cell>
          <cell r="O74">
            <v>37.4</v>
          </cell>
        </row>
        <row r="75">
          <cell r="A75">
            <v>307</v>
          </cell>
          <cell r="B75">
            <v>2</v>
          </cell>
          <cell r="C75">
            <v>13.601000000000001</v>
          </cell>
          <cell r="D75">
            <v>32.9</v>
          </cell>
          <cell r="E75">
            <v>33.5</v>
          </cell>
          <cell r="F75">
            <v>31.9</v>
          </cell>
          <cell r="G75">
            <v>32.200000000000003</v>
          </cell>
          <cell r="H75">
            <v>31.5</v>
          </cell>
          <cell r="I75">
            <v>31.7</v>
          </cell>
          <cell r="J75">
            <v>32.5</v>
          </cell>
          <cell r="K75">
            <v>34.799999999999997</v>
          </cell>
          <cell r="L75">
            <v>30.1</v>
          </cell>
          <cell r="M75">
            <v>32.1</v>
          </cell>
          <cell r="N75">
            <v>31.3</v>
          </cell>
          <cell r="O75">
            <v>32.1</v>
          </cell>
        </row>
        <row r="76">
          <cell r="A76">
            <v>308</v>
          </cell>
          <cell r="B76">
            <v>1</v>
          </cell>
          <cell r="C76">
            <v>13.613</v>
          </cell>
          <cell r="D76">
            <v>49.4</v>
          </cell>
          <cell r="E76">
            <v>43.2</v>
          </cell>
          <cell r="F76">
            <v>41.1</v>
          </cell>
          <cell r="G76">
            <v>46.2</v>
          </cell>
          <cell r="H76">
            <v>48.1</v>
          </cell>
          <cell r="I76">
            <v>47.4</v>
          </cell>
          <cell r="J76">
            <v>44.7</v>
          </cell>
          <cell r="K76">
            <v>45.9</v>
          </cell>
          <cell r="L76">
            <v>51.4</v>
          </cell>
          <cell r="M76">
            <v>40.700000000000003</v>
          </cell>
          <cell r="N76">
            <v>51</v>
          </cell>
          <cell r="O76">
            <v>41.1</v>
          </cell>
        </row>
        <row r="77">
          <cell r="A77">
            <v>308</v>
          </cell>
          <cell r="B77">
            <v>2</v>
          </cell>
          <cell r="C77">
            <v>13.617000000000001</v>
          </cell>
          <cell r="D77">
            <v>34</v>
          </cell>
          <cell r="E77">
            <v>34.200000000000003</v>
          </cell>
          <cell r="F77">
            <v>34.1</v>
          </cell>
          <cell r="G77">
            <v>35.5</v>
          </cell>
          <cell r="H77">
            <v>34.1</v>
          </cell>
          <cell r="I77">
            <v>34.9</v>
          </cell>
          <cell r="J77">
            <v>37.6</v>
          </cell>
          <cell r="K77">
            <v>35.700000000000003</v>
          </cell>
          <cell r="L77">
            <v>36.200000000000003</v>
          </cell>
          <cell r="M77">
            <v>36.9</v>
          </cell>
          <cell r="N77">
            <v>35.700000000000003</v>
          </cell>
          <cell r="O77">
            <v>34.5</v>
          </cell>
        </row>
        <row r="78">
          <cell r="A78">
            <v>408</v>
          </cell>
          <cell r="B78">
            <v>1</v>
          </cell>
          <cell r="C78">
            <v>13.632999999999999</v>
          </cell>
          <cell r="D78">
            <v>50.8</v>
          </cell>
          <cell r="E78">
            <v>37.6</v>
          </cell>
          <cell r="F78">
            <v>49.4</v>
          </cell>
          <cell r="G78">
            <v>38.700000000000003</v>
          </cell>
          <cell r="H78">
            <v>48.8</v>
          </cell>
          <cell r="I78">
            <v>35.799999999999997</v>
          </cell>
          <cell r="J78">
            <v>48</v>
          </cell>
          <cell r="K78">
            <v>50.3</v>
          </cell>
          <cell r="L78">
            <v>37</v>
          </cell>
          <cell r="M78">
            <v>52</v>
          </cell>
          <cell r="N78">
            <v>36.799999999999997</v>
          </cell>
          <cell r="O78">
            <v>45.2</v>
          </cell>
        </row>
        <row r="79">
          <cell r="A79">
            <v>408</v>
          </cell>
          <cell r="B79">
            <v>2</v>
          </cell>
          <cell r="C79">
            <v>13.638</v>
          </cell>
          <cell r="D79">
            <v>30.1</v>
          </cell>
          <cell r="E79">
            <v>31.6</v>
          </cell>
          <cell r="F79">
            <v>33.700000000000003</v>
          </cell>
          <cell r="G79">
            <v>32.1</v>
          </cell>
          <cell r="H79">
            <v>33.9</v>
          </cell>
          <cell r="I79">
            <v>31.1</v>
          </cell>
          <cell r="J79">
            <v>32.200000000000003</v>
          </cell>
          <cell r="K79">
            <v>32</v>
          </cell>
          <cell r="L79">
            <v>33.6</v>
          </cell>
          <cell r="M79">
            <v>32.6</v>
          </cell>
          <cell r="N79">
            <v>33.1</v>
          </cell>
          <cell r="O79">
            <v>34.700000000000003</v>
          </cell>
        </row>
        <row r="80">
          <cell r="A80">
            <v>407</v>
          </cell>
          <cell r="B80">
            <v>1</v>
          </cell>
          <cell r="C80">
            <v>13.651999999999999</v>
          </cell>
          <cell r="D80">
            <v>33.200000000000003</v>
          </cell>
          <cell r="E80">
            <v>39.799999999999997</v>
          </cell>
          <cell r="F80">
            <v>37.5</v>
          </cell>
          <cell r="G80">
            <v>36.9</v>
          </cell>
          <cell r="H80">
            <v>35.5</v>
          </cell>
          <cell r="I80">
            <v>37.299999999999997</v>
          </cell>
          <cell r="J80">
            <v>36.4</v>
          </cell>
          <cell r="K80">
            <v>36.799999999999997</v>
          </cell>
          <cell r="L80">
            <v>32.9</v>
          </cell>
          <cell r="M80">
            <v>41.1</v>
          </cell>
          <cell r="N80">
            <v>33.1</v>
          </cell>
          <cell r="O80">
            <v>34.299999999999997</v>
          </cell>
        </row>
        <row r="81">
          <cell r="A81">
            <v>407</v>
          </cell>
          <cell r="B81">
            <v>2</v>
          </cell>
          <cell r="C81">
            <v>13.657</v>
          </cell>
          <cell r="D81">
            <v>29.3</v>
          </cell>
          <cell r="E81">
            <v>31.1</v>
          </cell>
          <cell r="F81">
            <v>33.5</v>
          </cell>
          <cell r="G81">
            <v>30.1</v>
          </cell>
          <cell r="H81">
            <v>29.7</v>
          </cell>
          <cell r="I81">
            <v>32.5</v>
          </cell>
          <cell r="J81">
            <v>29.9</v>
          </cell>
          <cell r="K81">
            <v>32.9</v>
          </cell>
          <cell r="L81">
            <v>30.1</v>
          </cell>
          <cell r="M81">
            <v>32.6</v>
          </cell>
          <cell r="N81">
            <v>37.200000000000003</v>
          </cell>
          <cell r="O81">
            <v>36.200000000000003</v>
          </cell>
        </row>
        <row r="82">
          <cell r="A82">
            <v>406</v>
          </cell>
          <cell r="B82">
            <v>1</v>
          </cell>
          <cell r="C82">
            <v>13.669</v>
          </cell>
          <cell r="D82">
            <v>54</v>
          </cell>
          <cell r="E82">
            <v>47.3</v>
          </cell>
          <cell r="F82">
            <v>47.3</v>
          </cell>
          <cell r="G82">
            <v>42.6</v>
          </cell>
          <cell r="H82">
            <v>47.2</v>
          </cell>
          <cell r="I82">
            <v>44.8</v>
          </cell>
          <cell r="J82">
            <v>48</v>
          </cell>
          <cell r="K82">
            <v>49.6</v>
          </cell>
          <cell r="L82">
            <v>47.7</v>
          </cell>
          <cell r="M82">
            <v>38.4</v>
          </cell>
          <cell r="N82">
            <v>50.4</v>
          </cell>
          <cell r="O82">
            <v>46.3</v>
          </cell>
        </row>
        <row r="83">
          <cell r="A83">
            <v>406</v>
          </cell>
          <cell r="B83">
            <v>2</v>
          </cell>
          <cell r="C83">
            <v>13.673</v>
          </cell>
          <cell r="D83">
            <v>35.5</v>
          </cell>
          <cell r="E83">
            <v>32.1</v>
          </cell>
          <cell r="F83">
            <v>33.6</v>
          </cell>
          <cell r="G83">
            <v>34</v>
          </cell>
          <cell r="H83">
            <v>32.299999999999997</v>
          </cell>
          <cell r="I83">
            <v>31.8</v>
          </cell>
          <cell r="J83">
            <v>36.799999999999997</v>
          </cell>
          <cell r="K83">
            <v>33.4</v>
          </cell>
          <cell r="L83">
            <v>33.1</v>
          </cell>
          <cell r="M83">
            <v>33</v>
          </cell>
          <cell r="N83">
            <v>33.299999999999997</v>
          </cell>
          <cell r="O83">
            <v>32.299999999999997</v>
          </cell>
        </row>
        <row r="84">
          <cell r="A84">
            <v>405</v>
          </cell>
          <cell r="B84">
            <v>1</v>
          </cell>
          <cell r="C84">
            <v>13.685</v>
          </cell>
          <cell r="D84">
            <v>51.7</v>
          </cell>
          <cell r="E84">
            <v>39.799999999999997</v>
          </cell>
          <cell r="F84">
            <v>34.700000000000003</v>
          </cell>
          <cell r="G84">
            <v>49.4</v>
          </cell>
          <cell r="H84">
            <v>35.5</v>
          </cell>
          <cell r="I84">
            <v>43.8</v>
          </cell>
          <cell r="J84">
            <v>35.299999999999997</v>
          </cell>
          <cell r="K84">
            <v>50.9</v>
          </cell>
          <cell r="L84">
            <v>43.2</v>
          </cell>
          <cell r="M84">
            <v>46</v>
          </cell>
          <cell r="N84">
            <v>36.5</v>
          </cell>
          <cell r="O84">
            <v>42</v>
          </cell>
        </row>
        <row r="85">
          <cell r="A85">
            <v>405</v>
          </cell>
          <cell r="B85">
            <v>2</v>
          </cell>
          <cell r="C85">
            <v>13.69</v>
          </cell>
          <cell r="D85">
            <v>34.9</v>
          </cell>
          <cell r="E85">
            <v>36.1</v>
          </cell>
          <cell r="F85">
            <v>33.5</v>
          </cell>
          <cell r="G85">
            <v>34.700000000000003</v>
          </cell>
          <cell r="H85">
            <v>32.9</v>
          </cell>
          <cell r="I85">
            <v>33.299999999999997</v>
          </cell>
          <cell r="J85">
            <v>34</v>
          </cell>
          <cell r="K85">
            <v>34</v>
          </cell>
          <cell r="L85">
            <v>33.9</v>
          </cell>
          <cell r="M85">
            <v>33.6</v>
          </cell>
          <cell r="N85">
            <v>32.299999999999997</v>
          </cell>
          <cell r="O85">
            <v>33.4</v>
          </cell>
        </row>
        <row r="86">
          <cell r="A86">
            <v>404</v>
          </cell>
          <cell r="B86">
            <v>1</v>
          </cell>
          <cell r="C86">
            <v>13.702</v>
          </cell>
          <cell r="D86">
            <v>53.4</v>
          </cell>
          <cell r="E86">
            <v>39.700000000000003</v>
          </cell>
          <cell r="F86">
            <v>46.1</v>
          </cell>
          <cell r="G86">
            <v>47.4</v>
          </cell>
          <cell r="H86">
            <v>45.1</v>
          </cell>
          <cell r="I86">
            <v>53.4</v>
          </cell>
          <cell r="J86">
            <v>42.9</v>
          </cell>
          <cell r="K86">
            <v>52.7</v>
          </cell>
          <cell r="L86">
            <v>42</v>
          </cell>
          <cell r="M86">
            <v>51.9</v>
          </cell>
          <cell r="N86">
            <v>44.2</v>
          </cell>
          <cell r="O86">
            <v>51.8</v>
          </cell>
        </row>
        <row r="87">
          <cell r="A87">
            <v>404</v>
          </cell>
          <cell r="B87">
            <v>2</v>
          </cell>
          <cell r="C87">
            <v>13.707000000000001</v>
          </cell>
          <cell r="D87">
            <v>33.5</v>
          </cell>
          <cell r="E87">
            <v>34.700000000000003</v>
          </cell>
          <cell r="F87">
            <v>32.299999999999997</v>
          </cell>
          <cell r="G87">
            <v>33.6</v>
          </cell>
          <cell r="H87">
            <v>33.9</v>
          </cell>
          <cell r="I87">
            <v>33.299999999999997</v>
          </cell>
          <cell r="J87">
            <v>35.6</v>
          </cell>
          <cell r="K87">
            <v>32.700000000000003</v>
          </cell>
          <cell r="L87">
            <v>32.200000000000003</v>
          </cell>
          <cell r="M87">
            <v>33</v>
          </cell>
          <cell r="N87">
            <v>34.6</v>
          </cell>
          <cell r="O87">
            <v>33.700000000000003</v>
          </cell>
        </row>
        <row r="88">
          <cell r="A88">
            <v>403</v>
          </cell>
          <cell r="B88">
            <v>1</v>
          </cell>
          <cell r="C88">
            <v>13.718999999999999</v>
          </cell>
          <cell r="D88">
            <v>40.299999999999997</v>
          </cell>
          <cell r="E88">
            <v>35.1</v>
          </cell>
          <cell r="F88">
            <v>49.5</v>
          </cell>
          <cell r="G88">
            <v>37.9</v>
          </cell>
          <cell r="H88">
            <v>46.7</v>
          </cell>
          <cell r="I88">
            <v>41.8</v>
          </cell>
          <cell r="J88">
            <v>39.799999999999997</v>
          </cell>
          <cell r="K88">
            <v>48.3</v>
          </cell>
          <cell r="L88">
            <v>48.9</v>
          </cell>
          <cell r="M88">
            <v>45.9</v>
          </cell>
          <cell r="N88">
            <v>41.2</v>
          </cell>
          <cell r="O88">
            <v>41.2</v>
          </cell>
        </row>
        <row r="89">
          <cell r="A89">
            <v>403</v>
          </cell>
          <cell r="B89">
            <v>2</v>
          </cell>
          <cell r="C89">
            <v>13.724</v>
          </cell>
          <cell r="D89">
            <v>34</v>
          </cell>
          <cell r="E89">
            <v>33.200000000000003</v>
          </cell>
          <cell r="F89">
            <v>32.4</v>
          </cell>
          <cell r="G89">
            <v>32.9</v>
          </cell>
          <cell r="H89">
            <v>36.299999999999997</v>
          </cell>
          <cell r="I89">
            <v>32.1</v>
          </cell>
          <cell r="J89">
            <v>33.6</v>
          </cell>
          <cell r="K89">
            <v>33.200000000000003</v>
          </cell>
          <cell r="L89">
            <v>34.700000000000003</v>
          </cell>
          <cell r="M89">
            <v>33.5</v>
          </cell>
          <cell r="N89">
            <v>33.9</v>
          </cell>
          <cell r="O89">
            <v>33.299999999999997</v>
          </cell>
        </row>
        <row r="90">
          <cell r="A90">
            <v>402</v>
          </cell>
          <cell r="B90">
            <v>1</v>
          </cell>
          <cell r="C90">
            <v>13.734999999999999</v>
          </cell>
          <cell r="D90">
            <v>51.9</v>
          </cell>
          <cell r="E90">
            <v>47.3</v>
          </cell>
          <cell r="F90">
            <v>36</v>
          </cell>
          <cell r="G90">
            <v>51.8</v>
          </cell>
          <cell r="H90">
            <v>41.8</v>
          </cell>
          <cell r="I90">
            <v>46.3</v>
          </cell>
          <cell r="J90">
            <v>44.4</v>
          </cell>
          <cell r="K90">
            <v>45.7</v>
          </cell>
          <cell r="L90">
            <v>44.2</v>
          </cell>
          <cell r="M90">
            <v>48.7</v>
          </cell>
          <cell r="N90">
            <v>44.7</v>
          </cell>
          <cell r="O90">
            <v>42.2</v>
          </cell>
        </row>
        <row r="91">
          <cell r="A91">
            <v>402</v>
          </cell>
          <cell r="B91">
            <v>2</v>
          </cell>
          <cell r="C91">
            <v>13.74</v>
          </cell>
          <cell r="D91">
            <v>30.9</v>
          </cell>
          <cell r="E91">
            <v>32.4</v>
          </cell>
          <cell r="F91">
            <v>31.8</v>
          </cell>
          <cell r="G91">
            <v>31.5</v>
          </cell>
          <cell r="H91">
            <v>32.4</v>
          </cell>
          <cell r="I91">
            <v>32.5</v>
          </cell>
          <cell r="J91">
            <v>30.8</v>
          </cell>
          <cell r="K91">
            <v>32.299999999999997</v>
          </cell>
          <cell r="L91">
            <v>32.1</v>
          </cell>
          <cell r="M91">
            <v>34.9</v>
          </cell>
          <cell r="N91">
            <v>33.700000000000003</v>
          </cell>
          <cell r="O91">
            <v>32.299999999999997</v>
          </cell>
        </row>
        <row r="92">
          <cell r="A92">
            <v>401</v>
          </cell>
          <cell r="B92">
            <v>1</v>
          </cell>
          <cell r="C92">
            <v>13.750999999999999</v>
          </cell>
          <cell r="D92">
            <v>37.1</v>
          </cell>
          <cell r="E92">
            <v>40</v>
          </cell>
          <cell r="F92">
            <v>41.1</v>
          </cell>
          <cell r="G92">
            <v>42.3</v>
          </cell>
          <cell r="H92">
            <v>37.700000000000003</v>
          </cell>
          <cell r="I92">
            <v>38.700000000000003</v>
          </cell>
          <cell r="J92">
            <v>35.5</v>
          </cell>
          <cell r="K92">
            <v>38.799999999999997</v>
          </cell>
          <cell r="L92">
            <v>37.700000000000003</v>
          </cell>
          <cell r="M92">
            <v>35.799999999999997</v>
          </cell>
          <cell r="N92">
            <v>32</v>
          </cell>
          <cell r="O92">
            <v>35.700000000000003</v>
          </cell>
        </row>
        <row r="93">
          <cell r="A93">
            <v>401</v>
          </cell>
          <cell r="B93">
            <v>2</v>
          </cell>
          <cell r="C93">
            <v>13.756</v>
          </cell>
          <cell r="D93">
            <v>33.799999999999997</v>
          </cell>
          <cell r="E93">
            <v>30.6</v>
          </cell>
          <cell r="F93">
            <v>31.4</v>
          </cell>
          <cell r="G93">
            <v>30.6</v>
          </cell>
          <cell r="H93">
            <v>35.200000000000003</v>
          </cell>
          <cell r="I93">
            <v>30.8</v>
          </cell>
          <cell r="J93">
            <v>33</v>
          </cell>
          <cell r="K93">
            <v>31.4</v>
          </cell>
          <cell r="L93">
            <v>31</v>
          </cell>
          <cell r="M93">
            <v>30.3</v>
          </cell>
          <cell r="N93">
            <v>30.9</v>
          </cell>
          <cell r="O93">
            <v>31.8</v>
          </cell>
        </row>
      </sheetData>
      <sheetData sheetId="2">
        <row r="7">
          <cell r="C7">
            <v>170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37.35</v>
          </cell>
        </row>
        <row r="29">
          <cell r="E29">
            <v>5.7817300834060532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'IA171.03R'</v>
          </cell>
        </row>
        <row r="14">
          <cell r="A14">
            <v>108</v>
          </cell>
          <cell r="B14">
            <v>1</v>
          </cell>
          <cell r="C14">
            <v>12.895</v>
          </cell>
          <cell r="D14">
            <v>51</v>
          </cell>
          <cell r="E14">
            <v>35.799999999999997</v>
          </cell>
          <cell r="F14">
            <v>52.1</v>
          </cell>
          <cell r="G14">
            <v>35.700000000000003</v>
          </cell>
          <cell r="H14">
            <v>52.1</v>
          </cell>
          <cell r="I14">
            <v>36.700000000000003</v>
          </cell>
          <cell r="J14">
            <v>52.2</v>
          </cell>
          <cell r="K14">
            <v>33.299999999999997</v>
          </cell>
          <cell r="L14">
            <v>50.2</v>
          </cell>
          <cell r="M14">
            <v>34.6</v>
          </cell>
          <cell r="N14">
            <v>50.9</v>
          </cell>
          <cell r="O14">
            <v>34.299999999999997</v>
          </cell>
        </row>
        <row r="15">
          <cell r="A15">
            <v>108</v>
          </cell>
          <cell r="B15">
            <v>2</v>
          </cell>
          <cell r="C15">
            <v>12.9</v>
          </cell>
          <cell r="D15">
            <v>30.5</v>
          </cell>
          <cell r="E15">
            <v>29.8</v>
          </cell>
          <cell r="F15">
            <v>29.6</v>
          </cell>
          <cell r="G15">
            <v>30.2</v>
          </cell>
          <cell r="H15">
            <v>31.1</v>
          </cell>
          <cell r="I15">
            <v>30.9</v>
          </cell>
          <cell r="J15">
            <v>31.3</v>
          </cell>
          <cell r="K15">
            <v>30.8</v>
          </cell>
          <cell r="L15">
            <v>30.6</v>
          </cell>
          <cell r="M15">
            <v>30.4</v>
          </cell>
          <cell r="N15">
            <v>30.1</v>
          </cell>
          <cell r="O15">
            <v>30.6</v>
          </cell>
        </row>
        <row r="16">
          <cell r="A16">
            <v>107</v>
          </cell>
          <cell r="B16">
            <v>1</v>
          </cell>
          <cell r="C16">
            <v>12.911</v>
          </cell>
          <cell r="D16">
            <v>52.6</v>
          </cell>
          <cell r="E16">
            <v>45.8</v>
          </cell>
          <cell r="F16">
            <v>51.1</v>
          </cell>
          <cell r="G16">
            <v>35.799999999999997</v>
          </cell>
          <cell r="H16">
            <v>46.7</v>
          </cell>
          <cell r="I16">
            <v>38.299999999999997</v>
          </cell>
          <cell r="J16">
            <v>51.6</v>
          </cell>
          <cell r="K16">
            <v>34.4</v>
          </cell>
          <cell r="L16">
            <v>51.4</v>
          </cell>
          <cell r="M16">
            <v>35.799999999999997</v>
          </cell>
          <cell r="N16">
            <v>50.3</v>
          </cell>
          <cell r="O16">
            <v>33.200000000000003</v>
          </cell>
        </row>
        <row r="17">
          <cell r="A17">
            <v>107</v>
          </cell>
          <cell r="B17">
            <v>2</v>
          </cell>
          <cell r="C17">
            <v>12.916</v>
          </cell>
          <cell r="D17">
            <v>29.5</v>
          </cell>
          <cell r="E17">
            <v>29.7</v>
          </cell>
          <cell r="F17">
            <v>28.6</v>
          </cell>
          <cell r="G17">
            <v>28.7</v>
          </cell>
          <cell r="H17">
            <v>30.3</v>
          </cell>
          <cell r="I17">
            <v>28.3</v>
          </cell>
          <cell r="J17">
            <v>28.3</v>
          </cell>
          <cell r="K17">
            <v>29</v>
          </cell>
          <cell r="L17">
            <v>29.4</v>
          </cell>
          <cell r="M17">
            <v>30.5</v>
          </cell>
          <cell r="N17">
            <v>28</v>
          </cell>
          <cell r="O17">
            <v>28.1</v>
          </cell>
        </row>
        <row r="18">
          <cell r="A18">
            <v>106</v>
          </cell>
          <cell r="B18">
            <v>1</v>
          </cell>
          <cell r="C18">
            <v>12.929</v>
          </cell>
          <cell r="D18">
            <v>50.9</v>
          </cell>
          <cell r="E18">
            <v>36.799999999999997</v>
          </cell>
          <cell r="F18">
            <v>48.3</v>
          </cell>
          <cell r="G18">
            <v>35.200000000000003</v>
          </cell>
          <cell r="H18">
            <v>50.8</v>
          </cell>
          <cell r="I18">
            <v>36.700000000000003</v>
          </cell>
          <cell r="J18">
            <v>47.9</v>
          </cell>
          <cell r="K18">
            <v>37.700000000000003</v>
          </cell>
          <cell r="L18">
            <v>47.4</v>
          </cell>
          <cell r="M18">
            <v>37.9</v>
          </cell>
          <cell r="N18">
            <v>49.1</v>
          </cell>
          <cell r="O18">
            <v>39.6</v>
          </cell>
        </row>
        <row r="19">
          <cell r="A19">
            <v>106</v>
          </cell>
          <cell r="B19">
            <v>2</v>
          </cell>
          <cell r="C19">
            <v>12.933</v>
          </cell>
          <cell r="D19">
            <v>28.6</v>
          </cell>
          <cell r="E19">
            <v>29.2</v>
          </cell>
          <cell r="F19">
            <v>28.4</v>
          </cell>
          <cell r="G19">
            <v>29.2</v>
          </cell>
          <cell r="H19">
            <v>29.3</v>
          </cell>
          <cell r="I19">
            <v>28.7</v>
          </cell>
          <cell r="J19">
            <v>29.2</v>
          </cell>
          <cell r="K19">
            <v>28.8</v>
          </cell>
          <cell r="L19">
            <v>28.6</v>
          </cell>
          <cell r="M19">
            <v>30.9</v>
          </cell>
          <cell r="N19">
            <v>29.9</v>
          </cell>
          <cell r="O19">
            <v>28.7</v>
          </cell>
        </row>
        <row r="20">
          <cell r="A20">
            <v>105</v>
          </cell>
          <cell r="B20">
            <v>1</v>
          </cell>
          <cell r="C20">
            <v>12.948</v>
          </cell>
          <cell r="D20">
            <v>38.5</v>
          </cell>
          <cell r="E20">
            <v>31.4</v>
          </cell>
          <cell r="F20">
            <v>40.200000000000003</v>
          </cell>
          <cell r="G20">
            <v>28.8</v>
          </cell>
          <cell r="H20">
            <v>43.6</v>
          </cell>
          <cell r="I20">
            <v>29.9</v>
          </cell>
          <cell r="J20">
            <v>43.8</v>
          </cell>
          <cell r="K20">
            <v>30.6</v>
          </cell>
          <cell r="L20">
            <v>45.8</v>
          </cell>
          <cell r="M20">
            <v>35.299999999999997</v>
          </cell>
          <cell r="N20">
            <v>46.2</v>
          </cell>
          <cell r="O20">
            <v>32.6</v>
          </cell>
        </row>
        <row r="21">
          <cell r="A21">
            <v>105</v>
          </cell>
          <cell r="B21">
            <v>2</v>
          </cell>
          <cell r="C21">
            <v>12.952999999999999</v>
          </cell>
          <cell r="D21">
            <v>27.6</v>
          </cell>
          <cell r="E21">
            <v>26.9</v>
          </cell>
          <cell r="F21">
            <v>28.1</v>
          </cell>
          <cell r="G21">
            <v>28</v>
          </cell>
          <cell r="H21">
            <v>28.2</v>
          </cell>
          <cell r="I21">
            <v>27.4</v>
          </cell>
          <cell r="J21">
            <v>28.1</v>
          </cell>
          <cell r="K21">
            <v>29</v>
          </cell>
          <cell r="L21">
            <v>27.8</v>
          </cell>
          <cell r="M21">
            <v>27.1</v>
          </cell>
          <cell r="N21">
            <v>28.6</v>
          </cell>
          <cell r="O21">
            <v>27.3</v>
          </cell>
        </row>
        <row r="22">
          <cell r="A22">
            <v>104</v>
          </cell>
          <cell r="B22">
            <v>1</v>
          </cell>
          <cell r="C22">
            <v>12.967000000000001</v>
          </cell>
          <cell r="D22">
            <v>52</v>
          </cell>
          <cell r="E22">
            <v>39.4</v>
          </cell>
          <cell r="F22">
            <v>50.7</v>
          </cell>
          <cell r="G22">
            <v>32.299999999999997</v>
          </cell>
          <cell r="H22">
            <v>49.6</v>
          </cell>
          <cell r="I22">
            <v>35.799999999999997</v>
          </cell>
          <cell r="J22">
            <v>51.8</v>
          </cell>
          <cell r="K22">
            <v>34.700000000000003</v>
          </cell>
          <cell r="L22">
            <v>50.2</v>
          </cell>
          <cell r="M22">
            <v>34.200000000000003</v>
          </cell>
          <cell r="N22">
            <v>49.1</v>
          </cell>
          <cell r="O22">
            <v>34.799999999999997</v>
          </cell>
        </row>
        <row r="23">
          <cell r="A23">
            <v>104</v>
          </cell>
          <cell r="B23">
            <v>2</v>
          </cell>
          <cell r="C23">
            <v>12.972</v>
          </cell>
          <cell r="D23">
            <v>28.9</v>
          </cell>
          <cell r="E23">
            <v>28.4</v>
          </cell>
          <cell r="F23">
            <v>28.6</v>
          </cell>
          <cell r="G23">
            <v>30.2</v>
          </cell>
          <cell r="H23">
            <v>27.8</v>
          </cell>
          <cell r="I23">
            <v>28.5</v>
          </cell>
          <cell r="J23">
            <v>30.3</v>
          </cell>
          <cell r="K23">
            <v>29.8</v>
          </cell>
          <cell r="L23">
            <v>30.2</v>
          </cell>
          <cell r="M23">
            <v>29.8</v>
          </cell>
          <cell r="N23">
            <v>29.4</v>
          </cell>
          <cell r="O23">
            <v>29.1</v>
          </cell>
        </row>
        <row r="24">
          <cell r="A24">
            <v>103</v>
          </cell>
          <cell r="B24">
            <v>1</v>
          </cell>
          <cell r="C24">
            <v>12.984999999999999</v>
          </cell>
          <cell r="D24">
            <v>51.5</v>
          </cell>
          <cell r="E24">
            <v>44.1</v>
          </cell>
          <cell r="F24">
            <v>41.4</v>
          </cell>
          <cell r="G24">
            <v>35.299999999999997</v>
          </cell>
          <cell r="H24">
            <v>44.6</v>
          </cell>
          <cell r="I24">
            <v>34.4</v>
          </cell>
          <cell r="J24">
            <v>49.3</v>
          </cell>
          <cell r="K24">
            <v>35.5</v>
          </cell>
          <cell r="L24">
            <v>49.3</v>
          </cell>
          <cell r="M24">
            <v>35.1</v>
          </cell>
          <cell r="N24">
            <v>49.6</v>
          </cell>
          <cell r="O24">
            <v>35.200000000000003</v>
          </cell>
        </row>
        <row r="25">
          <cell r="A25">
            <v>103</v>
          </cell>
          <cell r="B25">
            <v>2</v>
          </cell>
          <cell r="C25">
            <v>12.99</v>
          </cell>
          <cell r="D25">
            <v>31.7</v>
          </cell>
          <cell r="E25">
            <v>30.3</v>
          </cell>
          <cell r="F25">
            <v>30.7</v>
          </cell>
          <cell r="G25">
            <v>30</v>
          </cell>
          <cell r="H25">
            <v>31.9</v>
          </cell>
          <cell r="I25">
            <v>31</v>
          </cell>
          <cell r="J25">
            <v>31.1</v>
          </cell>
          <cell r="K25">
            <v>30.6</v>
          </cell>
          <cell r="L25">
            <v>30.8</v>
          </cell>
          <cell r="M25">
            <v>30.1</v>
          </cell>
          <cell r="N25">
            <v>32.4</v>
          </cell>
          <cell r="O25">
            <v>30.9</v>
          </cell>
        </row>
        <row r="26">
          <cell r="A26">
            <v>102</v>
          </cell>
          <cell r="B26">
            <v>1</v>
          </cell>
          <cell r="C26">
            <v>13.003</v>
          </cell>
          <cell r="D26">
            <v>52.6</v>
          </cell>
          <cell r="E26">
            <v>38.799999999999997</v>
          </cell>
          <cell r="F26">
            <v>51</v>
          </cell>
          <cell r="G26">
            <v>38.200000000000003</v>
          </cell>
          <cell r="H26">
            <v>51.1</v>
          </cell>
          <cell r="I26">
            <v>45.8</v>
          </cell>
          <cell r="J26">
            <v>52.9</v>
          </cell>
          <cell r="K26">
            <v>39</v>
          </cell>
          <cell r="L26">
            <v>51.2</v>
          </cell>
          <cell r="M26">
            <v>40.299999999999997</v>
          </cell>
          <cell r="N26">
            <v>51.3</v>
          </cell>
          <cell r="O26">
            <v>36.799999999999997</v>
          </cell>
        </row>
        <row r="27">
          <cell r="A27">
            <v>102</v>
          </cell>
          <cell r="B27">
            <v>2</v>
          </cell>
          <cell r="C27">
            <v>13.007</v>
          </cell>
          <cell r="D27">
            <v>31.4</v>
          </cell>
          <cell r="E27">
            <v>30</v>
          </cell>
          <cell r="F27">
            <v>30.5</v>
          </cell>
          <cell r="G27">
            <v>30.9</v>
          </cell>
          <cell r="H27">
            <v>30.9</v>
          </cell>
          <cell r="I27">
            <v>30.5</v>
          </cell>
          <cell r="J27">
            <v>29.8</v>
          </cell>
          <cell r="K27">
            <v>30.8</v>
          </cell>
          <cell r="L27">
            <v>30.7</v>
          </cell>
          <cell r="M27">
            <v>32.200000000000003</v>
          </cell>
          <cell r="N27">
            <v>31.1</v>
          </cell>
          <cell r="O27">
            <v>30.9</v>
          </cell>
        </row>
        <row r="28">
          <cell r="A28">
            <v>101</v>
          </cell>
          <cell r="B28">
            <v>1</v>
          </cell>
          <cell r="C28">
            <v>13.02</v>
          </cell>
          <cell r="D28">
            <v>52.2</v>
          </cell>
          <cell r="E28">
            <v>43.2</v>
          </cell>
          <cell r="F28">
            <v>52</v>
          </cell>
          <cell r="G28">
            <v>36.1</v>
          </cell>
          <cell r="H28">
            <v>51.9</v>
          </cell>
          <cell r="I28">
            <v>35.6</v>
          </cell>
          <cell r="J28">
            <v>52.1</v>
          </cell>
          <cell r="K28">
            <v>35.799999999999997</v>
          </cell>
          <cell r="L28">
            <v>51.3</v>
          </cell>
          <cell r="M28">
            <v>40.1</v>
          </cell>
          <cell r="N28">
            <v>50.6</v>
          </cell>
          <cell r="O28">
            <v>39.200000000000003</v>
          </cell>
        </row>
        <row r="29">
          <cell r="A29">
            <v>101</v>
          </cell>
          <cell r="B29">
            <v>2</v>
          </cell>
          <cell r="C29">
            <v>13.025</v>
          </cell>
          <cell r="D29">
            <v>32</v>
          </cell>
          <cell r="E29">
            <v>33.299999999999997</v>
          </cell>
          <cell r="F29">
            <v>31.5</v>
          </cell>
          <cell r="G29">
            <v>31.9</v>
          </cell>
          <cell r="H29">
            <v>31</v>
          </cell>
          <cell r="I29">
            <v>32.299999999999997</v>
          </cell>
          <cell r="J29">
            <v>31.4</v>
          </cell>
          <cell r="K29">
            <v>31.1</v>
          </cell>
          <cell r="L29">
            <v>32.200000000000003</v>
          </cell>
          <cell r="M29">
            <v>31</v>
          </cell>
          <cell r="N29">
            <v>32.700000000000003</v>
          </cell>
          <cell r="O29">
            <v>31.3</v>
          </cell>
        </row>
        <row r="30">
          <cell r="A30">
            <v>201</v>
          </cell>
          <cell r="B30">
            <v>1</v>
          </cell>
          <cell r="C30">
            <v>13.042</v>
          </cell>
          <cell r="D30">
            <v>49.4</v>
          </cell>
          <cell r="E30">
            <v>35.1</v>
          </cell>
          <cell r="F30">
            <v>45.3</v>
          </cell>
          <cell r="G30">
            <v>31.7</v>
          </cell>
          <cell r="H30">
            <v>46</v>
          </cell>
          <cell r="I30">
            <v>30.6</v>
          </cell>
          <cell r="J30">
            <v>46.5</v>
          </cell>
          <cell r="K30">
            <v>31.1</v>
          </cell>
          <cell r="L30">
            <v>45.9</v>
          </cell>
          <cell r="M30">
            <v>32</v>
          </cell>
          <cell r="N30">
            <v>42.7</v>
          </cell>
          <cell r="O30">
            <v>31.3</v>
          </cell>
        </row>
        <row r="31">
          <cell r="A31">
            <v>201</v>
          </cell>
          <cell r="B31">
            <v>2</v>
          </cell>
          <cell r="C31">
            <v>13.045999999999999</v>
          </cell>
          <cell r="D31">
            <v>27.9</v>
          </cell>
          <cell r="E31">
            <v>28.7</v>
          </cell>
          <cell r="F31">
            <v>28.9</v>
          </cell>
          <cell r="G31">
            <v>30.7</v>
          </cell>
          <cell r="H31">
            <v>31.4</v>
          </cell>
          <cell r="I31">
            <v>28.7</v>
          </cell>
          <cell r="J31">
            <v>29</v>
          </cell>
          <cell r="K31">
            <v>28.6</v>
          </cell>
          <cell r="L31">
            <v>30.3</v>
          </cell>
          <cell r="M31">
            <v>28.3</v>
          </cell>
          <cell r="N31">
            <v>29.6</v>
          </cell>
          <cell r="O31">
            <v>27</v>
          </cell>
        </row>
        <row r="32">
          <cell r="A32">
            <v>202</v>
          </cell>
          <cell r="B32">
            <v>1</v>
          </cell>
          <cell r="C32">
            <v>13.057</v>
          </cell>
          <cell r="D32">
            <v>45.8</v>
          </cell>
          <cell r="E32">
            <v>41.9</v>
          </cell>
          <cell r="F32">
            <v>50.2</v>
          </cell>
          <cell r="G32">
            <v>34.799999999999997</v>
          </cell>
          <cell r="H32">
            <v>52.1</v>
          </cell>
          <cell r="I32">
            <v>34.9</v>
          </cell>
          <cell r="J32">
            <v>52.4</v>
          </cell>
          <cell r="K32">
            <v>40.6</v>
          </cell>
          <cell r="L32">
            <v>49.1</v>
          </cell>
          <cell r="M32">
            <v>36.299999999999997</v>
          </cell>
          <cell r="N32">
            <v>51.3</v>
          </cell>
          <cell r="O32">
            <v>36.6</v>
          </cell>
        </row>
        <row r="33">
          <cell r="A33">
            <v>202</v>
          </cell>
          <cell r="B33">
            <v>2</v>
          </cell>
          <cell r="C33">
            <v>13.061999999999999</v>
          </cell>
          <cell r="D33">
            <v>31.6</v>
          </cell>
          <cell r="E33">
            <v>30.4</v>
          </cell>
          <cell r="F33">
            <v>31.6</v>
          </cell>
          <cell r="G33">
            <v>30.3</v>
          </cell>
          <cell r="H33">
            <v>31.3</v>
          </cell>
          <cell r="I33">
            <v>31.5</v>
          </cell>
          <cell r="J33">
            <v>30.7</v>
          </cell>
          <cell r="K33">
            <v>29.8</v>
          </cell>
          <cell r="L33">
            <v>30.6</v>
          </cell>
          <cell r="M33">
            <v>31</v>
          </cell>
          <cell r="N33">
            <v>33.200000000000003</v>
          </cell>
          <cell r="O33">
            <v>31.1</v>
          </cell>
        </row>
        <row r="34">
          <cell r="A34">
            <v>203</v>
          </cell>
          <cell r="B34">
            <v>1</v>
          </cell>
          <cell r="C34">
            <v>13.073</v>
          </cell>
          <cell r="D34">
            <v>46.5</v>
          </cell>
          <cell r="E34">
            <v>43.7</v>
          </cell>
          <cell r="F34">
            <v>51.1</v>
          </cell>
          <cell r="G34">
            <v>34.9</v>
          </cell>
          <cell r="H34">
            <v>51.5</v>
          </cell>
          <cell r="I34">
            <v>34.6</v>
          </cell>
          <cell r="J34">
            <v>51.9</v>
          </cell>
          <cell r="K34">
            <v>50.5</v>
          </cell>
          <cell r="L34">
            <v>52.9</v>
          </cell>
          <cell r="M34">
            <v>34.299999999999997</v>
          </cell>
          <cell r="N34">
            <v>49.1</v>
          </cell>
          <cell r="O34">
            <v>37.299999999999997</v>
          </cell>
        </row>
        <row r="35">
          <cell r="A35">
            <v>203</v>
          </cell>
          <cell r="B35">
            <v>2</v>
          </cell>
          <cell r="C35">
            <v>13.077999999999999</v>
          </cell>
          <cell r="D35">
            <v>30.4</v>
          </cell>
          <cell r="E35">
            <v>29.8</v>
          </cell>
          <cell r="F35">
            <v>30.9</v>
          </cell>
          <cell r="G35">
            <v>29.9</v>
          </cell>
          <cell r="H35">
            <v>29.8</v>
          </cell>
          <cell r="I35">
            <v>30.3</v>
          </cell>
          <cell r="J35">
            <v>29.5</v>
          </cell>
          <cell r="K35">
            <v>29.6</v>
          </cell>
          <cell r="L35">
            <v>31.3</v>
          </cell>
          <cell r="M35">
            <v>30.3</v>
          </cell>
          <cell r="N35">
            <v>29.6</v>
          </cell>
          <cell r="O35">
            <v>29.6</v>
          </cell>
        </row>
        <row r="36">
          <cell r="A36">
            <v>204</v>
          </cell>
          <cell r="B36">
            <v>1</v>
          </cell>
          <cell r="C36">
            <v>13.089</v>
          </cell>
          <cell r="D36">
            <v>34.4</v>
          </cell>
          <cell r="E36">
            <v>35.799999999999997</v>
          </cell>
          <cell r="F36">
            <v>39.799999999999997</v>
          </cell>
          <cell r="G36">
            <v>31.1</v>
          </cell>
          <cell r="H36">
            <v>46.4</v>
          </cell>
          <cell r="I36">
            <v>31.8</v>
          </cell>
          <cell r="J36">
            <v>45.1</v>
          </cell>
          <cell r="K36">
            <v>29.5</v>
          </cell>
          <cell r="L36">
            <v>47</v>
          </cell>
          <cell r="M36">
            <v>30.6</v>
          </cell>
          <cell r="N36">
            <v>45.7</v>
          </cell>
          <cell r="O36">
            <v>29.6</v>
          </cell>
        </row>
        <row r="37">
          <cell r="A37">
            <v>204</v>
          </cell>
          <cell r="B37">
            <v>2</v>
          </cell>
          <cell r="C37">
            <v>13.093999999999999</v>
          </cell>
          <cell r="D37">
            <v>29.7</v>
          </cell>
          <cell r="E37">
            <v>27.9</v>
          </cell>
          <cell r="F37">
            <v>28.3</v>
          </cell>
          <cell r="G37">
            <v>27.1</v>
          </cell>
          <cell r="H37">
            <v>29.1</v>
          </cell>
          <cell r="I37">
            <v>28.5</v>
          </cell>
          <cell r="J37">
            <v>26.7</v>
          </cell>
          <cell r="K37">
            <v>28.5</v>
          </cell>
          <cell r="L37">
            <v>29.2</v>
          </cell>
          <cell r="M37">
            <v>28.6</v>
          </cell>
          <cell r="N37">
            <v>27.1</v>
          </cell>
          <cell r="O37">
            <v>28.4</v>
          </cell>
        </row>
        <row r="38">
          <cell r="A38">
            <v>205</v>
          </cell>
          <cell r="B38">
            <v>1</v>
          </cell>
          <cell r="C38">
            <v>13.103999999999999</v>
          </cell>
          <cell r="D38">
            <v>47.4</v>
          </cell>
          <cell r="E38">
            <v>48</v>
          </cell>
          <cell r="F38">
            <v>50.5</v>
          </cell>
          <cell r="G38">
            <v>36</v>
          </cell>
          <cell r="H38">
            <v>50.8</v>
          </cell>
          <cell r="I38">
            <v>36.200000000000003</v>
          </cell>
          <cell r="J38">
            <v>51</v>
          </cell>
          <cell r="K38">
            <v>49.4</v>
          </cell>
          <cell r="L38">
            <v>51.9</v>
          </cell>
          <cell r="M38">
            <v>34.299999999999997</v>
          </cell>
          <cell r="N38">
            <v>51.4</v>
          </cell>
          <cell r="O38">
            <v>40.200000000000003</v>
          </cell>
        </row>
        <row r="39">
          <cell r="A39">
            <v>205</v>
          </cell>
          <cell r="B39">
            <v>2</v>
          </cell>
          <cell r="C39">
            <v>13.109</v>
          </cell>
          <cell r="D39">
            <v>32.4</v>
          </cell>
          <cell r="E39">
            <v>29.8</v>
          </cell>
          <cell r="F39">
            <v>30.5</v>
          </cell>
          <cell r="G39">
            <v>29</v>
          </cell>
          <cell r="H39">
            <v>29.9</v>
          </cell>
          <cell r="I39">
            <v>29.6</v>
          </cell>
          <cell r="J39">
            <v>29.7</v>
          </cell>
          <cell r="K39">
            <v>29.1</v>
          </cell>
          <cell r="L39">
            <v>29.4</v>
          </cell>
          <cell r="M39">
            <v>29.8</v>
          </cell>
          <cell r="N39">
            <v>28.1</v>
          </cell>
          <cell r="O39">
            <v>29.6</v>
          </cell>
        </row>
        <row r="40">
          <cell r="A40">
            <v>206</v>
          </cell>
          <cell r="B40">
            <v>1</v>
          </cell>
          <cell r="C40">
            <v>13.121</v>
          </cell>
          <cell r="D40">
            <v>47.7</v>
          </cell>
          <cell r="E40">
            <v>39.1</v>
          </cell>
          <cell r="F40">
            <v>48.4</v>
          </cell>
          <cell r="G40">
            <v>41.3</v>
          </cell>
          <cell r="H40">
            <v>50.7</v>
          </cell>
          <cell r="I40">
            <v>35.5</v>
          </cell>
          <cell r="J40">
            <v>50</v>
          </cell>
          <cell r="K40">
            <v>37.200000000000003</v>
          </cell>
          <cell r="L40">
            <v>49.4</v>
          </cell>
          <cell r="M40">
            <v>35.299999999999997</v>
          </cell>
          <cell r="N40">
            <v>50.5</v>
          </cell>
          <cell r="O40">
            <v>49.6</v>
          </cell>
        </row>
        <row r="41">
          <cell r="A41">
            <v>206</v>
          </cell>
          <cell r="B41">
            <v>2</v>
          </cell>
          <cell r="C41">
            <v>13.125</v>
          </cell>
          <cell r="D41">
            <v>29.3</v>
          </cell>
          <cell r="E41">
            <v>30.2</v>
          </cell>
          <cell r="F41">
            <v>28.8</v>
          </cell>
          <cell r="G41">
            <v>29.3</v>
          </cell>
          <cell r="H41">
            <v>29.1</v>
          </cell>
          <cell r="I41">
            <v>29.9</v>
          </cell>
          <cell r="J41">
            <v>30.9</v>
          </cell>
          <cell r="K41">
            <v>28.9</v>
          </cell>
          <cell r="L41">
            <v>30.4</v>
          </cell>
          <cell r="M41">
            <v>32.299999999999997</v>
          </cell>
          <cell r="N41">
            <v>29.6</v>
          </cell>
          <cell r="O41">
            <v>28.7</v>
          </cell>
        </row>
        <row r="42">
          <cell r="A42">
            <v>207</v>
          </cell>
          <cell r="B42">
            <v>1</v>
          </cell>
          <cell r="C42">
            <v>13.137</v>
          </cell>
          <cell r="D42">
            <v>47.9</v>
          </cell>
          <cell r="E42">
            <v>44.5</v>
          </cell>
          <cell r="F42">
            <v>48.5</v>
          </cell>
          <cell r="G42">
            <v>32.799999999999997</v>
          </cell>
          <cell r="H42">
            <v>51.1</v>
          </cell>
          <cell r="I42">
            <v>33.1</v>
          </cell>
          <cell r="J42">
            <v>51.3</v>
          </cell>
          <cell r="K42">
            <v>31.7</v>
          </cell>
          <cell r="L42">
            <v>50.6</v>
          </cell>
          <cell r="M42">
            <v>34.4</v>
          </cell>
          <cell r="N42">
            <v>50.8</v>
          </cell>
          <cell r="O42">
            <v>35.799999999999997</v>
          </cell>
        </row>
        <row r="43">
          <cell r="A43">
            <v>207</v>
          </cell>
          <cell r="B43">
            <v>2</v>
          </cell>
          <cell r="C43">
            <v>13.141999999999999</v>
          </cell>
          <cell r="D43">
            <v>31.3</v>
          </cell>
          <cell r="E43">
            <v>30</v>
          </cell>
          <cell r="F43">
            <v>29.5</v>
          </cell>
          <cell r="G43">
            <v>30.2</v>
          </cell>
          <cell r="H43">
            <v>30.9</v>
          </cell>
          <cell r="I43">
            <v>29.5</v>
          </cell>
          <cell r="J43">
            <v>30.4</v>
          </cell>
          <cell r="K43">
            <v>29.1</v>
          </cell>
          <cell r="L43">
            <v>29.4</v>
          </cell>
          <cell r="M43">
            <v>28.8</v>
          </cell>
          <cell r="N43">
            <v>31.5</v>
          </cell>
          <cell r="O43">
            <v>30.5</v>
          </cell>
        </row>
        <row r="44">
          <cell r="A44">
            <v>208</v>
          </cell>
          <cell r="B44">
            <v>1</v>
          </cell>
          <cell r="C44">
            <v>13.154999999999999</v>
          </cell>
          <cell r="D44">
            <v>47</v>
          </cell>
          <cell r="E44">
            <v>44.6</v>
          </cell>
          <cell r="F44">
            <v>49.1</v>
          </cell>
          <cell r="G44">
            <v>40.700000000000003</v>
          </cell>
          <cell r="H44">
            <v>51.1</v>
          </cell>
          <cell r="I44">
            <v>40.799999999999997</v>
          </cell>
          <cell r="J44">
            <v>52.1</v>
          </cell>
          <cell r="K44">
            <v>39.299999999999997</v>
          </cell>
          <cell r="L44">
            <v>51</v>
          </cell>
          <cell r="M44">
            <v>38.799999999999997</v>
          </cell>
          <cell r="N44">
            <v>49.8</v>
          </cell>
          <cell r="O44">
            <v>42.6</v>
          </cell>
        </row>
        <row r="45">
          <cell r="A45">
            <v>208</v>
          </cell>
          <cell r="B45">
            <v>2</v>
          </cell>
          <cell r="C45">
            <v>13.16</v>
          </cell>
          <cell r="D45">
            <v>31.2</v>
          </cell>
          <cell r="E45">
            <v>29.4</v>
          </cell>
          <cell r="F45">
            <v>31.4</v>
          </cell>
          <cell r="G45">
            <v>30.7</v>
          </cell>
          <cell r="H45">
            <v>32.1</v>
          </cell>
          <cell r="I45">
            <v>33.200000000000003</v>
          </cell>
          <cell r="J45">
            <v>31.1</v>
          </cell>
          <cell r="K45">
            <v>30.3</v>
          </cell>
          <cell r="L45">
            <v>31.5</v>
          </cell>
          <cell r="M45">
            <v>30</v>
          </cell>
          <cell r="N45">
            <v>29.2</v>
          </cell>
          <cell r="O45">
            <v>29.1</v>
          </cell>
        </row>
        <row r="46">
          <cell r="A46">
            <v>908</v>
          </cell>
          <cell r="B46">
            <v>1</v>
          </cell>
          <cell r="C46">
            <v>13.193</v>
          </cell>
          <cell r="D46">
            <v>52.9</v>
          </cell>
          <cell r="E46">
            <v>41.5</v>
          </cell>
          <cell r="F46">
            <v>49.8</v>
          </cell>
          <cell r="G46">
            <v>34.299999999999997</v>
          </cell>
          <cell r="H46">
            <v>51.3</v>
          </cell>
          <cell r="I46">
            <v>34.799999999999997</v>
          </cell>
          <cell r="J46">
            <v>52.3</v>
          </cell>
          <cell r="K46">
            <v>34.700000000000003</v>
          </cell>
          <cell r="L46">
            <v>50.9</v>
          </cell>
          <cell r="M46">
            <v>37.799999999999997</v>
          </cell>
          <cell r="N46">
            <v>51.6</v>
          </cell>
          <cell r="O46">
            <v>34.9</v>
          </cell>
        </row>
        <row r="47">
          <cell r="A47">
            <v>908</v>
          </cell>
          <cell r="B47">
            <v>2</v>
          </cell>
          <cell r="C47">
            <v>13.198</v>
          </cell>
          <cell r="D47">
            <v>30.4</v>
          </cell>
          <cell r="E47">
            <v>30.3</v>
          </cell>
          <cell r="F47">
            <v>29.6</v>
          </cell>
          <cell r="G47">
            <v>29</v>
          </cell>
          <cell r="H47">
            <v>29.9</v>
          </cell>
          <cell r="I47">
            <v>29.6</v>
          </cell>
          <cell r="J47">
            <v>30.5</v>
          </cell>
          <cell r="K47">
            <v>29.2</v>
          </cell>
          <cell r="L47">
            <v>31.4</v>
          </cell>
          <cell r="M47">
            <v>30.5</v>
          </cell>
          <cell r="N47">
            <v>31.1</v>
          </cell>
          <cell r="O47">
            <v>31.2</v>
          </cell>
        </row>
        <row r="48">
          <cell r="A48">
            <v>907</v>
          </cell>
          <cell r="B48">
            <v>1</v>
          </cell>
          <cell r="C48">
            <v>13.207000000000001</v>
          </cell>
          <cell r="D48">
            <v>54.9</v>
          </cell>
          <cell r="E48">
            <v>55.4</v>
          </cell>
          <cell r="F48">
            <v>54.6</v>
          </cell>
          <cell r="G48">
            <v>54.9</v>
          </cell>
          <cell r="H48">
            <v>55</v>
          </cell>
          <cell r="I48">
            <v>53.9</v>
          </cell>
          <cell r="J48">
            <v>53.5</v>
          </cell>
          <cell r="K48">
            <v>54.7</v>
          </cell>
          <cell r="L48">
            <v>54.6</v>
          </cell>
          <cell r="M48">
            <v>54.5</v>
          </cell>
          <cell r="N48">
            <v>54.5</v>
          </cell>
          <cell r="O48">
            <v>54.5</v>
          </cell>
        </row>
        <row r="50">
          <cell r="A50">
            <v>906</v>
          </cell>
          <cell r="B50">
            <v>1</v>
          </cell>
          <cell r="C50">
            <v>13.212999999999999</v>
          </cell>
          <cell r="D50">
            <v>52.6</v>
          </cell>
          <cell r="E50">
            <v>38.799999999999997</v>
          </cell>
          <cell r="F50">
            <v>51</v>
          </cell>
          <cell r="G50">
            <v>33.9</v>
          </cell>
          <cell r="H50">
            <v>50.9</v>
          </cell>
          <cell r="I50">
            <v>35.9</v>
          </cell>
          <cell r="J50">
            <v>52.2</v>
          </cell>
          <cell r="K50">
            <v>37.1</v>
          </cell>
          <cell r="L50">
            <v>49.8</v>
          </cell>
          <cell r="M50">
            <v>38.299999999999997</v>
          </cell>
          <cell r="N50">
            <v>51.4</v>
          </cell>
          <cell r="O50">
            <v>34.700000000000003</v>
          </cell>
        </row>
        <row r="51">
          <cell r="A51">
            <v>906</v>
          </cell>
          <cell r="B51">
            <v>2</v>
          </cell>
          <cell r="C51">
            <v>13.218</v>
          </cell>
          <cell r="D51">
            <v>32</v>
          </cell>
          <cell r="E51">
            <v>29.9</v>
          </cell>
          <cell r="F51">
            <v>31</v>
          </cell>
          <cell r="G51">
            <v>29</v>
          </cell>
          <cell r="H51">
            <v>29.6</v>
          </cell>
          <cell r="I51">
            <v>30.9</v>
          </cell>
          <cell r="J51">
            <v>30.1</v>
          </cell>
          <cell r="K51">
            <v>30.6</v>
          </cell>
          <cell r="L51">
            <v>30</v>
          </cell>
          <cell r="M51">
            <v>30.1</v>
          </cell>
          <cell r="N51">
            <v>29.1</v>
          </cell>
          <cell r="O51">
            <v>28</v>
          </cell>
        </row>
        <row r="52">
          <cell r="A52">
            <v>905</v>
          </cell>
          <cell r="B52">
            <v>1</v>
          </cell>
          <cell r="C52">
            <v>13.228999999999999</v>
          </cell>
          <cell r="D52">
            <v>28.9</v>
          </cell>
          <cell r="E52">
            <v>28.5</v>
          </cell>
          <cell r="F52">
            <v>28.5</v>
          </cell>
          <cell r="G52">
            <v>28.6</v>
          </cell>
          <cell r="H52">
            <v>28.5</v>
          </cell>
          <cell r="I52">
            <v>28.7</v>
          </cell>
          <cell r="J52">
            <v>29</v>
          </cell>
          <cell r="K52">
            <v>29.1</v>
          </cell>
          <cell r="L52">
            <v>28.7</v>
          </cell>
          <cell r="M52">
            <v>28.4</v>
          </cell>
          <cell r="N52">
            <v>28.4</v>
          </cell>
          <cell r="O52">
            <v>28.6</v>
          </cell>
        </row>
        <row r="54">
          <cell r="A54">
            <v>904</v>
          </cell>
          <cell r="B54">
            <v>1</v>
          </cell>
          <cell r="C54">
            <v>13.234999999999999</v>
          </cell>
          <cell r="D54">
            <v>53.7</v>
          </cell>
          <cell r="E54">
            <v>34</v>
          </cell>
          <cell r="F54">
            <v>50.6</v>
          </cell>
          <cell r="G54">
            <v>33.6</v>
          </cell>
          <cell r="H54">
            <v>50.7</v>
          </cell>
          <cell r="I54">
            <v>33.700000000000003</v>
          </cell>
          <cell r="J54">
            <v>55.4</v>
          </cell>
          <cell r="K54">
            <v>35.299999999999997</v>
          </cell>
          <cell r="L54">
            <v>51.2</v>
          </cell>
          <cell r="M54">
            <v>33.5</v>
          </cell>
          <cell r="N54">
            <v>51.2</v>
          </cell>
          <cell r="O54">
            <v>37.700000000000003</v>
          </cell>
        </row>
        <row r="55">
          <cell r="A55">
            <v>904</v>
          </cell>
          <cell r="B55">
            <v>2</v>
          </cell>
          <cell r="C55">
            <v>13.24</v>
          </cell>
          <cell r="D55">
            <v>30.2</v>
          </cell>
          <cell r="E55">
            <v>29.8</v>
          </cell>
          <cell r="F55">
            <v>30.4</v>
          </cell>
          <cell r="G55">
            <v>30.8</v>
          </cell>
          <cell r="H55">
            <v>29.6</v>
          </cell>
          <cell r="I55">
            <v>29.2</v>
          </cell>
          <cell r="J55">
            <v>30.9</v>
          </cell>
          <cell r="K55">
            <v>29.7</v>
          </cell>
          <cell r="L55">
            <v>29.5</v>
          </cell>
          <cell r="M55">
            <v>29.3</v>
          </cell>
          <cell r="N55">
            <v>29.1</v>
          </cell>
          <cell r="O55">
            <v>28.5</v>
          </cell>
        </row>
        <row r="56">
          <cell r="A56">
            <v>903</v>
          </cell>
          <cell r="B56">
            <v>1</v>
          </cell>
          <cell r="C56">
            <v>13.25</v>
          </cell>
          <cell r="D56">
            <v>54.7</v>
          </cell>
          <cell r="E56">
            <v>56</v>
          </cell>
          <cell r="F56">
            <v>55.5</v>
          </cell>
          <cell r="G56">
            <v>54.9</v>
          </cell>
          <cell r="H56">
            <v>55.2</v>
          </cell>
          <cell r="I56">
            <v>55.3</v>
          </cell>
          <cell r="J56">
            <v>54.7</v>
          </cell>
          <cell r="K56">
            <v>55.1</v>
          </cell>
          <cell r="L56">
            <v>54.7</v>
          </cell>
          <cell r="M56">
            <v>54.6</v>
          </cell>
          <cell r="N56">
            <v>54.2</v>
          </cell>
          <cell r="O56">
            <v>54.1</v>
          </cell>
        </row>
        <row r="58">
          <cell r="A58">
            <v>902</v>
          </cell>
          <cell r="B58">
            <v>1</v>
          </cell>
          <cell r="C58">
            <v>13.256</v>
          </cell>
          <cell r="D58">
            <v>54.9</v>
          </cell>
          <cell r="E58">
            <v>40.5</v>
          </cell>
          <cell r="F58">
            <v>51</v>
          </cell>
          <cell r="G58">
            <v>37.200000000000003</v>
          </cell>
          <cell r="H58">
            <v>50.3</v>
          </cell>
          <cell r="I58">
            <v>37.6</v>
          </cell>
          <cell r="J58">
            <v>52.6</v>
          </cell>
          <cell r="K58">
            <v>37.1</v>
          </cell>
          <cell r="L58">
            <v>48</v>
          </cell>
          <cell r="M58">
            <v>36.9</v>
          </cell>
          <cell r="N58">
            <v>50.6</v>
          </cell>
          <cell r="O58">
            <v>34.299999999999997</v>
          </cell>
        </row>
        <row r="59">
          <cell r="A59">
            <v>902</v>
          </cell>
          <cell r="B59">
            <v>2</v>
          </cell>
          <cell r="C59">
            <v>13.260999999999999</v>
          </cell>
          <cell r="D59">
            <v>30.7</v>
          </cell>
          <cell r="E59">
            <v>29.9</v>
          </cell>
          <cell r="F59">
            <v>31.2</v>
          </cell>
          <cell r="G59">
            <v>29.8</v>
          </cell>
          <cell r="H59">
            <v>30.2</v>
          </cell>
          <cell r="I59">
            <v>30.9</v>
          </cell>
          <cell r="J59">
            <v>31.5</v>
          </cell>
          <cell r="K59">
            <v>29.8</v>
          </cell>
          <cell r="L59">
            <v>30.2</v>
          </cell>
          <cell r="M59">
            <v>29.4</v>
          </cell>
          <cell r="N59">
            <v>30.9</v>
          </cell>
          <cell r="O59">
            <v>31.3</v>
          </cell>
        </row>
        <row r="60">
          <cell r="A60">
            <v>901</v>
          </cell>
          <cell r="B60">
            <v>1</v>
          </cell>
          <cell r="C60">
            <v>13.27</v>
          </cell>
          <cell r="D60">
            <v>29.5</v>
          </cell>
          <cell r="E60">
            <v>29.1</v>
          </cell>
          <cell r="F60">
            <v>29.2</v>
          </cell>
          <cell r="G60">
            <v>29.1</v>
          </cell>
          <cell r="H60">
            <v>29.6</v>
          </cell>
          <cell r="I60">
            <v>28.6</v>
          </cell>
          <cell r="J60">
            <v>29.4</v>
          </cell>
          <cell r="K60">
            <v>28.3</v>
          </cell>
          <cell r="L60">
            <v>28.4</v>
          </cell>
          <cell r="M60">
            <v>29.3</v>
          </cell>
          <cell r="N60">
            <v>29.1</v>
          </cell>
          <cell r="O60">
            <v>29.3</v>
          </cell>
        </row>
        <row r="62">
          <cell r="A62">
            <v>301</v>
          </cell>
          <cell r="B62">
            <v>1</v>
          </cell>
          <cell r="C62">
            <v>13.279</v>
          </cell>
          <cell r="D62">
            <v>43.5</v>
          </cell>
          <cell r="E62">
            <v>42</v>
          </cell>
          <cell r="F62">
            <v>50</v>
          </cell>
          <cell r="G62">
            <v>35</v>
          </cell>
          <cell r="H62">
            <v>51.5</v>
          </cell>
          <cell r="I62">
            <v>32.4</v>
          </cell>
          <cell r="J62">
            <v>52</v>
          </cell>
          <cell r="K62">
            <v>33.200000000000003</v>
          </cell>
          <cell r="L62">
            <v>50</v>
          </cell>
          <cell r="M62">
            <v>34.6</v>
          </cell>
          <cell r="N62">
            <v>50.4</v>
          </cell>
          <cell r="O62">
            <v>35</v>
          </cell>
        </row>
        <row r="63">
          <cell r="A63">
            <v>301</v>
          </cell>
          <cell r="B63">
            <v>2</v>
          </cell>
          <cell r="C63">
            <v>13.284000000000001</v>
          </cell>
          <cell r="D63">
            <v>29.9</v>
          </cell>
          <cell r="E63">
            <v>29.7</v>
          </cell>
          <cell r="F63">
            <v>31.1</v>
          </cell>
          <cell r="G63">
            <v>28.5</v>
          </cell>
          <cell r="H63">
            <v>28.8</v>
          </cell>
          <cell r="I63">
            <v>30.8</v>
          </cell>
          <cell r="J63">
            <v>30.6</v>
          </cell>
          <cell r="K63">
            <v>30.2</v>
          </cell>
          <cell r="L63">
            <v>31.1</v>
          </cell>
          <cell r="M63">
            <v>30.5</v>
          </cell>
          <cell r="N63">
            <v>30.7</v>
          </cell>
          <cell r="O63">
            <v>31.2</v>
          </cell>
        </row>
        <row r="64">
          <cell r="A64">
            <v>302</v>
          </cell>
          <cell r="B64">
            <v>1</v>
          </cell>
          <cell r="C64">
            <v>13.297000000000001</v>
          </cell>
          <cell r="D64">
            <v>46.6</v>
          </cell>
          <cell r="E64">
            <v>40.9</v>
          </cell>
          <cell r="F64">
            <v>51.2</v>
          </cell>
          <cell r="G64">
            <v>35.6</v>
          </cell>
          <cell r="H64">
            <v>50.1</v>
          </cell>
          <cell r="I64">
            <v>36.4</v>
          </cell>
          <cell r="J64">
            <v>51.8</v>
          </cell>
          <cell r="K64">
            <v>34.299999999999997</v>
          </cell>
          <cell r="L64">
            <v>51</v>
          </cell>
          <cell r="M64">
            <v>36.200000000000003</v>
          </cell>
          <cell r="N64">
            <v>49.3</v>
          </cell>
          <cell r="O64">
            <v>42.6</v>
          </cell>
        </row>
        <row r="65">
          <cell r="A65">
            <v>302</v>
          </cell>
          <cell r="B65">
            <v>2</v>
          </cell>
          <cell r="C65">
            <v>13.303000000000001</v>
          </cell>
          <cell r="D65">
            <v>30.1</v>
          </cell>
          <cell r="E65">
            <v>29.5</v>
          </cell>
          <cell r="F65">
            <v>30.1</v>
          </cell>
          <cell r="G65">
            <v>30.8</v>
          </cell>
          <cell r="H65">
            <v>30.6</v>
          </cell>
          <cell r="I65">
            <v>30.3</v>
          </cell>
          <cell r="J65">
            <v>29.9</v>
          </cell>
          <cell r="K65">
            <v>28.7</v>
          </cell>
          <cell r="L65">
            <v>29.7</v>
          </cell>
          <cell r="M65">
            <v>28.8</v>
          </cell>
          <cell r="N65">
            <v>29.8</v>
          </cell>
          <cell r="O65">
            <v>29.9</v>
          </cell>
        </row>
        <row r="66">
          <cell r="A66">
            <v>303</v>
          </cell>
          <cell r="B66">
            <v>1</v>
          </cell>
          <cell r="C66">
            <v>13.314</v>
          </cell>
          <cell r="D66">
            <v>43.6</v>
          </cell>
          <cell r="E66">
            <v>43.5</v>
          </cell>
          <cell r="F66">
            <v>47.1</v>
          </cell>
          <cell r="G66">
            <v>37.6</v>
          </cell>
          <cell r="H66">
            <v>48.5</v>
          </cell>
          <cell r="I66">
            <v>34.200000000000003</v>
          </cell>
          <cell r="J66">
            <v>48.5</v>
          </cell>
          <cell r="K66">
            <v>34.4</v>
          </cell>
          <cell r="L66">
            <v>48.3</v>
          </cell>
          <cell r="M66">
            <v>37.799999999999997</v>
          </cell>
          <cell r="N66">
            <v>48.8</v>
          </cell>
          <cell r="O66">
            <v>43.6</v>
          </cell>
        </row>
        <row r="67">
          <cell r="A67">
            <v>303</v>
          </cell>
          <cell r="B67">
            <v>2</v>
          </cell>
          <cell r="C67">
            <v>13.319000000000001</v>
          </cell>
          <cell r="D67">
            <v>29</v>
          </cell>
          <cell r="E67">
            <v>29.1</v>
          </cell>
          <cell r="F67">
            <v>29</v>
          </cell>
          <cell r="G67">
            <v>28.7</v>
          </cell>
          <cell r="H67">
            <v>27.9</v>
          </cell>
          <cell r="I67">
            <v>29</v>
          </cell>
          <cell r="J67">
            <v>31.6</v>
          </cell>
          <cell r="K67">
            <v>29.2</v>
          </cell>
          <cell r="L67">
            <v>30.8</v>
          </cell>
          <cell r="M67">
            <v>30.6</v>
          </cell>
          <cell r="N67">
            <v>28.8</v>
          </cell>
          <cell r="O67">
            <v>29.1</v>
          </cell>
        </row>
        <row r="68">
          <cell r="A68">
            <v>304</v>
          </cell>
          <cell r="B68">
            <v>1</v>
          </cell>
          <cell r="C68">
            <v>13.331</v>
          </cell>
          <cell r="D68">
            <v>47.2</v>
          </cell>
          <cell r="E68">
            <v>45.9</v>
          </cell>
          <cell r="F68">
            <v>48.3</v>
          </cell>
          <cell r="G68">
            <v>36.700000000000003</v>
          </cell>
          <cell r="H68">
            <v>51.3</v>
          </cell>
          <cell r="I68">
            <v>41.4</v>
          </cell>
          <cell r="J68">
            <v>53.2</v>
          </cell>
          <cell r="K68">
            <v>39.799999999999997</v>
          </cell>
          <cell r="L68">
            <v>51.8</v>
          </cell>
          <cell r="M68">
            <v>45.2</v>
          </cell>
          <cell r="N68">
            <v>51.8</v>
          </cell>
          <cell r="O68">
            <v>48.6</v>
          </cell>
        </row>
        <row r="69">
          <cell r="A69">
            <v>304</v>
          </cell>
          <cell r="B69">
            <v>2</v>
          </cell>
          <cell r="C69">
            <v>13.336</v>
          </cell>
          <cell r="D69">
            <v>34</v>
          </cell>
          <cell r="E69">
            <v>29</v>
          </cell>
          <cell r="F69">
            <v>29.9</v>
          </cell>
          <cell r="G69">
            <v>32.6</v>
          </cell>
          <cell r="H69">
            <v>30.9</v>
          </cell>
          <cell r="I69">
            <v>31.3</v>
          </cell>
          <cell r="J69">
            <v>30.1</v>
          </cell>
          <cell r="K69">
            <v>30.6</v>
          </cell>
          <cell r="L69">
            <v>29.4</v>
          </cell>
          <cell r="M69">
            <v>29.3</v>
          </cell>
          <cell r="N69">
            <v>30.1</v>
          </cell>
          <cell r="O69">
            <v>29.5</v>
          </cell>
        </row>
        <row r="70">
          <cell r="A70">
            <v>305</v>
          </cell>
          <cell r="B70">
            <v>1</v>
          </cell>
          <cell r="C70">
            <v>13.348000000000001</v>
          </cell>
          <cell r="D70">
            <v>38.799999999999997</v>
          </cell>
          <cell r="E70">
            <v>34.799999999999997</v>
          </cell>
          <cell r="F70">
            <v>45.2</v>
          </cell>
          <cell r="G70">
            <v>32</v>
          </cell>
          <cell r="H70">
            <v>48.4</v>
          </cell>
          <cell r="I70">
            <v>32</v>
          </cell>
          <cell r="J70">
            <v>46.3</v>
          </cell>
          <cell r="K70">
            <v>30.8</v>
          </cell>
          <cell r="L70">
            <v>44.8</v>
          </cell>
          <cell r="M70">
            <v>30.9</v>
          </cell>
          <cell r="N70">
            <v>42.7</v>
          </cell>
          <cell r="O70">
            <v>31.6</v>
          </cell>
        </row>
        <row r="71">
          <cell r="A71">
            <v>305</v>
          </cell>
          <cell r="B71">
            <v>2</v>
          </cell>
          <cell r="C71">
            <v>13.353</v>
          </cell>
          <cell r="D71">
            <v>28.9</v>
          </cell>
          <cell r="E71">
            <v>28.9</v>
          </cell>
          <cell r="F71">
            <v>28.1</v>
          </cell>
          <cell r="G71">
            <v>29.1</v>
          </cell>
          <cell r="H71">
            <v>29.7</v>
          </cell>
          <cell r="I71">
            <v>29.2</v>
          </cell>
          <cell r="J71">
            <v>29.5</v>
          </cell>
          <cell r="K71">
            <v>28.9</v>
          </cell>
          <cell r="L71">
            <v>29.2</v>
          </cell>
          <cell r="M71">
            <v>28.2</v>
          </cell>
          <cell r="N71">
            <v>31.6</v>
          </cell>
          <cell r="O71">
            <v>29.2</v>
          </cell>
        </row>
        <row r="72">
          <cell r="A72">
            <v>306</v>
          </cell>
          <cell r="B72">
            <v>1</v>
          </cell>
          <cell r="C72">
            <v>13.364000000000001</v>
          </cell>
          <cell r="D72">
            <v>44.3</v>
          </cell>
          <cell r="E72">
            <v>43.6</v>
          </cell>
          <cell r="F72">
            <v>50.5</v>
          </cell>
          <cell r="G72">
            <v>35.1</v>
          </cell>
          <cell r="H72">
            <v>52.6</v>
          </cell>
          <cell r="I72">
            <v>34.299999999999997</v>
          </cell>
          <cell r="J72">
            <v>52</v>
          </cell>
          <cell r="K72">
            <v>34</v>
          </cell>
          <cell r="L72">
            <v>50.4</v>
          </cell>
          <cell r="M72">
            <v>33.1</v>
          </cell>
          <cell r="N72">
            <v>50.9</v>
          </cell>
          <cell r="O72">
            <v>40.799999999999997</v>
          </cell>
        </row>
        <row r="73">
          <cell r="A73">
            <v>306</v>
          </cell>
          <cell r="B73">
            <v>2</v>
          </cell>
          <cell r="C73">
            <v>13.369</v>
          </cell>
          <cell r="D73">
            <v>33.6</v>
          </cell>
          <cell r="E73">
            <v>30.5</v>
          </cell>
          <cell r="F73">
            <v>30.2</v>
          </cell>
          <cell r="G73">
            <v>30.8</v>
          </cell>
          <cell r="H73">
            <v>30.1</v>
          </cell>
          <cell r="I73">
            <v>31.1</v>
          </cell>
          <cell r="J73">
            <v>31.6</v>
          </cell>
          <cell r="K73">
            <v>31.5</v>
          </cell>
          <cell r="L73">
            <v>32.4</v>
          </cell>
          <cell r="M73">
            <v>29.3</v>
          </cell>
          <cell r="N73">
            <v>31.1</v>
          </cell>
          <cell r="O73">
            <v>30.4</v>
          </cell>
        </row>
        <row r="74">
          <cell r="A74">
            <v>307</v>
          </cell>
          <cell r="B74">
            <v>1</v>
          </cell>
          <cell r="C74">
            <v>13.379</v>
          </cell>
          <cell r="D74">
            <v>54.8</v>
          </cell>
          <cell r="E74">
            <v>41.1</v>
          </cell>
          <cell r="F74">
            <v>51.8</v>
          </cell>
          <cell r="G74">
            <v>33.799999999999997</v>
          </cell>
          <cell r="H74">
            <v>52.8</v>
          </cell>
          <cell r="I74">
            <v>33.5</v>
          </cell>
          <cell r="J74">
            <v>52.3</v>
          </cell>
          <cell r="K74">
            <v>34.4</v>
          </cell>
          <cell r="L74">
            <v>49.3</v>
          </cell>
          <cell r="M74">
            <v>37.1</v>
          </cell>
          <cell r="N74">
            <v>52.1</v>
          </cell>
          <cell r="O74">
            <v>41.2</v>
          </cell>
        </row>
        <row r="75">
          <cell r="A75">
            <v>307</v>
          </cell>
          <cell r="B75">
            <v>2</v>
          </cell>
          <cell r="C75">
            <v>13.387</v>
          </cell>
          <cell r="D75">
            <v>32.6</v>
          </cell>
          <cell r="E75">
            <v>32.299999999999997</v>
          </cell>
          <cell r="F75">
            <v>32.5</v>
          </cell>
          <cell r="G75">
            <v>31.2</v>
          </cell>
          <cell r="H75">
            <v>30.4</v>
          </cell>
          <cell r="I75">
            <v>32.200000000000003</v>
          </cell>
          <cell r="J75">
            <v>30.8</v>
          </cell>
          <cell r="K75">
            <v>31.1</v>
          </cell>
          <cell r="L75">
            <v>53.2</v>
          </cell>
          <cell r="M75">
            <v>31.7</v>
          </cell>
          <cell r="N75">
            <v>29.9</v>
          </cell>
          <cell r="O75">
            <v>31.1</v>
          </cell>
        </row>
        <row r="76">
          <cell r="A76">
            <v>308</v>
          </cell>
          <cell r="B76">
            <v>1</v>
          </cell>
          <cell r="C76">
            <v>13.398</v>
          </cell>
          <cell r="D76">
            <v>46.6</v>
          </cell>
          <cell r="E76">
            <v>41.6</v>
          </cell>
          <cell r="F76">
            <v>49.4</v>
          </cell>
          <cell r="G76">
            <v>39.4</v>
          </cell>
          <cell r="H76">
            <v>51.2</v>
          </cell>
          <cell r="I76">
            <v>38.700000000000003</v>
          </cell>
          <cell r="J76">
            <v>52.7</v>
          </cell>
          <cell r="K76">
            <v>39</v>
          </cell>
          <cell r="L76">
            <v>53.1</v>
          </cell>
          <cell r="M76">
            <v>35.4</v>
          </cell>
          <cell r="N76">
            <v>50.9</v>
          </cell>
          <cell r="O76">
            <v>43.1</v>
          </cell>
        </row>
        <row r="77">
          <cell r="A77">
            <v>308</v>
          </cell>
          <cell r="B77">
            <v>2</v>
          </cell>
          <cell r="C77">
            <v>13.401999999999999</v>
          </cell>
          <cell r="D77">
            <v>33</v>
          </cell>
          <cell r="E77">
            <v>33.9</v>
          </cell>
          <cell r="F77">
            <v>32.5</v>
          </cell>
          <cell r="G77">
            <v>32</v>
          </cell>
          <cell r="H77">
            <v>34.4</v>
          </cell>
          <cell r="I77">
            <v>35.700000000000003</v>
          </cell>
          <cell r="J77">
            <v>33.299999999999997</v>
          </cell>
          <cell r="K77">
            <v>34.1</v>
          </cell>
          <cell r="L77">
            <v>33.1</v>
          </cell>
          <cell r="M77">
            <v>34.299999999999997</v>
          </cell>
          <cell r="N77">
            <v>32.5</v>
          </cell>
          <cell r="O77">
            <v>34</v>
          </cell>
        </row>
        <row r="78">
          <cell r="A78">
            <v>408</v>
          </cell>
          <cell r="B78">
            <v>1</v>
          </cell>
          <cell r="C78">
            <v>13.422000000000001</v>
          </cell>
          <cell r="D78">
            <v>53.7</v>
          </cell>
          <cell r="E78">
            <v>39.799999999999997</v>
          </cell>
          <cell r="F78">
            <v>52.1</v>
          </cell>
          <cell r="G78">
            <v>38.799999999999997</v>
          </cell>
          <cell r="H78">
            <v>49.1</v>
          </cell>
          <cell r="I78">
            <v>37.799999999999997</v>
          </cell>
          <cell r="J78">
            <v>46.7</v>
          </cell>
          <cell r="K78">
            <v>36.799999999999997</v>
          </cell>
          <cell r="L78">
            <v>50.9</v>
          </cell>
          <cell r="M78">
            <v>36.4</v>
          </cell>
          <cell r="N78">
            <v>51.3</v>
          </cell>
          <cell r="O78">
            <v>43.6</v>
          </cell>
        </row>
        <row r="79">
          <cell r="A79">
            <v>408</v>
          </cell>
          <cell r="B79">
            <v>2</v>
          </cell>
          <cell r="C79">
            <v>13.427</v>
          </cell>
          <cell r="D79">
            <v>29.9</v>
          </cell>
          <cell r="E79">
            <v>29</v>
          </cell>
          <cell r="F79">
            <v>30.9</v>
          </cell>
          <cell r="G79">
            <v>30.1</v>
          </cell>
          <cell r="H79">
            <v>31</v>
          </cell>
          <cell r="I79">
            <v>29.6</v>
          </cell>
          <cell r="J79">
            <v>29.8</v>
          </cell>
          <cell r="K79">
            <v>30.8</v>
          </cell>
          <cell r="L79">
            <v>29.5</v>
          </cell>
          <cell r="M79">
            <v>30.2</v>
          </cell>
          <cell r="N79">
            <v>29.9</v>
          </cell>
          <cell r="O79">
            <v>29.8</v>
          </cell>
        </row>
        <row r="80">
          <cell r="A80">
            <v>407</v>
          </cell>
          <cell r="B80">
            <v>1</v>
          </cell>
          <cell r="C80">
            <v>13.439</v>
          </cell>
          <cell r="D80">
            <v>45.8</v>
          </cell>
          <cell r="E80">
            <v>39.799999999999997</v>
          </cell>
          <cell r="F80">
            <v>45.5</v>
          </cell>
          <cell r="G80">
            <v>41.1</v>
          </cell>
          <cell r="H80">
            <v>44.2</v>
          </cell>
          <cell r="I80">
            <v>44.3</v>
          </cell>
          <cell r="J80">
            <v>46.9</v>
          </cell>
          <cell r="K80">
            <v>39.200000000000003</v>
          </cell>
          <cell r="L80">
            <v>44.9</v>
          </cell>
          <cell r="M80">
            <v>36.6</v>
          </cell>
          <cell r="N80">
            <v>44.8</v>
          </cell>
          <cell r="O80">
            <v>43</v>
          </cell>
        </row>
        <row r="81">
          <cell r="A81">
            <v>407</v>
          </cell>
          <cell r="B81">
            <v>2</v>
          </cell>
          <cell r="C81">
            <v>13.444000000000001</v>
          </cell>
          <cell r="D81">
            <v>31.7</v>
          </cell>
          <cell r="E81">
            <v>30.7</v>
          </cell>
          <cell r="F81">
            <v>28.8</v>
          </cell>
          <cell r="G81">
            <v>28.7</v>
          </cell>
          <cell r="H81">
            <v>30.6</v>
          </cell>
          <cell r="I81">
            <v>29.4</v>
          </cell>
          <cell r="J81">
            <v>29.7</v>
          </cell>
          <cell r="K81">
            <v>29.5</v>
          </cell>
          <cell r="L81">
            <v>29.9</v>
          </cell>
          <cell r="M81">
            <v>28.9</v>
          </cell>
          <cell r="N81">
            <v>29.1</v>
          </cell>
          <cell r="O81">
            <v>28.8</v>
          </cell>
        </row>
        <row r="82">
          <cell r="A82">
            <v>406</v>
          </cell>
          <cell r="B82">
            <v>1</v>
          </cell>
          <cell r="C82">
            <v>13.457000000000001</v>
          </cell>
          <cell r="D82">
            <v>56.3</v>
          </cell>
          <cell r="E82">
            <v>41.4</v>
          </cell>
          <cell r="F82">
            <v>53.1</v>
          </cell>
          <cell r="G82">
            <v>35.1</v>
          </cell>
          <cell r="H82">
            <v>50.3</v>
          </cell>
          <cell r="I82">
            <v>37.5</v>
          </cell>
          <cell r="J82">
            <v>42.6</v>
          </cell>
          <cell r="K82">
            <v>40.1</v>
          </cell>
          <cell r="L82">
            <v>46</v>
          </cell>
          <cell r="M82">
            <v>36.9</v>
          </cell>
          <cell r="N82">
            <v>50.7</v>
          </cell>
          <cell r="O82">
            <v>35.6</v>
          </cell>
        </row>
        <row r="83">
          <cell r="A83">
            <v>406</v>
          </cell>
          <cell r="B83">
            <v>2</v>
          </cell>
          <cell r="C83">
            <v>13.462</v>
          </cell>
          <cell r="D83">
            <v>30.9</v>
          </cell>
          <cell r="E83">
            <v>32.6</v>
          </cell>
          <cell r="F83">
            <v>29.8</v>
          </cell>
          <cell r="G83">
            <v>31.6</v>
          </cell>
          <cell r="H83">
            <v>31.1</v>
          </cell>
          <cell r="I83">
            <v>30.9</v>
          </cell>
          <cell r="J83">
            <v>31.2</v>
          </cell>
          <cell r="K83">
            <v>32.200000000000003</v>
          </cell>
          <cell r="L83">
            <v>34.700000000000003</v>
          </cell>
          <cell r="M83">
            <v>31.2</v>
          </cell>
          <cell r="N83">
            <v>28.2</v>
          </cell>
          <cell r="O83">
            <v>31.1</v>
          </cell>
        </row>
        <row r="84">
          <cell r="A84">
            <v>405</v>
          </cell>
          <cell r="B84">
            <v>1</v>
          </cell>
          <cell r="C84">
            <v>13.475</v>
          </cell>
          <cell r="D84">
            <v>53</v>
          </cell>
          <cell r="E84">
            <v>40.1</v>
          </cell>
          <cell r="F84">
            <v>52.2</v>
          </cell>
          <cell r="G84">
            <v>35</v>
          </cell>
          <cell r="H84">
            <v>51.5</v>
          </cell>
          <cell r="I84">
            <v>34.1</v>
          </cell>
          <cell r="J84">
            <v>51.4</v>
          </cell>
          <cell r="K84">
            <v>37</v>
          </cell>
          <cell r="L84">
            <v>51.4</v>
          </cell>
          <cell r="M84">
            <v>35.5</v>
          </cell>
          <cell r="N84">
            <v>50.4</v>
          </cell>
          <cell r="O84">
            <v>42.9</v>
          </cell>
        </row>
        <row r="85">
          <cell r="A85">
            <v>405</v>
          </cell>
          <cell r="B85">
            <v>2</v>
          </cell>
          <cell r="C85">
            <v>13.48</v>
          </cell>
          <cell r="D85">
            <v>31.8</v>
          </cell>
          <cell r="E85">
            <v>30.7</v>
          </cell>
          <cell r="F85">
            <v>31.2</v>
          </cell>
          <cell r="G85">
            <v>30.8</v>
          </cell>
          <cell r="H85">
            <v>31.4</v>
          </cell>
          <cell r="I85">
            <v>32.200000000000003</v>
          </cell>
          <cell r="J85">
            <v>30.7</v>
          </cell>
          <cell r="K85">
            <v>29.8</v>
          </cell>
          <cell r="L85">
            <v>32.700000000000003</v>
          </cell>
          <cell r="M85">
            <v>31</v>
          </cell>
          <cell r="N85">
            <v>31.1</v>
          </cell>
          <cell r="O85">
            <v>31.2</v>
          </cell>
        </row>
        <row r="86">
          <cell r="A86">
            <v>404</v>
          </cell>
          <cell r="B86">
            <v>1</v>
          </cell>
          <cell r="C86">
            <v>13.493</v>
          </cell>
          <cell r="D86">
            <v>54.7</v>
          </cell>
          <cell r="E86">
            <v>54.9</v>
          </cell>
          <cell r="F86">
            <v>49.8</v>
          </cell>
          <cell r="G86">
            <v>35.299999999999997</v>
          </cell>
          <cell r="H86">
            <v>52.7</v>
          </cell>
          <cell r="I86">
            <v>41</v>
          </cell>
          <cell r="J86">
            <v>51.9</v>
          </cell>
          <cell r="K86">
            <v>36.4</v>
          </cell>
          <cell r="L86">
            <v>52.2</v>
          </cell>
          <cell r="M86">
            <v>38.200000000000003</v>
          </cell>
          <cell r="N86">
            <v>52.2</v>
          </cell>
          <cell r="O86">
            <v>43.9</v>
          </cell>
        </row>
        <row r="87">
          <cell r="A87">
            <v>404</v>
          </cell>
          <cell r="B87">
            <v>2</v>
          </cell>
          <cell r="C87">
            <v>13.499000000000001</v>
          </cell>
          <cell r="D87">
            <v>30.3</v>
          </cell>
          <cell r="E87">
            <v>29.5</v>
          </cell>
          <cell r="F87">
            <v>32</v>
          </cell>
          <cell r="G87">
            <v>29.7</v>
          </cell>
          <cell r="H87">
            <v>30.4</v>
          </cell>
          <cell r="I87">
            <v>30.7</v>
          </cell>
          <cell r="J87">
            <v>30.5</v>
          </cell>
          <cell r="K87">
            <v>32.9</v>
          </cell>
          <cell r="L87">
            <v>31.7</v>
          </cell>
          <cell r="M87">
            <v>32.200000000000003</v>
          </cell>
          <cell r="N87">
            <v>32.299999999999997</v>
          </cell>
          <cell r="O87">
            <v>30.8</v>
          </cell>
        </row>
        <row r="88">
          <cell r="A88">
            <v>403</v>
          </cell>
          <cell r="B88">
            <v>1</v>
          </cell>
          <cell r="C88">
            <v>13.510999999999999</v>
          </cell>
          <cell r="D88">
            <v>54.2</v>
          </cell>
          <cell r="E88">
            <v>39</v>
          </cell>
          <cell r="F88">
            <v>47.8</v>
          </cell>
          <cell r="G88">
            <v>36</v>
          </cell>
          <cell r="H88">
            <v>51.2</v>
          </cell>
          <cell r="I88">
            <v>37.6</v>
          </cell>
          <cell r="J88">
            <v>52</v>
          </cell>
          <cell r="K88">
            <v>34.700000000000003</v>
          </cell>
          <cell r="L88">
            <v>49.7</v>
          </cell>
          <cell r="M88">
            <v>37.799999999999997</v>
          </cell>
          <cell r="N88">
            <v>52</v>
          </cell>
          <cell r="O88">
            <v>36.6</v>
          </cell>
        </row>
        <row r="89">
          <cell r="A89">
            <v>403</v>
          </cell>
          <cell r="B89">
            <v>2</v>
          </cell>
          <cell r="C89">
            <v>13.515000000000001</v>
          </cell>
          <cell r="D89">
            <v>31.3</v>
          </cell>
          <cell r="E89">
            <v>30.2</v>
          </cell>
          <cell r="F89">
            <v>30.4</v>
          </cell>
          <cell r="G89">
            <v>30.5</v>
          </cell>
          <cell r="H89">
            <v>30.2</v>
          </cell>
          <cell r="I89">
            <v>28.2</v>
          </cell>
          <cell r="J89">
            <v>30.4</v>
          </cell>
          <cell r="K89">
            <v>29.8</v>
          </cell>
          <cell r="L89">
            <v>33.4</v>
          </cell>
          <cell r="M89">
            <v>32.200000000000003</v>
          </cell>
          <cell r="N89">
            <v>29.3</v>
          </cell>
          <cell r="O89">
            <v>29.2</v>
          </cell>
        </row>
        <row r="90">
          <cell r="A90">
            <v>402</v>
          </cell>
          <cell r="B90">
            <v>1</v>
          </cell>
          <cell r="C90">
            <v>13.529</v>
          </cell>
          <cell r="D90">
            <v>53.1</v>
          </cell>
          <cell r="E90">
            <v>38.5</v>
          </cell>
          <cell r="F90">
            <v>50.6</v>
          </cell>
          <cell r="G90">
            <v>40.700000000000003</v>
          </cell>
          <cell r="H90">
            <v>50.9</v>
          </cell>
          <cell r="I90">
            <v>33.799999999999997</v>
          </cell>
          <cell r="J90">
            <v>48.5</v>
          </cell>
          <cell r="K90">
            <v>35.6</v>
          </cell>
          <cell r="L90">
            <v>49.6</v>
          </cell>
          <cell r="M90">
            <v>37.799999999999997</v>
          </cell>
          <cell r="N90">
            <v>49.6</v>
          </cell>
          <cell r="O90">
            <v>35.1</v>
          </cell>
        </row>
        <row r="91">
          <cell r="A91">
            <v>402</v>
          </cell>
          <cell r="B91">
            <v>2</v>
          </cell>
          <cell r="C91">
            <v>13.532999999999999</v>
          </cell>
          <cell r="D91">
            <v>29.3</v>
          </cell>
          <cell r="E91">
            <v>28.4</v>
          </cell>
          <cell r="F91">
            <v>28.9</v>
          </cell>
          <cell r="G91">
            <v>28.2</v>
          </cell>
          <cell r="H91">
            <v>29.7</v>
          </cell>
          <cell r="I91">
            <v>28.8</v>
          </cell>
          <cell r="J91">
            <v>29.9</v>
          </cell>
          <cell r="K91">
            <v>29.1</v>
          </cell>
          <cell r="L91">
            <v>29.9</v>
          </cell>
          <cell r="M91">
            <v>29.5</v>
          </cell>
          <cell r="N91">
            <v>28.7</v>
          </cell>
          <cell r="O91">
            <v>29.1</v>
          </cell>
        </row>
        <row r="92">
          <cell r="A92">
            <v>401</v>
          </cell>
          <cell r="B92">
            <v>1</v>
          </cell>
          <cell r="C92">
            <v>13.545999999999999</v>
          </cell>
          <cell r="D92">
            <v>47.3</v>
          </cell>
          <cell r="E92">
            <v>40.1</v>
          </cell>
          <cell r="F92">
            <v>46.7</v>
          </cell>
          <cell r="G92">
            <v>37.700000000000003</v>
          </cell>
          <cell r="H92">
            <v>45.3</v>
          </cell>
          <cell r="I92">
            <v>41.1</v>
          </cell>
          <cell r="J92">
            <v>43</v>
          </cell>
          <cell r="K92">
            <v>39.700000000000003</v>
          </cell>
          <cell r="L92">
            <v>43.4</v>
          </cell>
          <cell r="M92">
            <v>35.6</v>
          </cell>
          <cell r="N92">
            <v>43.9</v>
          </cell>
          <cell r="O92">
            <v>38.1</v>
          </cell>
        </row>
        <row r="93">
          <cell r="A93">
            <v>401</v>
          </cell>
          <cell r="B93">
            <v>2</v>
          </cell>
          <cell r="C93">
            <v>13.551</v>
          </cell>
          <cell r="D93">
            <v>30.6</v>
          </cell>
          <cell r="E93">
            <v>29.7</v>
          </cell>
          <cell r="F93">
            <v>32.200000000000003</v>
          </cell>
          <cell r="G93">
            <v>29.7</v>
          </cell>
          <cell r="H93">
            <v>30.2</v>
          </cell>
          <cell r="I93">
            <v>29.5</v>
          </cell>
          <cell r="J93">
            <v>30.3</v>
          </cell>
          <cell r="K93">
            <v>30.9</v>
          </cell>
          <cell r="L93">
            <v>31.3</v>
          </cell>
          <cell r="M93">
            <v>31.7</v>
          </cell>
          <cell r="N93">
            <v>32.1</v>
          </cell>
          <cell r="O93">
            <v>30.1</v>
          </cell>
        </row>
      </sheetData>
      <sheetData sheetId="2">
        <row r="7">
          <cell r="C7">
            <v>171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35.1</v>
          </cell>
        </row>
        <row r="29">
          <cell r="E29">
            <v>4.9367875983357203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'IA173.03R'</v>
          </cell>
        </row>
        <row r="14">
          <cell r="A14">
            <v>108</v>
          </cell>
          <cell r="B14">
            <v>1</v>
          </cell>
          <cell r="C14">
            <v>13.118</v>
          </cell>
          <cell r="D14">
            <v>57.1</v>
          </cell>
          <cell r="E14">
            <v>33.9</v>
          </cell>
          <cell r="F14">
            <v>51</v>
          </cell>
          <cell r="G14">
            <v>43.4</v>
          </cell>
          <cell r="H14">
            <v>47.9</v>
          </cell>
          <cell r="I14">
            <v>53.3</v>
          </cell>
          <cell r="J14">
            <v>41.2</v>
          </cell>
          <cell r="K14">
            <v>58.2</v>
          </cell>
          <cell r="L14">
            <v>34.4</v>
          </cell>
          <cell r="M14">
            <v>55.6</v>
          </cell>
          <cell r="N14">
            <v>34.4</v>
          </cell>
          <cell r="O14">
            <v>54.2</v>
          </cell>
        </row>
        <row r="15">
          <cell r="A15">
            <v>108</v>
          </cell>
          <cell r="B15">
            <v>2</v>
          </cell>
          <cell r="C15">
            <v>13.125</v>
          </cell>
          <cell r="D15">
            <v>29</v>
          </cell>
          <cell r="E15">
            <v>30.2</v>
          </cell>
          <cell r="F15">
            <v>29.9</v>
          </cell>
          <cell r="G15">
            <v>28.7</v>
          </cell>
          <cell r="H15">
            <v>28.6</v>
          </cell>
          <cell r="I15">
            <v>29.6</v>
          </cell>
          <cell r="J15">
            <v>30.6</v>
          </cell>
          <cell r="K15">
            <v>29.7</v>
          </cell>
          <cell r="L15">
            <v>30.4</v>
          </cell>
          <cell r="M15">
            <v>28.8</v>
          </cell>
          <cell r="N15">
            <v>31.1</v>
          </cell>
          <cell r="O15">
            <v>30.8</v>
          </cell>
        </row>
        <row r="16">
          <cell r="A16">
            <v>107</v>
          </cell>
          <cell r="B16">
            <v>1</v>
          </cell>
          <cell r="C16">
            <v>13.14</v>
          </cell>
          <cell r="D16">
            <v>38.799999999999997</v>
          </cell>
          <cell r="E16">
            <v>47.7</v>
          </cell>
          <cell r="F16">
            <v>50.9</v>
          </cell>
          <cell r="G16">
            <v>40.1</v>
          </cell>
          <cell r="H16">
            <v>47.6</v>
          </cell>
          <cell r="I16">
            <v>46.3</v>
          </cell>
          <cell r="J16">
            <v>51</v>
          </cell>
          <cell r="K16">
            <v>41.1</v>
          </cell>
          <cell r="L16">
            <v>56.7</v>
          </cell>
          <cell r="M16">
            <v>42.7</v>
          </cell>
          <cell r="N16">
            <v>48.8</v>
          </cell>
          <cell r="O16">
            <v>32.299999999999997</v>
          </cell>
        </row>
        <row r="17">
          <cell r="A17">
            <v>107</v>
          </cell>
          <cell r="B17">
            <v>2</v>
          </cell>
          <cell r="C17">
            <v>13.148</v>
          </cell>
          <cell r="D17">
            <v>29.2</v>
          </cell>
          <cell r="E17">
            <v>29.8</v>
          </cell>
          <cell r="F17">
            <v>29.7</v>
          </cell>
          <cell r="G17">
            <v>29.2</v>
          </cell>
          <cell r="H17">
            <v>29.9</v>
          </cell>
          <cell r="I17">
            <v>27</v>
          </cell>
          <cell r="J17">
            <v>30</v>
          </cell>
          <cell r="K17">
            <v>29.1</v>
          </cell>
          <cell r="L17">
            <v>30.2</v>
          </cell>
          <cell r="M17">
            <v>31.5</v>
          </cell>
          <cell r="N17">
            <v>30.7</v>
          </cell>
          <cell r="O17">
            <v>30.2</v>
          </cell>
        </row>
        <row r="18">
          <cell r="A18">
            <v>106</v>
          </cell>
          <cell r="B18">
            <v>1</v>
          </cell>
          <cell r="C18">
            <v>13.164</v>
          </cell>
          <cell r="D18">
            <v>48.8</v>
          </cell>
          <cell r="E18">
            <v>32.799999999999997</v>
          </cell>
          <cell r="F18">
            <v>53.3</v>
          </cell>
          <cell r="G18">
            <v>41.7</v>
          </cell>
          <cell r="H18">
            <v>48.4</v>
          </cell>
          <cell r="I18">
            <v>46.5</v>
          </cell>
          <cell r="J18">
            <v>45.4</v>
          </cell>
          <cell r="K18">
            <v>49.3</v>
          </cell>
          <cell r="L18">
            <v>47</v>
          </cell>
          <cell r="M18">
            <v>47.6</v>
          </cell>
          <cell r="N18">
            <v>47.5</v>
          </cell>
          <cell r="O18">
            <v>47.7</v>
          </cell>
        </row>
        <row r="19">
          <cell r="A19">
            <v>106</v>
          </cell>
          <cell r="B19">
            <v>2</v>
          </cell>
          <cell r="C19">
            <v>13.170999999999999</v>
          </cell>
          <cell r="D19">
            <v>29.9</v>
          </cell>
          <cell r="E19">
            <v>28.8</v>
          </cell>
          <cell r="F19">
            <v>28.9</v>
          </cell>
          <cell r="G19">
            <v>29.3</v>
          </cell>
          <cell r="H19">
            <v>29.7</v>
          </cell>
          <cell r="I19">
            <v>29.6</v>
          </cell>
          <cell r="J19">
            <v>30</v>
          </cell>
          <cell r="K19">
            <v>30.2</v>
          </cell>
          <cell r="L19">
            <v>29.5</v>
          </cell>
          <cell r="M19">
            <v>28.7</v>
          </cell>
          <cell r="N19">
            <v>31.4</v>
          </cell>
          <cell r="O19">
            <v>29.8</v>
          </cell>
        </row>
        <row r="20">
          <cell r="A20">
            <v>105</v>
          </cell>
          <cell r="B20">
            <v>1</v>
          </cell>
          <cell r="C20">
            <v>13.183999999999999</v>
          </cell>
          <cell r="D20">
            <v>34.700000000000003</v>
          </cell>
          <cell r="E20">
            <v>29.3</v>
          </cell>
          <cell r="F20">
            <v>37.1</v>
          </cell>
          <cell r="G20">
            <v>38.4</v>
          </cell>
          <cell r="H20">
            <v>32.799999999999997</v>
          </cell>
          <cell r="I20">
            <v>40.4</v>
          </cell>
          <cell r="J20">
            <v>33</v>
          </cell>
          <cell r="K20">
            <v>39.1</v>
          </cell>
          <cell r="L20">
            <v>38.200000000000003</v>
          </cell>
          <cell r="M20">
            <v>41.6</v>
          </cell>
          <cell r="N20">
            <v>40.700000000000003</v>
          </cell>
          <cell r="O20">
            <v>38.200000000000003</v>
          </cell>
        </row>
        <row r="21">
          <cell r="A21">
            <v>105</v>
          </cell>
          <cell r="B21">
            <v>2</v>
          </cell>
          <cell r="C21">
            <v>13.192</v>
          </cell>
          <cell r="D21">
            <v>28.5</v>
          </cell>
          <cell r="E21">
            <v>26.6</v>
          </cell>
          <cell r="F21">
            <v>28.6</v>
          </cell>
          <cell r="G21">
            <v>29.1</v>
          </cell>
          <cell r="H21">
            <v>27.7</v>
          </cell>
          <cell r="I21">
            <v>28</v>
          </cell>
          <cell r="J21">
            <v>29.6</v>
          </cell>
          <cell r="K21">
            <v>28.1</v>
          </cell>
          <cell r="L21">
            <v>28.8</v>
          </cell>
          <cell r="M21">
            <v>29.7</v>
          </cell>
          <cell r="N21">
            <v>27.8</v>
          </cell>
          <cell r="O21">
            <v>29.2</v>
          </cell>
        </row>
        <row r="22">
          <cell r="A22">
            <v>104</v>
          </cell>
          <cell r="B22">
            <v>1</v>
          </cell>
          <cell r="C22">
            <v>13.207000000000001</v>
          </cell>
          <cell r="D22">
            <v>57.9</v>
          </cell>
          <cell r="E22">
            <v>36</v>
          </cell>
          <cell r="F22">
            <v>54.1</v>
          </cell>
          <cell r="G22">
            <v>37.1</v>
          </cell>
          <cell r="H22">
            <v>48.6</v>
          </cell>
          <cell r="I22">
            <v>47.2</v>
          </cell>
          <cell r="J22">
            <v>54</v>
          </cell>
          <cell r="K22">
            <v>39.299999999999997</v>
          </cell>
          <cell r="L22">
            <v>51.9</v>
          </cell>
          <cell r="M22">
            <v>47.7</v>
          </cell>
          <cell r="N22">
            <v>51.3</v>
          </cell>
          <cell r="O22">
            <v>44.8</v>
          </cell>
        </row>
        <row r="23">
          <cell r="A23">
            <v>104</v>
          </cell>
          <cell r="B23">
            <v>2</v>
          </cell>
          <cell r="C23">
            <v>13.215</v>
          </cell>
          <cell r="D23">
            <v>28.7</v>
          </cell>
          <cell r="E23">
            <v>29.1</v>
          </cell>
          <cell r="F23">
            <v>30.4</v>
          </cell>
          <cell r="G23">
            <v>28.7</v>
          </cell>
          <cell r="H23">
            <v>28.7</v>
          </cell>
          <cell r="I23">
            <v>30.6</v>
          </cell>
          <cell r="J23">
            <v>28.8</v>
          </cell>
          <cell r="K23">
            <v>30.5</v>
          </cell>
          <cell r="L23">
            <v>28.6</v>
          </cell>
          <cell r="M23">
            <v>28.1</v>
          </cell>
          <cell r="N23">
            <v>27.6</v>
          </cell>
          <cell r="O23">
            <v>27.6</v>
          </cell>
        </row>
        <row r="24">
          <cell r="A24">
            <v>103</v>
          </cell>
          <cell r="B24">
            <v>1</v>
          </cell>
          <cell r="C24">
            <v>13.233000000000001</v>
          </cell>
          <cell r="D24">
            <v>57.5</v>
          </cell>
          <cell r="E24">
            <v>42.2</v>
          </cell>
          <cell r="F24">
            <v>47.3</v>
          </cell>
          <cell r="G24">
            <v>37.799999999999997</v>
          </cell>
          <cell r="H24">
            <v>43.3</v>
          </cell>
          <cell r="I24">
            <v>36.6</v>
          </cell>
          <cell r="J24">
            <v>49.2</v>
          </cell>
          <cell r="K24">
            <v>40.9</v>
          </cell>
          <cell r="L24">
            <v>46.8</v>
          </cell>
          <cell r="M24">
            <v>45.1</v>
          </cell>
          <cell r="N24">
            <v>49.4</v>
          </cell>
          <cell r="O24">
            <v>38.299999999999997</v>
          </cell>
        </row>
        <row r="25">
          <cell r="A25">
            <v>103</v>
          </cell>
          <cell r="B25">
            <v>2</v>
          </cell>
          <cell r="C25">
            <v>13.239000000000001</v>
          </cell>
          <cell r="D25">
            <v>31.4</v>
          </cell>
          <cell r="E25">
            <v>31.7</v>
          </cell>
          <cell r="F25">
            <v>34.1</v>
          </cell>
          <cell r="G25">
            <v>32.9</v>
          </cell>
          <cell r="H25">
            <v>32.200000000000003</v>
          </cell>
          <cell r="I25">
            <v>33.4</v>
          </cell>
          <cell r="J25">
            <v>31.8</v>
          </cell>
          <cell r="K25">
            <v>31.7</v>
          </cell>
          <cell r="L25">
            <v>32.299999999999997</v>
          </cell>
          <cell r="M25">
            <v>33</v>
          </cell>
          <cell r="N25">
            <v>32</v>
          </cell>
          <cell r="O25">
            <v>33</v>
          </cell>
        </row>
        <row r="26">
          <cell r="A26">
            <v>102</v>
          </cell>
          <cell r="B26">
            <v>1</v>
          </cell>
          <cell r="C26">
            <v>13.255000000000001</v>
          </cell>
          <cell r="D26">
            <v>59.3</v>
          </cell>
          <cell r="E26">
            <v>38.299999999999997</v>
          </cell>
          <cell r="F26">
            <v>54</v>
          </cell>
          <cell r="G26">
            <v>42.2</v>
          </cell>
          <cell r="H26">
            <v>54.8</v>
          </cell>
          <cell r="I26">
            <v>55.3</v>
          </cell>
          <cell r="J26">
            <v>48.2</v>
          </cell>
          <cell r="K26">
            <v>55.7</v>
          </cell>
          <cell r="L26">
            <v>49.9</v>
          </cell>
          <cell r="M26">
            <v>55.9</v>
          </cell>
          <cell r="N26">
            <v>48.3</v>
          </cell>
          <cell r="O26">
            <v>53.5</v>
          </cell>
        </row>
        <row r="27">
          <cell r="A27">
            <v>102</v>
          </cell>
          <cell r="B27">
            <v>2</v>
          </cell>
          <cell r="C27">
            <v>13.26</v>
          </cell>
          <cell r="D27">
            <v>30.3</v>
          </cell>
          <cell r="E27">
            <v>29.8</v>
          </cell>
          <cell r="F27">
            <v>30.8</v>
          </cell>
          <cell r="G27">
            <v>30.8</v>
          </cell>
          <cell r="H27">
            <v>30.2</v>
          </cell>
          <cell r="I27">
            <v>29.4</v>
          </cell>
          <cell r="J27">
            <v>31.7</v>
          </cell>
          <cell r="K27">
            <v>30.4</v>
          </cell>
          <cell r="L27">
            <v>29.9</v>
          </cell>
          <cell r="M27">
            <v>30.8</v>
          </cell>
          <cell r="N27">
            <v>29.6</v>
          </cell>
          <cell r="O27">
            <v>30.4</v>
          </cell>
        </row>
        <row r="28">
          <cell r="A28">
            <v>101</v>
          </cell>
          <cell r="B28">
            <v>1</v>
          </cell>
          <cell r="C28">
            <v>13.275</v>
          </cell>
          <cell r="D28">
            <v>58.7</v>
          </cell>
          <cell r="E28">
            <v>47.2</v>
          </cell>
          <cell r="F28">
            <v>56.3</v>
          </cell>
          <cell r="G28">
            <v>38.4</v>
          </cell>
          <cell r="H28">
            <v>53.5</v>
          </cell>
          <cell r="I28">
            <v>50</v>
          </cell>
          <cell r="J28">
            <v>48.4</v>
          </cell>
          <cell r="K28">
            <v>48.7</v>
          </cell>
          <cell r="L28">
            <v>54.7</v>
          </cell>
          <cell r="M28">
            <v>46.8</v>
          </cell>
          <cell r="N28">
            <v>56.5</v>
          </cell>
          <cell r="O28">
            <v>40.9</v>
          </cell>
        </row>
        <row r="29">
          <cell r="A29">
            <v>101</v>
          </cell>
          <cell r="B29">
            <v>2</v>
          </cell>
          <cell r="C29">
            <v>13.28</v>
          </cell>
          <cell r="D29">
            <v>30.5</v>
          </cell>
          <cell r="E29">
            <v>31</v>
          </cell>
          <cell r="F29">
            <v>29.9</v>
          </cell>
          <cell r="G29">
            <v>29.8</v>
          </cell>
          <cell r="H29">
            <v>29.4</v>
          </cell>
          <cell r="I29">
            <v>29</v>
          </cell>
          <cell r="J29">
            <v>29.1</v>
          </cell>
          <cell r="K29">
            <v>28.2</v>
          </cell>
          <cell r="L29">
            <v>28.7</v>
          </cell>
          <cell r="M29">
            <v>29.7</v>
          </cell>
          <cell r="N29">
            <v>29.6</v>
          </cell>
          <cell r="O29">
            <v>30.2</v>
          </cell>
        </row>
        <row r="30">
          <cell r="A30">
            <v>201</v>
          </cell>
          <cell r="B30">
            <v>1</v>
          </cell>
          <cell r="C30">
            <v>13.298999999999999</v>
          </cell>
          <cell r="D30">
            <v>51</v>
          </cell>
          <cell r="E30">
            <v>32.5</v>
          </cell>
          <cell r="F30">
            <v>40.4</v>
          </cell>
          <cell r="G30">
            <v>39.9</v>
          </cell>
          <cell r="H30">
            <v>29.6</v>
          </cell>
          <cell r="I30">
            <v>47.6</v>
          </cell>
          <cell r="J30">
            <v>30.7</v>
          </cell>
          <cell r="K30">
            <v>42.9</v>
          </cell>
          <cell r="L30">
            <v>33.5</v>
          </cell>
          <cell r="M30">
            <v>39.9</v>
          </cell>
          <cell r="N30">
            <v>31.2</v>
          </cell>
          <cell r="O30">
            <v>47.2</v>
          </cell>
        </row>
        <row r="31">
          <cell r="A31">
            <v>201</v>
          </cell>
          <cell r="B31">
            <v>2</v>
          </cell>
          <cell r="C31">
            <v>13.305</v>
          </cell>
          <cell r="D31">
            <v>29.6</v>
          </cell>
          <cell r="E31">
            <v>28</v>
          </cell>
          <cell r="F31">
            <v>28.2</v>
          </cell>
          <cell r="G31">
            <v>28.1</v>
          </cell>
          <cell r="H31">
            <v>27.5</v>
          </cell>
          <cell r="I31">
            <v>28.3</v>
          </cell>
          <cell r="J31">
            <v>27</v>
          </cell>
          <cell r="K31">
            <v>27.9</v>
          </cell>
          <cell r="L31">
            <v>26.9</v>
          </cell>
          <cell r="M31">
            <v>27.6</v>
          </cell>
          <cell r="N31">
            <v>28.2</v>
          </cell>
          <cell r="O31">
            <v>28</v>
          </cell>
        </row>
        <row r="32">
          <cell r="A32">
            <v>202</v>
          </cell>
          <cell r="B32">
            <v>1</v>
          </cell>
          <cell r="C32">
            <v>13.319000000000001</v>
          </cell>
          <cell r="D32">
            <v>53.3</v>
          </cell>
          <cell r="E32">
            <v>38.200000000000003</v>
          </cell>
          <cell r="F32">
            <v>53.6</v>
          </cell>
          <cell r="G32">
            <v>44.3</v>
          </cell>
          <cell r="H32">
            <v>49.4</v>
          </cell>
          <cell r="I32">
            <v>43.7</v>
          </cell>
          <cell r="J32">
            <v>53.5</v>
          </cell>
          <cell r="K32">
            <v>45.1</v>
          </cell>
          <cell r="L32">
            <v>50.5</v>
          </cell>
          <cell r="M32">
            <v>49</v>
          </cell>
          <cell r="N32">
            <v>40.700000000000003</v>
          </cell>
          <cell r="O32">
            <v>47</v>
          </cell>
        </row>
        <row r="33">
          <cell r="A33">
            <v>202</v>
          </cell>
          <cell r="B33">
            <v>2</v>
          </cell>
          <cell r="C33">
            <v>13.324</v>
          </cell>
          <cell r="D33">
            <v>30.7</v>
          </cell>
          <cell r="E33">
            <v>29</v>
          </cell>
          <cell r="F33">
            <v>30.6</v>
          </cell>
          <cell r="G33">
            <v>31.2</v>
          </cell>
          <cell r="H33">
            <v>31.8</v>
          </cell>
          <cell r="I33">
            <v>30.8</v>
          </cell>
          <cell r="J33">
            <v>30.4</v>
          </cell>
          <cell r="K33">
            <v>31</v>
          </cell>
          <cell r="L33">
            <v>32.1</v>
          </cell>
          <cell r="M33">
            <v>29.7</v>
          </cell>
          <cell r="N33">
            <v>30.2</v>
          </cell>
          <cell r="O33">
            <v>29.7</v>
          </cell>
        </row>
        <row r="34">
          <cell r="A34">
            <v>203</v>
          </cell>
          <cell r="B34">
            <v>1</v>
          </cell>
          <cell r="C34">
            <v>13.339</v>
          </cell>
          <cell r="D34">
            <v>58.2</v>
          </cell>
          <cell r="E34">
            <v>40.799999999999997</v>
          </cell>
          <cell r="F34">
            <v>56.5</v>
          </cell>
          <cell r="G34">
            <v>39.5</v>
          </cell>
          <cell r="H34">
            <v>42.7</v>
          </cell>
          <cell r="I34">
            <v>50.5</v>
          </cell>
          <cell r="J34">
            <v>41.3</v>
          </cell>
          <cell r="K34">
            <v>59.9</v>
          </cell>
          <cell r="L34">
            <v>47.5</v>
          </cell>
          <cell r="M34">
            <v>56.8</v>
          </cell>
          <cell r="N34">
            <v>35.299999999999997</v>
          </cell>
          <cell r="O34">
            <v>55.2</v>
          </cell>
        </row>
        <row r="35">
          <cell r="A35">
            <v>203</v>
          </cell>
          <cell r="B35">
            <v>2</v>
          </cell>
          <cell r="C35">
            <v>13.343999999999999</v>
          </cell>
          <cell r="D35">
            <v>29.1</v>
          </cell>
          <cell r="E35">
            <v>29.6</v>
          </cell>
          <cell r="F35">
            <v>29.1</v>
          </cell>
          <cell r="G35">
            <v>29.4</v>
          </cell>
          <cell r="H35">
            <v>29.7</v>
          </cell>
          <cell r="I35">
            <v>29.7</v>
          </cell>
          <cell r="J35">
            <v>28.3</v>
          </cell>
          <cell r="K35">
            <v>28.6</v>
          </cell>
          <cell r="L35">
            <v>27.8</v>
          </cell>
          <cell r="M35">
            <v>28.2</v>
          </cell>
          <cell r="N35">
            <v>28.4</v>
          </cell>
          <cell r="O35">
            <v>29.8</v>
          </cell>
        </row>
        <row r="36">
          <cell r="A36">
            <v>204</v>
          </cell>
          <cell r="B36">
            <v>1</v>
          </cell>
          <cell r="C36">
            <v>13.358000000000001</v>
          </cell>
          <cell r="D36">
            <v>50.9</v>
          </cell>
          <cell r="E36">
            <v>36.5</v>
          </cell>
          <cell r="F36">
            <v>37.5</v>
          </cell>
          <cell r="G36">
            <v>34</v>
          </cell>
          <cell r="H36">
            <v>39.1</v>
          </cell>
          <cell r="I36">
            <v>41.3</v>
          </cell>
          <cell r="J36">
            <v>38.9</v>
          </cell>
          <cell r="K36">
            <v>31.4</v>
          </cell>
          <cell r="L36">
            <v>40.700000000000003</v>
          </cell>
          <cell r="M36">
            <v>32.5</v>
          </cell>
          <cell r="N36">
            <v>49.8</v>
          </cell>
          <cell r="O36">
            <v>29.8</v>
          </cell>
        </row>
        <row r="37">
          <cell r="A37">
            <v>204</v>
          </cell>
          <cell r="B37">
            <v>2</v>
          </cell>
          <cell r="C37">
            <v>13.364000000000001</v>
          </cell>
          <cell r="D37">
            <v>28</v>
          </cell>
          <cell r="E37">
            <v>29.5</v>
          </cell>
          <cell r="F37">
            <v>27.4</v>
          </cell>
          <cell r="G37">
            <v>28.9</v>
          </cell>
          <cell r="H37">
            <v>28.4</v>
          </cell>
          <cell r="I37">
            <v>28.3</v>
          </cell>
          <cell r="J37">
            <v>29.2</v>
          </cell>
          <cell r="K37">
            <v>31.8</v>
          </cell>
          <cell r="L37">
            <v>30.1</v>
          </cell>
          <cell r="M37">
            <v>28.8</v>
          </cell>
          <cell r="N37">
            <v>29.1</v>
          </cell>
          <cell r="O37">
            <v>28.3</v>
          </cell>
        </row>
        <row r="38">
          <cell r="A38">
            <v>205</v>
          </cell>
          <cell r="B38">
            <v>1</v>
          </cell>
          <cell r="C38">
            <v>13.375999999999999</v>
          </cell>
          <cell r="D38">
            <v>59.9</v>
          </cell>
          <cell r="E38">
            <v>53.4</v>
          </cell>
          <cell r="F38">
            <v>57.3</v>
          </cell>
          <cell r="G38">
            <v>42.8</v>
          </cell>
          <cell r="H38">
            <v>55.4</v>
          </cell>
          <cell r="I38">
            <v>39.4</v>
          </cell>
          <cell r="J38">
            <v>57.2</v>
          </cell>
          <cell r="K38">
            <v>51.2</v>
          </cell>
          <cell r="L38">
            <v>56.8</v>
          </cell>
          <cell r="M38">
            <v>34.299999999999997</v>
          </cell>
          <cell r="N38">
            <v>58.4</v>
          </cell>
          <cell r="O38">
            <v>38.6</v>
          </cell>
        </row>
        <row r="39">
          <cell r="A39">
            <v>205</v>
          </cell>
          <cell r="B39">
            <v>2</v>
          </cell>
          <cell r="C39">
            <v>13.381</v>
          </cell>
          <cell r="D39">
            <v>28.8</v>
          </cell>
          <cell r="E39">
            <v>29.6</v>
          </cell>
          <cell r="F39">
            <v>28.6</v>
          </cell>
          <cell r="G39">
            <v>29.5</v>
          </cell>
          <cell r="H39">
            <v>29</v>
          </cell>
          <cell r="I39">
            <v>29.9</v>
          </cell>
          <cell r="J39">
            <v>30.1</v>
          </cell>
          <cell r="K39">
            <v>29.5</v>
          </cell>
          <cell r="L39">
            <v>29.6</v>
          </cell>
          <cell r="M39">
            <v>30.6</v>
          </cell>
          <cell r="N39">
            <v>29.7</v>
          </cell>
          <cell r="O39">
            <v>29.8</v>
          </cell>
        </row>
        <row r="40">
          <cell r="A40">
            <v>206</v>
          </cell>
          <cell r="B40">
            <v>1</v>
          </cell>
          <cell r="C40">
            <v>13.397</v>
          </cell>
          <cell r="D40">
            <v>57.7</v>
          </cell>
          <cell r="E40">
            <v>46.2</v>
          </cell>
          <cell r="F40">
            <v>52.5</v>
          </cell>
          <cell r="G40">
            <v>49.8</v>
          </cell>
          <cell r="H40">
            <v>51</v>
          </cell>
          <cell r="I40">
            <v>53.2</v>
          </cell>
          <cell r="J40">
            <v>43.8</v>
          </cell>
          <cell r="K40">
            <v>50</v>
          </cell>
          <cell r="L40">
            <v>46.7</v>
          </cell>
          <cell r="M40">
            <v>52</v>
          </cell>
          <cell r="N40">
            <v>46.6</v>
          </cell>
          <cell r="O40">
            <v>52.8</v>
          </cell>
        </row>
        <row r="41">
          <cell r="A41">
            <v>206</v>
          </cell>
          <cell r="B41">
            <v>2</v>
          </cell>
          <cell r="C41">
            <v>13.401999999999999</v>
          </cell>
          <cell r="D41">
            <v>28.3</v>
          </cell>
          <cell r="E41">
            <v>29.8</v>
          </cell>
          <cell r="F41">
            <v>28</v>
          </cell>
          <cell r="G41">
            <v>29.4</v>
          </cell>
          <cell r="H41">
            <v>27.9</v>
          </cell>
          <cell r="I41">
            <v>29.2</v>
          </cell>
          <cell r="J41">
            <v>29.7</v>
          </cell>
          <cell r="K41">
            <v>28.7</v>
          </cell>
          <cell r="L41">
            <v>28.9</v>
          </cell>
          <cell r="M41">
            <v>29.1</v>
          </cell>
          <cell r="N41">
            <v>26.2</v>
          </cell>
          <cell r="O41">
            <v>28.8</v>
          </cell>
        </row>
        <row r="42">
          <cell r="A42">
            <v>207</v>
          </cell>
          <cell r="B42">
            <v>1</v>
          </cell>
          <cell r="C42">
            <v>13.417</v>
          </cell>
          <cell r="D42">
            <v>59.3</v>
          </cell>
          <cell r="E42">
            <v>36.700000000000003</v>
          </cell>
          <cell r="F42">
            <v>58</v>
          </cell>
          <cell r="G42">
            <v>33.9</v>
          </cell>
          <cell r="H42">
            <v>55.7</v>
          </cell>
          <cell r="I42">
            <v>37.1</v>
          </cell>
          <cell r="J42">
            <v>54.8</v>
          </cell>
          <cell r="K42">
            <v>40.1</v>
          </cell>
          <cell r="L42">
            <v>49.7</v>
          </cell>
          <cell r="M42">
            <v>44.2</v>
          </cell>
          <cell r="N42">
            <v>56.6</v>
          </cell>
          <cell r="O42">
            <v>35.200000000000003</v>
          </cell>
        </row>
        <row r="43">
          <cell r="A43">
            <v>207</v>
          </cell>
          <cell r="B43">
            <v>2</v>
          </cell>
          <cell r="C43">
            <v>13.423</v>
          </cell>
          <cell r="D43">
            <v>29.4</v>
          </cell>
          <cell r="E43">
            <v>28.7</v>
          </cell>
          <cell r="F43">
            <v>30</v>
          </cell>
          <cell r="G43">
            <v>30.4</v>
          </cell>
          <cell r="H43">
            <v>29.8</v>
          </cell>
          <cell r="I43">
            <v>28.8</v>
          </cell>
          <cell r="J43">
            <v>30.8</v>
          </cell>
          <cell r="K43">
            <v>29.3</v>
          </cell>
          <cell r="L43">
            <v>30</v>
          </cell>
          <cell r="M43">
            <v>30.3</v>
          </cell>
          <cell r="N43">
            <v>29.6</v>
          </cell>
          <cell r="O43">
            <v>31.1</v>
          </cell>
        </row>
        <row r="44">
          <cell r="A44">
            <v>208</v>
          </cell>
          <cell r="B44">
            <v>1</v>
          </cell>
          <cell r="C44">
            <v>13.436999999999999</v>
          </cell>
          <cell r="D44">
            <v>59</v>
          </cell>
          <cell r="E44">
            <v>38.1</v>
          </cell>
          <cell r="F44">
            <v>58.7</v>
          </cell>
          <cell r="G44">
            <v>37.700000000000003</v>
          </cell>
          <cell r="H44">
            <v>58.1</v>
          </cell>
          <cell r="I44">
            <v>44.6</v>
          </cell>
          <cell r="J44">
            <v>58.6</v>
          </cell>
          <cell r="K44">
            <v>45.2</v>
          </cell>
          <cell r="L44">
            <v>56.8</v>
          </cell>
          <cell r="M44">
            <v>43.1</v>
          </cell>
          <cell r="N44">
            <v>57.1</v>
          </cell>
          <cell r="O44">
            <v>43</v>
          </cell>
        </row>
        <row r="45">
          <cell r="A45">
            <v>208</v>
          </cell>
          <cell r="B45">
            <v>2</v>
          </cell>
          <cell r="C45">
            <v>13.443</v>
          </cell>
          <cell r="D45">
            <v>28.8</v>
          </cell>
          <cell r="E45">
            <v>28.8</v>
          </cell>
          <cell r="F45">
            <v>30.4</v>
          </cell>
          <cell r="G45">
            <v>29.1</v>
          </cell>
          <cell r="H45">
            <v>28.9</v>
          </cell>
          <cell r="I45">
            <v>28.7</v>
          </cell>
          <cell r="J45">
            <v>30.1</v>
          </cell>
          <cell r="K45">
            <v>29.1</v>
          </cell>
          <cell r="L45">
            <v>28.7</v>
          </cell>
          <cell r="M45">
            <v>28</v>
          </cell>
          <cell r="N45">
            <v>28.7</v>
          </cell>
          <cell r="O45">
            <v>27.7</v>
          </cell>
        </row>
        <row r="46">
          <cell r="A46">
            <v>908</v>
          </cell>
          <cell r="B46">
            <v>1</v>
          </cell>
          <cell r="C46">
            <v>13.465</v>
          </cell>
          <cell r="D46">
            <v>58.8</v>
          </cell>
          <cell r="E46">
            <v>36.700000000000003</v>
          </cell>
          <cell r="F46">
            <v>54.1</v>
          </cell>
          <cell r="G46">
            <v>47.8</v>
          </cell>
          <cell r="H46">
            <v>46.7</v>
          </cell>
          <cell r="I46">
            <v>57.3</v>
          </cell>
          <cell r="J46">
            <v>34.799999999999997</v>
          </cell>
          <cell r="K46">
            <v>59.1</v>
          </cell>
          <cell r="L46">
            <v>36.1</v>
          </cell>
          <cell r="M46">
            <v>58.1</v>
          </cell>
          <cell r="N46">
            <v>52.4</v>
          </cell>
          <cell r="O46">
            <v>38.5</v>
          </cell>
        </row>
        <row r="47">
          <cell r="A47">
            <v>908</v>
          </cell>
          <cell r="B47">
            <v>2</v>
          </cell>
          <cell r="C47">
            <v>13.47</v>
          </cell>
          <cell r="D47">
            <v>30.5</v>
          </cell>
          <cell r="E47">
            <v>30.2</v>
          </cell>
          <cell r="F47">
            <v>29.6</v>
          </cell>
          <cell r="G47">
            <v>29.6</v>
          </cell>
          <cell r="H47">
            <v>29.7</v>
          </cell>
          <cell r="I47">
            <v>30.3</v>
          </cell>
          <cell r="J47">
            <v>28.6</v>
          </cell>
          <cell r="K47">
            <v>30.1</v>
          </cell>
          <cell r="L47">
            <v>30.3</v>
          </cell>
          <cell r="M47">
            <v>28.6</v>
          </cell>
          <cell r="N47">
            <v>30.3</v>
          </cell>
          <cell r="O47">
            <v>29.5</v>
          </cell>
        </row>
        <row r="48">
          <cell r="A48">
            <v>907</v>
          </cell>
          <cell r="B48">
            <v>1</v>
          </cell>
          <cell r="C48">
            <v>13.494</v>
          </cell>
          <cell r="D48">
            <v>64.2</v>
          </cell>
          <cell r="E48">
            <v>64.2</v>
          </cell>
          <cell r="F48">
            <v>64.400000000000006</v>
          </cell>
          <cell r="G48">
            <v>63.9</v>
          </cell>
          <cell r="H48">
            <v>63.7</v>
          </cell>
          <cell r="I48">
            <v>63.5</v>
          </cell>
          <cell r="J48">
            <v>63.6</v>
          </cell>
          <cell r="K48">
            <v>63.4</v>
          </cell>
          <cell r="L48">
            <v>62.6</v>
          </cell>
          <cell r="M48">
            <v>64.2</v>
          </cell>
          <cell r="N48">
            <v>63.7</v>
          </cell>
          <cell r="O48">
            <v>62.9</v>
          </cell>
        </row>
        <row r="50">
          <cell r="A50">
            <v>906</v>
          </cell>
          <cell r="B50">
            <v>1</v>
          </cell>
          <cell r="C50">
            <v>13.505000000000001</v>
          </cell>
          <cell r="D50">
            <v>55.5</v>
          </cell>
          <cell r="E50">
            <v>36.700000000000003</v>
          </cell>
          <cell r="F50">
            <v>55.8</v>
          </cell>
          <cell r="G50">
            <v>36.299999999999997</v>
          </cell>
          <cell r="H50">
            <v>51.4</v>
          </cell>
          <cell r="I50">
            <v>47.4</v>
          </cell>
          <cell r="J50">
            <v>53.4</v>
          </cell>
          <cell r="K50">
            <v>51.8</v>
          </cell>
          <cell r="L50">
            <v>56.3</v>
          </cell>
          <cell r="M50">
            <v>42.3</v>
          </cell>
          <cell r="N50">
            <v>58.4</v>
          </cell>
          <cell r="O50">
            <v>36.5</v>
          </cell>
        </row>
        <row r="51">
          <cell r="A51">
            <v>906</v>
          </cell>
          <cell r="B51">
            <v>2</v>
          </cell>
          <cell r="C51">
            <v>13.510999999999999</v>
          </cell>
          <cell r="D51">
            <v>29.9</v>
          </cell>
          <cell r="E51">
            <v>29.4</v>
          </cell>
          <cell r="F51">
            <v>29.8</v>
          </cell>
          <cell r="G51">
            <v>30.8</v>
          </cell>
          <cell r="H51">
            <v>29.2</v>
          </cell>
          <cell r="I51">
            <v>31.8</v>
          </cell>
          <cell r="J51">
            <v>29.5</v>
          </cell>
          <cell r="K51">
            <v>30.3</v>
          </cell>
          <cell r="L51">
            <v>30.3</v>
          </cell>
          <cell r="M51">
            <v>28.7</v>
          </cell>
          <cell r="N51">
            <v>29.2</v>
          </cell>
          <cell r="O51">
            <v>28.7</v>
          </cell>
        </row>
        <row r="52">
          <cell r="A52">
            <v>905</v>
          </cell>
          <cell r="B52">
            <v>1</v>
          </cell>
          <cell r="C52">
            <v>13.522</v>
          </cell>
          <cell r="D52">
            <v>50.1</v>
          </cell>
          <cell r="E52">
            <v>50</v>
          </cell>
          <cell r="F52">
            <v>49.2</v>
          </cell>
          <cell r="G52">
            <v>49.3</v>
          </cell>
          <cell r="H52">
            <v>50.2</v>
          </cell>
          <cell r="I52">
            <v>50.8</v>
          </cell>
          <cell r="J52">
            <v>50.9</v>
          </cell>
          <cell r="K52">
            <v>50.3</v>
          </cell>
          <cell r="L52">
            <v>49.9</v>
          </cell>
          <cell r="M52">
            <v>49.9</v>
          </cell>
          <cell r="N52">
            <v>50</v>
          </cell>
          <cell r="O52">
            <v>50.3</v>
          </cell>
        </row>
        <row r="54">
          <cell r="A54">
            <v>904</v>
          </cell>
          <cell r="B54">
            <v>1</v>
          </cell>
          <cell r="C54">
            <v>13.532</v>
          </cell>
          <cell r="D54">
            <v>60.7</v>
          </cell>
          <cell r="E54">
            <v>60.7</v>
          </cell>
          <cell r="F54">
            <v>52</v>
          </cell>
          <cell r="G54">
            <v>39</v>
          </cell>
          <cell r="H54">
            <v>55.7</v>
          </cell>
          <cell r="I54">
            <v>33.1</v>
          </cell>
          <cell r="J54">
            <v>56.9</v>
          </cell>
          <cell r="K54">
            <v>36.1</v>
          </cell>
          <cell r="L54">
            <v>54.5</v>
          </cell>
          <cell r="M54">
            <v>44.6</v>
          </cell>
          <cell r="N54">
            <v>54.4</v>
          </cell>
          <cell r="O54">
            <v>37.799999999999997</v>
          </cell>
        </row>
        <row r="55">
          <cell r="A55">
            <v>904</v>
          </cell>
          <cell r="B55">
            <v>2</v>
          </cell>
          <cell r="C55">
            <v>13.542999999999999</v>
          </cell>
          <cell r="D55">
            <v>29</v>
          </cell>
          <cell r="E55">
            <v>28.4</v>
          </cell>
          <cell r="F55">
            <v>27.4</v>
          </cell>
          <cell r="G55">
            <v>27</v>
          </cell>
          <cell r="H55">
            <v>28.9</v>
          </cell>
          <cell r="I55">
            <v>28.8</v>
          </cell>
          <cell r="J55">
            <v>30.2</v>
          </cell>
          <cell r="K55">
            <v>29.6</v>
          </cell>
          <cell r="L55">
            <v>28.7</v>
          </cell>
          <cell r="M55">
            <v>29.2</v>
          </cell>
          <cell r="N55">
            <v>28.3</v>
          </cell>
          <cell r="O55">
            <v>29.6</v>
          </cell>
        </row>
        <row r="56">
          <cell r="A56">
            <v>903</v>
          </cell>
          <cell r="B56">
            <v>1</v>
          </cell>
          <cell r="C56">
            <v>13.566000000000001</v>
          </cell>
          <cell r="D56">
            <v>62.1</v>
          </cell>
          <cell r="E56">
            <v>62.1</v>
          </cell>
          <cell r="F56">
            <v>62.5</v>
          </cell>
          <cell r="G56">
            <v>62.1</v>
          </cell>
          <cell r="H56">
            <v>61.8</v>
          </cell>
          <cell r="I56">
            <v>61.3</v>
          </cell>
          <cell r="J56">
            <v>60.6</v>
          </cell>
          <cell r="K56">
            <v>61.5</v>
          </cell>
          <cell r="L56">
            <v>62</v>
          </cell>
          <cell r="M56">
            <v>61.8</v>
          </cell>
          <cell r="N56">
            <v>61.7</v>
          </cell>
          <cell r="O56">
            <v>62.1</v>
          </cell>
        </row>
        <row r="58">
          <cell r="A58">
            <v>902</v>
          </cell>
          <cell r="B58">
            <v>1</v>
          </cell>
          <cell r="C58">
            <v>13.574999999999999</v>
          </cell>
          <cell r="D58">
            <v>55.3</v>
          </cell>
          <cell r="E58">
            <v>54</v>
          </cell>
          <cell r="F58">
            <v>46.2</v>
          </cell>
          <cell r="G58">
            <v>46.8</v>
          </cell>
          <cell r="H58">
            <v>49.8</v>
          </cell>
          <cell r="I58">
            <v>45.2</v>
          </cell>
          <cell r="J58">
            <v>55.7</v>
          </cell>
          <cell r="K58">
            <v>39.4</v>
          </cell>
          <cell r="L58">
            <v>55.5</v>
          </cell>
          <cell r="M58">
            <v>39.700000000000003</v>
          </cell>
          <cell r="N58">
            <v>47.7</v>
          </cell>
          <cell r="O58">
            <v>42.3</v>
          </cell>
        </row>
        <row r="59">
          <cell r="A59">
            <v>902</v>
          </cell>
          <cell r="B59">
            <v>2</v>
          </cell>
          <cell r="C59">
            <v>13.58</v>
          </cell>
          <cell r="D59">
            <v>29.7</v>
          </cell>
          <cell r="E59">
            <v>28.2</v>
          </cell>
          <cell r="F59">
            <v>30.5</v>
          </cell>
          <cell r="G59">
            <v>30.9</v>
          </cell>
          <cell r="H59">
            <v>29.6</v>
          </cell>
          <cell r="I59">
            <v>28.4</v>
          </cell>
          <cell r="J59">
            <v>30.4</v>
          </cell>
          <cell r="K59">
            <v>29.6</v>
          </cell>
          <cell r="L59">
            <v>31.1</v>
          </cell>
          <cell r="M59">
            <v>28.9</v>
          </cell>
          <cell r="N59">
            <v>27.8</v>
          </cell>
          <cell r="O59">
            <v>29.8</v>
          </cell>
        </row>
        <row r="60">
          <cell r="A60">
            <v>901</v>
          </cell>
          <cell r="B60">
            <v>1</v>
          </cell>
          <cell r="C60">
            <v>13.593999999999999</v>
          </cell>
          <cell r="D60">
            <v>36.200000000000003</v>
          </cell>
          <cell r="E60">
            <v>35.9</v>
          </cell>
          <cell r="F60">
            <v>36.5</v>
          </cell>
          <cell r="G60">
            <v>36.799999999999997</v>
          </cell>
          <cell r="H60">
            <v>36</v>
          </cell>
          <cell r="I60">
            <v>35.1</v>
          </cell>
          <cell r="J60">
            <v>35</v>
          </cell>
          <cell r="K60">
            <v>34.700000000000003</v>
          </cell>
          <cell r="L60">
            <v>36.1</v>
          </cell>
          <cell r="M60">
            <v>35.799999999999997</v>
          </cell>
          <cell r="N60">
            <v>36</v>
          </cell>
          <cell r="O60">
            <v>36.1</v>
          </cell>
        </row>
        <row r="62">
          <cell r="A62">
            <v>301</v>
          </cell>
          <cell r="B62">
            <v>1</v>
          </cell>
          <cell r="C62">
            <v>13.608000000000001</v>
          </cell>
          <cell r="D62">
            <v>58.2</v>
          </cell>
          <cell r="E62">
            <v>40.200000000000003</v>
          </cell>
          <cell r="F62">
            <v>55.3</v>
          </cell>
          <cell r="G62">
            <v>34.4</v>
          </cell>
          <cell r="H62">
            <v>54.8</v>
          </cell>
          <cell r="I62">
            <v>31.8</v>
          </cell>
          <cell r="J62">
            <v>52.3</v>
          </cell>
          <cell r="K62">
            <v>36</v>
          </cell>
          <cell r="L62">
            <v>53.4</v>
          </cell>
          <cell r="M62">
            <v>33</v>
          </cell>
          <cell r="N62">
            <v>56</v>
          </cell>
          <cell r="O62">
            <v>32</v>
          </cell>
        </row>
        <row r="63">
          <cell r="A63">
            <v>301</v>
          </cell>
          <cell r="B63">
            <v>2</v>
          </cell>
          <cell r="C63">
            <v>13.613</v>
          </cell>
          <cell r="D63">
            <v>26.9</v>
          </cell>
          <cell r="E63">
            <v>29.3</v>
          </cell>
          <cell r="F63">
            <v>29.4</v>
          </cell>
          <cell r="G63">
            <v>29.4</v>
          </cell>
          <cell r="H63">
            <v>27.8</v>
          </cell>
          <cell r="I63">
            <v>28.2</v>
          </cell>
          <cell r="J63">
            <v>27.7</v>
          </cell>
          <cell r="K63">
            <v>27</v>
          </cell>
          <cell r="L63">
            <v>27.7</v>
          </cell>
          <cell r="M63">
            <v>29</v>
          </cell>
          <cell r="N63">
            <v>30.1</v>
          </cell>
          <cell r="O63">
            <v>28.8</v>
          </cell>
        </row>
        <row r="64">
          <cell r="A64">
            <v>302</v>
          </cell>
          <cell r="B64">
            <v>1</v>
          </cell>
          <cell r="C64">
            <v>13.625999999999999</v>
          </cell>
          <cell r="D64">
            <v>60.6</v>
          </cell>
          <cell r="E64">
            <v>38.700000000000003</v>
          </cell>
          <cell r="F64">
            <v>55.7</v>
          </cell>
          <cell r="G64">
            <v>41.5</v>
          </cell>
          <cell r="H64">
            <v>55.7</v>
          </cell>
          <cell r="I64">
            <v>39.5</v>
          </cell>
          <cell r="J64">
            <v>56.5</v>
          </cell>
          <cell r="K64">
            <v>43.2</v>
          </cell>
          <cell r="L64">
            <v>49.8</v>
          </cell>
          <cell r="M64">
            <v>45</v>
          </cell>
          <cell r="N64">
            <v>43.3</v>
          </cell>
          <cell r="O64">
            <v>52.5</v>
          </cell>
        </row>
        <row r="65">
          <cell r="A65">
            <v>302</v>
          </cell>
          <cell r="B65">
            <v>2</v>
          </cell>
          <cell r="C65">
            <v>13.631</v>
          </cell>
          <cell r="D65">
            <v>28.1</v>
          </cell>
          <cell r="E65">
            <v>29.6</v>
          </cell>
          <cell r="F65">
            <v>30.1</v>
          </cell>
          <cell r="G65">
            <v>29.9</v>
          </cell>
          <cell r="H65">
            <v>30.4</v>
          </cell>
          <cell r="I65">
            <v>29.7</v>
          </cell>
          <cell r="J65">
            <v>28.9</v>
          </cell>
          <cell r="K65">
            <v>30.5</v>
          </cell>
          <cell r="L65">
            <v>29.8</v>
          </cell>
          <cell r="M65">
            <v>30.1</v>
          </cell>
          <cell r="N65">
            <v>31.7</v>
          </cell>
          <cell r="O65">
            <v>30.3</v>
          </cell>
        </row>
        <row r="66">
          <cell r="A66">
            <v>303</v>
          </cell>
          <cell r="B66">
            <v>1</v>
          </cell>
          <cell r="C66">
            <v>13.645</v>
          </cell>
          <cell r="D66">
            <v>57.4</v>
          </cell>
          <cell r="E66">
            <v>54.8</v>
          </cell>
          <cell r="F66">
            <v>43.8</v>
          </cell>
          <cell r="G66">
            <v>50</v>
          </cell>
          <cell r="H66">
            <v>50.3</v>
          </cell>
          <cell r="I66">
            <v>46.1</v>
          </cell>
          <cell r="J66">
            <v>51.5</v>
          </cell>
          <cell r="K66">
            <v>40.9</v>
          </cell>
          <cell r="L66">
            <v>43.3</v>
          </cell>
          <cell r="M66">
            <v>49.6</v>
          </cell>
          <cell r="N66">
            <v>42.2</v>
          </cell>
          <cell r="O66">
            <v>54.1</v>
          </cell>
        </row>
        <row r="67">
          <cell r="A67">
            <v>303</v>
          </cell>
          <cell r="B67">
            <v>2</v>
          </cell>
          <cell r="C67">
            <v>13.651</v>
          </cell>
          <cell r="D67">
            <v>27.6</v>
          </cell>
          <cell r="E67">
            <v>29</v>
          </cell>
          <cell r="F67">
            <v>27.7</v>
          </cell>
          <cell r="G67">
            <v>30.8</v>
          </cell>
          <cell r="H67">
            <v>29.5</v>
          </cell>
          <cell r="I67">
            <v>28.6</v>
          </cell>
          <cell r="J67">
            <v>28.6</v>
          </cell>
          <cell r="K67">
            <v>29.4</v>
          </cell>
          <cell r="L67">
            <v>29</v>
          </cell>
          <cell r="M67">
            <v>30.1</v>
          </cell>
          <cell r="N67">
            <v>30.4</v>
          </cell>
          <cell r="O67">
            <v>29.4</v>
          </cell>
        </row>
        <row r="68">
          <cell r="A68">
            <v>304</v>
          </cell>
          <cell r="B68">
            <v>1</v>
          </cell>
          <cell r="C68">
            <v>13.670999999999999</v>
          </cell>
          <cell r="D68">
            <v>58.1</v>
          </cell>
          <cell r="E68">
            <v>36.5</v>
          </cell>
          <cell r="F68">
            <v>56.6</v>
          </cell>
          <cell r="G68">
            <v>47.6</v>
          </cell>
          <cell r="H68">
            <v>58.1</v>
          </cell>
          <cell r="I68">
            <v>43.9</v>
          </cell>
          <cell r="J68">
            <v>57</v>
          </cell>
          <cell r="K68">
            <v>37.799999999999997</v>
          </cell>
          <cell r="L68">
            <v>47.7</v>
          </cell>
          <cell r="M68">
            <v>52.8</v>
          </cell>
          <cell r="N68">
            <v>48.2</v>
          </cell>
          <cell r="O68">
            <v>46</v>
          </cell>
        </row>
        <row r="69">
          <cell r="A69">
            <v>304</v>
          </cell>
          <cell r="B69">
            <v>2</v>
          </cell>
          <cell r="C69">
            <v>13.677</v>
          </cell>
          <cell r="D69">
            <v>27.7</v>
          </cell>
          <cell r="E69">
            <v>28.4</v>
          </cell>
          <cell r="F69">
            <v>28.3</v>
          </cell>
          <cell r="G69">
            <v>28.4</v>
          </cell>
          <cell r="H69">
            <v>30.3</v>
          </cell>
          <cell r="I69">
            <v>30.5</v>
          </cell>
          <cell r="J69">
            <v>27.9</v>
          </cell>
          <cell r="K69">
            <v>27.8</v>
          </cell>
          <cell r="L69">
            <v>27.7</v>
          </cell>
          <cell r="M69">
            <v>28.7</v>
          </cell>
          <cell r="N69">
            <v>28.1</v>
          </cell>
          <cell r="O69">
            <v>28.2</v>
          </cell>
        </row>
        <row r="70">
          <cell r="A70">
            <v>305</v>
          </cell>
          <cell r="B70">
            <v>1</v>
          </cell>
          <cell r="C70">
            <v>13.693</v>
          </cell>
          <cell r="D70">
            <v>46.9</v>
          </cell>
          <cell r="E70">
            <v>30.3</v>
          </cell>
          <cell r="F70">
            <v>49.3</v>
          </cell>
          <cell r="G70">
            <v>33.1</v>
          </cell>
          <cell r="H70">
            <v>43</v>
          </cell>
          <cell r="I70">
            <v>44.9</v>
          </cell>
          <cell r="J70">
            <v>31.3</v>
          </cell>
          <cell r="K70">
            <v>48.1</v>
          </cell>
          <cell r="L70">
            <v>30.1</v>
          </cell>
          <cell r="M70">
            <v>42.9</v>
          </cell>
          <cell r="N70">
            <v>30</v>
          </cell>
          <cell r="O70">
            <v>43</v>
          </cell>
        </row>
        <row r="71">
          <cell r="A71">
            <v>305</v>
          </cell>
          <cell r="B71">
            <v>2</v>
          </cell>
          <cell r="C71">
            <v>13.7</v>
          </cell>
          <cell r="D71">
            <v>28.2</v>
          </cell>
          <cell r="E71">
            <v>28.4</v>
          </cell>
          <cell r="F71">
            <v>29</v>
          </cell>
          <cell r="G71">
            <v>28.7</v>
          </cell>
          <cell r="H71">
            <v>27</v>
          </cell>
          <cell r="I71">
            <v>26.7</v>
          </cell>
          <cell r="J71">
            <v>26.4</v>
          </cell>
          <cell r="K71">
            <v>28.4</v>
          </cell>
          <cell r="L71">
            <v>25.5</v>
          </cell>
          <cell r="M71">
            <v>27.4</v>
          </cell>
          <cell r="N71">
            <v>27.2</v>
          </cell>
          <cell r="O71">
            <v>27.7</v>
          </cell>
        </row>
        <row r="72">
          <cell r="A72">
            <v>306</v>
          </cell>
          <cell r="B72">
            <v>1</v>
          </cell>
          <cell r="C72">
            <v>13.721</v>
          </cell>
          <cell r="D72">
            <v>59.1</v>
          </cell>
          <cell r="E72">
            <v>48.3</v>
          </cell>
          <cell r="F72">
            <v>50.4</v>
          </cell>
          <cell r="G72">
            <v>39.6</v>
          </cell>
          <cell r="H72">
            <v>56.6</v>
          </cell>
          <cell r="I72">
            <v>38.5</v>
          </cell>
          <cell r="J72">
            <v>55.6</v>
          </cell>
          <cell r="K72">
            <v>39.299999999999997</v>
          </cell>
          <cell r="L72">
            <v>52.2</v>
          </cell>
          <cell r="M72">
            <v>33.799999999999997</v>
          </cell>
          <cell r="N72">
            <v>57.3</v>
          </cell>
          <cell r="O72">
            <v>36.799999999999997</v>
          </cell>
        </row>
        <row r="73">
          <cell r="A73">
            <v>306</v>
          </cell>
          <cell r="B73">
            <v>2</v>
          </cell>
          <cell r="C73">
            <v>13.728</v>
          </cell>
          <cell r="D73">
            <v>29.4</v>
          </cell>
          <cell r="E73">
            <v>29.3</v>
          </cell>
          <cell r="F73">
            <v>29</v>
          </cell>
          <cell r="G73">
            <v>28.9</v>
          </cell>
          <cell r="H73">
            <v>30.5</v>
          </cell>
          <cell r="I73">
            <v>29.1</v>
          </cell>
          <cell r="J73">
            <v>29.4</v>
          </cell>
          <cell r="K73">
            <v>31.4</v>
          </cell>
          <cell r="L73">
            <v>29.1</v>
          </cell>
          <cell r="M73">
            <v>28.6</v>
          </cell>
          <cell r="N73">
            <v>28</v>
          </cell>
          <cell r="O73">
            <v>30.7</v>
          </cell>
        </row>
        <row r="74">
          <cell r="A74">
            <v>307</v>
          </cell>
          <cell r="B74">
            <v>1</v>
          </cell>
          <cell r="C74">
            <v>13.743</v>
          </cell>
          <cell r="D74">
            <v>52.2</v>
          </cell>
          <cell r="E74">
            <v>48</v>
          </cell>
          <cell r="F74">
            <v>42.4</v>
          </cell>
          <cell r="G74">
            <v>47.7</v>
          </cell>
          <cell r="H74">
            <v>45</v>
          </cell>
          <cell r="I74">
            <v>47.1</v>
          </cell>
          <cell r="J74">
            <v>51.4</v>
          </cell>
          <cell r="K74">
            <v>39.6</v>
          </cell>
          <cell r="L74">
            <v>52.5</v>
          </cell>
          <cell r="M74">
            <v>42.9</v>
          </cell>
          <cell r="N74">
            <v>57.7</v>
          </cell>
          <cell r="O74">
            <v>37.299999999999997</v>
          </cell>
        </row>
        <row r="75">
          <cell r="A75">
            <v>307</v>
          </cell>
          <cell r="B75">
            <v>2</v>
          </cell>
          <cell r="C75">
            <v>13.747999999999999</v>
          </cell>
          <cell r="D75">
            <v>31.3</v>
          </cell>
          <cell r="E75">
            <v>31</v>
          </cell>
          <cell r="F75">
            <v>30.9</v>
          </cell>
          <cell r="G75">
            <v>30.6</v>
          </cell>
          <cell r="H75">
            <v>30.5</v>
          </cell>
          <cell r="I75">
            <v>30.9</v>
          </cell>
          <cell r="J75">
            <v>30.1</v>
          </cell>
          <cell r="K75">
            <v>30.4</v>
          </cell>
          <cell r="L75">
            <v>29.9</v>
          </cell>
          <cell r="M75">
            <v>31.1</v>
          </cell>
          <cell r="N75">
            <v>29.1</v>
          </cell>
          <cell r="O75">
            <v>29.4</v>
          </cell>
        </row>
        <row r="76">
          <cell r="A76">
            <v>308</v>
          </cell>
          <cell r="B76">
            <v>1</v>
          </cell>
          <cell r="C76">
            <v>13.765000000000001</v>
          </cell>
          <cell r="D76">
            <v>57.5</v>
          </cell>
          <cell r="E76">
            <v>41.2</v>
          </cell>
          <cell r="F76">
            <v>52.3</v>
          </cell>
          <cell r="G76">
            <v>40</v>
          </cell>
          <cell r="H76">
            <v>55.4</v>
          </cell>
          <cell r="I76">
            <v>44.8</v>
          </cell>
          <cell r="J76">
            <v>53.6</v>
          </cell>
          <cell r="K76">
            <v>45</v>
          </cell>
          <cell r="L76">
            <v>56.4</v>
          </cell>
          <cell r="M76">
            <v>37.700000000000003</v>
          </cell>
          <cell r="N76">
            <v>53.5</v>
          </cell>
          <cell r="O76">
            <v>36.200000000000003</v>
          </cell>
        </row>
        <row r="77">
          <cell r="A77">
            <v>308</v>
          </cell>
          <cell r="B77">
            <v>2</v>
          </cell>
          <cell r="C77">
            <v>13.77</v>
          </cell>
          <cell r="D77">
            <v>31.1</v>
          </cell>
          <cell r="E77">
            <v>30.9</v>
          </cell>
          <cell r="F77">
            <v>32.4</v>
          </cell>
          <cell r="G77">
            <v>31.9</v>
          </cell>
          <cell r="H77">
            <v>33</v>
          </cell>
          <cell r="I77">
            <v>34.4</v>
          </cell>
          <cell r="J77">
            <v>33.9</v>
          </cell>
          <cell r="K77">
            <v>34.700000000000003</v>
          </cell>
          <cell r="L77">
            <v>30.8</v>
          </cell>
          <cell r="M77">
            <v>34.299999999999997</v>
          </cell>
          <cell r="N77">
            <v>33.200000000000003</v>
          </cell>
          <cell r="O77">
            <v>34.9</v>
          </cell>
        </row>
        <row r="78">
          <cell r="A78">
            <v>408</v>
          </cell>
          <cell r="B78">
            <v>1</v>
          </cell>
          <cell r="C78">
            <v>13.792999999999999</v>
          </cell>
          <cell r="D78">
            <v>56.7</v>
          </cell>
          <cell r="E78">
            <v>49.1</v>
          </cell>
          <cell r="F78">
            <v>49.2</v>
          </cell>
          <cell r="G78">
            <v>52.5</v>
          </cell>
          <cell r="H78">
            <v>42</v>
          </cell>
          <cell r="I78">
            <v>55.9</v>
          </cell>
          <cell r="J78">
            <v>34.200000000000003</v>
          </cell>
          <cell r="K78">
            <v>57.8</v>
          </cell>
          <cell r="L78">
            <v>34.200000000000003</v>
          </cell>
          <cell r="M78">
            <v>55.4</v>
          </cell>
          <cell r="N78">
            <v>38.9</v>
          </cell>
          <cell r="O78">
            <v>52.7</v>
          </cell>
        </row>
        <row r="79">
          <cell r="A79">
            <v>408</v>
          </cell>
          <cell r="B79">
            <v>2</v>
          </cell>
          <cell r="C79">
            <v>13.798</v>
          </cell>
          <cell r="D79">
            <v>26.9</v>
          </cell>
          <cell r="E79">
            <v>28.4</v>
          </cell>
          <cell r="F79">
            <v>28.7</v>
          </cell>
          <cell r="G79">
            <v>29.4</v>
          </cell>
          <cell r="H79">
            <v>28.5</v>
          </cell>
          <cell r="I79">
            <v>27.6</v>
          </cell>
          <cell r="J79">
            <v>28.2</v>
          </cell>
          <cell r="K79">
            <v>28.9</v>
          </cell>
          <cell r="L79">
            <v>29</v>
          </cell>
          <cell r="M79">
            <v>27.6</v>
          </cell>
          <cell r="N79">
            <v>27.3</v>
          </cell>
          <cell r="O79">
            <v>26.9</v>
          </cell>
        </row>
        <row r="80">
          <cell r="A80">
            <v>407</v>
          </cell>
          <cell r="B80">
            <v>1</v>
          </cell>
          <cell r="C80">
            <v>13.815</v>
          </cell>
          <cell r="D80">
            <v>53.8</v>
          </cell>
          <cell r="E80">
            <v>39.9</v>
          </cell>
          <cell r="F80">
            <v>53.7</v>
          </cell>
          <cell r="G80">
            <v>43.5</v>
          </cell>
          <cell r="H80">
            <v>47.5</v>
          </cell>
          <cell r="I80">
            <v>52.6</v>
          </cell>
          <cell r="J80">
            <v>50.7</v>
          </cell>
          <cell r="K80">
            <v>50.7</v>
          </cell>
          <cell r="L80">
            <v>37.9</v>
          </cell>
          <cell r="M80">
            <v>54.3</v>
          </cell>
          <cell r="N80">
            <v>42</v>
          </cell>
          <cell r="O80">
            <v>53.1</v>
          </cell>
        </row>
        <row r="81">
          <cell r="A81">
            <v>407</v>
          </cell>
          <cell r="B81">
            <v>2</v>
          </cell>
          <cell r="C81">
            <v>13.821999999999999</v>
          </cell>
          <cell r="D81">
            <v>26.6</v>
          </cell>
          <cell r="E81">
            <v>27.5</v>
          </cell>
          <cell r="F81">
            <v>26.8</v>
          </cell>
          <cell r="G81">
            <v>26.6</v>
          </cell>
          <cell r="H81">
            <v>26.9</v>
          </cell>
          <cell r="I81">
            <v>26.6</v>
          </cell>
          <cell r="J81">
            <v>28.3</v>
          </cell>
          <cell r="K81">
            <v>27</v>
          </cell>
          <cell r="L81">
            <v>25.6</v>
          </cell>
          <cell r="M81">
            <v>29.3</v>
          </cell>
          <cell r="N81">
            <v>25.7</v>
          </cell>
          <cell r="O81">
            <v>27.8</v>
          </cell>
        </row>
        <row r="82">
          <cell r="A82">
            <v>406</v>
          </cell>
          <cell r="B82">
            <v>1</v>
          </cell>
          <cell r="C82">
            <v>13.837999999999999</v>
          </cell>
          <cell r="D82">
            <v>60.4</v>
          </cell>
          <cell r="E82">
            <v>45.2</v>
          </cell>
          <cell r="F82">
            <v>56.3</v>
          </cell>
          <cell r="G82">
            <v>34.700000000000003</v>
          </cell>
          <cell r="H82">
            <v>55.3</v>
          </cell>
          <cell r="I82">
            <v>38.1</v>
          </cell>
          <cell r="J82">
            <v>51.9</v>
          </cell>
          <cell r="K82">
            <v>47.3</v>
          </cell>
          <cell r="L82">
            <v>51.7</v>
          </cell>
          <cell r="M82">
            <v>39.200000000000003</v>
          </cell>
          <cell r="N82">
            <v>52.1</v>
          </cell>
          <cell r="O82">
            <v>44.6</v>
          </cell>
        </row>
        <row r="83">
          <cell r="A83">
            <v>406</v>
          </cell>
          <cell r="B83">
            <v>2</v>
          </cell>
          <cell r="C83">
            <v>13.843999999999999</v>
          </cell>
          <cell r="D83">
            <v>29.4</v>
          </cell>
          <cell r="E83">
            <v>29.4</v>
          </cell>
          <cell r="F83">
            <v>28</v>
          </cell>
          <cell r="G83">
            <v>28.6</v>
          </cell>
          <cell r="H83">
            <v>28.9</v>
          </cell>
          <cell r="I83">
            <v>30.3</v>
          </cell>
          <cell r="J83">
            <v>29.7</v>
          </cell>
          <cell r="K83">
            <v>28.9</v>
          </cell>
          <cell r="L83">
            <v>30</v>
          </cell>
          <cell r="M83">
            <v>28.3</v>
          </cell>
          <cell r="N83">
            <v>29.9</v>
          </cell>
          <cell r="O83">
            <v>29</v>
          </cell>
        </row>
        <row r="84">
          <cell r="A84">
            <v>405</v>
          </cell>
          <cell r="B84">
            <v>1</v>
          </cell>
          <cell r="C84">
            <v>13.862</v>
          </cell>
          <cell r="D84">
            <v>56.4</v>
          </cell>
          <cell r="E84">
            <v>35.1</v>
          </cell>
          <cell r="F84">
            <v>56.9</v>
          </cell>
          <cell r="G84">
            <v>41</v>
          </cell>
          <cell r="H84">
            <v>36.4</v>
          </cell>
          <cell r="I84">
            <v>51.3</v>
          </cell>
          <cell r="J84">
            <v>32.9</v>
          </cell>
          <cell r="K84">
            <v>53.3</v>
          </cell>
          <cell r="L84">
            <v>35.1</v>
          </cell>
          <cell r="M84">
            <v>54.1</v>
          </cell>
          <cell r="N84">
            <v>38.4</v>
          </cell>
          <cell r="O84">
            <v>43.2</v>
          </cell>
        </row>
        <row r="85">
          <cell r="A85">
            <v>405</v>
          </cell>
          <cell r="B85">
            <v>2</v>
          </cell>
          <cell r="C85">
            <v>13.867000000000001</v>
          </cell>
          <cell r="D85">
            <v>31.3</v>
          </cell>
          <cell r="E85">
            <v>32.700000000000003</v>
          </cell>
          <cell r="F85">
            <v>29.7</v>
          </cell>
          <cell r="G85">
            <v>29.6</v>
          </cell>
          <cell r="H85">
            <v>28.4</v>
          </cell>
          <cell r="I85">
            <v>29.6</v>
          </cell>
          <cell r="J85">
            <v>29.2</v>
          </cell>
          <cell r="K85">
            <v>29.2</v>
          </cell>
          <cell r="L85">
            <v>30</v>
          </cell>
          <cell r="M85">
            <v>28.7</v>
          </cell>
          <cell r="N85">
            <v>29.2</v>
          </cell>
          <cell r="O85">
            <v>29.6</v>
          </cell>
        </row>
        <row r="86">
          <cell r="A86">
            <v>404</v>
          </cell>
          <cell r="B86">
            <v>1</v>
          </cell>
          <cell r="C86">
            <v>13.884</v>
          </cell>
          <cell r="D86">
            <v>59.1</v>
          </cell>
          <cell r="E86">
            <v>34</v>
          </cell>
          <cell r="F86">
            <v>53.4</v>
          </cell>
          <cell r="G86">
            <v>41.9</v>
          </cell>
          <cell r="H86">
            <v>46.9</v>
          </cell>
          <cell r="I86">
            <v>51.2</v>
          </cell>
          <cell r="J86">
            <v>40.4</v>
          </cell>
          <cell r="K86">
            <v>59</v>
          </cell>
          <cell r="L86">
            <v>35.1</v>
          </cell>
          <cell r="M86">
            <v>56.4</v>
          </cell>
          <cell r="N86">
            <v>35.1</v>
          </cell>
          <cell r="O86">
            <v>58.4</v>
          </cell>
        </row>
        <row r="87">
          <cell r="A87">
            <v>404</v>
          </cell>
          <cell r="B87">
            <v>2</v>
          </cell>
          <cell r="C87">
            <v>13.89</v>
          </cell>
          <cell r="D87">
            <v>28.1</v>
          </cell>
          <cell r="E87">
            <v>28.3</v>
          </cell>
          <cell r="F87">
            <v>28.2</v>
          </cell>
          <cell r="G87">
            <v>27.1</v>
          </cell>
          <cell r="H87">
            <v>28.7</v>
          </cell>
          <cell r="I87">
            <v>30.4</v>
          </cell>
          <cell r="J87">
            <v>29.5</v>
          </cell>
          <cell r="K87">
            <v>29.2</v>
          </cell>
          <cell r="L87">
            <v>30.2</v>
          </cell>
          <cell r="M87">
            <v>29.2</v>
          </cell>
          <cell r="N87">
            <v>29.9</v>
          </cell>
          <cell r="O87">
            <v>29</v>
          </cell>
        </row>
        <row r="88">
          <cell r="A88">
            <v>403</v>
          </cell>
          <cell r="B88">
            <v>1</v>
          </cell>
          <cell r="C88">
            <v>13.909000000000001</v>
          </cell>
          <cell r="D88">
            <v>56.7</v>
          </cell>
          <cell r="E88">
            <v>39.700000000000003</v>
          </cell>
          <cell r="F88">
            <v>40.4</v>
          </cell>
          <cell r="G88">
            <v>39.9</v>
          </cell>
          <cell r="H88">
            <v>39.1</v>
          </cell>
          <cell r="I88">
            <v>42.9</v>
          </cell>
          <cell r="J88">
            <v>43</v>
          </cell>
          <cell r="K88">
            <v>50.7</v>
          </cell>
          <cell r="L88">
            <v>40.1</v>
          </cell>
          <cell r="M88">
            <v>58.1</v>
          </cell>
          <cell r="N88">
            <v>35.799999999999997</v>
          </cell>
          <cell r="O88">
            <v>55.2</v>
          </cell>
        </row>
        <row r="89">
          <cell r="A89">
            <v>403</v>
          </cell>
          <cell r="B89">
            <v>2</v>
          </cell>
          <cell r="C89">
            <v>13.917</v>
          </cell>
          <cell r="D89">
            <v>28.7</v>
          </cell>
          <cell r="E89">
            <v>29.8</v>
          </cell>
          <cell r="F89">
            <v>29.9</v>
          </cell>
          <cell r="G89">
            <v>30.4</v>
          </cell>
          <cell r="H89">
            <v>27.7</v>
          </cell>
          <cell r="I89">
            <v>29.9</v>
          </cell>
          <cell r="J89">
            <v>29.5</v>
          </cell>
          <cell r="K89">
            <v>28.1</v>
          </cell>
          <cell r="L89">
            <v>30.3</v>
          </cell>
          <cell r="M89">
            <v>28.5</v>
          </cell>
          <cell r="N89">
            <v>30.7</v>
          </cell>
          <cell r="O89">
            <v>28.5</v>
          </cell>
        </row>
        <row r="90">
          <cell r="A90">
            <v>402</v>
          </cell>
          <cell r="B90">
            <v>1</v>
          </cell>
          <cell r="C90">
            <v>13.930999999999999</v>
          </cell>
          <cell r="D90">
            <v>57.6</v>
          </cell>
          <cell r="E90">
            <v>34.299999999999997</v>
          </cell>
          <cell r="F90">
            <v>56.7</v>
          </cell>
          <cell r="G90">
            <v>36.5</v>
          </cell>
          <cell r="H90">
            <v>55.5</v>
          </cell>
          <cell r="I90">
            <v>38.299999999999997</v>
          </cell>
          <cell r="J90">
            <v>47.9</v>
          </cell>
          <cell r="K90">
            <v>46.3</v>
          </cell>
          <cell r="L90">
            <v>46.4</v>
          </cell>
          <cell r="M90">
            <v>48.8</v>
          </cell>
          <cell r="N90">
            <v>37.5</v>
          </cell>
          <cell r="O90">
            <v>49</v>
          </cell>
        </row>
        <row r="91">
          <cell r="A91">
            <v>402</v>
          </cell>
          <cell r="B91">
            <v>2</v>
          </cell>
          <cell r="C91">
            <v>13.936</v>
          </cell>
          <cell r="D91">
            <v>27.8</v>
          </cell>
          <cell r="E91">
            <v>28.1</v>
          </cell>
          <cell r="F91">
            <v>29</v>
          </cell>
          <cell r="G91">
            <v>31</v>
          </cell>
          <cell r="H91">
            <v>27.9</v>
          </cell>
          <cell r="I91">
            <v>28.6</v>
          </cell>
          <cell r="J91">
            <v>28.2</v>
          </cell>
          <cell r="K91">
            <v>29.8</v>
          </cell>
          <cell r="L91">
            <v>28</v>
          </cell>
          <cell r="M91">
            <v>27.4</v>
          </cell>
          <cell r="N91">
            <v>29.7</v>
          </cell>
          <cell r="O91">
            <v>30.1</v>
          </cell>
        </row>
        <row r="92">
          <cell r="A92">
            <v>401</v>
          </cell>
          <cell r="B92">
            <v>1</v>
          </cell>
          <cell r="C92">
            <v>13.954000000000001</v>
          </cell>
          <cell r="D92">
            <v>54.9</v>
          </cell>
          <cell r="E92">
            <v>40.200000000000003</v>
          </cell>
          <cell r="F92">
            <v>54.4</v>
          </cell>
          <cell r="G92">
            <v>39.5</v>
          </cell>
          <cell r="H92">
            <v>53.5</v>
          </cell>
          <cell r="I92">
            <v>36.9</v>
          </cell>
          <cell r="J92">
            <v>51.7</v>
          </cell>
          <cell r="K92">
            <v>49.7</v>
          </cell>
          <cell r="L92">
            <v>51.5</v>
          </cell>
          <cell r="M92">
            <v>53.1</v>
          </cell>
          <cell r="N92">
            <v>35</v>
          </cell>
          <cell r="O92">
            <v>53.8</v>
          </cell>
        </row>
        <row r="93">
          <cell r="A93">
            <v>401</v>
          </cell>
          <cell r="B93">
            <v>2</v>
          </cell>
          <cell r="C93">
            <v>13.959</v>
          </cell>
          <cell r="D93">
            <v>28.2</v>
          </cell>
          <cell r="E93">
            <v>26.1</v>
          </cell>
          <cell r="F93">
            <v>29.3</v>
          </cell>
          <cell r="G93">
            <v>26.9</v>
          </cell>
          <cell r="H93">
            <v>28.1</v>
          </cell>
          <cell r="I93">
            <v>29.4</v>
          </cell>
          <cell r="J93">
            <v>27.5</v>
          </cell>
          <cell r="K93">
            <v>28.6</v>
          </cell>
          <cell r="L93">
            <v>27</v>
          </cell>
          <cell r="M93">
            <v>29.4</v>
          </cell>
          <cell r="N93">
            <v>27.3</v>
          </cell>
          <cell r="O93">
            <v>28.4</v>
          </cell>
        </row>
      </sheetData>
      <sheetData sheetId="2">
        <row r="7">
          <cell r="C7">
            <v>173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35.15</v>
          </cell>
        </row>
        <row r="29">
          <cell r="E29">
            <v>4.8179238220825784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'IA174.03R'</v>
          </cell>
        </row>
        <row r="14">
          <cell r="A14">
            <v>108</v>
          </cell>
          <cell r="B14">
            <v>1</v>
          </cell>
          <cell r="C14">
            <v>13.093</v>
          </cell>
          <cell r="D14">
            <v>32.799999999999997</v>
          </cell>
          <cell r="E14">
            <v>31.6</v>
          </cell>
          <cell r="F14">
            <v>32.700000000000003</v>
          </cell>
          <cell r="G14">
            <v>32.6</v>
          </cell>
          <cell r="H14">
            <v>30.8</v>
          </cell>
          <cell r="I14">
            <v>32.299999999999997</v>
          </cell>
          <cell r="J14">
            <v>31.7</v>
          </cell>
          <cell r="K14">
            <v>30.9</v>
          </cell>
          <cell r="L14">
            <v>31.2</v>
          </cell>
          <cell r="M14">
            <v>31.2</v>
          </cell>
          <cell r="N14">
            <v>32.200000000000003</v>
          </cell>
          <cell r="O14">
            <v>31</v>
          </cell>
        </row>
        <row r="15">
          <cell r="A15">
            <v>108</v>
          </cell>
          <cell r="B15">
            <v>2</v>
          </cell>
          <cell r="C15">
            <v>13.097</v>
          </cell>
          <cell r="D15">
            <v>29.6</v>
          </cell>
          <cell r="E15">
            <v>29.2</v>
          </cell>
          <cell r="F15">
            <v>28.1</v>
          </cell>
          <cell r="G15">
            <v>28.9</v>
          </cell>
          <cell r="H15">
            <v>29.3</v>
          </cell>
          <cell r="I15">
            <v>29.9</v>
          </cell>
          <cell r="J15">
            <v>29.5</v>
          </cell>
          <cell r="K15">
            <v>29.1</v>
          </cell>
          <cell r="L15">
            <v>29.7</v>
          </cell>
          <cell r="M15">
            <v>30.2</v>
          </cell>
          <cell r="N15">
            <v>31.1</v>
          </cell>
          <cell r="O15">
            <v>29.2</v>
          </cell>
        </row>
        <row r="16">
          <cell r="A16">
            <v>107</v>
          </cell>
          <cell r="B16">
            <v>1</v>
          </cell>
          <cell r="C16">
            <v>13.11</v>
          </cell>
          <cell r="D16">
            <v>46.4</v>
          </cell>
          <cell r="E16">
            <v>52.5</v>
          </cell>
          <cell r="F16">
            <v>49.5</v>
          </cell>
          <cell r="G16">
            <v>47.3</v>
          </cell>
          <cell r="H16">
            <v>46</v>
          </cell>
          <cell r="I16">
            <v>44.6</v>
          </cell>
          <cell r="J16">
            <v>49.5</v>
          </cell>
          <cell r="K16">
            <v>41.6</v>
          </cell>
          <cell r="L16">
            <v>46</v>
          </cell>
          <cell r="M16">
            <v>51.9</v>
          </cell>
          <cell r="N16">
            <v>38.9</v>
          </cell>
          <cell r="O16">
            <v>43.7</v>
          </cell>
        </row>
        <row r="17">
          <cell r="A17">
            <v>107</v>
          </cell>
          <cell r="B17">
            <v>2</v>
          </cell>
          <cell r="C17">
            <v>13.115</v>
          </cell>
          <cell r="D17">
            <v>29.8</v>
          </cell>
          <cell r="E17">
            <v>31.2</v>
          </cell>
          <cell r="F17">
            <v>30.8</v>
          </cell>
          <cell r="G17">
            <v>30.9</v>
          </cell>
          <cell r="H17">
            <v>32.299999999999997</v>
          </cell>
          <cell r="I17">
            <v>29.7</v>
          </cell>
          <cell r="J17">
            <v>33</v>
          </cell>
          <cell r="K17">
            <v>32.299999999999997</v>
          </cell>
          <cell r="L17">
            <v>32.299999999999997</v>
          </cell>
          <cell r="M17">
            <v>31.4</v>
          </cell>
          <cell r="N17">
            <v>31.9</v>
          </cell>
          <cell r="O17">
            <v>33</v>
          </cell>
        </row>
        <row r="18">
          <cell r="A18">
            <v>106</v>
          </cell>
          <cell r="B18">
            <v>1</v>
          </cell>
          <cell r="C18">
            <v>13.125999999999999</v>
          </cell>
          <cell r="D18">
            <v>51.6</v>
          </cell>
          <cell r="E18">
            <v>53.5</v>
          </cell>
          <cell r="F18">
            <v>48.7</v>
          </cell>
          <cell r="G18">
            <v>40.6</v>
          </cell>
          <cell r="H18">
            <v>49.9</v>
          </cell>
          <cell r="I18">
            <v>49.1</v>
          </cell>
          <cell r="J18">
            <v>53.6</v>
          </cell>
          <cell r="K18">
            <v>38.6</v>
          </cell>
          <cell r="L18">
            <v>54</v>
          </cell>
          <cell r="M18">
            <v>39.4</v>
          </cell>
          <cell r="N18">
            <v>52.1</v>
          </cell>
          <cell r="O18">
            <v>41.9</v>
          </cell>
        </row>
        <row r="19">
          <cell r="A19">
            <v>106</v>
          </cell>
          <cell r="B19">
            <v>2</v>
          </cell>
          <cell r="C19">
            <v>13.131</v>
          </cell>
          <cell r="D19">
            <v>31.9</v>
          </cell>
          <cell r="E19">
            <v>31.3</v>
          </cell>
          <cell r="F19">
            <v>31.6</v>
          </cell>
          <cell r="G19">
            <v>32.1</v>
          </cell>
          <cell r="H19">
            <v>32.799999999999997</v>
          </cell>
          <cell r="I19">
            <v>32.5</v>
          </cell>
          <cell r="J19">
            <v>32.6</v>
          </cell>
          <cell r="K19">
            <v>32.9</v>
          </cell>
          <cell r="L19">
            <v>32.299999999999997</v>
          </cell>
          <cell r="M19">
            <v>32.299999999999997</v>
          </cell>
          <cell r="N19">
            <v>33.5</v>
          </cell>
          <cell r="O19">
            <v>31.8</v>
          </cell>
        </row>
        <row r="20">
          <cell r="A20">
            <v>105</v>
          </cell>
          <cell r="B20">
            <v>1</v>
          </cell>
          <cell r="C20">
            <v>13.143000000000001</v>
          </cell>
          <cell r="D20">
            <v>45.2</v>
          </cell>
          <cell r="E20">
            <v>31.8</v>
          </cell>
          <cell r="F20">
            <v>36.4</v>
          </cell>
          <cell r="G20">
            <v>33.299999999999997</v>
          </cell>
          <cell r="H20">
            <v>33</v>
          </cell>
          <cell r="I20">
            <v>35.4</v>
          </cell>
          <cell r="J20">
            <v>40.700000000000003</v>
          </cell>
          <cell r="K20">
            <v>37</v>
          </cell>
          <cell r="L20">
            <v>37</v>
          </cell>
          <cell r="M20">
            <v>39.200000000000003</v>
          </cell>
          <cell r="N20">
            <v>45.8</v>
          </cell>
          <cell r="O20">
            <v>38.9</v>
          </cell>
        </row>
        <row r="21">
          <cell r="A21">
            <v>105</v>
          </cell>
          <cell r="B21">
            <v>2</v>
          </cell>
          <cell r="C21">
            <v>13.148</v>
          </cell>
          <cell r="D21">
            <v>30.9</v>
          </cell>
          <cell r="E21">
            <v>34.4</v>
          </cell>
          <cell r="F21">
            <v>30.4</v>
          </cell>
          <cell r="G21">
            <v>30.2</v>
          </cell>
          <cell r="H21">
            <v>31.4</v>
          </cell>
          <cell r="I21">
            <v>30.8</v>
          </cell>
          <cell r="J21">
            <v>30.7</v>
          </cell>
          <cell r="K21">
            <v>29.2</v>
          </cell>
          <cell r="L21">
            <v>29.3</v>
          </cell>
          <cell r="M21">
            <v>30.1</v>
          </cell>
          <cell r="N21">
            <v>28.4</v>
          </cell>
          <cell r="O21">
            <v>28.4</v>
          </cell>
        </row>
        <row r="22">
          <cell r="A22">
            <v>104</v>
          </cell>
          <cell r="B22">
            <v>1</v>
          </cell>
          <cell r="C22">
            <v>13.16</v>
          </cell>
          <cell r="D22">
            <v>53.1</v>
          </cell>
          <cell r="E22">
            <v>39.9</v>
          </cell>
          <cell r="F22">
            <v>42.7</v>
          </cell>
          <cell r="G22">
            <v>38.200000000000003</v>
          </cell>
          <cell r="H22">
            <v>45.1</v>
          </cell>
          <cell r="I22">
            <v>48.7</v>
          </cell>
          <cell r="J22">
            <v>40.799999999999997</v>
          </cell>
          <cell r="K22">
            <v>49.6</v>
          </cell>
          <cell r="L22">
            <v>43</v>
          </cell>
          <cell r="M22">
            <v>46.5</v>
          </cell>
          <cell r="N22">
            <v>36.799999999999997</v>
          </cell>
          <cell r="O22">
            <v>45.7</v>
          </cell>
        </row>
        <row r="23">
          <cell r="A23">
            <v>104</v>
          </cell>
          <cell r="B23">
            <v>2</v>
          </cell>
          <cell r="C23">
            <v>13.164999999999999</v>
          </cell>
          <cell r="D23">
            <v>32.6</v>
          </cell>
          <cell r="E23">
            <v>33.700000000000003</v>
          </cell>
          <cell r="F23">
            <v>34.1</v>
          </cell>
          <cell r="G23">
            <v>32.1</v>
          </cell>
          <cell r="H23">
            <v>33.6</v>
          </cell>
          <cell r="I23">
            <v>33.4</v>
          </cell>
          <cell r="J23">
            <v>34.4</v>
          </cell>
          <cell r="K23">
            <v>33.200000000000003</v>
          </cell>
          <cell r="L23">
            <v>33.6</v>
          </cell>
          <cell r="M23">
            <v>33.200000000000003</v>
          </cell>
          <cell r="N23">
            <v>33.700000000000003</v>
          </cell>
          <cell r="O23">
            <v>33.700000000000003</v>
          </cell>
        </row>
        <row r="24">
          <cell r="A24">
            <v>103</v>
          </cell>
          <cell r="B24">
            <v>1</v>
          </cell>
          <cell r="C24">
            <v>13.177</v>
          </cell>
          <cell r="D24">
            <v>32.700000000000003</v>
          </cell>
          <cell r="E24">
            <v>30.4</v>
          </cell>
          <cell r="F24">
            <v>29.8</v>
          </cell>
          <cell r="G24">
            <v>31.8</v>
          </cell>
          <cell r="H24">
            <v>29.8</v>
          </cell>
          <cell r="I24">
            <v>31.7</v>
          </cell>
          <cell r="J24">
            <v>30.8</v>
          </cell>
          <cell r="K24">
            <v>31.3</v>
          </cell>
          <cell r="L24">
            <v>31.3</v>
          </cell>
          <cell r="M24">
            <v>30.8</v>
          </cell>
          <cell r="N24">
            <v>31</v>
          </cell>
          <cell r="O24">
            <v>30.4</v>
          </cell>
        </row>
        <row r="25">
          <cell r="A25">
            <v>103</v>
          </cell>
          <cell r="B25">
            <v>2</v>
          </cell>
          <cell r="C25">
            <v>13.180999999999999</v>
          </cell>
          <cell r="D25">
            <v>29.4</v>
          </cell>
          <cell r="E25">
            <v>29.5</v>
          </cell>
          <cell r="F25">
            <v>30.7</v>
          </cell>
          <cell r="G25">
            <v>29.7</v>
          </cell>
          <cell r="H25">
            <v>29.8</v>
          </cell>
          <cell r="I25">
            <v>30</v>
          </cell>
          <cell r="J25">
            <v>28.5</v>
          </cell>
          <cell r="K25">
            <v>30.3</v>
          </cell>
          <cell r="L25">
            <v>29.9</v>
          </cell>
          <cell r="M25">
            <v>31.8</v>
          </cell>
          <cell r="N25">
            <v>29.9</v>
          </cell>
          <cell r="O25">
            <v>28.8</v>
          </cell>
        </row>
        <row r="26">
          <cell r="A26">
            <v>102</v>
          </cell>
          <cell r="B26">
            <v>1</v>
          </cell>
          <cell r="C26">
            <v>13.193</v>
          </cell>
          <cell r="D26">
            <v>33.9</v>
          </cell>
          <cell r="E26">
            <v>32.299999999999997</v>
          </cell>
          <cell r="F26">
            <v>31.5</v>
          </cell>
          <cell r="G26">
            <v>31.9</v>
          </cell>
          <cell r="H26">
            <v>31.1</v>
          </cell>
          <cell r="I26">
            <v>31.1</v>
          </cell>
          <cell r="J26">
            <v>31.7</v>
          </cell>
          <cell r="K26">
            <v>31.6</v>
          </cell>
          <cell r="L26">
            <v>31.3</v>
          </cell>
          <cell r="M26">
            <v>30.4</v>
          </cell>
          <cell r="N26">
            <v>30.6</v>
          </cell>
          <cell r="O26">
            <v>30.2</v>
          </cell>
        </row>
        <row r="27">
          <cell r="A27">
            <v>102</v>
          </cell>
          <cell r="B27">
            <v>2</v>
          </cell>
          <cell r="C27">
            <v>13.196999999999999</v>
          </cell>
          <cell r="D27">
            <v>29.9</v>
          </cell>
          <cell r="E27">
            <v>29.3</v>
          </cell>
          <cell r="F27">
            <v>29.8</v>
          </cell>
          <cell r="G27">
            <v>30.5</v>
          </cell>
          <cell r="H27">
            <v>29.3</v>
          </cell>
          <cell r="I27">
            <v>30.1</v>
          </cell>
          <cell r="J27">
            <v>30.3</v>
          </cell>
          <cell r="K27">
            <v>30</v>
          </cell>
          <cell r="L27">
            <v>30.8</v>
          </cell>
          <cell r="M27">
            <v>30.7</v>
          </cell>
          <cell r="N27">
            <v>30.4</v>
          </cell>
          <cell r="O27">
            <v>29.5</v>
          </cell>
        </row>
        <row r="28">
          <cell r="A28">
            <v>101</v>
          </cell>
          <cell r="B28">
            <v>1</v>
          </cell>
          <cell r="C28">
            <v>13.209</v>
          </cell>
          <cell r="D28">
            <v>32.799999999999997</v>
          </cell>
          <cell r="E28">
            <v>31.3</v>
          </cell>
          <cell r="F28">
            <v>31.5</v>
          </cell>
          <cell r="G28">
            <v>31.9</v>
          </cell>
          <cell r="H28">
            <v>31.2</v>
          </cell>
          <cell r="I28">
            <v>31.7</v>
          </cell>
          <cell r="J28">
            <v>30.3</v>
          </cell>
          <cell r="K28">
            <v>32.5</v>
          </cell>
          <cell r="L28">
            <v>31.6</v>
          </cell>
          <cell r="M28">
            <v>32.9</v>
          </cell>
          <cell r="N28">
            <v>30.8</v>
          </cell>
          <cell r="O28">
            <v>30.8</v>
          </cell>
        </row>
        <row r="29">
          <cell r="A29">
            <v>101</v>
          </cell>
          <cell r="B29">
            <v>2</v>
          </cell>
          <cell r="C29">
            <v>13.214</v>
          </cell>
          <cell r="D29">
            <v>31.3</v>
          </cell>
          <cell r="E29">
            <v>31</v>
          </cell>
          <cell r="F29">
            <v>31</v>
          </cell>
          <cell r="G29">
            <v>29.4</v>
          </cell>
          <cell r="H29">
            <v>30.2</v>
          </cell>
          <cell r="I29">
            <v>30.7</v>
          </cell>
          <cell r="J29">
            <v>30.8</v>
          </cell>
          <cell r="K29">
            <v>29.8</v>
          </cell>
          <cell r="L29">
            <v>29.3</v>
          </cell>
          <cell r="M29">
            <v>30.4</v>
          </cell>
          <cell r="N29">
            <v>31.4</v>
          </cell>
          <cell r="O29">
            <v>30.9</v>
          </cell>
        </row>
        <row r="30">
          <cell r="A30">
            <v>201</v>
          </cell>
          <cell r="B30">
            <v>1</v>
          </cell>
          <cell r="C30">
            <v>13.234999999999999</v>
          </cell>
          <cell r="D30">
            <v>41</v>
          </cell>
          <cell r="E30">
            <v>39.700000000000003</v>
          </cell>
          <cell r="F30">
            <v>40.299999999999997</v>
          </cell>
          <cell r="G30">
            <v>36.1</v>
          </cell>
          <cell r="H30">
            <v>40</v>
          </cell>
          <cell r="I30">
            <v>36.9</v>
          </cell>
          <cell r="J30">
            <v>36.299999999999997</v>
          </cell>
          <cell r="K30">
            <v>38.9</v>
          </cell>
          <cell r="L30">
            <v>33.799999999999997</v>
          </cell>
          <cell r="M30">
            <v>36.5</v>
          </cell>
          <cell r="N30">
            <v>41.5</v>
          </cell>
          <cell r="O30">
            <v>33.799999999999997</v>
          </cell>
        </row>
        <row r="31">
          <cell r="A31">
            <v>201</v>
          </cell>
          <cell r="B31">
            <v>2</v>
          </cell>
          <cell r="C31">
            <v>13.24</v>
          </cell>
          <cell r="D31">
            <v>31.9</v>
          </cell>
          <cell r="E31">
            <v>30.1</v>
          </cell>
          <cell r="F31">
            <v>32.299999999999997</v>
          </cell>
          <cell r="G31">
            <v>31.1</v>
          </cell>
          <cell r="H31">
            <v>31.1</v>
          </cell>
          <cell r="I31">
            <v>31.3</v>
          </cell>
          <cell r="J31">
            <v>29.9</v>
          </cell>
          <cell r="K31">
            <v>30.6</v>
          </cell>
          <cell r="L31">
            <v>30.2</v>
          </cell>
          <cell r="M31">
            <v>32.299999999999997</v>
          </cell>
          <cell r="N31">
            <v>31.8</v>
          </cell>
          <cell r="O31">
            <v>31.6</v>
          </cell>
        </row>
        <row r="32">
          <cell r="A32">
            <v>202</v>
          </cell>
          <cell r="B32">
            <v>1</v>
          </cell>
          <cell r="C32">
            <v>13.250999999999999</v>
          </cell>
          <cell r="D32">
            <v>56</v>
          </cell>
          <cell r="E32">
            <v>48.4</v>
          </cell>
          <cell r="F32">
            <v>39.4</v>
          </cell>
          <cell r="G32">
            <v>50.4</v>
          </cell>
          <cell r="H32">
            <v>45.2</v>
          </cell>
          <cell r="I32">
            <v>48.8</v>
          </cell>
          <cell r="J32">
            <v>45.2</v>
          </cell>
          <cell r="K32">
            <v>54.1</v>
          </cell>
          <cell r="L32">
            <v>47.7</v>
          </cell>
          <cell r="M32">
            <v>48</v>
          </cell>
          <cell r="N32">
            <v>46.3</v>
          </cell>
          <cell r="O32">
            <v>39.299999999999997</v>
          </cell>
        </row>
        <row r="33">
          <cell r="A33">
            <v>202</v>
          </cell>
          <cell r="B33">
            <v>2</v>
          </cell>
          <cell r="C33">
            <v>13.257999999999999</v>
          </cell>
          <cell r="D33">
            <v>33.700000000000003</v>
          </cell>
          <cell r="E33">
            <v>33.6</v>
          </cell>
          <cell r="F33">
            <v>32.799999999999997</v>
          </cell>
          <cell r="G33">
            <v>32.4</v>
          </cell>
          <cell r="H33">
            <v>33.6</v>
          </cell>
          <cell r="I33">
            <v>33.5</v>
          </cell>
          <cell r="J33">
            <v>33.1</v>
          </cell>
          <cell r="K33">
            <v>33.200000000000003</v>
          </cell>
          <cell r="L33">
            <v>33.799999999999997</v>
          </cell>
          <cell r="M33">
            <v>31.9</v>
          </cell>
          <cell r="N33">
            <v>33.299999999999997</v>
          </cell>
          <cell r="O33">
            <v>31.9</v>
          </cell>
        </row>
        <row r="34">
          <cell r="A34">
            <v>203</v>
          </cell>
          <cell r="B34">
            <v>1</v>
          </cell>
          <cell r="C34">
            <v>13.269</v>
          </cell>
          <cell r="D34">
            <v>33.5</v>
          </cell>
          <cell r="E34">
            <v>32.4</v>
          </cell>
          <cell r="F34">
            <v>32.5</v>
          </cell>
          <cell r="G34">
            <v>31.2</v>
          </cell>
          <cell r="H34">
            <v>32.1</v>
          </cell>
          <cell r="I34">
            <v>31.2</v>
          </cell>
          <cell r="J34">
            <v>30.9</v>
          </cell>
          <cell r="K34">
            <v>33.4</v>
          </cell>
          <cell r="L34">
            <v>33.6</v>
          </cell>
          <cell r="M34">
            <v>30.9</v>
          </cell>
          <cell r="N34">
            <v>31.6</v>
          </cell>
          <cell r="O34">
            <v>32.1</v>
          </cell>
        </row>
        <row r="35">
          <cell r="A35">
            <v>203</v>
          </cell>
          <cell r="B35">
            <v>2</v>
          </cell>
          <cell r="C35">
            <v>13.275</v>
          </cell>
          <cell r="D35">
            <v>28.9</v>
          </cell>
          <cell r="E35">
            <v>30.5</v>
          </cell>
          <cell r="F35">
            <v>30.4</v>
          </cell>
          <cell r="G35">
            <v>30.1</v>
          </cell>
          <cell r="H35">
            <v>31.3</v>
          </cell>
          <cell r="I35">
            <v>28.6</v>
          </cell>
          <cell r="J35">
            <v>29.9</v>
          </cell>
          <cell r="K35">
            <v>30</v>
          </cell>
          <cell r="L35">
            <v>29.4</v>
          </cell>
          <cell r="M35">
            <v>29.5</v>
          </cell>
          <cell r="N35">
            <v>29.5</v>
          </cell>
          <cell r="O35">
            <v>29.5</v>
          </cell>
        </row>
        <row r="36">
          <cell r="A36">
            <v>204</v>
          </cell>
          <cell r="B36">
            <v>1</v>
          </cell>
          <cell r="C36">
            <v>13.286</v>
          </cell>
          <cell r="D36">
            <v>41.8</v>
          </cell>
          <cell r="E36">
            <v>34.700000000000003</v>
          </cell>
          <cell r="F36">
            <v>43.8</v>
          </cell>
          <cell r="G36">
            <v>35.299999999999997</v>
          </cell>
          <cell r="H36">
            <v>33.9</v>
          </cell>
          <cell r="I36">
            <v>39.5</v>
          </cell>
          <cell r="J36">
            <v>37.6</v>
          </cell>
          <cell r="K36">
            <v>40.5</v>
          </cell>
          <cell r="L36">
            <v>35.5</v>
          </cell>
          <cell r="M36">
            <v>37.200000000000003</v>
          </cell>
          <cell r="N36">
            <v>41.4</v>
          </cell>
          <cell r="O36">
            <v>33.6</v>
          </cell>
        </row>
        <row r="37">
          <cell r="A37">
            <v>204</v>
          </cell>
          <cell r="B37">
            <v>2</v>
          </cell>
          <cell r="C37">
            <v>13.29</v>
          </cell>
          <cell r="D37">
            <v>32.4</v>
          </cell>
          <cell r="E37">
            <v>31.3</v>
          </cell>
          <cell r="F37">
            <v>32.1</v>
          </cell>
          <cell r="G37">
            <v>31.5</v>
          </cell>
          <cell r="H37">
            <v>30.3</v>
          </cell>
          <cell r="I37">
            <v>30.3</v>
          </cell>
          <cell r="J37">
            <v>31.1</v>
          </cell>
          <cell r="K37">
            <v>31.8</v>
          </cell>
          <cell r="L37">
            <v>31.7</v>
          </cell>
          <cell r="M37">
            <v>31.2</v>
          </cell>
          <cell r="N37">
            <v>30.6</v>
          </cell>
          <cell r="O37">
            <v>30.8</v>
          </cell>
        </row>
        <row r="38">
          <cell r="A38">
            <v>205</v>
          </cell>
          <cell r="B38">
            <v>1</v>
          </cell>
          <cell r="C38">
            <v>13.301</v>
          </cell>
          <cell r="D38">
            <v>32.799999999999997</v>
          </cell>
          <cell r="E38">
            <v>34.1</v>
          </cell>
          <cell r="F38">
            <v>32.6</v>
          </cell>
          <cell r="G38">
            <v>31.4</v>
          </cell>
          <cell r="H38">
            <v>32</v>
          </cell>
          <cell r="I38">
            <v>31.4</v>
          </cell>
          <cell r="J38">
            <v>31.3</v>
          </cell>
          <cell r="K38">
            <v>33.1</v>
          </cell>
          <cell r="L38">
            <v>33.799999999999997</v>
          </cell>
          <cell r="M38">
            <v>30.4</v>
          </cell>
          <cell r="N38">
            <v>33.6</v>
          </cell>
          <cell r="O38">
            <v>30.9</v>
          </cell>
        </row>
        <row r="39">
          <cell r="A39">
            <v>205</v>
          </cell>
          <cell r="B39">
            <v>2</v>
          </cell>
          <cell r="C39">
            <v>13.305</v>
          </cell>
          <cell r="D39">
            <v>29.3</v>
          </cell>
          <cell r="E39">
            <v>28.9</v>
          </cell>
          <cell r="F39">
            <v>29.1</v>
          </cell>
          <cell r="G39">
            <v>29.2</v>
          </cell>
          <cell r="H39">
            <v>29.6</v>
          </cell>
          <cell r="I39">
            <v>28.2</v>
          </cell>
          <cell r="J39">
            <v>28.9</v>
          </cell>
          <cell r="K39">
            <v>28.4</v>
          </cell>
          <cell r="L39">
            <v>30</v>
          </cell>
          <cell r="M39">
            <v>28.4</v>
          </cell>
          <cell r="N39">
            <v>29.8</v>
          </cell>
          <cell r="O39">
            <v>30.1</v>
          </cell>
        </row>
        <row r="40">
          <cell r="A40">
            <v>206</v>
          </cell>
          <cell r="B40">
            <v>1</v>
          </cell>
          <cell r="C40">
            <v>13.317</v>
          </cell>
          <cell r="D40">
            <v>46.9</v>
          </cell>
          <cell r="E40">
            <v>53.8</v>
          </cell>
          <cell r="F40">
            <v>41.2</v>
          </cell>
          <cell r="G40">
            <v>47</v>
          </cell>
          <cell r="H40">
            <v>42.3</v>
          </cell>
          <cell r="I40">
            <v>51.7</v>
          </cell>
          <cell r="J40">
            <v>38.5</v>
          </cell>
          <cell r="K40">
            <v>49.9</v>
          </cell>
          <cell r="L40">
            <v>35.299999999999997</v>
          </cell>
          <cell r="M40">
            <v>52.3</v>
          </cell>
          <cell r="N40">
            <v>35.4</v>
          </cell>
          <cell r="O40">
            <v>51.6</v>
          </cell>
        </row>
        <row r="41">
          <cell r="A41">
            <v>206</v>
          </cell>
          <cell r="B41">
            <v>2</v>
          </cell>
          <cell r="C41">
            <v>13.321999999999999</v>
          </cell>
          <cell r="D41">
            <v>29.5</v>
          </cell>
          <cell r="E41">
            <v>31.2</v>
          </cell>
          <cell r="F41">
            <v>29.9</v>
          </cell>
          <cell r="G41">
            <v>30</v>
          </cell>
          <cell r="H41">
            <v>30.4</v>
          </cell>
          <cell r="I41">
            <v>32.5</v>
          </cell>
          <cell r="J41">
            <v>32</v>
          </cell>
          <cell r="K41">
            <v>30.3</v>
          </cell>
          <cell r="L41">
            <v>30</v>
          </cell>
          <cell r="M41">
            <v>31.1</v>
          </cell>
          <cell r="N41">
            <v>34.200000000000003</v>
          </cell>
          <cell r="O41">
            <v>29.8</v>
          </cell>
        </row>
        <row r="42">
          <cell r="A42">
            <v>207</v>
          </cell>
          <cell r="B42">
            <v>1</v>
          </cell>
          <cell r="C42">
            <v>13.334</v>
          </cell>
          <cell r="D42">
            <v>35</v>
          </cell>
          <cell r="E42">
            <v>30.7</v>
          </cell>
          <cell r="F42">
            <v>32.1</v>
          </cell>
          <cell r="G42">
            <v>29.8</v>
          </cell>
          <cell r="H42">
            <v>33.1</v>
          </cell>
          <cell r="I42">
            <v>31.7</v>
          </cell>
          <cell r="J42">
            <v>30.9</v>
          </cell>
          <cell r="K42">
            <v>30.9</v>
          </cell>
          <cell r="L42">
            <v>31.8</v>
          </cell>
          <cell r="M42">
            <v>31.2</v>
          </cell>
          <cell r="N42">
            <v>32.5</v>
          </cell>
          <cell r="O42">
            <v>29.7</v>
          </cell>
        </row>
        <row r="43">
          <cell r="A43">
            <v>207</v>
          </cell>
          <cell r="B43">
            <v>2</v>
          </cell>
          <cell r="C43">
            <v>13.339</v>
          </cell>
          <cell r="D43">
            <v>28.1</v>
          </cell>
          <cell r="E43">
            <v>28.7</v>
          </cell>
          <cell r="F43">
            <v>29</v>
          </cell>
          <cell r="G43">
            <v>29.4</v>
          </cell>
          <cell r="H43">
            <v>28.8</v>
          </cell>
          <cell r="I43">
            <v>29.1</v>
          </cell>
          <cell r="J43">
            <v>30.7</v>
          </cell>
          <cell r="K43">
            <v>28.8</v>
          </cell>
          <cell r="L43">
            <v>29.4</v>
          </cell>
          <cell r="M43">
            <v>30</v>
          </cell>
          <cell r="N43">
            <v>30</v>
          </cell>
          <cell r="O43">
            <v>30.1</v>
          </cell>
        </row>
        <row r="44">
          <cell r="A44">
            <v>208</v>
          </cell>
          <cell r="B44">
            <v>1</v>
          </cell>
          <cell r="C44">
            <v>13.351000000000001</v>
          </cell>
          <cell r="D44">
            <v>34.200000000000003</v>
          </cell>
          <cell r="E44">
            <v>32.299999999999997</v>
          </cell>
          <cell r="F44">
            <v>31.4</v>
          </cell>
          <cell r="G44">
            <v>31.6</v>
          </cell>
          <cell r="H44">
            <v>32.700000000000003</v>
          </cell>
          <cell r="I44">
            <v>32.700000000000003</v>
          </cell>
          <cell r="J44">
            <v>32</v>
          </cell>
          <cell r="K44">
            <v>32.1</v>
          </cell>
          <cell r="L44">
            <v>30.8</v>
          </cell>
          <cell r="M44">
            <v>32.6</v>
          </cell>
          <cell r="N44">
            <v>31.8</v>
          </cell>
          <cell r="O44">
            <v>32.200000000000003</v>
          </cell>
        </row>
        <row r="45">
          <cell r="A45">
            <v>208</v>
          </cell>
          <cell r="B45">
            <v>2</v>
          </cell>
          <cell r="C45">
            <v>13.355</v>
          </cell>
          <cell r="D45">
            <v>28.8</v>
          </cell>
          <cell r="E45">
            <v>28.4</v>
          </cell>
          <cell r="F45">
            <v>30.3</v>
          </cell>
          <cell r="G45">
            <v>29</v>
          </cell>
          <cell r="H45">
            <v>29.7</v>
          </cell>
          <cell r="I45">
            <v>30.1</v>
          </cell>
          <cell r="J45">
            <v>31.2</v>
          </cell>
          <cell r="K45">
            <v>28.4</v>
          </cell>
          <cell r="L45">
            <v>28.7</v>
          </cell>
          <cell r="M45">
            <v>28.9</v>
          </cell>
          <cell r="N45">
            <v>28.7</v>
          </cell>
          <cell r="O45">
            <v>28.7</v>
          </cell>
        </row>
        <row r="46">
          <cell r="A46">
            <v>908</v>
          </cell>
          <cell r="B46">
            <v>1</v>
          </cell>
          <cell r="C46">
            <v>13.37</v>
          </cell>
          <cell r="D46">
            <v>50.2</v>
          </cell>
          <cell r="E46">
            <v>51.8</v>
          </cell>
          <cell r="F46">
            <v>45.3</v>
          </cell>
          <cell r="G46">
            <v>46.6</v>
          </cell>
          <cell r="H46">
            <v>47.8</v>
          </cell>
          <cell r="I46">
            <v>45</v>
          </cell>
          <cell r="J46">
            <v>49.9</v>
          </cell>
          <cell r="K46">
            <v>43.5</v>
          </cell>
          <cell r="L46">
            <v>44.6</v>
          </cell>
          <cell r="M46">
            <v>47.3</v>
          </cell>
          <cell r="N46">
            <v>45.9</v>
          </cell>
          <cell r="O46">
            <v>36.200000000000003</v>
          </cell>
        </row>
        <row r="47">
          <cell r="A47">
            <v>908</v>
          </cell>
          <cell r="B47">
            <v>2</v>
          </cell>
          <cell r="C47">
            <v>13.374000000000001</v>
          </cell>
          <cell r="D47">
            <v>30.2</v>
          </cell>
          <cell r="E47">
            <v>31</v>
          </cell>
          <cell r="F47">
            <v>31.1</v>
          </cell>
          <cell r="G47">
            <v>30.4</v>
          </cell>
          <cell r="H47">
            <v>30.6</v>
          </cell>
          <cell r="I47">
            <v>31</v>
          </cell>
          <cell r="J47">
            <v>31.2</v>
          </cell>
          <cell r="K47">
            <v>31.9</v>
          </cell>
          <cell r="L47">
            <v>30.6</v>
          </cell>
          <cell r="M47">
            <v>32.1</v>
          </cell>
          <cell r="N47">
            <v>31.4</v>
          </cell>
          <cell r="O47">
            <v>31.2</v>
          </cell>
        </row>
        <row r="48">
          <cell r="A48">
            <v>907</v>
          </cell>
          <cell r="B48">
            <v>1</v>
          </cell>
          <cell r="C48">
            <v>13.385999999999999</v>
          </cell>
          <cell r="D48">
            <v>56.3</v>
          </cell>
          <cell r="E48">
            <v>56.2</v>
          </cell>
          <cell r="F48">
            <v>56.4</v>
          </cell>
          <cell r="G48">
            <v>56.4</v>
          </cell>
          <cell r="H48">
            <v>55.9</v>
          </cell>
          <cell r="I48">
            <v>56.1</v>
          </cell>
          <cell r="J48">
            <v>55.9</v>
          </cell>
          <cell r="K48">
            <v>55.8</v>
          </cell>
          <cell r="L48">
            <v>56.3</v>
          </cell>
          <cell r="M48">
            <v>56.7</v>
          </cell>
          <cell r="N48">
            <v>55.9</v>
          </cell>
          <cell r="O48">
            <v>56.1</v>
          </cell>
        </row>
        <row r="50">
          <cell r="A50">
            <v>906</v>
          </cell>
          <cell r="B50">
            <v>1</v>
          </cell>
          <cell r="C50">
            <v>13.395</v>
          </cell>
          <cell r="D50">
            <v>34.4</v>
          </cell>
          <cell r="E50">
            <v>31.1</v>
          </cell>
          <cell r="F50">
            <v>30.9</v>
          </cell>
          <cell r="G50">
            <v>32.299999999999997</v>
          </cell>
          <cell r="H50">
            <v>30.1</v>
          </cell>
          <cell r="I50">
            <v>33.799999999999997</v>
          </cell>
          <cell r="J50">
            <v>32.299999999999997</v>
          </cell>
          <cell r="K50">
            <v>32.799999999999997</v>
          </cell>
          <cell r="L50">
            <v>33.1</v>
          </cell>
          <cell r="M50">
            <v>31.7</v>
          </cell>
          <cell r="N50">
            <v>33.5</v>
          </cell>
          <cell r="O50">
            <v>30</v>
          </cell>
        </row>
        <row r="51">
          <cell r="A51">
            <v>906</v>
          </cell>
          <cell r="B51">
            <v>2</v>
          </cell>
          <cell r="C51">
            <v>13.398999999999999</v>
          </cell>
          <cell r="D51">
            <v>28.4</v>
          </cell>
          <cell r="E51">
            <v>29.2</v>
          </cell>
          <cell r="F51">
            <v>28.7</v>
          </cell>
          <cell r="G51">
            <v>29.3</v>
          </cell>
          <cell r="H51">
            <v>29.2</v>
          </cell>
          <cell r="I51">
            <v>30</v>
          </cell>
          <cell r="J51">
            <v>30.1</v>
          </cell>
          <cell r="K51">
            <v>29</v>
          </cell>
          <cell r="L51">
            <v>29.7</v>
          </cell>
          <cell r="M51">
            <v>29.8</v>
          </cell>
          <cell r="N51">
            <v>29.6</v>
          </cell>
          <cell r="O51">
            <v>29.3</v>
          </cell>
        </row>
        <row r="52">
          <cell r="A52">
            <v>905</v>
          </cell>
          <cell r="B52">
            <v>1</v>
          </cell>
          <cell r="C52">
            <v>13.411</v>
          </cell>
          <cell r="D52">
            <v>28.2</v>
          </cell>
          <cell r="E52">
            <v>28.2</v>
          </cell>
          <cell r="F52">
            <v>28.2</v>
          </cell>
          <cell r="G52">
            <v>28.2</v>
          </cell>
          <cell r="H52">
            <v>28.2</v>
          </cell>
          <cell r="I52">
            <v>28.5</v>
          </cell>
          <cell r="J52">
            <v>28.5</v>
          </cell>
          <cell r="K52">
            <v>28.5</v>
          </cell>
          <cell r="L52">
            <v>28.6</v>
          </cell>
          <cell r="M52">
            <v>28.6</v>
          </cell>
          <cell r="N52">
            <v>28.7</v>
          </cell>
          <cell r="O52">
            <v>28.6</v>
          </cell>
        </row>
        <row r="54">
          <cell r="A54">
            <v>904</v>
          </cell>
          <cell r="B54">
            <v>1</v>
          </cell>
          <cell r="C54">
            <v>13.42</v>
          </cell>
          <cell r="D54">
            <v>56.7</v>
          </cell>
          <cell r="E54">
            <v>48</v>
          </cell>
          <cell r="F54">
            <v>39.200000000000003</v>
          </cell>
          <cell r="G54">
            <v>54.1</v>
          </cell>
          <cell r="H54">
            <v>35.1</v>
          </cell>
          <cell r="I54">
            <v>55.4</v>
          </cell>
          <cell r="J54">
            <v>45</v>
          </cell>
          <cell r="K54">
            <v>48.4</v>
          </cell>
          <cell r="L54">
            <v>43.9</v>
          </cell>
          <cell r="M54">
            <v>47.9</v>
          </cell>
          <cell r="N54">
            <v>48</v>
          </cell>
          <cell r="O54">
            <v>47.1</v>
          </cell>
        </row>
        <row r="55">
          <cell r="A55">
            <v>904</v>
          </cell>
          <cell r="B55">
            <v>2</v>
          </cell>
          <cell r="C55">
            <v>13.433999999999999</v>
          </cell>
          <cell r="D55">
            <v>32.299999999999997</v>
          </cell>
          <cell r="E55">
            <v>33.200000000000003</v>
          </cell>
          <cell r="F55">
            <v>31</v>
          </cell>
          <cell r="G55">
            <v>32.200000000000003</v>
          </cell>
          <cell r="H55">
            <v>31.4</v>
          </cell>
          <cell r="I55">
            <v>32.799999999999997</v>
          </cell>
          <cell r="J55">
            <v>30.9</v>
          </cell>
          <cell r="K55">
            <v>31.5</v>
          </cell>
          <cell r="L55">
            <v>32.299999999999997</v>
          </cell>
          <cell r="M55">
            <v>32.299999999999997</v>
          </cell>
          <cell r="N55">
            <v>30.8</v>
          </cell>
          <cell r="O55">
            <v>30.9</v>
          </cell>
        </row>
        <row r="56">
          <cell r="A56">
            <v>903</v>
          </cell>
          <cell r="B56">
            <v>1</v>
          </cell>
          <cell r="C56">
            <v>13.445</v>
          </cell>
          <cell r="D56">
            <v>56.7</v>
          </cell>
          <cell r="E56">
            <v>56.9</v>
          </cell>
          <cell r="F56">
            <v>56.9</v>
          </cell>
          <cell r="G56">
            <v>56.4</v>
          </cell>
          <cell r="H56">
            <v>56.2</v>
          </cell>
          <cell r="I56">
            <v>56.6</v>
          </cell>
          <cell r="J56">
            <v>56.6</v>
          </cell>
          <cell r="K56">
            <v>56.5</v>
          </cell>
          <cell r="L56">
            <v>56.9</v>
          </cell>
          <cell r="M56">
            <v>56.7</v>
          </cell>
          <cell r="N56">
            <v>56.8</v>
          </cell>
          <cell r="O56">
            <v>56.6</v>
          </cell>
        </row>
        <row r="58">
          <cell r="A58">
            <v>902</v>
          </cell>
          <cell r="B58">
            <v>1</v>
          </cell>
          <cell r="C58">
            <v>13.454000000000001</v>
          </cell>
          <cell r="D58">
            <v>35.200000000000003</v>
          </cell>
          <cell r="E58">
            <v>33.799999999999997</v>
          </cell>
          <cell r="F58">
            <v>30.8</v>
          </cell>
          <cell r="G58">
            <v>34.9</v>
          </cell>
          <cell r="H58">
            <v>30.6</v>
          </cell>
          <cell r="I58">
            <v>35.5</v>
          </cell>
          <cell r="J58">
            <v>30.4</v>
          </cell>
          <cell r="K58">
            <v>35.299999999999997</v>
          </cell>
          <cell r="L58">
            <v>30.4</v>
          </cell>
          <cell r="M58">
            <v>34.200000000000003</v>
          </cell>
          <cell r="N58">
            <v>30.7</v>
          </cell>
          <cell r="O58">
            <v>32</v>
          </cell>
        </row>
        <row r="59">
          <cell r="A59">
            <v>902</v>
          </cell>
          <cell r="B59">
            <v>2</v>
          </cell>
          <cell r="C59">
            <v>13.458</v>
          </cell>
          <cell r="D59">
            <v>29.5</v>
          </cell>
          <cell r="E59">
            <v>30.6</v>
          </cell>
          <cell r="F59">
            <v>30</v>
          </cell>
          <cell r="G59">
            <v>30</v>
          </cell>
          <cell r="H59">
            <v>29</v>
          </cell>
          <cell r="I59">
            <v>30</v>
          </cell>
          <cell r="J59">
            <v>29.8</v>
          </cell>
          <cell r="K59">
            <v>30.2</v>
          </cell>
          <cell r="L59">
            <v>30.2</v>
          </cell>
          <cell r="M59">
            <v>29.3</v>
          </cell>
          <cell r="N59">
            <v>29.1</v>
          </cell>
          <cell r="O59">
            <v>30.3</v>
          </cell>
        </row>
        <row r="60">
          <cell r="A60">
            <v>901</v>
          </cell>
          <cell r="B60">
            <v>1</v>
          </cell>
          <cell r="C60">
            <v>13.47</v>
          </cell>
          <cell r="D60">
            <v>31.1</v>
          </cell>
          <cell r="E60">
            <v>29.3</v>
          </cell>
          <cell r="F60">
            <v>30.5</v>
          </cell>
          <cell r="G60">
            <v>30.4</v>
          </cell>
          <cell r="H60">
            <v>29.7</v>
          </cell>
          <cell r="I60">
            <v>29.7</v>
          </cell>
          <cell r="J60">
            <v>29.8</v>
          </cell>
          <cell r="K60">
            <v>29.3</v>
          </cell>
          <cell r="L60">
            <v>29.8</v>
          </cell>
          <cell r="M60">
            <v>29.6</v>
          </cell>
          <cell r="N60">
            <v>29.5</v>
          </cell>
          <cell r="O60">
            <v>30.7</v>
          </cell>
        </row>
        <row r="62">
          <cell r="A62">
            <v>301</v>
          </cell>
          <cell r="B62">
            <v>1</v>
          </cell>
          <cell r="C62">
            <v>13.481</v>
          </cell>
          <cell r="D62">
            <v>49.6</v>
          </cell>
          <cell r="E62">
            <v>44.4</v>
          </cell>
          <cell r="F62">
            <v>50.3</v>
          </cell>
          <cell r="G62">
            <v>47.1</v>
          </cell>
          <cell r="H62">
            <v>50.6</v>
          </cell>
          <cell r="I62">
            <v>46.7</v>
          </cell>
          <cell r="J62">
            <v>41.4</v>
          </cell>
          <cell r="K62">
            <v>47.6</v>
          </cell>
          <cell r="L62">
            <v>52.8</v>
          </cell>
          <cell r="M62">
            <v>44.5</v>
          </cell>
          <cell r="N62">
            <v>49.4</v>
          </cell>
          <cell r="O62">
            <v>39.200000000000003</v>
          </cell>
        </row>
        <row r="63">
          <cell r="A63">
            <v>301</v>
          </cell>
          <cell r="B63">
            <v>2</v>
          </cell>
          <cell r="C63">
            <v>13.488</v>
          </cell>
          <cell r="D63">
            <v>31.8</v>
          </cell>
          <cell r="E63">
            <v>32.799999999999997</v>
          </cell>
          <cell r="F63">
            <v>32.6</v>
          </cell>
          <cell r="G63">
            <v>33.9</v>
          </cell>
          <cell r="H63">
            <v>33</v>
          </cell>
          <cell r="I63">
            <v>33.700000000000003</v>
          </cell>
          <cell r="J63">
            <v>33.299999999999997</v>
          </cell>
          <cell r="K63">
            <v>32.1</v>
          </cell>
          <cell r="L63">
            <v>33.1</v>
          </cell>
          <cell r="M63">
            <v>34.9</v>
          </cell>
          <cell r="N63">
            <v>32</v>
          </cell>
          <cell r="O63">
            <v>32.4</v>
          </cell>
        </row>
        <row r="64">
          <cell r="A64">
            <v>302</v>
          </cell>
          <cell r="B64">
            <v>1</v>
          </cell>
          <cell r="C64">
            <v>13.500999999999999</v>
          </cell>
          <cell r="D64">
            <v>36.5</v>
          </cell>
          <cell r="E64">
            <v>33.6</v>
          </cell>
          <cell r="F64">
            <v>35.299999999999997</v>
          </cell>
          <cell r="G64">
            <v>35.4</v>
          </cell>
          <cell r="H64">
            <v>32</v>
          </cell>
          <cell r="I64">
            <v>33.700000000000003</v>
          </cell>
          <cell r="J64">
            <v>29.7</v>
          </cell>
          <cell r="K64">
            <v>34.6</v>
          </cell>
          <cell r="L64">
            <v>31.5</v>
          </cell>
          <cell r="M64">
            <v>34.9</v>
          </cell>
          <cell r="N64">
            <v>30</v>
          </cell>
          <cell r="O64">
            <v>35.1</v>
          </cell>
        </row>
        <row r="65">
          <cell r="A65">
            <v>302</v>
          </cell>
          <cell r="B65">
            <v>2</v>
          </cell>
          <cell r="C65">
            <v>13.505000000000001</v>
          </cell>
          <cell r="D65">
            <v>30.3</v>
          </cell>
          <cell r="E65">
            <v>29.7</v>
          </cell>
          <cell r="F65">
            <v>30.2</v>
          </cell>
          <cell r="G65">
            <v>30</v>
          </cell>
          <cell r="H65">
            <v>30</v>
          </cell>
          <cell r="I65">
            <v>31.9</v>
          </cell>
          <cell r="J65">
            <v>29.6</v>
          </cell>
          <cell r="K65">
            <v>30.2</v>
          </cell>
          <cell r="L65">
            <v>31.3</v>
          </cell>
          <cell r="M65">
            <v>29.8</v>
          </cell>
          <cell r="N65">
            <v>32</v>
          </cell>
          <cell r="O65">
            <v>30.6</v>
          </cell>
        </row>
        <row r="66">
          <cell r="A66">
            <v>303</v>
          </cell>
          <cell r="B66">
            <v>1</v>
          </cell>
          <cell r="C66">
            <v>13.516999999999999</v>
          </cell>
          <cell r="D66">
            <v>54.5</v>
          </cell>
          <cell r="E66">
            <v>47.8</v>
          </cell>
          <cell r="F66">
            <v>43.7</v>
          </cell>
          <cell r="G66">
            <v>51.5</v>
          </cell>
          <cell r="H66">
            <v>46.3</v>
          </cell>
          <cell r="I66">
            <v>53.5</v>
          </cell>
          <cell r="J66">
            <v>36.9</v>
          </cell>
          <cell r="K66">
            <v>52.7</v>
          </cell>
          <cell r="L66">
            <v>37.1</v>
          </cell>
          <cell r="M66">
            <v>53.6</v>
          </cell>
          <cell r="N66">
            <v>40.6</v>
          </cell>
          <cell r="O66">
            <v>51.8</v>
          </cell>
        </row>
        <row r="67">
          <cell r="A67">
            <v>303</v>
          </cell>
          <cell r="B67">
            <v>2</v>
          </cell>
          <cell r="C67">
            <v>13.522</v>
          </cell>
          <cell r="D67">
            <v>31.9</v>
          </cell>
          <cell r="E67">
            <v>30.8</v>
          </cell>
          <cell r="F67">
            <v>29.3</v>
          </cell>
          <cell r="G67">
            <v>29.8</v>
          </cell>
          <cell r="H67">
            <v>29.9</v>
          </cell>
          <cell r="I67">
            <v>30.9</v>
          </cell>
          <cell r="J67">
            <v>32.1</v>
          </cell>
          <cell r="K67">
            <v>30.9</v>
          </cell>
          <cell r="L67">
            <v>29.8</v>
          </cell>
          <cell r="M67">
            <v>29.8</v>
          </cell>
          <cell r="N67">
            <v>31.4</v>
          </cell>
          <cell r="O67">
            <v>31</v>
          </cell>
        </row>
        <row r="68">
          <cell r="A68">
            <v>304</v>
          </cell>
          <cell r="B68">
            <v>1</v>
          </cell>
          <cell r="C68">
            <v>13.534000000000001</v>
          </cell>
          <cell r="D68">
            <v>34.4</v>
          </cell>
          <cell r="E68">
            <v>31.3</v>
          </cell>
          <cell r="F68">
            <v>34.299999999999997</v>
          </cell>
          <cell r="G68">
            <v>32.4</v>
          </cell>
          <cell r="H68">
            <v>33.4</v>
          </cell>
          <cell r="I68">
            <v>33</v>
          </cell>
          <cell r="J68">
            <v>31.1</v>
          </cell>
          <cell r="K68">
            <v>34.700000000000003</v>
          </cell>
          <cell r="L68">
            <v>31.1</v>
          </cell>
          <cell r="M68">
            <v>33</v>
          </cell>
          <cell r="N68">
            <v>31.2</v>
          </cell>
          <cell r="O68">
            <v>34.4</v>
          </cell>
        </row>
        <row r="69">
          <cell r="A69">
            <v>304</v>
          </cell>
          <cell r="B69">
            <v>2</v>
          </cell>
          <cell r="C69">
            <v>13.538</v>
          </cell>
          <cell r="D69">
            <v>28.8</v>
          </cell>
          <cell r="E69">
            <v>28.1</v>
          </cell>
          <cell r="F69">
            <v>30.6</v>
          </cell>
          <cell r="G69">
            <v>30.6</v>
          </cell>
          <cell r="H69">
            <v>30.3</v>
          </cell>
          <cell r="I69">
            <v>29.3</v>
          </cell>
          <cell r="J69">
            <v>30.3</v>
          </cell>
          <cell r="K69">
            <v>28.7</v>
          </cell>
          <cell r="L69">
            <v>30.2</v>
          </cell>
          <cell r="M69">
            <v>29.7</v>
          </cell>
          <cell r="N69">
            <v>29.2</v>
          </cell>
          <cell r="O69">
            <v>28.3</v>
          </cell>
        </row>
        <row r="70">
          <cell r="A70">
            <v>305</v>
          </cell>
          <cell r="B70">
            <v>1</v>
          </cell>
          <cell r="C70">
            <v>13.55</v>
          </cell>
          <cell r="D70">
            <v>42.4</v>
          </cell>
          <cell r="E70">
            <v>38.299999999999997</v>
          </cell>
          <cell r="F70">
            <v>40.6</v>
          </cell>
          <cell r="G70">
            <v>38.6</v>
          </cell>
          <cell r="H70">
            <v>31.5</v>
          </cell>
          <cell r="I70">
            <v>44.6</v>
          </cell>
          <cell r="J70">
            <v>38.799999999999997</v>
          </cell>
          <cell r="K70">
            <v>40.1</v>
          </cell>
          <cell r="L70">
            <v>37</v>
          </cell>
          <cell r="M70">
            <v>39.5</v>
          </cell>
          <cell r="N70">
            <v>32.6</v>
          </cell>
          <cell r="O70">
            <v>36.200000000000003</v>
          </cell>
        </row>
        <row r="71">
          <cell r="A71">
            <v>305</v>
          </cell>
          <cell r="B71">
            <v>2</v>
          </cell>
          <cell r="C71">
            <v>13.555</v>
          </cell>
          <cell r="D71">
            <v>30.8</v>
          </cell>
          <cell r="E71">
            <v>29.8</v>
          </cell>
          <cell r="F71">
            <v>32.1</v>
          </cell>
          <cell r="G71">
            <v>31.4</v>
          </cell>
          <cell r="H71">
            <v>29.2</v>
          </cell>
          <cell r="I71">
            <v>30.2</v>
          </cell>
          <cell r="J71">
            <v>30.5</v>
          </cell>
          <cell r="K71">
            <v>30.9</v>
          </cell>
          <cell r="L71">
            <v>30</v>
          </cell>
          <cell r="M71">
            <v>29.3</v>
          </cell>
          <cell r="N71">
            <v>30.4</v>
          </cell>
          <cell r="O71">
            <v>31.1</v>
          </cell>
        </row>
        <row r="72">
          <cell r="A72">
            <v>306</v>
          </cell>
          <cell r="B72">
            <v>1</v>
          </cell>
          <cell r="C72">
            <v>13.567</v>
          </cell>
          <cell r="D72">
            <v>36</v>
          </cell>
          <cell r="E72">
            <v>31.4</v>
          </cell>
          <cell r="F72">
            <v>33.9</v>
          </cell>
          <cell r="G72">
            <v>33.700000000000003</v>
          </cell>
          <cell r="H72">
            <v>32.700000000000003</v>
          </cell>
          <cell r="I72">
            <v>35.299999999999997</v>
          </cell>
          <cell r="J72">
            <v>29.2</v>
          </cell>
          <cell r="K72">
            <v>34.9</v>
          </cell>
          <cell r="L72">
            <v>29.3</v>
          </cell>
          <cell r="M72">
            <v>35.1</v>
          </cell>
          <cell r="N72">
            <v>29.8</v>
          </cell>
          <cell r="O72">
            <v>35</v>
          </cell>
        </row>
        <row r="73">
          <cell r="A73">
            <v>306</v>
          </cell>
          <cell r="B73">
            <v>2</v>
          </cell>
          <cell r="C73">
            <v>13.571</v>
          </cell>
          <cell r="D73">
            <v>28</v>
          </cell>
          <cell r="E73">
            <v>27.8</v>
          </cell>
          <cell r="F73">
            <v>28.9</v>
          </cell>
          <cell r="G73">
            <v>29.2</v>
          </cell>
          <cell r="H73">
            <v>28.4</v>
          </cell>
          <cell r="I73">
            <v>29</v>
          </cell>
          <cell r="J73">
            <v>29.6</v>
          </cell>
          <cell r="K73">
            <v>28.2</v>
          </cell>
          <cell r="L73">
            <v>28.2</v>
          </cell>
          <cell r="M73">
            <v>28.1</v>
          </cell>
          <cell r="N73">
            <v>30.4</v>
          </cell>
          <cell r="O73">
            <v>28.8</v>
          </cell>
        </row>
        <row r="74">
          <cell r="A74">
            <v>307</v>
          </cell>
          <cell r="B74">
            <v>1</v>
          </cell>
          <cell r="C74">
            <v>13.583</v>
          </cell>
          <cell r="D74">
            <v>53.2</v>
          </cell>
          <cell r="E74">
            <v>52.4</v>
          </cell>
          <cell r="F74">
            <v>42.6</v>
          </cell>
          <cell r="G74">
            <v>48.5</v>
          </cell>
          <cell r="H74">
            <v>41.8</v>
          </cell>
          <cell r="I74">
            <v>51.5</v>
          </cell>
          <cell r="J74">
            <v>36.4</v>
          </cell>
          <cell r="K74">
            <v>55.1</v>
          </cell>
          <cell r="L74">
            <v>34.9</v>
          </cell>
          <cell r="M74">
            <v>54.9</v>
          </cell>
          <cell r="N74">
            <v>35.9</v>
          </cell>
          <cell r="O74">
            <v>52.8</v>
          </cell>
        </row>
        <row r="75">
          <cell r="A75">
            <v>307</v>
          </cell>
          <cell r="B75">
            <v>2</v>
          </cell>
          <cell r="C75">
            <v>13.587</v>
          </cell>
          <cell r="D75">
            <v>30.5</v>
          </cell>
          <cell r="E75">
            <v>32.1</v>
          </cell>
          <cell r="F75">
            <v>31.6</v>
          </cell>
          <cell r="G75">
            <v>30.6</v>
          </cell>
          <cell r="H75">
            <v>31.6</v>
          </cell>
          <cell r="I75">
            <v>30.6</v>
          </cell>
          <cell r="J75">
            <v>30.8</v>
          </cell>
          <cell r="K75">
            <v>31.3</v>
          </cell>
          <cell r="L75">
            <v>31.7</v>
          </cell>
          <cell r="M75">
            <v>31.8</v>
          </cell>
          <cell r="N75">
            <v>31.2</v>
          </cell>
          <cell r="O75">
            <v>31.3</v>
          </cell>
        </row>
        <row r="76">
          <cell r="A76">
            <v>308</v>
          </cell>
          <cell r="B76">
            <v>1</v>
          </cell>
          <cell r="C76">
            <v>13.599</v>
          </cell>
          <cell r="D76">
            <v>32.1</v>
          </cell>
          <cell r="E76">
            <v>33.700000000000003</v>
          </cell>
          <cell r="F76">
            <v>30.1</v>
          </cell>
          <cell r="G76">
            <v>33.700000000000003</v>
          </cell>
          <cell r="H76">
            <v>31.2</v>
          </cell>
          <cell r="I76">
            <v>34.5</v>
          </cell>
          <cell r="J76">
            <v>30.2</v>
          </cell>
          <cell r="K76">
            <v>33.4</v>
          </cell>
          <cell r="L76">
            <v>31.4</v>
          </cell>
          <cell r="M76">
            <v>33.6</v>
          </cell>
          <cell r="N76">
            <v>29.9</v>
          </cell>
          <cell r="O76">
            <v>33.4</v>
          </cell>
        </row>
        <row r="77">
          <cell r="A77">
            <v>308</v>
          </cell>
          <cell r="B77">
            <v>2</v>
          </cell>
          <cell r="C77">
            <v>13.603</v>
          </cell>
          <cell r="D77">
            <v>29.8</v>
          </cell>
          <cell r="E77">
            <v>29.5</v>
          </cell>
          <cell r="F77">
            <v>30</v>
          </cell>
          <cell r="G77">
            <v>30.8</v>
          </cell>
          <cell r="H77">
            <v>29.7</v>
          </cell>
          <cell r="I77">
            <v>29.3</v>
          </cell>
          <cell r="J77">
            <v>29.6</v>
          </cell>
          <cell r="K77">
            <v>29.3</v>
          </cell>
          <cell r="L77">
            <v>29.7</v>
          </cell>
          <cell r="M77">
            <v>28.5</v>
          </cell>
          <cell r="N77">
            <v>30.2</v>
          </cell>
          <cell r="O77">
            <v>29.4</v>
          </cell>
        </row>
        <row r="78">
          <cell r="A78">
            <v>408</v>
          </cell>
          <cell r="B78">
            <v>1</v>
          </cell>
          <cell r="C78">
            <v>13.622</v>
          </cell>
          <cell r="D78">
            <v>56.9</v>
          </cell>
          <cell r="E78">
            <v>48.2</v>
          </cell>
          <cell r="F78">
            <v>48.2</v>
          </cell>
          <cell r="G78">
            <v>51.4</v>
          </cell>
          <cell r="H78">
            <v>48.9</v>
          </cell>
          <cell r="I78">
            <v>53.1</v>
          </cell>
          <cell r="J78">
            <v>37.700000000000003</v>
          </cell>
          <cell r="K78">
            <v>55</v>
          </cell>
          <cell r="L78">
            <v>41.1</v>
          </cell>
          <cell r="M78">
            <v>49.3</v>
          </cell>
          <cell r="N78">
            <v>42.7</v>
          </cell>
          <cell r="O78">
            <v>43.6</v>
          </cell>
        </row>
        <row r="79">
          <cell r="A79">
            <v>408</v>
          </cell>
          <cell r="B79">
            <v>2</v>
          </cell>
          <cell r="C79">
            <v>13.627000000000001</v>
          </cell>
          <cell r="D79">
            <v>31.7</v>
          </cell>
          <cell r="E79">
            <v>31.7</v>
          </cell>
          <cell r="F79">
            <v>31.8</v>
          </cell>
          <cell r="G79">
            <v>31.3</v>
          </cell>
          <cell r="H79">
            <v>31.4</v>
          </cell>
          <cell r="I79">
            <v>31.9</v>
          </cell>
          <cell r="J79">
            <v>31.1</v>
          </cell>
          <cell r="K79">
            <v>31.8</v>
          </cell>
          <cell r="L79">
            <v>31.6</v>
          </cell>
          <cell r="M79">
            <v>30.6</v>
          </cell>
          <cell r="N79">
            <v>30.8</v>
          </cell>
          <cell r="O79">
            <v>30.3</v>
          </cell>
        </row>
        <row r="80">
          <cell r="A80">
            <v>407</v>
          </cell>
          <cell r="B80">
            <v>1</v>
          </cell>
          <cell r="C80">
            <v>13.638999999999999</v>
          </cell>
          <cell r="D80">
            <v>54.6</v>
          </cell>
          <cell r="E80">
            <v>51.8</v>
          </cell>
          <cell r="F80">
            <v>46.8</v>
          </cell>
          <cell r="G80">
            <v>50.2</v>
          </cell>
          <cell r="H80">
            <v>36.9</v>
          </cell>
          <cell r="I80">
            <v>52.9</v>
          </cell>
          <cell r="J80">
            <v>40</v>
          </cell>
          <cell r="K80">
            <v>53.6</v>
          </cell>
          <cell r="L80">
            <v>34.799999999999997</v>
          </cell>
          <cell r="M80">
            <v>52.9</v>
          </cell>
          <cell r="N80">
            <v>38.700000000000003</v>
          </cell>
          <cell r="O80">
            <v>53.4</v>
          </cell>
        </row>
        <row r="81">
          <cell r="A81">
            <v>407</v>
          </cell>
          <cell r="B81">
            <v>2</v>
          </cell>
          <cell r="C81">
            <v>13.643000000000001</v>
          </cell>
          <cell r="D81">
            <v>30.8</v>
          </cell>
          <cell r="E81">
            <v>30.6</v>
          </cell>
          <cell r="F81">
            <v>31.8</v>
          </cell>
          <cell r="G81">
            <v>31.9</v>
          </cell>
          <cell r="H81">
            <v>30.9</v>
          </cell>
          <cell r="I81">
            <v>31.1</v>
          </cell>
          <cell r="J81">
            <v>31.9</v>
          </cell>
          <cell r="K81">
            <v>32.200000000000003</v>
          </cell>
          <cell r="L81">
            <v>30.8</v>
          </cell>
          <cell r="M81">
            <v>30.7</v>
          </cell>
          <cell r="N81">
            <v>30.6</v>
          </cell>
          <cell r="O81">
            <v>30.7</v>
          </cell>
        </row>
        <row r="82">
          <cell r="A82">
            <v>406</v>
          </cell>
          <cell r="B82">
            <v>1</v>
          </cell>
          <cell r="C82">
            <v>13.66</v>
          </cell>
          <cell r="D82">
            <v>36.200000000000003</v>
          </cell>
          <cell r="E82">
            <v>33</v>
          </cell>
          <cell r="F82">
            <v>31.5</v>
          </cell>
          <cell r="G82">
            <v>32.299999999999997</v>
          </cell>
          <cell r="H82">
            <v>31.3</v>
          </cell>
          <cell r="I82">
            <v>31.5</v>
          </cell>
          <cell r="J82">
            <v>30.2</v>
          </cell>
          <cell r="K82">
            <v>32.5</v>
          </cell>
          <cell r="L82">
            <v>31.9</v>
          </cell>
          <cell r="M82">
            <v>29.9</v>
          </cell>
          <cell r="N82">
            <v>33.5</v>
          </cell>
          <cell r="O82">
            <v>29.9</v>
          </cell>
        </row>
        <row r="83">
          <cell r="A83">
            <v>406</v>
          </cell>
          <cell r="B83">
            <v>2</v>
          </cell>
          <cell r="C83">
            <v>13.664999999999999</v>
          </cell>
          <cell r="D83">
            <v>28.8</v>
          </cell>
          <cell r="E83">
            <v>29.7</v>
          </cell>
          <cell r="F83">
            <v>28.8</v>
          </cell>
          <cell r="G83">
            <v>28.9</v>
          </cell>
          <cell r="H83">
            <v>29.1</v>
          </cell>
          <cell r="I83">
            <v>28.8</v>
          </cell>
          <cell r="J83">
            <v>28.5</v>
          </cell>
          <cell r="K83">
            <v>28.7</v>
          </cell>
          <cell r="L83">
            <v>29.3</v>
          </cell>
          <cell r="M83">
            <v>28.7</v>
          </cell>
          <cell r="N83">
            <v>31.2</v>
          </cell>
          <cell r="O83">
            <v>29.1</v>
          </cell>
        </row>
        <row r="84">
          <cell r="A84">
            <v>405</v>
          </cell>
          <cell r="B84">
            <v>1</v>
          </cell>
          <cell r="C84">
            <v>13.677</v>
          </cell>
          <cell r="D84">
            <v>36.1</v>
          </cell>
          <cell r="E84">
            <v>32.4</v>
          </cell>
          <cell r="F84">
            <v>29.6</v>
          </cell>
          <cell r="G84">
            <v>33.200000000000003</v>
          </cell>
          <cell r="H84">
            <v>29.4</v>
          </cell>
          <cell r="I84">
            <v>35.1</v>
          </cell>
          <cell r="J84">
            <v>29.3</v>
          </cell>
          <cell r="K84">
            <v>35.1</v>
          </cell>
          <cell r="L84">
            <v>30.2</v>
          </cell>
          <cell r="M84">
            <v>33.200000000000003</v>
          </cell>
          <cell r="N84">
            <v>29.7</v>
          </cell>
          <cell r="O84">
            <v>33</v>
          </cell>
        </row>
        <row r="85">
          <cell r="A85">
            <v>405</v>
          </cell>
          <cell r="B85">
            <v>2</v>
          </cell>
          <cell r="C85">
            <v>13.682</v>
          </cell>
          <cell r="D85">
            <v>30.3</v>
          </cell>
          <cell r="E85">
            <v>30.3</v>
          </cell>
          <cell r="F85">
            <v>29.2</v>
          </cell>
          <cell r="G85">
            <v>29.7</v>
          </cell>
          <cell r="H85">
            <v>29.4</v>
          </cell>
          <cell r="I85">
            <v>29.5</v>
          </cell>
          <cell r="J85">
            <v>30.7</v>
          </cell>
          <cell r="K85">
            <v>30.1</v>
          </cell>
          <cell r="L85">
            <v>30.7</v>
          </cell>
          <cell r="M85">
            <v>31.2</v>
          </cell>
          <cell r="N85">
            <v>29.5</v>
          </cell>
          <cell r="O85">
            <v>29.6</v>
          </cell>
        </row>
        <row r="86">
          <cell r="A86">
            <v>404</v>
          </cell>
          <cell r="B86">
            <v>1</v>
          </cell>
          <cell r="C86">
            <v>13.694000000000001</v>
          </cell>
          <cell r="D86">
            <v>36.700000000000003</v>
          </cell>
          <cell r="E86">
            <v>31.8</v>
          </cell>
          <cell r="F86">
            <v>32.5</v>
          </cell>
          <cell r="G86">
            <v>34.9</v>
          </cell>
          <cell r="H86">
            <v>30.3</v>
          </cell>
          <cell r="I86">
            <v>35.5</v>
          </cell>
          <cell r="J86">
            <v>32.200000000000003</v>
          </cell>
          <cell r="K86">
            <v>33.9</v>
          </cell>
          <cell r="L86">
            <v>29.3</v>
          </cell>
          <cell r="M86">
            <v>36.6</v>
          </cell>
          <cell r="N86">
            <v>29.8</v>
          </cell>
          <cell r="O86">
            <v>32.5</v>
          </cell>
        </row>
        <row r="87">
          <cell r="A87">
            <v>404</v>
          </cell>
          <cell r="B87">
            <v>2</v>
          </cell>
          <cell r="C87">
            <v>13.698</v>
          </cell>
          <cell r="D87">
            <v>29.1</v>
          </cell>
          <cell r="E87">
            <v>28.5</v>
          </cell>
          <cell r="F87">
            <v>29.6</v>
          </cell>
          <cell r="G87">
            <v>29.1</v>
          </cell>
          <cell r="H87">
            <v>28.7</v>
          </cell>
          <cell r="I87">
            <v>28.7</v>
          </cell>
          <cell r="J87">
            <v>28.8</v>
          </cell>
          <cell r="K87">
            <v>27.9</v>
          </cell>
          <cell r="L87">
            <v>28.3</v>
          </cell>
          <cell r="M87">
            <v>28.2</v>
          </cell>
          <cell r="N87">
            <v>28.3</v>
          </cell>
          <cell r="O87">
            <v>28.7</v>
          </cell>
        </row>
        <row r="88">
          <cell r="A88">
            <v>403</v>
          </cell>
          <cell r="B88">
            <v>1</v>
          </cell>
          <cell r="C88">
            <v>13.71</v>
          </cell>
          <cell r="D88">
            <v>35.9</v>
          </cell>
          <cell r="E88">
            <v>30.6</v>
          </cell>
          <cell r="F88">
            <v>31.7</v>
          </cell>
          <cell r="G88">
            <v>31.4</v>
          </cell>
          <cell r="H88">
            <v>32.200000000000003</v>
          </cell>
          <cell r="I88">
            <v>31.7</v>
          </cell>
          <cell r="J88">
            <v>33.1</v>
          </cell>
          <cell r="K88">
            <v>33</v>
          </cell>
          <cell r="L88">
            <v>33.799999999999997</v>
          </cell>
          <cell r="M88">
            <v>32.299999999999997</v>
          </cell>
          <cell r="N88">
            <v>31.4</v>
          </cell>
          <cell r="O88">
            <v>31.2</v>
          </cell>
        </row>
        <row r="89">
          <cell r="A89">
            <v>403</v>
          </cell>
          <cell r="B89">
            <v>2</v>
          </cell>
          <cell r="C89">
            <v>13.714</v>
          </cell>
          <cell r="D89">
            <v>29.3</v>
          </cell>
          <cell r="E89">
            <v>30.6</v>
          </cell>
          <cell r="F89">
            <v>29.5</v>
          </cell>
          <cell r="G89">
            <v>29.4</v>
          </cell>
          <cell r="H89">
            <v>29.7</v>
          </cell>
          <cell r="I89">
            <v>28.9</v>
          </cell>
          <cell r="J89">
            <v>29.2</v>
          </cell>
          <cell r="K89">
            <v>29.9</v>
          </cell>
          <cell r="L89">
            <v>28.8</v>
          </cell>
          <cell r="M89">
            <v>29.2</v>
          </cell>
          <cell r="N89">
            <v>29</v>
          </cell>
          <cell r="O89">
            <v>29.7</v>
          </cell>
        </row>
        <row r="90">
          <cell r="A90">
            <v>402</v>
          </cell>
          <cell r="B90">
            <v>1</v>
          </cell>
          <cell r="C90">
            <v>13.726000000000001</v>
          </cell>
          <cell r="D90">
            <v>57.5</v>
          </cell>
          <cell r="E90">
            <v>49</v>
          </cell>
          <cell r="F90">
            <v>34.5</v>
          </cell>
          <cell r="G90">
            <v>48.2</v>
          </cell>
          <cell r="H90">
            <v>37.5</v>
          </cell>
          <cell r="I90">
            <v>53.9</v>
          </cell>
          <cell r="J90">
            <v>36.799999999999997</v>
          </cell>
          <cell r="K90">
            <v>55.2</v>
          </cell>
          <cell r="L90">
            <v>34.6</v>
          </cell>
          <cell r="M90">
            <v>53.8</v>
          </cell>
          <cell r="N90">
            <v>39.5</v>
          </cell>
          <cell r="O90">
            <v>40.4</v>
          </cell>
        </row>
        <row r="91">
          <cell r="A91">
            <v>402</v>
          </cell>
          <cell r="B91">
            <v>2</v>
          </cell>
          <cell r="C91">
            <v>13.731</v>
          </cell>
          <cell r="D91">
            <v>32.299999999999997</v>
          </cell>
          <cell r="E91">
            <v>31.1</v>
          </cell>
          <cell r="F91">
            <v>32.1</v>
          </cell>
          <cell r="G91">
            <v>32.299999999999997</v>
          </cell>
          <cell r="H91">
            <v>31.8</v>
          </cell>
          <cell r="I91">
            <v>30.7</v>
          </cell>
          <cell r="J91">
            <v>31.6</v>
          </cell>
          <cell r="K91">
            <v>31.5</v>
          </cell>
          <cell r="L91">
            <v>31.5</v>
          </cell>
          <cell r="M91">
            <v>33</v>
          </cell>
          <cell r="N91">
            <v>31.1</v>
          </cell>
          <cell r="O91">
            <v>31.2</v>
          </cell>
        </row>
        <row r="92">
          <cell r="A92">
            <v>401</v>
          </cell>
          <cell r="B92">
            <v>1</v>
          </cell>
          <cell r="C92">
            <v>13.744</v>
          </cell>
          <cell r="D92">
            <v>53.7</v>
          </cell>
          <cell r="E92">
            <v>46.2</v>
          </cell>
          <cell r="F92">
            <v>48.7</v>
          </cell>
          <cell r="G92">
            <v>54.2</v>
          </cell>
          <cell r="H92">
            <v>45.2</v>
          </cell>
          <cell r="I92">
            <v>52.3</v>
          </cell>
          <cell r="J92">
            <v>41.3</v>
          </cell>
          <cell r="K92">
            <v>52.8</v>
          </cell>
          <cell r="L92">
            <v>51</v>
          </cell>
          <cell r="M92">
            <v>50.7</v>
          </cell>
          <cell r="N92">
            <v>42.7</v>
          </cell>
          <cell r="O92">
            <v>43</v>
          </cell>
        </row>
        <row r="93">
          <cell r="A93">
            <v>401</v>
          </cell>
          <cell r="B93">
            <v>2</v>
          </cell>
          <cell r="C93">
            <v>13.747999999999999</v>
          </cell>
          <cell r="D93">
            <v>30.3</v>
          </cell>
          <cell r="E93">
            <v>30.3</v>
          </cell>
          <cell r="F93">
            <v>31.1</v>
          </cell>
          <cell r="G93">
            <v>29.4</v>
          </cell>
          <cell r="H93">
            <v>30.5</v>
          </cell>
          <cell r="I93">
            <v>29.9</v>
          </cell>
          <cell r="J93">
            <v>31.5</v>
          </cell>
          <cell r="K93">
            <v>30.7</v>
          </cell>
          <cell r="L93">
            <v>31.6</v>
          </cell>
          <cell r="M93">
            <v>29.8</v>
          </cell>
          <cell r="N93">
            <v>31.3</v>
          </cell>
          <cell r="O93">
            <v>30.4</v>
          </cell>
        </row>
      </sheetData>
      <sheetData sheetId="2">
        <row r="7">
          <cell r="C7">
            <v>174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36.1</v>
          </cell>
        </row>
        <row r="29">
          <cell r="E29">
            <v>5.1880939687541625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'IA175.03R'</v>
          </cell>
        </row>
        <row r="14">
          <cell r="A14">
            <v>108</v>
          </cell>
          <cell r="B14">
            <v>1</v>
          </cell>
          <cell r="C14">
            <v>12.859</v>
          </cell>
          <cell r="D14">
            <v>34.700000000000003</v>
          </cell>
          <cell r="E14">
            <v>30.1</v>
          </cell>
          <cell r="F14">
            <v>37.1</v>
          </cell>
          <cell r="G14">
            <v>29.2</v>
          </cell>
          <cell r="H14">
            <v>37.1</v>
          </cell>
          <cell r="I14">
            <v>29.2</v>
          </cell>
          <cell r="J14">
            <v>35.9</v>
          </cell>
          <cell r="K14">
            <v>28.8</v>
          </cell>
          <cell r="L14">
            <v>36.700000000000003</v>
          </cell>
          <cell r="M14">
            <v>28.7</v>
          </cell>
          <cell r="N14">
            <v>35.700000000000003</v>
          </cell>
          <cell r="O14">
            <v>28.1</v>
          </cell>
        </row>
        <row r="15">
          <cell r="A15">
            <v>108</v>
          </cell>
          <cell r="B15">
            <v>2</v>
          </cell>
          <cell r="C15">
            <v>12.863</v>
          </cell>
          <cell r="D15">
            <v>28.3</v>
          </cell>
          <cell r="E15">
            <v>27.5</v>
          </cell>
          <cell r="F15">
            <v>28.1</v>
          </cell>
          <cell r="G15">
            <v>28.2</v>
          </cell>
          <cell r="H15">
            <v>29.5</v>
          </cell>
          <cell r="I15">
            <v>28.2</v>
          </cell>
          <cell r="J15">
            <v>28.2</v>
          </cell>
          <cell r="K15">
            <v>26.9</v>
          </cell>
          <cell r="L15">
            <v>28.5</v>
          </cell>
          <cell r="M15">
            <v>27.4</v>
          </cell>
          <cell r="N15">
            <v>28.7</v>
          </cell>
          <cell r="O15">
            <v>27.3</v>
          </cell>
        </row>
        <row r="16">
          <cell r="A16">
            <v>107</v>
          </cell>
          <cell r="B16">
            <v>1</v>
          </cell>
          <cell r="C16">
            <v>12.872999999999999</v>
          </cell>
          <cell r="D16">
            <v>58.2</v>
          </cell>
          <cell r="E16">
            <v>51.1</v>
          </cell>
          <cell r="F16">
            <v>54</v>
          </cell>
          <cell r="G16">
            <v>37</v>
          </cell>
          <cell r="H16">
            <v>53.9</v>
          </cell>
          <cell r="I16">
            <v>33.9</v>
          </cell>
          <cell r="J16">
            <v>56.9</v>
          </cell>
          <cell r="K16">
            <v>33.4</v>
          </cell>
          <cell r="L16">
            <v>55.1</v>
          </cell>
          <cell r="M16">
            <v>34.799999999999997</v>
          </cell>
          <cell r="N16">
            <v>54.9</v>
          </cell>
          <cell r="O16">
            <v>36.1</v>
          </cell>
        </row>
        <row r="17">
          <cell r="A17">
            <v>107</v>
          </cell>
          <cell r="B17">
            <v>2</v>
          </cell>
          <cell r="C17">
            <v>12.878</v>
          </cell>
          <cell r="D17">
            <v>29.6</v>
          </cell>
          <cell r="E17">
            <v>28.7</v>
          </cell>
          <cell r="F17">
            <v>29.4</v>
          </cell>
          <cell r="G17">
            <v>29.3</v>
          </cell>
          <cell r="H17">
            <v>29.7</v>
          </cell>
          <cell r="I17">
            <v>28.2</v>
          </cell>
          <cell r="J17">
            <v>30.6</v>
          </cell>
          <cell r="K17">
            <v>29.1</v>
          </cell>
          <cell r="L17">
            <v>30.5</v>
          </cell>
          <cell r="M17">
            <v>31.5</v>
          </cell>
          <cell r="N17">
            <v>30.7</v>
          </cell>
          <cell r="O17">
            <v>28.8</v>
          </cell>
        </row>
        <row r="18">
          <cell r="A18">
            <v>106</v>
          </cell>
          <cell r="B18">
            <v>1</v>
          </cell>
          <cell r="C18">
            <v>12.891</v>
          </cell>
          <cell r="D18">
            <v>53.8</v>
          </cell>
          <cell r="E18">
            <v>40</v>
          </cell>
          <cell r="F18">
            <v>49.8</v>
          </cell>
          <cell r="G18">
            <v>38.1</v>
          </cell>
          <cell r="H18">
            <v>53</v>
          </cell>
          <cell r="I18">
            <v>37.5</v>
          </cell>
          <cell r="J18">
            <v>52.2</v>
          </cell>
          <cell r="K18">
            <v>39.200000000000003</v>
          </cell>
          <cell r="L18">
            <v>50.8</v>
          </cell>
          <cell r="M18">
            <v>37.799999999999997</v>
          </cell>
          <cell r="N18">
            <v>52.7</v>
          </cell>
          <cell r="O18">
            <v>39.6</v>
          </cell>
        </row>
        <row r="19">
          <cell r="A19">
            <v>106</v>
          </cell>
          <cell r="B19">
            <v>2</v>
          </cell>
          <cell r="C19">
            <v>12.896000000000001</v>
          </cell>
          <cell r="D19">
            <v>27.9</v>
          </cell>
          <cell r="E19">
            <v>27.5</v>
          </cell>
          <cell r="F19">
            <v>28.7</v>
          </cell>
          <cell r="G19">
            <v>28.9</v>
          </cell>
          <cell r="H19">
            <v>29.1</v>
          </cell>
          <cell r="I19">
            <v>28.3</v>
          </cell>
          <cell r="J19">
            <v>27.6</v>
          </cell>
          <cell r="K19">
            <v>30.1</v>
          </cell>
          <cell r="L19">
            <v>30.2</v>
          </cell>
          <cell r="M19">
            <v>29.9</v>
          </cell>
          <cell r="N19">
            <v>27</v>
          </cell>
          <cell r="O19">
            <v>30.2</v>
          </cell>
        </row>
        <row r="20">
          <cell r="A20">
            <v>105</v>
          </cell>
          <cell r="B20">
            <v>1</v>
          </cell>
          <cell r="C20">
            <v>12.913</v>
          </cell>
          <cell r="D20">
            <v>51.8</v>
          </cell>
          <cell r="E20">
            <v>35.6</v>
          </cell>
          <cell r="F20">
            <v>43.7</v>
          </cell>
          <cell r="G20">
            <v>30.5</v>
          </cell>
          <cell r="H20">
            <v>44.4</v>
          </cell>
          <cell r="I20">
            <v>32.200000000000003</v>
          </cell>
          <cell r="J20">
            <v>43.2</v>
          </cell>
          <cell r="K20">
            <v>31.9</v>
          </cell>
          <cell r="L20">
            <v>49.8</v>
          </cell>
          <cell r="M20">
            <v>33.700000000000003</v>
          </cell>
          <cell r="N20">
            <v>53.8</v>
          </cell>
          <cell r="O20">
            <v>31.7</v>
          </cell>
        </row>
        <row r="21">
          <cell r="A21">
            <v>105</v>
          </cell>
          <cell r="B21">
            <v>2</v>
          </cell>
          <cell r="C21">
            <v>12.917</v>
          </cell>
          <cell r="D21">
            <v>27.7</v>
          </cell>
          <cell r="E21">
            <v>27.4</v>
          </cell>
          <cell r="F21">
            <v>27.6</v>
          </cell>
          <cell r="G21">
            <v>28.7</v>
          </cell>
          <cell r="H21">
            <v>27.2</v>
          </cell>
          <cell r="I21">
            <v>28</v>
          </cell>
          <cell r="J21">
            <v>27.7</v>
          </cell>
          <cell r="K21">
            <v>28.6</v>
          </cell>
          <cell r="L21">
            <v>27.6</v>
          </cell>
          <cell r="M21">
            <v>28</v>
          </cell>
          <cell r="N21">
            <v>27.7</v>
          </cell>
          <cell r="O21">
            <v>25.8</v>
          </cell>
        </row>
        <row r="22">
          <cell r="A22">
            <v>104</v>
          </cell>
          <cell r="B22">
            <v>1</v>
          </cell>
          <cell r="C22">
            <v>12.929</v>
          </cell>
          <cell r="D22">
            <v>57</v>
          </cell>
          <cell r="E22">
            <v>44.2</v>
          </cell>
          <cell r="F22">
            <v>52.9</v>
          </cell>
          <cell r="G22">
            <v>35.4</v>
          </cell>
          <cell r="H22">
            <v>53.5</v>
          </cell>
          <cell r="I22">
            <v>37.5</v>
          </cell>
          <cell r="J22">
            <v>53.3</v>
          </cell>
          <cell r="K22">
            <v>36.4</v>
          </cell>
          <cell r="L22">
            <v>53.4</v>
          </cell>
          <cell r="M22">
            <v>35.6</v>
          </cell>
          <cell r="N22">
            <v>51.5</v>
          </cell>
          <cell r="O22">
            <v>40</v>
          </cell>
        </row>
        <row r="23">
          <cell r="A23">
            <v>104</v>
          </cell>
          <cell r="B23">
            <v>2</v>
          </cell>
          <cell r="C23">
            <v>12.933999999999999</v>
          </cell>
          <cell r="D23">
            <v>31.2</v>
          </cell>
          <cell r="E23">
            <v>28.9</v>
          </cell>
          <cell r="F23">
            <v>30.9</v>
          </cell>
          <cell r="G23">
            <v>29.2</v>
          </cell>
          <cell r="H23">
            <v>31.9</v>
          </cell>
          <cell r="I23">
            <v>28.7</v>
          </cell>
          <cell r="J23">
            <v>29.3</v>
          </cell>
          <cell r="K23">
            <v>31.1</v>
          </cell>
          <cell r="L23">
            <v>30.8</v>
          </cell>
          <cell r="M23">
            <v>31.4</v>
          </cell>
          <cell r="N23">
            <v>29.9</v>
          </cell>
          <cell r="O23">
            <v>30.7</v>
          </cell>
        </row>
        <row r="24">
          <cell r="A24">
            <v>103</v>
          </cell>
          <cell r="B24">
            <v>1</v>
          </cell>
          <cell r="C24">
            <v>12.946999999999999</v>
          </cell>
          <cell r="D24">
            <v>36.5</v>
          </cell>
          <cell r="E24">
            <v>28.9</v>
          </cell>
          <cell r="F24">
            <v>34.6</v>
          </cell>
          <cell r="G24">
            <v>28.1</v>
          </cell>
          <cell r="H24">
            <v>33.9</v>
          </cell>
          <cell r="I24">
            <v>28.3</v>
          </cell>
          <cell r="J24">
            <v>36.4</v>
          </cell>
          <cell r="K24">
            <v>29</v>
          </cell>
          <cell r="L24">
            <v>35.4</v>
          </cell>
          <cell r="M24">
            <v>28.5</v>
          </cell>
          <cell r="N24">
            <v>33.299999999999997</v>
          </cell>
          <cell r="O24">
            <v>27.6</v>
          </cell>
        </row>
        <row r="25">
          <cell r="A25">
            <v>103</v>
          </cell>
          <cell r="B25">
            <v>2</v>
          </cell>
          <cell r="C25">
            <v>12.952</v>
          </cell>
          <cell r="D25">
            <v>27.2</v>
          </cell>
          <cell r="E25">
            <v>28.7</v>
          </cell>
          <cell r="F25">
            <v>28.2</v>
          </cell>
          <cell r="G25">
            <v>27.4</v>
          </cell>
          <cell r="H25">
            <v>28.3</v>
          </cell>
          <cell r="I25">
            <v>27.6</v>
          </cell>
          <cell r="J25">
            <v>28.4</v>
          </cell>
          <cell r="K25">
            <v>27.7</v>
          </cell>
          <cell r="L25">
            <v>27.3</v>
          </cell>
          <cell r="M25">
            <v>27.6</v>
          </cell>
          <cell r="N25">
            <v>28.8</v>
          </cell>
          <cell r="O25">
            <v>27.3</v>
          </cell>
        </row>
        <row r="26">
          <cell r="A26">
            <v>102</v>
          </cell>
          <cell r="B26">
            <v>1</v>
          </cell>
          <cell r="C26">
            <v>12.962</v>
          </cell>
          <cell r="D26">
            <v>33.9</v>
          </cell>
          <cell r="E26">
            <v>29.3</v>
          </cell>
          <cell r="F26">
            <v>32.299999999999997</v>
          </cell>
          <cell r="G26">
            <v>30.2</v>
          </cell>
          <cell r="H26">
            <v>34.1</v>
          </cell>
          <cell r="I26">
            <v>33.4</v>
          </cell>
          <cell r="J26">
            <v>34.700000000000003</v>
          </cell>
          <cell r="K26">
            <v>28.6</v>
          </cell>
          <cell r="L26">
            <v>34.4</v>
          </cell>
          <cell r="M26">
            <v>28.4</v>
          </cell>
          <cell r="N26">
            <v>34.299999999999997</v>
          </cell>
          <cell r="O26">
            <v>28.3</v>
          </cell>
        </row>
        <row r="27">
          <cell r="A27">
            <v>102</v>
          </cell>
          <cell r="B27">
            <v>2</v>
          </cell>
          <cell r="C27">
            <v>12.967000000000001</v>
          </cell>
          <cell r="D27">
            <v>26.4</v>
          </cell>
          <cell r="E27">
            <v>26.8</v>
          </cell>
          <cell r="F27">
            <v>26.3</v>
          </cell>
          <cell r="G27">
            <v>26.5</v>
          </cell>
          <cell r="H27">
            <v>27.3</v>
          </cell>
          <cell r="I27">
            <v>26.9</v>
          </cell>
          <cell r="J27">
            <v>26.7</v>
          </cell>
          <cell r="K27">
            <v>26.2</v>
          </cell>
          <cell r="L27">
            <v>27.2</v>
          </cell>
          <cell r="M27">
            <v>27.9</v>
          </cell>
          <cell r="N27">
            <v>28.3</v>
          </cell>
          <cell r="O27">
            <v>25.1</v>
          </cell>
        </row>
        <row r="28">
          <cell r="A28">
            <v>101</v>
          </cell>
          <cell r="B28">
            <v>1</v>
          </cell>
          <cell r="C28">
            <v>12.978</v>
          </cell>
          <cell r="D28">
            <v>38.9</v>
          </cell>
          <cell r="E28">
            <v>31.6</v>
          </cell>
          <cell r="F28">
            <v>33.9</v>
          </cell>
          <cell r="G28">
            <v>27.1</v>
          </cell>
          <cell r="H28">
            <v>34.799999999999997</v>
          </cell>
          <cell r="I28">
            <v>28.2</v>
          </cell>
          <cell r="J28">
            <v>34.5</v>
          </cell>
          <cell r="K28">
            <v>33</v>
          </cell>
          <cell r="L28">
            <v>33.799999999999997</v>
          </cell>
          <cell r="M28">
            <v>30</v>
          </cell>
          <cell r="N28">
            <v>34.200000000000003</v>
          </cell>
          <cell r="O28">
            <v>28.5</v>
          </cell>
        </row>
        <row r="29">
          <cell r="A29">
            <v>101</v>
          </cell>
          <cell r="B29">
            <v>2</v>
          </cell>
          <cell r="C29">
            <v>12.983000000000001</v>
          </cell>
          <cell r="D29">
            <v>26.7</v>
          </cell>
          <cell r="E29">
            <v>25.9</v>
          </cell>
          <cell r="F29">
            <v>27.5</v>
          </cell>
          <cell r="G29">
            <v>28.8</v>
          </cell>
          <cell r="H29">
            <v>27.9</v>
          </cell>
          <cell r="I29">
            <v>27.4</v>
          </cell>
          <cell r="J29">
            <v>28.8</v>
          </cell>
          <cell r="K29">
            <v>27.7</v>
          </cell>
          <cell r="L29">
            <v>27.4</v>
          </cell>
          <cell r="M29">
            <v>27.9</v>
          </cell>
          <cell r="N29">
            <v>27.6</v>
          </cell>
          <cell r="O29">
            <v>28.6</v>
          </cell>
        </row>
        <row r="30">
          <cell r="A30">
            <v>201</v>
          </cell>
          <cell r="B30">
            <v>1</v>
          </cell>
          <cell r="C30">
            <v>12.997999999999999</v>
          </cell>
          <cell r="D30">
            <v>54.3</v>
          </cell>
          <cell r="E30">
            <v>32.799999999999997</v>
          </cell>
          <cell r="F30">
            <v>50.8</v>
          </cell>
          <cell r="G30">
            <v>32.200000000000003</v>
          </cell>
          <cell r="H30">
            <v>47.4</v>
          </cell>
          <cell r="I30">
            <v>32.299999999999997</v>
          </cell>
          <cell r="J30">
            <v>50.1</v>
          </cell>
          <cell r="K30">
            <v>31.6</v>
          </cell>
          <cell r="L30">
            <v>49.9</v>
          </cell>
          <cell r="M30">
            <v>31.2</v>
          </cell>
          <cell r="N30">
            <v>50.2</v>
          </cell>
          <cell r="O30">
            <v>30.3</v>
          </cell>
        </row>
        <row r="31">
          <cell r="A31">
            <v>201</v>
          </cell>
          <cell r="B31">
            <v>2</v>
          </cell>
          <cell r="C31">
            <v>13.003</v>
          </cell>
          <cell r="D31">
            <v>28.2</v>
          </cell>
          <cell r="E31">
            <v>27.1</v>
          </cell>
          <cell r="F31">
            <v>28.8</v>
          </cell>
          <cell r="G31">
            <v>28.1</v>
          </cell>
          <cell r="H31">
            <v>29</v>
          </cell>
          <cell r="I31">
            <v>29.6</v>
          </cell>
          <cell r="J31">
            <v>30.6</v>
          </cell>
          <cell r="K31">
            <v>27.5</v>
          </cell>
          <cell r="L31">
            <v>28.4</v>
          </cell>
          <cell r="M31">
            <v>27.9</v>
          </cell>
          <cell r="N31">
            <v>30.2</v>
          </cell>
          <cell r="O31">
            <v>30.3</v>
          </cell>
        </row>
        <row r="32">
          <cell r="A32">
            <v>202</v>
          </cell>
          <cell r="B32">
            <v>1</v>
          </cell>
          <cell r="C32">
            <v>13.012</v>
          </cell>
          <cell r="D32">
            <v>48.8</v>
          </cell>
          <cell r="E32">
            <v>44.7</v>
          </cell>
          <cell r="F32">
            <v>53.6</v>
          </cell>
          <cell r="G32">
            <v>37.200000000000003</v>
          </cell>
          <cell r="H32">
            <v>56</v>
          </cell>
          <cell r="I32">
            <v>34.9</v>
          </cell>
          <cell r="J32">
            <v>56.5</v>
          </cell>
          <cell r="K32">
            <v>38.299999999999997</v>
          </cell>
          <cell r="L32">
            <v>53.8</v>
          </cell>
          <cell r="M32">
            <v>34.6</v>
          </cell>
          <cell r="N32">
            <v>52.9</v>
          </cell>
          <cell r="O32">
            <v>35.5</v>
          </cell>
        </row>
        <row r="33">
          <cell r="A33">
            <v>202</v>
          </cell>
          <cell r="B33">
            <v>2</v>
          </cell>
          <cell r="C33">
            <v>13.016</v>
          </cell>
          <cell r="D33">
            <v>29</v>
          </cell>
          <cell r="E33">
            <v>29.3</v>
          </cell>
          <cell r="F33">
            <v>31.3</v>
          </cell>
          <cell r="G33">
            <v>30.6</v>
          </cell>
          <cell r="H33">
            <v>31.8</v>
          </cell>
          <cell r="I33">
            <v>30.6</v>
          </cell>
          <cell r="J33">
            <v>31.4</v>
          </cell>
          <cell r="K33">
            <v>32.200000000000003</v>
          </cell>
          <cell r="L33">
            <v>32.700000000000003</v>
          </cell>
          <cell r="M33">
            <v>31.7</v>
          </cell>
          <cell r="N33">
            <v>31</v>
          </cell>
          <cell r="O33">
            <v>31.9</v>
          </cell>
        </row>
        <row r="34">
          <cell r="A34">
            <v>203</v>
          </cell>
          <cell r="B34">
            <v>1</v>
          </cell>
          <cell r="C34">
            <v>13.026</v>
          </cell>
          <cell r="D34">
            <v>34.6</v>
          </cell>
          <cell r="E34">
            <v>29.9</v>
          </cell>
          <cell r="F34">
            <v>35.9</v>
          </cell>
          <cell r="G34">
            <v>28.4</v>
          </cell>
          <cell r="H34">
            <v>34.6</v>
          </cell>
          <cell r="I34">
            <v>29.4</v>
          </cell>
          <cell r="J34">
            <v>36.9</v>
          </cell>
          <cell r="K34">
            <v>35.6</v>
          </cell>
          <cell r="L34">
            <v>36.6</v>
          </cell>
          <cell r="M34">
            <v>29.6</v>
          </cell>
          <cell r="N34">
            <v>36.1</v>
          </cell>
          <cell r="O34">
            <v>30</v>
          </cell>
        </row>
        <row r="35">
          <cell r="A35">
            <v>203</v>
          </cell>
          <cell r="B35">
            <v>2</v>
          </cell>
          <cell r="C35">
            <v>13.03</v>
          </cell>
          <cell r="D35">
            <v>28.4</v>
          </cell>
          <cell r="E35">
            <v>29</v>
          </cell>
          <cell r="F35">
            <v>27.9</v>
          </cell>
          <cell r="G35">
            <v>28.5</v>
          </cell>
          <cell r="H35">
            <v>29.8</v>
          </cell>
          <cell r="I35">
            <v>29.5</v>
          </cell>
          <cell r="J35">
            <v>31.8</v>
          </cell>
          <cell r="K35">
            <v>29.8</v>
          </cell>
          <cell r="L35">
            <v>31.3</v>
          </cell>
          <cell r="M35">
            <v>30.2</v>
          </cell>
          <cell r="N35">
            <v>31.6</v>
          </cell>
          <cell r="O35">
            <v>29.9</v>
          </cell>
        </row>
        <row r="36">
          <cell r="A36">
            <v>204</v>
          </cell>
          <cell r="B36">
            <v>1</v>
          </cell>
          <cell r="C36">
            <v>13.04</v>
          </cell>
          <cell r="D36">
            <v>37.700000000000003</v>
          </cell>
          <cell r="E36">
            <v>38.700000000000003</v>
          </cell>
          <cell r="F36">
            <v>43.6</v>
          </cell>
          <cell r="G36">
            <v>31.3</v>
          </cell>
          <cell r="H36">
            <v>54.4</v>
          </cell>
          <cell r="I36">
            <v>33.9</v>
          </cell>
          <cell r="J36">
            <v>53.2</v>
          </cell>
          <cell r="K36">
            <v>31.9</v>
          </cell>
          <cell r="L36">
            <v>51</v>
          </cell>
          <cell r="M36">
            <v>32.1</v>
          </cell>
          <cell r="N36">
            <v>49.5</v>
          </cell>
          <cell r="O36">
            <v>32.5</v>
          </cell>
        </row>
        <row r="37">
          <cell r="A37">
            <v>204</v>
          </cell>
          <cell r="B37">
            <v>2</v>
          </cell>
          <cell r="C37">
            <v>13.045</v>
          </cell>
          <cell r="D37">
            <v>30</v>
          </cell>
          <cell r="E37">
            <v>30.9</v>
          </cell>
          <cell r="F37">
            <v>30</v>
          </cell>
          <cell r="G37">
            <v>31.1</v>
          </cell>
          <cell r="H37">
            <v>30.6</v>
          </cell>
          <cell r="I37">
            <v>29.3</v>
          </cell>
          <cell r="J37">
            <v>30.8</v>
          </cell>
          <cell r="K37">
            <v>30.2</v>
          </cell>
          <cell r="L37">
            <v>30.9</v>
          </cell>
          <cell r="M37">
            <v>30.6</v>
          </cell>
          <cell r="N37">
            <v>29.3</v>
          </cell>
          <cell r="O37">
            <v>29.7</v>
          </cell>
        </row>
        <row r="38">
          <cell r="A38">
            <v>205</v>
          </cell>
          <cell r="B38">
            <v>1</v>
          </cell>
          <cell r="C38">
            <v>13.053000000000001</v>
          </cell>
          <cell r="D38">
            <v>31.3</v>
          </cell>
          <cell r="E38">
            <v>36.4</v>
          </cell>
          <cell r="F38">
            <v>35.700000000000003</v>
          </cell>
          <cell r="G38">
            <v>29</v>
          </cell>
          <cell r="H38">
            <v>36.6</v>
          </cell>
          <cell r="I38">
            <v>29.2</v>
          </cell>
          <cell r="J38">
            <v>36.299999999999997</v>
          </cell>
          <cell r="K38">
            <v>36.4</v>
          </cell>
          <cell r="L38">
            <v>36.1</v>
          </cell>
          <cell r="M38">
            <v>28.8</v>
          </cell>
          <cell r="N38">
            <v>36</v>
          </cell>
          <cell r="O38">
            <v>31.5</v>
          </cell>
        </row>
        <row r="39">
          <cell r="A39">
            <v>205</v>
          </cell>
          <cell r="B39">
            <v>2</v>
          </cell>
          <cell r="C39">
            <v>13.058</v>
          </cell>
          <cell r="D39">
            <v>28.7</v>
          </cell>
          <cell r="E39">
            <v>28.7</v>
          </cell>
          <cell r="F39">
            <v>27.3</v>
          </cell>
          <cell r="G39">
            <v>27.4</v>
          </cell>
          <cell r="H39">
            <v>28.8</v>
          </cell>
          <cell r="I39">
            <v>28.4</v>
          </cell>
          <cell r="J39">
            <v>28.2</v>
          </cell>
          <cell r="K39">
            <v>27.3</v>
          </cell>
          <cell r="L39">
            <v>28.2</v>
          </cell>
          <cell r="M39">
            <v>29</v>
          </cell>
          <cell r="N39">
            <v>29.7</v>
          </cell>
          <cell r="O39">
            <v>26.7</v>
          </cell>
        </row>
        <row r="40">
          <cell r="A40">
            <v>206</v>
          </cell>
          <cell r="B40">
            <v>1</v>
          </cell>
          <cell r="C40">
            <v>13.069000000000001</v>
          </cell>
          <cell r="D40">
            <v>57.9</v>
          </cell>
          <cell r="E40">
            <v>43.3</v>
          </cell>
          <cell r="F40">
            <v>54.3</v>
          </cell>
          <cell r="G40">
            <v>39.5</v>
          </cell>
          <cell r="H40">
            <v>55.7</v>
          </cell>
          <cell r="I40">
            <v>35</v>
          </cell>
          <cell r="J40">
            <v>53.3</v>
          </cell>
          <cell r="K40">
            <v>37.299999999999997</v>
          </cell>
          <cell r="L40">
            <v>52.8</v>
          </cell>
          <cell r="M40">
            <v>34.9</v>
          </cell>
          <cell r="N40">
            <v>55</v>
          </cell>
          <cell r="O40">
            <v>51.3</v>
          </cell>
        </row>
        <row r="41">
          <cell r="A41">
            <v>206</v>
          </cell>
          <cell r="B41">
            <v>2</v>
          </cell>
          <cell r="C41">
            <v>13.074999999999999</v>
          </cell>
          <cell r="D41">
            <v>28.5</v>
          </cell>
          <cell r="E41">
            <v>29.7</v>
          </cell>
          <cell r="F41">
            <v>27.9</v>
          </cell>
          <cell r="G41">
            <v>29.5</v>
          </cell>
          <cell r="H41">
            <v>27.8</v>
          </cell>
          <cell r="I41">
            <v>30</v>
          </cell>
          <cell r="J41">
            <v>28.4</v>
          </cell>
          <cell r="K41">
            <v>29.1</v>
          </cell>
          <cell r="L41">
            <v>30</v>
          </cell>
          <cell r="M41">
            <v>28.1</v>
          </cell>
          <cell r="N41">
            <v>27.2</v>
          </cell>
          <cell r="O41">
            <v>28</v>
          </cell>
        </row>
        <row r="42">
          <cell r="A42">
            <v>207</v>
          </cell>
          <cell r="B42">
            <v>1</v>
          </cell>
          <cell r="C42">
            <v>13.085000000000001</v>
          </cell>
          <cell r="D42">
            <v>32.5</v>
          </cell>
          <cell r="E42">
            <v>34.5</v>
          </cell>
          <cell r="F42">
            <v>33.1</v>
          </cell>
          <cell r="G42">
            <v>28.6</v>
          </cell>
          <cell r="H42">
            <v>36.4</v>
          </cell>
          <cell r="I42">
            <v>28.5</v>
          </cell>
          <cell r="J42">
            <v>36.6</v>
          </cell>
          <cell r="K42">
            <v>27.8</v>
          </cell>
          <cell r="L42">
            <v>35.700000000000003</v>
          </cell>
          <cell r="M42">
            <v>28.1</v>
          </cell>
          <cell r="N42">
            <v>35.9</v>
          </cell>
          <cell r="O42">
            <v>27.8</v>
          </cell>
        </row>
        <row r="43">
          <cell r="A43">
            <v>207</v>
          </cell>
          <cell r="B43">
            <v>2</v>
          </cell>
          <cell r="C43">
            <v>13.09</v>
          </cell>
          <cell r="D43">
            <v>26.9</v>
          </cell>
          <cell r="E43">
            <v>25.9</v>
          </cell>
          <cell r="F43">
            <v>27.9</v>
          </cell>
          <cell r="G43">
            <v>27.4</v>
          </cell>
          <cell r="H43">
            <v>26.2</v>
          </cell>
          <cell r="I43">
            <v>28</v>
          </cell>
          <cell r="J43">
            <v>28.1</v>
          </cell>
          <cell r="K43">
            <v>25.2</v>
          </cell>
          <cell r="L43">
            <v>28.5</v>
          </cell>
          <cell r="M43">
            <v>26.8</v>
          </cell>
          <cell r="N43">
            <v>28</v>
          </cell>
          <cell r="O43">
            <v>27.9</v>
          </cell>
        </row>
        <row r="44">
          <cell r="A44">
            <v>208</v>
          </cell>
          <cell r="B44">
            <v>1</v>
          </cell>
          <cell r="C44">
            <v>13.1</v>
          </cell>
          <cell r="D44">
            <v>33.700000000000003</v>
          </cell>
          <cell r="E44">
            <v>33</v>
          </cell>
          <cell r="F44">
            <v>35.4</v>
          </cell>
          <cell r="G44">
            <v>28.6</v>
          </cell>
          <cell r="H44">
            <v>36.4</v>
          </cell>
          <cell r="I44">
            <v>29</v>
          </cell>
          <cell r="J44">
            <v>35.799999999999997</v>
          </cell>
          <cell r="K44">
            <v>28.5</v>
          </cell>
          <cell r="L44">
            <v>35.700000000000003</v>
          </cell>
          <cell r="M44">
            <v>29</v>
          </cell>
          <cell r="N44">
            <v>35.299999999999997</v>
          </cell>
          <cell r="O44">
            <v>32.1</v>
          </cell>
        </row>
        <row r="45">
          <cell r="A45">
            <v>208</v>
          </cell>
          <cell r="B45">
            <v>2</v>
          </cell>
          <cell r="C45">
            <v>13.105</v>
          </cell>
          <cell r="D45">
            <v>29.3</v>
          </cell>
          <cell r="E45">
            <v>28.9</v>
          </cell>
          <cell r="F45">
            <v>27.6</v>
          </cell>
          <cell r="G45">
            <v>27.7</v>
          </cell>
          <cell r="H45">
            <v>26.8</v>
          </cell>
          <cell r="I45">
            <v>27.7</v>
          </cell>
          <cell r="J45">
            <v>27.6</v>
          </cell>
          <cell r="K45">
            <v>28.8</v>
          </cell>
          <cell r="L45">
            <v>27.9</v>
          </cell>
          <cell r="M45">
            <v>28.7</v>
          </cell>
          <cell r="N45">
            <v>28.9</v>
          </cell>
          <cell r="O45">
            <v>27.5</v>
          </cell>
        </row>
        <row r="46">
          <cell r="A46">
            <v>908</v>
          </cell>
          <cell r="B46">
            <v>1</v>
          </cell>
          <cell r="C46">
            <v>13.122</v>
          </cell>
          <cell r="D46">
            <v>57.5</v>
          </cell>
          <cell r="E46">
            <v>42.3</v>
          </cell>
          <cell r="F46">
            <v>53.8</v>
          </cell>
          <cell r="G46">
            <v>32.9</v>
          </cell>
          <cell r="H46">
            <v>55</v>
          </cell>
          <cell r="I46">
            <v>33.6</v>
          </cell>
          <cell r="J46">
            <v>53.4</v>
          </cell>
          <cell r="K46">
            <v>35.5</v>
          </cell>
          <cell r="L46">
            <v>54.1</v>
          </cell>
          <cell r="M46">
            <v>35.5</v>
          </cell>
          <cell r="N46">
            <v>55.3</v>
          </cell>
          <cell r="O46">
            <v>32.5</v>
          </cell>
        </row>
        <row r="47">
          <cell r="A47">
            <v>908</v>
          </cell>
          <cell r="B47">
            <v>2</v>
          </cell>
          <cell r="C47">
            <v>13.127000000000001</v>
          </cell>
          <cell r="D47">
            <v>29.2</v>
          </cell>
          <cell r="E47">
            <v>30.3</v>
          </cell>
          <cell r="F47">
            <v>28.1</v>
          </cell>
          <cell r="G47">
            <v>28.6</v>
          </cell>
          <cell r="H47">
            <v>29.5</v>
          </cell>
          <cell r="I47">
            <v>30.3</v>
          </cell>
          <cell r="J47">
            <v>30</v>
          </cell>
          <cell r="K47">
            <v>29.9</v>
          </cell>
          <cell r="L47">
            <v>29.4</v>
          </cell>
          <cell r="M47">
            <v>29.5</v>
          </cell>
          <cell r="N47">
            <v>28.5</v>
          </cell>
          <cell r="O47">
            <v>29.7</v>
          </cell>
        </row>
        <row r="48">
          <cell r="A48">
            <v>907</v>
          </cell>
          <cell r="B48">
            <v>1</v>
          </cell>
          <cell r="C48">
            <v>13.137</v>
          </cell>
          <cell r="D48">
            <v>60.8</v>
          </cell>
          <cell r="E48">
            <v>61.1</v>
          </cell>
          <cell r="F48">
            <v>61.1</v>
          </cell>
          <cell r="G48">
            <v>61.1</v>
          </cell>
          <cell r="H48">
            <v>62.3</v>
          </cell>
          <cell r="I48">
            <v>60.8</v>
          </cell>
          <cell r="J48">
            <v>59.7</v>
          </cell>
          <cell r="K48">
            <v>61.8</v>
          </cell>
          <cell r="L48">
            <v>60.6</v>
          </cell>
          <cell r="M48">
            <v>60.5</v>
          </cell>
          <cell r="N48">
            <v>60.9</v>
          </cell>
          <cell r="O48">
            <v>61.5</v>
          </cell>
        </row>
        <row r="50">
          <cell r="A50">
            <v>906</v>
          </cell>
          <cell r="B50">
            <v>1</v>
          </cell>
          <cell r="C50">
            <v>13.143000000000001</v>
          </cell>
          <cell r="D50">
            <v>36.4</v>
          </cell>
          <cell r="E50">
            <v>30.7</v>
          </cell>
          <cell r="F50">
            <v>34.6</v>
          </cell>
          <cell r="G50">
            <v>29</v>
          </cell>
          <cell r="H50">
            <v>36</v>
          </cell>
          <cell r="I50">
            <v>30.1</v>
          </cell>
          <cell r="J50">
            <v>34.9</v>
          </cell>
          <cell r="K50">
            <v>30.8</v>
          </cell>
          <cell r="L50">
            <v>33.4</v>
          </cell>
          <cell r="M50">
            <v>29.9</v>
          </cell>
          <cell r="N50">
            <v>34.799999999999997</v>
          </cell>
          <cell r="O50">
            <v>28.1</v>
          </cell>
        </row>
        <row r="51">
          <cell r="A51">
            <v>906</v>
          </cell>
          <cell r="B51">
            <v>2</v>
          </cell>
          <cell r="C51">
            <v>13.148</v>
          </cell>
          <cell r="D51">
            <v>27.4</v>
          </cell>
          <cell r="E51">
            <v>27.8</v>
          </cell>
          <cell r="F51">
            <v>27.8</v>
          </cell>
          <cell r="G51">
            <v>27.8</v>
          </cell>
          <cell r="H51">
            <v>29.4</v>
          </cell>
          <cell r="I51">
            <v>28.7</v>
          </cell>
          <cell r="J51">
            <v>29</v>
          </cell>
          <cell r="K51">
            <v>28.7</v>
          </cell>
          <cell r="L51">
            <v>30.2</v>
          </cell>
          <cell r="M51">
            <v>27.4</v>
          </cell>
          <cell r="N51">
            <v>29.1</v>
          </cell>
          <cell r="O51">
            <v>28</v>
          </cell>
        </row>
        <row r="52">
          <cell r="A52">
            <v>905</v>
          </cell>
          <cell r="B52">
            <v>1</v>
          </cell>
          <cell r="C52">
            <v>13.157999999999999</v>
          </cell>
          <cell r="D52">
            <v>35.9</v>
          </cell>
          <cell r="E52">
            <v>36.200000000000003</v>
          </cell>
          <cell r="F52">
            <v>35.1</v>
          </cell>
          <cell r="G52">
            <v>35.299999999999997</v>
          </cell>
          <cell r="H52">
            <v>38.1</v>
          </cell>
          <cell r="I52">
            <v>35.700000000000003</v>
          </cell>
          <cell r="J52">
            <v>37.9</v>
          </cell>
          <cell r="K52">
            <v>35.200000000000003</v>
          </cell>
          <cell r="L52">
            <v>34.6</v>
          </cell>
          <cell r="M52">
            <v>34.700000000000003</v>
          </cell>
          <cell r="N52">
            <v>34.4</v>
          </cell>
          <cell r="O52">
            <v>35.200000000000003</v>
          </cell>
        </row>
        <row r="54">
          <cell r="A54">
            <v>904</v>
          </cell>
          <cell r="B54">
            <v>1</v>
          </cell>
          <cell r="C54">
            <v>13.164</v>
          </cell>
          <cell r="D54">
            <v>57.7</v>
          </cell>
          <cell r="E54">
            <v>36.6</v>
          </cell>
          <cell r="F54">
            <v>53.8</v>
          </cell>
          <cell r="G54">
            <v>33.299999999999997</v>
          </cell>
          <cell r="H54">
            <v>53.1</v>
          </cell>
          <cell r="I54">
            <v>33.6</v>
          </cell>
          <cell r="J54">
            <v>60.3</v>
          </cell>
          <cell r="K54">
            <v>34.5</v>
          </cell>
          <cell r="L54">
            <v>55.6</v>
          </cell>
          <cell r="M54">
            <v>32.9</v>
          </cell>
          <cell r="N54">
            <v>56.4</v>
          </cell>
          <cell r="O54">
            <v>50.6</v>
          </cell>
        </row>
        <row r="55">
          <cell r="A55">
            <v>904</v>
          </cell>
          <cell r="B55">
            <v>2</v>
          </cell>
          <cell r="C55">
            <v>13.167999999999999</v>
          </cell>
          <cell r="D55">
            <v>28.9</v>
          </cell>
          <cell r="E55">
            <v>31</v>
          </cell>
          <cell r="F55">
            <v>30.1</v>
          </cell>
          <cell r="G55">
            <v>27.3</v>
          </cell>
          <cell r="H55">
            <v>30.7</v>
          </cell>
          <cell r="I55">
            <v>29.1</v>
          </cell>
          <cell r="J55">
            <v>30.7</v>
          </cell>
          <cell r="K55">
            <v>28.5</v>
          </cell>
          <cell r="L55">
            <v>29.6</v>
          </cell>
          <cell r="M55">
            <v>28.6</v>
          </cell>
          <cell r="N55">
            <v>30.2</v>
          </cell>
          <cell r="O55">
            <v>29.6</v>
          </cell>
        </row>
        <row r="56">
          <cell r="A56">
            <v>903</v>
          </cell>
          <cell r="B56">
            <v>1</v>
          </cell>
          <cell r="C56">
            <v>13.179</v>
          </cell>
          <cell r="D56">
            <v>62.2</v>
          </cell>
          <cell r="E56">
            <v>61.6</v>
          </cell>
          <cell r="F56">
            <v>61.6</v>
          </cell>
          <cell r="G56">
            <v>61.7</v>
          </cell>
          <cell r="H56">
            <v>61.6</v>
          </cell>
          <cell r="I56">
            <v>61.4</v>
          </cell>
          <cell r="J56">
            <v>61.2</v>
          </cell>
          <cell r="K56">
            <v>60.9</v>
          </cell>
          <cell r="L56">
            <v>61.3</v>
          </cell>
          <cell r="M56">
            <v>61.4</v>
          </cell>
          <cell r="N56">
            <v>61.5</v>
          </cell>
          <cell r="O56">
            <v>61.8</v>
          </cell>
        </row>
        <row r="58">
          <cell r="A58">
            <v>902</v>
          </cell>
          <cell r="B58">
            <v>1</v>
          </cell>
          <cell r="C58">
            <v>13.185</v>
          </cell>
          <cell r="D58">
            <v>36.799999999999997</v>
          </cell>
          <cell r="E58">
            <v>31.2</v>
          </cell>
          <cell r="F58">
            <v>35</v>
          </cell>
          <cell r="G58">
            <v>31</v>
          </cell>
          <cell r="H58">
            <v>36</v>
          </cell>
          <cell r="I58">
            <v>30.3</v>
          </cell>
          <cell r="J58">
            <v>36.299999999999997</v>
          </cell>
          <cell r="K58">
            <v>30.5</v>
          </cell>
          <cell r="L58">
            <v>35.700000000000003</v>
          </cell>
          <cell r="M58">
            <v>29.9</v>
          </cell>
          <cell r="N58">
            <v>35.1</v>
          </cell>
          <cell r="O58">
            <v>29.5</v>
          </cell>
        </row>
        <row r="59">
          <cell r="A59">
            <v>902</v>
          </cell>
          <cell r="B59">
            <v>2</v>
          </cell>
          <cell r="C59">
            <v>13.19</v>
          </cell>
          <cell r="D59">
            <v>29</v>
          </cell>
          <cell r="E59">
            <v>28</v>
          </cell>
          <cell r="F59">
            <v>29.8</v>
          </cell>
          <cell r="G59">
            <v>27.6</v>
          </cell>
          <cell r="H59">
            <v>29</v>
          </cell>
          <cell r="I59">
            <v>28.7</v>
          </cell>
          <cell r="J59">
            <v>30.1</v>
          </cell>
          <cell r="K59">
            <v>29.2</v>
          </cell>
          <cell r="L59">
            <v>28.6</v>
          </cell>
          <cell r="M59">
            <v>28.5</v>
          </cell>
          <cell r="N59">
            <v>29.1</v>
          </cell>
          <cell r="O59">
            <v>28.2</v>
          </cell>
        </row>
        <row r="60">
          <cell r="A60">
            <v>901</v>
          </cell>
          <cell r="B60">
            <v>1</v>
          </cell>
          <cell r="C60">
            <v>13.199</v>
          </cell>
          <cell r="D60">
            <v>43.9</v>
          </cell>
          <cell r="E60">
            <v>44</v>
          </cell>
          <cell r="F60">
            <v>41.9</v>
          </cell>
          <cell r="G60">
            <v>41.9</v>
          </cell>
          <cell r="H60">
            <v>43</v>
          </cell>
          <cell r="I60">
            <v>44.1</v>
          </cell>
          <cell r="J60">
            <v>41.6</v>
          </cell>
          <cell r="K60">
            <v>41.9</v>
          </cell>
          <cell r="L60">
            <v>42.1</v>
          </cell>
          <cell r="M60">
            <v>44.2</v>
          </cell>
          <cell r="N60">
            <v>45</v>
          </cell>
          <cell r="O60">
            <v>42.2</v>
          </cell>
        </row>
        <row r="62">
          <cell r="A62">
            <v>301</v>
          </cell>
          <cell r="B62">
            <v>1</v>
          </cell>
          <cell r="C62">
            <v>13.209</v>
          </cell>
          <cell r="D62">
            <v>46</v>
          </cell>
          <cell r="E62">
            <v>46.4</v>
          </cell>
          <cell r="F62">
            <v>52.7</v>
          </cell>
          <cell r="G62">
            <v>44.3</v>
          </cell>
          <cell r="H62">
            <v>48.4</v>
          </cell>
          <cell r="I62">
            <v>38.5</v>
          </cell>
          <cell r="J62">
            <v>53.2</v>
          </cell>
          <cell r="K62">
            <v>34.4</v>
          </cell>
          <cell r="L62">
            <v>49.9</v>
          </cell>
          <cell r="M62">
            <v>33.299999999999997</v>
          </cell>
          <cell r="N62">
            <v>54.7</v>
          </cell>
          <cell r="O62">
            <v>34.1</v>
          </cell>
        </row>
        <row r="63">
          <cell r="A63">
            <v>301</v>
          </cell>
          <cell r="B63">
            <v>2</v>
          </cell>
          <cell r="C63">
            <v>13.214</v>
          </cell>
          <cell r="D63">
            <v>29.7</v>
          </cell>
          <cell r="E63">
            <v>29</v>
          </cell>
          <cell r="F63">
            <v>29.1</v>
          </cell>
          <cell r="G63">
            <v>28.6</v>
          </cell>
          <cell r="H63">
            <v>29.5</v>
          </cell>
          <cell r="I63">
            <v>29.2</v>
          </cell>
          <cell r="J63">
            <v>29.5</v>
          </cell>
          <cell r="K63">
            <v>29.3</v>
          </cell>
          <cell r="L63">
            <v>29.4</v>
          </cell>
          <cell r="M63">
            <v>30.2</v>
          </cell>
          <cell r="N63">
            <v>30.2</v>
          </cell>
          <cell r="O63">
            <v>27.8</v>
          </cell>
        </row>
        <row r="64">
          <cell r="A64">
            <v>302</v>
          </cell>
          <cell r="B64">
            <v>1</v>
          </cell>
          <cell r="C64">
            <v>13.223000000000001</v>
          </cell>
          <cell r="D64">
            <v>34.299999999999997</v>
          </cell>
          <cell r="E64">
            <v>31.4</v>
          </cell>
          <cell r="F64">
            <v>35.9</v>
          </cell>
          <cell r="G64">
            <v>29.1</v>
          </cell>
          <cell r="H64">
            <v>37</v>
          </cell>
          <cell r="I64">
            <v>28.8</v>
          </cell>
          <cell r="J64">
            <v>37.299999999999997</v>
          </cell>
          <cell r="K64">
            <v>28.4</v>
          </cell>
          <cell r="L64">
            <v>36.4</v>
          </cell>
          <cell r="M64">
            <v>28</v>
          </cell>
          <cell r="N64">
            <v>36.5</v>
          </cell>
          <cell r="O64">
            <v>29.7</v>
          </cell>
        </row>
        <row r="65">
          <cell r="A65">
            <v>302</v>
          </cell>
          <cell r="B65">
            <v>2</v>
          </cell>
          <cell r="C65">
            <v>13.228</v>
          </cell>
          <cell r="D65">
            <v>28.3</v>
          </cell>
          <cell r="E65">
            <v>26.3</v>
          </cell>
          <cell r="F65">
            <v>28.7</v>
          </cell>
          <cell r="G65">
            <v>28.1</v>
          </cell>
          <cell r="H65">
            <v>28.2</v>
          </cell>
          <cell r="I65">
            <v>25.7</v>
          </cell>
          <cell r="J65">
            <v>27.7</v>
          </cell>
          <cell r="K65">
            <v>27.1</v>
          </cell>
          <cell r="L65">
            <v>27.7</v>
          </cell>
          <cell r="M65">
            <v>27.8</v>
          </cell>
          <cell r="N65">
            <v>28.8</v>
          </cell>
          <cell r="O65">
            <v>27.3</v>
          </cell>
        </row>
        <row r="66">
          <cell r="A66">
            <v>303</v>
          </cell>
          <cell r="B66">
            <v>1</v>
          </cell>
          <cell r="C66">
            <v>13.238</v>
          </cell>
          <cell r="D66">
            <v>42.5</v>
          </cell>
          <cell r="E66">
            <v>41.4</v>
          </cell>
          <cell r="F66">
            <v>52.2</v>
          </cell>
          <cell r="G66">
            <v>35.6</v>
          </cell>
          <cell r="H66">
            <v>54.8</v>
          </cell>
          <cell r="I66">
            <v>33.799999999999997</v>
          </cell>
          <cell r="J66">
            <v>54.2</v>
          </cell>
          <cell r="K66">
            <v>35.9</v>
          </cell>
          <cell r="L66">
            <v>54.1</v>
          </cell>
          <cell r="M66">
            <v>34.700000000000003</v>
          </cell>
          <cell r="N66">
            <v>54.6</v>
          </cell>
          <cell r="O66">
            <v>35.700000000000003</v>
          </cell>
        </row>
        <row r="67">
          <cell r="A67">
            <v>303</v>
          </cell>
          <cell r="B67">
            <v>2</v>
          </cell>
          <cell r="C67">
            <v>13.243</v>
          </cell>
          <cell r="D67">
            <v>28.5</v>
          </cell>
          <cell r="E67">
            <v>27.1</v>
          </cell>
          <cell r="F67">
            <v>27.9</v>
          </cell>
          <cell r="G67">
            <v>27.1</v>
          </cell>
          <cell r="H67">
            <v>27.3</v>
          </cell>
          <cell r="I67">
            <v>27.6</v>
          </cell>
          <cell r="J67">
            <v>27.1</v>
          </cell>
          <cell r="K67">
            <v>26.6</v>
          </cell>
          <cell r="L67">
            <v>27.3</v>
          </cell>
          <cell r="M67">
            <v>29</v>
          </cell>
          <cell r="N67">
            <v>30</v>
          </cell>
          <cell r="O67">
            <v>27.9</v>
          </cell>
        </row>
        <row r="68">
          <cell r="A68">
            <v>304</v>
          </cell>
          <cell r="B68">
            <v>1</v>
          </cell>
          <cell r="C68">
            <v>13.253</v>
          </cell>
          <cell r="D68">
            <v>32.4</v>
          </cell>
          <cell r="E68">
            <v>33.700000000000003</v>
          </cell>
          <cell r="F68">
            <v>33.5</v>
          </cell>
          <cell r="G68">
            <v>31.1</v>
          </cell>
          <cell r="H68">
            <v>34.799999999999997</v>
          </cell>
          <cell r="I68">
            <v>30.5</v>
          </cell>
          <cell r="J68">
            <v>36.4</v>
          </cell>
          <cell r="K68">
            <v>29</v>
          </cell>
          <cell r="L68">
            <v>35.9</v>
          </cell>
          <cell r="M68">
            <v>28.3</v>
          </cell>
          <cell r="N68">
            <v>36.799999999999997</v>
          </cell>
          <cell r="O68">
            <v>31.5</v>
          </cell>
        </row>
        <row r="69">
          <cell r="A69">
            <v>304</v>
          </cell>
          <cell r="B69">
            <v>2</v>
          </cell>
          <cell r="C69">
            <v>13.257</v>
          </cell>
          <cell r="D69">
            <v>28.2</v>
          </cell>
          <cell r="E69">
            <v>26.1</v>
          </cell>
          <cell r="F69">
            <v>27.4</v>
          </cell>
          <cell r="G69">
            <v>28</v>
          </cell>
          <cell r="H69">
            <v>28.4</v>
          </cell>
          <cell r="I69">
            <v>27.9</v>
          </cell>
          <cell r="J69">
            <v>30.2</v>
          </cell>
          <cell r="K69">
            <v>30.7</v>
          </cell>
          <cell r="L69">
            <v>28.9</v>
          </cell>
          <cell r="M69">
            <v>29.5</v>
          </cell>
          <cell r="N69">
            <v>27.7</v>
          </cell>
          <cell r="O69">
            <v>29.3</v>
          </cell>
        </row>
        <row r="70">
          <cell r="A70">
            <v>305</v>
          </cell>
          <cell r="B70">
            <v>1</v>
          </cell>
          <cell r="C70">
            <v>13.266</v>
          </cell>
          <cell r="D70">
            <v>38.200000000000003</v>
          </cell>
          <cell r="E70">
            <v>37.700000000000003</v>
          </cell>
          <cell r="F70">
            <v>46.3</v>
          </cell>
          <cell r="G70">
            <v>34.9</v>
          </cell>
          <cell r="H70">
            <v>47.5</v>
          </cell>
          <cell r="I70">
            <v>34.700000000000003</v>
          </cell>
          <cell r="J70">
            <v>52.3</v>
          </cell>
          <cell r="K70">
            <v>32.200000000000003</v>
          </cell>
          <cell r="L70">
            <v>49.2</v>
          </cell>
          <cell r="M70">
            <v>32.1</v>
          </cell>
          <cell r="N70">
            <v>48.1</v>
          </cell>
          <cell r="O70">
            <v>32.4</v>
          </cell>
        </row>
        <row r="71">
          <cell r="A71">
            <v>305</v>
          </cell>
          <cell r="B71">
            <v>2</v>
          </cell>
          <cell r="C71">
            <v>13.272</v>
          </cell>
          <cell r="D71">
            <v>30.6</v>
          </cell>
          <cell r="E71">
            <v>30.7</v>
          </cell>
          <cell r="F71">
            <v>31.1</v>
          </cell>
          <cell r="G71">
            <v>29.1</v>
          </cell>
          <cell r="H71">
            <v>29.7</v>
          </cell>
          <cell r="I71">
            <v>28.3</v>
          </cell>
          <cell r="J71">
            <v>30.2</v>
          </cell>
          <cell r="K71">
            <v>28.8</v>
          </cell>
          <cell r="L71">
            <v>29.6</v>
          </cell>
          <cell r="M71">
            <v>28.1</v>
          </cell>
          <cell r="N71">
            <v>29.1</v>
          </cell>
          <cell r="O71">
            <v>28.7</v>
          </cell>
        </row>
        <row r="72">
          <cell r="A72">
            <v>306</v>
          </cell>
          <cell r="B72">
            <v>1</v>
          </cell>
          <cell r="C72">
            <v>13.281000000000001</v>
          </cell>
          <cell r="D72">
            <v>28.5</v>
          </cell>
          <cell r="E72">
            <v>32.299999999999997</v>
          </cell>
          <cell r="F72">
            <v>36.799999999999997</v>
          </cell>
          <cell r="G72">
            <v>28.9</v>
          </cell>
          <cell r="H72">
            <v>39.4</v>
          </cell>
          <cell r="I72">
            <v>29.1</v>
          </cell>
          <cell r="J72">
            <v>37.5</v>
          </cell>
          <cell r="K72">
            <v>29.1</v>
          </cell>
          <cell r="L72">
            <v>37.1</v>
          </cell>
          <cell r="M72">
            <v>28.9</v>
          </cell>
          <cell r="N72">
            <v>36.6</v>
          </cell>
          <cell r="O72">
            <v>28.4</v>
          </cell>
        </row>
        <row r="73">
          <cell r="A73">
            <v>306</v>
          </cell>
          <cell r="B73">
            <v>2</v>
          </cell>
          <cell r="C73">
            <v>13.286</v>
          </cell>
          <cell r="D73">
            <v>28.5</v>
          </cell>
          <cell r="E73">
            <v>29.4</v>
          </cell>
          <cell r="F73">
            <v>28.2</v>
          </cell>
          <cell r="G73">
            <v>29.1</v>
          </cell>
          <cell r="H73">
            <v>28.3</v>
          </cell>
          <cell r="I73">
            <v>29</v>
          </cell>
          <cell r="J73">
            <v>28.2</v>
          </cell>
          <cell r="K73">
            <v>28.1</v>
          </cell>
          <cell r="L73">
            <v>29.2</v>
          </cell>
          <cell r="M73">
            <v>28.6</v>
          </cell>
          <cell r="N73">
            <v>27.6</v>
          </cell>
          <cell r="O73">
            <v>27.7</v>
          </cell>
        </row>
        <row r="74">
          <cell r="A74">
            <v>307</v>
          </cell>
          <cell r="B74">
            <v>1</v>
          </cell>
          <cell r="C74">
            <v>13.295</v>
          </cell>
          <cell r="D74">
            <v>47.7</v>
          </cell>
          <cell r="E74">
            <v>44.4</v>
          </cell>
          <cell r="F74">
            <v>54.6</v>
          </cell>
          <cell r="G74">
            <v>34.9</v>
          </cell>
          <cell r="H74">
            <v>55.5</v>
          </cell>
          <cell r="I74">
            <v>33.700000000000003</v>
          </cell>
          <cell r="J74">
            <v>57.6</v>
          </cell>
          <cell r="K74">
            <v>33.6</v>
          </cell>
          <cell r="L74">
            <v>55.8</v>
          </cell>
          <cell r="M74">
            <v>33.799999999999997</v>
          </cell>
          <cell r="N74">
            <v>55.8</v>
          </cell>
          <cell r="O74">
            <v>36.700000000000003</v>
          </cell>
        </row>
        <row r="75">
          <cell r="A75">
            <v>307</v>
          </cell>
          <cell r="B75">
            <v>2</v>
          </cell>
          <cell r="C75">
            <v>13.3</v>
          </cell>
          <cell r="D75">
            <v>31.4</v>
          </cell>
          <cell r="E75">
            <v>31.1</v>
          </cell>
          <cell r="F75">
            <v>31.9</v>
          </cell>
          <cell r="G75">
            <v>29.8</v>
          </cell>
          <cell r="H75">
            <v>30.9</v>
          </cell>
          <cell r="I75">
            <v>31.7</v>
          </cell>
          <cell r="J75">
            <v>30.9</v>
          </cell>
          <cell r="K75">
            <v>30.4</v>
          </cell>
          <cell r="L75">
            <v>33</v>
          </cell>
          <cell r="M75">
            <v>30.3</v>
          </cell>
          <cell r="N75">
            <v>30.7</v>
          </cell>
          <cell r="O75">
            <v>31.4</v>
          </cell>
        </row>
        <row r="76">
          <cell r="A76">
            <v>308</v>
          </cell>
          <cell r="B76">
            <v>1</v>
          </cell>
          <cell r="C76">
            <v>13.31</v>
          </cell>
          <cell r="D76">
            <v>31.7</v>
          </cell>
          <cell r="E76">
            <v>30.9</v>
          </cell>
          <cell r="F76">
            <v>35.4</v>
          </cell>
          <cell r="G76">
            <v>29.1</v>
          </cell>
          <cell r="H76">
            <v>36.5</v>
          </cell>
          <cell r="I76">
            <v>32.6</v>
          </cell>
          <cell r="J76">
            <v>36.1</v>
          </cell>
          <cell r="K76">
            <v>29.8</v>
          </cell>
          <cell r="L76">
            <v>35.5</v>
          </cell>
          <cell r="M76">
            <v>28.7</v>
          </cell>
          <cell r="N76">
            <v>36.4</v>
          </cell>
          <cell r="O76">
            <v>32.200000000000003</v>
          </cell>
        </row>
        <row r="77">
          <cell r="A77">
            <v>308</v>
          </cell>
          <cell r="B77">
            <v>2</v>
          </cell>
          <cell r="C77">
            <v>13.315</v>
          </cell>
          <cell r="D77">
            <v>28.2</v>
          </cell>
          <cell r="E77">
            <v>27.7</v>
          </cell>
          <cell r="F77">
            <v>28.5</v>
          </cell>
          <cell r="G77">
            <v>29.1</v>
          </cell>
          <cell r="H77">
            <v>27.7</v>
          </cell>
          <cell r="I77">
            <v>28.1</v>
          </cell>
          <cell r="J77">
            <v>28.8</v>
          </cell>
          <cell r="K77">
            <v>28.7</v>
          </cell>
          <cell r="L77">
            <v>28.7</v>
          </cell>
          <cell r="M77">
            <v>28.8</v>
          </cell>
          <cell r="N77">
            <v>27.4</v>
          </cell>
          <cell r="O77">
            <v>26.9</v>
          </cell>
        </row>
        <row r="78">
          <cell r="A78">
            <v>408</v>
          </cell>
          <cell r="B78">
            <v>1</v>
          </cell>
          <cell r="C78">
            <v>13.333</v>
          </cell>
          <cell r="D78">
            <v>57.8</v>
          </cell>
          <cell r="E78">
            <v>41.9</v>
          </cell>
          <cell r="F78">
            <v>56.9</v>
          </cell>
          <cell r="G78">
            <v>38.9</v>
          </cell>
          <cell r="H78">
            <v>51.4</v>
          </cell>
          <cell r="I78">
            <v>36.700000000000003</v>
          </cell>
          <cell r="J78">
            <v>51.8</v>
          </cell>
          <cell r="K78">
            <v>37.1</v>
          </cell>
          <cell r="L78">
            <v>53.3</v>
          </cell>
          <cell r="M78">
            <v>37.4</v>
          </cell>
          <cell r="N78">
            <v>53.9</v>
          </cell>
          <cell r="O78">
            <v>39.1</v>
          </cell>
        </row>
        <row r="79">
          <cell r="A79">
            <v>408</v>
          </cell>
          <cell r="B79">
            <v>2</v>
          </cell>
          <cell r="C79">
            <v>13.337</v>
          </cell>
          <cell r="D79">
            <v>30.2</v>
          </cell>
          <cell r="E79">
            <v>28.3</v>
          </cell>
          <cell r="F79">
            <v>29.2</v>
          </cell>
          <cell r="G79">
            <v>28.1</v>
          </cell>
          <cell r="H79">
            <v>29.7</v>
          </cell>
          <cell r="I79">
            <v>29.1</v>
          </cell>
          <cell r="J79">
            <v>29.6</v>
          </cell>
          <cell r="K79">
            <v>28.6</v>
          </cell>
          <cell r="L79">
            <v>29.1</v>
          </cell>
          <cell r="M79">
            <v>28.7</v>
          </cell>
          <cell r="N79">
            <v>30.7</v>
          </cell>
          <cell r="O79">
            <v>28</v>
          </cell>
        </row>
        <row r="80">
          <cell r="A80">
            <v>407</v>
          </cell>
          <cell r="B80">
            <v>1</v>
          </cell>
          <cell r="C80">
            <v>13.349</v>
          </cell>
          <cell r="D80">
            <v>56</v>
          </cell>
          <cell r="E80">
            <v>51</v>
          </cell>
          <cell r="F80">
            <v>52.5</v>
          </cell>
          <cell r="G80">
            <v>36.1</v>
          </cell>
          <cell r="H80">
            <v>53.5</v>
          </cell>
          <cell r="I80">
            <v>44.8</v>
          </cell>
          <cell r="J80">
            <v>56</v>
          </cell>
          <cell r="K80">
            <v>38.700000000000003</v>
          </cell>
          <cell r="L80">
            <v>53.5</v>
          </cell>
          <cell r="M80">
            <v>34.299999999999997</v>
          </cell>
          <cell r="N80">
            <v>53.3</v>
          </cell>
          <cell r="O80">
            <v>46</v>
          </cell>
        </row>
        <row r="81">
          <cell r="A81">
            <v>407</v>
          </cell>
          <cell r="B81">
            <v>2</v>
          </cell>
          <cell r="C81">
            <v>13.353999999999999</v>
          </cell>
          <cell r="D81">
            <v>32.700000000000003</v>
          </cell>
          <cell r="E81">
            <v>27.7</v>
          </cell>
          <cell r="F81">
            <v>28.3</v>
          </cell>
          <cell r="G81">
            <v>26.8</v>
          </cell>
          <cell r="H81">
            <v>27.6</v>
          </cell>
          <cell r="I81">
            <v>30.4</v>
          </cell>
          <cell r="J81">
            <v>29</v>
          </cell>
          <cell r="K81">
            <v>28</v>
          </cell>
          <cell r="L81">
            <v>28.6</v>
          </cell>
          <cell r="M81">
            <v>25.8</v>
          </cell>
          <cell r="N81">
            <v>27.6</v>
          </cell>
          <cell r="O81">
            <v>28.9</v>
          </cell>
        </row>
        <row r="82">
          <cell r="A82">
            <v>406</v>
          </cell>
          <cell r="B82">
            <v>1</v>
          </cell>
          <cell r="C82">
            <v>13.366</v>
          </cell>
          <cell r="D82">
            <v>38.299999999999997</v>
          </cell>
          <cell r="E82">
            <v>32.5</v>
          </cell>
          <cell r="F82">
            <v>36.700000000000003</v>
          </cell>
          <cell r="G82">
            <v>28.7</v>
          </cell>
          <cell r="H82">
            <v>36.4</v>
          </cell>
          <cell r="I82">
            <v>28.2</v>
          </cell>
          <cell r="J82">
            <v>36.6</v>
          </cell>
          <cell r="K82">
            <v>28.5</v>
          </cell>
          <cell r="L82">
            <v>35.700000000000003</v>
          </cell>
          <cell r="M82">
            <v>28.5</v>
          </cell>
          <cell r="N82">
            <v>35.200000000000003</v>
          </cell>
          <cell r="O82">
            <v>28.6</v>
          </cell>
        </row>
        <row r="83">
          <cell r="A83">
            <v>406</v>
          </cell>
          <cell r="B83">
            <v>2</v>
          </cell>
          <cell r="C83">
            <v>13.37</v>
          </cell>
          <cell r="D83">
            <v>28</v>
          </cell>
          <cell r="E83">
            <v>28.7</v>
          </cell>
          <cell r="F83">
            <v>30.1</v>
          </cell>
          <cell r="G83">
            <v>27.1</v>
          </cell>
          <cell r="H83">
            <v>28.4</v>
          </cell>
          <cell r="I83">
            <v>26.4</v>
          </cell>
          <cell r="J83">
            <v>28.6</v>
          </cell>
          <cell r="K83">
            <v>27.8</v>
          </cell>
          <cell r="L83">
            <v>28.2</v>
          </cell>
          <cell r="M83">
            <v>26.9</v>
          </cell>
          <cell r="N83">
            <v>26.1</v>
          </cell>
          <cell r="O83">
            <v>26.9</v>
          </cell>
        </row>
        <row r="84">
          <cell r="A84">
            <v>405</v>
          </cell>
          <cell r="B84">
            <v>1</v>
          </cell>
          <cell r="C84">
            <v>13.382</v>
          </cell>
          <cell r="D84">
            <v>37</v>
          </cell>
          <cell r="E84">
            <v>29.7</v>
          </cell>
          <cell r="F84">
            <v>35.1</v>
          </cell>
          <cell r="G84">
            <v>28.6</v>
          </cell>
          <cell r="H84">
            <v>35.1</v>
          </cell>
          <cell r="I84">
            <v>28.6</v>
          </cell>
          <cell r="J84">
            <v>34.4</v>
          </cell>
          <cell r="K84">
            <v>29.2</v>
          </cell>
          <cell r="L84">
            <v>34.5</v>
          </cell>
          <cell r="M84">
            <v>28.1</v>
          </cell>
          <cell r="N84">
            <v>35.799999999999997</v>
          </cell>
          <cell r="O84">
            <v>29.4</v>
          </cell>
        </row>
        <row r="85">
          <cell r="A85">
            <v>405</v>
          </cell>
          <cell r="B85">
            <v>2</v>
          </cell>
          <cell r="C85">
            <v>13.387</v>
          </cell>
          <cell r="D85">
            <v>27.4</v>
          </cell>
          <cell r="E85">
            <v>28.1</v>
          </cell>
          <cell r="F85">
            <v>30.2</v>
          </cell>
          <cell r="G85">
            <v>27.5</v>
          </cell>
          <cell r="H85">
            <v>27.4</v>
          </cell>
          <cell r="I85">
            <v>27</v>
          </cell>
          <cell r="J85">
            <v>27.6</v>
          </cell>
          <cell r="K85">
            <v>28.4</v>
          </cell>
          <cell r="L85">
            <v>28.2</v>
          </cell>
          <cell r="M85">
            <v>28.5</v>
          </cell>
          <cell r="N85">
            <v>28</v>
          </cell>
          <cell r="O85">
            <v>28</v>
          </cell>
        </row>
        <row r="86">
          <cell r="A86">
            <v>404</v>
          </cell>
          <cell r="B86">
            <v>1</v>
          </cell>
          <cell r="C86">
            <v>13.397</v>
          </cell>
          <cell r="D86">
            <v>36</v>
          </cell>
          <cell r="E86">
            <v>35.5</v>
          </cell>
          <cell r="F86">
            <v>34.299999999999997</v>
          </cell>
          <cell r="G86">
            <v>28.5</v>
          </cell>
          <cell r="H86">
            <v>36.6</v>
          </cell>
          <cell r="I86">
            <v>30.6</v>
          </cell>
          <cell r="J86">
            <v>35.5</v>
          </cell>
          <cell r="K86">
            <v>28.2</v>
          </cell>
          <cell r="L86">
            <v>36.200000000000003</v>
          </cell>
          <cell r="M86">
            <v>31.7</v>
          </cell>
          <cell r="N86">
            <v>36</v>
          </cell>
          <cell r="O86">
            <v>30.1</v>
          </cell>
        </row>
        <row r="87">
          <cell r="A87">
            <v>404</v>
          </cell>
          <cell r="B87">
            <v>2</v>
          </cell>
          <cell r="C87">
            <v>13.403</v>
          </cell>
          <cell r="D87">
            <v>28.3</v>
          </cell>
          <cell r="E87">
            <v>26.4</v>
          </cell>
          <cell r="F87">
            <v>27.5</v>
          </cell>
          <cell r="G87">
            <v>26.6</v>
          </cell>
          <cell r="H87">
            <v>27.8</v>
          </cell>
          <cell r="I87">
            <v>27.4</v>
          </cell>
          <cell r="J87">
            <v>27.2</v>
          </cell>
          <cell r="K87">
            <v>27.5</v>
          </cell>
          <cell r="L87">
            <v>28</v>
          </cell>
          <cell r="M87">
            <v>26.8</v>
          </cell>
          <cell r="N87">
            <v>28.1</v>
          </cell>
          <cell r="O87">
            <v>26.7</v>
          </cell>
        </row>
        <row r="88">
          <cell r="A88">
            <v>403</v>
          </cell>
          <cell r="B88">
            <v>1</v>
          </cell>
          <cell r="C88">
            <v>13.414</v>
          </cell>
          <cell r="D88">
            <v>36.4</v>
          </cell>
          <cell r="E88">
            <v>30.8</v>
          </cell>
          <cell r="F88">
            <v>33.1</v>
          </cell>
          <cell r="G88">
            <v>29</v>
          </cell>
          <cell r="H88">
            <v>35.1</v>
          </cell>
          <cell r="I88">
            <v>27.8</v>
          </cell>
          <cell r="J88">
            <v>34.700000000000003</v>
          </cell>
          <cell r="K88">
            <v>28.3</v>
          </cell>
          <cell r="L88">
            <v>33.299999999999997</v>
          </cell>
          <cell r="M88">
            <v>28</v>
          </cell>
          <cell r="N88">
            <v>35.200000000000003</v>
          </cell>
          <cell r="O88">
            <v>27.7</v>
          </cell>
        </row>
        <row r="89">
          <cell r="A89">
            <v>403</v>
          </cell>
          <cell r="B89">
            <v>2</v>
          </cell>
          <cell r="C89">
            <v>13.417999999999999</v>
          </cell>
          <cell r="D89">
            <v>29.5</v>
          </cell>
          <cell r="E89">
            <v>26.4</v>
          </cell>
          <cell r="F89">
            <v>27.8</v>
          </cell>
          <cell r="G89">
            <v>27.5</v>
          </cell>
          <cell r="H89">
            <v>27.8</v>
          </cell>
          <cell r="I89">
            <v>27.6</v>
          </cell>
          <cell r="J89">
            <v>27</v>
          </cell>
          <cell r="K89">
            <v>28</v>
          </cell>
          <cell r="L89">
            <v>27.4</v>
          </cell>
          <cell r="M89">
            <v>26.2</v>
          </cell>
          <cell r="N89">
            <v>27.1</v>
          </cell>
          <cell r="O89">
            <v>27.6</v>
          </cell>
        </row>
        <row r="90">
          <cell r="A90">
            <v>402</v>
          </cell>
          <cell r="B90">
            <v>1</v>
          </cell>
          <cell r="C90">
            <v>13.429</v>
          </cell>
          <cell r="D90">
            <v>57.3</v>
          </cell>
          <cell r="E90">
            <v>44.6</v>
          </cell>
          <cell r="F90">
            <v>54.8</v>
          </cell>
          <cell r="G90">
            <v>41.5</v>
          </cell>
          <cell r="H90">
            <v>55.1</v>
          </cell>
          <cell r="I90">
            <v>34.5</v>
          </cell>
          <cell r="J90">
            <v>51.4</v>
          </cell>
          <cell r="K90">
            <v>34.799999999999997</v>
          </cell>
          <cell r="L90">
            <v>52.9</v>
          </cell>
          <cell r="M90">
            <v>40.700000000000003</v>
          </cell>
          <cell r="N90">
            <v>50.8</v>
          </cell>
          <cell r="O90">
            <v>33.700000000000003</v>
          </cell>
        </row>
        <row r="91">
          <cell r="A91">
            <v>402</v>
          </cell>
          <cell r="B91">
            <v>2</v>
          </cell>
          <cell r="C91">
            <v>13.435</v>
          </cell>
          <cell r="D91">
            <v>29.1</v>
          </cell>
          <cell r="E91">
            <v>29.7</v>
          </cell>
          <cell r="F91">
            <v>30.6</v>
          </cell>
          <cell r="G91">
            <v>32.5</v>
          </cell>
          <cell r="H91">
            <v>29.5</v>
          </cell>
          <cell r="I91">
            <v>30.8</v>
          </cell>
          <cell r="J91">
            <v>29.9</v>
          </cell>
          <cell r="K91">
            <v>29.9</v>
          </cell>
          <cell r="L91">
            <v>32.200000000000003</v>
          </cell>
          <cell r="M91">
            <v>31.1</v>
          </cell>
          <cell r="N91">
            <v>29.9</v>
          </cell>
          <cell r="O91">
            <v>30.5</v>
          </cell>
        </row>
        <row r="92">
          <cell r="A92">
            <v>401</v>
          </cell>
          <cell r="B92">
            <v>1</v>
          </cell>
          <cell r="C92">
            <v>13.446999999999999</v>
          </cell>
          <cell r="D92">
            <v>54.6</v>
          </cell>
          <cell r="E92">
            <v>40.299999999999997</v>
          </cell>
          <cell r="F92">
            <v>52.2</v>
          </cell>
          <cell r="G92">
            <v>41.4</v>
          </cell>
          <cell r="H92">
            <v>52.8</v>
          </cell>
          <cell r="I92">
            <v>38.6</v>
          </cell>
          <cell r="J92">
            <v>51.9</v>
          </cell>
          <cell r="K92">
            <v>48.3</v>
          </cell>
          <cell r="L92">
            <v>53.6</v>
          </cell>
          <cell r="M92">
            <v>37.799999999999997</v>
          </cell>
          <cell r="N92">
            <v>50.7</v>
          </cell>
          <cell r="O92">
            <v>35.9</v>
          </cell>
        </row>
        <row r="93">
          <cell r="A93">
            <v>401</v>
          </cell>
          <cell r="B93">
            <v>2</v>
          </cell>
          <cell r="C93">
            <v>13.452</v>
          </cell>
          <cell r="D93">
            <v>28.7</v>
          </cell>
          <cell r="E93">
            <v>28.4</v>
          </cell>
          <cell r="F93">
            <v>27.7</v>
          </cell>
          <cell r="G93">
            <v>28.1</v>
          </cell>
          <cell r="H93">
            <v>28.7</v>
          </cell>
          <cell r="I93">
            <v>27.8</v>
          </cell>
          <cell r="J93">
            <v>29.6</v>
          </cell>
          <cell r="K93">
            <v>28.6</v>
          </cell>
          <cell r="L93">
            <v>28.4</v>
          </cell>
          <cell r="M93">
            <v>28.2</v>
          </cell>
          <cell r="N93">
            <v>27.8</v>
          </cell>
          <cell r="O93">
            <v>28.9</v>
          </cell>
        </row>
      </sheetData>
      <sheetData sheetId="2">
        <row r="7">
          <cell r="C7">
            <v>175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33.5</v>
          </cell>
        </row>
        <row r="29">
          <cell r="E29">
            <v>4.580947528113108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'IA176.03R'</v>
          </cell>
        </row>
        <row r="14">
          <cell r="A14">
            <v>108</v>
          </cell>
          <cell r="B14">
            <v>1</v>
          </cell>
          <cell r="C14">
            <v>13.074999999999999</v>
          </cell>
          <cell r="D14">
            <v>36.9</v>
          </cell>
          <cell r="E14">
            <v>35.1</v>
          </cell>
          <cell r="F14">
            <v>34.700000000000003</v>
          </cell>
          <cell r="G14">
            <v>31.2</v>
          </cell>
          <cell r="H14">
            <v>35.799999999999997</v>
          </cell>
          <cell r="I14">
            <v>37.299999999999997</v>
          </cell>
          <cell r="J14">
            <v>37</v>
          </cell>
          <cell r="K14">
            <v>34</v>
          </cell>
          <cell r="L14">
            <v>31.2</v>
          </cell>
          <cell r="M14">
            <v>32.299999999999997</v>
          </cell>
          <cell r="N14">
            <v>32.200000000000003</v>
          </cell>
          <cell r="O14">
            <v>32.9</v>
          </cell>
        </row>
        <row r="15">
          <cell r="A15">
            <v>108</v>
          </cell>
          <cell r="B15">
            <v>2</v>
          </cell>
          <cell r="C15">
            <v>13.08</v>
          </cell>
          <cell r="D15">
            <v>28.4</v>
          </cell>
          <cell r="E15">
            <v>28.1</v>
          </cell>
          <cell r="F15">
            <v>28.4</v>
          </cell>
          <cell r="G15">
            <v>29.1</v>
          </cell>
          <cell r="H15">
            <v>30</v>
          </cell>
          <cell r="I15">
            <v>29.4</v>
          </cell>
          <cell r="J15">
            <v>31.5</v>
          </cell>
          <cell r="K15">
            <v>31</v>
          </cell>
          <cell r="L15">
            <v>29.2</v>
          </cell>
          <cell r="M15">
            <v>28.3</v>
          </cell>
          <cell r="N15">
            <v>29.3</v>
          </cell>
          <cell r="O15">
            <v>29</v>
          </cell>
        </row>
        <row r="16">
          <cell r="A16">
            <v>107</v>
          </cell>
          <cell r="B16">
            <v>1</v>
          </cell>
          <cell r="C16">
            <v>13.090999999999999</v>
          </cell>
          <cell r="D16">
            <v>40</v>
          </cell>
          <cell r="E16">
            <v>36.200000000000003</v>
          </cell>
          <cell r="F16">
            <v>36.4</v>
          </cell>
          <cell r="G16">
            <v>34.9</v>
          </cell>
          <cell r="H16">
            <v>32.200000000000003</v>
          </cell>
          <cell r="I16">
            <v>38.700000000000003</v>
          </cell>
          <cell r="J16">
            <v>36.4</v>
          </cell>
          <cell r="K16">
            <v>31.6</v>
          </cell>
          <cell r="L16">
            <v>36.700000000000003</v>
          </cell>
          <cell r="M16">
            <v>36.5</v>
          </cell>
          <cell r="N16">
            <v>34.6</v>
          </cell>
          <cell r="O16">
            <v>33.5</v>
          </cell>
        </row>
        <row r="17">
          <cell r="A17">
            <v>107</v>
          </cell>
          <cell r="B17">
            <v>2</v>
          </cell>
          <cell r="C17">
            <v>13.096</v>
          </cell>
          <cell r="D17">
            <v>30.5</v>
          </cell>
          <cell r="E17">
            <v>31</v>
          </cell>
          <cell r="F17">
            <v>29.9</v>
          </cell>
          <cell r="G17">
            <v>29.7</v>
          </cell>
          <cell r="H17">
            <v>28.8</v>
          </cell>
          <cell r="I17">
            <v>28.9</v>
          </cell>
          <cell r="J17">
            <v>29.1</v>
          </cell>
          <cell r="K17">
            <v>29.7</v>
          </cell>
          <cell r="L17">
            <v>29.7</v>
          </cell>
          <cell r="M17">
            <v>28.8</v>
          </cell>
          <cell r="N17">
            <v>30.4</v>
          </cell>
          <cell r="O17">
            <v>29.6</v>
          </cell>
        </row>
        <row r="18">
          <cell r="A18">
            <v>106</v>
          </cell>
          <cell r="B18">
            <v>1</v>
          </cell>
          <cell r="C18">
            <v>13.109</v>
          </cell>
          <cell r="D18">
            <v>39.799999999999997</v>
          </cell>
          <cell r="E18">
            <v>32.6</v>
          </cell>
          <cell r="F18">
            <v>33</v>
          </cell>
          <cell r="G18">
            <v>35.1</v>
          </cell>
          <cell r="H18">
            <v>32.799999999999997</v>
          </cell>
          <cell r="I18">
            <v>37.4</v>
          </cell>
          <cell r="J18">
            <v>32.4</v>
          </cell>
          <cell r="K18">
            <v>37</v>
          </cell>
          <cell r="L18">
            <v>33.799999999999997</v>
          </cell>
          <cell r="M18">
            <v>34.700000000000003</v>
          </cell>
          <cell r="N18">
            <v>36.799999999999997</v>
          </cell>
          <cell r="O18">
            <v>34.799999999999997</v>
          </cell>
        </row>
        <row r="19">
          <cell r="A19">
            <v>106</v>
          </cell>
          <cell r="B19">
            <v>2</v>
          </cell>
          <cell r="C19">
            <v>13.114000000000001</v>
          </cell>
          <cell r="D19">
            <v>29.4</v>
          </cell>
          <cell r="E19">
            <v>28.9</v>
          </cell>
          <cell r="F19">
            <v>27.9</v>
          </cell>
          <cell r="G19">
            <v>28.9</v>
          </cell>
          <cell r="H19">
            <v>29.1</v>
          </cell>
          <cell r="I19">
            <v>29.2</v>
          </cell>
          <cell r="J19">
            <v>30.9</v>
          </cell>
          <cell r="K19">
            <v>30.5</v>
          </cell>
          <cell r="L19">
            <v>30.4</v>
          </cell>
          <cell r="M19">
            <v>30.2</v>
          </cell>
          <cell r="N19">
            <v>29.4</v>
          </cell>
          <cell r="O19">
            <v>29.5</v>
          </cell>
        </row>
        <row r="20">
          <cell r="A20">
            <v>105</v>
          </cell>
          <cell r="B20">
            <v>1</v>
          </cell>
          <cell r="C20">
            <v>13.125999999999999</v>
          </cell>
          <cell r="D20">
            <v>36.4</v>
          </cell>
          <cell r="E20">
            <v>29.3</v>
          </cell>
          <cell r="F20">
            <v>34.9</v>
          </cell>
          <cell r="G20">
            <v>31</v>
          </cell>
          <cell r="H20">
            <v>31.3</v>
          </cell>
          <cell r="I20">
            <v>32.700000000000003</v>
          </cell>
          <cell r="J20">
            <v>28.4</v>
          </cell>
          <cell r="K20">
            <v>34.9</v>
          </cell>
          <cell r="L20">
            <v>29.3</v>
          </cell>
          <cell r="M20">
            <v>35.9</v>
          </cell>
          <cell r="N20">
            <v>31.5</v>
          </cell>
          <cell r="O20">
            <v>32.9</v>
          </cell>
        </row>
        <row r="21">
          <cell r="A21">
            <v>105</v>
          </cell>
          <cell r="B21">
            <v>2</v>
          </cell>
          <cell r="C21">
            <v>13.13</v>
          </cell>
          <cell r="D21">
            <v>27.3</v>
          </cell>
          <cell r="E21">
            <v>28.1</v>
          </cell>
          <cell r="F21">
            <v>30.3</v>
          </cell>
          <cell r="G21">
            <v>28.5</v>
          </cell>
          <cell r="H21">
            <v>30.1</v>
          </cell>
          <cell r="I21">
            <v>29.6</v>
          </cell>
          <cell r="J21">
            <v>30</v>
          </cell>
          <cell r="K21">
            <v>28.9</v>
          </cell>
          <cell r="L21">
            <v>28.4</v>
          </cell>
          <cell r="M21">
            <v>28.4</v>
          </cell>
          <cell r="N21">
            <v>29</v>
          </cell>
          <cell r="O21">
            <v>28</v>
          </cell>
        </row>
        <row r="22">
          <cell r="A22">
            <v>104</v>
          </cell>
          <cell r="B22">
            <v>1</v>
          </cell>
          <cell r="C22">
            <v>13.143000000000001</v>
          </cell>
          <cell r="D22">
            <v>39.700000000000003</v>
          </cell>
          <cell r="E22">
            <v>34.4</v>
          </cell>
          <cell r="F22">
            <v>34.299999999999997</v>
          </cell>
          <cell r="G22">
            <v>32.6</v>
          </cell>
          <cell r="H22">
            <v>32.6</v>
          </cell>
          <cell r="I22">
            <v>35.9</v>
          </cell>
          <cell r="J22">
            <v>37.1</v>
          </cell>
          <cell r="K22">
            <v>40.1</v>
          </cell>
          <cell r="L22">
            <v>34.5</v>
          </cell>
          <cell r="M22">
            <v>40</v>
          </cell>
          <cell r="N22">
            <v>31.7</v>
          </cell>
          <cell r="O22">
            <v>38.1</v>
          </cell>
        </row>
        <row r="23">
          <cell r="A23">
            <v>104</v>
          </cell>
          <cell r="B23">
            <v>2</v>
          </cell>
          <cell r="C23">
            <v>13.148</v>
          </cell>
          <cell r="D23">
            <v>27.9</v>
          </cell>
          <cell r="E23">
            <v>30.2</v>
          </cell>
          <cell r="F23">
            <v>29.8</v>
          </cell>
          <cell r="G23">
            <v>30.1</v>
          </cell>
          <cell r="H23">
            <v>30.8</v>
          </cell>
          <cell r="I23">
            <v>30.9</v>
          </cell>
          <cell r="J23">
            <v>29.3</v>
          </cell>
          <cell r="K23">
            <v>29.8</v>
          </cell>
          <cell r="L23">
            <v>29</v>
          </cell>
          <cell r="M23">
            <v>29.4</v>
          </cell>
          <cell r="N23">
            <v>31.1</v>
          </cell>
          <cell r="O23">
            <v>31.3</v>
          </cell>
        </row>
        <row r="24">
          <cell r="A24">
            <v>103</v>
          </cell>
          <cell r="B24">
            <v>1</v>
          </cell>
          <cell r="C24">
            <v>13.161</v>
          </cell>
          <cell r="D24">
            <v>37.700000000000003</v>
          </cell>
          <cell r="E24">
            <v>33.700000000000003</v>
          </cell>
          <cell r="F24">
            <v>30.4</v>
          </cell>
          <cell r="G24">
            <v>38.5</v>
          </cell>
          <cell r="H24">
            <v>29.7</v>
          </cell>
          <cell r="I24">
            <v>36.4</v>
          </cell>
          <cell r="J24">
            <v>29.3</v>
          </cell>
          <cell r="K24">
            <v>36.1</v>
          </cell>
          <cell r="L24">
            <v>29.1</v>
          </cell>
          <cell r="M24">
            <v>34.6</v>
          </cell>
          <cell r="N24">
            <v>30.9</v>
          </cell>
          <cell r="O24">
            <v>37.1</v>
          </cell>
        </row>
        <row r="25">
          <cell r="A25">
            <v>103</v>
          </cell>
          <cell r="B25">
            <v>2</v>
          </cell>
          <cell r="C25">
            <v>13.166</v>
          </cell>
          <cell r="D25">
            <v>29.7</v>
          </cell>
          <cell r="E25">
            <v>29.7</v>
          </cell>
          <cell r="F25">
            <v>30.7</v>
          </cell>
          <cell r="G25">
            <v>29.6</v>
          </cell>
          <cell r="H25">
            <v>29.4</v>
          </cell>
          <cell r="I25">
            <v>29.3</v>
          </cell>
          <cell r="J25">
            <v>27.7</v>
          </cell>
          <cell r="K25">
            <v>28.4</v>
          </cell>
          <cell r="L25">
            <v>27.3</v>
          </cell>
          <cell r="M25">
            <v>27.8</v>
          </cell>
          <cell r="N25">
            <v>29.1</v>
          </cell>
          <cell r="O25">
            <v>30.2</v>
          </cell>
        </row>
        <row r="26">
          <cell r="A26">
            <v>102</v>
          </cell>
          <cell r="B26">
            <v>1</v>
          </cell>
          <cell r="C26">
            <v>13.179</v>
          </cell>
          <cell r="D26">
            <v>38.5</v>
          </cell>
          <cell r="E26">
            <v>31.4</v>
          </cell>
          <cell r="F26">
            <v>33.299999999999997</v>
          </cell>
          <cell r="G26">
            <v>35.200000000000003</v>
          </cell>
          <cell r="H26">
            <v>31.6</v>
          </cell>
          <cell r="I26">
            <v>37.9</v>
          </cell>
          <cell r="J26">
            <v>35.4</v>
          </cell>
          <cell r="K26">
            <v>37</v>
          </cell>
          <cell r="L26">
            <v>36</v>
          </cell>
          <cell r="M26">
            <v>36.5</v>
          </cell>
          <cell r="N26">
            <v>36.700000000000003</v>
          </cell>
          <cell r="O26">
            <v>32.1</v>
          </cell>
        </row>
        <row r="27">
          <cell r="A27">
            <v>102</v>
          </cell>
          <cell r="B27">
            <v>2</v>
          </cell>
          <cell r="C27">
            <v>13.183999999999999</v>
          </cell>
          <cell r="D27">
            <v>28.3</v>
          </cell>
          <cell r="E27">
            <v>29.8</v>
          </cell>
          <cell r="F27">
            <v>29.2</v>
          </cell>
          <cell r="G27">
            <v>28.3</v>
          </cell>
          <cell r="H27">
            <v>28.4</v>
          </cell>
          <cell r="I27">
            <v>28.3</v>
          </cell>
          <cell r="J27">
            <v>27.9</v>
          </cell>
          <cell r="K27">
            <v>28.2</v>
          </cell>
          <cell r="L27">
            <v>28.8</v>
          </cell>
          <cell r="M27">
            <v>27.8</v>
          </cell>
          <cell r="N27">
            <v>30.5</v>
          </cell>
          <cell r="O27">
            <v>27.9</v>
          </cell>
        </row>
        <row r="28">
          <cell r="A28">
            <v>101</v>
          </cell>
          <cell r="B28">
            <v>1</v>
          </cell>
          <cell r="C28">
            <v>13.196999999999999</v>
          </cell>
          <cell r="D28">
            <v>43.8</v>
          </cell>
          <cell r="E28">
            <v>36.1</v>
          </cell>
          <cell r="F28">
            <v>34.6</v>
          </cell>
          <cell r="G28">
            <v>36.5</v>
          </cell>
          <cell r="H28">
            <v>30.4</v>
          </cell>
          <cell r="I28">
            <v>37.5</v>
          </cell>
          <cell r="J28">
            <v>30.8</v>
          </cell>
          <cell r="K28">
            <v>37.700000000000003</v>
          </cell>
          <cell r="L28">
            <v>31.7</v>
          </cell>
          <cell r="M28">
            <v>39.4</v>
          </cell>
          <cell r="N28">
            <v>37.299999999999997</v>
          </cell>
          <cell r="O28">
            <v>34.6</v>
          </cell>
        </row>
        <row r="29">
          <cell r="A29">
            <v>101</v>
          </cell>
          <cell r="B29">
            <v>2</v>
          </cell>
          <cell r="C29">
            <v>13.202</v>
          </cell>
          <cell r="D29">
            <v>29.8</v>
          </cell>
          <cell r="E29">
            <v>27.4</v>
          </cell>
          <cell r="F29">
            <v>29.1</v>
          </cell>
          <cell r="G29">
            <v>28.8</v>
          </cell>
          <cell r="H29">
            <v>28.8</v>
          </cell>
          <cell r="I29">
            <v>28.8</v>
          </cell>
          <cell r="J29">
            <v>29.3</v>
          </cell>
          <cell r="K29">
            <v>28.7</v>
          </cell>
          <cell r="L29">
            <v>27.8</v>
          </cell>
          <cell r="M29">
            <v>29.1</v>
          </cell>
          <cell r="N29">
            <v>28.6</v>
          </cell>
          <cell r="O29">
            <v>29</v>
          </cell>
        </row>
        <row r="30">
          <cell r="A30">
            <v>201</v>
          </cell>
          <cell r="B30">
            <v>1</v>
          </cell>
          <cell r="C30">
            <v>13.226000000000001</v>
          </cell>
          <cell r="D30">
            <v>36.1</v>
          </cell>
          <cell r="E30">
            <v>32.700000000000003</v>
          </cell>
          <cell r="F30">
            <v>31</v>
          </cell>
          <cell r="G30">
            <v>36.299999999999997</v>
          </cell>
          <cell r="H30">
            <v>28.4</v>
          </cell>
          <cell r="I30">
            <v>33.6</v>
          </cell>
          <cell r="J30">
            <v>29.3</v>
          </cell>
          <cell r="K30">
            <v>37.799999999999997</v>
          </cell>
          <cell r="L30">
            <v>29</v>
          </cell>
          <cell r="M30">
            <v>37.700000000000003</v>
          </cell>
          <cell r="N30">
            <v>29.8</v>
          </cell>
          <cell r="O30">
            <v>38.200000000000003</v>
          </cell>
        </row>
        <row r="31">
          <cell r="A31">
            <v>201</v>
          </cell>
          <cell r="B31">
            <v>2</v>
          </cell>
          <cell r="C31">
            <v>13.231</v>
          </cell>
          <cell r="D31">
            <v>28.6</v>
          </cell>
          <cell r="E31">
            <v>29.5</v>
          </cell>
          <cell r="F31">
            <v>30.6</v>
          </cell>
          <cell r="G31">
            <v>28.2</v>
          </cell>
          <cell r="H31">
            <v>29.6</v>
          </cell>
          <cell r="I31">
            <v>30.6</v>
          </cell>
          <cell r="J31">
            <v>29.7</v>
          </cell>
          <cell r="K31">
            <v>29.1</v>
          </cell>
          <cell r="L31">
            <v>29.1</v>
          </cell>
          <cell r="M31">
            <v>29</v>
          </cell>
          <cell r="N31">
            <v>28.7</v>
          </cell>
          <cell r="O31">
            <v>29</v>
          </cell>
        </row>
        <row r="32">
          <cell r="A32">
            <v>202</v>
          </cell>
          <cell r="B32">
            <v>1</v>
          </cell>
          <cell r="C32">
            <v>13.243</v>
          </cell>
          <cell r="D32">
            <v>40.5</v>
          </cell>
          <cell r="E32">
            <v>36.200000000000003</v>
          </cell>
          <cell r="F32">
            <v>35</v>
          </cell>
          <cell r="G32">
            <v>37.700000000000003</v>
          </cell>
          <cell r="H32">
            <v>34.9</v>
          </cell>
          <cell r="I32">
            <v>39</v>
          </cell>
          <cell r="J32">
            <v>34</v>
          </cell>
          <cell r="K32">
            <v>40.4</v>
          </cell>
          <cell r="L32">
            <v>35.6</v>
          </cell>
          <cell r="M32">
            <v>39.200000000000003</v>
          </cell>
          <cell r="N32">
            <v>34.700000000000003</v>
          </cell>
          <cell r="O32">
            <v>32.6</v>
          </cell>
        </row>
        <row r="33">
          <cell r="A33">
            <v>202</v>
          </cell>
          <cell r="B33">
            <v>2</v>
          </cell>
          <cell r="C33">
            <v>13.247999999999999</v>
          </cell>
          <cell r="D33">
            <v>28.8</v>
          </cell>
          <cell r="E33">
            <v>28.3</v>
          </cell>
          <cell r="F33">
            <v>30</v>
          </cell>
          <cell r="G33">
            <v>28.6</v>
          </cell>
          <cell r="H33">
            <v>29.6</v>
          </cell>
          <cell r="I33">
            <v>30</v>
          </cell>
          <cell r="J33">
            <v>30.3</v>
          </cell>
          <cell r="K33">
            <v>30.5</v>
          </cell>
          <cell r="L33">
            <v>30.6</v>
          </cell>
          <cell r="M33">
            <v>29.7</v>
          </cell>
          <cell r="N33">
            <v>29.6</v>
          </cell>
          <cell r="O33">
            <v>28.8</v>
          </cell>
        </row>
        <row r="34">
          <cell r="A34">
            <v>203</v>
          </cell>
          <cell r="B34">
            <v>1</v>
          </cell>
          <cell r="C34">
            <v>13.26</v>
          </cell>
          <cell r="D34">
            <v>36.799999999999997</v>
          </cell>
          <cell r="E34">
            <v>38</v>
          </cell>
          <cell r="F34">
            <v>35.200000000000003</v>
          </cell>
          <cell r="G34">
            <v>35</v>
          </cell>
          <cell r="H34">
            <v>30.5</v>
          </cell>
          <cell r="I34">
            <v>36.1</v>
          </cell>
          <cell r="J34">
            <v>29</v>
          </cell>
          <cell r="K34">
            <v>40.1</v>
          </cell>
          <cell r="L34">
            <v>39.4</v>
          </cell>
          <cell r="M34">
            <v>35.1</v>
          </cell>
          <cell r="N34">
            <v>33.4</v>
          </cell>
          <cell r="O34">
            <v>38.299999999999997</v>
          </cell>
        </row>
        <row r="35">
          <cell r="A35">
            <v>203</v>
          </cell>
          <cell r="B35">
            <v>2</v>
          </cell>
          <cell r="C35">
            <v>13.265000000000001</v>
          </cell>
          <cell r="D35">
            <v>29.8</v>
          </cell>
          <cell r="E35">
            <v>29.9</v>
          </cell>
          <cell r="F35">
            <v>29.3</v>
          </cell>
          <cell r="G35">
            <v>28.9</v>
          </cell>
          <cell r="H35">
            <v>28.6</v>
          </cell>
          <cell r="I35">
            <v>31</v>
          </cell>
          <cell r="J35">
            <v>28.9</v>
          </cell>
          <cell r="K35">
            <v>28.7</v>
          </cell>
          <cell r="L35">
            <v>29.5</v>
          </cell>
          <cell r="M35">
            <v>28.9</v>
          </cell>
          <cell r="N35">
            <v>29.2</v>
          </cell>
          <cell r="O35">
            <v>29.5</v>
          </cell>
        </row>
        <row r="36">
          <cell r="A36">
            <v>204</v>
          </cell>
          <cell r="B36">
            <v>1</v>
          </cell>
          <cell r="C36">
            <v>13.278</v>
          </cell>
          <cell r="D36">
            <v>37.5</v>
          </cell>
          <cell r="E36">
            <v>30.8</v>
          </cell>
          <cell r="F36">
            <v>31.3</v>
          </cell>
          <cell r="G36">
            <v>31.7</v>
          </cell>
          <cell r="H36">
            <v>32.9</v>
          </cell>
          <cell r="I36">
            <v>31.9</v>
          </cell>
          <cell r="J36">
            <v>31.8</v>
          </cell>
          <cell r="K36">
            <v>31.8</v>
          </cell>
          <cell r="L36">
            <v>33.799999999999997</v>
          </cell>
          <cell r="M36">
            <v>31.6</v>
          </cell>
          <cell r="N36">
            <v>36.299999999999997</v>
          </cell>
          <cell r="O36">
            <v>33.299999999999997</v>
          </cell>
        </row>
        <row r="37">
          <cell r="A37">
            <v>204</v>
          </cell>
          <cell r="B37">
            <v>2</v>
          </cell>
          <cell r="C37">
            <v>13.282</v>
          </cell>
          <cell r="D37">
            <v>29.1</v>
          </cell>
          <cell r="E37">
            <v>29.1</v>
          </cell>
          <cell r="F37">
            <v>30</v>
          </cell>
          <cell r="G37">
            <v>30.7</v>
          </cell>
          <cell r="H37">
            <v>29.9</v>
          </cell>
          <cell r="I37">
            <v>29.8</v>
          </cell>
          <cell r="J37">
            <v>30.2</v>
          </cell>
          <cell r="K37">
            <v>31.3</v>
          </cell>
          <cell r="L37">
            <v>30.1</v>
          </cell>
          <cell r="M37">
            <v>29.2</v>
          </cell>
          <cell r="N37">
            <v>29.5</v>
          </cell>
          <cell r="O37">
            <v>31.2</v>
          </cell>
        </row>
        <row r="38">
          <cell r="A38">
            <v>205</v>
          </cell>
          <cell r="B38">
            <v>1</v>
          </cell>
          <cell r="C38">
            <v>13.295</v>
          </cell>
          <cell r="D38">
            <v>38.700000000000003</v>
          </cell>
          <cell r="E38">
            <v>38.9</v>
          </cell>
          <cell r="F38">
            <v>37.200000000000003</v>
          </cell>
          <cell r="G38">
            <v>35.4</v>
          </cell>
          <cell r="H38">
            <v>34.700000000000003</v>
          </cell>
          <cell r="I38">
            <v>37.4</v>
          </cell>
          <cell r="J38">
            <v>31.2</v>
          </cell>
          <cell r="K38">
            <v>39.9</v>
          </cell>
          <cell r="L38">
            <v>41</v>
          </cell>
          <cell r="M38">
            <v>38.700000000000003</v>
          </cell>
          <cell r="N38">
            <v>29.1</v>
          </cell>
          <cell r="O38">
            <v>37.700000000000003</v>
          </cell>
        </row>
        <row r="39">
          <cell r="A39">
            <v>205</v>
          </cell>
          <cell r="B39">
            <v>2</v>
          </cell>
          <cell r="C39">
            <v>13.298999999999999</v>
          </cell>
          <cell r="D39">
            <v>27.6</v>
          </cell>
          <cell r="E39">
            <v>29</v>
          </cell>
          <cell r="F39">
            <v>28.8</v>
          </cell>
          <cell r="G39">
            <v>28.7</v>
          </cell>
          <cell r="H39">
            <v>31.6</v>
          </cell>
          <cell r="I39">
            <v>30</v>
          </cell>
          <cell r="J39">
            <v>29.2</v>
          </cell>
          <cell r="K39">
            <v>28.9</v>
          </cell>
          <cell r="L39">
            <v>30.7</v>
          </cell>
          <cell r="M39">
            <v>30.1</v>
          </cell>
          <cell r="N39">
            <v>28.7</v>
          </cell>
          <cell r="O39">
            <v>29.2</v>
          </cell>
        </row>
        <row r="40">
          <cell r="A40">
            <v>206</v>
          </cell>
          <cell r="B40">
            <v>1</v>
          </cell>
          <cell r="C40">
            <v>13.311</v>
          </cell>
          <cell r="D40">
            <v>57.3</v>
          </cell>
          <cell r="E40">
            <v>50.8</v>
          </cell>
          <cell r="F40">
            <v>47.4</v>
          </cell>
          <cell r="G40">
            <v>57.9</v>
          </cell>
          <cell r="H40">
            <v>41.7</v>
          </cell>
          <cell r="I40">
            <v>60.2</v>
          </cell>
          <cell r="J40">
            <v>41.2</v>
          </cell>
          <cell r="K40">
            <v>56.7</v>
          </cell>
          <cell r="L40">
            <v>41</v>
          </cell>
          <cell r="M40">
            <v>58.4</v>
          </cell>
          <cell r="N40">
            <v>35.9</v>
          </cell>
          <cell r="O40">
            <v>58.3</v>
          </cell>
        </row>
        <row r="41">
          <cell r="A41">
            <v>206</v>
          </cell>
          <cell r="B41">
            <v>2</v>
          </cell>
          <cell r="C41">
            <v>13.316000000000001</v>
          </cell>
          <cell r="D41">
            <v>31.1</v>
          </cell>
          <cell r="E41">
            <v>31.1</v>
          </cell>
          <cell r="F41">
            <v>30.5</v>
          </cell>
          <cell r="G41">
            <v>30.7</v>
          </cell>
          <cell r="H41">
            <v>29.8</v>
          </cell>
          <cell r="I41">
            <v>30.9</v>
          </cell>
          <cell r="J41">
            <v>30.1</v>
          </cell>
          <cell r="K41">
            <v>30.2</v>
          </cell>
          <cell r="L41">
            <v>29.1</v>
          </cell>
          <cell r="M41">
            <v>29.6</v>
          </cell>
          <cell r="N41">
            <v>29.2</v>
          </cell>
          <cell r="O41">
            <v>29.2</v>
          </cell>
        </row>
        <row r="42">
          <cell r="A42">
            <v>207</v>
          </cell>
          <cell r="B42">
            <v>1</v>
          </cell>
          <cell r="C42">
            <v>13.329000000000001</v>
          </cell>
          <cell r="D42">
            <v>38.5</v>
          </cell>
          <cell r="E42">
            <v>34.700000000000003</v>
          </cell>
          <cell r="F42">
            <v>35.4</v>
          </cell>
          <cell r="G42">
            <v>38</v>
          </cell>
          <cell r="H42">
            <v>32.799999999999997</v>
          </cell>
          <cell r="I42">
            <v>37.5</v>
          </cell>
          <cell r="J42">
            <v>32.5</v>
          </cell>
          <cell r="K42">
            <v>35.1</v>
          </cell>
          <cell r="L42">
            <v>29.8</v>
          </cell>
          <cell r="M42">
            <v>37.9</v>
          </cell>
          <cell r="N42">
            <v>29.8</v>
          </cell>
          <cell r="O42">
            <v>37</v>
          </cell>
        </row>
        <row r="43">
          <cell r="A43">
            <v>207</v>
          </cell>
          <cell r="B43">
            <v>2</v>
          </cell>
          <cell r="C43">
            <v>13.333</v>
          </cell>
          <cell r="D43">
            <v>28.9</v>
          </cell>
          <cell r="E43">
            <v>28.2</v>
          </cell>
          <cell r="F43">
            <v>28.3</v>
          </cell>
          <cell r="G43">
            <v>29.8</v>
          </cell>
          <cell r="H43">
            <v>28.4</v>
          </cell>
          <cell r="I43">
            <v>29.2</v>
          </cell>
          <cell r="J43">
            <v>28.5</v>
          </cell>
          <cell r="K43">
            <v>29.6</v>
          </cell>
          <cell r="L43">
            <v>29.6</v>
          </cell>
          <cell r="M43">
            <v>29.3</v>
          </cell>
          <cell r="N43">
            <v>29.8</v>
          </cell>
          <cell r="O43">
            <v>29.9</v>
          </cell>
        </row>
        <row r="44">
          <cell r="A44">
            <v>208</v>
          </cell>
          <cell r="B44">
            <v>1</v>
          </cell>
          <cell r="C44">
            <v>13.345000000000001</v>
          </cell>
          <cell r="D44">
            <v>34.700000000000003</v>
          </cell>
          <cell r="E44">
            <v>35.9</v>
          </cell>
          <cell r="F44">
            <v>30.3</v>
          </cell>
          <cell r="G44">
            <v>38</v>
          </cell>
          <cell r="H44">
            <v>32.700000000000003</v>
          </cell>
          <cell r="I44">
            <v>39.4</v>
          </cell>
          <cell r="J44">
            <v>34.799999999999997</v>
          </cell>
          <cell r="K44">
            <v>39.299999999999997</v>
          </cell>
          <cell r="L44">
            <v>33.1</v>
          </cell>
          <cell r="M44">
            <v>40.1</v>
          </cell>
          <cell r="N44">
            <v>38</v>
          </cell>
          <cell r="O44">
            <v>35.200000000000003</v>
          </cell>
        </row>
        <row r="45">
          <cell r="A45">
            <v>208</v>
          </cell>
          <cell r="B45">
            <v>2</v>
          </cell>
          <cell r="C45">
            <v>13.35</v>
          </cell>
          <cell r="D45">
            <v>26.7</v>
          </cell>
          <cell r="E45">
            <v>27.5</v>
          </cell>
          <cell r="F45">
            <v>29.3</v>
          </cell>
          <cell r="G45">
            <v>27.6</v>
          </cell>
          <cell r="H45">
            <v>28.1</v>
          </cell>
          <cell r="I45">
            <v>26.4</v>
          </cell>
          <cell r="J45">
            <v>28.2</v>
          </cell>
          <cell r="K45">
            <v>27.7</v>
          </cell>
          <cell r="L45">
            <v>30</v>
          </cell>
          <cell r="M45">
            <v>28.6</v>
          </cell>
          <cell r="N45">
            <v>28.5</v>
          </cell>
          <cell r="O45">
            <v>29.4</v>
          </cell>
        </row>
        <row r="46">
          <cell r="A46">
            <v>908</v>
          </cell>
          <cell r="B46">
            <v>1</v>
          </cell>
          <cell r="C46">
            <v>13.367000000000001</v>
          </cell>
          <cell r="D46">
            <v>46.6</v>
          </cell>
          <cell r="E46">
            <v>45.2</v>
          </cell>
          <cell r="F46">
            <v>39.9</v>
          </cell>
          <cell r="G46">
            <v>49.1</v>
          </cell>
          <cell r="H46">
            <v>40.200000000000003</v>
          </cell>
          <cell r="I46">
            <v>50.1</v>
          </cell>
          <cell r="J46">
            <v>36.4</v>
          </cell>
          <cell r="K46">
            <v>58.3</v>
          </cell>
          <cell r="L46">
            <v>40.4</v>
          </cell>
          <cell r="M46">
            <v>55.9</v>
          </cell>
          <cell r="N46">
            <v>45.7</v>
          </cell>
          <cell r="O46">
            <v>47.6</v>
          </cell>
        </row>
        <row r="47">
          <cell r="A47">
            <v>908</v>
          </cell>
          <cell r="B47">
            <v>2</v>
          </cell>
          <cell r="C47">
            <v>13.372</v>
          </cell>
          <cell r="D47">
            <v>29.5</v>
          </cell>
          <cell r="E47">
            <v>30.7</v>
          </cell>
          <cell r="F47">
            <v>29.9</v>
          </cell>
          <cell r="G47">
            <v>30.2</v>
          </cell>
          <cell r="H47">
            <v>30.1</v>
          </cell>
          <cell r="I47">
            <v>30.3</v>
          </cell>
          <cell r="J47">
            <v>29.4</v>
          </cell>
          <cell r="K47">
            <v>31.2</v>
          </cell>
          <cell r="L47">
            <v>29.7</v>
          </cell>
          <cell r="M47">
            <v>30.2</v>
          </cell>
          <cell r="N47">
            <v>30</v>
          </cell>
          <cell r="O47">
            <v>30.1</v>
          </cell>
        </row>
        <row r="48">
          <cell r="A48">
            <v>907</v>
          </cell>
          <cell r="B48">
            <v>1</v>
          </cell>
          <cell r="C48">
            <v>13.385</v>
          </cell>
          <cell r="D48">
            <v>64.3</v>
          </cell>
          <cell r="E48">
            <v>64.5</v>
          </cell>
          <cell r="F48">
            <v>64.5</v>
          </cell>
          <cell r="G48">
            <v>64.400000000000006</v>
          </cell>
          <cell r="H48">
            <v>64</v>
          </cell>
          <cell r="I48">
            <v>64.2</v>
          </cell>
          <cell r="J48">
            <v>64</v>
          </cell>
          <cell r="K48">
            <v>63.1</v>
          </cell>
          <cell r="L48">
            <v>63.7</v>
          </cell>
          <cell r="M48">
            <v>63.5</v>
          </cell>
          <cell r="N48">
            <v>64.5</v>
          </cell>
          <cell r="O48">
            <v>64.3</v>
          </cell>
        </row>
        <row r="50">
          <cell r="A50">
            <v>906</v>
          </cell>
          <cell r="B50">
            <v>1</v>
          </cell>
          <cell r="C50">
            <v>13.394</v>
          </cell>
          <cell r="D50">
            <v>37.200000000000003</v>
          </cell>
          <cell r="E50">
            <v>32.299999999999997</v>
          </cell>
          <cell r="F50">
            <v>33</v>
          </cell>
          <cell r="G50">
            <v>35.799999999999997</v>
          </cell>
          <cell r="H50">
            <v>30.4</v>
          </cell>
          <cell r="I50">
            <v>37.9</v>
          </cell>
          <cell r="J50">
            <v>31</v>
          </cell>
          <cell r="K50">
            <v>37.4</v>
          </cell>
          <cell r="L50">
            <v>29.7</v>
          </cell>
          <cell r="M50">
            <v>36.5</v>
          </cell>
          <cell r="N50">
            <v>32.799999999999997</v>
          </cell>
          <cell r="O50">
            <v>33.200000000000003</v>
          </cell>
        </row>
        <row r="51">
          <cell r="A51">
            <v>906</v>
          </cell>
          <cell r="B51">
            <v>2</v>
          </cell>
          <cell r="C51">
            <v>13.401</v>
          </cell>
          <cell r="D51">
            <v>29.1</v>
          </cell>
          <cell r="E51">
            <v>27.3</v>
          </cell>
          <cell r="F51">
            <v>28</v>
          </cell>
          <cell r="G51">
            <v>27</v>
          </cell>
          <cell r="H51">
            <v>27.7</v>
          </cell>
          <cell r="I51">
            <v>27.6</v>
          </cell>
          <cell r="J51">
            <v>28.4</v>
          </cell>
          <cell r="K51">
            <v>28.4</v>
          </cell>
          <cell r="L51">
            <v>27</v>
          </cell>
          <cell r="M51">
            <v>26.8</v>
          </cell>
          <cell r="N51">
            <v>27.4</v>
          </cell>
          <cell r="O51">
            <v>27.4</v>
          </cell>
        </row>
        <row r="52">
          <cell r="A52">
            <v>905</v>
          </cell>
          <cell r="B52">
            <v>1</v>
          </cell>
          <cell r="C52">
            <v>13.416</v>
          </cell>
          <cell r="D52">
            <v>36.700000000000003</v>
          </cell>
          <cell r="E52">
            <v>36.5</v>
          </cell>
          <cell r="F52">
            <v>36.4</v>
          </cell>
          <cell r="G52">
            <v>36.299999999999997</v>
          </cell>
          <cell r="H52">
            <v>36.700000000000003</v>
          </cell>
          <cell r="I52">
            <v>36.700000000000003</v>
          </cell>
          <cell r="J52">
            <v>36.700000000000003</v>
          </cell>
          <cell r="K52">
            <v>36.9</v>
          </cell>
          <cell r="L52">
            <v>36.9</v>
          </cell>
          <cell r="M52">
            <v>36.799999999999997</v>
          </cell>
          <cell r="N52">
            <v>36.6</v>
          </cell>
          <cell r="O52">
            <v>36.5</v>
          </cell>
        </row>
        <row r="54">
          <cell r="A54">
            <v>904</v>
          </cell>
          <cell r="B54">
            <v>1</v>
          </cell>
          <cell r="C54">
            <v>13.425000000000001</v>
          </cell>
          <cell r="D54">
            <v>61</v>
          </cell>
          <cell r="E54">
            <v>53.9</v>
          </cell>
          <cell r="F54">
            <v>38.4</v>
          </cell>
          <cell r="G54">
            <v>43.8</v>
          </cell>
          <cell r="H54">
            <v>42.5</v>
          </cell>
          <cell r="I54">
            <v>52.1</v>
          </cell>
          <cell r="J54">
            <v>50.1</v>
          </cell>
          <cell r="K54">
            <v>55.5</v>
          </cell>
          <cell r="L54">
            <v>45.6</v>
          </cell>
          <cell r="M54">
            <v>55.4</v>
          </cell>
          <cell r="N54">
            <v>39.9</v>
          </cell>
          <cell r="O54">
            <v>57.4</v>
          </cell>
        </row>
        <row r="55">
          <cell r="A55">
            <v>904</v>
          </cell>
          <cell r="B55">
            <v>2</v>
          </cell>
          <cell r="C55">
            <v>13.43</v>
          </cell>
          <cell r="D55">
            <v>31.5</v>
          </cell>
          <cell r="E55">
            <v>33.6</v>
          </cell>
          <cell r="F55">
            <v>29.9</v>
          </cell>
          <cell r="G55">
            <v>31.9</v>
          </cell>
          <cell r="H55">
            <v>29.5</v>
          </cell>
          <cell r="I55">
            <v>31.6</v>
          </cell>
          <cell r="J55">
            <v>30.2</v>
          </cell>
          <cell r="K55">
            <v>31.3</v>
          </cell>
          <cell r="L55">
            <v>31.3</v>
          </cell>
          <cell r="M55">
            <v>31.1</v>
          </cell>
          <cell r="N55">
            <v>29.1</v>
          </cell>
          <cell r="O55">
            <v>31.3</v>
          </cell>
        </row>
        <row r="56">
          <cell r="A56">
            <v>903</v>
          </cell>
          <cell r="B56">
            <v>1</v>
          </cell>
          <cell r="C56">
            <v>13.443</v>
          </cell>
          <cell r="D56">
            <v>64.5</v>
          </cell>
          <cell r="E56">
            <v>64.3</v>
          </cell>
          <cell r="F56">
            <v>64.7</v>
          </cell>
          <cell r="G56">
            <v>64.3</v>
          </cell>
          <cell r="H56">
            <v>64.5</v>
          </cell>
          <cell r="I56">
            <v>64.400000000000006</v>
          </cell>
          <cell r="J56">
            <v>64.099999999999994</v>
          </cell>
          <cell r="K56">
            <v>64.400000000000006</v>
          </cell>
          <cell r="L56">
            <v>64.400000000000006</v>
          </cell>
          <cell r="M56">
            <v>65.099999999999994</v>
          </cell>
          <cell r="N56">
            <v>64.400000000000006</v>
          </cell>
          <cell r="O56">
            <v>64.599999999999994</v>
          </cell>
        </row>
        <row r="58">
          <cell r="A58">
            <v>902</v>
          </cell>
          <cell r="B58">
            <v>1</v>
          </cell>
          <cell r="C58">
            <v>13.451000000000001</v>
          </cell>
          <cell r="D58">
            <v>35.200000000000003</v>
          </cell>
          <cell r="E58">
            <v>35.200000000000003</v>
          </cell>
          <cell r="F58">
            <v>31.7</v>
          </cell>
          <cell r="G58">
            <v>34</v>
          </cell>
          <cell r="H58">
            <v>34</v>
          </cell>
          <cell r="I58">
            <v>34.6</v>
          </cell>
          <cell r="J58">
            <v>34.799999999999997</v>
          </cell>
          <cell r="K58">
            <v>37.6</v>
          </cell>
          <cell r="L58">
            <v>30.7</v>
          </cell>
          <cell r="M58">
            <v>37.299999999999997</v>
          </cell>
          <cell r="N58">
            <v>31.2</v>
          </cell>
          <cell r="O58">
            <v>34.5</v>
          </cell>
        </row>
        <row r="59">
          <cell r="A59">
            <v>902</v>
          </cell>
          <cell r="B59">
            <v>2</v>
          </cell>
          <cell r="C59">
            <v>13.456</v>
          </cell>
          <cell r="D59">
            <v>28.4</v>
          </cell>
          <cell r="E59">
            <v>28.5</v>
          </cell>
          <cell r="F59">
            <v>28.1</v>
          </cell>
          <cell r="G59">
            <v>28.1</v>
          </cell>
          <cell r="H59">
            <v>28.2</v>
          </cell>
          <cell r="I59">
            <v>28.7</v>
          </cell>
          <cell r="J59">
            <v>27.6</v>
          </cell>
          <cell r="K59">
            <v>27.7</v>
          </cell>
          <cell r="L59">
            <v>26.8</v>
          </cell>
          <cell r="M59">
            <v>27.5</v>
          </cell>
          <cell r="N59">
            <v>26.6</v>
          </cell>
          <cell r="O59">
            <v>27</v>
          </cell>
        </row>
        <row r="60">
          <cell r="A60">
            <v>901</v>
          </cell>
          <cell r="B60">
            <v>1</v>
          </cell>
          <cell r="C60">
            <v>13.468999999999999</v>
          </cell>
          <cell r="D60">
            <v>37.299999999999997</v>
          </cell>
          <cell r="E60">
            <v>37.200000000000003</v>
          </cell>
          <cell r="F60">
            <v>36.9</v>
          </cell>
          <cell r="G60">
            <v>36.4</v>
          </cell>
          <cell r="H60">
            <v>36</v>
          </cell>
          <cell r="I60">
            <v>35.4</v>
          </cell>
          <cell r="J60">
            <v>35.299999999999997</v>
          </cell>
          <cell r="K60">
            <v>36.5</v>
          </cell>
          <cell r="L60">
            <v>36.299999999999997</v>
          </cell>
          <cell r="M60">
            <v>36.299999999999997</v>
          </cell>
          <cell r="N60">
            <v>36.299999999999997</v>
          </cell>
          <cell r="O60">
            <v>36.4</v>
          </cell>
        </row>
        <row r="62">
          <cell r="A62">
            <v>301</v>
          </cell>
          <cell r="B62">
            <v>1</v>
          </cell>
          <cell r="C62">
            <v>13.48</v>
          </cell>
          <cell r="D62">
            <v>58.4</v>
          </cell>
          <cell r="E62">
            <v>49.3</v>
          </cell>
          <cell r="F62">
            <v>51</v>
          </cell>
          <cell r="G62">
            <v>52.5</v>
          </cell>
          <cell r="H62">
            <v>41</v>
          </cell>
          <cell r="I62">
            <v>51.2</v>
          </cell>
          <cell r="J62">
            <v>35.200000000000003</v>
          </cell>
          <cell r="K62">
            <v>49.5</v>
          </cell>
          <cell r="L62">
            <v>46.3</v>
          </cell>
          <cell r="M62">
            <v>51.6</v>
          </cell>
          <cell r="N62">
            <v>37.4</v>
          </cell>
          <cell r="O62">
            <v>51.7</v>
          </cell>
        </row>
        <row r="63">
          <cell r="A63">
            <v>301</v>
          </cell>
          <cell r="B63">
            <v>2</v>
          </cell>
          <cell r="C63">
            <v>13.484999999999999</v>
          </cell>
          <cell r="D63">
            <v>30.4</v>
          </cell>
          <cell r="E63">
            <v>30.9</v>
          </cell>
          <cell r="F63">
            <v>31.3</v>
          </cell>
          <cell r="G63">
            <v>31.7</v>
          </cell>
          <cell r="H63">
            <v>30.3</v>
          </cell>
          <cell r="I63">
            <v>31.8</v>
          </cell>
          <cell r="J63">
            <v>30.2</v>
          </cell>
          <cell r="K63">
            <v>30.7</v>
          </cell>
          <cell r="L63">
            <v>30.2</v>
          </cell>
          <cell r="M63">
            <v>31</v>
          </cell>
          <cell r="N63">
            <v>29.6</v>
          </cell>
          <cell r="O63">
            <v>31</v>
          </cell>
        </row>
        <row r="64">
          <cell r="A64">
            <v>302</v>
          </cell>
          <cell r="B64">
            <v>1</v>
          </cell>
          <cell r="C64">
            <v>13.497999999999999</v>
          </cell>
          <cell r="D64">
            <v>39.700000000000003</v>
          </cell>
          <cell r="E64">
            <v>30</v>
          </cell>
          <cell r="F64">
            <v>38.299999999999997</v>
          </cell>
          <cell r="G64">
            <v>33.799999999999997</v>
          </cell>
          <cell r="H64">
            <v>36.200000000000003</v>
          </cell>
          <cell r="I64">
            <v>35.299999999999997</v>
          </cell>
          <cell r="J64">
            <v>29.4</v>
          </cell>
          <cell r="K64">
            <v>38.200000000000003</v>
          </cell>
          <cell r="L64">
            <v>30.1</v>
          </cell>
          <cell r="M64">
            <v>37.5</v>
          </cell>
          <cell r="N64">
            <v>30.1</v>
          </cell>
          <cell r="O64">
            <v>36.799999999999997</v>
          </cell>
        </row>
        <row r="65">
          <cell r="A65">
            <v>302</v>
          </cell>
          <cell r="B65">
            <v>2</v>
          </cell>
          <cell r="C65">
            <v>13.502000000000001</v>
          </cell>
          <cell r="D65">
            <v>27.7</v>
          </cell>
          <cell r="E65">
            <v>28.4</v>
          </cell>
          <cell r="F65">
            <v>28.3</v>
          </cell>
          <cell r="G65">
            <v>28.1</v>
          </cell>
          <cell r="H65">
            <v>28.8</v>
          </cell>
          <cell r="I65">
            <v>27.1</v>
          </cell>
          <cell r="J65">
            <v>28.7</v>
          </cell>
          <cell r="K65">
            <v>28.5</v>
          </cell>
          <cell r="L65">
            <v>27.6</v>
          </cell>
          <cell r="M65">
            <v>27.9</v>
          </cell>
          <cell r="N65">
            <v>28.3</v>
          </cell>
          <cell r="O65">
            <v>27.5</v>
          </cell>
        </row>
        <row r="66">
          <cell r="A66">
            <v>303</v>
          </cell>
          <cell r="B66">
            <v>1</v>
          </cell>
          <cell r="C66">
            <v>13.515000000000001</v>
          </cell>
          <cell r="D66">
            <v>56.9</v>
          </cell>
          <cell r="E66">
            <v>47.5</v>
          </cell>
          <cell r="F66">
            <v>49.1</v>
          </cell>
          <cell r="G66">
            <v>55.7</v>
          </cell>
          <cell r="H66">
            <v>40</v>
          </cell>
          <cell r="I66">
            <v>57.4</v>
          </cell>
          <cell r="J66">
            <v>34.9</v>
          </cell>
          <cell r="K66">
            <v>54.7</v>
          </cell>
          <cell r="L66">
            <v>36.4</v>
          </cell>
          <cell r="M66">
            <v>57.1</v>
          </cell>
          <cell r="N66">
            <v>37.9</v>
          </cell>
          <cell r="O66">
            <v>50.2</v>
          </cell>
        </row>
        <row r="67">
          <cell r="A67">
            <v>303</v>
          </cell>
          <cell r="B67">
            <v>2</v>
          </cell>
          <cell r="C67">
            <v>13.52</v>
          </cell>
          <cell r="D67">
            <v>29.2</v>
          </cell>
          <cell r="E67">
            <v>28.1</v>
          </cell>
          <cell r="F67">
            <v>28.6</v>
          </cell>
          <cell r="G67">
            <v>29.8</v>
          </cell>
          <cell r="H67">
            <v>28.2</v>
          </cell>
          <cell r="I67">
            <v>30.4</v>
          </cell>
          <cell r="J67">
            <v>30.2</v>
          </cell>
          <cell r="K67">
            <v>30.7</v>
          </cell>
          <cell r="L67">
            <v>30.7</v>
          </cell>
          <cell r="M67">
            <v>30.2</v>
          </cell>
          <cell r="N67">
            <v>31</v>
          </cell>
          <cell r="O67">
            <v>30.2</v>
          </cell>
        </row>
        <row r="68">
          <cell r="A68">
            <v>304</v>
          </cell>
          <cell r="B68">
            <v>1</v>
          </cell>
          <cell r="C68">
            <v>13.532</v>
          </cell>
          <cell r="D68">
            <v>34.1</v>
          </cell>
          <cell r="E68">
            <v>38.700000000000003</v>
          </cell>
          <cell r="F68">
            <v>33</v>
          </cell>
          <cell r="G68">
            <v>36.200000000000003</v>
          </cell>
          <cell r="H68">
            <v>34.700000000000003</v>
          </cell>
          <cell r="I68">
            <v>36.5</v>
          </cell>
          <cell r="J68">
            <v>33</v>
          </cell>
          <cell r="K68">
            <v>33.6</v>
          </cell>
          <cell r="L68">
            <v>32.299999999999997</v>
          </cell>
          <cell r="M68">
            <v>36.9</v>
          </cell>
          <cell r="N68">
            <v>31.3</v>
          </cell>
          <cell r="O68">
            <v>40.4</v>
          </cell>
        </row>
        <row r="69">
          <cell r="A69">
            <v>304</v>
          </cell>
          <cell r="B69">
            <v>2</v>
          </cell>
          <cell r="C69">
            <v>13.537000000000001</v>
          </cell>
          <cell r="D69">
            <v>27.6</v>
          </cell>
          <cell r="E69">
            <v>28.2</v>
          </cell>
          <cell r="F69">
            <v>29</v>
          </cell>
          <cell r="G69">
            <v>28.2</v>
          </cell>
          <cell r="H69">
            <v>28.7</v>
          </cell>
          <cell r="I69">
            <v>27.7</v>
          </cell>
          <cell r="J69">
            <v>29.1</v>
          </cell>
          <cell r="K69">
            <v>29.2</v>
          </cell>
          <cell r="L69">
            <v>30.6</v>
          </cell>
          <cell r="M69">
            <v>29.6</v>
          </cell>
          <cell r="N69">
            <v>29.3</v>
          </cell>
          <cell r="O69">
            <v>29.3</v>
          </cell>
        </row>
        <row r="70">
          <cell r="A70">
            <v>305</v>
          </cell>
          <cell r="B70">
            <v>1</v>
          </cell>
          <cell r="C70">
            <v>13.55</v>
          </cell>
          <cell r="D70">
            <v>36.1</v>
          </cell>
          <cell r="E70">
            <v>30.8</v>
          </cell>
          <cell r="F70">
            <v>31.6</v>
          </cell>
          <cell r="G70">
            <v>33.799999999999997</v>
          </cell>
          <cell r="H70">
            <v>31.3</v>
          </cell>
          <cell r="I70">
            <v>38.6</v>
          </cell>
          <cell r="J70">
            <v>30.4</v>
          </cell>
          <cell r="K70">
            <v>38.700000000000003</v>
          </cell>
          <cell r="L70">
            <v>29.6</v>
          </cell>
          <cell r="M70">
            <v>35.1</v>
          </cell>
          <cell r="N70">
            <v>30.8</v>
          </cell>
          <cell r="O70">
            <v>33.799999999999997</v>
          </cell>
        </row>
        <row r="71">
          <cell r="A71">
            <v>305</v>
          </cell>
          <cell r="B71">
            <v>2</v>
          </cell>
          <cell r="C71">
            <v>13.554</v>
          </cell>
          <cell r="D71">
            <v>29.6</v>
          </cell>
          <cell r="E71">
            <v>29.2</v>
          </cell>
          <cell r="F71">
            <v>30.2</v>
          </cell>
          <cell r="G71">
            <v>29.9</v>
          </cell>
          <cell r="H71">
            <v>29.4</v>
          </cell>
          <cell r="I71">
            <v>30.6</v>
          </cell>
          <cell r="J71">
            <v>29.3</v>
          </cell>
          <cell r="K71">
            <v>29.6</v>
          </cell>
          <cell r="L71">
            <v>29.4</v>
          </cell>
          <cell r="M71">
            <v>31.2</v>
          </cell>
          <cell r="N71">
            <v>30.2</v>
          </cell>
          <cell r="O71">
            <v>30.1</v>
          </cell>
        </row>
        <row r="72">
          <cell r="A72">
            <v>306</v>
          </cell>
          <cell r="B72">
            <v>1</v>
          </cell>
          <cell r="C72">
            <v>13.567</v>
          </cell>
          <cell r="D72">
            <v>36.200000000000003</v>
          </cell>
          <cell r="E72">
            <v>32.4</v>
          </cell>
          <cell r="F72">
            <v>37.700000000000003</v>
          </cell>
          <cell r="G72">
            <v>32.700000000000003</v>
          </cell>
          <cell r="H72">
            <v>37.799999999999997</v>
          </cell>
          <cell r="I72">
            <v>35.700000000000003</v>
          </cell>
          <cell r="J72">
            <v>31.1</v>
          </cell>
          <cell r="K72">
            <v>38</v>
          </cell>
          <cell r="L72">
            <v>31.1</v>
          </cell>
          <cell r="M72">
            <v>38.9</v>
          </cell>
          <cell r="N72">
            <v>31.2</v>
          </cell>
          <cell r="O72">
            <v>39.700000000000003</v>
          </cell>
        </row>
        <row r="73">
          <cell r="A73">
            <v>306</v>
          </cell>
          <cell r="B73">
            <v>2</v>
          </cell>
          <cell r="C73">
            <v>13.571</v>
          </cell>
          <cell r="D73">
            <v>32.5</v>
          </cell>
          <cell r="E73">
            <v>31.5</v>
          </cell>
          <cell r="F73">
            <v>31.8</v>
          </cell>
          <cell r="G73">
            <v>31.4</v>
          </cell>
          <cell r="H73">
            <v>30.5</v>
          </cell>
          <cell r="I73">
            <v>30</v>
          </cell>
          <cell r="J73">
            <v>31.2</v>
          </cell>
          <cell r="K73">
            <v>30.4</v>
          </cell>
          <cell r="L73">
            <v>31.3</v>
          </cell>
          <cell r="M73">
            <v>29</v>
          </cell>
          <cell r="N73">
            <v>30</v>
          </cell>
          <cell r="O73">
            <v>29.9</v>
          </cell>
        </row>
        <row r="74">
          <cell r="A74">
            <v>307</v>
          </cell>
          <cell r="B74">
            <v>1</v>
          </cell>
          <cell r="C74">
            <v>13.584</v>
          </cell>
          <cell r="D74">
            <v>38.1</v>
          </cell>
          <cell r="E74">
            <v>32.9</v>
          </cell>
          <cell r="F74">
            <v>37.200000000000003</v>
          </cell>
          <cell r="G74">
            <v>38.5</v>
          </cell>
          <cell r="H74">
            <v>34</v>
          </cell>
          <cell r="I74">
            <v>39.200000000000003</v>
          </cell>
          <cell r="J74">
            <v>34.200000000000003</v>
          </cell>
          <cell r="K74">
            <v>34.799999999999997</v>
          </cell>
          <cell r="L74">
            <v>30.6</v>
          </cell>
          <cell r="M74">
            <v>39.6</v>
          </cell>
          <cell r="N74">
            <v>32.799999999999997</v>
          </cell>
          <cell r="O74">
            <v>37.200000000000003</v>
          </cell>
        </row>
        <row r="75">
          <cell r="A75">
            <v>307</v>
          </cell>
          <cell r="B75">
            <v>2</v>
          </cell>
          <cell r="C75">
            <v>13.587999999999999</v>
          </cell>
          <cell r="D75">
            <v>29.6</v>
          </cell>
          <cell r="E75">
            <v>29.5</v>
          </cell>
          <cell r="F75">
            <v>29.8</v>
          </cell>
          <cell r="G75">
            <v>29.3</v>
          </cell>
          <cell r="H75">
            <v>27.9</v>
          </cell>
          <cell r="I75">
            <v>29.1</v>
          </cell>
          <cell r="J75">
            <v>26.9</v>
          </cell>
          <cell r="K75">
            <v>28.4</v>
          </cell>
          <cell r="L75">
            <v>31.7</v>
          </cell>
          <cell r="M75">
            <v>29.6</v>
          </cell>
          <cell r="N75">
            <v>28.4</v>
          </cell>
          <cell r="O75">
            <v>28.6</v>
          </cell>
        </row>
        <row r="76">
          <cell r="A76">
            <v>308</v>
          </cell>
          <cell r="B76">
            <v>1</v>
          </cell>
          <cell r="C76">
            <v>13.6</v>
          </cell>
          <cell r="D76">
            <v>33.1</v>
          </cell>
          <cell r="E76">
            <v>34.4</v>
          </cell>
          <cell r="F76">
            <v>30.2</v>
          </cell>
          <cell r="G76">
            <v>35.1</v>
          </cell>
          <cell r="H76">
            <v>30.2</v>
          </cell>
          <cell r="I76">
            <v>38.9</v>
          </cell>
          <cell r="J76">
            <v>30.8</v>
          </cell>
          <cell r="K76">
            <v>37.299999999999997</v>
          </cell>
          <cell r="L76">
            <v>31</v>
          </cell>
          <cell r="M76">
            <v>37.5</v>
          </cell>
          <cell r="N76">
            <v>30.1</v>
          </cell>
          <cell r="O76">
            <v>33.9</v>
          </cell>
        </row>
        <row r="77">
          <cell r="A77">
            <v>308</v>
          </cell>
          <cell r="B77">
            <v>2</v>
          </cell>
          <cell r="C77">
            <v>13.605</v>
          </cell>
          <cell r="D77">
            <v>30.7</v>
          </cell>
          <cell r="E77">
            <v>29.9</v>
          </cell>
          <cell r="F77">
            <v>29.7</v>
          </cell>
          <cell r="G77">
            <v>30.3</v>
          </cell>
          <cell r="H77">
            <v>30.4</v>
          </cell>
          <cell r="I77">
            <v>31.9</v>
          </cell>
          <cell r="J77">
            <v>29.8</v>
          </cell>
          <cell r="K77">
            <v>32.200000000000003</v>
          </cell>
          <cell r="L77">
            <v>30.8</v>
          </cell>
          <cell r="M77">
            <v>30.2</v>
          </cell>
          <cell r="N77">
            <v>29.4</v>
          </cell>
          <cell r="O77">
            <v>29.7</v>
          </cell>
        </row>
        <row r="78">
          <cell r="A78">
            <v>408</v>
          </cell>
          <cell r="B78">
            <v>1</v>
          </cell>
          <cell r="C78">
            <v>13.622</v>
          </cell>
          <cell r="D78">
            <v>57.9</v>
          </cell>
          <cell r="E78">
            <v>55.5</v>
          </cell>
          <cell r="F78">
            <v>45.4</v>
          </cell>
          <cell r="G78">
            <v>59.4</v>
          </cell>
          <cell r="H78">
            <v>44.6</v>
          </cell>
          <cell r="I78">
            <v>59.2</v>
          </cell>
          <cell r="J78">
            <v>40.700000000000003</v>
          </cell>
          <cell r="K78">
            <v>62.3</v>
          </cell>
          <cell r="L78">
            <v>38.299999999999997</v>
          </cell>
          <cell r="M78">
            <v>59.2</v>
          </cell>
          <cell r="N78">
            <v>34.799999999999997</v>
          </cell>
          <cell r="O78">
            <v>49.6</v>
          </cell>
        </row>
        <row r="79">
          <cell r="A79">
            <v>408</v>
          </cell>
          <cell r="B79">
            <v>2</v>
          </cell>
          <cell r="C79">
            <v>13.625999999999999</v>
          </cell>
          <cell r="D79">
            <v>30.8</v>
          </cell>
          <cell r="E79">
            <v>32.200000000000003</v>
          </cell>
          <cell r="F79">
            <v>30.8</v>
          </cell>
          <cell r="G79">
            <v>31.3</v>
          </cell>
          <cell r="H79">
            <v>32.1</v>
          </cell>
          <cell r="I79">
            <v>30.2</v>
          </cell>
          <cell r="J79">
            <v>31.1</v>
          </cell>
          <cell r="K79">
            <v>31</v>
          </cell>
          <cell r="L79">
            <v>30</v>
          </cell>
          <cell r="M79">
            <v>30.7</v>
          </cell>
          <cell r="N79">
            <v>28.7</v>
          </cell>
          <cell r="O79">
            <v>30.5</v>
          </cell>
        </row>
        <row r="80">
          <cell r="A80">
            <v>407</v>
          </cell>
          <cell r="B80">
            <v>1</v>
          </cell>
          <cell r="C80">
            <v>13.64</v>
          </cell>
          <cell r="D80">
            <v>59</v>
          </cell>
          <cell r="E80">
            <v>48.5</v>
          </cell>
          <cell r="F80">
            <v>52.8</v>
          </cell>
          <cell r="G80">
            <v>53.8</v>
          </cell>
          <cell r="H80">
            <v>49.7</v>
          </cell>
          <cell r="I80">
            <v>53.3</v>
          </cell>
          <cell r="J80">
            <v>42.2</v>
          </cell>
          <cell r="K80">
            <v>54.5</v>
          </cell>
          <cell r="L80">
            <v>38.9</v>
          </cell>
          <cell r="M80">
            <v>56.8</v>
          </cell>
          <cell r="N80">
            <v>49.3</v>
          </cell>
          <cell r="O80">
            <v>46.9</v>
          </cell>
        </row>
        <row r="81">
          <cell r="A81">
            <v>407</v>
          </cell>
          <cell r="B81">
            <v>2</v>
          </cell>
          <cell r="C81">
            <v>13.645</v>
          </cell>
          <cell r="D81">
            <v>30.3</v>
          </cell>
          <cell r="E81">
            <v>30.2</v>
          </cell>
          <cell r="F81">
            <v>28.7</v>
          </cell>
          <cell r="G81">
            <v>30.1</v>
          </cell>
          <cell r="H81">
            <v>28.4</v>
          </cell>
          <cell r="I81">
            <v>28.8</v>
          </cell>
          <cell r="J81">
            <v>30</v>
          </cell>
          <cell r="K81">
            <v>28.3</v>
          </cell>
          <cell r="L81">
            <v>29.1</v>
          </cell>
          <cell r="M81">
            <v>28.9</v>
          </cell>
          <cell r="N81">
            <v>29.2</v>
          </cell>
          <cell r="O81">
            <v>30.5</v>
          </cell>
        </row>
        <row r="82">
          <cell r="A82">
            <v>406</v>
          </cell>
          <cell r="B82">
            <v>1</v>
          </cell>
          <cell r="C82">
            <v>13.657999999999999</v>
          </cell>
          <cell r="D82">
            <v>38.5</v>
          </cell>
          <cell r="E82">
            <v>37.1</v>
          </cell>
          <cell r="F82">
            <v>36.9</v>
          </cell>
          <cell r="G82">
            <v>33.200000000000003</v>
          </cell>
          <cell r="H82">
            <v>33</v>
          </cell>
          <cell r="I82">
            <v>33</v>
          </cell>
          <cell r="J82">
            <v>31.7</v>
          </cell>
          <cell r="K82">
            <v>36.799999999999997</v>
          </cell>
          <cell r="L82">
            <v>32.799999999999997</v>
          </cell>
          <cell r="M82">
            <v>34.299999999999997</v>
          </cell>
          <cell r="N82">
            <v>30.4</v>
          </cell>
          <cell r="O82">
            <v>37</v>
          </cell>
        </row>
        <row r="83">
          <cell r="A83">
            <v>406</v>
          </cell>
          <cell r="B83">
            <v>2</v>
          </cell>
          <cell r="C83">
            <v>13.663</v>
          </cell>
          <cell r="D83">
            <v>30.1</v>
          </cell>
          <cell r="E83">
            <v>29.1</v>
          </cell>
          <cell r="F83">
            <v>30.2</v>
          </cell>
          <cell r="G83">
            <v>29.7</v>
          </cell>
          <cell r="H83">
            <v>31.6</v>
          </cell>
          <cell r="I83">
            <v>29.2</v>
          </cell>
          <cell r="J83">
            <v>30.9</v>
          </cell>
          <cell r="K83">
            <v>28.9</v>
          </cell>
          <cell r="L83">
            <v>30.8</v>
          </cell>
          <cell r="M83">
            <v>28.4</v>
          </cell>
          <cell r="N83">
            <v>30.7</v>
          </cell>
          <cell r="O83">
            <v>28.4</v>
          </cell>
        </row>
        <row r="84">
          <cell r="A84">
            <v>405</v>
          </cell>
          <cell r="B84">
            <v>1</v>
          </cell>
          <cell r="C84">
            <v>13.676</v>
          </cell>
          <cell r="D84">
            <v>37.4</v>
          </cell>
          <cell r="E84">
            <v>29.2</v>
          </cell>
          <cell r="F84">
            <v>33.799999999999997</v>
          </cell>
          <cell r="G84">
            <v>35.1</v>
          </cell>
          <cell r="H84">
            <v>29.7</v>
          </cell>
          <cell r="I84">
            <v>37.799999999999997</v>
          </cell>
          <cell r="J84">
            <v>28.5</v>
          </cell>
          <cell r="K84">
            <v>35.9</v>
          </cell>
          <cell r="L84">
            <v>28.6</v>
          </cell>
          <cell r="M84">
            <v>37.299999999999997</v>
          </cell>
          <cell r="N84">
            <v>28.3</v>
          </cell>
          <cell r="O84">
            <v>34.799999999999997</v>
          </cell>
        </row>
        <row r="85">
          <cell r="A85">
            <v>405</v>
          </cell>
          <cell r="B85">
            <v>2</v>
          </cell>
          <cell r="C85">
            <v>13.68</v>
          </cell>
          <cell r="D85">
            <v>27</v>
          </cell>
          <cell r="E85">
            <v>28.2</v>
          </cell>
          <cell r="F85">
            <v>27.6</v>
          </cell>
          <cell r="G85">
            <v>27.3</v>
          </cell>
          <cell r="H85">
            <v>27.9</v>
          </cell>
          <cell r="I85">
            <v>27.6</v>
          </cell>
          <cell r="J85">
            <v>26.6</v>
          </cell>
          <cell r="K85">
            <v>26.3</v>
          </cell>
          <cell r="L85">
            <v>26.9</v>
          </cell>
          <cell r="M85">
            <v>25.8</v>
          </cell>
          <cell r="N85">
            <v>27.3</v>
          </cell>
          <cell r="O85">
            <v>27.3</v>
          </cell>
        </row>
        <row r="86">
          <cell r="A86">
            <v>404</v>
          </cell>
          <cell r="B86">
            <v>1</v>
          </cell>
          <cell r="C86">
            <v>13.693</v>
          </cell>
          <cell r="D86">
            <v>38.1</v>
          </cell>
          <cell r="E86">
            <v>34.9</v>
          </cell>
          <cell r="F86">
            <v>29.6</v>
          </cell>
          <cell r="G86">
            <v>37.6</v>
          </cell>
          <cell r="H86">
            <v>30.8</v>
          </cell>
          <cell r="I86">
            <v>37.5</v>
          </cell>
          <cell r="J86">
            <v>31.1</v>
          </cell>
          <cell r="K86">
            <v>36.799999999999997</v>
          </cell>
          <cell r="L86">
            <v>29.9</v>
          </cell>
          <cell r="M86">
            <v>37.799999999999997</v>
          </cell>
          <cell r="N86">
            <v>29.5</v>
          </cell>
          <cell r="O86">
            <v>37.5</v>
          </cell>
        </row>
        <row r="87">
          <cell r="A87">
            <v>404</v>
          </cell>
          <cell r="B87">
            <v>2</v>
          </cell>
          <cell r="C87">
            <v>13.696999999999999</v>
          </cell>
          <cell r="D87">
            <v>28.5</v>
          </cell>
          <cell r="E87">
            <v>28.4</v>
          </cell>
          <cell r="F87">
            <v>30.9</v>
          </cell>
          <cell r="G87">
            <v>28.4</v>
          </cell>
          <cell r="H87">
            <v>28.3</v>
          </cell>
          <cell r="I87">
            <v>28.6</v>
          </cell>
          <cell r="J87">
            <v>29.1</v>
          </cell>
          <cell r="K87">
            <v>28.4</v>
          </cell>
          <cell r="L87">
            <v>28.6</v>
          </cell>
          <cell r="M87">
            <v>27.5</v>
          </cell>
          <cell r="N87">
            <v>28.1</v>
          </cell>
          <cell r="O87">
            <v>27.2</v>
          </cell>
        </row>
        <row r="88">
          <cell r="A88">
            <v>403</v>
          </cell>
          <cell r="B88">
            <v>1</v>
          </cell>
          <cell r="C88">
            <v>13.71</v>
          </cell>
          <cell r="D88">
            <v>37.6</v>
          </cell>
          <cell r="E88">
            <v>30.6</v>
          </cell>
          <cell r="F88">
            <v>28</v>
          </cell>
          <cell r="G88">
            <v>35.799999999999997</v>
          </cell>
          <cell r="H88">
            <v>27.6</v>
          </cell>
          <cell r="I88">
            <v>33.9</v>
          </cell>
          <cell r="J88">
            <v>27.9</v>
          </cell>
          <cell r="K88">
            <v>33.6</v>
          </cell>
          <cell r="L88">
            <v>31.9</v>
          </cell>
          <cell r="M88">
            <v>37</v>
          </cell>
          <cell r="N88">
            <v>28.9</v>
          </cell>
          <cell r="O88">
            <v>31.8</v>
          </cell>
        </row>
        <row r="89">
          <cell r="A89">
            <v>403</v>
          </cell>
          <cell r="B89">
            <v>2</v>
          </cell>
          <cell r="C89">
            <v>13.715</v>
          </cell>
          <cell r="D89">
            <v>26.7</v>
          </cell>
          <cell r="E89">
            <v>26.2</v>
          </cell>
          <cell r="F89">
            <v>28.5</v>
          </cell>
          <cell r="G89">
            <v>27.6</v>
          </cell>
          <cell r="H89">
            <v>26.7</v>
          </cell>
          <cell r="I89">
            <v>27.9</v>
          </cell>
          <cell r="J89">
            <v>27.1</v>
          </cell>
          <cell r="K89">
            <v>27.2</v>
          </cell>
          <cell r="L89">
            <v>28.2</v>
          </cell>
          <cell r="M89">
            <v>26.7</v>
          </cell>
          <cell r="N89">
            <v>27.3</v>
          </cell>
          <cell r="O89">
            <v>27.2</v>
          </cell>
        </row>
        <row r="90">
          <cell r="A90">
            <v>402</v>
          </cell>
          <cell r="B90">
            <v>1</v>
          </cell>
          <cell r="C90">
            <v>13.727</v>
          </cell>
          <cell r="D90">
            <v>58.7</v>
          </cell>
          <cell r="E90">
            <v>53.4</v>
          </cell>
          <cell r="F90">
            <v>49.9</v>
          </cell>
          <cell r="G90">
            <v>54.8</v>
          </cell>
          <cell r="H90">
            <v>46.2</v>
          </cell>
          <cell r="I90">
            <v>53.2</v>
          </cell>
          <cell r="J90">
            <v>37.9</v>
          </cell>
          <cell r="K90">
            <v>51.9</v>
          </cell>
          <cell r="L90">
            <v>43.1</v>
          </cell>
          <cell r="M90">
            <v>49.8</v>
          </cell>
          <cell r="N90">
            <v>45.4</v>
          </cell>
          <cell r="O90">
            <v>40.700000000000003</v>
          </cell>
        </row>
        <row r="91">
          <cell r="A91">
            <v>402</v>
          </cell>
          <cell r="B91">
            <v>2</v>
          </cell>
          <cell r="C91">
            <v>13.731</v>
          </cell>
          <cell r="D91">
            <v>29.8</v>
          </cell>
          <cell r="E91">
            <v>29.9</v>
          </cell>
          <cell r="F91">
            <v>32.299999999999997</v>
          </cell>
          <cell r="G91">
            <v>30.4</v>
          </cell>
          <cell r="H91">
            <v>31</v>
          </cell>
          <cell r="I91">
            <v>29.8</v>
          </cell>
          <cell r="J91">
            <v>30.5</v>
          </cell>
          <cell r="K91">
            <v>31.2</v>
          </cell>
          <cell r="L91">
            <v>31.5</v>
          </cell>
          <cell r="M91">
            <v>31.8</v>
          </cell>
          <cell r="N91">
            <v>32.5</v>
          </cell>
          <cell r="O91">
            <v>32.200000000000003</v>
          </cell>
        </row>
        <row r="92">
          <cell r="A92">
            <v>401</v>
          </cell>
          <cell r="B92">
            <v>1</v>
          </cell>
          <cell r="C92">
            <v>13.744</v>
          </cell>
          <cell r="D92">
            <v>57.3</v>
          </cell>
          <cell r="E92">
            <v>47.9</v>
          </cell>
          <cell r="F92">
            <v>45.1</v>
          </cell>
          <cell r="G92">
            <v>57.2</v>
          </cell>
          <cell r="H92">
            <v>53.2</v>
          </cell>
          <cell r="I92">
            <v>50.1</v>
          </cell>
          <cell r="J92">
            <v>45.8</v>
          </cell>
          <cell r="K92">
            <v>57.4</v>
          </cell>
          <cell r="L92">
            <v>51.6</v>
          </cell>
          <cell r="M92">
            <v>57.3</v>
          </cell>
          <cell r="N92">
            <v>41.5</v>
          </cell>
          <cell r="O92">
            <v>46.6</v>
          </cell>
        </row>
        <row r="93">
          <cell r="A93">
            <v>401</v>
          </cell>
          <cell r="B93">
            <v>2</v>
          </cell>
          <cell r="C93">
            <v>13.749000000000001</v>
          </cell>
          <cell r="D93">
            <v>28.1</v>
          </cell>
          <cell r="E93">
            <v>29.5</v>
          </cell>
          <cell r="F93">
            <v>28.8</v>
          </cell>
          <cell r="G93">
            <v>28.6</v>
          </cell>
          <cell r="H93">
            <v>29.5</v>
          </cell>
          <cell r="I93">
            <v>28.7</v>
          </cell>
          <cell r="J93">
            <v>29.8</v>
          </cell>
          <cell r="K93">
            <v>30.9</v>
          </cell>
          <cell r="L93">
            <v>29.6</v>
          </cell>
          <cell r="M93">
            <v>29.4</v>
          </cell>
          <cell r="N93">
            <v>30.5</v>
          </cell>
          <cell r="O93">
            <v>29.3</v>
          </cell>
        </row>
      </sheetData>
      <sheetData sheetId="2">
        <row r="7">
          <cell r="C7">
            <v>176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35.35</v>
          </cell>
        </row>
        <row r="29">
          <cell r="E29">
            <v>4.8164902062533894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'IA177.03R'</v>
          </cell>
        </row>
        <row r="14">
          <cell r="A14">
            <v>108</v>
          </cell>
          <cell r="B14">
            <v>1</v>
          </cell>
          <cell r="C14">
            <v>12.865</v>
          </cell>
          <cell r="D14">
            <v>40.4</v>
          </cell>
          <cell r="E14">
            <v>31.7</v>
          </cell>
          <cell r="F14">
            <v>38.799999999999997</v>
          </cell>
          <cell r="G14">
            <v>29.6</v>
          </cell>
          <cell r="H14">
            <v>41.4</v>
          </cell>
          <cell r="I14">
            <v>31.9</v>
          </cell>
          <cell r="J14">
            <v>40.4</v>
          </cell>
          <cell r="K14">
            <v>30.6</v>
          </cell>
          <cell r="L14">
            <v>37.4</v>
          </cell>
          <cell r="M14">
            <v>30.7</v>
          </cell>
          <cell r="N14">
            <v>39.1</v>
          </cell>
          <cell r="O14">
            <v>30.7</v>
          </cell>
        </row>
        <row r="15">
          <cell r="A15">
            <v>108</v>
          </cell>
          <cell r="B15">
            <v>2</v>
          </cell>
          <cell r="C15">
            <v>12.871</v>
          </cell>
          <cell r="D15">
            <v>28.7</v>
          </cell>
          <cell r="E15">
            <v>27.7</v>
          </cell>
          <cell r="F15">
            <v>30.7</v>
          </cell>
          <cell r="G15">
            <v>28.4</v>
          </cell>
          <cell r="H15">
            <v>28.7</v>
          </cell>
          <cell r="I15">
            <v>27.7</v>
          </cell>
          <cell r="J15">
            <v>29</v>
          </cell>
          <cell r="K15">
            <v>27.4</v>
          </cell>
          <cell r="L15">
            <v>29.1</v>
          </cell>
          <cell r="M15">
            <v>27.5</v>
          </cell>
          <cell r="N15">
            <v>29.5</v>
          </cell>
          <cell r="O15">
            <v>29.3</v>
          </cell>
        </row>
        <row r="16">
          <cell r="A16">
            <v>107</v>
          </cell>
          <cell r="B16">
            <v>1</v>
          </cell>
          <cell r="C16">
            <v>12.88</v>
          </cell>
          <cell r="D16">
            <v>40.1</v>
          </cell>
          <cell r="E16">
            <v>34.299999999999997</v>
          </cell>
          <cell r="F16">
            <v>38.799999999999997</v>
          </cell>
          <cell r="G16">
            <v>30.2</v>
          </cell>
          <cell r="H16">
            <v>38.9</v>
          </cell>
          <cell r="I16">
            <v>30.3</v>
          </cell>
          <cell r="J16">
            <v>39.1</v>
          </cell>
          <cell r="K16">
            <v>29.6</v>
          </cell>
          <cell r="L16">
            <v>39.799999999999997</v>
          </cell>
          <cell r="M16">
            <v>30.8</v>
          </cell>
          <cell r="N16">
            <v>38.6</v>
          </cell>
          <cell r="O16">
            <v>31.8</v>
          </cell>
        </row>
        <row r="17">
          <cell r="A17">
            <v>107</v>
          </cell>
          <cell r="B17">
            <v>2</v>
          </cell>
          <cell r="C17">
            <v>12.884</v>
          </cell>
          <cell r="D17">
            <v>31.2</v>
          </cell>
          <cell r="E17">
            <v>30.6</v>
          </cell>
          <cell r="F17">
            <v>29.8</v>
          </cell>
          <cell r="G17">
            <v>28.9</v>
          </cell>
          <cell r="H17">
            <v>30.6</v>
          </cell>
          <cell r="I17">
            <v>29.6</v>
          </cell>
          <cell r="J17">
            <v>32.200000000000003</v>
          </cell>
          <cell r="K17">
            <v>29.6</v>
          </cell>
          <cell r="L17">
            <v>30.9</v>
          </cell>
          <cell r="M17">
            <v>30</v>
          </cell>
          <cell r="N17">
            <v>31.3</v>
          </cell>
          <cell r="O17">
            <v>28.9</v>
          </cell>
        </row>
        <row r="18">
          <cell r="A18">
            <v>106</v>
          </cell>
          <cell r="B18">
            <v>1</v>
          </cell>
          <cell r="C18">
            <v>12.894</v>
          </cell>
          <cell r="D18">
            <v>40.4</v>
          </cell>
          <cell r="E18">
            <v>33.799999999999997</v>
          </cell>
          <cell r="F18">
            <v>38.6</v>
          </cell>
          <cell r="G18">
            <v>31.2</v>
          </cell>
          <cell r="H18">
            <v>39.9</v>
          </cell>
          <cell r="I18">
            <v>30.9</v>
          </cell>
          <cell r="J18">
            <v>39.799999999999997</v>
          </cell>
          <cell r="K18">
            <v>30.8</v>
          </cell>
          <cell r="L18">
            <v>39.200000000000003</v>
          </cell>
          <cell r="M18">
            <v>31.3</v>
          </cell>
          <cell r="N18">
            <v>39.700000000000003</v>
          </cell>
          <cell r="O18">
            <v>32.1</v>
          </cell>
        </row>
        <row r="19">
          <cell r="A19">
            <v>106</v>
          </cell>
          <cell r="B19">
            <v>2</v>
          </cell>
          <cell r="C19">
            <v>12.898999999999999</v>
          </cell>
          <cell r="D19">
            <v>30.5</v>
          </cell>
          <cell r="E19">
            <v>30.9</v>
          </cell>
          <cell r="F19">
            <v>29.9</v>
          </cell>
          <cell r="G19">
            <v>30.8</v>
          </cell>
          <cell r="H19">
            <v>32.799999999999997</v>
          </cell>
          <cell r="I19">
            <v>31.4</v>
          </cell>
          <cell r="J19">
            <v>32</v>
          </cell>
          <cell r="K19">
            <v>31.3</v>
          </cell>
          <cell r="L19">
            <v>31.8</v>
          </cell>
          <cell r="M19">
            <v>31.1</v>
          </cell>
          <cell r="N19">
            <v>32.1</v>
          </cell>
          <cell r="O19">
            <v>31.3</v>
          </cell>
        </row>
        <row r="20">
          <cell r="A20">
            <v>105</v>
          </cell>
          <cell r="B20">
            <v>1</v>
          </cell>
          <cell r="C20">
            <v>12.909000000000001</v>
          </cell>
          <cell r="D20">
            <v>35.700000000000003</v>
          </cell>
          <cell r="E20">
            <v>30.7</v>
          </cell>
          <cell r="F20">
            <v>34.799999999999997</v>
          </cell>
          <cell r="G20">
            <v>29.8</v>
          </cell>
          <cell r="H20">
            <v>39.700000000000003</v>
          </cell>
          <cell r="I20">
            <v>36</v>
          </cell>
          <cell r="J20">
            <v>38.700000000000003</v>
          </cell>
          <cell r="K20">
            <v>32.1</v>
          </cell>
          <cell r="L20">
            <v>39.5</v>
          </cell>
          <cell r="M20">
            <v>33.9</v>
          </cell>
          <cell r="N20">
            <v>38.700000000000003</v>
          </cell>
          <cell r="O20">
            <v>34.1</v>
          </cell>
        </row>
        <row r="21">
          <cell r="A21">
            <v>105</v>
          </cell>
          <cell r="B21">
            <v>2</v>
          </cell>
          <cell r="C21">
            <v>12.914</v>
          </cell>
          <cell r="D21">
            <v>31.2</v>
          </cell>
          <cell r="E21">
            <v>31</v>
          </cell>
          <cell r="F21">
            <v>31.7</v>
          </cell>
          <cell r="G21">
            <v>33</v>
          </cell>
          <cell r="H21">
            <v>32.9</v>
          </cell>
          <cell r="I21">
            <v>31.6</v>
          </cell>
          <cell r="J21">
            <v>29.6</v>
          </cell>
          <cell r="K21">
            <v>30.1</v>
          </cell>
          <cell r="L21">
            <v>30.8</v>
          </cell>
          <cell r="M21">
            <v>31.2</v>
          </cell>
          <cell r="N21">
            <v>30.3</v>
          </cell>
          <cell r="O21">
            <v>31.3</v>
          </cell>
        </row>
        <row r="22">
          <cell r="A22">
            <v>104</v>
          </cell>
          <cell r="B22">
            <v>1</v>
          </cell>
          <cell r="C22">
            <v>12.923</v>
          </cell>
          <cell r="D22">
            <v>40.6</v>
          </cell>
          <cell r="E22">
            <v>33.200000000000003</v>
          </cell>
          <cell r="F22">
            <v>39.6</v>
          </cell>
          <cell r="G22">
            <v>31.9</v>
          </cell>
          <cell r="H22">
            <v>39.4</v>
          </cell>
          <cell r="I22">
            <v>31.7</v>
          </cell>
          <cell r="J22">
            <v>39.1</v>
          </cell>
          <cell r="K22">
            <v>32.4</v>
          </cell>
          <cell r="L22">
            <v>39.700000000000003</v>
          </cell>
          <cell r="M22">
            <v>32.299999999999997</v>
          </cell>
          <cell r="N22">
            <v>39.1</v>
          </cell>
          <cell r="O22">
            <v>34.700000000000003</v>
          </cell>
        </row>
        <row r="23">
          <cell r="A23">
            <v>104</v>
          </cell>
          <cell r="B23">
            <v>2</v>
          </cell>
          <cell r="C23">
            <v>12.928000000000001</v>
          </cell>
          <cell r="D23">
            <v>31.5</v>
          </cell>
          <cell r="E23">
            <v>32.9</v>
          </cell>
          <cell r="F23">
            <v>31.7</v>
          </cell>
          <cell r="G23">
            <v>30.9</v>
          </cell>
          <cell r="H23">
            <v>30.6</v>
          </cell>
          <cell r="I23">
            <v>30.5</v>
          </cell>
          <cell r="J23">
            <v>30.1</v>
          </cell>
          <cell r="K23">
            <v>28.3</v>
          </cell>
          <cell r="L23">
            <v>29</v>
          </cell>
          <cell r="M23">
            <v>28.8</v>
          </cell>
          <cell r="N23">
            <v>30.6</v>
          </cell>
          <cell r="O23">
            <v>29.5</v>
          </cell>
        </row>
        <row r="24">
          <cell r="A24">
            <v>103</v>
          </cell>
          <cell r="B24">
            <v>1</v>
          </cell>
          <cell r="C24">
            <v>12.938000000000001</v>
          </cell>
          <cell r="D24">
            <v>37.1</v>
          </cell>
          <cell r="E24">
            <v>31.2</v>
          </cell>
          <cell r="F24">
            <v>35.5</v>
          </cell>
          <cell r="G24">
            <v>28.3</v>
          </cell>
          <cell r="H24">
            <v>37.5</v>
          </cell>
          <cell r="I24">
            <v>29.8</v>
          </cell>
          <cell r="J24">
            <v>40</v>
          </cell>
          <cell r="K24">
            <v>29.9</v>
          </cell>
          <cell r="L24">
            <v>37.200000000000003</v>
          </cell>
          <cell r="M24">
            <v>29.2</v>
          </cell>
          <cell r="N24">
            <v>34.9</v>
          </cell>
          <cell r="O24">
            <v>30</v>
          </cell>
        </row>
        <row r="25">
          <cell r="A25">
            <v>103</v>
          </cell>
          <cell r="B25">
            <v>2</v>
          </cell>
          <cell r="C25">
            <v>12.943</v>
          </cell>
          <cell r="D25">
            <v>29.7</v>
          </cell>
          <cell r="E25">
            <v>28.3</v>
          </cell>
          <cell r="F25">
            <v>27.8</v>
          </cell>
          <cell r="G25">
            <v>26.9</v>
          </cell>
          <cell r="H25">
            <v>28.1</v>
          </cell>
          <cell r="I25">
            <v>29.3</v>
          </cell>
          <cell r="J25">
            <v>28.5</v>
          </cell>
          <cell r="K25">
            <v>27.5</v>
          </cell>
          <cell r="L25">
            <v>28.9</v>
          </cell>
          <cell r="M25">
            <v>29</v>
          </cell>
          <cell r="N25">
            <v>30</v>
          </cell>
          <cell r="O25">
            <v>28.6</v>
          </cell>
        </row>
        <row r="26">
          <cell r="A26">
            <v>102</v>
          </cell>
          <cell r="B26">
            <v>1</v>
          </cell>
          <cell r="C26">
            <v>12.952</v>
          </cell>
          <cell r="D26">
            <v>43.8</v>
          </cell>
          <cell r="E26">
            <v>32.6</v>
          </cell>
          <cell r="F26">
            <v>40.6</v>
          </cell>
          <cell r="G26">
            <v>31.4</v>
          </cell>
          <cell r="H26">
            <v>41.9</v>
          </cell>
          <cell r="I26">
            <v>33.299999999999997</v>
          </cell>
          <cell r="J26">
            <v>43.8</v>
          </cell>
          <cell r="K26">
            <v>33.9</v>
          </cell>
          <cell r="L26">
            <v>41.8</v>
          </cell>
          <cell r="M26">
            <v>33.6</v>
          </cell>
          <cell r="N26">
            <v>39.6</v>
          </cell>
          <cell r="O26">
            <v>32.1</v>
          </cell>
        </row>
        <row r="27">
          <cell r="A27">
            <v>102</v>
          </cell>
          <cell r="B27">
            <v>2</v>
          </cell>
          <cell r="C27">
            <v>12.957000000000001</v>
          </cell>
          <cell r="D27">
            <v>31.8</v>
          </cell>
          <cell r="E27">
            <v>30.4</v>
          </cell>
          <cell r="F27">
            <v>30.7</v>
          </cell>
          <cell r="G27">
            <v>32.5</v>
          </cell>
          <cell r="H27">
            <v>30.7</v>
          </cell>
          <cell r="I27">
            <v>30.9</v>
          </cell>
          <cell r="J27">
            <v>30.8</v>
          </cell>
          <cell r="K27">
            <v>29.6</v>
          </cell>
          <cell r="L27">
            <v>30.2</v>
          </cell>
          <cell r="M27">
            <v>31.3</v>
          </cell>
          <cell r="N27">
            <v>30.8</v>
          </cell>
          <cell r="O27">
            <v>27</v>
          </cell>
        </row>
        <row r="28">
          <cell r="A28">
            <v>101</v>
          </cell>
          <cell r="B28">
            <v>1</v>
          </cell>
          <cell r="C28">
            <v>12.967000000000001</v>
          </cell>
          <cell r="D28">
            <v>45</v>
          </cell>
          <cell r="E28">
            <v>36.9</v>
          </cell>
          <cell r="F28">
            <v>42.8</v>
          </cell>
          <cell r="G28">
            <v>31</v>
          </cell>
          <cell r="H28">
            <v>39.700000000000003</v>
          </cell>
          <cell r="I28">
            <v>30.7</v>
          </cell>
          <cell r="J28">
            <v>38.9</v>
          </cell>
          <cell r="K28">
            <v>30.5</v>
          </cell>
          <cell r="L28">
            <v>38.9</v>
          </cell>
          <cell r="M28">
            <v>32.5</v>
          </cell>
          <cell r="N28">
            <v>41</v>
          </cell>
          <cell r="O28">
            <v>33.9</v>
          </cell>
        </row>
        <row r="29">
          <cell r="A29">
            <v>101</v>
          </cell>
          <cell r="B29">
            <v>2</v>
          </cell>
          <cell r="C29">
            <v>12.972</v>
          </cell>
          <cell r="D29">
            <v>27.2</v>
          </cell>
          <cell r="E29">
            <v>28.6</v>
          </cell>
          <cell r="F29">
            <v>28.9</v>
          </cell>
          <cell r="G29">
            <v>27.1</v>
          </cell>
          <cell r="H29">
            <v>27.6</v>
          </cell>
          <cell r="I29">
            <v>28.6</v>
          </cell>
          <cell r="J29">
            <v>29.4</v>
          </cell>
          <cell r="K29">
            <v>27.9</v>
          </cell>
          <cell r="L29">
            <v>28.8</v>
          </cell>
          <cell r="M29">
            <v>29.7</v>
          </cell>
          <cell r="N29">
            <v>29.7</v>
          </cell>
          <cell r="O29">
            <v>29.8</v>
          </cell>
        </row>
        <row r="30">
          <cell r="A30">
            <v>201</v>
          </cell>
          <cell r="B30">
            <v>1</v>
          </cell>
          <cell r="C30">
            <v>12.986000000000001</v>
          </cell>
          <cell r="D30">
            <v>34.799999999999997</v>
          </cell>
          <cell r="E30">
            <v>33.4</v>
          </cell>
          <cell r="F30">
            <v>38.200000000000003</v>
          </cell>
          <cell r="G30">
            <v>31.4</v>
          </cell>
          <cell r="H30">
            <v>37.4</v>
          </cell>
          <cell r="I30">
            <v>29.7</v>
          </cell>
          <cell r="J30">
            <v>39.4</v>
          </cell>
          <cell r="K30">
            <v>29.7</v>
          </cell>
          <cell r="L30">
            <v>37.299999999999997</v>
          </cell>
          <cell r="M30">
            <v>28.7</v>
          </cell>
          <cell r="N30">
            <v>37.1</v>
          </cell>
          <cell r="O30">
            <v>30.1</v>
          </cell>
        </row>
        <row r="31">
          <cell r="A31">
            <v>201</v>
          </cell>
          <cell r="B31">
            <v>2</v>
          </cell>
          <cell r="C31">
            <v>12.991</v>
          </cell>
          <cell r="D31">
            <v>27</v>
          </cell>
          <cell r="E31">
            <v>26.8</v>
          </cell>
          <cell r="F31">
            <v>29.1</v>
          </cell>
          <cell r="G31">
            <v>28.1</v>
          </cell>
          <cell r="H31">
            <v>28.6</v>
          </cell>
          <cell r="I31">
            <v>28.7</v>
          </cell>
          <cell r="J31">
            <v>28.1</v>
          </cell>
          <cell r="K31">
            <v>28.5</v>
          </cell>
          <cell r="L31">
            <v>29</v>
          </cell>
          <cell r="M31">
            <v>27.3</v>
          </cell>
          <cell r="N31">
            <v>27.8</v>
          </cell>
          <cell r="O31">
            <v>29.7</v>
          </cell>
        </row>
        <row r="32">
          <cell r="A32">
            <v>202</v>
          </cell>
          <cell r="B32">
            <v>1</v>
          </cell>
          <cell r="C32">
            <v>13.000999999999999</v>
          </cell>
          <cell r="D32">
            <v>36.6</v>
          </cell>
          <cell r="E32">
            <v>30.7</v>
          </cell>
          <cell r="F32">
            <v>37.700000000000003</v>
          </cell>
          <cell r="G32">
            <v>29.2</v>
          </cell>
          <cell r="H32">
            <v>38.299999999999997</v>
          </cell>
          <cell r="I32">
            <v>29.3</v>
          </cell>
          <cell r="J32">
            <v>38.5</v>
          </cell>
          <cell r="K32">
            <v>29.9</v>
          </cell>
          <cell r="L32">
            <v>38</v>
          </cell>
          <cell r="M32">
            <v>30.1</v>
          </cell>
          <cell r="N32">
            <v>37.5</v>
          </cell>
          <cell r="O32">
            <v>31.4</v>
          </cell>
        </row>
        <row r="33">
          <cell r="A33">
            <v>202</v>
          </cell>
          <cell r="B33">
            <v>2</v>
          </cell>
          <cell r="C33">
            <v>13.005000000000001</v>
          </cell>
          <cell r="D33">
            <v>28.2</v>
          </cell>
          <cell r="E33">
            <v>28</v>
          </cell>
          <cell r="F33">
            <v>27.3</v>
          </cell>
          <cell r="G33">
            <v>28.3</v>
          </cell>
          <cell r="H33">
            <v>26.7</v>
          </cell>
          <cell r="I33">
            <v>26.3</v>
          </cell>
          <cell r="J33">
            <v>27</v>
          </cell>
          <cell r="K33">
            <v>28.6</v>
          </cell>
          <cell r="L33">
            <v>28.2</v>
          </cell>
          <cell r="M33">
            <v>27.7</v>
          </cell>
          <cell r="N33">
            <v>26.1</v>
          </cell>
          <cell r="O33">
            <v>27.7</v>
          </cell>
        </row>
        <row r="34">
          <cell r="A34">
            <v>203</v>
          </cell>
          <cell r="B34">
            <v>1</v>
          </cell>
          <cell r="C34">
            <v>13.015000000000001</v>
          </cell>
          <cell r="D34">
            <v>41.7</v>
          </cell>
          <cell r="E34">
            <v>32.700000000000003</v>
          </cell>
          <cell r="F34">
            <v>38.799999999999997</v>
          </cell>
          <cell r="G34">
            <v>27.9</v>
          </cell>
          <cell r="H34">
            <v>36.799999999999997</v>
          </cell>
          <cell r="I34">
            <v>28.3</v>
          </cell>
          <cell r="J34">
            <v>41.1</v>
          </cell>
          <cell r="K34">
            <v>39.9</v>
          </cell>
          <cell r="L34">
            <v>41.1</v>
          </cell>
          <cell r="M34">
            <v>29</v>
          </cell>
          <cell r="N34">
            <v>38.9</v>
          </cell>
          <cell r="O34">
            <v>30.2</v>
          </cell>
        </row>
        <row r="35">
          <cell r="A35">
            <v>203</v>
          </cell>
          <cell r="B35">
            <v>2</v>
          </cell>
          <cell r="C35">
            <v>13.022</v>
          </cell>
          <cell r="D35">
            <v>28</v>
          </cell>
          <cell r="E35">
            <v>25.3</v>
          </cell>
          <cell r="F35">
            <v>26.1</v>
          </cell>
          <cell r="G35">
            <v>27.3</v>
          </cell>
          <cell r="H35">
            <v>27.1</v>
          </cell>
          <cell r="I35">
            <v>27.6</v>
          </cell>
          <cell r="J35">
            <v>27.7</v>
          </cell>
          <cell r="K35">
            <v>26.3</v>
          </cell>
          <cell r="L35">
            <v>25.8</v>
          </cell>
          <cell r="M35">
            <v>27.4</v>
          </cell>
          <cell r="N35">
            <v>27.2</v>
          </cell>
          <cell r="O35">
            <v>27.5</v>
          </cell>
        </row>
        <row r="36">
          <cell r="A36">
            <v>204</v>
          </cell>
          <cell r="B36">
            <v>1</v>
          </cell>
          <cell r="C36">
            <v>13.031000000000001</v>
          </cell>
          <cell r="D36">
            <v>28.5</v>
          </cell>
          <cell r="E36">
            <v>30.2</v>
          </cell>
          <cell r="F36">
            <v>32.700000000000003</v>
          </cell>
          <cell r="G36">
            <v>28.3</v>
          </cell>
          <cell r="H36">
            <v>36.799999999999997</v>
          </cell>
          <cell r="I36">
            <v>28.7</v>
          </cell>
          <cell r="J36">
            <v>36.4</v>
          </cell>
          <cell r="K36">
            <v>28</v>
          </cell>
          <cell r="L36">
            <v>37.700000000000003</v>
          </cell>
          <cell r="M36">
            <v>28.8</v>
          </cell>
          <cell r="N36">
            <v>37</v>
          </cell>
          <cell r="O36">
            <v>28.5</v>
          </cell>
        </row>
        <row r="37">
          <cell r="A37">
            <v>204</v>
          </cell>
          <cell r="B37">
            <v>2</v>
          </cell>
          <cell r="C37">
            <v>13.036</v>
          </cell>
          <cell r="D37">
            <v>28</v>
          </cell>
          <cell r="E37">
            <v>27.5</v>
          </cell>
          <cell r="F37">
            <v>27.1</v>
          </cell>
          <cell r="G37">
            <v>26.1</v>
          </cell>
          <cell r="H37">
            <v>28.2</v>
          </cell>
          <cell r="I37">
            <v>27.1</v>
          </cell>
          <cell r="J37">
            <v>27.5</v>
          </cell>
          <cell r="K37">
            <v>26.7</v>
          </cell>
          <cell r="L37">
            <v>28</v>
          </cell>
          <cell r="M37">
            <v>28.8</v>
          </cell>
          <cell r="N37">
            <v>27.1</v>
          </cell>
          <cell r="O37">
            <v>27.2</v>
          </cell>
        </row>
        <row r="38">
          <cell r="A38">
            <v>205</v>
          </cell>
          <cell r="B38">
            <v>1</v>
          </cell>
          <cell r="C38">
            <v>13.045999999999999</v>
          </cell>
          <cell r="D38">
            <v>36.5</v>
          </cell>
          <cell r="E38">
            <v>41.6</v>
          </cell>
          <cell r="F38">
            <v>39.4</v>
          </cell>
          <cell r="G38">
            <v>29.6</v>
          </cell>
          <cell r="H38">
            <v>39.4</v>
          </cell>
          <cell r="I38">
            <v>30.1</v>
          </cell>
          <cell r="J38">
            <v>38.5</v>
          </cell>
          <cell r="K38">
            <v>34.200000000000003</v>
          </cell>
          <cell r="L38">
            <v>38.700000000000003</v>
          </cell>
          <cell r="M38">
            <v>29.6</v>
          </cell>
          <cell r="N38">
            <v>37.1</v>
          </cell>
          <cell r="O38">
            <v>32</v>
          </cell>
        </row>
        <row r="39">
          <cell r="A39">
            <v>205</v>
          </cell>
          <cell r="B39">
            <v>2</v>
          </cell>
          <cell r="C39">
            <v>13.05</v>
          </cell>
          <cell r="D39">
            <v>27</v>
          </cell>
          <cell r="E39">
            <v>27.1</v>
          </cell>
          <cell r="F39">
            <v>28.2</v>
          </cell>
          <cell r="G39">
            <v>27.5</v>
          </cell>
          <cell r="H39">
            <v>29.2</v>
          </cell>
          <cell r="I39">
            <v>29.4</v>
          </cell>
          <cell r="J39">
            <v>28.4</v>
          </cell>
          <cell r="K39">
            <v>28.8</v>
          </cell>
          <cell r="L39">
            <v>28.8</v>
          </cell>
          <cell r="M39">
            <v>28.1</v>
          </cell>
          <cell r="N39">
            <v>29.2</v>
          </cell>
          <cell r="O39">
            <v>30.4</v>
          </cell>
        </row>
        <row r="40">
          <cell r="A40">
            <v>206</v>
          </cell>
          <cell r="B40">
            <v>1</v>
          </cell>
          <cell r="C40">
            <v>13.06</v>
          </cell>
          <cell r="D40">
            <v>50.3</v>
          </cell>
          <cell r="E40">
            <v>44.1</v>
          </cell>
          <cell r="F40">
            <v>55</v>
          </cell>
          <cell r="G40">
            <v>40</v>
          </cell>
          <cell r="H40">
            <v>59.7</v>
          </cell>
          <cell r="I40">
            <v>36.9</v>
          </cell>
          <cell r="J40">
            <v>60.2</v>
          </cell>
          <cell r="K40">
            <v>37.4</v>
          </cell>
          <cell r="L40">
            <v>57.8</v>
          </cell>
          <cell r="M40">
            <v>34.6</v>
          </cell>
          <cell r="N40">
            <v>59.4</v>
          </cell>
          <cell r="O40">
            <v>54.7</v>
          </cell>
        </row>
        <row r="41">
          <cell r="A41">
            <v>206</v>
          </cell>
          <cell r="B41">
            <v>2</v>
          </cell>
          <cell r="C41">
            <v>13.065</v>
          </cell>
          <cell r="D41">
            <v>27.8</v>
          </cell>
          <cell r="E41">
            <v>29.1</v>
          </cell>
          <cell r="F41">
            <v>29.7</v>
          </cell>
          <cell r="G41">
            <v>29.8</v>
          </cell>
          <cell r="H41">
            <v>31.3</v>
          </cell>
          <cell r="I41">
            <v>29.4</v>
          </cell>
          <cell r="J41">
            <v>29.9</v>
          </cell>
          <cell r="K41">
            <v>30.2</v>
          </cell>
          <cell r="L41">
            <v>31.1</v>
          </cell>
          <cell r="M41">
            <v>30</v>
          </cell>
          <cell r="N41">
            <v>30</v>
          </cell>
          <cell r="O41">
            <v>28.4</v>
          </cell>
        </row>
        <row r="42">
          <cell r="A42">
            <v>207</v>
          </cell>
          <cell r="B42">
            <v>1</v>
          </cell>
          <cell r="C42">
            <v>13.074</v>
          </cell>
          <cell r="D42">
            <v>37.200000000000003</v>
          </cell>
          <cell r="E42">
            <v>31.6</v>
          </cell>
          <cell r="F42">
            <v>40.299999999999997</v>
          </cell>
          <cell r="G42">
            <v>27.9</v>
          </cell>
          <cell r="H42">
            <v>39</v>
          </cell>
          <cell r="I42">
            <v>28.1</v>
          </cell>
          <cell r="J42">
            <v>38.700000000000003</v>
          </cell>
          <cell r="K42">
            <v>29.2</v>
          </cell>
          <cell r="L42">
            <v>38.9</v>
          </cell>
          <cell r="M42">
            <v>30.1</v>
          </cell>
          <cell r="N42">
            <v>37.700000000000003</v>
          </cell>
          <cell r="O42">
            <v>28.7</v>
          </cell>
        </row>
        <row r="43">
          <cell r="A43">
            <v>207</v>
          </cell>
          <cell r="B43">
            <v>2</v>
          </cell>
          <cell r="C43">
            <v>13.08</v>
          </cell>
          <cell r="D43">
            <v>28.9</v>
          </cell>
          <cell r="E43">
            <v>30.7</v>
          </cell>
          <cell r="F43">
            <v>30.4</v>
          </cell>
          <cell r="G43">
            <v>30.2</v>
          </cell>
          <cell r="H43">
            <v>30.4</v>
          </cell>
          <cell r="I43">
            <v>29.4</v>
          </cell>
          <cell r="J43">
            <v>31.8</v>
          </cell>
          <cell r="K43">
            <v>27.4</v>
          </cell>
          <cell r="L43">
            <v>31.4</v>
          </cell>
          <cell r="M43">
            <v>29.5</v>
          </cell>
          <cell r="N43">
            <v>29.4</v>
          </cell>
          <cell r="O43">
            <v>29</v>
          </cell>
        </row>
        <row r="44">
          <cell r="A44">
            <v>208</v>
          </cell>
          <cell r="B44">
            <v>1</v>
          </cell>
          <cell r="C44">
            <v>13.087999999999999</v>
          </cell>
          <cell r="D44">
            <v>39.4</v>
          </cell>
          <cell r="E44">
            <v>38.9</v>
          </cell>
          <cell r="F44">
            <v>38.799999999999997</v>
          </cell>
          <cell r="G44">
            <v>33.5</v>
          </cell>
          <cell r="H44">
            <v>41.2</v>
          </cell>
          <cell r="I44">
            <v>34.200000000000003</v>
          </cell>
          <cell r="J44">
            <v>43.3</v>
          </cell>
          <cell r="K44">
            <v>32.700000000000003</v>
          </cell>
          <cell r="L44">
            <v>43.8</v>
          </cell>
          <cell r="M44">
            <v>33</v>
          </cell>
          <cell r="N44">
            <v>43.7</v>
          </cell>
          <cell r="O44">
            <v>36.299999999999997</v>
          </cell>
        </row>
        <row r="45">
          <cell r="A45">
            <v>208</v>
          </cell>
          <cell r="B45">
            <v>2</v>
          </cell>
          <cell r="C45">
            <v>13.093</v>
          </cell>
          <cell r="D45">
            <v>28.3</v>
          </cell>
          <cell r="E45">
            <v>28.6</v>
          </cell>
          <cell r="F45">
            <v>28.4</v>
          </cell>
          <cell r="G45">
            <v>28.1</v>
          </cell>
          <cell r="H45">
            <v>26.7</v>
          </cell>
          <cell r="I45">
            <v>27.1</v>
          </cell>
          <cell r="J45">
            <v>28.1</v>
          </cell>
          <cell r="K45">
            <v>26.8</v>
          </cell>
          <cell r="L45">
            <v>27.7</v>
          </cell>
          <cell r="M45">
            <v>26.6</v>
          </cell>
          <cell r="N45">
            <v>27.5</v>
          </cell>
          <cell r="O45">
            <v>27.3</v>
          </cell>
        </row>
        <row r="46">
          <cell r="A46">
            <v>908</v>
          </cell>
          <cell r="B46">
            <v>1</v>
          </cell>
          <cell r="C46">
            <v>13.109</v>
          </cell>
          <cell r="D46">
            <v>60.3</v>
          </cell>
          <cell r="E46">
            <v>41.7</v>
          </cell>
          <cell r="F46">
            <v>57.9</v>
          </cell>
          <cell r="G46">
            <v>36.9</v>
          </cell>
          <cell r="H46">
            <v>58.4</v>
          </cell>
          <cell r="I46">
            <v>37</v>
          </cell>
          <cell r="J46">
            <v>57.4</v>
          </cell>
          <cell r="K46">
            <v>36.700000000000003</v>
          </cell>
          <cell r="L46">
            <v>58.1</v>
          </cell>
          <cell r="M46">
            <v>38.1</v>
          </cell>
          <cell r="N46">
            <v>58.1</v>
          </cell>
          <cell r="O46">
            <v>42.3</v>
          </cell>
        </row>
        <row r="47">
          <cell r="A47">
            <v>908</v>
          </cell>
          <cell r="B47">
            <v>2</v>
          </cell>
          <cell r="C47">
            <v>13.114000000000001</v>
          </cell>
          <cell r="D47">
            <v>30.2</v>
          </cell>
          <cell r="E47">
            <v>28.6</v>
          </cell>
          <cell r="F47">
            <v>29.8</v>
          </cell>
          <cell r="G47">
            <v>29.5</v>
          </cell>
          <cell r="H47">
            <v>30.2</v>
          </cell>
          <cell r="I47">
            <v>31.6</v>
          </cell>
          <cell r="J47">
            <v>30.2</v>
          </cell>
          <cell r="K47">
            <v>29.8</v>
          </cell>
          <cell r="L47">
            <v>29.6</v>
          </cell>
          <cell r="M47">
            <v>30.1</v>
          </cell>
          <cell r="N47">
            <v>30.2</v>
          </cell>
          <cell r="O47">
            <v>31.3</v>
          </cell>
        </row>
        <row r="48">
          <cell r="A48">
            <v>907</v>
          </cell>
          <cell r="B48">
            <v>1</v>
          </cell>
          <cell r="C48">
            <v>13.122999999999999</v>
          </cell>
          <cell r="D48">
            <v>65.599999999999994</v>
          </cell>
          <cell r="E48">
            <v>67.099999999999994</v>
          </cell>
          <cell r="F48">
            <v>66.8</v>
          </cell>
          <cell r="G48">
            <v>67.099999999999994</v>
          </cell>
          <cell r="H48">
            <v>66.900000000000006</v>
          </cell>
          <cell r="I48">
            <v>67.2</v>
          </cell>
          <cell r="J48">
            <v>67.5</v>
          </cell>
          <cell r="K48">
            <v>66.099999999999994</v>
          </cell>
          <cell r="L48">
            <v>67</v>
          </cell>
          <cell r="M48">
            <v>67.7</v>
          </cell>
          <cell r="N48">
            <v>67.5</v>
          </cell>
          <cell r="O48">
            <v>67.099999999999994</v>
          </cell>
        </row>
        <row r="50">
          <cell r="A50">
            <v>906</v>
          </cell>
          <cell r="B50">
            <v>1</v>
          </cell>
          <cell r="C50">
            <v>13.129</v>
          </cell>
          <cell r="D50">
            <v>40.5</v>
          </cell>
          <cell r="E50">
            <v>31.8</v>
          </cell>
          <cell r="F50">
            <v>40.299999999999997</v>
          </cell>
          <cell r="G50">
            <v>30.8</v>
          </cell>
          <cell r="H50">
            <v>44.5</v>
          </cell>
          <cell r="I50">
            <v>34.700000000000003</v>
          </cell>
          <cell r="J50">
            <v>41.4</v>
          </cell>
          <cell r="K50">
            <v>34.799999999999997</v>
          </cell>
          <cell r="L50">
            <v>34</v>
          </cell>
          <cell r="M50">
            <v>36.4</v>
          </cell>
          <cell r="N50">
            <v>39</v>
          </cell>
          <cell r="O50">
            <v>30.3</v>
          </cell>
        </row>
        <row r="51">
          <cell r="A51">
            <v>906</v>
          </cell>
          <cell r="B51">
            <v>2</v>
          </cell>
          <cell r="C51">
            <v>13.134</v>
          </cell>
          <cell r="D51">
            <v>26.5</v>
          </cell>
          <cell r="E51">
            <v>29.5</v>
          </cell>
          <cell r="F51">
            <v>29.6</v>
          </cell>
          <cell r="G51">
            <v>28.8</v>
          </cell>
          <cell r="H51">
            <v>29.7</v>
          </cell>
          <cell r="I51">
            <v>28</v>
          </cell>
          <cell r="J51">
            <v>29.1</v>
          </cell>
          <cell r="K51">
            <v>28.1</v>
          </cell>
          <cell r="L51">
            <v>29.6</v>
          </cell>
          <cell r="M51">
            <v>29.8</v>
          </cell>
          <cell r="N51">
            <v>27.6</v>
          </cell>
          <cell r="O51">
            <v>29.8</v>
          </cell>
        </row>
        <row r="52">
          <cell r="A52">
            <v>905</v>
          </cell>
          <cell r="B52">
            <v>1</v>
          </cell>
          <cell r="C52">
            <v>13.143000000000001</v>
          </cell>
          <cell r="D52">
            <v>39</v>
          </cell>
          <cell r="E52">
            <v>39</v>
          </cell>
          <cell r="F52">
            <v>39.200000000000003</v>
          </cell>
          <cell r="G52">
            <v>39.299999999999997</v>
          </cell>
          <cell r="H52">
            <v>39.6</v>
          </cell>
          <cell r="I52">
            <v>39.299999999999997</v>
          </cell>
          <cell r="J52">
            <v>40</v>
          </cell>
          <cell r="K52">
            <v>40.1</v>
          </cell>
          <cell r="L52">
            <v>41.3</v>
          </cell>
          <cell r="M52">
            <v>39.6</v>
          </cell>
          <cell r="N52">
            <v>39.6</v>
          </cell>
          <cell r="O52">
            <v>39.200000000000003</v>
          </cell>
        </row>
        <row r="54">
          <cell r="A54">
            <v>904</v>
          </cell>
          <cell r="B54">
            <v>1</v>
          </cell>
          <cell r="C54">
            <v>13.148999999999999</v>
          </cell>
          <cell r="D54">
            <v>59.4</v>
          </cell>
          <cell r="E54">
            <v>39.799999999999997</v>
          </cell>
          <cell r="F54">
            <v>56.4</v>
          </cell>
          <cell r="G54">
            <v>36.6</v>
          </cell>
          <cell r="H54">
            <v>58.9</v>
          </cell>
          <cell r="I54">
            <v>35.200000000000003</v>
          </cell>
          <cell r="J54">
            <v>63</v>
          </cell>
          <cell r="K54">
            <v>38.1</v>
          </cell>
          <cell r="L54">
            <v>58.3</v>
          </cell>
          <cell r="M54">
            <v>37.799999999999997</v>
          </cell>
          <cell r="N54">
            <v>60.2</v>
          </cell>
          <cell r="O54">
            <v>50.3</v>
          </cell>
        </row>
        <row r="55">
          <cell r="A55">
            <v>904</v>
          </cell>
          <cell r="B55">
            <v>2</v>
          </cell>
          <cell r="C55">
            <v>13.154</v>
          </cell>
          <cell r="D55">
            <v>31.1</v>
          </cell>
          <cell r="E55">
            <v>33.200000000000003</v>
          </cell>
          <cell r="F55">
            <v>32.700000000000003</v>
          </cell>
          <cell r="G55">
            <v>32</v>
          </cell>
          <cell r="H55">
            <v>31.7</v>
          </cell>
          <cell r="I55">
            <v>30</v>
          </cell>
          <cell r="J55">
            <v>32.799999999999997</v>
          </cell>
          <cell r="K55">
            <v>29.5</v>
          </cell>
          <cell r="L55">
            <v>32.299999999999997</v>
          </cell>
          <cell r="M55">
            <v>32.4</v>
          </cell>
          <cell r="N55">
            <v>30.8</v>
          </cell>
          <cell r="O55">
            <v>29.7</v>
          </cell>
        </row>
        <row r="56">
          <cell r="A56">
            <v>903</v>
          </cell>
          <cell r="B56">
            <v>1</v>
          </cell>
          <cell r="C56">
            <v>13.163</v>
          </cell>
          <cell r="D56">
            <v>68.2</v>
          </cell>
          <cell r="E56">
            <v>68.3</v>
          </cell>
          <cell r="F56">
            <v>68.099999999999994</v>
          </cell>
          <cell r="G56">
            <v>68.099999999999994</v>
          </cell>
          <cell r="H56">
            <v>67.8</v>
          </cell>
          <cell r="I56">
            <v>67.8</v>
          </cell>
          <cell r="J56">
            <v>67.7</v>
          </cell>
          <cell r="K56">
            <v>67.7</v>
          </cell>
          <cell r="L56">
            <v>67.400000000000006</v>
          </cell>
          <cell r="M56">
            <v>67.099999999999994</v>
          </cell>
          <cell r="N56">
            <v>67</v>
          </cell>
          <cell r="O56">
            <v>67.599999999999994</v>
          </cell>
        </row>
        <row r="58">
          <cell r="A58">
            <v>902</v>
          </cell>
          <cell r="B58">
            <v>1</v>
          </cell>
          <cell r="C58">
            <v>13.169</v>
          </cell>
          <cell r="D58">
            <v>42.1</v>
          </cell>
          <cell r="E58">
            <v>31.9</v>
          </cell>
          <cell r="F58">
            <v>41.7</v>
          </cell>
          <cell r="G58">
            <v>31</v>
          </cell>
          <cell r="H58">
            <v>40.700000000000003</v>
          </cell>
          <cell r="I58">
            <v>30.7</v>
          </cell>
          <cell r="J58">
            <v>43.9</v>
          </cell>
          <cell r="K58">
            <v>31.7</v>
          </cell>
          <cell r="L58">
            <v>39.200000000000003</v>
          </cell>
          <cell r="M58">
            <v>32</v>
          </cell>
          <cell r="N58">
            <v>40.5</v>
          </cell>
          <cell r="O58">
            <v>32.799999999999997</v>
          </cell>
        </row>
        <row r="59">
          <cell r="A59">
            <v>902</v>
          </cell>
          <cell r="B59">
            <v>2</v>
          </cell>
          <cell r="C59">
            <v>13.173999999999999</v>
          </cell>
          <cell r="D59">
            <v>30.2</v>
          </cell>
          <cell r="E59">
            <v>29.4</v>
          </cell>
          <cell r="F59">
            <v>29.1</v>
          </cell>
          <cell r="G59">
            <v>29</v>
          </cell>
          <cell r="H59">
            <v>29.3</v>
          </cell>
          <cell r="I59">
            <v>27.4</v>
          </cell>
          <cell r="J59">
            <v>29</v>
          </cell>
          <cell r="K59">
            <v>29.2</v>
          </cell>
          <cell r="L59">
            <v>29.1</v>
          </cell>
          <cell r="M59">
            <v>28.6</v>
          </cell>
          <cell r="N59">
            <v>28.1</v>
          </cell>
          <cell r="O59">
            <v>28</v>
          </cell>
        </row>
        <row r="60">
          <cell r="A60">
            <v>901</v>
          </cell>
          <cell r="B60">
            <v>1</v>
          </cell>
          <cell r="C60">
            <v>13.182</v>
          </cell>
          <cell r="D60">
            <v>39</v>
          </cell>
          <cell r="E60">
            <v>38.9</v>
          </cell>
          <cell r="F60">
            <v>38.799999999999997</v>
          </cell>
          <cell r="G60">
            <v>39.299999999999997</v>
          </cell>
          <cell r="H60">
            <v>39.299999999999997</v>
          </cell>
          <cell r="I60">
            <v>39.299999999999997</v>
          </cell>
          <cell r="J60">
            <v>39.200000000000003</v>
          </cell>
          <cell r="K60">
            <v>38.700000000000003</v>
          </cell>
          <cell r="L60">
            <v>38.9</v>
          </cell>
          <cell r="M60">
            <v>39.1</v>
          </cell>
          <cell r="N60">
            <v>39.1</v>
          </cell>
          <cell r="O60">
            <v>39.200000000000003</v>
          </cell>
        </row>
        <row r="62">
          <cell r="A62">
            <v>301</v>
          </cell>
          <cell r="B62">
            <v>1</v>
          </cell>
          <cell r="C62">
            <v>13.192</v>
          </cell>
          <cell r="D62">
            <v>38.5</v>
          </cell>
          <cell r="E62">
            <v>32.6</v>
          </cell>
          <cell r="F62">
            <v>38.700000000000003</v>
          </cell>
          <cell r="G62">
            <v>30.6</v>
          </cell>
          <cell r="H62">
            <v>39.200000000000003</v>
          </cell>
          <cell r="I62">
            <v>29.5</v>
          </cell>
          <cell r="J62">
            <v>41</v>
          </cell>
          <cell r="K62">
            <v>29.6</v>
          </cell>
          <cell r="L62">
            <v>40.799999999999997</v>
          </cell>
          <cell r="M62">
            <v>30.2</v>
          </cell>
          <cell r="N62">
            <v>41.1</v>
          </cell>
          <cell r="O62">
            <v>31</v>
          </cell>
        </row>
        <row r="63">
          <cell r="A63">
            <v>301</v>
          </cell>
          <cell r="B63">
            <v>2</v>
          </cell>
          <cell r="C63">
            <v>13.196999999999999</v>
          </cell>
          <cell r="D63">
            <v>28.8</v>
          </cell>
          <cell r="E63">
            <v>29.5</v>
          </cell>
          <cell r="F63">
            <v>30.9</v>
          </cell>
          <cell r="G63">
            <v>29.2</v>
          </cell>
          <cell r="H63">
            <v>27.9</v>
          </cell>
          <cell r="I63">
            <v>26.3</v>
          </cell>
          <cell r="J63">
            <v>29.2</v>
          </cell>
          <cell r="K63">
            <v>28</v>
          </cell>
          <cell r="L63">
            <v>27.1</v>
          </cell>
          <cell r="M63">
            <v>29.3</v>
          </cell>
          <cell r="N63">
            <v>28.3</v>
          </cell>
          <cell r="O63">
            <v>31.2</v>
          </cell>
        </row>
        <row r="64">
          <cell r="A64">
            <v>302</v>
          </cell>
          <cell r="B64">
            <v>1</v>
          </cell>
          <cell r="C64">
            <v>13.205</v>
          </cell>
          <cell r="D64">
            <v>34.700000000000003</v>
          </cell>
          <cell r="E64">
            <v>33</v>
          </cell>
          <cell r="F64">
            <v>36.1</v>
          </cell>
          <cell r="G64">
            <v>28.8</v>
          </cell>
          <cell r="H64">
            <v>37.9</v>
          </cell>
          <cell r="I64">
            <v>28.7</v>
          </cell>
          <cell r="J64">
            <v>39.200000000000003</v>
          </cell>
          <cell r="K64">
            <v>28.3</v>
          </cell>
          <cell r="L64">
            <v>38.799999999999997</v>
          </cell>
          <cell r="M64">
            <v>28.9</v>
          </cell>
          <cell r="N64">
            <v>38.700000000000003</v>
          </cell>
          <cell r="O64">
            <v>33</v>
          </cell>
        </row>
        <row r="65">
          <cell r="A65">
            <v>302</v>
          </cell>
          <cell r="B65">
            <v>2</v>
          </cell>
          <cell r="C65">
            <v>13.21</v>
          </cell>
          <cell r="D65">
            <v>28.5</v>
          </cell>
          <cell r="E65">
            <v>28.9</v>
          </cell>
          <cell r="F65">
            <v>28.2</v>
          </cell>
          <cell r="G65">
            <v>27.6</v>
          </cell>
          <cell r="H65">
            <v>29.1</v>
          </cell>
          <cell r="I65">
            <v>27.5</v>
          </cell>
          <cell r="J65">
            <v>29.2</v>
          </cell>
          <cell r="K65">
            <v>29.8</v>
          </cell>
          <cell r="L65">
            <v>28.7</v>
          </cell>
          <cell r="M65">
            <v>27.8</v>
          </cell>
          <cell r="N65">
            <v>28.8</v>
          </cell>
          <cell r="O65">
            <v>30.3</v>
          </cell>
        </row>
        <row r="66">
          <cell r="A66">
            <v>303</v>
          </cell>
          <cell r="B66">
            <v>1</v>
          </cell>
          <cell r="C66">
            <v>13.218</v>
          </cell>
          <cell r="D66">
            <v>50.9</v>
          </cell>
          <cell r="E66">
            <v>42.9</v>
          </cell>
          <cell r="F66">
            <v>58.9</v>
          </cell>
          <cell r="G66">
            <v>41.6</v>
          </cell>
          <cell r="H66">
            <v>58.8</v>
          </cell>
          <cell r="I66">
            <v>34</v>
          </cell>
          <cell r="J66">
            <v>61.4</v>
          </cell>
          <cell r="K66">
            <v>35.200000000000003</v>
          </cell>
          <cell r="L66">
            <v>57.7</v>
          </cell>
          <cell r="M66">
            <v>36.200000000000003</v>
          </cell>
          <cell r="N66">
            <v>59.1</v>
          </cell>
          <cell r="O66">
            <v>46.7</v>
          </cell>
        </row>
        <row r="67">
          <cell r="A67">
            <v>303</v>
          </cell>
          <cell r="B67">
            <v>2</v>
          </cell>
          <cell r="C67">
            <v>13.223000000000001</v>
          </cell>
          <cell r="D67">
            <v>30.9</v>
          </cell>
          <cell r="E67">
            <v>29.5</v>
          </cell>
          <cell r="F67">
            <v>31.5</v>
          </cell>
          <cell r="G67">
            <v>31</v>
          </cell>
          <cell r="H67">
            <v>31.2</v>
          </cell>
          <cell r="I67">
            <v>30.8</v>
          </cell>
          <cell r="J67">
            <v>30.6</v>
          </cell>
          <cell r="K67">
            <v>30.5</v>
          </cell>
          <cell r="L67">
            <v>31.2</v>
          </cell>
          <cell r="M67">
            <v>32.5</v>
          </cell>
          <cell r="N67">
            <v>31.3</v>
          </cell>
          <cell r="O67">
            <v>31.9</v>
          </cell>
        </row>
        <row r="68">
          <cell r="A68">
            <v>304</v>
          </cell>
          <cell r="B68">
            <v>1</v>
          </cell>
          <cell r="C68">
            <v>13.233000000000001</v>
          </cell>
          <cell r="D68">
            <v>38.5</v>
          </cell>
          <cell r="E68">
            <v>33.299999999999997</v>
          </cell>
          <cell r="F68">
            <v>40.4</v>
          </cell>
          <cell r="G68">
            <v>31.1</v>
          </cell>
          <cell r="H68">
            <v>38.9</v>
          </cell>
          <cell r="I68">
            <v>32.700000000000003</v>
          </cell>
          <cell r="J68">
            <v>39.1</v>
          </cell>
          <cell r="K68">
            <v>29.9</v>
          </cell>
          <cell r="L68">
            <v>38.299999999999997</v>
          </cell>
          <cell r="M68">
            <v>30.7</v>
          </cell>
          <cell r="N68">
            <v>39.299999999999997</v>
          </cell>
          <cell r="O68">
            <v>34.200000000000003</v>
          </cell>
        </row>
        <row r="69">
          <cell r="A69">
            <v>304</v>
          </cell>
          <cell r="B69">
            <v>2</v>
          </cell>
          <cell r="C69">
            <v>13.237</v>
          </cell>
          <cell r="D69">
            <v>27.8</v>
          </cell>
          <cell r="E69">
            <v>27.8</v>
          </cell>
          <cell r="F69">
            <v>28.1</v>
          </cell>
          <cell r="G69">
            <v>27.6</v>
          </cell>
          <cell r="H69">
            <v>27.6</v>
          </cell>
          <cell r="I69">
            <v>27.1</v>
          </cell>
          <cell r="J69">
            <v>28.6</v>
          </cell>
          <cell r="K69">
            <v>28.7</v>
          </cell>
          <cell r="L69">
            <v>28.2</v>
          </cell>
          <cell r="M69">
            <v>28.7</v>
          </cell>
          <cell r="N69">
            <v>28.2</v>
          </cell>
          <cell r="O69">
            <v>28.6</v>
          </cell>
        </row>
        <row r="70">
          <cell r="A70">
            <v>305</v>
          </cell>
          <cell r="B70">
            <v>1</v>
          </cell>
          <cell r="C70">
            <v>13.247999999999999</v>
          </cell>
          <cell r="D70">
            <v>34.799999999999997</v>
          </cell>
          <cell r="E70">
            <v>29.9</v>
          </cell>
          <cell r="F70">
            <v>35.5</v>
          </cell>
          <cell r="G70">
            <v>29.7</v>
          </cell>
          <cell r="H70">
            <v>36.9</v>
          </cell>
          <cell r="I70">
            <v>29.7</v>
          </cell>
          <cell r="J70">
            <v>38.5</v>
          </cell>
          <cell r="K70">
            <v>28.1</v>
          </cell>
          <cell r="L70">
            <v>37.299999999999997</v>
          </cell>
          <cell r="M70">
            <v>28.4</v>
          </cell>
          <cell r="N70">
            <v>36.299999999999997</v>
          </cell>
          <cell r="O70">
            <v>29.2</v>
          </cell>
        </row>
        <row r="71">
          <cell r="A71">
            <v>305</v>
          </cell>
          <cell r="B71">
            <v>2</v>
          </cell>
          <cell r="C71">
            <v>13.252000000000001</v>
          </cell>
          <cell r="D71">
            <v>28.3</v>
          </cell>
          <cell r="E71">
            <v>28.5</v>
          </cell>
          <cell r="F71">
            <v>28.7</v>
          </cell>
          <cell r="G71">
            <v>27</v>
          </cell>
          <cell r="H71">
            <v>27.6</v>
          </cell>
          <cell r="I71">
            <v>27.6</v>
          </cell>
          <cell r="J71">
            <v>28</v>
          </cell>
          <cell r="K71">
            <v>26.4</v>
          </cell>
          <cell r="L71">
            <v>27.7</v>
          </cell>
          <cell r="M71">
            <v>28.3</v>
          </cell>
          <cell r="N71">
            <v>26.4</v>
          </cell>
          <cell r="O71">
            <v>27.9</v>
          </cell>
        </row>
        <row r="72">
          <cell r="A72">
            <v>306</v>
          </cell>
          <cell r="B72">
            <v>1</v>
          </cell>
          <cell r="C72">
            <v>13.260999999999999</v>
          </cell>
          <cell r="D72">
            <v>34.299999999999997</v>
          </cell>
          <cell r="E72">
            <v>32.4</v>
          </cell>
          <cell r="F72">
            <v>37.4</v>
          </cell>
          <cell r="G72">
            <v>29.5</v>
          </cell>
          <cell r="H72">
            <v>40.9</v>
          </cell>
          <cell r="I72">
            <v>30.4</v>
          </cell>
          <cell r="J72">
            <v>39.9</v>
          </cell>
          <cell r="K72">
            <v>29.4</v>
          </cell>
          <cell r="L72">
            <v>39.799999999999997</v>
          </cell>
          <cell r="M72">
            <v>29.7</v>
          </cell>
          <cell r="N72">
            <v>39.5</v>
          </cell>
          <cell r="O72">
            <v>32</v>
          </cell>
        </row>
        <row r="73">
          <cell r="A73">
            <v>306</v>
          </cell>
          <cell r="B73">
            <v>2</v>
          </cell>
          <cell r="C73">
            <v>13.266</v>
          </cell>
          <cell r="D73">
            <v>30.5</v>
          </cell>
          <cell r="E73">
            <v>31</v>
          </cell>
          <cell r="F73">
            <v>28.4</v>
          </cell>
          <cell r="G73">
            <v>29.6</v>
          </cell>
          <cell r="H73">
            <v>30.1</v>
          </cell>
          <cell r="I73">
            <v>31.1</v>
          </cell>
          <cell r="J73">
            <v>30</v>
          </cell>
          <cell r="K73">
            <v>29.7</v>
          </cell>
          <cell r="L73">
            <v>29.8</v>
          </cell>
          <cell r="M73">
            <v>32.200000000000003</v>
          </cell>
          <cell r="N73">
            <v>29.4</v>
          </cell>
          <cell r="O73">
            <v>29.2</v>
          </cell>
        </row>
        <row r="74">
          <cell r="A74">
            <v>307</v>
          </cell>
          <cell r="B74">
            <v>1</v>
          </cell>
          <cell r="C74">
            <v>13.275</v>
          </cell>
          <cell r="D74">
            <v>37.299999999999997</v>
          </cell>
          <cell r="E74">
            <v>34.4</v>
          </cell>
          <cell r="F74">
            <v>38.4</v>
          </cell>
          <cell r="G74">
            <v>30.7</v>
          </cell>
          <cell r="H74">
            <v>38.299999999999997</v>
          </cell>
          <cell r="I74">
            <v>30.2</v>
          </cell>
          <cell r="J74">
            <v>39.5</v>
          </cell>
          <cell r="K74">
            <v>30.1</v>
          </cell>
          <cell r="L74">
            <v>39.299999999999997</v>
          </cell>
          <cell r="M74">
            <v>30.4</v>
          </cell>
          <cell r="N74">
            <v>38.299999999999997</v>
          </cell>
          <cell r="O74">
            <v>30.6</v>
          </cell>
        </row>
        <row r="75">
          <cell r="A75">
            <v>307</v>
          </cell>
          <cell r="B75">
            <v>2</v>
          </cell>
          <cell r="C75">
            <v>13.281000000000001</v>
          </cell>
          <cell r="D75">
            <v>30.1</v>
          </cell>
          <cell r="E75">
            <v>29.8</v>
          </cell>
          <cell r="F75">
            <v>30.7</v>
          </cell>
          <cell r="G75">
            <v>27.9</v>
          </cell>
          <cell r="H75">
            <v>31.6</v>
          </cell>
          <cell r="I75">
            <v>31</v>
          </cell>
          <cell r="J75">
            <v>31.5</v>
          </cell>
          <cell r="K75">
            <v>29.1</v>
          </cell>
          <cell r="L75">
            <v>29.3</v>
          </cell>
          <cell r="M75">
            <v>31.8</v>
          </cell>
          <cell r="N75">
            <v>31.1</v>
          </cell>
          <cell r="O75">
            <v>31.6</v>
          </cell>
        </row>
        <row r="76">
          <cell r="A76">
            <v>308</v>
          </cell>
          <cell r="B76">
            <v>1</v>
          </cell>
          <cell r="C76">
            <v>13.29</v>
          </cell>
          <cell r="D76">
            <v>38.700000000000003</v>
          </cell>
          <cell r="E76">
            <v>34.799999999999997</v>
          </cell>
          <cell r="F76">
            <v>34</v>
          </cell>
          <cell r="G76">
            <v>30.4</v>
          </cell>
          <cell r="H76">
            <v>42.9</v>
          </cell>
          <cell r="I76">
            <v>30.4</v>
          </cell>
          <cell r="J76">
            <v>42.4</v>
          </cell>
          <cell r="K76">
            <v>30.3</v>
          </cell>
          <cell r="L76">
            <v>43.7</v>
          </cell>
          <cell r="M76">
            <v>29.5</v>
          </cell>
          <cell r="N76">
            <v>38.799999999999997</v>
          </cell>
          <cell r="O76">
            <v>29.8</v>
          </cell>
        </row>
        <row r="77">
          <cell r="A77">
            <v>308</v>
          </cell>
          <cell r="B77">
            <v>2</v>
          </cell>
          <cell r="C77">
            <v>13.298</v>
          </cell>
          <cell r="D77">
            <v>26.7</v>
          </cell>
          <cell r="E77">
            <v>27.2</v>
          </cell>
          <cell r="F77">
            <v>26.9</v>
          </cell>
          <cell r="G77">
            <v>29.2</v>
          </cell>
          <cell r="H77">
            <v>28.9</v>
          </cell>
          <cell r="I77">
            <v>27.7</v>
          </cell>
          <cell r="J77">
            <v>28.6</v>
          </cell>
          <cell r="K77">
            <v>29.2</v>
          </cell>
          <cell r="L77">
            <v>28.4</v>
          </cell>
          <cell r="M77">
            <v>29.4</v>
          </cell>
          <cell r="N77">
            <v>30</v>
          </cell>
          <cell r="O77">
            <v>28.8</v>
          </cell>
        </row>
        <row r="78">
          <cell r="A78">
            <v>408</v>
          </cell>
          <cell r="B78">
            <v>1</v>
          </cell>
          <cell r="C78">
            <v>13.318</v>
          </cell>
          <cell r="D78">
            <v>62.5</v>
          </cell>
          <cell r="E78">
            <v>46.2</v>
          </cell>
          <cell r="F78">
            <v>51.1</v>
          </cell>
          <cell r="G78">
            <v>48</v>
          </cell>
          <cell r="H78">
            <v>52.6</v>
          </cell>
          <cell r="I78">
            <v>46.7</v>
          </cell>
          <cell r="J78">
            <v>54.9</v>
          </cell>
          <cell r="K78">
            <v>44.6</v>
          </cell>
          <cell r="L78">
            <v>53.8</v>
          </cell>
          <cell r="M78">
            <v>45.5</v>
          </cell>
          <cell r="N78">
            <v>57.1</v>
          </cell>
          <cell r="O78">
            <v>40.4</v>
          </cell>
        </row>
        <row r="79">
          <cell r="A79">
            <v>408</v>
          </cell>
          <cell r="B79">
            <v>2</v>
          </cell>
          <cell r="C79">
            <v>13.323</v>
          </cell>
          <cell r="D79">
            <v>30.2</v>
          </cell>
          <cell r="E79">
            <v>29.8</v>
          </cell>
          <cell r="F79">
            <v>32.299999999999997</v>
          </cell>
          <cell r="G79">
            <v>32.200000000000003</v>
          </cell>
          <cell r="H79">
            <v>31.1</v>
          </cell>
          <cell r="I79">
            <v>32.299999999999997</v>
          </cell>
          <cell r="J79">
            <v>32.700000000000003</v>
          </cell>
          <cell r="K79">
            <v>32</v>
          </cell>
          <cell r="L79">
            <v>30.6</v>
          </cell>
          <cell r="M79">
            <v>30.3</v>
          </cell>
          <cell r="N79">
            <v>33.299999999999997</v>
          </cell>
          <cell r="O79">
            <v>30.4</v>
          </cell>
        </row>
        <row r="80">
          <cell r="A80">
            <v>407</v>
          </cell>
          <cell r="B80">
            <v>1</v>
          </cell>
          <cell r="C80">
            <v>13.333</v>
          </cell>
          <cell r="D80">
            <v>59.3</v>
          </cell>
          <cell r="E80">
            <v>43.4</v>
          </cell>
          <cell r="F80">
            <v>58.7</v>
          </cell>
          <cell r="G80">
            <v>36.1</v>
          </cell>
          <cell r="H80">
            <v>58.6</v>
          </cell>
          <cell r="I80">
            <v>43.3</v>
          </cell>
          <cell r="J80">
            <v>59.4</v>
          </cell>
          <cell r="K80">
            <v>40.4</v>
          </cell>
          <cell r="L80">
            <v>54.7</v>
          </cell>
          <cell r="M80">
            <v>36.799999999999997</v>
          </cell>
          <cell r="N80">
            <v>57.8</v>
          </cell>
          <cell r="O80">
            <v>46.2</v>
          </cell>
        </row>
        <row r="81">
          <cell r="A81">
            <v>407</v>
          </cell>
          <cell r="B81">
            <v>2</v>
          </cell>
          <cell r="C81">
            <v>13.337999999999999</v>
          </cell>
          <cell r="D81">
            <v>29.6</v>
          </cell>
          <cell r="E81">
            <v>27.1</v>
          </cell>
          <cell r="F81">
            <v>28.8</v>
          </cell>
          <cell r="G81">
            <v>28</v>
          </cell>
          <cell r="H81">
            <v>30.1</v>
          </cell>
          <cell r="I81">
            <v>29.2</v>
          </cell>
          <cell r="J81">
            <v>30.7</v>
          </cell>
          <cell r="K81">
            <v>29.1</v>
          </cell>
          <cell r="L81">
            <v>29.8</v>
          </cell>
          <cell r="M81">
            <v>29.8</v>
          </cell>
          <cell r="N81">
            <v>28.9</v>
          </cell>
          <cell r="O81">
            <v>29</v>
          </cell>
        </row>
        <row r="82">
          <cell r="A82">
            <v>406</v>
          </cell>
          <cell r="B82">
            <v>1</v>
          </cell>
          <cell r="C82">
            <v>13.353</v>
          </cell>
          <cell r="D82">
            <v>41.8</v>
          </cell>
          <cell r="E82">
            <v>33.799999999999997</v>
          </cell>
          <cell r="F82">
            <v>37.6</v>
          </cell>
          <cell r="G82">
            <v>29.8</v>
          </cell>
          <cell r="H82">
            <v>34.5</v>
          </cell>
          <cell r="I82">
            <v>30.6</v>
          </cell>
          <cell r="J82">
            <v>35.6</v>
          </cell>
          <cell r="K82">
            <v>32.6</v>
          </cell>
          <cell r="L82">
            <v>37.6</v>
          </cell>
          <cell r="M82">
            <v>31.9</v>
          </cell>
          <cell r="N82">
            <v>37.299999999999997</v>
          </cell>
          <cell r="O82">
            <v>31.4</v>
          </cell>
        </row>
        <row r="83">
          <cell r="A83">
            <v>406</v>
          </cell>
          <cell r="B83">
            <v>2</v>
          </cell>
          <cell r="C83">
            <v>13.36</v>
          </cell>
          <cell r="D83">
            <v>28</v>
          </cell>
          <cell r="E83">
            <v>29</v>
          </cell>
          <cell r="F83">
            <v>28.6</v>
          </cell>
          <cell r="G83">
            <v>27.3</v>
          </cell>
          <cell r="H83">
            <v>27.4</v>
          </cell>
          <cell r="I83">
            <v>28.2</v>
          </cell>
          <cell r="J83">
            <v>29.3</v>
          </cell>
          <cell r="K83">
            <v>29.3</v>
          </cell>
          <cell r="L83">
            <v>28.1</v>
          </cell>
          <cell r="M83">
            <v>29.7</v>
          </cell>
          <cell r="N83">
            <v>39.6</v>
          </cell>
          <cell r="O83">
            <v>39.4</v>
          </cell>
        </row>
        <row r="84">
          <cell r="A84">
            <v>405</v>
          </cell>
          <cell r="B84">
            <v>1</v>
          </cell>
          <cell r="C84">
            <v>13.375999999999999</v>
          </cell>
          <cell r="D84">
            <v>35</v>
          </cell>
          <cell r="E84">
            <v>32</v>
          </cell>
          <cell r="F84">
            <v>35</v>
          </cell>
          <cell r="G84">
            <v>29.9</v>
          </cell>
          <cell r="H84">
            <v>37.299999999999997</v>
          </cell>
          <cell r="I84">
            <v>29.2</v>
          </cell>
          <cell r="J84">
            <v>39.700000000000003</v>
          </cell>
          <cell r="K84">
            <v>29.2</v>
          </cell>
          <cell r="L84">
            <v>39.299999999999997</v>
          </cell>
          <cell r="M84">
            <v>30.5</v>
          </cell>
          <cell r="N84">
            <v>38.200000000000003</v>
          </cell>
          <cell r="O84">
            <v>31</v>
          </cell>
        </row>
        <row r="85">
          <cell r="A85">
            <v>405</v>
          </cell>
          <cell r="B85">
            <v>2</v>
          </cell>
          <cell r="C85">
            <v>13.382</v>
          </cell>
          <cell r="D85">
            <v>29</v>
          </cell>
          <cell r="E85">
            <v>31.1</v>
          </cell>
          <cell r="F85">
            <v>30.3</v>
          </cell>
          <cell r="G85">
            <v>32.299999999999997</v>
          </cell>
          <cell r="H85">
            <v>31</v>
          </cell>
          <cell r="I85">
            <v>27.8</v>
          </cell>
          <cell r="J85">
            <v>30.5</v>
          </cell>
          <cell r="K85">
            <v>28.9</v>
          </cell>
          <cell r="L85">
            <v>30.2</v>
          </cell>
          <cell r="M85">
            <v>29</v>
          </cell>
          <cell r="N85">
            <v>29.2</v>
          </cell>
          <cell r="O85">
            <v>29.2</v>
          </cell>
        </row>
        <row r="86">
          <cell r="A86">
            <v>404</v>
          </cell>
          <cell r="B86">
            <v>1</v>
          </cell>
          <cell r="C86">
            <v>13.436</v>
          </cell>
          <cell r="D86">
            <v>41.6</v>
          </cell>
          <cell r="E86">
            <v>34.299999999999997</v>
          </cell>
          <cell r="F86">
            <v>37.5</v>
          </cell>
          <cell r="G86">
            <v>30.2</v>
          </cell>
          <cell r="H86">
            <v>39.6</v>
          </cell>
          <cell r="I86">
            <v>32.9</v>
          </cell>
          <cell r="J86">
            <v>40.799999999999997</v>
          </cell>
          <cell r="K86">
            <v>29.3</v>
          </cell>
          <cell r="L86">
            <v>37.5</v>
          </cell>
          <cell r="M86">
            <v>30</v>
          </cell>
          <cell r="N86">
            <v>38.6</v>
          </cell>
          <cell r="O86">
            <v>32.4</v>
          </cell>
        </row>
        <row r="87">
          <cell r="A87">
            <v>404</v>
          </cell>
          <cell r="B87">
            <v>2</v>
          </cell>
          <cell r="C87">
            <v>13.441000000000001</v>
          </cell>
          <cell r="D87">
            <v>32.1</v>
          </cell>
          <cell r="E87">
            <v>28.8</v>
          </cell>
          <cell r="F87">
            <v>30.2</v>
          </cell>
          <cell r="G87">
            <v>30.7</v>
          </cell>
          <cell r="H87">
            <v>29.7</v>
          </cell>
          <cell r="I87">
            <v>29.2</v>
          </cell>
          <cell r="J87">
            <v>29.9</v>
          </cell>
          <cell r="K87">
            <v>30.7</v>
          </cell>
          <cell r="L87">
            <v>30.5</v>
          </cell>
          <cell r="M87">
            <v>30.3</v>
          </cell>
          <cell r="N87">
            <v>31</v>
          </cell>
          <cell r="O87">
            <v>30.9</v>
          </cell>
        </row>
        <row r="88">
          <cell r="A88">
            <v>403</v>
          </cell>
          <cell r="B88">
            <v>1</v>
          </cell>
          <cell r="C88">
            <v>13.451000000000001</v>
          </cell>
          <cell r="D88">
            <v>38.799999999999997</v>
          </cell>
          <cell r="E88">
            <v>31.2</v>
          </cell>
          <cell r="F88">
            <v>37.200000000000003</v>
          </cell>
          <cell r="G88">
            <v>31.8</v>
          </cell>
          <cell r="H88">
            <v>37.200000000000003</v>
          </cell>
          <cell r="I88">
            <v>31.6</v>
          </cell>
          <cell r="J88">
            <v>38.799999999999997</v>
          </cell>
          <cell r="K88">
            <v>33.700000000000003</v>
          </cell>
          <cell r="L88">
            <v>40.6</v>
          </cell>
          <cell r="M88">
            <v>31</v>
          </cell>
          <cell r="N88">
            <v>39.200000000000003</v>
          </cell>
          <cell r="O88">
            <v>30.8</v>
          </cell>
        </row>
        <row r="89">
          <cell r="A89">
            <v>403</v>
          </cell>
          <cell r="B89">
            <v>2</v>
          </cell>
          <cell r="C89">
            <v>13.456</v>
          </cell>
          <cell r="D89">
            <v>29.1</v>
          </cell>
          <cell r="E89">
            <v>28</v>
          </cell>
          <cell r="F89">
            <v>29.2</v>
          </cell>
          <cell r="G89">
            <v>29.9</v>
          </cell>
          <cell r="H89">
            <v>28.9</v>
          </cell>
          <cell r="I89">
            <v>29.4</v>
          </cell>
          <cell r="J89">
            <v>28.6</v>
          </cell>
          <cell r="K89">
            <v>29</v>
          </cell>
          <cell r="L89">
            <v>29</v>
          </cell>
          <cell r="M89">
            <v>28</v>
          </cell>
          <cell r="N89">
            <v>28.6</v>
          </cell>
          <cell r="O89">
            <v>27.5</v>
          </cell>
        </row>
        <row r="90">
          <cell r="A90">
            <v>402</v>
          </cell>
          <cell r="B90">
            <v>1</v>
          </cell>
          <cell r="C90">
            <v>13.468</v>
          </cell>
          <cell r="D90">
            <v>62.3</v>
          </cell>
          <cell r="E90">
            <v>40.700000000000003</v>
          </cell>
          <cell r="F90">
            <v>56.2</v>
          </cell>
          <cell r="G90">
            <v>37.6</v>
          </cell>
          <cell r="H90">
            <v>57.5</v>
          </cell>
          <cell r="I90">
            <v>36</v>
          </cell>
          <cell r="J90">
            <v>57.8</v>
          </cell>
          <cell r="K90">
            <v>36.5</v>
          </cell>
          <cell r="L90">
            <v>55.4</v>
          </cell>
          <cell r="M90">
            <v>45.5</v>
          </cell>
          <cell r="N90">
            <v>56</v>
          </cell>
          <cell r="O90">
            <v>39.6</v>
          </cell>
        </row>
        <row r="91">
          <cell r="A91">
            <v>402</v>
          </cell>
          <cell r="B91">
            <v>2</v>
          </cell>
          <cell r="C91">
            <v>13.473000000000001</v>
          </cell>
          <cell r="D91">
            <v>31.5</v>
          </cell>
          <cell r="E91">
            <v>31.1</v>
          </cell>
          <cell r="F91">
            <v>32.700000000000003</v>
          </cell>
          <cell r="G91">
            <v>32.799999999999997</v>
          </cell>
          <cell r="H91">
            <v>31.8</v>
          </cell>
          <cell r="I91">
            <v>31.6</v>
          </cell>
          <cell r="J91">
            <v>33.1</v>
          </cell>
          <cell r="K91">
            <v>31</v>
          </cell>
          <cell r="L91">
            <v>32.6</v>
          </cell>
          <cell r="M91">
            <v>31.1</v>
          </cell>
          <cell r="N91">
            <v>31.8</v>
          </cell>
          <cell r="O91">
            <v>29.9</v>
          </cell>
        </row>
        <row r="92">
          <cell r="A92">
            <v>401</v>
          </cell>
          <cell r="B92">
            <v>1</v>
          </cell>
          <cell r="C92">
            <v>13.484999999999999</v>
          </cell>
          <cell r="D92">
            <v>60.7</v>
          </cell>
          <cell r="E92">
            <v>52.9</v>
          </cell>
          <cell r="F92">
            <v>56.9</v>
          </cell>
          <cell r="G92">
            <v>39.9</v>
          </cell>
          <cell r="H92">
            <v>56.4</v>
          </cell>
          <cell r="I92">
            <v>39.200000000000003</v>
          </cell>
          <cell r="J92">
            <v>57.6</v>
          </cell>
          <cell r="K92">
            <v>51.2</v>
          </cell>
          <cell r="L92">
            <v>59.6</v>
          </cell>
          <cell r="M92">
            <v>39.6</v>
          </cell>
          <cell r="N92">
            <v>55.2</v>
          </cell>
          <cell r="O92">
            <v>38.9</v>
          </cell>
        </row>
        <row r="93">
          <cell r="A93">
            <v>401</v>
          </cell>
          <cell r="B93">
            <v>2</v>
          </cell>
          <cell r="C93">
            <v>13.49</v>
          </cell>
          <cell r="D93">
            <v>30.1</v>
          </cell>
          <cell r="E93">
            <v>29.1</v>
          </cell>
          <cell r="F93">
            <v>29.4</v>
          </cell>
          <cell r="G93">
            <v>28.6</v>
          </cell>
          <cell r="H93">
            <v>30.7</v>
          </cell>
          <cell r="I93">
            <v>27.8</v>
          </cell>
          <cell r="J93">
            <v>30.3</v>
          </cell>
          <cell r="K93">
            <v>30.1</v>
          </cell>
          <cell r="L93">
            <v>28.9</v>
          </cell>
          <cell r="M93">
            <v>27.3</v>
          </cell>
          <cell r="N93">
            <v>26.2</v>
          </cell>
          <cell r="O93">
            <v>28.3</v>
          </cell>
        </row>
      </sheetData>
      <sheetData sheetId="2">
        <row r="7">
          <cell r="C7">
            <v>177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38.85</v>
          </cell>
        </row>
        <row r="29">
          <cell r="E29">
            <v>6.1314757131191149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'IA178.03R'</v>
          </cell>
        </row>
        <row r="14">
          <cell r="A14">
            <v>108</v>
          </cell>
          <cell r="B14">
            <v>1</v>
          </cell>
          <cell r="C14">
            <v>12.878</v>
          </cell>
          <cell r="D14">
            <v>48.1</v>
          </cell>
          <cell r="E14">
            <v>36.1</v>
          </cell>
          <cell r="F14">
            <v>43</v>
          </cell>
          <cell r="G14">
            <v>32.5</v>
          </cell>
          <cell r="H14">
            <v>47.2</v>
          </cell>
          <cell r="I14">
            <v>33.200000000000003</v>
          </cell>
          <cell r="J14">
            <v>46.3</v>
          </cell>
          <cell r="K14">
            <v>33</v>
          </cell>
          <cell r="L14">
            <v>39.4</v>
          </cell>
          <cell r="M14">
            <v>34</v>
          </cell>
          <cell r="N14">
            <v>42.1</v>
          </cell>
          <cell r="O14">
            <v>32.299999999999997</v>
          </cell>
        </row>
        <row r="15">
          <cell r="A15">
            <v>108</v>
          </cell>
          <cell r="B15">
            <v>2</v>
          </cell>
          <cell r="C15">
            <v>12.882999999999999</v>
          </cell>
          <cell r="D15">
            <v>28.6</v>
          </cell>
          <cell r="E15">
            <v>28.7</v>
          </cell>
          <cell r="F15">
            <v>29.7</v>
          </cell>
          <cell r="G15">
            <v>28.6</v>
          </cell>
          <cell r="H15">
            <v>28.9</v>
          </cell>
          <cell r="I15">
            <v>29.2</v>
          </cell>
          <cell r="J15">
            <v>30.7</v>
          </cell>
          <cell r="K15">
            <v>28.3</v>
          </cell>
          <cell r="L15">
            <v>29.9</v>
          </cell>
          <cell r="M15">
            <v>28.9</v>
          </cell>
          <cell r="N15">
            <v>30.4</v>
          </cell>
          <cell r="O15">
            <v>29.5</v>
          </cell>
        </row>
        <row r="16">
          <cell r="A16">
            <v>107</v>
          </cell>
          <cell r="B16">
            <v>1</v>
          </cell>
          <cell r="C16">
            <v>12.893000000000001</v>
          </cell>
          <cell r="D16">
            <v>41.3</v>
          </cell>
          <cell r="E16">
            <v>34.799999999999997</v>
          </cell>
          <cell r="F16">
            <v>39.9</v>
          </cell>
          <cell r="G16">
            <v>30.8</v>
          </cell>
          <cell r="H16">
            <v>37.299999999999997</v>
          </cell>
          <cell r="I16">
            <v>30.4</v>
          </cell>
          <cell r="J16">
            <v>40.4</v>
          </cell>
          <cell r="K16">
            <v>29.2</v>
          </cell>
          <cell r="L16">
            <v>39.5</v>
          </cell>
          <cell r="M16">
            <v>30.1</v>
          </cell>
          <cell r="N16">
            <v>38.799999999999997</v>
          </cell>
          <cell r="O16">
            <v>30.8</v>
          </cell>
        </row>
        <row r="17">
          <cell r="A17">
            <v>107</v>
          </cell>
          <cell r="B17">
            <v>2</v>
          </cell>
          <cell r="C17">
            <v>12.898</v>
          </cell>
          <cell r="D17">
            <v>27.8</v>
          </cell>
          <cell r="E17">
            <v>28.6</v>
          </cell>
          <cell r="F17">
            <v>28.8</v>
          </cell>
          <cell r="G17">
            <v>28.2</v>
          </cell>
          <cell r="H17">
            <v>29.8</v>
          </cell>
          <cell r="I17">
            <v>27.8</v>
          </cell>
          <cell r="J17">
            <v>28.9</v>
          </cell>
          <cell r="K17">
            <v>29.3</v>
          </cell>
          <cell r="L17">
            <v>28.9</v>
          </cell>
          <cell r="M17">
            <v>28.4</v>
          </cell>
          <cell r="N17">
            <v>28.5</v>
          </cell>
          <cell r="O17">
            <v>29.9</v>
          </cell>
        </row>
        <row r="18">
          <cell r="A18">
            <v>106</v>
          </cell>
          <cell r="B18">
            <v>1</v>
          </cell>
          <cell r="C18">
            <v>12.909000000000001</v>
          </cell>
          <cell r="D18">
            <v>40.9</v>
          </cell>
          <cell r="E18">
            <v>33.700000000000003</v>
          </cell>
          <cell r="F18">
            <v>31.6</v>
          </cell>
          <cell r="G18">
            <v>35.1</v>
          </cell>
          <cell r="H18">
            <v>36.9</v>
          </cell>
          <cell r="I18">
            <v>32.799999999999997</v>
          </cell>
          <cell r="J18">
            <v>38.200000000000003</v>
          </cell>
          <cell r="K18">
            <v>33.4</v>
          </cell>
          <cell r="L18">
            <v>39</v>
          </cell>
          <cell r="M18">
            <v>31.7</v>
          </cell>
          <cell r="N18">
            <v>36</v>
          </cell>
          <cell r="O18">
            <v>31.6</v>
          </cell>
        </row>
        <row r="19">
          <cell r="A19">
            <v>106</v>
          </cell>
          <cell r="B19">
            <v>2</v>
          </cell>
          <cell r="C19">
            <v>12.913</v>
          </cell>
          <cell r="D19">
            <v>29.2</v>
          </cell>
          <cell r="E19">
            <v>29.2</v>
          </cell>
          <cell r="F19">
            <v>29.5</v>
          </cell>
          <cell r="G19">
            <v>30.4</v>
          </cell>
          <cell r="H19">
            <v>29.7</v>
          </cell>
          <cell r="I19">
            <v>29.7</v>
          </cell>
          <cell r="J19">
            <v>28.6</v>
          </cell>
          <cell r="K19">
            <v>29.2</v>
          </cell>
          <cell r="L19">
            <v>29.6</v>
          </cell>
          <cell r="M19">
            <v>28.9</v>
          </cell>
          <cell r="N19">
            <v>29.4</v>
          </cell>
          <cell r="O19">
            <v>31.3</v>
          </cell>
        </row>
        <row r="20">
          <cell r="A20">
            <v>105</v>
          </cell>
          <cell r="B20">
            <v>1</v>
          </cell>
          <cell r="C20">
            <v>12.925000000000001</v>
          </cell>
          <cell r="D20">
            <v>38.799999999999997</v>
          </cell>
          <cell r="E20">
            <v>31</v>
          </cell>
          <cell r="F20">
            <v>36.700000000000003</v>
          </cell>
          <cell r="G20">
            <v>30.3</v>
          </cell>
          <cell r="H20">
            <v>38</v>
          </cell>
          <cell r="I20">
            <v>31.7</v>
          </cell>
          <cell r="J20">
            <v>37.5</v>
          </cell>
          <cell r="K20">
            <v>30.8</v>
          </cell>
          <cell r="L20">
            <v>37.5</v>
          </cell>
          <cell r="M20">
            <v>32.799999999999997</v>
          </cell>
          <cell r="N20">
            <v>39</v>
          </cell>
          <cell r="O20">
            <v>31.2</v>
          </cell>
        </row>
        <row r="21">
          <cell r="A21">
            <v>105</v>
          </cell>
          <cell r="B21">
            <v>2</v>
          </cell>
          <cell r="C21">
            <v>12.929</v>
          </cell>
          <cell r="D21">
            <v>30.7</v>
          </cell>
          <cell r="E21">
            <v>28.5</v>
          </cell>
          <cell r="F21">
            <v>27.6</v>
          </cell>
          <cell r="G21">
            <v>29.9</v>
          </cell>
          <cell r="H21">
            <v>30.4</v>
          </cell>
          <cell r="I21">
            <v>30.3</v>
          </cell>
          <cell r="J21">
            <v>29.4</v>
          </cell>
          <cell r="K21">
            <v>29.6</v>
          </cell>
          <cell r="L21">
            <v>30.6</v>
          </cell>
          <cell r="M21">
            <v>29.1</v>
          </cell>
          <cell r="N21">
            <v>29.7</v>
          </cell>
          <cell r="O21">
            <v>30.4</v>
          </cell>
        </row>
        <row r="22">
          <cell r="A22">
            <v>104</v>
          </cell>
          <cell r="B22">
            <v>1</v>
          </cell>
          <cell r="C22">
            <v>12.939</v>
          </cell>
          <cell r="D22">
            <v>41.3</v>
          </cell>
          <cell r="E22">
            <v>36.1</v>
          </cell>
          <cell r="F22">
            <v>38.700000000000003</v>
          </cell>
          <cell r="G22">
            <v>32</v>
          </cell>
          <cell r="H22">
            <v>39.4</v>
          </cell>
          <cell r="I22">
            <v>33</v>
          </cell>
          <cell r="J22">
            <v>39.4</v>
          </cell>
          <cell r="K22">
            <v>32.9</v>
          </cell>
          <cell r="L22">
            <v>40.5</v>
          </cell>
          <cell r="M22">
            <v>32.4</v>
          </cell>
          <cell r="N22">
            <v>40.1</v>
          </cell>
          <cell r="O22">
            <v>34.200000000000003</v>
          </cell>
        </row>
        <row r="23">
          <cell r="A23">
            <v>104</v>
          </cell>
          <cell r="B23">
            <v>2</v>
          </cell>
          <cell r="C23">
            <v>12.944000000000001</v>
          </cell>
          <cell r="D23">
            <v>31.9</v>
          </cell>
          <cell r="E23">
            <v>31.3</v>
          </cell>
          <cell r="F23">
            <v>31.2</v>
          </cell>
          <cell r="G23">
            <v>30.5</v>
          </cell>
          <cell r="H23">
            <v>33.299999999999997</v>
          </cell>
          <cell r="I23">
            <v>32</v>
          </cell>
          <cell r="J23">
            <v>32.5</v>
          </cell>
          <cell r="K23">
            <v>30.7</v>
          </cell>
          <cell r="L23">
            <v>32.9</v>
          </cell>
          <cell r="M23">
            <v>32.799999999999997</v>
          </cell>
          <cell r="N23">
            <v>32.4</v>
          </cell>
          <cell r="O23">
            <v>32.799999999999997</v>
          </cell>
        </row>
        <row r="24">
          <cell r="A24">
            <v>103</v>
          </cell>
          <cell r="B24">
            <v>1</v>
          </cell>
          <cell r="C24">
            <v>12.952999999999999</v>
          </cell>
          <cell r="D24">
            <v>43.9</v>
          </cell>
          <cell r="E24">
            <v>32.700000000000003</v>
          </cell>
          <cell r="F24">
            <v>41.8</v>
          </cell>
          <cell r="G24">
            <v>31.4</v>
          </cell>
          <cell r="H24">
            <v>39</v>
          </cell>
          <cell r="I24">
            <v>31.6</v>
          </cell>
          <cell r="J24">
            <v>42.8</v>
          </cell>
          <cell r="K24">
            <v>33.4</v>
          </cell>
          <cell r="L24">
            <v>41</v>
          </cell>
          <cell r="M24">
            <v>31.8</v>
          </cell>
          <cell r="N24">
            <v>41.1</v>
          </cell>
          <cell r="O24">
            <v>34.200000000000003</v>
          </cell>
        </row>
        <row r="25">
          <cell r="A25">
            <v>103</v>
          </cell>
          <cell r="B25">
            <v>2</v>
          </cell>
          <cell r="C25">
            <v>12.958</v>
          </cell>
          <cell r="D25">
            <v>29.2</v>
          </cell>
          <cell r="E25">
            <v>30.1</v>
          </cell>
          <cell r="F25">
            <v>29.5</v>
          </cell>
          <cell r="G25">
            <v>28.2</v>
          </cell>
          <cell r="H25">
            <v>31.5</v>
          </cell>
          <cell r="I25">
            <v>28.7</v>
          </cell>
          <cell r="J25">
            <v>31</v>
          </cell>
          <cell r="K25">
            <v>29.5</v>
          </cell>
          <cell r="L25">
            <v>29.4</v>
          </cell>
          <cell r="M25">
            <v>29.3</v>
          </cell>
          <cell r="N25">
            <v>30.4</v>
          </cell>
          <cell r="O25">
            <v>31.7</v>
          </cell>
        </row>
        <row r="26">
          <cell r="A26">
            <v>102</v>
          </cell>
          <cell r="B26">
            <v>1</v>
          </cell>
          <cell r="C26">
            <v>12.967000000000001</v>
          </cell>
          <cell r="D26">
            <v>51.8</v>
          </cell>
          <cell r="E26">
            <v>38.6</v>
          </cell>
          <cell r="F26">
            <v>49.9</v>
          </cell>
          <cell r="G26">
            <v>33.299999999999997</v>
          </cell>
          <cell r="H26">
            <v>51.4</v>
          </cell>
          <cell r="I26">
            <v>41.8</v>
          </cell>
          <cell r="J26">
            <v>53.2</v>
          </cell>
          <cell r="K26">
            <v>37.299999999999997</v>
          </cell>
          <cell r="L26">
            <v>51</v>
          </cell>
          <cell r="M26">
            <v>37.200000000000003</v>
          </cell>
          <cell r="N26">
            <v>49.3</v>
          </cell>
          <cell r="O26">
            <v>39.6</v>
          </cell>
        </row>
        <row r="27">
          <cell r="A27">
            <v>102</v>
          </cell>
          <cell r="B27">
            <v>2</v>
          </cell>
          <cell r="C27">
            <v>12.972</v>
          </cell>
          <cell r="D27">
            <v>29.9</v>
          </cell>
          <cell r="E27">
            <v>30.1</v>
          </cell>
          <cell r="F27">
            <v>29.8</v>
          </cell>
          <cell r="G27">
            <v>30.1</v>
          </cell>
          <cell r="H27">
            <v>30.6</v>
          </cell>
          <cell r="I27">
            <v>29.8</v>
          </cell>
          <cell r="J27">
            <v>32.700000000000003</v>
          </cell>
          <cell r="K27">
            <v>31.9</v>
          </cell>
          <cell r="L27">
            <v>30.9</v>
          </cell>
          <cell r="M27">
            <v>30.2</v>
          </cell>
          <cell r="N27">
            <v>32.1</v>
          </cell>
          <cell r="O27">
            <v>29.9</v>
          </cell>
        </row>
        <row r="28">
          <cell r="A28">
            <v>101</v>
          </cell>
          <cell r="B28">
            <v>1</v>
          </cell>
          <cell r="C28">
            <v>12.981999999999999</v>
          </cell>
          <cell r="D28">
            <v>51.1</v>
          </cell>
          <cell r="E28">
            <v>40.700000000000003</v>
          </cell>
          <cell r="F28">
            <v>51.3</v>
          </cell>
          <cell r="G28">
            <v>35.1</v>
          </cell>
          <cell r="H28">
            <v>49</v>
          </cell>
          <cell r="I28">
            <v>35.700000000000003</v>
          </cell>
          <cell r="J28">
            <v>48</v>
          </cell>
          <cell r="K28">
            <v>36</v>
          </cell>
          <cell r="L28">
            <v>44.9</v>
          </cell>
          <cell r="M28">
            <v>37.799999999999997</v>
          </cell>
          <cell r="N28">
            <v>50.1</v>
          </cell>
          <cell r="O28">
            <v>35.6</v>
          </cell>
        </row>
        <row r="29">
          <cell r="A29">
            <v>101</v>
          </cell>
          <cell r="B29">
            <v>2</v>
          </cell>
          <cell r="C29">
            <v>12.986000000000001</v>
          </cell>
          <cell r="D29">
            <v>30.5</v>
          </cell>
          <cell r="E29">
            <v>31.1</v>
          </cell>
          <cell r="F29">
            <v>31.4</v>
          </cell>
          <cell r="G29">
            <v>31.2</v>
          </cell>
          <cell r="H29">
            <v>31.1</v>
          </cell>
          <cell r="I29">
            <v>30.4</v>
          </cell>
          <cell r="J29">
            <v>32.5</v>
          </cell>
          <cell r="K29">
            <v>30.2</v>
          </cell>
          <cell r="L29">
            <v>33.1</v>
          </cell>
          <cell r="M29">
            <v>30.8</v>
          </cell>
          <cell r="N29">
            <v>32.9</v>
          </cell>
          <cell r="O29">
            <v>31.7</v>
          </cell>
        </row>
        <row r="30">
          <cell r="A30">
            <v>201</v>
          </cell>
          <cell r="B30">
            <v>1</v>
          </cell>
          <cell r="C30">
            <v>13</v>
          </cell>
          <cell r="D30">
            <v>33.700000000000003</v>
          </cell>
          <cell r="E30">
            <v>34</v>
          </cell>
          <cell r="F30">
            <v>35.299999999999997</v>
          </cell>
          <cell r="G30">
            <v>32.1</v>
          </cell>
          <cell r="H30">
            <v>36</v>
          </cell>
          <cell r="I30">
            <v>32</v>
          </cell>
          <cell r="J30">
            <v>38.200000000000003</v>
          </cell>
          <cell r="K30">
            <v>31.3</v>
          </cell>
          <cell r="L30">
            <v>39</v>
          </cell>
          <cell r="M30">
            <v>31.7</v>
          </cell>
          <cell r="N30">
            <v>37.6</v>
          </cell>
          <cell r="O30">
            <v>31.2</v>
          </cell>
        </row>
        <row r="31">
          <cell r="A31">
            <v>201</v>
          </cell>
          <cell r="B31">
            <v>2</v>
          </cell>
          <cell r="C31">
            <v>13.005000000000001</v>
          </cell>
          <cell r="D31">
            <v>30.3</v>
          </cell>
          <cell r="E31">
            <v>30.9</v>
          </cell>
          <cell r="F31">
            <v>31.7</v>
          </cell>
          <cell r="G31">
            <v>29.7</v>
          </cell>
          <cell r="H31">
            <v>30.4</v>
          </cell>
          <cell r="I31">
            <v>28.9</v>
          </cell>
          <cell r="J31">
            <v>29.7</v>
          </cell>
          <cell r="K31">
            <v>30.6</v>
          </cell>
          <cell r="L31">
            <v>29.3</v>
          </cell>
          <cell r="M31">
            <v>29</v>
          </cell>
          <cell r="N31">
            <v>30.9</v>
          </cell>
          <cell r="O31">
            <v>28.9</v>
          </cell>
        </row>
        <row r="32">
          <cell r="A32">
            <v>202</v>
          </cell>
          <cell r="B32">
            <v>1</v>
          </cell>
          <cell r="C32">
            <v>13.013999999999999</v>
          </cell>
          <cell r="D32">
            <v>30.7</v>
          </cell>
          <cell r="E32">
            <v>35.4</v>
          </cell>
          <cell r="F32">
            <v>37.4</v>
          </cell>
          <cell r="G32">
            <v>31.9</v>
          </cell>
          <cell r="H32">
            <v>40.200000000000003</v>
          </cell>
          <cell r="I32">
            <v>31.7</v>
          </cell>
          <cell r="J32">
            <v>39.9</v>
          </cell>
          <cell r="K32">
            <v>33.4</v>
          </cell>
          <cell r="L32">
            <v>40.299999999999997</v>
          </cell>
          <cell r="M32">
            <v>33.299999999999997</v>
          </cell>
          <cell r="N32">
            <v>40.1</v>
          </cell>
          <cell r="O32">
            <v>33.4</v>
          </cell>
        </row>
        <row r="33">
          <cell r="A33">
            <v>202</v>
          </cell>
          <cell r="B33">
            <v>2</v>
          </cell>
          <cell r="C33">
            <v>13.019</v>
          </cell>
          <cell r="D33">
            <v>31</v>
          </cell>
          <cell r="E33">
            <v>31.3</v>
          </cell>
          <cell r="F33">
            <v>31.6</v>
          </cell>
          <cell r="G33">
            <v>31.1</v>
          </cell>
          <cell r="H33">
            <v>34.6</v>
          </cell>
          <cell r="I33">
            <v>34.299999999999997</v>
          </cell>
          <cell r="J33">
            <v>33.700000000000003</v>
          </cell>
          <cell r="K33">
            <v>33.1</v>
          </cell>
          <cell r="L33">
            <v>33.700000000000003</v>
          </cell>
          <cell r="M33">
            <v>32.5</v>
          </cell>
          <cell r="N33">
            <v>32.9</v>
          </cell>
          <cell r="O33">
            <v>31</v>
          </cell>
        </row>
        <row r="34">
          <cell r="A34">
            <v>203</v>
          </cell>
          <cell r="B34">
            <v>1</v>
          </cell>
          <cell r="C34">
            <v>13.028</v>
          </cell>
          <cell r="D34">
            <v>42.3</v>
          </cell>
          <cell r="E34">
            <v>41.4</v>
          </cell>
          <cell r="F34">
            <v>46.8</v>
          </cell>
          <cell r="G34">
            <v>32.6</v>
          </cell>
          <cell r="H34">
            <v>45.1</v>
          </cell>
          <cell r="I34">
            <v>32.6</v>
          </cell>
          <cell r="J34">
            <v>48.6</v>
          </cell>
          <cell r="K34">
            <v>39.200000000000003</v>
          </cell>
          <cell r="L34">
            <v>48.2</v>
          </cell>
          <cell r="M34">
            <v>30.9</v>
          </cell>
          <cell r="N34">
            <v>47.5</v>
          </cell>
          <cell r="O34">
            <v>34.799999999999997</v>
          </cell>
        </row>
        <row r="35">
          <cell r="A35">
            <v>203</v>
          </cell>
          <cell r="B35">
            <v>2</v>
          </cell>
          <cell r="C35">
            <v>13.032999999999999</v>
          </cell>
          <cell r="D35">
            <v>29.6</v>
          </cell>
          <cell r="E35">
            <v>30.5</v>
          </cell>
          <cell r="F35">
            <v>29.3</v>
          </cell>
          <cell r="G35">
            <v>28.8</v>
          </cell>
          <cell r="H35">
            <v>30.3</v>
          </cell>
          <cell r="I35">
            <v>29.8</v>
          </cell>
          <cell r="J35">
            <v>30.4</v>
          </cell>
          <cell r="K35">
            <v>32</v>
          </cell>
          <cell r="L35">
            <v>31.8</v>
          </cell>
          <cell r="M35">
            <v>30.6</v>
          </cell>
          <cell r="N35">
            <v>30.6</v>
          </cell>
          <cell r="O35">
            <v>31.7</v>
          </cell>
        </row>
        <row r="36">
          <cell r="A36">
            <v>204</v>
          </cell>
          <cell r="B36">
            <v>1</v>
          </cell>
          <cell r="C36">
            <v>13.042</v>
          </cell>
          <cell r="D36">
            <v>34.4</v>
          </cell>
          <cell r="E36">
            <v>32.299999999999997</v>
          </cell>
          <cell r="F36">
            <v>34.6</v>
          </cell>
          <cell r="G36">
            <v>30.1</v>
          </cell>
          <cell r="H36">
            <v>38.5</v>
          </cell>
          <cell r="I36">
            <v>31.3</v>
          </cell>
          <cell r="J36">
            <v>37.799999999999997</v>
          </cell>
          <cell r="K36">
            <v>29.6</v>
          </cell>
          <cell r="L36">
            <v>37.700000000000003</v>
          </cell>
          <cell r="M36">
            <v>30.5</v>
          </cell>
          <cell r="N36">
            <v>36.299999999999997</v>
          </cell>
          <cell r="O36">
            <v>30.2</v>
          </cell>
        </row>
        <row r="37">
          <cell r="A37">
            <v>204</v>
          </cell>
          <cell r="B37">
            <v>2</v>
          </cell>
          <cell r="C37">
            <v>13.045999999999999</v>
          </cell>
          <cell r="D37">
            <v>27.6</v>
          </cell>
          <cell r="E37">
            <v>28.1</v>
          </cell>
          <cell r="F37">
            <v>29.7</v>
          </cell>
          <cell r="G37">
            <v>28.1</v>
          </cell>
          <cell r="H37">
            <v>29.5</v>
          </cell>
          <cell r="I37">
            <v>28.7</v>
          </cell>
          <cell r="J37">
            <v>30.5</v>
          </cell>
          <cell r="K37">
            <v>30.8</v>
          </cell>
          <cell r="L37">
            <v>31.6</v>
          </cell>
          <cell r="M37">
            <v>31.7</v>
          </cell>
          <cell r="N37">
            <v>31.5</v>
          </cell>
          <cell r="O37">
            <v>31.7</v>
          </cell>
        </row>
        <row r="38">
          <cell r="A38">
            <v>205</v>
          </cell>
          <cell r="B38">
            <v>1</v>
          </cell>
          <cell r="C38">
            <v>13.055</v>
          </cell>
          <cell r="D38">
            <v>41.2</v>
          </cell>
          <cell r="E38">
            <v>43.4</v>
          </cell>
          <cell r="F38">
            <v>47.8</v>
          </cell>
          <cell r="G38">
            <v>33</v>
          </cell>
          <cell r="H38">
            <v>44</v>
          </cell>
          <cell r="I38">
            <v>33.6</v>
          </cell>
          <cell r="J38">
            <v>43.8</v>
          </cell>
          <cell r="K38">
            <v>39.4</v>
          </cell>
          <cell r="L38">
            <v>47.6</v>
          </cell>
          <cell r="M38">
            <v>33</v>
          </cell>
          <cell r="N38">
            <v>38.1</v>
          </cell>
          <cell r="O38">
            <v>36.6</v>
          </cell>
        </row>
        <row r="39">
          <cell r="A39">
            <v>205</v>
          </cell>
          <cell r="B39">
            <v>2</v>
          </cell>
          <cell r="C39">
            <v>13.06</v>
          </cell>
          <cell r="D39">
            <v>30.9</v>
          </cell>
          <cell r="E39">
            <v>30.6</v>
          </cell>
          <cell r="F39">
            <v>30.2</v>
          </cell>
          <cell r="G39">
            <v>32.200000000000003</v>
          </cell>
          <cell r="H39">
            <v>32.700000000000003</v>
          </cell>
          <cell r="I39">
            <v>31.4</v>
          </cell>
          <cell r="J39">
            <v>30.8</v>
          </cell>
          <cell r="K39">
            <v>31.2</v>
          </cell>
          <cell r="L39">
            <v>32.6</v>
          </cell>
          <cell r="M39">
            <v>31.6</v>
          </cell>
          <cell r="N39">
            <v>33.6</v>
          </cell>
          <cell r="O39">
            <v>33.6</v>
          </cell>
        </row>
        <row r="40">
          <cell r="A40">
            <v>206</v>
          </cell>
          <cell r="B40">
            <v>1</v>
          </cell>
          <cell r="C40">
            <v>13.068</v>
          </cell>
          <cell r="D40">
            <v>45.9</v>
          </cell>
          <cell r="E40">
            <v>48.1</v>
          </cell>
          <cell r="F40">
            <v>53</v>
          </cell>
          <cell r="G40">
            <v>43.8</v>
          </cell>
          <cell r="H40">
            <v>62.2</v>
          </cell>
          <cell r="I40">
            <v>38.6</v>
          </cell>
          <cell r="J40">
            <v>60.9</v>
          </cell>
          <cell r="K40">
            <v>41.7</v>
          </cell>
          <cell r="L40">
            <v>58.7</v>
          </cell>
          <cell r="M40">
            <v>38.9</v>
          </cell>
          <cell r="N40">
            <v>60.8</v>
          </cell>
          <cell r="O40">
            <v>52.3</v>
          </cell>
        </row>
        <row r="41">
          <cell r="A41">
            <v>206</v>
          </cell>
          <cell r="B41">
            <v>2</v>
          </cell>
          <cell r="C41">
            <v>13.073</v>
          </cell>
          <cell r="D41">
            <v>32</v>
          </cell>
          <cell r="E41">
            <v>30.7</v>
          </cell>
          <cell r="F41">
            <v>30.8</v>
          </cell>
          <cell r="G41">
            <v>31.4</v>
          </cell>
          <cell r="H41">
            <v>30.4</v>
          </cell>
          <cell r="I41">
            <v>32</v>
          </cell>
          <cell r="J41">
            <v>32.1</v>
          </cell>
          <cell r="K41">
            <v>31.6</v>
          </cell>
          <cell r="L41">
            <v>31.7</v>
          </cell>
          <cell r="M41">
            <v>30.7</v>
          </cell>
          <cell r="N41">
            <v>30.4</v>
          </cell>
          <cell r="O41">
            <v>31.6</v>
          </cell>
        </row>
        <row r="42">
          <cell r="A42">
            <v>207</v>
          </cell>
          <cell r="B42">
            <v>1</v>
          </cell>
          <cell r="C42">
            <v>13.083</v>
          </cell>
          <cell r="D42">
            <v>41.4</v>
          </cell>
          <cell r="E42">
            <v>36.4</v>
          </cell>
          <cell r="F42">
            <v>47.5</v>
          </cell>
          <cell r="G42">
            <v>33</v>
          </cell>
          <cell r="H42">
            <v>45.1</v>
          </cell>
          <cell r="I42">
            <v>33.200000000000003</v>
          </cell>
          <cell r="J42">
            <v>43.3</v>
          </cell>
          <cell r="K42">
            <v>32.1</v>
          </cell>
          <cell r="L42">
            <v>40.799999999999997</v>
          </cell>
          <cell r="M42">
            <v>33.799999999999997</v>
          </cell>
          <cell r="N42">
            <v>43.7</v>
          </cell>
          <cell r="O42">
            <v>32.700000000000003</v>
          </cell>
        </row>
        <row r="43">
          <cell r="A43">
            <v>207</v>
          </cell>
          <cell r="B43">
            <v>2</v>
          </cell>
          <cell r="C43">
            <v>13.087999999999999</v>
          </cell>
          <cell r="D43">
            <v>31.6</v>
          </cell>
          <cell r="E43">
            <v>31.7</v>
          </cell>
          <cell r="F43">
            <v>35.9</v>
          </cell>
          <cell r="G43">
            <v>30</v>
          </cell>
          <cell r="H43">
            <v>32.4</v>
          </cell>
          <cell r="I43">
            <v>31.7</v>
          </cell>
          <cell r="J43">
            <v>30.3</v>
          </cell>
          <cell r="K43">
            <v>32.4</v>
          </cell>
          <cell r="L43">
            <v>31.5</v>
          </cell>
          <cell r="M43">
            <v>32</v>
          </cell>
          <cell r="N43">
            <v>28.7</v>
          </cell>
          <cell r="O43">
            <v>30.9</v>
          </cell>
        </row>
        <row r="44">
          <cell r="A44">
            <v>208</v>
          </cell>
          <cell r="B44">
            <v>1</v>
          </cell>
          <cell r="C44">
            <v>13.097</v>
          </cell>
          <cell r="D44">
            <v>43.6</v>
          </cell>
          <cell r="E44">
            <v>37.799999999999997</v>
          </cell>
          <cell r="F44">
            <v>45.7</v>
          </cell>
          <cell r="G44">
            <v>36.1</v>
          </cell>
          <cell r="H44">
            <v>50.8</v>
          </cell>
          <cell r="I44">
            <v>37</v>
          </cell>
          <cell r="J44">
            <v>50.9</v>
          </cell>
          <cell r="K44">
            <v>36.200000000000003</v>
          </cell>
          <cell r="L44">
            <v>49.3</v>
          </cell>
          <cell r="M44">
            <v>36.9</v>
          </cell>
          <cell r="N44">
            <v>48.6</v>
          </cell>
          <cell r="O44">
            <v>40.200000000000003</v>
          </cell>
        </row>
        <row r="45">
          <cell r="A45">
            <v>208</v>
          </cell>
          <cell r="B45">
            <v>2</v>
          </cell>
          <cell r="C45">
            <v>13.102</v>
          </cell>
          <cell r="D45">
            <v>29.7</v>
          </cell>
          <cell r="E45">
            <v>28.7</v>
          </cell>
          <cell r="F45">
            <v>29.3</v>
          </cell>
          <cell r="G45">
            <v>29.6</v>
          </cell>
          <cell r="H45">
            <v>29.5</v>
          </cell>
          <cell r="I45">
            <v>30</v>
          </cell>
          <cell r="J45">
            <v>30.4</v>
          </cell>
          <cell r="K45">
            <v>28.9</v>
          </cell>
          <cell r="L45">
            <v>30.7</v>
          </cell>
          <cell r="M45">
            <v>29.8</v>
          </cell>
          <cell r="N45">
            <v>29.6</v>
          </cell>
          <cell r="O45">
            <v>30</v>
          </cell>
        </row>
        <row r="46">
          <cell r="A46">
            <v>908</v>
          </cell>
          <cell r="B46">
            <v>1</v>
          </cell>
          <cell r="C46">
            <v>13.121</v>
          </cell>
          <cell r="D46">
            <v>62.2</v>
          </cell>
          <cell r="E46">
            <v>44.4</v>
          </cell>
          <cell r="F46">
            <v>59</v>
          </cell>
          <cell r="G46">
            <v>41</v>
          </cell>
          <cell r="H46">
            <v>60.7</v>
          </cell>
          <cell r="I46">
            <v>42.7</v>
          </cell>
          <cell r="J46">
            <v>55.9</v>
          </cell>
          <cell r="K46">
            <v>40.299999999999997</v>
          </cell>
          <cell r="L46">
            <v>59.1</v>
          </cell>
          <cell r="M46">
            <v>40.1</v>
          </cell>
          <cell r="N46">
            <v>62.1</v>
          </cell>
          <cell r="O46">
            <v>38.700000000000003</v>
          </cell>
        </row>
        <row r="47">
          <cell r="A47">
            <v>908</v>
          </cell>
          <cell r="B47">
            <v>2</v>
          </cell>
          <cell r="C47">
            <v>13.127000000000001</v>
          </cell>
          <cell r="D47">
            <v>32</v>
          </cell>
          <cell r="E47">
            <v>34</v>
          </cell>
          <cell r="F47">
            <v>35.4</v>
          </cell>
          <cell r="G47">
            <v>32.799999999999997</v>
          </cell>
          <cell r="H47">
            <v>35.200000000000003</v>
          </cell>
          <cell r="I47">
            <v>34</v>
          </cell>
          <cell r="J47">
            <v>31.4</v>
          </cell>
          <cell r="K47">
            <v>33.9</v>
          </cell>
          <cell r="L47">
            <v>33.6</v>
          </cell>
          <cell r="M47">
            <v>34.4</v>
          </cell>
          <cell r="N47">
            <v>33.700000000000003</v>
          </cell>
          <cell r="O47">
            <v>30.7</v>
          </cell>
        </row>
        <row r="48">
          <cell r="A48">
            <v>907</v>
          </cell>
          <cell r="B48">
            <v>1</v>
          </cell>
          <cell r="C48">
            <v>13.137</v>
          </cell>
          <cell r="D48">
            <v>68.099999999999994</v>
          </cell>
          <cell r="E48">
            <v>68.099999999999994</v>
          </cell>
          <cell r="F48">
            <v>68.5</v>
          </cell>
          <cell r="G48">
            <v>68.3</v>
          </cell>
          <cell r="H48">
            <v>68.7</v>
          </cell>
          <cell r="I48">
            <v>69</v>
          </cell>
          <cell r="J48">
            <v>68.5</v>
          </cell>
          <cell r="K48">
            <v>69</v>
          </cell>
          <cell r="L48">
            <v>69</v>
          </cell>
          <cell r="M48">
            <v>69.099999999999994</v>
          </cell>
          <cell r="N48">
            <v>69.599999999999994</v>
          </cell>
          <cell r="O48">
            <v>69.099999999999994</v>
          </cell>
        </row>
        <row r="50">
          <cell r="A50">
            <v>906</v>
          </cell>
          <cell r="B50">
            <v>1</v>
          </cell>
          <cell r="C50">
            <v>13.143000000000001</v>
          </cell>
          <cell r="D50">
            <v>52</v>
          </cell>
          <cell r="E50">
            <v>38.799999999999997</v>
          </cell>
          <cell r="F50">
            <v>45.9</v>
          </cell>
          <cell r="G50">
            <v>34.799999999999997</v>
          </cell>
          <cell r="H50">
            <v>43.8</v>
          </cell>
          <cell r="I50">
            <v>38.4</v>
          </cell>
          <cell r="J50">
            <v>46.7</v>
          </cell>
          <cell r="K50">
            <v>38.799999999999997</v>
          </cell>
          <cell r="L50">
            <v>45.7</v>
          </cell>
          <cell r="M50">
            <v>36.4</v>
          </cell>
          <cell r="N50">
            <v>48.7</v>
          </cell>
          <cell r="O50">
            <v>32.6</v>
          </cell>
        </row>
        <row r="51">
          <cell r="A51">
            <v>906</v>
          </cell>
          <cell r="B51">
            <v>2</v>
          </cell>
          <cell r="C51">
            <v>13.147</v>
          </cell>
          <cell r="D51">
            <v>31.5</v>
          </cell>
          <cell r="E51">
            <v>30.5</v>
          </cell>
          <cell r="F51">
            <v>32.4</v>
          </cell>
          <cell r="G51">
            <v>32.799999999999997</v>
          </cell>
          <cell r="H51">
            <v>32.200000000000003</v>
          </cell>
          <cell r="I51">
            <v>31</v>
          </cell>
          <cell r="J51">
            <v>31.5</v>
          </cell>
          <cell r="K51">
            <v>30.3</v>
          </cell>
          <cell r="L51">
            <v>31.4</v>
          </cell>
          <cell r="M51">
            <v>31.1</v>
          </cell>
          <cell r="N51">
            <v>31</v>
          </cell>
          <cell r="O51">
            <v>31.7</v>
          </cell>
        </row>
        <row r="52">
          <cell r="A52">
            <v>905</v>
          </cell>
          <cell r="B52">
            <v>1</v>
          </cell>
          <cell r="C52">
            <v>13.156000000000001</v>
          </cell>
          <cell r="D52">
            <v>39.6</v>
          </cell>
          <cell r="E52">
            <v>39.4</v>
          </cell>
          <cell r="F52">
            <v>39.5</v>
          </cell>
          <cell r="G52">
            <v>39.9</v>
          </cell>
          <cell r="H52">
            <v>39.9</v>
          </cell>
          <cell r="I52">
            <v>39.200000000000003</v>
          </cell>
          <cell r="J52">
            <v>39.5</v>
          </cell>
          <cell r="K52">
            <v>39.799999999999997</v>
          </cell>
          <cell r="L52">
            <v>40</v>
          </cell>
          <cell r="M52">
            <v>40.200000000000003</v>
          </cell>
          <cell r="N52">
            <v>40.299999999999997</v>
          </cell>
          <cell r="O52">
            <v>40.1</v>
          </cell>
        </row>
        <row r="54">
          <cell r="A54">
            <v>904</v>
          </cell>
          <cell r="B54">
            <v>1</v>
          </cell>
          <cell r="C54">
            <v>13.163</v>
          </cell>
          <cell r="D54">
            <v>62.1</v>
          </cell>
          <cell r="E54">
            <v>46.5</v>
          </cell>
          <cell r="F54">
            <v>54.3</v>
          </cell>
          <cell r="G54">
            <v>42.6</v>
          </cell>
          <cell r="H54">
            <v>50.6</v>
          </cell>
          <cell r="I54">
            <v>43.8</v>
          </cell>
          <cell r="J54">
            <v>60.6</v>
          </cell>
          <cell r="K54">
            <v>41.8</v>
          </cell>
          <cell r="L54">
            <v>60.1</v>
          </cell>
          <cell r="M54">
            <v>42.7</v>
          </cell>
          <cell r="N54">
            <v>55.5</v>
          </cell>
          <cell r="O54">
            <v>48.3</v>
          </cell>
        </row>
        <row r="55">
          <cell r="A55">
            <v>904</v>
          </cell>
          <cell r="B55">
            <v>2</v>
          </cell>
          <cell r="C55">
            <v>13.167999999999999</v>
          </cell>
          <cell r="D55">
            <v>32.700000000000003</v>
          </cell>
          <cell r="E55">
            <v>32.700000000000003</v>
          </cell>
          <cell r="F55">
            <v>35</v>
          </cell>
          <cell r="G55">
            <v>32.5</v>
          </cell>
          <cell r="H55">
            <v>33.299999999999997</v>
          </cell>
          <cell r="I55">
            <v>32.700000000000003</v>
          </cell>
          <cell r="J55">
            <v>34.700000000000003</v>
          </cell>
          <cell r="K55">
            <v>32</v>
          </cell>
          <cell r="L55">
            <v>33.6</v>
          </cell>
          <cell r="M55">
            <v>32.9</v>
          </cell>
          <cell r="N55">
            <v>33.700000000000003</v>
          </cell>
          <cell r="O55">
            <v>32.1</v>
          </cell>
        </row>
        <row r="56">
          <cell r="A56">
            <v>903</v>
          </cell>
          <cell r="B56">
            <v>1</v>
          </cell>
          <cell r="C56">
            <v>13.177</v>
          </cell>
          <cell r="D56">
            <v>69</v>
          </cell>
          <cell r="E56">
            <v>68.8</v>
          </cell>
          <cell r="F56">
            <v>68.900000000000006</v>
          </cell>
          <cell r="G56">
            <v>68.5</v>
          </cell>
          <cell r="H56">
            <v>68.599999999999994</v>
          </cell>
          <cell r="I56">
            <v>69</v>
          </cell>
          <cell r="J56">
            <v>69</v>
          </cell>
          <cell r="K56">
            <v>68.900000000000006</v>
          </cell>
          <cell r="L56">
            <v>68.5</v>
          </cell>
          <cell r="M56">
            <v>68.3</v>
          </cell>
          <cell r="N56">
            <v>67.7</v>
          </cell>
          <cell r="O56">
            <v>68.3</v>
          </cell>
        </row>
        <row r="58">
          <cell r="A58">
            <v>902</v>
          </cell>
          <cell r="B58">
            <v>1</v>
          </cell>
          <cell r="C58">
            <v>13.183</v>
          </cell>
          <cell r="D58">
            <v>51.3</v>
          </cell>
          <cell r="E58">
            <v>42.2</v>
          </cell>
          <cell r="F58">
            <v>47.1</v>
          </cell>
          <cell r="G58">
            <v>34.799999999999997</v>
          </cell>
          <cell r="H58">
            <v>48.2</v>
          </cell>
          <cell r="I58">
            <v>34.9</v>
          </cell>
          <cell r="J58">
            <v>51.6</v>
          </cell>
          <cell r="K58">
            <v>35.4</v>
          </cell>
          <cell r="L58">
            <v>44.2</v>
          </cell>
          <cell r="M58">
            <v>41.4</v>
          </cell>
          <cell r="N58">
            <v>47.7</v>
          </cell>
          <cell r="O58">
            <v>35.700000000000003</v>
          </cell>
        </row>
        <row r="59">
          <cell r="A59">
            <v>902</v>
          </cell>
          <cell r="B59">
            <v>2</v>
          </cell>
          <cell r="C59">
            <v>13.188000000000001</v>
          </cell>
          <cell r="D59">
            <v>30.3</v>
          </cell>
          <cell r="E59">
            <v>28.8</v>
          </cell>
          <cell r="F59">
            <v>30</v>
          </cell>
          <cell r="G59">
            <v>29.3</v>
          </cell>
          <cell r="H59">
            <v>31.9</v>
          </cell>
          <cell r="I59">
            <v>29.3</v>
          </cell>
          <cell r="J59">
            <v>29.6</v>
          </cell>
          <cell r="K59">
            <v>28.7</v>
          </cell>
          <cell r="L59">
            <v>33.1</v>
          </cell>
          <cell r="M59">
            <v>30.2</v>
          </cell>
          <cell r="N59">
            <v>30.4</v>
          </cell>
          <cell r="O59">
            <v>29.6</v>
          </cell>
        </row>
        <row r="60">
          <cell r="A60">
            <v>901</v>
          </cell>
          <cell r="B60">
            <v>1</v>
          </cell>
          <cell r="C60">
            <v>13.196</v>
          </cell>
          <cell r="D60">
            <v>47</v>
          </cell>
          <cell r="E60">
            <v>50.4</v>
          </cell>
          <cell r="F60">
            <v>47</v>
          </cell>
          <cell r="G60">
            <v>46.6</v>
          </cell>
          <cell r="H60">
            <v>48.4</v>
          </cell>
          <cell r="I60">
            <v>50.3</v>
          </cell>
          <cell r="J60">
            <v>50.3</v>
          </cell>
          <cell r="K60">
            <v>48.5</v>
          </cell>
          <cell r="L60">
            <v>47.8</v>
          </cell>
          <cell r="M60">
            <v>49.8</v>
          </cell>
          <cell r="N60">
            <v>48.4</v>
          </cell>
          <cell r="O60">
            <v>54.3</v>
          </cell>
        </row>
        <row r="62">
          <cell r="A62">
            <v>301</v>
          </cell>
          <cell r="B62">
            <v>1</v>
          </cell>
          <cell r="C62">
            <v>13.206</v>
          </cell>
          <cell r="D62">
            <v>32</v>
          </cell>
          <cell r="E62">
            <v>40.5</v>
          </cell>
          <cell r="F62">
            <v>32.6</v>
          </cell>
          <cell r="G62">
            <v>44.4</v>
          </cell>
          <cell r="H62">
            <v>32.799999999999997</v>
          </cell>
          <cell r="I62">
            <v>40.5</v>
          </cell>
          <cell r="J62">
            <v>31.8</v>
          </cell>
          <cell r="K62">
            <v>40.6</v>
          </cell>
          <cell r="L62">
            <v>31.9</v>
          </cell>
          <cell r="M62">
            <v>39.9</v>
          </cell>
          <cell r="N62">
            <v>33.4</v>
          </cell>
          <cell r="O62">
            <v>38.6</v>
          </cell>
        </row>
        <row r="63">
          <cell r="A63">
            <v>301</v>
          </cell>
          <cell r="B63">
            <v>2</v>
          </cell>
          <cell r="C63">
            <v>13.211</v>
          </cell>
          <cell r="D63">
            <v>29.3</v>
          </cell>
          <cell r="E63">
            <v>29.2</v>
          </cell>
          <cell r="F63">
            <v>30.7</v>
          </cell>
          <cell r="G63">
            <v>30.4</v>
          </cell>
          <cell r="H63">
            <v>32.4</v>
          </cell>
          <cell r="I63">
            <v>32.1</v>
          </cell>
          <cell r="J63">
            <v>31.8</v>
          </cell>
          <cell r="K63">
            <v>31.7</v>
          </cell>
          <cell r="L63">
            <v>31.4</v>
          </cell>
          <cell r="M63">
            <v>30.5</v>
          </cell>
          <cell r="N63">
            <v>30.9</v>
          </cell>
          <cell r="O63">
            <v>30.8</v>
          </cell>
        </row>
        <row r="64">
          <cell r="A64">
            <v>302</v>
          </cell>
          <cell r="B64">
            <v>1</v>
          </cell>
          <cell r="C64">
            <v>13.22</v>
          </cell>
          <cell r="D64">
            <v>30.5</v>
          </cell>
          <cell r="E64">
            <v>41.6</v>
          </cell>
          <cell r="F64">
            <v>34.9</v>
          </cell>
          <cell r="G64">
            <v>40.700000000000003</v>
          </cell>
          <cell r="H64">
            <v>37.1</v>
          </cell>
          <cell r="I64">
            <v>40.6</v>
          </cell>
          <cell r="J64">
            <v>33</v>
          </cell>
          <cell r="K64">
            <v>42.1</v>
          </cell>
          <cell r="L64">
            <v>33.799999999999997</v>
          </cell>
          <cell r="M64">
            <v>40.299999999999997</v>
          </cell>
          <cell r="N64">
            <v>31.8</v>
          </cell>
          <cell r="O64">
            <v>40.6</v>
          </cell>
        </row>
        <row r="65">
          <cell r="A65">
            <v>302</v>
          </cell>
          <cell r="B65">
            <v>2</v>
          </cell>
          <cell r="C65">
            <v>13.226000000000001</v>
          </cell>
          <cell r="D65">
            <v>29.6</v>
          </cell>
          <cell r="E65">
            <v>28.5</v>
          </cell>
          <cell r="F65">
            <v>30.5</v>
          </cell>
          <cell r="G65">
            <v>30</v>
          </cell>
          <cell r="H65">
            <v>29.8</v>
          </cell>
          <cell r="I65">
            <v>31.4</v>
          </cell>
          <cell r="J65">
            <v>29.8</v>
          </cell>
          <cell r="K65">
            <v>29.7</v>
          </cell>
          <cell r="L65">
            <v>31.9</v>
          </cell>
          <cell r="M65">
            <v>30.5</v>
          </cell>
          <cell r="N65">
            <v>31.2</v>
          </cell>
          <cell r="O65">
            <v>31.7</v>
          </cell>
        </row>
        <row r="66">
          <cell r="A66">
            <v>303</v>
          </cell>
          <cell r="B66">
            <v>1</v>
          </cell>
          <cell r="C66">
            <v>13.234</v>
          </cell>
          <cell r="D66">
            <v>52.4</v>
          </cell>
          <cell r="E66">
            <v>40.4</v>
          </cell>
          <cell r="F66">
            <v>58.5</v>
          </cell>
          <cell r="G66">
            <v>39.799999999999997</v>
          </cell>
          <cell r="H66">
            <v>59.2</v>
          </cell>
          <cell r="I66">
            <v>35.5</v>
          </cell>
          <cell r="J66">
            <v>63</v>
          </cell>
          <cell r="K66">
            <v>37.4</v>
          </cell>
          <cell r="L66">
            <v>58.3</v>
          </cell>
          <cell r="M66">
            <v>37.5</v>
          </cell>
          <cell r="N66">
            <v>60.2</v>
          </cell>
          <cell r="O66">
            <v>40</v>
          </cell>
        </row>
        <row r="67">
          <cell r="A67">
            <v>303</v>
          </cell>
          <cell r="B67">
            <v>2</v>
          </cell>
          <cell r="C67">
            <v>13.24</v>
          </cell>
          <cell r="D67">
            <v>31.4</v>
          </cell>
          <cell r="E67">
            <v>30.1</v>
          </cell>
          <cell r="F67">
            <v>31.3</v>
          </cell>
          <cell r="G67">
            <v>30.8</v>
          </cell>
          <cell r="H67">
            <v>31.3</v>
          </cell>
          <cell r="I67">
            <v>30.6</v>
          </cell>
          <cell r="J67">
            <v>30.3</v>
          </cell>
          <cell r="K67">
            <v>29.8</v>
          </cell>
          <cell r="L67">
            <v>30.2</v>
          </cell>
          <cell r="M67">
            <v>28.1</v>
          </cell>
          <cell r="N67">
            <v>29</v>
          </cell>
          <cell r="O67">
            <v>30</v>
          </cell>
        </row>
        <row r="68">
          <cell r="A68">
            <v>304</v>
          </cell>
          <cell r="B68">
            <v>1</v>
          </cell>
          <cell r="C68">
            <v>13.249000000000001</v>
          </cell>
          <cell r="D68">
            <v>43.1</v>
          </cell>
          <cell r="E68">
            <v>43.9</v>
          </cell>
          <cell r="F68">
            <v>39</v>
          </cell>
          <cell r="G68">
            <v>36.4</v>
          </cell>
          <cell r="H68">
            <v>45.3</v>
          </cell>
          <cell r="I68">
            <v>37.700000000000003</v>
          </cell>
          <cell r="J68">
            <v>45.2</v>
          </cell>
          <cell r="K68">
            <v>32.700000000000003</v>
          </cell>
          <cell r="L68">
            <v>46.2</v>
          </cell>
          <cell r="M68">
            <v>34.799999999999997</v>
          </cell>
          <cell r="N68">
            <v>48.7</v>
          </cell>
          <cell r="O68">
            <v>35.6</v>
          </cell>
        </row>
        <row r="69">
          <cell r="A69">
            <v>304</v>
          </cell>
          <cell r="B69">
            <v>2</v>
          </cell>
          <cell r="C69">
            <v>13.253</v>
          </cell>
          <cell r="D69">
            <v>29.3</v>
          </cell>
          <cell r="E69">
            <v>28.7</v>
          </cell>
          <cell r="F69">
            <v>29.4</v>
          </cell>
          <cell r="G69">
            <v>29.8</v>
          </cell>
          <cell r="H69">
            <v>29.6</v>
          </cell>
          <cell r="I69">
            <v>30.1</v>
          </cell>
          <cell r="J69">
            <v>29.8</v>
          </cell>
          <cell r="K69">
            <v>30.4</v>
          </cell>
          <cell r="L69">
            <v>30.2</v>
          </cell>
          <cell r="M69">
            <v>29.8</v>
          </cell>
          <cell r="N69">
            <v>30.5</v>
          </cell>
          <cell r="O69">
            <v>30.9</v>
          </cell>
        </row>
        <row r="70">
          <cell r="A70">
            <v>305</v>
          </cell>
          <cell r="B70">
            <v>1</v>
          </cell>
          <cell r="C70">
            <v>13.265000000000001</v>
          </cell>
          <cell r="D70">
            <v>35</v>
          </cell>
          <cell r="E70">
            <v>32.9</v>
          </cell>
          <cell r="F70">
            <v>33.799999999999997</v>
          </cell>
          <cell r="G70">
            <v>35.5</v>
          </cell>
          <cell r="H70">
            <v>33.9</v>
          </cell>
          <cell r="I70">
            <v>33.799999999999997</v>
          </cell>
          <cell r="J70">
            <v>38.6</v>
          </cell>
          <cell r="K70">
            <v>31.6</v>
          </cell>
          <cell r="L70">
            <v>38.1</v>
          </cell>
          <cell r="M70">
            <v>31.6</v>
          </cell>
          <cell r="N70">
            <v>37.5</v>
          </cell>
          <cell r="O70">
            <v>31.8</v>
          </cell>
        </row>
        <row r="71">
          <cell r="A71">
            <v>305</v>
          </cell>
          <cell r="B71">
            <v>2</v>
          </cell>
          <cell r="C71">
            <v>13.271000000000001</v>
          </cell>
          <cell r="D71">
            <v>31.1</v>
          </cell>
          <cell r="E71">
            <v>31.2</v>
          </cell>
          <cell r="F71">
            <v>30.8</v>
          </cell>
          <cell r="G71">
            <v>31.1</v>
          </cell>
          <cell r="H71">
            <v>31.6</v>
          </cell>
          <cell r="I71">
            <v>31.1</v>
          </cell>
          <cell r="J71">
            <v>32.5</v>
          </cell>
          <cell r="K71">
            <v>29.9</v>
          </cell>
          <cell r="L71">
            <v>30.3</v>
          </cell>
          <cell r="M71">
            <v>29.2</v>
          </cell>
          <cell r="N71">
            <v>30.1</v>
          </cell>
          <cell r="O71">
            <v>30</v>
          </cell>
        </row>
        <row r="72">
          <cell r="A72">
            <v>306</v>
          </cell>
          <cell r="B72">
            <v>1</v>
          </cell>
          <cell r="C72">
            <v>13.28</v>
          </cell>
          <cell r="D72">
            <v>41.6</v>
          </cell>
          <cell r="E72">
            <v>39.5</v>
          </cell>
          <cell r="F72">
            <v>35.700000000000003</v>
          </cell>
          <cell r="G72">
            <v>35.299999999999997</v>
          </cell>
          <cell r="H72">
            <v>38</v>
          </cell>
          <cell r="I72">
            <v>34.9</v>
          </cell>
          <cell r="J72">
            <v>35.799999999999997</v>
          </cell>
          <cell r="K72">
            <v>35</v>
          </cell>
          <cell r="L72">
            <v>31.4</v>
          </cell>
          <cell r="M72">
            <v>31.5</v>
          </cell>
          <cell r="N72">
            <v>37.5</v>
          </cell>
          <cell r="O72">
            <v>32.1</v>
          </cell>
        </row>
        <row r="73">
          <cell r="A73">
            <v>306</v>
          </cell>
          <cell r="B73">
            <v>2</v>
          </cell>
          <cell r="C73">
            <v>13.285</v>
          </cell>
          <cell r="D73">
            <v>28.4</v>
          </cell>
          <cell r="E73">
            <v>28.7</v>
          </cell>
          <cell r="F73">
            <v>29</v>
          </cell>
          <cell r="G73">
            <v>27.7</v>
          </cell>
          <cell r="H73">
            <v>30.7</v>
          </cell>
          <cell r="I73">
            <v>28.3</v>
          </cell>
          <cell r="J73">
            <v>29.3</v>
          </cell>
          <cell r="K73">
            <v>28.3</v>
          </cell>
          <cell r="L73">
            <v>31.9</v>
          </cell>
          <cell r="M73">
            <v>28.5</v>
          </cell>
          <cell r="N73">
            <v>30.5</v>
          </cell>
          <cell r="O73">
            <v>29.6</v>
          </cell>
        </row>
        <row r="74">
          <cell r="A74">
            <v>307</v>
          </cell>
          <cell r="B74">
            <v>1</v>
          </cell>
          <cell r="C74">
            <v>13.294</v>
          </cell>
          <cell r="D74">
            <v>34.799999999999997</v>
          </cell>
          <cell r="E74">
            <v>34.5</v>
          </cell>
          <cell r="F74">
            <v>39.200000000000003</v>
          </cell>
          <cell r="G74">
            <v>31.2</v>
          </cell>
          <cell r="H74">
            <v>38.799999999999997</v>
          </cell>
          <cell r="I74">
            <v>30.7</v>
          </cell>
          <cell r="J74">
            <v>40.6</v>
          </cell>
          <cell r="K74">
            <v>30.6</v>
          </cell>
          <cell r="L74">
            <v>39.700000000000003</v>
          </cell>
          <cell r="M74">
            <v>30</v>
          </cell>
          <cell r="N74">
            <v>40</v>
          </cell>
          <cell r="O74">
            <v>30.9</v>
          </cell>
        </row>
        <row r="75">
          <cell r="A75">
            <v>307</v>
          </cell>
          <cell r="B75">
            <v>2</v>
          </cell>
          <cell r="C75">
            <v>13.298999999999999</v>
          </cell>
          <cell r="D75">
            <v>27.3</v>
          </cell>
          <cell r="E75">
            <v>28.8</v>
          </cell>
          <cell r="F75">
            <v>30.2</v>
          </cell>
          <cell r="G75">
            <v>28.7</v>
          </cell>
          <cell r="H75">
            <v>28.7</v>
          </cell>
          <cell r="I75">
            <v>28.7</v>
          </cell>
          <cell r="J75">
            <v>31.6</v>
          </cell>
          <cell r="K75">
            <v>30.4</v>
          </cell>
          <cell r="L75">
            <v>30.5</v>
          </cell>
          <cell r="M75">
            <v>29.5</v>
          </cell>
          <cell r="N75">
            <v>31.2</v>
          </cell>
          <cell r="O75">
            <v>29.4</v>
          </cell>
        </row>
        <row r="76">
          <cell r="A76">
            <v>308</v>
          </cell>
          <cell r="B76">
            <v>1</v>
          </cell>
          <cell r="C76">
            <v>13.308</v>
          </cell>
          <cell r="D76">
            <v>39.4</v>
          </cell>
          <cell r="E76">
            <v>36.200000000000003</v>
          </cell>
          <cell r="F76">
            <v>39.5</v>
          </cell>
          <cell r="G76">
            <v>34.700000000000003</v>
          </cell>
          <cell r="H76">
            <v>43.1</v>
          </cell>
          <cell r="I76">
            <v>35.299999999999997</v>
          </cell>
          <cell r="J76">
            <v>47.2</v>
          </cell>
          <cell r="K76">
            <v>33.6</v>
          </cell>
          <cell r="L76">
            <v>48.6</v>
          </cell>
          <cell r="M76">
            <v>32.200000000000003</v>
          </cell>
          <cell r="N76">
            <v>44.8</v>
          </cell>
          <cell r="O76">
            <v>35.299999999999997</v>
          </cell>
        </row>
        <row r="77">
          <cell r="A77">
            <v>308</v>
          </cell>
          <cell r="B77">
            <v>2</v>
          </cell>
          <cell r="C77">
            <v>13.313000000000001</v>
          </cell>
          <cell r="D77">
            <v>29.5</v>
          </cell>
          <cell r="E77">
            <v>30.7</v>
          </cell>
          <cell r="F77">
            <v>30.4</v>
          </cell>
          <cell r="G77">
            <v>29.2</v>
          </cell>
          <cell r="H77">
            <v>30.9</v>
          </cell>
          <cell r="I77">
            <v>31.6</v>
          </cell>
          <cell r="J77">
            <v>33.1</v>
          </cell>
          <cell r="K77">
            <v>32.1</v>
          </cell>
          <cell r="L77">
            <v>32.9</v>
          </cell>
          <cell r="M77">
            <v>29.5</v>
          </cell>
          <cell r="N77">
            <v>30.4</v>
          </cell>
          <cell r="O77">
            <v>30.2</v>
          </cell>
        </row>
        <row r="78">
          <cell r="A78">
            <v>408</v>
          </cell>
          <cell r="B78">
            <v>1</v>
          </cell>
          <cell r="C78">
            <v>13.33</v>
          </cell>
          <cell r="D78">
            <v>42.4</v>
          </cell>
          <cell r="E78">
            <v>37.799999999999997</v>
          </cell>
          <cell r="F78">
            <v>39.5</v>
          </cell>
          <cell r="G78">
            <v>35.6</v>
          </cell>
          <cell r="H78">
            <v>39</v>
          </cell>
          <cell r="I78">
            <v>33.799999999999997</v>
          </cell>
          <cell r="J78">
            <v>39.6</v>
          </cell>
          <cell r="K78">
            <v>33.200000000000003</v>
          </cell>
          <cell r="L78">
            <v>39.700000000000003</v>
          </cell>
          <cell r="M78">
            <v>34.5</v>
          </cell>
          <cell r="N78">
            <v>40.1</v>
          </cell>
          <cell r="O78">
            <v>32.200000000000003</v>
          </cell>
        </row>
        <row r="79">
          <cell r="A79">
            <v>408</v>
          </cell>
          <cell r="B79">
            <v>2</v>
          </cell>
          <cell r="C79">
            <v>13.335000000000001</v>
          </cell>
          <cell r="D79">
            <v>31.3</v>
          </cell>
          <cell r="E79">
            <v>30.5</v>
          </cell>
          <cell r="F79">
            <v>31.3</v>
          </cell>
          <cell r="G79">
            <v>30.4</v>
          </cell>
          <cell r="H79">
            <v>29.8</v>
          </cell>
          <cell r="I79">
            <v>29</v>
          </cell>
          <cell r="J79">
            <v>30.8</v>
          </cell>
          <cell r="K79">
            <v>28.7</v>
          </cell>
          <cell r="L79">
            <v>31</v>
          </cell>
          <cell r="M79">
            <v>28.8</v>
          </cell>
          <cell r="N79">
            <v>30.3</v>
          </cell>
          <cell r="O79">
            <v>29.7</v>
          </cell>
        </row>
        <row r="80">
          <cell r="A80">
            <v>407</v>
          </cell>
          <cell r="B80">
            <v>1</v>
          </cell>
          <cell r="C80">
            <v>13.346</v>
          </cell>
          <cell r="D80">
            <v>61.3</v>
          </cell>
          <cell r="E80">
            <v>46.5</v>
          </cell>
          <cell r="F80">
            <v>58.9</v>
          </cell>
          <cell r="G80">
            <v>39.799999999999997</v>
          </cell>
          <cell r="H80">
            <v>57.4</v>
          </cell>
          <cell r="I80">
            <v>48.2</v>
          </cell>
          <cell r="J80">
            <v>59.6</v>
          </cell>
          <cell r="K80">
            <v>42.3</v>
          </cell>
          <cell r="L80">
            <v>56.5</v>
          </cell>
          <cell r="M80">
            <v>38.1</v>
          </cell>
          <cell r="N80">
            <v>55.4</v>
          </cell>
          <cell r="O80">
            <v>48.8</v>
          </cell>
        </row>
        <row r="81">
          <cell r="A81">
            <v>407</v>
          </cell>
          <cell r="B81">
            <v>2</v>
          </cell>
          <cell r="C81">
            <v>13.353</v>
          </cell>
          <cell r="D81">
            <v>30.2</v>
          </cell>
          <cell r="E81">
            <v>27.6</v>
          </cell>
          <cell r="F81">
            <v>29.5</v>
          </cell>
          <cell r="G81">
            <v>28</v>
          </cell>
          <cell r="H81">
            <v>29.1</v>
          </cell>
          <cell r="I81">
            <v>29</v>
          </cell>
          <cell r="J81">
            <v>29.9</v>
          </cell>
          <cell r="K81">
            <v>28.3</v>
          </cell>
          <cell r="L81">
            <v>29.5</v>
          </cell>
          <cell r="M81">
            <v>29.1</v>
          </cell>
          <cell r="N81">
            <v>31.5</v>
          </cell>
          <cell r="O81">
            <v>28.6</v>
          </cell>
        </row>
        <row r="82">
          <cell r="A82">
            <v>406</v>
          </cell>
          <cell r="B82">
            <v>1</v>
          </cell>
          <cell r="C82">
            <v>13.363</v>
          </cell>
          <cell r="D82">
            <v>48.6</v>
          </cell>
          <cell r="E82">
            <v>37.799999999999997</v>
          </cell>
          <cell r="F82">
            <v>41</v>
          </cell>
          <cell r="G82">
            <v>29.4</v>
          </cell>
          <cell r="H82">
            <v>38.9</v>
          </cell>
          <cell r="I82">
            <v>30</v>
          </cell>
          <cell r="J82">
            <v>40.4</v>
          </cell>
          <cell r="K82">
            <v>30</v>
          </cell>
          <cell r="L82">
            <v>40.799999999999997</v>
          </cell>
          <cell r="M82">
            <v>30.2</v>
          </cell>
          <cell r="N82">
            <v>40.200000000000003</v>
          </cell>
          <cell r="O82">
            <v>29.9</v>
          </cell>
        </row>
        <row r="83">
          <cell r="A83">
            <v>406</v>
          </cell>
          <cell r="B83">
            <v>2</v>
          </cell>
          <cell r="C83">
            <v>13.368</v>
          </cell>
          <cell r="D83">
            <v>28</v>
          </cell>
          <cell r="E83">
            <v>28</v>
          </cell>
          <cell r="F83">
            <v>26.6</v>
          </cell>
          <cell r="G83">
            <v>26.3</v>
          </cell>
          <cell r="H83">
            <v>27.3</v>
          </cell>
          <cell r="I83">
            <v>27.6</v>
          </cell>
          <cell r="J83">
            <v>27.3</v>
          </cell>
          <cell r="K83">
            <v>27.4</v>
          </cell>
          <cell r="L83">
            <v>28.1</v>
          </cell>
          <cell r="M83">
            <v>26.5</v>
          </cell>
          <cell r="N83">
            <v>29.1</v>
          </cell>
          <cell r="O83">
            <v>28.5</v>
          </cell>
        </row>
        <row r="84">
          <cell r="A84">
            <v>405</v>
          </cell>
          <cell r="B84">
            <v>1</v>
          </cell>
          <cell r="C84">
            <v>13.379</v>
          </cell>
          <cell r="D84">
            <v>39.299999999999997</v>
          </cell>
          <cell r="E84">
            <v>31.5</v>
          </cell>
          <cell r="F84">
            <v>37.6</v>
          </cell>
          <cell r="G84">
            <v>32.9</v>
          </cell>
          <cell r="H84">
            <v>33.700000000000003</v>
          </cell>
          <cell r="I84">
            <v>31</v>
          </cell>
          <cell r="J84">
            <v>34.200000000000003</v>
          </cell>
          <cell r="K84">
            <v>32</v>
          </cell>
          <cell r="L84">
            <v>36.200000000000003</v>
          </cell>
          <cell r="M84">
            <v>33.6</v>
          </cell>
          <cell r="N84">
            <v>33.6</v>
          </cell>
          <cell r="O84">
            <v>33</v>
          </cell>
        </row>
        <row r="85">
          <cell r="A85">
            <v>405</v>
          </cell>
          <cell r="B85">
            <v>2</v>
          </cell>
          <cell r="C85">
            <v>13.385</v>
          </cell>
          <cell r="D85">
            <v>28.7</v>
          </cell>
          <cell r="E85">
            <v>27.2</v>
          </cell>
          <cell r="F85">
            <v>28.2</v>
          </cell>
          <cell r="G85">
            <v>28.2</v>
          </cell>
          <cell r="H85">
            <v>29.1</v>
          </cell>
          <cell r="I85">
            <v>28.6</v>
          </cell>
          <cell r="J85">
            <v>27</v>
          </cell>
          <cell r="K85">
            <v>28.2</v>
          </cell>
          <cell r="L85">
            <v>28.1</v>
          </cell>
          <cell r="M85">
            <v>27.4</v>
          </cell>
          <cell r="N85">
            <v>27</v>
          </cell>
          <cell r="O85">
            <v>28</v>
          </cell>
        </row>
        <row r="86">
          <cell r="A86">
            <v>404</v>
          </cell>
          <cell r="B86">
            <v>1</v>
          </cell>
          <cell r="C86">
            <v>13.396000000000001</v>
          </cell>
          <cell r="D86">
            <v>46.3</v>
          </cell>
          <cell r="E86">
            <v>34.6</v>
          </cell>
          <cell r="F86">
            <v>42.9</v>
          </cell>
          <cell r="G86">
            <v>30.5</v>
          </cell>
          <cell r="H86">
            <v>46.2</v>
          </cell>
          <cell r="I86">
            <v>32.9</v>
          </cell>
          <cell r="J86">
            <v>46.9</v>
          </cell>
          <cell r="K86">
            <v>31</v>
          </cell>
          <cell r="L86">
            <v>43.6</v>
          </cell>
          <cell r="M86">
            <v>30.9</v>
          </cell>
          <cell r="N86">
            <v>49.3</v>
          </cell>
          <cell r="O86">
            <v>34</v>
          </cell>
        </row>
        <row r="87">
          <cell r="A87">
            <v>404</v>
          </cell>
          <cell r="B87">
            <v>2</v>
          </cell>
          <cell r="C87">
            <v>13.401</v>
          </cell>
          <cell r="D87">
            <v>28.8</v>
          </cell>
          <cell r="E87">
            <v>28.5</v>
          </cell>
          <cell r="F87">
            <v>27.3</v>
          </cell>
          <cell r="G87">
            <v>27.5</v>
          </cell>
          <cell r="H87">
            <v>27.3</v>
          </cell>
          <cell r="I87">
            <v>27.6</v>
          </cell>
          <cell r="J87">
            <v>27.5</v>
          </cell>
          <cell r="K87">
            <v>26.2</v>
          </cell>
          <cell r="L87">
            <v>28.8</v>
          </cell>
          <cell r="M87">
            <v>28.5</v>
          </cell>
          <cell r="N87">
            <v>28.5</v>
          </cell>
          <cell r="O87">
            <v>27.8</v>
          </cell>
        </row>
        <row r="88">
          <cell r="A88">
            <v>403</v>
          </cell>
          <cell r="B88">
            <v>1</v>
          </cell>
          <cell r="C88">
            <v>13.412000000000001</v>
          </cell>
          <cell r="D88">
            <v>41.7</v>
          </cell>
          <cell r="E88">
            <v>32.700000000000003</v>
          </cell>
          <cell r="F88">
            <v>39.200000000000003</v>
          </cell>
          <cell r="G88">
            <v>30.3</v>
          </cell>
          <cell r="H88">
            <v>39.700000000000003</v>
          </cell>
          <cell r="I88">
            <v>30.5</v>
          </cell>
          <cell r="J88">
            <v>46.4</v>
          </cell>
          <cell r="K88">
            <v>29.4</v>
          </cell>
          <cell r="L88">
            <v>48</v>
          </cell>
          <cell r="M88">
            <v>29.4</v>
          </cell>
          <cell r="N88">
            <v>42.8</v>
          </cell>
          <cell r="O88">
            <v>30.4</v>
          </cell>
        </row>
        <row r="89">
          <cell r="A89">
            <v>403</v>
          </cell>
          <cell r="B89">
            <v>2</v>
          </cell>
          <cell r="C89">
            <v>13.417</v>
          </cell>
          <cell r="D89">
            <v>29.9</v>
          </cell>
          <cell r="E89">
            <v>27.5</v>
          </cell>
          <cell r="F89">
            <v>28.3</v>
          </cell>
          <cell r="G89">
            <v>27.5</v>
          </cell>
          <cell r="H89">
            <v>30.3</v>
          </cell>
          <cell r="I89">
            <v>27.4</v>
          </cell>
          <cell r="J89">
            <v>28.2</v>
          </cell>
          <cell r="K89">
            <v>26.1</v>
          </cell>
          <cell r="L89">
            <v>28</v>
          </cell>
          <cell r="M89">
            <v>28.9</v>
          </cell>
          <cell r="N89">
            <v>28.4</v>
          </cell>
          <cell r="O89">
            <v>27.7</v>
          </cell>
        </row>
        <row r="90">
          <cell r="A90">
            <v>402</v>
          </cell>
          <cell r="B90">
            <v>1</v>
          </cell>
          <cell r="C90">
            <v>13.427</v>
          </cell>
          <cell r="D90">
            <v>40.5</v>
          </cell>
          <cell r="E90">
            <v>37</v>
          </cell>
          <cell r="F90">
            <v>36.9</v>
          </cell>
          <cell r="G90">
            <v>33.799999999999997</v>
          </cell>
          <cell r="H90">
            <v>38.6</v>
          </cell>
          <cell r="I90">
            <v>33.1</v>
          </cell>
          <cell r="J90">
            <v>37.200000000000003</v>
          </cell>
          <cell r="K90">
            <v>32.6</v>
          </cell>
          <cell r="L90">
            <v>37.700000000000003</v>
          </cell>
          <cell r="M90">
            <v>32.200000000000003</v>
          </cell>
          <cell r="N90">
            <v>39.1</v>
          </cell>
          <cell r="O90">
            <v>30.4</v>
          </cell>
        </row>
        <row r="91">
          <cell r="A91">
            <v>402</v>
          </cell>
          <cell r="B91">
            <v>2</v>
          </cell>
          <cell r="C91">
            <v>13.435</v>
          </cell>
          <cell r="D91">
            <v>29.4</v>
          </cell>
          <cell r="E91">
            <v>28.8</v>
          </cell>
          <cell r="F91">
            <v>29</v>
          </cell>
          <cell r="G91">
            <v>30.6</v>
          </cell>
          <cell r="H91">
            <v>30.2</v>
          </cell>
          <cell r="I91">
            <v>30.8</v>
          </cell>
          <cell r="J91">
            <v>29.5</v>
          </cell>
          <cell r="K91">
            <v>30</v>
          </cell>
          <cell r="L91">
            <v>30.7</v>
          </cell>
          <cell r="M91">
            <v>29.8</v>
          </cell>
          <cell r="N91">
            <v>27.7</v>
          </cell>
          <cell r="O91">
            <v>28.7</v>
          </cell>
        </row>
        <row r="92">
          <cell r="A92">
            <v>401</v>
          </cell>
          <cell r="B92">
            <v>1</v>
          </cell>
          <cell r="C92">
            <v>13.458</v>
          </cell>
          <cell r="D92">
            <v>61.6</v>
          </cell>
          <cell r="E92">
            <v>52.9</v>
          </cell>
          <cell r="F92">
            <v>55.8</v>
          </cell>
          <cell r="G92">
            <v>58.5</v>
          </cell>
          <cell r="H92">
            <v>45.5</v>
          </cell>
          <cell r="I92">
            <v>55.8</v>
          </cell>
          <cell r="J92">
            <v>42.4</v>
          </cell>
          <cell r="K92">
            <v>58</v>
          </cell>
          <cell r="L92">
            <v>50.3</v>
          </cell>
          <cell r="M92">
            <v>50.3</v>
          </cell>
          <cell r="N92">
            <v>45.7</v>
          </cell>
          <cell r="O92">
            <v>50.6</v>
          </cell>
        </row>
        <row r="93">
          <cell r="A93">
            <v>401</v>
          </cell>
          <cell r="B93">
            <v>2</v>
          </cell>
          <cell r="C93">
            <v>13.468999999999999</v>
          </cell>
          <cell r="D93">
            <v>30.6</v>
          </cell>
          <cell r="E93">
            <v>29.1</v>
          </cell>
          <cell r="F93">
            <v>28.8</v>
          </cell>
          <cell r="G93">
            <v>30.6</v>
          </cell>
          <cell r="H93">
            <v>28.8</v>
          </cell>
          <cell r="I93">
            <v>30.1</v>
          </cell>
          <cell r="J93">
            <v>31.3</v>
          </cell>
          <cell r="K93">
            <v>29.9</v>
          </cell>
          <cell r="L93">
            <v>35.799999999999997</v>
          </cell>
          <cell r="M93">
            <v>30.5</v>
          </cell>
          <cell r="N93">
            <v>30.8</v>
          </cell>
          <cell r="O93">
            <v>28.7</v>
          </cell>
        </row>
      </sheetData>
      <sheetData sheetId="2">
        <row r="7">
          <cell r="C7">
            <v>178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40.85</v>
          </cell>
        </row>
        <row r="29">
          <cell r="E29">
            <v>6.8433420104157552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'IA180.03R'</v>
          </cell>
        </row>
        <row r="14">
          <cell r="A14">
            <v>108</v>
          </cell>
          <cell r="B14">
            <v>1</v>
          </cell>
          <cell r="C14">
            <v>13.127000000000001</v>
          </cell>
          <cell r="D14">
            <v>43.5</v>
          </cell>
          <cell r="E14">
            <v>30.6</v>
          </cell>
          <cell r="F14">
            <v>46.9</v>
          </cell>
          <cell r="G14">
            <v>34.799999999999997</v>
          </cell>
          <cell r="H14">
            <v>48.3</v>
          </cell>
          <cell r="I14">
            <v>36.200000000000003</v>
          </cell>
          <cell r="J14">
            <v>41.3</v>
          </cell>
          <cell r="K14">
            <v>45.8</v>
          </cell>
          <cell r="L14">
            <v>31.7</v>
          </cell>
          <cell r="M14">
            <v>51</v>
          </cell>
          <cell r="N14">
            <v>31.3</v>
          </cell>
          <cell r="O14">
            <v>49.8</v>
          </cell>
        </row>
        <row r="15">
          <cell r="A15">
            <v>108</v>
          </cell>
          <cell r="B15">
            <v>2</v>
          </cell>
          <cell r="C15">
            <v>13.132999999999999</v>
          </cell>
          <cell r="D15">
            <v>31.9</v>
          </cell>
          <cell r="E15">
            <v>29.6</v>
          </cell>
          <cell r="F15">
            <v>29.9</v>
          </cell>
          <cell r="G15">
            <v>30.5</v>
          </cell>
          <cell r="H15">
            <v>33.200000000000003</v>
          </cell>
          <cell r="I15">
            <v>31.3</v>
          </cell>
          <cell r="J15">
            <v>32.700000000000003</v>
          </cell>
          <cell r="K15">
            <v>30.7</v>
          </cell>
          <cell r="L15">
            <v>28.6</v>
          </cell>
          <cell r="M15">
            <v>30.5</v>
          </cell>
          <cell r="N15">
            <v>29</v>
          </cell>
          <cell r="O15">
            <v>28.9</v>
          </cell>
        </row>
        <row r="16">
          <cell r="A16">
            <v>107</v>
          </cell>
          <cell r="B16">
            <v>1</v>
          </cell>
          <cell r="C16">
            <v>13.15</v>
          </cell>
          <cell r="D16">
            <v>49.5</v>
          </cell>
          <cell r="E16">
            <v>38</v>
          </cell>
          <cell r="F16">
            <v>48.6</v>
          </cell>
          <cell r="G16">
            <v>30.8</v>
          </cell>
          <cell r="H16">
            <v>45.5</v>
          </cell>
          <cell r="I16">
            <v>37.6</v>
          </cell>
          <cell r="J16">
            <v>42.8</v>
          </cell>
          <cell r="K16">
            <v>40.200000000000003</v>
          </cell>
          <cell r="L16">
            <v>35.6</v>
          </cell>
          <cell r="M16">
            <v>40.9</v>
          </cell>
          <cell r="N16">
            <v>37.6</v>
          </cell>
          <cell r="O16">
            <v>34.1</v>
          </cell>
        </row>
        <row r="17">
          <cell r="A17">
            <v>107</v>
          </cell>
          <cell r="B17">
            <v>2</v>
          </cell>
          <cell r="C17">
            <v>13.154999999999999</v>
          </cell>
          <cell r="D17">
            <v>30.4</v>
          </cell>
          <cell r="E17">
            <v>30.2</v>
          </cell>
          <cell r="F17">
            <v>32.6</v>
          </cell>
          <cell r="G17">
            <v>29.9</v>
          </cell>
          <cell r="H17">
            <v>30.2</v>
          </cell>
          <cell r="I17">
            <v>30.3</v>
          </cell>
          <cell r="J17">
            <v>30.4</v>
          </cell>
          <cell r="K17">
            <v>31.1</v>
          </cell>
          <cell r="L17">
            <v>32.1</v>
          </cell>
          <cell r="M17">
            <v>31.7</v>
          </cell>
          <cell r="N17">
            <v>30</v>
          </cell>
          <cell r="O17">
            <v>30.2</v>
          </cell>
        </row>
        <row r="18">
          <cell r="A18">
            <v>106</v>
          </cell>
          <cell r="B18">
            <v>1</v>
          </cell>
          <cell r="C18">
            <v>13.166</v>
          </cell>
          <cell r="D18">
            <v>39.799999999999997</v>
          </cell>
          <cell r="E18">
            <v>39.5</v>
          </cell>
          <cell r="F18">
            <v>32</v>
          </cell>
          <cell r="G18">
            <v>36</v>
          </cell>
          <cell r="H18">
            <v>43</v>
          </cell>
          <cell r="I18">
            <v>34.700000000000003</v>
          </cell>
          <cell r="J18">
            <v>44.6</v>
          </cell>
          <cell r="K18">
            <v>32.6</v>
          </cell>
          <cell r="L18">
            <v>43.5</v>
          </cell>
          <cell r="M18">
            <v>36.200000000000003</v>
          </cell>
          <cell r="N18">
            <v>46.2</v>
          </cell>
          <cell r="O18">
            <v>35.6</v>
          </cell>
        </row>
        <row r="19">
          <cell r="A19">
            <v>106</v>
          </cell>
          <cell r="B19">
            <v>2</v>
          </cell>
          <cell r="C19">
            <v>13.172000000000001</v>
          </cell>
          <cell r="D19">
            <v>30</v>
          </cell>
          <cell r="E19">
            <v>30.6</v>
          </cell>
          <cell r="F19">
            <v>29.2</v>
          </cell>
          <cell r="G19">
            <v>29.9</v>
          </cell>
          <cell r="H19">
            <v>30.4</v>
          </cell>
          <cell r="I19">
            <v>29.3</v>
          </cell>
          <cell r="J19">
            <v>28.9</v>
          </cell>
          <cell r="K19">
            <v>29.7</v>
          </cell>
          <cell r="L19">
            <v>29.9</v>
          </cell>
          <cell r="M19">
            <v>29.7</v>
          </cell>
          <cell r="N19">
            <v>31</v>
          </cell>
          <cell r="O19">
            <v>30.1</v>
          </cell>
        </row>
        <row r="20">
          <cell r="A20">
            <v>105</v>
          </cell>
          <cell r="B20">
            <v>1</v>
          </cell>
          <cell r="C20">
            <v>13.186</v>
          </cell>
          <cell r="D20">
            <v>35.299999999999997</v>
          </cell>
          <cell r="E20">
            <v>31</v>
          </cell>
          <cell r="F20">
            <v>33</v>
          </cell>
          <cell r="G20">
            <v>31.6</v>
          </cell>
          <cell r="H20">
            <v>36.9</v>
          </cell>
          <cell r="I20">
            <v>31.1</v>
          </cell>
          <cell r="J20">
            <v>36.1</v>
          </cell>
          <cell r="K20">
            <v>30.5</v>
          </cell>
          <cell r="L20">
            <v>38.799999999999997</v>
          </cell>
          <cell r="M20">
            <v>34.700000000000003</v>
          </cell>
          <cell r="N20">
            <v>39.700000000000003</v>
          </cell>
          <cell r="O20">
            <v>31.3</v>
          </cell>
        </row>
        <row r="21">
          <cell r="A21">
            <v>105</v>
          </cell>
          <cell r="B21">
            <v>2</v>
          </cell>
          <cell r="C21">
            <v>13.191000000000001</v>
          </cell>
          <cell r="D21">
            <v>30.3</v>
          </cell>
          <cell r="E21">
            <v>29.4</v>
          </cell>
          <cell r="F21">
            <v>30.6</v>
          </cell>
          <cell r="G21">
            <v>29.8</v>
          </cell>
          <cell r="H21">
            <v>31.6</v>
          </cell>
          <cell r="I21">
            <v>30.1</v>
          </cell>
          <cell r="J21">
            <v>29.3</v>
          </cell>
          <cell r="K21">
            <v>32.6</v>
          </cell>
          <cell r="L21">
            <v>32.5</v>
          </cell>
          <cell r="M21">
            <v>30.5</v>
          </cell>
          <cell r="N21">
            <v>29.9</v>
          </cell>
          <cell r="O21">
            <v>29.1</v>
          </cell>
        </row>
        <row r="22">
          <cell r="A22">
            <v>104</v>
          </cell>
          <cell r="B22">
            <v>1</v>
          </cell>
          <cell r="C22">
            <v>13.204000000000001</v>
          </cell>
          <cell r="D22">
            <v>44.8</v>
          </cell>
          <cell r="E22">
            <v>44.3</v>
          </cell>
          <cell r="F22">
            <v>36.700000000000003</v>
          </cell>
          <cell r="G22">
            <v>33</v>
          </cell>
          <cell r="H22">
            <v>40.700000000000003</v>
          </cell>
          <cell r="I22">
            <v>32.799999999999997</v>
          </cell>
          <cell r="J22">
            <v>43</v>
          </cell>
          <cell r="K22">
            <v>31.9</v>
          </cell>
          <cell r="L22">
            <v>42.4</v>
          </cell>
          <cell r="M22">
            <v>30.8</v>
          </cell>
          <cell r="N22">
            <v>43.1</v>
          </cell>
          <cell r="O22">
            <v>31.8</v>
          </cell>
        </row>
        <row r="23">
          <cell r="A23">
            <v>104</v>
          </cell>
          <cell r="B23">
            <v>2</v>
          </cell>
          <cell r="C23">
            <v>13.21</v>
          </cell>
          <cell r="D23">
            <v>29.2</v>
          </cell>
          <cell r="E23">
            <v>30.7</v>
          </cell>
          <cell r="F23">
            <v>29.7</v>
          </cell>
          <cell r="G23">
            <v>30.3</v>
          </cell>
          <cell r="H23">
            <v>31.8</v>
          </cell>
          <cell r="I23">
            <v>31.5</v>
          </cell>
          <cell r="J23">
            <v>29.3</v>
          </cell>
          <cell r="K23">
            <v>30.2</v>
          </cell>
          <cell r="L23">
            <v>31.6</v>
          </cell>
          <cell r="M23">
            <v>29.9</v>
          </cell>
          <cell r="N23">
            <v>31.1</v>
          </cell>
          <cell r="O23">
            <v>30.9</v>
          </cell>
        </row>
        <row r="24">
          <cell r="A24">
            <v>103</v>
          </cell>
          <cell r="B24">
            <v>1</v>
          </cell>
          <cell r="C24">
            <v>13.22</v>
          </cell>
          <cell r="D24">
            <v>44.8</v>
          </cell>
          <cell r="E24">
            <v>35.700000000000003</v>
          </cell>
          <cell r="F24">
            <v>34.1</v>
          </cell>
          <cell r="G24">
            <v>39.9</v>
          </cell>
          <cell r="H24">
            <v>34.299999999999997</v>
          </cell>
          <cell r="I24">
            <v>38.799999999999997</v>
          </cell>
          <cell r="J24">
            <v>30.8</v>
          </cell>
          <cell r="K24">
            <v>36.9</v>
          </cell>
          <cell r="L24">
            <v>38.1</v>
          </cell>
          <cell r="M24">
            <v>39.5</v>
          </cell>
          <cell r="N24">
            <v>46.7</v>
          </cell>
          <cell r="O24">
            <v>31.2</v>
          </cell>
        </row>
        <row r="25">
          <cell r="A25">
            <v>103</v>
          </cell>
          <cell r="B25">
            <v>2</v>
          </cell>
          <cell r="C25">
            <v>13.227</v>
          </cell>
          <cell r="D25">
            <v>29.6</v>
          </cell>
          <cell r="E25">
            <v>29.3</v>
          </cell>
          <cell r="F25">
            <v>30.8</v>
          </cell>
          <cell r="G25">
            <v>28.5</v>
          </cell>
          <cell r="H25">
            <v>31.5</v>
          </cell>
          <cell r="I25">
            <v>31.2</v>
          </cell>
          <cell r="J25">
            <v>31.5</v>
          </cell>
          <cell r="K25">
            <v>29.3</v>
          </cell>
          <cell r="L25">
            <v>28.3</v>
          </cell>
          <cell r="M25">
            <v>31.6</v>
          </cell>
          <cell r="N25">
            <v>30.5</v>
          </cell>
          <cell r="O25">
            <v>30</v>
          </cell>
        </row>
        <row r="26">
          <cell r="A26">
            <v>102</v>
          </cell>
          <cell r="B26">
            <v>1</v>
          </cell>
          <cell r="C26">
            <v>13.24</v>
          </cell>
          <cell r="D26">
            <v>56.5</v>
          </cell>
          <cell r="E26">
            <v>43.7</v>
          </cell>
          <cell r="F26">
            <v>40.6</v>
          </cell>
          <cell r="G26">
            <v>49.8</v>
          </cell>
          <cell r="H26">
            <v>39.6</v>
          </cell>
          <cell r="I26">
            <v>52.6</v>
          </cell>
          <cell r="J26">
            <v>44.1</v>
          </cell>
          <cell r="K26">
            <v>49.7</v>
          </cell>
          <cell r="L26">
            <v>51.3</v>
          </cell>
          <cell r="M26">
            <v>51.1</v>
          </cell>
          <cell r="N26">
            <v>48</v>
          </cell>
          <cell r="O26">
            <v>39.5</v>
          </cell>
        </row>
        <row r="27">
          <cell r="A27">
            <v>102</v>
          </cell>
          <cell r="B27">
            <v>2</v>
          </cell>
          <cell r="C27">
            <v>13.244999999999999</v>
          </cell>
          <cell r="D27">
            <v>31.7</v>
          </cell>
          <cell r="E27">
            <v>29.6</v>
          </cell>
          <cell r="F27">
            <v>30.2</v>
          </cell>
          <cell r="G27">
            <v>29.2</v>
          </cell>
          <cell r="H27">
            <v>28.3</v>
          </cell>
          <cell r="I27">
            <v>31.4</v>
          </cell>
          <cell r="J27">
            <v>31.6</v>
          </cell>
          <cell r="K27">
            <v>29.7</v>
          </cell>
          <cell r="L27">
            <v>31.4</v>
          </cell>
          <cell r="M27">
            <v>29.3</v>
          </cell>
          <cell r="N27">
            <v>30.8</v>
          </cell>
          <cell r="O27">
            <v>28.7</v>
          </cell>
        </row>
        <row r="28">
          <cell r="A28">
            <v>101</v>
          </cell>
          <cell r="B28">
            <v>1</v>
          </cell>
          <cell r="C28">
            <v>13.257999999999999</v>
          </cell>
          <cell r="D28">
            <v>57.3</v>
          </cell>
          <cell r="E28">
            <v>58</v>
          </cell>
          <cell r="F28">
            <v>36</v>
          </cell>
          <cell r="G28">
            <v>55.8</v>
          </cell>
          <cell r="H28">
            <v>34.5</v>
          </cell>
          <cell r="I28">
            <v>48.9</v>
          </cell>
          <cell r="J28">
            <v>37.700000000000003</v>
          </cell>
          <cell r="K28">
            <v>51</v>
          </cell>
          <cell r="L28">
            <v>39.1</v>
          </cell>
          <cell r="M28">
            <v>55.2</v>
          </cell>
          <cell r="N28">
            <v>42.5</v>
          </cell>
          <cell r="O28">
            <v>56.1</v>
          </cell>
        </row>
        <row r="29">
          <cell r="A29">
            <v>101</v>
          </cell>
          <cell r="B29">
            <v>2</v>
          </cell>
          <cell r="C29">
            <v>13.263999999999999</v>
          </cell>
          <cell r="D29">
            <v>29.7</v>
          </cell>
          <cell r="E29">
            <v>31.4</v>
          </cell>
          <cell r="F29">
            <v>30.3</v>
          </cell>
          <cell r="G29">
            <v>30.7</v>
          </cell>
          <cell r="H29">
            <v>30.4</v>
          </cell>
          <cell r="I29">
            <v>29.2</v>
          </cell>
          <cell r="J29">
            <v>29.6</v>
          </cell>
          <cell r="K29">
            <v>30.7</v>
          </cell>
          <cell r="L29">
            <v>30</v>
          </cell>
          <cell r="M29">
            <v>29.2</v>
          </cell>
          <cell r="N29">
            <v>30.4</v>
          </cell>
          <cell r="O29">
            <v>30.4</v>
          </cell>
        </row>
        <row r="30">
          <cell r="A30">
            <v>201</v>
          </cell>
          <cell r="B30">
            <v>1</v>
          </cell>
          <cell r="C30">
            <v>13.281000000000001</v>
          </cell>
          <cell r="D30">
            <v>35.6</v>
          </cell>
          <cell r="E30">
            <v>30.1</v>
          </cell>
          <cell r="F30">
            <v>30.9</v>
          </cell>
          <cell r="G30">
            <v>34.799999999999997</v>
          </cell>
          <cell r="H30">
            <v>28.2</v>
          </cell>
          <cell r="I30">
            <v>34.200000000000003</v>
          </cell>
          <cell r="J30">
            <v>29.3</v>
          </cell>
          <cell r="K30">
            <v>36.5</v>
          </cell>
          <cell r="L30">
            <v>29.4</v>
          </cell>
          <cell r="M30">
            <v>35.299999999999997</v>
          </cell>
          <cell r="N30">
            <v>29.4</v>
          </cell>
          <cell r="O30">
            <v>36.200000000000003</v>
          </cell>
        </row>
        <row r="31">
          <cell r="A31">
            <v>201</v>
          </cell>
          <cell r="B31">
            <v>2</v>
          </cell>
          <cell r="C31">
            <v>13.286</v>
          </cell>
          <cell r="D31">
            <v>28.9</v>
          </cell>
          <cell r="E31">
            <v>28.5</v>
          </cell>
          <cell r="F31">
            <v>29.2</v>
          </cell>
          <cell r="G31">
            <v>29.3</v>
          </cell>
          <cell r="H31">
            <v>28.8</v>
          </cell>
          <cell r="I31">
            <v>30.8</v>
          </cell>
          <cell r="J31">
            <v>29.4</v>
          </cell>
          <cell r="K31">
            <v>30.9</v>
          </cell>
          <cell r="L31">
            <v>27.1</v>
          </cell>
          <cell r="M31">
            <v>31.8</v>
          </cell>
          <cell r="N31">
            <v>29.9</v>
          </cell>
          <cell r="O31">
            <v>32.200000000000003</v>
          </cell>
        </row>
        <row r="32">
          <cell r="A32">
            <v>202</v>
          </cell>
          <cell r="B32">
            <v>1</v>
          </cell>
          <cell r="C32">
            <v>13.298999999999999</v>
          </cell>
          <cell r="D32">
            <v>45.8</v>
          </cell>
          <cell r="E32">
            <v>31.3</v>
          </cell>
          <cell r="F32">
            <v>44.3</v>
          </cell>
          <cell r="G32">
            <v>37.200000000000003</v>
          </cell>
          <cell r="H32">
            <v>40.4</v>
          </cell>
          <cell r="I32">
            <v>44.4</v>
          </cell>
          <cell r="J32">
            <v>35.299999999999997</v>
          </cell>
          <cell r="K32">
            <v>47.7</v>
          </cell>
          <cell r="L32">
            <v>34.4</v>
          </cell>
          <cell r="M32">
            <v>44.2</v>
          </cell>
          <cell r="N32">
            <v>39.4</v>
          </cell>
          <cell r="O32">
            <v>32.6</v>
          </cell>
        </row>
        <row r="33">
          <cell r="A33">
            <v>202</v>
          </cell>
          <cell r="B33">
            <v>2</v>
          </cell>
          <cell r="C33">
            <v>13.304</v>
          </cell>
          <cell r="D33">
            <v>30</v>
          </cell>
          <cell r="E33">
            <v>28.9</v>
          </cell>
          <cell r="F33">
            <v>30</v>
          </cell>
          <cell r="G33">
            <v>30.3</v>
          </cell>
          <cell r="H33">
            <v>29.4</v>
          </cell>
          <cell r="I33">
            <v>30.7</v>
          </cell>
          <cell r="J33">
            <v>30.7</v>
          </cell>
          <cell r="K33">
            <v>29.6</v>
          </cell>
          <cell r="L33">
            <v>29.4</v>
          </cell>
          <cell r="M33">
            <v>28.1</v>
          </cell>
          <cell r="N33">
            <v>29.1</v>
          </cell>
          <cell r="O33">
            <v>30.1</v>
          </cell>
        </row>
        <row r="34">
          <cell r="A34">
            <v>203</v>
          </cell>
          <cell r="B34">
            <v>1</v>
          </cell>
          <cell r="C34">
            <v>13.317</v>
          </cell>
          <cell r="D34">
            <v>52</v>
          </cell>
          <cell r="E34">
            <v>35.1</v>
          </cell>
          <cell r="F34">
            <v>52.8</v>
          </cell>
          <cell r="G34">
            <v>31.1</v>
          </cell>
          <cell r="H34">
            <v>51.5</v>
          </cell>
          <cell r="I34">
            <v>32.4</v>
          </cell>
          <cell r="J34">
            <v>56.2</v>
          </cell>
          <cell r="K34">
            <v>42.8</v>
          </cell>
          <cell r="L34">
            <v>52.7</v>
          </cell>
          <cell r="M34">
            <v>34.700000000000003</v>
          </cell>
          <cell r="N34">
            <v>50.2</v>
          </cell>
          <cell r="O34">
            <v>31.3</v>
          </cell>
        </row>
        <row r="35">
          <cell r="A35">
            <v>203</v>
          </cell>
          <cell r="B35">
            <v>2</v>
          </cell>
          <cell r="C35">
            <v>13.321</v>
          </cell>
          <cell r="D35">
            <v>28.8</v>
          </cell>
          <cell r="E35">
            <v>30.2</v>
          </cell>
          <cell r="F35">
            <v>30.3</v>
          </cell>
          <cell r="G35">
            <v>27.8</v>
          </cell>
          <cell r="H35">
            <v>30.3</v>
          </cell>
          <cell r="I35">
            <v>29.2</v>
          </cell>
          <cell r="J35">
            <v>31.1</v>
          </cell>
          <cell r="K35">
            <v>31</v>
          </cell>
          <cell r="L35">
            <v>29.4</v>
          </cell>
          <cell r="M35">
            <v>29.3</v>
          </cell>
          <cell r="N35">
            <v>29.3</v>
          </cell>
          <cell r="O35">
            <v>30.7</v>
          </cell>
        </row>
        <row r="36">
          <cell r="A36">
            <v>204</v>
          </cell>
          <cell r="B36">
            <v>1</v>
          </cell>
          <cell r="C36">
            <v>13.334</v>
          </cell>
          <cell r="D36">
            <v>34.9</v>
          </cell>
          <cell r="E36">
            <v>30</v>
          </cell>
          <cell r="F36">
            <v>32</v>
          </cell>
          <cell r="G36">
            <v>29.5</v>
          </cell>
          <cell r="H36">
            <v>36.9</v>
          </cell>
          <cell r="I36">
            <v>29.9</v>
          </cell>
          <cell r="J36">
            <v>34</v>
          </cell>
          <cell r="K36">
            <v>29.6</v>
          </cell>
          <cell r="L36">
            <v>35.1</v>
          </cell>
          <cell r="M36">
            <v>30.5</v>
          </cell>
          <cell r="N36">
            <v>33.5</v>
          </cell>
          <cell r="O36">
            <v>28.8</v>
          </cell>
        </row>
        <row r="37">
          <cell r="A37">
            <v>204</v>
          </cell>
          <cell r="B37">
            <v>2</v>
          </cell>
          <cell r="C37">
            <v>13.339</v>
          </cell>
          <cell r="D37">
            <v>27.3</v>
          </cell>
          <cell r="E37">
            <v>28.5</v>
          </cell>
          <cell r="F37">
            <v>28.3</v>
          </cell>
          <cell r="G37">
            <v>31</v>
          </cell>
          <cell r="H37">
            <v>26.8</v>
          </cell>
          <cell r="I37">
            <v>27.6</v>
          </cell>
          <cell r="J37">
            <v>28.9</v>
          </cell>
          <cell r="K37">
            <v>29.1</v>
          </cell>
          <cell r="L37">
            <v>32.799999999999997</v>
          </cell>
          <cell r="M37">
            <v>31.9</v>
          </cell>
          <cell r="N37">
            <v>29.8</v>
          </cell>
          <cell r="O37">
            <v>32.299999999999997</v>
          </cell>
        </row>
        <row r="38">
          <cell r="A38">
            <v>205</v>
          </cell>
          <cell r="B38">
            <v>1</v>
          </cell>
          <cell r="C38">
            <v>13.351000000000001</v>
          </cell>
          <cell r="D38">
            <v>54.2</v>
          </cell>
          <cell r="E38">
            <v>48.6</v>
          </cell>
          <cell r="F38">
            <v>53.7</v>
          </cell>
          <cell r="G38">
            <v>35.5</v>
          </cell>
          <cell r="H38">
            <v>47.4</v>
          </cell>
          <cell r="I38">
            <v>37.700000000000003</v>
          </cell>
          <cell r="J38">
            <v>48</v>
          </cell>
          <cell r="K38">
            <v>43.3</v>
          </cell>
          <cell r="L38">
            <v>54</v>
          </cell>
          <cell r="M38">
            <v>34.9</v>
          </cell>
          <cell r="N38">
            <v>43.6</v>
          </cell>
          <cell r="O38">
            <v>50.4</v>
          </cell>
        </row>
        <row r="39">
          <cell r="A39">
            <v>205</v>
          </cell>
          <cell r="B39">
            <v>2</v>
          </cell>
          <cell r="C39">
            <v>13.356999999999999</v>
          </cell>
          <cell r="D39">
            <v>31.6</v>
          </cell>
          <cell r="E39">
            <v>31.6</v>
          </cell>
          <cell r="F39">
            <v>30.3</v>
          </cell>
          <cell r="G39">
            <v>31.4</v>
          </cell>
          <cell r="H39">
            <v>29.8</v>
          </cell>
          <cell r="I39">
            <v>31.9</v>
          </cell>
          <cell r="J39">
            <v>30.8</v>
          </cell>
          <cell r="K39">
            <v>32</v>
          </cell>
          <cell r="L39">
            <v>30.5</v>
          </cell>
          <cell r="M39">
            <v>31.7</v>
          </cell>
          <cell r="N39">
            <v>30.2</v>
          </cell>
          <cell r="O39">
            <v>30.6</v>
          </cell>
        </row>
        <row r="40">
          <cell r="A40">
            <v>206</v>
          </cell>
          <cell r="B40">
            <v>1</v>
          </cell>
          <cell r="C40">
            <v>13.369</v>
          </cell>
          <cell r="D40">
            <v>57.5</v>
          </cell>
          <cell r="E40">
            <v>58.7</v>
          </cell>
          <cell r="F40">
            <v>42.4</v>
          </cell>
          <cell r="G40">
            <v>59.7</v>
          </cell>
          <cell r="H40">
            <v>50</v>
          </cell>
          <cell r="I40">
            <v>61.1</v>
          </cell>
          <cell r="J40">
            <v>39.4</v>
          </cell>
          <cell r="K40">
            <v>61.9</v>
          </cell>
          <cell r="L40">
            <v>38</v>
          </cell>
          <cell r="M40">
            <v>61.7</v>
          </cell>
          <cell r="N40">
            <v>37.700000000000003</v>
          </cell>
          <cell r="O40">
            <v>61.1</v>
          </cell>
        </row>
        <row r="41">
          <cell r="A41">
            <v>206</v>
          </cell>
          <cell r="B41">
            <v>2</v>
          </cell>
          <cell r="C41">
            <v>13.375</v>
          </cell>
          <cell r="D41">
            <v>32.6</v>
          </cell>
          <cell r="E41">
            <v>34</v>
          </cell>
          <cell r="F41">
            <v>32.9</v>
          </cell>
          <cell r="G41">
            <v>31.4</v>
          </cell>
          <cell r="H41">
            <v>30.5</v>
          </cell>
          <cell r="I41">
            <v>32.9</v>
          </cell>
          <cell r="J41">
            <v>34</v>
          </cell>
          <cell r="K41">
            <v>32</v>
          </cell>
          <cell r="L41">
            <v>31.8</v>
          </cell>
          <cell r="M41">
            <v>34.700000000000003</v>
          </cell>
          <cell r="N41">
            <v>30.7</v>
          </cell>
          <cell r="O41">
            <v>32.1</v>
          </cell>
        </row>
        <row r="42">
          <cell r="A42">
            <v>207</v>
          </cell>
          <cell r="B42">
            <v>1</v>
          </cell>
          <cell r="C42">
            <v>13.387</v>
          </cell>
          <cell r="D42">
            <v>54.7</v>
          </cell>
          <cell r="E42">
            <v>36</v>
          </cell>
          <cell r="F42">
            <v>49.9</v>
          </cell>
          <cell r="G42">
            <v>31.7</v>
          </cell>
          <cell r="H42">
            <v>52.1</v>
          </cell>
          <cell r="I42">
            <v>31.9</v>
          </cell>
          <cell r="J42">
            <v>49.8</v>
          </cell>
          <cell r="K42">
            <v>30.6</v>
          </cell>
          <cell r="L42">
            <v>48</v>
          </cell>
          <cell r="M42">
            <v>38</v>
          </cell>
          <cell r="N42">
            <v>51.5</v>
          </cell>
          <cell r="O42">
            <v>32.200000000000003</v>
          </cell>
        </row>
        <row r="43">
          <cell r="A43">
            <v>207</v>
          </cell>
          <cell r="B43">
            <v>2</v>
          </cell>
          <cell r="C43">
            <v>13.393000000000001</v>
          </cell>
          <cell r="D43">
            <v>28.2</v>
          </cell>
          <cell r="E43">
            <v>30.2</v>
          </cell>
          <cell r="F43">
            <v>27.5</v>
          </cell>
          <cell r="G43">
            <v>29.1</v>
          </cell>
          <cell r="H43">
            <v>28.9</v>
          </cell>
          <cell r="I43">
            <v>31.9</v>
          </cell>
          <cell r="J43">
            <v>30.7</v>
          </cell>
          <cell r="K43">
            <v>30.3</v>
          </cell>
          <cell r="L43">
            <v>32.4</v>
          </cell>
          <cell r="M43">
            <v>30.7</v>
          </cell>
          <cell r="N43">
            <v>31.1</v>
          </cell>
          <cell r="O43">
            <v>32</v>
          </cell>
        </row>
        <row r="44">
          <cell r="A44">
            <v>208</v>
          </cell>
          <cell r="B44">
            <v>1</v>
          </cell>
          <cell r="C44">
            <v>13.404999999999999</v>
          </cell>
          <cell r="D44">
            <v>54.8</v>
          </cell>
          <cell r="E44">
            <v>41.7</v>
          </cell>
          <cell r="F44">
            <v>46.6</v>
          </cell>
          <cell r="G44">
            <v>41.7</v>
          </cell>
          <cell r="H44">
            <v>47.8</v>
          </cell>
          <cell r="I44">
            <v>52.7</v>
          </cell>
          <cell r="J44">
            <v>41.5</v>
          </cell>
          <cell r="K44">
            <v>57.4</v>
          </cell>
          <cell r="L44">
            <v>35.799999999999997</v>
          </cell>
          <cell r="M44">
            <v>55.1</v>
          </cell>
          <cell r="N44">
            <v>37.200000000000003</v>
          </cell>
          <cell r="O44">
            <v>55.6</v>
          </cell>
        </row>
        <row r="45">
          <cell r="A45">
            <v>208</v>
          </cell>
          <cell r="B45">
            <v>2</v>
          </cell>
          <cell r="C45">
            <v>13.411</v>
          </cell>
          <cell r="D45">
            <v>29.1</v>
          </cell>
          <cell r="E45">
            <v>29.1</v>
          </cell>
          <cell r="F45">
            <v>36.700000000000003</v>
          </cell>
          <cell r="G45">
            <v>30.4</v>
          </cell>
          <cell r="H45">
            <v>29.9</v>
          </cell>
          <cell r="I45">
            <v>30.7</v>
          </cell>
          <cell r="J45">
            <v>31.1</v>
          </cell>
          <cell r="K45">
            <v>29.6</v>
          </cell>
          <cell r="L45">
            <v>29.2</v>
          </cell>
          <cell r="M45">
            <v>29.9</v>
          </cell>
          <cell r="N45">
            <v>30.8</v>
          </cell>
          <cell r="O45">
            <v>32</v>
          </cell>
        </row>
        <row r="46">
          <cell r="A46">
            <v>908</v>
          </cell>
          <cell r="B46">
            <v>1</v>
          </cell>
          <cell r="C46">
            <v>13.442</v>
          </cell>
          <cell r="D46">
            <v>61.5</v>
          </cell>
          <cell r="E46">
            <v>39.6</v>
          </cell>
          <cell r="F46">
            <v>60.3</v>
          </cell>
          <cell r="G46">
            <v>38.4</v>
          </cell>
          <cell r="H46">
            <v>60.3</v>
          </cell>
          <cell r="I46">
            <v>40.1</v>
          </cell>
          <cell r="J46">
            <v>61.5</v>
          </cell>
          <cell r="K46">
            <v>37.9</v>
          </cell>
          <cell r="L46">
            <v>61</v>
          </cell>
          <cell r="M46">
            <v>42.5</v>
          </cell>
          <cell r="N46">
            <v>59.9</v>
          </cell>
          <cell r="O46">
            <v>37.799999999999997</v>
          </cell>
        </row>
        <row r="47">
          <cell r="A47">
            <v>908</v>
          </cell>
          <cell r="B47">
            <v>2</v>
          </cell>
          <cell r="C47">
            <v>13.446999999999999</v>
          </cell>
          <cell r="D47">
            <v>32</v>
          </cell>
          <cell r="E47">
            <v>33.4</v>
          </cell>
          <cell r="F47">
            <v>33</v>
          </cell>
          <cell r="G47">
            <v>32.299999999999997</v>
          </cell>
          <cell r="H47">
            <v>32.799999999999997</v>
          </cell>
          <cell r="I47">
            <v>33.4</v>
          </cell>
          <cell r="J47">
            <v>32.299999999999997</v>
          </cell>
          <cell r="K47">
            <v>31.9</v>
          </cell>
          <cell r="L47">
            <v>32.6</v>
          </cell>
          <cell r="M47">
            <v>33.1</v>
          </cell>
          <cell r="N47">
            <v>34.700000000000003</v>
          </cell>
          <cell r="O47">
            <v>34</v>
          </cell>
        </row>
        <row r="48">
          <cell r="A48">
            <v>907</v>
          </cell>
          <cell r="B48">
            <v>1</v>
          </cell>
          <cell r="C48">
            <v>13.461</v>
          </cell>
          <cell r="D48">
            <v>69.400000000000006</v>
          </cell>
          <cell r="E48">
            <v>69</v>
          </cell>
          <cell r="F48">
            <v>68.7</v>
          </cell>
          <cell r="G48">
            <v>68.400000000000006</v>
          </cell>
          <cell r="H48">
            <v>68.3</v>
          </cell>
          <cell r="I48">
            <v>68.5</v>
          </cell>
          <cell r="J48">
            <v>67.599999999999994</v>
          </cell>
          <cell r="K48">
            <v>68.400000000000006</v>
          </cell>
          <cell r="L48">
            <v>68.2</v>
          </cell>
          <cell r="M48">
            <v>68.3</v>
          </cell>
          <cell r="N48">
            <v>68.400000000000006</v>
          </cell>
          <cell r="O48">
            <v>68.599999999999994</v>
          </cell>
        </row>
        <row r="50">
          <cell r="A50">
            <v>906</v>
          </cell>
          <cell r="B50">
            <v>1</v>
          </cell>
          <cell r="C50">
            <v>13.471</v>
          </cell>
          <cell r="D50">
            <v>55.9</v>
          </cell>
          <cell r="E50">
            <v>34.4</v>
          </cell>
          <cell r="F50">
            <v>49.5</v>
          </cell>
          <cell r="G50">
            <v>32.9</v>
          </cell>
          <cell r="H50">
            <v>49</v>
          </cell>
          <cell r="I50">
            <v>37.5</v>
          </cell>
          <cell r="J50">
            <v>53.4</v>
          </cell>
          <cell r="K50">
            <v>33.799999999999997</v>
          </cell>
          <cell r="L50">
            <v>54.8</v>
          </cell>
          <cell r="M50">
            <v>38.799999999999997</v>
          </cell>
          <cell r="N50">
            <v>45.3</v>
          </cell>
          <cell r="O50">
            <v>33.700000000000003</v>
          </cell>
        </row>
        <row r="51">
          <cell r="A51">
            <v>906</v>
          </cell>
          <cell r="B51">
            <v>2</v>
          </cell>
          <cell r="C51">
            <v>13.476000000000001</v>
          </cell>
          <cell r="D51">
            <v>31.9</v>
          </cell>
          <cell r="E51">
            <v>31</v>
          </cell>
          <cell r="F51">
            <v>30.8</v>
          </cell>
          <cell r="G51">
            <v>31.5</v>
          </cell>
          <cell r="H51">
            <v>30.6</v>
          </cell>
          <cell r="I51">
            <v>29.9</v>
          </cell>
          <cell r="J51">
            <v>29.4</v>
          </cell>
          <cell r="K51">
            <v>29.1</v>
          </cell>
          <cell r="L51">
            <v>30.5</v>
          </cell>
          <cell r="M51">
            <v>29.7</v>
          </cell>
          <cell r="N51">
            <v>31.2</v>
          </cell>
          <cell r="O51">
            <v>30</v>
          </cell>
        </row>
        <row r="52">
          <cell r="A52">
            <v>905</v>
          </cell>
          <cell r="B52">
            <v>1</v>
          </cell>
          <cell r="C52">
            <v>13.49</v>
          </cell>
          <cell r="D52">
            <v>41.3</v>
          </cell>
          <cell r="E52">
            <v>41.2</v>
          </cell>
          <cell r="F52">
            <v>40.9</v>
          </cell>
          <cell r="G52">
            <v>40.9</v>
          </cell>
          <cell r="H52">
            <v>40.9</v>
          </cell>
          <cell r="I52">
            <v>41.6</v>
          </cell>
          <cell r="J52">
            <v>41.5</v>
          </cell>
          <cell r="K52">
            <v>41.4</v>
          </cell>
          <cell r="L52">
            <v>41.1</v>
          </cell>
          <cell r="M52">
            <v>40.799999999999997</v>
          </cell>
          <cell r="N52">
            <v>41.2</v>
          </cell>
          <cell r="O52">
            <v>41.2</v>
          </cell>
        </row>
        <row r="54">
          <cell r="A54">
            <v>904</v>
          </cell>
          <cell r="B54">
            <v>1</v>
          </cell>
          <cell r="C54">
            <v>13.5</v>
          </cell>
          <cell r="D54">
            <v>60.5</v>
          </cell>
          <cell r="E54">
            <v>38.200000000000003</v>
          </cell>
          <cell r="F54">
            <v>55</v>
          </cell>
          <cell r="G54">
            <v>40.200000000000003</v>
          </cell>
          <cell r="H54">
            <v>52.5</v>
          </cell>
          <cell r="I54">
            <v>39.799999999999997</v>
          </cell>
          <cell r="J54">
            <v>59.1</v>
          </cell>
          <cell r="K54">
            <v>42.3</v>
          </cell>
          <cell r="L54">
            <v>59.4</v>
          </cell>
          <cell r="M54">
            <v>49.6</v>
          </cell>
          <cell r="N54">
            <v>48.3</v>
          </cell>
          <cell r="O54">
            <v>59.8</v>
          </cell>
        </row>
        <row r="55">
          <cell r="A55">
            <v>904</v>
          </cell>
          <cell r="B55">
            <v>2</v>
          </cell>
          <cell r="C55">
            <v>13.507</v>
          </cell>
          <cell r="D55">
            <v>31.9</v>
          </cell>
          <cell r="E55">
            <v>34.5</v>
          </cell>
          <cell r="F55">
            <v>32.1</v>
          </cell>
          <cell r="G55">
            <v>36.1</v>
          </cell>
          <cell r="H55">
            <v>32.200000000000003</v>
          </cell>
          <cell r="I55">
            <v>34.799999999999997</v>
          </cell>
          <cell r="J55">
            <v>32.200000000000003</v>
          </cell>
          <cell r="K55">
            <v>33.299999999999997</v>
          </cell>
          <cell r="L55">
            <v>32</v>
          </cell>
          <cell r="M55">
            <v>34.700000000000003</v>
          </cell>
          <cell r="N55">
            <v>31.8</v>
          </cell>
          <cell r="O55">
            <v>33.1</v>
          </cell>
        </row>
        <row r="56">
          <cell r="A56">
            <v>903</v>
          </cell>
          <cell r="B56">
            <v>1</v>
          </cell>
          <cell r="C56">
            <v>13.52</v>
          </cell>
          <cell r="D56">
            <v>68.5</v>
          </cell>
          <cell r="E56">
            <v>68.8</v>
          </cell>
          <cell r="F56">
            <v>68.599999999999994</v>
          </cell>
          <cell r="G56">
            <v>68.5</v>
          </cell>
          <cell r="H56">
            <v>68.5</v>
          </cell>
          <cell r="I56">
            <v>68.5</v>
          </cell>
          <cell r="J56">
            <v>67.900000000000006</v>
          </cell>
          <cell r="K56">
            <v>68</v>
          </cell>
          <cell r="L56">
            <v>67.7</v>
          </cell>
          <cell r="M56">
            <v>68.400000000000006</v>
          </cell>
          <cell r="N56">
            <v>69.099999999999994</v>
          </cell>
          <cell r="O56">
            <v>69</v>
          </cell>
        </row>
        <row r="58">
          <cell r="A58">
            <v>902</v>
          </cell>
          <cell r="B58">
            <v>1</v>
          </cell>
          <cell r="C58">
            <v>13.53</v>
          </cell>
          <cell r="D58">
            <v>55.9</v>
          </cell>
          <cell r="E58">
            <v>34.200000000000003</v>
          </cell>
          <cell r="F58">
            <v>54.2</v>
          </cell>
          <cell r="G58">
            <v>33.799999999999997</v>
          </cell>
          <cell r="H58">
            <v>55.5</v>
          </cell>
          <cell r="I58">
            <v>34.200000000000003</v>
          </cell>
          <cell r="J58">
            <v>57.5</v>
          </cell>
          <cell r="K58">
            <v>34.700000000000003</v>
          </cell>
          <cell r="L58">
            <v>53.2</v>
          </cell>
          <cell r="M58">
            <v>41.1</v>
          </cell>
          <cell r="N58">
            <v>53.8</v>
          </cell>
          <cell r="O58">
            <v>36.6</v>
          </cell>
        </row>
        <row r="59">
          <cell r="A59">
            <v>902</v>
          </cell>
          <cell r="B59">
            <v>2</v>
          </cell>
          <cell r="C59">
            <v>13.535</v>
          </cell>
          <cell r="D59">
            <v>30.6</v>
          </cell>
          <cell r="E59">
            <v>31.3</v>
          </cell>
          <cell r="F59">
            <v>32.799999999999997</v>
          </cell>
          <cell r="G59">
            <v>30.5</v>
          </cell>
          <cell r="H59">
            <v>29.9</v>
          </cell>
          <cell r="I59">
            <v>29.5</v>
          </cell>
          <cell r="J59">
            <v>30.3</v>
          </cell>
          <cell r="K59">
            <v>29</v>
          </cell>
          <cell r="L59">
            <v>30.5</v>
          </cell>
          <cell r="M59">
            <v>28.9</v>
          </cell>
          <cell r="N59">
            <v>29.6</v>
          </cell>
          <cell r="O59">
            <v>30</v>
          </cell>
        </row>
        <row r="60">
          <cell r="A60">
            <v>901</v>
          </cell>
          <cell r="B60">
            <v>1</v>
          </cell>
          <cell r="C60">
            <v>13.548</v>
          </cell>
          <cell r="D60">
            <v>58.4</v>
          </cell>
          <cell r="E60">
            <v>54.6</v>
          </cell>
          <cell r="F60">
            <v>54.8</v>
          </cell>
          <cell r="G60">
            <v>56.9</v>
          </cell>
          <cell r="H60">
            <v>55.9</v>
          </cell>
          <cell r="I60">
            <v>54.1</v>
          </cell>
          <cell r="J60">
            <v>55.3</v>
          </cell>
          <cell r="K60">
            <v>56.3</v>
          </cell>
          <cell r="L60">
            <v>57.3</v>
          </cell>
          <cell r="M60">
            <v>56.3</v>
          </cell>
          <cell r="N60">
            <v>59</v>
          </cell>
          <cell r="O60">
            <v>55.5</v>
          </cell>
        </row>
        <row r="62">
          <cell r="A62">
            <v>301</v>
          </cell>
          <cell r="B62">
            <v>1</v>
          </cell>
          <cell r="C62">
            <v>13.558999999999999</v>
          </cell>
          <cell r="D62">
            <v>39</v>
          </cell>
          <cell r="E62">
            <v>31.4</v>
          </cell>
          <cell r="F62">
            <v>36.799999999999997</v>
          </cell>
          <cell r="G62">
            <v>36</v>
          </cell>
          <cell r="H62">
            <v>31.6</v>
          </cell>
          <cell r="I62">
            <v>37.4</v>
          </cell>
          <cell r="J62">
            <v>29.7</v>
          </cell>
          <cell r="K62">
            <v>38.299999999999997</v>
          </cell>
          <cell r="L62">
            <v>31.2</v>
          </cell>
          <cell r="M62">
            <v>34.200000000000003</v>
          </cell>
          <cell r="N62">
            <v>30.2</v>
          </cell>
          <cell r="O62">
            <v>36.700000000000003</v>
          </cell>
        </row>
        <row r="63">
          <cell r="A63">
            <v>301</v>
          </cell>
          <cell r="B63">
            <v>2</v>
          </cell>
          <cell r="C63">
            <v>13.565</v>
          </cell>
          <cell r="D63">
            <v>27.8</v>
          </cell>
          <cell r="E63">
            <v>27.8</v>
          </cell>
          <cell r="F63">
            <v>27.8</v>
          </cell>
          <cell r="G63">
            <v>29.4</v>
          </cell>
          <cell r="H63">
            <v>27.3</v>
          </cell>
          <cell r="I63">
            <v>27.1</v>
          </cell>
          <cell r="J63">
            <v>29.7</v>
          </cell>
          <cell r="K63">
            <v>28.2</v>
          </cell>
          <cell r="L63">
            <v>27.8</v>
          </cell>
          <cell r="M63">
            <v>28.6</v>
          </cell>
          <cell r="N63">
            <v>29.6</v>
          </cell>
          <cell r="O63">
            <v>27.9</v>
          </cell>
        </row>
        <row r="64">
          <cell r="A64">
            <v>302</v>
          </cell>
          <cell r="B64">
            <v>1</v>
          </cell>
          <cell r="C64">
            <v>13.577999999999999</v>
          </cell>
          <cell r="D64">
            <v>52.1</v>
          </cell>
          <cell r="E64">
            <v>37.200000000000003</v>
          </cell>
          <cell r="F64">
            <v>42.6</v>
          </cell>
          <cell r="G64">
            <v>41.8</v>
          </cell>
          <cell r="H64">
            <v>38.9</v>
          </cell>
          <cell r="I64">
            <v>45</v>
          </cell>
          <cell r="J64">
            <v>39.200000000000003</v>
          </cell>
          <cell r="K64">
            <v>45.3</v>
          </cell>
          <cell r="L64">
            <v>36.299999999999997</v>
          </cell>
          <cell r="M64">
            <v>42.2</v>
          </cell>
          <cell r="N64">
            <v>35.9</v>
          </cell>
          <cell r="O64">
            <v>42.3</v>
          </cell>
        </row>
        <row r="65">
          <cell r="A65">
            <v>302</v>
          </cell>
          <cell r="B65">
            <v>2</v>
          </cell>
          <cell r="C65">
            <v>13.583</v>
          </cell>
          <cell r="D65">
            <v>29.6</v>
          </cell>
          <cell r="E65">
            <v>29.7</v>
          </cell>
          <cell r="F65">
            <v>30.3</v>
          </cell>
          <cell r="G65">
            <v>29.5</v>
          </cell>
          <cell r="H65">
            <v>30.1</v>
          </cell>
          <cell r="I65">
            <v>29.5</v>
          </cell>
          <cell r="J65">
            <v>28.6</v>
          </cell>
          <cell r="K65">
            <v>29.2</v>
          </cell>
          <cell r="L65">
            <v>30.1</v>
          </cell>
          <cell r="M65">
            <v>29.9</v>
          </cell>
          <cell r="N65">
            <v>27.9</v>
          </cell>
          <cell r="O65">
            <v>28.9</v>
          </cell>
        </row>
        <row r="66">
          <cell r="A66">
            <v>303</v>
          </cell>
          <cell r="B66">
            <v>1</v>
          </cell>
          <cell r="C66">
            <v>13.596</v>
          </cell>
          <cell r="D66">
            <v>61.3</v>
          </cell>
          <cell r="E66">
            <v>47.9</v>
          </cell>
          <cell r="F66">
            <v>45</v>
          </cell>
          <cell r="G66">
            <v>57.6</v>
          </cell>
          <cell r="H66">
            <v>47.3</v>
          </cell>
          <cell r="I66">
            <v>59.4</v>
          </cell>
          <cell r="J66">
            <v>39.6</v>
          </cell>
          <cell r="K66">
            <v>60.7</v>
          </cell>
          <cell r="L66">
            <v>37.6</v>
          </cell>
          <cell r="M66">
            <v>60.6</v>
          </cell>
          <cell r="N66">
            <v>39.299999999999997</v>
          </cell>
          <cell r="O66">
            <v>62.6</v>
          </cell>
        </row>
        <row r="67">
          <cell r="A67">
            <v>303</v>
          </cell>
          <cell r="B67">
            <v>2</v>
          </cell>
          <cell r="C67">
            <v>13.601000000000001</v>
          </cell>
          <cell r="D67">
            <v>30</v>
          </cell>
          <cell r="E67">
            <v>32.5</v>
          </cell>
          <cell r="F67">
            <v>31.3</v>
          </cell>
          <cell r="G67">
            <v>33</v>
          </cell>
          <cell r="H67">
            <v>30.4</v>
          </cell>
          <cell r="I67">
            <v>32.200000000000003</v>
          </cell>
          <cell r="J67">
            <v>30</v>
          </cell>
          <cell r="K67">
            <v>31.6</v>
          </cell>
          <cell r="L67">
            <v>30.8</v>
          </cell>
          <cell r="M67">
            <v>31.4</v>
          </cell>
          <cell r="N67">
            <v>31</v>
          </cell>
          <cell r="O67">
            <v>31.1</v>
          </cell>
        </row>
        <row r="68">
          <cell r="A68">
            <v>304</v>
          </cell>
          <cell r="B68">
            <v>1</v>
          </cell>
          <cell r="C68">
            <v>13.613</v>
          </cell>
          <cell r="D68">
            <v>55.8</v>
          </cell>
          <cell r="E68">
            <v>37.299999999999997</v>
          </cell>
          <cell r="F68">
            <v>54.8</v>
          </cell>
          <cell r="G68">
            <v>36.200000000000003</v>
          </cell>
          <cell r="H68">
            <v>54.9</v>
          </cell>
          <cell r="I68">
            <v>36.4</v>
          </cell>
          <cell r="J68">
            <v>46.4</v>
          </cell>
          <cell r="K68">
            <v>33.799999999999997</v>
          </cell>
          <cell r="L68">
            <v>53.1</v>
          </cell>
          <cell r="M68">
            <v>35.5</v>
          </cell>
          <cell r="N68">
            <v>57.8</v>
          </cell>
          <cell r="O68">
            <v>35.299999999999997</v>
          </cell>
        </row>
        <row r="69">
          <cell r="A69">
            <v>304</v>
          </cell>
          <cell r="B69">
            <v>2</v>
          </cell>
          <cell r="C69">
            <v>13.619</v>
          </cell>
          <cell r="D69">
            <v>30.2</v>
          </cell>
          <cell r="E69">
            <v>29.1</v>
          </cell>
          <cell r="F69">
            <v>30.9</v>
          </cell>
          <cell r="G69">
            <v>30.9</v>
          </cell>
          <cell r="H69">
            <v>30.6</v>
          </cell>
          <cell r="I69">
            <v>30.6</v>
          </cell>
          <cell r="J69">
            <v>29.4</v>
          </cell>
          <cell r="K69">
            <v>29.7</v>
          </cell>
          <cell r="L69">
            <v>28.3</v>
          </cell>
          <cell r="M69">
            <v>30.3</v>
          </cell>
          <cell r="N69">
            <v>29</v>
          </cell>
          <cell r="O69">
            <v>28.4</v>
          </cell>
        </row>
        <row r="70">
          <cell r="A70">
            <v>305</v>
          </cell>
          <cell r="B70">
            <v>1</v>
          </cell>
          <cell r="C70">
            <v>13.632999999999999</v>
          </cell>
          <cell r="D70">
            <v>36.6</v>
          </cell>
          <cell r="E70">
            <v>30.7</v>
          </cell>
          <cell r="F70">
            <v>35.799999999999997</v>
          </cell>
          <cell r="G70">
            <v>31.6</v>
          </cell>
          <cell r="H70">
            <v>32.9</v>
          </cell>
          <cell r="I70">
            <v>33.4</v>
          </cell>
          <cell r="J70">
            <v>34.1</v>
          </cell>
          <cell r="K70">
            <v>32.200000000000003</v>
          </cell>
          <cell r="L70">
            <v>33.700000000000003</v>
          </cell>
          <cell r="M70">
            <v>31.4</v>
          </cell>
          <cell r="N70">
            <v>32.799999999999997</v>
          </cell>
          <cell r="O70">
            <v>29.4</v>
          </cell>
        </row>
        <row r="71">
          <cell r="A71">
            <v>305</v>
          </cell>
          <cell r="B71">
            <v>2</v>
          </cell>
          <cell r="C71">
            <v>13.638</v>
          </cell>
          <cell r="D71">
            <v>28.7</v>
          </cell>
          <cell r="E71">
            <v>30.1</v>
          </cell>
          <cell r="F71">
            <v>30.7</v>
          </cell>
          <cell r="G71">
            <v>30.3</v>
          </cell>
          <cell r="H71">
            <v>29.7</v>
          </cell>
          <cell r="I71">
            <v>29.7</v>
          </cell>
          <cell r="J71">
            <v>30.8</v>
          </cell>
          <cell r="K71">
            <v>29.4</v>
          </cell>
          <cell r="L71">
            <v>30.5</v>
          </cell>
          <cell r="M71">
            <v>30</v>
          </cell>
          <cell r="N71">
            <v>31.8</v>
          </cell>
          <cell r="O71">
            <v>29</v>
          </cell>
        </row>
        <row r="72">
          <cell r="A72">
            <v>306</v>
          </cell>
          <cell r="B72">
            <v>1</v>
          </cell>
          <cell r="C72">
            <v>13.651</v>
          </cell>
          <cell r="D72">
            <v>47.4</v>
          </cell>
          <cell r="E72">
            <v>31.7</v>
          </cell>
          <cell r="F72">
            <v>48.8</v>
          </cell>
          <cell r="G72">
            <v>35.4</v>
          </cell>
          <cell r="H72">
            <v>45.5</v>
          </cell>
          <cell r="I72">
            <v>31.9</v>
          </cell>
          <cell r="J72">
            <v>45.2</v>
          </cell>
          <cell r="K72">
            <v>31.6</v>
          </cell>
          <cell r="L72">
            <v>37.799999999999997</v>
          </cell>
          <cell r="M72">
            <v>41.6</v>
          </cell>
          <cell r="N72">
            <v>41.3</v>
          </cell>
          <cell r="O72">
            <v>30</v>
          </cell>
        </row>
        <row r="73">
          <cell r="A73">
            <v>306</v>
          </cell>
          <cell r="B73">
            <v>2</v>
          </cell>
          <cell r="C73">
            <v>13.656000000000001</v>
          </cell>
          <cell r="D73">
            <v>27</v>
          </cell>
          <cell r="E73">
            <v>28.5</v>
          </cell>
          <cell r="F73">
            <v>29.7</v>
          </cell>
          <cell r="G73">
            <v>30.7</v>
          </cell>
          <cell r="H73">
            <v>28.1</v>
          </cell>
          <cell r="I73">
            <v>29</v>
          </cell>
          <cell r="J73">
            <v>28.7</v>
          </cell>
          <cell r="K73">
            <v>29.5</v>
          </cell>
          <cell r="L73">
            <v>28.5</v>
          </cell>
          <cell r="M73">
            <v>31</v>
          </cell>
          <cell r="N73">
            <v>27.7</v>
          </cell>
          <cell r="O73">
            <v>30.1</v>
          </cell>
        </row>
        <row r="74">
          <cell r="A74">
            <v>307</v>
          </cell>
          <cell r="B74">
            <v>1</v>
          </cell>
          <cell r="C74">
            <v>13.667999999999999</v>
          </cell>
          <cell r="D74">
            <v>44.4</v>
          </cell>
          <cell r="E74">
            <v>32.6</v>
          </cell>
          <cell r="F74">
            <v>40.9</v>
          </cell>
          <cell r="G74">
            <v>30.5</v>
          </cell>
          <cell r="H74">
            <v>43.1</v>
          </cell>
          <cell r="I74">
            <v>31.2</v>
          </cell>
          <cell r="J74">
            <v>47.2</v>
          </cell>
          <cell r="K74">
            <v>31.4</v>
          </cell>
          <cell r="L74">
            <v>42.7</v>
          </cell>
          <cell r="M74">
            <v>37.700000000000003</v>
          </cell>
          <cell r="N74">
            <v>43.6</v>
          </cell>
          <cell r="O74">
            <v>31.4</v>
          </cell>
        </row>
        <row r="75">
          <cell r="A75">
            <v>307</v>
          </cell>
          <cell r="B75">
            <v>2</v>
          </cell>
          <cell r="C75">
            <v>13.673999999999999</v>
          </cell>
          <cell r="D75">
            <v>28.3</v>
          </cell>
          <cell r="E75">
            <v>29.4</v>
          </cell>
          <cell r="F75">
            <v>29.2</v>
          </cell>
          <cell r="G75">
            <v>29</v>
          </cell>
          <cell r="H75">
            <v>28.7</v>
          </cell>
          <cell r="I75">
            <v>29.1</v>
          </cell>
          <cell r="J75">
            <v>29.2</v>
          </cell>
          <cell r="K75">
            <v>30.9</v>
          </cell>
          <cell r="L75">
            <v>30.6</v>
          </cell>
          <cell r="M75">
            <v>29.7</v>
          </cell>
          <cell r="N75">
            <v>30.4</v>
          </cell>
          <cell r="O75">
            <v>29.6</v>
          </cell>
        </row>
        <row r="76">
          <cell r="A76">
            <v>308</v>
          </cell>
          <cell r="B76">
            <v>1</v>
          </cell>
          <cell r="C76">
            <v>13.686</v>
          </cell>
          <cell r="D76">
            <v>44.8</v>
          </cell>
          <cell r="E76">
            <v>31.5</v>
          </cell>
          <cell r="F76">
            <v>47.2</v>
          </cell>
          <cell r="G76">
            <v>33.799999999999997</v>
          </cell>
          <cell r="H76">
            <v>41.7</v>
          </cell>
          <cell r="I76">
            <v>44.2</v>
          </cell>
          <cell r="J76">
            <v>38.6</v>
          </cell>
          <cell r="K76">
            <v>48.4</v>
          </cell>
          <cell r="L76">
            <v>32</v>
          </cell>
          <cell r="M76">
            <v>52.7</v>
          </cell>
          <cell r="N76">
            <v>30.7</v>
          </cell>
          <cell r="O76">
            <v>44.8</v>
          </cell>
        </row>
        <row r="77">
          <cell r="A77">
            <v>308</v>
          </cell>
          <cell r="B77">
            <v>2</v>
          </cell>
          <cell r="C77">
            <v>13.692</v>
          </cell>
          <cell r="D77">
            <v>27.7</v>
          </cell>
          <cell r="E77">
            <v>28.8</v>
          </cell>
          <cell r="F77">
            <v>29.6</v>
          </cell>
          <cell r="G77">
            <v>29.3</v>
          </cell>
          <cell r="H77">
            <v>27.8</v>
          </cell>
          <cell r="I77">
            <v>30.9</v>
          </cell>
          <cell r="J77">
            <v>28.3</v>
          </cell>
          <cell r="K77">
            <v>29.2</v>
          </cell>
          <cell r="L77">
            <v>29.4</v>
          </cell>
          <cell r="M77">
            <v>29.8</v>
          </cell>
          <cell r="N77">
            <v>30.3</v>
          </cell>
          <cell r="O77">
            <v>30</v>
          </cell>
        </row>
        <row r="78">
          <cell r="A78">
            <v>408</v>
          </cell>
          <cell r="B78">
            <v>1</v>
          </cell>
          <cell r="C78">
            <v>13.725</v>
          </cell>
          <cell r="D78">
            <v>40.799999999999997</v>
          </cell>
          <cell r="E78">
            <v>30.2</v>
          </cell>
          <cell r="F78">
            <v>40</v>
          </cell>
          <cell r="G78">
            <v>33.700000000000003</v>
          </cell>
          <cell r="H78">
            <v>38.9</v>
          </cell>
          <cell r="I78">
            <v>33.700000000000003</v>
          </cell>
          <cell r="J78">
            <v>38.200000000000003</v>
          </cell>
          <cell r="K78">
            <v>32.4</v>
          </cell>
          <cell r="L78">
            <v>35.299999999999997</v>
          </cell>
          <cell r="M78">
            <v>36.700000000000003</v>
          </cell>
          <cell r="N78">
            <v>34.1</v>
          </cell>
          <cell r="O78">
            <v>36.700000000000003</v>
          </cell>
        </row>
        <row r="79">
          <cell r="A79">
            <v>408</v>
          </cell>
          <cell r="B79">
            <v>2</v>
          </cell>
          <cell r="C79">
            <v>13.731</v>
          </cell>
          <cell r="D79">
            <v>31.9</v>
          </cell>
          <cell r="E79">
            <v>32.200000000000003</v>
          </cell>
          <cell r="F79">
            <v>29</v>
          </cell>
          <cell r="G79">
            <v>31</v>
          </cell>
          <cell r="H79">
            <v>31.2</v>
          </cell>
          <cell r="I79">
            <v>30.9</v>
          </cell>
          <cell r="J79">
            <v>30.4</v>
          </cell>
          <cell r="K79">
            <v>31.9</v>
          </cell>
          <cell r="L79">
            <v>31.5</v>
          </cell>
          <cell r="M79">
            <v>30.7</v>
          </cell>
          <cell r="N79">
            <v>30.2</v>
          </cell>
          <cell r="O79">
            <v>32.299999999999997</v>
          </cell>
        </row>
        <row r="80">
          <cell r="A80">
            <v>407</v>
          </cell>
          <cell r="B80">
            <v>1</v>
          </cell>
          <cell r="C80">
            <v>13.747</v>
          </cell>
          <cell r="D80">
            <v>62.1</v>
          </cell>
          <cell r="E80">
            <v>38.4</v>
          </cell>
          <cell r="F80">
            <v>59.9</v>
          </cell>
          <cell r="G80">
            <v>38.799999999999997</v>
          </cell>
          <cell r="H80">
            <v>53.9</v>
          </cell>
          <cell r="I80">
            <v>43.6</v>
          </cell>
          <cell r="J80">
            <v>59.3</v>
          </cell>
          <cell r="K80">
            <v>42.6</v>
          </cell>
          <cell r="L80">
            <v>46.7</v>
          </cell>
          <cell r="M80">
            <v>50.5</v>
          </cell>
          <cell r="N80">
            <v>51.3</v>
          </cell>
          <cell r="O80">
            <v>56.3</v>
          </cell>
        </row>
        <row r="81">
          <cell r="A81">
            <v>407</v>
          </cell>
          <cell r="B81">
            <v>2</v>
          </cell>
          <cell r="C81">
            <v>13.753</v>
          </cell>
          <cell r="D81">
            <v>29.6</v>
          </cell>
          <cell r="E81">
            <v>30.9</v>
          </cell>
          <cell r="F81">
            <v>29.8</v>
          </cell>
          <cell r="G81">
            <v>28.9</v>
          </cell>
          <cell r="H81">
            <v>29.6</v>
          </cell>
          <cell r="I81">
            <v>29.3</v>
          </cell>
          <cell r="J81">
            <v>30.2</v>
          </cell>
          <cell r="K81">
            <v>30.3</v>
          </cell>
          <cell r="L81">
            <v>31.4</v>
          </cell>
          <cell r="M81">
            <v>30.1</v>
          </cell>
          <cell r="N81">
            <v>31.6</v>
          </cell>
          <cell r="O81">
            <v>29.8</v>
          </cell>
        </row>
        <row r="82">
          <cell r="A82">
            <v>406</v>
          </cell>
          <cell r="B82">
            <v>1</v>
          </cell>
          <cell r="C82">
            <v>13.769</v>
          </cell>
          <cell r="D82">
            <v>52.7</v>
          </cell>
          <cell r="E82">
            <v>42.9</v>
          </cell>
          <cell r="F82">
            <v>37.200000000000003</v>
          </cell>
          <cell r="G82">
            <v>38.200000000000003</v>
          </cell>
          <cell r="H82">
            <v>40.9</v>
          </cell>
          <cell r="I82">
            <v>33.200000000000003</v>
          </cell>
          <cell r="J82">
            <v>40.700000000000003</v>
          </cell>
          <cell r="K82">
            <v>38.700000000000003</v>
          </cell>
          <cell r="L82">
            <v>38</v>
          </cell>
          <cell r="M82">
            <v>40</v>
          </cell>
          <cell r="N82">
            <v>40</v>
          </cell>
          <cell r="O82">
            <v>41.1</v>
          </cell>
        </row>
        <row r="83">
          <cell r="A83">
            <v>406</v>
          </cell>
          <cell r="B83">
            <v>2</v>
          </cell>
          <cell r="C83">
            <v>13.773999999999999</v>
          </cell>
          <cell r="D83">
            <v>29.6</v>
          </cell>
          <cell r="E83">
            <v>29.8</v>
          </cell>
          <cell r="F83">
            <v>28.7</v>
          </cell>
          <cell r="G83">
            <v>28</v>
          </cell>
          <cell r="H83">
            <v>28.9</v>
          </cell>
          <cell r="I83">
            <v>30.2</v>
          </cell>
          <cell r="J83">
            <v>30.3</v>
          </cell>
          <cell r="K83">
            <v>28.7</v>
          </cell>
          <cell r="L83">
            <v>30.1</v>
          </cell>
          <cell r="M83">
            <v>29.6</v>
          </cell>
          <cell r="N83">
            <v>29.3</v>
          </cell>
          <cell r="O83">
            <v>29.1</v>
          </cell>
        </row>
        <row r="84">
          <cell r="A84">
            <v>405</v>
          </cell>
          <cell r="B84">
            <v>1</v>
          </cell>
          <cell r="C84">
            <v>13.786</v>
          </cell>
          <cell r="D84">
            <v>43.9</v>
          </cell>
          <cell r="E84">
            <v>37.1</v>
          </cell>
          <cell r="F84">
            <v>33.299999999999997</v>
          </cell>
          <cell r="G84">
            <v>52.8</v>
          </cell>
          <cell r="H84">
            <v>31.5</v>
          </cell>
          <cell r="I84">
            <v>42.9</v>
          </cell>
          <cell r="J84">
            <v>30.8</v>
          </cell>
          <cell r="K84">
            <v>35.4</v>
          </cell>
          <cell r="L84">
            <v>39.200000000000003</v>
          </cell>
          <cell r="M84">
            <v>37.5</v>
          </cell>
          <cell r="N84">
            <v>36.200000000000003</v>
          </cell>
          <cell r="O84">
            <v>35.799999999999997</v>
          </cell>
        </row>
        <row r="85">
          <cell r="A85">
            <v>405</v>
          </cell>
          <cell r="B85">
            <v>2</v>
          </cell>
          <cell r="C85">
            <v>13.791</v>
          </cell>
          <cell r="D85">
            <v>28.6</v>
          </cell>
          <cell r="E85">
            <v>29.8</v>
          </cell>
          <cell r="F85">
            <v>28.9</v>
          </cell>
          <cell r="G85">
            <v>29.4</v>
          </cell>
          <cell r="H85">
            <v>30.1</v>
          </cell>
          <cell r="I85">
            <v>30.7</v>
          </cell>
          <cell r="J85">
            <v>30.2</v>
          </cell>
          <cell r="K85">
            <v>29.7</v>
          </cell>
          <cell r="L85">
            <v>31.2</v>
          </cell>
          <cell r="M85">
            <v>30</v>
          </cell>
          <cell r="N85">
            <v>30.7</v>
          </cell>
          <cell r="O85">
            <v>30.8</v>
          </cell>
        </row>
        <row r="86">
          <cell r="A86">
            <v>404</v>
          </cell>
          <cell r="B86">
            <v>1</v>
          </cell>
          <cell r="C86">
            <v>13.805</v>
          </cell>
          <cell r="D86">
            <v>52.5</v>
          </cell>
          <cell r="E86">
            <v>40.4</v>
          </cell>
          <cell r="F86">
            <v>44</v>
          </cell>
          <cell r="G86">
            <v>39</v>
          </cell>
          <cell r="H86">
            <v>41.1</v>
          </cell>
          <cell r="I86">
            <v>47.7</v>
          </cell>
          <cell r="J86">
            <v>44.4</v>
          </cell>
          <cell r="K86">
            <v>41.9</v>
          </cell>
          <cell r="L86">
            <v>39.1</v>
          </cell>
          <cell r="M86">
            <v>35.4</v>
          </cell>
          <cell r="N86">
            <v>51.4</v>
          </cell>
          <cell r="O86">
            <v>43.5</v>
          </cell>
        </row>
        <row r="87">
          <cell r="A87">
            <v>404</v>
          </cell>
          <cell r="B87">
            <v>2</v>
          </cell>
          <cell r="C87">
            <v>13.81</v>
          </cell>
          <cell r="D87">
            <v>28.1</v>
          </cell>
          <cell r="E87">
            <v>28.4</v>
          </cell>
          <cell r="F87">
            <v>27.2</v>
          </cell>
          <cell r="G87">
            <v>28.6</v>
          </cell>
          <cell r="H87">
            <v>27.9</v>
          </cell>
          <cell r="I87">
            <v>28.6</v>
          </cell>
          <cell r="J87">
            <v>28.1</v>
          </cell>
          <cell r="K87">
            <v>27.3</v>
          </cell>
          <cell r="L87">
            <v>28.3</v>
          </cell>
          <cell r="M87">
            <v>27.5</v>
          </cell>
          <cell r="N87">
            <v>27.6</v>
          </cell>
          <cell r="O87">
            <v>28.7</v>
          </cell>
        </row>
        <row r="88">
          <cell r="A88">
            <v>403</v>
          </cell>
          <cell r="B88">
            <v>1</v>
          </cell>
          <cell r="C88">
            <v>13.824</v>
          </cell>
          <cell r="D88">
            <v>48.2</v>
          </cell>
          <cell r="E88">
            <v>30.6</v>
          </cell>
          <cell r="F88">
            <v>38.6</v>
          </cell>
          <cell r="G88">
            <v>31.7</v>
          </cell>
          <cell r="H88">
            <v>44.4</v>
          </cell>
          <cell r="I88">
            <v>37.1</v>
          </cell>
          <cell r="J88">
            <v>35.700000000000003</v>
          </cell>
          <cell r="K88">
            <v>31.8</v>
          </cell>
          <cell r="L88">
            <v>46.1</v>
          </cell>
          <cell r="M88">
            <v>33.799999999999997</v>
          </cell>
          <cell r="N88">
            <v>43.5</v>
          </cell>
          <cell r="O88">
            <v>30.9</v>
          </cell>
        </row>
        <row r="89">
          <cell r="A89">
            <v>403</v>
          </cell>
          <cell r="B89">
            <v>2</v>
          </cell>
          <cell r="C89">
            <v>13.829000000000001</v>
          </cell>
          <cell r="D89">
            <v>29.3</v>
          </cell>
          <cell r="E89">
            <v>27.5</v>
          </cell>
          <cell r="F89">
            <v>27.8</v>
          </cell>
          <cell r="G89">
            <v>27.7</v>
          </cell>
          <cell r="H89">
            <v>29.3</v>
          </cell>
          <cell r="I89">
            <v>28.7</v>
          </cell>
          <cell r="J89">
            <v>29.6</v>
          </cell>
          <cell r="K89">
            <v>29.7</v>
          </cell>
          <cell r="L89">
            <v>28.7</v>
          </cell>
          <cell r="M89">
            <v>29.5</v>
          </cell>
          <cell r="N89">
            <v>27.8</v>
          </cell>
          <cell r="O89">
            <v>30.5</v>
          </cell>
        </row>
        <row r="90">
          <cell r="A90">
            <v>402</v>
          </cell>
          <cell r="B90">
            <v>1</v>
          </cell>
          <cell r="C90">
            <v>13.840999999999999</v>
          </cell>
          <cell r="D90">
            <v>40.9</v>
          </cell>
          <cell r="E90">
            <v>31.5</v>
          </cell>
          <cell r="F90">
            <v>38.799999999999997</v>
          </cell>
          <cell r="G90">
            <v>32.700000000000003</v>
          </cell>
          <cell r="H90">
            <v>40.6</v>
          </cell>
          <cell r="I90">
            <v>30.2</v>
          </cell>
          <cell r="J90">
            <v>39.1</v>
          </cell>
          <cell r="K90">
            <v>29.8</v>
          </cell>
          <cell r="L90">
            <v>39.6</v>
          </cell>
          <cell r="M90">
            <v>31.9</v>
          </cell>
          <cell r="N90">
            <v>36.200000000000003</v>
          </cell>
          <cell r="O90">
            <v>29.3</v>
          </cell>
        </row>
        <row r="91">
          <cell r="A91">
            <v>402</v>
          </cell>
          <cell r="B91">
            <v>2</v>
          </cell>
          <cell r="C91">
            <v>13.847</v>
          </cell>
          <cell r="D91">
            <v>28.3</v>
          </cell>
          <cell r="E91">
            <v>27.4</v>
          </cell>
          <cell r="F91">
            <v>29.6</v>
          </cell>
          <cell r="G91">
            <v>29.9</v>
          </cell>
          <cell r="H91">
            <v>28.4</v>
          </cell>
          <cell r="I91">
            <v>29.5</v>
          </cell>
          <cell r="J91">
            <v>29.8</v>
          </cell>
          <cell r="K91">
            <v>29</v>
          </cell>
          <cell r="L91">
            <v>28.6</v>
          </cell>
          <cell r="M91">
            <v>30.9</v>
          </cell>
          <cell r="N91">
            <v>30.8</v>
          </cell>
          <cell r="O91">
            <v>30.6</v>
          </cell>
        </row>
        <row r="92">
          <cell r="A92">
            <v>401</v>
          </cell>
          <cell r="B92">
            <v>1</v>
          </cell>
          <cell r="C92">
            <v>13.863</v>
          </cell>
          <cell r="D92">
            <v>61</v>
          </cell>
          <cell r="E92">
            <v>41.1</v>
          </cell>
          <cell r="F92">
            <v>62.2</v>
          </cell>
          <cell r="G92">
            <v>42.1</v>
          </cell>
          <cell r="H92">
            <v>60.7</v>
          </cell>
          <cell r="I92">
            <v>40.299999999999997</v>
          </cell>
          <cell r="J92">
            <v>59.1</v>
          </cell>
          <cell r="K92">
            <v>45.2</v>
          </cell>
          <cell r="L92">
            <v>55.2</v>
          </cell>
          <cell r="M92">
            <v>37.4</v>
          </cell>
          <cell r="N92">
            <v>59.7</v>
          </cell>
          <cell r="O92">
            <v>35.799999999999997</v>
          </cell>
        </row>
        <row r="93">
          <cell r="A93">
            <v>401</v>
          </cell>
          <cell r="B93">
            <v>2</v>
          </cell>
          <cell r="C93">
            <v>13.868</v>
          </cell>
          <cell r="D93">
            <v>29.8</v>
          </cell>
          <cell r="E93">
            <v>29.5</v>
          </cell>
          <cell r="F93">
            <v>31.6</v>
          </cell>
          <cell r="G93">
            <v>30.8</v>
          </cell>
          <cell r="H93">
            <v>30.9</v>
          </cell>
          <cell r="I93">
            <v>29.4</v>
          </cell>
          <cell r="J93">
            <v>31.6</v>
          </cell>
          <cell r="K93">
            <v>31.4</v>
          </cell>
          <cell r="L93">
            <v>31.1</v>
          </cell>
          <cell r="M93">
            <v>31.4</v>
          </cell>
          <cell r="N93">
            <v>32.299999999999997</v>
          </cell>
          <cell r="O93">
            <v>31.6</v>
          </cell>
        </row>
      </sheetData>
      <sheetData sheetId="2">
        <row r="7">
          <cell r="C7">
            <v>180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39.549999999999997</v>
          </cell>
        </row>
        <row r="29">
          <cell r="E29">
            <v>5.955402494778598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'IA181.03R'</v>
          </cell>
        </row>
        <row r="14">
          <cell r="A14">
            <v>108</v>
          </cell>
          <cell r="B14">
            <v>1</v>
          </cell>
          <cell r="C14">
            <v>13.098000000000001</v>
          </cell>
          <cell r="D14">
            <v>53.5</v>
          </cell>
          <cell r="E14">
            <v>38.9</v>
          </cell>
          <cell r="F14">
            <v>41.7</v>
          </cell>
          <cell r="G14">
            <v>42.4</v>
          </cell>
          <cell r="H14">
            <v>45</v>
          </cell>
          <cell r="I14">
            <v>43.2</v>
          </cell>
          <cell r="J14">
            <v>47.7</v>
          </cell>
          <cell r="K14">
            <v>38.9</v>
          </cell>
          <cell r="L14">
            <v>45.4</v>
          </cell>
          <cell r="M14">
            <v>34.200000000000003</v>
          </cell>
          <cell r="N14">
            <v>48.6</v>
          </cell>
          <cell r="O14">
            <v>32.6</v>
          </cell>
        </row>
        <row r="15">
          <cell r="A15">
            <v>108</v>
          </cell>
          <cell r="B15">
            <v>2</v>
          </cell>
          <cell r="C15">
            <v>13.102</v>
          </cell>
          <cell r="D15">
            <v>28.6</v>
          </cell>
          <cell r="E15">
            <v>29.5</v>
          </cell>
          <cell r="F15">
            <v>29.2</v>
          </cell>
          <cell r="G15">
            <v>31.3</v>
          </cell>
          <cell r="H15">
            <v>29.6</v>
          </cell>
          <cell r="I15">
            <v>30.9</v>
          </cell>
          <cell r="J15">
            <v>30.8</v>
          </cell>
          <cell r="K15">
            <v>30</v>
          </cell>
          <cell r="L15">
            <v>30.1</v>
          </cell>
          <cell r="M15">
            <v>29.9</v>
          </cell>
          <cell r="N15">
            <v>30</v>
          </cell>
          <cell r="O15">
            <v>31.1</v>
          </cell>
        </row>
        <row r="16">
          <cell r="A16">
            <v>107</v>
          </cell>
          <cell r="B16">
            <v>1</v>
          </cell>
          <cell r="C16">
            <v>13.115</v>
          </cell>
          <cell r="D16">
            <v>49.5</v>
          </cell>
          <cell r="E16">
            <v>46.6</v>
          </cell>
          <cell r="F16">
            <v>48.7</v>
          </cell>
          <cell r="G16">
            <v>43.2</v>
          </cell>
          <cell r="H16">
            <v>39.4</v>
          </cell>
          <cell r="I16">
            <v>45.3</v>
          </cell>
          <cell r="J16">
            <v>47.2</v>
          </cell>
          <cell r="K16">
            <v>46</v>
          </cell>
          <cell r="L16">
            <v>41.7</v>
          </cell>
          <cell r="M16">
            <v>51.8</v>
          </cell>
          <cell r="N16">
            <v>32.5</v>
          </cell>
          <cell r="O16">
            <v>46.7</v>
          </cell>
        </row>
        <row r="17">
          <cell r="A17">
            <v>107</v>
          </cell>
          <cell r="B17">
            <v>2</v>
          </cell>
          <cell r="C17">
            <v>13.12</v>
          </cell>
          <cell r="D17">
            <v>29.6</v>
          </cell>
          <cell r="E17">
            <v>29.8</v>
          </cell>
          <cell r="F17">
            <v>30.4</v>
          </cell>
          <cell r="G17">
            <v>29.3</v>
          </cell>
          <cell r="H17">
            <v>28.8</v>
          </cell>
          <cell r="I17">
            <v>28.8</v>
          </cell>
          <cell r="J17">
            <v>32.1</v>
          </cell>
          <cell r="K17">
            <v>29</v>
          </cell>
          <cell r="L17">
            <v>30.7</v>
          </cell>
          <cell r="M17">
            <v>29.5</v>
          </cell>
          <cell r="N17">
            <v>29.7</v>
          </cell>
          <cell r="O17">
            <v>30</v>
          </cell>
        </row>
        <row r="18">
          <cell r="A18">
            <v>106</v>
          </cell>
          <cell r="B18">
            <v>1</v>
          </cell>
          <cell r="C18">
            <v>13.134</v>
          </cell>
          <cell r="D18">
            <v>49.4</v>
          </cell>
          <cell r="E18">
            <v>36.1</v>
          </cell>
          <cell r="F18">
            <v>33.200000000000003</v>
          </cell>
          <cell r="G18">
            <v>38.799999999999997</v>
          </cell>
          <cell r="H18">
            <v>38</v>
          </cell>
          <cell r="I18">
            <v>40.5</v>
          </cell>
          <cell r="J18">
            <v>33.299999999999997</v>
          </cell>
          <cell r="K18">
            <v>41.4</v>
          </cell>
          <cell r="L18">
            <v>36.200000000000003</v>
          </cell>
          <cell r="M18">
            <v>47.2</v>
          </cell>
          <cell r="N18">
            <v>38.299999999999997</v>
          </cell>
          <cell r="O18">
            <v>37.700000000000003</v>
          </cell>
        </row>
        <row r="19">
          <cell r="A19">
            <v>106</v>
          </cell>
          <cell r="B19">
            <v>2</v>
          </cell>
          <cell r="C19">
            <v>13.138</v>
          </cell>
          <cell r="D19">
            <v>29</v>
          </cell>
          <cell r="E19">
            <v>29.5</v>
          </cell>
          <cell r="F19">
            <v>29.1</v>
          </cell>
          <cell r="G19">
            <v>28.3</v>
          </cell>
          <cell r="H19">
            <v>30.1</v>
          </cell>
          <cell r="I19">
            <v>29.3</v>
          </cell>
          <cell r="J19">
            <v>29.1</v>
          </cell>
          <cell r="K19">
            <v>29.7</v>
          </cell>
          <cell r="L19">
            <v>28.8</v>
          </cell>
          <cell r="M19">
            <v>28.9</v>
          </cell>
          <cell r="N19">
            <v>28</v>
          </cell>
          <cell r="O19">
            <v>28.2</v>
          </cell>
        </row>
        <row r="20">
          <cell r="A20">
            <v>105</v>
          </cell>
          <cell r="B20">
            <v>1</v>
          </cell>
          <cell r="C20">
            <v>13.151</v>
          </cell>
          <cell r="D20">
            <v>36</v>
          </cell>
          <cell r="E20">
            <v>30.7</v>
          </cell>
          <cell r="F20">
            <v>28</v>
          </cell>
          <cell r="G20">
            <v>31.1</v>
          </cell>
          <cell r="H20">
            <v>33</v>
          </cell>
          <cell r="I20">
            <v>40.299999999999997</v>
          </cell>
          <cell r="J20">
            <v>28.8</v>
          </cell>
          <cell r="K20">
            <v>37.200000000000003</v>
          </cell>
          <cell r="L20">
            <v>28.7</v>
          </cell>
          <cell r="M20">
            <v>42.5</v>
          </cell>
          <cell r="N20">
            <v>29.7</v>
          </cell>
          <cell r="O20">
            <v>34.9</v>
          </cell>
        </row>
        <row r="21">
          <cell r="A21">
            <v>105</v>
          </cell>
          <cell r="B21">
            <v>2</v>
          </cell>
          <cell r="C21">
            <v>13.156000000000001</v>
          </cell>
          <cell r="D21">
            <v>28.3</v>
          </cell>
          <cell r="E21">
            <v>27.3</v>
          </cell>
          <cell r="F21">
            <v>29.2</v>
          </cell>
          <cell r="G21">
            <v>27.7</v>
          </cell>
          <cell r="H21">
            <v>27.3</v>
          </cell>
          <cell r="I21">
            <v>27.7</v>
          </cell>
          <cell r="J21">
            <v>28.4</v>
          </cell>
          <cell r="K21">
            <v>28.1</v>
          </cell>
          <cell r="L21">
            <v>28.8</v>
          </cell>
          <cell r="M21">
            <v>28.6</v>
          </cell>
          <cell r="N21">
            <v>29.1</v>
          </cell>
          <cell r="O21">
            <v>28.2</v>
          </cell>
        </row>
        <row r="22">
          <cell r="A22">
            <v>104</v>
          </cell>
          <cell r="B22">
            <v>1</v>
          </cell>
          <cell r="C22">
            <v>13.169</v>
          </cell>
          <cell r="D22">
            <v>51.1</v>
          </cell>
          <cell r="E22">
            <v>38.200000000000003</v>
          </cell>
          <cell r="F22">
            <v>45.7</v>
          </cell>
          <cell r="G22">
            <v>44.9</v>
          </cell>
          <cell r="H22">
            <v>32.6</v>
          </cell>
          <cell r="I22">
            <v>48.5</v>
          </cell>
          <cell r="J22">
            <v>36.4</v>
          </cell>
          <cell r="K22">
            <v>42</v>
          </cell>
          <cell r="L22">
            <v>39.1</v>
          </cell>
          <cell r="M22">
            <v>41.2</v>
          </cell>
          <cell r="N22">
            <v>32.6</v>
          </cell>
          <cell r="O22">
            <v>37.9</v>
          </cell>
        </row>
        <row r="23">
          <cell r="A23">
            <v>104</v>
          </cell>
          <cell r="B23">
            <v>2</v>
          </cell>
          <cell r="C23">
            <v>13.173999999999999</v>
          </cell>
          <cell r="D23">
            <v>28.4</v>
          </cell>
          <cell r="E23">
            <v>27.9</v>
          </cell>
          <cell r="F23">
            <v>29</v>
          </cell>
          <cell r="G23">
            <v>28.7</v>
          </cell>
          <cell r="H23">
            <v>29.8</v>
          </cell>
          <cell r="I23">
            <v>28.7</v>
          </cell>
          <cell r="J23">
            <v>28.3</v>
          </cell>
          <cell r="K23">
            <v>27.8</v>
          </cell>
          <cell r="L23">
            <v>28.5</v>
          </cell>
          <cell r="M23">
            <v>28.7</v>
          </cell>
          <cell r="N23">
            <v>28.9</v>
          </cell>
          <cell r="O23">
            <v>27.8</v>
          </cell>
        </row>
        <row r="24">
          <cell r="A24">
            <v>103</v>
          </cell>
          <cell r="B24">
            <v>1</v>
          </cell>
          <cell r="C24">
            <v>13.186</v>
          </cell>
          <cell r="D24">
            <v>48.9</v>
          </cell>
          <cell r="E24">
            <v>34.799999999999997</v>
          </cell>
          <cell r="F24">
            <v>36.5</v>
          </cell>
          <cell r="G24">
            <v>42.7</v>
          </cell>
          <cell r="H24">
            <v>29.9</v>
          </cell>
          <cell r="I24">
            <v>45.8</v>
          </cell>
          <cell r="J24">
            <v>30</v>
          </cell>
          <cell r="K24">
            <v>45.1</v>
          </cell>
          <cell r="L24">
            <v>31.2</v>
          </cell>
          <cell r="M24">
            <v>47.6</v>
          </cell>
          <cell r="N24">
            <v>34.4</v>
          </cell>
          <cell r="O24">
            <v>41</v>
          </cell>
        </row>
        <row r="25">
          <cell r="A25">
            <v>103</v>
          </cell>
          <cell r="B25">
            <v>2</v>
          </cell>
          <cell r="C25">
            <v>13.191000000000001</v>
          </cell>
          <cell r="D25">
            <v>29.3</v>
          </cell>
          <cell r="E25">
            <v>29.5</v>
          </cell>
          <cell r="F25">
            <v>31.1</v>
          </cell>
          <cell r="G25">
            <v>28.3</v>
          </cell>
          <cell r="H25">
            <v>29.1</v>
          </cell>
          <cell r="I25">
            <v>28.9</v>
          </cell>
          <cell r="J25">
            <v>29.6</v>
          </cell>
          <cell r="K25">
            <v>29.4</v>
          </cell>
          <cell r="L25">
            <v>29.1</v>
          </cell>
          <cell r="M25">
            <v>30</v>
          </cell>
          <cell r="N25">
            <v>29.6</v>
          </cell>
          <cell r="O25">
            <v>28.1</v>
          </cell>
        </row>
        <row r="26">
          <cell r="A26">
            <v>102</v>
          </cell>
          <cell r="B26">
            <v>1</v>
          </cell>
          <cell r="C26">
            <v>13.204000000000001</v>
          </cell>
          <cell r="D26">
            <v>58.4</v>
          </cell>
          <cell r="E26">
            <v>42.3</v>
          </cell>
          <cell r="F26">
            <v>33.4</v>
          </cell>
          <cell r="G26">
            <v>53.4</v>
          </cell>
          <cell r="H26">
            <v>33.5</v>
          </cell>
          <cell r="I26">
            <v>53.8</v>
          </cell>
          <cell r="J26">
            <v>47.5</v>
          </cell>
          <cell r="K26">
            <v>53.7</v>
          </cell>
          <cell r="L26">
            <v>42</v>
          </cell>
          <cell r="M26">
            <v>50.1</v>
          </cell>
          <cell r="N26">
            <v>42.1</v>
          </cell>
          <cell r="O26">
            <v>35.1</v>
          </cell>
        </row>
        <row r="27">
          <cell r="A27">
            <v>102</v>
          </cell>
          <cell r="B27">
            <v>2</v>
          </cell>
          <cell r="C27">
            <v>13.208</v>
          </cell>
          <cell r="D27">
            <v>29.6</v>
          </cell>
          <cell r="E27">
            <v>29.5</v>
          </cell>
          <cell r="F27">
            <v>30.4</v>
          </cell>
          <cell r="G27">
            <v>32.700000000000003</v>
          </cell>
          <cell r="H27">
            <v>28.9</v>
          </cell>
          <cell r="I27">
            <v>31.6</v>
          </cell>
          <cell r="J27">
            <v>29.4</v>
          </cell>
          <cell r="K27">
            <v>30</v>
          </cell>
          <cell r="L27">
            <v>31</v>
          </cell>
          <cell r="M27">
            <v>29.1</v>
          </cell>
          <cell r="N27">
            <v>29.3</v>
          </cell>
          <cell r="O27">
            <v>28.9</v>
          </cell>
        </row>
        <row r="28">
          <cell r="A28">
            <v>101</v>
          </cell>
          <cell r="B28">
            <v>1</v>
          </cell>
          <cell r="C28">
            <v>13.223000000000001</v>
          </cell>
          <cell r="D28">
            <v>58.5</v>
          </cell>
          <cell r="E28">
            <v>42.5</v>
          </cell>
          <cell r="F28">
            <v>46.8</v>
          </cell>
          <cell r="G28">
            <v>47.2</v>
          </cell>
          <cell r="H28">
            <v>35.200000000000003</v>
          </cell>
          <cell r="I28">
            <v>45.3</v>
          </cell>
          <cell r="J28">
            <v>43.3</v>
          </cell>
          <cell r="K28">
            <v>55</v>
          </cell>
          <cell r="L28">
            <v>36.299999999999997</v>
          </cell>
          <cell r="M28">
            <v>54.7</v>
          </cell>
          <cell r="N28">
            <v>44.7</v>
          </cell>
          <cell r="O28">
            <v>49</v>
          </cell>
        </row>
        <row r="29">
          <cell r="A29">
            <v>101</v>
          </cell>
          <cell r="B29">
            <v>2</v>
          </cell>
          <cell r="C29">
            <v>13.227</v>
          </cell>
          <cell r="D29">
            <v>30.8</v>
          </cell>
          <cell r="E29">
            <v>31.7</v>
          </cell>
          <cell r="F29">
            <v>30.9</v>
          </cell>
          <cell r="G29">
            <v>31.1</v>
          </cell>
          <cell r="H29">
            <v>30.1</v>
          </cell>
          <cell r="I29">
            <v>30.4</v>
          </cell>
          <cell r="J29">
            <v>31.3</v>
          </cell>
          <cell r="K29">
            <v>30.3</v>
          </cell>
          <cell r="L29">
            <v>32.6</v>
          </cell>
          <cell r="M29">
            <v>31.1</v>
          </cell>
          <cell r="N29">
            <v>33.4</v>
          </cell>
          <cell r="O29">
            <v>32.5</v>
          </cell>
        </row>
        <row r="30">
          <cell r="A30">
            <v>201</v>
          </cell>
          <cell r="B30">
            <v>1</v>
          </cell>
          <cell r="C30">
            <v>13.244</v>
          </cell>
          <cell r="D30">
            <v>40.200000000000003</v>
          </cell>
          <cell r="E30">
            <v>34</v>
          </cell>
          <cell r="F30">
            <v>34.799999999999997</v>
          </cell>
          <cell r="G30">
            <v>39</v>
          </cell>
          <cell r="H30">
            <v>30.1</v>
          </cell>
          <cell r="I30">
            <v>35.200000000000003</v>
          </cell>
          <cell r="J30">
            <v>30.7</v>
          </cell>
          <cell r="K30">
            <v>36.9</v>
          </cell>
          <cell r="L30">
            <v>29.9</v>
          </cell>
          <cell r="M30">
            <v>36.799999999999997</v>
          </cell>
          <cell r="N30">
            <v>32.799999999999997</v>
          </cell>
          <cell r="O30">
            <v>37.799999999999997</v>
          </cell>
        </row>
        <row r="31">
          <cell r="A31">
            <v>201</v>
          </cell>
          <cell r="B31">
            <v>2</v>
          </cell>
          <cell r="C31">
            <v>13.247999999999999</v>
          </cell>
          <cell r="D31">
            <v>29.6</v>
          </cell>
          <cell r="E31">
            <v>30.3</v>
          </cell>
          <cell r="F31">
            <v>31.3</v>
          </cell>
          <cell r="G31">
            <v>30.9</v>
          </cell>
          <cell r="H31">
            <v>29.7</v>
          </cell>
          <cell r="I31">
            <v>29.9</v>
          </cell>
          <cell r="J31">
            <v>27.9</v>
          </cell>
          <cell r="K31">
            <v>29.9</v>
          </cell>
          <cell r="L31">
            <v>29.9</v>
          </cell>
          <cell r="M31">
            <v>29.7</v>
          </cell>
          <cell r="N31">
            <v>31.8</v>
          </cell>
          <cell r="O31">
            <v>33.5</v>
          </cell>
        </row>
        <row r="32">
          <cell r="A32">
            <v>202</v>
          </cell>
          <cell r="B32">
            <v>1</v>
          </cell>
          <cell r="C32">
            <v>13.260999999999999</v>
          </cell>
          <cell r="D32">
            <v>53.7</v>
          </cell>
          <cell r="E32">
            <v>45.4</v>
          </cell>
          <cell r="F32">
            <v>36</v>
          </cell>
          <cell r="G32">
            <v>49.2</v>
          </cell>
          <cell r="H32">
            <v>43.9</v>
          </cell>
          <cell r="I32">
            <v>46.4</v>
          </cell>
          <cell r="J32">
            <v>37.4</v>
          </cell>
          <cell r="K32">
            <v>54.4</v>
          </cell>
          <cell r="L32">
            <v>46.9</v>
          </cell>
          <cell r="M32">
            <v>48</v>
          </cell>
          <cell r="N32">
            <v>38.799999999999997</v>
          </cell>
          <cell r="O32">
            <v>36.200000000000003</v>
          </cell>
        </row>
        <row r="33">
          <cell r="A33">
            <v>202</v>
          </cell>
          <cell r="B33">
            <v>2</v>
          </cell>
          <cell r="C33">
            <v>13.265000000000001</v>
          </cell>
          <cell r="D33">
            <v>30.6</v>
          </cell>
          <cell r="E33">
            <v>31.5</v>
          </cell>
          <cell r="F33">
            <v>31.7</v>
          </cell>
          <cell r="G33">
            <v>31.4</v>
          </cell>
          <cell r="H33">
            <v>31</v>
          </cell>
          <cell r="I33">
            <v>31.1</v>
          </cell>
          <cell r="J33">
            <v>32.200000000000003</v>
          </cell>
          <cell r="K33">
            <v>31.7</v>
          </cell>
          <cell r="L33">
            <v>32.1</v>
          </cell>
          <cell r="M33">
            <v>31.7</v>
          </cell>
          <cell r="N33">
            <v>31.5</v>
          </cell>
          <cell r="O33">
            <v>30</v>
          </cell>
        </row>
        <row r="34">
          <cell r="A34">
            <v>203</v>
          </cell>
          <cell r="B34">
            <v>1</v>
          </cell>
          <cell r="C34">
            <v>13.278</v>
          </cell>
          <cell r="D34">
            <v>47.3</v>
          </cell>
          <cell r="E34">
            <v>54.3</v>
          </cell>
          <cell r="F34">
            <v>40.700000000000003</v>
          </cell>
          <cell r="G34">
            <v>41.7</v>
          </cell>
          <cell r="H34">
            <v>35.799999999999997</v>
          </cell>
          <cell r="I34">
            <v>40.700000000000003</v>
          </cell>
          <cell r="J34">
            <v>30.8</v>
          </cell>
          <cell r="K34">
            <v>53.6</v>
          </cell>
          <cell r="L34">
            <v>41</v>
          </cell>
          <cell r="M34">
            <v>41.7</v>
          </cell>
          <cell r="N34">
            <v>41.8</v>
          </cell>
          <cell r="O34">
            <v>34</v>
          </cell>
        </row>
        <row r="35">
          <cell r="A35">
            <v>203</v>
          </cell>
          <cell r="B35">
            <v>2</v>
          </cell>
          <cell r="C35">
            <v>13.282999999999999</v>
          </cell>
          <cell r="D35">
            <v>31.4</v>
          </cell>
          <cell r="E35">
            <v>29.9</v>
          </cell>
          <cell r="F35">
            <v>29.4</v>
          </cell>
          <cell r="G35">
            <v>31</v>
          </cell>
          <cell r="H35">
            <v>29.9</v>
          </cell>
          <cell r="I35">
            <v>32.4</v>
          </cell>
          <cell r="J35">
            <v>30.7</v>
          </cell>
          <cell r="K35">
            <v>29</v>
          </cell>
          <cell r="L35">
            <v>31.1</v>
          </cell>
          <cell r="M35">
            <v>28.6</v>
          </cell>
          <cell r="N35">
            <v>30.7</v>
          </cell>
          <cell r="O35">
            <v>29.1</v>
          </cell>
        </row>
        <row r="36">
          <cell r="A36">
            <v>204</v>
          </cell>
          <cell r="B36">
            <v>1</v>
          </cell>
          <cell r="C36">
            <v>13.295</v>
          </cell>
          <cell r="D36">
            <v>36.1</v>
          </cell>
          <cell r="E36">
            <v>37.9</v>
          </cell>
          <cell r="F36">
            <v>29.6</v>
          </cell>
          <cell r="G36">
            <v>33.299999999999997</v>
          </cell>
          <cell r="H36">
            <v>33.799999999999997</v>
          </cell>
          <cell r="I36">
            <v>34.1</v>
          </cell>
          <cell r="J36">
            <v>32.799999999999997</v>
          </cell>
          <cell r="K36">
            <v>32.6</v>
          </cell>
          <cell r="L36">
            <v>34</v>
          </cell>
          <cell r="M36">
            <v>34.200000000000003</v>
          </cell>
          <cell r="N36">
            <v>32.200000000000003</v>
          </cell>
          <cell r="O36">
            <v>31.8</v>
          </cell>
        </row>
        <row r="37">
          <cell r="A37">
            <v>204</v>
          </cell>
          <cell r="B37">
            <v>2</v>
          </cell>
          <cell r="C37">
            <v>13.3</v>
          </cell>
          <cell r="D37">
            <v>29.7</v>
          </cell>
          <cell r="E37">
            <v>28.8</v>
          </cell>
          <cell r="F37">
            <v>29.4</v>
          </cell>
          <cell r="G37">
            <v>29.2</v>
          </cell>
          <cell r="H37">
            <v>29.6</v>
          </cell>
          <cell r="I37">
            <v>30.5</v>
          </cell>
          <cell r="J37">
            <v>29.1</v>
          </cell>
          <cell r="K37">
            <v>29.3</v>
          </cell>
          <cell r="L37">
            <v>29.3</v>
          </cell>
          <cell r="M37">
            <v>29.4</v>
          </cell>
          <cell r="N37">
            <v>30</v>
          </cell>
          <cell r="O37">
            <v>28.6</v>
          </cell>
        </row>
        <row r="38">
          <cell r="A38">
            <v>205</v>
          </cell>
          <cell r="B38">
            <v>1</v>
          </cell>
          <cell r="C38">
            <v>13.311</v>
          </cell>
          <cell r="D38">
            <v>52.7</v>
          </cell>
          <cell r="E38">
            <v>49.7</v>
          </cell>
          <cell r="F38">
            <v>44.4</v>
          </cell>
          <cell r="G38">
            <v>49.2</v>
          </cell>
          <cell r="H38">
            <v>43.4</v>
          </cell>
          <cell r="I38">
            <v>48</v>
          </cell>
          <cell r="J38">
            <v>41.2</v>
          </cell>
          <cell r="K38">
            <v>58</v>
          </cell>
          <cell r="L38">
            <v>52.9</v>
          </cell>
          <cell r="M38">
            <v>44.1</v>
          </cell>
          <cell r="N38">
            <v>33.4</v>
          </cell>
          <cell r="O38">
            <v>36.6</v>
          </cell>
        </row>
        <row r="39">
          <cell r="A39">
            <v>205</v>
          </cell>
          <cell r="B39">
            <v>2</v>
          </cell>
          <cell r="C39">
            <v>13.316000000000001</v>
          </cell>
          <cell r="D39">
            <v>29.4</v>
          </cell>
          <cell r="E39">
            <v>28.2</v>
          </cell>
          <cell r="F39">
            <v>28.6</v>
          </cell>
          <cell r="G39">
            <v>28.7</v>
          </cell>
          <cell r="H39">
            <v>31.5</v>
          </cell>
          <cell r="I39">
            <v>31.1</v>
          </cell>
          <cell r="J39">
            <v>30.3</v>
          </cell>
          <cell r="K39">
            <v>30.2</v>
          </cell>
          <cell r="L39">
            <v>32.799999999999997</v>
          </cell>
          <cell r="M39">
            <v>31.5</v>
          </cell>
          <cell r="N39">
            <v>31.9</v>
          </cell>
          <cell r="O39">
            <v>33</v>
          </cell>
        </row>
        <row r="40">
          <cell r="A40">
            <v>206</v>
          </cell>
          <cell r="B40">
            <v>1</v>
          </cell>
          <cell r="C40">
            <v>13.329000000000001</v>
          </cell>
          <cell r="D40">
            <v>56.8</v>
          </cell>
          <cell r="E40">
            <v>58.3</v>
          </cell>
          <cell r="F40">
            <v>46.8</v>
          </cell>
          <cell r="G40">
            <v>57.2</v>
          </cell>
          <cell r="H40">
            <v>52.8</v>
          </cell>
          <cell r="I40">
            <v>58.6</v>
          </cell>
          <cell r="J40">
            <v>48.5</v>
          </cell>
          <cell r="K40">
            <v>56.2</v>
          </cell>
          <cell r="L40">
            <v>42.6</v>
          </cell>
          <cell r="M40">
            <v>53.2</v>
          </cell>
          <cell r="N40">
            <v>54</v>
          </cell>
          <cell r="O40">
            <v>55.9</v>
          </cell>
        </row>
        <row r="41">
          <cell r="A41">
            <v>206</v>
          </cell>
          <cell r="B41">
            <v>2</v>
          </cell>
          <cell r="C41">
            <v>13.334</v>
          </cell>
          <cell r="D41">
            <v>34.799999999999997</v>
          </cell>
          <cell r="E41">
            <v>36.5</v>
          </cell>
          <cell r="F41">
            <v>35.200000000000003</v>
          </cell>
          <cell r="G41">
            <v>34.5</v>
          </cell>
          <cell r="H41">
            <v>34.1</v>
          </cell>
          <cell r="I41">
            <v>35.9</v>
          </cell>
          <cell r="J41">
            <v>33.9</v>
          </cell>
          <cell r="K41">
            <v>34.4</v>
          </cell>
          <cell r="L41">
            <v>34.299999999999997</v>
          </cell>
          <cell r="M41">
            <v>34.4</v>
          </cell>
          <cell r="N41">
            <v>34.299999999999997</v>
          </cell>
          <cell r="O41">
            <v>33.5</v>
          </cell>
        </row>
        <row r="42">
          <cell r="A42">
            <v>207</v>
          </cell>
          <cell r="B42">
            <v>1</v>
          </cell>
          <cell r="C42">
            <v>13.346</v>
          </cell>
          <cell r="D42">
            <v>56.3</v>
          </cell>
          <cell r="E42">
            <v>39.5</v>
          </cell>
          <cell r="F42">
            <v>45.1</v>
          </cell>
          <cell r="G42">
            <v>48</v>
          </cell>
          <cell r="H42">
            <v>38.1</v>
          </cell>
          <cell r="I42">
            <v>44.4</v>
          </cell>
          <cell r="J42">
            <v>39.9</v>
          </cell>
          <cell r="K42">
            <v>37</v>
          </cell>
          <cell r="L42">
            <v>36.1</v>
          </cell>
          <cell r="M42">
            <v>37.5</v>
          </cell>
          <cell r="N42">
            <v>50.5</v>
          </cell>
          <cell r="O42">
            <v>34.5</v>
          </cell>
        </row>
        <row r="43">
          <cell r="A43">
            <v>207</v>
          </cell>
          <cell r="B43">
            <v>2</v>
          </cell>
          <cell r="C43">
            <v>13.351000000000001</v>
          </cell>
          <cell r="D43">
            <v>33.6</v>
          </cell>
          <cell r="E43">
            <v>32.9</v>
          </cell>
          <cell r="F43">
            <v>31.8</v>
          </cell>
          <cell r="G43">
            <v>33.4</v>
          </cell>
          <cell r="H43">
            <v>33.200000000000003</v>
          </cell>
          <cell r="I43">
            <v>30.8</v>
          </cell>
          <cell r="J43">
            <v>35.799999999999997</v>
          </cell>
          <cell r="K43">
            <v>34.799999999999997</v>
          </cell>
          <cell r="L43">
            <v>33.9</v>
          </cell>
          <cell r="M43">
            <v>33.700000000000003</v>
          </cell>
          <cell r="N43">
            <v>35.5</v>
          </cell>
          <cell r="O43">
            <v>33.6</v>
          </cell>
        </row>
        <row r="44">
          <cell r="A44">
            <v>208</v>
          </cell>
          <cell r="B44">
            <v>1</v>
          </cell>
          <cell r="C44">
            <v>13.363</v>
          </cell>
          <cell r="D44">
            <v>56.4</v>
          </cell>
          <cell r="E44">
            <v>42.9</v>
          </cell>
          <cell r="F44">
            <v>49.8</v>
          </cell>
          <cell r="G44">
            <v>46.5</v>
          </cell>
          <cell r="H44">
            <v>38.700000000000003</v>
          </cell>
          <cell r="I44">
            <v>52.4</v>
          </cell>
          <cell r="J44">
            <v>51.2</v>
          </cell>
          <cell r="K44">
            <v>52.5</v>
          </cell>
          <cell r="L44">
            <v>38.9</v>
          </cell>
          <cell r="M44">
            <v>58</v>
          </cell>
          <cell r="N44">
            <v>54.2</v>
          </cell>
          <cell r="O44">
            <v>45.1</v>
          </cell>
        </row>
        <row r="45">
          <cell r="A45">
            <v>208</v>
          </cell>
          <cell r="B45">
            <v>2</v>
          </cell>
          <cell r="C45">
            <v>13.368</v>
          </cell>
          <cell r="D45">
            <v>32.299999999999997</v>
          </cell>
          <cell r="E45">
            <v>32.700000000000003</v>
          </cell>
          <cell r="F45">
            <v>34.200000000000003</v>
          </cell>
          <cell r="G45">
            <v>33</v>
          </cell>
          <cell r="H45">
            <v>33.200000000000003</v>
          </cell>
          <cell r="I45">
            <v>31.3</v>
          </cell>
          <cell r="J45">
            <v>31.4</v>
          </cell>
          <cell r="K45">
            <v>30.5</v>
          </cell>
          <cell r="L45">
            <v>30.4</v>
          </cell>
          <cell r="M45">
            <v>30.9</v>
          </cell>
          <cell r="N45">
            <v>30.7</v>
          </cell>
          <cell r="O45">
            <v>32</v>
          </cell>
        </row>
        <row r="46">
          <cell r="A46">
            <v>908</v>
          </cell>
          <cell r="B46">
            <v>1</v>
          </cell>
          <cell r="C46">
            <v>13.382999999999999</v>
          </cell>
          <cell r="D46">
            <v>62.5</v>
          </cell>
          <cell r="E46">
            <v>50.6</v>
          </cell>
          <cell r="F46">
            <v>51.9</v>
          </cell>
          <cell r="G46">
            <v>56</v>
          </cell>
          <cell r="H46">
            <v>51.1</v>
          </cell>
          <cell r="I46">
            <v>58.4</v>
          </cell>
          <cell r="J46">
            <v>56.7</v>
          </cell>
          <cell r="K46">
            <v>51.5</v>
          </cell>
          <cell r="L46">
            <v>44.9</v>
          </cell>
          <cell r="M46">
            <v>60.4</v>
          </cell>
          <cell r="N46">
            <v>54.9</v>
          </cell>
          <cell r="O46">
            <v>50.5</v>
          </cell>
        </row>
        <row r="47">
          <cell r="A47">
            <v>908</v>
          </cell>
          <cell r="B47">
            <v>2</v>
          </cell>
          <cell r="C47">
            <v>13.388</v>
          </cell>
          <cell r="D47">
            <v>30.8</v>
          </cell>
          <cell r="E47">
            <v>32.5</v>
          </cell>
          <cell r="F47">
            <v>32.200000000000003</v>
          </cell>
          <cell r="G47">
            <v>33.9</v>
          </cell>
          <cell r="H47">
            <v>30.9</v>
          </cell>
          <cell r="I47">
            <v>31.8</v>
          </cell>
          <cell r="J47">
            <v>32.799999999999997</v>
          </cell>
          <cell r="K47">
            <v>32.799999999999997</v>
          </cell>
          <cell r="L47">
            <v>33.1</v>
          </cell>
          <cell r="M47">
            <v>33.700000000000003</v>
          </cell>
          <cell r="N47">
            <v>34.1</v>
          </cell>
          <cell r="O47">
            <v>36</v>
          </cell>
        </row>
        <row r="48">
          <cell r="A48">
            <v>907</v>
          </cell>
          <cell r="B48">
            <v>1</v>
          </cell>
          <cell r="C48">
            <v>13.4</v>
          </cell>
          <cell r="D48">
            <v>65.8</v>
          </cell>
          <cell r="E48">
            <v>65.5</v>
          </cell>
          <cell r="F48">
            <v>65.8</v>
          </cell>
          <cell r="G48">
            <v>65.7</v>
          </cell>
          <cell r="H48">
            <v>65.900000000000006</v>
          </cell>
          <cell r="I48">
            <v>65.400000000000006</v>
          </cell>
          <cell r="J48">
            <v>65.7</v>
          </cell>
          <cell r="K48">
            <v>64.599999999999994</v>
          </cell>
          <cell r="L48">
            <v>65.2</v>
          </cell>
          <cell r="M48">
            <v>65.900000000000006</v>
          </cell>
          <cell r="N48">
            <v>65.900000000000006</v>
          </cell>
          <cell r="O48">
            <v>66.2</v>
          </cell>
        </row>
        <row r="50">
          <cell r="A50">
            <v>906</v>
          </cell>
          <cell r="B50">
            <v>1</v>
          </cell>
          <cell r="C50">
            <v>13.409000000000001</v>
          </cell>
          <cell r="D50">
            <v>55.5</v>
          </cell>
          <cell r="E50">
            <v>37.700000000000003</v>
          </cell>
          <cell r="F50">
            <v>44</v>
          </cell>
          <cell r="G50">
            <v>46.3</v>
          </cell>
          <cell r="H50">
            <v>35.4</v>
          </cell>
          <cell r="I50">
            <v>56</v>
          </cell>
          <cell r="J50">
            <v>34.700000000000003</v>
          </cell>
          <cell r="K50">
            <v>55.7</v>
          </cell>
          <cell r="L50">
            <v>39.6</v>
          </cell>
          <cell r="M50">
            <v>53.9</v>
          </cell>
          <cell r="N50">
            <v>47.7</v>
          </cell>
          <cell r="O50">
            <v>37.200000000000003</v>
          </cell>
        </row>
        <row r="51">
          <cell r="A51">
            <v>906</v>
          </cell>
          <cell r="B51">
            <v>2</v>
          </cell>
          <cell r="C51">
            <v>13.413</v>
          </cell>
          <cell r="D51">
            <v>29.6</v>
          </cell>
          <cell r="E51">
            <v>30.2</v>
          </cell>
          <cell r="F51">
            <v>29.8</v>
          </cell>
          <cell r="G51">
            <v>30.4</v>
          </cell>
          <cell r="H51">
            <v>32</v>
          </cell>
          <cell r="I51">
            <v>29.8</v>
          </cell>
          <cell r="J51">
            <v>28.8</v>
          </cell>
          <cell r="K51">
            <v>29.6</v>
          </cell>
          <cell r="L51">
            <v>31.6</v>
          </cell>
          <cell r="M51">
            <v>29.5</v>
          </cell>
          <cell r="N51">
            <v>29.6</v>
          </cell>
          <cell r="O51">
            <v>30.3</v>
          </cell>
        </row>
        <row r="52">
          <cell r="A52">
            <v>905</v>
          </cell>
          <cell r="B52">
            <v>1</v>
          </cell>
          <cell r="C52">
            <v>13.426</v>
          </cell>
          <cell r="D52">
            <v>34.9</v>
          </cell>
          <cell r="E52">
            <v>34.799999999999997</v>
          </cell>
          <cell r="F52">
            <v>34.5</v>
          </cell>
          <cell r="G52">
            <v>34.700000000000003</v>
          </cell>
          <cell r="H52">
            <v>34.9</v>
          </cell>
          <cell r="I52">
            <v>36.299999999999997</v>
          </cell>
          <cell r="J52">
            <v>38.299999999999997</v>
          </cell>
          <cell r="K52">
            <v>35.6</v>
          </cell>
          <cell r="L52">
            <v>36</v>
          </cell>
          <cell r="M52">
            <v>35.799999999999997</v>
          </cell>
          <cell r="N52">
            <v>35.700000000000003</v>
          </cell>
          <cell r="O52">
            <v>35.4</v>
          </cell>
        </row>
        <row r="54">
          <cell r="A54">
            <v>904</v>
          </cell>
          <cell r="B54">
            <v>1</v>
          </cell>
          <cell r="C54">
            <v>13.433999999999999</v>
          </cell>
          <cell r="D54">
            <v>64</v>
          </cell>
          <cell r="E54">
            <v>48.5</v>
          </cell>
          <cell r="F54">
            <v>48.9</v>
          </cell>
          <cell r="G54">
            <v>52</v>
          </cell>
          <cell r="H54">
            <v>51.3</v>
          </cell>
          <cell r="I54">
            <v>60.1</v>
          </cell>
          <cell r="J54">
            <v>43.7</v>
          </cell>
          <cell r="K54">
            <v>63.8</v>
          </cell>
          <cell r="L54">
            <v>44.6</v>
          </cell>
          <cell r="M54">
            <v>59.4</v>
          </cell>
          <cell r="N54">
            <v>47.8</v>
          </cell>
          <cell r="O54">
            <v>58.5</v>
          </cell>
        </row>
        <row r="55">
          <cell r="A55">
            <v>904</v>
          </cell>
          <cell r="B55">
            <v>2</v>
          </cell>
          <cell r="C55">
            <v>13.439</v>
          </cell>
          <cell r="D55">
            <v>32.9</v>
          </cell>
          <cell r="E55">
            <v>33.299999999999997</v>
          </cell>
          <cell r="F55">
            <v>31.5</v>
          </cell>
          <cell r="G55">
            <v>38</v>
          </cell>
          <cell r="H55">
            <v>31.5</v>
          </cell>
          <cell r="I55">
            <v>34.4</v>
          </cell>
          <cell r="J55">
            <v>33.200000000000003</v>
          </cell>
          <cell r="K55">
            <v>35.4</v>
          </cell>
          <cell r="L55">
            <v>34.700000000000003</v>
          </cell>
          <cell r="M55">
            <v>35.299999999999997</v>
          </cell>
          <cell r="N55">
            <v>35.700000000000003</v>
          </cell>
          <cell r="O55">
            <v>36.799999999999997</v>
          </cell>
        </row>
        <row r="56">
          <cell r="A56">
            <v>903</v>
          </cell>
          <cell r="B56">
            <v>1</v>
          </cell>
          <cell r="C56">
            <v>13.452</v>
          </cell>
          <cell r="D56">
            <v>65.5</v>
          </cell>
          <cell r="E56">
            <v>65.5</v>
          </cell>
          <cell r="F56">
            <v>65.5</v>
          </cell>
          <cell r="G56">
            <v>65.400000000000006</v>
          </cell>
          <cell r="H56">
            <v>64.900000000000006</v>
          </cell>
          <cell r="I56">
            <v>65.099999999999994</v>
          </cell>
          <cell r="J56">
            <v>65.400000000000006</v>
          </cell>
          <cell r="K56">
            <v>65.2</v>
          </cell>
          <cell r="L56">
            <v>65.599999999999994</v>
          </cell>
          <cell r="M56">
            <v>65.599999999999994</v>
          </cell>
          <cell r="N56">
            <v>65.599999999999994</v>
          </cell>
          <cell r="O56">
            <v>65.8</v>
          </cell>
        </row>
        <row r="58">
          <cell r="A58">
            <v>902</v>
          </cell>
          <cell r="B58">
            <v>1</v>
          </cell>
          <cell r="C58">
            <v>13.461</v>
          </cell>
          <cell r="D58">
            <v>53.2</v>
          </cell>
          <cell r="E58">
            <v>52.3</v>
          </cell>
          <cell r="F58">
            <v>33.299999999999997</v>
          </cell>
          <cell r="G58">
            <v>57.3</v>
          </cell>
          <cell r="H58">
            <v>34.200000000000003</v>
          </cell>
          <cell r="I58">
            <v>54.6</v>
          </cell>
          <cell r="J58">
            <v>33.9</v>
          </cell>
          <cell r="K58">
            <v>53.8</v>
          </cell>
          <cell r="L58">
            <v>34.6</v>
          </cell>
          <cell r="M58">
            <v>55.6</v>
          </cell>
          <cell r="N58">
            <v>44.6</v>
          </cell>
          <cell r="O58">
            <v>35.200000000000003</v>
          </cell>
        </row>
        <row r="59">
          <cell r="A59">
            <v>902</v>
          </cell>
          <cell r="B59">
            <v>2</v>
          </cell>
          <cell r="C59">
            <v>13.465</v>
          </cell>
          <cell r="D59">
            <v>30.6</v>
          </cell>
          <cell r="E59">
            <v>30.9</v>
          </cell>
          <cell r="F59">
            <v>31.4</v>
          </cell>
          <cell r="G59">
            <v>31.9</v>
          </cell>
          <cell r="H59">
            <v>32.4</v>
          </cell>
          <cell r="I59">
            <v>30.7</v>
          </cell>
          <cell r="J59">
            <v>30.7</v>
          </cell>
          <cell r="K59">
            <v>31.6</v>
          </cell>
          <cell r="L59">
            <v>31.3</v>
          </cell>
          <cell r="M59">
            <v>31.5</v>
          </cell>
          <cell r="N59">
            <v>32.5</v>
          </cell>
          <cell r="O59">
            <v>32.5</v>
          </cell>
        </row>
        <row r="60">
          <cell r="A60">
            <v>901</v>
          </cell>
          <cell r="B60">
            <v>1</v>
          </cell>
          <cell r="C60">
            <v>13.478999999999999</v>
          </cell>
          <cell r="D60">
            <v>35.4</v>
          </cell>
          <cell r="E60">
            <v>35.4</v>
          </cell>
          <cell r="F60">
            <v>35.6</v>
          </cell>
          <cell r="G60">
            <v>35.700000000000003</v>
          </cell>
          <cell r="H60">
            <v>35.799999999999997</v>
          </cell>
          <cell r="I60">
            <v>36</v>
          </cell>
          <cell r="J60">
            <v>35.9</v>
          </cell>
          <cell r="K60">
            <v>36</v>
          </cell>
          <cell r="L60">
            <v>35.700000000000003</v>
          </cell>
          <cell r="M60">
            <v>35.700000000000003</v>
          </cell>
          <cell r="N60">
            <v>35.9</v>
          </cell>
          <cell r="O60">
            <v>36.299999999999997</v>
          </cell>
        </row>
        <row r="62">
          <cell r="A62">
            <v>301</v>
          </cell>
          <cell r="B62">
            <v>1</v>
          </cell>
          <cell r="C62">
            <v>13.491</v>
          </cell>
          <cell r="D62">
            <v>35.6</v>
          </cell>
          <cell r="E62">
            <v>37.799999999999997</v>
          </cell>
          <cell r="F62">
            <v>34.299999999999997</v>
          </cell>
          <cell r="G62">
            <v>42.7</v>
          </cell>
          <cell r="H62">
            <v>31.1</v>
          </cell>
          <cell r="I62">
            <v>39.299999999999997</v>
          </cell>
          <cell r="J62">
            <v>29.2</v>
          </cell>
          <cell r="K62">
            <v>38.200000000000003</v>
          </cell>
          <cell r="L62">
            <v>29.8</v>
          </cell>
          <cell r="M62">
            <v>38.200000000000003</v>
          </cell>
          <cell r="N62">
            <v>29.4</v>
          </cell>
          <cell r="O62">
            <v>35.6</v>
          </cell>
        </row>
        <row r="63">
          <cell r="A63">
            <v>301</v>
          </cell>
          <cell r="B63">
            <v>2</v>
          </cell>
          <cell r="C63">
            <v>13.497999999999999</v>
          </cell>
          <cell r="D63">
            <v>28.1</v>
          </cell>
          <cell r="E63">
            <v>28.3</v>
          </cell>
          <cell r="F63">
            <v>29.6</v>
          </cell>
          <cell r="G63">
            <v>28.7</v>
          </cell>
          <cell r="H63">
            <v>28</v>
          </cell>
          <cell r="I63">
            <v>27.9</v>
          </cell>
          <cell r="J63">
            <v>28.6</v>
          </cell>
          <cell r="K63">
            <v>28.6</v>
          </cell>
          <cell r="L63">
            <v>30.1</v>
          </cell>
          <cell r="M63">
            <v>28.3</v>
          </cell>
          <cell r="N63">
            <v>28.7</v>
          </cell>
          <cell r="O63">
            <v>28.9</v>
          </cell>
        </row>
        <row r="64">
          <cell r="A64">
            <v>302</v>
          </cell>
          <cell r="B64">
            <v>1</v>
          </cell>
          <cell r="C64">
            <v>13.509</v>
          </cell>
          <cell r="D64">
            <v>52.3</v>
          </cell>
          <cell r="E64">
            <v>51.5</v>
          </cell>
          <cell r="F64">
            <v>38.4</v>
          </cell>
          <cell r="G64">
            <v>51.1</v>
          </cell>
          <cell r="H64">
            <v>37.4</v>
          </cell>
          <cell r="I64">
            <v>42</v>
          </cell>
          <cell r="J64">
            <v>33.5</v>
          </cell>
          <cell r="K64">
            <v>48.3</v>
          </cell>
          <cell r="L64">
            <v>40.799999999999997</v>
          </cell>
          <cell r="M64">
            <v>43.2</v>
          </cell>
          <cell r="N64">
            <v>37.1</v>
          </cell>
          <cell r="O64">
            <v>45.2</v>
          </cell>
        </row>
        <row r="65">
          <cell r="A65">
            <v>302</v>
          </cell>
          <cell r="B65">
            <v>2</v>
          </cell>
          <cell r="C65">
            <v>13.513999999999999</v>
          </cell>
          <cell r="D65">
            <v>28.6</v>
          </cell>
          <cell r="E65">
            <v>28.9</v>
          </cell>
          <cell r="F65">
            <v>28.6</v>
          </cell>
          <cell r="G65">
            <v>27.8</v>
          </cell>
          <cell r="H65">
            <v>28.6</v>
          </cell>
          <cell r="I65">
            <v>29.5</v>
          </cell>
          <cell r="J65">
            <v>28.8</v>
          </cell>
          <cell r="K65">
            <v>29.2</v>
          </cell>
          <cell r="L65">
            <v>29.5</v>
          </cell>
          <cell r="M65">
            <v>29.4</v>
          </cell>
          <cell r="N65">
            <v>29.8</v>
          </cell>
          <cell r="O65">
            <v>28.3</v>
          </cell>
        </row>
        <row r="66">
          <cell r="A66">
            <v>303</v>
          </cell>
          <cell r="B66">
            <v>1</v>
          </cell>
          <cell r="C66">
            <v>13.526999999999999</v>
          </cell>
          <cell r="D66">
            <v>61.5</v>
          </cell>
          <cell r="E66">
            <v>60.1</v>
          </cell>
          <cell r="F66">
            <v>39.6</v>
          </cell>
          <cell r="G66">
            <v>58</v>
          </cell>
          <cell r="H66">
            <v>42.5</v>
          </cell>
          <cell r="I66">
            <v>55.1</v>
          </cell>
          <cell r="J66">
            <v>37.700000000000003</v>
          </cell>
          <cell r="K66">
            <v>60.3</v>
          </cell>
          <cell r="L66">
            <v>38</v>
          </cell>
          <cell r="M66">
            <v>59.2</v>
          </cell>
          <cell r="N66">
            <v>40.700000000000003</v>
          </cell>
          <cell r="O66">
            <v>57.6</v>
          </cell>
        </row>
        <row r="67">
          <cell r="A67">
            <v>303</v>
          </cell>
          <cell r="B67">
            <v>2</v>
          </cell>
          <cell r="C67">
            <v>13.531000000000001</v>
          </cell>
          <cell r="D67">
            <v>33.299999999999997</v>
          </cell>
          <cell r="E67">
            <v>34.6</v>
          </cell>
          <cell r="F67">
            <v>34</v>
          </cell>
          <cell r="G67">
            <v>35.5</v>
          </cell>
          <cell r="H67">
            <v>32.6</v>
          </cell>
          <cell r="I67">
            <v>36.799999999999997</v>
          </cell>
          <cell r="J67">
            <v>33.5</v>
          </cell>
          <cell r="K67">
            <v>34.4</v>
          </cell>
          <cell r="L67">
            <v>32.700000000000003</v>
          </cell>
          <cell r="M67">
            <v>32.799999999999997</v>
          </cell>
          <cell r="N67">
            <v>33.6</v>
          </cell>
          <cell r="O67">
            <v>34.5</v>
          </cell>
        </row>
        <row r="68">
          <cell r="A68">
            <v>304</v>
          </cell>
          <cell r="B68">
            <v>1</v>
          </cell>
          <cell r="C68">
            <v>13.544</v>
          </cell>
          <cell r="D68">
            <v>56.3</v>
          </cell>
          <cell r="E68">
            <v>45.5</v>
          </cell>
          <cell r="F68">
            <v>37.700000000000003</v>
          </cell>
          <cell r="G68">
            <v>49.3</v>
          </cell>
          <cell r="H68">
            <v>36</v>
          </cell>
          <cell r="I68">
            <v>49.9</v>
          </cell>
          <cell r="J68">
            <v>33.4</v>
          </cell>
          <cell r="K68">
            <v>55.1</v>
          </cell>
          <cell r="L68">
            <v>31.6</v>
          </cell>
          <cell r="M68">
            <v>52.8</v>
          </cell>
          <cell r="N68">
            <v>32.299999999999997</v>
          </cell>
          <cell r="O68">
            <v>55.8</v>
          </cell>
        </row>
        <row r="69">
          <cell r="A69">
            <v>304</v>
          </cell>
          <cell r="B69">
            <v>2</v>
          </cell>
          <cell r="C69">
            <v>13.548</v>
          </cell>
          <cell r="D69">
            <v>28.4</v>
          </cell>
          <cell r="E69">
            <v>28.7</v>
          </cell>
          <cell r="F69">
            <v>30.9</v>
          </cell>
          <cell r="G69">
            <v>28.9</v>
          </cell>
          <cell r="H69">
            <v>28.6</v>
          </cell>
          <cell r="I69">
            <v>29.4</v>
          </cell>
          <cell r="J69">
            <v>29.4</v>
          </cell>
          <cell r="K69">
            <v>30.2</v>
          </cell>
          <cell r="L69">
            <v>29.6</v>
          </cell>
          <cell r="M69">
            <v>30.2</v>
          </cell>
          <cell r="N69">
            <v>32.299999999999997</v>
          </cell>
          <cell r="O69">
            <v>30.1</v>
          </cell>
        </row>
        <row r="70">
          <cell r="A70">
            <v>305</v>
          </cell>
          <cell r="B70">
            <v>1</v>
          </cell>
          <cell r="C70">
            <v>13.56</v>
          </cell>
          <cell r="D70">
            <v>34.799999999999997</v>
          </cell>
          <cell r="E70">
            <v>33.200000000000003</v>
          </cell>
          <cell r="F70">
            <v>28.2</v>
          </cell>
          <cell r="G70">
            <v>40.1</v>
          </cell>
          <cell r="H70">
            <v>28.7</v>
          </cell>
          <cell r="I70">
            <v>39.299999999999997</v>
          </cell>
          <cell r="J70">
            <v>29.6</v>
          </cell>
          <cell r="K70">
            <v>40.4</v>
          </cell>
          <cell r="L70">
            <v>28.6</v>
          </cell>
          <cell r="M70">
            <v>33.5</v>
          </cell>
          <cell r="N70">
            <v>28.2</v>
          </cell>
          <cell r="O70">
            <v>30.3</v>
          </cell>
        </row>
        <row r="71">
          <cell r="A71">
            <v>305</v>
          </cell>
          <cell r="B71">
            <v>2</v>
          </cell>
          <cell r="C71">
            <v>13.565</v>
          </cell>
          <cell r="D71">
            <v>27.8</v>
          </cell>
          <cell r="E71">
            <v>26.9</v>
          </cell>
          <cell r="F71">
            <v>27.8</v>
          </cell>
          <cell r="G71">
            <v>27.7</v>
          </cell>
          <cell r="H71">
            <v>28.8</v>
          </cell>
          <cell r="I71">
            <v>29.2</v>
          </cell>
          <cell r="J71">
            <v>28.8</v>
          </cell>
          <cell r="K71">
            <v>29.7</v>
          </cell>
          <cell r="L71">
            <v>29.2</v>
          </cell>
          <cell r="M71">
            <v>28.4</v>
          </cell>
          <cell r="N71">
            <v>30</v>
          </cell>
          <cell r="O71">
            <v>28.7</v>
          </cell>
        </row>
        <row r="72">
          <cell r="A72">
            <v>306</v>
          </cell>
          <cell r="B72">
            <v>1</v>
          </cell>
          <cell r="C72">
            <v>13.577</v>
          </cell>
          <cell r="D72">
            <v>48.8</v>
          </cell>
          <cell r="E72">
            <v>43.2</v>
          </cell>
          <cell r="F72">
            <v>30.8</v>
          </cell>
          <cell r="G72">
            <v>48.8</v>
          </cell>
          <cell r="H72">
            <v>36.4</v>
          </cell>
          <cell r="I72">
            <v>50.1</v>
          </cell>
          <cell r="J72">
            <v>31.1</v>
          </cell>
          <cell r="K72">
            <v>48.2</v>
          </cell>
          <cell r="L72">
            <v>29.6</v>
          </cell>
          <cell r="M72">
            <v>47.3</v>
          </cell>
          <cell r="N72">
            <v>29.7</v>
          </cell>
          <cell r="O72">
            <v>46.6</v>
          </cell>
        </row>
        <row r="73">
          <cell r="A73">
            <v>306</v>
          </cell>
          <cell r="B73">
            <v>2</v>
          </cell>
          <cell r="C73">
            <v>13.581</v>
          </cell>
          <cell r="D73">
            <v>28.7</v>
          </cell>
          <cell r="E73">
            <v>28.2</v>
          </cell>
          <cell r="F73">
            <v>28.8</v>
          </cell>
          <cell r="G73">
            <v>29.5</v>
          </cell>
          <cell r="H73">
            <v>29.4</v>
          </cell>
          <cell r="I73">
            <v>30</v>
          </cell>
          <cell r="J73">
            <v>29.2</v>
          </cell>
          <cell r="K73">
            <v>29.1</v>
          </cell>
          <cell r="L73">
            <v>29.7</v>
          </cell>
          <cell r="M73">
            <v>30.1</v>
          </cell>
          <cell r="N73">
            <v>30.6</v>
          </cell>
          <cell r="O73">
            <v>29.6</v>
          </cell>
        </row>
        <row r="74">
          <cell r="A74">
            <v>307</v>
          </cell>
          <cell r="B74">
            <v>1</v>
          </cell>
          <cell r="C74">
            <v>13.593</v>
          </cell>
          <cell r="D74">
            <v>47.2</v>
          </cell>
          <cell r="E74">
            <v>39</v>
          </cell>
          <cell r="F74">
            <v>38.5</v>
          </cell>
          <cell r="G74">
            <v>45.6</v>
          </cell>
          <cell r="H74">
            <v>34.700000000000003</v>
          </cell>
          <cell r="I74">
            <v>46.5</v>
          </cell>
          <cell r="J74">
            <v>33.299999999999997</v>
          </cell>
          <cell r="K74">
            <v>49.5</v>
          </cell>
          <cell r="L74">
            <v>31</v>
          </cell>
          <cell r="M74">
            <v>45.8</v>
          </cell>
          <cell r="N74">
            <v>32.4</v>
          </cell>
          <cell r="O74">
            <v>41.3</v>
          </cell>
        </row>
        <row r="75">
          <cell r="A75">
            <v>307</v>
          </cell>
          <cell r="B75">
            <v>2</v>
          </cell>
          <cell r="C75">
            <v>13.598000000000001</v>
          </cell>
          <cell r="D75">
            <v>29</v>
          </cell>
          <cell r="E75">
            <v>29.2</v>
          </cell>
          <cell r="F75">
            <v>27.8</v>
          </cell>
          <cell r="G75">
            <v>28.7</v>
          </cell>
          <cell r="H75">
            <v>29.6</v>
          </cell>
          <cell r="I75">
            <v>28.6</v>
          </cell>
          <cell r="J75">
            <v>29.2</v>
          </cell>
          <cell r="K75">
            <v>29.2</v>
          </cell>
          <cell r="L75">
            <v>29.7</v>
          </cell>
          <cell r="M75">
            <v>29.5</v>
          </cell>
          <cell r="N75">
            <v>28.3</v>
          </cell>
          <cell r="O75">
            <v>28.6</v>
          </cell>
        </row>
        <row r="76">
          <cell r="A76">
            <v>308</v>
          </cell>
          <cell r="B76">
            <v>1</v>
          </cell>
          <cell r="C76">
            <v>13.61</v>
          </cell>
          <cell r="D76">
            <v>39.1</v>
          </cell>
          <cell r="E76">
            <v>37.700000000000003</v>
          </cell>
          <cell r="F76">
            <v>31.8</v>
          </cell>
          <cell r="G76">
            <v>35.5</v>
          </cell>
          <cell r="H76">
            <v>34.9</v>
          </cell>
          <cell r="I76">
            <v>39.299999999999997</v>
          </cell>
          <cell r="J76">
            <v>34.799999999999997</v>
          </cell>
          <cell r="K76">
            <v>38.200000000000003</v>
          </cell>
          <cell r="L76">
            <v>36.6</v>
          </cell>
          <cell r="M76">
            <v>45.3</v>
          </cell>
          <cell r="N76">
            <v>32.700000000000003</v>
          </cell>
          <cell r="O76">
            <v>33.9</v>
          </cell>
        </row>
        <row r="77">
          <cell r="A77">
            <v>308</v>
          </cell>
          <cell r="B77">
            <v>2</v>
          </cell>
          <cell r="C77">
            <v>13.614000000000001</v>
          </cell>
          <cell r="D77">
            <v>32.200000000000003</v>
          </cell>
          <cell r="E77">
            <v>29.6</v>
          </cell>
          <cell r="F77">
            <v>29.9</v>
          </cell>
          <cell r="G77">
            <v>29.6</v>
          </cell>
          <cell r="H77">
            <v>29.7</v>
          </cell>
          <cell r="I77">
            <v>30.8</v>
          </cell>
          <cell r="J77">
            <v>30.4</v>
          </cell>
          <cell r="K77">
            <v>30.5</v>
          </cell>
          <cell r="L77">
            <v>29.6</v>
          </cell>
          <cell r="M77">
            <v>30.2</v>
          </cell>
          <cell r="N77">
            <v>29.3</v>
          </cell>
          <cell r="O77">
            <v>30.2</v>
          </cell>
        </row>
        <row r="78">
          <cell r="A78">
            <v>408</v>
          </cell>
          <cell r="B78">
            <v>1</v>
          </cell>
          <cell r="C78">
            <v>13.631</v>
          </cell>
          <cell r="D78">
            <v>39.799999999999997</v>
          </cell>
          <cell r="E78">
            <v>38.200000000000003</v>
          </cell>
          <cell r="F78">
            <v>33.1</v>
          </cell>
          <cell r="G78">
            <v>38.9</v>
          </cell>
          <cell r="H78">
            <v>32.200000000000003</v>
          </cell>
          <cell r="I78">
            <v>38.6</v>
          </cell>
          <cell r="J78">
            <v>31.7</v>
          </cell>
          <cell r="K78">
            <v>39.4</v>
          </cell>
          <cell r="L78">
            <v>31.7</v>
          </cell>
          <cell r="M78">
            <v>39.700000000000003</v>
          </cell>
          <cell r="N78">
            <v>30.9</v>
          </cell>
          <cell r="O78">
            <v>38.1</v>
          </cell>
        </row>
        <row r="79">
          <cell r="A79">
            <v>408</v>
          </cell>
          <cell r="B79">
            <v>2</v>
          </cell>
          <cell r="C79">
            <v>13.635999999999999</v>
          </cell>
          <cell r="D79">
            <v>28.5</v>
          </cell>
          <cell r="E79">
            <v>28.7</v>
          </cell>
          <cell r="F79">
            <v>29.4</v>
          </cell>
          <cell r="G79">
            <v>29.2</v>
          </cell>
          <cell r="H79">
            <v>28.2</v>
          </cell>
          <cell r="I79">
            <v>28.3</v>
          </cell>
          <cell r="J79">
            <v>29.5</v>
          </cell>
          <cell r="K79">
            <v>28.8</v>
          </cell>
          <cell r="L79">
            <v>28.3</v>
          </cell>
          <cell r="M79">
            <v>29</v>
          </cell>
          <cell r="N79">
            <v>30</v>
          </cell>
          <cell r="O79">
            <v>28.1</v>
          </cell>
        </row>
        <row r="80">
          <cell r="A80">
            <v>407</v>
          </cell>
          <cell r="B80">
            <v>1</v>
          </cell>
          <cell r="C80">
            <v>13.65</v>
          </cell>
          <cell r="D80">
            <v>60.7</v>
          </cell>
          <cell r="E80">
            <v>50</v>
          </cell>
          <cell r="F80">
            <v>50.2</v>
          </cell>
          <cell r="G80">
            <v>58.1</v>
          </cell>
          <cell r="H80">
            <v>42.9</v>
          </cell>
          <cell r="I80">
            <v>57.8</v>
          </cell>
          <cell r="J80">
            <v>40.5</v>
          </cell>
          <cell r="K80">
            <v>59</v>
          </cell>
          <cell r="L80">
            <v>37.9</v>
          </cell>
          <cell r="M80">
            <v>57.1</v>
          </cell>
          <cell r="N80">
            <v>38.5</v>
          </cell>
          <cell r="O80">
            <v>56.5</v>
          </cell>
        </row>
        <row r="81">
          <cell r="A81">
            <v>407</v>
          </cell>
          <cell r="B81">
            <v>2</v>
          </cell>
          <cell r="C81">
            <v>13.654999999999999</v>
          </cell>
          <cell r="D81">
            <v>31.8</v>
          </cell>
          <cell r="E81">
            <v>32.5</v>
          </cell>
          <cell r="F81">
            <v>31.8</v>
          </cell>
          <cell r="G81">
            <v>31.9</v>
          </cell>
          <cell r="H81">
            <v>32.1</v>
          </cell>
          <cell r="I81">
            <v>32.799999999999997</v>
          </cell>
          <cell r="J81">
            <v>32.200000000000003</v>
          </cell>
          <cell r="K81">
            <v>32.5</v>
          </cell>
          <cell r="L81">
            <v>31.9</v>
          </cell>
          <cell r="M81">
            <v>31.6</v>
          </cell>
          <cell r="N81">
            <v>31.8</v>
          </cell>
          <cell r="O81">
            <v>31.5</v>
          </cell>
        </row>
        <row r="82">
          <cell r="A82">
            <v>406</v>
          </cell>
          <cell r="B82">
            <v>1</v>
          </cell>
          <cell r="C82">
            <v>13.667</v>
          </cell>
          <cell r="D82">
            <v>53.4</v>
          </cell>
          <cell r="E82">
            <v>42</v>
          </cell>
          <cell r="F82">
            <v>43.7</v>
          </cell>
          <cell r="G82">
            <v>39.799999999999997</v>
          </cell>
          <cell r="H82">
            <v>35.4</v>
          </cell>
          <cell r="I82">
            <v>45.2</v>
          </cell>
          <cell r="J82">
            <v>31.2</v>
          </cell>
          <cell r="K82">
            <v>49.5</v>
          </cell>
          <cell r="L82">
            <v>38.200000000000003</v>
          </cell>
          <cell r="M82">
            <v>43.6</v>
          </cell>
          <cell r="N82">
            <v>40</v>
          </cell>
          <cell r="O82">
            <v>46.1</v>
          </cell>
        </row>
        <row r="83">
          <cell r="A83">
            <v>406</v>
          </cell>
          <cell r="B83">
            <v>2</v>
          </cell>
          <cell r="C83">
            <v>13.670999999999999</v>
          </cell>
          <cell r="D83">
            <v>29.4</v>
          </cell>
          <cell r="E83">
            <v>29.2</v>
          </cell>
          <cell r="F83">
            <v>29.6</v>
          </cell>
          <cell r="G83">
            <v>28.4</v>
          </cell>
          <cell r="H83">
            <v>30.4</v>
          </cell>
          <cell r="I83">
            <v>28.6</v>
          </cell>
          <cell r="J83">
            <v>29.5</v>
          </cell>
          <cell r="K83">
            <v>28</v>
          </cell>
          <cell r="L83">
            <v>30.5</v>
          </cell>
          <cell r="M83">
            <v>28.9</v>
          </cell>
          <cell r="N83">
            <v>29.7</v>
          </cell>
          <cell r="O83">
            <v>29.1</v>
          </cell>
        </row>
        <row r="84">
          <cell r="A84">
            <v>405</v>
          </cell>
          <cell r="B84">
            <v>1</v>
          </cell>
          <cell r="C84">
            <v>13.683999999999999</v>
          </cell>
          <cell r="D84">
            <v>46.4</v>
          </cell>
          <cell r="E84">
            <v>32.200000000000003</v>
          </cell>
          <cell r="F84">
            <v>39.299999999999997</v>
          </cell>
          <cell r="G84">
            <v>49.9</v>
          </cell>
          <cell r="H84">
            <v>30.8</v>
          </cell>
          <cell r="I84">
            <v>47.4</v>
          </cell>
          <cell r="J84">
            <v>30.3</v>
          </cell>
          <cell r="K84">
            <v>37</v>
          </cell>
          <cell r="L84">
            <v>34.9</v>
          </cell>
          <cell r="M84">
            <v>40.799999999999997</v>
          </cell>
          <cell r="N84">
            <v>31.9</v>
          </cell>
          <cell r="O84">
            <v>35.4</v>
          </cell>
        </row>
        <row r="85">
          <cell r="A85">
            <v>405</v>
          </cell>
          <cell r="B85">
            <v>2</v>
          </cell>
          <cell r="C85">
            <v>13.688000000000001</v>
          </cell>
          <cell r="D85">
            <v>30.2</v>
          </cell>
          <cell r="E85">
            <v>29</v>
          </cell>
          <cell r="F85">
            <v>27.9</v>
          </cell>
          <cell r="G85">
            <v>28.4</v>
          </cell>
          <cell r="H85">
            <v>28.6</v>
          </cell>
          <cell r="I85">
            <v>29.3</v>
          </cell>
          <cell r="J85">
            <v>29.3</v>
          </cell>
          <cell r="K85">
            <v>28.7</v>
          </cell>
          <cell r="L85">
            <v>29.3</v>
          </cell>
          <cell r="M85">
            <v>28.9</v>
          </cell>
          <cell r="N85">
            <v>27.2</v>
          </cell>
          <cell r="O85">
            <v>27.9</v>
          </cell>
        </row>
        <row r="86">
          <cell r="A86">
            <v>404</v>
          </cell>
          <cell r="B86">
            <v>1</v>
          </cell>
          <cell r="C86">
            <v>13.701000000000001</v>
          </cell>
          <cell r="D86">
            <v>53.2</v>
          </cell>
          <cell r="E86">
            <v>39.5</v>
          </cell>
          <cell r="F86">
            <v>37.200000000000003</v>
          </cell>
          <cell r="G86">
            <v>45.1</v>
          </cell>
          <cell r="H86">
            <v>34.9</v>
          </cell>
          <cell r="I86">
            <v>46.2</v>
          </cell>
          <cell r="J86">
            <v>46.2</v>
          </cell>
          <cell r="K86">
            <v>47.9</v>
          </cell>
          <cell r="L86">
            <v>38</v>
          </cell>
          <cell r="M86">
            <v>50.3</v>
          </cell>
          <cell r="N86">
            <v>36.700000000000003</v>
          </cell>
          <cell r="O86">
            <v>52.4</v>
          </cell>
        </row>
        <row r="87">
          <cell r="A87">
            <v>404</v>
          </cell>
          <cell r="B87">
            <v>2</v>
          </cell>
          <cell r="C87">
            <v>13.705</v>
          </cell>
          <cell r="D87">
            <v>29.7</v>
          </cell>
          <cell r="E87">
            <v>29.5</v>
          </cell>
          <cell r="F87">
            <v>30</v>
          </cell>
          <cell r="G87">
            <v>29.7</v>
          </cell>
          <cell r="H87">
            <v>29.4</v>
          </cell>
          <cell r="I87">
            <v>28.7</v>
          </cell>
          <cell r="J87">
            <v>30.9</v>
          </cell>
          <cell r="K87">
            <v>31.2</v>
          </cell>
          <cell r="L87">
            <v>31.5</v>
          </cell>
          <cell r="M87">
            <v>29.3</v>
          </cell>
          <cell r="N87">
            <v>29</v>
          </cell>
          <cell r="O87">
            <v>29.1</v>
          </cell>
        </row>
        <row r="88">
          <cell r="A88">
            <v>403</v>
          </cell>
          <cell r="B88">
            <v>1</v>
          </cell>
          <cell r="C88">
            <v>13.718</v>
          </cell>
          <cell r="D88">
            <v>47.8</v>
          </cell>
          <cell r="E88">
            <v>31.9</v>
          </cell>
          <cell r="F88">
            <v>37.200000000000003</v>
          </cell>
          <cell r="G88">
            <v>39.799999999999997</v>
          </cell>
          <cell r="H88">
            <v>40.700000000000003</v>
          </cell>
          <cell r="I88">
            <v>40</v>
          </cell>
          <cell r="J88">
            <v>34.799999999999997</v>
          </cell>
          <cell r="K88">
            <v>48.8</v>
          </cell>
          <cell r="L88">
            <v>44.3</v>
          </cell>
          <cell r="M88">
            <v>49.9</v>
          </cell>
          <cell r="N88">
            <v>34.200000000000003</v>
          </cell>
          <cell r="O88">
            <v>45.5</v>
          </cell>
        </row>
        <row r="89">
          <cell r="A89">
            <v>403</v>
          </cell>
          <cell r="B89">
            <v>2</v>
          </cell>
          <cell r="C89">
            <v>13.722</v>
          </cell>
          <cell r="D89">
            <v>31.5</v>
          </cell>
          <cell r="E89">
            <v>30.9</v>
          </cell>
          <cell r="F89">
            <v>30.6</v>
          </cell>
          <cell r="G89">
            <v>30.3</v>
          </cell>
          <cell r="H89">
            <v>31.5</v>
          </cell>
          <cell r="I89">
            <v>31.3</v>
          </cell>
          <cell r="J89">
            <v>29.4</v>
          </cell>
          <cell r="K89">
            <v>30.2</v>
          </cell>
          <cell r="L89">
            <v>31.2</v>
          </cell>
          <cell r="M89">
            <v>29.8</v>
          </cell>
          <cell r="N89">
            <v>29.9</v>
          </cell>
          <cell r="O89">
            <v>30</v>
          </cell>
        </row>
        <row r="90">
          <cell r="A90">
            <v>402</v>
          </cell>
          <cell r="B90">
            <v>1</v>
          </cell>
          <cell r="C90">
            <v>13.734999999999999</v>
          </cell>
          <cell r="D90">
            <v>40.700000000000003</v>
          </cell>
          <cell r="E90">
            <v>38.9</v>
          </cell>
          <cell r="F90">
            <v>31.6</v>
          </cell>
          <cell r="G90">
            <v>39.4</v>
          </cell>
          <cell r="H90">
            <v>31.3</v>
          </cell>
          <cell r="I90">
            <v>38.9</v>
          </cell>
          <cell r="J90">
            <v>30.5</v>
          </cell>
          <cell r="K90">
            <v>36.9</v>
          </cell>
          <cell r="L90">
            <v>32.6</v>
          </cell>
          <cell r="M90">
            <v>38.9</v>
          </cell>
          <cell r="N90">
            <v>31.4</v>
          </cell>
          <cell r="O90">
            <v>35.6</v>
          </cell>
        </row>
        <row r="91">
          <cell r="A91">
            <v>402</v>
          </cell>
          <cell r="B91">
            <v>2</v>
          </cell>
          <cell r="C91">
            <v>13.739000000000001</v>
          </cell>
          <cell r="D91">
            <v>29</v>
          </cell>
          <cell r="E91">
            <v>28.7</v>
          </cell>
          <cell r="F91">
            <v>29.7</v>
          </cell>
          <cell r="G91">
            <v>29.2</v>
          </cell>
          <cell r="H91">
            <v>29.4</v>
          </cell>
          <cell r="I91">
            <v>28.2</v>
          </cell>
          <cell r="J91">
            <v>28.8</v>
          </cell>
          <cell r="K91">
            <v>29</v>
          </cell>
          <cell r="L91">
            <v>28.6</v>
          </cell>
          <cell r="M91">
            <v>28.8</v>
          </cell>
          <cell r="N91">
            <v>29</v>
          </cell>
          <cell r="O91">
            <v>28.6</v>
          </cell>
        </row>
        <row r="92">
          <cell r="A92">
            <v>401</v>
          </cell>
          <cell r="B92">
            <v>1</v>
          </cell>
          <cell r="C92">
            <v>13.752000000000001</v>
          </cell>
          <cell r="D92">
            <v>61</v>
          </cell>
          <cell r="E92">
            <v>58.2</v>
          </cell>
          <cell r="F92">
            <v>56.7</v>
          </cell>
          <cell r="G92">
            <v>57.5</v>
          </cell>
          <cell r="H92">
            <v>51.6</v>
          </cell>
          <cell r="I92">
            <v>58.1</v>
          </cell>
          <cell r="J92">
            <v>44.8</v>
          </cell>
          <cell r="K92">
            <v>58.6</v>
          </cell>
          <cell r="L92">
            <v>47.2</v>
          </cell>
          <cell r="M92">
            <v>57.4</v>
          </cell>
          <cell r="N92">
            <v>47.1</v>
          </cell>
          <cell r="O92">
            <v>47.6</v>
          </cell>
        </row>
        <row r="93">
          <cell r="A93">
            <v>401</v>
          </cell>
          <cell r="B93">
            <v>2</v>
          </cell>
          <cell r="C93">
            <v>13.756</v>
          </cell>
          <cell r="D93">
            <v>32.299999999999997</v>
          </cell>
          <cell r="E93">
            <v>32.799999999999997</v>
          </cell>
          <cell r="F93">
            <v>32.1</v>
          </cell>
          <cell r="G93">
            <v>31.6</v>
          </cell>
          <cell r="H93">
            <v>33.299999999999997</v>
          </cell>
          <cell r="I93">
            <v>32.799999999999997</v>
          </cell>
          <cell r="J93">
            <v>34.200000000000003</v>
          </cell>
          <cell r="K93">
            <v>32.799999999999997</v>
          </cell>
          <cell r="L93">
            <v>33.1</v>
          </cell>
          <cell r="M93">
            <v>33.700000000000003</v>
          </cell>
          <cell r="N93">
            <v>40</v>
          </cell>
          <cell r="O93">
            <v>35.1</v>
          </cell>
        </row>
      </sheetData>
      <sheetData sheetId="2">
        <row r="7">
          <cell r="C7">
            <v>181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40.85</v>
          </cell>
        </row>
        <row r="29">
          <cell r="E29">
            <v>6.6535783321792339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'IA182.03R'</v>
          </cell>
        </row>
        <row r="14">
          <cell r="A14">
            <v>108</v>
          </cell>
          <cell r="B14">
            <v>1</v>
          </cell>
          <cell r="C14">
            <v>12.891999999999999</v>
          </cell>
          <cell r="D14">
            <v>53</v>
          </cell>
          <cell r="E14">
            <v>37.9</v>
          </cell>
          <cell r="F14">
            <v>49</v>
          </cell>
          <cell r="G14">
            <v>35.1</v>
          </cell>
          <cell r="H14">
            <v>44.6</v>
          </cell>
          <cell r="I14">
            <v>38.4</v>
          </cell>
          <cell r="J14">
            <v>52.5</v>
          </cell>
          <cell r="K14">
            <v>33.4</v>
          </cell>
          <cell r="L14">
            <v>49.5</v>
          </cell>
          <cell r="M14">
            <v>32.200000000000003</v>
          </cell>
          <cell r="N14">
            <v>53.9</v>
          </cell>
          <cell r="O14">
            <v>33.799999999999997</v>
          </cell>
        </row>
        <row r="15">
          <cell r="A15">
            <v>108</v>
          </cell>
          <cell r="B15">
            <v>2</v>
          </cell>
          <cell r="C15">
            <v>12.897</v>
          </cell>
          <cell r="D15">
            <v>28.6</v>
          </cell>
          <cell r="E15">
            <v>31</v>
          </cell>
          <cell r="F15">
            <v>29.6</v>
          </cell>
          <cell r="G15">
            <v>30</v>
          </cell>
          <cell r="H15">
            <v>31.1</v>
          </cell>
          <cell r="I15">
            <v>29.8</v>
          </cell>
          <cell r="J15">
            <v>32.1</v>
          </cell>
          <cell r="K15">
            <v>29.6</v>
          </cell>
          <cell r="L15">
            <v>29.5</v>
          </cell>
          <cell r="M15">
            <v>31.1</v>
          </cell>
          <cell r="N15">
            <v>29.5</v>
          </cell>
          <cell r="O15">
            <v>30.2</v>
          </cell>
        </row>
        <row r="16">
          <cell r="A16">
            <v>107</v>
          </cell>
          <cell r="B16">
            <v>1</v>
          </cell>
          <cell r="C16">
            <v>12.906000000000001</v>
          </cell>
          <cell r="D16">
            <v>54.9</v>
          </cell>
          <cell r="E16">
            <v>38.799999999999997</v>
          </cell>
          <cell r="F16">
            <v>53.6</v>
          </cell>
          <cell r="G16">
            <v>32.1</v>
          </cell>
          <cell r="H16">
            <v>51.9</v>
          </cell>
          <cell r="I16">
            <v>35.9</v>
          </cell>
          <cell r="J16">
            <v>54.8</v>
          </cell>
          <cell r="K16">
            <v>31.9</v>
          </cell>
          <cell r="L16">
            <v>48.8</v>
          </cell>
          <cell r="M16">
            <v>33</v>
          </cell>
          <cell r="N16">
            <v>51.4</v>
          </cell>
          <cell r="O16">
            <v>32.1</v>
          </cell>
        </row>
        <row r="17">
          <cell r="A17">
            <v>107</v>
          </cell>
          <cell r="B17">
            <v>2</v>
          </cell>
          <cell r="C17">
            <v>12.911</v>
          </cell>
          <cell r="D17">
            <v>29.1</v>
          </cell>
          <cell r="E17">
            <v>28.8</v>
          </cell>
          <cell r="F17">
            <v>30.6</v>
          </cell>
          <cell r="G17">
            <v>30.6</v>
          </cell>
          <cell r="H17">
            <v>30.2</v>
          </cell>
          <cell r="I17">
            <v>31.1</v>
          </cell>
          <cell r="J17">
            <v>31.4</v>
          </cell>
          <cell r="K17">
            <v>30.3</v>
          </cell>
          <cell r="L17">
            <v>32</v>
          </cell>
          <cell r="M17">
            <v>30.8</v>
          </cell>
          <cell r="N17">
            <v>31.4</v>
          </cell>
          <cell r="O17">
            <v>31.8</v>
          </cell>
        </row>
        <row r="18">
          <cell r="A18">
            <v>106</v>
          </cell>
          <cell r="B18">
            <v>1</v>
          </cell>
          <cell r="C18">
            <v>12.92</v>
          </cell>
          <cell r="D18">
            <v>53</v>
          </cell>
          <cell r="E18">
            <v>39.700000000000003</v>
          </cell>
          <cell r="F18">
            <v>45.2</v>
          </cell>
          <cell r="G18">
            <v>34.6</v>
          </cell>
          <cell r="H18">
            <v>52.3</v>
          </cell>
          <cell r="I18">
            <v>34.5</v>
          </cell>
          <cell r="J18">
            <v>49.6</v>
          </cell>
          <cell r="K18">
            <v>33.700000000000003</v>
          </cell>
          <cell r="L18">
            <v>50.9</v>
          </cell>
          <cell r="M18">
            <v>34.5</v>
          </cell>
          <cell r="N18">
            <v>53.4</v>
          </cell>
          <cell r="O18">
            <v>36.1</v>
          </cell>
        </row>
        <row r="19">
          <cell r="A19">
            <v>106</v>
          </cell>
          <cell r="B19">
            <v>2</v>
          </cell>
          <cell r="C19">
            <v>12.925000000000001</v>
          </cell>
          <cell r="D19">
            <v>30.4</v>
          </cell>
          <cell r="E19">
            <v>30.6</v>
          </cell>
          <cell r="F19">
            <v>29.2</v>
          </cell>
          <cell r="G19">
            <v>30.3</v>
          </cell>
          <cell r="H19">
            <v>30.3</v>
          </cell>
          <cell r="I19">
            <v>30.2</v>
          </cell>
          <cell r="J19">
            <v>31.3</v>
          </cell>
          <cell r="K19">
            <v>30.7</v>
          </cell>
          <cell r="L19">
            <v>30.4</v>
          </cell>
          <cell r="M19">
            <v>29.4</v>
          </cell>
          <cell r="N19">
            <v>31.8</v>
          </cell>
          <cell r="O19">
            <v>29</v>
          </cell>
        </row>
        <row r="20">
          <cell r="A20">
            <v>105</v>
          </cell>
          <cell r="B20">
            <v>1</v>
          </cell>
          <cell r="C20">
            <v>12.933999999999999</v>
          </cell>
          <cell r="D20">
            <v>43.4</v>
          </cell>
          <cell r="E20">
            <v>32.6</v>
          </cell>
          <cell r="F20">
            <v>39</v>
          </cell>
          <cell r="G20">
            <v>30.2</v>
          </cell>
          <cell r="H20">
            <v>41.5</v>
          </cell>
          <cell r="I20">
            <v>31.1</v>
          </cell>
          <cell r="J20">
            <v>41.5</v>
          </cell>
          <cell r="K20">
            <v>30.7</v>
          </cell>
          <cell r="L20">
            <v>47.1</v>
          </cell>
          <cell r="M20">
            <v>32.9</v>
          </cell>
          <cell r="N20">
            <v>49.2</v>
          </cell>
          <cell r="O20">
            <v>32.4</v>
          </cell>
        </row>
        <row r="21">
          <cell r="A21">
            <v>105</v>
          </cell>
          <cell r="B21">
            <v>2</v>
          </cell>
          <cell r="C21">
            <v>12.939</v>
          </cell>
          <cell r="D21">
            <v>28.9</v>
          </cell>
          <cell r="E21">
            <v>28.3</v>
          </cell>
          <cell r="F21">
            <v>29.7</v>
          </cell>
          <cell r="G21">
            <v>28.5</v>
          </cell>
          <cell r="H21">
            <v>29.9</v>
          </cell>
          <cell r="I21">
            <v>28</v>
          </cell>
          <cell r="J21">
            <v>30.2</v>
          </cell>
          <cell r="K21">
            <v>29</v>
          </cell>
          <cell r="L21">
            <v>30.8</v>
          </cell>
          <cell r="M21">
            <v>29.3</v>
          </cell>
          <cell r="N21">
            <v>28.4</v>
          </cell>
          <cell r="O21">
            <v>29.2</v>
          </cell>
        </row>
        <row r="22">
          <cell r="A22">
            <v>104</v>
          </cell>
          <cell r="B22">
            <v>1</v>
          </cell>
          <cell r="C22">
            <v>12.949</v>
          </cell>
          <cell r="D22">
            <v>54.3</v>
          </cell>
          <cell r="E22">
            <v>36.4</v>
          </cell>
          <cell r="F22">
            <v>50.8</v>
          </cell>
          <cell r="G22">
            <v>31.2</v>
          </cell>
          <cell r="H22">
            <v>51</v>
          </cell>
          <cell r="I22">
            <v>31.8</v>
          </cell>
          <cell r="J22">
            <v>50.9</v>
          </cell>
          <cell r="K22">
            <v>32.799999999999997</v>
          </cell>
          <cell r="L22">
            <v>51.3</v>
          </cell>
          <cell r="M22">
            <v>32.700000000000003</v>
          </cell>
          <cell r="N22">
            <v>52.5</v>
          </cell>
          <cell r="O22">
            <v>33</v>
          </cell>
        </row>
        <row r="23">
          <cell r="A23">
            <v>104</v>
          </cell>
          <cell r="B23">
            <v>2</v>
          </cell>
          <cell r="C23">
            <v>12.954000000000001</v>
          </cell>
          <cell r="D23">
            <v>29</v>
          </cell>
          <cell r="E23">
            <v>28</v>
          </cell>
          <cell r="F23">
            <v>30.1</v>
          </cell>
          <cell r="G23">
            <v>27.9</v>
          </cell>
          <cell r="H23">
            <v>30.9</v>
          </cell>
          <cell r="I23">
            <v>29</v>
          </cell>
          <cell r="J23">
            <v>31.8</v>
          </cell>
          <cell r="K23">
            <v>29.5</v>
          </cell>
          <cell r="L23">
            <v>30.3</v>
          </cell>
          <cell r="M23">
            <v>29.2</v>
          </cell>
          <cell r="N23">
            <v>31.4</v>
          </cell>
          <cell r="O23">
            <v>29</v>
          </cell>
        </row>
        <row r="24">
          <cell r="A24">
            <v>103</v>
          </cell>
          <cell r="B24">
            <v>1</v>
          </cell>
          <cell r="C24">
            <v>12.962999999999999</v>
          </cell>
          <cell r="D24">
            <v>49.5</v>
          </cell>
          <cell r="E24">
            <v>34.5</v>
          </cell>
          <cell r="F24">
            <v>49.8</v>
          </cell>
          <cell r="G24">
            <v>31.8</v>
          </cell>
          <cell r="H24">
            <v>49.4</v>
          </cell>
          <cell r="I24">
            <v>32</v>
          </cell>
          <cell r="J24">
            <v>51.5</v>
          </cell>
          <cell r="K24">
            <v>31.9</v>
          </cell>
          <cell r="L24">
            <v>51.9</v>
          </cell>
          <cell r="M24">
            <v>32.700000000000003</v>
          </cell>
          <cell r="N24">
            <v>47.3</v>
          </cell>
          <cell r="O24">
            <v>32.299999999999997</v>
          </cell>
        </row>
        <row r="25">
          <cell r="A25">
            <v>103</v>
          </cell>
          <cell r="B25">
            <v>2</v>
          </cell>
          <cell r="C25">
            <v>12.968</v>
          </cell>
          <cell r="D25">
            <v>29.7</v>
          </cell>
          <cell r="E25">
            <v>29.6</v>
          </cell>
          <cell r="F25">
            <v>31.6</v>
          </cell>
          <cell r="G25">
            <v>30.7</v>
          </cell>
          <cell r="H25">
            <v>30.1</v>
          </cell>
          <cell r="I25">
            <v>30.6</v>
          </cell>
          <cell r="J25">
            <v>32.700000000000003</v>
          </cell>
          <cell r="K25">
            <v>30.4</v>
          </cell>
          <cell r="L25">
            <v>32</v>
          </cell>
          <cell r="M25">
            <v>30.5</v>
          </cell>
          <cell r="N25">
            <v>30.7</v>
          </cell>
          <cell r="O25">
            <v>29.9</v>
          </cell>
        </row>
        <row r="26">
          <cell r="A26">
            <v>102</v>
          </cell>
          <cell r="B26">
            <v>1</v>
          </cell>
          <cell r="C26">
            <v>12.978</v>
          </cell>
          <cell r="D26">
            <v>58.9</v>
          </cell>
          <cell r="E26">
            <v>39.299999999999997</v>
          </cell>
          <cell r="F26">
            <v>55.9</v>
          </cell>
          <cell r="G26">
            <v>33.200000000000003</v>
          </cell>
          <cell r="H26">
            <v>58.9</v>
          </cell>
          <cell r="I26">
            <v>37.799999999999997</v>
          </cell>
          <cell r="J26">
            <v>59.4</v>
          </cell>
          <cell r="K26">
            <v>34.5</v>
          </cell>
          <cell r="L26">
            <v>57.2</v>
          </cell>
          <cell r="M26">
            <v>36.9</v>
          </cell>
          <cell r="N26">
            <v>54.2</v>
          </cell>
          <cell r="O26">
            <v>34</v>
          </cell>
        </row>
        <row r="27">
          <cell r="A27">
            <v>102</v>
          </cell>
          <cell r="B27">
            <v>2</v>
          </cell>
          <cell r="C27">
            <v>12.983000000000001</v>
          </cell>
          <cell r="D27">
            <v>30.6</v>
          </cell>
          <cell r="E27">
            <v>28.8</v>
          </cell>
          <cell r="F27">
            <v>29.6</v>
          </cell>
          <cell r="G27">
            <v>29.8</v>
          </cell>
          <cell r="H27">
            <v>32.6</v>
          </cell>
          <cell r="I27">
            <v>31.6</v>
          </cell>
          <cell r="J27">
            <v>33.5</v>
          </cell>
          <cell r="K27">
            <v>31.7</v>
          </cell>
          <cell r="L27">
            <v>30.6</v>
          </cell>
          <cell r="M27">
            <v>29.2</v>
          </cell>
          <cell r="N27">
            <v>30.9</v>
          </cell>
          <cell r="O27">
            <v>30.9</v>
          </cell>
        </row>
        <row r="28">
          <cell r="A28">
            <v>101</v>
          </cell>
          <cell r="B28">
            <v>1</v>
          </cell>
          <cell r="C28">
            <v>12.992000000000001</v>
          </cell>
          <cell r="D28">
            <v>60.5</v>
          </cell>
          <cell r="E28">
            <v>37.1</v>
          </cell>
          <cell r="F28">
            <v>56.1</v>
          </cell>
          <cell r="G28">
            <v>33.4</v>
          </cell>
          <cell r="H28">
            <v>52</v>
          </cell>
          <cell r="I28">
            <v>34.299999999999997</v>
          </cell>
          <cell r="J28">
            <v>53.2</v>
          </cell>
          <cell r="K28">
            <v>38.799999999999997</v>
          </cell>
          <cell r="L28">
            <v>57</v>
          </cell>
          <cell r="M28">
            <v>42.4</v>
          </cell>
          <cell r="N28">
            <v>58.3</v>
          </cell>
          <cell r="O28">
            <v>36.799999999999997</v>
          </cell>
        </row>
        <row r="29">
          <cell r="A29">
            <v>101</v>
          </cell>
          <cell r="B29">
            <v>2</v>
          </cell>
          <cell r="C29">
            <v>12.997</v>
          </cell>
          <cell r="D29">
            <v>31</v>
          </cell>
          <cell r="E29">
            <v>30</v>
          </cell>
          <cell r="F29">
            <v>31.1</v>
          </cell>
          <cell r="G29">
            <v>32.4</v>
          </cell>
          <cell r="H29">
            <v>32.1</v>
          </cell>
          <cell r="I29">
            <v>31.8</v>
          </cell>
          <cell r="J29">
            <v>32.200000000000003</v>
          </cell>
          <cell r="K29">
            <v>32.4</v>
          </cell>
          <cell r="L29">
            <v>31.1</v>
          </cell>
          <cell r="M29">
            <v>29.7</v>
          </cell>
          <cell r="N29">
            <v>33.299999999999997</v>
          </cell>
          <cell r="O29">
            <v>30.4</v>
          </cell>
        </row>
        <row r="30">
          <cell r="A30">
            <v>201</v>
          </cell>
          <cell r="B30">
            <v>1</v>
          </cell>
          <cell r="C30">
            <v>13.012</v>
          </cell>
          <cell r="D30">
            <v>36.1</v>
          </cell>
          <cell r="E30">
            <v>34</v>
          </cell>
          <cell r="F30">
            <v>46.3</v>
          </cell>
          <cell r="G30">
            <v>32.299999999999997</v>
          </cell>
          <cell r="H30">
            <v>41.2</v>
          </cell>
          <cell r="I30">
            <v>31.3</v>
          </cell>
          <cell r="J30">
            <v>42.2</v>
          </cell>
          <cell r="K30">
            <v>31.1</v>
          </cell>
          <cell r="L30">
            <v>41.4</v>
          </cell>
          <cell r="M30">
            <v>31.1</v>
          </cell>
          <cell r="N30">
            <v>44</v>
          </cell>
          <cell r="O30">
            <v>30.6</v>
          </cell>
        </row>
        <row r="31">
          <cell r="A31">
            <v>201</v>
          </cell>
          <cell r="B31">
            <v>2</v>
          </cell>
          <cell r="C31">
            <v>13.016999999999999</v>
          </cell>
          <cell r="D31">
            <v>29.5</v>
          </cell>
          <cell r="E31">
            <v>29</v>
          </cell>
          <cell r="F31">
            <v>29.4</v>
          </cell>
          <cell r="G31">
            <v>30.6</v>
          </cell>
          <cell r="H31">
            <v>29.7</v>
          </cell>
          <cell r="I31">
            <v>30.1</v>
          </cell>
          <cell r="J31">
            <v>29.9</v>
          </cell>
          <cell r="K31">
            <v>31</v>
          </cell>
          <cell r="L31">
            <v>30.9</v>
          </cell>
          <cell r="M31">
            <v>29.8</v>
          </cell>
          <cell r="N31">
            <v>30.4</v>
          </cell>
          <cell r="O31">
            <v>29.1</v>
          </cell>
        </row>
        <row r="32">
          <cell r="A32">
            <v>202</v>
          </cell>
          <cell r="B32">
            <v>1</v>
          </cell>
          <cell r="C32">
            <v>13.026</v>
          </cell>
          <cell r="D32">
            <v>45.4</v>
          </cell>
          <cell r="E32">
            <v>37.299999999999997</v>
          </cell>
          <cell r="F32">
            <v>52.4</v>
          </cell>
          <cell r="G32">
            <v>32.1</v>
          </cell>
          <cell r="H32">
            <v>53.5</v>
          </cell>
          <cell r="I32">
            <v>30.7</v>
          </cell>
          <cell r="J32">
            <v>53.8</v>
          </cell>
          <cell r="K32">
            <v>31.8</v>
          </cell>
          <cell r="L32">
            <v>53.7</v>
          </cell>
          <cell r="M32">
            <v>31.9</v>
          </cell>
          <cell r="N32">
            <v>51.2</v>
          </cell>
          <cell r="O32">
            <v>32.700000000000003</v>
          </cell>
        </row>
        <row r="33">
          <cell r="A33">
            <v>202</v>
          </cell>
          <cell r="B33">
            <v>2</v>
          </cell>
          <cell r="C33">
            <v>13.031000000000001</v>
          </cell>
          <cell r="D33">
            <v>31.5</v>
          </cell>
          <cell r="E33">
            <v>29.9</v>
          </cell>
          <cell r="F33">
            <v>31.9</v>
          </cell>
          <cell r="G33">
            <v>29.7</v>
          </cell>
          <cell r="H33">
            <v>30.6</v>
          </cell>
          <cell r="I33">
            <v>29.1</v>
          </cell>
          <cell r="J33">
            <v>30.4</v>
          </cell>
          <cell r="K33">
            <v>28.9</v>
          </cell>
          <cell r="L33">
            <v>29.4</v>
          </cell>
          <cell r="M33">
            <v>29</v>
          </cell>
          <cell r="N33">
            <v>30.6</v>
          </cell>
          <cell r="O33">
            <v>28</v>
          </cell>
        </row>
        <row r="34">
          <cell r="A34">
            <v>203</v>
          </cell>
          <cell r="B34">
            <v>1</v>
          </cell>
          <cell r="C34">
            <v>13.039</v>
          </cell>
          <cell r="D34">
            <v>36.5</v>
          </cell>
          <cell r="E34">
            <v>44</v>
          </cell>
          <cell r="F34">
            <v>53.4</v>
          </cell>
          <cell r="G34">
            <v>33.200000000000003</v>
          </cell>
          <cell r="H34">
            <v>50.8</v>
          </cell>
          <cell r="I34">
            <v>32.1</v>
          </cell>
          <cell r="J34">
            <v>48.5</v>
          </cell>
          <cell r="K34">
            <v>37.799999999999997</v>
          </cell>
          <cell r="L34">
            <v>55.7</v>
          </cell>
          <cell r="M34">
            <v>33.6</v>
          </cell>
          <cell r="N34">
            <v>50.7</v>
          </cell>
          <cell r="O34">
            <v>34.5</v>
          </cell>
        </row>
        <row r="35">
          <cell r="A35">
            <v>203</v>
          </cell>
          <cell r="B35">
            <v>2</v>
          </cell>
          <cell r="C35">
            <v>13.044</v>
          </cell>
          <cell r="D35">
            <v>29.1</v>
          </cell>
          <cell r="E35">
            <v>29.6</v>
          </cell>
          <cell r="F35">
            <v>31.6</v>
          </cell>
          <cell r="G35">
            <v>31.1</v>
          </cell>
          <cell r="H35">
            <v>29.3</v>
          </cell>
          <cell r="I35">
            <v>28.9</v>
          </cell>
          <cell r="J35">
            <v>30.9</v>
          </cell>
          <cell r="K35">
            <v>30.8</v>
          </cell>
          <cell r="L35">
            <v>29.8</v>
          </cell>
          <cell r="M35">
            <v>29</v>
          </cell>
          <cell r="N35">
            <v>28.9</v>
          </cell>
          <cell r="O35">
            <v>29.6</v>
          </cell>
        </row>
        <row r="36">
          <cell r="A36">
            <v>204</v>
          </cell>
          <cell r="B36">
            <v>1</v>
          </cell>
          <cell r="C36">
            <v>13.054</v>
          </cell>
          <cell r="D36">
            <v>37.700000000000003</v>
          </cell>
          <cell r="E36">
            <v>33</v>
          </cell>
          <cell r="F36">
            <v>34.700000000000003</v>
          </cell>
          <cell r="G36">
            <v>30.7</v>
          </cell>
          <cell r="H36">
            <v>46</v>
          </cell>
          <cell r="I36">
            <v>31.1</v>
          </cell>
          <cell r="J36">
            <v>44.7</v>
          </cell>
          <cell r="K36">
            <v>29.9</v>
          </cell>
          <cell r="L36">
            <v>45.5</v>
          </cell>
          <cell r="M36">
            <v>30.8</v>
          </cell>
          <cell r="N36">
            <v>44.2</v>
          </cell>
          <cell r="O36">
            <v>30.1</v>
          </cell>
        </row>
        <row r="37">
          <cell r="A37">
            <v>204</v>
          </cell>
          <cell r="B37">
            <v>2</v>
          </cell>
          <cell r="C37">
            <v>13.058999999999999</v>
          </cell>
          <cell r="D37">
            <v>28.1</v>
          </cell>
          <cell r="E37">
            <v>28.1</v>
          </cell>
          <cell r="F37">
            <v>27.7</v>
          </cell>
          <cell r="G37">
            <v>28.7</v>
          </cell>
          <cell r="H37">
            <v>30.3</v>
          </cell>
          <cell r="I37">
            <v>27.8</v>
          </cell>
          <cell r="J37">
            <v>29.5</v>
          </cell>
          <cell r="K37">
            <v>29.5</v>
          </cell>
          <cell r="L37">
            <v>28.8</v>
          </cell>
          <cell r="M37">
            <v>29.2</v>
          </cell>
          <cell r="N37">
            <v>30.8</v>
          </cell>
          <cell r="O37">
            <v>28.6</v>
          </cell>
        </row>
        <row r="38">
          <cell r="A38">
            <v>205</v>
          </cell>
          <cell r="B38">
            <v>1</v>
          </cell>
          <cell r="C38">
            <v>13.068</v>
          </cell>
          <cell r="D38">
            <v>43</v>
          </cell>
          <cell r="E38">
            <v>45.8</v>
          </cell>
          <cell r="F38">
            <v>54.4</v>
          </cell>
          <cell r="G38">
            <v>32.5</v>
          </cell>
          <cell r="H38">
            <v>55.5</v>
          </cell>
          <cell r="I38">
            <v>32.5</v>
          </cell>
          <cell r="J38">
            <v>54.7</v>
          </cell>
          <cell r="K38">
            <v>36.4</v>
          </cell>
          <cell r="L38">
            <v>55.1</v>
          </cell>
          <cell r="M38">
            <v>31.2</v>
          </cell>
          <cell r="N38">
            <v>54.3</v>
          </cell>
          <cell r="O38">
            <v>34.200000000000003</v>
          </cell>
        </row>
        <row r="39">
          <cell r="A39">
            <v>205</v>
          </cell>
          <cell r="B39">
            <v>2</v>
          </cell>
          <cell r="C39">
            <v>13.073</v>
          </cell>
          <cell r="D39">
            <v>28.7</v>
          </cell>
          <cell r="E39">
            <v>29.3</v>
          </cell>
          <cell r="F39">
            <v>28.8</v>
          </cell>
          <cell r="G39">
            <v>27.8</v>
          </cell>
          <cell r="H39">
            <v>30.1</v>
          </cell>
          <cell r="I39">
            <v>28.6</v>
          </cell>
          <cell r="J39">
            <v>29.5</v>
          </cell>
          <cell r="K39">
            <v>28.3</v>
          </cell>
          <cell r="L39">
            <v>29.5</v>
          </cell>
          <cell r="M39">
            <v>28.5</v>
          </cell>
          <cell r="N39">
            <v>28.6</v>
          </cell>
          <cell r="O39">
            <v>27.5</v>
          </cell>
        </row>
        <row r="40">
          <cell r="A40">
            <v>206</v>
          </cell>
          <cell r="B40">
            <v>1</v>
          </cell>
          <cell r="C40">
            <v>13.081</v>
          </cell>
          <cell r="D40">
            <v>35.299999999999997</v>
          </cell>
          <cell r="E40">
            <v>33.5</v>
          </cell>
          <cell r="F40">
            <v>39.5</v>
          </cell>
          <cell r="G40">
            <v>33.299999999999997</v>
          </cell>
          <cell r="H40">
            <v>41.3</v>
          </cell>
          <cell r="I40">
            <v>31</v>
          </cell>
          <cell r="J40">
            <v>39.9</v>
          </cell>
          <cell r="K40">
            <v>32.700000000000003</v>
          </cell>
          <cell r="L40">
            <v>38.9</v>
          </cell>
          <cell r="M40">
            <v>33.1</v>
          </cell>
          <cell r="N40">
            <v>37.5</v>
          </cell>
          <cell r="O40">
            <v>35.799999999999997</v>
          </cell>
        </row>
        <row r="41">
          <cell r="A41">
            <v>206</v>
          </cell>
          <cell r="B41">
            <v>2</v>
          </cell>
          <cell r="C41">
            <v>13.086</v>
          </cell>
          <cell r="D41">
            <v>30.2</v>
          </cell>
          <cell r="E41">
            <v>30.8</v>
          </cell>
          <cell r="F41">
            <v>30.2</v>
          </cell>
          <cell r="G41">
            <v>31.1</v>
          </cell>
          <cell r="H41">
            <v>33.4</v>
          </cell>
          <cell r="I41">
            <v>30.2</v>
          </cell>
          <cell r="J41">
            <v>31.8</v>
          </cell>
          <cell r="K41">
            <v>30.4</v>
          </cell>
          <cell r="L41">
            <v>32.9</v>
          </cell>
          <cell r="M41">
            <v>31.8</v>
          </cell>
          <cell r="N41">
            <v>32</v>
          </cell>
          <cell r="O41">
            <v>32.4</v>
          </cell>
        </row>
        <row r="42">
          <cell r="A42">
            <v>207</v>
          </cell>
          <cell r="B42">
            <v>1</v>
          </cell>
          <cell r="C42">
            <v>13.095000000000001</v>
          </cell>
          <cell r="D42">
            <v>30.3</v>
          </cell>
          <cell r="E42">
            <v>45.1</v>
          </cell>
          <cell r="F42">
            <v>34.200000000000003</v>
          </cell>
          <cell r="G42">
            <v>57.6</v>
          </cell>
          <cell r="H42">
            <v>30.7</v>
          </cell>
          <cell r="I42">
            <v>54.8</v>
          </cell>
          <cell r="J42">
            <v>31.7</v>
          </cell>
          <cell r="K42">
            <v>54.8</v>
          </cell>
          <cell r="L42">
            <v>30.2</v>
          </cell>
          <cell r="M42">
            <v>53</v>
          </cell>
          <cell r="N42">
            <v>29.8</v>
          </cell>
          <cell r="O42">
            <v>53.8</v>
          </cell>
        </row>
        <row r="43">
          <cell r="A43">
            <v>207</v>
          </cell>
          <cell r="B43">
            <v>2</v>
          </cell>
          <cell r="C43">
            <v>13.102</v>
          </cell>
          <cell r="D43">
            <v>27.8</v>
          </cell>
          <cell r="E43">
            <v>28.3</v>
          </cell>
          <cell r="F43">
            <v>30.1</v>
          </cell>
          <cell r="G43">
            <v>29.3</v>
          </cell>
          <cell r="H43">
            <v>29.6</v>
          </cell>
          <cell r="I43">
            <v>28.3</v>
          </cell>
          <cell r="J43">
            <v>29.2</v>
          </cell>
          <cell r="K43">
            <v>30.4</v>
          </cell>
          <cell r="L43">
            <v>29.1</v>
          </cell>
          <cell r="M43">
            <v>29.8</v>
          </cell>
          <cell r="N43">
            <v>32.299999999999997</v>
          </cell>
          <cell r="O43">
            <v>30.2</v>
          </cell>
        </row>
        <row r="44">
          <cell r="A44">
            <v>208</v>
          </cell>
          <cell r="B44">
            <v>1</v>
          </cell>
          <cell r="C44">
            <v>13.112</v>
          </cell>
          <cell r="D44">
            <v>44.6</v>
          </cell>
          <cell r="E44">
            <v>40.5</v>
          </cell>
          <cell r="F44">
            <v>49.7</v>
          </cell>
          <cell r="G44">
            <v>40.6</v>
          </cell>
          <cell r="H44">
            <v>47.9</v>
          </cell>
          <cell r="I44">
            <v>48.7</v>
          </cell>
          <cell r="J44">
            <v>52.6</v>
          </cell>
          <cell r="K44">
            <v>38</v>
          </cell>
          <cell r="L44">
            <v>55</v>
          </cell>
          <cell r="M44">
            <v>36.299999999999997</v>
          </cell>
          <cell r="N44">
            <v>56.2</v>
          </cell>
          <cell r="O44">
            <v>34</v>
          </cell>
        </row>
        <row r="45">
          <cell r="A45">
            <v>208</v>
          </cell>
          <cell r="B45">
            <v>2</v>
          </cell>
          <cell r="C45">
            <v>13.118</v>
          </cell>
          <cell r="D45">
            <v>28.7</v>
          </cell>
          <cell r="E45">
            <v>28.8</v>
          </cell>
          <cell r="F45">
            <v>31.5</v>
          </cell>
          <cell r="G45">
            <v>30.5</v>
          </cell>
          <cell r="H45">
            <v>29.9</v>
          </cell>
          <cell r="I45">
            <v>28.3</v>
          </cell>
          <cell r="J45">
            <v>30.6</v>
          </cell>
          <cell r="K45">
            <v>29.3</v>
          </cell>
          <cell r="L45">
            <v>30</v>
          </cell>
          <cell r="M45">
            <v>28</v>
          </cell>
          <cell r="N45">
            <v>28.9</v>
          </cell>
          <cell r="O45">
            <v>29.7</v>
          </cell>
        </row>
        <row r="46">
          <cell r="A46">
            <v>908</v>
          </cell>
          <cell r="B46">
            <v>1</v>
          </cell>
          <cell r="C46">
            <v>13.132999999999999</v>
          </cell>
          <cell r="D46">
            <v>63</v>
          </cell>
          <cell r="E46">
            <v>49.1</v>
          </cell>
          <cell r="F46">
            <v>59.8</v>
          </cell>
          <cell r="G46">
            <v>38.4</v>
          </cell>
          <cell r="H46">
            <v>62</v>
          </cell>
          <cell r="I46">
            <v>38.6</v>
          </cell>
          <cell r="J46">
            <v>59.4</v>
          </cell>
          <cell r="K46">
            <v>38.799999999999997</v>
          </cell>
          <cell r="L46">
            <v>59.7</v>
          </cell>
          <cell r="M46">
            <v>43.4</v>
          </cell>
          <cell r="N46">
            <v>61.9</v>
          </cell>
          <cell r="O46">
            <v>41.7</v>
          </cell>
        </row>
        <row r="47">
          <cell r="A47">
            <v>908</v>
          </cell>
          <cell r="B47">
            <v>2</v>
          </cell>
          <cell r="C47">
            <v>13.138</v>
          </cell>
          <cell r="D47">
            <v>33.299999999999997</v>
          </cell>
          <cell r="E47">
            <v>33.200000000000003</v>
          </cell>
          <cell r="F47">
            <v>35.799999999999997</v>
          </cell>
          <cell r="G47">
            <v>37.1</v>
          </cell>
          <cell r="H47">
            <v>31.4</v>
          </cell>
          <cell r="I47">
            <v>35</v>
          </cell>
          <cell r="J47">
            <v>33.4</v>
          </cell>
          <cell r="K47">
            <v>32.299999999999997</v>
          </cell>
          <cell r="L47">
            <v>35.299999999999997</v>
          </cell>
          <cell r="M47">
            <v>33.700000000000003</v>
          </cell>
          <cell r="N47">
            <v>34.200000000000003</v>
          </cell>
          <cell r="O47">
            <v>33.200000000000003</v>
          </cell>
        </row>
        <row r="48">
          <cell r="A48">
            <v>907</v>
          </cell>
          <cell r="B48">
            <v>1</v>
          </cell>
          <cell r="C48">
            <v>13.147</v>
          </cell>
          <cell r="D48">
            <v>66.400000000000006</v>
          </cell>
          <cell r="E48">
            <v>66.3</v>
          </cell>
          <cell r="F48">
            <v>66.7</v>
          </cell>
          <cell r="G48">
            <v>66.5</v>
          </cell>
          <cell r="H48">
            <v>66.7</v>
          </cell>
          <cell r="I48">
            <v>66</v>
          </cell>
          <cell r="J48">
            <v>66.7</v>
          </cell>
          <cell r="K48">
            <v>66.2</v>
          </cell>
          <cell r="L48">
            <v>66.099999999999994</v>
          </cell>
          <cell r="M48">
            <v>66.7</v>
          </cell>
          <cell r="N48">
            <v>67.5</v>
          </cell>
          <cell r="O48">
            <v>67.2</v>
          </cell>
        </row>
        <row r="50">
          <cell r="A50">
            <v>906</v>
          </cell>
          <cell r="B50">
            <v>1</v>
          </cell>
          <cell r="C50">
            <v>13.153</v>
          </cell>
          <cell r="D50">
            <v>58.6</v>
          </cell>
          <cell r="E50">
            <v>38.1</v>
          </cell>
          <cell r="F50">
            <v>54</v>
          </cell>
          <cell r="G50">
            <v>33.4</v>
          </cell>
          <cell r="H50">
            <v>53.4</v>
          </cell>
          <cell r="I50">
            <v>34.6</v>
          </cell>
          <cell r="J50">
            <v>56.1</v>
          </cell>
          <cell r="K50">
            <v>38.4</v>
          </cell>
          <cell r="L50">
            <v>52.2</v>
          </cell>
          <cell r="M50">
            <v>36.1</v>
          </cell>
          <cell r="N50">
            <v>55</v>
          </cell>
          <cell r="O50">
            <v>33.6</v>
          </cell>
        </row>
        <row r="51">
          <cell r="A51">
            <v>906</v>
          </cell>
          <cell r="B51">
            <v>2</v>
          </cell>
          <cell r="C51">
            <v>13.157999999999999</v>
          </cell>
          <cell r="D51">
            <v>28.3</v>
          </cell>
          <cell r="E51">
            <v>29.8</v>
          </cell>
          <cell r="F51">
            <v>31.2</v>
          </cell>
          <cell r="G51">
            <v>30.3</v>
          </cell>
          <cell r="H51">
            <v>29.9</v>
          </cell>
          <cell r="I51">
            <v>30.2</v>
          </cell>
          <cell r="J51">
            <v>31.1</v>
          </cell>
          <cell r="K51">
            <v>29.9</v>
          </cell>
          <cell r="L51">
            <v>28.8</v>
          </cell>
          <cell r="M51">
            <v>28.9</v>
          </cell>
          <cell r="N51">
            <v>31.4</v>
          </cell>
          <cell r="O51">
            <v>30.3</v>
          </cell>
        </row>
        <row r="52">
          <cell r="A52">
            <v>905</v>
          </cell>
          <cell r="B52">
            <v>1</v>
          </cell>
          <cell r="C52">
            <v>13.164999999999999</v>
          </cell>
          <cell r="D52">
            <v>51.3</v>
          </cell>
          <cell r="E52">
            <v>51.8</v>
          </cell>
          <cell r="F52">
            <v>51.9</v>
          </cell>
          <cell r="G52">
            <v>52.2</v>
          </cell>
          <cell r="H52">
            <v>51.3</v>
          </cell>
          <cell r="I52">
            <v>52.6</v>
          </cell>
          <cell r="J52">
            <v>52.3</v>
          </cell>
          <cell r="K52">
            <v>53.4</v>
          </cell>
          <cell r="L52">
            <v>53.1</v>
          </cell>
          <cell r="M52">
            <v>51.4</v>
          </cell>
          <cell r="N52">
            <v>50</v>
          </cell>
          <cell r="O52">
            <v>51.5</v>
          </cell>
        </row>
        <row r="54">
          <cell r="A54">
            <v>904</v>
          </cell>
          <cell r="B54">
            <v>1</v>
          </cell>
          <cell r="C54">
            <v>13.170999999999999</v>
          </cell>
          <cell r="D54">
            <v>64.900000000000006</v>
          </cell>
          <cell r="E54">
            <v>44.1</v>
          </cell>
          <cell r="F54">
            <v>59.2</v>
          </cell>
          <cell r="G54">
            <v>43.1</v>
          </cell>
          <cell r="H54">
            <v>53.2</v>
          </cell>
          <cell r="I54">
            <v>41.2</v>
          </cell>
          <cell r="J54">
            <v>58.7</v>
          </cell>
          <cell r="K54">
            <v>42.5</v>
          </cell>
          <cell r="L54">
            <v>60.3</v>
          </cell>
          <cell r="M54">
            <v>42.8</v>
          </cell>
          <cell r="N54">
            <v>59.1</v>
          </cell>
          <cell r="O54">
            <v>48.1</v>
          </cell>
        </row>
        <row r="55">
          <cell r="A55">
            <v>904</v>
          </cell>
          <cell r="B55">
            <v>2</v>
          </cell>
          <cell r="C55">
            <v>13.176</v>
          </cell>
          <cell r="D55">
            <v>32.700000000000003</v>
          </cell>
          <cell r="E55">
            <v>34.5</v>
          </cell>
          <cell r="F55">
            <v>37.4</v>
          </cell>
          <cell r="G55">
            <v>32.1</v>
          </cell>
          <cell r="H55">
            <v>33.9</v>
          </cell>
          <cell r="I55">
            <v>33.700000000000003</v>
          </cell>
          <cell r="J55">
            <v>36.299999999999997</v>
          </cell>
          <cell r="K55">
            <v>34.1</v>
          </cell>
          <cell r="L55">
            <v>33.299999999999997</v>
          </cell>
          <cell r="M55">
            <v>33.700000000000003</v>
          </cell>
          <cell r="N55">
            <v>35.4</v>
          </cell>
          <cell r="O55">
            <v>33.9</v>
          </cell>
        </row>
        <row r="56">
          <cell r="A56">
            <v>903</v>
          </cell>
          <cell r="B56">
            <v>1</v>
          </cell>
          <cell r="C56">
            <v>13.183999999999999</v>
          </cell>
          <cell r="D56">
            <v>67</v>
          </cell>
          <cell r="E56">
            <v>67.3</v>
          </cell>
          <cell r="F56">
            <v>67.2</v>
          </cell>
          <cell r="G56">
            <v>67.099999999999994</v>
          </cell>
          <cell r="H56">
            <v>67.099999999999994</v>
          </cell>
          <cell r="I56">
            <v>67.599999999999994</v>
          </cell>
          <cell r="J56">
            <v>66.900000000000006</v>
          </cell>
          <cell r="K56">
            <v>67.2</v>
          </cell>
          <cell r="L56">
            <v>66.2</v>
          </cell>
          <cell r="M56">
            <v>66.400000000000006</v>
          </cell>
          <cell r="N56">
            <v>67</v>
          </cell>
          <cell r="O56">
            <v>67.3</v>
          </cell>
        </row>
        <row r="58">
          <cell r="A58">
            <v>902</v>
          </cell>
          <cell r="B58">
            <v>1</v>
          </cell>
          <cell r="C58">
            <v>13.19</v>
          </cell>
          <cell r="D58">
            <v>59.5</v>
          </cell>
          <cell r="E58">
            <v>41.3</v>
          </cell>
          <cell r="F58">
            <v>55.1</v>
          </cell>
          <cell r="G58">
            <v>34.1</v>
          </cell>
          <cell r="H58">
            <v>57.6</v>
          </cell>
          <cell r="I58">
            <v>35.700000000000003</v>
          </cell>
          <cell r="J58">
            <v>54.9</v>
          </cell>
          <cell r="K58">
            <v>35.4</v>
          </cell>
          <cell r="L58">
            <v>54</v>
          </cell>
          <cell r="M58">
            <v>35</v>
          </cell>
          <cell r="N58">
            <v>57.3</v>
          </cell>
          <cell r="O58">
            <v>35.4</v>
          </cell>
        </row>
        <row r="59">
          <cell r="A59">
            <v>902</v>
          </cell>
          <cell r="B59">
            <v>2</v>
          </cell>
          <cell r="C59">
            <v>13.195</v>
          </cell>
          <cell r="D59">
            <v>29.2</v>
          </cell>
          <cell r="E59">
            <v>28.4</v>
          </cell>
          <cell r="F59">
            <v>31</v>
          </cell>
          <cell r="G59">
            <v>29.8</v>
          </cell>
          <cell r="H59">
            <v>30.4</v>
          </cell>
          <cell r="I59">
            <v>30.1</v>
          </cell>
          <cell r="J59">
            <v>31</v>
          </cell>
          <cell r="K59">
            <v>29.7</v>
          </cell>
          <cell r="L59">
            <v>31.1</v>
          </cell>
          <cell r="M59">
            <v>28.4</v>
          </cell>
          <cell r="N59">
            <v>31.9</v>
          </cell>
          <cell r="O59">
            <v>29.6</v>
          </cell>
        </row>
        <row r="60">
          <cell r="A60">
            <v>901</v>
          </cell>
          <cell r="B60">
            <v>1</v>
          </cell>
          <cell r="C60">
            <v>13.202999999999999</v>
          </cell>
          <cell r="D60">
            <v>38.5</v>
          </cell>
          <cell r="E60">
            <v>38.299999999999997</v>
          </cell>
          <cell r="F60">
            <v>38.299999999999997</v>
          </cell>
          <cell r="G60">
            <v>38.4</v>
          </cell>
          <cell r="H60">
            <v>38.700000000000003</v>
          </cell>
          <cell r="I60">
            <v>38.4</v>
          </cell>
          <cell r="J60">
            <v>37.9</v>
          </cell>
          <cell r="K60">
            <v>38.200000000000003</v>
          </cell>
          <cell r="L60">
            <v>38.6</v>
          </cell>
          <cell r="M60">
            <v>38.799999999999997</v>
          </cell>
          <cell r="N60">
            <v>38.700000000000003</v>
          </cell>
          <cell r="O60">
            <v>38.6</v>
          </cell>
        </row>
        <row r="62">
          <cell r="A62">
            <v>301</v>
          </cell>
          <cell r="B62">
            <v>1</v>
          </cell>
          <cell r="C62">
            <v>13.212999999999999</v>
          </cell>
          <cell r="D62">
            <v>42.7</v>
          </cell>
          <cell r="E62">
            <v>34.5</v>
          </cell>
          <cell r="F62">
            <v>45.7</v>
          </cell>
          <cell r="G62">
            <v>31.7</v>
          </cell>
          <cell r="H62">
            <v>44.9</v>
          </cell>
          <cell r="I62">
            <v>30.7</v>
          </cell>
          <cell r="J62">
            <v>47</v>
          </cell>
          <cell r="K62">
            <v>30.1</v>
          </cell>
          <cell r="L62">
            <v>46.1</v>
          </cell>
          <cell r="M62">
            <v>31</v>
          </cell>
          <cell r="N62">
            <v>50</v>
          </cell>
          <cell r="O62">
            <v>32.6</v>
          </cell>
        </row>
        <row r="63">
          <cell r="A63">
            <v>301</v>
          </cell>
          <cell r="B63">
            <v>2</v>
          </cell>
          <cell r="C63">
            <v>13.217000000000001</v>
          </cell>
          <cell r="D63">
            <v>28.7</v>
          </cell>
          <cell r="E63">
            <v>29.3</v>
          </cell>
          <cell r="F63">
            <v>27.5</v>
          </cell>
          <cell r="G63">
            <v>28.5</v>
          </cell>
          <cell r="H63">
            <v>28.7</v>
          </cell>
          <cell r="I63">
            <v>27.1</v>
          </cell>
          <cell r="J63">
            <v>27.8</v>
          </cell>
          <cell r="K63">
            <v>27.2</v>
          </cell>
          <cell r="L63">
            <v>27.7</v>
          </cell>
          <cell r="M63">
            <v>28.7</v>
          </cell>
          <cell r="N63">
            <v>28.3</v>
          </cell>
          <cell r="O63">
            <v>27.4</v>
          </cell>
        </row>
        <row r="64">
          <cell r="A64">
            <v>302</v>
          </cell>
          <cell r="B64">
            <v>1</v>
          </cell>
          <cell r="C64">
            <v>13.226000000000001</v>
          </cell>
          <cell r="D64">
            <v>55.7</v>
          </cell>
          <cell r="E64">
            <v>37.799999999999997</v>
          </cell>
          <cell r="F64">
            <v>49.8</v>
          </cell>
          <cell r="G64">
            <v>32.700000000000003</v>
          </cell>
          <cell r="H64">
            <v>51.8</v>
          </cell>
          <cell r="I64">
            <v>31.1</v>
          </cell>
          <cell r="J64">
            <v>56.3</v>
          </cell>
          <cell r="K64">
            <v>31.5</v>
          </cell>
          <cell r="L64">
            <v>52.2</v>
          </cell>
          <cell r="M64">
            <v>30.9</v>
          </cell>
          <cell r="N64">
            <v>51.5</v>
          </cell>
          <cell r="O64">
            <v>31.8</v>
          </cell>
        </row>
        <row r="65">
          <cell r="A65">
            <v>302</v>
          </cell>
          <cell r="B65">
            <v>2</v>
          </cell>
          <cell r="C65">
            <v>13.231</v>
          </cell>
          <cell r="D65">
            <v>28</v>
          </cell>
          <cell r="E65">
            <v>31.3</v>
          </cell>
          <cell r="F65">
            <v>29.3</v>
          </cell>
          <cell r="G65">
            <v>27.8</v>
          </cell>
          <cell r="H65">
            <v>29.9</v>
          </cell>
          <cell r="I65">
            <v>30.7</v>
          </cell>
          <cell r="J65">
            <v>29.6</v>
          </cell>
          <cell r="K65">
            <v>30.1</v>
          </cell>
          <cell r="L65">
            <v>28.8</v>
          </cell>
          <cell r="M65">
            <v>30.3</v>
          </cell>
          <cell r="N65">
            <v>32.6</v>
          </cell>
          <cell r="O65">
            <v>30.5</v>
          </cell>
        </row>
        <row r="66">
          <cell r="A66">
            <v>303</v>
          </cell>
          <cell r="B66">
            <v>1</v>
          </cell>
          <cell r="C66">
            <v>13.239000000000001</v>
          </cell>
          <cell r="D66">
            <v>37</v>
          </cell>
          <cell r="E66">
            <v>34.700000000000003</v>
          </cell>
          <cell r="F66">
            <v>38.9</v>
          </cell>
          <cell r="G66">
            <v>31.9</v>
          </cell>
          <cell r="H66">
            <v>41.3</v>
          </cell>
          <cell r="I66">
            <v>30.7</v>
          </cell>
          <cell r="J66">
            <v>40.5</v>
          </cell>
          <cell r="K66">
            <v>30.8</v>
          </cell>
          <cell r="L66">
            <v>40.700000000000003</v>
          </cell>
          <cell r="M66">
            <v>30.8</v>
          </cell>
          <cell r="N66">
            <v>41.3</v>
          </cell>
          <cell r="O66">
            <v>31.1</v>
          </cell>
        </row>
        <row r="67">
          <cell r="A67">
            <v>303</v>
          </cell>
          <cell r="B67">
            <v>2</v>
          </cell>
          <cell r="C67">
            <v>13.244</v>
          </cell>
          <cell r="D67">
            <v>29.9</v>
          </cell>
          <cell r="E67">
            <v>30.1</v>
          </cell>
          <cell r="F67">
            <v>31.2</v>
          </cell>
          <cell r="G67">
            <v>31.6</v>
          </cell>
          <cell r="H67">
            <v>30.5</v>
          </cell>
          <cell r="I67">
            <v>28.8</v>
          </cell>
          <cell r="J67">
            <v>30.9</v>
          </cell>
          <cell r="K67">
            <v>30.8</v>
          </cell>
          <cell r="L67">
            <v>30.9</v>
          </cell>
          <cell r="M67">
            <v>30.4</v>
          </cell>
          <cell r="N67">
            <v>31.6</v>
          </cell>
          <cell r="O67">
            <v>31.2</v>
          </cell>
        </row>
        <row r="68">
          <cell r="A68">
            <v>304</v>
          </cell>
          <cell r="B68">
            <v>1</v>
          </cell>
          <cell r="C68">
            <v>13.253</v>
          </cell>
          <cell r="D68">
            <v>48.6</v>
          </cell>
          <cell r="E68">
            <v>37.299999999999997</v>
          </cell>
          <cell r="F68">
            <v>48.4</v>
          </cell>
          <cell r="G68">
            <v>33.5</v>
          </cell>
          <cell r="H68">
            <v>53.1</v>
          </cell>
          <cell r="I68">
            <v>34.700000000000003</v>
          </cell>
          <cell r="J68">
            <v>55.7</v>
          </cell>
          <cell r="K68">
            <v>33.9</v>
          </cell>
          <cell r="L68">
            <v>55</v>
          </cell>
          <cell r="M68">
            <v>35</v>
          </cell>
          <cell r="N68">
            <v>56.3</v>
          </cell>
          <cell r="O68">
            <v>35.9</v>
          </cell>
        </row>
        <row r="69">
          <cell r="A69">
            <v>304</v>
          </cell>
          <cell r="B69">
            <v>2</v>
          </cell>
          <cell r="C69">
            <v>13.257999999999999</v>
          </cell>
          <cell r="D69">
            <v>31</v>
          </cell>
          <cell r="E69">
            <v>32.1</v>
          </cell>
          <cell r="F69">
            <v>31.3</v>
          </cell>
          <cell r="G69">
            <v>30.6</v>
          </cell>
          <cell r="H69">
            <v>31.8</v>
          </cell>
          <cell r="I69">
            <v>31.8</v>
          </cell>
          <cell r="J69">
            <v>28.1</v>
          </cell>
          <cell r="K69">
            <v>29.4</v>
          </cell>
          <cell r="L69">
            <v>30.2</v>
          </cell>
          <cell r="M69">
            <v>28</v>
          </cell>
          <cell r="N69">
            <v>29.3</v>
          </cell>
          <cell r="O69">
            <v>29.7</v>
          </cell>
        </row>
        <row r="70">
          <cell r="A70">
            <v>305</v>
          </cell>
          <cell r="B70">
            <v>1</v>
          </cell>
          <cell r="C70">
            <v>13.268000000000001</v>
          </cell>
          <cell r="D70">
            <v>30.2</v>
          </cell>
          <cell r="E70">
            <v>32.799999999999997</v>
          </cell>
          <cell r="F70">
            <v>38.700000000000003</v>
          </cell>
          <cell r="G70">
            <v>33.200000000000003</v>
          </cell>
          <cell r="H70">
            <v>38.200000000000003</v>
          </cell>
          <cell r="I70">
            <v>33.5</v>
          </cell>
          <cell r="J70">
            <v>43.1</v>
          </cell>
          <cell r="K70">
            <v>30.8</v>
          </cell>
          <cell r="L70">
            <v>42.1</v>
          </cell>
          <cell r="M70">
            <v>30.7</v>
          </cell>
          <cell r="N70">
            <v>38.299999999999997</v>
          </cell>
          <cell r="O70">
            <v>29.7</v>
          </cell>
        </row>
        <row r="71">
          <cell r="A71">
            <v>305</v>
          </cell>
          <cell r="B71">
            <v>2</v>
          </cell>
          <cell r="C71">
            <v>13.273999999999999</v>
          </cell>
          <cell r="D71">
            <v>29.9</v>
          </cell>
          <cell r="E71">
            <v>29.2</v>
          </cell>
          <cell r="F71">
            <v>29.3</v>
          </cell>
          <cell r="G71">
            <v>30.9</v>
          </cell>
          <cell r="H71">
            <v>29.5</v>
          </cell>
          <cell r="I71">
            <v>28.7</v>
          </cell>
          <cell r="J71">
            <v>28.1</v>
          </cell>
          <cell r="K71">
            <v>29.2</v>
          </cell>
          <cell r="L71">
            <v>27.7</v>
          </cell>
          <cell r="M71">
            <v>29.1</v>
          </cell>
          <cell r="N71">
            <v>29</v>
          </cell>
          <cell r="O71">
            <v>27.6</v>
          </cell>
        </row>
        <row r="72">
          <cell r="A72">
            <v>306</v>
          </cell>
          <cell r="B72">
            <v>1</v>
          </cell>
          <cell r="C72">
            <v>13.282999999999999</v>
          </cell>
          <cell r="D72">
            <v>50.9</v>
          </cell>
          <cell r="E72">
            <v>37.1</v>
          </cell>
          <cell r="F72">
            <v>38.700000000000003</v>
          </cell>
          <cell r="G72">
            <v>35.799999999999997</v>
          </cell>
          <cell r="H72">
            <v>46.2</v>
          </cell>
          <cell r="I72">
            <v>33.700000000000003</v>
          </cell>
          <cell r="J72">
            <v>40.4</v>
          </cell>
          <cell r="K72">
            <v>34.700000000000003</v>
          </cell>
          <cell r="L72">
            <v>42.3</v>
          </cell>
          <cell r="M72">
            <v>31.5</v>
          </cell>
          <cell r="N72">
            <v>53.1</v>
          </cell>
          <cell r="O72">
            <v>31</v>
          </cell>
        </row>
        <row r="73">
          <cell r="A73">
            <v>306</v>
          </cell>
          <cell r="B73">
            <v>2</v>
          </cell>
          <cell r="C73">
            <v>13.289</v>
          </cell>
          <cell r="D73">
            <v>27.5</v>
          </cell>
          <cell r="E73">
            <v>26.9</v>
          </cell>
          <cell r="F73">
            <v>28.9</v>
          </cell>
          <cell r="G73">
            <v>28.4</v>
          </cell>
          <cell r="H73">
            <v>28.7</v>
          </cell>
          <cell r="I73">
            <v>27.9</v>
          </cell>
          <cell r="J73">
            <v>29.4</v>
          </cell>
          <cell r="K73">
            <v>28.3</v>
          </cell>
          <cell r="L73">
            <v>28.2</v>
          </cell>
          <cell r="M73">
            <v>28.4</v>
          </cell>
          <cell r="N73">
            <v>29.5</v>
          </cell>
          <cell r="O73">
            <v>28.6</v>
          </cell>
        </row>
        <row r="74">
          <cell r="A74">
            <v>307</v>
          </cell>
          <cell r="B74">
            <v>1</v>
          </cell>
          <cell r="C74">
            <v>13.297000000000001</v>
          </cell>
          <cell r="D74">
            <v>46.4</v>
          </cell>
          <cell r="E74">
            <v>33.9</v>
          </cell>
          <cell r="F74">
            <v>51.5</v>
          </cell>
          <cell r="G74">
            <v>30.5</v>
          </cell>
          <cell r="H74">
            <v>51</v>
          </cell>
          <cell r="I74">
            <v>31.5</v>
          </cell>
          <cell r="J74">
            <v>50.6</v>
          </cell>
          <cell r="K74">
            <v>30.7</v>
          </cell>
          <cell r="L74">
            <v>52.8</v>
          </cell>
          <cell r="M74">
            <v>31.4</v>
          </cell>
          <cell r="N74">
            <v>54.9</v>
          </cell>
          <cell r="O74">
            <v>33.700000000000003</v>
          </cell>
        </row>
        <row r="75">
          <cell r="A75">
            <v>307</v>
          </cell>
          <cell r="B75">
            <v>2</v>
          </cell>
          <cell r="C75">
            <v>13.302</v>
          </cell>
          <cell r="D75">
            <v>29.2</v>
          </cell>
          <cell r="E75">
            <v>28.7</v>
          </cell>
          <cell r="F75">
            <v>30.2</v>
          </cell>
          <cell r="G75">
            <v>28.3</v>
          </cell>
          <cell r="H75">
            <v>29.8</v>
          </cell>
          <cell r="I75">
            <v>29.6</v>
          </cell>
          <cell r="J75">
            <v>30.5</v>
          </cell>
          <cell r="K75">
            <v>29.7</v>
          </cell>
          <cell r="L75">
            <v>30.8</v>
          </cell>
          <cell r="M75">
            <v>29.5</v>
          </cell>
          <cell r="N75">
            <v>29.9</v>
          </cell>
          <cell r="O75">
            <v>27.7</v>
          </cell>
        </row>
        <row r="76">
          <cell r="A76">
            <v>308</v>
          </cell>
          <cell r="B76">
            <v>1</v>
          </cell>
          <cell r="C76">
            <v>13.311</v>
          </cell>
          <cell r="D76">
            <v>35.799999999999997</v>
          </cell>
          <cell r="E76">
            <v>34.700000000000003</v>
          </cell>
          <cell r="F76">
            <v>49.5</v>
          </cell>
          <cell r="G76">
            <v>32.4</v>
          </cell>
          <cell r="H76">
            <v>53.4</v>
          </cell>
          <cell r="I76">
            <v>34.1</v>
          </cell>
          <cell r="J76">
            <v>53.8</v>
          </cell>
          <cell r="K76">
            <v>33.9</v>
          </cell>
          <cell r="L76">
            <v>51.7</v>
          </cell>
          <cell r="M76">
            <v>31.9</v>
          </cell>
          <cell r="N76">
            <v>51.8</v>
          </cell>
          <cell r="O76">
            <v>34</v>
          </cell>
        </row>
        <row r="77">
          <cell r="A77">
            <v>308</v>
          </cell>
          <cell r="B77">
            <v>2</v>
          </cell>
          <cell r="C77">
            <v>13.316000000000001</v>
          </cell>
          <cell r="D77">
            <v>29.2</v>
          </cell>
          <cell r="E77">
            <v>29.8</v>
          </cell>
          <cell r="F77">
            <v>31.4</v>
          </cell>
          <cell r="G77">
            <v>29.2</v>
          </cell>
          <cell r="H77">
            <v>31.5</v>
          </cell>
          <cell r="I77">
            <v>29.6</v>
          </cell>
          <cell r="J77">
            <v>31.3</v>
          </cell>
          <cell r="K77">
            <v>30.9</v>
          </cell>
          <cell r="L77">
            <v>29.6</v>
          </cell>
          <cell r="M77">
            <v>29.8</v>
          </cell>
          <cell r="N77">
            <v>30.7</v>
          </cell>
          <cell r="O77">
            <v>30.4</v>
          </cell>
        </row>
        <row r="78">
          <cell r="A78">
            <v>408</v>
          </cell>
          <cell r="B78">
            <v>1</v>
          </cell>
          <cell r="C78">
            <v>13.334</v>
          </cell>
          <cell r="D78">
            <v>46.8</v>
          </cell>
          <cell r="E78">
            <v>33.4</v>
          </cell>
          <cell r="F78">
            <v>40.9</v>
          </cell>
          <cell r="G78">
            <v>33.5</v>
          </cell>
          <cell r="H78">
            <v>45.8</v>
          </cell>
          <cell r="I78">
            <v>34.5</v>
          </cell>
          <cell r="J78">
            <v>42.6</v>
          </cell>
          <cell r="K78">
            <v>37.299999999999997</v>
          </cell>
          <cell r="L78">
            <v>40.799999999999997</v>
          </cell>
          <cell r="M78">
            <v>36.6</v>
          </cell>
          <cell r="N78">
            <v>41.1</v>
          </cell>
          <cell r="O78">
            <v>31.8</v>
          </cell>
        </row>
        <row r="79">
          <cell r="A79">
            <v>408</v>
          </cell>
          <cell r="B79">
            <v>2</v>
          </cell>
          <cell r="C79">
            <v>13.34</v>
          </cell>
          <cell r="D79">
            <v>28.3</v>
          </cell>
          <cell r="E79">
            <v>29.6</v>
          </cell>
          <cell r="F79">
            <v>29</v>
          </cell>
          <cell r="G79">
            <v>28.4</v>
          </cell>
          <cell r="H79">
            <v>30.1</v>
          </cell>
          <cell r="I79">
            <v>28.7</v>
          </cell>
          <cell r="J79">
            <v>28.7</v>
          </cell>
          <cell r="K79">
            <v>28.7</v>
          </cell>
          <cell r="L79">
            <v>28.6</v>
          </cell>
          <cell r="M79">
            <v>28.6</v>
          </cell>
          <cell r="N79">
            <v>29.8</v>
          </cell>
          <cell r="O79">
            <v>29</v>
          </cell>
        </row>
        <row r="80">
          <cell r="A80">
            <v>407</v>
          </cell>
          <cell r="B80">
            <v>1</v>
          </cell>
          <cell r="C80">
            <v>13.349</v>
          </cell>
          <cell r="D80">
            <v>62.2</v>
          </cell>
          <cell r="E80">
            <v>44.8</v>
          </cell>
          <cell r="F80">
            <v>62</v>
          </cell>
          <cell r="G80">
            <v>37.299999999999997</v>
          </cell>
          <cell r="H80">
            <v>61</v>
          </cell>
          <cell r="I80">
            <v>45.9</v>
          </cell>
          <cell r="J80">
            <v>63.1</v>
          </cell>
          <cell r="K80">
            <v>40.700000000000003</v>
          </cell>
          <cell r="L80">
            <v>58.3</v>
          </cell>
          <cell r="M80">
            <v>37.9</v>
          </cell>
          <cell r="N80">
            <v>60.3</v>
          </cell>
          <cell r="O80">
            <v>43.9</v>
          </cell>
        </row>
        <row r="81">
          <cell r="A81">
            <v>407</v>
          </cell>
          <cell r="B81">
            <v>2</v>
          </cell>
          <cell r="C81">
            <v>13.353999999999999</v>
          </cell>
          <cell r="D81">
            <v>31</v>
          </cell>
          <cell r="E81">
            <v>31.6</v>
          </cell>
          <cell r="F81">
            <v>33.6</v>
          </cell>
          <cell r="G81">
            <v>31.6</v>
          </cell>
          <cell r="H81">
            <v>32.200000000000003</v>
          </cell>
          <cell r="I81">
            <v>32.200000000000003</v>
          </cell>
          <cell r="J81">
            <v>32.200000000000003</v>
          </cell>
          <cell r="K81">
            <v>32.4</v>
          </cell>
          <cell r="L81">
            <v>32.9</v>
          </cell>
          <cell r="M81">
            <v>31.6</v>
          </cell>
          <cell r="N81">
            <v>31.3</v>
          </cell>
          <cell r="O81">
            <v>30.6</v>
          </cell>
        </row>
        <row r="82">
          <cell r="A82">
            <v>406</v>
          </cell>
          <cell r="B82">
            <v>1</v>
          </cell>
          <cell r="C82">
            <v>13.366</v>
          </cell>
          <cell r="D82">
            <v>58.1</v>
          </cell>
          <cell r="E82">
            <v>37.200000000000003</v>
          </cell>
          <cell r="F82">
            <v>49.5</v>
          </cell>
          <cell r="G82">
            <v>31.6</v>
          </cell>
          <cell r="H82">
            <v>47.5</v>
          </cell>
          <cell r="I82">
            <v>31.6</v>
          </cell>
          <cell r="J82">
            <v>43.7</v>
          </cell>
          <cell r="K82">
            <v>34.5</v>
          </cell>
          <cell r="L82">
            <v>46.7</v>
          </cell>
          <cell r="M82">
            <v>35.4</v>
          </cell>
          <cell r="N82">
            <v>45.7</v>
          </cell>
          <cell r="O82">
            <v>36.200000000000003</v>
          </cell>
        </row>
        <row r="83">
          <cell r="A83">
            <v>406</v>
          </cell>
          <cell r="B83">
            <v>2</v>
          </cell>
          <cell r="C83">
            <v>13.371</v>
          </cell>
          <cell r="D83">
            <v>29</v>
          </cell>
          <cell r="E83">
            <v>29.2</v>
          </cell>
          <cell r="F83">
            <v>29.9</v>
          </cell>
          <cell r="G83">
            <v>29</v>
          </cell>
          <cell r="H83">
            <v>30.2</v>
          </cell>
          <cell r="I83">
            <v>30.1</v>
          </cell>
          <cell r="J83">
            <v>29.7</v>
          </cell>
          <cell r="K83">
            <v>28.7</v>
          </cell>
          <cell r="L83">
            <v>29.3</v>
          </cell>
          <cell r="M83">
            <v>30.1</v>
          </cell>
          <cell r="N83">
            <v>29.3</v>
          </cell>
          <cell r="O83">
            <v>32.6</v>
          </cell>
        </row>
        <row r="84">
          <cell r="A84">
            <v>405</v>
          </cell>
          <cell r="B84">
            <v>1</v>
          </cell>
          <cell r="C84">
            <v>13.381</v>
          </cell>
          <cell r="D84">
            <v>46.3</v>
          </cell>
          <cell r="E84">
            <v>32</v>
          </cell>
          <cell r="F84">
            <v>40.4</v>
          </cell>
          <cell r="G84">
            <v>33.200000000000003</v>
          </cell>
          <cell r="H84">
            <v>38.200000000000003</v>
          </cell>
          <cell r="I84">
            <v>31.9</v>
          </cell>
          <cell r="J84">
            <v>39.799999999999997</v>
          </cell>
          <cell r="K84">
            <v>32.5</v>
          </cell>
          <cell r="L84">
            <v>46.7</v>
          </cell>
          <cell r="M84">
            <v>31</v>
          </cell>
          <cell r="N84">
            <v>44.5</v>
          </cell>
          <cell r="O84">
            <v>35.799999999999997</v>
          </cell>
        </row>
        <row r="85">
          <cell r="A85">
            <v>405</v>
          </cell>
          <cell r="B85">
            <v>2</v>
          </cell>
          <cell r="C85">
            <v>13.39</v>
          </cell>
          <cell r="D85">
            <v>31.3</v>
          </cell>
          <cell r="E85">
            <v>29.6</v>
          </cell>
          <cell r="F85">
            <v>32</v>
          </cell>
          <cell r="G85">
            <v>30.2</v>
          </cell>
          <cell r="H85">
            <v>29.3</v>
          </cell>
          <cell r="I85">
            <v>28.3</v>
          </cell>
          <cell r="J85">
            <v>28.9</v>
          </cell>
          <cell r="K85">
            <v>28.1</v>
          </cell>
          <cell r="L85">
            <v>28.9</v>
          </cell>
          <cell r="M85">
            <v>29</v>
          </cell>
          <cell r="N85">
            <v>28.1</v>
          </cell>
          <cell r="O85">
            <v>28.3</v>
          </cell>
        </row>
        <row r="86">
          <cell r="A86">
            <v>404</v>
          </cell>
          <cell r="B86">
            <v>1</v>
          </cell>
          <cell r="C86">
            <v>13.401</v>
          </cell>
          <cell r="D86">
            <v>52.5</v>
          </cell>
          <cell r="E86">
            <v>34.5</v>
          </cell>
          <cell r="F86">
            <v>49.2</v>
          </cell>
          <cell r="G86">
            <v>31.9</v>
          </cell>
          <cell r="H86">
            <v>51.8</v>
          </cell>
          <cell r="I86">
            <v>34.5</v>
          </cell>
          <cell r="J86">
            <v>47.1</v>
          </cell>
          <cell r="K86">
            <v>40.799999999999997</v>
          </cell>
          <cell r="L86">
            <v>38.299999999999997</v>
          </cell>
          <cell r="M86">
            <v>35.700000000000003</v>
          </cell>
          <cell r="N86">
            <v>51.4</v>
          </cell>
          <cell r="O86">
            <v>34.4</v>
          </cell>
        </row>
        <row r="87">
          <cell r="A87">
            <v>404</v>
          </cell>
          <cell r="B87">
            <v>2</v>
          </cell>
          <cell r="C87">
            <v>13.407</v>
          </cell>
          <cell r="D87">
            <v>30.9</v>
          </cell>
          <cell r="E87">
            <v>28.6</v>
          </cell>
          <cell r="F87">
            <v>27.2</v>
          </cell>
          <cell r="G87">
            <v>28.8</v>
          </cell>
          <cell r="H87">
            <v>29.1</v>
          </cell>
          <cell r="I87">
            <v>28.9</v>
          </cell>
          <cell r="J87">
            <v>30.7</v>
          </cell>
          <cell r="K87">
            <v>30.1</v>
          </cell>
          <cell r="L87">
            <v>31.3</v>
          </cell>
          <cell r="M87">
            <v>28.2</v>
          </cell>
          <cell r="N87">
            <v>31.1</v>
          </cell>
          <cell r="O87">
            <v>28.3</v>
          </cell>
        </row>
        <row r="88">
          <cell r="A88">
            <v>403</v>
          </cell>
          <cell r="B88">
            <v>1</v>
          </cell>
          <cell r="C88">
            <v>13.416</v>
          </cell>
          <cell r="D88">
            <v>48.1</v>
          </cell>
          <cell r="E88">
            <v>32.1</v>
          </cell>
          <cell r="F88">
            <v>46.4</v>
          </cell>
          <cell r="G88">
            <v>31.4</v>
          </cell>
          <cell r="H88">
            <v>42.9</v>
          </cell>
          <cell r="I88">
            <v>31.4</v>
          </cell>
          <cell r="J88">
            <v>35.299999999999997</v>
          </cell>
          <cell r="K88">
            <v>33.4</v>
          </cell>
          <cell r="L88">
            <v>41.8</v>
          </cell>
          <cell r="M88">
            <v>37.5</v>
          </cell>
          <cell r="N88">
            <v>37.5</v>
          </cell>
          <cell r="O88">
            <v>31.9</v>
          </cell>
        </row>
        <row r="89">
          <cell r="A89">
            <v>403</v>
          </cell>
          <cell r="B89">
            <v>2</v>
          </cell>
          <cell r="C89">
            <v>13.420999999999999</v>
          </cell>
          <cell r="D89">
            <v>29.9</v>
          </cell>
          <cell r="E89">
            <v>30.5</v>
          </cell>
          <cell r="F89">
            <v>29.9</v>
          </cell>
          <cell r="G89">
            <v>30.6</v>
          </cell>
          <cell r="H89">
            <v>30.9</v>
          </cell>
          <cell r="I89">
            <v>28.5</v>
          </cell>
          <cell r="J89">
            <v>29.8</v>
          </cell>
          <cell r="K89">
            <v>28.2</v>
          </cell>
          <cell r="L89">
            <v>29.6</v>
          </cell>
          <cell r="M89">
            <v>27.9</v>
          </cell>
          <cell r="N89">
            <v>28.8</v>
          </cell>
          <cell r="O89">
            <v>28.4</v>
          </cell>
        </row>
        <row r="90">
          <cell r="A90">
            <v>402</v>
          </cell>
          <cell r="B90">
            <v>1</v>
          </cell>
          <cell r="C90">
            <v>13.43</v>
          </cell>
          <cell r="D90">
            <v>49.9</v>
          </cell>
          <cell r="E90">
            <v>33.200000000000003</v>
          </cell>
          <cell r="F90">
            <v>44.7</v>
          </cell>
          <cell r="G90">
            <v>30.7</v>
          </cell>
          <cell r="H90">
            <v>44.2</v>
          </cell>
          <cell r="I90">
            <v>30.7</v>
          </cell>
          <cell r="J90">
            <v>40.299999999999997</v>
          </cell>
          <cell r="K90">
            <v>30.1</v>
          </cell>
          <cell r="L90">
            <v>45.3</v>
          </cell>
          <cell r="M90">
            <v>37.4</v>
          </cell>
          <cell r="N90">
            <v>46.2</v>
          </cell>
          <cell r="O90">
            <v>31.2</v>
          </cell>
        </row>
        <row r="91">
          <cell r="A91">
            <v>402</v>
          </cell>
          <cell r="B91">
            <v>2</v>
          </cell>
          <cell r="C91">
            <v>13.435</v>
          </cell>
          <cell r="D91">
            <v>29.6</v>
          </cell>
          <cell r="E91">
            <v>29.8</v>
          </cell>
          <cell r="F91">
            <v>30.9</v>
          </cell>
          <cell r="G91">
            <v>28.9</v>
          </cell>
          <cell r="H91">
            <v>30.8</v>
          </cell>
          <cell r="I91">
            <v>30.2</v>
          </cell>
          <cell r="J91">
            <v>29.3</v>
          </cell>
          <cell r="K91">
            <v>29.7</v>
          </cell>
          <cell r="L91">
            <v>31.2</v>
          </cell>
          <cell r="M91">
            <v>30.3</v>
          </cell>
          <cell r="N91">
            <v>28.6</v>
          </cell>
          <cell r="O91">
            <v>29.1</v>
          </cell>
        </row>
        <row r="92">
          <cell r="A92">
            <v>401</v>
          </cell>
          <cell r="B92">
            <v>1</v>
          </cell>
          <cell r="C92">
            <v>13.446</v>
          </cell>
          <cell r="D92">
            <v>62.5</v>
          </cell>
          <cell r="E92">
            <v>44.1</v>
          </cell>
          <cell r="F92">
            <v>59.7</v>
          </cell>
          <cell r="G92">
            <v>39.299999999999997</v>
          </cell>
          <cell r="H92">
            <v>59.3</v>
          </cell>
          <cell r="I92">
            <v>39.700000000000003</v>
          </cell>
          <cell r="J92">
            <v>53.9</v>
          </cell>
          <cell r="K92">
            <v>51.9</v>
          </cell>
          <cell r="L92">
            <v>51.5</v>
          </cell>
          <cell r="M92">
            <v>52.8</v>
          </cell>
          <cell r="N92">
            <v>42.7</v>
          </cell>
          <cell r="O92">
            <v>45.9</v>
          </cell>
        </row>
        <row r="93">
          <cell r="A93">
            <v>401</v>
          </cell>
          <cell r="B93">
            <v>2</v>
          </cell>
          <cell r="C93">
            <v>13.452</v>
          </cell>
          <cell r="D93">
            <v>32.200000000000003</v>
          </cell>
          <cell r="E93">
            <v>30.8</v>
          </cell>
          <cell r="F93">
            <v>34</v>
          </cell>
          <cell r="G93">
            <v>30.7</v>
          </cell>
          <cell r="H93">
            <v>32.799999999999997</v>
          </cell>
          <cell r="I93">
            <v>32.5</v>
          </cell>
          <cell r="J93">
            <v>32.200000000000003</v>
          </cell>
          <cell r="K93">
            <v>32.1</v>
          </cell>
          <cell r="L93">
            <v>34.200000000000003</v>
          </cell>
          <cell r="M93">
            <v>37.1</v>
          </cell>
          <cell r="N93">
            <v>32</v>
          </cell>
          <cell r="O93">
            <v>30.2</v>
          </cell>
        </row>
      </sheetData>
      <sheetData sheetId="2">
        <row r="7">
          <cell r="C7">
            <v>182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38.35</v>
          </cell>
        </row>
        <row r="29">
          <cell r="E29">
            <v>5.4146504792052355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'IA183.03R'</v>
          </cell>
        </row>
        <row r="14">
          <cell r="A14">
            <v>108</v>
          </cell>
          <cell r="B14">
            <v>1</v>
          </cell>
          <cell r="C14">
            <v>12.930999999999999</v>
          </cell>
          <cell r="D14">
            <v>47</v>
          </cell>
          <cell r="E14">
            <v>34.799999999999997</v>
          </cell>
          <cell r="F14">
            <v>55</v>
          </cell>
          <cell r="G14">
            <v>33.799999999999997</v>
          </cell>
          <cell r="H14">
            <v>53.8</v>
          </cell>
          <cell r="I14">
            <v>32.5</v>
          </cell>
          <cell r="J14">
            <v>49.5</v>
          </cell>
          <cell r="K14">
            <v>31.3</v>
          </cell>
          <cell r="L14">
            <v>49.3</v>
          </cell>
          <cell r="M14">
            <v>31.7</v>
          </cell>
          <cell r="N14">
            <v>53.5</v>
          </cell>
          <cell r="O14">
            <v>32</v>
          </cell>
        </row>
        <row r="15">
          <cell r="A15">
            <v>108</v>
          </cell>
          <cell r="B15">
            <v>2</v>
          </cell>
          <cell r="C15">
            <v>12.936</v>
          </cell>
          <cell r="D15">
            <v>28.8</v>
          </cell>
          <cell r="E15">
            <v>28.7</v>
          </cell>
          <cell r="F15">
            <v>29.4</v>
          </cell>
          <cell r="G15">
            <v>30</v>
          </cell>
          <cell r="H15">
            <v>29.2</v>
          </cell>
          <cell r="I15">
            <v>29.6</v>
          </cell>
          <cell r="J15">
            <v>29.2</v>
          </cell>
          <cell r="K15">
            <v>30.2</v>
          </cell>
          <cell r="L15">
            <v>30.1</v>
          </cell>
          <cell r="M15">
            <v>30.5</v>
          </cell>
          <cell r="N15">
            <v>30.3</v>
          </cell>
          <cell r="O15">
            <v>29.3</v>
          </cell>
        </row>
        <row r="16">
          <cell r="A16">
            <v>107</v>
          </cell>
          <cell r="B16">
            <v>1</v>
          </cell>
          <cell r="C16">
            <v>12.946</v>
          </cell>
          <cell r="D16">
            <v>56.5</v>
          </cell>
          <cell r="E16">
            <v>40.700000000000003</v>
          </cell>
          <cell r="F16">
            <v>54.7</v>
          </cell>
          <cell r="G16">
            <v>32.799999999999997</v>
          </cell>
          <cell r="H16">
            <v>50</v>
          </cell>
          <cell r="I16">
            <v>33</v>
          </cell>
          <cell r="J16">
            <v>55</v>
          </cell>
          <cell r="K16">
            <v>32</v>
          </cell>
          <cell r="L16">
            <v>53.9</v>
          </cell>
          <cell r="M16">
            <v>33.1</v>
          </cell>
          <cell r="N16">
            <v>54.4</v>
          </cell>
          <cell r="O16">
            <v>32.5</v>
          </cell>
        </row>
        <row r="17">
          <cell r="A17">
            <v>107</v>
          </cell>
          <cell r="B17">
            <v>2</v>
          </cell>
          <cell r="C17">
            <v>12.952</v>
          </cell>
          <cell r="D17">
            <v>30.3</v>
          </cell>
          <cell r="E17">
            <v>28.8</v>
          </cell>
          <cell r="F17">
            <v>36.799999999999997</v>
          </cell>
          <cell r="G17">
            <v>29.6</v>
          </cell>
          <cell r="H17">
            <v>28</v>
          </cell>
          <cell r="I17">
            <v>27.8</v>
          </cell>
          <cell r="J17">
            <v>31.1</v>
          </cell>
          <cell r="K17">
            <v>27.5</v>
          </cell>
          <cell r="L17">
            <v>29.2</v>
          </cell>
          <cell r="M17">
            <v>28.6</v>
          </cell>
          <cell r="N17">
            <v>29</v>
          </cell>
          <cell r="O17">
            <v>28.3</v>
          </cell>
        </row>
        <row r="18">
          <cell r="A18">
            <v>106</v>
          </cell>
          <cell r="B18">
            <v>1</v>
          </cell>
          <cell r="C18">
            <v>12.961</v>
          </cell>
          <cell r="D18">
            <v>52.7</v>
          </cell>
          <cell r="E18">
            <v>40.4</v>
          </cell>
          <cell r="F18">
            <v>44.3</v>
          </cell>
          <cell r="G18">
            <v>32.299999999999997</v>
          </cell>
          <cell r="H18">
            <v>52.3</v>
          </cell>
          <cell r="I18">
            <v>31</v>
          </cell>
          <cell r="J18">
            <v>51.9</v>
          </cell>
          <cell r="K18">
            <v>31.4</v>
          </cell>
          <cell r="L18">
            <v>49.2</v>
          </cell>
          <cell r="M18">
            <v>33</v>
          </cell>
          <cell r="N18">
            <v>50.9</v>
          </cell>
          <cell r="O18">
            <v>34.200000000000003</v>
          </cell>
        </row>
        <row r="19">
          <cell r="A19">
            <v>106</v>
          </cell>
          <cell r="B19">
            <v>2</v>
          </cell>
          <cell r="C19">
            <v>12.965999999999999</v>
          </cell>
          <cell r="D19">
            <v>27.3</v>
          </cell>
          <cell r="E19">
            <v>27.4</v>
          </cell>
          <cell r="F19">
            <v>29.3</v>
          </cell>
          <cell r="G19">
            <v>29.6</v>
          </cell>
          <cell r="H19">
            <v>28.6</v>
          </cell>
          <cell r="I19">
            <v>28.4</v>
          </cell>
          <cell r="J19">
            <v>30.1</v>
          </cell>
          <cell r="K19">
            <v>29</v>
          </cell>
          <cell r="L19">
            <v>27.6</v>
          </cell>
          <cell r="M19">
            <v>29.2</v>
          </cell>
          <cell r="N19">
            <v>29.3</v>
          </cell>
          <cell r="O19">
            <v>28.6</v>
          </cell>
        </row>
        <row r="20">
          <cell r="A20">
            <v>105</v>
          </cell>
          <cell r="B20">
            <v>1</v>
          </cell>
          <cell r="C20">
            <v>12.976000000000001</v>
          </cell>
          <cell r="D20">
            <v>38.700000000000003</v>
          </cell>
          <cell r="E20">
            <v>33.200000000000003</v>
          </cell>
          <cell r="F20">
            <v>39</v>
          </cell>
          <cell r="G20">
            <v>30.3</v>
          </cell>
          <cell r="H20">
            <v>45.7</v>
          </cell>
          <cell r="I20">
            <v>30</v>
          </cell>
          <cell r="J20">
            <v>42.7</v>
          </cell>
          <cell r="K20">
            <v>30.4</v>
          </cell>
          <cell r="L20">
            <v>48.4</v>
          </cell>
          <cell r="M20">
            <v>31.6</v>
          </cell>
          <cell r="N20">
            <v>48.3</v>
          </cell>
          <cell r="O20">
            <v>30.7</v>
          </cell>
        </row>
        <row r="21">
          <cell r="A21">
            <v>105</v>
          </cell>
          <cell r="B21">
            <v>2</v>
          </cell>
          <cell r="C21">
            <v>12.98</v>
          </cell>
          <cell r="D21">
            <v>29.3</v>
          </cell>
          <cell r="E21">
            <v>28.6</v>
          </cell>
          <cell r="F21">
            <v>30</v>
          </cell>
          <cell r="G21">
            <v>29.2</v>
          </cell>
          <cell r="H21">
            <v>30.4</v>
          </cell>
          <cell r="I21">
            <v>29.7</v>
          </cell>
          <cell r="J21">
            <v>28.3</v>
          </cell>
          <cell r="K21">
            <v>28</v>
          </cell>
          <cell r="L21">
            <v>28.3</v>
          </cell>
          <cell r="M21">
            <v>28.2</v>
          </cell>
          <cell r="N21">
            <v>28</v>
          </cell>
          <cell r="O21">
            <v>31.1</v>
          </cell>
        </row>
        <row r="22">
          <cell r="A22">
            <v>104</v>
          </cell>
          <cell r="B22">
            <v>1</v>
          </cell>
          <cell r="C22">
            <v>12.991</v>
          </cell>
          <cell r="D22">
            <v>54.9</v>
          </cell>
          <cell r="E22">
            <v>39.299999999999997</v>
          </cell>
          <cell r="F22">
            <v>47.9</v>
          </cell>
          <cell r="G22">
            <v>32.4</v>
          </cell>
          <cell r="H22">
            <v>49.3</v>
          </cell>
          <cell r="I22">
            <v>33.6</v>
          </cell>
          <cell r="J22">
            <v>52.2</v>
          </cell>
          <cell r="K22">
            <v>30.5</v>
          </cell>
          <cell r="L22">
            <v>51.8</v>
          </cell>
          <cell r="M22">
            <v>32.200000000000003</v>
          </cell>
          <cell r="N22">
            <v>51.3</v>
          </cell>
          <cell r="O22">
            <v>33.700000000000003</v>
          </cell>
        </row>
        <row r="23">
          <cell r="A23">
            <v>104</v>
          </cell>
          <cell r="B23">
            <v>2</v>
          </cell>
          <cell r="C23">
            <v>12.996</v>
          </cell>
          <cell r="D23">
            <v>29.3</v>
          </cell>
          <cell r="E23">
            <v>27.1</v>
          </cell>
          <cell r="F23">
            <v>28</v>
          </cell>
          <cell r="G23">
            <v>28</v>
          </cell>
          <cell r="H23">
            <v>28.4</v>
          </cell>
          <cell r="I23">
            <v>28.3</v>
          </cell>
          <cell r="J23">
            <v>28.5</v>
          </cell>
          <cell r="K23">
            <v>27.7</v>
          </cell>
          <cell r="L23">
            <v>29.5</v>
          </cell>
          <cell r="M23">
            <v>28.4</v>
          </cell>
          <cell r="N23">
            <v>34.5</v>
          </cell>
          <cell r="O23">
            <v>28.8</v>
          </cell>
        </row>
        <row r="24">
          <cell r="A24">
            <v>103</v>
          </cell>
          <cell r="B24">
            <v>1</v>
          </cell>
          <cell r="C24">
            <v>13.005000000000001</v>
          </cell>
          <cell r="D24">
            <v>51.5</v>
          </cell>
          <cell r="E24">
            <v>37.9</v>
          </cell>
          <cell r="F24">
            <v>46.6</v>
          </cell>
          <cell r="G24">
            <v>34</v>
          </cell>
          <cell r="H24">
            <v>41.4</v>
          </cell>
          <cell r="I24">
            <v>34.9</v>
          </cell>
          <cell r="J24">
            <v>48.7</v>
          </cell>
          <cell r="K24">
            <v>34.5</v>
          </cell>
          <cell r="L24">
            <v>52.1</v>
          </cell>
          <cell r="M24">
            <v>33.6</v>
          </cell>
          <cell r="N24">
            <v>51.9</v>
          </cell>
          <cell r="O24">
            <v>34.700000000000003</v>
          </cell>
        </row>
        <row r="25">
          <cell r="A25">
            <v>103</v>
          </cell>
          <cell r="B25">
            <v>2</v>
          </cell>
          <cell r="C25">
            <v>13.012</v>
          </cell>
          <cell r="D25">
            <v>30.2</v>
          </cell>
          <cell r="E25">
            <v>32.5</v>
          </cell>
          <cell r="F25">
            <v>32.200000000000003</v>
          </cell>
          <cell r="G25">
            <v>31.5</v>
          </cell>
          <cell r="H25">
            <v>32.799999999999997</v>
          </cell>
          <cell r="I25">
            <v>30.7</v>
          </cell>
          <cell r="J25">
            <v>32.9</v>
          </cell>
          <cell r="K25">
            <v>31.4</v>
          </cell>
          <cell r="L25">
            <v>31.2</v>
          </cell>
          <cell r="M25">
            <v>29.9</v>
          </cell>
          <cell r="N25">
            <v>29.5</v>
          </cell>
          <cell r="O25">
            <v>28.1</v>
          </cell>
        </row>
        <row r="26">
          <cell r="A26">
            <v>102</v>
          </cell>
          <cell r="B26">
            <v>1</v>
          </cell>
          <cell r="C26">
            <v>13.021000000000001</v>
          </cell>
          <cell r="D26">
            <v>59.6</v>
          </cell>
          <cell r="E26">
            <v>42.3</v>
          </cell>
          <cell r="F26">
            <v>52.9</v>
          </cell>
          <cell r="G26">
            <v>34.4</v>
          </cell>
          <cell r="H26">
            <v>56.2</v>
          </cell>
          <cell r="I26">
            <v>39.9</v>
          </cell>
          <cell r="J26">
            <v>57.6</v>
          </cell>
          <cell r="K26">
            <v>35.6</v>
          </cell>
          <cell r="L26">
            <v>55.3</v>
          </cell>
          <cell r="M26">
            <v>35.299999999999997</v>
          </cell>
          <cell r="N26">
            <v>54.6</v>
          </cell>
          <cell r="O26">
            <v>33.9</v>
          </cell>
        </row>
        <row r="27">
          <cell r="A27">
            <v>102</v>
          </cell>
          <cell r="B27">
            <v>2</v>
          </cell>
          <cell r="C27">
            <v>13.026</v>
          </cell>
          <cell r="D27">
            <v>30.1</v>
          </cell>
          <cell r="E27">
            <v>29.9</v>
          </cell>
          <cell r="F27">
            <v>28.9</v>
          </cell>
          <cell r="G27">
            <v>30.6</v>
          </cell>
          <cell r="H27">
            <v>30.2</v>
          </cell>
          <cell r="I27">
            <v>30.2</v>
          </cell>
          <cell r="J27">
            <v>31.4</v>
          </cell>
          <cell r="K27">
            <v>30</v>
          </cell>
          <cell r="L27">
            <v>31.6</v>
          </cell>
          <cell r="M27">
            <v>28.8</v>
          </cell>
          <cell r="N27">
            <v>29.8</v>
          </cell>
          <cell r="O27">
            <v>29</v>
          </cell>
        </row>
        <row r="28">
          <cell r="A28">
            <v>101</v>
          </cell>
          <cell r="B28">
            <v>1</v>
          </cell>
          <cell r="C28">
            <v>13.036</v>
          </cell>
          <cell r="D28">
            <v>59.3</v>
          </cell>
          <cell r="E28">
            <v>44</v>
          </cell>
          <cell r="F28">
            <v>55.4</v>
          </cell>
          <cell r="G28">
            <v>36.799999999999997</v>
          </cell>
          <cell r="H28">
            <v>52</v>
          </cell>
          <cell r="I28">
            <v>39</v>
          </cell>
          <cell r="J28">
            <v>53.1</v>
          </cell>
          <cell r="K28">
            <v>36.299999999999997</v>
          </cell>
          <cell r="L28">
            <v>46.9</v>
          </cell>
          <cell r="M28">
            <v>38.4</v>
          </cell>
          <cell r="N28">
            <v>52.3</v>
          </cell>
          <cell r="O28">
            <v>39</v>
          </cell>
        </row>
        <row r="29">
          <cell r="A29">
            <v>101</v>
          </cell>
          <cell r="B29">
            <v>2</v>
          </cell>
          <cell r="C29">
            <v>13.041</v>
          </cell>
          <cell r="D29">
            <v>32</v>
          </cell>
          <cell r="E29">
            <v>31.2</v>
          </cell>
          <cell r="F29">
            <v>33.700000000000003</v>
          </cell>
          <cell r="G29">
            <v>31.9</v>
          </cell>
          <cell r="H29">
            <v>31.4</v>
          </cell>
          <cell r="I29">
            <v>30.6</v>
          </cell>
          <cell r="J29">
            <v>33.299999999999997</v>
          </cell>
          <cell r="K29">
            <v>31.8</v>
          </cell>
          <cell r="L29">
            <v>32</v>
          </cell>
          <cell r="M29">
            <v>31.4</v>
          </cell>
          <cell r="N29">
            <v>33</v>
          </cell>
          <cell r="O29">
            <v>32.5</v>
          </cell>
        </row>
        <row r="30">
          <cell r="A30">
            <v>201</v>
          </cell>
          <cell r="B30">
            <v>1</v>
          </cell>
          <cell r="C30">
            <v>13.055</v>
          </cell>
          <cell r="D30">
            <v>30.4</v>
          </cell>
          <cell r="E30">
            <v>37.299999999999997</v>
          </cell>
          <cell r="F30">
            <v>37.1</v>
          </cell>
          <cell r="G30">
            <v>32.200000000000003</v>
          </cell>
          <cell r="H30">
            <v>41.3</v>
          </cell>
          <cell r="I30">
            <v>29.2</v>
          </cell>
          <cell r="J30">
            <v>44.3</v>
          </cell>
          <cell r="K30">
            <v>29.5</v>
          </cell>
          <cell r="L30">
            <v>41.7</v>
          </cell>
          <cell r="M30">
            <v>29.9</v>
          </cell>
          <cell r="N30">
            <v>44</v>
          </cell>
          <cell r="O30">
            <v>29.5</v>
          </cell>
        </row>
        <row r="31">
          <cell r="A31">
            <v>201</v>
          </cell>
          <cell r="B31">
            <v>2</v>
          </cell>
          <cell r="C31">
            <v>13.06</v>
          </cell>
          <cell r="D31">
            <v>27.6</v>
          </cell>
          <cell r="E31">
            <v>27.9</v>
          </cell>
          <cell r="F31">
            <v>29.1</v>
          </cell>
          <cell r="G31">
            <v>29.2</v>
          </cell>
          <cell r="H31">
            <v>27.4</v>
          </cell>
          <cell r="I31">
            <v>27.6</v>
          </cell>
          <cell r="J31">
            <v>27.3</v>
          </cell>
          <cell r="K31">
            <v>29.2</v>
          </cell>
          <cell r="L31">
            <v>28.4</v>
          </cell>
          <cell r="M31">
            <v>28.7</v>
          </cell>
          <cell r="N31">
            <v>28.6</v>
          </cell>
          <cell r="O31">
            <v>30</v>
          </cell>
        </row>
        <row r="32">
          <cell r="A32">
            <v>202</v>
          </cell>
          <cell r="B32">
            <v>1</v>
          </cell>
          <cell r="C32">
            <v>13.069000000000001</v>
          </cell>
          <cell r="D32">
            <v>33.5</v>
          </cell>
          <cell r="E32">
            <v>43.2</v>
          </cell>
          <cell r="F32">
            <v>46.9</v>
          </cell>
          <cell r="G32">
            <v>33.299999999999997</v>
          </cell>
          <cell r="H32">
            <v>48.7</v>
          </cell>
          <cell r="I32">
            <v>32.1</v>
          </cell>
          <cell r="J32">
            <v>55.5</v>
          </cell>
          <cell r="K32">
            <v>33</v>
          </cell>
          <cell r="L32">
            <v>52</v>
          </cell>
          <cell r="M32">
            <v>32.299999999999997</v>
          </cell>
          <cell r="N32">
            <v>52.5</v>
          </cell>
          <cell r="O32">
            <v>32.9</v>
          </cell>
        </row>
        <row r="33">
          <cell r="A33">
            <v>202</v>
          </cell>
          <cell r="B33">
            <v>2</v>
          </cell>
          <cell r="C33">
            <v>13.074</v>
          </cell>
          <cell r="D33">
            <v>29.7</v>
          </cell>
          <cell r="E33">
            <v>29.8</v>
          </cell>
          <cell r="F33">
            <v>31.5</v>
          </cell>
          <cell r="G33">
            <v>29.9</v>
          </cell>
          <cell r="H33">
            <v>29.8</v>
          </cell>
          <cell r="I33">
            <v>28.9</v>
          </cell>
          <cell r="J33">
            <v>30.6</v>
          </cell>
          <cell r="K33">
            <v>29.2</v>
          </cell>
          <cell r="L33">
            <v>30.4</v>
          </cell>
          <cell r="M33">
            <v>29.7</v>
          </cell>
          <cell r="N33">
            <v>30.3</v>
          </cell>
          <cell r="O33">
            <v>29.9</v>
          </cell>
        </row>
        <row r="34">
          <cell r="A34">
            <v>203</v>
          </cell>
          <cell r="B34">
            <v>1</v>
          </cell>
          <cell r="C34">
            <v>13.083</v>
          </cell>
          <cell r="D34">
            <v>41.5</v>
          </cell>
          <cell r="E34">
            <v>40</v>
          </cell>
          <cell r="F34">
            <v>55</v>
          </cell>
          <cell r="G34">
            <v>33.200000000000003</v>
          </cell>
          <cell r="H34">
            <v>51.6</v>
          </cell>
          <cell r="I34">
            <v>33</v>
          </cell>
          <cell r="J34">
            <v>56.8</v>
          </cell>
          <cell r="K34">
            <v>39.799999999999997</v>
          </cell>
          <cell r="L34">
            <v>56</v>
          </cell>
          <cell r="M34">
            <v>34.4</v>
          </cell>
          <cell r="N34">
            <v>48.5</v>
          </cell>
          <cell r="O34">
            <v>35.5</v>
          </cell>
        </row>
        <row r="35">
          <cell r="A35">
            <v>203</v>
          </cell>
          <cell r="B35">
            <v>2</v>
          </cell>
          <cell r="C35">
            <v>13.087999999999999</v>
          </cell>
          <cell r="D35">
            <v>29.1</v>
          </cell>
          <cell r="E35">
            <v>29.7</v>
          </cell>
          <cell r="F35">
            <v>30.7</v>
          </cell>
          <cell r="G35">
            <v>28.6</v>
          </cell>
          <cell r="H35">
            <v>30.5</v>
          </cell>
          <cell r="I35">
            <v>32.700000000000003</v>
          </cell>
          <cell r="J35">
            <v>30.7</v>
          </cell>
          <cell r="K35">
            <v>30.1</v>
          </cell>
          <cell r="L35">
            <v>28.6</v>
          </cell>
          <cell r="M35">
            <v>29.4</v>
          </cell>
          <cell r="N35">
            <v>30.5</v>
          </cell>
          <cell r="O35">
            <v>30.3</v>
          </cell>
        </row>
        <row r="36">
          <cell r="A36">
            <v>204</v>
          </cell>
          <cell r="B36">
            <v>1</v>
          </cell>
          <cell r="C36">
            <v>13.096</v>
          </cell>
          <cell r="D36">
            <v>33.4</v>
          </cell>
          <cell r="E36">
            <v>33.5</v>
          </cell>
          <cell r="F36">
            <v>34.299999999999997</v>
          </cell>
          <cell r="G36">
            <v>29.8</v>
          </cell>
          <cell r="H36">
            <v>45.6</v>
          </cell>
          <cell r="I36">
            <v>30.7</v>
          </cell>
          <cell r="J36">
            <v>43.7</v>
          </cell>
          <cell r="K36">
            <v>29.7</v>
          </cell>
          <cell r="L36">
            <v>45.6</v>
          </cell>
          <cell r="M36">
            <v>30.6</v>
          </cell>
          <cell r="N36">
            <v>44.5</v>
          </cell>
          <cell r="O36">
            <v>30</v>
          </cell>
        </row>
        <row r="37">
          <cell r="A37">
            <v>204</v>
          </cell>
          <cell r="B37">
            <v>2</v>
          </cell>
          <cell r="C37">
            <v>13.101000000000001</v>
          </cell>
          <cell r="D37">
            <v>30.8</v>
          </cell>
          <cell r="E37">
            <v>28.8</v>
          </cell>
          <cell r="F37">
            <v>28.5</v>
          </cell>
          <cell r="G37">
            <v>28.1</v>
          </cell>
          <cell r="H37">
            <v>30.4</v>
          </cell>
          <cell r="I37">
            <v>28.7</v>
          </cell>
          <cell r="J37">
            <v>26.9</v>
          </cell>
          <cell r="K37">
            <v>27.5</v>
          </cell>
          <cell r="L37">
            <v>30.6</v>
          </cell>
          <cell r="M37">
            <v>29.1</v>
          </cell>
          <cell r="N37">
            <v>27.8</v>
          </cell>
          <cell r="O37">
            <v>28.4</v>
          </cell>
        </row>
        <row r="38">
          <cell r="A38">
            <v>205</v>
          </cell>
          <cell r="B38">
            <v>1</v>
          </cell>
          <cell r="C38">
            <v>13.109</v>
          </cell>
          <cell r="D38">
            <v>49.7</v>
          </cell>
          <cell r="E38">
            <v>41.5</v>
          </cell>
          <cell r="F38">
            <v>55.8</v>
          </cell>
          <cell r="G38">
            <v>33.5</v>
          </cell>
          <cell r="H38">
            <v>56.5</v>
          </cell>
          <cell r="I38">
            <v>33.5</v>
          </cell>
          <cell r="J38">
            <v>52.5</v>
          </cell>
          <cell r="K38">
            <v>35.799999999999997</v>
          </cell>
          <cell r="L38">
            <v>56.3</v>
          </cell>
          <cell r="M38">
            <v>32.299999999999997</v>
          </cell>
          <cell r="N38">
            <v>52.2</v>
          </cell>
          <cell r="O38">
            <v>33.200000000000003</v>
          </cell>
        </row>
        <row r="39">
          <cell r="A39">
            <v>205</v>
          </cell>
          <cell r="B39">
            <v>2</v>
          </cell>
          <cell r="C39">
            <v>13.114000000000001</v>
          </cell>
          <cell r="D39">
            <v>30.4</v>
          </cell>
          <cell r="E39">
            <v>30.2</v>
          </cell>
          <cell r="F39">
            <v>29.6</v>
          </cell>
          <cell r="G39">
            <v>28.7</v>
          </cell>
          <cell r="H39">
            <v>32.1</v>
          </cell>
          <cell r="I39">
            <v>29.7</v>
          </cell>
          <cell r="J39">
            <v>30.5</v>
          </cell>
          <cell r="K39">
            <v>29.6</v>
          </cell>
          <cell r="L39">
            <v>30.5</v>
          </cell>
          <cell r="M39">
            <v>30.8</v>
          </cell>
          <cell r="N39">
            <v>30.1</v>
          </cell>
          <cell r="O39">
            <v>30.1</v>
          </cell>
        </row>
        <row r="40">
          <cell r="A40">
            <v>206</v>
          </cell>
          <cell r="B40">
            <v>1</v>
          </cell>
          <cell r="C40">
            <v>13.122</v>
          </cell>
          <cell r="D40">
            <v>36.1</v>
          </cell>
          <cell r="E40">
            <v>33.799999999999997</v>
          </cell>
          <cell r="F40">
            <v>37.299999999999997</v>
          </cell>
          <cell r="G40">
            <v>33.1</v>
          </cell>
          <cell r="H40">
            <v>39.5</v>
          </cell>
          <cell r="I40">
            <v>31.3</v>
          </cell>
          <cell r="J40">
            <v>38.299999999999997</v>
          </cell>
          <cell r="K40">
            <v>31</v>
          </cell>
          <cell r="L40">
            <v>38.799999999999997</v>
          </cell>
          <cell r="M40">
            <v>30.7</v>
          </cell>
          <cell r="N40">
            <v>39.799999999999997</v>
          </cell>
          <cell r="O40">
            <v>33.6</v>
          </cell>
        </row>
        <row r="41">
          <cell r="A41">
            <v>206</v>
          </cell>
          <cell r="B41">
            <v>2</v>
          </cell>
          <cell r="C41">
            <v>13.127000000000001</v>
          </cell>
          <cell r="D41">
            <v>30.7</v>
          </cell>
          <cell r="E41">
            <v>30.2</v>
          </cell>
          <cell r="F41">
            <v>31.7</v>
          </cell>
          <cell r="G41">
            <v>30.2</v>
          </cell>
          <cell r="H41">
            <v>31.5</v>
          </cell>
          <cell r="I41">
            <v>31.3</v>
          </cell>
          <cell r="J41">
            <v>31.1</v>
          </cell>
          <cell r="K41">
            <v>29.4</v>
          </cell>
          <cell r="L41">
            <v>30.1</v>
          </cell>
          <cell r="M41">
            <v>30.5</v>
          </cell>
          <cell r="N41">
            <v>31.1</v>
          </cell>
          <cell r="O41">
            <v>29.5</v>
          </cell>
        </row>
        <row r="42">
          <cell r="A42">
            <v>207</v>
          </cell>
          <cell r="B42">
            <v>1</v>
          </cell>
          <cell r="C42">
            <v>13.135999999999999</v>
          </cell>
          <cell r="D42">
            <v>47.1</v>
          </cell>
          <cell r="E42">
            <v>40.5</v>
          </cell>
          <cell r="F42">
            <v>52.2</v>
          </cell>
          <cell r="G42">
            <v>36.200000000000003</v>
          </cell>
          <cell r="H42">
            <v>52</v>
          </cell>
          <cell r="I42">
            <v>33.1</v>
          </cell>
          <cell r="J42">
            <v>53.2</v>
          </cell>
          <cell r="K42">
            <v>32.6</v>
          </cell>
          <cell r="L42">
            <v>48.5</v>
          </cell>
          <cell r="M42">
            <v>33</v>
          </cell>
          <cell r="N42">
            <v>53</v>
          </cell>
          <cell r="O42">
            <v>31.9</v>
          </cell>
        </row>
        <row r="43">
          <cell r="A43">
            <v>207</v>
          </cell>
          <cell r="B43">
            <v>2</v>
          </cell>
          <cell r="C43">
            <v>13.141</v>
          </cell>
          <cell r="D43">
            <v>30.2</v>
          </cell>
          <cell r="E43">
            <v>29.1</v>
          </cell>
          <cell r="F43">
            <v>30.9</v>
          </cell>
          <cell r="G43">
            <v>29.4</v>
          </cell>
          <cell r="H43">
            <v>30.9</v>
          </cell>
          <cell r="I43">
            <v>30.8</v>
          </cell>
          <cell r="J43">
            <v>30.2</v>
          </cell>
          <cell r="K43">
            <v>29.3</v>
          </cell>
          <cell r="L43">
            <v>31.3</v>
          </cell>
          <cell r="M43">
            <v>31.2</v>
          </cell>
          <cell r="N43">
            <v>28.8</v>
          </cell>
          <cell r="O43">
            <v>28.8</v>
          </cell>
        </row>
        <row r="44">
          <cell r="A44">
            <v>208</v>
          </cell>
          <cell r="B44">
            <v>1</v>
          </cell>
          <cell r="C44">
            <v>13.15</v>
          </cell>
          <cell r="D44">
            <v>50.3</v>
          </cell>
          <cell r="E44">
            <v>41.5</v>
          </cell>
          <cell r="F44">
            <v>53</v>
          </cell>
          <cell r="G44">
            <v>36.700000000000003</v>
          </cell>
          <cell r="H44">
            <v>55.2</v>
          </cell>
          <cell r="I44">
            <v>37.299999999999997</v>
          </cell>
          <cell r="J44">
            <v>57.7</v>
          </cell>
          <cell r="K44">
            <v>36.4</v>
          </cell>
          <cell r="L44">
            <v>55.3</v>
          </cell>
          <cell r="M44">
            <v>36.4</v>
          </cell>
          <cell r="N44">
            <v>55</v>
          </cell>
          <cell r="O44">
            <v>34.9</v>
          </cell>
        </row>
        <row r="45">
          <cell r="A45">
            <v>208</v>
          </cell>
          <cell r="B45">
            <v>2</v>
          </cell>
          <cell r="C45">
            <v>13.154999999999999</v>
          </cell>
          <cell r="D45">
            <v>29.1</v>
          </cell>
          <cell r="E45">
            <v>28.9</v>
          </cell>
          <cell r="F45">
            <v>30.4</v>
          </cell>
          <cell r="G45">
            <v>30.3</v>
          </cell>
          <cell r="H45">
            <v>30.2</v>
          </cell>
          <cell r="I45">
            <v>29</v>
          </cell>
          <cell r="J45">
            <v>31.4</v>
          </cell>
          <cell r="K45">
            <v>30.3</v>
          </cell>
          <cell r="L45">
            <v>31</v>
          </cell>
          <cell r="M45">
            <v>30</v>
          </cell>
          <cell r="N45">
            <v>32.200000000000003</v>
          </cell>
          <cell r="O45">
            <v>30.4</v>
          </cell>
        </row>
        <row r="46">
          <cell r="A46">
            <v>908</v>
          </cell>
          <cell r="B46">
            <v>1</v>
          </cell>
          <cell r="C46">
            <v>13.167999999999999</v>
          </cell>
          <cell r="D46">
            <v>63.9</v>
          </cell>
          <cell r="E46">
            <v>49.3</v>
          </cell>
          <cell r="F46">
            <v>57.7</v>
          </cell>
          <cell r="G46">
            <v>42.3</v>
          </cell>
          <cell r="H46">
            <v>59.5</v>
          </cell>
          <cell r="I46">
            <v>42.1</v>
          </cell>
          <cell r="J46">
            <v>56.7</v>
          </cell>
          <cell r="K46">
            <v>40.200000000000003</v>
          </cell>
          <cell r="L46">
            <v>58.4</v>
          </cell>
          <cell r="M46">
            <v>46.1</v>
          </cell>
          <cell r="N46">
            <v>61</v>
          </cell>
          <cell r="O46">
            <v>43.3</v>
          </cell>
        </row>
        <row r="47">
          <cell r="A47">
            <v>908</v>
          </cell>
          <cell r="B47">
            <v>2</v>
          </cell>
          <cell r="C47">
            <v>13.172000000000001</v>
          </cell>
          <cell r="D47">
            <v>34.200000000000003</v>
          </cell>
          <cell r="E47">
            <v>36.799999999999997</v>
          </cell>
          <cell r="F47">
            <v>39.200000000000003</v>
          </cell>
          <cell r="G47">
            <v>35.4</v>
          </cell>
          <cell r="H47">
            <v>31.8</v>
          </cell>
          <cell r="I47">
            <v>37</v>
          </cell>
          <cell r="J47">
            <v>41.5</v>
          </cell>
          <cell r="K47">
            <v>32.5</v>
          </cell>
          <cell r="L47">
            <v>36.4</v>
          </cell>
          <cell r="M47">
            <v>37.700000000000003</v>
          </cell>
          <cell r="N47">
            <v>36</v>
          </cell>
          <cell r="O47">
            <v>31.8</v>
          </cell>
        </row>
        <row r="48">
          <cell r="A48">
            <v>907</v>
          </cell>
          <cell r="B48">
            <v>1</v>
          </cell>
          <cell r="C48">
            <v>13.180999999999999</v>
          </cell>
          <cell r="D48">
            <v>67.2</v>
          </cell>
          <cell r="E48">
            <v>65.7</v>
          </cell>
          <cell r="F48">
            <v>64.8</v>
          </cell>
          <cell r="G48">
            <v>64.7</v>
          </cell>
          <cell r="H48">
            <v>64.8</v>
          </cell>
          <cell r="I48">
            <v>65.7</v>
          </cell>
          <cell r="J48">
            <v>65.5</v>
          </cell>
          <cell r="K48">
            <v>63.8</v>
          </cell>
          <cell r="L48">
            <v>65.7</v>
          </cell>
          <cell r="M48">
            <v>65</v>
          </cell>
          <cell r="N48">
            <v>64.900000000000006</v>
          </cell>
          <cell r="O48">
            <v>64.900000000000006</v>
          </cell>
        </row>
        <row r="50">
          <cell r="A50">
            <v>906</v>
          </cell>
          <cell r="B50">
            <v>1</v>
          </cell>
          <cell r="C50">
            <v>13.189</v>
          </cell>
          <cell r="D50">
            <v>58.4</v>
          </cell>
          <cell r="E50">
            <v>36.9</v>
          </cell>
          <cell r="F50">
            <v>47.4</v>
          </cell>
          <cell r="G50">
            <v>35.6</v>
          </cell>
          <cell r="H50">
            <v>48.9</v>
          </cell>
          <cell r="I50">
            <v>37</v>
          </cell>
          <cell r="J50">
            <v>50.9</v>
          </cell>
          <cell r="K50">
            <v>41.5</v>
          </cell>
          <cell r="L50">
            <v>56.8</v>
          </cell>
          <cell r="M50">
            <v>40.299999999999997</v>
          </cell>
          <cell r="N50">
            <v>56.3</v>
          </cell>
          <cell r="O50">
            <v>32.5</v>
          </cell>
        </row>
        <row r="51">
          <cell r="A51">
            <v>906</v>
          </cell>
          <cell r="B51">
            <v>2</v>
          </cell>
          <cell r="C51">
            <v>13.193</v>
          </cell>
          <cell r="D51">
            <v>29.1</v>
          </cell>
          <cell r="E51">
            <v>30.7</v>
          </cell>
          <cell r="F51">
            <v>30.7</v>
          </cell>
          <cell r="G51">
            <v>29.7</v>
          </cell>
          <cell r="H51">
            <v>34</v>
          </cell>
          <cell r="I51">
            <v>31.7</v>
          </cell>
          <cell r="J51">
            <v>31.8</v>
          </cell>
          <cell r="K51">
            <v>31</v>
          </cell>
          <cell r="L51">
            <v>30.4</v>
          </cell>
          <cell r="M51">
            <v>30.8</v>
          </cell>
          <cell r="N51">
            <v>32</v>
          </cell>
          <cell r="O51">
            <v>30.8</v>
          </cell>
        </row>
        <row r="52">
          <cell r="A52">
            <v>905</v>
          </cell>
          <cell r="B52">
            <v>1</v>
          </cell>
          <cell r="C52">
            <v>13.201000000000001</v>
          </cell>
          <cell r="D52">
            <v>36.700000000000003</v>
          </cell>
          <cell r="E52">
            <v>36.9</v>
          </cell>
          <cell r="F52">
            <v>36.9</v>
          </cell>
          <cell r="G52">
            <v>37.1</v>
          </cell>
          <cell r="H52">
            <v>36.700000000000003</v>
          </cell>
          <cell r="I52">
            <v>36.9</v>
          </cell>
          <cell r="J52">
            <v>36.6</v>
          </cell>
          <cell r="K52">
            <v>36.299999999999997</v>
          </cell>
          <cell r="L52">
            <v>35.9</v>
          </cell>
          <cell r="M52">
            <v>36</v>
          </cell>
          <cell r="N52">
            <v>36</v>
          </cell>
          <cell r="O52">
            <v>36</v>
          </cell>
        </row>
        <row r="54">
          <cell r="A54">
            <v>904</v>
          </cell>
          <cell r="B54">
            <v>1</v>
          </cell>
          <cell r="C54">
            <v>13.207000000000001</v>
          </cell>
          <cell r="D54">
            <v>60.4</v>
          </cell>
          <cell r="E54">
            <v>43.2</v>
          </cell>
          <cell r="F54">
            <v>55.6</v>
          </cell>
          <cell r="G54">
            <v>40.5</v>
          </cell>
          <cell r="H54">
            <v>48.3</v>
          </cell>
          <cell r="I54">
            <v>45</v>
          </cell>
          <cell r="J54">
            <v>61</v>
          </cell>
          <cell r="K54">
            <v>45.2</v>
          </cell>
          <cell r="L54">
            <v>58.2</v>
          </cell>
          <cell r="M54">
            <v>47.5</v>
          </cell>
          <cell r="N54">
            <v>60.6</v>
          </cell>
          <cell r="O54">
            <v>49</v>
          </cell>
        </row>
        <row r="55">
          <cell r="A55">
            <v>904</v>
          </cell>
          <cell r="B55">
            <v>2</v>
          </cell>
          <cell r="C55">
            <v>13.212</v>
          </cell>
          <cell r="D55">
            <v>32.6</v>
          </cell>
          <cell r="E55">
            <v>33.299999999999997</v>
          </cell>
          <cell r="F55">
            <v>32</v>
          </cell>
          <cell r="G55">
            <v>37.700000000000003</v>
          </cell>
          <cell r="H55">
            <v>34.5</v>
          </cell>
          <cell r="I55">
            <v>35.4</v>
          </cell>
          <cell r="J55">
            <v>36.200000000000003</v>
          </cell>
          <cell r="K55">
            <v>31.8</v>
          </cell>
          <cell r="L55">
            <v>34.9</v>
          </cell>
          <cell r="M55">
            <v>36.5</v>
          </cell>
          <cell r="N55">
            <v>36</v>
          </cell>
          <cell r="O55">
            <v>32.6</v>
          </cell>
        </row>
        <row r="56">
          <cell r="A56">
            <v>903</v>
          </cell>
          <cell r="B56">
            <v>1</v>
          </cell>
          <cell r="C56">
            <v>13.221</v>
          </cell>
          <cell r="D56">
            <v>66.099999999999994</v>
          </cell>
          <cell r="E56">
            <v>65.7</v>
          </cell>
          <cell r="F56">
            <v>65.3</v>
          </cell>
          <cell r="G56">
            <v>65.2</v>
          </cell>
          <cell r="H56">
            <v>64.900000000000006</v>
          </cell>
          <cell r="I56">
            <v>64.900000000000006</v>
          </cell>
          <cell r="J56">
            <v>64.900000000000006</v>
          </cell>
          <cell r="K56">
            <v>64.3</v>
          </cell>
          <cell r="L56">
            <v>64.2</v>
          </cell>
          <cell r="M56">
            <v>64</v>
          </cell>
          <cell r="N56">
            <v>64.099999999999994</v>
          </cell>
          <cell r="O56">
            <v>64.099999999999994</v>
          </cell>
        </row>
        <row r="58">
          <cell r="A58">
            <v>902</v>
          </cell>
          <cell r="B58">
            <v>1</v>
          </cell>
          <cell r="C58">
            <v>13.226000000000001</v>
          </cell>
          <cell r="D58">
            <v>58.6</v>
          </cell>
          <cell r="E58">
            <v>39.799999999999997</v>
          </cell>
          <cell r="F58">
            <v>55.5</v>
          </cell>
          <cell r="G58">
            <v>37</v>
          </cell>
          <cell r="H58">
            <v>51.1</v>
          </cell>
          <cell r="I58">
            <v>38.299999999999997</v>
          </cell>
          <cell r="J58">
            <v>49.5</v>
          </cell>
          <cell r="K58">
            <v>36.4</v>
          </cell>
          <cell r="L58">
            <v>54.9</v>
          </cell>
          <cell r="M58">
            <v>36.9</v>
          </cell>
          <cell r="N58">
            <v>55.9</v>
          </cell>
          <cell r="O58">
            <v>35.200000000000003</v>
          </cell>
        </row>
        <row r="59">
          <cell r="A59">
            <v>902</v>
          </cell>
          <cell r="B59">
            <v>2</v>
          </cell>
          <cell r="C59">
            <v>13.231</v>
          </cell>
          <cell r="D59">
            <v>29.6</v>
          </cell>
          <cell r="E59">
            <v>32.9</v>
          </cell>
          <cell r="F59">
            <v>32.799999999999997</v>
          </cell>
          <cell r="G59">
            <v>31.6</v>
          </cell>
          <cell r="H59">
            <v>31.7</v>
          </cell>
          <cell r="I59">
            <v>32</v>
          </cell>
          <cell r="J59">
            <v>31.6</v>
          </cell>
          <cell r="K59">
            <v>31.9</v>
          </cell>
          <cell r="L59">
            <v>33.200000000000003</v>
          </cell>
          <cell r="M59">
            <v>32.5</v>
          </cell>
          <cell r="N59">
            <v>32.1</v>
          </cell>
          <cell r="O59">
            <v>33.200000000000003</v>
          </cell>
        </row>
        <row r="60">
          <cell r="A60">
            <v>901</v>
          </cell>
          <cell r="B60">
            <v>1</v>
          </cell>
          <cell r="C60">
            <v>13.239000000000001</v>
          </cell>
          <cell r="D60">
            <v>36.700000000000003</v>
          </cell>
          <cell r="E60">
            <v>36.1</v>
          </cell>
          <cell r="F60">
            <v>36.4</v>
          </cell>
          <cell r="G60">
            <v>36.1</v>
          </cell>
          <cell r="H60">
            <v>35.700000000000003</v>
          </cell>
          <cell r="I60">
            <v>35.4</v>
          </cell>
          <cell r="J60">
            <v>35.299999999999997</v>
          </cell>
          <cell r="K60">
            <v>35.1</v>
          </cell>
          <cell r="L60">
            <v>35.200000000000003</v>
          </cell>
          <cell r="M60">
            <v>34.799999999999997</v>
          </cell>
          <cell r="N60">
            <v>35.1</v>
          </cell>
          <cell r="O60">
            <v>35.299999999999997</v>
          </cell>
        </row>
        <row r="62">
          <cell r="A62">
            <v>301</v>
          </cell>
          <cell r="B62">
            <v>1</v>
          </cell>
          <cell r="C62">
            <v>13.249000000000001</v>
          </cell>
          <cell r="D62">
            <v>52.5</v>
          </cell>
          <cell r="E62">
            <v>44.8</v>
          </cell>
          <cell r="F62">
            <v>38.799999999999997</v>
          </cell>
          <cell r="G62">
            <v>38.700000000000003</v>
          </cell>
          <cell r="H62">
            <v>33.4</v>
          </cell>
          <cell r="I62">
            <v>41.3</v>
          </cell>
          <cell r="J62">
            <v>31.3</v>
          </cell>
          <cell r="K62">
            <v>41</v>
          </cell>
          <cell r="L62">
            <v>36.1</v>
          </cell>
          <cell r="M62">
            <v>38.700000000000003</v>
          </cell>
          <cell r="N62">
            <v>36.700000000000003</v>
          </cell>
          <cell r="O62">
            <v>33.299999999999997</v>
          </cell>
        </row>
        <row r="63">
          <cell r="A63">
            <v>301</v>
          </cell>
          <cell r="B63">
            <v>2</v>
          </cell>
          <cell r="C63">
            <v>13.26</v>
          </cell>
          <cell r="D63">
            <v>28.8</v>
          </cell>
          <cell r="E63">
            <v>28.9</v>
          </cell>
          <cell r="F63">
            <v>30.4</v>
          </cell>
          <cell r="G63">
            <v>29.6</v>
          </cell>
          <cell r="H63">
            <v>29.1</v>
          </cell>
          <cell r="I63">
            <v>29</v>
          </cell>
          <cell r="J63">
            <v>29.5</v>
          </cell>
          <cell r="K63">
            <v>29.3</v>
          </cell>
          <cell r="L63">
            <v>29.8</v>
          </cell>
          <cell r="M63">
            <v>29.1</v>
          </cell>
          <cell r="N63">
            <v>30</v>
          </cell>
          <cell r="O63">
            <v>30.5</v>
          </cell>
        </row>
        <row r="64">
          <cell r="A64">
            <v>302</v>
          </cell>
          <cell r="B64">
            <v>1</v>
          </cell>
          <cell r="C64">
            <v>13.269</v>
          </cell>
          <cell r="D64">
            <v>41.8</v>
          </cell>
          <cell r="E64">
            <v>35.5</v>
          </cell>
          <cell r="F64">
            <v>53.5</v>
          </cell>
          <cell r="G64">
            <v>32.5</v>
          </cell>
          <cell r="H64">
            <v>53.9</v>
          </cell>
          <cell r="I64">
            <v>31.4</v>
          </cell>
          <cell r="J64">
            <v>52.3</v>
          </cell>
          <cell r="K64">
            <v>32.799999999999997</v>
          </cell>
          <cell r="L64">
            <v>50.5</v>
          </cell>
          <cell r="M64">
            <v>32.9</v>
          </cell>
          <cell r="N64">
            <v>51</v>
          </cell>
          <cell r="O64">
            <v>32.799999999999997</v>
          </cell>
        </row>
        <row r="65">
          <cell r="A65">
            <v>302</v>
          </cell>
          <cell r="B65">
            <v>2</v>
          </cell>
          <cell r="C65">
            <v>13.273999999999999</v>
          </cell>
          <cell r="D65">
            <v>29.7</v>
          </cell>
          <cell r="E65">
            <v>28.8</v>
          </cell>
          <cell r="F65">
            <v>29.1</v>
          </cell>
          <cell r="G65">
            <v>30.7</v>
          </cell>
          <cell r="H65">
            <v>31.8</v>
          </cell>
          <cell r="I65">
            <v>28.8</v>
          </cell>
          <cell r="J65">
            <v>29.1</v>
          </cell>
          <cell r="K65">
            <v>29.8</v>
          </cell>
          <cell r="L65">
            <v>30</v>
          </cell>
          <cell r="M65">
            <v>29.7</v>
          </cell>
          <cell r="N65">
            <v>30.7</v>
          </cell>
          <cell r="O65">
            <v>29.7</v>
          </cell>
        </row>
        <row r="66">
          <cell r="A66">
            <v>303</v>
          </cell>
          <cell r="B66">
            <v>1</v>
          </cell>
          <cell r="C66">
            <v>13.282</v>
          </cell>
          <cell r="D66">
            <v>31.4</v>
          </cell>
          <cell r="E66">
            <v>36.799999999999997</v>
          </cell>
          <cell r="F66">
            <v>31.2</v>
          </cell>
          <cell r="G66">
            <v>30.9</v>
          </cell>
          <cell r="H66">
            <v>39</v>
          </cell>
          <cell r="I66">
            <v>31.4</v>
          </cell>
          <cell r="J66">
            <v>37.9</v>
          </cell>
          <cell r="K66">
            <v>29.7</v>
          </cell>
          <cell r="L66">
            <v>36.799999999999997</v>
          </cell>
          <cell r="M66">
            <v>31</v>
          </cell>
          <cell r="N66">
            <v>36.1</v>
          </cell>
          <cell r="O66">
            <v>31.5</v>
          </cell>
        </row>
        <row r="67">
          <cell r="A67">
            <v>303</v>
          </cell>
          <cell r="B67">
            <v>2</v>
          </cell>
          <cell r="C67">
            <v>13.287000000000001</v>
          </cell>
          <cell r="D67">
            <v>28.2</v>
          </cell>
          <cell r="E67">
            <v>29.6</v>
          </cell>
          <cell r="F67">
            <v>29.2</v>
          </cell>
          <cell r="G67">
            <v>30</v>
          </cell>
          <cell r="H67">
            <v>31</v>
          </cell>
          <cell r="I67">
            <v>29.7</v>
          </cell>
          <cell r="J67">
            <v>30.8</v>
          </cell>
          <cell r="K67">
            <v>29</v>
          </cell>
          <cell r="L67">
            <v>28.9</v>
          </cell>
          <cell r="M67">
            <v>30.2</v>
          </cell>
          <cell r="N67">
            <v>30.6</v>
          </cell>
          <cell r="O67">
            <v>28.4</v>
          </cell>
        </row>
        <row r="68">
          <cell r="A68">
            <v>304</v>
          </cell>
          <cell r="B68">
            <v>1</v>
          </cell>
          <cell r="C68">
            <v>13.295</v>
          </cell>
          <cell r="D68">
            <v>40.6</v>
          </cell>
          <cell r="E68">
            <v>42.5</v>
          </cell>
          <cell r="F68">
            <v>43.6</v>
          </cell>
          <cell r="G68">
            <v>36</v>
          </cell>
          <cell r="H68">
            <v>56.5</v>
          </cell>
          <cell r="I68">
            <v>34.4</v>
          </cell>
          <cell r="J68">
            <v>45.7</v>
          </cell>
          <cell r="K68">
            <v>32.5</v>
          </cell>
          <cell r="L68">
            <v>41.9</v>
          </cell>
          <cell r="M68">
            <v>38</v>
          </cell>
          <cell r="N68">
            <v>46.3</v>
          </cell>
          <cell r="O68">
            <v>36.200000000000003</v>
          </cell>
        </row>
        <row r="69">
          <cell r="A69">
            <v>304</v>
          </cell>
          <cell r="B69">
            <v>2</v>
          </cell>
          <cell r="C69">
            <v>13.3</v>
          </cell>
          <cell r="D69">
            <v>30.5</v>
          </cell>
          <cell r="E69">
            <v>28.5</v>
          </cell>
          <cell r="F69">
            <v>29.8</v>
          </cell>
          <cell r="G69">
            <v>30.1</v>
          </cell>
          <cell r="H69">
            <v>30.6</v>
          </cell>
          <cell r="I69">
            <v>29</v>
          </cell>
          <cell r="J69">
            <v>28.8</v>
          </cell>
          <cell r="K69">
            <v>30.4</v>
          </cell>
          <cell r="L69">
            <v>30.2</v>
          </cell>
          <cell r="M69">
            <v>28.2</v>
          </cell>
          <cell r="N69">
            <v>29.6</v>
          </cell>
          <cell r="O69">
            <v>28.5</v>
          </cell>
        </row>
        <row r="70">
          <cell r="A70">
            <v>305</v>
          </cell>
          <cell r="B70">
            <v>1</v>
          </cell>
          <cell r="C70">
            <v>13.308999999999999</v>
          </cell>
          <cell r="D70">
            <v>30</v>
          </cell>
          <cell r="E70">
            <v>38.4</v>
          </cell>
          <cell r="F70">
            <v>31.3</v>
          </cell>
          <cell r="G70">
            <v>35.1</v>
          </cell>
          <cell r="H70">
            <v>33.1</v>
          </cell>
          <cell r="I70">
            <v>32.200000000000003</v>
          </cell>
          <cell r="J70">
            <v>40.299999999999997</v>
          </cell>
          <cell r="K70">
            <v>30.4</v>
          </cell>
          <cell r="L70">
            <v>39.299999999999997</v>
          </cell>
          <cell r="M70">
            <v>30.3</v>
          </cell>
          <cell r="N70">
            <v>34.799999999999997</v>
          </cell>
          <cell r="O70">
            <v>30.4</v>
          </cell>
        </row>
        <row r="71">
          <cell r="A71">
            <v>305</v>
          </cell>
          <cell r="B71">
            <v>2</v>
          </cell>
          <cell r="C71">
            <v>13.314</v>
          </cell>
          <cell r="D71">
            <v>31.1</v>
          </cell>
          <cell r="E71">
            <v>29.7</v>
          </cell>
          <cell r="F71">
            <v>29.3</v>
          </cell>
          <cell r="G71">
            <v>30.5</v>
          </cell>
          <cell r="H71">
            <v>30.7</v>
          </cell>
          <cell r="I71">
            <v>30.1</v>
          </cell>
          <cell r="J71">
            <v>30.3</v>
          </cell>
          <cell r="K71">
            <v>30.1</v>
          </cell>
          <cell r="L71">
            <v>28.7</v>
          </cell>
          <cell r="M71">
            <v>30.2</v>
          </cell>
          <cell r="N71">
            <v>30.6</v>
          </cell>
          <cell r="O71">
            <v>29.6</v>
          </cell>
        </row>
        <row r="72">
          <cell r="A72">
            <v>306</v>
          </cell>
          <cell r="B72">
            <v>1</v>
          </cell>
          <cell r="C72">
            <v>13.321999999999999</v>
          </cell>
          <cell r="D72">
            <v>39.700000000000003</v>
          </cell>
          <cell r="E72">
            <v>38.1</v>
          </cell>
          <cell r="F72">
            <v>46.2</v>
          </cell>
          <cell r="G72">
            <v>31.8</v>
          </cell>
          <cell r="H72">
            <v>55.9</v>
          </cell>
          <cell r="I72">
            <v>31.4</v>
          </cell>
          <cell r="J72">
            <v>55.9</v>
          </cell>
          <cell r="K72">
            <v>31.2</v>
          </cell>
          <cell r="L72">
            <v>47.4</v>
          </cell>
          <cell r="M72">
            <v>31.4</v>
          </cell>
          <cell r="N72">
            <v>54.3</v>
          </cell>
          <cell r="O72">
            <v>33.1</v>
          </cell>
        </row>
        <row r="73">
          <cell r="A73">
            <v>306</v>
          </cell>
          <cell r="B73">
            <v>2</v>
          </cell>
          <cell r="C73">
            <v>13.327</v>
          </cell>
          <cell r="D73">
            <v>29.7</v>
          </cell>
          <cell r="E73">
            <v>28</v>
          </cell>
          <cell r="F73">
            <v>28.3</v>
          </cell>
          <cell r="G73">
            <v>29.4</v>
          </cell>
          <cell r="H73">
            <v>29.3</v>
          </cell>
          <cell r="I73">
            <v>28.7</v>
          </cell>
          <cell r="J73">
            <v>31.1</v>
          </cell>
          <cell r="K73">
            <v>29.1</v>
          </cell>
          <cell r="L73">
            <v>30.8</v>
          </cell>
          <cell r="M73">
            <v>29.8</v>
          </cell>
          <cell r="N73">
            <v>31.3</v>
          </cell>
          <cell r="O73">
            <v>30.1</v>
          </cell>
        </row>
        <row r="74">
          <cell r="A74">
            <v>307</v>
          </cell>
          <cell r="B74">
            <v>1</v>
          </cell>
          <cell r="C74">
            <v>13.335000000000001</v>
          </cell>
          <cell r="D74">
            <v>43.8</v>
          </cell>
          <cell r="E74">
            <v>39.6</v>
          </cell>
          <cell r="F74">
            <v>49.4</v>
          </cell>
          <cell r="G74">
            <v>32.799999999999997</v>
          </cell>
          <cell r="H74">
            <v>50.9</v>
          </cell>
          <cell r="I74">
            <v>33.200000000000003</v>
          </cell>
          <cell r="J74">
            <v>54.6</v>
          </cell>
          <cell r="K74">
            <v>32.299999999999997</v>
          </cell>
          <cell r="L74">
            <v>52.4</v>
          </cell>
          <cell r="M74">
            <v>32</v>
          </cell>
          <cell r="N74">
            <v>54.7</v>
          </cell>
          <cell r="O74">
            <v>33.799999999999997</v>
          </cell>
        </row>
        <row r="75">
          <cell r="A75">
            <v>307</v>
          </cell>
          <cell r="B75">
            <v>2</v>
          </cell>
          <cell r="C75">
            <v>13.34</v>
          </cell>
          <cell r="D75">
            <v>30.3</v>
          </cell>
          <cell r="E75">
            <v>30.7</v>
          </cell>
          <cell r="F75">
            <v>30.6</v>
          </cell>
          <cell r="G75">
            <v>30.3</v>
          </cell>
          <cell r="H75">
            <v>30</v>
          </cell>
          <cell r="I75">
            <v>30.2</v>
          </cell>
          <cell r="J75">
            <v>30.3</v>
          </cell>
          <cell r="K75">
            <v>29.2</v>
          </cell>
          <cell r="L75">
            <v>30.9</v>
          </cell>
          <cell r="M75">
            <v>29</v>
          </cell>
          <cell r="N75">
            <v>30.4</v>
          </cell>
          <cell r="O75">
            <v>30.9</v>
          </cell>
        </row>
        <row r="76">
          <cell r="A76">
            <v>308</v>
          </cell>
          <cell r="B76">
            <v>1</v>
          </cell>
          <cell r="C76">
            <v>13.349</v>
          </cell>
          <cell r="D76">
            <v>33.4</v>
          </cell>
          <cell r="E76">
            <v>38.1</v>
          </cell>
          <cell r="F76">
            <v>45</v>
          </cell>
          <cell r="G76">
            <v>36.1</v>
          </cell>
          <cell r="H76">
            <v>54.3</v>
          </cell>
          <cell r="I76">
            <v>35.6</v>
          </cell>
          <cell r="J76">
            <v>53.5</v>
          </cell>
          <cell r="K76">
            <v>34.799999999999997</v>
          </cell>
          <cell r="L76">
            <v>54</v>
          </cell>
          <cell r="M76">
            <v>32.9</v>
          </cell>
          <cell r="N76">
            <v>52.9</v>
          </cell>
          <cell r="O76">
            <v>33.299999999999997</v>
          </cell>
        </row>
        <row r="77">
          <cell r="A77">
            <v>308</v>
          </cell>
          <cell r="B77">
            <v>2</v>
          </cell>
          <cell r="C77">
            <v>13.355</v>
          </cell>
          <cell r="D77">
            <v>30.1</v>
          </cell>
          <cell r="E77">
            <v>30.2</v>
          </cell>
          <cell r="F77">
            <v>31</v>
          </cell>
          <cell r="G77">
            <v>31.1</v>
          </cell>
          <cell r="H77">
            <v>31.7</v>
          </cell>
          <cell r="I77">
            <v>31.3</v>
          </cell>
          <cell r="J77">
            <v>31.6</v>
          </cell>
          <cell r="K77">
            <v>31.6</v>
          </cell>
          <cell r="L77">
            <v>30.9</v>
          </cell>
          <cell r="M77">
            <v>31.7</v>
          </cell>
          <cell r="N77">
            <v>31.9</v>
          </cell>
          <cell r="O77">
            <v>30.8</v>
          </cell>
        </row>
        <row r="78">
          <cell r="A78">
            <v>408</v>
          </cell>
          <cell r="B78">
            <v>1</v>
          </cell>
          <cell r="C78">
            <v>13.371</v>
          </cell>
          <cell r="D78">
            <v>53.2</v>
          </cell>
          <cell r="E78">
            <v>36.299999999999997</v>
          </cell>
          <cell r="F78">
            <v>49.4</v>
          </cell>
          <cell r="G78">
            <v>33</v>
          </cell>
          <cell r="H78">
            <v>51.6</v>
          </cell>
          <cell r="I78">
            <v>31.7</v>
          </cell>
          <cell r="J78">
            <v>51.8</v>
          </cell>
          <cell r="K78">
            <v>31.9</v>
          </cell>
          <cell r="L78">
            <v>49.2</v>
          </cell>
          <cell r="M78">
            <v>33.700000000000003</v>
          </cell>
          <cell r="N78">
            <v>48.7</v>
          </cell>
          <cell r="O78">
            <v>36.700000000000003</v>
          </cell>
        </row>
        <row r="79">
          <cell r="A79">
            <v>408</v>
          </cell>
          <cell r="B79">
            <v>2</v>
          </cell>
          <cell r="C79">
            <v>13.375999999999999</v>
          </cell>
          <cell r="D79">
            <v>28.8</v>
          </cell>
          <cell r="E79">
            <v>30.3</v>
          </cell>
          <cell r="F79">
            <v>30</v>
          </cell>
          <cell r="G79">
            <v>29.5</v>
          </cell>
          <cell r="H79">
            <v>32.1</v>
          </cell>
          <cell r="I79">
            <v>29.5</v>
          </cell>
          <cell r="J79">
            <v>30.9</v>
          </cell>
          <cell r="K79">
            <v>30.8</v>
          </cell>
          <cell r="L79">
            <v>31.1</v>
          </cell>
          <cell r="M79">
            <v>30.2</v>
          </cell>
          <cell r="N79">
            <v>31.6</v>
          </cell>
          <cell r="O79">
            <v>31.6</v>
          </cell>
        </row>
        <row r="80">
          <cell r="A80">
            <v>407</v>
          </cell>
          <cell r="B80">
            <v>1</v>
          </cell>
          <cell r="C80">
            <v>13.385999999999999</v>
          </cell>
          <cell r="D80">
            <v>62.9</v>
          </cell>
          <cell r="E80">
            <v>40.299999999999997</v>
          </cell>
          <cell r="F80">
            <v>61.4</v>
          </cell>
          <cell r="G80">
            <v>39.799999999999997</v>
          </cell>
          <cell r="H80">
            <v>59</v>
          </cell>
          <cell r="I80">
            <v>42.9</v>
          </cell>
          <cell r="J80">
            <v>60.4</v>
          </cell>
          <cell r="K80">
            <v>41.7</v>
          </cell>
          <cell r="L80">
            <v>56.3</v>
          </cell>
          <cell r="M80">
            <v>42.9</v>
          </cell>
          <cell r="N80">
            <v>58.5</v>
          </cell>
          <cell r="O80">
            <v>39.5</v>
          </cell>
        </row>
        <row r="81">
          <cell r="A81">
            <v>407</v>
          </cell>
          <cell r="B81">
            <v>2</v>
          </cell>
          <cell r="C81">
            <v>13.391</v>
          </cell>
          <cell r="D81">
            <v>34</v>
          </cell>
          <cell r="E81">
            <v>34.200000000000003</v>
          </cell>
          <cell r="F81">
            <v>32.700000000000003</v>
          </cell>
          <cell r="G81">
            <v>32.700000000000003</v>
          </cell>
          <cell r="H81">
            <v>34.9</v>
          </cell>
          <cell r="I81">
            <v>34.200000000000003</v>
          </cell>
          <cell r="J81">
            <v>34.799999999999997</v>
          </cell>
          <cell r="K81">
            <v>33.799999999999997</v>
          </cell>
          <cell r="L81">
            <v>34.6</v>
          </cell>
          <cell r="M81">
            <v>32.9</v>
          </cell>
          <cell r="N81">
            <v>33.700000000000003</v>
          </cell>
          <cell r="O81">
            <v>34.1</v>
          </cell>
        </row>
        <row r="82">
          <cell r="A82">
            <v>406</v>
          </cell>
          <cell r="B82">
            <v>1</v>
          </cell>
          <cell r="C82">
            <v>13.401</v>
          </cell>
          <cell r="D82">
            <v>57.6</v>
          </cell>
          <cell r="E82">
            <v>39</v>
          </cell>
          <cell r="F82">
            <v>52.6</v>
          </cell>
          <cell r="G82">
            <v>34.9</v>
          </cell>
          <cell r="H82">
            <v>46.1</v>
          </cell>
          <cell r="I82">
            <v>33.799999999999997</v>
          </cell>
          <cell r="J82">
            <v>50.6</v>
          </cell>
          <cell r="K82">
            <v>33.6</v>
          </cell>
          <cell r="L82">
            <v>50.6</v>
          </cell>
          <cell r="M82">
            <v>34.5</v>
          </cell>
          <cell r="N82">
            <v>48.4</v>
          </cell>
          <cell r="O82">
            <v>35.700000000000003</v>
          </cell>
        </row>
        <row r="83">
          <cell r="A83">
            <v>406</v>
          </cell>
          <cell r="B83">
            <v>2</v>
          </cell>
          <cell r="C83">
            <v>13.406000000000001</v>
          </cell>
          <cell r="D83">
            <v>32.299999999999997</v>
          </cell>
          <cell r="E83">
            <v>30.5</v>
          </cell>
          <cell r="F83">
            <v>30.5</v>
          </cell>
          <cell r="G83">
            <v>30.3</v>
          </cell>
          <cell r="H83">
            <v>30.8</v>
          </cell>
          <cell r="I83">
            <v>30.2</v>
          </cell>
          <cell r="J83">
            <v>32.1</v>
          </cell>
          <cell r="K83">
            <v>31.6</v>
          </cell>
          <cell r="L83">
            <v>31</v>
          </cell>
          <cell r="M83">
            <v>32.200000000000003</v>
          </cell>
          <cell r="N83">
            <v>30.4</v>
          </cell>
          <cell r="O83">
            <v>31.9</v>
          </cell>
        </row>
        <row r="84">
          <cell r="A84">
            <v>405</v>
          </cell>
          <cell r="B84">
            <v>1</v>
          </cell>
          <cell r="C84">
            <v>13.414</v>
          </cell>
          <cell r="D84">
            <v>42.7</v>
          </cell>
          <cell r="E84">
            <v>34.5</v>
          </cell>
          <cell r="F84">
            <v>55.7</v>
          </cell>
          <cell r="G84">
            <v>36.5</v>
          </cell>
          <cell r="H84">
            <v>41.1</v>
          </cell>
          <cell r="I84">
            <v>35</v>
          </cell>
          <cell r="J84">
            <v>48.4</v>
          </cell>
          <cell r="K84">
            <v>35</v>
          </cell>
          <cell r="L84">
            <v>46.4</v>
          </cell>
          <cell r="M84">
            <v>45.7</v>
          </cell>
          <cell r="N84">
            <v>49.3</v>
          </cell>
          <cell r="O84">
            <v>34.799999999999997</v>
          </cell>
        </row>
        <row r="85">
          <cell r="A85">
            <v>405</v>
          </cell>
          <cell r="B85">
            <v>2</v>
          </cell>
          <cell r="C85">
            <v>13.419</v>
          </cell>
          <cell r="D85">
            <v>32.1</v>
          </cell>
          <cell r="E85">
            <v>31.9</v>
          </cell>
          <cell r="F85">
            <v>31.2</v>
          </cell>
          <cell r="G85">
            <v>31.2</v>
          </cell>
          <cell r="H85">
            <v>34.1</v>
          </cell>
          <cell r="I85">
            <v>31</v>
          </cell>
          <cell r="J85">
            <v>32.4</v>
          </cell>
          <cell r="K85">
            <v>31.9</v>
          </cell>
          <cell r="L85">
            <v>32.5</v>
          </cell>
          <cell r="M85">
            <v>33</v>
          </cell>
          <cell r="N85">
            <v>32</v>
          </cell>
          <cell r="O85">
            <v>31</v>
          </cell>
        </row>
        <row r="86">
          <cell r="A86">
            <v>404</v>
          </cell>
          <cell r="B86">
            <v>1</v>
          </cell>
          <cell r="C86">
            <v>13.428000000000001</v>
          </cell>
          <cell r="D86">
            <v>49.4</v>
          </cell>
          <cell r="E86">
            <v>34.5</v>
          </cell>
          <cell r="F86">
            <v>42.8</v>
          </cell>
          <cell r="G86">
            <v>38.1</v>
          </cell>
          <cell r="H86">
            <v>36.200000000000003</v>
          </cell>
          <cell r="I86">
            <v>39.799999999999997</v>
          </cell>
          <cell r="J86">
            <v>40.4</v>
          </cell>
          <cell r="K86">
            <v>36.1</v>
          </cell>
          <cell r="L86">
            <v>40.700000000000003</v>
          </cell>
          <cell r="M86">
            <v>36.700000000000003</v>
          </cell>
          <cell r="N86">
            <v>48.6</v>
          </cell>
          <cell r="O86">
            <v>34.9</v>
          </cell>
        </row>
        <row r="87">
          <cell r="A87">
            <v>404</v>
          </cell>
          <cell r="B87">
            <v>2</v>
          </cell>
          <cell r="C87">
            <v>13.433999999999999</v>
          </cell>
          <cell r="D87">
            <v>29.2</v>
          </cell>
          <cell r="E87">
            <v>28.4</v>
          </cell>
          <cell r="F87">
            <v>30.3</v>
          </cell>
          <cell r="G87">
            <v>29.1</v>
          </cell>
          <cell r="H87">
            <v>31</v>
          </cell>
          <cell r="I87">
            <v>30.4</v>
          </cell>
          <cell r="J87">
            <v>30.3</v>
          </cell>
          <cell r="K87">
            <v>29.6</v>
          </cell>
          <cell r="L87">
            <v>30.5</v>
          </cell>
          <cell r="M87">
            <v>29.8</v>
          </cell>
          <cell r="N87">
            <v>30.7</v>
          </cell>
          <cell r="O87">
            <v>29</v>
          </cell>
        </row>
        <row r="88">
          <cell r="A88">
            <v>403</v>
          </cell>
          <cell r="B88">
            <v>1</v>
          </cell>
          <cell r="C88">
            <v>13.443</v>
          </cell>
          <cell r="D88">
            <v>49</v>
          </cell>
          <cell r="E88">
            <v>33.6</v>
          </cell>
          <cell r="F88">
            <v>43</v>
          </cell>
          <cell r="G88">
            <v>31.2</v>
          </cell>
          <cell r="H88">
            <v>42</v>
          </cell>
          <cell r="I88">
            <v>31.2</v>
          </cell>
          <cell r="J88">
            <v>43.6</v>
          </cell>
          <cell r="K88">
            <v>32.6</v>
          </cell>
          <cell r="L88">
            <v>56</v>
          </cell>
          <cell r="M88">
            <v>33.9</v>
          </cell>
          <cell r="N88">
            <v>47.8</v>
          </cell>
          <cell r="O88">
            <v>33.200000000000003</v>
          </cell>
        </row>
        <row r="89">
          <cell r="A89">
            <v>403</v>
          </cell>
          <cell r="B89">
            <v>2</v>
          </cell>
          <cell r="C89">
            <v>13.448</v>
          </cell>
          <cell r="D89">
            <v>29.6</v>
          </cell>
          <cell r="E89">
            <v>29.6</v>
          </cell>
          <cell r="F89">
            <v>30.8</v>
          </cell>
          <cell r="G89">
            <v>29.6</v>
          </cell>
          <cell r="H89">
            <v>29.6</v>
          </cell>
          <cell r="I89">
            <v>30.2</v>
          </cell>
          <cell r="J89">
            <v>31</v>
          </cell>
          <cell r="K89">
            <v>28.9</v>
          </cell>
          <cell r="L89">
            <v>30.5</v>
          </cell>
          <cell r="M89">
            <v>28.7</v>
          </cell>
          <cell r="N89">
            <v>29.1</v>
          </cell>
          <cell r="O89">
            <v>30.3</v>
          </cell>
        </row>
        <row r="90">
          <cell r="A90">
            <v>402</v>
          </cell>
          <cell r="B90">
            <v>1</v>
          </cell>
          <cell r="C90">
            <v>13.457000000000001</v>
          </cell>
          <cell r="D90">
            <v>52.5</v>
          </cell>
          <cell r="E90">
            <v>35.6</v>
          </cell>
          <cell r="F90">
            <v>47</v>
          </cell>
          <cell r="G90">
            <v>35.4</v>
          </cell>
          <cell r="H90">
            <v>45.6</v>
          </cell>
          <cell r="I90">
            <v>36.200000000000003</v>
          </cell>
          <cell r="J90">
            <v>37.799999999999997</v>
          </cell>
          <cell r="K90">
            <v>33.700000000000003</v>
          </cell>
          <cell r="L90">
            <v>44.4</v>
          </cell>
          <cell r="M90">
            <v>43.1</v>
          </cell>
          <cell r="N90">
            <v>41.2</v>
          </cell>
          <cell r="O90">
            <v>32.6</v>
          </cell>
        </row>
        <row r="91">
          <cell r="A91">
            <v>402</v>
          </cell>
          <cell r="B91">
            <v>2</v>
          </cell>
          <cell r="C91">
            <v>13.462</v>
          </cell>
          <cell r="D91">
            <v>30</v>
          </cell>
          <cell r="E91">
            <v>29.4</v>
          </cell>
          <cell r="F91">
            <v>30.9</v>
          </cell>
          <cell r="G91">
            <v>29.4</v>
          </cell>
          <cell r="H91">
            <v>29.9</v>
          </cell>
          <cell r="I91">
            <v>30.6</v>
          </cell>
          <cell r="J91">
            <v>29.7</v>
          </cell>
          <cell r="K91">
            <v>28.9</v>
          </cell>
          <cell r="L91">
            <v>30.9</v>
          </cell>
          <cell r="M91">
            <v>28.7</v>
          </cell>
          <cell r="N91">
            <v>31.3</v>
          </cell>
          <cell r="O91">
            <v>30.3</v>
          </cell>
        </row>
        <row r="92">
          <cell r="A92">
            <v>401</v>
          </cell>
          <cell r="B92">
            <v>1</v>
          </cell>
          <cell r="C92">
            <v>13.472</v>
          </cell>
          <cell r="D92">
            <v>63.5</v>
          </cell>
          <cell r="E92">
            <v>47.7</v>
          </cell>
          <cell r="F92">
            <v>63</v>
          </cell>
          <cell r="G92">
            <v>45.7</v>
          </cell>
          <cell r="H92">
            <v>59.5</v>
          </cell>
          <cell r="I92">
            <v>42.5</v>
          </cell>
          <cell r="J92">
            <v>60.5</v>
          </cell>
          <cell r="K92">
            <v>52.3</v>
          </cell>
          <cell r="L92">
            <v>62.3</v>
          </cell>
          <cell r="M92">
            <v>40.6</v>
          </cell>
          <cell r="N92">
            <v>59.8</v>
          </cell>
          <cell r="O92">
            <v>38.5</v>
          </cell>
        </row>
        <row r="93">
          <cell r="A93">
            <v>401</v>
          </cell>
          <cell r="B93">
            <v>2</v>
          </cell>
          <cell r="C93">
            <v>13.477</v>
          </cell>
          <cell r="D93">
            <v>33</v>
          </cell>
          <cell r="E93">
            <v>33.299999999999997</v>
          </cell>
          <cell r="F93">
            <v>33.700000000000003</v>
          </cell>
          <cell r="G93">
            <v>34.299999999999997</v>
          </cell>
          <cell r="H93">
            <v>33</v>
          </cell>
          <cell r="I93">
            <v>34.5</v>
          </cell>
          <cell r="J93">
            <v>33.6</v>
          </cell>
          <cell r="K93">
            <v>32.6</v>
          </cell>
          <cell r="L93">
            <v>34.799999999999997</v>
          </cell>
          <cell r="M93">
            <v>33.700000000000003</v>
          </cell>
          <cell r="N93">
            <v>37.9</v>
          </cell>
          <cell r="O93">
            <v>33.1</v>
          </cell>
        </row>
      </sheetData>
      <sheetData sheetId="2">
        <row r="7">
          <cell r="C7">
            <v>183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39.5</v>
          </cell>
        </row>
        <row r="29">
          <cell r="E29">
            <v>5.9623669943613784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'IA184.03R'</v>
          </cell>
        </row>
        <row r="14">
          <cell r="A14">
            <v>108</v>
          </cell>
          <cell r="B14">
            <v>1</v>
          </cell>
          <cell r="C14">
            <v>13.067</v>
          </cell>
          <cell r="D14">
            <v>57.2</v>
          </cell>
          <cell r="E14">
            <v>44.4</v>
          </cell>
          <cell r="F14">
            <v>39.4</v>
          </cell>
          <cell r="G14">
            <v>45.9</v>
          </cell>
          <cell r="H14">
            <v>47.7</v>
          </cell>
          <cell r="I14">
            <v>49.8</v>
          </cell>
          <cell r="J14">
            <v>45.5</v>
          </cell>
          <cell r="K14">
            <v>44.9</v>
          </cell>
          <cell r="L14">
            <v>33.799999999999997</v>
          </cell>
          <cell r="M14">
            <v>40.1</v>
          </cell>
          <cell r="N14">
            <v>48.5</v>
          </cell>
          <cell r="O14">
            <v>38.700000000000003</v>
          </cell>
        </row>
        <row r="15">
          <cell r="A15">
            <v>108</v>
          </cell>
          <cell r="B15">
            <v>2</v>
          </cell>
          <cell r="C15">
            <v>13.071999999999999</v>
          </cell>
          <cell r="D15">
            <v>29.6</v>
          </cell>
          <cell r="E15">
            <v>30.7</v>
          </cell>
          <cell r="F15">
            <v>31.4</v>
          </cell>
          <cell r="G15">
            <v>32</v>
          </cell>
          <cell r="H15">
            <v>31.3</v>
          </cell>
          <cell r="I15">
            <v>30.4</v>
          </cell>
          <cell r="J15">
            <v>33.299999999999997</v>
          </cell>
          <cell r="K15">
            <v>32.6</v>
          </cell>
          <cell r="L15">
            <v>31.9</v>
          </cell>
          <cell r="M15">
            <v>30.9</v>
          </cell>
          <cell r="N15">
            <v>32.6</v>
          </cell>
          <cell r="O15">
            <v>30.8</v>
          </cell>
        </row>
        <row r="16">
          <cell r="A16">
            <v>107</v>
          </cell>
          <cell r="B16">
            <v>1</v>
          </cell>
          <cell r="C16">
            <v>13.084</v>
          </cell>
          <cell r="D16">
            <v>57.1</v>
          </cell>
          <cell r="E16">
            <v>49.2</v>
          </cell>
          <cell r="F16">
            <v>51.5</v>
          </cell>
          <cell r="G16">
            <v>43.1</v>
          </cell>
          <cell r="H16">
            <v>36.4</v>
          </cell>
          <cell r="I16">
            <v>47.4</v>
          </cell>
          <cell r="J16">
            <v>43.9</v>
          </cell>
          <cell r="K16">
            <v>43.6</v>
          </cell>
          <cell r="L16">
            <v>36.700000000000003</v>
          </cell>
          <cell r="M16">
            <v>49.7</v>
          </cell>
          <cell r="N16">
            <v>33.6</v>
          </cell>
          <cell r="O16">
            <v>47</v>
          </cell>
        </row>
        <row r="17">
          <cell r="A17">
            <v>107</v>
          </cell>
          <cell r="B17">
            <v>2</v>
          </cell>
          <cell r="C17">
            <v>13.089</v>
          </cell>
          <cell r="D17">
            <v>32.799999999999997</v>
          </cell>
          <cell r="E17">
            <v>33</v>
          </cell>
          <cell r="F17">
            <v>32.1</v>
          </cell>
          <cell r="G17">
            <v>33.200000000000003</v>
          </cell>
          <cell r="H17">
            <v>32.6</v>
          </cell>
          <cell r="I17">
            <v>31.8</v>
          </cell>
          <cell r="J17">
            <v>33.1</v>
          </cell>
          <cell r="K17">
            <v>31.7</v>
          </cell>
          <cell r="L17">
            <v>31.2</v>
          </cell>
          <cell r="M17">
            <v>30.9</v>
          </cell>
          <cell r="N17">
            <v>32.4</v>
          </cell>
          <cell r="O17">
            <v>31.1</v>
          </cell>
        </row>
        <row r="18">
          <cell r="A18">
            <v>106</v>
          </cell>
          <cell r="B18">
            <v>1</v>
          </cell>
          <cell r="C18">
            <v>13.102</v>
          </cell>
          <cell r="D18">
            <v>51.5</v>
          </cell>
          <cell r="E18">
            <v>45.9</v>
          </cell>
          <cell r="F18">
            <v>35.5</v>
          </cell>
          <cell r="G18">
            <v>40.200000000000003</v>
          </cell>
          <cell r="H18">
            <v>37.700000000000003</v>
          </cell>
          <cell r="I18">
            <v>44.5</v>
          </cell>
          <cell r="J18">
            <v>48.2</v>
          </cell>
          <cell r="K18">
            <v>35.799999999999997</v>
          </cell>
          <cell r="L18">
            <v>49.8</v>
          </cell>
          <cell r="M18">
            <v>33.9</v>
          </cell>
          <cell r="N18">
            <v>47.8</v>
          </cell>
          <cell r="O18">
            <v>40.700000000000003</v>
          </cell>
        </row>
        <row r="19">
          <cell r="A19">
            <v>106</v>
          </cell>
          <cell r="B19">
            <v>2</v>
          </cell>
          <cell r="C19">
            <v>13.106999999999999</v>
          </cell>
          <cell r="D19">
            <v>31.9</v>
          </cell>
          <cell r="E19">
            <v>31.8</v>
          </cell>
          <cell r="F19">
            <v>30.7</v>
          </cell>
          <cell r="G19">
            <v>31.5</v>
          </cell>
          <cell r="H19">
            <v>31.7</v>
          </cell>
          <cell r="I19">
            <v>31.7</v>
          </cell>
          <cell r="J19">
            <v>31.6</v>
          </cell>
          <cell r="K19">
            <v>31.9</v>
          </cell>
          <cell r="L19">
            <v>30.1</v>
          </cell>
          <cell r="M19">
            <v>30.7</v>
          </cell>
          <cell r="N19">
            <v>31.3</v>
          </cell>
          <cell r="O19">
            <v>32.5</v>
          </cell>
        </row>
        <row r="20">
          <cell r="A20">
            <v>105</v>
          </cell>
          <cell r="B20">
            <v>1</v>
          </cell>
          <cell r="C20">
            <v>13.12</v>
          </cell>
          <cell r="D20">
            <v>43.5</v>
          </cell>
          <cell r="E20">
            <v>35.6</v>
          </cell>
          <cell r="F20">
            <v>31.4</v>
          </cell>
          <cell r="G20">
            <v>39.700000000000003</v>
          </cell>
          <cell r="H20">
            <v>33.6</v>
          </cell>
          <cell r="I20">
            <v>48</v>
          </cell>
          <cell r="J20">
            <v>33.700000000000003</v>
          </cell>
          <cell r="K20">
            <v>44.3</v>
          </cell>
          <cell r="L20">
            <v>32.6</v>
          </cell>
          <cell r="M20">
            <v>48</v>
          </cell>
          <cell r="N20">
            <v>33.200000000000003</v>
          </cell>
          <cell r="O20">
            <v>43.3</v>
          </cell>
        </row>
        <row r="21">
          <cell r="A21">
            <v>105</v>
          </cell>
          <cell r="B21">
            <v>2</v>
          </cell>
          <cell r="C21">
            <v>13.125</v>
          </cell>
          <cell r="D21">
            <v>30</v>
          </cell>
          <cell r="E21">
            <v>31.6</v>
          </cell>
          <cell r="F21">
            <v>33.200000000000003</v>
          </cell>
          <cell r="G21">
            <v>29.7</v>
          </cell>
          <cell r="H21">
            <v>32.200000000000003</v>
          </cell>
          <cell r="I21">
            <v>30.3</v>
          </cell>
          <cell r="J21">
            <v>30.4</v>
          </cell>
          <cell r="K21">
            <v>30.1</v>
          </cell>
          <cell r="L21">
            <v>29.7</v>
          </cell>
          <cell r="M21">
            <v>32.9</v>
          </cell>
          <cell r="N21">
            <v>30.2</v>
          </cell>
          <cell r="O21">
            <v>31.3</v>
          </cell>
        </row>
        <row r="22">
          <cell r="A22">
            <v>104</v>
          </cell>
          <cell r="B22">
            <v>1</v>
          </cell>
          <cell r="C22">
            <v>13.138</v>
          </cell>
          <cell r="D22">
            <v>52.2</v>
          </cell>
          <cell r="E22">
            <v>50.9</v>
          </cell>
          <cell r="F22">
            <v>42.7</v>
          </cell>
          <cell r="G22">
            <v>37.6</v>
          </cell>
          <cell r="H22">
            <v>37.5</v>
          </cell>
          <cell r="I22">
            <v>43.6</v>
          </cell>
          <cell r="J22">
            <v>34.799999999999997</v>
          </cell>
          <cell r="K22">
            <v>53.5</v>
          </cell>
          <cell r="L22">
            <v>39.6</v>
          </cell>
          <cell r="M22">
            <v>40</v>
          </cell>
          <cell r="N22">
            <v>41.1</v>
          </cell>
          <cell r="O22">
            <v>42.2</v>
          </cell>
        </row>
        <row r="23">
          <cell r="A23">
            <v>104</v>
          </cell>
          <cell r="B23">
            <v>2</v>
          </cell>
          <cell r="C23">
            <v>13.143000000000001</v>
          </cell>
          <cell r="D23">
            <v>33.200000000000003</v>
          </cell>
          <cell r="E23">
            <v>32.299999999999997</v>
          </cell>
          <cell r="F23">
            <v>32.1</v>
          </cell>
          <cell r="G23">
            <v>28.8</v>
          </cell>
          <cell r="H23">
            <v>30.1</v>
          </cell>
          <cell r="I23">
            <v>32.1</v>
          </cell>
          <cell r="J23">
            <v>30.5</v>
          </cell>
          <cell r="K23">
            <v>30.9</v>
          </cell>
          <cell r="L23">
            <v>31.5</v>
          </cell>
          <cell r="M23">
            <v>31</v>
          </cell>
          <cell r="N23">
            <v>32</v>
          </cell>
          <cell r="O23">
            <v>31.4</v>
          </cell>
        </row>
        <row r="24">
          <cell r="A24">
            <v>103</v>
          </cell>
          <cell r="B24">
            <v>1</v>
          </cell>
          <cell r="C24">
            <v>13.157999999999999</v>
          </cell>
          <cell r="D24">
            <v>52</v>
          </cell>
          <cell r="E24">
            <v>36</v>
          </cell>
          <cell r="F24">
            <v>37.299999999999997</v>
          </cell>
          <cell r="G24">
            <v>51.4</v>
          </cell>
          <cell r="H24">
            <v>35.6</v>
          </cell>
          <cell r="I24">
            <v>45.3</v>
          </cell>
          <cell r="J24">
            <v>36.9</v>
          </cell>
          <cell r="K24">
            <v>46.5</v>
          </cell>
          <cell r="L24">
            <v>39.799999999999997</v>
          </cell>
          <cell r="M24">
            <v>45.5</v>
          </cell>
          <cell r="N24">
            <v>38</v>
          </cell>
          <cell r="O24">
            <v>38.799999999999997</v>
          </cell>
        </row>
        <row r="25">
          <cell r="A25">
            <v>103</v>
          </cell>
          <cell r="B25">
            <v>2</v>
          </cell>
          <cell r="C25">
            <v>13.163</v>
          </cell>
          <cell r="D25">
            <v>34</v>
          </cell>
          <cell r="E25">
            <v>32.4</v>
          </cell>
          <cell r="F25">
            <v>34.4</v>
          </cell>
          <cell r="G25">
            <v>32.5</v>
          </cell>
          <cell r="H25">
            <v>33.299999999999997</v>
          </cell>
          <cell r="I25">
            <v>32.700000000000003</v>
          </cell>
          <cell r="J25">
            <v>33.5</v>
          </cell>
          <cell r="K25">
            <v>34.200000000000003</v>
          </cell>
          <cell r="L25">
            <v>32.9</v>
          </cell>
          <cell r="M25">
            <v>33.6</v>
          </cell>
          <cell r="N25">
            <v>32</v>
          </cell>
          <cell r="O25">
            <v>31.9</v>
          </cell>
        </row>
        <row r="26">
          <cell r="A26">
            <v>102</v>
          </cell>
          <cell r="B26">
            <v>1</v>
          </cell>
          <cell r="C26">
            <v>13.176</v>
          </cell>
          <cell r="D26">
            <v>61.2</v>
          </cell>
          <cell r="E26">
            <v>43.3</v>
          </cell>
          <cell r="F26">
            <v>52.6</v>
          </cell>
          <cell r="G26">
            <v>39</v>
          </cell>
          <cell r="H26">
            <v>53.4</v>
          </cell>
          <cell r="I26">
            <v>52.4</v>
          </cell>
          <cell r="J26">
            <v>53.7</v>
          </cell>
          <cell r="K26">
            <v>49</v>
          </cell>
          <cell r="L26">
            <v>51.1</v>
          </cell>
          <cell r="M26">
            <v>54.2</v>
          </cell>
          <cell r="N26">
            <v>42</v>
          </cell>
          <cell r="O26">
            <v>36</v>
          </cell>
        </row>
        <row r="27">
          <cell r="A27">
            <v>102</v>
          </cell>
          <cell r="B27">
            <v>2</v>
          </cell>
          <cell r="C27">
            <v>13.18</v>
          </cell>
          <cell r="D27">
            <v>30.7</v>
          </cell>
          <cell r="E27">
            <v>31.1</v>
          </cell>
          <cell r="F27">
            <v>30</v>
          </cell>
          <cell r="G27">
            <v>31.6</v>
          </cell>
          <cell r="H27">
            <v>32.5</v>
          </cell>
          <cell r="I27">
            <v>31.5</v>
          </cell>
          <cell r="J27">
            <v>32.200000000000003</v>
          </cell>
          <cell r="K27">
            <v>32</v>
          </cell>
          <cell r="L27">
            <v>29.6</v>
          </cell>
          <cell r="M27">
            <v>30.6</v>
          </cell>
          <cell r="N27">
            <v>30.5</v>
          </cell>
          <cell r="O27">
            <v>29.8</v>
          </cell>
        </row>
        <row r="28">
          <cell r="A28">
            <v>101</v>
          </cell>
          <cell r="B28">
            <v>1</v>
          </cell>
          <cell r="C28">
            <v>13.194000000000001</v>
          </cell>
          <cell r="D28">
            <v>62.4</v>
          </cell>
          <cell r="E28">
            <v>41.7</v>
          </cell>
          <cell r="F28">
            <v>53.5</v>
          </cell>
          <cell r="G28">
            <v>41.5</v>
          </cell>
          <cell r="H28">
            <v>34.700000000000003</v>
          </cell>
          <cell r="I28">
            <v>42.3</v>
          </cell>
          <cell r="J28">
            <v>35.200000000000003</v>
          </cell>
          <cell r="K28">
            <v>51.8</v>
          </cell>
          <cell r="L28">
            <v>44.1</v>
          </cell>
          <cell r="M28">
            <v>56.5</v>
          </cell>
          <cell r="N28">
            <v>52.8</v>
          </cell>
          <cell r="O28">
            <v>39.200000000000003</v>
          </cell>
        </row>
        <row r="29">
          <cell r="A29">
            <v>101</v>
          </cell>
          <cell r="B29">
            <v>2</v>
          </cell>
          <cell r="C29">
            <v>13.198</v>
          </cell>
          <cell r="D29">
            <v>31.6</v>
          </cell>
          <cell r="E29">
            <v>30.4</v>
          </cell>
          <cell r="F29">
            <v>31.8</v>
          </cell>
          <cell r="G29">
            <v>30.4</v>
          </cell>
          <cell r="H29">
            <v>31.6</v>
          </cell>
          <cell r="I29">
            <v>30.1</v>
          </cell>
          <cell r="J29">
            <v>32</v>
          </cell>
          <cell r="K29">
            <v>30.6</v>
          </cell>
          <cell r="L29">
            <v>31.2</v>
          </cell>
          <cell r="M29">
            <v>29.6</v>
          </cell>
          <cell r="N29">
            <v>30.4</v>
          </cell>
          <cell r="O29">
            <v>31.2</v>
          </cell>
        </row>
        <row r="30">
          <cell r="A30">
            <v>201</v>
          </cell>
          <cell r="B30">
            <v>1</v>
          </cell>
          <cell r="C30">
            <v>13.217000000000001</v>
          </cell>
          <cell r="D30">
            <v>46</v>
          </cell>
          <cell r="E30">
            <v>35.700000000000003</v>
          </cell>
          <cell r="F30">
            <v>39.700000000000003</v>
          </cell>
          <cell r="G30">
            <v>34.9</v>
          </cell>
          <cell r="H30">
            <v>33.5</v>
          </cell>
          <cell r="I30">
            <v>34.700000000000003</v>
          </cell>
          <cell r="J30">
            <v>39.9</v>
          </cell>
          <cell r="K30">
            <v>35.5</v>
          </cell>
          <cell r="L30">
            <v>41.2</v>
          </cell>
          <cell r="M30">
            <v>34.200000000000003</v>
          </cell>
          <cell r="N30">
            <v>39.700000000000003</v>
          </cell>
          <cell r="O30">
            <v>34.299999999999997</v>
          </cell>
        </row>
        <row r="31">
          <cell r="A31">
            <v>201</v>
          </cell>
          <cell r="B31">
            <v>2</v>
          </cell>
          <cell r="C31">
            <v>13.222</v>
          </cell>
          <cell r="D31">
            <v>31.9</v>
          </cell>
          <cell r="E31">
            <v>33.700000000000003</v>
          </cell>
          <cell r="F31">
            <v>33.700000000000003</v>
          </cell>
          <cell r="G31">
            <v>32.700000000000003</v>
          </cell>
          <cell r="H31">
            <v>33.799999999999997</v>
          </cell>
          <cell r="I31">
            <v>33.4</v>
          </cell>
          <cell r="J31">
            <v>32</v>
          </cell>
          <cell r="K31">
            <v>31.6</v>
          </cell>
          <cell r="L31">
            <v>30.6</v>
          </cell>
          <cell r="M31">
            <v>30.7</v>
          </cell>
          <cell r="N31">
            <v>30.6</v>
          </cell>
          <cell r="O31">
            <v>32.299999999999997</v>
          </cell>
        </row>
        <row r="32">
          <cell r="A32">
            <v>202</v>
          </cell>
          <cell r="B32">
            <v>1</v>
          </cell>
          <cell r="C32">
            <v>13.234999999999999</v>
          </cell>
          <cell r="D32">
            <v>58.5</v>
          </cell>
          <cell r="E32">
            <v>38.700000000000003</v>
          </cell>
          <cell r="F32">
            <v>45.8</v>
          </cell>
          <cell r="G32">
            <v>44.5</v>
          </cell>
          <cell r="H32">
            <v>49.3</v>
          </cell>
          <cell r="I32">
            <v>41.7</v>
          </cell>
          <cell r="J32">
            <v>46</v>
          </cell>
          <cell r="K32">
            <v>51.9</v>
          </cell>
          <cell r="L32">
            <v>55</v>
          </cell>
          <cell r="M32">
            <v>57.3</v>
          </cell>
          <cell r="N32">
            <v>37</v>
          </cell>
          <cell r="O32">
            <v>46.3</v>
          </cell>
        </row>
        <row r="33">
          <cell r="A33">
            <v>202</v>
          </cell>
          <cell r="B33">
            <v>2</v>
          </cell>
          <cell r="C33">
            <v>13.24</v>
          </cell>
          <cell r="D33">
            <v>32.1</v>
          </cell>
          <cell r="E33">
            <v>32.6</v>
          </cell>
          <cell r="F33">
            <v>32.299999999999997</v>
          </cell>
          <cell r="G33">
            <v>32.4</v>
          </cell>
          <cell r="H33">
            <v>31.5</v>
          </cell>
          <cell r="I33">
            <v>30.9</v>
          </cell>
          <cell r="J33">
            <v>29.4</v>
          </cell>
          <cell r="K33">
            <v>31.5</v>
          </cell>
          <cell r="L33">
            <v>29.9</v>
          </cell>
          <cell r="M33">
            <v>29.5</v>
          </cell>
          <cell r="N33">
            <v>30.3</v>
          </cell>
          <cell r="O33">
            <v>29.5</v>
          </cell>
        </row>
        <row r="34">
          <cell r="A34">
            <v>203</v>
          </cell>
          <cell r="B34">
            <v>1</v>
          </cell>
          <cell r="C34">
            <v>13.253</v>
          </cell>
          <cell r="D34">
            <v>56.2</v>
          </cell>
          <cell r="E34">
            <v>37.700000000000003</v>
          </cell>
          <cell r="F34">
            <v>56.1</v>
          </cell>
          <cell r="G34">
            <v>35.200000000000003</v>
          </cell>
          <cell r="H34">
            <v>49.2</v>
          </cell>
          <cell r="I34">
            <v>44.2</v>
          </cell>
          <cell r="J34">
            <v>38.299999999999997</v>
          </cell>
          <cell r="K34">
            <v>56.1</v>
          </cell>
          <cell r="L34">
            <v>48.4</v>
          </cell>
          <cell r="M34">
            <v>43.1</v>
          </cell>
          <cell r="N34">
            <v>42</v>
          </cell>
          <cell r="O34">
            <v>38.4</v>
          </cell>
        </row>
        <row r="35">
          <cell r="A35">
            <v>203</v>
          </cell>
          <cell r="B35">
            <v>2</v>
          </cell>
          <cell r="C35">
            <v>13.257999999999999</v>
          </cell>
          <cell r="D35">
            <v>31.8</v>
          </cell>
          <cell r="E35">
            <v>30.5</v>
          </cell>
          <cell r="F35">
            <v>29.8</v>
          </cell>
          <cell r="G35">
            <v>29.1</v>
          </cell>
          <cell r="H35">
            <v>29.1</v>
          </cell>
          <cell r="I35">
            <v>32.1</v>
          </cell>
          <cell r="J35">
            <v>30</v>
          </cell>
          <cell r="K35">
            <v>30</v>
          </cell>
          <cell r="L35">
            <v>29.1</v>
          </cell>
          <cell r="M35">
            <v>28.9</v>
          </cell>
          <cell r="N35">
            <v>31.1</v>
          </cell>
          <cell r="O35">
            <v>30.7</v>
          </cell>
        </row>
        <row r="36">
          <cell r="A36">
            <v>204</v>
          </cell>
          <cell r="B36">
            <v>1</v>
          </cell>
          <cell r="C36">
            <v>13.273</v>
          </cell>
          <cell r="D36">
            <v>45</v>
          </cell>
          <cell r="E36">
            <v>31.3</v>
          </cell>
          <cell r="F36">
            <v>35.5</v>
          </cell>
          <cell r="G36">
            <v>32.5</v>
          </cell>
          <cell r="H36">
            <v>36.6</v>
          </cell>
          <cell r="I36">
            <v>30.5</v>
          </cell>
          <cell r="J36">
            <v>32.299999999999997</v>
          </cell>
          <cell r="K36">
            <v>34.299999999999997</v>
          </cell>
          <cell r="L36">
            <v>30.6</v>
          </cell>
          <cell r="M36">
            <v>35.700000000000003</v>
          </cell>
          <cell r="N36">
            <v>33.5</v>
          </cell>
          <cell r="O36">
            <v>33</v>
          </cell>
        </row>
        <row r="37">
          <cell r="A37">
            <v>204</v>
          </cell>
          <cell r="B37">
            <v>2</v>
          </cell>
          <cell r="C37">
            <v>13.278</v>
          </cell>
          <cell r="D37">
            <v>27.8</v>
          </cell>
          <cell r="E37">
            <v>28</v>
          </cell>
          <cell r="F37">
            <v>27.6</v>
          </cell>
          <cell r="G37">
            <v>27.8</v>
          </cell>
          <cell r="H37">
            <v>27.6</v>
          </cell>
          <cell r="I37">
            <v>27.7</v>
          </cell>
          <cell r="J37">
            <v>29.2</v>
          </cell>
          <cell r="K37">
            <v>27.6</v>
          </cell>
          <cell r="L37">
            <v>29.3</v>
          </cell>
          <cell r="M37">
            <v>28.1</v>
          </cell>
          <cell r="N37">
            <v>27.6</v>
          </cell>
          <cell r="O37">
            <v>28.3</v>
          </cell>
        </row>
        <row r="38">
          <cell r="A38">
            <v>205</v>
          </cell>
          <cell r="B38">
            <v>1</v>
          </cell>
          <cell r="C38">
            <v>13.29</v>
          </cell>
          <cell r="D38">
            <v>55.7</v>
          </cell>
          <cell r="E38">
            <v>44.8</v>
          </cell>
          <cell r="F38">
            <v>48</v>
          </cell>
          <cell r="G38">
            <v>33</v>
          </cell>
          <cell r="H38">
            <v>52</v>
          </cell>
          <cell r="I38">
            <v>35</v>
          </cell>
          <cell r="J38">
            <v>36.5</v>
          </cell>
          <cell r="K38">
            <v>59</v>
          </cell>
          <cell r="L38">
            <v>51.4</v>
          </cell>
          <cell r="M38">
            <v>39.700000000000003</v>
          </cell>
          <cell r="N38">
            <v>33.299999999999997</v>
          </cell>
          <cell r="O38">
            <v>34.700000000000003</v>
          </cell>
        </row>
        <row r="39">
          <cell r="A39">
            <v>205</v>
          </cell>
          <cell r="B39">
            <v>2</v>
          </cell>
          <cell r="C39">
            <v>13.295</v>
          </cell>
          <cell r="D39">
            <v>27.7</v>
          </cell>
          <cell r="E39">
            <v>28.2</v>
          </cell>
          <cell r="F39">
            <v>28.1</v>
          </cell>
          <cell r="G39">
            <v>28.2</v>
          </cell>
          <cell r="H39">
            <v>30</v>
          </cell>
          <cell r="I39">
            <v>29.7</v>
          </cell>
          <cell r="J39">
            <v>30.2</v>
          </cell>
          <cell r="K39">
            <v>30.5</v>
          </cell>
          <cell r="L39">
            <v>29.9</v>
          </cell>
          <cell r="M39">
            <v>30</v>
          </cell>
          <cell r="N39">
            <v>30.6</v>
          </cell>
          <cell r="O39">
            <v>30.6</v>
          </cell>
        </row>
        <row r="40">
          <cell r="A40">
            <v>206</v>
          </cell>
          <cell r="B40">
            <v>1</v>
          </cell>
          <cell r="C40">
            <v>13.308</v>
          </cell>
          <cell r="D40">
            <v>40</v>
          </cell>
          <cell r="E40">
            <v>36.4</v>
          </cell>
          <cell r="F40">
            <v>35.6</v>
          </cell>
          <cell r="G40">
            <v>37</v>
          </cell>
          <cell r="H40">
            <v>35.5</v>
          </cell>
          <cell r="I40">
            <v>40</v>
          </cell>
          <cell r="J40">
            <v>35.299999999999997</v>
          </cell>
          <cell r="K40">
            <v>34.799999999999997</v>
          </cell>
          <cell r="L40">
            <v>36.4</v>
          </cell>
          <cell r="M40">
            <v>33.5</v>
          </cell>
          <cell r="N40">
            <v>39.700000000000003</v>
          </cell>
          <cell r="O40">
            <v>34.200000000000003</v>
          </cell>
        </row>
        <row r="41">
          <cell r="A41">
            <v>206</v>
          </cell>
          <cell r="B41">
            <v>2</v>
          </cell>
          <cell r="C41">
            <v>13.313000000000001</v>
          </cell>
          <cell r="D41">
            <v>28.9</v>
          </cell>
          <cell r="E41">
            <v>29.1</v>
          </cell>
          <cell r="F41">
            <v>28.9</v>
          </cell>
          <cell r="G41">
            <v>27.9</v>
          </cell>
          <cell r="H41">
            <v>29</v>
          </cell>
          <cell r="I41">
            <v>29.5</v>
          </cell>
          <cell r="J41">
            <v>28.8</v>
          </cell>
          <cell r="K41">
            <v>28.8</v>
          </cell>
          <cell r="L41">
            <v>29</v>
          </cell>
          <cell r="M41">
            <v>30.4</v>
          </cell>
          <cell r="N41">
            <v>29.2</v>
          </cell>
          <cell r="O41">
            <v>28.7</v>
          </cell>
        </row>
        <row r="42">
          <cell r="A42">
            <v>207</v>
          </cell>
          <cell r="B42">
            <v>1</v>
          </cell>
          <cell r="C42">
            <v>13.326000000000001</v>
          </cell>
          <cell r="D42">
            <v>53.3</v>
          </cell>
          <cell r="E42">
            <v>40.9</v>
          </cell>
          <cell r="F42">
            <v>42.7</v>
          </cell>
          <cell r="G42">
            <v>44.6</v>
          </cell>
          <cell r="H42">
            <v>39.6</v>
          </cell>
          <cell r="I42">
            <v>44</v>
          </cell>
          <cell r="J42">
            <v>31.2</v>
          </cell>
          <cell r="K42">
            <v>41.9</v>
          </cell>
          <cell r="L42">
            <v>32.799999999999997</v>
          </cell>
          <cell r="M42">
            <v>49.4</v>
          </cell>
          <cell r="N42">
            <v>30.8</v>
          </cell>
          <cell r="O42">
            <v>44.3</v>
          </cell>
        </row>
        <row r="43">
          <cell r="A43">
            <v>207</v>
          </cell>
          <cell r="B43">
            <v>2</v>
          </cell>
          <cell r="C43">
            <v>13.33</v>
          </cell>
          <cell r="D43">
            <v>27.7</v>
          </cell>
          <cell r="E43">
            <v>28</v>
          </cell>
          <cell r="F43">
            <v>27.5</v>
          </cell>
          <cell r="G43">
            <v>27.6</v>
          </cell>
          <cell r="H43">
            <v>29</v>
          </cell>
          <cell r="I43">
            <v>29.4</v>
          </cell>
          <cell r="J43">
            <v>27.4</v>
          </cell>
          <cell r="K43">
            <v>28.5</v>
          </cell>
          <cell r="L43">
            <v>28.2</v>
          </cell>
          <cell r="M43">
            <v>27.2</v>
          </cell>
          <cell r="N43">
            <v>29</v>
          </cell>
          <cell r="O43">
            <v>28.2</v>
          </cell>
        </row>
        <row r="44">
          <cell r="A44">
            <v>208</v>
          </cell>
          <cell r="B44">
            <v>1</v>
          </cell>
          <cell r="C44">
            <v>13.343</v>
          </cell>
          <cell r="D44">
            <v>54.6</v>
          </cell>
          <cell r="E44">
            <v>52.3</v>
          </cell>
          <cell r="F44">
            <v>36.5</v>
          </cell>
          <cell r="G44">
            <v>46</v>
          </cell>
          <cell r="H44">
            <v>33.299999999999997</v>
          </cell>
          <cell r="I44">
            <v>59.1</v>
          </cell>
          <cell r="J44">
            <v>49.8</v>
          </cell>
          <cell r="K44">
            <v>48.9</v>
          </cell>
          <cell r="L44">
            <v>36.4</v>
          </cell>
          <cell r="M44">
            <v>52</v>
          </cell>
          <cell r="N44">
            <v>55.3</v>
          </cell>
          <cell r="O44">
            <v>39.4</v>
          </cell>
        </row>
        <row r="45">
          <cell r="A45">
            <v>208</v>
          </cell>
          <cell r="B45">
            <v>2</v>
          </cell>
          <cell r="C45">
            <v>13.348000000000001</v>
          </cell>
          <cell r="D45">
            <v>29.5</v>
          </cell>
          <cell r="E45">
            <v>28.7</v>
          </cell>
          <cell r="F45">
            <v>28.1</v>
          </cell>
          <cell r="G45">
            <v>28.5</v>
          </cell>
          <cell r="H45">
            <v>28.4</v>
          </cell>
          <cell r="I45">
            <v>28.5</v>
          </cell>
          <cell r="J45">
            <v>27.8</v>
          </cell>
          <cell r="K45">
            <v>32</v>
          </cell>
          <cell r="L45">
            <v>29.1</v>
          </cell>
          <cell r="M45">
            <v>26.8</v>
          </cell>
          <cell r="N45">
            <v>27.6</v>
          </cell>
          <cell r="O45">
            <v>29.3</v>
          </cell>
        </row>
        <row r="46">
          <cell r="A46">
            <v>908</v>
          </cell>
          <cell r="B46">
            <v>1</v>
          </cell>
          <cell r="C46">
            <v>13.364000000000001</v>
          </cell>
          <cell r="D46">
            <v>58.5</v>
          </cell>
          <cell r="E46">
            <v>53.8</v>
          </cell>
          <cell r="F46">
            <v>57.7</v>
          </cell>
          <cell r="G46">
            <v>50.9</v>
          </cell>
          <cell r="H46">
            <v>58.1</v>
          </cell>
          <cell r="I46">
            <v>48.3</v>
          </cell>
          <cell r="J46">
            <v>57.2</v>
          </cell>
          <cell r="K46">
            <v>54</v>
          </cell>
          <cell r="L46">
            <v>50.5</v>
          </cell>
          <cell r="M46">
            <v>57.4</v>
          </cell>
          <cell r="N46">
            <v>57.7</v>
          </cell>
          <cell r="O46">
            <v>46.4</v>
          </cell>
        </row>
        <row r="47">
          <cell r="A47">
            <v>908</v>
          </cell>
          <cell r="B47">
            <v>2</v>
          </cell>
          <cell r="C47">
            <v>13.368</v>
          </cell>
          <cell r="D47">
            <v>36.1</v>
          </cell>
          <cell r="E47">
            <v>38</v>
          </cell>
          <cell r="F47">
            <v>36</v>
          </cell>
          <cell r="G47">
            <v>38.700000000000003</v>
          </cell>
          <cell r="H47">
            <v>34.5</v>
          </cell>
          <cell r="I47">
            <v>36.700000000000003</v>
          </cell>
          <cell r="J47">
            <v>37.299999999999997</v>
          </cell>
          <cell r="K47">
            <v>38</v>
          </cell>
          <cell r="L47">
            <v>36.5</v>
          </cell>
          <cell r="M47">
            <v>40.5</v>
          </cell>
          <cell r="N47">
            <v>38.200000000000003</v>
          </cell>
          <cell r="O47">
            <v>36.799999999999997</v>
          </cell>
        </row>
        <row r="48">
          <cell r="A48">
            <v>907</v>
          </cell>
          <cell r="B48">
            <v>1</v>
          </cell>
          <cell r="C48">
            <v>13.388</v>
          </cell>
          <cell r="D48">
            <v>64.400000000000006</v>
          </cell>
          <cell r="E48">
            <v>64.400000000000006</v>
          </cell>
          <cell r="F48">
            <v>64.7</v>
          </cell>
          <cell r="G48">
            <v>64.400000000000006</v>
          </cell>
          <cell r="H48">
            <v>64.5</v>
          </cell>
          <cell r="I48">
            <v>65</v>
          </cell>
          <cell r="J48">
            <v>63.9</v>
          </cell>
          <cell r="K48">
            <v>64.2</v>
          </cell>
          <cell r="L48">
            <v>63.7</v>
          </cell>
          <cell r="M48">
            <v>64.400000000000006</v>
          </cell>
          <cell r="N48">
            <v>65</v>
          </cell>
          <cell r="O48">
            <v>64.5</v>
          </cell>
        </row>
        <row r="50">
          <cell r="A50">
            <v>906</v>
          </cell>
          <cell r="B50">
            <v>1</v>
          </cell>
          <cell r="C50">
            <v>13.398999999999999</v>
          </cell>
          <cell r="D50">
            <v>52.8</v>
          </cell>
          <cell r="E50">
            <v>45.2</v>
          </cell>
          <cell r="F50">
            <v>34.6</v>
          </cell>
          <cell r="G50">
            <v>47</v>
          </cell>
          <cell r="H50">
            <v>38.700000000000003</v>
          </cell>
          <cell r="I50">
            <v>55.7</v>
          </cell>
          <cell r="J50">
            <v>35.200000000000003</v>
          </cell>
          <cell r="K50">
            <v>58.2</v>
          </cell>
          <cell r="L50">
            <v>35.4</v>
          </cell>
          <cell r="M50">
            <v>56.8</v>
          </cell>
          <cell r="N50">
            <v>38.700000000000003</v>
          </cell>
          <cell r="O50">
            <v>38.200000000000003</v>
          </cell>
        </row>
        <row r="51">
          <cell r="A51">
            <v>906</v>
          </cell>
          <cell r="B51">
            <v>2</v>
          </cell>
          <cell r="C51">
            <v>13.403</v>
          </cell>
          <cell r="D51">
            <v>31.4</v>
          </cell>
          <cell r="E51">
            <v>30.3</v>
          </cell>
          <cell r="F51">
            <v>29.1</v>
          </cell>
          <cell r="G51">
            <v>31.9</v>
          </cell>
          <cell r="H51">
            <v>30.8</v>
          </cell>
          <cell r="I51">
            <v>32.5</v>
          </cell>
          <cell r="J51">
            <v>30.6</v>
          </cell>
          <cell r="K51">
            <v>30.2</v>
          </cell>
          <cell r="L51">
            <v>33.4</v>
          </cell>
          <cell r="M51">
            <v>32.700000000000003</v>
          </cell>
          <cell r="N51">
            <v>33.200000000000003</v>
          </cell>
          <cell r="O51">
            <v>33.6</v>
          </cell>
        </row>
        <row r="52">
          <cell r="A52">
            <v>905</v>
          </cell>
          <cell r="B52">
            <v>1</v>
          </cell>
          <cell r="C52">
            <v>13.417</v>
          </cell>
          <cell r="D52">
            <v>35.700000000000003</v>
          </cell>
          <cell r="E52">
            <v>35.6</v>
          </cell>
          <cell r="F52">
            <v>35.6</v>
          </cell>
          <cell r="G52">
            <v>35.299999999999997</v>
          </cell>
          <cell r="H52">
            <v>35.200000000000003</v>
          </cell>
          <cell r="I52">
            <v>35.700000000000003</v>
          </cell>
          <cell r="J52">
            <v>35</v>
          </cell>
          <cell r="K52">
            <v>34.700000000000003</v>
          </cell>
          <cell r="L52">
            <v>34.6</v>
          </cell>
          <cell r="M52">
            <v>35</v>
          </cell>
          <cell r="N52">
            <v>35</v>
          </cell>
          <cell r="O52">
            <v>35.5</v>
          </cell>
        </row>
        <row r="54">
          <cell r="A54">
            <v>904</v>
          </cell>
          <cell r="B54">
            <v>1</v>
          </cell>
          <cell r="C54">
            <v>13.426</v>
          </cell>
          <cell r="D54">
            <v>64.8</v>
          </cell>
          <cell r="E54">
            <v>54.8</v>
          </cell>
          <cell r="F54">
            <v>46.7</v>
          </cell>
          <cell r="G54">
            <v>59.7</v>
          </cell>
          <cell r="H54">
            <v>42.8</v>
          </cell>
          <cell r="I54">
            <v>55.8</v>
          </cell>
          <cell r="J54">
            <v>45.1</v>
          </cell>
          <cell r="K54">
            <v>64.400000000000006</v>
          </cell>
          <cell r="L54">
            <v>42.5</v>
          </cell>
          <cell r="M54">
            <v>59.2</v>
          </cell>
          <cell r="N54">
            <v>43.4</v>
          </cell>
          <cell r="O54">
            <v>63</v>
          </cell>
        </row>
        <row r="55">
          <cell r="A55">
            <v>904</v>
          </cell>
          <cell r="B55">
            <v>2</v>
          </cell>
          <cell r="C55">
            <v>13.43</v>
          </cell>
          <cell r="D55">
            <v>35.200000000000003</v>
          </cell>
          <cell r="E55">
            <v>37.9</v>
          </cell>
          <cell r="F55">
            <v>34.299999999999997</v>
          </cell>
          <cell r="G55">
            <v>40.299999999999997</v>
          </cell>
          <cell r="H55">
            <v>33.5</v>
          </cell>
          <cell r="I55">
            <v>38.700000000000003</v>
          </cell>
          <cell r="J55">
            <v>37.4</v>
          </cell>
          <cell r="K55">
            <v>40.4</v>
          </cell>
          <cell r="L55">
            <v>38.9</v>
          </cell>
          <cell r="M55">
            <v>41.2</v>
          </cell>
          <cell r="N55">
            <v>37.6</v>
          </cell>
          <cell r="O55">
            <v>40</v>
          </cell>
        </row>
        <row r="56">
          <cell r="A56">
            <v>903</v>
          </cell>
          <cell r="B56">
            <v>1</v>
          </cell>
          <cell r="C56">
            <v>13.444000000000001</v>
          </cell>
          <cell r="D56">
            <v>66.099999999999994</v>
          </cell>
          <cell r="E56">
            <v>66.2</v>
          </cell>
          <cell r="F56">
            <v>66.099999999999994</v>
          </cell>
          <cell r="G56">
            <v>65.8</v>
          </cell>
          <cell r="H56">
            <v>65.8</v>
          </cell>
          <cell r="I56">
            <v>65.7</v>
          </cell>
          <cell r="J56">
            <v>65.900000000000006</v>
          </cell>
          <cell r="K56">
            <v>66</v>
          </cell>
          <cell r="L56">
            <v>65.900000000000006</v>
          </cell>
          <cell r="M56">
            <v>66.400000000000006</v>
          </cell>
          <cell r="N56">
            <v>66.099999999999994</v>
          </cell>
          <cell r="O56">
            <v>65.900000000000006</v>
          </cell>
        </row>
        <row r="58">
          <cell r="A58">
            <v>902</v>
          </cell>
          <cell r="B58">
            <v>1</v>
          </cell>
          <cell r="C58">
            <v>13.452999999999999</v>
          </cell>
          <cell r="D58">
            <v>58.6</v>
          </cell>
          <cell r="E58">
            <v>54.2</v>
          </cell>
          <cell r="F58">
            <v>40.299999999999997</v>
          </cell>
          <cell r="G58">
            <v>55.4</v>
          </cell>
          <cell r="H58">
            <v>37.799999999999997</v>
          </cell>
          <cell r="I58">
            <v>58.2</v>
          </cell>
          <cell r="J58">
            <v>38.200000000000003</v>
          </cell>
          <cell r="K58">
            <v>53.8</v>
          </cell>
          <cell r="L58">
            <v>37.299999999999997</v>
          </cell>
          <cell r="M58">
            <v>56.9</v>
          </cell>
          <cell r="N58">
            <v>46.6</v>
          </cell>
          <cell r="O58">
            <v>40.200000000000003</v>
          </cell>
        </row>
        <row r="59">
          <cell r="A59">
            <v>902</v>
          </cell>
          <cell r="B59">
            <v>2</v>
          </cell>
          <cell r="C59">
            <v>13.457000000000001</v>
          </cell>
          <cell r="D59">
            <v>34.799999999999997</v>
          </cell>
          <cell r="E59">
            <v>34.9</v>
          </cell>
          <cell r="F59">
            <v>34.700000000000003</v>
          </cell>
          <cell r="G59">
            <v>35.5</v>
          </cell>
          <cell r="H59">
            <v>33.200000000000003</v>
          </cell>
          <cell r="I59">
            <v>34.200000000000003</v>
          </cell>
          <cell r="J59">
            <v>34.9</v>
          </cell>
          <cell r="K59">
            <v>35</v>
          </cell>
          <cell r="L59">
            <v>35.299999999999997</v>
          </cell>
          <cell r="M59">
            <v>34.6</v>
          </cell>
          <cell r="N59">
            <v>34</v>
          </cell>
          <cell r="O59">
            <v>35.5</v>
          </cell>
        </row>
        <row r="60">
          <cell r="A60">
            <v>901</v>
          </cell>
          <cell r="B60">
            <v>1</v>
          </cell>
          <cell r="C60">
            <v>13.471</v>
          </cell>
          <cell r="D60">
            <v>35.4</v>
          </cell>
          <cell r="E60">
            <v>35.200000000000003</v>
          </cell>
          <cell r="F60">
            <v>35</v>
          </cell>
          <cell r="G60">
            <v>34.799999999999997</v>
          </cell>
          <cell r="H60">
            <v>34.799999999999997</v>
          </cell>
          <cell r="I60">
            <v>34.9</v>
          </cell>
          <cell r="J60">
            <v>35.1</v>
          </cell>
          <cell r="K60">
            <v>35.4</v>
          </cell>
          <cell r="L60">
            <v>35.1</v>
          </cell>
          <cell r="M60">
            <v>34.799999999999997</v>
          </cell>
          <cell r="N60">
            <v>35.1</v>
          </cell>
          <cell r="O60">
            <v>35.200000000000003</v>
          </cell>
        </row>
        <row r="62">
          <cell r="A62">
            <v>301</v>
          </cell>
          <cell r="B62">
            <v>1</v>
          </cell>
          <cell r="C62">
            <v>13.484999999999999</v>
          </cell>
          <cell r="D62">
            <v>47</v>
          </cell>
          <cell r="E62">
            <v>38.799999999999997</v>
          </cell>
          <cell r="F62">
            <v>46.6</v>
          </cell>
          <cell r="G62">
            <v>37.299999999999997</v>
          </cell>
          <cell r="H62">
            <v>47.9</v>
          </cell>
          <cell r="I62">
            <v>38.299999999999997</v>
          </cell>
          <cell r="J62">
            <v>31.1</v>
          </cell>
          <cell r="K62">
            <v>38.700000000000003</v>
          </cell>
          <cell r="L62">
            <v>35.200000000000003</v>
          </cell>
          <cell r="M62">
            <v>46.3</v>
          </cell>
          <cell r="N62">
            <v>31.9</v>
          </cell>
          <cell r="O62">
            <v>38.1</v>
          </cell>
        </row>
        <row r="63">
          <cell r="A63">
            <v>301</v>
          </cell>
          <cell r="B63">
            <v>2</v>
          </cell>
          <cell r="C63">
            <v>13.489000000000001</v>
          </cell>
          <cell r="D63">
            <v>30.9</v>
          </cell>
          <cell r="E63">
            <v>31.4</v>
          </cell>
          <cell r="F63">
            <v>31.5</v>
          </cell>
          <cell r="G63">
            <v>28.6</v>
          </cell>
          <cell r="H63">
            <v>29.4</v>
          </cell>
          <cell r="I63">
            <v>29.9</v>
          </cell>
          <cell r="J63">
            <v>29</v>
          </cell>
          <cell r="K63">
            <v>32.1</v>
          </cell>
          <cell r="L63">
            <v>33.200000000000003</v>
          </cell>
          <cell r="M63">
            <v>32</v>
          </cell>
          <cell r="N63">
            <v>31.1</v>
          </cell>
          <cell r="O63">
            <v>32.5</v>
          </cell>
        </row>
        <row r="64">
          <cell r="A64">
            <v>302</v>
          </cell>
          <cell r="B64">
            <v>1</v>
          </cell>
          <cell r="C64">
            <v>13.502000000000001</v>
          </cell>
          <cell r="D64">
            <v>50.2</v>
          </cell>
          <cell r="E64">
            <v>39.700000000000003</v>
          </cell>
          <cell r="F64">
            <v>43.4</v>
          </cell>
          <cell r="G64">
            <v>46.5</v>
          </cell>
          <cell r="H64">
            <v>41.8</v>
          </cell>
          <cell r="I64">
            <v>45.5</v>
          </cell>
          <cell r="J64">
            <v>44.3</v>
          </cell>
          <cell r="K64">
            <v>40.4</v>
          </cell>
          <cell r="L64">
            <v>52.5</v>
          </cell>
          <cell r="M64">
            <v>38.799999999999997</v>
          </cell>
          <cell r="N64">
            <v>52.9</v>
          </cell>
          <cell r="O64">
            <v>35.799999999999997</v>
          </cell>
        </row>
        <row r="65">
          <cell r="A65">
            <v>302</v>
          </cell>
          <cell r="B65">
            <v>2</v>
          </cell>
          <cell r="C65">
            <v>13.507</v>
          </cell>
          <cell r="D65">
            <v>34.299999999999997</v>
          </cell>
          <cell r="E65">
            <v>31.5</v>
          </cell>
          <cell r="F65">
            <v>32.799999999999997</v>
          </cell>
          <cell r="G65">
            <v>31.3</v>
          </cell>
          <cell r="H65">
            <v>31.8</v>
          </cell>
          <cell r="I65">
            <v>31.7</v>
          </cell>
          <cell r="J65">
            <v>31.4</v>
          </cell>
          <cell r="K65">
            <v>34</v>
          </cell>
          <cell r="L65">
            <v>32.4</v>
          </cell>
          <cell r="M65">
            <v>30.3</v>
          </cell>
          <cell r="N65">
            <v>33.200000000000003</v>
          </cell>
          <cell r="O65">
            <v>30.4</v>
          </cell>
        </row>
        <row r="66">
          <cell r="A66">
            <v>303</v>
          </cell>
          <cell r="B66">
            <v>1</v>
          </cell>
          <cell r="C66">
            <v>13.519</v>
          </cell>
          <cell r="D66">
            <v>37.700000000000003</v>
          </cell>
          <cell r="E66">
            <v>37.4</v>
          </cell>
          <cell r="F66">
            <v>34.700000000000003</v>
          </cell>
          <cell r="G66">
            <v>35.700000000000003</v>
          </cell>
          <cell r="H66">
            <v>33.5</v>
          </cell>
          <cell r="I66">
            <v>38.299999999999997</v>
          </cell>
          <cell r="J66">
            <v>30.3</v>
          </cell>
          <cell r="K66">
            <v>35.4</v>
          </cell>
          <cell r="L66">
            <v>30.7</v>
          </cell>
          <cell r="M66">
            <v>37.4</v>
          </cell>
          <cell r="N66">
            <v>30.3</v>
          </cell>
          <cell r="O66">
            <v>35</v>
          </cell>
        </row>
        <row r="67">
          <cell r="A67">
            <v>303</v>
          </cell>
          <cell r="B67">
            <v>2</v>
          </cell>
          <cell r="C67">
            <v>13.523999999999999</v>
          </cell>
          <cell r="D67">
            <v>30.9</v>
          </cell>
          <cell r="E67">
            <v>32.6</v>
          </cell>
          <cell r="F67">
            <v>30.2</v>
          </cell>
          <cell r="G67">
            <v>30.1</v>
          </cell>
          <cell r="H67">
            <v>29.4</v>
          </cell>
          <cell r="I67">
            <v>29.7</v>
          </cell>
          <cell r="J67">
            <v>33</v>
          </cell>
          <cell r="K67">
            <v>29.6</v>
          </cell>
          <cell r="L67">
            <v>33</v>
          </cell>
          <cell r="M67">
            <v>29.2</v>
          </cell>
          <cell r="N67">
            <v>28.9</v>
          </cell>
          <cell r="O67">
            <v>32.5</v>
          </cell>
        </row>
        <row r="68">
          <cell r="A68">
            <v>304</v>
          </cell>
          <cell r="B68">
            <v>1</v>
          </cell>
          <cell r="C68">
            <v>13.537000000000001</v>
          </cell>
          <cell r="D68">
            <v>52.2</v>
          </cell>
          <cell r="E68">
            <v>41.4</v>
          </cell>
          <cell r="F68">
            <v>41.1</v>
          </cell>
          <cell r="G68">
            <v>47.2</v>
          </cell>
          <cell r="H68">
            <v>48.4</v>
          </cell>
          <cell r="I68">
            <v>48.3</v>
          </cell>
          <cell r="J68">
            <v>42.8</v>
          </cell>
          <cell r="K68">
            <v>47.7</v>
          </cell>
          <cell r="L68">
            <v>45.3</v>
          </cell>
          <cell r="M68">
            <v>44.3</v>
          </cell>
          <cell r="N68">
            <v>40.4</v>
          </cell>
          <cell r="O68">
            <v>47.5</v>
          </cell>
        </row>
        <row r="69">
          <cell r="A69">
            <v>304</v>
          </cell>
          <cell r="B69">
            <v>2</v>
          </cell>
          <cell r="C69">
            <v>13.542</v>
          </cell>
          <cell r="D69">
            <v>30</v>
          </cell>
          <cell r="E69">
            <v>31.3</v>
          </cell>
          <cell r="F69">
            <v>31.7</v>
          </cell>
          <cell r="G69">
            <v>30.4</v>
          </cell>
          <cell r="H69">
            <v>31.2</v>
          </cell>
          <cell r="I69">
            <v>30.7</v>
          </cell>
          <cell r="J69">
            <v>31.1</v>
          </cell>
          <cell r="K69">
            <v>30.4</v>
          </cell>
          <cell r="L69">
            <v>30.9</v>
          </cell>
          <cell r="M69">
            <v>30.7</v>
          </cell>
          <cell r="N69">
            <v>30.1</v>
          </cell>
          <cell r="O69">
            <v>29.4</v>
          </cell>
        </row>
        <row r="70">
          <cell r="A70">
            <v>305</v>
          </cell>
          <cell r="B70">
            <v>1</v>
          </cell>
          <cell r="C70">
            <v>13.554</v>
          </cell>
          <cell r="D70">
            <v>40</v>
          </cell>
          <cell r="E70">
            <v>32.9</v>
          </cell>
          <cell r="F70">
            <v>35</v>
          </cell>
          <cell r="G70">
            <v>36.700000000000003</v>
          </cell>
          <cell r="H70">
            <v>33.5</v>
          </cell>
          <cell r="I70">
            <v>36.799999999999997</v>
          </cell>
          <cell r="J70">
            <v>36.9</v>
          </cell>
          <cell r="K70">
            <v>34.1</v>
          </cell>
          <cell r="L70">
            <v>37.700000000000003</v>
          </cell>
          <cell r="M70">
            <v>31.3</v>
          </cell>
          <cell r="N70">
            <v>32.6</v>
          </cell>
          <cell r="O70">
            <v>31.5</v>
          </cell>
        </row>
        <row r="71">
          <cell r="A71">
            <v>305</v>
          </cell>
          <cell r="B71">
            <v>2</v>
          </cell>
          <cell r="C71">
            <v>13.558999999999999</v>
          </cell>
          <cell r="D71">
            <v>30.7</v>
          </cell>
          <cell r="E71">
            <v>31.9</v>
          </cell>
          <cell r="F71">
            <v>30.3</v>
          </cell>
          <cell r="G71">
            <v>31.6</v>
          </cell>
          <cell r="H71">
            <v>29.7</v>
          </cell>
          <cell r="I71">
            <v>30</v>
          </cell>
          <cell r="J71">
            <v>30</v>
          </cell>
          <cell r="K71">
            <v>32.299999999999997</v>
          </cell>
          <cell r="L71">
            <v>29.6</v>
          </cell>
          <cell r="M71">
            <v>30.1</v>
          </cell>
          <cell r="N71">
            <v>30.3</v>
          </cell>
          <cell r="O71">
            <v>31.8</v>
          </cell>
        </row>
        <row r="72">
          <cell r="A72">
            <v>306</v>
          </cell>
          <cell r="B72">
            <v>1</v>
          </cell>
          <cell r="C72">
            <v>13.573</v>
          </cell>
          <cell r="D72">
            <v>49.9</v>
          </cell>
          <cell r="E72">
            <v>40.5</v>
          </cell>
          <cell r="F72">
            <v>40.799999999999997</v>
          </cell>
          <cell r="G72">
            <v>50.3</v>
          </cell>
          <cell r="H72">
            <v>37.200000000000003</v>
          </cell>
          <cell r="I72">
            <v>44.2</v>
          </cell>
          <cell r="J72">
            <v>37.200000000000003</v>
          </cell>
          <cell r="K72">
            <v>52.8</v>
          </cell>
          <cell r="L72">
            <v>32.9</v>
          </cell>
          <cell r="M72">
            <v>51.3</v>
          </cell>
          <cell r="N72">
            <v>34.6</v>
          </cell>
          <cell r="O72">
            <v>51.3</v>
          </cell>
        </row>
        <row r="73">
          <cell r="A73">
            <v>306</v>
          </cell>
          <cell r="B73">
            <v>2</v>
          </cell>
          <cell r="C73">
            <v>13.577999999999999</v>
          </cell>
          <cell r="D73">
            <v>30.3</v>
          </cell>
          <cell r="E73">
            <v>30.3</v>
          </cell>
          <cell r="F73">
            <v>30.3</v>
          </cell>
          <cell r="G73">
            <v>29.9</v>
          </cell>
          <cell r="H73">
            <v>30.1</v>
          </cell>
          <cell r="I73">
            <v>30.8</v>
          </cell>
          <cell r="J73">
            <v>30.9</v>
          </cell>
          <cell r="K73">
            <v>29.7</v>
          </cell>
          <cell r="L73">
            <v>29.2</v>
          </cell>
          <cell r="M73">
            <v>31.4</v>
          </cell>
          <cell r="N73">
            <v>32</v>
          </cell>
          <cell r="O73">
            <v>31.2</v>
          </cell>
        </row>
        <row r="74">
          <cell r="A74">
            <v>307</v>
          </cell>
          <cell r="B74">
            <v>1</v>
          </cell>
          <cell r="C74">
            <v>13.59</v>
          </cell>
          <cell r="D74">
            <v>49.1</v>
          </cell>
          <cell r="E74">
            <v>36</v>
          </cell>
          <cell r="F74">
            <v>45.5</v>
          </cell>
          <cell r="G74">
            <v>41.6</v>
          </cell>
          <cell r="H74">
            <v>41.4</v>
          </cell>
          <cell r="I74">
            <v>40</v>
          </cell>
          <cell r="J74">
            <v>47.7</v>
          </cell>
          <cell r="K74">
            <v>39</v>
          </cell>
          <cell r="L74">
            <v>38.9</v>
          </cell>
          <cell r="M74">
            <v>36.9</v>
          </cell>
          <cell r="N74">
            <v>49.9</v>
          </cell>
          <cell r="O74">
            <v>34.700000000000003</v>
          </cell>
        </row>
        <row r="75">
          <cell r="A75">
            <v>307</v>
          </cell>
          <cell r="B75">
            <v>2</v>
          </cell>
          <cell r="C75">
            <v>13.596</v>
          </cell>
          <cell r="D75">
            <v>30.8</v>
          </cell>
          <cell r="E75">
            <v>31.3</v>
          </cell>
          <cell r="F75">
            <v>28.7</v>
          </cell>
          <cell r="G75">
            <v>28.7</v>
          </cell>
          <cell r="H75">
            <v>29</v>
          </cell>
          <cell r="I75">
            <v>29.8</v>
          </cell>
          <cell r="J75">
            <v>29.8</v>
          </cell>
          <cell r="K75">
            <v>32.1</v>
          </cell>
          <cell r="L75">
            <v>31.7</v>
          </cell>
          <cell r="M75">
            <v>28.5</v>
          </cell>
          <cell r="N75">
            <v>28</v>
          </cell>
          <cell r="O75">
            <v>29.7</v>
          </cell>
        </row>
        <row r="76">
          <cell r="A76">
            <v>308</v>
          </cell>
          <cell r="B76">
            <v>1</v>
          </cell>
          <cell r="C76">
            <v>13.609</v>
          </cell>
          <cell r="D76">
            <v>47.2</v>
          </cell>
          <cell r="E76">
            <v>35.4</v>
          </cell>
          <cell r="F76">
            <v>42.2</v>
          </cell>
          <cell r="G76">
            <v>38.299999999999997</v>
          </cell>
          <cell r="H76">
            <v>40</v>
          </cell>
          <cell r="I76">
            <v>42.8</v>
          </cell>
          <cell r="J76">
            <v>45.5</v>
          </cell>
          <cell r="K76">
            <v>37.4</v>
          </cell>
          <cell r="L76">
            <v>42.8</v>
          </cell>
          <cell r="M76">
            <v>36.1</v>
          </cell>
          <cell r="N76">
            <v>50.5</v>
          </cell>
          <cell r="O76">
            <v>34.5</v>
          </cell>
        </row>
        <row r="77">
          <cell r="A77">
            <v>308</v>
          </cell>
          <cell r="B77">
            <v>2</v>
          </cell>
          <cell r="C77">
            <v>13.614000000000001</v>
          </cell>
          <cell r="D77">
            <v>31.6</v>
          </cell>
          <cell r="E77">
            <v>31.4</v>
          </cell>
          <cell r="F77">
            <v>32.1</v>
          </cell>
          <cell r="G77">
            <v>31.8</v>
          </cell>
          <cell r="H77">
            <v>34</v>
          </cell>
          <cell r="I77">
            <v>34.4</v>
          </cell>
          <cell r="J77">
            <v>33.700000000000003</v>
          </cell>
          <cell r="K77">
            <v>32.4</v>
          </cell>
          <cell r="L77">
            <v>33.1</v>
          </cell>
          <cell r="M77">
            <v>32.1</v>
          </cell>
          <cell r="N77">
            <v>33.200000000000003</v>
          </cell>
          <cell r="O77">
            <v>31.8</v>
          </cell>
        </row>
        <row r="78">
          <cell r="A78">
            <v>408</v>
          </cell>
          <cell r="B78">
            <v>1</v>
          </cell>
          <cell r="C78">
            <v>13.632</v>
          </cell>
          <cell r="D78">
            <v>51.9</v>
          </cell>
          <cell r="E78">
            <v>40.700000000000003</v>
          </cell>
          <cell r="F78">
            <v>41.7</v>
          </cell>
          <cell r="G78">
            <v>42.5</v>
          </cell>
          <cell r="H78">
            <v>40.299999999999997</v>
          </cell>
          <cell r="I78">
            <v>50.1</v>
          </cell>
          <cell r="J78">
            <v>34.200000000000003</v>
          </cell>
          <cell r="K78">
            <v>50.2</v>
          </cell>
          <cell r="L78">
            <v>34</v>
          </cell>
          <cell r="M78">
            <v>49.9</v>
          </cell>
          <cell r="N78">
            <v>35.1</v>
          </cell>
          <cell r="O78">
            <v>32.200000000000003</v>
          </cell>
        </row>
        <row r="79">
          <cell r="A79">
            <v>408</v>
          </cell>
          <cell r="B79">
            <v>2</v>
          </cell>
          <cell r="C79">
            <v>13.637</v>
          </cell>
          <cell r="D79">
            <v>28.3</v>
          </cell>
          <cell r="E79">
            <v>28.7</v>
          </cell>
          <cell r="F79">
            <v>29.1</v>
          </cell>
          <cell r="G79">
            <v>28.6</v>
          </cell>
          <cell r="H79">
            <v>31.2</v>
          </cell>
          <cell r="I79">
            <v>31.7</v>
          </cell>
          <cell r="J79">
            <v>30.1</v>
          </cell>
          <cell r="K79">
            <v>29.5</v>
          </cell>
          <cell r="L79">
            <v>29.1</v>
          </cell>
          <cell r="M79">
            <v>28.6</v>
          </cell>
          <cell r="N79">
            <v>29.4</v>
          </cell>
          <cell r="O79">
            <v>29.2</v>
          </cell>
        </row>
        <row r="80">
          <cell r="A80">
            <v>407</v>
          </cell>
          <cell r="B80">
            <v>1</v>
          </cell>
          <cell r="C80">
            <v>13.65</v>
          </cell>
          <cell r="D80">
            <v>63.1</v>
          </cell>
          <cell r="E80">
            <v>48.5</v>
          </cell>
          <cell r="F80">
            <v>57.9</v>
          </cell>
          <cell r="G80">
            <v>52.9</v>
          </cell>
          <cell r="H80">
            <v>54.5</v>
          </cell>
          <cell r="I80">
            <v>56.3</v>
          </cell>
          <cell r="J80">
            <v>49</v>
          </cell>
          <cell r="K80">
            <v>60.8</v>
          </cell>
          <cell r="L80">
            <v>42.8</v>
          </cell>
          <cell r="M80">
            <v>60.8</v>
          </cell>
          <cell r="N80">
            <v>54.5</v>
          </cell>
          <cell r="O80">
            <v>47.2</v>
          </cell>
        </row>
        <row r="81">
          <cell r="A81">
            <v>407</v>
          </cell>
          <cell r="B81">
            <v>2</v>
          </cell>
          <cell r="C81">
            <v>13.654999999999999</v>
          </cell>
          <cell r="D81">
            <v>34.6</v>
          </cell>
          <cell r="E81">
            <v>36.6</v>
          </cell>
          <cell r="F81">
            <v>34.200000000000003</v>
          </cell>
          <cell r="G81">
            <v>34.6</v>
          </cell>
          <cell r="H81">
            <v>35.5</v>
          </cell>
          <cell r="I81">
            <v>36.6</v>
          </cell>
          <cell r="J81">
            <v>35.4</v>
          </cell>
          <cell r="K81">
            <v>36.4</v>
          </cell>
          <cell r="L81">
            <v>34.799999999999997</v>
          </cell>
          <cell r="M81">
            <v>33.200000000000003</v>
          </cell>
          <cell r="N81">
            <v>33.700000000000003</v>
          </cell>
          <cell r="O81">
            <v>34.4</v>
          </cell>
        </row>
        <row r="82">
          <cell r="A82">
            <v>406</v>
          </cell>
          <cell r="B82">
            <v>1</v>
          </cell>
          <cell r="C82">
            <v>13.667999999999999</v>
          </cell>
          <cell r="D82">
            <v>57.7</v>
          </cell>
          <cell r="E82">
            <v>56.9</v>
          </cell>
          <cell r="F82">
            <v>40.200000000000003</v>
          </cell>
          <cell r="G82">
            <v>44.8</v>
          </cell>
          <cell r="H82">
            <v>43.5</v>
          </cell>
          <cell r="I82">
            <v>38.799999999999997</v>
          </cell>
          <cell r="J82">
            <v>34.1</v>
          </cell>
          <cell r="K82">
            <v>46.5</v>
          </cell>
          <cell r="L82">
            <v>34.200000000000003</v>
          </cell>
          <cell r="M82">
            <v>41.8</v>
          </cell>
          <cell r="N82">
            <v>37</v>
          </cell>
          <cell r="O82">
            <v>40.1</v>
          </cell>
        </row>
        <row r="83">
          <cell r="A83">
            <v>406</v>
          </cell>
          <cell r="B83">
            <v>2</v>
          </cell>
          <cell r="C83">
            <v>13.673</v>
          </cell>
          <cell r="D83">
            <v>31.3</v>
          </cell>
          <cell r="E83">
            <v>31.7</v>
          </cell>
          <cell r="F83">
            <v>30.9</v>
          </cell>
          <cell r="G83">
            <v>31.1</v>
          </cell>
          <cell r="H83">
            <v>30.4</v>
          </cell>
          <cell r="I83">
            <v>30.6</v>
          </cell>
          <cell r="J83">
            <v>33.6</v>
          </cell>
          <cell r="K83">
            <v>30.1</v>
          </cell>
          <cell r="L83">
            <v>34.4</v>
          </cell>
          <cell r="M83">
            <v>29.8</v>
          </cell>
          <cell r="N83">
            <v>30.4</v>
          </cell>
          <cell r="O83">
            <v>30.7</v>
          </cell>
        </row>
        <row r="84">
          <cell r="A84">
            <v>405</v>
          </cell>
          <cell r="B84">
            <v>1</v>
          </cell>
          <cell r="C84">
            <v>13.686</v>
          </cell>
          <cell r="D84">
            <v>49.8</v>
          </cell>
          <cell r="E84">
            <v>36.9</v>
          </cell>
          <cell r="F84">
            <v>43.7</v>
          </cell>
          <cell r="G84">
            <v>46.7</v>
          </cell>
          <cell r="H84">
            <v>32.700000000000003</v>
          </cell>
          <cell r="I84">
            <v>46.1</v>
          </cell>
          <cell r="J84">
            <v>31.8</v>
          </cell>
          <cell r="K84">
            <v>45.1</v>
          </cell>
          <cell r="L84">
            <v>47.5</v>
          </cell>
          <cell r="M84">
            <v>34.1</v>
          </cell>
          <cell r="N84">
            <v>35.9</v>
          </cell>
          <cell r="O84">
            <v>41</v>
          </cell>
        </row>
        <row r="85">
          <cell r="A85">
            <v>405</v>
          </cell>
          <cell r="B85">
            <v>2</v>
          </cell>
          <cell r="C85">
            <v>13.692</v>
          </cell>
          <cell r="D85">
            <v>31.2</v>
          </cell>
          <cell r="E85">
            <v>29.4</v>
          </cell>
          <cell r="F85">
            <v>31.2</v>
          </cell>
          <cell r="G85">
            <v>31.2</v>
          </cell>
          <cell r="H85">
            <v>30.2</v>
          </cell>
          <cell r="I85">
            <v>28.8</v>
          </cell>
          <cell r="J85">
            <v>29.9</v>
          </cell>
          <cell r="K85">
            <v>30.4</v>
          </cell>
          <cell r="L85">
            <v>31.4</v>
          </cell>
          <cell r="M85">
            <v>30.8</v>
          </cell>
          <cell r="N85">
            <v>30.6</v>
          </cell>
          <cell r="O85">
            <v>31.7</v>
          </cell>
        </row>
        <row r="86">
          <cell r="A86">
            <v>404</v>
          </cell>
          <cell r="B86">
            <v>1</v>
          </cell>
          <cell r="C86">
            <v>13.705</v>
          </cell>
          <cell r="D86">
            <v>55.3</v>
          </cell>
          <cell r="E86">
            <v>36.4</v>
          </cell>
          <cell r="F86">
            <v>43.5</v>
          </cell>
          <cell r="G86">
            <v>38.9</v>
          </cell>
          <cell r="H86">
            <v>40</v>
          </cell>
          <cell r="I86">
            <v>50.2</v>
          </cell>
          <cell r="J86">
            <v>39.9</v>
          </cell>
          <cell r="K86">
            <v>55.4</v>
          </cell>
          <cell r="L86">
            <v>33.700000000000003</v>
          </cell>
          <cell r="M86">
            <v>53.1</v>
          </cell>
          <cell r="N86">
            <v>33.1</v>
          </cell>
          <cell r="O86">
            <v>56</v>
          </cell>
        </row>
        <row r="87">
          <cell r="A87">
            <v>404</v>
          </cell>
          <cell r="B87">
            <v>2</v>
          </cell>
          <cell r="C87">
            <v>13.709</v>
          </cell>
          <cell r="D87">
            <v>31.2</v>
          </cell>
          <cell r="E87">
            <v>31.2</v>
          </cell>
          <cell r="F87">
            <v>32</v>
          </cell>
          <cell r="G87">
            <v>31.1</v>
          </cell>
          <cell r="H87">
            <v>30.5</v>
          </cell>
          <cell r="I87">
            <v>29.9</v>
          </cell>
          <cell r="J87">
            <v>31.2</v>
          </cell>
          <cell r="K87">
            <v>32.1</v>
          </cell>
          <cell r="L87">
            <v>31.6</v>
          </cell>
          <cell r="M87">
            <v>32.299999999999997</v>
          </cell>
          <cell r="N87">
            <v>31.6</v>
          </cell>
          <cell r="O87">
            <v>32</v>
          </cell>
        </row>
        <row r="88">
          <cell r="A88">
            <v>403</v>
          </cell>
          <cell r="B88">
            <v>1</v>
          </cell>
          <cell r="C88">
            <v>13.722</v>
          </cell>
          <cell r="D88">
            <v>49.2</v>
          </cell>
          <cell r="E88">
            <v>33.299999999999997</v>
          </cell>
          <cell r="F88">
            <v>35</v>
          </cell>
          <cell r="G88">
            <v>41.4</v>
          </cell>
          <cell r="H88">
            <v>31.5</v>
          </cell>
          <cell r="I88">
            <v>45.2</v>
          </cell>
          <cell r="J88">
            <v>31.7</v>
          </cell>
          <cell r="K88">
            <v>48</v>
          </cell>
          <cell r="L88">
            <v>42.9</v>
          </cell>
          <cell r="M88">
            <v>52.3</v>
          </cell>
          <cell r="N88">
            <v>35.9</v>
          </cell>
          <cell r="O88">
            <v>37.700000000000003</v>
          </cell>
        </row>
        <row r="89">
          <cell r="A89">
            <v>403</v>
          </cell>
          <cell r="B89">
            <v>2</v>
          </cell>
          <cell r="C89">
            <v>13.727</v>
          </cell>
          <cell r="D89">
            <v>30.7</v>
          </cell>
          <cell r="E89">
            <v>31.2</v>
          </cell>
          <cell r="F89">
            <v>30.7</v>
          </cell>
          <cell r="G89">
            <v>31.4</v>
          </cell>
          <cell r="H89">
            <v>33.700000000000003</v>
          </cell>
          <cell r="I89">
            <v>31.7</v>
          </cell>
          <cell r="J89">
            <v>32.5</v>
          </cell>
          <cell r="K89">
            <v>31.1</v>
          </cell>
          <cell r="L89">
            <v>32.6</v>
          </cell>
          <cell r="M89">
            <v>30</v>
          </cell>
          <cell r="N89">
            <v>32</v>
          </cell>
          <cell r="O89">
            <v>32.4</v>
          </cell>
        </row>
        <row r="90">
          <cell r="A90">
            <v>402</v>
          </cell>
          <cell r="B90">
            <v>1</v>
          </cell>
          <cell r="C90">
            <v>13.74</v>
          </cell>
          <cell r="D90">
            <v>52.9</v>
          </cell>
          <cell r="E90">
            <v>48.9</v>
          </cell>
          <cell r="F90">
            <v>39.799999999999997</v>
          </cell>
          <cell r="G90">
            <v>47.9</v>
          </cell>
          <cell r="H90">
            <v>36.799999999999997</v>
          </cell>
          <cell r="I90">
            <v>50.6</v>
          </cell>
          <cell r="J90">
            <v>40.799999999999997</v>
          </cell>
          <cell r="K90">
            <v>39.6</v>
          </cell>
          <cell r="L90">
            <v>45.2</v>
          </cell>
          <cell r="M90">
            <v>40.700000000000003</v>
          </cell>
          <cell r="N90">
            <v>49.6</v>
          </cell>
          <cell r="O90">
            <v>32.5</v>
          </cell>
        </row>
        <row r="91">
          <cell r="A91">
            <v>402</v>
          </cell>
          <cell r="B91">
            <v>2</v>
          </cell>
          <cell r="C91">
            <v>13.744</v>
          </cell>
          <cell r="D91">
            <v>31.6</v>
          </cell>
          <cell r="E91">
            <v>32.4</v>
          </cell>
          <cell r="F91">
            <v>33.700000000000003</v>
          </cell>
          <cell r="G91">
            <v>29.6</v>
          </cell>
          <cell r="H91">
            <v>31.2</v>
          </cell>
          <cell r="I91">
            <v>31.5</v>
          </cell>
          <cell r="J91">
            <v>31</v>
          </cell>
          <cell r="K91">
            <v>31.2</v>
          </cell>
          <cell r="L91">
            <v>29.6</v>
          </cell>
          <cell r="M91">
            <v>31.5</v>
          </cell>
          <cell r="N91">
            <v>31.2</v>
          </cell>
          <cell r="O91">
            <v>30</v>
          </cell>
        </row>
        <row r="92">
          <cell r="A92">
            <v>401</v>
          </cell>
          <cell r="B92">
            <v>1</v>
          </cell>
          <cell r="C92">
            <v>13.757999999999999</v>
          </cell>
          <cell r="D92">
            <v>63.6</v>
          </cell>
          <cell r="E92">
            <v>60.3</v>
          </cell>
          <cell r="F92">
            <v>61.2</v>
          </cell>
          <cell r="G92">
            <v>62.2</v>
          </cell>
          <cell r="H92">
            <v>55.2</v>
          </cell>
          <cell r="I92">
            <v>61.9</v>
          </cell>
          <cell r="J92">
            <v>55.7</v>
          </cell>
          <cell r="K92">
            <v>65</v>
          </cell>
          <cell r="L92">
            <v>58.7</v>
          </cell>
          <cell r="M92">
            <v>61.1</v>
          </cell>
          <cell r="N92">
            <v>45.8</v>
          </cell>
          <cell r="O92">
            <v>53</v>
          </cell>
        </row>
        <row r="93">
          <cell r="A93">
            <v>401</v>
          </cell>
          <cell r="B93">
            <v>2</v>
          </cell>
          <cell r="C93">
            <v>13.762</v>
          </cell>
          <cell r="D93">
            <v>33.5</v>
          </cell>
          <cell r="E93">
            <v>35.1</v>
          </cell>
          <cell r="F93">
            <v>35.799999999999997</v>
          </cell>
          <cell r="G93">
            <v>34.6</v>
          </cell>
          <cell r="H93">
            <v>37</v>
          </cell>
          <cell r="I93">
            <v>34</v>
          </cell>
          <cell r="J93">
            <v>34.700000000000003</v>
          </cell>
          <cell r="K93">
            <v>35.4</v>
          </cell>
          <cell r="L93">
            <v>34.1</v>
          </cell>
          <cell r="M93">
            <v>36.799999999999997</v>
          </cell>
          <cell r="N93">
            <v>35.1</v>
          </cell>
          <cell r="O93">
            <v>39.1</v>
          </cell>
        </row>
      </sheetData>
      <sheetData sheetId="2">
        <row r="7">
          <cell r="C7">
            <v>184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40.85</v>
          </cell>
        </row>
        <row r="29">
          <cell r="E29">
            <v>6.6429470271812772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'IA185.03R'</v>
          </cell>
        </row>
        <row r="14">
          <cell r="A14">
            <v>108</v>
          </cell>
          <cell r="B14">
            <v>1</v>
          </cell>
          <cell r="C14">
            <v>13.061999999999999</v>
          </cell>
          <cell r="D14">
            <v>40</v>
          </cell>
          <cell r="E14">
            <v>34.5</v>
          </cell>
          <cell r="F14">
            <v>33.4</v>
          </cell>
          <cell r="G14">
            <v>39.4</v>
          </cell>
          <cell r="H14">
            <v>31.1</v>
          </cell>
          <cell r="I14">
            <v>39</v>
          </cell>
          <cell r="J14">
            <v>33.4</v>
          </cell>
          <cell r="K14">
            <v>34.200000000000003</v>
          </cell>
          <cell r="L14">
            <v>38.4</v>
          </cell>
          <cell r="M14">
            <v>30.7</v>
          </cell>
          <cell r="N14">
            <v>37.700000000000003</v>
          </cell>
          <cell r="O14">
            <v>30.6</v>
          </cell>
        </row>
        <row r="15">
          <cell r="A15">
            <v>108</v>
          </cell>
          <cell r="B15">
            <v>2</v>
          </cell>
          <cell r="C15">
            <v>13.068</v>
          </cell>
          <cell r="D15">
            <v>28.3</v>
          </cell>
          <cell r="E15">
            <v>29.5</v>
          </cell>
          <cell r="F15">
            <v>28.4</v>
          </cell>
          <cell r="G15">
            <v>28.7</v>
          </cell>
          <cell r="H15">
            <v>28.6</v>
          </cell>
          <cell r="I15">
            <v>29.2</v>
          </cell>
          <cell r="J15">
            <v>28.9</v>
          </cell>
          <cell r="K15">
            <v>31.2</v>
          </cell>
          <cell r="L15">
            <v>28.7</v>
          </cell>
          <cell r="M15">
            <v>28.2</v>
          </cell>
          <cell r="N15">
            <v>30.1</v>
          </cell>
          <cell r="O15">
            <v>28.8</v>
          </cell>
        </row>
        <row r="16">
          <cell r="A16">
            <v>107</v>
          </cell>
          <cell r="B16">
            <v>1</v>
          </cell>
          <cell r="C16">
            <v>13.083</v>
          </cell>
          <cell r="D16">
            <v>39.6</v>
          </cell>
          <cell r="E16">
            <v>34.299999999999997</v>
          </cell>
          <cell r="F16">
            <v>37</v>
          </cell>
          <cell r="G16">
            <v>30.5</v>
          </cell>
          <cell r="H16">
            <v>37.9</v>
          </cell>
          <cell r="I16">
            <v>32.799999999999997</v>
          </cell>
          <cell r="J16">
            <v>34.799999999999997</v>
          </cell>
          <cell r="K16">
            <v>31.8</v>
          </cell>
          <cell r="L16">
            <v>36.5</v>
          </cell>
          <cell r="M16">
            <v>34.1</v>
          </cell>
          <cell r="N16">
            <v>32.1</v>
          </cell>
          <cell r="O16">
            <v>29.3</v>
          </cell>
        </row>
        <row r="17">
          <cell r="A17">
            <v>107</v>
          </cell>
          <cell r="B17">
            <v>2</v>
          </cell>
          <cell r="C17">
            <v>13.087999999999999</v>
          </cell>
          <cell r="D17">
            <v>28.1</v>
          </cell>
          <cell r="E17">
            <v>28.6</v>
          </cell>
          <cell r="F17">
            <v>29.9</v>
          </cell>
          <cell r="G17">
            <v>28.8</v>
          </cell>
          <cell r="H17">
            <v>28.1</v>
          </cell>
          <cell r="I17">
            <v>29.2</v>
          </cell>
          <cell r="J17">
            <v>30.2</v>
          </cell>
          <cell r="K17">
            <v>29.8</v>
          </cell>
          <cell r="L17">
            <v>28.7</v>
          </cell>
          <cell r="M17">
            <v>29.1</v>
          </cell>
          <cell r="N17">
            <v>30.7</v>
          </cell>
          <cell r="O17">
            <v>28.8</v>
          </cell>
        </row>
        <row r="18">
          <cell r="A18">
            <v>106</v>
          </cell>
          <cell r="B18">
            <v>1</v>
          </cell>
          <cell r="C18">
            <v>13.102</v>
          </cell>
          <cell r="D18">
            <v>37.1</v>
          </cell>
          <cell r="E18">
            <v>29.7</v>
          </cell>
          <cell r="F18">
            <v>39</v>
          </cell>
          <cell r="G18">
            <v>32.1</v>
          </cell>
          <cell r="H18">
            <v>38.200000000000003</v>
          </cell>
          <cell r="I18">
            <v>30.9</v>
          </cell>
          <cell r="J18">
            <v>35.700000000000003</v>
          </cell>
          <cell r="K18">
            <v>34.700000000000003</v>
          </cell>
          <cell r="L18">
            <v>33.799999999999997</v>
          </cell>
          <cell r="M18">
            <v>35.200000000000003</v>
          </cell>
          <cell r="N18">
            <v>35.700000000000003</v>
          </cell>
          <cell r="O18">
            <v>33.700000000000003</v>
          </cell>
        </row>
        <row r="19">
          <cell r="A19">
            <v>106</v>
          </cell>
          <cell r="B19">
            <v>2</v>
          </cell>
          <cell r="C19">
            <v>13.106999999999999</v>
          </cell>
          <cell r="D19">
            <v>28.8</v>
          </cell>
          <cell r="E19">
            <v>28.9</v>
          </cell>
          <cell r="F19">
            <v>27.9</v>
          </cell>
          <cell r="G19">
            <v>29.2</v>
          </cell>
          <cell r="H19">
            <v>28.5</v>
          </cell>
          <cell r="I19">
            <v>29.9</v>
          </cell>
          <cell r="J19">
            <v>28.8</v>
          </cell>
          <cell r="K19">
            <v>29.8</v>
          </cell>
          <cell r="L19">
            <v>29.1</v>
          </cell>
          <cell r="M19">
            <v>29.2</v>
          </cell>
          <cell r="N19">
            <v>30.8</v>
          </cell>
          <cell r="O19">
            <v>29.4</v>
          </cell>
        </row>
        <row r="20">
          <cell r="A20">
            <v>105</v>
          </cell>
          <cell r="B20">
            <v>1</v>
          </cell>
          <cell r="C20">
            <v>13.121</v>
          </cell>
          <cell r="D20">
            <v>31.5</v>
          </cell>
          <cell r="E20">
            <v>30.1</v>
          </cell>
          <cell r="F20">
            <v>35.1</v>
          </cell>
          <cell r="G20">
            <v>32.200000000000003</v>
          </cell>
          <cell r="H20">
            <v>33.799999999999997</v>
          </cell>
          <cell r="I20">
            <v>31.4</v>
          </cell>
          <cell r="J20">
            <v>32</v>
          </cell>
          <cell r="K20">
            <v>33.6</v>
          </cell>
          <cell r="L20">
            <v>31.8</v>
          </cell>
          <cell r="M20">
            <v>38.200000000000003</v>
          </cell>
          <cell r="N20">
            <v>32.4</v>
          </cell>
          <cell r="O20">
            <v>35</v>
          </cell>
        </row>
        <row r="21">
          <cell r="A21">
            <v>105</v>
          </cell>
          <cell r="B21">
            <v>2</v>
          </cell>
          <cell r="C21">
            <v>13.125999999999999</v>
          </cell>
          <cell r="D21">
            <v>27.8</v>
          </cell>
          <cell r="E21">
            <v>28.3</v>
          </cell>
          <cell r="F21">
            <v>28.9</v>
          </cell>
          <cell r="G21">
            <v>29.7</v>
          </cell>
          <cell r="H21">
            <v>30.4</v>
          </cell>
          <cell r="I21">
            <v>27.8</v>
          </cell>
          <cell r="J21">
            <v>28.9</v>
          </cell>
          <cell r="K21">
            <v>29.2</v>
          </cell>
          <cell r="L21">
            <v>29.3</v>
          </cell>
          <cell r="M21">
            <v>28.9</v>
          </cell>
          <cell r="N21">
            <v>30.2</v>
          </cell>
          <cell r="O21">
            <v>28.2</v>
          </cell>
        </row>
        <row r="22">
          <cell r="A22">
            <v>104</v>
          </cell>
          <cell r="B22">
            <v>1</v>
          </cell>
          <cell r="C22">
            <v>13.141</v>
          </cell>
          <cell r="D22">
            <v>42</v>
          </cell>
          <cell r="E22">
            <v>35.5</v>
          </cell>
          <cell r="F22">
            <v>35.799999999999997</v>
          </cell>
          <cell r="G22">
            <v>34.700000000000003</v>
          </cell>
          <cell r="H22">
            <v>32.9</v>
          </cell>
          <cell r="I22">
            <v>36.9</v>
          </cell>
          <cell r="J22">
            <v>33.200000000000003</v>
          </cell>
          <cell r="K22">
            <v>36.4</v>
          </cell>
          <cell r="L22">
            <v>32.799999999999997</v>
          </cell>
          <cell r="M22">
            <v>38.299999999999997</v>
          </cell>
          <cell r="N22">
            <v>34.4</v>
          </cell>
          <cell r="O22">
            <v>36.299999999999997</v>
          </cell>
        </row>
        <row r="23">
          <cell r="A23">
            <v>104</v>
          </cell>
          <cell r="B23">
            <v>2</v>
          </cell>
          <cell r="C23">
            <v>13.146000000000001</v>
          </cell>
          <cell r="D23">
            <v>28.6</v>
          </cell>
          <cell r="E23">
            <v>28.2</v>
          </cell>
          <cell r="F23">
            <v>29</v>
          </cell>
          <cell r="G23">
            <v>28.1</v>
          </cell>
          <cell r="H23">
            <v>30</v>
          </cell>
          <cell r="I23">
            <v>28.7</v>
          </cell>
          <cell r="J23">
            <v>29.1</v>
          </cell>
          <cell r="K23">
            <v>28.5</v>
          </cell>
          <cell r="L23">
            <v>29.7</v>
          </cell>
          <cell r="M23">
            <v>28.9</v>
          </cell>
          <cell r="N23">
            <v>30</v>
          </cell>
          <cell r="O23">
            <v>28.7</v>
          </cell>
        </row>
        <row r="24">
          <cell r="A24">
            <v>103</v>
          </cell>
          <cell r="B24">
            <v>1</v>
          </cell>
          <cell r="C24">
            <v>13.161</v>
          </cell>
          <cell r="D24">
            <v>33.6</v>
          </cell>
          <cell r="E24">
            <v>30.7</v>
          </cell>
          <cell r="F24">
            <v>33.200000000000003</v>
          </cell>
          <cell r="G24">
            <v>31.5</v>
          </cell>
          <cell r="H24">
            <v>32.6</v>
          </cell>
          <cell r="I24">
            <v>32.9</v>
          </cell>
          <cell r="J24">
            <v>32.200000000000003</v>
          </cell>
          <cell r="K24">
            <v>35.1</v>
          </cell>
          <cell r="L24">
            <v>32.700000000000003</v>
          </cell>
          <cell r="M24">
            <v>34.5</v>
          </cell>
          <cell r="N24">
            <v>32.299999999999997</v>
          </cell>
          <cell r="O24">
            <v>32.299999999999997</v>
          </cell>
        </row>
        <row r="25">
          <cell r="A25">
            <v>103</v>
          </cell>
          <cell r="B25">
            <v>2</v>
          </cell>
          <cell r="C25">
            <v>13.167</v>
          </cell>
          <cell r="D25">
            <v>31.1</v>
          </cell>
          <cell r="E25">
            <v>31.7</v>
          </cell>
          <cell r="F25">
            <v>31.9</v>
          </cell>
          <cell r="G25">
            <v>31.2</v>
          </cell>
          <cell r="H25">
            <v>33.200000000000003</v>
          </cell>
          <cell r="I25">
            <v>33</v>
          </cell>
          <cell r="J25">
            <v>32.6</v>
          </cell>
          <cell r="K25">
            <v>31.1</v>
          </cell>
          <cell r="L25">
            <v>31.5</v>
          </cell>
          <cell r="M25">
            <v>31.5</v>
          </cell>
          <cell r="N25">
            <v>31</v>
          </cell>
          <cell r="O25">
            <v>30.6</v>
          </cell>
        </row>
        <row r="26">
          <cell r="A26">
            <v>102</v>
          </cell>
          <cell r="B26">
            <v>1</v>
          </cell>
          <cell r="C26">
            <v>13.183999999999999</v>
          </cell>
          <cell r="D26">
            <v>39.4</v>
          </cell>
          <cell r="E26">
            <v>31.6</v>
          </cell>
          <cell r="F26">
            <v>37.6</v>
          </cell>
          <cell r="G26">
            <v>32.5</v>
          </cell>
          <cell r="H26">
            <v>40.799999999999997</v>
          </cell>
          <cell r="I26">
            <v>37</v>
          </cell>
          <cell r="J26">
            <v>36.6</v>
          </cell>
          <cell r="K26">
            <v>38.5</v>
          </cell>
          <cell r="L26">
            <v>36.299999999999997</v>
          </cell>
          <cell r="M26">
            <v>41</v>
          </cell>
          <cell r="N26">
            <v>32.799999999999997</v>
          </cell>
          <cell r="O26">
            <v>31</v>
          </cell>
        </row>
        <row r="27">
          <cell r="A27">
            <v>102</v>
          </cell>
          <cell r="B27">
            <v>2</v>
          </cell>
          <cell r="C27">
            <v>13.189</v>
          </cell>
          <cell r="D27">
            <v>27.6</v>
          </cell>
          <cell r="E27">
            <v>28.7</v>
          </cell>
          <cell r="F27">
            <v>27.1</v>
          </cell>
          <cell r="G27">
            <v>28.6</v>
          </cell>
          <cell r="H27">
            <v>29.8</v>
          </cell>
          <cell r="I27">
            <v>29.8</v>
          </cell>
          <cell r="J27">
            <v>28.7</v>
          </cell>
          <cell r="K27">
            <v>30</v>
          </cell>
          <cell r="L27">
            <v>28.2</v>
          </cell>
          <cell r="M27">
            <v>27.7</v>
          </cell>
          <cell r="N27">
            <v>28.3</v>
          </cell>
          <cell r="O27">
            <v>28</v>
          </cell>
        </row>
        <row r="28">
          <cell r="A28">
            <v>101</v>
          </cell>
          <cell r="B28">
            <v>1</v>
          </cell>
          <cell r="C28">
            <v>13.205</v>
          </cell>
          <cell r="D28">
            <v>32.299999999999997</v>
          </cell>
          <cell r="E28">
            <v>30.9</v>
          </cell>
          <cell r="F28">
            <v>31</v>
          </cell>
          <cell r="G28">
            <v>30.3</v>
          </cell>
          <cell r="H28">
            <v>32.1</v>
          </cell>
          <cell r="I28">
            <v>31</v>
          </cell>
          <cell r="J28">
            <v>31.3</v>
          </cell>
          <cell r="K28">
            <v>31</v>
          </cell>
          <cell r="L28">
            <v>32.5</v>
          </cell>
          <cell r="M28">
            <v>30.4</v>
          </cell>
          <cell r="N28">
            <v>31</v>
          </cell>
          <cell r="O28">
            <v>31.3</v>
          </cell>
        </row>
        <row r="29">
          <cell r="A29">
            <v>101</v>
          </cell>
          <cell r="B29">
            <v>2</v>
          </cell>
          <cell r="C29">
            <v>13.211</v>
          </cell>
          <cell r="D29">
            <v>30.2</v>
          </cell>
          <cell r="E29">
            <v>29.8</v>
          </cell>
          <cell r="F29">
            <v>32.1</v>
          </cell>
          <cell r="G29">
            <v>31.9</v>
          </cell>
          <cell r="H29">
            <v>30.3</v>
          </cell>
          <cell r="I29">
            <v>30.8</v>
          </cell>
          <cell r="J29">
            <v>29.7</v>
          </cell>
          <cell r="K29">
            <v>30.3</v>
          </cell>
          <cell r="L29">
            <v>30.2</v>
          </cell>
          <cell r="M29">
            <v>30.7</v>
          </cell>
          <cell r="N29">
            <v>29.9</v>
          </cell>
          <cell r="O29">
            <v>30.6</v>
          </cell>
        </row>
        <row r="30">
          <cell r="A30">
            <v>201</v>
          </cell>
          <cell r="B30">
            <v>1</v>
          </cell>
          <cell r="C30">
            <v>13.25</v>
          </cell>
          <cell r="D30">
            <v>33.299999999999997</v>
          </cell>
          <cell r="E30">
            <v>29</v>
          </cell>
          <cell r="F30">
            <v>36.5</v>
          </cell>
          <cell r="G30">
            <v>28.9</v>
          </cell>
          <cell r="H30">
            <v>32.5</v>
          </cell>
          <cell r="I30">
            <v>30.7</v>
          </cell>
          <cell r="J30">
            <v>32.9</v>
          </cell>
          <cell r="K30">
            <v>30.5</v>
          </cell>
          <cell r="L30">
            <v>30.7</v>
          </cell>
          <cell r="M30">
            <v>29.6</v>
          </cell>
          <cell r="N30">
            <v>30.1</v>
          </cell>
          <cell r="O30">
            <v>28.3</v>
          </cell>
        </row>
        <row r="31">
          <cell r="A31">
            <v>201</v>
          </cell>
          <cell r="B31">
            <v>2</v>
          </cell>
          <cell r="C31">
            <v>13.255000000000001</v>
          </cell>
          <cell r="D31">
            <v>28</v>
          </cell>
          <cell r="E31">
            <v>27.2</v>
          </cell>
          <cell r="F31">
            <v>27.5</v>
          </cell>
          <cell r="G31">
            <v>30.2</v>
          </cell>
          <cell r="H31">
            <v>27.4</v>
          </cell>
          <cell r="I31">
            <v>30.6</v>
          </cell>
          <cell r="J31">
            <v>28.5</v>
          </cell>
          <cell r="K31">
            <v>29.4</v>
          </cell>
          <cell r="L31">
            <v>28.8</v>
          </cell>
          <cell r="M31">
            <v>28.6</v>
          </cell>
          <cell r="N31">
            <v>29</v>
          </cell>
          <cell r="O31">
            <v>27.8</v>
          </cell>
        </row>
        <row r="32">
          <cell r="A32">
            <v>202</v>
          </cell>
          <cell r="B32">
            <v>1</v>
          </cell>
          <cell r="C32">
            <v>13.27</v>
          </cell>
          <cell r="D32">
            <v>33.1</v>
          </cell>
          <cell r="E32">
            <v>29.8</v>
          </cell>
          <cell r="F32">
            <v>31.6</v>
          </cell>
          <cell r="G32">
            <v>29.7</v>
          </cell>
          <cell r="H32">
            <v>32.299999999999997</v>
          </cell>
          <cell r="I32">
            <v>29.7</v>
          </cell>
          <cell r="J32">
            <v>33.4</v>
          </cell>
          <cell r="K32">
            <v>30.1</v>
          </cell>
          <cell r="L32">
            <v>32.700000000000003</v>
          </cell>
          <cell r="M32">
            <v>29.4</v>
          </cell>
          <cell r="N32">
            <v>31.6</v>
          </cell>
          <cell r="O32">
            <v>29.4</v>
          </cell>
        </row>
        <row r="33">
          <cell r="A33">
            <v>202</v>
          </cell>
          <cell r="B33">
            <v>2</v>
          </cell>
          <cell r="C33">
            <v>13.275</v>
          </cell>
          <cell r="D33">
            <v>28.9</v>
          </cell>
          <cell r="E33">
            <v>27.4</v>
          </cell>
          <cell r="F33">
            <v>29.2</v>
          </cell>
          <cell r="G33">
            <v>29.8</v>
          </cell>
          <cell r="H33">
            <v>30.9</v>
          </cell>
          <cell r="I33">
            <v>28.3</v>
          </cell>
          <cell r="J33">
            <v>30.1</v>
          </cell>
          <cell r="K33">
            <v>28.7</v>
          </cell>
          <cell r="L33">
            <v>29.4</v>
          </cell>
          <cell r="M33">
            <v>28.4</v>
          </cell>
          <cell r="N33">
            <v>29.8</v>
          </cell>
          <cell r="O33">
            <v>27.9</v>
          </cell>
        </row>
        <row r="34">
          <cell r="A34">
            <v>203</v>
          </cell>
          <cell r="B34">
            <v>1</v>
          </cell>
          <cell r="C34">
            <v>13.29</v>
          </cell>
          <cell r="D34">
            <v>37.200000000000003</v>
          </cell>
          <cell r="E34">
            <v>33.700000000000003</v>
          </cell>
          <cell r="F34">
            <v>35.9</v>
          </cell>
          <cell r="G34">
            <v>32.6</v>
          </cell>
          <cell r="H34">
            <v>37.700000000000003</v>
          </cell>
          <cell r="I34">
            <v>30.7</v>
          </cell>
          <cell r="J34">
            <v>39.700000000000003</v>
          </cell>
          <cell r="K34">
            <v>35.200000000000003</v>
          </cell>
          <cell r="L34">
            <v>38.200000000000003</v>
          </cell>
          <cell r="M34">
            <v>30.7</v>
          </cell>
          <cell r="N34">
            <v>35.5</v>
          </cell>
          <cell r="O34">
            <v>31.2</v>
          </cell>
        </row>
        <row r="35">
          <cell r="A35">
            <v>203</v>
          </cell>
          <cell r="B35">
            <v>2</v>
          </cell>
          <cell r="C35">
            <v>13.294</v>
          </cell>
          <cell r="D35">
            <v>31.1</v>
          </cell>
          <cell r="E35">
            <v>29.6</v>
          </cell>
          <cell r="F35">
            <v>31.3</v>
          </cell>
          <cell r="G35">
            <v>29.7</v>
          </cell>
          <cell r="H35">
            <v>32.299999999999997</v>
          </cell>
          <cell r="I35">
            <v>34.4</v>
          </cell>
          <cell r="J35">
            <v>32.200000000000003</v>
          </cell>
          <cell r="K35">
            <v>32</v>
          </cell>
          <cell r="L35">
            <v>33.5</v>
          </cell>
          <cell r="M35">
            <v>32.799999999999997</v>
          </cell>
          <cell r="N35">
            <v>31.5</v>
          </cell>
          <cell r="O35">
            <v>31.9</v>
          </cell>
        </row>
        <row r="36">
          <cell r="A36">
            <v>204</v>
          </cell>
          <cell r="B36">
            <v>1</v>
          </cell>
          <cell r="C36">
            <v>13.31</v>
          </cell>
          <cell r="D36">
            <v>34.4</v>
          </cell>
          <cell r="E36">
            <v>32.700000000000003</v>
          </cell>
          <cell r="F36">
            <v>33.9</v>
          </cell>
          <cell r="G36">
            <v>33.1</v>
          </cell>
          <cell r="H36">
            <v>35.9</v>
          </cell>
          <cell r="I36">
            <v>33.9</v>
          </cell>
          <cell r="J36">
            <v>33.9</v>
          </cell>
          <cell r="K36">
            <v>33.1</v>
          </cell>
          <cell r="L36">
            <v>35.4</v>
          </cell>
          <cell r="M36">
            <v>33.4</v>
          </cell>
          <cell r="N36">
            <v>34.5</v>
          </cell>
          <cell r="O36">
            <v>32.299999999999997</v>
          </cell>
        </row>
        <row r="37">
          <cell r="A37">
            <v>204</v>
          </cell>
          <cell r="B37">
            <v>2</v>
          </cell>
          <cell r="C37">
            <v>13.315</v>
          </cell>
          <cell r="D37">
            <v>33.5</v>
          </cell>
          <cell r="E37">
            <v>33.1</v>
          </cell>
          <cell r="F37">
            <v>32.6</v>
          </cell>
          <cell r="G37">
            <v>34.9</v>
          </cell>
          <cell r="H37">
            <v>31.8</v>
          </cell>
          <cell r="I37">
            <v>33.9</v>
          </cell>
          <cell r="J37">
            <v>32.5</v>
          </cell>
          <cell r="K37">
            <v>34.200000000000003</v>
          </cell>
          <cell r="L37">
            <v>32.9</v>
          </cell>
          <cell r="M37">
            <v>33.9</v>
          </cell>
          <cell r="N37">
            <v>33</v>
          </cell>
          <cell r="O37">
            <v>32.299999999999997</v>
          </cell>
        </row>
        <row r="38">
          <cell r="A38">
            <v>205</v>
          </cell>
          <cell r="B38">
            <v>1</v>
          </cell>
          <cell r="C38">
            <v>13.331</v>
          </cell>
          <cell r="D38">
            <v>40</v>
          </cell>
          <cell r="E38">
            <v>34.5</v>
          </cell>
          <cell r="F38">
            <v>36.700000000000003</v>
          </cell>
          <cell r="G38">
            <v>32.799999999999997</v>
          </cell>
          <cell r="H38">
            <v>38.799999999999997</v>
          </cell>
          <cell r="I38">
            <v>32.1</v>
          </cell>
          <cell r="J38">
            <v>40</v>
          </cell>
          <cell r="K38">
            <v>33.4</v>
          </cell>
          <cell r="L38">
            <v>37</v>
          </cell>
          <cell r="M38">
            <v>31.5</v>
          </cell>
          <cell r="N38">
            <v>36.9</v>
          </cell>
          <cell r="O38">
            <v>33.5</v>
          </cell>
        </row>
        <row r="39">
          <cell r="A39">
            <v>205</v>
          </cell>
          <cell r="B39">
            <v>2</v>
          </cell>
          <cell r="C39">
            <v>13.335000000000001</v>
          </cell>
          <cell r="D39">
            <v>29.7</v>
          </cell>
          <cell r="E39">
            <v>29.3</v>
          </cell>
          <cell r="F39">
            <v>30</v>
          </cell>
          <cell r="G39">
            <v>28.6</v>
          </cell>
          <cell r="H39">
            <v>30</v>
          </cell>
          <cell r="I39">
            <v>31.2</v>
          </cell>
          <cell r="J39">
            <v>28.7</v>
          </cell>
          <cell r="K39">
            <v>29.6</v>
          </cell>
          <cell r="L39">
            <v>30.1</v>
          </cell>
          <cell r="M39">
            <v>30.3</v>
          </cell>
          <cell r="N39">
            <v>30.2</v>
          </cell>
          <cell r="O39">
            <v>30.4</v>
          </cell>
        </row>
        <row r="40">
          <cell r="A40">
            <v>206</v>
          </cell>
          <cell r="B40">
            <v>1</v>
          </cell>
          <cell r="C40">
            <v>13.349</v>
          </cell>
          <cell r="D40">
            <v>43.3</v>
          </cell>
          <cell r="E40">
            <v>38.1</v>
          </cell>
          <cell r="F40">
            <v>36.299999999999997</v>
          </cell>
          <cell r="G40">
            <v>38.299999999999997</v>
          </cell>
          <cell r="H40">
            <v>39</v>
          </cell>
          <cell r="I40">
            <v>39.4</v>
          </cell>
          <cell r="J40">
            <v>38</v>
          </cell>
          <cell r="K40">
            <v>35.1</v>
          </cell>
          <cell r="L40">
            <v>37.799999999999997</v>
          </cell>
          <cell r="M40">
            <v>35.200000000000003</v>
          </cell>
          <cell r="N40">
            <v>43.5</v>
          </cell>
          <cell r="O40">
            <v>38</v>
          </cell>
        </row>
        <row r="41">
          <cell r="A41">
            <v>206</v>
          </cell>
          <cell r="B41">
            <v>2</v>
          </cell>
          <cell r="C41">
            <v>13.355</v>
          </cell>
          <cell r="D41">
            <v>28.8</v>
          </cell>
          <cell r="E41">
            <v>29.9</v>
          </cell>
          <cell r="F41">
            <v>27.5</v>
          </cell>
          <cell r="G41">
            <v>27.8</v>
          </cell>
          <cell r="H41">
            <v>27.4</v>
          </cell>
          <cell r="I41">
            <v>28.9</v>
          </cell>
          <cell r="J41">
            <v>29.1</v>
          </cell>
          <cell r="K41">
            <v>27.7</v>
          </cell>
          <cell r="L41">
            <v>30.6</v>
          </cell>
          <cell r="M41">
            <v>29.3</v>
          </cell>
          <cell r="N41">
            <v>28.9</v>
          </cell>
          <cell r="O41">
            <v>29.7</v>
          </cell>
        </row>
        <row r="42">
          <cell r="A42">
            <v>207</v>
          </cell>
          <cell r="B42">
            <v>1</v>
          </cell>
          <cell r="C42">
            <v>13.37</v>
          </cell>
          <cell r="D42">
            <v>38.799999999999997</v>
          </cell>
          <cell r="E42">
            <v>35</v>
          </cell>
          <cell r="F42">
            <v>35.6</v>
          </cell>
          <cell r="G42">
            <v>33.6</v>
          </cell>
          <cell r="H42">
            <v>34.700000000000003</v>
          </cell>
          <cell r="I42">
            <v>34.799999999999997</v>
          </cell>
          <cell r="J42">
            <v>36.6</v>
          </cell>
          <cell r="K42">
            <v>32.299999999999997</v>
          </cell>
          <cell r="L42">
            <v>34.299999999999997</v>
          </cell>
          <cell r="M42">
            <v>33.9</v>
          </cell>
          <cell r="N42">
            <v>31.1</v>
          </cell>
          <cell r="O42">
            <v>36</v>
          </cell>
        </row>
        <row r="43">
          <cell r="A43">
            <v>207</v>
          </cell>
          <cell r="B43">
            <v>2</v>
          </cell>
          <cell r="C43">
            <v>13.375</v>
          </cell>
          <cell r="D43">
            <v>28.3</v>
          </cell>
          <cell r="E43">
            <v>28.3</v>
          </cell>
          <cell r="F43">
            <v>27.7</v>
          </cell>
          <cell r="G43">
            <v>27.7</v>
          </cell>
          <cell r="H43">
            <v>29.6</v>
          </cell>
          <cell r="I43">
            <v>29.1</v>
          </cell>
          <cell r="J43">
            <v>27.5</v>
          </cell>
          <cell r="K43">
            <v>28.1</v>
          </cell>
          <cell r="L43">
            <v>27.9</v>
          </cell>
          <cell r="M43">
            <v>28.2</v>
          </cell>
          <cell r="N43">
            <v>29.1</v>
          </cell>
          <cell r="O43">
            <v>29</v>
          </cell>
        </row>
        <row r="44">
          <cell r="A44">
            <v>208</v>
          </cell>
          <cell r="B44">
            <v>1</v>
          </cell>
          <cell r="C44">
            <v>13.388999999999999</v>
          </cell>
          <cell r="D44">
            <v>32.200000000000003</v>
          </cell>
          <cell r="E44">
            <v>38.200000000000003</v>
          </cell>
          <cell r="F44">
            <v>33.299999999999997</v>
          </cell>
          <cell r="G44">
            <v>35.6</v>
          </cell>
          <cell r="H44">
            <v>36.799999999999997</v>
          </cell>
          <cell r="I44">
            <v>38.4</v>
          </cell>
          <cell r="J44">
            <v>33.9</v>
          </cell>
          <cell r="K44">
            <v>36.5</v>
          </cell>
          <cell r="L44">
            <v>36.700000000000003</v>
          </cell>
          <cell r="M44">
            <v>37</v>
          </cell>
          <cell r="N44">
            <v>33.1</v>
          </cell>
          <cell r="O44">
            <v>34.799999999999997</v>
          </cell>
        </row>
        <row r="45">
          <cell r="A45">
            <v>208</v>
          </cell>
          <cell r="B45">
            <v>2</v>
          </cell>
          <cell r="C45">
            <v>13.394</v>
          </cell>
          <cell r="D45">
            <v>28.9</v>
          </cell>
          <cell r="E45">
            <v>30</v>
          </cell>
          <cell r="F45">
            <v>28.6</v>
          </cell>
          <cell r="G45">
            <v>27.6</v>
          </cell>
          <cell r="H45">
            <v>27.8</v>
          </cell>
          <cell r="I45">
            <v>28.1</v>
          </cell>
          <cell r="J45">
            <v>27.4</v>
          </cell>
          <cell r="K45">
            <v>27.2</v>
          </cell>
          <cell r="L45">
            <v>28.9</v>
          </cell>
          <cell r="M45">
            <v>27</v>
          </cell>
          <cell r="N45">
            <v>27.1</v>
          </cell>
          <cell r="O45">
            <v>27.1</v>
          </cell>
        </row>
        <row r="46">
          <cell r="A46">
            <v>908</v>
          </cell>
          <cell r="B46">
            <v>1</v>
          </cell>
          <cell r="C46">
            <v>13.426</v>
          </cell>
          <cell r="D46">
            <v>50.9</v>
          </cell>
          <cell r="E46">
            <v>51</v>
          </cell>
          <cell r="F46">
            <v>58.9</v>
          </cell>
          <cell r="G46">
            <v>52.1</v>
          </cell>
          <cell r="H46">
            <v>59.2</v>
          </cell>
          <cell r="I46">
            <v>50.5</v>
          </cell>
          <cell r="J46">
            <v>51.4</v>
          </cell>
          <cell r="K46">
            <v>48.3</v>
          </cell>
          <cell r="L46">
            <v>61</v>
          </cell>
          <cell r="M46">
            <v>54.8</v>
          </cell>
          <cell r="N46">
            <v>55.2</v>
          </cell>
          <cell r="O46">
            <v>55.2</v>
          </cell>
        </row>
        <row r="47">
          <cell r="A47">
            <v>908</v>
          </cell>
          <cell r="B47">
            <v>2</v>
          </cell>
          <cell r="C47">
            <v>13.430999999999999</v>
          </cell>
          <cell r="D47">
            <v>35</v>
          </cell>
          <cell r="E47">
            <v>38.799999999999997</v>
          </cell>
          <cell r="F47">
            <v>35.6</v>
          </cell>
          <cell r="G47">
            <v>37.1</v>
          </cell>
          <cell r="H47">
            <v>32.9</v>
          </cell>
          <cell r="I47">
            <v>34.4</v>
          </cell>
          <cell r="J47">
            <v>32.799999999999997</v>
          </cell>
          <cell r="K47">
            <v>33.799999999999997</v>
          </cell>
          <cell r="L47">
            <v>33.9</v>
          </cell>
          <cell r="M47">
            <v>35.700000000000003</v>
          </cell>
          <cell r="N47">
            <v>37.700000000000003</v>
          </cell>
          <cell r="O47">
            <v>37.1</v>
          </cell>
        </row>
        <row r="48">
          <cell r="A48">
            <v>907</v>
          </cell>
          <cell r="B48">
            <v>1</v>
          </cell>
          <cell r="C48">
            <v>13.451000000000001</v>
          </cell>
          <cell r="D48">
            <v>67.599999999999994</v>
          </cell>
          <cell r="E48">
            <v>68.3</v>
          </cell>
          <cell r="F48">
            <v>67.7</v>
          </cell>
          <cell r="G48">
            <v>68.2</v>
          </cell>
          <cell r="H48">
            <v>68.2</v>
          </cell>
          <cell r="I48">
            <v>68.400000000000006</v>
          </cell>
          <cell r="J48">
            <v>68.400000000000006</v>
          </cell>
          <cell r="K48">
            <v>66.2</v>
          </cell>
          <cell r="L48">
            <v>68.099999999999994</v>
          </cell>
          <cell r="M48">
            <v>66.3</v>
          </cell>
          <cell r="N48">
            <v>68.2</v>
          </cell>
          <cell r="O48">
            <v>67.3</v>
          </cell>
        </row>
        <row r="50">
          <cell r="A50">
            <v>906</v>
          </cell>
          <cell r="B50">
            <v>1</v>
          </cell>
          <cell r="C50">
            <v>13.465999999999999</v>
          </cell>
          <cell r="D50">
            <v>33.9</v>
          </cell>
          <cell r="E50">
            <v>33.4</v>
          </cell>
          <cell r="F50">
            <v>33.9</v>
          </cell>
          <cell r="G50">
            <v>33.299999999999997</v>
          </cell>
          <cell r="H50">
            <v>34.9</v>
          </cell>
          <cell r="I50">
            <v>33.299999999999997</v>
          </cell>
          <cell r="J50">
            <v>33.200000000000003</v>
          </cell>
          <cell r="K50">
            <v>33.700000000000003</v>
          </cell>
          <cell r="L50">
            <v>32.799999999999997</v>
          </cell>
          <cell r="M50">
            <v>33</v>
          </cell>
          <cell r="N50">
            <v>32.299999999999997</v>
          </cell>
          <cell r="O50">
            <v>33.1</v>
          </cell>
        </row>
        <row r="51">
          <cell r="A51">
            <v>906</v>
          </cell>
          <cell r="B51">
            <v>2</v>
          </cell>
          <cell r="C51">
            <v>13.472</v>
          </cell>
          <cell r="D51">
            <v>30.2</v>
          </cell>
          <cell r="E51">
            <v>30.5</v>
          </cell>
          <cell r="F51">
            <v>30.8</v>
          </cell>
          <cell r="G51">
            <v>30.4</v>
          </cell>
          <cell r="H51">
            <v>33.1</v>
          </cell>
          <cell r="I51">
            <v>33</v>
          </cell>
          <cell r="J51">
            <v>33.1</v>
          </cell>
          <cell r="K51">
            <v>33.9</v>
          </cell>
          <cell r="L51">
            <v>31.9</v>
          </cell>
          <cell r="M51">
            <v>32.700000000000003</v>
          </cell>
          <cell r="N51">
            <v>32.6</v>
          </cell>
          <cell r="O51">
            <v>32.5</v>
          </cell>
        </row>
        <row r="52">
          <cell r="A52">
            <v>905</v>
          </cell>
          <cell r="B52">
            <v>1</v>
          </cell>
          <cell r="C52">
            <v>13.486000000000001</v>
          </cell>
          <cell r="D52">
            <v>39.1</v>
          </cell>
          <cell r="E52">
            <v>39.200000000000003</v>
          </cell>
          <cell r="F52">
            <v>39.200000000000003</v>
          </cell>
          <cell r="G52">
            <v>39.200000000000003</v>
          </cell>
          <cell r="H52">
            <v>39.1</v>
          </cell>
          <cell r="I52">
            <v>39.200000000000003</v>
          </cell>
          <cell r="J52">
            <v>39.1</v>
          </cell>
          <cell r="K52">
            <v>38.799999999999997</v>
          </cell>
          <cell r="L52">
            <v>38.799999999999997</v>
          </cell>
          <cell r="M52">
            <v>39</v>
          </cell>
          <cell r="N52">
            <v>38.799999999999997</v>
          </cell>
          <cell r="O52">
            <v>38.9</v>
          </cell>
        </row>
        <row r="54">
          <cell r="A54">
            <v>904</v>
          </cell>
          <cell r="B54">
            <v>1</v>
          </cell>
          <cell r="C54">
            <v>13.494</v>
          </cell>
          <cell r="D54">
            <v>66.2</v>
          </cell>
          <cell r="E54">
            <v>52.1</v>
          </cell>
          <cell r="F54">
            <v>52.5</v>
          </cell>
          <cell r="G54">
            <v>50.4</v>
          </cell>
          <cell r="H54">
            <v>53.5</v>
          </cell>
          <cell r="I54">
            <v>55.3</v>
          </cell>
          <cell r="J54">
            <v>58.5</v>
          </cell>
          <cell r="K54">
            <v>49.5</v>
          </cell>
          <cell r="L54">
            <v>62.1</v>
          </cell>
          <cell r="M54">
            <v>47.6</v>
          </cell>
          <cell r="N54">
            <v>58</v>
          </cell>
          <cell r="O54">
            <v>49.8</v>
          </cell>
        </row>
        <row r="55">
          <cell r="A55">
            <v>904</v>
          </cell>
          <cell r="B55">
            <v>2</v>
          </cell>
          <cell r="C55">
            <v>13.499000000000001</v>
          </cell>
          <cell r="D55">
            <v>33.700000000000003</v>
          </cell>
          <cell r="E55">
            <v>36.5</v>
          </cell>
          <cell r="F55">
            <v>32.700000000000003</v>
          </cell>
          <cell r="G55">
            <v>36.799999999999997</v>
          </cell>
          <cell r="H55">
            <v>34.799999999999997</v>
          </cell>
          <cell r="I55">
            <v>35.700000000000003</v>
          </cell>
          <cell r="J55">
            <v>32.1</v>
          </cell>
          <cell r="K55">
            <v>34.4</v>
          </cell>
          <cell r="L55">
            <v>31.7</v>
          </cell>
          <cell r="M55">
            <v>35.4</v>
          </cell>
          <cell r="N55">
            <v>34.9</v>
          </cell>
          <cell r="O55">
            <v>34.299999999999997</v>
          </cell>
        </row>
        <row r="56">
          <cell r="A56">
            <v>903</v>
          </cell>
          <cell r="B56">
            <v>1</v>
          </cell>
          <cell r="C56">
            <v>13.512</v>
          </cell>
          <cell r="D56">
            <v>67.400000000000006</v>
          </cell>
          <cell r="E56">
            <v>67.8</v>
          </cell>
          <cell r="F56">
            <v>68</v>
          </cell>
          <cell r="G56">
            <v>67.599999999999994</v>
          </cell>
          <cell r="H56">
            <v>67.599999999999994</v>
          </cell>
          <cell r="I56">
            <v>67.599999999999994</v>
          </cell>
          <cell r="J56">
            <v>67.599999999999994</v>
          </cell>
          <cell r="K56">
            <v>67.7</v>
          </cell>
          <cell r="L56">
            <v>67.400000000000006</v>
          </cell>
          <cell r="M56">
            <v>68</v>
          </cell>
          <cell r="N56">
            <v>68.7</v>
          </cell>
          <cell r="O56">
            <v>68.7</v>
          </cell>
        </row>
        <row r="58">
          <cell r="A58">
            <v>902</v>
          </cell>
          <cell r="B58">
            <v>1</v>
          </cell>
          <cell r="C58">
            <v>13.525</v>
          </cell>
          <cell r="D58">
            <v>33.1</v>
          </cell>
          <cell r="E58">
            <v>32.4</v>
          </cell>
          <cell r="F58">
            <v>34.4</v>
          </cell>
          <cell r="G58">
            <v>32.200000000000003</v>
          </cell>
          <cell r="H58">
            <v>33.700000000000003</v>
          </cell>
          <cell r="I58">
            <v>32.200000000000003</v>
          </cell>
          <cell r="J58">
            <v>32.6</v>
          </cell>
          <cell r="K58">
            <v>32</v>
          </cell>
          <cell r="L58">
            <v>31.6</v>
          </cell>
          <cell r="M58">
            <v>32.5</v>
          </cell>
          <cell r="N58">
            <v>32.799999999999997</v>
          </cell>
          <cell r="O58">
            <v>32</v>
          </cell>
        </row>
        <row r="59">
          <cell r="A59">
            <v>902</v>
          </cell>
          <cell r="B59">
            <v>2</v>
          </cell>
          <cell r="C59">
            <v>13.53</v>
          </cell>
          <cell r="D59">
            <v>30.5</v>
          </cell>
          <cell r="E59">
            <v>30.4</v>
          </cell>
          <cell r="F59">
            <v>29.8</v>
          </cell>
          <cell r="G59">
            <v>30.8</v>
          </cell>
          <cell r="H59">
            <v>29.2</v>
          </cell>
          <cell r="I59">
            <v>30.1</v>
          </cell>
          <cell r="J59">
            <v>32.299999999999997</v>
          </cell>
          <cell r="K59">
            <v>32.5</v>
          </cell>
          <cell r="L59">
            <v>31.6</v>
          </cell>
          <cell r="M59">
            <v>31</v>
          </cell>
          <cell r="N59">
            <v>31.2</v>
          </cell>
          <cell r="O59">
            <v>32.200000000000003</v>
          </cell>
        </row>
        <row r="60">
          <cell r="A60">
            <v>901</v>
          </cell>
          <cell r="B60">
            <v>1</v>
          </cell>
          <cell r="C60">
            <v>13.542999999999999</v>
          </cell>
          <cell r="D60">
            <v>38.200000000000003</v>
          </cell>
          <cell r="E60">
            <v>38.299999999999997</v>
          </cell>
          <cell r="F60">
            <v>38.1</v>
          </cell>
          <cell r="G60">
            <v>38.1</v>
          </cell>
          <cell r="H60">
            <v>38.1</v>
          </cell>
          <cell r="I60">
            <v>38.9</v>
          </cell>
          <cell r="J60">
            <v>38.5</v>
          </cell>
          <cell r="K60">
            <v>38.299999999999997</v>
          </cell>
          <cell r="L60">
            <v>38.799999999999997</v>
          </cell>
          <cell r="M60">
            <v>38.5</v>
          </cell>
          <cell r="N60">
            <v>38.4</v>
          </cell>
          <cell r="O60">
            <v>38.799999999999997</v>
          </cell>
        </row>
        <row r="62">
          <cell r="A62">
            <v>301</v>
          </cell>
          <cell r="B62">
            <v>1</v>
          </cell>
          <cell r="C62">
            <v>13.554</v>
          </cell>
          <cell r="D62">
            <v>37.700000000000003</v>
          </cell>
          <cell r="E62">
            <v>31.6</v>
          </cell>
          <cell r="F62">
            <v>36.4</v>
          </cell>
          <cell r="G62">
            <v>35.299999999999997</v>
          </cell>
          <cell r="H62">
            <v>32</v>
          </cell>
          <cell r="I62">
            <v>33.4</v>
          </cell>
          <cell r="J62">
            <v>31.1</v>
          </cell>
          <cell r="K62">
            <v>37.1</v>
          </cell>
          <cell r="L62">
            <v>31.8</v>
          </cell>
          <cell r="M62">
            <v>37.9</v>
          </cell>
          <cell r="N62">
            <v>30.4</v>
          </cell>
          <cell r="O62">
            <v>38.1</v>
          </cell>
        </row>
        <row r="63">
          <cell r="A63">
            <v>301</v>
          </cell>
          <cell r="B63">
            <v>2</v>
          </cell>
          <cell r="C63">
            <v>13.558999999999999</v>
          </cell>
          <cell r="D63">
            <v>28.7</v>
          </cell>
          <cell r="E63">
            <v>29.1</v>
          </cell>
          <cell r="F63">
            <v>30.2</v>
          </cell>
          <cell r="G63">
            <v>29.3</v>
          </cell>
          <cell r="H63">
            <v>28.6</v>
          </cell>
          <cell r="I63">
            <v>30.4</v>
          </cell>
          <cell r="J63">
            <v>29.6</v>
          </cell>
          <cell r="K63">
            <v>31.1</v>
          </cell>
          <cell r="L63">
            <v>29.8</v>
          </cell>
          <cell r="M63">
            <v>31</v>
          </cell>
          <cell r="N63">
            <v>31</v>
          </cell>
          <cell r="O63">
            <v>30.4</v>
          </cell>
        </row>
        <row r="64">
          <cell r="A64">
            <v>302</v>
          </cell>
          <cell r="B64">
            <v>1</v>
          </cell>
          <cell r="C64">
            <v>13.577</v>
          </cell>
          <cell r="D64">
            <v>41.5</v>
          </cell>
          <cell r="E64">
            <v>31.9</v>
          </cell>
          <cell r="F64">
            <v>37.4</v>
          </cell>
          <cell r="G64">
            <v>34.5</v>
          </cell>
          <cell r="H64">
            <v>33.799999999999997</v>
          </cell>
          <cell r="I64">
            <v>37.200000000000003</v>
          </cell>
          <cell r="J64">
            <v>35.700000000000003</v>
          </cell>
          <cell r="K64">
            <v>37</v>
          </cell>
          <cell r="L64">
            <v>33.299999999999997</v>
          </cell>
          <cell r="M64">
            <v>40.5</v>
          </cell>
          <cell r="N64">
            <v>31.3</v>
          </cell>
          <cell r="O64">
            <v>40.9</v>
          </cell>
        </row>
        <row r="65">
          <cell r="A65">
            <v>302</v>
          </cell>
          <cell r="B65">
            <v>2</v>
          </cell>
          <cell r="C65">
            <v>13.582000000000001</v>
          </cell>
          <cell r="D65">
            <v>29.1</v>
          </cell>
          <cell r="E65">
            <v>30.7</v>
          </cell>
          <cell r="F65">
            <v>30.1</v>
          </cell>
          <cell r="G65">
            <v>29.9</v>
          </cell>
          <cell r="H65">
            <v>29.9</v>
          </cell>
          <cell r="I65">
            <v>29.5</v>
          </cell>
          <cell r="J65">
            <v>30.5</v>
          </cell>
          <cell r="K65">
            <v>30.3</v>
          </cell>
          <cell r="L65">
            <v>29.6</v>
          </cell>
          <cell r="M65">
            <v>29.8</v>
          </cell>
          <cell r="N65">
            <v>29.4</v>
          </cell>
          <cell r="O65">
            <v>30.3</v>
          </cell>
        </row>
        <row r="66">
          <cell r="A66">
            <v>303</v>
          </cell>
          <cell r="B66">
            <v>1</v>
          </cell>
          <cell r="C66">
            <v>13.597</v>
          </cell>
          <cell r="D66">
            <v>37.299999999999997</v>
          </cell>
          <cell r="E66">
            <v>32.5</v>
          </cell>
          <cell r="F66">
            <v>35.9</v>
          </cell>
          <cell r="G66">
            <v>33.9</v>
          </cell>
          <cell r="H66">
            <v>38.4</v>
          </cell>
          <cell r="I66">
            <v>33.200000000000003</v>
          </cell>
          <cell r="J66">
            <v>36.4</v>
          </cell>
          <cell r="K66">
            <v>33</v>
          </cell>
          <cell r="L66">
            <v>37.1</v>
          </cell>
          <cell r="M66">
            <v>30.8</v>
          </cell>
          <cell r="N66">
            <v>39.4</v>
          </cell>
          <cell r="O66">
            <v>32.299999999999997</v>
          </cell>
        </row>
        <row r="67">
          <cell r="A67">
            <v>303</v>
          </cell>
          <cell r="B67">
            <v>2</v>
          </cell>
          <cell r="C67">
            <v>13.601000000000001</v>
          </cell>
          <cell r="D67">
            <v>28.5</v>
          </cell>
          <cell r="E67">
            <v>28.7</v>
          </cell>
          <cell r="F67">
            <v>27</v>
          </cell>
          <cell r="G67">
            <v>27.8</v>
          </cell>
          <cell r="H67">
            <v>28.4</v>
          </cell>
          <cell r="I67">
            <v>28.6</v>
          </cell>
          <cell r="J67">
            <v>27.1</v>
          </cell>
          <cell r="K67">
            <v>27.5</v>
          </cell>
          <cell r="L67">
            <v>26.9</v>
          </cell>
          <cell r="M67">
            <v>27.4</v>
          </cell>
          <cell r="N67">
            <v>29</v>
          </cell>
          <cell r="O67">
            <v>28.8</v>
          </cell>
        </row>
        <row r="68">
          <cell r="A68">
            <v>304</v>
          </cell>
          <cell r="B68">
            <v>1</v>
          </cell>
          <cell r="C68">
            <v>13.615</v>
          </cell>
          <cell r="D68">
            <v>34.799999999999997</v>
          </cell>
          <cell r="E68">
            <v>32.299999999999997</v>
          </cell>
          <cell r="F68">
            <v>35.4</v>
          </cell>
          <cell r="G68">
            <v>31.8</v>
          </cell>
          <cell r="H68">
            <v>37.700000000000003</v>
          </cell>
          <cell r="I68">
            <v>31.7</v>
          </cell>
          <cell r="J68">
            <v>34.6</v>
          </cell>
          <cell r="K68">
            <v>32.700000000000003</v>
          </cell>
          <cell r="L68">
            <v>32.1</v>
          </cell>
          <cell r="M68">
            <v>32</v>
          </cell>
          <cell r="N68">
            <v>41.5</v>
          </cell>
          <cell r="O68">
            <v>36.6</v>
          </cell>
        </row>
        <row r="69">
          <cell r="A69">
            <v>304</v>
          </cell>
          <cell r="B69">
            <v>2</v>
          </cell>
          <cell r="C69">
            <v>13.619</v>
          </cell>
          <cell r="D69">
            <v>29.7</v>
          </cell>
          <cell r="E69">
            <v>28.5</v>
          </cell>
          <cell r="F69">
            <v>30.2</v>
          </cell>
          <cell r="G69">
            <v>28</v>
          </cell>
          <cell r="H69">
            <v>28.2</v>
          </cell>
          <cell r="I69">
            <v>28.6</v>
          </cell>
          <cell r="J69">
            <v>31.1</v>
          </cell>
          <cell r="K69">
            <v>29.2</v>
          </cell>
          <cell r="L69">
            <v>29.6</v>
          </cell>
          <cell r="M69">
            <v>30.6</v>
          </cell>
          <cell r="N69">
            <v>29.2</v>
          </cell>
          <cell r="O69">
            <v>27.8</v>
          </cell>
        </row>
        <row r="70">
          <cell r="A70">
            <v>305</v>
          </cell>
          <cell r="B70">
            <v>1</v>
          </cell>
          <cell r="C70">
            <v>13.638</v>
          </cell>
          <cell r="D70">
            <v>30.1</v>
          </cell>
          <cell r="E70">
            <v>29.3</v>
          </cell>
          <cell r="F70">
            <v>32.200000000000003</v>
          </cell>
          <cell r="G70">
            <v>29.7</v>
          </cell>
          <cell r="H70">
            <v>30.4</v>
          </cell>
          <cell r="I70">
            <v>31.5</v>
          </cell>
          <cell r="J70">
            <v>31.3</v>
          </cell>
          <cell r="K70">
            <v>31</v>
          </cell>
          <cell r="L70">
            <v>30.5</v>
          </cell>
          <cell r="M70">
            <v>30.5</v>
          </cell>
          <cell r="N70">
            <v>31</v>
          </cell>
          <cell r="O70">
            <v>30.4</v>
          </cell>
        </row>
        <row r="71">
          <cell r="A71">
            <v>305</v>
          </cell>
          <cell r="B71">
            <v>2</v>
          </cell>
          <cell r="C71">
            <v>13.643000000000001</v>
          </cell>
          <cell r="D71">
            <v>29.4</v>
          </cell>
          <cell r="E71">
            <v>30</v>
          </cell>
          <cell r="F71">
            <v>31.1</v>
          </cell>
          <cell r="G71">
            <v>31.2</v>
          </cell>
          <cell r="H71">
            <v>31.6</v>
          </cell>
          <cell r="I71">
            <v>30.9</v>
          </cell>
          <cell r="J71">
            <v>30</v>
          </cell>
          <cell r="K71">
            <v>35.9</v>
          </cell>
          <cell r="L71">
            <v>31.6</v>
          </cell>
          <cell r="M71">
            <v>32</v>
          </cell>
          <cell r="N71">
            <v>30.6</v>
          </cell>
          <cell r="O71">
            <v>30.9</v>
          </cell>
        </row>
        <row r="72">
          <cell r="A72">
            <v>306</v>
          </cell>
          <cell r="B72">
            <v>1</v>
          </cell>
          <cell r="C72">
            <v>13.657999999999999</v>
          </cell>
          <cell r="D72">
            <v>37.1</v>
          </cell>
          <cell r="E72">
            <v>32.200000000000003</v>
          </cell>
          <cell r="F72">
            <v>34.6</v>
          </cell>
          <cell r="G72">
            <v>36.9</v>
          </cell>
          <cell r="H72">
            <v>33.299999999999997</v>
          </cell>
          <cell r="I72">
            <v>36.9</v>
          </cell>
          <cell r="J72">
            <v>34.9</v>
          </cell>
          <cell r="K72">
            <v>35</v>
          </cell>
          <cell r="L72">
            <v>32.700000000000003</v>
          </cell>
          <cell r="M72">
            <v>33.799999999999997</v>
          </cell>
          <cell r="N72">
            <v>32.4</v>
          </cell>
          <cell r="O72">
            <v>36</v>
          </cell>
        </row>
        <row r="73">
          <cell r="A73">
            <v>306</v>
          </cell>
          <cell r="B73">
            <v>2</v>
          </cell>
          <cell r="C73">
            <v>13.662000000000001</v>
          </cell>
          <cell r="D73">
            <v>28.5</v>
          </cell>
          <cell r="E73">
            <v>28.7</v>
          </cell>
          <cell r="F73">
            <v>29.8</v>
          </cell>
          <cell r="G73">
            <v>30.6</v>
          </cell>
          <cell r="H73">
            <v>29.7</v>
          </cell>
          <cell r="I73">
            <v>29.3</v>
          </cell>
          <cell r="J73">
            <v>28.8</v>
          </cell>
          <cell r="K73">
            <v>29.3</v>
          </cell>
          <cell r="L73">
            <v>29.6</v>
          </cell>
          <cell r="M73">
            <v>30.6</v>
          </cell>
          <cell r="N73">
            <v>30.7</v>
          </cell>
          <cell r="O73">
            <v>30.2</v>
          </cell>
        </row>
        <row r="74">
          <cell r="A74">
            <v>307</v>
          </cell>
          <cell r="B74">
            <v>1</v>
          </cell>
          <cell r="C74">
            <v>13.677</v>
          </cell>
          <cell r="D74">
            <v>36.299999999999997</v>
          </cell>
          <cell r="E74">
            <v>31.1</v>
          </cell>
          <cell r="F74">
            <v>32.700000000000003</v>
          </cell>
          <cell r="G74">
            <v>32.799999999999997</v>
          </cell>
          <cell r="H74">
            <v>32.200000000000003</v>
          </cell>
          <cell r="I74">
            <v>31.9</v>
          </cell>
          <cell r="J74">
            <v>32.200000000000003</v>
          </cell>
          <cell r="K74">
            <v>31.3</v>
          </cell>
          <cell r="L74">
            <v>32.799999999999997</v>
          </cell>
          <cell r="M74">
            <v>31.8</v>
          </cell>
          <cell r="N74">
            <v>32.1</v>
          </cell>
          <cell r="O74">
            <v>31.4</v>
          </cell>
        </row>
        <row r="75">
          <cell r="A75">
            <v>307</v>
          </cell>
          <cell r="B75">
            <v>2</v>
          </cell>
          <cell r="C75">
            <v>13.682</v>
          </cell>
          <cell r="D75">
            <v>29.4</v>
          </cell>
          <cell r="E75">
            <v>32.200000000000003</v>
          </cell>
          <cell r="F75">
            <v>29.3</v>
          </cell>
          <cell r="G75">
            <v>28.9</v>
          </cell>
          <cell r="H75">
            <v>29</v>
          </cell>
          <cell r="I75">
            <v>28.8</v>
          </cell>
          <cell r="J75">
            <v>28.7</v>
          </cell>
          <cell r="K75">
            <v>27.9</v>
          </cell>
          <cell r="L75">
            <v>28.5</v>
          </cell>
          <cell r="M75">
            <v>30.4</v>
          </cell>
          <cell r="N75">
            <v>29</v>
          </cell>
          <cell r="O75">
            <v>28.8</v>
          </cell>
        </row>
        <row r="76">
          <cell r="A76">
            <v>308</v>
          </cell>
          <cell r="B76">
            <v>1</v>
          </cell>
          <cell r="C76">
            <v>13.696</v>
          </cell>
          <cell r="D76">
            <v>32.6</v>
          </cell>
          <cell r="E76">
            <v>30.5</v>
          </cell>
          <cell r="F76">
            <v>32.700000000000003</v>
          </cell>
          <cell r="G76">
            <v>31</v>
          </cell>
          <cell r="H76">
            <v>36.5</v>
          </cell>
          <cell r="I76">
            <v>31.8</v>
          </cell>
          <cell r="J76">
            <v>33.6</v>
          </cell>
          <cell r="K76">
            <v>31.5</v>
          </cell>
          <cell r="L76">
            <v>32.9</v>
          </cell>
          <cell r="M76">
            <v>31.9</v>
          </cell>
          <cell r="N76">
            <v>32.9</v>
          </cell>
          <cell r="O76">
            <v>32.4</v>
          </cell>
        </row>
        <row r="77">
          <cell r="A77">
            <v>308</v>
          </cell>
          <cell r="B77">
            <v>2</v>
          </cell>
          <cell r="C77">
            <v>13.701000000000001</v>
          </cell>
          <cell r="D77">
            <v>27.7</v>
          </cell>
          <cell r="E77">
            <v>28.9</v>
          </cell>
          <cell r="F77">
            <v>27.8</v>
          </cell>
          <cell r="G77">
            <v>28.7</v>
          </cell>
          <cell r="H77">
            <v>29.3</v>
          </cell>
          <cell r="I77">
            <v>28.7</v>
          </cell>
          <cell r="J77">
            <v>29.7</v>
          </cell>
          <cell r="K77">
            <v>29</v>
          </cell>
          <cell r="L77">
            <v>28.5</v>
          </cell>
          <cell r="M77">
            <v>31</v>
          </cell>
          <cell r="N77">
            <v>30.3</v>
          </cell>
          <cell r="O77">
            <v>30.6</v>
          </cell>
        </row>
        <row r="78">
          <cell r="A78">
            <v>408</v>
          </cell>
          <cell r="B78">
            <v>1</v>
          </cell>
          <cell r="C78">
            <v>13.724</v>
          </cell>
          <cell r="D78">
            <v>50.7</v>
          </cell>
          <cell r="E78">
            <v>32.6</v>
          </cell>
          <cell r="F78">
            <v>51.1</v>
          </cell>
          <cell r="G78">
            <v>31.9</v>
          </cell>
          <cell r="H78">
            <v>47.2</v>
          </cell>
          <cell r="I78">
            <v>32.6</v>
          </cell>
          <cell r="J78">
            <v>40.200000000000003</v>
          </cell>
          <cell r="K78">
            <v>35.799999999999997</v>
          </cell>
          <cell r="L78">
            <v>44.3</v>
          </cell>
          <cell r="M78">
            <v>40.9</v>
          </cell>
          <cell r="N78">
            <v>41.1</v>
          </cell>
          <cell r="O78">
            <v>47.7</v>
          </cell>
        </row>
        <row r="79">
          <cell r="A79">
            <v>408</v>
          </cell>
          <cell r="B79">
            <v>2</v>
          </cell>
          <cell r="C79">
            <v>13.73</v>
          </cell>
          <cell r="D79">
            <v>27.8</v>
          </cell>
          <cell r="E79">
            <v>27.3</v>
          </cell>
          <cell r="F79">
            <v>27.2</v>
          </cell>
          <cell r="G79">
            <v>27.8</v>
          </cell>
          <cell r="H79">
            <v>28.6</v>
          </cell>
          <cell r="I79">
            <v>27.7</v>
          </cell>
          <cell r="J79">
            <v>28.1</v>
          </cell>
          <cell r="K79">
            <v>29.6</v>
          </cell>
          <cell r="L79">
            <v>29.1</v>
          </cell>
          <cell r="M79">
            <v>31.4</v>
          </cell>
          <cell r="N79">
            <v>29.1</v>
          </cell>
          <cell r="O79">
            <v>31.6</v>
          </cell>
        </row>
        <row r="80">
          <cell r="A80">
            <v>407</v>
          </cell>
          <cell r="B80">
            <v>1</v>
          </cell>
          <cell r="C80">
            <v>13.744</v>
          </cell>
          <cell r="D80">
            <v>36.9</v>
          </cell>
          <cell r="E80">
            <v>33</v>
          </cell>
          <cell r="F80">
            <v>38.200000000000003</v>
          </cell>
          <cell r="G80">
            <v>34.1</v>
          </cell>
          <cell r="H80">
            <v>36.5</v>
          </cell>
          <cell r="I80">
            <v>35.200000000000003</v>
          </cell>
          <cell r="J80">
            <v>35.799999999999997</v>
          </cell>
          <cell r="K80">
            <v>33.9</v>
          </cell>
          <cell r="L80">
            <v>35.200000000000003</v>
          </cell>
          <cell r="M80">
            <v>33.5</v>
          </cell>
          <cell r="N80">
            <v>32.1</v>
          </cell>
          <cell r="O80">
            <v>34.9</v>
          </cell>
        </row>
        <row r="81">
          <cell r="A81">
            <v>407</v>
          </cell>
          <cell r="B81">
            <v>2</v>
          </cell>
          <cell r="C81">
            <v>13.749000000000001</v>
          </cell>
          <cell r="D81">
            <v>29.8</v>
          </cell>
          <cell r="E81">
            <v>29.8</v>
          </cell>
          <cell r="F81">
            <v>29.3</v>
          </cell>
          <cell r="G81">
            <v>27.8</v>
          </cell>
          <cell r="H81">
            <v>28</v>
          </cell>
          <cell r="I81">
            <v>28.8</v>
          </cell>
          <cell r="J81">
            <v>28.4</v>
          </cell>
          <cell r="K81">
            <v>28.7</v>
          </cell>
          <cell r="L81">
            <v>29</v>
          </cell>
          <cell r="M81">
            <v>29.6</v>
          </cell>
          <cell r="N81">
            <v>28.4</v>
          </cell>
          <cell r="O81">
            <v>29.4</v>
          </cell>
        </row>
        <row r="82">
          <cell r="A82">
            <v>406</v>
          </cell>
          <cell r="B82">
            <v>1</v>
          </cell>
          <cell r="C82">
            <v>13.765000000000001</v>
          </cell>
          <cell r="D82">
            <v>34.299999999999997</v>
          </cell>
          <cell r="E82">
            <v>33.299999999999997</v>
          </cell>
          <cell r="F82">
            <v>30.8</v>
          </cell>
          <cell r="G82">
            <v>33.299999999999997</v>
          </cell>
          <cell r="H82">
            <v>32.200000000000003</v>
          </cell>
          <cell r="I82">
            <v>30.9</v>
          </cell>
          <cell r="J82">
            <v>31.6</v>
          </cell>
          <cell r="K82">
            <v>31</v>
          </cell>
          <cell r="L82">
            <v>31.2</v>
          </cell>
          <cell r="M82">
            <v>29.5</v>
          </cell>
          <cell r="N82">
            <v>31.9</v>
          </cell>
          <cell r="O82">
            <v>28.7</v>
          </cell>
        </row>
        <row r="83">
          <cell r="A83">
            <v>406</v>
          </cell>
          <cell r="B83">
            <v>2</v>
          </cell>
          <cell r="C83">
            <v>13.77</v>
          </cell>
          <cell r="D83">
            <v>27.6</v>
          </cell>
          <cell r="E83">
            <v>28.7</v>
          </cell>
          <cell r="F83">
            <v>28.9</v>
          </cell>
          <cell r="G83">
            <v>28.8</v>
          </cell>
          <cell r="H83">
            <v>26.9</v>
          </cell>
          <cell r="I83">
            <v>29.2</v>
          </cell>
          <cell r="J83">
            <v>30</v>
          </cell>
          <cell r="K83">
            <v>27.9</v>
          </cell>
          <cell r="L83">
            <v>29.8</v>
          </cell>
          <cell r="M83">
            <v>29.5</v>
          </cell>
          <cell r="N83">
            <v>29.7</v>
          </cell>
          <cell r="O83">
            <v>30.1</v>
          </cell>
        </row>
        <row r="84">
          <cell r="A84">
            <v>405</v>
          </cell>
          <cell r="B84">
            <v>1</v>
          </cell>
          <cell r="C84">
            <v>13.787000000000001</v>
          </cell>
          <cell r="D84">
            <v>37.5</v>
          </cell>
          <cell r="E84">
            <v>30.8</v>
          </cell>
          <cell r="F84">
            <v>40.4</v>
          </cell>
          <cell r="G84">
            <v>30.6</v>
          </cell>
          <cell r="H84">
            <v>38.6</v>
          </cell>
          <cell r="I84">
            <v>30.7</v>
          </cell>
          <cell r="J84">
            <v>36.1</v>
          </cell>
          <cell r="K84">
            <v>31.7</v>
          </cell>
          <cell r="L84">
            <v>37.5</v>
          </cell>
          <cell r="M84">
            <v>31.7</v>
          </cell>
          <cell r="N84">
            <v>35.5</v>
          </cell>
          <cell r="O84">
            <v>33.299999999999997</v>
          </cell>
        </row>
        <row r="85">
          <cell r="A85">
            <v>405</v>
          </cell>
          <cell r="B85">
            <v>2</v>
          </cell>
          <cell r="C85">
            <v>13.792</v>
          </cell>
          <cell r="D85">
            <v>29.6</v>
          </cell>
          <cell r="E85">
            <v>32.4</v>
          </cell>
          <cell r="F85">
            <v>29.9</v>
          </cell>
          <cell r="G85">
            <v>30.5</v>
          </cell>
          <cell r="H85">
            <v>32.700000000000003</v>
          </cell>
          <cell r="I85">
            <v>29.3</v>
          </cell>
          <cell r="J85">
            <v>30.7</v>
          </cell>
          <cell r="K85">
            <v>31.1</v>
          </cell>
          <cell r="L85">
            <v>31</v>
          </cell>
          <cell r="M85">
            <v>31.2</v>
          </cell>
          <cell r="N85">
            <v>32.200000000000003</v>
          </cell>
          <cell r="O85">
            <v>30.6</v>
          </cell>
        </row>
        <row r="86">
          <cell r="A86">
            <v>404</v>
          </cell>
          <cell r="B86">
            <v>1</v>
          </cell>
          <cell r="C86">
            <v>13.808</v>
          </cell>
          <cell r="D86">
            <v>32.799999999999997</v>
          </cell>
          <cell r="E86">
            <v>29.8</v>
          </cell>
          <cell r="F86">
            <v>30.8</v>
          </cell>
          <cell r="G86">
            <v>30.1</v>
          </cell>
          <cell r="H86">
            <v>34.799999999999997</v>
          </cell>
          <cell r="I86">
            <v>29.4</v>
          </cell>
          <cell r="J86">
            <v>33.4</v>
          </cell>
          <cell r="K86">
            <v>29.8</v>
          </cell>
          <cell r="L86">
            <v>31.7</v>
          </cell>
          <cell r="M86">
            <v>31</v>
          </cell>
          <cell r="N86">
            <v>31.2</v>
          </cell>
          <cell r="O86">
            <v>30.2</v>
          </cell>
        </row>
        <row r="87">
          <cell r="A87">
            <v>404</v>
          </cell>
          <cell r="B87">
            <v>2</v>
          </cell>
          <cell r="C87">
            <v>13.813000000000001</v>
          </cell>
          <cell r="D87">
            <v>28.9</v>
          </cell>
          <cell r="E87">
            <v>28.4</v>
          </cell>
          <cell r="F87">
            <v>28.9</v>
          </cell>
          <cell r="G87">
            <v>28.7</v>
          </cell>
          <cell r="H87">
            <v>28.9</v>
          </cell>
          <cell r="I87">
            <v>29.2</v>
          </cell>
          <cell r="J87">
            <v>29.7</v>
          </cell>
          <cell r="K87">
            <v>29.1</v>
          </cell>
          <cell r="L87">
            <v>30.6</v>
          </cell>
          <cell r="M87">
            <v>30</v>
          </cell>
          <cell r="N87">
            <v>29.2</v>
          </cell>
          <cell r="O87">
            <v>29.5</v>
          </cell>
        </row>
        <row r="88">
          <cell r="A88">
            <v>403</v>
          </cell>
          <cell r="B88">
            <v>1</v>
          </cell>
          <cell r="C88">
            <v>13.827999999999999</v>
          </cell>
          <cell r="D88">
            <v>36.299999999999997</v>
          </cell>
          <cell r="E88">
            <v>30.8</v>
          </cell>
          <cell r="F88">
            <v>34</v>
          </cell>
          <cell r="G88">
            <v>34.5</v>
          </cell>
          <cell r="H88">
            <v>34.200000000000003</v>
          </cell>
          <cell r="I88">
            <v>34.5</v>
          </cell>
          <cell r="J88">
            <v>31.2</v>
          </cell>
          <cell r="K88">
            <v>36.799999999999997</v>
          </cell>
          <cell r="L88">
            <v>33.1</v>
          </cell>
          <cell r="M88">
            <v>33</v>
          </cell>
          <cell r="N88">
            <v>33.4</v>
          </cell>
          <cell r="O88">
            <v>31.9</v>
          </cell>
        </row>
        <row r="89">
          <cell r="A89">
            <v>403</v>
          </cell>
          <cell r="B89">
            <v>2</v>
          </cell>
          <cell r="C89">
            <v>13.833</v>
          </cell>
          <cell r="D89">
            <v>30.6</v>
          </cell>
          <cell r="E89">
            <v>30</v>
          </cell>
          <cell r="F89">
            <v>31.4</v>
          </cell>
          <cell r="G89">
            <v>30</v>
          </cell>
          <cell r="H89">
            <v>30.7</v>
          </cell>
          <cell r="I89">
            <v>30.6</v>
          </cell>
          <cell r="J89">
            <v>31.4</v>
          </cell>
          <cell r="K89">
            <v>31.7</v>
          </cell>
          <cell r="L89">
            <v>32.799999999999997</v>
          </cell>
          <cell r="M89">
            <v>30.9</v>
          </cell>
          <cell r="N89">
            <v>33.200000000000003</v>
          </cell>
          <cell r="O89">
            <v>32.299999999999997</v>
          </cell>
        </row>
        <row r="90">
          <cell r="A90">
            <v>402</v>
          </cell>
          <cell r="B90">
            <v>1</v>
          </cell>
          <cell r="C90">
            <v>13.847</v>
          </cell>
          <cell r="D90">
            <v>44.5</v>
          </cell>
          <cell r="E90">
            <v>35.799999999999997</v>
          </cell>
          <cell r="F90">
            <v>47.5</v>
          </cell>
          <cell r="G90">
            <v>40</v>
          </cell>
          <cell r="H90">
            <v>42.9</v>
          </cell>
          <cell r="I90">
            <v>36.700000000000003</v>
          </cell>
          <cell r="J90">
            <v>36.6</v>
          </cell>
          <cell r="K90">
            <v>42.8</v>
          </cell>
          <cell r="L90">
            <v>38.799999999999997</v>
          </cell>
          <cell r="M90">
            <v>44.2</v>
          </cell>
          <cell r="N90">
            <v>34.799999999999997</v>
          </cell>
          <cell r="O90">
            <v>37.6</v>
          </cell>
        </row>
        <row r="91">
          <cell r="A91">
            <v>402</v>
          </cell>
          <cell r="B91">
            <v>2</v>
          </cell>
          <cell r="C91">
            <v>13.852</v>
          </cell>
          <cell r="D91">
            <v>30.8</v>
          </cell>
          <cell r="E91">
            <v>32.1</v>
          </cell>
          <cell r="F91">
            <v>32.5</v>
          </cell>
          <cell r="G91">
            <v>30.7</v>
          </cell>
          <cell r="H91">
            <v>31.1</v>
          </cell>
          <cell r="I91">
            <v>30.5</v>
          </cell>
          <cell r="J91">
            <v>32.9</v>
          </cell>
          <cell r="K91">
            <v>31.3</v>
          </cell>
          <cell r="L91">
            <v>32</v>
          </cell>
          <cell r="M91">
            <v>31.7</v>
          </cell>
          <cell r="N91">
            <v>30.4</v>
          </cell>
          <cell r="O91">
            <v>32.799999999999997</v>
          </cell>
        </row>
        <row r="92">
          <cell r="A92">
            <v>401</v>
          </cell>
          <cell r="B92">
            <v>1</v>
          </cell>
          <cell r="C92">
            <v>13.874000000000001</v>
          </cell>
          <cell r="D92">
            <v>33.700000000000003</v>
          </cell>
          <cell r="E92">
            <v>31.6</v>
          </cell>
          <cell r="F92">
            <v>33.4</v>
          </cell>
          <cell r="G92">
            <v>31.8</v>
          </cell>
          <cell r="H92">
            <v>35</v>
          </cell>
          <cell r="I92">
            <v>34.1</v>
          </cell>
          <cell r="J92">
            <v>33.1</v>
          </cell>
          <cell r="K92">
            <v>32.1</v>
          </cell>
          <cell r="L92">
            <v>31.6</v>
          </cell>
          <cell r="M92">
            <v>32.200000000000003</v>
          </cell>
          <cell r="N92">
            <v>31.2</v>
          </cell>
          <cell r="O92">
            <v>31.9</v>
          </cell>
        </row>
        <row r="93">
          <cell r="A93">
            <v>401</v>
          </cell>
          <cell r="B93">
            <v>2</v>
          </cell>
          <cell r="C93">
            <v>13.879</v>
          </cell>
          <cell r="D93">
            <v>32.4</v>
          </cell>
          <cell r="E93">
            <v>31.2</v>
          </cell>
          <cell r="F93">
            <v>31.2</v>
          </cell>
          <cell r="G93">
            <v>32.5</v>
          </cell>
          <cell r="H93">
            <v>32.299999999999997</v>
          </cell>
          <cell r="I93">
            <v>30.9</v>
          </cell>
          <cell r="J93">
            <v>31.7</v>
          </cell>
          <cell r="K93">
            <v>29.8</v>
          </cell>
          <cell r="L93">
            <v>28.8</v>
          </cell>
          <cell r="M93">
            <v>30.5</v>
          </cell>
          <cell r="N93">
            <v>30.3</v>
          </cell>
          <cell r="O93">
            <v>30.7</v>
          </cell>
        </row>
      </sheetData>
      <sheetData sheetId="2">
        <row r="7">
          <cell r="C7">
            <v>185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41.4</v>
          </cell>
        </row>
        <row r="29">
          <cell r="E29">
            <v>7.0208146217683707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'IA188.03R'</v>
          </cell>
        </row>
        <row r="14">
          <cell r="A14">
            <v>108</v>
          </cell>
          <cell r="B14">
            <v>1</v>
          </cell>
          <cell r="C14">
            <v>13.128</v>
          </cell>
          <cell r="D14">
            <v>38.799999999999997</v>
          </cell>
          <cell r="E14">
            <v>30.8</v>
          </cell>
          <cell r="F14">
            <v>32.5</v>
          </cell>
          <cell r="G14">
            <v>30.1</v>
          </cell>
          <cell r="H14">
            <v>34.1</v>
          </cell>
          <cell r="I14">
            <v>34.700000000000003</v>
          </cell>
          <cell r="J14">
            <v>35.4</v>
          </cell>
          <cell r="K14">
            <v>32</v>
          </cell>
          <cell r="L14">
            <v>30.2</v>
          </cell>
          <cell r="M14">
            <v>30.9</v>
          </cell>
          <cell r="N14">
            <v>32.299999999999997</v>
          </cell>
          <cell r="O14">
            <v>30.2</v>
          </cell>
        </row>
        <row r="15">
          <cell r="A15">
            <v>108</v>
          </cell>
          <cell r="B15">
            <v>2</v>
          </cell>
          <cell r="C15">
            <v>13.132</v>
          </cell>
          <cell r="D15">
            <v>29</v>
          </cell>
          <cell r="E15">
            <v>28.2</v>
          </cell>
          <cell r="F15">
            <v>29.3</v>
          </cell>
          <cell r="G15">
            <v>29.2</v>
          </cell>
          <cell r="H15">
            <v>30.5</v>
          </cell>
          <cell r="I15">
            <v>30.7</v>
          </cell>
          <cell r="J15">
            <v>29.6</v>
          </cell>
          <cell r="K15">
            <v>29.2</v>
          </cell>
          <cell r="L15">
            <v>29.2</v>
          </cell>
          <cell r="M15">
            <v>30.5</v>
          </cell>
          <cell r="N15">
            <v>30.7</v>
          </cell>
          <cell r="O15">
            <v>30.7</v>
          </cell>
        </row>
        <row r="16">
          <cell r="A16">
            <v>107</v>
          </cell>
          <cell r="B16">
            <v>1</v>
          </cell>
          <cell r="C16">
            <v>13.145</v>
          </cell>
          <cell r="D16">
            <v>38.799999999999997</v>
          </cell>
          <cell r="E16">
            <v>36.299999999999997</v>
          </cell>
          <cell r="F16">
            <v>31.4</v>
          </cell>
          <cell r="G16">
            <v>36.799999999999997</v>
          </cell>
          <cell r="H16">
            <v>30.3</v>
          </cell>
          <cell r="I16">
            <v>37.4</v>
          </cell>
          <cell r="J16">
            <v>32</v>
          </cell>
          <cell r="K16">
            <v>40.9</v>
          </cell>
          <cell r="L16">
            <v>30.4</v>
          </cell>
          <cell r="M16">
            <v>37.700000000000003</v>
          </cell>
          <cell r="N16">
            <v>29.9</v>
          </cell>
          <cell r="O16">
            <v>38.6</v>
          </cell>
        </row>
        <row r="17">
          <cell r="A17">
            <v>107</v>
          </cell>
          <cell r="B17">
            <v>2</v>
          </cell>
          <cell r="C17">
            <v>13.15</v>
          </cell>
          <cell r="D17">
            <v>28.6</v>
          </cell>
          <cell r="E17">
            <v>28.7</v>
          </cell>
          <cell r="F17">
            <v>28.7</v>
          </cell>
          <cell r="G17">
            <v>28.8</v>
          </cell>
          <cell r="H17">
            <v>29.5</v>
          </cell>
          <cell r="I17">
            <v>28.3</v>
          </cell>
          <cell r="J17">
            <v>28.9</v>
          </cell>
          <cell r="K17">
            <v>30.5</v>
          </cell>
          <cell r="L17">
            <v>28.6</v>
          </cell>
          <cell r="M17">
            <v>30.1</v>
          </cell>
          <cell r="N17">
            <v>29.8</v>
          </cell>
          <cell r="O17">
            <v>30.1</v>
          </cell>
        </row>
        <row r="18">
          <cell r="A18">
            <v>106</v>
          </cell>
          <cell r="B18">
            <v>1</v>
          </cell>
          <cell r="C18">
            <v>13.163</v>
          </cell>
          <cell r="D18">
            <v>37.1</v>
          </cell>
          <cell r="E18">
            <v>31.8</v>
          </cell>
          <cell r="F18">
            <v>30.5</v>
          </cell>
          <cell r="G18">
            <v>34.5</v>
          </cell>
          <cell r="H18">
            <v>33.200000000000003</v>
          </cell>
          <cell r="I18">
            <v>34.5</v>
          </cell>
          <cell r="J18">
            <v>29.2</v>
          </cell>
          <cell r="K18">
            <v>36.1</v>
          </cell>
          <cell r="L18">
            <v>29.8</v>
          </cell>
          <cell r="M18">
            <v>35.4</v>
          </cell>
          <cell r="N18">
            <v>29.7</v>
          </cell>
          <cell r="O18">
            <v>38.299999999999997</v>
          </cell>
        </row>
        <row r="19">
          <cell r="A19">
            <v>106</v>
          </cell>
          <cell r="B19">
            <v>2</v>
          </cell>
          <cell r="C19">
            <v>13.167</v>
          </cell>
          <cell r="D19">
            <v>32.700000000000003</v>
          </cell>
          <cell r="E19">
            <v>30.1</v>
          </cell>
          <cell r="F19">
            <v>29.9</v>
          </cell>
          <cell r="G19">
            <v>30.2</v>
          </cell>
          <cell r="H19">
            <v>29.7</v>
          </cell>
          <cell r="I19">
            <v>29</v>
          </cell>
          <cell r="J19">
            <v>27.6</v>
          </cell>
          <cell r="K19">
            <v>29</v>
          </cell>
          <cell r="L19">
            <v>29</v>
          </cell>
          <cell r="M19">
            <v>29.6</v>
          </cell>
          <cell r="N19">
            <v>29.8</v>
          </cell>
          <cell r="O19">
            <v>29.7</v>
          </cell>
        </row>
        <row r="20">
          <cell r="A20">
            <v>105</v>
          </cell>
          <cell r="B20">
            <v>1</v>
          </cell>
          <cell r="C20">
            <v>13.180999999999999</v>
          </cell>
          <cell r="D20">
            <v>32.700000000000003</v>
          </cell>
          <cell r="E20">
            <v>29.2</v>
          </cell>
          <cell r="F20">
            <v>29.2</v>
          </cell>
          <cell r="G20">
            <v>31.8</v>
          </cell>
          <cell r="H20">
            <v>32.9</v>
          </cell>
          <cell r="I20">
            <v>33.1</v>
          </cell>
          <cell r="J20">
            <v>30.5</v>
          </cell>
          <cell r="K20">
            <v>29.8</v>
          </cell>
          <cell r="L20">
            <v>29.7</v>
          </cell>
          <cell r="M20">
            <v>32</v>
          </cell>
          <cell r="N20">
            <v>33.6</v>
          </cell>
          <cell r="O20">
            <v>30.1</v>
          </cell>
        </row>
        <row r="21">
          <cell r="A21">
            <v>105</v>
          </cell>
          <cell r="B21">
            <v>2</v>
          </cell>
          <cell r="C21">
            <v>13.185</v>
          </cell>
          <cell r="D21">
            <v>29.9</v>
          </cell>
          <cell r="E21">
            <v>31.1</v>
          </cell>
          <cell r="F21">
            <v>30.3</v>
          </cell>
          <cell r="G21">
            <v>29.6</v>
          </cell>
          <cell r="H21">
            <v>30.2</v>
          </cell>
          <cell r="I21">
            <v>29.6</v>
          </cell>
          <cell r="J21">
            <v>28.8</v>
          </cell>
          <cell r="K21">
            <v>28.4</v>
          </cell>
          <cell r="L21">
            <v>29.8</v>
          </cell>
          <cell r="M21">
            <v>29.2</v>
          </cell>
          <cell r="N21">
            <v>28.8</v>
          </cell>
          <cell r="O21">
            <v>28.2</v>
          </cell>
        </row>
        <row r="22">
          <cell r="A22">
            <v>104</v>
          </cell>
          <cell r="B22">
            <v>1</v>
          </cell>
          <cell r="C22">
            <v>13.2</v>
          </cell>
          <cell r="D22">
            <v>36</v>
          </cell>
          <cell r="E22">
            <v>37.700000000000003</v>
          </cell>
          <cell r="F22">
            <v>30.1</v>
          </cell>
          <cell r="G22">
            <v>30.4</v>
          </cell>
          <cell r="H22">
            <v>28.4</v>
          </cell>
          <cell r="I22">
            <v>36</v>
          </cell>
          <cell r="J22">
            <v>29</v>
          </cell>
          <cell r="K22">
            <v>37.6</v>
          </cell>
          <cell r="L22">
            <v>29</v>
          </cell>
          <cell r="M22">
            <v>36</v>
          </cell>
          <cell r="N22">
            <v>29.4</v>
          </cell>
          <cell r="O22">
            <v>39.700000000000003</v>
          </cell>
        </row>
        <row r="23">
          <cell r="A23">
            <v>104</v>
          </cell>
          <cell r="B23">
            <v>2</v>
          </cell>
          <cell r="C23">
            <v>13.205</v>
          </cell>
          <cell r="D23">
            <v>30.2</v>
          </cell>
          <cell r="E23">
            <v>29.1</v>
          </cell>
          <cell r="F23">
            <v>29.6</v>
          </cell>
          <cell r="G23">
            <v>29.1</v>
          </cell>
          <cell r="H23">
            <v>29.8</v>
          </cell>
          <cell r="I23">
            <v>28.2</v>
          </cell>
          <cell r="J23">
            <v>29</v>
          </cell>
          <cell r="K23">
            <v>29.2</v>
          </cell>
          <cell r="L23">
            <v>29</v>
          </cell>
          <cell r="M23">
            <v>28.5</v>
          </cell>
          <cell r="N23">
            <v>29.6</v>
          </cell>
          <cell r="O23">
            <v>29.2</v>
          </cell>
        </row>
        <row r="24">
          <cell r="A24">
            <v>103</v>
          </cell>
          <cell r="B24">
            <v>1</v>
          </cell>
          <cell r="C24">
            <v>13.218</v>
          </cell>
          <cell r="D24">
            <v>37.299999999999997</v>
          </cell>
          <cell r="E24">
            <v>30.4</v>
          </cell>
          <cell r="F24">
            <v>35.700000000000003</v>
          </cell>
          <cell r="G24">
            <v>31.7</v>
          </cell>
          <cell r="H24">
            <v>31.6</v>
          </cell>
          <cell r="I24">
            <v>32</v>
          </cell>
          <cell r="J24">
            <v>31.5</v>
          </cell>
          <cell r="K24">
            <v>32.700000000000003</v>
          </cell>
          <cell r="L24">
            <v>32.299999999999997</v>
          </cell>
          <cell r="M24">
            <v>38.700000000000003</v>
          </cell>
          <cell r="N24">
            <v>32.1</v>
          </cell>
          <cell r="O24">
            <v>31</v>
          </cell>
        </row>
        <row r="25">
          <cell r="A25">
            <v>103</v>
          </cell>
          <cell r="B25">
            <v>2</v>
          </cell>
          <cell r="C25">
            <v>13.223000000000001</v>
          </cell>
          <cell r="D25">
            <v>31.3</v>
          </cell>
          <cell r="E25">
            <v>30.2</v>
          </cell>
          <cell r="F25">
            <v>33.299999999999997</v>
          </cell>
          <cell r="G25">
            <v>32.4</v>
          </cell>
          <cell r="H25">
            <v>32.299999999999997</v>
          </cell>
          <cell r="I25">
            <v>31.1</v>
          </cell>
          <cell r="J25">
            <v>32</v>
          </cell>
          <cell r="K25">
            <v>31.8</v>
          </cell>
          <cell r="L25">
            <v>32.299999999999997</v>
          </cell>
          <cell r="M25">
            <v>32.1</v>
          </cell>
          <cell r="N25">
            <v>32.299999999999997</v>
          </cell>
          <cell r="O25">
            <v>33.200000000000003</v>
          </cell>
        </row>
        <row r="26">
          <cell r="A26">
            <v>102</v>
          </cell>
          <cell r="B26">
            <v>1</v>
          </cell>
          <cell r="C26">
            <v>13.234999999999999</v>
          </cell>
          <cell r="D26">
            <v>42.1</v>
          </cell>
          <cell r="E26">
            <v>35.5</v>
          </cell>
          <cell r="F26">
            <v>29.8</v>
          </cell>
          <cell r="G26">
            <v>37.700000000000003</v>
          </cell>
          <cell r="H26">
            <v>30.1</v>
          </cell>
          <cell r="I26">
            <v>40.6</v>
          </cell>
          <cell r="J26">
            <v>33.1</v>
          </cell>
          <cell r="K26">
            <v>36.6</v>
          </cell>
          <cell r="L26">
            <v>32.6</v>
          </cell>
          <cell r="M26">
            <v>39.200000000000003</v>
          </cell>
          <cell r="N26">
            <v>33</v>
          </cell>
          <cell r="O26">
            <v>32.1</v>
          </cell>
        </row>
        <row r="27">
          <cell r="A27">
            <v>102</v>
          </cell>
          <cell r="B27">
            <v>2</v>
          </cell>
          <cell r="C27">
            <v>13.24</v>
          </cell>
          <cell r="D27">
            <v>32.799999999999997</v>
          </cell>
          <cell r="E27">
            <v>31.5</v>
          </cell>
          <cell r="F27">
            <v>30.7</v>
          </cell>
          <cell r="G27">
            <v>31.1</v>
          </cell>
          <cell r="H27">
            <v>32.6</v>
          </cell>
          <cell r="I27">
            <v>31.4</v>
          </cell>
          <cell r="J27">
            <v>32.9</v>
          </cell>
          <cell r="K27">
            <v>34.5</v>
          </cell>
          <cell r="L27">
            <v>31.5</v>
          </cell>
          <cell r="M27">
            <v>33.700000000000003</v>
          </cell>
          <cell r="N27">
            <v>32.5</v>
          </cell>
          <cell r="O27">
            <v>32.799999999999997</v>
          </cell>
        </row>
        <row r="28">
          <cell r="A28">
            <v>101</v>
          </cell>
          <cell r="B28">
            <v>1</v>
          </cell>
          <cell r="C28">
            <v>13.253</v>
          </cell>
          <cell r="D28">
            <v>47.3</v>
          </cell>
          <cell r="E28">
            <v>35.1</v>
          </cell>
          <cell r="F28">
            <v>35.4</v>
          </cell>
          <cell r="G28">
            <v>35.700000000000003</v>
          </cell>
          <cell r="H28">
            <v>33.700000000000003</v>
          </cell>
          <cell r="I28">
            <v>37.1</v>
          </cell>
          <cell r="J28">
            <v>33.200000000000003</v>
          </cell>
          <cell r="K28">
            <v>35.799999999999997</v>
          </cell>
          <cell r="L28">
            <v>35</v>
          </cell>
          <cell r="M28">
            <v>38.799999999999997</v>
          </cell>
          <cell r="N28">
            <v>41.3</v>
          </cell>
          <cell r="O28">
            <v>31.5</v>
          </cell>
        </row>
        <row r="29">
          <cell r="A29">
            <v>101</v>
          </cell>
          <cell r="B29">
            <v>2</v>
          </cell>
          <cell r="C29">
            <v>13.257</v>
          </cell>
          <cell r="D29">
            <v>30.4</v>
          </cell>
          <cell r="E29">
            <v>31.3</v>
          </cell>
          <cell r="F29">
            <v>32.1</v>
          </cell>
          <cell r="G29">
            <v>32.200000000000003</v>
          </cell>
          <cell r="H29">
            <v>32.9</v>
          </cell>
          <cell r="I29">
            <v>32.1</v>
          </cell>
          <cell r="J29">
            <v>31.8</v>
          </cell>
          <cell r="K29">
            <v>32.299999999999997</v>
          </cell>
          <cell r="L29">
            <v>31.9</v>
          </cell>
          <cell r="M29">
            <v>31.8</v>
          </cell>
          <cell r="N29">
            <v>30.8</v>
          </cell>
          <cell r="O29">
            <v>32.6</v>
          </cell>
        </row>
        <row r="30">
          <cell r="A30">
            <v>201</v>
          </cell>
          <cell r="B30">
            <v>1</v>
          </cell>
          <cell r="C30">
            <v>13.273999999999999</v>
          </cell>
          <cell r="D30">
            <v>31.8</v>
          </cell>
          <cell r="E30">
            <v>31.4</v>
          </cell>
          <cell r="F30">
            <v>31.1</v>
          </cell>
          <cell r="G30">
            <v>31.9</v>
          </cell>
          <cell r="H30">
            <v>31</v>
          </cell>
          <cell r="I30">
            <v>31.3</v>
          </cell>
          <cell r="J30">
            <v>29.8</v>
          </cell>
          <cell r="K30">
            <v>34.9</v>
          </cell>
          <cell r="L30">
            <v>29.7</v>
          </cell>
          <cell r="M30">
            <v>34.5</v>
          </cell>
          <cell r="N30">
            <v>29.4</v>
          </cell>
          <cell r="O30">
            <v>33.5</v>
          </cell>
        </row>
        <row r="31">
          <cell r="A31">
            <v>201</v>
          </cell>
          <cell r="B31">
            <v>2</v>
          </cell>
          <cell r="C31">
            <v>13.279</v>
          </cell>
          <cell r="D31">
            <v>30.3</v>
          </cell>
          <cell r="E31">
            <v>30.1</v>
          </cell>
          <cell r="F31">
            <v>27.6</v>
          </cell>
          <cell r="G31">
            <v>29.2</v>
          </cell>
          <cell r="H31">
            <v>28.7</v>
          </cell>
          <cell r="I31">
            <v>28.6</v>
          </cell>
          <cell r="J31">
            <v>29.1</v>
          </cell>
          <cell r="K31">
            <v>30.9</v>
          </cell>
          <cell r="L31">
            <v>31.6</v>
          </cell>
          <cell r="M31">
            <v>30.4</v>
          </cell>
          <cell r="N31">
            <v>30.3</v>
          </cell>
          <cell r="O31">
            <v>30.1</v>
          </cell>
        </row>
        <row r="32">
          <cell r="A32">
            <v>202</v>
          </cell>
          <cell r="B32">
            <v>1</v>
          </cell>
          <cell r="C32">
            <v>13.291</v>
          </cell>
          <cell r="D32">
            <v>40.9</v>
          </cell>
          <cell r="E32">
            <v>33.6</v>
          </cell>
          <cell r="F32">
            <v>30.5</v>
          </cell>
          <cell r="G32">
            <v>39.5</v>
          </cell>
          <cell r="H32">
            <v>34</v>
          </cell>
          <cell r="I32">
            <v>37.700000000000003</v>
          </cell>
          <cell r="J32">
            <v>32.1</v>
          </cell>
          <cell r="K32">
            <v>41</v>
          </cell>
          <cell r="L32">
            <v>32</v>
          </cell>
          <cell r="M32">
            <v>39.4</v>
          </cell>
          <cell r="N32">
            <v>31.2</v>
          </cell>
          <cell r="O32">
            <v>33.1</v>
          </cell>
        </row>
        <row r="33">
          <cell r="A33">
            <v>202</v>
          </cell>
          <cell r="B33">
            <v>2</v>
          </cell>
          <cell r="C33">
            <v>13.295</v>
          </cell>
          <cell r="D33">
            <v>28.7</v>
          </cell>
          <cell r="E33">
            <v>28.9</v>
          </cell>
          <cell r="F33">
            <v>31.3</v>
          </cell>
          <cell r="G33">
            <v>30.7</v>
          </cell>
          <cell r="H33">
            <v>31.4</v>
          </cell>
          <cell r="I33">
            <v>31.3</v>
          </cell>
          <cell r="J33">
            <v>30.7</v>
          </cell>
          <cell r="K33">
            <v>31.3</v>
          </cell>
          <cell r="L33">
            <v>31.5</v>
          </cell>
          <cell r="M33">
            <v>31.1</v>
          </cell>
          <cell r="N33">
            <v>30.6</v>
          </cell>
          <cell r="O33">
            <v>31.4</v>
          </cell>
        </row>
        <row r="34">
          <cell r="A34">
            <v>203</v>
          </cell>
          <cell r="B34">
            <v>1</v>
          </cell>
          <cell r="C34">
            <v>13.308</v>
          </cell>
          <cell r="D34">
            <v>32.6</v>
          </cell>
          <cell r="E34">
            <v>36.4</v>
          </cell>
          <cell r="F34">
            <v>31.3</v>
          </cell>
          <cell r="G34">
            <v>39.299999999999997</v>
          </cell>
          <cell r="H34">
            <v>31.5</v>
          </cell>
          <cell r="I34">
            <v>37.299999999999997</v>
          </cell>
          <cell r="J34">
            <v>32.799999999999997</v>
          </cell>
          <cell r="K34">
            <v>36.9</v>
          </cell>
          <cell r="L34">
            <v>37.6</v>
          </cell>
          <cell r="M34">
            <v>31.6</v>
          </cell>
          <cell r="N34">
            <v>35.799999999999997</v>
          </cell>
          <cell r="O34">
            <v>31.6</v>
          </cell>
        </row>
        <row r="35">
          <cell r="A35">
            <v>203</v>
          </cell>
          <cell r="B35">
            <v>2</v>
          </cell>
          <cell r="C35">
            <v>13.311999999999999</v>
          </cell>
          <cell r="D35">
            <v>31.9</v>
          </cell>
          <cell r="E35">
            <v>31.3</v>
          </cell>
          <cell r="F35">
            <v>31.2</v>
          </cell>
          <cell r="G35">
            <v>33.299999999999997</v>
          </cell>
          <cell r="H35">
            <v>31.5</v>
          </cell>
          <cell r="I35">
            <v>33.6</v>
          </cell>
          <cell r="J35">
            <v>32.1</v>
          </cell>
          <cell r="K35">
            <v>30.6</v>
          </cell>
          <cell r="L35">
            <v>31.5</v>
          </cell>
          <cell r="M35">
            <v>31</v>
          </cell>
          <cell r="N35">
            <v>31.6</v>
          </cell>
          <cell r="O35">
            <v>31.3</v>
          </cell>
        </row>
        <row r="36">
          <cell r="A36">
            <v>204</v>
          </cell>
          <cell r="B36">
            <v>1</v>
          </cell>
          <cell r="C36">
            <v>13.324999999999999</v>
          </cell>
          <cell r="D36">
            <v>31.6</v>
          </cell>
          <cell r="E36">
            <v>33.6</v>
          </cell>
          <cell r="F36">
            <v>33.700000000000003</v>
          </cell>
          <cell r="G36">
            <v>35</v>
          </cell>
          <cell r="H36">
            <v>34.200000000000003</v>
          </cell>
          <cell r="I36">
            <v>33.700000000000003</v>
          </cell>
          <cell r="J36">
            <v>32.4</v>
          </cell>
          <cell r="K36">
            <v>34.200000000000003</v>
          </cell>
          <cell r="L36">
            <v>31.8</v>
          </cell>
          <cell r="M36">
            <v>32.700000000000003</v>
          </cell>
          <cell r="N36">
            <v>30.2</v>
          </cell>
          <cell r="O36">
            <v>32.4</v>
          </cell>
        </row>
        <row r="37">
          <cell r="A37">
            <v>204</v>
          </cell>
          <cell r="B37">
            <v>2</v>
          </cell>
          <cell r="C37">
            <v>13.33</v>
          </cell>
          <cell r="D37">
            <v>31.7</v>
          </cell>
          <cell r="E37">
            <v>29.7</v>
          </cell>
          <cell r="F37">
            <v>31.1</v>
          </cell>
          <cell r="G37">
            <v>31.8</v>
          </cell>
          <cell r="H37">
            <v>32.6</v>
          </cell>
          <cell r="I37">
            <v>31.2</v>
          </cell>
          <cell r="J37">
            <v>31.3</v>
          </cell>
          <cell r="K37">
            <v>31.1</v>
          </cell>
          <cell r="L37">
            <v>32.200000000000003</v>
          </cell>
          <cell r="M37">
            <v>32.200000000000003</v>
          </cell>
          <cell r="N37">
            <v>30.6</v>
          </cell>
          <cell r="O37">
            <v>30.8</v>
          </cell>
        </row>
        <row r="38">
          <cell r="A38">
            <v>205</v>
          </cell>
          <cell r="B38">
            <v>1</v>
          </cell>
          <cell r="C38">
            <v>13.340999999999999</v>
          </cell>
          <cell r="D38">
            <v>38.799999999999997</v>
          </cell>
          <cell r="E38">
            <v>38.799999999999997</v>
          </cell>
          <cell r="F38">
            <v>35.700000000000003</v>
          </cell>
          <cell r="G38">
            <v>33.299999999999997</v>
          </cell>
          <cell r="H38">
            <v>32.200000000000003</v>
          </cell>
          <cell r="I38">
            <v>36.1</v>
          </cell>
          <cell r="J38">
            <v>31.5</v>
          </cell>
          <cell r="K38">
            <v>40.700000000000003</v>
          </cell>
          <cell r="L38">
            <v>35.700000000000003</v>
          </cell>
          <cell r="M38">
            <v>32.9</v>
          </cell>
          <cell r="N38">
            <v>30.4</v>
          </cell>
          <cell r="O38">
            <v>31.9</v>
          </cell>
        </row>
        <row r="39">
          <cell r="A39">
            <v>205</v>
          </cell>
          <cell r="B39">
            <v>2</v>
          </cell>
          <cell r="C39">
            <v>13.348000000000001</v>
          </cell>
          <cell r="D39">
            <v>31.8</v>
          </cell>
          <cell r="E39">
            <v>31.5</v>
          </cell>
          <cell r="F39">
            <v>32.4</v>
          </cell>
          <cell r="G39">
            <v>31.3</v>
          </cell>
          <cell r="H39">
            <v>31.9</v>
          </cell>
          <cell r="I39">
            <v>31.2</v>
          </cell>
          <cell r="J39">
            <v>32.299999999999997</v>
          </cell>
          <cell r="K39">
            <v>31.1</v>
          </cell>
          <cell r="L39">
            <v>31.6</v>
          </cell>
          <cell r="M39">
            <v>30.4</v>
          </cell>
          <cell r="N39">
            <v>32</v>
          </cell>
          <cell r="O39">
            <v>32.799999999999997</v>
          </cell>
        </row>
        <row r="40">
          <cell r="A40">
            <v>206</v>
          </cell>
          <cell r="B40">
            <v>1</v>
          </cell>
          <cell r="C40">
            <v>13.359</v>
          </cell>
          <cell r="D40">
            <v>52.4</v>
          </cell>
          <cell r="E40">
            <v>46.8</v>
          </cell>
          <cell r="F40">
            <v>50</v>
          </cell>
          <cell r="G40">
            <v>44.6</v>
          </cell>
          <cell r="H40">
            <v>41</v>
          </cell>
          <cell r="I40">
            <v>49.9</v>
          </cell>
          <cell r="J40">
            <v>37.4</v>
          </cell>
          <cell r="K40">
            <v>49.6</v>
          </cell>
          <cell r="L40">
            <v>45.1</v>
          </cell>
          <cell r="M40">
            <v>52.9</v>
          </cell>
          <cell r="N40">
            <v>51.3</v>
          </cell>
          <cell r="O40">
            <v>38.9</v>
          </cell>
        </row>
        <row r="41">
          <cell r="A41">
            <v>206</v>
          </cell>
          <cell r="B41">
            <v>2</v>
          </cell>
          <cell r="C41">
            <v>13.363</v>
          </cell>
          <cell r="D41">
            <v>34.1</v>
          </cell>
          <cell r="E41">
            <v>32.799999999999997</v>
          </cell>
          <cell r="F41">
            <v>32.200000000000003</v>
          </cell>
          <cell r="G41">
            <v>31.6</v>
          </cell>
          <cell r="H41">
            <v>31.6</v>
          </cell>
          <cell r="I41">
            <v>30.6</v>
          </cell>
          <cell r="J41">
            <v>30.7</v>
          </cell>
          <cell r="K41">
            <v>31.1</v>
          </cell>
          <cell r="L41">
            <v>31.9</v>
          </cell>
          <cell r="M41">
            <v>32.5</v>
          </cell>
          <cell r="N41">
            <v>31.8</v>
          </cell>
          <cell r="O41">
            <v>30.6</v>
          </cell>
        </row>
        <row r="42">
          <cell r="A42">
            <v>207</v>
          </cell>
          <cell r="B42">
            <v>1</v>
          </cell>
          <cell r="C42">
            <v>13.375999999999999</v>
          </cell>
          <cell r="D42">
            <v>39.799999999999997</v>
          </cell>
          <cell r="E42">
            <v>35.700000000000003</v>
          </cell>
          <cell r="F42">
            <v>35.1</v>
          </cell>
          <cell r="G42">
            <v>37.6</v>
          </cell>
          <cell r="H42">
            <v>35.9</v>
          </cell>
          <cell r="I42">
            <v>36.799999999999997</v>
          </cell>
          <cell r="J42">
            <v>35</v>
          </cell>
          <cell r="K42">
            <v>38.4</v>
          </cell>
          <cell r="L42">
            <v>33.6</v>
          </cell>
          <cell r="M42">
            <v>36.9</v>
          </cell>
          <cell r="N42">
            <v>36.799999999999997</v>
          </cell>
          <cell r="O42">
            <v>35.9</v>
          </cell>
        </row>
        <row r="43">
          <cell r="A43">
            <v>207</v>
          </cell>
          <cell r="B43">
            <v>2</v>
          </cell>
          <cell r="C43">
            <v>13.381</v>
          </cell>
          <cell r="D43">
            <v>34.200000000000003</v>
          </cell>
          <cell r="E43">
            <v>33.700000000000003</v>
          </cell>
          <cell r="F43">
            <v>33.4</v>
          </cell>
          <cell r="G43">
            <v>32.200000000000003</v>
          </cell>
          <cell r="H43">
            <v>33</v>
          </cell>
          <cell r="I43">
            <v>33.6</v>
          </cell>
          <cell r="J43">
            <v>33.1</v>
          </cell>
          <cell r="K43">
            <v>31.1</v>
          </cell>
          <cell r="L43">
            <v>31.6</v>
          </cell>
          <cell r="M43">
            <v>30.9</v>
          </cell>
          <cell r="N43">
            <v>31.4</v>
          </cell>
          <cell r="O43">
            <v>31.4</v>
          </cell>
        </row>
        <row r="44">
          <cell r="A44">
            <v>208</v>
          </cell>
          <cell r="B44">
            <v>1</v>
          </cell>
          <cell r="C44">
            <v>13.393000000000001</v>
          </cell>
          <cell r="D44">
            <v>40.9</v>
          </cell>
          <cell r="E44">
            <v>36.5</v>
          </cell>
          <cell r="F44">
            <v>35.4</v>
          </cell>
          <cell r="G44">
            <v>33.700000000000003</v>
          </cell>
          <cell r="H44">
            <v>37.700000000000003</v>
          </cell>
          <cell r="I44">
            <v>35.299999999999997</v>
          </cell>
          <cell r="J44">
            <v>38.5</v>
          </cell>
          <cell r="K44">
            <v>36.4</v>
          </cell>
          <cell r="L44">
            <v>33.700000000000003</v>
          </cell>
          <cell r="M44">
            <v>39.5</v>
          </cell>
          <cell r="N44">
            <v>37.5</v>
          </cell>
          <cell r="O44">
            <v>32.9</v>
          </cell>
        </row>
        <row r="45">
          <cell r="A45">
            <v>208</v>
          </cell>
          <cell r="B45">
            <v>2</v>
          </cell>
          <cell r="C45">
            <v>13.397</v>
          </cell>
          <cell r="D45">
            <v>29.4</v>
          </cell>
          <cell r="E45">
            <v>28.9</v>
          </cell>
          <cell r="F45">
            <v>32</v>
          </cell>
          <cell r="G45">
            <v>30.2</v>
          </cell>
          <cell r="H45">
            <v>30.1</v>
          </cell>
          <cell r="I45">
            <v>31.4</v>
          </cell>
          <cell r="J45">
            <v>29.6</v>
          </cell>
          <cell r="K45">
            <v>30.2</v>
          </cell>
          <cell r="L45">
            <v>31.7</v>
          </cell>
          <cell r="M45">
            <v>31.4</v>
          </cell>
          <cell r="N45">
            <v>31.4</v>
          </cell>
          <cell r="O45">
            <v>30.4</v>
          </cell>
        </row>
        <row r="46">
          <cell r="A46">
            <v>908</v>
          </cell>
          <cell r="B46">
            <v>1</v>
          </cell>
          <cell r="C46">
            <v>13.412000000000001</v>
          </cell>
          <cell r="D46">
            <v>49</v>
          </cell>
          <cell r="E46">
            <v>57.7</v>
          </cell>
          <cell r="F46">
            <v>48.9</v>
          </cell>
          <cell r="G46">
            <v>54.7</v>
          </cell>
          <cell r="H46">
            <v>50.9</v>
          </cell>
          <cell r="I46">
            <v>57</v>
          </cell>
          <cell r="J46">
            <v>51.4</v>
          </cell>
          <cell r="K46">
            <v>61.6</v>
          </cell>
          <cell r="L46">
            <v>48.1</v>
          </cell>
          <cell r="M46">
            <v>57.9</v>
          </cell>
          <cell r="N46">
            <v>60.5</v>
          </cell>
          <cell r="O46">
            <v>55.5</v>
          </cell>
        </row>
        <row r="47">
          <cell r="A47">
            <v>908</v>
          </cell>
          <cell r="B47">
            <v>2</v>
          </cell>
          <cell r="C47">
            <v>13.417</v>
          </cell>
          <cell r="D47">
            <v>37.9</v>
          </cell>
          <cell r="E47">
            <v>38.299999999999997</v>
          </cell>
          <cell r="F47">
            <v>33.4</v>
          </cell>
          <cell r="G47">
            <v>39.9</v>
          </cell>
          <cell r="H47">
            <v>32.799999999999997</v>
          </cell>
          <cell r="I47">
            <v>34.700000000000003</v>
          </cell>
          <cell r="J47">
            <v>31.8</v>
          </cell>
          <cell r="K47">
            <v>37.299999999999997</v>
          </cell>
          <cell r="L47">
            <v>36.799999999999997</v>
          </cell>
          <cell r="M47">
            <v>39.700000000000003</v>
          </cell>
          <cell r="N47">
            <v>36.799999999999997</v>
          </cell>
          <cell r="O47">
            <v>39.6</v>
          </cell>
        </row>
        <row r="48">
          <cell r="A48">
            <v>907</v>
          </cell>
          <cell r="B48">
            <v>1</v>
          </cell>
          <cell r="C48">
            <v>13.43</v>
          </cell>
          <cell r="D48">
            <v>67.900000000000006</v>
          </cell>
          <cell r="E48">
            <v>69.3</v>
          </cell>
          <cell r="F48">
            <v>67.900000000000006</v>
          </cell>
          <cell r="G48">
            <v>68.099999999999994</v>
          </cell>
          <cell r="H48">
            <v>67.8</v>
          </cell>
          <cell r="I48">
            <v>68.2</v>
          </cell>
          <cell r="J48">
            <v>68.099999999999994</v>
          </cell>
          <cell r="K48">
            <v>67.400000000000006</v>
          </cell>
          <cell r="L48">
            <v>67.900000000000006</v>
          </cell>
          <cell r="M48">
            <v>67.900000000000006</v>
          </cell>
          <cell r="N48">
            <v>68.7</v>
          </cell>
          <cell r="O48">
            <v>68.7</v>
          </cell>
        </row>
        <row r="50">
          <cell r="A50">
            <v>906</v>
          </cell>
          <cell r="B50">
            <v>1</v>
          </cell>
          <cell r="C50">
            <v>13.439</v>
          </cell>
          <cell r="D50">
            <v>38.700000000000003</v>
          </cell>
          <cell r="E50">
            <v>34.799999999999997</v>
          </cell>
          <cell r="F50">
            <v>31.8</v>
          </cell>
          <cell r="G50">
            <v>37.200000000000003</v>
          </cell>
          <cell r="H50">
            <v>31.8</v>
          </cell>
          <cell r="I50">
            <v>37.4</v>
          </cell>
          <cell r="J50">
            <v>32</v>
          </cell>
          <cell r="K50">
            <v>38.9</v>
          </cell>
          <cell r="L50">
            <v>33</v>
          </cell>
          <cell r="M50">
            <v>39</v>
          </cell>
          <cell r="N50">
            <v>38.5</v>
          </cell>
          <cell r="O50">
            <v>30.2</v>
          </cell>
        </row>
        <row r="51">
          <cell r="A51">
            <v>906</v>
          </cell>
          <cell r="B51">
            <v>2</v>
          </cell>
          <cell r="C51">
            <v>13.443</v>
          </cell>
          <cell r="D51">
            <v>29.8</v>
          </cell>
          <cell r="E51">
            <v>28.9</v>
          </cell>
          <cell r="F51">
            <v>30.6</v>
          </cell>
          <cell r="G51">
            <v>30.6</v>
          </cell>
          <cell r="H51">
            <v>30.5</v>
          </cell>
          <cell r="I51">
            <v>30</v>
          </cell>
          <cell r="J51">
            <v>31.2</v>
          </cell>
          <cell r="K51">
            <v>30.1</v>
          </cell>
          <cell r="L51">
            <v>31.1</v>
          </cell>
          <cell r="M51">
            <v>30.7</v>
          </cell>
          <cell r="N51">
            <v>31.5</v>
          </cell>
          <cell r="O51">
            <v>30.6</v>
          </cell>
        </row>
        <row r="52">
          <cell r="A52">
            <v>905</v>
          </cell>
          <cell r="B52">
            <v>1</v>
          </cell>
          <cell r="C52">
            <v>13.456</v>
          </cell>
          <cell r="D52">
            <v>53</v>
          </cell>
          <cell r="E52">
            <v>50.4</v>
          </cell>
          <cell r="F52">
            <v>51.1</v>
          </cell>
          <cell r="G52">
            <v>52.9</v>
          </cell>
          <cell r="H52">
            <v>52.8</v>
          </cell>
          <cell r="I52">
            <v>52.7</v>
          </cell>
          <cell r="J52">
            <v>51.5</v>
          </cell>
          <cell r="K52">
            <v>51.7</v>
          </cell>
          <cell r="L52">
            <v>52.3</v>
          </cell>
          <cell r="M52">
            <v>52.5</v>
          </cell>
          <cell r="N52">
            <v>53.8</v>
          </cell>
          <cell r="O52">
            <v>53.8</v>
          </cell>
        </row>
        <row r="54">
          <cell r="A54">
            <v>904</v>
          </cell>
          <cell r="B54">
            <v>1</v>
          </cell>
          <cell r="C54">
            <v>13.464</v>
          </cell>
          <cell r="D54">
            <v>66.7</v>
          </cell>
          <cell r="E54">
            <v>49.3</v>
          </cell>
          <cell r="F54">
            <v>52.3</v>
          </cell>
          <cell r="G54">
            <v>59.6</v>
          </cell>
          <cell r="H54">
            <v>46.7</v>
          </cell>
          <cell r="I54">
            <v>64</v>
          </cell>
          <cell r="J54">
            <v>41.6</v>
          </cell>
          <cell r="K54">
            <v>67.5</v>
          </cell>
          <cell r="L54">
            <v>41.3</v>
          </cell>
          <cell r="M54">
            <v>59.9</v>
          </cell>
          <cell r="N54">
            <v>47.5</v>
          </cell>
          <cell r="O54">
            <v>53.4</v>
          </cell>
        </row>
        <row r="55">
          <cell r="A55">
            <v>904</v>
          </cell>
          <cell r="B55">
            <v>2</v>
          </cell>
          <cell r="C55">
            <v>13.468</v>
          </cell>
          <cell r="D55">
            <v>34.1</v>
          </cell>
          <cell r="E55">
            <v>34.9</v>
          </cell>
          <cell r="F55">
            <v>33.1</v>
          </cell>
          <cell r="G55">
            <v>38.6</v>
          </cell>
          <cell r="H55">
            <v>34.4</v>
          </cell>
          <cell r="I55">
            <v>38.4</v>
          </cell>
          <cell r="J55">
            <v>34.799999999999997</v>
          </cell>
          <cell r="K55">
            <v>39.299999999999997</v>
          </cell>
          <cell r="L55">
            <v>36.9</v>
          </cell>
          <cell r="M55">
            <v>40.799999999999997</v>
          </cell>
          <cell r="N55">
            <v>41.2</v>
          </cell>
          <cell r="O55">
            <v>42.8</v>
          </cell>
        </row>
        <row r="56">
          <cell r="A56">
            <v>903</v>
          </cell>
          <cell r="B56">
            <v>1</v>
          </cell>
          <cell r="C56">
            <v>13.481</v>
          </cell>
          <cell r="D56">
            <v>68.099999999999994</v>
          </cell>
          <cell r="E56">
            <v>68.2</v>
          </cell>
          <cell r="F56">
            <v>68.5</v>
          </cell>
          <cell r="G56">
            <v>68.3</v>
          </cell>
          <cell r="H56">
            <v>67.7</v>
          </cell>
          <cell r="I56">
            <v>68.5</v>
          </cell>
          <cell r="J56">
            <v>68.2</v>
          </cell>
          <cell r="K56">
            <v>68.2</v>
          </cell>
          <cell r="L56">
            <v>68.2</v>
          </cell>
          <cell r="M56">
            <v>68.5</v>
          </cell>
          <cell r="N56">
            <v>68.7</v>
          </cell>
          <cell r="O56">
            <v>68.400000000000006</v>
          </cell>
        </row>
        <row r="58">
          <cell r="A58">
            <v>902</v>
          </cell>
          <cell r="B58">
            <v>1</v>
          </cell>
          <cell r="C58">
            <v>13.49</v>
          </cell>
          <cell r="D58">
            <v>40.299999999999997</v>
          </cell>
          <cell r="E58">
            <v>35.4</v>
          </cell>
          <cell r="F58">
            <v>33.5</v>
          </cell>
          <cell r="G58">
            <v>35.200000000000003</v>
          </cell>
          <cell r="H58">
            <v>33.299999999999997</v>
          </cell>
          <cell r="I58">
            <v>35.799999999999997</v>
          </cell>
          <cell r="J58">
            <v>34.299999999999997</v>
          </cell>
          <cell r="K58">
            <v>36.799999999999997</v>
          </cell>
          <cell r="L58">
            <v>31.4</v>
          </cell>
          <cell r="M58">
            <v>41.5</v>
          </cell>
          <cell r="N58">
            <v>38.9</v>
          </cell>
          <cell r="O58">
            <v>37.4</v>
          </cell>
        </row>
        <row r="59">
          <cell r="A59">
            <v>902</v>
          </cell>
          <cell r="B59">
            <v>2</v>
          </cell>
          <cell r="C59">
            <v>13.494999999999999</v>
          </cell>
          <cell r="D59">
            <v>30.7</v>
          </cell>
          <cell r="E59">
            <v>30.1</v>
          </cell>
          <cell r="F59">
            <v>32</v>
          </cell>
          <cell r="G59">
            <v>32</v>
          </cell>
          <cell r="H59">
            <v>32.1</v>
          </cell>
          <cell r="I59">
            <v>33.799999999999997</v>
          </cell>
          <cell r="J59">
            <v>32.799999999999997</v>
          </cell>
          <cell r="K59">
            <v>33.6</v>
          </cell>
          <cell r="L59">
            <v>31.2</v>
          </cell>
          <cell r="M59">
            <v>32.799999999999997</v>
          </cell>
          <cell r="N59">
            <v>31</v>
          </cell>
          <cell r="O59">
            <v>32.5</v>
          </cell>
        </row>
        <row r="60">
          <cell r="A60">
            <v>901</v>
          </cell>
          <cell r="B60">
            <v>1</v>
          </cell>
          <cell r="C60">
            <v>13.507999999999999</v>
          </cell>
          <cell r="D60">
            <v>39.6</v>
          </cell>
          <cell r="E60">
            <v>39.5</v>
          </cell>
          <cell r="F60">
            <v>39.6</v>
          </cell>
          <cell r="G60">
            <v>39.700000000000003</v>
          </cell>
          <cell r="H60">
            <v>39.799999999999997</v>
          </cell>
          <cell r="I60">
            <v>39.700000000000003</v>
          </cell>
          <cell r="J60">
            <v>39.700000000000003</v>
          </cell>
          <cell r="K60">
            <v>40.1</v>
          </cell>
          <cell r="L60">
            <v>39.9</v>
          </cell>
          <cell r="M60">
            <v>40</v>
          </cell>
          <cell r="N60">
            <v>40.299999999999997</v>
          </cell>
          <cell r="O60">
            <v>40.4</v>
          </cell>
        </row>
        <row r="62">
          <cell r="A62">
            <v>301</v>
          </cell>
          <cell r="B62">
            <v>1</v>
          </cell>
          <cell r="C62">
            <v>13.519</v>
          </cell>
          <cell r="D62">
            <v>36.9</v>
          </cell>
          <cell r="E62">
            <v>33.1</v>
          </cell>
          <cell r="F62">
            <v>35.299999999999997</v>
          </cell>
          <cell r="G62">
            <v>34.5</v>
          </cell>
          <cell r="H62">
            <v>31.7</v>
          </cell>
          <cell r="I62">
            <v>37.1</v>
          </cell>
          <cell r="J62">
            <v>32.700000000000003</v>
          </cell>
          <cell r="K62">
            <v>34</v>
          </cell>
          <cell r="L62">
            <v>35</v>
          </cell>
          <cell r="M62">
            <v>36.200000000000003</v>
          </cell>
          <cell r="N62">
            <v>33.799999999999997</v>
          </cell>
          <cell r="O62">
            <v>34.700000000000003</v>
          </cell>
        </row>
        <row r="63">
          <cell r="A63">
            <v>301</v>
          </cell>
          <cell r="B63">
            <v>2</v>
          </cell>
          <cell r="C63">
            <v>13.523999999999999</v>
          </cell>
          <cell r="D63">
            <v>32.700000000000003</v>
          </cell>
          <cell r="E63">
            <v>31.7</v>
          </cell>
          <cell r="F63">
            <v>30.5</v>
          </cell>
          <cell r="G63">
            <v>30.5</v>
          </cell>
          <cell r="H63">
            <v>30.7</v>
          </cell>
          <cell r="I63">
            <v>30.6</v>
          </cell>
          <cell r="J63">
            <v>30.4</v>
          </cell>
          <cell r="K63">
            <v>30</v>
          </cell>
          <cell r="L63">
            <v>29.4</v>
          </cell>
          <cell r="M63">
            <v>29.6</v>
          </cell>
          <cell r="N63">
            <v>28.2</v>
          </cell>
          <cell r="O63">
            <v>28.4</v>
          </cell>
        </row>
        <row r="64">
          <cell r="A64">
            <v>302</v>
          </cell>
          <cell r="B64">
            <v>1</v>
          </cell>
          <cell r="C64">
            <v>13.536</v>
          </cell>
          <cell r="D64">
            <v>39</v>
          </cell>
          <cell r="E64">
            <v>32.1</v>
          </cell>
          <cell r="F64">
            <v>35.799999999999997</v>
          </cell>
          <cell r="G64">
            <v>37.6</v>
          </cell>
          <cell r="H64">
            <v>33.799999999999997</v>
          </cell>
          <cell r="I64">
            <v>33.700000000000003</v>
          </cell>
          <cell r="J64">
            <v>30.4</v>
          </cell>
          <cell r="K64">
            <v>40.799999999999997</v>
          </cell>
          <cell r="L64">
            <v>31.5</v>
          </cell>
          <cell r="M64">
            <v>38.799999999999997</v>
          </cell>
          <cell r="N64">
            <v>31.7</v>
          </cell>
          <cell r="O64">
            <v>37.9</v>
          </cell>
        </row>
        <row r="65">
          <cell r="A65">
            <v>302</v>
          </cell>
          <cell r="B65">
            <v>2</v>
          </cell>
          <cell r="C65">
            <v>13.541</v>
          </cell>
          <cell r="D65">
            <v>31.1</v>
          </cell>
          <cell r="E65">
            <v>31.2</v>
          </cell>
          <cell r="F65">
            <v>30.5</v>
          </cell>
          <cell r="G65">
            <v>30.8</v>
          </cell>
          <cell r="H65">
            <v>29.1</v>
          </cell>
          <cell r="I65">
            <v>31.2</v>
          </cell>
          <cell r="J65">
            <v>29.1</v>
          </cell>
          <cell r="K65">
            <v>29.2</v>
          </cell>
          <cell r="L65">
            <v>29.7</v>
          </cell>
          <cell r="M65">
            <v>29.6</v>
          </cell>
          <cell r="N65">
            <v>30.3</v>
          </cell>
          <cell r="O65">
            <v>29.9</v>
          </cell>
        </row>
        <row r="66">
          <cell r="A66">
            <v>303</v>
          </cell>
          <cell r="B66">
            <v>1</v>
          </cell>
          <cell r="C66">
            <v>13.553000000000001</v>
          </cell>
          <cell r="D66">
            <v>50.9</v>
          </cell>
          <cell r="E66">
            <v>45.4</v>
          </cell>
          <cell r="F66">
            <v>34.299999999999997</v>
          </cell>
          <cell r="G66">
            <v>44.7</v>
          </cell>
          <cell r="H66">
            <v>37.700000000000003</v>
          </cell>
          <cell r="I66">
            <v>49.8</v>
          </cell>
          <cell r="J66">
            <v>32.6</v>
          </cell>
          <cell r="K66">
            <v>47.6</v>
          </cell>
          <cell r="L66">
            <v>32.700000000000003</v>
          </cell>
          <cell r="M66">
            <v>48.4</v>
          </cell>
          <cell r="N66">
            <v>32</v>
          </cell>
          <cell r="O66">
            <v>48.8</v>
          </cell>
        </row>
        <row r="67">
          <cell r="A67">
            <v>303</v>
          </cell>
          <cell r="B67">
            <v>2</v>
          </cell>
          <cell r="C67">
            <v>13.558</v>
          </cell>
          <cell r="D67">
            <v>31.5</v>
          </cell>
          <cell r="E67">
            <v>30.5</v>
          </cell>
          <cell r="F67">
            <v>31.7</v>
          </cell>
          <cell r="G67">
            <v>31.6</v>
          </cell>
          <cell r="H67">
            <v>31.7</v>
          </cell>
          <cell r="I67">
            <v>31.8</v>
          </cell>
          <cell r="J67">
            <v>31.3</v>
          </cell>
          <cell r="K67">
            <v>31.9</v>
          </cell>
          <cell r="L67">
            <v>32.1</v>
          </cell>
          <cell r="M67">
            <v>32.700000000000003</v>
          </cell>
          <cell r="N67">
            <v>30.8</v>
          </cell>
          <cell r="O67">
            <v>31.9</v>
          </cell>
        </row>
        <row r="68">
          <cell r="A68">
            <v>304</v>
          </cell>
          <cell r="B68">
            <v>1</v>
          </cell>
          <cell r="C68">
            <v>13.57</v>
          </cell>
          <cell r="D68">
            <v>37.6</v>
          </cell>
          <cell r="E68">
            <v>38.200000000000003</v>
          </cell>
          <cell r="F68">
            <v>31.7</v>
          </cell>
          <cell r="G68">
            <v>37.6</v>
          </cell>
          <cell r="H68">
            <v>31</v>
          </cell>
          <cell r="I68">
            <v>34.5</v>
          </cell>
          <cell r="J68">
            <v>31</v>
          </cell>
          <cell r="K68">
            <v>32.6</v>
          </cell>
          <cell r="L68">
            <v>29.9</v>
          </cell>
          <cell r="M68">
            <v>31.5</v>
          </cell>
          <cell r="N68">
            <v>32.4</v>
          </cell>
          <cell r="O68">
            <v>37.200000000000003</v>
          </cell>
        </row>
        <row r="69">
          <cell r="A69">
            <v>304</v>
          </cell>
          <cell r="B69">
            <v>2</v>
          </cell>
          <cell r="C69">
            <v>13.574</v>
          </cell>
          <cell r="D69">
            <v>29</v>
          </cell>
          <cell r="E69">
            <v>29</v>
          </cell>
          <cell r="F69">
            <v>28.6</v>
          </cell>
          <cell r="G69">
            <v>30.8</v>
          </cell>
          <cell r="H69">
            <v>30</v>
          </cell>
          <cell r="I69">
            <v>30.5</v>
          </cell>
          <cell r="J69">
            <v>29.7</v>
          </cell>
          <cell r="K69">
            <v>29.7</v>
          </cell>
          <cell r="L69">
            <v>30.7</v>
          </cell>
          <cell r="M69">
            <v>30.2</v>
          </cell>
          <cell r="N69">
            <v>29.4</v>
          </cell>
          <cell r="O69">
            <v>29.4</v>
          </cell>
        </row>
        <row r="70">
          <cell r="A70">
            <v>305</v>
          </cell>
          <cell r="B70">
            <v>1</v>
          </cell>
          <cell r="C70">
            <v>13.586</v>
          </cell>
          <cell r="D70">
            <v>33.4</v>
          </cell>
          <cell r="E70">
            <v>31.1</v>
          </cell>
          <cell r="F70">
            <v>29.5</v>
          </cell>
          <cell r="G70">
            <v>31.3</v>
          </cell>
          <cell r="H70">
            <v>29.8</v>
          </cell>
          <cell r="I70">
            <v>32.200000000000003</v>
          </cell>
          <cell r="J70">
            <v>28.6</v>
          </cell>
          <cell r="K70">
            <v>31.2</v>
          </cell>
          <cell r="L70">
            <v>29.6</v>
          </cell>
          <cell r="M70">
            <v>29.3</v>
          </cell>
          <cell r="N70">
            <v>29</v>
          </cell>
          <cell r="O70">
            <v>29</v>
          </cell>
        </row>
        <row r="71">
          <cell r="A71">
            <v>305</v>
          </cell>
          <cell r="B71">
            <v>2</v>
          </cell>
          <cell r="C71">
            <v>13.59</v>
          </cell>
          <cell r="D71">
            <v>28.1</v>
          </cell>
          <cell r="E71">
            <v>28.7</v>
          </cell>
          <cell r="F71">
            <v>28.6</v>
          </cell>
          <cell r="G71">
            <v>28.6</v>
          </cell>
          <cell r="H71">
            <v>27.6</v>
          </cell>
          <cell r="I71">
            <v>28.3</v>
          </cell>
          <cell r="J71">
            <v>28.7</v>
          </cell>
          <cell r="K71">
            <v>29.2</v>
          </cell>
          <cell r="L71">
            <v>28</v>
          </cell>
          <cell r="M71">
            <v>29.1</v>
          </cell>
          <cell r="N71">
            <v>28.4</v>
          </cell>
          <cell r="O71">
            <v>28.5</v>
          </cell>
        </row>
        <row r="72">
          <cell r="A72">
            <v>306</v>
          </cell>
          <cell r="B72">
            <v>1</v>
          </cell>
          <cell r="C72">
            <v>13.603</v>
          </cell>
          <cell r="D72">
            <v>34.299999999999997</v>
          </cell>
          <cell r="E72">
            <v>31.1</v>
          </cell>
          <cell r="F72">
            <v>31.1</v>
          </cell>
          <cell r="G72">
            <v>31.2</v>
          </cell>
          <cell r="H72">
            <v>32.299999999999997</v>
          </cell>
          <cell r="I72">
            <v>35.6</v>
          </cell>
          <cell r="J72">
            <v>29.9</v>
          </cell>
          <cell r="K72">
            <v>31.7</v>
          </cell>
          <cell r="L72">
            <v>33.5</v>
          </cell>
          <cell r="M72">
            <v>29.3</v>
          </cell>
          <cell r="N72">
            <v>34.6</v>
          </cell>
          <cell r="O72">
            <v>29.2</v>
          </cell>
        </row>
        <row r="73">
          <cell r="A73">
            <v>306</v>
          </cell>
          <cell r="B73">
            <v>2</v>
          </cell>
          <cell r="C73">
            <v>13.606999999999999</v>
          </cell>
          <cell r="D73">
            <v>27.9</v>
          </cell>
          <cell r="E73">
            <v>28.4</v>
          </cell>
          <cell r="F73">
            <v>28.5</v>
          </cell>
          <cell r="G73">
            <v>28.1</v>
          </cell>
          <cell r="H73">
            <v>29</v>
          </cell>
          <cell r="I73">
            <v>28.4</v>
          </cell>
          <cell r="J73">
            <v>27.9</v>
          </cell>
          <cell r="K73">
            <v>28.1</v>
          </cell>
          <cell r="L73">
            <v>28.4</v>
          </cell>
          <cell r="M73">
            <v>28.5</v>
          </cell>
          <cell r="N73">
            <v>27.6</v>
          </cell>
          <cell r="O73">
            <v>28.6</v>
          </cell>
        </row>
        <row r="74">
          <cell r="A74">
            <v>307</v>
          </cell>
          <cell r="B74">
            <v>1</v>
          </cell>
          <cell r="C74">
            <v>13.619</v>
          </cell>
          <cell r="D74">
            <v>35</v>
          </cell>
          <cell r="E74">
            <v>31.1</v>
          </cell>
          <cell r="F74">
            <v>29.7</v>
          </cell>
          <cell r="G74">
            <v>37.299999999999997</v>
          </cell>
          <cell r="H74">
            <v>30.5</v>
          </cell>
          <cell r="I74">
            <v>38.1</v>
          </cell>
          <cell r="J74">
            <v>31.2</v>
          </cell>
          <cell r="K74">
            <v>37.299999999999997</v>
          </cell>
          <cell r="L74">
            <v>30.6</v>
          </cell>
          <cell r="M74">
            <v>36.4</v>
          </cell>
          <cell r="N74">
            <v>30.3</v>
          </cell>
          <cell r="O74">
            <v>32.1</v>
          </cell>
        </row>
        <row r="75">
          <cell r="A75">
            <v>307</v>
          </cell>
          <cell r="B75">
            <v>2</v>
          </cell>
          <cell r="C75">
            <v>13.624000000000001</v>
          </cell>
          <cell r="D75">
            <v>29.4</v>
          </cell>
          <cell r="E75">
            <v>29.7</v>
          </cell>
          <cell r="F75">
            <v>28.1</v>
          </cell>
          <cell r="G75">
            <v>28.9</v>
          </cell>
          <cell r="H75">
            <v>30.5</v>
          </cell>
          <cell r="I75">
            <v>29.4</v>
          </cell>
          <cell r="J75">
            <v>28.8</v>
          </cell>
          <cell r="K75">
            <v>29.6</v>
          </cell>
          <cell r="L75">
            <v>29.1</v>
          </cell>
          <cell r="M75">
            <v>29.4</v>
          </cell>
          <cell r="N75">
            <v>30.1</v>
          </cell>
          <cell r="O75">
            <v>28</v>
          </cell>
        </row>
        <row r="76">
          <cell r="A76">
            <v>308</v>
          </cell>
          <cell r="B76">
            <v>1</v>
          </cell>
          <cell r="C76">
            <v>13.635</v>
          </cell>
          <cell r="D76">
            <v>29.9</v>
          </cell>
          <cell r="E76">
            <v>31.5</v>
          </cell>
          <cell r="F76">
            <v>29.1</v>
          </cell>
          <cell r="G76">
            <v>30.9</v>
          </cell>
          <cell r="H76">
            <v>29.7</v>
          </cell>
          <cell r="I76">
            <v>33.5</v>
          </cell>
          <cell r="J76">
            <v>29.3</v>
          </cell>
          <cell r="K76">
            <v>31.4</v>
          </cell>
          <cell r="L76">
            <v>29.2</v>
          </cell>
          <cell r="M76">
            <v>30.9</v>
          </cell>
          <cell r="N76">
            <v>29.6</v>
          </cell>
          <cell r="O76">
            <v>29.3</v>
          </cell>
        </row>
        <row r="77">
          <cell r="A77">
            <v>308</v>
          </cell>
          <cell r="B77">
            <v>2</v>
          </cell>
          <cell r="C77">
            <v>13.641</v>
          </cell>
          <cell r="D77">
            <v>29.2</v>
          </cell>
          <cell r="E77">
            <v>29.4</v>
          </cell>
          <cell r="F77">
            <v>29.9</v>
          </cell>
          <cell r="G77">
            <v>31</v>
          </cell>
          <cell r="H77">
            <v>29.1</v>
          </cell>
          <cell r="I77">
            <v>30.3</v>
          </cell>
          <cell r="J77">
            <v>30</v>
          </cell>
          <cell r="K77">
            <v>30.9</v>
          </cell>
          <cell r="L77">
            <v>29.5</v>
          </cell>
          <cell r="M77">
            <v>29.3</v>
          </cell>
          <cell r="N77">
            <v>29.4</v>
          </cell>
          <cell r="O77">
            <v>29.3</v>
          </cell>
        </row>
        <row r="78">
          <cell r="A78">
            <v>408</v>
          </cell>
          <cell r="B78">
            <v>1</v>
          </cell>
          <cell r="C78">
            <v>13.657</v>
          </cell>
          <cell r="D78">
            <v>37.5</v>
          </cell>
          <cell r="E78">
            <v>33.700000000000003</v>
          </cell>
          <cell r="F78">
            <v>29.8</v>
          </cell>
          <cell r="G78">
            <v>38.799999999999997</v>
          </cell>
          <cell r="H78">
            <v>29.4</v>
          </cell>
          <cell r="I78">
            <v>36.700000000000003</v>
          </cell>
          <cell r="J78">
            <v>30.5</v>
          </cell>
          <cell r="K78">
            <v>35.700000000000003</v>
          </cell>
          <cell r="L78">
            <v>30.1</v>
          </cell>
          <cell r="M78">
            <v>36.6</v>
          </cell>
          <cell r="N78">
            <v>29</v>
          </cell>
          <cell r="O78">
            <v>32.5</v>
          </cell>
        </row>
        <row r="79">
          <cell r="A79">
            <v>408</v>
          </cell>
          <cell r="B79">
            <v>2</v>
          </cell>
          <cell r="C79">
            <v>13.662000000000001</v>
          </cell>
          <cell r="D79">
            <v>30.2</v>
          </cell>
          <cell r="E79">
            <v>29.5</v>
          </cell>
          <cell r="F79">
            <v>28.8</v>
          </cell>
          <cell r="G79">
            <v>28.8</v>
          </cell>
          <cell r="H79">
            <v>28.1</v>
          </cell>
          <cell r="I79">
            <v>29.5</v>
          </cell>
          <cell r="J79">
            <v>30.7</v>
          </cell>
          <cell r="K79">
            <v>29</v>
          </cell>
          <cell r="L79">
            <v>29</v>
          </cell>
          <cell r="M79">
            <v>29.8</v>
          </cell>
          <cell r="N79">
            <v>32.5</v>
          </cell>
          <cell r="O79">
            <v>30.1</v>
          </cell>
        </row>
        <row r="80">
          <cell r="A80">
            <v>407</v>
          </cell>
          <cell r="B80">
            <v>1</v>
          </cell>
          <cell r="C80">
            <v>13.673999999999999</v>
          </cell>
          <cell r="D80">
            <v>40.200000000000003</v>
          </cell>
          <cell r="E80">
            <v>37.1</v>
          </cell>
          <cell r="F80">
            <v>35.5</v>
          </cell>
          <cell r="G80">
            <v>37.1</v>
          </cell>
          <cell r="H80">
            <v>31.2</v>
          </cell>
          <cell r="I80">
            <v>39.4</v>
          </cell>
          <cell r="J80">
            <v>33.9</v>
          </cell>
          <cell r="K80">
            <v>38.9</v>
          </cell>
          <cell r="L80">
            <v>33.799999999999997</v>
          </cell>
          <cell r="M80">
            <v>41.2</v>
          </cell>
          <cell r="N80">
            <v>33.6</v>
          </cell>
          <cell r="O80">
            <v>36</v>
          </cell>
        </row>
        <row r="81">
          <cell r="A81">
            <v>407</v>
          </cell>
          <cell r="B81">
            <v>2</v>
          </cell>
          <cell r="C81">
            <v>13.678000000000001</v>
          </cell>
          <cell r="D81">
            <v>29.7</v>
          </cell>
          <cell r="E81">
            <v>29.9</v>
          </cell>
          <cell r="F81">
            <v>29.4</v>
          </cell>
          <cell r="G81">
            <v>29.5</v>
          </cell>
          <cell r="H81">
            <v>31.8</v>
          </cell>
          <cell r="I81">
            <v>30.4</v>
          </cell>
          <cell r="J81">
            <v>32.9</v>
          </cell>
          <cell r="K81">
            <v>31.6</v>
          </cell>
          <cell r="L81">
            <v>32.9</v>
          </cell>
          <cell r="M81">
            <v>32.4</v>
          </cell>
          <cell r="N81">
            <v>33.1</v>
          </cell>
          <cell r="O81">
            <v>31.7</v>
          </cell>
        </row>
        <row r="82">
          <cell r="A82">
            <v>406</v>
          </cell>
          <cell r="B82">
            <v>1</v>
          </cell>
          <cell r="C82">
            <v>13.69</v>
          </cell>
          <cell r="D82">
            <v>42</v>
          </cell>
          <cell r="E82">
            <v>33.5</v>
          </cell>
          <cell r="F82">
            <v>30</v>
          </cell>
          <cell r="G82">
            <v>32.200000000000003</v>
          </cell>
          <cell r="H82">
            <v>31.6</v>
          </cell>
          <cell r="I82">
            <v>30.5</v>
          </cell>
          <cell r="J82">
            <v>31.1</v>
          </cell>
          <cell r="K82">
            <v>32.1</v>
          </cell>
          <cell r="L82">
            <v>34</v>
          </cell>
          <cell r="M82">
            <v>32.200000000000003</v>
          </cell>
          <cell r="N82">
            <v>35.200000000000003</v>
          </cell>
          <cell r="O82">
            <v>31.3</v>
          </cell>
        </row>
        <row r="83">
          <cell r="A83">
            <v>406</v>
          </cell>
          <cell r="B83">
            <v>2</v>
          </cell>
          <cell r="C83">
            <v>13.695</v>
          </cell>
          <cell r="D83">
            <v>29.5</v>
          </cell>
          <cell r="E83">
            <v>29.1</v>
          </cell>
          <cell r="F83">
            <v>29</v>
          </cell>
          <cell r="G83">
            <v>29.1</v>
          </cell>
          <cell r="H83">
            <v>30.5</v>
          </cell>
          <cell r="I83">
            <v>30.4</v>
          </cell>
          <cell r="J83">
            <v>30.3</v>
          </cell>
          <cell r="K83">
            <v>30.5</v>
          </cell>
          <cell r="L83">
            <v>31.3</v>
          </cell>
          <cell r="M83">
            <v>30.2</v>
          </cell>
          <cell r="N83">
            <v>30.7</v>
          </cell>
          <cell r="O83">
            <v>30.5</v>
          </cell>
        </row>
        <row r="84">
          <cell r="A84">
            <v>405</v>
          </cell>
          <cell r="B84">
            <v>1</v>
          </cell>
          <cell r="C84">
            <v>13.707000000000001</v>
          </cell>
          <cell r="D84">
            <v>35.200000000000003</v>
          </cell>
          <cell r="E84">
            <v>30.2</v>
          </cell>
          <cell r="F84">
            <v>29.5</v>
          </cell>
          <cell r="G84">
            <v>33.299999999999997</v>
          </cell>
          <cell r="H84">
            <v>29.5</v>
          </cell>
          <cell r="I84">
            <v>35</v>
          </cell>
          <cell r="J84">
            <v>29.4</v>
          </cell>
          <cell r="K84">
            <v>35</v>
          </cell>
          <cell r="L84">
            <v>29.7</v>
          </cell>
          <cell r="M84">
            <v>34.4</v>
          </cell>
          <cell r="N84">
            <v>29</v>
          </cell>
          <cell r="O84">
            <v>31.6</v>
          </cell>
        </row>
        <row r="85">
          <cell r="A85">
            <v>405</v>
          </cell>
          <cell r="B85">
            <v>2</v>
          </cell>
          <cell r="C85">
            <v>13.712</v>
          </cell>
          <cell r="D85">
            <v>29.6</v>
          </cell>
          <cell r="E85">
            <v>29.2</v>
          </cell>
          <cell r="F85">
            <v>29.4</v>
          </cell>
          <cell r="G85">
            <v>28.9</v>
          </cell>
          <cell r="H85">
            <v>29.1</v>
          </cell>
          <cell r="I85">
            <v>27.8</v>
          </cell>
          <cell r="J85">
            <v>28.7</v>
          </cell>
          <cell r="K85">
            <v>27.9</v>
          </cell>
          <cell r="L85">
            <v>29.3</v>
          </cell>
          <cell r="M85">
            <v>29.6</v>
          </cell>
          <cell r="N85">
            <v>28</v>
          </cell>
          <cell r="O85">
            <v>27.9</v>
          </cell>
        </row>
        <row r="86">
          <cell r="A86">
            <v>404</v>
          </cell>
          <cell r="B86">
            <v>1</v>
          </cell>
          <cell r="C86">
            <v>13.724</v>
          </cell>
          <cell r="D86">
            <v>38.200000000000003</v>
          </cell>
          <cell r="E86">
            <v>31</v>
          </cell>
          <cell r="F86">
            <v>30.5</v>
          </cell>
          <cell r="G86">
            <v>34</v>
          </cell>
          <cell r="H86">
            <v>30.8</v>
          </cell>
          <cell r="I86">
            <v>34</v>
          </cell>
          <cell r="J86">
            <v>33</v>
          </cell>
          <cell r="K86">
            <v>32.6</v>
          </cell>
          <cell r="L86">
            <v>31.2</v>
          </cell>
          <cell r="M86">
            <v>30.9</v>
          </cell>
          <cell r="N86">
            <v>37.5</v>
          </cell>
          <cell r="O86">
            <v>31</v>
          </cell>
        </row>
        <row r="87">
          <cell r="A87">
            <v>404</v>
          </cell>
          <cell r="B87">
            <v>2</v>
          </cell>
          <cell r="C87">
            <v>13.728999999999999</v>
          </cell>
          <cell r="D87">
            <v>31.3</v>
          </cell>
          <cell r="E87">
            <v>30.6</v>
          </cell>
          <cell r="F87">
            <v>30.5</v>
          </cell>
          <cell r="G87">
            <v>32.299999999999997</v>
          </cell>
          <cell r="H87">
            <v>31.8</v>
          </cell>
          <cell r="I87">
            <v>31.1</v>
          </cell>
          <cell r="J87">
            <v>32.6</v>
          </cell>
          <cell r="K87">
            <v>34.200000000000003</v>
          </cell>
          <cell r="L87">
            <v>31.8</v>
          </cell>
          <cell r="M87">
            <v>31.7</v>
          </cell>
          <cell r="N87">
            <v>32.6</v>
          </cell>
          <cell r="O87">
            <v>32.1</v>
          </cell>
        </row>
        <row r="88">
          <cell r="A88">
            <v>403</v>
          </cell>
          <cell r="B88">
            <v>1</v>
          </cell>
          <cell r="C88">
            <v>13.742000000000001</v>
          </cell>
          <cell r="D88">
            <v>36.6</v>
          </cell>
          <cell r="E88">
            <v>31</v>
          </cell>
          <cell r="F88">
            <v>30.1</v>
          </cell>
          <cell r="G88">
            <v>33.9</v>
          </cell>
          <cell r="H88">
            <v>29.2</v>
          </cell>
          <cell r="I88">
            <v>33.4</v>
          </cell>
          <cell r="J88">
            <v>29.7</v>
          </cell>
          <cell r="K88">
            <v>34.700000000000003</v>
          </cell>
          <cell r="L88">
            <v>35.5</v>
          </cell>
          <cell r="M88">
            <v>37.5</v>
          </cell>
          <cell r="N88">
            <v>33.6</v>
          </cell>
          <cell r="O88">
            <v>30.8</v>
          </cell>
        </row>
        <row r="89">
          <cell r="A89">
            <v>403</v>
          </cell>
          <cell r="B89">
            <v>2</v>
          </cell>
          <cell r="C89">
            <v>13.746</v>
          </cell>
          <cell r="D89">
            <v>30.7</v>
          </cell>
          <cell r="E89">
            <v>30.3</v>
          </cell>
          <cell r="F89">
            <v>32.799999999999997</v>
          </cell>
          <cell r="G89">
            <v>29.4</v>
          </cell>
          <cell r="H89">
            <v>31.6</v>
          </cell>
          <cell r="I89">
            <v>30.6</v>
          </cell>
          <cell r="J89">
            <v>29.5</v>
          </cell>
          <cell r="K89">
            <v>31.2</v>
          </cell>
          <cell r="L89">
            <v>28.1</v>
          </cell>
          <cell r="M89">
            <v>30.4</v>
          </cell>
          <cell r="N89">
            <v>29.2</v>
          </cell>
          <cell r="O89">
            <v>28.8</v>
          </cell>
        </row>
        <row r="90">
          <cell r="A90">
            <v>402</v>
          </cell>
          <cell r="B90">
            <v>1</v>
          </cell>
          <cell r="C90">
            <v>13.757999999999999</v>
          </cell>
          <cell r="D90">
            <v>41.2</v>
          </cell>
          <cell r="E90">
            <v>36.4</v>
          </cell>
          <cell r="F90">
            <v>32.700000000000003</v>
          </cell>
          <cell r="G90">
            <v>39.799999999999997</v>
          </cell>
          <cell r="H90">
            <v>33.200000000000003</v>
          </cell>
          <cell r="I90">
            <v>41</v>
          </cell>
          <cell r="J90">
            <v>33.6</v>
          </cell>
          <cell r="K90">
            <v>37</v>
          </cell>
          <cell r="L90">
            <v>35.1</v>
          </cell>
          <cell r="M90">
            <v>39.6</v>
          </cell>
          <cell r="N90">
            <v>34.799999999999997</v>
          </cell>
          <cell r="O90">
            <v>35.299999999999997</v>
          </cell>
        </row>
        <row r="91">
          <cell r="A91">
            <v>402</v>
          </cell>
          <cell r="B91">
            <v>2</v>
          </cell>
          <cell r="C91">
            <v>13.763</v>
          </cell>
          <cell r="D91">
            <v>31.6</v>
          </cell>
          <cell r="E91">
            <v>30.7</v>
          </cell>
          <cell r="F91">
            <v>32</v>
          </cell>
          <cell r="G91">
            <v>31.9</v>
          </cell>
          <cell r="H91">
            <v>31.9</v>
          </cell>
          <cell r="I91">
            <v>32.1</v>
          </cell>
          <cell r="J91">
            <v>33.6</v>
          </cell>
          <cell r="K91">
            <v>33.6</v>
          </cell>
          <cell r="L91">
            <v>33.5</v>
          </cell>
          <cell r="M91">
            <v>34.9</v>
          </cell>
          <cell r="N91">
            <v>34.4</v>
          </cell>
          <cell r="O91">
            <v>32.700000000000003</v>
          </cell>
        </row>
        <row r="92">
          <cell r="A92">
            <v>401</v>
          </cell>
          <cell r="B92">
            <v>1</v>
          </cell>
          <cell r="C92">
            <v>13.773999999999999</v>
          </cell>
          <cell r="D92">
            <v>48.5</v>
          </cell>
          <cell r="E92">
            <v>37.6</v>
          </cell>
          <cell r="F92">
            <v>43.2</v>
          </cell>
          <cell r="G92">
            <v>47.4</v>
          </cell>
          <cell r="H92">
            <v>38.700000000000003</v>
          </cell>
          <cell r="I92">
            <v>47.1</v>
          </cell>
          <cell r="J92">
            <v>37.200000000000003</v>
          </cell>
          <cell r="K92">
            <v>44.8</v>
          </cell>
          <cell r="L92">
            <v>40.200000000000003</v>
          </cell>
          <cell r="M92">
            <v>42.8</v>
          </cell>
          <cell r="N92">
            <v>35.9</v>
          </cell>
          <cell r="O92">
            <v>34.5</v>
          </cell>
        </row>
        <row r="93">
          <cell r="A93">
            <v>401</v>
          </cell>
          <cell r="B93">
            <v>2</v>
          </cell>
          <cell r="C93">
            <v>13.779</v>
          </cell>
          <cell r="D93">
            <v>30.4</v>
          </cell>
          <cell r="E93">
            <v>31.8</v>
          </cell>
          <cell r="F93">
            <v>31.3</v>
          </cell>
          <cell r="G93">
            <v>30.1</v>
          </cell>
          <cell r="H93">
            <v>31.1</v>
          </cell>
          <cell r="I93">
            <v>30.3</v>
          </cell>
          <cell r="J93">
            <v>32.5</v>
          </cell>
          <cell r="K93">
            <v>30.8</v>
          </cell>
          <cell r="L93">
            <v>30.1</v>
          </cell>
          <cell r="M93">
            <v>30.2</v>
          </cell>
          <cell r="N93">
            <v>29.7</v>
          </cell>
          <cell r="O93">
            <v>30.2</v>
          </cell>
        </row>
      </sheetData>
      <sheetData sheetId="2">
        <row r="7">
          <cell r="C7">
            <v>188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39.950000000000003</v>
          </cell>
        </row>
        <row r="29">
          <cell r="E29">
            <v>6.0712125263258763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'IA189.03R'</v>
          </cell>
        </row>
        <row r="14">
          <cell r="A14">
            <v>108</v>
          </cell>
          <cell r="B14">
            <v>1</v>
          </cell>
          <cell r="C14">
            <v>12.843999999999999</v>
          </cell>
          <cell r="D14">
            <v>39.6</v>
          </cell>
          <cell r="E14">
            <v>32.200000000000003</v>
          </cell>
          <cell r="F14">
            <v>37.200000000000003</v>
          </cell>
          <cell r="G14">
            <v>29.9</v>
          </cell>
          <cell r="H14">
            <v>35.4</v>
          </cell>
          <cell r="I14">
            <v>29.7</v>
          </cell>
          <cell r="J14">
            <v>39.799999999999997</v>
          </cell>
          <cell r="K14">
            <v>29.6</v>
          </cell>
          <cell r="L14">
            <v>35.799999999999997</v>
          </cell>
          <cell r="M14">
            <v>29.7</v>
          </cell>
          <cell r="N14">
            <v>37.6</v>
          </cell>
          <cell r="O14">
            <v>30.6</v>
          </cell>
        </row>
        <row r="15">
          <cell r="A15">
            <v>108</v>
          </cell>
          <cell r="B15">
            <v>2</v>
          </cell>
          <cell r="C15">
            <v>12.848000000000001</v>
          </cell>
          <cell r="D15">
            <v>29.8</v>
          </cell>
          <cell r="E15">
            <v>30.6</v>
          </cell>
          <cell r="F15">
            <v>31.7</v>
          </cell>
          <cell r="G15">
            <v>31.2</v>
          </cell>
          <cell r="H15">
            <v>29.4</v>
          </cell>
          <cell r="I15">
            <v>29.1</v>
          </cell>
          <cell r="J15">
            <v>29.1</v>
          </cell>
          <cell r="K15">
            <v>29.9</v>
          </cell>
          <cell r="L15">
            <v>31.3</v>
          </cell>
          <cell r="M15">
            <v>30.1</v>
          </cell>
          <cell r="N15">
            <v>29.6</v>
          </cell>
          <cell r="O15">
            <v>30</v>
          </cell>
        </row>
        <row r="16">
          <cell r="A16">
            <v>107</v>
          </cell>
          <cell r="B16">
            <v>1</v>
          </cell>
          <cell r="C16">
            <v>12.856999999999999</v>
          </cell>
          <cell r="D16">
            <v>43</v>
          </cell>
          <cell r="E16">
            <v>41.3</v>
          </cell>
          <cell r="F16">
            <v>42.8</v>
          </cell>
          <cell r="G16">
            <v>31</v>
          </cell>
          <cell r="H16">
            <v>38.6</v>
          </cell>
          <cell r="I16">
            <v>30.9</v>
          </cell>
          <cell r="J16">
            <v>37</v>
          </cell>
          <cell r="K16">
            <v>31.2</v>
          </cell>
          <cell r="L16">
            <v>29.3</v>
          </cell>
          <cell r="M16">
            <v>33.700000000000003</v>
          </cell>
          <cell r="N16">
            <v>30.9</v>
          </cell>
          <cell r="O16">
            <v>30.5</v>
          </cell>
        </row>
        <row r="17">
          <cell r="A17">
            <v>107</v>
          </cell>
          <cell r="B17">
            <v>2</v>
          </cell>
          <cell r="C17">
            <v>12.862</v>
          </cell>
          <cell r="D17">
            <v>28.5</v>
          </cell>
          <cell r="E17">
            <v>30.7</v>
          </cell>
          <cell r="F17">
            <v>29.8</v>
          </cell>
          <cell r="G17">
            <v>29.5</v>
          </cell>
          <cell r="H17">
            <v>29.3</v>
          </cell>
          <cell r="I17">
            <v>29.4</v>
          </cell>
          <cell r="J17">
            <v>30.4</v>
          </cell>
          <cell r="K17">
            <v>29.7</v>
          </cell>
          <cell r="L17">
            <v>29</v>
          </cell>
          <cell r="M17">
            <v>30.8</v>
          </cell>
          <cell r="N17">
            <v>29.5</v>
          </cell>
          <cell r="O17">
            <v>30.5</v>
          </cell>
        </row>
        <row r="18">
          <cell r="A18">
            <v>106</v>
          </cell>
          <cell r="B18">
            <v>1</v>
          </cell>
          <cell r="C18">
            <v>12.87</v>
          </cell>
          <cell r="D18">
            <v>38.5</v>
          </cell>
          <cell r="E18">
            <v>29.9</v>
          </cell>
          <cell r="F18">
            <v>35.9</v>
          </cell>
          <cell r="G18">
            <v>30.1</v>
          </cell>
          <cell r="H18">
            <v>36.5</v>
          </cell>
          <cell r="I18">
            <v>31.2</v>
          </cell>
          <cell r="J18">
            <v>30.7</v>
          </cell>
          <cell r="K18">
            <v>31.4</v>
          </cell>
          <cell r="L18">
            <v>34</v>
          </cell>
          <cell r="M18">
            <v>30.5</v>
          </cell>
          <cell r="N18">
            <v>38.9</v>
          </cell>
          <cell r="O18">
            <v>31</v>
          </cell>
        </row>
        <row r="19">
          <cell r="A19">
            <v>106</v>
          </cell>
          <cell r="B19">
            <v>2</v>
          </cell>
          <cell r="C19">
            <v>12.875</v>
          </cell>
          <cell r="D19">
            <v>27.7</v>
          </cell>
          <cell r="E19">
            <v>27.7</v>
          </cell>
          <cell r="F19">
            <v>29.3</v>
          </cell>
          <cell r="G19">
            <v>29.2</v>
          </cell>
          <cell r="H19">
            <v>28.3</v>
          </cell>
          <cell r="I19">
            <v>29</v>
          </cell>
          <cell r="J19">
            <v>28.1</v>
          </cell>
          <cell r="K19">
            <v>27.6</v>
          </cell>
          <cell r="L19">
            <v>28.5</v>
          </cell>
          <cell r="M19">
            <v>28.3</v>
          </cell>
          <cell r="N19">
            <v>28.2</v>
          </cell>
          <cell r="O19">
            <v>28.6</v>
          </cell>
        </row>
        <row r="20">
          <cell r="A20">
            <v>105</v>
          </cell>
          <cell r="B20">
            <v>1</v>
          </cell>
          <cell r="C20">
            <v>12.884</v>
          </cell>
          <cell r="D20">
            <v>32.5</v>
          </cell>
          <cell r="E20">
            <v>28.4</v>
          </cell>
          <cell r="F20">
            <v>32.9</v>
          </cell>
          <cell r="G20">
            <v>27.3</v>
          </cell>
          <cell r="H20">
            <v>33</v>
          </cell>
          <cell r="I20">
            <v>28.1</v>
          </cell>
          <cell r="J20">
            <v>33.700000000000003</v>
          </cell>
          <cell r="K20">
            <v>28.3</v>
          </cell>
          <cell r="L20">
            <v>35.1</v>
          </cell>
          <cell r="M20">
            <v>29.1</v>
          </cell>
          <cell r="N20">
            <v>33.6</v>
          </cell>
          <cell r="O20">
            <v>28.1</v>
          </cell>
        </row>
        <row r="21">
          <cell r="A21">
            <v>105</v>
          </cell>
          <cell r="B21">
            <v>2</v>
          </cell>
          <cell r="C21">
            <v>12.888999999999999</v>
          </cell>
          <cell r="D21">
            <v>29</v>
          </cell>
          <cell r="E21">
            <v>30.2</v>
          </cell>
          <cell r="F21">
            <v>29.8</v>
          </cell>
          <cell r="G21">
            <v>27.6</v>
          </cell>
          <cell r="H21">
            <v>30.9</v>
          </cell>
          <cell r="I21">
            <v>28.2</v>
          </cell>
          <cell r="J21">
            <v>28.9</v>
          </cell>
          <cell r="K21">
            <v>30.3</v>
          </cell>
          <cell r="L21">
            <v>29.2</v>
          </cell>
          <cell r="M21">
            <v>32.299999999999997</v>
          </cell>
          <cell r="N21">
            <v>28.9</v>
          </cell>
          <cell r="O21">
            <v>27.3</v>
          </cell>
        </row>
        <row r="22">
          <cell r="A22">
            <v>104</v>
          </cell>
          <cell r="B22">
            <v>1</v>
          </cell>
          <cell r="C22">
            <v>12.898</v>
          </cell>
          <cell r="D22">
            <v>39.1</v>
          </cell>
          <cell r="E22">
            <v>30.1</v>
          </cell>
          <cell r="F22">
            <v>32.799999999999997</v>
          </cell>
          <cell r="G22">
            <v>28.4</v>
          </cell>
          <cell r="H22">
            <v>34.200000000000003</v>
          </cell>
          <cell r="I22">
            <v>29.1</v>
          </cell>
          <cell r="J22">
            <v>35.700000000000003</v>
          </cell>
          <cell r="K22">
            <v>28.8</v>
          </cell>
          <cell r="L22">
            <v>36.200000000000003</v>
          </cell>
          <cell r="M22">
            <v>28.8</v>
          </cell>
          <cell r="N22">
            <v>32.6</v>
          </cell>
          <cell r="O22">
            <v>29.2</v>
          </cell>
        </row>
        <row r="23">
          <cell r="A23">
            <v>104</v>
          </cell>
          <cell r="B23">
            <v>2</v>
          </cell>
          <cell r="C23">
            <v>12.903</v>
          </cell>
          <cell r="D23">
            <v>26.2</v>
          </cell>
          <cell r="E23">
            <v>27.4</v>
          </cell>
          <cell r="F23">
            <v>28.3</v>
          </cell>
          <cell r="G23">
            <v>27.4</v>
          </cell>
          <cell r="H23">
            <v>29.4</v>
          </cell>
          <cell r="I23">
            <v>28.4</v>
          </cell>
          <cell r="J23">
            <v>27.5</v>
          </cell>
          <cell r="K23">
            <v>27.2</v>
          </cell>
          <cell r="L23">
            <v>28.1</v>
          </cell>
          <cell r="M23">
            <v>28.3</v>
          </cell>
          <cell r="N23">
            <v>27.7</v>
          </cell>
          <cell r="O23">
            <v>27.4</v>
          </cell>
        </row>
        <row r="24">
          <cell r="A24">
            <v>103</v>
          </cell>
          <cell r="B24">
            <v>1</v>
          </cell>
          <cell r="C24">
            <v>12.911</v>
          </cell>
          <cell r="D24">
            <v>36.799999999999997</v>
          </cell>
          <cell r="E24">
            <v>29.2</v>
          </cell>
          <cell r="F24">
            <v>36.299999999999997</v>
          </cell>
          <cell r="G24">
            <v>28.7</v>
          </cell>
          <cell r="H24">
            <v>32.799999999999997</v>
          </cell>
          <cell r="I24">
            <v>28.7</v>
          </cell>
          <cell r="J24">
            <v>34.700000000000003</v>
          </cell>
          <cell r="K24">
            <v>29.1</v>
          </cell>
          <cell r="L24">
            <v>35.5</v>
          </cell>
          <cell r="M24">
            <v>29.9</v>
          </cell>
          <cell r="N24">
            <v>37.6</v>
          </cell>
          <cell r="O24">
            <v>28.3</v>
          </cell>
        </row>
        <row r="25">
          <cell r="A25">
            <v>103</v>
          </cell>
          <cell r="B25">
            <v>2</v>
          </cell>
          <cell r="C25">
            <v>12.916</v>
          </cell>
          <cell r="D25">
            <v>27.7</v>
          </cell>
          <cell r="E25">
            <v>28.1</v>
          </cell>
          <cell r="F25">
            <v>28.4</v>
          </cell>
          <cell r="G25">
            <v>27.6</v>
          </cell>
          <cell r="H25">
            <v>28.1</v>
          </cell>
          <cell r="I25">
            <v>26.4</v>
          </cell>
          <cell r="J25">
            <v>29.1</v>
          </cell>
          <cell r="K25">
            <v>29.6</v>
          </cell>
          <cell r="L25">
            <v>29.3</v>
          </cell>
          <cell r="M25">
            <v>29.1</v>
          </cell>
          <cell r="N25">
            <v>28.5</v>
          </cell>
          <cell r="O25">
            <v>27.7</v>
          </cell>
        </row>
        <row r="26">
          <cell r="A26">
            <v>102</v>
          </cell>
          <cell r="B26">
            <v>1</v>
          </cell>
          <cell r="C26">
            <v>12.925000000000001</v>
          </cell>
          <cell r="D26">
            <v>48.8</v>
          </cell>
          <cell r="E26">
            <v>32.700000000000003</v>
          </cell>
          <cell r="F26">
            <v>39.6</v>
          </cell>
          <cell r="G26">
            <v>30.7</v>
          </cell>
          <cell r="H26">
            <v>37.299999999999997</v>
          </cell>
          <cell r="I26">
            <v>31.5</v>
          </cell>
          <cell r="J26">
            <v>48.1</v>
          </cell>
          <cell r="K26">
            <v>31.7</v>
          </cell>
          <cell r="L26">
            <v>46</v>
          </cell>
          <cell r="M26">
            <v>31.7</v>
          </cell>
          <cell r="N26">
            <v>41.6</v>
          </cell>
          <cell r="O26">
            <v>29.6</v>
          </cell>
        </row>
        <row r="27">
          <cell r="A27">
            <v>102</v>
          </cell>
          <cell r="B27">
            <v>2</v>
          </cell>
          <cell r="C27">
            <v>12.93</v>
          </cell>
          <cell r="D27">
            <v>28.7</v>
          </cell>
          <cell r="E27">
            <v>28</v>
          </cell>
          <cell r="F27">
            <v>30.8</v>
          </cell>
          <cell r="G27">
            <v>29.9</v>
          </cell>
          <cell r="H27">
            <v>28.1</v>
          </cell>
          <cell r="I27">
            <v>27.6</v>
          </cell>
          <cell r="J27">
            <v>27.4</v>
          </cell>
          <cell r="K27">
            <v>29.2</v>
          </cell>
          <cell r="L27">
            <v>29</v>
          </cell>
          <cell r="M27">
            <v>28.6</v>
          </cell>
          <cell r="N27">
            <v>29.6</v>
          </cell>
          <cell r="O27">
            <v>29.9</v>
          </cell>
        </row>
        <row r="28">
          <cell r="A28">
            <v>101</v>
          </cell>
          <cell r="B28">
            <v>1</v>
          </cell>
          <cell r="C28">
            <v>12.939</v>
          </cell>
          <cell r="D28">
            <v>42.2</v>
          </cell>
          <cell r="E28">
            <v>34.299999999999997</v>
          </cell>
          <cell r="F28">
            <v>43.7</v>
          </cell>
          <cell r="G28">
            <v>32.200000000000003</v>
          </cell>
          <cell r="H28">
            <v>37.799999999999997</v>
          </cell>
          <cell r="I28">
            <v>32.299999999999997</v>
          </cell>
          <cell r="J28">
            <v>34.4</v>
          </cell>
          <cell r="K28">
            <v>31.4</v>
          </cell>
          <cell r="L28">
            <v>38.9</v>
          </cell>
          <cell r="M28">
            <v>32</v>
          </cell>
          <cell r="N28">
            <v>46.2</v>
          </cell>
          <cell r="O28">
            <v>31.7</v>
          </cell>
        </row>
        <row r="29">
          <cell r="A29">
            <v>101</v>
          </cell>
          <cell r="B29">
            <v>2</v>
          </cell>
          <cell r="C29">
            <v>12.944000000000001</v>
          </cell>
          <cell r="D29">
            <v>29</v>
          </cell>
          <cell r="E29">
            <v>30</v>
          </cell>
          <cell r="F29">
            <v>30.7</v>
          </cell>
          <cell r="G29">
            <v>30.8</v>
          </cell>
          <cell r="H29">
            <v>30.9</v>
          </cell>
          <cell r="I29">
            <v>30.3</v>
          </cell>
          <cell r="J29">
            <v>32</v>
          </cell>
          <cell r="K29">
            <v>29.9</v>
          </cell>
          <cell r="L29">
            <v>30.2</v>
          </cell>
          <cell r="M29">
            <v>29.4</v>
          </cell>
          <cell r="N29">
            <v>29</v>
          </cell>
          <cell r="O29">
            <v>29.1</v>
          </cell>
        </row>
        <row r="30">
          <cell r="A30">
            <v>201</v>
          </cell>
          <cell r="B30">
            <v>1</v>
          </cell>
          <cell r="C30">
            <v>12.958</v>
          </cell>
          <cell r="D30">
            <v>30.4</v>
          </cell>
          <cell r="E30">
            <v>31.6</v>
          </cell>
          <cell r="F30">
            <v>31.2</v>
          </cell>
          <cell r="G30">
            <v>31.9</v>
          </cell>
          <cell r="H30">
            <v>33.5</v>
          </cell>
          <cell r="I30">
            <v>32.5</v>
          </cell>
          <cell r="J30">
            <v>35.200000000000003</v>
          </cell>
          <cell r="K30">
            <v>31.9</v>
          </cell>
          <cell r="L30">
            <v>35</v>
          </cell>
          <cell r="M30">
            <v>30.6</v>
          </cell>
          <cell r="N30">
            <v>35.700000000000003</v>
          </cell>
          <cell r="O30">
            <v>33.6</v>
          </cell>
        </row>
        <row r="31">
          <cell r="A31">
            <v>201</v>
          </cell>
          <cell r="B31">
            <v>2</v>
          </cell>
          <cell r="C31">
            <v>12.962999999999999</v>
          </cell>
          <cell r="D31">
            <v>32.4</v>
          </cell>
          <cell r="E31">
            <v>32.1</v>
          </cell>
          <cell r="F31">
            <v>31.5</v>
          </cell>
          <cell r="G31">
            <v>29.7</v>
          </cell>
          <cell r="H31">
            <v>32.5</v>
          </cell>
          <cell r="I31">
            <v>30.3</v>
          </cell>
          <cell r="J31">
            <v>30.4</v>
          </cell>
          <cell r="K31">
            <v>31.1</v>
          </cell>
          <cell r="L31">
            <v>29.8</v>
          </cell>
          <cell r="M31">
            <v>30.6</v>
          </cell>
          <cell r="N31">
            <v>30.3</v>
          </cell>
          <cell r="O31">
            <v>27</v>
          </cell>
        </row>
        <row r="32">
          <cell r="A32">
            <v>202</v>
          </cell>
          <cell r="B32">
            <v>1</v>
          </cell>
          <cell r="C32">
            <v>12.971</v>
          </cell>
          <cell r="D32">
            <v>30.6</v>
          </cell>
          <cell r="E32">
            <v>32.9</v>
          </cell>
          <cell r="F32">
            <v>37.1</v>
          </cell>
          <cell r="G32">
            <v>29.9</v>
          </cell>
          <cell r="H32">
            <v>39.6</v>
          </cell>
          <cell r="I32">
            <v>29.5</v>
          </cell>
          <cell r="J32">
            <v>44.5</v>
          </cell>
          <cell r="K32">
            <v>30.4</v>
          </cell>
          <cell r="L32">
            <v>45.1</v>
          </cell>
          <cell r="M32">
            <v>31.4</v>
          </cell>
          <cell r="N32">
            <v>37.700000000000003</v>
          </cell>
          <cell r="O32">
            <v>29.9</v>
          </cell>
        </row>
        <row r="33">
          <cell r="A33">
            <v>202</v>
          </cell>
          <cell r="B33">
            <v>2</v>
          </cell>
          <cell r="C33">
            <v>12.976000000000001</v>
          </cell>
          <cell r="D33">
            <v>27.5</v>
          </cell>
          <cell r="E33">
            <v>30.1</v>
          </cell>
          <cell r="F33">
            <v>30.8</v>
          </cell>
          <cell r="G33">
            <v>29.8</v>
          </cell>
          <cell r="H33">
            <v>28.6</v>
          </cell>
          <cell r="I33">
            <v>28.7</v>
          </cell>
          <cell r="J33">
            <v>29.3</v>
          </cell>
          <cell r="K33">
            <v>28.7</v>
          </cell>
          <cell r="L33">
            <v>29.8</v>
          </cell>
          <cell r="M33">
            <v>28.2</v>
          </cell>
          <cell r="N33">
            <v>28.6</v>
          </cell>
          <cell r="O33">
            <v>27.8</v>
          </cell>
        </row>
        <row r="34">
          <cell r="A34">
            <v>203</v>
          </cell>
          <cell r="B34">
            <v>1</v>
          </cell>
          <cell r="C34">
            <v>12.983000000000001</v>
          </cell>
          <cell r="D34">
            <v>32.4</v>
          </cell>
          <cell r="E34">
            <v>33.799999999999997</v>
          </cell>
          <cell r="F34">
            <v>39.5</v>
          </cell>
          <cell r="G34">
            <v>29.7</v>
          </cell>
          <cell r="H34">
            <v>34.5</v>
          </cell>
          <cell r="I34">
            <v>29.8</v>
          </cell>
          <cell r="J34">
            <v>44.7</v>
          </cell>
          <cell r="K34">
            <v>32</v>
          </cell>
          <cell r="L34">
            <v>43.1</v>
          </cell>
          <cell r="M34">
            <v>29.5</v>
          </cell>
          <cell r="N34">
            <v>36.200000000000003</v>
          </cell>
          <cell r="O34">
            <v>29.9</v>
          </cell>
        </row>
        <row r="35">
          <cell r="A35">
            <v>203</v>
          </cell>
          <cell r="B35">
            <v>2</v>
          </cell>
          <cell r="C35">
            <v>12.988</v>
          </cell>
          <cell r="D35">
            <v>28.8</v>
          </cell>
          <cell r="E35">
            <v>28.2</v>
          </cell>
          <cell r="F35">
            <v>30.8</v>
          </cell>
          <cell r="G35">
            <v>28.2</v>
          </cell>
          <cell r="H35">
            <v>29.7</v>
          </cell>
          <cell r="I35">
            <v>28</v>
          </cell>
          <cell r="J35">
            <v>28.4</v>
          </cell>
          <cell r="K35">
            <v>29.1</v>
          </cell>
          <cell r="L35">
            <v>28.7</v>
          </cell>
          <cell r="M35">
            <v>30</v>
          </cell>
          <cell r="N35">
            <v>27.8</v>
          </cell>
          <cell r="O35">
            <v>27.8</v>
          </cell>
        </row>
        <row r="36">
          <cell r="A36">
            <v>204</v>
          </cell>
          <cell r="B36">
            <v>1</v>
          </cell>
          <cell r="C36">
            <v>12.997</v>
          </cell>
          <cell r="D36">
            <v>27.4</v>
          </cell>
          <cell r="E36">
            <v>28.5</v>
          </cell>
          <cell r="F36">
            <v>28.5</v>
          </cell>
          <cell r="G36">
            <v>28.1</v>
          </cell>
          <cell r="H36">
            <v>30.3</v>
          </cell>
          <cell r="I36">
            <v>28.1</v>
          </cell>
          <cell r="J36">
            <v>29.6</v>
          </cell>
          <cell r="K36">
            <v>29</v>
          </cell>
          <cell r="L36">
            <v>28.7</v>
          </cell>
          <cell r="M36">
            <v>30.3</v>
          </cell>
          <cell r="N36">
            <v>28.7</v>
          </cell>
          <cell r="O36">
            <v>28.5</v>
          </cell>
        </row>
        <row r="37">
          <cell r="A37">
            <v>204</v>
          </cell>
          <cell r="B37">
            <v>2</v>
          </cell>
          <cell r="C37">
            <v>13.002000000000001</v>
          </cell>
          <cell r="D37">
            <v>27.8</v>
          </cell>
          <cell r="E37">
            <v>27.1</v>
          </cell>
          <cell r="F37">
            <v>27.8</v>
          </cell>
          <cell r="G37">
            <v>28.6</v>
          </cell>
          <cell r="H37">
            <v>27.3</v>
          </cell>
          <cell r="I37">
            <v>27.9</v>
          </cell>
          <cell r="J37">
            <v>27.6</v>
          </cell>
          <cell r="K37">
            <v>28.1</v>
          </cell>
          <cell r="L37">
            <v>29.4</v>
          </cell>
          <cell r="M37">
            <v>28.4</v>
          </cell>
          <cell r="N37">
            <v>28.5</v>
          </cell>
          <cell r="O37">
            <v>29.1</v>
          </cell>
        </row>
        <row r="38">
          <cell r="A38">
            <v>205</v>
          </cell>
          <cell r="B38">
            <v>1</v>
          </cell>
          <cell r="C38">
            <v>13.010999999999999</v>
          </cell>
          <cell r="D38">
            <v>34.6</v>
          </cell>
          <cell r="E38">
            <v>34.799999999999997</v>
          </cell>
          <cell r="F38">
            <v>38.200000000000003</v>
          </cell>
          <cell r="G38">
            <v>30.2</v>
          </cell>
          <cell r="H38">
            <v>36.5</v>
          </cell>
          <cell r="I38">
            <v>31.1</v>
          </cell>
          <cell r="J38">
            <v>31.6</v>
          </cell>
          <cell r="K38">
            <v>34.6</v>
          </cell>
          <cell r="L38">
            <v>41.2</v>
          </cell>
          <cell r="M38">
            <v>29.8</v>
          </cell>
          <cell r="N38">
            <v>32.1</v>
          </cell>
          <cell r="O38">
            <v>29.2</v>
          </cell>
        </row>
        <row r="39">
          <cell r="A39">
            <v>205</v>
          </cell>
          <cell r="B39">
            <v>2</v>
          </cell>
          <cell r="C39">
            <v>13.016</v>
          </cell>
          <cell r="D39">
            <v>29.7</v>
          </cell>
          <cell r="E39">
            <v>28.5</v>
          </cell>
          <cell r="F39">
            <v>29.8</v>
          </cell>
          <cell r="G39">
            <v>29.6</v>
          </cell>
          <cell r="H39">
            <v>31.1</v>
          </cell>
          <cell r="I39">
            <v>28.9</v>
          </cell>
          <cell r="J39">
            <v>29.5</v>
          </cell>
          <cell r="K39">
            <v>28.6</v>
          </cell>
          <cell r="L39">
            <v>29.4</v>
          </cell>
          <cell r="M39">
            <v>29.2</v>
          </cell>
          <cell r="N39">
            <v>27.8</v>
          </cell>
          <cell r="O39">
            <v>27.3</v>
          </cell>
        </row>
        <row r="40">
          <cell r="A40">
            <v>206</v>
          </cell>
          <cell r="B40">
            <v>1</v>
          </cell>
          <cell r="C40">
            <v>13.023999999999999</v>
          </cell>
          <cell r="D40">
            <v>34.700000000000003</v>
          </cell>
          <cell r="E40">
            <v>41.1</v>
          </cell>
          <cell r="F40">
            <v>47.3</v>
          </cell>
          <cell r="G40">
            <v>47.4</v>
          </cell>
          <cell r="H40">
            <v>51.4</v>
          </cell>
          <cell r="I40">
            <v>35</v>
          </cell>
          <cell r="J40">
            <v>51.6</v>
          </cell>
          <cell r="K40">
            <v>34</v>
          </cell>
          <cell r="L40">
            <v>50</v>
          </cell>
          <cell r="M40">
            <v>33.200000000000003</v>
          </cell>
          <cell r="N40">
            <v>52.3</v>
          </cell>
          <cell r="O40">
            <v>35</v>
          </cell>
        </row>
        <row r="41">
          <cell r="A41">
            <v>206</v>
          </cell>
          <cell r="B41">
            <v>2</v>
          </cell>
          <cell r="C41">
            <v>13.029</v>
          </cell>
          <cell r="D41">
            <v>27.1</v>
          </cell>
          <cell r="E41">
            <v>28.5</v>
          </cell>
          <cell r="F41">
            <v>30.3</v>
          </cell>
          <cell r="G41">
            <v>27.7</v>
          </cell>
          <cell r="H41">
            <v>28.4</v>
          </cell>
          <cell r="I41">
            <v>27.7</v>
          </cell>
          <cell r="J41">
            <v>28.9</v>
          </cell>
          <cell r="K41">
            <v>28.1</v>
          </cell>
          <cell r="L41">
            <v>28.6</v>
          </cell>
          <cell r="M41">
            <v>27.7</v>
          </cell>
          <cell r="N41">
            <v>29.1</v>
          </cell>
          <cell r="O41">
            <v>32</v>
          </cell>
        </row>
        <row r="42">
          <cell r="A42">
            <v>207</v>
          </cell>
          <cell r="B42">
            <v>1</v>
          </cell>
          <cell r="C42">
            <v>13.037000000000001</v>
          </cell>
          <cell r="D42">
            <v>33.700000000000003</v>
          </cell>
          <cell r="E42">
            <v>30.8</v>
          </cell>
          <cell r="F42">
            <v>39</v>
          </cell>
          <cell r="G42">
            <v>28.7</v>
          </cell>
          <cell r="H42">
            <v>32.4</v>
          </cell>
          <cell r="I42">
            <v>28.3</v>
          </cell>
          <cell r="J42">
            <v>34.200000000000003</v>
          </cell>
          <cell r="K42">
            <v>27.8</v>
          </cell>
          <cell r="L42">
            <v>33.299999999999997</v>
          </cell>
          <cell r="M42">
            <v>28.6</v>
          </cell>
          <cell r="N42">
            <v>36.5</v>
          </cell>
          <cell r="O42">
            <v>28.2</v>
          </cell>
        </row>
        <row r="43">
          <cell r="A43">
            <v>207</v>
          </cell>
          <cell r="B43">
            <v>2</v>
          </cell>
          <cell r="C43">
            <v>13.042999999999999</v>
          </cell>
          <cell r="D43">
            <v>28.6</v>
          </cell>
          <cell r="E43">
            <v>27.3</v>
          </cell>
          <cell r="F43">
            <v>29</v>
          </cell>
          <cell r="G43">
            <v>28.2</v>
          </cell>
          <cell r="H43">
            <v>27.1</v>
          </cell>
          <cell r="I43">
            <v>28.2</v>
          </cell>
          <cell r="J43">
            <v>29.3</v>
          </cell>
          <cell r="K43">
            <v>29.3</v>
          </cell>
          <cell r="L43">
            <v>26.7</v>
          </cell>
          <cell r="M43">
            <v>27.8</v>
          </cell>
          <cell r="N43">
            <v>27.1</v>
          </cell>
          <cell r="O43">
            <v>26.4</v>
          </cell>
        </row>
        <row r="44">
          <cell r="A44">
            <v>208</v>
          </cell>
          <cell r="B44">
            <v>1</v>
          </cell>
          <cell r="C44">
            <v>13.051</v>
          </cell>
          <cell r="D44">
            <v>28.3</v>
          </cell>
          <cell r="E44">
            <v>41.4</v>
          </cell>
          <cell r="F44">
            <v>28.7</v>
          </cell>
          <cell r="G44">
            <v>40.200000000000003</v>
          </cell>
          <cell r="H44">
            <v>28.8</v>
          </cell>
          <cell r="I44">
            <v>41.5</v>
          </cell>
          <cell r="J44">
            <v>31</v>
          </cell>
          <cell r="K44">
            <v>47.1</v>
          </cell>
          <cell r="L44">
            <v>30.4</v>
          </cell>
          <cell r="M44">
            <v>43.7</v>
          </cell>
          <cell r="N44">
            <v>32</v>
          </cell>
          <cell r="O44">
            <v>42.5</v>
          </cell>
        </row>
        <row r="45">
          <cell r="A45">
            <v>208</v>
          </cell>
          <cell r="B45">
            <v>2</v>
          </cell>
          <cell r="C45">
            <v>13.055999999999999</v>
          </cell>
          <cell r="D45">
            <v>27.8</v>
          </cell>
          <cell r="E45">
            <v>29</v>
          </cell>
          <cell r="F45">
            <v>30.3</v>
          </cell>
          <cell r="G45">
            <v>27.5</v>
          </cell>
          <cell r="H45">
            <v>27.5</v>
          </cell>
          <cell r="I45">
            <v>27.6</v>
          </cell>
          <cell r="J45">
            <v>27.8</v>
          </cell>
          <cell r="K45">
            <v>27.4</v>
          </cell>
          <cell r="L45">
            <v>27.8</v>
          </cell>
          <cell r="M45">
            <v>27.1</v>
          </cell>
          <cell r="N45">
            <v>26.6</v>
          </cell>
          <cell r="O45">
            <v>28</v>
          </cell>
        </row>
        <row r="46">
          <cell r="A46">
            <v>908</v>
          </cell>
          <cell r="B46">
            <v>1</v>
          </cell>
          <cell r="C46">
            <v>13.07</v>
          </cell>
          <cell r="D46">
            <v>56.8</v>
          </cell>
          <cell r="E46">
            <v>43.3</v>
          </cell>
          <cell r="F46">
            <v>60</v>
          </cell>
          <cell r="G46">
            <v>39.9</v>
          </cell>
          <cell r="H46">
            <v>58.1</v>
          </cell>
          <cell r="I46">
            <v>38.4</v>
          </cell>
          <cell r="J46">
            <v>58.5</v>
          </cell>
          <cell r="K46">
            <v>42.2</v>
          </cell>
          <cell r="L46">
            <v>56.1</v>
          </cell>
          <cell r="M46">
            <v>45.9</v>
          </cell>
          <cell r="N46">
            <v>62.4</v>
          </cell>
          <cell r="O46">
            <v>49.8</v>
          </cell>
        </row>
        <row r="47">
          <cell r="A47">
            <v>908</v>
          </cell>
          <cell r="B47">
            <v>2</v>
          </cell>
          <cell r="C47">
            <v>13.074999999999999</v>
          </cell>
          <cell r="D47">
            <v>38.700000000000003</v>
          </cell>
          <cell r="E47">
            <v>38</v>
          </cell>
          <cell r="F47">
            <v>34.6</v>
          </cell>
          <cell r="G47">
            <v>32.6</v>
          </cell>
          <cell r="H47">
            <v>32.200000000000003</v>
          </cell>
          <cell r="I47">
            <v>35.6</v>
          </cell>
          <cell r="J47">
            <v>37.200000000000003</v>
          </cell>
          <cell r="K47">
            <v>30.7</v>
          </cell>
          <cell r="L47">
            <v>37.1</v>
          </cell>
          <cell r="M47">
            <v>38.700000000000003</v>
          </cell>
          <cell r="N47">
            <v>39.200000000000003</v>
          </cell>
          <cell r="O47">
            <v>37.1</v>
          </cell>
        </row>
        <row r="48">
          <cell r="A48">
            <v>907</v>
          </cell>
          <cell r="B48">
            <v>1</v>
          </cell>
          <cell r="C48">
            <v>13.083</v>
          </cell>
          <cell r="D48">
            <v>66.7</v>
          </cell>
          <cell r="E48">
            <v>66.099999999999994</v>
          </cell>
          <cell r="F48">
            <v>66.099999999999994</v>
          </cell>
          <cell r="G48">
            <v>66.2</v>
          </cell>
          <cell r="H48">
            <v>66.8</v>
          </cell>
          <cell r="I48">
            <v>66.599999999999994</v>
          </cell>
          <cell r="J48">
            <v>66.8</v>
          </cell>
          <cell r="K48">
            <v>66.400000000000006</v>
          </cell>
          <cell r="L48">
            <v>66.400000000000006</v>
          </cell>
          <cell r="M48">
            <v>66.3</v>
          </cell>
          <cell r="N48">
            <v>67.3</v>
          </cell>
          <cell r="O48">
            <v>67.400000000000006</v>
          </cell>
        </row>
        <row r="50">
          <cell r="A50">
            <v>906</v>
          </cell>
          <cell r="B50">
            <v>1</v>
          </cell>
          <cell r="C50">
            <v>13.09</v>
          </cell>
          <cell r="D50">
            <v>44.5</v>
          </cell>
          <cell r="E50">
            <v>33</v>
          </cell>
          <cell r="F50">
            <v>35</v>
          </cell>
          <cell r="G50">
            <v>30.5</v>
          </cell>
          <cell r="H50">
            <v>32.799999999999997</v>
          </cell>
          <cell r="I50">
            <v>35</v>
          </cell>
          <cell r="J50">
            <v>31.1</v>
          </cell>
          <cell r="K50">
            <v>31.4</v>
          </cell>
          <cell r="L50">
            <v>32.9</v>
          </cell>
          <cell r="M50">
            <v>32.799999999999997</v>
          </cell>
          <cell r="N50">
            <v>42.3</v>
          </cell>
          <cell r="O50">
            <v>29.3</v>
          </cell>
        </row>
        <row r="51">
          <cell r="A51">
            <v>906</v>
          </cell>
          <cell r="B51">
            <v>2</v>
          </cell>
          <cell r="C51">
            <v>13.096</v>
          </cell>
          <cell r="D51">
            <v>29.1</v>
          </cell>
          <cell r="E51">
            <v>28.1</v>
          </cell>
          <cell r="F51">
            <v>29.6</v>
          </cell>
          <cell r="G51">
            <v>30.2</v>
          </cell>
          <cell r="H51">
            <v>28.3</v>
          </cell>
          <cell r="I51">
            <v>29.9</v>
          </cell>
          <cell r="J51">
            <v>29.6</v>
          </cell>
          <cell r="K51">
            <v>28.5</v>
          </cell>
          <cell r="L51">
            <v>29.9</v>
          </cell>
          <cell r="M51">
            <v>27.8</v>
          </cell>
          <cell r="N51">
            <v>28.9</v>
          </cell>
          <cell r="O51">
            <v>29.3</v>
          </cell>
        </row>
        <row r="52">
          <cell r="A52">
            <v>905</v>
          </cell>
          <cell r="B52">
            <v>1</v>
          </cell>
          <cell r="C52">
            <v>13.103</v>
          </cell>
          <cell r="D52">
            <v>55.3</v>
          </cell>
          <cell r="E52">
            <v>55</v>
          </cell>
          <cell r="F52">
            <v>55.4</v>
          </cell>
          <cell r="G52">
            <v>55.3</v>
          </cell>
          <cell r="H52">
            <v>54.1</v>
          </cell>
          <cell r="I52">
            <v>54.3</v>
          </cell>
          <cell r="J52">
            <v>52.7</v>
          </cell>
          <cell r="K52">
            <v>53.6</v>
          </cell>
          <cell r="L52">
            <v>53.3</v>
          </cell>
          <cell r="M52">
            <v>53.5</v>
          </cell>
          <cell r="N52">
            <v>54</v>
          </cell>
          <cell r="O52">
            <v>54.3</v>
          </cell>
        </row>
        <row r="54">
          <cell r="A54">
            <v>904</v>
          </cell>
          <cell r="B54">
            <v>1</v>
          </cell>
          <cell r="C54">
            <v>13.11</v>
          </cell>
          <cell r="D54">
            <v>63.3</v>
          </cell>
          <cell r="E54">
            <v>44.2</v>
          </cell>
          <cell r="F54">
            <v>59.3</v>
          </cell>
          <cell r="G54">
            <v>43.3</v>
          </cell>
          <cell r="H54">
            <v>55.7</v>
          </cell>
          <cell r="I54">
            <v>45.5</v>
          </cell>
          <cell r="J54">
            <v>59.4</v>
          </cell>
          <cell r="K54">
            <v>42</v>
          </cell>
          <cell r="L54">
            <v>58.9</v>
          </cell>
          <cell r="M54">
            <v>43.6</v>
          </cell>
          <cell r="N54">
            <v>62.1</v>
          </cell>
          <cell r="O54">
            <v>45.1</v>
          </cell>
        </row>
        <row r="55">
          <cell r="A55">
            <v>904</v>
          </cell>
          <cell r="B55">
            <v>2</v>
          </cell>
          <cell r="C55">
            <v>13.114000000000001</v>
          </cell>
          <cell r="D55">
            <v>40.1</v>
          </cell>
          <cell r="E55">
            <v>37.1</v>
          </cell>
          <cell r="F55">
            <v>39.4</v>
          </cell>
          <cell r="G55">
            <v>37.4</v>
          </cell>
          <cell r="H55">
            <v>38.200000000000003</v>
          </cell>
          <cell r="I55">
            <v>38.9</v>
          </cell>
          <cell r="J55">
            <v>40.9</v>
          </cell>
          <cell r="K55">
            <v>36.799999999999997</v>
          </cell>
          <cell r="L55">
            <v>38.9</v>
          </cell>
          <cell r="M55">
            <v>41.2</v>
          </cell>
          <cell r="N55">
            <v>42.7</v>
          </cell>
          <cell r="O55">
            <v>32.700000000000003</v>
          </cell>
        </row>
        <row r="56">
          <cell r="A56">
            <v>903</v>
          </cell>
          <cell r="B56">
            <v>1</v>
          </cell>
          <cell r="C56">
            <v>13.124000000000001</v>
          </cell>
          <cell r="D56">
            <v>66.7</v>
          </cell>
          <cell r="E56">
            <v>66.5</v>
          </cell>
          <cell r="F56">
            <v>66.2</v>
          </cell>
          <cell r="G56">
            <v>65.900000000000006</v>
          </cell>
          <cell r="H56">
            <v>66.5</v>
          </cell>
          <cell r="I56">
            <v>66.3</v>
          </cell>
          <cell r="J56">
            <v>66</v>
          </cell>
          <cell r="K56">
            <v>65.900000000000006</v>
          </cell>
          <cell r="L56">
            <v>65</v>
          </cell>
          <cell r="M56">
            <v>66.3</v>
          </cell>
          <cell r="N56">
            <v>66.5</v>
          </cell>
          <cell r="O56">
            <v>66.400000000000006</v>
          </cell>
        </row>
        <row r="58">
          <cell r="A58">
            <v>902</v>
          </cell>
          <cell r="B58">
            <v>1</v>
          </cell>
          <cell r="C58">
            <v>13.13</v>
          </cell>
          <cell r="D58">
            <v>40.5</v>
          </cell>
          <cell r="E58">
            <v>31.7</v>
          </cell>
          <cell r="F58">
            <v>35.700000000000003</v>
          </cell>
          <cell r="G58">
            <v>29.8</v>
          </cell>
          <cell r="H58">
            <v>36.6</v>
          </cell>
          <cell r="I58">
            <v>31.2</v>
          </cell>
          <cell r="J58">
            <v>38.799999999999997</v>
          </cell>
          <cell r="K58">
            <v>30.5</v>
          </cell>
          <cell r="L58">
            <v>36.9</v>
          </cell>
          <cell r="M58">
            <v>39.299999999999997</v>
          </cell>
          <cell r="N58">
            <v>44.3</v>
          </cell>
          <cell r="O58">
            <v>30.7</v>
          </cell>
        </row>
        <row r="59">
          <cell r="A59">
            <v>902</v>
          </cell>
          <cell r="B59">
            <v>2</v>
          </cell>
          <cell r="C59">
            <v>13.135</v>
          </cell>
          <cell r="D59">
            <v>28.9</v>
          </cell>
          <cell r="E59">
            <v>26.6</v>
          </cell>
          <cell r="F59">
            <v>29</v>
          </cell>
          <cell r="G59">
            <v>27.5</v>
          </cell>
          <cell r="H59">
            <v>27.6</v>
          </cell>
          <cell r="I59">
            <v>28.7</v>
          </cell>
          <cell r="J59">
            <v>28</v>
          </cell>
          <cell r="K59">
            <v>27.3</v>
          </cell>
          <cell r="L59">
            <v>28</v>
          </cell>
          <cell r="M59">
            <v>27.3</v>
          </cell>
          <cell r="N59">
            <v>27.8</v>
          </cell>
          <cell r="O59">
            <v>26.7</v>
          </cell>
        </row>
        <row r="60">
          <cell r="A60">
            <v>901</v>
          </cell>
          <cell r="B60">
            <v>1</v>
          </cell>
          <cell r="C60">
            <v>13.144</v>
          </cell>
          <cell r="D60">
            <v>37.9</v>
          </cell>
          <cell r="E60">
            <v>36.5</v>
          </cell>
          <cell r="F60">
            <v>36.700000000000003</v>
          </cell>
          <cell r="G60">
            <v>36.700000000000003</v>
          </cell>
          <cell r="H60">
            <v>36.799999999999997</v>
          </cell>
          <cell r="I60">
            <v>36.799999999999997</v>
          </cell>
          <cell r="J60">
            <v>36.799999999999997</v>
          </cell>
          <cell r="K60">
            <v>37.5</v>
          </cell>
          <cell r="L60">
            <v>37.4</v>
          </cell>
          <cell r="M60">
            <v>37.1</v>
          </cell>
          <cell r="N60">
            <v>37.1</v>
          </cell>
          <cell r="O60">
            <v>36.799999999999997</v>
          </cell>
        </row>
        <row r="62">
          <cell r="A62">
            <v>301</v>
          </cell>
          <cell r="B62">
            <v>1</v>
          </cell>
          <cell r="C62">
            <v>13.154</v>
          </cell>
          <cell r="D62">
            <v>37</v>
          </cell>
          <cell r="E62">
            <v>30.8</v>
          </cell>
          <cell r="F62">
            <v>30.7</v>
          </cell>
          <cell r="G62">
            <v>28.2</v>
          </cell>
          <cell r="H62">
            <v>29.9</v>
          </cell>
          <cell r="I62">
            <v>28</v>
          </cell>
          <cell r="J62">
            <v>32.4</v>
          </cell>
          <cell r="K62">
            <v>27.4</v>
          </cell>
          <cell r="L62">
            <v>34.4</v>
          </cell>
          <cell r="M62">
            <v>27.2</v>
          </cell>
          <cell r="N62">
            <v>34.5</v>
          </cell>
          <cell r="O62">
            <v>27.4</v>
          </cell>
        </row>
        <row r="63">
          <cell r="A63">
            <v>301</v>
          </cell>
          <cell r="B63">
            <v>2</v>
          </cell>
          <cell r="C63">
            <v>13.16</v>
          </cell>
          <cell r="D63">
            <v>25.9</v>
          </cell>
          <cell r="E63">
            <v>26.3</v>
          </cell>
          <cell r="F63">
            <v>29.1</v>
          </cell>
          <cell r="G63">
            <v>27</v>
          </cell>
          <cell r="H63">
            <v>28.3</v>
          </cell>
          <cell r="I63">
            <v>26.9</v>
          </cell>
          <cell r="J63">
            <v>27.2</v>
          </cell>
          <cell r="K63">
            <v>27.2</v>
          </cell>
          <cell r="L63">
            <v>26.9</v>
          </cell>
          <cell r="M63">
            <v>27.7</v>
          </cell>
          <cell r="N63">
            <v>28.7</v>
          </cell>
          <cell r="O63">
            <v>28.3</v>
          </cell>
        </row>
        <row r="64">
          <cell r="A64">
            <v>302</v>
          </cell>
          <cell r="B64">
            <v>1</v>
          </cell>
          <cell r="C64">
            <v>13.167999999999999</v>
          </cell>
          <cell r="D64">
            <v>33.200000000000003</v>
          </cell>
          <cell r="E64">
            <v>30.6</v>
          </cell>
          <cell r="F64">
            <v>35</v>
          </cell>
          <cell r="G64">
            <v>29.9</v>
          </cell>
          <cell r="H64">
            <v>36.200000000000003</v>
          </cell>
          <cell r="I64">
            <v>28.6</v>
          </cell>
          <cell r="J64">
            <v>36.4</v>
          </cell>
          <cell r="K64">
            <v>29.1</v>
          </cell>
          <cell r="L64">
            <v>33.799999999999997</v>
          </cell>
          <cell r="M64">
            <v>28.5</v>
          </cell>
          <cell r="N64">
            <v>35.4</v>
          </cell>
          <cell r="O64">
            <v>30.1</v>
          </cell>
        </row>
        <row r="65">
          <cell r="A65">
            <v>302</v>
          </cell>
          <cell r="B65">
            <v>2</v>
          </cell>
          <cell r="C65">
            <v>13.173999999999999</v>
          </cell>
          <cell r="D65">
            <v>27.9</v>
          </cell>
          <cell r="E65">
            <v>26.7</v>
          </cell>
          <cell r="F65">
            <v>25.9</v>
          </cell>
          <cell r="G65">
            <v>24.7</v>
          </cell>
          <cell r="H65">
            <v>26.9</v>
          </cell>
          <cell r="I65">
            <v>26.1</v>
          </cell>
          <cell r="J65">
            <v>27.1</v>
          </cell>
          <cell r="K65">
            <v>29.6</v>
          </cell>
          <cell r="L65">
            <v>27.8</v>
          </cell>
          <cell r="M65">
            <v>28.6</v>
          </cell>
          <cell r="N65">
            <v>26.6</v>
          </cell>
          <cell r="O65">
            <v>26.5</v>
          </cell>
        </row>
        <row r="66">
          <cell r="A66">
            <v>303</v>
          </cell>
          <cell r="B66">
            <v>1</v>
          </cell>
          <cell r="C66">
            <v>13.182</v>
          </cell>
          <cell r="D66">
            <v>40.299999999999997</v>
          </cell>
          <cell r="E66">
            <v>35.5</v>
          </cell>
          <cell r="F66">
            <v>38.799999999999997</v>
          </cell>
          <cell r="G66">
            <v>33.200000000000003</v>
          </cell>
          <cell r="H66">
            <v>50.2</v>
          </cell>
          <cell r="I66">
            <v>32.799999999999997</v>
          </cell>
          <cell r="J66">
            <v>43.6</v>
          </cell>
          <cell r="K66">
            <v>33</v>
          </cell>
          <cell r="L66">
            <v>40.299999999999997</v>
          </cell>
          <cell r="M66">
            <v>35.4</v>
          </cell>
          <cell r="N66">
            <v>43.8</v>
          </cell>
          <cell r="O66">
            <v>30.9</v>
          </cell>
        </row>
        <row r="67">
          <cell r="A67">
            <v>303</v>
          </cell>
          <cell r="B67">
            <v>2</v>
          </cell>
          <cell r="C67">
            <v>13.186999999999999</v>
          </cell>
          <cell r="D67">
            <v>28.5</v>
          </cell>
          <cell r="E67">
            <v>29.4</v>
          </cell>
          <cell r="F67">
            <v>28.9</v>
          </cell>
          <cell r="G67">
            <v>29.1</v>
          </cell>
          <cell r="H67">
            <v>29</v>
          </cell>
          <cell r="I67">
            <v>27.9</v>
          </cell>
          <cell r="J67">
            <v>28.6</v>
          </cell>
          <cell r="K67">
            <v>27.6</v>
          </cell>
          <cell r="L67">
            <v>28.5</v>
          </cell>
          <cell r="M67">
            <v>28.6</v>
          </cell>
          <cell r="N67">
            <v>28.4</v>
          </cell>
          <cell r="O67">
            <v>28.5</v>
          </cell>
        </row>
        <row r="68">
          <cell r="A68">
            <v>304</v>
          </cell>
          <cell r="B68">
            <v>1</v>
          </cell>
          <cell r="C68">
            <v>13.196</v>
          </cell>
          <cell r="D68">
            <v>36.700000000000003</v>
          </cell>
          <cell r="E68">
            <v>31.9</v>
          </cell>
          <cell r="F68">
            <v>32.4</v>
          </cell>
          <cell r="G68">
            <v>29.5</v>
          </cell>
          <cell r="H68">
            <v>35.6</v>
          </cell>
          <cell r="I68">
            <v>31.9</v>
          </cell>
          <cell r="J68">
            <v>33.299999999999997</v>
          </cell>
          <cell r="K68">
            <v>28.3</v>
          </cell>
          <cell r="L68">
            <v>35.200000000000003</v>
          </cell>
          <cell r="M68">
            <v>28.6</v>
          </cell>
          <cell r="N68">
            <v>39.700000000000003</v>
          </cell>
          <cell r="O68">
            <v>28.9</v>
          </cell>
        </row>
        <row r="69">
          <cell r="A69">
            <v>304</v>
          </cell>
          <cell r="B69">
            <v>2</v>
          </cell>
          <cell r="C69">
            <v>13.201000000000001</v>
          </cell>
          <cell r="D69">
            <v>27</v>
          </cell>
          <cell r="E69">
            <v>27.1</v>
          </cell>
          <cell r="F69">
            <v>27.5</v>
          </cell>
          <cell r="G69">
            <v>28</v>
          </cell>
          <cell r="H69">
            <v>28.2</v>
          </cell>
          <cell r="I69">
            <v>27.6</v>
          </cell>
          <cell r="J69">
            <v>26.9</v>
          </cell>
          <cell r="K69">
            <v>26.5</v>
          </cell>
          <cell r="L69">
            <v>27.2</v>
          </cell>
          <cell r="M69">
            <v>27.2</v>
          </cell>
          <cell r="N69">
            <v>30.9</v>
          </cell>
          <cell r="O69">
            <v>27.9</v>
          </cell>
        </row>
        <row r="70">
          <cell r="A70">
            <v>305</v>
          </cell>
          <cell r="B70">
            <v>1</v>
          </cell>
          <cell r="C70">
            <v>13.21</v>
          </cell>
          <cell r="D70">
            <v>28.2</v>
          </cell>
          <cell r="E70">
            <v>33.299999999999997</v>
          </cell>
          <cell r="F70">
            <v>29</v>
          </cell>
          <cell r="G70">
            <v>31.6</v>
          </cell>
          <cell r="H70">
            <v>29.5</v>
          </cell>
          <cell r="I70">
            <v>29.4</v>
          </cell>
          <cell r="J70">
            <v>29.2</v>
          </cell>
          <cell r="K70">
            <v>32.5</v>
          </cell>
          <cell r="L70">
            <v>29</v>
          </cell>
          <cell r="M70">
            <v>31.1</v>
          </cell>
          <cell r="N70">
            <v>28.6</v>
          </cell>
          <cell r="O70">
            <v>31.2</v>
          </cell>
        </row>
        <row r="71">
          <cell r="A71">
            <v>305</v>
          </cell>
          <cell r="B71">
            <v>2</v>
          </cell>
          <cell r="C71">
            <v>13.215</v>
          </cell>
          <cell r="D71">
            <v>27.5</v>
          </cell>
          <cell r="E71">
            <v>26.7</v>
          </cell>
          <cell r="F71">
            <v>27.9</v>
          </cell>
          <cell r="G71">
            <v>27.6</v>
          </cell>
          <cell r="H71">
            <v>27.7</v>
          </cell>
          <cell r="I71">
            <v>27.8</v>
          </cell>
          <cell r="J71">
            <v>29.3</v>
          </cell>
          <cell r="K71">
            <v>27.8</v>
          </cell>
          <cell r="L71">
            <v>29.3</v>
          </cell>
          <cell r="M71">
            <v>27.3</v>
          </cell>
          <cell r="N71">
            <v>27.9</v>
          </cell>
          <cell r="O71">
            <v>28.7</v>
          </cell>
        </row>
        <row r="72">
          <cell r="A72">
            <v>306</v>
          </cell>
          <cell r="B72">
            <v>1</v>
          </cell>
          <cell r="C72">
            <v>13.223000000000001</v>
          </cell>
          <cell r="D72">
            <v>32.5</v>
          </cell>
          <cell r="E72">
            <v>31.1</v>
          </cell>
          <cell r="F72">
            <v>31.1</v>
          </cell>
          <cell r="G72">
            <v>29</v>
          </cell>
          <cell r="H72">
            <v>38.700000000000003</v>
          </cell>
          <cell r="I72">
            <v>29.7</v>
          </cell>
          <cell r="J72">
            <v>31.2</v>
          </cell>
          <cell r="K72">
            <v>29.1</v>
          </cell>
          <cell r="L72">
            <v>30.3</v>
          </cell>
          <cell r="M72">
            <v>28.5</v>
          </cell>
          <cell r="N72">
            <v>32.5</v>
          </cell>
          <cell r="O72">
            <v>28</v>
          </cell>
        </row>
        <row r="73">
          <cell r="A73">
            <v>306</v>
          </cell>
          <cell r="B73">
            <v>2</v>
          </cell>
          <cell r="C73">
            <v>13.228</v>
          </cell>
          <cell r="D73">
            <v>26.8</v>
          </cell>
          <cell r="E73">
            <v>28</v>
          </cell>
          <cell r="F73">
            <v>26.4</v>
          </cell>
          <cell r="G73">
            <v>29.4</v>
          </cell>
          <cell r="H73">
            <v>30.3</v>
          </cell>
          <cell r="I73">
            <v>27.9</v>
          </cell>
          <cell r="J73">
            <v>29.5</v>
          </cell>
          <cell r="K73">
            <v>28.5</v>
          </cell>
          <cell r="L73">
            <v>29.6</v>
          </cell>
          <cell r="M73">
            <v>29.5</v>
          </cell>
          <cell r="N73">
            <v>31.3</v>
          </cell>
          <cell r="O73">
            <v>28.9</v>
          </cell>
        </row>
        <row r="74">
          <cell r="A74">
            <v>307</v>
          </cell>
          <cell r="B74">
            <v>1</v>
          </cell>
          <cell r="C74">
            <v>13.276</v>
          </cell>
          <cell r="D74">
            <v>39.799999999999997</v>
          </cell>
          <cell r="E74">
            <v>32</v>
          </cell>
          <cell r="F74">
            <v>28.8</v>
          </cell>
          <cell r="G74">
            <v>29</v>
          </cell>
          <cell r="H74">
            <v>30.3</v>
          </cell>
          <cell r="I74">
            <v>29.4</v>
          </cell>
          <cell r="J74">
            <v>35.4</v>
          </cell>
          <cell r="K74">
            <v>28.8</v>
          </cell>
          <cell r="L74">
            <v>29</v>
          </cell>
          <cell r="M74">
            <v>29.3</v>
          </cell>
          <cell r="N74">
            <v>34.299999999999997</v>
          </cell>
          <cell r="O74">
            <v>33.5</v>
          </cell>
        </row>
        <row r="75">
          <cell r="A75">
            <v>307</v>
          </cell>
          <cell r="B75">
            <v>2</v>
          </cell>
          <cell r="C75">
            <v>13.282</v>
          </cell>
          <cell r="D75">
            <v>28.4</v>
          </cell>
          <cell r="E75">
            <v>29.5</v>
          </cell>
          <cell r="F75">
            <v>27.3</v>
          </cell>
          <cell r="G75">
            <v>28.3</v>
          </cell>
          <cell r="H75">
            <v>28.9</v>
          </cell>
          <cell r="I75">
            <v>28.1</v>
          </cell>
          <cell r="J75">
            <v>30.3</v>
          </cell>
          <cell r="K75">
            <v>29.1</v>
          </cell>
          <cell r="L75">
            <v>29</v>
          </cell>
          <cell r="M75">
            <v>30.1</v>
          </cell>
          <cell r="N75">
            <v>30.4</v>
          </cell>
          <cell r="O75">
            <v>31.1</v>
          </cell>
        </row>
        <row r="76">
          <cell r="A76">
            <v>308</v>
          </cell>
          <cell r="B76">
            <v>1</v>
          </cell>
          <cell r="C76">
            <v>13.29</v>
          </cell>
          <cell r="D76">
            <v>29.6</v>
          </cell>
          <cell r="E76">
            <v>30.6</v>
          </cell>
          <cell r="F76">
            <v>33</v>
          </cell>
          <cell r="G76">
            <v>28.7</v>
          </cell>
          <cell r="H76">
            <v>37.6</v>
          </cell>
          <cell r="I76">
            <v>29.5</v>
          </cell>
          <cell r="J76">
            <v>38</v>
          </cell>
          <cell r="K76">
            <v>29.5</v>
          </cell>
          <cell r="L76">
            <v>40.799999999999997</v>
          </cell>
          <cell r="M76">
            <v>29</v>
          </cell>
          <cell r="N76">
            <v>33.9</v>
          </cell>
          <cell r="O76">
            <v>28.6</v>
          </cell>
        </row>
        <row r="77">
          <cell r="A77">
            <v>308</v>
          </cell>
          <cell r="B77">
            <v>2</v>
          </cell>
          <cell r="C77">
            <v>13.295</v>
          </cell>
          <cell r="D77">
            <v>28.1</v>
          </cell>
          <cell r="E77">
            <v>27.6</v>
          </cell>
          <cell r="F77">
            <v>28.4</v>
          </cell>
          <cell r="G77">
            <v>28.1</v>
          </cell>
          <cell r="H77">
            <v>29.4</v>
          </cell>
          <cell r="I77">
            <v>29.9</v>
          </cell>
          <cell r="J77">
            <v>28.7</v>
          </cell>
          <cell r="K77">
            <v>28.8</v>
          </cell>
          <cell r="L77">
            <v>29.7</v>
          </cell>
          <cell r="M77">
            <v>27.4</v>
          </cell>
          <cell r="N77">
            <v>28.5</v>
          </cell>
          <cell r="O77">
            <v>27.5</v>
          </cell>
        </row>
        <row r="78">
          <cell r="A78">
            <v>408</v>
          </cell>
          <cell r="B78">
            <v>1</v>
          </cell>
          <cell r="C78">
            <v>13.311</v>
          </cell>
          <cell r="D78">
            <v>39.6</v>
          </cell>
          <cell r="E78">
            <v>31.9</v>
          </cell>
          <cell r="F78">
            <v>34.6</v>
          </cell>
          <cell r="G78">
            <v>32.200000000000003</v>
          </cell>
          <cell r="H78">
            <v>34</v>
          </cell>
          <cell r="I78">
            <v>32.200000000000003</v>
          </cell>
          <cell r="J78">
            <v>32.700000000000003</v>
          </cell>
          <cell r="K78">
            <v>32.4</v>
          </cell>
          <cell r="L78">
            <v>35.200000000000003</v>
          </cell>
          <cell r="M78">
            <v>33.9</v>
          </cell>
          <cell r="N78">
            <v>35.700000000000003</v>
          </cell>
          <cell r="O78">
            <v>32.799999999999997</v>
          </cell>
        </row>
        <row r="79">
          <cell r="A79">
            <v>408</v>
          </cell>
          <cell r="B79">
            <v>2</v>
          </cell>
          <cell r="C79">
            <v>13.316000000000001</v>
          </cell>
          <cell r="D79">
            <v>29.7</v>
          </cell>
          <cell r="E79">
            <v>32.299999999999997</v>
          </cell>
          <cell r="F79">
            <v>31.5</v>
          </cell>
          <cell r="G79">
            <v>31.2</v>
          </cell>
          <cell r="H79">
            <v>31.1</v>
          </cell>
          <cell r="I79">
            <v>29.8</v>
          </cell>
          <cell r="J79">
            <v>28.7</v>
          </cell>
          <cell r="K79">
            <v>28.2</v>
          </cell>
          <cell r="L79">
            <v>29.3</v>
          </cell>
          <cell r="M79">
            <v>29.7</v>
          </cell>
          <cell r="N79">
            <v>30.3</v>
          </cell>
          <cell r="O79">
            <v>30.6</v>
          </cell>
        </row>
        <row r="80">
          <cell r="A80">
            <v>407</v>
          </cell>
          <cell r="B80">
            <v>1</v>
          </cell>
          <cell r="C80">
            <v>13.324999999999999</v>
          </cell>
          <cell r="D80">
            <v>44</v>
          </cell>
          <cell r="E80">
            <v>32.799999999999997</v>
          </cell>
          <cell r="F80">
            <v>44.2</v>
          </cell>
          <cell r="G80">
            <v>33.299999999999997</v>
          </cell>
          <cell r="H80">
            <v>39.4</v>
          </cell>
          <cell r="I80">
            <v>33</v>
          </cell>
          <cell r="J80">
            <v>41.7</v>
          </cell>
          <cell r="K80">
            <v>31.7</v>
          </cell>
          <cell r="L80">
            <v>37.5</v>
          </cell>
          <cell r="M80">
            <v>33.299999999999997</v>
          </cell>
          <cell r="N80">
            <v>38</v>
          </cell>
          <cell r="O80">
            <v>30.7</v>
          </cell>
        </row>
        <row r="81">
          <cell r="A81">
            <v>407</v>
          </cell>
          <cell r="B81">
            <v>2</v>
          </cell>
          <cell r="C81">
            <v>13.329000000000001</v>
          </cell>
          <cell r="D81">
            <v>28</v>
          </cell>
          <cell r="E81">
            <v>28.2</v>
          </cell>
          <cell r="F81">
            <v>29.3</v>
          </cell>
          <cell r="G81">
            <v>26.7</v>
          </cell>
          <cell r="H81">
            <v>29.8</v>
          </cell>
          <cell r="I81">
            <v>29.2</v>
          </cell>
          <cell r="J81">
            <v>29.1</v>
          </cell>
          <cell r="K81">
            <v>30</v>
          </cell>
          <cell r="L81">
            <v>30.1</v>
          </cell>
          <cell r="M81">
            <v>28.7</v>
          </cell>
          <cell r="N81">
            <v>30.2</v>
          </cell>
          <cell r="O81">
            <v>29.2</v>
          </cell>
        </row>
        <row r="82">
          <cell r="A82">
            <v>406</v>
          </cell>
          <cell r="B82">
            <v>1</v>
          </cell>
          <cell r="C82">
            <v>13.34</v>
          </cell>
          <cell r="D82">
            <v>40.299999999999997</v>
          </cell>
          <cell r="E82">
            <v>34.5</v>
          </cell>
          <cell r="F82">
            <v>33.299999999999997</v>
          </cell>
          <cell r="G82">
            <v>31.1</v>
          </cell>
          <cell r="H82">
            <v>31.5</v>
          </cell>
          <cell r="I82">
            <v>30.4</v>
          </cell>
          <cell r="J82">
            <v>32.1</v>
          </cell>
          <cell r="K82">
            <v>31.6</v>
          </cell>
          <cell r="L82">
            <v>32.200000000000003</v>
          </cell>
          <cell r="M82">
            <v>31.3</v>
          </cell>
          <cell r="N82">
            <v>32.9</v>
          </cell>
          <cell r="O82">
            <v>30</v>
          </cell>
        </row>
        <row r="83">
          <cell r="A83">
            <v>406</v>
          </cell>
          <cell r="B83">
            <v>2</v>
          </cell>
          <cell r="C83">
            <v>13.345000000000001</v>
          </cell>
          <cell r="D83">
            <v>29.7</v>
          </cell>
          <cell r="E83">
            <v>28</v>
          </cell>
          <cell r="F83">
            <v>30.2</v>
          </cell>
          <cell r="G83">
            <v>29.8</v>
          </cell>
          <cell r="H83">
            <v>34.1</v>
          </cell>
          <cell r="I83">
            <v>34.700000000000003</v>
          </cell>
          <cell r="J83">
            <v>31.5</v>
          </cell>
          <cell r="K83">
            <v>33.9</v>
          </cell>
          <cell r="L83">
            <v>33.799999999999997</v>
          </cell>
          <cell r="M83">
            <v>37.299999999999997</v>
          </cell>
          <cell r="N83">
            <v>33</v>
          </cell>
          <cell r="O83">
            <v>33.1</v>
          </cell>
        </row>
        <row r="84">
          <cell r="A84">
            <v>405</v>
          </cell>
          <cell r="B84">
            <v>1</v>
          </cell>
          <cell r="C84">
            <v>13.355</v>
          </cell>
          <cell r="D84">
            <v>37.1</v>
          </cell>
          <cell r="E84">
            <v>32.9</v>
          </cell>
          <cell r="F84">
            <v>39.5</v>
          </cell>
          <cell r="G84">
            <v>33.5</v>
          </cell>
          <cell r="H84">
            <v>35.799999999999997</v>
          </cell>
          <cell r="I84">
            <v>31.7</v>
          </cell>
          <cell r="J84">
            <v>36.4</v>
          </cell>
          <cell r="K84">
            <v>31.4</v>
          </cell>
          <cell r="L84">
            <v>39</v>
          </cell>
          <cell r="M84">
            <v>31.6</v>
          </cell>
          <cell r="N84">
            <v>37.6</v>
          </cell>
          <cell r="O84">
            <v>32.799999999999997</v>
          </cell>
        </row>
        <row r="85">
          <cell r="A85">
            <v>405</v>
          </cell>
          <cell r="B85">
            <v>2</v>
          </cell>
          <cell r="C85">
            <v>13.361000000000001</v>
          </cell>
          <cell r="D85">
            <v>30.7</v>
          </cell>
          <cell r="E85">
            <v>29.6</v>
          </cell>
          <cell r="F85">
            <v>32</v>
          </cell>
          <cell r="G85">
            <v>30.7</v>
          </cell>
          <cell r="H85">
            <v>29.8</v>
          </cell>
          <cell r="I85">
            <v>30.3</v>
          </cell>
          <cell r="J85">
            <v>30</v>
          </cell>
          <cell r="K85">
            <v>29.7</v>
          </cell>
          <cell r="L85">
            <v>31</v>
          </cell>
          <cell r="M85">
            <v>31.9</v>
          </cell>
          <cell r="N85">
            <v>30.9</v>
          </cell>
          <cell r="O85">
            <v>30.7</v>
          </cell>
        </row>
        <row r="86">
          <cell r="A86">
            <v>404</v>
          </cell>
          <cell r="B86">
            <v>1</v>
          </cell>
          <cell r="C86">
            <v>13.37</v>
          </cell>
          <cell r="D86">
            <v>39</v>
          </cell>
          <cell r="E86">
            <v>34.6</v>
          </cell>
          <cell r="F86">
            <v>30.1</v>
          </cell>
          <cell r="G86">
            <v>30.2</v>
          </cell>
          <cell r="H86">
            <v>32.299999999999997</v>
          </cell>
          <cell r="I86">
            <v>30.6</v>
          </cell>
          <cell r="J86">
            <v>36.299999999999997</v>
          </cell>
          <cell r="K86">
            <v>30.4</v>
          </cell>
          <cell r="L86">
            <v>29.8</v>
          </cell>
          <cell r="M86">
            <v>32.799999999999997</v>
          </cell>
          <cell r="N86">
            <v>35.299999999999997</v>
          </cell>
          <cell r="O86">
            <v>31.8</v>
          </cell>
        </row>
        <row r="87">
          <cell r="A87">
            <v>404</v>
          </cell>
          <cell r="B87">
            <v>2</v>
          </cell>
          <cell r="C87">
            <v>13.375999999999999</v>
          </cell>
          <cell r="D87">
            <v>29</v>
          </cell>
          <cell r="E87">
            <v>28.7</v>
          </cell>
          <cell r="F87">
            <v>28.1</v>
          </cell>
          <cell r="G87">
            <v>28.1</v>
          </cell>
          <cell r="H87">
            <v>29.1</v>
          </cell>
          <cell r="I87">
            <v>29.2</v>
          </cell>
          <cell r="J87">
            <v>29.2</v>
          </cell>
          <cell r="K87">
            <v>28.6</v>
          </cell>
          <cell r="L87">
            <v>28.7</v>
          </cell>
          <cell r="M87">
            <v>28.2</v>
          </cell>
          <cell r="N87">
            <v>28.2</v>
          </cell>
          <cell r="O87">
            <v>28.7</v>
          </cell>
        </row>
        <row r="88">
          <cell r="A88">
            <v>403</v>
          </cell>
          <cell r="B88">
            <v>1</v>
          </cell>
          <cell r="C88">
            <v>13.385999999999999</v>
          </cell>
          <cell r="D88">
            <v>36</v>
          </cell>
          <cell r="E88">
            <v>32.200000000000003</v>
          </cell>
          <cell r="F88">
            <v>33.799999999999997</v>
          </cell>
          <cell r="G88">
            <v>30.4</v>
          </cell>
          <cell r="H88">
            <v>32.4</v>
          </cell>
          <cell r="I88">
            <v>30.3</v>
          </cell>
          <cell r="J88">
            <v>31.2</v>
          </cell>
          <cell r="K88">
            <v>30.3</v>
          </cell>
          <cell r="L88">
            <v>42.1</v>
          </cell>
          <cell r="M88">
            <v>31.9</v>
          </cell>
          <cell r="N88">
            <v>34.1</v>
          </cell>
          <cell r="O88">
            <v>30.3</v>
          </cell>
        </row>
        <row r="89">
          <cell r="A89">
            <v>403</v>
          </cell>
          <cell r="B89">
            <v>2</v>
          </cell>
          <cell r="C89">
            <v>13.391</v>
          </cell>
          <cell r="D89">
            <v>29.8</v>
          </cell>
          <cell r="E89">
            <v>30.2</v>
          </cell>
          <cell r="F89">
            <v>30.5</v>
          </cell>
          <cell r="G89">
            <v>29</v>
          </cell>
          <cell r="H89">
            <v>31.2</v>
          </cell>
          <cell r="I89">
            <v>28.6</v>
          </cell>
          <cell r="J89">
            <v>28.1</v>
          </cell>
          <cell r="K89">
            <v>29.7</v>
          </cell>
          <cell r="L89">
            <v>31.2</v>
          </cell>
          <cell r="M89">
            <v>29.6</v>
          </cell>
          <cell r="N89">
            <v>29.1</v>
          </cell>
          <cell r="O89">
            <v>29.5</v>
          </cell>
        </row>
        <row r="90">
          <cell r="A90">
            <v>402</v>
          </cell>
          <cell r="B90">
            <v>1</v>
          </cell>
          <cell r="C90">
            <v>13.401999999999999</v>
          </cell>
          <cell r="D90">
            <v>41.2</v>
          </cell>
          <cell r="E90">
            <v>36.799999999999997</v>
          </cell>
          <cell r="F90">
            <v>31.4</v>
          </cell>
          <cell r="G90">
            <v>31.9</v>
          </cell>
          <cell r="H90">
            <v>33.5</v>
          </cell>
          <cell r="I90">
            <v>31.2</v>
          </cell>
          <cell r="J90">
            <v>32.4</v>
          </cell>
          <cell r="K90">
            <v>30.8</v>
          </cell>
          <cell r="L90">
            <v>38</v>
          </cell>
          <cell r="M90">
            <v>32.799999999999997</v>
          </cell>
          <cell r="N90">
            <v>35.200000000000003</v>
          </cell>
          <cell r="O90">
            <v>30.9</v>
          </cell>
        </row>
        <row r="91">
          <cell r="A91">
            <v>402</v>
          </cell>
          <cell r="B91">
            <v>2</v>
          </cell>
          <cell r="C91">
            <v>13.406000000000001</v>
          </cell>
          <cell r="D91">
            <v>31.1</v>
          </cell>
          <cell r="E91">
            <v>31.1</v>
          </cell>
          <cell r="F91">
            <v>31.9</v>
          </cell>
          <cell r="G91">
            <v>29.7</v>
          </cell>
          <cell r="H91">
            <v>31.9</v>
          </cell>
          <cell r="I91">
            <v>31.7</v>
          </cell>
          <cell r="J91">
            <v>31.9</v>
          </cell>
          <cell r="K91">
            <v>30.5</v>
          </cell>
          <cell r="L91">
            <v>32</v>
          </cell>
          <cell r="M91">
            <v>32</v>
          </cell>
          <cell r="N91">
            <v>32.6</v>
          </cell>
          <cell r="O91">
            <v>33</v>
          </cell>
        </row>
        <row r="92">
          <cell r="A92">
            <v>401</v>
          </cell>
          <cell r="B92">
            <v>1</v>
          </cell>
          <cell r="C92">
            <v>13.417</v>
          </cell>
          <cell r="D92">
            <v>53.9</v>
          </cell>
          <cell r="E92">
            <v>49.3</v>
          </cell>
          <cell r="F92">
            <v>47.9</v>
          </cell>
          <cell r="G92">
            <v>41</v>
          </cell>
          <cell r="H92">
            <v>48.6</v>
          </cell>
          <cell r="I92">
            <v>34.5</v>
          </cell>
          <cell r="J92">
            <v>48.8</v>
          </cell>
          <cell r="K92">
            <v>38.200000000000003</v>
          </cell>
          <cell r="L92">
            <v>49.5</v>
          </cell>
          <cell r="M92">
            <v>33.5</v>
          </cell>
          <cell r="N92">
            <v>40.200000000000003</v>
          </cell>
          <cell r="O92">
            <v>31.9</v>
          </cell>
        </row>
        <row r="93">
          <cell r="A93">
            <v>401</v>
          </cell>
          <cell r="B93">
            <v>2</v>
          </cell>
          <cell r="C93">
            <v>13.423</v>
          </cell>
          <cell r="D93">
            <v>28.2</v>
          </cell>
          <cell r="E93">
            <v>30.4</v>
          </cell>
          <cell r="F93">
            <v>28</v>
          </cell>
          <cell r="G93">
            <v>30.1</v>
          </cell>
          <cell r="H93">
            <v>28.4</v>
          </cell>
          <cell r="I93">
            <v>31.7</v>
          </cell>
          <cell r="J93">
            <v>30.7</v>
          </cell>
          <cell r="K93">
            <v>30.8</v>
          </cell>
          <cell r="L93">
            <v>30.8</v>
          </cell>
          <cell r="M93">
            <v>31.8</v>
          </cell>
          <cell r="N93">
            <v>29.6</v>
          </cell>
          <cell r="O93">
            <v>31.2</v>
          </cell>
        </row>
      </sheetData>
      <sheetData sheetId="2">
        <row r="7">
          <cell r="C7">
            <v>189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39.200000000000003</v>
          </cell>
        </row>
        <row r="29">
          <cell r="E29">
            <v>6.0920500235091097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'IA195.03R'</v>
          </cell>
        </row>
        <row r="14">
          <cell r="A14">
            <v>108</v>
          </cell>
          <cell r="B14">
            <v>1</v>
          </cell>
          <cell r="C14">
            <v>13.037000000000001</v>
          </cell>
          <cell r="D14">
            <v>34.9</v>
          </cell>
          <cell r="E14">
            <v>32.700000000000003</v>
          </cell>
          <cell r="F14">
            <v>31.1</v>
          </cell>
          <cell r="G14">
            <v>31.6</v>
          </cell>
          <cell r="H14">
            <v>31</v>
          </cell>
          <cell r="I14">
            <v>33.799999999999997</v>
          </cell>
          <cell r="J14">
            <v>31.6</v>
          </cell>
          <cell r="K14">
            <v>32.700000000000003</v>
          </cell>
          <cell r="L14">
            <v>31.4</v>
          </cell>
          <cell r="M14">
            <v>30.9</v>
          </cell>
          <cell r="N14">
            <v>31</v>
          </cell>
          <cell r="O14">
            <v>30.1</v>
          </cell>
        </row>
        <row r="15">
          <cell r="A15">
            <v>108</v>
          </cell>
          <cell r="B15">
            <v>2</v>
          </cell>
          <cell r="C15">
            <v>13.041</v>
          </cell>
          <cell r="D15">
            <v>29.9</v>
          </cell>
          <cell r="E15">
            <v>30.1</v>
          </cell>
          <cell r="F15">
            <v>30.8</v>
          </cell>
          <cell r="G15">
            <v>31.4</v>
          </cell>
          <cell r="H15">
            <v>30.3</v>
          </cell>
          <cell r="I15">
            <v>31.3</v>
          </cell>
          <cell r="J15">
            <v>31.1</v>
          </cell>
          <cell r="K15">
            <v>31.1</v>
          </cell>
          <cell r="L15">
            <v>31.6</v>
          </cell>
          <cell r="M15">
            <v>29.9</v>
          </cell>
          <cell r="N15">
            <v>29.9</v>
          </cell>
          <cell r="O15">
            <v>29.4</v>
          </cell>
        </row>
        <row r="16">
          <cell r="A16">
            <v>107</v>
          </cell>
          <cell r="B16">
            <v>1</v>
          </cell>
          <cell r="C16">
            <v>13.053000000000001</v>
          </cell>
          <cell r="D16">
            <v>36.6</v>
          </cell>
          <cell r="E16">
            <v>36.799999999999997</v>
          </cell>
          <cell r="F16">
            <v>32.6</v>
          </cell>
          <cell r="G16">
            <v>31.6</v>
          </cell>
          <cell r="H16">
            <v>29.8</v>
          </cell>
          <cell r="I16">
            <v>34</v>
          </cell>
          <cell r="J16">
            <v>34.299999999999997</v>
          </cell>
          <cell r="K16">
            <v>30.5</v>
          </cell>
          <cell r="L16">
            <v>35.299999999999997</v>
          </cell>
          <cell r="M16">
            <v>30.8</v>
          </cell>
          <cell r="N16">
            <v>34.1</v>
          </cell>
          <cell r="O16">
            <v>30.8</v>
          </cell>
        </row>
        <row r="17">
          <cell r="A17">
            <v>107</v>
          </cell>
          <cell r="B17">
            <v>2</v>
          </cell>
          <cell r="C17">
            <v>13.058</v>
          </cell>
          <cell r="D17">
            <v>31.3</v>
          </cell>
          <cell r="E17">
            <v>31.1</v>
          </cell>
          <cell r="F17">
            <v>32</v>
          </cell>
          <cell r="G17">
            <v>30.8</v>
          </cell>
          <cell r="H17">
            <v>31.1</v>
          </cell>
          <cell r="I17">
            <v>30.9</v>
          </cell>
          <cell r="J17">
            <v>31.6</v>
          </cell>
          <cell r="K17">
            <v>31.3</v>
          </cell>
          <cell r="L17">
            <v>30.9</v>
          </cell>
          <cell r="M17">
            <v>30.8</v>
          </cell>
          <cell r="N17">
            <v>31.4</v>
          </cell>
          <cell r="O17">
            <v>31.7</v>
          </cell>
        </row>
        <row r="18">
          <cell r="A18">
            <v>106</v>
          </cell>
          <cell r="B18">
            <v>1</v>
          </cell>
          <cell r="C18">
            <v>13.07</v>
          </cell>
          <cell r="D18">
            <v>35.6</v>
          </cell>
          <cell r="E18">
            <v>32.6</v>
          </cell>
          <cell r="F18">
            <v>32.4</v>
          </cell>
          <cell r="G18">
            <v>32.6</v>
          </cell>
          <cell r="H18">
            <v>34.6</v>
          </cell>
          <cell r="I18">
            <v>32.6</v>
          </cell>
          <cell r="J18">
            <v>32.799999999999997</v>
          </cell>
          <cell r="K18">
            <v>33.1</v>
          </cell>
          <cell r="L18">
            <v>33.1</v>
          </cell>
          <cell r="M18">
            <v>33.700000000000003</v>
          </cell>
          <cell r="N18">
            <v>34.299999999999997</v>
          </cell>
          <cell r="O18">
            <v>31.6</v>
          </cell>
        </row>
        <row r="19">
          <cell r="A19">
            <v>106</v>
          </cell>
          <cell r="B19">
            <v>2</v>
          </cell>
          <cell r="C19">
            <v>13.074</v>
          </cell>
          <cell r="D19">
            <v>31.5</v>
          </cell>
          <cell r="E19">
            <v>31</v>
          </cell>
          <cell r="F19">
            <v>33.1</v>
          </cell>
          <cell r="G19">
            <v>33</v>
          </cell>
          <cell r="H19">
            <v>32.299999999999997</v>
          </cell>
          <cell r="I19">
            <v>32.1</v>
          </cell>
          <cell r="J19">
            <v>31.8</v>
          </cell>
          <cell r="K19">
            <v>31.5</v>
          </cell>
          <cell r="L19">
            <v>32.6</v>
          </cell>
          <cell r="M19">
            <v>31.4</v>
          </cell>
          <cell r="N19">
            <v>30.5</v>
          </cell>
          <cell r="O19">
            <v>30.5</v>
          </cell>
        </row>
        <row r="20">
          <cell r="A20">
            <v>105</v>
          </cell>
          <cell r="B20">
            <v>1</v>
          </cell>
          <cell r="C20">
            <v>13.087</v>
          </cell>
          <cell r="D20">
            <v>33</v>
          </cell>
          <cell r="E20">
            <v>31.4</v>
          </cell>
          <cell r="F20">
            <v>31.7</v>
          </cell>
          <cell r="G20">
            <v>32.1</v>
          </cell>
          <cell r="H20">
            <v>32.5</v>
          </cell>
          <cell r="I20">
            <v>31.5</v>
          </cell>
          <cell r="J20">
            <v>32.1</v>
          </cell>
          <cell r="K20">
            <v>32.9</v>
          </cell>
          <cell r="L20">
            <v>32.5</v>
          </cell>
          <cell r="M20">
            <v>33.4</v>
          </cell>
          <cell r="N20">
            <v>32.4</v>
          </cell>
          <cell r="O20">
            <v>32.1</v>
          </cell>
        </row>
        <row r="21">
          <cell r="A21">
            <v>105</v>
          </cell>
          <cell r="B21">
            <v>2</v>
          </cell>
          <cell r="C21">
            <v>13.090999999999999</v>
          </cell>
          <cell r="D21">
            <v>29.9</v>
          </cell>
          <cell r="E21">
            <v>30.1</v>
          </cell>
          <cell r="F21">
            <v>32.299999999999997</v>
          </cell>
          <cell r="G21">
            <v>31.4</v>
          </cell>
          <cell r="H21">
            <v>31.6</v>
          </cell>
          <cell r="I21">
            <v>31.8</v>
          </cell>
          <cell r="J21">
            <v>32.6</v>
          </cell>
          <cell r="K21">
            <v>32.9</v>
          </cell>
          <cell r="L21">
            <v>32.5</v>
          </cell>
          <cell r="M21">
            <v>33.9</v>
          </cell>
          <cell r="N21">
            <v>33.1</v>
          </cell>
          <cell r="O21">
            <v>33.4</v>
          </cell>
        </row>
        <row r="22">
          <cell r="A22">
            <v>104</v>
          </cell>
          <cell r="B22">
            <v>1</v>
          </cell>
          <cell r="C22">
            <v>13.103999999999999</v>
          </cell>
          <cell r="D22">
            <v>34.1</v>
          </cell>
          <cell r="E22">
            <v>33.299999999999997</v>
          </cell>
          <cell r="F22">
            <v>32.799999999999997</v>
          </cell>
          <cell r="G22">
            <v>32.799999999999997</v>
          </cell>
          <cell r="H22">
            <v>33</v>
          </cell>
          <cell r="I22">
            <v>34.9</v>
          </cell>
          <cell r="J22">
            <v>33.6</v>
          </cell>
          <cell r="K22">
            <v>34.9</v>
          </cell>
          <cell r="L22">
            <v>34.200000000000003</v>
          </cell>
          <cell r="M22">
            <v>33</v>
          </cell>
          <cell r="N22">
            <v>33</v>
          </cell>
          <cell r="O22">
            <v>34.1</v>
          </cell>
        </row>
        <row r="23">
          <cell r="A23">
            <v>104</v>
          </cell>
          <cell r="B23">
            <v>2</v>
          </cell>
          <cell r="C23">
            <v>13.109</v>
          </cell>
          <cell r="D23">
            <v>31.9</v>
          </cell>
          <cell r="E23">
            <v>33.200000000000003</v>
          </cell>
          <cell r="F23">
            <v>33.4</v>
          </cell>
          <cell r="G23">
            <v>32.799999999999997</v>
          </cell>
          <cell r="H23">
            <v>33.700000000000003</v>
          </cell>
          <cell r="I23">
            <v>35.299999999999997</v>
          </cell>
          <cell r="J23">
            <v>32.9</v>
          </cell>
          <cell r="K23">
            <v>34.200000000000003</v>
          </cell>
          <cell r="L23">
            <v>35.799999999999997</v>
          </cell>
          <cell r="M23">
            <v>35.4</v>
          </cell>
          <cell r="N23">
            <v>33.6</v>
          </cell>
          <cell r="O23">
            <v>36.200000000000003</v>
          </cell>
        </row>
        <row r="24">
          <cell r="A24">
            <v>103</v>
          </cell>
          <cell r="B24">
            <v>1</v>
          </cell>
          <cell r="C24">
            <v>13.121</v>
          </cell>
          <cell r="D24">
            <v>33.799999999999997</v>
          </cell>
          <cell r="E24">
            <v>33.700000000000003</v>
          </cell>
          <cell r="F24">
            <v>34.1</v>
          </cell>
          <cell r="G24">
            <v>34.1</v>
          </cell>
          <cell r="H24">
            <v>34.9</v>
          </cell>
          <cell r="I24">
            <v>34.799999999999997</v>
          </cell>
          <cell r="J24">
            <v>35.200000000000003</v>
          </cell>
          <cell r="K24">
            <v>35.6</v>
          </cell>
          <cell r="L24">
            <v>35.6</v>
          </cell>
          <cell r="M24">
            <v>34.9</v>
          </cell>
          <cell r="N24">
            <v>34.299999999999997</v>
          </cell>
          <cell r="O24">
            <v>34.299999999999997</v>
          </cell>
        </row>
        <row r="25">
          <cell r="A25">
            <v>103</v>
          </cell>
          <cell r="B25">
            <v>2</v>
          </cell>
          <cell r="C25">
            <v>13.125999999999999</v>
          </cell>
          <cell r="D25">
            <v>33.299999999999997</v>
          </cell>
          <cell r="E25">
            <v>31.8</v>
          </cell>
          <cell r="F25">
            <v>31.2</v>
          </cell>
          <cell r="G25">
            <v>31.1</v>
          </cell>
          <cell r="H25">
            <v>31.2</v>
          </cell>
          <cell r="I25">
            <v>29.8</v>
          </cell>
          <cell r="J25">
            <v>30.9</v>
          </cell>
          <cell r="K25">
            <v>29.4</v>
          </cell>
          <cell r="L25">
            <v>29.2</v>
          </cell>
          <cell r="M25">
            <v>29.3</v>
          </cell>
          <cell r="N25">
            <v>28.7</v>
          </cell>
          <cell r="O25">
            <v>29.8</v>
          </cell>
        </row>
        <row r="26">
          <cell r="A26">
            <v>102</v>
          </cell>
          <cell r="B26">
            <v>1</v>
          </cell>
          <cell r="C26">
            <v>13.138</v>
          </cell>
          <cell r="D26">
            <v>34.4</v>
          </cell>
          <cell r="E26">
            <v>32.299999999999997</v>
          </cell>
          <cell r="F26">
            <v>29.4</v>
          </cell>
          <cell r="G26">
            <v>32.299999999999997</v>
          </cell>
          <cell r="H26">
            <v>30.6</v>
          </cell>
          <cell r="I26">
            <v>33.9</v>
          </cell>
          <cell r="J26">
            <v>30.5</v>
          </cell>
          <cell r="K26">
            <v>31.9</v>
          </cell>
          <cell r="L26">
            <v>31.3</v>
          </cell>
          <cell r="M26">
            <v>32.5</v>
          </cell>
          <cell r="N26">
            <v>30</v>
          </cell>
          <cell r="O26">
            <v>29.7</v>
          </cell>
        </row>
        <row r="27">
          <cell r="A27">
            <v>102</v>
          </cell>
          <cell r="B27">
            <v>2</v>
          </cell>
          <cell r="C27">
            <v>13.143000000000001</v>
          </cell>
          <cell r="D27">
            <v>28.2</v>
          </cell>
          <cell r="E27">
            <v>28.7</v>
          </cell>
          <cell r="F27">
            <v>29.2</v>
          </cell>
          <cell r="G27">
            <v>28.9</v>
          </cell>
          <cell r="H27">
            <v>29.2</v>
          </cell>
          <cell r="I27">
            <v>28.1</v>
          </cell>
          <cell r="J27">
            <v>29.7</v>
          </cell>
          <cell r="K27">
            <v>28.4</v>
          </cell>
          <cell r="L27">
            <v>29.5</v>
          </cell>
          <cell r="M27">
            <v>28.3</v>
          </cell>
          <cell r="N27">
            <v>28.7</v>
          </cell>
          <cell r="O27">
            <v>29.3</v>
          </cell>
        </row>
        <row r="28">
          <cell r="A28">
            <v>101</v>
          </cell>
          <cell r="B28">
            <v>1</v>
          </cell>
          <cell r="C28">
            <v>13.154999999999999</v>
          </cell>
          <cell r="D28">
            <v>36.700000000000003</v>
          </cell>
          <cell r="E28">
            <v>32.799999999999997</v>
          </cell>
          <cell r="F28">
            <v>30.1</v>
          </cell>
          <cell r="G28">
            <v>32.1</v>
          </cell>
          <cell r="H28">
            <v>30.7</v>
          </cell>
          <cell r="I28">
            <v>33.700000000000003</v>
          </cell>
          <cell r="J28">
            <v>30.7</v>
          </cell>
          <cell r="K28">
            <v>32.1</v>
          </cell>
          <cell r="L28">
            <v>30.4</v>
          </cell>
          <cell r="M28">
            <v>32.1</v>
          </cell>
          <cell r="N28">
            <v>31.5</v>
          </cell>
          <cell r="O28">
            <v>30.3</v>
          </cell>
        </row>
        <row r="29">
          <cell r="A29">
            <v>101</v>
          </cell>
          <cell r="B29">
            <v>2</v>
          </cell>
          <cell r="C29">
            <v>13.16</v>
          </cell>
          <cell r="D29">
            <v>30.6</v>
          </cell>
          <cell r="E29">
            <v>30</v>
          </cell>
          <cell r="F29">
            <v>31.2</v>
          </cell>
          <cell r="G29">
            <v>30.9</v>
          </cell>
          <cell r="H29">
            <v>31.3</v>
          </cell>
          <cell r="I29">
            <v>31</v>
          </cell>
          <cell r="J29">
            <v>30.5</v>
          </cell>
          <cell r="K29">
            <v>30.6</v>
          </cell>
          <cell r="L29">
            <v>30.8</v>
          </cell>
          <cell r="M29">
            <v>30.9</v>
          </cell>
          <cell r="N29">
            <v>29.6</v>
          </cell>
          <cell r="O29">
            <v>29</v>
          </cell>
        </row>
        <row r="30">
          <cell r="A30">
            <v>201</v>
          </cell>
          <cell r="B30">
            <v>1</v>
          </cell>
          <cell r="C30">
            <v>13.212</v>
          </cell>
          <cell r="D30">
            <v>29</v>
          </cell>
          <cell r="E30">
            <v>29.8</v>
          </cell>
          <cell r="F30">
            <v>29.1</v>
          </cell>
          <cell r="G30">
            <v>30.8</v>
          </cell>
          <cell r="H30">
            <v>30.3</v>
          </cell>
          <cell r="I30">
            <v>29.9</v>
          </cell>
          <cell r="J30">
            <v>34</v>
          </cell>
          <cell r="K30">
            <v>30</v>
          </cell>
          <cell r="L30">
            <v>32.5</v>
          </cell>
          <cell r="M30">
            <v>29.9</v>
          </cell>
          <cell r="N30">
            <v>32.299999999999997</v>
          </cell>
          <cell r="O30">
            <v>29.1</v>
          </cell>
        </row>
        <row r="31">
          <cell r="A31">
            <v>201</v>
          </cell>
          <cell r="B31">
            <v>2</v>
          </cell>
          <cell r="C31">
            <v>13.217000000000001</v>
          </cell>
          <cell r="D31">
            <v>29.6</v>
          </cell>
          <cell r="E31">
            <v>29.5</v>
          </cell>
          <cell r="F31">
            <v>29.1</v>
          </cell>
          <cell r="G31">
            <v>29.3</v>
          </cell>
          <cell r="H31">
            <v>30.1</v>
          </cell>
          <cell r="I31">
            <v>30</v>
          </cell>
          <cell r="J31">
            <v>29.8</v>
          </cell>
          <cell r="K31">
            <v>30.1</v>
          </cell>
          <cell r="L31">
            <v>30.1</v>
          </cell>
          <cell r="M31">
            <v>30.2</v>
          </cell>
          <cell r="N31">
            <v>30.3</v>
          </cell>
          <cell r="O31">
            <v>31</v>
          </cell>
        </row>
        <row r="32">
          <cell r="A32">
            <v>202</v>
          </cell>
          <cell r="B32">
            <v>1</v>
          </cell>
          <cell r="C32">
            <v>13.228</v>
          </cell>
          <cell r="D32">
            <v>39.200000000000003</v>
          </cell>
          <cell r="E32">
            <v>32.9</v>
          </cell>
          <cell r="F32">
            <v>32.200000000000003</v>
          </cell>
          <cell r="G32">
            <v>31.6</v>
          </cell>
          <cell r="H32">
            <v>35</v>
          </cell>
          <cell r="I32">
            <v>31</v>
          </cell>
          <cell r="J32">
            <v>35.4</v>
          </cell>
          <cell r="K32">
            <v>31.4</v>
          </cell>
          <cell r="L32">
            <v>33.799999999999997</v>
          </cell>
          <cell r="M32">
            <v>31.7</v>
          </cell>
          <cell r="N32">
            <v>32.4</v>
          </cell>
          <cell r="O32">
            <v>30.9</v>
          </cell>
        </row>
        <row r="33">
          <cell r="A33">
            <v>202</v>
          </cell>
          <cell r="B33">
            <v>2</v>
          </cell>
          <cell r="C33">
            <v>13.233000000000001</v>
          </cell>
          <cell r="D33">
            <v>28.8</v>
          </cell>
          <cell r="E33">
            <v>29.9</v>
          </cell>
          <cell r="F33">
            <v>28.7</v>
          </cell>
          <cell r="G33">
            <v>29.6</v>
          </cell>
          <cell r="H33">
            <v>32.1</v>
          </cell>
          <cell r="I33">
            <v>29.2</v>
          </cell>
          <cell r="J33">
            <v>28.3</v>
          </cell>
          <cell r="K33">
            <v>28.6</v>
          </cell>
          <cell r="L33">
            <v>30</v>
          </cell>
          <cell r="M33">
            <v>28.2</v>
          </cell>
          <cell r="N33">
            <v>28.9</v>
          </cell>
          <cell r="O33">
            <v>29.7</v>
          </cell>
        </row>
        <row r="34">
          <cell r="A34">
            <v>203</v>
          </cell>
          <cell r="B34">
            <v>1</v>
          </cell>
          <cell r="C34">
            <v>13.244999999999999</v>
          </cell>
          <cell r="D34">
            <v>29.6</v>
          </cell>
          <cell r="E34">
            <v>29.8</v>
          </cell>
          <cell r="F34">
            <v>29.8</v>
          </cell>
          <cell r="G34">
            <v>29.5</v>
          </cell>
          <cell r="H34">
            <v>28.4</v>
          </cell>
          <cell r="I34">
            <v>28.9</v>
          </cell>
          <cell r="J34">
            <v>28.3</v>
          </cell>
          <cell r="K34">
            <v>31.4</v>
          </cell>
          <cell r="L34">
            <v>28.7</v>
          </cell>
          <cell r="M34">
            <v>28.8</v>
          </cell>
          <cell r="N34">
            <v>28.7</v>
          </cell>
          <cell r="O34">
            <v>29.2</v>
          </cell>
        </row>
        <row r="35">
          <cell r="A35">
            <v>203</v>
          </cell>
          <cell r="B35">
            <v>2</v>
          </cell>
          <cell r="C35">
            <v>13.249000000000001</v>
          </cell>
          <cell r="D35">
            <v>29.7</v>
          </cell>
          <cell r="E35">
            <v>30.5</v>
          </cell>
          <cell r="F35">
            <v>31.8</v>
          </cell>
          <cell r="G35">
            <v>30.7</v>
          </cell>
          <cell r="H35">
            <v>31.2</v>
          </cell>
          <cell r="I35">
            <v>32.799999999999997</v>
          </cell>
          <cell r="J35">
            <v>31.2</v>
          </cell>
          <cell r="K35">
            <v>31.8</v>
          </cell>
          <cell r="L35">
            <v>31.1</v>
          </cell>
          <cell r="M35">
            <v>31.1</v>
          </cell>
          <cell r="N35">
            <v>31.9</v>
          </cell>
          <cell r="O35">
            <v>32.1</v>
          </cell>
        </row>
        <row r="36">
          <cell r="A36">
            <v>204</v>
          </cell>
          <cell r="B36">
            <v>1</v>
          </cell>
          <cell r="C36">
            <v>13.260999999999999</v>
          </cell>
          <cell r="D36">
            <v>29.5</v>
          </cell>
          <cell r="E36">
            <v>30.8</v>
          </cell>
          <cell r="F36">
            <v>30.6</v>
          </cell>
          <cell r="G36">
            <v>30.2</v>
          </cell>
          <cell r="H36">
            <v>30.5</v>
          </cell>
          <cell r="I36">
            <v>30.9</v>
          </cell>
          <cell r="J36">
            <v>30.9</v>
          </cell>
          <cell r="K36">
            <v>31.6</v>
          </cell>
          <cell r="L36">
            <v>31.4</v>
          </cell>
          <cell r="M36">
            <v>32</v>
          </cell>
          <cell r="N36">
            <v>31.5</v>
          </cell>
          <cell r="O36">
            <v>31.3</v>
          </cell>
        </row>
        <row r="37">
          <cell r="A37">
            <v>204</v>
          </cell>
          <cell r="B37">
            <v>2</v>
          </cell>
          <cell r="C37">
            <v>13.266</v>
          </cell>
          <cell r="D37">
            <v>31</v>
          </cell>
          <cell r="E37">
            <v>32.200000000000003</v>
          </cell>
          <cell r="F37">
            <v>32.5</v>
          </cell>
          <cell r="G37">
            <v>33</v>
          </cell>
          <cell r="H37">
            <v>30.3</v>
          </cell>
          <cell r="I37">
            <v>31.2</v>
          </cell>
          <cell r="J37">
            <v>29.9</v>
          </cell>
          <cell r="K37">
            <v>30.7</v>
          </cell>
          <cell r="L37">
            <v>30</v>
          </cell>
          <cell r="M37">
            <v>31.1</v>
          </cell>
          <cell r="N37">
            <v>30</v>
          </cell>
          <cell r="O37">
            <v>30.1</v>
          </cell>
        </row>
        <row r="38">
          <cell r="A38">
            <v>205</v>
          </cell>
          <cell r="B38">
            <v>1</v>
          </cell>
          <cell r="C38">
            <v>13.278</v>
          </cell>
          <cell r="D38">
            <v>32</v>
          </cell>
          <cell r="E38">
            <v>30.9</v>
          </cell>
          <cell r="F38">
            <v>31.1</v>
          </cell>
          <cell r="G38">
            <v>30.7</v>
          </cell>
          <cell r="H38">
            <v>31.1</v>
          </cell>
          <cell r="I38">
            <v>30.4</v>
          </cell>
          <cell r="J38">
            <v>30.6</v>
          </cell>
          <cell r="K38">
            <v>31.8</v>
          </cell>
          <cell r="L38">
            <v>31</v>
          </cell>
          <cell r="M38">
            <v>29.9</v>
          </cell>
          <cell r="N38">
            <v>29.8</v>
          </cell>
          <cell r="O38">
            <v>29.8</v>
          </cell>
        </row>
        <row r="39">
          <cell r="A39">
            <v>205</v>
          </cell>
          <cell r="B39">
            <v>2</v>
          </cell>
          <cell r="C39">
            <v>13.282</v>
          </cell>
          <cell r="D39">
            <v>30</v>
          </cell>
          <cell r="E39">
            <v>30.2</v>
          </cell>
          <cell r="F39">
            <v>29</v>
          </cell>
          <cell r="G39">
            <v>29.7</v>
          </cell>
          <cell r="H39">
            <v>33.4</v>
          </cell>
          <cell r="I39">
            <v>32</v>
          </cell>
          <cell r="J39">
            <v>29.5</v>
          </cell>
          <cell r="K39">
            <v>32.4</v>
          </cell>
          <cell r="L39">
            <v>31</v>
          </cell>
          <cell r="M39">
            <v>30.7</v>
          </cell>
          <cell r="N39">
            <v>32.700000000000003</v>
          </cell>
          <cell r="O39">
            <v>32.5</v>
          </cell>
        </row>
        <row r="40">
          <cell r="A40">
            <v>206</v>
          </cell>
          <cell r="B40">
            <v>1</v>
          </cell>
          <cell r="C40">
            <v>13.294</v>
          </cell>
          <cell r="D40">
            <v>40</v>
          </cell>
          <cell r="E40">
            <v>38.6</v>
          </cell>
          <cell r="F40">
            <v>33.200000000000003</v>
          </cell>
          <cell r="G40">
            <v>39.6</v>
          </cell>
          <cell r="H40">
            <v>33.700000000000003</v>
          </cell>
          <cell r="I40">
            <v>40.4</v>
          </cell>
          <cell r="J40">
            <v>34.1</v>
          </cell>
          <cell r="K40">
            <v>38.299999999999997</v>
          </cell>
          <cell r="L40">
            <v>32.5</v>
          </cell>
          <cell r="M40">
            <v>35.1</v>
          </cell>
          <cell r="N40">
            <v>36</v>
          </cell>
          <cell r="O40">
            <v>33.9</v>
          </cell>
        </row>
        <row r="41">
          <cell r="A41">
            <v>206</v>
          </cell>
          <cell r="B41">
            <v>2</v>
          </cell>
          <cell r="C41">
            <v>13.298999999999999</v>
          </cell>
          <cell r="D41">
            <v>31.2</v>
          </cell>
          <cell r="E41">
            <v>31.8</v>
          </cell>
          <cell r="F41">
            <v>31.7</v>
          </cell>
          <cell r="G41">
            <v>31.3</v>
          </cell>
          <cell r="H41">
            <v>31.7</v>
          </cell>
          <cell r="I41">
            <v>31.8</v>
          </cell>
          <cell r="J41">
            <v>32.6</v>
          </cell>
          <cell r="K41">
            <v>32.799999999999997</v>
          </cell>
          <cell r="L41">
            <v>32.299999999999997</v>
          </cell>
          <cell r="M41">
            <v>33.1</v>
          </cell>
          <cell r="N41">
            <v>31.1</v>
          </cell>
          <cell r="O41">
            <v>32.200000000000003</v>
          </cell>
        </row>
        <row r="42">
          <cell r="A42">
            <v>207</v>
          </cell>
          <cell r="B42">
            <v>1</v>
          </cell>
          <cell r="C42">
            <v>13.314</v>
          </cell>
          <cell r="D42">
            <v>33.799999999999997</v>
          </cell>
          <cell r="E42">
            <v>33.700000000000003</v>
          </cell>
          <cell r="F42">
            <v>31.1</v>
          </cell>
          <cell r="G42">
            <v>33</v>
          </cell>
          <cell r="H42">
            <v>30.4</v>
          </cell>
          <cell r="I42">
            <v>32.299999999999997</v>
          </cell>
          <cell r="J42">
            <v>30.7</v>
          </cell>
          <cell r="K42">
            <v>31.1</v>
          </cell>
          <cell r="L42">
            <v>30.1</v>
          </cell>
          <cell r="M42">
            <v>30.6</v>
          </cell>
          <cell r="N42">
            <v>29.7</v>
          </cell>
          <cell r="O42">
            <v>30</v>
          </cell>
        </row>
        <row r="43">
          <cell r="A43">
            <v>207</v>
          </cell>
          <cell r="B43">
            <v>2</v>
          </cell>
          <cell r="C43">
            <v>13.319000000000001</v>
          </cell>
          <cell r="D43">
            <v>29.3</v>
          </cell>
          <cell r="E43">
            <v>29.3</v>
          </cell>
          <cell r="F43">
            <v>29.9</v>
          </cell>
          <cell r="G43">
            <v>29.7</v>
          </cell>
          <cell r="H43">
            <v>30.6</v>
          </cell>
          <cell r="I43">
            <v>30.3</v>
          </cell>
          <cell r="J43">
            <v>30.2</v>
          </cell>
          <cell r="K43">
            <v>30</v>
          </cell>
          <cell r="L43">
            <v>31.2</v>
          </cell>
          <cell r="M43">
            <v>29.8</v>
          </cell>
          <cell r="N43">
            <v>29</v>
          </cell>
          <cell r="O43">
            <v>29.5</v>
          </cell>
        </row>
        <row r="44">
          <cell r="A44">
            <v>208</v>
          </cell>
          <cell r="B44">
            <v>1</v>
          </cell>
          <cell r="C44">
            <v>13.331</v>
          </cell>
          <cell r="D44">
            <v>34.299999999999997</v>
          </cell>
          <cell r="E44">
            <v>32.5</v>
          </cell>
          <cell r="F44">
            <v>30.5</v>
          </cell>
          <cell r="G44">
            <v>32.200000000000003</v>
          </cell>
          <cell r="H44">
            <v>32.1</v>
          </cell>
          <cell r="I44">
            <v>35.200000000000003</v>
          </cell>
          <cell r="J44">
            <v>31.6</v>
          </cell>
          <cell r="K44">
            <v>34.1</v>
          </cell>
          <cell r="L44">
            <v>31.5</v>
          </cell>
          <cell r="M44">
            <v>34.299999999999997</v>
          </cell>
          <cell r="N44">
            <v>32.700000000000003</v>
          </cell>
          <cell r="O44">
            <v>31.8</v>
          </cell>
        </row>
        <row r="45">
          <cell r="A45">
            <v>208</v>
          </cell>
          <cell r="B45">
            <v>2</v>
          </cell>
          <cell r="C45">
            <v>13.335000000000001</v>
          </cell>
          <cell r="D45">
            <v>30.2</v>
          </cell>
          <cell r="E45">
            <v>30</v>
          </cell>
          <cell r="F45">
            <v>31</v>
          </cell>
          <cell r="G45">
            <v>29.9</v>
          </cell>
          <cell r="H45">
            <v>29.8</v>
          </cell>
          <cell r="I45">
            <v>30.1</v>
          </cell>
          <cell r="J45">
            <v>30.1</v>
          </cell>
          <cell r="K45">
            <v>29.4</v>
          </cell>
          <cell r="L45">
            <v>30.7</v>
          </cell>
          <cell r="M45">
            <v>29.6</v>
          </cell>
          <cell r="N45">
            <v>30.8</v>
          </cell>
          <cell r="O45">
            <v>30.5</v>
          </cell>
        </row>
        <row r="46">
          <cell r="A46">
            <v>908</v>
          </cell>
          <cell r="B46">
            <v>1</v>
          </cell>
          <cell r="C46">
            <v>13.349</v>
          </cell>
          <cell r="D46">
            <v>37.299999999999997</v>
          </cell>
          <cell r="E46">
            <v>39.4</v>
          </cell>
          <cell r="F46">
            <v>37.200000000000003</v>
          </cell>
          <cell r="G46">
            <v>38.799999999999997</v>
          </cell>
          <cell r="H46">
            <v>37.4</v>
          </cell>
          <cell r="I46">
            <v>37.299999999999997</v>
          </cell>
          <cell r="J46">
            <v>38.1</v>
          </cell>
          <cell r="K46">
            <v>39.5</v>
          </cell>
          <cell r="L46">
            <v>37.1</v>
          </cell>
          <cell r="M46">
            <v>37</v>
          </cell>
          <cell r="N46">
            <v>39.200000000000003</v>
          </cell>
          <cell r="O46">
            <v>37.6</v>
          </cell>
        </row>
        <row r="47">
          <cell r="A47">
            <v>908</v>
          </cell>
          <cell r="B47">
            <v>2</v>
          </cell>
          <cell r="C47">
            <v>13.353</v>
          </cell>
          <cell r="D47">
            <v>34.9</v>
          </cell>
          <cell r="E47">
            <v>35.4</v>
          </cell>
          <cell r="F47">
            <v>32.200000000000003</v>
          </cell>
          <cell r="G47">
            <v>34.9</v>
          </cell>
          <cell r="H47">
            <v>30.7</v>
          </cell>
          <cell r="I47">
            <v>34.9</v>
          </cell>
          <cell r="J47">
            <v>32.1</v>
          </cell>
          <cell r="K47">
            <v>34</v>
          </cell>
          <cell r="L47">
            <v>34.5</v>
          </cell>
          <cell r="M47">
            <v>36.9</v>
          </cell>
          <cell r="N47">
            <v>36.1</v>
          </cell>
          <cell r="O47">
            <v>35.9</v>
          </cell>
        </row>
        <row r="48">
          <cell r="A48">
            <v>907</v>
          </cell>
          <cell r="B48">
            <v>1</v>
          </cell>
          <cell r="C48">
            <v>13.366</v>
          </cell>
          <cell r="D48">
            <v>68.5</v>
          </cell>
          <cell r="E48">
            <v>69.5</v>
          </cell>
          <cell r="F48">
            <v>68.900000000000006</v>
          </cell>
          <cell r="G48">
            <v>68.5</v>
          </cell>
          <cell r="H48">
            <v>68.599999999999994</v>
          </cell>
          <cell r="I48">
            <v>68.7</v>
          </cell>
          <cell r="J48">
            <v>68.599999999999994</v>
          </cell>
          <cell r="K48">
            <v>68.8</v>
          </cell>
          <cell r="L48">
            <v>68.2</v>
          </cell>
          <cell r="M48">
            <v>68.599999999999994</v>
          </cell>
          <cell r="N48">
            <v>69.5</v>
          </cell>
          <cell r="O48">
            <v>69.3</v>
          </cell>
        </row>
        <row r="50">
          <cell r="A50">
            <v>906</v>
          </cell>
          <cell r="B50">
            <v>1</v>
          </cell>
          <cell r="C50">
            <v>13.374000000000001</v>
          </cell>
          <cell r="D50">
            <v>47.3</v>
          </cell>
          <cell r="E50">
            <v>37</v>
          </cell>
          <cell r="F50">
            <v>32.5</v>
          </cell>
          <cell r="G50">
            <v>40.6</v>
          </cell>
          <cell r="H50">
            <v>38.4</v>
          </cell>
          <cell r="I50">
            <v>43</v>
          </cell>
          <cell r="J50">
            <v>33.700000000000003</v>
          </cell>
          <cell r="K50">
            <v>43.9</v>
          </cell>
          <cell r="L50">
            <v>33.6</v>
          </cell>
          <cell r="M50">
            <v>45.4</v>
          </cell>
          <cell r="N50">
            <v>38.200000000000003</v>
          </cell>
          <cell r="O50">
            <v>34</v>
          </cell>
        </row>
        <row r="51">
          <cell r="A51">
            <v>906</v>
          </cell>
          <cell r="B51">
            <v>2</v>
          </cell>
          <cell r="C51">
            <v>13.378</v>
          </cell>
          <cell r="D51">
            <v>32</v>
          </cell>
          <cell r="E51">
            <v>31.6</v>
          </cell>
          <cell r="F51">
            <v>31.9</v>
          </cell>
          <cell r="G51">
            <v>32.5</v>
          </cell>
          <cell r="H51">
            <v>31.2</v>
          </cell>
          <cell r="I51">
            <v>31.4</v>
          </cell>
          <cell r="J51">
            <v>31.8</v>
          </cell>
          <cell r="K51">
            <v>32</v>
          </cell>
          <cell r="L51">
            <v>33.700000000000003</v>
          </cell>
          <cell r="M51">
            <v>33.799999999999997</v>
          </cell>
          <cell r="N51">
            <v>33</v>
          </cell>
          <cell r="O51">
            <v>34.799999999999997</v>
          </cell>
        </row>
        <row r="52">
          <cell r="A52">
            <v>905</v>
          </cell>
          <cell r="B52">
            <v>1</v>
          </cell>
          <cell r="C52">
            <v>13.391</v>
          </cell>
          <cell r="D52">
            <v>40.799999999999997</v>
          </cell>
          <cell r="E52">
            <v>40.9</v>
          </cell>
          <cell r="F52">
            <v>40.5</v>
          </cell>
          <cell r="G52">
            <v>40.1</v>
          </cell>
          <cell r="H52">
            <v>40.200000000000003</v>
          </cell>
          <cell r="I52">
            <v>40.4</v>
          </cell>
          <cell r="J52">
            <v>40.299999999999997</v>
          </cell>
          <cell r="K52">
            <v>40.299999999999997</v>
          </cell>
          <cell r="L52">
            <v>40.200000000000003</v>
          </cell>
          <cell r="M52">
            <v>40.200000000000003</v>
          </cell>
          <cell r="N52">
            <v>40.5</v>
          </cell>
          <cell r="O52">
            <v>40.299999999999997</v>
          </cell>
        </row>
        <row r="54">
          <cell r="A54">
            <v>904</v>
          </cell>
          <cell r="B54">
            <v>1</v>
          </cell>
          <cell r="C54">
            <v>13.398999999999999</v>
          </cell>
          <cell r="D54">
            <v>41.6</v>
          </cell>
          <cell r="E54">
            <v>38.700000000000003</v>
          </cell>
          <cell r="F54">
            <v>37</v>
          </cell>
          <cell r="G54">
            <v>41.1</v>
          </cell>
          <cell r="H54">
            <v>37.5</v>
          </cell>
          <cell r="I54">
            <v>40.700000000000003</v>
          </cell>
          <cell r="J54">
            <v>36.1</v>
          </cell>
          <cell r="K54">
            <v>39.5</v>
          </cell>
          <cell r="L54">
            <v>36.200000000000003</v>
          </cell>
          <cell r="M54">
            <v>39.799999999999997</v>
          </cell>
          <cell r="N54">
            <v>35.6</v>
          </cell>
          <cell r="O54">
            <v>37.200000000000003</v>
          </cell>
        </row>
        <row r="55">
          <cell r="A55">
            <v>904</v>
          </cell>
          <cell r="B55">
            <v>2</v>
          </cell>
          <cell r="C55">
            <v>13.403</v>
          </cell>
          <cell r="D55">
            <v>31.8</v>
          </cell>
          <cell r="E55">
            <v>36.200000000000003</v>
          </cell>
          <cell r="F55">
            <v>29.8</v>
          </cell>
          <cell r="G55">
            <v>34.799999999999997</v>
          </cell>
          <cell r="H55">
            <v>32.6</v>
          </cell>
          <cell r="I55">
            <v>34.700000000000003</v>
          </cell>
          <cell r="J55">
            <v>31.4</v>
          </cell>
          <cell r="K55">
            <v>39.6</v>
          </cell>
          <cell r="L55">
            <v>36.4</v>
          </cell>
          <cell r="M55">
            <v>36.9</v>
          </cell>
          <cell r="N55">
            <v>36</v>
          </cell>
          <cell r="O55">
            <v>36.4</v>
          </cell>
        </row>
        <row r="56">
          <cell r="A56">
            <v>903</v>
          </cell>
          <cell r="B56">
            <v>1</v>
          </cell>
          <cell r="C56">
            <v>13.414999999999999</v>
          </cell>
          <cell r="D56">
            <v>67.900000000000006</v>
          </cell>
          <cell r="E56">
            <v>67.8</v>
          </cell>
          <cell r="F56">
            <v>67.7</v>
          </cell>
          <cell r="G56">
            <v>67.099999999999994</v>
          </cell>
          <cell r="H56">
            <v>67.400000000000006</v>
          </cell>
          <cell r="I56">
            <v>67.599999999999994</v>
          </cell>
          <cell r="J56">
            <v>67.7</v>
          </cell>
          <cell r="K56">
            <v>67.7</v>
          </cell>
          <cell r="L56">
            <v>68</v>
          </cell>
          <cell r="M56">
            <v>67.7</v>
          </cell>
          <cell r="N56">
            <v>67.900000000000006</v>
          </cell>
          <cell r="O56">
            <v>67.8</v>
          </cell>
        </row>
        <row r="58">
          <cell r="A58">
            <v>902</v>
          </cell>
          <cell r="B58">
            <v>1</v>
          </cell>
          <cell r="C58">
            <v>13.423999999999999</v>
          </cell>
          <cell r="D58">
            <v>49.4</v>
          </cell>
          <cell r="E58">
            <v>39.200000000000003</v>
          </cell>
          <cell r="F58">
            <v>35.200000000000003</v>
          </cell>
          <cell r="G58">
            <v>39.6</v>
          </cell>
          <cell r="H58">
            <v>38.299999999999997</v>
          </cell>
          <cell r="I58">
            <v>45.3</v>
          </cell>
          <cell r="J58">
            <v>36.5</v>
          </cell>
          <cell r="K58">
            <v>47.2</v>
          </cell>
          <cell r="L58">
            <v>36</v>
          </cell>
          <cell r="M58">
            <v>50.4</v>
          </cell>
          <cell r="N58">
            <v>46.7</v>
          </cell>
          <cell r="O58">
            <v>37.299999999999997</v>
          </cell>
        </row>
        <row r="59">
          <cell r="A59">
            <v>902</v>
          </cell>
          <cell r="B59">
            <v>2</v>
          </cell>
          <cell r="C59">
            <v>13.428000000000001</v>
          </cell>
          <cell r="D59">
            <v>33.6</v>
          </cell>
          <cell r="E59">
            <v>33.200000000000003</v>
          </cell>
          <cell r="F59">
            <v>35.4</v>
          </cell>
          <cell r="G59">
            <v>35.6</v>
          </cell>
          <cell r="H59">
            <v>33.700000000000003</v>
          </cell>
          <cell r="I59">
            <v>35.4</v>
          </cell>
          <cell r="J59">
            <v>34.4</v>
          </cell>
          <cell r="K59">
            <v>32.6</v>
          </cell>
          <cell r="L59">
            <v>34</v>
          </cell>
          <cell r="M59">
            <v>31</v>
          </cell>
          <cell r="N59">
            <v>31</v>
          </cell>
          <cell r="O59">
            <v>30.8</v>
          </cell>
        </row>
        <row r="60">
          <cell r="A60">
            <v>901</v>
          </cell>
          <cell r="B60">
            <v>1</v>
          </cell>
          <cell r="C60">
            <v>13.441000000000001</v>
          </cell>
          <cell r="D60">
            <v>37.1</v>
          </cell>
          <cell r="E60">
            <v>37.1</v>
          </cell>
          <cell r="F60">
            <v>36.9</v>
          </cell>
          <cell r="G60">
            <v>37.1</v>
          </cell>
          <cell r="H60">
            <v>36.700000000000003</v>
          </cell>
          <cell r="I60">
            <v>37.5</v>
          </cell>
          <cell r="J60">
            <v>37.1</v>
          </cell>
          <cell r="K60">
            <v>37.1</v>
          </cell>
          <cell r="L60">
            <v>37.5</v>
          </cell>
          <cell r="M60">
            <v>37.700000000000003</v>
          </cell>
          <cell r="N60">
            <v>37.5</v>
          </cell>
          <cell r="O60">
            <v>37.4</v>
          </cell>
        </row>
        <row r="62">
          <cell r="A62">
            <v>301</v>
          </cell>
          <cell r="B62">
            <v>1</v>
          </cell>
          <cell r="C62">
            <v>13.455</v>
          </cell>
          <cell r="D62">
            <v>30.2</v>
          </cell>
          <cell r="E62">
            <v>29.9</v>
          </cell>
          <cell r="F62">
            <v>30</v>
          </cell>
          <cell r="G62">
            <v>30</v>
          </cell>
          <cell r="H62">
            <v>29.9</v>
          </cell>
          <cell r="I62">
            <v>30.9</v>
          </cell>
          <cell r="J62">
            <v>30</v>
          </cell>
          <cell r="K62">
            <v>30.8</v>
          </cell>
          <cell r="L62">
            <v>29.5</v>
          </cell>
          <cell r="M62">
            <v>30.3</v>
          </cell>
          <cell r="N62">
            <v>30.3</v>
          </cell>
          <cell r="O62">
            <v>29.8</v>
          </cell>
        </row>
        <row r="63">
          <cell r="A63">
            <v>301</v>
          </cell>
          <cell r="B63">
            <v>2</v>
          </cell>
          <cell r="C63">
            <v>13.46</v>
          </cell>
          <cell r="D63">
            <v>28.6</v>
          </cell>
          <cell r="E63">
            <v>28.5</v>
          </cell>
          <cell r="F63">
            <v>28.7</v>
          </cell>
          <cell r="G63">
            <v>28.7</v>
          </cell>
          <cell r="H63">
            <v>28.7</v>
          </cell>
          <cell r="I63">
            <v>28.9</v>
          </cell>
          <cell r="J63">
            <v>28.6</v>
          </cell>
          <cell r="K63">
            <v>28.7</v>
          </cell>
          <cell r="L63">
            <v>30.1</v>
          </cell>
          <cell r="M63">
            <v>28.4</v>
          </cell>
          <cell r="N63">
            <v>28.3</v>
          </cell>
          <cell r="O63">
            <v>28.2</v>
          </cell>
        </row>
        <row r="64">
          <cell r="A64">
            <v>302</v>
          </cell>
          <cell r="B64">
            <v>1</v>
          </cell>
          <cell r="C64">
            <v>13.472</v>
          </cell>
          <cell r="D64">
            <v>32.1</v>
          </cell>
          <cell r="E64">
            <v>31.1</v>
          </cell>
          <cell r="F64">
            <v>30.3</v>
          </cell>
          <cell r="G64">
            <v>33</v>
          </cell>
          <cell r="H64">
            <v>29.8</v>
          </cell>
          <cell r="I64">
            <v>30.7</v>
          </cell>
          <cell r="J64">
            <v>29.1</v>
          </cell>
          <cell r="K64">
            <v>31.6</v>
          </cell>
          <cell r="L64">
            <v>30.4</v>
          </cell>
          <cell r="M64">
            <v>29.9</v>
          </cell>
          <cell r="N64">
            <v>29.2</v>
          </cell>
          <cell r="O64">
            <v>30.1</v>
          </cell>
        </row>
        <row r="65">
          <cell r="A65">
            <v>302</v>
          </cell>
          <cell r="B65">
            <v>2</v>
          </cell>
          <cell r="C65">
            <v>13.477</v>
          </cell>
          <cell r="D65">
            <v>28.2</v>
          </cell>
          <cell r="E65">
            <v>28.7</v>
          </cell>
          <cell r="F65">
            <v>27.7</v>
          </cell>
          <cell r="G65">
            <v>28.9</v>
          </cell>
          <cell r="H65">
            <v>28.4</v>
          </cell>
          <cell r="I65">
            <v>28.6</v>
          </cell>
          <cell r="J65">
            <v>29.5</v>
          </cell>
          <cell r="K65">
            <v>29.1</v>
          </cell>
          <cell r="L65">
            <v>29.4</v>
          </cell>
          <cell r="M65">
            <v>29.7</v>
          </cell>
          <cell r="N65">
            <v>28.2</v>
          </cell>
          <cell r="O65">
            <v>29.2</v>
          </cell>
        </row>
        <row r="66">
          <cell r="A66">
            <v>303</v>
          </cell>
          <cell r="B66">
            <v>1</v>
          </cell>
          <cell r="C66">
            <v>13.489000000000001</v>
          </cell>
          <cell r="D66">
            <v>36.200000000000003</v>
          </cell>
          <cell r="E66">
            <v>34.700000000000003</v>
          </cell>
          <cell r="F66">
            <v>34</v>
          </cell>
          <cell r="G66">
            <v>32.700000000000003</v>
          </cell>
          <cell r="H66">
            <v>36.299999999999997</v>
          </cell>
          <cell r="I66">
            <v>33.200000000000003</v>
          </cell>
          <cell r="J66">
            <v>31.3</v>
          </cell>
          <cell r="K66">
            <v>33.700000000000003</v>
          </cell>
          <cell r="L66">
            <v>29.4</v>
          </cell>
          <cell r="M66">
            <v>33.299999999999997</v>
          </cell>
          <cell r="N66">
            <v>32.1</v>
          </cell>
          <cell r="O66">
            <v>32.9</v>
          </cell>
        </row>
        <row r="67">
          <cell r="A67">
            <v>303</v>
          </cell>
          <cell r="B67">
            <v>2</v>
          </cell>
          <cell r="C67">
            <v>13.494</v>
          </cell>
          <cell r="D67">
            <v>28.8</v>
          </cell>
          <cell r="E67">
            <v>28.4</v>
          </cell>
          <cell r="F67">
            <v>29.4</v>
          </cell>
          <cell r="G67">
            <v>28.8</v>
          </cell>
          <cell r="H67">
            <v>29.5</v>
          </cell>
          <cell r="I67">
            <v>28.1</v>
          </cell>
          <cell r="J67">
            <v>28.1</v>
          </cell>
          <cell r="K67">
            <v>28.6</v>
          </cell>
          <cell r="L67">
            <v>28.6</v>
          </cell>
          <cell r="M67">
            <v>28.7</v>
          </cell>
          <cell r="N67">
            <v>29</v>
          </cell>
          <cell r="O67">
            <v>28.8</v>
          </cell>
        </row>
        <row r="68">
          <cell r="A68">
            <v>304</v>
          </cell>
          <cell r="B68">
            <v>1</v>
          </cell>
          <cell r="C68">
            <v>13.505000000000001</v>
          </cell>
          <cell r="D68">
            <v>32.700000000000003</v>
          </cell>
          <cell r="E68">
            <v>32.700000000000003</v>
          </cell>
          <cell r="F68">
            <v>28.8</v>
          </cell>
          <cell r="G68">
            <v>30.7</v>
          </cell>
          <cell r="H68">
            <v>29.7</v>
          </cell>
          <cell r="I68">
            <v>29.3</v>
          </cell>
          <cell r="J68">
            <v>28.7</v>
          </cell>
          <cell r="K68">
            <v>29</v>
          </cell>
          <cell r="L68">
            <v>30.2</v>
          </cell>
          <cell r="M68">
            <v>30.5</v>
          </cell>
          <cell r="N68">
            <v>29.6</v>
          </cell>
          <cell r="O68">
            <v>31.5</v>
          </cell>
        </row>
        <row r="69">
          <cell r="A69">
            <v>304</v>
          </cell>
          <cell r="B69">
            <v>2</v>
          </cell>
          <cell r="C69">
            <v>13.51</v>
          </cell>
          <cell r="D69">
            <v>30.4</v>
          </cell>
          <cell r="E69">
            <v>31.4</v>
          </cell>
          <cell r="F69">
            <v>28.7</v>
          </cell>
          <cell r="G69">
            <v>28.7</v>
          </cell>
          <cell r="H69">
            <v>28.5</v>
          </cell>
          <cell r="I69">
            <v>29.2</v>
          </cell>
          <cell r="J69">
            <v>29.2</v>
          </cell>
          <cell r="K69">
            <v>29.9</v>
          </cell>
          <cell r="L69">
            <v>29.8</v>
          </cell>
          <cell r="M69">
            <v>29.9</v>
          </cell>
          <cell r="N69">
            <v>29.9</v>
          </cell>
          <cell r="O69">
            <v>29.2</v>
          </cell>
        </row>
        <row r="70">
          <cell r="A70">
            <v>305</v>
          </cell>
          <cell r="B70">
            <v>1</v>
          </cell>
          <cell r="C70">
            <v>13.521000000000001</v>
          </cell>
          <cell r="D70">
            <v>31.6</v>
          </cell>
          <cell r="E70">
            <v>31.8</v>
          </cell>
          <cell r="F70">
            <v>31.5</v>
          </cell>
          <cell r="G70">
            <v>31.2</v>
          </cell>
          <cell r="H70">
            <v>31.4</v>
          </cell>
          <cell r="I70">
            <v>31</v>
          </cell>
          <cell r="J70">
            <v>31.2</v>
          </cell>
          <cell r="K70">
            <v>31.2</v>
          </cell>
          <cell r="L70">
            <v>30.6</v>
          </cell>
          <cell r="M70">
            <v>30.9</v>
          </cell>
          <cell r="N70">
            <v>31.3</v>
          </cell>
          <cell r="O70">
            <v>31</v>
          </cell>
        </row>
        <row r="71">
          <cell r="A71">
            <v>305</v>
          </cell>
          <cell r="B71">
            <v>2</v>
          </cell>
          <cell r="C71">
            <v>13.525</v>
          </cell>
          <cell r="D71">
            <v>30.7</v>
          </cell>
          <cell r="E71">
            <v>31.1</v>
          </cell>
          <cell r="F71">
            <v>31.1</v>
          </cell>
          <cell r="G71">
            <v>30.7</v>
          </cell>
          <cell r="H71">
            <v>29.7</v>
          </cell>
          <cell r="I71">
            <v>31.4</v>
          </cell>
          <cell r="J71">
            <v>29.9</v>
          </cell>
          <cell r="K71">
            <v>29.6</v>
          </cell>
          <cell r="L71">
            <v>30.8</v>
          </cell>
          <cell r="M71">
            <v>31.1</v>
          </cell>
          <cell r="N71">
            <v>31.8</v>
          </cell>
          <cell r="O71">
            <v>32.200000000000003</v>
          </cell>
        </row>
        <row r="72">
          <cell r="A72">
            <v>306</v>
          </cell>
          <cell r="B72">
            <v>1</v>
          </cell>
          <cell r="C72">
            <v>13.538</v>
          </cell>
          <cell r="D72">
            <v>34.299999999999997</v>
          </cell>
          <cell r="E72">
            <v>33</v>
          </cell>
          <cell r="F72">
            <v>32.700000000000003</v>
          </cell>
          <cell r="G72">
            <v>34.1</v>
          </cell>
          <cell r="H72">
            <v>34.1</v>
          </cell>
          <cell r="I72">
            <v>36.4</v>
          </cell>
          <cell r="J72">
            <v>32.700000000000003</v>
          </cell>
          <cell r="K72">
            <v>35.299999999999997</v>
          </cell>
          <cell r="L72">
            <v>31.7</v>
          </cell>
          <cell r="M72">
            <v>32.700000000000003</v>
          </cell>
          <cell r="N72">
            <v>32.1</v>
          </cell>
          <cell r="O72">
            <v>32.200000000000003</v>
          </cell>
        </row>
        <row r="73">
          <cell r="A73">
            <v>306</v>
          </cell>
          <cell r="B73">
            <v>2</v>
          </cell>
          <cell r="C73">
            <v>13.542</v>
          </cell>
          <cell r="D73">
            <v>31.9</v>
          </cell>
          <cell r="E73">
            <v>31.8</v>
          </cell>
          <cell r="F73">
            <v>31.4</v>
          </cell>
          <cell r="G73">
            <v>31.9</v>
          </cell>
          <cell r="H73">
            <v>33.799999999999997</v>
          </cell>
          <cell r="I73">
            <v>33.4</v>
          </cell>
          <cell r="J73">
            <v>31.7</v>
          </cell>
          <cell r="K73">
            <v>33.4</v>
          </cell>
          <cell r="L73">
            <v>32.9</v>
          </cell>
          <cell r="M73">
            <v>32.700000000000003</v>
          </cell>
          <cell r="N73">
            <v>31.6</v>
          </cell>
          <cell r="O73">
            <v>32.799999999999997</v>
          </cell>
        </row>
        <row r="74">
          <cell r="A74">
            <v>307</v>
          </cell>
          <cell r="B74">
            <v>1</v>
          </cell>
          <cell r="C74">
            <v>13.553000000000001</v>
          </cell>
          <cell r="D74">
            <v>34</v>
          </cell>
          <cell r="E74">
            <v>32.9</v>
          </cell>
          <cell r="F74">
            <v>31.1</v>
          </cell>
          <cell r="G74">
            <v>31.7</v>
          </cell>
          <cell r="H74">
            <v>30.9</v>
          </cell>
          <cell r="I74">
            <v>30.7</v>
          </cell>
          <cell r="J74">
            <v>30</v>
          </cell>
          <cell r="K74">
            <v>30.9</v>
          </cell>
          <cell r="L74">
            <v>31.9</v>
          </cell>
          <cell r="M74">
            <v>32.6</v>
          </cell>
          <cell r="N74">
            <v>32.299999999999997</v>
          </cell>
          <cell r="O74">
            <v>30.6</v>
          </cell>
        </row>
        <row r="75">
          <cell r="A75">
            <v>307</v>
          </cell>
          <cell r="B75">
            <v>2</v>
          </cell>
          <cell r="C75">
            <v>13.558</v>
          </cell>
          <cell r="D75">
            <v>30.8</v>
          </cell>
          <cell r="E75">
            <v>29.6</v>
          </cell>
          <cell r="F75">
            <v>30.7</v>
          </cell>
          <cell r="G75">
            <v>29.4</v>
          </cell>
          <cell r="H75">
            <v>29.6</v>
          </cell>
          <cell r="I75">
            <v>29.8</v>
          </cell>
          <cell r="J75">
            <v>28.8</v>
          </cell>
          <cell r="K75">
            <v>29.7</v>
          </cell>
          <cell r="L75">
            <v>30.9</v>
          </cell>
          <cell r="M75">
            <v>29.2</v>
          </cell>
          <cell r="N75">
            <v>28.9</v>
          </cell>
          <cell r="O75">
            <v>29</v>
          </cell>
        </row>
        <row r="76">
          <cell r="A76">
            <v>308</v>
          </cell>
          <cell r="B76">
            <v>1</v>
          </cell>
          <cell r="C76">
            <v>13.57</v>
          </cell>
          <cell r="D76">
            <v>30.9</v>
          </cell>
          <cell r="E76">
            <v>30.6</v>
          </cell>
          <cell r="F76">
            <v>30.4</v>
          </cell>
          <cell r="G76">
            <v>31.1</v>
          </cell>
          <cell r="H76">
            <v>33.299999999999997</v>
          </cell>
          <cell r="I76">
            <v>32.200000000000003</v>
          </cell>
          <cell r="J76">
            <v>30.4</v>
          </cell>
          <cell r="K76">
            <v>32.700000000000003</v>
          </cell>
          <cell r="L76">
            <v>30.4</v>
          </cell>
          <cell r="M76">
            <v>30.8</v>
          </cell>
          <cell r="N76">
            <v>29.8</v>
          </cell>
          <cell r="O76">
            <v>30.8</v>
          </cell>
        </row>
        <row r="77">
          <cell r="A77">
            <v>308</v>
          </cell>
          <cell r="B77">
            <v>2</v>
          </cell>
          <cell r="C77">
            <v>13.574999999999999</v>
          </cell>
          <cell r="D77">
            <v>30.1</v>
          </cell>
          <cell r="E77">
            <v>30.3</v>
          </cell>
          <cell r="F77">
            <v>29</v>
          </cell>
          <cell r="G77">
            <v>29.4</v>
          </cell>
          <cell r="H77">
            <v>30.6</v>
          </cell>
          <cell r="I77">
            <v>30.8</v>
          </cell>
          <cell r="J77">
            <v>29.1</v>
          </cell>
          <cell r="K77">
            <v>29.4</v>
          </cell>
          <cell r="L77">
            <v>29</v>
          </cell>
          <cell r="M77">
            <v>29</v>
          </cell>
          <cell r="N77">
            <v>29.1</v>
          </cell>
          <cell r="O77">
            <v>29.4</v>
          </cell>
        </row>
        <row r="78">
          <cell r="A78">
            <v>408</v>
          </cell>
          <cell r="B78">
            <v>1</v>
          </cell>
          <cell r="C78">
            <v>13.590999999999999</v>
          </cell>
          <cell r="D78">
            <v>43</v>
          </cell>
          <cell r="E78">
            <v>31.2</v>
          </cell>
          <cell r="F78">
            <v>39.6</v>
          </cell>
          <cell r="G78">
            <v>39.700000000000003</v>
          </cell>
          <cell r="H78">
            <v>35.5</v>
          </cell>
          <cell r="I78">
            <v>36.299999999999997</v>
          </cell>
          <cell r="J78">
            <v>35.299999999999997</v>
          </cell>
          <cell r="K78">
            <v>39.299999999999997</v>
          </cell>
          <cell r="L78">
            <v>33.200000000000003</v>
          </cell>
          <cell r="M78">
            <v>31.9</v>
          </cell>
          <cell r="N78">
            <v>30.9</v>
          </cell>
          <cell r="O78">
            <v>39.9</v>
          </cell>
        </row>
        <row r="79">
          <cell r="A79">
            <v>408</v>
          </cell>
          <cell r="B79">
            <v>2</v>
          </cell>
          <cell r="C79">
            <v>13.596</v>
          </cell>
          <cell r="D79">
            <v>29.4</v>
          </cell>
          <cell r="E79">
            <v>30.2</v>
          </cell>
          <cell r="F79">
            <v>29.5</v>
          </cell>
          <cell r="G79">
            <v>29.2</v>
          </cell>
          <cell r="H79">
            <v>30.1</v>
          </cell>
          <cell r="I79">
            <v>29.3</v>
          </cell>
          <cell r="J79">
            <v>29.6</v>
          </cell>
          <cell r="K79">
            <v>28.9</v>
          </cell>
          <cell r="L79">
            <v>28.7</v>
          </cell>
          <cell r="M79">
            <v>29.3</v>
          </cell>
          <cell r="N79">
            <v>28.5</v>
          </cell>
          <cell r="O79">
            <v>28.4</v>
          </cell>
        </row>
        <row r="80">
          <cell r="A80">
            <v>407</v>
          </cell>
          <cell r="B80">
            <v>1</v>
          </cell>
          <cell r="C80">
            <v>13.608000000000001</v>
          </cell>
          <cell r="D80">
            <v>50.2</v>
          </cell>
          <cell r="E80">
            <v>42</v>
          </cell>
          <cell r="F80">
            <v>37.799999999999997</v>
          </cell>
          <cell r="G80">
            <v>46.6</v>
          </cell>
          <cell r="H80">
            <v>33.6</v>
          </cell>
          <cell r="I80">
            <v>51.8</v>
          </cell>
          <cell r="J80">
            <v>35.5</v>
          </cell>
          <cell r="K80">
            <v>49.2</v>
          </cell>
          <cell r="L80">
            <v>31.8</v>
          </cell>
          <cell r="M80">
            <v>48.4</v>
          </cell>
          <cell r="N80">
            <v>34.200000000000003</v>
          </cell>
          <cell r="O80">
            <v>37</v>
          </cell>
        </row>
        <row r="81">
          <cell r="A81">
            <v>407</v>
          </cell>
          <cell r="B81">
            <v>2</v>
          </cell>
          <cell r="C81">
            <v>13.612</v>
          </cell>
          <cell r="D81">
            <v>30.2</v>
          </cell>
          <cell r="E81">
            <v>30.8</v>
          </cell>
          <cell r="F81">
            <v>27.8</v>
          </cell>
          <cell r="G81">
            <v>29.7</v>
          </cell>
          <cell r="H81">
            <v>29.8</v>
          </cell>
          <cell r="I81">
            <v>29.9</v>
          </cell>
          <cell r="J81">
            <v>29</v>
          </cell>
          <cell r="K81">
            <v>29.6</v>
          </cell>
          <cell r="L81">
            <v>29.1</v>
          </cell>
          <cell r="M81">
            <v>29.8</v>
          </cell>
          <cell r="N81">
            <v>30.8</v>
          </cell>
          <cell r="O81">
            <v>30.3</v>
          </cell>
        </row>
        <row r="82">
          <cell r="A82">
            <v>406</v>
          </cell>
          <cell r="B82">
            <v>1</v>
          </cell>
          <cell r="C82">
            <v>13.625</v>
          </cell>
          <cell r="D82">
            <v>34.5</v>
          </cell>
          <cell r="E82">
            <v>31.9</v>
          </cell>
          <cell r="F82">
            <v>31.1</v>
          </cell>
          <cell r="G82">
            <v>31.4</v>
          </cell>
          <cell r="H82">
            <v>32.299999999999997</v>
          </cell>
          <cell r="I82">
            <v>31.5</v>
          </cell>
          <cell r="J82">
            <v>31.3</v>
          </cell>
          <cell r="K82">
            <v>32.1</v>
          </cell>
          <cell r="L82">
            <v>32.299999999999997</v>
          </cell>
          <cell r="M82">
            <v>31.2</v>
          </cell>
          <cell r="N82">
            <v>34.4</v>
          </cell>
          <cell r="O82">
            <v>33</v>
          </cell>
        </row>
        <row r="83">
          <cell r="A83">
            <v>406</v>
          </cell>
          <cell r="B83">
            <v>2</v>
          </cell>
          <cell r="C83">
            <v>13.629</v>
          </cell>
          <cell r="D83">
            <v>29.9</v>
          </cell>
          <cell r="E83">
            <v>30.3</v>
          </cell>
          <cell r="F83">
            <v>32.1</v>
          </cell>
          <cell r="G83">
            <v>31.1</v>
          </cell>
          <cell r="H83">
            <v>32.6</v>
          </cell>
          <cell r="I83">
            <v>30.9</v>
          </cell>
          <cell r="J83">
            <v>31.9</v>
          </cell>
          <cell r="K83">
            <v>31.6</v>
          </cell>
          <cell r="L83">
            <v>32.5</v>
          </cell>
          <cell r="M83">
            <v>30.2</v>
          </cell>
          <cell r="N83">
            <v>31.5</v>
          </cell>
          <cell r="O83">
            <v>32.299999999999997</v>
          </cell>
        </row>
        <row r="84">
          <cell r="A84">
            <v>405</v>
          </cell>
          <cell r="B84">
            <v>1</v>
          </cell>
          <cell r="C84">
            <v>13.64</v>
          </cell>
          <cell r="D84">
            <v>34.799999999999997</v>
          </cell>
          <cell r="E84">
            <v>31</v>
          </cell>
          <cell r="F84">
            <v>32.4</v>
          </cell>
          <cell r="G84">
            <v>32.200000000000003</v>
          </cell>
          <cell r="H84">
            <v>30.7</v>
          </cell>
          <cell r="I84">
            <v>32.200000000000003</v>
          </cell>
          <cell r="J84">
            <v>32.299999999999997</v>
          </cell>
          <cell r="K84">
            <v>32.700000000000003</v>
          </cell>
          <cell r="L84">
            <v>35</v>
          </cell>
          <cell r="M84">
            <v>31.5</v>
          </cell>
          <cell r="N84">
            <v>33.700000000000003</v>
          </cell>
          <cell r="O84">
            <v>32.6</v>
          </cell>
        </row>
        <row r="85">
          <cell r="A85">
            <v>405</v>
          </cell>
          <cell r="B85">
            <v>2</v>
          </cell>
          <cell r="C85">
            <v>13.645</v>
          </cell>
          <cell r="D85">
            <v>31.8</v>
          </cell>
          <cell r="E85">
            <v>31.5</v>
          </cell>
          <cell r="F85">
            <v>31.7</v>
          </cell>
          <cell r="G85">
            <v>30.9</v>
          </cell>
          <cell r="H85">
            <v>32.700000000000003</v>
          </cell>
          <cell r="I85">
            <v>32.299999999999997</v>
          </cell>
          <cell r="J85">
            <v>31.3</v>
          </cell>
          <cell r="K85">
            <v>31.7</v>
          </cell>
          <cell r="L85">
            <v>33</v>
          </cell>
          <cell r="M85">
            <v>32.299999999999997</v>
          </cell>
          <cell r="N85">
            <v>32.9</v>
          </cell>
          <cell r="O85">
            <v>32.200000000000003</v>
          </cell>
        </row>
        <row r="86">
          <cell r="A86">
            <v>404</v>
          </cell>
          <cell r="B86">
            <v>1</v>
          </cell>
          <cell r="C86">
            <v>13.657</v>
          </cell>
          <cell r="D86">
            <v>33.6</v>
          </cell>
          <cell r="E86">
            <v>32.299999999999997</v>
          </cell>
          <cell r="F86">
            <v>32.4</v>
          </cell>
          <cell r="G86">
            <v>32.6</v>
          </cell>
          <cell r="H86">
            <v>33.200000000000003</v>
          </cell>
          <cell r="I86">
            <v>32.6</v>
          </cell>
          <cell r="J86">
            <v>31.6</v>
          </cell>
          <cell r="K86">
            <v>32.4</v>
          </cell>
          <cell r="L86">
            <v>32</v>
          </cell>
          <cell r="M86">
            <v>34.200000000000003</v>
          </cell>
          <cell r="N86">
            <v>31.1</v>
          </cell>
          <cell r="O86">
            <v>33.200000000000003</v>
          </cell>
        </row>
        <row r="87">
          <cell r="A87">
            <v>404</v>
          </cell>
          <cell r="B87">
            <v>2</v>
          </cell>
          <cell r="C87">
            <v>13.661</v>
          </cell>
          <cell r="D87">
            <v>31</v>
          </cell>
          <cell r="E87">
            <v>31.1</v>
          </cell>
          <cell r="F87">
            <v>30.2</v>
          </cell>
          <cell r="G87">
            <v>30.3</v>
          </cell>
          <cell r="H87">
            <v>30.5</v>
          </cell>
          <cell r="I87">
            <v>30.2</v>
          </cell>
          <cell r="J87">
            <v>31.1</v>
          </cell>
          <cell r="K87">
            <v>31.7</v>
          </cell>
          <cell r="L87">
            <v>29.9</v>
          </cell>
          <cell r="M87">
            <v>30.1</v>
          </cell>
          <cell r="N87">
            <v>29.4</v>
          </cell>
          <cell r="O87">
            <v>30</v>
          </cell>
        </row>
        <row r="88">
          <cell r="A88">
            <v>403</v>
          </cell>
          <cell r="B88">
            <v>1</v>
          </cell>
          <cell r="C88">
            <v>13.673999999999999</v>
          </cell>
          <cell r="D88">
            <v>32.1</v>
          </cell>
          <cell r="E88">
            <v>31.1</v>
          </cell>
          <cell r="F88">
            <v>29.6</v>
          </cell>
          <cell r="G88">
            <v>32.200000000000003</v>
          </cell>
          <cell r="H88">
            <v>29.9</v>
          </cell>
          <cell r="I88">
            <v>31.9</v>
          </cell>
          <cell r="J88">
            <v>30.2</v>
          </cell>
          <cell r="K88">
            <v>31.7</v>
          </cell>
          <cell r="L88">
            <v>32.799999999999997</v>
          </cell>
          <cell r="M88">
            <v>30.7</v>
          </cell>
          <cell r="N88">
            <v>31.2</v>
          </cell>
          <cell r="O88">
            <v>30.2</v>
          </cell>
        </row>
        <row r="89">
          <cell r="A89">
            <v>403</v>
          </cell>
          <cell r="B89">
            <v>2</v>
          </cell>
          <cell r="C89">
            <v>13.678000000000001</v>
          </cell>
          <cell r="D89">
            <v>30</v>
          </cell>
          <cell r="E89">
            <v>29.7</v>
          </cell>
          <cell r="F89">
            <v>30.3</v>
          </cell>
          <cell r="G89">
            <v>29.8</v>
          </cell>
          <cell r="H89">
            <v>31.3</v>
          </cell>
          <cell r="I89">
            <v>29.8</v>
          </cell>
          <cell r="J89">
            <v>30.2</v>
          </cell>
          <cell r="K89">
            <v>29.1</v>
          </cell>
          <cell r="L89">
            <v>30.1</v>
          </cell>
          <cell r="M89">
            <v>30.7</v>
          </cell>
          <cell r="N89">
            <v>29.6</v>
          </cell>
          <cell r="O89">
            <v>29.9</v>
          </cell>
        </row>
        <row r="90">
          <cell r="A90">
            <v>402</v>
          </cell>
          <cell r="B90">
            <v>1</v>
          </cell>
          <cell r="C90">
            <v>13.69</v>
          </cell>
          <cell r="D90">
            <v>47.3</v>
          </cell>
          <cell r="E90">
            <v>35.799999999999997</v>
          </cell>
          <cell r="F90">
            <v>32.5</v>
          </cell>
          <cell r="G90">
            <v>36.6</v>
          </cell>
          <cell r="H90">
            <v>34.1</v>
          </cell>
          <cell r="I90">
            <v>38.9</v>
          </cell>
          <cell r="J90">
            <v>31.8</v>
          </cell>
          <cell r="K90">
            <v>32.799999999999997</v>
          </cell>
          <cell r="L90">
            <v>37.5</v>
          </cell>
          <cell r="M90">
            <v>35</v>
          </cell>
          <cell r="N90">
            <v>37.9</v>
          </cell>
          <cell r="O90">
            <v>31.8</v>
          </cell>
        </row>
        <row r="91">
          <cell r="A91">
            <v>402</v>
          </cell>
          <cell r="B91">
            <v>2</v>
          </cell>
          <cell r="C91">
            <v>13.695</v>
          </cell>
          <cell r="D91">
            <v>33.299999999999997</v>
          </cell>
          <cell r="E91">
            <v>30.7</v>
          </cell>
          <cell r="F91">
            <v>33.200000000000003</v>
          </cell>
          <cell r="G91">
            <v>29.8</v>
          </cell>
          <cell r="H91">
            <v>30.7</v>
          </cell>
          <cell r="I91">
            <v>30.1</v>
          </cell>
          <cell r="J91">
            <v>30.2</v>
          </cell>
          <cell r="K91">
            <v>30</v>
          </cell>
          <cell r="L91">
            <v>30.5</v>
          </cell>
          <cell r="M91">
            <v>31.2</v>
          </cell>
          <cell r="N91">
            <v>29.6</v>
          </cell>
          <cell r="O91">
            <v>30.8</v>
          </cell>
        </row>
        <row r="92">
          <cell r="A92">
            <v>401</v>
          </cell>
          <cell r="B92">
            <v>1</v>
          </cell>
          <cell r="C92">
            <v>13.707000000000001</v>
          </cell>
          <cell r="D92">
            <v>59.2</v>
          </cell>
          <cell r="E92">
            <v>43.3</v>
          </cell>
          <cell r="F92">
            <v>43.9</v>
          </cell>
          <cell r="G92">
            <v>59.1</v>
          </cell>
          <cell r="H92">
            <v>43.2</v>
          </cell>
          <cell r="I92">
            <v>56.4</v>
          </cell>
          <cell r="J92">
            <v>40</v>
          </cell>
          <cell r="K92">
            <v>55.9</v>
          </cell>
          <cell r="L92">
            <v>50.9</v>
          </cell>
          <cell r="M92">
            <v>46.4</v>
          </cell>
          <cell r="N92">
            <v>49.6</v>
          </cell>
          <cell r="O92">
            <v>37.4</v>
          </cell>
        </row>
        <row r="93">
          <cell r="A93">
            <v>401</v>
          </cell>
          <cell r="B93">
            <v>2</v>
          </cell>
          <cell r="C93">
            <v>13.711</v>
          </cell>
          <cell r="D93">
            <v>33.799999999999997</v>
          </cell>
          <cell r="E93">
            <v>33.200000000000003</v>
          </cell>
          <cell r="F93">
            <v>34.1</v>
          </cell>
          <cell r="G93">
            <v>33.200000000000003</v>
          </cell>
          <cell r="H93">
            <v>33.4</v>
          </cell>
          <cell r="I93">
            <v>34.799999999999997</v>
          </cell>
          <cell r="J93">
            <v>34.799999999999997</v>
          </cell>
          <cell r="K93">
            <v>34.9</v>
          </cell>
          <cell r="L93">
            <v>33.200000000000003</v>
          </cell>
          <cell r="M93">
            <v>35.200000000000003</v>
          </cell>
          <cell r="N93">
            <v>34.9</v>
          </cell>
          <cell r="O93">
            <v>34.799999999999997</v>
          </cell>
        </row>
      </sheetData>
      <sheetData sheetId="2">
        <row r="7">
          <cell r="C7">
            <v>195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43.45</v>
          </cell>
        </row>
        <row r="29">
          <cell r="E29">
            <v>7.4287232684164568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'IA196.03R'</v>
          </cell>
        </row>
        <row r="14">
          <cell r="A14">
            <v>108</v>
          </cell>
          <cell r="B14">
            <v>1</v>
          </cell>
          <cell r="C14">
            <v>13.069000000000001</v>
          </cell>
          <cell r="D14">
            <v>32.799999999999997</v>
          </cell>
          <cell r="E14">
            <v>28.9</v>
          </cell>
          <cell r="F14">
            <v>28.4</v>
          </cell>
          <cell r="G14">
            <v>29.9</v>
          </cell>
          <cell r="H14">
            <v>28.7</v>
          </cell>
          <cell r="I14">
            <v>34.1</v>
          </cell>
          <cell r="J14">
            <v>28.5</v>
          </cell>
          <cell r="K14">
            <v>33.4</v>
          </cell>
          <cell r="L14">
            <v>27.9</v>
          </cell>
          <cell r="M14">
            <v>29.7</v>
          </cell>
          <cell r="N14">
            <v>27.7</v>
          </cell>
          <cell r="O14">
            <v>28.6</v>
          </cell>
        </row>
        <row r="15">
          <cell r="A15">
            <v>108</v>
          </cell>
          <cell r="B15">
            <v>2</v>
          </cell>
          <cell r="C15">
            <v>13.074</v>
          </cell>
          <cell r="D15">
            <v>26.4</v>
          </cell>
          <cell r="E15">
            <v>27.2</v>
          </cell>
          <cell r="F15">
            <v>26.5</v>
          </cell>
          <cell r="G15">
            <v>26.8</v>
          </cell>
          <cell r="H15">
            <v>26.8</v>
          </cell>
          <cell r="I15">
            <v>26.7</v>
          </cell>
          <cell r="J15">
            <v>27.5</v>
          </cell>
          <cell r="K15">
            <v>27.3</v>
          </cell>
          <cell r="L15">
            <v>27.1</v>
          </cell>
          <cell r="M15">
            <v>26.5</v>
          </cell>
          <cell r="N15">
            <v>27.5</v>
          </cell>
          <cell r="O15">
            <v>27.8</v>
          </cell>
        </row>
        <row r="16">
          <cell r="A16">
            <v>107</v>
          </cell>
          <cell r="B16">
            <v>1</v>
          </cell>
          <cell r="C16">
            <v>13.086</v>
          </cell>
          <cell r="D16">
            <v>35.1</v>
          </cell>
          <cell r="E16">
            <v>29.6</v>
          </cell>
          <cell r="F16">
            <v>36</v>
          </cell>
          <cell r="G16">
            <v>32.1</v>
          </cell>
          <cell r="H16">
            <v>28.4</v>
          </cell>
          <cell r="I16">
            <v>32.700000000000003</v>
          </cell>
          <cell r="J16">
            <v>30.4</v>
          </cell>
          <cell r="K16">
            <v>32</v>
          </cell>
          <cell r="L16">
            <v>29</v>
          </cell>
          <cell r="M16">
            <v>31.8</v>
          </cell>
          <cell r="N16">
            <v>31.4</v>
          </cell>
          <cell r="O16">
            <v>28.5</v>
          </cell>
        </row>
        <row r="17">
          <cell r="A17">
            <v>107</v>
          </cell>
          <cell r="B17">
            <v>2</v>
          </cell>
          <cell r="C17">
            <v>13.09</v>
          </cell>
          <cell r="D17">
            <v>28.2</v>
          </cell>
          <cell r="E17">
            <v>28.4</v>
          </cell>
          <cell r="F17">
            <v>30.3</v>
          </cell>
          <cell r="G17">
            <v>29.7</v>
          </cell>
          <cell r="H17">
            <v>30.4</v>
          </cell>
          <cell r="I17">
            <v>31.3</v>
          </cell>
          <cell r="J17">
            <v>30</v>
          </cell>
          <cell r="K17">
            <v>30.1</v>
          </cell>
          <cell r="L17">
            <v>29.7</v>
          </cell>
          <cell r="M17">
            <v>29.6</v>
          </cell>
          <cell r="N17">
            <v>30.8</v>
          </cell>
          <cell r="O17">
            <v>30.1</v>
          </cell>
        </row>
        <row r="18">
          <cell r="A18">
            <v>106</v>
          </cell>
          <cell r="B18">
            <v>1</v>
          </cell>
          <cell r="C18">
            <v>13.102</v>
          </cell>
          <cell r="D18">
            <v>33.1</v>
          </cell>
          <cell r="E18">
            <v>31.7</v>
          </cell>
          <cell r="F18">
            <v>29</v>
          </cell>
          <cell r="G18">
            <v>29.5</v>
          </cell>
          <cell r="H18">
            <v>29.2</v>
          </cell>
          <cell r="I18">
            <v>29.1</v>
          </cell>
          <cell r="J18">
            <v>30.7</v>
          </cell>
          <cell r="K18">
            <v>29.1</v>
          </cell>
          <cell r="L18">
            <v>29.4</v>
          </cell>
          <cell r="M18">
            <v>29.3</v>
          </cell>
          <cell r="N18">
            <v>29.7</v>
          </cell>
          <cell r="O18">
            <v>30.1</v>
          </cell>
        </row>
        <row r="19">
          <cell r="A19">
            <v>106</v>
          </cell>
          <cell r="B19">
            <v>2</v>
          </cell>
          <cell r="C19">
            <v>13.106</v>
          </cell>
          <cell r="D19">
            <v>26.7</v>
          </cell>
          <cell r="E19">
            <v>27</v>
          </cell>
          <cell r="F19">
            <v>26.7</v>
          </cell>
          <cell r="G19">
            <v>27.3</v>
          </cell>
          <cell r="H19">
            <v>27.6</v>
          </cell>
          <cell r="I19">
            <v>27.7</v>
          </cell>
          <cell r="J19">
            <v>29.3</v>
          </cell>
          <cell r="K19">
            <v>28.7</v>
          </cell>
          <cell r="L19">
            <v>28.8</v>
          </cell>
          <cell r="M19">
            <v>28.2</v>
          </cell>
          <cell r="N19">
            <v>28.6</v>
          </cell>
          <cell r="O19">
            <v>26.7</v>
          </cell>
        </row>
        <row r="20">
          <cell r="A20">
            <v>105</v>
          </cell>
          <cell r="B20">
            <v>1</v>
          </cell>
          <cell r="C20">
            <v>13.122999999999999</v>
          </cell>
          <cell r="D20">
            <v>27.9</v>
          </cell>
          <cell r="E20">
            <v>27.3</v>
          </cell>
          <cell r="F20">
            <v>28.5</v>
          </cell>
          <cell r="G20">
            <v>28.1</v>
          </cell>
          <cell r="H20">
            <v>30.7</v>
          </cell>
          <cell r="I20">
            <v>29.4</v>
          </cell>
          <cell r="J20">
            <v>30.3</v>
          </cell>
          <cell r="K20">
            <v>29.3</v>
          </cell>
          <cell r="L20">
            <v>29.5</v>
          </cell>
          <cell r="M20">
            <v>30.5</v>
          </cell>
          <cell r="N20">
            <v>31.1</v>
          </cell>
          <cell r="O20">
            <v>30.1</v>
          </cell>
        </row>
        <row r="21">
          <cell r="A21">
            <v>105</v>
          </cell>
          <cell r="B21">
            <v>2</v>
          </cell>
          <cell r="C21">
            <v>13.128</v>
          </cell>
          <cell r="D21">
            <v>28.7</v>
          </cell>
          <cell r="E21">
            <v>27.2</v>
          </cell>
          <cell r="F21">
            <v>27.4</v>
          </cell>
          <cell r="G21">
            <v>28.4</v>
          </cell>
          <cell r="H21">
            <v>28.1</v>
          </cell>
          <cell r="I21">
            <v>27.6</v>
          </cell>
          <cell r="J21">
            <v>26.8</v>
          </cell>
          <cell r="K21">
            <v>27.2</v>
          </cell>
          <cell r="L21">
            <v>27.4</v>
          </cell>
          <cell r="M21">
            <v>27.1</v>
          </cell>
          <cell r="N21">
            <v>26.9</v>
          </cell>
          <cell r="O21">
            <v>26.9</v>
          </cell>
        </row>
        <row r="22">
          <cell r="A22">
            <v>104</v>
          </cell>
          <cell r="B22">
            <v>1</v>
          </cell>
          <cell r="C22">
            <v>13.14</v>
          </cell>
          <cell r="D22">
            <v>34.700000000000003</v>
          </cell>
          <cell r="E22">
            <v>29.3</v>
          </cell>
          <cell r="F22">
            <v>28.7</v>
          </cell>
          <cell r="G22">
            <v>29.5</v>
          </cell>
          <cell r="H22">
            <v>30</v>
          </cell>
          <cell r="I22">
            <v>30.1</v>
          </cell>
          <cell r="J22">
            <v>28.3</v>
          </cell>
          <cell r="K22">
            <v>28.8</v>
          </cell>
          <cell r="L22">
            <v>29.1</v>
          </cell>
          <cell r="M22">
            <v>28.5</v>
          </cell>
          <cell r="N22">
            <v>30.4</v>
          </cell>
          <cell r="O22">
            <v>28.9</v>
          </cell>
        </row>
        <row r="23">
          <cell r="A23">
            <v>104</v>
          </cell>
          <cell r="B23">
            <v>2</v>
          </cell>
          <cell r="C23">
            <v>13.144</v>
          </cell>
          <cell r="D23">
            <v>27.1</v>
          </cell>
          <cell r="E23">
            <v>27.4</v>
          </cell>
          <cell r="F23">
            <v>26.8</v>
          </cell>
          <cell r="G23">
            <v>27.2</v>
          </cell>
          <cell r="H23">
            <v>26.4</v>
          </cell>
          <cell r="I23">
            <v>26.3</v>
          </cell>
          <cell r="J23">
            <v>26.1</v>
          </cell>
          <cell r="K23">
            <v>25.7</v>
          </cell>
          <cell r="L23">
            <v>25.1</v>
          </cell>
          <cell r="M23">
            <v>25</v>
          </cell>
          <cell r="N23">
            <v>24.9</v>
          </cell>
          <cell r="O23">
            <v>25.3</v>
          </cell>
        </row>
        <row r="24">
          <cell r="A24">
            <v>103</v>
          </cell>
          <cell r="B24">
            <v>1</v>
          </cell>
          <cell r="C24">
            <v>13.157</v>
          </cell>
          <cell r="D24">
            <v>29.6</v>
          </cell>
          <cell r="E24">
            <v>26</v>
          </cell>
          <cell r="F24">
            <v>27.3</v>
          </cell>
          <cell r="G24">
            <v>26.5</v>
          </cell>
          <cell r="H24">
            <v>28</v>
          </cell>
          <cell r="I24">
            <v>27.6</v>
          </cell>
          <cell r="J24">
            <v>29.4</v>
          </cell>
          <cell r="K24">
            <v>28.1</v>
          </cell>
          <cell r="L24">
            <v>29</v>
          </cell>
          <cell r="M24">
            <v>28.3</v>
          </cell>
          <cell r="N24">
            <v>30.2</v>
          </cell>
          <cell r="O24">
            <v>26.3</v>
          </cell>
        </row>
        <row r="25">
          <cell r="A25">
            <v>103</v>
          </cell>
          <cell r="B25">
            <v>2</v>
          </cell>
          <cell r="C25">
            <v>13.161</v>
          </cell>
          <cell r="D25">
            <v>26.2</v>
          </cell>
          <cell r="E25">
            <v>26.3</v>
          </cell>
          <cell r="F25">
            <v>26.2</v>
          </cell>
          <cell r="G25">
            <v>26.2</v>
          </cell>
          <cell r="H25">
            <v>26.6</v>
          </cell>
          <cell r="I25">
            <v>26.2</v>
          </cell>
          <cell r="J25">
            <v>26.9</v>
          </cell>
          <cell r="K25">
            <v>26.2</v>
          </cell>
          <cell r="L25">
            <v>26.5</v>
          </cell>
          <cell r="M25">
            <v>25.9</v>
          </cell>
          <cell r="N25">
            <v>26.1</v>
          </cell>
          <cell r="O25">
            <v>26.1</v>
          </cell>
        </row>
        <row r="26">
          <cell r="A26">
            <v>102</v>
          </cell>
          <cell r="B26">
            <v>1</v>
          </cell>
          <cell r="C26">
            <v>13.173</v>
          </cell>
          <cell r="D26">
            <v>33.799999999999997</v>
          </cell>
          <cell r="E26">
            <v>26.7</v>
          </cell>
          <cell r="F26">
            <v>26.3</v>
          </cell>
          <cell r="G26">
            <v>29</v>
          </cell>
          <cell r="H26">
            <v>26.7</v>
          </cell>
          <cell r="I26">
            <v>31.8</v>
          </cell>
          <cell r="J26">
            <v>29.8</v>
          </cell>
          <cell r="K26">
            <v>26.9</v>
          </cell>
          <cell r="L26">
            <v>31</v>
          </cell>
          <cell r="M26">
            <v>27.4</v>
          </cell>
          <cell r="N26">
            <v>25.8</v>
          </cell>
          <cell r="O26">
            <v>26.2</v>
          </cell>
        </row>
        <row r="27">
          <cell r="A27">
            <v>102</v>
          </cell>
          <cell r="B27">
            <v>2</v>
          </cell>
          <cell r="C27">
            <v>13.178000000000001</v>
          </cell>
          <cell r="D27">
            <v>24.6</v>
          </cell>
          <cell r="E27">
            <v>24.7</v>
          </cell>
          <cell r="F27">
            <v>24.6</v>
          </cell>
          <cell r="G27">
            <v>24.7</v>
          </cell>
          <cell r="H27">
            <v>24.1</v>
          </cell>
          <cell r="I27">
            <v>24.9</v>
          </cell>
          <cell r="J27">
            <v>25.5</v>
          </cell>
          <cell r="K27">
            <v>26.8</v>
          </cell>
          <cell r="L27">
            <v>25.4</v>
          </cell>
          <cell r="M27">
            <v>25.1</v>
          </cell>
          <cell r="N27">
            <v>26</v>
          </cell>
          <cell r="O27">
            <v>25.9</v>
          </cell>
        </row>
        <row r="28">
          <cell r="A28">
            <v>101</v>
          </cell>
          <cell r="B28">
            <v>1</v>
          </cell>
          <cell r="C28">
            <v>13.189</v>
          </cell>
          <cell r="D28">
            <v>36.6</v>
          </cell>
          <cell r="E28">
            <v>31</v>
          </cell>
          <cell r="F28">
            <v>26.7</v>
          </cell>
          <cell r="G28">
            <v>30.1</v>
          </cell>
          <cell r="H28">
            <v>26.3</v>
          </cell>
          <cell r="I28">
            <v>31.9</v>
          </cell>
          <cell r="J28">
            <v>26.1</v>
          </cell>
          <cell r="K28">
            <v>27.8</v>
          </cell>
          <cell r="L28">
            <v>27.7</v>
          </cell>
          <cell r="M28">
            <v>28.4</v>
          </cell>
          <cell r="N28">
            <v>31.8</v>
          </cell>
          <cell r="O28">
            <v>26.2</v>
          </cell>
        </row>
        <row r="29">
          <cell r="A29">
            <v>101</v>
          </cell>
          <cell r="B29">
            <v>2</v>
          </cell>
          <cell r="C29">
            <v>13.194000000000001</v>
          </cell>
          <cell r="D29">
            <v>29.1</v>
          </cell>
          <cell r="E29">
            <v>27.5</v>
          </cell>
          <cell r="F29">
            <v>25.6</v>
          </cell>
          <cell r="G29">
            <v>26</v>
          </cell>
          <cell r="H29">
            <v>25.7</v>
          </cell>
          <cell r="I29">
            <v>25.7</v>
          </cell>
          <cell r="J29">
            <v>26.9</v>
          </cell>
          <cell r="K29">
            <v>26.3</v>
          </cell>
          <cell r="L29">
            <v>24.9</v>
          </cell>
          <cell r="M29">
            <v>25.8</v>
          </cell>
          <cell r="N29">
            <v>26.4</v>
          </cell>
          <cell r="O29">
            <v>25.4</v>
          </cell>
        </row>
        <row r="30">
          <cell r="A30">
            <v>201</v>
          </cell>
          <cell r="B30">
            <v>1</v>
          </cell>
          <cell r="C30">
            <v>13.211</v>
          </cell>
          <cell r="D30">
            <v>28.3</v>
          </cell>
          <cell r="E30">
            <v>27.7</v>
          </cell>
          <cell r="F30">
            <v>27.2</v>
          </cell>
          <cell r="G30">
            <v>28.9</v>
          </cell>
          <cell r="H30">
            <v>26.8</v>
          </cell>
          <cell r="I30">
            <v>27.8</v>
          </cell>
          <cell r="J30">
            <v>27</v>
          </cell>
          <cell r="K30">
            <v>27.4</v>
          </cell>
          <cell r="L30">
            <v>27.8</v>
          </cell>
          <cell r="M30">
            <v>26.9</v>
          </cell>
          <cell r="N30">
            <v>28.2</v>
          </cell>
          <cell r="O30">
            <v>27.5</v>
          </cell>
        </row>
        <row r="31">
          <cell r="A31">
            <v>201</v>
          </cell>
          <cell r="B31">
            <v>2</v>
          </cell>
          <cell r="C31">
            <v>13.215</v>
          </cell>
          <cell r="D31">
            <v>29.1</v>
          </cell>
          <cell r="E31">
            <v>27.2</v>
          </cell>
          <cell r="F31">
            <v>28.5</v>
          </cell>
          <cell r="G31">
            <v>27.7</v>
          </cell>
          <cell r="H31">
            <v>27.1</v>
          </cell>
          <cell r="I31">
            <v>27.7</v>
          </cell>
          <cell r="J31">
            <v>28.6</v>
          </cell>
          <cell r="K31">
            <v>28.3</v>
          </cell>
          <cell r="L31">
            <v>28.6</v>
          </cell>
          <cell r="M31">
            <v>28.8</v>
          </cell>
          <cell r="N31">
            <v>29.8</v>
          </cell>
          <cell r="O31">
            <v>29</v>
          </cell>
        </row>
        <row r="32">
          <cell r="A32">
            <v>202</v>
          </cell>
          <cell r="B32">
            <v>1</v>
          </cell>
          <cell r="C32">
            <v>13.226000000000001</v>
          </cell>
          <cell r="D32">
            <v>35</v>
          </cell>
          <cell r="E32">
            <v>32.200000000000003</v>
          </cell>
          <cell r="F32">
            <v>30</v>
          </cell>
          <cell r="G32">
            <v>31.6</v>
          </cell>
          <cell r="H32">
            <v>32.700000000000003</v>
          </cell>
          <cell r="I32">
            <v>30</v>
          </cell>
          <cell r="J32">
            <v>35.4</v>
          </cell>
          <cell r="K32">
            <v>31.4</v>
          </cell>
          <cell r="L32">
            <v>33</v>
          </cell>
          <cell r="M32">
            <v>29.3</v>
          </cell>
          <cell r="N32">
            <v>32.200000000000003</v>
          </cell>
          <cell r="O32">
            <v>28.7</v>
          </cell>
        </row>
        <row r="33">
          <cell r="A33">
            <v>202</v>
          </cell>
          <cell r="B33">
            <v>2</v>
          </cell>
          <cell r="C33">
            <v>13.231</v>
          </cell>
          <cell r="D33">
            <v>28</v>
          </cell>
          <cell r="E33">
            <v>28.3</v>
          </cell>
          <cell r="F33">
            <v>28.2</v>
          </cell>
          <cell r="G33">
            <v>28.9</v>
          </cell>
          <cell r="H33">
            <v>29.5</v>
          </cell>
          <cell r="I33">
            <v>29.2</v>
          </cell>
          <cell r="J33">
            <v>27.5</v>
          </cell>
          <cell r="K33">
            <v>28.4</v>
          </cell>
          <cell r="L33">
            <v>28.5</v>
          </cell>
          <cell r="M33">
            <v>28.3</v>
          </cell>
          <cell r="N33">
            <v>30</v>
          </cell>
          <cell r="O33">
            <v>28.1</v>
          </cell>
        </row>
        <row r="34">
          <cell r="A34">
            <v>203</v>
          </cell>
          <cell r="B34">
            <v>1</v>
          </cell>
          <cell r="C34">
            <v>13.242000000000001</v>
          </cell>
          <cell r="D34">
            <v>34</v>
          </cell>
          <cell r="E34">
            <v>32.6</v>
          </cell>
          <cell r="F34">
            <v>30.2</v>
          </cell>
          <cell r="G34">
            <v>32.200000000000003</v>
          </cell>
          <cell r="H34">
            <v>33</v>
          </cell>
          <cell r="I34">
            <v>32.6</v>
          </cell>
          <cell r="J34">
            <v>29.4</v>
          </cell>
          <cell r="K34">
            <v>37.299999999999997</v>
          </cell>
          <cell r="L34">
            <v>30.3</v>
          </cell>
          <cell r="M34">
            <v>32.1</v>
          </cell>
          <cell r="N34">
            <v>29.3</v>
          </cell>
          <cell r="O34">
            <v>30.1</v>
          </cell>
        </row>
        <row r="35">
          <cell r="A35">
            <v>203</v>
          </cell>
          <cell r="B35">
            <v>2</v>
          </cell>
          <cell r="C35">
            <v>13.246</v>
          </cell>
          <cell r="D35">
            <v>29.9</v>
          </cell>
          <cell r="E35">
            <v>29.8</v>
          </cell>
          <cell r="F35">
            <v>30.9</v>
          </cell>
          <cell r="G35">
            <v>30</v>
          </cell>
          <cell r="H35">
            <v>31.3</v>
          </cell>
          <cell r="I35">
            <v>32</v>
          </cell>
          <cell r="J35">
            <v>29.4</v>
          </cell>
          <cell r="K35">
            <v>29.5</v>
          </cell>
          <cell r="L35">
            <v>29.4</v>
          </cell>
          <cell r="M35">
            <v>29.3</v>
          </cell>
          <cell r="N35">
            <v>29.8</v>
          </cell>
          <cell r="O35">
            <v>29.7</v>
          </cell>
        </row>
        <row r="36">
          <cell r="A36">
            <v>204</v>
          </cell>
          <cell r="B36">
            <v>1</v>
          </cell>
          <cell r="C36">
            <v>13.259</v>
          </cell>
          <cell r="D36">
            <v>31.2</v>
          </cell>
          <cell r="E36">
            <v>31.5</v>
          </cell>
          <cell r="F36">
            <v>31</v>
          </cell>
          <cell r="G36">
            <v>31.1</v>
          </cell>
          <cell r="H36">
            <v>30.8</v>
          </cell>
          <cell r="I36">
            <v>31.1</v>
          </cell>
          <cell r="J36">
            <v>31.3</v>
          </cell>
          <cell r="K36">
            <v>31.8</v>
          </cell>
          <cell r="L36">
            <v>30.6</v>
          </cell>
          <cell r="M36">
            <v>31.1</v>
          </cell>
          <cell r="N36">
            <v>31.1</v>
          </cell>
          <cell r="O36">
            <v>31.9</v>
          </cell>
        </row>
        <row r="37">
          <cell r="A37">
            <v>204</v>
          </cell>
          <cell r="B37">
            <v>2</v>
          </cell>
          <cell r="C37">
            <v>13.263999999999999</v>
          </cell>
          <cell r="D37">
            <v>30.1</v>
          </cell>
          <cell r="E37">
            <v>31.8</v>
          </cell>
          <cell r="F37">
            <v>31.2</v>
          </cell>
          <cell r="G37">
            <v>31.4</v>
          </cell>
          <cell r="H37">
            <v>31.8</v>
          </cell>
          <cell r="I37">
            <v>30.5</v>
          </cell>
          <cell r="J37">
            <v>30.9</v>
          </cell>
          <cell r="K37">
            <v>31.8</v>
          </cell>
          <cell r="L37">
            <v>31</v>
          </cell>
          <cell r="M37">
            <v>31.1</v>
          </cell>
          <cell r="N37">
            <v>32.299999999999997</v>
          </cell>
          <cell r="O37">
            <v>34.4</v>
          </cell>
        </row>
        <row r="38">
          <cell r="A38">
            <v>205</v>
          </cell>
          <cell r="B38">
            <v>1</v>
          </cell>
          <cell r="C38">
            <v>13.276</v>
          </cell>
          <cell r="D38">
            <v>35.799999999999997</v>
          </cell>
          <cell r="E38">
            <v>31.4</v>
          </cell>
          <cell r="F38">
            <v>30.5</v>
          </cell>
          <cell r="G38">
            <v>31.6</v>
          </cell>
          <cell r="H38">
            <v>32.1</v>
          </cell>
          <cell r="I38">
            <v>31.4</v>
          </cell>
          <cell r="J38">
            <v>32.4</v>
          </cell>
          <cell r="K38">
            <v>33.9</v>
          </cell>
          <cell r="L38">
            <v>32.799999999999997</v>
          </cell>
          <cell r="M38">
            <v>32.799999999999997</v>
          </cell>
          <cell r="N38">
            <v>32.1</v>
          </cell>
          <cell r="O38">
            <v>33.200000000000003</v>
          </cell>
        </row>
        <row r="39">
          <cell r="A39">
            <v>205</v>
          </cell>
          <cell r="B39">
            <v>2</v>
          </cell>
          <cell r="C39">
            <v>13.284000000000001</v>
          </cell>
          <cell r="D39">
            <v>28.2</v>
          </cell>
          <cell r="E39">
            <v>27.9</v>
          </cell>
          <cell r="F39">
            <v>28.5</v>
          </cell>
          <cell r="G39">
            <v>26.9</v>
          </cell>
          <cell r="H39">
            <v>28.5</v>
          </cell>
          <cell r="I39">
            <v>28.5</v>
          </cell>
          <cell r="J39">
            <v>29.3</v>
          </cell>
          <cell r="K39">
            <v>28.2</v>
          </cell>
          <cell r="L39">
            <v>28.5</v>
          </cell>
          <cell r="M39">
            <v>28.7</v>
          </cell>
          <cell r="N39">
            <v>28.8</v>
          </cell>
          <cell r="O39">
            <v>28.9</v>
          </cell>
        </row>
        <row r="40">
          <cell r="A40">
            <v>206</v>
          </cell>
          <cell r="B40">
            <v>1</v>
          </cell>
          <cell r="C40">
            <v>13.295</v>
          </cell>
          <cell r="D40">
            <v>34.4</v>
          </cell>
          <cell r="E40">
            <v>32.799999999999997</v>
          </cell>
          <cell r="F40">
            <v>31.6</v>
          </cell>
          <cell r="G40">
            <v>29</v>
          </cell>
          <cell r="H40">
            <v>34.9</v>
          </cell>
          <cell r="I40">
            <v>29.4</v>
          </cell>
          <cell r="J40">
            <v>31.8</v>
          </cell>
          <cell r="K40">
            <v>28.7</v>
          </cell>
          <cell r="L40">
            <v>35.1</v>
          </cell>
          <cell r="M40">
            <v>28.7</v>
          </cell>
          <cell r="N40">
            <v>30</v>
          </cell>
          <cell r="O40">
            <v>30.4</v>
          </cell>
        </row>
        <row r="41">
          <cell r="A41">
            <v>206</v>
          </cell>
          <cell r="B41">
            <v>2</v>
          </cell>
          <cell r="C41">
            <v>13.302</v>
          </cell>
          <cell r="D41">
            <v>27</v>
          </cell>
          <cell r="E41">
            <v>26.8</v>
          </cell>
          <cell r="F41">
            <v>25.4</v>
          </cell>
          <cell r="G41">
            <v>25.3</v>
          </cell>
          <cell r="H41">
            <v>25.3</v>
          </cell>
          <cell r="I41">
            <v>25.1</v>
          </cell>
          <cell r="J41">
            <v>26</v>
          </cell>
          <cell r="K41">
            <v>25.6</v>
          </cell>
          <cell r="L41">
            <v>26.2</v>
          </cell>
          <cell r="M41">
            <v>26.7</v>
          </cell>
          <cell r="N41">
            <v>26.8</v>
          </cell>
          <cell r="O41">
            <v>26.8</v>
          </cell>
        </row>
        <row r="42">
          <cell r="A42">
            <v>207</v>
          </cell>
          <cell r="B42">
            <v>1</v>
          </cell>
          <cell r="C42">
            <v>13.324999999999999</v>
          </cell>
          <cell r="D42">
            <v>35.700000000000003</v>
          </cell>
          <cell r="E42">
            <v>31.7</v>
          </cell>
          <cell r="F42">
            <v>31.2</v>
          </cell>
          <cell r="G42">
            <v>34.4</v>
          </cell>
          <cell r="H42">
            <v>31</v>
          </cell>
          <cell r="I42">
            <v>32.4</v>
          </cell>
          <cell r="J42">
            <v>30.3</v>
          </cell>
          <cell r="K42">
            <v>30.8</v>
          </cell>
          <cell r="L42">
            <v>29.2</v>
          </cell>
          <cell r="M42">
            <v>31.3</v>
          </cell>
          <cell r="N42">
            <v>29.5</v>
          </cell>
          <cell r="O42">
            <v>31.4</v>
          </cell>
        </row>
        <row r="43">
          <cell r="A43">
            <v>207</v>
          </cell>
          <cell r="B43">
            <v>2</v>
          </cell>
          <cell r="C43">
            <v>13.33</v>
          </cell>
          <cell r="D43">
            <v>30</v>
          </cell>
          <cell r="E43">
            <v>29.1</v>
          </cell>
          <cell r="F43">
            <v>28.7</v>
          </cell>
          <cell r="G43">
            <v>30.2</v>
          </cell>
          <cell r="H43">
            <v>30.1</v>
          </cell>
          <cell r="I43">
            <v>28.9</v>
          </cell>
          <cell r="J43">
            <v>29.2</v>
          </cell>
          <cell r="K43">
            <v>28.6</v>
          </cell>
          <cell r="L43">
            <v>28.7</v>
          </cell>
          <cell r="M43">
            <v>28.5</v>
          </cell>
          <cell r="N43">
            <v>29</v>
          </cell>
          <cell r="O43">
            <v>29.1</v>
          </cell>
        </row>
        <row r="44">
          <cell r="A44">
            <v>208</v>
          </cell>
          <cell r="B44">
            <v>1</v>
          </cell>
          <cell r="C44">
            <v>13.349</v>
          </cell>
          <cell r="D44">
            <v>37.700000000000003</v>
          </cell>
          <cell r="E44">
            <v>32.700000000000003</v>
          </cell>
          <cell r="F44">
            <v>35.200000000000003</v>
          </cell>
          <cell r="G44">
            <v>32.700000000000003</v>
          </cell>
          <cell r="H44">
            <v>32.1</v>
          </cell>
          <cell r="I44">
            <v>35.200000000000003</v>
          </cell>
          <cell r="J44">
            <v>33.5</v>
          </cell>
          <cell r="K44">
            <v>37.299999999999997</v>
          </cell>
          <cell r="L44">
            <v>32.4</v>
          </cell>
          <cell r="M44">
            <v>35.200000000000003</v>
          </cell>
          <cell r="N44">
            <v>33.6</v>
          </cell>
          <cell r="O44">
            <v>32.9</v>
          </cell>
        </row>
        <row r="45">
          <cell r="A45">
            <v>208</v>
          </cell>
          <cell r="B45">
            <v>2</v>
          </cell>
          <cell r="C45">
            <v>13.353</v>
          </cell>
          <cell r="D45">
            <v>30.4</v>
          </cell>
          <cell r="E45">
            <v>30.2</v>
          </cell>
          <cell r="F45">
            <v>31.6</v>
          </cell>
          <cell r="G45">
            <v>30.3</v>
          </cell>
          <cell r="H45">
            <v>30.4</v>
          </cell>
          <cell r="I45">
            <v>31.1</v>
          </cell>
          <cell r="J45">
            <v>31.6</v>
          </cell>
          <cell r="K45">
            <v>31.6</v>
          </cell>
          <cell r="L45">
            <v>30</v>
          </cell>
          <cell r="M45">
            <v>30.1</v>
          </cell>
          <cell r="N45">
            <v>32.4</v>
          </cell>
          <cell r="O45">
            <v>31.1</v>
          </cell>
        </row>
        <row r="46">
          <cell r="A46">
            <v>908</v>
          </cell>
          <cell r="B46">
            <v>1</v>
          </cell>
          <cell r="C46">
            <v>13.366</v>
          </cell>
          <cell r="D46">
            <v>37.1</v>
          </cell>
          <cell r="E46">
            <v>37.299999999999997</v>
          </cell>
          <cell r="F46">
            <v>35.4</v>
          </cell>
          <cell r="G46">
            <v>36.6</v>
          </cell>
          <cell r="H46">
            <v>35.700000000000003</v>
          </cell>
          <cell r="I46">
            <v>37.299999999999997</v>
          </cell>
          <cell r="J46">
            <v>36.200000000000003</v>
          </cell>
          <cell r="K46">
            <v>36.4</v>
          </cell>
          <cell r="L46">
            <v>33.9</v>
          </cell>
          <cell r="M46">
            <v>37.4</v>
          </cell>
          <cell r="N46">
            <v>39</v>
          </cell>
          <cell r="O46">
            <v>33.700000000000003</v>
          </cell>
        </row>
        <row r="47">
          <cell r="A47">
            <v>908</v>
          </cell>
          <cell r="B47">
            <v>2</v>
          </cell>
          <cell r="C47">
            <v>13.37</v>
          </cell>
          <cell r="D47">
            <v>31.8</v>
          </cell>
          <cell r="E47">
            <v>31.8</v>
          </cell>
          <cell r="F47">
            <v>31.2</v>
          </cell>
          <cell r="G47">
            <v>32.200000000000003</v>
          </cell>
          <cell r="H47">
            <v>30.8</v>
          </cell>
          <cell r="I47">
            <v>31.8</v>
          </cell>
          <cell r="J47">
            <v>30.8</v>
          </cell>
          <cell r="K47">
            <v>31.4</v>
          </cell>
          <cell r="L47">
            <v>31.2</v>
          </cell>
          <cell r="M47">
            <v>32.799999999999997</v>
          </cell>
          <cell r="N47">
            <v>32.4</v>
          </cell>
          <cell r="O47">
            <v>32.299999999999997</v>
          </cell>
        </row>
        <row r="48">
          <cell r="A48">
            <v>907</v>
          </cell>
          <cell r="B48">
            <v>1</v>
          </cell>
          <cell r="C48">
            <v>13.381</v>
          </cell>
          <cell r="D48">
            <v>67.099999999999994</v>
          </cell>
          <cell r="E48">
            <v>67.099999999999994</v>
          </cell>
          <cell r="F48">
            <v>66.900000000000006</v>
          </cell>
          <cell r="G48">
            <v>67.2</v>
          </cell>
          <cell r="H48">
            <v>67.3</v>
          </cell>
          <cell r="I48">
            <v>67.2</v>
          </cell>
          <cell r="J48">
            <v>67.099999999999994</v>
          </cell>
          <cell r="K48">
            <v>66.5</v>
          </cell>
          <cell r="L48">
            <v>68.099999999999994</v>
          </cell>
          <cell r="M48">
            <v>67.900000000000006</v>
          </cell>
          <cell r="N48">
            <v>67.5</v>
          </cell>
          <cell r="O48">
            <v>67.5</v>
          </cell>
        </row>
        <row r="50">
          <cell r="A50">
            <v>906</v>
          </cell>
          <cell r="B50">
            <v>1</v>
          </cell>
          <cell r="C50">
            <v>13.388999999999999</v>
          </cell>
          <cell r="D50">
            <v>46.6</v>
          </cell>
          <cell r="E50">
            <v>35.700000000000003</v>
          </cell>
          <cell r="F50">
            <v>32.6</v>
          </cell>
          <cell r="G50">
            <v>36</v>
          </cell>
          <cell r="H50">
            <v>34.299999999999997</v>
          </cell>
          <cell r="I50">
            <v>46</v>
          </cell>
          <cell r="J50">
            <v>34.299999999999997</v>
          </cell>
          <cell r="K50">
            <v>49.6</v>
          </cell>
          <cell r="L50">
            <v>34.5</v>
          </cell>
          <cell r="M50">
            <v>46.1</v>
          </cell>
          <cell r="N50">
            <v>37.5</v>
          </cell>
          <cell r="O50">
            <v>37</v>
          </cell>
        </row>
        <row r="51">
          <cell r="A51">
            <v>906</v>
          </cell>
          <cell r="B51">
            <v>2</v>
          </cell>
          <cell r="C51">
            <v>13.394</v>
          </cell>
          <cell r="D51">
            <v>33.5</v>
          </cell>
          <cell r="E51">
            <v>33.799999999999997</v>
          </cell>
          <cell r="F51">
            <v>33</v>
          </cell>
          <cell r="G51">
            <v>33.200000000000003</v>
          </cell>
          <cell r="H51">
            <v>33.799999999999997</v>
          </cell>
          <cell r="I51">
            <v>33.299999999999997</v>
          </cell>
          <cell r="J51">
            <v>31.7</v>
          </cell>
          <cell r="K51">
            <v>32.200000000000003</v>
          </cell>
          <cell r="L51">
            <v>31.6</v>
          </cell>
          <cell r="M51">
            <v>33</v>
          </cell>
          <cell r="N51">
            <v>32.4</v>
          </cell>
          <cell r="O51">
            <v>31.4</v>
          </cell>
        </row>
        <row r="52">
          <cell r="A52">
            <v>905</v>
          </cell>
          <cell r="B52">
            <v>1</v>
          </cell>
          <cell r="C52">
            <v>13.404999999999999</v>
          </cell>
          <cell r="D52">
            <v>51.7</v>
          </cell>
          <cell r="E52">
            <v>51.8</v>
          </cell>
          <cell r="F52">
            <v>52.3</v>
          </cell>
          <cell r="G52">
            <v>51.9</v>
          </cell>
          <cell r="H52">
            <v>52.2</v>
          </cell>
          <cell r="I52">
            <v>51.6</v>
          </cell>
          <cell r="J52">
            <v>52.6</v>
          </cell>
          <cell r="K52">
            <v>51.7</v>
          </cell>
          <cell r="L52">
            <v>51.9</v>
          </cell>
          <cell r="M52">
            <v>52.9</v>
          </cell>
          <cell r="N52">
            <v>51.7</v>
          </cell>
          <cell r="O52">
            <v>52</v>
          </cell>
        </row>
        <row r="54">
          <cell r="A54">
            <v>904</v>
          </cell>
          <cell r="B54">
            <v>1</v>
          </cell>
          <cell r="C54">
            <v>13.412000000000001</v>
          </cell>
          <cell r="D54">
            <v>40.799999999999997</v>
          </cell>
          <cell r="E54">
            <v>34.799999999999997</v>
          </cell>
          <cell r="F54">
            <v>33.5</v>
          </cell>
          <cell r="G54">
            <v>36.1</v>
          </cell>
          <cell r="H54">
            <v>33.200000000000003</v>
          </cell>
          <cell r="I54">
            <v>35.5</v>
          </cell>
          <cell r="J54">
            <v>37</v>
          </cell>
          <cell r="K54">
            <v>37.799999999999997</v>
          </cell>
          <cell r="L54">
            <v>36.1</v>
          </cell>
          <cell r="M54">
            <v>38.200000000000003</v>
          </cell>
          <cell r="N54">
            <v>34.299999999999997</v>
          </cell>
          <cell r="O54">
            <v>39.299999999999997</v>
          </cell>
        </row>
        <row r="55">
          <cell r="A55">
            <v>904</v>
          </cell>
          <cell r="B55">
            <v>2</v>
          </cell>
          <cell r="C55">
            <v>13.417</v>
          </cell>
          <cell r="D55">
            <v>31.7</v>
          </cell>
          <cell r="E55">
            <v>32.299999999999997</v>
          </cell>
          <cell r="F55">
            <v>30.4</v>
          </cell>
          <cell r="G55">
            <v>31.5</v>
          </cell>
          <cell r="H55">
            <v>31.6</v>
          </cell>
          <cell r="I55">
            <v>31.6</v>
          </cell>
          <cell r="J55">
            <v>31.4</v>
          </cell>
          <cell r="K55">
            <v>31.5</v>
          </cell>
          <cell r="L55">
            <v>31.3</v>
          </cell>
          <cell r="M55">
            <v>32.1</v>
          </cell>
          <cell r="N55">
            <v>32.6</v>
          </cell>
          <cell r="O55">
            <v>32.299999999999997</v>
          </cell>
        </row>
        <row r="56">
          <cell r="A56">
            <v>903</v>
          </cell>
          <cell r="B56">
            <v>1</v>
          </cell>
          <cell r="C56">
            <v>13.428000000000001</v>
          </cell>
          <cell r="D56">
            <v>68.099999999999994</v>
          </cell>
          <cell r="E56">
            <v>68</v>
          </cell>
          <cell r="F56">
            <v>68</v>
          </cell>
          <cell r="G56">
            <v>68</v>
          </cell>
          <cell r="H56">
            <v>67.900000000000006</v>
          </cell>
          <cell r="I56">
            <v>67.5</v>
          </cell>
          <cell r="J56">
            <v>67.8</v>
          </cell>
          <cell r="K56">
            <v>67.7</v>
          </cell>
          <cell r="L56">
            <v>67.8</v>
          </cell>
          <cell r="M56">
            <v>68</v>
          </cell>
          <cell r="N56">
            <v>68</v>
          </cell>
          <cell r="O56">
            <v>68</v>
          </cell>
        </row>
        <row r="58">
          <cell r="A58">
            <v>902</v>
          </cell>
          <cell r="B58">
            <v>1</v>
          </cell>
          <cell r="C58">
            <v>13.436</v>
          </cell>
          <cell r="D58">
            <v>48.2</v>
          </cell>
          <cell r="E58">
            <v>40.200000000000003</v>
          </cell>
          <cell r="F58">
            <v>36.4</v>
          </cell>
          <cell r="G58">
            <v>39.299999999999997</v>
          </cell>
          <cell r="H58">
            <v>41.8</v>
          </cell>
          <cell r="I58">
            <v>49.6</v>
          </cell>
          <cell r="J58">
            <v>40.299999999999997</v>
          </cell>
          <cell r="K58">
            <v>46.4</v>
          </cell>
          <cell r="L58">
            <v>45</v>
          </cell>
          <cell r="M58">
            <v>44.5</v>
          </cell>
          <cell r="N58">
            <v>49.1</v>
          </cell>
          <cell r="O58">
            <v>36.6</v>
          </cell>
        </row>
        <row r="59">
          <cell r="A59">
            <v>902</v>
          </cell>
          <cell r="B59">
            <v>2</v>
          </cell>
          <cell r="C59">
            <v>13.441000000000001</v>
          </cell>
          <cell r="D59">
            <v>32.200000000000003</v>
          </cell>
          <cell r="E59">
            <v>35.6</v>
          </cell>
          <cell r="F59">
            <v>35.299999999999997</v>
          </cell>
          <cell r="G59">
            <v>35.799999999999997</v>
          </cell>
          <cell r="H59">
            <v>33.700000000000003</v>
          </cell>
          <cell r="I59">
            <v>35.4</v>
          </cell>
          <cell r="J59">
            <v>34.799999999999997</v>
          </cell>
          <cell r="K59">
            <v>32.9</v>
          </cell>
          <cell r="L59">
            <v>34.5</v>
          </cell>
          <cell r="M59">
            <v>33</v>
          </cell>
          <cell r="N59">
            <v>33.200000000000003</v>
          </cell>
          <cell r="O59">
            <v>31.8</v>
          </cell>
        </row>
        <row r="60">
          <cell r="A60">
            <v>901</v>
          </cell>
          <cell r="B60">
            <v>1</v>
          </cell>
          <cell r="C60">
            <v>13.452</v>
          </cell>
          <cell r="D60">
            <v>38.4</v>
          </cell>
          <cell r="E60">
            <v>38.200000000000003</v>
          </cell>
          <cell r="F60">
            <v>38.1</v>
          </cell>
          <cell r="G60">
            <v>38.1</v>
          </cell>
          <cell r="H60">
            <v>38.4</v>
          </cell>
          <cell r="I60">
            <v>38.4</v>
          </cell>
          <cell r="J60">
            <v>37.799999999999997</v>
          </cell>
          <cell r="K60">
            <v>38</v>
          </cell>
          <cell r="L60">
            <v>37.799999999999997</v>
          </cell>
          <cell r="M60">
            <v>38</v>
          </cell>
          <cell r="N60">
            <v>37.5</v>
          </cell>
          <cell r="O60">
            <v>37.700000000000003</v>
          </cell>
        </row>
        <row r="62">
          <cell r="A62">
            <v>301</v>
          </cell>
          <cell r="B62">
            <v>1</v>
          </cell>
          <cell r="C62">
            <v>13.462999999999999</v>
          </cell>
          <cell r="D62">
            <v>30.6</v>
          </cell>
          <cell r="E62">
            <v>29.8</v>
          </cell>
          <cell r="F62">
            <v>30</v>
          </cell>
          <cell r="G62">
            <v>31.5</v>
          </cell>
          <cell r="H62">
            <v>29.2</v>
          </cell>
          <cell r="I62">
            <v>32.4</v>
          </cell>
          <cell r="J62">
            <v>29.1</v>
          </cell>
          <cell r="K62">
            <v>31.9</v>
          </cell>
          <cell r="L62">
            <v>29.3</v>
          </cell>
          <cell r="M62">
            <v>33.1</v>
          </cell>
          <cell r="N62">
            <v>29.3</v>
          </cell>
          <cell r="O62">
            <v>31.9</v>
          </cell>
        </row>
        <row r="63">
          <cell r="A63">
            <v>301</v>
          </cell>
          <cell r="B63">
            <v>2</v>
          </cell>
          <cell r="C63">
            <v>13.468</v>
          </cell>
          <cell r="D63">
            <v>29.7</v>
          </cell>
          <cell r="E63">
            <v>29.1</v>
          </cell>
          <cell r="F63">
            <v>29</v>
          </cell>
          <cell r="G63">
            <v>30.8</v>
          </cell>
          <cell r="H63">
            <v>28.3</v>
          </cell>
          <cell r="I63">
            <v>28.3</v>
          </cell>
          <cell r="J63">
            <v>28.7</v>
          </cell>
          <cell r="K63">
            <v>29.1</v>
          </cell>
          <cell r="L63">
            <v>30.5</v>
          </cell>
          <cell r="M63">
            <v>28.8</v>
          </cell>
          <cell r="N63">
            <v>30.3</v>
          </cell>
          <cell r="O63">
            <v>28.9</v>
          </cell>
        </row>
        <row r="64">
          <cell r="A64">
            <v>302</v>
          </cell>
          <cell r="B64">
            <v>1</v>
          </cell>
          <cell r="C64">
            <v>13.478999999999999</v>
          </cell>
          <cell r="D64">
            <v>34.200000000000003</v>
          </cell>
          <cell r="E64">
            <v>31</v>
          </cell>
          <cell r="F64">
            <v>29.5</v>
          </cell>
          <cell r="G64">
            <v>33.6</v>
          </cell>
          <cell r="H64">
            <v>29.7</v>
          </cell>
          <cell r="I64">
            <v>32.1</v>
          </cell>
          <cell r="J64">
            <v>29.4</v>
          </cell>
          <cell r="K64">
            <v>36.6</v>
          </cell>
          <cell r="L64">
            <v>32.700000000000003</v>
          </cell>
          <cell r="M64">
            <v>32.5</v>
          </cell>
          <cell r="N64">
            <v>29.5</v>
          </cell>
          <cell r="O64">
            <v>33.1</v>
          </cell>
        </row>
        <row r="65">
          <cell r="A65">
            <v>302</v>
          </cell>
          <cell r="B65">
            <v>2</v>
          </cell>
          <cell r="C65">
            <v>13.484</v>
          </cell>
          <cell r="D65">
            <v>30.5</v>
          </cell>
          <cell r="E65">
            <v>29.7</v>
          </cell>
          <cell r="F65">
            <v>29.6</v>
          </cell>
          <cell r="G65">
            <v>29</v>
          </cell>
          <cell r="H65">
            <v>29.2</v>
          </cell>
          <cell r="I65">
            <v>29.7</v>
          </cell>
          <cell r="J65">
            <v>29.1</v>
          </cell>
          <cell r="K65">
            <v>29.3</v>
          </cell>
          <cell r="L65">
            <v>31.3</v>
          </cell>
          <cell r="M65">
            <v>28.9</v>
          </cell>
          <cell r="N65">
            <v>29.1</v>
          </cell>
          <cell r="O65">
            <v>28.9</v>
          </cell>
        </row>
        <row r="66">
          <cell r="A66">
            <v>303</v>
          </cell>
          <cell r="B66">
            <v>1</v>
          </cell>
          <cell r="C66">
            <v>13.497999999999999</v>
          </cell>
          <cell r="D66">
            <v>35.299999999999997</v>
          </cell>
          <cell r="E66">
            <v>32.299999999999997</v>
          </cell>
          <cell r="F66">
            <v>30.7</v>
          </cell>
          <cell r="G66">
            <v>32.4</v>
          </cell>
          <cell r="H66">
            <v>31.2</v>
          </cell>
          <cell r="I66">
            <v>36.1</v>
          </cell>
          <cell r="J66">
            <v>29.8</v>
          </cell>
          <cell r="K66">
            <v>35.1</v>
          </cell>
          <cell r="L66">
            <v>30</v>
          </cell>
          <cell r="M66">
            <v>34.9</v>
          </cell>
          <cell r="N66">
            <v>29.8</v>
          </cell>
          <cell r="O66">
            <v>32.700000000000003</v>
          </cell>
        </row>
        <row r="67">
          <cell r="A67">
            <v>303</v>
          </cell>
          <cell r="B67">
            <v>2</v>
          </cell>
          <cell r="C67">
            <v>13.502000000000001</v>
          </cell>
          <cell r="D67">
            <v>30.1</v>
          </cell>
          <cell r="E67">
            <v>30</v>
          </cell>
          <cell r="F67">
            <v>29.2</v>
          </cell>
          <cell r="G67">
            <v>29.2</v>
          </cell>
          <cell r="H67">
            <v>29.6</v>
          </cell>
          <cell r="I67">
            <v>29.4</v>
          </cell>
          <cell r="J67">
            <v>29.6</v>
          </cell>
          <cell r="K67">
            <v>29.6</v>
          </cell>
          <cell r="L67">
            <v>31.4</v>
          </cell>
          <cell r="M67">
            <v>32.9</v>
          </cell>
          <cell r="N67">
            <v>33.299999999999997</v>
          </cell>
          <cell r="O67">
            <v>32.5</v>
          </cell>
        </row>
        <row r="68">
          <cell r="A68">
            <v>304</v>
          </cell>
          <cell r="B68">
            <v>1</v>
          </cell>
          <cell r="C68">
            <v>13.512</v>
          </cell>
          <cell r="D68">
            <v>38.9</v>
          </cell>
          <cell r="E68">
            <v>32.299999999999997</v>
          </cell>
          <cell r="F68">
            <v>30.3</v>
          </cell>
          <cell r="G68">
            <v>30.5</v>
          </cell>
          <cell r="H68">
            <v>31.7</v>
          </cell>
          <cell r="I68">
            <v>31.6</v>
          </cell>
          <cell r="J68">
            <v>29.8</v>
          </cell>
          <cell r="K68">
            <v>30.5</v>
          </cell>
          <cell r="L68">
            <v>29.9</v>
          </cell>
          <cell r="M68">
            <v>32</v>
          </cell>
          <cell r="N68">
            <v>31.9</v>
          </cell>
          <cell r="O68">
            <v>35.5</v>
          </cell>
        </row>
        <row r="69">
          <cell r="A69">
            <v>304</v>
          </cell>
          <cell r="B69">
            <v>2</v>
          </cell>
          <cell r="C69">
            <v>13.516999999999999</v>
          </cell>
          <cell r="D69">
            <v>29.3</v>
          </cell>
          <cell r="E69">
            <v>29.2</v>
          </cell>
          <cell r="F69">
            <v>30.3</v>
          </cell>
          <cell r="G69">
            <v>29.2</v>
          </cell>
          <cell r="H69">
            <v>28.7</v>
          </cell>
          <cell r="I69">
            <v>28.8</v>
          </cell>
          <cell r="J69">
            <v>29.2</v>
          </cell>
          <cell r="K69">
            <v>29.4</v>
          </cell>
          <cell r="L69">
            <v>30.7</v>
          </cell>
          <cell r="M69">
            <v>28.6</v>
          </cell>
          <cell r="N69">
            <v>29.6</v>
          </cell>
          <cell r="O69">
            <v>29.4</v>
          </cell>
        </row>
        <row r="70">
          <cell r="A70">
            <v>305</v>
          </cell>
          <cell r="B70">
            <v>1</v>
          </cell>
          <cell r="C70">
            <v>13.528</v>
          </cell>
          <cell r="D70">
            <v>30.6</v>
          </cell>
          <cell r="E70">
            <v>29.1</v>
          </cell>
          <cell r="F70">
            <v>28.4</v>
          </cell>
          <cell r="G70">
            <v>29.4</v>
          </cell>
          <cell r="H70">
            <v>28</v>
          </cell>
          <cell r="I70">
            <v>30.9</v>
          </cell>
          <cell r="J70">
            <v>29.2</v>
          </cell>
          <cell r="K70">
            <v>30.8</v>
          </cell>
          <cell r="L70">
            <v>29.3</v>
          </cell>
          <cell r="M70">
            <v>30.7</v>
          </cell>
          <cell r="N70">
            <v>30.5</v>
          </cell>
          <cell r="O70">
            <v>31.6</v>
          </cell>
        </row>
        <row r="71">
          <cell r="A71">
            <v>305</v>
          </cell>
          <cell r="B71">
            <v>2</v>
          </cell>
          <cell r="C71">
            <v>13.532</v>
          </cell>
          <cell r="D71">
            <v>30.2</v>
          </cell>
          <cell r="E71">
            <v>31.3</v>
          </cell>
          <cell r="F71">
            <v>30.3</v>
          </cell>
          <cell r="G71">
            <v>30.5</v>
          </cell>
          <cell r="H71">
            <v>29.1</v>
          </cell>
          <cell r="I71">
            <v>30.8</v>
          </cell>
          <cell r="J71">
            <v>30.1</v>
          </cell>
          <cell r="K71">
            <v>32.799999999999997</v>
          </cell>
          <cell r="L71">
            <v>31</v>
          </cell>
          <cell r="M71">
            <v>32.5</v>
          </cell>
          <cell r="N71">
            <v>31.5</v>
          </cell>
          <cell r="O71">
            <v>30.8</v>
          </cell>
        </row>
        <row r="72">
          <cell r="A72">
            <v>306</v>
          </cell>
          <cell r="B72">
            <v>1</v>
          </cell>
          <cell r="C72">
            <v>13.544</v>
          </cell>
          <cell r="D72">
            <v>32.700000000000003</v>
          </cell>
          <cell r="E72">
            <v>33.200000000000003</v>
          </cell>
          <cell r="F72">
            <v>31.5</v>
          </cell>
          <cell r="G72">
            <v>33.700000000000003</v>
          </cell>
          <cell r="H72">
            <v>33.4</v>
          </cell>
          <cell r="I72">
            <v>36.200000000000003</v>
          </cell>
          <cell r="J72">
            <v>32.299999999999997</v>
          </cell>
          <cell r="K72">
            <v>35.4</v>
          </cell>
          <cell r="L72">
            <v>32.9</v>
          </cell>
          <cell r="M72">
            <v>33.200000000000003</v>
          </cell>
          <cell r="N72">
            <v>31.6</v>
          </cell>
          <cell r="O72">
            <v>33.200000000000003</v>
          </cell>
        </row>
        <row r="73">
          <cell r="A73">
            <v>306</v>
          </cell>
          <cell r="B73">
            <v>2</v>
          </cell>
          <cell r="C73">
            <v>13.548</v>
          </cell>
          <cell r="D73">
            <v>31.8</v>
          </cell>
          <cell r="E73">
            <v>32.799999999999997</v>
          </cell>
          <cell r="F73">
            <v>33.200000000000003</v>
          </cell>
          <cell r="G73">
            <v>32</v>
          </cell>
          <cell r="H73">
            <v>34.5</v>
          </cell>
          <cell r="I73">
            <v>31.8</v>
          </cell>
          <cell r="J73">
            <v>31.4</v>
          </cell>
          <cell r="K73">
            <v>31.1</v>
          </cell>
          <cell r="L73">
            <v>33</v>
          </cell>
          <cell r="M73">
            <v>31.1</v>
          </cell>
          <cell r="N73">
            <v>31.2</v>
          </cell>
          <cell r="O73">
            <v>31.6</v>
          </cell>
        </row>
        <row r="74">
          <cell r="A74">
            <v>307</v>
          </cell>
          <cell r="B74">
            <v>1</v>
          </cell>
          <cell r="C74">
            <v>13.56</v>
          </cell>
          <cell r="D74">
            <v>34.299999999999997</v>
          </cell>
          <cell r="E74">
            <v>31.8</v>
          </cell>
          <cell r="F74">
            <v>31.5</v>
          </cell>
          <cell r="G74">
            <v>33.200000000000003</v>
          </cell>
          <cell r="H74">
            <v>32.4</v>
          </cell>
          <cell r="I74">
            <v>32.5</v>
          </cell>
          <cell r="J74">
            <v>33</v>
          </cell>
          <cell r="K74">
            <v>31.7</v>
          </cell>
          <cell r="L74">
            <v>33.700000000000003</v>
          </cell>
          <cell r="M74">
            <v>31.3</v>
          </cell>
          <cell r="N74">
            <v>34.6</v>
          </cell>
          <cell r="O74">
            <v>31.1</v>
          </cell>
        </row>
        <row r="75">
          <cell r="A75">
            <v>307</v>
          </cell>
          <cell r="B75">
            <v>2</v>
          </cell>
          <cell r="C75">
            <v>13.564</v>
          </cell>
          <cell r="D75">
            <v>30</v>
          </cell>
          <cell r="E75">
            <v>31.3</v>
          </cell>
          <cell r="F75">
            <v>30.2</v>
          </cell>
          <cell r="G75">
            <v>31.9</v>
          </cell>
          <cell r="H75">
            <v>30.8</v>
          </cell>
          <cell r="I75">
            <v>31</v>
          </cell>
          <cell r="J75">
            <v>32.700000000000003</v>
          </cell>
          <cell r="K75">
            <v>30.6</v>
          </cell>
          <cell r="L75">
            <v>31.9</v>
          </cell>
          <cell r="M75">
            <v>29.7</v>
          </cell>
          <cell r="N75">
            <v>32.1</v>
          </cell>
          <cell r="O75">
            <v>31.6</v>
          </cell>
        </row>
        <row r="76">
          <cell r="A76">
            <v>308</v>
          </cell>
          <cell r="B76">
            <v>1</v>
          </cell>
          <cell r="C76">
            <v>13.574999999999999</v>
          </cell>
          <cell r="D76">
            <v>34.299999999999997</v>
          </cell>
          <cell r="E76">
            <v>35.700000000000003</v>
          </cell>
          <cell r="F76">
            <v>35.299999999999997</v>
          </cell>
          <cell r="G76">
            <v>35.799999999999997</v>
          </cell>
          <cell r="H76">
            <v>35.200000000000003</v>
          </cell>
          <cell r="I76">
            <v>37.700000000000003</v>
          </cell>
          <cell r="J76">
            <v>34.799999999999997</v>
          </cell>
          <cell r="K76">
            <v>36.200000000000003</v>
          </cell>
          <cell r="L76">
            <v>34.299999999999997</v>
          </cell>
          <cell r="M76">
            <v>37.700000000000003</v>
          </cell>
          <cell r="N76">
            <v>33.1</v>
          </cell>
          <cell r="O76">
            <v>35.6</v>
          </cell>
        </row>
        <row r="77">
          <cell r="A77">
            <v>308</v>
          </cell>
          <cell r="B77">
            <v>2</v>
          </cell>
          <cell r="C77">
            <v>13.58</v>
          </cell>
          <cell r="D77">
            <v>33.9</v>
          </cell>
          <cell r="E77">
            <v>33.700000000000003</v>
          </cell>
          <cell r="F77">
            <v>31.3</v>
          </cell>
          <cell r="G77">
            <v>33.6</v>
          </cell>
          <cell r="H77">
            <v>33.200000000000003</v>
          </cell>
          <cell r="I77">
            <v>33.4</v>
          </cell>
          <cell r="J77">
            <v>32.299999999999997</v>
          </cell>
          <cell r="K77">
            <v>33.799999999999997</v>
          </cell>
          <cell r="L77">
            <v>33.4</v>
          </cell>
          <cell r="M77">
            <v>34.299999999999997</v>
          </cell>
          <cell r="N77">
            <v>33.200000000000003</v>
          </cell>
          <cell r="O77">
            <v>33.4</v>
          </cell>
        </row>
        <row r="78">
          <cell r="A78">
            <v>408</v>
          </cell>
          <cell r="B78">
            <v>1</v>
          </cell>
          <cell r="C78">
            <v>13.595000000000001</v>
          </cell>
          <cell r="D78">
            <v>43.4</v>
          </cell>
          <cell r="E78">
            <v>34</v>
          </cell>
          <cell r="F78">
            <v>35.9</v>
          </cell>
          <cell r="G78">
            <v>33.4</v>
          </cell>
          <cell r="H78">
            <v>33.700000000000003</v>
          </cell>
          <cell r="I78">
            <v>33.1</v>
          </cell>
          <cell r="J78">
            <v>36.799999999999997</v>
          </cell>
          <cell r="K78">
            <v>33.6</v>
          </cell>
          <cell r="L78">
            <v>36.299999999999997</v>
          </cell>
          <cell r="M78">
            <v>33.6</v>
          </cell>
          <cell r="N78">
            <v>38.299999999999997</v>
          </cell>
          <cell r="O78">
            <v>33</v>
          </cell>
        </row>
        <row r="79">
          <cell r="A79">
            <v>408</v>
          </cell>
          <cell r="B79">
            <v>2</v>
          </cell>
          <cell r="C79">
            <v>13.599</v>
          </cell>
          <cell r="D79">
            <v>31.8</v>
          </cell>
          <cell r="E79">
            <v>31.3</v>
          </cell>
          <cell r="F79">
            <v>31.6</v>
          </cell>
          <cell r="G79">
            <v>30</v>
          </cell>
          <cell r="H79">
            <v>30.8</v>
          </cell>
          <cell r="I79">
            <v>30.6</v>
          </cell>
          <cell r="J79">
            <v>32</v>
          </cell>
          <cell r="K79">
            <v>30.9</v>
          </cell>
          <cell r="L79">
            <v>30.7</v>
          </cell>
          <cell r="M79">
            <v>31.8</v>
          </cell>
          <cell r="N79">
            <v>31.4</v>
          </cell>
          <cell r="O79">
            <v>30.9</v>
          </cell>
        </row>
        <row r="80">
          <cell r="A80">
            <v>407</v>
          </cell>
          <cell r="B80">
            <v>1</v>
          </cell>
          <cell r="C80">
            <v>13.61</v>
          </cell>
          <cell r="D80">
            <v>48.4</v>
          </cell>
          <cell r="E80">
            <v>39</v>
          </cell>
          <cell r="F80">
            <v>38.4</v>
          </cell>
          <cell r="G80">
            <v>37</v>
          </cell>
          <cell r="H80">
            <v>39.200000000000003</v>
          </cell>
          <cell r="I80">
            <v>45.6</v>
          </cell>
          <cell r="J80">
            <v>39.6</v>
          </cell>
          <cell r="K80">
            <v>39.5</v>
          </cell>
          <cell r="L80">
            <v>39.6</v>
          </cell>
          <cell r="M80">
            <v>41.8</v>
          </cell>
          <cell r="N80">
            <v>43.7</v>
          </cell>
          <cell r="O80">
            <v>35.1</v>
          </cell>
        </row>
        <row r="81">
          <cell r="A81">
            <v>407</v>
          </cell>
          <cell r="B81">
            <v>2</v>
          </cell>
          <cell r="C81">
            <v>13.615</v>
          </cell>
          <cell r="D81">
            <v>31.5</v>
          </cell>
          <cell r="E81">
            <v>31.9</v>
          </cell>
          <cell r="F81">
            <v>32.6</v>
          </cell>
          <cell r="G81">
            <v>31.6</v>
          </cell>
          <cell r="H81">
            <v>32.1</v>
          </cell>
          <cell r="I81">
            <v>31.5</v>
          </cell>
          <cell r="J81">
            <v>31.7</v>
          </cell>
          <cell r="K81">
            <v>32.1</v>
          </cell>
          <cell r="L81">
            <v>30.4</v>
          </cell>
          <cell r="M81">
            <v>30.4</v>
          </cell>
          <cell r="N81">
            <v>30.9</v>
          </cell>
          <cell r="O81">
            <v>31.3</v>
          </cell>
        </row>
        <row r="82">
          <cell r="A82">
            <v>406</v>
          </cell>
          <cell r="B82">
            <v>1</v>
          </cell>
          <cell r="C82">
            <v>13.63</v>
          </cell>
          <cell r="D82">
            <v>36.299999999999997</v>
          </cell>
          <cell r="E82">
            <v>32.799999999999997</v>
          </cell>
          <cell r="F82">
            <v>32.4</v>
          </cell>
          <cell r="G82">
            <v>31.6</v>
          </cell>
          <cell r="H82">
            <v>32.200000000000003</v>
          </cell>
          <cell r="I82">
            <v>31.3</v>
          </cell>
          <cell r="J82">
            <v>30.3</v>
          </cell>
          <cell r="K82">
            <v>31.6</v>
          </cell>
          <cell r="L82">
            <v>30.3</v>
          </cell>
          <cell r="M82">
            <v>32.5</v>
          </cell>
          <cell r="N82">
            <v>30.2</v>
          </cell>
          <cell r="O82">
            <v>35</v>
          </cell>
        </row>
        <row r="83">
          <cell r="A83">
            <v>406</v>
          </cell>
          <cell r="B83">
            <v>2</v>
          </cell>
          <cell r="C83">
            <v>13.635</v>
          </cell>
          <cell r="D83">
            <v>30.2</v>
          </cell>
          <cell r="E83">
            <v>30.3</v>
          </cell>
          <cell r="F83">
            <v>30.6</v>
          </cell>
          <cell r="G83">
            <v>29.6</v>
          </cell>
          <cell r="H83">
            <v>29.6</v>
          </cell>
          <cell r="I83">
            <v>29.4</v>
          </cell>
          <cell r="J83">
            <v>30</v>
          </cell>
          <cell r="K83">
            <v>30.4</v>
          </cell>
          <cell r="L83">
            <v>29.7</v>
          </cell>
          <cell r="M83">
            <v>29.5</v>
          </cell>
          <cell r="N83">
            <v>29.7</v>
          </cell>
          <cell r="O83">
            <v>31.1</v>
          </cell>
        </row>
        <row r="84">
          <cell r="A84">
            <v>405</v>
          </cell>
          <cell r="B84">
            <v>1</v>
          </cell>
          <cell r="C84">
            <v>13.646000000000001</v>
          </cell>
          <cell r="D84">
            <v>33.5</v>
          </cell>
          <cell r="E84">
            <v>31.3</v>
          </cell>
          <cell r="F84">
            <v>32.200000000000003</v>
          </cell>
          <cell r="G84">
            <v>32.700000000000003</v>
          </cell>
          <cell r="H84">
            <v>31.7</v>
          </cell>
          <cell r="I84">
            <v>32.799999999999997</v>
          </cell>
          <cell r="J84">
            <v>32.700000000000003</v>
          </cell>
          <cell r="K84">
            <v>32.700000000000003</v>
          </cell>
          <cell r="L84">
            <v>33.6</v>
          </cell>
          <cell r="M84">
            <v>32.6</v>
          </cell>
          <cell r="N84">
            <v>35.6</v>
          </cell>
          <cell r="O84">
            <v>32.799999999999997</v>
          </cell>
        </row>
        <row r="85">
          <cell r="A85">
            <v>405</v>
          </cell>
          <cell r="B85">
            <v>2</v>
          </cell>
          <cell r="C85">
            <v>13.651</v>
          </cell>
          <cell r="D85">
            <v>31.5</v>
          </cell>
          <cell r="E85">
            <v>31.6</v>
          </cell>
          <cell r="F85">
            <v>31.8</v>
          </cell>
          <cell r="G85">
            <v>29.9</v>
          </cell>
          <cell r="H85">
            <v>30.8</v>
          </cell>
          <cell r="I85">
            <v>30.4</v>
          </cell>
          <cell r="J85">
            <v>30.5</v>
          </cell>
          <cell r="K85">
            <v>30.9</v>
          </cell>
          <cell r="L85">
            <v>29.9</v>
          </cell>
          <cell r="M85">
            <v>30.6</v>
          </cell>
          <cell r="N85">
            <v>30.5</v>
          </cell>
          <cell r="O85">
            <v>30.2</v>
          </cell>
        </row>
        <row r="86">
          <cell r="A86">
            <v>404</v>
          </cell>
          <cell r="B86">
            <v>1</v>
          </cell>
          <cell r="C86">
            <v>13.662000000000001</v>
          </cell>
          <cell r="D86">
            <v>34.299999999999997</v>
          </cell>
          <cell r="E86">
            <v>31.4</v>
          </cell>
          <cell r="F86">
            <v>30.3</v>
          </cell>
          <cell r="G86">
            <v>31</v>
          </cell>
          <cell r="H86">
            <v>31.6</v>
          </cell>
          <cell r="I86">
            <v>32.1</v>
          </cell>
          <cell r="J86">
            <v>31.1</v>
          </cell>
          <cell r="K86">
            <v>34.799999999999997</v>
          </cell>
          <cell r="L86">
            <v>29.9</v>
          </cell>
          <cell r="M86">
            <v>32.700000000000003</v>
          </cell>
          <cell r="N86">
            <v>30.6</v>
          </cell>
          <cell r="O86">
            <v>36.9</v>
          </cell>
        </row>
        <row r="87">
          <cell r="A87">
            <v>404</v>
          </cell>
          <cell r="B87">
            <v>2</v>
          </cell>
          <cell r="C87">
            <v>13.666</v>
          </cell>
          <cell r="D87">
            <v>31.8</v>
          </cell>
          <cell r="E87">
            <v>30.6</v>
          </cell>
          <cell r="F87">
            <v>31.1</v>
          </cell>
          <cell r="G87">
            <v>30.6</v>
          </cell>
          <cell r="H87">
            <v>31</v>
          </cell>
          <cell r="I87">
            <v>30.8</v>
          </cell>
          <cell r="J87">
            <v>32.6</v>
          </cell>
          <cell r="K87">
            <v>30.2</v>
          </cell>
          <cell r="L87">
            <v>32</v>
          </cell>
          <cell r="M87">
            <v>30.5</v>
          </cell>
          <cell r="N87">
            <v>31.1</v>
          </cell>
          <cell r="O87">
            <v>31.3</v>
          </cell>
        </row>
        <row r="88">
          <cell r="A88">
            <v>403</v>
          </cell>
          <cell r="B88">
            <v>1</v>
          </cell>
          <cell r="C88">
            <v>13.678000000000001</v>
          </cell>
          <cell r="D88">
            <v>33.1</v>
          </cell>
          <cell r="E88">
            <v>30.5</v>
          </cell>
          <cell r="F88">
            <v>30.4</v>
          </cell>
          <cell r="G88">
            <v>31.3</v>
          </cell>
          <cell r="H88">
            <v>30.1</v>
          </cell>
          <cell r="I88">
            <v>31.8</v>
          </cell>
          <cell r="J88">
            <v>31.1</v>
          </cell>
          <cell r="K88">
            <v>31.3</v>
          </cell>
          <cell r="L88">
            <v>34.299999999999997</v>
          </cell>
          <cell r="M88">
            <v>32.4</v>
          </cell>
          <cell r="N88">
            <v>33.799999999999997</v>
          </cell>
          <cell r="O88">
            <v>31.3</v>
          </cell>
        </row>
        <row r="89">
          <cell r="A89">
            <v>403</v>
          </cell>
          <cell r="B89">
            <v>2</v>
          </cell>
          <cell r="C89">
            <v>13.682</v>
          </cell>
          <cell r="D89">
            <v>31.8</v>
          </cell>
          <cell r="E89">
            <v>31.6</v>
          </cell>
          <cell r="F89">
            <v>32.9</v>
          </cell>
          <cell r="G89">
            <v>32.5</v>
          </cell>
          <cell r="H89">
            <v>32.1</v>
          </cell>
          <cell r="I89">
            <v>31.5</v>
          </cell>
          <cell r="J89">
            <v>31.8</v>
          </cell>
          <cell r="K89">
            <v>31.9</v>
          </cell>
          <cell r="L89">
            <v>31.7</v>
          </cell>
          <cell r="M89">
            <v>31.8</v>
          </cell>
          <cell r="N89">
            <v>32</v>
          </cell>
          <cell r="O89">
            <v>31.3</v>
          </cell>
        </row>
        <row r="90">
          <cell r="A90">
            <v>402</v>
          </cell>
          <cell r="B90">
            <v>1</v>
          </cell>
          <cell r="C90">
            <v>13.693</v>
          </cell>
          <cell r="D90">
            <v>49.2</v>
          </cell>
          <cell r="E90">
            <v>37.6</v>
          </cell>
          <cell r="F90">
            <v>32.6</v>
          </cell>
          <cell r="G90">
            <v>41.4</v>
          </cell>
          <cell r="H90">
            <v>38.700000000000003</v>
          </cell>
          <cell r="I90">
            <v>35.700000000000003</v>
          </cell>
          <cell r="J90">
            <v>34.1</v>
          </cell>
          <cell r="K90">
            <v>34.5</v>
          </cell>
          <cell r="L90">
            <v>34.799999999999997</v>
          </cell>
          <cell r="M90">
            <v>36.799999999999997</v>
          </cell>
          <cell r="N90">
            <v>39.6</v>
          </cell>
          <cell r="O90">
            <v>32.299999999999997</v>
          </cell>
        </row>
        <row r="91">
          <cell r="A91">
            <v>402</v>
          </cell>
          <cell r="B91">
            <v>2</v>
          </cell>
          <cell r="C91">
            <v>13.698</v>
          </cell>
          <cell r="D91">
            <v>31.1</v>
          </cell>
          <cell r="E91">
            <v>31.6</v>
          </cell>
          <cell r="F91">
            <v>31.8</v>
          </cell>
          <cell r="G91">
            <v>30.7</v>
          </cell>
          <cell r="H91">
            <v>31.7</v>
          </cell>
          <cell r="I91">
            <v>31.3</v>
          </cell>
          <cell r="J91">
            <v>30.8</v>
          </cell>
          <cell r="K91">
            <v>31.9</v>
          </cell>
          <cell r="L91">
            <v>30.8</v>
          </cell>
          <cell r="M91">
            <v>30.8</v>
          </cell>
          <cell r="N91">
            <v>30.4</v>
          </cell>
          <cell r="O91">
            <v>30.3</v>
          </cell>
        </row>
        <row r="92">
          <cell r="A92">
            <v>401</v>
          </cell>
          <cell r="B92">
            <v>1</v>
          </cell>
          <cell r="C92">
            <v>13.709</v>
          </cell>
          <cell r="D92">
            <v>57.6</v>
          </cell>
          <cell r="E92">
            <v>44.1</v>
          </cell>
          <cell r="F92">
            <v>54.5</v>
          </cell>
          <cell r="G92">
            <v>48</v>
          </cell>
          <cell r="H92">
            <v>54.8</v>
          </cell>
          <cell r="I92">
            <v>45.8</v>
          </cell>
          <cell r="J92">
            <v>47.2</v>
          </cell>
          <cell r="K92">
            <v>44.5</v>
          </cell>
          <cell r="L92">
            <v>55.7</v>
          </cell>
          <cell r="M92">
            <v>37.1</v>
          </cell>
          <cell r="N92">
            <v>49.8</v>
          </cell>
          <cell r="O92">
            <v>34.799999999999997</v>
          </cell>
        </row>
        <row r="93">
          <cell r="A93">
            <v>401</v>
          </cell>
          <cell r="B93">
            <v>2</v>
          </cell>
          <cell r="C93">
            <v>13.712999999999999</v>
          </cell>
          <cell r="D93">
            <v>32.299999999999997</v>
          </cell>
          <cell r="E93">
            <v>32.9</v>
          </cell>
          <cell r="F93">
            <v>34</v>
          </cell>
          <cell r="G93">
            <v>32.700000000000003</v>
          </cell>
          <cell r="H93">
            <v>36.1</v>
          </cell>
          <cell r="I93">
            <v>35.299999999999997</v>
          </cell>
          <cell r="J93">
            <v>33.299999999999997</v>
          </cell>
          <cell r="K93">
            <v>33.700000000000003</v>
          </cell>
          <cell r="L93">
            <v>32.1</v>
          </cell>
          <cell r="M93">
            <v>33.1</v>
          </cell>
          <cell r="N93">
            <v>32.5</v>
          </cell>
          <cell r="O93">
            <v>33.9</v>
          </cell>
        </row>
      </sheetData>
      <sheetData sheetId="2">
        <row r="7">
          <cell r="C7">
            <v>196</v>
          </cell>
        </row>
        <row r="10">
          <cell r="C10">
            <v>5481</v>
          </cell>
        </row>
        <row r="20">
          <cell r="C20">
            <v>5</v>
          </cell>
        </row>
        <row r="25">
          <cell r="E25">
            <v>43.7</v>
          </cell>
        </row>
        <row r="29">
          <cell r="E29">
            <v>7.8805699213106051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'IA197.03R'</v>
          </cell>
        </row>
        <row r="14">
          <cell r="A14">
            <v>108</v>
          </cell>
          <cell r="B14">
            <v>1</v>
          </cell>
          <cell r="C14">
            <v>13.069000000000001</v>
          </cell>
          <cell r="D14">
            <v>34.5</v>
          </cell>
          <cell r="E14">
            <v>32.700000000000003</v>
          </cell>
          <cell r="F14">
            <v>30.5</v>
          </cell>
          <cell r="G14">
            <v>31.5</v>
          </cell>
          <cell r="H14">
            <v>30.7</v>
          </cell>
          <cell r="I14">
            <v>31.9</v>
          </cell>
          <cell r="J14">
            <v>36.200000000000003</v>
          </cell>
          <cell r="K14">
            <v>32.200000000000003</v>
          </cell>
          <cell r="L14">
            <v>30</v>
          </cell>
          <cell r="M14">
            <v>31.2</v>
          </cell>
          <cell r="N14">
            <v>33.9</v>
          </cell>
          <cell r="O14">
            <v>31.8</v>
          </cell>
        </row>
        <row r="15">
          <cell r="A15">
            <v>108</v>
          </cell>
          <cell r="B15">
            <v>2</v>
          </cell>
          <cell r="C15">
            <v>13.074</v>
          </cell>
          <cell r="D15">
            <v>29.8</v>
          </cell>
          <cell r="E15">
            <v>29.8</v>
          </cell>
          <cell r="F15">
            <v>29.3</v>
          </cell>
          <cell r="G15">
            <v>29.5</v>
          </cell>
          <cell r="H15">
            <v>29.8</v>
          </cell>
          <cell r="I15">
            <v>30.5</v>
          </cell>
          <cell r="J15">
            <v>30.5</v>
          </cell>
          <cell r="K15">
            <v>30.9</v>
          </cell>
          <cell r="L15">
            <v>31.5</v>
          </cell>
          <cell r="M15">
            <v>30.7</v>
          </cell>
          <cell r="N15">
            <v>29.4</v>
          </cell>
          <cell r="O15">
            <v>30.2</v>
          </cell>
        </row>
        <row r="16">
          <cell r="A16">
            <v>107</v>
          </cell>
          <cell r="B16">
            <v>1</v>
          </cell>
          <cell r="C16">
            <v>13.087</v>
          </cell>
          <cell r="D16">
            <v>36.6</v>
          </cell>
          <cell r="E16">
            <v>31.4</v>
          </cell>
          <cell r="F16">
            <v>34.700000000000003</v>
          </cell>
          <cell r="G16">
            <v>30.6</v>
          </cell>
          <cell r="H16">
            <v>30.6</v>
          </cell>
          <cell r="I16">
            <v>33.9</v>
          </cell>
          <cell r="J16">
            <v>32.299999999999997</v>
          </cell>
          <cell r="K16">
            <v>29.7</v>
          </cell>
          <cell r="L16">
            <v>32.4</v>
          </cell>
          <cell r="M16">
            <v>33</v>
          </cell>
          <cell r="N16">
            <v>29.9</v>
          </cell>
          <cell r="O16">
            <v>33.799999999999997</v>
          </cell>
        </row>
        <row r="17">
          <cell r="A17">
            <v>107</v>
          </cell>
          <cell r="B17">
            <v>2</v>
          </cell>
          <cell r="C17">
            <v>13.092000000000001</v>
          </cell>
          <cell r="D17">
            <v>28.1</v>
          </cell>
          <cell r="E17">
            <v>27.7</v>
          </cell>
          <cell r="F17">
            <v>28.7</v>
          </cell>
          <cell r="G17">
            <v>28</v>
          </cell>
          <cell r="H17">
            <v>27.7</v>
          </cell>
          <cell r="I17">
            <v>27.9</v>
          </cell>
          <cell r="J17">
            <v>31.4</v>
          </cell>
          <cell r="K17">
            <v>29</v>
          </cell>
          <cell r="L17">
            <v>30.6</v>
          </cell>
          <cell r="M17">
            <v>28.8</v>
          </cell>
          <cell r="N17">
            <v>30.6</v>
          </cell>
          <cell r="O17">
            <v>30</v>
          </cell>
        </row>
        <row r="18">
          <cell r="A18">
            <v>106</v>
          </cell>
          <cell r="B18">
            <v>1</v>
          </cell>
          <cell r="C18">
            <v>13.103999999999999</v>
          </cell>
          <cell r="D18">
            <v>35.1</v>
          </cell>
          <cell r="E18">
            <v>30.6</v>
          </cell>
          <cell r="F18">
            <v>30.1</v>
          </cell>
          <cell r="G18">
            <v>31.1</v>
          </cell>
          <cell r="H18">
            <v>31.1</v>
          </cell>
          <cell r="I18">
            <v>31</v>
          </cell>
          <cell r="J18">
            <v>32.299999999999997</v>
          </cell>
          <cell r="K18">
            <v>31.7</v>
          </cell>
          <cell r="L18">
            <v>32.9</v>
          </cell>
          <cell r="M18">
            <v>30.7</v>
          </cell>
          <cell r="N18">
            <v>35.5</v>
          </cell>
          <cell r="O18">
            <v>30.9</v>
          </cell>
        </row>
        <row r="19">
          <cell r="A19">
            <v>106</v>
          </cell>
          <cell r="B19">
            <v>2</v>
          </cell>
          <cell r="C19">
            <v>13.108000000000001</v>
          </cell>
          <cell r="D19">
            <v>30.7</v>
          </cell>
          <cell r="E19">
            <v>29.7</v>
          </cell>
          <cell r="F19">
            <v>30.3</v>
          </cell>
          <cell r="G19">
            <v>29.2</v>
          </cell>
          <cell r="H19">
            <v>29.2</v>
          </cell>
          <cell r="I19">
            <v>28.7</v>
          </cell>
          <cell r="J19">
            <v>27.7</v>
          </cell>
          <cell r="K19">
            <v>30</v>
          </cell>
          <cell r="L19">
            <v>31.7</v>
          </cell>
          <cell r="M19">
            <v>30.8</v>
          </cell>
          <cell r="N19">
            <v>31.3</v>
          </cell>
          <cell r="O19">
            <v>31.1</v>
          </cell>
        </row>
        <row r="20">
          <cell r="A20">
            <v>105</v>
          </cell>
          <cell r="B20">
            <v>1</v>
          </cell>
          <cell r="C20">
            <v>13.121</v>
          </cell>
          <cell r="D20">
            <v>31.2</v>
          </cell>
          <cell r="E20">
            <v>30.2</v>
          </cell>
          <cell r="F20">
            <v>30.2</v>
          </cell>
          <cell r="G20">
            <v>31.8</v>
          </cell>
          <cell r="H20">
            <v>31.6</v>
          </cell>
          <cell r="I20">
            <v>31.7</v>
          </cell>
          <cell r="J20">
            <v>30.5</v>
          </cell>
          <cell r="K20">
            <v>32.299999999999997</v>
          </cell>
          <cell r="L20">
            <v>29.4</v>
          </cell>
          <cell r="M20">
            <v>34.299999999999997</v>
          </cell>
          <cell r="N20">
            <v>30.1</v>
          </cell>
          <cell r="O20">
            <v>31.1</v>
          </cell>
        </row>
        <row r="21">
          <cell r="A21">
            <v>105</v>
          </cell>
          <cell r="B21">
            <v>2</v>
          </cell>
          <cell r="C21">
            <v>13.125999999999999</v>
          </cell>
          <cell r="D21">
            <v>30.1</v>
          </cell>
          <cell r="E21">
            <v>29.8</v>
          </cell>
          <cell r="F21">
            <v>30.7</v>
          </cell>
          <cell r="G21">
            <v>30.5</v>
          </cell>
          <cell r="H21">
            <v>30.2</v>
          </cell>
          <cell r="I21">
            <v>32</v>
          </cell>
          <cell r="J21">
            <v>33.5</v>
          </cell>
          <cell r="K21">
            <v>32.6</v>
          </cell>
          <cell r="L21">
            <v>31.4</v>
          </cell>
          <cell r="M21">
            <v>32.1</v>
          </cell>
          <cell r="N21">
            <v>32.299999999999997</v>
          </cell>
          <cell r="O21">
            <v>33.799999999999997</v>
          </cell>
        </row>
        <row r="22">
          <cell r="A22">
            <v>104</v>
          </cell>
          <cell r="B22">
            <v>1</v>
          </cell>
          <cell r="C22">
            <v>13.138999999999999</v>
          </cell>
          <cell r="D22">
            <v>35.200000000000003</v>
          </cell>
          <cell r="E22">
            <v>32</v>
          </cell>
          <cell r="F22">
            <v>30.7</v>
          </cell>
          <cell r="G22">
            <v>30.1</v>
          </cell>
          <cell r="H22">
            <v>30.3</v>
          </cell>
          <cell r="I22">
            <v>31.5</v>
          </cell>
          <cell r="J22">
            <v>32.700000000000003</v>
          </cell>
          <cell r="K22">
            <v>30.1</v>
          </cell>
          <cell r="L22">
            <v>33.1</v>
          </cell>
          <cell r="M22">
            <v>29.5</v>
          </cell>
          <cell r="N22">
            <v>34.799999999999997</v>
          </cell>
          <cell r="O22">
            <v>28.6</v>
          </cell>
        </row>
        <row r="23">
          <cell r="A23">
            <v>104</v>
          </cell>
          <cell r="B23">
            <v>2</v>
          </cell>
          <cell r="C23">
            <v>13.143000000000001</v>
          </cell>
          <cell r="D23">
            <v>28.9</v>
          </cell>
          <cell r="E23">
            <v>26.7</v>
          </cell>
          <cell r="F23">
            <v>27.8</v>
          </cell>
          <cell r="G23">
            <v>28.2</v>
          </cell>
          <cell r="H23">
            <v>29.6</v>
          </cell>
          <cell r="I23">
            <v>28.8</v>
          </cell>
          <cell r="J23">
            <v>28.9</v>
          </cell>
          <cell r="K23">
            <v>29</v>
          </cell>
          <cell r="L23">
            <v>27.4</v>
          </cell>
          <cell r="M23">
            <v>28</v>
          </cell>
          <cell r="N23">
            <v>28.9</v>
          </cell>
          <cell r="O23">
            <v>26.5</v>
          </cell>
        </row>
        <row r="24">
          <cell r="A24">
            <v>103</v>
          </cell>
          <cell r="B24">
            <v>1</v>
          </cell>
          <cell r="C24">
            <v>13.156000000000001</v>
          </cell>
          <cell r="D24">
            <v>32.299999999999997</v>
          </cell>
          <cell r="E24">
            <v>29.2</v>
          </cell>
          <cell r="F24">
            <v>29.1</v>
          </cell>
          <cell r="G24">
            <v>31.2</v>
          </cell>
          <cell r="H24">
            <v>28.9</v>
          </cell>
          <cell r="I24">
            <v>30.3</v>
          </cell>
          <cell r="J24">
            <v>28.6</v>
          </cell>
          <cell r="K24">
            <v>31.4</v>
          </cell>
          <cell r="L24">
            <v>29.2</v>
          </cell>
          <cell r="M24">
            <v>32.5</v>
          </cell>
          <cell r="N24">
            <v>32.200000000000003</v>
          </cell>
          <cell r="O24">
            <v>31.6</v>
          </cell>
        </row>
        <row r="25">
          <cell r="A25">
            <v>103</v>
          </cell>
          <cell r="B25">
            <v>2</v>
          </cell>
          <cell r="C25">
            <v>13.16</v>
          </cell>
          <cell r="D25">
            <v>30.5</v>
          </cell>
          <cell r="E25">
            <v>30.3</v>
          </cell>
          <cell r="F25">
            <v>30.8</v>
          </cell>
          <cell r="G25">
            <v>30.4</v>
          </cell>
          <cell r="H25">
            <v>29.6</v>
          </cell>
          <cell r="I25">
            <v>29.2</v>
          </cell>
          <cell r="J25">
            <v>30.6</v>
          </cell>
          <cell r="K25">
            <v>30</v>
          </cell>
          <cell r="L25">
            <v>29.1</v>
          </cell>
          <cell r="M25">
            <v>29.6</v>
          </cell>
          <cell r="N25">
            <v>28.1</v>
          </cell>
          <cell r="O25">
            <v>27.8</v>
          </cell>
        </row>
        <row r="26">
          <cell r="A26">
            <v>102</v>
          </cell>
          <cell r="B26">
            <v>1</v>
          </cell>
          <cell r="C26">
            <v>13.173</v>
          </cell>
          <cell r="D26">
            <v>39.299999999999997</v>
          </cell>
          <cell r="E26">
            <v>31</v>
          </cell>
          <cell r="F26">
            <v>33.200000000000003</v>
          </cell>
          <cell r="G26">
            <v>34.9</v>
          </cell>
          <cell r="H26">
            <v>29.6</v>
          </cell>
          <cell r="I26">
            <v>40.299999999999997</v>
          </cell>
          <cell r="J26">
            <v>30.5</v>
          </cell>
          <cell r="K26">
            <v>39.4</v>
          </cell>
          <cell r="L26">
            <v>30.3</v>
          </cell>
          <cell r="M26">
            <v>39.700000000000003</v>
          </cell>
          <cell r="N26">
            <v>30</v>
          </cell>
          <cell r="O26">
            <v>32.200000000000003</v>
          </cell>
        </row>
        <row r="27">
          <cell r="A27">
            <v>102</v>
          </cell>
          <cell r="B27">
            <v>2</v>
          </cell>
          <cell r="C27">
            <v>13.178000000000001</v>
          </cell>
          <cell r="D27">
            <v>29.9</v>
          </cell>
          <cell r="E27">
            <v>28.6</v>
          </cell>
          <cell r="F27">
            <v>28</v>
          </cell>
          <cell r="G27">
            <v>29.9</v>
          </cell>
          <cell r="H27">
            <v>28.5</v>
          </cell>
          <cell r="I27">
            <v>30.2</v>
          </cell>
          <cell r="J27">
            <v>32.5</v>
          </cell>
          <cell r="K27">
            <v>31.7</v>
          </cell>
          <cell r="L27">
            <v>29.1</v>
          </cell>
          <cell r="M27">
            <v>30</v>
          </cell>
          <cell r="N27">
            <v>29.9</v>
          </cell>
          <cell r="O27">
            <v>31.3</v>
          </cell>
        </row>
        <row r="28">
          <cell r="A28">
            <v>101</v>
          </cell>
          <cell r="B28">
            <v>1</v>
          </cell>
          <cell r="C28">
            <v>13.191000000000001</v>
          </cell>
          <cell r="D28">
            <v>42.2</v>
          </cell>
          <cell r="E28">
            <v>37.799999999999997</v>
          </cell>
          <cell r="F28">
            <v>31.4</v>
          </cell>
          <cell r="G28">
            <v>37.200000000000003</v>
          </cell>
          <cell r="H28">
            <v>32.299999999999997</v>
          </cell>
          <cell r="I28">
            <v>33.9</v>
          </cell>
          <cell r="J28">
            <v>30</v>
          </cell>
          <cell r="K28">
            <v>34.799999999999997</v>
          </cell>
          <cell r="L28">
            <v>32.200000000000003</v>
          </cell>
          <cell r="M28">
            <v>35.1</v>
          </cell>
          <cell r="N28">
            <v>36.200000000000003</v>
          </cell>
          <cell r="O28">
            <v>32.700000000000003</v>
          </cell>
        </row>
        <row r="29">
          <cell r="A29">
            <v>101</v>
          </cell>
          <cell r="B29">
            <v>2</v>
          </cell>
          <cell r="C29">
            <v>13.195</v>
          </cell>
          <cell r="D29">
            <v>30.9</v>
          </cell>
          <cell r="E29">
            <v>31.7</v>
          </cell>
          <cell r="F29">
            <v>32.299999999999997</v>
          </cell>
          <cell r="G29">
            <v>32.200000000000003</v>
          </cell>
          <cell r="H29">
            <v>31.4</v>
          </cell>
          <cell r="I29">
            <v>32</v>
          </cell>
          <cell r="J29">
            <v>31</v>
          </cell>
          <cell r="K29">
            <v>31.2</v>
          </cell>
          <cell r="L29">
            <v>32.9</v>
          </cell>
          <cell r="M29">
            <v>32.4</v>
          </cell>
          <cell r="N29">
            <v>33.1</v>
          </cell>
          <cell r="O29">
            <v>33.5</v>
          </cell>
        </row>
        <row r="30">
          <cell r="A30">
            <v>201</v>
          </cell>
          <cell r="B30">
            <v>1</v>
          </cell>
          <cell r="C30">
            <v>13.212</v>
          </cell>
          <cell r="D30">
            <v>32.6</v>
          </cell>
          <cell r="E30">
            <v>31.7</v>
          </cell>
          <cell r="F30">
            <v>33.1</v>
          </cell>
          <cell r="G30">
            <v>31.4</v>
          </cell>
          <cell r="H30">
            <v>30.2</v>
          </cell>
          <cell r="I30">
            <v>31.7</v>
          </cell>
          <cell r="J30">
            <v>31.2</v>
          </cell>
          <cell r="K30">
            <v>31.9</v>
          </cell>
          <cell r="L30">
            <v>31.1</v>
          </cell>
          <cell r="M30">
            <v>30.5</v>
          </cell>
          <cell r="N30">
            <v>30.6</v>
          </cell>
          <cell r="O30">
            <v>31</v>
          </cell>
        </row>
        <row r="31">
          <cell r="A31">
            <v>201</v>
          </cell>
          <cell r="B31">
            <v>2</v>
          </cell>
          <cell r="C31">
            <v>13.217000000000001</v>
          </cell>
          <cell r="D31">
            <v>29.4</v>
          </cell>
          <cell r="E31">
            <v>31.4</v>
          </cell>
          <cell r="F31">
            <v>30.1</v>
          </cell>
          <cell r="G31">
            <v>30.2</v>
          </cell>
          <cell r="H31">
            <v>29.8</v>
          </cell>
          <cell r="I31">
            <v>31</v>
          </cell>
          <cell r="J31">
            <v>32</v>
          </cell>
          <cell r="K31">
            <v>31.3</v>
          </cell>
          <cell r="L31">
            <v>32.1</v>
          </cell>
          <cell r="M31">
            <v>30</v>
          </cell>
          <cell r="N31">
            <v>30.9</v>
          </cell>
          <cell r="O31">
            <v>31.4</v>
          </cell>
        </row>
        <row r="32">
          <cell r="A32">
            <v>202</v>
          </cell>
          <cell r="B32">
            <v>1</v>
          </cell>
          <cell r="C32">
            <v>13.228999999999999</v>
          </cell>
          <cell r="D32">
            <v>35</v>
          </cell>
          <cell r="E32">
            <v>34.200000000000003</v>
          </cell>
          <cell r="F32">
            <v>33.799999999999997</v>
          </cell>
          <cell r="G32">
            <v>31.7</v>
          </cell>
          <cell r="H32">
            <v>33.5</v>
          </cell>
          <cell r="I32">
            <v>31.4</v>
          </cell>
          <cell r="J32">
            <v>33.5</v>
          </cell>
          <cell r="K32">
            <v>34</v>
          </cell>
          <cell r="L32">
            <v>34.1</v>
          </cell>
          <cell r="M32">
            <v>32.6</v>
          </cell>
          <cell r="N32">
            <v>31.8</v>
          </cell>
          <cell r="O32">
            <v>30.7</v>
          </cell>
        </row>
        <row r="33">
          <cell r="A33">
            <v>202</v>
          </cell>
          <cell r="B33">
            <v>2</v>
          </cell>
          <cell r="C33">
            <v>13.233000000000001</v>
          </cell>
          <cell r="D33">
            <v>29</v>
          </cell>
          <cell r="E33">
            <v>29.4</v>
          </cell>
          <cell r="F33">
            <v>30.1</v>
          </cell>
          <cell r="G33">
            <v>28.6</v>
          </cell>
          <cell r="H33">
            <v>29.4</v>
          </cell>
          <cell r="I33">
            <v>28.9</v>
          </cell>
          <cell r="J33">
            <v>30.4</v>
          </cell>
          <cell r="K33">
            <v>29.5</v>
          </cell>
          <cell r="L33">
            <v>31.5</v>
          </cell>
          <cell r="M33">
            <v>30.1</v>
          </cell>
          <cell r="N33">
            <v>30</v>
          </cell>
          <cell r="O33">
            <v>29.7</v>
          </cell>
        </row>
        <row r="34">
          <cell r="A34">
            <v>203</v>
          </cell>
          <cell r="B34">
            <v>1</v>
          </cell>
          <cell r="C34">
            <v>13.244999999999999</v>
          </cell>
          <cell r="D34">
            <v>32.9</v>
          </cell>
          <cell r="E34">
            <v>33.700000000000003</v>
          </cell>
          <cell r="F34">
            <v>31.6</v>
          </cell>
          <cell r="G34">
            <v>33</v>
          </cell>
          <cell r="H34">
            <v>30.8</v>
          </cell>
          <cell r="I34">
            <v>31.2</v>
          </cell>
          <cell r="J34">
            <v>35.9</v>
          </cell>
          <cell r="K34">
            <v>31.1</v>
          </cell>
          <cell r="L34">
            <v>38.4</v>
          </cell>
          <cell r="M34">
            <v>29.6</v>
          </cell>
          <cell r="N34">
            <v>32.299999999999997</v>
          </cell>
          <cell r="O34">
            <v>29.3</v>
          </cell>
        </row>
        <row r="35">
          <cell r="A35">
            <v>203</v>
          </cell>
          <cell r="B35">
            <v>2</v>
          </cell>
          <cell r="C35">
            <v>13.25</v>
          </cell>
          <cell r="D35">
            <v>29.5</v>
          </cell>
          <cell r="E35">
            <v>28.9</v>
          </cell>
          <cell r="F35">
            <v>29.4</v>
          </cell>
          <cell r="G35">
            <v>29.2</v>
          </cell>
          <cell r="H35">
            <v>28.7</v>
          </cell>
          <cell r="I35">
            <v>30.3</v>
          </cell>
          <cell r="J35">
            <v>29.1</v>
          </cell>
          <cell r="K35">
            <v>29.1</v>
          </cell>
          <cell r="L35">
            <v>27.6</v>
          </cell>
          <cell r="M35">
            <v>27.9</v>
          </cell>
          <cell r="N35">
            <v>28.1</v>
          </cell>
          <cell r="O35">
            <v>27.4</v>
          </cell>
        </row>
        <row r="36">
          <cell r="A36">
            <v>204</v>
          </cell>
          <cell r="B36">
            <v>1</v>
          </cell>
          <cell r="C36">
            <v>13.263</v>
          </cell>
          <cell r="D36">
            <v>27.2</v>
          </cell>
          <cell r="E36">
            <v>27.7</v>
          </cell>
          <cell r="F36">
            <v>27.6</v>
          </cell>
          <cell r="G36">
            <v>27.6</v>
          </cell>
          <cell r="H36">
            <v>27.6</v>
          </cell>
          <cell r="I36">
            <v>28.3</v>
          </cell>
          <cell r="J36">
            <v>28.5</v>
          </cell>
          <cell r="K36">
            <v>29.2</v>
          </cell>
          <cell r="L36">
            <v>27.9</v>
          </cell>
          <cell r="M36">
            <v>29.9</v>
          </cell>
          <cell r="N36">
            <v>29.2</v>
          </cell>
          <cell r="O36">
            <v>29.7</v>
          </cell>
        </row>
        <row r="37">
          <cell r="A37">
            <v>204</v>
          </cell>
          <cell r="B37">
            <v>2</v>
          </cell>
          <cell r="C37">
            <v>13.266999999999999</v>
          </cell>
          <cell r="D37">
            <v>28.2</v>
          </cell>
          <cell r="E37">
            <v>27.8</v>
          </cell>
          <cell r="F37">
            <v>27.8</v>
          </cell>
          <cell r="G37">
            <v>29.7</v>
          </cell>
          <cell r="H37">
            <v>28.1</v>
          </cell>
          <cell r="I37">
            <v>27.1</v>
          </cell>
          <cell r="J37">
            <v>27.3</v>
          </cell>
          <cell r="K37">
            <v>29.7</v>
          </cell>
          <cell r="L37">
            <v>26.9</v>
          </cell>
          <cell r="M37">
            <v>27.6</v>
          </cell>
          <cell r="N37">
            <v>27.8</v>
          </cell>
          <cell r="O37">
            <v>30</v>
          </cell>
        </row>
        <row r="38">
          <cell r="A38">
            <v>205</v>
          </cell>
          <cell r="B38">
            <v>1</v>
          </cell>
          <cell r="C38">
            <v>13.279</v>
          </cell>
          <cell r="D38">
            <v>34.9</v>
          </cell>
          <cell r="E38">
            <v>30.9</v>
          </cell>
          <cell r="F38">
            <v>31.2</v>
          </cell>
          <cell r="G38">
            <v>28.4</v>
          </cell>
          <cell r="H38">
            <v>28.7</v>
          </cell>
          <cell r="I38">
            <v>29.7</v>
          </cell>
          <cell r="J38">
            <v>29.6</v>
          </cell>
          <cell r="K38">
            <v>33.5</v>
          </cell>
          <cell r="L38">
            <v>31.2</v>
          </cell>
          <cell r="M38">
            <v>28.9</v>
          </cell>
          <cell r="N38">
            <v>28.9</v>
          </cell>
          <cell r="O38">
            <v>30.8</v>
          </cell>
        </row>
        <row r="39">
          <cell r="A39">
            <v>205</v>
          </cell>
          <cell r="B39">
            <v>2</v>
          </cell>
          <cell r="C39">
            <v>13.284000000000001</v>
          </cell>
          <cell r="D39">
            <v>29.2</v>
          </cell>
          <cell r="E39">
            <v>29</v>
          </cell>
          <cell r="F39">
            <v>28.3</v>
          </cell>
          <cell r="G39">
            <v>26.8</v>
          </cell>
          <cell r="H39">
            <v>29.6</v>
          </cell>
          <cell r="I39">
            <v>28.5</v>
          </cell>
          <cell r="J39">
            <v>28.9</v>
          </cell>
          <cell r="K39">
            <v>28.2</v>
          </cell>
          <cell r="L39">
            <v>28.6</v>
          </cell>
          <cell r="M39">
            <v>29.7</v>
          </cell>
          <cell r="N39">
            <v>29.2</v>
          </cell>
          <cell r="O39">
            <v>30.2</v>
          </cell>
        </row>
        <row r="40">
          <cell r="A40">
            <v>206</v>
          </cell>
          <cell r="B40">
            <v>1</v>
          </cell>
          <cell r="C40">
            <v>13.295999999999999</v>
          </cell>
          <cell r="D40">
            <v>33.200000000000003</v>
          </cell>
          <cell r="E40">
            <v>37.299999999999997</v>
          </cell>
          <cell r="F40">
            <v>32.200000000000003</v>
          </cell>
          <cell r="G40">
            <v>35.700000000000003</v>
          </cell>
          <cell r="H40">
            <v>32.4</v>
          </cell>
          <cell r="I40">
            <v>34.700000000000003</v>
          </cell>
          <cell r="J40">
            <v>33</v>
          </cell>
          <cell r="K40">
            <v>31.8</v>
          </cell>
          <cell r="L40">
            <v>33.700000000000003</v>
          </cell>
          <cell r="M40">
            <v>33</v>
          </cell>
          <cell r="N40">
            <v>36.299999999999997</v>
          </cell>
          <cell r="O40">
            <v>32.700000000000003</v>
          </cell>
        </row>
        <row r="41">
          <cell r="A41">
            <v>206</v>
          </cell>
          <cell r="B41">
            <v>2</v>
          </cell>
          <cell r="C41">
            <v>13.3</v>
          </cell>
          <cell r="D41">
            <v>28.7</v>
          </cell>
          <cell r="E41">
            <v>28</v>
          </cell>
          <cell r="F41">
            <v>28.2</v>
          </cell>
          <cell r="G41">
            <v>27.8</v>
          </cell>
          <cell r="H41">
            <v>28.7</v>
          </cell>
          <cell r="I41">
            <v>28.6</v>
          </cell>
          <cell r="J41">
            <v>29.8</v>
          </cell>
          <cell r="K41">
            <v>28.1</v>
          </cell>
          <cell r="L41">
            <v>29.4</v>
          </cell>
          <cell r="M41">
            <v>29.3</v>
          </cell>
          <cell r="N41">
            <v>29.4</v>
          </cell>
          <cell r="O41">
            <v>27.9</v>
          </cell>
        </row>
        <row r="42">
          <cell r="A42">
            <v>207</v>
          </cell>
          <cell r="B42">
            <v>1</v>
          </cell>
          <cell r="C42">
            <v>13.311999999999999</v>
          </cell>
          <cell r="D42">
            <v>34.299999999999997</v>
          </cell>
          <cell r="E42">
            <v>31.4</v>
          </cell>
          <cell r="F42">
            <v>31.9</v>
          </cell>
          <cell r="G42">
            <v>30</v>
          </cell>
          <cell r="H42">
            <v>29.2</v>
          </cell>
          <cell r="I42">
            <v>32.4</v>
          </cell>
          <cell r="J42">
            <v>28.7</v>
          </cell>
          <cell r="K42">
            <v>30</v>
          </cell>
          <cell r="L42">
            <v>29.5</v>
          </cell>
          <cell r="M42">
            <v>29.1</v>
          </cell>
          <cell r="N42">
            <v>33.700000000000003</v>
          </cell>
          <cell r="O42">
            <v>29.7</v>
          </cell>
        </row>
        <row r="43">
          <cell r="A43">
            <v>207</v>
          </cell>
          <cell r="B43">
            <v>2</v>
          </cell>
          <cell r="C43">
            <v>13.317</v>
          </cell>
          <cell r="D43">
            <v>27.9</v>
          </cell>
          <cell r="E43">
            <v>27.3</v>
          </cell>
          <cell r="F43">
            <v>28.6</v>
          </cell>
          <cell r="G43">
            <v>28.2</v>
          </cell>
          <cell r="H43">
            <v>28.4</v>
          </cell>
          <cell r="I43">
            <v>28.4</v>
          </cell>
          <cell r="J43">
            <v>28</v>
          </cell>
          <cell r="K43">
            <v>28.1</v>
          </cell>
          <cell r="L43">
            <v>28.5</v>
          </cell>
          <cell r="M43">
            <v>28.4</v>
          </cell>
          <cell r="N43">
            <v>27.4</v>
          </cell>
          <cell r="O43">
            <v>28.8</v>
          </cell>
        </row>
        <row r="44">
          <cell r="A44">
            <v>208</v>
          </cell>
          <cell r="B44">
            <v>1</v>
          </cell>
          <cell r="C44">
            <v>13.327999999999999</v>
          </cell>
          <cell r="D44">
            <v>36.6</v>
          </cell>
          <cell r="E44">
            <v>31.9</v>
          </cell>
          <cell r="F44">
            <v>30.7</v>
          </cell>
          <cell r="G44">
            <v>32</v>
          </cell>
          <cell r="H44">
            <v>30.4</v>
          </cell>
          <cell r="I44">
            <v>35.799999999999997</v>
          </cell>
          <cell r="J44">
            <v>30.7</v>
          </cell>
          <cell r="K44">
            <v>34.4</v>
          </cell>
          <cell r="L44">
            <v>32.700000000000003</v>
          </cell>
          <cell r="M44">
            <v>33</v>
          </cell>
          <cell r="N44">
            <v>31.4</v>
          </cell>
          <cell r="O44">
            <v>30.6</v>
          </cell>
        </row>
        <row r="45">
          <cell r="A45">
            <v>208</v>
          </cell>
          <cell r="B45">
            <v>2</v>
          </cell>
          <cell r="C45">
            <v>13.333</v>
          </cell>
          <cell r="D45">
            <v>29.2</v>
          </cell>
          <cell r="E45">
            <v>28.5</v>
          </cell>
          <cell r="F45">
            <v>28.2</v>
          </cell>
          <cell r="G45">
            <v>30.4</v>
          </cell>
          <cell r="H45">
            <v>28.9</v>
          </cell>
          <cell r="I45">
            <v>28.8</v>
          </cell>
          <cell r="J45">
            <v>29.6</v>
          </cell>
          <cell r="K45">
            <v>30</v>
          </cell>
          <cell r="L45">
            <v>30.2</v>
          </cell>
          <cell r="M45">
            <v>29.4</v>
          </cell>
          <cell r="N45">
            <v>29.9</v>
          </cell>
          <cell r="O45">
            <v>30.3</v>
          </cell>
        </row>
        <row r="46">
          <cell r="A46">
            <v>908</v>
          </cell>
          <cell r="B46">
            <v>1</v>
          </cell>
          <cell r="C46">
            <v>13.349</v>
          </cell>
          <cell r="D46">
            <v>37.700000000000003</v>
          </cell>
          <cell r="E46">
            <v>33.6</v>
          </cell>
          <cell r="F46">
            <v>32.6</v>
          </cell>
          <cell r="G46">
            <v>35.1</v>
          </cell>
          <cell r="H46">
            <v>37.799999999999997</v>
          </cell>
          <cell r="I46">
            <v>34.700000000000003</v>
          </cell>
          <cell r="J46">
            <v>37</v>
          </cell>
          <cell r="K46">
            <v>32.1</v>
          </cell>
          <cell r="L46">
            <v>37</v>
          </cell>
          <cell r="M46">
            <v>32.700000000000003</v>
          </cell>
          <cell r="N46">
            <v>38.5</v>
          </cell>
          <cell r="O46">
            <v>30.6</v>
          </cell>
        </row>
        <row r="47">
          <cell r="A47">
            <v>908</v>
          </cell>
          <cell r="B47">
            <v>2</v>
          </cell>
          <cell r="C47">
            <v>13.353</v>
          </cell>
          <cell r="D47">
            <v>28.7</v>
          </cell>
          <cell r="E47">
            <v>29.6</v>
          </cell>
          <cell r="F47">
            <v>29.1</v>
          </cell>
          <cell r="G47">
            <v>28.8</v>
          </cell>
          <cell r="H47">
            <v>28.1</v>
          </cell>
          <cell r="I47">
            <v>28.7</v>
          </cell>
          <cell r="J47">
            <v>28.7</v>
          </cell>
          <cell r="K47">
            <v>28.7</v>
          </cell>
          <cell r="L47">
            <v>29.1</v>
          </cell>
          <cell r="M47">
            <v>29.4</v>
          </cell>
          <cell r="N47">
            <v>29.1</v>
          </cell>
          <cell r="O47">
            <v>29.1</v>
          </cell>
        </row>
        <row r="48">
          <cell r="A48">
            <v>907</v>
          </cell>
          <cell r="B48">
            <v>1</v>
          </cell>
          <cell r="C48">
            <v>13.365</v>
          </cell>
          <cell r="D48">
            <v>67.400000000000006</v>
          </cell>
          <cell r="E48">
            <v>68</v>
          </cell>
          <cell r="F48">
            <v>67.900000000000006</v>
          </cell>
          <cell r="G48">
            <v>67.8</v>
          </cell>
          <cell r="H48">
            <v>67.400000000000006</v>
          </cell>
          <cell r="I48">
            <v>67.8</v>
          </cell>
          <cell r="J48">
            <v>67.099999999999994</v>
          </cell>
          <cell r="K48">
            <v>67.2</v>
          </cell>
          <cell r="L48">
            <v>68.400000000000006</v>
          </cell>
          <cell r="M48">
            <v>68.400000000000006</v>
          </cell>
          <cell r="N48">
            <v>68.599999999999994</v>
          </cell>
          <cell r="O48">
            <v>67.5</v>
          </cell>
        </row>
        <row r="50">
          <cell r="A50">
            <v>906</v>
          </cell>
          <cell r="B50">
            <v>1</v>
          </cell>
          <cell r="C50">
            <v>13.374000000000001</v>
          </cell>
          <cell r="D50">
            <v>50.4</v>
          </cell>
          <cell r="E50">
            <v>39.6</v>
          </cell>
          <cell r="F50">
            <v>41.2</v>
          </cell>
          <cell r="G50">
            <v>41.4</v>
          </cell>
          <cell r="H50">
            <v>39.5</v>
          </cell>
          <cell r="I50">
            <v>48.8</v>
          </cell>
          <cell r="J50">
            <v>37.4</v>
          </cell>
          <cell r="K50">
            <v>47.8</v>
          </cell>
          <cell r="L50">
            <v>37.700000000000003</v>
          </cell>
          <cell r="M50">
            <v>44.9</v>
          </cell>
          <cell r="N50">
            <v>39.200000000000003</v>
          </cell>
          <cell r="O50">
            <v>35.4</v>
          </cell>
        </row>
        <row r="51">
          <cell r="A51">
            <v>906</v>
          </cell>
          <cell r="B51">
            <v>2</v>
          </cell>
          <cell r="C51">
            <v>13.379</v>
          </cell>
          <cell r="D51">
            <v>29.3</v>
          </cell>
          <cell r="E51">
            <v>32.700000000000003</v>
          </cell>
          <cell r="F51">
            <v>31.7</v>
          </cell>
          <cell r="G51">
            <v>35.200000000000003</v>
          </cell>
          <cell r="H51">
            <v>33.299999999999997</v>
          </cell>
          <cell r="I51">
            <v>34</v>
          </cell>
          <cell r="J51">
            <v>34.700000000000003</v>
          </cell>
          <cell r="K51">
            <v>35.1</v>
          </cell>
          <cell r="L51">
            <v>33.6</v>
          </cell>
          <cell r="M51">
            <v>34.799999999999997</v>
          </cell>
          <cell r="N51">
            <v>31.7</v>
          </cell>
          <cell r="O51">
            <v>32.799999999999997</v>
          </cell>
        </row>
        <row r="52">
          <cell r="A52">
            <v>905</v>
          </cell>
          <cell r="B52">
            <v>1</v>
          </cell>
          <cell r="C52">
            <v>13.391</v>
          </cell>
          <cell r="D52">
            <v>37</v>
          </cell>
          <cell r="E52">
            <v>37</v>
          </cell>
          <cell r="F52">
            <v>36.9</v>
          </cell>
          <cell r="G52">
            <v>37.200000000000003</v>
          </cell>
          <cell r="H52">
            <v>37.200000000000003</v>
          </cell>
          <cell r="I52">
            <v>37</v>
          </cell>
          <cell r="J52">
            <v>37.700000000000003</v>
          </cell>
          <cell r="K52">
            <v>37.6</v>
          </cell>
          <cell r="L52">
            <v>37.299999999999997</v>
          </cell>
          <cell r="M52">
            <v>37.4</v>
          </cell>
          <cell r="N52">
            <v>37.200000000000003</v>
          </cell>
          <cell r="O52">
            <v>37.200000000000003</v>
          </cell>
        </row>
        <row r="54">
          <cell r="A54">
            <v>904</v>
          </cell>
          <cell r="B54">
            <v>1</v>
          </cell>
          <cell r="C54">
            <v>13.398999999999999</v>
          </cell>
          <cell r="D54">
            <v>40.700000000000003</v>
          </cell>
          <cell r="E54">
            <v>32.1</v>
          </cell>
          <cell r="F54">
            <v>36.9</v>
          </cell>
          <cell r="G54">
            <v>31.4</v>
          </cell>
          <cell r="H54">
            <v>35.700000000000003</v>
          </cell>
          <cell r="I54">
            <v>33.700000000000003</v>
          </cell>
          <cell r="J54">
            <v>39</v>
          </cell>
          <cell r="K54">
            <v>32.1</v>
          </cell>
          <cell r="L54">
            <v>35.799999999999997</v>
          </cell>
          <cell r="M54">
            <v>36.4</v>
          </cell>
          <cell r="N54">
            <v>33.9</v>
          </cell>
          <cell r="O54">
            <v>35.6</v>
          </cell>
        </row>
        <row r="55">
          <cell r="A55">
            <v>904</v>
          </cell>
          <cell r="B55">
            <v>2</v>
          </cell>
          <cell r="C55">
            <v>13.404</v>
          </cell>
          <cell r="D55">
            <v>28.6</v>
          </cell>
          <cell r="E55">
            <v>29.6</v>
          </cell>
          <cell r="F55">
            <v>28.2</v>
          </cell>
          <cell r="G55">
            <v>30.2</v>
          </cell>
          <cell r="H55">
            <v>28.6</v>
          </cell>
          <cell r="I55">
            <v>29.5</v>
          </cell>
          <cell r="J55">
            <v>28.8</v>
          </cell>
          <cell r="K55">
            <v>29.6</v>
          </cell>
          <cell r="L55">
            <v>29.5</v>
          </cell>
          <cell r="M55">
            <v>29.7</v>
          </cell>
          <cell r="N55">
            <v>29.8</v>
          </cell>
          <cell r="O55">
            <v>29.9</v>
          </cell>
        </row>
        <row r="56">
          <cell r="A56">
            <v>903</v>
          </cell>
          <cell r="B56">
            <v>1</v>
          </cell>
          <cell r="C56">
            <v>13.416</v>
          </cell>
          <cell r="D56">
            <v>67.599999999999994</v>
          </cell>
          <cell r="E56">
            <v>67.8</v>
          </cell>
          <cell r="F56">
            <v>67.8</v>
          </cell>
          <cell r="G56">
            <v>67.099999999999994</v>
          </cell>
          <cell r="H56">
            <v>67.2</v>
          </cell>
          <cell r="I56">
            <v>67.099999999999994</v>
          </cell>
          <cell r="J56">
            <v>67.099999999999994</v>
          </cell>
          <cell r="K56">
            <v>67.099999999999994</v>
          </cell>
          <cell r="L56">
            <v>67.5</v>
          </cell>
          <cell r="M56">
            <v>67.7</v>
          </cell>
          <cell r="N56">
            <v>67.400000000000006</v>
          </cell>
          <cell r="O56">
            <v>67.3</v>
          </cell>
        </row>
        <row r="58">
          <cell r="A58">
            <v>902</v>
          </cell>
          <cell r="B58">
            <v>1</v>
          </cell>
          <cell r="C58">
            <v>13.425000000000001</v>
          </cell>
          <cell r="D58">
            <v>53.8</v>
          </cell>
          <cell r="E58">
            <v>39.6</v>
          </cell>
          <cell r="F58">
            <v>47.9</v>
          </cell>
          <cell r="G58">
            <v>48.5</v>
          </cell>
          <cell r="H58">
            <v>46.7</v>
          </cell>
          <cell r="I58">
            <v>43.5</v>
          </cell>
          <cell r="J58">
            <v>47.8</v>
          </cell>
          <cell r="K58">
            <v>46.7</v>
          </cell>
          <cell r="L58">
            <v>49.5</v>
          </cell>
          <cell r="M58">
            <v>46.3</v>
          </cell>
          <cell r="N58">
            <v>52</v>
          </cell>
          <cell r="O58">
            <v>38.6</v>
          </cell>
        </row>
        <row r="59">
          <cell r="A59">
            <v>902</v>
          </cell>
          <cell r="B59">
            <v>2</v>
          </cell>
          <cell r="C59">
            <v>13.429</v>
          </cell>
          <cell r="D59">
            <v>35.299999999999997</v>
          </cell>
          <cell r="E59">
            <v>35.6</v>
          </cell>
          <cell r="F59">
            <v>32.200000000000003</v>
          </cell>
          <cell r="G59">
            <v>35.799999999999997</v>
          </cell>
          <cell r="H59">
            <v>36.9</v>
          </cell>
          <cell r="I59">
            <v>36.6</v>
          </cell>
          <cell r="J59">
            <v>36.4</v>
          </cell>
          <cell r="K59">
            <v>35.4</v>
          </cell>
          <cell r="L59">
            <v>38.200000000000003</v>
          </cell>
          <cell r="M59">
            <v>32.799999999999997</v>
          </cell>
          <cell r="N59">
            <v>35.5</v>
          </cell>
          <cell r="O59">
            <v>34.299999999999997</v>
          </cell>
        </row>
        <row r="60">
          <cell r="A60">
            <v>901</v>
          </cell>
          <cell r="B60">
            <v>1</v>
          </cell>
          <cell r="C60">
            <v>13.442</v>
          </cell>
          <cell r="D60">
            <v>37.5</v>
          </cell>
          <cell r="E60">
            <v>37.700000000000003</v>
          </cell>
          <cell r="F60">
            <v>37.6</v>
          </cell>
          <cell r="G60">
            <v>37.700000000000003</v>
          </cell>
          <cell r="H60">
            <v>37.799999999999997</v>
          </cell>
          <cell r="I60">
            <v>37.299999999999997</v>
          </cell>
          <cell r="J60">
            <v>37.799999999999997</v>
          </cell>
          <cell r="K60">
            <v>37.700000000000003</v>
          </cell>
          <cell r="L60">
            <v>37.700000000000003</v>
          </cell>
          <cell r="M60">
            <v>37.700000000000003</v>
          </cell>
          <cell r="N60">
            <v>37.5</v>
          </cell>
          <cell r="O60">
            <v>37.6</v>
          </cell>
        </row>
        <row r="62">
          <cell r="A62">
            <v>301</v>
          </cell>
          <cell r="B62">
            <v>1</v>
          </cell>
          <cell r="C62">
            <v>13.454000000000001</v>
          </cell>
          <cell r="D62">
            <v>32.299999999999997</v>
          </cell>
          <cell r="E62">
            <v>33.4</v>
          </cell>
          <cell r="F62">
            <v>31</v>
          </cell>
          <cell r="G62">
            <v>33.5</v>
          </cell>
          <cell r="H62">
            <v>30.4</v>
          </cell>
          <cell r="I62">
            <v>33.1</v>
          </cell>
          <cell r="J62">
            <v>30</v>
          </cell>
          <cell r="K62">
            <v>30.5</v>
          </cell>
          <cell r="L62">
            <v>32.6</v>
          </cell>
          <cell r="M62">
            <v>30.7</v>
          </cell>
          <cell r="N62">
            <v>31.7</v>
          </cell>
          <cell r="O62">
            <v>31.7</v>
          </cell>
        </row>
        <row r="63">
          <cell r="A63">
            <v>301</v>
          </cell>
          <cell r="B63">
            <v>2</v>
          </cell>
          <cell r="C63">
            <v>13.458</v>
          </cell>
          <cell r="D63">
            <v>31.4</v>
          </cell>
          <cell r="E63">
            <v>31.2</v>
          </cell>
          <cell r="F63">
            <v>31.5</v>
          </cell>
          <cell r="G63">
            <v>31</v>
          </cell>
          <cell r="H63">
            <v>29.3</v>
          </cell>
          <cell r="I63">
            <v>29.8</v>
          </cell>
          <cell r="J63">
            <v>29</v>
          </cell>
          <cell r="K63">
            <v>29.2</v>
          </cell>
          <cell r="L63">
            <v>29</v>
          </cell>
          <cell r="M63">
            <v>29.1</v>
          </cell>
          <cell r="N63">
            <v>29.3</v>
          </cell>
          <cell r="O63">
            <v>31.5</v>
          </cell>
        </row>
        <row r="64">
          <cell r="A64">
            <v>302</v>
          </cell>
          <cell r="B64">
            <v>1</v>
          </cell>
          <cell r="C64">
            <v>13.468999999999999</v>
          </cell>
          <cell r="D64">
            <v>32.9</v>
          </cell>
          <cell r="E64">
            <v>33.299999999999997</v>
          </cell>
          <cell r="F64">
            <v>30.3</v>
          </cell>
          <cell r="G64">
            <v>37.700000000000003</v>
          </cell>
          <cell r="H64">
            <v>30.1</v>
          </cell>
          <cell r="I64">
            <v>32.5</v>
          </cell>
          <cell r="J64">
            <v>30.2</v>
          </cell>
          <cell r="K64">
            <v>37.299999999999997</v>
          </cell>
          <cell r="L64">
            <v>31.3</v>
          </cell>
          <cell r="M64">
            <v>36.1</v>
          </cell>
          <cell r="N64">
            <v>32.299999999999997</v>
          </cell>
          <cell r="O64">
            <v>33.5</v>
          </cell>
        </row>
        <row r="65">
          <cell r="A65">
            <v>302</v>
          </cell>
          <cell r="B65">
            <v>2</v>
          </cell>
          <cell r="C65">
            <v>13.474</v>
          </cell>
          <cell r="D65">
            <v>32.1</v>
          </cell>
          <cell r="E65">
            <v>31.4</v>
          </cell>
          <cell r="F65">
            <v>31.9</v>
          </cell>
          <cell r="G65">
            <v>32.1</v>
          </cell>
          <cell r="H65">
            <v>30.4</v>
          </cell>
          <cell r="I65">
            <v>31.5</v>
          </cell>
          <cell r="J65">
            <v>31.8</v>
          </cell>
          <cell r="K65">
            <v>30.2</v>
          </cell>
          <cell r="L65">
            <v>29.2</v>
          </cell>
          <cell r="M65">
            <v>30.2</v>
          </cell>
          <cell r="N65">
            <v>29.8</v>
          </cell>
          <cell r="O65">
            <v>28.6</v>
          </cell>
        </row>
        <row r="66">
          <cell r="A66">
            <v>303</v>
          </cell>
          <cell r="B66">
            <v>1</v>
          </cell>
          <cell r="C66">
            <v>13.484999999999999</v>
          </cell>
          <cell r="D66">
            <v>37</v>
          </cell>
          <cell r="E66">
            <v>38.6</v>
          </cell>
          <cell r="F66">
            <v>34.799999999999997</v>
          </cell>
          <cell r="G66">
            <v>36.799999999999997</v>
          </cell>
          <cell r="H66">
            <v>34.299999999999997</v>
          </cell>
          <cell r="I66">
            <v>36</v>
          </cell>
          <cell r="J66">
            <v>33.6</v>
          </cell>
          <cell r="K66">
            <v>35</v>
          </cell>
          <cell r="L66">
            <v>34.799999999999997</v>
          </cell>
          <cell r="M66">
            <v>35.4</v>
          </cell>
          <cell r="N66">
            <v>33.299999999999997</v>
          </cell>
          <cell r="O66">
            <v>34.799999999999997</v>
          </cell>
        </row>
        <row r="67">
          <cell r="A67">
            <v>303</v>
          </cell>
          <cell r="B67">
            <v>2</v>
          </cell>
          <cell r="C67">
            <v>13.491</v>
          </cell>
          <cell r="D67">
            <v>32.799999999999997</v>
          </cell>
          <cell r="E67">
            <v>32.5</v>
          </cell>
          <cell r="F67">
            <v>32.700000000000003</v>
          </cell>
          <cell r="G67">
            <v>31</v>
          </cell>
          <cell r="H67">
            <v>30.8</v>
          </cell>
          <cell r="I67">
            <v>30.8</v>
          </cell>
          <cell r="J67">
            <v>29.5</v>
          </cell>
          <cell r="K67">
            <v>30.6</v>
          </cell>
          <cell r="L67">
            <v>30.2</v>
          </cell>
          <cell r="M67">
            <v>31.2</v>
          </cell>
          <cell r="N67">
            <v>29.6</v>
          </cell>
          <cell r="O67">
            <v>30.7</v>
          </cell>
        </row>
        <row r="68">
          <cell r="A68">
            <v>304</v>
          </cell>
          <cell r="B68">
            <v>1</v>
          </cell>
          <cell r="C68">
            <v>13.502000000000001</v>
          </cell>
          <cell r="D68">
            <v>36.6</v>
          </cell>
          <cell r="E68">
            <v>34.799999999999997</v>
          </cell>
          <cell r="F68">
            <v>29.1</v>
          </cell>
          <cell r="G68">
            <v>30.9</v>
          </cell>
          <cell r="H68">
            <v>29.2</v>
          </cell>
          <cell r="I68">
            <v>32.9</v>
          </cell>
          <cell r="J68">
            <v>29.9</v>
          </cell>
          <cell r="K68">
            <v>30.4</v>
          </cell>
          <cell r="L68">
            <v>31.1</v>
          </cell>
          <cell r="M68">
            <v>33</v>
          </cell>
          <cell r="N68">
            <v>31.2</v>
          </cell>
          <cell r="O68">
            <v>38.9</v>
          </cell>
        </row>
        <row r="69">
          <cell r="A69">
            <v>304</v>
          </cell>
          <cell r="B69">
            <v>2</v>
          </cell>
          <cell r="C69">
            <v>13.509</v>
          </cell>
          <cell r="D69">
            <v>30.5</v>
          </cell>
          <cell r="E69">
            <v>29.1</v>
          </cell>
          <cell r="F69">
            <v>29.6</v>
          </cell>
          <cell r="G69">
            <v>28.2</v>
          </cell>
          <cell r="H69">
            <v>29.1</v>
          </cell>
          <cell r="I69">
            <v>30.2</v>
          </cell>
          <cell r="J69">
            <v>29.9</v>
          </cell>
          <cell r="K69">
            <v>29.6</v>
          </cell>
          <cell r="L69">
            <v>30</v>
          </cell>
          <cell r="M69">
            <v>31</v>
          </cell>
          <cell r="N69">
            <v>30.3</v>
          </cell>
          <cell r="O69">
            <v>30</v>
          </cell>
        </row>
        <row r="70">
          <cell r="A70">
            <v>305</v>
          </cell>
          <cell r="B70">
            <v>1</v>
          </cell>
          <cell r="C70">
            <v>13.521000000000001</v>
          </cell>
          <cell r="D70">
            <v>32</v>
          </cell>
          <cell r="E70">
            <v>31.5</v>
          </cell>
          <cell r="F70">
            <v>30.5</v>
          </cell>
          <cell r="G70">
            <v>32.1</v>
          </cell>
          <cell r="H70">
            <v>30.6</v>
          </cell>
          <cell r="I70">
            <v>32.700000000000003</v>
          </cell>
          <cell r="J70">
            <v>30.6</v>
          </cell>
          <cell r="K70">
            <v>32.5</v>
          </cell>
          <cell r="L70">
            <v>30.9</v>
          </cell>
          <cell r="M70">
            <v>32.1</v>
          </cell>
          <cell r="N70">
            <v>31.8</v>
          </cell>
          <cell r="O70">
            <v>32.1</v>
          </cell>
        </row>
        <row r="71">
          <cell r="A71">
            <v>305</v>
          </cell>
          <cell r="B71">
            <v>2</v>
          </cell>
          <cell r="C71">
            <v>13.525</v>
          </cell>
          <cell r="D71">
            <v>31</v>
          </cell>
          <cell r="E71">
            <v>31.6</v>
          </cell>
          <cell r="F71">
            <v>31.3</v>
          </cell>
          <cell r="G71">
            <v>32.4</v>
          </cell>
          <cell r="H71">
            <v>31.5</v>
          </cell>
          <cell r="I71">
            <v>31.9</v>
          </cell>
          <cell r="J71">
            <v>32.299999999999997</v>
          </cell>
          <cell r="K71">
            <v>33.799999999999997</v>
          </cell>
          <cell r="L71">
            <v>31.3</v>
          </cell>
          <cell r="M71">
            <v>33.5</v>
          </cell>
          <cell r="N71">
            <v>31.9</v>
          </cell>
          <cell r="O71">
            <v>32</v>
          </cell>
        </row>
        <row r="72">
          <cell r="A72">
            <v>306</v>
          </cell>
          <cell r="B72">
            <v>1</v>
          </cell>
          <cell r="C72">
            <v>13.537000000000001</v>
          </cell>
          <cell r="D72">
            <v>32.9</v>
          </cell>
          <cell r="E72">
            <v>33.5</v>
          </cell>
          <cell r="F72">
            <v>32.4</v>
          </cell>
          <cell r="G72">
            <v>34.5</v>
          </cell>
          <cell r="H72">
            <v>34.200000000000003</v>
          </cell>
          <cell r="I72">
            <v>37</v>
          </cell>
          <cell r="J72">
            <v>33.200000000000003</v>
          </cell>
          <cell r="K72">
            <v>35.299999999999997</v>
          </cell>
          <cell r="L72">
            <v>32.4</v>
          </cell>
          <cell r="M72">
            <v>33.4</v>
          </cell>
          <cell r="N72">
            <v>31.6</v>
          </cell>
          <cell r="O72">
            <v>33.1</v>
          </cell>
        </row>
        <row r="73">
          <cell r="A73">
            <v>306</v>
          </cell>
          <cell r="B73">
            <v>2</v>
          </cell>
          <cell r="C73">
            <v>13.545</v>
          </cell>
          <cell r="D73">
            <v>28.8</v>
          </cell>
          <cell r="E73">
            <v>29.1</v>
          </cell>
          <cell r="F73">
            <v>30.7</v>
          </cell>
          <cell r="G73">
            <v>29.2</v>
          </cell>
          <cell r="H73">
            <v>29.6</v>
          </cell>
          <cell r="I73">
            <v>29.5</v>
          </cell>
          <cell r="J73">
            <v>29.8</v>
          </cell>
          <cell r="K73">
            <v>29.3</v>
          </cell>
          <cell r="L73">
            <v>30.8</v>
          </cell>
          <cell r="M73">
            <v>28.5</v>
          </cell>
          <cell r="N73">
            <v>29.3</v>
          </cell>
          <cell r="O73">
            <v>28.9</v>
          </cell>
        </row>
        <row r="74">
          <cell r="A74">
            <v>307</v>
          </cell>
          <cell r="B74">
            <v>1</v>
          </cell>
          <cell r="C74">
            <v>13.555999999999999</v>
          </cell>
          <cell r="D74">
            <v>31.8</v>
          </cell>
          <cell r="E74">
            <v>31.1</v>
          </cell>
          <cell r="F74">
            <v>29.6</v>
          </cell>
          <cell r="G74">
            <v>30.9</v>
          </cell>
          <cell r="H74">
            <v>32</v>
          </cell>
          <cell r="I74">
            <v>31.5</v>
          </cell>
          <cell r="J74">
            <v>33.700000000000003</v>
          </cell>
          <cell r="K74">
            <v>31.6</v>
          </cell>
          <cell r="L74">
            <v>31.1</v>
          </cell>
          <cell r="M74">
            <v>30.2</v>
          </cell>
          <cell r="N74">
            <v>32.5</v>
          </cell>
          <cell r="O74">
            <v>30.6</v>
          </cell>
        </row>
        <row r="75">
          <cell r="A75">
            <v>307</v>
          </cell>
          <cell r="B75">
            <v>2</v>
          </cell>
          <cell r="C75">
            <v>13.56</v>
          </cell>
          <cell r="D75">
            <v>30.4</v>
          </cell>
          <cell r="E75">
            <v>29.4</v>
          </cell>
          <cell r="F75">
            <v>29.3</v>
          </cell>
          <cell r="G75">
            <v>28.9</v>
          </cell>
          <cell r="H75">
            <v>28.4</v>
          </cell>
          <cell r="I75">
            <v>30.3</v>
          </cell>
          <cell r="J75">
            <v>27.8</v>
          </cell>
          <cell r="K75">
            <v>29.2</v>
          </cell>
          <cell r="L75">
            <v>28.3</v>
          </cell>
          <cell r="M75">
            <v>28.4</v>
          </cell>
          <cell r="N75">
            <v>29.1</v>
          </cell>
          <cell r="O75">
            <v>28.1</v>
          </cell>
        </row>
        <row r="76">
          <cell r="A76">
            <v>308</v>
          </cell>
          <cell r="B76">
            <v>1</v>
          </cell>
          <cell r="C76">
            <v>13.571999999999999</v>
          </cell>
          <cell r="D76">
            <v>29.2</v>
          </cell>
          <cell r="E76">
            <v>29.5</v>
          </cell>
          <cell r="F76">
            <v>29.3</v>
          </cell>
          <cell r="G76">
            <v>30.6</v>
          </cell>
          <cell r="H76">
            <v>30.3</v>
          </cell>
          <cell r="I76">
            <v>32.1</v>
          </cell>
          <cell r="J76">
            <v>29.1</v>
          </cell>
          <cell r="K76">
            <v>31.5</v>
          </cell>
          <cell r="L76">
            <v>29.8</v>
          </cell>
          <cell r="M76">
            <v>31.6</v>
          </cell>
          <cell r="N76">
            <v>29.3</v>
          </cell>
          <cell r="O76">
            <v>29.6</v>
          </cell>
        </row>
        <row r="77">
          <cell r="A77">
            <v>308</v>
          </cell>
          <cell r="B77">
            <v>2</v>
          </cell>
          <cell r="C77">
            <v>13.576000000000001</v>
          </cell>
          <cell r="D77">
            <v>29.2</v>
          </cell>
          <cell r="E77">
            <v>28.9</v>
          </cell>
          <cell r="F77">
            <v>28.8</v>
          </cell>
          <cell r="G77">
            <v>29.5</v>
          </cell>
          <cell r="H77">
            <v>28.7</v>
          </cell>
          <cell r="I77">
            <v>29</v>
          </cell>
          <cell r="J77">
            <v>30.3</v>
          </cell>
          <cell r="K77">
            <v>31.7</v>
          </cell>
          <cell r="L77">
            <v>30</v>
          </cell>
          <cell r="M77">
            <v>31</v>
          </cell>
          <cell r="N77">
            <v>28.2</v>
          </cell>
          <cell r="O77">
            <v>30.5</v>
          </cell>
        </row>
        <row r="78">
          <cell r="A78">
            <v>408</v>
          </cell>
          <cell r="B78">
            <v>1</v>
          </cell>
          <cell r="C78">
            <v>13.593</v>
          </cell>
          <cell r="D78">
            <v>43.6</v>
          </cell>
          <cell r="E78">
            <v>43.8</v>
          </cell>
          <cell r="F78">
            <v>34.799999999999997</v>
          </cell>
          <cell r="G78">
            <v>38.200000000000003</v>
          </cell>
          <cell r="H78">
            <v>34.5</v>
          </cell>
          <cell r="I78">
            <v>36.799999999999997</v>
          </cell>
          <cell r="J78">
            <v>38.9</v>
          </cell>
          <cell r="K78">
            <v>41</v>
          </cell>
          <cell r="L78">
            <v>33.5</v>
          </cell>
          <cell r="M78">
            <v>37.299999999999997</v>
          </cell>
          <cell r="N78">
            <v>33.6</v>
          </cell>
          <cell r="O78">
            <v>41.3</v>
          </cell>
        </row>
        <row r="79">
          <cell r="A79">
            <v>408</v>
          </cell>
          <cell r="B79">
            <v>2</v>
          </cell>
          <cell r="C79">
            <v>13.598000000000001</v>
          </cell>
          <cell r="D79">
            <v>32</v>
          </cell>
          <cell r="E79">
            <v>33</v>
          </cell>
          <cell r="F79">
            <v>31.5</v>
          </cell>
          <cell r="G79">
            <v>31.5</v>
          </cell>
          <cell r="H79">
            <v>34.4</v>
          </cell>
          <cell r="I79">
            <v>32</v>
          </cell>
          <cell r="J79">
            <v>35.1</v>
          </cell>
          <cell r="K79">
            <v>31.9</v>
          </cell>
          <cell r="L79">
            <v>32.299999999999997</v>
          </cell>
          <cell r="M79">
            <v>31.5</v>
          </cell>
          <cell r="N79">
            <v>30.2</v>
          </cell>
          <cell r="O79">
            <v>30.7</v>
          </cell>
        </row>
        <row r="80">
          <cell r="A80">
            <v>407</v>
          </cell>
          <cell r="B80">
            <v>1</v>
          </cell>
          <cell r="C80">
            <v>13.611000000000001</v>
          </cell>
          <cell r="D80">
            <v>41.4</v>
          </cell>
          <cell r="E80">
            <v>33.1</v>
          </cell>
          <cell r="F80">
            <v>34.6</v>
          </cell>
          <cell r="G80">
            <v>33</v>
          </cell>
          <cell r="H80">
            <v>34.200000000000003</v>
          </cell>
          <cell r="I80">
            <v>35.700000000000003</v>
          </cell>
          <cell r="J80">
            <v>31.9</v>
          </cell>
          <cell r="K80">
            <v>38</v>
          </cell>
          <cell r="L80">
            <v>31.7</v>
          </cell>
          <cell r="M80">
            <v>39.299999999999997</v>
          </cell>
          <cell r="N80">
            <v>31</v>
          </cell>
          <cell r="O80">
            <v>37</v>
          </cell>
        </row>
        <row r="81">
          <cell r="A81">
            <v>407</v>
          </cell>
          <cell r="B81">
            <v>2</v>
          </cell>
          <cell r="C81">
            <v>13.616</v>
          </cell>
          <cell r="D81">
            <v>31</v>
          </cell>
          <cell r="E81">
            <v>31.3</v>
          </cell>
          <cell r="F81">
            <v>29</v>
          </cell>
          <cell r="G81">
            <v>29.8</v>
          </cell>
          <cell r="H81">
            <v>31</v>
          </cell>
          <cell r="I81">
            <v>28.6</v>
          </cell>
          <cell r="J81">
            <v>29.7</v>
          </cell>
          <cell r="K81">
            <v>28.7</v>
          </cell>
          <cell r="L81">
            <v>30.2</v>
          </cell>
          <cell r="M81">
            <v>29.9</v>
          </cell>
          <cell r="N81">
            <v>29.3</v>
          </cell>
          <cell r="O81">
            <v>29.6</v>
          </cell>
        </row>
        <row r="82">
          <cell r="A82">
            <v>406</v>
          </cell>
          <cell r="B82">
            <v>1</v>
          </cell>
          <cell r="C82">
            <v>13.631</v>
          </cell>
          <cell r="D82">
            <v>35.299999999999997</v>
          </cell>
          <cell r="E82">
            <v>31.4</v>
          </cell>
          <cell r="F82">
            <v>33.1</v>
          </cell>
          <cell r="G82">
            <v>29.7</v>
          </cell>
          <cell r="H82">
            <v>32.1</v>
          </cell>
          <cell r="I82">
            <v>29.7</v>
          </cell>
          <cell r="J82">
            <v>29.6</v>
          </cell>
          <cell r="K82">
            <v>31.8</v>
          </cell>
          <cell r="L82">
            <v>31</v>
          </cell>
          <cell r="M82">
            <v>30.3</v>
          </cell>
          <cell r="N82">
            <v>31.9</v>
          </cell>
          <cell r="O82">
            <v>29.6</v>
          </cell>
        </row>
        <row r="83">
          <cell r="A83">
            <v>406</v>
          </cell>
          <cell r="B83">
            <v>2</v>
          </cell>
          <cell r="C83">
            <v>13.635</v>
          </cell>
          <cell r="D83">
            <v>28.2</v>
          </cell>
          <cell r="E83">
            <v>28.8</v>
          </cell>
          <cell r="F83">
            <v>29.3</v>
          </cell>
          <cell r="G83">
            <v>28.3</v>
          </cell>
          <cell r="H83">
            <v>28.8</v>
          </cell>
          <cell r="I83">
            <v>29</v>
          </cell>
          <cell r="J83">
            <v>32</v>
          </cell>
          <cell r="K83">
            <v>29.6</v>
          </cell>
          <cell r="L83">
            <v>28.6</v>
          </cell>
          <cell r="M83">
            <v>28.8</v>
          </cell>
          <cell r="N83">
            <v>29.9</v>
          </cell>
          <cell r="O83">
            <v>29.6</v>
          </cell>
        </row>
        <row r="84">
          <cell r="A84">
            <v>405</v>
          </cell>
          <cell r="B84">
            <v>1</v>
          </cell>
          <cell r="C84">
            <v>13.648</v>
          </cell>
          <cell r="D84">
            <v>31.5</v>
          </cell>
          <cell r="E84">
            <v>28.7</v>
          </cell>
          <cell r="F84">
            <v>31.7</v>
          </cell>
          <cell r="G84">
            <v>29.1</v>
          </cell>
          <cell r="H84">
            <v>28.9</v>
          </cell>
          <cell r="I84">
            <v>30.6</v>
          </cell>
          <cell r="J84">
            <v>29.2</v>
          </cell>
          <cell r="K84">
            <v>31.5</v>
          </cell>
          <cell r="L84">
            <v>29.7</v>
          </cell>
          <cell r="M84">
            <v>30.8</v>
          </cell>
          <cell r="N84">
            <v>28.9</v>
          </cell>
          <cell r="O84">
            <v>29.6</v>
          </cell>
        </row>
        <row r="85">
          <cell r="A85">
            <v>405</v>
          </cell>
          <cell r="B85">
            <v>2</v>
          </cell>
          <cell r="C85">
            <v>13.651999999999999</v>
          </cell>
          <cell r="D85">
            <v>29.4</v>
          </cell>
          <cell r="E85">
            <v>27.8</v>
          </cell>
          <cell r="F85">
            <v>28.7</v>
          </cell>
          <cell r="G85">
            <v>28.2</v>
          </cell>
          <cell r="H85">
            <v>30.4</v>
          </cell>
          <cell r="I85">
            <v>29.1</v>
          </cell>
          <cell r="J85">
            <v>29.7</v>
          </cell>
          <cell r="K85">
            <v>29</v>
          </cell>
          <cell r="L85">
            <v>28.1</v>
          </cell>
          <cell r="M85">
            <v>29.3</v>
          </cell>
          <cell r="N85">
            <v>29.6</v>
          </cell>
          <cell r="O85">
            <v>28.9</v>
          </cell>
        </row>
        <row r="86">
          <cell r="A86">
            <v>404</v>
          </cell>
          <cell r="B86">
            <v>1</v>
          </cell>
          <cell r="C86">
            <v>13.664</v>
          </cell>
          <cell r="D86">
            <v>32.6</v>
          </cell>
          <cell r="E86">
            <v>28.8</v>
          </cell>
          <cell r="F86">
            <v>28.6</v>
          </cell>
          <cell r="G86">
            <v>29.5</v>
          </cell>
          <cell r="H86">
            <v>28.7</v>
          </cell>
          <cell r="I86">
            <v>30.3</v>
          </cell>
          <cell r="J86">
            <v>28.6</v>
          </cell>
          <cell r="K86">
            <v>30.7</v>
          </cell>
          <cell r="L86">
            <v>29.5</v>
          </cell>
          <cell r="M86">
            <v>31.1</v>
          </cell>
          <cell r="N86">
            <v>29.6</v>
          </cell>
          <cell r="O86">
            <v>31.6</v>
          </cell>
        </row>
        <row r="87">
          <cell r="A87">
            <v>404</v>
          </cell>
          <cell r="B87">
            <v>2</v>
          </cell>
          <cell r="C87">
            <v>13.669</v>
          </cell>
          <cell r="D87">
            <v>28.3</v>
          </cell>
          <cell r="E87">
            <v>28.2</v>
          </cell>
          <cell r="F87">
            <v>27</v>
          </cell>
          <cell r="G87">
            <v>28.8</v>
          </cell>
          <cell r="H87">
            <v>27.6</v>
          </cell>
          <cell r="I87">
            <v>27.5</v>
          </cell>
          <cell r="J87">
            <v>27.8</v>
          </cell>
          <cell r="K87">
            <v>29.2</v>
          </cell>
          <cell r="L87">
            <v>27.6</v>
          </cell>
          <cell r="M87">
            <v>27.6</v>
          </cell>
          <cell r="N87">
            <v>26.6</v>
          </cell>
          <cell r="O87">
            <v>28.1</v>
          </cell>
        </row>
        <row r="88">
          <cell r="A88">
            <v>403</v>
          </cell>
          <cell r="B88">
            <v>1</v>
          </cell>
          <cell r="C88">
            <v>13.680999999999999</v>
          </cell>
          <cell r="D88">
            <v>31</v>
          </cell>
          <cell r="E88">
            <v>28.4</v>
          </cell>
          <cell r="F88">
            <v>32.200000000000003</v>
          </cell>
          <cell r="G88">
            <v>28.4</v>
          </cell>
          <cell r="H88">
            <v>28.4</v>
          </cell>
          <cell r="I88">
            <v>28.8</v>
          </cell>
          <cell r="J88">
            <v>28.5</v>
          </cell>
          <cell r="K88">
            <v>28.8</v>
          </cell>
          <cell r="L88">
            <v>31.9</v>
          </cell>
          <cell r="M88">
            <v>29.2</v>
          </cell>
          <cell r="N88">
            <v>29.8</v>
          </cell>
          <cell r="O88">
            <v>27.9</v>
          </cell>
        </row>
        <row r="89">
          <cell r="A89">
            <v>403</v>
          </cell>
          <cell r="B89">
            <v>2</v>
          </cell>
          <cell r="C89">
            <v>13.685</v>
          </cell>
          <cell r="D89">
            <v>26.7</v>
          </cell>
          <cell r="E89">
            <v>26.8</v>
          </cell>
          <cell r="F89">
            <v>28.1</v>
          </cell>
          <cell r="G89">
            <v>27.8</v>
          </cell>
          <cell r="H89">
            <v>29.1</v>
          </cell>
          <cell r="I89">
            <v>28.1</v>
          </cell>
          <cell r="J89">
            <v>29.1</v>
          </cell>
          <cell r="K89">
            <v>28.9</v>
          </cell>
          <cell r="L89">
            <v>27.9</v>
          </cell>
          <cell r="M89">
            <v>28.3</v>
          </cell>
          <cell r="N89">
            <v>28</v>
          </cell>
          <cell r="O89">
            <v>28.2</v>
          </cell>
        </row>
        <row r="90">
          <cell r="A90">
            <v>402</v>
          </cell>
          <cell r="B90">
            <v>1</v>
          </cell>
          <cell r="C90">
            <v>13.698</v>
          </cell>
          <cell r="D90">
            <v>53.7</v>
          </cell>
          <cell r="E90">
            <v>39</v>
          </cell>
          <cell r="F90">
            <v>36.6</v>
          </cell>
          <cell r="G90">
            <v>38.700000000000003</v>
          </cell>
          <cell r="H90">
            <v>38</v>
          </cell>
          <cell r="I90">
            <v>41.2</v>
          </cell>
          <cell r="J90">
            <v>33.4</v>
          </cell>
          <cell r="K90">
            <v>36</v>
          </cell>
          <cell r="L90">
            <v>38.700000000000003</v>
          </cell>
          <cell r="M90">
            <v>40.6</v>
          </cell>
          <cell r="N90">
            <v>38</v>
          </cell>
          <cell r="O90">
            <v>34.299999999999997</v>
          </cell>
        </row>
        <row r="91">
          <cell r="A91">
            <v>402</v>
          </cell>
          <cell r="B91">
            <v>2</v>
          </cell>
          <cell r="C91">
            <v>13.702</v>
          </cell>
          <cell r="D91">
            <v>32.299999999999997</v>
          </cell>
          <cell r="E91">
            <v>34.1</v>
          </cell>
          <cell r="F91">
            <v>32.9</v>
          </cell>
          <cell r="G91">
            <v>32</v>
          </cell>
          <cell r="H91">
            <v>33</v>
          </cell>
          <cell r="I91">
            <v>33.6</v>
          </cell>
          <cell r="J91">
            <v>31.4</v>
          </cell>
          <cell r="K91">
            <v>33.200000000000003</v>
          </cell>
          <cell r="L91">
            <v>33.700000000000003</v>
          </cell>
          <cell r="M91">
            <v>32.799999999999997</v>
          </cell>
          <cell r="N91">
            <v>33.200000000000003</v>
          </cell>
          <cell r="O91">
            <v>32.200000000000003</v>
          </cell>
        </row>
        <row r="92">
          <cell r="A92">
            <v>401</v>
          </cell>
          <cell r="B92">
            <v>1</v>
          </cell>
          <cell r="C92">
            <v>13.715</v>
          </cell>
          <cell r="D92">
            <v>62.5</v>
          </cell>
          <cell r="E92">
            <v>59.4</v>
          </cell>
          <cell r="F92">
            <v>46.8</v>
          </cell>
          <cell r="G92">
            <v>60.3</v>
          </cell>
          <cell r="H92">
            <v>40.9</v>
          </cell>
          <cell r="I92">
            <v>57.5</v>
          </cell>
          <cell r="J92">
            <v>43.7</v>
          </cell>
          <cell r="K92">
            <v>62.9</v>
          </cell>
          <cell r="L92">
            <v>48.8</v>
          </cell>
          <cell r="M92">
            <v>56.2</v>
          </cell>
          <cell r="N92">
            <v>41.7</v>
          </cell>
          <cell r="O92">
            <v>50.6</v>
          </cell>
        </row>
        <row r="93">
          <cell r="A93">
            <v>401</v>
          </cell>
          <cell r="B93">
            <v>2</v>
          </cell>
          <cell r="C93">
            <v>13.718999999999999</v>
          </cell>
          <cell r="D93">
            <v>36.6</v>
          </cell>
          <cell r="E93">
            <v>36.9</v>
          </cell>
          <cell r="F93">
            <v>39.700000000000003</v>
          </cell>
          <cell r="G93">
            <v>37.5</v>
          </cell>
          <cell r="H93">
            <v>38.200000000000003</v>
          </cell>
          <cell r="I93">
            <v>38.5</v>
          </cell>
          <cell r="J93">
            <v>36.700000000000003</v>
          </cell>
          <cell r="K93">
            <v>39.700000000000003</v>
          </cell>
          <cell r="L93">
            <v>34.700000000000003</v>
          </cell>
          <cell r="M93">
            <v>37.200000000000003</v>
          </cell>
          <cell r="N93">
            <v>34.6</v>
          </cell>
          <cell r="O93">
            <v>37.700000000000003</v>
          </cell>
        </row>
      </sheetData>
      <sheetData sheetId="2">
        <row r="7">
          <cell r="C7">
            <v>197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44.5</v>
          </cell>
        </row>
        <row r="29">
          <cell r="E29">
            <v>8.4460314827135257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'IA198.03R'</v>
          </cell>
        </row>
        <row r="14">
          <cell r="A14">
            <v>108</v>
          </cell>
          <cell r="B14">
            <v>1</v>
          </cell>
          <cell r="C14">
            <v>13.071</v>
          </cell>
          <cell r="D14">
            <v>29.6</v>
          </cell>
          <cell r="E14">
            <v>29.5</v>
          </cell>
          <cell r="F14">
            <v>28.8</v>
          </cell>
          <cell r="G14">
            <v>29.2</v>
          </cell>
          <cell r="H14">
            <v>29.7</v>
          </cell>
          <cell r="I14">
            <v>29.5</v>
          </cell>
          <cell r="J14">
            <v>29.8</v>
          </cell>
          <cell r="K14">
            <v>29.5</v>
          </cell>
          <cell r="L14">
            <v>29.2</v>
          </cell>
          <cell r="M14">
            <v>29.2</v>
          </cell>
          <cell r="N14">
            <v>29.1</v>
          </cell>
          <cell r="O14">
            <v>29.3</v>
          </cell>
        </row>
        <row r="15">
          <cell r="A15">
            <v>108</v>
          </cell>
          <cell r="B15">
            <v>2</v>
          </cell>
          <cell r="C15">
            <v>13.076000000000001</v>
          </cell>
          <cell r="D15">
            <v>28.7</v>
          </cell>
          <cell r="E15">
            <v>28.8</v>
          </cell>
          <cell r="F15">
            <v>28.9</v>
          </cell>
          <cell r="G15">
            <v>28.7</v>
          </cell>
          <cell r="H15">
            <v>28.8</v>
          </cell>
          <cell r="I15">
            <v>29</v>
          </cell>
          <cell r="J15">
            <v>28.9</v>
          </cell>
          <cell r="K15">
            <v>29.2</v>
          </cell>
          <cell r="L15">
            <v>28.7</v>
          </cell>
          <cell r="M15">
            <v>28.8</v>
          </cell>
          <cell r="N15">
            <v>28.6</v>
          </cell>
          <cell r="O15">
            <v>28.6</v>
          </cell>
        </row>
        <row r="16">
          <cell r="A16">
            <v>107</v>
          </cell>
          <cell r="B16">
            <v>1</v>
          </cell>
          <cell r="C16">
            <v>13.087</v>
          </cell>
          <cell r="D16">
            <v>29.3</v>
          </cell>
          <cell r="E16">
            <v>29.9</v>
          </cell>
          <cell r="F16">
            <v>29.7</v>
          </cell>
          <cell r="G16">
            <v>29.5</v>
          </cell>
          <cell r="H16">
            <v>29.6</v>
          </cell>
          <cell r="I16">
            <v>30.4</v>
          </cell>
          <cell r="J16">
            <v>29.9</v>
          </cell>
          <cell r="K16">
            <v>29.9</v>
          </cell>
          <cell r="L16">
            <v>28.8</v>
          </cell>
          <cell r="M16">
            <v>30.1</v>
          </cell>
          <cell r="N16">
            <v>28.8</v>
          </cell>
          <cell r="O16">
            <v>29.8</v>
          </cell>
        </row>
        <row r="17">
          <cell r="A17">
            <v>107</v>
          </cell>
          <cell r="B17">
            <v>2</v>
          </cell>
          <cell r="C17">
            <v>13.092000000000001</v>
          </cell>
          <cell r="D17">
            <v>28.4</v>
          </cell>
          <cell r="E17">
            <v>28.7</v>
          </cell>
          <cell r="F17">
            <v>28.8</v>
          </cell>
          <cell r="G17">
            <v>29.4</v>
          </cell>
          <cell r="H17">
            <v>28.1</v>
          </cell>
          <cell r="I17">
            <v>28.6</v>
          </cell>
          <cell r="J17">
            <v>29</v>
          </cell>
          <cell r="K17">
            <v>28.6</v>
          </cell>
          <cell r="L17">
            <v>28.9</v>
          </cell>
          <cell r="M17">
            <v>29.4</v>
          </cell>
          <cell r="N17">
            <v>29.2</v>
          </cell>
          <cell r="O17">
            <v>28.9</v>
          </cell>
        </row>
        <row r="18">
          <cell r="A18">
            <v>106</v>
          </cell>
          <cell r="B18">
            <v>1</v>
          </cell>
          <cell r="C18">
            <v>13.102</v>
          </cell>
          <cell r="D18">
            <v>29.9</v>
          </cell>
          <cell r="E18">
            <v>29.3</v>
          </cell>
          <cell r="F18">
            <v>29.3</v>
          </cell>
          <cell r="G18">
            <v>29.5</v>
          </cell>
          <cell r="H18">
            <v>29.2</v>
          </cell>
          <cell r="I18">
            <v>29.7</v>
          </cell>
          <cell r="J18">
            <v>29.5</v>
          </cell>
          <cell r="K18">
            <v>29.4</v>
          </cell>
          <cell r="L18">
            <v>29.3</v>
          </cell>
          <cell r="M18">
            <v>29.3</v>
          </cell>
          <cell r="N18">
            <v>29.4</v>
          </cell>
          <cell r="O18">
            <v>29</v>
          </cell>
        </row>
        <row r="19">
          <cell r="A19">
            <v>106</v>
          </cell>
          <cell r="B19">
            <v>2</v>
          </cell>
          <cell r="C19">
            <v>13.106999999999999</v>
          </cell>
          <cell r="D19">
            <v>29.2</v>
          </cell>
          <cell r="E19">
            <v>29</v>
          </cell>
          <cell r="F19">
            <v>29.3</v>
          </cell>
          <cell r="G19">
            <v>29.4</v>
          </cell>
          <cell r="H19">
            <v>29.3</v>
          </cell>
          <cell r="I19">
            <v>29.4</v>
          </cell>
          <cell r="J19">
            <v>30</v>
          </cell>
          <cell r="K19">
            <v>30</v>
          </cell>
          <cell r="L19">
            <v>29.1</v>
          </cell>
          <cell r="M19">
            <v>29</v>
          </cell>
          <cell r="N19">
            <v>29.7</v>
          </cell>
          <cell r="O19">
            <v>29.8</v>
          </cell>
        </row>
        <row r="20">
          <cell r="A20">
            <v>105</v>
          </cell>
          <cell r="B20">
            <v>1</v>
          </cell>
          <cell r="C20">
            <v>13.118</v>
          </cell>
          <cell r="D20">
            <v>30.2</v>
          </cell>
          <cell r="E20">
            <v>30.2</v>
          </cell>
          <cell r="F20">
            <v>29.3</v>
          </cell>
          <cell r="G20">
            <v>29.7</v>
          </cell>
          <cell r="H20">
            <v>29.7</v>
          </cell>
          <cell r="I20">
            <v>29.8</v>
          </cell>
          <cell r="J20">
            <v>29.9</v>
          </cell>
          <cell r="K20">
            <v>29.7</v>
          </cell>
          <cell r="L20">
            <v>30.4</v>
          </cell>
          <cell r="M20">
            <v>30.3</v>
          </cell>
          <cell r="N20">
            <v>30.2</v>
          </cell>
          <cell r="O20">
            <v>30.5</v>
          </cell>
        </row>
        <row r="21">
          <cell r="A21">
            <v>105</v>
          </cell>
          <cell r="B21">
            <v>2</v>
          </cell>
          <cell r="C21">
            <v>13.122999999999999</v>
          </cell>
          <cell r="D21">
            <v>30.2</v>
          </cell>
          <cell r="E21">
            <v>29.9</v>
          </cell>
          <cell r="F21">
            <v>29.9</v>
          </cell>
          <cell r="G21">
            <v>29.5</v>
          </cell>
          <cell r="H21">
            <v>29.3</v>
          </cell>
          <cell r="I21">
            <v>29.1</v>
          </cell>
          <cell r="J21">
            <v>29.6</v>
          </cell>
          <cell r="K21">
            <v>29.2</v>
          </cell>
          <cell r="L21">
            <v>29.7</v>
          </cell>
          <cell r="M21">
            <v>29.7</v>
          </cell>
          <cell r="N21">
            <v>29.2</v>
          </cell>
          <cell r="O21">
            <v>29.1</v>
          </cell>
        </row>
        <row r="22">
          <cell r="A22">
            <v>104</v>
          </cell>
          <cell r="B22">
            <v>1</v>
          </cell>
          <cell r="C22">
            <v>13.135</v>
          </cell>
          <cell r="D22">
            <v>30.7</v>
          </cell>
          <cell r="E22">
            <v>28.6</v>
          </cell>
          <cell r="F22">
            <v>29.5</v>
          </cell>
          <cell r="G22">
            <v>29.1</v>
          </cell>
          <cell r="H22">
            <v>30.1</v>
          </cell>
          <cell r="I22">
            <v>28.4</v>
          </cell>
          <cell r="J22">
            <v>29.6</v>
          </cell>
          <cell r="K22">
            <v>28.6</v>
          </cell>
          <cell r="L22">
            <v>29.8</v>
          </cell>
          <cell r="M22">
            <v>28.4</v>
          </cell>
          <cell r="N22">
            <v>29.8</v>
          </cell>
          <cell r="O22">
            <v>28.3</v>
          </cell>
        </row>
        <row r="23">
          <cell r="A23">
            <v>104</v>
          </cell>
          <cell r="B23">
            <v>2</v>
          </cell>
          <cell r="C23">
            <v>13.138999999999999</v>
          </cell>
          <cell r="D23">
            <v>28</v>
          </cell>
          <cell r="E23">
            <v>27.8</v>
          </cell>
          <cell r="F23">
            <v>27.6</v>
          </cell>
          <cell r="G23">
            <v>27.6</v>
          </cell>
          <cell r="H23">
            <v>28</v>
          </cell>
          <cell r="I23">
            <v>28</v>
          </cell>
          <cell r="J23">
            <v>28.2</v>
          </cell>
          <cell r="K23">
            <v>27.6</v>
          </cell>
          <cell r="L23">
            <v>28</v>
          </cell>
          <cell r="M23">
            <v>27.8</v>
          </cell>
          <cell r="N23">
            <v>28.4</v>
          </cell>
          <cell r="O23">
            <v>27.8</v>
          </cell>
        </row>
        <row r="24">
          <cell r="A24">
            <v>103</v>
          </cell>
          <cell r="B24">
            <v>1</v>
          </cell>
          <cell r="C24">
            <v>13.151</v>
          </cell>
          <cell r="D24">
            <v>29.4</v>
          </cell>
          <cell r="E24">
            <v>28.1</v>
          </cell>
          <cell r="F24">
            <v>28.4</v>
          </cell>
          <cell r="G24">
            <v>28.3</v>
          </cell>
          <cell r="H24">
            <v>28.3</v>
          </cell>
          <cell r="I24">
            <v>28.5</v>
          </cell>
          <cell r="J24">
            <v>29.7</v>
          </cell>
          <cell r="K24">
            <v>28.3</v>
          </cell>
          <cell r="L24">
            <v>29.6</v>
          </cell>
          <cell r="M24">
            <v>29.1</v>
          </cell>
          <cell r="N24">
            <v>29.7</v>
          </cell>
          <cell r="O24">
            <v>28.2</v>
          </cell>
        </row>
        <row r="25">
          <cell r="A25">
            <v>103</v>
          </cell>
          <cell r="B25">
            <v>2</v>
          </cell>
          <cell r="C25">
            <v>13.156000000000001</v>
          </cell>
          <cell r="D25">
            <v>27.6</v>
          </cell>
          <cell r="E25">
            <v>27.7</v>
          </cell>
          <cell r="F25">
            <v>28.2</v>
          </cell>
          <cell r="G25">
            <v>28.4</v>
          </cell>
          <cell r="H25">
            <v>28.2</v>
          </cell>
          <cell r="I25">
            <v>28.2</v>
          </cell>
          <cell r="J25">
            <v>28.2</v>
          </cell>
          <cell r="K25">
            <v>28</v>
          </cell>
          <cell r="L25">
            <v>27.8</v>
          </cell>
          <cell r="M25">
            <v>27.6</v>
          </cell>
          <cell r="N25">
            <v>28.2</v>
          </cell>
          <cell r="O25">
            <v>27.8</v>
          </cell>
        </row>
        <row r="26">
          <cell r="A26">
            <v>102</v>
          </cell>
          <cell r="B26">
            <v>1</v>
          </cell>
          <cell r="C26">
            <v>13.167</v>
          </cell>
          <cell r="D26">
            <v>29.4</v>
          </cell>
          <cell r="E26">
            <v>28.3</v>
          </cell>
          <cell r="F26">
            <v>29.1</v>
          </cell>
          <cell r="G26">
            <v>30.1</v>
          </cell>
          <cell r="H26">
            <v>30</v>
          </cell>
          <cell r="I26">
            <v>29.4</v>
          </cell>
          <cell r="J26">
            <v>29.8</v>
          </cell>
          <cell r="K26">
            <v>29.6</v>
          </cell>
          <cell r="L26">
            <v>29.2</v>
          </cell>
          <cell r="M26">
            <v>28.7</v>
          </cell>
          <cell r="N26">
            <v>28.9</v>
          </cell>
          <cell r="O26">
            <v>27.9</v>
          </cell>
        </row>
        <row r="27">
          <cell r="A27">
            <v>102</v>
          </cell>
          <cell r="B27">
            <v>2</v>
          </cell>
          <cell r="C27">
            <v>13.170999999999999</v>
          </cell>
          <cell r="D27">
            <v>27.6</v>
          </cell>
          <cell r="E27">
            <v>27.8</v>
          </cell>
          <cell r="F27">
            <v>28.2</v>
          </cell>
          <cell r="G27">
            <v>28.1</v>
          </cell>
          <cell r="H27">
            <v>27.9</v>
          </cell>
          <cell r="I27">
            <v>28.1</v>
          </cell>
          <cell r="J27">
            <v>27.7</v>
          </cell>
          <cell r="K27">
            <v>28.1</v>
          </cell>
          <cell r="L27">
            <v>28.6</v>
          </cell>
          <cell r="M27">
            <v>28.1</v>
          </cell>
          <cell r="N27">
            <v>27.8</v>
          </cell>
          <cell r="O27">
            <v>27.8</v>
          </cell>
        </row>
        <row r="28">
          <cell r="A28">
            <v>101</v>
          </cell>
          <cell r="B28">
            <v>1</v>
          </cell>
          <cell r="C28">
            <v>13.183999999999999</v>
          </cell>
          <cell r="D28">
            <v>30.4</v>
          </cell>
          <cell r="E28">
            <v>28.6</v>
          </cell>
          <cell r="F28">
            <v>29.6</v>
          </cell>
          <cell r="G28">
            <v>28.3</v>
          </cell>
          <cell r="H28">
            <v>30.1</v>
          </cell>
          <cell r="I28">
            <v>27.9</v>
          </cell>
          <cell r="J28">
            <v>29.4</v>
          </cell>
          <cell r="K28">
            <v>28.7</v>
          </cell>
          <cell r="L28">
            <v>30.1</v>
          </cell>
          <cell r="M28">
            <v>28.3</v>
          </cell>
          <cell r="N28">
            <v>29.5</v>
          </cell>
          <cell r="O28">
            <v>28.1</v>
          </cell>
        </row>
        <row r="29">
          <cell r="A29">
            <v>101</v>
          </cell>
          <cell r="B29">
            <v>2</v>
          </cell>
          <cell r="C29">
            <v>13.188000000000001</v>
          </cell>
          <cell r="D29">
            <v>28</v>
          </cell>
          <cell r="E29">
            <v>27.6</v>
          </cell>
          <cell r="F29">
            <v>28.4</v>
          </cell>
          <cell r="G29">
            <v>28.4</v>
          </cell>
          <cell r="H29">
            <v>28.2</v>
          </cell>
          <cell r="I29">
            <v>27.8</v>
          </cell>
          <cell r="J29">
            <v>28.1</v>
          </cell>
          <cell r="K29">
            <v>28.5</v>
          </cell>
          <cell r="L29">
            <v>28.4</v>
          </cell>
          <cell r="M29">
            <v>27.7</v>
          </cell>
          <cell r="N29">
            <v>28</v>
          </cell>
          <cell r="O29">
            <v>27.8</v>
          </cell>
        </row>
        <row r="30">
          <cell r="A30">
            <v>201</v>
          </cell>
          <cell r="B30">
            <v>1</v>
          </cell>
          <cell r="C30">
            <v>13.204000000000001</v>
          </cell>
          <cell r="D30">
            <v>28.6</v>
          </cell>
          <cell r="E30">
            <v>29.1</v>
          </cell>
          <cell r="F30">
            <v>29.4</v>
          </cell>
          <cell r="G30">
            <v>28</v>
          </cell>
          <cell r="H30">
            <v>28.8</v>
          </cell>
          <cell r="I30">
            <v>28.6</v>
          </cell>
          <cell r="J30">
            <v>28.8</v>
          </cell>
          <cell r="K30">
            <v>28.6</v>
          </cell>
          <cell r="L30">
            <v>28.2</v>
          </cell>
          <cell r="M30">
            <v>28.3</v>
          </cell>
          <cell r="N30">
            <v>28.3</v>
          </cell>
          <cell r="O30">
            <v>28.2</v>
          </cell>
        </row>
        <row r="31">
          <cell r="A31">
            <v>201</v>
          </cell>
          <cell r="B31">
            <v>2</v>
          </cell>
          <cell r="C31">
            <v>13.208</v>
          </cell>
          <cell r="D31">
            <v>27.8</v>
          </cell>
          <cell r="E31">
            <v>27.8</v>
          </cell>
          <cell r="F31">
            <v>28.2</v>
          </cell>
          <cell r="G31">
            <v>27.9</v>
          </cell>
          <cell r="H31">
            <v>27.8</v>
          </cell>
          <cell r="I31">
            <v>27.8</v>
          </cell>
          <cell r="J31">
            <v>28.1</v>
          </cell>
          <cell r="K31">
            <v>28</v>
          </cell>
          <cell r="L31">
            <v>28.1</v>
          </cell>
          <cell r="M31">
            <v>27.8</v>
          </cell>
          <cell r="N31">
            <v>28.2</v>
          </cell>
          <cell r="O31">
            <v>28.1</v>
          </cell>
        </row>
        <row r="32">
          <cell r="A32">
            <v>202</v>
          </cell>
          <cell r="B32">
            <v>1</v>
          </cell>
          <cell r="C32">
            <v>13.218999999999999</v>
          </cell>
          <cell r="D32">
            <v>29.9</v>
          </cell>
          <cell r="E32">
            <v>27.8</v>
          </cell>
          <cell r="F32">
            <v>29.7</v>
          </cell>
          <cell r="G32">
            <v>28.3</v>
          </cell>
          <cell r="H32">
            <v>29.9</v>
          </cell>
          <cell r="I32">
            <v>28</v>
          </cell>
          <cell r="J32">
            <v>30.1</v>
          </cell>
          <cell r="K32">
            <v>29.4</v>
          </cell>
          <cell r="L32">
            <v>30.6</v>
          </cell>
          <cell r="M32">
            <v>28.1</v>
          </cell>
          <cell r="N32">
            <v>28.9</v>
          </cell>
          <cell r="O32">
            <v>27.8</v>
          </cell>
        </row>
        <row r="33">
          <cell r="A33">
            <v>202</v>
          </cell>
          <cell r="B33">
            <v>2</v>
          </cell>
          <cell r="C33">
            <v>13.224</v>
          </cell>
          <cell r="D33">
            <v>28</v>
          </cell>
          <cell r="E33">
            <v>27.8</v>
          </cell>
          <cell r="F33">
            <v>27.8</v>
          </cell>
          <cell r="G33">
            <v>27.8</v>
          </cell>
          <cell r="H33">
            <v>28.4</v>
          </cell>
          <cell r="I33">
            <v>27.8</v>
          </cell>
          <cell r="J33">
            <v>27.9</v>
          </cell>
          <cell r="K33">
            <v>27.5</v>
          </cell>
          <cell r="L33">
            <v>28</v>
          </cell>
          <cell r="M33">
            <v>27.5</v>
          </cell>
          <cell r="N33">
            <v>27.6</v>
          </cell>
          <cell r="O33">
            <v>27.9</v>
          </cell>
        </row>
        <row r="34">
          <cell r="A34">
            <v>203</v>
          </cell>
          <cell r="B34">
            <v>1</v>
          </cell>
          <cell r="C34">
            <v>13.234999999999999</v>
          </cell>
          <cell r="D34">
            <v>29.6</v>
          </cell>
          <cell r="E34">
            <v>28.9</v>
          </cell>
          <cell r="F34">
            <v>29.3</v>
          </cell>
          <cell r="G34">
            <v>27.8</v>
          </cell>
          <cell r="H34">
            <v>28.5</v>
          </cell>
          <cell r="I34">
            <v>28.6</v>
          </cell>
          <cell r="J34">
            <v>29.2</v>
          </cell>
          <cell r="K34">
            <v>29</v>
          </cell>
          <cell r="L34">
            <v>27.8</v>
          </cell>
          <cell r="M34">
            <v>28.8</v>
          </cell>
          <cell r="N34">
            <v>28.3</v>
          </cell>
          <cell r="O34">
            <v>28.2</v>
          </cell>
        </row>
        <row r="35">
          <cell r="A35">
            <v>203</v>
          </cell>
          <cell r="B35">
            <v>2</v>
          </cell>
          <cell r="C35">
            <v>13.24</v>
          </cell>
          <cell r="D35">
            <v>27.3</v>
          </cell>
          <cell r="E35">
            <v>27.4</v>
          </cell>
          <cell r="F35">
            <v>27.7</v>
          </cell>
          <cell r="G35">
            <v>27.7</v>
          </cell>
          <cell r="H35">
            <v>27.7</v>
          </cell>
          <cell r="I35">
            <v>28.2</v>
          </cell>
          <cell r="J35">
            <v>28.2</v>
          </cell>
          <cell r="K35">
            <v>27.5</v>
          </cell>
          <cell r="L35">
            <v>27.8</v>
          </cell>
          <cell r="M35">
            <v>27.8</v>
          </cell>
          <cell r="N35">
            <v>28.1</v>
          </cell>
          <cell r="O35">
            <v>28.1</v>
          </cell>
        </row>
        <row r="36">
          <cell r="A36">
            <v>204</v>
          </cell>
          <cell r="B36">
            <v>1</v>
          </cell>
          <cell r="C36">
            <v>13.250999999999999</v>
          </cell>
          <cell r="D36">
            <v>27.7</v>
          </cell>
          <cell r="E36">
            <v>28</v>
          </cell>
          <cell r="F36">
            <v>28</v>
          </cell>
          <cell r="G36">
            <v>27.9</v>
          </cell>
          <cell r="H36">
            <v>28.3</v>
          </cell>
          <cell r="I36">
            <v>27.7</v>
          </cell>
          <cell r="J36">
            <v>27.6</v>
          </cell>
          <cell r="K36">
            <v>27.5</v>
          </cell>
          <cell r="L36">
            <v>27.4</v>
          </cell>
          <cell r="M36">
            <v>27.4</v>
          </cell>
          <cell r="N36">
            <v>27.5</v>
          </cell>
          <cell r="O36">
            <v>27.5</v>
          </cell>
        </row>
        <row r="37">
          <cell r="A37">
            <v>204</v>
          </cell>
          <cell r="B37">
            <v>2</v>
          </cell>
          <cell r="C37">
            <v>13.256</v>
          </cell>
          <cell r="D37">
            <v>27.5</v>
          </cell>
          <cell r="E37">
            <v>27.6</v>
          </cell>
          <cell r="F37">
            <v>27.6</v>
          </cell>
          <cell r="G37">
            <v>27.7</v>
          </cell>
          <cell r="H37">
            <v>27.6</v>
          </cell>
          <cell r="I37">
            <v>27.6</v>
          </cell>
          <cell r="J37">
            <v>28.3</v>
          </cell>
          <cell r="K37">
            <v>28.4</v>
          </cell>
          <cell r="L37">
            <v>28</v>
          </cell>
          <cell r="M37">
            <v>27.8</v>
          </cell>
          <cell r="N37">
            <v>28.3</v>
          </cell>
          <cell r="O37">
            <v>28.1</v>
          </cell>
        </row>
        <row r="38">
          <cell r="A38">
            <v>205</v>
          </cell>
          <cell r="B38">
            <v>1</v>
          </cell>
          <cell r="C38">
            <v>13.268000000000001</v>
          </cell>
          <cell r="D38">
            <v>29.2</v>
          </cell>
          <cell r="E38">
            <v>28.9</v>
          </cell>
          <cell r="F38">
            <v>28.3</v>
          </cell>
          <cell r="G38">
            <v>28.7</v>
          </cell>
          <cell r="H38">
            <v>28.8</v>
          </cell>
          <cell r="I38">
            <v>28.7</v>
          </cell>
          <cell r="J38">
            <v>28.5</v>
          </cell>
          <cell r="K38">
            <v>29.2</v>
          </cell>
          <cell r="L38">
            <v>28.9</v>
          </cell>
          <cell r="M38">
            <v>28</v>
          </cell>
          <cell r="N38">
            <v>28.1</v>
          </cell>
          <cell r="O38">
            <v>28.1</v>
          </cell>
        </row>
        <row r="39">
          <cell r="A39">
            <v>205</v>
          </cell>
          <cell r="B39">
            <v>2</v>
          </cell>
          <cell r="C39">
            <v>13.272</v>
          </cell>
          <cell r="D39">
            <v>28</v>
          </cell>
          <cell r="E39">
            <v>27.9</v>
          </cell>
          <cell r="F39">
            <v>28.1</v>
          </cell>
          <cell r="G39">
            <v>28</v>
          </cell>
          <cell r="H39">
            <v>28.6</v>
          </cell>
          <cell r="I39">
            <v>28.5</v>
          </cell>
          <cell r="J39">
            <v>28.4</v>
          </cell>
          <cell r="K39">
            <v>27.9</v>
          </cell>
          <cell r="L39">
            <v>28.1</v>
          </cell>
          <cell r="M39">
            <v>28.2</v>
          </cell>
          <cell r="N39">
            <v>28.7</v>
          </cell>
          <cell r="O39">
            <v>28.6</v>
          </cell>
        </row>
        <row r="40">
          <cell r="A40">
            <v>206</v>
          </cell>
          <cell r="B40">
            <v>1</v>
          </cell>
          <cell r="C40">
            <v>13.282999999999999</v>
          </cell>
          <cell r="D40">
            <v>28.9</v>
          </cell>
          <cell r="E40">
            <v>30.2</v>
          </cell>
          <cell r="F40">
            <v>29.4</v>
          </cell>
          <cell r="G40">
            <v>31.3</v>
          </cell>
          <cell r="H40">
            <v>29.9</v>
          </cell>
          <cell r="I40">
            <v>30.6</v>
          </cell>
          <cell r="J40">
            <v>28.9</v>
          </cell>
          <cell r="K40">
            <v>29.4</v>
          </cell>
          <cell r="L40">
            <v>29.4</v>
          </cell>
          <cell r="M40">
            <v>29.1</v>
          </cell>
          <cell r="N40">
            <v>29.9</v>
          </cell>
          <cell r="O40">
            <v>29.1</v>
          </cell>
        </row>
        <row r="41">
          <cell r="A41">
            <v>206</v>
          </cell>
          <cell r="B41">
            <v>2</v>
          </cell>
          <cell r="C41">
            <v>13.288</v>
          </cell>
          <cell r="D41">
            <v>28.5</v>
          </cell>
          <cell r="E41">
            <v>29.4</v>
          </cell>
          <cell r="F41">
            <v>28.6</v>
          </cell>
          <cell r="G41">
            <v>27.8</v>
          </cell>
          <cell r="H41">
            <v>28.4</v>
          </cell>
          <cell r="I41">
            <v>28.6</v>
          </cell>
          <cell r="J41">
            <v>28.9</v>
          </cell>
          <cell r="K41">
            <v>28.7</v>
          </cell>
          <cell r="L41">
            <v>28.8</v>
          </cell>
          <cell r="M41">
            <v>28.5</v>
          </cell>
          <cell r="N41">
            <v>28.4</v>
          </cell>
          <cell r="O41">
            <v>28</v>
          </cell>
        </row>
        <row r="42">
          <cell r="A42">
            <v>207</v>
          </cell>
          <cell r="B42">
            <v>1</v>
          </cell>
          <cell r="C42">
            <v>13.302</v>
          </cell>
          <cell r="D42">
            <v>29.7</v>
          </cell>
          <cell r="E42">
            <v>29</v>
          </cell>
          <cell r="F42">
            <v>29.6</v>
          </cell>
          <cell r="G42">
            <v>29.1</v>
          </cell>
          <cell r="H42">
            <v>29.5</v>
          </cell>
          <cell r="I42">
            <v>28.9</v>
          </cell>
          <cell r="J42">
            <v>29.5</v>
          </cell>
          <cell r="K42">
            <v>29.4</v>
          </cell>
          <cell r="L42">
            <v>29</v>
          </cell>
          <cell r="M42">
            <v>29</v>
          </cell>
          <cell r="N42">
            <v>28.4</v>
          </cell>
          <cell r="O42">
            <v>28.2</v>
          </cell>
        </row>
        <row r="43">
          <cell r="A43">
            <v>207</v>
          </cell>
          <cell r="B43">
            <v>2</v>
          </cell>
          <cell r="C43">
            <v>13.308</v>
          </cell>
          <cell r="D43">
            <v>28.1</v>
          </cell>
          <cell r="E43">
            <v>28.5</v>
          </cell>
          <cell r="F43">
            <v>28.3</v>
          </cell>
          <cell r="G43">
            <v>28.1</v>
          </cell>
          <cell r="H43">
            <v>28.6</v>
          </cell>
          <cell r="I43">
            <v>28.3</v>
          </cell>
          <cell r="J43">
            <v>28.8</v>
          </cell>
          <cell r="K43">
            <v>28.6</v>
          </cell>
          <cell r="L43">
            <v>28.5</v>
          </cell>
          <cell r="M43">
            <v>28.4</v>
          </cell>
          <cell r="N43">
            <v>28.8</v>
          </cell>
          <cell r="O43">
            <v>28.7</v>
          </cell>
        </row>
        <row r="44">
          <cell r="A44">
            <v>208</v>
          </cell>
          <cell r="B44">
            <v>1</v>
          </cell>
          <cell r="C44">
            <v>13.319000000000001</v>
          </cell>
          <cell r="D44">
            <v>29.7</v>
          </cell>
          <cell r="E44">
            <v>29</v>
          </cell>
          <cell r="F44">
            <v>29.2</v>
          </cell>
          <cell r="G44">
            <v>30.2</v>
          </cell>
          <cell r="H44">
            <v>29.7</v>
          </cell>
          <cell r="I44">
            <v>30.2</v>
          </cell>
          <cell r="J44">
            <v>29.4</v>
          </cell>
          <cell r="K44">
            <v>30</v>
          </cell>
          <cell r="L44">
            <v>30</v>
          </cell>
          <cell r="M44">
            <v>30.7</v>
          </cell>
          <cell r="N44">
            <v>29.2</v>
          </cell>
          <cell r="O44">
            <v>29.4</v>
          </cell>
        </row>
        <row r="45">
          <cell r="A45">
            <v>208</v>
          </cell>
          <cell r="B45">
            <v>2</v>
          </cell>
          <cell r="C45">
            <v>13.324</v>
          </cell>
          <cell r="D45">
            <v>28.1</v>
          </cell>
          <cell r="E45">
            <v>28.6</v>
          </cell>
          <cell r="F45">
            <v>29.2</v>
          </cell>
          <cell r="G45">
            <v>28.9</v>
          </cell>
          <cell r="H45">
            <v>28.9</v>
          </cell>
          <cell r="I45">
            <v>28.5</v>
          </cell>
          <cell r="J45">
            <v>29</v>
          </cell>
          <cell r="K45">
            <v>28.8</v>
          </cell>
          <cell r="L45">
            <v>29.4</v>
          </cell>
          <cell r="M45">
            <v>28.7</v>
          </cell>
          <cell r="N45">
            <v>28.8</v>
          </cell>
          <cell r="O45">
            <v>28.6</v>
          </cell>
        </row>
        <row r="46">
          <cell r="A46">
            <v>908</v>
          </cell>
          <cell r="B46">
            <v>1</v>
          </cell>
          <cell r="C46">
            <v>13.340999999999999</v>
          </cell>
          <cell r="D46">
            <v>30.5</v>
          </cell>
          <cell r="E46">
            <v>31.5</v>
          </cell>
          <cell r="F46">
            <v>30.6</v>
          </cell>
          <cell r="G46">
            <v>32.1</v>
          </cell>
          <cell r="H46">
            <v>30.5</v>
          </cell>
          <cell r="I46">
            <v>32.299999999999997</v>
          </cell>
          <cell r="J46">
            <v>30.6</v>
          </cell>
          <cell r="K46">
            <v>31.8</v>
          </cell>
          <cell r="L46">
            <v>30.7</v>
          </cell>
          <cell r="M46">
            <v>32.700000000000003</v>
          </cell>
          <cell r="N46">
            <v>30.4</v>
          </cell>
          <cell r="O46">
            <v>30.6</v>
          </cell>
        </row>
        <row r="47">
          <cell r="A47">
            <v>908</v>
          </cell>
          <cell r="B47">
            <v>2</v>
          </cell>
          <cell r="C47">
            <v>13.346</v>
          </cell>
          <cell r="D47">
            <v>29.3</v>
          </cell>
          <cell r="E47">
            <v>29.7</v>
          </cell>
          <cell r="F47">
            <v>29.5</v>
          </cell>
          <cell r="G47">
            <v>29.4</v>
          </cell>
          <cell r="H47">
            <v>29.4</v>
          </cell>
          <cell r="I47">
            <v>29.1</v>
          </cell>
          <cell r="J47">
            <v>29.3</v>
          </cell>
          <cell r="K47">
            <v>29.4</v>
          </cell>
          <cell r="L47">
            <v>28.9</v>
          </cell>
          <cell r="M47">
            <v>29.1</v>
          </cell>
          <cell r="N47">
            <v>29.8</v>
          </cell>
          <cell r="O47">
            <v>29.8</v>
          </cell>
        </row>
        <row r="48">
          <cell r="A48">
            <v>907</v>
          </cell>
          <cell r="B48">
            <v>1</v>
          </cell>
          <cell r="C48">
            <v>13.358000000000001</v>
          </cell>
          <cell r="D48">
            <v>48.6</v>
          </cell>
          <cell r="E48">
            <v>48.5</v>
          </cell>
          <cell r="F48">
            <v>48.5</v>
          </cell>
          <cell r="G48">
            <v>48.7</v>
          </cell>
          <cell r="H48">
            <v>48.3</v>
          </cell>
          <cell r="I48">
            <v>48.2</v>
          </cell>
          <cell r="J48">
            <v>48.4</v>
          </cell>
          <cell r="K48">
            <v>48.4</v>
          </cell>
          <cell r="L48">
            <v>48.7</v>
          </cell>
          <cell r="M48">
            <v>48.6</v>
          </cell>
          <cell r="N48">
            <v>48.6</v>
          </cell>
          <cell r="O48">
            <v>48.7</v>
          </cell>
        </row>
        <row r="50">
          <cell r="A50">
            <v>906</v>
          </cell>
          <cell r="B50">
            <v>1</v>
          </cell>
          <cell r="C50">
            <v>13.365</v>
          </cell>
          <cell r="D50">
            <v>33.4</v>
          </cell>
          <cell r="E50">
            <v>30.6</v>
          </cell>
          <cell r="F50">
            <v>35.200000000000003</v>
          </cell>
          <cell r="G50">
            <v>30.8</v>
          </cell>
          <cell r="H50">
            <v>34</v>
          </cell>
          <cell r="I50">
            <v>32.799999999999997</v>
          </cell>
          <cell r="J50">
            <v>32.6</v>
          </cell>
          <cell r="K50">
            <v>33.5</v>
          </cell>
          <cell r="L50">
            <v>32.1</v>
          </cell>
          <cell r="M50">
            <v>33.6</v>
          </cell>
          <cell r="N50">
            <v>33.6</v>
          </cell>
          <cell r="O50">
            <v>32</v>
          </cell>
        </row>
        <row r="51">
          <cell r="A51">
            <v>906</v>
          </cell>
          <cell r="B51">
            <v>2</v>
          </cell>
          <cell r="C51">
            <v>13.37</v>
          </cell>
          <cell r="D51">
            <v>29.1</v>
          </cell>
          <cell r="E51">
            <v>29.2</v>
          </cell>
          <cell r="F51">
            <v>30.3</v>
          </cell>
          <cell r="G51">
            <v>30.9</v>
          </cell>
          <cell r="H51">
            <v>30.4</v>
          </cell>
          <cell r="I51">
            <v>30.4</v>
          </cell>
          <cell r="J51">
            <v>29.7</v>
          </cell>
          <cell r="K51">
            <v>30.2</v>
          </cell>
          <cell r="L51">
            <v>30.1</v>
          </cell>
          <cell r="M51">
            <v>30.7</v>
          </cell>
          <cell r="N51">
            <v>29.9</v>
          </cell>
          <cell r="O51">
            <v>29.8</v>
          </cell>
        </row>
        <row r="52">
          <cell r="A52">
            <v>905</v>
          </cell>
          <cell r="B52">
            <v>1</v>
          </cell>
          <cell r="C52">
            <v>13.382</v>
          </cell>
          <cell r="D52">
            <v>33.4</v>
          </cell>
          <cell r="E52">
            <v>33.5</v>
          </cell>
          <cell r="F52">
            <v>33.4</v>
          </cell>
          <cell r="G52">
            <v>33.4</v>
          </cell>
          <cell r="H52">
            <v>33.299999999999997</v>
          </cell>
          <cell r="I52">
            <v>33.299999999999997</v>
          </cell>
          <cell r="J52">
            <v>33.299999999999997</v>
          </cell>
          <cell r="K52">
            <v>33.4</v>
          </cell>
          <cell r="L52">
            <v>33.4</v>
          </cell>
          <cell r="M52">
            <v>33.5</v>
          </cell>
          <cell r="N52">
            <v>33.200000000000003</v>
          </cell>
          <cell r="O52">
            <v>33.4</v>
          </cell>
        </row>
        <row r="54">
          <cell r="A54">
            <v>904</v>
          </cell>
          <cell r="B54">
            <v>1</v>
          </cell>
          <cell r="C54">
            <v>13.388999999999999</v>
          </cell>
          <cell r="D54">
            <v>30.5</v>
          </cell>
          <cell r="E54">
            <v>30.4</v>
          </cell>
          <cell r="F54">
            <v>31.3</v>
          </cell>
          <cell r="G54">
            <v>30.6</v>
          </cell>
          <cell r="H54">
            <v>32</v>
          </cell>
          <cell r="I54">
            <v>30.9</v>
          </cell>
          <cell r="J54">
            <v>32.200000000000003</v>
          </cell>
          <cell r="K54">
            <v>31.3</v>
          </cell>
          <cell r="L54">
            <v>31.1</v>
          </cell>
          <cell r="M54">
            <v>31.4</v>
          </cell>
          <cell r="N54">
            <v>32.9</v>
          </cell>
          <cell r="O54">
            <v>30.5</v>
          </cell>
        </row>
        <row r="55">
          <cell r="A55">
            <v>904</v>
          </cell>
          <cell r="B55">
            <v>2</v>
          </cell>
          <cell r="C55">
            <v>13.394</v>
          </cell>
          <cell r="D55">
            <v>29.3</v>
          </cell>
          <cell r="E55">
            <v>29.5</v>
          </cell>
          <cell r="F55">
            <v>29.6</v>
          </cell>
          <cell r="G55">
            <v>28.2</v>
          </cell>
          <cell r="H55">
            <v>29.1</v>
          </cell>
          <cell r="I55">
            <v>28.6</v>
          </cell>
          <cell r="J55">
            <v>27.6</v>
          </cell>
          <cell r="K55">
            <v>28.3</v>
          </cell>
          <cell r="L55">
            <v>28.4</v>
          </cell>
          <cell r="M55">
            <v>28.6</v>
          </cell>
          <cell r="N55">
            <v>28.1</v>
          </cell>
          <cell r="O55">
            <v>28.8</v>
          </cell>
        </row>
        <row r="56">
          <cell r="A56">
            <v>903</v>
          </cell>
          <cell r="B56">
            <v>1</v>
          </cell>
          <cell r="C56">
            <v>13.406000000000001</v>
          </cell>
          <cell r="D56">
            <v>48.8</v>
          </cell>
          <cell r="E56">
            <v>48.7</v>
          </cell>
          <cell r="F56">
            <v>48.8</v>
          </cell>
          <cell r="G56">
            <v>48.8</v>
          </cell>
          <cell r="H56">
            <v>48.8</v>
          </cell>
          <cell r="I56">
            <v>48.9</v>
          </cell>
          <cell r="J56">
            <v>48.8</v>
          </cell>
          <cell r="K56">
            <v>48.7</v>
          </cell>
          <cell r="L56">
            <v>48.6</v>
          </cell>
          <cell r="M56">
            <v>48.8</v>
          </cell>
          <cell r="N56">
            <v>49</v>
          </cell>
          <cell r="O56">
            <v>49.2</v>
          </cell>
        </row>
        <row r="58">
          <cell r="A58">
            <v>902</v>
          </cell>
          <cell r="B58">
            <v>1</v>
          </cell>
          <cell r="C58">
            <v>13.413</v>
          </cell>
          <cell r="D58">
            <v>34.299999999999997</v>
          </cell>
          <cell r="E58">
            <v>29.8</v>
          </cell>
          <cell r="F58">
            <v>33.5</v>
          </cell>
          <cell r="G58">
            <v>30.8</v>
          </cell>
          <cell r="H58">
            <v>35</v>
          </cell>
          <cell r="I58">
            <v>30.4</v>
          </cell>
          <cell r="J58">
            <v>35.9</v>
          </cell>
          <cell r="K58">
            <v>30.3</v>
          </cell>
          <cell r="L58">
            <v>35.9</v>
          </cell>
          <cell r="M58">
            <v>32.4</v>
          </cell>
          <cell r="N58">
            <v>33.9</v>
          </cell>
          <cell r="O58">
            <v>31.4</v>
          </cell>
        </row>
        <row r="59">
          <cell r="A59">
            <v>902</v>
          </cell>
          <cell r="B59">
            <v>2</v>
          </cell>
          <cell r="C59">
            <v>13.417999999999999</v>
          </cell>
          <cell r="D59">
            <v>29.4</v>
          </cell>
          <cell r="E59">
            <v>29</v>
          </cell>
          <cell r="F59">
            <v>30.3</v>
          </cell>
          <cell r="G59">
            <v>29.7</v>
          </cell>
          <cell r="H59">
            <v>28.7</v>
          </cell>
          <cell r="I59">
            <v>29.7</v>
          </cell>
          <cell r="J59">
            <v>30.2</v>
          </cell>
          <cell r="K59">
            <v>29.4</v>
          </cell>
          <cell r="L59">
            <v>29.4</v>
          </cell>
          <cell r="M59">
            <v>29.9</v>
          </cell>
          <cell r="N59">
            <v>28.5</v>
          </cell>
          <cell r="O59">
            <v>28.8</v>
          </cell>
        </row>
        <row r="60">
          <cell r="A60">
            <v>901</v>
          </cell>
          <cell r="B60">
            <v>1</v>
          </cell>
          <cell r="C60">
            <v>13.43</v>
          </cell>
          <cell r="D60">
            <v>33.799999999999997</v>
          </cell>
          <cell r="E60">
            <v>33.700000000000003</v>
          </cell>
          <cell r="F60">
            <v>33.6</v>
          </cell>
          <cell r="G60">
            <v>33.6</v>
          </cell>
          <cell r="H60">
            <v>33.700000000000003</v>
          </cell>
          <cell r="I60">
            <v>33.4</v>
          </cell>
          <cell r="J60">
            <v>33.4</v>
          </cell>
          <cell r="K60">
            <v>33.4</v>
          </cell>
          <cell r="L60">
            <v>33.200000000000003</v>
          </cell>
          <cell r="M60">
            <v>33.5</v>
          </cell>
          <cell r="N60">
            <v>33.799999999999997</v>
          </cell>
          <cell r="O60">
            <v>33.700000000000003</v>
          </cell>
        </row>
        <row r="62">
          <cell r="A62">
            <v>301</v>
          </cell>
          <cell r="B62">
            <v>1</v>
          </cell>
          <cell r="C62">
            <v>13.44</v>
          </cell>
          <cell r="D62">
            <v>30.3</v>
          </cell>
          <cell r="E62">
            <v>28.6</v>
          </cell>
          <cell r="F62">
            <v>30.2</v>
          </cell>
          <cell r="G62">
            <v>28.2</v>
          </cell>
          <cell r="H62">
            <v>29.7</v>
          </cell>
          <cell r="I62">
            <v>29.3</v>
          </cell>
          <cell r="J62">
            <v>29.6</v>
          </cell>
          <cell r="K62">
            <v>27.8</v>
          </cell>
          <cell r="L62">
            <v>29.4</v>
          </cell>
          <cell r="M62">
            <v>27.9</v>
          </cell>
          <cell r="N62">
            <v>29.2</v>
          </cell>
          <cell r="O62">
            <v>27.9</v>
          </cell>
        </row>
        <row r="63">
          <cell r="A63">
            <v>301</v>
          </cell>
          <cell r="B63">
            <v>2</v>
          </cell>
          <cell r="C63">
            <v>13.446</v>
          </cell>
          <cell r="D63">
            <v>27.8</v>
          </cell>
          <cell r="E63">
            <v>27.7</v>
          </cell>
          <cell r="F63">
            <v>27.9</v>
          </cell>
          <cell r="G63">
            <v>27.6</v>
          </cell>
          <cell r="H63">
            <v>28.2</v>
          </cell>
          <cell r="I63">
            <v>27.9</v>
          </cell>
          <cell r="J63">
            <v>28</v>
          </cell>
          <cell r="K63">
            <v>28.2</v>
          </cell>
          <cell r="L63">
            <v>28.3</v>
          </cell>
          <cell r="M63">
            <v>28.3</v>
          </cell>
          <cell r="N63">
            <v>28.5</v>
          </cell>
          <cell r="O63">
            <v>28.5</v>
          </cell>
        </row>
        <row r="64">
          <cell r="A64">
            <v>302</v>
          </cell>
          <cell r="B64">
            <v>1</v>
          </cell>
          <cell r="C64">
            <v>13.46</v>
          </cell>
          <cell r="D64">
            <v>30</v>
          </cell>
          <cell r="E64">
            <v>28.6</v>
          </cell>
          <cell r="F64">
            <v>29.8</v>
          </cell>
          <cell r="G64">
            <v>29.4</v>
          </cell>
          <cell r="H64">
            <v>29.9</v>
          </cell>
          <cell r="I64">
            <v>28.6</v>
          </cell>
          <cell r="J64">
            <v>30.5</v>
          </cell>
          <cell r="K64">
            <v>28.7</v>
          </cell>
          <cell r="L64">
            <v>29.6</v>
          </cell>
          <cell r="M64">
            <v>29.1</v>
          </cell>
          <cell r="N64">
            <v>29.5</v>
          </cell>
          <cell r="O64">
            <v>28.8</v>
          </cell>
        </row>
        <row r="65">
          <cell r="A65">
            <v>302</v>
          </cell>
          <cell r="B65">
            <v>2</v>
          </cell>
          <cell r="C65">
            <v>13.465999999999999</v>
          </cell>
          <cell r="D65">
            <v>27.8</v>
          </cell>
          <cell r="E65">
            <v>27.9</v>
          </cell>
          <cell r="F65">
            <v>28.3</v>
          </cell>
          <cell r="G65">
            <v>28.2</v>
          </cell>
          <cell r="H65">
            <v>28.2</v>
          </cell>
          <cell r="I65">
            <v>28.1</v>
          </cell>
          <cell r="J65">
            <v>28.6</v>
          </cell>
          <cell r="K65">
            <v>28.5</v>
          </cell>
          <cell r="L65">
            <v>28.2</v>
          </cell>
          <cell r="M65">
            <v>27.8</v>
          </cell>
          <cell r="N65">
            <v>28.3</v>
          </cell>
          <cell r="O65">
            <v>27.7</v>
          </cell>
        </row>
        <row r="66">
          <cell r="A66">
            <v>303</v>
          </cell>
          <cell r="B66">
            <v>1</v>
          </cell>
          <cell r="C66">
            <v>13.48</v>
          </cell>
          <cell r="D66">
            <v>28.4</v>
          </cell>
          <cell r="E66">
            <v>28.9</v>
          </cell>
          <cell r="F66">
            <v>28.7</v>
          </cell>
          <cell r="G66">
            <v>29.7</v>
          </cell>
          <cell r="H66">
            <v>28.9</v>
          </cell>
          <cell r="I66">
            <v>28.6</v>
          </cell>
          <cell r="J66">
            <v>28.4</v>
          </cell>
          <cell r="K66">
            <v>28.2</v>
          </cell>
          <cell r="L66">
            <v>28.8</v>
          </cell>
          <cell r="M66">
            <v>28.6</v>
          </cell>
          <cell r="N66">
            <v>28.9</v>
          </cell>
          <cell r="O66">
            <v>29.6</v>
          </cell>
        </row>
        <row r="67">
          <cell r="A67">
            <v>303</v>
          </cell>
          <cell r="B67">
            <v>2</v>
          </cell>
          <cell r="C67">
            <v>13.486000000000001</v>
          </cell>
          <cell r="D67">
            <v>28.3</v>
          </cell>
          <cell r="E67">
            <v>28.1</v>
          </cell>
          <cell r="F67">
            <v>28</v>
          </cell>
          <cell r="G67">
            <v>28.2</v>
          </cell>
          <cell r="H67">
            <v>28.6</v>
          </cell>
          <cell r="I67">
            <v>28.5</v>
          </cell>
          <cell r="J67">
            <v>28.6</v>
          </cell>
          <cell r="K67">
            <v>28.3</v>
          </cell>
          <cell r="L67">
            <v>28.9</v>
          </cell>
          <cell r="M67">
            <v>28.2</v>
          </cell>
          <cell r="N67">
            <v>28.4</v>
          </cell>
          <cell r="O67">
            <v>28.4</v>
          </cell>
        </row>
        <row r="68">
          <cell r="A68">
            <v>304</v>
          </cell>
          <cell r="B68">
            <v>1</v>
          </cell>
          <cell r="C68">
            <v>13.5</v>
          </cell>
          <cell r="D68">
            <v>28.1</v>
          </cell>
          <cell r="E68">
            <v>28.3</v>
          </cell>
          <cell r="F68">
            <v>29.1</v>
          </cell>
          <cell r="G68">
            <v>29.2</v>
          </cell>
          <cell r="H68">
            <v>29.8</v>
          </cell>
          <cell r="I68">
            <v>28.2</v>
          </cell>
          <cell r="J68">
            <v>29.6</v>
          </cell>
          <cell r="K68">
            <v>27.7</v>
          </cell>
          <cell r="L68">
            <v>29.1</v>
          </cell>
          <cell r="M68">
            <v>28.5</v>
          </cell>
          <cell r="N68">
            <v>30.3</v>
          </cell>
          <cell r="O68">
            <v>27.6</v>
          </cell>
        </row>
        <row r="69">
          <cell r="A69">
            <v>304</v>
          </cell>
          <cell r="B69">
            <v>2</v>
          </cell>
          <cell r="C69">
            <v>13.506</v>
          </cell>
          <cell r="D69">
            <v>27.3</v>
          </cell>
          <cell r="E69">
            <v>27.3</v>
          </cell>
          <cell r="F69">
            <v>27.6</v>
          </cell>
          <cell r="G69">
            <v>27.8</v>
          </cell>
          <cell r="H69">
            <v>27.3</v>
          </cell>
          <cell r="I69">
            <v>27.2</v>
          </cell>
          <cell r="J69">
            <v>27.4</v>
          </cell>
          <cell r="K69">
            <v>27.1</v>
          </cell>
          <cell r="L69">
            <v>27.7</v>
          </cell>
          <cell r="M69">
            <v>28</v>
          </cell>
          <cell r="N69">
            <v>27</v>
          </cell>
          <cell r="O69">
            <v>27.1</v>
          </cell>
        </row>
        <row r="70">
          <cell r="A70">
            <v>305</v>
          </cell>
          <cell r="B70">
            <v>1</v>
          </cell>
          <cell r="C70">
            <v>13.523999999999999</v>
          </cell>
          <cell r="D70">
            <v>27.4</v>
          </cell>
          <cell r="E70">
            <v>27.3</v>
          </cell>
          <cell r="F70">
            <v>27.3</v>
          </cell>
          <cell r="G70">
            <v>27.5</v>
          </cell>
          <cell r="H70">
            <v>27.6</v>
          </cell>
          <cell r="I70">
            <v>27.3</v>
          </cell>
          <cell r="J70">
            <v>27.6</v>
          </cell>
          <cell r="K70">
            <v>27.1</v>
          </cell>
          <cell r="L70">
            <v>27.1</v>
          </cell>
          <cell r="M70">
            <v>26.7</v>
          </cell>
          <cell r="N70">
            <v>27</v>
          </cell>
          <cell r="O70">
            <v>26.7</v>
          </cell>
        </row>
        <row r="71">
          <cell r="A71">
            <v>305</v>
          </cell>
          <cell r="B71">
            <v>2</v>
          </cell>
          <cell r="C71">
            <v>13.531000000000001</v>
          </cell>
          <cell r="D71">
            <v>26.8</v>
          </cell>
          <cell r="E71">
            <v>26.8</v>
          </cell>
          <cell r="F71">
            <v>26.8</v>
          </cell>
          <cell r="G71">
            <v>26.7</v>
          </cell>
          <cell r="H71">
            <v>26.7</v>
          </cell>
          <cell r="I71">
            <v>27.2</v>
          </cell>
          <cell r="J71">
            <v>27.1</v>
          </cell>
          <cell r="K71">
            <v>26.7</v>
          </cell>
          <cell r="L71">
            <v>27</v>
          </cell>
          <cell r="M71">
            <v>27.1</v>
          </cell>
          <cell r="N71">
            <v>26.9</v>
          </cell>
          <cell r="O71">
            <v>26.8</v>
          </cell>
        </row>
        <row r="72">
          <cell r="A72">
            <v>306</v>
          </cell>
          <cell r="B72">
            <v>1</v>
          </cell>
          <cell r="C72">
            <v>13.542</v>
          </cell>
          <cell r="D72">
            <v>27.3</v>
          </cell>
          <cell r="E72">
            <v>27.2</v>
          </cell>
          <cell r="F72">
            <v>27.2</v>
          </cell>
          <cell r="G72">
            <v>29.2</v>
          </cell>
          <cell r="H72">
            <v>28.6</v>
          </cell>
          <cell r="I72">
            <v>28.7</v>
          </cell>
          <cell r="J72">
            <v>28.1</v>
          </cell>
          <cell r="K72">
            <v>28.7</v>
          </cell>
          <cell r="L72">
            <v>28.5</v>
          </cell>
          <cell r="M72">
            <v>27.5</v>
          </cell>
          <cell r="N72">
            <v>27.9</v>
          </cell>
          <cell r="O72">
            <v>27.9</v>
          </cell>
        </row>
        <row r="73">
          <cell r="A73">
            <v>306</v>
          </cell>
          <cell r="B73">
            <v>2</v>
          </cell>
          <cell r="C73">
            <v>13.547000000000001</v>
          </cell>
          <cell r="D73">
            <v>27.3</v>
          </cell>
          <cell r="E73">
            <v>27.1</v>
          </cell>
          <cell r="F73">
            <v>27.6</v>
          </cell>
          <cell r="G73">
            <v>27.1</v>
          </cell>
          <cell r="H73">
            <v>27.8</v>
          </cell>
          <cell r="I73">
            <v>27.5</v>
          </cell>
          <cell r="J73">
            <v>27.5</v>
          </cell>
          <cell r="K73">
            <v>27.2</v>
          </cell>
          <cell r="L73">
            <v>27.7</v>
          </cell>
          <cell r="M73">
            <v>27.4</v>
          </cell>
          <cell r="N73">
            <v>27.3</v>
          </cell>
          <cell r="O73">
            <v>27.1</v>
          </cell>
        </row>
        <row r="74">
          <cell r="A74">
            <v>307</v>
          </cell>
          <cell r="B74">
            <v>1</v>
          </cell>
          <cell r="C74">
            <v>13.561</v>
          </cell>
          <cell r="D74">
            <v>27.7</v>
          </cell>
          <cell r="E74">
            <v>27.6</v>
          </cell>
          <cell r="F74">
            <v>28</v>
          </cell>
          <cell r="G74">
            <v>28</v>
          </cell>
          <cell r="H74">
            <v>27.7</v>
          </cell>
          <cell r="I74">
            <v>28.2</v>
          </cell>
          <cell r="J74">
            <v>27.6</v>
          </cell>
          <cell r="K74">
            <v>28.1</v>
          </cell>
          <cell r="L74">
            <v>27.6</v>
          </cell>
          <cell r="M74">
            <v>27.7</v>
          </cell>
          <cell r="N74">
            <v>27.6</v>
          </cell>
          <cell r="O74">
            <v>27.5</v>
          </cell>
        </row>
        <row r="75">
          <cell r="A75">
            <v>307</v>
          </cell>
          <cell r="B75">
            <v>2</v>
          </cell>
          <cell r="C75">
            <v>13.565</v>
          </cell>
          <cell r="D75">
            <v>27.1</v>
          </cell>
          <cell r="E75">
            <v>27.2</v>
          </cell>
          <cell r="F75">
            <v>27.1</v>
          </cell>
          <cell r="G75">
            <v>27</v>
          </cell>
          <cell r="H75">
            <v>27.6</v>
          </cell>
          <cell r="I75">
            <v>27.3</v>
          </cell>
          <cell r="J75">
            <v>27.1</v>
          </cell>
          <cell r="K75">
            <v>27.2</v>
          </cell>
          <cell r="L75">
            <v>27.3</v>
          </cell>
          <cell r="M75">
            <v>27.2</v>
          </cell>
          <cell r="N75">
            <v>27.4</v>
          </cell>
          <cell r="O75">
            <v>27.1</v>
          </cell>
        </row>
        <row r="76">
          <cell r="A76">
            <v>308</v>
          </cell>
          <cell r="B76">
            <v>1</v>
          </cell>
          <cell r="C76">
            <v>13.577</v>
          </cell>
          <cell r="D76">
            <v>27.4</v>
          </cell>
          <cell r="E76">
            <v>27.5</v>
          </cell>
          <cell r="F76">
            <v>27.8</v>
          </cell>
          <cell r="G76">
            <v>27.7</v>
          </cell>
          <cell r="H76">
            <v>28.4</v>
          </cell>
          <cell r="I76">
            <v>28.4</v>
          </cell>
          <cell r="J76">
            <v>28.5</v>
          </cell>
          <cell r="K76">
            <v>27.9</v>
          </cell>
          <cell r="L76">
            <v>27.8</v>
          </cell>
          <cell r="M76">
            <v>27.6</v>
          </cell>
          <cell r="N76">
            <v>27.8</v>
          </cell>
          <cell r="O76">
            <v>27.9</v>
          </cell>
        </row>
        <row r="77">
          <cell r="A77">
            <v>308</v>
          </cell>
          <cell r="B77">
            <v>2</v>
          </cell>
          <cell r="C77">
            <v>13.582000000000001</v>
          </cell>
          <cell r="D77">
            <v>26.9</v>
          </cell>
          <cell r="E77">
            <v>27.5</v>
          </cell>
          <cell r="F77">
            <v>27.7</v>
          </cell>
          <cell r="G77">
            <v>27.3</v>
          </cell>
          <cell r="H77">
            <v>27.3</v>
          </cell>
          <cell r="I77">
            <v>27.6</v>
          </cell>
          <cell r="J77">
            <v>27.9</v>
          </cell>
          <cell r="K77">
            <v>27.8</v>
          </cell>
          <cell r="L77">
            <v>27.9</v>
          </cell>
          <cell r="M77">
            <v>27.7</v>
          </cell>
          <cell r="N77">
            <v>27.3</v>
          </cell>
          <cell r="O77">
            <v>27.4</v>
          </cell>
        </row>
        <row r="78">
          <cell r="A78">
            <v>408</v>
          </cell>
          <cell r="B78">
            <v>1</v>
          </cell>
          <cell r="C78">
            <v>13.6</v>
          </cell>
          <cell r="D78">
            <v>30.2</v>
          </cell>
          <cell r="E78">
            <v>28.6</v>
          </cell>
          <cell r="F78">
            <v>32.9</v>
          </cell>
          <cell r="G78">
            <v>28.8</v>
          </cell>
          <cell r="H78">
            <v>31.9</v>
          </cell>
          <cell r="I78">
            <v>29.8</v>
          </cell>
          <cell r="J78">
            <v>30.2</v>
          </cell>
          <cell r="K78">
            <v>30.8</v>
          </cell>
          <cell r="L78">
            <v>29.7</v>
          </cell>
          <cell r="M78">
            <v>29.7</v>
          </cell>
          <cell r="N78">
            <v>30.9</v>
          </cell>
          <cell r="O78">
            <v>30.6</v>
          </cell>
        </row>
        <row r="79">
          <cell r="A79">
            <v>408</v>
          </cell>
          <cell r="B79">
            <v>2</v>
          </cell>
          <cell r="C79">
            <v>13.606</v>
          </cell>
          <cell r="D79">
            <v>27.9</v>
          </cell>
          <cell r="E79">
            <v>28.4</v>
          </cell>
          <cell r="F79">
            <v>28.5</v>
          </cell>
          <cell r="G79">
            <v>28.9</v>
          </cell>
          <cell r="H79">
            <v>29.6</v>
          </cell>
          <cell r="I79">
            <v>29.1</v>
          </cell>
          <cell r="J79">
            <v>29.1</v>
          </cell>
          <cell r="K79">
            <v>29.3</v>
          </cell>
          <cell r="L79">
            <v>28.7</v>
          </cell>
          <cell r="M79">
            <v>28.8</v>
          </cell>
          <cell r="N79">
            <v>28.2</v>
          </cell>
          <cell r="O79">
            <v>28.7</v>
          </cell>
        </row>
        <row r="80">
          <cell r="A80">
            <v>407</v>
          </cell>
          <cell r="B80">
            <v>1</v>
          </cell>
          <cell r="C80">
            <v>13.619</v>
          </cell>
          <cell r="D80">
            <v>30.9</v>
          </cell>
          <cell r="E80">
            <v>29.3</v>
          </cell>
          <cell r="F80">
            <v>29.9</v>
          </cell>
          <cell r="G80">
            <v>29.3</v>
          </cell>
          <cell r="H80">
            <v>29.9</v>
          </cell>
          <cell r="I80">
            <v>29.7</v>
          </cell>
          <cell r="J80">
            <v>30</v>
          </cell>
          <cell r="K80">
            <v>30.2</v>
          </cell>
          <cell r="L80">
            <v>29.2</v>
          </cell>
          <cell r="M80">
            <v>30.2</v>
          </cell>
          <cell r="N80">
            <v>28.8</v>
          </cell>
          <cell r="O80">
            <v>30.9</v>
          </cell>
        </row>
        <row r="81">
          <cell r="A81">
            <v>407</v>
          </cell>
          <cell r="B81">
            <v>2</v>
          </cell>
          <cell r="C81">
            <v>13.624000000000001</v>
          </cell>
          <cell r="D81">
            <v>28.8</v>
          </cell>
          <cell r="E81">
            <v>28.6</v>
          </cell>
          <cell r="F81">
            <v>28.6</v>
          </cell>
          <cell r="G81">
            <v>28.2</v>
          </cell>
          <cell r="H81">
            <v>28.5</v>
          </cell>
          <cell r="I81">
            <v>28.5</v>
          </cell>
          <cell r="J81">
            <v>28.5</v>
          </cell>
          <cell r="K81">
            <v>28.6</v>
          </cell>
          <cell r="L81">
            <v>28.6</v>
          </cell>
          <cell r="M81">
            <v>28.3</v>
          </cell>
          <cell r="N81">
            <v>28.2</v>
          </cell>
          <cell r="O81">
            <v>28.2</v>
          </cell>
        </row>
        <row r="82">
          <cell r="A82">
            <v>406</v>
          </cell>
          <cell r="B82">
            <v>1</v>
          </cell>
          <cell r="C82">
            <v>13.638</v>
          </cell>
          <cell r="D82">
            <v>29.5</v>
          </cell>
          <cell r="E82">
            <v>27.5</v>
          </cell>
          <cell r="F82">
            <v>28.2</v>
          </cell>
          <cell r="G82">
            <v>27.4</v>
          </cell>
          <cell r="H82">
            <v>27.4</v>
          </cell>
          <cell r="I82">
            <v>28</v>
          </cell>
          <cell r="J82">
            <v>27.6</v>
          </cell>
          <cell r="K82">
            <v>28.4</v>
          </cell>
          <cell r="L82">
            <v>27.3</v>
          </cell>
          <cell r="M82">
            <v>28.5</v>
          </cell>
          <cell r="N82">
            <v>27.1</v>
          </cell>
          <cell r="O82">
            <v>28.1</v>
          </cell>
        </row>
        <row r="83">
          <cell r="A83">
            <v>406</v>
          </cell>
          <cell r="B83">
            <v>2</v>
          </cell>
          <cell r="C83">
            <v>13.644</v>
          </cell>
          <cell r="D83">
            <v>27.3</v>
          </cell>
          <cell r="E83">
            <v>27.5</v>
          </cell>
          <cell r="F83">
            <v>27.3</v>
          </cell>
          <cell r="G83">
            <v>27.4</v>
          </cell>
          <cell r="H83">
            <v>27.9</v>
          </cell>
          <cell r="I83">
            <v>27.6</v>
          </cell>
          <cell r="J83">
            <v>27.5</v>
          </cell>
          <cell r="K83">
            <v>27.4</v>
          </cell>
          <cell r="L83">
            <v>27.6</v>
          </cell>
          <cell r="M83">
            <v>27.6</v>
          </cell>
          <cell r="N83">
            <v>27.5</v>
          </cell>
          <cell r="O83">
            <v>27.6</v>
          </cell>
        </row>
        <row r="84">
          <cell r="A84">
            <v>405</v>
          </cell>
          <cell r="B84">
            <v>1</v>
          </cell>
          <cell r="C84">
            <v>13.657999999999999</v>
          </cell>
          <cell r="D84">
            <v>28.5</v>
          </cell>
          <cell r="E84">
            <v>28.5</v>
          </cell>
          <cell r="F84">
            <v>28.8</v>
          </cell>
          <cell r="G84">
            <v>27.6</v>
          </cell>
          <cell r="H84">
            <v>28.6</v>
          </cell>
          <cell r="I84">
            <v>28.4</v>
          </cell>
          <cell r="J84">
            <v>28.8</v>
          </cell>
          <cell r="K84">
            <v>28.4</v>
          </cell>
          <cell r="L84">
            <v>29</v>
          </cell>
          <cell r="M84">
            <v>27.7</v>
          </cell>
          <cell r="N84">
            <v>28.6</v>
          </cell>
          <cell r="O84">
            <v>28.6</v>
          </cell>
        </row>
        <row r="85">
          <cell r="A85">
            <v>405</v>
          </cell>
          <cell r="B85">
            <v>2</v>
          </cell>
          <cell r="C85">
            <v>13.663</v>
          </cell>
          <cell r="D85">
            <v>27.6</v>
          </cell>
          <cell r="E85">
            <v>27.8</v>
          </cell>
          <cell r="F85">
            <v>27.9</v>
          </cell>
          <cell r="G85">
            <v>27.6</v>
          </cell>
          <cell r="H85">
            <v>27.9</v>
          </cell>
          <cell r="I85">
            <v>27.7</v>
          </cell>
          <cell r="J85">
            <v>27.3</v>
          </cell>
          <cell r="K85">
            <v>27.4</v>
          </cell>
          <cell r="L85">
            <v>27.7</v>
          </cell>
          <cell r="M85">
            <v>27.4</v>
          </cell>
          <cell r="N85">
            <v>27.9</v>
          </cell>
          <cell r="O85">
            <v>27.6</v>
          </cell>
        </row>
        <row r="86">
          <cell r="A86">
            <v>404</v>
          </cell>
          <cell r="B86">
            <v>1</v>
          </cell>
          <cell r="C86">
            <v>13.676</v>
          </cell>
          <cell r="D86">
            <v>28.4</v>
          </cell>
          <cell r="E86">
            <v>28.4</v>
          </cell>
          <cell r="F86">
            <v>28.4</v>
          </cell>
          <cell r="G86">
            <v>28.6</v>
          </cell>
          <cell r="H86">
            <v>28.6</v>
          </cell>
          <cell r="I86">
            <v>28.7</v>
          </cell>
          <cell r="J86">
            <v>27.7</v>
          </cell>
          <cell r="K86">
            <v>27.7</v>
          </cell>
          <cell r="L86">
            <v>27.8</v>
          </cell>
          <cell r="M86">
            <v>27.6</v>
          </cell>
          <cell r="N86">
            <v>28.7</v>
          </cell>
          <cell r="O86">
            <v>27.5</v>
          </cell>
        </row>
        <row r="87">
          <cell r="A87">
            <v>404</v>
          </cell>
          <cell r="B87">
            <v>2</v>
          </cell>
          <cell r="C87">
            <v>13.680999999999999</v>
          </cell>
          <cell r="D87">
            <v>27.2</v>
          </cell>
          <cell r="E87">
            <v>27.3</v>
          </cell>
          <cell r="F87">
            <v>27.4</v>
          </cell>
          <cell r="G87">
            <v>27.6</v>
          </cell>
          <cell r="H87">
            <v>27.7</v>
          </cell>
          <cell r="I87">
            <v>27.8</v>
          </cell>
          <cell r="J87">
            <v>28.6</v>
          </cell>
          <cell r="K87">
            <v>28.4</v>
          </cell>
          <cell r="L87">
            <v>28.6</v>
          </cell>
          <cell r="M87">
            <v>28.3</v>
          </cell>
          <cell r="N87">
            <v>28.8</v>
          </cell>
          <cell r="O87">
            <v>28.8</v>
          </cell>
        </row>
        <row r="88">
          <cell r="A88">
            <v>403</v>
          </cell>
          <cell r="B88">
            <v>1</v>
          </cell>
          <cell r="C88">
            <v>13.695</v>
          </cell>
          <cell r="D88">
            <v>28.5</v>
          </cell>
          <cell r="E88">
            <v>28.4</v>
          </cell>
          <cell r="F88">
            <v>28.6</v>
          </cell>
          <cell r="G88">
            <v>28.8</v>
          </cell>
          <cell r="H88">
            <v>28.4</v>
          </cell>
          <cell r="I88">
            <v>28.7</v>
          </cell>
          <cell r="J88">
            <v>28.8</v>
          </cell>
          <cell r="K88">
            <v>28.7</v>
          </cell>
          <cell r="L88">
            <v>29.8</v>
          </cell>
          <cell r="M88">
            <v>28.4</v>
          </cell>
          <cell r="N88">
            <v>28.8</v>
          </cell>
          <cell r="O88">
            <v>28.8</v>
          </cell>
        </row>
        <row r="89">
          <cell r="A89">
            <v>403</v>
          </cell>
          <cell r="B89">
            <v>2</v>
          </cell>
          <cell r="C89">
            <v>13.699</v>
          </cell>
          <cell r="D89">
            <v>28.1</v>
          </cell>
          <cell r="E89">
            <v>28</v>
          </cell>
          <cell r="F89">
            <v>28.7</v>
          </cell>
          <cell r="G89">
            <v>28.4</v>
          </cell>
          <cell r="H89">
            <v>28.7</v>
          </cell>
          <cell r="I89">
            <v>28.6</v>
          </cell>
          <cell r="J89">
            <v>28.4</v>
          </cell>
          <cell r="K89">
            <v>28.2</v>
          </cell>
          <cell r="L89">
            <v>28.6</v>
          </cell>
          <cell r="M89">
            <v>28.7</v>
          </cell>
          <cell r="N89">
            <v>28.6</v>
          </cell>
          <cell r="O89">
            <v>28.7</v>
          </cell>
        </row>
        <row r="90">
          <cell r="A90">
            <v>402</v>
          </cell>
          <cell r="B90">
            <v>1</v>
          </cell>
          <cell r="C90">
            <v>13.712</v>
          </cell>
          <cell r="D90">
            <v>32.9</v>
          </cell>
          <cell r="E90">
            <v>29.8</v>
          </cell>
          <cell r="F90">
            <v>34.200000000000003</v>
          </cell>
          <cell r="G90">
            <v>30</v>
          </cell>
          <cell r="H90">
            <v>33.700000000000003</v>
          </cell>
          <cell r="I90">
            <v>29.9</v>
          </cell>
          <cell r="J90">
            <v>30.9</v>
          </cell>
          <cell r="K90">
            <v>30.3</v>
          </cell>
          <cell r="L90">
            <v>30.5</v>
          </cell>
          <cell r="M90">
            <v>31.5</v>
          </cell>
          <cell r="N90">
            <v>30.3</v>
          </cell>
          <cell r="O90">
            <v>31.1</v>
          </cell>
        </row>
        <row r="91">
          <cell r="A91">
            <v>402</v>
          </cell>
          <cell r="B91">
            <v>2</v>
          </cell>
          <cell r="C91">
            <v>13.717000000000001</v>
          </cell>
          <cell r="D91">
            <v>28.8</v>
          </cell>
          <cell r="E91">
            <v>28.9</v>
          </cell>
          <cell r="F91">
            <v>29.8</v>
          </cell>
          <cell r="G91">
            <v>28.9</v>
          </cell>
          <cell r="H91">
            <v>28.7</v>
          </cell>
          <cell r="I91">
            <v>28.7</v>
          </cell>
          <cell r="J91">
            <v>28.9</v>
          </cell>
          <cell r="K91">
            <v>29.3</v>
          </cell>
          <cell r="L91">
            <v>29.3</v>
          </cell>
          <cell r="M91">
            <v>29.2</v>
          </cell>
          <cell r="N91">
            <v>30.2</v>
          </cell>
          <cell r="O91">
            <v>28.4</v>
          </cell>
        </row>
        <row r="92">
          <cell r="A92">
            <v>401</v>
          </cell>
          <cell r="B92">
            <v>1</v>
          </cell>
          <cell r="C92">
            <v>13.73</v>
          </cell>
          <cell r="D92">
            <v>33.5</v>
          </cell>
          <cell r="E92">
            <v>35.9</v>
          </cell>
          <cell r="F92">
            <v>35.299999999999997</v>
          </cell>
          <cell r="G92">
            <v>38.1</v>
          </cell>
          <cell r="H92">
            <v>34.299999999999997</v>
          </cell>
          <cell r="I92">
            <v>36.700000000000003</v>
          </cell>
          <cell r="J92">
            <v>35.5</v>
          </cell>
          <cell r="K92">
            <v>40.299999999999997</v>
          </cell>
          <cell r="L92">
            <v>33.6</v>
          </cell>
          <cell r="M92">
            <v>35.299999999999997</v>
          </cell>
          <cell r="N92">
            <v>34</v>
          </cell>
          <cell r="O92">
            <v>34.700000000000003</v>
          </cell>
        </row>
        <row r="93">
          <cell r="A93">
            <v>401</v>
          </cell>
          <cell r="B93">
            <v>2</v>
          </cell>
          <cell r="C93">
            <v>13.734999999999999</v>
          </cell>
          <cell r="D93">
            <v>29.5</v>
          </cell>
          <cell r="E93">
            <v>30.2</v>
          </cell>
          <cell r="F93">
            <v>29.7</v>
          </cell>
          <cell r="G93">
            <v>30.3</v>
          </cell>
          <cell r="H93">
            <v>30.5</v>
          </cell>
          <cell r="I93">
            <v>31</v>
          </cell>
          <cell r="J93">
            <v>30.8</v>
          </cell>
          <cell r="K93">
            <v>30.3</v>
          </cell>
          <cell r="L93">
            <v>29</v>
          </cell>
          <cell r="M93">
            <v>29.6</v>
          </cell>
          <cell r="N93">
            <v>30.3</v>
          </cell>
          <cell r="O93">
            <v>30.2</v>
          </cell>
        </row>
      </sheetData>
      <sheetData sheetId="2">
        <row r="7">
          <cell r="C7">
            <v>198</v>
          </cell>
        </row>
        <row r="10">
          <cell r="C10">
            <v>5481</v>
          </cell>
        </row>
        <row r="20">
          <cell r="C20">
            <v>5</v>
          </cell>
        </row>
        <row r="25">
          <cell r="E25">
            <v>36.200000000000003</v>
          </cell>
        </row>
        <row r="29">
          <cell r="E29">
            <v>3.796778407830133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'IA213.03R'</v>
          </cell>
        </row>
        <row r="14">
          <cell r="A14">
            <v>108</v>
          </cell>
          <cell r="B14">
            <v>1</v>
          </cell>
          <cell r="C14">
            <v>13.115</v>
          </cell>
          <cell r="D14">
            <v>30.3</v>
          </cell>
          <cell r="E14">
            <v>28.8</v>
          </cell>
          <cell r="F14">
            <v>28.5</v>
          </cell>
          <cell r="G14">
            <v>28.6</v>
          </cell>
          <cell r="H14">
            <v>28.4</v>
          </cell>
          <cell r="I14">
            <v>28.6</v>
          </cell>
          <cell r="J14">
            <v>29</v>
          </cell>
          <cell r="K14">
            <v>28.6</v>
          </cell>
          <cell r="L14">
            <v>28.8</v>
          </cell>
          <cell r="M14">
            <v>27.9</v>
          </cell>
          <cell r="N14">
            <v>29.3</v>
          </cell>
          <cell r="O14">
            <v>29.4</v>
          </cell>
        </row>
        <row r="15">
          <cell r="A15">
            <v>108</v>
          </cell>
          <cell r="B15">
            <v>2</v>
          </cell>
          <cell r="C15">
            <v>13.12</v>
          </cell>
          <cell r="D15">
            <v>28.7</v>
          </cell>
          <cell r="E15">
            <v>29.3</v>
          </cell>
          <cell r="F15">
            <v>29.7</v>
          </cell>
          <cell r="G15">
            <v>29.2</v>
          </cell>
          <cell r="H15">
            <v>30.7</v>
          </cell>
          <cell r="I15">
            <v>30.2</v>
          </cell>
          <cell r="J15">
            <v>29.2</v>
          </cell>
          <cell r="K15">
            <v>28.7</v>
          </cell>
          <cell r="L15">
            <v>29.2</v>
          </cell>
          <cell r="M15">
            <v>29.8</v>
          </cell>
          <cell r="N15">
            <v>29.9</v>
          </cell>
          <cell r="O15">
            <v>29.7</v>
          </cell>
        </row>
        <row r="16">
          <cell r="A16">
            <v>107</v>
          </cell>
          <cell r="B16">
            <v>1</v>
          </cell>
          <cell r="C16">
            <v>13.132</v>
          </cell>
          <cell r="D16">
            <v>30.3</v>
          </cell>
          <cell r="E16">
            <v>28.9</v>
          </cell>
          <cell r="F16">
            <v>29.5</v>
          </cell>
          <cell r="G16">
            <v>28</v>
          </cell>
          <cell r="H16">
            <v>27.7</v>
          </cell>
          <cell r="I16">
            <v>28.3</v>
          </cell>
          <cell r="J16">
            <v>30.2</v>
          </cell>
          <cell r="K16">
            <v>28</v>
          </cell>
          <cell r="L16">
            <v>30.7</v>
          </cell>
          <cell r="M16">
            <v>28.1</v>
          </cell>
          <cell r="N16">
            <v>29.5</v>
          </cell>
          <cell r="O16">
            <v>28.2</v>
          </cell>
        </row>
        <row r="17">
          <cell r="A17">
            <v>107</v>
          </cell>
          <cell r="B17">
            <v>2</v>
          </cell>
          <cell r="C17">
            <v>13.135999999999999</v>
          </cell>
          <cell r="D17">
            <v>27.9</v>
          </cell>
          <cell r="E17">
            <v>28</v>
          </cell>
          <cell r="F17">
            <v>28.2</v>
          </cell>
          <cell r="G17">
            <v>28.6</v>
          </cell>
          <cell r="H17">
            <v>28.3</v>
          </cell>
          <cell r="I17">
            <v>28.5</v>
          </cell>
          <cell r="J17">
            <v>28.8</v>
          </cell>
          <cell r="K17">
            <v>28.6</v>
          </cell>
          <cell r="L17">
            <v>28</v>
          </cell>
          <cell r="M17">
            <v>28.5</v>
          </cell>
          <cell r="N17">
            <v>28</v>
          </cell>
          <cell r="O17">
            <v>28.5</v>
          </cell>
        </row>
        <row r="18">
          <cell r="A18">
            <v>106</v>
          </cell>
          <cell r="B18">
            <v>1</v>
          </cell>
          <cell r="C18">
            <v>13.148999999999999</v>
          </cell>
          <cell r="D18">
            <v>30.6</v>
          </cell>
          <cell r="E18">
            <v>28.8</v>
          </cell>
          <cell r="F18">
            <v>29.1</v>
          </cell>
          <cell r="G18">
            <v>28.8</v>
          </cell>
          <cell r="H18">
            <v>28.7</v>
          </cell>
          <cell r="I18">
            <v>29.2</v>
          </cell>
          <cell r="J18">
            <v>29.3</v>
          </cell>
          <cell r="K18">
            <v>29.4</v>
          </cell>
          <cell r="L18">
            <v>29.6</v>
          </cell>
          <cell r="M18">
            <v>29.7</v>
          </cell>
          <cell r="N18">
            <v>29.6</v>
          </cell>
          <cell r="O18">
            <v>29.7</v>
          </cell>
        </row>
        <row r="19">
          <cell r="A19">
            <v>106</v>
          </cell>
          <cell r="B19">
            <v>2</v>
          </cell>
          <cell r="C19">
            <v>13.154</v>
          </cell>
          <cell r="D19">
            <v>30.5</v>
          </cell>
          <cell r="E19">
            <v>30.3</v>
          </cell>
          <cell r="F19">
            <v>29</v>
          </cell>
          <cell r="G19">
            <v>29.4</v>
          </cell>
          <cell r="H19">
            <v>29.2</v>
          </cell>
          <cell r="I19">
            <v>29.9</v>
          </cell>
          <cell r="J19">
            <v>29.7</v>
          </cell>
          <cell r="K19">
            <v>30.2</v>
          </cell>
          <cell r="L19">
            <v>31.1</v>
          </cell>
          <cell r="M19">
            <v>29.5</v>
          </cell>
          <cell r="N19">
            <v>29.7</v>
          </cell>
          <cell r="O19">
            <v>29.6</v>
          </cell>
        </row>
        <row r="20">
          <cell r="A20">
            <v>105</v>
          </cell>
          <cell r="B20">
            <v>1</v>
          </cell>
          <cell r="C20">
            <v>13.167</v>
          </cell>
          <cell r="D20">
            <v>30.4</v>
          </cell>
          <cell r="E20">
            <v>30.5</v>
          </cell>
          <cell r="F20">
            <v>30.5</v>
          </cell>
          <cell r="G20">
            <v>30.9</v>
          </cell>
          <cell r="H20">
            <v>29.9</v>
          </cell>
          <cell r="I20">
            <v>30.5</v>
          </cell>
          <cell r="J20">
            <v>30.8</v>
          </cell>
          <cell r="K20">
            <v>30.5</v>
          </cell>
          <cell r="L20">
            <v>32.1</v>
          </cell>
          <cell r="M20">
            <v>31.7</v>
          </cell>
          <cell r="N20">
            <v>31.7</v>
          </cell>
          <cell r="O20">
            <v>30.3</v>
          </cell>
        </row>
        <row r="21">
          <cell r="A21">
            <v>105</v>
          </cell>
          <cell r="B21">
            <v>2</v>
          </cell>
          <cell r="C21">
            <v>13.170999999999999</v>
          </cell>
          <cell r="D21">
            <v>30</v>
          </cell>
          <cell r="E21">
            <v>29.9</v>
          </cell>
          <cell r="F21">
            <v>30.4</v>
          </cell>
          <cell r="G21">
            <v>31.1</v>
          </cell>
          <cell r="H21">
            <v>30.2</v>
          </cell>
          <cell r="I21">
            <v>30.8</v>
          </cell>
          <cell r="J21">
            <v>29.6</v>
          </cell>
          <cell r="K21">
            <v>30.1</v>
          </cell>
          <cell r="L21">
            <v>30.6</v>
          </cell>
          <cell r="M21">
            <v>30.9</v>
          </cell>
          <cell r="N21">
            <v>30.5</v>
          </cell>
          <cell r="O21">
            <v>29.6</v>
          </cell>
        </row>
        <row r="22">
          <cell r="A22">
            <v>104</v>
          </cell>
          <cell r="B22">
            <v>1</v>
          </cell>
          <cell r="C22">
            <v>13.186</v>
          </cell>
          <cell r="D22">
            <v>33</v>
          </cell>
          <cell r="E22">
            <v>31.1</v>
          </cell>
          <cell r="F22">
            <v>30.1</v>
          </cell>
          <cell r="G22">
            <v>30.8</v>
          </cell>
          <cell r="H22">
            <v>32</v>
          </cell>
          <cell r="I22">
            <v>32</v>
          </cell>
          <cell r="J22">
            <v>30.9</v>
          </cell>
          <cell r="K22">
            <v>32</v>
          </cell>
          <cell r="L22">
            <v>31.8</v>
          </cell>
          <cell r="M22">
            <v>32.799999999999997</v>
          </cell>
          <cell r="N22">
            <v>31.6</v>
          </cell>
          <cell r="O22">
            <v>32.1</v>
          </cell>
        </row>
        <row r="23">
          <cell r="A23">
            <v>104</v>
          </cell>
          <cell r="B23">
            <v>2</v>
          </cell>
          <cell r="C23">
            <v>13.19</v>
          </cell>
          <cell r="D23">
            <v>30.6</v>
          </cell>
          <cell r="E23">
            <v>30.7</v>
          </cell>
          <cell r="F23">
            <v>29.8</v>
          </cell>
          <cell r="G23">
            <v>29.6</v>
          </cell>
          <cell r="H23">
            <v>29.4</v>
          </cell>
          <cell r="I23">
            <v>30.7</v>
          </cell>
          <cell r="J23">
            <v>30.6</v>
          </cell>
          <cell r="K23">
            <v>29.9</v>
          </cell>
          <cell r="L23">
            <v>30.6</v>
          </cell>
          <cell r="M23">
            <v>30.1</v>
          </cell>
          <cell r="N23">
            <v>30.4</v>
          </cell>
          <cell r="O23">
            <v>32.1</v>
          </cell>
        </row>
        <row r="24">
          <cell r="A24">
            <v>103</v>
          </cell>
          <cell r="B24">
            <v>1</v>
          </cell>
          <cell r="C24">
            <v>13.202</v>
          </cell>
          <cell r="D24">
            <v>30.1</v>
          </cell>
          <cell r="E24">
            <v>30.7</v>
          </cell>
          <cell r="F24">
            <v>30.6</v>
          </cell>
          <cell r="G24">
            <v>30.7</v>
          </cell>
          <cell r="H24">
            <v>31</v>
          </cell>
          <cell r="I24">
            <v>30.8</v>
          </cell>
          <cell r="J24">
            <v>31.1</v>
          </cell>
          <cell r="K24">
            <v>30.9</v>
          </cell>
          <cell r="L24">
            <v>30.6</v>
          </cell>
          <cell r="M24">
            <v>30.6</v>
          </cell>
          <cell r="N24">
            <v>30.3</v>
          </cell>
          <cell r="O24">
            <v>31</v>
          </cell>
        </row>
        <row r="25">
          <cell r="A25">
            <v>103</v>
          </cell>
          <cell r="B25">
            <v>2</v>
          </cell>
          <cell r="C25">
            <v>13.207000000000001</v>
          </cell>
          <cell r="D25">
            <v>32.299999999999997</v>
          </cell>
          <cell r="E25">
            <v>32.700000000000003</v>
          </cell>
          <cell r="F25">
            <v>30</v>
          </cell>
          <cell r="G25">
            <v>30.8</v>
          </cell>
          <cell r="H25">
            <v>31.2</v>
          </cell>
          <cell r="I25">
            <v>30.6</v>
          </cell>
          <cell r="J25">
            <v>30.2</v>
          </cell>
          <cell r="K25">
            <v>29.9</v>
          </cell>
          <cell r="L25">
            <v>29.5</v>
          </cell>
          <cell r="M25">
            <v>29.6</v>
          </cell>
          <cell r="N25">
            <v>29.6</v>
          </cell>
          <cell r="O25">
            <v>29.3</v>
          </cell>
        </row>
        <row r="26">
          <cell r="A26">
            <v>102</v>
          </cell>
          <cell r="B26">
            <v>1</v>
          </cell>
          <cell r="C26">
            <v>13.22</v>
          </cell>
          <cell r="D26">
            <v>35.4</v>
          </cell>
          <cell r="E26">
            <v>30.5</v>
          </cell>
          <cell r="F26">
            <v>31.6</v>
          </cell>
          <cell r="G26">
            <v>31.2</v>
          </cell>
          <cell r="H26">
            <v>32.799999999999997</v>
          </cell>
          <cell r="I26">
            <v>34.1</v>
          </cell>
          <cell r="J26">
            <v>34.799999999999997</v>
          </cell>
          <cell r="K26">
            <v>30.6</v>
          </cell>
          <cell r="L26">
            <v>34.9</v>
          </cell>
          <cell r="M26">
            <v>29.8</v>
          </cell>
          <cell r="N26">
            <v>31.6</v>
          </cell>
          <cell r="O26">
            <v>31</v>
          </cell>
        </row>
        <row r="27">
          <cell r="A27">
            <v>102</v>
          </cell>
          <cell r="B27">
            <v>2</v>
          </cell>
          <cell r="C27">
            <v>13.225</v>
          </cell>
          <cell r="D27">
            <v>28.9</v>
          </cell>
          <cell r="E27">
            <v>28.8</v>
          </cell>
          <cell r="F27">
            <v>29</v>
          </cell>
          <cell r="G27">
            <v>29.2</v>
          </cell>
          <cell r="H27">
            <v>29.2</v>
          </cell>
          <cell r="I27">
            <v>29.1</v>
          </cell>
          <cell r="J27">
            <v>28.9</v>
          </cell>
          <cell r="K27">
            <v>28.9</v>
          </cell>
          <cell r="L27">
            <v>29.1</v>
          </cell>
          <cell r="M27">
            <v>29</v>
          </cell>
          <cell r="N27">
            <v>28.6</v>
          </cell>
          <cell r="O27">
            <v>28</v>
          </cell>
        </row>
        <row r="28">
          <cell r="A28">
            <v>101</v>
          </cell>
          <cell r="B28">
            <v>1</v>
          </cell>
          <cell r="C28">
            <v>13.238</v>
          </cell>
          <cell r="D28">
            <v>38.1</v>
          </cell>
          <cell r="E28">
            <v>30.1</v>
          </cell>
          <cell r="F28">
            <v>32</v>
          </cell>
          <cell r="G28">
            <v>32.200000000000003</v>
          </cell>
          <cell r="H28">
            <v>29.6</v>
          </cell>
          <cell r="I28">
            <v>30.5</v>
          </cell>
          <cell r="J28">
            <v>31</v>
          </cell>
          <cell r="K28">
            <v>30.1</v>
          </cell>
          <cell r="L28">
            <v>30.8</v>
          </cell>
          <cell r="M28">
            <v>30.2</v>
          </cell>
          <cell r="N28">
            <v>31.2</v>
          </cell>
          <cell r="O28">
            <v>30.3</v>
          </cell>
        </row>
        <row r="29">
          <cell r="A29">
            <v>101</v>
          </cell>
          <cell r="B29">
            <v>2</v>
          </cell>
          <cell r="C29">
            <v>13.242000000000001</v>
          </cell>
          <cell r="D29">
            <v>29.4</v>
          </cell>
          <cell r="E29">
            <v>29.1</v>
          </cell>
          <cell r="F29">
            <v>29.5</v>
          </cell>
          <cell r="G29">
            <v>29.4</v>
          </cell>
          <cell r="H29">
            <v>30.2</v>
          </cell>
          <cell r="I29">
            <v>30.1</v>
          </cell>
          <cell r="J29">
            <v>28.6</v>
          </cell>
          <cell r="K29">
            <v>30.3</v>
          </cell>
          <cell r="L29">
            <v>29.8</v>
          </cell>
          <cell r="M29">
            <v>29.4</v>
          </cell>
          <cell r="N29">
            <v>29.8</v>
          </cell>
          <cell r="O29">
            <v>29.4</v>
          </cell>
        </row>
        <row r="30">
          <cell r="A30">
            <v>201</v>
          </cell>
          <cell r="B30">
            <v>1</v>
          </cell>
          <cell r="C30">
            <v>13.257999999999999</v>
          </cell>
          <cell r="D30">
            <v>29.6</v>
          </cell>
          <cell r="E30">
            <v>29.5</v>
          </cell>
          <cell r="F30">
            <v>29.5</v>
          </cell>
          <cell r="G30">
            <v>29</v>
          </cell>
          <cell r="H30">
            <v>29.4</v>
          </cell>
          <cell r="I30">
            <v>29.6</v>
          </cell>
          <cell r="J30">
            <v>30.3</v>
          </cell>
          <cell r="K30">
            <v>30</v>
          </cell>
          <cell r="L30">
            <v>29.2</v>
          </cell>
          <cell r="M30">
            <v>29.4</v>
          </cell>
          <cell r="N30">
            <v>29.2</v>
          </cell>
          <cell r="O30">
            <v>28.9</v>
          </cell>
        </row>
        <row r="31">
          <cell r="A31">
            <v>201</v>
          </cell>
          <cell r="B31">
            <v>2</v>
          </cell>
          <cell r="C31">
            <v>13.262</v>
          </cell>
          <cell r="D31">
            <v>29.6</v>
          </cell>
          <cell r="E31">
            <v>30.1</v>
          </cell>
          <cell r="F31">
            <v>29.3</v>
          </cell>
          <cell r="G31">
            <v>29.4</v>
          </cell>
          <cell r="H31">
            <v>29.2</v>
          </cell>
          <cell r="I31">
            <v>30.7</v>
          </cell>
          <cell r="J31">
            <v>29.2</v>
          </cell>
          <cell r="K31">
            <v>29.7</v>
          </cell>
          <cell r="L31">
            <v>30.4</v>
          </cell>
          <cell r="M31">
            <v>29.7</v>
          </cell>
          <cell r="N31">
            <v>29.1</v>
          </cell>
          <cell r="O31">
            <v>29.5</v>
          </cell>
        </row>
        <row r="32">
          <cell r="A32">
            <v>202</v>
          </cell>
          <cell r="B32">
            <v>1</v>
          </cell>
          <cell r="C32">
            <v>13.273999999999999</v>
          </cell>
          <cell r="D32">
            <v>31.4</v>
          </cell>
          <cell r="E32">
            <v>30.3</v>
          </cell>
          <cell r="F32">
            <v>29.3</v>
          </cell>
          <cell r="G32">
            <v>30.7</v>
          </cell>
          <cell r="H32">
            <v>28.7</v>
          </cell>
          <cell r="I32">
            <v>29.7</v>
          </cell>
          <cell r="J32">
            <v>29.4</v>
          </cell>
          <cell r="K32">
            <v>30.8</v>
          </cell>
          <cell r="L32">
            <v>29.9</v>
          </cell>
          <cell r="M32">
            <v>29.8</v>
          </cell>
          <cell r="N32">
            <v>28.3</v>
          </cell>
          <cell r="O32">
            <v>28.7</v>
          </cell>
        </row>
        <row r="33">
          <cell r="A33">
            <v>202</v>
          </cell>
          <cell r="B33">
            <v>2</v>
          </cell>
          <cell r="C33">
            <v>13.278</v>
          </cell>
          <cell r="D33">
            <v>29.7</v>
          </cell>
          <cell r="E33">
            <v>28.9</v>
          </cell>
          <cell r="F33">
            <v>29.5</v>
          </cell>
          <cell r="G33">
            <v>29.3</v>
          </cell>
          <cell r="H33">
            <v>30.6</v>
          </cell>
          <cell r="I33">
            <v>30.4</v>
          </cell>
          <cell r="J33">
            <v>29.8</v>
          </cell>
          <cell r="K33">
            <v>29.3</v>
          </cell>
          <cell r="L33">
            <v>28.7</v>
          </cell>
          <cell r="M33">
            <v>29</v>
          </cell>
          <cell r="N33">
            <v>29.6</v>
          </cell>
          <cell r="O33">
            <v>28.9</v>
          </cell>
        </row>
        <row r="34">
          <cell r="A34">
            <v>203</v>
          </cell>
          <cell r="B34">
            <v>1</v>
          </cell>
          <cell r="C34">
            <v>13.29</v>
          </cell>
          <cell r="D34">
            <v>29.8</v>
          </cell>
          <cell r="E34">
            <v>29.6</v>
          </cell>
          <cell r="F34">
            <v>31.7</v>
          </cell>
          <cell r="G34">
            <v>29.7</v>
          </cell>
          <cell r="H34">
            <v>30.5</v>
          </cell>
          <cell r="I34">
            <v>30.1</v>
          </cell>
          <cell r="J34">
            <v>33.1</v>
          </cell>
          <cell r="K34">
            <v>30.9</v>
          </cell>
          <cell r="L34">
            <v>33.6</v>
          </cell>
          <cell r="M34">
            <v>32</v>
          </cell>
          <cell r="N34">
            <v>31.4</v>
          </cell>
          <cell r="O34">
            <v>30.7</v>
          </cell>
        </row>
        <row r="35">
          <cell r="A35">
            <v>203</v>
          </cell>
          <cell r="B35">
            <v>2</v>
          </cell>
          <cell r="C35">
            <v>13.294</v>
          </cell>
          <cell r="D35">
            <v>30.4</v>
          </cell>
          <cell r="E35">
            <v>30.3</v>
          </cell>
          <cell r="F35">
            <v>30.5</v>
          </cell>
          <cell r="G35">
            <v>30.3</v>
          </cell>
          <cell r="H35">
            <v>28.7</v>
          </cell>
          <cell r="I35">
            <v>28.8</v>
          </cell>
          <cell r="J35">
            <v>28.2</v>
          </cell>
          <cell r="K35">
            <v>28.7</v>
          </cell>
          <cell r="L35">
            <v>28.8</v>
          </cell>
          <cell r="M35">
            <v>28.6</v>
          </cell>
          <cell r="N35">
            <v>27.8</v>
          </cell>
          <cell r="O35">
            <v>28.4</v>
          </cell>
        </row>
        <row r="36">
          <cell r="A36">
            <v>204</v>
          </cell>
          <cell r="B36">
            <v>1</v>
          </cell>
          <cell r="C36">
            <v>13.305999999999999</v>
          </cell>
          <cell r="D36">
            <v>28.5</v>
          </cell>
          <cell r="E36">
            <v>28.8</v>
          </cell>
          <cell r="F36">
            <v>28.8</v>
          </cell>
          <cell r="G36">
            <v>28.8</v>
          </cell>
          <cell r="H36">
            <v>29</v>
          </cell>
          <cell r="I36">
            <v>28.6</v>
          </cell>
          <cell r="J36">
            <v>28.9</v>
          </cell>
          <cell r="K36">
            <v>28.8</v>
          </cell>
          <cell r="L36">
            <v>28.8</v>
          </cell>
          <cell r="M36">
            <v>29.9</v>
          </cell>
          <cell r="N36">
            <v>28.6</v>
          </cell>
          <cell r="O36">
            <v>29.1</v>
          </cell>
        </row>
        <row r="37">
          <cell r="A37">
            <v>204</v>
          </cell>
          <cell r="B37">
            <v>2</v>
          </cell>
          <cell r="C37">
            <v>13.311</v>
          </cell>
          <cell r="D37">
            <v>28.6</v>
          </cell>
          <cell r="E37">
            <v>27.2</v>
          </cell>
          <cell r="F37">
            <v>28.1</v>
          </cell>
          <cell r="G37">
            <v>29</v>
          </cell>
          <cell r="H37">
            <v>29.1</v>
          </cell>
          <cell r="I37">
            <v>28.2</v>
          </cell>
          <cell r="J37">
            <v>28.5</v>
          </cell>
          <cell r="K37">
            <v>28.7</v>
          </cell>
          <cell r="L37">
            <v>28.7</v>
          </cell>
          <cell r="M37">
            <v>29.6</v>
          </cell>
          <cell r="N37">
            <v>30</v>
          </cell>
          <cell r="O37">
            <v>29.4</v>
          </cell>
        </row>
        <row r="38">
          <cell r="A38">
            <v>205</v>
          </cell>
          <cell r="B38">
            <v>1</v>
          </cell>
          <cell r="C38">
            <v>13.323</v>
          </cell>
          <cell r="D38">
            <v>30.3</v>
          </cell>
          <cell r="E38">
            <v>30.5</v>
          </cell>
          <cell r="F38">
            <v>29.5</v>
          </cell>
          <cell r="G38">
            <v>29.4</v>
          </cell>
          <cell r="H38">
            <v>29.4</v>
          </cell>
          <cell r="I38">
            <v>29.4</v>
          </cell>
          <cell r="J38">
            <v>29.6</v>
          </cell>
          <cell r="K38">
            <v>30.3</v>
          </cell>
          <cell r="L38">
            <v>30.1</v>
          </cell>
          <cell r="M38">
            <v>29.8</v>
          </cell>
          <cell r="N38">
            <v>29.3</v>
          </cell>
          <cell r="O38">
            <v>29.3</v>
          </cell>
        </row>
        <row r="39">
          <cell r="A39">
            <v>205</v>
          </cell>
          <cell r="B39">
            <v>2</v>
          </cell>
          <cell r="C39">
            <v>13.327999999999999</v>
          </cell>
          <cell r="D39">
            <v>28.8</v>
          </cell>
          <cell r="E39">
            <v>28.7</v>
          </cell>
          <cell r="F39">
            <v>28.1</v>
          </cell>
          <cell r="G39">
            <v>28.1</v>
          </cell>
          <cell r="H39">
            <v>31.6</v>
          </cell>
          <cell r="I39">
            <v>29.5</v>
          </cell>
          <cell r="J39">
            <v>29.1</v>
          </cell>
          <cell r="K39">
            <v>27.6</v>
          </cell>
          <cell r="L39">
            <v>28.6</v>
          </cell>
          <cell r="M39">
            <v>27.9</v>
          </cell>
          <cell r="N39">
            <v>28.4</v>
          </cell>
          <cell r="O39">
            <v>28.4</v>
          </cell>
        </row>
        <row r="40">
          <cell r="A40">
            <v>206</v>
          </cell>
          <cell r="B40">
            <v>1</v>
          </cell>
          <cell r="C40">
            <v>13.339</v>
          </cell>
          <cell r="D40">
            <v>32.4</v>
          </cell>
          <cell r="E40">
            <v>32.700000000000003</v>
          </cell>
          <cell r="F40">
            <v>29.4</v>
          </cell>
          <cell r="G40">
            <v>31.8</v>
          </cell>
          <cell r="H40">
            <v>30.7</v>
          </cell>
          <cell r="I40">
            <v>31.4</v>
          </cell>
          <cell r="J40">
            <v>31.4</v>
          </cell>
          <cell r="K40">
            <v>31.5</v>
          </cell>
          <cell r="L40">
            <v>31.4</v>
          </cell>
          <cell r="M40">
            <v>32.700000000000003</v>
          </cell>
          <cell r="N40">
            <v>30.8</v>
          </cell>
          <cell r="O40">
            <v>29.5</v>
          </cell>
        </row>
        <row r="41">
          <cell r="A41">
            <v>206</v>
          </cell>
          <cell r="B41">
            <v>2</v>
          </cell>
          <cell r="C41">
            <v>13.343999999999999</v>
          </cell>
          <cell r="D41">
            <v>27.9</v>
          </cell>
          <cell r="E41">
            <v>27.9</v>
          </cell>
          <cell r="F41">
            <v>29.2</v>
          </cell>
          <cell r="G41">
            <v>28.9</v>
          </cell>
          <cell r="H41">
            <v>29.6</v>
          </cell>
          <cell r="I41">
            <v>29.8</v>
          </cell>
          <cell r="J41">
            <v>30.1</v>
          </cell>
          <cell r="K41">
            <v>31</v>
          </cell>
          <cell r="L41">
            <v>30.6</v>
          </cell>
          <cell r="M41">
            <v>30.5</v>
          </cell>
          <cell r="N41">
            <v>29.7</v>
          </cell>
          <cell r="O41">
            <v>30.5</v>
          </cell>
        </row>
        <row r="42">
          <cell r="A42">
            <v>207</v>
          </cell>
          <cell r="B42">
            <v>1</v>
          </cell>
          <cell r="C42">
            <v>13.355</v>
          </cell>
          <cell r="D42">
            <v>31.6</v>
          </cell>
          <cell r="E42">
            <v>31.4</v>
          </cell>
          <cell r="F42">
            <v>30.7</v>
          </cell>
          <cell r="G42">
            <v>32.4</v>
          </cell>
          <cell r="H42">
            <v>33.700000000000003</v>
          </cell>
          <cell r="I42">
            <v>32</v>
          </cell>
          <cell r="J42">
            <v>30.3</v>
          </cell>
          <cell r="K42">
            <v>31.5</v>
          </cell>
          <cell r="L42">
            <v>31.2</v>
          </cell>
          <cell r="M42">
            <v>31.1</v>
          </cell>
          <cell r="N42">
            <v>29.9</v>
          </cell>
          <cell r="O42">
            <v>29.6</v>
          </cell>
        </row>
        <row r="43">
          <cell r="A43">
            <v>207</v>
          </cell>
          <cell r="B43">
            <v>2</v>
          </cell>
          <cell r="C43">
            <v>13.36</v>
          </cell>
          <cell r="D43">
            <v>30.7</v>
          </cell>
          <cell r="E43">
            <v>29.9</v>
          </cell>
          <cell r="F43">
            <v>29.4</v>
          </cell>
          <cell r="G43">
            <v>30.1</v>
          </cell>
          <cell r="H43">
            <v>29.6</v>
          </cell>
          <cell r="I43">
            <v>29.8</v>
          </cell>
          <cell r="J43">
            <v>30.3</v>
          </cell>
          <cell r="K43">
            <v>30.4</v>
          </cell>
          <cell r="L43">
            <v>29.7</v>
          </cell>
          <cell r="M43">
            <v>30.3</v>
          </cell>
          <cell r="N43">
            <v>28.9</v>
          </cell>
          <cell r="O43">
            <v>30.4</v>
          </cell>
        </row>
        <row r="44">
          <cell r="A44">
            <v>208</v>
          </cell>
          <cell r="B44">
            <v>1</v>
          </cell>
          <cell r="C44">
            <v>13.371</v>
          </cell>
          <cell r="D44">
            <v>34</v>
          </cell>
          <cell r="E44">
            <v>30.4</v>
          </cell>
          <cell r="F44">
            <v>30.8</v>
          </cell>
          <cell r="G44">
            <v>30.5</v>
          </cell>
          <cell r="H44">
            <v>32.4</v>
          </cell>
          <cell r="I44">
            <v>31.5</v>
          </cell>
          <cell r="J44">
            <v>33.799999999999997</v>
          </cell>
          <cell r="K44">
            <v>30.7</v>
          </cell>
          <cell r="L44">
            <v>32.5</v>
          </cell>
          <cell r="M44">
            <v>29.5</v>
          </cell>
          <cell r="N44">
            <v>31.1</v>
          </cell>
          <cell r="O44">
            <v>29.1</v>
          </cell>
        </row>
        <row r="45">
          <cell r="A45">
            <v>208</v>
          </cell>
          <cell r="B45">
            <v>2</v>
          </cell>
          <cell r="C45">
            <v>13.375999999999999</v>
          </cell>
          <cell r="D45">
            <v>28.8</v>
          </cell>
          <cell r="E45">
            <v>28.2</v>
          </cell>
          <cell r="F45">
            <v>28.7</v>
          </cell>
          <cell r="G45">
            <v>29.4</v>
          </cell>
          <cell r="H45">
            <v>29.5</v>
          </cell>
          <cell r="I45">
            <v>30.3</v>
          </cell>
          <cell r="J45">
            <v>29.8</v>
          </cell>
          <cell r="K45">
            <v>29.9</v>
          </cell>
          <cell r="L45">
            <v>29</v>
          </cell>
          <cell r="M45">
            <v>29.5</v>
          </cell>
          <cell r="N45">
            <v>28.8</v>
          </cell>
          <cell r="O45">
            <v>30.5</v>
          </cell>
        </row>
        <row r="46">
          <cell r="A46">
            <v>908</v>
          </cell>
          <cell r="B46">
            <v>1</v>
          </cell>
          <cell r="C46">
            <v>13.388999999999999</v>
          </cell>
          <cell r="D46">
            <v>42.7</v>
          </cell>
          <cell r="E46">
            <v>34.700000000000003</v>
          </cell>
          <cell r="F46">
            <v>40.799999999999997</v>
          </cell>
          <cell r="G46">
            <v>40.700000000000003</v>
          </cell>
          <cell r="H46">
            <v>43.8</v>
          </cell>
          <cell r="I46">
            <v>34.9</v>
          </cell>
          <cell r="J46">
            <v>43</v>
          </cell>
          <cell r="K46">
            <v>36.1</v>
          </cell>
          <cell r="L46">
            <v>43.3</v>
          </cell>
          <cell r="M46">
            <v>33.4</v>
          </cell>
          <cell r="N46">
            <v>44.7</v>
          </cell>
          <cell r="O46">
            <v>31.8</v>
          </cell>
        </row>
        <row r="47">
          <cell r="A47">
            <v>908</v>
          </cell>
          <cell r="B47">
            <v>2</v>
          </cell>
          <cell r="C47">
            <v>13.394</v>
          </cell>
          <cell r="D47">
            <v>32.1</v>
          </cell>
          <cell r="E47">
            <v>31.9</v>
          </cell>
          <cell r="F47">
            <v>33</v>
          </cell>
          <cell r="G47">
            <v>32.799999999999997</v>
          </cell>
          <cell r="H47">
            <v>31.8</v>
          </cell>
          <cell r="I47">
            <v>33.700000000000003</v>
          </cell>
          <cell r="J47">
            <v>31.4</v>
          </cell>
          <cell r="K47">
            <v>31.7</v>
          </cell>
          <cell r="L47">
            <v>32.700000000000003</v>
          </cell>
          <cell r="M47">
            <v>32.6</v>
          </cell>
          <cell r="N47">
            <v>31.9</v>
          </cell>
          <cell r="O47">
            <v>32.299999999999997</v>
          </cell>
        </row>
        <row r="48">
          <cell r="A48">
            <v>907</v>
          </cell>
          <cell r="B48">
            <v>1</v>
          </cell>
          <cell r="C48">
            <v>13.404999999999999</v>
          </cell>
          <cell r="D48">
            <v>56.1</v>
          </cell>
          <cell r="E48">
            <v>56.1</v>
          </cell>
          <cell r="F48">
            <v>56.7</v>
          </cell>
          <cell r="G48">
            <v>56.9</v>
          </cell>
          <cell r="H48">
            <v>56.7</v>
          </cell>
          <cell r="I48">
            <v>56.1</v>
          </cell>
          <cell r="J48">
            <v>56</v>
          </cell>
          <cell r="K48">
            <v>56.4</v>
          </cell>
          <cell r="L48">
            <v>57.1</v>
          </cell>
          <cell r="M48">
            <v>56.7</v>
          </cell>
          <cell r="N48">
            <v>56.9</v>
          </cell>
          <cell r="O48">
            <v>55.4</v>
          </cell>
        </row>
        <row r="50">
          <cell r="A50">
            <v>906</v>
          </cell>
          <cell r="B50">
            <v>1</v>
          </cell>
          <cell r="C50">
            <v>13.414</v>
          </cell>
          <cell r="D50">
            <v>32.200000000000003</v>
          </cell>
          <cell r="E50">
            <v>29.6</v>
          </cell>
          <cell r="F50">
            <v>30.5</v>
          </cell>
          <cell r="G50">
            <v>29.9</v>
          </cell>
          <cell r="H50">
            <v>33</v>
          </cell>
          <cell r="I50">
            <v>31.6</v>
          </cell>
          <cell r="J50">
            <v>31</v>
          </cell>
          <cell r="K50">
            <v>31.4</v>
          </cell>
          <cell r="L50">
            <v>33</v>
          </cell>
          <cell r="M50">
            <v>30.5</v>
          </cell>
          <cell r="N50">
            <v>32.700000000000003</v>
          </cell>
          <cell r="O50">
            <v>29</v>
          </cell>
        </row>
        <row r="51">
          <cell r="A51">
            <v>906</v>
          </cell>
          <cell r="B51">
            <v>2</v>
          </cell>
          <cell r="C51">
            <v>13.419</v>
          </cell>
          <cell r="D51">
            <v>28.4</v>
          </cell>
          <cell r="E51">
            <v>28.3</v>
          </cell>
          <cell r="F51">
            <v>29.6</v>
          </cell>
          <cell r="G51">
            <v>29.5</v>
          </cell>
          <cell r="H51">
            <v>29</v>
          </cell>
          <cell r="I51">
            <v>29.3</v>
          </cell>
          <cell r="J51">
            <v>31.3</v>
          </cell>
          <cell r="K51">
            <v>30.5</v>
          </cell>
          <cell r="L51">
            <v>29.6</v>
          </cell>
          <cell r="M51">
            <v>30.5</v>
          </cell>
          <cell r="N51">
            <v>29.8</v>
          </cell>
          <cell r="O51">
            <v>30</v>
          </cell>
        </row>
        <row r="52">
          <cell r="A52">
            <v>905</v>
          </cell>
          <cell r="B52">
            <v>1</v>
          </cell>
          <cell r="C52">
            <v>13.430999999999999</v>
          </cell>
          <cell r="D52">
            <v>37.9</v>
          </cell>
          <cell r="E52">
            <v>37.799999999999997</v>
          </cell>
          <cell r="F52">
            <v>37.9</v>
          </cell>
          <cell r="G52">
            <v>37.799999999999997</v>
          </cell>
          <cell r="H52">
            <v>37.700000000000003</v>
          </cell>
          <cell r="I52">
            <v>37.799999999999997</v>
          </cell>
          <cell r="J52">
            <v>37.700000000000003</v>
          </cell>
          <cell r="K52">
            <v>37.799999999999997</v>
          </cell>
          <cell r="L52">
            <v>38</v>
          </cell>
          <cell r="M52">
            <v>37.700000000000003</v>
          </cell>
          <cell r="N52">
            <v>37.6</v>
          </cell>
          <cell r="O52">
            <v>37.799999999999997</v>
          </cell>
        </row>
        <row r="54">
          <cell r="A54">
            <v>904</v>
          </cell>
          <cell r="B54">
            <v>1</v>
          </cell>
          <cell r="C54">
            <v>13.44</v>
          </cell>
          <cell r="D54">
            <v>48.5</v>
          </cell>
          <cell r="E54">
            <v>44.5</v>
          </cell>
          <cell r="F54">
            <v>43.4</v>
          </cell>
          <cell r="G54">
            <v>41.6</v>
          </cell>
          <cell r="H54">
            <v>47.4</v>
          </cell>
          <cell r="I54">
            <v>38.700000000000003</v>
          </cell>
          <cell r="J54">
            <v>47.4</v>
          </cell>
          <cell r="K54">
            <v>34.799999999999997</v>
          </cell>
          <cell r="L54">
            <v>47.2</v>
          </cell>
          <cell r="M54">
            <v>34.200000000000003</v>
          </cell>
          <cell r="N54">
            <v>52.4</v>
          </cell>
          <cell r="O54">
            <v>35.299999999999997</v>
          </cell>
        </row>
        <row r="55">
          <cell r="A55">
            <v>904</v>
          </cell>
          <cell r="B55">
            <v>2</v>
          </cell>
          <cell r="C55">
            <v>13.444000000000001</v>
          </cell>
          <cell r="D55">
            <v>32.799999999999997</v>
          </cell>
          <cell r="E55">
            <v>33.9</v>
          </cell>
          <cell r="F55">
            <v>32.6</v>
          </cell>
          <cell r="G55">
            <v>33.200000000000003</v>
          </cell>
          <cell r="H55">
            <v>33.700000000000003</v>
          </cell>
          <cell r="I55">
            <v>33.4</v>
          </cell>
          <cell r="J55">
            <v>34.9</v>
          </cell>
          <cell r="K55">
            <v>33.200000000000003</v>
          </cell>
          <cell r="L55">
            <v>31.1</v>
          </cell>
          <cell r="M55">
            <v>32.1</v>
          </cell>
          <cell r="N55">
            <v>33.799999999999997</v>
          </cell>
          <cell r="O55">
            <v>32.4</v>
          </cell>
        </row>
        <row r="56">
          <cell r="A56">
            <v>903</v>
          </cell>
          <cell r="B56">
            <v>1</v>
          </cell>
          <cell r="C56">
            <v>13.457000000000001</v>
          </cell>
          <cell r="D56">
            <v>57.9</v>
          </cell>
          <cell r="E56">
            <v>57.7</v>
          </cell>
          <cell r="F56">
            <v>57.9</v>
          </cell>
          <cell r="G56">
            <v>56.7</v>
          </cell>
          <cell r="H56">
            <v>57</v>
          </cell>
          <cell r="I56">
            <v>57.5</v>
          </cell>
          <cell r="J56">
            <v>57.5</v>
          </cell>
          <cell r="K56">
            <v>57.4</v>
          </cell>
          <cell r="L56">
            <v>57.7</v>
          </cell>
          <cell r="M56">
            <v>57.8</v>
          </cell>
          <cell r="N56">
            <v>57.7</v>
          </cell>
          <cell r="O56">
            <v>58.6</v>
          </cell>
        </row>
        <row r="58">
          <cell r="A58">
            <v>902</v>
          </cell>
          <cell r="B58">
            <v>1</v>
          </cell>
          <cell r="C58">
            <v>13.465</v>
          </cell>
          <cell r="D58">
            <v>35.200000000000003</v>
          </cell>
          <cell r="E58">
            <v>33.5</v>
          </cell>
          <cell r="F58">
            <v>34.5</v>
          </cell>
          <cell r="G58">
            <v>32.9</v>
          </cell>
          <cell r="H58">
            <v>32.9</v>
          </cell>
          <cell r="I58">
            <v>32.299999999999997</v>
          </cell>
          <cell r="J58">
            <v>38.1</v>
          </cell>
          <cell r="K58">
            <v>31.8</v>
          </cell>
          <cell r="L58">
            <v>41.4</v>
          </cell>
          <cell r="M58">
            <v>33.799999999999997</v>
          </cell>
          <cell r="N58">
            <v>38.9</v>
          </cell>
          <cell r="O58">
            <v>33.700000000000003</v>
          </cell>
        </row>
        <row r="59">
          <cell r="A59">
            <v>902</v>
          </cell>
          <cell r="B59">
            <v>2</v>
          </cell>
          <cell r="C59">
            <v>13.47</v>
          </cell>
          <cell r="D59">
            <v>33.700000000000003</v>
          </cell>
          <cell r="E59">
            <v>35.299999999999997</v>
          </cell>
          <cell r="F59">
            <v>33.200000000000003</v>
          </cell>
          <cell r="G59">
            <v>31.7</v>
          </cell>
          <cell r="H59">
            <v>31.4</v>
          </cell>
          <cell r="I59">
            <v>30.6</v>
          </cell>
          <cell r="J59">
            <v>32.700000000000003</v>
          </cell>
          <cell r="K59">
            <v>30.9</v>
          </cell>
          <cell r="L59">
            <v>31.9</v>
          </cell>
          <cell r="M59">
            <v>31.9</v>
          </cell>
          <cell r="N59">
            <v>31.8</v>
          </cell>
          <cell r="O59">
            <v>32.6</v>
          </cell>
        </row>
        <row r="60">
          <cell r="A60">
            <v>901</v>
          </cell>
          <cell r="B60">
            <v>1</v>
          </cell>
          <cell r="C60">
            <v>13.483000000000001</v>
          </cell>
          <cell r="D60">
            <v>46.7</v>
          </cell>
          <cell r="E60">
            <v>47.5</v>
          </cell>
          <cell r="F60">
            <v>47.5</v>
          </cell>
          <cell r="G60">
            <v>47.1</v>
          </cell>
          <cell r="H60">
            <v>45.2</v>
          </cell>
          <cell r="I60">
            <v>45.6</v>
          </cell>
          <cell r="J60">
            <v>46.8</v>
          </cell>
          <cell r="K60">
            <v>46.8</v>
          </cell>
          <cell r="L60">
            <v>46.9</v>
          </cell>
          <cell r="M60">
            <v>45.9</v>
          </cell>
          <cell r="N60">
            <v>45.9</v>
          </cell>
          <cell r="O60">
            <v>45.9</v>
          </cell>
        </row>
        <row r="62">
          <cell r="A62">
            <v>301</v>
          </cell>
          <cell r="B62">
            <v>1</v>
          </cell>
          <cell r="C62">
            <v>13.496</v>
          </cell>
          <cell r="D62">
            <v>30.1</v>
          </cell>
          <cell r="E62">
            <v>30.9</v>
          </cell>
          <cell r="F62">
            <v>30.6</v>
          </cell>
          <cell r="G62">
            <v>30.7</v>
          </cell>
          <cell r="H62">
            <v>29.7</v>
          </cell>
          <cell r="I62">
            <v>30.1</v>
          </cell>
          <cell r="J62">
            <v>30.7</v>
          </cell>
          <cell r="K62">
            <v>29.3</v>
          </cell>
          <cell r="L62">
            <v>30.6</v>
          </cell>
          <cell r="M62">
            <v>29.1</v>
          </cell>
          <cell r="N62">
            <v>29.9</v>
          </cell>
          <cell r="O62">
            <v>29.4</v>
          </cell>
        </row>
        <row r="63">
          <cell r="A63">
            <v>301</v>
          </cell>
          <cell r="B63">
            <v>2</v>
          </cell>
          <cell r="C63">
            <v>13.5</v>
          </cell>
          <cell r="D63">
            <v>28.7</v>
          </cell>
          <cell r="E63">
            <v>28.3</v>
          </cell>
          <cell r="F63">
            <v>28.5</v>
          </cell>
          <cell r="G63">
            <v>31.2</v>
          </cell>
          <cell r="H63">
            <v>28.7</v>
          </cell>
          <cell r="I63">
            <v>29.3</v>
          </cell>
          <cell r="J63">
            <v>28.6</v>
          </cell>
          <cell r="K63">
            <v>36.4</v>
          </cell>
          <cell r="L63">
            <v>28.3</v>
          </cell>
          <cell r="M63">
            <v>28.4</v>
          </cell>
          <cell r="N63">
            <v>28.4</v>
          </cell>
          <cell r="O63">
            <v>28.7</v>
          </cell>
        </row>
        <row r="64">
          <cell r="A64">
            <v>302</v>
          </cell>
          <cell r="B64">
            <v>1</v>
          </cell>
          <cell r="C64">
            <v>13.512</v>
          </cell>
          <cell r="D64">
            <v>28.2</v>
          </cell>
          <cell r="E64">
            <v>27.8</v>
          </cell>
          <cell r="F64">
            <v>28.7</v>
          </cell>
          <cell r="G64">
            <v>28.6</v>
          </cell>
          <cell r="H64">
            <v>28.5</v>
          </cell>
          <cell r="I64">
            <v>28.3</v>
          </cell>
          <cell r="J64">
            <v>28.5</v>
          </cell>
          <cell r="K64">
            <v>30.1</v>
          </cell>
          <cell r="L64">
            <v>28.6</v>
          </cell>
          <cell r="M64">
            <v>28.4</v>
          </cell>
          <cell r="N64">
            <v>28.3</v>
          </cell>
          <cell r="O64">
            <v>28.1</v>
          </cell>
        </row>
        <row r="65">
          <cell r="A65">
            <v>302</v>
          </cell>
          <cell r="B65">
            <v>2</v>
          </cell>
          <cell r="C65">
            <v>13.516999999999999</v>
          </cell>
          <cell r="D65">
            <v>27.6</v>
          </cell>
          <cell r="E65">
            <v>27.4</v>
          </cell>
          <cell r="F65">
            <v>27</v>
          </cell>
          <cell r="G65">
            <v>26.5</v>
          </cell>
          <cell r="H65">
            <v>26.8</v>
          </cell>
          <cell r="I65">
            <v>26.6</v>
          </cell>
          <cell r="J65">
            <v>26.9</v>
          </cell>
          <cell r="K65">
            <v>26.8</v>
          </cell>
          <cell r="L65">
            <v>27.3</v>
          </cell>
          <cell r="M65">
            <v>27.6</v>
          </cell>
          <cell r="N65">
            <v>27.3</v>
          </cell>
          <cell r="O65">
            <v>28.1</v>
          </cell>
        </row>
        <row r="66">
          <cell r="A66">
            <v>303</v>
          </cell>
          <cell r="B66">
            <v>1</v>
          </cell>
          <cell r="C66">
            <v>13.529</v>
          </cell>
          <cell r="D66">
            <v>28.6</v>
          </cell>
          <cell r="E66">
            <v>29.1</v>
          </cell>
          <cell r="F66">
            <v>29.1</v>
          </cell>
          <cell r="G66">
            <v>29</v>
          </cell>
          <cell r="H66">
            <v>32.299999999999997</v>
          </cell>
          <cell r="I66">
            <v>30.9</v>
          </cell>
          <cell r="J66">
            <v>29.6</v>
          </cell>
          <cell r="K66">
            <v>30.6</v>
          </cell>
          <cell r="L66">
            <v>30.7</v>
          </cell>
          <cell r="M66">
            <v>30.4</v>
          </cell>
          <cell r="N66">
            <v>29.1</v>
          </cell>
          <cell r="O66">
            <v>29.7</v>
          </cell>
        </row>
        <row r="67">
          <cell r="A67">
            <v>303</v>
          </cell>
          <cell r="B67">
            <v>2</v>
          </cell>
          <cell r="C67">
            <v>13.532999999999999</v>
          </cell>
          <cell r="D67">
            <v>29.3</v>
          </cell>
          <cell r="E67">
            <v>28.9</v>
          </cell>
          <cell r="F67">
            <v>28</v>
          </cell>
          <cell r="G67">
            <v>29.2</v>
          </cell>
          <cell r="H67">
            <v>28.5</v>
          </cell>
          <cell r="I67">
            <v>29.6</v>
          </cell>
          <cell r="J67">
            <v>28.3</v>
          </cell>
          <cell r="K67">
            <v>29.5</v>
          </cell>
          <cell r="L67">
            <v>29.8</v>
          </cell>
          <cell r="M67">
            <v>29.9</v>
          </cell>
          <cell r="N67">
            <v>28.3</v>
          </cell>
          <cell r="O67">
            <v>28.8</v>
          </cell>
        </row>
        <row r="68">
          <cell r="A68">
            <v>304</v>
          </cell>
          <cell r="B68">
            <v>1</v>
          </cell>
          <cell r="C68">
            <v>13.545</v>
          </cell>
          <cell r="D68">
            <v>31</v>
          </cell>
          <cell r="E68">
            <v>31.2</v>
          </cell>
          <cell r="F68">
            <v>29.4</v>
          </cell>
          <cell r="G68">
            <v>29.4</v>
          </cell>
          <cell r="H68">
            <v>29.5</v>
          </cell>
          <cell r="I68">
            <v>29.4</v>
          </cell>
          <cell r="J68">
            <v>30.3</v>
          </cell>
          <cell r="K68">
            <v>29.7</v>
          </cell>
          <cell r="L68">
            <v>29.7</v>
          </cell>
          <cell r="M68">
            <v>30</v>
          </cell>
          <cell r="N68">
            <v>30.4</v>
          </cell>
          <cell r="O68">
            <v>30.1</v>
          </cell>
        </row>
        <row r="69">
          <cell r="A69">
            <v>304</v>
          </cell>
          <cell r="B69">
            <v>2</v>
          </cell>
          <cell r="C69">
            <v>13.55</v>
          </cell>
          <cell r="D69">
            <v>30.3</v>
          </cell>
          <cell r="E69">
            <v>29.5</v>
          </cell>
          <cell r="F69">
            <v>30</v>
          </cell>
          <cell r="G69">
            <v>28.7</v>
          </cell>
          <cell r="H69">
            <v>28.2</v>
          </cell>
          <cell r="I69">
            <v>28.2</v>
          </cell>
          <cell r="J69">
            <v>29</v>
          </cell>
          <cell r="K69">
            <v>28.5</v>
          </cell>
          <cell r="L69">
            <v>28.7</v>
          </cell>
          <cell r="M69">
            <v>28.6</v>
          </cell>
          <cell r="N69">
            <v>28.3</v>
          </cell>
          <cell r="O69">
            <v>29.3</v>
          </cell>
        </row>
        <row r="70">
          <cell r="A70">
            <v>305</v>
          </cell>
          <cell r="B70">
            <v>1</v>
          </cell>
          <cell r="C70">
            <v>13.561999999999999</v>
          </cell>
          <cell r="D70">
            <v>27.7</v>
          </cell>
          <cell r="E70">
            <v>27.9</v>
          </cell>
          <cell r="F70">
            <v>28</v>
          </cell>
          <cell r="G70">
            <v>28</v>
          </cell>
          <cell r="H70">
            <v>28</v>
          </cell>
          <cell r="I70">
            <v>28.1</v>
          </cell>
          <cell r="J70">
            <v>27.8</v>
          </cell>
          <cell r="K70">
            <v>28</v>
          </cell>
          <cell r="L70">
            <v>28.1</v>
          </cell>
          <cell r="M70">
            <v>28.1</v>
          </cell>
          <cell r="N70">
            <v>28.3</v>
          </cell>
          <cell r="O70">
            <v>28.7</v>
          </cell>
        </row>
        <row r="71">
          <cell r="A71">
            <v>305</v>
          </cell>
          <cell r="B71">
            <v>2</v>
          </cell>
          <cell r="C71">
            <v>13.567</v>
          </cell>
          <cell r="D71">
            <v>28</v>
          </cell>
          <cell r="E71">
            <v>28</v>
          </cell>
          <cell r="F71">
            <v>27.7</v>
          </cell>
          <cell r="G71">
            <v>27.6</v>
          </cell>
          <cell r="H71">
            <v>27.3</v>
          </cell>
          <cell r="I71">
            <v>28.3</v>
          </cell>
          <cell r="J71">
            <v>27.5</v>
          </cell>
          <cell r="K71">
            <v>27.6</v>
          </cell>
          <cell r="L71">
            <v>28.4</v>
          </cell>
          <cell r="M71">
            <v>28.1</v>
          </cell>
          <cell r="N71">
            <v>28</v>
          </cell>
          <cell r="O71">
            <v>27.6</v>
          </cell>
        </row>
        <row r="72">
          <cell r="A72">
            <v>306</v>
          </cell>
          <cell r="B72">
            <v>1</v>
          </cell>
          <cell r="C72">
            <v>13.577999999999999</v>
          </cell>
          <cell r="D72">
            <v>28.3</v>
          </cell>
          <cell r="E72">
            <v>28.6</v>
          </cell>
          <cell r="F72">
            <v>29.3</v>
          </cell>
          <cell r="G72">
            <v>29.4</v>
          </cell>
          <cell r="H72">
            <v>30.5</v>
          </cell>
          <cell r="I72">
            <v>29.6</v>
          </cell>
          <cell r="J72">
            <v>29.3</v>
          </cell>
          <cell r="K72">
            <v>28.8</v>
          </cell>
          <cell r="L72">
            <v>28.2</v>
          </cell>
          <cell r="M72">
            <v>28.2</v>
          </cell>
          <cell r="N72">
            <v>30</v>
          </cell>
          <cell r="O72">
            <v>28.8</v>
          </cell>
        </row>
        <row r="73">
          <cell r="A73">
            <v>306</v>
          </cell>
          <cell r="B73">
            <v>2</v>
          </cell>
          <cell r="C73">
            <v>13.583</v>
          </cell>
          <cell r="D73">
            <v>28.3</v>
          </cell>
          <cell r="E73">
            <v>28.4</v>
          </cell>
          <cell r="F73">
            <v>27.8</v>
          </cell>
          <cell r="G73">
            <v>27.7</v>
          </cell>
          <cell r="H73">
            <v>28.8</v>
          </cell>
          <cell r="I73">
            <v>28.2</v>
          </cell>
          <cell r="J73">
            <v>27.8</v>
          </cell>
          <cell r="K73">
            <v>28.2</v>
          </cell>
          <cell r="L73">
            <v>28.4</v>
          </cell>
          <cell r="M73">
            <v>27.8</v>
          </cell>
          <cell r="N73">
            <v>27.5</v>
          </cell>
          <cell r="O73">
            <v>27.7</v>
          </cell>
        </row>
        <row r="74">
          <cell r="A74">
            <v>307</v>
          </cell>
          <cell r="B74">
            <v>1</v>
          </cell>
          <cell r="C74">
            <v>13.595000000000001</v>
          </cell>
          <cell r="D74">
            <v>28.3</v>
          </cell>
          <cell r="E74">
            <v>27.5</v>
          </cell>
          <cell r="F74">
            <v>27.9</v>
          </cell>
          <cell r="G74">
            <v>27.9</v>
          </cell>
          <cell r="H74">
            <v>28.3</v>
          </cell>
          <cell r="I74">
            <v>27.9</v>
          </cell>
          <cell r="J74">
            <v>28.8</v>
          </cell>
          <cell r="K74">
            <v>28.2</v>
          </cell>
          <cell r="L74">
            <v>28.1</v>
          </cell>
          <cell r="M74">
            <v>27.3</v>
          </cell>
          <cell r="N74">
            <v>27.2</v>
          </cell>
          <cell r="O74">
            <v>27.4</v>
          </cell>
        </row>
        <row r="75">
          <cell r="A75">
            <v>307</v>
          </cell>
          <cell r="B75">
            <v>2</v>
          </cell>
          <cell r="C75">
            <v>13.599</v>
          </cell>
          <cell r="D75">
            <v>27.2</v>
          </cell>
          <cell r="E75">
            <v>27.4</v>
          </cell>
          <cell r="F75">
            <v>27.5</v>
          </cell>
          <cell r="G75">
            <v>27.8</v>
          </cell>
          <cell r="H75">
            <v>28</v>
          </cell>
          <cell r="I75">
            <v>28.1</v>
          </cell>
          <cell r="J75">
            <v>27.4</v>
          </cell>
          <cell r="K75">
            <v>27.6</v>
          </cell>
          <cell r="L75">
            <v>29.1</v>
          </cell>
          <cell r="M75">
            <v>27.5</v>
          </cell>
          <cell r="N75">
            <v>27.6</v>
          </cell>
          <cell r="O75">
            <v>27.9</v>
          </cell>
        </row>
        <row r="76">
          <cell r="A76">
            <v>308</v>
          </cell>
          <cell r="B76">
            <v>1</v>
          </cell>
          <cell r="C76">
            <v>13.61</v>
          </cell>
          <cell r="D76">
            <v>28</v>
          </cell>
          <cell r="E76">
            <v>28.4</v>
          </cell>
          <cell r="F76">
            <v>28.6</v>
          </cell>
          <cell r="G76">
            <v>28.7</v>
          </cell>
          <cell r="H76">
            <v>28.8</v>
          </cell>
          <cell r="I76">
            <v>28.9</v>
          </cell>
          <cell r="J76">
            <v>27.9</v>
          </cell>
          <cell r="K76">
            <v>28.2</v>
          </cell>
          <cell r="L76">
            <v>28.6</v>
          </cell>
          <cell r="M76">
            <v>28.6</v>
          </cell>
          <cell r="N76">
            <v>28.3</v>
          </cell>
          <cell r="O76">
            <v>28.2</v>
          </cell>
        </row>
        <row r="77">
          <cell r="A77">
            <v>308</v>
          </cell>
          <cell r="B77">
            <v>2</v>
          </cell>
          <cell r="C77">
            <v>13.615</v>
          </cell>
          <cell r="D77">
            <v>28.3</v>
          </cell>
          <cell r="E77">
            <v>28</v>
          </cell>
          <cell r="F77">
            <v>27.4</v>
          </cell>
          <cell r="G77">
            <v>27.8</v>
          </cell>
          <cell r="H77">
            <v>28.1</v>
          </cell>
          <cell r="I77">
            <v>28.2</v>
          </cell>
          <cell r="J77">
            <v>27.9</v>
          </cell>
          <cell r="K77">
            <v>28.1</v>
          </cell>
          <cell r="L77">
            <v>28.8</v>
          </cell>
          <cell r="M77">
            <v>28.9</v>
          </cell>
          <cell r="N77">
            <v>27.9</v>
          </cell>
          <cell r="O77">
            <v>29.1</v>
          </cell>
        </row>
        <row r="78">
          <cell r="A78">
            <v>408</v>
          </cell>
          <cell r="B78">
            <v>1</v>
          </cell>
          <cell r="C78">
            <v>13.63</v>
          </cell>
          <cell r="D78">
            <v>31.5</v>
          </cell>
          <cell r="E78">
            <v>30.5</v>
          </cell>
          <cell r="F78">
            <v>28.6</v>
          </cell>
          <cell r="G78">
            <v>28.9</v>
          </cell>
          <cell r="H78">
            <v>28.7</v>
          </cell>
          <cell r="I78">
            <v>29.1</v>
          </cell>
          <cell r="J78">
            <v>28.2</v>
          </cell>
          <cell r="K78">
            <v>29.9</v>
          </cell>
          <cell r="L78">
            <v>28.4</v>
          </cell>
          <cell r="M78">
            <v>28.7</v>
          </cell>
          <cell r="N78">
            <v>28.7</v>
          </cell>
          <cell r="O78">
            <v>28.3</v>
          </cell>
        </row>
        <row r="79">
          <cell r="A79">
            <v>408</v>
          </cell>
          <cell r="B79">
            <v>2</v>
          </cell>
          <cell r="C79">
            <v>13.635</v>
          </cell>
          <cell r="D79">
            <v>28.1</v>
          </cell>
          <cell r="E79">
            <v>28.1</v>
          </cell>
          <cell r="F79">
            <v>27.9</v>
          </cell>
          <cell r="G79">
            <v>28.3</v>
          </cell>
          <cell r="H79">
            <v>28.8</v>
          </cell>
          <cell r="I79">
            <v>28.6</v>
          </cell>
          <cell r="J79">
            <v>28.7</v>
          </cell>
          <cell r="K79">
            <v>28.7</v>
          </cell>
          <cell r="L79">
            <v>29.2</v>
          </cell>
          <cell r="M79">
            <v>28.9</v>
          </cell>
          <cell r="N79">
            <v>28</v>
          </cell>
          <cell r="O79">
            <v>29.1</v>
          </cell>
        </row>
        <row r="80">
          <cell r="A80">
            <v>407</v>
          </cell>
          <cell r="B80">
            <v>1</v>
          </cell>
          <cell r="C80">
            <v>13.648</v>
          </cell>
          <cell r="D80">
            <v>32.799999999999997</v>
          </cell>
          <cell r="E80">
            <v>29.1</v>
          </cell>
          <cell r="F80">
            <v>31.5</v>
          </cell>
          <cell r="G80">
            <v>29.9</v>
          </cell>
          <cell r="H80">
            <v>32.700000000000003</v>
          </cell>
          <cell r="I80">
            <v>29.7</v>
          </cell>
          <cell r="J80">
            <v>30.8</v>
          </cell>
          <cell r="K80">
            <v>29.8</v>
          </cell>
          <cell r="L80">
            <v>29.4</v>
          </cell>
          <cell r="M80">
            <v>29.9</v>
          </cell>
          <cell r="N80">
            <v>28.5</v>
          </cell>
          <cell r="O80">
            <v>29.4</v>
          </cell>
        </row>
        <row r="81">
          <cell r="A81">
            <v>407</v>
          </cell>
          <cell r="B81">
            <v>2</v>
          </cell>
          <cell r="C81">
            <v>13.651999999999999</v>
          </cell>
          <cell r="D81">
            <v>29</v>
          </cell>
          <cell r="E81">
            <v>29.2</v>
          </cell>
          <cell r="F81">
            <v>29</v>
          </cell>
          <cell r="G81">
            <v>29</v>
          </cell>
          <cell r="H81">
            <v>30.4</v>
          </cell>
          <cell r="I81">
            <v>30</v>
          </cell>
          <cell r="J81">
            <v>30.9</v>
          </cell>
          <cell r="K81">
            <v>29.7</v>
          </cell>
          <cell r="L81">
            <v>30.5</v>
          </cell>
          <cell r="M81">
            <v>31.7</v>
          </cell>
          <cell r="N81">
            <v>29.2</v>
          </cell>
          <cell r="O81">
            <v>29.9</v>
          </cell>
        </row>
        <row r="82">
          <cell r="A82">
            <v>406</v>
          </cell>
          <cell r="B82">
            <v>1</v>
          </cell>
          <cell r="C82">
            <v>13.664999999999999</v>
          </cell>
          <cell r="D82">
            <v>28.9</v>
          </cell>
          <cell r="E82">
            <v>29.2</v>
          </cell>
          <cell r="F82">
            <v>28.9</v>
          </cell>
          <cell r="G82">
            <v>28.6</v>
          </cell>
          <cell r="H82">
            <v>28.8</v>
          </cell>
          <cell r="I82">
            <v>28.7</v>
          </cell>
          <cell r="J82">
            <v>27.8</v>
          </cell>
          <cell r="K82">
            <v>28.2</v>
          </cell>
          <cell r="L82">
            <v>28.2</v>
          </cell>
          <cell r="M82">
            <v>28.4</v>
          </cell>
          <cell r="N82">
            <v>28.5</v>
          </cell>
          <cell r="O82">
            <v>28.8</v>
          </cell>
        </row>
        <row r="83">
          <cell r="A83">
            <v>406</v>
          </cell>
          <cell r="B83">
            <v>2</v>
          </cell>
          <cell r="C83">
            <v>13.669</v>
          </cell>
          <cell r="D83">
            <v>29.3</v>
          </cell>
          <cell r="E83">
            <v>29</v>
          </cell>
          <cell r="F83">
            <v>28.4</v>
          </cell>
          <cell r="G83">
            <v>28.9</v>
          </cell>
          <cell r="H83">
            <v>28.6</v>
          </cell>
          <cell r="I83">
            <v>28.6</v>
          </cell>
          <cell r="J83">
            <v>27.3</v>
          </cell>
          <cell r="K83">
            <v>27.6</v>
          </cell>
          <cell r="L83">
            <v>28.1</v>
          </cell>
          <cell r="M83">
            <v>27.6</v>
          </cell>
          <cell r="N83">
            <v>27.4</v>
          </cell>
          <cell r="O83">
            <v>27.4</v>
          </cell>
        </row>
        <row r="84">
          <cell r="A84">
            <v>405</v>
          </cell>
          <cell r="B84">
            <v>1</v>
          </cell>
          <cell r="C84">
            <v>13.682</v>
          </cell>
          <cell r="D84">
            <v>29.8</v>
          </cell>
          <cell r="E84">
            <v>28.6</v>
          </cell>
          <cell r="F84">
            <v>29</v>
          </cell>
          <cell r="G84">
            <v>29.9</v>
          </cell>
          <cell r="H84">
            <v>28.3</v>
          </cell>
          <cell r="I84">
            <v>28.1</v>
          </cell>
          <cell r="J84">
            <v>28.4</v>
          </cell>
          <cell r="K84">
            <v>28.3</v>
          </cell>
          <cell r="L84">
            <v>28.3</v>
          </cell>
          <cell r="M84">
            <v>28.5</v>
          </cell>
          <cell r="N84">
            <v>28.3</v>
          </cell>
          <cell r="O84">
            <v>28.8</v>
          </cell>
        </row>
        <row r="85">
          <cell r="A85">
            <v>405</v>
          </cell>
          <cell r="B85">
            <v>2</v>
          </cell>
          <cell r="C85">
            <v>13.686</v>
          </cell>
          <cell r="D85">
            <v>28.2</v>
          </cell>
          <cell r="E85">
            <v>28.3</v>
          </cell>
          <cell r="F85">
            <v>28.4</v>
          </cell>
          <cell r="G85">
            <v>28</v>
          </cell>
          <cell r="H85">
            <v>28.3</v>
          </cell>
          <cell r="I85">
            <v>28.3</v>
          </cell>
          <cell r="J85">
            <v>28.2</v>
          </cell>
          <cell r="K85">
            <v>28.4</v>
          </cell>
          <cell r="L85">
            <v>27.6</v>
          </cell>
          <cell r="M85">
            <v>27.9</v>
          </cell>
          <cell r="N85">
            <v>28.8</v>
          </cell>
          <cell r="O85">
            <v>28.2</v>
          </cell>
        </row>
        <row r="86">
          <cell r="A86">
            <v>404</v>
          </cell>
          <cell r="B86">
            <v>1</v>
          </cell>
          <cell r="C86">
            <v>13.7</v>
          </cell>
          <cell r="D86">
            <v>28.9</v>
          </cell>
          <cell r="E86">
            <v>29</v>
          </cell>
          <cell r="F86">
            <v>29.2</v>
          </cell>
          <cell r="G86">
            <v>29.1</v>
          </cell>
          <cell r="H86">
            <v>29.7</v>
          </cell>
          <cell r="I86">
            <v>30.2</v>
          </cell>
          <cell r="J86">
            <v>32</v>
          </cell>
          <cell r="K86">
            <v>31.1</v>
          </cell>
          <cell r="L86">
            <v>31.3</v>
          </cell>
          <cell r="M86">
            <v>31.1</v>
          </cell>
          <cell r="N86">
            <v>31.1</v>
          </cell>
          <cell r="O86">
            <v>30.9</v>
          </cell>
        </row>
        <row r="87">
          <cell r="A87">
            <v>404</v>
          </cell>
          <cell r="B87">
            <v>2</v>
          </cell>
          <cell r="C87">
            <v>13.705</v>
          </cell>
          <cell r="D87">
            <v>32.4</v>
          </cell>
          <cell r="E87">
            <v>30.7</v>
          </cell>
          <cell r="F87">
            <v>31.7</v>
          </cell>
          <cell r="G87">
            <v>32.5</v>
          </cell>
          <cell r="H87">
            <v>31.5</v>
          </cell>
          <cell r="I87">
            <v>32.700000000000003</v>
          </cell>
          <cell r="J87">
            <v>31.2</v>
          </cell>
          <cell r="K87">
            <v>30.8</v>
          </cell>
          <cell r="L87">
            <v>30.7</v>
          </cell>
          <cell r="M87">
            <v>31.9</v>
          </cell>
          <cell r="N87">
            <v>31.5</v>
          </cell>
          <cell r="O87">
            <v>32.299999999999997</v>
          </cell>
        </row>
        <row r="88">
          <cell r="A88">
            <v>403</v>
          </cell>
          <cell r="B88">
            <v>1</v>
          </cell>
          <cell r="C88">
            <v>13.718999999999999</v>
          </cell>
          <cell r="D88">
            <v>30</v>
          </cell>
          <cell r="E88">
            <v>30.6</v>
          </cell>
          <cell r="F88">
            <v>30.5</v>
          </cell>
          <cell r="G88">
            <v>30.3</v>
          </cell>
          <cell r="H88">
            <v>30.3</v>
          </cell>
          <cell r="I88">
            <v>30.9</v>
          </cell>
          <cell r="J88">
            <v>30.7</v>
          </cell>
          <cell r="K88">
            <v>30</v>
          </cell>
          <cell r="L88">
            <v>31.9</v>
          </cell>
          <cell r="M88">
            <v>30</v>
          </cell>
          <cell r="N88">
            <v>31.3</v>
          </cell>
          <cell r="O88">
            <v>30.5</v>
          </cell>
        </row>
        <row r="89">
          <cell r="A89">
            <v>403</v>
          </cell>
          <cell r="B89">
            <v>2</v>
          </cell>
          <cell r="C89">
            <v>13.724</v>
          </cell>
          <cell r="D89">
            <v>31.1</v>
          </cell>
          <cell r="E89">
            <v>31.4</v>
          </cell>
          <cell r="F89">
            <v>30.1</v>
          </cell>
          <cell r="G89">
            <v>30.5</v>
          </cell>
          <cell r="H89">
            <v>29.5</v>
          </cell>
          <cell r="I89">
            <v>29.2</v>
          </cell>
          <cell r="J89">
            <v>32</v>
          </cell>
          <cell r="K89">
            <v>31.8</v>
          </cell>
          <cell r="L89">
            <v>31.2</v>
          </cell>
          <cell r="M89">
            <v>32</v>
          </cell>
          <cell r="N89">
            <v>30.9</v>
          </cell>
          <cell r="O89">
            <v>31.6</v>
          </cell>
        </row>
        <row r="90">
          <cell r="A90">
            <v>402</v>
          </cell>
          <cell r="B90">
            <v>1</v>
          </cell>
          <cell r="C90">
            <v>13.737</v>
          </cell>
          <cell r="D90">
            <v>33.5</v>
          </cell>
          <cell r="E90">
            <v>30.3</v>
          </cell>
          <cell r="F90">
            <v>29.9</v>
          </cell>
          <cell r="G90">
            <v>30.3</v>
          </cell>
          <cell r="H90">
            <v>30.7</v>
          </cell>
          <cell r="I90">
            <v>29.7</v>
          </cell>
          <cell r="J90">
            <v>30</v>
          </cell>
          <cell r="K90">
            <v>29.8</v>
          </cell>
          <cell r="L90">
            <v>29.7</v>
          </cell>
          <cell r="M90">
            <v>29.7</v>
          </cell>
          <cell r="N90">
            <v>29.3</v>
          </cell>
          <cell r="O90">
            <v>29.6</v>
          </cell>
        </row>
        <row r="91">
          <cell r="A91">
            <v>402</v>
          </cell>
          <cell r="B91">
            <v>2</v>
          </cell>
          <cell r="C91">
            <v>13.742000000000001</v>
          </cell>
          <cell r="D91">
            <v>28.4</v>
          </cell>
          <cell r="E91">
            <v>28.7</v>
          </cell>
          <cell r="F91">
            <v>28.3</v>
          </cell>
          <cell r="G91">
            <v>29.6</v>
          </cell>
          <cell r="H91">
            <v>28.6</v>
          </cell>
          <cell r="I91">
            <v>28.2</v>
          </cell>
          <cell r="J91">
            <v>28.1</v>
          </cell>
          <cell r="K91">
            <v>28.3</v>
          </cell>
          <cell r="L91">
            <v>29</v>
          </cell>
          <cell r="M91">
            <v>29.3</v>
          </cell>
          <cell r="N91">
            <v>28.4</v>
          </cell>
          <cell r="O91">
            <v>28.8</v>
          </cell>
        </row>
        <row r="92">
          <cell r="A92">
            <v>401</v>
          </cell>
          <cell r="B92">
            <v>1</v>
          </cell>
          <cell r="C92">
            <v>13.755000000000001</v>
          </cell>
          <cell r="D92">
            <v>35.5</v>
          </cell>
          <cell r="E92">
            <v>31.9</v>
          </cell>
          <cell r="F92">
            <v>32.9</v>
          </cell>
          <cell r="G92">
            <v>33.700000000000003</v>
          </cell>
          <cell r="H92">
            <v>30.3</v>
          </cell>
          <cell r="I92">
            <v>33.6</v>
          </cell>
          <cell r="J92">
            <v>31.5</v>
          </cell>
          <cell r="K92">
            <v>29.4</v>
          </cell>
          <cell r="L92">
            <v>32.700000000000003</v>
          </cell>
          <cell r="M92">
            <v>28.3</v>
          </cell>
          <cell r="N92">
            <v>29.9</v>
          </cell>
          <cell r="O92">
            <v>27.9</v>
          </cell>
        </row>
        <row r="93">
          <cell r="A93">
            <v>401</v>
          </cell>
          <cell r="B93">
            <v>2</v>
          </cell>
          <cell r="C93">
            <v>13.759</v>
          </cell>
          <cell r="D93">
            <v>28.2</v>
          </cell>
          <cell r="E93">
            <v>28.3</v>
          </cell>
          <cell r="F93">
            <v>28.4</v>
          </cell>
          <cell r="G93">
            <v>27.9</v>
          </cell>
          <cell r="H93">
            <v>28.3</v>
          </cell>
          <cell r="I93">
            <v>28.1</v>
          </cell>
          <cell r="J93">
            <v>27.8</v>
          </cell>
          <cell r="K93">
            <v>28.3</v>
          </cell>
          <cell r="L93">
            <v>28</v>
          </cell>
          <cell r="M93">
            <v>28</v>
          </cell>
          <cell r="N93">
            <v>29</v>
          </cell>
          <cell r="O93">
            <v>29</v>
          </cell>
        </row>
      </sheetData>
      <sheetData sheetId="2">
        <row r="7">
          <cell r="C7">
            <v>213</v>
          </cell>
        </row>
        <row r="10">
          <cell r="C10">
            <v>5481</v>
          </cell>
        </row>
        <row r="20">
          <cell r="C20">
            <v>5</v>
          </cell>
        </row>
        <row r="25">
          <cell r="E25">
            <v>33</v>
          </cell>
        </row>
        <row r="29">
          <cell r="E29">
            <v>2.8035635430229351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'IA216.03R'</v>
          </cell>
        </row>
        <row r="14">
          <cell r="A14">
            <v>108</v>
          </cell>
          <cell r="B14">
            <v>1</v>
          </cell>
          <cell r="C14">
            <v>13.074999999999999</v>
          </cell>
          <cell r="D14">
            <v>33.9</v>
          </cell>
          <cell r="E14">
            <v>30.4</v>
          </cell>
          <cell r="F14">
            <v>30.1</v>
          </cell>
          <cell r="G14">
            <v>30.4</v>
          </cell>
          <cell r="H14">
            <v>30.1</v>
          </cell>
          <cell r="I14">
            <v>30.9</v>
          </cell>
          <cell r="J14">
            <v>31.7</v>
          </cell>
          <cell r="K14">
            <v>31.9</v>
          </cell>
          <cell r="L14">
            <v>30.4</v>
          </cell>
          <cell r="M14">
            <v>30.8</v>
          </cell>
          <cell r="N14">
            <v>29.4</v>
          </cell>
          <cell r="O14">
            <v>31.8</v>
          </cell>
        </row>
        <row r="15">
          <cell r="A15">
            <v>108</v>
          </cell>
          <cell r="B15">
            <v>2</v>
          </cell>
          <cell r="C15">
            <v>13.08</v>
          </cell>
          <cell r="D15">
            <v>29.8</v>
          </cell>
          <cell r="E15">
            <v>30.9</v>
          </cell>
          <cell r="F15">
            <v>29</v>
          </cell>
          <cell r="G15">
            <v>29.7</v>
          </cell>
          <cell r="H15">
            <v>30.2</v>
          </cell>
          <cell r="I15">
            <v>31.4</v>
          </cell>
          <cell r="J15">
            <v>30</v>
          </cell>
          <cell r="K15">
            <v>30.9</v>
          </cell>
          <cell r="L15">
            <v>29.9</v>
          </cell>
          <cell r="M15">
            <v>30.8</v>
          </cell>
          <cell r="N15">
            <v>31</v>
          </cell>
          <cell r="O15">
            <v>30.3</v>
          </cell>
        </row>
        <row r="16">
          <cell r="A16">
            <v>107</v>
          </cell>
          <cell r="B16">
            <v>1</v>
          </cell>
          <cell r="C16">
            <v>13.093999999999999</v>
          </cell>
          <cell r="D16">
            <v>34.5</v>
          </cell>
          <cell r="E16">
            <v>32.299999999999997</v>
          </cell>
          <cell r="F16">
            <v>31.2</v>
          </cell>
          <cell r="G16">
            <v>31.7</v>
          </cell>
          <cell r="H16">
            <v>29.8</v>
          </cell>
          <cell r="I16">
            <v>33</v>
          </cell>
          <cell r="J16">
            <v>32.700000000000003</v>
          </cell>
          <cell r="K16">
            <v>32.5</v>
          </cell>
          <cell r="L16">
            <v>31.1</v>
          </cell>
          <cell r="M16">
            <v>34.700000000000003</v>
          </cell>
          <cell r="N16">
            <v>30.5</v>
          </cell>
          <cell r="O16">
            <v>32.6</v>
          </cell>
        </row>
        <row r="17">
          <cell r="A17">
            <v>107</v>
          </cell>
          <cell r="B17">
            <v>2</v>
          </cell>
          <cell r="C17">
            <v>13.098000000000001</v>
          </cell>
          <cell r="D17">
            <v>31.3</v>
          </cell>
          <cell r="E17">
            <v>29.8</v>
          </cell>
          <cell r="F17">
            <v>32.9</v>
          </cell>
          <cell r="G17">
            <v>31.8</v>
          </cell>
          <cell r="H17">
            <v>30.7</v>
          </cell>
          <cell r="I17">
            <v>32.299999999999997</v>
          </cell>
          <cell r="J17">
            <v>31.1</v>
          </cell>
          <cell r="K17">
            <v>30.7</v>
          </cell>
          <cell r="L17">
            <v>31</v>
          </cell>
          <cell r="M17">
            <v>30.2</v>
          </cell>
          <cell r="N17">
            <v>32.200000000000003</v>
          </cell>
          <cell r="O17">
            <v>31.1</v>
          </cell>
        </row>
        <row r="18">
          <cell r="A18">
            <v>106</v>
          </cell>
          <cell r="B18">
            <v>1</v>
          </cell>
          <cell r="C18">
            <v>13.112</v>
          </cell>
          <cell r="D18">
            <v>33.700000000000003</v>
          </cell>
          <cell r="E18">
            <v>31.6</v>
          </cell>
          <cell r="F18">
            <v>32.299999999999997</v>
          </cell>
          <cell r="G18">
            <v>31</v>
          </cell>
          <cell r="H18">
            <v>31.4</v>
          </cell>
          <cell r="I18">
            <v>31.7</v>
          </cell>
          <cell r="J18">
            <v>30.7</v>
          </cell>
          <cell r="K18">
            <v>31.6</v>
          </cell>
          <cell r="L18">
            <v>30.7</v>
          </cell>
          <cell r="M18">
            <v>31.3</v>
          </cell>
          <cell r="N18">
            <v>29.6</v>
          </cell>
          <cell r="O18">
            <v>30.1</v>
          </cell>
        </row>
        <row r="19">
          <cell r="A19">
            <v>106</v>
          </cell>
          <cell r="B19">
            <v>2</v>
          </cell>
          <cell r="C19">
            <v>13.117000000000001</v>
          </cell>
          <cell r="D19">
            <v>28.6</v>
          </cell>
          <cell r="E19">
            <v>28.2</v>
          </cell>
          <cell r="F19">
            <v>30.8</v>
          </cell>
          <cell r="G19">
            <v>28.9</v>
          </cell>
          <cell r="H19">
            <v>28.7</v>
          </cell>
          <cell r="I19">
            <v>27.1</v>
          </cell>
          <cell r="J19">
            <v>28.5</v>
          </cell>
          <cell r="K19">
            <v>29</v>
          </cell>
          <cell r="L19">
            <v>29.9</v>
          </cell>
          <cell r="M19">
            <v>29</v>
          </cell>
          <cell r="N19">
            <v>29.7</v>
          </cell>
          <cell r="O19">
            <v>29.1</v>
          </cell>
        </row>
        <row r="20">
          <cell r="A20">
            <v>105</v>
          </cell>
          <cell r="B20">
            <v>1</v>
          </cell>
          <cell r="C20">
            <v>13.131</v>
          </cell>
          <cell r="D20">
            <v>30.2</v>
          </cell>
          <cell r="E20">
            <v>29.1</v>
          </cell>
          <cell r="F20">
            <v>28.7</v>
          </cell>
          <cell r="G20">
            <v>29.7</v>
          </cell>
          <cell r="H20">
            <v>29.7</v>
          </cell>
          <cell r="I20">
            <v>28.9</v>
          </cell>
          <cell r="J20">
            <v>28.8</v>
          </cell>
          <cell r="K20">
            <v>28.9</v>
          </cell>
          <cell r="L20">
            <v>28.8</v>
          </cell>
          <cell r="M20">
            <v>30.9</v>
          </cell>
          <cell r="N20">
            <v>30.7</v>
          </cell>
          <cell r="O20">
            <v>30.7</v>
          </cell>
        </row>
        <row r="21">
          <cell r="A21">
            <v>105</v>
          </cell>
          <cell r="B21">
            <v>2</v>
          </cell>
          <cell r="C21">
            <v>13.135999999999999</v>
          </cell>
          <cell r="D21">
            <v>29.8</v>
          </cell>
          <cell r="E21">
            <v>29.8</v>
          </cell>
          <cell r="F21">
            <v>30.1</v>
          </cell>
          <cell r="G21">
            <v>30.4</v>
          </cell>
          <cell r="H21">
            <v>29</v>
          </cell>
          <cell r="I21">
            <v>29.1</v>
          </cell>
          <cell r="J21">
            <v>29.2</v>
          </cell>
          <cell r="K21">
            <v>29.3</v>
          </cell>
          <cell r="L21">
            <v>28.8</v>
          </cell>
          <cell r="M21">
            <v>29</v>
          </cell>
          <cell r="N21">
            <v>27.5</v>
          </cell>
          <cell r="O21">
            <v>29</v>
          </cell>
        </row>
        <row r="22">
          <cell r="A22">
            <v>104</v>
          </cell>
          <cell r="B22">
            <v>1</v>
          </cell>
          <cell r="C22">
            <v>13.148999999999999</v>
          </cell>
          <cell r="D22">
            <v>33</v>
          </cell>
          <cell r="E22">
            <v>30</v>
          </cell>
          <cell r="F22">
            <v>28.5</v>
          </cell>
          <cell r="G22">
            <v>28.7</v>
          </cell>
          <cell r="H22">
            <v>28.8</v>
          </cell>
          <cell r="I22">
            <v>28.5</v>
          </cell>
          <cell r="J22">
            <v>29.2</v>
          </cell>
          <cell r="K22">
            <v>28.3</v>
          </cell>
          <cell r="L22">
            <v>31.1</v>
          </cell>
          <cell r="M22">
            <v>28.7</v>
          </cell>
          <cell r="N22">
            <v>28.5</v>
          </cell>
          <cell r="O22">
            <v>29.1</v>
          </cell>
        </row>
        <row r="23">
          <cell r="A23">
            <v>104</v>
          </cell>
          <cell r="B23">
            <v>2</v>
          </cell>
          <cell r="C23">
            <v>13.153</v>
          </cell>
          <cell r="D23">
            <v>29.3</v>
          </cell>
          <cell r="E23">
            <v>28.2</v>
          </cell>
          <cell r="F23">
            <v>27.1</v>
          </cell>
          <cell r="G23">
            <v>27.7</v>
          </cell>
          <cell r="H23">
            <v>27.3</v>
          </cell>
          <cell r="I23">
            <v>28.1</v>
          </cell>
          <cell r="J23">
            <v>28.1</v>
          </cell>
          <cell r="K23">
            <v>27.3</v>
          </cell>
          <cell r="L23">
            <v>27.5</v>
          </cell>
          <cell r="M23">
            <v>28.8</v>
          </cell>
          <cell r="N23">
            <v>28.2</v>
          </cell>
          <cell r="O23">
            <v>27.4</v>
          </cell>
        </row>
        <row r="24">
          <cell r="A24">
            <v>103</v>
          </cell>
          <cell r="B24">
            <v>1</v>
          </cell>
          <cell r="C24">
            <v>13.167</v>
          </cell>
          <cell r="D24">
            <v>29</v>
          </cell>
          <cell r="E24">
            <v>28.4</v>
          </cell>
          <cell r="F24">
            <v>27.8</v>
          </cell>
          <cell r="G24">
            <v>29.2</v>
          </cell>
          <cell r="H24">
            <v>28.6</v>
          </cell>
          <cell r="I24">
            <v>28.5</v>
          </cell>
          <cell r="J24">
            <v>27.9</v>
          </cell>
          <cell r="K24">
            <v>28.9</v>
          </cell>
          <cell r="L24">
            <v>28.6</v>
          </cell>
          <cell r="M24">
            <v>28.2</v>
          </cell>
          <cell r="N24">
            <v>28.2</v>
          </cell>
          <cell r="O24">
            <v>30.3</v>
          </cell>
        </row>
        <row r="25">
          <cell r="A25">
            <v>103</v>
          </cell>
          <cell r="B25">
            <v>2</v>
          </cell>
          <cell r="C25">
            <v>13.170999999999999</v>
          </cell>
          <cell r="D25">
            <v>30.2</v>
          </cell>
          <cell r="E25">
            <v>30.5</v>
          </cell>
          <cell r="F25">
            <v>29.9</v>
          </cell>
          <cell r="G25">
            <v>29.2</v>
          </cell>
          <cell r="H25">
            <v>28.5</v>
          </cell>
          <cell r="I25">
            <v>29.3</v>
          </cell>
          <cell r="J25">
            <v>28.9</v>
          </cell>
          <cell r="K25">
            <v>29.4</v>
          </cell>
          <cell r="L25">
            <v>30.9</v>
          </cell>
          <cell r="M25">
            <v>27.7</v>
          </cell>
          <cell r="N25">
            <v>30.5</v>
          </cell>
          <cell r="O25">
            <v>29.8</v>
          </cell>
        </row>
        <row r="26">
          <cell r="A26">
            <v>102</v>
          </cell>
          <cell r="B26">
            <v>1</v>
          </cell>
          <cell r="C26">
            <v>13.183999999999999</v>
          </cell>
          <cell r="D26">
            <v>40.700000000000003</v>
          </cell>
          <cell r="E26">
            <v>31</v>
          </cell>
          <cell r="F26">
            <v>30.4</v>
          </cell>
          <cell r="G26">
            <v>32</v>
          </cell>
          <cell r="H26">
            <v>36.200000000000003</v>
          </cell>
          <cell r="I26">
            <v>35.4</v>
          </cell>
          <cell r="J26">
            <v>31.6</v>
          </cell>
          <cell r="K26">
            <v>35.5</v>
          </cell>
          <cell r="L26">
            <v>31.1</v>
          </cell>
          <cell r="M26">
            <v>34</v>
          </cell>
          <cell r="N26">
            <v>30.9</v>
          </cell>
          <cell r="O26">
            <v>31.8</v>
          </cell>
        </row>
        <row r="27">
          <cell r="A27">
            <v>102</v>
          </cell>
          <cell r="B27">
            <v>2</v>
          </cell>
          <cell r="C27">
            <v>13.189</v>
          </cell>
          <cell r="D27">
            <v>29.4</v>
          </cell>
          <cell r="E27">
            <v>28.9</v>
          </cell>
          <cell r="F27">
            <v>28</v>
          </cell>
          <cell r="G27">
            <v>28.2</v>
          </cell>
          <cell r="H27">
            <v>28.4</v>
          </cell>
          <cell r="I27">
            <v>27.7</v>
          </cell>
          <cell r="J27">
            <v>28.1</v>
          </cell>
          <cell r="K27">
            <v>28.5</v>
          </cell>
          <cell r="L27">
            <v>28.6</v>
          </cell>
          <cell r="M27">
            <v>28.7</v>
          </cell>
          <cell r="N27">
            <v>29.7</v>
          </cell>
          <cell r="O27">
            <v>27.9</v>
          </cell>
        </row>
        <row r="28">
          <cell r="A28">
            <v>101</v>
          </cell>
          <cell r="B28">
            <v>1</v>
          </cell>
          <cell r="C28">
            <v>13.201000000000001</v>
          </cell>
          <cell r="D28">
            <v>41.9</v>
          </cell>
          <cell r="E28">
            <v>34.4</v>
          </cell>
          <cell r="F28">
            <v>31.3</v>
          </cell>
          <cell r="G28">
            <v>32.200000000000003</v>
          </cell>
          <cell r="H28">
            <v>29.9</v>
          </cell>
          <cell r="I28">
            <v>35.700000000000003</v>
          </cell>
          <cell r="J28">
            <v>29.7</v>
          </cell>
          <cell r="K28">
            <v>31.4</v>
          </cell>
          <cell r="L28">
            <v>28.9</v>
          </cell>
          <cell r="M28">
            <v>32.6</v>
          </cell>
          <cell r="N28">
            <v>31.1</v>
          </cell>
          <cell r="O28">
            <v>30.3</v>
          </cell>
        </row>
        <row r="29">
          <cell r="A29">
            <v>101</v>
          </cell>
          <cell r="B29">
            <v>2</v>
          </cell>
          <cell r="C29">
            <v>13.206</v>
          </cell>
          <cell r="D29">
            <v>29.1</v>
          </cell>
          <cell r="E29">
            <v>29.9</v>
          </cell>
          <cell r="F29">
            <v>29.7</v>
          </cell>
          <cell r="G29">
            <v>28.9</v>
          </cell>
          <cell r="H29">
            <v>29.7</v>
          </cell>
          <cell r="I29">
            <v>28.6</v>
          </cell>
          <cell r="J29">
            <v>29.5</v>
          </cell>
          <cell r="K29">
            <v>29.6</v>
          </cell>
          <cell r="L29">
            <v>30.7</v>
          </cell>
          <cell r="M29">
            <v>28.7</v>
          </cell>
          <cell r="N29">
            <v>28.5</v>
          </cell>
          <cell r="O29">
            <v>29.9</v>
          </cell>
        </row>
        <row r="30">
          <cell r="A30">
            <v>201</v>
          </cell>
          <cell r="B30">
            <v>1</v>
          </cell>
          <cell r="C30">
            <v>13.222</v>
          </cell>
          <cell r="D30">
            <v>28.2</v>
          </cell>
          <cell r="E30">
            <v>29.8</v>
          </cell>
          <cell r="F30">
            <v>29.1</v>
          </cell>
          <cell r="G30">
            <v>30.6</v>
          </cell>
          <cell r="H30">
            <v>28.6</v>
          </cell>
          <cell r="I30">
            <v>30.1</v>
          </cell>
          <cell r="J30">
            <v>29.6</v>
          </cell>
          <cell r="K30">
            <v>30.6</v>
          </cell>
          <cell r="L30">
            <v>29.1</v>
          </cell>
          <cell r="M30">
            <v>30.6</v>
          </cell>
          <cell r="N30">
            <v>29.5</v>
          </cell>
          <cell r="O30">
            <v>30.1</v>
          </cell>
        </row>
        <row r="31">
          <cell r="A31">
            <v>201</v>
          </cell>
          <cell r="B31">
            <v>2</v>
          </cell>
          <cell r="C31">
            <v>13.227</v>
          </cell>
          <cell r="D31">
            <v>29.9</v>
          </cell>
          <cell r="E31">
            <v>29.6</v>
          </cell>
          <cell r="F31">
            <v>30.9</v>
          </cell>
          <cell r="G31">
            <v>31.6</v>
          </cell>
          <cell r="H31">
            <v>30.7</v>
          </cell>
          <cell r="I31">
            <v>30.3</v>
          </cell>
          <cell r="J31">
            <v>30.9</v>
          </cell>
          <cell r="K31">
            <v>30.1</v>
          </cell>
          <cell r="L31">
            <v>32</v>
          </cell>
          <cell r="M31">
            <v>32.299999999999997</v>
          </cell>
          <cell r="N31">
            <v>30.2</v>
          </cell>
          <cell r="O31">
            <v>32.700000000000003</v>
          </cell>
        </row>
        <row r="32">
          <cell r="A32">
            <v>202</v>
          </cell>
          <cell r="B32">
            <v>1</v>
          </cell>
          <cell r="C32">
            <v>13.24</v>
          </cell>
          <cell r="D32">
            <v>35.200000000000003</v>
          </cell>
          <cell r="E32">
            <v>32.1</v>
          </cell>
          <cell r="F32">
            <v>30.5</v>
          </cell>
          <cell r="G32">
            <v>31.9</v>
          </cell>
          <cell r="H32">
            <v>31.5</v>
          </cell>
          <cell r="I32">
            <v>32.1</v>
          </cell>
          <cell r="J32">
            <v>31.1</v>
          </cell>
          <cell r="K32">
            <v>30.7</v>
          </cell>
          <cell r="L32">
            <v>34.200000000000003</v>
          </cell>
          <cell r="M32">
            <v>30.1</v>
          </cell>
          <cell r="N32">
            <v>30.9</v>
          </cell>
          <cell r="O32">
            <v>31.3</v>
          </cell>
        </row>
        <row r="33">
          <cell r="A33">
            <v>202</v>
          </cell>
          <cell r="B33">
            <v>2</v>
          </cell>
          <cell r="C33">
            <v>13.244</v>
          </cell>
          <cell r="D33">
            <v>29.3</v>
          </cell>
          <cell r="E33">
            <v>28.4</v>
          </cell>
          <cell r="F33">
            <v>30.3</v>
          </cell>
          <cell r="G33">
            <v>30.8</v>
          </cell>
          <cell r="H33">
            <v>29.2</v>
          </cell>
          <cell r="I33">
            <v>28.5</v>
          </cell>
          <cell r="J33">
            <v>31.5</v>
          </cell>
          <cell r="K33">
            <v>29.3</v>
          </cell>
          <cell r="L33">
            <v>32</v>
          </cell>
          <cell r="M33">
            <v>31.6</v>
          </cell>
          <cell r="N33">
            <v>31.3</v>
          </cell>
          <cell r="O33">
            <v>32.9</v>
          </cell>
        </row>
        <row r="34">
          <cell r="A34">
            <v>203</v>
          </cell>
          <cell r="B34">
            <v>1</v>
          </cell>
          <cell r="C34">
            <v>13.257</v>
          </cell>
          <cell r="D34">
            <v>31.9</v>
          </cell>
          <cell r="E34">
            <v>32.9</v>
          </cell>
          <cell r="F34">
            <v>35</v>
          </cell>
          <cell r="G34">
            <v>32.5</v>
          </cell>
          <cell r="H34">
            <v>32.1</v>
          </cell>
          <cell r="I34">
            <v>32.4</v>
          </cell>
          <cell r="J34">
            <v>31.5</v>
          </cell>
          <cell r="K34">
            <v>36</v>
          </cell>
          <cell r="L34">
            <v>32.299999999999997</v>
          </cell>
          <cell r="M34">
            <v>33.700000000000003</v>
          </cell>
          <cell r="N34">
            <v>31.9</v>
          </cell>
          <cell r="O34">
            <v>32.700000000000003</v>
          </cell>
        </row>
        <row r="35">
          <cell r="A35">
            <v>203</v>
          </cell>
          <cell r="B35">
            <v>2</v>
          </cell>
          <cell r="C35">
            <v>13.260999999999999</v>
          </cell>
          <cell r="D35">
            <v>30.3</v>
          </cell>
          <cell r="E35">
            <v>30.2</v>
          </cell>
          <cell r="F35">
            <v>31.5</v>
          </cell>
          <cell r="G35">
            <v>31.2</v>
          </cell>
          <cell r="H35">
            <v>31.1</v>
          </cell>
          <cell r="I35">
            <v>31.4</v>
          </cell>
          <cell r="J35">
            <v>31.3</v>
          </cell>
          <cell r="K35">
            <v>29.7</v>
          </cell>
          <cell r="L35">
            <v>31.1</v>
          </cell>
          <cell r="M35">
            <v>32.200000000000003</v>
          </cell>
          <cell r="N35">
            <v>31.2</v>
          </cell>
          <cell r="O35">
            <v>32.4</v>
          </cell>
        </row>
        <row r="36">
          <cell r="A36">
            <v>204</v>
          </cell>
          <cell r="B36">
            <v>1</v>
          </cell>
          <cell r="C36">
            <v>13.275</v>
          </cell>
          <cell r="D36">
            <v>30.3</v>
          </cell>
          <cell r="E36">
            <v>30.5</v>
          </cell>
          <cell r="F36">
            <v>31.3</v>
          </cell>
          <cell r="G36">
            <v>31</v>
          </cell>
          <cell r="H36">
            <v>30</v>
          </cell>
          <cell r="I36">
            <v>31.4</v>
          </cell>
          <cell r="J36">
            <v>30</v>
          </cell>
          <cell r="K36">
            <v>30.2</v>
          </cell>
          <cell r="L36">
            <v>30.6</v>
          </cell>
          <cell r="M36">
            <v>32.1</v>
          </cell>
          <cell r="N36">
            <v>29.6</v>
          </cell>
          <cell r="O36">
            <v>30.1</v>
          </cell>
        </row>
        <row r="37">
          <cell r="A37">
            <v>204</v>
          </cell>
          <cell r="B37">
            <v>2</v>
          </cell>
          <cell r="C37">
            <v>13.279</v>
          </cell>
          <cell r="D37">
            <v>28.8</v>
          </cell>
          <cell r="E37">
            <v>30.2</v>
          </cell>
          <cell r="F37">
            <v>30.6</v>
          </cell>
          <cell r="G37">
            <v>30.2</v>
          </cell>
          <cell r="H37">
            <v>30</v>
          </cell>
          <cell r="I37">
            <v>30.7</v>
          </cell>
          <cell r="J37">
            <v>30.5</v>
          </cell>
          <cell r="K37">
            <v>32</v>
          </cell>
          <cell r="L37">
            <v>30.3</v>
          </cell>
          <cell r="M37">
            <v>30</v>
          </cell>
          <cell r="N37">
            <v>30.8</v>
          </cell>
          <cell r="O37">
            <v>30.4</v>
          </cell>
        </row>
        <row r="38">
          <cell r="A38">
            <v>205</v>
          </cell>
          <cell r="B38">
            <v>1</v>
          </cell>
          <cell r="C38">
            <v>13.292</v>
          </cell>
          <cell r="D38">
            <v>29.4</v>
          </cell>
          <cell r="E38">
            <v>30.8</v>
          </cell>
          <cell r="F38">
            <v>29.2</v>
          </cell>
          <cell r="G38">
            <v>29.8</v>
          </cell>
          <cell r="H38">
            <v>29.4</v>
          </cell>
          <cell r="I38">
            <v>30</v>
          </cell>
          <cell r="J38">
            <v>29.3</v>
          </cell>
          <cell r="K38">
            <v>31.1</v>
          </cell>
          <cell r="L38">
            <v>30.2</v>
          </cell>
          <cell r="M38">
            <v>30.6</v>
          </cell>
          <cell r="N38">
            <v>29.9</v>
          </cell>
          <cell r="O38">
            <v>30.6</v>
          </cell>
        </row>
        <row r="39">
          <cell r="A39">
            <v>205</v>
          </cell>
          <cell r="B39">
            <v>2</v>
          </cell>
          <cell r="C39">
            <v>13.297000000000001</v>
          </cell>
          <cell r="D39">
            <v>30.2</v>
          </cell>
          <cell r="E39">
            <v>28</v>
          </cell>
          <cell r="F39">
            <v>27.8</v>
          </cell>
          <cell r="G39">
            <v>27.7</v>
          </cell>
          <cell r="H39">
            <v>29.3</v>
          </cell>
          <cell r="I39">
            <v>28.2</v>
          </cell>
          <cell r="J39">
            <v>29.3</v>
          </cell>
          <cell r="K39">
            <v>30.6</v>
          </cell>
          <cell r="L39">
            <v>29.7</v>
          </cell>
          <cell r="M39">
            <v>29.7</v>
          </cell>
          <cell r="N39">
            <v>30.2</v>
          </cell>
          <cell r="O39">
            <v>28.7</v>
          </cell>
        </row>
        <row r="40">
          <cell r="A40">
            <v>206</v>
          </cell>
          <cell r="B40">
            <v>1</v>
          </cell>
          <cell r="C40">
            <v>13.308999999999999</v>
          </cell>
          <cell r="D40">
            <v>33.299999999999997</v>
          </cell>
          <cell r="E40">
            <v>31.9</v>
          </cell>
          <cell r="F40">
            <v>30.8</v>
          </cell>
          <cell r="G40">
            <v>32.6</v>
          </cell>
          <cell r="H40">
            <v>33</v>
          </cell>
          <cell r="I40">
            <v>33.299999999999997</v>
          </cell>
          <cell r="J40">
            <v>32.799999999999997</v>
          </cell>
          <cell r="K40">
            <v>32.1</v>
          </cell>
          <cell r="L40">
            <v>34.6</v>
          </cell>
          <cell r="M40">
            <v>35.700000000000003</v>
          </cell>
          <cell r="N40">
            <v>34.6</v>
          </cell>
          <cell r="O40">
            <v>31.9</v>
          </cell>
        </row>
        <row r="41">
          <cell r="A41">
            <v>206</v>
          </cell>
          <cell r="B41">
            <v>2</v>
          </cell>
          <cell r="C41">
            <v>13.314</v>
          </cell>
          <cell r="D41">
            <v>29.9</v>
          </cell>
          <cell r="E41">
            <v>30.2</v>
          </cell>
          <cell r="F41">
            <v>31.3</v>
          </cell>
          <cell r="G41">
            <v>31.4</v>
          </cell>
          <cell r="H41">
            <v>32.6</v>
          </cell>
          <cell r="I41">
            <v>31.9</v>
          </cell>
          <cell r="J41">
            <v>34.5</v>
          </cell>
          <cell r="K41">
            <v>31.9</v>
          </cell>
          <cell r="L41">
            <v>32.1</v>
          </cell>
          <cell r="M41">
            <v>32.799999999999997</v>
          </cell>
          <cell r="N41">
            <v>32.299999999999997</v>
          </cell>
          <cell r="O41">
            <v>32.299999999999997</v>
          </cell>
        </row>
        <row r="42">
          <cell r="A42">
            <v>207</v>
          </cell>
          <cell r="B42">
            <v>1</v>
          </cell>
          <cell r="C42">
            <v>13.327</v>
          </cell>
          <cell r="D42">
            <v>31.7</v>
          </cell>
          <cell r="E42">
            <v>30.6</v>
          </cell>
          <cell r="F42">
            <v>29.9</v>
          </cell>
          <cell r="G42">
            <v>30.5</v>
          </cell>
          <cell r="H42">
            <v>29.6</v>
          </cell>
          <cell r="I42">
            <v>32.200000000000003</v>
          </cell>
          <cell r="J42">
            <v>29.6</v>
          </cell>
          <cell r="K42">
            <v>30.8</v>
          </cell>
          <cell r="L42">
            <v>31.2</v>
          </cell>
          <cell r="M42">
            <v>30.9</v>
          </cell>
          <cell r="N42">
            <v>31.3</v>
          </cell>
          <cell r="O42">
            <v>31.3</v>
          </cell>
        </row>
        <row r="43">
          <cell r="A43">
            <v>207</v>
          </cell>
          <cell r="B43">
            <v>2</v>
          </cell>
          <cell r="C43">
            <v>13.331</v>
          </cell>
          <cell r="D43">
            <v>31.5</v>
          </cell>
          <cell r="E43">
            <v>31.1</v>
          </cell>
          <cell r="F43">
            <v>30.1</v>
          </cell>
          <cell r="G43">
            <v>31.8</v>
          </cell>
          <cell r="H43">
            <v>30.3</v>
          </cell>
          <cell r="I43">
            <v>32.1</v>
          </cell>
          <cell r="J43">
            <v>29.7</v>
          </cell>
          <cell r="K43">
            <v>28.8</v>
          </cell>
          <cell r="L43">
            <v>30.6</v>
          </cell>
          <cell r="M43">
            <v>31.6</v>
          </cell>
          <cell r="N43">
            <v>30.4</v>
          </cell>
          <cell r="O43">
            <v>32.200000000000003</v>
          </cell>
        </row>
        <row r="44">
          <cell r="A44">
            <v>208</v>
          </cell>
          <cell r="B44">
            <v>1</v>
          </cell>
          <cell r="C44">
            <v>13.343999999999999</v>
          </cell>
          <cell r="D44">
            <v>40.700000000000003</v>
          </cell>
          <cell r="E44">
            <v>33.9</v>
          </cell>
          <cell r="F44">
            <v>33</v>
          </cell>
          <cell r="G44">
            <v>31.2</v>
          </cell>
          <cell r="H44">
            <v>35.799999999999997</v>
          </cell>
          <cell r="I44">
            <v>31.8</v>
          </cell>
          <cell r="J44">
            <v>33.9</v>
          </cell>
          <cell r="K44">
            <v>32.4</v>
          </cell>
          <cell r="L44">
            <v>31.3</v>
          </cell>
          <cell r="M44">
            <v>31.9</v>
          </cell>
          <cell r="N44">
            <v>32.700000000000003</v>
          </cell>
          <cell r="O44">
            <v>30.8</v>
          </cell>
        </row>
        <row r="45">
          <cell r="A45">
            <v>208</v>
          </cell>
          <cell r="B45">
            <v>2</v>
          </cell>
          <cell r="C45">
            <v>13.349</v>
          </cell>
          <cell r="D45">
            <v>29</v>
          </cell>
          <cell r="E45">
            <v>30.8</v>
          </cell>
          <cell r="F45">
            <v>29.5</v>
          </cell>
          <cell r="G45">
            <v>31.1</v>
          </cell>
          <cell r="H45">
            <v>30.8</v>
          </cell>
          <cell r="I45">
            <v>28.7</v>
          </cell>
          <cell r="J45">
            <v>31.7</v>
          </cell>
          <cell r="K45">
            <v>29.4</v>
          </cell>
          <cell r="L45">
            <v>28.3</v>
          </cell>
          <cell r="M45">
            <v>28.6</v>
          </cell>
          <cell r="N45">
            <v>28.4</v>
          </cell>
          <cell r="O45">
            <v>29.8</v>
          </cell>
        </row>
        <row r="46">
          <cell r="A46">
            <v>908</v>
          </cell>
          <cell r="B46">
            <v>1</v>
          </cell>
          <cell r="C46">
            <v>13.363</v>
          </cell>
          <cell r="D46">
            <v>48.3</v>
          </cell>
          <cell r="E46">
            <v>48.4</v>
          </cell>
          <cell r="F46">
            <v>42.6</v>
          </cell>
          <cell r="G46">
            <v>42.8</v>
          </cell>
          <cell r="H46">
            <v>49.7</v>
          </cell>
          <cell r="I46">
            <v>50.6</v>
          </cell>
          <cell r="J46">
            <v>44.1</v>
          </cell>
          <cell r="K46">
            <v>52.8</v>
          </cell>
          <cell r="L46">
            <v>36.1</v>
          </cell>
          <cell r="M46">
            <v>44.8</v>
          </cell>
          <cell r="N46">
            <v>39.9</v>
          </cell>
          <cell r="O46">
            <v>54.3</v>
          </cell>
        </row>
        <row r="47">
          <cell r="A47">
            <v>908</v>
          </cell>
          <cell r="B47">
            <v>2</v>
          </cell>
          <cell r="C47">
            <v>13.368</v>
          </cell>
          <cell r="D47">
            <v>33.9</v>
          </cell>
          <cell r="E47">
            <v>35.299999999999997</v>
          </cell>
          <cell r="F47">
            <v>35.4</v>
          </cell>
          <cell r="G47">
            <v>37.299999999999997</v>
          </cell>
          <cell r="H47">
            <v>33.200000000000003</v>
          </cell>
          <cell r="I47">
            <v>34.9</v>
          </cell>
          <cell r="J47">
            <v>36.700000000000003</v>
          </cell>
          <cell r="K47">
            <v>34.700000000000003</v>
          </cell>
          <cell r="L47">
            <v>35.6</v>
          </cell>
          <cell r="M47">
            <v>36.5</v>
          </cell>
          <cell r="N47">
            <v>37.4</v>
          </cell>
          <cell r="O47">
            <v>37</v>
          </cell>
        </row>
        <row r="48">
          <cell r="A48">
            <v>907</v>
          </cell>
          <cell r="B48">
            <v>1</v>
          </cell>
          <cell r="C48">
            <v>13.381</v>
          </cell>
          <cell r="D48">
            <v>65.8</v>
          </cell>
          <cell r="E48">
            <v>66.599999999999994</v>
          </cell>
          <cell r="F48">
            <v>65.5</v>
          </cell>
          <cell r="G48">
            <v>66.2</v>
          </cell>
          <cell r="H48">
            <v>66.3</v>
          </cell>
          <cell r="I48">
            <v>66.099999999999994</v>
          </cell>
          <cell r="J48">
            <v>66.099999999999994</v>
          </cell>
          <cell r="K48">
            <v>66</v>
          </cell>
          <cell r="L48">
            <v>66.3</v>
          </cell>
          <cell r="M48">
            <v>66.400000000000006</v>
          </cell>
          <cell r="N48">
            <v>66.400000000000006</v>
          </cell>
          <cell r="O48">
            <v>66</v>
          </cell>
        </row>
        <row r="50">
          <cell r="A50">
            <v>906</v>
          </cell>
          <cell r="B50">
            <v>1</v>
          </cell>
          <cell r="C50">
            <v>13.388999999999999</v>
          </cell>
          <cell r="D50">
            <v>39</v>
          </cell>
          <cell r="E50">
            <v>33.4</v>
          </cell>
          <cell r="F50">
            <v>32.6</v>
          </cell>
          <cell r="G50">
            <v>32.700000000000003</v>
          </cell>
          <cell r="H50">
            <v>32.1</v>
          </cell>
          <cell r="I50">
            <v>38.4</v>
          </cell>
          <cell r="J50">
            <v>33.9</v>
          </cell>
          <cell r="K50">
            <v>37.799999999999997</v>
          </cell>
          <cell r="L50">
            <v>31.6</v>
          </cell>
          <cell r="M50">
            <v>39.799999999999997</v>
          </cell>
          <cell r="N50">
            <v>32.5</v>
          </cell>
          <cell r="O50">
            <v>33</v>
          </cell>
        </row>
        <row r="51">
          <cell r="A51">
            <v>906</v>
          </cell>
          <cell r="B51">
            <v>2</v>
          </cell>
          <cell r="C51">
            <v>13.394</v>
          </cell>
          <cell r="D51">
            <v>30.4</v>
          </cell>
          <cell r="E51">
            <v>30.8</v>
          </cell>
          <cell r="F51">
            <v>31</v>
          </cell>
          <cell r="G51">
            <v>31.4</v>
          </cell>
          <cell r="H51">
            <v>30.9</v>
          </cell>
          <cell r="I51">
            <v>30.8</v>
          </cell>
          <cell r="J51">
            <v>32.9</v>
          </cell>
          <cell r="K51">
            <v>32.700000000000003</v>
          </cell>
          <cell r="L51">
            <v>30.9</v>
          </cell>
          <cell r="M51">
            <v>30.9</v>
          </cell>
          <cell r="N51">
            <v>31.4</v>
          </cell>
          <cell r="O51">
            <v>32.1</v>
          </cell>
        </row>
        <row r="52">
          <cell r="A52">
            <v>905</v>
          </cell>
          <cell r="B52">
            <v>1</v>
          </cell>
          <cell r="C52">
            <v>13.407</v>
          </cell>
          <cell r="D52">
            <v>55.8</v>
          </cell>
          <cell r="E52">
            <v>55.3</v>
          </cell>
          <cell r="F52">
            <v>56.8</v>
          </cell>
          <cell r="G52">
            <v>57.9</v>
          </cell>
          <cell r="H52">
            <v>56.6</v>
          </cell>
          <cell r="I52">
            <v>56.7</v>
          </cell>
          <cell r="J52">
            <v>56.7</v>
          </cell>
          <cell r="K52">
            <v>57.2</v>
          </cell>
          <cell r="L52">
            <v>55.9</v>
          </cell>
          <cell r="M52">
            <v>57.4</v>
          </cell>
          <cell r="N52">
            <v>57.5</v>
          </cell>
          <cell r="O52">
            <v>57.8</v>
          </cell>
        </row>
        <row r="54">
          <cell r="A54">
            <v>904</v>
          </cell>
          <cell r="B54">
            <v>1</v>
          </cell>
          <cell r="C54">
            <v>13.416</v>
          </cell>
          <cell r="D54">
            <v>62.7</v>
          </cell>
          <cell r="E54">
            <v>49.3</v>
          </cell>
          <cell r="F54">
            <v>40.9</v>
          </cell>
          <cell r="G54">
            <v>54.9</v>
          </cell>
          <cell r="H54">
            <v>39.1</v>
          </cell>
          <cell r="I54">
            <v>58.9</v>
          </cell>
          <cell r="J54">
            <v>40.200000000000003</v>
          </cell>
          <cell r="K54">
            <v>59.9</v>
          </cell>
          <cell r="L54">
            <v>40.9</v>
          </cell>
          <cell r="M54">
            <v>56.3</v>
          </cell>
          <cell r="N54">
            <v>42.8</v>
          </cell>
          <cell r="O54">
            <v>51.4</v>
          </cell>
        </row>
        <row r="55">
          <cell r="A55">
            <v>904</v>
          </cell>
          <cell r="B55">
            <v>2</v>
          </cell>
          <cell r="C55">
            <v>13.420999999999999</v>
          </cell>
          <cell r="D55">
            <v>37.6</v>
          </cell>
          <cell r="E55">
            <v>39.9</v>
          </cell>
          <cell r="F55">
            <v>38.4</v>
          </cell>
          <cell r="G55">
            <v>40.6</v>
          </cell>
          <cell r="H55">
            <v>43.2</v>
          </cell>
          <cell r="I55">
            <v>40.4</v>
          </cell>
          <cell r="J55">
            <v>39.299999999999997</v>
          </cell>
          <cell r="K55">
            <v>39.5</v>
          </cell>
          <cell r="L55">
            <v>38.5</v>
          </cell>
          <cell r="M55">
            <v>40.4</v>
          </cell>
          <cell r="N55">
            <v>39.4</v>
          </cell>
          <cell r="O55">
            <v>39.6</v>
          </cell>
        </row>
        <row r="56">
          <cell r="A56">
            <v>903</v>
          </cell>
          <cell r="B56">
            <v>1</v>
          </cell>
          <cell r="C56">
            <v>13.433999999999999</v>
          </cell>
          <cell r="D56">
            <v>67.3</v>
          </cell>
          <cell r="E56">
            <v>66.400000000000006</v>
          </cell>
          <cell r="F56">
            <v>66.599999999999994</v>
          </cell>
          <cell r="G56">
            <v>65.8</v>
          </cell>
          <cell r="H56">
            <v>66</v>
          </cell>
          <cell r="I56">
            <v>66.2</v>
          </cell>
          <cell r="J56">
            <v>66</v>
          </cell>
          <cell r="K56">
            <v>66.2</v>
          </cell>
          <cell r="L56">
            <v>67.099999999999994</v>
          </cell>
          <cell r="M56">
            <v>66.7</v>
          </cell>
          <cell r="N56">
            <v>66.900000000000006</v>
          </cell>
          <cell r="O56">
            <v>66.7</v>
          </cell>
        </row>
        <row r="58">
          <cell r="A58">
            <v>902</v>
          </cell>
          <cell r="B58">
            <v>1</v>
          </cell>
          <cell r="C58">
            <v>13.444000000000001</v>
          </cell>
          <cell r="D58">
            <v>42.8</v>
          </cell>
          <cell r="E58">
            <v>36.1</v>
          </cell>
          <cell r="F58">
            <v>33.799999999999997</v>
          </cell>
          <cell r="G58">
            <v>39.200000000000003</v>
          </cell>
          <cell r="H58">
            <v>34.6</v>
          </cell>
          <cell r="I58">
            <v>39.700000000000003</v>
          </cell>
          <cell r="J58">
            <v>39.1</v>
          </cell>
          <cell r="K58">
            <v>34.1</v>
          </cell>
          <cell r="L58">
            <v>36.5</v>
          </cell>
          <cell r="M58">
            <v>37.1</v>
          </cell>
          <cell r="N58">
            <v>46.2</v>
          </cell>
          <cell r="O58">
            <v>33.6</v>
          </cell>
        </row>
        <row r="59">
          <cell r="A59">
            <v>902</v>
          </cell>
          <cell r="B59">
            <v>2</v>
          </cell>
          <cell r="C59">
            <v>13.448</v>
          </cell>
          <cell r="D59">
            <v>32.9</v>
          </cell>
          <cell r="E59">
            <v>33.299999999999997</v>
          </cell>
          <cell r="F59">
            <v>31.3</v>
          </cell>
          <cell r="G59">
            <v>31.7</v>
          </cell>
          <cell r="H59">
            <v>32.1</v>
          </cell>
          <cell r="I59">
            <v>32.700000000000003</v>
          </cell>
          <cell r="J59">
            <v>33</v>
          </cell>
          <cell r="K59">
            <v>33.700000000000003</v>
          </cell>
          <cell r="L59">
            <v>33.1</v>
          </cell>
          <cell r="M59">
            <v>32.799999999999997</v>
          </cell>
          <cell r="N59">
            <v>31.3</v>
          </cell>
          <cell r="O59">
            <v>32.6</v>
          </cell>
        </row>
        <row r="60">
          <cell r="A60">
            <v>901</v>
          </cell>
          <cell r="B60">
            <v>1</v>
          </cell>
          <cell r="C60">
            <v>13.462</v>
          </cell>
          <cell r="D60">
            <v>39.299999999999997</v>
          </cell>
          <cell r="E60">
            <v>39.4</v>
          </cell>
          <cell r="F60">
            <v>39.799999999999997</v>
          </cell>
          <cell r="G60">
            <v>39.9</v>
          </cell>
          <cell r="H60">
            <v>39.5</v>
          </cell>
          <cell r="I60">
            <v>39.200000000000003</v>
          </cell>
          <cell r="J60">
            <v>39.200000000000003</v>
          </cell>
          <cell r="K60">
            <v>39.299999999999997</v>
          </cell>
          <cell r="L60">
            <v>39.6</v>
          </cell>
          <cell r="M60">
            <v>39.700000000000003</v>
          </cell>
          <cell r="N60">
            <v>39.9</v>
          </cell>
          <cell r="O60">
            <v>39.6</v>
          </cell>
        </row>
        <row r="62">
          <cell r="A62">
            <v>301</v>
          </cell>
          <cell r="B62">
            <v>1</v>
          </cell>
          <cell r="C62">
            <v>13.473000000000001</v>
          </cell>
          <cell r="D62">
            <v>30.8</v>
          </cell>
          <cell r="E62">
            <v>31.3</v>
          </cell>
          <cell r="F62">
            <v>30.2</v>
          </cell>
          <cell r="G62">
            <v>31.5</v>
          </cell>
          <cell r="H62">
            <v>30.2</v>
          </cell>
          <cell r="I62">
            <v>30.2</v>
          </cell>
          <cell r="J62">
            <v>29.4</v>
          </cell>
          <cell r="K62">
            <v>30</v>
          </cell>
          <cell r="L62">
            <v>29.7</v>
          </cell>
          <cell r="M62">
            <v>29.6</v>
          </cell>
          <cell r="N62">
            <v>29.4</v>
          </cell>
          <cell r="O62">
            <v>29.3</v>
          </cell>
        </row>
        <row r="63">
          <cell r="A63">
            <v>301</v>
          </cell>
          <cell r="B63">
            <v>2</v>
          </cell>
          <cell r="C63">
            <v>13.478</v>
          </cell>
          <cell r="D63">
            <v>28.7</v>
          </cell>
          <cell r="E63">
            <v>29.1</v>
          </cell>
          <cell r="F63">
            <v>29.4</v>
          </cell>
          <cell r="G63">
            <v>30</v>
          </cell>
          <cell r="H63">
            <v>29.4</v>
          </cell>
          <cell r="I63">
            <v>28.4</v>
          </cell>
          <cell r="J63">
            <v>28.9</v>
          </cell>
          <cell r="K63">
            <v>31.2</v>
          </cell>
          <cell r="L63">
            <v>28.5</v>
          </cell>
          <cell r="M63">
            <v>28.7</v>
          </cell>
          <cell r="N63">
            <v>29.7</v>
          </cell>
          <cell r="O63">
            <v>29.3</v>
          </cell>
        </row>
        <row r="64">
          <cell r="A64">
            <v>302</v>
          </cell>
          <cell r="B64">
            <v>1</v>
          </cell>
          <cell r="C64">
            <v>13.491</v>
          </cell>
          <cell r="D64">
            <v>29.6</v>
          </cell>
          <cell r="E64">
            <v>31.3</v>
          </cell>
          <cell r="F64">
            <v>30.1</v>
          </cell>
          <cell r="G64">
            <v>32.6</v>
          </cell>
          <cell r="H64">
            <v>31.9</v>
          </cell>
          <cell r="I64">
            <v>32.6</v>
          </cell>
          <cell r="J64">
            <v>30.6</v>
          </cell>
          <cell r="K64">
            <v>33.9</v>
          </cell>
          <cell r="L64">
            <v>30.4</v>
          </cell>
          <cell r="M64">
            <v>32.1</v>
          </cell>
          <cell r="N64">
            <v>30.5</v>
          </cell>
          <cell r="O64">
            <v>31.6</v>
          </cell>
        </row>
        <row r="65">
          <cell r="A65">
            <v>302</v>
          </cell>
          <cell r="B65">
            <v>2</v>
          </cell>
          <cell r="C65">
            <v>13.496</v>
          </cell>
          <cell r="D65">
            <v>32.299999999999997</v>
          </cell>
          <cell r="E65">
            <v>31.1</v>
          </cell>
          <cell r="F65">
            <v>32.200000000000003</v>
          </cell>
          <cell r="G65">
            <v>30.6</v>
          </cell>
          <cell r="H65">
            <v>32</v>
          </cell>
          <cell r="I65">
            <v>32.700000000000003</v>
          </cell>
          <cell r="J65">
            <v>32</v>
          </cell>
          <cell r="K65">
            <v>30.6</v>
          </cell>
          <cell r="L65">
            <v>31.4</v>
          </cell>
          <cell r="M65">
            <v>31.5</v>
          </cell>
          <cell r="N65">
            <v>31.1</v>
          </cell>
          <cell r="O65">
            <v>32.5</v>
          </cell>
        </row>
        <row r="66">
          <cell r="A66">
            <v>303</v>
          </cell>
          <cell r="B66">
            <v>1</v>
          </cell>
          <cell r="C66">
            <v>13.507999999999999</v>
          </cell>
          <cell r="D66">
            <v>31.4</v>
          </cell>
          <cell r="E66">
            <v>30.7</v>
          </cell>
          <cell r="F66">
            <v>31.1</v>
          </cell>
          <cell r="G66">
            <v>31.9</v>
          </cell>
          <cell r="H66">
            <v>32.1</v>
          </cell>
          <cell r="I66">
            <v>33.4</v>
          </cell>
          <cell r="J66">
            <v>31.7</v>
          </cell>
          <cell r="K66">
            <v>33</v>
          </cell>
          <cell r="L66">
            <v>31.9</v>
          </cell>
          <cell r="M66">
            <v>33.799999999999997</v>
          </cell>
          <cell r="N66">
            <v>30.4</v>
          </cell>
          <cell r="O66">
            <v>31.9</v>
          </cell>
        </row>
        <row r="67">
          <cell r="A67">
            <v>303</v>
          </cell>
          <cell r="B67">
            <v>2</v>
          </cell>
          <cell r="C67">
            <v>13.513</v>
          </cell>
          <cell r="D67">
            <v>29.3</v>
          </cell>
          <cell r="E67">
            <v>29.8</v>
          </cell>
          <cell r="F67">
            <v>31.6</v>
          </cell>
          <cell r="G67">
            <v>31.5</v>
          </cell>
          <cell r="H67">
            <v>29.5</v>
          </cell>
          <cell r="I67">
            <v>29.4</v>
          </cell>
          <cell r="J67">
            <v>29.9</v>
          </cell>
          <cell r="K67">
            <v>30.6</v>
          </cell>
          <cell r="L67">
            <v>29.7</v>
          </cell>
          <cell r="M67">
            <v>30.2</v>
          </cell>
          <cell r="N67">
            <v>28.7</v>
          </cell>
          <cell r="O67">
            <v>30.3</v>
          </cell>
        </row>
        <row r="68">
          <cell r="A68">
            <v>304</v>
          </cell>
          <cell r="B68">
            <v>1</v>
          </cell>
          <cell r="C68">
            <v>13.525</v>
          </cell>
          <cell r="D68">
            <v>34.4</v>
          </cell>
          <cell r="E68">
            <v>30.8</v>
          </cell>
          <cell r="F68">
            <v>30</v>
          </cell>
          <cell r="G68">
            <v>31</v>
          </cell>
          <cell r="H68">
            <v>30.6</v>
          </cell>
          <cell r="I68">
            <v>31</v>
          </cell>
          <cell r="J68">
            <v>30</v>
          </cell>
          <cell r="K68">
            <v>30.2</v>
          </cell>
          <cell r="L68">
            <v>29.6</v>
          </cell>
          <cell r="M68">
            <v>31.7</v>
          </cell>
          <cell r="N68">
            <v>31.4</v>
          </cell>
          <cell r="O68">
            <v>32.9</v>
          </cell>
        </row>
        <row r="69">
          <cell r="A69">
            <v>304</v>
          </cell>
          <cell r="B69">
            <v>2</v>
          </cell>
          <cell r="C69">
            <v>13.53</v>
          </cell>
          <cell r="D69">
            <v>30.1</v>
          </cell>
          <cell r="E69">
            <v>30.6</v>
          </cell>
          <cell r="F69">
            <v>28.2</v>
          </cell>
          <cell r="G69">
            <v>28.5</v>
          </cell>
          <cell r="H69">
            <v>30.4</v>
          </cell>
          <cell r="I69">
            <v>31.2</v>
          </cell>
          <cell r="J69">
            <v>29.9</v>
          </cell>
          <cell r="K69">
            <v>29.3</v>
          </cell>
          <cell r="L69">
            <v>30</v>
          </cell>
          <cell r="M69">
            <v>31.7</v>
          </cell>
          <cell r="N69">
            <v>29.8</v>
          </cell>
          <cell r="O69">
            <v>30.1</v>
          </cell>
        </row>
        <row r="70">
          <cell r="A70">
            <v>305</v>
          </cell>
          <cell r="B70">
            <v>1</v>
          </cell>
          <cell r="C70">
            <v>13.542</v>
          </cell>
          <cell r="D70">
            <v>29.4</v>
          </cell>
          <cell r="E70">
            <v>29.9</v>
          </cell>
          <cell r="F70">
            <v>30.1</v>
          </cell>
          <cell r="G70">
            <v>30.1</v>
          </cell>
          <cell r="H70">
            <v>29.7</v>
          </cell>
          <cell r="I70">
            <v>29</v>
          </cell>
          <cell r="J70">
            <v>29.3</v>
          </cell>
          <cell r="K70">
            <v>28.8</v>
          </cell>
          <cell r="L70">
            <v>28.5</v>
          </cell>
          <cell r="M70">
            <v>29.1</v>
          </cell>
          <cell r="N70">
            <v>28.8</v>
          </cell>
          <cell r="O70">
            <v>30.2</v>
          </cell>
        </row>
        <row r="71">
          <cell r="A71">
            <v>305</v>
          </cell>
          <cell r="B71">
            <v>2</v>
          </cell>
          <cell r="C71">
            <v>13.547000000000001</v>
          </cell>
          <cell r="D71">
            <v>28.3</v>
          </cell>
          <cell r="E71">
            <v>28.6</v>
          </cell>
          <cell r="F71">
            <v>29.4</v>
          </cell>
          <cell r="G71">
            <v>31.2</v>
          </cell>
          <cell r="H71">
            <v>29.5</v>
          </cell>
          <cell r="I71">
            <v>30.3</v>
          </cell>
          <cell r="J71">
            <v>29.8</v>
          </cell>
          <cell r="K71">
            <v>29.7</v>
          </cell>
          <cell r="L71">
            <v>29.7</v>
          </cell>
          <cell r="M71">
            <v>30.3</v>
          </cell>
          <cell r="N71">
            <v>29.1</v>
          </cell>
          <cell r="O71">
            <v>29.2</v>
          </cell>
        </row>
        <row r="72">
          <cell r="A72">
            <v>306</v>
          </cell>
          <cell r="B72">
            <v>1</v>
          </cell>
          <cell r="C72">
            <v>13.56</v>
          </cell>
          <cell r="D72">
            <v>29.6</v>
          </cell>
          <cell r="E72">
            <v>29.5</v>
          </cell>
          <cell r="F72">
            <v>31.8</v>
          </cell>
          <cell r="G72">
            <v>29.2</v>
          </cell>
          <cell r="H72">
            <v>32.9</v>
          </cell>
          <cell r="I72">
            <v>29.3</v>
          </cell>
          <cell r="J72">
            <v>29.4</v>
          </cell>
          <cell r="K72">
            <v>29.5</v>
          </cell>
          <cell r="L72">
            <v>28.9</v>
          </cell>
          <cell r="M72">
            <v>28.5</v>
          </cell>
          <cell r="N72">
            <v>31.1</v>
          </cell>
          <cell r="O72">
            <v>29.8</v>
          </cell>
        </row>
        <row r="73">
          <cell r="A73">
            <v>306</v>
          </cell>
          <cell r="B73">
            <v>2</v>
          </cell>
          <cell r="C73">
            <v>13.564</v>
          </cell>
          <cell r="D73">
            <v>29.7</v>
          </cell>
          <cell r="E73">
            <v>30.9</v>
          </cell>
          <cell r="F73">
            <v>31.4</v>
          </cell>
          <cell r="G73">
            <v>30.5</v>
          </cell>
          <cell r="H73">
            <v>32.1</v>
          </cell>
          <cell r="I73">
            <v>30.9</v>
          </cell>
          <cell r="J73">
            <v>31.4</v>
          </cell>
          <cell r="K73">
            <v>33.4</v>
          </cell>
          <cell r="L73">
            <v>32.200000000000003</v>
          </cell>
          <cell r="M73">
            <v>32.200000000000003</v>
          </cell>
          <cell r="N73">
            <v>32.1</v>
          </cell>
          <cell r="O73">
            <v>31.5</v>
          </cell>
        </row>
        <row r="74">
          <cell r="A74">
            <v>307</v>
          </cell>
          <cell r="B74">
            <v>1</v>
          </cell>
          <cell r="C74">
            <v>13.576000000000001</v>
          </cell>
          <cell r="D74">
            <v>30.5</v>
          </cell>
          <cell r="E74">
            <v>30.9</v>
          </cell>
          <cell r="F74">
            <v>29.7</v>
          </cell>
          <cell r="G74">
            <v>31.9</v>
          </cell>
          <cell r="H74">
            <v>30.2</v>
          </cell>
          <cell r="I74">
            <v>31</v>
          </cell>
          <cell r="J74">
            <v>30.3</v>
          </cell>
          <cell r="K74">
            <v>32.1</v>
          </cell>
          <cell r="L74">
            <v>32</v>
          </cell>
          <cell r="M74">
            <v>30.7</v>
          </cell>
          <cell r="N74">
            <v>31</v>
          </cell>
          <cell r="O74">
            <v>31.4</v>
          </cell>
        </row>
        <row r="75">
          <cell r="A75">
            <v>307</v>
          </cell>
          <cell r="B75">
            <v>2</v>
          </cell>
          <cell r="C75">
            <v>13.581</v>
          </cell>
          <cell r="D75">
            <v>31.1</v>
          </cell>
          <cell r="E75">
            <v>34.4</v>
          </cell>
          <cell r="F75">
            <v>32.299999999999997</v>
          </cell>
          <cell r="G75">
            <v>32.799999999999997</v>
          </cell>
          <cell r="H75">
            <v>32.700000000000003</v>
          </cell>
          <cell r="I75">
            <v>35.700000000000003</v>
          </cell>
          <cell r="J75">
            <v>32.299999999999997</v>
          </cell>
          <cell r="K75">
            <v>31.3</v>
          </cell>
          <cell r="L75">
            <v>32.700000000000003</v>
          </cell>
          <cell r="M75">
            <v>31.1</v>
          </cell>
          <cell r="N75">
            <v>34.200000000000003</v>
          </cell>
          <cell r="O75">
            <v>33.5</v>
          </cell>
        </row>
        <row r="76">
          <cell r="A76">
            <v>308</v>
          </cell>
          <cell r="B76">
            <v>1</v>
          </cell>
          <cell r="C76">
            <v>13.593</v>
          </cell>
          <cell r="D76">
            <v>33.799999999999997</v>
          </cell>
          <cell r="E76">
            <v>35.200000000000003</v>
          </cell>
          <cell r="F76">
            <v>34.700000000000003</v>
          </cell>
          <cell r="G76">
            <v>34.9</v>
          </cell>
          <cell r="H76">
            <v>34.700000000000003</v>
          </cell>
          <cell r="I76">
            <v>33.9</v>
          </cell>
          <cell r="J76">
            <v>33.9</v>
          </cell>
          <cell r="K76">
            <v>34.4</v>
          </cell>
          <cell r="L76">
            <v>33.700000000000003</v>
          </cell>
          <cell r="M76">
            <v>33.700000000000003</v>
          </cell>
          <cell r="N76">
            <v>32.9</v>
          </cell>
          <cell r="O76">
            <v>33</v>
          </cell>
        </row>
        <row r="77">
          <cell r="A77">
            <v>308</v>
          </cell>
          <cell r="B77">
            <v>2</v>
          </cell>
          <cell r="C77">
            <v>13.598000000000001</v>
          </cell>
          <cell r="D77">
            <v>32.5</v>
          </cell>
          <cell r="E77">
            <v>34.200000000000003</v>
          </cell>
          <cell r="F77">
            <v>34.700000000000003</v>
          </cell>
          <cell r="G77">
            <v>35.6</v>
          </cell>
          <cell r="H77">
            <v>37.1</v>
          </cell>
          <cell r="I77">
            <v>36.5</v>
          </cell>
          <cell r="J77">
            <v>36.6</v>
          </cell>
          <cell r="K77">
            <v>37.4</v>
          </cell>
          <cell r="L77">
            <v>33.6</v>
          </cell>
          <cell r="M77">
            <v>35.4</v>
          </cell>
          <cell r="N77">
            <v>33</v>
          </cell>
          <cell r="O77">
            <v>31.1</v>
          </cell>
        </row>
        <row r="78">
          <cell r="A78">
            <v>408</v>
          </cell>
          <cell r="B78">
            <v>1</v>
          </cell>
          <cell r="C78">
            <v>13.615</v>
          </cell>
          <cell r="D78">
            <v>34.9</v>
          </cell>
          <cell r="E78">
            <v>33.200000000000003</v>
          </cell>
          <cell r="F78">
            <v>33.700000000000003</v>
          </cell>
          <cell r="G78">
            <v>32.5</v>
          </cell>
          <cell r="H78">
            <v>32</v>
          </cell>
          <cell r="I78">
            <v>32.9</v>
          </cell>
          <cell r="J78">
            <v>32.1</v>
          </cell>
          <cell r="K78">
            <v>33.299999999999997</v>
          </cell>
          <cell r="L78">
            <v>33.1</v>
          </cell>
          <cell r="M78">
            <v>33.5</v>
          </cell>
          <cell r="N78">
            <v>32.1</v>
          </cell>
          <cell r="O78">
            <v>32.6</v>
          </cell>
        </row>
        <row r="79">
          <cell r="A79">
            <v>408</v>
          </cell>
          <cell r="B79">
            <v>2</v>
          </cell>
          <cell r="C79">
            <v>13.62</v>
          </cell>
          <cell r="D79">
            <v>33.1</v>
          </cell>
          <cell r="E79">
            <v>34.6</v>
          </cell>
          <cell r="F79">
            <v>32.799999999999997</v>
          </cell>
          <cell r="G79">
            <v>32.5</v>
          </cell>
          <cell r="H79">
            <v>34.799999999999997</v>
          </cell>
          <cell r="I79">
            <v>34</v>
          </cell>
          <cell r="J79">
            <v>32.5</v>
          </cell>
          <cell r="K79">
            <v>34.1</v>
          </cell>
          <cell r="L79">
            <v>31.1</v>
          </cell>
          <cell r="M79">
            <v>33.200000000000003</v>
          </cell>
          <cell r="N79">
            <v>31.1</v>
          </cell>
          <cell r="O79">
            <v>32.9</v>
          </cell>
        </row>
        <row r="80">
          <cell r="A80">
            <v>407</v>
          </cell>
          <cell r="B80">
            <v>1</v>
          </cell>
          <cell r="C80">
            <v>13.632</v>
          </cell>
          <cell r="D80">
            <v>35.200000000000003</v>
          </cell>
          <cell r="E80">
            <v>35.1</v>
          </cell>
          <cell r="F80">
            <v>33.9</v>
          </cell>
          <cell r="G80">
            <v>35</v>
          </cell>
          <cell r="H80">
            <v>32.799999999999997</v>
          </cell>
          <cell r="I80">
            <v>35.700000000000003</v>
          </cell>
          <cell r="J80">
            <v>32.799999999999997</v>
          </cell>
          <cell r="K80">
            <v>33.4</v>
          </cell>
          <cell r="L80">
            <v>31.9</v>
          </cell>
          <cell r="M80">
            <v>32.200000000000003</v>
          </cell>
          <cell r="N80">
            <v>29.8</v>
          </cell>
          <cell r="O80">
            <v>30.8</v>
          </cell>
        </row>
        <row r="81">
          <cell r="A81">
            <v>407</v>
          </cell>
          <cell r="B81">
            <v>2</v>
          </cell>
          <cell r="C81">
            <v>13.635999999999999</v>
          </cell>
          <cell r="D81">
            <v>29.2</v>
          </cell>
          <cell r="E81">
            <v>30.2</v>
          </cell>
          <cell r="F81">
            <v>30.3</v>
          </cell>
          <cell r="G81">
            <v>30.5</v>
          </cell>
          <cell r="H81">
            <v>31.8</v>
          </cell>
          <cell r="I81">
            <v>32.1</v>
          </cell>
          <cell r="J81">
            <v>32.700000000000003</v>
          </cell>
          <cell r="K81">
            <v>32.6</v>
          </cell>
          <cell r="L81">
            <v>32.299999999999997</v>
          </cell>
          <cell r="M81">
            <v>32.700000000000003</v>
          </cell>
          <cell r="N81">
            <v>31</v>
          </cell>
          <cell r="O81">
            <v>30.4</v>
          </cell>
        </row>
        <row r="82">
          <cell r="A82">
            <v>406</v>
          </cell>
          <cell r="B82">
            <v>1</v>
          </cell>
          <cell r="C82">
            <v>13.65</v>
          </cell>
          <cell r="D82">
            <v>32.700000000000003</v>
          </cell>
          <cell r="E82">
            <v>32.9</v>
          </cell>
          <cell r="F82">
            <v>31.6</v>
          </cell>
          <cell r="G82">
            <v>33.1</v>
          </cell>
          <cell r="H82">
            <v>30.4</v>
          </cell>
          <cell r="I82">
            <v>32.9</v>
          </cell>
          <cell r="J82">
            <v>30.2</v>
          </cell>
          <cell r="K82">
            <v>31.3</v>
          </cell>
          <cell r="L82">
            <v>32.200000000000003</v>
          </cell>
          <cell r="M82">
            <v>33</v>
          </cell>
          <cell r="N82">
            <v>31.7</v>
          </cell>
          <cell r="O82">
            <v>31.5</v>
          </cell>
        </row>
        <row r="83">
          <cell r="A83">
            <v>406</v>
          </cell>
          <cell r="B83">
            <v>2</v>
          </cell>
          <cell r="C83">
            <v>13.656000000000001</v>
          </cell>
          <cell r="D83">
            <v>30.7</v>
          </cell>
          <cell r="E83">
            <v>32.5</v>
          </cell>
          <cell r="F83">
            <v>30.8</v>
          </cell>
          <cell r="G83">
            <v>32.4</v>
          </cell>
          <cell r="H83">
            <v>30.8</v>
          </cell>
          <cell r="I83">
            <v>33.5</v>
          </cell>
          <cell r="J83">
            <v>31.7</v>
          </cell>
          <cell r="K83">
            <v>30.9</v>
          </cell>
          <cell r="L83">
            <v>32.4</v>
          </cell>
          <cell r="M83">
            <v>31.9</v>
          </cell>
          <cell r="N83">
            <v>33</v>
          </cell>
          <cell r="O83">
            <v>33.6</v>
          </cell>
        </row>
        <row r="84">
          <cell r="A84">
            <v>405</v>
          </cell>
          <cell r="B84">
            <v>1</v>
          </cell>
          <cell r="C84">
            <v>13.667999999999999</v>
          </cell>
          <cell r="D84">
            <v>33.1</v>
          </cell>
          <cell r="E84">
            <v>31.9</v>
          </cell>
          <cell r="F84">
            <v>31.7</v>
          </cell>
          <cell r="G84">
            <v>32.5</v>
          </cell>
          <cell r="H84">
            <v>31.8</v>
          </cell>
          <cell r="I84">
            <v>32.5</v>
          </cell>
          <cell r="J84">
            <v>32.5</v>
          </cell>
          <cell r="K84">
            <v>33.1</v>
          </cell>
          <cell r="L84">
            <v>32.9</v>
          </cell>
          <cell r="M84">
            <v>32.6</v>
          </cell>
          <cell r="N84">
            <v>32.4</v>
          </cell>
          <cell r="O84">
            <v>32.5</v>
          </cell>
        </row>
        <row r="85">
          <cell r="A85">
            <v>405</v>
          </cell>
          <cell r="B85">
            <v>2</v>
          </cell>
          <cell r="C85">
            <v>13.673</v>
          </cell>
          <cell r="D85">
            <v>33.299999999999997</v>
          </cell>
          <cell r="E85">
            <v>33</v>
          </cell>
          <cell r="F85">
            <v>31.9</v>
          </cell>
          <cell r="G85">
            <v>29.2</v>
          </cell>
          <cell r="H85">
            <v>31.9</v>
          </cell>
          <cell r="I85">
            <v>29.5</v>
          </cell>
          <cell r="J85">
            <v>31.2</v>
          </cell>
          <cell r="K85">
            <v>29.7</v>
          </cell>
          <cell r="L85">
            <v>29.6</v>
          </cell>
          <cell r="M85">
            <v>29.5</v>
          </cell>
          <cell r="N85">
            <v>32.4</v>
          </cell>
          <cell r="O85">
            <v>31</v>
          </cell>
        </row>
        <row r="86">
          <cell r="A86">
            <v>404</v>
          </cell>
          <cell r="B86">
            <v>1</v>
          </cell>
          <cell r="C86">
            <v>13.686</v>
          </cell>
          <cell r="D86">
            <v>32.799999999999997</v>
          </cell>
          <cell r="E86">
            <v>31.5</v>
          </cell>
          <cell r="F86">
            <v>31.8</v>
          </cell>
          <cell r="G86">
            <v>32</v>
          </cell>
          <cell r="H86">
            <v>32.1</v>
          </cell>
          <cell r="I86">
            <v>33.4</v>
          </cell>
          <cell r="J86">
            <v>33.200000000000003</v>
          </cell>
          <cell r="K86">
            <v>33.799999999999997</v>
          </cell>
          <cell r="L86">
            <v>32</v>
          </cell>
          <cell r="M86">
            <v>32.9</v>
          </cell>
          <cell r="N86">
            <v>32.1</v>
          </cell>
          <cell r="O86">
            <v>32.299999999999997</v>
          </cell>
        </row>
        <row r="87">
          <cell r="A87">
            <v>404</v>
          </cell>
          <cell r="B87">
            <v>2</v>
          </cell>
          <cell r="C87">
            <v>13.69</v>
          </cell>
          <cell r="D87">
            <v>31.9</v>
          </cell>
          <cell r="E87">
            <v>31.8</v>
          </cell>
          <cell r="F87">
            <v>31.6</v>
          </cell>
          <cell r="G87">
            <v>33.1</v>
          </cell>
          <cell r="H87">
            <v>30.9</v>
          </cell>
          <cell r="I87">
            <v>30.7</v>
          </cell>
          <cell r="J87">
            <v>31.6</v>
          </cell>
          <cell r="K87">
            <v>29.8</v>
          </cell>
          <cell r="L87">
            <v>31.1</v>
          </cell>
          <cell r="M87">
            <v>33.299999999999997</v>
          </cell>
          <cell r="N87">
            <v>31.9</v>
          </cell>
          <cell r="O87">
            <v>32.6</v>
          </cell>
        </row>
        <row r="88">
          <cell r="A88">
            <v>403</v>
          </cell>
          <cell r="B88">
            <v>1</v>
          </cell>
          <cell r="C88">
            <v>13.702999999999999</v>
          </cell>
          <cell r="D88">
            <v>28.7</v>
          </cell>
          <cell r="E88">
            <v>30.4</v>
          </cell>
          <cell r="F88">
            <v>29.9</v>
          </cell>
          <cell r="G88">
            <v>30.8</v>
          </cell>
          <cell r="H88">
            <v>30.5</v>
          </cell>
          <cell r="I88">
            <v>31.6</v>
          </cell>
          <cell r="J88">
            <v>29.8</v>
          </cell>
          <cell r="K88">
            <v>30.5</v>
          </cell>
          <cell r="L88">
            <v>31.7</v>
          </cell>
          <cell r="M88">
            <v>32.700000000000003</v>
          </cell>
          <cell r="N88">
            <v>32.9</v>
          </cell>
          <cell r="O88">
            <v>34.6</v>
          </cell>
        </row>
        <row r="89">
          <cell r="A89">
            <v>403</v>
          </cell>
          <cell r="B89">
            <v>2</v>
          </cell>
          <cell r="C89">
            <v>13.708</v>
          </cell>
          <cell r="D89">
            <v>31.7</v>
          </cell>
          <cell r="E89">
            <v>33.1</v>
          </cell>
          <cell r="F89">
            <v>34.200000000000003</v>
          </cell>
          <cell r="G89">
            <v>32.6</v>
          </cell>
          <cell r="H89">
            <v>34.700000000000003</v>
          </cell>
          <cell r="I89">
            <v>31.4</v>
          </cell>
          <cell r="J89">
            <v>29.6</v>
          </cell>
          <cell r="K89">
            <v>31.5</v>
          </cell>
          <cell r="L89">
            <v>31.7</v>
          </cell>
          <cell r="M89">
            <v>30.8</v>
          </cell>
          <cell r="N89">
            <v>31.1</v>
          </cell>
          <cell r="O89">
            <v>30.6</v>
          </cell>
        </row>
        <row r="90">
          <cell r="A90">
            <v>402</v>
          </cell>
          <cell r="B90">
            <v>1</v>
          </cell>
          <cell r="C90">
            <v>13.721</v>
          </cell>
          <cell r="D90">
            <v>32.299999999999997</v>
          </cell>
          <cell r="E90">
            <v>30.5</v>
          </cell>
          <cell r="F90">
            <v>30.2</v>
          </cell>
          <cell r="G90">
            <v>32</v>
          </cell>
          <cell r="H90">
            <v>32.9</v>
          </cell>
          <cell r="I90">
            <v>30.9</v>
          </cell>
          <cell r="J90">
            <v>29.7</v>
          </cell>
          <cell r="K90">
            <v>31.6</v>
          </cell>
          <cell r="L90">
            <v>31</v>
          </cell>
          <cell r="M90">
            <v>31.7</v>
          </cell>
          <cell r="N90">
            <v>29.7</v>
          </cell>
          <cell r="O90">
            <v>30</v>
          </cell>
        </row>
        <row r="91">
          <cell r="A91">
            <v>402</v>
          </cell>
          <cell r="B91">
            <v>2</v>
          </cell>
          <cell r="C91">
            <v>13.725</v>
          </cell>
          <cell r="D91">
            <v>28.6</v>
          </cell>
          <cell r="E91">
            <v>27.3</v>
          </cell>
          <cell r="F91">
            <v>30.5</v>
          </cell>
          <cell r="G91">
            <v>28.9</v>
          </cell>
          <cell r="H91">
            <v>30.7</v>
          </cell>
          <cell r="I91">
            <v>28.9</v>
          </cell>
          <cell r="J91">
            <v>29.4</v>
          </cell>
          <cell r="K91">
            <v>28.8</v>
          </cell>
          <cell r="L91">
            <v>29.4</v>
          </cell>
          <cell r="M91">
            <v>29.5</v>
          </cell>
          <cell r="N91">
            <v>28.2</v>
          </cell>
          <cell r="O91">
            <v>29.6</v>
          </cell>
        </row>
        <row r="92">
          <cell r="A92">
            <v>401</v>
          </cell>
          <cell r="B92">
            <v>1</v>
          </cell>
          <cell r="C92">
            <v>13.738</v>
          </cell>
          <cell r="D92">
            <v>43.2</v>
          </cell>
          <cell r="E92">
            <v>36.1</v>
          </cell>
          <cell r="F92">
            <v>32.299999999999997</v>
          </cell>
          <cell r="G92">
            <v>41.7</v>
          </cell>
          <cell r="H92">
            <v>34.299999999999997</v>
          </cell>
          <cell r="I92">
            <v>38.4</v>
          </cell>
          <cell r="J92">
            <v>29.6</v>
          </cell>
          <cell r="K92">
            <v>38.799999999999997</v>
          </cell>
          <cell r="L92">
            <v>30.3</v>
          </cell>
          <cell r="M92">
            <v>30.7</v>
          </cell>
          <cell r="N92">
            <v>28.5</v>
          </cell>
          <cell r="O92">
            <v>30.4</v>
          </cell>
        </row>
        <row r="93">
          <cell r="A93">
            <v>401</v>
          </cell>
          <cell r="B93">
            <v>2</v>
          </cell>
          <cell r="C93">
            <v>13.743</v>
          </cell>
          <cell r="D93">
            <v>28.4</v>
          </cell>
          <cell r="E93">
            <v>28.4</v>
          </cell>
          <cell r="F93">
            <v>28.9</v>
          </cell>
          <cell r="G93">
            <v>28</v>
          </cell>
          <cell r="H93">
            <v>28.9</v>
          </cell>
          <cell r="I93">
            <v>28.4</v>
          </cell>
          <cell r="J93">
            <v>27.1</v>
          </cell>
          <cell r="K93">
            <v>29</v>
          </cell>
          <cell r="L93">
            <v>27.6</v>
          </cell>
          <cell r="M93">
            <v>26.9</v>
          </cell>
          <cell r="N93">
            <v>27.9</v>
          </cell>
          <cell r="O93">
            <v>28.5</v>
          </cell>
        </row>
      </sheetData>
      <sheetData sheetId="2">
        <row r="7">
          <cell r="C7">
            <v>216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39.75</v>
          </cell>
        </row>
        <row r="29">
          <cell r="E29">
            <v>6.1020921879017163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'IA246.03R'</v>
          </cell>
        </row>
        <row r="14">
          <cell r="A14">
            <v>108</v>
          </cell>
          <cell r="B14">
            <v>1</v>
          </cell>
          <cell r="C14">
            <v>13.087</v>
          </cell>
          <cell r="D14">
            <v>32.9</v>
          </cell>
          <cell r="E14">
            <v>33</v>
          </cell>
          <cell r="F14">
            <v>32.1</v>
          </cell>
          <cell r="G14">
            <v>32</v>
          </cell>
          <cell r="H14">
            <v>31.2</v>
          </cell>
          <cell r="I14">
            <v>32.5</v>
          </cell>
          <cell r="J14">
            <v>31.2</v>
          </cell>
          <cell r="K14">
            <v>31.2</v>
          </cell>
          <cell r="L14">
            <v>31.4</v>
          </cell>
          <cell r="M14">
            <v>32.1</v>
          </cell>
          <cell r="N14">
            <v>31.4</v>
          </cell>
          <cell r="O14">
            <v>32.1</v>
          </cell>
        </row>
        <row r="15">
          <cell r="A15">
            <v>108</v>
          </cell>
          <cell r="B15">
            <v>2</v>
          </cell>
          <cell r="C15">
            <v>13.092000000000001</v>
          </cell>
          <cell r="D15">
            <v>31.8</v>
          </cell>
          <cell r="E15">
            <v>31.7</v>
          </cell>
          <cell r="F15">
            <v>31.5</v>
          </cell>
          <cell r="G15">
            <v>33</v>
          </cell>
          <cell r="H15">
            <v>31</v>
          </cell>
          <cell r="I15">
            <v>32.299999999999997</v>
          </cell>
          <cell r="J15">
            <v>31.2</v>
          </cell>
          <cell r="K15">
            <v>32.4</v>
          </cell>
          <cell r="L15">
            <v>30.9</v>
          </cell>
          <cell r="M15">
            <v>30.3</v>
          </cell>
          <cell r="N15">
            <v>31.8</v>
          </cell>
          <cell r="O15">
            <v>32.200000000000003</v>
          </cell>
        </row>
        <row r="16">
          <cell r="A16">
            <v>107</v>
          </cell>
          <cell r="B16">
            <v>1</v>
          </cell>
          <cell r="C16">
            <v>13.105</v>
          </cell>
          <cell r="D16">
            <v>33.1</v>
          </cell>
          <cell r="E16">
            <v>33.1</v>
          </cell>
          <cell r="F16">
            <v>32.200000000000003</v>
          </cell>
          <cell r="G16">
            <v>32.9</v>
          </cell>
          <cell r="H16">
            <v>32.4</v>
          </cell>
          <cell r="I16">
            <v>30.7</v>
          </cell>
          <cell r="J16">
            <v>30.2</v>
          </cell>
          <cell r="K16">
            <v>31.2</v>
          </cell>
          <cell r="L16">
            <v>31.6</v>
          </cell>
          <cell r="M16">
            <v>31</v>
          </cell>
          <cell r="N16">
            <v>30.9</v>
          </cell>
          <cell r="O16">
            <v>30.5</v>
          </cell>
        </row>
        <row r="17">
          <cell r="A17">
            <v>107</v>
          </cell>
          <cell r="B17">
            <v>2</v>
          </cell>
          <cell r="C17">
            <v>13.11</v>
          </cell>
          <cell r="D17">
            <v>31.2</v>
          </cell>
          <cell r="E17">
            <v>30.9</v>
          </cell>
          <cell r="F17">
            <v>30.1</v>
          </cell>
          <cell r="G17">
            <v>29.8</v>
          </cell>
          <cell r="H17">
            <v>30.5</v>
          </cell>
          <cell r="I17">
            <v>29.7</v>
          </cell>
          <cell r="J17">
            <v>30.3</v>
          </cell>
          <cell r="K17">
            <v>30.9</v>
          </cell>
          <cell r="L17">
            <v>33.9</v>
          </cell>
          <cell r="M17">
            <v>30.4</v>
          </cell>
          <cell r="N17">
            <v>34.5</v>
          </cell>
          <cell r="O17">
            <v>31.7</v>
          </cell>
        </row>
        <row r="18">
          <cell r="A18">
            <v>106</v>
          </cell>
          <cell r="B18">
            <v>1</v>
          </cell>
          <cell r="C18">
            <v>13.122999999999999</v>
          </cell>
          <cell r="D18">
            <v>30.4</v>
          </cell>
          <cell r="E18">
            <v>30.8</v>
          </cell>
          <cell r="F18">
            <v>32</v>
          </cell>
          <cell r="G18">
            <v>31.5</v>
          </cell>
          <cell r="H18">
            <v>29.1</v>
          </cell>
          <cell r="I18">
            <v>30</v>
          </cell>
          <cell r="J18">
            <v>30.2</v>
          </cell>
          <cell r="K18">
            <v>30.7</v>
          </cell>
          <cell r="L18">
            <v>30.1</v>
          </cell>
          <cell r="M18">
            <v>30.3</v>
          </cell>
          <cell r="N18">
            <v>30.3</v>
          </cell>
          <cell r="O18">
            <v>30.9</v>
          </cell>
        </row>
        <row r="19">
          <cell r="A19">
            <v>106</v>
          </cell>
          <cell r="B19">
            <v>2</v>
          </cell>
          <cell r="C19">
            <v>13.128</v>
          </cell>
          <cell r="D19">
            <v>30.6</v>
          </cell>
          <cell r="E19">
            <v>31.6</v>
          </cell>
          <cell r="F19">
            <v>30.7</v>
          </cell>
          <cell r="G19">
            <v>31.9</v>
          </cell>
          <cell r="H19">
            <v>30.6</v>
          </cell>
          <cell r="I19">
            <v>30.9</v>
          </cell>
          <cell r="J19">
            <v>31.1</v>
          </cell>
          <cell r="K19">
            <v>30</v>
          </cell>
          <cell r="L19">
            <v>31.1</v>
          </cell>
          <cell r="M19">
            <v>31.1</v>
          </cell>
          <cell r="N19">
            <v>31.9</v>
          </cell>
          <cell r="O19">
            <v>32.700000000000003</v>
          </cell>
        </row>
        <row r="20">
          <cell r="A20">
            <v>105</v>
          </cell>
          <cell r="B20">
            <v>1</v>
          </cell>
          <cell r="C20">
            <v>13.141999999999999</v>
          </cell>
          <cell r="D20">
            <v>32.299999999999997</v>
          </cell>
          <cell r="E20">
            <v>30.9</v>
          </cell>
          <cell r="F20">
            <v>31.3</v>
          </cell>
          <cell r="G20">
            <v>30</v>
          </cell>
          <cell r="H20">
            <v>30.2</v>
          </cell>
          <cell r="I20">
            <v>29.9</v>
          </cell>
          <cell r="J20">
            <v>30.3</v>
          </cell>
          <cell r="K20">
            <v>30.4</v>
          </cell>
          <cell r="L20">
            <v>30.1</v>
          </cell>
          <cell r="M20">
            <v>29.9</v>
          </cell>
          <cell r="N20">
            <v>29.8</v>
          </cell>
          <cell r="O20">
            <v>29.7</v>
          </cell>
        </row>
        <row r="21">
          <cell r="A21">
            <v>105</v>
          </cell>
          <cell r="B21">
            <v>2</v>
          </cell>
          <cell r="C21">
            <v>13.146000000000001</v>
          </cell>
          <cell r="D21">
            <v>29.5</v>
          </cell>
          <cell r="E21">
            <v>29.6</v>
          </cell>
          <cell r="F21">
            <v>30.2</v>
          </cell>
          <cell r="G21">
            <v>28.8</v>
          </cell>
          <cell r="H21">
            <v>28.8</v>
          </cell>
          <cell r="I21">
            <v>29.2</v>
          </cell>
          <cell r="J21">
            <v>28.9</v>
          </cell>
          <cell r="K21">
            <v>29.8</v>
          </cell>
          <cell r="L21">
            <v>29.7</v>
          </cell>
          <cell r="M21">
            <v>31.5</v>
          </cell>
          <cell r="N21">
            <v>30.3</v>
          </cell>
          <cell r="O21">
            <v>30.1</v>
          </cell>
        </row>
        <row r="22">
          <cell r="A22">
            <v>104</v>
          </cell>
          <cell r="B22">
            <v>1</v>
          </cell>
          <cell r="C22">
            <v>13.16</v>
          </cell>
          <cell r="D22">
            <v>30.1</v>
          </cell>
          <cell r="E22">
            <v>31.2</v>
          </cell>
          <cell r="F22">
            <v>29.8</v>
          </cell>
          <cell r="G22">
            <v>30.9</v>
          </cell>
          <cell r="H22">
            <v>31.4</v>
          </cell>
          <cell r="I22">
            <v>30.3</v>
          </cell>
          <cell r="J22">
            <v>30</v>
          </cell>
          <cell r="K22">
            <v>29.1</v>
          </cell>
          <cell r="L22">
            <v>30.3</v>
          </cell>
          <cell r="M22">
            <v>30.8</v>
          </cell>
          <cell r="N22">
            <v>29.8</v>
          </cell>
          <cell r="O22">
            <v>30.8</v>
          </cell>
        </row>
        <row r="23">
          <cell r="A23">
            <v>104</v>
          </cell>
          <cell r="B23">
            <v>2</v>
          </cell>
          <cell r="C23">
            <v>13.164999999999999</v>
          </cell>
          <cell r="D23">
            <v>31.3</v>
          </cell>
          <cell r="E23">
            <v>31</v>
          </cell>
          <cell r="F23">
            <v>29.4</v>
          </cell>
          <cell r="G23">
            <v>30.8</v>
          </cell>
          <cell r="H23">
            <v>29.5</v>
          </cell>
          <cell r="I23">
            <v>29.7</v>
          </cell>
          <cell r="J23">
            <v>31.1</v>
          </cell>
          <cell r="K23">
            <v>30.1</v>
          </cell>
          <cell r="L23">
            <v>33.4</v>
          </cell>
          <cell r="M23">
            <v>32.1</v>
          </cell>
          <cell r="N23">
            <v>31.2</v>
          </cell>
          <cell r="O23">
            <v>32.299999999999997</v>
          </cell>
        </row>
        <row r="24">
          <cell r="A24">
            <v>103</v>
          </cell>
          <cell r="B24">
            <v>1</v>
          </cell>
          <cell r="C24">
            <v>13.178000000000001</v>
          </cell>
          <cell r="D24">
            <v>32.1</v>
          </cell>
          <cell r="E24">
            <v>31.8</v>
          </cell>
          <cell r="F24">
            <v>31.5</v>
          </cell>
          <cell r="G24">
            <v>31.6</v>
          </cell>
          <cell r="H24">
            <v>31.6</v>
          </cell>
          <cell r="I24">
            <v>30.7</v>
          </cell>
          <cell r="J24">
            <v>30.1</v>
          </cell>
          <cell r="K24">
            <v>30.9</v>
          </cell>
          <cell r="L24">
            <v>30.7</v>
          </cell>
          <cell r="M24">
            <v>31.3</v>
          </cell>
          <cell r="N24">
            <v>31</v>
          </cell>
          <cell r="O24">
            <v>30.5</v>
          </cell>
        </row>
        <row r="25">
          <cell r="A25">
            <v>103</v>
          </cell>
          <cell r="B25">
            <v>2</v>
          </cell>
          <cell r="C25">
            <v>13.183</v>
          </cell>
          <cell r="D25">
            <v>30.5</v>
          </cell>
          <cell r="E25">
            <v>30.5</v>
          </cell>
          <cell r="F25">
            <v>31.5</v>
          </cell>
          <cell r="G25">
            <v>32.200000000000003</v>
          </cell>
          <cell r="H25">
            <v>31.9</v>
          </cell>
          <cell r="I25">
            <v>32</v>
          </cell>
          <cell r="J25">
            <v>31.8</v>
          </cell>
          <cell r="K25">
            <v>31.7</v>
          </cell>
          <cell r="L25">
            <v>31</v>
          </cell>
          <cell r="M25">
            <v>32.6</v>
          </cell>
          <cell r="N25">
            <v>31.4</v>
          </cell>
          <cell r="O25">
            <v>30</v>
          </cell>
        </row>
        <row r="26">
          <cell r="A26">
            <v>102</v>
          </cell>
          <cell r="B26">
            <v>1</v>
          </cell>
          <cell r="C26">
            <v>13.195</v>
          </cell>
          <cell r="D26">
            <v>30.6</v>
          </cell>
          <cell r="E26">
            <v>32.1</v>
          </cell>
          <cell r="F26">
            <v>31.3</v>
          </cell>
          <cell r="G26">
            <v>32.200000000000003</v>
          </cell>
          <cell r="H26">
            <v>32.700000000000003</v>
          </cell>
          <cell r="I26">
            <v>35</v>
          </cell>
          <cell r="J26">
            <v>32.299999999999997</v>
          </cell>
          <cell r="K26">
            <v>32.200000000000003</v>
          </cell>
          <cell r="L26">
            <v>32.5</v>
          </cell>
          <cell r="M26">
            <v>32.6</v>
          </cell>
          <cell r="N26">
            <v>31.4</v>
          </cell>
          <cell r="O26">
            <v>32.1</v>
          </cell>
        </row>
        <row r="27">
          <cell r="A27">
            <v>102</v>
          </cell>
          <cell r="B27">
            <v>2</v>
          </cell>
          <cell r="C27">
            <v>13.2</v>
          </cell>
          <cell r="D27">
            <v>33.9</v>
          </cell>
          <cell r="E27">
            <v>31.3</v>
          </cell>
          <cell r="F27">
            <v>30.5</v>
          </cell>
          <cell r="G27">
            <v>33.9</v>
          </cell>
          <cell r="H27">
            <v>31.7</v>
          </cell>
          <cell r="I27">
            <v>31.6</v>
          </cell>
          <cell r="J27">
            <v>32.200000000000003</v>
          </cell>
          <cell r="K27">
            <v>40.9</v>
          </cell>
          <cell r="L27">
            <v>33.1</v>
          </cell>
          <cell r="M27">
            <v>31</v>
          </cell>
          <cell r="N27">
            <v>32.1</v>
          </cell>
          <cell r="O27">
            <v>32.5</v>
          </cell>
        </row>
        <row r="28">
          <cell r="A28">
            <v>101</v>
          </cell>
          <cell r="B28">
            <v>1</v>
          </cell>
          <cell r="C28">
            <v>13.212999999999999</v>
          </cell>
          <cell r="D28">
            <v>29.6</v>
          </cell>
          <cell r="E28">
            <v>29.7</v>
          </cell>
          <cell r="F28">
            <v>30.2</v>
          </cell>
          <cell r="G28">
            <v>30</v>
          </cell>
          <cell r="H28">
            <v>30.6</v>
          </cell>
          <cell r="I28">
            <v>30.6</v>
          </cell>
          <cell r="J28">
            <v>31.2</v>
          </cell>
          <cell r="K28">
            <v>29.9</v>
          </cell>
          <cell r="L28">
            <v>30.3</v>
          </cell>
          <cell r="M28">
            <v>30.3</v>
          </cell>
          <cell r="N28">
            <v>30.6</v>
          </cell>
          <cell r="O28">
            <v>30.7</v>
          </cell>
        </row>
        <row r="29">
          <cell r="A29">
            <v>101</v>
          </cell>
          <cell r="B29">
            <v>2</v>
          </cell>
          <cell r="C29">
            <v>13.217000000000001</v>
          </cell>
          <cell r="D29">
            <v>31.6</v>
          </cell>
          <cell r="E29">
            <v>31.2</v>
          </cell>
          <cell r="F29">
            <v>30.9</v>
          </cell>
          <cell r="G29">
            <v>31.1</v>
          </cell>
          <cell r="H29">
            <v>31.3</v>
          </cell>
          <cell r="I29">
            <v>30.3</v>
          </cell>
          <cell r="J29">
            <v>31.1</v>
          </cell>
          <cell r="K29">
            <v>31.1</v>
          </cell>
          <cell r="L29">
            <v>30.2</v>
          </cell>
          <cell r="M29">
            <v>30.1</v>
          </cell>
          <cell r="N29">
            <v>31.1</v>
          </cell>
          <cell r="O29">
            <v>31.2</v>
          </cell>
        </row>
        <row r="30">
          <cell r="A30">
            <v>201</v>
          </cell>
          <cell r="B30">
            <v>1</v>
          </cell>
          <cell r="C30">
            <v>13.233000000000001</v>
          </cell>
          <cell r="D30">
            <v>28.9</v>
          </cell>
          <cell r="E30">
            <v>30.9</v>
          </cell>
          <cell r="F30">
            <v>30.6</v>
          </cell>
          <cell r="G30">
            <v>31.8</v>
          </cell>
          <cell r="H30">
            <v>30.1</v>
          </cell>
          <cell r="I30">
            <v>30</v>
          </cell>
          <cell r="J30">
            <v>30.4</v>
          </cell>
          <cell r="K30">
            <v>31.8</v>
          </cell>
          <cell r="L30">
            <v>31.5</v>
          </cell>
          <cell r="M30">
            <v>30.9</v>
          </cell>
          <cell r="N30">
            <v>30.9</v>
          </cell>
          <cell r="O30">
            <v>31.1</v>
          </cell>
        </row>
        <row r="31">
          <cell r="A31">
            <v>201</v>
          </cell>
          <cell r="B31">
            <v>2</v>
          </cell>
          <cell r="C31">
            <v>13.237</v>
          </cell>
          <cell r="D31">
            <v>33.700000000000003</v>
          </cell>
          <cell r="E31">
            <v>32.799999999999997</v>
          </cell>
          <cell r="F31">
            <v>31.7</v>
          </cell>
          <cell r="G31">
            <v>32.9</v>
          </cell>
          <cell r="H31">
            <v>36.700000000000003</v>
          </cell>
          <cell r="I31">
            <v>31.2</v>
          </cell>
          <cell r="J31">
            <v>31.4</v>
          </cell>
          <cell r="K31">
            <v>31.7</v>
          </cell>
          <cell r="L31">
            <v>31.9</v>
          </cell>
          <cell r="M31">
            <v>33</v>
          </cell>
          <cell r="N31">
            <v>31.1</v>
          </cell>
          <cell r="O31">
            <v>30.8</v>
          </cell>
        </row>
        <row r="32">
          <cell r="A32">
            <v>202</v>
          </cell>
          <cell r="B32">
            <v>1</v>
          </cell>
          <cell r="C32">
            <v>13.25</v>
          </cell>
          <cell r="D32">
            <v>30.9</v>
          </cell>
          <cell r="E32">
            <v>30.2</v>
          </cell>
          <cell r="F32">
            <v>30.1</v>
          </cell>
          <cell r="G32">
            <v>30.7</v>
          </cell>
          <cell r="H32">
            <v>30.4</v>
          </cell>
          <cell r="I32">
            <v>30.1</v>
          </cell>
          <cell r="J32">
            <v>29.3</v>
          </cell>
          <cell r="K32">
            <v>29.3</v>
          </cell>
          <cell r="L32">
            <v>29.7</v>
          </cell>
          <cell r="M32">
            <v>29.3</v>
          </cell>
          <cell r="N32">
            <v>28.8</v>
          </cell>
          <cell r="O32">
            <v>30</v>
          </cell>
        </row>
        <row r="33">
          <cell r="A33">
            <v>202</v>
          </cell>
          <cell r="B33">
            <v>2</v>
          </cell>
          <cell r="C33">
            <v>13.255000000000001</v>
          </cell>
          <cell r="D33">
            <v>29.5</v>
          </cell>
          <cell r="E33">
            <v>29.4</v>
          </cell>
          <cell r="F33">
            <v>29.3</v>
          </cell>
          <cell r="G33">
            <v>30</v>
          </cell>
          <cell r="H33">
            <v>30.5</v>
          </cell>
          <cell r="I33">
            <v>28.5</v>
          </cell>
          <cell r="J33">
            <v>29</v>
          </cell>
          <cell r="K33">
            <v>28.9</v>
          </cell>
          <cell r="L33">
            <v>28</v>
          </cell>
          <cell r="M33">
            <v>27.8</v>
          </cell>
          <cell r="N33">
            <v>30</v>
          </cell>
          <cell r="O33">
            <v>29.8</v>
          </cell>
        </row>
        <row r="34">
          <cell r="A34">
            <v>203</v>
          </cell>
          <cell r="B34">
            <v>1</v>
          </cell>
          <cell r="C34">
            <v>13.266999999999999</v>
          </cell>
          <cell r="D34">
            <v>28.9</v>
          </cell>
          <cell r="E34">
            <v>29.8</v>
          </cell>
          <cell r="F34">
            <v>28.3</v>
          </cell>
          <cell r="G34">
            <v>28.6</v>
          </cell>
          <cell r="H34">
            <v>29.1</v>
          </cell>
          <cell r="I34">
            <v>28.8</v>
          </cell>
          <cell r="J34">
            <v>28.7</v>
          </cell>
          <cell r="K34">
            <v>29.3</v>
          </cell>
          <cell r="L34">
            <v>29.4</v>
          </cell>
          <cell r="M34">
            <v>28.6</v>
          </cell>
          <cell r="N34">
            <v>29.1</v>
          </cell>
          <cell r="O34">
            <v>28.6</v>
          </cell>
        </row>
        <row r="35">
          <cell r="A35">
            <v>203</v>
          </cell>
          <cell r="B35">
            <v>2</v>
          </cell>
          <cell r="C35">
            <v>13.271000000000001</v>
          </cell>
          <cell r="D35">
            <v>29.7</v>
          </cell>
          <cell r="E35">
            <v>29</v>
          </cell>
          <cell r="F35">
            <v>28.8</v>
          </cell>
          <cell r="G35">
            <v>27.7</v>
          </cell>
          <cell r="H35">
            <v>29.3</v>
          </cell>
          <cell r="I35">
            <v>28</v>
          </cell>
          <cell r="J35">
            <v>28.3</v>
          </cell>
          <cell r="K35">
            <v>29.6</v>
          </cell>
          <cell r="L35">
            <v>28.6</v>
          </cell>
          <cell r="M35">
            <v>28.6</v>
          </cell>
          <cell r="N35">
            <v>29.4</v>
          </cell>
          <cell r="O35">
            <v>27.7</v>
          </cell>
        </row>
        <row r="36">
          <cell r="A36">
            <v>204</v>
          </cell>
          <cell r="B36">
            <v>1</v>
          </cell>
          <cell r="C36">
            <v>13.285</v>
          </cell>
          <cell r="D36">
            <v>29.5</v>
          </cell>
          <cell r="E36">
            <v>28.3</v>
          </cell>
          <cell r="F36">
            <v>28.8</v>
          </cell>
          <cell r="G36">
            <v>29.6</v>
          </cell>
          <cell r="H36">
            <v>28.9</v>
          </cell>
          <cell r="I36">
            <v>28.8</v>
          </cell>
          <cell r="J36">
            <v>28.7</v>
          </cell>
          <cell r="K36">
            <v>29</v>
          </cell>
          <cell r="L36">
            <v>29.2</v>
          </cell>
          <cell r="M36">
            <v>29.7</v>
          </cell>
          <cell r="N36">
            <v>29.4</v>
          </cell>
          <cell r="O36">
            <v>28.8</v>
          </cell>
        </row>
        <row r="37">
          <cell r="A37">
            <v>204</v>
          </cell>
          <cell r="B37">
            <v>2</v>
          </cell>
          <cell r="C37">
            <v>13.289</v>
          </cell>
          <cell r="D37">
            <v>28.5</v>
          </cell>
          <cell r="E37">
            <v>28.7</v>
          </cell>
          <cell r="F37">
            <v>29.7</v>
          </cell>
          <cell r="G37">
            <v>28.4</v>
          </cell>
          <cell r="H37">
            <v>30</v>
          </cell>
          <cell r="I37">
            <v>27.8</v>
          </cell>
          <cell r="J37">
            <v>28.5</v>
          </cell>
          <cell r="K37">
            <v>29</v>
          </cell>
          <cell r="L37">
            <v>30.9</v>
          </cell>
          <cell r="M37">
            <v>30.8</v>
          </cell>
          <cell r="N37">
            <v>29.9</v>
          </cell>
          <cell r="O37">
            <v>29.8</v>
          </cell>
        </row>
        <row r="38">
          <cell r="A38">
            <v>205</v>
          </cell>
          <cell r="B38">
            <v>1</v>
          </cell>
          <cell r="C38">
            <v>13.304</v>
          </cell>
          <cell r="D38">
            <v>28.9</v>
          </cell>
          <cell r="E38">
            <v>29.5</v>
          </cell>
          <cell r="F38">
            <v>29.5</v>
          </cell>
          <cell r="G38">
            <v>28.8</v>
          </cell>
          <cell r="H38">
            <v>29</v>
          </cell>
          <cell r="I38">
            <v>29.8</v>
          </cell>
          <cell r="J38">
            <v>29.1</v>
          </cell>
          <cell r="K38">
            <v>29.6</v>
          </cell>
          <cell r="L38">
            <v>30.4</v>
          </cell>
          <cell r="M38">
            <v>30</v>
          </cell>
          <cell r="N38">
            <v>29.8</v>
          </cell>
          <cell r="O38">
            <v>28.9</v>
          </cell>
        </row>
        <row r="39">
          <cell r="A39">
            <v>205</v>
          </cell>
          <cell r="B39">
            <v>2</v>
          </cell>
          <cell r="C39">
            <v>13.308</v>
          </cell>
          <cell r="D39">
            <v>30.2</v>
          </cell>
          <cell r="E39">
            <v>29.8</v>
          </cell>
          <cell r="F39">
            <v>28.9</v>
          </cell>
          <cell r="G39">
            <v>29.4</v>
          </cell>
          <cell r="H39">
            <v>27.4</v>
          </cell>
          <cell r="I39">
            <v>30.7</v>
          </cell>
          <cell r="J39">
            <v>30.8</v>
          </cell>
          <cell r="K39">
            <v>29.4</v>
          </cell>
          <cell r="L39">
            <v>30.7</v>
          </cell>
          <cell r="M39">
            <v>30.2</v>
          </cell>
          <cell r="N39">
            <v>30.6</v>
          </cell>
          <cell r="O39">
            <v>30.4</v>
          </cell>
        </row>
        <row r="40">
          <cell r="A40">
            <v>206</v>
          </cell>
          <cell r="B40">
            <v>1</v>
          </cell>
          <cell r="C40">
            <v>13.32</v>
          </cell>
          <cell r="D40">
            <v>27.8</v>
          </cell>
          <cell r="E40">
            <v>28.7</v>
          </cell>
          <cell r="F40">
            <v>27.5</v>
          </cell>
          <cell r="G40">
            <v>29.5</v>
          </cell>
          <cell r="H40">
            <v>29.2</v>
          </cell>
          <cell r="I40">
            <v>30.9</v>
          </cell>
          <cell r="J40">
            <v>30.3</v>
          </cell>
          <cell r="K40">
            <v>29.3</v>
          </cell>
          <cell r="L40">
            <v>28.3</v>
          </cell>
          <cell r="M40">
            <v>31.5</v>
          </cell>
          <cell r="N40">
            <v>30.2</v>
          </cell>
          <cell r="O40">
            <v>30.7</v>
          </cell>
        </row>
        <row r="41">
          <cell r="A41">
            <v>206</v>
          </cell>
          <cell r="B41">
            <v>2</v>
          </cell>
          <cell r="C41">
            <v>13.324999999999999</v>
          </cell>
          <cell r="D41">
            <v>29.2</v>
          </cell>
          <cell r="E41">
            <v>29.2</v>
          </cell>
          <cell r="F41">
            <v>29.5</v>
          </cell>
          <cell r="G41">
            <v>30.8</v>
          </cell>
          <cell r="H41">
            <v>30.4</v>
          </cell>
          <cell r="I41">
            <v>29.7</v>
          </cell>
          <cell r="J41">
            <v>29</v>
          </cell>
          <cell r="K41">
            <v>29.6</v>
          </cell>
          <cell r="L41">
            <v>28.9</v>
          </cell>
          <cell r="M41">
            <v>32.200000000000003</v>
          </cell>
          <cell r="N41">
            <v>31.3</v>
          </cell>
          <cell r="O41">
            <v>29.5</v>
          </cell>
        </row>
        <row r="42">
          <cell r="A42">
            <v>207</v>
          </cell>
          <cell r="B42">
            <v>1</v>
          </cell>
          <cell r="C42">
            <v>13.337</v>
          </cell>
          <cell r="D42">
            <v>30.8</v>
          </cell>
          <cell r="E42">
            <v>31.9</v>
          </cell>
          <cell r="F42">
            <v>30.5</v>
          </cell>
          <cell r="G42">
            <v>31.2</v>
          </cell>
          <cell r="H42">
            <v>29.6</v>
          </cell>
          <cell r="I42">
            <v>32</v>
          </cell>
          <cell r="J42">
            <v>29.2</v>
          </cell>
          <cell r="K42">
            <v>31.4</v>
          </cell>
          <cell r="L42">
            <v>30.1</v>
          </cell>
          <cell r="M42">
            <v>31.2</v>
          </cell>
          <cell r="N42">
            <v>31.4</v>
          </cell>
          <cell r="O42">
            <v>32</v>
          </cell>
        </row>
        <row r="43">
          <cell r="A43">
            <v>207</v>
          </cell>
          <cell r="B43">
            <v>2</v>
          </cell>
          <cell r="C43">
            <v>13.340999999999999</v>
          </cell>
          <cell r="D43">
            <v>30.7</v>
          </cell>
          <cell r="E43">
            <v>31.2</v>
          </cell>
          <cell r="F43">
            <v>29.8</v>
          </cell>
          <cell r="G43">
            <v>29.4</v>
          </cell>
          <cell r="H43">
            <v>29.8</v>
          </cell>
          <cell r="I43">
            <v>28.8</v>
          </cell>
          <cell r="J43">
            <v>30.2</v>
          </cell>
          <cell r="K43">
            <v>31.3</v>
          </cell>
          <cell r="L43">
            <v>30.1</v>
          </cell>
          <cell r="M43">
            <v>29.8</v>
          </cell>
          <cell r="N43">
            <v>33</v>
          </cell>
          <cell r="O43">
            <v>31.5</v>
          </cell>
        </row>
        <row r="44">
          <cell r="A44">
            <v>208</v>
          </cell>
          <cell r="B44">
            <v>1</v>
          </cell>
          <cell r="C44">
            <v>13.353999999999999</v>
          </cell>
          <cell r="D44">
            <v>31.2</v>
          </cell>
          <cell r="E44">
            <v>30.6</v>
          </cell>
          <cell r="F44">
            <v>30.9</v>
          </cell>
          <cell r="G44">
            <v>31.7</v>
          </cell>
          <cell r="H44">
            <v>30.4</v>
          </cell>
          <cell r="I44">
            <v>31.5</v>
          </cell>
          <cell r="J44">
            <v>30.7</v>
          </cell>
          <cell r="K44">
            <v>30.7</v>
          </cell>
          <cell r="L44">
            <v>30.2</v>
          </cell>
          <cell r="M44">
            <v>31.9</v>
          </cell>
          <cell r="N44">
            <v>30</v>
          </cell>
          <cell r="O44">
            <v>31.4</v>
          </cell>
        </row>
        <row r="45">
          <cell r="A45">
            <v>208</v>
          </cell>
          <cell r="B45">
            <v>2</v>
          </cell>
          <cell r="C45">
            <v>13.359</v>
          </cell>
          <cell r="D45">
            <v>29.8</v>
          </cell>
          <cell r="E45">
            <v>30.3</v>
          </cell>
          <cell r="F45">
            <v>30.3</v>
          </cell>
          <cell r="G45">
            <v>29.5</v>
          </cell>
          <cell r="H45">
            <v>32.799999999999997</v>
          </cell>
          <cell r="I45">
            <v>33.200000000000003</v>
          </cell>
          <cell r="J45">
            <v>32</v>
          </cell>
          <cell r="K45">
            <v>30.5</v>
          </cell>
          <cell r="L45">
            <v>31.6</v>
          </cell>
          <cell r="M45">
            <v>31.7</v>
          </cell>
          <cell r="N45">
            <v>32.700000000000003</v>
          </cell>
          <cell r="O45">
            <v>30.8</v>
          </cell>
        </row>
        <row r="46">
          <cell r="A46">
            <v>908</v>
          </cell>
          <cell r="B46">
            <v>1</v>
          </cell>
          <cell r="C46">
            <v>13.372</v>
          </cell>
          <cell r="D46">
            <v>46.1</v>
          </cell>
          <cell r="E46">
            <v>55</v>
          </cell>
          <cell r="F46">
            <v>45.5</v>
          </cell>
          <cell r="G46">
            <v>51.2</v>
          </cell>
          <cell r="H46">
            <v>47.3</v>
          </cell>
          <cell r="I46">
            <v>45.7</v>
          </cell>
          <cell r="J46">
            <v>43.1</v>
          </cell>
          <cell r="K46">
            <v>51.3</v>
          </cell>
          <cell r="L46">
            <v>43</v>
          </cell>
          <cell r="M46">
            <v>51.3</v>
          </cell>
          <cell r="N46">
            <v>44.2</v>
          </cell>
          <cell r="O46">
            <v>45.6</v>
          </cell>
        </row>
        <row r="47">
          <cell r="A47">
            <v>908</v>
          </cell>
          <cell r="B47">
            <v>2</v>
          </cell>
          <cell r="C47">
            <v>13.378</v>
          </cell>
          <cell r="D47">
            <v>45.4</v>
          </cell>
          <cell r="E47">
            <v>46</v>
          </cell>
          <cell r="F47">
            <v>46.8</v>
          </cell>
          <cell r="G47">
            <v>41.4</v>
          </cell>
          <cell r="H47">
            <v>41.6</v>
          </cell>
          <cell r="I47">
            <v>41.2</v>
          </cell>
          <cell r="J47">
            <v>45.5</v>
          </cell>
          <cell r="K47">
            <v>42.5</v>
          </cell>
          <cell r="L47">
            <v>41.5</v>
          </cell>
          <cell r="M47">
            <v>37</v>
          </cell>
          <cell r="N47">
            <v>43.1</v>
          </cell>
          <cell r="O47">
            <v>45.5</v>
          </cell>
        </row>
        <row r="48">
          <cell r="A48">
            <v>907</v>
          </cell>
          <cell r="B48">
            <v>1</v>
          </cell>
          <cell r="C48">
            <v>13.391999999999999</v>
          </cell>
          <cell r="D48">
            <v>59.6</v>
          </cell>
          <cell r="E48">
            <v>60.4</v>
          </cell>
          <cell r="F48">
            <v>58.4</v>
          </cell>
          <cell r="G48">
            <v>60.1</v>
          </cell>
          <cell r="H48">
            <v>58.6</v>
          </cell>
          <cell r="I48">
            <v>58.8</v>
          </cell>
          <cell r="J48">
            <v>57.2</v>
          </cell>
          <cell r="K48">
            <v>58.8</v>
          </cell>
          <cell r="L48">
            <v>58.9</v>
          </cell>
          <cell r="M48">
            <v>60.1</v>
          </cell>
          <cell r="N48">
            <v>58</v>
          </cell>
          <cell r="O48">
            <v>59.2</v>
          </cell>
        </row>
        <row r="50">
          <cell r="A50">
            <v>906</v>
          </cell>
          <cell r="B50">
            <v>1</v>
          </cell>
          <cell r="C50">
            <v>13.401</v>
          </cell>
          <cell r="D50">
            <v>40.700000000000003</v>
          </cell>
          <cell r="E50">
            <v>38</v>
          </cell>
          <cell r="F50">
            <v>38.700000000000003</v>
          </cell>
          <cell r="G50">
            <v>42.6</v>
          </cell>
          <cell r="H50">
            <v>40.299999999999997</v>
          </cell>
          <cell r="I50">
            <v>44.5</v>
          </cell>
          <cell r="J50">
            <v>41.7</v>
          </cell>
          <cell r="K50">
            <v>43.3</v>
          </cell>
          <cell r="L50">
            <v>39.799999999999997</v>
          </cell>
          <cell r="M50">
            <v>41.5</v>
          </cell>
          <cell r="N50">
            <v>43.1</v>
          </cell>
          <cell r="O50">
            <v>42.6</v>
          </cell>
        </row>
        <row r="51">
          <cell r="A51">
            <v>906</v>
          </cell>
          <cell r="B51">
            <v>2</v>
          </cell>
          <cell r="C51">
            <v>13.404999999999999</v>
          </cell>
          <cell r="D51">
            <v>44.1</v>
          </cell>
          <cell r="E51">
            <v>45</v>
          </cell>
          <cell r="F51">
            <v>45.1</v>
          </cell>
          <cell r="G51">
            <v>42.2</v>
          </cell>
          <cell r="H51">
            <v>43.5</v>
          </cell>
          <cell r="I51">
            <v>41.3</v>
          </cell>
          <cell r="J51">
            <v>39.6</v>
          </cell>
          <cell r="K51">
            <v>39.200000000000003</v>
          </cell>
          <cell r="L51">
            <v>41.1</v>
          </cell>
          <cell r="M51">
            <v>42.9</v>
          </cell>
          <cell r="N51">
            <v>42</v>
          </cell>
          <cell r="O51">
            <v>41.8</v>
          </cell>
        </row>
        <row r="52">
          <cell r="A52">
            <v>905</v>
          </cell>
          <cell r="B52">
            <v>1</v>
          </cell>
          <cell r="C52">
            <v>13.42</v>
          </cell>
          <cell r="D52">
            <v>37.700000000000003</v>
          </cell>
          <cell r="E52">
            <v>37.5</v>
          </cell>
          <cell r="F52">
            <v>37.4</v>
          </cell>
          <cell r="G52">
            <v>37.4</v>
          </cell>
          <cell r="H52">
            <v>37.5</v>
          </cell>
          <cell r="I52">
            <v>37.4</v>
          </cell>
          <cell r="J52">
            <v>37.299999999999997</v>
          </cell>
          <cell r="K52">
            <v>37.799999999999997</v>
          </cell>
          <cell r="L52">
            <v>38.1</v>
          </cell>
          <cell r="M52">
            <v>37.799999999999997</v>
          </cell>
          <cell r="N52">
            <v>37.6</v>
          </cell>
          <cell r="O52">
            <v>37.799999999999997</v>
          </cell>
        </row>
        <row r="54">
          <cell r="A54">
            <v>904</v>
          </cell>
          <cell r="B54">
            <v>1</v>
          </cell>
          <cell r="C54">
            <v>13.428000000000001</v>
          </cell>
          <cell r="D54">
            <v>52</v>
          </cell>
          <cell r="E54">
            <v>52.8</v>
          </cell>
          <cell r="F54">
            <v>43.1</v>
          </cell>
          <cell r="G54">
            <v>49.3</v>
          </cell>
          <cell r="H54">
            <v>42.8</v>
          </cell>
          <cell r="I54">
            <v>52.8</v>
          </cell>
          <cell r="J54">
            <v>47.9</v>
          </cell>
          <cell r="K54">
            <v>47.6</v>
          </cell>
          <cell r="L54">
            <v>45.6</v>
          </cell>
          <cell r="M54">
            <v>56.3</v>
          </cell>
          <cell r="N54">
            <v>44.8</v>
          </cell>
          <cell r="O54">
            <v>51.3</v>
          </cell>
        </row>
        <row r="55">
          <cell r="A55">
            <v>904</v>
          </cell>
          <cell r="B55">
            <v>2</v>
          </cell>
          <cell r="C55">
            <v>13.432</v>
          </cell>
          <cell r="D55">
            <v>44.1</v>
          </cell>
          <cell r="E55">
            <v>44.5</v>
          </cell>
          <cell r="F55">
            <v>46.9</v>
          </cell>
          <cell r="G55">
            <v>43.4</v>
          </cell>
          <cell r="H55">
            <v>43.1</v>
          </cell>
          <cell r="I55">
            <v>39.799999999999997</v>
          </cell>
          <cell r="J55">
            <v>42.5</v>
          </cell>
          <cell r="K55">
            <v>38.700000000000003</v>
          </cell>
          <cell r="L55">
            <v>44.8</v>
          </cell>
          <cell r="M55">
            <v>47.2</v>
          </cell>
          <cell r="N55">
            <v>46.9</v>
          </cell>
          <cell r="O55">
            <v>44.3</v>
          </cell>
        </row>
        <row r="56">
          <cell r="A56">
            <v>903</v>
          </cell>
          <cell r="B56">
            <v>1</v>
          </cell>
          <cell r="C56">
            <v>13.446999999999999</v>
          </cell>
          <cell r="D56">
            <v>60.6</v>
          </cell>
          <cell r="E56">
            <v>59.9</v>
          </cell>
          <cell r="F56">
            <v>60.1</v>
          </cell>
          <cell r="G56">
            <v>60.3</v>
          </cell>
          <cell r="H56">
            <v>58.6</v>
          </cell>
          <cell r="I56">
            <v>59.1</v>
          </cell>
          <cell r="J56">
            <v>59.2</v>
          </cell>
          <cell r="K56">
            <v>60.3</v>
          </cell>
          <cell r="L56">
            <v>60.3</v>
          </cell>
          <cell r="M56">
            <v>60.4</v>
          </cell>
          <cell r="N56">
            <v>59.9</v>
          </cell>
          <cell r="O56">
            <v>60.1</v>
          </cell>
        </row>
        <row r="58">
          <cell r="A58">
            <v>902</v>
          </cell>
          <cell r="B58">
            <v>1</v>
          </cell>
          <cell r="C58">
            <v>13.456</v>
          </cell>
          <cell r="D58">
            <v>47.2</v>
          </cell>
          <cell r="E58">
            <v>43.4</v>
          </cell>
          <cell r="F58">
            <v>41.1</v>
          </cell>
          <cell r="G58">
            <v>43.9</v>
          </cell>
          <cell r="H58">
            <v>44.8</v>
          </cell>
          <cell r="I58">
            <v>41.9</v>
          </cell>
          <cell r="J58">
            <v>43.9</v>
          </cell>
          <cell r="K58">
            <v>41.7</v>
          </cell>
          <cell r="L58">
            <v>41.4</v>
          </cell>
          <cell r="M58">
            <v>42.5</v>
          </cell>
          <cell r="N58">
            <v>42.9</v>
          </cell>
          <cell r="O58">
            <v>41.4</v>
          </cell>
        </row>
        <row r="59">
          <cell r="A59">
            <v>902</v>
          </cell>
          <cell r="B59">
            <v>2</v>
          </cell>
          <cell r="C59">
            <v>13.46</v>
          </cell>
          <cell r="D59">
            <v>43.3</v>
          </cell>
          <cell r="E59">
            <v>36.799999999999997</v>
          </cell>
          <cell r="F59">
            <v>42.5</v>
          </cell>
          <cell r="G59">
            <v>42</v>
          </cell>
          <cell r="H59">
            <v>43.2</v>
          </cell>
          <cell r="I59">
            <v>44.7</v>
          </cell>
          <cell r="J59">
            <v>43.7</v>
          </cell>
          <cell r="K59">
            <v>42.1</v>
          </cell>
          <cell r="L59">
            <v>44.2</v>
          </cell>
          <cell r="M59">
            <v>45.5</v>
          </cell>
          <cell r="N59">
            <v>40.299999999999997</v>
          </cell>
          <cell r="O59">
            <v>43.9</v>
          </cell>
        </row>
        <row r="60">
          <cell r="A60">
            <v>901</v>
          </cell>
          <cell r="B60">
            <v>1</v>
          </cell>
          <cell r="C60">
            <v>13.475</v>
          </cell>
          <cell r="D60">
            <v>54.2</v>
          </cell>
          <cell r="E60">
            <v>54.7</v>
          </cell>
          <cell r="F60">
            <v>53.6</v>
          </cell>
          <cell r="G60">
            <v>54</v>
          </cell>
          <cell r="H60">
            <v>51.9</v>
          </cell>
          <cell r="I60">
            <v>52.8</v>
          </cell>
          <cell r="J60">
            <v>53.4</v>
          </cell>
          <cell r="K60">
            <v>53.3</v>
          </cell>
          <cell r="L60">
            <v>51.6</v>
          </cell>
          <cell r="M60">
            <v>53.1</v>
          </cell>
          <cell r="N60">
            <v>53.8</v>
          </cell>
          <cell r="O60">
            <v>53.2</v>
          </cell>
        </row>
        <row r="62">
          <cell r="A62">
            <v>301</v>
          </cell>
          <cell r="B62">
            <v>1</v>
          </cell>
          <cell r="C62">
            <v>13.487</v>
          </cell>
          <cell r="D62">
            <v>31.2</v>
          </cell>
          <cell r="E62">
            <v>31.4</v>
          </cell>
          <cell r="F62">
            <v>30.7</v>
          </cell>
          <cell r="G62">
            <v>31.8</v>
          </cell>
          <cell r="H62">
            <v>30.8</v>
          </cell>
          <cell r="I62">
            <v>33</v>
          </cell>
          <cell r="J62">
            <v>31.4</v>
          </cell>
          <cell r="K62">
            <v>31.4</v>
          </cell>
          <cell r="L62">
            <v>31</v>
          </cell>
          <cell r="M62">
            <v>32.200000000000003</v>
          </cell>
          <cell r="N62">
            <v>32.6</v>
          </cell>
          <cell r="O62">
            <v>32.799999999999997</v>
          </cell>
        </row>
        <row r="63">
          <cell r="A63">
            <v>301</v>
          </cell>
          <cell r="B63">
            <v>2</v>
          </cell>
          <cell r="C63">
            <v>13.492000000000001</v>
          </cell>
          <cell r="D63">
            <v>31.6</v>
          </cell>
          <cell r="E63">
            <v>30.4</v>
          </cell>
          <cell r="F63">
            <v>29.7</v>
          </cell>
          <cell r="G63">
            <v>30.5</v>
          </cell>
          <cell r="H63">
            <v>32.200000000000003</v>
          </cell>
          <cell r="I63">
            <v>29.6</v>
          </cell>
          <cell r="J63">
            <v>29.3</v>
          </cell>
          <cell r="K63">
            <v>31</v>
          </cell>
          <cell r="L63">
            <v>31.2</v>
          </cell>
          <cell r="M63">
            <v>30.1</v>
          </cell>
          <cell r="N63">
            <v>31</v>
          </cell>
          <cell r="O63">
            <v>31.1</v>
          </cell>
        </row>
        <row r="64">
          <cell r="A64">
            <v>302</v>
          </cell>
          <cell r="B64">
            <v>1</v>
          </cell>
          <cell r="C64">
            <v>13.504</v>
          </cell>
          <cell r="D64">
            <v>29.3</v>
          </cell>
          <cell r="E64">
            <v>31.9</v>
          </cell>
          <cell r="F64">
            <v>30.8</v>
          </cell>
          <cell r="G64">
            <v>31.2</v>
          </cell>
          <cell r="H64">
            <v>31.4</v>
          </cell>
          <cell r="I64">
            <v>32.9</v>
          </cell>
          <cell r="J64">
            <v>32.299999999999997</v>
          </cell>
          <cell r="K64">
            <v>32</v>
          </cell>
          <cell r="L64">
            <v>31.1</v>
          </cell>
          <cell r="M64">
            <v>31</v>
          </cell>
          <cell r="N64">
            <v>31.2</v>
          </cell>
          <cell r="O64">
            <v>32.9</v>
          </cell>
        </row>
        <row r="65">
          <cell r="A65">
            <v>302</v>
          </cell>
          <cell r="B65">
            <v>2</v>
          </cell>
          <cell r="C65">
            <v>13.509</v>
          </cell>
          <cell r="D65">
            <v>31.7</v>
          </cell>
          <cell r="E65">
            <v>31.2</v>
          </cell>
          <cell r="F65">
            <v>30.2</v>
          </cell>
          <cell r="G65">
            <v>32.299999999999997</v>
          </cell>
          <cell r="H65">
            <v>31.9</v>
          </cell>
          <cell r="I65">
            <v>31.1</v>
          </cell>
          <cell r="J65">
            <v>31.4</v>
          </cell>
          <cell r="K65">
            <v>33.4</v>
          </cell>
          <cell r="L65">
            <v>31.7</v>
          </cell>
          <cell r="M65">
            <v>34.6</v>
          </cell>
          <cell r="N65">
            <v>31.7</v>
          </cell>
          <cell r="O65">
            <v>31</v>
          </cell>
        </row>
        <row r="66">
          <cell r="A66">
            <v>303</v>
          </cell>
          <cell r="B66">
            <v>1</v>
          </cell>
          <cell r="C66">
            <v>13.522</v>
          </cell>
          <cell r="D66">
            <v>30.5</v>
          </cell>
          <cell r="E66">
            <v>30.9</v>
          </cell>
          <cell r="F66">
            <v>30</v>
          </cell>
          <cell r="G66">
            <v>30.7</v>
          </cell>
          <cell r="H66">
            <v>29.8</v>
          </cell>
          <cell r="I66">
            <v>32.299999999999997</v>
          </cell>
          <cell r="J66">
            <v>32.5</v>
          </cell>
          <cell r="K66">
            <v>33.6</v>
          </cell>
          <cell r="L66">
            <v>31.7</v>
          </cell>
          <cell r="M66">
            <v>31.7</v>
          </cell>
          <cell r="N66">
            <v>31.5</v>
          </cell>
          <cell r="O66">
            <v>32.200000000000003</v>
          </cell>
        </row>
        <row r="67">
          <cell r="A67">
            <v>303</v>
          </cell>
          <cell r="B67">
            <v>2</v>
          </cell>
          <cell r="C67">
            <v>13.526</v>
          </cell>
          <cell r="D67">
            <v>31.6</v>
          </cell>
          <cell r="E67">
            <v>31.1</v>
          </cell>
          <cell r="F67">
            <v>31.8</v>
          </cell>
          <cell r="G67">
            <v>30.5</v>
          </cell>
          <cell r="H67">
            <v>33.9</v>
          </cell>
          <cell r="I67">
            <v>33.5</v>
          </cell>
          <cell r="J67">
            <v>32.9</v>
          </cell>
          <cell r="K67">
            <v>32.4</v>
          </cell>
          <cell r="L67">
            <v>31</v>
          </cell>
          <cell r="M67">
            <v>31</v>
          </cell>
          <cell r="N67">
            <v>31.1</v>
          </cell>
          <cell r="O67">
            <v>31.2</v>
          </cell>
        </row>
        <row r="68">
          <cell r="A68">
            <v>304</v>
          </cell>
          <cell r="B68">
            <v>1</v>
          </cell>
          <cell r="C68">
            <v>13.539</v>
          </cell>
          <cell r="D68">
            <v>30.8</v>
          </cell>
          <cell r="E68">
            <v>31.4</v>
          </cell>
          <cell r="F68">
            <v>30.9</v>
          </cell>
          <cell r="G68">
            <v>31.4</v>
          </cell>
          <cell r="H68">
            <v>31.4</v>
          </cell>
          <cell r="I68">
            <v>32.5</v>
          </cell>
          <cell r="J68">
            <v>31.9</v>
          </cell>
          <cell r="K68">
            <v>34.299999999999997</v>
          </cell>
          <cell r="L68">
            <v>33.200000000000003</v>
          </cell>
          <cell r="M68">
            <v>32.9</v>
          </cell>
          <cell r="N68">
            <v>33.4</v>
          </cell>
          <cell r="O68">
            <v>33.200000000000003</v>
          </cell>
        </row>
        <row r="69">
          <cell r="A69">
            <v>304</v>
          </cell>
          <cell r="B69">
            <v>2</v>
          </cell>
          <cell r="C69">
            <v>13.542999999999999</v>
          </cell>
          <cell r="D69">
            <v>34.200000000000003</v>
          </cell>
          <cell r="E69">
            <v>33.9</v>
          </cell>
          <cell r="F69">
            <v>34.6</v>
          </cell>
          <cell r="G69">
            <v>32.200000000000003</v>
          </cell>
          <cell r="H69">
            <v>32.9</v>
          </cell>
          <cell r="I69">
            <v>31.9</v>
          </cell>
          <cell r="J69">
            <v>33.1</v>
          </cell>
          <cell r="K69">
            <v>32.700000000000003</v>
          </cell>
          <cell r="L69">
            <v>33.4</v>
          </cell>
          <cell r="M69">
            <v>31.9</v>
          </cell>
          <cell r="N69">
            <v>31.6</v>
          </cell>
          <cell r="O69">
            <v>32.200000000000003</v>
          </cell>
        </row>
        <row r="70">
          <cell r="A70">
            <v>305</v>
          </cell>
          <cell r="B70">
            <v>1</v>
          </cell>
          <cell r="C70">
            <v>13.555999999999999</v>
          </cell>
          <cell r="D70">
            <v>31.8</v>
          </cell>
          <cell r="E70">
            <v>31.1</v>
          </cell>
          <cell r="F70">
            <v>29.9</v>
          </cell>
          <cell r="G70">
            <v>30</v>
          </cell>
          <cell r="H70">
            <v>30.1</v>
          </cell>
          <cell r="I70">
            <v>31.1</v>
          </cell>
          <cell r="J70">
            <v>30.9</v>
          </cell>
          <cell r="K70">
            <v>30.6</v>
          </cell>
          <cell r="L70">
            <v>30.2</v>
          </cell>
          <cell r="M70">
            <v>31.6</v>
          </cell>
          <cell r="N70">
            <v>31.1</v>
          </cell>
          <cell r="O70">
            <v>30.6</v>
          </cell>
        </row>
        <row r="71">
          <cell r="A71">
            <v>305</v>
          </cell>
          <cell r="B71">
            <v>2</v>
          </cell>
          <cell r="C71">
            <v>13.561</v>
          </cell>
          <cell r="D71">
            <v>30.6</v>
          </cell>
          <cell r="E71">
            <v>30.3</v>
          </cell>
          <cell r="F71">
            <v>30.2</v>
          </cell>
          <cell r="G71">
            <v>30.1</v>
          </cell>
          <cell r="H71">
            <v>30.2</v>
          </cell>
          <cell r="I71">
            <v>30.3</v>
          </cell>
          <cell r="J71">
            <v>29.9</v>
          </cell>
          <cell r="K71">
            <v>30.7</v>
          </cell>
          <cell r="L71">
            <v>29.9</v>
          </cell>
          <cell r="M71">
            <v>30.2</v>
          </cell>
          <cell r="N71">
            <v>30.1</v>
          </cell>
          <cell r="O71">
            <v>30.7</v>
          </cell>
        </row>
        <row r="72">
          <cell r="A72">
            <v>306</v>
          </cell>
          <cell r="B72">
            <v>1</v>
          </cell>
          <cell r="C72">
            <v>13.574</v>
          </cell>
          <cell r="D72">
            <v>29.6</v>
          </cell>
          <cell r="E72">
            <v>30.7</v>
          </cell>
          <cell r="F72">
            <v>30.8</v>
          </cell>
          <cell r="G72">
            <v>31.7</v>
          </cell>
          <cell r="H72">
            <v>30.7</v>
          </cell>
          <cell r="I72">
            <v>32.5</v>
          </cell>
          <cell r="J72">
            <v>31.2</v>
          </cell>
          <cell r="K72">
            <v>32.9</v>
          </cell>
          <cell r="L72">
            <v>30.5</v>
          </cell>
          <cell r="M72">
            <v>31.1</v>
          </cell>
          <cell r="N72">
            <v>30.1</v>
          </cell>
          <cell r="O72">
            <v>30.6</v>
          </cell>
        </row>
        <row r="73">
          <cell r="A73">
            <v>306</v>
          </cell>
          <cell r="B73">
            <v>2</v>
          </cell>
          <cell r="C73">
            <v>13.577999999999999</v>
          </cell>
          <cell r="D73">
            <v>30.7</v>
          </cell>
          <cell r="E73">
            <v>32.700000000000003</v>
          </cell>
          <cell r="F73">
            <v>30.8</v>
          </cell>
          <cell r="G73">
            <v>30.6</v>
          </cell>
          <cell r="H73">
            <v>30.6</v>
          </cell>
          <cell r="I73">
            <v>29.3</v>
          </cell>
          <cell r="J73">
            <v>32.299999999999997</v>
          </cell>
          <cell r="K73">
            <v>30</v>
          </cell>
          <cell r="L73">
            <v>29.4</v>
          </cell>
          <cell r="M73">
            <v>29.6</v>
          </cell>
          <cell r="N73">
            <v>29.7</v>
          </cell>
          <cell r="O73">
            <v>31.7</v>
          </cell>
        </row>
        <row r="74">
          <cell r="A74">
            <v>307</v>
          </cell>
          <cell r="B74">
            <v>1</v>
          </cell>
          <cell r="C74">
            <v>13.590999999999999</v>
          </cell>
          <cell r="D74">
            <v>31.1</v>
          </cell>
          <cell r="E74">
            <v>31.3</v>
          </cell>
          <cell r="F74">
            <v>30.6</v>
          </cell>
          <cell r="G74">
            <v>30.3</v>
          </cell>
          <cell r="H74">
            <v>31.1</v>
          </cell>
          <cell r="I74">
            <v>31.5</v>
          </cell>
          <cell r="J74">
            <v>30.8</v>
          </cell>
          <cell r="K74">
            <v>32.4</v>
          </cell>
          <cell r="L74">
            <v>31.1</v>
          </cell>
          <cell r="M74">
            <v>31.1</v>
          </cell>
          <cell r="N74">
            <v>30.5</v>
          </cell>
          <cell r="O74">
            <v>29.7</v>
          </cell>
        </row>
        <row r="75">
          <cell r="A75">
            <v>307</v>
          </cell>
          <cell r="B75">
            <v>2</v>
          </cell>
          <cell r="C75">
            <v>13.596</v>
          </cell>
          <cell r="D75">
            <v>30.1</v>
          </cell>
          <cell r="E75">
            <v>30.6</v>
          </cell>
          <cell r="F75">
            <v>29.3</v>
          </cell>
          <cell r="G75">
            <v>30.5</v>
          </cell>
          <cell r="H75">
            <v>31.4</v>
          </cell>
          <cell r="I75">
            <v>29.6</v>
          </cell>
          <cell r="J75">
            <v>32.6</v>
          </cell>
          <cell r="K75">
            <v>31.8</v>
          </cell>
          <cell r="L75">
            <v>28.8</v>
          </cell>
          <cell r="M75">
            <v>30.3</v>
          </cell>
          <cell r="N75">
            <v>31</v>
          </cell>
          <cell r="O75">
            <v>31.1</v>
          </cell>
        </row>
        <row r="76">
          <cell r="A76">
            <v>308</v>
          </cell>
          <cell r="B76">
            <v>1</v>
          </cell>
          <cell r="C76">
            <v>13.609</v>
          </cell>
          <cell r="D76">
            <v>30.8</v>
          </cell>
          <cell r="E76">
            <v>28.9</v>
          </cell>
          <cell r="F76">
            <v>29.6</v>
          </cell>
          <cell r="G76">
            <v>28.6</v>
          </cell>
          <cell r="H76">
            <v>28.9</v>
          </cell>
          <cell r="I76">
            <v>28.7</v>
          </cell>
          <cell r="J76">
            <v>28.6</v>
          </cell>
          <cell r="K76">
            <v>30.1</v>
          </cell>
          <cell r="L76">
            <v>28.5</v>
          </cell>
          <cell r="M76">
            <v>29.5</v>
          </cell>
          <cell r="N76">
            <v>30.7</v>
          </cell>
          <cell r="O76">
            <v>30</v>
          </cell>
        </row>
        <row r="77">
          <cell r="A77">
            <v>308</v>
          </cell>
          <cell r="B77">
            <v>2</v>
          </cell>
          <cell r="C77">
            <v>13.613</v>
          </cell>
          <cell r="D77">
            <v>30.5</v>
          </cell>
          <cell r="E77">
            <v>28.9</v>
          </cell>
          <cell r="F77">
            <v>30.8</v>
          </cell>
          <cell r="G77">
            <v>30.1</v>
          </cell>
          <cell r="H77">
            <v>29.7</v>
          </cell>
          <cell r="I77">
            <v>31.5</v>
          </cell>
          <cell r="J77">
            <v>30</v>
          </cell>
          <cell r="K77">
            <v>29.8</v>
          </cell>
          <cell r="L77">
            <v>29.5</v>
          </cell>
          <cell r="M77">
            <v>29.9</v>
          </cell>
          <cell r="N77">
            <v>29.5</v>
          </cell>
          <cell r="O77">
            <v>29.3</v>
          </cell>
        </row>
        <row r="78">
          <cell r="A78">
            <v>408</v>
          </cell>
          <cell r="B78">
            <v>1</v>
          </cell>
          <cell r="C78">
            <v>13.63</v>
          </cell>
          <cell r="D78">
            <v>28.4</v>
          </cell>
          <cell r="E78">
            <v>29.2</v>
          </cell>
          <cell r="F78">
            <v>29.3</v>
          </cell>
          <cell r="G78">
            <v>29.8</v>
          </cell>
          <cell r="H78">
            <v>29.2</v>
          </cell>
          <cell r="I78">
            <v>29.1</v>
          </cell>
          <cell r="J78">
            <v>29.1</v>
          </cell>
          <cell r="K78">
            <v>29.2</v>
          </cell>
          <cell r="L78">
            <v>29.4</v>
          </cell>
          <cell r="M78">
            <v>29.4</v>
          </cell>
          <cell r="N78">
            <v>28.9</v>
          </cell>
          <cell r="O78">
            <v>30.1</v>
          </cell>
        </row>
        <row r="79">
          <cell r="A79">
            <v>408</v>
          </cell>
          <cell r="B79">
            <v>2</v>
          </cell>
          <cell r="C79">
            <v>13.635</v>
          </cell>
          <cell r="D79">
            <v>29.3</v>
          </cell>
          <cell r="E79">
            <v>29.5</v>
          </cell>
          <cell r="F79">
            <v>28.8</v>
          </cell>
          <cell r="G79">
            <v>31</v>
          </cell>
          <cell r="H79">
            <v>28.7</v>
          </cell>
          <cell r="I79">
            <v>28.7</v>
          </cell>
          <cell r="J79">
            <v>28.6</v>
          </cell>
          <cell r="K79">
            <v>29.5</v>
          </cell>
          <cell r="L79">
            <v>27.7</v>
          </cell>
          <cell r="M79">
            <v>27.8</v>
          </cell>
          <cell r="N79">
            <v>28.1</v>
          </cell>
          <cell r="O79">
            <v>28.7</v>
          </cell>
        </row>
        <row r="80">
          <cell r="A80">
            <v>407</v>
          </cell>
          <cell r="B80">
            <v>1</v>
          </cell>
          <cell r="C80">
            <v>13.648</v>
          </cell>
          <cell r="D80">
            <v>29.2</v>
          </cell>
          <cell r="E80">
            <v>29.8</v>
          </cell>
          <cell r="F80">
            <v>29.6</v>
          </cell>
          <cell r="G80">
            <v>28.6</v>
          </cell>
          <cell r="H80">
            <v>29.8</v>
          </cell>
          <cell r="I80">
            <v>29.1</v>
          </cell>
          <cell r="J80">
            <v>29.2</v>
          </cell>
          <cell r="K80">
            <v>29.5</v>
          </cell>
          <cell r="L80">
            <v>29.2</v>
          </cell>
          <cell r="M80">
            <v>28.9</v>
          </cell>
          <cell r="N80">
            <v>27.3</v>
          </cell>
          <cell r="O80">
            <v>29.5</v>
          </cell>
        </row>
        <row r="81">
          <cell r="A81">
            <v>407</v>
          </cell>
          <cell r="B81">
            <v>2</v>
          </cell>
          <cell r="C81">
            <v>13.651999999999999</v>
          </cell>
          <cell r="D81">
            <v>30.2</v>
          </cell>
          <cell r="E81">
            <v>29.7</v>
          </cell>
          <cell r="F81">
            <v>29.1</v>
          </cell>
          <cell r="G81">
            <v>28.3</v>
          </cell>
          <cell r="H81">
            <v>28.8</v>
          </cell>
          <cell r="I81">
            <v>28.1</v>
          </cell>
          <cell r="J81">
            <v>27.9</v>
          </cell>
          <cell r="K81">
            <v>28.7</v>
          </cell>
          <cell r="L81">
            <v>30.6</v>
          </cell>
          <cell r="M81">
            <v>29.6</v>
          </cell>
          <cell r="N81">
            <v>29.5</v>
          </cell>
          <cell r="O81">
            <v>33.9</v>
          </cell>
        </row>
        <row r="82">
          <cell r="A82">
            <v>406</v>
          </cell>
          <cell r="B82">
            <v>1</v>
          </cell>
          <cell r="C82">
            <v>13.666</v>
          </cell>
          <cell r="D82">
            <v>30.2</v>
          </cell>
          <cell r="E82">
            <v>30</v>
          </cell>
          <cell r="F82">
            <v>29.8</v>
          </cell>
          <cell r="G82">
            <v>29.5</v>
          </cell>
          <cell r="H82">
            <v>29.5</v>
          </cell>
          <cell r="I82">
            <v>29.5</v>
          </cell>
          <cell r="J82">
            <v>29.4</v>
          </cell>
          <cell r="K82">
            <v>30.2</v>
          </cell>
          <cell r="L82">
            <v>29.4</v>
          </cell>
          <cell r="M82">
            <v>29.6</v>
          </cell>
          <cell r="N82">
            <v>29.1</v>
          </cell>
          <cell r="O82">
            <v>29.3</v>
          </cell>
        </row>
        <row r="83">
          <cell r="A83">
            <v>406</v>
          </cell>
          <cell r="B83">
            <v>2</v>
          </cell>
          <cell r="C83">
            <v>13.67</v>
          </cell>
          <cell r="D83">
            <v>30.4</v>
          </cell>
          <cell r="E83">
            <v>29</v>
          </cell>
          <cell r="F83">
            <v>29.6</v>
          </cell>
          <cell r="G83">
            <v>37</v>
          </cell>
          <cell r="H83">
            <v>30.9</v>
          </cell>
          <cell r="I83">
            <v>29.5</v>
          </cell>
          <cell r="J83">
            <v>29.2</v>
          </cell>
          <cell r="K83">
            <v>29.5</v>
          </cell>
          <cell r="L83">
            <v>29.7</v>
          </cell>
          <cell r="M83">
            <v>30.3</v>
          </cell>
          <cell r="N83">
            <v>30.3</v>
          </cell>
          <cell r="O83">
            <v>30.3</v>
          </cell>
        </row>
        <row r="84">
          <cell r="A84">
            <v>405</v>
          </cell>
          <cell r="B84">
            <v>1</v>
          </cell>
          <cell r="C84">
            <v>13.683999999999999</v>
          </cell>
          <cell r="D84">
            <v>30.2</v>
          </cell>
          <cell r="E84">
            <v>30.4</v>
          </cell>
          <cell r="F84">
            <v>29.1</v>
          </cell>
          <cell r="G84">
            <v>29.5</v>
          </cell>
          <cell r="H84">
            <v>29.6</v>
          </cell>
          <cell r="I84">
            <v>31.1</v>
          </cell>
          <cell r="J84">
            <v>29.7</v>
          </cell>
          <cell r="K84">
            <v>30.3</v>
          </cell>
          <cell r="L84">
            <v>30.5</v>
          </cell>
          <cell r="M84">
            <v>30.9</v>
          </cell>
          <cell r="N84">
            <v>29.7</v>
          </cell>
          <cell r="O84">
            <v>29.3</v>
          </cell>
        </row>
        <row r="85">
          <cell r="A85">
            <v>405</v>
          </cell>
          <cell r="B85">
            <v>2</v>
          </cell>
          <cell r="C85">
            <v>13.688000000000001</v>
          </cell>
          <cell r="D85">
            <v>34</v>
          </cell>
          <cell r="E85">
            <v>28.5</v>
          </cell>
          <cell r="F85">
            <v>28.2</v>
          </cell>
          <cell r="G85">
            <v>29.4</v>
          </cell>
          <cell r="H85">
            <v>28.5</v>
          </cell>
          <cell r="I85">
            <v>30</v>
          </cell>
          <cell r="J85">
            <v>28.5</v>
          </cell>
          <cell r="K85">
            <v>31</v>
          </cell>
          <cell r="L85">
            <v>30.1</v>
          </cell>
          <cell r="M85">
            <v>29.7</v>
          </cell>
          <cell r="N85">
            <v>28.9</v>
          </cell>
          <cell r="O85">
            <v>28.6</v>
          </cell>
        </row>
        <row r="86">
          <cell r="A86">
            <v>404</v>
          </cell>
          <cell r="B86">
            <v>1</v>
          </cell>
          <cell r="C86">
            <v>13.707000000000001</v>
          </cell>
          <cell r="D86">
            <v>28.8</v>
          </cell>
          <cell r="E86">
            <v>31.9</v>
          </cell>
          <cell r="F86">
            <v>31.7</v>
          </cell>
          <cell r="G86">
            <v>32.200000000000003</v>
          </cell>
          <cell r="H86">
            <v>31.2</v>
          </cell>
          <cell r="I86">
            <v>30.7</v>
          </cell>
          <cell r="J86">
            <v>30.7</v>
          </cell>
          <cell r="K86">
            <v>30.4</v>
          </cell>
          <cell r="L86">
            <v>31</v>
          </cell>
          <cell r="M86">
            <v>31.8</v>
          </cell>
          <cell r="N86">
            <v>32</v>
          </cell>
          <cell r="O86">
            <v>30.5</v>
          </cell>
        </row>
        <row r="87">
          <cell r="A87">
            <v>404</v>
          </cell>
          <cell r="B87">
            <v>2</v>
          </cell>
          <cell r="C87">
            <v>13.712</v>
          </cell>
          <cell r="D87">
            <v>30.6</v>
          </cell>
          <cell r="E87">
            <v>30.5</v>
          </cell>
          <cell r="F87">
            <v>31.7</v>
          </cell>
          <cell r="G87">
            <v>32.200000000000003</v>
          </cell>
          <cell r="H87">
            <v>31.7</v>
          </cell>
          <cell r="I87">
            <v>31</v>
          </cell>
          <cell r="J87">
            <v>30.6</v>
          </cell>
          <cell r="K87">
            <v>30.9</v>
          </cell>
          <cell r="L87">
            <v>30</v>
          </cell>
          <cell r="M87">
            <v>32.799999999999997</v>
          </cell>
          <cell r="N87">
            <v>32.200000000000003</v>
          </cell>
          <cell r="O87">
            <v>31.9</v>
          </cell>
        </row>
        <row r="88">
          <cell r="A88">
            <v>403</v>
          </cell>
          <cell r="B88">
            <v>1</v>
          </cell>
          <cell r="C88">
            <v>13.725</v>
          </cell>
          <cell r="D88">
            <v>29.2</v>
          </cell>
          <cell r="E88">
            <v>30.6</v>
          </cell>
          <cell r="F88">
            <v>28</v>
          </cell>
          <cell r="G88">
            <v>30.1</v>
          </cell>
          <cell r="H88">
            <v>29</v>
          </cell>
          <cell r="I88">
            <v>29.1</v>
          </cell>
          <cell r="J88">
            <v>28.9</v>
          </cell>
          <cell r="K88">
            <v>29.1</v>
          </cell>
          <cell r="L88">
            <v>28.6</v>
          </cell>
          <cell r="M88">
            <v>29.3</v>
          </cell>
          <cell r="N88">
            <v>29.7</v>
          </cell>
          <cell r="O88">
            <v>29.7</v>
          </cell>
        </row>
        <row r="89">
          <cell r="A89">
            <v>403</v>
          </cell>
          <cell r="B89">
            <v>2</v>
          </cell>
          <cell r="C89">
            <v>13.73</v>
          </cell>
          <cell r="D89">
            <v>31.1</v>
          </cell>
          <cell r="E89">
            <v>29.3</v>
          </cell>
          <cell r="F89">
            <v>29.1</v>
          </cell>
          <cell r="G89">
            <v>28.1</v>
          </cell>
          <cell r="H89">
            <v>28.5</v>
          </cell>
          <cell r="I89">
            <v>30.6</v>
          </cell>
          <cell r="J89">
            <v>29.6</v>
          </cell>
          <cell r="K89">
            <v>30.3</v>
          </cell>
          <cell r="L89">
            <v>30.8</v>
          </cell>
          <cell r="M89">
            <v>28.6</v>
          </cell>
          <cell r="N89">
            <v>29.4</v>
          </cell>
          <cell r="O89">
            <v>29.7</v>
          </cell>
        </row>
        <row r="90">
          <cell r="A90">
            <v>402</v>
          </cell>
          <cell r="B90">
            <v>1</v>
          </cell>
          <cell r="C90">
            <v>13.742000000000001</v>
          </cell>
          <cell r="D90">
            <v>30.1</v>
          </cell>
          <cell r="E90">
            <v>29.3</v>
          </cell>
          <cell r="F90">
            <v>28.1</v>
          </cell>
          <cell r="G90">
            <v>29.6</v>
          </cell>
          <cell r="H90">
            <v>28.8</v>
          </cell>
          <cell r="I90">
            <v>29.3</v>
          </cell>
          <cell r="J90">
            <v>29.4</v>
          </cell>
          <cell r="K90">
            <v>29.9</v>
          </cell>
          <cell r="L90">
            <v>29.2</v>
          </cell>
          <cell r="M90">
            <v>30.1</v>
          </cell>
          <cell r="N90">
            <v>29.7</v>
          </cell>
          <cell r="O90">
            <v>30.1</v>
          </cell>
        </row>
        <row r="91">
          <cell r="A91">
            <v>402</v>
          </cell>
          <cell r="B91">
            <v>2</v>
          </cell>
          <cell r="C91">
            <v>13.747</v>
          </cell>
          <cell r="D91">
            <v>29.5</v>
          </cell>
          <cell r="E91">
            <v>29.8</v>
          </cell>
          <cell r="F91">
            <v>29.6</v>
          </cell>
          <cell r="G91">
            <v>28.7</v>
          </cell>
          <cell r="H91">
            <v>29.2</v>
          </cell>
          <cell r="I91">
            <v>28.6</v>
          </cell>
          <cell r="J91">
            <v>27.3</v>
          </cell>
          <cell r="K91">
            <v>28.3</v>
          </cell>
          <cell r="L91">
            <v>29</v>
          </cell>
          <cell r="M91">
            <v>29.1</v>
          </cell>
          <cell r="N91">
            <v>30</v>
          </cell>
          <cell r="O91">
            <v>29.6</v>
          </cell>
        </row>
        <row r="92">
          <cell r="A92">
            <v>401</v>
          </cell>
          <cell r="B92">
            <v>1</v>
          </cell>
          <cell r="C92">
            <v>13.759</v>
          </cell>
          <cell r="D92">
            <v>30.9</v>
          </cell>
          <cell r="E92">
            <v>28.2</v>
          </cell>
          <cell r="F92">
            <v>28.8</v>
          </cell>
          <cell r="G92">
            <v>29.5</v>
          </cell>
          <cell r="H92">
            <v>29.6</v>
          </cell>
          <cell r="I92">
            <v>30.4</v>
          </cell>
          <cell r="J92">
            <v>29.8</v>
          </cell>
          <cell r="K92">
            <v>29.8</v>
          </cell>
          <cell r="L92">
            <v>27.7</v>
          </cell>
          <cell r="M92">
            <v>28.4</v>
          </cell>
          <cell r="N92">
            <v>28.6</v>
          </cell>
          <cell r="O92">
            <v>29.4</v>
          </cell>
        </row>
        <row r="93">
          <cell r="A93">
            <v>401</v>
          </cell>
          <cell r="B93">
            <v>2</v>
          </cell>
          <cell r="C93">
            <v>13.763999999999999</v>
          </cell>
          <cell r="D93">
            <v>30.1</v>
          </cell>
          <cell r="E93">
            <v>29.3</v>
          </cell>
          <cell r="F93">
            <v>30.5</v>
          </cell>
          <cell r="G93">
            <v>28.2</v>
          </cell>
          <cell r="H93">
            <v>28.6</v>
          </cell>
          <cell r="I93">
            <v>30.7</v>
          </cell>
          <cell r="J93">
            <v>29.8</v>
          </cell>
          <cell r="K93">
            <v>32.700000000000003</v>
          </cell>
          <cell r="L93">
            <v>30.5</v>
          </cell>
          <cell r="M93">
            <v>30.4</v>
          </cell>
          <cell r="N93">
            <v>30.7</v>
          </cell>
          <cell r="O93">
            <v>30.9</v>
          </cell>
        </row>
      </sheetData>
      <sheetData sheetId="2">
        <row r="7">
          <cell r="C7">
            <v>246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41.1</v>
          </cell>
        </row>
        <row r="29">
          <cell r="E29">
            <v>6.5899203921514822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'IA247.03R'</v>
          </cell>
        </row>
        <row r="14">
          <cell r="A14">
            <v>108</v>
          </cell>
          <cell r="B14">
            <v>1</v>
          </cell>
          <cell r="C14">
            <v>12.885</v>
          </cell>
          <cell r="D14">
            <v>32.9</v>
          </cell>
          <cell r="E14">
            <v>33</v>
          </cell>
          <cell r="F14">
            <v>33.700000000000003</v>
          </cell>
          <cell r="G14">
            <v>33.4</v>
          </cell>
          <cell r="H14">
            <v>34</v>
          </cell>
          <cell r="I14">
            <v>32.5</v>
          </cell>
          <cell r="J14">
            <v>33.1</v>
          </cell>
          <cell r="K14">
            <v>33.4</v>
          </cell>
          <cell r="L14">
            <v>33.200000000000003</v>
          </cell>
          <cell r="M14">
            <v>31.2</v>
          </cell>
          <cell r="N14">
            <v>31.9</v>
          </cell>
          <cell r="O14">
            <v>31.8</v>
          </cell>
        </row>
        <row r="15">
          <cell r="A15">
            <v>108</v>
          </cell>
          <cell r="B15">
            <v>2</v>
          </cell>
          <cell r="C15">
            <v>12.89</v>
          </cell>
          <cell r="D15">
            <v>34.700000000000003</v>
          </cell>
          <cell r="E15">
            <v>34.1</v>
          </cell>
          <cell r="F15">
            <v>31.5</v>
          </cell>
          <cell r="G15">
            <v>33.1</v>
          </cell>
          <cell r="H15">
            <v>31.1</v>
          </cell>
          <cell r="I15">
            <v>32.200000000000003</v>
          </cell>
          <cell r="J15">
            <v>32</v>
          </cell>
          <cell r="K15">
            <v>33.1</v>
          </cell>
          <cell r="L15">
            <v>30.2</v>
          </cell>
          <cell r="M15">
            <v>32.299999999999997</v>
          </cell>
          <cell r="N15">
            <v>32.200000000000003</v>
          </cell>
          <cell r="O15">
            <v>30</v>
          </cell>
        </row>
        <row r="16">
          <cell r="A16">
            <v>107</v>
          </cell>
          <cell r="B16">
            <v>1</v>
          </cell>
          <cell r="C16">
            <v>12.898999999999999</v>
          </cell>
          <cell r="D16">
            <v>31.9</v>
          </cell>
          <cell r="E16">
            <v>32.200000000000003</v>
          </cell>
          <cell r="F16">
            <v>33.200000000000003</v>
          </cell>
          <cell r="G16">
            <v>33.700000000000003</v>
          </cell>
          <cell r="H16">
            <v>32</v>
          </cell>
          <cell r="I16">
            <v>30.9</v>
          </cell>
          <cell r="J16">
            <v>31</v>
          </cell>
          <cell r="K16">
            <v>32.9</v>
          </cell>
          <cell r="L16">
            <v>33.9</v>
          </cell>
          <cell r="M16">
            <v>32.799999999999997</v>
          </cell>
          <cell r="N16">
            <v>32.1</v>
          </cell>
          <cell r="O16">
            <v>32.200000000000003</v>
          </cell>
        </row>
        <row r="17">
          <cell r="A17">
            <v>107</v>
          </cell>
          <cell r="B17">
            <v>2</v>
          </cell>
          <cell r="C17">
            <v>12.904</v>
          </cell>
          <cell r="D17">
            <v>32.799999999999997</v>
          </cell>
          <cell r="E17">
            <v>32</v>
          </cell>
          <cell r="F17">
            <v>32.200000000000003</v>
          </cell>
          <cell r="G17">
            <v>32.5</v>
          </cell>
          <cell r="H17">
            <v>31</v>
          </cell>
          <cell r="I17">
            <v>32.700000000000003</v>
          </cell>
          <cell r="J17">
            <v>32.1</v>
          </cell>
          <cell r="K17">
            <v>32.299999999999997</v>
          </cell>
          <cell r="L17">
            <v>32.799999999999997</v>
          </cell>
          <cell r="M17">
            <v>32.799999999999997</v>
          </cell>
          <cell r="N17">
            <v>30.7</v>
          </cell>
          <cell r="O17">
            <v>32</v>
          </cell>
        </row>
        <row r="18">
          <cell r="A18">
            <v>106</v>
          </cell>
          <cell r="B18">
            <v>1</v>
          </cell>
          <cell r="C18">
            <v>12.914</v>
          </cell>
          <cell r="D18">
            <v>34</v>
          </cell>
          <cell r="E18">
            <v>33</v>
          </cell>
          <cell r="F18">
            <v>33.1</v>
          </cell>
          <cell r="G18">
            <v>32</v>
          </cell>
          <cell r="H18">
            <v>31.1</v>
          </cell>
          <cell r="I18">
            <v>31</v>
          </cell>
          <cell r="J18">
            <v>32.9</v>
          </cell>
          <cell r="K18">
            <v>32.1</v>
          </cell>
          <cell r="L18">
            <v>31</v>
          </cell>
          <cell r="M18">
            <v>31.4</v>
          </cell>
          <cell r="N18">
            <v>31.7</v>
          </cell>
          <cell r="O18">
            <v>31.4</v>
          </cell>
        </row>
        <row r="19">
          <cell r="A19">
            <v>106</v>
          </cell>
          <cell r="B19">
            <v>2</v>
          </cell>
          <cell r="C19">
            <v>12.917999999999999</v>
          </cell>
          <cell r="D19">
            <v>33.200000000000003</v>
          </cell>
          <cell r="E19">
            <v>33.4</v>
          </cell>
          <cell r="F19">
            <v>30.7</v>
          </cell>
          <cell r="G19">
            <v>31.1</v>
          </cell>
          <cell r="H19">
            <v>33.9</v>
          </cell>
          <cell r="I19">
            <v>31</v>
          </cell>
          <cell r="J19">
            <v>33</v>
          </cell>
          <cell r="K19">
            <v>33.299999999999997</v>
          </cell>
          <cell r="L19">
            <v>34</v>
          </cell>
          <cell r="M19">
            <v>31.1</v>
          </cell>
          <cell r="N19">
            <v>30.8</v>
          </cell>
          <cell r="O19">
            <v>30.5</v>
          </cell>
        </row>
        <row r="20">
          <cell r="A20">
            <v>105</v>
          </cell>
          <cell r="B20">
            <v>1</v>
          </cell>
          <cell r="C20">
            <v>12.928000000000001</v>
          </cell>
          <cell r="D20">
            <v>33.6</v>
          </cell>
          <cell r="E20">
            <v>33.1</v>
          </cell>
          <cell r="F20">
            <v>32.700000000000003</v>
          </cell>
          <cell r="G20">
            <v>32.200000000000003</v>
          </cell>
          <cell r="H20">
            <v>32.200000000000003</v>
          </cell>
          <cell r="I20">
            <v>31.8</v>
          </cell>
          <cell r="J20">
            <v>31.6</v>
          </cell>
          <cell r="K20">
            <v>30.5</v>
          </cell>
          <cell r="L20">
            <v>31.9</v>
          </cell>
          <cell r="M20">
            <v>31.6</v>
          </cell>
          <cell r="N20">
            <v>31.8</v>
          </cell>
          <cell r="O20">
            <v>31</v>
          </cell>
        </row>
        <row r="21">
          <cell r="A21">
            <v>105</v>
          </cell>
          <cell r="B21">
            <v>2</v>
          </cell>
          <cell r="C21">
            <v>12.933</v>
          </cell>
          <cell r="D21">
            <v>31.9</v>
          </cell>
          <cell r="E21">
            <v>32</v>
          </cell>
          <cell r="F21">
            <v>29.5</v>
          </cell>
          <cell r="G21">
            <v>33.200000000000003</v>
          </cell>
          <cell r="H21">
            <v>32.1</v>
          </cell>
          <cell r="I21">
            <v>32.200000000000003</v>
          </cell>
          <cell r="J21">
            <v>31.2</v>
          </cell>
          <cell r="K21">
            <v>33.700000000000003</v>
          </cell>
          <cell r="L21">
            <v>30.2</v>
          </cell>
          <cell r="M21">
            <v>31.1</v>
          </cell>
          <cell r="N21">
            <v>32</v>
          </cell>
          <cell r="O21">
            <v>33.200000000000003</v>
          </cell>
        </row>
        <row r="22">
          <cell r="A22">
            <v>104</v>
          </cell>
          <cell r="B22">
            <v>1</v>
          </cell>
          <cell r="C22">
            <v>12.943</v>
          </cell>
          <cell r="D22">
            <v>32.299999999999997</v>
          </cell>
          <cell r="E22">
            <v>32.9</v>
          </cell>
          <cell r="F22">
            <v>33</v>
          </cell>
          <cell r="G22">
            <v>32.799999999999997</v>
          </cell>
          <cell r="H22">
            <v>33.1</v>
          </cell>
          <cell r="I22">
            <v>31.7</v>
          </cell>
          <cell r="J22">
            <v>32.1</v>
          </cell>
          <cell r="K22">
            <v>32.5</v>
          </cell>
          <cell r="L22">
            <v>32.9</v>
          </cell>
          <cell r="M22">
            <v>32.700000000000003</v>
          </cell>
          <cell r="N22">
            <v>32.4</v>
          </cell>
          <cell r="O22">
            <v>33.1</v>
          </cell>
        </row>
        <row r="23">
          <cell r="A23">
            <v>104</v>
          </cell>
          <cell r="B23">
            <v>2</v>
          </cell>
          <cell r="C23">
            <v>12.948</v>
          </cell>
          <cell r="D23">
            <v>35</v>
          </cell>
          <cell r="E23">
            <v>35.5</v>
          </cell>
          <cell r="F23">
            <v>33.5</v>
          </cell>
          <cell r="G23">
            <v>32.299999999999997</v>
          </cell>
          <cell r="H23">
            <v>32.200000000000003</v>
          </cell>
          <cell r="I23">
            <v>32.6</v>
          </cell>
          <cell r="J23">
            <v>34.799999999999997</v>
          </cell>
          <cell r="K23">
            <v>31.3</v>
          </cell>
          <cell r="L23">
            <v>29.5</v>
          </cell>
          <cell r="M23">
            <v>33.9</v>
          </cell>
          <cell r="N23">
            <v>32.1</v>
          </cell>
          <cell r="O23">
            <v>33.6</v>
          </cell>
        </row>
        <row r="24">
          <cell r="A24">
            <v>103</v>
          </cell>
          <cell r="B24">
            <v>1</v>
          </cell>
          <cell r="C24">
            <v>12.958</v>
          </cell>
          <cell r="D24">
            <v>31.7</v>
          </cell>
          <cell r="E24">
            <v>31.6</v>
          </cell>
          <cell r="F24">
            <v>32.6</v>
          </cell>
          <cell r="G24">
            <v>31</v>
          </cell>
          <cell r="H24">
            <v>33.1</v>
          </cell>
          <cell r="I24">
            <v>32</v>
          </cell>
          <cell r="J24">
            <v>32</v>
          </cell>
          <cell r="K24">
            <v>32.6</v>
          </cell>
          <cell r="L24">
            <v>32.4</v>
          </cell>
          <cell r="M24">
            <v>33.4</v>
          </cell>
          <cell r="N24">
            <v>32.799999999999997</v>
          </cell>
          <cell r="O24">
            <v>33.200000000000003</v>
          </cell>
        </row>
        <row r="25">
          <cell r="A25">
            <v>103</v>
          </cell>
          <cell r="B25">
            <v>2</v>
          </cell>
          <cell r="C25">
            <v>12.962999999999999</v>
          </cell>
          <cell r="D25">
            <v>31.7</v>
          </cell>
          <cell r="E25">
            <v>31.9</v>
          </cell>
          <cell r="F25">
            <v>33.6</v>
          </cell>
          <cell r="G25">
            <v>34.6</v>
          </cell>
          <cell r="H25">
            <v>33.9</v>
          </cell>
          <cell r="I25">
            <v>32.4</v>
          </cell>
          <cell r="J25">
            <v>35.4</v>
          </cell>
          <cell r="K25">
            <v>33.9</v>
          </cell>
          <cell r="L25">
            <v>32.700000000000003</v>
          </cell>
          <cell r="M25">
            <v>32.700000000000003</v>
          </cell>
          <cell r="N25">
            <v>35</v>
          </cell>
          <cell r="O25">
            <v>33.6</v>
          </cell>
        </row>
        <row r="26">
          <cell r="A26">
            <v>102</v>
          </cell>
          <cell r="B26">
            <v>1</v>
          </cell>
          <cell r="C26">
            <v>12.973000000000001</v>
          </cell>
          <cell r="D26">
            <v>32.9</v>
          </cell>
          <cell r="E26">
            <v>30.1</v>
          </cell>
          <cell r="F26">
            <v>33.1</v>
          </cell>
          <cell r="G26">
            <v>32.799999999999997</v>
          </cell>
          <cell r="H26">
            <v>34.5</v>
          </cell>
          <cell r="I26">
            <v>31.6</v>
          </cell>
          <cell r="J26">
            <v>33.1</v>
          </cell>
          <cell r="K26">
            <v>31.7</v>
          </cell>
          <cell r="L26">
            <v>33.5</v>
          </cell>
          <cell r="M26">
            <v>31.1</v>
          </cell>
          <cell r="N26">
            <v>31.3</v>
          </cell>
          <cell r="O26">
            <v>31.4</v>
          </cell>
        </row>
        <row r="27">
          <cell r="A27">
            <v>102</v>
          </cell>
          <cell r="B27">
            <v>2</v>
          </cell>
          <cell r="C27">
            <v>12.978</v>
          </cell>
          <cell r="D27">
            <v>32.200000000000003</v>
          </cell>
          <cell r="E27">
            <v>32</v>
          </cell>
          <cell r="F27">
            <v>35.1</v>
          </cell>
          <cell r="G27">
            <v>32.700000000000003</v>
          </cell>
          <cell r="H27">
            <v>33.4</v>
          </cell>
          <cell r="I27">
            <v>30.5</v>
          </cell>
          <cell r="J27">
            <v>33.5</v>
          </cell>
          <cell r="K27">
            <v>33.4</v>
          </cell>
          <cell r="L27">
            <v>31.8</v>
          </cell>
          <cell r="M27">
            <v>31.2</v>
          </cell>
          <cell r="N27">
            <v>28.9</v>
          </cell>
          <cell r="O27">
            <v>30.6</v>
          </cell>
        </row>
        <row r="28">
          <cell r="A28">
            <v>101</v>
          </cell>
          <cell r="B28">
            <v>1</v>
          </cell>
          <cell r="C28">
            <v>12.988</v>
          </cell>
          <cell r="D28">
            <v>31.3</v>
          </cell>
          <cell r="E28">
            <v>30.1</v>
          </cell>
          <cell r="F28">
            <v>29.5</v>
          </cell>
          <cell r="G28">
            <v>30.8</v>
          </cell>
          <cell r="H28">
            <v>31.2</v>
          </cell>
          <cell r="I28">
            <v>31.1</v>
          </cell>
          <cell r="J28">
            <v>31.7</v>
          </cell>
          <cell r="K28">
            <v>31.5</v>
          </cell>
          <cell r="L28">
            <v>30.9</v>
          </cell>
          <cell r="M28">
            <v>30.8</v>
          </cell>
          <cell r="N28">
            <v>31.1</v>
          </cell>
          <cell r="O28">
            <v>30.1</v>
          </cell>
        </row>
        <row r="29">
          <cell r="A29">
            <v>101</v>
          </cell>
          <cell r="B29">
            <v>2</v>
          </cell>
          <cell r="C29">
            <v>12.993</v>
          </cell>
          <cell r="D29">
            <v>30.7</v>
          </cell>
          <cell r="E29">
            <v>33</v>
          </cell>
          <cell r="F29">
            <v>31.9</v>
          </cell>
          <cell r="G29">
            <v>31.4</v>
          </cell>
          <cell r="H29">
            <v>33.9</v>
          </cell>
          <cell r="I29">
            <v>32.6</v>
          </cell>
          <cell r="J29">
            <v>31.7</v>
          </cell>
          <cell r="K29">
            <v>30.4</v>
          </cell>
          <cell r="L29">
            <v>29.2</v>
          </cell>
          <cell r="M29">
            <v>32.799999999999997</v>
          </cell>
          <cell r="N29">
            <v>31.3</v>
          </cell>
          <cell r="O29">
            <v>31.1</v>
          </cell>
        </row>
        <row r="30">
          <cell r="A30">
            <v>201</v>
          </cell>
          <cell r="B30">
            <v>1</v>
          </cell>
          <cell r="C30">
            <v>13.005000000000001</v>
          </cell>
          <cell r="D30">
            <v>32.299999999999997</v>
          </cell>
          <cell r="E30">
            <v>31.7</v>
          </cell>
          <cell r="F30">
            <v>31.9</v>
          </cell>
          <cell r="G30">
            <v>31.9</v>
          </cell>
          <cell r="H30">
            <v>32.200000000000003</v>
          </cell>
          <cell r="I30">
            <v>31.9</v>
          </cell>
          <cell r="J30">
            <v>32.9</v>
          </cell>
          <cell r="K30">
            <v>33.9</v>
          </cell>
          <cell r="L30">
            <v>33.799999999999997</v>
          </cell>
          <cell r="M30">
            <v>31.9</v>
          </cell>
          <cell r="N30">
            <v>31.6</v>
          </cell>
          <cell r="O30">
            <v>32.1</v>
          </cell>
        </row>
        <row r="31">
          <cell r="A31">
            <v>201</v>
          </cell>
          <cell r="B31">
            <v>2</v>
          </cell>
          <cell r="C31">
            <v>13.010999999999999</v>
          </cell>
          <cell r="D31">
            <v>33.299999999999997</v>
          </cell>
          <cell r="E31">
            <v>31.6</v>
          </cell>
          <cell r="F31">
            <v>32.799999999999997</v>
          </cell>
          <cell r="G31">
            <v>33.799999999999997</v>
          </cell>
          <cell r="H31">
            <v>32.5</v>
          </cell>
          <cell r="I31">
            <v>33.200000000000003</v>
          </cell>
          <cell r="J31">
            <v>33.6</v>
          </cell>
          <cell r="K31">
            <v>31</v>
          </cell>
          <cell r="L31">
            <v>32</v>
          </cell>
          <cell r="M31">
            <v>30.6</v>
          </cell>
          <cell r="N31">
            <v>33.4</v>
          </cell>
          <cell r="O31">
            <v>31.4</v>
          </cell>
        </row>
        <row r="32">
          <cell r="A32">
            <v>202</v>
          </cell>
          <cell r="B32">
            <v>1</v>
          </cell>
          <cell r="C32">
            <v>13.022</v>
          </cell>
          <cell r="D32">
            <v>31.8</v>
          </cell>
          <cell r="E32">
            <v>32.1</v>
          </cell>
          <cell r="F32">
            <v>31.1</v>
          </cell>
          <cell r="G32">
            <v>31.1</v>
          </cell>
          <cell r="H32">
            <v>31.4</v>
          </cell>
          <cell r="I32">
            <v>30.1</v>
          </cell>
          <cell r="J32">
            <v>30.5</v>
          </cell>
          <cell r="K32">
            <v>30.1</v>
          </cell>
          <cell r="L32">
            <v>29.9</v>
          </cell>
          <cell r="M32">
            <v>30.4</v>
          </cell>
          <cell r="N32">
            <v>29.5</v>
          </cell>
          <cell r="O32">
            <v>30.3</v>
          </cell>
        </row>
        <row r="33">
          <cell r="A33">
            <v>202</v>
          </cell>
          <cell r="B33">
            <v>2</v>
          </cell>
          <cell r="C33">
            <v>13.026999999999999</v>
          </cell>
          <cell r="D33">
            <v>29</v>
          </cell>
          <cell r="E33">
            <v>30.3</v>
          </cell>
          <cell r="F33">
            <v>29.8</v>
          </cell>
          <cell r="G33">
            <v>30.7</v>
          </cell>
          <cell r="H33">
            <v>30.3</v>
          </cell>
          <cell r="I33">
            <v>30.1</v>
          </cell>
          <cell r="J33">
            <v>30.7</v>
          </cell>
          <cell r="K33">
            <v>28.7</v>
          </cell>
          <cell r="L33">
            <v>31.4</v>
          </cell>
          <cell r="M33">
            <v>29.9</v>
          </cell>
          <cell r="N33">
            <v>28.8</v>
          </cell>
          <cell r="O33">
            <v>30.6</v>
          </cell>
        </row>
        <row r="34">
          <cell r="A34">
            <v>203</v>
          </cell>
          <cell r="B34">
            <v>1</v>
          </cell>
          <cell r="C34">
            <v>13.037000000000001</v>
          </cell>
          <cell r="D34">
            <v>29.7</v>
          </cell>
          <cell r="E34">
            <v>30.3</v>
          </cell>
          <cell r="F34">
            <v>30.2</v>
          </cell>
          <cell r="G34">
            <v>30.1</v>
          </cell>
          <cell r="H34">
            <v>30</v>
          </cell>
          <cell r="I34">
            <v>29.9</v>
          </cell>
          <cell r="J34">
            <v>29.8</v>
          </cell>
          <cell r="K34">
            <v>30.3</v>
          </cell>
          <cell r="L34">
            <v>30.1</v>
          </cell>
          <cell r="M34">
            <v>30</v>
          </cell>
          <cell r="N34">
            <v>30.5</v>
          </cell>
          <cell r="O34">
            <v>30</v>
          </cell>
        </row>
        <row r="35">
          <cell r="A35">
            <v>203</v>
          </cell>
          <cell r="B35">
            <v>2</v>
          </cell>
          <cell r="C35">
            <v>13.042</v>
          </cell>
          <cell r="D35">
            <v>31.1</v>
          </cell>
          <cell r="E35">
            <v>28.7</v>
          </cell>
          <cell r="F35">
            <v>29.9</v>
          </cell>
          <cell r="G35">
            <v>31.6</v>
          </cell>
          <cell r="H35">
            <v>30.1</v>
          </cell>
          <cell r="I35">
            <v>29.8</v>
          </cell>
          <cell r="J35">
            <v>30.6</v>
          </cell>
          <cell r="K35">
            <v>30.7</v>
          </cell>
          <cell r="L35">
            <v>29.4</v>
          </cell>
          <cell r="M35">
            <v>32</v>
          </cell>
          <cell r="N35">
            <v>30.6</v>
          </cell>
          <cell r="O35">
            <v>31.6</v>
          </cell>
        </row>
        <row r="36">
          <cell r="A36">
            <v>204</v>
          </cell>
          <cell r="B36">
            <v>1</v>
          </cell>
          <cell r="C36">
            <v>13.051</v>
          </cell>
          <cell r="D36">
            <v>30.5</v>
          </cell>
          <cell r="E36">
            <v>30.3</v>
          </cell>
          <cell r="F36">
            <v>31.9</v>
          </cell>
          <cell r="G36">
            <v>29.1</v>
          </cell>
          <cell r="H36">
            <v>29.5</v>
          </cell>
          <cell r="I36">
            <v>29.2</v>
          </cell>
          <cell r="J36">
            <v>30.4</v>
          </cell>
          <cell r="K36">
            <v>29</v>
          </cell>
          <cell r="L36">
            <v>29.3</v>
          </cell>
          <cell r="M36">
            <v>29.9</v>
          </cell>
          <cell r="N36">
            <v>30.3</v>
          </cell>
          <cell r="O36">
            <v>29.7</v>
          </cell>
        </row>
        <row r="37">
          <cell r="A37">
            <v>204</v>
          </cell>
          <cell r="B37">
            <v>2</v>
          </cell>
          <cell r="C37">
            <v>13.057</v>
          </cell>
          <cell r="D37">
            <v>33.6</v>
          </cell>
          <cell r="E37">
            <v>32.200000000000003</v>
          </cell>
          <cell r="F37">
            <v>32.799999999999997</v>
          </cell>
          <cell r="G37">
            <v>33.9</v>
          </cell>
          <cell r="H37">
            <v>32.4</v>
          </cell>
          <cell r="I37">
            <v>32.9</v>
          </cell>
          <cell r="J37">
            <v>31.9</v>
          </cell>
          <cell r="K37">
            <v>33</v>
          </cell>
          <cell r="L37">
            <v>32.4</v>
          </cell>
          <cell r="M37">
            <v>32.5</v>
          </cell>
          <cell r="N37">
            <v>30</v>
          </cell>
          <cell r="O37">
            <v>30.7</v>
          </cell>
        </row>
        <row r="38">
          <cell r="A38">
            <v>205</v>
          </cell>
          <cell r="B38">
            <v>1</v>
          </cell>
          <cell r="C38">
            <v>13.067</v>
          </cell>
          <cell r="D38">
            <v>30.1</v>
          </cell>
          <cell r="E38">
            <v>30.3</v>
          </cell>
          <cell r="F38">
            <v>29.8</v>
          </cell>
          <cell r="G38">
            <v>29.9</v>
          </cell>
          <cell r="H38">
            <v>30.1</v>
          </cell>
          <cell r="I38">
            <v>30.4</v>
          </cell>
          <cell r="J38">
            <v>31</v>
          </cell>
          <cell r="K38">
            <v>30.6</v>
          </cell>
          <cell r="L38">
            <v>30.9</v>
          </cell>
          <cell r="M38">
            <v>30.3</v>
          </cell>
          <cell r="N38">
            <v>30.9</v>
          </cell>
          <cell r="O38">
            <v>31</v>
          </cell>
        </row>
        <row r="39">
          <cell r="A39">
            <v>205</v>
          </cell>
          <cell r="B39">
            <v>2</v>
          </cell>
          <cell r="C39">
            <v>13.071999999999999</v>
          </cell>
          <cell r="D39">
            <v>31.2</v>
          </cell>
          <cell r="E39">
            <v>31.2</v>
          </cell>
          <cell r="F39">
            <v>31.6</v>
          </cell>
          <cell r="G39">
            <v>28.6</v>
          </cell>
          <cell r="H39">
            <v>30.1</v>
          </cell>
          <cell r="I39">
            <v>29.9</v>
          </cell>
          <cell r="J39">
            <v>29.1</v>
          </cell>
          <cell r="K39">
            <v>30.4</v>
          </cell>
          <cell r="L39">
            <v>30.3</v>
          </cell>
          <cell r="M39">
            <v>30.8</v>
          </cell>
          <cell r="N39">
            <v>29.3</v>
          </cell>
          <cell r="O39">
            <v>30</v>
          </cell>
        </row>
        <row r="40">
          <cell r="A40">
            <v>206</v>
          </cell>
          <cell r="B40">
            <v>1</v>
          </cell>
          <cell r="C40">
            <v>13.083</v>
          </cell>
          <cell r="D40">
            <v>29.7</v>
          </cell>
          <cell r="E40">
            <v>29.7</v>
          </cell>
          <cell r="F40">
            <v>29.9</v>
          </cell>
          <cell r="G40">
            <v>30.8</v>
          </cell>
          <cell r="H40">
            <v>31.7</v>
          </cell>
          <cell r="I40">
            <v>29.9</v>
          </cell>
          <cell r="J40">
            <v>30.3</v>
          </cell>
          <cell r="K40">
            <v>30.2</v>
          </cell>
          <cell r="L40">
            <v>30</v>
          </cell>
          <cell r="M40">
            <v>31</v>
          </cell>
          <cell r="N40">
            <v>31</v>
          </cell>
          <cell r="O40">
            <v>29.9</v>
          </cell>
        </row>
        <row r="41">
          <cell r="A41">
            <v>206</v>
          </cell>
          <cell r="B41">
            <v>2</v>
          </cell>
          <cell r="C41">
            <v>13.087999999999999</v>
          </cell>
          <cell r="D41">
            <v>28.7</v>
          </cell>
          <cell r="E41">
            <v>29.7</v>
          </cell>
          <cell r="F41">
            <v>30.6</v>
          </cell>
          <cell r="G41">
            <v>28.8</v>
          </cell>
          <cell r="H41">
            <v>31.4</v>
          </cell>
          <cell r="I41">
            <v>30.8</v>
          </cell>
          <cell r="J41">
            <v>32.299999999999997</v>
          </cell>
          <cell r="K41">
            <v>30.1</v>
          </cell>
          <cell r="L41">
            <v>31.1</v>
          </cell>
          <cell r="M41">
            <v>29.5</v>
          </cell>
          <cell r="N41">
            <v>30.8</v>
          </cell>
          <cell r="O41">
            <v>28.8</v>
          </cell>
        </row>
        <row r="42">
          <cell r="A42">
            <v>207</v>
          </cell>
          <cell r="B42">
            <v>1</v>
          </cell>
          <cell r="C42">
            <v>13.098000000000001</v>
          </cell>
          <cell r="D42">
            <v>30.2</v>
          </cell>
          <cell r="E42">
            <v>31</v>
          </cell>
          <cell r="F42">
            <v>31.5</v>
          </cell>
          <cell r="G42">
            <v>30.3</v>
          </cell>
          <cell r="H42">
            <v>30.1</v>
          </cell>
          <cell r="I42">
            <v>30.5</v>
          </cell>
          <cell r="J42">
            <v>30</v>
          </cell>
          <cell r="K42">
            <v>29.7</v>
          </cell>
          <cell r="L42">
            <v>30.2</v>
          </cell>
          <cell r="M42">
            <v>30.8</v>
          </cell>
          <cell r="N42">
            <v>30.2</v>
          </cell>
          <cell r="O42">
            <v>30.6</v>
          </cell>
        </row>
        <row r="43">
          <cell r="A43">
            <v>207</v>
          </cell>
          <cell r="B43">
            <v>2</v>
          </cell>
          <cell r="C43">
            <v>13.103999999999999</v>
          </cell>
          <cell r="D43">
            <v>30.8</v>
          </cell>
          <cell r="E43">
            <v>28.6</v>
          </cell>
          <cell r="F43">
            <v>29</v>
          </cell>
          <cell r="G43">
            <v>28.3</v>
          </cell>
          <cell r="H43">
            <v>30.6</v>
          </cell>
          <cell r="I43">
            <v>31.3</v>
          </cell>
          <cell r="J43">
            <v>30.8</v>
          </cell>
          <cell r="K43">
            <v>30.7</v>
          </cell>
          <cell r="L43">
            <v>29.3</v>
          </cell>
          <cell r="M43">
            <v>29.3</v>
          </cell>
          <cell r="N43">
            <v>29.6</v>
          </cell>
          <cell r="O43">
            <v>30.9</v>
          </cell>
        </row>
        <row r="44">
          <cell r="A44">
            <v>208</v>
          </cell>
          <cell r="B44">
            <v>1</v>
          </cell>
          <cell r="C44">
            <v>13.113</v>
          </cell>
          <cell r="D44">
            <v>32</v>
          </cell>
          <cell r="E44">
            <v>31.2</v>
          </cell>
          <cell r="F44">
            <v>29.9</v>
          </cell>
          <cell r="G44">
            <v>30.5</v>
          </cell>
          <cell r="H44">
            <v>30.5</v>
          </cell>
          <cell r="I44">
            <v>31</v>
          </cell>
          <cell r="J44">
            <v>31.4</v>
          </cell>
          <cell r="K44">
            <v>31.3</v>
          </cell>
          <cell r="L44">
            <v>31.2</v>
          </cell>
          <cell r="M44">
            <v>31.4</v>
          </cell>
          <cell r="N44">
            <v>30.6</v>
          </cell>
          <cell r="O44">
            <v>29.8</v>
          </cell>
        </row>
        <row r="45">
          <cell r="A45">
            <v>208</v>
          </cell>
          <cell r="B45">
            <v>2</v>
          </cell>
          <cell r="C45">
            <v>13.119</v>
          </cell>
          <cell r="D45">
            <v>31</v>
          </cell>
          <cell r="E45">
            <v>31.7</v>
          </cell>
          <cell r="F45">
            <v>29.6</v>
          </cell>
          <cell r="G45">
            <v>31.6</v>
          </cell>
          <cell r="H45">
            <v>31.2</v>
          </cell>
          <cell r="I45">
            <v>32</v>
          </cell>
          <cell r="J45">
            <v>30</v>
          </cell>
          <cell r="K45">
            <v>29.4</v>
          </cell>
          <cell r="L45">
            <v>29.6</v>
          </cell>
          <cell r="M45">
            <v>30.5</v>
          </cell>
          <cell r="N45">
            <v>31.3</v>
          </cell>
          <cell r="O45">
            <v>32.1</v>
          </cell>
        </row>
        <row r="46">
          <cell r="A46">
            <v>908</v>
          </cell>
          <cell r="B46">
            <v>1</v>
          </cell>
          <cell r="C46">
            <v>13.134</v>
          </cell>
          <cell r="D46">
            <v>55.9</v>
          </cell>
          <cell r="E46">
            <v>45.8</v>
          </cell>
          <cell r="F46">
            <v>52.9</v>
          </cell>
          <cell r="G46">
            <v>41.5</v>
          </cell>
          <cell r="H46">
            <v>52.9</v>
          </cell>
          <cell r="I46">
            <v>39.4</v>
          </cell>
          <cell r="J46">
            <v>48.8</v>
          </cell>
          <cell r="K46">
            <v>40.299999999999997</v>
          </cell>
          <cell r="L46">
            <v>44.8</v>
          </cell>
          <cell r="M46">
            <v>44.1</v>
          </cell>
          <cell r="N46">
            <v>50</v>
          </cell>
          <cell r="O46">
            <v>45.2</v>
          </cell>
        </row>
        <row r="47">
          <cell r="A47">
            <v>908</v>
          </cell>
          <cell r="B47">
            <v>2</v>
          </cell>
          <cell r="C47">
            <v>13.138999999999999</v>
          </cell>
          <cell r="D47">
            <v>44</v>
          </cell>
          <cell r="E47">
            <v>40.9</v>
          </cell>
          <cell r="F47">
            <v>39.9</v>
          </cell>
          <cell r="G47">
            <v>43.7</v>
          </cell>
          <cell r="H47">
            <v>41.2</v>
          </cell>
          <cell r="I47">
            <v>39</v>
          </cell>
          <cell r="J47">
            <v>44.4</v>
          </cell>
          <cell r="K47">
            <v>38.200000000000003</v>
          </cell>
          <cell r="L47">
            <v>40.799999999999997</v>
          </cell>
          <cell r="M47">
            <v>37.9</v>
          </cell>
          <cell r="N47">
            <v>43.7</v>
          </cell>
          <cell r="O47">
            <v>37.299999999999997</v>
          </cell>
        </row>
        <row r="48">
          <cell r="A48">
            <v>907</v>
          </cell>
          <cell r="B48">
            <v>1</v>
          </cell>
          <cell r="C48">
            <v>13.148999999999999</v>
          </cell>
          <cell r="D48">
            <v>58.5</v>
          </cell>
          <cell r="E48">
            <v>58.8</v>
          </cell>
          <cell r="F48">
            <v>59.4</v>
          </cell>
          <cell r="G48">
            <v>58.8</v>
          </cell>
          <cell r="H48">
            <v>58.6</v>
          </cell>
          <cell r="I48">
            <v>58.8</v>
          </cell>
          <cell r="J48">
            <v>58.7</v>
          </cell>
          <cell r="K48">
            <v>59</v>
          </cell>
          <cell r="L48">
            <v>58.2</v>
          </cell>
          <cell r="M48">
            <v>58.9</v>
          </cell>
          <cell r="N48">
            <v>59.7</v>
          </cell>
          <cell r="O48">
            <v>60.4</v>
          </cell>
        </row>
        <row r="50">
          <cell r="A50">
            <v>906</v>
          </cell>
          <cell r="B50">
            <v>1</v>
          </cell>
          <cell r="C50">
            <v>13.154999999999999</v>
          </cell>
          <cell r="D50">
            <v>40.700000000000003</v>
          </cell>
          <cell r="E50">
            <v>35.5</v>
          </cell>
          <cell r="F50">
            <v>38.6</v>
          </cell>
          <cell r="G50">
            <v>38.4</v>
          </cell>
          <cell r="H50">
            <v>39.9</v>
          </cell>
          <cell r="I50">
            <v>37.9</v>
          </cell>
          <cell r="J50">
            <v>39.799999999999997</v>
          </cell>
          <cell r="K50">
            <v>37.5</v>
          </cell>
          <cell r="L50">
            <v>40.700000000000003</v>
          </cell>
          <cell r="M50">
            <v>37.9</v>
          </cell>
          <cell r="N50">
            <v>43.9</v>
          </cell>
          <cell r="O50">
            <v>36.700000000000003</v>
          </cell>
        </row>
        <row r="51">
          <cell r="A51">
            <v>906</v>
          </cell>
          <cell r="B51">
            <v>2</v>
          </cell>
          <cell r="C51">
            <v>13.16</v>
          </cell>
          <cell r="D51">
            <v>34.700000000000003</v>
          </cell>
          <cell r="E51">
            <v>36.1</v>
          </cell>
          <cell r="F51">
            <v>34.1</v>
          </cell>
          <cell r="G51">
            <v>36</v>
          </cell>
          <cell r="H51">
            <v>33</v>
          </cell>
          <cell r="I51">
            <v>35.9</v>
          </cell>
          <cell r="J51">
            <v>31.6</v>
          </cell>
          <cell r="K51">
            <v>37.700000000000003</v>
          </cell>
          <cell r="L51">
            <v>35.1</v>
          </cell>
          <cell r="M51">
            <v>33.6</v>
          </cell>
          <cell r="N51">
            <v>33.4</v>
          </cell>
          <cell r="O51">
            <v>31.3</v>
          </cell>
        </row>
        <row r="52">
          <cell r="A52">
            <v>905</v>
          </cell>
          <cell r="B52">
            <v>1</v>
          </cell>
          <cell r="C52">
            <v>13.167999999999999</v>
          </cell>
          <cell r="D52">
            <v>39.299999999999997</v>
          </cell>
          <cell r="E52">
            <v>39.6</v>
          </cell>
          <cell r="F52">
            <v>39.299999999999997</v>
          </cell>
          <cell r="G52">
            <v>39.299999999999997</v>
          </cell>
          <cell r="H52">
            <v>39.200000000000003</v>
          </cell>
          <cell r="I52">
            <v>39.700000000000003</v>
          </cell>
          <cell r="J52">
            <v>39.9</v>
          </cell>
          <cell r="K52">
            <v>39.200000000000003</v>
          </cell>
          <cell r="L52">
            <v>39.4</v>
          </cell>
          <cell r="M52">
            <v>39.5</v>
          </cell>
          <cell r="N52">
            <v>39.1</v>
          </cell>
          <cell r="O52">
            <v>39.299999999999997</v>
          </cell>
        </row>
        <row r="54">
          <cell r="A54">
            <v>904</v>
          </cell>
          <cell r="B54">
            <v>1</v>
          </cell>
          <cell r="C54">
            <v>13.175000000000001</v>
          </cell>
          <cell r="D54">
            <v>57</v>
          </cell>
          <cell r="E54">
            <v>43.3</v>
          </cell>
          <cell r="F54">
            <v>51.7</v>
          </cell>
          <cell r="G54">
            <v>40.5</v>
          </cell>
          <cell r="H54">
            <v>55.7</v>
          </cell>
          <cell r="I54">
            <v>40.9</v>
          </cell>
          <cell r="J54">
            <v>54.7</v>
          </cell>
          <cell r="K54">
            <v>42.1</v>
          </cell>
          <cell r="L54">
            <v>56</v>
          </cell>
          <cell r="M54">
            <v>41</v>
          </cell>
          <cell r="N54">
            <v>55.5</v>
          </cell>
          <cell r="O54">
            <v>42</v>
          </cell>
        </row>
        <row r="55">
          <cell r="A55">
            <v>904</v>
          </cell>
          <cell r="B55">
            <v>2</v>
          </cell>
          <cell r="C55">
            <v>13.179</v>
          </cell>
          <cell r="D55">
            <v>39.1</v>
          </cell>
          <cell r="E55">
            <v>41.9</v>
          </cell>
          <cell r="F55">
            <v>41.1</v>
          </cell>
          <cell r="G55">
            <v>36.4</v>
          </cell>
          <cell r="H55">
            <v>39.799999999999997</v>
          </cell>
          <cell r="I55">
            <v>42.7</v>
          </cell>
          <cell r="J55">
            <v>39.5</v>
          </cell>
          <cell r="K55">
            <v>41.5</v>
          </cell>
          <cell r="L55">
            <v>38.200000000000003</v>
          </cell>
          <cell r="M55">
            <v>39.1</v>
          </cell>
          <cell r="N55">
            <v>44</v>
          </cell>
          <cell r="O55">
            <v>40</v>
          </cell>
        </row>
        <row r="56">
          <cell r="A56">
            <v>903</v>
          </cell>
          <cell r="B56">
            <v>1</v>
          </cell>
          <cell r="C56">
            <v>13.19</v>
          </cell>
          <cell r="D56">
            <v>56.9</v>
          </cell>
          <cell r="E56">
            <v>58.3</v>
          </cell>
          <cell r="F56">
            <v>60.4</v>
          </cell>
          <cell r="G56">
            <v>59.4</v>
          </cell>
          <cell r="H56">
            <v>60.8</v>
          </cell>
          <cell r="I56">
            <v>60.8</v>
          </cell>
          <cell r="J56">
            <v>60.2</v>
          </cell>
          <cell r="K56">
            <v>59.7</v>
          </cell>
          <cell r="L56">
            <v>59.6</v>
          </cell>
          <cell r="M56">
            <v>59.5</v>
          </cell>
          <cell r="N56">
            <v>59.6</v>
          </cell>
          <cell r="O56">
            <v>59.9</v>
          </cell>
        </row>
        <row r="58">
          <cell r="A58">
            <v>902</v>
          </cell>
          <cell r="B58">
            <v>1</v>
          </cell>
          <cell r="C58">
            <v>13.196</v>
          </cell>
          <cell r="D58">
            <v>44.4</v>
          </cell>
          <cell r="E58">
            <v>41</v>
          </cell>
          <cell r="F58">
            <v>44.4</v>
          </cell>
          <cell r="G58">
            <v>40.9</v>
          </cell>
          <cell r="H58">
            <v>40.700000000000003</v>
          </cell>
          <cell r="I58">
            <v>39.5</v>
          </cell>
          <cell r="J58">
            <v>48</v>
          </cell>
          <cell r="K58">
            <v>38.9</v>
          </cell>
          <cell r="L58">
            <v>41.2</v>
          </cell>
          <cell r="M58">
            <v>39.1</v>
          </cell>
          <cell r="N58">
            <v>42.8</v>
          </cell>
          <cell r="O58">
            <v>38.299999999999997</v>
          </cell>
        </row>
        <row r="59">
          <cell r="A59">
            <v>902</v>
          </cell>
          <cell r="B59">
            <v>2</v>
          </cell>
          <cell r="C59">
            <v>13.201000000000001</v>
          </cell>
          <cell r="D59">
            <v>32.1</v>
          </cell>
          <cell r="E59">
            <v>34.5</v>
          </cell>
          <cell r="F59">
            <v>33.1</v>
          </cell>
          <cell r="G59">
            <v>35.200000000000003</v>
          </cell>
          <cell r="H59">
            <v>33.299999999999997</v>
          </cell>
          <cell r="I59">
            <v>32.9</v>
          </cell>
          <cell r="J59">
            <v>32.299999999999997</v>
          </cell>
          <cell r="K59">
            <v>36.4</v>
          </cell>
          <cell r="L59">
            <v>31.9</v>
          </cell>
          <cell r="M59">
            <v>33.5</v>
          </cell>
          <cell r="N59">
            <v>30.8</v>
          </cell>
          <cell r="O59">
            <v>34.1</v>
          </cell>
        </row>
        <row r="60">
          <cell r="A60">
            <v>901</v>
          </cell>
          <cell r="B60">
            <v>1</v>
          </cell>
          <cell r="C60">
            <v>13.21</v>
          </cell>
          <cell r="D60">
            <v>56.4</v>
          </cell>
          <cell r="E60">
            <v>55.8</v>
          </cell>
          <cell r="F60">
            <v>54.6</v>
          </cell>
          <cell r="G60">
            <v>54.5</v>
          </cell>
          <cell r="H60">
            <v>56.1</v>
          </cell>
          <cell r="I60">
            <v>54.4</v>
          </cell>
          <cell r="J60">
            <v>54.1</v>
          </cell>
          <cell r="K60">
            <v>54.8</v>
          </cell>
          <cell r="L60">
            <v>54.3</v>
          </cell>
          <cell r="M60">
            <v>54.9</v>
          </cell>
          <cell r="N60">
            <v>55.5</v>
          </cell>
          <cell r="O60">
            <v>56</v>
          </cell>
        </row>
        <row r="62">
          <cell r="A62">
            <v>301</v>
          </cell>
          <cell r="B62">
            <v>1</v>
          </cell>
          <cell r="C62">
            <v>13.218999999999999</v>
          </cell>
          <cell r="D62">
            <v>31.1</v>
          </cell>
          <cell r="E62">
            <v>30.6</v>
          </cell>
          <cell r="F62">
            <v>30.8</v>
          </cell>
          <cell r="G62">
            <v>31.5</v>
          </cell>
          <cell r="H62">
            <v>30</v>
          </cell>
          <cell r="I62">
            <v>31.1</v>
          </cell>
          <cell r="J62">
            <v>31.1</v>
          </cell>
          <cell r="K62">
            <v>30.8</v>
          </cell>
          <cell r="L62">
            <v>30.4</v>
          </cell>
          <cell r="M62">
            <v>31.6</v>
          </cell>
          <cell r="N62">
            <v>32.200000000000003</v>
          </cell>
          <cell r="O62">
            <v>32</v>
          </cell>
        </row>
        <row r="63">
          <cell r="A63">
            <v>301</v>
          </cell>
          <cell r="B63">
            <v>2</v>
          </cell>
          <cell r="C63">
            <v>13.224</v>
          </cell>
          <cell r="D63">
            <v>30.2</v>
          </cell>
          <cell r="E63">
            <v>30.7</v>
          </cell>
          <cell r="F63">
            <v>30.3</v>
          </cell>
          <cell r="G63">
            <v>29</v>
          </cell>
          <cell r="H63">
            <v>29.2</v>
          </cell>
          <cell r="I63">
            <v>29.8</v>
          </cell>
          <cell r="J63">
            <v>33.6</v>
          </cell>
          <cell r="K63">
            <v>30.4</v>
          </cell>
          <cell r="L63">
            <v>29.3</v>
          </cell>
          <cell r="M63">
            <v>30.6</v>
          </cell>
          <cell r="N63">
            <v>29.9</v>
          </cell>
          <cell r="O63">
            <v>30.3</v>
          </cell>
        </row>
        <row r="64">
          <cell r="A64">
            <v>302</v>
          </cell>
          <cell r="B64">
            <v>1</v>
          </cell>
          <cell r="C64">
            <v>13.236000000000001</v>
          </cell>
          <cell r="D64">
            <v>30.5</v>
          </cell>
          <cell r="E64">
            <v>30.8</v>
          </cell>
          <cell r="F64">
            <v>32.200000000000003</v>
          </cell>
          <cell r="G64">
            <v>30.9</v>
          </cell>
          <cell r="H64">
            <v>31.1</v>
          </cell>
          <cell r="I64">
            <v>31</v>
          </cell>
          <cell r="J64">
            <v>30.5</v>
          </cell>
          <cell r="K64">
            <v>30.9</v>
          </cell>
          <cell r="L64">
            <v>30.2</v>
          </cell>
          <cell r="M64">
            <v>30.5</v>
          </cell>
          <cell r="N64">
            <v>29.6</v>
          </cell>
          <cell r="O64">
            <v>31.4</v>
          </cell>
        </row>
        <row r="65">
          <cell r="A65">
            <v>302</v>
          </cell>
          <cell r="B65">
            <v>2</v>
          </cell>
          <cell r="C65">
            <v>13.241</v>
          </cell>
          <cell r="D65">
            <v>30.8</v>
          </cell>
          <cell r="E65">
            <v>33.5</v>
          </cell>
          <cell r="F65">
            <v>30.6</v>
          </cell>
          <cell r="G65">
            <v>30.5</v>
          </cell>
          <cell r="H65">
            <v>31.5</v>
          </cell>
          <cell r="I65">
            <v>32.200000000000003</v>
          </cell>
          <cell r="J65">
            <v>32.6</v>
          </cell>
          <cell r="K65">
            <v>30.8</v>
          </cell>
          <cell r="L65">
            <v>32.799999999999997</v>
          </cell>
          <cell r="M65">
            <v>32</v>
          </cell>
          <cell r="N65">
            <v>33.5</v>
          </cell>
          <cell r="O65">
            <v>31.7</v>
          </cell>
        </row>
        <row r="66">
          <cell r="A66">
            <v>303</v>
          </cell>
          <cell r="B66">
            <v>1</v>
          </cell>
          <cell r="C66">
            <v>13.25</v>
          </cell>
          <cell r="D66">
            <v>30.9</v>
          </cell>
          <cell r="E66">
            <v>30.9</v>
          </cell>
          <cell r="F66">
            <v>30.2</v>
          </cell>
          <cell r="G66">
            <v>30.6</v>
          </cell>
          <cell r="H66">
            <v>29.8</v>
          </cell>
          <cell r="I66">
            <v>30.7</v>
          </cell>
          <cell r="J66">
            <v>31.9</v>
          </cell>
          <cell r="K66">
            <v>32.5</v>
          </cell>
          <cell r="L66">
            <v>31.1</v>
          </cell>
          <cell r="M66">
            <v>30.3</v>
          </cell>
          <cell r="N66">
            <v>30.9</v>
          </cell>
          <cell r="O66">
            <v>31</v>
          </cell>
        </row>
        <row r="67">
          <cell r="A67">
            <v>303</v>
          </cell>
          <cell r="B67">
            <v>2</v>
          </cell>
          <cell r="C67">
            <v>13.26</v>
          </cell>
          <cell r="D67">
            <v>31.4</v>
          </cell>
          <cell r="E67">
            <v>32.9</v>
          </cell>
          <cell r="F67">
            <v>34.299999999999997</v>
          </cell>
          <cell r="G67">
            <v>30.8</v>
          </cell>
          <cell r="H67">
            <v>31.5</v>
          </cell>
          <cell r="I67">
            <v>32.6</v>
          </cell>
          <cell r="J67">
            <v>33</v>
          </cell>
          <cell r="K67">
            <v>36.700000000000003</v>
          </cell>
          <cell r="L67">
            <v>31.5</v>
          </cell>
          <cell r="M67">
            <v>31.7</v>
          </cell>
          <cell r="N67">
            <v>32.6</v>
          </cell>
          <cell r="O67">
            <v>32.6</v>
          </cell>
        </row>
        <row r="68">
          <cell r="A68">
            <v>304</v>
          </cell>
          <cell r="B68">
            <v>1</v>
          </cell>
          <cell r="C68">
            <v>13.27</v>
          </cell>
          <cell r="D68">
            <v>32.5</v>
          </cell>
          <cell r="E68">
            <v>32.5</v>
          </cell>
          <cell r="F68">
            <v>32.200000000000003</v>
          </cell>
          <cell r="G68">
            <v>32</v>
          </cell>
          <cell r="H68">
            <v>32.200000000000003</v>
          </cell>
          <cell r="I68">
            <v>33.299999999999997</v>
          </cell>
          <cell r="J68">
            <v>32</v>
          </cell>
          <cell r="K68">
            <v>32.799999999999997</v>
          </cell>
          <cell r="L68">
            <v>32.799999999999997</v>
          </cell>
          <cell r="M68">
            <v>31.8</v>
          </cell>
          <cell r="N68">
            <v>32.5</v>
          </cell>
          <cell r="O68">
            <v>32.4</v>
          </cell>
        </row>
        <row r="69">
          <cell r="A69">
            <v>304</v>
          </cell>
          <cell r="B69">
            <v>2</v>
          </cell>
          <cell r="C69">
            <v>13.275</v>
          </cell>
          <cell r="D69">
            <v>31.3</v>
          </cell>
          <cell r="E69">
            <v>31.4</v>
          </cell>
          <cell r="F69">
            <v>31.6</v>
          </cell>
          <cell r="G69">
            <v>33.4</v>
          </cell>
          <cell r="H69">
            <v>33.700000000000003</v>
          </cell>
          <cell r="I69">
            <v>30.3</v>
          </cell>
          <cell r="J69">
            <v>29.9</v>
          </cell>
          <cell r="K69">
            <v>30.5</v>
          </cell>
          <cell r="L69">
            <v>31.6</v>
          </cell>
          <cell r="M69">
            <v>29.2</v>
          </cell>
          <cell r="N69">
            <v>30.9</v>
          </cell>
          <cell r="O69">
            <v>31.2</v>
          </cell>
        </row>
        <row r="70">
          <cell r="A70">
            <v>305</v>
          </cell>
          <cell r="B70">
            <v>1</v>
          </cell>
          <cell r="C70">
            <v>13.285</v>
          </cell>
          <cell r="D70">
            <v>30.8</v>
          </cell>
          <cell r="E70">
            <v>30.7</v>
          </cell>
          <cell r="F70">
            <v>30.4</v>
          </cell>
          <cell r="G70">
            <v>30.4</v>
          </cell>
          <cell r="H70">
            <v>30.7</v>
          </cell>
          <cell r="I70">
            <v>31.2</v>
          </cell>
          <cell r="J70">
            <v>29.8</v>
          </cell>
          <cell r="K70">
            <v>29.9</v>
          </cell>
          <cell r="L70">
            <v>29.3</v>
          </cell>
          <cell r="M70">
            <v>30.9</v>
          </cell>
          <cell r="N70">
            <v>30.8</v>
          </cell>
          <cell r="O70">
            <v>29.8</v>
          </cell>
        </row>
        <row r="71">
          <cell r="A71">
            <v>305</v>
          </cell>
          <cell r="B71">
            <v>2</v>
          </cell>
          <cell r="C71">
            <v>13.29</v>
          </cell>
          <cell r="D71">
            <v>29.8</v>
          </cell>
          <cell r="E71">
            <v>30.1</v>
          </cell>
          <cell r="F71">
            <v>31.8</v>
          </cell>
          <cell r="G71">
            <v>30.5</v>
          </cell>
          <cell r="H71">
            <v>29.7</v>
          </cell>
          <cell r="I71">
            <v>31.1</v>
          </cell>
          <cell r="J71">
            <v>33.1</v>
          </cell>
          <cell r="K71">
            <v>31.1</v>
          </cell>
          <cell r="L71">
            <v>34</v>
          </cell>
          <cell r="M71">
            <v>32.299999999999997</v>
          </cell>
          <cell r="N71">
            <v>32.9</v>
          </cell>
          <cell r="O71">
            <v>31.8</v>
          </cell>
        </row>
        <row r="72">
          <cell r="A72">
            <v>306</v>
          </cell>
          <cell r="B72">
            <v>1</v>
          </cell>
          <cell r="C72">
            <v>13.298999999999999</v>
          </cell>
          <cell r="D72">
            <v>32</v>
          </cell>
          <cell r="E72">
            <v>31.4</v>
          </cell>
          <cell r="F72">
            <v>32.299999999999997</v>
          </cell>
          <cell r="G72">
            <v>30.6</v>
          </cell>
          <cell r="H72">
            <v>33.299999999999997</v>
          </cell>
          <cell r="I72">
            <v>31.5</v>
          </cell>
          <cell r="J72">
            <v>33</v>
          </cell>
          <cell r="K72">
            <v>31.8</v>
          </cell>
          <cell r="L72">
            <v>32</v>
          </cell>
          <cell r="M72">
            <v>31.6</v>
          </cell>
          <cell r="N72">
            <v>30.8</v>
          </cell>
          <cell r="O72">
            <v>31.3</v>
          </cell>
        </row>
        <row r="73">
          <cell r="A73">
            <v>306</v>
          </cell>
          <cell r="B73">
            <v>2</v>
          </cell>
          <cell r="C73">
            <v>13.304</v>
          </cell>
          <cell r="D73">
            <v>32.200000000000003</v>
          </cell>
          <cell r="E73">
            <v>33.5</v>
          </cell>
          <cell r="F73">
            <v>31.5</v>
          </cell>
          <cell r="G73">
            <v>31.3</v>
          </cell>
          <cell r="H73">
            <v>35.700000000000003</v>
          </cell>
          <cell r="I73">
            <v>31.6</v>
          </cell>
          <cell r="J73">
            <v>36.5</v>
          </cell>
          <cell r="K73">
            <v>32</v>
          </cell>
          <cell r="L73">
            <v>32.6</v>
          </cell>
          <cell r="M73">
            <v>32.6</v>
          </cell>
          <cell r="N73">
            <v>33.5</v>
          </cell>
          <cell r="O73">
            <v>32.299999999999997</v>
          </cell>
        </row>
        <row r="74">
          <cell r="A74">
            <v>307</v>
          </cell>
          <cell r="B74">
            <v>1</v>
          </cell>
          <cell r="C74">
            <v>13.314</v>
          </cell>
          <cell r="D74">
            <v>31.3</v>
          </cell>
          <cell r="E74">
            <v>30.9</v>
          </cell>
          <cell r="F74">
            <v>30.8</v>
          </cell>
          <cell r="G74">
            <v>31.8</v>
          </cell>
          <cell r="H74">
            <v>30.8</v>
          </cell>
          <cell r="I74">
            <v>31.8</v>
          </cell>
          <cell r="J74">
            <v>31.7</v>
          </cell>
          <cell r="K74">
            <v>32</v>
          </cell>
          <cell r="L74">
            <v>30.7</v>
          </cell>
          <cell r="M74">
            <v>30.9</v>
          </cell>
          <cell r="N74">
            <v>30.6</v>
          </cell>
          <cell r="O74">
            <v>30.6</v>
          </cell>
        </row>
        <row r="75">
          <cell r="A75">
            <v>307</v>
          </cell>
          <cell r="B75">
            <v>2</v>
          </cell>
          <cell r="C75">
            <v>13.319000000000001</v>
          </cell>
          <cell r="D75">
            <v>32.9</v>
          </cell>
          <cell r="E75">
            <v>33.200000000000003</v>
          </cell>
          <cell r="F75">
            <v>32</v>
          </cell>
          <cell r="G75">
            <v>30.9</v>
          </cell>
          <cell r="H75">
            <v>34.200000000000003</v>
          </cell>
          <cell r="I75">
            <v>33.1</v>
          </cell>
          <cell r="J75">
            <v>35.200000000000003</v>
          </cell>
          <cell r="K75">
            <v>31.6</v>
          </cell>
          <cell r="L75">
            <v>31.6</v>
          </cell>
          <cell r="M75">
            <v>32.5</v>
          </cell>
          <cell r="N75">
            <v>33.4</v>
          </cell>
          <cell r="O75">
            <v>32.700000000000003</v>
          </cell>
        </row>
        <row r="76">
          <cell r="A76">
            <v>308</v>
          </cell>
          <cell r="B76">
            <v>1</v>
          </cell>
          <cell r="C76">
            <v>13.329000000000001</v>
          </cell>
          <cell r="D76">
            <v>31.5</v>
          </cell>
          <cell r="E76">
            <v>31.5</v>
          </cell>
          <cell r="F76">
            <v>31</v>
          </cell>
          <cell r="G76">
            <v>30.5</v>
          </cell>
          <cell r="H76">
            <v>30.7</v>
          </cell>
          <cell r="I76">
            <v>30.7</v>
          </cell>
          <cell r="J76">
            <v>31.6</v>
          </cell>
          <cell r="K76">
            <v>30.5</v>
          </cell>
          <cell r="L76">
            <v>31</v>
          </cell>
          <cell r="M76">
            <v>31.8</v>
          </cell>
          <cell r="N76">
            <v>31.9</v>
          </cell>
          <cell r="O76">
            <v>33.700000000000003</v>
          </cell>
        </row>
        <row r="77">
          <cell r="A77">
            <v>308</v>
          </cell>
          <cell r="B77">
            <v>2</v>
          </cell>
          <cell r="C77">
            <v>13.334</v>
          </cell>
          <cell r="D77">
            <v>33.700000000000003</v>
          </cell>
          <cell r="E77">
            <v>31.9</v>
          </cell>
          <cell r="F77">
            <v>32.799999999999997</v>
          </cell>
          <cell r="G77">
            <v>33.4</v>
          </cell>
          <cell r="H77">
            <v>34.5</v>
          </cell>
          <cell r="I77">
            <v>33.299999999999997</v>
          </cell>
          <cell r="J77">
            <v>33.4</v>
          </cell>
          <cell r="K77">
            <v>30.7</v>
          </cell>
          <cell r="L77">
            <v>32.6</v>
          </cell>
          <cell r="M77">
            <v>33.5</v>
          </cell>
          <cell r="N77">
            <v>33.9</v>
          </cell>
          <cell r="O77">
            <v>31.9</v>
          </cell>
        </row>
        <row r="78">
          <cell r="A78">
            <v>408</v>
          </cell>
          <cell r="B78">
            <v>1</v>
          </cell>
          <cell r="C78">
            <v>13.369</v>
          </cell>
          <cell r="D78">
            <v>32</v>
          </cell>
          <cell r="E78">
            <v>32.200000000000003</v>
          </cell>
          <cell r="F78">
            <v>31.5</v>
          </cell>
          <cell r="G78">
            <v>30.6</v>
          </cell>
          <cell r="H78">
            <v>31.4</v>
          </cell>
          <cell r="I78">
            <v>31.2</v>
          </cell>
          <cell r="J78">
            <v>30.9</v>
          </cell>
          <cell r="K78">
            <v>30.9</v>
          </cell>
          <cell r="L78">
            <v>31.3</v>
          </cell>
          <cell r="M78">
            <v>31</v>
          </cell>
          <cell r="N78">
            <v>30.2</v>
          </cell>
          <cell r="O78">
            <v>30.6</v>
          </cell>
        </row>
        <row r="79">
          <cell r="A79">
            <v>408</v>
          </cell>
          <cell r="B79">
            <v>2</v>
          </cell>
          <cell r="C79">
            <v>13.374000000000001</v>
          </cell>
          <cell r="D79">
            <v>29.4</v>
          </cell>
          <cell r="E79">
            <v>30.5</v>
          </cell>
          <cell r="F79">
            <v>31.9</v>
          </cell>
          <cell r="G79">
            <v>31.4</v>
          </cell>
          <cell r="H79">
            <v>31.2</v>
          </cell>
          <cell r="I79">
            <v>33</v>
          </cell>
          <cell r="J79">
            <v>31.8</v>
          </cell>
          <cell r="K79">
            <v>31.7</v>
          </cell>
          <cell r="L79">
            <v>31.2</v>
          </cell>
          <cell r="M79">
            <v>32.6</v>
          </cell>
          <cell r="N79">
            <v>32.5</v>
          </cell>
          <cell r="O79">
            <v>31.3</v>
          </cell>
        </row>
        <row r="80">
          <cell r="A80">
            <v>407</v>
          </cell>
          <cell r="B80">
            <v>1</v>
          </cell>
          <cell r="C80">
            <v>13.382999999999999</v>
          </cell>
          <cell r="D80">
            <v>31</v>
          </cell>
          <cell r="E80">
            <v>31.1</v>
          </cell>
          <cell r="F80">
            <v>31.2</v>
          </cell>
          <cell r="G80">
            <v>31.2</v>
          </cell>
          <cell r="H80">
            <v>31</v>
          </cell>
          <cell r="I80">
            <v>32.5</v>
          </cell>
          <cell r="J80">
            <v>32.4</v>
          </cell>
          <cell r="K80">
            <v>32.9</v>
          </cell>
          <cell r="L80">
            <v>32.700000000000003</v>
          </cell>
          <cell r="M80">
            <v>31.7</v>
          </cell>
          <cell r="N80">
            <v>30.5</v>
          </cell>
          <cell r="O80">
            <v>31.5</v>
          </cell>
        </row>
        <row r="81">
          <cell r="A81">
            <v>407</v>
          </cell>
          <cell r="B81">
            <v>2</v>
          </cell>
          <cell r="C81">
            <v>13.387</v>
          </cell>
          <cell r="D81">
            <v>31.5</v>
          </cell>
          <cell r="E81">
            <v>31.4</v>
          </cell>
          <cell r="F81">
            <v>29.7</v>
          </cell>
          <cell r="G81">
            <v>31.8</v>
          </cell>
          <cell r="H81">
            <v>32.799999999999997</v>
          </cell>
          <cell r="I81">
            <v>34.1</v>
          </cell>
          <cell r="J81">
            <v>34.299999999999997</v>
          </cell>
          <cell r="K81">
            <v>32.5</v>
          </cell>
          <cell r="L81">
            <v>30.8</v>
          </cell>
          <cell r="M81">
            <v>31.7</v>
          </cell>
          <cell r="N81">
            <v>31</v>
          </cell>
          <cell r="O81">
            <v>33.200000000000003</v>
          </cell>
        </row>
        <row r="82">
          <cell r="A82">
            <v>406</v>
          </cell>
          <cell r="B82">
            <v>1</v>
          </cell>
          <cell r="C82">
            <v>13.398999999999999</v>
          </cell>
          <cell r="D82">
            <v>32.1</v>
          </cell>
          <cell r="E82">
            <v>32.6</v>
          </cell>
          <cell r="F82">
            <v>32.299999999999997</v>
          </cell>
          <cell r="G82">
            <v>31.9</v>
          </cell>
          <cell r="H82">
            <v>31.8</v>
          </cell>
          <cell r="I82">
            <v>31.2</v>
          </cell>
          <cell r="J82">
            <v>30.3</v>
          </cell>
          <cell r="K82">
            <v>31.1</v>
          </cell>
          <cell r="L82">
            <v>30.7</v>
          </cell>
          <cell r="M82">
            <v>31</v>
          </cell>
          <cell r="N82">
            <v>31.1</v>
          </cell>
          <cell r="O82">
            <v>31.9</v>
          </cell>
        </row>
        <row r="83">
          <cell r="A83">
            <v>406</v>
          </cell>
          <cell r="B83">
            <v>2</v>
          </cell>
          <cell r="C83">
            <v>13.404</v>
          </cell>
          <cell r="D83">
            <v>32.299999999999997</v>
          </cell>
          <cell r="E83">
            <v>34.700000000000003</v>
          </cell>
          <cell r="F83">
            <v>32.9</v>
          </cell>
          <cell r="G83">
            <v>32.700000000000003</v>
          </cell>
          <cell r="H83">
            <v>31.2</v>
          </cell>
          <cell r="I83">
            <v>33.799999999999997</v>
          </cell>
          <cell r="J83">
            <v>33.299999999999997</v>
          </cell>
          <cell r="K83">
            <v>36</v>
          </cell>
          <cell r="L83">
            <v>35.799999999999997</v>
          </cell>
          <cell r="M83">
            <v>33.9</v>
          </cell>
          <cell r="N83">
            <v>36</v>
          </cell>
          <cell r="O83">
            <v>33.200000000000003</v>
          </cell>
        </row>
        <row r="84">
          <cell r="A84">
            <v>405</v>
          </cell>
          <cell r="B84">
            <v>1</v>
          </cell>
          <cell r="C84">
            <v>13.413</v>
          </cell>
          <cell r="D84">
            <v>33.799999999999997</v>
          </cell>
          <cell r="E84">
            <v>32.700000000000003</v>
          </cell>
          <cell r="F84">
            <v>33.200000000000003</v>
          </cell>
          <cell r="G84">
            <v>32.9</v>
          </cell>
          <cell r="H84">
            <v>33.1</v>
          </cell>
          <cell r="I84">
            <v>34</v>
          </cell>
          <cell r="J84">
            <v>32.700000000000003</v>
          </cell>
          <cell r="K84">
            <v>33.1</v>
          </cell>
          <cell r="L84">
            <v>33.4</v>
          </cell>
          <cell r="M84">
            <v>32.9</v>
          </cell>
          <cell r="N84">
            <v>33</v>
          </cell>
          <cell r="O84">
            <v>32.200000000000003</v>
          </cell>
        </row>
        <row r="85">
          <cell r="A85">
            <v>405</v>
          </cell>
          <cell r="B85">
            <v>2</v>
          </cell>
          <cell r="C85">
            <v>13.419</v>
          </cell>
          <cell r="D85">
            <v>32.799999999999997</v>
          </cell>
          <cell r="E85">
            <v>30.1</v>
          </cell>
          <cell r="F85">
            <v>32.5</v>
          </cell>
          <cell r="G85">
            <v>34.799999999999997</v>
          </cell>
          <cell r="H85">
            <v>36.4</v>
          </cell>
          <cell r="I85">
            <v>32.9</v>
          </cell>
          <cell r="J85">
            <v>32.9</v>
          </cell>
          <cell r="K85">
            <v>31.3</v>
          </cell>
          <cell r="L85">
            <v>31.8</v>
          </cell>
          <cell r="M85">
            <v>30</v>
          </cell>
          <cell r="N85">
            <v>33.200000000000003</v>
          </cell>
          <cell r="O85">
            <v>33.4</v>
          </cell>
        </row>
        <row r="86">
          <cell r="A86">
            <v>404</v>
          </cell>
          <cell r="B86">
            <v>1</v>
          </cell>
          <cell r="C86">
            <v>13.428000000000001</v>
          </cell>
          <cell r="D86">
            <v>34.299999999999997</v>
          </cell>
          <cell r="E86">
            <v>34.700000000000003</v>
          </cell>
          <cell r="F86">
            <v>34.6</v>
          </cell>
          <cell r="G86">
            <v>33.5</v>
          </cell>
          <cell r="H86">
            <v>34.5</v>
          </cell>
          <cell r="I86">
            <v>34.299999999999997</v>
          </cell>
          <cell r="J86">
            <v>33.200000000000003</v>
          </cell>
          <cell r="K86">
            <v>33.299999999999997</v>
          </cell>
          <cell r="L86">
            <v>33.1</v>
          </cell>
          <cell r="M86">
            <v>34.6</v>
          </cell>
          <cell r="N86">
            <v>34.200000000000003</v>
          </cell>
          <cell r="O86">
            <v>32.799999999999997</v>
          </cell>
        </row>
        <row r="87">
          <cell r="A87">
            <v>404</v>
          </cell>
          <cell r="B87">
            <v>2</v>
          </cell>
          <cell r="C87">
            <v>13.435</v>
          </cell>
          <cell r="D87">
            <v>34</v>
          </cell>
          <cell r="E87">
            <v>34.200000000000003</v>
          </cell>
          <cell r="F87">
            <v>35.9</v>
          </cell>
          <cell r="G87">
            <v>36.5</v>
          </cell>
          <cell r="H87">
            <v>35.799999999999997</v>
          </cell>
          <cell r="I87">
            <v>34</v>
          </cell>
          <cell r="J87">
            <v>32.700000000000003</v>
          </cell>
          <cell r="K87">
            <v>31.4</v>
          </cell>
          <cell r="L87">
            <v>30.7</v>
          </cell>
          <cell r="M87">
            <v>34.299999999999997</v>
          </cell>
          <cell r="N87">
            <v>30.3</v>
          </cell>
          <cell r="O87">
            <v>29.8</v>
          </cell>
        </row>
        <row r="88">
          <cell r="A88">
            <v>403</v>
          </cell>
          <cell r="B88">
            <v>1</v>
          </cell>
          <cell r="C88">
            <v>13.445</v>
          </cell>
          <cell r="D88">
            <v>32</v>
          </cell>
          <cell r="E88">
            <v>31.7</v>
          </cell>
          <cell r="F88">
            <v>30.6</v>
          </cell>
          <cell r="G88">
            <v>31.3</v>
          </cell>
          <cell r="H88">
            <v>31.3</v>
          </cell>
          <cell r="I88">
            <v>32.6</v>
          </cell>
          <cell r="J88">
            <v>32.799999999999997</v>
          </cell>
          <cell r="K88">
            <v>33</v>
          </cell>
          <cell r="L88">
            <v>32.700000000000003</v>
          </cell>
          <cell r="M88">
            <v>33</v>
          </cell>
          <cell r="N88">
            <v>31.8</v>
          </cell>
          <cell r="O88">
            <v>31.1</v>
          </cell>
        </row>
        <row r="89">
          <cell r="A89">
            <v>403</v>
          </cell>
          <cell r="B89">
            <v>2</v>
          </cell>
          <cell r="C89">
            <v>13.45</v>
          </cell>
          <cell r="D89">
            <v>32.700000000000003</v>
          </cell>
          <cell r="E89">
            <v>32.9</v>
          </cell>
          <cell r="F89">
            <v>34.700000000000003</v>
          </cell>
          <cell r="G89">
            <v>35.799999999999997</v>
          </cell>
          <cell r="H89">
            <v>32.299999999999997</v>
          </cell>
          <cell r="I89">
            <v>32.299999999999997</v>
          </cell>
          <cell r="J89">
            <v>32.6</v>
          </cell>
          <cell r="K89">
            <v>32.9</v>
          </cell>
          <cell r="L89">
            <v>34.299999999999997</v>
          </cell>
          <cell r="M89">
            <v>33.1</v>
          </cell>
          <cell r="N89">
            <v>33.200000000000003</v>
          </cell>
          <cell r="O89">
            <v>33</v>
          </cell>
        </row>
        <row r="90">
          <cell r="A90">
            <v>402</v>
          </cell>
          <cell r="B90">
            <v>1</v>
          </cell>
          <cell r="C90">
            <v>13.459</v>
          </cell>
          <cell r="D90">
            <v>33.5</v>
          </cell>
          <cell r="E90">
            <v>31.5</v>
          </cell>
          <cell r="F90">
            <v>28.9</v>
          </cell>
          <cell r="G90">
            <v>32.1</v>
          </cell>
          <cell r="H90">
            <v>31.1</v>
          </cell>
          <cell r="I90">
            <v>31.2</v>
          </cell>
          <cell r="J90">
            <v>31.7</v>
          </cell>
          <cell r="K90">
            <v>32.799999999999997</v>
          </cell>
          <cell r="L90">
            <v>31.6</v>
          </cell>
          <cell r="M90">
            <v>32.9</v>
          </cell>
          <cell r="N90">
            <v>31.7</v>
          </cell>
          <cell r="O90">
            <v>32.299999999999997</v>
          </cell>
        </row>
        <row r="91">
          <cell r="A91">
            <v>402</v>
          </cell>
          <cell r="B91">
            <v>2</v>
          </cell>
          <cell r="C91">
            <v>13.464</v>
          </cell>
          <cell r="D91">
            <v>32</v>
          </cell>
          <cell r="E91">
            <v>32.9</v>
          </cell>
          <cell r="F91">
            <v>32.799999999999997</v>
          </cell>
          <cell r="G91">
            <v>30.8</v>
          </cell>
          <cell r="H91">
            <v>34.700000000000003</v>
          </cell>
          <cell r="I91">
            <v>33.4</v>
          </cell>
          <cell r="J91">
            <v>33.1</v>
          </cell>
          <cell r="K91">
            <v>33.700000000000003</v>
          </cell>
          <cell r="L91">
            <v>31.7</v>
          </cell>
          <cell r="M91">
            <v>33.299999999999997</v>
          </cell>
          <cell r="N91">
            <v>32</v>
          </cell>
          <cell r="O91">
            <v>30.5</v>
          </cell>
        </row>
        <row r="92">
          <cell r="A92">
            <v>401</v>
          </cell>
          <cell r="B92">
            <v>1</v>
          </cell>
          <cell r="C92">
            <v>13.474</v>
          </cell>
          <cell r="D92">
            <v>31.6</v>
          </cell>
          <cell r="E92">
            <v>31.6</v>
          </cell>
          <cell r="F92">
            <v>31.9</v>
          </cell>
          <cell r="G92">
            <v>32.799999999999997</v>
          </cell>
          <cell r="H92">
            <v>31.6</v>
          </cell>
          <cell r="I92">
            <v>33.1</v>
          </cell>
          <cell r="J92">
            <v>31.1</v>
          </cell>
          <cell r="K92">
            <v>31.4</v>
          </cell>
          <cell r="L92">
            <v>31.1</v>
          </cell>
          <cell r="M92">
            <v>33</v>
          </cell>
          <cell r="N92">
            <v>32.299999999999997</v>
          </cell>
          <cell r="O92">
            <v>31.8</v>
          </cell>
        </row>
        <row r="93">
          <cell r="A93">
            <v>401</v>
          </cell>
          <cell r="B93">
            <v>2</v>
          </cell>
          <cell r="C93">
            <v>13.478999999999999</v>
          </cell>
          <cell r="D93">
            <v>31.1</v>
          </cell>
          <cell r="E93">
            <v>31.6</v>
          </cell>
          <cell r="F93">
            <v>32.1</v>
          </cell>
          <cell r="G93">
            <v>32.200000000000003</v>
          </cell>
          <cell r="H93">
            <v>32.6</v>
          </cell>
          <cell r="I93">
            <v>32.9</v>
          </cell>
          <cell r="J93">
            <v>31.7</v>
          </cell>
          <cell r="K93">
            <v>31.1</v>
          </cell>
          <cell r="L93">
            <v>32.200000000000003</v>
          </cell>
          <cell r="M93">
            <v>32</v>
          </cell>
          <cell r="N93">
            <v>32.200000000000003</v>
          </cell>
          <cell r="O93">
            <v>32.6</v>
          </cell>
        </row>
      </sheetData>
      <sheetData sheetId="2">
        <row r="7">
          <cell r="C7">
            <v>247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37.1</v>
          </cell>
        </row>
        <row r="29">
          <cell r="E29">
            <v>4.2360926260915397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'IA248.03R'</v>
          </cell>
        </row>
        <row r="14">
          <cell r="A14">
            <v>108</v>
          </cell>
          <cell r="B14">
            <v>1</v>
          </cell>
          <cell r="C14">
            <v>12.849</v>
          </cell>
          <cell r="D14">
            <v>33.1</v>
          </cell>
          <cell r="E14">
            <v>32.6</v>
          </cell>
          <cell r="F14">
            <v>31.7</v>
          </cell>
          <cell r="G14">
            <v>31.7</v>
          </cell>
          <cell r="H14">
            <v>32.5</v>
          </cell>
          <cell r="I14">
            <v>31.8</v>
          </cell>
          <cell r="J14">
            <v>31.8</v>
          </cell>
          <cell r="K14">
            <v>31.5</v>
          </cell>
          <cell r="L14">
            <v>31.3</v>
          </cell>
          <cell r="M14">
            <v>31.5</v>
          </cell>
          <cell r="N14">
            <v>30.9</v>
          </cell>
          <cell r="O14">
            <v>31.1</v>
          </cell>
        </row>
        <row r="15">
          <cell r="A15">
            <v>108</v>
          </cell>
          <cell r="B15">
            <v>2</v>
          </cell>
          <cell r="C15">
            <v>12.855</v>
          </cell>
          <cell r="D15">
            <v>30.6</v>
          </cell>
          <cell r="E15">
            <v>30.2</v>
          </cell>
          <cell r="F15">
            <v>30.2</v>
          </cell>
          <cell r="G15">
            <v>31</v>
          </cell>
          <cell r="H15">
            <v>32.1</v>
          </cell>
          <cell r="I15">
            <v>31.9</v>
          </cell>
          <cell r="J15">
            <v>30.6</v>
          </cell>
          <cell r="K15">
            <v>30.8</v>
          </cell>
          <cell r="L15">
            <v>31.2</v>
          </cell>
          <cell r="M15">
            <v>31.6</v>
          </cell>
          <cell r="N15">
            <v>33</v>
          </cell>
          <cell r="O15">
            <v>31.4</v>
          </cell>
        </row>
        <row r="16">
          <cell r="A16">
            <v>107</v>
          </cell>
          <cell r="B16">
            <v>1</v>
          </cell>
          <cell r="C16">
            <v>12.865</v>
          </cell>
          <cell r="D16">
            <v>31.5</v>
          </cell>
          <cell r="E16">
            <v>31.5</v>
          </cell>
          <cell r="F16">
            <v>31.3</v>
          </cell>
          <cell r="G16">
            <v>31.8</v>
          </cell>
          <cell r="H16">
            <v>31.3</v>
          </cell>
          <cell r="I16">
            <v>31.1</v>
          </cell>
          <cell r="J16">
            <v>31.6</v>
          </cell>
          <cell r="K16">
            <v>31.2</v>
          </cell>
          <cell r="L16">
            <v>30.7</v>
          </cell>
          <cell r="M16">
            <v>31.2</v>
          </cell>
          <cell r="N16">
            <v>29.9</v>
          </cell>
          <cell r="O16">
            <v>30.3</v>
          </cell>
        </row>
        <row r="17">
          <cell r="A17">
            <v>107</v>
          </cell>
          <cell r="B17">
            <v>2</v>
          </cell>
          <cell r="C17">
            <v>12.87</v>
          </cell>
          <cell r="D17">
            <v>28.7</v>
          </cell>
          <cell r="E17">
            <v>31.1</v>
          </cell>
          <cell r="F17">
            <v>29</v>
          </cell>
          <cell r="G17">
            <v>31.3</v>
          </cell>
          <cell r="H17">
            <v>30.7</v>
          </cell>
          <cell r="I17">
            <v>30.2</v>
          </cell>
          <cell r="J17">
            <v>30.3</v>
          </cell>
          <cell r="K17">
            <v>29.8</v>
          </cell>
          <cell r="L17">
            <v>33.200000000000003</v>
          </cell>
          <cell r="M17">
            <v>30.9</v>
          </cell>
          <cell r="N17">
            <v>30.6</v>
          </cell>
          <cell r="O17">
            <v>30.4</v>
          </cell>
        </row>
        <row r="18">
          <cell r="A18">
            <v>106</v>
          </cell>
          <cell r="B18">
            <v>1</v>
          </cell>
          <cell r="C18">
            <v>12.88</v>
          </cell>
          <cell r="D18">
            <v>30.4</v>
          </cell>
          <cell r="E18">
            <v>31.4</v>
          </cell>
          <cell r="F18">
            <v>30.3</v>
          </cell>
          <cell r="G18">
            <v>30.2</v>
          </cell>
          <cell r="H18">
            <v>29.2</v>
          </cell>
          <cell r="I18">
            <v>29.6</v>
          </cell>
          <cell r="J18">
            <v>30.2</v>
          </cell>
          <cell r="K18">
            <v>29.9</v>
          </cell>
          <cell r="L18">
            <v>29.6</v>
          </cell>
          <cell r="M18">
            <v>29.6</v>
          </cell>
          <cell r="N18">
            <v>29.7</v>
          </cell>
          <cell r="O18">
            <v>29.4</v>
          </cell>
        </row>
        <row r="19">
          <cell r="A19">
            <v>106</v>
          </cell>
          <cell r="B19">
            <v>2</v>
          </cell>
          <cell r="C19">
            <v>12.885</v>
          </cell>
          <cell r="D19">
            <v>29.2</v>
          </cell>
          <cell r="E19">
            <v>28.2</v>
          </cell>
          <cell r="F19">
            <v>29.2</v>
          </cell>
          <cell r="G19">
            <v>30.8</v>
          </cell>
          <cell r="H19">
            <v>28.8</v>
          </cell>
          <cell r="I19">
            <v>30.8</v>
          </cell>
          <cell r="J19">
            <v>30.5</v>
          </cell>
          <cell r="K19">
            <v>30.2</v>
          </cell>
          <cell r="L19">
            <v>32</v>
          </cell>
          <cell r="M19">
            <v>30.8</v>
          </cell>
          <cell r="N19">
            <v>30.8</v>
          </cell>
          <cell r="O19">
            <v>30.5</v>
          </cell>
        </row>
        <row r="20">
          <cell r="A20">
            <v>105</v>
          </cell>
          <cell r="B20">
            <v>1</v>
          </cell>
          <cell r="C20">
            <v>12.895</v>
          </cell>
          <cell r="D20">
            <v>31.7</v>
          </cell>
          <cell r="E20">
            <v>31</v>
          </cell>
          <cell r="F20">
            <v>29.7</v>
          </cell>
          <cell r="G20">
            <v>29.7</v>
          </cell>
          <cell r="H20">
            <v>29.7</v>
          </cell>
          <cell r="I20">
            <v>29.6</v>
          </cell>
          <cell r="J20">
            <v>30.3</v>
          </cell>
          <cell r="K20">
            <v>30.3</v>
          </cell>
          <cell r="L20">
            <v>29.8</v>
          </cell>
          <cell r="M20">
            <v>30.1</v>
          </cell>
          <cell r="N20">
            <v>30.6</v>
          </cell>
          <cell r="O20">
            <v>30</v>
          </cell>
        </row>
        <row r="21">
          <cell r="A21">
            <v>105</v>
          </cell>
          <cell r="B21">
            <v>2</v>
          </cell>
          <cell r="C21">
            <v>12.9</v>
          </cell>
          <cell r="D21">
            <v>30.2</v>
          </cell>
          <cell r="E21">
            <v>31.2</v>
          </cell>
          <cell r="F21">
            <v>29.9</v>
          </cell>
          <cell r="G21">
            <v>30.6</v>
          </cell>
          <cell r="H21">
            <v>30</v>
          </cell>
          <cell r="I21">
            <v>30.6</v>
          </cell>
          <cell r="J21">
            <v>29.6</v>
          </cell>
          <cell r="K21">
            <v>30.8</v>
          </cell>
          <cell r="L21">
            <v>29.1</v>
          </cell>
          <cell r="M21">
            <v>29.1</v>
          </cell>
          <cell r="N21">
            <v>32.200000000000003</v>
          </cell>
          <cell r="O21">
            <v>30.7</v>
          </cell>
        </row>
        <row r="22">
          <cell r="A22">
            <v>104</v>
          </cell>
          <cell r="B22">
            <v>1</v>
          </cell>
          <cell r="C22">
            <v>12.911</v>
          </cell>
          <cell r="D22">
            <v>31.3</v>
          </cell>
          <cell r="E22">
            <v>30.5</v>
          </cell>
          <cell r="F22">
            <v>29.9</v>
          </cell>
          <cell r="G22">
            <v>30.2</v>
          </cell>
          <cell r="H22">
            <v>31.1</v>
          </cell>
          <cell r="I22">
            <v>30.4</v>
          </cell>
          <cell r="J22">
            <v>29.3</v>
          </cell>
          <cell r="K22">
            <v>30.3</v>
          </cell>
          <cell r="L22">
            <v>30.3</v>
          </cell>
          <cell r="M22">
            <v>31.5</v>
          </cell>
          <cell r="N22">
            <v>30.5</v>
          </cell>
          <cell r="O22">
            <v>31.2</v>
          </cell>
        </row>
        <row r="23">
          <cell r="A23">
            <v>104</v>
          </cell>
          <cell r="B23">
            <v>2</v>
          </cell>
          <cell r="C23">
            <v>12.916</v>
          </cell>
          <cell r="D23">
            <v>30.7</v>
          </cell>
          <cell r="E23">
            <v>30</v>
          </cell>
          <cell r="F23">
            <v>29.8</v>
          </cell>
          <cell r="G23">
            <v>29.8</v>
          </cell>
          <cell r="H23">
            <v>30.6</v>
          </cell>
          <cell r="I23">
            <v>30.1</v>
          </cell>
          <cell r="J23">
            <v>30.6</v>
          </cell>
          <cell r="K23">
            <v>29.9</v>
          </cell>
          <cell r="L23">
            <v>30</v>
          </cell>
          <cell r="M23">
            <v>29.7</v>
          </cell>
          <cell r="N23">
            <v>31.8</v>
          </cell>
          <cell r="O23">
            <v>29.3</v>
          </cell>
        </row>
        <row r="24">
          <cell r="A24">
            <v>103</v>
          </cell>
          <cell r="B24">
            <v>1</v>
          </cell>
          <cell r="C24">
            <v>12.935</v>
          </cell>
          <cell r="D24">
            <v>31.4</v>
          </cell>
          <cell r="E24">
            <v>31.4</v>
          </cell>
          <cell r="F24">
            <v>30.3</v>
          </cell>
          <cell r="G24">
            <v>31.3</v>
          </cell>
          <cell r="H24">
            <v>31</v>
          </cell>
          <cell r="I24">
            <v>30.4</v>
          </cell>
          <cell r="J24">
            <v>30.8</v>
          </cell>
          <cell r="K24">
            <v>30.8</v>
          </cell>
          <cell r="L24">
            <v>30.4</v>
          </cell>
          <cell r="M24">
            <v>30.9</v>
          </cell>
          <cell r="N24">
            <v>30</v>
          </cell>
          <cell r="O24">
            <v>30.1</v>
          </cell>
        </row>
        <row r="25">
          <cell r="A25">
            <v>103</v>
          </cell>
          <cell r="B25">
            <v>2</v>
          </cell>
          <cell r="C25">
            <v>12.94</v>
          </cell>
          <cell r="D25">
            <v>29.7</v>
          </cell>
          <cell r="E25">
            <v>30.2</v>
          </cell>
          <cell r="F25">
            <v>30</v>
          </cell>
          <cell r="G25">
            <v>32.299999999999997</v>
          </cell>
          <cell r="H25">
            <v>31</v>
          </cell>
          <cell r="I25">
            <v>30.1</v>
          </cell>
          <cell r="J25">
            <v>29.7</v>
          </cell>
          <cell r="K25">
            <v>32.5</v>
          </cell>
          <cell r="L25">
            <v>30.3</v>
          </cell>
          <cell r="M25">
            <v>30.7</v>
          </cell>
          <cell r="N25">
            <v>32.4</v>
          </cell>
          <cell r="O25">
            <v>30.1</v>
          </cell>
        </row>
        <row r="26">
          <cell r="A26">
            <v>102</v>
          </cell>
          <cell r="B26">
            <v>1</v>
          </cell>
          <cell r="C26">
            <v>12.952999999999999</v>
          </cell>
          <cell r="D26">
            <v>33.1</v>
          </cell>
          <cell r="E26">
            <v>30.1</v>
          </cell>
          <cell r="F26">
            <v>31</v>
          </cell>
          <cell r="G26">
            <v>30.4</v>
          </cell>
          <cell r="H26">
            <v>34.1</v>
          </cell>
          <cell r="I26">
            <v>30.7</v>
          </cell>
          <cell r="J26">
            <v>32.1</v>
          </cell>
          <cell r="K26">
            <v>31.2</v>
          </cell>
          <cell r="L26">
            <v>31.7</v>
          </cell>
          <cell r="M26">
            <v>31.5</v>
          </cell>
          <cell r="N26">
            <v>31.1</v>
          </cell>
          <cell r="O26">
            <v>31.2</v>
          </cell>
        </row>
        <row r="27">
          <cell r="A27">
            <v>102</v>
          </cell>
          <cell r="B27">
            <v>2</v>
          </cell>
          <cell r="C27">
            <v>12.957000000000001</v>
          </cell>
          <cell r="D27">
            <v>33.299999999999997</v>
          </cell>
          <cell r="E27">
            <v>30.6</v>
          </cell>
          <cell r="F27">
            <v>30.1</v>
          </cell>
          <cell r="G27">
            <v>30.5</v>
          </cell>
          <cell r="H27">
            <v>30.3</v>
          </cell>
          <cell r="I27">
            <v>30.9</v>
          </cell>
          <cell r="J27">
            <v>30</v>
          </cell>
          <cell r="K27">
            <v>29.3</v>
          </cell>
          <cell r="L27">
            <v>29.4</v>
          </cell>
          <cell r="M27">
            <v>30.2</v>
          </cell>
          <cell r="N27">
            <v>31.5</v>
          </cell>
          <cell r="O27">
            <v>29.6</v>
          </cell>
        </row>
        <row r="28">
          <cell r="A28">
            <v>101</v>
          </cell>
          <cell r="B28">
            <v>1</v>
          </cell>
          <cell r="C28">
            <v>12.967000000000001</v>
          </cell>
          <cell r="D28">
            <v>30.2</v>
          </cell>
          <cell r="E28">
            <v>31.6</v>
          </cell>
          <cell r="F28">
            <v>31</v>
          </cell>
          <cell r="G28">
            <v>31.5</v>
          </cell>
          <cell r="H28">
            <v>30</v>
          </cell>
          <cell r="I28">
            <v>30.9</v>
          </cell>
          <cell r="J28">
            <v>31</v>
          </cell>
          <cell r="K28">
            <v>30.8</v>
          </cell>
          <cell r="L28">
            <v>30.6</v>
          </cell>
          <cell r="M28">
            <v>30.3</v>
          </cell>
          <cell r="N28">
            <v>30.4</v>
          </cell>
          <cell r="O28">
            <v>30.8</v>
          </cell>
        </row>
        <row r="29">
          <cell r="A29">
            <v>101</v>
          </cell>
          <cell r="B29">
            <v>2</v>
          </cell>
          <cell r="C29">
            <v>12.972</v>
          </cell>
          <cell r="D29">
            <v>28.4</v>
          </cell>
          <cell r="E29">
            <v>31.6</v>
          </cell>
          <cell r="F29">
            <v>30.7</v>
          </cell>
          <cell r="G29">
            <v>31.5</v>
          </cell>
          <cell r="H29">
            <v>30.9</v>
          </cell>
          <cell r="I29">
            <v>31.1</v>
          </cell>
          <cell r="J29">
            <v>31</v>
          </cell>
          <cell r="K29">
            <v>31.5</v>
          </cell>
          <cell r="L29">
            <v>30.9</v>
          </cell>
          <cell r="M29">
            <v>32.4</v>
          </cell>
          <cell r="N29">
            <v>32.6</v>
          </cell>
          <cell r="O29">
            <v>32.700000000000003</v>
          </cell>
        </row>
        <row r="30">
          <cell r="A30">
            <v>201</v>
          </cell>
          <cell r="B30">
            <v>1</v>
          </cell>
          <cell r="C30">
            <v>12.984999999999999</v>
          </cell>
          <cell r="D30">
            <v>31.4</v>
          </cell>
          <cell r="E30">
            <v>31.1</v>
          </cell>
          <cell r="F30">
            <v>31.4</v>
          </cell>
          <cell r="G30">
            <v>32</v>
          </cell>
          <cell r="H30">
            <v>30.7</v>
          </cell>
          <cell r="I30">
            <v>31.2</v>
          </cell>
          <cell r="J30">
            <v>31.6</v>
          </cell>
          <cell r="K30">
            <v>33</v>
          </cell>
          <cell r="L30">
            <v>32.700000000000003</v>
          </cell>
          <cell r="M30">
            <v>31.6</v>
          </cell>
          <cell r="N30">
            <v>30.9</v>
          </cell>
          <cell r="O30">
            <v>32</v>
          </cell>
        </row>
        <row r="31">
          <cell r="A31">
            <v>201</v>
          </cell>
          <cell r="B31">
            <v>2</v>
          </cell>
          <cell r="C31">
            <v>12.99</v>
          </cell>
          <cell r="D31">
            <v>31.5</v>
          </cell>
          <cell r="E31">
            <v>34.700000000000003</v>
          </cell>
          <cell r="F31">
            <v>30.8</v>
          </cell>
          <cell r="G31">
            <v>31.7</v>
          </cell>
          <cell r="H31">
            <v>31.5</v>
          </cell>
          <cell r="I31">
            <v>31.1</v>
          </cell>
          <cell r="J31">
            <v>31.8</v>
          </cell>
          <cell r="K31">
            <v>31.1</v>
          </cell>
          <cell r="L31">
            <v>31</v>
          </cell>
          <cell r="M31">
            <v>31.7</v>
          </cell>
          <cell r="N31">
            <v>31.3</v>
          </cell>
          <cell r="O31">
            <v>31.8</v>
          </cell>
        </row>
        <row r="32">
          <cell r="A32">
            <v>202</v>
          </cell>
          <cell r="B32">
            <v>1</v>
          </cell>
          <cell r="C32">
            <v>12.999000000000001</v>
          </cell>
          <cell r="D32">
            <v>32.6</v>
          </cell>
          <cell r="E32">
            <v>32.6</v>
          </cell>
          <cell r="F32">
            <v>31.1</v>
          </cell>
          <cell r="G32">
            <v>30.6</v>
          </cell>
          <cell r="H32">
            <v>31.4</v>
          </cell>
          <cell r="I32">
            <v>30.3</v>
          </cell>
          <cell r="J32">
            <v>30.2</v>
          </cell>
          <cell r="K32">
            <v>29.8</v>
          </cell>
          <cell r="L32">
            <v>29.7</v>
          </cell>
          <cell r="M32">
            <v>30.6</v>
          </cell>
          <cell r="N32">
            <v>29.7</v>
          </cell>
          <cell r="O32">
            <v>31.4</v>
          </cell>
        </row>
        <row r="33">
          <cell r="A33">
            <v>202</v>
          </cell>
          <cell r="B33">
            <v>2</v>
          </cell>
          <cell r="C33">
            <v>13.004</v>
          </cell>
          <cell r="D33">
            <v>30.8</v>
          </cell>
          <cell r="E33">
            <v>31.2</v>
          </cell>
          <cell r="F33">
            <v>29.8</v>
          </cell>
          <cell r="G33">
            <v>29.1</v>
          </cell>
          <cell r="H33">
            <v>31.4</v>
          </cell>
          <cell r="I33">
            <v>31.2</v>
          </cell>
          <cell r="J33">
            <v>30.2</v>
          </cell>
          <cell r="K33">
            <v>33</v>
          </cell>
          <cell r="L33">
            <v>32.5</v>
          </cell>
          <cell r="M33">
            <v>31</v>
          </cell>
          <cell r="N33">
            <v>30.6</v>
          </cell>
          <cell r="O33">
            <v>30.1</v>
          </cell>
        </row>
        <row r="34">
          <cell r="A34">
            <v>203</v>
          </cell>
          <cell r="B34">
            <v>1</v>
          </cell>
          <cell r="C34">
            <v>13.013</v>
          </cell>
          <cell r="D34">
            <v>30.7</v>
          </cell>
          <cell r="E34">
            <v>30.8</v>
          </cell>
          <cell r="F34">
            <v>31.1</v>
          </cell>
          <cell r="G34">
            <v>30.7</v>
          </cell>
          <cell r="H34">
            <v>30.9</v>
          </cell>
          <cell r="I34">
            <v>30.9</v>
          </cell>
          <cell r="J34">
            <v>31.1</v>
          </cell>
          <cell r="K34">
            <v>31.6</v>
          </cell>
          <cell r="L34">
            <v>31.3</v>
          </cell>
          <cell r="M34">
            <v>31</v>
          </cell>
          <cell r="N34">
            <v>30.6</v>
          </cell>
          <cell r="O34">
            <v>30.4</v>
          </cell>
        </row>
        <row r="35">
          <cell r="A35">
            <v>203</v>
          </cell>
          <cell r="B35">
            <v>2</v>
          </cell>
          <cell r="C35">
            <v>13.018000000000001</v>
          </cell>
          <cell r="D35">
            <v>30.7</v>
          </cell>
          <cell r="E35">
            <v>32.299999999999997</v>
          </cell>
          <cell r="F35">
            <v>32.299999999999997</v>
          </cell>
          <cell r="G35">
            <v>32.1</v>
          </cell>
          <cell r="H35">
            <v>30</v>
          </cell>
          <cell r="I35">
            <v>30.8</v>
          </cell>
          <cell r="J35">
            <v>31.4</v>
          </cell>
          <cell r="K35">
            <v>31.1</v>
          </cell>
          <cell r="L35">
            <v>30.6</v>
          </cell>
          <cell r="M35">
            <v>30.4</v>
          </cell>
          <cell r="N35">
            <v>31.9</v>
          </cell>
          <cell r="O35">
            <v>30.8</v>
          </cell>
        </row>
        <row r="36">
          <cell r="A36">
            <v>204</v>
          </cell>
          <cell r="B36">
            <v>1</v>
          </cell>
          <cell r="C36">
            <v>13.03</v>
          </cell>
          <cell r="D36">
            <v>30.8</v>
          </cell>
          <cell r="E36">
            <v>31.1</v>
          </cell>
          <cell r="F36">
            <v>31.3</v>
          </cell>
          <cell r="G36">
            <v>31.6</v>
          </cell>
          <cell r="H36">
            <v>31.5</v>
          </cell>
          <cell r="I36">
            <v>30.6</v>
          </cell>
          <cell r="J36">
            <v>30.8</v>
          </cell>
          <cell r="K36">
            <v>30.8</v>
          </cell>
          <cell r="L36">
            <v>31</v>
          </cell>
          <cell r="M36">
            <v>31</v>
          </cell>
          <cell r="N36">
            <v>31.1</v>
          </cell>
          <cell r="O36">
            <v>31.3</v>
          </cell>
        </row>
        <row r="37">
          <cell r="A37">
            <v>204</v>
          </cell>
          <cell r="B37">
            <v>2</v>
          </cell>
          <cell r="C37">
            <v>13.036</v>
          </cell>
          <cell r="D37">
            <v>30.9</v>
          </cell>
          <cell r="E37">
            <v>41.9</v>
          </cell>
          <cell r="F37">
            <v>29.7</v>
          </cell>
          <cell r="G37">
            <v>31.9</v>
          </cell>
          <cell r="H37">
            <v>30.5</v>
          </cell>
          <cell r="I37">
            <v>29.6</v>
          </cell>
          <cell r="J37">
            <v>30.8</v>
          </cell>
          <cell r="K37">
            <v>29.1</v>
          </cell>
          <cell r="L37">
            <v>30.4</v>
          </cell>
          <cell r="M37">
            <v>31.1</v>
          </cell>
          <cell r="N37">
            <v>29.4</v>
          </cell>
          <cell r="O37">
            <v>30.7</v>
          </cell>
        </row>
        <row r="38">
          <cell r="A38">
            <v>205</v>
          </cell>
          <cell r="B38">
            <v>1</v>
          </cell>
          <cell r="C38">
            <v>13.05</v>
          </cell>
          <cell r="D38">
            <v>30.9</v>
          </cell>
          <cell r="E38">
            <v>31.6</v>
          </cell>
          <cell r="F38">
            <v>31.9</v>
          </cell>
          <cell r="G38">
            <v>31.6</v>
          </cell>
          <cell r="H38">
            <v>30.9</v>
          </cell>
          <cell r="I38">
            <v>31.1</v>
          </cell>
          <cell r="J38">
            <v>31.5</v>
          </cell>
          <cell r="K38">
            <v>31.4</v>
          </cell>
          <cell r="L38">
            <v>31.6</v>
          </cell>
          <cell r="M38">
            <v>30.9</v>
          </cell>
          <cell r="N38">
            <v>30.4</v>
          </cell>
          <cell r="O38">
            <v>30.8</v>
          </cell>
        </row>
        <row r="39">
          <cell r="A39">
            <v>205</v>
          </cell>
          <cell r="B39">
            <v>2</v>
          </cell>
          <cell r="C39">
            <v>13.055</v>
          </cell>
          <cell r="D39">
            <v>30.2</v>
          </cell>
          <cell r="E39">
            <v>29.5</v>
          </cell>
          <cell r="F39">
            <v>29.5</v>
          </cell>
          <cell r="G39">
            <v>29.9</v>
          </cell>
          <cell r="H39">
            <v>29.6</v>
          </cell>
          <cell r="I39">
            <v>31.2</v>
          </cell>
          <cell r="J39">
            <v>30.8</v>
          </cell>
          <cell r="K39">
            <v>30.9</v>
          </cell>
          <cell r="L39">
            <v>30.9</v>
          </cell>
          <cell r="M39">
            <v>30.9</v>
          </cell>
          <cell r="N39">
            <v>30.5</v>
          </cell>
          <cell r="O39">
            <v>28.8</v>
          </cell>
        </row>
        <row r="40">
          <cell r="A40">
            <v>206</v>
          </cell>
          <cell r="B40">
            <v>1</v>
          </cell>
          <cell r="C40">
            <v>13.067</v>
          </cell>
          <cell r="D40">
            <v>29</v>
          </cell>
          <cell r="E40">
            <v>28.8</v>
          </cell>
          <cell r="F40">
            <v>29.2</v>
          </cell>
          <cell r="G40">
            <v>29.1</v>
          </cell>
          <cell r="H40">
            <v>30.2</v>
          </cell>
          <cell r="I40">
            <v>30.5</v>
          </cell>
          <cell r="J40">
            <v>29.2</v>
          </cell>
          <cell r="K40">
            <v>29.6</v>
          </cell>
          <cell r="L40">
            <v>29.6</v>
          </cell>
          <cell r="M40">
            <v>30</v>
          </cell>
          <cell r="N40">
            <v>30.3</v>
          </cell>
          <cell r="O40">
            <v>30</v>
          </cell>
        </row>
        <row r="41">
          <cell r="A41">
            <v>206</v>
          </cell>
          <cell r="B41">
            <v>2</v>
          </cell>
          <cell r="C41">
            <v>13.071999999999999</v>
          </cell>
          <cell r="D41">
            <v>29</v>
          </cell>
          <cell r="E41">
            <v>29</v>
          </cell>
          <cell r="F41">
            <v>28.7</v>
          </cell>
          <cell r="G41">
            <v>28.4</v>
          </cell>
          <cell r="H41">
            <v>27.7</v>
          </cell>
          <cell r="I41">
            <v>29.3</v>
          </cell>
          <cell r="J41">
            <v>29.6</v>
          </cell>
          <cell r="K41">
            <v>28.8</v>
          </cell>
          <cell r="L41">
            <v>28.8</v>
          </cell>
          <cell r="M41">
            <v>29.4</v>
          </cell>
          <cell r="N41">
            <v>27.5</v>
          </cell>
          <cell r="O41">
            <v>29.1</v>
          </cell>
        </row>
        <row r="42">
          <cell r="A42">
            <v>207</v>
          </cell>
          <cell r="B42">
            <v>1</v>
          </cell>
          <cell r="C42">
            <v>13.083</v>
          </cell>
          <cell r="D42">
            <v>30.4</v>
          </cell>
          <cell r="E42">
            <v>31.1</v>
          </cell>
          <cell r="F42">
            <v>31.1</v>
          </cell>
          <cell r="G42">
            <v>30.3</v>
          </cell>
          <cell r="H42">
            <v>30.3</v>
          </cell>
          <cell r="I42">
            <v>30.4</v>
          </cell>
          <cell r="J42">
            <v>30</v>
          </cell>
          <cell r="K42">
            <v>30.3</v>
          </cell>
          <cell r="L42">
            <v>29.5</v>
          </cell>
          <cell r="M42">
            <v>31.2</v>
          </cell>
          <cell r="N42">
            <v>29.4</v>
          </cell>
          <cell r="O42">
            <v>30.2</v>
          </cell>
        </row>
        <row r="43">
          <cell r="A43">
            <v>207</v>
          </cell>
          <cell r="B43">
            <v>2</v>
          </cell>
          <cell r="C43">
            <v>13.089</v>
          </cell>
          <cell r="D43">
            <v>31.4</v>
          </cell>
          <cell r="E43">
            <v>29.7</v>
          </cell>
          <cell r="F43">
            <v>27.7</v>
          </cell>
          <cell r="G43">
            <v>30</v>
          </cell>
          <cell r="H43">
            <v>32.6</v>
          </cell>
          <cell r="I43">
            <v>30.2</v>
          </cell>
          <cell r="J43">
            <v>29.8</v>
          </cell>
          <cell r="K43">
            <v>30.6</v>
          </cell>
          <cell r="L43">
            <v>30.7</v>
          </cell>
          <cell r="M43">
            <v>30</v>
          </cell>
          <cell r="N43">
            <v>30.9</v>
          </cell>
          <cell r="O43">
            <v>30.4</v>
          </cell>
        </row>
        <row r="44">
          <cell r="A44">
            <v>208</v>
          </cell>
          <cell r="B44">
            <v>1</v>
          </cell>
          <cell r="C44">
            <v>13.1</v>
          </cell>
          <cell r="D44">
            <v>32.9</v>
          </cell>
          <cell r="E44">
            <v>30.7</v>
          </cell>
          <cell r="F44">
            <v>30.1</v>
          </cell>
          <cell r="G44">
            <v>30.5</v>
          </cell>
          <cell r="H44">
            <v>29.7</v>
          </cell>
          <cell r="I44">
            <v>31</v>
          </cell>
          <cell r="J44">
            <v>30.2</v>
          </cell>
          <cell r="K44">
            <v>30.7</v>
          </cell>
          <cell r="L44">
            <v>31.4</v>
          </cell>
          <cell r="M44">
            <v>32.5</v>
          </cell>
          <cell r="N44">
            <v>30.1</v>
          </cell>
          <cell r="O44">
            <v>29.7</v>
          </cell>
        </row>
        <row r="45">
          <cell r="A45">
            <v>208</v>
          </cell>
          <cell r="B45">
            <v>2</v>
          </cell>
          <cell r="C45">
            <v>13.105</v>
          </cell>
          <cell r="D45">
            <v>31.7</v>
          </cell>
          <cell r="E45">
            <v>29.5</v>
          </cell>
          <cell r="F45">
            <v>31.2</v>
          </cell>
          <cell r="G45">
            <v>31.3</v>
          </cell>
          <cell r="H45">
            <v>31</v>
          </cell>
          <cell r="I45">
            <v>32.4</v>
          </cell>
          <cell r="J45">
            <v>31.1</v>
          </cell>
          <cell r="K45">
            <v>29.1</v>
          </cell>
          <cell r="L45">
            <v>31.3</v>
          </cell>
          <cell r="M45">
            <v>28.5</v>
          </cell>
          <cell r="N45">
            <v>29.9</v>
          </cell>
          <cell r="O45">
            <v>30.9</v>
          </cell>
        </row>
        <row r="46">
          <cell r="A46">
            <v>908</v>
          </cell>
          <cell r="B46">
            <v>1</v>
          </cell>
          <cell r="C46">
            <v>13.121</v>
          </cell>
          <cell r="D46">
            <v>53</v>
          </cell>
          <cell r="E46">
            <v>42.3</v>
          </cell>
          <cell r="F46">
            <v>54.8</v>
          </cell>
          <cell r="G46">
            <v>40.700000000000003</v>
          </cell>
          <cell r="H46">
            <v>54.8</v>
          </cell>
          <cell r="I46">
            <v>39.6</v>
          </cell>
          <cell r="J46">
            <v>55.1</v>
          </cell>
          <cell r="K46">
            <v>39.200000000000003</v>
          </cell>
          <cell r="L46">
            <v>53.6</v>
          </cell>
          <cell r="M46">
            <v>40.299999999999997</v>
          </cell>
          <cell r="N46">
            <v>50.7</v>
          </cell>
          <cell r="O46">
            <v>38.700000000000003</v>
          </cell>
        </row>
        <row r="47">
          <cell r="A47">
            <v>908</v>
          </cell>
          <cell r="B47">
            <v>2</v>
          </cell>
          <cell r="C47">
            <v>13.125999999999999</v>
          </cell>
          <cell r="D47">
            <v>40.200000000000003</v>
          </cell>
          <cell r="E47">
            <v>40</v>
          </cell>
          <cell r="F47">
            <v>39.700000000000003</v>
          </cell>
          <cell r="G47">
            <v>38.9</v>
          </cell>
          <cell r="H47">
            <v>40.200000000000003</v>
          </cell>
          <cell r="I47">
            <v>41.3</v>
          </cell>
          <cell r="J47">
            <v>40.5</v>
          </cell>
          <cell r="K47">
            <v>40.4</v>
          </cell>
          <cell r="L47">
            <v>39.799999999999997</v>
          </cell>
          <cell r="M47">
            <v>39.5</v>
          </cell>
          <cell r="N47">
            <v>33.9</v>
          </cell>
          <cell r="O47">
            <v>37.299999999999997</v>
          </cell>
        </row>
        <row r="48">
          <cell r="A48">
            <v>907</v>
          </cell>
          <cell r="B48">
            <v>1</v>
          </cell>
          <cell r="C48">
            <v>13.135999999999999</v>
          </cell>
          <cell r="D48">
            <v>52.9</v>
          </cell>
          <cell r="E48">
            <v>55.2</v>
          </cell>
          <cell r="F48">
            <v>55.2</v>
          </cell>
          <cell r="G48">
            <v>54.9</v>
          </cell>
          <cell r="H48">
            <v>54</v>
          </cell>
          <cell r="I48">
            <v>54.8</v>
          </cell>
          <cell r="J48">
            <v>53.3</v>
          </cell>
          <cell r="K48">
            <v>54.1</v>
          </cell>
          <cell r="L48">
            <v>55.1</v>
          </cell>
          <cell r="M48">
            <v>54.4</v>
          </cell>
          <cell r="N48">
            <v>54.4</v>
          </cell>
          <cell r="O48">
            <v>55.1</v>
          </cell>
        </row>
        <row r="50">
          <cell r="A50">
            <v>906</v>
          </cell>
          <cell r="B50">
            <v>1</v>
          </cell>
          <cell r="C50">
            <v>13.141999999999999</v>
          </cell>
          <cell r="D50">
            <v>38.200000000000003</v>
          </cell>
          <cell r="E50">
            <v>37.9</v>
          </cell>
          <cell r="F50">
            <v>41.2</v>
          </cell>
          <cell r="G50">
            <v>38.9</v>
          </cell>
          <cell r="H50">
            <v>41.1</v>
          </cell>
          <cell r="I50">
            <v>38.4</v>
          </cell>
          <cell r="J50">
            <v>39.200000000000003</v>
          </cell>
          <cell r="K50">
            <v>39</v>
          </cell>
          <cell r="L50">
            <v>38.4</v>
          </cell>
          <cell r="M50">
            <v>38.799999999999997</v>
          </cell>
          <cell r="N50">
            <v>39.6</v>
          </cell>
          <cell r="O50">
            <v>37.799999999999997</v>
          </cell>
        </row>
        <row r="51">
          <cell r="A51">
            <v>906</v>
          </cell>
          <cell r="B51">
            <v>2</v>
          </cell>
          <cell r="C51">
            <v>13.147</v>
          </cell>
          <cell r="D51">
            <v>37.1</v>
          </cell>
          <cell r="E51">
            <v>36.799999999999997</v>
          </cell>
          <cell r="F51">
            <v>37.700000000000003</v>
          </cell>
          <cell r="G51">
            <v>37.700000000000003</v>
          </cell>
          <cell r="H51">
            <v>34.799999999999997</v>
          </cell>
          <cell r="I51">
            <v>37.700000000000003</v>
          </cell>
          <cell r="J51">
            <v>33.4</v>
          </cell>
          <cell r="K51">
            <v>36.700000000000003</v>
          </cell>
          <cell r="L51">
            <v>34.6</v>
          </cell>
          <cell r="M51">
            <v>40.5</v>
          </cell>
          <cell r="N51">
            <v>35.299999999999997</v>
          </cell>
          <cell r="O51">
            <v>33</v>
          </cell>
        </row>
        <row r="52">
          <cell r="A52">
            <v>905</v>
          </cell>
          <cell r="B52">
            <v>1</v>
          </cell>
          <cell r="C52">
            <v>13.156000000000001</v>
          </cell>
          <cell r="D52">
            <v>49</v>
          </cell>
          <cell r="E52">
            <v>48.8</v>
          </cell>
          <cell r="F52">
            <v>46.8</v>
          </cell>
          <cell r="G52">
            <v>47.6</v>
          </cell>
          <cell r="H52">
            <v>47.3</v>
          </cell>
          <cell r="I52">
            <v>47.5</v>
          </cell>
          <cell r="J52">
            <v>47.4</v>
          </cell>
          <cell r="K52">
            <v>47.3</v>
          </cell>
          <cell r="L52">
            <v>47.9</v>
          </cell>
          <cell r="M52">
            <v>47.8</v>
          </cell>
          <cell r="N52">
            <v>47.7</v>
          </cell>
          <cell r="O52">
            <v>49.1</v>
          </cell>
        </row>
        <row r="54">
          <cell r="A54">
            <v>904</v>
          </cell>
          <cell r="B54">
            <v>1</v>
          </cell>
          <cell r="C54">
            <v>13.163</v>
          </cell>
          <cell r="D54">
            <v>56.2</v>
          </cell>
          <cell r="E54">
            <v>42.3</v>
          </cell>
          <cell r="F54">
            <v>48.8</v>
          </cell>
          <cell r="G54">
            <v>40</v>
          </cell>
          <cell r="H54">
            <v>52.5</v>
          </cell>
          <cell r="I54">
            <v>42.4</v>
          </cell>
          <cell r="J54">
            <v>54.4</v>
          </cell>
          <cell r="K54">
            <v>41.3</v>
          </cell>
          <cell r="L54">
            <v>51.4</v>
          </cell>
          <cell r="M54">
            <v>40.4</v>
          </cell>
          <cell r="N54">
            <v>53.8</v>
          </cell>
          <cell r="O54">
            <v>42.3</v>
          </cell>
        </row>
        <row r="55">
          <cell r="A55">
            <v>904</v>
          </cell>
          <cell r="B55">
            <v>2</v>
          </cell>
          <cell r="C55">
            <v>13.167</v>
          </cell>
          <cell r="D55">
            <v>37.700000000000003</v>
          </cell>
          <cell r="E55">
            <v>42</v>
          </cell>
          <cell r="F55">
            <v>38</v>
          </cell>
          <cell r="G55">
            <v>40.5</v>
          </cell>
          <cell r="H55">
            <v>40.799999999999997</v>
          </cell>
          <cell r="I55">
            <v>36.1</v>
          </cell>
          <cell r="J55">
            <v>39.5</v>
          </cell>
          <cell r="K55">
            <v>39</v>
          </cell>
          <cell r="L55">
            <v>37.4</v>
          </cell>
          <cell r="M55">
            <v>40.5</v>
          </cell>
          <cell r="N55">
            <v>37.700000000000003</v>
          </cell>
          <cell r="O55">
            <v>43.7</v>
          </cell>
        </row>
        <row r="56">
          <cell r="A56">
            <v>903</v>
          </cell>
          <cell r="B56">
            <v>1</v>
          </cell>
          <cell r="C56">
            <v>13.179</v>
          </cell>
          <cell r="D56">
            <v>53.7</v>
          </cell>
          <cell r="E56">
            <v>55.8</v>
          </cell>
          <cell r="F56">
            <v>55.3</v>
          </cell>
          <cell r="G56">
            <v>55.5</v>
          </cell>
          <cell r="H56">
            <v>56.2</v>
          </cell>
          <cell r="I56">
            <v>55.3</v>
          </cell>
          <cell r="J56">
            <v>55.4</v>
          </cell>
          <cell r="K56">
            <v>55.5</v>
          </cell>
          <cell r="L56">
            <v>55.4</v>
          </cell>
          <cell r="M56">
            <v>55.1</v>
          </cell>
          <cell r="N56">
            <v>55.1</v>
          </cell>
          <cell r="O56">
            <v>55.3</v>
          </cell>
        </row>
        <row r="58">
          <cell r="A58">
            <v>902</v>
          </cell>
          <cell r="B58">
            <v>1</v>
          </cell>
          <cell r="C58">
            <v>13.185</v>
          </cell>
          <cell r="D58">
            <v>42.3</v>
          </cell>
          <cell r="E58">
            <v>40.299999999999997</v>
          </cell>
          <cell r="F58">
            <v>47.3</v>
          </cell>
          <cell r="G58">
            <v>40.9</v>
          </cell>
          <cell r="H58">
            <v>42.2</v>
          </cell>
          <cell r="I58">
            <v>39.1</v>
          </cell>
          <cell r="J58">
            <v>43.4</v>
          </cell>
          <cell r="K58">
            <v>39.299999999999997</v>
          </cell>
          <cell r="L58">
            <v>42.2</v>
          </cell>
          <cell r="M58">
            <v>39</v>
          </cell>
          <cell r="N58">
            <v>45.6</v>
          </cell>
          <cell r="O58">
            <v>38.5</v>
          </cell>
        </row>
        <row r="59">
          <cell r="A59">
            <v>902</v>
          </cell>
          <cell r="B59">
            <v>2</v>
          </cell>
          <cell r="C59">
            <v>13.19</v>
          </cell>
          <cell r="D59">
            <v>33.6</v>
          </cell>
          <cell r="E59">
            <v>34.1</v>
          </cell>
          <cell r="F59">
            <v>35</v>
          </cell>
          <cell r="G59">
            <v>36.9</v>
          </cell>
          <cell r="H59">
            <v>34.299999999999997</v>
          </cell>
          <cell r="I59">
            <v>33.4</v>
          </cell>
          <cell r="J59">
            <v>33.700000000000003</v>
          </cell>
          <cell r="K59">
            <v>34.9</v>
          </cell>
          <cell r="L59">
            <v>34.5</v>
          </cell>
          <cell r="M59">
            <v>34.5</v>
          </cell>
          <cell r="N59">
            <v>33</v>
          </cell>
          <cell r="O59">
            <v>33.5</v>
          </cell>
        </row>
        <row r="60">
          <cell r="A60">
            <v>901</v>
          </cell>
          <cell r="B60">
            <v>1</v>
          </cell>
          <cell r="C60">
            <v>13.199</v>
          </cell>
          <cell r="D60">
            <v>52.3</v>
          </cell>
          <cell r="E60">
            <v>52.1</v>
          </cell>
          <cell r="F60">
            <v>51.1</v>
          </cell>
          <cell r="G60">
            <v>51.3</v>
          </cell>
          <cell r="H60">
            <v>51</v>
          </cell>
          <cell r="I60">
            <v>49.6</v>
          </cell>
          <cell r="J60">
            <v>50.1</v>
          </cell>
          <cell r="K60">
            <v>51.1</v>
          </cell>
          <cell r="L60">
            <v>51</v>
          </cell>
          <cell r="M60">
            <v>51</v>
          </cell>
          <cell r="N60">
            <v>51.7</v>
          </cell>
          <cell r="O60">
            <v>52.3</v>
          </cell>
        </row>
        <row r="62">
          <cell r="A62">
            <v>301</v>
          </cell>
          <cell r="B62">
            <v>1</v>
          </cell>
          <cell r="C62">
            <v>13.208</v>
          </cell>
          <cell r="D62">
            <v>31.6</v>
          </cell>
          <cell r="E62">
            <v>31.8</v>
          </cell>
          <cell r="F62">
            <v>31.2</v>
          </cell>
          <cell r="G62">
            <v>32.700000000000003</v>
          </cell>
          <cell r="H62">
            <v>31.3</v>
          </cell>
          <cell r="I62">
            <v>33.6</v>
          </cell>
          <cell r="J62">
            <v>31.6</v>
          </cell>
          <cell r="K62">
            <v>32.5</v>
          </cell>
          <cell r="L62">
            <v>31.5</v>
          </cell>
          <cell r="M62">
            <v>32.700000000000003</v>
          </cell>
          <cell r="N62">
            <v>34</v>
          </cell>
          <cell r="O62">
            <v>33.4</v>
          </cell>
        </row>
        <row r="63">
          <cell r="A63">
            <v>301</v>
          </cell>
          <cell r="B63">
            <v>2</v>
          </cell>
          <cell r="C63">
            <v>13.212999999999999</v>
          </cell>
          <cell r="D63">
            <v>31.7</v>
          </cell>
          <cell r="E63">
            <v>33.200000000000003</v>
          </cell>
          <cell r="F63">
            <v>32.700000000000003</v>
          </cell>
          <cell r="G63">
            <v>31.2</v>
          </cell>
          <cell r="H63">
            <v>31.3</v>
          </cell>
          <cell r="I63">
            <v>34.700000000000003</v>
          </cell>
          <cell r="J63">
            <v>33.200000000000003</v>
          </cell>
          <cell r="K63">
            <v>31</v>
          </cell>
          <cell r="L63">
            <v>33.1</v>
          </cell>
          <cell r="M63">
            <v>31.9</v>
          </cell>
          <cell r="N63">
            <v>31.4</v>
          </cell>
          <cell r="O63">
            <v>30.1</v>
          </cell>
        </row>
        <row r="64">
          <cell r="A64">
            <v>302</v>
          </cell>
          <cell r="B64">
            <v>1</v>
          </cell>
          <cell r="C64">
            <v>13.227</v>
          </cell>
          <cell r="D64">
            <v>31.8</v>
          </cell>
          <cell r="E64">
            <v>32.299999999999997</v>
          </cell>
          <cell r="F64">
            <v>32.299999999999997</v>
          </cell>
          <cell r="G64">
            <v>32.4</v>
          </cell>
          <cell r="H64">
            <v>32.5</v>
          </cell>
          <cell r="I64">
            <v>32.1</v>
          </cell>
          <cell r="J64">
            <v>31</v>
          </cell>
          <cell r="K64">
            <v>32</v>
          </cell>
          <cell r="L64">
            <v>31.1</v>
          </cell>
          <cell r="M64">
            <v>32.200000000000003</v>
          </cell>
          <cell r="N64">
            <v>31.3</v>
          </cell>
          <cell r="O64">
            <v>31.4</v>
          </cell>
        </row>
        <row r="65">
          <cell r="A65">
            <v>302</v>
          </cell>
          <cell r="B65">
            <v>2</v>
          </cell>
          <cell r="C65">
            <v>13.233000000000001</v>
          </cell>
          <cell r="D65">
            <v>34</v>
          </cell>
          <cell r="E65">
            <v>32.700000000000003</v>
          </cell>
          <cell r="F65">
            <v>32.1</v>
          </cell>
          <cell r="G65">
            <v>30.8</v>
          </cell>
          <cell r="H65">
            <v>29.9</v>
          </cell>
          <cell r="I65">
            <v>31.1</v>
          </cell>
          <cell r="J65">
            <v>31.7</v>
          </cell>
          <cell r="K65">
            <v>32.299999999999997</v>
          </cell>
          <cell r="L65">
            <v>31.7</v>
          </cell>
          <cell r="M65">
            <v>31.5</v>
          </cell>
          <cell r="N65">
            <v>33.4</v>
          </cell>
          <cell r="O65">
            <v>31</v>
          </cell>
        </row>
        <row r="66">
          <cell r="A66">
            <v>303</v>
          </cell>
          <cell r="B66">
            <v>1</v>
          </cell>
          <cell r="C66">
            <v>13.244</v>
          </cell>
          <cell r="D66">
            <v>29.4</v>
          </cell>
          <cell r="E66">
            <v>30.4</v>
          </cell>
          <cell r="F66">
            <v>29</v>
          </cell>
          <cell r="G66">
            <v>30.1</v>
          </cell>
          <cell r="H66">
            <v>29.3</v>
          </cell>
          <cell r="I66">
            <v>29.7</v>
          </cell>
          <cell r="J66">
            <v>30.4</v>
          </cell>
          <cell r="K66">
            <v>30.7</v>
          </cell>
          <cell r="L66">
            <v>30.7</v>
          </cell>
          <cell r="M66">
            <v>30.5</v>
          </cell>
          <cell r="N66">
            <v>30.1</v>
          </cell>
          <cell r="O66">
            <v>30.1</v>
          </cell>
        </row>
        <row r="67">
          <cell r="A67">
            <v>303</v>
          </cell>
          <cell r="B67">
            <v>2</v>
          </cell>
          <cell r="C67">
            <v>13.247999999999999</v>
          </cell>
          <cell r="D67">
            <v>30.1</v>
          </cell>
          <cell r="E67">
            <v>30</v>
          </cell>
          <cell r="F67">
            <v>29.8</v>
          </cell>
          <cell r="G67">
            <v>29.8</v>
          </cell>
          <cell r="H67">
            <v>31.1</v>
          </cell>
          <cell r="I67">
            <v>30.2</v>
          </cell>
          <cell r="J67">
            <v>28.9</v>
          </cell>
          <cell r="K67">
            <v>29.4</v>
          </cell>
          <cell r="L67">
            <v>30</v>
          </cell>
          <cell r="M67">
            <v>29.9</v>
          </cell>
          <cell r="N67">
            <v>29.7</v>
          </cell>
          <cell r="O67">
            <v>30.1</v>
          </cell>
        </row>
        <row r="68">
          <cell r="A68">
            <v>304</v>
          </cell>
          <cell r="B68">
            <v>1</v>
          </cell>
          <cell r="C68">
            <v>13.259</v>
          </cell>
          <cell r="D68">
            <v>32.6</v>
          </cell>
          <cell r="E68">
            <v>30.8</v>
          </cell>
          <cell r="F68">
            <v>30.5</v>
          </cell>
          <cell r="G68">
            <v>31.1</v>
          </cell>
          <cell r="H68">
            <v>31.2</v>
          </cell>
          <cell r="I68">
            <v>30.6</v>
          </cell>
          <cell r="J68">
            <v>30.5</v>
          </cell>
          <cell r="K68">
            <v>32</v>
          </cell>
          <cell r="L68">
            <v>31.4</v>
          </cell>
          <cell r="M68">
            <v>31.7</v>
          </cell>
          <cell r="N68">
            <v>31.3</v>
          </cell>
          <cell r="O68">
            <v>31</v>
          </cell>
        </row>
        <row r="69">
          <cell r="A69">
            <v>304</v>
          </cell>
          <cell r="B69">
            <v>2</v>
          </cell>
          <cell r="C69">
            <v>13.263999999999999</v>
          </cell>
          <cell r="D69">
            <v>32.1</v>
          </cell>
          <cell r="E69">
            <v>32.6</v>
          </cell>
          <cell r="F69">
            <v>30</v>
          </cell>
          <cell r="G69">
            <v>30.3</v>
          </cell>
          <cell r="H69">
            <v>31.7</v>
          </cell>
          <cell r="I69">
            <v>32.700000000000003</v>
          </cell>
          <cell r="J69">
            <v>34.5</v>
          </cell>
          <cell r="K69">
            <v>29.9</v>
          </cell>
          <cell r="L69">
            <v>31.8</v>
          </cell>
          <cell r="M69">
            <v>29.2</v>
          </cell>
          <cell r="N69">
            <v>30</v>
          </cell>
          <cell r="O69">
            <v>31</v>
          </cell>
        </row>
        <row r="70">
          <cell r="A70">
            <v>305</v>
          </cell>
          <cell r="B70">
            <v>1</v>
          </cell>
          <cell r="C70">
            <v>13.276</v>
          </cell>
          <cell r="D70">
            <v>32</v>
          </cell>
          <cell r="E70">
            <v>31.8</v>
          </cell>
          <cell r="F70">
            <v>31.8</v>
          </cell>
          <cell r="G70">
            <v>30.7</v>
          </cell>
          <cell r="H70">
            <v>29.6</v>
          </cell>
          <cell r="I70">
            <v>29.9</v>
          </cell>
          <cell r="J70">
            <v>29</v>
          </cell>
          <cell r="K70">
            <v>29.3</v>
          </cell>
          <cell r="L70">
            <v>29.4</v>
          </cell>
          <cell r="M70">
            <v>30.7</v>
          </cell>
          <cell r="N70">
            <v>29.7</v>
          </cell>
          <cell r="O70">
            <v>29.9</v>
          </cell>
        </row>
        <row r="71">
          <cell r="A71">
            <v>305</v>
          </cell>
          <cell r="B71">
            <v>2</v>
          </cell>
          <cell r="C71">
            <v>13.282</v>
          </cell>
          <cell r="D71">
            <v>30</v>
          </cell>
          <cell r="E71">
            <v>29.9</v>
          </cell>
          <cell r="F71">
            <v>29.8</v>
          </cell>
          <cell r="G71">
            <v>28.6</v>
          </cell>
          <cell r="H71">
            <v>28.9</v>
          </cell>
          <cell r="I71">
            <v>30.6</v>
          </cell>
          <cell r="J71">
            <v>30.7</v>
          </cell>
          <cell r="K71">
            <v>31.9</v>
          </cell>
          <cell r="L71">
            <v>33.200000000000003</v>
          </cell>
          <cell r="M71">
            <v>32.4</v>
          </cell>
          <cell r="N71">
            <v>31.2</v>
          </cell>
          <cell r="O71">
            <v>29.7</v>
          </cell>
        </row>
        <row r="72">
          <cell r="A72">
            <v>306</v>
          </cell>
          <cell r="B72">
            <v>1</v>
          </cell>
          <cell r="C72">
            <v>13.303000000000001</v>
          </cell>
          <cell r="D72">
            <v>29.8</v>
          </cell>
          <cell r="E72">
            <v>31.2</v>
          </cell>
          <cell r="F72">
            <v>30.8</v>
          </cell>
          <cell r="G72">
            <v>30.6</v>
          </cell>
          <cell r="H72">
            <v>30.8</v>
          </cell>
          <cell r="I72">
            <v>32</v>
          </cell>
          <cell r="J72">
            <v>30.7</v>
          </cell>
          <cell r="K72">
            <v>31</v>
          </cell>
          <cell r="L72">
            <v>30.4</v>
          </cell>
          <cell r="M72">
            <v>30.7</v>
          </cell>
          <cell r="N72">
            <v>29.7</v>
          </cell>
          <cell r="O72">
            <v>30</v>
          </cell>
        </row>
        <row r="73">
          <cell r="A73">
            <v>306</v>
          </cell>
          <cell r="B73">
            <v>2</v>
          </cell>
          <cell r="C73">
            <v>13.308</v>
          </cell>
          <cell r="D73">
            <v>30.1</v>
          </cell>
          <cell r="E73">
            <v>31.1</v>
          </cell>
          <cell r="F73">
            <v>29.7</v>
          </cell>
          <cell r="G73">
            <v>30.5</v>
          </cell>
          <cell r="H73">
            <v>30</v>
          </cell>
          <cell r="I73">
            <v>31.1</v>
          </cell>
          <cell r="J73">
            <v>31.4</v>
          </cell>
          <cell r="K73">
            <v>30.3</v>
          </cell>
          <cell r="L73">
            <v>30.1</v>
          </cell>
          <cell r="M73">
            <v>28.8</v>
          </cell>
          <cell r="N73">
            <v>29.2</v>
          </cell>
          <cell r="O73">
            <v>30.7</v>
          </cell>
        </row>
        <row r="74">
          <cell r="A74">
            <v>307</v>
          </cell>
          <cell r="B74">
            <v>1</v>
          </cell>
          <cell r="C74">
            <v>13.318</v>
          </cell>
          <cell r="D74">
            <v>31.4</v>
          </cell>
          <cell r="E74">
            <v>31.9</v>
          </cell>
          <cell r="F74">
            <v>31.6</v>
          </cell>
          <cell r="G74">
            <v>31.2</v>
          </cell>
          <cell r="H74">
            <v>30.5</v>
          </cell>
          <cell r="I74">
            <v>31.5</v>
          </cell>
          <cell r="J74">
            <v>30.1</v>
          </cell>
          <cell r="K74">
            <v>30.9</v>
          </cell>
          <cell r="L74">
            <v>28.6</v>
          </cell>
          <cell r="M74">
            <v>29.7</v>
          </cell>
          <cell r="N74">
            <v>29.6</v>
          </cell>
          <cell r="O74">
            <v>29.3</v>
          </cell>
        </row>
        <row r="75">
          <cell r="A75">
            <v>307</v>
          </cell>
          <cell r="B75">
            <v>2</v>
          </cell>
          <cell r="C75">
            <v>13.329000000000001</v>
          </cell>
          <cell r="D75">
            <v>31.6</v>
          </cell>
          <cell r="E75">
            <v>29</v>
          </cell>
          <cell r="F75">
            <v>30.9</v>
          </cell>
          <cell r="G75">
            <v>31.6</v>
          </cell>
          <cell r="H75">
            <v>32.4</v>
          </cell>
          <cell r="I75">
            <v>33.200000000000003</v>
          </cell>
          <cell r="J75">
            <v>33.700000000000003</v>
          </cell>
          <cell r="K75">
            <v>34.200000000000003</v>
          </cell>
          <cell r="L75">
            <v>32.299999999999997</v>
          </cell>
          <cell r="M75">
            <v>33.6</v>
          </cell>
          <cell r="N75">
            <v>32.299999999999997</v>
          </cell>
          <cell r="O75">
            <v>31.9</v>
          </cell>
        </row>
        <row r="76">
          <cell r="A76">
            <v>308</v>
          </cell>
          <cell r="B76">
            <v>1</v>
          </cell>
          <cell r="C76">
            <v>13.34</v>
          </cell>
          <cell r="D76">
            <v>30.8</v>
          </cell>
          <cell r="E76">
            <v>30.2</v>
          </cell>
          <cell r="F76">
            <v>31.1</v>
          </cell>
          <cell r="G76">
            <v>29.9</v>
          </cell>
          <cell r="H76">
            <v>29.9</v>
          </cell>
          <cell r="I76">
            <v>29</v>
          </cell>
          <cell r="J76">
            <v>29.4</v>
          </cell>
          <cell r="K76">
            <v>29.8</v>
          </cell>
          <cell r="L76">
            <v>29</v>
          </cell>
          <cell r="M76">
            <v>30.6</v>
          </cell>
          <cell r="N76">
            <v>29.6</v>
          </cell>
          <cell r="O76">
            <v>30.4</v>
          </cell>
        </row>
        <row r="77">
          <cell r="A77">
            <v>308</v>
          </cell>
          <cell r="B77">
            <v>2</v>
          </cell>
          <cell r="C77">
            <v>13.345000000000001</v>
          </cell>
          <cell r="D77">
            <v>30.8</v>
          </cell>
          <cell r="E77">
            <v>29.7</v>
          </cell>
          <cell r="F77">
            <v>29.7</v>
          </cell>
          <cell r="G77">
            <v>31.3</v>
          </cell>
          <cell r="H77">
            <v>30.7</v>
          </cell>
          <cell r="I77">
            <v>28.5</v>
          </cell>
          <cell r="J77">
            <v>29.1</v>
          </cell>
          <cell r="K77">
            <v>29.7</v>
          </cell>
          <cell r="L77">
            <v>29.5</v>
          </cell>
          <cell r="M77">
            <v>29.2</v>
          </cell>
          <cell r="N77">
            <v>30.7</v>
          </cell>
          <cell r="O77">
            <v>30.3</v>
          </cell>
        </row>
        <row r="78">
          <cell r="A78">
            <v>408</v>
          </cell>
          <cell r="B78">
            <v>1</v>
          </cell>
          <cell r="C78">
            <v>13.365</v>
          </cell>
          <cell r="D78">
            <v>30.1</v>
          </cell>
          <cell r="E78">
            <v>29.7</v>
          </cell>
          <cell r="F78">
            <v>29.2</v>
          </cell>
          <cell r="G78">
            <v>29.1</v>
          </cell>
          <cell r="H78">
            <v>29.2</v>
          </cell>
          <cell r="I78">
            <v>29.4</v>
          </cell>
          <cell r="J78">
            <v>29.5</v>
          </cell>
          <cell r="K78">
            <v>29</v>
          </cell>
          <cell r="L78">
            <v>28.8</v>
          </cell>
          <cell r="M78">
            <v>29.1</v>
          </cell>
          <cell r="N78">
            <v>29.3</v>
          </cell>
          <cell r="O78">
            <v>29.5</v>
          </cell>
        </row>
        <row r="79">
          <cell r="A79">
            <v>408</v>
          </cell>
          <cell r="B79">
            <v>2</v>
          </cell>
          <cell r="C79">
            <v>13.37</v>
          </cell>
          <cell r="D79">
            <v>30.3</v>
          </cell>
          <cell r="E79">
            <v>30.2</v>
          </cell>
          <cell r="F79">
            <v>28</v>
          </cell>
          <cell r="G79">
            <v>28.5</v>
          </cell>
          <cell r="H79">
            <v>29.9</v>
          </cell>
          <cell r="I79">
            <v>30.1</v>
          </cell>
          <cell r="J79">
            <v>29.6</v>
          </cell>
          <cell r="K79">
            <v>29.3</v>
          </cell>
          <cell r="L79">
            <v>30.1</v>
          </cell>
          <cell r="M79">
            <v>30.3</v>
          </cell>
          <cell r="N79">
            <v>28</v>
          </cell>
          <cell r="O79">
            <v>28.3</v>
          </cell>
        </row>
        <row r="80">
          <cell r="A80">
            <v>407</v>
          </cell>
          <cell r="B80">
            <v>1</v>
          </cell>
          <cell r="C80">
            <v>13.381</v>
          </cell>
          <cell r="D80">
            <v>31.2</v>
          </cell>
          <cell r="E80">
            <v>31.4</v>
          </cell>
          <cell r="F80">
            <v>30.3</v>
          </cell>
          <cell r="G80">
            <v>30.4</v>
          </cell>
          <cell r="H80">
            <v>28.7</v>
          </cell>
          <cell r="I80">
            <v>29.5</v>
          </cell>
          <cell r="J80">
            <v>29</v>
          </cell>
          <cell r="K80">
            <v>29.2</v>
          </cell>
          <cell r="L80">
            <v>29.2</v>
          </cell>
          <cell r="M80">
            <v>29.6</v>
          </cell>
          <cell r="N80">
            <v>27.9</v>
          </cell>
          <cell r="O80">
            <v>29.8</v>
          </cell>
        </row>
        <row r="81">
          <cell r="A81">
            <v>407</v>
          </cell>
          <cell r="B81">
            <v>2</v>
          </cell>
          <cell r="C81">
            <v>13.385999999999999</v>
          </cell>
          <cell r="D81">
            <v>29.4</v>
          </cell>
          <cell r="E81">
            <v>29.7</v>
          </cell>
          <cell r="F81">
            <v>29.8</v>
          </cell>
          <cell r="G81">
            <v>30.5</v>
          </cell>
          <cell r="H81">
            <v>29.9</v>
          </cell>
          <cell r="I81">
            <v>30.4</v>
          </cell>
          <cell r="J81">
            <v>30.9</v>
          </cell>
          <cell r="K81">
            <v>30.2</v>
          </cell>
          <cell r="L81">
            <v>29.8</v>
          </cell>
          <cell r="M81">
            <v>29.4</v>
          </cell>
          <cell r="N81">
            <v>30.8</v>
          </cell>
          <cell r="O81">
            <v>30.6</v>
          </cell>
        </row>
        <row r="82">
          <cell r="A82">
            <v>406</v>
          </cell>
          <cell r="B82">
            <v>1</v>
          </cell>
          <cell r="C82">
            <v>13.398</v>
          </cell>
          <cell r="D82">
            <v>32.299999999999997</v>
          </cell>
          <cell r="E82">
            <v>32.1</v>
          </cell>
          <cell r="F82">
            <v>31.9</v>
          </cell>
          <cell r="G82">
            <v>32.4</v>
          </cell>
          <cell r="H82">
            <v>30.6</v>
          </cell>
          <cell r="I82">
            <v>30.9</v>
          </cell>
          <cell r="J82">
            <v>30.5</v>
          </cell>
          <cell r="K82">
            <v>30.9</v>
          </cell>
          <cell r="L82">
            <v>30.2</v>
          </cell>
          <cell r="M82">
            <v>30.6</v>
          </cell>
          <cell r="N82">
            <v>30.4</v>
          </cell>
          <cell r="O82">
            <v>31.3</v>
          </cell>
        </row>
        <row r="83">
          <cell r="A83">
            <v>406</v>
          </cell>
          <cell r="B83">
            <v>2</v>
          </cell>
          <cell r="C83">
            <v>13.401999999999999</v>
          </cell>
          <cell r="D83">
            <v>29.9</v>
          </cell>
          <cell r="E83">
            <v>30.7</v>
          </cell>
          <cell r="F83">
            <v>32.6</v>
          </cell>
          <cell r="G83">
            <v>31.2</v>
          </cell>
          <cell r="H83">
            <v>30</v>
          </cell>
          <cell r="I83">
            <v>33.4</v>
          </cell>
          <cell r="J83">
            <v>34.1</v>
          </cell>
          <cell r="K83">
            <v>31.3</v>
          </cell>
          <cell r="L83">
            <v>32.299999999999997</v>
          </cell>
          <cell r="M83">
            <v>30.9</v>
          </cell>
          <cell r="N83">
            <v>32</v>
          </cell>
          <cell r="O83">
            <v>31.8</v>
          </cell>
        </row>
        <row r="84">
          <cell r="A84">
            <v>405</v>
          </cell>
          <cell r="B84">
            <v>1</v>
          </cell>
          <cell r="C84">
            <v>13.416</v>
          </cell>
          <cell r="D84">
            <v>31.6</v>
          </cell>
          <cell r="E84">
            <v>31.5</v>
          </cell>
          <cell r="F84">
            <v>31</v>
          </cell>
          <cell r="G84">
            <v>31.4</v>
          </cell>
          <cell r="H84">
            <v>31.3</v>
          </cell>
          <cell r="I84">
            <v>31.7</v>
          </cell>
          <cell r="J84">
            <v>30.3</v>
          </cell>
          <cell r="K84">
            <v>31.3</v>
          </cell>
          <cell r="L84">
            <v>31.6</v>
          </cell>
          <cell r="M84">
            <v>31.6</v>
          </cell>
          <cell r="N84">
            <v>31.1</v>
          </cell>
          <cell r="O84">
            <v>30.7</v>
          </cell>
        </row>
        <row r="85">
          <cell r="A85">
            <v>405</v>
          </cell>
          <cell r="B85">
            <v>2</v>
          </cell>
          <cell r="C85">
            <v>13.420999999999999</v>
          </cell>
          <cell r="D85">
            <v>31.1</v>
          </cell>
          <cell r="E85">
            <v>29.8</v>
          </cell>
          <cell r="F85">
            <v>32.5</v>
          </cell>
          <cell r="G85">
            <v>30.9</v>
          </cell>
          <cell r="H85">
            <v>31</v>
          </cell>
          <cell r="I85">
            <v>29</v>
          </cell>
          <cell r="J85">
            <v>33.4</v>
          </cell>
          <cell r="K85">
            <v>30.1</v>
          </cell>
          <cell r="L85">
            <v>29.8</v>
          </cell>
          <cell r="M85">
            <v>30.4</v>
          </cell>
          <cell r="N85">
            <v>29.8</v>
          </cell>
          <cell r="O85">
            <v>30.8</v>
          </cell>
        </row>
        <row r="86">
          <cell r="A86">
            <v>404</v>
          </cell>
          <cell r="B86">
            <v>1</v>
          </cell>
          <cell r="C86">
            <v>13.433999999999999</v>
          </cell>
          <cell r="D86">
            <v>33</v>
          </cell>
          <cell r="E86">
            <v>33</v>
          </cell>
          <cell r="F86">
            <v>32.6</v>
          </cell>
          <cell r="G86">
            <v>32.700000000000003</v>
          </cell>
          <cell r="H86">
            <v>32.1</v>
          </cell>
          <cell r="I86">
            <v>31.5</v>
          </cell>
          <cell r="J86">
            <v>31.1</v>
          </cell>
          <cell r="K86">
            <v>32.4</v>
          </cell>
          <cell r="L86">
            <v>31.4</v>
          </cell>
          <cell r="M86">
            <v>32.9</v>
          </cell>
          <cell r="N86">
            <v>32.799999999999997</v>
          </cell>
          <cell r="O86">
            <v>32.700000000000003</v>
          </cell>
        </row>
        <row r="87">
          <cell r="A87">
            <v>404</v>
          </cell>
          <cell r="B87">
            <v>2</v>
          </cell>
          <cell r="C87">
            <v>13.439</v>
          </cell>
          <cell r="D87">
            <v>30.9</v>
          </cell>
          <cell r="E87">
            <v>31.9</v>
          </cell>
          <cell r="F87">
            <v>32.799999999999997</v>
          </cell>
          <cell r="G87">
            <v>32</v>
          </cell>
          <cell r="H87">
            <v>33.799999999999997</v>
          </cell>
          <cell r="I87">
            <v>32.299999999999997</v>
          </cell>
          <cell r="J87">
            <v>33.5</v>
          </cell>
          <cell r="K87">
            <v>32.700000000000003</v>
          </cell>
          <cell r="L87">
            <v>35.700000000000003</v>
          </cell>
          <cell r="M87">
            <v>32.9</v>
          </cell>
          <cell r="N87">
            <v>32.1</v>
          </cell>
          <cell r="O87">
            <v>32.700000000000003</v>
          </cell>
        </row>
        <row r="88">
          <cell r="A88">
            <v>403</v>
          </cell>
          <cell r="B88">
            <v>1</v>
          </cell>
          <cell r="C88">
            <v>13.449</v>
          </cell>
          <cell r="D88">
            <v>31.6</v>
          </cell>
          <cell r="E88">
            <v>30.9</v>
          </cell>
          <cell r="F88">
            <v>30.3</v>
          </cell>
          <cell r="G88">
            <v>30.5</v>
          </cell>
          <cell r="H88">
            <v>29.5</v>
          </cell>
          <cell r="I88">
            <v>30.3</v>
          </cell>
          <cell r="J88">
            <v>30.2</v>
          </cell>
          <cell r="K88">
            <v>30.4</v>
          </cell>
          <cell r="L88">
            <v>28.9</v>
          </cell>
          <cell r="M88">
            <v>30</v>
          </cell>
          <cell r="N88">
            <v>29.9</v>
          </cell>
          <cell r="O88">
            <v>30.2</v>
          </cell>
        </row>
        <row r="89">
          <cell r="A89">
            <v>403</v>
          </cell>
          <cell r="B89">
            <v>2</v>
          </cell>
          <cell r="C89">
            <v>13.454000000000001</v>
          </cell>
          <cell r="D89">
            <v>30.8</v>
          </cell>
          <cell r="E89">
            <v>29.8</v>
          </cell>
          <cell r="F89">
            <v>29.9</v>
          </cell>
          <cell r="G89">
            <v>29.8</v>
          </cell>
          <cell r="H89">
            <v>34.700000000000003</v>
          </cell>
          <cell r="I89">
            <v>30.8</v>
          </cell>
          <cell r="J89">
            <v>30.7</v>
          </cell>
          <cell r="K89">
            <v>28</v>
          </cell>
          <cell r="L89">
            <v>30.3</v>
          </cell>
          <cell r="M89">
            <v>31.2</v>
          </cell>
          <cell r="N89">
            <v>29.9</v>
          </cell>
          <cell r="O89">
            <v>31.4</v>
          </cell>
        </row>
        <row r="90">
          <cell r="A90">
            <v>402</v>
          </cell>
          <cell r="B90">
            <v>1</v>
          </cell>
          <cell r="C90">
            <v>13.465</v>
          </cell>
          <cell r="D90">
            <v>31</v>
          </cell>
          <cell r="E90">
            <v>31.2</v>
          </cell>
          <cell r="F90">
            <v>30</v>
          </cell>
          <cell r="G90">
            <v>31.7</v>
          </cell>
          <cell r="H90">
            <v>29.2</v>
          </cell>
          <cell r="I90">
            <v>29</v>
          </cell>
          <cell r="J90">
            <v>28.9</v>
          </cell>
          <cell r="K90">
            <v>29.1</v>
          </cell>
          <cell r="L90">
            <v>29.2</v>
          </cell>
          <cell r="M90">
            <v>30.5</v>
          </cell>
          <cell r="N90">
            <v>29.5</v>
          </cell>
          <cell r="O90">
            <v>30.6</v>
          </cell>
        </row>
        <row r="91">
          <cell r="A91">
            <v>402</v>
          </cell>
          <cell r="B91">
            <v>2</v>
          </cell>
          <cell r="C91">
            <v>13.47</v>
          </cell>
          <cell r="D91">
            <v>31.2</v>
          </cell>
          <cell r="E91">
            <v>30.7</v>
          </cell>
          <cell r="F91">
            <v>30.1</v>
          </cell>
          <cell r="G91">
            <v>31.5</v>
          </cell>
          <cell r="H91">
            <v>30.4</v>
          </cell>
          <cell r="I91">
            <v>28.8</v>
          </cell>
          <cell r="J91">
            <v>29.1</v>
          </cell>
          <cell r="K91">
            <v>28.6</v>
          </cell>
          <cell r="L91">
            <v>30.2</v>
          </cell>
          <cell r="M91">
            <v>29.7</v>
          </cell>
          <cell r="N91">
            <v>29.2</v>
          </cell>
          <cell r="O91">
            <v>31.9</v>
          </cell>
        </row>
        <row r="92">
          <cell r="A92">
            <v>401</v>
          </cell>
          <cell r="B92">
            <v>1</v>
          </cell>
          <cell r="C92">
            <v>13.486000000000001</v>
          </cell>
          <cell r="D92">
            <v>30.1</v>
          </cell>
          <cell r="E92">
            <v>30.1</v>
          </cell>
          <cell r="F92">
            <v>29.8</v>
          </cell>
          <cell r="G92">
            <v>29.9</v>
          </cell>
          <cell r="H92">
            <v>29</v>
          </cell>
          <cell r="I92">
            <v>29.6</v>
          </cell>
          <cell r="J92">
            <v>29.3</v>
          </cell>
          <cell r="K92">
            <v>29.4</v>
          </cell>
          <cell r="L92">
            <v>28.6</v>
          </cell>
          <cell r="M92">
            <v>30.5</v>
          </cell>
          <cell r="N92">
            <v>27.9</v>
          </cell>
          <cell r="O92">
            <v>30.1</v>
          </cell>
        </row>
        <row r="93">
          <cell r="A93">
            <v>401</v>
          </cell>
          <cell r="B93">
            <v>2</v>
          </cell>
          <cell r="C93">
            <v>13.49</v>
          </cell>
          <cell r="D93">
            <v>31</v>
          </cell>
          <cell r="E93">
            <v>31.3</v>
          </cell>
          <cell r="F93">
            <v>30.8</v>
          </cell>
          <cell r="G93">
            <v>31.2</v>
          </cell>
          <cell r="H93">
            <v>30.2</v>
          </cell>
          <cell r="I93">
            <v>32.4</v>
          </cell>
          <cell r="J93">
            <v>31.9</v>
          </cell>
          <cell r="K93">
            <v>31.3</v>
          </cell>
          <cell r="L93">
            <v>31.4</v>
          </cell>
          <cell r="M93">
            <v>31.1</v>
          </cell>
          <cell r="N93">
            <v>29.5</v>
          </cell>
          <cell r="O93">
            <v>29.6</v>
          </cell>
        </row>
      </sheetData>
      <sheetData sheetId="2">
        <row r="7">
          <cell r="C7">
            <v>248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35.450000000000003</v>
          </cell>
        </row>
        <row r="29">
          <cell r="E29">
            <v>4.015858040875063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'IA251.03R'</v>
          </cell>
        </row>
        <row r="14">
          <cell r="A14">
            <v>108</v>
          </cell>
          <cell r="B14">
            <v>1</v>
          </cell>
          <cell r="C14">
            <v>12.891999999999999</v>
          </cell>
          <cell r="D14">
            <v>35.799999999999997</v>
          </cell>
          <cell r="E14">
            <v>35.1</v>
          </cell>
          <cell r="F14">
            <v>34.299999999999997</v>
          </cell>
          <cell r="G14">
            <v>34.5</v>
          </cell>
          <cell r="H14">
            <v>33.4</v>
          </cell>
          <cell r="I14">
            <v>36.1</v>
          </cell>
          <cell r="J14">
            <v>34.299999999999997</v>
          </cell>
          <cell r="K14">
            <v>34.299999999999997</v>
          </cell>
          <cell r="L14">
            <v>36.1</v>
          </cell>
          <cell r="M14">
            <v>35.299999999999997</v>
          </cell>
          <cell r="N14">
            <v>32.799999999999997</v>
          </cell>
          <cell r="O14">
            <v>33.200000000000003</v>
          </cell>
        </row>
        <row r="15">
          <cell r="A15">
            <v>108</v>
          </cell>
          <cell r="B15">
            <v>2</v>
          </cell>
          <cell r="C15">
            <v>12.897</v>
          </cell>
          <cell r="D15">
            <v>33.700000000000003</v>
          </cell>
          <cell r="E15">
            <v>33.1</v>
          </cell>
          <cell r="F15">
            <v>34</v>
          </cell>
          <cell r="G15">
            <v>34.799999999999997</v>
          </cell>
          <cell r="H15">
            <v>34.700000000000003</v>
          </cell>
          <cell r="I15">
            <v>36.1</v>
          </cell>
          <cell r="J15">
            <v>36.5</v>
          </cell>
          <cell r="K15">
            <v>34.700000000000003</v>
          </cell>
          <cell r="L15">
            <v>34.799999999999997</v>
          </cell>
          <cell r="M15">
            <v>34.9</v>
          </cell>
          <cell r="N15">
            <v>36</v>
          </cell>
          <cell r="O15">
            <v>36.299999999999997</v>
          </cell>
        </row>
        <row r="16">
          <cell r="A16">
            <v>107</v>
          </cell>
          <cell r="B16">
            <v>1</v>
          </cell>
          <cell r="C16">
            <v>12.906000000000001</v>
          </cell>
          <cell r="D16">
            <v>33.1</v>
          </cell>
          <cell r="E16">
            <v>34.5</v>
          </cell>
          <cell r="F16">
            <v>35</v>
          </cell>
          <cell r="G16">
            <v>34.700000000000003</v>
          </cell>
          <cell r="H16">
            <v>33</v>
          </cell>
          <cell r="I16">
            <v>31.2</v>
          </cell>
          <cell r="J16">
            <v>31.6</v>
          </cell>
          <cell r="K16">
            <v>32.700000000000003</v>
          </cell>
          <cell r="L16">
            <v>33.4</v>
          </cell>
          <cell r="M16">
            <v>32.799999999999997</v>
          </cell>
          <cell r="N16">
            <v>32.6</v>
          </cell>
          <cell r="O16">
            <v>32.299999999999997</v>
          </cell>
        </row>
        <row r="17">
          <cell r="A17">
            <v>107</v>
          </cell>
          <cell r="B17">
            <v>2</v>
          </cell>
          <cell r="C17">
            <v>12.91</v>
          </cell>
          <cell r="D17">
            <v>32.4</v>
          </cell>
          <cell r="E17">
            <v>32.700000000000003</v>
          </cell>
          <cell r="F17">
            <v>33.6</v>
          </cell>
          <cell r="G17">
            <v>34.299999999999997</v>
          </cell>
          <cell r="H17">
            <v>30.6</v>
          </cell>
          <cell r="I17">
            <v>35.299999999999997</v>
          </cell>
          <cell r="J17">
            <v>36.200000000000003</v>
          </cell>
          <cell r="K17">
            <v>31.5</v>
          </cell>
          <cell r="L17">
            <v>30.8</v>
          </cell>
          <cell r="M17">
            <v>38.1</v>
          </cell>
          <cell r="N17">
            <v>30.9</v>
          </cell>
          <cell r="O17">
            <v>32.4</v>
          </cell>
        </row>
        <row r="18">
          <cell r="A18">
            <v>106</v>
          </cell>
          <cell r="B18">
            <v>1</v>
          </cell>
          <cell r="C18">
            <v>12.922000000000001</v>
          </cell>
          <cell r="D18">
            <v>32.700000000000003</v>
          </cell>
          <cell r="E18">
            <v>31.7</v>
          </cell>
          <cell r="F18">
            <v>32.299999999999997</v>
          </cell>
          <cell r="G18">
            <v>32.1</v>
          </cell>
          <cell r="H18">
            <v>32.1</v>
          </cell>
          <cell r="I18">
            <v>32.700000000000003</v>
          </cell>
          <cell r="J18">
            <v>31.8</v>
          </cell>
          <cell r="K18">
            <v>31.2</v>
          </cell>
          <cell r="L18">
            <v>31.2</v>
          </cell>
          <cell r="M18">
            <v>32.1</v>
          </cell>
          <cell r="N18">
            <v>31.8</v>
          </cell>
          <cell r="O18">
            <v>31</v>
          </cell>
        </row>
        <row r="19">
          <cell r="A19">
            <v>106</v>
          </cell>
          <cell r="B19">
            <v>2</v>
          </cell>
          <cell r="C19">
            <v>12.927</v>
          </cell>
          <cell r="D19">
            <v>35.799999999999997</v>
          </cell>
          <cell r="E19">
            <v>32.5</v>
          </cell>
          <cell r="F19">
            <v>32.799999999999997</v>
          </cell>
          <cell r="G19">
            <v>31.9</v>
          </cell>
          <cell r="H19">
            <v>30.3</v>
          </cell>
          <cell r="I19">
            <v>32.1</v>
          </cell>
          <cell r="J19">
            <v>33</v>
          </cell>
          <cell r="K19">
            <v>33.1</v>
          </cell>
          <cell r="L19">
            <v>34.299999999999997</v>
          </cell>
          <cell r="M19">
            <v>34.9</v>
          </cell>
          <cell r="N19">
            <v>34.700000000000003</v>
          </cell>
          <cell r="O19">
            <v>33.799999999999997</v>
          </cell>
        </row>
        <row r="20">
          <cell r="A20">
            <v>105</v>
          </cell>
          <cell r="B20">
            <v>1</v>
          </cell>
          <cell r="C20">
            <v>12.936999999999999</v>
          </cell>
          <cell r="D20">
            <v>33.799999999999997</v>
          </cell>
          <cell r="E20">
            <v>32.799999999999997</v>
          </cell>
          <cell r="F20">
            <v>32.200000000000003</v>
          </cell>
          <cell r="G20">
            <v>31.4</v>
          </cell>
          <cell r="H20">
            <v>30.9</v>
          </cell>
          <cell r="I20">
            <v>31.3</v>
          </cell>
          <cell r="J20">
            <v>32.200000000000003</v>
          </cell>
          <cell r="K20">
            <v>32.1</v>
          </cell>
          <cell r="L20">
            <v>33.1</v>
          </cell>
          <cell r="M20">
            <v>32.4</v>
          </cell>
          <cell r="N20">
            <v>33.200000000000003</v>
          </cell>
          <cell r="O20">
            <v>32.200000000000003</v>
          </cell>
        </row>
        <row r="21">
          <cell r="A21">
            <v>105</v>
          </cell>
          <cell r="B21">
            <v>2</v>
          </cell>
          <cell r="C21">
            <v>12.942</v>
          </cell>
          <cell r="D21">
            <v>32.200000000000003</v>
          </cell>
          <cell r="E21">
            <v>32.200000000000003</v>
          </cell>
          <cell r="F21">
            <v>30.1</v>
          </cell>
          <cell r="G21">
            <v>32.6</v>
          </cell>
          <cell r="H21">
            <v>31.9</v>
          </cell>
          <cell r="I21">
            <v>35</v>
          </cell>
          <cell r="J21">
            <v>30.7</v>
          </cell>
          <cell r="K21">
            <v>32.5</v>
          </cell>
          <cell r="L21">
            <v>33.799999999999997</v>
          </cell>
          <cell r="M21">
            <v>34.299999999999997</v>
          </cell>
          <cell r="N21">
            <v>33.5</v>
          </cell>
          <cell r="O21">
            <v>33.700000000000003</v>
          </cell>
        </row>
        <row r="22">
          <cell r="A22">
            <v>104</v>
          </cell>
          <cell r="B22">
            <v>1</v>
          </cell>
          <cell r="C22">
            <v>12.952</v>
          </cell>
          <cell r="D22">
            <v>34.299999999999997</v>
          </cell>
          <cell r="E22">
            <v>32.200000000000003</v>
          </cell>
          <cell r="F22">
            <v>31.7</v>
          </cell>
          <cell r="G22">
            <v>31.8</v>
          </cell>
          <cell r="H22">
            <v>32.299999999999997</v>
          </cell>
          <cell r="I22">
            <v>32.200000000000003</v>
          </cell>
          <cell r="J22">
            <v>31.4</v>
          </cell>
          <cell r="K22">
            <v>31.3</v>
          </cell>
          <cell r="L22">
            <v>32.1</v>
          </cell>
          <cell r="M22">
            <v>33.299999999999997</v>
          </cell>
          <cell r="N22">
            <v>32.5</v>
          </cell>
          <cell r="O22">
            <v>33.5</v>
          </cell>
        </row>
        <row r="23">
          <cell r="A23">
            <v>104</v>
          </cell>
          <cell r="B23">
            <v>2</v>
          </cell>
          <cell r="C23">
            <v>12.957000000000001</v>
          </cell>
          <cell r="D23">
            <v>35.1</v>
          </cell>
          <cell r="E23">
            <v>30.4</v>
          </cell>
          <cell r="F23">
            <v>30.6</v>
          </cell>
          <cell r="G23">
            <v>30.5</v>
          </cell>
          <cell r="H23">
            <v>33.4</v>
          </cell>
          <cell r="I23">
            <v>29.5</v>
          </cell>
          <cell r="J23">
            <v>29.4</v>
          </cell>
          <cell r="K23">
            <v>31.2</v>
          </cell>
          <cell r="L23">
            <v>31.3</v>
          </cell>
          <cell r="M23">
            <v>35</v>
          </cell>
          <cell r="N23">
            <v>30.4</v>
          </cell>
          <cell r="O23">
            <v>29.1</v>
          </cell>
        </row>
        <row r="24">
          <cell r="A24">
            <v>103</v>
          </cell>
          <cell r="B24">
            <v>1</v>
          </cell>
          <cell r="C24">
            <v>12.967000000000001</v>
          </cell>
          <cell r="D24">
            <v>32.1</v>
          </cell>
          <cell r="E24">
            <v>33.200000000000003</v>
          </cell>
          <cell r="F24">
            <v>32.1</v>
          </cell>
          <cell r="G24">
            <v>33.5</v>
          </cell>
          <cell r="H24">
            <v>32.5</v>
          </cell>
          <cell r="I24">
            <v>33.1</v>
          </cell>
          <cell r="J24">
            <v>33.799999999999997</v>
          </cell>
          <cell r="K24">
            <v>34.5</v>
          </cell>
          <cell r="L24">
            <v>33.299999999999997</v>
          </cell>
          <cell r="M24">
            <v>33.700000000000003</v>
          </cell>
          <cell r="N24">
            <v>32.200000000000003</v>
          </cell>
          <cell r="O24">
            <v>32.299999999999997</v>
          </cell>
        </row>
        <row r="25">
          <cell r="A25">
            <v>103</v>
          </cell>
          <cell r="B25">
            <v>2</v>
          </cell>
          <cell r="C25">
            <v>12.973000000000001</v>
          </cell>
          <cell r="D25">
            <v>32.9</v>
          </cell>
          <cell r="E25">
            <v>32.9</v>
          </cell>
          <cell r="F25">
            <v>31.8</v>
          </cell>
          <cell r="G25">
            <v>32.1</v>
          </cell>
          <cell r="H25">
            <v>31.8</v>
          </cell>
          <cell r="I25">
            <v>29.3</v>
          </cell>
          <cell r="J25">
            <v>32.5</v>
          </cell>
          <cell r="K25">
            <v>32.4</v>
          </cell>
          <cell r="L25">
            <v>31.4</v>
          </cell>
          <cell r="M25">
            <v>33.6</v>
          </cell>
          <cell r="N25">
            <v>35.9</v>
          </cell>
          <cell r="O25">
            <v>32.799999999999997</v>
          </cell>
        </row>
        <row r="26">
          <cell r="A26">
            <v>102</v>
          </cell>
          <cell r="B26">
            <v>1</v>
          </cell>
          <cell r="C26">
            <v>12.981999999999999</v>
          </cell>
          <cell r="D26">
            <v>32.5</v>
          </cell>
          <cell r="E26">
            <v>31.1</v>
          </cell>
          <cell r="F26">
            <v>32.5</v>
          </cell>
          <cell r="G26">
            <v>32.200000000000003</v>
          </cell>
          <cell r="H26">
            <v>33.9</v>
          </cell>
          <cell r="I26">
            <v>32.700000000000003</v>
          </cell>
          <cell r="J26">
            <v>34.6</v>
          </cell>
          <cell r="K26">
            <v>34.6</v>
          </cell>
          <cell r="L26">
            <v>34.4</v>
          </cell>
          <cell r="M26">
            <v>32.9</v>
          </cell>
          <cell r="N26">
            <v>32.6</v>
          </cell>
          <cell r="O26">
            <v>33.200000000000003</v>
          </cell>
        </row>
        <row r="27">
          <cell r="A27">
            <v>102</v>
          </cell>
          <cell r="B27">
            <v>2</v>
          </cell>
          <cell r="C27">
            <v>12.987</v>
          </cell>
          <cell r="D27">
            <v>33.9</v>
          </cell>
          <cell r="E27">
            <v>35.1</v>
          </cell>
          <cell r="F27">
            <v>33.1</v>
          </cell>
          <cell r="G27">
            <v>32.799999999999997</v>
          </cell>
          <cell r="H27">
            <v>32.4</v>
          </cell>
          <cell r="I27">
            <v>32.5</v>
          </cell>
          <cell r="J27">
            <v>33.5</v>
          </cell>
          <cell r="K27">
            <v>31.4</v>
          </cell>
          <cell r="L27">
            <v>31.7</v>
          </cell>
          <cell r="M27">
            <v>32.1</v>
          </cell>
          <cell r="N27">
            <v>32.4</v>
          </cell>
          <cell r="O27">
            <v>29.1</v>
          </cell>
        </row>
        <row r="28">
          <cell r="A28">
            <v>101</v>
          </cell>
          <cell r="B28">
            <v>1</v>
          </cell>
          <cell r="C28">
            <v>12.997</v>
          </cell>
          <cell r="D28">
            <v>32</v>
          </cell>
          <cell r="E28">
            <v>31.7</v>
          </cell>
          <cell r="F28">
            <v>31.9</v>
          </cell>
          <cell r="G28">
            <v>31.6</v>
          </cell>
          <cell r="H28">
            <v>31.5</v>
          </cell>
          <cell r="I28">
            <v>31.9</v>
          </cell>
          <cell r="J28">
            <v>32.299999999999997</v>
          </cell>
          <cell r="K28">
            <v>31.1</v>
          </cell>
          <cell r="L28">
            <v>31.1</v>
          </cell>
          <cell r="M28">
            <v>30.9</v>
          </cell>
          <cell r="N28">
            <v>29.9</v>
          </cell>
          <cell r="O28">
            <v>30.5</v>
          </cell>
        </row>
        <row r="29">
          <cell r="A29">
            <v>101</v>
          </cell>
          <cell r="B29">
            <v>2</v>
          </cell>
          <cell r="C29">
            <v>13.002000000000001</v>
          </cell>
          <cell r="D29">
            <v>29.7</v>
          </cell>
          <cell r="E29">
            <v>29.2</v>
          </cell>
          <cell r="F29">
            <v>29.4</v>
          </cell>
          <cell r="G29">
            <v>29.6</v>
          </cell>
          <cell r="H29">
            <v>32.6</v>
          </cell>
          <cell r="I29">
            <v>31</v>
          </cell>
          <cell r="J29">
            <v>31.8</v>
          </cell>
          <cell r="K29">
            <v>31.2</v>
          </cell>
          <cell r="L29">
            <v>30.5</v>
          </cell>
          <cell r="M29">
            <v>31.2</v>
          </cell>
          <cell r="N29">
            <v>31.3</v>
          </cell>
          <cell r="O29">
            <v>30.2</v>
          </cell>
        </row>
        <row r="30">
          <cell r="A30">
            <v>201</v>
          </cell>
          <cell r="B30">
            <v>1</v>
          </cell>
          <cell r="C30">
            <v>13.015000000000001</v>
          </cell>
          <cell r="D30">
            <v>31.7</v>
          </cell>
          <cell r="E30">
            <v>31.4</v>
          </cell>
          <cell r="F30">
            <v>31.8</v>
          </cell>
          <cell r="G30">
            <v>32.5</v>
          </cell>
          <cell r="H30">
            <v>30.7</v>
          </cell>
          <cell r="I30">
            <v>31.3</v>
          </cell>
          <cell r="J30">
            <v>31.5</v>
          </cell>
          <cell r="K30">
            <v>33.5</v>
          </cell>
          <cell r="L30">
            <v>33.200000000000003</v>
          </cell>
          <cell r="M30">
            <v>31.4</v>
          </cell>
          <cell r="N30">
            <v>31.4</v>
          </cell>
          <cell r="O30">
            <v>32.4</v>
          </cell>
        </row>
        <row r="31">
          <cell r="A31">
            <v>201</v>
          </cell>
          <cell r="B31">
            <v>2</v>
          </cell>
          <cell r="C31">
            <v>13.021000000000001</v>
          </cell>
          <cell r="D31">
            <v>31.4</v>
          </cell>
          <cell r="E31">
            <v>30.8</v>
          </cell>
          <cell r="F31">
            <v>30</v>
          </cell>
          <cell r="G31">
            <v>33.200000000000003</v>
          </cell>
          <cell r="H31">
            <v>29.5</v>
          </cell>
          <cell r="I31">
            <v>31.1</v>
          </cell>
          <cell r="J31">
            <v>31.7</v>
          </cell>
          <cell r="K31">
            <v>30.2</v>
          </cell>
          <cell r="L31">
            <v>31</v>
          </cell>
          <cell r="M31">
            <v>31.8</v>
          </cell>
          <cell r="N31">
            <v>31.6</v>
          </cell>
          <cell r="O31">
            <v>31.2</v>
          </cell>
        </row>
        <row r="32">
          <cell r="A32">
            <v>202</v>
          </cell>
          <cell r="B32">
            <v>1</v>
          </cell>
          <cell r="C32">
            <v>13.031000000000001</v>
          </cell>
          <cell r="D32">
            <v>33.5</v>
          </cell>
          <cell r="E32">
            <v>32.1</v>
          </cell>
          <cell r="F32">
            <v>31.4</v>
          </cell>
          <cell r="G32">
            <v>31.6</v>
          </cell>
          <cell r="H32">
            <v>31.3</v>
          </cell>
          <cell r="I32">
            <v>29.8</v>
          </cell>
          <cell r="J32">
            <v>30.1</v>
          </cell>
          <cell r="K32">
            <v>30.6</v>
          </cell>
          <cell r="L32">
            <v>30.1</v>
          </cell>
          <cell r="M32">
            <v>30</v>
          </cell>
          <cell r="N32">
            <v>30</v>
          </cell>
          <cell r="O32">
            <v>31.3</v>
          </cell>
        </row>
        <row r="33">
          <cell r="A33">
            <v>202</v>
          </cell>
          <cell r="B33">
            <v>2</v>
          </cell>
          <cell r="C33">
            <v>13.036</v>
          </cell>
          <cell r="D33">
            <v>31.3</v>
          </cell>
          <cell r="E33">
            <v>30.1</v>
          </cell>
          <cell r="F33">
            <v>30.7</v>
          </cell>
          <cell r="G33">
            <v>31.1</v>
          </cell>
          <cell r="H33">
            <v>29.6</v>
          </cell>
          <cell r="I33">
            <v>31.9</v>
          </cell>
          <cell r="J33">
            <v>31</v>
          </cell>
          <cell r="K33">
            <v>33</v>
          </cell>
          <cell r="L33">
            <v>30</v>
          </cell>
          <cell r="M33">
            <v>31</v>
          </cell>
          <cell r="N33">
            <v>33.700000000000003</v>
          </cell>
          <cell r="O33">
            <v>30.1</v>
          </cell>
        </row>
        <row r="34">
          <cell r="A34">
            <v>203</v>
          </cell>
          <cell r="B34">
            <v>1</v>
          </cell>
          <cell r="C34">
            <v>13.045</v>
          </cell>
          <cell r="D34">
            <v>31.5</v>
          </cell>
          <cell r="E34">
            <v>32.4</v>
          </cell>
          <cell r="F34">
            <v>32.200000000000003</v>
          </cell>
          <cell r="G34">
            <v>32.200000000000003</v>
          </cell>
          <cell r="H34">
            <v>31.8</v>
          </cell>
          <cell r="I34">
            <v>32.799999999999997</v>
          </cell>
          <cell r="J34">
            <v>31.5</v>
          </cell>
          <cell r="K34">
            <v>32.6</v>
          </cell>
          <cell r="L34">
            <v>32.4</v>
          </cell>
          <cell r="M34">
            <v>33.200000000000003</v>
          </cell>
          <cell r="N34">
            <v>32.200000000000003</v>
          </cell>
          <cell r="O34">
            <v>32.4</v>
          </cell>
        </row>
        <row r="35">
          <cell r="A35">
            <v>203</v>
          </cell>
          <cell r="B35">
            <v>2</v>
          </cell>
          <cell r="C35">
            <v>13.05</v>
          </cell>
          <cell r="D35">
            <v>33.1</v>
          </cell>
          <cell r="E35">
            <v>31.1</v>
          </cell>
          <cell r="F35">
            <v>31.5</v>
          </cell>
          <cell r="G35">
            <v>31.7</v>
          </cell>
          <cell r="H35">
            <v>33.9</v>
          </cell>
          <cell r="I35">
            <v>30.6</v>
          </cell>
          <cell r="J35">
            <v>32.299999999999997</v>
          </cell>
          <cell r="K35">
            <v>31.2</v>
          </cell>
          <cell r="L35">
            <v>31.9</v>
          </cell>
          <cell r="M35">
            <v>33</v>
          </cell>
          <cell r="N35">
            <v>33.799999999999997</v>
          </cell>
          <cell r="O35">
            <v>31.7</v>
          </cell>
        </row>
        <row r="36">
          <cell r="A36">
            <v>204</v>
          </cell>
          <cell r="B36">
            <v>1</v>
          </cell>
          <cell r="C36">
            <v>13.061</v>
          </cell>
          <cell r="D36">
            <v>32.200000000000003</v>
          </cell>
          <cell r="E36">
            <v>32.6</v>
          </cell>
          <cell r="F36">
            <v>34</v>
          </cell>
          <cell r="G36">
            <v>33.6</v>
          </cell>
          <cell r="H36">
            <v>33.6</v>
          </cell>
          <cell r="I36">
            <v>33.6</v>
          </cell>
          <cell r="J36">
            <v>31.1</v>
          </cell>
          <cell r="K36">
            <v>33.9</v>
          </cell>
          <cell r="L36">
            <v>31.9</v>
          </cell>
          <cell r="M36">
            <v>33.799999999999997</v>
          </cell>
          <cell r="N36">
            <v>33.5</v>
          </cell>
          <cell r="O36">
            <v>33</v>
          </cell>
        </row>
        <row r="37">
          <cell r="A37">
            <v>204</v>
          </cell>
          <cell r="B37">
            <v>2</v>
          </cell>
          <cell r="C37">
            <v>13.066000000000001</v>
          </cell>
          <cell r="D37">
            <v>32.200000000000003</v>
          </cell>
          <cell r="E37">
            <v>33.1</v>
          </cell>
          <cell r="F37">
            <v>32.799999999999997</v>
          </cell>
          <cell r="G37">
            <v>31.2</v>
          </cell>
          <cell r="H37">
            <v>31.5</v>
          </cell>
          <cell r="I37">
            <v>31.5</v>
          </cell>
          <cell r="J37">
            <v>33.1</v>
          </cell>
          <cell r="K37">
            <v>33.1</v>
          </cell>
          <cell r="L37">
            <v>31.8</v>
          </cell>
          <cell r="M37">
            <v>33.5</v>
          </cell>
          <cell r="N37">
            <v>33.799999999999997</v>
          </cell>
          <cell r="O37">
            <v>33.4</v>
          </cell>
        </row>
        <row r="38">
          <cell r="A38">
            <v>205</v>
          </cell>
          <cell r="B38">
            <v>1</v>
          </cell>
          <cell r="C38">
            <v>13.077</v>
          </cell>
          <cell r="D38">
            <v>33.4</v>
          </cell>
          <cell r="E38">
            <v>34</v>
          </cell>
          <cell r="F38">
            <v>35.1</v>
          </cell>
          <cell r="G38">
            <v>34.700000000000003</v>
          </cell>
          <cell r="H38">
            <v>33.1</v>
          </cell>
          <cell r="I38">
            <v>33.700000000000003</v>
          </cell>
          <cell r="J38">
            <v>34.4</v>
          </cell>
          <cell r="K38">
            <v>34.4</v>
          </cell>
          <cell r="L38">
            <v>34.6</v>
          </cell>
          <cell r="M38">
            <v>34</v>
          </cell>
          <cell r="N38">
            <v>31.9</v>
          </cell>
          <cell r="O38">
            <v>32.700000000000003</v>
          </cell>
        </row>
        <row r="39">
          <cell r="A39">
            <v>205</v>
          </cell>
          <cell r="B39">
            <v>2</v>
          </cell>
          <cell r="C39">
            <v>13.081</v>
          </cell>
          <cell r="D39">
            <v>34.799999999999997</v>
          </cell>
          <cell r="E39">
            <v>33.4</v>
          </cell>
          <cell r="F39">
            <v>32.700000000000003</v>
          </cell>
          <cell r="G39">
            <v>32.799999999999997</v>
          </cell>
          <cell r="H39">
            <v>33.200000000000003</v>
          </cell>
          <cell r="I39">
            <v>31.1</v>
          </cell>
          <cell r="J39">
            <v>34.5</v>
          </cell>
          <cell r="K39">
            <v>32.700000000000003</v>
          </cell>
          <cell r="L39">
            <v>33.6</v>
          </cell>
          <cell r="M39">
            <v>32.9</v>
          </cell>
          <cell r="N39">
            <v>34.200000000000003</v>
          </cell>
          <cell r="O39">
            <v>33.6</v>
          </cell>
        </row>
        <row r="40">
          <cell r="A40">
            <v>206</v>
          </cell>
          <cell r="B40">
            <v>1</v>
          </cell>
          <cell r="C40">
            <v>13.090999999999999</v>
          </cell>
          <cell r="D40">
            <v>30.7</v>
          </cell>
          <cell r="E40">
            <v>30.3</v>
          </cell>
          <cell r="F40">
            <v>30.6</v>
          </cell>
          <cell r="G40">
            <v>30.8</v>
          </cell>
          <cell r="H40">
            <v>31.4</v>
          </cell>
          <cell r="I40">
            <v>31.5</v>
          </cell>
          <cell r="J40">
            <v>31.5</v>
          </cell>
          <cell r="K40">
            <v>31.4</v>
          </cell>
          <cell r="L40">
            <v>30</v>
          </cell>
          <cell r="M40">
            <v>31.4</v>
          </cell>
          <cell r="N40">
            <v>31</v>
          </cell>
          <cell r="O40">
            <v>30.8</v>
          </cell>
        </row>
        <row r="41">
          <cell r="A41">
            <v>206</v>
          </cell>
          <cell r="B41">
            <v>2</v>
          </cell>
          <cell r="C41">
            <v>13.095000000000001</v>
          </cell>
          <cell r="D41">
            <v>30.8</v>
          </cell>
          <cell r="E41">
            <v>28.9</v>
          </cell>
          <cell r="F41">
            <v>30</v>
          </cell>
          <cell r="G41">
            <v>29.7</v>
          </cell>
          <cell r="H41">
            <v>30.2</v>
          </cell>
          <cell r="I41">
            <v>29.9</v>
          </cell>
          <cell r="J41">
            <v>29.8</v>
          </cell>
          <cell r="K41">
            <v>30.4</v>
          </cell>
          <cell r="L41">
            <v>29.1</v>
          </cell>
          <cell r="M41">
            <v>30.4</v>
          </cell>
          <cell r="N41">
            <v>28.8</v>
          </cell>
          <cell r="O41">
            <v>29.8</v>
          </cell>
        </row>
        <row r="42">
          <cell r="A42">
            <v>207</v>
          </cell>
          <cell r="B42">
            <v>1</v>
          </cell>
          <cell r="C42">
            <v>13.106</v>
          </cell>
          <cell r="D42">
            <v>32.6</v>
          </cell>
          <cell r="E42">
            <v>34.6</v>
          </cell>
          <cell r="F42">
            <v>33.700000000000003</v>
          </cell>
          <cell r="G42">
            <v>31.6</v>
          </cell>
          <cell r="H42">
            <v>31</v>
          </cell>
          <cell r="I42">
            <v>32.299999999999997</v>
          </cell>
          <cell r="J42">
            <v>30.8</v>
          </cell>
          <cell r="K42">
            <v>31</v>
          </cell>
          <cell r="L42">
            <v>31.3</v>
          </cell>
          <cell r="M42">
            <v>32.700000000000003</v>
          </cell>
          <cell r="N42">
            <v>31.6</v>
          </cell>
          <cell r="O42">
            <v>32.799999999999997</v>
          </cell>
        </row>
        <row r="43">
          <cell r="A43">
            <v>207</v>
          </cell>
          <cell r="B43">
            <v>2</v>
          </cell>
          <cell r="C43">
            <v>13.111000000000001</v>
          </cell>
          <cell r="D43">
            <v>30.6</v>
          </cell>
          <cell r="E43">
            <v>33.9</v>
          </cell>
          <cell r="F43">
            <v>33</v>
          </cell>
          <cell r="G43">
            <v>29.4</v>
          </cell>
          <cell r="H43">
            <v>31</v>
          </cell>
          <cell r="I43">
            <v>31.8</v>
          </cell>
          <cell r="J43">
            <v>32.299999999999997</v>
          </cell>
          <cell r="K43">
            <v>29.6</v>
          </cell>
          <cell r="L43">
            <v>31.3</v>
          </cell>
          <cell r="M43">
            <v>32.700000000000003</v>
          </cell>
          <cell r="N43">
            <v>31</v>
          </cell>
          <cell r="O43">
            <v>29.1</v>
          </cell>
        </row>
        <row r="44">
          <cell r="A44">
            <v>208</v>
          </cell>
          <cell r="B44">
            <v>1</v>
          </cell>
          <cell r="C44">
            <v>13.122</v>
          </cell>
          <cell r="D44">
            <v>34.700000000000003</v>
          </cell>
          <cell r="E44">
            <v>32.200000000000003</v>
          </cell>
          <cell r="F44">
            <v>31.2</v>
          </cell>
          <cell r="G44">
            <v>31.2</v>
          </cell>
          <cell r="H44">
            <v>30.9</v>
          </cell>
          <cell r="I44">
            <v>32.4</v>
          </cell>
          <cell r="J44">
            <v>32.299999999999997</v>
          </cell>
          <cell r="K44">
            <v>32.700000000000003</v>
          </cell>
          <cell r="L44">
            <v>33.299999999999997</v>
          </cell>
          <cell r="M44">
            <v>32</v>
          </cell>
          <cell r="N44">
            <v>31.3</v>
          </cell>
          <cell r="O44">
            <v>30.1</v>
          </cell>
        </row>
        <row r="45">
          <cell r="A45">
            <v>208</v>
          </cell>
          <cell r="B45">
            <v>2</v>
          </cell>
          <cell r="C45">
            <v>13.127000000000001</v>
          </cell>
          <cell r="D45">
            <v>27.9</v>
          </cell>
          <cell r="E45">
            <v>29.5</v>
          </cell>
          <cell r="F45">
            <v>31</v>
          </cell>
          <cell r="G45">
            <v>29.3</v>
          </cell>
          <cell r="H45">
            <v>29.6</v>
          </cell>
          <cell r="I45">
            <v>31.9</v>
          </cell>
          <cell r="J45">
            <v>32.799999999999997</v>
          </cell>
          <cell r="K45">
            <v>30.9</v>
          </cell>
          <cell r="L45">
            <v>31.9</v>
          </cell>
          <cell r="M45">
            <v>31.1</v>
          </cell>
          <cell r="N45">
            <v>30.5</v>
          </cell>
          <cell r="O45">
            <v>31.8</v>
          </cell>
        </row>
        <row r="46">
          <cell r="A46">
            <v>908</v>
          </cell>
          <cell r="B46">
            <v>1</v>
          </cell>
          <cell r="C46">
            <v>13.141</v>
          </cell>
          <cell r="D46">
            <v>56.8</v>
          </cell>
          <cell r="E46">
            <v>44.1</v>
          </cell>
          <cell r="F46">
            <v>56</v>
          </cell>
          <cell r="G46">
            <v>43.9</v>
          </cell>
          <cell r="H46">
            <v>53.9</v>
          </cell>
          <cell r="I46">
            <v>41</v>
          </cell>
          <cell r="J46">
            <v>47.9</v>
          </cell>
          <cell r="K46">
            <v>42.2</v>
          </cell>
          <cell r="L46">
            <v>49.1</v>
          </cell>
          <cell r="M46">
            <v>44.8</v>
          </cell>
          <cell r="N46">
            <v>52.8</v>
          </cell>
          <cell r="O46">
            <v>40.799999999999997</v>
          </cell>
        </row>
        <row r="47">
          <cell r="A47">
            <v>908</v>
          </cell>
          <cell r="B47">
            <v>2</v>
          </cell>
          <cell r="C47">
            <v>13.146000000000001</v>
          </cell>
          <cell r="D47">
            <v>46.9</v>
          </cell>
          <cell r="E47">
            <v>39.700000000000003</v>
          </cell>
          <cell r="F47">
            <v>39.700000000000003</v>
          </cell>
          <cell r="G47">
            <v>43.4</v>
          </cell>
          <cell r="H47">
            <v>42.3</v>
          </cell>
          <cell r="I47">
            <v>38.700000000000003</v>
          </cell>
          <cell r="J47">
            <v>37.9</v>
          </cell>
          <cell r="K47">
            <v>38.200000000000003</v>
          </cell>
          <cell r="L47">
            <v>40.200000000000003</v>
          </cell>
          <cell r="M47">
            <v>37.200000000000003</v>
          </cell>
          <cell r="N47">
            <v>37.200000000000003</v>
          </cell>
          <cell r="O47">
            <v>41.9</v>
          </cell>
        </row>
        <row r="48">
          <cell r="A48">
            <v>907</v>
          </cell>
          <cell r="B48">
            <v>1</v>
          </cell>
          <cell r="C48">
            <v>13.157</v>
          </cell>
          <cell r="D48">
            <v>57.8</v>
          </cell>
          <cell r="E48">
            <v>58.4</v>
          </cell>
          <cell r="F48">
            <v>59.4</v>
          </cell>
          <cell r="G48">
            <v>59.3</v>
          </cell>
          <cell r="H48">
            <v>59</v>
          </cell>
          <cell r="I48">
            <v>59.5</v>
          </cell>
          <cell r="J48">
            <v>59.3</v>
          </cell>
          <cell r="K48">
            <v>59.7</v>
          </cell>
          <cell r="L48">
            <v>60.4</v>
          </cell>
          <cell r="M48">
            <v>59.1</v>
          </cell>
          <cell r="N48">
            <v>60.1</v>
          </cell>
          <cell r="O48">
            <v>60.1</v>
          </cell>
        </row>
        <row r="50">
          <cell r="A50">
            <v>906</v>
          </cell>
          <cell r="B50">
            <v>1</v>
          </cell>
          <cell r="C50">
            <v>13.163</v>
          </cell>
          <cell r="D50">
            <v>43.8</v>
          </cell>
          <cell r="E50">
            <v>40</v>
          </cell>
          <cell r="F50">
            <v>42.6</v>
          </cell>
          <cell r="G50">
            <v>41.2</v>
          </cell>
          <cell r="H50">
            <v>41.5</v>
          </cell>
          <cell r="I50">
            <v>40.1</v>
          </cell>
          <cell r="J50">
            <v>40.200000000000003</v>
          </cell>
          <cell r="K50">
            <v>42.6</v>
          </cell>
          <cell r="L50">
            <v>39.9</v>
          </cell>
          <cell r="M50">
            <v>41.3</v>
          </cell>
          <cell r="N50">
            <v>43.6</v>
          </cell>
          <cell r="O50">
            <v>40.9</v>
          </cell>
        </row>
        <row r="51">
          <cell r="A51">
            <v>906</v>
          </cell>
          <cell r="B51">
            <v>2</v>
          </cell>
          <cell r="C51">
            <v>13.167</v>
          </cell>
          <cell r="D51">
            <v>43.5</v>
          </cell>
          <cell r="E51">
            <v>43.5</v>
          </cell>
          <cell r="F51">
            <v>40.6</v>
          </cell>
          <cell r="G51">
            <v>39.6</v>
          </cell>
          <cell r="H51">
            <v>35</v>
          </cell>
          <cell r="I51">
            <v>40.200000000000003</v>
          </cell>
          <cell r="J51">
            <v>34.200000000000003</v>
          </cell>
          <cell r="K51">
            <v>37.1</v>
          </cell>
          <cell r="L51">
            <v>40.799999999999997</v>
          </cell>
          <cell r="M51">
            <v>37.6</v>
          </cell>
          <cell r="N51">
            <v>35.700000000000003</v>
          </cell>
          <cell r="O51">
            <v>31.8</v>
          </cell>
        </row>
        <row r="52">
          <cell r="A52">
            <v>905</v>
          </cell>
          <cell r="B52">
            <v>1</v>
          </cell>
          <cell r="C52">
            <v>13.176</v>
          </cell>
          <cell r="D52">
            <v>54.6</v>
          </cell>
          <cell r="E52">
            <v>56</v>
          </cell>
          <cell r="F52">
            <v>54.6</v>
          </cell>
          <cell r="G52">
            <v>55.3</v>
          </cell>
          <cell r="H52">
            <v>53.7</v>
          </cell>
          <cell r="I52">
            <v>53.8</v>
          </cell>
          <cell r="J52">
            <v>53.7</v>
          </cell>
          <cell r="K52">
            <v>53.5</v>
          </cell>
          <cell r="L52">
            <v>54.1</v>
          </cell>
          <cell r="M52">
            <v>55</v>
          </cell>
          <cell r="N52">
            <v>54.6</v>
          </cell>
          <cell r="O52">
            <v>53.8</v>
          </cell>
        </row>
        <row r="54">
          <cell r="A54">
            <v>904</v>
          </cell>
          <cell r="B54">
            <v>1</v>
          </cell>
          <cell r="C54">
            <v>13.182</v>
          </cell>
          <cell r="D54">
            <v>59</v>
          </cell>
          <cell r="E54">
            <v>46.7</v>
          </cell>
          <cell r="F54">
            <v>51.5</v>
          </cell>
          <cell r="G54">
            <v>41</v>
          </cell>
          <cell r="H54">
            <v>51</v>
          </cell>
          <cell r="I54">
            <v>43.2</v>
          </cell>
          <cell r="J54">
            <v>54.5</v>
          </cell>
          <cell r="K54">
            <v>44.9</v>
          </cell>
          <cell r="L54">
            <v>53.7</v>
          </cell>
          <cell r="M54">
            <v>42.8</v>
          </cell>
          <cell r="N54">
            <v>52.1</v>
          </cell>
          <cell r="O54">
            <v>45.7</v>
          </cell>
        </row>
        <row r="55">
          <cell r="A55">
            <v>904</v>
          </cell>
          <cell r="B55">
            <v>2</v>
          </cell>
          <cell r="C55">
            <v>13.186999999999999</v>
          </cell>
          <cell r="D55">
            <v>41.9</v>
          </cell>
          <cell r="E55">
            <v>42.9</v>
          </cell>
          <cell r="F55">
            <v>41.7</v>
          </cell>
          <cell r="G55">
            <v>42.2</v>
          </cell>
          <cell r="H55">
            <v>41.8</v>
          </cell>
          <cell r="I55">
            <v>38.700000000000003</v>
          </cell>
          <cell r="J55">
            <v>36.9</v>
          </cell>
          <cell r="K55">
            <v>41.6</v>
          </cell>
          <cell r="L55">
            <v>40</v>
          </cell>
          <cell r="M55">
            <v>40.700000000000003</v>
          </cell>
          <cell r="N55">
            <v>39.700000000000003</v>
          </cell>
          <cell r="O55">
            <v>39.700000000000003</v>
          </cell>
        </row>
        <row r="56">
          <cell r="A56">
            <v>903</v>
          </cell>
          <cell r="B56">
            <v>1</v>
          </cell>
          <cell r="C56">
            <v>13.198</v>
          </cell>
          <cell r="D56">
            <v>57.5</v>
          </cell>
          <cell r="E56">
            <v>59.1</v>
          </cell>
          <cell r="F56">
            <v>60.6</v>
          </cell>
          <cell r="G56">
            <v>60.4</v>
          </cell>
          <cell r="H56">
            <v>60.9</v>
          </cell>
          <cell r="I56">
            <v>61.4</v>
          </cell>
          <cell r="J56">
            <v>60.8</v>
          </cell>
          <cell r="K56">
            <v>60.7</v>
          </cell>
          <cell r="L56">
            <v>60.2</v>
          </cell>
          <cell r="M56">
            <v>60.2</v>
          </cell>
          <cell r="N56">
            <v>60.2</v>
          </cell>
          <cell r="O56">
            <v>60.4</v>
          </cell>
        </row>
        <row r="58">
          <cell r="A58">
            <v>902</v>
          </cell>
          <cell r="B58">
            <v>1</v>
          </cell>
          <cell r="C58">
            <v>13.204000000000001</v>
          </cell>
          <cell r="D58">
            <v>48.2</v>
          </cell>
          <cell r="E58">
            <v>44.2</v>
          </cell>
          <cell r="F58">
            <v>48.7</v>
          </cell>
          <cell r="G58">
            <v>43</v>
          </cell>
          <cell r="H58">
            <v>43.8</v>
          </cell>
          <cell r="I58">
            <v>41.8</v>
          </cell>
          <cell r="J58">
            <v>48.2</v>
          </cell>
          <cell r="K58">
            <v>41.8</v>
          </cell>
          <cell r="L58">
            <v>41.7</v>
          </cell>
          <cell r="M58">
            <v>42.3</v>
          </cell>
          <cell r="N58">
            <v>47.8</v>
          </cell>
          <cell r="O58">
            <v>40.5</v>
          </cell>
        </row>
        <row r="59">
          <cell r="A59">
            <v>902</v>
          </cell>
          <cell r="B59">
            <v>2</v>
          </cell>
          <cell r="C59">
            <v>13.209</v>
          </cell>
          <cell r="D59">
            <v>33.1</v>
          </cell>
          <cell r="E59">
            <v>34.1</v>
          </cell>
          <cell r="F59">
            <v>34.700000000000003</v>
          </cell>
          <cell r="G59">
            <v>32</v>
          </cell>
          <cell r="H59">
            <v>34.200000000000003</v>
          </cell>
          <cell r="I59">
            <v>33.299999999999997</v>
          </cell>
          <cell r="J59">
            <v>34.4</v>
          </cell>
          <cell r="K59">
            <v>37</v>
          </cell>
          <cell r="L59">
            <v>34.6</v>
          </cell>
          <cell r="M59">
            <v>36.9</v>
          </cell>
          <cell r="N59">
            <v>32.5</v>
          </cell>
          <cell r="O59">
            <v>37.799999999999997</v>
          </cell>
        </row>
        <row r="60">
          <cell r="A60">
            <v>901</v>
          </cell>
          <cell r="B60">
            <v>1</v>
          </cell>
          <cell r="C60">
            <v>13.218</v>
          </cell>
          <cell r="D60">
            <v>40.1</v>
          </cell>
          <cell r="E60">
            <v>39</v>
          </cell>
          <cell r="F60">
            <v>38</v>
          </cell>
          <cell r="G60">
            <v>38.299999999999997</v>
          </cell>
          <cell r="H60">
            <v>38.299999999999997</v>
          </cell>
          <cell r="I60">
            <v>37.6</v>
          </cell>
          <cell r="J60">
            <v>37.9</v>
          </cell>
          <cell r="K60">
            <v>37.799999999999997</v>
          </cell>
          <cell r="L60">
            <v>38.4</v>
          </cell>
          <cell r="M60">
            <v>38.4</v>
          </cell>
          <cell r="N60">
            <v>38.299999999999997</v>
          </cell>
          <cell r="O60">
            <v>38.299999999999997</v>
          </cell>
        </row>
        <row r="62">
          <cell r="A62">
            <v>301</v>
          </cell>
          <cell r="B62">
            <v>1</v>
          </cell>
          <cell r="C62">
            <v>13.227</v>
          </cell>
          <cell r="D62">
            <v>32.700000000000003</v>
          </cell>
          <cell r="E62">
            <v>33.200000000000003</v>
          </cell>
          <cell r="F62">
            <v>32.700000000000003</v>
          </cell>
          <cell r="G62">
            <v>33.9</v>
          </cell>
          <cell r="H62">
            <v>33.299999999999997</v>
          </cell>
          <cell r="I62">
            <v>34.700000000000003</v>
          </cell>
          <cell r="J62">
            <v>33.6</v>
          </cell>
          <cell r="K62">
            <v>34.4</v>
          </cell>
          <cell r="L62">
            <v>33.1</v>
          </cell>
          <cell r="M62">
            <v>35.6</v>
          </cell>
          <cell r="N62">
            <v>34.799999999999997</v>
          </cell>
          <cell r="O62">
            <v>35.799999999999997</v>
          </cell>
        </row>
        <row r="63">
          <cell r="A63">
            <v>301</v>
          </cell>
          <cell r="B63">
            <v>2</v>
          </cell>
          <cell r="C63">
            <v>13.231999999999999</v>
          </cell>
          <cell r="D63">
            <v>33.6</v>
          </cell>
          <cell r="E63">
            <v>36.200000000000003</v>
          </cell>
          <cell r="F63">
            <v>35.1</v>
          </cell>
          <cell r="G63">
            <v>31.6</v>
          </cell>
          <cell r="H63">
            <v>31.9</v>
          </cell>
          <cell r="I63">
            <v>32.1</v>
          </cell>
          <cell r="J63">
            <v>33.9</v>
          </cell>
          <cell r="K63">
            <v>33.1</v>
          </cell>
          <cell r="L63">
            <v>31.4</v>
          </cell>
          <cell r="M63">
            <v>30.6</v>
          </cell>
          <cell r="N63">
            <v>30.4</v>
          </cell>
          <cell r="O63">
            <v>31.8</v>
          </cell>
        </row>
        <row r="64">
          <cell r="A64">
            <v>302</v>
          </cell>
          <cell r="B64">
            <v>1</v>
          </cell>
          <cell r="C64">
            <v>13.242000000000001</v>
          </cell>
          <cell r="D64">
            <v>33.299999999999997</v>
          </cell>
          <cell r="E64">
            <v>33.9</v>
          </cell>
          <cell r="F64">
            <v>33.700000000000003</v>
          </cell>
          <cell r="G64">
            <v>33.799999999999997</v>
          </cell>
          <cell r="H64">
            <v>34.5</v>
          </cell>
          <cell r="I64">
            <v>34.799999999999997</v>
          </cell>
          <cell r="J64">
            <v>33</v>
          </cell>
          <cell r="K64">
            <v>33.6</v>
          </cell>
          <cell r="L64">
            <v>32.700000000000003</v>
          </cell>
          <cell r="M64">
            <v>33.4</v>
          </cell>
          <cell r="N64">
            <v>32.700000000000003</v>
          </cell>
          <cell r="O64">
            <v>34.700000000000003</v>
          </cell>
        </row>
        <row r="65">
          <cell r="A65">
            <v>302</v>
          </cell>
          <cell r="B65">
            <v>2</v>
          </cell>
          <cell r="C65">
            <v>13.247999999999999</v>
          </cell>
          <cell r="D65">
            <v>30</v>
          </cell>
          <cell r="E65">
            <v>31.9</v>
          </cell>
          <cell r="F65">
            <v>31.5</v>
          </cell>
          <cell r="G65">
            <v>31.6</v>
          </cell>
          <cell r="H65">
            <v>32.9</v>
          </cell>
          <cell r="I65">
            <v>32.9</v>
          </cell>
          <cell r="J65">
            <v>31.3</v>
          </cell>
          <cell r="K65">
            <v>31.2</v>
          </cell>
          <cell r="L65">
            <v>35.200000000000003</v>
          </cell>
          <cell r="M65">
            <v>31.3</v>
          </cell>
          <cell r="N65">
            <v>32.299999999999997</v>
          </cell>
          <cell r="O65">
            <v>35</v>
          </cell>
        </row>
        <row r="66">
          <cell r="A66">
            <v>303</v>
          </cell>
          <cell r="B66">
            <v>1</v>
          </cell>
          <cell r="C66">
            <v>13.257999999999999</v>
          </cell>
          <cell r="D66">
            <v>30.9</v>
          </cell>
          <cell r="E66">
            <v>31.3</v>
          </cell>
          <cell r="F66">
            <v>29.8</v>
          </cell>
          <cell r="G66">
            <v>30.3</v>
          </cell>
          <cell r="H66">
            <v>30.9</v>
          </cell>
          <cell r="I66">
            <v>31.1</v>
          </cell>
          <cell r="J66">
            <v>31.4</v>
          </cell>
          <cell r="K66">
            <v>32.299999999999997</v>
          </cell>
          <cell r="L66">
            <v>31.7</v>
          </cell>
          <cell r="M66">
            <v>31</v>
          </cell>
          <cell r="N66">
            <v>31.4</v>
          </cell>
          <cell r="O66">
            <v>31.6</v>
          </cell>
        </row>
        <row r="67">
          <cell r="A67">
            <v>303</v>
          </cell>
          <cell r="B67">
            <v>2</v>
          </cell>
          <cell r="C67">
            <v>13.263</v>
          </cell>
          <cell r="D67">
            <v>30.3</v>
          </cell>
          <cell r="E67">
            <v>29.1</v>
          </cell>
          <cell r="F67">
            <v>30.6</v>
          </cell>
          <cell r="G67">
            <v>29.9</v>
          </cell>
          <cell r="H67">
            <v>31.9</v>
          </cell>
          <cell r="I67">
            <v>31</v>
          </cell>
          <cell r="J67">
            <v>30.5</v>
          </cell>
          <cell r="K67">
            <v>30.4</v>
          </cell>
          <cell r="L67">
            <v>32.299999999999997</v>
          </cell>
          <cell r="M67">
            <v>32</v>
          </cell>
          <cell r="N67">
            <v>30.5</v>
          </cell>
          <cell r="O67">
            <v>31.1</v>
          </cell>
        </row>
        <row r="68">
          <cell r="A68">
            <v>304</v>
          </cell>
          <cell r="B68">
            <v>1</v>
          </cell>
          <cell r="C68">
            <v>13.272</v>
          </cell>
          <cell r="D68">
            <v>35.299999999999997</v>
          </cell>
          <cell r="E68">
            <v>33.200000000000003</v>
          </cell>
          <cell r="F68">
            <v>32.4</v>
          </cell>
          <cell r="G68">
            <v>32.6</v>
          </cell>
          <cell r="H68">
            <v>32.6</v>
          </cell>
          <cell r="I68">
            <v>33.1</v>
          </cell>
          <cell r="J68">
            <v>32.6</v>
          </cell>
          <cell r="K68">
            <v>34.1</v>
          </cell>
          <cell r="L68">
            <v>33.4</v>
          </cell>
          <cell r="M68">
            <v>32.299999999999997</v>
          </cell>
          <cell r="N68">
            <v>33.5</v>
          </cell>
          <cell r="O68">
            <v>33.700000000000003</v>
          </cell>
        </row>
        <row r="69">
          <cell r="A69">
            <v>304</v>
          </cell>
          <cell r="B69">
            <v>2</v>
          </cell>
          <cell r="C69">
            <v>13.276999999999999</v>
          </cell>
          <cell r="D69">
            <v>34.9</v>
          </cell>
          <cell r="E69">
            <v>33.299999999999997</v>
          </cell>
          <cell r="F69">
            <v>32.700000000000003</v>
          </cell>
          <cell r="G69">
            <v>33.6</v>
          </cell>
          <cell r="H69">
            <v>33.9</v>
          </cell>
          <cell r="I69">
            <v>35.4</v>
          </cell>
          <cell r="J69">
            <v>32.9</v>
          </cell>
          <cell r="K69">
            <v>31.8</v>
          </cell>
          <cell r="L69">
            <v>32.9</v>
          </cell>
          <cell r="M69">
            <v>29.9</v>
          </cell>
          <cell r="N69">
            <v>32.299999999999997</v>
          </cell>
          <cell r="O69">
            <v>31.9</v>
          </cell>
        </row>
        <row r="70">
          <cell r="A70">
            <v>305</v>
          </cell>
          <cell r="B70">
            <v>1</v>
          </cell>
          <cell r="C70">
            <v>13.289</v>
          </cell>
          <cell r="D70">
            <v>34.1</v>
          </cell>
          <cell r="E70">
            <v>34.200000000000003</v>
          </cell>
          <cell r="F70">
            <v>33</v>
          </cell>
          <cell r="G70">
            <v>33.700000000000003</v>
          </cell>
          <cell r="H70">
            <v>31.2</v>
          </cell>
          <cell r="I70">
            <v>31.8</v>
          </cell>
          <cell r="J70">
            <v>31.6</v>
          </cell>
          <cell r="K70">
            <v>31.6</v>
          </cell>
          <cell r="L70">
            <v>31.8</v>
          </cell>
          <cell r="M70">
            <v>33.799999999999997</v>
          </cell>
          <cell r="N70">
            <v>33.799999999999997</v>
          </cell>
          <cell r="O70">
            <v>32.4</v>
          </cell>
        </row>
        <row r="71">
          <cell r="A71">
            <v>305</v>
          </cell>
          <cell r="B71">
            <v>2</v>
          </cell>
          <cell r="C71">
            <v>13.295</v>
          </cell>
          <cell r="D71">
            <v>35</v>
          </cell>
          <cell r="E71">
            <v>33.799999999999997</v>
          </cell>
          <cell r="F71">
            <v>34.9</v>
          </cell>
          <cell r="G71">
            <v>33.700000000000003</v>
          </cell>
          <cell r="H71">
            <v>35.799999999999997</v>
          </cell>
          <cell r="I71">
            <v>43.6</v>
          </cell>
          <cell r="J71">
            <v>33.200000000000003</v>
          </cell>
          <cell r="K71">
            <v>34.4</v>
          </cell>
          <cell r="L71">
            <v>34.799999999999997</v>
          </cell>
          <cell r="M71">
            <v>34.1</v>
          </cell>
          <cell r="N71">
            <v>35</v>
          </cell>
          <cell r="O71">
            <v>33.200000000000003</v>
          </cell>
        </row>
        <row r="72">
          <cell r="A72">
            <v>306</v>
          </cell>
          <cell r="B72">
            <v>1</v>
          </cell>
          <cell r="C72">
            <v>13.305</v>
          </cell>
          <cell r="D72">
            <v>31.5</v>
          </cell>
          <cell r="E72">
            <v>32.4</v>
          </cell>
          <cell r="F72">
            <v>33.200000000000003</v>
          </cell>
          <cell r="G72">
            <v>32.6</v>
          </cell>
          <cell r="H72">
            <v>36.4</v>
          </cell>
          <cell r="I72">
            <v>33.200000000000003</v>
          </cell>
          <cell r="J72">
            <v>33.5</v>
          </cell>
          <cell r="K72">
            <v>33.700000000000003</v>
          </cell>
          <cell r="L72">
            <v>32.6</v>
          </cell>
          <cell r="M72">
            <v>32.299999999999997</v>
          </cell>
          <cell r="N72">
            <v>31.3</v>
          </cell>
          <cell r="O72">
            <v>31.8</v>
          </cell>
        </row>
        <row r="73">
          <cell r="A73">
            <v>306</v>
          </cell>
          <cell r="B73">
            <v>2</v>
          </cell>
          <cell r="C73">
            <v>13.31</v>
          </cell>
          <cell r="D73">
            <v>34.4</v>
          </cell>
          <cell r="E73">
            <v>34.4</v>
          </cell>
          <cell r="F73">
            <v>31.3</v>
          </cell>
          <cell r="G73">
            <v>32</v>
          </cell>
          <cell r="H73">
            <v>33</v>
          </cell>
          <cell r="I73">
            <v>32.799999999999997</v>
          </cell>
          <cell r="J73">
            <v>32.6</v>
          </cell>
          <cell r="K73">
            <v>31.6</v>
          </cell>
          <cell r="L73">
            <v>33.6</v>
          </cell>
          <cell r="M73">
            <v>30.4</v>
          </cell>
          <cell r="N73">
            <v>32</v>
          </cell>
          <cell r="O73">
            <v>31</v>
          </cell>
        </row>
        <row r="74">
          <cell r="A74">
            <v>307</v>
          </cell>
          <cell r="B74">
            <v>1</v>
          </cell>
          <cell r="C74">
            <v>13.32</v>
          </cell>
          <cell r="D74">
            <v>34.299999999999997</v>
          </cell>
          <cell r="E74">
            <v>33.4</v>
          </cell>
          <cell r="F74">
            <v>33.700000000000003</v>
          </cell>
          <cell r="G74">
            <v>33.4</v>
          </cell>
          <cell r="H74">
            <v>31.8</v>
          </cell>
          <cell r="I74">
            <v>34.200000000000003</v>
          </cell>
          <cell r="J74">
            <v>32.299999999999997</v>
          </cell>
          <cell r="K74">
            <v>32.700000000000003</v>
          </cell>
          <cell r="L74">
            <v>31.8</v>
          </cell>
          <cell r="M74">
            <v>31.4</v>
          </cell>
          <cell r="N74">
            <v>31.8</v>
          </cell>
          <cell r="O74">
            <v>31.6</v>
          </cell>
        </row>
        <row r="75">
          <cell r="A75">
            <v>307</v>
          </cell>
          <cell r="B75">
            <v>2</v>
          </cell>
          <cell r="C75">
            <v>13.324999999999999</v>
          </cell>
          <cell r="D75">
            <v>33.700000000000003</v>
          </cell>
          <cell r="E75">
            <v>34.6</v>
          </cell>
          <cell r="F75">
            <v>35</v>
          </cell>
          <cell r="G75">
            <v>35.700000000000003</v>
          </cell>
          <cell r="H75">
            <v>34.700000000000003</v>
          </cell>
          <cell r="I75">
            <v>34.9</v>
          </cell>
          <cell r="J75">
            <v>34</v>
          </cell>
          <cell r="K75">
            <v>33.799999999999997</v>
          </cell>
          <cell r="L75">
            <v>32.799999999999997</v>
          </cell>
          <cell r="M75">
            <v>35.299999999999997</v>
          </cell>
          <cell r="N75">
            <v>35.6</v>
          </cell>
          <cell r="O75">
            <v>38</v>
          </cell>
        </row>
        <row r="76">
          <cell r="A76">
            <v>308</v>
          </cell>
          <cell r="B76">
            <v>1</v>
          </cell>
          <cell r="C76">
            <v>13.335000000000001</v>
          </cell>
          <cell r="D76">
            <v>33.1</v>
          </cell>
          <cell r="E76">
            <v>32.700000000000003</v>
          </cell>
          <cell r="F76">
            <v>34.700000000000003</v>
          </cell>
          <cell r="G76">
            <v>33.4</v>
          </cell>
          <cell r="H76">
            <v>33.200000000000003</v>
          </cell>
          <cell r="I76">
            <v>31.5</v>
          </cell>
          <cell r="J76">
            <v>31.7</v>
          </cell>
          <cell r="K76">
            <v>31.9</v>
          </cell>
          <cell r="L76">
            <v>31.2</v>
          </cell>
          <cell r="M76">
            <v>33.799999999999997</v>
          </cell>
          <cell r="N76">
            <v>33</v>
          </cell>
          <cell r="O76">
            <v>34.200000000000003</v>
          </cell>
        </row>
        <row r="77">
          <cell r="A77">
            <v>308</v>
          </cell>
          <cell r="B77">
            <v>2</v>
          </cell>
          <cell r="C77">
            <v>13.340999999999999</v>
          </cell>
          <cell r="D77">
            <v>32.4</v>
          </cell>
          <cell r="E77">
            <v>31.4</v>
          </cell>
          <cell r="F77">
            <v>34.200000000000003</v>
          </cell>
          <cell r="G77">
            <v>32.4</v>
          </cell>
          <cell r="H77">
            <v>33.9</v>
          </cell>
          <cell r="I77">
            <v>32.799999999999997</v>
          </cell>
          <cell r="J77">
            <v>33.6</v>
          </cell>
          <cell r="K77">
            <v>28.8</v>
          </cell>
          <cell r="L77">
            <v>31.3</v>
          </cell>
          <cell r="M77">
            <v>32.700000000000003</v>
          </cell>
          <cell r="N77">
            <v>32.700000000000003</v>
          </cell>
          <cell r="O77">
            <v>31.1</v>
          </cell>
        </row>
        <row r="78">
          <cell r="A78">
            <v>408</v>
          </cell>
          <cell r="B78">
            <v>1</v>
          </cell>
          <cell r="C78">
            <v>13.359</v>
          </cell>
          <cell r="D78">
            <v>32.200000000000003</v>
          </cell>
          <cell r="E78">
            <v>30.4</v>
          </cell>
          <cell r="F78">
            <v>31.2</v>
          </cell>
          <cell r="G78">
            <v>30.5</v>
          </cell>
          <cell r="H78">
            <v>30.8</v>
          </cell>
          <cell r="I78">
            <v>31.1</v>
          </cell>
          <cell r="J78">
            <v>30.7</v>
          </cell>
          <cell r="K78">
            <v>31.7</v>
          </cell>
          <cell r="L78">
            <v>31.3</v>
          </cell>
          <cell r="M78">
            <v>31.3</v>
          </cell>
          <cell r="N78">
            <v>30.7</v>
          </cell>
          <cell r="O78">
            <v>31</v>
          </cell>
        </row>
        <row r="79">
          <cell r="A79">
            <v>408</v>
          </cell>
          <cell r="B79">
            <v>2</v>
          </cell>
          <cell r="C79">
            <v>13.364000000000001</v>
          </cell>
          <cell r="D79">
            <v>31.9</v>
          </cell>
          <cell r="E79">
            <v>31.2</v>
          </cell>
          <cell r="F79">
            <v>31.4</v>
          </cell>
          <cell r="G79">
            <v>33</v>
          </cell>
          <cell r="H79">
            <v>33.1</v>
          </cell>
          <cell r="I79">
            <v>33</v>
          </cell>
          <cell r="J79">
            <v>32.9</v>
          </cell>
          <cell r="K79">
            <v>31.6</v>
          </cell>
          <cell r="L79">
            <v>29.9</v>
          </cell>
          <cell r="M79">
            <v>31.8</v>
          </cell>
          <cell r="N79">
            <v>34.200000000000003</v>
          </cell>
          <cell r="O79">
            <v>35.5</v>
          </cell>
        </row>
        <row r="80">
          <cell r="A80">
            <v>407</v>
          </cell>
          <cell r="B80">
            <v>1</v>
          </cell>
          <cell r="C80">
            <v>13.374000000000001</v>
          </cell>
          <cell r="D80">
            <v>33.299999999999997</v>
          </cell>
          <cell r="E80">
            <v>34.200000000000003</v>
          </cell>
          <cell r="F80">
            <v>34.6</v>
          </cell>
          <cell r="G80">
            <v>33.6</v>
          </cell>
          <cell r="H80">
            <v>31.2</v>
          </cell>
          <cell r="I80">
            <v>33.299999999999997</v>
          </cell>
          <cell r="J80">
            <v>32.799999999999997</v>
          </cell>
          <cell r="K80">
            <v>33.4</v>
          </cell>
          <cell r="L80">
            <v>33.200000000000003</v>
          </cell>
          <cell r="M80">
            <v>32.200000000000003</v>
          </cell>
          <cell r="N80">
            <v>30.6</v>
          </cell>
          <cell r="O80">
            <v>32.6</v>
          </cell>
        </row>
        <row r="81">
          <cell r="A81">
            <v>407</v>
          </cell>
          <cell r="B81">
            <v>2</v>
          </cell>
          <cell r="C81">
            <v>13.379</v>
          </cell>
          <cell r="D81">
            <v>32.299999999999997</v>
          </cell>
          <cell r="E81">
            <v>32.700000000000003</v>
          </cell>
          <cell r="F81">
            <v>31.1</v>
          </cell>
          <cell r="G81">
            <v>31.7</v>
          </cell>
          <cell r="H81">
            <v>32.700000000000003</v>
          </cell>
          <cell r="I81">
            <v>31.6</v>
          </cell>
          <cell r="J81">
            <v>34</v>
          </cell>
          <cell r="K81">
            <v>31</v>
          </cell>
          <cell r="L81">
            <v>31.7</v>
          </cell>
          <cell r="M81">
            <v>30.7</v>
          </cell>
          <cell r="N81">
            <v>33.4</v>
          </cell>
          <cell r="O81">
            <v>33</v>
          </cell>
        </row>
        <row r="82">
          <cell r="A82">
            <v>406</v>
          </cell>
          <cell r="B82">
            <v>1</v>
          </cell>
          <cell r="C82">
            <v>13.391</v>
          </cell>
          <cell r="D82">
            <v>35.299999999999997</v>
          </cell>
          <cell r="E82">
            <v>34.6</v>
          </cell>
          <cell r="F82">
            <v>34.200000000000003</v>
          </cell>
          <cell r="G82">
            <v>36.200000000000003</v>
          </cell>
          <cell r="H82">
            <v>34.200000000000003</v>
          </cell>
          <cell r="I82">
            <v>34</v>
          </cell>
          <cell r="J82">
            <v>34.6</v>
          </cell>
          <cell r="K82">
            <v>34.5</v>
          </cell>
          <cell r="L82">
            <v>33.299999999999997</v>
          </cell>
          <cell r="M82">
            <v>33.5</v>
          </cell>
          <cell r="N82">
            <v>34.6</v>
          </cell>
          <cell r="O82">
            <v>33.6</v>
          </cell>
        </row>
        <row r="83">
          <cell r="A83">
            <v>406</v>
          </cell>
          <cell r="B83">
            <v>2</v>
          </cell>
          <cell r="C83">
            <v>13.395</v>
          </cell>
          <cell r="D83">
            <v>33.799999999999997</v>
          </cell>
          <cell r="E83">
            <v>33.5</v>
          </cell>
          <cell r="F83">
            <v>31.1</v>
          </cell>
          <cell r="G83">
            <v>32.5</v>
          </cell>
          <cell r="H83">
            <v>34.5</v>
          </cell>
          <cell r="I83">
            <v>33.6</v>
          </cell>
          <cell r="J83">
            <v>34.6</v>
          </cell>
          <cell r="K83">
            <v>36</v>
          </cell>
          <cell r="L83">
            <v>34.9</v>
          </cell>
          <cell r="M83">
            <v>33</v>
          </cell>
          <cell r="N83">
            <v>35.1</v>
          </cell>
          <cell r="O83">
            <v>34.799999999999997</v>
          </cell>
        </row>
        <row r="84">
          <cell r="A84">
            <v>405</v>
          </cell>
          <cell r="B84">
            <v>1</v>
          </cell>
          <cell r="C84">
            <v>13.406000000000001</v>
          </cell>
          <cell r="D84">
            <v>34.1</v>
          </cell>
          <cell r="E84">
            <v>32.9</v>
          </cell>
          <cell r="F84">
            <v>34.9</v>
          </cell>
          <cell r="G84">
            <v>33.200000000000003</v>
          </cell>
          <cell r="H84">
            <v>34.200000000000003</v>
          </cell>
          <cell r="I84">
            <v>33.9</v>
          </cell>
          <cell r="J84">
            <v>33.700000000000003</v>
          </cell>
          <cell r="K84">
            <v>34.299999999999997</v>
          </cell>
          <cell r="L84">
            <v>34.299999999999997</v>
          </cell>
          <cell r="M84">
            <v>32.799999999999997</v>
          </cell>
          <cell r="N84">
            <v>33.299999999999997</v>
          </cell>
          <cell r="O84">
            <v>32.799999999999997</v>
          </cell>
        </row>
        <row r="85">
          <cell r="A85">
            <v>405</v>
          </cell>
          <cell r="B85">
            <v>2</v>
          </cell>
          <cell r="C85">
            <v>13.411</v>
          </cell>
          <cell r="D85">
            <v>30.6</v>
          </cell>
          <cell r="E85">
            <v>33.1</v>
          </cell>
          <cell r="F85">
            <v>32.9</v>
          </cell>
          <cell r="G85">
            <v>33.4</v>
          </cell>
          <cell r="H85">
            <v>34.1</v>
          </cell>
          <cell r="I85">
            <v>31.2</v>
          </cell>
          <cell r="J85">
            <v>34.1</v>
          </cell>
          <cell r="K85">
            <v>32.4</v>
          </cell>
          <cell r="L85">
            <v>33.200000000000003</v>
          </cell>
          <cell r="M85">
            <v>30.7</v>
          </cell>
          <cell r="N85">
            <v>35.200000000000003</v>
          </cell>
          <cell r="O85">
            <v>31.4</v>
          </cell>
        </row>
        <row r="86">
          <cell r="A86">
            <v>404</v>
          </cell>
          <cell r="B86">
            <v>1</v>
          </cell>
          <cell r="C86">
            <v>13.420999999999999</v>
          </cell>
          <cell r="D86">
            <v>37</v>
          </cell>
          <cell r="E86">
            <v>36.799999999999997</v>
          </cell>
          <cell r="F86">
            <v>35.4</v>
          </cell>
          <cell r="G86">
            <v>35.299999999999997</v>
          </cell>
          <cell r="H86">
            <v>35.5</v>
          </cell>
          <cell r="I86">
            <v>34.299999999999997</v>
          </cell>
          <cell r="J86">
            <v>33.9</v>
          </cell>
          <cell r="K86">
            <v>34.9</v>
          </cell>
          <cell r="L86">
            <v>33.4</v>
          </cell>
          <cell r="M86">
            <v>35.200000000000003</v>
          </cell>
          <cell r="N86">
            <v>36.299999999999997</v>
          </cell>
          <cell r="O86">
            <v>35.4</v>
          </cell>
        </row>
        <row r="87">
          <cell r="A87">
            <v>404</v>
          </cell>
          <cell r="B87">
            <v>2</v>
          </cell>
          <cell r="C87">
            <v>13.426</v>
          </cell>
          <cell r="D87">
            <v>34.799999999999997</v>
          </cell>
          <cell r="E87">
            <v>32.700000000000003</v>
          </cell>
          <cell r="F87">
            <v>32.6</v>
          </cell>
          <cell r="G87">
            <v>35.200000000000003</v>
          </cell>
          <cell r="H87">
            <v>35.700000000000003</v>
          </cell>
          <cell r="I87">
            <v>33.9</v>
          </cell>
          <cell r="J87">
            <v>37.700000000000003</v>
          </cell>
          <cell r="K87">
            <v>34.4</v>
          </cell>
          <cell r="L87">
            <v>36.200000000000003</v>
          </cell>
          <cell r="M87">
            <v>32.9</v>
          </cell>
          <cell r="N87">
            <v>35.4</v>
          </cell>
          <cell r="O87">
            <v>35.4</v>
          </cell>
        </row>
        <row r="88">
          <cell r="A88">
            <v>403</v>
          </cell>
          <cell r="B88">
            <v>1</v>
          </cell>
          <cell r="C88">
            <v>13.436999999999999</v>
          </cell>
          <cell r="D88">
            <v>33.299999999999997</v>
          </cell>
          <cell r="E88">
            <v>33.299999999999997</v>
          </cell>
          <cell r="F88">
            <v>32.1</v>
          </cell>
          <cell r="G88">
            <v>32.299999999999997</v>
          </cell>
          <cell r="H88">
            <v>30.8</v>
          </cell>
          <cell r="I88">
            <v>31.9</v>
          </cell>
          <cell r="J88">
            <v>31.1</v>
          </cell>
          <cell r="K88">
            <v>31.3</v>
          </cell>
          <cell r="L88">
            <v>31</v>
          </cell>
          <cell r="M88">
            <v>31.2</v>
          </cell>
          <cell r="N88">
            <v>31.3</v>
          </cell>
          <cell r="O88">
            <v>31.6</v>
          </cell>
        </row>
        <row r="89">
          <cell r="A89">
            <v>403</v>
          </cell>
          <cell r="B89">
            <v>2</v>
          </cell>
          <cell r="C89">
            <v>13.441000000000001</v>
          </cell>
          <cell r="D89">
            <v>32.299999999999997</v>
          </cell>
          <cell r="E89">
            <v>29.8</v>
          </cell>
          <cell r="F89">
            <v>29.7</v>
          </cell>
          <cell r="G89">
            <v>31.8</v>
          </cell>
          <cell r="H89">
            <v>35.5</v>
          </cell>
          <cell r="I89">
            <v>30.1</v>
          </cell>
          <cell r="J89">
            <v>32.4</v>
          </cell>
          <cell r="K89">
            <v>29.3</v>
          </cell>
          <cell r="L89">
            <v>33.6</v>
          </cell>
          <cell r="M89">
            <v>29.6</v>
          </cell>
          <cell r="N89">
            <v>33.5</v>
          </cell>
          <cell r="O89">
            <v>32.4</v>
          </cell>
        </row>
        <row r="90">
          <cell r="A90">
            <v>402</v>
          </cell>
          <cell r="B90">
            <v>1</v>
          </cell>
          <cell r="C90">
            <v>13.452999999999999</v>
          </cell>
          <cell r="D90">
            <v>32.4</v>
          </cell>
          <cell r="E90">
            <v>31.9</v>
          </cell>
          <cell r="F90">
            <v>30.8</v>
          </cell>
          <cell r="G90">
            <v>32.299999999999997</v>
          </cell>
          <cell r="H90">
            <v>30.5</v>
          </cell>
          <cell r="I90">
            <v>30.1</v>
          </cell>
          <cell r="J90">
            <v>29.9</v>
          </cell>
          <cell r="K90">
            <v>30.3</v>
          </cell>
          <cell r="L90">
            <v>30.3</v>
          </cell>
          <cell r="M90">
            <v>32</v>
          </cell>
          <cell r="N90">
            <v>31.2</v>
          </cell>
          <cell r="O90">
            <v>31.9</v>
          </cell>
        </row>
        <row r="91">
          <cell r="A91">
            <v>402</v>
          </cell>
          <cell r="B91">
            <v>2</v>
          </cell>
          <cell r="C91">
            <v>13.458</v>
          </cell>
          <cell r="D91">
            <v>31.9</v>
          </cell>
          <cell r="E91">
            <v>30.7</v>
          </cell>
          <cell r="F91">
            <v>30.6</v>
          </cell>
          <cell r="G91">
            <v>31.1</v>
          </cell>
          <cell r="H91">
            <v>31.9</v>
          </cell>
          <cell r="I91">
            <v>30.2</v>
          </cell>
          <cell r="J91">
            <v>30.3</v>
          </cell>
          <cell r="K91">
            <v>31.5</v>
          </cell>
          <cell r="L91">
            <v>32.700000000000003</v>
          </cell>
          <cell r="M91">
            <v>33</v>
          </cell>
          <cell r="N91">
            <v>34</v>
          </cell>
          <cell r="O91">
            <v>32.5</v>
          </cell>
        </row>
        <row r="92">
          <cell r="A92">
            <v>401</v>
          </cell>
          <cell r="B92">
            <v>1</v>
          </cell>
          <cell r="C92">
            <v>13.468</v>
          </cell>
          <cell r="D92">
            <v>31.6</v>
          </cell>
          <cell r="E92">
            <v>30.7</v>
          </cell>
          <cell r="F92">
            <v>31.5</v>
          </cell>
          <cell r="G92">
            <v>31.8</v>
          </cell>
          <cell r="H92">
            <v>30</v>
          </cell>
          <cell r="I92">
            <v>31.2</v>
          </cell>
          <cell r="J92">
            <v>29.8</v>
          </cell>
          <cell r="K92">
            <v>30.1</v>
          </cell>
          <cell r="L92">
            <v>28.3</v>
          </cell>
          <cell r="M92">
            <v>30.8</v>
          </cell>
          <cell r="N92">
            <v>29.8</v>
          </cell>
          <cell r="O92">
            <v>31.3</v>
          </cell>
        </row>
        <row r="93">
          <cell r="A93">
            <v>401</v>
          </cell>
          <cell r="B93">
            <v>2</v>
          </cell>
          <cell r="C93">
            <v>13.473000000000001</v>
          </cell>
          <cell r="D93">
            <v>30.4</v>
          </cell>
          <cell r="E93">
            <v>30.2</v>
          </cell>
          <cell r="F93">
            <v>30.1</v>
          </cell>
          <cell r="G93">
            <v>28.6</v>
          </cell>
          <cell r="H93">
            <v>29.9</v>
          </cell>
          <cell r="I93">
            <v>30.6</v>
          </cell>
          <cell r="J93">
            <v>30.6</v>
          </cell>
          <cell r="K93">
            <v>31.5</v>
          </cell>
          <cell r="L93">
            <v>31.5</v>
          </cell>
          <cell r="M93">
            <v>29.6</v>
          </cell>
          <cell r="N93">
            <v>30.9</v>
          </cell>
          <cell r="O93">
            <v>31.9</v>
          </cell>
        </row>
      </sheetData>
      <sheetData sheetId="2">
        <row r="7">
          <cell r="C7">
            <v>251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36.6</v>
          </cell>
        </row>
        <row r="29">
          <cell r="E29">
            <v>4.2100834903478468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'IA252.03R'</v>
          </cell>
        </row>
        <row r="14">
          <cell r="A14">
            <v>108</v>
          </cell>
          <cell r="B14">
            <v>1</v>
          </cell>
          <cell r="C14">
            <v>13.067</v>
          </cell>
          <cell r="D14">
            <v>34.700000000000003</v>
          </cell>
          <cell r="E14">
            <v>34.6</v>
          </cell>
          <cell r="F14">
            <v>35.6</v>
          </cell>
          <cell r="G14">
            <v>35.6</v>
          </cell>
          <cell r="H14">
            <v>34.700000000000003</v>
          </cell>
          <cell r="I14">
            <v>35.200000000000003</v>
          </cell>
          <cell r="J14">
            <v>35.4</v>
          </cell>
          <cell r="K14">
            <v>35</v>
          </cell>
          <cell r="L14">
            <v>35.200000000000003</v>
          </cell>
          <cell r="M14">
            <v>35</v>
          </cell>
          <cell r="N14">
            <v>34.9</v>
          </cell>
          <cell r="O14">
            <v>34</v>
          </cell>
        </row>
        <row r="15">
          <cell r="A15">
            <v>108</v>
          </cell>
          <cell r="B15">
            <v>2</v>
          </cell>
          <cell r="C15">
            <v>13.071999999999999</v>
          </cell>
          <cell r="D15">
            <v>32.9</v>
          </cell>
          <cell r="E15">
            <v>33.200000000000003</v>
          </cell>
          <cell r="F15">
            <v>35</v>
          </cell>
          <cell r="G15">
            <v>34.700000000000003</v>
          </cell>
          <cell r="H15">
            <v>34.5</v>
          </cell>
          <cell r="I15">
            <v>34.700000000000003</v>
          </cell>
          <cell r="J15">
            <v>35.1</v>
          </cell>
          <cell r="K15">
            <v>36.799999999999997</v>
          </cell>
          <cell r="L15">
            <v>34</v>
          </cell>
          <cell r="M15">
            <v>35.1</v>
          </cell>
          <cell r="N15">
            <v>35.200000000000003</v>
          </cell>
          <cell r="O15">
            <v>35.700000000000003</v>
          </cell>
        </row>
        <row r="16">
          <cell r="A16">
            <v>107</v>
          </cell>
          <cell r="B16">
            <v>1</v>
          </cell>
          <cell r="C16">
            <v>13.086</v>
          </cell>
          <cell r="D16">
            <v>36.700000000000003</v>
          </cell>
          <cell r="E16">
            <v>36.1</v>
          </cell>
          <cell r="F16">
            <v>35.5</v>
          </cell>
          <cell r="G16">
            <v>34.200000000000003</v>
          </cell>
          <cell r="H16">
            <v>34.5</v>
          </cell>
          <cell r="I16">
            <v>33</v>
          </cell>
          <cell r="J16">
            <v>31.5</v>
          </cell>
          <cell r="K16">
            <v>33</v>
          </cell>
          <cell r="L16">
            <v>32.799999999999997</v>
          </cell>
          <cell r="M16">
            <v>32.4</v>
          </cell>
          <cell r="N16">
            <v>30.7</v>
          </cell>
          <cell r="O16">
            <v>32.6</v>
          </cell>
        </row>
        <row r="17">
          <cell r="A17">
            <v>107</v>
          </cell>
          <cell r="B17">
            <v>2</v>
          </cell>
          <cell r="C17">
            <v>13.09</v>
          </cell>
          <cell r="D17">
            <v>32.1</v>
          </cell>
          <cell r="E17">
            <v>33.200000000000003</v>
          </cell>
          <cell r="F17">
            <v>31.7</v>
          </cell>
          <cell r="G17">
            <v>32.299999999999997</v>
          </cell>
          <cell r="H17">
            <v>33.1</v>
          </cell>
          <cell r="I17">
            <v>33.9</v>
          </cell>
          <cell r="J17">
            <v>32.9</v>
          </cell>
          <cell r="K17">
            <v>33.200000000000003</v>
          </cell>
          <cell r="L17">
            <v>34.9</v>
          </cell>
          <cell r="M17">
            <v>34.9</v>
          </cell>
          <cell r="N17">
            <v>34.9</v>
          </cell>
          <cell r="O17">
            <v>34.9</v>
          </cell>
        </row>
        <row r="18">
          <cell r="A18">
            <v>106</v>
          </cell>
          <cell r="B18">
            <v>1</v>
          </cell>
          <cell r="C18">
            <v>13.103999999999999</v>
          </cell>
          <cell r="D18">
            <v>33.4</v>
          </cell>
          <cell r="E18">
            <v>33.6</v>
          </cell>
          <cell r="F18">
            <v>34</v>
          </cell>
          <cell r="G18">
            <v>34.299999999999997</v>
          </cell>
          <cell r="H18">
            <v>32.799999999999997</v>
          </cell>
          <cell r="I18">
            <v>33</v>
          </cell>
          <cell r="J18">
            <v>32.4</v>
          </cell>
          <cell r="K18">
            <v>34</v>
          </cell>
          <cell r="L18">
            <v>31.9</v>
          </cell>
          <cell r="M18">
            <v>31.7</v>
          </cell>
          <cell r="N18">
            <v>32.4</v>
          </cell>
          <cell r="O18">
            <v>32.799999999999997</v>
          </cell>
        </row>
        <row r="19">
          <cell r="A19">
            <v>106</v>
          </cell>
          <cell r="B19">
            <v>2</v>
          </cell>
          <cell r="C19">
            <v>13.109</v>
          </cell>
          <cell r="D19">
            <v>33.5</v>
          </cell>
          <cell r="E19">
            <v>33.4</v>
          </cell>
          <cell r="F19">
            <v>32.200000000000003</v>
          </cell>
          <cell r="G19">
            <v>31.9</v>
          </cell>
          <cell r="H19">
            <v>32.700000000000003</v>
          </cell>
          <cell r="I19">
            <v>34.1</v>
          </cell>
          <cell r="J19">
            <v>33.5</v>
          </cell>
          <cell r="K19">
            <v>34.700000000000003</v>
          </cell>
          <cell r="L19">
            <v>33.799999999999997</v>
          </cell>
          <cell r="M19">
            <v>34.9</v>
          </cell>
          <cell r="N19">
            <v>35.6</v>
          </cell>
          <cell r="O19">
            <v>33.799999999999997</v>
          </cell>
        </row>
        <row r="20">
          <cell r="A20">
            <v>105</v>
          </cell>
          <cell r="B20">
            <v>1</v>
          </cell>
          <cell r="C20">
            <v>13.122999999999999</v>
          </cell>
          <cell r="D20">
            <v>32.299999999999997</v>
          </cell>
          <cell r="E20">
            <v>31.8</v>
          </cell>
          <cell r="F20">
            <v>30.8</v>
          </cell>
          <cell r="G20">
            <v>29.4</v>
          </cell>
          <cell r="H20">
            <v>29.8</v>
          </cell>
          <cell r="I20">
            <v>30</v>
          </cell>
          <cell r="J20">
            <v>29.9</v>
          </cell>
          <cell r="K20">
            <v>30.1</v>
          </cell>
          <cell r="L20">
            <v>30</v>
          </cell>
          <cell r="M20">
            <v>30.9</v>
          </cell>
          <cell r="N20">
            <v>30.8</v>
          </cell>
          <cell r="O20">
            <v>31</v>
          </cell>
        </row>
        <row r="21">
          <cell r="A21">
            <v>105</v>
          </cell>
          <cell r="B21">
            <v>2</v>
          </cell>
          <cell r="C21">
            <v>13.127000000000001</v>
          </cell>
          <cell r="D21">
            <v>29.3</v>
          </cell>
          <cell r="E21">
            <v>29.8</v>
          </cell>
          <cell r="F21">
            <v>29.6</v>
          </cell>
          <cell r="G21">
            <v>29.9</v>
          </cell>
          <cell r="H21">
            <v>30.3</v>
          </cell>
          <cell r="I21">
            <v>29.7</v>
          </cell>
          <cell r="J21">
            <v>28.1</v>
          </cell>
          <cell r="K21">
            <v>29.2</v>
          </cell>
          <cell r="L21">
            <v>29.8</v>
          </cell>
          <cell r="M21">
            <v>29.8</v>
          </cell>
          <cell r="N21">
            <v>29.2</v>
          </cell>
          <cell r="O21">
            <v>29.7</v>
          </cell>
        </row>
        <row r="22">
          <cell r="A22">
            <v>104</v>
          </cell>
          <cell r="B22">
            <v>1</v>
          </cell>
          <cell r="C22">
            <v>13.14</v>
          </cell>
          <cell r="D22">
            <v>30.5</v>
          </cell>
          <cell r="E22">
            <v>30.9</v>
          </cell>
          <cell r="F22">
            <v>29.8</v>
          </cell>
          <cell r="G22">
            <v>29.3</v>
          </cell>
          <cell r="H22">
            <v>29.4</v>
          </cell>
          <cell r="I22">
            <v>29.2</v>
          </cell>
          <cell r="J22">
            <v>30.1</v>
          </cell>
          <cell r="K22">
            <v>30.2</v>
          </cell>
          <cell r="L22">
            <v>29.7</v>
          </cell>
          <cell r="M22">
            <v>30.6</v>
          </cell>
          <cell r="N22">
            <v>30</v>
          </cell>
          <cell r="O22">
            <v>30.7</v>
          </cell>
        </row>
        <row r="23">
          <cell r="A23">
            <v>104</v>
          </cell>
          <cell r="B23">
            <v>2</v>
          </cell>
          <cell r="C23">
            <v>13.144</v>
          </cell>
          <cell r="D23">
            <v>29.9</v>
          </cell>
          <cell r="E23">
            <v>29.2</v>
          </cell>
          <cell r="F23">
            <v>29.4</v>
          </cell>
          <cell r="G23">
            <v>29.8</v>
          </cell>
          <cell r="H23">
            <v>28.6</v>
          </cell>
          <cell r="I23">
            <v>30.2</v>
          </cell>
          <cell r="J23">
            <v>30.5</v>
          </cell>
          <cell r="K23">
            <v>28.7</v>
          </cell>
          <cell r="L23">
            <v>29.9</v>
          </cell>
          <cell r="M23">
            <v>28.3</v>
          </cell>
          <cell r="N23">
            <v>28.2</v>
          </cell>
          <cell r="O23">
            <v>29.8</v>
          </cell>
        </row>
        <row r="24">
          <cell r="A24">
            <v>103</v>
          </cell>
          <cell r="B24">
            <v>1</v>
          </cell>
          <cell r="C24">
            <v>13.154999999999999</v>
          </cell>
          <cell r="D24">
            <v>32</v>
          </cell>
          <cell r="E24">
            <v>32.1</v>
          </cell>
          <cell r="F24">
            <v>31</v>
          </cell>
          <cell r="G24">
            <v>31.9</v>
          </cell>
          <cell r="H24">
            <v>31.6</v>
          </cell>
          <cell r="I24">
            <v>31.2</v>
          </cell>
          <cell r="J24">
            <v>31.8</v>
          </cell>
          <cell r="K24">
            <v>31.2</v>
          </cell>
          <cell r="L24">
            <v>31.1</v>
          </cell>
          <cell r="M24">
            <v>31</v>
          </cell>
          <cell r="N24">
            <v>30.9</v>
          </cell>
          <cell r="O24">
            <v>31.1</v>
          </cell>
        </row>
        <row r="25">
          <cell r="A25">
            <v>103</v>
          </cell>
          <cell r="B25">
            <v>2</v>
          </cell>
          <cell r="C25">
            <v>13.16</v>
          </cell>
          <cell r="D25">
            <v>30.3</v>
          </cell>
          <cell r="E25">
            <v>31.5</v>
          </cell>
          <cell r="F25">
            <v>29.5</v>
          </cell>
          <cell r="G25">
            <v>30</v>
          </cell>
          <cell r="H25">
            <v>30.3</v>
          </cell>
          <cell r="I25">
            <v>31.3</v>
          </cell>
          <cell r="J25">
            <v>31.6</v>
          </cell>
          <cell r="K25">
            <v>29.8</v>
          </cell>
          <cell r="L25">
            <v>32</v>
          </cell>
          <cell r="M25">
            <v>29.9</v>
          </cell>
          <cell r="N25">
            <v>31.4</v>
          </cell>
          <cell r="O25">
            <v>31.3</v>
          </cell>
        </row>
        <row r="26">
          <cell r="A26">
            <v>102</v>
          </cell>
          <cell r="B26">
            <v>1</v>
          </cell>
          <cell r="C26">
            <v>13.173</v>
          </cell>
          <cell r="D26">
            <v>27.8</v>
          </cell>
          <cell r="E26">
            <v>28.1</v>
          </cell>
          <cell r="F26">
            <v>28</v>
          </cell>
          <cell r="G26">
            <v>28.2</v>
          </cell>
          <cell r="H26">
            <v>28.7</v>
          </cell>
          <cell r="I26">
            <v>30.1</v>
          </cell>
          <cell r="J26">
            <v>29</v>
          </cell>
          <cell r="K26">
            <v>30.5</v>
          </cell>
          <cell r="L26">
            <v>30.8</v>
          </cell>
          <cell r="M26">
            <v>31.3</v>
          </cell>
          <cell r="N26">
            <v>30.2</v>
          </cell>
          <cell r="O26">
            <v>30.2</v>
          </cell>
        </row>
        <row r="27">
          <cell r="A27">
            <v>102</v>
          </cell>
          <cell r="B27">
            <v>2</v>
          </cell>
          <cell r="C27">
            <v>13.177</v>
          </cell>
          <cell r="D27">
            <v>29.7</v>
          </cell>
          <cell r="E27">
            <v>29.8</v>
          </cell>
          <cell r="F27">
            <v>29.9</v>
          </cell>
          <cell r="G27">
            <v>30.6</v>
          </cell>
          <cell r="H27">
            <v>29.4</v>
          </cell>
          <cell r="I27">
            <v>30.3</v>
          </cell>
          <cell r="J27">
            <v>28.1</v>
          </cell>
          <cell r="K27">
            <v>28.9</v>
          </cell>
          <cell r="L27">
            <v>29.3</v>
          </cell>
          <cell r="M27">
            <v>27.7</v>
          </cell>
          <cell r="N27">
            <v>28.6</v>
          </cell>
          <cell r="O27">
            <v>30.1</v>
          </cell>
        </row>
        <row r="28">
          <cell r="A28">
            <v>101</v>
          </cell>
          <cell r="B28">
            <v>1</v>
          </cell>
          <cell r="C28">
            <v>13.189</v>
          </cell>
          <cell r="D28">
            <v>30.9</v>
          </cell>
          <cell r="E28">
            <v>32.1</v>
          </cell>
          <cell r="F28">
            <v>32</v>
          </cell>
          <cell r="G28">
            <v>31.8</v>
          </cell>
          <cell r="H28">
            <v>29.9</v>
          </cell>
          <cell r="I28">
            <v>31.5</v>
          </cell>
          <cell r="J28">
            <v>31.2</v>
          </cell>
          <cell r="K28">
            <v>31.2</v>
          </cell>
          <cell r="L28">
            <v>30.5</v>
          </cell>
          <cell r="M28">
            <v>30.6</v>
          </cell>
          <cell r="N28">
            <v>29.9</v>
          </cell>
          <cell r="O28">
            <v>29.9</v>
          </cell>
        </row>
        <row r="29">
          <cell r="A29">
            <v>101</v>
          </cell>
          <cell r="B29">
            <v>2</v>
          </cell>
          <cell r="C29">
            <v>13.194000000000001</v>
          </cell>
          <cell r="D29">
            <v>28.9</v>
          </cell>
          <cell r="E29">
            <v>30.1</v>
          </cell>
          <cell r="F29">
            <v>30.1</v>
          </cell>
          <cell r="G29">
            <v>31.3</v>
          </cell>
          <cell r="H29">
            <v>31.6</v>
          </cell>
          <cell r="I29">
            <v>31.6</v>
          </cell>
          <cell r="J29">
            <v>31.1</v>
          </cell>
          <cell r="K29">
            <v>31.4</v>
          </cell>
          <cell r="L29">
            <v>27.9</v>
          </cell>
          <cell r="M29">
            <v>31</v>
          </cell>
          <cell r="N29">
            <v>31.9</v>
          </cell>
          <cell r="O29">
            <v>31.1</v>
          </cell>
        </row>
        <row r="30">
          <cell r="A30">
            <v>201</v>
          </cell>
          <cell r="B30">
            <v>1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252</v>
          </cell>
        </row>
        <row r="10">
          <cell r="C10">
            <v>5481</v>
          </cell>
        </row>
        <row r="20">
          <cell r="C20">
            <v>5</v>
          </cell>
        </row>
        <row r="25">
          <cell r="E25">
            <v>17.5</v>
          </cell>
        </row>
        <row r="29">
          <cell r="E29">
            <v>1.7816068298912584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'IA253.03R'</v>
          </cell>
        </row>
        <row r="14">
          <cell r="A14">
            <v>108</v>
          </cell>
          <cell r="B14">
            <v>1</v>
          </cell>
          <cell r="C14">
            <v>12.872999999999999</v>
          </cell>
          <cell r="D14">
            <v>34.4</v>
          </cell>
          <cell r="E14">
            <v>34.799999999999997</v>
          </cell>
          <cell r="F14">
            <v>34.5</v>
          </cell>
          <cell r="G14">
            <v>35.200000000000003</v>
          </cell>
          <cell r="H14">
            <v>33</v>
          </cell>
          <cell r="I14">
            <v>35.200000000000003</v>
          </cell>
          <cell r="J14">
            <v>34.799999999999997</v>
          </cell>
          <cell r="K14">
            <v>34.700000000000003</v>
          </cell>
          <cell r="L14">
            <v>35</v>
          </cell>
          <cell r="M14">
            <v>35</v>
          </cell>
          <cell r="N14">
            <v>32.6</v>
          </cell>
          <cell r="O14">
            <v>34.9</v>
          </cell>
        </row>
        <row r="15">
          <cell r="A15">
            <v>108</v>
          </cell>
          <cell r="B15">
            <v>2</v>
          </cell>
          <cell r="C15">
            <v>12.878</v>
          </cell>
          <cell r="D15">
            <v>32.9</v>
          </cell>
          <cell r="E15">
            <v>32.1</v>
          </cell>
          <cell r="F15">
            <v>36.1</v>
          </cell>
          <cell r="G15">
            <v>35.4</v>
          </cell>
          <cell r="H15">
            <v>34.9</v>
          </cell>
          <cell r="I15">
            <v>34.6</v>
          </cell>
          <cell r="J15">
            <v>34.200000000000003</v>
          </cell>
          <cell r="K15">
            <v>34.799999999999997</v>
          </cell>
          <cell r="L15">
            <v>32.4</v>
          </cell>
          <cell r="M15">
            <v>34.700000000000003</v>
          </cell>
          <cell r="N15">
            <v>33.6</v>
          </cell>
          <cell r="O15">
            <v>35</v>
          </cell>
        </row>
        <row r="16">
          <cell r="A16">
            <v>107</v>
          </cell>
          <cell r="B16">
            <v>1</v>
          </cell>
          <cell r="C16">
            <v>12.891999999999999</v>
          </cell>
          <cell r="D16">
            <v>34.1</v>
          </cell>
          <cell r="E16">
            <v>34.799999999999997</v>
          </cell>
          <cell r="F16">
            <v>34.700000000000003</v>
          </cell>
          <cell r="G16">
            <v>33.700000000000003</v>
          </cell>
          <cell r="H16">
            <v>32.200000000000003</v>
          </cell>
          <cell r="I16">
            <v>30.6</v>
          </cell>
          <cell r="J16">
            <v>30.5</v>
          </cell>
          <cell r="K16">
            <v>32</v>
          </cell>
          <cell r="L16">
            <v>32.4</v>
          </cell>
          <cell r="M16">
            <v>32.200000000000003</v>
          </cell>
          <cell r="N16">
            <v>30.7</v>
          </cell>
          <cell r="O16">
            <v>30.9</v>
          </cell>
        </row>
        <row r="17">
          <cell r="A17">
            <v>107</v>
          </cell>
          <cell r="B17">
            <v>2</v>
          </cell>
          <cell r="C17">
            <v>12.896000000000001</v>
          </cell>
          <cell r="D17">
            <v>33.5</v>
          </cell>
          <cell r="E17">
            <v>32.6</v>
          </cell>
          <cell r="F17">
            <v>33.4</v>
          </cell>
          <cell r="G17">
            <v>34.200000000000003</v>
          </cell>
          <cell r="H17">
            <v>32.1</v>
          </cell>
          <cell r="I17">
            <v>31.2</v>
          </cell>
          <cell r="J17">
            <v>31.5</v>
          </cell>
          <cell r="K17">
            <v>32.4</v>
          </cell>
          <cell r="L17">
            <v>37</v>
          </cell>
          <cell r="M17">
            <v>33.4</v>
          </cell>
          <cell r="N17">
            <v>32.799999999999997</v>
          </cell>
          <cell r="O17">
            <v>32.200000000000003</v>
          </cell>
        </row>
        <row r="18">
          <cell r="A18">
            <v>106</v>
          </cell>
          <cell r="B18">
            <v>1</v>
          </cell>
          <cell r="C18">
            <v>12.907</v>
          </cell>
          <cell r="D18">
            <v>34.1</v>
          </cell>
          <cell r="E18">
            <v>33.799999999999997</v>
          </cell>
          <cell r="F18">
            <v>33.799999999999997</v>
          </cell>
          <cell r="G18">
            <v>34</v>
          </cell>
          <cell r="H18">
            <v>32.6</v>
          </cell>
          <cell r="I18">
            <v>33.9</v>
          </cell>
          <cell r="J18">
            <v>32</v>
          </cell>
          <cell r="K18">
            <v>32.799999999999997</v>
          </cell>
          <cell r="L18">
            <v>31.4</v>
          </cell>
          <cell r="M18">
            <v>31.7</v>
          </cell>
          <cell r="N18">
            <v>32.200000000000003</v>
          </cell>
          <cell r="O18">
            <v>31.8</v>
          </cell>
        </row>
        <row r="19">
          <cell r="A19">
            <v>106</v>
          </cell>
          <cell r="B19">
            <v>2</v>
          </cell>
          <cell r="C19">
            <v>12.912000000000001</v>
          </cell>
          <cell r="D19">
            <v>31.9</v>
          </cell>
          <cell r="E19">
            <v>32.4</v>
          </cell>
          <cell r="F19">
            <v>32.799999999999997</v>
          </cell>
          <cell r="G19">
            <v>32.700000000000003</v>
          </cell>
          <cell r="H19">
            <v>32.5</v>
          </cell>
          <cell r="I19">
            <v>33.1</v>
          </cell>
          <cell r="J19">
            <v>33</v>
          </cell>
          <cell r="K19">
            <v>30.6</v>
          </cell>
          <cell r="L19">
            <v>31.9</v>
          </cell>
          <cell r="M19">
            <v>34.299999999999997</v>
          </cell>
          <cell r="N19">
            <v>32</v>
          </cell>
          <cell r="O19">
            <v>32.9</v>
          </cell>
        </row>
        <row r="20">
          <cell r="A20">
            <v>105</v>
          </cell>
          <cell r="B20">
            <v>1</v>
          </cell>
          <cell r="C20">
            <v>12.922000000000001</v>
          </cell>
          <cell r="D20">
            <v>32.299999999999997</v>
          </cell>
          <cell r="E20">
            <v>32.4</v>
          </cell>
          <cell r="F20">
            <v>31.2</v>
          </cell>
          <cell r="G20">
            <v>31.3</v>
          </cell>
          <cell r="H20">
            <v>31.2</v>
          </cell>
          <cell r="I20">
            <v>30.6</v>
          </cell>
          <cell r="J20">
            <v>30.6</v>
          </cell>
          <cell r="K20">
            <v>31.6</v>
          </cell>
          <cell r="L20">
            <v>31.6</v>
          </cell>
          <cell r="M20">
            <v>32.1</v>
          </cell>
          <cell r="N20">
            <v>33.9</v>
          </cell>
          <cell r="O20">
            <v>32.1</v>
          </cell>
        </row>
        <row r="21">
          <cell r="A21">
            <v>105</v>
          </cell>
          <cell r="B21">
            <v>2</v>
          </cell>
          <cell r="C21">
            <v>12.927</v>
          </cell>
          <cell r="D21">
            <v>31.5</v>
          </cell>
          <cell r="E21">
            <v>30.7</v>
          </cell>
          <cell r="F21">
            <v>30.8</v>
          </cell>
          <cell r="G21">
            <v>30.6</v>
          </cell>
          <cell r="H21">
            <v>31.9</v>
          </cell>
          <cell r="I21">
            <v>30.6</v>
          </cell>
          <cell r="J21">
            <v>32</v>
          </cell>
          <cell r="K21">
            <v>31.4</v>
          </cell>
          <cell r="L21">
            <v>29.9</v>
          </cell>
          <cell r="M21">
            <v>31.9</v>
          </cell>
          <cell r="N21">
            <v>30.4</v>
          </cell>
          <cell r="O21">
            <v>30.4</v>
          </cell>
        </row>
        <row r="22">
          <cell r="A22">
            <v>104</v>
          </cell>
          <cell r="B22">
            <v>1</v>
          </cell>
          <cell r="C22">
            <v>12.938000000000001</v>
          </cell>
          <cell r="D22">
            <v>34.5</v>
          </cell>
          <cell r="E22">
            <v>32.700000000000003</v>
          </cell>
          <cell r="F22">
            <v>32.1</v>
          </cell>
          <cell r="G22">
            <v>32</v>
          </cell>
          <cell r="H22">
            <v>33.1</v>
          </cell>
          <cell r="I22">
            <v>32.299999999999997</v>
          </cell>
          <cell r="J22">
            <v>32.6</v>
          </cell>
          <cell r="K22">
            <v>32.4</v>
          </cell>
          <cell r="L22">
            <v>31.4</v>
          </cell>
          <cell r="M22">
            <v>32.9</v>
          </cell>
          <cell r="N22">
            <v>32.6</v>
          </cell>
          <cell r="O22">
            <v>33.700000000000003</v>
          </cell>
        </row>
        <row r="23">
          <cell r="A23">
            <v>104</v>
          </cell>
          <cell r="B23">
            <v>2</v>
          </cell>
          <cell r="C23">
            <v>12.943</v>
          </cell>
          <cell r="D23">
            <v>36.799999999999997</v>
          </cell>
          <cell r="E23">
            <v>31.2</v>
          </cell>
          <cell r="F23">
            <v>31.4</v>
          </cell>
          <cell r="G23">
            <v>31.1</v>
          </cell>
          <cell r="H23">
            <v>31.6</v>
          </cell>
          <cell r="I23">
            <v>33</v>
          </cell>
          <cell r="J23">
            <v>31.2</v>
          </cell>
          <cell r="K23">
            <v>32.4</v>
          </cell>
          <cell r="L23">
            <v>32</v>
          </cell>
          <cell r="M23">
            <v>32.6</v>
          </cell>
          <cell r="N23">
            <v>31.1</v>
          </cell>
          <cell r="O23">
            <v>30.1</v>
          </cell>
        </row>
        <row r="24">
          <cell r="A24">
            <v>103</v>
          </cell>
          <cell r="B24">
            <v>1</v>
          </cell>
          <cell r="C24">
            <v>12.954000000000001</v>
          </cell>
          <cell r="D24">
            <v>33.4</v>
          </cell>
          <cell r="E24">
            <v>32.9</v>
          </cell>
          <cell r="F24">
            <v>33.6</v>
          </cell>
          <cell r="G24">
            <v>33.9</v>
          </cell>
          <cell r="H24">
            <v>32.9</v>
          </cell>
          <cell r="I24">
            <v>33.5</v>
          </cell>
          <cell r="J24">
            <v>33</v>
          </cell>
          <cell r="K24">
            <v>33.6</v>
          </cell>
          <cell r="L24">
            <v>34.9</v>
          </cell>
          <cell r="M24">
            <v>34.4</v>
          </cell>
          <cell r="N24">
            <v>34.5</v>
          </cell>
          <cell r="O24">
            <v>34.200000000000003</v>
          </cell>
        </row>
        <row r="25">
          <cell r="A25">
            <v>103</v>
          </cell>
          <cell r="B25">
            <v>2</v>
          </cell>
          <cell r="C25">
            <v>12.961</v>
          </cell>
          <cell r="D25">
            <v>31.4</v>
          </cell>
          <cell r="E25">
            <v>33.1</v>
          </cell>
          <cell r="F25">
            <v>31</v>
          </cell>
          <cell r="G25">
            <v>32.700000000000003</v>
          </cell>
          <cell r="H25">
            <v>32.200000000000003</v>
          </cell>
          <cell r="I25">
            <v>33.1</v>
          </cell>
          <cell r="J25">
            <v>30.7</v>
          </cell>
          <cell r="K25">
            <v>32</v>
          </cell>
          <cell r="L25">
            <v>32</v>
          </cell>
          <cell r="M25">
            <v>35</v>
          </cell>
          <cell r="N25">
            <v>36.4</v>
          </cell>
          <cell r="O25">
            <v>35.200000000000003</v>
          </cell>
        </row>
        <row r="26">
          <cell r="A26">
            <v>102</v>
          </cell>
          <cell r="B26">
            <v>1</v>
          </cell>
          <cell r="C26">
            <v>12.972</v>
          </cell>
          <cell r="D26">
            <v>32.6</v>
          </cell>
          <cell r="E26">
            <v>30.7</v>
          </cell>
          <cell r="F26">
            <v>30.7</v>
          </cell>
          <cell r="G26">
            <v>31.1</v>
          </cell>
          <cell r="H26">
            <v>33.5</v>
          </cell>
          <cell r="I26">
            <v>32.1</v>
          </cell>
          <cell r="J26">
            <v>34.200000000000003</v>
          </cell>
          <cell r="K26">
            <v>33.700000000000003</v>
          </cell>
          <cell r="L26">
            <v>35.700000000000003</v>
          </cell>
          <cell r="M26">
            <v>33.799999999999997</v>
          </cell>
          <cell r="N26">
            <v>33.200000000000003</v>
          </cell>
          <cell r="O26">
            <v>32.700000000000003</v>
          </cell>
        </row>
        <row r="27">
          <cell r="A27">
            <v>102</v>
          </cell>
          <cell r="B27">
            <v>2</v>
          </cell>
          <cell r="C27">
            <v>12.977</v>
          </cell>
          <cell r="D27">
            <v>32.4</v>
          </cell>
          <cell r="E27">
            <v>31.9</v>
          </cell>
          <cell r="F27">
            <v>33</v>
          </cell>
          <cell r="G27">
            <v>31.8</v>
          </cell>
          <cell r="H27">
            <v>31.3</v>
          </cell>
          <cell r="I27">
            <v>29.7</v>
          </cell>
          <cell r="J27">
            <v>29.8</v>
          </cell>
          <cell r="K27">
            <v>30</v>
          </cell>
          <cell r="L27">
            <v>29.9</v>
          </cell>
          <cell r="M27">
            <v>32.5</v>
          </cell>
          <cell r="N27">
            <v>30</v>
          </cell>
          <cell r="O27">
            <v>30</v>
          </cell>
        </row>
        <row r="28">
          <cell r="A28">
            <v>101</v>
          </cell>
          <cell r="B28">
            <v>1</v>
          </cell>
          <cell r="C28">
            <v>12.987</v>
          </cell>
          <cell r="D28">
            <v>33.6</v>
          </cell>
          <cell r="E28">
            <v>33.5</v>
          </cell>
          <cell r="F28">
            <v>34</v>
          </cell>
          <cell r="G28">
            <v>34.200000000000003</v>
          </cell>
          <cell r="H28">
            <v>32.1</v>
          </cell>
          <cell r="I28">
            <v>34.4</v>
          </cell>
          <cell r="J28">
            <v>34.299999999999997</v>
          </cell>
          <cell r="K28">
            <v>32.5</v>
          </cell>
          <cell r="L28">
            <v>32.4</v>
          </cell>
          <cell r="M28">
            <v>33.1</v>
          </cell>
          <cell r="N28">
            <v>31.7</v>
          </cell>
          <cell r="O28">
            <v>31.9</v>
          </cell>
        </row>
        <row r="29">
          <cell r="A29">
            <v>101</v>
          </cell>
          <cell r="B29">
            <v>2</v>
          </cell>
          <cell r="C29">
            <v>12.991</v>
          </cell>
          <cell r="D29">
            <v>31.1</v>
          </cell>
          <cell r="E29">
            <v>30.1</v>
          </cell>
          <cell r="F29">
            <v>31.5</v>
          </cell>
          <cell r="G29">
            <v>33.200000000000003</v>
          </cell>
          <cell r="H29">
            <v>31.9</v>
          </cell>
          <cell r="I29">
            <v>34.4</v>
          </cell>
          <cell r="J29">
            <v>32.700000000000003</v>
          </cell>
          <cell r="K29">
            <v>32.9</v>
          </cell>
          <cell r="L29">
            <v>31.9</v>
          </cell>
          <cell r="M29">
            <v>30.6</v>
          </cell>
          <cell r="N29">
            <v>32.299999999999997</v>
          </cell>
          <cell r="O29">
            <v>34.299999999999997</v>
          </cell>
        </row>
        <row r="30">
          <cell r="A30">
            <v>201</v>
          </cell>
          <cell r="B30">
            <v>1</v>
          </cell>
          <cell r="C30">
            <v>13.004</v>
          </cell>
          <cell r="D30">
            <v>31.7</v>
          </cell>
          <cell r="E30">
            <v>32.299999999999997</v>
          </cell>
          <cell r="F30">
            <v>31.9</v>
          </cell>
          <cell r="G30">
            <v>33.1</v>
          </cell>
          <cell r="H30">
            <v>33.1</v>
          </cell>
          <cell r="I30">
            <v>32.700000000000003</v>
          </cell>
          <cell r="J30">
            <v>32.200000000000003</v>
          </cell>
          <cell r="K30">
            <v>34.4</v>
          </cell>
          <cell r="L30">
            <v>33.6</v>
          </cell>
          <cell r="M30">
            <v>33.5</v>
          </cell>
          <cell r="N30">
            <v>32.299999999999997</v>
          </cell>
          <cell r="O30">
            <v>33.299999999999997</v>
          </cell>
        </row>
        <row r="31">
          <cell r="A31">
            <v>201</v>
          </cell>
          <cell r="B31">
            <v>2</v>
          </cell>
          <cell r="C31">
            <v>13.01</v>
          </cell>
          <cell r="D31">
            <v>31.7</v>
          </cell>
          <cell r="E31">
            <v>31</v>
          </cell>
          <cell r="F31">
            <v>31.5</v>
          </cell>
          <cell r="G31">
            <v>31.1</v>
          </cell>
          <cell r="H31">
            <v>32.799999999999997</v>
          </cell>
          <cell r="I31">
            <v>31.9</v>
          </cell>
          <cell r="J31">
            <v>32.1</v>
          </cell>
          <cell r="K31">
            <v>33.4</v>
          </cell>
          <cell r="L31">
            <v>31.8</v>
          </cell>
          <cell r="M31">
            <v>31.2</v>
          </cell>
          <cell r="N31">
            <v>30.6</v>
          </cell>
          <cell r="O31">
            <v>37</v>
          </cell>
        </row>
        <row r="32">
          <cell r="A32">
            <v>202</v>
          </cell>
          <cell r="B32">
            <v>1</v>
          </cell>
          <cell r="C32">
            <v>13.019</v>
          </cell>
          <cell r="D32">
            <v>35</v>
          </cell>
          <cell r="E32">
            <v>33.799999999999997</v>
          </cell>
          <cell r="F32">
            <v>33.200000000000003</v>
          </cell>
          <cell r="G32">
            <v>31.7</v>
          </cell>
          <cell r="H32">
            <v>32.1</v>
          </cell>
          <cell r="I32">
            <v>32.1</v>
          </cell>
          <cell r="J32">
            <v>32</v>
          </cell>
          <cell r="K32">
            <v>31.5</v>
          </cell>
          <cell r="L32">
            <v>30.3</v>
          </cell>
          <cell r="M32">
            <v>31.7</v>
          </cell>
          <cell r="N32">
            <v>30.8</v>
          </cell>
          <cell r="O32">
            <v>33</v>
          </cell>
        </row>
        <row r="33">
          <cell r="A33">
            <v>202</v>
          </cell>
          <cell r="B33">
            <v>2</v>
          </cell>
          <cell r="C33">
            <v>13.023999999999999</v>
          </cell>
          <cell r="D33">
            <v>31.9</v>
          </cell>
          <cell r="E33">
            <v>32.799999999999997</v>
          </cell>
          <cell r="F33">
            <v>32.6</v>
          </cell>
          <cell r="G33">
            <v>32.799999999999997</v>
          </cell>
          <cell r="H33">
            <v>31.1</v>
          </cell>
          <cell r="I33">
            <v>32.9</v>
          </cell>
          <cell r="J33">
            <v>31.7</v>
          </cell>
          <cell r="K33">
            <v>32.700000000000003</v>
          </cell>
          <cell r="L33">
            <v>32.5</v>
          </cell>
          <cell r="M33">
            <v>31.8</v>
          </cell>
          <cell r="N33">
            <v>32.6</v>
          </cell>
          <cell r="O33">
            <v>34.1</v>
          </cell>
        </row>
        <row r="34">
          <cell r="A34">
            <v>203</v>
          </cell>
          <cell r="B34">
            <v>1</v>
          </cell>
          <cell r="C34">
            <v>13.045</v>
          </cell>
          <cell r="D34">
            <v>32.299999999999997</v>
          </cell>
          <cell r="E34">
            <v>33.4</v>
          </cell>
          <cell r="F34">
            <v>31.7</v>
          </cell>
          <cell r="G34">
            <v>32.299999999999997</v>
          </cell>
          <cell r="H34">
            <v>32</v>
          </cell>
          <cell r="I34">
            <v>32.1</v>
          </cell>
          <cell r="J34">
            <v>32.299999999999997</v>
          </cell>
          <cell r="K34">
            <v>33.200000000000003</v>
          </cell>
          <cell r="L34">
            <v>33.299999999999997</v>
          </cell>
          <cell r="M34">
            <v>32.9</v>
          </cell>
          <cell r="N34">
            <v>31.8</v>
          </cell>
          <cell r="O34">
            <v>32.4</v>
          </cell>
        </row>
        <row r="35">
          <cell r="A35">
            <v>203</v>
          </cell>
          <cell r="B35">
            <v>2</v>
          </cell>
          <cell r="C35">
            <v>13.05</v>
          </cell>
          <cell r="D35">
            <v>31.4</v>
          </cell>
          <cell r="E35">
            <v>31.9</v>
          </cell>
          <cell r="F35">
            <v>31.1</v>
          </cell>
          <cell r="G35">
            <v>33</v>
          </cell>
          <cell r="H35">
            <v>31.8</v>
          </cell>
          <cell r="I35">
            <v>32.6</v>
          </cell>
          <cell r="J35">
            <v>31.5</v>
          </cell>
          <cell r="K35">
            <v>31.8</v>
          </cell>
          <cell r="L35">
            <v>32.700000000000003</v>
          </cell>
          <cell r="M35">
            <v>32.700000000000003</v>
          </cell>
          <cell r="N35">
            <v>33.4</v>
          </cell>
          <cell r="O35">
            <v>32.299999999999997</v>
          </cell>
        </row>
        <row r="36">
          <cell r="A36">
            <v>204</v>
          </cell>
          <cell r="B36">
            <v>1</v>
          </cell>
          <cell r="C36">
            <v>13.061</v>
          </cell>
          <cell r="D36">
            <v>32.4</v>
          </cell>
          <cell r="E36">
            <v>33.5</v>
          </cell>
          <cell r="F36">
            <v>33</v>
          </cell>
          <cell r="G36">
            <v>33.700000000000003</v>
          </cell>
          <cell r="H36">
            <v>33.700000000000003</v>
          </cell>
          <cell r="I36">
            <v>33</v>
          </cell>
          <cell r="J36">
            <v>32.5</v>
          </cell>
          <cell r="K36">
            <v>31.7</v>
          </cell>
          <cell r="L36">
            <v>32.299999999999997</v>
          </cell>
          <cell r="M36">
            <v>33.200000000000003</v>
          </cell>
          <cell r="N36">
            <v>33.1</v>
          </cell>
          <cell r="O36">
            <v>34.4</v>
          </cell>
        </row>
        <row r="37">
          <cell r="A37">
            <v>204</v>
          </cell>
          <cell r="B37">
            <v>2</v>
          </cell>
          <cell r="C37">
            <v>13.067</v>
          </cell>
          <cell r="D37">
            <v>32.9</v>
          </cell>
          <cell r="E37">
            <v>32.1</v>
          </cell>
          <cell r="F37">
            <v>33.9</v>
          </cell>
          <cell r="G37">
            <v>31.9</v>
          </cell>
          <cell r="H37">
            <v>33.700000000000003</v>
          </cell>
          <cell r="I37">
            <v>31.5</v>
          </cell>
          <cell r="J37">
            <v>33.1</v>
          </cell>
          <cell r="K37">
            <v>32.299999999999997</v>
          </cell>
          <cell r="L37">
            <v>31.9</v>
          </cell>
          <cell r="M37">
            <v>32.9</v>
          </cell>
          <cell r="N37">
            <v>33.5</v>
          </cell>
          <cell r="O37">
            <v>33</v>
          </cell>
        </row>
        <row r="38">
          <cell r="A38">
            <v>205</v>
          </cell>
          <cell r="B38">
            <v>1</v>
          </cell>
          <cell r="C38">
            <v>13.083</v>
          </cell>
          <cell r="D38">
            <v>34.700000000000003</v>
          </cell>
          <cell r="E38">
            <v>35.299999999999997</v>
          </cell>
          <cell r="F38">
            <v>35.1</v>
          </cell>
          <cell r="G38">
            <v>33.700000000000003</v>
          </cell>
          <cell r="H38">
            <v>33.5</v>
          </cell>
          <cell r="I38">
            <v>34.5</v>
          </cell>
          <cell r="J38">
            <v>34.299999999999997</v>
          </cell>
          <cell r="K38">
            <v>34.4</v>
          </cell>
          <cell r="L38">
            <v>34.4</v>
          </cell>
          <cell r="M38">
            <v>34.5</v>
          </cell>
          <cell r="N38">
            <v>33.299999999999997</v>
          </cell>
          <cell r="O38">
            <v>33.4</v>
          </cell>
        </row>
        <row r="39">
          <cell r="A39">
            <v>205</v>
          </cell>
          <cell r="B39">
            <v>2</v>
          </cell>
          <cell r="C39">
            <v>13.087999999999999</v>
          </cell>
          <cell r="D39">
            <v>31.4</v>
          </cell>
          <cell r="E39">
            <v>32.5</v>
          </cell>
          <cell r="F39">
            <v>32.5</v>
          </cell>
          <cell r="G39">
            <v>32.700000000000003</v>
          </cell>
          <cell r="H39">
            <v>33.6</v>
          </cell>
          <cell r="I39">
            <v>31.5</v>
          </cell>
          <cell r="J39">
            <v>31.4</v>
          </cell>
          <cell r="K39">
            <v>33.700000000000003</v>
          </cell>
          <cell r="L39">
            <v>33.299999999999997</v>
          </cell>
          <cell r="M39">
            <v>33.5</v>
          </cell>
          <cell r="N39">
            <v>32.299999999999997</v>
          </cell>
          <cell r="O39">
            <v>32</v>
          </cell>
        </row>
        <row r="40">
          <cell r="A40">
            <v>206</v>
          </cell>
          <cell r="B40">
            <v>1</v>
          </cell>
          <cell r="C40">
            <v>13.098000000000001</v>
          </cell>
          <cell r="D40">
            <v>30.5</v>
          </cell>
          <cell r="E40">
            <v>30.5</v>
          </cell>
          <cell r="F40">
            <v>30.9</v>
          </cell>
          <cell r="G40">
            <v>31.5</v>
          </cell>
          <cell r="H40">
            <v>30.3</v>
          </cell>
          <cell r="I40">
            <v>31.8</v>
          </cell>
          <cell r="J40">
            <v>31.6</v>
          </cell>
          <cell r="K40">
            <v>31.9</v>
          </cell>
          <cell r="L40">
            <v>32.799999999999997</v>
          </cell>
          <cell r="M40">
            <v>31.5</v>
          </cell>
          <cell r="N40">
            <v>31.4</v>
          </cell>
          <cell r="O40">
            <v>31.4</v>
          </cell>
        </row>
        <row r="41">
          <cell r="A41">
            <v>206</v>
          </cell>
          <cell r="B41">
            <v>2</v>
          </cell>
          <cell r="C41">
            <v>13.103</v>
          </cell>
          <cell r="D41">
            <v>30.6</v>
          </cell>
          <cell r="E41">
            <v>32</v>
          </cell>
          <cell r="F41">
            <v>32.200000000000003</v>
          </cell>
          <cell r="G41">
            <v>29.9</v>
          </cell>
          <cell r="H41">
            <v>29.7</v>
          </cell>
          <cell r="I41">
            <v>29.6</v>
          </cell>
          <cell r="J41">
            <v>30.4</v>
          </cell>
          <cell r="K41">
            <v>30.3</v>
          </cell>
          <cell r="L41">
            <v>29.4</v>
          </cell>
          <cell r="M41">
            <v>30.1</v>
          </cell>
          <cell r="N41">
            <v>30.7</v>
          </cell>
          <cell r="O41">
            <v>30.1</v>
          </cell>
        </row>
        <row r="42">
          <cell r="A42">
            <v>207</v>
          </cell>
          <cell r="B42">
            <v>1</v>
          </cell>
          <cell r="C42">
            <v>13.113</v>
          </cell>
          <cell r="D42">
            <v>33.9</v>
          </cell>
          <cell r="E42">
            <v>35</v>
          </cell>
          <cell r="F42">
            <v>35.700000000000003</v>
          </cell>
          <cell r="G42">
            <v>32.4</v>
          </cell>
          <cell r="H42">
            <v>32.799999999999997</v>
          </cell>
          <cell r="I42">
            <v>33.200000000000003</v>
          </cell>
          <cell r="J42">
            <v>31.9</v>
          </cell>
          <cell r="K42">
            <v>32.1</v>
          </cell>
          <cell r="L42">
            <v>32.9</v>
          </cell>
          <cell r="M42">
            <v>33.700000000000003</v>
          </cell>
          <cell r="N42">
            <v>32.700000000000003</v>
          </cell>
          <cell r="O42">
            <v>33.299999999999997</v>
          </cell>
        </row>
        <row r="43">
          <cell r="A43">
            <v>207</v>
          </cell>
          <cell r="B43">
            <v>2</v>
          </cell>
          <cell r="C43">
            <v>13.117000000000001</v>
          </cell>
          <cell r="D43">
            <v>31.7</v>
          </cell>
          <cell r="E43">
            <v>32.799999999999997</v>
          </cell>
          <cell r="F43">
            <v>33.4</v>
          </cell>
          <cell r="G43">
            <v>32</v>
          </cell>
          <cell r="H43">
            <v>31.2</v>
          </cell>
          <cell r="I43">
            <v>31.9</v>
          </cell>
          <cell r="J43">
            <v>30.5</v>
          </cell>
          <cell r="K43">
            <v>30.6</v>
          </cell>
          <cell r="L43">
            <v>31.5</v>
          </cell>
          <cell r="M43">
            <v>33.6</v>
          </cell>
          <cell r="N43">
            <v>32.299999999999997</v>
          </cell>
          <cell r="O43">
            <v>31.4</v>
          </cell>
        </row>
        <row r="44">
          <cell r="A44">
            <v>208</v>
          </cell>
          <cell r="B44">
            <v>1</v>
          </cell>
          <cell r="C44">
            <v>13.128</v>
          </cell>
          <cell r="D44">
            <v>34.200000000000003</v>
          </cell>
          <cell r="E44">
            <v>32.799999999999997</v>
          </cell>
          <cell r="F44">
            <v>32</v>
          </cell>
          <cell r="G44">
            <v>32.700000000000003</v>
          </cell>
          <cell r="H44">
            <v>32.299999999999997</v>
          </cell>
          <cell r="I44">
            <v>33.200000000000003</v>
          </cell>
          <cell r="J44">
            <v>33.6</v>
          </cell>
          <cell r="K44">
            <v>33.700000000000003</v>
          </cell>
          <cell r="L44">
            <v>35</v>
          </cell>
          <cell r="M44">
            <v>34</v>
          </cell>
          <cell r="N44">
            <v>32.4</v>
          </cell>
          <cell r="O44">
            <v>31.5</v>
          </cell>
        </row>
        <row r="45">
          <cell r="A45">
            <v>208</v>
          </cell>
          <cell r="B45">
            <v>2</v>
          </cell>
          <cell r="C45">
            <v>13.132</v>
          </cell>
          <cell r="D45">
            <v>32.299999999999997</v>
          </cell>
          <cell r="E45">
            <v>31.6</v>
          </cell>
          <cell r="F45">
            <v>31.1</v>
          </cell>
          <cell r="G45">
            <v>32.6</v>
          </cell>
          <cell r="H45">
            <v>33.200000000000003</v>
          </cell>
          <cell r="I45">
            <v>33.299999999999997</v>
          </cell>
          <cell r="J45">
            <v>32.1</v>
          </cell>
          <cell r="K45">
            <v>32.5</v>
          </cell>
          <cell r="L45">
            <v>32.700000000000003</v>
          </cell>
          <cell r="M45">
            <v>32.5</v>
          </cell>
          <cell r="N45">
            <v>30.3</v>
          </cell>
          <cell r="O45">
            <v>30.7</v>
          </cell>
        </row>
        <row r="46">
          <cell r="A46">
            <v>908</v>
          </cell>
          <cell r="B46">
            <v>1</v>
          </cell>
          <cell r="C46">
            <v>13.147</v>
          </cell>
          <cell r="D46">
            <v>50.5</v>
          </cell>
          <cell r="E46">
            <v>43.7</v>
          </cell>
          <cell r="F46">
            <v>54.5</v>
          </cell>
          <cell r="G46">
            <v>40.1</v>
          </cell>
          <cell r="H46">
            <v>47.4</v>
          </cell>
          <cell r="I46">
            <v>40.6</v>
          </cell>
          <cell r="J46">
            <v>46.2</v>
          </cell>
          <cell r="K46">
            <v>39.700000000000003</v>
          </cell>
          <cell r="L46">
            <v>47.3</v>
          </cell>
          <cell r="M46">
            <v>40.9</v>
          </cell>
          <cell r="N46">
            <v>51.3</v>
          </cell>
          <cell r="O46">
            <v>40</v>
          </cell>
        </row>
        <row r="47">
          <cell r="A47">
            <v>908</v>
          </cell>
          <cell r="B47">
            <v>2</v>
          </cell>
          <cell r="C47">
            <v>13.151999999999999</v>
          </cell>
          <cell r="D47">
            <v>38.9</v>
          </cell>
          <cell r="E47">
            <v>39.700000000000003</v>
          </cell>
          <cell r="F47">
            <v>37.4</v>
          </cell>
          <cell r="G47">
            <v>39.299999999999997</v>
          </cell>
          <cell r="H47">
            <v>41.9</v>
          </cell>
          <cell r="I47">
            <v>36.799999999999997</v>
          </cell>
          <cell r="J47">
            <v>40.799999999999997</v>
          </cell>
          <cell r="K47">
            <v>37.200000000000003</v>
          </cell>
          <cell r="L47">
            <v>40.200000000000003</v>
          </cell>
          <cell r="M47">
            <v>36.299999999999997</v>
          </cell>
          <cell r="N47">
            <v>32.4</v>
          </cell>
          <cell r="O47">
            <v>37</v>
          </cell>
        </row>
        <row r="48">
          <cell r="A48">
            <v>907</v>
          </cell>
          <cell r="B48">
            <v>1</v>
          </cell>
          <cell r="C48">
            <v>13.164</v>
          </cell>
          <cell r="D48">
            <v>53.9</v>
          </cell>
          <cell r="E48">
            <v>55</v>
          </cell>
          <cell r="F48">
            <v>55</v>
          </cell>
          <cell r="G48">
            <v>55.1</v>
          </cell>
          <cell r="H48">
            <v>54.8</v>
          </cell>
          <cell r="I48">
            <v>55.4</v>
          </cell>
          <cell r="J48">
            <v>54.9</v>
          </cell>
          <cell r="K48">
            <v>54.4</v>
          </cell>
          <cell r="L48">
            <v>55.5</v>
          </cell>
          <cell r="M48">
            <v>54.7</v>
          </cell>
          <cell r="N48">
            <v>55.7</v>
          </cell>
          <cell r="O48">
            <v>56.2</v>
          </cell>
        </row>
        <row r="50">
          <cell r="A50">
            <v>906</v>
          </cell>
          <cell r="B50">
            <v>1</v>
          </cell>
          <cell r="C50">
            <v>13.17</v>
          </cell>
          <cell r="D50">
            <v>40.799999999999997</v>
          </cell>
          <cell r="E50">
            <v>38.200000000000003</v>
          </cell>
          <cell r="F50">
            <v>44</v>
          </cell>
          <cell r="G50">
            <v>39.299999999999997</v>
          </cell>
          <cell r="H50">
            <v>40.1</v>
          </cell>
          <cell r="I50">
            <v>38.299999999999997</v>
          </cell>
          <cell r="J50">
            <v>39.700000000000003</v>
          </cell>
          <cell r="K50">
            <v>41.6</v>
          </cell>
          <cell r="L50">
            <v>38.1</v>
          </cell>
          <cell r="M50">
            <v>40</v>
          </cell>
          <cell r="N50">
            <v>42.2</v>
          </cell>
          <cell r="O50">
            <v>40.1</v>
          </cell>
        </row>
        <row r="51">
          <cell r="A51">
            <v>906</v>
          </cell>
          <cell r="B51">
            <v>2</v>
          </cell>
          <cell r="C51">
            <v>13.175000000000001</v>
          </cell>
          <cell r="D51">
            <v>36.9</v>
          </cell>
          <cell r="E51">
            <v>37.799999999999997</v>
          </cell>
          <cell r="F51">
            <v>37.200000000000003</v>
          </cell>
          <cell r="G51">
            <v>33.799999999999997</v>
          </cell>
          <cell r="H51">
            <v>38.1</v>
          </cell>
          <cell r="I51">
            <v>33.799999999999997</v>
          </cell>
          <cell r="J51">
            <v>37.9</v>
          </cell>
          <cell r="K51">
            <v>33.4</v>
          </cell>
          <cell r="L51">
            <v>37</v>
          </cell>
          <cell r="M51">
            <v>32.700000000000003</v>
          </cell>
          <cell r="N51">
            <v>32.9</v>
          </cell>
          <cell r="O51">
            <v>34.799999999999997</v>
          </cell>
        </row>
        <row r="52">
          <cell r="A52">
            <v>905</v>
          </cell>
          <cell r="B52">
            <v>1</v>
          </cell>
          <cell r="C52">
            <v>13.186</v>
          </cell>
          <cell r="D52">
            <v>35</v>
          </cell>
          <cell r="E52">
            <v>34.799999999999997</v>
          </cell>
          <cell r="F52">
            <v>34.799999999999997</v>
          </cell>
          <cell r="G52">
            <v>34.700000000000003</v>
          </cell>
          <cell r="H52">
            <v>34.700000000000003</v>
          </cell>
          <cell r="I52">
            <v>34.700000000000003</v>
          </cell>
          <cell r="J52">
            <v>34.5</v>
          </cell>
          <cell r="K52">
            <v>34.700000000000003</v>
          </cell>
          <cell r="L52">
            <v>34.6</v>
          </cell>
          <cell r="M52">
            <v>34.700000000000003</v>
          </cell>
          <cell r="N52">
            <v>34.6</v>
          </cell>
          <cell r="O52">
            <v>34.5</v>
          </cell>
        </row>
        <row r="54">
          <cell r="A54">
            <v>904</v>
          </cell>
          <cell r="B54">
            <v>1</v>
          </cell>
          <cell r="C54">
            <v>13.193</v>
          </cell>
          <cell r="D54">
            <v>53.1</v>
          </cell>
          <cell r="E54">
            <v>43.4</v>
          </cell>
          <cell r="F54">
            <v>50.4</v>
          </cell>
          <cell r="G54">
            <v>39.299999999999997</v>
          </cell>
          <cell r="H54">
            <v>54.6</v>
          </cell>
          <cell r="I54">
            <v>42.1</v>
          </cell>
          <cell r="J54">
            <v>55.2</v>
          </cell>
          <cell r="K54">
            <v>42.9</v>
          </cell>
          <cell r="L54">
            <v>53.5</v>
          </cell>
          <cell r="M54">
            <v>42.1</v>
          </cell>
          <cell r="N54">
            <v>51.9</v>
          </cell>
          <cell r="O54">
            <v>44.1</v>
          </cell>
        </row>
        <row r="55">
          <cell r="A55">
            <v>904</v>
          </cell>
          <cell r="B55">
            <v>2</v>
          </cell>
          <cell r="C55">
            <v>13.198</v>
          </cell>
          <cell r="D55">
            <v>41.5</v>
          </cell>
          <cell r="E55">
            <v>41.4</v>
          </cell>
          <cell r="F55">
            <v>39.5</v>
          </cell>
          <cell r="G55">
            <v>40.799999999999997</v>
          </cell>
          <cell r="H55">
            <v>44.6</v>
          </cell>
          <cell r="I55">
            <v>38.299999999999997</v>
          </cell>
          <cell r="J55">
            <v>39.9</v>
          </cell>
          <cell r="K55">
            <v>39.5</v>
          </cell>
          <cell r="L55">
            <v>41</v>
          </cell>
          <cell r="M55">
            <v>42.6</v>
          </cell>
          <cell r="N55">
            <v>42.6</v>
          </cell>
          <cell r="O55">
            <v>40.299999999999997</v>
          </cell>
        </row>
        <row r="56">
          <cell r="A56">
            <v>903</v>
          </cell>
          <cell r="B56">
            <v>1</v>
          </cell>
          <cell r="C56">
            <v>13.209</v>
          </cell>
          <cell r="D56">
            <v>54.8</v>
          </cell>
          <cell r="E56">
            <v>56.2</v>
          </cell>
          <cell r="F56">
            <v>56.5</v>
          </cell>
          <cell r="G56">
            <v>55.7</v>
          </cell>
          <cell r="H56">
            <v>56.4</v>
          </cell>
          <cell r="I56">
            <v>56.1</v>
          </cell>
          <cell r="J56">
            <v>56.5</v>
          </cell>
          <cell r="K56">
            <v>56.3</v>
          </cell>
          <cell r="L56">
            <v>56.2</v>
          </cell>
          <cell r="M56">
            <v>55.8</v>
          </cell>
          <cell r="N56">
            <v>55.9</v>
          </cell>
          <cell r="O56">
            <v>55.9</v>
          </cell>
        </row>
        <row r="58">
          <cell r="A58">
            <v>902</v>
          </cell>
          <cell r="B58">
            <v>1</v>
          </cell>
          <cell r="C58">
            <v>13.215999999999999</v>
          </cell>
          <cell r="D58">
            <v>48.1</v>
          </cell>
          <cell r="E58">
            <v>42.3</v>
          </cell>
          <cell r="F58">
            <v>50.9</v>
          </cell>
          <cell r="G58">
            <v>41.7</v>
          </cell>
          <cell r="H58">
            <v>45.5</v>
          </cell>
          <cell r="I58">
            <v>40</v>
          </cell>
          <cell r="J58">
            <v>46.3</v>
          </cell>
          <cell r="K58">
            <v>39.799999999999997</v>
          </cell>
          <cell r="L58">
            <v>43.4</v>
          </cell>
          <cell r="M58">
            <v>38.4</v>
          </cell>
          <cell r="N58">
            <v>49.7</v>
          </cell>
          <cell r="O58">
            <v>39</v>
          </cell>
        </row>
        <row r="59">
          <cell r="A59">
            <v>902</v>
          </cell>
          <cell r="B59">
            <v>2</v>
          </cell>
          <cell r="C59">
            <v>13.22</v>
          </cell>
          <cell r="D59">
            <v>33.9</v>
          </cell>
          <cell r="E59">
            <v>33.1</v>
          </cell>
          <cell r="F59">
            <v>32.4</v>
          </cell>
          <cell r="G59">
            <v>33.5</v>
          </cell>
          <cell r="H59">
            <v>34.299999999999997</v>
          </cell>
          <cell r="I59">
            <v>35.700000000000003</v>
          </cell>
          <cell r="J59">
            <v>34.9</v>
          </cell>
          <cell r="K59">
            <v>33.4</v>
          </cell>
          <cell r="L59">
            <v>34.5</v>
          </cell>
          <cell r="M59">
            <v>35.700000000000003</v>
          </cell>
          <cell r="N59">
            <v>33.299999999999997</v>
          </cell>
          <cell r="O59">
            <v>34.4</v>
          </cell>
        </row>
        <row r="60">
          <cell r="A60">
            <v>901</v>
          </cell>
          <cell r="B60">
            <v>1</v>
          </cell>
          <cell r="C60">
            <v>13.228999999999999</v>
          </cell>
          <cell r="D60">
            <v>50.1</v>
          </cell>
          <cell r="E60">
            <v>53.1</v>
          </cell>
          <cell r="F60">
            <v>49.4</v>
          </cell>
          <cell r="G60">
            <v>50.3</v>
          </cell>
          <cell r="H60">
            <v>50.3</v>
          </cell>
          <cell r="I60">
            <v>49</v>
          </cell>
          <cell r="J60">
            <v>48.2</v>
          </cell>
          <cell r="K60">
            <v>48.5</v>
          </cell>
          <cell r="L60">
            <v>49.4</v>
          </cell>
          <cell r="M60">
            <v>49.6</v>
          </cell>
          <cell r="N60">
            <v>50</v>
          </cell>
          <cell r="O60">
            <v>50</v>
          </cell>
        </row>
        <row r="62">
          <cell r="A62">
            <v>301</v>
          </cell>
          <cell r="B62">
            <v>1</v>
          </cell>
          <cell r="C62">
            <v>13.239000000000001</v>
          </cell>
          <cell r="D62">
            <v>34.9</v>
          </cell>
          <cell r="E62">
            <v>34.6</v>
          </cell>
          <cell r="F62">
            <v>33.4</v>
          </cell>
          <cell r="G62">
            <v>34.9</v>
          </cell>
          <cell r="H62">
            <v>34.299999999999997</v>
          </cell>
          <cell r="I62">
            <v>34.799999999999997</v>
          </cell>
          <cell r="J62">
            <v>35.1</v>
          </cell>
          <cell r="K62">
            <v>34.9</v>
          </cell>
          <cell r="L62">
            <v>34.700000000000003</v>
          </cell>
          <cell r="M62">
            <v>35.6</v>
          </cell>
          <cell r="N62">
            <v>36.5</v>
          </cell>
          <cell r="O62">
            <v>35.799999999999997</v>
          </cell>
        </row>
        <row r="63">
          <cell r="A63">
            <v>301</v>
          </cell>
          <cell r="B63">
            <v>2</v>
          </cell>
          <cell r="C63">
            <v>13.244</v>
          </cell>
          <cell r="D63">
            <v>34.9</v>
          </cell>
          <cell r="E63">
            <v>33.1</v>
          </cell>
          <cell r="F63">
            <v>34.1</v>
          </cell>
          <cell r="G63">
            <v>38.200000000000003</v>
          </cell>
          <cell r="H63">
            <v>33.5</v>
          </cell>
          <cell r="I63">
            <v>33.799999999999997</v>
          </cell>
          <cell r="J63">
            <v>33.1</v>
          </cell>
          <cell r="K63">
            <v>33.6</v>
          </cell>
          <cell r="L63">
            <v>37.4</v>
          </cell>
          <cell r="M63">
            <v>35.5</v>
          </cell>
          <cell r="N63">
            <v>32.200000000000003</v>
          </cell>
          <cell r="O63">
            <v>32.200000000000003</v>
          </cell>
        </row>
        <row r="64">
          <cell r="A64">
            <v>302</v>
          </cell>
          <cell r="B64">
            <v>1</v>
          </cell>
          <cell r="C64">
            <v>13.254</v>
          </cell>
          <cell r="D64">
            <v>34.9</v>
          </cell>
          <cell r="E64">
            <v>35</v>
          </cell>
          <cell r="F64">
            <v>34.799999999999997</v>
          </cell>
          <cell r="G64">
            <v>34.9</v>
          </cell>
          <cell r="H64">
            <v>35.4</v>
          </cell>
          <cell r="I64">
            <v>35.700000000000003</v>
          </cell>
          <cell r="J64">
            <v>34</v>
          </cell>
          <cell r="K64">
            <v>34.700000000000003</v>
          </cell>
          <cell r="L64">
            <v>33.799999999999997</v>
          </cell>
          <cell r="M64">
            <v>34.700000000000003</v>
          </cell>
          <cell r="N64">
            <v>33.700000000000003</v>
          </cell>
          <cell r="O64">
            <v>35.4</v>
          </cell>
        </row>
        <row r="65">
          <cell r="A65">
            <v>302</v>
          </cell>
          <cell r="B65">
            <v>2</v>
          </cell>
          <cell r="C65">
            <v>13.259</v>
          </cell>
          <cell r="D65">
            <v>36</v>
          </cell>
          <cell r="E65">
            <v>36</v>
          </cell>
          <cell r="F65">
            <v>33</v>
          </cell>
          <cell r="G65">
            <v>34.9</v>
          </cell>
          <cell r="H65">
            <v>32.9</v>
          </cell>
          <cell r="I65">
            <v>32.799999999999997</v>
          </cell>
          <cell r="J65">
            <v>36</v>
          </cell>
          <cell r="K65">
            <v>33.700000000000003</v>
          </cell>
          <cell r="L65">
            <v>33.6</v>
          </cell>
          <cell r="M65">
            <v>33</v>
          </cell>
          <cell r="N65">
            <v>35</v>
          </cell>
          <cell r="O65">
            <v>34.5</v>
          </cell>
        </row>
        <row r="66">
          <cell r="A66">
            <v>303</v>
          </cell>
          <cell r="B66">
            <v>1</v>
          </cell>
          <cell r="C66">
            <v>13.269</v>
          </cell>
          <cell r="D66">
            <v>32.299999999999997</v>
          </cell>
          <cell r="E66">
            <v>33.1</v>
          </cell>
          <cell r="F66">
            <v>31.4</v>
          </cell>
          <cell r="G66">
            <v>31.7</v>
          </cell>
          <cell r="H66">
            <v>31.8</v>
          </cell>
          <cell r="I66">
            <v>31.6</v>
          </cell>
          <cell r="J66">
            <v>32</v>
          </cell>
          <cell r="K66">
            <v>32.6</v>
          </cell>
          <cell r="L66">
            <v>33.700000000000003</v>
          </cell>
          <cell r="M66">
            <v>32.5</v>
          </cell>
          <cell r="N66">
            <v>32.799999999999997</v>
          </cell>
          <cell r="O66">
            <v>32.700000000000003</v>
          </cell>
        </row>
        <row r="67">
          <cell r="A67">
            <v>303</v>
          </cell>
          <cell r="B67">
            <v>2</v>
          </cell>
          <cell r="C67">
            <v>13.273999999999999</v>
          </cell>
          <cell r="D67">
            <v>30.1</v>
          </cell>
          <cell r="E67">
            <v>31.2</v>
          </cell>
          <cell r="F67">
            <v>31.5</v>
          </cell>
          <cell r="G67">
            <v>31.3</v>
          </cell>
          <cell r="H67">
            <v>30.2</v>
          </cell>
          <cell r="I67">
            <v>31</v>
          </cell>
          <cell r="J67">
            <v>31.6</v>
          </cell>
          <cell r="K67">
            <v>31</v>
          </cell>
          <cell r="L67">
            <v>30.1</v>
          </cell>
          <cell r="M67">
            <v>30.1</v>
          </cell>
          <cell r="N67">
            <v>30</v>
          </cell>
          <cell r="O67">
            <v>31.5</v>
          </cell>
        </row>
        <row r="68">
          <cell r="A68">
            <v>304</v>
          </cell>
          <cell r="B68">
            <v>1</v>
          </cell>
          <cell r="C68">
            <v>13.285</v>
          </cell>
          <cell r="D68">
            <v>36.1</v>
          </cell>
          <cell r="E68">
            <v>32.4</v>
          </cell>
          <cell r="F68">
            <v>31.3</v>
          </cell>
          <cell r="G68">
            <v>32.200000000000003</v>
          </cell>
          <cell r="H68">
            <v>31.8</v>
          </cell>
          <cell r="I68">
            <v>32.5</v>
          </cell>
          <cell r="J68">
            <v>33.200000000000003</v>
          </cell>
          <cell r="K68">
            <v>33.9</v>
          </cell>
          <cell r="L68">
            <v>33.299999999999997</v>
          </cell>
          <cell r="M68">
            <v>32.5</v>
          </cell>
          <cell r="N68">
            <v>33.700000000000003</v>
          </cell>
          <cell r="O68">
            <v>33.799999999999997</v>
          </cell>
        </row>
        <row r="69">
          <cell r="A69">
            <v>304</v>
          </cell>
          <cell r="B69">
            <v>2</v>
          </cell>
          <cell r="C69">
            <v>13.289</v>
          </cell>
          <cell r="D69">
            <v>33.200000000000003</v>
          </cell>
          <cell r="E69">
            <v>31.9</v>
          </cell>
          <cell r="F69">
            <v>29.8</v>
          </cell>
          <cell r="G69">
            <v>33.200000000000003</v>
          </cell>
          <cell r="H69">
            <v>32.700000000000003</v>
          </cell>
          <cell r="I69">
            <v>34.299999999999997</v>
          </cell>
          <cell r="J69">
            <v>31</v>
          </cell>
          <cell r="K69">
            <v>30.4</v>
          </cell>
          <cell r="L69">
            <v>36.1</v>
          </cell>
          <cell r="M69">
            <v>31.3</v>
          </cell>
          <cell r="N69">
            <v>31.1</v>
          </cell>
          <cell r="O69">
            <v>32.200000000000003</v>
          </cell>
        </row>
        <row r="70">
          <cell r="A70">
            <v>305</v>
          </cell>
          <cell r="B70">
            <v>1</v>
          </cell>
          <cell r="C70">
            <v>13.301</v>
          </cell>
          <cell r="D70">
            <v>33.200000000000003</v>
          </cell>
          <cell r="E70">
            <v>33.6</v>
          </cell>
          <cell r="F70">
            <v>32.9</v>
          </cell>
          <cell r="G70">
            <v>35.1</v>
          </cell>
          <cell r="H70">
            <v>32.700000000000003</v>
          </cell>
          <cell r="I70">
            <v>33.9</v>
          </cell>
          <cell r="J70">
            <v>33.200000000000003</v>
          </cell>
          <cell r="K70">
            <v>32.6</v>
          </cell>
          <cell r="L70">
            <v>32.799999999999997</v>
          </cell>
          <cell r="M70">
            <v>34.799999999999997</v>
          </cell>
          <cell r="N70">
            <v>34</v>
          </cell>
          <cell r="O70">
            <v>33.4</v>
          </cell>
        </row>
        <row r="71">
          <cell r="A71">
            <v>305</v>
          </cell>
          <cell r="B71">
            <v>2</v>
          </cell>
          <cell r="C71">
            <v>13.305999999999999</v>
          </cell>
          <cell r="D71">
            <v>32.4</v>
          </cell>
          <cell r="E71">
            <v>31.6</v>
          </cell>
          <cell r="F71">
            <v>32.799999999999997</v>
          </cell>
          <cell r="G71">
            <v>32</v>
          </cell>
          <cell r="H71">
            <v>32</v>
          </cell>
          <cell r="I71">
            <v>33.799999999999997</v>
          </cell>
          <cell r="J71">
            <v>34.200000000000003</v>
          </cell>
          <cell r="K71">
            <v>33.700000000000003</v>
          </cell>
          <cell r="L71">
            <v>31.9</v>
          </cell>
          <cell r="M71">
            <v>33.299999999999997</v>
          </cell>
          <cell r="N71">
            <v>34.5</v>
          </cell>
          <cell r="O71">
            <v>33.9</v>
          </cell>
        </row>
        <row r="72">
          <cell r="A72">
            <v>306</v>
          </cell>
          <cell r="B72">
            <v>1</v>
          </cell>
          <cell r="C72">
            <v>13.315</v>
          </cell>
          <cell r="D72">
            <v>32.799999999999997</v>
          </cell>
          <cell r="E72">
            <v>33.700000000000003</v>
          </cell>
          <cell r="F72">
            <v>34.4</v>
          </cell>
          <cell r="G72">
            <v>33.299999999999997</v>
          </cell>
          <cell r="H72">
            <v>36.5</v>
          </cell>
          <cell r="I72">
            <v>33.700000000000003</v>
          </cell>
          <cell r="J72">
            <v>36.700000000000003</v>
          </cell>
          <cell r="K72">
            <v>34</v>
          </cell>
          <cell r="L72">
            <v>33.299999999999997</v>
          </cell>
          <cell r="M72">
            <v>33.299999999999997</v>
          </cell>
          <cell r="N72">
            <v>32.6</v>
          </cell>
          <cell r="O72">
            <v>32</v>
          </cell>
        </row>
        <row r="73">
          <cell r="A73">
            <v>306</v>
          </cell>
          <cell r="B73">
            <v>2</v>
          </cell>
          <cell r="C73">
            <v>13.32</v>
          </cell>
          <cell r="D73">
            <v>32.5</v>
          </cell>
          <cell r="E73">
            <v>31.5</v>
          </cell>
          <cell r="F73">
            <v>30</v>
          </cell>
          <cell r="G73">
            <v>32.5</v>
          </cell>
          <cell r="H73">
            <v>31.7</v>
          </cell>
          <cell r="I73">
            <v>33.4</v>
          </cell>
          <cell r="J73">
            <v>32.6</v>
          </cell>
          <cell r="K73">
            <v>32.299999999999997</v>
          </cell>
          <cell r="L73">
            <v>35.299999999999997</v>
          </cell>
          <cell r="M73">
            <v>32.299999999999997</v>
          </cell>
          <cell r="N73">
            <v>32.200000000000003</v>
          </cell>
          <cell r="O73">
            <v>33.6</v>
          </cell>
        </row>
        <row r="74">
          <cell r="A74">
            <v>307</v>
          </cell>
          <cell r="B74">
            <v>1</v>
          </cell>
          <cell r="C74">
            <v>13.33</v>
          </cell>
          <cell r="D74">
            <v>34.299999999999997</v>
          </cell>
          <cell r="E74">
            <v>33.1</v>
          </cell>
          <cell r="F74">
            <v>33.9</v>
          </cell>
          <cell r="G74">
            <v>34.700000000000003</v>
          </cell>
          <cell r="H74">
            <v>33.299999999999997</v>
          </cell>
          <cell r="I74">
            <v>34.6</v>
          </cell>
          <cell r="J74">
            <v>33.4</v>
          </cell>
          <cell r="K74">
            <v>33.5</v>
          </cell>
          <cell r="L74">
            <v>32.1</v>
          </cell>
          <cell r="M74">
            <v>32.700000000000003</v>
          </cell>
          <cell r="N74">
            <v>32.6</v>
          </cell>
          <cell r="O74">
            <v>31.8</v>
          </cell>
        </row>
        <row r="75">
          <cell r="A75">
            <v>307</v>
          </cell>
          <cell r="B75">
            <v>2</v>
          </cell>
          <cell r="C75">
            <v>13.335000000000001</v>
          </cell>
          <cell r="D75">
            <v>29.8</v>
          </cell>
          <cell r="E75">
            <v>33.700000000000003</v>
          </cell>
          <cell r="F75">
            <v>32.799999999999997</v>
          </cell>
          <cell r="G75">
            <v>33.700000000000003</v>
          </cell>
          <cell r="H75">
            <v>32.6</v>
          </cell>
          <cell r="I75">
            <v>33.1</v>
          </cell>
          <cell r="J75">
            <v>34.9</v>
          </cell>
          <cell r="K75">
            <v>34.1</v>
          </cell>
          <cell r="L75">
            <v>34.799999999999997</v>
          </cell>
          <cell r="M75">
            <v>36.5</v>
          </cell>
          <cell r="N75">
            <v>35.9</v>
          </cell>
          <cell r="O75">
            <v>40.299999999999997</v>
          </cell>
        </row>
        <row r="76">
          <cell r="A76">
            <v>308</v>
          </cell>
          <cell r="B76">
            <v>1</v>
          </cell>
          <cell r="C76">
            <v>13.345000000000001</v>
          </cell>
          <cell r="D76">
            <v>33.6</v>
          </cell>
          <cell r="E76">
            <v>33.700000000000003</v>
          </cell>
          <cell r="F76">
            <v>33.9</v>
          </cell>
          <cell r="G76">
            <v>32.1</v>
          </cell>
          <cell r="H76">
            <v>34.200000000000003</v>
          </cell>
          <cell r="I76">
            <v>31.6</v>
          </cell>
          <cell r="J76">
            <v>32.1</v>
          </cell>
          <cell r="K76">
            <v>31.8</v>
          </cell>
          <cell r="L76">
            <v>31.5</v>
          </cell>
          <cell r="M76">
            <v>33.9</v>
          </cell>
          <cell r="N76">
            <v>32.4</v>
          </cell>
          <cell r="O76">
            <v>34.200000000000003</v>
          </cell>
        </row>
        <row r="77">
          <cell r="A77">
            <v>308</v>
          </cell>
          <cell r="B77">
            <v>2</v>
          </cell>
          <cell r="C77">
            <v>13.35</v>
          </cell>
          <cell r="D77">
            <v>30.8</v>
          </cell>
          <cell r="E77">
            <v>31.4</v>
          </cell>
          <cell r="F77">
            <v>30.7</v>
          </cell>
          <cell r="G77">
            <v>29.6</v>
          </cell>
          <cell r="H77">
            <v>31.1</v>
          </cell>
          <cell r="I77">
            <v>31.1</v>
          </cell>
          <cell r="J77">
            <v>32.1</v>
          </cell>
          <cell r="K77">
            <v>30.8</v>
          </cell>
          <cell r="L77">
            <v>30.7</v>
          </cell>
          <cell r="M77">
            <v>30.3</v>
          </cell>
          <cell r="N77">
            <v>34.6</v>
          </cell>
          <cell r="O77">
            <v>33.1</v>
          </cell>
        </row>
        <row r="78">
          <cell r="A78">
            <v>408</v>
          </cell>
          <cell r="B78">
            <v>1</v>
          </cell>
          <cell r="C78">
            <v>13.367000000000001</v>
          </cell>
          <cell r="D78">
            <v>33.4</v>
          </cell>
          <cell r="E78">
            <v>31.4</v>
          </cell>
          <cell r="F78">
            <v>31.7</v>
          </cell>
          <cell r="G78">
            <v>31.1</v>
          </cell>
          <cell r="H78">
            <v>32.4</v>
          </cell>
          <cell r="I78">
            <v>30.9</v>
          </cell>
          <cell r="J78">
            <v>31.4</v>
          </cell>
          <cell r="K78">
            <v>32.4</v>
          </cell>
          <cell r="L78">
            <v>31.9</v>
          </cell>
          <cell r="M78">
            <v>31.4</v>
          </cell>
          <cell r="N78">
            <v>30.1</v>
          </cell>
          <cell r="O78">
            <v>31.3</v>
          </cell>
        </row>
        <row r="79">
          <cell r="A79">
            <v>408</v>
          </cell>
          <cell r="B79">
            <v>2</v>
          </cell>
          <cell r="C79">
            <v>13.372</v>
          </cell>
          <cell r="D79">
            <v>29.3</v>
          </cell>
          <cell r="E79">
            <v>31</v>
          </cell>
          <cell r="F79">
            <v>30.4</v>
          </cell>
          <cell r="G79">
            <v>29.7</v>
          </cell>
          <cell r="H79">
            <v>30.7</v>
          </cell>
          <cell r="I79">
            <v>31.5</v>
          </cell>
          <cell r="J79">
            <v>31</v>
          </cell>
          <cell r="K79">
            <v>29.3</v>
          </cell>
          <cell r="L79">
            <v>30.8</v>
          </cell>
          <cell r="M79">
            <v>31.3</v>
          </cell>
          <cell r="N79">
            <v>30.2</v>
          </cell>
          <cell r="O79">
            <v>30.9</v>
          </cell>
        </row>
        <row r="80">
          <cell r="A80">
            <v>407</v>
          </cell>
          <cell r="B80">
            <v>1</v>
          </cell>
          <cell r="C80">
            <v>13.382</v>
          </cell>
          <cell r="D80">
            <v>33.799999999999997</v>
          </cell>
          <cell r="E80">
            <v>34.799999999999997</v>
          </cell>
          <cell r="F80">
            <v>34.299999999999997</v>
          </cell>
          <cell r="G80">
            <v>34.299999999999997</v>
          </cell>
          <cell r="H80">
            <v>33</v>
          </cell>
          <cell r="I80">
            <v>33.700000000000003</v>
          </cell>
          <cell r="J80">
            <v>32.5</v>
          </cell>
          <cell r="K80">
            <v>32.9</v>
          </cell>
          <cell r="L80">
            <v>32.700000000000003</v>
          </cell>
          <cell r="M80">
            <v>31.2</v>
          </cell>
          <cell r="N80">
            <v>31.7</v>
          </cell>
          <cell r="O80">
            <v>31.6</v>
          </cell>
        </row>
        <row r="81">
          <cell r="A81">
            <v>407</v>
          </cell>
          <cell r="B81">
            <v>2</v>
          </cell>
          <cell r="C81">
            <v>13.387</v>
          </cell>
          <cell r="D81">
            <v>30.1</v>
          </cell>
          <cell r="E81">
            <v>31.4</v>
          </cell>
          <cell r="F81">
            <v>31.7</v>
          </cell>
          <cell r="G81">
            <v>30.5</v>
          </cell>
          <cell r="H81">
            <v>32</v>
          </cell>
          <cell r="I81">
            <v>30.9</v>
          </cell>
          <cell r="J81">
            <v>32.5</v>
          </cell>
          <cell r="K81">
            <v>33.6</v>
          </cell>
          <cell r="L81">
            <v>34.700000000000003</v>
          </cell>
          <cell r="M81">
            <v>32.299999999999997</v>
          </cell>
          <cell r="N81">
            <v>33.700000000000003</v>
          </cell>
          <cell r="O81">
            <v>34.4</v>
          </cell>
        </row>
        <row r="82">
          <cell r="A82">
            <v>406</v>
          </cell>
          <cell r="B82">
            <v>1</v>
          </cell>
          <cell r="C82">
            <v>13.398</v>
          </cell>
          <cell r="D82">
            <v>36.4</v>
          </cell>
          <cell r="E82">
            <v>35.799999999999997</v>
          </cell>
          <cell r="F82">
            <v>34.5</v>
          </cell>
          <cell r="G82">
            <v>36.700000000000003</v>
          </cell>
          <cell r="H82">
            <v>35.1</v>
          </cell>
          <cell r="I82">
            <v>35.4</v>
          </cell>
          <cell r="J82">
            <v>35.700000000000003</v>
          </cell>
          <cell r="K82">
            <v>35.5</v>
          </cell>
          <cell r="L82">
            <v>34.299999999999997</v>
          </cell>
          <cell r="M82">
            <v>35</v>
          </cell>
          <cell r="N82">
            <v>34.700000000000003</v>
          </cell>
          <cell r="O82">
            <v>35.4</v>
          </cell>
        </row>
        <row r="83">
          <cell r="A83">
            <v>406</v>
          </cell>
          <cell r="B83">
            <v>2</v>
          </cell>
          <cell r="C83">
            <v>13.401999999999999</v>
          </cell>
          <cell r="D83">
            <v>34.299999999999997</v>
          </cell>
          <cell r="E83">
            <v>33.799999999999997</v>
          </cell>
          <cell r="F83">
            <v>33.4</v>
          </cell>
          <cell r="G83">
            <v>33.6</v>
          </cell>
          <cell r="H83">
            <v>34.1</v>
          </cell>
          <cell r="I83">
            <v>36</v>
          </cell>
          <cell r="J83">
            <v>33.700000000000003</v>
          </cell>
          <cell r="K83">
            <v>32.9</v>
          </cell>
          <cell r="L83">
            <v>33.200000000000003</v>
          </cell>
          <cell r="M83">
            <v>34.4</v>
          </cell>
          <cell r="N83">
            <v>34.799999999999997</v>
          </cell>
          <cell r="O83">
            <v>33.799999999999997</v>
          </cell>
        </row>
        <row r="84">
          <cell r="A84">
            <v>405</v>
          </cell>
          <cell r="B84">
            <v>1</v>
          </cell>
          <cell r="C84">
            <v>13.413</v>
          </cell>
          <cell r="D84">
            <v>34.5</v>
          </cell>
          <cell r="E84">
            <v>35.1</v>
          </cell>
          <cell r="F84">
            <v>35.700000000000003</v>
          </cell>
          <cell r="G84">
            <v>33.700000000000003</v>
          </cell>
          <cell r="H84">
            <v>34.5</v>
          </cell>
          <cell r="I84">
            <v>34.6</v>
          </cell>
          <cell r="J84">
            <v>33.299999999999997</v>
          </cell>
          <cell r="K84">
            <v>35.1</v>
          </cell>
          <cell r="L84">
            <v>35</v>
          </cell>
          <cell r="M84">
            <v>32.4</v>
          </cell>
          <cell r="N84">
            <v>34.799999999999997</v>
          </cell>
          <cell r="O84">
            <v>33.200000000000003</v>
          </cell>
        </row>
        <row r="85">
          <cell r="A85">
            <v>405</v>
          </cell>
          <cell r="B85">
            <v>2</v>
          </cell>
          <cell r="C85">
            <v>13.417999999999999</v>
          </cell>
          <cell r="D85">
            <v>33.1</v>
          </cell>
          <cell r="E85">
            <v>33.6</v>
          </cell>
          <cell r="F85">
            <v>38.4</v>
          </cell>
          <cell r="G85">
            <v>32.9</v>
          </cell>
          <cell r="H85">
            <v>36.9</v>
          </cell>
          <cell r="I85">
            <v>33.6</v>
          </cell>
          <cell r="J85">
            <v>33.700000000000003</v>
          </cell>
          <cell r="K85">
            <v>33.1</v>
          </cell>
          <cell r="L85">
            <v>34.1</v>
          </cell>
          <cell r="M85">
            <v>35.700000000000003</v>
          </cell>
          <cell r="N85">
            <v>34.1</v>
          </cell>
          <cell r="O85">
            <v>34</v>
          </cell>
        </row>
        <row r="86">
          <cell r="A86">
            <v>404</v>
          </cell>
          <cell r="B86">
            <v>1</v>
          </cell>
          <cell r="C86">
            <v>13.429</v>
          </cell>
          <cell r="D86">
            <v>37.1</v>
          </cell>
          <cell r="E86">
            <v>37.200000000000003</v>
          </cell>
          <cell r="F86">
            <v>35.9</v>
          </cell>
          <cell r="G86">
            <v>35.200000000000003</v>
          </cell>
          <cell r="H86">
            <v>35.299999999999997</v>
          </cell>
          <cell r="I86">
            <v>33.5</v>
          </cell>
          <cell r="J86">
            <v>34</v>
          </cell>
          <cell r="K86">
            <v>34.6</v>
          </cell>
          <cell r="L86">
            <v>33.799999999999997</v>
          </cell>
          <cell r="M86">
            <v>36.200000000000003</v>
          </cell>
          <cell r="N86">
            <v>36.200000000000003</v>
          </cell>
          <cell r="O86">
            <v>34.9</v>
          </cell>
        </row>
        <row r="87">
          <cell r="A87">
            <v>404</v>
          </cell>
          <cell r="B87">
            <v>2</v>
          </cell>
          <cell r="C87">
            <v>13.433999999999999</v>
          </cell>
          <cell r="D87">
            <v>34.5</v>
          </cell>
          <cell r="E87">
            <v>34.5</v>
          </cell>
          <cell r="F87">
            <v>35.4</v>
          </cell>
          <cell r="G87">
            <v>35.4</v>
          </cell>
          <cell r="H87">
            <v>34.200000000000003</v>
          </cell>
          <cell r="I87">
            <v>33.799999999999997</v>
          </cell>
          <cell r="J87">
            <v>35.9</v>
          </cell>
          <cell r="K87">
            <v>35.200000000000003</v>
          </cell>
          <cell r="L87">
            <v>35.700000000000003</v>
          </cell>
          <cell r="M87">
            <v>35.9</v>
          </cell>
          <cell r="N87">
            <v>34.700000000000003</v>
          </cell>
          <cell r="O87">
            <v>34.299999999999997</v>
          </cell>
        </row>
        <row r="88">
          <cell r="A88">
            <v>403</v>
          </cell>
          <cell r="B88">
            <v>1</v>
          </cell>
          <cell r="C88">
            <v>13.444000000000001</v>
          </cell>
          <cell r="D88">
            <v>35.200000000000003</v>
          </cell>
          <cell r="E88">
            <v>34.9</v>
          </cell>
          <cell r="F88">
            <v>33.200000000000003</v>
          </cell>
          <cell r="G88">
            <v>33.700000000000003</v>
          </cell>
          <cell r="H88">
            <v>32.4</v>
          </cell>
          <cell r="I88">
            <v>32.9</v>
          </cell>
          <cell r="J88">
            <v>32.4</v>
          </cell>
          <cell r="K88">
            <v>32.799999999999997</v>
          </cell>
          <cell r="L88">
            <v>31.8</v>
          </cell>
          <cell r="M88">
            <v>32.299999999999997</v>
          </cell>
          <cell r="N88">
            <v>32.299999999999997</v>
          </cell>
          <cell r="O88">
            <v>32.299999999999997</v>
          </cell>
        </row>
        <row r="89">
          <cell r="A89">
            <v>403</v>
          </cell>
          <cell r="B89">
            <v>2</v>
          </cell>
          <cell r="C89">
            <v>13.449</v>
          </cell>
          <cell r="D89">
            <v>30.4</v>
          </cell>
          <cell r="E89">
            <v>32.299999999999997</v>
          </cell>
          <cell r="F89">
            <v>34.5</v>
          </cell>
          <cell r="G89">
            <v>31</v>
          </cell>
          <cell r="H89">
            <v>31.8</v>
          </cell>
          <cell r="I89">
            <v>32.1</v>
          </cell>
          <cell r="J89">
            <v>32.6</v>
          </cell>
          <cell r="K89">
            <v>34.1</v>
          </cell>
          <cell r="L89">
            <v>33.6</v>
          </cell>
          <cell r="M89">
            <v>34.4</v>
          </cell>
          <cell r="N89">
            <v>32.799999999999997</v>
          </cell>
          <cell r="O89">
            <v>34.4</v>
          </cell>
        </row>
        <row r="90">
          <cell r="A90">
            <v>402</v>
          </cell>
          <cell r="B90">
            <v>1</v>
          </cell>
          <cell r="C90">
            <v>13.459</v>
          </cell>
          <cell r="D90">
            <v>34.700000000000003</v>
          </cell>
          <cell r="E90">
            <v>34.700000000000003</v>
          </cell>
          <cell r="F90">
            <v>32.4</v>
          </cell>
          <cell r="G90">
            <v>34.299999999999997</v>
          </cell>
          <cell r="H90">
            <v>33.1</v>
          </cell>
          <cell r="I90">
            <v>33.1</v>
          </cell>
          <cell r="J90">
            <v>31.5</v>
          </cell>
          <cell r="K90">
            <v>32</v>
          </cell>
          <cell r="L90">
            <v>32.700000000000003</v>
          </cell>
          <cell r="M90">
            <v>33.299999999999997</v>
          </cell>
          <cell r="N90">
            <v>32.6</v>
          </cell>
          <cell r="O90">
            <v>33.200000000000003</v>
          </cell>
        </row>
        <row r="91">
          <cell r="A91">
            <v>402</v>
          </cell>
          <cell r="B91">
            <v>2</v>
          </cell>
          <cell r="C91">
            <v>13.464</v>
          </cell>
          <cell r="D91">
            <v>32.1</v>
          </cell>
          <cell r="E91">
            <v>31.1</v>
          </cell>
          <cell r="F91">
            <v>33.6</v>
          </cell>
          <cell r="G91">
            <v>32.700000000000003</v>
          </cell>
          <cell r="H91">
            <v>33.5</v>
          </cell>
          <cell r="I91">
            <v>31.4</v>
          </cell>
          <cell r="J91">
            <v>34.200000000000003</v>
          </cell>
          <cell r="K91">
            <v>33</v>
          </cell>
          <cell r="L91">
            <v>33.799999999999997</v>
          </cell>
          <cell r="M91">
            <v>33.6</v>
          </cell>
          <cell r="N91">
            <v>34.299999999999997</v>
          </cell>
          <cell r="O91">
            <v>35.299999999999997</v>
          </cell>
        </row>
        <row r="92">
          <cell r="A92">
            <v>401</v>
          </cell>
          <cell r="B92">
            <v>1</v>
          </cell>
          <cell r="C92">
            <v>13.475</v>
          </cell>
          <cell r="D92">
            <v>32.9</v>
          </cell>
          <cell r="E92">
            <v>32.700000000000003</v>
          </cell>
          <cell r="F92">
            <v>32.799999999999997</v>
          </cell>
          <cell r="G92">
            <v>33.700000000000003</v>
          </cell>
          <cell r="H92">
            <v>31.6</v>
          </cell>
          <cell r="I92">
            <v>32.200000000000003</v>
          </cell>
          <cell r="J92">
            <v>33</v>
          </cell>
          <cell r="K92">
            <v>32.5</v>
          </cell>
          <cell r="L92">
            <v>30.7</v>
          </cell>
          <cell r="M92">
            <v>32.6</v>
          </cell>
          <cell r="N92">
            <v>31.5</v>
          </cell>
          <cell r="O92">
            <v>33.1</v>
          </cell>
        </row>
        <row r="93">
          <cell r="A93">
            <v>401</v>
          </cell>
          <cell r="B93">
            <v>2</v>
          </cell>
          <cell r="C93">
            <v>13.478999999999999</v>
          </cell>
          <cell r="D93">
            <v>31.7</v>
          </cell>
          <cell r="E93">
            <v>30.9</v>
          </cell>
          <cell r="F93">
            <v>31.1</v>
          </cell>
          <cell r="G93">
            <v>31.8</v>
          </cell>
          <cell r="H93">
            <v>32.6</v>
          </cell>
          <cell r="I93">
            <v>33.4</v>
          </cell>
          <cell r="J93">
            <v>32.799999999999997</v>
          </cell>
          <cell r="K93">
            <v>33.5</v>
          </cell>
          <cell r="L93">
            <v>34.4</v>
          </cell>
          <cell r="M93">
            <v>32.9</v>
          </cell>
          <cell r="N93">
            <v>32.299999999999997</v>
          </cell>
          <cell r="O93">
            <v>33.1</v>
          </cell>
        </row>
      </sheetData>
      <sheetData sheetId="2">
        <row r="7">
          <cell r="C7">
            <v>253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34.35</v>
          </cell>
        </row>
        <row r="29">
          <cell r="E29">
            <v>3.8235998275071843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Reduced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/>
      <sheetData sheetId="1">
        <row r="1">
          <cell r="A1" t="str">
            <v>Raw data file name - 'IA254.03R'</v>
          </cell>
        </row>
        <row r="14">
          <cell r="A14">
            <v>108</v>
          </cell>
          <cell r="B14">
            <v>1</v>
          </cell>
          <cell r="C14">
            <v>13.077</v>
          </cell>
          <cell r="D14">
            <v>34.200000000000003</v>
          </cell>
          <cell r="E14">
            <v>34.9</v>
          </cell>
          <cell r="F14">
            <v>33.6</v>
          </cell>
          <cell r="G14">
            <v>36.200000000000003</v>
          </cell>
          <cell r="H14">
            <v>33.1</v>
          </cell>
          <cell r="I14">
            <v>34.799999999999997</v>
          </cell>
          <cell r="J14">
            <v>35.4</v>
          </cell>
          <cell r="K14">
            <v>35.5</v>
          </cell>
          <cell r="L14">
            <v>35.700000000000003</v>
          </cell>
          <cell r="M14">
            <v>36.1</v>
          </cell>
          <cell r="N14">
            <v>33.5</v>
          </cell>
          <cell r="O14">
            <v>35.9</v>
          </cell>
        </row>
        <row r="15">
          <cell r="A15">
            <v>108</v>
          </cell>
          <cell r="B15">
            <v>2</v>
          </cell>
          <cell r="C15">
            <v>13.082000000000001</v>
          </cell>
          <cell r="D15">
            <v>34.799999999999997</v>
          </cell>
          <cell r="E15">
            <v>30.6</v>
          </cell>
          <cell r="F15">
            <v>34.200000000000003</v>
          </cell>
          <cell r="G15">
            <v>35.700000000000003</v>
          </cell>
          <cell r="H15">
            <v>31.9</v>
          </cell>
          <cell r="I15">
            <v>35</v>
          </cell>
          <cell r="J15">
            <v>33.5</v>
          </cell>
          <cell r="K15">
            <v>36.9</v>
          </cell>
          <cell r="L15">
            <v>33.299999999999997</v>
          </cell>
          <cell r="M15">
            <v>34.4</v>
          </cell>
          <cell r="N15">
            <v>33.9</v>
          </cell>
          <cell r="O15">
            <v>34.1</v>
          </cell>
        </row>
        <row r="16">
          <cell r="A16">
            <v>107</v>
          </cell>
          <cell r="B16">
            <v>1</v>
          </cell>
          <cell r="C16">
            <v>13.093999999999999</v>
          </cell>
          <cell r="D16">
            <v>36.1</v>
          </cell>
          <cell r="E16">
            <v>35.9</v>
          </cell>
          <cell r="F16">
            <v>34.799999999999997</v>
          </cell>
          <cell r="G16">
            <v>34.200000000000003</v>
          </cell>
          <cell r="H16">
            <v>32.6</v>
          </cell>
          <cell r="I16">
            <v>30.8</v>
          </cell>
          <cell r="J16">
            <v>29.5</v>
          </cell>
          <cell r="K16">
            <v>30.7</v>
          </cell>
          <cell r="L16">
            <v>30.9</v>
          </cell>
          <cell r="M16">
            <v>31.3</v>
          </cell>
          <cell r="N16">
            <v>29.1</v>
          </cell>
          <cell r="O16">
            <v>30.9</v>
          </cell>
        </row>
        <row r="17">
          <cell r="A17">
            <v>107</v>
          </cell>
          <cell r="B17">
            <v>2</v>
          </cell>
          <cell r="C17">
            <v>13.099</v>
          </cell>
          <cell r="D17">
            <v>29.4</v>
          </cell>
          <cell r="E17">
            <v>29.7</v>
          </cell>
          <cell r="F17">
            <v>28.4</v>
          </cell>
          <cell r="G17">
            <v>30.3</v>
          </cell>
          <cell r="H17">
            <v>28.6</v>
          </cell>
          <cell r="I17">
            <v>29</v>
          </cell>
          <cell r="J17">
            <v>30.2</v>
          </cell>
          <cell r="K17">
            <v>29.7</v>
          </cell>
          <cell r="L17">
            <v>29.3</v>
          </cell>
          <cell r="M17">
            <v>32.200000000000003</v>
          </cell>
          <cell r="N17">
            <v>34.799999999999997</v>
          </cell>
          <cell r="O17">
            <v>31.2</v>
          </cell>
        </row>
        <row r="18">
          <cell r="A18">
            <v>106</v>
          </cell>
          <cell r="B18">
            <v>1</v>
          </cell>
          <cell r="C18">
            <v>13.112</v>
          </cell>
          <cell r="D18">
            <v>31.4</v>
          </cell>
          <cell r="E18">
            <v>33.799999999999997</v>
          </cell>
          <cell r="F18">
            <v>33.799999999999997</v>
          </cell>
          <cell r="G18">
            <v>32.799999999999997</v>
          </cell>
          <cell r="H18">
            <v>30.1</v>
          </cell>
          <cell r="I18">
            <v>32.4</v>
          </cell>
          <cell r="J18">
            <v>32.200000000000003</v>
          </cell>
          <cell r="K18">
            <v>33.700000000000003</v>
          </cell>
          <cell r="L18">
            <v>31.4</v>
          </cell>
          <cell r="M18">
            <v>30.1</v>
          </cell>
          <cell r="N18">
            <v>31.3</v>
          </cell>
          <cell r="O18">
            <v>32.1</v>
          </cell>
        </row>
        <row r="19">
          <cell r="A19">
            <v>106</v>
          </cell>
          <cell r="B19">
            <v>2</v>
          </cell>
          <cell r="C19">
            <v>13.116</v>
          </cell>
          <cell r="D19">
            <v>31.2</v>
          </cell>
          <cell r="E19">
            <v>33.200000000000003</v>
          </cell>
          <cell r="F19">
            <v>28.6</v>
          </cell>
          <cell r="G19">
            <v>28.8</v>
          </cell>
          <cell r="H19">
            <v>31</v>
          </cell>
          <cell r="I19">
            <v>32.6</v>
          </cell>
          <cell r="J19">
            <v>31.2</v>
          </cell>
          <cell r="K19">
            <v>28.8</v>
          </cell>
          <cell r="L19">
            <v>31.1</v>
          </cell>
          <cell r="M19">
            <v>32</v>
          </cell>
          <cell r="N19">
            <v>33.5</v>
          </cell>
          <cell r="O19">
            <v>31.4</v>
          </cell>
        </row>
        <row r="20">
          <cell r="A20">
            <v>105</v>
          </cell>
          <cell r="B20">
            <v>1</v>
          </cell>
          <cell r="C20">
            <v>13.129</v>
          </cell>
          <cell r="D20">
            <v>35.1</v>
          </cell>
          <cell r="E20">
            <v>30.4</v>
          </cell>
          <cell r="F20">
            <v>31.4</v>
          </cell>
          <cell r="G20">
            <v>30.8</v>
          </cell>
          <cell r="H20">
            <v>30.6</v>
          </cell>
          <cell r="I20">
            <v>30.4</v>
          </cell>
          <cell r="J20">
            <v>31.5</v>
          </cell>
          <cell r="K20">
            <v>31.8</v>
          </cell>
          <cell r="L20">
            <v>30.2</v>
          </cell>
          <cell r="M20">
            <v>33.299999999999997</v>
          </cell>
          <cell r="N20">
            <v>31.3</v>
          </cell>
          <cell r="O20">
            <v>34.5</v>
          </cell>
        </row>
        <row r="21">
          <cell r="A21">
            <v>105</v>
          </cell>
          <cell r="B21">
            <v>2</v>
          </cell>
          <cell r="C21">
            <v>13.134</v>
          </cell>
          <cell r="D21">
            <v>30.3</v>
          </cell>
          <cell r="E21">
            <v>30.6</v>
          </cell>
          <cell r="F21">
            <v>30.9</v>
          </cell>
          <cell r="G21">
            <v>31.9</v>
          </cell>
          <cell r="H21">
            <v>31.9</v>
          </cell>
          <cell r="I21">
            <v>30</v>
          </cell>
          <cell r="J21">
            <v>31.3</v>
          </cell>
          <cell r="K21">
            <v>30.9</v>
          </cell>
          <cell r="L21">
            <v>31</v>
          </cell>
          <cell r="M21">
            <v>30.9</v>
          </cell>
          <cell r="N21">
            <v>32.4</v>
          </cell>
          <cell r="O21">
            <v>31.1</v>
          </cell>
        </row>
        <row r="22">
          <cell r="A22">
            <v>104</v>
          </cell>
          <cell r="B22">
            <v>1</v>
          </cell>
          <cell r="C22">
            <v>13.146000000000001</v>
          </cell>
          <cell r="D22">
            <v>32.1</v>
          </cell>
          <cell r="E22">
            <v>34.4</v>
          </cell>
          <cell r="F22">
            <v>32.1</v>
          </cell>
          <cell r="G22">
            <v>33.799999999999997</v>
          </cell>
          <cell r="H22">
            <v>32.700000000000003</v>
          </cell>
          <cell r="I22">
            <v>33.1</v>
          </cell>
          <cell r="J22">
            <v>33.6</v>
          </cell>
          <cell r="K22">
            <v>32.4</v>
          </cell>
          <cell r="L22">
            <v>30.7</v>
          </cell>
          <cell r="M22">
            <v>34.799999999999997</v>
          </cell>
          <cell r="N22">
            <v>32.5</v>
          </cell>
          <cell r="O22">
            <v>34.200000000000003</v>
          </cell>
        </row>
        <row r="23">
          <cell r="A23">
            <v>104</v>
          </cell>
          <cell r="B23">
            <v>2</v>
          </cell>
          <cell r="C23">
            <v>13.151</v>
          </cell>
          <cell r="D23">
            <v>33.299999999999997</v>
          </cell>
          <cell r="E23">
            <v>33.200000000000003</v>
          </cell>
          <cell r="F23">
            <v>32.6</v>
          </cell>
          <cell r="G23">
            <v>38.6</v>
          </cell>
          <cell r="H23">
            <v>31.3</v>
          </cell>
          <cell r="I23">
            <v>31.2</v>
          </cell>
          <cell r="J23">
            <v>31.6</v>
          </cell>
          <cell r="K23">
            <v>32.6</v>
          </cell>
          <cell r="L23">
            <v>30.6</v>
          </cell>
          <cell r="M23">
            <v>30.2</v>
          </cell>
          <cell r="N23">
            <v>31.3</v>
          </cell>
          <cell r="O23">
            <v>32.9</v>
          </cell>
        </row>
        <row r="24">
          <cell r="A24">
            <v>103</v>
          </cell>
          <cell r="B24">
            <v>1</v>
          </cell>
          <cell r="C24">
            <v>13.163</v>
          </cell>
          <cell r="D24">
            <v>34.5</v>
          </cell>
          <cell r="E24">
            <v>33.700000000000003</v>
          </cell>
          <cell r="F24">
            <v>33.5</v>
          </cell>
          <cell r="G24">
            <v>34.5</v>
          </cell>
          <cell r="H24">
            <v>35.4</v>
          </cell>
          <cell r="I24">
            <v>33.9</v>
          </cell>
          <cell r="J24">
            <v>33.299999999999997</v>
          </cell>
          <cell r="K24">
            <v>34.9</v>
          </cell>
          <cell r="L24">
            <v>34</v>
          </cell>
          <cell r="M24">
            <v>33.6</v>
          </cell>
          <cell r="N24">
            <v>33.6</v>
          </cell>
          <cell r="O24">
            <v>33.4</v>
          </cell>
        </row>
        <row r="25">
          <cell r="A25">
            <v>103</v>
          </cell>
          <cell r="B25">
            <v>2</v>
          </cell>
          <cell r="C25">
            <v>13.167</v>
          </cell>
          <cell r="D25">
            <v>34.299999999999997</v>
          </cell>
          <cell r="E25">
            <v>33.6</v>
          </cell>
          <cell r="F25">
            <v>32.200000000000003</v>
          </cell>
          <cell r="G25">
            <v>32.299999999999997</v>
          </cell>
          <cell r="H25">
            <v>34.5</v>
          </cell>
          <cell r="I25">
            <v>32.1</v>
          </cell>
          <cell r="J25">
            <v>33.1</v>
          </cell>
          <cell r="K25">
            <v>31.7</v>
          </cell>
          <cell r="L25">
            <v>32.1</v>
          </cell>
          <cell r="M25">
            <v>33.700000000000003</v>
          </cell>
          <cell r="N25">
            <v>33</v>
          </cell>
          <cell r="O25">
            <v>32.299999999999997</v>
          </cell>
        </row>
        <row r="26">
          <cell r="A26">
            <v>102</v>
          </cell>
          <cell r="B26">
            <v>1</v>
          </cell>
          <cell r="C26">
            <v>13.179</v>
          </cell>
          <cell r="D26">
            <v>30.3</v>
          </cell>
          <cell r="E26">
            <v>29.7</v>
          </cell>
          <cell r="F26">
            <v>29.3</v>
          </cell>
          <cell r="G26">
            <v>29.4</v>
          </cell>
          <cell r="H26">
            <v>31.4</v>
          </cell>
          <cell r="I26">
            <v>34</v>
          </cell>
          <cell r="J26">
            <v>31.6</v>
          </cell>
          <cell r="K26">
            <v>36.200000000000003</v>
          </cell>
          <cell r="L26">
            <v>33.700000000000003</v>
          </cell>
          <cell r="M26">
            <v>34.299999999999997</v>
          </cell>
          <cell r="N26">
            <v>32.200000000000003</v>
          </cell>
          <cell r="O26">
            <v>32.5</v>
          </cell>
        </row>
        <row r="27">
          <cell r="A27">
            <v>102</v>
          </cell>
          <cell r="B27">
            <v>2</v>
          </cell>
          <cell r="C27">
            <v>13.183</v>
          </cell>
          <cell r="D27">
            <v>33.6</v>
          </cell>
          <cell r="E27">
            <v>31.8</v>
          </cell>
          <cell r="F27">
            <v>31.2</v>
          </cell>
          <cell r="G27">
            <v>30.4</v>
          </cell>
          <cell r="H27">
            <v>33.5</v>
          </cell>
          <cell r="I27">
            <v>30.9</v>
          </cell>
          <cell r="J27">
            <v>32.200000000000003</v>
          </cell>
          <cell r="K27">
            <v>31.6</v>
          </cell>
          <cell r="L27">
            <v>30.5</v>
          </cell>
          <cell r="M27">
            <v>29.6</v>
          </cell>
          <cell r="N27">
            <v>30.2</v>
          </cell>
          <cell r="O27">
            <v>30.5</v>
          </cell>
        </row>
        <row r="28">
          <cell r="A28">
            <v>101</v>
          </cell>
          <cell r="B28">
            <v>1</v>
          </cell>
          <cell r="C28">
            <v>13.195</v>
          </cell>
          <cell r="D28">
            <v>31.9</v>
          </cell>
          <cell r="E28">
            <v>32</v>
          </cell>
          <cell r="F28">
            <v>31.8</v>
          </cell>
          <cell r="G28">
            <v>31.4</v>
          </cell>
          <cell r="H28">
            <v>31.6</v>
          </cell>
          <cell r="I28">
            <v>33.200000000000003</v>
          </cell>
          <cell r="J28">
            <v>33.1</v>
          </cell>
          <cell r="K28">
            <v>31.1</v>
          </cell>
          <cell r="L28">
            <v>31.5</v>
          </cell>
          <cell r="M28">
            <v>32.5</v>
          </cell>
          <cell r="N28">
            <v>31.8</v>
          </cell>
          <cell r="O28">
            <v>30.9</v>
          </cell>
        </row>
        <row r="29">
          <cell r="A29">
            <v>101</v>
          </cell>
          <cell r="B29">
            <v>2</v>
          </cell>
          <cell r="C29">
            <v>13.2</v>
          </cell>
          <cell r="D29">
            <v>31</v>
          </cell>
          <cell r="E29">
            <v>31.7</v>
          </cell>
          <cell r="F29">
            <v>32.9</v>
          </cell>
          <cell r="G29">
            <v>30.7</v>
          </cell>
          <cell r="H29">
            <v>33.200000000000003</v>
          </cell>
          <cell r="I29">
            <v>32.4</v>
          </cell>
          <cell r="J29">
            <v>33.200000000000003</v>
          </cell>
          <cell r="K29">
            <v>34.200000000000003</v>
          </cell>
          <cell r="L29">
            <v>31.4</v>
          </cell>
          <cell r="M29">
            <v>30.2</v>
          </cell>
          <cell r="N29">
            <v>33.299999999999997</v>
          </cell>
          <cell r="O29">
            <v>32.5</v>
          </cell>
        </row>
        <row r="30">
          <cell r="A30">
            <v>201</v>
          </cell>
          <cell r="B30">
            <v>1</v>
          </cell>
          <cell r="C30">
            <v>13.215999999999999</v>
          </cell>
          <cell r="D30">
            <v>31.8</v>
          </cell>
          <cell r="E30">
            <v>32.1</v>
          </cell>
          <cell r="F30">
            <v>31.6</v>
          </cell>
          <cell r="G30">
            <v>33.6</v>
          </cell>
          <cell r="H30">
            <v>31.9</v>
          </cell>
          <cell r="I30">
            <v>32.200000000000003</v>
          </cell>
          <cell r="J30">
            <v>31.4</v>
          </cell>
          <cell r="K30">
            <v>33.799999999999997</v>
          </cell>
          <cell r="L30">
            <v>33</v>
          </cell>
          <cell r="M30">
            <v>32.700000000000003</v>
          </cell>
          <cell r="N30">
            <v>31.4</v>
          </cell>
          <cell r="O30">
            <v>32.700000000000003</v>
          </cell>
        </row>
        <row r="31">
          <cell r="A31">
            <v>201</v>
          </cell>
          <cell r="B31">
            <v>2</v>
          </cell>
          <cell r="C31">
            <v>13.221</v>
          </cell>
          <cell r="D31">
            <v>29.3</v>
          </cell>
          <cell r="E31">
            <v>30.3</v>
          </cell>
          <cell r="F31">
            <v>30.1</v>
          </cell>
          <cell r="G31">
            <v>31.8</v>
          </cell>
          <cell r="H31">
            <v>32.9</v>
          </cell>
          <cell r="I31">
            <v>35.1</v>
          </cell>
          <cell r="J31">
            <v>31.6</v>
          </cell>
          <cell r="K31">
            <v>30.4</v>
          </cell>
          <cell r="L31">
            <v>29.7</v>
          </cell>
          <cell r="M31">
            <v>30.3</v>
          </cell>
          <cell r="N31">
            <v>31.7</v>
          </cell>
          <cell r="O31">
            <v>30.6</v>
          </cell>
        </row>
        <row r="32">
          <cell r="A32">
            <v>202</v>
          </cell>
          <cell r="B32">
            <v>1</v>
          </cell>
          <cell r="C32">
            <v>13.231999999999999</v>
          </cell>
          <cell r="D32">
            <v>32.299999999999997</v>
          </cell>
          <cell r="E32">
            <v>32</v>
          </cell>
          <cell r="F32">
            <v>30.9</v>
          </cell>
          <cell r="G32">
            <v>31.1</v>
          </cell>
          <cell r="H32">
            <v>30.7</v>
          </cell>
          <cell r="I32">
            <v>29.7</v>
          </cell>
          <cell r="J32">
            <v>29.1</v>
          </cell>
          <cell r="K32">
            <v>30</v>
          </cell>
          <cell r="L32">
            <v>30</v>
          </cell>
          <cell r="M32">
            <v>30.4</v>
          </cell>
          <cell r="N32">
            <v>30.3</v>
          </cell>
          <cell r="O32">
            <v>31.4</v>
          </cell>
        </row>
        <row r="33">
          <cell r="A33">
            <v>202</v>
          </cell>
          <cell r="B33">
            <v>2</v>
          </cell>
          <cell r="C33">
            <v>13.236000000000001</v>
          </cell>
          <cell r="D33">
            <v>32</v>
          </cell>
          <cell r="E33">
            <v>31.4</v>
          </cell>
          <cell r="F33">
            <v>31.6</v>
          </cell>
          <cell r="G33">
            <v>29.8</v>
          </cell>
          <cell r="H33">
            <v>29.8</v>
          </cell>
          <cell r="I33">
            <v>29.4</v>
          </cell>
          <cell r="J33">
            <v>29.1</v>
          </cell>
          <cell r="K33">
            <v>29.6</v>
          </cell>
          <cell r="L33">
            <v>30.7</v>
          </cell>
          <cell r="M33">
            <v>30.1</v>
          </cell>
          <cell r="N33">
            <v>30.5</v>
          </cell>
          <cell r="O33">
            <v>30.3</v>
          </cell>
        </row>
        <row r="34">
          <cell r="A34">
            <v>203</v>
          </cell>
          <cell r="B34">
            <v>1</v>
          </cell>
          <cell r="C34">
            <v>13.247999999999999</v>
          </cell>
          <cell r="D34">
            <v>30.8</v>
          </cell>
          <cell r="E34">
            <v>34.4</v>
          </cell>
          <cell r="F34">
            <v>31.6</v>
          </cell>
          <cell r="G34">
            <v>31.4</v>
          </cell>
          <cell r="H34">
            <v>30.9</v>
          </cell>
          <cell r="I34">
            <v>31.2</v>
          </cell>
          <cell r="J34">
            <v>31.7</v>
          </cell>
          <cell r="K34">
            <v>33.4</v>
          </cell>
          <cell r="L34">
            <v>32.4</v>
          </cell>
          <cell r="M34">
            <v>32.700000000000003</v>
          </cell>
          <cell r="N34">
            <v>33</v>
          </cell>
          <cell r="O34">
            <v>32.200000000000003</v>
          </cell>
        </row>
        <row r="35">
          <cell r="A35">
            <v>203</v>
          </cell>
          <cell r="B35">
            <v>2</v>
          </cell>
          <cell r="C35">
            <v>13.253</v>
          </cell>
          <cell r="D35">
            <v>32.5</v>
          </cell>
          <cell r="E35">
            <v>29.1</v>
          </cell>
          <cell r="F35">
            <v>30.7</v>
          </cell>
          <cell r="G35">
            <v>31.2</v>
          </cell>
          <cell r="H35">
            <v>31.1</v>
          </cell>
          <cell r="I35">
            <v>33.1</v>
          </cell>
          <cell r="J35">
            <v>30.2</v>
          </cell>
          <cell r="K35">
            <v>29.7</v>
          </cell>
          <cell r="L35">
            <v>30.1</v>
          </cell>
          <cell r="M35">
            <v>31.6</v>
          </cell>
          <cell r="N35">
            <v>30.7</v>
          </cell>
          <cell r="O35">
            <v>30.3</v>
          </cell>
        </row>
        <row r="36">
          <cell r="A36">
            <v>204</v>
          </cell>
          <cell r="B36">
            <v>1</v>
          </cell>
          <cell r="C36">
            <v>13.265000000000001</v>
          </cell>
          <cell r="D36">
            <v>32.5</v>
          </cell>
          <cell r="E36">
            <v>34.799999999999997</v>
          </cell>
          <cell r="F36">
            <v>34.799999999999997</v>
          </cell>
          <cell r="G36">
            <v>32.700000000000003</v>
          </cell>
          <cell r="H36">
            <v>33.200000000000003</v>
          </cell>
          <cell r="I36">
            <v>32.9</v>
          </cell>
          <cell r="J36">
            <v>31.8</v>
          </cell>
          <cell r="K36">
            <v>31.4</v>
          </cell>
          <cell r="L36">
            <v>34.5</v>
          </cell>
          <cell r="M36">
            <v>33.200000000000003</v>
          </cell>
          <cell r="N36">
            <v>32.799999999999997</v>
          </cell>
          <cell r="O36">
            <v>33.200000000000003</v>
          </cell>
        </row>
        <row r="37">
          <cell r="A37">
            <v>204</v>
          </cell>
          <cell r="B37">
            <v>2</v>
          </cell>
          <cell r="C37">
            <v>13.269</v>
          </cell>
          <cell r="D37">
            <v>38.1</v>
          </cell>
          <cell r="E37">
            <v>32</v>
          </cell>
          <cell r="F37">
            <v>34.799999999999997</v>
          </cell>
          <cell r="G37">
            <v>30.1</v>
          </cell>
          <cell r="H37">
            <v>35.200000000000003</v>
          </cell>
          <cell r="I37">
            <v>30.5</v>
          </cell>
          <cell r="J37">
            <v>32.299999999999997</v>
          </cell>
          <cell r="K37">
            <v>31.9</v>
          </cell>
          <cell r="L37">
            <v>33.6</v>
          </cell>
          <cell r="M37">
            <v>30.6</v>
          </cell>
          <cell r="N37">
            <v>33.1</v>
          </cell>
          <cell r="O37">
            <v>33</v>
          </cell>
        </row>
        <row r="38">
          <cell r="A38">
            <v>205</v>
          </cell>
          <cell r="B38">
            <v>1</v>
          </cell>
          <cell r="C38">
            <v>13.281000000000001</v>
          </cell>
          <cell r="D38">
            <v>32.6</v>
          </cell>
          <cell r="E38">
            <v>34.299999999999997</v>
          </cell>
          <cell r="F38">
            <v>34.5</v>
          </cell>
          <cell r="G38">
            <v>34.6</v>
          </cell>
          <cell r="H38">
            <v>33.5</v>
          </cell>
          <cell r="I38">
            <v>33.9</v>
          </cell>
          <cell r="J38">
            <v>34.1</v>
          </cell>
          <cell r="K38">
            <v>35.299999999999997</v>
          </cell>
          <cell r="L38">
            <v>33.9</v>
          </cell>
          <cell r="M38">
            <v>34.700000000000003</v>
          </cell>
          <cell r="N38">
            <v>32.299999999999997</v>
          </cell>
          <cell r="O38">
            <v>31.8</v>
          </cell>
        </row>
        <row r="39">
          <cell r="A39">
            <v>205</v>
          </cell>
          <cell r="B39">
            <v>2</v>
          </cell>
          <cell r="C39">
            <v>13.286</v>
          </cell>
          <cell r="D39">
            <v>32.700000000000003</v>
          </cell>
          <cell r="E39">
            <v>31.4</v>
          </cell>
          <cell r="F39">
            <v>32.1</v>
          </cell>
          <cell r="G39">
            <v>32.299999999999997</v>
          </cell>
          <cell r="H39">
            <v>33</v>
          </cell>
          <cell r="I39">
            <v>37.1</v>
          </cell>
          <cell r="J39">
            <v>32.6</v>
          </cell>
          <cell r="K39">
            <v>32</v>
          </cell>
          <cell r="L39">
            <v>32.5</v>
          </cell>
          <cell r="M39">
            <v>33.6</v>
          </cell>
          <cell r="N39">
            <v>33.4</v>
          </cell>
          <cell r="O39">
            <v>33.9</v>
          </cell>
        </row>
        <row r="40">
          <cell r="A40">
            <v>206</v>
          </cell>
          <cell r="B40">
            <v>1</v>
          </cell>
          <cell r="C40">
            <v>13.295999999999999</v>
          </cell>
          <cell r="D40">
            <v>28.8</v>
          </cell>
          <cell r="E40">
            <v>30.2</v>
          </cell>
          <cell r="F40">
            <v>29.4</v>
          </cell>
          <cell r="G40">
            <v>31.9</v>
          </cell>
          <cell r="H40">
            <v>30.4</v>
          </cell>
          <cell r="I40">
            <v>31.8</v>
          </cell>
          <cell r="J40">
            <v>30.5</v>
          </cell>
          <cell r="K40">
            <v>30.7</v>
          </cell>
          <cell r="L40">
            <v>30.7</v>
          </cell>
          <cell r="M40">
            <v>34.1</v>
          </cell>
          <cell r="N40">
            <v>31.4</v>
          </cell>
          <cell r="O40">
            <v>32.1</v>
          </cell>
        </row>
        <row r="41">
          <cell r="A41">
            <v>206</v>
          </cell>
          <cell r="B41">
            <v>2</v>
          </cell>
          <cell r="C41">
            <v>13.301</v>
          </cell>
          <cell r="D41">
            <v>31.4</v>
          </cell>
          <cell r="E41">
            <v>32.200000000000003</v>
          </cell>
          <cell r="F41">
            <v>31.1</v>
          </cell>
          <cell r="G41">
            <v>30.2</v>
          </cell>
          <cell r="H41">
            <v>29.2</v>
          </cell>
          <cell r="I41">
            <v>30</v>
          </cell>
          <cell r="J41">
            <v>28.7</v>
          </cell>
          <cell r="K41">
            <v>29.8</v>
          </cell>
          <cell r="L41">
            <v>29</v>
          </cell>
          <cell r="M41">
            <v>29.8</v>
          </cell>
          <cell r="N41">
            <v>28</v>
          </cell>
          <cell r="O41">
            <v>28</v>
          </cell>
        </row>
        <row r="42">
          <cell r="A42">
            <v>207</v>
          </cell>
          <cell r="B42">
            <v>1</v>
          </cell>
          <cell r="C42">
            <v>13.311999999999999</v>
          </cell>
          <cell r="D42">
            <v>32.9</v>
          </cell>
          <cell r="E42">
            <v>33.799999999999997</v>
          </cell>
          <cell r="F42">
            <v>34</v>
          </cell>
          <cell r="G42">
            <v>32.5</v>
          </cell>
          <cell r="H42">
            <v>31.3</v>
          </cell>
          <cell r="I42">
            <v>33.299999999999997</v>
          </cell>
          <cell r="J42">
            <v>30.4</v>
          </cell>
          <cell r="K42">
            <v>31.8</v>
          </cell>
          <cell r="L42">
            <v>32.799999999999997</v>
          </cell>
          <cell r="M42">
            <v>33.799999999999997</v>
          </cell>
          <cell r="N42">
            <v>33</v>
          </cell>
          <cell r="O42">
            <v>33.1</v>
          </cell>
        </row>
        <row r="43">
          <cell r="A43">
            <v>207</v>
          </cell>
          <cell r="B43">
            <v>2</v>
          </cell>
          <cell r="C43">
            <v>13.317</v>
          </cell>
          <cell r="D43">
            <v>31</v>
          </cell>
          <cell r="E43">
            <v>38.200000000000003</v>
          </cell>
          <cell r="F43">
            <v>31.2</v>
          </cell>
          <cell r="G43">
            <v>30.1</v>
          </cell>
          <cell r="H43">
            <v>30.8</v>
          </cell>
          <cell r="I43">
            <v>29.7</v>
          </cell>
          <cell r="J43">
            <v>30.9</v>
          </cell>
          <cell r="K43">
            <v>33.4</v>
          </cell>
          <cell r="L43">
            <v>30.9</v>
          </cell>
          <cell r="M43">
            <v>31.1</v>
          </cell>
          <cell r="N43">
            <v>33.9</v>
          </cell>
          <cell r="O43">
            <v>29.8</v>
          </cell>
        </row>
        <row r="44">
          <cell r="A44">
            <v>208</v>
          </cell>
          <cell r="B44">
            <v>1</v>
          </cell>
          <cell r="C44">
            <v>13.327999999999999</v>
          </cell>
          <cell r="D44">
            <v>32.200000000000003</v>
          </cell>
          <cell r="E44">
            <v>31.2</v>
          </cell>
          <cell r="F44">
            <v>31.5</v>
          </cell>
          <cell r="G44">
            <v>32.5</v>
          </cell>
          <cell r="H44">
            <v>32.200000000000003</v>
          </cell>
          <cell r="I44">
            <v>32.799999999999997</v>
          </cell>
          <cell r="J44">
            <v>32.700000000000003</v>
          </cell>
          <cell r="K44">
            <v>32.9</v>
          </cell>
          <cell r="L44">
            <v>34.9</v>
          </cell>
          <cell r="M44">
            <v>31.2</v>
          </cell>
          <cell r="N44">
            <v>31.7</v>
          </cell>
          <cell r="O44">
            <v>30.6</v>
          </cell>
        </row>
        <row r="45">
          <cell r="A45">
            <v>208</v>
          </cell>
          <cell r="B45">
            <v>2</v>
          </cell>
          <cell r="C45">
            <v>13.332000000000001</v>
          </cell>
          <cell r="D45">
            <v>30.9</v>
          </cell>
          <cell r="E45">
            <v>29.9</v>
          </cell>
          <cell r="F45">
            <v>30.6</v>
          </cell>
          <cell r="G45">
            <v>30.3</v>
          </cell>
          <cell r="H45">
            <v>31.3</v>
          </cell>
          <cell r="I45">
            <v>31.3</v>
          </cell>
          <cell r="J45">
            <v>29.8</v>
          </cell>
          <cell r="K45">
            <v>31.2</v>
          </cell>
          <cell r="L45">
            <v>30.6</v>
          </cell>
          <cell r="M45">
            <v>31.3</v>
          </cell>
          <cell r="N45">
            <v>30.4</v>
          </cell>
          <cell r="O45">
            <v>29.4</v>
          </cell>
        </row>
        <row r="46">
          <cell r="A46">
            <v>908</v>
          </cell>
          <cell r="B46">
            <v>1</v>
          </cell>
          <cell r="C46">
            <v>13.346</v>
          </cell>
          <cell r="D46">
            <v>54.5</v>
          </cell>
          <cell r="E46">
            <v>44.8</v>
          </cell>
          <cell r="F46">
            <v>41.1</v>
          </cell>
          <cell r="G46">
            <v>48.2</v>
          </cell>
          <cell r="H46">
            <v>46.8</v>
          </cell>
          <cell r="I46">
            <v>42.8</v>
          </cell>
          <cell r="J46">
            <v>45.1</v>
          </cell>
          <cell r="K46">
            <v>47.5</v>
          </cell>
          <cell r="L46">
            <v>46.9</v>
          </cell>
          <cell r="M46">
            <v>50.1</v>
          </cell>
          <cell r="N46">
            <v>45.6</v>
          </cell>
          <cell r="O46">
            <v>43</v>
          </cell>
        </row>
        <row r="47">
          <cell r="A47">
            <v>908</v>
          </cell>
          <cell r="B47">
            <v>2</v>
          </cell>
          <cell r="C47">
            <v>13.35</v>
          </cell>
          <cell r="D47">
            <v>42.8</v>
          </cell>
          <cell r="E47">
            <v>42.1</v>
          </cell>
          <cell r="F47">
            <v>40.9</v>
          </cell>
          <cell r="G47">
            <v>42.2</v>
          </cell>
          <cell r="H47">
            <v>37.700000000000003</v>
          </cell>
          <cell r="I47">
            <v>43</v>
          </cell>
          <cell r="J47">
            <v>41.5</v>
          </cell>
          <cell r="K47">
            <v>38.9</v>
          </cell>
          <cell r="L47">
            <v>36.299999999999997</v>
          </cell>
          <cell r="M47">
            <v>31.3</v>
          </cell>
          <cell r="N47">
            <v>39.9</v>
          </cell>
          <cell r="O47">
            <v>43.4</v>
          </cell>
        </row>
        <row r="48">
          <cell r="A48">
            <v>907</v>
          </cell>
          <cell r="B48">
            <v>1</v>
          </cell>
          <cell r="C48">
            <v>13.364000000000001</v>
          </cell>
          <cell r="D48">
            <v>58</v>
          </cell>
          <cell r="E48">
            <v>58</v>
          </cell>
          <cell r="F48">
            <v>57.5</v>
          </cell>
          <cell r="G48">
            <v>57.7</v>
          </cell>
          <cell r="H48">
            <v>57.7</v>
          </cell>
          <cell r="I48">
            <v>57.3</v>
          </cell>
          <cell r="J48">
            <v>56.7</v>
          </cell>
          <cell r="K48">
            <v>58.3</v>
          </cell>
          <cell r="L48">
            <v>57.1</v>
          </cell>
          <cell r="M48">
            <v>57.4</v>
          </cell>
          <cell r="N48">
            <v>57.6</v>
          </cell>
          <cell r="O48">
            <v>57.7</v>
          </cell>
        </row>
        <row r="50">
          <cell r="A50">
            <v>906</v>
          </cell>
          <cell r="B50">
            <v>1</v>
          </cell>
          <cell r="C50">
            <v>13.372</v>
          </cell>
          <cell r="D50">
            <v>40.5</v>
          </cell>
          <cell r="E50">
            <v>35.299999999999997</v>
          </cell>
          <cell r="F50">
            <v>38.9</v>
          </cell>
          <cell r="G50">
            <v>40</v>
          </cell>
          <cell r="H50">
            <v>39.700000000000003</v>
          </cell>
          <cell r="I50">
            <v>39.6</v>
          </cell>
          <cell r="J50">
            <v>40.5</v>
          </cell>
          <cell r="K50">
            <v>41.2</v>
          </cell>
          <cell r="L50">
            <v>37.299999999999997</v>
          </cell>
          <cell r="M50">
            <v>38</v>
          </cell>
          <cell r="N50">
            <v>44.8</v>
          </cell>
          <cell r="O50">
            <v>39.299999999999997</v>
          </cell>
        </row>
        <row r="51">
          <cell r="A51">
            <v>906</v>
          </cell>
          <cell r="B51">
            <v>2</v>
          </cell>
          <cell r="C51">
            <v>13.377000000000001</v>
          </cell>
          <cell r="D51">
            <v>39.4</v>
          </cell>
          <cell r="E51">
            <v>39.5</v>
          </cell>
          <cell r="F51">
            <v>37.799999999999997</v>
          </cell>
          <cell r="G51">
            <v>35.299999999999997</v>
          </cell>
          <cell r="H51">
            <v>40.1</v>
          </cell>
          <cell r="I51">
            <v>40</v>
          </cell>
          <cell r="J51">
            <v>38.700000000000003</v>
          </cell>
          <cell r="K51">
            <v>35.9</v>
          </cell>
          <cell r="L51">
            <v>39.6</v>
          </cell>
          <cell r="M51">
            <v>40.799999999999997</v>
          </cell>
          <cell r="N51">
            <v>43.8</v>
          </cell>
          <cell r="O51">
            <v>43.1</v>
          </cell>
        </row>
        <row r="52">
          <cell r="A52">
            <v>905</v>
          </cell>
          <cell r="B52">
            <v>1</v>
          </cell>
          <cell r="C52">
            <v>13.39</v>
          </cell>
          <cell r="D52">
            <v>37.299999999999997</v>
          </cell>
          <cell r="E52">
            <v>37.299999999999997</v>
          </cell>
          <cell r="F52">
            <v>37</v>
          </cell>
          <cell r="G52">
            <v>37</v>
          </cell>
          <cell r="H52">
            <v>37.1</v>
          </cell>
          <cell r="I52">
            <v>37.1</v>
          </cell>
          <cell r="J52">
            <v>38.200000000000003</v>
          </cell>
          <cell r="K52">
            <v>37.9</v>
          </cell>
          <cell r="L52">
            <v>38.799999999999997</v>
          </cell>
          <cell r="M52">
            <v>37.700000000000003</v>
          </cell>
          <cell r="N52">
            <v>36.9</v>
          </cell>
          <cell r="O52">
            <v>37</v>
          </cell>
        </row>
        <row r="54">
          <cell r="A54">
            <v>904</v>
          </cell>
          <cell r="B54">
            <v>1</v>
          </cell>
          <cell r="C54">
            <v>13.398</v>
          </cell>
          <cell r="D54">
            <v>55.8</v>
          </cell>
          <cell r="E54">
            <v>46</v>
          </cell>
          <cell r="F54">
            <v>43</v>
          </cell>
          <cell r="G54">
            <v>41.4</v>
          </cell>
          <cell r="H54">
            <v>53.2</v>
          </cell>
          <cell r="I54">
            <v>51.7</v>
          </cell>
          <cell r="J54">
            <v>52.1</v>
          </cell>
          <cell r="K54">
            <v>49</v>
          </cell>
          <cell r="L54">
            <v>47.3</v>
          </cell>
          <cell r="M54">
            <v>45.6</v>
          </cell>
          <cell r="N54">
            <v>46.9</v>
          </cell>
          <cell r="O54">
            <v>44.6</v>
          </cell>
        </row>
        <row r="55">
          <cell r="A55">
            <v>904</v>
          </cell>
          <cell r="B55">
            <v>2</v>
          </cell>
          <cell r="C55">
            <v>13.403</v>
          </cell>
          <cell r="D55">
            <v>40</v>
          </cell>
          <cell r="E55">
            <v>39.799999999999997</v>
          </cell>
          <cell r="F55">
            <v>35.4</v>
          </cell>
          <cell r="G55">
            <v>39.6</v>
          </cell>
          <cell r="H55">
            <v>39.700000000000003</v>
          </cell>
          <cell r="I55">
            <v>41.7</v>
          </cell>
          <cell r="J55">
            <v>36.200000000000003</v>
          </cell>
          <cell r="K55">
            <v>40.299999999999997</v>
          </cell>
          <cell r="L55">
            <v>41.2</v>
          </cell>
          <cell r="M55">
            <v>41.5</v>
          </cell>
          <cell r="N55">
            <v>41.4</v>
          </cell>
          <cell r="O55">
            <v>43.2</v>
          </cell>
        </row>
        <row r="56">
          <cell r="A56">
            <v>903</v>
          </cell>
          <cell r="B56">
            <v>1</v>
          </cell>
          <cell r="C56">
            <v>13.416</v>
          </cell>
          <cell r="D56">
            <v>58.6</v>
          </cell>
          <cell r="E56">
            <v>57.9</v>
          </cell>
          <cell r="F56">
            <v>57.9</v>
          </cell>
          <cell r="G56">
            <v>57.8</v>
          </cell>
          <cell r="H56">
            <v>57.4</v>
          </cell>
          <cell r="I56">
            <v>57.6</v>
          </cell>
          <cell r="J56">
            <v>57.7</v>
          </cell>
          <cell r="K56">
            <v>57.3</v>
          </cell>
          <cell r="L56">
            <v>57.5</v>
          </cell>
          <cell r="M56">
            <v>58</v>
          </cell>
          <cell r="N56">
            <v>57.9</v>
          </cell>
          <cell r="O56">
            <v>57.7</v>
          </cell>
        </row>
        <row r="58">
          <cell r="A58">
            <v>902</v>
          </cell>
          <cell r="B58">
            <v>1</v>
          </cell>
          <cell r="C58">
            <v>13.425000000000001</v>
          </cell>
          <cell r="D58">
            <v>47.5</v>
          </cell>
          <cell r="E58">
            <v>40.5</v>
          </cell>
          <cell r="F58">
            <v>43</v>
          </cell>
          <cell r="G58">
            <v>43.9</v>
          </cell>
          <cell r="H58">
            <v>39.1</v>
          </cell>
          <cell r="I58">
            <v>43</v>
          </cell>
          <cell r="J58">
            <v>45.8</v>
          </cell>
          <cell r="K58">
            <v>41.5</v>
          </cell>
          <cell r="L58">
            <v>42.6</v>
          </cell>
          <cell r="M58">
            <v>37.5</v>
          </cell>
          <cell r="N58">
            <v>40.9</v>
          </cell>
          <cell r="O58">
            <v>39.6</v>
          </cell>
        </row>
        <row r="59">
          <cell r="A59">
            <v>902</v>
          </cell>
          <cell r="B59">
            <v>2</v>
          </cell>
          <cell r="C59">
            <v>13.429</v>
          </cell>
          <cell r="D59">
            <v>41.6</v>
          </cell>
          <cell r="E59">
            <v>36.1</v>
          </cell>
          <cell r="F59">
            <v>39.9</v>
          </cell>
          <cell r="G59">
            <v>38.9</v>
          </cell>
          <cell r="H59">
            <v>40.5</v>
          </cell>
          <cell r="I59">
            <v>40.200000000000003</v>
          </cell>
          <cell r="J59">
            <v>42.8</v>
          </cell>
          <cell r="K59">
            <v>37.5</v>
          </cell>
          <cell r="L59">
            <v>35.6</v>
          </cell>
          <cell r="M59">
            <v>39.6</v>
          </cell>
          <cell r="N59">
            <v>36.4</v>
          </cell>
          <cell r="O59">
            <v>39.5</v>
          </cell>
        </row>
        <row r="60">
          <cell r="A60">
            <v>901</v>
          </cell>
          <cell r="B60">
            <v>1</v>
          </cell>
          <cell r="C60">
            <v>13.443</v>
          </cell>
          <cell r="D60">
            <v>36</v>
          </cell>
          <cell r="E60">
            <v>36</v>
          </cell>
          <cell r="F60">
            <v>36.5</v>
          </cell>
          <cell r="G60">
            <v>36.5</v>
          </cell>
          <cell r="H60">
            <v>36.5</v>
          </cell>
          <cell r="I60">
            <v>36.5</v>
          </cell>
          <cell r="J60">
            <v>36.299999999999997</v>
          </cell>
          <cell r="K60">
            <v>36.1</v>
          </cell>
          <cell r="L60">
            <v>36.200000000000003</v>
          </cell>
          <cell r="M60">
            <v>36</v>
          </cell>
          <cell r="N60">
            <v>35.799999999999997</v>
          </cell>
          <cell r="O60">
            <v>36.1</v>
          </cell>
        </row>
        <row r="62">
          <cell r="A62">
            <v>301</v>
          </cell>
          <cell r="B62">
            <v>1</v>
          </cell>
          <cell r="C62">
            <v>13.455</v>
          </cell>
          <cell r="D62">
            <v>32.6</v>
          </cell>
          <cell r="E62">
            <v>33</v>
          </cell>
          <cell r="F62">
            <v>32.9</v>
          </cell>
          <cell r="G62">
            <v>33.9</v>
          </cell>
          <cell r="H62">
            <v>32.6</v>
          </cell>
          <cell r="I62">
            <v>35.5</v>
          </cell>
          <cell r="J62">
            <v>33.4</v>
          </cell>
          <cell r="K62">
            <v>34.200000000000003</v>
          </cell>
          <cell r="L62">
            <v>33.6</v>
          </cell>
          <cell r="M62">
            <v>35.799999999999997</v>
          </cell>
          <cell r="N62">
            <v>33.9</v>
          </cell>
          <cell r="O62">
            <v>34.799999999999997</v>
          </cell>
        </row>
        <row r="63">
          <cell r="A63">
            <v>301</v>
          </cell>
          <cell r="B63">
            <v>2</v>
          </cell>
          <cell r="C63">
            <v>13.46</v>
          </cell>
          <cell r="D63">
            <v>33.299999999999997</v>
          </cell>
          <cell r="E63">
            <v>32.700000000000003</v>
          </cell>
          <cell r="F63">
            <v>33.700000000000003</v>
          </cell>
          <cell r="G63">
            <v>33.299999999999997</v>
          </cell>
          <cell r="H63">
            <v>32.9</v>
          </cell>
          <cell r="I63">
            <v>33.1</v>
          </cell>
          <cell r="J63">
            <v>31.7</v>
          </cell>
          <cell r="K63">
            <v>30.6</v>
          </cell>
          <cell r="L63">
            <v>31.9</v>
          </cell>
          <cell r="M63">
            <v>32.6</v>
          </cell>
          <cell r="N63">
            <v>30.5</v>
          </cell>
          <cell r="O63">
            <v>32.5</v>
          </cell>
        </row>
        <row r="64">
          <cell r="A64">
            <v>302</v>
          </cell>
          <cell r="B64">
            <v>1</v>
          </cell>
          <cell r="C64">
            <v>13.471</v>
          </cell>
          <cell r="D64">
            <v>31.7</v>
          </cell>
          <cell r="E64">
            <v>34.299999999999997</v>
          </cell>
          <cell r="F64">
            <v>33.299999999999997</v>
          </cell>
          <cell r="G64">
            <v>33.9</v>
          </cell>
          <cell r="H64">
            <v>34.5</v>
          </cell>
          <cell r="I64">
            <v>34.4</v>
          </cell>
          <cell r="J64">
            <v>32.700000000000003</v>
          </cell>
          <cell r="K64">
            <v>33.1</v>
          </cell>
          <cell r="L64">
            <v>34.1</v>
          </cell>
          <cell r="M64">
            <v>33.299999999999997</v>
          </cell>
          <cell r="N64">
            <v>33.4</v>
          </cell>
          <cell r="O64">
            <v>33.1</v>
          </cell>
        </row>
        <row r="65">
          <cell r="A65">
            <v>302</v>
          </cell>
          <cell r="B65">
            <v>2</v>
          </cell>
          <cell r="C65">
            <v>13.475</v>
          </cell>
          <cell r="D65">
            <v>29.4</v>
          </cell>
          <cell r="E65">
            <v>31.3</v>
          </cell>
          <cell r="F65">
            <v>31.8</v>
          </cell>
          <cell r="G65">
            <v>30.7</v>
          </cell>
          <cell r="H65">
            <v>30.4</v>
          </cell>
          <cell r="I65">
            <v>31.7</v>
          </cell>
          <cell r="J65">
            <v>31.7</v>
          </cell>
          <cell r="K65">
            <v>34.299999999999997</v>
          </cell>
          <cell r="L65">
            <v>31.5</v>
          </cell>
          <cell r="M65">
            <v>31.9</v>
          </cell>
          <cell r="N65">
            <v>32.299999999999997</v>
          </cell>
          <cell r="O65">
            <v>29.7</v>
          </cell>
        </row>
        <row r="66">
          <cell r="A66">
            <v>303</v>
          </cell>
          <cell r="B66">
            <v>1</v>
          </cell>
          <cell r="C66">
            <v>13.486000000000001</v>
          </cell>
          <cell r="D66">
            <v>32.299999999999997</v>
          </cell>
          <cell r="E66">
            <v>32.1</v>
          </cell>
          <cell r="F66">
            <v>30.9</v>
          </cell>
          <cell r="G66">
            <v>31.1</v>
          </cell>
          <cell r="H66">
            <v>30.9</v>
          </cell>
          <cell r="I66">
            <v>31.8</v>
          </cell>
          <cell r="J66">
            <v>31.5</v>
          </cell>
          <cell r="K66">
            <v>32.700000000000003</v>
          </cell>
          <cell r="L66">
            <v>32.299999999999997</v>
          </cell>
          <cell r="M66">
            <v>31.3</v>
          </cell>
          <cell r="N66">
            <v>30.5</v>
          </cell>
          <cell r="O66">
            <v>31.9</v>
          </cell>
        </row>
        <row r="67">
          <cell r="A67">
            <v>303</v>
          </cell>
          <cell r="B67">
            <v>2</v>
          </cell>
          <cell r="C67">
            <v>13.491</v>
          </cell>
          <cell r="D67">
            <v>29.9</v>
          </cell>
          <cell r="E67">
            <v>31.8</v>
          </cell>
          <cell r="F67">
            <v>30.1</v>
          </cell>
          <cell r="G67">
            <v>29.7</v>
          </cell>
          <cell r="H67">
            <v>30.4</v>
          </cell>
          <cell r="I67">
            <v>30.3</v>
          </cell>
          <cell r="J67">
            <v>30.7</v>
          </cell>
          <cell r="K67">
            <v>31</v>
          </cell>
          <cell r="L67">
            <v>31.3</v>
          </cell>
          <cell r="M67">
            <v>29.7</v>
          </cell>
          <cell r="N67">
            <v>29.1</v>
          </cell>
          <cell r="O67">
            <v>34.6</v>
          </cell>
        </row>
        <row r="68">
          <cell r="A68">
            <v>304</v>
          </cell>
          <cell r="B68">
            <v>1</v>
          </cell>
          <cell r="C68">
            <v>13.502000000000001</v>
          </cell>
          <cell r="D68">
            <v>33.1</v>
          </cell>
          <cell r="E68">
            <v>32.1</v>
          </cell>
          <cell r="F68">
            <v>31.5</v>
          </cell>
          <cell r="G68">
            <v>32.4</v>
          </cell>
          <cell r="H68">
            <v>31.4</v>
          </cell>
          <cell r="I68">
            <v>32.799999999999997</v>
          </cell>
          <cell r="J68">
            <v>32.299999999999997</v>
          </cell>
          <cell r="K68">
            <v>34.1</v>
          </cell>
          <cell r="L68">
            <v>32.799999999999997</v>
          </cell>
          <cell r="M68">
            <v>33.200000000000003</v>
          </cell>
          <cell r="N68">
            <v>33.200000000000003</v>
          </cell>
          <cell r="O68">
            <v>35.200000000000003</v>
          </cell>
        </row>
        <row r="69">
          <cell r="A69">
            <v>304</v>
          </cell>
          <cell r="B69">
            <v>2</v>
          </cell>
          <cell r="C69">
            <v>13.506</v>
          </cell>
          <cell r="D69">
            <v>33.9</v>
          </cell>
          <cell r="E69">
            <v>35</v>
          </cell>
          <cell r="F69">
            <v>32.299999999999997</v>
          </cell>
          <cell r="G69">
            <v>34.9</v>
          </cell>
          <cell r="H69">
            <v>32.4</v>
          </cell>
          <cell r="I69">
            <v>31.2</v>
          </cell>
          <cell r="J69">
            <v>31.2</v>
          </cell>
          <cell r="K69">
            <v>30.7</v>
          </cell>
          <cell r="L69">
            <v>30.6</v>
          </cell>
          <cell r="M69">
            <v>31.2</v>
          </cell>
          <cell r="N69">
            <v>30.7</v>
          </cell>
          <cell r="O69">
            <v>30.7</v>
          </cell>
        </row>
        <row r="70">
          <cell r="A70">
            <v>305</v>
          </cell>
          <cell r="B70">
            <v>1</v>
          </cell>
          <cell r="C70">
            <v>13.519</v>
          </cell>
          <cell r="D70">
            <v>34.200000000000003</v>
          </cell>
          <cell r="E70">
            <v>32.700000000000003</v>
          </cell>
          <cell r="F70">
            <v>32.4</v>
          </cell>
          <cell r="G70">
            <v>32.5</v>
          </cell>
          <cell r="H70">
            <v>32.1</v>
          </cell>
          <cell r="I70">
            <v>33.5</v>
          </cell>
          <cell r="J70">
            <v>32.9</v>
          </cell>
          <cell r="K70">
            <v>31.8</v>
          </cell>
          <cell r="L70">
            <v>31.9</v>
          </cell>
          <cell r="M70">
            <v>34</v>
          </cell>
          <cell r="N70">
            <v>32.9</v>
          </cell>
          <cell r="O70">
            <v>33.5</v>
          </cell>
        </row>
        <row r="71">
          <cell r="A71">
            <v>305</v>
          </cell>
          <cell r="B71">
            <v>2</v>
          </cell>
          <cell r="C71">
            <v>13.523</v>
          </cell>
          <cell r="D71">
            <v>30.3</v>
          </cell>
          <cell r="E71">
            <v>32</v>
          </cell>
          <cell r="F71">
            <v>32.799999999999997</v>
          </cell>
          <cell r="G71">
            <v>31</v>
          </cell>
          <cell r="H71">
            <v>32</v>
          </cell>
          <cell r="I71">
            <v>32.299999999999997</v>
          </cell>
          <cell r="J71">
            <v>30.5</v>
          </cell>
          <cell r="K71">
            <v>32</v>
          </cell>
          <cell r="L71">
            <v>30.1</v>
          </cell>
          <cell r="M71">
            <v>31.7</v>
          </cell>
          <cell r="N71">
            <v>32.700000000000003</v>
          </cell>
          <cell r="O71">
            <v>32.9</v>
          </cell>
        </row>
        <row r="72">
          <cell r="A72">
            <v>306</v>
          </cell>
          <cell r="B72">
            <v>1</v>
          </cell>
          <cell r="C72">
            <v>13.535</v>
          </cell>
          <cell r="D72">
            <v>32.200000000000003</v>
          </cell>
          <cell r="E72">
            <v>32.9</v>
          </cell>
          <cell r="F72">
            <v>32.1</v>
          </cell>
          <cell r="G72">
            <v>35</v>
          </cell>
          <cell r="H72">
            <v>32.299999999999997</v>
          </cell>
          <cell r="I72">
            <v>35.1</v>
          </cell>
          <cell r="J72">
            <v>33.4</v>
          </cell>
          <cell r="K72">
            <v>34</v>
          </cell>
          <cell r="L72">
            <v>31.9</v>
          </cell>
          <cell r="M72">
            <v>31.6</v>
          </cell>
          <cell r="N72">
            <v>31.6</v>
          </cell>
          <cell r="O72">
            <v>30.6</v>
          </cell>
        </row>
        <row r="73">
          <cell r="A73">
            <v>306</v>
          </cell>
          <cell r="B73">
            <v>2</v>
          </cell>
          <cell r="C73">
            <v>13.54</v>
          </cell>
          <cell r="D73">
            <v>30.8</v>
          </cell>
          <cell r="E73">
            <v>30.1</v>
          </cell>
          <cell r="F73">
            <v>31.9</v>
          </cell>
          <cell r="G73">
            <v>32.299999999999997</v>
          </cell>
          <cell r="H73">
            <v>32.1</v>
          </cell>
          <cell r="I73">
            <v>34.700000000000003</v>
          </cell>
          <cell r="J73">
            <v>31.5</v>
          </cell>
          <cell r="K73">
            <v>31.5</v>
          </cell>
          <cell r="L73">
            <v>31.5</v>
          </cell>
          <cell r="M73">
            <v>31.1</v>
          </cell>
          <cell r="N73">
            <v>31.2</v>
          </cell>
          <cell r="O73">
            <v>31.7</v>
          </cell>
        </row>
        <row r="74">
          <cell r="A74">
            <v>307</v>
          </cell>
          <cell r="B74">
            <v>1</v>
          </cell>
          <cell r="C74">
            <v>13.551</v>
          </cell>
          <cell r="D74">
            <v>33.200000000000003</v>
          </cell>
          <cell r="E74">
            <v>34.299999999999997</v>
          </cell>
          <cell r="F74">
            <v>33.1</v>
          </cell>
          <cell r="G74">
            <v>33.299999999999997</v>
          </cell>
          <cell r="H74">
            <v>32.6</v>
          </cell>
          <cell r="I74">
            <v>33.5</v>
          </cell>
          <cell r="J74">
            <v>32.4</v>
          </cell>
          <cell r="K74">
            <v>33.5</v>
          </cell>
          <cell r="L74">
            <v>31</v>
          </cell>
          <cell r="M74">
            <v>30.9</v>
          </cell>
          <cell r="N74">
            <v>31.1</v>
          </cell>
          <cell r="O74">
            <v>31.5</v>
          </cell>
        </row>
        <row r="75">
          <cell r="A75">
            <v>307</v>
          </cell>
          <cell r="B75">
            <v>2</v>
          </cell>
          <cell r="C75">
            <v>13.555999999999999</v>
          </cell>
          <cell r="D75">
            <v>33.1</v>
          </cell>
          <cell r="E75">
            <v>32.6</v>
          </cell>
          <cell r="F75">
            <v>31.7</v>
          </cell>
          <cell r="G75">
            <v>31.5</v>
          </cell>
          <cell r="H75">
            <v>31.9</v>
          </cell>
          <cell r="I75">
            <v>32.299999999999997</v>
          </cell>
          <cell r="J75">
            <v>33.200000000000003</v>
          </cell>
          <cell r="K75">
            <v>31.5</v>
          </cell>
          <cell r="L75">
            <v>33.299999999999997</v>
          </cell>
          <cell r="M75">
            <v>32.200000000000003</v>
          </cell>
          <cell r="N75">
            <v>31.9</v>
          </cell>
          <cell r="O75">
            <v>32.299999999999997</v>
          </cell>
        </row>
        <row r="76">
          <cell r="A76">
            <v>308</v>
          </cell>
          <cell r="B76">
            <v>1</v>
          </cell>
          <cell r="C76">
            <v>13.567</v>
          </cell>
          <cell r="D76">
            <v>31.8</v>
          </cell>
          <cell r="E76">
            <v>30.8</v>
          </cell>
          <cell r="F76">
            <v>33.799999999999997</v>
          </cell>
          <cell r="G76">
            <v>32.799999999999997</v>
          </cell>
          <cell r="H76">
            <v>32.6</v>
          </cell>
          <cell r="I76">
            <v>30.9</v>
          </cell>
          <cell r="J76">
            <v>31.1</v>
          </cell>
          <cell r="K76">
            <v>33</v>
          </cell>
          <cell r="L76">
            <v>31.6</v>
          </cell>
          <cell r="M76">
            <v>33.4</v>
          </cell>
          <cell r="N76">
            <v>32.1</v>
          </cell>
          <cell r="O76">
            <v>32.700000000000003</v>
          </cell>
        </row>
        <row r="77">
          <cell r="A77">
            <v>308</v>
          </cell>
          <cell r="B77">
            <v>2</v>
          </cell>
          <cell r="C77">
            <v>13.571</v>
          </cell>
          <cell r="D77">
            <v>31.3</v>
          </cell>
          <cell r="E77">
            <v>32.4</v>
          </cell>
          <cell r="F77">
            <v>35.5</v>
          </cell>
          <cell r="G77">
            <v>30.7</v>
          </cell>
          <cell r="H77">
            <v>31.1</v>
          </cell>
          <cell r="I77">
            <v>31.8</v>
          </cell>
          <cell r="J77">
            <v>32</v>
          </cell>
          <cell r="K77">
            <v>29.4</v>
          </cell>
          <cell r="L77">
            <v>31.7</v>
          </cell>
          <cell r="M77">
            <v>30.6</v>
          </cell>
          <cell r="N77">
            <v>31.6</v>
          </cell>
          <cell r="O77">
            <v>31.8</v>
          </cell>
        </row>
        <row r="78">
          <cell r="A78">
            <v>408</v>
          </cell>
          <cell r="B78">
            <v>1</v>
          </cell>
          <cell r="C78">
            <v>13.587999999999999</v>
          </cell>
          <cell r="D78">
            <v>31</v>
          </cell>
          <cell r="E78">
            <v>31.1</v>
          </cell>
          <cell r="F78">
            <v>28.9</v>
          </cell>
          <cell r="G78">
            <v>30.1</v>
          </cell>
          <cell r="H78">
            <v>30.9</v>
          </cell>
          <cell r="I78">
            <v>30.7</v>
          </cell>
          <cell r="J78">
            <v>30.3</v>
          </cell>
          <cell r="K78">
            <v>31.4</v>
          </cell>
          <cell r="L78">
            <v>30.2</v>
          </cell>
          <cell r="M78">
            <v>30.9</v>
          </cell>
          <cell r="N78">
            <v>30.9</v>
          </cell>
          <cell r="O78">
            <v>31.1</v>
          </cell>
        </row>
        <row r="79">
          <cell r="A79">
            <v>408</v>
          </cell>
          <cell r="B79">
            <v>2</v>
          </cell>
          <cell r="C79">
            <v>13.593</v>
          </cell>
          <cell r="D79">
            <v>30</v>
          </cell>
          <cell r="E79">
            <v>31.4</v>
          </cell>
          <cell r="F79">
            <v>29.4</v>
          </cell>
          <cell r="G79">
            <v>28.4</v>
          </cell>
          <cell r="H79">
            <v>30.6</v>
          </cell>
          <cell r="I79">
            <v>30.1</v>
          </cell>
          <cell r="J79">
            <v>29.4</v>
          </cell>
          <cell r="K79">
            <v>30</v>
          </cell>
          <cell r="L79">
            <v>30.4</v>
          </cell>
          <cell r="M79">
            <v>30</v>
          </cell>
          <cell r="N79">
            <v>29.5</v>
          </cell>
          <cell r="O79">
            <v>29.2</v>
          </cell>
        </row>
        <row r="80">
          <cell r="A80">
            <v>407</v>
          </cell>
          <cell r="B80">
            <v>1</v>
          </cell>
          <cell r="C80">
            <v>13.605</v>
          </cell>
          <cell r="D80">
            <v>31.9</v>
          </cell>
          <cell r="E80">
            <v>33.799999999999997</v>
          </cell>
          <cell r="F80">
            <v>33.5</v>
          </cell>
          <cell r="G80">
            <v>32.700000000000003</v>
          </cell>
          <cell r="H80">
            <v>31</v>
          </cell>
          <cell r="I80">
            <v>31.3</v>
          </cell>
          <cell r="J80">
            <v>31.8</v>
          </cell>
          <cell r="K80">
            <v>32.200000000000003</v>
          </cell>
          <cell r="L80">
            <v>31.8</v>
          </cell>
          <cell r="M80">
            <v>31.2</v>
          </cell>
          <cell r="N80">
            <v>30.9</v>
          </cell>
          <cell r="O80">
            <v>31.5</v>
          </cell>
        </row>
        <row r="81">
          <cell r="A81">
            <v>407</v>
          </cell>
          <cell r="B81">
            <v>2</v>
          </cell>
          <cell r="C81">
            <v>13.609</v>
          </cell>
          <cell r="D81">
            <v>31.2</v>
          </cell>
          <cell r="E81">
            <v>31.3</v>
          </cell>
          <cell r="F81">
            <v>29.5</v>
          </cell>
          <cell r="G81">
            <v>29.9</v>
          </cell>
          <cell r="H81">
            <v>31.7</v>
          </cell>
          <cell r="I81">
            <v>30.8</v>
          </cell>
          <cell r="J81">
            <v>29.6</v>
          </cell>
          <cell r="K81">
            <v>30.7</v>
          </cell>
          <cell r="L81">
            <v>32</v>
          </cell>
          <cell r="M81">
            <v>31</v>
          </cell>
          <cell r="N81">
            <v>31</v>
          </cell>
          <cell r="O81">
            <v>34.200000000000003</v>
          </cell>
        </row>
        <row r="82">
          <cell r="A82">
            <v>406</v>
          </cell>
          <cell r="B82">
            <v>1</v>
          </cell>
          <cell r="C82">
            <v>13.621</v>
          </cell>
          <cell r="D82">
            <v>35.299999999999997</v>
          </cell>
          <cell r="E82">
            <v>35.4</v>
          </cell>
          <cell r="F82">
            <v>34.9</v>
          </cell>
          <cell r="G82">
            <v>35.799999999999997</v>
          </cell>
          <cell r="H82">
            <v>33.799999999999997</v>
          </cell>
          <cell r="I82">
            <v>34.299999999999997</v>
          </cell>
          <cell r="J82">
            <v>33.9</v>
          </cell>
          <cell r="K82">
            <v>34.1</v>
          </cell>
          <cell r="L82">
            <v>33.4</v>
          </cell>
          <cell r="M82">
            <v>34.700000000000003</v>
          </cell>
          <cell r="N82">
            <v>33.700000000000003</v>
          </cell>
          <cell r="O82">
            <v>33.6</v>
          </cell>
        </row>
        <row r="83">
          <cell r="A83">
            <v>406</v>
          </cell>
          <cell r="B83">
            <v>2</v>
          </cell>
          <cell r="C83">
            <v>13.625999999999999</v>
          </cell>
          <cell r="D83">
            <v>32.299999999999997</v>
          </cell>
          <cell r="E83">
            <v>32.299999999999997</v>
          </cell>
          <cell r="F83">
            <v>33.700000000000003</v>
          </cell>
          <cell r="G83">
            <v>31.9</v>
          </cell>
          <cell r="H83">
            <v>33.200000000000003</v>
          </cell>
          <cell r="I83">
            <v>34.1</v>
          </cell>
          <cell r="J83">
            <v>32.6</v>
          </cell>
          <cell r="K83">
            <v>35.9</v>
          </cell>
          <cell r="L83">
            <v>34.4</v>
          </cell>
          <cell r="M83">
            <v>33</v>
          </cell>
          <cell r="N83">
            <v>33.6</v>
          </cell>
          <cell r="O83">
            <v>32.6</v>
          </cell>
        </row>
        <row r="84">
          <cell r="A84">
            <v>405</v>
          </cell>
          <cell r="B84">
            <v>1</v>
          </cell>
          <cell r="C84">
            <v>13.637</v>
          </cell>
          <cell r="D84">
            <v>34.6</v>
          </cell>
          <cell r="E84">
            <v>33.799999999999997</v>
          </cell>
          <cell r="F84">
            <v>33</v>
          </cell>
          <cell r="G84">
            <v>34.299999999999997</v>
          </cell>
          <cell r="H84">
            <v>32.4</v>
          </cell>
          <cell r="I84">
            <v>35.700000000000003</v>
          </cell>
          <cell r="J84">
            <v>32.700000000000003</v>
          </cell>
          <cell r="K84">
            <v>35.1</v>
          </cell>
          <cell r="L84">
            <v>33.200000000000003</v>
          </cell>
          <cell r="M84">
            <v>33.799999999999997</v>
          </cell>
          <cell r="N84">
            <v>33.700000000000003</v>
          </cell>
          <cell r="O84">
            <v>32.700000000000003</v>
          </cell>
        </row>
        <row r="85">
          <cell r="A85">
            <v>405</v>
          </cell>
          <cell r="B85">
            <v>2</v>
          </cell>
          <cell r="C85">
            <v>13.641999999999999</v>
          </cell>
          <cell r="D85">
            <v>33</v>
          </cell>
          <cell r="E85">
            <v>30.8</v>
          </cell>
          <cell r="F85">
            <v>33.5</v>
          </cell>
          <cell r="G85">
            <v>31.3</v>
          </cell>
          <cell r="H85">
            <v>34.299999999999997</v>
          </cell>
          <cell r="I85">
            <v>32.1</v>
          </cell>
          <cell r="J85">
            <v>31.3</v>
          </cell>
          <cell r="K85">
            <v>33.4</v>
          </cell>
          <cell r="L85">
            <v>31.3</v>
          </cell>
          <cell r="M85">
            <v>31.8</v>
          </cell>
          <cell r="N85">
            <v>32</v>
          </cell>
          <cell r="O85">
            <v>31</v>
          </cell>
        </row>
        <row r="86">
          <cell r="A86">
            <v>404</v>
          </cell>
          <cell r="B86">
            <v>1</v>
          </cell>
          <cell r="C86">
            <v>13.654</v>
          </cell>
          <cell r="D86">
            <v>34.5</v>
          </cell>
          <cell r="E86">
            <v>35.5</v>
          </cell>
          <cell r="F86">
            <v>34.799999999999997</v>
          </cell>
          <cell r="G86">
            <v>34.9</v>
          </cell>
          <cell r="H86">
            <v>34.700000000000003</v>
          </cell>
          <cell r="I86">
            <v>32.799999999999997</v>
          </cell>
          <cell r="J86">
            <v>33.299999999999997</v>
          </cell>
          <cell r="K86">
            <v>33.6</v>
          </cell>
          <cell r="L86">
            <v>32.4</v>
          </cell>
          <cell r="M86">
            <v>34.9</v>
          </cell>
          <cell r="N86">
            <v>34.299999999999997</v>
          </cell>
          <cell r="O86">
            <v>35.6</v>
          </cell>
        </row>
        <row r="87">
          <cell r="A87">
            <v>404</v>
          </cell>
          <cell r="B87">
            <v>2</v>
          </cell>
          <cell r="C87">
            <v>13.657999999999999</v>
          </cell>
          <cell r="D87">
            <v>33.5</v>
          </cell>
          <cell r="E87">
            <v>32.700000000000003</v>
          </cell>
          <cell r="F87">
            <v>32.9</v>
          </cell>
          <cell r="G87">
            <v>34.5</v>
          </cell>
          <cell r="H87">
            <v>32.5</v>
          </cell>
          <cell r="I87">
            <v>31.6</v>
          </cell>
          <cell r="J87">
            <v>33.4</v>
          </cell>
          <cell r="K87">
            <v>30.4</v>
          </cell>
          <cell r="L87">
            <v>34.700000000000003</v>
          </cell>
          <cell r="M87">
            <v>34.9</v>
          </cell>
          <cell r="N87">
            <v>35.299999999999997</v>
          </cell>
          <cell r="O87">
            <v>36.1</v>
          </cell>
        </row>
        <row r="88">
          <cell r="A88">
            <v>403</v>
          </cell>
          <cell r="B88">
            <v>1</v>
          </cell>
          <cell r="C88">
            <v>13.670999999999999</v>
          </cell>
          <cell r="D88">
            <v>32.9</v>
          </cell>
          <cell r="E88">
            <v>33.5</v>
          </cell>
          <cell r="F88">
            <v>31.9</v>
          </cell>
          <cell r="G88">
            <v>32.6</v>
          </cell>
          <cell r="H88">
            <v>31.3</v>
          </cell>
          <cell r="I88">
            <v>31.8</v>
          </cell>
          <cell r="J88">
            <v>31.9</v>
          </cell>
          <cell r="K88">
            <v>31.5</v>
          </cell>
          <cell r="L88">
            <v>30.7</v>
          </cell>
          <cell r="M88">
            <v>30.9</v>
          </cell>
          <cell r="N88">
            <v>31.3</v>
          </cell>
          <cell r="O88">
            <v>31.6</v>
          </cell>
        </row>
        <row r="89">
          <cell r="A89">
            <v>403</v>
          </cell>
          <cell r="B89">
            <v>2</v>
          </cell>
          <cell r="C89">
            <v>13.676</v>
          </cell>
          <cell r="D89">
            <v>29.2</v>
          </cell>
          <cell r="E89">
            <v>31.1</v>
          </cell>
          <cell r="F89">
            <v>30.7</v>
          </cell>
          <cell r="G89">
            <v>30.3</v>
          </cell>
          <cell r="H89">
            <v>31.1</v>
          </cell>
          <cell r="I89">
            <v>30.1</v>
          </cell>
          <cell r="J89">
            <v>29.6</v>
          </cell>
          <cell r="K89">
            <v>29.8</v>
          </cell>
          <cell r="L89">
            <v>30.1</v>
          </cell>
          <cell r="M89">
            <v>32</v>
          </cell>
          <cell r="N89">
            <v>31.9</v>
          </cell>
          <cell r="O89">
            <v>33.200000000000003</v>
          </cell>
        </row>
        <row r="90">
          <cell r="A90">
            <v>402</v>
          </cell>
          <cell r="B90">
            <v>1</v>
          </cell>
          <cell r="C90">
            <v>13.688000000000001</v>
          </cell>
          <cell r="D90">
            <v>34</v>
          </cell>
          <cell r="E90">
            <v>32.6</v>
          </cell>
          <cell r="F90">
            <v>32.4</v>
          </cell>
          <cell r="G90">
            <v>32.700000000000003</v>
          </cell>
          <cell r="H90">
            <v>32.5</v>
          </cell>
          <cell r="I90">
            <v>31.4</v>
          </cell>
          <cell r="J90">
            <v>31.5</v>
          </cell>
          <cell r="K90">
            <v>32.4</v>
          </cell>
          <cell r="L90">
            <v>32</v>
          </cell>
          <cell r="M90">
            <v>32.299999999999997</v>
          </cell>
          <cell r="N90">
            <v>31.7</v>
          </cell>
          <cell r="O90">
            <v>32.6</v>
          </cell>
        </row>
        <row r="91">
          <cell r="A91">
            <v>402</v>
          </cell>
          <cell r="B91">
            <v>2</v>
          </cell>
          <cell r="C91">
            <v>13.693</v>
          </cell>
          <cell r="D91">
            <v>30.9</v>
          </cell>
          <cell r="E91">
            <v>31.3</v>
          </cell>
          <cell r="F91">
            <v>30.4</v>
          </cell>
          <cell r="G91">
            <v>29.8</v>
          </cell>
          <cell r="H91">
            <v>29.9</v>
          </cell>
          <cell r="I91">
            <v>30.5</v>
          </cell>
          <cell r="J91">
            <v>32</v>
          </cell>
          <cell r="K91">
            <v>29.8</v>
          </cell>
          <cell r="L91">
            <v>32.299999999999997</v>
          </cell>
          <cell r="M91">
            <v>32.200000000000003</v>
          </cell>
          <cell r="N91">
            <v>32</v>
          </cell>
          <cell r="O91">
            <v>32.200000000000003</v>
          </cell>
        </row>
        <row r="92">
          <cell r="A92">
            <v>401</v>
          </cell>
          <cell r="B92">
            <v>1</v>
          </cell>
          <cell r="C92">
            <v>13.704000000000001</v>
          </cell>
          <cell r="D92">
            <v>30.8</v>
          </cell>
          <cell r="E92">
            <v>30.2</v>
          </cell>
          <cell r="F92">
            <v>30.7</v>
          </cell>
          <cell r="G92">
            <v>30.8</v>
          </cell>
          <cell r="H92">
            <v>31.1</v>
          </cell>
          <cell r="I92">
            <v>31</v>
          </cell>
          <cell r="J92">
            <v>30.1</v>
          </cell>
          <cell r="K92">
            <v>30.6</v>
          </cell>
          <cell r="L92">
            <v>30.2</v>
          </cell>
          <cell r="M92">
            <v>31</v>
          </cell>
          <cell r="N92">
            <v>29.8</v>
          </cell>
          <cell r="O92">
            <v>31.7</v>
          </cell>
        </row>
        <row r="93">
          <cell r="A93">
            <v>401</v>
          </cell>
          <cell r="B93">
            <v>2</v>
          </cell>
          <cell r="C93">
            <v>13.709</v>
          </cell>
          <cell r="D93">
            <v>31.1</v>
          </cell>
          <cell r="E93">
            <v>30.9</v>
          </cell>
          <cell r="F93">
            <v>30.9</v>
          </cell>
          <cell r="G93">
            <v>29.2</v>
          </cell>
          <cell r="H93">
            <v>29.7</v>
          </cell>
          <cell r="I93">
            <v>28.8</v>
          </cell>
          <cell r="J93">
            <v>30.7</v>
          </cell>
          <cell r="K93">
            <v>29</v>
          </cell>
          <cell r="L93">
            <v>31.1</v>
          </cell>
          <cell r="M93">
            <v>29.1</v>
          </cell>
          <cell r="N93">
            <v>30.9</v>
          </cell>
          <cell r="O93">
            <v>29.8</v>
          </cell>
        </row>
      </sheetData>
      <sheetData sheetId="2">
        <row r="7">
          <cell r="C7">
            <v>254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33.450000000000003</v>
          </cell>
        </row>
        <row r="29">
          <cell r="E29">
            <v>3.689853862841733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'IA168.03R'</v>
          </cell>
        </row>
        <row r="14">
          <cell r="A14">
            <v>108</v>
          </cell>
          <cell r="B14">
            <v>1</v>
          </cell>
          <cell r="C14">
            <v>13.06</v>
          </cell>
          <cell r="D14">
            <v>58.8</v>
          </cell>
          <cell r="E14">
            <v>51.1</v>
          </cell>
          <cell r="F14">
            <v>47.6</v>
          </cell>
          <cell r="G14">
            <v>43.6</v>
          </cell>
          <cell r="H14">
            <v>55.9</v>
          </cell>
          <cell r="I14">
            <v>48.6</v>
          </cell>
          <cell r="J14">
            <v>57.7</v>
          </cell>
          <cell r="K14">
            <v>38</v>
          </cell>
          <cell r="L14">
            <v>55.8</v>
          </cell>
          <cell r="M14">
            <v>36.799999999999997</v>
          </cell>
          <cell r="N14">
            <v>56.3</v>
          </cell>
          <cell r="O14">
            <v>47.4</v>
          </cell>
        </row>
        <row r="15">
          <cell r="A15">
            <v>108</v>
          </cell>
          <cell r="B15">
            <v>2</v>
          </cell>
          <cell r="C15">
            <v>13.064</v>
          </cell>
          <cell r="D15">
            <v>29.8</v>
          </cell>
          <cell r="E15">
            <v>29.8</v>
          </cell>
          <cell r="F15">
            <v>28.5</v>
          </cell>
          <cell r="G15">
            <v>30.4</v>
          </cell>
          <cell r="H15">
            <v>28.3</v>
          </cell>
          <cell r="I15">
            <v>29</v>
          </cell>
          <cell r="J15">
            <v>29.6</v>
          </cell>
          <cell r="K15">
            <v>30</v>
          </cell>
          <cell r="L15">
            <v>30.6</v>
          </cell>
          <cell r="M15">
            <v>31.9</v>
          </cell>
          <cell r="N15">
            <v>30.9</v>
          </cell>
          <cell r="O15">
            <v>29.8</v>
          </cell>
        </row>
        <row r="16">
          <cell r="A16">
            <v>107</v>
          </cell>
          <cell r="B16">
            <v>1</v>
          </cell>
          <cell r="C16">
            <v>13.076000000000001</v>
          </cell>
          <cell r="D16">
            <v>57.8</v>
          </cell>
          <cell r="E16">
            <v>57.9</v>
          </cell>
          <cell r="F16">
            <v>57.3</v>
          </cell>
          <cell r="G16">
            <v>50.4</v>
          </cell>
          <cell r="H16">
            <v>49</v>
          </cell>
          <cell r="I16">
            <v>56.4</v>
          </cell>
          <cell r="J16">
            <v>56.9</v>
          </cell>
          <cell r="K16">
            <v>50.4</v>
          </cell>
          <cell r="L16">
            <v>55</v>
          </cell>
          <cell r="M16">
            <v>49.9</v>
          </cell>
          <cell r="N16">
            <v>54.7</v>
          </cell>
          <cell r="O16">
            <v>41.5</v>
          </cell>
        </row>
        <row r="17">
          <cell r="A17">
            <v>107</v>
          </cell>
          <cell r="B17">
            <v>2</v>
          </cell>
          <cell r="C17">
            <v>13.081</v>
          </cell>
          <cell r="D17">
            <v>31.3</v>
          </cell>
          <cell r="E17">
            <v>29.8</v>
          </cell>
          <cell r="F17">
            <v>31.1</v>
          </cell>
          <cell r="G17">
            <v>31.8</v>
          </cell>
          <cell r="H17">
            <v>29.2</v>
          </cell>
          <cell r="I17">
            <v>29.5</v>
          </cell>
          <cell r="J17">
            <v>29.8</v>
          </cell>
          <cell r="K17">
            <v>29.9</v>
          </cell>
          <cell r="L17">
            <v>30.1</v>
          </cell>
          <cell r="M17">
            <v>29.6</v>
          </cell>
          <cell r="N17">
            <v>29.8</v>
          </cell>
          <cell r="O17">
            <v>31.1</v>
          </cell>
        </row>
        <row r="18">
          <cell r="A18">
            <v>106</v>
          </cell>
          <cell r="B18">
            <v>1</v>
          </cell>
          <cell r="C18">
            <v>13.093</v>
          </cell>
          <cell r="D18">
            <v>54.1</v>
          </cell>
          <cell r="E18">
            <v>50.1</v>
          </cell>
          <cell r="F18">
            <v>45</v>
          </cell>
          <cell r="G18">
            <v>53.1</v>
          </cell>
          <cell r="H18">
            <v>46.9</v>
          </cell>
          <cell r="I18">
            <v>50.8</v>
          </cell>
          <cell r="J18">
            <v>53.7</v>
          </cell>
          <cell r="K18">
            <v>47</v>
          </cell>
          <cell r="L18">
            <v>50.6</v>
          </cell>
          <cell r="M18">
            <v>47.3</v>
          </cell>
          <cell r="N18">
            <v>52.4</v>
          </cell>
          <cell r="O18">
            <v>39.700000000000003</v>
          </cell>
        </row>
        <row r="19">
          <cell r="A19">
            <v>106</v>
          </cell>
          <cell r="B19">
            <v>2</v>
          </cell>
          <cell r="C19">
            <v>13.097</v>
          </cell>
          <cell r="D19">
            <v>28.6</v>
          </cell>
          <cell r="E19">
            <v>30.8</v>
          </cell>
          <cell r="F19">
            <v>31.5</v>
          </cell>
          <cell r="G19">
            <v>30.8</v>
          </cell>
          <cell r="H19">
            <v>29.4</v>
          </cell>
          <cell r="I19">
            <v>29.7</v>
          </cell>
          <cell r="J19">
            <v>29.8</v>
          </cell>
          <cell r="K19">
            <v>29.1</v>
          </cell>
          <cell r="L19">
            <v>30.5</v>
          </cell>
          <cell r="M19">
            <v>29</v>
          </cell>
          <cell r="N19">
            <v>30.1</v>
          </cell>
          <cell r="O19">
            <v>28.4</v>
          </cell>
        </row>
        <row r="20">
          <cell r="A20">
            <v>105</v>
          </cell>
          <cell r="B20">
            <v>1</v>
          </cell>
          <cell r="C20">
            <v>13.106999999999999</v>
          </cell>
          <cell r="D20">
            <v>40.200000000000003</v>
          </cell>
          <cell r="E20">
            <v>32.4</v>
          </cell>
          <cell r="F20">
            <v>35.799999999999997</v>
          </cell>
          <cell r="G20">
            <v>33.200000000000003</v>
          </cell>
          <cell r="H20">
            <v>37.6</v>
          </cell>
          <cell r="I20">
            <v>34</v>
          </cell>
          <cell r="J20">
            <v>35.4</v>
          </cell>
          <cell r="K20">
            <v>32.4</v>
          </cell>
          <cell r="L20">
            <v>33.1</v>
          </cell>
          <cell r="M20">
            <v>37.9</v>
          </cell>
          <cell r="N20">
            <v>34.6</v>
          </cell>
          <cell r="O20">
            <v>31.8</v>
          </cell>
        </row>
        <row r="21">
          <cell r="A21">
            <v>105</v>
          </cell>
          <cell r="B21">
            <v>2</v>
          </cell>
          <cell r="C21">
            <v>13.112</v>
          </cell>
          <cell r="D21">
            <v>28.4</v>
          </cell>
          <cell r="E21">
            <v>28.1</v>
          </cell>
          <cell r="F21">
            <v>29.9</v>
          </cell>
          <cell r="G21">
            <v>28.7</v>
          </cell>
          <cell r="H21">
            <v>28.1</v>
          </cell>
          <cell r="I21">
            <v>28.5</v>
          </cell>
          <cell r="J21">
            <v>27.8</v>
          </cell>
          <cell r="K21">
            <v>29.6</v>
          </cell>
          <cell r="L21">
            <v>29.7</v>
          </cell>
          <cell r="M21">
            <v>28.8</v>
          </cell>
          <cell r="N21">
            <v>28.6</v>
          </cell>
          <cell r="O21">
            <v>29.5</v>
          </cell>
        </row>
        <row r="22">
          <cell r="A22">
            <v>104</v>
          </cell>
          <cell r="B22">
            <v>1</v>
          </cell>
          <cell r="C22">
            <v>13.122999999999999</v>
          </cell>
          <cell r="D22">
            <v>57.1</v>
          </cell>
          <cell r="E22">
            <v>55.7</v>
          </cell>
          <cell r="F22">
            <v>46</v>
          </cell>
          <cell r="G22">
            <v>47</v>
          </cell>
          <cell r="H22">
            <v>36.5</v>
          </cell>
          <cell r="I22">
            <v>55.4</v>
          </cell>
          <cell r="J22">
            <v>56.1</v>
          </cell>
          <cell r="K22">
            <v>54.2</v>
          </cell>
          <cell r="L22">
            <v>48.1</v>
          </cell>
          <cell r="M22">
            <v>54.4</v>
          </cell>
          <cell r="N22">
            <v>49.3</v>
          </cell>
          <cell r="O22">
            <v>42.8</v>
          </cell>
        </row>
        <row r="23">
          <cell r="A23">
            <v>104</v>
          </cell>
          <cell r="B23">
            <v>2</v>
          </cell>
          <cell r="C23">
            <v>13.127000000000001</v>
          </cell>
          <cell r="D23">
            <v>29.6</v>
          </cell>
          <cell r="E23">
            <v>32</v>
          </cell>
          <cell r="F23">
            <v>30.8</v>
          </cell>
          <cell r="G23">
            <v>29.9</v>
          </cell>
          <cell r="H23">
            <v>31.9</v>
          </cell>
          <cell r="I23">
            <v>30.7</v>
          </cell>
          <cell r="J23">
            <v>32.5</v>
          </cell>
          <cell r="K23">
            <v>30.2</v>
          </cell>
          <cell r="L23">
            <v>29.5</v>
          </cell>
          <cell r="M23">
            <v>29.8</v>
          </cell>
          <cell r="N23">
            <v>31.3</v>
          </cell>
          <cell r="O23">
            <v>31.3</v>
          </cell>
        </row>
        <row r="24">
          <cell r="A24">
            <v>103</v>
          </cell>
          <cell r="B24">
            <v>1</v>
          </cell>
          <cell r="C24">
            <v>13.138999999999999</v>
          </cell>
          <cell r="D24">
            <v>57.8</v>
          </cell>
          <cell r="E24">
            <v>41.7</v>
          </cell>
          <cell r="F24">
            <v>51.8</v>
          </cell>
          <cell r="G24">
            <v>49.2</v>
          </cell>
          <cell r="H24">
            <v>33.799999999999997</v>
          </cell>
          <cell r="I24">
            <v>51.4</v>
          </cell>
          <cell r="J24">
            <v>43.8</v>
          </cell>
          <cell r="K24">
            <v>47.2</v>
          </cell>
          <cell r="L24">
            <v>34.799999999999997</v>
          </cell>
          <cell r="M24">
            <v>48.1</v>
          </cell>
          <cell r="N24">
            <v>46.6</v>
          </cell>
          <cell r="O24">
            <v>40.200000000000003</v>
          </cell>
        </row>
        <row r="25">
          <cell r="A25">
            <v>103</v>
          </cell>
          <cell r="B25">
            <v>2</v>
          </cell>
          <cell r="C25">
            <v>13.143000000000001</v>
          </cell>
          <cell r="D25">
            <v>33</v>
          </cell>
          <cell r="E25">
            <v>30.3</v>
          </cell>
          <cell r="F25">
            <v>31.6</v>
          </cell>
          <cell r="G25">
            <v>29.2</v>
          </cell>
          <cell r="H25">
            <v>29.8</v>
          </cell>
          <cell r="I25">
            <v>29.8</v>
          </cell>
          <cell r="J25">
            <v>29.3</v>
          </cell>
          <cell r="K25">
            <v>28.9</v>
          </cell>
          <cell r="L25">
            <v>29.1</v>
          </cell>
          <cell r="M25">
            <v>31.6</v>
          </cell>
          <cell r="N25">
            <v>32</v>
          </cell>
          <cell r="O25">
            <v>30.7</v>
          </cell>
        </row>
        <row r="26">
          <cell r="A26">
            <v>102</v>
          </cell>
          <cell r="B26">
            <v>1</v>
          </cell>
          <cell r="C26">
            <v>13.154999999999999</v>
          </cell>
          <cell r="D26">
            <v>58.8</v>
          </cell>
          <cell r="E26">
            <v>54.1</v>
          </cell>
          <cell r="F26">
            <v>47.8</v>
          </cell>
          <cell r="G26">
            <v>58.7</v>
          </cell>
          <cell r="H26">
            <v>50.4</v>
          </cell>
          <cell r="I26">
            <v>59.7</v>
          </cell>
          <cell r="J26">
            <v>49.4</v>
          </cell>
          <cell r="K26">
            <v>58.8</v>
          </cell>
          <cell r="L26">
            <v>45</v>
          </cell>
          <cell r="M26">
            <v>58.4</v>
          </cell>
          <cell r="N26">
            <v>44.5</v>
          </cell>
          <cell r="O26">
            <v>42.2</v>
          </cell>
        </row>
        <row r="27">
          <cell r="A27">
            <v>102</v>
          </cell>
          <cell r="B27">
            <v>2</v>
          </cell>
          <cell r="C27">
            <v>13.159000000000001</v>
          </cell>
          <cell r="D27">
            <v>29.8</v>
          </cell>
          <cell r="E27">
            <v>29.2</v>
          </cell>
          <cell r="F27">
            <v>28.9</v>
          </cell>
          <cell r="G27">
            <v>29.2</v>
          </cell>
          <cell r="H27">
            <v>31.9</v>
          </cell>
          <cell r="I27">
            <v>31.8</v>
          </cell>
          <cell r="J27">
            <v>32</v>
          </cell>
          <cell r="K27">
            <v>32.4</v>
          </cell>
          <cell r="L27">
            <v>30</v>
          </cell>
          <cell r="M27">
            <v>30.2</v>
          </cell>
          <cell r="N27">
            <v>33.4</v>
          </cell>
          <cell r="O27">
            <v>29.8</v>
          </cell>
        </row>
        <row r="28">
          <cell r="A28">
            <v>101</v>
          </cell>
          <cell r="B28">
            <v>1</v>
          </cell>
          <cell r="C28">
            <v>13.17</v>
          </cell>
          <cell r="D28">
            <v>59.2</v>
          </cell>
          <cell r="E28">
            <v>56.4</v>
          </cell>
          <cell r="F28">
            <v>55.3</v>
          </cell>
          <cell r="G28">
            <v>48.8</v>
          </cell>
          <cell r="H28">
            <v>52.8</v>
          </cell>
          <cell r="I28">
            <v>53.7</v>
          </cell>
          <cell r="J28">
            <v>54.8</v>
          </cell>
          <cell r="K28">
            <v>54.4</v>
          </cell>
          <cell r="L28">
            <v>50.5</v>
          </cell>
          <cell r="M28">
            <v>57.5</v>
          </cell>
          <cell r="N28">
            <v>52.5</v>
          </cell>
          <cell r="O28">
            <v>52.6</v>
          </cell>
        </row>
        <row r="29">
          <cell r="A29">
            <v>101</v>
          </cell>
          <cell r="B29">
            <v>2</v>
          </cell>
          <cell r="C29">
            <v>13.175000000000001</v>
          </cell>
          <cell r="D29">
            <v>30.2</v>
          </cell>
          <cell r="E29">
            <v>29.8</v>
          </cell>
          <cell r="F29">
            <v>30.1</v>
          </cell>
          <cell r="G29">
            <v>30.2</v>
          </cell>
          <cell r="H29">
            <v>34.200000000000003</v>
          </cell>
          <cell r="I29">
            <v>32.299999999999997</v>
          </cell>
          <cell r="J29">
            <v>33.700000000000003</v>
          </cell>
          <cell r="K29">
            <v>30.8</v>
          </cell>
          <cell r="L29">
            <v>32.4</v>
          </cell>
          <cell r="M29">
            <v>32.200000000000003</v>
          </cell>
          <cell r="N29">
            <v>32.799999999999997</v>
          </cell>
          <cell r="O29">
            <v>30.8</v>
          </cell>
        </row>
        <row r="30">
          <cell r="A30">
            <v>201</v>
          </cell>
          <cell r="B30">
            <v>1</v>
          </cell>
          <cell r="C30">
            <v>13.19</v>
          </cell>
          <cell r="D30">
            <v>36.4</v>
          </cell>
          <cell r="E30">
            <v>38.4</v>
          </cell>
          <cell r="F30">
            <v>32.299999999999997</v>
          </cell>
          <cell r="G30">
            <v>34.700000000000003</v>
          </cell>
          <cell r="H30">
            <v>29.9</v>
          </cell>
          <cell r="I30">
            <v>36.799999999999997</v>
          </cell>
          <cell r="J30">
            <v>32</v>
          </cell>
          <cell r="K30">
            <v>36.200000000000003</v>
          </cell>
          <cell r="L30">
            <v>32.6</v>
          </cell>
          <cell r="M30">
            <v>36.6</v>
          </cell>
          <cell r="N30">
            <v>35</v>
          </cell>
          <cell r="O30">
            <v>31.1</v>
          </cell>
        </row>
        <row r="31">
          <cell r="A31">
            <v>201</v>
          </cell>
          <cell r="B31">
            <v>2</v>
          </cell>
          <cell r="C31">
            <v>13.194000000000001</v>
          </cell>
          <cell r="D31">
            <v>27.7</v>
          </cell>
          <cell r="E31">
            <v>28.5</v>
          </cell>
          <cell r="F31">
            <v>30</v>
          </cell>
          <cell r="G31">
            <v>28.2</v>
          </cell>
          <cell r="H31">
            <v>28.9</v>
          </cell>
          <cell r="I31">
            <v>29.6</v>
          </cell>
          <cell r="J31">
            <v>29.4</v>
          </cell>
          <cell r="K31">
            <v>29.3</v>
          </cell>
          <cell r="L31">
            <v>28.7</v>
          </cell>
          <cell r="M31">
            <v>30.5</v>
          </cell>
          <cell r="N31">
            <v>31</v>
          </cell>
          <cell r="O31">
            <v>31.3</v>
          </cell>
        </row>
        <row r="32">
          <cell r="A32">
            <v>202</v>
          </cell>
          <cell r="B32">
            <v>1</v>
          </cell>
          <cell r="C32">
            <v>13.205</v>
          </cell>
          <cell r="D32">
            <v>57.7</v>
          </cell>
          <cell r="E32">
            <v>57.2</v>
          </cell>
          <cell r="F32">
            <v>49.8</v>
          </cell>
          <cell r="G32">
            <v>53</v>
          </cell>
          <cell r="H32">
            <v>53.1</v>
          </cell>
          <cell r="I32">
            <v>44.2</v>
          </cell>
          <cell r="J32">
            <v>53.4</v>
          </cell>
          <cell r="K32">
            <v>55.3</v>
          </cell>
          <cell r="L32">
            <v>55</v>
          </cell>
          <cell r="M32">
            <v>47.7</v>
          </cell>
          <cell r="N32">
            <v>51</v>
          </cell>
          <cell r="O32">
            <v>38.9</v>
          </cell>
        </row>
        <row r="33">
          <cell r="A33">
            <v>202</v>
          </cell>
          <cell r="B33">
            <v>2</v>
          </cell>
          <cell r="C33">
            <v>13.209</v>
          </cell>
          <cell r="D33">
            <v>30.5</v>
          </cell>
          <cell r="E33">
            <v>30.4</v>
          </cell>
          <cell r="F33">
            <v>30.1</v>
          </cell>
          <cell r="G33">
            <v>29.4</v>
          </cell>
          <cell r="H33">
            <v>31.3</v>
          </cell>
          <cell r="I33">
            <v>31.9</v>
          </cell>
          <cell r="J33">
            <v>32.200000000000003</v>
          </cell>
          <cell r="K33">
            <v>30.9</v>
          </cell>
          <cell r="L33">
            <v>28.8</v>
          </cell>
          <cell r="M33">
            <v>29.9</v>
          </cell>
          <cell r="N33">
            <v>29.9</v>
          </cell>
          <cell r="O33">
            <v>30.2</v>
          </cell>
        </row>
        <row r="34">
          <cell r="A34">
            <v>203</v>
          </cell>
          <cell r="B34">
            <v>1</v>
          </cell>
          <cell r="C34">
            <v>13.221</v>
          </cell>
          <cell r="D34">
            <v>51.7</v>
          </cell>
          <cell r="E34">
            <v>59</v>
          </cell>
          <cell r="F34">
            <v>51.3</v>
          </cell>
          <cell r="G34">
            <v>54.8</v>
          </cell>
          <cell r="H34">
            <v>38.1</v>
          </cell>
          <cell r="I34">
            <v>55.2</v>
          </cell>
          <cell r="J34">
            <v>40.799999999999997</v>
          </cell>
          <cell r="K34">
            <v>57.2</v>
          </cell>
          <cell r="L34">
            <v>57.5</v>
          </cell>
          <cell r="M34">
            <v>44.9</v>
          </cell>
          <cell r="N34">
            <v>48.4</v>
          </cell>
          <cell r="O34">
            <v>51.2</v>
          </cell>
        </row>
        <row r="35">
          <cell r="A35">
            <v>203</v>
          </cell>
          <cell r="B35">
            <v>2</v>
          </cell>
          <cell r="C35">
            <v>13.225</v>
          </cell>
          <cell r="D35">
            <v>27.7</v>
          </cell>
          <cell r="E35">
            <v>30.1</v>
          </cell>
          <cell r="F35">
            <v>28.6</v>
          </cell>
          <cell r="G35">
            <v>28.5</v>
          </cell>
          <cell r="H35">
            <v>29.5</v>
          </cell>
          <cell r="I35">
            <v>30.9</v>
          </cell>
          <cell r="J35">
            <v>29.6</v>
          </cell>
          <cell r="K35">
            <v>28.7</v>
          </cell>
          <cell r="L35">
            <v>29</v>
          </cell>
          <cell r="M35">
            <v>28.5</v>
          </cell>
          <cell r="N35">
            <v>29.3</v>
          </cell>
          <cell r="O35">
            <v>31.7</v>
          </cell>
        </row>
        <row r="36">
          <cell r="A36">
            <v>204</v>
          </cell>
          <cell r="B36">
            <v>1</v>
          </cell>
          <cell r="C36">
            <v>13.236000000000001</v>
          </cell>
          <cell r="D36">
            <v>35.799999999999997</v>
          </cell>
          <cell r="E36">
            <v>36</v>
          </cell>
          <cell r="F36">
            <v>32.1</v>
          </cell>
          <cell r="G36">
            <v>35.700000000000003</v>
          </cell>
          <cell r="H36">
            <v>35.799999999999997</v>
          </cell>
          <cell r="I36">
            <v>36.9</v>
          </cell>
          <cell r="J36">
            <v>32.700000000000003</v>
          </cell>
          <cell r="K36">
            <v>36.799999999999997</v>
          </cell>
          <cell r="L36">
            <v>32.200000000000003</v>
          </cell>
          <cell r="M36">
            <v>34</v>
          </cell>
          <cell r="N36">
            <v>33.799999999999997</v>
          </cell>
          <cell r="O36">
            <v>32</v>
          </cell>
        </row>
        <row r="37">
          <cell r="A37">
            <v>204</v>
          </cell>
          <cell r="B37">
            <v>2</v>
          </cell>
          <cell r="C37">
            <v>13.241</v>
          </cell>
          <cell r="D37">
            <v>29.5</v>
          </cell>
          <cell r="E37">
            <v>29.9</v>
          </cell>
          <cell r="F37">
            <v>29.7</v>
          </cell>
          <cell r="G37">
            <v>30.2</v>
          </cell>
          <cell r="H37">
            <v>30</v>
          </cell>
          <cell r="I37">
            <v>30.4</v>
          </cell>
          <cell r="J37">
            <v>31.9</v>
          </cell>
          <cell r="K37">
            <v>34.1</v>
          </cell>
          <cell r="L37">
            <v>31.8</v>
          </cell>
          <cell r="M37">
            <v>31.8</v>
          </cell>
          <cell r="N37">
            <v>29.9</v>
          </cell>
          <cell r="O37">
            <v>31.4</v>
          </cell>
        </row>
        <row r="38">
          <cell r="A38">
            <v>205</v>
          </cell>
          <cell r="B38">
            <v>1</v>
          </cell>
          <cell r="C38">
            <v>13.252000000000001</v>
          </cell>
          <cell r="D38">
            <v>57.7</v>
          </cell>
          <cell r="E38">
            <v>56.1</v>
          </cell>
          <cell r="F38">
            <v>56.8</v>
          </cell>
          <cell r="G38">
            <v>51.3</v>
          </cell>
          <cell r="H38">
            <v>55.7</v>
          </cell>
          <cell r="I38">
            <v>50.2</v>
          </cell>
          <cell r="J38">
            <v>53.7</v>
          </cell>
          <cell r="K38">
            <v>61.5</v>
          </cell>
          <cell r="L38">
            <v>59.1</v>
          </cell>
          <cell r="M38">
            <v>53.7</v>
          </cell>
          <cell r="N38">
            <v>48.7</v>
          </cell>
          <cell r="O38">
            <v>57.7</v>
          </cell>
        </row>
        <row r="39">
          <cell r="A39">
            <v>205</v>
          </cell>
          <cell r="B39">
            <v>2</v>
          </cell>
          <cell r="C39">
            <v>13.256</v>
          </cell>
          <cell r="D39">
            <v>30.2</v>
          </cell>
          <cell r="E39">
            <v>30.1</v>
          </cell>
          <cell r="F39">
            <v>29.2</v>
          </cell>
          <cell r="G39">
            <v>31</v>
          </cell>
          <cell r="H39">
            <v>31.5</v>
          </cell>
          <cell r="I39">
            <v>33.1</v>
          </cell>
          <cell r="J39">
            <v>29.4</v>
          </cell>
          <cell r="K39">
            <v>29.8</v>
          </cell>
          <cell r="L39">
            <v>29.8</v>
          </cell>
          <cell r="M39">
            <v>30.5</v>
          </cell>
          <cell r="N39">
            <v>31.8</v>
          </cell>
          <cell r="O39">
            <v>29.7</v>
          </cell>
        </row>
        <row r="40">
          <cell r="A40">
            <v>206</v>
          </cell>
          <cell r="B40">
            <v>1</v>
          </cell>
          <cell r="C40">
            <v>13.268000000000001</v>
          </cell>
          <cell r="D40">
            <v>38.799999999999997</v>
          </cell>
          <cell r="E40">
            <v>41</v>
          </cell>
          <cell r="F40">
            <v>37.1</v>
          </cell>
          <cell r="G40">
            <v>40.299999999999997</v>
          </cell>
          <cell r="H40">
            <v>41.9</v>
          </cell>
          <cell r="I40">
            <v>40.299999999999997</v>
          </cell>
          <cell r="J40">
            <v>39</v>
          </cell>
          <cell r="K40">
            <v>41.2</v>
          </cell>
          <cell r="L40">
            <v>36.9</v>
          </cell>
          <cell r="M40">
            <v>43.4</v>
          </cell>
          <cell r="N40">
            <v>39.4</v>
          </cell>
          <cell r="O40">
            <v>43.6</v>
          </cell>
        </row>
        <row r="41">
          <cell r="A41">
            <v>206</v>
          </cell>
          <cell r="B41">
            <v>2</v>
          </cell>
          <cell r="C41">
            <v>13.273</v>
          </cell>
          <cell r="D41">
            <v>28.7</v>
          </cell>
          <cell r="E41">
            <v>28.9</v>
          </cell>
          <cell r="F41">
            <v>28.6</v>
          </cell>
          <cell r="G41">
            <v>28.4</v>
          </cell>
          <cell r="H41">
            <v>30.6</v>
          </cell>
          <cell r="I41">
            <v>30.2</v>
          </cell>
          <cell r="J41">
            <v>28.9</v>
          </cell>
          <cell r="K41">
            <v>28.8</v>
          </cell>
          <cell r="L41">
            <v>29.8</v>
          </cell>
          <cell r="M41">
            <v>28.4</v>
          </cell>
          <cell r="N41">
            <v>27.7</v>
          </cell>
          <cell r="O41">
            <v>28.2</v>
          </cell>
        </row>
        <row r="42">
          <cell r="A42">
            <v>207</v>
          </cell>
          <cell r="B42">
            <v>1</v>
          </cell>
          <cell r="C42">
            <v>13.285</v>
          </cell>
          <cell r="D42">
            <v>53.4</v>
          </cell>
          <cell r="E42">
            <v>52</v>
          </cell>
          <cell r="F42">
            <v>55.6</v>
          </cell>
          <cell r="G42">
            <v>41.1</v>
          </cell>
          <cell r="H42">
            <v>53.8</v>
          </cell>
          <cell r="I42">
            <v>44.8</v>
          </cell>
          <cell r="J42">
            <v>52.9</v>
          </cell>
          <cell r="K42">
            <v>44.6</v>
          </cell>
          <cell r="L42">
            <v>51.5</v>
          </cell>
          <cell r="M42">
            <v>46.8</v>
          </cell>
          <cell r="N42">
            <v>52.6</v>
          </cell>
          <cell r="O42">
            <v>42</v>
          </cell>
        </row>
        <row r="43">
          <cell r="A43">
            <v>207</v>
          </cell>
          <cell r="B43">
            <v>2</v>
          </cell>
          <cell r="C43">
            <v>13.289</v>
          </cell>
          <cell r="D43">
            <v>28.6</v>
          </cell>
          <cell r="E43">
            <v>27.6</v>
          </cell>
          <cell r="F43">
            <v>27</v>
          </cell>
          <cell r="G43">
            <v>28.4</v>
          </cell>
          <cell r="H43">
            <v>30.5</v>
          </cell>
          <cell r="I43">
            <v>28.4</v>
          </cell>
          <cell r="J43">
            <v>29.2</v>
          </cell>
          <cell r="K43">
            <v>28</v>
          </cell>
          <cell r="L43">
            <v>29.9</v>
          </cell>
          <cell r="M43">
            <v>29.5</v>
          </cell>
          <cell r="N43">
            <v>28.8</v>
          </cell>
          <cell r="O43">
            <v>29.4</v>
          </cell>
        </row>
        <row r="44">
          <cell r="A44">
            <v>208</v>
          </cell>
          <cell r="B44">
            <v>1</v>
          </cell>
          <cell r="C44">
            <v>13.302</v>
          </cell>
          <cell r="D44">
            <v>56.4</v>
          </cell>
          <cell r="E44">
            <v>58</v>
          </cell>
          <cell r="F44">
            <v>44.8</v>
          </cell>
          <cell r="G44">
            <v>58.4</v>
          </cell>
          <cell r="H44">
            <v>53</v>
          </cell>
          <cell r="I44">
            <v>60</v>
          </cell>
          <cell r="J44">
            <v>55.9</v>
          </cell>
          <cell r="K44">
            <v>59.3</v>
          </cell>
          <cell r="L44">
            <v>46</v>
          </cell>
          <cell r="M44">
            <v>58.8</v>
          </cell>
          <cell r="N44">
            <v>52</v>
          </cell>
          <cell r="O44">
            <v>53.5</v>
          </cell>
        </row>
        <row r="45">
          <cell r="A45">
            <v>208</v>
          </cell>
          <cell r="B45">
            <v>2</v>
          </cell>
          <cell r="C45">
            <v>13.305999999999999</v>
          </cell>
          <cell r="D45">
            <v>29.5</v>
          </cell>
          <cell r="E45">
            <v>29.6</v>
          </cell>
          <cell r="F45">
            <v>30.9</v>
          </cell>
          <cell r="G45">
            <v>28.8</v>
          </cell>
          <cell r="H45">
            <v>29.5</v>
          </cell>
          <cell r="I45">
            <v>28.4</v>
          </cell>
          <cell r="J45">
            <v>30.3</v>
          </cell>
          <cell r="K45">
            <v>30.7</v>
          </cell>
          <cell r="L45">
            <v>30.8</v>
          </cell>
          <cell r="M45">
            <v>31.5</v>
          </cell>
          <cell r="N45">
            <v>30.6</v>
          </cell>
          <cell r="O45">
            <v>31.2</v>
          </cell>
        </row>
        <row r="46">
          <cell r="A46">
            <v>908</v>
          </cell>
          <cell r="B46">
            <v>1</v>
          </cell>
          <cell r="C46">
            <v>13.32</v>
          </cell>
          <cell r="D46">
            <v>47.9</v>
          </cell>
          <cell r="E46">
            <v>55.5</v>
          </cell>
          <cell r="F46">
            <v>35</v>
          </cell>
          <cell r="G46">
            <v>57.2</v>
          </cell>
          <cell r="H46">
            <v>38.700000000000003</v>
          </cell>
          <cell r="I46">
            <v>57.3</v>
          </cell>
          <cell r="J46">
            <v>38.4</v>
          </cell>
          <cell r="K46">
            <v>58.4</v>
          </cell>
          <cell r="L46">
            <v>36.4</v>
          </cell>
          <cell r="M46">
            <v>57.1</v>
          </cell>
          <cell r="N46">
            <v>44.9</v>
          </cell>
          <cell r="O46">
            <v>53.2</v>
          </cell>
        </row>
        <row r="47">
          <cell r="A47">
            <v>908</v>
          </cell>
          <cell r="B47">
            <v>2</v>
          </cell>
          <cell r="C47">
            <v>13.326000000000001</v>
          </cell>
          <cell r="D47">
            <v>30.7</v>
          </cell>
          <cell r="E47">
            <v>29.5</v>
          </cell>
          <cell r="F47">
            <v>32.1</v>
          </cell>
          <cell r="G47">
            <v>31.1</v>
          </cell>
          <cell r="H47">
            <v>30.7</v>
          </cell>
          <cell r="I47">
            <v>30</v>
          </cell>
          <cell r="J47">
            <v>32.200000000000003</v>
          </cell>
          <cell r="K47">
            <v>30.1</v>
          </cell>
          <cell r="L47">
            <v>31.2</v>
          </cell>
          <cell r="M47">
            <v>31.7</v>
          </cell>
          <cell r="N47">
            <v>31.3</v>
          </cell>
          <cell r="O47">
            <v>31.1</v>
          </cell>
        </row>
        <row r="48">
          <cell r="A48">
            <v>907</v>
          </cell>
          <cell r="B48">
            <v>1</v>
          </cell>
          <cell r="C48">
            <v>13.339</v>
          </cell>
          <cell r="D48">
            <v>67.5</v>
          </cell>
          <cell r="E48">
            <v>67.7</v>
          </cell>
          <cell r="F48">
            <v>67.900000000000006</v>
          </cell>
          <cell r="G48">
            <v>67.599999999999994</v>
          </cell>
          <cell r="H48">
            <v>66.8</v>
          </cell>
          <cell r="I48">
            <v>67.900000000000006</v>
          </cell>
          <cell r="J48">
            <v>67.8</v>
          </cell>
          <cell r="K48">
            <v>67.400000000000006</v>
          </cell>
          <cell r="L48">
            <v>67.400000000000006</v>
          </cell>
          <cell r="M48">
            <v>68.2</v>
          </cell>
          <cell r="N48">
            <v>67.900000000000006</v>
          </cell>
          <cell r="O48">
            <v>68.099999999999994</v>
          </cell>
        </row>
        <row r="50">
          <cell r="A50">
            <v>906</v>
          </cell>
          <cell r="B50">
            <v>1</v>
          </cell>
          <cell r="C50">
            <v>13.346</v>
          </cell>
          <cell r="D50">
            <v>58.8</v>
          </cell>
          <cell r="E50">
            <v>57.7</v>
          </cell>
          <cell r="F50">
            <v>39</v>
          </cell>
          <cell r="G50">
            <v>58.2</v>
          </cell>
          <cell r="H50">
            <v>41.9</v>
          </cell>
          <cell r="I50">
            <v>59.8</v>
          </cell>
          <cell r="J50">
            <v>41.4</v>
          </cell>
          <cell r="K50">
            <v>60.9</v>
          </cell>
          <cell r="L50">
            <v>41.7</v>
          </cell>
          <cell r="M50">
            <v>59.2</v>
          </cell>
          <cell r="N50">
            <v>46.3</v>
          </cell>
          <cell r="O50">
            <v>50.8</v>
          </cell>
        </row>
        <row r="51">
          <cell r="A51">
            <v>906</v>
          </cell>
          <cell r="B51">
            <v>2</v>
          </cell>
          <cell r="C51">
            <v>13.351000000000001</v>
          </cell>
          <cell r="D51">
            <v>32.9</v>
          </cell>
          <cell r="E51">
            <v>30.4</v>
          </cell>
          <cell r="F51">
            <v>31.9</v>
          </cell>
          <cell r="G51">
            <v>31.5</v>
          </cell>
          <cell r="H51">
            <v>31.2</v>
          </cell>
          <cell r="I51">
            <v>31.7</v>
          </cell>
          <cell r="J51">
            <v>31.1</v>
          </cell>
          <cell r="K51">
            <v>29.8</v>
          </cell>
          <cell r="L51">
            <v>30.7</v>
          </cell>
          <cell r="M51">
            <v>31.4</v>
          </cell>
          <cell r="N51">
            <v>31.5</v>
          </cell>
          <cell r="O51">
            <v>31</v>
          </cell>
        </row>
        <row r="52">
          <cell r="A52">
            <v>905</v>
          </cell>
          <cell r="B52">
            <v>1</v>
          </cell>
          <cell r="C52">
            <v>13.363</v>
          </cell>
          <cell r="D52">
            <v>37.799999999999997</v>
          </cell>
          <cell r="E52">
            <v>37.799999999999997</v>
          </cell>
          <cell r="F52">
            <v>37.200000000000003</v>
          </cell>
          <cell r="G52">
            <v>37.700000000000003</v>
          </cell>
          <cell r="H52">
            <v>38.1</v>
          </cell>
          <cell r="I52">
            <v>37.700000000000003</v>
          </cell>
          <cell r="J52">
            <v>37.799999999999997</v>
          </cell>
          <cell r="K52">
            <v>37.5</v>
          </cell>
          <cell r="L52">
            <v>37.5</v>
          </cell>
          <cell r="M52">
            <v>37.4</v>
          </cell>
          <cell r="N52">
            <v>37.5</v>
          </cell>
          <cell r="O52">
            <v>37.200000000000003</v>
          </cell>
        </row>
        <row r="54">
          <cell r="A54">
            <v>904</v>
          </cell>
          <cell r="B54">
            <v>1</v>
          </cell>
          <cell r="C54">
            <v>13.371</v>
          </cell>
          <cell r="D54">
            <v>59.5</v>
          </cell>
          <cell r="E54">
            <v>46.7</v>
          </cell>
          <cell r="F54">
            <v>52.1</v>
          </cell>
          <cell r="G54">
            <v>47.3</v>
          </cell>
          <cell r="H54">
            <v>48.1</v>
          </cell>
          <cell r="I54">
            <v>55.8</v>
          </cell>
          <cell r="J54">
            <v>40.9</v>
          </cell>
          <cell r="K54">
            <v>62.2</v>
          </cell>
          <cell r="L54">
            <v>40.799999999999997</v>
          </cell>
          <cell r="M54">
            <v>57.5</v>
          </cell>
          <cell r="N54">
            <v>41.3</v>
          </cell>
          <cell r="O54">
            <v>58.8</v>
          </cell>
        </row>
        <row r="55">
          <cell r="A55">
            <v>904</v>
          </cell>
          <cell r="B55">
            <v>2</v>
          </cell>
          <cell r="C55">
            <v>13.375999999999999</v>
          </cell>
          <cell r="D55">
            <v>28.7</v>
          </cell>
          <cell r="E55">
            <v>28</v>
          </cell>
          <cell r="F55">
            <v>29.3</v>
          </cell>
          <cell r="G55">
            <v>28.5</v>
          </cell>
          <cell r="H55">
            <v>28.7</v>
          </cell>
          <cell r="I55">
            <v>30.6</v>
          </cell>
          <cell r="J55">
            <v>29.2</v>
          </cell>
          <cell r="K55">
            <v>28.8</v>
          </cell>
          <cell r="L55">
            <v>28</v>
          </cell>
          <cell r="M55">
            <v>28.2</v>
          </cell>
          <cell r="N55">
            <v>31.7</v>
          </cell>
          <cell r="O55">
            <v>28.2</v>
          </cell>
        </row>
        <row r="56">
          <cell r="A56">
            <v>903</v>
          </cell>
          <cell r="B56">
            <v>1</v>
          </cell>
          <cell r="C56">
            <v>13.388</v>
          </cell>
          <cell r="D56">
            <v>67.3</v>
          </cell>
          <cell r="E56">
            <v>67.400000000000006</v>
          </cell>
          <cell r="F56">
            <v>67.400000000000006</v>
          </cell>
          <cell r="G56">
            <v>67.400000000000006</v>
          </cell>
          <cell r="H56">
            <v>66.5</v>
          </cell>
          <cell r="I56">
            <v>67.2</v>
          </cell>
          <cell r="J56">
            <v>67.2</v>
          </cell>
          <cell r="K56">
            <v>67.099999999999994</v>
          </cell>
          <cell r="L56">
            <v>67.099999999999994</v>
          </cell>
          <cell r="M56">
            <v>67.7</v>
          </cell>
          <cell r="N56">
            <v>67.5</v>
          </cell>
          <cell r="O56">
            <v>67.3</v>
          </cell>
        </row>
        <row r="58">
          <cell r="A58">
            <v>902</v>
          </cell>
          <cell r="B58">
            <v>1</v>
          </cell>
          <cell r="C58">
            <v>13.396000000000001</v>
          </cell>
          <cell r="D58">
            <v>57.9</v>
          </cell>
          <cell r="E58">
            <v>51.6</v>
          </cell>
          <cell r="F58">
            <v>47.1</v>
          </cell>
          <cell r="G58">
            <v>56.5</v>
          </cell>
          <cell r="H58">
            <v>46.1</v>
          </cell>
          <cell r="I58">
            <v>55.9</v>
          </cell>
          <cell r="J58">
            <v>41.8</v>
          </cell>
          <cell r="K58">
            <v>58.9</v>
          </cell>
          <cell r="L58">
            <v>42.9</v>
          </cell>
          <cell r="M58">
            <v>58.4</v>
          </cell>
          <cell r="N58">
            <v>46.2</v>
          </cell>
          <cell r="O58">
            <v>44.8</v>
          </cell>
        </row>
        <row r="59">
          <cell r="A59">
            <v>902</v>
          </cell>
          <cell r="B59">
            <v>2</v>
          </cell>
          <cell r="C59">
            <v>13.401</v>
          </cell>
          <cell r="D59">
            <v>30.4</v>
          </cell>
          <cell r="E59">
            <v>30.4</v>
          </cell>
          <cell r="F59">
            <v>31</v>
          </cell>
          <cell r="G59">
            <v>30.6</v>
          </cell>
          <cell r="H59">
            <v>30.5</v>
          </cell>
          <cell r="I59">
            <v>30.1</v>
          </cell>
          <cell r="J59">
            <v>29.3</v>
          </cell>
          <cell r="K59">
            <v>30.5</v>
          </cell>
          <cell r="L59">
            <v>29.4</v>
          </cell>
          <cell r="M59">
            <v>28.6</v>
          </cell>
          <cell r="N59">
            <v>29.6</v>
          </cell>
          <cell r="O59">
            <v>28.3</v>
          </cell>
        </row>
        <row r="60">
          <cell r="A60">
            <v>901</v>
          </cell>
          <cell r="B60">
            <v>1</v>
          </cell>
          <cell r="C60">
            <v>13.413</v>
          </cell>
          <cell r="D60">
            <v>45.3</v>
          </cell>
          <cell r="E60">
            <v>47</v>
          </cell>
          <cell r="F60">
            <v>47.3</v>
          </cell>
          <cell r="G60">
            <v>45.3</v>
          </cell>
          <cell r="H60">
            <v>43.7</v>
          </cell>
          <cell r="I60">
            <v>44.2</v>
          </cell>
          <cell r="J60">
            <v>43.6</v>
          </cell>
          <cell r="K60">
            <v>46.8</v>
          </cell>
          <cell r="L60">
            <v>46.5</v>
          </cell>
          <cell r="M60">
            <v>46</v>
          </cell>
          <cell r="N60">
            <v>43.6</v>
          </cell>
          <cell r="O60">
            <v>44.7</v>
          </cell>
        </row>
        <row r="62">
          <cell r="A62">
            <v>301</v>
          </cell>
          <cell r="B62">
            <v>1</v>
          </cell>
          <cell r="C62">
            <v>13.423999999999999</v>
          </cell>
          <cell r="D62">
            <v>52.2</v>
          </cell>
          <cell r="E62">
            <v>53.9</v>
          </cell>
          <cell r="F62">
            <v>44</v>
          </cell>
          <cell r="G62">
            <v>56.1</v>
          </cell>
          <cell r="H62">
            <v>36.799999999999997</v>
          </cell>
          <cell r="I62">
            <v>54.2</v>
          </cell>
          <cell r="J62">
            <v>34.9</v>
          </cell>
          <cell r="K62">
            <v>53.2</v>
          </cell>
          <cell r="L62">
            <v>36.9</v>
          </cell>
          <cell r="M62">
            <v>52.4</v>
          </cell>
          <cell r="N62">
            <v>37.9</v>
          </cell>
          <cell r="O62">
            <v>50.1</v>
          </cell>
        </row>
        <row r="63">
          <cell r="A63">
            <v>301</v>
          </cell>
          <cell r="B63">
            <v>2</v>
          </cell>
          <cell r="C63">
            <v>13.429</v>
          </cell>
          <cell r="D63">
            <v>29.3</v>
          </cell>
          <cell r="E63">
            <v>29.7</v>
          </cell>
          <cell r="F63">
            <v>28.2</v>
          </cell>
          <cell r="G63">
            <v>27.3</v>
          </cell>
          <cell r="H63">
            <v>29.8</v>
          </cell>
          <cell r="I63">
            <v>30.1</v>
          </cell>
          <cell r="J63">
            <v>29.6</v>
          </cell>
          <cell r="K63">
            <v>29.8</v>
          </cell>
          <cell r="L63">
            <v>28.6</v>
          </cell>
          <cell r="M63">
            <v>28.3</v>
          </cell>
          <cell r="N63">
            <v>29.7</v>
          </cell>
          <cell r="O63">
            <v>30.3</v>
          </cell>
        </row>
        <row r="64">
          <cell r="A64">
            <v>302</v>
          </cell>
          <cell r="B64">
            <v>1</v>
          </cell>
          <cell r="C64">
            <v>13.44</v>
          </cell>
          <cell r="D64">
            <v>55.9</v>
          </cell>
          <cell r="E64">
            <v>47</v>
          </cell>
          <cell r="F64">
            <v>52.1</v>
          </cell>
          <cell r="G64">
            <v>56</v>
          </cell>
          <cell r="H64">
            <v>47.1</v>
          </cell>
          <cell r="I64">
            <v>54.4</v>
          </cell>
          <cell r="J64">
            <v>51.9</v>
          </cell>
          <cell r="K64">
            <v>57.8</v>
          </cell>
          <cell r="L64">
            <v>50</v>
          </cell>
          <cell r="M64">
            <v>53.8</v>
          </cell>
          <cell r="N64">
            <v>47</v>
          </cell>
          <cell r="O64">
            <v>52.2</v>
          </cell>
        </row>
        <row r="65">
          <cell r="A65">
            <v>302</v>
          </cell>
          <cell r="B65">
            <v>2</v>
          </cell>
          <cell r="C65">
            <v>13.445</v>
          </cell>
          <cell r="D65">
            <v>30.9</v>
          </cell>
          <cell r="E65">
            <v>30.2</v>
          </cell>
          <cell r="F65">
            <v>29.6</v>
          </cell>
          <cell r="G65">
            <v>29.2</v>
          </cell>
          <cell r="H65">
            <v>30.3</v>
          </cell>
          <cell r="I65">
            <v>28</v>
          </cell>
          <cell r="J65">
            <v>28.4</v>
          </cell>
          <cell r="K65">
            <v>28.3</v>
          </cell>
          <cell r="L65">
            <v>29.6</v>
          </cell>
          <cell r="M65">
            <v>29</v>
          </cell>
          <cell r="N65">
            <v>29</v>
          </cell>
          <cell r="O65">
            <v>30.3</v>
          </cell>
        </row>
        <row r="66">
          <cell r="A66">
            <v>303</v>
          </cell>
          <cell r="B66">
            <v>1</v>
          </cell>
          <cell r="C66">
            <v>13.456</v>
          </cell>
          <cell r="D66">
            <v>39.299999999999997</v>
          </cell>
          <cell r="E66">
            <v>41</v>
          </cell>
          <cell r="F66">
            <v>34.700000000000003</v>
          </cell>
          <cell r="G66">
            <v>38.6</v>
          </cell>
          <cell r="H66">
            <v>35.200000000000003</v>
          </cell>
          <cell r="I66">
            <v>39.200000000000003</v>
          </cell>
          <cell r="J66">
            <v>36.9</v>
          </cell>
          <cell r="K66">
            <v>36.6</v>
          </cell>
          <cell r="L66">
            <v>34.799999999999997</v>
          </cell>
          <cell r="M66">
            <v>38.700000000000003</v>
          </cell>
          <cell r="N66">
            <v>34.4</v>
          </cell>
          <cell r="O66">
            <v>37.799999999999997</v>
          </cell>
        </row>
        <row r="67">
          <cell r="A67">
            <v>303</v>
          </cell>
          <cell r="B67">
            <v>2</v>
          </cell>
          <cell r="C67">
            <v>13.461</v>
          </cell>
          <cell r="D67">
            <v>27.1</v>
          </cell>
          <cell r="E67">
            <v>27.7</v>
          </cell>
          <cell r="F67">
            <v>27.1</v>
          </cell>
          <cell r="G67">
            <v>28.4</v>
          </cell>
          <cell r="H67">
            <v>28.5</v>
          </cell>
          <cell r="I67">
            <v>27.4</v>
          </cell>
          <cell r="J67">
            <v>28.2</v>
          </cell>
          <cell r="K67">
            <v>28.1</v>
          </cell>
          <cell r="L67">
            <v>27.1</v>
          </cell>
          <cell r="M67">
            <v>28.6</v>
          </cell>
          <cell r="N67">
            <v>26.7</v>
          </cell>
          <cell r="O67">
            <v>28</v>
          </cell>
        </row>
        <row r="68">
          <cell r="A68">
            <v>304</v>
          </cell>
          <cell r="B68">
            <v>1</v>
          </cell>
          <cell r="C68">
            <v>13.472</v>
          </cell>
          <cell r="D68">
            <v>55.9</v>
          </cell>
          <cell r="E68">
            <v>56.5</v>
          </cell>
          <cell r="F68">
            <v>53.5</v>
          </cell>
          <cell r="G68">
            <v>57.4</v>
          </cell>
          <cell r="H68">
            <v>50.5</v>
          </cell>
          <cell r="I68">
            <v>59.2</v>
          </cell>
          <cell r="J68">
            <v>49.6</v>
          </cell>
          <cell r="K68">
            <v>58.7</v>
          </cell>
          <cell r="L68">
            <v>37.299999999999997</v>
          </cell>
          <cell r="M68">
            <v>57.4</v>
          </cell>
          <cell r="N68">
            <v>48.6</v>
          </cell>
          <cell r="O68">
            <v>58.6</v>
          </cell>
        </row>
        <row r="69">
          <cell r="A69">
            <v>304</v>
          </cell>
          <cell r="B69">
            <v>2</v>
          </cell>
          <cell r="C69">
            <v>13.476000000000001</v>
          </cell>
          <cell r="D69">
            <v>28.9</v>
          </cell>
          <cell r="E69">
            <v>29.5</v>
          </cell>
          <cell r="F69">
            <v>28.9</v>
          </cell>
          <cell r="G69">
            <v>29.3</v>
          </cell>
          <cell r="H69">
            <v>28.6</v>
          </cell>
          <cell r="I69">
            <v>29.5</v>
          </cell>
          <cell r="J69">
            <v>28</v>
          </cell>
          <cell r="K69">
            <v>28.5</v>
          </cell>
          <cell r="L69">
            <v>30.3</v>
          </cell>
          <cell r="M69">
            <v>27.5</v>
          </cell>
          <cell r="N69">
            <v>28.9</v>
          </cell>
          <cell r="O69">
            <v>29.3</v>
          </cell>
        </row>
        <row r="70">
          <cell r="A70">
            <v>305</v>
          </cell>
          <cell r="B70">
            <v>1</v>
          </cell>
          <cell r="C70">
            <v>13.488</v>
          </cell>
          <cell r="D70">
            <v>35.1</v>
          </cell>
          <cell r="E70">
            <v>35.1</v>
          </cell>
          <cell r="F70">
            <v>28.9</v>
          </cell>
          <cell r="G70">
            <v>36.799999999999997</v>
          </cell>
          <cell r="H70">
            <v>28.3</v>
          </cell>
          <cell r="I70">
            <v>35.6</v>
          </cell>
          <cell r="J70">
            <v>29.6</v>
          </cell>
          <cell r="K70">
            <v>34.4</v>
          </cell>
          <cell r="L70">
            <v>28.9</v>
          </cell>
          <cell r="M70">
            <v>29.6</v>
          </cell>
          <cell r="N70">
            <v>28.8</v>
          </cell>
          <cell r="O70">
            <v>33</v>
          </cell>
        </row>
        <row r="71">
          <cell r="A71">
            <v>305</v>
          </cell>
          <cell r="B71">
            <v>2</v>
          </cell>
          <cell r="C71">
            <v>13.493</v>
          </cell>
          <cell r="D71">
            <v>26.4</v>
          </cell>
          <cell r="E71">
            <v>27.7</v>
          </cell>
          <cell r="F71">
            <v>26.9</v>
          </cell>
          <cell r="G71">
            <v>27.3</v>
          </cell>
          <cell r="H71">
            <v>25.8</v>
          </cell>
          <cell r="I71">
            <v>27.8</v>
          </cell>
          <cell r="J71">
            <v>26.9</v>
          </cell>
          <cell r="K71">
            <v>27.7</v>
          </cell>
          <cell r="L71">
            <v>27.8</v>
          </cell>
          <cell r="M71">
            <v>28.9</v>
          </cell>
          <cell r="N71">
            <v>28.2</v>
          </cell>
          <cell r="O71">
            <v>26.8</v>
          </cell>
        </row>
        <row r="72">
          <cell r="A72">
            <v>306</v>
          </cell>
          <cell r="B72">
            <v>1</v>
          </cell>
          <cell r="C72">
            <v>13.505000000000001</v>
          </cell>
          <cell r="D72">
            <v>53.7</v>
          </cell>
          <cell r="E72">
            <v>48.8</v>
          </cell>
          <cell r="F72">
            <v>51.8</v>
          </cell>
          <cell r="G72">
            <v>41</v>
          </cell>
          <cell r="H72">
            <v>53.8</v>
          </cell>
          <cell r="I72">
            <v>46.6</v>
          </cell>
          <cell r="J72">
            <v>49.9</v>
          </cell>
          <cell r="K72">
            <v>51.3</v>
          </cell>
          <cell r="L72">
            <v>49.8</v>
          </cell>
          <cell r="M72">
            <v>39.200000000000003</v>
          </cell>
          <cell r="N72">
            <v>51.2</v>
          </cell>
          <cell r="O72">
            <v>44.8</v>
          </cell>
        </row>
        <row r="73">
          <cell r="A73">
            <v>306</v>
          </cell>
          <cell r="B73">
            <v>2</v>
          </cell>
          <cell r="C73">
            <v>13.51</v>
          </cell>
          <cell r="D73">
            <v>27.8</v>
          </cell>
          <cell r="E73">
            <v>27.7</v>
          </cell>
          <cell r="F73">
            <v>27.7</v>
          </cell>
          <cell r="G73">
            <v>27.9</v>
          </cell>
          <cell r="H73">
            <v>27.6</v>
          </cell>
          <cell r="I73">
            <v>28.9</v>
          </cell>
          <cell r="J73">
            <v>29</v>
          </cell>
          <cell r="K73">
            <v>26.7</v>
          </cell>
          <cell r="L73">
            <v>28.7</v>
          </cell>
          <cell r="M73">
            <v>28.2</v>
          </cell>
          <cell r="N73">
            <v>27.2</v>
          </cell>
          <cell r="O73">
            <v>27.5</v>
          </cell>
        </row>
        <row r="74">
          <cell r="A74">
            <v>307</v>
          </cell>
          <cell r="B74">
            <v>1</v>
          </cell>
          <cell r="C74">
            <v>13.522</v>
          </cell>
          <cell r="D74">
            <v>56.4</v>
          </cell>
          <cell r="E74">
            <v>56</v>
          </cell>
          <cell r="F74">
            <v>34.299999999999997</v>
          </cell>
          <cell r="G74">
            <v>55.2</v>
          </cell>
          <cell r="H74">
            <v>43.2</v>
          </cell>
          <cell r="I74">
            <v>53.7</v>
          </cell>
          <cell r="J74">
            <v>51.1</v>
          </cell>
          <cell r="K74">
            <v>39</v>
          </cell>
          <cell r="L74">
            <v>54.4</v>
          </cell>
          <cell r="M74">
            <v>49</v>
          </cell>
          <cell r="N74">
            <v>55.4</v>
          </cell>
          <cell r="O74">
            <v>43.4</v>
          </cell>
        </row>
        <row r="75">
          <cell r="A75">
            <v>307</v>
          </cell>
          <cell r="B75">
            <v>2</v>
          </cell>
          <cell r="C75">
            <v>13.526</v>
          </cell>
          <cell r="D75">
            <v>31.1</v>
          </cell>
          <cell r="E75">
            <v>29.4</v>
          </cell>
          <cell r="F75">
            <v>30.9</v>
          </cell>
          <cell r="G75">
            <v>29</v>
          </cell>
          <cell r="H75">
            <v>28.5</v>
          </cell>
          <cell r="I75">
            <v>28.9</v>
          </cell>
          <cell r="J75">
            <v>29.6</v>
          </cell>
          <cell r="K75">
            <v>29.4</v>
          </cell>
          <cell r="L75">
            <v>28.6</v>
          </cell>
          <cell r="M75">
            <v>27.6</v>
          </cell>
          <cell r="N75">
            <v>28.2</v>
          </cell>
          <cell r="O75">
            <v>28.9</v>
          </cell>
        </row>
        <row r="76">
          <cell r="A76">
            <v>308</v>
          </cell>
          <cell r="B76">
            <v>1</v>
          </cell>
          <cell r="C76">
            <v>13.538</v>
          </cell>
          <cell r="D76">
            <v>48.1</v>
          </cell>
          <cell r="E76">
            <v>41.3</v>
          </cell>
          <cell r="F76">
            <v>37.200000000000003</v>
          </cell>
          <cell r="G76">
            <v>49.6</v>
          </cell>
          <cell r="H76">
            <v>34</v>
          </cell>
          <cell r="I76">
            <v>51.9</v>
          </cell>
          <cell r="J76">
            <v>40.700000000000003</v>
          </cell>
          <cell r="K76">
            <v>45.2</v>
          </cell>
          <cell r="L76">
            <v>49</v>
          </cell>
          <cell r="M76">
            <v>45</v>
          </cell>
          <cell r="N76">
            <v>52.9</v>
          </cell>
          <cell r="O76">
            <v>36</v>
          </cell>
        </row>
        <row r="77">
          <cell r="A77">
            <v>308</v>
          </cell>
          <cell r="B77">
            <v>2</v>
          </cell>
          <cell r="C77">
            <v>13.542</v>
          </cell>
          <cell r="D77">
            <v>30</v>
          </cell>
          <cell r="E77">
            <v>29.9</v>
          </cell>
          <cell r="F77">
            <v>29.5</v>
          </cell>
          <cell r="G77">
            <v>30.3</v>
          </cell>
          <cell r="H77">
            <v>30.5</v>
          </cell>
          <cell r="I77">
            <v>31.2</v>
          </cell>
          <cell r="J77">
            <v>32.4</v>
          </cell>
          <cell r="K77">
            <v>31.6</v>
          </cell>
          <cell r="L77">
            <v>30.2</v>
          </cell>
          <cell r="M77">
            <v>30.1</v>
          </cell>
          <cell r="N77">
            <v>30.8</v>
          </cell>
          <cell r="O77">
            <v>30.5</v>
          </cell>
        </row>
        <row r="78">
          <cell r="A78">
            <v>408</v>
          </cell>
          <cell r="B78">
            <v>1</v>
          </cell>
          <cell r="C78">
            <v>13.558999999999999</v>
          </cell>
          <cell r="D78">
            <v>49.8</v>
          </cell>
          <cell r="E78">
            <v>39.4</v>
          </cell>
          <cell r="F78">
            <v>50.2</v>
          </cell>
          <cell r="G78">
            <v>50.4</v>
          </cell>
          <cell r="H78">
            <v>48.1</v>
          </cell>
          <cell r="I78">
            <v>46.9</v>
          </cell>
          <cell r="J78">
            <v>49.3</v>
          </cell>
          <cell r="K78">
            <v>48.4</v>
          </cell>
          <cell r="L78">
            <v>42.1</v>
          </cell>
          <cell r="M78">
            <v>49</v>
          </cell>
          <cell r="N78">
            <v>47.6</v>
          </cell>
          <cell r="O78">
            <v>39.299999999999997</v>
          </cell>
        </row>
        <row r="79">
          <cell r="A79">
            <v>408</v>
          </cell>
          <cell r="B79">
            <v>2</v>
          </cell>
          <cell r="C79">
            <v>13.564</v>
          </cell>
          <cell r="D79">
            <v>27.1</v>
          </cell>
          <cell r="E79">
            <v>29.1</v>
          </cell>
          <cell r="F79">
            <v>28.2</v>
          </cell>
          <cell r="G79">
            <v>28.6</v>
          </cell>
          <cell r="H79">
            <v>27.3</v>
          </cell>
          <cell r="I79">
            <v>28.4</v>
          </cell>
          <cell r="J79">
            <v>27</v>
          </cell>
          <cell r="K79">
            <v>27.5</v>
          </cell>
          <cell r="L79">
            <v>30.6</v>
          </cell>
          <cell r="M79">
            <v>29.2</v>
          </cell>
          <cell r="N79">
            <v>28.8</v>
          </cell>
          <cell r="O79">
            <v>27.8</v>
          </cell>
        </row>
        <row r="80">
          <cell r="A80">
            <v>407</v>
          </cell>
          <cell r="B80">
            <v>1</v>
          </cell>
          <cell r="C80">
            <v>13.574999999999999</v>
          </cell>
          <cell r="D80">
            <v>38.1</v>
          </cell>
          <cell r="E80">
            <v>38.200000000000003</v>
          </cell>
          <cell r="F80">
            <v>36.700000000000003</v>
          </cell>
          <cell r="G80">
            <v>38.6</v>
          </cell>
          <cell r="H80">
            <v>32.9</v>
          </cell>
          <cell r="I80">
            <v>38.1</v>
          </cell>
          <cell r="J80">
            <v>34.4</v>
          </cell>
          <cell r="K80">
            <v>38.299999999999997</v>
          </cell>
          <cell r="L80">
            <v>32.700000000000003</v>
          </cell>
          <cell r="M80">
            <v>38.700000000000003</v>
          </cell>
          <cell r="N80">
            <v>35.5</v>
          </cell>
          <cell r="O80">
            <v>36.200000000000003</v>
          </cell>
        </row>
        <row r="81">
          <cell r="A81">
            <v>407</v>
          </cell>
          <cell r="B81">
            <v>2</v>
          </cell>
          <cell r="C81">
            <v>13.58</v>
          </cell>
          <cell r="D81">
            <v>29</v>
          </cell>
          <cell r="E81">
            <v>27.6</v>
          </cell>
          <cell r="F81">
            <v>28.8</v>
          </cell>
          <cell r="G81">
            <v>28.7</v>
          </cell>
          <cell r="H81">
            <v>27.8</v>
          </cell>
          <cell r="I81">
            <v>28.9</v>
          </cell>
          <cell r="J81">
            <v>29.7</v>
          </cell>
          <cell r="K81">
            <v>28.6</v>
          </cell>
          <cell r="L81">
            <v>27.5</v>
          </cell>
          <cell r="M81">
            <v>28.9</v>
          </cell>
          <cell r="N81">
            <v>29.2</v>
          </cell>
          <cell r="O81">
            <v>28.5</v>
          </cell>
        </row>
        <row r="82">
          <cell r="A82">
            <v>406</v>
          </cell>
          <cell r="B82">
            <v>1</v>
          </cell>
          <cell r="C82">
            <v>13.596</v>
          </cell>
          <cell r="D82">
            <v>57.6</v>
          </cell>
          <cell r="E82">
            <v>55.9</v>
          </cell>
          <cell r="F82">
            <v>50.6</v>
          </cell>
          <cell r="G82">
            <v>41.4</v>
          </cell>
          <cell r="H82">
            <v>45</v>
          </cell>
          <cell r="I82">
            <v>53.5</v>
          </cell>
          <cell r="J82">
            <v>45.4</v>
          </cell>
          <cell r="K82">
            <v>58.3</v>
          </cell>
          <cell r="L82">
            <v>39.799999999999997</v>
          </cell>
          <cell r="M82">
            <v>56.3</v>
          </cell>
          <cell r="N82">
            <v>36</v>
          </cell>
          <cell r="O82">
            <v>56.4</v>
          </cell>
        </row>
        <row r="83">
          <cell r="A83">
            <v>406</v>
          </cell>
          <cell r="B83">
            <v>2</v>
          </cell>
          <cell r="C83">
            <v>13.6</v>
          </cell>
          <cell r="D83">
            <v>30.4</v>
          </cell>
          <cell r="E83">
            <v>29.5</v>
          </cell>
          <cell r="F83">
            <v>28.6</v>
          </cell>
          <cell r="G83">
            <v>29.7</v>
          </cell>
          <cell r="H83">
            <v>29.1</v>
          </cell>
          <cell r="I83">
            <v>29</v>
          </cell>
          <cell r="J83">
            <v>28.6</v>
          </cell>
          <cell r="K83">
            <v>29.1</v>
          </cell>
          <cell r="L83">
            <v>29.7</v>
          </cell>
          <cell r="M83">
            <v>29.7</v>
          </cell>
          <cell r="N83">
            <v>28.3</v>
          </cell>
          <cell r="O83">
            <v>29.2</v>
          </cell>
        </row>
        <row r="84">
          <cell r="A84">
            <v>405</v>
          </cell>
          <cell r="B84">
            <v>1</v>
          </cell>
          <cell r="C84">
            <v>13.612</v>
          </cell>
          <cell r="D84">
            <v>51.1</v>
          </cell>
          <cell r="E84">
            <v>42.2</v>
          </cell>
          <cell r="F84">
            <v>49.1</v>
          </cell>
          <cell r="G84">
            <v>52.6</v>
          </cell>
          <cell r="H84">
            <v>35.5</v>
          </cell>
          <cell r="I84">
            <v>51.9</v>
          </cell>
          <cell r="J84">
            <v>36.700000000000003</v>
          </cell>
          <cell r="K84">
            <v>55.7</v>
          </cell>
          <cell r="L84">
            <v>36.5</v>
          </cell>
          <cell r="M84">
            <v>54.1</v>
          </cell>
          <cell r="N84">
            <v>33.9</v>
          </cell>
          <cell r="O84">
            <v>39</v>
          </cell>
        </row>
        <row r="85">
          <cell r="A85">
            <v>405</v>
          </cell>
          <cell r="B85">
            <v>2</v>
          </cell>
          <cell r="C85">
            <v>13.617000000000001</v>
          </cell>
          <cell r="D85">
            <v>29.5</v>
          </cell>
          <cell r="E85">
            <v>28.6</v>
          </cell>
          <cell r="F85">
            <v>31.5</v>
          </cell>
          <cell r="G85">
            <v>29.3</v>
          </cell>
          <cell r="H85">
            <v>30</v>
          </cell>
          <cell r="I85">
            <v>28.1</v>
          </cell>
          <cell r="J85">
            <v>27.7</v>
          </cell>
          <cell r="K85">
            <v>27.6</v>
          </cell>
          <cell r="L85">
            <v>28.5</v>
          </cell>
          <cell r="M85">
            <v>28.4</v>
          </cell>
          <cell r="N85">
            <v>29.5</v>
          </cell>
          <cell r="O85">
            <v>27.8</v>
          </cell>
        </row>
        <row r="86">
          <cell r="A86">
            <v>404</v>
          </cell>
          <cell r="B86">
            <v>1</v>
          </cell>
          <cell r="C86">
            <v>13.628</v>
          </cell>
          <cell r="D86">
            <v>57</v>
          </cell>
          <cell r="E86">
            <v>50.2</v>
          </cell>
          <cell r="F86">
            <v>43.8</v>
          </cell>
          <cell r="G86">
            <v>54.3</v>
          </cell>
          <cell r="H86">
            <v>45.6</v>
          </cell>
          <cell r="I86">
            <v>57.4</v>
          </cell>
          <cell r="J86">
            <v>49.3</v>
          </cell>
          <cell r="K86">
            <v>57.9</v>
          </cell>
          <cell r="L86">
            <v>36.799999999999997</v>
          </cell>
          <cell r="M86">
            <v>55.6</v>
          </cell>
          <cell r="N86">
            <v>39.200000000000003</v>
          </cell>
          <cell r="O86">
            <v>52.1</v>
          </cell>
        </row>
        <row r="87">
          <cell r="A87">
            <v>404</v>
          </cell>
          <cell r="B87">
            <v>2</v>
          </cell>
          <cell r="C87">
            <v>13.632999999999999</v>
          </cell>
          <cell r="D87">
            <v>29.2</v>
          </cell>
          <cell r="E87">
            <v>31</v>
          </cell>
          <cell r="F87">
            <v>29.3</v>
          </cell>
          <cell r="G87">
            <v>29.3</v>
          </cell>
          <cell r="H87">
            <v>31.2</v>
          </cell>
          <cell r="I87">
            <v>28.8</v>
          </cell>
          <cell r="J87">
            <v>30.4</v>
          </cell>
          <cell r="K87">
            <v>28.6</v>
          </cell>
          <cell r="L87">
            <v>29</v>
          </cell>
          <cell r="M87">
            <v>28.8</v>
          </cell>
          <cell r="N87">
            <v>31.9</v>
          </cell>
          <cell r="O87">
            <v>28</v>
          </cell>
        </row>
        <row r="88">
          <cell r="A88">
            <v>403</v>
          </cell>
          <cell r="B88">
            <v>1</v>
          </cell>
          <cell r="C88">
            <v>13.645</v>
          </cell>
          <cell r="D88">
            <v>54.9</v>
          </cell>
          <cell r="E88">
            <v>39.299999999999997</v>
          </cell>
          <cell r="F88">
            <v>33.5</v>
          </cell>
          <cell r="G88">
            <v>50.5</v>
          </cell>
          <cell r="H88">
            <v>33.799999999999997</v>
          </cell>
          <cell r="I88">
            <v>50.7</v>
          </cell>
          <cell r="J88">
            <v>45</v>
          </cell>
          <cell r="K88">
            <v>54.4</v>
          </cell>
          <cell r="L88">
            <v>48.2</v>
          </cell>
          <cell r="M88">
            <v>55.8</v>
          </cell>
          <cell r="N88">
            <v>41.4</v>
          </cell>
          <cell r="O88">
            <v>52.1</v>
          </cell>
        </row>
        <row r="89">
          <cell r="A89">
            <v>403</v>
          </cell>
          <cell r="B89">
            <v>2</v>
          </cell>
          <cell r="C89">
            <v>13.648999999999999</v>
          </cell>
          <cell r="D89">
            <v>28.7</v>
          </cell>
          <cell r="E89">
            <v>29.8</v>
          </cell>
          <cell r="F89">
            <v>30.7</v>
          </cell>
          <cell r="G89">
            <v>29.3</v>
          </cell>
          <cell r="H89">
            <v>30.7</v>
          </cell>
          <cell r="I89">
            <v>28.5</v>
          </cell>
          <cell r="J89">
            <v>30.5</v>
          </cell>
          <cell r="K89">
            <v>28.6</v>
          </cell>
          <cell r="L89">
            <v>28.3</v>
          </cell>
          <cell r="M89">
            <v>29.9</v>
          </cell>
          <cell r="N89">
            <v>28.6</v>
          </cell>
          <cell r="O89">
            <v>29.9</v>
          </cell>
        </row>
        <row r="90">
          <cell r="A90">
            <v>402</v>
          </cell>
          <cell r="B90">
            <v>1</v>
          </cell>
          <cell r="C90">
            <v>13.662000000000001</v>
          </cell>
          <cell r="D90">
            <v>53.6</v>
          </cell>
          <cell r="E90">
            <v>45.9</v>
          </cell>
          <cell r="F90">
            <v>48.2</v>
          </cell>
          <cell r="G90">
            <v>51.1</v>
          </cell>
          <cell r="H90">
            <v>45</v>
          </cell>
          <cell r="I90">
            <v>50.5</v>
          </cell>
          <cell r="J90">
            <v>45.4</v>
          </cell>
          <cell r="K90">
            <v>49.7</v>
          </cell>
          <cell r="L90">
            <v>43</v>
          </cell>
          <cell r="M90">
            <v>51.3</v>
          </cell>
          <cell r="N90">
            <v>40.700000000000003</v>
          </cell>
          <cell r="O90">
            <v>43.4</v>
          </cell>
        </row>
        <row r="91">
          <cell r="A91">
            <v>402</v>
          </cell>
          <cell r="B91">
            <v>2</v>
          </cell>
          <cell r="C91">
            <v>13.666</v>
          </cell>
          <cell r="D91">
            <v>30.4</v>
          </cell>
          <cell r="E91">
            <v>29.6</v>
          </cell>
          <cell r="F91">
            <v>32</v>
          </cell>
          <cell r="G91">
            <v>30.6</v>
          </cell>
          <cell r="H91">
            <v>30.1</v>
          </cell>
          <cell r="I91">
            <v>30</v>
          </cell>
          <cell r="J91">
            <v>30.8</v>
          </cell>
          <cell r="K91">
            <v>29.1</v>
          </cell>
          <cell r="L91">
            <v>29.8</v>
          </cell>
          <cell r="M91">
            <v>29.6</v>
          </cell>
          <cell r="N91">
            <v>29</v>
          </cell>
          <cell r="O91">
            <v>28.3</v>
          </cell>
        </row>
        <row r="92">
          <cell r="A92">
            <v>401</v>
          </cell>
          <cell r="B92">
            <v>1</v>
          </cell>
          <cell r="C92">
            <v>13.679</v>
          </cell>
          <cell r="D92">
            <v>36.700000000000003</v>
          </cell>
          <cell r="E92">
            <v>37.200000000000003</v>
          </cell>
          <cell r="F92">
            <v>35.4</v>
          </cell>
          <cell r="G92">
            <v>36.4</v>
          </cell>
          <cell r="H92">
            <v>36.1</v>
          </cell>
          <cell r="I92">
            <v>37</v>
          </cell>
          <cell r="J92">
            <v>36.200000000000003</v>
          </cell>
          <cell r="K92">
            <v>37.299999999999997</v>
          </cell>
          <cell r="L92">
            <v>35.6</v>
          </cell>
          <cell r="M92">
            <v>38.1</v>
          </cell>
          <cell r="N92">
            <v>32.1</v>
          </cell>
          <cell r="O92">
            <v>34.9</v>
          </cell>
        </row>
        <row r="93">
          <cell r="A93">
            <v>401</v>
          </cell>
          <cell r="B93">
            <v>2</v>
          </cell>
          <cell r="C93">
            <v>13.683999999999999</v>
          </cell>
          <cell r="D93">
            <v>30.1</v>
          </cell>
          <cell r="E93">
            <v>27.9</v>
          </cell>
          <cell r="F93">
            <v>29.2</v>
          </cell>
          <cell r="G93">
            <v>29.2</v>
          </cell>
          <cell r="H93">
            <v>28.3</v>
          </cell>
          <cell r="I93">
            <v>30.1</v>
          </cell>
          <cell r="J93">
            <v>29.6</v>
          </cell>
          <cell r="K93">
            <v>30.1</v>
          </cell>
          <cell r="L93">
            <v>30.2</v>
          </cell>
          <cell r="M93">
            <v>29.7</v>
          </cell>
          <cell r="N93">
            <v>31.5</v>
          </cell>
          <cell r="O93">
            <v>30.1</v>
          </cell>
        </row>
      </sheetData>
      <sheetData sheetId="2">
        <row r="7">
          <cell r="C7">
            <v>168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39.200000000000003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'IA167.03R'</v>
          </cell>
        </row>
        <row r="14">
          <cell r="A14">
            <v>108</v>
          </cell>
          <cell r="B14">
            <v>1</v>
          </cell>
          <cell r="C14">
            <v>12.824999999999999</v>
          </cell>
          <cell r="D14">
            <v>56.8</v>
          </cell>
          <cell r="E14">
            <v>45.9</v>
          </cell>
          <cell r="F14">
            <v>53.1</v>
          </cell>
          <cell r="G14">
            <v>40.700000000000003</v>
          </cell>
          <cell r="H14">
            <v>53.5</v>
          </cell>
          <cell r="I14">
            <v>46.2</v>
          </cell>
          <cell r="J14">
            <v>45.7</v>
          </cell>
          <cell r="K14">
            <v>39.4</v>
          </cell>
          <cell r="L14">
            <v>54.8</v>
          </cell>
          <cell r="M14">
            <v>38.6</v>
          </cell>
          <cell r="N14">
            <v>55.5</v>
          </cell>
          <cell r="O14">
            <v>35.5</v>
          </cell>
        </row>
        <row r="15">
          <cell r="A15">
            <v>108</v>
          </cell>
          <cell r="B15">
            <v>2</v>
          </cell>
          <cell r="C15">
            <v>12.83</v>
          </cell>
          <cell r="D15">
            <v>28.5</v>
          </cell>
          <cell r="E15">
            <v>26.8</v>
          </cell>
          <cell r="F15">
            <v>28.1</v>
          </cell>
          <cell r="G15">
            <v>27</v>
          </cell>
          <cell r="H15">
            <v>27.6</v>
          </cell>
          <cell r="I15">
            <v>28</v>
          </cell>
          <cell r="J15">
            <v>29.7</v>
          </cell>
          <cell r="K15">
            <v>28.7</v>
          </cell>
          <cell r="L15">
            <v>27.9</v>
          </cell>
          <cell r="M15">
            <v>27.8</v>
          </cell>
          <cell r="N15">
            <v>28.4</v>
          </cell>
          <cell r="O15">
            <v>28.1</v>
          </cell>
        </row>
        <row r="16">
          <cell r="A16">
            <v>107</v>
          </cell>
          <cell r="B16">
            <v>1</v>
          </cell>
          <cell r="C16">
            <v>12.842000000000001</v>
          </cell>
          <cell r="D16">
            <v>56.1</v>
          </cell>
          <cell r="E16">
            <v>56.1</v>
          </cell>
          <cell r="F16">
            <v>54.6</v>
          </cell>
          <cell r="G16">
            <v>42.1</v>
          </cell>
          <cell r="H16">
            <v>46.8</v>
          </cell>
          <cell r="I16">
            <v>54.8</v>
          </cell>
          <cell r="J16">
            <v>55.4</v>
          </cell>
          <cell r="K16">
            <v>38.6</v>
          </cell>
          <cell r="L16">
            <v>55.2</v>
          </cell>
          <cell r="M16">
            <v>38.799999999999997</v>
          </cell>
          <cell r="N16">
            <v>55.4</v>
          </cell>
          <cell r="O16">
            <v>37.799999999999997</v>
          </cell>
        </row>
        <row r="17">
          <cell r="A17">
            <v>107</v>
          </cell>
          <cell r="B17">
            <v>2</v>
          </cell>
          <cell r="C17">
            <v>12.847</v>
          </cell>
          <cell r="D17">
            <v>29</v>
          </cell>
          <cell r="E17">
            <v>28.5</v>
          </cell>
          <cell r="F17">
            <v>28.1</v>
          </cell>
          <cell r="G17">
            <v>27.8</v>
          </cell>
          <cell r="H17">
            <v>28.3</v>
          </cell>
          <cell r="I17">
            <v>29.8</v>
          </cell>
          <cell r="J17">
            <v>29.2</v>
          </cell>
          <cell r="K17">
            <v>28.6</v>
          </cell>
          <cell r="L17">
            <v>29</v>
          </cell>
          <cell r="M17">
            <v>27.5</v>
          </cell>
          <cell r="N17">
            <v>28.7</v>
          </cell>
          <cell r="O17">
            <v>29.7</v>
          </cell>
        </row>
        <row r="18">
          <cell r="A18">
            <v>106</v>
          </cell>
          <cell r="B18">
            <v>1</v>
          </cell>
          <cell r="C18">
            <v>12.86</v>
          </cell>
          <cell r="D18">
            <v>50.8</v>
          </cell>
          <cell r="E18">
            <v>37.6</v>
          </cell>
          <cell r="F18">
            <v>44.9</v>
          </cell>
          <cell r="G18">
            <v>40.200000000000003</v>
          </cell>
          <cell r="H18">
            <v>50.5</v>
          </cell>
          <cell r="I18">
            <v>41.6</v>
          </cell>
          <cell r="J18">
            <v>44.5</v>
          </cell>
          <cell r="K18">
            <v>48.2</v>
          </cell>
          <cell r="L18">
            <v>44.7</v>
          </cell>
          <cell r="M18">
            <v>44.7</v>
          </cell>
          <cell r="N18">
            <v>48</v>
          </cell>
          <cell r="O18">
            <v>42.8</v>
          </cell>
        </row>
        <row r="19">
          <cell r="A19">
            <v>106</v>
          </cell>
          <cell r="B19">
            <v>2</v>
          </cell>
          <cell r="C19">
            <v>12.865</v>
          </cell>
          <cell r="D19">
            <v>28.9</v>
          </cell>
          <cell r="E19">
            <v>28</v>
          </cell>
          <cell r="F19">
            <v>29.5</v>
          </cell>
          <cell r="G19">
            <v>28.9</v>
          </cell>
          <cell r="H19">
            <v>29</v>
          </cell>
          <cell r="I19">
            <v>30.1</v>
          </cell>
          <cell r="J19">
            <v>27.8</v>
          </cell>
          <cell r="K19">
            <v>28.6</v>
          </cell>
          <cell r="L19">
            <v>29.1</v>
          </cell>
          <cell r="M19">
            <v>28.5</v>
          </cell>
          <cell r="N19">
            <v>27.2</v>
          </cell>
          <cell r="O19">
            <v>27.5</v>
          </cell>
        </row>
        <row r="20">
          <cell r="A20">
            <v>105</v>
          </cell>
          <cell r="B20">
            <v>1</v>
          </cell>
          <cell r="C20">
            <v>12.878</v>
          </cell>
          <cell r="D20">
            <v>38.799999999999997</v>
          </cell>
          <cell r="E20">
            <v>32.5</v>
          </cell>
          <cell r="F20">
            <v>36.799999999999997</v>
          </cell>
          <cell r="G20">
            <v>32.6</v>
          </cell>
          <cell r="H20">
            <v>36.700000000000003</v>
          </cell>
          <cell r="I20">
            <v>31.7</v>
          </cell>
          <cell r="J20">
            <v>35.9</v>
          </cell>
          <cell r="K20">
            <v>30.7</v>
          </cell>
          <cell r="L20">
            <v>33.700000000000003</v>
          </cell>
          <cell r="M20">
            <v>33.5</v>
          </cell>
          <cell r="N20">
            <v>33.4</v>
          </cell>
          <cell r="O20">
            <v>33.799999999999997</v>
          </cell>
        </row>
        <row r="21">
          <cell r="A21">
            <v>105</v>
          </cell>
          <cell r="B21">
            <v>2</v>
          </cell>
          <cell r="C21">
            <v>12.882999999999999</v>
          </cell>
          <cell r="D21">
            <v>28.7</v>
          </cell>
          <cell r="E21">
            <v>27.8</v>
          </cell>
          <cell r="F21">
            <v>30</v>
          </cell>
          <cell r="G21">
            <v>29.7</v>
          </cell>
          <cell r="H21">
            <v>31.5</v>
          </cell>
          <cell r="I21">
            <v>30.5</v>
          </cell>
          <cell r="J21">
            <v>31.7</v>
          </cell>
          <cell r="K21">
            <v>30.8</v>
          </cell>
          <cell r="L21">
            <v>30</v>
          </cell>
          <cell r="M21">
            <v>29.4</v>
          </cell>
          <cell r="N21">
            <v>28.8</v>
          </cell>
          <cell r="O21">
            <v>28.9</v>
          </cell>
        </row>
        <row r="22">
          <cell r="A22">
            <v>104</v>
          </cell>
          <cell r="B22">
            <v>1</v>
          </cell>
          <cell r="C22">
            <v>12.895</v>
          </cell>
          <cell r="D22">
            <v>54.8</v>
          </cell>
          <cell r="E22">
            <v>43</v>
          </cell>
          <cell r="F22">
            <v>52.6</v>
          </cell>
          <cell r="G22">
            <v>38.5</v>
          </cell>
          <cell r="H22">
            <v>46.7</v>
          </cell>
          <cell r="I22">
            <v>45.6</v>
          </cell>
          <cell r="J22">
            <v>50.3</v>
          </cell>
          <cell r="K22">
            <v>45.4</v>
          </cell>
          <cell r="L22">
            <v>52.7</v>
          </cell>
          <cell r="M22">
            <v>40.1</v>
          </cell>
          <cell r="N22">
            <v>52.8</v>
          </cell>
          <cell r="O22">
            <v>37.1</v>
          </cell>
        </row>
        <row r="23">
          <cell r="A23">
            <v>104</v>
          </cell>
          <cell r="B23">
            <v>2</v>
          </cell>
          <cell r="C23">
            <v>12.9</v>
          </cell>
          <cell r="D23">
            <v>30.1</v>
          </cell>
          <cell r="E23">
            <v>29.1</v>
          </cell>
          <cell r="F23">
            <v>29.7</v>
          </cell>
          <cell r="G23">
            <v>29.9</v>
          </cell>
          <cell r="H23">
            <v>29.7</v>
          </cell>
          <cell r="I23">
            <v>29.7</v>
          </cell>
          <cell r="J23">
            <v>30.9</v>
          </cell>
          <cell r="K23">
            <v>29.5</v>
          </cell>
          <cell r="L23">
            <v>31.5</v>
          </cell>
          <cell r="M23">
            <v>29.7</v>
          </cell>
          <cell r="N23">
            <v>30.3</v>
          </cell>
          <cell r="O23">
            <v>30.7</v>
          </cell>
        </row>
        <row r="24">
          <cell r="A24">
            <v>103</v>
          </cell>
          <cell r="B24">
            <v>1</v>
          </cell>
          <cell r="C24">
            <v>12.911</v>
          </cell>
          <cell r="D24">
            <v>55.4</v>
          </cell>
          <cell r="E24">
            <v>41.3</v>
          </cell>
          <cell r="F24">
            <v>47.7</v>
          </cell>
          <cell r="G24">
            <v>38</v>
          </cell>
          <cell r="H24">
            <v>37.700000000000003</v>
          </cell>
          <cell r="I24">
            <v>37.299999999999997</v>
          </cell>
          <cell r="J24">
            <v>43.7</v>
          </cell>
          <cell r="K24">
            <v>38.200000000000003</v>
          </cell>
          <cell r="L24">
            <v>43.4</v>
          </cell>
          <cell r="M24">
            <v>44.3</v>
          </cell>
          <cell r="N24">
            <v>50.3</v>
          </cell>
          <cell r="O24">
            <v>34.9</v>
          </cell>
        </row>
        <row r="25">
          <cell r="A25">
            <v>103</v>
          </cell>
          <cell r="B25">
            <v>2</v>
          </cell>
          <cell r="C25">
            <v>12.917</v>
          </cell>
          <cell r="D25">
            <v>29.4</v>
          </cell>
          <cell r="E25">
            <v>30.1</v>
          </cell>
          <cell r="F25">
            <v>29</v>
          </cell>
          <cell r="G25">
            <v>28.8</v>
          </cell>
          <cell r="H25">
            <v>28.6</v>
          </cell>
          <cell r="I25">
            <v>29.4</v>
          </cell>
          <cell r="J25">
            <v>28.9</v>
          </cell>
          <cell r="K25">
            <v>28.3</v>
          </cell>
          <cell r="L25">
            <v>29.7</v>
          </cell>
          <cell r="M25">
            <v>29.8</v>
          </cell>
          <cell r="N25">
            <v>30.9</v>
          </cell>
          <cell r="O25">
            <v>29.9</v>
          </cell>
        </row>
        <row r="26">
          <cell r="A26">
            <v>102</v>
          </cell>
          <cell r="B26">
            <v>1</v>
          </cell>
          <cell r="C26">
            <v>12.928000000000001</v>
          </cell>
          <cell r="D26">
            <v>57.1</v>
          </cell>
          <cell r="E26">
            <v>54.1</v>
          </cell>
          <cell r="F26">
            <v>49.9</v>
          </cell>
          <cell r="G26">
            <v>48.3</v>
          </cell>
          <cell r="H26">
            <v>51.7</v>
          </cell>
          <cell r="I26">
            <v>52.3</v>
          </cell>
          <cell r="J26">
            <v>55</v>
          </cell>
          <cell r="K26">
            <v>52.2</v>
          </cell>
          <cell r="L26">
            <v>55.9</v>
          </cell>
          <cell r="M26">
            <v>48.1</v>
          </cell>
          <cell r="N26">
            <v>55.5</v>
          </cell>
          <cell r="O26">
            <v>39.6</v>
          </cell>
        </row>
        <row r="27">
          <cell r="A27">
            <v>102</v>
          </cell>
          <cell r="B27">
            <v>2</v>
          </cell>
          <cell r="C27">
            <v>12.933</v>
          </cell>
          <cell r="D27">
            <v>29.6</v>
          </cell>
          <cell r="E27">
            <v>30.3</v>
          </cell>
          <cell r="F27">
            <v>30.4</v>
          </cell>
          <cell r="G27">
            <v>28.4</v>
          </cell>
          <cell r="H27">
            <v>29.4</v>
          </cell>
          <cell r="I27">
            <v>29.2</v>
          </cell>
          <cell r="J27">
            <v>30.6</v>
          </cell>
          <cell r="K27">
            <v>30.4</v>
          </cell>
          <cell r="L27">
            <v>29</v>
          </cell>
          <cell r="M27">
            <v>27.8</v>
          </cell>
          <cell r="N27">
            <v>28.2</v>
          </cell>
          <cell r="O27">
            <v>29.3</v>
          </cell>
        </row>
        <row r="28">
          <cell r="A28">
            <v>101</v>
          </cell>
          <cell r="B28">
            <v>1</v>
          </cell>
          <cell r="C28">
            <v>12.944000000000001</v>
          </cell>
          <cell r="D28">
            <v>58.8</v>
          </cell>
          <cell r="E28">
            <v>45.2</v>
          </cell>
          <cell r="F28">
            <v>56.1</v>
          </cell>
          <cell r="G28">
            <v>42.6</v>
          </cell>
          <cell r="H28">
            <v>49.3</v>
          </cell>
          <cell r="I28">
            <v>52.4</v>
          </cell>
          <cell r="J28">
            <v>54.8</v>
          </cell>
          <cell r="K28">
            <v>57</v>
          </cell>
          <cell r="L28">
            <v>56.8</v>
          </cell>
          <cell r="M28">
            <v>57.9</v>
          </cell>
          <cell r="N28">
            <v>57.5</v>
          </cell>
          <cell r="O28">
            <v>53.9</v>
          </cell>
        </row>
        <row r="29">
          <cell r="A29">
            <v>101</v>
          </cell>
          <cell r="B29">
            <v>2</v>
          </cell>
          <cell r="C29">
            <v>12.949</v>
          </cell>
          <cell r="D29">
            <v>29</v>
          </cell>
          <cell r="E29">
            <v>28.6</v>
          </cell>
          <cell r="F29">
            <v>30.8</v>
          </cell>
          <cell r="G29">
            <v>28.5</v>
          </cell>
          <cell r="H29">
            <v>28.9</v>
          </cell>
          <cell r="I29">
            <v>28.1</v>
          </cell>
          <cell r="J29">
            <v>29.4</v>
          </cell>
          <cell r="K29">
            <v>30</v>
          </cell>
          <cell r="L29">
            <v>29.3</v>
          </cell>
          <cell r="M29">
            <v>30.6</v>
          </cell>
          <cell r="N29">
            <v>29.1</v>
          </cell>
          <cell r="O29">
            <v>28.1</v>
          </cell>
        </row>
        <row r="30">
          <cell r="A30">
            <v>201</v>
          </cell>
          <cell r="B30">
            <v>1</v>
          </cell>
          <cell r="C30">
            <v>12.967000000000001</v>
          </cell>
          <cell r="D30">
            <v>39.6</v>
          </cell>
          <cell r="E30">
            <v>34.200000000000003</v>
          </cell>
          <cell r="F30">
            <v>35.299999999999997</v>
          </cell>
          <cell r="G30">
            <v>33.1</v>
          </cell>
          <cell r="H30">
            <v>31.7</v>
          </cell>
          <cell r="I30">
            <v>33.200000000000003</v>
          </cell>
          <cell r="J30">
            <v>35.799999999999997</v>
          </cell>
          <cell r="K30">
            <v>36.299999999999997</v>
          </cell>
          <cell r="L30">
            <v>35.200000000000003</v>
          </cell>
          <cell r="M30">
            <v>31.7</v>
          </cell>
          <cell r="N30">
            <v>36</v>
          </cell>
          <cell r="O30">
            <v>31</v>
          </cell>
        </row>
        <row r="31">
          <cell r="A31">
            <v>201</v>
          </cell>
          <cell r="B31">
            <v>2</v>
          </cell>
          <cell r="C31">
            <v>12.972</v>
          </cell>
          <cell r="D31">
            <v>28.7</v>
          </cell>
          <cell r="E31">
            <v>27.7</v>
          </cell>
          <cell r="F31">
            <v>27.5</v>
          </cell>
          <cell r="G31">
            <v>28.7</v>
          </cell>
          <cell r="H31">
            <v>28.7</v>
          </cell>
          <cell r="I31">
            <v>29.8</v>
          </cell>
          <cell r="J31">
            <v>28.7</v>
          </cell>
          <cell r="K31">
            <v>29.2</v>
          </cell>
          <cell r="L31">
            <v>29.8</v>
          </cell>
          <cell r="M31">
            <v>28.3</v>
          </cell>
          <cell r="N31">
            <v>29.3</v>
          </cell>
          <cell r="O31">
            <v>29.9</v>
          </cell>
        </row>
        <row r="32">
          <cell r="A32">
            <v>202</v>
          </cell>
          <cell r="B32">
            <v>1</v>
          </cell>
          <cell r="C32">
            <v>12.981</v>
          </cell>
          <cell r="D32">
            <v>46.3</v>
          </cell>
          <cell r="E32">
            <v>48.1</v>
          </cell>
          <cell r="F32">
            <v>52.5</v>
          </cell>
          <cell r="G32">
            <v>45.2</v>
          </cell>
          <cell r="H32">
            <v>53.6</v>
          </cell>
          <cell r="I32">
            <v>43.7</v>
          </cell>
          <cell r="J32">
            <v>53.5</v>
          </cell>
          <cell r="K32">
            <v>53.3</v>
          </cell>
          <cell r="L32">
            <v>54.6</v>
          </cell>
          <cell r="M32">
            <v>43.2</v>
          </cell>
          <cell r="N32">
            <v>51.9</v>
          </cell>
          <cell r="O32">
            <v>37.700000000000003</v>
          </cell>
        </row>
        <row r="33">
          <cell r="A33">
            <v>202</v>
          </cell>
          <cell r="B33">
            <v>2</v>
          </cell>
          <cell r="C33">
            <v>12.986000000000001</v>
          </cell>
          <cell r="D33">
            <v>28.1</v>
          </cell>
          <cell r="E33">
            <v>28.7</v>
          </cell>
          <cell r="F33">
            <v>29.2</v>
          </cell>
          <cell r="G33">
            <v>29.5</v>
          </cell>
          <cell r="H33">
            <v>29.8</v>
          </cell>
          <cell r="I33">
            <v>29.9</v>
          </cell>
          <cell r="J33">
            <v>28</v>
          </cell>
          <cell r="K33">
            <v>28.3</v>
          </cell>
          <cell r="L33">
            <v>28.9</v>
          </cell>
          <cell r="M33">
            <v>29.2</v>
          </cell>
          <cell r="N33">
            <v>27.5</v>
          </cell>
          <cell r="O33">
            <v>29</v>
          </cell>
        </row>
        <row r="34">
          <cell r="A34">
            <v>203</v>
          </cell>
          <cell r="B34">
            <v>1</v>
          </cell>
          <cell r="C34">
            <v>12.997999999999999</v>
          </cell>
          <cell r="D34">
            <v>42.9</v>
          </cell>
          <cell r="E34">
            <v>55.9</v>
          </cell>
          <cell r="F34">
            <v>54.3</v>
          </cell>
          <cell r="G34">
            <v>38.9</v>
          </cell>
          <cell r="H34">
            <v>51.8</v>
          </cell>
          <cell r="I34">
            <v>41</v>
          </cell>
          <cell r="J34">
            <v>55.5</v>
          </cell>
          <cell r="K34">
            <v>57.6</v>
          </cell>
          <cell r="L34">
            <v>56.8</v>
          </cell>
          <cell r="M34">
            <v>35.9</v>
          </cell>
          <cell r="N34">
            <v>55.3</v>
          </cell>
          <cell r="O34">
            <v>41</v>
          </cell>
        </row>
        <row r="35">
          <cell r="A35">
            <v>203</v>
          </cell>
          <cell r="B35">
            <v>2</v>
          </cell>
          <cell r="C35">
            <v>13.003</v>
          </cell>
          <cell r="D35">
            <v>28.8</v>
          </cell>
          <cell r="E35">
            <v>29.4</v>
          </cell>
          <cell r="F35">
            <v>28.9</v>
          </cell>
          <cell r="G35">
            <v>29</v>
          </cell>
          <cell r="H35">
            <v>29.2</v>
          </cell>
          <cell r="I35">
            <v>29.9</v>
          </cell>
          <cell r="J35">
            <v>29.3</v>
          </cell>
          <cell r="K35">
            <v>28.3</v>
          </cell>
          <cell r="L35">
            <v>29.7</v>
          </cell>
          <cell r="M35">
            <v>30.4</v>
          </cell>
          <cell r="N35">
            <v>29.5</v>
          </cell>
          <cell r="O35">
            <v>28</v>
          </cell>
        </row>
        <row r="36">
          <cell r="A36">
            <v>204</v>
          </cell>
          <cell r="B36">
            <v>1</v>
          </cell>
          <cell r="C36">
            <v>13.013999999999999</v>
          </cell>
          <cell r="D36">
            <v>35.4</v>
          </cell>
          <cell r="E36">
            <v>32.799999999999997</v>
          </cell>
          <cell r="F36">
            <v>36.9</v>
          </cell>
          <cell r="G36">
            <v>32.200000000000003</v>
          </cell>
          <cell r="H36">
            <v>39.1</v>
          </cell>
          <cell r="I36">
            <v>32.9</v>
          </cell>
          <cell r="J36">
            <v>39.200000000000003</v>
          </cell>
          <cell r="K36">
            <v>29.3</v>
          </cell>
          <cell r="L36">
            <v>37.6</v>
          </cell>
          <cell r="M36">
            <v>30.4</v>
          </cell>
          <cell r="N36">
            <v>37.5</v>
          </cell>
          <cell r="O36">
            <v>29.5</v>
          </cell>
        </row>
        <row r="37">
          <cell r="A37">
            <v>204</v>
          </cell>
          <cell r="B37">
            <v>2</v>
          </cell>
          <cell r="C37">
            <v>13.019</v>
          </cell>
          <cell r="D37">
            <v>26.1</v>
          </cell>
          <cell r="E37">
            <v>28</v>
          </cell>
          <cell r="F37">
            <v>26.6</v>
          </cell>
          <cell r="G37">
            <v>27.4</v>
          </cell>
          <cell r="H37">
            <v>27.5</v>
          </cell>
          <cell r="I37">
            <v>26.1</v>
          </cell>
          <cell r="J37">
            <v>27.9</v>
          </cell>
          <cell r="K37">
            <v>28.4</v>
          </cell>
          <cell r="L37">
            <v>29.2</v>
          </cell>
          <cell r="M37">
            <v>28.3</v>
          </cell>
          <cell r="N37">
            <v>28.6</v>
          </cell>
          <cell r="O37">
            <v>27.2</v>
          </cell>
        </row>
        <row r="38">
          <cell r="A38">
            <v>205</v>
          </cell>
          <cell r="B38">
            <v>1</v>
          </cell>
          <cell r="C38">
            <v>13.03</v>
          </cell>
          <cell r="D38">
            <v>55.3</v>
          </cell>
          <cell r="E38">
            <v>54.1</v>
          </cell>
          <cell r="F38">
            <v>55.6</v>
          </cell>
          <cell r="G38">
            <v>37.4</v>
          </cell>
          <cell r="H38">
            <v>54.4</v>
          </cell>
          <cell r="I38">
            <v>40.5</v>
          </cell>
          <cell r="J38">
            <v>54.6</v>
          </cell>
          <cell r="K38">
            <v>57.3</v>
          </cell>
          <cell r="L38">
            <v>56</v>
          </cell>
          <cell r="M38">
            <v>38.4</v>
          </cell>
          <cell r="N38">
            <v>54.3</v>
          </cell>
          <cell r="O38">
            <v>44.3</v>
          </cell>
        </row>
        <row r="39">
          <cell r="A39">
            <v>205</v>
          </cell>
          <cell r="B39">
            <v>2</v>
          </cell>
          <cell r="C39">
            <v>13.035</v>
          </cell>
          <cell r="D39">
            <v>29.5</v>
          </cell>
          <cell r="E39">
            <v>28.8</v>
          </cell>
          <cell r="F39">
            <v>27.6</v>
          </cell>
          <cell r="G39">
            <v>29.2</v>
          </cell>
          <cell r="H39">
            <v>28.6</v>
          </cell>
          <cell r="I39">
            <v>27.5</v>
          </cell>
          <cell r="J39">
            <v>29</v>
          </cell>
          <cell r="K39">
            <v>28.6</v>
          </cell>
          <cell r="L39">
            <v>28.7</v>
          </cell>
          <cell r="M39">
            <v>27.9</v>
          </cell>
          <cell r="N39">
            <v>27.7</v>
          </cell>
          <cell r="O39">
            <v>28.6</v>
          </cell>
        </row>
        <row r="40">
          <cell r="A40">
            <v>206</v>
          </cell>
          <cell r="B40">
            <v>1</v>
          </cell>
          <cell r="C40">
            <v>13.045999999999999</v>
          </cell>
          <cell r="D40">
            <v>36.5</v>
          </cell>
          <cell r="E40">
            <v>37.9</v>
          </cell>
          <cell r="F40">
            <v>36.4</v>
          </cell>
          <cell r="G40">
            <v>36.700000000000003</v>
          </cell>
          <cell r="H40">
            <v>38.200000000000003</v>
          </cell>
          <cell r="I40">
            <v>35</v>
          </cell>
          <cell r="J40">
            <v>38.299999999999997</v>
          </cell>
          <cell r="K40">
            <v>32.9</v>
          </cell>
          <cell r="L40">
            <v>37.6</v>
          </cell>
          <cell r="M40">
            <v>35.5</v>
          </cell>
          <cell r="N40">
            <v>37.1</v>
          </cell>
          <cell r="O40">
            <v>34</v>
          </cell>
        </row>
        <row r="41">
          <cell r="A41">
            <v>206</v>
          </cell>
          <cell r="B41">
            <v>2</v>
          </cell>
          <cell r="C41">
            <v>13.051</v>
          </cell>
          <cell r="D41">
            <v>26.7</v>
          </cell>
          <cell r="E41">
            <v>25.8</v>
          </cell>
          <cell r="F41">
            <v>28.1</v>
          </cell>
          <cell r="G41">
            <v>27.1</v>
          </cell>
          <cell r="H41">
            <v>27.2</v>
          </cell>
          <cell r="I41">
            <v>26.6</v>
          </cell>
          <cell r="J41">
            <v>28.3</v>
          </cell>
          <cell r="K41">
            <v>26.6</v>
          </cell>
          <cell r="L41">
            <v>26.9</v>
          </cell>
          <cell r="M41">
            <v>28</v>
          </cell>
          <cell r="N41">
            <v>27.4</v>
          </cell>
          <cell r="O41">
            <v>28.1</v>
          </cell>
        </row>
        <row r="42">
          <cell r="A42">
            <v>207</v>
          </cell>
          <cell r="B42">
            <v>1</v>
          </cell>
          <cell r="C42">
            <v>13.063000000000001</v>
          </cell>
          <cell r="D42">
            <v>48.4</v>
          </cell>
          <cell r="E42">
            <v>45</v>
          </cell>
          <cell r="F42">
            <v>54.8</v>
          </cell>
          <cell r="G42">
            <v>33.9</v>
          </cell>
          <cell r="H42">
            <v>53.7</v>
          </cell>
          <cell r="I42">
            <v>35.9</v>
          </cell>
          <cell r="J42">
            <v>54</v>
          </cell>
          <cell r="K42">
            <v>33.4</v>
          </cell>
          <cell r="L42">
            <v>53.4</v>
          </cell>
          <cell r="M42">
            <v>38.799999999999997</v>
          </cell>
          <cell r="N42">
            <v>53</v>
          </cell>
          <cell r="O42">
            <v>35.9</v>
          </cell>
        </row>
        <row r="43">
          <cell r="A43">
            <v>207</v>
          </cell>
          <cell r="B43">
            <v>2</v>
          </cell>
          <cell r="C43">
            <v>13.068</v>
          </cell>
          <cell r="D43">
            <v>27.9</v>
          </cell>
          <cell r="E43">
            <v>27.5</v>
          </cell>
          <cell r="F43">
            <v>27.2</v>
          </cell>
          <cell r="G43">
            <v>29.4</v>
          </cell>
          <cell r="H43">
            <v>28.2</v>
          </cell>
          <cell r="I43">
            <v>28</v>
          </cell>
          <cell r="J43">
            <v>27.5</v>
          </cell>
          <cell r="K43">
            <v>27.7</v>
          </cell>
          <cell r="L43">
            <v>28.1</v>
          </cell>
          <cell r="M43">
            <v>27.1</v>
          </cell>
          <cell r="N43">
            <v>28.4</v>
          </cell>
          <cell r="O43">
            <v>26.9</v>
          </cell>
        </row>
        <row r="44">
          <cell r="A44">
            <v>208</v>
          </cell>
          <cell r="B44">
            <v>1</v>
          </cell>
          <cell r="C44">
            <v>13.08</v>
          </cell>
          <cell r="D44">
            <v>54</v>
          </cell>
          <cell r="E44">
            <v>45.5</v>
          </cell>
          <cell r="F44">
            <v>55.3</v>
          </cell>
          <cell r="G44">
            <v>43.7</v>
          </cell>
          <cell r="H44">
            <v>55.1</v>
          </cell>
          <cell r="I44">
            <v>49.2</v>
          </cell>
          <cell r="J44">
            <v>57.4</v>
          </cell>
          <cell r="K44">
            <v>45.3</v>
          </cell>
          <cell r="L44">
            <v>55.8</v>
          </cell>
          <cell r="M44">
            <v>44.9</v>
          </cell>
          <cell r="N44">
            <v>53.7</v>
          </cell>
          <cell r="O44">
            <v>42.8</v>
          </cell>
        </row>
        <row r="45">
          <cell r="A45">
            <v>208</v>
          </cell>
          <cell r="B45">
            <v>2</v>
          </cell>
          <cell r="C45">
            <v>13.085000000000001</v>
          </cell>
          <cell r="D45">
            <v>30</v>
          </cell>
          <cell r="E45">
            <v>29.4</v>
          </cell>
          <cell r="F45">
            <v>30.7</v>
          </cell>
          <cell r="G45">
            <v>28.1</v>
          </cell>
          <cell r="H45">
            <v>30.9</v>
          </cell>
          <cell r="I45">
            <v>29.5</v>
          </cell>
          <cell r="J45">
            <v>28.3</v>
          </cell>
          <cell r="K45">
            <v>27.1</v>
          </cell>
          <cell r="L45">
            <v>28.6</v>
          </cell>
          <cell r="M45">
            <v>28.9</v>
          </cell>
          <cell r="N45">
            <v>29.1</v>
          </cell>
          <cell r="O45">
            <v>28.2</v>
          </cell>
        </row>
        <row r="46">
          <cell r="A46">
            <v>908</v>
          </cell>
          <cell r="B46">
            <v>1</v>
          </cell>
          <cell r="C46">
            <v>13.101000000000001</v>
          </cell>
          <cell r="D46">
            <v>56.5</v>
          </cell>
          <cell r="E46">
            <v>43.1</v>
          </cell>
          <cell r="F46">
            <v>52.2</v>
          </cell>
          <cell r="G46">
            <v>40.1</v>
          </cell>
          <cell r="H46">
            <v>54</v>
          </cell>
          <cell r="I46">
            <v>46.5</v>
          </cell>
          <cell r="J46">
            <v>52.4</v>
          </cell>
          <cell r="K46">
            <v>43</v>
          </cell>
          <cell r="L46">
            <v>52</v>
          </cell>
          <cell r="M46">
            <v>46.6</v>
          </cell>
          <cell r="N46">
            <v>54.9</v>
          </cell>
          <cell r="O46">
            <v>35.4</v>
          </cell>
        </row>
        <row r="47">
          <cell r="A47">
            <v>908</v>
          </cell>
          <cell r="B47">
            <v>2</v>
          </cell>
          <cell r="C47">
            <v>13.106</v>
          </cell>
          <cell r="D47">
            <v>27.5</v>
          </cell>
          <cell r="E47">
            <v>26.9</v>
          </cell>
          <cell r="F47">
            <v>27.3</v>
          </cell>
          <cell r="G47">
            <v>27.7</v>
          </cell>
          <cell r="H47">
            <v>26.7</v>
          </cell>
          <cell r="I47">
            <v>28.8</v>
          </cell>
          <cell r="J47">
            <v>29.9</v>
          </cell>
          <cell r="K47">
            <v>27.6</v>
          </cell>
          <cell r="L47">
            <v>29.1</v>
          </cell>
          <cell r="M47">
            <v>27.1</v>
          </cell>
          <cell r="N47">
            <v>29</v>
          </cell>
          <cell r="O47">
            <v>27.9</v>
          </cell>
        </row>
        <row r="48">
          <cell r="A48">
            <v>907</v>
          </cell>
          <cell r="B48">
            <v>1</v>
          </cell>
          <cell r="C48">
            <v>13.117000000000001</v>
          </cell>
          <cell r="D48">
            <v>66.599999999999994</v>
          </cell>
          <cell r="E48">
            <v>66.599999999999994</v>
          </cell>
          <cell r="F48">
            <v>66.5</v>
          </cell>
          <cell r="G48">
            <v>67.5</v>
          </cell>
          <cell r="H48">
            <v>67.5</v>
          </cell>
          <cell r="I48">
            <v>67.099999999999994</v>
          </cell>
          <cell r="J48">
            <v>66.599999999999994</v>
          </cell>
          <cell r="K48">
            <v>66.599999999999994</v>
          </cell>
          <cell r="L48">
            <v>67.099999999999994</v>
          </cell>
          <cell r="M48">
            <v>67.3</v>
          </cell>
          <cell r="N48">
            <v>67.400000000000006</v>
          </cell>
          <cell r="O48">
            <v>67.3</v>
          </cell>
        </row>
        <row r="50">
          <cell r="A50">
            <v>906</v>
          </cell>
          <cell r="B50">
            <v>1</v>
          </cell>
          <cell r="C50">
            <v>13.124000000000001</v>
          </cell>
          <cell r="D50">
            <v>57.9</v>
          </cell>
          <cell r="E50">
            <v>44.9</v>
          </cell>
          <cell r="F50">
            <v>53.4</v>
          </cell>
          <cell r="G50">
            <v>42.6</v>
          </cell>
          <cell r="H50">
            <v>54.6</v>
          </cell>
          <cell r="I50">
            <v>45.4</v>
          </cell>
          <cell r="J50">
            <v>53</v>
          </cell>
          <cell r="K50">
            <v>52.6</v>
          </cell>
          <cell r="L50">
            <v>53.5</v>
          </cell>
          <cell r="M50">
            <v>52.5</v>
          </cell>
          <cell r="N50">
            <v>52.9</v>
          </cell>
          <cell r="O50">
            <v>38.200000000000003</v>
          </cell>
        </row>
        <row r="51">
          <cell r="A51">
            <v>906</v>
          </cell>
          <cell r="B51">
            <v>2</v>
          </cell>
          <cell r="C51">
            <v>13.129</v>
          </cell>
          <cell r="D51">
            <v>27.3</v>
          </cell>
          <cell r="E51">
            <v>27.6</v>
          </cell>
          <cell r="F51">
            <v>27.7</v>
          </cell>
          <cell r="G51">
            <v>30.1</v>
          </cell>
          <cell r="H51">
            <v>28.1</v>
          </cell>
          <cell r="I51">
            <v>28.6</v>
          </cell>
          <cell r="J51">
            <v>27.8</v>
          </cell>
          <cell r="K51">
            <v>27.3</v>
          </cell>
          <cell r="L51">
            <v>29.6</v>
          </cell>
          <cell r="M51">
            <v>28.7</v>
          </cell>
          <cell r="N51">
            <v>28.9</v>
          </cell>
          <cell r="O51">
            <v>26.6</v>
          </cell>
        </row>
        <row r="52">
          <cell r="A52">
            <v>905</v>
          </cell>
          <cell r="B52">
            <v>1</v>
          </cell>
          <cell r="C52">
            <v>13.138999999999999</v>
          </cell>
          <cell r="D52">
            <v>36.6</v>
          </cell>
          <cell r="E52">
            <v>37.200000000000003</v>
          </cell>
          <cell r="F52">
            <v>37.6</v>
          </cell>
          <cell r="G52">
            <v>37.6</v>
          </cell>
          <cell r="H52">
            <v>37.6</v>
          </cell>
          <cell r="I52">
            <v>37.6</v>
          </cell>
          <cell r="J52">
            <v>38.700000000000003</v>
          </cell>
          <cell r="K52">
            <v>38.299999999999997</v>
          </cell>
          <cell r="L52">
            <v>38.299999999999997</v>
          </cell>
          <cell r="M52">
            <v>37.6</v>
          </cell>
          <cell r="N52">
            <v>38.200000000000003</v>
          </cell>
          <cell r="O52">
            <v>38.200000000000003</v>
          </cell>
        </row>
        <row r="54">
          <cell r="A54">
            <v>904</v>
          </cell>
          <cell r="B54">
            <v>1</v>
          </cell>
          <cell r="C54">
            <v>13.145</v>
          </cell>
          <cell r="D54">
            <v>59.8</v>
          </cell>
          <cell r="E54">
            <v>45</v>
          </cell>
          <cell r="F54">
            <v>50.6</v>
          </cell>
          <cell r="G54">
            <v>41.8</v>
          </cell>
          <cell r="H54">
            <v>51.2</v>
          </cell>
          <cell r="I54">
            <v>48</v>
          </cell>
          <cell r="J54">
            <v>48.2</v>
          </cell>
          <cell r="K54">
            <v>50.9</v>
          </cell>
          <cell r="L54">
            <v>53.8</v>
          </cell>
          <cell r="M54">
            <v>47.7</v>
          </cell>
          <cell r="N54">
            <v>47.7</v>
          </cell>
          <cell r="O54">
            <v>44.7</v>
          </cell>
        </row>
        <row r="55">
          <cell r="A55">
            <v>904</v>
          </cell>
          <cell r="B55">
            <v>2</v>
          </cell>
          <cell r="C55">
            <v>13.15</v>
          </cell>
          <cell r="D55">
            <v>30</v>
          </cell>
          <cell r="E55">
            <v>31.2</v>
          </cell>
          <cell r="F55">
            <v>28.7</v>
          </cell>
          <cell r="G55">
            <v>29</v>
          </cell>
          <cell r="H55">
            <v>29.6</v>
          </cell>
          <cell r="I55">
            <v>30.8</v>
          </cell>
          <cell r="J55">
            <v>29.9</v>
          </cell>
          <cell r="K55">
            <v>27.1</v>
          </cell>
          <cell r="L55">
            <v>28.3</v>
          </cell>
          <cell r="M55">
            <v>29.9</v>
          </cell>
          <cell r="N55">
            <v>28.2</v>
          </cell>
          <cell r="O55">
            <v>27.9</v>
          </cell>
        </row>
        <row r="56">
          <cell r="A56">
            <v>903</v>
          </cell>
          <cell r="B56">
            <v>1</v>
          </cell>
          <cell r="C56">
            <v>13.162000000000001</v>
          </cell>
          <cell r="D56">
            <v>67.2</v>
          </cell>
          <cell r="E56">
            <v>67.3</v>
          </cell>
          <cell r="F56">
            <v>67.3</v>
          </cell>
          <cell r="G56">
            <v>66.599999999999994</v>
          </cell>
          <cell r="H56">
            <v>67.3</v>
          </cell>
          <cell r="I56">
            <v>67.400000000000006</v>
          </cell>
          <cell r="J56">
            <v>66.900000000000006</v>
          </cell>
          <cell r="K56">
            <v>66.599999999999994</v>
          </cell>
          <cell r="L56">
            <v>67.099999999999994</v>
          </cell>
          <cell r="M56">
            <v>66.2</v>
          </cell>
          <cell r="N56">
            <v>66.5</v>
          </cell>
          <cell r="O56">
            <v>67.3</v>
          </cell>
        </row>
        <row r="58">
          <cell r="A58">
            <v>902</v>
          </cell>
          <cell r="B58">
            <v>1</v>
          </cell>
          <cell r="C58">
            <v>13.167999999999999</v>
          </cell>
          <cell r="D58">
            <v>56.6</v>
          </cell>
          <cell r="E58">
            <v>48.6</v>
          </cell>
          <cell r="F58">
            <v>51.7</v>
          </cell>
          <cell r="G58">
            <v>47</v>
          </cell>
          <cell r="H58">
            <v>54.1</v>
          </cell>
          <cell r="I58">
            <v>48.8</v>
          </cell>
          <cell r="J58">
            <v>54.3</v>
          </cell>
          <cell r="K58">
            <v>49.4</v>
          </cell>
          <cell r="L58">
            <v>47.3</v>
          </cell>
          <cell r="M58">
            <v>52.7</v>
          </cell>
          <cell r="N58">
            <v>52.8</v>
          </cell>
          <cell r="O58">
            <v>37.4</v>
          </cell>
        </row>
        <row r="59">
          <cell r="A59">
            <v>902</v>
          </cell>
          <cell r="B59">
            <v>2</v>
          </cell>
          <cell r="C59">
            <v>13.173</v>
          </cell>
          <cell r="D59">
            <v>29.6</v>
          </cell>
          <cell r="E59">
            <v>30.3</v>
          </cell>
          <cell r="F59">
            <v>29.5</v>
          </cell>
          <cell r="G59">
            <v>26.9</v>
          </cell>
          <cell r="H59">
            <v>30.6</v>
          </cell>
          <cell r="I59">
            <v>28.1</v>
          </cell>
          <cell r="J59">
            <v>30</v>
          </cell>
          <cell r="K59">
            <v>26.6</v>
          </cell>
          <cell r="L59">
            <v>27.8</v>
          </cell>
          <cell r="M59">
            <v>28.4</v>
          </cell>
          <cell r="N59">
            <v>28.6</v>
          </cell>
          <cell r="O59">
            <v>28.2</v>
          </cell>
        </row>
        <row r="60">
          <cell r="A60">
            <v>901</v>
          </cell>
          <cell r="B60">
            <v>1</v>
          </cell>
          <cell r="C60">
            <v>13.183</v>
          </cell>
          <cell r="D60">
            <v>35.700000000000003</v>
          </cell>
          <cell r="E60">
            <v>36.700000000000003</v>
          </cell>
          <cell r="F60">
            <v>36.700000000000003</v>
          </cell>
          <cell r="G60">
            <v>36.700000000000003</v>
          </cell>
          <cell r="H60">
            <v>37.5</v>
          </cell>
          <cell r="I60">
            <v>37.4</v>
          </cell>
          <cell r="J60">
            <v>36.700000000000003</v>
          </cell>
          <cell r="K60">
            <v>36.9</v>
          </cell>
          <cell r="L60">
            <v>36.799999999999997</v>
          </cell>
          <cell r="M60">
            <v>37.1</v>
          </cell>
          <cell r="N60">
            <v>37.6</v>
          </cell>
          <cell r="O60">
            <v>37.799999999999997</v>
          </cell>
        </row>
        <row r="62">
          <cell r="A62">
            <v>301</v>
          </cell>
          <cell r="B62">
            <v>1</v>
          </cell>
          <cell r="C62">
            <v>13.196</v>
          </cell>
          <cell r="D62">
            <v>50.5</v>
          </cell>
          <cell r="E62">
            <v>38.9</v>
          </cell>
          <cell r="F62">
            <v>40.4</v>
          </cell>
          <cell r="G62">
            <v>45.4</v>
          </cell>
          <cell r="H62">
            <v>48.4</v>
          </cell>
          <cell r="I62">
            <v>36.6</v>
          </cell>
          <cell r="J62">
            <v>42.7</v>
          </cell>
          <cell r="K62">
            <v>47.7</v>
          </cell>
          <cell r="L62">
            <v>34.9</v>
          </cell>
          <cell r="M62">
            <v>49</v>
          </cell>
          <cell r="N62">
            <v>38.700000000000003</v>
          </cell>
          <cell r="O62">
            <v>44.6</v>
          </cell>
        </row>
        <row r="63">
          <cell r="A63">
            <v>301</v>
          </cell>
          <cell r="B63">
            <v>2</v>
          </cell>
          <cell r="C63">
            <v>13.202</v>
          </cell>
          <cell r="D63">
            <v>28.4</v>
          </cell>
          <cell r="E63">
            <v>27.8</v>
          </cell>
          <cell r="F63">
            <v>28</v>
          </cell>
          <cell r="G63">
            <v>28.3</v>
          </cell>
          <cell r="H63">
            <v>27.3</v>
          </cell>
          <cell r="I63">
            <v>27</v>
          </cell>
          <cell r="J63">
            <v>29.4</v>
          </cell>
          <cell r="K63">
            <v>27.6</v>
          </cell>
          <cell r="L63">
            <v>31.6</v>
          </cell>
          <cell r="M63">
            <v>30.3</v>
          </cell>
          <cell r="N63">
            <v>27.7</v>
          </cell>
          <cell r="O63">
            <v>27.7</v>
          </cell>
        </row>
        <row r="64">
          <cell r="A64">
            <v>302</v>
          </cell>
          <cell r="B64">
            <v>1</v>
          </cell>
          <cell r="C64">
            <v>13.214</v>
          </cell>
          <cell r="D64">
            <v>48.5</v>
          </cell>
          <cell r="E64">
            <v>50.2</v>
          </cell>
          <cell r="F64">
            <v>54.2</v>
          </cell>
          <cell r="G64">
            <v>42.3</v>
          </cell>
          <cell r="H64">
            <v>55.2</v>
          </cell>
          <cell r="I64">
            <v>39.5</v>
          </cell>
          <cell r="J64">
            <v>55.6</v>
          </cell>
          <cell r="K64">
            <v>38.700000000000003</v>
          </cell>
          <cell r="L64">
            <v>55.2</v>
          </cell>
          <cell r="M64">
            <v>40.200000000000003</v>
          </cell>
          <cell r="N64">
            <v>54.3</v>
          </cell>
          <cell r="O64">
            <v>38.200000000000003</v>
          </cell>
        </row>
        <row r="65">
          <cell r="A65">
            <v>302</v>
          </cell>
          <cell r="B65">
            <v>2</v>
          </cell>
          <cell r="C65">
            <v>13.218999999999999</v>
          </cell>
          <cell r="D65">
            <v>29.1</v>
          </cell>
          <cell r="E65">
            <v>28.1</v>
          </cell>
          <cell r="F65">
            <v>29.2</v>
          </cell>
          <cell r="G65">
            <v>28.8</v>
          </cell>
          <cell r="H65">
            <v>28.9</v>
          </cell>
          <cell r="I65">
            <v>29.3</v>
          </cell>
          <cell r="J65">
            <v>30.9</v>
          </cell>
          <cell r="K65">
            <v>27.6</v>
          </cell>
          <cell r="L65">
            <v>28.8</v>
          </cell>
          <cell r="M65">
            <v>27.8</v>
          </cell>
          <cell r="N65">
            <v>28.9</v>
          </cell>
          <cell r="O65">
            <v>27.6</v>
          </cell>
        </row>
        <row r="66">
          <cell r="A66">
            <v>303</v>
          </cell>
          <cell r="B66">
            <v>1</v>
          </cell>
          <cell r="C66">
            <v>13.23</v>
          </cell>
          <cell r="D66">
            <v>35.9</v>
          </cell>
          <cell r="E66">
            <v>37</v>
          </cell>
          <cell r="F66">
            <v>36.799999999999997</v>
          </cell>
          <cell r="G66">
            <v>32.799999999999997</v>
          </cell>
          <cell r="H66">
            <v>37.6</v>
          </cell>
          <cell r="I66">
            <v>31.8</v>
          </cell>
          <cell r="J66">
            <v>37.200000000000003</v>
          </cell>
          <cell r="K66">
            <v>31</v>
          </cell>
          <cell r="L66">
            <v>37.9</v>
          </cell>
          <cell r="M66">
            <v>31.5</v>
          </cell>
          <cell r="N66">
            <v>37.700000000000003</v>
          </cell>
          <cell r="O66">
            <v>33.200000000000003</v>
          </cell>
        </row>
        <row r="67">
          <cell r="A67">
            <v>303</v>
          </cell>
          <cell r="B67">
            <v>2</v>
          </cell>
          <cell r="C67">
            <v>13.234999999999999</v>
          </cell>
          <cell r="D67">
            <v>28.4</v>
          </cell>
          <cell r="E67">
            <v>27.6</v>
          </cell>
          <cell r="F67">
            <v>26.6</v>
          </cell>
          <cell r="G67">
            <v>27.1</v>
          </cell>
          <cell r="H67">
            <v>27.2</v>
          </cell>
          <cell r="I67">
            <v>26.8</v>
          </cell>
          <cell r="J67">
            <v>27.3</v>
          </cell>
          <cell r="K67">
            <v>27.1</v>
          </cell>
          <cell r="L67">
            <v>28.1</v>
          </cell>
          <cell r="M67">
            <v>27</v>
          </cell>
          <cell r="N67">
            <v>28.8</v>
          </cell>
          <cell r="O67">
            <v>27.3</v>
          </cell>
        </row>
        <row r="68">
          <cell r="A68">
            <v>304</v>
          </cell>
          <cell r="B68">
            <v>1</v>
          </cell>
          <cell r="C68">
            <v>13.244999999999999</v>
          </cell>
          <cell r="D68">
            <v>51.3</v>
          </cell>
          <cell r="E68">
            <v>52.9</v>
          </cell>
          <cell r="F68">
            <v>51.3</v>
          </cell>
          <cell r="G68">
            <v>45</v>
          </cell>
          <cell r="H68">
            <v>53.3</v>
          </cell>
          <cell r="I68">
            <v>55.2</v>
          </cell>
          <cell r="J68">
            <v>55.2</v>
          </cell>
          <cell r="K68">
            <v>43.4</v>
          </cell>
          <cell r="L68">
            <v>52.5</v>
          </cell>
          <cell r="M68">
            <v>45</v>
          </cell>
          <cell r="N68">
            <v>54.8</v>
          </cell>
          <cell r="O68">
            <v>50.8</v>
          </cell>
        </row>
        <row r="69">
          <cell r="A69">
            <v>304</v>
          </cell>
          <cell r="B69">
            <v>2</v>
          </cell>
          <cell r="C69">
            <v>13.25</v>
          </cell>
          <cell r="D69">
            <v>29.8</v>
          </cell>
          <cell r="E69">
            <v>29.3</v>
          </cell>
          <cell r="F69">
            <v>28.9</v>
          </cell>
          <cell r="G69">
            <v>27.7</v>
          </cell>
          <cell r="H69">
            <v>28.7</v>
          </cell>
          <cell r="I69">
            <v>28.1</v>
          </cell>
          <cell r="J69">
            <v>28.2</v>
          </cell>
          <cell r="K69">
            <v>26.9</v>
          </cell>
          <cell r="L69">
            <v>29.4</v>
          </cell>
          <cell r="M69">
            <v>29.3</v>
          </cell>
          <cell r="N69">
            <v>28.5</v>
          </cell>
          <cell r="O69">
            <v>29.4</v>
          </cell>
        </row>
        <row r="70">
          <cell r="A70">
            <v>305</v>
          </cell>
          <cell r="B70">
            <v>1</v>
          </cell>
          <cell r="C70">
            <v>13.262</v>
          </cell>
          <cell r="D70">
            <v>36.200000000000003</v>
          </cell>
          <cell r="E70">
            <v>31.5</v>
          </cell>
          <cell r="F70">
            <v>36.4</v>
          </cell>
          <cell r="G70">
            <v>31.7</v>
          </cell>
          <cell r="H70">
            <v>33.700000000000003</v>
          </cell>
          <cell r="I70">
            <v>33.9</v>
          </cell>
          <cell r="J70">
            <v>36.6</v>
          </cell>
          <cell r="K70">
            <v>31.7</v>
          </cell>
          <cell r="L70">
            <v>36.1</v>
          </cell>
          <cell r="M70">
            <v>32.4</v>
          </cell>
          <cell r="N70">
            <v>38.5</v>
          </cell>
          <cell r="O70">
            <v>29.9</v>
          </cell>
        </row>
        <row r="71">
          <cell r="A71">
            <v>305</v>
          </cell>
          <cell r="B71">
            <v>2</v>
          </cell>
          <cell r="C71">
            <v>13.266999999999999</v>
          </cell>
          <cell r="D71">
            <v>29.6</v>
          </cell>
          <cell r="E71">
            <v>29.6</v>
          </cell>
          <cell r="F71">
            <v>29.6</v>
          </cell>
          <cell r="G71">
            <v>29.9</v>
          </cell>
          <cell r="H71">
            <v>30.1</v>
          </cell>
          <cell r="I71">
            <v>30.4</v>
          </cell>
          <cell r="J71">
            <v>29.1</v>
          </cell>
          <cell r="K71">
            <v>28.4</v>
          </cell>
          <cell r="L71">
            <v>29.1</v>
          </cell>
          <cell r="M71">
            <v>28.6</v>
          </cell>
          <cell r="N71">
            <v>28.3</v>
          </cell>
          <cell r="O71">
            <v>29.3</v>
          </cell>
        </row>
        <row r="72">
          <cell r="A72">
            <v>306</v>
          </cell>
          <cell r="B72">
            <v>1</v>
          </cell>
          <cell r="C72">
            <v>13.278</v>
          </cell>
          <cell r="D72">
            <v>50.8</v>
          </cell>
          <cell r="E72">
            <v>38</v>
          </cell>
          <cell r="F72">
            <v>49.9</v>
          </cell>
          <cell r="G72">
            <v>38.4</v>
          </cell>
          <cell r="H72">
            <v>53.9</v>
          </cell>
          <cell r="I72">
            <v>36.4</v>
          </cell>
          <cell r="J72">
            <v>51.3</v>
          </cell>
          <cell r="K72">
            <v>38.700000000000003</v>
          </cell>
          <cell r="L72">
            <v>52.5</v>
          </cell>
          <cell r="M72">
            <v>38.4</v>
          </cell>
          <cell r="N72">
            <v>52.6</v>
          </cell>
          <cell r="O72">
            <v>36.799999999999997</v>
          </cell>
        </row>
        <row r="73">
          <cell r="A73">
            <v>306</v>
          </cell>
          <cell r="B73">
            <v>2</v>
          </cell>
          <cell r="C73">
            <v>13.282999999999999</v>
          </cell>
          <cell r="D73">
            <v>28</v>
          </cell>
          <cell r="E73">
            <v>28.2</v>
          </cell>
          <cell r="F73">
            <v>27.8</v>
          </cell>
          <cell r="G73">
            <v>28.3</v>
          </cell>
          <cell r="H73">
            <v>28.3</v>
          </cell>
          <cell r="I73">
            <v>27.8</v>
          </cell>
          <cell r="J73">
            <v>27.2</v>
          </cell>
          <cell r="K73">
            <v>28.3</v>
          </cell>
          <cell r="L73">
            <v>30</v>
          </cell>
          <cell r="M73">
            <v>29</v>
          </cell>
          <cell r="N73">
            <v>28</v>
          </cell>
          <cell r="O73">
            <v>29.6</v>
          </cell>
        </row>
        <row r="74">
          <cell r="A74">
            <v>307</v>
          </cell>
          <cell r="B74">
            <v>1</v>
          </cell>
          <cell r="C74">
            <v>13.295</v>
          </cell>
          <cell r="D74">
            <v>48.5</v>
          </cell>
          <cell r="E74">
            <v>39.799999999999997</v>
          </cell>
          <cell r="F74">
            <v>52</v>
          </cell>
          <cell r="G74">
            <v>35.799999999999997</v>
          </cell>
          <cell r="H74">
            <v>52.9</v>
          </cell>
          <cell r="I74">
            <v>36.1</v>
          </cell>
          <cell r="J74">
            <v>55.1</v>
          </cell>
          <cell r="K74">
            <v>34.4</v>
          </cell>
          <cell r="L74">
            <v>53</v>
          </cell>
          <cell r="M74">
            <v>42.1</v>
          </cell>
          <cell r="N74">
            <v>46.3</v>
          </cell>
          <cell r="O74">
            <v>45.5</v>
          </cell>
        </row>
        <row r="75">
          <cell r="A75">
            <v>307</v>
          </cell>
          <cell r="B75">
            <v>2</v>
          </cell>
          <cell r="C75">
            <v>13.3</v>
          </cell>
          <cell r="D75">
            <v>29.6</v>
          </cell>
          <cell r="E75">
            <v>28.9</v>
          </cell>
          <cell r="F75">
            <v>27.9</v>
          </cell>
          <cell r="G75">
            <v>28.7</v>
          </cell>
          <cell r="H75">
            <v>28.6</v>
          </cell>
          <cell r="I75">
            <v>29.3</v>
          </cell>
          <cell r="J75">
            <v>29.2</v>
          </cell>
          <cell r="K75">
            <v>28</v>
          </cell>
          <cell r="L75">
            <v>28.6</v>
          </cell>
          <cell r="M75">
            <v>31.2</v>
          </cell>
          <cell r="N75">
            <v>28.1</v>
          </cell>
          <cell r="O75">
            <v>26.4</v>
          </cell>
        </row>
        <row r="76">
          <cell r="A76">
            <v>308</v>
          </cell>
          <cell r="B76">
            <v>1</v>
          </cell>
          <cell r="C76">
            <v>13.311999999999999</v>
          </cell>
          <cell r="D76">
            <v>41</v>
          </cell>
          <cell r="E76">
            <v>44.1</v>
          </cell>
          <cell r="F76">
            <v>45.7</v>
          </cell>
          <cell r="G76">
            <v>38.4</v>
          </cell>
          <cell r="H76">
            <v>52.3</v>
          </cell>
          <cell r="I76">
            <v>43.8</v>
          </cell>
          <cell r="J76">
            <v>55.1</v>
          </cell>
          <cell r="K76">
            <v>39.700000000000003</v>
          </cell>
          <cell r="L76">
            <v>54.8</v>
          </cell>
          <cell r="M76">
            <v>35.6</v>
          </cell>
          <cell r="N76">
            <v>53.3</v>
          </cell>
          <cell r="O76">
            <v>38.1</v>
          </cell>
        </row>
        <row r="77">
          <cell r="A77">
            <v>308</v>
          </cell>
          <cell r="B77">
            <v>2</v>
          </cell>
          <cell r="C77">
            <v>13.316000000000001</v>
          </cell>
          <cell r="D77">
            <v>28.4</v>
          </cell>
          <cell r="E77">
            <v>29.1</v>
          </cell>
          <cell r="F77">
            <v>26.8</v>
          </cell>
          <cell r="G77">
            <v>27.9</v>
          </cell>
          <cell r="H77">
            <v>28.3</v>
          </cell>
          <cell r="I77">
            <v>29</v>
          </cell>
          <cell r="J77">
            <v>29.2</v>
          </cell>
          <cell r="K77">
            <v>28.2</v>
          </cell>
          <cell r="L77">
            <v>29.7</v>
          </cell>
          <cell r="M77">
            <v>27.9</v>
          </cell>
          <cell r="N77">
            <v>29.3</v>
          </cell>
          <cell r="O77">
            <v>26.3</v>
          </cell>
        </row>
        <row r="78">
          <cell r="A78">
            <v>408</v>
          </cell>
          <cell r="B78">
            <v>1</v>
          </cell>
          <cell r="C78">
            <v>13.34</v>
          </cell>
          <cell r="D78">
            <v>45.6</v>
          </cell>
          <cell r="E78">
            <v>38</v>
          </cell>
          <cell r="F78">
            <v>41.7</v>
          </cell>
          <cell r="G78">
            <v>41.8</v>
          </cell>
          <cell r="H78">
            <v>46.2</v>
          </cell>
          <cell r="I78">
            <v>43.1</v>
          </cell>
          <cell r="J78">
            <v>47.3</v>
          </cell>
          <cell r="K78">
            <v>43.1</v>
          </cell>
          <cell r="L78">
            <v>41.5</v>
          </cell>
          <cell r="M78">
            <v>45.4</v>
          </cell>
          <cell r="N78">
            <v>43.5</v>
          </cell>
          <cell r="O78">
            <v>37.799999999999997</v>
          </cell>
        </row>
        <row r="79">
          <cell r="A79">
            <v>408</v>
          </cell>
          <cell r="B79">
            <v>2</v>
          </cell>
          <cell r="C79">
            <v>13.345000000000001</v>
          </cell>
          <cell r="D79">
            <v>27.8</v>
          </cell>
          <cell r="E79">
            <v>29.2</v>
          </cell>
          <cell r="F79">
            <v>29.6</v>
          </cell>
          <cell r="G79">
            <v>28.5</v>
          </cell>
          <cell r="H79">
            <v>29.8</v>
          </cell>
          <cell r="I79">
            <v>33.5</v>
          </cell>
          <cell r="J79">
            <v>28.4</v>
          </cell>
          <cell r="K79">
            <v>28.1</v>
          </cell>
          <cell r="L79">
            <v>28.6</v>
          </cell>
          <cell r="M79">
            <v>28.3</v>
          </cell>
          <cell r="N79">
            <v>27.7</v>
          </cell>
          <cell r="O79">
            <v>28.8</v>
          </cell>
        </row>
        <row r="80">
          <cell r="A80">
            <v>407</v>
          </cell>
          <cell r="B80">
            <v>1</v>
          </cell>
          <cell r="C80">
            <v>13.356</v>
          </cell>
          <cell r="D80">
            <v>60.2</v>
          </cell>
          <cell r="E80">
            <v>62.3</v>
          </cell>
          <cell r="F80">
            <v>58.4</v>
          </cell>
          <cell r="G80">
            <v>53.9</v>
          </cell>
          <cell r="H80">
            <v>58.4</v>
          </cell>
          <cell r="I80">
            <v>60</v>
          </cell>
          <cell r="J80">
            <v>61.4</v>
          </cell>
          <cell r="K80">
            <v>58.9</v>
          </cell>
          <cell r="L80">
            <v>59.1</v>
          </cell>
          <cell r="M80">
            <v>55.5</v>
          </cell>
          <cell r="N80">
            <v>58</v>
          </cell>
          <cell r="O80">
            <v>47.1</v>
          </cell>
        </row>
        <row r="81">
          <cell r="A81">
            <v>407</v>
          </cell>
          <cell r="B81">
            <v>2</v>
          </cell>
          <cell r="C81">
            <v>13.361000000000001</v>
          </cell>
          <cell r="D81">
            <v>29.6</v>
          </cell>
          <cell r="E81">
            <v>29.8</v>
          </cell>
          <cell r="F81">
            <v>29.8</v>
          </cell>
          <cell r="G81">
            <v>28.6</v>
          </cell>
          <cell r="H81">
            <v>29.9</v>
          </cell>
          <cell r="I81">
            <v>30</v>
          </cell>
          <cell r="J81">
            <v>29.6</v>
          </cell>
          <cell r="K81">
            <v>30.7</v>
          </cell>
          <cell r="L81">
            <v>30</v>
          </cell>
          <cell r="M81">
            <v>29.7</v>
          </cell>
          <cell r="N81">
            <v>30.1</v>
          </cell>
          <cell r="O81">
            <v>29.4</v>
          </cell>
        </row>
        <row r="82">
          <cell r="A82">
            <v>406</v>
          </cell>
          <cell r="B82">
            <v>1</v>
          </cell>
          <cell r="C82">
            <v>13.372999999999999</v>
          </cell>
          <cell r="D82">
            <v>58.1</v>
          </cell>
          <cell r="E82">
            <v>48</v>
          </cell>
          <cell r="F82">
            <v>54.4</v>
          </cell>
          <cell r="G82">
            <v>36.4</v>
          </cell>
          <cell r="H82">
            <v>52.9</v>
          </cell>
          <cell r="I82">
            <v>37.1</v>
          </cell>
          <cell r="J82">
            <v>50.1</v>
          </cell>
          <cell r="K82">
            <v>48.9</v>
          </cell>
          <cell r="L82">
            <v>50.6</v>
          </cell>
          <cell r="M82">
            <v>41.3</v>
          </cell>
          <cell r="N82">
            <v>52.1</v>
          </cell>
          <cell r="O82">
            <v>40.5</v>
          </cell>
        </row>
        <row r="83">
          <cell r="A83">
            <v>406</v>
          </cell>
          <cell r="B83">
            <v>2</v>
          </cell>
          <cell r="C83">
            <v>13.378</v>
          </cell>
          <cell r="D83">
            <v>28.9</v>
          </cell>
          <cell r="E83">
            <v>28.3</v>
          </cell>
          <cell r="F83">
            <v>28.1</v>
          </cell>
          <cell r="G83">
            <v>27.7</v>
          </cell>
          <cell r="H83">
            <v>28.8</v>
          </cell>
          <cell r="I83">
            <v>29</v>
          </cell>
          <cell r="J83">
            <v>28.6</v>
          </cell>
          <cell r="K83">
            <v>27.9</v>
          </cell>
          <cell r="L83">
            <v>28.6</v>
          </cell>
          <cell r="M83">
            <v>29.2</v>
          </cell>
          <cell r="N83">
            <v>28.8</v>
          </cell>
          <cell r="O83">
            <v>28.4</v>
          </cell>
        </row>
        <row r="84">
          <cell r="A84">
            <v>405</v>
          </cell>
          <cell r="B84">
            <v>1</v>
          </cell>
          <cell r="C84">
            <v>13.388999999999999</v>
          </cell>
          <cell r="D84">
            <v>48.5</v>
          </cell>
          <cell r="E84">
            <v>42</v>
          </cell>
          <cell r="F84">
            <v>53.1</v>
          </cell>
          <cell r="G84">
            <v>37.4</v>
          </cell>
          <cell r="H84">
            <v>53</v>
          </cell>
          <cell r="I84">
            <v>33.5</v>
          </cell>
          <cell r="J84">
            <v>51.4</v>
          </cell>
          <cell r="K84">
            <v>48.6</v>
          </cell>
          <cell r="L84">
            <v>46.8</v>
          </cell>
          <cell r="M84">
            <v>37.200000000000003</v>
          </cell>
          <cell r="N84">
            <v>39.200000000000003</v>
          </cell>
          <cell r="O84">
            <v>39.6</v>
          </cell>
        </row>
        <row r="85">
          <cell r="A85">
            <v>405</v>
          </cell>
          <cell r="B85">
            <v>2</v>
          </cell>
          <cell r="C85">
            <v>13.394</v>
          </cell>
          <cell r="D85">
            <v>30.4</v>
          </cell>
          <cell r="E85">
            <v>29.9</v>
          </cell>
          <cell r="F85">
            <v>29.7</v>
          </cell>
          <cell r="G85">
            <v>27.9</v>
          </cell>
          <cell r="H85">
            <v>28.1</v>
          </cell>
          <cell r="I85">
            <v>29.8</v>
          </cell>
          <cell r="J85">
            <v>29.5</v>
          </cell>
          <cell r="K85">
            <v>26.9</v>
          </cell>
          <cell r="L85">
            <v>29.7</v>
          </cell>
          <cell r="M85">
            <v>28.7</v>
          </cell>
          <cell r="N85">
            <v>30.1</v>
          </cell>
          <cell r="O85">
            <v>28.7</v>
          </cell>
        </row>
        <row r="86">
          <cell r="A86">
            <v>404</v>
          </cell>
          <cell r="B86">
            <v>1</v>
          </cell>
          <cell r="C86">
            <v>13.406000000000001</v>
          </cell>
          <cell r="D86">
            <v>57.7</v>
          </cell>
          <cell r="E86">
            <v>47.7</v>
          </cell>
          <cell r="F86">
            <v>53.5</v>
          </cell>
          <cell r="G86">
            <v>41</v>
          </cell>
          <cell r="H86">
            <v>49.5</v>
          </cell>
          <cell r="I86">
            <v>53.3</v>
          </cell>
          <cell r="J86">
            <v>54.9</v>
          </cell>
          <cell r="K86">
            <v>40.200000000000003</v>
          </cell>
          <cell r="L86">
            <v>52.5</v>
          </cell>
          <cell r="M86">
            <v>44.5</v>
          </cell>
          <cell r="N86">
            <v>54.2</v>
          </cell>
          <cell r="O86">
            <v>42.2</v>
          </cell>
        </row>
        <row r="87">
          <cell r="A87">
            <v>404</v>
          </cell>
          <cell r="B87">
            <v>2</v>
          </cell>
          <cell r="C87">
            <v>13.411</v>
          </cell>
          <cell r="D87">
            <v>31.2</v>
          </cell>
          <cell r="E87">
            <v>31.1</v>
          </cell>
          <cell r="F87">
            <v>28.6</v>
          </cell>
          <cell r="G87">
            <v>28.6</v>
          </cell>
          <cell r="H87">
            <v>28.9</v>
          </cell>
          <cell r="I87">
            <v>29.6</v>
          </cell>
          <cell r="J87">
            <v>29.5</v>
          </cell>
          <cell r="K87">
            <v>31.5</v>
          </cell>
          <cell r="L87">
            <v>30</v>
          </cell>
          <cell r="M87">
            <v>29.5</v>
          </cell>
          <cell r="N87">
            <v>29.5</v>
          </cell>
          <cell r="O87">
            <v>30.8</v>
          </cell>
        </row>
        <row r="88">
          <cell r="A88">
            <v>403</v>
          </cell>
          <cell r="B88">
            <v>1</v>
          </cell>
          <cell r="C88">
            <v>13.423</v>
          </cell>
          <cell r="D88">
            <v>53.6</v>
          </cell>
          <cell r="E88">
            <v>37.1</v>
          </cell>
          <cell r="F88">
            <v>49.1</v>
          </cell>
          <cell r="G88">
            <v>34.9</v>
          </cell>
          <cell r="H88">
            <v>44.3</v>
          </cell>
          <cell r="I88">
            <v>38.700000000000003</v>
          </cell>
          <cell r="J88">
            <v>47.6</v>
          </cell>
          <cell r="K88">
            <v>38.700000000000003</v>
          </cell>
          <cell r="L88">
            <v>54.9</v>
          </cell>
          <cell r="M88">
            <v>42.9</v>
          </cell>
          <cell r="N88">
            <v>48.9</v>
          </cell>
          <cell r="O88">
            <v>38.9</v>
          </cell>
        </row>
        <row r="89">
          <cell r="A89">
            <v>403</v>
          </cell>
          <cell r="B89">
            <v>2</v>
          </cell>
          <cell r="C89">
            <v>13.429</v>
          </cell>
          <cell r="D89">
            <v>28.9</v>
          </cell>
          <cell r="E89">
            <v>27.2</v>
          </cell>
          <cell r="F89">
            <v>28.7</v>
          </cell>
          <cell r="G89">
            <v>29.2</v>
          </cell>
          <cell r="H89">
            <v>28.6</v>
          </cell>
          <cell r="I89">
            <v>27.2</v>
          </cell>
          <cell r="J89">
            <v>28.7</v>
          </cell>
          <cell r="K89">
            <v>27.8</v>
          </cell>
          <cell r="L89">
            <v>28.7</v>
          </cell>
          <cell r="M89">
            <v>28</v>
          </cell>
          <cell r="N89">
            <v>30.5</v>
          </cell>
          <cell r="O89">
            <v>29.9</v>
          </cell>
        </row>
        <row r="90">
          <cell r="A90">
            <v>402</v>
          </cell>
          <cell r="B90">
            <v>1</v>
          </cell>
          <cell r="C90">
            <v>13.441000000000001</v>
          </cell>
          <cell r="D90">
            <v>45.8</v>
          </cell>
          <cell r="E90">
            <v>43.8</v>
          </cell>
          <cell r="F90">
            <v>45</v>
          </cell>
          <cell r="G90">
            <v>44.6</v>
          </cell>
          <cell r="H90">
            <v>43.8</v>
          </cell>
          <cell r="I90">
            <v>42.5</v>
          </cell>
          <cell r="J90">
            <v>41.1</v>
          </cell>
          <cell r="K90">
            <v>41</v>
          </cell>
          <cell r="L90">
            <v>39</v>
          </cell>
          <cell r="M90">
            <v>43.9</v>
          </cell>
          <cell r="N90">
            <v>39.5</v>
          </cell>
          <cell r="O90">
            <v>35</v>
          </cell>
        </row>
        <row r="91">
          <cell r="A91">
            <v>402</v>
          </cell>
          <cell r="B91">
            <v>2</v>
          </cell>
          <cell r="C91">
            <v>13.446</v>
          </cell>
          <cell r="D91">
            <v>30</v>
          </cell>
          <cell r="E91">
            <v>29.9</v>
          </cell>
          <cell r="F91">
            <v>29</v>
          </cell>
          <cell r="G91">
            <v>29.6</v>
          </cell>
          <cell r="H91">
            <v>29</v>
          </cell>
          <cell r="I91">
            <v>31.2</v>
          </cell>
          <cell r="J91">
            <v>30.8</v>
          </cell>
          <cell r="K91">
            <v>29</v>
          </cell>
          <cell r="L91">
            <v>28.6</v>
          </cell>
          <cell r="M91">
            <v>29.4</v>
          </cell>
          <cell r="N91">
            <v>28.7</v>
          </cell>
          <cell r="O91">
            <v>27.8</v>
          </cell>
        </row>
        <row r="92">
          <cell r="A92">
            <v>401</v>
          </cell>
          <cell r="B92">
            <v>1</v>
          </cell>
          <cell r="C92">
            <v>13.456</v>
          </cell>
          <cell r="D92">
            <v>58.5</v>
          </cell>
          <cell r="E92">
            <v>56.6</v>
          </cell>
          <cell r="F92">
            <v>58.5</v>
          </cell>
          <cell r="G92">
            <v>52.3</v>
          </cell>
          <cell r="H92">
            <v>59.7</v>
          </cell>
          <cell r="I92">
            <v>49.6</v>
          </cell>
          <cell r="J92">
            <v>59.4</v>
          </cell>
          <cell r="K92">
            <v>51.7</v>
          </cell>
          <cell r="L92">
            <v>59.5</v>
          </cell>
          <cell r="M92">
            <v>51.3</v>
          </cell>
          <cell r="N92">
            <v>56.1</v>
          </cell>
          <cell r="O92">
            <v>55</v>
          </cell>
        </row>
        <row r="93">
          <cell r="A93">
            <v>401</v>
          </cell>
          <cell r="B93">
            <v>2</v>
          </cell>
          <cell r="C93">
            <v>13.461</v>
          </cell>
          <cell r="D93">
            <v>30.6</v>
          </cell>
          <cell r="E93">
            <v>29.2</v>
          </cell>
          <cell r="F93">
            <v>31.2</v>
          </cell>
          <cell r="G93">
            <v>29.9</v>
          </cell>
          <cell r="H93">
            <v>33.700000000000003</v>
          </cell>
          <cell r="I93">
            <v>30.8</v>
          </cell>
          <cell r="J93">
            <v>29.7</v>
          </cell>
          <cell r="K93">
            <v>28.2</v>
          </cell>
          <cell r="L93">
            <v>32</v>
          </cell>
          <cell r="M93">
            <v>31.2</v>
          </cell>
          <cell r="N93">
            <v>30.7</v>
          </cell>
          <cell r="O93">
            <v>30.7</v>
          </cell>
        </row>
      </sheetData>
      <sheetData sheetId="2">
        <row r="7">
          <cell r="C7">
            <v>167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39.1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'IA164.03R'</v>
          </cell>
        </row>
        <row r="14">
          <cell r="A14">
            <v>108</v>
          </cell>
          <cell r="B14">
            <v>1</v>
          </cell>
          <cell r="C14">
            <v>13.087</v>
          </cell>
          <cell r="D14">
            <v>47.8</v>
          </cell>
          <cell r="E14">
            <v>45.2</v>
          </cell>
          <cell r="F14">
            <v>42.8</v>
          </cell>
          <cell r="G14">
            <v>47.3</v>
          </cell>
          <cell r="H14">
            <v>45</v>
          </cell>
          <cell r="I14">
            <v>48.4</v>
          </cell>
          <cell r="J14">
            <v>46.1</v>
          </cell>
          <cell r="K14">
            <v>47.2</v>
          </cell>
          <cell r="L14">
            <v>40.1</v>
          </cell>
          <cell r="M14">
            <v>45.2</v>
          </cell>
          <cell r="N14">
            <v>39.1</v>
          </cell>
          <cell r="O14">
            <v>43.5</v>
          </cell>
        </row>
        <row r="15">
          <cell r="A15">
            <v>108</v>
          </cell>
          <cell r="B15">
            <v>2</v>
          </cell>
          <cell r="C15">
            <v>13.090999999999999</v>
          </cell>
          <cell r="D15">
            <v>28.4</v>
          </cell>
          <cell r="E15">
            <v>28.3</v>
          </cell>
          <cell r="F15">
            <v>28.2</v>
          </cell>
          <cell r="G15">
            <v>27.5</v>
          </cell>
          <cell r="H15">
            <v>29</v>
          </cell>
          <cell r="I15">
            <v>28.1</v>
          </cell>
          <cell r="J15">
            <v>28.9</v>
          </cell>
          <cell r="K15">
            <v>28.1</v>
          </cell>
          <cell r="L15">
            <v>30.2</v>
          </cell>
          <cell r="M15">
            <v>28.3</v>
          </cell>
          <cell r="N15">
            <v>30.7</v>
          </cell>
          <cell r="O15">
            <v>31.1</v>
          </cell>
        </row>
        <row r="16">
          <cell r="A16">
            <v>107</v>
          </cell>
          <cell r="B16">
            <v>1</v>
          </cell>
          <cell r="C16">
            <v>13.103</v>
          </cell>
          <cell r="D16">
            <v>37.799999999999997</v>
          </cell>
          <cell r="E16">
            <v>44.1</v>
          </cell>
          <cell r="F16">
            <v>44</v>
          </cell>
          <cell r="G16">
            <v>41.6</v>
          </cell>
          <cell r="H16">
            <v>37.799999999999997</v>
          </cell>
          <cell r="I16">
            <v>40.5</v>
          </cell>
          <cell r="J16">
            <v>38.700000000000003</v>
          </cell>
          <cell r="K16">
            <v>39.799999999999997</v>
          </cell>
          <cell r="L16">
            <v>40</v>
          </cell>
          <cell r="M16">
            <v>40.9</v>
          </cell>
          <cell r="N16">
            <v>37.5</v>
          </cell>
          <cell r="O16">
            <v>38.6</v>
          </cell>
        </row>
        <row r="17">
          <cell r="A17">
            <v>107</v>
          </cell>
          <cell r="B17">
            <v>2</v>
          </cell>
          <cell r="C17">
            <v>13.106999999999999</v>
          </cell>
          <cell r="D17">
            <v>28.5</v>
          </cell>
          <cell r="E17">
            <v>28.2</v>
          </cell>
          <cell r="F17">
            <v>28.6</v>
          </cell>
          <cell r="G17">
            <v>30.5</v>
          </cell>
          <cell r="H17">
            <v>28.9</v>
          </cell>
          <cell r="I17">
            <v>28.5</v>
          </cell>
          <cell r="J17">
            <v>32.799999999999997</v>
          </cell>
          <cell r="K17">
            <v>29.2</v>
          </cell>
          <cell r="L17">
            <v>29.8</v>
          </cell>
          <cell r="M17">
            <v>29</v>
          </cell>
          <cell r="N17">
            <v>28.7</v>
          </cell>
          <cell r="O17">
            <v>29.3</v>
          </cell>
        </row>
        <row r="18">
          <cell r="A18">
            <v>106</v>
          </cell>
          <cell r="B18">
            <v>1</v>
          </cell>
          <cell r="C18">
            <v>13.12</v>
          </cell>
          <cell r="D18">
            <v>37.4</v>
          </cell>
          <cell r="E18">
            <v>36.799999999999997</v>
          </cell>
          <cell r="F18">
            <v>31.2</v>
          </cell>
          <cell r="G18">
            <v>36.799999999999997</v>
          </cell>
          <cell r="H18">
            <v>35.200000000000003</v>
          </cell>
          <cell r="I18">
            <v>37.6</v>
          </cell>
          <cell r="J18">
            <v>32</v>
          </cell>
          <cell r="K18">
            <v>36.9</v>
          </cell>
          <cell r="L18">
            <v>32.299999999999997</v>
          </cell>
          <cell r="M18">
            <v>36.4</v>
          </cell>
          <cell r="N18">
            <v>32.5</v>
          </cell>
          <cell r="O18">
            <v>35</v>
          </cell>
        </row>
        <row r="19">
          <cell r="A19">
            <v>106</v>
          </cell>
          <cell r="B19">
            <v>2</v>
          </cell>
          <cell r="C19">
            <v>13.124000000000001</v>
          </cell>
          <cell r="D19">
            <v>28.4</v>
          </cell>
          <cell r="E19">
            <v>28.4</v>
          </cell>
          <cell r="F19">
            <v>29.6</v>
          </cell>
          <cell r="G19">
            <v>27.3</v>
          </cell>
          <cell r="H19">
            <v>29.1</v>
          </cell>
          <cell r="I19">
            <v>28.9</v>
          </cell>
          <cell r="J19">
            <v>29.3</v>
          </cell>
          <cell r="K19">
            <v>30.9</v>
          </cell>
          <cell r="L19">
            <v>29.5</v>
          </cell>
          <cell r="M19">
            <v>28.8</v>
          </cell>
          <cell r="N19">
            <v>30.8</v>
          </cell>
          <cell r="O19">
            <v>31.4</v>
          </cell>
        </row>
        <row r="20">
          <cell r="A20">
            <v>105</v>
          </cell>
          <cell r="B20">
            <v>1</v>
          </cell>
          <cell r="C20">
            <v>13.135999999999999</v>
          </cell>
          <cell r="D20">
            <v>56.8</v>
          </cell>
          <cell r="E20">
            <v>35.5</v>
          </cell>
          <cell r="F20">
            <v>37.700000000000003</v>
          </cell>
          <cell r="G20">
            <v>45.8</v>
          </cell>
          <cell r="H20">
            <v>42.7</v>
          </cell>
          <cell r="I20">
            <v>51.5</v>
          </cell>
          <cell r="J20">
            <v>39.5</v>
          </cell>
          <cell r="K20">
            <v>53</v>
          </cell>
          <cell r="L20">
            <v>35.700000000000003</v>
          </cell>
          <cell r="M20">
            <v>54.7</v>
          </cell>
          <cell r="N20">
            <v>44.4</v>
          </cell>
          <cell r="O20">
            <v>54.2</v>
          </cell>
        </row>
        <row r="21">
          <cell r="A21">
            <v>105</v>
          </cell>
          <cell r="B21">
            <v>2</v>
          </cell>
          <cell r="C21">
            <v>13.141</v>
          </cell>
          <cell r="D21">
            <v>29.7</v>
          </cell>
          <cell r="E21">
            <v>29.9</v>
          </cell>
          <cell r="F21">
            <v>29.7</v>
          </cell>
          <cell r="G21">
            <v>30.4</v>
          </cell>
          <cell r="H21">
            <v>29.5</v>
          </cell>
          <cell r="I21">
            <v>30</v>
          </cell>
          <cell r="J21">
            <v>31.3</v>
          </cell>
          <cell r="K21">
            <v>29</v>
          </cell>
          <cell r="L21">
            <v>30.4</v>
          </cell>
          <cell r="M21">
            <v>27.6</v>
          </cell>
          <cell r="N21">
            <v>28.3</v>
          </cell>
          <cell r="O21">
            <v>28.7</v>
          </cell>
        </row>
        <row r="22">
          <cell r="A22">
            <v>104</v>
          </cell>
          <cell r="B22">
            <v>1</v>
          </cell>
          <cell r="C22">
            <v>13.154999999999999</v>
          </cell>
          <cell r="D22">
            <v>37.6</v>
          </cell>
          <cell r="E22">
            <v>36.799999999999997</v>
          </cell>
          <cell r="F22">
            <v>35.799999999999997</v>
          </cell>
          <cell r="G22">
            <v>36.1</v>
          </cell>
          <cell r="H22">
            <v>33.200000000000003</v>
          </cell>
          <cell r="I22">
            <v>38.200000000000003</v>
          </cell>
          <cell r="J22">
            <v>36</v>
          </cell>
          <cell r="K22">
            <v>37.9</v>
          </cell>
          <cell r="L22">
            <v>36.299999999999997</v>
          </cell>
          <cell r="M22">
            <v>37.1</v>
          </cell>
          <cell r="N22">
            <v>37.4</v>
          </cell>
          <cell r="O22">
            <v>36.799999999999997</v>
          </cell>
        </row>
        <row r="23">
          <cell r="A23">
            <v>104</v>
          </cell>
          <cell r="B23">
            <v>2</v>
          </cell>
          <cell r="C23">
            <v>13.159000000000001</v>
          </cell>
          <cell r="D23">
            <v>29.9</v>
          </cell>
          <cell r="E23">
            <v>28</v>
          </cell>
          <cell r="F23">
            <v>28.4</v>
          </cell>
          <cell r="G23">
            <v>28.2</v>
          </cell>
          <cell r="H23">
            <v>30.4</v>
          </cell>
          <cell r="I23">
            <v>28.4</v>
          </cell>
          <cell r="J23">
            <v>31</v>
          </cell>
          <cell r="K23">
            <v>29.9</v>
          </cell>
          <cell r="L23">
            <v>28.4</v>
          </cell>
          <cell r="M23">
            <v>29.9</v>
          </cell>
          <cell r="N23">
            <v>29.1</v>
          </cell>
          <cell r="O23">
            <v>29.8</v>
          </cell>
        </row>
        <row r="24">
          <cell r="A24">
            <v>103</v>
          </cell>
          <cell r="B24">
            <v>1</v>
          </cell>
          <cell r="C24">
            <v>13.170999999999999</v>
          </cell>
          <cell r="D24">
            <v>47.1</v>
          </cell>
          <cell r="E24">
            <v>38.9</v>
          </cell>
          <cell r="F24">
            <v>40.5</v>
          </cell>
          <cell r="G24">
            <v>42</v>
          </cell>
          <cell r="H24">
            <v>33.6</v>
          </cell>
          <cell r="I24">
            <v>43</v>
          </cell>
          <cell r="J24">
            <v>32.700000000000003</v>
          </cell>
          <cell r="K24">
            <v>47.2</v>
          </cell>
          <cell r="L24">
            <v>34</v>
          </cell>
          <cell r="M24">
            <v>44.7</v>
          </cell>
          <cell r="N24">
            <v>39.6</v>
          </cell>
          <cell r="O24">
            <v>42.4</v>
          </cell>
        </row>
        <row r="25">
          <cell r="A25">
            <v>103</v>
          </cell>
          <cell r="B25">
            <v>2</v>
          </cell>
          <cell r="C25">
            <v>13.176</v>
          </cell>
          <cell r="D25">
            <v>32.5</v>
          </cell>
          <cell r="E25">
            <v>30.8</v>
          </cell>
          <cell r="F25">
            <v>30.9</v>
          </cell>
          <cell r="G25">
            <v>32</v>
          </cell>
          <cell r="H25">
            <v>28.3</v>
          </cell>
          <cell r="I25">
            <v>27.9</v>
          </cell>
          <cell r="J25">
            <v>29.3</v>
          </cell>
          <cell r="K25">
            <v>28.6</v>
          </cell>
          <cell r="L25">
            <v>28.3</v>
          </cell>
          <cell r="M25">
            <v>29.1</v>
          </cell>
          <cell r="N25">
            <v>29.7</v>
          </cell>
          <cell r="O25">
            <v>30.9</v>
          </cell>
        </row>
        <row r="26">
          <cell r="A26">
            <v>102</v>
          </cell>
          <cell r="B26">
            <v>1</v>
          </cell>
          <cell r="C26">
            <v>13.186999999999999</v>
          </cell>
          <cell r="D26">
            <v>49</v>
          </cell>
          <cell r="E26">
            <v>47.2</v>
          </cell>
          <cell r="F26">
            <v>38.700000000000003</v>
          </cell>
          <cell r="G26">
            <v>47.9</v>
          </cell>
          <cell r="H26">
            <v>39.799999999999997</v>
          </cell>
          <cell r="I26">
            <v>45.2</v>
          </cell>
          <cell r="J26">
            <v>45.9</v>
          </cell>
          <cell r="K26">
            <v>47.5</v>
          </cell>
          <cell r="L26">
            <v>46.7</v>
          </cell>
          <cell r="M26">
            <v>47.3</v>
          </cell>
          <cell r="N26">
            <v>38.6</v>
          </cell>
          <cell r="O26">
            <v>44.1</v>
          </cell>
        </row>
        <row r="27">
          <cell r="A27">
            <v>102</v>
          </cell>
          <cell r="B27">
            <v>2</v>
          </cell>
          <cell r="C27">
            <v>13.191000000000001</v>
          </cell>
          <cell r="D27">
            <v>27.8</v>
          </cell>
          <cell r="E27">
            <v>28.9</v>
          </cell>
          <cell r="F27">
            <v>30.4</v>
          </cell>
          <cell r="G27">
            <v>30.1</v>
          </cell>
          <cell r="H27">
            <v>29.2</v>
          </cell>
          <cell r="I27">
            <v>30.1</v>
          </cell>
          <cell r="J27">
            <v>31</v>
          </cell>
          <cell r="K27">
            <v>29.6</v>
          </cell>
          <cell r="L27">
            <v>29.6</v>
          </cell>
          <cell r="M27">
            <v>29</v>
          </cell>
          <cell r="N27">
            <v>30.5</v>
          </cell>
          <cell r="O27">
            <v>28.9</v>
          </cell>
        </row>
        <row r="28">
          <cell r="A28">
            <v>101</v>
          </cell>
          <cell r="B28">
            <v>1</v>
          </cell>
          <cell r="C28">
            <v>13.202</v>
          </cell>
          <cell r="D28">
            <v>46</v>
          </cell>
          <cell r="E28">
            <v>46.8</v>
          </cell>
          <cell r="F28">
            <v>44.4</v>
          </cell>
          <cell r="G28">
            <v>47</v>
          </cell>
          <cell r="H28">
            <v>39.299999999999997</v>
          </cell>
          <cell r="I28">
            <v>47.3</v>
          </cell>
          <cell r="J28">
            <v>45.3</v>
          </cell>
          <cell r="K28">
            <v>45.7</v>
          </cell>
          <cell r="L28">
            <v>48.8</v>
          </cell>
          <cell r="M28">
            <v>47.4</v>
          </cell>
          <cell r="N28">
            <v>47.1</v>
          </cell>
          <cell r="O28">
            <v>45</v>
          </cell>
        </row>
        <row r="29">
          <cell r="A29">
            <v>101</v>
          </cell>
          <cell r="B29">
            <v>2</v>
          </cell>
          <cell r="C29">
            <v>13.207000000000001</v>
          </cell>
          <cell r="D29">
            <v>29.5</v>
          </cell>
          <cell r="E29">
            <v>28.7</v>
          </cell>
          <cell r="F29">
            <v>33.4</v>
          </cell>
          <cell r="G29">
            <v>29.3</v>
          </cell>
          <cell r="H29">
            <v>32</v>
          </cell>
          <cell r="I29">
            <v>29.4</v>
          </cell>
          <cell r="J29">
            <v>31.1</v>
          </cell>
          <cell r="K29">
            <v>32</v>
          </cell>
          <cell r="L29">
            <v>31.5</v>
          </cell>
          <cell r="M29">
            <v>30.8</v>
          </cell>
          <cell r="N29">
            <v>29.7</v>
          </cell>
          <cell r="O29">
            <v>29.8</v>
          </cell>
        </row>
        <row r="30">
          <cell r="A30">
            <v>201</v>
          </cell>
          <cell r="B30">
            <v>1</v>
          </cell>
          <cell r="C30">
            <v>13.223000000000001</v>
          </cell>
          <cell r="D30">
            <v>55.9</v>
          </cell>
          <cell r="E30">
            <v>52.1</v>
          </cell>
          <cell r="F30">
            <v>51.6</v>
          </cell>
          <cell r="G30">
            <v>39.299999999999997</v>
          </cell>
          <cell r="H30">
            <v>49.7</v>
          </cell>
          <cell r="I30">
            <v>44.1</v>
          </cell>
          <cell r="J30">
            <v>52.5</v>
          </cell>
          <cell r="K30">
            <v>45.3</v>
          </cell>
          <cell r="L30">
            <v>51.4</v>
          </cell>
          <cell r="M30">
            <v>38.4</v>
          </cell>
          <cell r="N30">
            <v>52.3</v>
          </cell>
          <cell r="O30">
            <v>37</v>
          </cell>
        </row>
        <row r="31">
          <cell r="A31">
            <v>201</v>
          </cell>
          <cell r="B31">
            <v>2</v>
          </cell>
          <cell r="C31">
            <v>13.227</v>
          </cell>
          <cell r="D31">
            <v>30.8</v>
          </cell>
          <cell r="E31">
            <v>30.2</v>
          </cell>
          <cell r="F31">
            <v>30.9</v>
          </cell>
          <cell r="G31">
            <v>30.5</v>
          </cell>
          <cell r="H31">
            <v>30.1</v>
          </cell>
          <cell r="I31">
            <v>31.2</v>
          </cell>
          <cell r="J31">
            <v>29.9</v>
          </cell>
          <cell r="K31">
            <v>30.4</v>
          </cell>
          <cell r="L31">
            <v>30.2</v>
          </cell>
          <cell r="M31">
            <v>28.6</v>
          </cell>
          <cell r="N31">
            <v>30.3</v>
          </cell>
          <cell r="O31">
            <v>31</v>
          </cell>
        </row>
        <row r="32">
          <cell r="A32">
            <v>202</v>
          </cell>
          <cell r="B32">
            <v>1</v>
          </cell>
          <cell r="C32">
            <v>13.239000000000001</v>
          </cell>
          <cell r="D32">
            <v>38.700000000000003</v>
          </cell>
          <cell r="E32">
            <v>39.200000000000003</v>
          </cell>
          <cell r="F32">
            <v>36.700000000000003</v>
          </cell>
          <cell r="G32">
            <v>37.700000000000003</v>
          </cell>
          <cell r="H32">
            <v>37.1</v>
          </cell>
          <cell r="I32">
            <v>35.799999999999997</v>
          </cell>
          <cell r="J32">
            <v>36.700000000000003</v>
          </cell>
          <cell r="K32">
            <v>39.9</v>
          </cell>
          <cell r="L32">
            <v>36.1</v>
          </cell>
          <cell r="M32">
            <v>32.6</v>
          </cell>
          <cell r="N32">
            <v>36.299999999999997</v>
          </cell>
          <cell r="O32">
            <v>31.2</v>
          </cell>
        </row>
        <row r="33">
          <cell r="A33">
            <v>202</v>
          </cell>
          <cell r="B33">
            <v>2</v>
          </cell>
          <cell r="C33">
            <v>13.243</v>
          </cell>
          <cell r="D33">
            <v>29.1</v>
          </cell>
          <cell r="E33">
            <v>28.6</v>
          </cell>
          <cell r="F33">
            <v>28.3</v>
          </cell>
          <cell r="G33">
            <v>27.1</v>
          </cell>
          <cell r="H33">
            <v>31.1</v>
          </cell>
          <cell r="I33">
            <v>30.8</v>
          </cell>
          <cell r="J33">
            <v>28.3</v>
          </cell>
          <cell r="K33">
            <v>28.4</v>
          </cell>
          <cell r="L33">
            <v>28.8</v>
          </cell>
          <cell r="M33">
            <v>29</v>
          </cell>
          <cell r="N33">
            <v>29.9</v>
          </cell>
          <cell r="O33">
            <v>33.1</v>
          </cell>
        </row>
        <row r="34">
          <cell r="A34">
            <v>203</v>
          </cell>
          <cell r="B34">
            <v>1</v>
          </cell>
          <cell r="C34">
            <v>13.254</v>
          </cell>
          <cell r="D34">
            <v>45.7</v>
          </cell>
          <cell r="E34">
            <v>47.7</v>
          </cell>
          <cell r="F34">
            <v>46.8</v>
          </cell>
          <cell r="G34">
            <v>44.2</v>
          </cell>
          <cell r="H34">
            <v>39.9</v>
          </cell>
          <cell r="I34">
            <v>45.8</v>
          </cell>
          <cell r="J34">
            <v>43.4</v>
          </cell>
          <cell r="K34">
            <v>51.8</v>
          </cell>
          <cell r="L34">
            <v>49.5</v>
          </cell>
          <cell r="M34">
            <v>40.799999999999997</v>
          </cell>
          <cell r="N34">
            <v>41</v>
          </cell>
          <cell r="O34">
            <v>43.3</v>
          </cell>
        </row>
        <row r="35">
          <cell r="A35">
            <v>203</v>
          </cell>
          <cell r="B35">
            <v>2</v>
          </cell>
          <cell r="C35">
            <v>13.259</v>
          </cell>
          <cell r="D35">
            <v>28.9</v>
          </cell>
          <cell r="E35">
            <v>28.9</v>
          </cell>
          <cell r="F35">
            <v>28.1</v>
          </cell>
          <cell r="G35">
            <v>28.8</v>
          </cell>
          <cell r="H35">
            <v>29.7</v>
          </cell>
          <cell r="I35">
            <v>29.3</v>
          </cell>
          <cell r="J35">
            <v>28.9</v>
          </cell>
          <cell r="K35">
            <v>28.5</v>
          </cell>
          <cell r="L35">
            <v>27.4</v>
          </cell>
          <cell r="M35">
            <v>29.2</v>
          </cell>
          <cell r="N35">
            <v>30.3</v>
          </cell>
          <cell r="O35">
            <v>32.4</v>
          </cell>
        </row>
        <row r="36">
          <cell r="A36">
            <v>204</v>
          </cell>
          <cell r="B36">
            <v>1</v>
          </cell>
          <cell r="C36">
            <v>13.27</v>
          </cell>
          <cell r="D36">
            <v>47.6</v>
          </cell>
          <cell r="E36">
            <v>45.4</v>
          </cell>
          <cell r="F36">
            <v>42.6</v>
          </cell>
          <cell r="G36">
            <v>49.2</v>
          </cell>
          <cell r="H36">
            <v>47.2</v>
          </cell>
          <cell r="I36">
            <v>47.8</v>
          </cell>
          <cell r="J36">
            <v>43.6</v>
          </cell>
          <cell r="K36">
            <v>47.9</v>
          </cell>
          <cell r="L36">
            <v>35.6</v>
          </cell>
          <cell r="M36">
            <v>51.2</v>
          </cell>
          <cell r="N36">
            <v>37.700000000000003</v>
          </cell>
          <cell r="O36">
            <v>48.7</v>
          </cell>
        </row>
        <row r="37">
          <cell r="A37">
            <v>204</v>
          </cell>
          <cell r="B37">
            <v>2</v>
          </cell>
          <cell r="C37">
            <v>13.273999999999999</v>
          </cell>
          <cell r="D37">
            <v>30.1</v>
          </cell>
          <cell r="E37">
            <v>26.9</v>
          </cell>
          <cell r="F37">
            <v>30.4</v>
          </cell>
          <cell r="G37">
            <v>30.1</v>
          </cell>
          <cell r="H37">
            <v>29.1</v>
          </cell>
          <cell r="I37">
            <v>29.8</v>
          </cell>
          <cell r="J37">
            <v>30.2</v>
          </cell>
          <cell r="K37">
            <v>29.3</v>
          </cell>
          <cell r="L37">
            <v>30.5</v>
          </cell>
          <cell r="M37">
            <v>29.3</v>
          </cell>
          <cell r="N37">
            <v>28.6</v>
          </cell>
          <cell r="O37">
            <v>28.8</v>
          </cell>
        </row>
        <row r="38">
          <cell r="A38">
            <v>205</v>
          </cell>
          <cell r="B38">
            <v>1</v>
          </cell>
          <cell r="C38">
            <v>13.284000000000001</v>
          </cell>
          <cell r="D38">
            <v>44.6</v>
          </cell>
          <cell r="E38">
            <v>48.2</v>
          </cell>
          <cell r="F38">
            <v>48.2</v>
          </cell>
          <cell r="G38">
            <v>45.2</v>
          </cell>
          <cell r="H38">
            <v>44.6</v>
          </cell>
          <cell r="I38">
            <v>43.2</v>
          </cell>
          <cell r="J38">
            <v>45.3</v>
          </cell>
          <cell r="K38">
            <v>46</v>
          </cell>
          <cell r="L38">
            <v>48.5</v>
          </cell>
          <cell r="M38">
            <v>44.6</v>
          </cell>
          <cell r="N38">
            <v>40</v>
          </cell>
          <cell r="O38">
            <v>44.9</v>
          </cell>
        </row>
        <row r="39">
          <cell r="A39">
            <v>205</v>
          </cell>
          <cell r="B39">
            <v>2</v>
          </cell>
          <cell r="C39">
            <v>13.289</v>
          </cell>
          <cell r="D39">
            <v>31.8</v>
          </cell>
          <cell r="E39">
            <v>30.2</v>
          </cell>
          <cell r="F39">
            <v>30.6</v>
          </cell>
          <cell r="G39">
            <v>28.1</v>
          </cell>
          <cell r="H39">
            <v>33.700000000000003</v>
          </cell>
          <cell r="I39">
            <v>28.4</v>
          </cell>
          <cell r="J39">
            <v>30.9</v>
          </cell>
          <cell r="K39">
            <v>29</v>
          </cell>
          <cell r="L39">
            <v>31.2</v>
          </cell>
          <cell r="M39">
            <v>28.2</v>
          </cell>
          <cell r="N39">
            <v>29.1</v>
          </cell>
          <cell r="O39">
            <v>29.4</v>
          </cell>
        </row>
        <row r="40">
          <cell r="A40">
            <v>206</v>
          </cell>
          <cell r="B40">
            <v>1</v>
          </cell>
          <cell r="C40">
            <v>13.3</v>
          </cell>
          <cell r="D40">
            <v>58.3</v>
          </cell>
          <cell r="E40">
            <v>56.3</v>
          </cell>
          <cell r="F40">
            <v>58</v>
          </cell>
          <cell r="G40">
            <v>57.2</v>
          </cell>
          <cell r="H40">
            <v>55.9</v>
          </cell>
          <cell r="I40">
            <v>57.3</v>
          </cell>
          <cell r="J40">
            <v>55.5</v>
          </cell>
          <cell r="K40">
            <v>53.4</v>
          </cell>
          <cell r="L40">
            <v>57.8</v>
          </cell>
          <cell r="M40">
            <v>54.2</v>
          </cell>
          <cell r="N40">
            <v>59.2</v>
          </cell>
          <cell r="O40">
            <v>57.3</v>
          </cell>
        </row>
        <row r="41">
          <cell r="A41">
            <v>206</v>
          </cell>
          <cell r="B41">
            <v>2</v>
          </cell>
          <cell r="C41">
            <v>13.304</v>
          </cell>
          <cell r="D41">
            <v>30.1</v>
          </cell>
          <cell r="E41">
            <v>31.9</v>
          </cell>
          <cell r="F41">
            <v>31.7</v>
          </cell>
          <cell r="G41">
            <v>31.6</v>
          </cell>
          <cell r="H41">
            <v>30.9</v>
          </cell>
          <cell r="I41">
            <v>30</v>
          </cell>
          <cell r="J41">
            <v>31.8</v>
          </cell>
          <cell r="K41">
            <v>29.8</v>
          </cell>
          <cell r="L41">
            <v>34.5</v>
          </cell>
          <cell r="M41">
            <v>30.1</v>
          </cell>
          <cell r="N41">
            <v>32.4</v>
          </cell>
          <cell r="O41">
            <v>30.5</v>
          </cell>
        </row>
        <row r="42">
          <cell r="A42">
            <v>207</v>
          </cell>
          <cell r="B42">
            <v>1</v>
          </cell>
          <cell r="C42">
            <v>13.316000000000001</v>
          </cell>
          <cell r="D42">
            <v>47.7</v>
          </cell>
          <cell r="E42">
            <v>48</v>
          </cell>
          <cell r="F42">
            <v>44.3</v>
          </cell>
          <cell r="G42">
            <v>45.4</v>
          </cell>
          <cell r="H42">
            <v>40.6</v>
          </cell>
          <cell r="I42">
            <v>44.8</v>
          </cell>
          <cell r="J42">
            <v>44.6</v>
          </cell>
          <cell r="K42">
            <v>42.3</v>
          </cell>
          <cell r="L42">
            <v>42.9</v>
          </cell>
          <cell r="M42">
            <v>37.1</v>
          </cell>
          <cell r="N42">
            <v>44.7</v>
          </cell>
          <cell r="O42">
            <v>34.200000000000003</v>
          </cell>
        </row>
        <row r="43">
          <cell r="A43">
            <v>207</v>
          </cell>
          <cell r="B43">
            <v>2</v>
          </cell>
          <cell r="C43">
            <v>13.32</v>
          </cell>
          <cell r="D43">
            <v>28</v>
          </cell>
          <cell r="E43">
            <v>27.9</v>
          </cell>
          <cell r="F43">
            <v>30</v>
          </cell>
          <cell r="G43">
            <v>30</v>
          </cell>
          <cell r="H43">
            <v>27.6</v>
          </cell>
          <cell r="I43">
            <v>27.4</v>
          </cell>
          <cell r="J43">
            <v>30</v>
          </cell>
          <cell r="K43">
            <v>28.4</v>
          </cell>
          <cell r="L43">
            <v>28.1</v>
          </cell>
          <cell r="M43">
            <v>28.6</v>
          </cell>
          <cell r="N43">
            <v>27.6</v>
          </cell>
          <cell r="O43">
            <v>29</v>
          </cell>
        </row>
        <row r="44">
          <cell r="A44">
            <v>208</v>
          </cell>
          <cell r="B44">
            <v>1</v>
          </cell>
          <cell r="C44">
            <v>13.331</v>
          </cell>
          <cell r="D44">
            <v>48.5</v>
          </cell>
          <cell r="E44">
            <v>45.5</v>
          </cell>
          <cell r="F44">
            <v>47.2</v>
          </cell>
          <cell r="G44">
            <v>46.1</v>
          </cell>
          <cell r="H44">
            <v>48</v>
          </cell>
          <cell r="I44">
            <v>49.4</v>
          </cell>
          <cell r="J44">
            <v>49.1</v>
          </cell>
          <cell r="K44">
            <v>50.3</v>
          </cell>
          <cell r="L44">
            <v>45.4</v>
          </cell>
          <cell r="M44">
            <v>49.4</v>
          </cell>
          <cell r="N44">
            <v>52.6</v>
          </cell>
          <cell r="O44">
            <v>48.2</v>
          </cell>
        </row>
        <row r="45">
          <cell r="A45">
            <v>208</v>
          </cell>
          <cell r="B45">
            <v>2</v>
          </cell>
          <cell r="C45">
            <v>13.335000000000001</v>
          </cell>
          <cell r="D45">
            <v>29.1</v>
          </cell>
          <cell r="E45">
            <v>29.3</v>
          </cell>
          <cell r="F45">
            <v>30.9</v>
          </cell>
          <cell r="G45">
            <v>31</v>
          </cell>
          <cell r="H45">
            <v>31.4</v>
          </cell>
          <cell r="I45">
            <v>31</v>
          </cell>
          <cell r="J45">
            <v>30.9</v>
          </cell>
          <cell r="K45">
            <v>30.1</v>
          </cell>
          <cell r="L45">
            <v>30.3</v>
          </cell>
          <cell r="M45">
            <v>32.299999999999997</v>
          </cell>
          <cell r="N45">
            <v>32</v>
          </cell>
          <cell r="O45">
            <v>31.7</v>
          </cell>
        </row>
        <row r="46">
          <cell r="A46">
            <v>908</v>
          </cell>
          <cell r="B46">
            <v>1</v>
          </cell>
          <cell r="C46">
            <v>13.348000000000001</v>
          </cell>
          <cell r="D46">
            <v>45.6</v>
          </cell>
          <cell r="E46">
            <v>41.9</v>
          </cell>
          <cell r="F46">
            <v>37.700000000000003</v>
          </cell>
          <cell r="G46">
            <v>45.2</v>
          </cell>
          <cell r="H46">
            <v>43.6</v>
          </cell>
          <cell r="I46">
            <v>46.6</v>
          </cell>
          <cell r="J46">
            <v>45.4</v>
          </cell>
          <cell r="K46">
            <v>44.4</v>
          </cell>
          <cell r="L46">
            <v>45.3</v>
          </cell>
          <cell r="M46">
            <v>46.2</v>
          </cell>
          <cell r="N46">
            <v>45.2</v>
          </cell>
          <cell r="O46">
            <v>37.4</v>
          </cell>
        </row>
        <row r="47">
          <cell r="A47">
            <v>908</v>
          </cell>
          <cell r="B47">
            <v>2</v>
          </cell>
          <cell r="C47">
            <v>13.353</v>
          </cell>
          <cell r="D47">
            <v>29.2</v>
          </cell>
          <cell r="E47">
            <v>30.1</v>
          </cell>
          <cell r="F47">
            <v>32.4</v>
          </cell>
          <cell r="G47">
            <v>29.3</v>
          </cell>
          <cell r="H47">
            <v>28.5</v>
          </cell>
          <cell r="I47">
            <v>29.1</v>
          </cell>
          <cell r="J47">
            <v>30.2</v>
          </cell>
          <cell r="K47">
            <v>27.9</v>
          </cell>
          <cell r="L47">
            <v>34.799999999999997</v>
          </cell>
          <cell r="M47">
            <v>27.7</v>
          </cell>
          <cell r="N47">
            <v>28.7</v>
          </cell>
          <cell r="O47">
            <v>29.8</v>
          </cell>
        </row>
        <row r="48">
          <cell r="A48">
            <v>907</v>
          </cell>
          <cell r="B48">
            <v>1</v>
          </cell>
          <cell r="C48">
            <v>13.364000000000001</v>
          </cell>
          <cell r="D48">
            <v>62.5</v>
          </cell>
          <cell r="E48">
            <v>62.9</v>
          </cell>
          <cell r="F48">
            <v>63</v>
          </cell>
          <cell r="G48">
            <v>63</v>
          </cell>
          <cell r="H48">
            <v>63.1</v>
          </cell>
          <cell r="I48">
            <v>63.1</v>
          </cell>
          <cell r="J48">
            <v>62.9</v>
          </cell>
          <cell r="K48">
            <v>63.3</v>
          </cell>
          <cell r="L48">
            <v>63</v>
          </cell>
          <cell r="M48">
            <v>62.6</v>
          </cell>
          <cell r="N48">
            <v>64.7</v>
          </cell>
          <cell r="O48">
            <v>64.099999999999994</v>
          </cell>
        </row>
        <row r="50">
          <cell r="A50">
            <v>906</v>
          </cell>
          <cell r="B50">
            <v>1</v>
          </cell>
          <cell r="C50">
            <v>13.372999999999999</v>
          </cell>
          <cell r="D50">
            <v>47.4</v>
          </cell>
          <cell r="E50">
            <v>44.9</v>
          </cell>
          <cell r="F50">
            <v>44.5</v>
          </cell>
          <cell r="G50">
            <v>45.9</v>
          </cell>
          <cell r="H50">
            <v>46.3</v>
          </cell>
          <cell r="I50">
            <v>50.1</v>
          </cell>
          <cell r="J50">
            <v>41.6</v>
          </cell>
          <cell r="K50">
            <v>50.5</v>
          </cell>
          <cell r="L50">
            <v>45.7</v>
          </cell>
          <cell r="M50">
            <v>47.8</v>
          </cell>
          <cell r="N50">
            <v>46.1</v>
          </cell>
          <cell r="O50">
            <v>42.1</v>
          </cell>
        </row>
        <row r="51">
          <cell r="A51">
            <v>906</v>
          </cell>
          <cell r="B51">
            <v>2</v>
          </cell>
          <cell r="C51">
            <v>13.377000000000001</v>
          </cell>
          <cell r="D51">
            <v>31.6</v>
          </cell>
          <cell r="E51">
            <v>29.9</v>
          </cell>
          <cell r="F51">
            <v>31.7</v>
          </cell>
          <cell r="G51">
            <v>32</v>
          </cell>
          <cell r="H51">
            <v>32.200000000000003</v>
          </cell>
          <cell r="I51">
            <v>33</v>
          </cell>
          <cell r="J51">
            <v>32.299999999999997</v>
          </cell>
          <cell r="K51">
            <v>31.8</v>
          </cell>
          <cell r="L51">
            <v>32.1</v>
          </cell>
          <cell r="M51">
            <v>31.1</v>
          </cell>
          <cell r="N51">
            <v>32.299999999999997</v>
          </cell>
          <cell r="O51">
            <v>31.9</v>
          </cell>
        </row>
        <row r="52">
          <cell r="A52">
            <v>905</v>
          </cell>
          <cell r="B52">
            <v>1</v>
          </cell>
          <cell r="C52">
            <v>13.388999999999999</v>
          </cell>
          <cell r="D52">
            <v>37.1</v>
          </cell>
          <cell r="E52">
            <v>36.9</v>
          </cell>
          <cell r="F52">
            <v>36.799999999999997</v>
          </cell>
          <cell r="G52">
            <v>36.6</v>
          </cell>
          <cell r="H52">
            <v>37.200000000000003</v>
          </cell>
          <cell r="I52">
            <v>37.4</v>
          </cell>
          <cell r="J52">
            <v>43.3</v>
          </cell>
          <cell r="K52">
            <v>37.799999999999997</v>
          </cell>
          <cell r="L52">
            <v>39.799999999999997</v>
          </cell>
          <cell r="M52">
            <v>39.4</v>
          </cell>
          <cell r="N52">
            <v>37.9</v>
          </cell>
          <cell r="O52">
            <v>37.4</v>
          </cell>
        </row>
        <row r="54">
          <cell r="A54">
            <v>904</v>
          </cell>
          <cell r="B54">
            <v>1</v>
          </cell>
          <cell r="C54">
            <v>13.397</v>
          </cell>
          <cell r="D54">
            <v>48.2</v>
          </cell>
          <cell r="E54">
            <v>41.6</v>
          </cell>
          <cell r="F54">
            <v>38.5</v>
          </cell>
          <cell r="G54">
            <v>42.8</v>
          </cell>
          <cell r="H54">
            <v>38.700000000000003</v>
          </cell>
          <cell r="I54">
            <v>44.7</v>
          </cell>
          <cell r="J54">
            <v>41.7</v>
          </cell>
          <cell r="K54">
            <v>46.8</v>
          </cell>
          <cell r="L54">
            <v>42.7</v>
          </cell>
          <cell r="M54">
            <v>45.7</v>
          </cell>
          <cell r="N54">
            <v>40.5</v>
          </cell>
          <cell r="O54">
            <v>47.2</v>
          </cell>
        </row>
        <row r="55">
          <cell r="A55">
            <v>904</v>
          </cell>
          <cell r="B55">
            <v>2</v>
          </cell>
          <cell r="C55">
            <v>13.401999999999999</v>
          </cell>
          <cell r="D55">
            <v>30.3</v>
          </cell>
          <cell r="E55">
            <v>31.4</v>
          </cell>
          <cell r="F55">
            <v>31.3</v>
          </cell>
          <cell r="G55">
            <v>28.1</v>
          </cell>
          <cell r="H55">
            <v>31.2</v>
          </cell>
          <cell r="I55">
            <v>29</v>
          </cell>
          <cell r="J55">
            <v>32.299999999999997</v>
          </cell>
          <cell r="K55">
            <v>30.7</v>
          </cell>
          <cell r="L55">
            <v>30</v>
          </cell>
          <cell r="M55">
            <v>29.9</v>
          </cell>
          <cell r="N55">
            <v>32.200000000000003</v>
          </cell>
          <cell r="O55">
            <v>29.6</v>
          </cell>
        </row>
        <row r="56">
          <cell r="A56">
            <v>903</v>
          </cell>
          <cell r="B56">
            <v>1</v>
          </cell>
          <cell r="C56">
            <v>13.414</v>
          </cell>
          <cell r="D56">
            <v>63.3</v>
          </cell>
          <cell r="E56">
            <v>63.6</v>
          </cell>
          <cell r="F56">
            <v>63.7</v>
          </cell>
          <cell r="G56">
            <v>63.7</v>
          </cell>
          <cell r="H56">
            <v>63.2</v>
          </cell>
          <cell r="I56">
            <v>63.4</v>
          </cell>
          <cell r="J56">
            <v>63.5</v>
          </cell>
          <cell r="K56">
            <v>63.3</v>
          </cell>
          <cell r="L56">
            <v>63.6</v>
          </cell>
          <cell r="M56">
            <v>64</v>
          </cell>
          <cell r="N56">
            <v>63.8</v>
          </cell>
          <cell r="O56">
            <v>63.8</v>
          </cell>
        </row>
        <row r="58">
          <cell r="A58">
            <v>902</v>
          </cell>
          <cell r="B58">
            <v>1</v>
          </cell>
          <cell r="C58">
            <v>13.422000000000001</v>
          </cell>
          <cell r="D58">
            <v>40.299999999999997</v>
          </cell>
          <cell r="E58">
            <v>40.9</v>
          </cell>
          <cell r="F58">
            <v>38.4</v>
          </cell>
          <cell r="G58">
            <v>43.2</v>
          </cell>
          <cell r="H58">
            <v>38.200000000000003</v>
          </cell>
          <cell r="I58">
            <v>43.6</v>
          </cell>
          <cell r="J58">
            <v>39.1</v>
          </cell>
          <cell r="K58">
            <v>46.4</v>
          </cell>
          <cell r="L58">
            <v>40.700000000000003</v>
          </cell>
          <cell r="M58">
            <v>46.7</v>
          </cell>
          <cell r="N58">
            <v>44.3</v>
          </cell>
          <cell r="O58">
            <v>42.3</v>
          </cell>
        </row>
        <row r="59">
          <cell r="A59">
            <v>902</v>
          </cell>
          <cell r="B59">
            <v>2</v>
          </cell>
          <cell r="C59">
            <v>13.426</v>
          </cell>
          <cell r="D59">
            <v>28.9</v>
          </cell>
          <cell r="E59">
            <v>28.3</v>
          </cell>
          <cell r="F59">
            <v>30.8</v>
          </cell>
          <cell r="G59">
            <v>29.1</v>
          </cell>
          <cell r="H59">
            <v>29.8</v>
          </cell>
          <cell r="I59">
            <v>29.6</v>
          </cell>
          <cell r="J59">
            <v>29.9</v>
          </cell>
          <cell r="K59">
            <v>28.4</v>
          </cell>
          <cell r="L59">
            <v>29.3</v>
          </cell>
          <cell r="M59">
            <v>28.7</v>
          </cell>
          <cell r="N59">
            <v>28.7</v>
          </cell>
          <cell r="O59">
            <v>28.9</v>
          </cell>
        </row>
        <row r="60">
          <cell r="A60">
            <v>901</v>
          </cell>
          <cell r="B60">
            <v>1</v>
          </cell>
          <cell r="C60">
            <v>13.438000000000001</v>
          </cell>
          <cell r="D60">
            <v>37</v>
          </cell>
          <cell r="E60">
            <v>34.5</v>
          </cell>
          <cell r="F60">
            <v>34.6</v>
          </cell>
          <cell r="G60">
            <v>34.9</v>
          </cell>
          <cell r="H60">
            <v>34.4</v>
          </cell>
          <cell r="I60">
            <v>34.6</v>
          </cell>
          <cell r="J60">
            <v>35</v>
          </cell>
          <cell r="K60">
            <v>35.1</v>
          </cell>
          <cell r="L60">
            <v>34.700000000000003</v>
          </cell>
          <cell r="M60">
            <v>34.799999999999997</v>
          </cell>
          <cell r="N60">
            <v>35</v>
          </cell>
          <cell r="O60">
            <v>35.299999999999997</v>
          </cell>
        </row>
        <row r="62">
          <cell r="A62">
            <v>301</v>
          </cell>
          <cell r="B62">
            <v>1</v>
          </cell>
          <cell r="C62">
            <v>13.449</v>
          </cell>
          <cell r="D62">
            <v>35.200000000000003</v>
          </cell>
          <cell r="E62">
            <v>35.700000000000003</v>
          </cell>
          <cell r="F62">
            <v>35.1</v>
          </cell>
          <cell r="G62">
            <v>35.200000000000003</v>
          </cell>
          <cell r="H62">
            <v>32.700000000000003</v>
          </cell>
          <cell r="I62">
            <v>35.6</v>
          </cell>
          <cell r="J62">
            <v>32.299999999999997</v>
          </cell>
          <cell r="K62">
            <v>35.700000000000003</v>
          </cell>
          <cell r="L62">
            <v>32.700000000000003</v>
          </cell>
          <cell r="M62">
            <v>35.6</v>
          </cell>
          <cell r="N62">
            <v>33.4</v>
          </cell>
          <cell r="O62">
            <v>32.5</v>
          </cell>
        </row>
        <row r="63">
          <cell r="A63">
            <v>301</v>
          </cell>
          <cell r="B63">
            <v>2</v>
          </cell>
          <cell r="C63">
            <v>13.452999999999999</v>
          </cell>
          <cell r="D63">
            <v>30.4</v>
          </cell>
          <cell r="E63">
            <v>28.7</v>
          </cell>
          <cell r="F63">
            <v>28</v>
          </cell>
          <cell r="G63">
            <v>28.3</v>
          </cell>
          <cell r="H63">
            <v>28.4</v>
          </cell>
          <cell r="I63">
            <v>28.3</v>
          </cell>
          <cell r="J63">
            <v>29.2</v>
          </cell>
          <cell r="K63">
            <v>28.6</v>
          </cell>
          <cell r="L63">
            <v>28.3</v>
          </cell>
          <cell r="M63">
            <v>28.8</v>
          </cell>
          <cell r="N63">
            <v>28.2</v>
          </cell>
          <cell r="O63">
            <v>28.3</v>
          </cell>
        </row>
        <row r="64">
          <cell r="A64">
            <v>302</v>
          </cell>
          <cell r="B64">
            <v>1</v>
          </cell>
          <cell r="C64">
            <v>13.464</v>
          </cell>
          <cell r="D64">
            <v>44.5</v>
          </cell>
          <cell r="E64">
            <v>43.4</v>
          </cell>
          <cell r="F64">
            <v>44.6</v>
          </cell>
          <cell r="G64">
            <v>42.3</v>
          </cell>
          <cell r="H64">
            <v>41.9</v>
          </cell>
          <cell r="I64">
            <v>42</v>
          </cell>
          <cell r="J64">
            <v>42</v>
          </cell>
          <cell r="K64">
            <v>41.6</v>
          </cell>
          <cell r="L64">
            <v>39.799999999999997</v>
          </cell>
          <cell r="M64">
            <v>43</v>
          </cell>
          <cell r="N64">
            <v>35.1</v>
          </cell>
          <cell r="O64">
            <v>38.700000000000003</v>
          </cell>
        </row>
        <row r="65">
          <cell r="A65">
            <v>302</v>
          </cell>
          <cell r="B65">
            <v>2</v>
          </cell>
          <cell r="C65">
            <v>13.468999999999999</v>
          </cell>
          <cell r="D65">
            <v>30.2</v>
          </cell>
          <cell r="E65">
            <v>30.3</v>
          </cell>
          <cell r="F65">
            <v>28.8</v>
          </cell>
          <cell r="G65">
            <v>27.3</v>
          </cell>
          <cell r="H65">
            <v>28.6</v>
          </cell>
          <cell r="I65">
            <v>27.1</v>
          </cell>
          <cell r="J65">
            <v>30.4</v>
          </cell>
          <cell r="K65">
            <v>27.8</v>
          </cell>
          <cell r="L65">
            <v>33.299999999999997</v>
          </cell>
          <cell r="M65">
            <v>28.5</v>
          </cell>
          <cell r="N65">
            <v>28.5</v>
          </cell>
          <cell r="O65">
            <v>28</v>
          </cell>
        </row>
        <row r="66">
          <cell r="A66">
            <v>303</v>
          </cell>
          <cell r="B66">
            <v>1</v>
          </cell>
          <cell r="C66">
            <v>13.48</v>
          </cell>
          <cell r="D66">
            <v>57.7</v>
          </cell>
          <cell r="E66">
            <v>57</v>
          </cell>
          <cell r="F66">
            <v>51.8</v>
          </cell>
          <cell r="G66">
            <v>57.8</v>
          </cell>
          <cell r="H66">
            <v>56.7</v>
          </cell>
          <cell r="I66">
            <v>57.6</v>
          </cell>
          <cell r="J66">
            <v>53.9</v>
          </cell>
          <cell r="K66">
            <v>58.5</v>
          </cell>
          <cell r="L66">
            <v>52.7</v>
          </cell>
          <cell r="M66">
            <v>57.8</v>
          </cell>
          <cell r="N66">
            <v>53.2</v>
          </cell>
          <cell r="O66">
            <v>54.9</v>
          </cell>
        </row>
        <row r="67">
          <cell r="A67">
            <v>303</v>
          </cell>
          <cell r="B67">
            <v>2</v>
          </cell>
          <cell r="C67">
            <v>13.484</v>
          </cell>
          <cell r="D67">
            <v>30.1</v>
          </cell>
          <cell r="E67">
            <v>30.1</v>
          </cell>
          <cell r="F67">
            <v>29</v>
          </cell>
          <cell r="G67">
            <v>29.7</v>
          </cell>
          <cell r="H67">
            <v>31</v>
          </cell>
          <cell r="I67">
            <v>31.4</v>
          </cell>
          <cell r="J67">
            <v>33</v>
          </cell>
          <cell r="K67">
            <v>32.700000000000003</v>
          </cell>
          <cell r="L67">
            <v>30.5</v>
          </cell>
          <cell r="M67">
            <v>29.9</v>
          </cell>
          <cell r="N67">
            <v>31.8</v>
          </cell>
          <cell r="O67">
            <v>29.7</v>
          </cell>
        </row>
        <row r="68">
          <cell r="A68">
            <v>304</v>
          </cell>
          <cell r="B68">
            <v>1</v>
          </cell>
          <cell r="C68">
            <v>13.496</v>
          </cell>
          <cell r="D68">
            <v>46.3</v>
          </cell>
          <cell r="E68">
            <v>43.4</v>
          </cell>
          <cell r="F68">
            <v>44.3</v>
          </cell>
          <cell r="G68">
            <v>44.9</v>
          </cell>
          <cell r="H68">
            <v>48</v>
          </cell>
          <cell r="I68">
            <v>47.8</v>
          </cell>
          <cell r="J68">
            <v>46.9</v>
          </cell>
          <cell r="K68">
            <v>40.799999999999997</v>
          </cell>
          <cell r="L68">
            <v>44.7</v>
          </cell>
          <cell r="M68">
            <v>40.6</v>
          </cell>
          <cell r="N68">
            <v>44.5</v>
          </cell>
          <cell r="O68">
            <v>51</v>
          </cell>
        </row>
        <row r="69">
          <cell r="A69">
            <v>304</v>
          </cell>
          <cell r="B69">
            <v>2</v>
          </cell>
          <cell r="C69">
            <v>13.5</v>
          </cell>
          <cell r="D69">
            <v>31.2</v>
          </cell>
          <cell r="E69">
            <v>30.2</v>
          </cell>
          <cell r="F69">
            <v>30.1</v>
          </cell>
          <cell r="G69">
            <v>27.8</v>
          </cell>
          <cell r="H69">
            <v>28.9</v>
          </cell>
          <cell r="I69">
            <v>29.2</v>
          </cell>
          <cell r="J69">
            <v>28</v>
          </cell>
          <cell r="K69">
            <v>29.2</v>
          </cell>
          <cell r="L69">
            <v>28.6</v>
          </cell>
          <cell r="M69">
            <v>30.1</v>
          </cell>
          <cell r="N69">
            <v>30.2</v>
          </cell>
          <cell r="O69">
            <v>30.6</v>
          </cell>
        </row>
        <row r="70">
          <cell r="A70">
            <v>305</v>
          </cell>
          <cell r="B70">
            <v>1</v>
          </cell>
          <cell r="C70">
            <v>13.510999999999999</v>
          </cell>
          <cell r="D70">
            <v>55.6</v>
          </cell>
          <cell r="E70">
            <v>42</v>
          </cell>
          <cell r="F70">
            <v>49.9</v>
          </cell>
          <cell r="G70">
            <v>49.4</v>
          </cell>
          <cell r="H70">
            <v>43.4</v>
          </cell>
          <cell r="I70">
            <v>52.5</v>
          </cell>
          <cell r="J70">
            <v>43.3</v>
          </cell>
          <cell r="K70">
            <v>54.5</v>
          </cell>
          <cell r="L70">
            <v>35.799999999999997</v>
          </cell>
          <cell r="M70">
            <v>47</v>
          </cell>
          <cell r="N70">
            <v>35.1</v>
          </cell>
          <cell r="O70">
            <v>42.3</v>
          </cell>
        </row>
        <row r="71">
          <cell r="A71">
            <v>305</v>
          </cell>
          <cell r="B71">
            <v>2</v>
          </cell>
          <cell r="C71">
            <v>13.516</v>
          </cell>
          <cell r="D71">
            <v>31.2</v>
          </cell>
          <cell r="E71">
            <v>31.9</v>
          </cell>
          <cell r="F71">
            <v>31.1</v>
          </cell>
          <cell r="G71">
            <v>32.299999999999997</v>
          </cell>
          <cell r="H71">
            <v>31.2</v>
          </cell>
          <cell r="I71">
            <v>32.299999999999997</v>
          </cell>
          <cell r="J71">
            <v>29.7</v>
          </cell>
          <cell r="K71">
            <v>31.2</v>
          </cell>
          <cell r="L71">
            <v>31.4</v>
          </cell>
          <cell r="M71">
            <v>30.4</v>
          </cell>
          <cell r="N71">
            <v>31.8</v>
          </cell>
          <cell r="O71">
            <v>30.6</v>
          </cell>
        </row>
        <row r="72">
          <cell r="A72">
            <v>306</v>
          </cell>
          <cell r="B72">
            <v>1</v>
          </cell>
          <cell r="C72">
            <v>13.526999999999999</v>
          </cell>
          <cell r="D72">
            <v>42</v>
          </cell>
          <cell r="E72">
            <v>41</v>
          </cell>
          <cell r="F72">
            <v>38.799999999999997</v>
          </cell>
          <cell r="G72">
            <v>44.8</v>
          </cell>
          <cell r="H72">
            <v>39.799999999999997</v>
          </cell>
          <cell r="I72">
            <v>46</v>
          </cell>
          <cell r="J72">
            <v>37.200000000000003</v>
          </cell>
          <cell r="K72">
            <v>47.6</v>
          </cell>
          <cell r="L72">
            <v>36.5</v>
          </cell>
          <cell r="M72">
            <v>43.5</v>
          </cell>
          <cell r="N72">
            <v>35.299999999999997</v>
          </cell>
          <cell r="O72">
            <v>41.5</v>
          </cell>
        </row>
        <row r="73">
          <cell r="A73">
            <v>306</v>
          </cell>
          <cell r="B73">
            <v>2</v>
          </cell>
          <cell r="C73">
            <v>13.531000000000001</v>
          </cell>
          <cell r="D73">
            <v>26.3</v>
          </cell>
          <cell r="E73">
            <v>28.8</v>
          </cell>
          <cell r="F73">
            <v>28</v>
          </cell>
          <cell r="G73">
            <v>27.1</v>
          </cell>
          <cell r="H73">
            <v>28.2</v>
          </cell>
          <cell r="I73">
            <v>28.2</v>
          </cell>
          <cell r="J73">
            <v>28.3</v>
          </cell>
          <cell r="K73">
            <v>26.8</v>
          </cell>
          <cell r="L73">
            <v>29.2</v>
          </cell>
          <cell r="M73">
            <v>28.6</v>
          </cell>
          <cell r="N73">
            <v>29.3</v>
          </cell>
          <cell r="O73">
            <v>26.8</v>
          </cell>
        </row>
        <row r="74">
          <cell r="A74">
            <v>307</v>
          </cell>
          <cell r="B74">
            <v>1</v>
          </cell>
          <cell r="C74">
            <v>13.542</v>
          </cell>
          <cell r="D74">
            <v>37.5</v>
          </cell>
          <cell r="E74">
            <v>38.299999999999997</v>
          </cell>
          <cell r="F74">
            <v>37.6</v>
          </cell>
          <cell r="G74">
            <v>39.799999999999997</v>
          </cell>
          <cell r="H74">
            <v>38.200000000000003</v>
          </cell>
          <cell r="I74">
            <v>40.700000000000003</v>
          </cell>
          <cell r="J74">
            <v>37.5</v>
          </cell>
          <cell r="K74">
            <v>39.200000000000003</v>
          </cell>
          <cell r="L74">
            <v>36.4</v>
          </cell>
          <cell r="M74">
            <v>41</v>
          </cell>
          <cell r="N74">
            <v>34.9</v>
          </cell>
          <cell r="O74">
            <v>37</v>
          </cell>
        </row>
        <row r="75">
          <cell r="A75">
            <v>307</v>
          </cell>
          <cell r="B75">
            <v>2</v>
          </cell>
          <cell r="C75">
            <v>13.545999999999999</v>
          </cell>
          <cell r="D75">
            <v>28.3</v>
          </cell>
          <cell r="E75">
            <v>29.2</v>
          </cell>
          <cell r="F75">
            <v>29.6</v>
          </cell>
          <cell r="G75">
            <v>27.3</v>
          </cell>
          <cell r="H75">
            <v>28.6</v>
          </cell>
          <cell r="I75">
            <v>30.3</v>
          </cell>
          <cell r="J75">
            <v>29.8</v>
          </cell>
          <cell r="K75">
            <v>29.8</v>
          </cell>
          <cell r="L75">
            <v>31.2</v>
          </cell>
          <cell r="M75">
            <v>29.5</v>
          </cell>
          <cell r="N75">
            <v>30.3</v>
          </cell>
          <cell r="O75">
            <v>28.1</v>
          </cell>
        </row>
        <row r="76">
          <cell r="A76">
            <v>308</v>
          </cell>
          <cell r="B76">
            <v>1</v>
          </cell>
          <cell r="C76">
            <v>13.557</v>
          </cell>
          <cell r="D76">
            <v>44.5</v>
          </cell>
          <cell r="E76">
            <v>43.3</v>
          </cell>
          <cell r="F76">
            <v>38.1</v>
          </cell>
          <cell r="G76">
            <v>42.7</v>
          </cell>
          <cell r="H76">
            <v>37.9</v>
          </cell>
          <cell r="I76">
            <v>45.2</v>
          </cell>
          <cell r="J76">
            <v>38.200000000000003</v>
          </cell>
          <cell r="K76">
            <v>47.2</v>
          </cell>
          <cell r="L76">
            <v>39.700000000000003</v>
          </cell>
          <cell r="M76">
            <v>44.5</v>
          </cell>
          <cell r="N76">
            <v>34.6</v>
          </cell>
          <cell r="O76">
            <v>43.2</v>
          </cell>
        </row>
        <row r="77">
          <cell r="A77">
            <v>308</v>
          </cell>
          <cell r="B77">
            <v>2</v>
          </cell>
          <cell r="C77">
            <v>13.561999999999999</v>
          </cell>
          <cell r="D77">
            <v>34.6</v>
          </cell>
          <cell r="E77">
            <v>31.2</v>
          </cell>
          <cell r="F77">
            <v>29.5</v>
          </cell>
          <cell r="G77">
            <v>29.5</v>
          </cell>
          <cell r="H77">
            <v>30.2</v>
          </cell>
          <cell r="I77">
            <v>28.7</v>
          </cell>
          <cell r="J77">
            <v>28.6</v>
          </cell>
          <cell r="K77">
            <v>29.8</v>
          </cell>
          <cell r="L77">
            <v>28.4</v>
          </cell>
          <cell r="M77">
            <v>29.2</v>
          </cell>
          <cell r="N77">
            <v>30.5</v>
          </cell>
          <cell r="O77">
            <v>28.9</v>
          </cell>
        </row>
        <row r="78">
          <cell r="A78">
            <v>408</v>
          </cell>
          <cell r="B78">
            <v>1</v>
          </cell>
          <cell r="C78">
            <v>13.577</v>
          </cell>
          <cell r="D78">
            <v>37.200000000000003</v>
          </cell>
          <cell r="E78">
            <v>37.4</v>
          </cell>
          <cell r="F78">
            <v>34.799999999999997</v>
          </cell>
          <cell r="G78">
            <v>36.5</v>
          </cell>
          <cell r="H78">
            <v>36.6</v>
          </cell>
          <cell r="I78">
            <v>36.4</v>
          </cell>
          <cell r="J78">
            <v>36.299999999999997</v>
          </cell>
          <cell r="K78">
            <v>37.700000000000003</v>
          </cell>
          <cell r="L78">
            <v>35.5</v>
          </cell>
          <cell r="M78">
            <v>37</v>
          </cell>
          <cell r="N78">
            <v>35.200000000000003</v>
          </cell>
          <cell r="O78">
            <v>32.5</v>
          </cell>
        </row>
        <row r="79">
          <cell r="A79">
            <v>408</v>
          </cell>
          <cell r="B79">
            <v>2</v>
          </cell>
          <cell r="C79">
            <v>13.581</v>
          </cell>
          <cell r="D79">
            <v>28.2</v>
          </cell>
          <cell r="E79">
            <v>26.7</v>
          </cell>
          <cell r="F79">
            <v>29.3</v>
          </cell>
          <cell r="G79">
            <v>26.7</v>
          </cell>
          <cell r="H79">
            <v>28.6</v>
          </cell>
          <cell r="I79">
            <v>27.6</v>
          </cell>
          <cell r="J79">
            <v>29.7</v>
          </cell>
          <cell r="K79">
            <v>29.8</v>
          </cell>
          <cell r="L79">
            <v>29.4</v>
          </cell>
          <cell r="M79">
            <v>29.5</v>
          </cell>
          <cell r="N79">
            <v>29.4</v>
          </cell>
          <cell r="O79">
            <v>28.3</v>
          </cell>
        </row>
        <row r="80">
          <cell r="A80">
            <v>407</v>
          </cell>
          <cell r="B80">
            <v>1</v>
          </cell>
          <cell r="C80">
            <v>13.592000000000001</v>
          </cell>
          <cell r="D80">
            <v>57.8</v>
          </cell>
          <cell r="E80">
            <v>60.3</v>
          </cell>
          <cell r="F80">
            <v>56.3</v>
          </cell>
          <cell r="G80">
            <v>60.4</v>
          </cell>
          <cell r="H80">
            <v>53.9</v>
          </cell>
          <cell r="I80">
            <v>58.7</v>
          </cell>
          <cell r="J80">
            <v>52.4</v>
          </cell>
          <cell r="K80">
            <v>59</v>
          </cell>
          <cell r="L80">
            <v>51.1</v>
          </cell>
          <cell r="M80">
            <v>60.8</v>
          </cell>
          <cell r="N80">
            <v>51.9</v>
          </cell>
          <cell r="O80">
            <v>53.7</v>
          </cell>
        </row>
        <row r="81">
          <cell r="A81">
            <v>407</v>
          </cell>
          <cell r="B81">
            <v>2</v>
          </cell>
          <cell r="C81">
            <v>13.597</v>
          </cell>
          <cell r="D81">
            <v>32.799999999999997</v>
          </cell>
          <cell r="E81">
            <v>33.200000000000003</v>
          </cell>
          <cell r="F81">
            <v>33</v>
          </cell>
          <cell r="G81">
            <v>32.799999999999997</v>
          </cell>
          <cell r="H81">
            <v>34.200000000000003</v>
          </cell>
          <cell r="I81">
            <v>29.5</v>
          </cell>
          <cell r="J81">
            <v>35.200000000000003</v>
          </cell>
          <cell r="K81">
            <v>33</v>
          </cell>
          <cell r="L81">
            <v>30.8</v>
          </cell>
          <cell r="M81">
            <v>33.299999999999997</v>
          </cell>
          <cell r="N81">
            <v>34.1</v>
          </cell>
          <cell r="O81">
            <v>31.5</v>
          </cell>
        </row>
        <row r="82">
          <cell r="A82">
            <v>406</v>
          </cell>
          <cell r="B82">
            <v>1</v>
          </cell>
          <cell r="C82">
            <v>13.608000000000001</v>
          </cell>
          <cell r="D82">
            <v>42.8</v>
          </cell>
          <cell r="E82">
            <v>44.1</v>
          </cell>
          <cell r="F82">
            <v>44</v>
          </cell>
          <cell r="G82">
            <v>42.7</v>
          </cell>
          <cell r="H82">
            <v>40.799999999999997</v>
          </cell>
          <cell r="I82">
            <v>46</v>
          </cell>
          <cell r="J82">
            <v>37.200000000000003</v>
          </cell>
          <cell r="K82">
            <v>47.2</v>
          </cell>
          <cell r="L82">
            <v>39.299999999999997</v>
          </cell>
          <cell r="M82">
            <v>43.7</v>
          </cell>
          <cell r="N82">
            <v>35</v>
          </cell>
          <cell r="O82">
            <v>40.4</v>
          </cell>
        </row>
        <row r="83">
          <cell r="A83">
            <v>406</v>
          </cell>
          <cell r="B83">
            <v>2</v>
          </cell>
          <cell r="C83">
            <v>13.613</v>
          </cell>
          <cell r="D83">
            <v>28.9</v>
          </cell>
          <cell r="E83">
            <v>27.8</v>
          </cell>
          <cell r="F83">
            <v>29.4</v>
          </cell>
          <cell r="G83">
            <v>28</v>
          </cell>
          <cell r="H83">
            <v>29.3</v>
          </cell>
          <cell r="I83">
            <v>29</v>
          </cell>
          <cell r="J83">
            <v>28.3</v>
          </cell>
          <cell r="K83">
            <v>27.5</v>
          </cell>
          <cell r="L83">
            <v>29.3</v>
          </cell>
          <cell r="M83">
            <v>28.3</v>
          </cell>
          <cell r="N83">
            <v>30.6</v>
          </cell>
          <cell r="O83">
            <v>29.8</v>
          </cell>
        </row>
        <row r="84">
          <cell r="A84">
            <v>405</v>
          </cell>
          <cell r="B84">
            <v>1</v>
          </cell>
          <cell r="C84">
            <v>13.624000000000001</v>
          </cell>
          <cell r="D84">
            <v>43</v>
          </cell>
          <cell r="E84">
            <v>35.5</v>
          </cell>
          <cell r="F84">
            <v>40.4</v>
          </cell>
          <cell r="G84">
            <v>40.799999999999997</v>
          </cell>
          <cell r="H84">
            <v>36.1</v>
          </cell>
          <cell r="I84">
            <v>42.1</v>
          </cell>
          <cell r="J84">
            <v>33.700000000000003</v>
          </cell>
          <cell r="K84">
            <v>43.2</v>
          </cell>
          <cell r="L84">
            <v>38.700000000000003</v>
          </cell>
          <cell r="M84">
            <v>46.1</v>
          </cell>
          <cell r="N84">
            <v>37.5</v>
          </cell>
          <cell r="O84">
            <v>39</v>
          </cell>
        </row>
        <row r="85">
          <cell r="A85">
            <v>405</v>
          </cell>
          <cell r="B85">
            <v>2</v>
          </cell>
          <cell r="C85">
            <v>13.629</v>
          </cell>
          <cell r="D85">
            <v>29.1</v>
          </cell>
          <cell r="E85">
            <v>30.7</v>
          </cell>
          <cell r="F85">
            <v>29.5</v>
          </cell>
          <cell r="G85">
            <v>30</v>
          </cell>
          <cell r="H85">
            <v>30</v>
          </cell>
          <cell r="I85">
            <v>29</v>
          </cell>
          <cell r="J85">
            <v>28.4</v>
          </cell>
          <cell r="K85">
            <v>30.3</v>
          </cell>
          <cell r="L85">
            <v>29.9</v>
          </cell>
          <cell r="M85">
            <v>30.7</v>
          </cell>
          <cell r="N85">
            <v>30.1</v>
          </cell>
          <cell r="O85">
            <v>31.1</v>
          </cell>
        </row>
        <row r="86">
          <cell r="A86">
            <v>404</v>
          </cell>
          <cell r="B86">
            <v>1</v>
          </cell>
          <cell r="C86">
            <v>13.64</v>
          </cell>
          <cell r="D86">
            <v>44.7</v>
          </cell>
          <cell r="E86">
            <v>44.8</v>
          </cell>
          <cell r="F86">
            <v>42.7</v>
          </cell>
          <cell r="G86">
            <v>47.2</v>
          </cell>
          <cell r="H86">
            <v>44.5</v>
          </cell>
          <cell r="I86">
            <v>44.5</v>
          </cell>
          <cell r="J86">
            <v>46.6</v>
          </cell>
          <cell r="K86">
            <v>44</v>
          </cell>
          <cell r="L86">
            <v>45.1</v>
          </cell>
          <cell r="M86">
            <v>43.9</v>
          </cell>
          <cell r="N86">
            <v>45.1</v>
          </cell>
          <cell r="O86">
            <v>45.1</v>
          </cell>
        </row>
        <row r="87">
          <cell r="A87">
            <v>404</v>
          </cell>
          <cell r="B87">
            <v>2</v>
          </cell>
          <cell r="C87">
            <v>13.644</v>
          </cell>
          <cell r="D87">
            <v>33.799999999999997</v>
          </cell>
          <cell r="E87">
            <v>31.4</v>
          </cell>
          <cell r="F87">
            <v>29.4</v>
          </cell>
          <cell r="G87">
            <v>32.4</v>
          </cell>
          <cell r="H87">
            <v>30.4</v>
          </cell>
          <cell r="I87">
            <v>29.3</v>
          </cell>
          <cell r="J87">
            <v>29.4</v>
          </cell>
          <cell r="K87">
            <v>29.9</v>
          </cell>
          <cell r="L87">
            <v>34.700000000000003</v>
          </cell>
          <cell r="M87">
            <v>28.2</v>
          </cell>
          <cell r="N87">
            <v>29.9</v>
          </cell>
          <cell r="O87">
            <v>28.9</v>
          </cell>
        </row>
        <row r="88">
          <cell r="A88">
            <v>403</v>
          </cell>
          <cell r="B88">
            <v>1</v>
          </cell>
          <cell r="C88">
            <v>13.656000000000001</v>
          </cell>
          <cell r="D88">
            <v>46</v>
          </cell>
          <cell r="E88">
            <v>37.299999999999997</v>
          </cell>
          <cell r="F88">
            <v>41.2</v>
          </cell>
          <cell r="G88">
            <v>41.8</v>
          </cell>
          <cell r="H88">
            <v>34.1</v>
          </cell>
          <cell r="I88">
            <v>42.9</v>
          </cell>
          <cell r="J88">
            <v>41.9</v>
          </cell>
          <cell r="K88">
            <v>46.1</v>
          </cell>
          <cell r="L88">
            <v>47.2</v>
          </cell>
          <cell r="M88">
            <v>47.1</v>
          </cell>
          <cell r="N88">
            <v>42.6</v>
          </cell>
          <cell r="O88">
            <v>41.7</v>
          </cell>
        </row>
        <row r="89">
          <cell r="A89">
            <v>403</v>
          </cell>
          <cell r="B89">
            <v>2</v>
          </cell>
          <cell r="C89">
            <v>13.661</v>
          </cell>
          <cell r="D89">
            <v>30.6</v>
          </cell>
          <cell r="E89">
            <v>29.9</v>
          </cell>
          <cell r="F89">
            <v>30.2</v>
          </cell>
          <cell r="G89">
            <v>29.6</v>
          </cell>
          <cell r="H89">
            <v>33.5</v>
          </cell>
          <cell r="I89">
            <v>30.9</v>
          </cell>
          <cell r="J89">
            <v>30.8</v>
          </cell>
          <cell r="K89">
            <v>30.9</v>
          </cell>
          <cell r="L89">
            <v>29.8</v>
          </cell>
          <cell r="M89">
            <v>30.1</v>
          </cell>
          <cell r="N89">
            <v>31.3</v>
          </cell>
          <cell r="O89">
            <v>31.8</v>
          </cell>
        </row>
        <row r="90">
          <cell r="A90">
            <v>402</v>
          </cell>
          <cell r="B90">
            <v>1</v>
          </cell>
          <cell r="C90">
            <v>13.673</v>
          </cell>
          <cell r="D90">
            <v>39.1</v>
          </cell>
          <cell r="E90">
            <v>37.4</v>
          </cell>
          <cell r="F90">
            <v>36.6</v>
          </cell>
          <cell r="G90">
            <v>38.200000000000003</v>
          </cell>
          <cell r="H90">
            <v>36</v>
          </cell>
          <cell r="I90">
            <v>38.299999999999997</v>
          </cell>
          <cell r="J90">
            <v>35.799999999999997</v>
          </cell>
          <cell r="K90">
            <v>38.799999999999997</v>
          </cell>
          <cell r="L90">
            <v>32</v>
          </cell>
          <cell r="M90">
            <v>38.700000000000003</v>
          </cell>
          <cell r="N90">
            <v>34.9</v>
          </cell>
          <cell r="O90">
            <v>33.299999999999997</v>
          </cell>
        </row>
        <row r="91">
          <cell r="A91">
            <v>402</v>
          </cell>
          <cell r="B91">
            <v>2</v>
          </cell>
          <cell r="C91">
            <v>13.678000000000001</v>
          </cell>
          <cell r="D91">
            <v>30.9</v>
          </cell>
          <cell r="E91">
            <v>29</v>
          </cell>
          <cell r="F91">
            <v>31.8</v>
          </cell>
          <cell r="G91">
            <v>28.8</v>
          </cell>
          <cell r="H91">
            <v>30.9</v>
          </cell>
          <cell r="I91">
            <v>29.9</v>
          </cell>
          <cell r="J91">
            <v>31.3</v>
          </cell>
          <cell r="K91">
            <v>29.9</v>
          </cell>
          <cell r="L91">
            <v>31</v>
          </cell>
          <cell r="M91">
            <v>31.1</v>
          </cell>
          <cell r="N91">
            <v>32.1</v>
          </cell>
          <cell r="O91">
            <v>31.4</v>
          </cell>
        </row>
        <row r="92">
          <cell r="A92">
            <v>401</v>
          </cell>
          <cell r="B92">
            <v>1</v>
          </cell>
          <cell r="C92">
            <v>13.69</v>
          </cell>
          <cell r="D92">
            <v>57.9</v>
          </cell>
          <cell r="E92">
            <v>55.6</v>
          </cell>
          <cell r="F92">
            <v>58.3</v>
          </cell>
          <cell r="G92">
            <v>59.9</v>
          </cell>
          <cell r="H92">
            <v>57.1</v>
          </cell>
          <cell r="I92">
            <v>60.5</v>
          </cell>
          <cell r="J92">
            <v>52.6</v>
          </cell>
          <cell r="K92">
            <v>60.2</v>
          </cell>
          <cell r="L92">
            <v>58.7</v>
          </cell>
          <cell r="M92">
            <v>60.3</v>
          </cell>
          <cell r="N92">
            <v>51.2</v>
          </cell>
          <cell r="O92">
            <v>54.2</v>
          </cell>
        </row>
        <row r="93">
          <cell r="A93">
            <v>401</v>
          </cell>
          <cell r="B93">
            <v>2</v>
          </cell>
          <cell r="C93">
            <v>13.694000000000001</v>
          </cell>
          <cell r="D93">
            <v>31.6</v>
          </cell>
          <cell r="E93">
            <v>32.700000000000003</v>
          </cell>
          <cell r="F93">
            <v>31.8</v>
          </cell>
          <cell r="G93">
            <v>30.7</v>
          </cell>
          <cell r="H93">
            <v>32.4</v>
          </cell>
          <cell r="I93">
            <v>32</v>
          </cell>
          <cell r="J93">
            <v>31.3</v>
          </cell>
          <cell r="K93">
            <v>31.2</v>
          </cell>
          <cell r="L93">
            <v>31.4</v>
          </cell>
          <cell r="M93">
            <v>31.9</v>
          </cell>
          <cell r="N93">
            <v>35.200000000000003</v>
          </cell>
          <cell r="O93">
            <v>30.9</v>
          </cell>
        </row>
      </sheetData>
      <sheetData sheetId="2">
        <row r="7">
          <cell r="C7">
            <v>164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34.85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'IA163.03R'</v>
          </cell>
        </row>
        <row r="14">
          <cell r="A14">
            <v>108</v>
          </cell>
          <cell r="B14">
            <v>1</v>
          </cell>
          <cell r="C14">
            <v>13.103999999999999</v>
          </cell>
          <cell r="D14">
            <v>36.700000000000003</v>
          </cell>
          <cell r="E14">
            <v>35.700000000000003</v>
          </cell>
          <cell r="F14">
            <v>37.1</v>
          </cell>
          <cell r="G14">
            <v>35.200000000000003</v>
          </cell>
          <cell r="H14">
            <v>39.1</v>
          </cell>
          <cell r="I14">
            <v>39.4</v>
          </cell>
          <cell r="J14">
            <v>38.200000000000003</v>
          </cell>
          <cell r="K14">
            <v>34</v>
          </cell>
          <cell r="L14">
            <v>35.700000000000003</v>
          </cell>
          <cell r="M14">
            <v>34.200000000000003</v>
          </cell>
          <cell r="N14">
            <v>34.700000000000003</v>
          </cell>
          <cell r="O14">
            <v>31.6</v>
          </cell>
        </row>
        <row r="15">
          <cell r="A15">
            <v>108</v>
          </cell>
          <cell r="B15">
            <v>2</v>
          </cell>
          <cell r="C15">
            <v>13.108000000000001</v>
          </cell>
          <cell r="D15">
            <v>28.4</v>
          </cell>
          <cell r="E15">
            <v>29.2</v>
          </cell>
          <cell r="F15">
            <v>29.1</v>
          </cell>
          <cell r="G15">
            <v>27.9</v>
          </cell>
          <cell r="H15">
            <v>30.1</v>
          </cell>
          <cell r="I15">
            <v>28.7</v>
          </cell>
          <cell r="J15">
            <v>29.5</v>
          </cell>
          <cell r="K15">
            <v>29.4</v>
          </cell>
          <cell r="L15">
            <v>30.1</v>
          </cell>
          <cell r="M15">
            <v>28.9</v>
          </cell>
          <cell r="N15">
            <v>31.4</v>
          </cell>
          <cell r="O15">
            <v>29</v>
          </cell>
        </row>
        <row r="16">
          <cell r="A16">
            <v>107</v>
          </cell>
          <cell r="B16">
            <v>1</v>
          </cell>
          <cell r="C16">
            <v>13.12</v>
          </cell>
          <cell r="D16">
            <v>35.700000000000003</v>
          </cell>
          <cell r="E16">
            <v>37</v>
          </cell>
          <cell r="F16">
            <v>36.9</v>
          </cell>
          <cell r="G16">
            <v>35.6</v>
          </cell>
          <cell r="H16">
            <v>33.9</v>
          </cell>
          <cell r="I16">
            <v>35.9</v>
          </cell>
          <cell r="J16">
            <v>36.299999999999997</v>
          </cell>
          <cell r="K16">
            <v>36.200000000000003</v>
          </cell>
          <cell r="L16">
            <v>33.9</v>
          </cell>
          <cell r="M16">
            <v>35.9</v>
          </cell>
          <cell r="N16">
            <v>32.299999999999997</v>
          </cell>
          <cell r="O16">
            <v>35.700000000000003</v>
          </cell>
        </row>
        <row r="17">
          <cell r="A17">
            <v>107</v>
          </cell>
          <cell r="B17">
            <v>2</v>
          </cell>
          <cell r="C17">
            <v>13.124000000000001</v>
          </cell>
          <cell r="D17">
            <v>28.3</v>
          </cell>
          <cell r="E17">
            <v>28.6</v>
          </cell>
          <cell r="F17">
            <v>27.7</v>
          </cell>
          <cell r="G17">
            <v>28.3</v>
          </cell>
          <cell r="H17">
            <v>30.2</v>
          </cell>
          <cell r="I17">
            <v>28.8</v>
          </cell>
          <cell r="J17">
            <v>32</v>
          </cell>
          <cell r="K17">
            <v>29.9</v>
          </cell>
          <cell r="L17">
            <v>29.5</v>
          </cell>
          <cell r="M17">
            <v>29</v>
          </cell>
          <cell r="N17">
            <v>29.7</v>
          </cell>
          <cell r="O17">
            <v>29.3</v>
          </cell>
        </row>
        <row r="18">
          <cell r="A18">
            <v>106</v>
          </cell>
          <cell r="B18">
            <v>1</v>
          </cell>
          <cell r="C18">
            <v>13.135999999999999</v>
          </cell>
          <cell r="D18">
            <v>37.799999999999997</v>
          </cell>
          <cell r="E18">
            <v>36.9</v>
          </cell>
          <cell r="F18">
            <v>34.5</v>
          </cell>
          <cell r="G18">
            <v>37.9</v>
          </cell>
          <cell r="H18">
            <v>37</v>
          </cell>
          <cell r="I18">
            <v>37.4</v>
          </cell>
          <cell r="J18">
            <v>35.5</v>
          </cell>
          <cell r="K18">
            <v>37.799999999999997</v>
          </cell>
          <cell r="L18">
            <v>33.4</v>
          </cell>
          <cell r="M18">
            <v>38.1</v>
          </cell>
          <cell r="N18">
            <v>33.4</v>
          </cell>
          <cell r="O18">
            <v>37.200000000000003</v>
          </cell>
        </row>
        <row r="19">
          <cell r="A19">
            <v>106</v>
          </cell>
          <cell r="B19">
            <v>2</v>
          </cell>
          <cell r="C19">
            <v>13.141</v>
          </cell>
          <cell r="D19">
            <v>30.6</v>
          </cell>
          <cell r="E19">
            <v>29.4</v>
          </cell>
          <cell r="F19">
            <v>29.4</v>
          </cell>
          <cell r="G19">
            <v>29.3</v>
          </cell>
          <cell r="H19">
            <v>29.2</v>
          </cell>
          <cell r="I19">
            <v>30.4</v>
          </cell>
          <cell r="J19">
            <v>30.1</v>
          </cell>
          <cell r="K19">
            <v>32.1</v>
          </cell>
          <cell r="L19">
            <v>29.5</v>
          </cell>
          <cell r="M19">
            <v>30.4</v>
          </cell>
          <cell r="N19">
            <v>30.1</v>
          </cell>
          <cell r="O19">
            <v>30.4</v>
          </cell>
        </row>
        <row r="20">
          <cell r="A20">
            <v>105</v>
          </cell>
          <cell r="B20">
            <v>1</v>
          </cell>
          <cell r="C20">
            <v>13.151999999999999</v>
          </cell>
          <cell r="D20">
            <v>55.9</v>
          </cell>
          <cell r="E20">
            <v>40.5</v>
          </cell>
          <cell r="F20">
            <v>42.2</v>
          </cell>
          <cell r="G20">
            <v>51.6</v>
          </cell>
          <cell r="H20">
            <v>44.9</v>
          </cell>
          <cell r="I20">
            <v>52.7</v>
          </cell>
          <cell r="J20">
            <v>44.8</v>
          </cell>
          <cell r="K20">
            <v>46.3</v>
          </cell>
          <cell r="L20">
            <v>41.7</v>
          </cell>
          <cell r="M20">
            <v>52.1</v>
          </cell>
          <cell r="N20">
            <v>43.1</v>
          </cell>
          <cell r="O20">
            <v>48.5</v>
          </cell>
        </row>
        <row r="21">
          <cell r="A21">
            <v>105</v>
          </cell>
          <cell r="B21">
            <v>2</v>
          </cell>
          <cell r="C21">
            <v>13.156000000000001</v>
          </cell>
          <cell r="D21">
            <v>32.200000000000003</v>
          </cell>
          <cell r="E21">
            <v>30.4</v>
          </cell>
          <cell r="F21">
            <v>30.9</v>
          </cell>
          <cell r="G21">
            <v>29.2</v>
          </cell>
          <cell r="H21">
            <v>31.2</v>
          </cell>
          <cell r="I21">
            <v>31.6</v>
          </cell>
          <cell r="J21">
            <v>29.1</v>
          </cell>
          <cell r="K21">
            <v>30.2</v>
          </cell>
          <cell r="L21">
            <v>28.6</v>
          </cell>
          <cell r="M21">
            <v>28.5</v>
          </cell>
          <cell r="N21">
            <v>30.1</v>
          </cell>
          <cell r="O21">
            <v>28.3</v>
          </cell>
        </row>
        <row r="22">
          <cell r="A22">
            <v>104</v>
          </cell>
          <cell r="B22">
            <v>1</v>
          </cell>
          <cell r="C22">
            <v>13.167999999999999</v>
          </cell>
          <cell r="D22">
            <v>36</v>
          </cell>
          <cell r="E22">
            <v>34.5</v>
          </cell>
          <cell r="F22">
            <v>35.6</v>
          </cell>
          <cell r="G22">
            <v>33.799999999999997</v>
          </cell>
          <cell r="H22">
            <v>35.5</v>
          </cell>
          <cell r="I22">
            <v>36.4</v>
          </cell>
          <cell r="J22">
            <v>34.700000000000003</v>
          </cell>
          <cell r="K22">
            <v>34.799999999999997</v>
          </cell>
          <cell r="L22">
            <v>34</v>
          </cell>
          <cell r="M22">
            <v>36.299999999999997</v>
          </cell>
          <cell r="N22">
            <v>33.5</v>
          </cell>
          <cell r="O22">
            <v>34.4</v>
          </cell>
        </row>
        <row r="23">
          <cell r="A23">
            <v>104</v>
          </cell>
          <cell r="B23">
            <v>2</v>
          </cell>
          <cell r="C23">
            <v>13.173</v>
          </cell>
          <cell r="D23">
            <v>29.6</v>
          </cell>
          <cell r="E23">
            <v>29.2</v>
          </cell>
          <cell r="F23">
            <v>30.6</v>
          </cell>
          <cell r="G23">
            <v>29.4</v>
          </cell>
          <cell r="H23">
            <v>30</v>
          </cell>
          <cell r="I23">
            <v>29.4</v>
          </cell>
          <cell r="J23">
            <v>29.9</v>
          </cell>
          <cell r="K23">
            <v>31.6</v>
          </cell>
          <cell r="L23">
            <v>30.2</v>
          </cell>
          <cell r="M23">
            <v>29.6</v>
          </cell>
          <cell r="N23">
            <v>29.1</v>
          </cell>
          <cell r="O23">
            <v>28.8</v>
          </cell>
        </row>
        <row r="24">
          <cell r="A24">
            <v>103</v>
          </cell>
          <cell r="B24">
            <v>1</v>
          </cell>
          <cell r="C24">
            <v>13.185</v>
          </cell>
          <cell r="D24">
            <v>38</v>
          </cell>
          <cell r="E24">
            <v>34</v>
          </cell>
          <cell r="F24">
            <v>36.299999999999997</v>
          </cell>
          <cell r="G24">
            <v>34.4</v>
          </cell>
          <cell r="H24">
            <v>34.4</v>
          </cell>
          <cell r="I24">
            <v>34.200000000000003</v>
          </cell>
          <cell r="J24">
            <v>32.200000000000003</v>
          </cell>
          <cell r="K24">
            <v>36.700000000000003</v>
          </cell>
          <cell r="L24">
            <v>32</v>
          </cell>
          <cell r="M24">
            <v>37.700000000000003</v>
          </cell>
          <cell r="N24">
            <v>35.700000000000003</v>
          </cell>
          <cell r="O24">
            <v>33.9</v>
          </cell>
        </row>
        <row r="25">
          <cell r="A25">
            <v>103</v>
          </cell>
          <cell r="B25">
            <v>2</v>
          </cell>
          <cell r="C25">
            <v>13.19</v>
          </cell>
          <cell r="D25">
            <v>28.2</v>
          </cell>
          <cell r="E25">
            <v>30.2</v>
          </cell>
          <cell r="F25">
            <v>29.9</v>
          </cell>
          <cell r="G25">
            <v>29.4</v>
          </cell>
          <cell r="H25">
            <v>29</v>
          </cell>
          <cell r="I25">
            <v>31.1</v>
          </cell>
          <cell r="J25">
            <v>30.1</v>
          </cell>
          <cell r="K25">
            <v>28.8</v>
          </cell>
          <cell r="L25">
            <v>28.9</v>
          </cell>
          <cell r="M25">
            <v>28.9</v>
          </cell>
          <cell r="N25">
            <v>29.7</v>
          </cell>
          <cell r="O25">
            <v>30.2</v>
          </cell>
        </row>
        <row r="26">
          <cell r="A26">
            <v>102</v>
          </cell>
          <cell r="B26">
            <v>1</v>
          </cell>
          <cell r="C26">
            <v>13.201000000000001</v>
          </cell>
          <cell r="D26">
            <v>38.299999999999997</v>
          </cell>
          <cell r="E26">
            <v>38</v>
          </cell>
          <cell r="F26">
            <v>36.5</v>
          </cell>
          <cell r="G26">
            <v>37.6</v>
          </cell>
          <cell r="H26">
            <v>35.299999999999997</v>
          </cell>
          <cell r="I26">
            <v>37.200000000000003</v>
          </cell>
          <cell r="J26">
            <v>36.700000000000003</v>
          </cell>
          <cell r="K26">
            <v>37</v>
          </cell>
          <cell r="L26">
            <v>37.1</v>
          </cell>
          <cell r="M26">
            <v>37.299999999999997</v>
          </cell>
          <cell r="N26">
            <v>35.799999999999997</v>
          </cell>
          <cell r="O26">
            <v>36</v>
          </cell>
        </row>
        <row r="27">
          <cell r="A27">
            <v>102</v>
          </cell>
          <cell r="B27">
            <v>2</v>
          </cell>
          <cell r="C27">
            <v>13.206</v>
          </cell>
          <cell r="D27">
            <v>29.3</v>
          </cell>
          <cell r="E27">
            <v>30.3</v>
          </cell>
          <cell r="F27">
            <v>29.4</v>
          </cell>
          <cell r="G27">
            <v>30.4</v>
          </cell>
          <cell r="H27">
            <v>29.4</v>
          </cell>
          <cell r="I27">
            <v>29.7</v>
          </cell>
          <cell r="J27">
            <v>30.9</v>
          </cell>
          <cell r="K27">
            <v>29.2</v>
          </cell>
          <cell r="L27">
            <v>29.1</v>
          </cell>
          <cell r="M27">
            <v>29.6</v>
          </cell>
          <cell r="N27">
            <v>32.799999999999997</v>
          </cell>
          <cell r="O27">
            <v>29.2</v>
          </cell>
        </row>
        <row r="28">
          <cell r="A28">
            <v>101</v>
          </cell>
          <cell r="B28">
            <v>1</v>
          </cell>
          <cell r="C28">
            <v>13.218</v>
          </cell>
          <cell r="D28">
            <v>39</v>
          </cell>
          <cell r="E28">
            <v>39.1</v>
          </cell>
          <cell r="F28">
            <v>39</v>
          </cell>
          <cell r="G28">
            <v>39.1</v>
          </cell>
          <cell r="H28">
            <v>36.1</v>
          </cell>
          <cell r="I28">
            <v>37.5</v>
          </cell>
          <cell r="J28">
            <v>37</v>
          </cell>
          <cell r="K28">
            <v>38.299999999999997</v>
          </cell>
          <cell r="L28">
            <v>42.7</v>
          </cell>
          <cell r="M28">
            <v>39.1</v>
          </cell>
          <cell r="N28">
            <v>42.4</v>
          </cell>
          <cell r="O28">
            <v>39.9</v>
          </cell>
        </row>
        <row r="29">
          <cell r="A29">
            <v>101</v>
          </cell>
          <cell r="B29">
            <v>2</v>
          </cell>
          <cell r="C29">
            <v>13.222</v>
          </cell>
          <cell r="D29">
            <v>29.9</v>
          </cell>
          <cell r="E29">
            <v>30</v>
          </cell>
          <cell r="F29">
            <v>30.1</v>
          </cell>
          <cell r="G29">
            <v>29.7</v>
          </cell>
          <cell r="H29">
            <v>31.6</v>
          </cell>
          <cell r="I29">
            <v>31.4</v>
          </cell>
          <cell r="J29">
            <v>29.8</v>
          </cell>
          <cell r="K29">
            <v>28.2</v>
          </cell>
          <cell r="L29">
            <v>31.1</v>
          </cell>
          <cell r="M29">
            <v>30.7</v>
          </cell>
          <cell r="N29">
            <v>30.2</v>
          </cell>
          <cell r="O29">
            <v>29</v>
          </cell>
        </row>
        <row r="30">
          <cell r="A30">
            <v>201</v>
          </cell>
          <cell r="B30">
            <v>1</v>
          </cell>
          <cell r="C30">
            <v>13.239000000000001</v>
          </cell>
          <cell r="D30">
            <v>53</v>
          </cell>
          <cell r="E30">
            <v>54.5</v>
          </cell>
          <cell r="F30">
            <v>46.6</v>
          </cell>
          <cell r="G30">
            <v>47.4</v>
          </cell>
          <cell r="H30">
            <v>36.9</v>
          </cell>
          <cell r="I30">
            <v>52.1</v>
          </cell>
          <cell r="J30">
            <v>40.5</v>
          </cell>
          <cell r="K30">
            <v>47.2</v>
          </cell>
          <cell r="L30">
            <v>44.1</v>
          </cell>
          <cell r="M30">
            <v>40.5</v>
          </cell>
          <cell r="N30">
            <v>46.2</v>
          </cell>
          <cell r="O30">
            <v>47.7</v>
          </cell>
        </row>
        <row r="31">
          <cell r="A31">
            <v>201</v>
          </cell>
          <cell r="B31">
            <v>2</v>
          </cell>
          <cell r="C31">
            <v>13.243</v>
          </cell>
          <cell r="D31">
            <v>30.9</v>
          </cell>
          <cell r="E31">
            <v>29.8</v>
          </cell>
          <cell r="F31">
            <v>29.6</v>
          </cell>
          <cell r="G31">
            <v>30.2</v>
          </cell>
          <cell r="H31">
            <v>30.2</v>
          </cell>
          <cell r="I31">
            <v>31</v>
          </cell>
          <cell r="J31">
            <v>31.7</v>
          </cell>
          <cell r="K31">
            <v>28.9</v>
          </cell>
          <cell r="L31">
            <v>28.7</v>
          </cell>
          <cell r="M31">
            <v>28.8</v>
          </cell>
          <cell r="N31">
            <v>30.7</v>
          </cell>
          <cell r="O31">
            <v>29.8</v>
          </cell>
        </row>
        <row r="32">
          <cell r="A32">
            <v>202</v>
          </cell>
          <cell r="B32">
            <v>1</v>
          </cell>
          <cell r="C32">
            <v>13.255000000000001</v>
          </cell>
          <cell r="D32">
            <v>36.200000000000003</v>
          </cell>
          <cell r="E32">
            <v>32.1</v>
          </cell>
          <cell r="F32">
            <v>34.9</v>
          </cell>
          <cell r="G32">
            <v>32.9</v>
          </cell>
          <cell r="H32">
            <v>34.700000000000003</v>
          </cell>
          <cell r="I32">
            <v>33.200000000000003</v>
          </cell>
          <cell r="J32">
            <v>33.4</v>
          </cell>
          <cell r="K32">
            <v>35.200000000000003</v>
          </cell>
          <cell r="L32">
            <v>33.1</v>
          </cell>
          <cell r="M32">
            <v>36.299999999999997</v>
          </cell>
          <cell r="N32">
            <v>31</v>
          </cell>
          <cell r="O32">
            <v>34.799999999999997</v>
          </cell>
        </row>
        <row r="33">
          <cell r="A33">
            <v>202</v>
          </cell>
          <cell r="B33">
            <v>2</v>
          </cell>
          <cell r="C33">
            <v>13.26</v>
          </cell>
          <cell r="D33">
            <v>27.3</v>
          </cell>
          <cell r="E33">
            <v>28.9</v>
          </cell>
          <cell r="F33">
            <v>28.6</v>
          </cell>
          <cell r="G33">
            <v>29.8</v>
          </cell>
          <cell r="H33">
            <v>30.1</v>
          </cell>
          <cell r="I33">
            <v>28.7</v>
          </cell>
          <cell r="J33">
            <v>28.1</v>
          </cell>
          <cell r="K33">
            <v>29.2</v>
          </cell>
          <cell r="L33">
            <v>27.7</v>
          </cell>
          <cell r="M33">
            <v>27.9</v>
          </cell>
          <cell r="N33">
            <v>30.2</v>
          </cell>
          <cell r="O33">
            <v>31</v>
          </cell>
        </row>
        <row r="34">
          <cell r="A34">
            <v>203</v>
          </cell>
          <cell r="B34">
            <v>1</v>
          </cell>
          <cell r="C34">
            <v>13.272</v>
          </cell>
          <cell r="D34">
            <v>35.700000000000003</v>
          </cell>
          <cell r="E34">
            <v>40.299999999999997</v>
          </cell>
          <cell r="F34">
            <v>38.1</v>
          </cell>
          <cell r="G34">
            <v>34.6</v>
          </cell>
          <cell r="H34">
            <v>35</v>
          </cell>
          <cell r="I34">
            <v>38</v>
          </cell>
          <cell r="J34">
            <v>37.299999999999997</v>
          </cell>
          <cell r="K34">
            <v>42.8</v>
          </cell>
          <cell r="L34">
            <v>42.3</v>
          </cell>
          <cell r="M34">
            <v>38.5</v>
          </cell>
          <cell r="N34">
            <v>33.799999999999997</v>
          </cell>
          <cell r="O34">
            <v>39.299999999999997</v>
          </cell>
        </row>
        <row r="35">
          <cell r="A35">
            <v>203</v>
          </cell>
          <cell r="B35">
            <v>2</v>
          </cell>
          <cell r="C35">
            <v>13.276</v>
          </cell>
          <cell r="D35">
            <v>27.8</v>
          </cell>
          <cell r="E35">
            <v>28.3</v>
          </cell>
          <cell r="F35">
            <v>27.8</v>
          </cell>
          <cell r="G35">
            <v>29.1</v>
          </cell>
          <cell r="H35">
            <v>30.8</v>
          </cell>
          <cell r="I35">
            <v>29.2</v>
          </cell>
          <cell r="J35">
            <v>29</v>
          </cell>
          <cell r="K35">
            <v>29</v>
          </cell>
          <cell r="L35">
            <v>27.9</v>
          </cell>
          <cell r="M35">
            <v>28.2</v>
          </cell>
          <cell r="N35">
            <v>29.1</v>
          </cell>
          <cell r="O35">
            <v>29.1</v>
          </cell>
        </row>
        <row r="36">
          <cell r="A36">
            <v>204</v>
          </cell>
          <cell r="B36">
            <v>1</v>
          </cell>
          <cell r="C36">
            <v>13.288</v>
          </cell>
          <cell r="D36">
            <v>52</v>
          </cell>
          <cell r="E36">
            <v>48.2</v>
          </cell>
          <cell r="F36">
            <v>49.1</v>
          </cell>
          <cell r="G36">
            <v>48.8</v>
          </cell>
          <cell r="H36">
            <v>48.7</v>
          </cell>
          <cell r="I36">
            <v>50.2</v>
          </cell>
          <cell r="J36">
            <v>46.2</v>
          </cell>
          <cell r="K36">
            <v>49.6</v>
          </cell>
          <cell r="L36">
            <v>38</v>
          </cell>
          <cell r="M36">
            <v>50.9</v>
          </cell>
          <cell r="N36">
            <v>35.1</v>
          </cell>
          <cell r="O36">
            <v>45.4</v>
          </cell>
        </row>
        <row r="37">
          <cell r="A37">
            <v>204</v>
          </cell>
          <cell r="B37">
            <v>2</v>
          </cell>
          <cell r="C37">
            <v>13.292</v>
          </cell>
          <cell r="D37">
            <v>30.8</v>
          </cell>
          <cell r="E37">
            <v>31.2</v>
          </cell>
          <cell r="F37">
            <v>31.3</v>
          </cell>
          <cell r="G37">
            <v>30.5</v>
          </cell>
          <cell r="H37">
            <v>30.3</v>
          </cell>
          <cell r="I37">
            <v>30.7</v>
          </cell>
          <cell r="J37">
            <v>31.2</v>
          </cell>
          <cell r="K37">
            <v>32.5</v>
          </cell>
          <cell r="L37">
            <v>31.7</v>
          </cell>
          <cell r="M37">
            <v>30.6</v>
          </cell>
          <cell r="N37">
            <v>31.1</v>
          </cell>
          <cell r="O37">
            <v>30</v>
          </cell>
        </row>
        <row r="38">
          <cell r="A38">
            <v>205</v>
          </cell>
          <cell r="B38">
            <v>1</v>
          </cell>
          <cell r="C38">
            <v>13.303000000000001</v>
          </cell>
          <cell r="D38">
            <v>36.1</v>
          </cell>
          <cell r="E38">
            <v>42</v>
          </cell>
          <cell r="F38">
            <v>41.4</v>
          </cell>
          <cell r="G38">
            <v>37.700000000000003</v>
          </cell>
          <cell r="H38">
            <v>38.299999999999997</v>
          </cell>
          <cell r="I38">
            <v>36.9</v>
          </cell>
          <cell r="J38">
            <v>36.9</v>
          </cell>
          <cell r="K38">
            <v>36.4</v>
          </cell>
          <cell r="L38">
            <v>45.5</v>
          </cell>
          <cell r="M38">
            <v>36.9</v>
          </cell>
          <cell r="N38">
            <v>34</v>
          </cell>
          <cell r="O38">
            <v>39.5</v>
          </cell>
        </row>
        <row r="39">
          <cell r="A39">
            <v>205</v>
          </cell>
          <cell r="B39">
            <v>2</v>
          </cell>
          <cell r="C39">
            <v>13.307</v>
          </cell>
          <cell r="D39">
            <v>30.3</v>
          </cell>
          <cell r="E39">
            <v>29.3</v>
          </cell>
          <cell r="F39">
            <v>30.2</v>
          </cell>
          <cell r="G39">
            <v>28.8</v>
          </cell>
          <cell r="H39">
            <v>29.6</v>
          </cell>
          <cell r="I39">
            <v>27.7</v>
          </cell>
          <cell r="J39">
            <v>28</v>
          </cell>
          <cell r="K39">
            <v>28.9</v>
          </cell>
          <cell r="L39">
            <v>29.6</v>
          </cell>
          <cell r="M39">
            <v>28.8</v>
          </cell>
          <cell r="N39">
            <v>30.1</v>
          </cell>
          <cell r="O39">
            <v>31.9</v>
          </cell>
        </row>
        <row r="40">
          <cell r="A40">
            <v>206</v>
          </cell>
          <cell r="B40">
            <v>1</v>
          </cell>
          <cell r="C40">
            <v>13.319000000000001</v>
          </cell>
          <cell r="D40">
            <v>57.5</v>
          </cell>
          <cell r="E40">
            <v>56.4</v>
          </cell>
          <cell r="F40">
            <v>57.7</v>
          </cell>
          <cell r="G40">
            <v>57</v>
          </cell>
          <cell r="H40">
            <v>56.4</v>
          </cell>
          <cell r="I40">
            <v>58.9</v>
          </cell>
          <cell r="J40">
            <v>55.4</v>
          </cell>
          <cell r="K40">
            <v>53.8</v>
          </cell>
          <cell r="L40">
            <v>56.8</v>
          </cell>
          <cell r="M40">
            <v>55.8</v>
          </cell>
          <cell r="N40">
            <v>57.8</v>
          </cell>
          <cell r="O40">
            <v>56.3</v>
          </cell>
        </row>
        <row r="41">
          <cell r="A41">
            <v>206</v>
          </cell>
          <cell r="B41">
            <v>2</v>
          </cell>
          <cell r="C41">
            <v>13.324</v>
          </cell>
          <cell r="D41">
            <v>30.4</v>
          </cell>
          <cell r="E41">
            <v>30.7</v>
          </cell>
          <cell r="F41">
            <v>31.6</v>
          </cell>
          <cell r="G41">
            <v>30.3</v>
          </cell>
          <cell r="H41">
            <v>31.1</v>
          </cell>
          <cell r="I41">
            <v>29.4</v>
          </cell>
          <cell r="J41">
            <v>30.9</v>
          </cell>
          <cell r="K41">
            <v>30.7</v>
          </cell>
          <cell r="L41">
            <v>30.4</v>
          </cell>
          <cell r="M41">
            <v>30.8</v>
          </cell>
          <cell r="N41">
            <v>30.9</v>
          </cell>
          <cell r="O41">
            <v>31.2</v>
          </cell>
        </row>
        <row r="42">
          <cell r="A42">
            <v>207</v>
          </cell>
          <cell r="B42">
            <v>1</v>
          </cell>
          <cell r="C42">
            <v>13.335000000000001</v>
          </cell>
          <cell r="D42">
            <v>38</v>
          </cell>
          <cell r="E42">
            <v>39.299999999999997</v>
          </cell>
          <cell r="F42">
            <v>39.6</v>
          </cell>
          <cell r="G42">
            <v>38.4</v>
          </cell>
          <cell r="H42">
            <v>37.200000000000003</v>
          </cell>
          <cell r="I42">
            <v>38.9</v>
          </cell>
          <cell r="J42">
            <v>37.200000000000003</v>
          </cell>
          <cell r="K42">
            <v>36.299999999999997</v>
          </cell>
          <cell r="L42">
            <v>33.4</v>
          </cell>
          <cell r="M42">
            <v>37.700000000000003</v>
          </cell>
          <cell r="N42">
            <v>34.700000000000003</v>
          </cell>
          <cell r="O42">
            <v>37.1</v>
          </cell>
        </row>
        <row r="43">
          <cell r="A43">
            <v>207</v>
          </cell>
          <cell r="B43">
            <v>2</v>
          </cell>
          <cell r="C43">
            <v>13.34</v>
          </cell>
          <cell r="D43">
            <v>28.2</v>
          </cell>
          <cell r="E43">
            <v>28.2</v>
          </cell>
          <cell r="F43">
            <v>28.7</v>
          </cell>
          <cell r="G43">
            <v>28.7</v>
          </cell>
          <cell r="H43">
            <v>29.8</v>
          </cell>
          <cell r="I43">
            <v>29.3</v>
          </cell>
          <cell r="J43">
            <v>29.8</v>
          </cell>
          <cell r="K43">
            <v>29.5</v>
          </cell>
          <cell r="L43">
            <v>29</v>
          </cell>
          <cell r="M43">
            <v>30.7</v>
          </cell>
          <cell r="N43">
            <v>29.3</v>
          </cell>
          <cell r="O43">
            <v>29.2</v>
          </cell>
        </row>
        <row r="44">
          <cell r="A44">
            <v>208</v>
          </cell>
          <cell r="B44">
            <v>1</v>
          </cell>
          <cell r="C44">
            <v>13.351000000000001</v>
          </cell>
          <cell r="D44">
            <v>36.799999999999997</v>
          </cell>
          <cell r="E44">
            <v>40.200000000000003</v>
          </cell>
          <cell r="F44">
            <v>39.200000000000003</v>
          </cell>
          <cell r="G44">
            <v>41.7</v>
          </cell>
          <cell r="H44">
            <v>41.1</v>
          </cell>
          <cell r="I44">
            <v>40.700000000000003</v>
          </cell>
          <cell r="J44">
            <v>42.7</v>
          </cell>
          <cell r="K44">
            <v>43.4</v>
          </cell>
          <cell r="L44">
            <v>39.5</v>
          </cell>
          <cell r="M44">
            <v>42.7</v>
          </cell>
          <cell r="N44">
            <v>41</v>
          </cell>
          <cell r="O44">
            <v>39</v>
          </cell>
        </row>
        <row r="45">
          <cell r="A45">
            <v>208</v>
          </cell>
          <cell r="B45">
            <v>2</v>
          </cell>
          <cell r="C45">
            <v>13.355</v>
          </cell>
          <cell r="D45">
            <v>29.9</v>
          </cell>
          <cell r="E45">
            <v>29.5</v>
          </cell>
          <cell r="F45">
            <v>29.6</v>
          </cell>
          <cell r="G45">
            <v>29.5</v>
          </cell>
          <cell r="H45">
            <v>30.2</v>
          </cell>
          <cell r="I45">
            <v>30.7</v>
          </cell>
          <cell r="J45">
            <v>29.3</v>
          </cell>
          <cell r="K45">
            <v>29.4</v>
          </cell>
          <cell r="L45">
            <v>29.9</v>
          </cell>
          <cell r="M45">
            <v>31.9</v>
          </cell>
          <cell r="N45">
            <v>29.2</v>
          </cell>
          <cell r="O45">
            <v>29.2</v>
          </cell>
        </row>
        <row r="46">
          <cell r="A46">
            <v>908</v>
          </cell>
          <cell r="B46">
            <v>1</v>
          </cell>
          <cell r="C46">
            <v>13.369</v>
          </cell>
          <cell r="D46">
            <v>35.9</v>
          </cell>
          <cell r="E46">
            <v>35.9</v>
          </cell>
          <cell r="F46">
            <v>32.5</v>
          </cell>
          <cell r="G46">
            <v>37.700000000000003</v>
          </cell>
          <cell r="H46">
            <v>39.1</v>
          </cell>
          <cell r="I46">
            <v>40.6</v>
          </cell>
          <cell r="J46">
            <v>36.799999999999997</v>
          </cell>
          <cell r="K46">
            <v>39.6</v>
          </cell>
          <cell r="L46">
            <v>37.299999999999997</v>
          </cell>
          <cell r="M46">
            <v>39.9</v>
          </cell>
          <cell r="N46">
            <v>36.799999999999997</v>
          </cell>
          <cell r="O46">
            <v>34.799999999999997</v>
          </cell>
        </row>
        <row r="47">
          <cell r="A47">
            <v>908</v>
          </cell>
          <cell r="B47">
            <v>2</v>
          </cell>
          <cell r="C47">
            <v>13.374000000000001</v>
          </cell>
          <cell r="D47">
            <v>29.6</v>
          </cell>
          <cell r="E47">
            <v>27.9</v>
          </cell>
          <cell r="F47">
            <v>31.1</v>
          </cell>
          <cell r="G47">
            <v>27.7</v>
          </cell>
          <cell r="H47">
            <v>30.4</v>
          </cell>
          <cell r="I47">
            <v>29</v>
          </cell>
          <cell r="J47">
            <v>28.5</v>
          </cell>
          <cell r="K47">
            <v>28.7</v>
          </cell>
          <cell r="L47">
            <v>32.6</v>
          </cell>
          <cell r="M47">
            <v>28.8</v>
          </cell>
          <cell r="N47">
            <v>29.3</v>
          </cell>
          <cell r="O47">
            <v>29.2</v>
          </cell>
        </row>
        <row r="48">
          <cell r="A48">
            <v>907</v>
          </cell>
          <cell r="B48">
            <v>1</v>
          </cell>
          <cell r="C48">
            <v>13.385999999999999</v>
          </cell>
          <cell r="D48">
            <v>63.7</v>
          </cell>
          <cell r="E48">
            <v>63.6</v>
          </cell>
          <cell r="F48">
            <v>63.1</v>
          </cell>
          <cell r="G48">
            <v>63.3</v>
          </cell>
          <cell r="H48">
            <v>63.6</v>
          </cell>
          <cell r="I48">
            <v>63.2</v>
          </cell>
          <cell r="J48">
            <v>63.2</v>
          </cell>
          <cell r="K48">
            <v>63</v>
          </cell>
          <cell r="L48">
            <v>63.1</v>
          </cell>
          <cell r="M48">
            <v>62.6</v>
          </cell>
          <cell r="N48">
            <v>64.099999999999994</v>
          </cell>
          <cell r="O48">
            <v>64</v>
          </cell>
        </row>
        <row r="50">
          <cell r="A50">
            <v>906</v>
          </cell>
          <cell r="B50">
            <v>1</v>
          </cell>
          <cell r="C50">
            <v>13.395</v>
          </cell>
          <cell r="D50">
            <v>37.4</v>
          </cell>
          <cell r="E50">
            <v>38</v>
          </cell>
          <cell r="F50">
            <v>35.1</v>
          </cell>
          <cell r="G50">
            <v>38</v>
          </cell>
          <cell r="H50">
            <v>39.299999999999997</v>
          </cell>
          <cell r="I50">
            <v>41.2</v>
          </cell>
          <cell r="J50">
            <v>38.200000000000003</v>
          </cell>
          <cell r="K50">
            <v>40.799999999999997</v>
          </cell>
          <cell r="L50">
            <v>35.4</v>
          </cell>
          <cell r="M50">
            <v>37.6</v>
          </cell>
          <cell r="N50">
            <v>37.4</v>
          </cell>
          <cell r="O50">
            <v>35.799999999999997</v>
          </cell>
        </row>
        <row r="51">
          <cell r="A51">
            <v>906</v>
          </cell>
          <cell r="B51">
            <v>2</v>
          </cell>
          <cell r="C51">
            <v>13.4</v>
          </cell>
          <cell r="D51">
            <v>29.1</v>
          </cell>
          <cell r="E51">
            <v>27.6</v>
          </cell>
          <cell r="F51">
            <v>31</v>
          </cell>
          <cell r="G51">
            <v>31.1</v>
          </cell>
          <cell r="H51">
            <v>29.8</v>
          </cell>
          <cell r="I51">
            <v>29.3</v>
          </cell>
          <cell r="J51">
            <v>30.8</v>
          </cell>
          <cell r="K51">
            <v>30.7</v>
          </cell>
          <cell r="L51">
            <v>28.7</v>
          </cell>
          <cell r="M51">
            <v>28.9</v>
          </cell>
          <cell r="N51">
            <v>28.8</v>
          </cell>
          <cell r="O51">
            <v>28.8</v>
          </cell>
        </row>
        <row r="52">
          <cell r="A52">
            <v>905</v>
          </cell>
          <cell r="B52">
            <v>1</v>
          </cell>
          <cell r="C52">
            <v>13.412000000000001</v>
          </cell>
          <cell r="D52">
            <v>35</v>
          </cell>
          <cell r="E52">
            <v>35</v>
          </cell>
          <cell r="F52">
            <v>34.799999999999997</v>
          </cell>
          <cell r="G52">
            <v>34.4</v>
          </cell>
          <cell r="H52">
            <v>34.9</v>
          </cell>
          <cell r="I52">
            <v>34.9</v>
          </cell>
          <cell r="J52">
            <v>34.9</v>
          </cell>
          <cell r="K52">
            <v>34.9</v>
          </cell>
          <cell r="L52">
            <v>35</v>
          </cell>
          <cell r="M52">
            <v>35.200000000000003</v>
          </cell>
          <cell r="N52">
            <v>35.200000000000003</v>
          </cell>
          <cell r="O52">
            <v>35</v>
          </cell>
        </row>
        <row r="54">
          <cell r="A54">
            <v>904</v>
          </cell>
          <cell r="B54">
            <v>1</v>
          </cell>
          <cell r="C54">
            <v>13.42</v>
          </cell>
          <cell r="D54">
            <v>39.799999999999997</v>
          </cell>
          <cell r="E54">
            <v>36.5</v>
          </cell>
          <cell r="F54">
            <v>33.299999999999997</v>
          </cell>
          <cell r="G54">
            <v>35.5</v>
          </cell>
          <cell r="H54">
            <v>33.700000000000003</v>
          </cell>
          <cell r="I54">
            <v>36.299999999999997</v>
          </cell>
          <cell r="J54">
            <v>37</v>
          </cell>
          <cell r="K54">
            <v>38.4</v>
          </cell>
          <cell r="L54">
            <v>34.5</v>
          </cell>
          <cell r="M54">
            <v>36.799999999999997</v>
          </cell>
          <cell r="N54">
            <v>35.700000000000003</v>
          </cell>
          <cell r="O54">
            <v>36.799999999999997</v>
          </cell>
        </row>
        <row r="55">
          <cell r="A55">
            <v>904</v>
          </cell>
          <cell r="B55">
            <v>2</v>
          </cell>
          <cell r="C55">
            <v>13.425000000000001</v>
          </cell>
          <cell r="D55">
            <v>28</v>
          </cell>
          <cell r="E55">
            <v>28.3</v>
          </cell>
          <cell r="F55">
            <v>28.4</v>
          </cell>
          <cell r="G55">
            <v>28.5</v>
          </cell>
          <cell r="H55">
            <v>28.3</v>
          </cell>
          <cell r="I55">
            <v>28.6</v>
          </cell>
          <cell r="J55">
            <v>29.7</v>
          </cell>
          <cell r="K55">
            <v>28.8</v>
          </cell>
          <cell r="L55">
            <v>29</v>
          </cell>
          <cell r="M55">
            <v>27.3</v>
          </cell>
          <cell r="N55">
            <v>28.6</v>
          </cell>
          <cell r="O55">
            <v>27.5</v>
          </cell>
        </row>
        <row r="56">
          <cell r="A56">
            <v>903</v>
          </cell>
          <cell r="B56">
            <v>1</v>
          </cell>
          <cell r="C56">
            <v>13.436999999999999</v>
          </cell>
          <cell r="D56">
            <v>63.5</v>
          </cell>
          <cell r="E56">
            <v>63.6</v>
          </cell>
          <cell r="F56">
            <v>63.6</v>
          </cell>
          <cell r="G56">
            <v>63.3</v>
          </cell>
          <cell r="H56">
            <v>63.3</v>
          </cell>
          <cell r="I56">
            <v>63.2</v>
          </cell>
          <cell r="J56">
            <v>63.7</v>
          </cell>
          <cell r="K56">
            <v>63.5</v>
          </cell>
          <cell r="L56">
            <v>63.7</v>
          </cell>
          <cell r="M56">
            <v>63.9</v>
          </cell>
          <cell r="N56">
            <v>64.2</v>
          </cell>
          <cell r="O56">
            <v>63.6</v>
          </cell>
        </row>
        <row r="58">
          <cell r="A58">
            <v>902</v>
          </cell>
          <cell r="B58">
            <v>1</v>
          </cell>
          <cell r="C58">
            <v>13.445</v>
          </cell>
          <cell r="D58">
            <v>36.799999999999997</v>
          </cell>
          <cell r="E58">
            <v>36</v>
          </cell>
          <cell r="F58">
            <v>33.5</v>
          </cell>
          <cell r="G58">
            <v>34.200000000000003</v>
          </cell>
          <cell r="H58">
            <v>34.1</v>
          </cell>
          <cell r="I58">
            <v>34.799999999999997</v>
          </cell>
          <cell r="J58">
            <v>36.6</v>
          </cell>
          <cell r="K58">
            <v>37.4</v>
          </cell>
          <cell r="L58">
            <v>35.200000000000003</v>
          </cell>
          <cell r="M58">
            <v>34.9</v>
          </cell>
          <cell r="N58">
            <v>35.1</v>
          </cell>
          <cell r="O58">
            <v>33.4</v>
          </cell>
        </row>
        <row r="59">
          <cell r="A59">
            <v>902</v>
          </cell>
          <cell r="B59">
            <v>2</v>
          </cell>
          <cell r="C59">
            <v>13.449</v>
          </cell>
          <cell r="D59">
            <v>28.7</v>
          </cell>
          <cell r="E59">
            <v>29</v>
          </cell>
          <cell r="F59">
            <v>29.6</v>
          </cell>
          <cell r="G59">
            <v>28.6</v>
          </cell>
          <cell r="H59">
            <v>28.9</v>
          </cell>
          <cell r="I59">
            <v>29.2</v>
          </cell>
          <cell r="J59">
            <v>28.8</v>
          </cell>
          <cell r="K59">
            <v>27.9</v>
          </cell>
          <cell r="L59">
            <v>30.1</v>
          </cell>
          <cell r="M59">
            <v>29.8</v>
          </cell>
          <cell r="N59">
            <v>29.1</v>
          </cell>
          <cell r="O59">
            <v>27.7</v>
          </cell>
        </row>
        <row r="60">
          <cell r="A60">
            <v>901</v>
          </cell>
          <cell r="B60">
            <v>1</v>
          </cell>
          <cell r="C60">
            <v>13.461</v>
          </cell>
          <cell r="D60">
            <v>35.9</v>
          </cell>
          <cell r="E60">
            <v>35.9</v>
          </cell>
          <cell r="F60">
            <v>35.9</v>
          </cell>
          <cell r="G60">
            <v>35.6</v>
          </cell>
          <cell r="H60">
            <v>35.299999999999997</v>
          </cell>
          <cell r="I60">
            <v>34.9</v>
          </cell>
          <cell r="J60">
            <v>34.700000000000003</v>
          </cell>
          <cell r="K60">
            <v>34.6</v>
          </cell>
          <cell r="L60">
            <v>35.799999999999997</v>
          </cell>
          <cell r="M60">
            <v>35.700000000000003</v>
          </cell>
          <cell r="N60">
            <v>35.700000000000003</v>
          </cell>
          <cell r="O60">
            <v>35.799999999999997</v>
          </cell>
        </row>
        <row r="62">
          <cell r="A62">
            <v>301</v>
          </cell>
          <cell r="B62">
            <v>1</v>
          </cell>
          <cell r="C62">
            <v>13.473000000000001</v>
          </cell>
          <cell r="D62">
            <v>37.200000000000003</v>
          </cell>
          <cell r="E62">
            <v>35.700000000000003</v>
          </cell>
          <cell r="F62">
            <v>36.200000000000003</v>
          </cell>
          <cell r="G62">
            <v>37</v>
          </cell>
          <cell r="H62">
            <v>35.200000000000003</v>
          </cell>
          <cell r="I62">
            <v>34.5</v>
          </cell>
          <cell r="J62">
            <v>37.799999999999997</v>
          </cell>
          <cell r="K62">
            <v>32.6</v>
          </cell>
          <cell r="L62">
            <v>36.4</v>
          </cell>
          <cell r="M62">
            <v>33.6</v>
          </cell>
          <cell r="N62">
            <v>37.1</v>
          </cell>
          <cell r="O62">
            <v>32.200000000000003</v>
          </cell>
        </row>
        <row r="63">
          <cell r="A63">
            <v>301</v>
          </cell>
          <cell r="B63">
            <v>2</v>
          </cell>
          <cell r="C63">
            <v>13.478</v>
          </cell>
          <cell r="D63">
            <v>29.6</v>
          </cell>
          <cell r="E63">
            <v>28.1</v>
          </cell>
          <cell r="F63">
            <v>29</v>
          </cell>
          <cell r="G63">
            <v>29.6</v>
          </cell>
          <cell r="H63">
            <v>27.9</v>
          </cell>
          <cell r="I63">
            <v>28.8</v>
          </cell>
          <cell r="J63">
            <v>29.1</v>
          </cell>
          <cell r="K63">
            <v>27.9</v>
          </cell>
          <cell r="L63">
            <v>28.3</v>
          </cell>
          <cell r="M63">
            <v>29.6</v>
          </cell>
          <cell r="N63">
            <v>29.9</v>
          </cell>
          <cell r="O63">
            <v>28.8</v>
          </cell>
        </row>
        <row r="64">
          <cell r="A64">
            <v>302</v>
          </cell>
          <cell r="B64">
            <v>1</v>
          </cell>
          <cell r="C64">
            <v>13.489000000000001</v>
          </cell>
          <cell r="D64">
            <v>37.799999999999997</v>
          </cell>
          <cell r="E64">
            <v>37.6</v>
          </cell>
          <cell r="F64">
            <v>36.799999999999997</v>
          </cell>
          <cell r="G64">
            <v>36.9</v>
          </cell>
          <cell r="H64">
            <v>37.1</v>
          </cell>
          <cell r="I64">
            <v>35.799999999999997</v>
          </cell>
          <cell r="J64">
            <v>37.1</v>
          </cell>
          <cell r="K64">
            <v>37.5</v>
          </cell>
          <cell r="L64">
            <v>34.6</v>
          </cell>
          <cell r="M64">
            <v>36.9</v>
          </cell>
          <cell r="N64">
            <v>33</v>
          </cell>
          <cell r="O64">
            <v>37.4</v>
          </cell>
        </row>
        <row r="65">
          <cell r="A65">
            <v>302</v>
          </cell>
          <cell r="B65">
            <v>2</v>
          </cell>
          <cell r="C65">
            <v>13.494</v>
          </cell>
          <cell r="D65">
            <v>28.5</v>
          </cell>
          <cell r="E65">
            <v>29.3</v>
          </cell>
          <cell r="F65">
            <v>29.9</v>
          </cell>
          <cell r="G65">
            <v>27.1</v>
          </cell>
          <cell r="H65">
            <v>28.7</v>
          </cell>
          <cell r="I65">
            <v>27.5</v>
          </cell>
          <cell r="J65">
            <v>29.1</v>
          </cell>
          <cell r="K65">
            <v>30.1</v>
          </cell>
          <cell r="L65">
            <v>30.8</v>
          </cell>
          <cell r="M65">
            <v>28.3</v>
          </cell>
          <cell r="N65">
            <v>27.5</v>
          </cell>
          <cell r="O65">
            <v>28.9</v>
          </cell>
        </row>
        <row r="66">
          <cell r="A66">
            <v>303</v>
          </cell>
          <cell r="B66">
            <v>1</v>
          </cell>
          <cell r="C66">
            <v>13.507</v>
          </cell>
          <cell r="D66">
            <v>59.1</v>
          </cell>
          <cell r="E66">
            <v>57.9</v>
          </cell>
          <cell r="F66">
            <v>49.3</v>
          </cell>
          <cell r="G66">
            <v>58.4</v>
          </cell>
          <cell r="H66">
            <v>52.6</v>
          </cell>
          <cell r="I66">
            <v>58.5</v>
          </cell>
          <cell r="J66">
            <v>55.5</v>
          </cell>
          <cell r="K66">
            <v>59.2</v>
          </cell>
          <cell r="L66">
            <v>47.7</v>
          </cell>
          <cell r="M66">
            <v>59.1</v>
          </cell>
          <cell r="N66">
            <v>58.2</v>
          </cell>
          <cell r="O66">
            <v>55.9</v>
          </cell>
        </row>
        <row r="67">
          <cell r="A67">
            <v>303</v>
          </cell>
          <cell r="B67">
            <v>2</v>
          </cell>
          <cell r="C67">
            <v>13.510999999999999</v>
          </cell>
          <cell r="D67">
            <v>30.8</v>
          </cell>
          <cell r="E67">
            <v>29.6</v>
          </cell>
          <cell r="F67">
            <v>29.1</v>
          </cell>
          <cell r="G67">
            <v>30.5</v>
          </cell>
          <cell r="H67">
            <v>29.7</v>
          </cell>
          <cell r="I67">
            <v>30.6</v>
          </cell>
          <cell r="J67">
            <v>30.1</v>
          </cell>
          <cell r="K67">
            <v>29.8</v>
          </cell>
          <cell r="L67">
            <v>31.6</v>
          </cell>
          <cell r="M67">
            <v>33</v>
          </cell>
          <cell r="N67">
            <v>36.6</v>
          </cell>
          <cell r="O67">
            <v>31.7</v>
          </cell>
        </row>
        <row r="68">
          <cell r="A68">
            <v>304</v>
          </cell>
          <cell r="B68">
            <v>1</v>
          </cell>
          <cell r="C68">
            <v>13.522</v>
          </cell>
          <cell r="D68">
            <v>36.799999999999997</v>
          </cell>
          <cell r="E68">
            <v>38.200000000000003</v>
          </cell>
          <cell r="F68">
            <v>37.200000000000003</v>
          </cell>
          <cell r="G68">
            <v>41.2</v>
          </cell>
          <cell r="H68">
            <v>41.3</v>
          </cell>
          <cell r="I68">
            <v>38</v>
          </cell>
          <cell r="J68">
            <v>40</v>
          </cell>
          <cell r="K68">
            <v>38.799999999999997</v>
          </cell>
          <cell r="L68">
            <v>36.200000000000003</v>
          </cell>
          <cell r="M68">
            <v>39.299999999999997</v>
          </cell>
          <cell r="N68">
            <v>36.799999999999997</v>
          </cell>
          <cell r="O68">
            <v>44.3</v>
          </cell>
        </row>
        <row r="69">
          <cell r="A69">
            <v>304</v>
          </cell>
          <cell r="B69">
            <v>2</v>
          </cell>
          <cell r="C69">
            <v>13.526999999999999</v>
          </cell>
          <cell r="D69">
            <v>31.8</v>
          </cell>
          <cell r="E69">
            <v>31.3</v>
          </cell>
          <cell r="F69">
            <v>30</v>
          </cell>
          <cell r="G69">
            <v>29.1</v>
          </cell>
          <cell r="H69">
            <v>29</v>
          </cell>
          <cell r="I69">
            <v>28.5</v>
          </cell>
          <cell r="J69">
            <v>29.3</v>
          </cell>
          <cell r="K69">
            <v>27.8</v>
          </cell>
          <cell r="L69">
            <v>29</v>
          </cell>
          <cell r="M69">
            <v>29.7</v>
          </cell>
          <cell r="N69">
            <v>30.9</v>
          </cell>
          <cell r="O69">
            <v>30.1</v>
          </cell>
        </row>
        <row r="70">
          <cell r="A70">
            <v>305</v>
          </cell>
          <cell r="B70">
            <v>1</v>
          </cell>
          <cell r="C70">
            <v>13.539</v>
          </cell>
          <cell r="D70">
            <v>55.9</v>
          </cell>
          <cell r="E70">
            <v>46.7</v>
          </cell>
          <cell r="F70">
            <v>45.9</v>
          </cell>
          <cell r="G70">
            <v>55</v>
          </cell>
          <cell r="H70">
            <v>35.700000000000003</v>
          </cell>
          <cell r="I70">
            <v>54.4</v>
          </cell>
          <cell r="J70">
            <v>49.4</v>
          </cell>
          <cell r="K70">
            <v>54.5</v>
          </cell>
          <cell r="L70">
            <v>33.9</v>
          </cell>
          <cell r="M70">
            <v>44.2</v>
          </cell>
          <cell r="N70">
            <v>40.6</v>
          </cell>
          <cell r="O70">
            <v>37.5</v>
          </cell>
        </row>
        <row r="71">
          <cell r="A71">
            <v>305</v>
          </cell>
          <cell r="B71">
            <v>2</v>
          </cell>
          <cell r="C71">
            <v>13.542999999999999</v>
          </cell>
          <cell r="D71">
            <v>29.4</v>
          </cell>
          <cell r="E71">
            <v>30.5</v>
          </cell>
          <cell r="F71">
            <v>29.8</v>
          </cell>
          <cell r="G71">
            <v>31.9</v>
          </cell>
          <cell r="H71">
            <v>29.5</v>
          </cell>
          <cell r="I71">
            <v>30.4</v>
          </cell>
          <cell r="J71">
            <v>29.7</v>
          </cell>
          <cell r="K71">
            <v>30.4</v>
          </cell>
          <cell r="L71">
            <v>32.1</v>
          </cell>
          <cell r="M71">
            <v>30.7</v>
          </cell>
          <cell r="N71">
            <v>29.8</v>
          </cell>
          <cell r="O71">
            <v>30.8</v>
          </cell>
        </row>
        <row r="72">
          <cell r="A72">
            <v>306</v>
          </cell>
          <cell r="B72">
            <v>1</v>
          </cell>
          <cell r="C72">
            <v>13.555</v>
          </cell>
          <cell r="D72">
            <v>37.299999999999997</v>
          </cell>
          <cell r="E72">
            <v>39.200000000000003</v>
          </cell>
          <cell r="F72">
            <v>32.700000000000003</v>
          </cell>
          <cell r="G72">
            <v>39.4</v>
          </cell>
          <cell r="H72">
            <v>37.799999999999997</v>
          </cell>
          <cell r="I72">
            <v>39.700000000000003</v>
          </cell>
          <cell r="J72">
            <v>36.9</v>
          </cell>
          <cell r="K72">
            <v>39</v>
          </cell>
          <cell r="L72">
            <v>33.1</v>
          </cell>
          <cell r="M72">
            <v>39.4</v>
          </cell>
          <cell r="N72">
            <v>33.5</v>
          </cell>
          <cell r="O72">
            <v>38.9</v>
          </cell>
        </row>
        <row r="73">
          <cell r="A73">
            <v>306</v>
          </cell>
          <cell r="B73">
            <v>2</v>
          </cell>
          <cell r="C73">
            <v>13.558999999999999</v>
          </cell>
          <cell r="D73">
            <v>27.5</v>
          </cell>
          <cell r="E73">
            <v>29.2</v>
          </cell>
          <cell r="F73">
            <v>28.2</v>
          </cell>
          <cell r="G73">
            <v>29.2</v>
          </cell>
          <cell r="H73">
            <v>29</v>
          </cell>
          <cell r="I73">
            <v>28.7</v>
          </cell>
          <cell r="J73">
            <v>28.2</v>
          </cell>
          <cell r="K73">
            <v>28.9</v>
          </cell>
          <cell r="L73">
            <v>28.4</v>
          </cell>
          <cell r="M73">
            <v>31.6</v>
          </cell>
          <cell r="N73">
            <v>27.7</v>
          </cell>
          <cell r="O73">
            <v>28.5</v>
          </cell>
        </row>
        <row r="74">
          <cell r="A74">
            <v>307</v>
          </cell>
          <cell r="B74">
            <v>1</v>
          </cell>
          <cell r="C74">
            <v>13.571</v>
          </cell>
          <cell r="D74">
            <v>36.799999999999997</v>
          </cell>
          <cell r="E74">
            <v>38.4</v>
          </cell>
          <cell r="F74">
            <v>35</v>
          </cell>
          <cell r="G74">
            <v>38.5</v>
          </cell>
          <cell r="H74">
            <v>33.799999999999997</v>
          </cell>
          <cell r="I74">
            <v>38.299999999999997</v>
          </cell>
          <cell r="J74">
            <v>31.7</v>
          </cell>
          <cell r="K74">
            <v>37.5</v>
          </cell>
          <cell r="L74">
            <v>31.5</v>
          </cell>
          <cell r="M74">
            <v>38</v>
          </cell>
          <cell r="N74">
            <v>31.2</v>
          </cell>
          <cell r="O74">
            <v>33.9</v>
          </cell>
        </row>
        <row r="75">
          <cell r="A75">
            <v>307</v>
          </cell>
          <cell r="B75">
            <v>2</v>
          </cell>
          <cell r="C75">
            <v>13.574999999999999</v>
          </cell>
          <cell r="D75">
            <v>29.5</v>
          </cell>
          <cell r="E75">
            <v>29.3</v>
          </cell>
          <cell r="F75">
            <v>29.7</v>
          </cell>
          <cell r="G75">
            <v>27.6</v>
          </cell>
          <cell r="H75">
            <v>29.8</v>
          </cell>
          <cell r="I75">
            <v>28.7</v>
          </cell>
          <cell r="J75">
            <v>30.4</v>
          </cell>
          <cell r="K75">
            <v>29.4</v>
          </cell>
          <cell r="L75">
            <v>29.7</v>
          </cell>
          <cell r="M75">
            <v>30.4</v>
          </cell>
          <cell r="N75">
            <v>30.6</v>
          </cell>
          <cell r="O75">
            <v>29.8</v>
          </cell>
        </row>
        <row r="76">
          <cell r="A76">
            <v>308</v>
          </cell>
          <cell r="B76">
            <v>1</v>
          </cell>
          <cell r="C76">
            <v>13.586</v>
          </cell>
          <cell r="D76">
            <v>39.1</v>
          </cell>
          <cell r="E76">
            <v>36.6</v>
          </cell>
          <cell r="F76">
            <v>34.4</v>
          </cell>
          <cell r="G76">
            <v>35.9</v>
          </cell>
          <cell r="H76">
            <v>35.9</v>
          </cell>
          <cell r="I76">
            <v>39.799999999999997</v>
          </cell>
          <cell r="J76">
            <v>35.9</v>
          </cell>
          <cell r="K76">
            <v>38.799999999999997</v>
          </cell>
          <cell r="L76">
            <v>37.4</v>
          </cell>
          <cell r="M76">
            <v>38.200000000000003</v>
          </cell>
          <cell r="N76">
            <v>34.1</v>
          </cell>
          <cell r="O76">
            <v>34.5</v>
          </cell>
        </row>
        <row r="77">
          <cell r="A77">
            <v>308</v>
          </cell>
          <cell r="B77">
            <v>2</v>
          </cell>
          <cell r="C77">
            <v>13.59</v>
          </cell>
          <cell r="D77">
            <v>28.7</v>
          </cell>
          <cell r="E77">
            <v>28.9</v>
          </cell>
          <cell r="F77">
            <v>29.2</v>
          </cell>
          <cell r="G77">
            <v>29.1</v>
          </cell>
          <cell r="H77">
            <v>29.1</v>
          </cell>
          <cell r="I77">
            <v>30.1</v>
          </cell>
          <cell r="J77">
            <v>29.9</v>
          </cell>
          <cell r="K77">
            <v>30.9</v>
          </cell>
          <cell r="L77">
            <v>29.5</v>
          </cell>
          <cell r="M77">
            <v>29.3</v>
          </cell>
          <cell r="N77">
            <v>30.9</v>
          </cell>
          <cell r="O77">
            <v>30.9</v>
          </cell>
        </row>
        <row r="78">
          <cell r="A78">
            <v>408</v>
          </cell>
          <cell r="B78">
            <v>1</v>
          </cell>
          <cell r="C78">
            <v>13.606</v>
          </cell>
          <cell r="D78">
            <v>58.6</v>
          </cell>
          <cell r="E78">
            <v>59.5</v>
          </cell>
          <cell r="F78">
            <v>54.7</v>
          </cell>
          <cell r="G78">
            <v>58.4</v>
          </cell>
          <cell r="H78">
            <v>52.3</v>
          </cell>
          <cell r="I78">
            <v>59.6</v>
          </cell>
          <cell r="J78">
            <v>50.9</v>
          </cell>
          <cell r="K78">
            <v>60.4</v>
          </cell>
          <cell r="L78">
            <v>45.6</v>
          </cell>
          <cell r="M78">
            <v>59.7</v>
          </cell>
          <cell r="N78">
            <v>46.6</v>
          </cell>
          <cell r="O78">
            <v>48.6</v>
          </cell>
        </row>
        <row r="79">
          <cell r="A79">
            <v>408</v>
          </cell>
          <cell r="B79">
            <v>2</v>
          </cell>
          <cell r="C79">
            <v>13.613</v>
          </cell>
          <cell r="D79">
            <v>30.1</v>
          </cell>
          <cell r="E79">
            <v>31.4</v>
          </cell>
          <cell r="F79">
            <v>30.6</v>
          </cell>
          <cell r="G79">
            <v>29.9</v>
          </cell>
          <cell r="H79">
            <v>30</v>
          </cell>
          <cell r="I79">
            <v>29.9</v>
          </cell>
          <cell r="J79">
            <v>30.4</v>
          </cell>
          <cell r="K79">
            <v>29.9</v>
          </cell>
          <cell r="L79">
            <v>31.6</v>
          </cell>
          <cell r="M79">
            <v>30.7</v>
          </cell>
          <cell r="N79">
            <v>31</v>
          </cell>
          <cell r="O79">
            <v>29.8</v>
          </cell>
        </row>
        <row r="80">
          <cell r="A80">
            <v>407</v>
          </cell>
          <cell r="B80">
            <v>1</v>
          </cell>
          <cell r="C80">
            <v>13.624000000000001</v>
          </cell>
          <cell r="D80">
            <v>57</v>
          </cell>
          <cell r="E80">
            <v>58.4</v>
          </cell>
          <cell r="F80">
            <v>54.7</v>
          </cell>
          <cell r="G80">
            <v>58.6</v>
          </cell>
          <cell r="H80">
            <v>52.3</v>
          </cell>
          <cell r="I80">
            <v>57</v>
          </cell>
          <cell r="J80">
            <v>54.5</v>
          </cell>
          <cell r="K80">
            <v>56.1</v>
          </cell>
          <cell r="L80">
            <v>54</v>
          </cell>
          <cell r="M80">
            <v>57</v>
          </cell>
          <cell r="N80">
            <v>54.3</v>
          </cell>
          <cell r="O80">
            <v>52.8</v>
          </cell>
        </row>
        <row r="81">
          <cell r="A81">
            <v>407</v>
          </cell>
          <cell r="B81">
            <v>2</v>
          </cell>
          <cell r="C81">
            <v>13.629</v>
          </cell>
          <cell r="D81">
            <v>33</v>
          </cell>
          <cell r="E81">
            <v>38.1</v>
          </cell>
          <cell r="F81">
            <v>34.799999999999997</v>
          </cell>
          <cell r="G81">
            <v>32.700000000000003</v>
          </cell>
          <cell r="H81">
            <v>30.7</v>
          </cell>
          <cell r="I81">
            <v>37.1</v>
          </cell>
          <cell r="J81">
            <v>31.8</v>
          </cell>
          <cell r="K81">
            <v>31.1</v>
          </cell>
          <cell r="L81">
            <v>31.3</v>
          </cell>
          <cell r="M81">
            <v>32.5</v>
          </cell>
          <cell r="N81">
            <v>40.5</v>
          </cell>
          <cell r="O81">
            <v>35.4</v>
          </cell>
        </row>
        <row r="82">
          <cell r="A82">
            <v>406</v>
          </cell>
          <cell r="B82">
            <v>1</v>
          </cell>
          <cell r="C82">
            <v>13.644</v>
          </cell>
          <cell r="D82">
            <v>35.799999999999997</v>
          </cell>
          <cell r="E82">
            <v>35.299999999999997</v>
          </cell>
          <cell r="F82">
            <v>35.799999999999997</v>
          </cell>
          <cell r="G82">
            <v>35</v>
          </cell>
          <cell r="H82">
            <v>36.799999999999997</v>
          </cell>
          <cell r="I82">
            <v>36.1</v>
          </cell>
          <cell r="J82">
            <v>33.299999999999997</v>
          </cell>
          <cell r="K82">
            <v>35.5</v>
          </cell>
          <cell r="L82">
            <v>31.8</v>
          </cell>
          <cell r="M82">
            <v>33.1</v>
          </cell>
          <cell r="N82">
            <v>33.299999999999997</v>
          </cell>
          <cell r="O82">
            <v>36.9</v>
          </cell>
        </row>
        <row r="83">
          <cell r="A83">
            <v>406</v>
          </cell>
          <cell r="B83">
            <v>2</v>
          </cell>
          <cell r="C83">
            <v>13.648</v>
          </cell>
          <cell r="D83">
            <v>28.8</v>
          </cell>
          <cell r="E83">
            <v>28.8</v>
          </cell>
          <cell r="F83">
            <v>28.5</v>
          </cell>
          <cell r="G83">
            <v>28.9</v>
          </cell>
          <cell r="H83">
            <v>31.3</v>
          </cell>
          <cell r="I83">
            <v>28.7</v>
          </cell>
          <cell r="J83">
            <v>28.5</v>
          </cell>
          <cell r="K83">
            <v>27.6</v>
          </cell>
          <cell r="L83">
            <v>29.6</v>
          </cell>
          <cell r="M83">
            <v>29.8</v>
          </cell>
          <cell r="N83">
            <v>28.1</v>
          </cell>
          <cell r="O83">
            <v>28.7</v>
          </cell>
        </row>
        <row r="84">
          <cell r="A84">
            <v>405</v>
          </cell>
          <cell r="B84">
            <v>1</v>
          </cell>
          <cell r="C84">
            <v>13.661</v>
          </cell>
          <cell r="D84">
            <v>35.200000000000003</v>
          </cell>
          <cell r="E84">
            <v>31.2</v>
          </cell>
          <cell r="F84">
            <v>35.200000000000003</v>
          </cell>
          <cell r="G84">
            <v>36.200000000000003</v>
          </cell>
          <cell r="H84">
            <v>30.8</v>
          </cell>
          <cell r="I84">
            <v>34.1</v>
          </cell>
          <cell r="J84">
            <v>30.2</v>
          </cell>
          <cell r="K84">
            <v>36.299999999999997</v>
          </cell>
          <cell r="L84">
            <v>31.8</v>
          </cell>
          <cell r="M84">
            <v>35.1</v>
          </cell>
          <cell r="N84">
            <v>32.6</v>
          </cell>
          <cell r="O84">
            <v>33.5</v>
          </cell>
        </row>
        <row r="85">
          <cell r="A85">
            <v>405</v>
          </cell>
          <cell r="B85">
            <v>2</v>
          </cell>
          <cell r="C85">
            <v>13.664999999999999</v>
          </cell>
          <cell r="D85">
            <v>29.8</v>
          </cell>
          <cell r="E85">
            <v>28.2</v>
          </cell>
          <cell r="F85">
            <v>28.6</v>
          </cell>
          <cell r="G85">
            <v>29.8</v>
          </cell>
          <cell r="H85">
            <v>27.9</v>
          </cell>
          <cell r="I85">
            <v>28</v>
          </cell>
          <cell r="J85">
            <v>28.9</v>
          </cell>
          <cell r="K85">
            <v>30.4</v>
          </cell>
          <cell r="L85">
            <v>27.9</v>
          </cell>
          <cell r="M85">
            <v>27.5</v>
          </cell>
          <cell r="N85">
            <v>29.1</v>
          </cell>
          <cell r="O85">
            <v>27.6</v>
          </cell>
        </row>
        <row r="86">
          <cell r="A86">
            <v>404</v>
          </cell>
          <cell r="B86">
            <v>1</v>
          </cell>
          <cell r="C86">
            <v>13.676</v>
          </cell>
          <cell r="D86">
            <v>34.9</v>
          </cell>
          <cell r="E86">
            <v>35.700000000000003</v>
          </cell>
          <cell r="F86">
            <v>35.200000000000003</v>
          </cell>
          <cell r="G86">
            <v>36.700000000000003</v>
          </cell>
          <cell r="H86">
            <v>35.6</v>
          </cell>
          <cell r="I86">
            <v>39.299999999999997</v>
          </cell>
          <cell r="J86">
            <v>38.4</v>
          </cell>
          <cell r="K86">
            <v>41.1</v>
          </cell>
          <cell r="L86">
            <v>35.700000000000003</v>
          </cell>
          <cell r="M86">
            <v>37.799999999999997</v>
          </cell>
          <cell r="N86">
            <v>35.9</v>
          </cell>
          <cell r="O86">
            <v>39</v>
          </cell>
        </row>
        <row r="87">
          <cell r="A87">
            <v>404</v>
          </cell>
          <cell r="B87">
            <v>2</v>
          </cell>
          <cell r="C87">
            <v>13.680999999999999</v>
          </cell>
          <cell r="D87">
            <v>29.2</v>
          </cell>
          <cell r="E87">
            <v>29.4</v>
          </cell>
          <cell r="F87">
            <v>30.7</v>
          </cell>
          <cell r="G87">
            <v>29.8</v>
          </cell>
          <cell r="H87">
            <v>34</v>
          </cell>
          <cell r="I87">
            <v>28.2</v>
          </cell>
          <cell r="J87">
            <v>28.4</v>
          </cell>
          <cell r="K87">
            <v>28.5</v>
          </cell>
          <cell r="L87">
            <v>30.5</v>
          </cell>
          <cell r="M87">
            <v>28.2</v>
          </cell>
          <cell r="N87">
            <v>28.2</v>
          </cell>
          <cell r="O87">
            <v>28.2</v>
          </cell>
        </row>
        <row r="88">
          <cell r="A88">
            <v>403</v>
          </cell>
          <cell r="B88">
            <v>1</v>
          </cell>
          <cell r="C88">
            <v>13.692</v>
          </cell>
          <cell r="D88">
            <v>35.799999999999997</v>
          </cell>
          <cell r="E88">
            <v>32.6</v>
          </cell>
          <cell r="F88">
            <v>31.3</v>
          </cell>
          <cell r="G88">
            <v>34.6</v>
          </cell>
          <cell r="H88">
            <v>29.1</v>
          </cell>
          <cell r="I88">
            <v>36.6</v>
          </cell>
          <cell r="J88">
            <v>33</v>
          </cell>
          <cell r="K88">
            <v>37.799999999999997</v>
          </cell>
          <cell r="L88">
            <v>37.1</v>
          </cell>
          <cell r="M88">
            <v>36.5</v>
          </cell>
          <cell r="N88">
            <v>35.200000000000003</v>
          </cell>
          <cell r="O88">
            <v>34.299999999999997</v>
          </cell>
        </row>
        <row r="89">
          <cell r="A89">
            <v>403</v>
          </cell>
          <cell r="B89">
            <v>2</v>
          </cell>
          <cell r="C89">
            <v>13.696999999999999</v>
          </cell>
          <cell r="D89">
            <v>27.3</v>
          </cell>
          <cell r="E89">
            <v>27.5</v>
          </cell>
          <cell r="F89">
            <v>28.9</v>
          </cell>
          <cell r="G89">
            <v>27.6</v>
          </cell>
          <cell r="H89">
            <v>31.9</v>
          </cell>
          <cell r="I89">
            <v>28.9</v>
          </cell>
          <cell r="J89">
            <v>29.4</v>
          </cell>
          <cell r="K89">
            <v>26.8</v>
          </cell>
          <cell r="L89">
            <v>27.3</v>
          </cell>
          <cell r="M89">
            <v>28.6</v>
          </cell>
          <cell r="N89">
            <v>29.3</v>
          </cell>
          <cell r="O89">
            <v>26.8</v>
          </cell>
        </row>
        <row r="90">
          <cell r="A90">
            <v>402</v>
          </cell>
          <cell r="B90">
            <v>1</v>
          </cell>
          <cell r="C90">
            <v>13.708</v>
          </cell>
          <cell r="D90">
            <v>58.4</v>
          </cell>
          <cell r="E90">
            <v>58.2</v>
          </cell>
          <cell r="F90">
            <v>52.9</v>
          </cell>
          <cell r="G90">
            <v>58.9</v>
          </cell>
          <cell r="H90">
            <v>55.8</v>
          </cell>
          <cell r="I90">
            <v>54.7</v>
          </cell>
          <cell r="J90">
            <v>57.1</v>
          </cell>
          <cell r="K90">
            <v>53.3</v>
          </cell>
          <cell r="L90">
            <v>55</v>
          </cell>
          <cell r="M90">
            <v>56.1</v>
          </cell>
          <cell r="N90">
            <v>52.5</v>
          </cell>
          <cell r="O90">
            <v>52.8</v>
          </cell>
        </row>
        <row r="91">
          <cell r="A91">
            <v>402</v>
          </cell>
          <cell r="B91">
            <v>2</v>
          </cell>
          <cell r="C91">
            <v>13.712</v>
          </cell>
          <cell r="D91">
            <v>33.5</v>
          </cell>
          <cell r="E91">
            <v>30</v>
          </cell>
          <cell r="F91">
            <v>32.299999999999997</v>
          </cell>
          <cell r="G91">
            <v>31.2</v>
          </cell>
          <cell r="H91">
            <v>35.299999999999997</v>
          </cell>
          <cell r="I91">
            <v>31.9</v>
          </cell>
          <cell r="J91">
            <v>33.799999999999997</v>
          </cell>
          <cell r="K91">
            <v>31.4</v>
          </cell>
          <cell r="L91">
            <v>36</v>
          </cell>
          <cell r="M91">
            <v>34.6</v>
          </cell>
          <cell r="N91">
            <v>36.299999999999997</v>
          </cell>
          <cell r="O91">
            <v>33.299999999999997</v>
          </cell>
        </row>
        <row r="92">
          <cell r="A92">
            <v>401</v>
          </cell>
          <cell r="B92">
            <v>1</v>
          </cell>
          <cell r="C92">
            <v>13.724</v>
          </cell>
          <cell r="D92">
            <v>57.2</v>
          </cell>
          <cell r="E92">
            <v>52</v>
          </cell>
          <cell r="F92">
            <v>56.3</v>
          </cell>
          <cell r="G92">
            <v>57.2</v>
          </cell>
          <cell r="H92">
            <v>55.3</v>
          </cell>
          <cell r="I92">
            <v>55.1</v>
          </cell>
          <cell r="J92">
            <v>53</v>
          </cell>
          <cell r="K92">
            <v>57.2</v>
          </cell>
          <cell r="L92">
            <v>56.2</v>
          </cell>
          <cell r="M92">
            <v>56.7</v>
          </cell>
          <cell r="N92">
            <v>48.9</v>
          </cell>
          <cell r="O92">
            <v>56.6</v>
          </cell>
        </row>
        <row r="93">
          <cell r="A93">
            <v>401</v>
          </cell>
          <cell r="B93">
            <v>2</v>
          </cell>
          <cell r="C93">
            <v>13.728999999999999</v>
          </cell>
          <cell r="D93">
            <v>31.6</v>
          </cell>
          <cell r="E93">
            <v>36.200000000000003</v>
          </cell>
          <cell r="F93">
            <v>33.1</v>
          </cell>
          <cell r="G93">
            <v>31.3</v>
          </cell>
          <cell r="H93">
            <v>35.200000000000003</v>
          </cell>
          <cell r="I93">
            <v>31.1</v>
          </cell>
          <cell r="J93">
            <v>33.1</v>
          </cell>
          <cell r="K93">
            <v>33.700000000000003</v>
          </cell>
          <cell r="L93">
            <v>34.5</v>
          </cell>
          <cell r="M93">
            <v>34.9</v>
          </cell>
          <cell r="N93">
            <v>37.700000000000003</v>
          </cell>
          <cell r="O93">
            <v>37.4</v>
          </cell>
        </row>
      </sheetData>
      <sheetData sheetId="2">
        <row r="7">
          <cell r="C7">
            <v>163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36.6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'IA162.03R'</v>
          </cell>
        </row>
        <row r="14">
          <cell r="A14">
            <v>108</v>
          </cell>
          <cell r="B14">
            <v>1</v>
          </cell>
          <cell r="C14">
            <v>12.78</v>
          </cell>
          <cell r="D14">
            <v>34.299999999999997</v>
          </cell>
          <cell r="E14">
            <v>32.299999999999997</v>
          </cell>
          <cell r="F14">
            <v>35.700000000000003</v>
          </cell>
          <cell r="G14">
            <v>30.1</v>
          </cell>
          <cell r="H14">
            <v>36.1</v>
          </cell>
          <cell r="I14">
            <v>32.6</v>
          </cell>
          <cell r="J14">
            <v>35.200000000000003</v>
          </cell>
          <cell r="K14">
            <v>31.3</v>
          </cell>
          <cell r="L14">
            <v>34</v>
          </cell>
          <cell r="M14">
            <v>31.4</v>
          </cell>
          <cell r="N14">
            <v>34.6</v>
          </cell>
          <cell r="O14">
            <v>29.2</v>
          </cell>
        </row>
        <row r="15">
          <cell r="A15">
            <v>108</v>
          </cell>
          <cell r="B15">
            <v>2</v>
          </cell>
          <cell r="C15">
            <v>12.785</v>
          </cell>
          <cell r="D15">
            <v>25.6</v>
          </cell>
          <cell r="E15">
            <v>26.2</v>
          </cell>
          <cell r="F15">
            <v>27</v>
          </cell>
          <cell r="G15">
            <v>25.9</v>
          </cell>
          <cell r="H15">
            <v>27.9</v>
          </cell>
          <cell r="I15">
            <v>25.8</v>
          </cell>
          <cell r="J15">
            <v>25.8</v>
          </cell>
          <cell r="K15">
            <v>25.7</v>
          </cell>
          <cell r="L15">
            <v>27.2</v>
          </cell>
          <cell r="M15">
            <v>27.1</v>
          </cell>
          <cell r="N15">
            <v>26.6</v>
          </cell>
          <cell r="O15">
            <v>26.7</v>
          </cell>
        </row>
        <row r="16">
          <cell r="A16">
            <v>107</v>
          </cell>
          <cell r="B16">
            <v>1</v>
          </cell>
          <cell r="C16">
            <v>12.795</v>
          </cell>
          <cell r="D16">
            <v>35.9</v>
          </cell>
          <cell r="E16">
            <v>37.1</v>
          </cell>
          <cell r="F16">
            <v>36.5</v>
          </cell>
          <cell r="G16">
            <v>33.1</v>
          </cell>
          <cell r="H16">
            <v>36.700000000000003</v>
          </cell>
          <cell r="I16">
            <v>36.700000000000003</v>
          </cell>
          <cell r="J16">
            <v>36.5</v>
          </cell>
          <cell r="K16">
            <v>30.8</v>
          </cell>
          <cell r="L16">
            <v>36.6</v>
          </cell>
          <cell r="M16">
            <v>33.9</v>
          </cell>
          <cell r="N16">
            <v>36.700000000000003</v>
          </cell>
          <cell r="O16">
            <v>32.1</v>
          </cell>
        </row>
        <row r="17">
          <cell r="A17">
            <v>107</v>
          </cell>
          <cell r="B17">
            <v>2</v>
          </cell>
          <cell r="C17">
            <v>12.8</v>
          </cell>
          <cell r="D17">
            <v>27.6</v>
          </cell>
          <cell r="E17">
            <v>27.3</v>
          </cell>
          <cell r="F17">
            <v>27.1</v>
          </cell>
          <cell r="G17">
            <v>25.7</v>
          </cell>
          <cell r="H17">
            <v>26.9</v>
          </cell>
          <cell r="I17">
            <v>27.1</v>
          </cell>
          <cell r="J17">
            <v>27.5</v>
          </cell>
          <cell r="K17">
            <v>28.5</v>
          </cell>
          <cell r="L17">
            <v>29.3</v>
          </cell>
          <cell r="M17">
            <v>27.6</v>
          </cell>
          <cell r="N17">
            <v>28.7</v>
          </cell>
          <cell r="O17">
            <v>27</v>
          </cell>
        </row>
        <row r="18">
          <cell r="A18">
            <v>106</v>
          </cell>
          <cell r="B18">
            <v>1</v>
          </cell>
          <cell r="C18">
            <v>12.811</v>
          </cell>
          <cell r="D18">
            <v>56.1</v>
          </cell>
          <cell r="E18">
            <v>49.8</v>
          </cell>
          <cell r="F18">
            <v>56.8</v>
          </cell>
          <cell r="G18">
            <v>46.3</v>
          </cell>
          <cell r="H18">
            <v>57.3</v>
          </cell>
          <cell r="I18">
            <v>46</v>
          </cell>
          <cell r="J18">
            <v>58.2</v>
          </cell>
          <cell r="K18">
            <v>42.7</v>
          </cell>
          <cell r="L18">
            <v>56.4</v>
          </cell>
          <cell r="M18">
            <v>39.200000000000003</v>
          </cell>
          <cell r="N18">
            <v>58.1</v>
          </cell>
          <cell r="O18">
            <v>46.3</v>
          </cell>
        </row>
        <row r="19">
          <cell r="A19">
            <v>106</v>
          </cell>
          <cell r="B19">
            <v>2</v>
          </cell>
          <cell r="C19">
            <v>12.816000000000001</v>
          </cell>
          <cell r="D19">
            <v>29.1</v>
          </cell>
          <cell r="E19">
            <v>28.4</v>
          </cell>
          <cell r="F19">
            <v>27.3</v>
          </cell>
          <cell r="G19">
            <v>26.8</v>
          </cell>
          <cell r="H19">
            <v>30.2</v>
          </cell>
          <cell r="I19">
            <v>28.6</v>
          </cell>
          <cell r="J19">
            <v>27.7</v>
          </cell>
          <cell r="K19">
            <v>27.9</v>
          </cell>
          <cell r="L19">
            <v>30.3</v>
          </cell>
          <cell r="M19">
            <v>28</v>
          </cell>
          <cell r="N19">
            <v>27.3</v>
          </cell>
          <cell r="O19">
            <v>30.6</v>
          </cell>
        </row>
        <row r="20">
          <cell r="A20">
            <v>105</v>
          </cell>
          <cell r="B20">
            <v>1</v>
          </cell>
          <cell r="C20">
            <v>12.827999999999999</v>
          </cell>
          <cell r="D20">
            <v>53.5</v>
          </cell>
          <cell r="E20">
            <v>35.9</v>
          </cell>
          <cell r="F20">
            <v>51.1</v>
          </cell>
          <cell r="G20">
            <v>33.1</v>
          </cell>
          <cell r="H20">
            <v>50</v>
          </cell>
          <cell r="I20">
            <v>37.299999999999997</v>
          </cell>
          <cell r="J20">
            <v>50</v>
          </cell>
          <cell r="K20">
            <v>36.299999999999997</v>
          </cell>
          <cell r="L20">
            <v>51</v>
          </cell>
          <cell r="M20">
            <v>40.4</v>
          </cell>
          <cell r="N20">
            <v>52.6</v>
          </cell>
          <cell r="O20">
            <v>40.5</v>
          </cell>
        </row>
        <row r="21">
          <cell r="A21">
            <v>105</v>
          </cell>
          <cell r="B21">
            <v>2</v>
          </cell>
          <cell r="C21">
            <v>12.832000000000001</v>
          </cell>
          <cell r="D21">
            <v>27.8</v>
          </cell>
          <cell r="E21">
            <v>28.5</v>
          </cell>
          <cell r="F21">
            <v>29.5</v>
          </cell>
          <cell r="G21">
            <v>30.3</v>
          </cell>
          <cell r="H21">
            <v>27.8</v>
          </cell>
          <cell r="I21">
            <v>29.6</v>
          </cell>
          <cell r="J21">
            <v>29.7</v>
          </cell>
          <cell r="K21">
            <v>31</v>
          </cell>
          <cell r="L21">
            <v>27.8</v>
          </cell>
          <cell r="M21">
            <v>27.7</v>
          </cell>
          <cell r="N21">
            <v>28.4</v>
          </cell>
          <cell r="O21">
            <v>28.4</v>
          </cell>
        </row>
        <row r="22">
          <cell r="A22">
            <v>104</v>
          </cell>
          <cell r="B22">
            <v>1</v>
          </cell>
          <cell r="C22">
            <v>12.845000000000001</v>
          </cell>
          <cell r="D22">
            <v>35.4</v>
          </cell>
          <cell r="E22">
            <v>32.9</v>
          </cell>
          <cell r="F22">
            <v>35.799999999999997</v>
          </cell>
          <cell r="G22">
            <v>30.2</v>
          </cell>
          <cell r="H22">
            <v>36.6</v>
          </cell>
          <cell r="I22">
            <v>31.7</v>
          </cell>
          <cell r="J22">
            <v>36.6</v>
          </cell>
          <cell r="K22">
            <v>30.6</v>
          </cell>
          <cell r="L22">
            <v>35.799999999999997</v>
          </cell>
          <cell r="M22">
            <v>31.3</v>
          </cell>
          <cell r="N22">
            <v>35.5</v>
          </cell>
          <cell r="O22">
            <v>31.9</v>
          </cell>
        </row>
        <row r="23">
          <cell r="A23">
            <v>104</v>
          </cell>
          <cell r="B23">
            <v>2</v>
          </cell>
          <cell r="C23">
            <v>12.849</v>
          </cell>
          <cell r="D23">
            <v>29</v>
          </cell>
          <cell r="E23">
            <v>26.7</v>
          </cell>
          <cell r="F23">
            <v>28.8</v>
          </cell>
          <cell r="G23">
            <v>26.1</v>
          </cell>
          <cell r="H23">
            <v>27.1</v>
          </cell>
          <cell r="I23">
            <v>29</v>
          </cell>
          <cell r="J23">
            <v>27.4</v>
          </cell>
          <cell r="K23">
            <v>27.8</v>
          </cell>
          <cell r="L23">
            <v>26.5</v>
          </cell>
          <cell r="M23">
            <v>28.1</v>
          </cell>
          <cell r="N23">
            <v>27.3</v>
          </cell>
          <cell r="O23">
            <v>26.4</v>
          </cell>
        </row>
        <row r="24">
          <cell r="A24">
            <v>103</v>
          </cell>
          <cell r="B24">
            <v>1</v>
          </cell>
          <cell r="C24">
            <v>12.861000000000001</v>
          </cell>
          <cell r="D24">
            <v>35.4</v>
          </cell>
          <cell r="E24">
            <v>31.6</v>
          </cell>
          <cell r="F24">
            <v>35.700000000000003</v>
          </cell>
          <cell r="G24">
            <v>30.2</v>
          </cell>
          <cell r="H24">
            <v>34.6</v>
          </cell>
          <cell r="I24">
            <v>29.7</v>
          </cell>
          <cell r="J24">
            <v>35.799999999999997</v>
          </cell>
          <cell r="K24">
            <v>31.4</v>
          </cell>
          <cell r="L24">
            <v>35.1</v>
          </cell>
          <cell r="M24">
            <v>33.299999999999997</v>
          </cell>
          <cell r="N24">
            <v>35</v>
          </cell>
          <cell r="O24">
            <v>29.5</v>
          </cell>
        </row>
        <row r="25">
          <cell r="A25">
            <v>103</v>
          </cell>
          <cell r="B25">
            <v>2</v>
          </cell>
          <cell r="C25">
            <v>12.866</v>
          </cell>
          <cell r="D25">
            <v>26.3</v>
          </cell>
          <cell r="E25">
            <v>28.9</v>
          </cell>
          <cell r="F25">
            <v>26.3</v>
          </cell>
          <cell r="G25">
            <v>27.3</v>
          </cell>
          <cell r="H25">
            <v>25.6</v>
          </cell>
          <cell r="I25">
            <v>28.7</v>
          </cell>
          <cell r="J25">
            <v>28.5</v>
          </cell>
          <cell r="K25">
            <v>27.1</v>
          </cell>
          <cell r="L25">
            <v>28.2</v>
          </cell>
          <cell r="M25">
            <v>27.4</v>
          </cell>
          <cell r="N25">
            <v>27.7</v>
          </cell>
          <cell r="O25">
            <v>28.1</v>
          </cell>
        </row>
        <row r="26">
          <cell r="A26">
            <v>102</v>
          </cell>
          <cell r="B26">
            <v>1</v>
          </cell>
          <cell r="C26">
            <v>12.877000000000001</v>
          </cell>
          <cell r="D26">
            <v>33.4</v>
          </cell>
          <cell r="E26">
            <v>31.2</v>
          </cell>
          <cell r="F26">
            <v>33.700000000000003</v>
          </cell>
          <cell r="G26">
            <v>30.9</v>
          </cell>
          <cell r="H26">
            <v>35.5</v>
          </cell>
          <cell r="I26">
            <v>33.299999999999997</v>
          </cell>
          <cell r="J26">
            <v>33.9</v>
          </cell>
          <cell r="K26">
            <v>31.1</v>
          </cell>
          <cell r="L26">
            <v>34.9</v>
          </cell>
          <cell r="M26">
            <v>32.1</v>
          </cell>
          <cell r="N26">
            <v>35.1</v>
          </cell>
          <cell r="O26">
            <v>30.4</v>
          </cell>
        </row>
        <row r="27">
          <cell r="A27">
            <v>102</v>
          </cell>
          <cell r="B27">
            <v>2</v>
          </cell>
          <cell r="C27">
            <v>12.882</v>
          </cell>
          <cell r="D27">
            <v>27.6</v>
          </cell>
          <cell r="E27">
            <v>27.1</v>
          </cell>
          <cell r="F27">
            <v>27.7</v>
          </cell>
          <cell r="G27">
            <v>27.6</v>
          </cell>
          <cell r="H27">
            <v>27.8</v>
          </cell>
          <cell r="I27">
            <v>27.5</v>
          </cell>
          <cell r="J27">
            <v>27.7</v>
          </cell>
          <cell r="K27">
            <v>28.2</v>
          </cell>
          <cell r="L27">
            <v>27.9</v>
          </cell>
          <cell r="M27">
            <v>27.3</v>
          </cell>
          <cell r="N27">
            <v>29.6</v>
          </cell>
          <cell r="O27">
            <v>26.4</v>
          </cell>
        </row>
        <row r="28">
          <cell r="A28">
            <v>101</v>
          </cell>
          <cell r="B28">
            <v>1</v>
          </cell>
          <cell r="C28">
            <v>12.894</v>
          </cell>
          <cell r="D28">
            <v>35.799999999999997</v>
          </cell>
          <cell r="E28">
            <v>33.299999999999997</v>
          </cell>
          <cell r="F28">
            <v>34.200000000000003</v>
          </cell>
          <cell r="G28">
            <v>29.9</v>
          </cell>
          <cell r="H28">
            <v>33.700000000000003</v>
          </cell>
          <cell r="I28">
            <v>31.8</v>
          </cell>
          <cell r="J28">
            <v>34.4</v>
          </cell>
          <cell r="K28">
            <v>35</v>
          </cell>
          <cell r="L28">
            <v>35.1</v>
          </cell>
          <cell r="M28">
            <v>33.9</v>
          </cell>
          <cell r="N28">
            <v>34.299999999999997</v>
          </cell>
          <cell r="O28">
            <v>33.1</v>
          </cell>
        </row>
        <row r="29">
          <cell r="A29">
            <v>101</v>
          </cell>
          <cell r="B29">
            <v>2</v>
          </cell>
          <cell r="C29">
            <v>12.898999999999999</v>
          </cell>
          <cell r="D29">
            <v>27.6</v>
          </cell>
          <cell r="E29">
            <v>26.7</v>
          </cell>
          <cell r="F29">
            <v>29.4</v>
          </cell>
          <cell r="G29">
            <v>29.1</v>
          </cell>
          <cell r="H29">
            <v>27.2</v>
          </cell>
          <cell r="I29">
            <v>29</v>
          </cell>
          <cell r="J29">
            <v>27.2</v>
          </cell>
          <cell r="K29">
            <v>26.6</v>
          </cell>
          <cell r="L29">
            <v>27.9</v>
          </cell>
          <cell r="M29">
            <v>27.4</v>
          </cell>
          <cell r="N29">
            <v>27.3</v>
          </cell>
          <cell r="O29">
            <v>28.7</v>
          </cell>
        </row>
        <row r="30">
          <cell r="A30">
            <v>201</v>
          </cell>
          <cell r="B30">
            <v>1</v>
          </cell>
          <cell r="C30">
            <v>12.916</v>
          </cell>
          <cell r="D30">
            <v>55</v>
          </cell>
          <cell r="E30">
            <v>41.2</v>
          </cell>
          <cell r="F30">
            <v>51.1</v>
          </cell>
          <cell r="G30">
            <v>37.200000000000003</v>
          </cell>
          <cell r="H30">
            <v>51.7</v>
          </cell>
          <cell r="I30">
            <v>36.700000000000003</v>
          </cell>
          <cell r="J30">
            <v>52.4</v>
          </cell>
          <cell r="K30">
            <v>37.1</v>
          </cell>
          <cell r="L30">
            <v>52.8</v>
          </cell>
          <cell r="M30">
            <v>37.9</v>
          </cell>
          <cell r="N30">
            <v>52.9</v>
          </cell>
          <cell r="O30">
            <v>35.5</v>
          </cell>
        </row>
        <row r="31">
          <cell r="A31">
            <v>201</v>
          </cell>
          <cell r="B31">
            <v>2</v>
          </cell>
          <cell r="C31">
            <v>12.920999999999999</v>
          </cell>
          <cell r="D31">
            <v>29.8</v>
          </cell>
          <cell r="E31">
            <v>26.7</v>
          </cell>
          <cell r="F31">
            <v>28.9</v>
          </cell>
          <cell r="G31">
            <v>28.1</v>
          </cell>
          <cell r="H31">
            <v>26.7</v>
          </cell>
          <cell r="I31">
            <v>28.7</v>
          </cell>
          <cell r="J31">
            <v>26.7</v>
          </cell>
          <cell r="K31">
            <v>28.5</v>
          </cell>
          <cell r="L31">
            <v>28</v>
          </cell>
          <cell r="M31">
            <v>26.7</v>
          </cell>
          <cell r="N31">
            <v>29.9</v>
          </cell>
          <cell r="O31">
            <v>26.4</v>
          </cell>
        </row>
        <row r="32">
          <cell r="A32">
            <v>202</v>
          </cell>
          <cell r="B32">
            <v>1</v>
          </cell>
          <cell r="C32">
            <v>12.932</v>
          </cell>
          <cell r="D32">
            <v>35.4</v>
          </cell>
          <cell r="E32">
            <v>34.1</v>
          </cell>
          <cell r="F32">
            <v>36.1</v>
          </cell>
          <cell r="G32">
            <v>30.3</v>
          </cell>
          <cell r="H32">
            <v>34.9</v>
          </cell>
          <cell r="I32">
            <v>30.1</v>
          </cell>
          <cell r="J32">
            <v>35.4</v>
          </cell>
          <cell r="K32">
            <v>30.5</v>
          </cell>
          <cell r="L32">
            <v>34.700000000000003</v>
          </cell>
          <cell r="M32">
            <v>29.6</v>
          </cell>
          <cell r="N32">
            <v>34.9</v>
          </cell>
          <cell r="O32">
            <v>30.5</v>
          </cell>
        </row>
        <row r="33">
          <cell r="A33">
            <v>202</v>
          </cell>
          <cell r="B33">
            <v>2</v>
          </cell>
          <cell r="C33">
            <v>12.936999999999999</v>
          </cell>
          <cell r="D33">
            <v>27.4</v>
          </cell>
          <cell r="E33">
            <v>27.9</v>
          </cell>
          <cell r="F33">
            <v>27</v>
          </cell>
          <cell r="G33">
            <v>29.5</v>
          </cell>
          <cell r="H33">
            <v>26.9</v>
          </cell>
          <cell r="I33">
            <v>27.1</v>
          </cell>
          <cell r="J33">
            <v>28.5</v>
          </cell>
          <cell r="K33">
            <v>27.2</v>
          </cell>
          <cell r="L33">
            <v>30.9</v>
          </cell>
          <cell r="M33">
            <v>28.3</v>
          </cell>
          <cell r="N33">
            <v>29</v>
          </cell>
          <cell r="O33">
            <v>28.9</v>
          </cell>
        </row>
        <row r="34">
          <cell r="A34">
            <v>203</v>
          </cell>
          <cell r="B34">
            <v>1</v>
          </cell>
          <cell r="C34">
            <v>12.946999999999999</v>
          </cell>
          <cell r="D34">
            <v>33.9</v>
          </cell>
          <cell r="E34">
            <v>34.6</v>
          </cell>
          <cell r="F34">
            <v>35</v>
          </cell>
          <cell r="G34">
            <v>30.2</v>
          </cell>
          <cell r="H34">
            <v>34.700000000000003</v>
          </cell>
          <cell r="I34">
            <v>30.8</v>
          </cell>
          <cell r="J34">
            <v>36.299999999999997</v>
          </cell>
          <cell r="K34">
            <v>40.299999999999997</v>
          </cell>
          <cell r="L34">
            <v>36.700000000000003</v>
          </cell>
          <cell r="M34">
            <v>30.4</v>
          </cell>
          <cell r="N34">
            <v>35.299999999999997</v>
          </cell>
          <cell r="O34">
            <v>31.7</v>
          </cell>
        </row>
        <row r="35">
          <cell r="A35">
            <v>203</v>
          </cell>
          <cell r="B35">
            <v>2</v>
          </cell>
          <cell r="C35">
            <v>12.951000000000001</v>
          </cell>
          <cell r="D35">
            <v>27.3</v>
          </cell>
          <cell r="E35">
            <v>27.9</v>
          </cell>
          <cell r="F35">
            <v>26.7</v>
          </cell>
          <cell r="G35">
            <v>27.9</v>
          </cell>
          <cell r="H35">
            <v>27.5</v>
          </cell>
          <cell r="I35">
            <v>28.5</v>
          </cell>
          <cell r="J35">
            <v>27.4</v>
          </cell>
          <cell r="K35">
            <v>28.2</v>
          </cell>
          <cell r="L35">
            <v>28.1</v>
          </cell>
          <cell r="M35">
            <v>28</v>
          </cell>
          <cell r="N35">
            <v>27.9</v>
          </cell>
          <cell r="O35">
            <v>29</v>
          </cell>
        </row>
        <row r="36">
          <cell r="A36">
            <v>204</v>
          </cell>
          <cell r="B36">
            <v>1</v>
          </cell>
          <cell r="C36">
            <v>12.961</v>
          </cell>
          <cell r="D36">
            <v>49.6</v>
          </cell>
          <cell r="E36">
            <v>43.2</v>
          </cell>
          <cell r="F36">
            <v>47.7</v>
          </cell>
          <cell r="G36">
            <v>38</v>
          </cell>
          <cell r="H36">
            <v>53.3</v>
          </cell>
          <cell r="I36">
            <v>38.700000000000003</v>
          </cell>
          <cell r="J36">
            <v>54.1</v>
          </cell>
          <cell r="K36">
            <v>34.5</v>
          </cell>
          <cell r="L36">
            <v>52.1</v>
          </cell>
          <cell r="M36">
            <v>38.6</v>
          </cell>
          <cell r="N36">
            <v>53.7</v>
          </cell>
          <cell r="O36">
            <v>35.700000000000003</v>
          </cell>
        </row>
        <row r="37">
          <cell r="A37">
            <v>204</v>
          </cell>
          <cell r="B37">
            <v>2</v>
          </cell>
          <cell r="C37">
            <v>12.965999999999999</v>
          </cell>
          <cell r="D37">
            <v>28.8</v>
          </cell>
          <cell r="E37">
            <v>28.1</v>
          </cell>
          <cell r="F37">
            <v>26.5</v>
          </cell>
          <cell r="G37">
            <v>26.7</v>
          </cell>
          <cell r="H37">
            <v>29.1</v>
          </cell>
          <cell r="I37">
            <v>29.1</v>
          </cell>
          <cell r="J37">
            <v>28.8</v>
          </cell>
          <cell r="K37">
            <v>28.8</v>
          </cell>
          <cell r="L37">
            <v>27.2</v>
          </cell>
          <cell r="M37">
            <v>27.9</v>
          </cell>
          <cell r="N37">
            <v>28.5</v>
          </cell>
          <cell r="O37">
            <v>28.5</v>
          </cell>
        </row>
        <row r="38">
          <cell r="A38">
            <v>205</v>
          </cell>
          <cell r="B38">
            <v>1</v>
          </cell>
          <cell r="C38">
            <v>12.978</v>
          </cell>
          <cell r="D38">
            <v>34.6</v>
          </cell>
          <cell r="E38">
            <v>38.4</v>
          </cell>
          <cell r="F38">
            <v>36</v>
          </cell>
          <cell r="G38">
            <v>32.4</v>
          </cell>
          <cell r="H38">
            <v>35.200000000000003</v>
          </cell>
          <cell r="I38">
            <v>33.299999999999997</v>
          </cell>
          <cell r="J38">
            <v>35.200000000000003</v>
          </cell>
          <cell r="K38">
            <v>37.9</v>
          </cell>
          <cell r="L38">
            <v>35.4</v>
          </cell>
          <cell r="M38">
            <v>30.8</v>
          </cell>
          <cell r="N38">
            <v>34.9</v>
          </cell>
          <cell r="O38">
            <v>34.6</v>
          </cell>
        </row>
        <row r="39">
          <cell r="A39">
            <v>205</v>
          </cell>
          <cell r="B39">
            <v>2</v>
          </cell>
          <cell r="C39">
            <v>12.983000000000001</v>
          </cell>
          <cell r="D39">
            <v>26.5</v>
          </cell>
          <cell r="E39">
            <v>27.1</v>
          </cell>
          <cell r="F39">
            <v>27.3</v>
          </cell>
          <cell r="G39">
            <v>26.4</v>
          </cell>
          <cell r="H39">
            <v>27.4</v>
          </cell>
          <cell r="I39">
            <v>28.1</v>
          </cell>
          <cell r="J39">
            <v>27.5</v>
          </cell>
          <cell r="K39">
            <v>27.1</v>
          </cell>
          <cell r="L39">
            <v>26.9</v>
          </cell>
          <cell r="M39">
            <v>28.1</v>
          </cell>
          <cell r="N39">
            <v>26.6</v>
          </cell>
          <cell r="O39">
            <v>27.6</v>
          </cell>
        </row>
        <row r="40">
          <cell r="A40">
            <v>206</v>
          </cell>
          <cell r="B40">
            <v>1</v>
          </cell>
          <cell r="C40">
            <v>12.993</v>
          </cell>
          <cell r="D40">
            <v>55</v>
          </cell>
          <cell r="E40">
            <v>53.2</v>
          </cell>
          <cell r="F40">
            <v>52.6</v>
          </cell>
          <cell r="G40">
            <v>52.4</v>
          </cell>
          <cell r="H40">
            <v>56.3</v>
          </cell>
          <cell r="I40">
            <v>47.5</v>
          </cell>
          <cell r="J40">
            <v>55.9</v>
          </cell>
          <cell r="K40">
            <v>49.6</v>
          </cell>
          <cell r="L40">
            <v>57.9</v>
          </cell>
          <cell r="M40">
            <v>42.7</v>
          </cell>
          <cell r="N40">
            <v>58.4</v>
          </cell>
          <cell r="O40">
            <v>57</v>
          </cell>
        </row>
        <row r="41">
          <cell r="A41">
            <v>206</v>
          </cell>
          <cell r="B41">
            <v>2</v>
          </cell>
          <cell r="C41">
            <v>12.997999999999999</v>
          </cell>
          <cell r="D41">
            <v>30.5</v>
          </cell>
          <cell r="E41">
            <v>28.6</v>
          </cell>
          <cell r="F41">
            <v>27.6</v>
          </cell>
          <cell r="G41">
            <v>28.4</v>
          </cell>
          <cell r="H41">
            <v>29.1</v>
          </cell>
          <cell r="I41">
            <v>28.7</v>
          </cell>
          <cell r="J41">
            <v>28.1</v>
          </cell>
          <cell r="K41">
            <v>27.9</v>
          </cell>
          <cell r="L41">
            <v>30</v>
          </cell>
          <cell r="M41">
            <v>32.200000000000003</v>
          </cell>
          <cell r="N41">
            <v>30.1</v>
          </cell>
          <cell r="O41">
            <v>33.9</v>
          </cell>
        </row>
        <row r="42">
          <cell r="A42">
            <v>207</v>
          </cell>
          <cell r="B42">
            <v>1</v>
          </cell>
          <cell r="C42">
            <v>13.010999999999999</v>
          </cell>
          <cell r="D42">
            <v>34.9</v>
          </cell>
          <cell r="E42">
            <v>33.700000000000003</v>
          </cell>
          <cell r="F42">
            <v>38.799999999999997</v>
          </cell>
          <cell r="G42">
            <v>30.4</v>
          </cell>
          <cell r="H42">
            <v>36.299999999999997</v>
          </cell>
          <cell r="I42">
            <v>30.8</v>
          </cell>
          <cell r="J42">
            <v>35.700000000000003</v>
          </cell>
          <cell r="K42">
            <v>30.7</v>
          </cell>
          <cell r="L42">
            <v>34.200000000000003</v>
          </cell>
          <cell r="M42">
            <v>35</v>
          </cell>
          <cell r="N42">
            <v>34.299999999999997</v>
          </cell>
          <cell r="O42">
            <v>32.1</v>
          </cell>
        </row>
        <row r="43">
          <cell r="A43">
            <v>207</v>
          </cell>
          <cell r="B43">
            <v>2</v>
          </cell>
          <cell r="C43">
            <v>13.016</v>
          </cell>
          <cell r="D43">
            <v>26.6</v>
          </cell>
          <cell r="E43">
            <v>26.8</v>
          </cell>
          <cell r="F43">
            <v>30.8</v>
          </cell>
          <cell r="G43">
            <v>26.4</v>
          </cell>
          <cell r="H43">
            <v>27.6</v>
          </cell>
          <cell r="I43">
            <v>27</v>
          </cell>
          <cell r="J43">
            <v>32.799999999999997</v>
          </cell>
          <cell r="K43">
            <v>27.6</v>
          </cell>
          <cell r="L43">
            <v>27.9</v>
          </cell>
          <cell r="M43">
            <v>26.4</v>
          </cell>
          <cell r="N43">
            <v>28</v>
          </cell>
          <cell r="O43">
            <v>28.6</v>
          </cell>
        </row>
        <row r="44">
          <cell r="A44">
            <v>208</v>
          </cell>
          <cell r="B44">
            <v>1</v>
          </cell>
          <cell r="C44">
            <v>13.031000000000001</v>
          </cell>
          <cell r="D44">
            <v>34.5</v>
          </cell>
          <cell r="E44">
            <v>34</v>
          </cell>
          <cell r="F44">
            <v>35.1</v>
          </cell>
          <cell r="G44">
            <v>35</v>
          </cell>
          <cell r="H44">
            <v>35.700000000000003</v>
          </cell>
          <cell r="I44">
            <v>35.4</v>
          </cell>
          <cell r="J44">
            <v>35.1</v>
          </cell>
          <cell r="K44">
            <v>35.700000000000003</v>
          </cell>
          <cell r="L44">
            <v>35.6</v>
          </cell>
          <cell r="M44">
            <v>33.1</v>
          </cell>
          <cell r="N44">
            <v>35.4</v>
          </cell>
          <cell r="O44">
            <v>31.8</v>
          </cell>
        </row>
        <row r="45">
          <cell r="A45">
            <v>208</v>
          </cell>
          <cell r="B45">
            <v>2</v>
          </cell>
          <cell r="C45">
            <v>13.035</v>
          </cell>
          <cell r="D45">
            <v>26.9</v>
          </cell>
          <cell r="E45">
            <v>27.8</v>
          </cell>
          <cell r="F45">
            <v>28.3</v>
          </cell>
          <cell r="G45">
            <v>25.9</v>
          </cell>
          <cell r="H45">
            <v>28.6</v>
          </cell>
          <cell r="I45">
            <v>29</v>
          </cell>
          <cell r="J45">
            <v>27.2</v>
          </cell>
          <cell r="K45">
            <v>27.8</v>
          </cell>
          <cell r="L45">
            <v>26.9</v>
          </cell>
          <cell r="M45">
            <v>27.2</v>
          </cell>
          <cell r="N45">
            <v>28.6</v>
          </cell>
          <cell r="O45">
            <v>27</v>
          </cell>
        </row>
        <row r="46">
          <cell r="A46">
            <v>908</v>
          </cell>
          <cell r="B46">
            <v>1</v>
          </cell>
          <cell r="C46">
            <v>13.051</v>
          </cell>
          <cell r="D46">
            <v>33.700000000000003</v>
          </cell>
          <cell r="E46">
            <v>32</v>
          </cell>
          <cell r="F46">
            <v>32.700000000000003</v>
          </cell>
          <cell r="G46">
            <v>32.4</v>
          </cell>
          <cell r="H46">
            <v>34.700000000000003</v>
          </cell>
          <cell r="I46">
            <v>33.200000000000003</v>
          </cell>
          <cell r="J46">
            <v>33.799999999999997</v>
          </cell>
          <cell r="K46">
            <v>34.299999999999997</v>
          </cell>
          <cell r="L46">
            <v>34.299999999999997</v>
          </cell>
          <cell r="M46">
            <v>34.5</v>
          </cell>
          <cell r="N46">
            <v>34.1</v>
          </cell>
          <cell r="O46">
            <v>29.8</v>
          </cell>
        </row>
        <row r="47">
          <cell r="A47">
            <v>908</v>
          </cell>
          <cell r="B47">
            <v>2</v>
          </cell>
          <cell r="C47">
            <v>13.057</v>
          </cell>
          <cell r="D47">
            <v>27.2</v>
          </cell>
          <cell r="E47">
            <v>27.2</v>
          </cell>
          <cell r="F47">
            <v>26.9</v>
          </cell>
          <cell r="G47">
            <v>27.7</v>
          </cell>
          <cell r="H47">
            <v>28.2</v>
          </cell>
          <cell r="I47">
            <v>28.4</v>
          </cell>
          <cell r="J47">
            <v>27.1</v>
          </cell>
          <cell r="K47">
            <v>25.8</v>
          </cell>
          <cell r="L47">
            <v>26.9</v>
          </cell>
          <cell r="M47">
            <v>25.7</v>
          </cell>
          <cell r="N47">
            <v>26.9</v>
          </cell>
          <cell r="O47">
            <v>27.8</v>
          </cell>
        </row>
        <row r="48">
          <cell r="A48">
            <v>907</v>
          </cell>
          <cell r="B48">
            <v>1</v>
          </cell>
          <cell r="C48">
            <v>13.068</v>
          </cell>
          <cell r="D48">
            <v>61.6</v>
          </cell>
          <cell r="E48">
            <v>62.6</v>
          </cell>
          <cell r="F48">
            <v>62.4</v>
          </cell>
          <cell r="G48">
            <v>62.4</v>
          </cell>
          <cell r="H48">
            <v>61.5</v>
          </cell>
          <cell r="I48">
            <v>61.1</v>
          </cell>
          <cell r="J48">
            <v>61.2</v>
          </cell>
          <cell r="K48">
            <v>61.3</v>
          </cell>
          <cell r="L48">
            <v>61.4</v>
          </cell>
          <cell r="M48">
            <v>61.5</v>
          </cell>
          <cell r="N48">
            <v>61.4</v>
          </cell>
          <cell r="O48">
            <v>62.1</v>
          </cell>
        </row>
        <row r="50">
          <cell r="A50">
            <v>906</v>
          </cell>
          <cell r="B50">
            <v>1</v>
          </cell>
          <cell r="C50">
            <v>13.074</v>
          </cell>
          <cell r="D50">
            <v>34.4</v>
          </cell>
          <cell r="E50">
            <v>32.700000000000003</v>
          </cell>
          <cell r="F50">
            <v>33.700000000000003</v>
          </cell>
          <cell r="G50">
            <v>31.1</v>
          </cell>
          <cell r="H50">
            <v>34.5</v>
          </cell>
          <cell r="I50">
            <v>36.5</v>
          </cell>
          <cell r="J50">
            <v>35.5</v>
          </cell>
          <cell r="K50">
            <v>34.1</v>
          </cell>
          <cell r="L50">
            <v>34.1</v>
          </cell>
          <cell r="M50">
            <v>32.799999999999997</v>
          </cell>
          <cell r="N50">
            <v>33.700000000000003</v>
          </cell>
          <cell r="O50">
            <v>30.1</v>
          </cell>
        </row>
        <row r="51">
          <cell r="A51">
            <v>906</v>
          </cell>
          <cell r="B51">
            <v>2</v>
          </cell>
          <cell r="C51">
            <v>13.079000000000001</v>
          </cell>
          <cell r="D51">
            <v>27.8</v>
          </cell>
          <cell r="E51">
            <v>27.1</v>
          </cell>
          <cell r="F51">
            <v>29.5</v>
          </cell>
          <cell r="G51">
            <v>28.1</v>
          </cell>
          <cell r="H51">
            <v>28.1</v>
          </cell>
          <cell r="I51">
            <v>28.7</v>
          </cell>
          <cell r="J51">
            <v>27.4</v>
          </cell>
          <cell r="K51">
            <v>26.6</v>
          </cell>
          <cell r="L51">
            <v>26.9</v>
          </cell>
          <cell r="M51">
            <v>27.1</v>
          </cell>
          <cell r="N51">
            <v>27.1</v>
          </cell>
          <cell r="O51">
            <v>26.5</v>
          </cell>
        </row>
        <row r="52">
          <cell r="A52">
            <v>905</v>
          </cell>
          <cell r="B52">
            <v>1</v>
          </cell>
          <cell r="C52">
            <v>13.09</v>
          </cell>
          <cell r="D52">
            <v>34</v>
          </cell>
          <cell r="E52">
            <v>34</v>
          </cell>
          <cell r="F52">
            <v>33.700000000000003</v>
          </cell>
          <cell r="G52">
            <v>33.9</v>
          </cell>
          <cell r="H52">
            <v>34.1</v>
          </cell>
          <cell r="I52">
            <v>33.9</v>
          </cell>
          <cell r="J52">
            <v>36.1</v>
          </cell>
          <cell r="K52">
            <v>33.4</v>
          </cell>
          <cell r="L52">
            <v>33.4</v>
          </cell>
          <cell r="M52">
            <v>33.200000000000003</v>
          </cell>
          <cell r="N52">
            <v>32.799999999999997</v>
          </cell>
          <cell r="O52">
            <v>32.9</v>
          </cell>
        </row>
        <row r="54">
          <cell r="A54">
            <v>904</v>
          </cell>
          <cell r="B54">
            <v>1</v>
          </cell>
          <cell r="C54">
            <v>13.096</v>
          </cell>
          <cell r="D54">
            <v>33.9</v>
          </cell>
          <cell r="E54">
            <v>32.1</v>
          </cell>
          <cell r="F54">
            <v>32.9</v>
          </cell>
          <cell r="G54">
            <v>29.7</v>
          </cell>
          <cell r="H54">
            <v>34.5</v>
          </cell>
          <cell r="I54">
            <v>32</v>
          </cell>
          <cell r="J54">
            <v>34</v>
          </cell>
          <cell r="K54">
            <v>31.1</v>
          </cell>
          <cell r="L54">
            <v>33.799999999999997</v>
          </cell>
          <cell r="M54">
            <v>30.7</v>
          </cell>
          <cell r="N54">
            <v>33.200000000000003</v>
          </cell>
          <cell r="O54">
            <v>32.299999999999997</v>
          </cell>
        </row>
        <row r="55">
          <cell r="A55">
            <v>904</v>
          </cell>
          <cell r="B55">
            <v>2</v>
          </cell>
          <cell r="C55">
            <v>13.101000000000001</v>
          </cell>
          <cell r="D55">
            <v>26.7</v>
          </cell>
          <cell r="E55">
            <v>27.2</v>
          </cell>
          <cell r="F55">
            <v>27.9</v>
          </cell>
          <cell r="G55">
            <v>26.7</v>
          </cell>
          <cell r="H55">
            <v>28</v>
          </cell>
          <cell r="I55">
            <v>27.6</v>
          </cell>
          <cell r="J55">
            <v>28.9</v>
          </cell>
          <cell r="K55">
            <v>26.3</v>
          </cell>
          <cell r="L55">
            <v>26.7</v>
          </cell>
          <cell r="M55">
            <v>27.1</v>
          </cell>
          <cell r="N55">
            <v>27.2</v>
          </cell>
          <cell r="O55">
            <v>26.6</v>
          </cell>
        </row>
        <row r="56">
          <cell r="A56">
            <v>903</v>
          </cell>
          <cell r="B56">
            <v>1</v>
          </cell>
          <cell r="C56">
            <v>13.113</v>
          </cell>
          <cell r="D56">
            <v>61.8</v>
          </cell>
          <cell r="E56">
            <v>61.5</v>
          </cell>
          <cell r="F56">
            <v>61.5</v>
          </cell>
          <cell r="G56">
            <v>62.1</v>
          </cell>
          <cell r="H56">
            <v>61.9</v>
          </cell>
          <cell r="I56">
            <v>61.2</v>
          </cell>
          <cell r="J56">
            <v>60.4</v>
          </cell>
          <cell r="K56">
            <v>61.1</v>
          </cell>
          <cell r="L56">
            <v>60.6</v>
          </cell>
          <cell r="M56">
            <v>61.4</v>
          </cell>
          <cell r="N56">
            <v>61</v>
          </cell>
          <cell r="O56">
            <v>62.1</v>
          </cell>
        </row>
        <row r="58">
          <cell r="A58">
            <v>902</v>
          </cell>
          <cell r="B58">
            <v>1</v>
          </cell>
          <cell r="C58">
            <v>13.119</v>
          </cell>
          <cell r="D58">
            <v>34</v>
          </cell>
          <cell r="E58">
            <v>30.4</v>
          </cell>
          <cell r="F58">
            <v>33.200000000000003</v>
          </cell>
          <cell r="G58">
            <v>28.7</v>
          </cell>
          <cell r="H58">
            <v>33.4</v>
          </cell>
          <cell r="I58">
            <v>30.5</v>
          </cell>
          <cell r="J58">
            <v>35.4</v>
          </cell>
          <cell r="K58">
            <v>30.1</v>
          </cell>
          <cell r="L58">
            <v>34.5</v>
          </cell>
          <cell r="M58">
            <v>29.9</v>
          </cell>
          <cell r="N58">
            <v>33.1</v>
          </cell>
          <cell r="O58">
            <v>29.8</v>
          </cell>
        </row>
        <row r="59">
          <cell r="A59">
            <v>902</v>
          </cell>
          <cell r="B59">
            <v>2</v>
          </cell>
          <cell r="C59">
            <v>13.124000000000001</v>
          </cell>
          <cell r="D59">
            <v>26.9</v>
          </cell>
          <cell r="E59">
            <v>26.3</v>
          </cell>
          <cell r="F59">
            <v>28.1</v>
          </cell>
          <cell r="G59">
            <v>28.2</v>
          </cell>
          <cell r="H59">
            <v>27.8</v>
          </cell>
          <cell r="I59">
            <v>27</v>
          </cell>
          <cell r="J59">
            <v>28</v>
          </cell>
          <cell r="K59">
            <v>27.8</v>
          </cell>
          <cell r="L59">
            <v>28.2</v>
          </cell>
          <cell r="M59">
            <v>28.2</v>
          </cell>
          <cell r="N59">
            <v>27.7</v>
          </cell>
          <cell r="O59">
            <v>27.4</v>
          </cell>
        </row>
        <row r="60">
          <cell r="A60">
            <v>901</v>
          </cell>
          <cell r="B60">
            <v>1</v>
          </cell>
          <cell r="C60">
            <v>13.134</v>
          </cell>
          <cell r="D60">
            <v>33.5</v>
          </cell>
          <cell r="E60">
            <v>33.799999999999997</v>
          </cell>
          <cell r="F60">
            <v>32.6</v>
          </cell>
          <cell r="G60">
            <v>33</v>
          </cell>
          <cell r="H60">
            <v>33.1</v>
          </cell>
          <cell r="I60">
            <v>33.1</v>
          </cell>
          <cell r="J60">
            <v>33.1</v>
          </cell>
          <cell r="K60">
            <v>32.700000000000003</v>
          </cell>
          <cell r="L60">
            <v>32.200000000000003</v>
          </cell>
          <cell r="M60">
            <v>32.299999999999997</v>
          </cell>
          <cell r="N60">
            <v>33.6</v>
          </cell>
          <cell r="O60">
            <v>32.4</v>
          </cell>
        </row>
        <row r="62">
          <cell r="A62">
            <v>301</v>
          </cell>
          <cell r="B62">
            <v>1</v>
          </cell>
          <cell r="C62">
            <v>13.144</v>
          </cell>
          <cell r="D62">
            <v>56.3</v>
          </cell>
          <cell r="E62">
            <v>49</v>
          </cell>
          <cell r="F62">
            <v>53.5</v>
          </cell>
          <cell r="G62">
            <v>48.4</v>
          </cell>
          <cell r="H62">
            <v>53.9</v>
          </cell>
          <cell r="I62">
            <v>44.2</v>
          </cell>
          <cell r="J62">
            <v>55.3</v>
          </cell>
          <cell r="K62">
            <v>48</v>
          </cell>
          <cell r="L62">
            <v>55.2</v>
          </cell>
          <cell r="M62">
            <v>50</v>
          </cell>
          <cell r="N62">
            <v>54.8</v>
          </cell>
          <cell r="O62">
            <v>44.2</v>
          </cell>
        </row>
        <row r="63">
          <cell r="A63">
            <v>301</v>
          </cell>
          <cell r="B63">
            <v>2</v>
          </cell>
          <cell r="C63">
            <v>13.148999999999999</v>
          </cell>
          <cell r="D63">
            <v>32.700000000000003</v>
          </cell>
          <cell r="E63">
            <v>27.4</v>
          </cell>
          <cell r="F63">
            <v>28.4</v>
          </cell>
          <cell r="G63">
            <v>28.6</v>
          </cell>
          <cell r="H63">
            <v>27.6</v>
          </cell>
          <cell r="I63">
            <v>27.3</v>
          </cell>
          <cell r="J63">
            <v>28</v>
          </cell>
          <cell r="K63">
            <v>27.8</v>
          </cell>
          <cell r="L63">
            <v>32.5</v>
          </cell>
          <cell r="M63">
            <v>29.1</v>
          </cell>
          <cell r="N63">
            <v>28</v>
          </cell>
          <cell r="O63">
            <v>29.5</v>
          </cell>
        </row>
        <row r="64">
          <cell r="A64">
            <v>302</v>
          </cell>
          <cell r="B64">
            <v>1</v>
          </cell>
          <cell r="C64">
            <v>13.159000000000001</v>
          </cell>
          <cell r="D64">
            <v>34.5</v>
          </cell>
          <cell r="E64">
            <v>35.299999999999997</v>
          </cell>
          <cell r="F64">
            <v>35.700000000000003</v>
          </cell>
          <cell r="G64">
            <v>34</v>
          </cell>
          <cell r="H64">
            <v>35.700000000000003</v>
          </cell>
          <cell r="I64">
            <v>32</v>
          </cell>
          <cell r="J64">
            <v>35.200000000000003</v>
          </cell>
          <cell r="K64">
            <v>30.7</v>
          </cell>
          <cell r="L64">
            <v>35</v>
          </cell>
          <cell r="M64">
            <v>31.1</v>
          </cell>
          <cell r="N64">
            <v>35.200000000000003</v>
          </cell>
          <cell r="O64">
            <v>33.1</v>
          </cell>
        </row>
        <row r="65">
          <cell r="A65">
            <v>302</v>
          </cell>
          <cell r="B65">
            <v>2</v>
          </cell>
          <cell r="C65">
            <v>13.164</v>
          </cell>
          <cell r="D65">
            <v>26.6</v>
          </cell>
          <cell r="E65">
            <v>27.2</v>
          </cell>
          <cell r="F65">
            <v>26.5</v>
          </cell>
          <cell r="G65">
            <v>27.3</v>
          </cell>
          <cell r="H65">
            <v>26.4</v>
          </cell>
          <cell r="I65">
            <v>25.6</v>
          </cell>
          <cell r="J65">
            <v>26.6</v>
          </cell>
          <cell r="K65">
            <v>26.1</v>
          </cell>
          <cell r="L65">
            <v>26.2</v>
          </cell>
          <cell r="M65">
            <v>27.6</v>
          </cell>
          <cell r="N65">
            <v>26.8</v>
          </cell>
          <cell r="O65">
            <v>27.1</v>
          </cell>
        </row>
        <row r="66">
          <cell r="A66">
            <v>303</v>
          </cell>
          <cell r="B66">
            <v>1</v>
          </cell>
          <cell r="C66">
            <v>13.175000000000001</v>
          </cell>
          <cell r="D66">
            <v>54.4</v>
          </cell>
          <cell r="E66">
            <v>55.9</v>
          </cell>
          <cell r="F66">
            <v>54.9</v>
          </cell>
          <cell r="G66">
            <v>50.8</v>
          </cell>
          <cell r="H66">
            <v>55.7</v>
          </cell>
          <cell r="I66">
            <v>43.3</v>
          </cell>
          <cell r="J66">
            <v>55.6</v>
          </cell>
          <cell r="K66">
            <v>43.4</v>
          </cell>
          <cell r="L66">
            <v>55.2</v>
          </cell>
          <cell r="M66">
            <v>45.2</v>
          </cell>
          <cell r="N66">
            <v>56.7</v>
          </cell>
          <cell r="O66">
            <v>48.3</v>
          </cell>
        </row>
        <row r="67">
          <cell r="A67">
            <v>303</v>
          </cell>
          <cell r="B67">
            <v>2</v>
          </cell>
          <cell r="C67">
            <v>13.18</v>
          </cell>
          <cell r="D67">
            <v>31.3</v>
          </cell>
          <cell r="E67">
            <v>29</v>
          </cell>
          <cell r="F67">
            <v>29</v>
          </cell>
          <cell r="G67">
            <v>29.1</v>
          </cell>
          <cell r="H67">
            <v>29.2</v>
          </cell>
          <cell r="I67">
            <v>31</v>
          </cell>
          <cell r="J67">
            <v>29.4</v>
          </cell>
          <cell r="K67">
            <v>30.6</v>
          </cell>
          <cell r="L67">
            <v>29.1</v>
          </cell>
          <cell r="M67">
            <v>28.8</v>
          </cell>
          <cell r="N67">
            <v>28</v>
          </cell>
          <cell r="O67">
            <v>27.8</v>
          </cell>
        </row>
        <row r="68">
          <cell r="A68">
            <v>304</v>
          </cell>
          <cell r="B68">
            <v>1</v>
          </cell>
          <cell r="C68">
            <v>13.194000000000001</v>
          </cell>
          <cell r="D68">
            <v>34.200000000000003</v>
          </cell>
          <cell r="E68">
            <v>34</v>
          </cell>
          <cell r="F68">
            <v>34.799999999999997</v>
          </cell>
          <cell r="G68">
            <v>33.6</v>
          </cell>
          <cell r="H68">
            <v>34.9</v>
          </cell>
          <cell r="I68">
            <v>36.4</v>
          </cell>
          <cell r="J68">
            <v>36.5</v>
          </cell>
          <cell r="K68">
            <v>30.8</v>
          </cell>
          <cell r="L68">
            <v>35.200000000000003</v>
          </cell>
          <cell r="M68">
            <v>33.6</v>
          </cell>
          <cell r="N68">
            <v>35.200000000000003</v>
          </cell>
          <cell r="O68">
            <v>37</v>
          </cell>
        </row>
        <row r="69">
          <cell r="A69">
            <v>304</v>
          </cell>
          <cell r="B69">
            <v>2</v>
          </cell>
          <cell r="C69">
            <v>13.198</v>
          </cell>
          <cell r="D69">
            <v>27.7</v>
          </cell>
          <cell r="E69">
            <v>27.7</v>
          </cell>
          <cell r="F69">
            <v>27.2</v>
          </cell>
          <cell r="G69">
            <v>27.5</v>
          </cell>
          <cell r="H69">
            <v>27.1</v>
          </cell>
          <cell r="I69">
            <v>26.4</v>
          </cell>
          <cell r="J69">
            <v>28.1</v>
          </cell>
          <cell r="K69">
            <v>28.6</v>
          </cell>
          <cell r="L69">
            <v>27.6</v>
          </cell>
          <cell r="M69">
            <v>28.4</v>
          </cell>
          <cell r="N69">
            <v>27.6</v>
          </cell>
          <cell r="O69">
            <v>29.2</v>
          </cell>
        </row>
        <row r="70">
          <cell r="A70">
            <v>305</v>
          </cell>
          <cell r="B70">
            <v>1</v>
          </cell>
          <cell r="C70">
            <v>13.212</v>
          </cell>
          <cell r="D70">
            <v>44.8</v>
          </cell>
          <cell r="E70">
            <v>42.3</v>
          </cell>
          <cell r="F70">
            <v>44.8</v>
          </cell>
          <cell r="G70">
            <v>50.3</v>
          </cell>
          <cell r="H70">
            <v>47.5</v>
          </cell>
          <cell r="I70">
            <v>52.5</v>
          </cell>
          <cell r="J70">
            <v>38.700000000000003</v>
          </cell>
          <cell r="K70">
            <v>51.5</v>
          </cell>
          <cell r="L70">
            <v>38.5</v>
          </cell>
          <cell r="M70">
            <v>52.1</v>
          </cell>
          <cell r="N70">
            <v>37</v>
          </cell>
          <cell r="O70">
            <v>51.5</v>
          </cell>
        </row>
        <row r="71">
          <cell r="A71">
            <v>305</v>
          </cell>
          <cell r="B71">
            <v>2</v>
          </cell>
          <cell r="C71">
            <v>13.218</v>
          </cell>
          <cell r="D71">
            <v>30</v>
          </cell>
          <cell r="E71">
            <v>27.6</v>
          </cell>
          <cell r="F71">
            <v>27.9</v>
          </cell>
          <cell r="G71">
            <v>27.5</v>
          </cell>
          <cell r="H71">
            <v>28.3</v>
          </cell>
          <cell r="I71">
            <v>30.9</v>
          </cell>
          <cell r="J71">
            <v>30.8</v>
          </cell>
          <cell r="K71">
            <v>30.4</v>
          </cell>
          <cell r="L71">
            <v>27.9</v>
          </cell>
          <cell r="M71">
            <v>29.2</v>
          </cell>
          <cell r="N71">
            <v>27.9</v>
          </cell>
          <cell r="O71">
            <v>30.8</v>
          </cell>
        </row>
        <row r="72">
          <cell r="A72">
            <v>306</v>
          </cell>
          <cell r="B72">
            <v>1</v>
          </cell>
          <cell r="C72">
            <v>13.23</v>
          </cell>
          <cell r="D72">
            <v>35.299999999999997</v>
          </cell>
          <cell r="E72">
            <v>33.1</v>
          </cell>
          <cell r="F72">
            <v>35.9</v>
          </cell>
          <cell r="G72">
            <v>32.5</v>
          </cell>
          <cell r="H72">
            <v>36.6</v>
          </cell>
          <cell r="I72">
            <v>30.8</v>
          </cell>
          <cell r="J72">
            <v>36.4</v>
          </cell>
          <cell r="K72">
            <v>30.6</v>
          </cell>
          <cell r="L72">
            <v>36.299999999999997</v>
          </cell>
          <cell r="M72">
            <v>30.8</v>
          </cell>
          <cell r="N72">
            <v>35.700000000000003</v>
          </cell>
          <cell r="O72">
            <v>31.9</v>
          </cell>
        </row>
        <row r="73">
          <cell r="A73">
            <v>306</v>
          </cell>
          <cell r="B73">
            <v>2</v>
          </cell>
          <cell r="C73">
            <v>13.234999999999999</v>
          </cell>
          <cell r="D73">
            <v>28.5</v>
          </cell>
          <cell r="E73">
            <v>28.8</v>
          </cell>
          <cell r="F73">
            <v>28.1</v>
          </cell>
          <cell r="G73">
            <v>30.1</v>
          </cell>
          <cell r="H73">
            <v>30.3</v>
          </cell>
          <cell r="I73">
            <v>30.1</v>
          </cell>
          <cell r="J73">
            <v>30.1</v>
          </cell>
          <cell r="K73">
            <v>30.6</v>
          </cell>
          <cell r="L73">
            <v>31.2</v>
          </cell>
          <cell r="M73">
            <v>31</v>
          </cell>
          <cell r="N73">
            <v>30.9</v>
          </cell>
          <cell r="O73">
            <v>29.8</v>
          </cell>
        </row>
        <row r="74">
          <cell r="A74">
            <v>307</v>
          </cell>
          <cell r="B74">
            <v>1</v>
          </cell>
          <cell r="C74">
            <v>13.247</v>
          </cell>
          <cell r="D74">
            <v>37.700000000000003</v>
          </cell>
          <cell r="E74">
            <v>33.700000000000003</v>
          </cell>
          <cell r="F74">
            <v>37.4</v>
          </cell>
          <cell r="G74">
            <v>31</v>
          </cell>
          <cell r="H74">
            <v>37.299999999999997</v>
          </cell>
          <cell r="I74">
            <v>32.299999999999997</v>
          </cell>
          <cell r="J74">
            <v>37.1</v>
          </cell>
          <cell r="K74">
            <v>32.9</v>
          </cell>
          <cell r="L74">
            <v>37</v>
          </cell>
          <cell r="M74">
            <v>32.9</v>
          </cell>
          <cell r="N74">
            <v>37</v>
          </cell>
          <cell r="O74">
            <v>33</v>
          </cell>
        </row>
        <row r="75">
          <cell r="A75">
            <v>307</v>
          </cell>
          <cell r="B75">
            <v>2</v>
          </cell>
          <cell r="C75">
            <v>13.253</v>
          </cell>
          <cell r="D75">
            <v>28.8</v>
          </cell>
          <cell r="E75">
            <v>30.4</v>
          </cell>
          <cell r="F75">
            <v>30.2</v>
          </cell>
          <cell r="G75">
            <v>30.8</v>
          </cell>
          <cell r="H75">
            <v>28.2</v>
          </cell>
          <cell r="I75">
            <v>30.8</v>
          </cell>
          <cell r="J75">
            <v>28.8</v>
          </cell>
          <cell r="K75">
            <v>28.2</v>
          </cell>
          <cell r="L75">
            <v>28.2</v>
          </cell>
          <cell r="M75">
            <v>30.6</v>
          </cell>
          <cell r="N75">
            <v>30.1</v>
          </cell>
          <cell r="O75">
            <v>29</v>
          </cell>
        </row>
        <row r="76">
          <cell r="A76">
            <v>308</v>
          </cell>
          <cell r="B76">
            <v>1</v>
          </cell>
          <cell r="C76">
            <v>13.265000000000001</v>
          </cell>
          <cell r="D76">
            <v>34.5</v>
          </cell>
          <cell r="E76">
            <v>32.1</v>
          </cell>
          <cell r="F76">
            <v>35.4</v>
          </cell>
          <cell r="G76">
            <v>31.6</v>
          </cell>
          <cell r="H76">
            <v>36.4</v>
          </cell>
          <cell r="I76">
            <v>34.4</v>
          </cell>
          <cell r="J76">
            <v>36.6</v>
          </cell>
          <cell r="K76">
            <v>34</v>
          </cell>
          <cell r="L76">
            <v>37.299999999999997</v>
          </cell>
          <cell r="M76">
            <v>30.7</v>
          </cell>
          <cell r="N76">
            <v>36.4</v>
          </cell>
          <cell r="O76">
            <v>31</v>
          </cell>
        </row>
        <row r="77">
          <cell r="A77">
            <v>308</v>
          </cell>
          <cell r="B77">
            <v>2</v>
          </cell>
          <cell r="C77">
            <v>13.27</v>
          </cell>
          <cell r="D77">
            <v>28.5</v>
          </cell>
          <cell r="E77">
            <v>27.8</v>
          </cell>
          <cell r="F77">
            <v>28.6</v>
          </cell>
          <cell r="G77">
            <v>29.8</v>
          </cell>
          <cell r="H77">
            <v>27.9</v>
          </cell>
          <cell r="I77">
            <v>27.6</v>
          </cell>
          <cell r="J77">
            <v>28</v>
          </cell>
          <cell r="K77">
            <v>28.7</v>
          </cell>
          <cell r="L77">
            <v>27.5</v>
          </cell>
          <cell r="M77">
            <v>28.3</v>
          </cell>
          <cell r="N77">
            <v>27.6</v>
          </cell>
          <cell r="O77">
            <v>29.5</v>
          </cell>
        </row>
        <row r="78">
          <cell r="A78">
            <v>408</v>
          </cell>
          <cell r="B78">
            <v>1</v>
          </cell>
          <cell r="C78">
            <v>13.292999999999999</v>
          </cell>
          <cell r="D78">
            <v>57.6</v>
          </cell>
          <cell r="E78">
            <v>50.2</v>
          </cell>
          <cell r="F78">
            <v>56.5</v>
          </cell>
          <cell r="G78">
            <v>43.8</v>
          </cell>
          <cell r="H78">
            <v>57.1</v>
          </cell>
          <cell r="I78">
            <v>41.1</v>
          </cell>
          <cell r="J78">
            <v>56</v>
          </cell>
          <cell r="K78">
            <v>45.2</v>
          </cell>
          <cell r="L78">
            <v>55.4</v>
          </cell>
          <cell r="M78">
            <v>51.2</v>
          </cell>
          <cell r="N78">
            <v>55</v>
          </cell>
          <cell r="O78">
            <v>49.9</v>
          </cell>
        </row>
        <row r="79">
          <cell r="A79">
            <v>408</v>
          </cell>
          <cell r="B79">
            <v>2</v>
          </cell>
          <cell r="C79">
            <v>13.298</v>
          </cell>
          <cell r="D79">
            <v>29.2</v>
          </cell>
          <cell r="E79">
            <v>29.2</v>
          </cell>
          <cell r="F79">
            <v>29.7</v>
          </cell>
          <cell r="G79">
            <v>27</v>
          </cell>
          <cell r="H79">
            <v>28.6</v>
          </cell>
          <cell r="I79">
            <v>28.5</v>
          </cell>
          <cell r="J79">
            <v>28.1</v>
          </cell>
          <cell r="K79">
            <v>29.3</v>
          </cell>
          <cell r="L79">
            <v>30.8</v>
          </cell>
          <cell r="M79">
            <v>30.3</v>
          </cell>
          <cell r="N79">
            <v>27.9</v>
          </cell>
          <cell r="O79">
            <v>30.7</v>
          </cell>
        </row>
        <row r="80">
          <cell r="A80">
            <v>407</v>
          </cell>
          <cell r="B80">
            <v>1</v>
          </cell>
          <cell r="C80">
            <v>13.313000000000001</v>
          </cell>
          <cell r="D80">
            <v>56.6</v>
          </cell>
          <cell r="E80">
            <v>51.1</v>
          </cell>
          <cell r="F80">
            <v>56</v>
          </cell>
          <cell r="G80">
            <v>43.8</v>
          </cell>
          <cell r="H80">
            <v>55.3</v>
          </cell>
          <cell r="I80">
            <v>52.3</v>
          </cell>
          <cell r="J80">
            <v>56.5</v>
          </cell>
          <cell r="K80">
            <v>45.1</v>
          </cell>
          <cell r="L80">
            <v>55.1</v>
          </cell>
          <cell r="M80">
            <v>49.3</v>
          </cell>
          <cell r="N80">
            <v>55.2</v>
          </cell>
          <cell r="O80">
            <v>50.1</v>
          </cell>
        </row>
        <row r="81">
          <cell r="A81">
            <v>407</v>
          </cell>
          <cell r="B81">
            <v>2</v>
          </cell>
          <cell r="C81">
            <v>13.319000000000001</v>
          </cell>
          <cell r="D81">
            <v>28.4</v>
          </cell>
          <cell r="E81">
            <v>28.6</v>
          </cell>
          <cell r="F81">
            <v>30.3</v>
          </cell>
          <cell r="G81">
            <v>28.4</v>
          </cell>
          <cell r="H81">
            <v>29</v>
          </cell>
          <cell r="I81">
            <v>27.8</v>
          </cell>
          <cell r="J81">
            <v>30.2</v>
          </cell>
          <cell r="K81">
            <v>30.3</v>
          </cell>
          <cell r="L81">
            <v>29.2</v>
          </cell>
          <cell r="M81">
            <v>29.9</v>
          </cell>
          <cell r="N81">
            <v>29.4</v>
          </cell>
          <cell r="O81">
            <v>28.5</v>
          </cell>
        </row>
        <row r="82">
          <cell r="A82">
            <v>406</v>
          </cell>
          <cell r="B82">
            <v>1</v>
          </cell>
          <cell r="C82">
            <v>13.336</v>
          </cell>
          <cell r="D82">
            <v>34.799999999999997</v>
          </cell>
          <cell r="E82">
            <v>34.700000000000003</v>
          </cell>
          <cell r="F82">
            <v>34.700000000000003</v>
          </cell>
          <cell r="G82">
            <v>30.1</v>
          </cell>
          <cell r="H82">
            <v>34.799999999999997</v>
          </cell>
          <cell r="I82">
            <v>33.200000000000003</v>
          </cell>
          <cell r="J82">
            <v>30.2</v>
          </cell>
          <cell r="K82">
            <v>33.200000000000003</v>
          </cell>
          <cell r="L82">
            <v>32.799999999999997</v>
          </cell>
          <cell r="M82">
            <v>31.9</v>
          </cell>
          <cell r="N82">
            <v>32.799999999999997</v>
          </cell>
          <cell r="O82">
            <v>31.8</v>
          </cell>
        </row>
        <row r="83">
          <cell r="A83">
            <v>406</v>
          </cell>
          <cell r="B83">
            <v>2</v>
          </cell>
          <cell r="C83">
            <v>13.340999999999999</v>
          </cell>
          <cell r="D83">
            <v>26.6</v>
          </cell>
          <cell r="E83">
            <v>27.6</v>
          </cell>
          <cell r="F83">
            <v>27.7</v>
          </cell>
          <cell r="G83">
            <v>25.9</v>
          </cell>
          <cell r="H83">
            <v>25.9</v>
          </cell>
          <cell r="I83">
            <v>26.7</v>
          </cell>
          <cell r="J83">
            <v>26.7</v>
          </cell>
          <cell r="K83">
            <v>27.1</v>
          </cell>
          <cell r="L83">
            <v>26.9</v>
          </cell>
          <cell r="M83">
            <v>25.8</v>
          </cell>
          <cell r="N83">
            <v>26.6</v>
          </cell>
          <cell r="O83">
            <v>27.6</v>
          </cell>
        </row>
        <row r="84">
          <cell r="A84">
            <v>405</v>
          </cell>
          <cell r="B84">
            <v>1</v>
          </cell>
          <cell r="C84">
            <v>13.352</v>
          </cell>
          <cell r="D84">
            <v>34.799999999999997</v>
          </cell>
          <cell r="E84">
            <v>30.7</v>
          </cell>
          <cell r="F84">
            <v>34.9</v>
          </cell>
          <cell r="G84">
            <v>30.6</v>
          </cell>
          <cell r="H84">
            <v>35</v>
          </cell>
          <cell r="I84">
            <v>29.9</v>
          </cell>
          <cell r="J84">
            <v>34.5</v>
          </cell>
          <cell r="K84">
            <v>34</v>
          </cell>
          <cell r="L84">
            <v>35</v>
          </cell>
          <cell r="M84">
            <v>30.1</v>
          </cell>
          <cell r="N84">
            <v>35</v>
          </cell>
          <cell r="O84">
            <v>32</v>
          </cell>
        </row>
        <row r="85">
          <cell r="A85">
            <v>405</v>
          </cell>
          <cell r="B85">
            <v>2</v>
          </cell>
          <cell r="C85">
            <v>13.356999999999999</v>
          </cell>
          <cell r="D85">
            <v>26.1</v>
          </cell>
          <cell r="E85">
            <v>26.1</v>
          </cell>
          <cell r="F85">
            <v>26</v>
          </cell>
          <cell r="G85">
            <v>27.8</v>
          </cell>
          <cell r="H85">
            <v>27.7</v>
          </cell>
          <cell r="I85">
            <v>27</v>
          </cell>
          <cell r="J85">
            <v>25.6</v>
          </cell>
          <cell r="K85">
            <v>27.1</v>
          </cell>
          <cell r="L85">
            <v>27</v>
          </cell>
          <cell r="M85">
            <v>24.9</v>
          </cell>
          <cell r="N85">
            <v>26.1</v>
          </cell>
          <cell r="O85">
            <v>26.9</v>
          </cell>
        </row>
        <row r="86">
          <cell r="A86">
            <v>404</v>
          </cell>
          <cell r="B86">
            <v>1</v>
          </cell>
          <cell r="C86">
            <v>13.37</v>
          </cell>
          <cell r="D86">
            <v>34.299999999999997</v>
          </cell>
          <cell r="E86">
            <v>31.6</v>
          </cell>
          <cell r="F86">
            <v>33.799999999999997</v>
          </cell>
          <cell r="G86">
            <v>31.4</v>
          </cell>
          <cell r="H86">
            <v>34.299999999999997</v>
          </cell>
          <cell r="I86">
            <v>33.700000000000003</v>
          </cell>
          <cell r="J86">
            <v>34</v>
          </cell>
          <cell r="K86">
            <v>31.3</v>
          </cell>
          <cell r="L86">
            <v>33.9</v>
          </cell>
          <cell r="M86">
            <v>30.6</v>
          </cell>
          <cell r="N86">
            <v>34.1</v>
          </cell>
          <cell r="O86">
            <v>29.6</v>
          </cell>
        </row>
        <row r="87">
          <cell r="A87">
            <v>404</v>
          </cell>
          <cell r="B87">
            <v>2</v>
          </cell>
          <cell r="C87">
            <v>13.374000000000001</v>
          </cell>
          <cell r="D87">
            <v>27.5</v>
          </cell>
          <cell r="E87">
            <v>27.6</v>
          </cell>
          <cell r="F87">
            <v>29</v>
          </cell>
          <cell r="G87">
            <v>25.5</v>
          </cell>
          <cell r="H87">
            <v>27.3</v>
          </cell>
          <cell r="I87">
            <v>26.3</v>
          </cell>
          <cell r="J87">
            <v>28</v>
          </cell>
          <cell r="K87">
            <v>28.6</v>
          </cell>
          <cell r="L87">
            <v>27.3</v>
          </cell>
          <cell r="M87">
            <v>27.8</v>
          </cell>
          <cell r="N87">
            <v>27.2</v>
          </cell>
          <cell r="O87">
            <v>25</v>
          </cell>
        </row>
        <row r="88">
          <cell r="A88">
            <v>403</v>
          </cell>
          <cell r="B88">
            <v>1</v>
          </cell>
          <cell r="C88">
            <v>13.387</v>
          </cell>
          <cell r="D88">
            <v>33.6</v>
          </cell>
          <cell r="E88">
            <v>29.4</v>
          </cell>
          <cell r="F88">
            <v>34</v>
          </cell>
          <cell r="G88">
            <v>30.3</v>
          </cell>
          <cell r="H88">
            <v>32.700000000000003</v>
          </cell>
          <cell r="I88">
            <v>29.8</v>
          </cell>
          <cell r="J88">
            <v>34.6</v>
          </cell>
          <cell r="K88">
            <v>30.2</v>
          </cell>
          <cell r="L88">
            <v>33.700000000000003</v>
          </cell>
          <cell r="M88">
            <v>29.3</v>
          </cell>
          <cell r="N88">
            <v>34.5</v>
          </cell>
          <cell r="O88">
            <v>29.7</v>
          </cell>
        </row>
        <row r="89">
          <cell r="A89">
            <v>403</v>
          </cell>
          <cell r="B89">
            <v>2</v>
          </cell>
          <cell r="C89">
            <v>13.391999999999999</v>
          </cell>
          <cell r="D89">
            <v>29.6</v>
          </cell>
          <cell r="E89">
            <v>26</v>
          </cell>
          <cell r="F89">
            <v>26.8</v>
          </cell>
          <cell r="G89">
            <v>27.3</v>
          </cell>
          <cell r="H89">
            <v>29.1</v>
          </cell>
          <cell r="I89">
            <v>29.9</v>
          </cell>
          <cell r="J89">
            <v>28.4</v>
          </cell>
          <cell r="K89">
            <v>26.9</v>
          </cell>
          <cell r="L89">
            <v>27.9</v>
          </cell>
          <cell r="M89">
            <v>26.5</v>
          </cell>
          <cell r="N89">
            <v>27</v>
          </cell>
          <cell r="O89">
            <v>28</v>
          </cell>
        </row>
        <row r="90">
          <cell r="A90">
            <v>402</v>
          </cell>
          <cell r="B90">
            <v>1</v>
          </cell>
          <cell r="C90">
            <v>13.403</v>
          </cell>
          <cell r="D90">
            <v>57.3</v>
          </cell>
          <cell r="E90">
            <v>45.7</v>
          </cell>
          <cell r="F90">
            <v>54.8</v>
          </cell>
          <cell r="G90">
            <v>54.3</v>
          </cell>
          <cell r="H90">
            <v>56.4</v>
          </cell>
          <cell r="I90">
            <v>44.5</v>
          </cell>
          <cell r="J90">
            <v>56</v>
          </cell>
          <cell r="K90">
            <v>43.8</v>
          </cell>
          <cell r="L90">
            <v>54.4</v>
          </cell>
          <cell r="M90">
            <v>52.1</v>
          </cell>
          <cell r="N90">
            <v>54.5</v>
          </cell>
          <cell r="O90">
            <v>41.2</v>
          </cell>
        </row>
        <row r="91">
          <cell r="A91">
            <v>402</v>
          </cell>
          <cell r="B91">
            <v>2</v>
          </cell>
          <cell r="C91">
            <v>13.411</v>
          </cell>
          <cell r="D91">
            <v>30.7</v>
          </cell>
          <cell r="E91">
            <v>28.5</v>
          </cell>
          <cell r="F91">
            <v>29.8</v>
          </cell>
          <cell r="G91">
            <v>30.4</v>
          </cell>
          <cell r="H91">
            <v>29.2</v>
          </cell>
          <cell r="I91">
            <v>29.7</v>
          </cell>
          <cell r="J91">
            <v>30.2</v>
          </cell>
          <cell r="K91">
            <v>28.2</v>
          </cell>
          <cell r="L91">
            <v>31.4</v>
          </cell>
          <cell r="M91">
            <v>30.6</v>
          </cell>
          <cell r="N91">
            <v>28.8</v>
          </cell>
          <cell r="O91">
            <v>29.3</v>
          </cell>
        </row>
        <row r="92">
          <cell r="A92">
            <v>401</v>
          </cell>
          <cell r="B92">
            <v>1</v>
          </cell>
          <cell r="C92">
            <v>13.425000000000001</v>
          </cell>
          <cell r="D92">
            <v>55.5</v>
          </cell>
          <cell r="E92">
            <v>51.6</v>
          </cell>
          <cell r="F92">
            <v>56.1</v>
          </cell>
          <cell r="G92">
            <v>49.9</v>
          </cell>
          <cell r="H92">
            <v>55.7</v>
          </cell>
          <cell r="I92">
            <v>47.6</v>
          </cell>
          <cell r="J92">
            <v>55.6</v>
          </cell>
          <cell r="K92">
            <v>51</v>
          </cell>
          <cell r="L92">
            <v>55.3</v>
          </cell>
          <cell r="M92">
            <v>46</v>
          </cell>
          <cell r="N92">
            <v>54.6</v>
          </cell>
          <cell r="O92">
            <v>50.8</v>
          </cell>
        </row>
        <row r="93">
          <cell r="A93">
            <v>401</v>
          </cell>
          <cell r="B93">
            <v>2</v>
          </cell>
          <cell r="C93">
            <v>13.43</v>
          </cell>
          <cell r="D93">
            <v>29.1</v>
          </cell>
          <cell r="E93">
            <v>37.299999999999997</v>
          </cell>
          <cell r="F93">
            <v>30.4</v>
          </cell>
          <cell r="G93">
            <v>34.200000000000003</v>
          </cell>
          <cell r="H93">
            <v>31.7</v>
          </cell>
          <cell r="I93">
            <v>31.6</v>
          </cell>
          <cell r="J93">
            <v>29.6</v>
          </cell>
          <cell r="K93">
            <v>30.7</v>
          </cell>
          <cell r="L93">
            <v>30.5</v>
          </cell>
          <cell r="M93">
            <v>30.5</v>
          </cell>
          <cell r="N93">
            <v>30.3</v>
          </cell>
          <cell r="O93">
            <v>31.9</v>
          </cell>
        </row>
      </sheetData>
      <sheetData sheetId="2">
        <row r="7">
          <cell r="C7">
            <v>162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33.6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'IA161.03R'</v>
          </cell>
        </row>
        <row r="14">
          <cell r="A14">
            <v>108</v>
          </cell>
          <cell r="B14">
            <v>1</v>
          </cell>
          <cell r="C14">
            <v>13.087</v>
          </cell>
          <cell r="D14">
            <v>32.299999999999997</v>
          </cell>
          <cell r="E14">
            <v>32.299999999999997</v>
          </cell>
          <cell r="F14">
            <v>31.8</v>
          </cell>
          <cell r="G14">
            <v>31.3</v>
          </cell>
          <cell r="H14">
            <v>32.299999999999997</v>
          </cell>
          <cell r="I14">
            <v>31.8</v>
          </cell>
          <cell r="J14">
            <v>31.9</v>
          </cell>
          <cell r="K14">
            <v>31.7</v>
          </cell>
          <cell r="L14">
            <v>32.1</v>
          </cell>
          <cell r="M14">
            <v>31.4</v>
          </cell>
          <cell r="N14">
            <v>31.8</v>
          </cell>
          <cell r="O14">
            <v>30.2</v>
          </cell>
        </row>
        <row r="15">
          <cell r="A15">
            <v>108</v>
          </cell>
          <cell r="B15">
            <v>2</v>
          </cell>
          <cell r="C15">
            <v>13.090999999999999</v>
          </cell>
          <cell r="D15">
            <v>30</v>
          </cell>
          <cell r="E15">
            <v>30.9</v>
          </cell>
          <cell r="F15">
            <v>28.6</v>
          </cell>
          <cell r="G15">
            <v>29.2</v>
          </cell>
          <cell r="H15">
            <v>29.7</v>
          </cell>
          <cell r="I15">
            <v>29.4</v>
          </cell>
          <cell r="J15">
            <v>30.3</v>
          </cell>
          <cell r="K15">
            <v>29.8</v>
          </cell>
          <cell r="L15">
            <v>31.3</v>
          </cell>
          <cell r="M15">
            <v>30</v>
          </cell>
          <cell r="N15">
            <v>29.6</v>
          </cell>
          <cell r="O15">
            <v>30.3</v>
          </cell>
        </row>
        <row r="16">
          <cell r="A16">
            <v>107</v>
          </cell>
          <cell r="B16">
            <v>1</v>
          </cell>
          <cell r="C16">
            <v>13.102</v>
          </cell>
          <cell r="D16">
            <v>54.3</v>
          </cell>
          <cell r="E16">
            <v>54.4</v>
          </cell>
          <cell r="F16">
            <v>52.1</v>
          </cell>
          <cell r="G16">
            <v>53.4</v>
          </cell>
          <cell r="H16">
            <v>48.8</v>
          </cell>
          <cell r="I16">
            <v>54</v>
          </cell>
          <cell r="J16">
            <v>54.3</v>
          </cell>
          <cell r="K16">
            <v>50.6</v>
          </cell>
          <cell r="L16">
            <v>52.7</v>
          </cell>
          <cell r="M16">
            <v>50.9</v>
          </cell>
          <cell r="N16">
            <v>49.1</v>
          </cell>
          <cell r="O16">
            <v>45.7</v>
          </cell>
        </row>
        <row r="17">
          <cell r="A17">
            <v>107</v>
          </cell>
          <cell r="B17">
            <v>2</v>
          </cell>
          <cell r="C17">
            <v>13.106999999999999</v>
          </cell>
          <cell r="D17">
            <v>31.8</v>
          </cell>
          <cell r="E17">
            <v>33.200000000000003</v>
          </cell>
          <cell r="F17">
            <v>32.4</v>
          </cell>
          <cell r="G17">
            <v>30.2</v>
          </cell>
          <cell r="H17">
            <v>30.4</v>
          </cell>
          <cell r="I17">
            <v>31.1</v>
          </cell>
          <cell r="J17">
            <v>31.5</v>
          </cell>
          <cell r="K17">
            <v>31.7</v>
          </cell>
          <cell r="L17">
            <v>32.9</v>
          </cell>
          <cell r="M17">
            <v>32.4</v>
          </cell>
          <cell r="N17">
            <v>33</v>
          </cell>
          <cell r="O17">
            <v>31.4</v>
          </cell>
        </row>
        <row r="18">
          <cell r="A18">
            <v>106</v>
          </cell>
          <cell r="B18">
            <v>1</v>
          </cell>
          <cell r="C18">
            <v>13.118</v>
          </cell>
          <cell r="D18">
            <v>54.3</v>
          </cell>
          <cell r="E18">
            <v>52.5</v>
          </cell>
          <cell r="F18">
            <v>47.4</v>
          </cell>
          <cell r="G18">
            <v>55</v>
          </cell>
          <cell r="H18">
            <v>46.1</v>
          </cell>
          <cell r="I18">
            <v>54.2</v>
          </cell>
          <cell r="J18">
            <v>44.2</v>
          </cell>
          <cell r="K18">
            <v>56</v>
          </cell>
          <cell r="L18">
            <v>42.8</v>
          </cell>
          <cell r="M18">
            <v>54.9</v>
          </cell>
          <cell r="N18">
            <v>45.4</v>
          </cell>
          <cell r="O18">
            <v>54</v>
          </cell>
        </row>
        <row r="19">
          <cell r="A19">
            <v>106</v>
          </cell>
          <cell r="B19">
            <v>2</v>
          </cell>
          <cell r="C19">
            <v>13.122999999999999</v>
          </cell>
          <cell r="D19">
            <v>33</v>
          </cell>
          <cell r="E19">
            <v>31.3</v>
          </cell>
          <cell r="F19">
            <v>33.9</v>
          </cell>
          <cell r="G19">
            <v>33</v>
          </cell>
          <cell r="H19">
            <v>30.7</v>
          </cell>
          <cell r="I19">
            <v>32.200000000000003</v>
          </cell>
          <cell r="J19">
            <v>32.799999999999997</v>
          </cell>
          <cell r="K19">
            <v>33.9</v>
          </cell>
          <cell r="L19">
            <v>32.9</v>
          </cell>
          <cell r="M19">
            <v>30</v>
          </cell>
          <cell r="N19">
            <v>35</v>
          </cell>
          <cell r="O19">
            <v>34.200000000000003</v>
          </cell>
        </row>
        <row r="20">
          <cell r="A20">
            <v>105</v>
          </cell>
          <cell r="B20">
            <v>1</v>
          </cell>
          <cell r="C20">
            <v>13.135</v>
          </cell>
          <cell r="D20">
            <v>50.5</v>
          </cell>
          <cell r="E20">
            <v>44.5</v>
          </cell>
          <cell r="F20">
            <v>39.299999999999997</v>
          </cell>
          <cell r="G20">
            <v>49</v>
          </cell>
          <cell r="H20">
            <v>40.9</v>
          </cell>
          <cell r="I20">
            <v>48.3</v>
          </cell>
          <cell r="J20">
            <v>41.7</v>
          </cell>
          <cell r="K20">
            <v>44.3</v>
          </cell>
          <cell r="L20">
            <v>47.6</v>
          </cell>
          <cell r="M20">
            <v>41.5</v>
          </cell>
          <cell r="N20">
            <v>49.9</v>
          </cell>
          <cell r="O20">
            <v>44.9</v>
          </cell>
        </row>
        <row r="21">
          <cell r="A21">
            <v>105</v>
          </cell>
          <cell r="B21">
            <v>2</v>
          </cell>
          <cell r="C21">
            <v>13.14</v>
          </cell>
          <cell r="D21">
            <v>30.6</v>
          </cell>
          <cell r="E21">
            <v>30.2</v>
          </cell>
          <cell r="F21">
            <v>31.6</v>
          </cell>
          <cell r="G21">
            <v>31.3</v>
          </cell>
          <cell r="H21">
            <v>32.5</v>
          </cell>
          <cell r="I21">
            <v>32.1</v>
          </cell>
          <cell r="J21">
            <v>29.5</v>
          </cell>
          <cell r="K21">
            <v>30.9</v>
          </cell>
          <cell r="L21">
            <v>31.1</v>
          </cell>
          <cell r="M21">
            <v>31.1</v>
          </cell>
          <cell r="N21">
            <v>29.7</v>
          </cell>
          <cell r="O21">
            <v>31.2</v>
          </cell>
        </row>
        <row r="22">
          <cell r="A22">
            <v>104</v>
          </cell>
          <cell r="B22">
            <v>1</v>
          </cell>
          <cell r="C22">
            <v>13.151999999999999</v>
          </cell>
          <cell r="D22">
            <v>53.2</v>
          </cell>
          <cell r="E22">
            <v>51.3</v>
          </cell>
          <cell r="F22">
            <v>43.8</v>
          </cell>
          <cell r="G22">
            <v>52.3</v>
          </cell>
          <cell r="H22">
            <v>41</v>
          </cell>
          <cell r="I22">
            <v>53.9</v>
          </cell>
          <cell r="J22">
            <v>41.3</v>
          </cell>
          <cell r="K22">
            <v>56.4</v>
          </cell>
          <cell r="L22">
            <v>45.2</v>
          </cell>
          <cell r="M22">
            <v>53.6</v>
          </cell>
          <cell r="N22">
            <v>48.9</v>
          </cell>
          <cell r="O22">
            <v>49.8</v>
          </cell>
        </row>
        <row r="23">
          <cell r="A23">
            <v>104</v>
          </cell>
          <cell r="B23">
            <v>2</v>
          </cell>
          <cell r="C23">
            <v>13.156000000000001</v>
          </cell>
          <cell r="D23">
            <v>31.6</v>
          </cell>
          <cell r="E23">
            <v>32.200000000000003</v>
          </cell>
          <cell r="F23">
            <v>32.5</v>
          </cell>
          <cell r="G23">
            <v>31.6</v>
          </cell>
          <cell r="H23">
            <v>36.299999999999997</v>
          </cell>
          <cell r="I23">
            <v>32.4</v>
          </cell>
          <cell r="J23">
            <v>31.7</v>
          </cell>
          <cell r="K23">
            <v>30.4</v>
          </cell>
          <cell r="L23">
            <v>30.6</v>
          </cell>
          <cell r="M23">
            <v>29.6</v>
          </cell>
          <cell r="N23">
            <v>33</v>
          </cell>
          <cell r="O23">
            <v>29.8</v>
          </cell>
        </row>
        <row r="24">
          <cell r="A24">
            <v>103</v>
          </cell>
          <cell r="B24">
            <v>1</v>
          </cell>
          <cell r="C24">
            <v>13.167999999999999</v>
          </cell>
          <cell r="D24">
            <v>30.9</v>
          </cell>
          <cell r="E24">
            <v>31.2</v>
          </cell>
          <cell r="F24">
            <v>29.8</v>
          </cell>
          <cell r="G24">
            <v>32.1</v>
          </cell>
          <cell r="H24">
            <v>29.7</v>
          </cell>
          <cell r="I24">
            <v>30.5</v>
          </cell>
          <cell r="J24">
            <v>29.8</v>
          </cell>
          <cell r="K24">
            <v>32.6</v>
          </cell>
          <cell r="L24">
            <v>30</v>
          </cell>
          <cell r="M24">
            <v>32.1</v>
          </cell>
          <cell r="N24">
            <v>29.8</v>
          </cell>
          <cell r="O24">
            <v>31.8</v>
          </cell>
        </row>
        <row r="25">
          <cell r="A25">
            <v>103</v>
          </cell>
          <cell r="B25">
            <v>2</v>
          </cell>
          <cell r="C25">
            <v>13.172000000000001</v>
          </cell>
          <cell r="D25">
            <v>28.7</v>
          </cell>
          <cell r="E25">
            <v>28.7</v>
          </cell>
          <cell r="F25">
            <v>30.1</v>
          </cell>
          <cell r="G25">
            <v>28.6</v>
          </cell>
          <cell r="H25">
            <v>28.4</v>
          </cell>
          <cell r="I25">
            <v>28.8</v>
          </cell>
          <cell r="J25">
            <v>29.3</v>
          </cell>
          <cell r="K25">
            <v>29.3</v>
          </cell>
          <cell r="L25">
            <v>28.8</v>
          </cell>
          <cell r="M25">
            <v>28.4</v>
          </cell>
          <cell r="N25">
            <v>28.7</v>
          </cell>
          <cell r="O25">
            <v>29.4</v>
          </cell>
        </row>
        <row r="26">
          <cell r="A26">
            <v>102</v>
          </cell>
          <cell r="B26">
            <v>1</v>
          </cell>
          <cell r="C26">
            <v>13.183</v>
          </cell>
          <cell r="D26">
            <v>32.299999999999997</v>
          </cell>
          <cell r="E26">
            <v>32.1</v>
          </cell>
          <cell r="F26">
            <v>30.6</v>
          </cell>
          <cell r="G26">
            <v>31.9</v>
          </cell>
          <cell r="H26">
            <v>31.1</v>
          </cell>
          <cell r="I26">
            <v>31.5</v>
          </cell>
          <cell r="J26">
            <v>30.2</v>
          </cell>
          <cell r="K26">
            <v>30.7</v>
          </cell>
          <cell r="L26">
            <v>31.9</v>
          </cell>
          <cell r="M26">
            <v>30.1</v>
          </cell>
          <cell r="N26">
            <v>31.2</v>
          </cell>
          <cell r="O26">
            <v>30.5</v>
          </cell>
        </row>
        <row r="27">
          <cell r="A27">
            <v>102</v>
          </cell>
          <cell r="B27">
            <v>2</v>
          </cell>
          <cell r="C27">
            <v>13.188000000000001</v>
          </cell>
          <cell r="D27">
            <v>27.5</v>
          </cell>
          <cell r="E27">
            <v>28.3</v>
          </cell>
          <cell r="F27">
            <v>27.9</v>
          </cell>
          <cell r="G27">
            <v>29.3</v>
          </cell>
          <cell r="H27">
            <v>28.8</v>
          </cell>
          <cell r="I27">
            <v>28.1</v>
          </cell>
          <cell r="J27">
            <v>30.2</v>
          </cell>
          <cell r="K27">
            <v>28.5</v>
          </cell>
          <cell r="L27">
            <v>28.2</v>
          </cell>
          <cell r="M27">
            <v>28.8</v>
          </cell>
          <cell r="N27">
            <v>29.8</v>
          </cell>
          <cell r="O27">
            <v>28.2</v>
          </cell>
        </row>
        <row r="28">
          <cell r="A28">
            <v>101</v>
          </cell>
          <cell r="B28">
            <v>1</v>
          </cell>
          <cell r="C28">
            <v>13.199</v>
          </cell>
          <cell r="D28">
            <v>32.700000000000003</v>
          </cell>
          <cell r="E28">
            <v>32.5</v>
          </cell>
          <cell r="F28">
            <v>31.7</v>
          </cell>
          <cell r="G28">
            <v>31.6</v>
          </cell>
          <cell r="H28">
            <v>31.9</v>
          </cell>
          <cell r="I28">
            <v>32.6</v>
          </cell>
          <cell r="J28">
            <v>31.1</v>
          </cell>
          <cell r="K28">
            <v>32.700000000000003</v>
          </cell>
          <cell r="L28">
            <v>31.9</v>
          </cell>
          <cell r="M28">
            <v>32.200000000000003</v>
          </cell>
          <cell r="N28">
            <v>30.5</v>
          </cell>
          <cell r="O28">
            <v>32.6</v>
          </cell>
        </row>
        <row r="29">
          <cell r="A29">
            <v>101</v>
          </cell>
          <cell r="B29">
            <v>2</v>
          </cell>
          <cell r="C29">
            <v>13.204000000000001</v>
          </cell>
          <cell r="D29">
            <v>30.1</v>
          </cell>
          <cell r="E29">
            <v>29.9</v>
          </cell>
          <cell r="F29">
            <v>29.4</v>
          </cell>
          <cell r="G29">
            <v>29.4</v>
          </cell>
          <cell r="H29">
            <v>29.9</v>
          </cell>
          <cell r="I29">
            <v>28.4</v>
          </cell>
          <cell r="J29">
            <v>29.3</v>
          </cell>
          <cell r="K29">
            <v>29.4</v>
          </cell>
          <cell r="L29">
            <v>28.9</v>
          </cell>
          <cell r="M29">
            <v>29.7</v>
          </cell>
          <cell r="N29">
            <v>28.6</v>
          </cell>
          <cell r="O29">
            <v>30.4</v>
          </cell>
        </row>
        <row r="30">
          <cell r="A30">
            <v>201</v>
          </cell>
          <cell r="B30">
            <v>1</v>
          </cell>
          <cell r="C30">
            <v>13.226000000000001</v>
          </cell>
          <cell r="D30">
            <v>48.9</v>
          </cell>
          <cell r="E30">
            <v>48.7</v>
          </cell>
          <cell r="F30">
            <v>41.4</v>
          </cell>
          <cell r="G30">
            <v>52.5</v>
          </cell>
          <cell r="H30">
            <v>35.1</v>
          </cell>
          <cell r="I30">
            <v>52.3</v>
          </cell>
          <cell r="J30">
            <v>40.6</v>
          </cell>
          <cell r="K30">
            <v>50</v>
          </cell>
          <cell r="L30">
            <v>47.6</v>
          </cell>
          <cell r="M30">
            <v>45.1</v>
          </cell>
          <cell r="N30">
            <v>42.4</v>
          </cell>
          <cell r="O30">
            <v>46.8</v>
          </cell>
        </row>
        <row r="31">
          <cell r="A31">
            <v>201</v>
          </cell>
          <cell r="B31">
            <v>2</v>
          </cell>
          <cell r="C31">
            <v>13.23</v>
          </cell>
          <cell r="D31">
            <v>31.4</v>
          </cell>
          <cell r="E31">
            <v>34.200000000000003</v>
          </cell>
          <cell r="F31">
            <v>31.5</v>
          </cell>
          <cell r="G31">
            <v>30.5</v>
          </cell>
          <cell r="H31">
            <v>30.4</v>
          </cell>
          <cell r="I31">
            <v>30.8</v>
          </cell>
          <cell r="J31">
            <v>30.9</v>
          </cell>
          <cell r="K31">
            <v>31.2</v>
          </cell>
          <cell r="L31">
            <v>32.200000000000003</v>
          </cell>
          <cell r="M31">
            <v>29.7</v>
          </cell>
          <cell r="N31">
            <v>33.700000000000003</v>
          </cell>
          <cell r="O31">
            <v>32</v>
          </cell>
        </row>
        <row r="32">
          <cell r="A32">
            <v>202</v>
          </cell>
          <cell r="B32">
            <v>1</v>
          </cell>
          <cell r="C32">
            <v>13.241</v>
          </cell>
          <cell r="D32">
            <v>55.9</v>
          </cell>
          <cell r="E32">
            <v>50.6</v>
          </cell>
          <cell r="F32">
            <v>53.9</v>
          </cell>
          <cell r="G32">
            <v>53.3</v>
          </cell>
          <cell r="H32">
            <v>52.4</v>
          </cell>
          <cell r="I32">
            <v>55.1</v>
          </cell>
          <cell r="J32">
            <v>48.6</v>
          </cell>
          <cell r="K32">
            <v>55.2</v>
          </cell>
          <cell r="L32">
            <v>54.9</v>
          </cell>
          <cell r="M32">
            <v>54.8</v>
          </cell>
          <cell r="N32">
            <v>47.2</v>
          </cell>
          <cell r="O32">
            <v>49.6</v>
          </cell>
        </row>
        <row r="33">
          <cell r="A33">
            <v>202</v>
          </cell>
          <cell r="B33">
            <v>2</v>
          </cell>
          <cell r="C33">
            <v>13.246</v>
          </cell>
          <cell r="D33">
            <v>31.2</v>
          </cell>
          <cell r="E33">
            <v>31.1</v>
          </cell>
          <cell r="F33">
            <v>30.5</v>
          </cell>
          <cell r="G33">
            <v>30.2</v>
          </cell>
          <cell r="H33">
            <v>31.2</v>
          </cell>
          <cell r="I33">
            <v>32.1</v>
          </cell>
          <cell r="J33">
            <v>33.799999999999997</v>
          </cell>
          <cell r="K33">
            <v>31.2</v>
          </cell>
          <cell r="L33">
            <v>34</v>
          </cell>
          <cell r="M33">
            <v>30.3</v>
          </cell>
          <cell r="N33">
            <v>31.9</v>
          </cell>
          <cell r="O33">
            <v>31.4</v>
          </cell>
        </row>
        <row r="34">
          <cell r="A34">
            <v>203</v>
          </cell>
          <cell r="B34">
            <v>1</v>
          </cell>
          <cell r="C34">
            <v>13.257</v>
          </cell>
          <cell r="D34">
            <v>33.1</v>
          </cell>
          <cell r="E34">
            <v>33.1</v>
          </cell>
          <cell r="F34">
            <v>32.4</v>
          </cell>
          <cell r="G34">
            <v>33</v>
          </cell>
          <cell r="H34">
            <v>31.1</v>
          </cell>
          <cell r="I34">
            <v>32.5</v>
          </cell>
          <cell r="J34">
            <v>31.4</v>
          </cell>
          <cell r="K34">
            <v>35.1</v>
          </cell>
          <cell r="L34">
            <v>33.5</v>
          </cell>
          <cell r="M34">
            <v>32.9</v>
          </cell>
          <cell r="N34">
            <v>31.6</v>
          </cell>
          <cell r="O34">
            <v>33.299999999999997</v>
          </cell>
        </row>
        <row r="35">
          <cell r="A35">
            <v>203</v>
          </cell>
          <cell r="B35">
            <v>2</v>
          </cell>
          <cell r="C35">
            <v>13.262</v>
          </cell>
          <cell r="D35">
            <v>28.2</v>
          </cell>
          <cell r="E35">
            <v>29.1</v>
          </cell>
          <cell r="F35">
            <v>29.3</v>
          </cell>
          <cell r="G35">
            <v>28</v>
          </cell>
          <cell r="H35">
            <v>28.4</v>
          </cell>
          <cell r="I35">
            <v>29.1</v>
          </cell>
          <cell r="J35">
            <v>28.8</v>
          </cell>
          <cell r="K35">
            <v>29.3</v>
          </cell>
          <cell r="L35">
            <v>29.1</v>
          </cell>
          <cell r="M35">
            <v>28.8</v>
          </cell>
          <cell r="N35">
            <v>29.9</v>
          </cell>
          <cell r="O35">
            <v>29.7</v>
          </cell>
        </row>
        <row r="36">
          <cell r="A36">
            <v>204</v>
          </cell>
          <cell r="B36">
            <v>1</v>
          </cell>
          <cell r="C36">
            <v>13.273</v>
          </cell>
          <cell r="D36">
            <v>51.6</v>
          </cell>
          <cell r="E36">
            <v>47.3</v>
          </cell>
          <cell r="F36">
            <v>48.5</v>
          </cell>
          <cell r="G36">
            <v>45.6</v>
          </cell>
          <cell r="H36">
            <v>43.2</v>
          </cell>
          <cell r="I36">
            <v>48.9</v>
          </cell>
          <cell r="J36">
            <v>41.1</v>
          </cell>
          <cell r="K36">
            <v>48</v>
          </cell>
          <cell r="L36">
            <v>39.1</v>
          </cell>
          <cell r="M36">
            <v>50</v>
          </cell>
          <cell r="N36">
            <v>39.6</v>
          </cell>
          <cell r="O36">
            <v>44.8</v>
          </cell>
        </row>
        <row r="37">
          <cell r="A37">
            <v>204</v>
          </cell>
          <cell r="B37">
            <v>2</v>
          </cell>
          <cell r="C37">
            <v>13.278</v>
          </cell>
          <cell r="D37">
            <v>29.9</v>
          </cell>
          <cell r="E37">
            <v>30.6</v>
          </cell>
          <cell r="F37">
            <v>30</v>
          </cell>
          <cell r="G37">
            <v>29.7</v>
          </cell>
          <cell r="H37">
            <v>29.7</v>
          </cell>
          <cell r="I37">
            <v>29.7</v>
          </cell>
          <cell r="J37">
            <v>30.6</v>
          </cell>
          <cell r="K37">
            <v>29.8</v>
          </cell>
          <cell r="L37">
            <v>30.3</v>
          </cell>
          <cell r="M37">
            <v>28.1</v>
          </cell>
          <cell r="N37">
            <v>30.7</v>
          </cell>
          <cell r="O37">
            <v>30.8</v>
          </cell>
        </row>
        <row r="38">
          <cell r="A38">
            <v>205</v>
          </cell>
          <cell r="B38">
            <v>1</v>
          </cell>
          <cell r="C38">
            <v>13.288</v>
          </cell>
          <cell r="D38">
            <v>34.200000000000003</v>
          </cell>
          <cell r="E38">
            <v>36.1</v>
          </cell>
          <cell r="F38">
            <v>35.299999999999997</v>
          </cell>
          <cell r="G38">
            <v>34.4</v>
          </cell>
          <cell r="H38">
            <v>33.799999999999997</v>
          </cell>
          <cell r="I38">
            <v>34.299999999999997</v>
          </cell>
          <cell r="J38">
            <v>32.9</v>
          </cell>
          <cell r="K38">
            <v>33.200000000000003</v>
          </cell>
          <cell r="L38">
            <v>35.6</v>
          </cell>
          <cell r="M38">
            <v>34.4</v>
          </cell>
          <cell r="N38">
            <v>31.3</v>
          </cell>
          <cell r="O38">
            <v>34.799999999999997</v>
          </cell>
        </row>
        <row r="39">
          <cell r="A39">
            <v>205</v>
          </cell>
          <cell r="B39">
            <v>2</v>
          </cell>
          <cell r="C39">
            <v>13.292999999999999</v>
          </cell>
          <cell r="D39">
            <v>31.7</v>
          </cell>
          <cell r="E39">
            <v>33</v>
          </cell>
          <cell r="F39">
            <v>31.9</v>
          </cell>
          <cell r="G39">
            <v>28.4</v>
          </cell>
          <cell r="H39">
            <v>36.6</v>
          </cell>
          <cell r="I39">
            <v>32.1</v>
          </cell>
          <cell r="J39">
            <v>29.8</v>
          </cell>
          <cell r="K39">
            <v>29.5</v>
          </cell>
          <cell r="L39">
            <v>29</v>
          </cell>
          <cell r="M39">
            <v>29.7</v>
          </cell>
          <cell r="N39">
            <v>34.299999999999997</v>
          </cell>
          <cell r="O39">
            <v>32.799999999999997</v>
          </cell>
        </row>
        <row r="40">
          <cell r="A40">
            <v>206</v>
          </cell>
          <cell r="B40">
            <v>1</v>
          </cell>
          <cell r="C40">
            <v>13.304</v>
          </cell>
          <cell r="D40">
            <v>54.5</v>
          </cell>
          <cell r="E40">
            <v>55.4</v>
          </cell>
          <cell r="F40">
            <v>51.3</v>
          </cell>
          <cell r="G40">
            <v>56.4</v>
          </cell>
          <cell r="H40">
            <v>50.9</v>
          </cell>
          <cell r="I40">
            <v>56.4</v>
          </cell>
          <cell r="J40">
            <v>48.4</v>
          </cell>
          <cell r="K40">
            <v>56.3</v>
          </cell>
          <cell r="L40">
            <v>49.9</v>
          </cell>
          <cell r="M40">
            <v>56.6</v>
          </cell>
          <cell r="N40">
            <v>54.5</v>
          </cell>
          <cell r="O40">
            <v>56.6</v>
          </cell>
        </row>
        <row r="41">
          <cell r="A41">
            <v>206</v>
          </cell>
          <cell r="B41">
            <v>2</v>
          </cell>
          <cell r="C41">
            <v>13.308</v>
          </cell>
          <cell r="D41">
            <v>32.700000000000003</v>
          </cell>
          <cell r="E41">
            <v>34</v>
          </cell>
          <cell r="F41">
            <v>32</v>
          </cell>
          <cell r="G41">
            <v>36.9</v>
          </cell>
          <cell r="H41">
            <v>31.3</v>
          </cell>
          <cell r="I41">
            <v>31.3</v>
          </cell>
          <cell r="J41">
            <v>32.700000000000003</v>
          </cell>
          <cell r="K41">
            <v>33.9</v>
          </cell>
          <cell r="L41">
            <v>31.1</v>
          </cell>
          <cell r="M41">
            <v>31.4</v>
          </cell>
          <cell r="N41">
            <v>35</v>
          </cell>
          <cell r="O41">
            <v>32.799999999999997</v>
          </cell>
        </row>
        <row r="42">
          <cell r="A42">
            <v>207</v>
          </cell>
          <cell r="B42">
            <v>1</v>
          </cell>
          <cell r="C42">
            <v>13.327</v>
          </cell>
          <cell r="D42">
            <v>33.4</v>
          </cell>
          <cell r="E42">
            <v>33.9</v>
          </cell>
          <cell r="F42">
            <v>33.799999999999997</v>
          </cell>
          <cell r="G42">
            <v>33</v>
          </cell>
          <cell r="H42">
            <v>33.9</v>
          </cell>
          <cell r="I42">
            <v>34.200000000000003</v>
          </cell>
          <cell r="J42">
            <v>33.4</v>
          </cell>
          <cell r="K42">
            <v>31.2</v>
          </cell>
          <cell r="L42">
            <v>32.9</v>
          </cell>
          <cell r="M42">
            <v>32.6</v>
          </cell>
          <cell r="N42">
            <v>34.299999999999997</v>
          </cell>
          <cell r="O42">
            <v>30.7</v>
          </cell>
        </row>
        <row r="43">
          <cell r="A43">
            <v>207</v>
          </cell>
          <cell r="B43">
            <v>2</v>
          </cell>
          <cell r="C43">
            <v>13.331</v>
          </cell>
          <cell r="D43">
            <v>28</v>
          </cell>
          <cell r="E43">
            <v>28.6</v>
          </cell>
          <cell r="F43">
            <v>29.2</v>
          </cell>
          <cell r="G43">
            <v>29.9</v>
          </cell>
          <cell r="H43">
            <v>29.3</v>
          </cell>
          <cell r="I43">
            <v>30.1</v>
          </cell>
          <cell r="J43">
            <v>30.7</v>
          </cell>
          <cell r="K43">
            <v>28.7</v>
          </cell>
          <cell r="L43">
            <v>30.9</v>
          </cell>
          <cell r="M43">
            <v>30.4</v>
          </cell>
          <cell r="N43">
            <v>28.7</v>
          </cell>
          <cell r="O43">
            <v>29.5</v>
          </cell>
        </row>
        <row r="44">
          <cell r="A44">
            <v>208</v>
          </cell>
          <cell r="B44">
            <v>1</v>
          </cell>
          <cell r="C44">
            <v>13.343</v>
          </cell>
          <cell r="D44">
            <v>34.4</v>
          </cell>
          <cell r="E44">
            <v>33.299999999999997</v>
          </cell>
          <cell r="F44">
            <v>32.5</v>
          </cell>
          <cell r="G44">
            <v>33.9</v>
          </cell>
          <cell r="H44">
            <v>33.5</v>
          </cell>
          <cell r="I44">
            <v>33.4</v>
          </cell>
          <cell r="J44">
            <v>33.200000000000003</v>
          </cell>
          <cell r="K44">
            <v>33.6</v>
          </cell>
          <cell r="L44">
            <v>32.299999999999997</v>
          </cell>
          <cell r="M44">
            <v>33.799999999999997</v>
          </cell>
          <cell r="N44">
            <v>33.1</v>
          </cell>
          <cell r="O44">
            <v>32.799999999999997</v>
          </cell>
        </row>
        <row r="45">
          <cell r="A45">
            <v>208</v>
          </cell>
          <cell r="B45">
            <v>2</v>
          </cell>
          <cell r="C45">
            <v>13.347</v>
          </cell>
          <cell r="D45">
            <v>31.3</v>
          </cell>
          <cell r="E45">
            <v>28.5</v>
          </cell>
          <cell r="F45">
            <v>29.7</v>
          </cell>
          <cell r="G45">
            <v>29.7</v>
          </cell>
          <cell r="H45">
            <v>31.1</v>
          </cell>
          <cell r="I45">
            <v>29.5</v>
          </cell>
          <cell r="J45">
            <v>32.700000000000003</v>
          </cell>
          <cell r="K45">
            <v>31.3</v>
          </cell>
          <cell r="L45">
            <v>30.3</v>
          </cell>
          <cell r="M45">
            <v>29.8</v>
          </cell>
          <cell r="N45">
            <v>29.4</v>
          </cell>
          <cell r="O45">
            <v>29.3</v>
          </cell>
        </row>
        <row r="46">
          <cell r="A46">
            <v>908</v>
          </cell>
          <cell r="B46">
            <v>1</v>
          </cell>
          <cell r="C46">
            <v>13.361000000000001</v>
          </cell>
          <cell r="D46">
            <v>32.1</v>
          </cell>
          <cell r="E46">
            <v>32.6</v>
          </cell>
          <cell r="F46">
            <v>29.5</v>
          </cell>
          <cell r="G46">
            <v>32.4</v>
          </cell>
          <cell r="H46">
            <v>31.6</v>
          </cell>
          <cell r="I46">
            <v>32.4</v>
          </cell>
          <cell r="J46">
            <v>30.6</v>
          </cell>
          <cell r="K46">
            <v>32.6</v>
          </cell>
          <cell r="L46">
            <v>31.3</v>
          </cell>
          <cell r="M46">
            <v>31.9</v>
          </cell>
          <cell r="N46">
            <v>31.6</v>
          </cell>
          <cell r="O46">
            <v>30.7</v>
          </cell>
        </row>
        <row r="47">
          <cell r="A47">
            <v>908</v>
          </cell>
          <cell r="B47">
            <v>2</v>
          </cell>
          <cell r="C47">
            <v>13.365</v>
          </cell>
          <cell r="D47">
            <v>28.2</v>
          </cell>
          <cell r="E47">
            <v>28.7</v>
          </cell>
          <cell r="F47">
            <v>28.2</v>
          </cell>
          <cell r="G47">
            <v>29.7</v>
          </cell>
          <cell r="H47">
            <v>29.4</v>
          </cell>
          <cell r="I47">
            <v>29.2</v>
          </cell>
          <cell r="J47">
            <v>31.7</v>
          </cell>
          <cell r="K47">
            <v>28.4</v>
          </cell>
          <cell r="L47">
            <v>30.5</v>
          </cell>
          <cell r="M47">
            <v>28.3</v>
          </cell>
          <cell r="N47">
            <v>28.8</v>
          </cell>
          <cell r="O47">
            <v>28.9</v>
          </cell>
        </row>
        <row r="48">
          <cell r="A48">
            <v>907</v>
          </cell>
          <cell r="B48">
            <v>1</v>
          </cell>
          <cell r="C48">
            <v>13.378</v>
          </cell>
          <cell r="D48">
            <v>57.6</v>
          </cell>
          <cell r="E48">
            <v>57.6</v>
          </cell>
          <cell r="F48">
            <v>57.8</v>
          </cell>
          <cell r="G48">
            <v>57.8</v>
          </cell>
          <cell r="H48">
            <v>57.5</v>
          </cell>
          <cell r="I48">
            <v>57.6</v>
          </cell>
          <cell r="J48">
            <v>57.7</v>
          </cell>
          <cell r="K48">
            <v>57.5</v>
          </cell>
          <cell r="L48">
            <v>56.4</v>
          </cell>
          <cell r="M48">
            <v>57.6</v>
          </cell>
          <cell r="N48">
            <v>58.1</v>
          </cell>
          <cell r="O48">
            <v>57.9</v>
          </cell>
        </row>
        <row r="50">
          <cell r="A50">
            <v>906</v>
          </cell>
          <cell r="B50">
            <v>1</v>
          </cell>
          <cell r="C50">
            <v>13.387</v>
          </cell>
          <cell r="D50">
            <v>33.299999999999997</v>
          </cell>
          <cell r="E50">
            <v>33.200000000000003</v>
          </cell>
          <cell r="F50">
            <v>30.1</v>
          </cell>
          <cell r="G50">
            <v>32.799999999999997</v>
          </cell>
          <cell r="H50">
            <v>32.1</v>
          </cell>
          <cell r="I50">
            <v>32.1</v>
          </cell>
          <cell r="J50">
            <v>32.5</v>
          </cell>
          <cell r="K50">
            <v>33.299999999999997</v>
          </cell>
          <cell r="L50">
            <v>30.8</v>
          </cell>
          <cell r="M50">
            <v>32.5</v>
          </cell>
          <cell r="N50">
            <v>31.2</v>
          </cell>
          <cell r="O50">
            <v>30.2</v>
          </cell>
        </row>
        <row r="51">
          <cell r="A51">
            <v>906</v>
          </cell>
          <cell r="B51">
            <v>2</v>
          </cell>
          <cell r="C51">
            <v>13.391</v>
          </cell>
          <cell r="D51">
            <v>29</v>
          </cell>
          <cell r="E51">
            <v>28.1</v>
          </cell>
          <cell r="F51">
            <v>27.2</v>
          </cell>
          <cell r="G51">
            <v>29.2</v>
          </cell>
          <cell r="H51">
            <v>28.8</v>
          </cell>
          <cell r="I51">
            <v>28.6</v>
          </cell>
          <cell r="J51">
            <v>28.2</v>
          </cell>
          <cell r="K51">
            <v>30.3</v>
          </cell>
          <cell r="L51">
            <v>28.9</v>
          </cell>
          <cell r="M51">
            <v>28.7</v>
          </cell>
          <cell r="N51">
            <v>29.3</v>
          </cell>
          <cell r="O51">
            <v>28.9</v>
          </cell>
        </row>
        <row r="52">
          <cell r="A52">
            <v>905</v>
          </cell>
          <cell r="B52">
            <v>1</v>
          </cell>
          <cell r="C52">
            <v>13.403</v>
          </cell>
          <cell r="D52">
            <v>30</v>
          </cell>
          <cell r="E52">
            <v>29.9</v>
          </cell>
          <cell r="F52">
            <v>29.6</v>
          </cell>
          <cell r="G52">
            <v>30</v>
          </cell>
          <cell r="H52">
            <v>29.7</v>
          </cell>
          <cell r="I52">
            <v>29.8</v>
          </cell>
          <cell r="J52">
            <v>29.9</v>
          </cell>
          <cell r="K52">
            <v>30.1</v>
          </cell>
          <cell r="L52">
            <v>30.1</v>
          </cell>
          <cell r="M52">
            <v>29.9</v>
          </cell>
          <cell r="N52">
            <v>30.1</v>
          </cell>
          <cell r="O52">
            <v>30.2</v>
          </cell>
        </row>
        <row r="54">
          <cell r="A54">
            <v>904</v>
          </cell>
          <cell r="B54">
            <v>1</v>
          </cell>
          <cell r="C54">
            <v>13.412000000000001</v>
          </cell>
          <cell r="D54">
            <v>31.1</v>
          </cell>
          <cell r="E54">
            <v>31.1</v>
          </cell>
          <cell r="F54">
            <v>28.5</v>
          </cell>
          <cell r="G54">
            <v>29.1</v>
          </cell>
          <cell r="H54">
            <v>29.1</v>
          </cell>
          <cell r="I54">
            <v>30.8</v>
          </cell>
          <cell r="J54">
            <v>28.8</v>
          </cell>
          <cell r="K54">
            <v>31.4</v>
          </cell>
          <cell r="L54">
            <v>28.5</v>
          </cell>
          <cell r="M54">
            <v>30.7</v>
          </cell>
          <cell r="N54">
            <v>28.9</v>
          </cell>
          <cell r="O54">
            <v>30.3</v>
          </cell>
        </row>
        <row r="55">
          <cell r="A55">
            <v>904</v>
          </cell>
          <cell r="B55">
            <v>2</v>
          </cell>
          <cell r="C55">
            <v>13.416</v>
          </cell>
          <cell r="D55">
            <v>28.3</v>
          </cell>
          <cell r="E55">
            <v>28.7</v>
          </cell>
          <cell r="F55">
            <v>28.4</v>
          </cell>
          <cell r="G55">
            <v>28.6</v>
          </cell>
          <cell r="H55">
            <v>28.4</v>
          </cell>
          <cell r="I55">
            <v>27.5</v>
          </cell>
          <cell r="J55">
            <v>28.4</v>
          </cell>
          <cell r="K55">
            <v>29.5</v>
          </cell>
          <cell r="L55">
            <v>27.6</v>
          </cell>
          <cell r="M55">
            <v>27.5</v>
          </cell>
          <cell r="N55">
            <v>28.2</v>
          </cell>
          <cell r="O55">
            <v>28.2</v>
          </cell>
        </row>
        <row r="56">
          <cell r="A56">
            <v>903</v>
          </cell>
          <cell r="B56">
            <v>1</v>
          </cell>
          <cell r="C56">
            <v>13.428000000000001</v>
          </cell>
          <cell r="D56">
            <v>55.6</v>
          </cell>
          <cell r="E56">
            <v>55.8</v>
          </cell>
          <cell r="F56">
            <v>55.7</v>
          </cell>
          <cell r="G56">
            <v>55.7</v>
          </cell>
          <cell r="H56">
            <v>56.4</v>
          </cell>
          <cell r="I56">
            <v>55.8</v>
          </cell>
          <cell r="J56">
            <v>56</v>
          </cell>
          <cell r="K56">
            <v>55.9</v>
          </cell>
          <cell r="L56">
            <v>55.8</v>
          </cell>
          <cell r="M56">
            <v>56.1</v>
          </cell>
          <cell r="N56">
            <v>56</v>
          </cell>
          <cell r="O56">
            <v>55.7</v>
          </cell>
        </row>
        <row r="58">
          <cell r="A58">
            <v>902</v>
          </cell>
          <cell r="B58">
            <v>1</v>
          </cell>
          <cell r="C58">
            <v>13.436999999999999</v>
          </cell>
          <cell r="D58">
            <v>30.7</v>
          </cell>
          <cell r="E58">
            <v>31.9</v>
          </cell>
          <cell r="F58">
            <v>28.7</v>
          </cell>
          <cell r="G58">
            <v>30.7</v>
          </cell>
          <cell r="H58">
            <v>28.5</v>
          </cell>
          <cell r="I58">
            <v>30.5</v>
          </cell>
          <cell r="J58">
            <v>28.9</v>
          </cell>
          <cell r="K58">
            <v>31.9</v>
          </cell>
          <cell r="L58">
            <v>29.7</v>
          </cell>
          <cell r="M58">
            <v>30.8</v>
          </cell>
          <cell r="N58">
            <v>29.4</v>
          </cell>
          <cell r="O58">
            <v>30.4</v>
          </cell>
        </row>
        <row r="59">
          <cell r="A59">
            <v>902</v>
          </cell>
          <cell r="B59">
            <v>2</v>
          </cell>
          <cell r="C59">
            <v>13.441000000000001</v>
          </cell>
          <cell r="D59">
            <v>27.9</v>
          </cell>
          <cell r="E59">
            <v>27.9</v>
          </cell>
          <cell r="F59">
            <v>27.7</v>
          </cell>
          <cell r="G59">
            <v>28.7</v>
          </cell>
          <cell r="H59">
            <v>29.1</v>
          </cell>
          <cell r="I59">
            <v>28.4</v>
          </cell>
          <cell r="J59">
            <v>29.6</v>
          </cell>
          <cell r="K59">
            <v>27</v>
          </cell>
          <cell r="L59">
            <v>28.6</v>
          </cell>
          <cell r="M59">
            <v>28.1</v>
          </cell>
          <cell r="N59">
            <v>27.8</v>
          </cell>
          <cell r="O59">
            <v>27.9</v>
          </cell>
        </row>
        <row r="60">
          <cell r="A60">
            <v>901</v>
          </cell>
          <cell r="B60">
            <v>1</v>
          </cell>
          <cell r="C60">
            <v>13.452999999999999</v>
          </cell>
          <cell r="D60">
            <v>30.8</v>
          </cell>
          <cell r="E60">
            <v>29.7</v>
          </cell>
          <cell r="F60">
            <v>29.7</v>
          </cell>
          <cell r="G60">
            <v>29.5</v>
          </cell>
          <cell r="H60">
            <v>28.5</v>
          </cell>
          <cell r="I60">
            <v>28</v>
          </cell>
          <cell r="J60">
            <v>28</v>
          </cell>
          <cell r="K60">
            <v>30</v>
          </cell>
          <cell r="L60">
            <v>29.7</v>
          </cell>
          <cell r="M60">
            <v>29.8</v>
          </cell>
          <cell r="N60">
            <v>30.9</v>
          </cell>
          <cell r="O60">
            <v>29.5</v>
          </cell>
        </row>
        <row r="62">
          <cell r="A62">
            <v>301</v>
          </cell>
          <cell r="B62">
            <v>1</v>
          </cell>
          <cell r="C62">
            <v>13.468</v>
          </cell>
          <cell r="D62">
            <v>52</v>
          </cell>
          <cell r="E62">
            <v>53.2</v>
          </cell>
          <cell r="F62">
            <v>44.1</v>
          </cell>
          <cell r="G62">
            <v>54.1</v>
          </cell>
          <cell r="H62">
            <v>47.5</v>
          </cell>
          <cell r="I62">
            <v>52.7</v>
          </cell>
          <cell r="J62">
            <v>45.7</v>
          </cell>
          <cell r="K62">
            <v>51.8</v>
          </cell>
          <cell r="L62">
            <v>51.1</v>
          </cell>
          <cell r="M62">
            <v>52.9</v>
          </cell>
          <cell r="N62">
            <v>49.5</v>
          </cell>
          <cell r="O62">
            <v>43.1</v>
          </cell>
        </row>
        <row r="63">
          <cell r="A63">
            <v>301</v>
          </cell>
          <cell r="B63">
            <v>2</v>
          </cell>
          <cell r="C63">
            <v>13.472</v>
          </cell>
          <cell r="D63">
            <v>30.9</v>
          </cell>
          <cell r="E63">
            <v>31.7</v>
          </cell>
          <cell r="F63">
            <v>31.2</v>
          </cell>
          <cell r="G63">
            <v>33.1</v>
          </cell>
          <cell r="H63">
            <v>32.6</v>
          </cell>
          <cell r="I63">
            <v>30.7</v>
          </cell>
          <cell r="J63">
            <v>32.700000000000003</v>
          </cell>
          <cell r="K63">
            <v>31.1</v>
          </cell>
          <cell r="L63">
            <v>31</v>
          </cell>
          <cell r="M63">
            <v>32.299999999999997</v>
          </cell>
          <cell r="N63">
            <v>31.1</v>
          </cell>
          <cell r="O63">
            <v>33</v>
          </cell>
        </row>
        <row r="64">
          <cell r="A64">
            <v>302</v>
          </cell>
          <cell r="B64">
            <v>1</v>
          </cell>
          <cell r="C64">
            <v>13.484</v>
          </cell>
          <cell r="D64">
            <v>31.7</v>
          </cell>
          <cell r="E64">
            <v>32.4</v>
          </cell>
          <cell r="F64">
            <v>30.9</v>
          </cell>
          <cell r="G64">
            <v>32.299999999999997</v>
          </cell>
          <cell r="H64">
            <v>31.5</v>
          </cell>
          <cell r="I64">
            <v>32.4</v>
          </cell>
          <cell r="J64">
            <v>31.4</v>
          </cell>
          <cell r="K64">
            <v>32.1</v>
          </cell>
          <cell r="L64">
            <v>32.4</v>
          </cell>
          <cell r="M64">
            <v>32.299999999999997</v>
          </cell>
          <cell r="N64">
            <v>31</v>
          </cell>
          <cell r="O64">
            <v>32</v>
          </cell>
        </row>
        <row r="65">
          <cell r="A65">
            <v>302</v>
          </cell>
          <cell r="B65">
            <v>2</v>
          </cell>
          <cell r="C65">
            <v>13.488</v>
          </cell>
          <cell r="D65">
            <v>28.4</v>
          </cell>
          <cell r="E65">
            <v>29.2</v>
          </cell>
          <cell r="F65">
            <v>29.4</v>
          </cell>
          <cell r="G65">
            <v>29.5</v>
          </cell>
          <cell r="H65">
            <v>27.8</v>
          </cell>
          <cell r="I65">
            <v>28.6</v>
          </cell>
          <cell r="J65">
            <v>29.1</v>
          </cell>
          <cell r="K65">
            <v>30.8</v>
          </cell>
          <cell r="L65">
            <v>29</v>
          </cell>
          <cell r="M65">
            <v>28.2</v>
          </cell>
          <cell r="N65">
            <v>30.1</v>
          </cell>
          <cell r="O65">
            <v>30.4</v>
          </cell>
        </row>
        <row r="66">
          <cell r="A66">
            <v>303</v>
          </cell>
          <cell r="B66">
            <v>1</v>
          </cell>
          <cell r="C66">
            <v>13.5</v>
          </cell>
          <cell r="D66">
            <v>52.5</v>
          </cell>
          <cell r="E66">
            <v>53.6</v>
          </cell>
          <cell r="F66">
            <v>51.2</v>
          </cell>
          <cell r="G66">
            <v>51.7</v>
          </cell>
          <cell r="H66">
            <v>51.9</v>
          </cell>
          <cell r="I66">
            <v>53.7</v>
          </cell>
          <cell r="J66">
            <v>51.6</v>
          </cell>
          <cell r="K66">
            <v>53.5</v>
          </cell>
          <cell r="L66">
            <v>48.8</v>
          </cell>
          <cell r="M66">
            <v>53.9</v>
          </cell>
          <cell r="N66">
            <v>52.4</v>
          </cell>
          <cell r="O66">
            <v>52.9</v>
          </cell>
        </row>
        <row r="67">
          <cell r="A67">
            <v>303</v>
          </cell>
          <cell r="B67">
            <v>2</v>
          </cell>
          <cell r="C67">
            <v>13.504</v>
          </cell>
          <cell r="D67">
            <v>32.799999999999997</v>
          </cell>
          <cell r="E67">
            <v>30.5</v>
          </cell>
          <cell r="F67">
            <v>33.799999999999997</v>
          </cell>
          <cell r="G67">
            <v>34.799999999999997</v>
          </cell>
          <cell r="H67">
            <v>31.8</v>
          </cell>
          <cell r="I67">
            <v>33.299999999999997</v>
          </cell>
          <cell r="J67">
            <v>32.700000000000003</v>
          </cell>
          <cell r="K67">
            <v>32.6</v>
          </cell>
          <cell r="L67">
            <v>33.1</v>
          </cell>
          <cell r="M67">
            <v>32.700000000000003</v>
          </cell>
          <cell r="N67">
            <v>41.1</v>
          </cell>
          <cell r="O67">
            <v>32.799999999999997</v>
          </cell>
        </row>
        <row r="68">
          <cell r="A68">
            <v>304</v>
          </cell>
          <cell r="B68">
            <v>1</v>
          </cell>
          <cell r="C68">
            <v>13.516</v>
          </cell>
          <cell r="D68">
            <v>29.6</v>
          </cell>
          <cell r="E68">
            <v>30.8</v>
          </cell>
          <cell r="F68">
            <v>28.7</v>
          </cell>
          <cell r="G68">
            <v>31.6</v>
          </cell>
          <cell r="H68">
            <v>32.4</v>
          </cell>
          <cell r="I68">
            <v>31.4</v>
          </cell>
          <cell r="J68">
            <v>29.8</v>
          </cell>
          <cell r="K68">
            <v>31.7</v>
          </cell>
          <cell r="L68">
            <v>29.1</v>
          </cell>
          <cell r="M68">
            <v>31.1</v>
          </cell>
          <cell r="N68">
            <v>29.4</v>
          </cell>
          <cell r="O68">
            <v>34.799999999999997</v>
          </cell>
        </row>
        <row r="69">
          <cell r="A69">
            <v>304</v>
          </cell>
          <cell r="B69">
            <v>2</v>
          </cell>
          <cell r="C69">
            <v>13.521000000000001</v>
          </cell>
          <cell r="D69">
            <v>30.1</v>
          </cell>
          <cell r="E69">
            <v>33.5</v>
          </cell>
          <cell r="F69">
            <v>28.8</v>
          </cell>
          <cell r="G69">
            <v>29.9</v>
          </cell>
          <cell r="H69">
            <v>30.2</v>
          </cell>
          <cell r="I69">
            <v>28.3</v>
          </cell>
          <cell r="J69">
            <v>29.2</v>
          </cell>
          <cell r="K69">
            <v>28.9</v>
          </cell>
          <cell r="L69">
            <v>28.6</v>
          </cell>
          <cell r="M69">
            <v>28</v>
          </cell>
          <cell r="N69">
            <v>29.7</v>
          </cell>
          <cell r="O69">
            <v>29.1</v>
          </cell>
        </row>
        <row r="70">
          <cell r="A70">
            <v>305</v>
          </cell>
          <cell r="B70">
            <v>1</v>
          </cell>
          <cell r="C70">
            <v>13.532999999999999</v>
          </cell>
          <cell r="D70">
            <v>50.5</v>
          </cell>
          <cell r="E70">
            <v>39.299999999999997</v>
          </cell>
          <cell r="F70">
            <v>46</v>
          </cell>
          <cell r="G70">
            <v>46.7</v>
          </cell>
          <cell r="H70">
            <v>43.6</v>
          </cell>
          <cell r="I70">
            <v>49.6</v>
          </cell>
          <cell r="J70">
            <v>47.3</v>
          </cell>
          <cell r="K70">
            <v>44.7</v>
          </cell>
          <cell r="L70">
            <v>40.700000000000003</v>
          </cell>
          <cell r="M70">
            <v>40.9</v>
          </cell>
          <cell r="N70">
            <v>43.8</v>
          </cell>
          <cell r="O70">
            <v>44.8</v>
          </cell>
        </row>
        <row r="71">
          <cell r="A71">
            <v>305</v>
          </cell>
          <cell r="B71">
            <v>2</v>
          </cell>
          <cell r="C71">
            <v>13.538</v>
          </cell>
          <cell r="D71">
            <v>30.8</v>
          </cell>
          <cell r="E71">
            <v>31.8</v>
          </cell>
          <cell r="F71">
            <v>30.9</v>
          </cell>
          <cell r="G71">
            <v>31.8</v>
          </cell>
          <cell r="H71">
            <v>31.7</v>
          </cell>
          <cell r="I71">
            <v>32.9</v>
          </cell>
          <cell r="J71">
            <v>30.5</v>
          </cell>
          <cell r="K71">
            <v>31.3</v>
          </cell>
          <cell r="L71">
            <v>30.4</v>
          </cell>
          <cell r="M71">
            <v>29.9</v>
          </cell>
          <cell r="N71">
            <v>33</v>
          </cell>
          <cell r="O71">
            <v>31.6</v>
          </cell>
        </row>
        <row r="72">
          <cell r="A72">
            <v>306</v>
          </cell>
          <cell r="B72">
            <v>1</v>
          </cell>
          <cell r="C72">
            <v>13.548999999999999</v>
          </cell>
          <cell r="D72">
            <v>31.1</v>
          </cell>
          <cell r="E72">
            <v>32.1</v>
          </cell>
          <cell r="F72">
            <v>29.6</v>
          </cell>
          <cell r="G72">
            <v>32.700000000000003</v>
          </cell>
          <cell r="H72">
            <v>30.2</v>
          </cell>
          <cell r="I72">
            <v>32.299999999999997</v>
          </cell>
          <cell r="J72">
            <v>29.1</v>
          </cell>
          <cell r="K72">
            <v>32</v>
          </cell>
          <cell r="L72">
            <v>28.7</v>
          </cell>
          <cell r="M72">
            <v>32.5</v>
          </cell>
          <cell r="N72">
            <v>29.1</v>
          </cell>
          <cell r="O72">
            <v>32.6</v>
          </cell>
        </row>
        <row r="73">
          <cell r="A73">
            <v>306</v>
          </cell>
          <cell r="B73">
            <v>2</v>
          </cell>
          <cell r="C73">
            <v>13.554</v>
          </cell>
          <cell r="D73">
            <v>29.9</v>
          </cell>
          <cell r="E73">
            <v>28.7</v>
          </cell>
          <cell r="F73">
            <v>29.3</v>
          </cell>
          <cell r="G73">
            <v>28.4</v>
          </cell>
          <cell r="H73">
            <v>30.2</v>
          </cell>
          <cell r="I73">
            <v>30.3</v>
          </cell>
          <cell r="J73">
            <v>29.7</v>
          </cell>
          <cell r="K73">
            <v>28</v>
          </cell>
          <cell r="L73">
            <v>28.5</v>
          </cell>
          <cell r="M73">
            <v>28.8</v>
          </cell>
          <cell r="N73">
            <v>29.9</v>
          </cell>
          <cell r="O73">
            <v>29.3</v>
          </cell>
        </row>
        <row r="74">
          <cell r="A74">
            <v>307</v>
          </cell>
          <cell r="B74">
            <v>1</v>
          </cell>
          <cell r="C74">
            <v>13.565</v>
          </cell>
          <cell r="D74">
            <v>55.1</v>
          </cell>
          <cell r="E74">
            <v>50.2</v>
          </cell>
          <cell r="F74">
            <v>51.5</v>
          </cell>
          <cell r="G74">
            <v>55.8</v>
          </cell>
          <cell r="H74">
            <v>50.3</v>
          </cell>
          <cell r="I74">
            <v>55.5</v>
          </cell>
          <cell r="J74">
            <v>48.6</v>
          </cell>
          <cell r="K74">
            <v>56.4</v>
          </cell>
          <cell r="L74">
            <v>52.5</v>
          </cell>
          <cell r="M74">
            <v>56.8</v>
          </cell>
          <cell r="N74">
            <v>50</v>
          </cell>
          <cell r="O74">
            <v>53.2</v>
          </cell>
        </row>
        <row r="75">
          <cell r="A75">
            <v>307</v>
          </cell>
          <cell r="B75">
            <v>2</v>
          </cell>
          <cell r="C75">
            <v>13.57</v>
          </cell>
          <cell r="D75">
            <v>32.9</v>
          </cell>
          <cell r="E75">
            <v>33.299999999999997</v>
          </cell>
          <cell r="F75">
            <v>32.700000000000003</v>
          </cell>
          <cell r="G75">
            <v>33.5</v>
          </cell>
          <cell r="H75">
            <v>32.6</v>
          </cell>
          <cell r="I75">
            <v>32.4</v>
          </cell>
          <cell r="J75">
            <v>32.4</v>
          </cell>
          <cell r="K75">
            <v>31.5</v>
          </cell>
          <cell r="L75">
            <v>33.6</v>
          </cell>
          <cell r="M75">
            <v>33.6</v>
          </cell>
          <cell r="N75">
            <v>32.799999999999997</v>
          </cell>
          <cell r="O75">
            <v>33.1</v>
          </cell>
        </row>
        <row r="76">
          <cell r="A76">
            <v>308</v>
          </cell>
          <cell r="B76">
            <v>1</v>
          </cell>
          <cell r="C76">
            <v>13.581</v>
          </cell>
          <cell r="D76">
            <v>30</v>
          </cell>
          <cell r="E76">
            <v>31.6</v>
          </cell>
          <cell r="F76">
            <v>29.6</v>
          </cell>
          <cell r="G76">
            <v>32.299999999999997</v>
          </cell>
          <cell r="H76">
            <v>29.7</v>
          </cell>
          <cell r="I76">
            <v>32.1</v>
          </cell>
          <cell r="J76">
            <v>30.3</v>
          </cell>
          <cell r="K76">
            <v>30.9</v>
          </cell>
          <cell r="L76">
            <v>30.1</v>
          </cell>
          <cell r="M76">
            <v>31.7</v>
          </cell>
          <cell r="N76">
            <v>28.8</v>
          </cell>
          <cell r="O76">
            <v>30.1</v>
          </cell>
        </row>
        <row r="77">
          <cell r="A77">
            <v>308</v>
          </cell>
          <cell r="B77">
            <v>2</v>
          </cell>
          <cell r="C77">
            <v>13.589</v>
          </cell>
          <cell r="D77">
            <v>31.5</v>
          </cell>
          <cell r="E77">
            <v>29</v>
          </cell>
          <cell r="F77">
            <v>30.5</v>
          </cell>
          <cell r="G77">
            <v>30.3</v>
          </cell>
          <cell r="H77">
            <v>29</v>
          </cell>
          <cell r="I77">
            <v>30.1</v>
          </cell>
          <cell r="J77">
            <v>30.1</v>
          </cell>
          <cell r="K77">
            <v>29.7</v>
          </cell>
          <cell r="L77">
            <v>30.6</v>
          </cell>
          <cell r="M77">
            <v>29.9</v>
          </cell>
          <cell r="N77">
            <v>31.1</v>
          </cell>
          <cell r="O77">
            <v>30.7</v>
          </cell>
        </row>
        <row r="78">
          <cell r="A78">
            <v>408</v>
          </cell>
          <cell r="B78">
            <v>1</v>
          </cell>
          <cell r="C78">
            <v>13.606</v>
          </cell>
          <cell r="D78">
            <v>54.5</v>
          </cell>
          <cell r="E78">
            <v>49.3</v>
          </cell>
          <cell r="F78">
            <v>52.4</v>
          </cell>
          <cell r="G78">
            <v>51</v>
          </cell>
          <cell r="H78">
            <v>52.7</v>
          </cell>
          <cell r="I78">
            <v>52.7</v>
          </cell>
          <cell r="J78">
            <v>47.3</v>
          </cell>
          <cell r="K78">
            <v>55.2</v>
          </cell>
          <cell r="L78">
            <v>48.1</v>
          </cell>
          <cell r="M78">
            <v>55.9</v>
          </cell>
          <cell r="N78">
            <v>47.7</v>
          </cell>
          <cell r="O78">
            <v>46.4</v>
          </cell>
        </row>
        <row r="79">
          <cell r="A79">
            <v>408</v>
          </cell>
          <cell r="B79">
            <v>2</v>
          </cell>
          <cell r="C79">
            <v>13.61</v>
          </cell>
          <cell r="D79">
            <v>31.5</v>
          </cell>
          <cell r="E79">
            <v>32.799999999999997</v>
          </cell>
          <cell r="F79">
            <v>32.299999999999997</v>
          </cell>
          <cell r="G79">
            <v>32.4</v>
          </cell>
          <cell r="H79">
            <v>33.200000000000003</v>
          </cell>
          <cell r="I79">
            <v>30.8</v>
          </cell>
          <cell r="J79">
            <v>30.8</v>
          </cell>
          <cell r="K79">
            <v>34.5</v>
          </cell>
          <cell r="L79">
            <v>34.700000000000003</v>
          </cell>
          <cell r="M79">
            <v>35.700000000000003</v>
          </cell>
          <cell r="N79">
            <v>32</v>
          </cell>
          <cell r="O79">
            <v>31.8</v>
          </cell>
        </row>
        <row r="80">
          <cell r="A80">
            <v>407</v>
          </cell>
          <cell r="B80">
            <v>1</v>
          </cell>
          <cell r="C80">
            <v>13.622999999999999</v>
          </cell>
          <cell r="D80">
            <v>52.5</v>
          </cell>
          <cell r="E80">
            <v>52.8</v>
          </cell>
          <cell r="F80">
            <v>50.6</v>
          </cell>
          <cell r="G80">
            <v>52.3</v>
          </cell>
          <cell r="H80">
            <v>51.9</v>
          </cell>
          <cell r="I80">
            <v>53.1</v>
          </cell>
          <cell r="J80">
            <v>52.6</v>
          </cell>
          <cell r="K80">
            <v>54.1</v>
          </cell>
          <cell r="L80">
            <v>49.9</v>
          </cell>
          <cell r="M80">
            <v>54.5</v>
          </cell>
          <cell r="N80">
            <v>50.2</v>
          </cell>
          <cell r="O80">
            <v>53.1</v>
          </cell>
        </row>
        <row r="81">
          <cell r="A81">
            <v>407</v>
          </cell>
          <cell r="B81">
            <v>2</v>
          </cell>
          <cell r="C81">
            <v>13.627000000000001</v>
          </cell>
          <cell r="D81">
            <v>38.9</v>
          </cell>
          <cell r="E81">
            <v>33.200000000000003</v>
          </cell>
          <cell r="F81">
            <v>41.3</v>
          </cell>
          <cell r="G81">
            <v>30.5</v>
          </cell>
          <cell r="H81">
            <v>33.9</v>
          </cell>
          <cell r="I81">
            <v>34.9</v>
          </cell>
          <cell r="J81">
            <v>31.8</v>
          </cell>
          <cell r="K81">
            <v>35.9</v>
          </cell>
          <cell r="L81">
            <v>37.4</v>
          </cell>
          <cell r="M81">
            <v>36.200000000000003</v>
          </cell>
          <cell r="N81">
            <v>34</v>
          </cell>
          <cell r="O81">
            <v>34.799999999999997</v>
          </cell>
        </row>
        <row r="82">
          <cell r="A82">
            <v>406</v>
          </cell>
          <cell r="B82">
            <v>1</v>
          </cell>
          <cell r="C82">
            <v>13.64</v>
          </cell>
          <cell r="D82">
            <v>32.1</v>
          </cell>
          <cell r="E82">
            <v>32.1</v>
          </cell>
          <cell r="F82">
            <v>30.2</v>
          </cell>
          <cell r="G82">
            <v>31.5</v>
          </cell>
          <cell r="H82">
            <v>31.8</v>
          </cell>
          <cell r="I82">
            <v>31.6</v>
          </cell>
          <cell r="J82">
            <v>30.8</v>
          </cell>
          <cell r="K82">
            <v>31.2</v>
          </cell>
          <cell r="L82">
            <v>29.3</v>
          </cell>
          <cell r="M82">
            <v>31.3</v>
          </cell>
          <cell r="N82">
            <v>29.2</v>
          </cell>
          <cell r="O82">
            <v>31.1</v>
          </cell>
        </row>
        <row r="83">
          <cell r="A83">
            <v>406</v>
          </cell>
          <cell r="B83">
            <v>2</v>
          </cell>
          <cell r="C83">
            <v>13.645</v>
          </cell>
          <cell r="D83">
            <v>29.8</v>
          </cell>
          <cell r="E83">
            <v>28.9</v>
          </cell>
          <cell r="F83">
            <v>28.6</v>
          </cell>
          <cell r="G83">
            <v>28.6</v>
          </cell>
          <cell r="H83">
            <v>31.9</v>
          </cell>
          <cell r="I83">
            <v>29.1</v>
          </cell>
          <cell r="J83">
            <v>28.4</v>
          </cell>
          <cell r="K83">
            <v>29.8</v>
          </cell>
          <cell r="L83">
            <v>30.9</v>
          </cell>
          <cell r="M83">
            <v>29.3</v>
          </cell>
          <cell r="N83">
            <v>29.2</v>
          </cell>
          <cell r="O83">
            <v>30</v>
          </cell>
        </row>
        <row r="84">
          <cell r="A84">
            <v>405</v>
          </cell>
          <cell r="B84">
            <v>1</v>
          </cell>
          <cell r="C84">
            <v>13.659000000000001</v>
          </cell>
          <cell r="D84">
            <v>31.3</v>
          </cell>
          <cell r="E84">
            <v>29.8</v>
          </cell>
          <cell r="F84">
            <v>30</v>
          </cell>
          <cell r="G84">
            <v>30.4</v>
          </cell>
          <cell r="H84">
            <v>29.5</v>
          </cell>
          <cell r="I84">
            <v>30.7</v>
          </cell>
          <cell r="J84">
            <v>29.3</v>
          </cell>
          <cell r="K84">
            <v>31.6</v>
          </cell>
          <cell r="L84">
            <v>29.8</v>
          </cell>
          <cell r="M84">
            <v>30.3</v>
          </cell>
          <cell r="N84">
            <v>29.8</v>
          </cell>
          <cell r="O84">
            <v>30.2</v>
          </cell>
        </row>
        <row r="85">
          <cell r="A85">
            <v>405</v>
          </cell>
          <cell r="B85">
            <v>2</v>
          </cell>
          <cell r="C85">
            <v>13.663</v>
          </cell>
          <cell r="D85">
            <v>29.4</v>
          </cell>
          <cell r="E85">
            <v>27.9</v>
          </cell>
          <cell r="F85">
            <v>29.1</v>
          </cell>
          <cell r="G85">
            <v>29.2</v>
          </cell>
          <cell r="H85">
            <v>27.8</v>
          </cell>
          <cell r="I85">
            <v>29</v>
          </cell>
          <cell r="J85">
            <v>29.6</v>
          </cell>
          <cell r="K85">
            <v>29.5</v>
          </cell>
          <cell r="L85">
            <v>30.4</v>
          </cell>
          <cell r="M85">
            <v>29.2</v>
          </cell>
          <cell r="N85">
            <v>30.2</v>
          </cell>
          <cell r="O85">
            <v>30.5</v>
          </cell>
        </row>
        <row r="86">
          <cell r="A86">
            <v>404</v>
          </cell>
          <cell r="B86">
            <v>1</v>
          </cell>
          <cell r="C86">
            <v>13.675000000000001</v>
          </cell>
          <cell r="D86">
            <v>32</v>
          </cell>
          <cell r="E86">
            <v>31.9</v>
          </cell>
          <cell r="F86">
            <v>29.7</v>
          </cell>
          <cell r="G86">
            <v>31.4</v>
          </cell>
          <cell r="H86">
            <v>30.7</v>
          </cell>
          <cell r="I86">
            <v>32.200000000000003</v>
          </cell>
          <cell r="J86">
            <v>30.3</v>
          </cell>
          <cell r="K86">
            <v>31.2</v>
          </cell>
          <cell r="L86">
            <v>30.2</v>
          </cell>
          <cell r="M86">
            <v>31.9</v>
          </cell>
          <cell r="N86">
            <v>30.4</v>
          </cell>
          <cell r="O86">
            <v>30.2</v>
          </cell>
        </row>
        <row r="87">
          <cell r="A87">
            <v>404</v>
          </cell>
          <cell r="B87">
            <v>2</v>
          </cell>
          <cell r="C87">
            <v>13.68</v>
          </cell>
          <cell r="D87">
            <v>29.3</v>
          </cell>
          <cell r="E87">
            <v>28.8</v>
          </cell>
          <cell r="F87">
            <v>31.9</v>
          </cell>
          <cell r="G87">
            <v>29.4</v>
          </cell>
          <cell r="H87">
            <v>30.1</v>
          </cell>
          <cell r="I87">
            <v>30.6</v>
          </cell>
          <cell r="J87">
            <v>27.7</v>
          </cell>
          <cell r="K87">
            <v>29.6</v>
          </cell>
          <cell r="L87">
            <v>29.5</v>
          </cell>
          <cell r="M87">
            <v>29.4</v>
          </cell>
          <cell r="N87">
            <v>28.9</v>
          </cell>
          <cell r="O87">
            <v>28.8</v>
          </cell>
        </row>
        <row r="88">
          <cell r="A88">
            <v>403</v>
          </cell>
          <cell r="B88">
            <v>1</v>
          </cell>
          <cell r="C88">
            <v>13.692</v>
          </cell>
          <cell r="D88">
            <v>31.1</v>
          </cell>
          <cell r="E88">
            <v>31.2</v>
          </cell>
          <cell r="F88">
            <v>29</v>
          </cell>
          <cell r="G88">
            <v>31.7</v>
          </cell>
          <cell r="H88">
            <v>29.7</v>
          </cell>
          <cell r="I88">
            <v>31.3</v>
          </cell>
          <cell r="J88">
            <v>29.6</v>
          </cell>
          <cell r="K88">
            <v>29.3</v>
          </cell>
          <cell r="L88">
            <v>29.6</v>
          </cell>
          <cell r="M88">
            <v>30.3</v>
          </cell>
          <cell r="N88">
            <v>29.5</v>
          </cell>
          <cell r="O88">
            <v>30.6</v>
          </cell>
        </row>
        <row r="89">
          <cell r="A89">
            <v>403</v>
          </cell>
          <cell r="B89">
            <v>2</v>
          </cell>
          <cell r="C89">
            <v>13.696</v>
          </cell>
          <cell r="D89">
            <v>28.6</v>
          </cell>
          <cell r="E89">
            <v>28.6</v>
          </cell>
          <cell r="F89">
            <v>29.1</v>
          </cell>
          <cell r="G89">
            <v>28.4</v>
          </cell>
          <cell r="H89">
            <v>30.4</v>
          </cell>
          <cell r="I89">
            <v>29.5</v>
          </cell>
          <cell r="J89">
            <v>29.8</v>
          </cell>
          <cell r="K89">
            <v>29.6</v>
          </cell>
          <cell r="L89">
            <v>29</v>
          </cell>
          <cell r="M89">
            <v>28.9</v>
          </cell>
          <cell r="N89">
            <v>29.1</v>
          </cell>
          <cell r="O89">
            <v>28.7</v>
          </cell>
        </row>
        <row r="90">
          <cell r="A90">
            <v>402</v>
          </cell>
          <cell r="B90">
            <v>1</v>
          </cell>
          <cell r="C90">
            <v>13.708</v>
          </cell>
          <cell r="D90">
            <v>54.3</v>
          </cell>
          <cell r="E90">
            <v>54.6</v>
          </cell>
          <cell r="F90">
            <v>50.5</v>
          </cell>
          <cell r="G90">
            <v>54.2</v>
          </cell>
          <cell r="H90">
            <v>44.2</v>
          </cell>
          <cell r="I90">
            <v>54.5</v>
          </cell>
          <cell r="J90">
            <v>48.4</v>
          </cell>
          <cell r="K90">
            <v>54.6</v>
          </cell>
          <cell r="L90">
            <v>51.8</v>
          </cell>
          <cell r="M90">
            <v>53.9</v>
          </cell>
          <cell r="N90">
            <v>47.2</v>
          </cell>
          <cell r="O90">
            <v>49.5</v>
          </cell>
        </row>
        <row r="91">
          <cell r="A91">
            <v>402</v>
          </cell>
          <cell r="B91">
            <v>2</v>
          </cell>
          <cell r="C91">
            <v>13.712</v>
          </cell>
          <cell r="D91">
            <v>34.9</v>
          </cell>
          <cell r="E91">
            <v>33.4</v>
          </cell>
          <cell r="F91">
            <v>30.9</v>
          </cell>
          <cell r="G91">
            <v>31.6</v>
          </cell>
          <cell r="H91">
            <v>35</v>
          </cell>
          <cell r="I91">
            <v>32.1</v>
          </cell>
          <cell r="J91">
            <v>33.299999999999997</v>
          </cell>
          <cell r="K91">
            <v>32.799999999999997</v>
          </cell>
          <cell r="L91">
            <v>32.299999999999997</v>
          </cell>
          <cell r="M91">
            <v>31.8</v>
          </cell>
          <cell r="N91">
            <v>32.200000000000003</v>
          </cell>
          <cell r="O91">
            <v>33.1</v>
          </cell>
        </row>
        <row r="92">
          <cell r="A92">
            <v>401</v>
          </cell>
          <cell r="B92">
            <v>1</v>
          </cell>
          <cell r="C92">
            <v>13.724</v>
          </cell>
          <cell r="D92">
            <v>53.4</v>
          </cell>
          <cell r="E92">
            <v>52.9</v>
          </cell>
          <cell r="F92">
            <v>52.6</v>
          </cell>
          <cell r="G92">
            <v>53.3</v>
          </cell>
          <cell r="H92">
            <v>49.8</v>
          </cell>
          <cell r="I92">
            <v>53.2</v>
          </cell>
          <cell r="J92">
            <v>48.6</v>
          </cell>
          <cell r="K92">
            <v>53.5</v>
          </cell>
          <cell r="L92">
            <v>52.5</v>
          </cell>
          <cell r="M92">
            <v>53.8</v>
          </cell>
          <cell r="N92">
            <v>47.3</v>
          </cell>
          <cell r="O92">
            <v>53.1</v>
          </cell>
        </row>
        <row r="93">
          <cell r="A93">
            <v>401</v>
          </cell>
          <cell r="B93">
            <v>2</v>
          </cell>
          <cell r="C93">
            <v>13.728999999999999</v>
          </cell>
          <cell r="D93">
            <v>32.700000000000003</v>
          </cell>
          <cell r="E93">
            <v>34.5</v>
          </cell>
          <cell r="F93">
            <v>33.9</v>
          </cell>
          <cell r="G93">
            <v>30.7</v>
          </cell>
          <cell r="H93">
            <v>36.200000000000003</v>
          </cell>
          <cell r="I93">
            <v>32.1</v>
          </cell>
          <cell r="J93">
            <v>33.9</v>
          </cell>
          <cell r="K93">
            <v>36.9</v>
          </cell>
          <cell r="L93">
            <v>40.5</v>
          </cell>
          <cell r="M93">
            <v>35.6</v>
          </cell>
          <cell r="N93">
            <v>35.5</v>
          </cell>
          <cell r="O93">
            <v>40.6</v>
          </cell>
        </row>
      </sheetData>
      <sheetData sheetId="2">
        <row r="7">
          <cell r="C7">
            <v>161</v>
          </cell>
        </row>
        <row r="10">
          <cell r="C10">
            <v>5481</v>
          </cell>
        </row>
        <row r="20">
          <cell r="C20">
            <v>4</v>
          </cell>
        </row>
        <row r="25">
          <cell r="E25">
            <v>35.1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'IA160.03R'</v>
          </cell>
        </row>
        <row r="14">
          <cell r="A14">
            <v>108</v>
          </cell>
          <cell r="B14">
            <v>1</v>
          </cell>
          <cell r="C14">
            <v>12.795999999999999</v>
          </cell>
          <cell r="D14">
            <v>58.1</v>
          </cell>
          <cell r="E14">
            <v>47.4</v>
          </cell>
          <cell r="F14">
            <v>58.9</v>
          </cell>
          <cell r="G14">
            <v>43.7</v>
          </cell>
          <cell r="H14">
            <v>61.1</v>
          </cell>
          <cell r="I14">
            <v>49.5</v>
          </cell>
          <cell r="J14">
            <v>61.3</v>
          </cell>
          <cell r="K14">
            <v>43.2</v>
          </cell>
          <cell r="L14">
            <v>58.9</v>
          </cell>
          <cell r="M14">
            <v>46.2</v>
          </cell>
          <cell r="N14">
            <v>58.2</v>
          </cell>
          <cell r="O14">
            <v>43.4</v>
          </cell>
        </row>
        <row r="15">
          <cell r="A15">
            <v>108</v>
          </cell>
          <cell r="B15">
            <v>2</v>
          </cell>
          <cell r="C15">
            <v>12.8</v>
          </cell>
          <cell r="D15">
            <v>30.3</v>
          </cell>
          <cell r="E15">
            <v>34.299999999999997</v>
          </cell>
          <cell r="F15">
            <v>30.7</v>
          </cell>
          <cell r="G15">
            <v>29.4</v>
          </cell>
          <cell r="H15">
            <v>30.9</v>
          </cell>
          <cell r="I15">
            <v>30.5</v>
          </cell>
          <cell r="J15">
            <v>33.4</v>
          </cell>
          <cell r="K15">
            <v>31.3</v>
          </cell>
          <cell r="L15">
            <v>32.6</v>
          </cell>
          <cell r="M15">
            <v>34.299999999999997</v>
          </cell>
          <cell r="N15">
            <v>36</v>
          </cell>
          <cell r="O15">
            <v>32.799999999999997</v>
          </cell>
        </row>
        <row r="16">
          <cell r="A16">
            <v>107</v>
          </cell>
          <cell r="B16">
            <v>1</v>
          </cell>
          <cell r="C16">
            <v>12.813000000000001</v>
          </cell>
          <cell r="D16">
            <v>57.8</v>
          </cell>
          <cell r="E16">
            <v>51</v>
          </cell>
          <cell r="F16">
            <v>58.5</v>
          </cell>
          <cell r="G16">
            <v>43.7</v>
          </cell>
          <cell r="H16">
            <v>57.3</v>
          </cell>
          <cell r="I16">
            <v>43.3</v>
          </cell>
          <cell r="J16">
            <v>61.7</v>
          </cell>
          <cell r="K16">
            <v>42</v>
          </cell>
          <cell r="L16">
            <v>59.1</v>
          </cell>
          <cell r="M16">
            <v>49.7</v>
          </cell>
          <cell r="N16">
            <v>58.2</v>
          </cell>
          <cell r="O16">
            <v>46.2</v>
          </cell>
        </row>
        <row r="17">
          <cell r="A17">
            <v>107</v>
          </cell>
          <cell r="B17">
            <v>2</v>
          </cell>
          <cell r="C17">
            <v>12.818</v>
          </cell>
          <cell r="D17">
            <v>30.2</v>
          </cell>
          <cell r="E17">
            <v>28.9</v>
          </cell>
          <cell r="F17">
            <v>29.9</v>
          </cell>
          <cell r="G17">
            <v>29.3</v>
          </cell>
          <cell r="H17">
            <v>32</v>
          </cell>
          <cell r="I17">
            <v>28.9</v>
          </cell>
          <cell r="J17">
            <v>28</v>
          </cell>
          <cell r="K17">
            <v>34.299999999999997</v>
          </cell>
          <cell r="L17">
            <v>29.9</v>
          </cell>
          <cell r="M17">
            <v>29.3</v>
          </cell>
          <cell r="N17">
            <v>30.3</v>
          </cell>
          <cell r="O17">
            <v>32.9</v>
          </cell>
        </row>
        <row r="18">
          <cell r="A18">
            <v>106</v>
          </cell>
          <cell r="B18">
            <v>1</v>
          </cell>
          <cell r="C18">
            <v>12.83</v>
          </cell>
          <cell r="D18">
            <v>58</v>
          </cell>
          <cell r="E18">
            <v>49.9</v>
          </cell>
          <cell r="F18">
            <v>59.5</v>
          </cell>
          <cell r="G18">
            <v>47.8</v>
          </cell>
          <cell r="H18">
            <v>59.7</v>
          </cell>
          <cell r="I18">
            <v>46.7</v>
          </cell>
          <cell r="J18">
            <v>59.8</v>
          </cell>
          <cell r="K18">
            <v>50.7</v>
          </cell>
          <cell r="L18">
            <v>59.1</v>
          </cell>
          <cell r="M18">
            <v>44.3</v>
          </cell>
          <cell r="N18">
            <v>57.5</v>
          </cell>
          <cell r="O18">
            <v>45.2</v>
          </cell>
        </row>
        <row r="19">
          <cell r="A19">
            <v>106</v>
          </cell>
          <cell r="B19">
            <v>2</v>
          </cell>
          <cell r="C19">
            <v>12.835000000000001</v>
          </cell>
          <cell r="D19">
            <v>30.5</v>
          </cell>
          <cell r="E19">
            <v>28.6</v>
          </cell>
          <cell r="F19">
            <v>30.2</v>
          </cell>
          <cell r="G19">
            <v>30.1</v>
          </cell>
          <cell r="H19">
            <v>30</v>
          </cell>
          <cell r="I19">
            <v>30.8</v>
          </cell>
          <cell r="J19">
            <v>29.6</v>
          </cell>
          <cell r="K19">
            <v>31.1</v>
          </cell>
          <cell r="L19">
            <v>30.7</v>
          </cell>
          <cell r="M19">
            <v>28.9</v>
          </cell>
          <cell r="N19">
            <v>31.3</v>
          </cell>
          <cell r="O19">
            <v>31.5</v>
          </cell>
        </row>
        <row r="20">
          <cell r="A20">
            <v>105</v>
          </cell>
          <cell r="B20">
            <v>1</v>
          </cell>
          <cell r="C20">
            <v>12.847</v>
          </cell>
          <cell r="D20">
            <v>54.5</v>
          </cell>
          <cell r="E20">
            <v>42.6</v>
          </cell>
          <cell r="F20">
            <v>50.7</v>
          </cell>
          <cell r="G20">
            <v>34.700000000000003</v>
          </cell>
          <cell r="H20">
            <v>53</v>
          </cell>
          <cell r="I20">
            <v>37.700000000000003</v>
          </cell>
          <cell r="J20">
            <v>53.9</v>
          </cell>
          <cell r="K20">
            <v>37.200000000000003</v>
          </cell>
          <cell r="L20">
            <v>53.9</v>
          </cell>
          <cell r="M20">
            <v>43.2</v>
          </cell>
          <cell r="N20">
            <v>54.1</v>
          </cell>
          <cell r="O20">
            <v>40.299999999999997</v>
          </cell>
        </row>
        <row r="21">
          <cell r="A21">
            <v>105</v>
          </cell>
          <cell r="B21">
            <v>2</v>
          </cell>
          <cell r="C21">
            <v>12.852</v>
          </cell>
          <cell r="D21">
            <v>27.2</v>
          </cell>
          <cell r="E21">
            <v>28.9</v>
          </cell>
          <cell r="F21">
            <v>30.8</v>
          </cell>
          <cell r="G21">
            <v>29.6</v>
          </cell>
          <cell r="H21">
            <v>28</v>
          </cell>
          <cell r="I21">
            <v>28.8</v>
          </cell>
          <cell r="J21">
            <v>28.4</v>
          </cell>
          <cell r="K21">
            <v>28.7</v>
          </cell>
          <cell r="L21">
            <v>27.9</v>
          </cell>
          <cell r="M21">
            <v>26.3</v>
          </cell>
          <cell r="N21">
            <v>29.8</v>
          </cell>
          <cell r="O21">
            <v>27.6</v>
          </cell>
        </row>
        <row r="22">
          <cell r="A22">
            <v>104</v>
          </cell>
          <cell r="B22">
            <v>1</v>
          </cell>
          <cell r="C22">
            <v>12.864000000000001</v>
          </cell>
          <cell r="D22">
            <v>57</v>
          </cell>
          <cell r="E22">
            <v>49.5</v>
          </cell>
          <cell r="F22">
            <v>57</v>
          </cell>
          <cell r="G22">
            <v>37.9</v>
          </cell>
          <cell r="H22">
            <v>58.2</v>
          </cell>
          <cell r="I22">
            <v>45.6</v>
          </cell>
          <cell r="J22">
            <v>62.1</v>
          </cell>
          <cell r="K22">
            <v>46.3</v>
          </cell>
          <cell r="L22">
            <v>58</v>
          </cell>
          <cell r="M22">
            <v>44.7</v>
          </cell>
          <cell r="N22">
            <v>59.3</v>
          </cell>
          <cell r="O22">
            <v>47</v>
          </cell>
        </row>
        <row r="23">
          <cell r="A23">
            <v>104</v>
          </cell>
          <cell r="B23">
            <v>2</v>
          </cell>
          <cell r="C23">
            <v>12.869</v>
          </cell>
          <cell r="D23">
            <v>29.7</v>
          </cell>
          <cell r="E23">
            <v>28.8</v>
          </cell>
          <cell r="F23">
            <v>30.2</v>
          </cell>
          <cell r="G23">
            <v>29.5</v>
          </cell>
          <cell r="H23">
            <v>29.7</v>
          </cell>
          <cell r="I23">
            <v>27.5</v>
          </cell>
          <cell r="J23">
            <v>30</v>
          </cell>
          <cell r="K23">
            <v>27.6</v>
          </cell>
          <cell r="L23">
            <v>28.7</v>
          </cell>
          <cell r="M23">
            <v>29.1</v>
          </cell>
          <cell r="N23">
            <v>29.8</v>
          </cell>
          <cell r="O23">
            <v>28.8</v>
          </cell>
        </row>
        <row r="24">
          <cell r="A24">
            <v>103</v>
          </cell>
          <cell r="B24">
            <v>1</v>
          </cell>
          <cell r="C24">
            <v>12.881</v>
          </cell>
          <cell r="D24">
            <v>59.3</v>
          </cell>
          <cell r="E24">
            <v>52</v>
          </cell>
          <cell r="F24">
            <v>55.4</v>
          </cell>
          <cell r="G24">
            <v>45.2</v>
          </cell>
          <cell r="H24">
            <v>49.9</v>
          </cell>
          <cell r="I24">
            <v>42.7</v>
          </cell>
          <cell r="J24">
            <v>59.6</v>
          </cell>
          <cell r="K24">
            <v>48</v>
          </cell>
          <cell r="L24">
            <v>57.7</v>
          </cell>
          <cell r="M24">
            <v>47.7</v>
          </cell>
          <cell r="N24">
            <v>59.6</v>
          </cell>
          <cell r="O24">
            <v>44.9</v>
          </cell>
        </row>
        <row r="25">
          <cell r="A25">
            <v>103</v>
          </cell>
          <cell r="B25">
            <v>2</v>
          </cell>
          <cell r="C25">
            <v>12.885999999999999</v>
          </cell>
          <cell r="D25">
            <v>31</v>
          </cell>
          <cell r="E25">
            <v>28.8</v>
          </cell>
          <cell r="F25">
            <v>30.3</v>
          </cell>
          <cell r="G25">
            <v>30.2</v>
          </cell>
          <cell r="H25">
            <v>31.4</v>
          </cell>
          <cell r="I25">
            <v>30.8</v>
          </cell>
          <cell r="J25">
            <v>30.5</v>
          </cell>
          <cell r="K25">
            <v>31.2</v>
          </cell>
          <cell r="L25">
            <v>32.9</v>
          </cell>
          <cell r="M25">
            <v>31.2</v>
          </cell>
          <cell r="N25">
            <v>31</v>
          </cell>
          <cell r="O25">
            <v>31.2</v>
          </cell>
        </row>
        <row r="26">
          <cell r="A26">
            <v>102</v>
          </cell>
          <cell r="B26">
            <v>1</v>
          </cell>
          <cell r="C26">
            <v>12.9</v>
          </cell>
          <cell r="D26">
            <v>59.7</v>
          </cell>
          <cell r="E26">
            <v>49.8</v>
          </cell>
          <cell r="F26">
            <v>58.5</v>
          </cell>
          <cell r="G26">
            <v>46</v>
          </cell>
          <cell r="H26">
            <v>59</v>
          </cell>
          <cell r="I26">
            <v>50.8</v>
          </cell>
          <cell r="J26">
            <v>59.5</v>
          </cell>
          <cell r="K26">
            <v>51.7</v>
          </cell>
          <cell r="L26">
            <v>57.3</v>
          </cell>
          <cell r="M26">
            <v>45.6</v>
          </cell>
          <cell r="N26">
            <v>57.6</v>
          </cell>
          <cell r="O26">
            <v>41.4</v>
          </cell>
        </row>
        <row r="27">
          <cell r="A27">
            <v>102</v>
          </cell>
          <cell r="B27">
            <v>2</v>
          </cell>
          <cell r="C27">
            <v>12.904999999999999</v>
          </cell>
          <cell r="D27">
            <v>28.7</v>
          </cell>
          <cell r="E27">
            <v>28.9</v>
          </cell>
          <cell r="F27">
            <v>29.5</v>
          </cell>
          <cell r="G27">
            <v>31.3</v>
          </cell>
          <cell r="H27">
            <v>30.6</v>
          </cell>
          <cell r="I27">
            <v>30.5</v>
          </cell>
          <cell r="J27">
            <v>29.9</v>
          </cell>
          <cell r="K27">
            <v>33.299999999999997</v>
          </cell>
          <cell r="L27">
            <v>30</v>
          </cell>
          <cell r="M27">
            <v>29.2</v>
          </cell>
          <cell r="N27">
            <v>30.9</v>
          </cell>
          <cell r="O27">
            <v>30.2</v>
          </cell>
        </row>
        <row r="28">
          <cell r="A28">
            <v>101</v>
          </cell>
          <cell r="B28">
            <v>1</v>
          </cell>
          <cell r="C28">
            <v>12.917999999999999</v>
          </cell>
          <cell r="D28">
            <v>56.9</v>
          </cell>
          <cell r="E28">
            <v>54.9</v>
          </cell>
          <cell r="F28">
            <v>58.2</v>
          </cell>
          <cell r="G28">
            <v>46.2</v>
          </cell>
          <cell r="H28">
            <v>57.6</v>
          </cell>
          <cell r="I28">
            <v>49.1</v>
          </cell>
          <cell r="J28">
            <v>58.2</v>
          </cell>
          <cell r="K28">
            <v>58.1</v>
          </cell>
          <cell r="L28">
            <v>59.8</v>
          </cell>
          <cell r="M28">
            <v>59.2</v>
          </cell>
          <cell r="N28">
            <v>58.4</v>
          </cell>
          <cell r="O28">
            <v>51.3</v>
          </cell>
        </row>
        <row r="29">
          <cell r="A29">
            <v>101</v>
          </cell>
          <cell r="B29">
            <v>2</v>
          </cell>
          <cell r="C29">
            <v>12.922000000000001</v>
          </cell>
          <cell r="D29">
            <v>30.5</v>
          </cell>
          <cell r="E29">
            <v>29.5</v>
          </cell>
          <cell r="F29">
            <v>32</v>
          </cell>
          <cell r="G29">
            <v>30.7</v>
          </cell>
          <cell r="H29">
            <v>31.9</v>
          </cell>
          <cell r="I29">
            <v>30.1</v>
          </cell>
          <cell r="J29">
            <v>30.7</v>
          </cell>
          <cell r="K29">
            <v>31.5</v>
          </cell>
          <cell r="L29">
            <v>31.8</v>
          </cell>
          <cell r="M29">
            <v>32.1</v>
          </cell>
          <cell r="N29">
            <v>31.7</v>
          </cell>
          <cell r="O29">
            <v>29.2</v>
          </cell>
        </row>
        <row r="30">
          <cell r="A30">
            <v>201</v>
          </cell>
          <cell r="B30">
            <v>1</v>
          </cell>
          <cell r="C30">
            <v>12.939</v>
          </cell>
          <cell r="D30">
            <v>53.1</v>
          </cell>
          <cell r="E30">
            <v>42.9</v>
          </cell>
          <cell r="F30">
            <v>53.4</v>
          </cell>
          <cell r="G30">
            <v>37.6</v>
          </cell>
          <cell r="H30">
            <v>54.4</v>
          </cell>
          <cell r="I30">
            <v>47</v>
          </cell>
          <cell r="J30">
            <v>54.7</v>
          </cell>
          <cell r="K30">
            <v>39.6</v>
          </cell>
          <cell r="L30">
            <v>54.4</v>
          </cell>
          <cell r="M30">
            <v>39.1</v>
          </cell>
          <cell r="N30">
            <v>53.4</v>
          </cell>
          <cell r="O30">
            <v>37.1</v>
          </cell>
        </row>
        <row r="31">
          <cell r="A31">
            <v>201</v>
          </cell>
          <cell r="B31">
            <v>2</v>
          </cell>
          <cell r="C31">
            <v>12.944000000000001</v>
          </cell>
          <cell r="D31">
            <v>28.6</v>
          </cell>
          <cell r="E31">
            <v>28.8</v>
          </cell>
          <cell r="F31">
            <v>28.3</v>
          </cell>
          <cell r="G31">
            <v>29</v>
          </cell>
          <cell r="H31">
            <v>27.5</v>
          </cell>
          <cell r="I31">
            <v>27.7</v>
          </cell>
          <cell r="J31">
            <v>27.2</v>
          </cell>
          <cell r="K31">
            <v>27</v>
          </cell>
          <cell r="L31">
            <v>27.8</v>
          </cell>
          <cell r="M31">
            <v>27.5</v>
          </cell>
          <cell r="N31">
            <v>30.8</v>
          </cell>
          <cell r="O31">
            <v>27.4</v>
          </cell>
        </row>
        <row r="32">
          <cell r="A32">
            <v>202</v>
          </cell>
          <cell r="B32">
            <v>1</v>
          </cell>
          <cell r="C32">
            <v>12.956</v>
          </cell>
          <cell r="D32">
            <v>56.2</v>
          </cell>
          <cell r="E32">
            <v>53.1</v>
          </cell>
          <cell r="F32">
            <v>58.4</v>
          </cell>
          <cell r="G32">
            <v>43.5</v>
          </cell>
          <cell r="H32">
            <v>58.6</v>
          </cell>
          <cell r="I32">
            <v>41.7</v>
          </cell>
          <cell r="J32">
            <v>58.1</v>
          </cell>
          <cell r="K32">
            <v>48.7</v>
          </cell>
          <cell r="L32">
            <v>57</v>
          </cell>
          <cell r="M32">
            <v>41.4</v>
          </cell>
          <cell r="N32">
            <v>57.8</v>
          </cell>
          <cell r="O32">
            <v>43.1</v>
          </cell>
        </row>
        <row r="33">
          <cell r="A33">
            <v>202</v>
          </cell>
          <cell r="B33">
            <v>2</v>
          </cell>
          <cell r="C33">
            <v>12.961</v>
          </cell>
          <cell r="D33">
            <v>30.8</v>
          </cell>
          <cell r="E33">
            <v>30.2</v>
          </cell>
          <cell r="F33">
            <v>31.3</v>
          </cell>
          <cell r="G33">
            <v>30.6</v>
          </cell>
          <cell r="H33">
            <v>31.1</v>
          </cell>
          <cell r="I33">
            <v>31.2</v>
          </cell>
          <cell r="J33">
            <v>29</v>
          </cell>
          <cell r="K33">
            <v>30.7</v>
          </cell>
          <cell r="L33">
            <v>31.7</v>
          </cell>
          <cell r="M33">
            <v>30</v>
          </cell>
          <cell r="N33">
            <v>32.5</v>
          </cell>
          <cell r="O33">
            <v>30.7</v>
          </cell>
        </row>
        <row r="34">
          <cell r="A34">
            <v>203</v>
          </cell>
          <cell r="B34">
            <v>1</v>
          </cell>
          <cell r="C34">
            <v>12.972</v>
          </cell>
          <cell r="D34">
            <v>53.1</v>
          </cell>
          <cell r="E34">
            <v>59.1</v>
          </cell>
          <cell r="F34">
            <v>61</v>
          </cell>
          <cell r="G34">
            <v>39.6</v>
          </cell>
          <cell r="H34">
            <v>59.2</v>
          </cell>
          <cell r="I34">
            <v>45.3</v>
          </cell>
          <cell r="J34">
            <v>61.4</v>
          </cell>
          <cell r="K34">
            <v>58.8</v>
          </cell>
          <cell r="L34">
            <v>59.6</v>
          </cell>
          <cell r="M34">
            <v>40.799999999999997</v>
          </cell>
          <cell r="N34">
            <v>60.2</v>
          </cell>
          <cell r="O34">
            <v>48.5</v>
          </cell>
        </row>
        <row r="35">
          <cell r="A35">
            <v>203</v>
          </cell>
          <cell r="B35">
            <v>2</v>
          </cell>
          <cell r="C35">
            <v>12.977</v>
          </cell>
          <cell r="D35">
            <v>32.4</v>
          </cell>
          <cell r="E35">
            <v>30.5</v>
          </cell>
          <cell r="F35">
            <v>31.1</v>
          </cell>
          <cell r="G35">
            <v>29.6</v>
          </cell>
          <cell r="H35">
            <v>29.2</v>
          </cell>
          <cell r="I35">
            <v>30.5</v>
          </cell>
          <cell r="J35">
            <v>29.8</v>
          </cell>
          <cell r="K35">
            <v>29</v>
          </cell>
          <cell r="L35">
            <v>30.7</v>
          </cell>
          <cell r="M35">
            <v>29.5</v>
          </cell>
          <cell r="N35">
            <v>29.6</v>
          </cell>
          <cell r="O35">
            <v>29.3</v>
          </cell>
        </row>
        <row r="36">
          <cell r="A36">
            <v>204</v>
          </cell>
          <cell r="B36">
            <v>1</v>
          </cell>
          <cell r="C36">
            <v>12.989000000000001</v>
          </cell>
          <cell r="D36">
            <v>54.4</v>
          </cell>
          <cell r="E36">
            <v>47.2</v>
          </cell>
          <cell r="F36">
            <v>46.5</v>
          </cell>
          <cell r="G36">
            <v>54.2</v>
          </cell>
          <cell r="H36">
            <v>45.1</v>
          </cell>
          <cell r="I36">
            <v>54.6</v>
          </cell>
          <cell r="J36">
            <v>38.5</v>
          </cell>
          <cell r="K36">
            <v>54.4</v>
          </cell>
          <cell r="L36">
            <v>36.9</v>
          </cell>
          <cell r="M36">
            <v>52.8</v>
          </cell>
          <cell r="N36">
            <v>41.6</v>
          </cell>
          <cell r="O36">
            <v>53.4</v>
          </cell>
        </row>
        <row r="37">
          <cell r="A37">
            <v>204</v>
          </cell>
          <cell r="B37">
            <v>2</v>
          </cell>
          <cell r="C37">
            <v>12.994</v>
          </cell>
          <cell r="D37">
            <v>27.8</v>
          </cell>
          <cell r="E37">
            <v>27.9</v>
          </cell>
          <cell r="F37">
            <v>28.7</v>
          </cell>
          <cell r="G37">
            <v>30.2</v>
          </cell>
          <cell r="H37">
            <v>27.3</v>
          </cell>
          <cell r="I37">
            <v>31</v>
          </cell>
          <cell r="J37">
            <v>34.200000000000003</v>
          </cell>
          <cell r="K37">
            <v>30.9</v>
          </cell>
          <cell r="L37">
            <v>30.1</v>
          </cell>
          <cell r="M37">
            <v>28.1</v>
          </cell>
          <cell r="N37">
            <v>29.3</v>
          </cell>
          <cell r="O37">
            <v>29.2</v>
          </cell>
        </row>
        <row r="38">
          <cell r="A38">
            <v>205</v>
          </cell>
          <cell r="B38">
            <v>1</v>
          </cell>
          <cell r="C38">
            <v>13.004</v>
          </cell>
          <cell r="D38">
            <v>56.3</v>
          </cell>
          <cell r="E38">
            <v>58.9</v>
          </cell>
          <cell r="F38">
            <v>58.2</v>
          </cell>
          <cell r="G38">
            <v>50.3</v>
          </cell>
          <cell r="H38">
            <v>58.6</v>
          </cell>
          <cell r="I38">
            <v>50.8</v>
          </cell>
          <cell r="J38">
            <v>61</v>
          </cell>
          <cell r="K38">
            <v>59.2</v>
          </cell>
          <cell r="L38">
            <v>58.4</v>
          </cell>
          <cell r="M38">
            <v>47.4</v>
          </cell>
          <cell r="N38">
            <v>59.8</v>
          </cell>
          <cell r="O38">
            <v>48.5</v>
          </cell>
        </row>
        <row r="39">
          <cell r="A39">
            <v>205</v>
          </cell>
          <cell r="B39">
            <v>2</v>
          </cell>
          <cell r="C39">
            <v>13.009</v>
          </cell>
          <cell r="D39">
            <v>30.4</v>
          </cell>
          <cell r="E39">
            <v>30.1</v>
          </cell>
          <cell r="F39">
            <v>31.5</v>
          </cell>
          <cell r="G39">
            <v>31.4</v>
          </cell>
          <cell r="H39">
            <v>30.4</v>
          </cell>
          <cell r="I39">
            <v>32.799999999999997</v>
          </cell>
          <cell r="J39">
            <v>29.7</v>
          </cell>
          <cell r="K39">
            <v>32.1</v>
          </cell>
          <cell r="L39">
            <v>29.9</v>
          </cell>
          <cell r="M39">
            <v>29.7</v>
          </cell>
          <cell r="N39">
            <v>29.7</v>
          </cell>
          <cell r="O39">
            <v>31.5</v>
          </cell>
        </row>
        <row r="40">
          <cell r="A40">
            <v>206</v>
          </cell>
          <cell r="B40">
            <v>1</v>
          </cell>
          <cell r="C40">
            <v>13.021000000000001</v>
          </cell>
          <cell r="D40">
            <v>56.6</v>
          </cell>
          <cell r="E40">
            <v>54</v>
          </cell>
          <cell r="F40">
            <v>58.9</v>
          </cell>
          <cell r="G40">
            <v>56.2</v>
          </cell>
          <cell r="H40">
            <v>58.1</v>
          </cell>
          <cell r="I40">
            <v>52.3</v>
          </cell>
          <cell r="J40">
            <v>57.9</v>
          </cell>
          <cell r="K40">
            <v>51.1</v>
          </cell>
          <cell r="L40">
            <v>59.6</v>
          </cell>
          <cell r="M40">
            <v>51.7</v>
          </cell>
          <cell r="N40">
            <v>60.2</v>
          </cell>
          <cell r="O40">
            <v>57.7</v>
          </cell>
        </row>
        <row r="41">
          <cell r="A41">
            <v>206</v>
          </cell>
          <cell r="B41">
            <v>2</v>
          </cell>
          <cell r="C41">
            <v>13.026</v>
          </cell>
          <cell r="D41">
            <v>30.9</v>
          </cell>
          <cell r="E41">
            <v>28.4</v>
          </cell>
          <cell r="F41">
            <v>28.7</v>
          </cell>
          <cell r="G41">
            <v>28.9</v>
          </cell>
          <cell r="H41">
            <v>29.6</v>
          </cell>
          <cell r="I41">
            <v>29.3</v>
          </cell>
          <cell r="J41">
            <v>30.2</v>
          </cell>
          <cell r="K41">
            <v>30.1</v>
          </cell>
          <cell r="L41">
            <v>30.9</v>
          </cell>
          <cell r="M41">
            <v>36.9</v>
          </cell>
          <cell r="N41">
            <v>28.1</v>
          </cell>
          <cell r="O41">
            <v>29.1</v>
          </cell>
        </row>
        <row r="42">
          <cell r="A42">
            <v>207</v>
          </cell>
          <cell r="B42">
            <v>1</v>
          </cell>
          <cell r="C42">
            <v>13.037000000000001</v>
          </cell>
          <cell r="D42">
            <v>59.9</v>
          </cell>
          <cell r="E42">
            <v>56.6</v>
          </cell>
          <cell r="F42">
            <v>56.6</v>
          </cell>
          <cell r="G42">
            <v>38.9</v>
          </cell>
          <cell r="H42">
            <v>57.6</v>
          </cell>
          <cell r="I42">
            <v>43.4</v>
          </cell>
          <cell r="J42">
            <v>60</v>
          </cell>
          <cell r="K42">
            <v>42</v>
          </cell>
          <cell r="L42">
            <v>58.3</v>
          </cell>
          <cell r="M42">
            <v>50.7</v>
          </cell>
          <cell r="N42">
            <v>58.6</v>
          </cell>
          <cell r="O42">
            <v>39.700000000000003</v>
          </cell>
        </row>
        <row r="43">
          <cell r="A43">
            <v>207</v>
          </cell>
          <cell r="B43">
            <v>2</v>
          </cell>
          <cell r="C43">
            <v>13.042</v>
          </cell>
          <cell r="D43">
            <v>32.700000000000003</v>
          </cell>
          <cell r="E43">
            <v>30.1</v>
          </cell>
          <cell r="F43">
            <v>29.3</v>
          </cell>
          <cell r="G43">
            <v>30.7</v>
          </cell>
          <cell r="H43">
            <v>29.1</v>
          </cell>
          <cell r="I43">
            <v>30.9</v>
          </cell>
          <cell r="J43">
            <v>29.9</v>
          </cell>
          <cell r="K43">
            <v>29.9</v>
          </cell>
          <cell r="L43">
            <v>32.1</v>
          </cell>
          <cell r="M43">
            <v>30.9</v>
          </cell>
          <cell r="N43">
            <v>31.1</v>
          </cell>
          <cell r="O43">
            <v>31.4</v>
          </cell>
        </row>
        <row r="44">
          <cell r="A44">
            <v>208</v>
          </cell>
          <cell r="B44">
            <v>1</v>
          </cell>
          <cell r="C44">
            <v>13.052</v>
          </cell>
          <cell r="D44">
            <v>58</v>
          </cell>
          <cell r="E44">
            <v>54.4</v>
          </cell>
          <cell r="F44">
            <v>57.4</v>
          </cell>
          <cell r="G44">
            <v>53.7</v>
          </cell>
          <cell r="H44">
            <v>58.7</v>
          </cell>
          <cell r="I44">
            <v>55.4</v>
          </cell>
          <cell r="J44">
            <v>59.4</v>
          </cell>
          <cell r="K44">
            <v>50.3</v>
          </cell>
          <cell r="L44">
            <v>56.7</v>
          </cell>
          <cell r="M44">
            <v>52</v>
          </cell>
          <cell r="N44">
            <v>57</v>
          </cell>
          <cell r="O44">
            <v>47.8</v>
          </cell>
        </row>
        <row r="45">
          <cell r="A45">
            <v>208</v>
          </cell>
          <cell r="B45">
            <v>2</v>
          </cell>
          <cell r="C45">
            <v>13.058</v>
          </cell>
          <cell r="D45">
            <v>31.2</v>
          </cell>
          <cell r="E45">
            <v>30.2</v>
          </cell>
          <cell r="F45">
            <v>29.3</v>
          </cell>
          <cell r="G45">
            <v>33.1</v>
          </cell>
          <cell r="H45">
            <v>30.2</v>
          </cell>
          <cell r="I45">
            <v>30</v>
          </cell>
          <cell r="J45">
            <v>32</v>
          </cell>
          <cell r="K45">
            <v>28.7</v>
          </cell>
          <cell r="L45">
            <v>30.7</v>
          </cell>
          <cell r="M45">
            <v>30.1</v>
          </cell>
          <cell r="N45">
            <v>31.6</v>
          </cell>
          <cell r="O45">
            <v>30.1</v>
          </cell>
        </row>
        <row r="46">
          <cell r="A46">
            <v>908</v>
          </cell>
          <cell r="B46">
            <v>1</v>
          </cell>
          <cell r="C46">
            <v>13.074999999999999</v>
          </cell>
          <cell r="D46">
            <v>58.8</v>
          </cell>
          <cell r="E46">
            <v>57.1</v>
          </cell>
          <cell r="F46">
            <v>56.5</v>
          </cell>
          <cell r="G46">
            <v>47.8</v>
          </cell>
          <cell r="H46">
            <v>57.8</v>
          </cell>
          <cell r="I46">
            <v>49.2</v>
          </cell>
          <cell r="J46">
            <v>59.1</v>
          </cell>
          <cell r="K46">
            <v>51.5</v>
          </cell>
          <cell r="L46">
            <v>56.5</v>
          </cell>
          <cell r="M46">
            <v>52.5</v>
          </cell>
          <cell r="N46">
            <v>56.7</v>
          </cell>
          <cell r="O46">
            <v>47.8</v>
          </cell>
        </row>
        <row r="47">
          <cell r="A47">
            <v>908</v>
          </cell>
          <cell r="B47">
            <v>2</v>
          </cell>
          <cell r="C47">
            <v>13.08</v>
          </cell>
          <cell r="D47">
            <v>30.5</v>
          </cell>
          <cell r="E47">
            <v>27.7</v>
          </cell>
          <cell r="F47">
            <v>29.4</v>
          </cell>
          <cell r="G47">
            <v>30.2</v>
          </cell>
          <cell r="H47">
            <v>30.3</v>
          </cell>
          <cell r="I47">
            <v>29.6</v>
          </cell>
          <cell r="J47">
            <v>30.2</v>
          </cell>
          <cell r="K47">
            <v>31.7</v>
          </cell>
          <cell r="L47">
            <v>28.7</v>
          </cell>
          <cell r="M47">
            <v>30.2</v>
          </cell>
          <cell r="N47">
            <v>29</v>
          </cell>
          <cell r="O47">
            <v>28.1</v>
          </cell>
        </row>
        <row r="48">
          <cell r="A48">
            <v>907</v>
          </cell>
          <cell r="B48">
            <v>1</v>
          </cell>
          <cell r="C48">
            <v>13.090999999999999</v>
          </cell>
          <cell r="D48">
            <v>62.3</v>
          </cell>
          <cell r="E48">
            <v>62.2</v>
          </cell>
          <cell r="F48">
            <v>62.5</v>
          </cell>
          <cell r="G48">
            <v>62.4</v>
          </cell>
          <cell r="H48">
            <v>63.3</v>
          </cell>
          <cell r="I48">
            <v>62.3</v>
          </cell>
          <cell r="J48">
            <v>60.7</v>
          </cell>
          <cell r="K48">
            <v>62.5</v>
          </cell>
          <cell r="L48">
            <v>62.2</v>
          </cell>
          <cell r="M48">
            <v>61.8</v>
          </cell>
          <cell r="N48">
            <v>62.1</v>
          </cell>
          <cell r="O48">
            <v>62.1</v>
          </cell>
        </row>
        <row r="50">
          <cell r="A50">
            <v>906</v>
          </cell>
          <cell r="B50">
            <v>1</v>
          </cell>
          <cell r="C50">
            <v>13.097</v>
          </cell>
          <cell r="D50">
            <v>58.5</v>
          </cell>
          <cell r="E50">
            <v>55</v>
          </cell>
          <cell r="F50">
            <v>58.2</v>
          </cell>
          <cell r="G50">
            <v>45.3</v>
          </cell>
          <cell r="H50">
            <v>59.2</v>
          </cell>
          <cell r="I50">
            <v>51.4</v>
          </cell>
          <cell r="J50">
            <v>58.7</v>
          </cell>
          <cell r="K50">
            <v>51.2</v>
          </cell>
          <cell r="L50">
            <v>56.2</v>
          </cell>
          <cell r="M50">
            <v>56.7</v>
          </cell>
          <cell r="N50">
            <v>59.9</v>
          </cell>
          <cell r="O50">
            <v>46.2</v>
          </cell>
        </row>
        <row r="51">
          <cell r="A51">
            <v>906</v>
          </cell>
          <cell r="B51">
            <v>2</v>
          </cell>
          <cell r="C51">
            <v>13.101000000000001</v>
          </cell>
          <cell r="D51">
            <v>29.1</v>
          </cell>
          <cell r="E51">
            <v>29.3</v>
          </cell>
          <cell r="F51">
            <v>29.7</v>
          </cell>
          <cell r="G51">
            <v>29.2</v>
          </cell>
          <cell r="H51">
            <v>29.5</v>
          </cell>
          <cell r="I51">
            <v>29.2</v>
          </cell>
          <cell r="J51">
            <v>29.7</v>
          </cell>
          <cell r="K51">
            <v>28.2</v>
          </cell>
          <cell r="L51">
            <v>30.9</v>
          </cell>
          <cell r="M51">
            <v>30.1</v>
          </cell>
          <cell r="N51">
            <v>31.4</v>
          </cell>
          <cell r="O51">
            <v>30.2</v>
          </cell>
        </row>
        <row r="52">
          <cell r="A52">
            <v>905</v>
          </cell>
          <cell r="B52">
            <v>1</v>
          </cell>
          <cell r="C52">
            <v>13.113</v>
          </cell>
          <cell r="D52">
            <v>34.700000000000003</v>
          </cell>
          <cell r="E52">
            <v>34.700000000000003</v>
          </cell>
          <cell r="F52">
            <v>34.4</v>
          </cell>
          <cell r="G52">
            <v>35.700000000000003</v>
          </cell>
          <cell r="H52">
            <v>33.4</v>
          </cell>
          <cell r="I52">
            <v>36.799999999999997</v>
          </cell>
          <cell r="J52">
            <v>33.1</v>
          </cell>
          <cell r="K52">
            <v>32.700000000000003</v>
          </cell>
          <cell r="L52">
            <v>32.9</v>
          </cell>
          <cell r="M52">
            <v>32.799999999999997</v>
          </cell>
          <cell r="N52">
            <v>32.799999999999997</v>
          </cell>
          <cell r="O52">
            <v>32.5</v>
          </cell>
        </row>
        <row r="54">
          <cell r="A54">
            <v>904</v>
          </cell>
          <cell r="B54">
            <v>1</v>
          </cell>
          <cell r="C54">
            <v>13.119</v>
          </cell>
          <cell r="D54">
            <v>59.9</v>
          </cell>
          <cell r="E54">
            <v>56.7</v>
          </cell>
          <cell r="F54">
            <v>56.4</v>
          </cell>
          <cell r="G54">
            <v>44.7</v>
          </cell>
          <cell r="H54">
            <v>58.2</v>
          </cell>
          <cell r="I54">
            <v>49.1</v>
          </cell>
          <cell r="J54">
            <v>59.1</v>
          </cell>
          <cell r="K54">
            <v>44.7</v>
          </cell>
          <cell r="L54">
            <v>56.2</v>
          </cell>
          <cell r="M54">
            <v>45.6</v>
          </cell>
          <cell r="N54">
            <v>57.3</v>
          </cell>
          <cell r="O54">
            <v>52.6</v>
          </cell>
        </row>
        <row r="55">
          <cell r="A55">
            <v>904</v>
          </cell>
          <cell r="B55">
            <v>2</v>
          </cell>
          <cell r="C55">
            <v>13.124000000000001</v>
          </cell>
          <cell r="D55">
            <v>33.799999999999997</v>
          </cell>
          <cell r="E55">
            <v>31.1</v>
          </cell>
          <cell r="F55">
            <v>31.5</v>
          </cell>
          <cell r="G55">
            <v>30</v>
          </cell>
          <cell r="H55">
            <v>30.8</v>
          </cell>
          <cell r="I55">
            <v>32</v>
          </cell>
          <cell r="J55">
            <v>30.1</v>
          </cell>
          <cell r="K55">
            <v>29.5</v>
          </cell>
          <cell r="L55">
            <v>33.1</v>
          </cell>
          <cell r="M55">
            <v>29.4</v>
          </cell>
          <cell r="N55">
            <v>29.9</v>
          </cell>
          <cell r="O55">
            <v>31.1</v>
          </cell>
        </row>
        <row r="56">
          <cell r="A56">
            <v>903</v>
          </cell>
          <cell r="B56">
            <v>1</v>
          </cell>
          <cell r="C56">
            <v>13.135</v>
          </cell>
          <cell r="D56">
            <v>61.8</v>
          </cell>
          <cell r="E56">
            <v>61.9</v>
          </cell>
          <cell r="F56">
            <v>61.9</v>
          </cell>
          <cell r="G56">
            <v>61.6</v>
          </cell>
          <cell r="H56">
            <v>61.2</v>
          </cell>
          <cell r="I56">
            <v>61.6</v>
          </cell>
          <cell r="J56">
            <v>61.2</v>
          </cell>
          <cell r="K56">
            <v>61.2</v>
          </cell>
          <cell r="L56">
            <v>61.1</v>
          </cell>
          <cell r="M56">
            <v>60.9</v>
          </cell>
          <cell r="N56">
            <v>60.6</v>
          </cell>
          <cell r="O56">
            <v>61</v>
          </cell>
        </row>
        <row r="58">
          <cell r="A58">
            <v>902</v>
          </cell>
          <cell r="B58">
            <v>1</v>
          </cell>
          <cell r="C58">
            <v>13.141999999999999</v>
          </cell>
          <cell r="D58">
            <v>58.4</v>
          </cell>
          <cell r="E58">
            <v>53.5</v>
          </cell>
          <cell r="F58">
            <v>58.3</v>
          </cell>
          <cell r="G58">
            <v>49.7</v>
          </cell>
          <cell r="H58">
            <v>57.6</v>
          </cell>
          <cell r="I58">
            <v>52</v>
          </cell>
          <cell r="J58">
            <v>58.7</v>
          </cell>
          <cell r="K58">
            <v>50.1</v>
          </cell>
          <cell r="L58">
            <v>56.6</v>
          </cell>
          <cell r="M58">
            <v>51.9</v>
          </cell>
          <cell r="N58">
            <v>56.1</v>
          </cell>
          <cell r="O58">
            <v>51.5</v>
          </cell>
        </row>
        <row r="59">
          <cell r="A59">
            <v>902</v>
          </cell>
          <cell r="B59">
            <v>2</v>
          </cell>
          <cell r="C59">
            <v>13.146000000000001</v>
          </cell>
          <cell r="D59">
            <v>30.3</v>
          </cell>
          <cell r="E59">
            <v>32.299999999999997</v>
          </cell>
          <cell r="F59">
            <v>31.3</v>
          </cell>
          <cell r="G59">
            <v>30.1</v>
          </cell>
          <cell r="H59">
            <v>33.200000000000003</v>
          </cell>
          <cell r="I59">
            <v>29.9</v>
          </cell>
          <cell r="J59">
            <v>31.8</v>
          </cell>
          <cell r="K59">
            <v>28.8</v>
          </cell>
          <cell r="L59">
            <v>31.2</v>
          </cell>
          <cell r="M59">
            <v>31.1</v>
          </cell>
          <cell r="N59">
            <v>30.9</v>
          </cell>
          <cell r="O59">
            <v>31</v>
          </cell>
        </row>
        <row r="60">
          <cell r="A60">
            <v>901</v>
          </cell>
          <cell r="B60">
            <v>1</v>
          </cell>
          <cell r="C60">
            <v>13.157</v>
          </cell>
          <cell r="D60">
            <v>32.299999999999997</v>
          </cell>
          <cell r="E60">
            <v>32.1</v>
          </cell>
          <cell r="F60">
            <v>31.2</v>
          </cell>
          <cell r="G60">
            <v>32.700000000000003</v>
          </cell>
          <cell r="H60">
            <v>32.5</v>
          </cell>
          <cell r="I60">
            <v>32.1</v>
          </cell>
          <cell r="J60">
            <v>32.299999999999997</v>
          </cell>
          <cell r="K60">
            <v>30.8</v>
          </cell>
          <cell r="L60">
            <v>30.8</v>
          </cell>
          <cell r="M60">
            <v>31.4</v>
          </cell>
          <cell r="N60">
            <v>31.2</v>
          </cell>
          <cell r="O60">
            <v>32.5</v>
          </cell>
        </row>
        <row r="62">
          <cell r="A62">
            <v>301</v>
          </cell>
          <cell r="B62">
            <v>1</v>
          </cell>
          <cell r="C62">
            <v>13.166</v>
          </cell>
          <cell r="D62">
            <v>52.5</v>
          </cell>
          <cell r="E62">
            <v>53.8</v>
          </cell>
          <cell r="F62">
            <v>56</v>
          </cell>
          <cell r="G62">
            <v>48.7</v>
          </cell>
          <cell r="H62">
            <v>55.7</v>
          </cell>
          <cell r="I62">
            <v>39.4</v>
          </cell>
          <cell r="J62">
            <v>57.4</v>
          </cell>
          <cell r="K62">
            <v>41.7</v>
          </cell>
          <cell r="L62">
            <v>59.2</v>
          </cell>
          <cell r="M62">
            <v>44.3</v>
          </cell>
          <cell r="N62">
            <v>59.3</v>
          </cell>
          <cell r="O62">
            <v>42.7</v>
          </cell>
        </row>
        <row r="63">
          <cell r="A63">
            <v>301</v>
          </cell>
          <cell r="B63">
            <v>2</v>
          </cell>
          <cell r="C63">
            <v>13.170999999999999</v>
          </cell>
          <cell r="D63">
            <v>32.299999999999997</v>
          </cell>
          <cell r="E63">
            <v>30.5</v>
          </cell>
          <cell r="F63">
            <v>29.1</v>
          </cell>
          <cell r="G63">
            <v>31.5</v>
          </cell>
          <cell r="H63">
            <v>29.9</v>
          </cell>
          <cell r="I63">
            <v>32.299999999999997</v>
          </cell>
          <cell r="J63">
            <v>32.200000000000003</v>
          </cell>
          <cell r="K63">
            <v>30.2</v>
          </cell>
          <cell r="L63">
            <v>31.8</v>
          </cell>
          <cell r="M63">
            <v>29.4</v>
          </cell>
          <cell r="N63">
            <v>32.299999999999997</v>
          </cell>
          <cell r="O63">
            <v>30.7</v>
          </cell>
        </row>
        <row r="64">
          <cell r="A64">
            <v>302</v>
          </cell>
          <cell r="B64">
            <v>1</v>
          </cell>
          <cell r="C64">
            <v>13.183999999999999</v>
          </cell>
          <cell r="D64">
            <v>54.8</v>
          </cell>
          <cell r="E64">
            <v>48.2</v>
          </cell>
          <cell r="F64">
            <v>57.8</v>
          </cell>
          <cell r="G64">
            <v>42.3</v>
          </cell>
          <cell r="H64">
            <v>56.6</v>
          </cell>
          <cell r="I64">
            <v>46.1</v>
          </cell>
          <cell r="J64">
            <v>59.8</v>
          </cell>
          <cell r="K64">
            <v>43.6</v>
          </cell>
          <cell r="L64">
            <v>56.6</v>
          </cell>
          <cell r="M64">
            <v>47.3</v>
          </cell>
          <cell r="N64">
            <v>56.1</v>
          </cell>
          <cell r="O64">
            <v>48.9</v>
          </cell>
        </row>
        <row r="65">
          <cell r="A65">
            <v>302</v>
          </cell>
          <cell r="B65">
            <v>2</v>
          </cell>
          <cell r="C65">
            <v>13.189</v>
          </cell>
          <cell r="D65">
            <v>33.6</v>
          </cell>
          <cell r="E65">
            <v>32</v>
          </cell>
          <cell r="F65">
            <v>30.9</v>
          </cell>
          <cell r="G65">
            <v>29.8</v>
          </cell>
          <cell r="H65">
            <v>30.6</v>
          </cell>
          <cell r="I65">
            <v>31.2</v>
          </cell>
          <cell r="J65">
            <v>31.7</v>
          </cell>
          <cell r="K65">
            <v>32.4</v>
          </cell>
          <cell r="L65">
            <v>31.6</v>
          </cell>
          <cell r="M65">
            <v>31.8</v>
          </cell>
          <cell r="N65">
            <v>33.299999999999997</v>
          </cell>
          <cell r="O65">
            <v>30.1</v>
          </cell>
        </row>
        <row r="66">
          <cell r="A66">
            <v>303</v>
          </cell>
          <cell r="B66">
            <v>1</v>
          </cell>
          <cell r="C66">
            <v>13.202</v>
          </cell>
          <cell r="D66">
            <v>55.1</v>
          </cell>
          <cell r="E66">
            <v>54.3</v>
          </cell>
          <cell r="F66">
            <v>55.7</v>
          </cell>
          <cell r="G66">
            <v>50.3</v>
          </cell>
          <cell r="H66">
            <v>56.3</v>
          </cell>
          <cell r="I66">
            <v>49.5</v>
          </cell>
          <cell r="J66">
            <v>56</v>
          </cell>
          <cell r="K66">
            <v>46.1</v>
          </cell>
          <cell r="L66">
            <v>55.5</v>
          </cell>
          <cell r="M66">
            <v>50.8</v>
          </cell>
          <cell r="N66">
            <v>58.9</v>
          </cell>
          <cell r="O66">
            <v>48</v>
          </cell>
        </row>
        <row r="67">
          <cell r="A67">
            <v>303</v>
          </cell>
          <cell r="B67">
            <v>2</v>
          </cell>
          <cell r="C67">
            <v>13.207000000000001</v>
          </cell>
          <cell r="D67">
            <v>35.299999999999997</v>
          </cell>
          <cell r="E67">
            <v>33.1</v>
          </cell>
          <cell r="F67">
            <v>30.1</v>
          </cell>
          <cell r="G67">
            <v>30.7</v>
          </cell>
          <cell r="H67">
            <v>30.4</v>
          </cell>
          <cell r="I67">
            <v>30.9</v>
          </cell>
          <cell r="J67">
            <v>29.6</v>
          </cell>
          <cell r="K67">
            <v>30.5</v>
          </cell>
          <cell r="L67">
            <v>31.4</v>
          </cell>
          <cell r="M67">
            <v>30.6</v>
          </cell>
          <cell r="N67">
            <v>30</v>
          </cell>
          <cell r="O67">
            <v>31.7</v>
          </cell>
        </row>
        <row r="68">
          <cell r="A68">
            <v>304</v>
          </cell>
          <cell r="B68">
            <v>1</v>
          </cell>
          <cell r="C68">
            <v>13.218999999999999</v>
          </cell>
          <cell r="D68">
            <v>55</v>
          </cell>
          <cell r="E68">
            <v>54.8</v>
          </cell>
          <cell r="F68">
            <v>55.4</v>
          </cell>
          <cell r="G68">
            <v>54</v>
          </cell>
          <cell r="H68">
            <v>56.9</v>
          </cell>
          <cell r="I68">
            <v>52.6</v>
          </cell>
          <cell r="J68">
            <v>58.4</v>
          </cell>
          <cell r="K68">
            <v>49.7</v>
          </cell>
          <cell r="L68">
            <v>55.2</v>
          </cell>
          <cell r="M68">
            <v>50.9</v>
          </cell>
          <cell r="N68">
            <v>55.6</v>
          </cell>
          <cell r="O68">
            <v>53.9</v>
          </cell>
        </row>
        <row r="69">
          <cell r="A69">
            <v>304</v>
          </cell>
          <cell r="B69">
            <v>2</v>
          </cell>
          <cell r="C69">
            <v>13.224</v>
          </cell>
          <cell r="D69">
            <v>31.6</v>
          </cell>
          <cell r="E69">
            <v>31</v>
          </cell>
          <cell r="F69">
            <v>35.4</v>
          </cell>
          <cell r="G69">
            <v>30.7</v>
          </cell>
          <cell r="H69">
            <v>30.2</v>
          </cell>
          <cell r="I69">
            <v>30.2</v>
          </cell>
          <cell r="J69">
            <v>32.6</v>
          </cell>
          <cell r="K69">
            <v>32</v>
          </cell>
          <cell r="L69">
            <v>33.200000000000003</v>
          </cell>
          <cell r="M69">
            <v>31</v>
          </cell>
          <cell r="N69">
            <v>32.299999999999997</v>
          </cell>
          <cell r="O69">
            <v>31.6</v>
          </cell>
        </row>
        <row r="70">
          <cell r="A70">
            <v>305</v>
          </cell>
          <cell r="B70">
            <v>1</v>
          </cell>
          <cell r="C70">
            <v>13.236000000000001</v>
          </cell>
          <cell r="D70">
            <v>48.8</v>
          </cell>
          <cell r="E70">
            <v>42.7</v>
          </cell>
          <cell r="F70">
            <v>50.8</v>
          </cell>
          <cell r="G70">
            <v>43</v>
          </cell>
          <cell r="H70">
            <v>51.7</v>
          </cell>
          <cell r="I70">
            <v>44.6</v>
          </cell>
          <cell r="J70">
            <v>51.7</v>
          </cell>
          <cell r="K70">
            <v>42.7</v>
          </cell>
          <cell r="L70">
            <v>42.4</v>
          </cell>
          <cell r="M70">
            <v>40.299999999999997</v>
          </cell>
          <cell r="N70">
            <v>51.5</v>
          </cell>
          <cell r="O70">
            <v>36.6</v>
          </cell>
        </row>
        <row r="71">
          <cell r="A71">
            <v>305</v>
          </cell>
          <cell r="B71">
            <v>2</v>
          </cell>
          <cell r="C71">
            <v>13.241</v>
          </cell>
          <cell r="D71">
            <v>30.7</v>
          </cell>
          <cell r="E71">
            <v>27</v>
          </cell>
          <cell r="F71">
            <v>29.2</v>
          </cell>
          <cell r="G71">
            <v>31.3</v>
          </cell>
          <cell r="H71">
            <v>30.5</v>
          </cell>
          <cell r="I71">
            <v>29.1</v>
          </cell>
          <cell r="J71">
            <v>31.5</v>
          </cell>
          <cell r="K71">
            <v>30.4</v>
          </cell>
          <cell r="L71">
            <v>31.7</v>
          </cell>
          <cell r="M71">
            <v>28.1</v>
          </cell>
          <cell r="N71">
            <v>33.1</v>
          </cell>
          <cell r="O71">
            <v>31.4</v>
          </cell>
        </row>
        <row r="72">
          <cell r="A72">
            <v>306</v>
          </cell>
          <cell r="B72">
            <v>1</v>
          </cell>
          <cell r="C72">
            <v>13.253</v>
          </cell>
          <cell r="D72">
            <v>50.8</v>
          </cell>
          <cell r="E72">
            <v>56.7</v>
          </cell>
          <cell r="F72">
            <v>52.2</v>
          </cell>
          <cell r="G72">
            <v>44.6</v>
          </cell>
          <cell r="H72">
            <v>56.6</v>
          </cell>
          <cell r="I72">
            <v>43.2</v>
          </cell>
          <cell r="J72">
            <v>57.2</v>
          </cell>
          <cell r="K72">
            <v>42.9</v>
          </cell>
          <cell r="L72">
            <v>56.1</v>
          </cell>
          <cell r="M72">
            <v>44.1</v>
          </cell>
          <cell r="N72">
            <v>56.9</v>
          </cell>
          <cell r="O72">
            <v>47.3</v>
          </cell>
        </row>
        <row r="73">
          <cell r="A73">
            <v>306</v>
          </cell>
          <cell r="B73">
            <v>2</v>
          </cell>
          <cell r="C73">
            <v>13.257999999999999</v>
          </cell>
          <cell r="D73">
            <v>31.7</v>
          </cell>
          <cell r="E73">
            <v>29.7</v>
          </cell>
          <cell r="F73">
            <v>31.4</v>
          </cell>
          <cell r="G73">
            <v>30.9</v>
          </cell>
          <cell r="H73">
            <v>34.700000000000003</v>
          </cell>
          <cell r="I73">
            <v>30.7</v>
          </cell>
          <cell r="J73">
            <v>30.9</v>
          </cell>
          <cell r="K73">
            <v>34.5</v>
          </cell>
          <cell r="L73">
            <v>31.1</v>
          </cell>
          <cell r="M73">
            <v>32.6</v>
          </cell>
          <cell r="N73">
            <v>31</v>
          </cell>
          <cell r="O73">
            <v>32.1</v>
          </cell>
        </row>
        <row r="74">
          <cell r="A74">
            <v>307</v>
          </cell>
          <cell r="B74">
            <v>1</v>
          </cell>
          <cell r="C74">
            <v>13.271000000000001</v>
          </cell>
          <cell r="D74">
            <v>58.4</v>
          </cell>
          <cell r="E74">
            <v>48</v>
          </cell>
          <cell r="F74">
            <v>58</v>
          </cell>
          <cell r="G74">
            <v>41.6</v>
          </cell>
          <cell r="H74">
            <v>57.1</v>
          </cell>
          <cell r="I74">
            <v>42.2</v>
          </cell>
          <cell r="J74">
            <v>57.4</v>
          </cell>
          <cell r="K74">
            <v>42</v>
          </cell>
          <cell r="L74">
            <v>56.6</v>
          </cell>
          <cell r="M74">
            <v>48.9</v>
          </cell>
          <cell r="N74">
            <v>57.2</v>
          </cell>
          <cell r="O74">
            <v>46.5</v>
          </cell>
        </row>
        <row r="75">
          <cell r="A75">
            <v>307</v>
          </cell>
          <cell r="B75">
            <v>2</v>
          </cell>
          <cell r="C75">
            <v>13.275</v>
          </cell>
          <cell r="D75">
            <v>32.9</v>
          </cell>
          <cell r="E75">
            <v>31.6</v>
          </cell>
          <cell r="F75">
            <v>32.299999999999997</v>
          </cell>
          <cell r="G75">
            <v>32.700000000000003</v>
          </cell>
          <cell r="H75">
            <v>32.799999999999997</v>
          </cell>
          <cell r="I75">
            <v>33.9</v>
          </cell>
          <cell r="J75">
            <v>35.700000000000003</v>
          </cell>
          <cell r="K75">
            <v>32.5</v>
          </cell>
          <cell r="L75">
            <v>31.1</v>
          </cell>
          <cell r="M75">
            <v>33.6</v>
          </cell>
          <cell r="N75">
            <v>31.1</v>
          </cell>
          <cell r="O75">
            <v>31.3</v>
          </cell>
        </row>
        <row r="76">
          <cell r="A76">
            <v>308</v>
          </cell>
          <cell r="B76">
            <v>1</v>
          </cell>
          <cell r="C76">
            <v>13.289</v>
          </cell>
          <cell r="D76">
            <v>50.7</v>
          </cell>
          <cell r="E76">
            <v>54.6</v>
          </cell>
          <cell r="F76">
            <v>54.7</v>
          </cell>
          <cell r="G76">
            <v>55.6</v>
          </cell>
          <cell r="H76">
            <v>56.6</v>
          </cell>
          <cell r="I76">
            <v>53</v>
          </cell>
          <cell r="J76">
            <v>57.6</v>
          </cell>
          <cell r="K76">
            <v>50.8</v>
          </cell>
          <cell r="L76">
            <v>56.5</v>
          </cell>
          <cell r="M76">
            <v>45.5</v>
          </cell>
          <cell r="N76">
            <v>56.6</v>
          </cell>
          <cell r="O76">
            <v>55.9</v>
          </cell>
        </row>
        <row r="77">
          <cell r="A77">
            <v>308</v>
          </cell>
          <cell r="B77">
            <v>2</v>
          </cell>
          <cell r="C77">
            <v>13.292999999999999</v>
          </cell>
          <cell r="D77">
            <v>32.9</v>
          </cell>
          <cell r="E77">
            <v>34.200000000000003</v>
          </cell>
          <cell r="F77">
            <v>32.1</v>
          </cell>
          <cell r="G77">
            <v>34.1</v>
          </cell>
          <cell r="H77">
            <v>34.799999999999997</v>
          </cell>
          <cell r="I77">
            <v>33.700000000000003</v>
          </cell>
          <cell r="J77">
            <v>32</v>
          </cell>
          <cell r="K77">
            <v>34.1</v>
          </cell>
          <cell r="L77">
            <v>33.1</v>
          </cell>
          <cell r="M77">
            <v>34.700000000000003</v>
          </cell>
          <cell r="N77">
            <v>34.5</v>
          </cell>
          <cell r="O77">
            <v>36.700000000000003</v>
          </cell>
        </row>
        <row r="78">
          <cell r="A78">
            <v>408</v>
          </cell>
          <cell r="B78">
            <v>1</v>
          </cell>
          <cell r="C78">
            <v>13.314</v>
          </cell>
          <cell r="D78">
            <v>57.6</v>
          </cell>
          <cell r="E78">
            <v>57.6</v>
          </cell>
          <cell r="F78">
            <v>53.1</v>
          </cell>
          <cell r="G78">
            <v>53</v>
          </cell>
          <cell r="H78">
            <v>56.9</v>
          </cell>
          <cell r="I78">
            <v>49.8</v>
          </cell>
          <cell r="J78">
            <v>56.6</v>
          </cell>
          <cell r="K78">
            <v>53.3</v>
          </cell>
          <cell r="L78">
            <v>56.3</v>
          </cell>
          <cell r="M78">
            <v>48.5</v>
          </cell>
          <cell r="N78">
            <v>56.6</v>
          </cell>
          <cell r="O78">
            <v>44.5</v>
          </cell>
        </row>
        <row r="79">
          <cell r="A79">
            <v>408</v>
          </cell>
          <cell r="B79">
            <v>2</v>
          </cell>
          <cell r="C79">
            <v>13.32</v>
          </cell>
          <cell r="D79">
            <v>28.7</v>
          </cell>
          <cell r="E79">
            <v>29.2</v>
          </cell>
          <cell r="F79">
            <v>30.7</v>
          </cell>
          <cell r="G79">
            <v>28.6</v>
          </cell>
          <cell r="H79">
            <v>32.200000000000003</v>
          </cell>
          <cell r="I79">
            <v>31.6</v>
          </cell>
          <cell r="J79">
            <v>30.2</v>
          </cell>
          <cell r="K79">
            <v>30.4</v>
          </cell>
          <cell r="L79">
            <v>31.8</v>
          </cell>
          <cell r="M79">
            <v>33.1</v>
          </cell>
          <cell r="N79">
            <v>32.5</v>
          </cell>
          <cell r="O79">
            <v>31.5</v>
          </cell>
        </row>
        <row r="80">
          <cell r="A80">
            <v>407</v>
          </cell>
          <cell r="B80">
            <v>1</v>
          </cell>
          <cell r="C80">
            <v>13.332000000000001</v>
          </cell>
          <cell r="D80">
            <v>56.4</v>
          </cell>
          <cell r="E80">
            <v>55</v>
          </cell>
          <cell r="F80">
            <v>55.5</v>
          </cell>
          <cell r="G80">
            <v>51</v>
          </cell>
          <cell r="H80">
            <v>55.3</v>
          </cell>
          <cell r="I80">
            <v>57.3</v>
          </cell>
          <cell r="J80">
            <v>57.1</v>
          </cell>
          <cell r="K80">
            <v>53.9</v>
          </cell>
          <cell r="L80">
            <v>55.9</v>
          </cell>
          <cell r="M80">
            <v>52.3</v>
          </cell>
          <cell r="N80">
            <v>55.9</v>
          </cell>
          <cell r="O80">
            <v>55</v>
          </cell>
        </row>
        <row r="81">
          <cell r="A81">
            <v>407</v>
          </cell>
          <cell r="B81">
            <v>2</v>
          </cell>
          <cell r="C81">
            <v>13.337</v>
          </cell>
          <cell r="D81">
            <v>30.4</v>
          </cell>
          <cell r="E81">
            <v>32.700000000000003</v>
          </cell>
          <cell r="F81">
            <v>30</v>
          </cell>
          <cell r="G81">
            <v>31.7</v>
          </cell>
          <cell r="H81">
            <v>29.7</v>
          </cell>
          <cell r="I81">
            <v>29.3</v>
          </cell>
          <cell r="J81">
            <v>30.6</v>
          </cell>
          <cell r="K81">
            <v>34.4</v>
          </cell>
          <cell r="L81">
            <v>30.1</v>
          </cell>
          <cell r="M81">
            <v>34.200000000000003</v>
          </cell>
          <cell r="N81">
            <v>32.1</v>
          </cell>
          <cell r="O81">
            <v>30</v>
          </cell>
        </row>
        <row r="82">
          <cell r="A82">
            <v>406</v>
          </cell>
          <cell r="B82">
            <v>1</v>
          </cell>
          <cell r="C82">
            <v>13.353</v>
          </cell>
          <cell r="D82">
            <v>57.7</v>
          </cell>
          <cell r="E82">
            <v>51.1</v>
          </cell>
          <cell r="F82">
            <v>57.1</v>
          </cell>
          <cell r="G82">
            <v>45</v>
          </cell>
          <cell r="H82">
            <v>54.7</v>
          </cell>
          <cell r="I82">
            <v>47.8</v>
          </cell>
          <cell r="J82">
            <v>55.5</v>
          </cell>
          <cell r="K82">
            <v>51.9</v>
          </cell>
          <cell r="L82">
            <v>55.8</v>
          </cell>
          <cell r="M82">
            <v>50.2</v>
          </cell>
          <cell r="N82">
            <v>56.3</v>
          </cell>
          <cell r="O82">
            <v>48.5</v>
          </cell>
        </row>
        <row r="83">
          <cell r="A83">
            <v>406</v>
          </cell>
          <cell r="B83">
            <v>2</v>
          </cell>
          <cell r="C83">
            <v>13.359</v>
          </cell>
          <cell r="D83">
            <v>40.700000000000003</v>
          </cell>
          <cell r="E83">
            <v>29.5</v>
          </cell>
          <cell r="F83">
            <v>29.6</v>
          </cell>
          <cell r="G83">
            <v>29.7</v>
          </cell>
          <cell r="H83">
            <v>32.799999999999997</v>
          </cell>
          <cell r="I83">
            <v>30.8</v>
          </cell>
          <cell r="J83">
            <v>29.4</v>
          </cell>
          <cell r="K83">
            <v>31.3</v>
          </cell>
          <cell r="L83">
            <v>29.9</v>
          </cell>
          <cell r="M83">
            <v>29.5</v>
          </cell>
          <cell r="N83">
            <v>29.1</v>
          </cell>
          <cell r="O83">
            <v>29.4</v>
          </cell>
        </row>
        <row r="84">
          <cell r="A84">
            <v>405</v>
          </cell>
          <cell r="B84">
            <v>1</v>
          </cell>
          <cell r="C84">
            <v>13.372999999999999</v>
          </cell>
          <cell r="D84">
            <v>58.2</v>
          </cell>
          <cell r="E84">
            <v>47.1</v>
          </cell>
          <cell r="F84">
            <v>57.1</v>
          </cell>
          <cell r="G84">
            <v>49.2</v>
          </cell>
          <cell r="H84">
            <v>57.6</v>
          </cell>
          <cell r="I84">
            <v>45.6</v>
          </cell>
          <cell r="J84">
            <v>56.9</v>
          </cell>
          <cell r="K84">
            <v>58</v>
          </cell>
          <cell r="L84">
            <v>54.1</v>
          </cell>
          <cell r="M84">
            <v>54.2</v>
          </cell>
          <cell r="N84">
            <v>52.3</v>
          </cell>
          <cell r="O84">
            <v>50.8</v>
          </cell>
        </row>
        <row r="85">
          <cell r="A85">
            <v>405</v>
          </cell>
          <cell r="B85">
            <v>2</v>
          </cell>
          <cell r="C85">
            <v>13.377000000000001</v>
          </cell>
          <cell r="D85">
            <v>33.200000000000003</v>
          </cell>
          <cell r="E85">
            <v>30.3</v>
          </cell>
          <cell r="F85">
            <v>30.9</v>
          </cell>
          <cell r="G85">
            <v>34.1</v>
          </cell>
          <cell r="H85">
            <v>32.6</v>
          </cell>
          <cell r="I85">
            <v>30.9</v>
          </cell>
          <cell r="J85">
            <v>30.4</v>
          </cell>
          <cell r="K85">
            <v>29.7</v>
          </cell>
          <cell r="L85">
            <v>30.4</v>
          </cell>
          <cell r="M85">
            <v>31.7</v>
          </cell>
          <cell r="N85">
            <v>30.3</v>
          </cell>
          <cell r="O85">
            <v>30.6</v>
          </cell>
        </row>
        <row r="86">
          <cell r="A86">
            <v>404</v>
          </cell>
          <cell r="B86">
            <v>1</v>
          </cell>
          <cell r="C86">
            <v>13.391</v>
          </cell>
          <cell r="D86">
            <v>57.8</v>
          </cell>
          <cell r="E86">
            <v>57.2</v>
          </cell>
          <cell r="F86">
            <v>56.8</v>
          </cell>
          <cell r="G86">
            <v>44.3</v>
          </cell>
          <cell r="H86">
            <v>56.9</v>
          </cell>
          <cell r="I86">
            <v>55.4</v>
          </cell>
          <cell r="J86">
            <v>57.2</v>
          </cell>
          <cell r="K86">
            <v>48.5</v>
          </cell>
          <cell r="L86">
            <v>54</v>
          </cell>
          <cell r="M86">
            <v>58.1</v>
          </cell>
          <cell r="N86">
            <v>56.2</v>
          </cell>
          <cell r="O86">
            <v>52.2</v>
          </cell>
        </row>
        <row r="87">
          <cell r="A87">
            <v>404</v>
          </cell>
          <cell r="B87">
            <v>2</v>
          </cell>
          <cell r="C87">
            <v>13.398999999999999</v>
          </cell>
          <cell r="D87">
            <v>32.9</v>
          </cell>
          <cell r="E87">
            <v>31.2</v>
          </cell>
          <cell r="F87">
            <v>31.1</v>
          </cell>
          <cell r="G87">
            <v>29.7</v>
          </cell>
          <cell r="H87">
            <v>33.9</v>
          </cell>
          <cell r="I87">
            <v>31.2</v>
          </cell>
          <cell r="J87">
            <v>31.4</v>
          </cell>
          <cell r="K87">
            <v>30.1</v>
          </cell>
          <cell r="L87">
            <v>32</v>
          </cell>
          <cell r="M87">
            <v>33.200000000000003</v>
          </cell>
          <cell r="N87">
            <v>31.7</v>
          </cell>
          <cell r="O87">
            <v>31.7</v>
          </cell>
        </row>
        <row r="88">
          <cell r="A88">
            <v>403</v>
          </cell>
          <cell r="B88">
            <v>1</v>
          </cell>
          <cell r="C88">
            <v>13.414999999999999</v>
          </cell>
          <cell r="D88">
            <v>58.3</v>
          </cell>
          <cell r="E88">
            <v>47</v>
          </cell>
          <cell r="F88">
            <v>56.4</v>
          </cell>
          <cell r="G88">
            <v>43.1</v>
          </cell>
          <cell r="H88">
            <v>54.4</v>
          </cell>
          <cell r="I88">
            <v>46.7</v>
          </cell>
          <cell r="J88">
            <v>56.3</v>
          </cell>
          <cell r="K88">
            <v>44.4</v>
          </cell>
          <cell r="L88">
            <v>55.5</v>
          </cell>
          <cell r="M88">
            <v>44.9</v>
          </cell>
          <cell r="N88">
            <v>56.3</v>
          </cell>
          <cell r="O88">
            <v>44</v>
          </cell>
        </row>
        <row r="89">
          <cell r="A89">
            <v>403</v>
          </cell>
          <cell r="B89">
            <v>2</v>
          </cell>
          <cell r="C89">
            <v>13.419</v>
          </cell>
          <cell r="D89">
            <v>30.3</v>
          </cell>
          <cell r="E89">
            <v>29.1</v>
          </cell>
          <cell r="F89">
            <v>30.1</v>
          </cell>
          <cell r="G89">
            <v>30.2</v>
          </cell>
          <cell r="H89">
            <v>33.1</v>
          </cell>
          <cell r="I89">
            <v>32.1</v>
          </cell>
          <cell r="J89">
            <v>32.299999999999997</v>
          </cell>
          <cell r="K89">
            <v>30.4</v>
          </cell>
          <cell r="L89">
            <v>33.799999999999997</v>
          </cell>
          <cell r="M89">
            <v>29.8</v>
          </cell>
          <cell r="N89">
            <v>30.2</v>
          </cell>
          <cell r="O89">
            <v>32.700000000000003</v>
          </cell>
        </row>
        <row r="90">
          <cell r="A90">
            <v>402</v>
          </cell>
          <cell r="B90">
            <v>1</v>
          </cell>
          <cell r="C90">
            <v>13.433</v>
          </cell>
          <cell r="D90">
            <v>58.3</v>
          </cell>
          <cell r="E90">
            <v>51.4</v>
          </cell>
          <cell r="F90">
            <v>56.8</v>
          </cell>
          <cell r="G90">
            <v>49</v>
          </cell>
          <cell r="H90">
            <v>57.1</v>
          </cell>
          <cell r="I90">
            <v>46.9</v>
          </cell>
          <cell r="J90">
            <v>58.3</v>
          </cell>
          <cell r="K90">
            <v>54.4</v>
          </cell>
          <cell r="L90">
            <v>56</v>
          </cell>
          <cell r="M90">
            <v>54.8</v>
          </cell>
          <cell r="N90">
            <v>55.4</v>
          </cell>
          <cell r="O90">
            <v>46.1</v>
          </cell>
        </row>
        <row r="91">
          <cell r="A91">
            <v>402</v>
          </cell>
          <cell r="B91">
            <v>2</v>
          </cell>
          <cell r="C91">
            <v>13.438000000000001</v>
          </cell>
          <cell r="D91">
            <v>33.700000000000003</v>
          </cell>
          <cell r="E91">
            <v>29.8</v>
          </cell>
          <cell r="F91">
            <v>30.9</v>
          </cell>
          <cell r="G91">
            <v>36.5</v>
          </cell>
          <cell r="H91">
            <v>30.3</v>
          </cell>
          <cell r="I91">
            <v>34.299999999999997</v>
          </cell>
          <cell r="J91">
            <v>31</v>
          </cell>
          <cell r="K91">
            <v>31.3</v>
          </cell>
          <cell r="L91">
            <v>31</v>
          </cell>
          <cell r="M91">
            <v>31.3</v>
          </cell>
          <cell r="N91">
            <v>31.3</v>
          </cell>
          <cell r="O91">
            <v>31.1</v>
          </cell>
        </row>
        <row r="92">
          <cell r="A92">
            <v>401</v>
          </cell>
          <cell r="B92">
            <v>1</v>
          </cell>
          <cell r="C92">
            <v>13.451000000000001</v>
          </cell>
          <cell r="D92">
            <v>56.7</v>
          </cell>
          <cell r="E92">
            <v>55.8</v>
          </cell>
          <cell r="F92">
            <v>57.5</v>
          </cell>
          <cell r="G92">
            <v>51.7</v>
          </cell>
          <cell r="H92">
            <v>56.6</v>
          </cell>
          <cell r="I92">
            <v>52.9</v>
          </cell>
          <cell r="J92">
            <v>57</v>
          </cell>
          <cell r="K92">
            <v>56.7</v>
          </cell>
          <cell r="L92">
            <v>57</v>
          </cell>
          <cell r="M92">
            <v>55.8</v>
          </cell>
          <cell r="N92">
            <v>55.8</v>
          </cell>
          <cell r="O92">
            <v>56.4</v>
          </cell>
        </row>
        <row r="93">
          <cell r="A93">
            <v>401</v>
          </cell>
          <cell r="B93">
            <v>2</v>
          </cell>
          <cell r="C93">
            <v>13.456</v>
          </cell>
          <cell r="D93">
            <v>36.4</v>
          </cell>
          <cell r="E93">
            <v>32.9</v>
          </cell>
          <cell r="F93">
            <v>30.7</v>
          </cell>
          <cell r="G93">
            <v>30.8</v>
          </cell>
          <cell r="H93">
            <v>31.3</v>
          </cell>
          <cell r="I93">
            <v>31.9</v>
          </cell>
          <cell r="J93">
            <v>29.3</v>
          </cell>
          <cell r="K93">
            <v>32.299999999999997</v>
          </cell>
          <cell r="L93">
            <v>35.200000000000003</v>
          </cell>
          <cell r="M93">
            <v>33.6</v>
          </cell>
          <cell r="N93">
            <v>32.5</v>
          </cell>
          <cell r="O93">
            <v>30.9</v>
          </cell>
        </row>
      </sheetData>
      <sheetData sheetId="2">
        <row r="7">
          <cell r="C7">
            <v>160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36.450000000000003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'IA157.03R'</v>
          </cell>
        </row>
        <row r="14">
          <cell r="A14">
            <v>108</v>
          </cell>
          <cell r="B14">
            <v>1</v>
          </cell>
          <cell r="C14">
            <v>12.885</v>
          </cell>
          <cell r="D14">
            <v>57.3</v>
          </cell>
          <cell r="E14">
            <v>54.8</v>
          </cell>
          <cell r="F14">
            <v>51.5</v>
          </cell>
          <cell r="G14">
            <v>50.7</v>
          </cell>
          <cell r="H14">
            <v>61</v>
          </cell>
          <cell r="I14">
            <v>50.9</v>
          </cell>
          <cell r="J14">
            <v>59.6</v>
          </cell>
          <cell r="K14">
            <v>51.2</v>
          </cell>
          <cell r="L14">
            <v>57.4</v>
          </cell>
          <cell r="M14">
            <v>50.9</v>
          </cell>
          <cell r="N14">
            <v>56.5</v>
          </cell>
          <cell r="O14">
            <v>47.2</v>
          </cell>
        </row>
        <row r="15">
          <cell r="A15">
            <v>108</v>
          </cell>
          <cell r="B15">
            <v>2</v>
          </cell>
          <cell r="C15">
            <v>12.888999999999999</v>
          </cell>
          <cell r="D15">
            <v>33.5</v>
          </cell>
          <cell r="E15">
            <v>30.4</v>
          </cell>
          <cell r="F15">
            <v>30.5</v>
          </cell>
          <cell r="G15">
            <v>33.799999999999997</v>
          </cell>
          <cell r="H15">
            <v>33</v>
          </cell>
          <cell r="I15">
            <v>30.5</v>
          </cell>
          <cell r="J15">
            <v>34.200000000000003</v>
          </cell>
          <cell r="K15">
            <v>30.1</v>
          </cell>
          <cell r="L15">
            <v>30.6</v>
          </cell>
          <cell r="M15">
            <v>30.6</v>
          </cell>
          <cell r="N15">
            <v>30.3</v>
          </cell>
          <cell r="O15">
            <v>29.4</v>
          </cell>
        </row>
        <row r="16">
          <cell r="A16">
            <v>107</v>
          </cell>
          <cell r="B16">
            <v>1</v>
          </cell>
          <cell r="C16">
            <v>12.901</v>
          </cell>
          <cell r="D16">
            <v>57.9</v>
          </cell>
          <cell r="E16">
            <v>58.6</v>
          </cell>
          <cell r="F16">
            <v>59.2</v>
          </cell>
          <cell r="G16">
            <v>52.9</v>
          </cell>
          <cell r="H16">
            <v>57.1</v>
          </cell>
          <cell r="I16">
            <v>56.9</v>
          </cell>
          <cell r="J16">
            <v>60.4</v>
          </cell>
          <cell r="K16">
            <v>49.3</v>
          </cell>
          <cell r="L16">
            <v>61.3</v>
          </cell>
          <cell r="M16">
            <v>52.7</v>
          </cell>
          <cell r="N16">
            <v>59.3</v>
          </cell>
          <cell r="O16">
            <v>51.3</v>
          </cell>
        </row>
        <row r="17">
          <cell r="A17">
            <v>107</v>
          </cell>
          <cell r="B17">
            <v>2</v>
          </cell>
          <cell r="C17">
            <v>12.904999999999999</v>
          </cell>
          <cell r="D17">
            <v>33.299999999999997</v>
          </cell>
          <cell r="E17">
            <v>31.1</v>
          </cell>
          <cell r="F17">
            <v>30.7</v>
          </cell>
          <cell r="G17">
            <v>28.9</v>
          </cell>
          <cell r="H17">
            <v>29.5</v>
          </cell>
          <cell r="I17">
            <v>30.4</v>
          </cell>
          <cell r="J17">
            <v>32.6</v>
          </cell>
          <cell r="K17">
            <v>29.5</v>
          </cell>
          <cell r="L17">
            <v>30.8</v>
          </cell>
          <cell r="M17">
            <v>30.3</v>
          </cell>
          <cell r="N17">
            <v>29.3</v>
          </cell>
          <cell r="O17">
            <v>31.6</v>
          </cell>
        </row>
        <row r="18">
          <cell r="A18">
            <v>106</v>
          </cell>
          <cell r="B18">
            <v>1</v>
          </cell>
          <cell r="C18">
            <v>12.917999999999999</v>
          </cell>
          <cell r="D18">
            <v>56.8</v>
          </cell>
          <cell r="E18">
            <v>56.4</v>
          </cell>
          <cell r="F18">
            <v>57.9</v>
          </cell>
          <cell r="G18">
            <v>51.9</v>
          </cell>
          <cell r="H18">
            <v>59</v>
          </cell>
          <cell r="I18">
            <v>55</v>
          </cell>
          <cell r="J18">
            <v>56.9</v>
          </cell>
          <cell r="K18">
            <v>53.9</v>
          </cell>
          <cell r="L18">
            <v>57.9</v>
          </cell>
          <cell r="M18">
            <v>52.8</v>
          </cell>
          <cell r="N18">
            <v>57.5</v>
          </cell>
          <cell r="O18">
            <v>53.8</v>
          </cell>
        </row>
        <row r="19">
          <cell r="A19">
            <v>106</v>
          </cell>
          <cell r="B19">
            <v>2</v>
          </cell>
          <cell r="C19">
            <v>12.922000000000001</v>
          </cell>
          <cell r="D19">
            <v>32.700000000000003</v>
          </cell>
          <cell r="E19">
            <v>32.700000000000003</v>
          </cell>
          <cell r="F19">
            <v>35.9</v>
          </cell>
          <cell r="G19">
            <v>30.1</v>
          </cell>
          <cell r="H19">
            <v>28.3</v>
          </cell>
          <cell r="I19">
            <v>28.4</v>
          </cell>
          <cell r="J19">
            <v>29.5</v>
          </cell>
          <cell r="K19">
            <v>29</v>
          </cell>
          <cell r="L19">
            <v>28.8</v>
          </cell>
          <cell r="M19">
            <v>29.6</v>
          </cell>
          <cell r="N19">
            <v>28.7</v>
          </cell>
          <cell r="O19">
            <v>29.4</v>
          </cell>
        </row>
        <row r="20">
          <cell r="A20">
            <v>105</v>
          </cell>
          <cell r="B20">
            <v>1</v>
          </cell>
          <cell r="C20">
            <v>12.936</v>
          </cell>
          <cell r="D20">
            <v>35.799999999999997</v>
          </cell>
          <cell r="E20">
            <v>37.799999999999997</v>
          </cell>
          <cell r="F20">
            <v>37.5</v>
          </cell>
          <cell r="G20">
            <v>35.799999999999997</v>
          </cell>
          <cell r="H20">
            <v>37.1</v>
          </cell>
          <cell r="I20">
            <v>40.4</v>
          </cell>
          <cell r="J20">
            <v>36.799999999999997</v>
          </cell>
          <cell r="K20">
            <v>37.299999999999997</v>
          </cell>
          <cell r="L20">
            <v>36.700000000000003</v>
          </cell>
          <cell r="M20">
            <v>40.1</v>
          </cell>
          <cell r="N20">
            <v>38.9</v>
          </cell>
          <cell r="O20">
            <v>38.200000000000003</v>
          </cell>
        </row>
        <row r="21">
          <cell r="A21">
            <v>105</v>
          </cell>
          <cell r="B21">
            <v>2</v>
          </cell>
          <cell r="C21">
            <v>12.941000000000001</v>
          </cell>
          <cell r="D21">
            <v>28.2</v>
          </cell>
          <cell r="E21">
            <v>27</v>
          </cell>
          <cell r="F21">
            <v>30.6</v>
          </cell>
          <cell r="G21">
            <v>27.8</v>
          </cell>
          <cell r="H21">
            <v>27.8</v>
          </cell>
          <cell r="I21">
            <v>29.5</v>
          </cell>
          <cell r="J21">
            <v>30.2</v>
          </cell>
          <cell r="K21">
            <v>28.4</v>
          </cell>
          <cell r="L21">
            <v>28</v>
          </cell>
          <cell r="M21">
            <v>26.9</v>
          </cell>
          <cell r="N21">
            <v>28.1</v>
          </cell>
          <cell r="O21">
            <v>28.5</v>
          </cell>
        </row>
        <row r="22">
          <cell r="A22">
            <v>104</v>
          </cell>
          <cell r="B22">
            <v>1</v>
          </cell>
          <cell r="C22">
            <v>12.954000000000001</v>
          </cell>
          <cell r="D22">
            <v>56.1</v>
          </cell>
          <cell r="E22">
            <v>56.1</v>
          </cell>
          <cell r="F22">
            <v>56.9</v>
          </cell>
          <cell r="G22">
            <v>48.5</v>
          </cell>
          <cell r="H22">
            <v>56.8</v>
          </cell>
          <cell r="I22">
            <v>53</v>
          </cell>
          <cell r="J22">
            <v>59.4</v>
          </cell>
          <cell r="K22">
            <v>54</v>
          </cell>
          <cell r="L22">
            <v>57.3</v>
          </cell>
          <cell r="M22">
            <v>53.7</v>
          </cell>
          <cell r="N22">
            <v>57.9</v>
          </cell>
          <cell r="O22">
            <v>53</v>
          </cell>
        </row>
        <row r="23">
          <cell r="A23">
            <v>104</v>
          </cell>
          <cell r="B23">
            <v>2</v>
          </cell>
          <cell r="C23">
            <v>12.959</v>
          </cell>
          <cell r="D23">
            <v>29.9</v>
          </cell>
          <cell r="E23">
            <v>28.2</v>
          </cell>
          <cell r="F23">
            <v>32</v>
          </cell>
          <cell r="G23">
            <v>28.5</v>
          </cell>
          <cell r="H23">
            <v>27.9</v>
          </cell>
          <cell r="I23">
            <v>27.6</v>
          </cell>
          <cell r="J23">
            <v>31.2</v>
          </cell>
          <cell r="K23">
            <v>28.3</v>
          </cell>
          <cell r="L23">
            <v>28.9</v>
          </cell>
          <cell r="M23">
            <v>30.5</v>
          </cell>
          <cell r="N23">
            <v>29.1</v>
          </cell>
          <cell r="O23">
            <v>29.6</v>
          </cell>
        </row>
        <row r="24">
          <cell r="A24">
            <v>103</v>
          </cell>
          <cell r="B24">
            <v>1</v>
          </cell>
          <cell r="C24">
            <v>12.972</v>
          </cell>
          <cell r="D24">
            <v>57.4</v>
          </cell>
          <cell r="E24">
            <v>50.9</v>
          </cell>
          <cell r="F24">
            <v>54.9</v>
          </cell>
          <cell r="G24">
            <v>47.1</v>
          </cell>
          <cell r="H24">
            <v>55.4</v>
          </cell>
          <cell r="I24">
            <v>41.9</v>
          </cell>
          <cell r="J24">
            <v>59.1</v>
          </cell>
          <cell r="K24">
            <v>51</v>
          </cell>
          <cell r="L24">
            <v>55.1</v>
          </cell>
          <cell r="M24">
            <v>50.8</v>
          </cell>
          <cell r="N24">
            <v>57.7</v>
          </cell>
          <cell r="O24">
            <v>45.9</v>
          </cell>
        </row>
        <row r="25">
          <cell r="A25">
            <v>103</v>
          </cell>
          <cell r="B25">
            <v>2</v>
          </cell>
          <cell r="C25">
            <v>12.977</v>
          </cell>
          <cell r="D25">
            <v>33.1</v>
          </cell>
          <cell r="E25">
            <v>29</v>
          </cell>
          <cell r="F25">
            <v>30.2</v>
          </cell>
          <cell r="G25">
            <v>34.299999999999997</v>
          </cell>
          <cell r="H25">
            <v>27.3</v>
          </cell>
          <cell r="I25">
            <v>28.8</v>
          </cell>
          <cell r="J25">
            <v>30.4</v>
          </cell>
          <cell r="K25">
            <v>29</v>
          </cell>
          <cell r="L25">
            <v>31.1</v>
          </cell>
          <cell r="M25">
            <v>29.8</v>
          </cell>
          <cell r="N25">
            <v>29.3</v>
          </cell>
          <cell r="O25">
            <v>28.8</v>
          </cell>
        </row>
        <row r="26">
          <cell r="A26">
            <v>102</v>
          </cell>
          <cell r="B26">
            <v>1</v>
          </cell>
          <cell r="C26">
            <v>12.99</v>
          </cell>
          <cell r="D26">
            <v>57.7</v>
          </cell>
          <cell r="E26">
            <v>56.5</v>
          </cell>
          <cell r="F26">
            <v>57</v>
          </cell>
          <cell r="G26">
            <v>51.7</v>
          </cell>
          <cell r="H26">
            <v>57.6</v>
          </cell>
          <cell r="I26">
            <v>52.5</v>
          </cell>
          <cell r="J26">
            <v>58</v>
          </cell>
          <cell r="K26">
            <v>53.6</v>
          </cell>
          <cell r="L26">
            <v>56.3</v>
          </cell>
          <cell r="M26">
            <v>52.5</v>
          </cell>
          <cell r="N26">
            <v>55.9</v>
          </cell>
          <cell r="O26">
            <v>51.4</v>
          </cell>
        </row>
        <row r="27">
          <cell r="A27">
            <v>102</v>
          </cell>
          <cell r="B27">
            <v>2</v>
          </cell>
          <cell r="C27">
            <v>12.994999999999999</v>
          </cell>
          <cell r="D27">
            <v>30.4</v>
          </cell>
          <cell r="E27">
            <v>29.4</v>
          </cell>
          <cell r="F27">
            <v>28.9</v>
          </cell>
          <cell r="G27">
            <v>29.7</v>
          </cell>
          <cell r="H27">
            <v>29.6</v>
          </cell>
          <cell r="I27">
            <v>30.2</v>
          </cell>
          <cell r="J27">
            <v>30.6</v>
          </cell>
          <cell r="K27">
            <v>32</v>
          </cell>
          <cell r="L27">
            <v>35.299999999999997</v>
          </cell>
          <cell r="M27">
            <v>31.6</v>
          </cell>
          <cell r="N27">
            <v>32.200000000000003</v>
          </cell>
          <cell r="O27">
            <v>32.700000000000003</v>
          </cell>
        </row>
        <row r="28">
          <cell r="A28">
            <v>101</v>
          </cell>
          <cell r="B28">
            <v>1</v>
          </cell>
          <cell r="C28">
            <v>13.009</v>
          </cell>
          <cell r="D28">
            <v>55.1</v>
          </cell>
          <cell r="E28">
            <v>55.3</v>
          </cell>
          <cell r="F28">
            <v>56.6</v>
          </cell>
          <cell r="G28">
            <v>51.1</v>
          </cell>
          <cell r="H28">
            <v>51.7</v>
          </cell>
          <cell r="I28">
            <v>52.2</v>
          </cell>
          <cell r="J28">
            <v>56.5</v>
          </cell>
          <cell r="K28">
            <v>56.4</v>
          </cell>
          <cell r="L28">
            <v>57.4</v>
          </cell>
          <cell r="M28">
            <v>56.2</v>
          </cell>
          <cell r="N28">
            <v>56.6</v>
          </cell>
          <cell r="O28">
            <v>54.8</v>
          </cell>
        </row>
        <row r="29">
          <cell r="A29">
            <v>101</v>
          </cell>
          <cell r="B29">
            <v>2</v>
          </cell>
          <cell r="C29">
            <v>13.013999999999999</v>
          </cell>
          <cell r="D29">
            <v>32.4</v>
          </cell>
          <cell r="E29">
            <v>30.1</v>
          </cell>
          <cell r="F29">
            <v>37.299999999999997</v>
          </cell>
          <cell r="G29">
            <v>34.799999999999997</v>
          </cell>
          <cell r="H29">
            <v>31.4</v>
          </cell>
          <cell r="I29">
            <v>31</v>
          </cell>
          <cell r="J29">
            <v>31.4</v>
          </cell>
          <cell r="K29">
            <v>31.4</v>
          </cell>
          <cell r="L29">
            <v>29.6</v>
          </cell>
          <cell r="M29">
            <v>29.5</v>
          </cell>
          <cell r="N29">
            <v>30.6</v>
          </cell>
          <cell r="O29">
            <v>30.5</v>
          </cell>
        </row>
        <row r="30">
          <cell r="A30">
            <v>201</v>
          </cell>
          <cell r="B30">
            <v>1</v>
          </cell>
          <cell r="C30">
            <v>13.032</v>
          </cell>
          <cell r="D30">
            <v>39.9</v>
          </cell>
          <cell r="E30">
            <v>39.700000000000003</v>
          </cell>
          <cell r="F30">
            <v>39.299999999999997</v>
          </cell>
          <cell r="G30">
            <v>39.4</v>
          </cell>
          <cell r="H30">
            <v>37.799999999999997</v>
          </cell>
          <cell r="I30">
            <v>38.700000000000003</v>
          </cell>
          <cell r="J30">
            <v>36.9</v>
          </cell>
          <cell r="K30">
            <v>36.6</v>
          </cell>
          <cell r="L30">
            <v>35.200000000000003</v>
          </cell>
          <cell r="M30">
            <v>32.9</v>
          </cell>
          <cell r="N30">
            <v>35.700000000000003</v>
          </cell>
          <cell r="O30">
            <v>35.700000000000003</v>
          </cell>
        </row>
        <row r="31">
          <cell r="A31">
            <v>201</v>
          </cell>
          <cell r="B31">
            <v>2</v>
          </cell>
          <cell r="C31">
            <v>13.037000000000001</v>
          </cell>
          <cell r="D31">
            <v>28</v>
          </cell>
          <cell r="E31">
            <v>28.3</v>
          </cell>
          <cell r="F31">
            <v>27.3</v>
          </cell>
          <cell r="G31">
            <v>28.7</v>
          </cell>
          <cell r="H31">
            <v>30.3</v>
          </cell>
          <cell r="I31">
            <v>26.8</v>
          </cell>
          <cell r="J31">
            <v>27.9</v>
          </cell>
          <cell r="K31">
            <v>29.6</v>
          </cell>
          <cell r="L31">
            <v>31.5</v>
          </cell>
          <cell r="M31">
            <v>27.6</v>
          </cell>
          <cell r="N31">
            <v>27.4</v>
          </cell>
          <cell r="O31">
            <v>28.8</v>
          </cell>
        </row>
        <row r="32">
          <cell r="A32">
            <v>202</v>
          </cell>
          <cell r="B32">
            <v>1</v>
          </cell>
          <cell r="C32">
            <v>13.048</v>
          </cell>
          <cell r="D32">
            <v>55.2</v>
          </cell>
          <cell r="E32">
            <v>54.7</v>
          </cell>
          <cell r="F32">
            <v>56.6</v>
          </cell>
          <cell r="G32">
            <v>47.3</v>
          </cell>
          <cell r="H32">
            <v>57.5</v>
          </cell>
          <cell r="I32">
            <v>47.4</v>
          </cell>
          <cell r="J32">
            <v>56.8</v>
          </cell>
          <cell r="K32">
            <v>56.3</v>
          </cell>
          <cell r="L32">
            <v>56.9</v>
          </cell>
          <cell r="M32">
            <v>49.8</v>
          </cell>
          <cell r="N32">
            <v>55.1</v>
          </cell>
          <cell r="O32">
            <v>56</v>
          </cell>
        </row>
        <row r="33">
          <cell r="A33">
            <v>202</v>
          </cell>
          <cell r="B33">
            <v>2</v>
          </cell>
          <cell r="C33">
            <v>13.054</v>
          </cell>
          <cell r="D33">
            <v>36.4</v>
          </cell>
          <cell r="E33">
            <v>32.200000000000003</v>
          </cell>
          <cell r="F33">
            <v>29.8</v>
          </cell>
          <cell r="G33">
            <v>31.3</v>
          </cell>
          <cell r="H33">
            <v>31.4</v>
          </cell>
          <cell r="I33">
            <v>38.299999999999997</v>
          </cell>
          <cell r="J33">
            <v>33.799999999999997</v>
          </cell>
          <cell r="K33">
            <v>29</v>
          </cell>
          <cell r="L33">
            <v>30.1</v>
          </cell>
          <cell r="M33">
            <v>29.8</v>
          </cell>
          <cell r="N33">
            <v>32.1</v>
          </cell>
          <cell r="O33">
            <v>33.200000000000003</v>
          </cell>
        </row>
        <row r="34">
          <cell r="A34">
            <v>203</v>
          </cell>
          <cell r="B34">
            <v>1</v>
          </cell>
          <cell r="C34">
            <v>13.067</v>
          </cell>
          <cell r="D34">
            <v>57.4</v>
          </cell>
          <cell r="E34">
            <v>57.5</v>
          </cell>
          <cell r="F34">
            <v>57.9</v>
          </cell>
          <cell r="G34">
            <v>49.6</v>
          </cell>
          <cell r="H34">
            <v>55.3</v>
          </cell>
          <cell r="I34">
            <v>53.9</v>
          </cell>
          <cell r="J34">
            <v>58.7</v>
          </cell>
          <cell r="K34">
            <v>59.9</v>
          </cell>
          <cell r="L34">
            <v>58.8</v>
          </cell>
          <cell r="M34">
            <v>53.9</v>
          </cell>
          <cell r="N34">
            <v>57.7</v>
          </cell>
          <cell r="O34">
            <v>53.5</v>
          </cell>
        </row>
        <row r="35">
          <cell r="A35">
            <v>203</v>
          </cell>
          <cell r="B35">
            <v>2</v>
          </cell>
          <cell r="C35">
            <v>13.071999999999999</v>
          </cell>
          <cell r="D35">
            <v>29</v>
          </cell>
          <cell r="E35">
            <v>28.9</v>
          </cell>
          <cell r="F35">
            <v>30.2</v>
          </cell>
          <cell r="G35">
            <v>29.7</v>
          </cell>
          <cell r="H35">
            <v>28.6</v>
          </cell>
          <cell r="I35">
            <v>29.4</v>
          </cell>
          <cell r="J35">
            <v>29.7</v>
          </cell>
          <cell r="K35">
            <v>30.5</v>
          </cell>
          <cell r="L35">
            <v>28.1</v>
          </cell>
          <cell r="M35">
            <v>33.6</v>
          </cell>
          <cell r="N35">
            <v>27.7</v>
          </cell>
          <cell r="O35">
            <v>29.2</v>
          </cell>
        </row>
        <row r="36">
          <cell r="A36">
            <v>204</v>
          </cell>
          <cell r="B36">
            <v>1</v>
          </cell>
          <cell r="C36">
            <v>13.085000000000001</v>
          </cell>
          <cell r="D36">
            <v>39.4</v>
          </cell>
          <cell r="E36">
            <v>40.200000000000003</v>
          </cell>
          <cell r="F36">
            <v>41.6</v>
          </cell>
          <cell r="G36">
            <v>44.5</v>
          </cell>
          <cell r="H36">
            <v>45.4</v>
          </cell>
          <cell r="I36">
            <v>43.7</v>
          </cell>
          <cell r="J36">
            <v>43.3</v>
          </cell>
          <cell r="K36">
            <v>38.299999999999997</v>
          </cell>
          <cell r="L36">
            <v>39</v>
          </cell>
          <cell r="M36">
            <v>40.4</v>
          </cell>
          <cell r="N36">
            <v>40.4</v>
          </cell>
          <cell r="O36">
            <v>37.200000000000003</v>
          </cell>
        </row>
        <row r="37">
          <cell r="A37">
            <v>204</v>
          </cell>
          <cell r="B37">
            <v>2</v>
          </cell>
          <cell r="C37">
            <v>13.09</v>
          </cell>
          <cell r="D37">
            <v>28.4</v>
          </cell>
          <cell r="E37">
            <v>28.6</v>
          </cell>
          <cell r="F37">
            <v>29</v>
          </cell>
          <cell r="G37">
            <v>28.6</v>
          </cell>
          <cell r="H37">
            <v>28.9</v>
          </cell>
          <cell r="I37">
            <v>26.6</v>
          </cell>
          <cell r="J37">
            <v>29.1</v>
          </cell>
          <cell r="K37">
            <v>27.4</v>
          </cell>
          <cell r="L37">
            <v>28</v>
          </cell>
          <cell r="M37">
            <v>29.6</v>
          </cell>
          <cell r="N37">
            <v>27.7</v>
          </cell>
          <cell r="O37">
            <v>28.1</v>
          </cell>
        </row>
        <row r="38">
          <cell r="A38">
            <v>205</v>
          </cell>
          <cell r="B38">
            <v>1</v>
          </cell>
          <cell r="C38">
            <v>13.102</v>
          </cell>
          <cell r="D38">
            <v>56.6</v>
          </cell>
          <cell r="E38">
            <v>56.8</v>
          </cell>
          <cell r="F38">
            <v>57.9</v>
          </cell>
          <cell r="G38">
            <v>54.4</v>
          </cell>
          <cell r="H38">
            <v>58.3</v>
          </cell>
          <cell r="I38">
            <v>56.3</v>
          </cell>
          <cell r="J38">
            <v>58.9</v>
          </cell>
          <cell r="K38">
            <v>57.2</v>
          </cell>
          <cell r="L38">
            <v>58</v>
          </cell>
          <cell r="M38">
            <v>54.8</v>
          </cell>
          <cell r="N38">
            <v>57.7</v>
          </cell>
          <cell r="O38">
            <v>57.2</v>
          </cell>
        </row>
        <row r="39">
          <cell r="A39">
            <v>205</v>
          </cell>
          <cell r="B39">
            <v>2</v>
          </cell>
          <cell r="C39">
            <v>13.106999999999999</v>
          </cell>
          <cell r="D39">
            <v>33.700000000000003</v>
          </cell>
          <cell r="E39">
            <v>30.3</v>
          </cell>
          <cell r="F39">
            <v>32</v>
          </cell>
          <cell r="G39">
            <v>30.8</v>
          </cell>
          <cell r="H39">
            <v>29.7</v>
          </cell>
          <cell r="I39">
            <v>30.6</v>
          </cell>
          <cell r="J39">
            <v>32.1</v>
          </cell>
          <cell r="K39">
            <v>29.2</v>
          </cell>
          <cell r="L39">
            <v>31.6</v>
          </cell>
          <cell r="M39">
            <v>29.8</v>
          </cell>
          <cell r="N39">
            <v>29</v>
          </cell>
          <cell r="O39">
            <v>29.2</v>
          </cell>
        </row>
        <row r="40">
          <cell r="A40">
            <v>206</v>
          </cell>
          <cell r="B40">
            <v>1</v>
          </cell>
          <cell r="C40">
            <v>13.121</v>
          </cell>
          <cell r="D40">
            <v>56.1</v>
          </cell>
          <cell r="E40">
            <v>57.2</v>
          </cell>
          <cell r="F40">
            <v>58.3</v>
          </cell>
          <cell r="G40">
            <v>55.5</v>
          </cell>
          <cell r="H40">
            <v>56.8</v>
          </cell>
          <cell r="I40">
            <v>55.5</v>
          </cell>
          <cell r="J40">
            <v>55.7</v>
          </cell>
          <cell r="K40">
            <v>53.8</v>
          </cell>
          <cell r="L40">
            <v>57.8</v>
          </cell>
          <cell r="M40">
            <v>56.5</v>
          </cell>
          <cell r="N40">
            <v>58.9</v>
          </cell>
          <cell r="O40">
            <v>57.7</v>
          </cell>
        </row>
        <row r="41">
          <cell r="A41">
            <v>206</v>
          </cell>
          <cell r="B41">
            <v>2</v>
          </cell>
          <cell r="C41">
            <v>13.125</v>
          </cell>
          <cell r="D41">
            <v>29.6</v>
          </cell>
          <cell r="E41">
            <v>31.1</v>
          </cell>
          <cell r="F41">
            <v>32.4</v>
          </cell>
          <cell r="G41">
            <v>29.9</v>
          </cell>
          <cell r="H41">
            <v>30.6</v>
          </cell>
          <cell r="I41">
            <v>31.4</v>
          </cell>
          <cell r="J41">
            <v>33.299999999999997</v>
          </cell>
          <cell r="K41">
            <v>29</v>
          </cell>
          <cell r="L41">
            <v>32</v>
          </cell>
          <cell r="M41">
            <v>30.3</v>
          </cell>
          <cell r="N41">
            <v>33.4</v>
          </cell>
          <cell r="O41">
            <v>34.5</v>
          </cell>
        </row>
        <row r="42">
          <cell r="A42">
            <v>207</v>
          </cell>
          <cell r="B42">
            <v>1</v>
          </cell>
          <cell r="C42">
            <v>13.138999999999999</v>
          </cell>
          <cell r="D42">
            <v>60.5</v>
          </cell>
          <cell r="E42">
            <v>55.9</v>
          </cell>
          <cell r="F42">
            <v>57.6</v>
          </cell>
          <cell r="G42">
            <v>51.9</v>
          </cell>
          <cell r="H42">
            <v>56.8</v>
          </cell>
          <cell r="I42">
            <v>54.4</v>
          </cell>
          <cell r="J42">
            <v>58.7</v>
          </cell>
          <cell r="K42">
            <v>55.8</v>
          </cell>
          <cell r="L42">
            <v>55.2</v>
          </cell>
          <cell r="M42">
            <v>58</v>
          </cell>
          <cell r="N42">
            <v>58.3</v>
          </cell>
          <cell r="O42">
            <v>54.2</v>
          </cell>
        </row>
        <row r="43">
          <cell r="A43">
            <v>207</v>
          </cell>
          <cell r="B43">
            <v>2</v>
          </cell>
          <cell r="C43">
            <v>13.144</v>
          </cell>
          <cell r="D43">
            <v>33.4</v>
          </cell>
          <cell r="E43">
            <v>33.4</v>
          </cell>
          <cell r="F43">
            <v>33.6</v>
          </cell>
          <cell r="G43">
            <v>31</v>
          </cell>
          <cell r="H43">
            <v>29.2</v>
          </cell>
          <cell r="I43">
            <v>30.3</v>
          </cell>
          <cell r="J43">
            <v>30.3</v>
          </cell>
          <cell r="K43">
            <v>29.8</v>
          </cell>
          <cell r="L43">
            <v>34.700000000000003</v>
          </cell>
          <cell r="M43">
            <v>29.3</v>
          </cell>
          <cell r="N43">
            <v>30.9</v>
          </cell>
          <cell r="O43">
            <v>34.4</v>
          </cell>
        </row>
        <row r="44">
          <cell r="A44">
            <v>208</v>
          </cell>
          <cell r="B44">
            <v>1</v>
          </cell>
          <cell r="C44">
            <v>13.157</v>
          </cell>
          <cell r="D44">
            <v>56.5</v>
          </cell>
          <cell r="E44">
            <v>56.4</v>
          </cell>
          <cell r="F44">
            <v>57.8</v>
          </cell>
          <cell r="G44">
            <v>53.6</v>
          </cell>
          <cell r="H44">
            <v>58.6</v>
          </cell>
          <cell r="I44">
            <v>56.4</v>
          </cell>
          <cell r="J44">
            <v>59.8</v>
          </cell>
          <cell r="K44">
            <v>54.8</v>
          </cell>
          <cell r="L44">
            <v>56.6</v>
          </cell>
          <cell r="M44">
            <v>58.1</v>
          </cell>
          <cell r="N44">
            <v>57.1</v>
          </cell>
          <cell r="O44">
            <v>53.9</v>
          </cell>
        </row>
        <row r="45">
          <cell r="A45">
            <v>208</v>
          </cell>
          <cell r="B45">
            <v>2</v>
          </cell>
          <cell r="C45">
            <v>13.163</v>
          </cell>
          <cell r="D45">
            <v>34.5</v>
          </cell>
          <cell r="E45">
            <v>30.1</v>
          </cell>
          <cell r="F45">
            <v>31.1</v>
          </cell>
          <cell r="G45">
            <v>30.1</v>
          </cell>
          <cell r="H45">
            <v>29.8</v>
          </cell>
          <cell r="I45">
            <v>35.9</v>
          </cell>
          <cell r="J45">
            <v>32.700000000000003</v>
          </cell>
          <cell r="K45">
            <v>33.1</v>
          </cell>
          <cell r="L45">
            <v>30.2</v>
          </cell>
          <cell r="M45">
            <v>29.8</v>
          </cell>
          <cell r="N45">
            <v>35.200000000000003</v>
          </cell>
          <cell r="O45">
            <v>30</v>
          </cell>
        </row>
        <row r="46">
          <cell r="A46">
            <v>908</v>
          </cell>
          <cell r="B46">
            <v>1</v>
          </cell>
          <cell r="C46">
            <v>13.183999999999999</v>
          </cell>
          <cell r="D46">
            <v>56.7</v>
          </cell>
          <cell r="E46">
            <v>53.8</v>
          </cell>
          <cell r="F46">
            <v>56.6</v>
          </cell>
          <cell r="G46">
            <v>54.5</v>
          </cell>
          <cell r="H46">
            <v>57.9</v>
          </cell>
          <cell r="I46">
            <v>56.7</v>
          </cell>
          <cell r="J46">
            <v>55.3</v>
          </cell>
          <cell r="K46">
            <v>56.9</v>
          </cell>
          <cell r="L46">
            <v>55.2</v>
          </cell>
          <cell r="M46">
            <v>56.8</v>
          </cell>
          <cell r="N46">
            <v>56.4</v>
          </cell>
          <cell r="O46">
            <v>54.4</v>
          </cell>
        </row>
        <row r="47">
          <cell r="A47">
            <v>908</v>
          </cell>
          <cell r="B47">
            <v>2</v>
          </cell>
          <cell r="C47">
            <v>13.19</v>
          </cell>
          <cell r="D47">
            <v>30.1</v>
          </cell>
          <cell r="E47">
            <v>28.9</v>
          </cell>
          <cell r="F47">
            <v>34.799999999999997</v>
          </cell>
          <cell r="G47">
            <v>29.1</v>
          </cell>
          <cell r="H47">
            <v>29.5</v>
          </cell>
          <cell r="I47">
            <v>31.6</v>
          </cell>
          <cell r="J47">
            <v>31.7</v>
          </cell>
          <cell r="K47">
            <v>30</v>
          </cell>
          <cell r="L47">
            <v>32.1</v>
          </cell>
          <cell r="M47">
            <v>30.2</v>
          </cell>
          <cell r="N47">
            <v>32.9</v>
          </cell>
          <cell r="O47">
            <v>29.5</v>
          </cell>
        </row>
        <row r="48">
          <cell r="A48">
            <v>907</v>
          </cell>
          <cell r="B48">
            <v>1</v>
          </cell>
          <cell r="C48">
            <v>13.202</v>
          </cell>
          <cell r="D48">
            <v>62.8</v>
          </cell>
          <cell r="E48">
            <v>62.8</v>
          </cell>
          <cell r="F48">
            <v>63.5</v>
          </cell>
          <cell r="G48">
            <v>64.400000000000006</v>
          </cell>
          <cell r="H48">
            <v>62.5</v>
          </cell>
          <cell r="I48">
            <v>62.5</v>
          </cell>
          <cell r="J48">
            <v>62.9</v>
          </cell>
          <cell r="K48">
            <v>62.5</v>
          </cell>
          <cell r="L48">
            <v>62.1</v>
          </cell>
          <cell r="M48">
            <v>62.8</v>
          </cell>
          <cell r="N48">
            <v>62.5</v>
          </cell>
          <cell r="O48">
            <v>63.6</v>
          </cell>
        </row>
        <row r="50">
          <cell r="A50">
            <v>906</v>
          </cell>
          <cell r="B50">
            <v>1</v>
          </cell>
          <cell r="C50">
            <v>13.209</v>
          </cell>
          <cell r="D50">
            <v>57.3</v>
          </cell>
          <cell r="E50">
            <v>57.2</v>
          </cell>
          <cell r="F50">
            <v>55.6</v>
          </cell>
          <cell r="G50">
            <v>55.1</v>
          </cell>
          <cell r="H50">
            <v>59.5</v>
          </cell>
          <cell r="I50">
            <v>57.5</v>
          </cell>
          <cell r="J50">
            <v>57.6</v>
          </cell>
          <cell r="K50">
            <v>56.7</v>
          </cell>
          <cell r="L50">
            <v>57.2</v>
          </cell>
          <cell r="M50">
            <v>56.7</v>
          </cell>
          <cell r="N50">
            <v>59.5</v>
          </cell>
          <cell r="O50">
            <v>50.7</v>
          </cell>
        </row>
        <row r="51">
          <cell r="A51">
            <v>906</v>
          </cell>
          <cell r="B51">
            <v>2</v>
          </cell>
          <cell r="C51">
            <v>13.214</v>
          </cell>
          <cell r="D51">
            <v>40.5</v>
          </cell>
          <cell r="E51">
            <v>31.6</v>
          </cell>
          <cell r="F51">
            <v>30.1</v>
          </cell>
          <cell r="G51">
            <v>29.2</v>
          </cell>
          <cell r="H51">
            <v>31.8</v>
          </cell>
          <cell r="I51">
            <v>29.5</v>
          </cell>
          <cell r="J51">
            <v>30.5</v>
          </cell>
          <cell r="K51">
            <v>30.6</v>
          </cell>
          <cell r="L51">
            <v>30</v>
          </cell>
          <cell r="M51">
            <v>39.4</v>
          </cell>
          <cell r="N51">
            <v>36.700000000000003</v>
          </cell>
          <cell r="O51">
            <v>31.3</v>
          </cell>
        </row>
        <row r="52">
          <cell r="A52">
            <v>905</v>
          </cell>
          <cell r="B52">
            <v>1</v>
          </cell>
          <cell r="C52">
            <v>13.226000000000001</v>
          </cell>
          <cell r="D52">
            <v>33.799999999999997</v>
          </cell>
          <cell r="E52">
            <v>34.700000000000003</v>
          </cell>
          <cell r="F52">
            <v>34.4</v>
          </cell>
          <cell r="G52">
            <v>33.6</v>
          </cell>
          <cell r="H52">
            <v>33.799999999999997</v>
          </cell>
          <cell r="I52">
            <v>34</v>
          </cell>
          <cell r="J52">
            <v>34.1</v>
          </cell>
          <cell r="K52">
            <v>34</v>
          </cell>
          <cell r="L52">
            <v>33.700000000000003</v>
          </cell>
          <cell r="M52">
            <v>33.5</v>
          </cell>
          <cell r="N52">
            <v>33.200000000000003</v>
          </cell>
          <cell r="O52">
            <v>32.700000000000003</v>
          </cell>
        </row>
        <row r="54">
          <cell r="A54">
            <v>904</v>
          </cell>
          <cell r="B54">
            <v>1</v>
          </cell>
          <cell r="C54">
            <v>13.233000000000001</v>
          </cell>
          <cell r="D54">
            <v>57.8</v>
          </cell>
          <cell r="E54">
            <v>54.4</v>
          </cell>
          <cell r="F54">
            <v>55.3</v>
          </cell>
          <cell r="G54">
            <v>50.5</v>
          </cell>
          <cell r="H54">
            <v>57.2</v>
          </cell>
          <cell r="I54">
            <v>56.8</v>
          </cell>
          <cell r="J54">
            <v>56.6</v>
          </cell>
          <cell r="K54">
            <v>55.3</v>
          </cell>
          <cell r="L54">
            <v>55.9</v>
          </cell>
          <cell r="M54">
            <v>56.6</v>
          </cell>
          <cell r="N54">
            <v>57.7</v>
          </cell>
          <cell r="O54">
            <v>57</v>
          </cell>
        </row>
        <row r="55">
          <cell r="A55">
            <v>904</v>
          </cell>
          <cell r="B55">
            <v>2</v>
          </cell>
          <cell r="C55">
            <v>13.238</v>
          </cell>
          <cell r="D55">
            <v>29.8</v>
          </cell>
          <cell r="E55">
            <v>28.9</v>
          </cell>
          <cell r="F55">
            <v>32.5</v>
          </cell>
          <cell r="G55">
            <v>30.1</v>
          </cell>
          <cell r="H55">
            <v>31.5</v>
          </cell>
          <cell r="I55">
            <v>32.700000000000003</v>
          </cell>
          <cell r="J55">
            <v>31.9</v>
          </cell>
          <cell r="K55">
            <v>32</v>
          </cell>
          <cell r="L55">
            <v>36.1</v>
          </cell>
          <cell r="M55">
            <v>34.299999999999997</v>
          </cell>
          <cell r="N55">
            <v>31.8</v>
          </cell>
          <cell r="O55">
            <v>31</v>
          </cell>
        </row>
        <row r="56">
          <cell r="A56">
            <v>903</v>
          </cell>
          <cell r="B56">
            <v>1</v>
          </cell>
          <cell r="C56">
            <v>13.25</v>
          </cell>
          <cell r="D56">
            <v>62.7</v>
          </cell>
          <cell r="E56">
            <v>62.7</v>
          </cell>
          <cell r="F56">
            <v>62.6</v>
          </cell>
          <cell r="G56">
            <v>62.4</v>
          </cell>
          <cell r="H56">
            <v>62.7</v>
          </cell>
          <cell r="I56">
            <v>62.6</v>
          </cell>
          <cell r="J56">
            <v>62.6</v>
          </cell>
          <cell r="K56">
            <v>62.4</v>
          </cell>
          <cell r="L56">
            <v>62.2</v>
          </cell>
          <cell r="M56">
            <v>62.4</v>
          </cell>
          <cell r="N56">
            <v>61.7</v>
          </cell>
          <cell r="O56">
            <v>61.9</v>
          </cell>
        </row>
        <row r="58">
          <cell r="A58">
            <v>902</v>
          </cell>
          <cell r="B58">
            <v>1</v>
          </cell>
          <cell r="C58">
            <v>13.257</v>
          </cell>
          <cell r="D58">
            <v>57.2</v>
          </cell>
          <cell r="E58">
            <v>57.4</v>
          </cell>
          <cell r="F58">
            <v>56.6</v>
          </cell>
          <cell r="G58">
            <v>47.7</v>
          </cell>
          <cell r="H58">
            <v>56.4</v>
          </cell>
          <cell r="I58">
            <v>55.3</v>
          </cell>
          <cell r="J58">
            <v>58</v>
          </cell>
          <cell r="K58">
            <v>54.6</v>
          </cell>
          <cell r="L58">
            <v>55.3</v>
          </cell>
          <cell r="M58">
            <v>55.3</v>
          </cell>
          <cell r="N58">
            <v>55.7</v>
          </cell>
          <cell r="O58">
            <v>54.7</v>
          </cell>
        </row>
        <row r="59">
          <cell r="A59">
            <v>902</v>
          </cell>
          <cell r="B59">
            <v>2</v>
          </cell>
          <cell r="C59">
            <v>13.262</v>
          </cell>
          <cell r="D59">
            <v>36.799999999999997</v>
          </cell>
          <cell r="E59">
            <v>32.299999999999997</v>
          </cell>
          <cell r="F59">
            <v>32</v>
          </cell>
          <cell r="G59">
            <v>31.4</v>
          </cell>
          <cell r="H59">
            <v>29.1</v>
          </cell>
          <cell r="I59">
            <v>31.5</v>
          </cell>
          <cell r="J59">
            <v>31.6</v>
          </cell>
          <cell r="K59">
            <v>29.6</v>
          </cell>
          <cell r="L59">
            <v>30.9</v>
          </cell>
          <cell r="M59">
            <v>29.6</v>
          </cell>
          <cell r="N59">
            <v>31.9</v>
          </cell>
          <cell r="O59">
            <v>30.2</v>
          </cell>
        </row>
        <row r="60">
          <cell r="A60">
            <v>901</v>
          </cell>
          <cell r="B60">
            <v>1</v>
          </cell>
          <cell r="C60">
            <v>13.275</v>
          </cell>
          <cell r="D60">
            <v>32.200000000000003</v>
          </cell>
          <cell r="E60">
            <v>32.1</v>
          </cell>
          <cell r="F60">
            <v>33.799999999999997</v>
          </cell>
          <cell r="G60">
            <v>32.9</v>
          </cell>
          <cell r="H60">
            <v>31.9</v>
          </cell>
          <cell r="I60">
            <v>33.700000000000003</v>
          </cell>
          <cell r="J60">
            <v>31.3</v>
          </cell>
          <cell r="K60">
            <v>31.2</v>
          </cell>
          <cell r="L60">
            <v>31.1</v>
          </cell>
          <cell r="M60">
            <v>30.9</v>
          </cell>
          <cell r="N60">
            <v>30.8</v>
          </cell>
          <cell r="O60">
            <v>33.4</v>
          </cell>
        </row>
        <row r="62">
          <cell r="A62">
            <v>301</v>
          </cell>
          <cell r="B62">
            <v>1</v>
          </cell>
          <cell r="C62">
            <v>13.287000000000001</v>
          </cell>
          <cell r="D62">
            <v>55.8</v>
          </cell>
          <cell r="E62">
            <v>56</v>
          </cell>
          <cell r="F62">
            <v>55.8</v>
          </cell>
          <cell r="G62">
            <v>51.2</v>
          </cell>
          <cell r="H62">
            <v>55.2</v>
          </cell>
          <cell r="I62">
            <v>48.6</v>
          </cell>
          <cell r="J62">
            <v>56.4</v>
          </cell>
          <cell r="K62">
            <v>48.6</v>
          </cell>
          <cell r="L62">
            <v>57.8</v>
          </cell>
          <cell r="M62">
            <v>49.5</v>
          </cell>
          <cell r="N62">
            <v>57.6</v>
          </cell>
          <cell r="O62">
            <v>45.1</v>
          </cell>
        </row>
        <row r="63">
          <cell r="A63">
            <v>301</v>
          </cell>
          <cell r="B63">
            <v>2</v>
          </cell>
          <cell r="C63">
            <v>13.292</v>
          </cell>
          <cell r="D63">
            <v>32.299999999999997</v>
          </cell>
          <cell r="E63">
            <v>29.2</v>
          </cell>
          <cell r="F63">
            <v>31.2</v>
          </cell>
          <cell r="G63">
            <v>31.6</v>
          </cell>
          <cell r="H63">
            <v>29</v>
          </cell>
          <cell r="I63">
            <v>29.6</v>
          </cell>
          <cell r="J63">
            <v>31.1</v>
          </cell>
          <cell r="K63">
            <v>30.3</v>
          </cell>
          <cell r="L63">
            <v>29.4</v>
          </cell>
          <cell r="M63">
            <v>29</v>
          </cell>
          <cell r="N63">
            <v>29.7</v>
          </cell>
          <cell r="O63">
            <v>29.4</v>
          </cell>
        </row>
        <row r="64">
          <cell r="A64">
            <v>302</v>
          </cell>
          <cell r="B64">
            <v>1</v>
          </cell>
          <cell r="C64">
            <v>13.305</v>
          </cell>
          <cell r="D64">
            <v>57.1</v>
          </cell>
          <cell r="E64">
            <v>54.8</v>
          </cell>
          <cell r="F64">
            <v>57.5</v>
          </cell>
          <cell r="G64">
            <v>54.1</v>
          </cell>
          <cell r="H64">
            <v>56.1</v>
          </cell>
          <cell r="I64">
            <v>56</v>
          </cell>
          <cell r="J64">
            <v>57.8</v>
          </cell>
          <cell r="K64">
            <v>56.5</v>
          </cell>
          <cell r="L64">
            <v>55.5</v>
          </cell>
          <cell r="M64">
            <v>56.7</v>
          </cell>
          <cell r="N64">
            <v>56.8</v>
          </cell>
          <cell r="O64">
            <v>54.1</v>
          </cell>
        </row>
        <row r="65">
          <cell r="A65">
            <v>302</v>
          </cell>
          <cell r="B65">
            <v>2</v>
          </cell>
          <cell r="C65">
            <v>13.311</v>
          </cell>
          <cell r="D65">
            <v>31.2</v>
          </cell>
          <cell r="E65">
            <v>28.6</v>
          </cell>
          <cell r="F65">
            <v>30.1</v>
          </cell>
          <cell r="G65">
            <v>29.9</v>
          </cell>
          <cell r="H65">
            <v>32.1</v>
          </cell>
          <cell r="I65">
            <v>30.1</v>
          </cell>
          <cell r="J65">
            <v>28.1</v>
          </cell>
          <cell r="K65">
            <v>28.6</v>
          </cell>
          <cell r="L65">
            <v>29.7</v>
          </cell>
          <cell r="M65">
            <v>31.3</v>
          </cell>
          <cell r="N65">
            <v>30.9</v>
          </cell>
          <cell r="O65">
            <v>30.4</v>
          </cell>
        </row>
        <row r="66">
          <cell r="A66">
            <v>303</v>
          </cell>
          <cell r="B66">
            <v>1</v>
          </cell>
          <cell r="C66">
            <v>13.321999999999999</v>
          </cell>
          <cell r="D66">
            <v>56.6</v>
          </cell>
          <cell r="E66">
            <v>55.6</v>
          </cell>
          <cell r="F66">
            <v>55.8</v>
          </cell>
          <cell r="G66">
            <v>53</v>
          </cell>
          <cell r="H66">
            <v>55.9</v>
          </cell>
          <cell r="I66">
            <v>51.1</v>
          </cell>
          <cell r="J66">
            <v>56.3</v>
          </cell>
          <cell r="K66">
            <v>49.7</v>
          </cell>
          <cell r="L66">
            <v>56.3</v>
          </cell>
          <cell r="M66">
            <v>56.2</v>
          </cell>
          <cell r="N66">
            <v>60.7</v>
          </cell>
          <cell r="O66">
            <v>49.3</v>
          </cell>
        </row>
        <row r="67">
          <cell r="A67">
            <v>303</v>
          </cell>
          <cell r="B67">
            <v>2</v>
          </cell>
          <cell r="C67">
            <v>13.327999999999999</v>
          </cell>
          <cell r="D67">
            <v>29.9</v>
          </cell>
          <cell r="E67">
            <v>28.3</v>
          </cell>
          <cell r="F67">
            <v>28</v>
          </cell>
          <cell r="G67">
            <v>29.3</v>
          </cell>
          <cell r="H67">
            <v>29.1</v>
          </cell>
          <cell r="I67">
            <v>28.9</v>
          </cell>
          <cell r="J67">
            <v>31.1</v>
          </cell>
          <cell r="K67">
            <v>37.1</v>
          </cell>
          <cell r="L67">
            <v>31.2</v>
          </cell>
          <cell r="M67">
            <v>34.299999999999997</v>
          </cell>
          <cell r="N67">
            <v>31.4</v>
          </cell>
          <cell r="O67">
            <v>27.5</v>
          </cell>
        </row>
        <row r="68">
          <cell r="A68">
            <v>304</v>
          </cell>
          <cell r="B68">
            <v>1</v>
          </cell>
          <cell r="C68">
            <v>13.342000000000001</v>
          </cell>
          <cell r="D68">
            <v>55.5</v>
          </cell>
          <cell r="E68">
            <v>55.7</v>
          </cell>
          <cell r="F68">
            <v>56.2</v>
          </cell>
          <cell r="G68">
            <v>56.7</v>
          </cell>
          <cell r="H68">
            <v>57.1</v>
          </cell>
          <cell r="I68">
            <v>56.8</v>
          </cell>
          <cell r="J68">
            <v>57.9</v>
          </cell>
          <cell r="K68">
            <v>56.2</v>
          </cell>
          <cell r="L68">
            <v>55.8</v>
          </cell>
          <cell r="M68">
            <v>56</v>
          </cell>
          <cell r="N68">
            <v>56.2</v>
          </cell>
          <cell r="O68">
            <v>56.9</v>
          </cell>
        </row>
        <row r="69">
          <cell r="A69">
            <v>304</v>
          </cell>
          <cell r="B69">
            <v>2</v>
          </cell>
          <cell r="C69">
            <v>13.347</v>
          </cell>
          <cell r="D69">
            <v>36</v>
          </cell>
          <cell r="E69">
            <v>36</v>
          </cell>
          <cell r="F69">
            <v>29.7</v>
          </cell>
          <cell r="G69">
            <v>35</v>
          </cell>
          <cell r="H69">
            <v>32.299999999999997</v>
          </cell>
          <cell r="I69">
            <v>34.200000000000003</v>
          </cell>
          <cell r="J69">
            <v>30.3</v>
          </cell>
          <cell r="K69">
            <v>31.7</v>
          </cell>
          <cell r="L69">
            <v>30</v>
          </cell>
          <cell r="M69">
            <v>32.6</v>
          </cell>
          <cell r="N69">
            <v>37.4</v>
          </cell>
          <cell r="O69">
            <v>32.1</v>
          </cell>
        </row>
        <row r="70">
          <cell r="A70">
            <v>305</v>
          </cell>
          <cell r="B70">
            <v>1</v>
          </cell>
          <cell r="C70">
            <v>13.363</v>
          </cell>
          <cell r="D70">
            <v>37.4</v>
          </cell>
          <cell r="E70">
            <v>37.700000000000003</v>
          </cell>
          <cell r="F70">
            <v>39</v>
          </cell>
          <cell r="G70">
            <v>42.6</v>
          </cell>
          <cell r="H70">
            <v>35.299999999999997</v>
          </cell>
          <cell r="I70">
            <v>41.1</v>
          </cell>
          <cell r="J70">
            <v>38.700000000000003</v>
          </cell>
          <cell r="K70">
            <v>41.3</v>
          </cell>
          <cell r="L70">
            <v>35.200000000000003</v>
          </cell>
          <cell r="M70">
            <v>39.299999999999997</v>
          </cell>
          <cell r="N70">
            <v>34.9</v>
          </cell>
          <cell r="O70">
            <v>36.799999999999997</v>
          </cell>
        </row>
        <row r="71">
          <cell r="A71">
            <v>305</v>
          </cell>
          <cell r="B71">
            <v>2</v>
          </cell>
          <cell r="C71">
            <v>13.367000000000001</v>
          </cell>
          <cell r="D71">
            <v>30.7</v>
          </cell>
          <cell r="E71">
            <v>28.6</v>
          </cell>
          <cell r="F71">
            <v>27.6</v>
          </cell>
          <cell r="G71">
            <v>30.2</v>
          </cell>
          <cell r="H71">
            <v>30.7</v>
          </cell>
          <cell r="I71">
            <v>29.5</v>
          </cell>
          <cell r="J71">
            <v>32.9</v>
          </cell>
          <cell r="K71">
            <v>26.8</v>
          </cell>
          <cell r="L71">
            <v>27.9</v>
          </cell>
          <cell r="M71">
            <v>30.6</v>
          </cell>
          <cell r="N71">
            <v>26.7</v>
          </cell>
          <cell r="O71">
            <v>29.8</v>
          </cell>
        </row>
        <row r="72">
          <cell r="A72">
            <v>306</v>
          </cell>
          <cell r="B72">
            <v>1</v>
          </cell>
          <cell r="C72">
            <v>13.38</v>
          </cell>
          <cell r="D72">
            <v>56.2</v>
          </cell>
          <cell r="E72">
            <v>56.3</v>
          </cell>
          <cell r="F72">
            <v>51.5</v>
          </cell>
          <cell r="G72">
            <v>55.3</v>
          </cell>
          <cell r="H72">
            <v>56.5</v>
          </cell>
          <cell r="I72">
            <v>56.3</v>
          </cell>
          <cell r="J72">
            <v>54.9</v>
          </cell>
          <cell r="K72">
            <v>57</v>
          </cell>
          <cell r="L72">
            <v>54.1</v>
          </cell>
          <cell r="M72">
            <v>54.6</v>
          </cell>
          <cell r="N72">
            <v>55.3</v>
          </cell>
          <cell r="O72">
            <v>50.6</v>
          </cell>
        </row>
        <row r="73">
          <cell r="A73">
            <v>306</v>
          </cell>
          <cell r="B73">
            <v>2</v>
          </cell>
          <cell r="C73">
            <v>13.385999999999999</v>
          </cell>
          <cell r="D73">
            <v>33.700000000000003</v>
          </cell>
          <cell r="E73">
            <v>32.5</v>
          </cell>
          <cell r="F73">
            <v>29.9</v>
          </cell>
          <cell r="G73">
            <v>34</v>
          </cell>
          <cell r="H73">
            <v>28.3</v>
          </cell>
          <cell r="I73">
            <v>28.9</v>
          </cell>
          <cell r="J73">
            <v>29.2</v>
          </cell>
          <cell r="K73">
            <v>29.8</v>
          </cell>
          <cell r="L73">
            <v>30.8</v>
          </cell>
          <cell r="M73">
            <v>29.1</v>
          </cell>
          <cell r="N73">
            <v>27.6</v>
          </cell>
          <cell r="O73">
            <v>33.5</v>
          </cell>
        </row>
        <row r="74">
          <cell r="A74">
            <v>307</v>
          </cell>
          <cell r="B74">
            <v>1</v>
          </cell>
          <cell r="C74">
            <v>13.398</v>
          </cell>
          <cell r="D74">
            <v>57.4</v>
          </cell>
          <cell r="E74">
            <v>55.3</v>
          </cell>
          <cell r="F74">
            <v>55.7</v>
          </cell>
          <cell r="G74">
            <v>52.6</v>
          </cell>
          <cell r="H74">
            <v>57.1</v>
          </cell>
          <cell r="I74">
            <v>54.3</v>
          </cell>
          <cell r="J74">
            <v>57.2</v>
          </cell>
          <cell r="K74">
            <v>52.2</v>
          </cell>
          <cell r="L74">
            <v>56.6</v>
          </cell>
          <cell r="M74">
            <v>57</v>
          </cell>
          <cell r="N74">
            <v>57</v>
          </cell>
          <cell r="O74">
            <v>52.6</v>
          </cell>
        </row>
        <row r="75">
          <cell r="A75">
            <v>307</v>
          </cell>
          <cell r="B75">
            <v>2</v>
          </cell>
          <cell r="C75">
            <v>13.407</v>
          </cell>
          <cell r="D75">
            <v>30.9</v>
          </cell>
          <cell r="E75">
            <v>30.6</v>
          </cell>
          <cell r="F75">
            <v>29.8</v>
          </cell>
          <cell r="G75">
            <v>30.8</v>
          </cell>
          <cell r="H75">
            <v>30.3</v>
          </cell>
          <cell r="I75">
            <v>29.7</v>
          </cell>
          <cell r="J75">
            <v>29.3</v>
          </cell>
          <cell r="K75">
            <v>30.8</v>
          </cell>
          <cell r="L75">
            <v>32.799999999999997</v>
          </cell>
          <cell r="M75">
            <v>30.2</v>
          </cell>
          <cell r="N75">
            <v>29.6</v>
          </cell>
          <cell r="O75">
            <v>30.6</v>
          </cell>
        </row>
        <row r="76">
          <cell r="A76">
            <v>308</v>
          </cell>
          <cell r="B76">
            <v>1</v>
          </cell>
          <cell r="C76">
            <v>13.42</v>
          </cell>
          <cell r="D76">
            <v>58.7</v>
          </cell>
          <cell r="E76">
            <v>58.6</v>
          </cell>
          <cell r="F76">
            <v>45.7</v>
          </cell>
          <cell r="G76">
            <v>56.9</v>
          </cell>
          <cell r="H76">
            <v>49.8</v>
          </cell>
          <cell r="I76">
            <v>56</v>
          </cell>
          <cell r="J76">
            <v>50.2</v>
          </cell>
          <cell r="K76">
            <v>55.3</v>
          </cell>
          <cell r="L76">
            <v>54.1</v>
          </cell>
          <cell r="M76">
            <v>56.1</v>
          </cell>
          <cell r="N76">
            <v>49.6</v>
          </cell>
          <cell r="O76">
            <v>48.5</v>
          </cell>
        </row>
        <row r="77">
          <cell r="A77">
            <v>308</v>
          </cell>
          <cell r="B77">
            <v>2</v>
          </cell>
          <cell r="C77">
            <v>13.426</v>
          </cell>
          <cell r="D77">
            <v>36.700000000000003</v>
          </cell>
          <cell r="E77">
            <v>30.5</v>
          </cell>
          <cell r="F77">
            <v>30.6</v>
          </cell>
          <cell r="G77">
            <v>34.1</v>
          </cell>
          <cell r="H77">
            <v>31.8</v>
          </cell>
          <cell r="I77">
            <v>32.9</v>
          </cell>
          <cell r="J77">
            <v>36.4</v>
          </cell>
          <cell r="K77">
            <v>31.2</v>
          </cell>
          <cell r="L77">
            <v>33.5</v>
          </cell>
          <cell r="M77">
            <v>33.6</v>
          </cell>
          <cell r="N77">
            <v>32.5</v>
          </cell>
          <cell r="O77">
            <v>35.799999999999997</v>
          </cell>
        </row>
        <row r="78">
          <cell r="A78">
            <v>408</v>
          </cell>
          <cell r="B78">
            <v>1</v>
          </cell>
          <cell r="C78">
            <v>13.449</v>
          </cell>
          <cell r="D78">
            <v>56.5</v>
          </cell>
          <cell r="E78">
            <v>53.8</v>
          </cell>
          <cell r="F78">
            <v>55</v>
          </cell>
          <cell r="G78">
            <v>55.3</v>
          </cell>
          <cell r="H78">
            <v>57.2</v>
          </cell>
          <cell r="I78">
            <v>53.3</v>
          </cell>
          <cell r="J78">
            <v>55.4</v>
          </cell>
          <cell r="K78">
            <v>56.2</v>
          </cell>
          <cell r="L78">
            <v>55.3</v>
          </cell>
          <cell r="M78">
            <v>56.3</v>
          </cell>
          <cell r="N78">
            <v>55.2</v>
          </cell>
          <cell r="O78">
            <v>51</v>
          </cell>
        </row>
        <row r="79">
          <cell r="A79">
            <v>408</v>
          </cell>
          <cell r="B79">
            <v>2</v>
          </cell>
          <cell r="C79">
            <v>13.455</v>
          </cell>
          <cell r="D79">
            <v>29.1</v>
          </cell>
          <cell r="E79">
            <v>33</v>
          </cell>
          <cell r="F79">
            <v>30.3</v>
          </cell>
          <cell r="G79">
            <v>29.9</v>
          </cell>
          <cell r="H79">
            <v>31.1</v>
          </cell>
          <cell r="I79">
            <v>31.1</v>
          </cell>
          <cell r="J79">
            <v>31.1</v>
          </cell>
          <cell r="K79">
            <v>31.1</v>
          </cell>
          <cell r="L79">
            <v>30.2</v>
          </cell>
          <cell r="M79">
            <v>45.5</v>
          </cell>
          <cell r="N79">
            <v>33</v>
          </cell>
          <cell r="O79">
            <v>27.1</v>
          </cell>
        </row>
        <row r="80">
          <cell r="A80">
            <v>407</v>
          </cell>
          <cell r="B80">
            <v>1</v>
          </cell>
          <cell r="C80">
            <v>13.468999999999999</v>
          </cell>
          <cell r="D80">
            <v>55.6</v>
          </cell>
          <cell r="E80">
            <v>56.7</v>
          </cell>
          <cell r="F80">
            <v>56.1</v>
          </cell>
          <cell r="G80">
            <v>54.2</v>
          </cell>
          <cell r="H80">
            <v>55.1</v>
          </cell>
          <cell r="I80">
            <v>54.2</v>
          </cell>
          <cell r="J80">
            <v>56</v>
          </cell>
          <cell r="K80">
            <v>54.6</v>
          </cell>
          <cell r="L80">
            <v>55.6</v>
          </cell>
          <cell r="M80">
            <v>56.1</v>
          </cell>
          <cell r="N80">
            <v>56</v>
          </cell>
          <cell r="O80">
            <v>50.5</v>
          </cell>
        </row>
        <row r="81">
          <cell r="A81">
            <v>407</v>
          </cell>
          <cell r="B81">
            <v>2</v>
          </cell>
          <cell r="C81">
            <v>13.476000000000001</v>
          </cell>
          <cell r="D81">
            <v>37.200000000000003</v>
          </cell>
          <cell r="E81">
            <v>31.7</v>
          </cell>
          <cell r="F81">
            <v>39.1</v>
          </cell>
          <cell r="G81">
            <v>31.3</v>
          </cell>
          <cell r="H81">
            <v>30.3</v>
          </cell>
          <cell r="I81">
            <v>34</v>
          </cell>
          <cell r="J81">
            <v>32.700000000000003</v>
          </cell>
          <cell r="K81">
            <v>30.6</v>
          </cell>
          <cell r="L81">
            <v>33.200000000000003</v>
          </cell>
          <cell r="M81">
            <v>34.200000000000003</v>
          </cell>
          <cell r="N81">
            <v>33.9</v>
          </cell>
          <cell r="O81">
            <v>34.200000000000003</v>
          </cell>
        </row>
        <row r="82">
          <cell r="A82">
            <v>406</v>
          </cell>
          <cell r="B82">
            <v>1</v>
          </cell>
          <cell r="C82">
            <v>13.492000000000001</v>
          </cell>
          <cell r="D82">
            <v>56.3</v>
          </cell>
          <cell r="E82">
            <v>54.4</v>
          </cell>
          <cell r="F82">
            <v>55.4</v>
          </cell>
          <cell r="G82">
            <v>50.5</v>
          </cell>
          <cell r="H82">
            <v>56</v>
          </cell>
          <cell r="I82">
            <v>52.6</v>
          </cell>
          <cell r="J82">
            <v>55.8</v>
          </cell>
          <cell r="K82">
            <v>50.6</v>
          </cell>
          <cell r="L82">
            <v>54.5</v>
          </cell>
          <cell r="M82">
            <v>49.8</v>
          </cell>
          <cell r="N82">
            <v>54.7</v>
          </cell>
          <cell r="O82">
            <v>52.5</v>
          </cell>
        </row>
        <row r="83">
          <cell r="A83">
            <v>406</v>
          </cell>
          <cell r="B83">
            <v>2</v>
          </cell>
          <cell r="C83">
            <v>13.497999999999999</v>
          </cell>
          <cell r="D83">
            <v>29.7</v>
          </cell>
          <cell r="E83">
            <v>32.6</v>
          </cell>
          <cell r="F83">
            <v>33.700000000000003</v>
          </cell>
          <cell r="G83">
            <v>29.5</v>
          </cell>
          <cell r="H83">
            <v>32.1</v>
          </cell>
          <cell r="I83">
            <v>30.8</v>
          </cell>
          <cell r="J83">
            <v>31.7</v>
          </cell>
          <cell r="K83">
            <v>29.6</v>
          </cell>
          <cell r="L83">
            <v>29.7</v>
          </cell>
          <cell r="M83">
            <v>29.3</v>
          </cell>
          <cell r="N83">
            <v>33.299999999999997</v>
          </cell>
          <cell r="O83">
            <v>30.7</v>
          </cell>
        </row>
        <row r="84">
          <cell r="A84">
            <v>405</v>
          </cell>
          <cell r="B84">
            <v>1</v>
          </cell>
          <cell r="C84">
            <v>13.519</v>
          </cell>
          <cell r="D84">
            <v>54.9</v>
          </cell>
          <cell r="E84">
            <v>46.4</v>
          </cell>
          <cell r="F84">
            <v>54.5</v>
          </cell>
          <cell r="G84">
            <v>43.6</v>
          </cell>
          <cell r="H84">
            <v>55.6</v>
          </cell>
          <cell r="I84">
            <v>44.3</v>
          </cell>
          <cell r="J84">
            <v>54.6</v>
          </cell>
          <cell r="K84">
            <v>48</v>
          </cell>
          <cell r="L84">
            <v>54.7</v>
          </cell>
          <cell r="M84">
            <v>47.3</v>
          </cell>
          <cell r="N84">
            <v>54.5</v>
          </cell>
          <cell r="O84">
            <v>47.6</v>
          </cell>
        </row>
        <row r="85">
          <cell r="A85">
            <v>405</v>
          </cell>
          <cell r="B85">
            <v>2</v>
          </cell>
          <cell r="C85">
            <v>13.525</v>
          </cell>
          <cell r="D85">
            <v>31.3</v>
          </cell>
          <cell r="E85">
            <v>33.799999999999997</v>
          </cell>
          <cell r="F85">
            <v>31.7</v>
          </cell>
          <cell r="G85">
            <v>29.9</v>
          </cell>
          <cell r="H85">
            <v>34.700000000000003</v>
          </cell>
          <cell r="I85">
            <v>28.6</v>
          </cell>
          <cell r="J85">
            <v>30.5</v>
          </cell>
          <cell r="K85">
            <v>28.8</v>
          </cell>
          <cell r="L85">
            <v>34.700000000000003</v>
          </cell>
          <cell r="M85">
            <v>32.5</v>
          </cell>
          <cell r="N85">
            <v>34.200000000000003</v>
          </cell>
          <cell r="O85">
            <v>29.4</v>
          </cell>
        </row>
        <row r="86">
          <cell r="A86">
            <v>404</v>
          </cell>
          <cell r="B86">
            <v>1</v>
          </cell>
          <cell r="C86">
            <v>13.539</v>
          </cell>
          <cell r="D86">
            <v>55.9</v>
          </cell>
          <cell r="E86">
            <v>56.2</v>
          </cell>
          <cell r="F86">
            <v>55.9</v>
          </cell>
          <cell r="G86">
            <v>51.6</v>
          </cell>
          <cell r="H86">
            <v>54.6</v>
          </cell>
          <cell r="I86">
            <v>56.7</v>
          </cell>
          <cell r="J86">
            <v>55.6</v>
          </cell>
          <cell r="K86">
            <v>55.6</v>
          </cell>
          <cell r="L86">
            <v>50.3</v>
          </cell>
          <cell r="M86">
            <v>56.5</v>
          </cell>
          <cell r="N86">
            <v>54.5</v>
          </cell>
          <cell r="O86">
            <v>55.5</v>
          </cell>
        </row>
        <row r="87">
          <cell r="A87">
            <v>404</v>
          </cell>
          <cell r="B87">
            <v>2</v>
          </cell>
          <cell r="C87">
            <v>13.545</v>
          </cell>
          <cell r="D87">
            <v>34.799999999999997</v>
          </cell>
          <cell r="E87">
            <v>35.1</v>
          </cell>
          <cell r="F87">
            <v>36.200000000000003</v>
          </cell>
          <cell r="G87">
            <v>32.799999999999997</v>
          </cell>
          <cell r="H87">
            <v>32.6</v>
          </cell>
          <cell r="I87">
            <v>32.9</v>
          </cell>
          <cell r="J87">
            <v>32.1</v>
          </cell>
          <cell r="K87">
            <v>29.9</v>
          </cell>
          <cell r="L87">
            <v>34.299999999999997</v>
          </cell>
          <cell r="M87">
            <v>35.4</v>
          </cell>
          <cell r="N87">
            <v>32.9</v>
          </cell>
          <cell r="O87">
            <v>31.4</v>
          </cell>
        </row>
        <row r="88">
          <cell r="A88">
            <v>403</v>
          </cell>
          <cell r="B88">
            <v>1</v>
          </cell>
          <cell r="C88">
            <v>13.561999999999999</v>
          </cell>
          <cell r="D88">
            <v>56.1</v>
          </cell>
          <cell r="E88">
            <v>47.9</v>
          </cell>
          <cell r="F88">
            <v>53.4</v>
          </cell>
          <cell r="G88">
            <v>52.2</v>
          </cell>
          <cell r="H88">
            <v>50.9</v>
          </cell>
          <cell r="I88">
            <v>53.2</v>
          </cell>
          <cell r="J88">
            <v>54.6</v>
          </cell>
          <cell r="K88">
            <v>55</v>
          </cell>
          <cell r="L88">
            <v>54.4</v>
          </cell>
          <cell r="M88">
            <v>52.2</v>
          </cell>
          <cell r="N88">
            <v>54.1</v>
          </cell>
          <cell r="O88">
            <v>47.8</v>
          </cell>
        </row>
        <row r="89">
          <cell r="A89">
            <v>403</v>
          </cell>
          <cell r="B89">
            <v>2</v>
          </cell>
          <cell r="C89">
            <v>13.567</v>
          </cell>
          <cell r="D89">
            <v>33.9</v>
          </cell>
          <cell r="E89">
            <v>37.1</v>
          </cell>
          <cell r="F89">
            <v>31.9</v>
          </cell>
          <cell r="G89">
            <v>29.8</v>
          </cell>
          <cell r="H89">
            <v>32.9</v>
          </cell>
          <cell r="I89">
            <v>28.3</v>
          </cell>
          <cell r="J89">
            <v>30</v>
          </cell>
          <cell r="K89">
            <v>31</v>
          </cell>
          <cell r="L89">
            <v>29.9</v>
          </cell>
          <cell r="M89">
            <v>31.6</v>
          </cell>
          <cell r="N89">
            <v>30.6</v>
          </cell>
          <cell r="O89">
            <v>29.9</v>
          </cell>
        </row>
        <row r="90">
          <cell r="A90">
            <v>402</v>
          </cell>
          <cell r="B90">
            <v>1</v>
          </cell>
          <cell r="C90">
            <v>13.582000000000001</v>
          </cell>
          <cell r="D90">
            <v>56.7</v>
          </cell>
          <cell r="E90">
            <v>54.3</v>
          </cell>
          <cell r="F90">
            <v>55.7</v>
          </cell>
          <cell r="G90">
            <v>56.5</v>
          </cell>
          <cell r="H90">
            <v>54.5</v>
          </cell>
          <cell r="I90">
            <v>55.6</v>
          </cell>
          <cell r="J90">
            <v>54.7</v>
          </cell>
          <cell r="K90">
            <v>56.3</v>
          </cell>
          <cell r="L90">
            <v>55.2</v>
          </cell>
          <cell r="M90">
            <v>55.1</v>
          </cell>
          <cell r="N90">
            <v>52.4</v>
          </cell>
          <cell r="O90">
            <v>55</v>
          </cell>
        </row>
        <row r="91">
          <cell r="A91">
            <v>402</v>
          </cell>
          <cell r="B91">
            <v>2</v>
          </cell>
          <cell r="C91">
            <v>13.589</v>
          </cell>
          <cell r="D91">
            <v>34.9</v>
          </cell>
          <cell r="E91">
            <v>31.9</v>
          </cell>
          <cell r="F91">
            <v>31.1</v>
          </cell>
          <cell r="G91">
            <v>38.200000000000003</v>
          </cell>
          <cell r="H91">
            <v>31.7</v>
          </cell>
          <cell r="I91">
            <v>30.5</v>
          </cell>
          <cell r="J91">
            <v>31.7</v>
          </cell>
          <cell r="K91">
            <v>32.299999999999997</v>
          </cell>
          <cell r="L91">
            <v>29.9</v>
          </cell>
          <cell r="M91">
            <v>28.6</v>
          </cell>
          <cell r="N91">
            <v>30.8</v>
          </cell>
          <cell r="O91">
            <v>34.5</v>
          </cell>
        </row>
        <row r="92">
          <cell r="A92">
            <v>401</v>
          </cell>
          <cell r="B92">
            <v>1</v>
          </cell>
          <cell r="C92">
            <v>13.605</v>
          </cell>
          <cell r="D92">
            <v>53.9</v>
          </cell>
          <cell r="E92">
            <v>54.1</v>
          </cell>
          <cell r="F92">
            <v>54.2</v>
          </cell>
          <cell r="G92">
            <v>54.6</v>
          </cell>
          <cell r="H92">
            <v>53.6</v>
          </cell>
          <cell r="I92">
            <v>53.4</v>
          </cell>
          <cell r="J92">
            <v>54.6</v>
          </cell>
          <cell r="K92">
            <v>54.4</v>
          </cell>
          <cell r="L92">
            <v>54.3</v>
          </cell>
          <cell r="M92">
            <v>54.3</v>
          </cell>
          <cell r="N92">
            <v>53.6</v>
          </cell>
          <cell r="O92">
            <v>54.3</v>
          </cell>
        </row>
        <row r="93">
          <cell r="A93">
            <v>401</v>
          </cell>
          <cell r="B93">
            <v>2</v>
          </cell>
          <cell r="C93">
            <v>13.613</v>
          </cell>
          <cell r="D93">
            <v>32.299999999999997</v>
          </cell>
          <cell r="E93">
            <v>31.7</v>
          </cell>
          <cell r="F93">
            <v>32.4</v>
          </cell>
          <cell r="G93">
            <v>30.3</v>
          </cell>
          <cell r="H93">
            <v>32.799999999999997</v>
          </cell>
          <cell r="I93">
            <v>30.8</v>
          </cell>
          <cell r="J93">
            <v>31.1</v>
          </cell>
          <cell r="K93">
            <v>30.6</v>
          </cell>
          <cell r="L93">
            <v>31.6</v>
          </cell>
          <cell r="M93">
            <v>29.6</v>
          </cell>
          <cell r="N93">
            <v>30.6</v>
          </cell>
          <cell r="O93">
            <v>30.6</v>
          </cell>
        </row>
      </sheetData>
      <sheetData sheetId="2">
        <row r="7">
          <cell r="C7">
            <v>157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37.5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'IA156.03R'</v>
          </cell>
        </row>
        <row r="14">
          <cell r="A14">
            <v>108</v>
          </cell>
          <cell r="B14">
            <v>1</v>
          </cell>
          <cell r="C14">
            <v>13.11</v>
          </cell>
          <cell r="D14">
            <v>57.4</v>
          </cell>
          <cell r="E14">
            <v>57.4</v>
          </cell>
          <cell r="F14">
            <v>54.8</v>
          </cell>
          <cell r="G14">
            <v>55.8</v>
          </cell>
          <cell r="H14">
            <v>59</v>
          </cell>
          <cell r="I14">
            <v>58.9</v>
          </cell>
          <cell r="J14">
            <v>58.2</v>
          </cell>
          <cell r="K14">
            <v>57.2</v>
          </cell>
          <cell r="L14">
            <v>55</v>
          </cell>
          <cell r="M14">
            <v>55.9</v>
          </cell>
          <cell r="N14">
            <v>56.8</v>
          </cell>
          <cell r="O14">
            <v>54.2</v>
          </cell>
        </row>
        <row r="15">
          <cell r="A15">
            <v>108</v>
          </cell>
          <cell r="B15">
            <v>2</v>
          </cell>
          <cell r="C15">
            <v>13.114000000000001</v>
          </cell>
          <cell r="D15">
            <v>29.6</v>
          </cell>
          <cell r="E15">
            <v>29.9</v>
          </cell>
          <cell r="F15">
            <v>29.4</v>
          </cell>
          <cell r="G15">
            <v>28.5</v>
          </cell>
          <cell r="H15">
            <v>29.7</v>
          </cell>
          <cell r="I15">
            <v>27.7</v>
          </cell>
          <cell r="J15">
            <v>32.700000000000003</v>
          </cell>
          <cell r="K15">
            <v>30</v>
          </cell>
          <cell r="L15">
            <v>31.7</v>
          </cell>
          <cell r="M15">
            <v>28.4</v>
          </cell>
          <cell r="N15">
            <v>31.2</v>
          </cell>
          <cell r="O15">
            <v>31</v>
          </cell>
        </row>
        <row r="16">
          <cell r="A16">
            <v>107</v>
          </cell>
          <cell r="B16">
            <v>1</v>
          </cell>
          <cell r="C16">
            <v>13.127000000000001</v>
          </cell>
          <cell r="D16">
            <v>57.7</v>
          </cell>
          <cell r="E16">
            <v>57.8</v>
          </cell>
          <cell r="F16">
            <v>59.2</v>
          </cell>
          <cell r="G16">
            <v>57.7</v>
          </cell>
          <cell r="H16">
            <v>52.5</v>
          </cell>
          <cell r="I16">
            <v>57.6</v>
          </cell>
          <cell r="J16">
            <v>57.9</v>
          </cell>
          <cell r="K16">
            <v>61.4</v>
          </cell>
          <cell r="L16">
            <v>52.7</v>
          </cell>
          <cell r="M16">
            <v>60.1</v>
          </cell>
          <cell r="N16">
            <v>53.8</v>
          </cell>
          <cell r="O16">
            <v>59.2</v>
          </cell>
        </row>
        <row r="17">
          <cell r="A17">
            <v>107</v>
          </cell>
          <cell r="B17">
            <v>2</v>
          </cell>
          <cell r="C17">
            <v>13.132</v>
          </cell>
          <cell r="D17">
            <v>28.6</v>
          </cell>
          <cell r="E17">
            <v>30.7</v>
          </cell>
          <cell r="F17">
            <v>31</v>
          </cell>
          <cell r="G17">
            <v>32.200000000000003</v>
          </cell>
          <cell r="H17">
            <v>29.9</v>
          </cell>
          <cell r="I17">
            <v>30.6</v>
          </cell>
          <cell r="J17">
            <v>31</v>
          </cell>
          <cell r="K17">
            <v>29.6</v>
          </cell>
          <cell r="L17">
            <v>31.8</v>
          </cell>
          <cell r="M17">
            <v>31.6</v>
          </cell>
          <cell r="N17">
            <v>29.9</v>
          </cell>
          <cell r="O17">
            <v>30.5</v>
          </cell>
        </row>
        <row r="18">
          <cell r="A18">
            <v>106</v>
          </cell>
          <cell r="B18">
            <v>1</v>
          </cell>
          <cell r="C18">
            <v>13.144</v>
          </cell>
          <cell r="D18">
            <v>58.2</v>
          </cell>
          <cell r="E18">
            <v>57.9</v>
          </cell>
          <cell r="F18">
            <v>56.4</v>
          </cell>
          <cell r="G18">
            <v>58.9</v>
          </cell>
          <cell r="H18">
            <v>49.7</v>
          </cell>
          <cell r="I18">
            <v>57.9</v>
          </cell>
          <cell r="J18">
            <v>50</v>
          </cell>
          <cell r="K18">
            <v>59.7</v>
          </cell>
          <cell r="L18">
            <v>52.8</v>
          </cell>
          <cell r="M18">
            <v>55.8</v>
          </cell>
          <cell r="N18">
            <v>51.2</v>
          </cell>
          <cell r="O18">
            <v>57.8</v>
          </cell>
        </row>
        <row r="19">
          <cell r="A19">
            <v>106</v>
          </cell>
          <cell r="B19">
            <v>2</v>
          </cell>
          <cell r="C19">
            <v>13.148</v>
          </cell>
          <cell r="D19">
            <v>29</v>
          </cell>
          <cell r="E19">
            <v>30.7</v>
          </cell>
          <cell r="F19">
            <v>29.7</v>
          </cell>
          <cell r="G19">
            <v>32.700000000000003</v>
          </cell>
          <cell r="H19">
            <v>30.4</v>
          </cell>
          <cell r="I19">
            <v>28.8</v>
          </cell>
          <cell r="J19">
            <v>29.4</v>
          </cell>
          <cell r="K19">
            <v>29.5</v>
          </cell>
          <cell r="L19">
            <v>29.6</v>
          </cell>
          <cell r="M19">
            <v>30.8</v>
          </cell>
          <cell r="N19">
            <v>30.2</v>
          </cell>
          <cell r="O19">
            <v>29.5</v>
          </cell>
        </row>
        <row r="20">
          <cell r="A20">
            <v>105</v>
          </cell>
          <cell r="B20">
            <v>1</v>
          </cell>
          <cell r="C20">
            <v>13.161</v>
          </cell>
          <cell r="D20">
            <v>34.700000000000003</v>
          </cell>
          <cell r="E20">
            <v>34.5</v>
          </cell>
          <cell r="F20">
            <v>35</v>
          </cell>
          <cell r="G20">
            <v>34.299999999999997</v>
          </cell>
          <cell r="H20">
            <v>31.5</v>
          </cell>
          <cell r="I20">
            <v>33.700000000000003</v>
          </cell>
          <cell r="J20">
            <v>32.700000000000003</v>
          </cell>
          <cell r="K20">
            <v>35.700000000000003</v>
          </cell>
          <cell r="L20">
            <v>32.200000000000003</v>
          </cell>
          <cell r="M20">
            <v>35.1</v>
          </cell>
          <cell r="N20">
            <v>34.1</v>
          </cell>
          <cell r="O20">
            <v>34.799999999999997</v>
          </cell>
        </row>
        <row r="21">
          <cell r="A21">
            <v>105</v>
          </cell>
          <cell r="B21">
            <v>2</v>
          </cell>
          <cell r="C21">
            <v>13.164999999999999</v>
          </cell>
          <cell r="D21">
            <v>30.6</v>
          </cell>
          <cell r="E21">
            <v>27</v>
          </cell>
          <cell r="F21">
            <v>27.9</v>
          </cell>
          <cell r="G21">
            <v>26.8</v>
          </cell>
          <cell r="H21">
            <v>29.1</v>
          </cell>
          <cell r="I21">
            <v>28.3</v>
          </cell>
          <cell r="J21">
            <v>27.5</v>
          </cell>
          <cell r="K21">
            <v>29.9</v>
          </cell>
          <cell r="L21">
            <v>29.9</v>
          </cell>
          <cell r="M21">
            <v>28.6</v>
          </cell>
          <cell r="N21">
            <v>28.4</v>
          </cell>
          <cell r="O21">
            <v>28.7</v>
          </cell>
        </row>
        <row r="22">
          <cell r="A22">
            <v>104</v>
          </cell>
          <cell r="B22">
            <v>1</v>
          </cell>
          <cell r="C22">
            <v>13.176</v>
          </cell>
          <cell r="D22">
            <v>56.8</v>
          </cell>
          <cell r="E22">
            <v>56.4</v>
          </cell>
          <cell r="F22">
            <v>52.5</v>
          </cell>
          <cell r="G22">
            <v>57.7</v>
          </cell>
          <cell r="H22">
            <v>50</v>
          </cell>
          <cell r="I22">
            <v>58.6</v>
          </cell>
          <cell r="J22">
            <v>55.4</v>
          </cell>
          <cell r="K22">
            <v>58.2</v>
          </cell>
          <cell r="L22">
            <v>53</v>
          </cell>
          <cell r="M22">
            <v>57.1</v>
          </cell>
          <cell r="N22">
            <v>56.6</v>
          </cell>
          <cell r="O22">
            <v>57.1</v>
          </cell>
        </row>
        <row r="23">
          <cell r="A23">
            <v>104</v>
          </cell>
          <cell r="B23">
            <v>2</v>
          </cell>
          <cell r="C23">
            <v>13.180999999999999</v>
          </cell>
          <cell r="D23">
            <v>29.6</v>
          </cell>
          <cell r="E23">
            <v>28.3</v>
          </cell>
          <cell r="F23">
            <v>29.5</v>
          </cell>
          <cell r="G23">
            <v>28.9</v>
          </cell>
          <cell r="H23">
            <v>34.299999999999997</v>
          </cell>
          <cell r="I23">
            <v>27.9</v>
          </cell>
          <cell r="J23">
            <v>30.1</v>
          </cell>
          <cell r="K23">
            <v>29.8</v>
          </cell>
          <cell r="L23">
            <v>28</v>
          </cell>
          <cell r="M23">
            <v>28.7</v>
          </cell>
          <cell r="N23">
            <v>31.6</v>
          </cell>
          <cell r="O23">
            <v>30.4</v>
          </cell>
        </row>
        <row r="24">
          <cell r="A24">
            <v>103</v>
          </cell>
          <cell r="B24">
            <v>1</v>
          </cell>
          <cell r="C24">
            <v>13.193</v>
          </cell>
          <cell r="D24">
            <v>58.5</v>
          </cell>
          <cell r="E24">
            <v>51.7</v>
          </cell>
          <cell r="F24">
            <v>51.3</v>
          </cell>
          <cell r="G24">
            <v>55.5</v>
          </cell>
          <cell r="H24">
            <v>51.9</v>
          </cell>
          <cell r="I24">
            <v>54</v>
          </cell>
          <cell r="J24">
            <v>48</v>
          </cell>
          <cell r="K24">
            <v>57</v>
          </cell>
          <cell r="L24">
            <v>50.5</v>
          </cell>
          <cell r="M24">
            <v>56.1</v>
          </cell>
          <cell r="N24">
            <v>56.7</v>
          </cell>
          <cell r="O24">
            <v>50.2</v>
          </cell>
        </row>
        <row r="25">
          <cell r="A25">
            <v>103</v>
          </cell>
          <cell r="B25">
            <v>2</v>
          </cell>
          <cell r="C25">
            <v>13.196999999999999</v>
          </cell>
          <cell r="D25">
            <v>32.299999999999997</v>
          </cell>
          <cell r="E25">
            <v>31.8</v>
          </cell>
          <cell r="F25">
            <v>35.1</v>
          </cell>
          <cell r="G25">
            <v>33.1</v>
          </cell>
          <cell r="H25">
            <v>34.299999999999997</v>
          </cell>
          <cell r="I25">
            <v>31.7</v>
          </cell>
          <cell r="J25">
            <v>34.5</v>
          </cell>
          <cell r="K25">
            <v>30.9</v>
          </cell>
          <cell r="L25">
            <v>35.9</v>
          </cell>
          <cell r="M25">
            <v>35.799999999999997</v>
          </cell>
          <cell r="N25">
            <v>46</v>
          </cell>
          <cell r="O25">
            <v>28.6</v>
          </cell>
        </row>
        <row r="26">
          <cell r="A26">
            <v>102</v>
          </cell>
          <cell r="B26">
            <v>1</v>
          </cell>
          <cell r="C26">
            <v>13.208</v>
          </cell>
          <cell r="D26">
            <v>59.1</v>
          </cell>
          <cell r="E26">
            <v>57.1</v>
          </cell>
          <cell r="F26">
            <v>49.7</v>
          </cell>
          <cell r="G26">
            <v>57.9</v>
          </cell>
          <cell r="H26">
            <v>55.8</v>
          </cell>
          <cell r="I26">
            <v>55.6</v>
          </cell>
          <cell r="J26">
            <v>55.1</v>
          </cell>
          <cell r="K26">
            <v>58.2</v>
          </cell>
          <cell r="L26">
            <v>55.4</v>
          </cell>
          <cell r="M26">
            <v>56.6</v>
          </cell>
          <cell r="N26">
            <v>49.8</v>
          </cell>
          <cell r="O26">
            <v>56.5</v>
          </cell>
        </row>
        <row r="27">
          <cell r="A27">
            <v>102</v>
          </cell>
          <cell r="B27">
            <v>2</v>
          </cell>
          <cell r="C27">
            <v>13.212999999999999</v>
          </cell>
          <cell r="D27">
            <v>29</v>
          </cell>
          <cell r="E27">
            <v>30.2</v>
          </cell>
          <cell r="F27">
            <v>31.9</v>
          </cell>
          <cell r="G27">
            <v>30</v>
          </cell>
          <cell r="H27">
            <v>32.799999999999997</v>
          </cell>
          <cell r="I27">
            <v>36.200000000000003</v>
          </cell>
          <cell r="J27">
            <v>36.200000000000003</v>
          </cell>
          <cell r="K27">
            <v>31.7</v>
          </cell>
          <cell r="L27">
            <v>30.7</v>
          </cell>
          <cell r="M27">
            <v>31</v>
          </cell>
          <cell r="N27">
            <v>30</v>
          </cell>
          <cell r="O27">
            <v>31.7</v>
          </cell>
        </row>
        <row r="28">
          <cell r="A28">
            <v>101</v>
          </cell>
          <cell r="B28">
            <v>1</v>
          </cell>
          <cell r="C28">
            <v>13.224</v>
          </cell>
          <cell r="D28">
            <v>56.5</v>
          </cell>
          <cell r="E28">
            <v>54.6</v>
          </cell>
          <cell r="F28">
            <v>56.8</v>
          </cell>
          <cell r="G28">
            <v>57.1</v>
          </cell>
          <cell r="H28">
            <v>55.1</v>
          </cell>
          <cell r="I28">
            <v>56.8</v>
          </cell>
          <cell r="J28">
            <v>56</v>
          </cell>
          <cell r="K28">
            <v>58.2</v>
          </cell>
          <cell r="L28">
            <v>58.8</v>
          </cell>
          <cell r="M28">
            <v>57.9</v>
          </cell>
          <cell r="N28">
            <v>56.8</v>
          </cell>
          <cell r="O28">
            <v>56.8</v>
          </cell>
        </row>
        <row r="29">
          <cell r="A29">
            <v>101</v>
          </cell>
          <cell r="B29">
            <v>2</v>
          </cell>
          <cell r="C29">
            <v>13.228999999999999</v>
          </cell>
          <cell r="D29">
            <v>31.3</v>
          </cell>
          <cell r="E29">
            <v>30.5</v>
          </cell>
          <cell r="F29">
            <v>37.200000000000003</v>
          </cell>
          <cell r="G29">
            <v>37</v>
          </cell>
          <cell r="H29">
            <v>31.8</v>
          </cell>
          <cell r="I29">
            <v>29.8</v>
          </cell>
          <cell r="J29">
            <v>32.700000000000003</v>
          </cell>
          <cell r="K29">
            <v>29.6</v>
          </cell>
          <cell r="L29">
            <v>29.7</v>
          </cell>
          <cell r="M29">
            <v>31.8</v>
          </cell>
          <cell r="N29">
            <v>34.299999999999997</v>
          </cell>
          <cell r="O29">
            <v>36.4</v>
          </cell>
        </row>
        <row r="30">
          <cell r="A30">
            <v>201</v>
          </cell>
          <cell r="B30">
            <v>1</v>
          </cell>
          <cell r="C30">
            <v>13.244999999999999</v>
          </cell>
          <cell r="D30">
            <v>35.5</v>
          </cell>
          <cell r="E30">
            <v>35.700000000000003</v>
          </cell>
          <cell r="F30">
            <v>35.6</v>
          </cell>
          <cell r="G30">
            <v>34.9</v>
          </cell>
          <cell r="H30">
            <v>35.700000000000003</v>
          </cell>
          <cell r="I30">
            <v>35.799999999999997</v>
          </cell>
          <cell r="J30">
            <v>34.700000000000003</v>
          </cell>
          <cell r="K30">
            <v>36</v>
          </cell>
          <cell r="L30">
            <v>33</v>
          </cell>
          <cell r="M30">
            <v>36</v>
          </cell>
          <cell r="N30">
            <v>33.5</v>
          </cell>
          <cell r="O30">
            <v>35.6</v>
          </cell>
        </row>
        <row r="31">
          <cell r="A31">
            <v>201</v>
          </cell>
          <cell r="B31">
            <v>2</v>
          </cell>
          <cell r="C31">
            <v>13.249000000000001</v>
          </cell>
          <cell r="D31">
            <v>29.2</v>
          </cell>
          <cell r="E31">
            <v>29.5</v>
          </cell>
          <cell r="F31">
            <v>28.8</v>
          </cell>
          <cell r="G31">
            <v>29.4</v>
          </cell>
          <cell r="H31">
            <v>29.7</v>
          </cell>
          <cell r="I31">
            <v>29</v>
          </cell>
          <cell r="J31">
            <v>28</v>
          </cell>
          <cell r="K31">
            <v>28.9</v>
          </cell>
          <cell r="L31">
            <v>28.5</v>
          </cell>
          <cell r="M31">
            <v>30.4</v>
          </cell>
          <cell r="N31">
            <v>28.6</v>
          </cell>
          <cell r="O31">
            <v>29.1</v>
          </cell>
        </row>
        <row r="32">
          <cell r="A32">
            <v>202</v>
          </cell>
          <cell r="B32">
            <v>1</v>
          </cell>
          <cell r="C32">
            <v>13.26</v>
          </cell>
          <cell r="D32">
            <v>59.6</v>
          </cell>
          <cell r="E32">
            <v>55.6</v>
          </cell>
          <cell r="F32">
            <v>51.7</v>
          </cell>
          <cell r="G32">
            <v>58.1</v>
          </cell>
          <cell r="H32">
            <v>54</v>
          </cell>
          <cell r="I32">
            <v>58.3</v>
          </cell>
          <cell r="J32">
            <v>50.9</v>
          </cell>
          <cell r="K32">
            <v>58</v>
          </cell>
          <cell r="L32">
            <v>57.8</v>
          </cell>
          <cell r="M32">
            <v>58.4</v>
          </cell>
          <cell r="N32">
            <v>46.9</v>
          </cell>
          <cell r="O32">
            <v>58.1</v>
          </cell>
        </row>
        <row r="33">
          <cell r="A33">
            <v>202</v>
          </cell>
          <cell r="B33">
            <v>2</v>
          </cell>
          <cell r="C33">
            <v>13.265000000000001</v>
          </cell>
          <cell r="D33">
            <v>28.9</v>
          </cell>
          <cell r="E33">
            <v>30.1</v>
          </cell>
          <cell r="F33">
            <v>30.4</v>
          </cell>
          <cell r="G33">
            <v>31.8</v>
          </cell>
          <cell r="H33">
            <v>33.200000000000003</v>
          </cell>
          <cell r="I33">
            <v>30.5</v>
          </cell>
          <cell r="J33">
            <v>34.6</v>
          </cell>
          <cell r="K33">
            <v>31.6</v>
          </cell>
          <cell r="L33">
            <v>44.2</v>
          </cell>
          <cell r="M33">
            <v>31.9</v>
          </cell>
          <cell r="N33">
            <v>30.7</v>
          </cell>
          <cell r="O33">
            <v>29.2</v>
          </cell>
        </row>
        <row r="34">
          <cell r="A34">
            <v>203</v>
          </cell>
          <cell r="B34">
            <v>1</v>
          </cell>
          <cell r="C34">
            <v>13.276</v>
          </cell>
          <cell r="D34">
            <v>58.2</v>
          </cell>
          <cell r="E34">
            <v>58.7</v>
          </cell>
          <cell r="F34">
            <v>59.1</v>
          </cell>
          <cell r="G34">
            <v>60.9</v>
          </cell>
          <cell r="H34">
            <v>50.3</v>
          </cell>
          <cell r="I34">
            <v>59.7</v>
          </cell>
          <cell r="J34">
            <v>49.6</v>
          </cell>
          <cell r="K34">
            <v>61.3</v>
          </cell>
          <cell r="L34">
            <v>57.6</v>
          </cell>
          <cell r="M34">
            <v>58.2</v>
          </cell>
          <cell r="N34">
            <v>51.9</v>
          </cell>
          <cell r="O34">
            <v>60.8</v>
          </cell>
        </row>
        <row r="35">
          <cell r="A35">
            <v>203</v>
          </cell>
          <cell r="B35">
            <v>2</v>
          </cell>
          <cell r="C35">
            <v>13.281000000000001</v>
          </cell>
          <cell r="D35">
            <v>29.6</v>
          </cell>
          <cell r="E35">
            <v>31</v>
          </cell>
          <cell r="F35">
            <v>40.6</v>
          </cell>
          <cell r="G35">
            <v>31.4</v>
          </cell>
          <cell r="H35">
            <v>31.3</v>
          </cell>
          <cell r="I35">
            <v>30.7</v>
          </cell>
          <cell r="J35">
            <v>30</v>
          </cell>
          <cell r="K35">
            <v>31.2</v>
          </cell>
          <cell r="L35">
            <v>29.8</v>
          </cell>
          <cell r="M35">
            <v>29.6</v>
          </cell>
          <cell r="N35">
            <v>29.7</v>
          </cell>
          <cell r="O35">
            <v>31</v>
          </cell>
        </row>
        <row r="36">
          <cell r="A36">
            <v>204</v>
          </cell>
          <cell r="B36">
            <v>1</v>
          </cell>
          <cell r="C36">
            <v>13.292</v>
          </cell>
          <cell r="D36">
            <v>36.700000000000003</v>
          </cell>
          <cell r="E36">
            <v>36.5</v>
          </cell>
          <cell r="F36">
            <v>34.6</v>
          </cell>
          <cell r="G36">
            <v>37.200000000000003</v>
          </cell>
          <cell r="H36">
            <v>38.299999999999997</v>
          </cell>
          <cell r="I36">
            <v>39.6</v>
          </cell>
          <cell r="J36">
            <v>37.1</v>
          </cell>
          <cell r="K36">
            <v>35.9</v>
          </cell>
          <cell r="L36">
            <v>33.4</v>
          </cell>
          <cell r="M36">
            <v>37</v>
          </cell>
          <cell r="N36">
            <v>35.799999999999997</v>
          </cell>
          <cell r="O36">
            <v>35.799999999999997</v>
          </cell>
        </row>
        <row r="37">
          <cell r="A37">
            <v>204</v>
          </cell>
          <cell r="B37">
            <v>2</v>
          </cell>
          <cell r="C37">
            <v>13.297000000000001</v>
          </cell>
          <cell r="D37">
            <v>28.8</v>
          </cell>
          <cell r="E37">
            <v>28.9</v>
          </cell>
          <cell r="F37">
            <v>30.9</v>
          </cell>
          <cell r="G37">
            <v>32.799999999999997</v>
          </cell>
          <cell r="H37">
            <v>28.2</v>
          </cell>
          <cell r="I37">
            <v>30.8</v>
          </cell>
          <cell r="J37">
            <v>30.1</v>
          </cell>
          <cell r="K37">
            <v>30.4</v>
          </cell>
          <cell r="L37">
            <v>31.6</v>
          </cell>
          <cell r="M37">
            <v>30</v>
          </cell>
          <cell r="N37">
            <v>29.6</v>
          </cell>
          <cell r="O37">
            <v>29.6</v>
          </cell>
        </row>
        <row r="38">
          <cell r="A38">
            <v>205</v>
          </cell>
          <cell r="B38">
            <v>1</v>
          </cell>
          <cell r="C38">
            <v>13.31</v>
          </cell>
          <cell r="D38">
            <v>57.9</v>
          </cell>
          <cell r="E38">
            <v>59.6</v>
          </cell>
          <cell r="F38">
            <v>58.4</v>
          </cell>
          <cell r="G38">
            <v>54.5</v>
          </cell>
          <cell r="H38">
            <v>59</v>
          </cell>
          <cell r="I38">
            <v>56.7</v>
          </cell>
          <cell r="J38">
            <v>59.7</v>
          </cell>
          <cell r="K38">
            <v>60</v>
          </cell>
          <cell r="L38">
            <v>60.6</v>
          </cell>
          <cell r="M38">
            <v>58.5</v>
          </cell>
          <cell r="N38">
            <v>55</v>
          </cell>
          <cell r="O38">
            <v>57.9</v>
          </cell>
        </row>
        <row r="39">
          <cell r="A39">
            <v>205</v>
          </cell>
          <cell r="B39">
            <v>2</v>
          </cell>
          <cell r="C39">
            <v>13.315</v>
          </cell>
          <cell r="D39">
            <v>35</v>
          </cell>
          <cell r="E39">
            <v>32.5</v>
          </cell>
          <cell r="F39">
            <v>32.4</v>
          </cell>
          <cell r="G39">
            <v>33.6</v>
          </cell>
          <cell r="H39">
            <v>41.4</v>
          </cell>
          <cell r="I39">
            <v>32.6</v>
          </cell>
          <cell r="J39">
            <v>36.200000000000003</v>
          </cell>
          <cell r="K39">
            <v>31.2</v>
          </cell>
          <cell r="L39">
            <v>33</v>
          </cell>
          <cell r="M39">
            <v>32.299999999999997</v>
          </cell>
          <cell r="N39">
            <v>32.1</v>
          </cell>
          <cell r="O39">
            <v>34</v>
          </cell>
        </row>
        <row r="40">
          <cell r="A40">
            <v>206</v>
          </cell>
          <cell r="B40">
            <v>1</v>
          </cell>
          <cell r="C40">
            <v>13.326000000000001</v>
          </cell>
          <cell r="D40">
            <v>58</v>
          </cell>
          <cell r="E40">
            <v>59.4</v>
          </cell>
          <cell r="F40">
            <v>58.3</v>
          </cell>
          <cell r="G40">
            <v>58.7</v>
          </cell>
          <cell r="H40">
            <v>58.5</v>
          </cell>
          <cell r="I40">
            <v>59.4</v>
          </cell>
          <cell r="J40">
            <v>57</v>
          </cell>
          <cell r="K40">
            <v>57.8</v>
          </cell>
          <cell r="L40">
            <v>54</v>
          </cell>
          <cell r="M40">
            <v>59.2</v>
          </cell>
          <cell r="N40">
            <v>55.7</v>
          </cell>
          <cell r="O40">
            <v>60.4</v>
          </cell>
        </row>
        <row r="41">
          <cell r="A41">
            <v>206</v>
          </cell>
          <cell r="B41">
            <v>2</v>
          </cell>
          <cell r="C41">
            <v>13.331</v>
          </cell>
          <cell r="D41">
            <v>31.6</v>
          </cell>
          <cell r="E41">
            <v>32.299999999999997</v>
          </cell>
          <cell r="F41">
            <v>32.5</v>
          </cell>
          <cell r="G41">
            <v>33.6</v>
          </cell>
          <cell r="H41">
            <v>39.6</v>
          </cell>
          <cell r="I41">
            <v>31.9</v>
          </cell>
          <cell r="J41">
            <v>32.299999999999997</v>
          </cell>
          <cell r="K41">
            <v>33.700000000000003</v>
          </cell>
          <cell r="L41">
            <v>38.9</v>
          </cell>
          <cell r="M41">
            <v>36.299999999999997</v>
          </cell>
          <cell r="N41">
            <v>34.9</v>
          </cell>
          <cell r="O41">
            <v>34.1</v>
          </cell>
        </row>
        <row r="42">
          <cell r="A42">
            <v>207</v>
          </cell>
          <cell r="B42">
            <v>1</v>
          </cell>
          <cell r="C42">
            <v>13.342000000000001</v>
          </cell>
          <cell r="D42">
            <v>59.1</v>
          </cell>
          <cell r="E42">
            <v>51.7</v>
          </cell>
          <cell r="F42">
            <v>58</v>
          </cell>
          <cell r="G42">
            <v>52.3</v>
          </cell>
          <cell r="H42">
            <v>53.8</v>
          </cell>
          <cell r="I42">
            <v>59.4</v>
          </cell>
          <cell r="J42">
            <v>57.3</v>
          </cell>
          <cell r="K42">
            <v>59.2</v>
          </cell>
          <cell r="L42">
            <v>49.8</v>
          </cell>
          <cell r="M42">
            <v>59.6</v>
          </cell>
          <cell r="N42">
            <v>49.2</v>
          </cell>
          <cell r="O42">
            <v>59.3</v>
          </cell>
        </row>
        <row r="43">
          <cell r="A43">
            <v>207</v>
          </cell>
          <cell r="B43">
            <v>2</v>
          </cell>
          <cell r="C43">
            <v>13.347</v>
          </cell>
          <cell r="D43">
            <v>31.6</v>
          </cell>
          <cell r="E43">
            <v>32.4</v>
          </cell>
          <cell r="F43">
            <v>32.6</v>
          </cell>
          <cell r="G43">
            <v>31.8</v>
          </cell>
          <cell r="H43">
            <v>31.7</v>
          </cell>
          <cell r="I43">
            <v>31.4</v>
          </cell>
          <cell r="J43">
            <v>30.7</v>
          </cell>
          <cell r="K43">
            <v>32.200000000000003</v>
          </cell>
          <cell r="L43">
            <v>31.2</v>
          </cell>
          <cell r="M43">
            <v>32.1</v>
          </cell>
          <cell r="N43">
            <v>31.9</v>
          </cell>
          <cell r="O43">
            <v>30.7</v>
          </cell>
        </row>
        <row r="44">
          <cell r="A44">
            <v>208</v>
          </cell>
          <cell r="B44">
            <v>1</v>
          </cell>
          <cell r="C44">
            <v>13.356999999999999</v>
          </cell>
          <cell r="D44">
            <v>57.2</v>
          </cell>
          <cell r="E44">
            <v>59.3</v>
          </cell>
          <cell r="F44">
            <v>55.8</v>
          </cell>
          <cell r="G44">
            <v>60</v>
          </cell>
          <cell r="H44">
            <v>57.9</v>
          </cell>
          <cell r="I44">
            <v>59.7</v>
          </cell>
          <cell r="J44">
            <v>59</v>
          </cell>
          <cell r="K44">
            <v>61.2</v>
          </cell>
          <cell r="L44">
            <v>56.7</v>
          </cell>
          <cell r="M44">
            <v>57.4</v>
          </cell>
          <cell r="N44">
            <v>60.9</v>
          </cell>
          <cell r="O44">
            <v>58.9</v>
          </cell>
        </row>
        <row r="45">
          <cell r="A45">
            <v>208</v>
          </cell>
          <cell r="B45">
            <v>2</v>
          </cell>
          <cell r="C45">
            <v>13.362</v>
          </cell>
          <cell r="D45">
            <v>31.1</v>
          </cell>
          <cell r="E45">
            <v>33.200000000000003</v>
          </cell>
          <cell r="F45">
            <v>34.200000000000003</v>
          </cell>
          <cell r="G45">
            <v>31.1</v>
          </cell>
          <cell r="H45">
            <v>35.200000000000003</v>
          </cell>
          <cell r="I45">
            <v>34.4</v>
          </cell>
          <cell r="J45">
            <v>32.799999999999997</v>
          </cell>
          <cell r="K45">
            <v>39.6</v>
          </cell>
          <cell r="L45">
            <v>34.200000000000003</v>
          </cell>
          <cell r="M45">
            <v>34.700000000000003</v>
          </cell>
          <cell r="N45">
            <v>32.799999999999997</v>
          </cell>
          <cell r="O45">
            <v>32.9</v>
          </cell>
        </row>
        <row r="46">
          <cell r="A46">
            <v>908</v>
          </cell>
          <cell r="B46">
            <v>1</v>
          </cell>
          <cell r="C46">
            <v>13.375999999999999</v>
          </cell>
          <cell r="D46">
            <v>57.4</v>
          </cell>
          <cell r="E46">
            <v>57.6</v>
          </cell>
          <cell r="F46">
            <v>53.2</v>
          </cell>
          <cell r="G46">
            <v>58.2</v>
          </cell>
          <cell r="H46">
            <v>52.5</v>
          </cell>
          <cell r="I46">
            <v>56.9</v>
          </cell>
          <cell r="J46">
            <v>54.7</v>
          </cell>
          <cell r="K46">
            <v>58.9</v>
          </cell>
          <cell r="L46">
            <v>50.7</v>
          </cell>
          <cell r="M46">
            <v>57.2</v>
          </cell>
          <cell r="N46">
            <v>55.5</v>
          </cell>
          <cell r="O46">
            <v>56.8</v>
          </cell>
        </row>
        <row r="47">
          <cell r="A47">
            <v>908</v>
          </cell>
          <cell r="B47">
            <v>2</v>
          </cell>
          <cell r="C47">
            <v>13.381</v>
          </cell>
          <cell r="D47">
            <v>32.4</v>
          </cell>
          <cell r="E47">
            <v>33.9</v>
          </cell>
          <cell r="F47">
            <v>35.299999999999997</v>
          </cell>
          <cell r="G47">
            <v>33.799999999999997</v>
          </cell>
          <cell r="H47">
            <v>30.7</v>
          </cell>
          <cell r="I47">
            <v>29.1</v>
          </cell>
          <cell r="J47">
            <v>31.4</v>
          </cell>
          <cell r="K47">
            <v>30.9</v>
          </cell>
          <cell r="L47">
            <v>31</v>
          </cell>
          <cell r="M47">
            <v>31.6</v>
          </cell>
          <cell r="N47">
            <v>34.799999999999997</v>
          </cell>
          <cell r="O47">
            <v>29.5</v>
          </cell>
        </row>
        <row r="48">
          <cell r="A48">
            <v>907</v>
          </cell>
          <cell r="B48">
            <v>1</v>
          </cell>
          <cell r="C48">
            <v>13.393000000000001</v>
          </cell>
          <cell r="D48">
            <v>65.2</v>
          </cell>
          <cell r="E48">
            <v>65.400000000000006</v>
          </cell>
          <cell r="F48">
            <v>65</v>
          </cell>
          <cell r="G48">
            <v>65.3</v>
          </cell>
          <cell r="H48">
            <v>65.400000000000006</v>
          </cell>
          <cell r="I48">
            <v>65.099999999999994</v>
          </cell>
          <cell r="J48">
            <v>64.400000000000006</v>
          </cell>
          <cell r="K48">
            <v>64.900000000000006</v>
          </cell>
          <cell r="L48">
            <v>64.7</v>
          </cell>
          <cell r="M48">
            <v>66.099999999999994</v>
          </cell>
          <cell r="N48">
            <v>65</v>
          </cell>
          <cell r="O48">
            <v>65.099999999999994</v>
          </cell>
        </row>
        <row r="50">
          <cell r="A50">
            <v>906</v>
          </cell>
          <cell r="B50">
            <v>1</v>
          </cell>
          <cell r="C50">
            <v>13.401999999999999</v>
          </cell>
          <cell r="D50">
            <v>58.3</v>
          </cell>
          <cell r="E50">
            <v>57.3</v>
          </cell>
          <cell r="F50">
            <v>53.2</v>
          </cell>
          <cell r="G50">
            <v>58.2</v>
          </cell>
          <cell r="H50">
            <v>57.9</v>
          </cell>
          <cell r="I50">
            <v>60.2</v>
          </cell>
          <cell r="J50">
            <v>54</v>
          </cell>
          <cell r="K50">
            <v>59.1</v>
          </cell>
          <cell r="L50">
            <v>52.8</v>
          </cell>
          <cell r="M50">
            <v>58.9</v>
          </cell>
          <cell r="N50">
            <v>56.3</v>
          </cell>
          <cell r="O50">
            <v>57</v>
          </cell>
        </row>
        <row r="51">
          <cell r="A51">
            <v>906</v>
          </cell>
          <cell r="B51">
            <v>2</v>
          </cell>
          <cell r="C51">
            <v>13.407</v>
          </cell>
          <cell r="D51">
            <v>36.200000000000003</v>
          </cell>
          <cell r="E51">
            <v>30.2</v>
          </cell>
          <cell r="F51">
            <v>42.8</v>
          </cell>
          <cell r="G51">
            <v>30.7</v>
          </cell>
          <cell r="H51">
            <v>32.4</v>
          </cell>
          <cell r="I51">
            <v>33.6</v>
          </cell>
          <cell r="J51">
            <v>30.7</v>
          </cell>
          <cell r="K51">
            <v>31.8</v>
          </cell>
          <cell r="L51">
            <v>31.5</v>
          </cell>
          <cell r="M51">
            <v>32.299999999999997</v>
          </cell>
          <cell r="N51">
            <v>36.700000000000003</v>
          </cell>
          <cell r="O51">
            <v>40.200000000000003</v>
          </cell>
        </row>
        <row r="52">
          <cell r="A52">
            <v>905</v>
          </cell>
          <cell r="B52">
            <v>1</v>
          </cell>
          <cell r="C52">
            <v>13.419</v>
          </cell>
          <cell r="D52">
            <v>37.6</v>
          </cell>
          <cell r="E52">
            <v>37.5</v>
          </cell>
          <cell r="F52">
            <v>37.299999999999997</v>
          </cell>
          <cell r="G52">
            <v>36.799999999999997</v>
          </cell>
          <cell r="H52">
            <v>37</v>
          </cell>
          <cell r="I52">
            <v>37.1</v>
          </cell>
          <cell r="J52">
            <v>37.9</v>
          </cell>
          <cell r="K52">
            <v>37.799999999999997</v>
          </cell>
          <cell r="L52">
            <v>37.4</v>
          </cell>
          <cell r="M52">
            <v>37.5</v>
          </cell>
          <cell r="N52">
            <v>37.299999999999997</v>
          </cell>
          <cell r="O52">
            <v>37.4</v>
          </cell>
        </row>
        <row r="54">
          <cell r="A54">
            <v>904</v>
          </cell>
          <cell r="B54">
            <v>1</v>
          </cell>
          <cell r="C54">
            <v>13.428000000000001</v>
          </cell>
          <cell r="D54">
            <v>59.2</v>
          </cell>
          <cell r="E54">
            <v>49.9</v>
          </cell>
          <cell r="F54">
            <v>56.2</v>
          </cell>
          <cell r="G54">
            <v>58.7</v>
          </cell>
          <cell r="H54">
            <v>57.2</v>
          </cell>
          <cell r="I54">
            <v>59.7</v>
          </cell>
          <cell r="J54">
            <v>52.8</v>
          </cell>
          <cell r="K54">
            <v>58.7</v>
          </cell>
          <cell r="L54">
            <v>50.1</v>
          </cell>
          <cell r="M54">
            <v>57.5</v>
          </cell>
          <cell r="N54">
            <v>52.5</v>
          </cell>
          <cell r="O54">
            <v>60.7</v>
          </cell>
        </row>
        <row r="55">
          <cell r="A55">
            <v>904</v>
          </cell>
          <cell r="B55">
            <v>2</v>
          </cell>
          <cell r="C55">
            <v>13.433</v>
          </cell>
          <cell r="D55">
            <v>30</v>
          </cell>
          <cell r="E55">
            <v>35.700000000000003</v>
          </cell>
          <cell r="F55">
            <v>31.3</v>
          </cell>
          <cell r="G55">
            <v>32.799999999999997</v>
          </cell>
          <cell r="H55">
            <v>30.9</v>
          </cell>
          <cell r="I55">
            <v>33.299999999999997</v>
          </cell>
          <cell r="J55">
            <v>32</v>
          </cell>
          <cell r="K55">
            <v>31.2</v>
          </cell>
          <cell r="L55">
            <v>29.7</v>
          </cell>
          <cell r="M55">
            <v>31.5</v>
          </cell>
          <cell r="N55">
            <v>31.4</v>
          </cell>
          <cell r="O55">
            <v>31.5</v>
          </cell>
        </row>
        <row r="56">
          <cell r="A56">
            <v>903</v>
          </cell>
          <cell r="B56">
            <v>1</v>
          </cell>
          <cell r="C56">
            <v>13.445</v>
          </cell>
          <cell r="D56">
            <v>66</v>
          </cell>
          <cell r="E56">
            <v>65.900000000000006</v>
          </cell>
          <cell r="F56">
            <v>65.900000000000006</v>
          </cell>
          <cell r="G56">
            <v>65.7</v>
          </cell>
          <cell r="H56">
            <v>65.599999999999994</v>
          </cell>
          <cell r="I56">
            <v>65.2</v>
          </cell>
          <cell r="J56">
            <v>65.900000000000006</v>
          </cell>
          <cell r="K56">
            <v>65.7</v>
          </cell>
          <cell r="L56">
            <v>66</v>
          </cell>
          <cell r="M56">
            <v>66</v>
          </cell>
          <cell r="N56">
            <v>66.2</v>
          </cell>
          <cell r="O56">
            <v>66.099999999999994</v>
          </cell>
        </row>
        <row r="58">
          <cell r="A58">
            <v>902</v>
          </cell>
          <cell r="B58">
            <v>1</v>
          </cell>
          <cell r="C58">
            <v>13.455</v>
          </cell>
          <cell r="D58">
            <v>57.6</v>
          </cell>
          <cell r="E58">
            <v>59.4</v>
          </cell>
          <cell r="F58">
            <v>55.2</v>
          </cell>
          <cell r="G58">
            <v>57.1</v>
          </cell>
          <cell r="H58">
            <v>55.2</v>
          </cell>
          <cell r="I58">
            <v>57.6</v>
          </cell>
          <cell r="J58">
            <v>56.6</v>
          </cell>
          <cell r="K58">
            <v>57.7</v>
          </cell>
          <cell r="L58">
            <v>55.4</v>
          </cell>
          <cell r="M58">
            <v>57.5</v>
          </cell>
          <cell r="N58">
            <v>54.4</v>
          </cell>
          <cell r="O58">
            <v>55.8</v>
          </cell>
        </row>
        <row r="59">
          <cell r="A59">
            <v>902</v>
          </cell>
          <cell r="B59">
            <v>2</v>
          </cell>
          <cell r="C59">
            <v>13.46</v>
          </cell>
          <cell r="D59">
            <v>30.7</v>
          </cell>
          <cell r="E59">
            <v>33.6</v>
          </cell>
          <cell r="F59">
            <v>29.3</v>
          </cell>
          <cell r="G59">
            <v>28.7</v>
          </cell>
          <cell r="H59">
            <v>34</v>
          </cell>
          <cell r="I59">
            <v>31.4</v>
          </cell>
          <cell r="J59">
            <v>29.1</v>
          </cell>
          <cell r="K59">
            <v>28.4</v>
          </cell>
          <cell r="L59">
            <v>29.9</v>
          </cell>
          <cell r="M59">
            <v>30.6</v>
          </cell>
          <cell r="N59">
            <v>30.3</v>
          </cell>
          <cell r="O59">
            <v>30.1</v>
          </cell>
        </row>
        <row r="60">
          <cell r="A60">
            <v>901</v>
          </cell>
          <cell r="B60">
            <v>1</v>
          </cell>
          <cell r="C60">
            <v>13.471</v>
          </cell>
          <cell r="D60">
            <v>34.9</v>
          </cell>
          <cell r="E60">
            <v>34.799999999999997</v>
          </cell>
          <cell r="F60">
            <v>34.799999999999997</v>
          </cell>
          <cell r="G60">
            <v>34.5</v>
          </cell>
          <cell r="H60">
            <v>34.1</v>
          </cell>
          <cell r="I60">
            <v>33.6</v>
          </cell>
          <cell r="J60">
            <v>33.299999999999997</v>
          </cell>
          <cell r="K60">
            <v>34.1</v>
          </cell>
          <cell r="L60">
            <v>35</v>
          </cell>
          <cell r="M60">
            <v>35</v>
          </cell>
          <cell r="N60">
            <v>35.1</v>
          </cell>
          <cell r="O60">
            <v>34.799999999999997</v>
          </cell>
        </row>
        <row r="62">
          <cell r="A62">
            <v>301</v>
          </cell>
          <cell r="B62">
            <v>1</v>
          </cell>
          <cell r="C62">
            <v>13.486000000000001</v>
          </cell>
          <cell r="D62">
            <v>57.1</v>
          </cell>
          <cell r="E62">
            <v>56.9</v>
          </cell>
          <cell r="F62">
            <v>56.5</v>
          </cell>
          <cell r="G62">
            <v>57.9</v>
          </cell>
          <cell r="H62">
            <v>52.9</v>
          </cell>
          <cell r="I62">
            <v>57.1</v>
          </cell>
          <cell r="J62">
            <v>52.9</v>
          </cell>
          <cell r="K62">
            <v>54.9</v>
          </cell>
          <cell r="L62">
            <v>57.9</v>
          </cell>
          <cell r="M62">
            <v>58.3</v>
          </cell>
          <cell r="N62">
            <v>55.1</v>
          </cell>
          <cell r="O62">
            <v>55.2</v>
          </cell>
        </row>
        <row r="63">
          <cell r="A63">
            <v>301</v>
          </cell>
          <cell r="B63">
            <v>2</v>
          </cell>
          <cell r="C63">
            <v>13.491</v>
          </cell>
          <cell r="D63">
            <v>31</v>
          </cell>
          <cell r="E63">
            <v>29.4</v>
          </cell>
          <cell r="F63">
            <v>31.1</v>
          </cell>
          <cell r="G63">
            <v>29.7</v>
          </cell>
          <cell r="H63">
            <v>27.8</v>
          </cell>
          <cell r="I63">
            <v>30.3</v>
          </cell>
          <cell r="J63">
            <v>29</v>
          </cell>
          <cell r="K63">
            <v>29.1</v>
          </cell>
          <cell r="L63">
            <v>33.700000000000003</v>
          </cell>
          <cell r="M63">
            <v>27.7</v>
          </cell>
          <cell r="N63">
            <v>31.6</v>
          </cell>
          <cell r="O63">
            <v>31.8</v>
          </cell>
        </row>
        <row r="64">
          <cell r="A64">
            <v>302</v>
          </cell>
          <cell r="B64">
            <v>1</v>
          </cell>
          <cell r="C64">
            <v>13.502000000000001</v>
          </cell>
          <cell r="D64">
            <v>57.7</v>
          </cell>
          <cell r="E64">
            <v>55.1</v>
          </cell>
          <cell r="F64">
            <v>58.3</v>
          </cell>
          <cell r="G64">
            <v>55.3</v>
          </cell>
          <cell r="H64">
            <v>56.1</v>
          </cell>
          <cell r="I64">
            <v>58.3</v>
          </cell>
          <cell r="J64">
            <v>55.1</v>
          </cell>
          <cell r="K64">
            <v>59.6</v>
          </cell>
          <cell r="L64">
            <v>52.3</v>
          </cell>
          <cell r="M64">
            <v>58</v>
          </cell>
          <cell r="N64">
            <v>55.6</v>
          </cell>
          <cell r="O64">
            <v>56.8</v>
          </cell>
        </row>
        <row r="65">
          <cell r="A65">
            <v>302</v>
          </cell>
          <cell r="B65">
            <v>2</v>
          </cell>
          <cell r="C65">
            <v>13.507</v>
          </cell>
          <cell r="D65">
            <v>34.799999999999997</v>
          </cell>
          <cell r="E65">
            <v>33.5</v>
          </cell>
          <cell r="F65">
            <v>30.7</v>
          </cell>
          <cell r="G65">
            <v>32.299999999999997</v>
          </cell>
          <cell r="H65">
            <v>35.1</v>
          </cell>
          <cell r="I65">
            <v>30.1</v>
          </cell>
          <cell r="J65">
            <v>30.6</v>
          </cell>
          <cell r="K65">
            <v>33.299999999999997</v>
          </cell>
          <cell r="L65">
            <v>41</v>
          </cell>
          <cell r="M65">
            <v>30.4</v>
          </cell>
          <cell r="N65">
            <v>30.4</v>
          </cell>
          <cell r="O65">
            <v>29.6</v>
          </cell>
        </row>
        <row r="66">
          <cell r="A66">
            <v>303</v>
          </cell>
          <cell r="B66">
            <v>1</v>
          </cell>
          <cell r="C66">
            <v>13.518000000000001</v>
          </cell>
          <cell r="D66">
            <v>58</v>
          </cell>
          <cell r="E66">
            <v>59.3</v>
          </cell>
          <cell r="F66">
            <v>56</v>
          </cell>
          <cell r="G66">
            <v>56.5</v>
          </cell>
          <cell r="H66">
            <v>56.8</v>
          </cell>
          <cell r="I66">
            <v>56</v>
          </cell>
          <cell r="J66">
            <v>56.6</v>
          </cell>
          <cell r="K66">
            <v>58.6</v>
          </cell>
          <cell r="L66">
            <v>55.5</v>
          </cell>
          <cell r="M66">
            <v>58.7</v>
          </cell>
          <cell r="N66">
            <v>59.6</v>
          </cell>
          <cell r="O66">
            <v>59.4</v>
          </cell>
        </row>
        <row r="67">
          <cell r="A67">
            <v>303</v>
          </cell>
          <cell r="B67">
            <v>2</v>
          </cell>
          <cell r="C67">
            <v>13.522</v>
          </cell>
          <cell r="D67">
            <v>32.5</v>
          </cell>
          <cell r="E67">
            <v>33.9</v>
          </cell>
          <cell r="F67">
            <v>33.200000000000003</v>
          </cell>
          <cell r="G67">
            <v>30.7</v>
          </cell>
          <cell r="H67">
            <v>31.4</v>
          </cell>
          <cell r="I67">
            <v>34.1</v>
          </cell>
          <cell r="J67">
            <v>32.5</v>
          </cell>
          <cell r="K67">
            <v>32.5</v>
          </cell>
          <cell r="L67">
            <v>31.1</v>
          </cell>
          <cell r="M67">
            <v>32.1</v>
          </cell>
          <cell r="N67">
            <v>29.9</v>
          </cell>
          <cell r="O67">
            <v>29.3</v>
          </cell>
        </row>
        <row r="68">
          <cell r="A68">
            <v>304</v>
          </cell>
          <cell r="B68">
            <v>1</v>
          </cell>
          <cell r="C68">
            <v>13.534000000000001</v>
          </cell>
          <cell r="D68">
            <v>55.9</v>
          </cell>
          <cell r="E68">
            <v>56.7</v>
          </cell>
          <cell r="F68">
            <v>57.3</v>
          </cell>
          <cell r="G68">
            <v>57.9</v>
          </cell>
          <cell r="H68">
            <v>57.4</v>
          </cell>
          <cell r="I68">
            <v>58.1</v>
          </cell>
          <cell r="J68">
            <v>57.7</v>
          </cell>
          <cell r="K68">
            <v>59.8</v>
          </cell>
          <cell r="L68">
            <v>54.1</v>
          </cell>
          <cell r="M68">
            <v>57.8</v>
          </cell>
          <cell r="N68">
            <v>55.9</v>
          </cell>
          <cell r="O68">
            <v>59.7</v>
          </cell>
        </row>
        <row r="69">
          <cell r="A69">
            <v>304</v>
          </cell>
          <cell r="B69">
            <v>2</v>
          </cell>
          <cell r="C69">
            <v>13.539</v>
          </cell>
          <cell r="D69">
            <v>38.4</v>
          </cell>
          <cell r="E69">
            <v>39.799999999999997</v>
          </cell>
          <cell r="F69">
            <v>31.6</v>
          </cell>
          <cell r="G69">
            <v>28.7</v>
          </cell>
          <cell r="H69">
            <v>29.9</v>
          </cell>
          <cell r="I69">
            <v>31.6</v>
          </cell>
          <cell r="J69">
            <v>34.1</v>
          </cell>
          <cell r="K69">
            <v>33.1</v>
          </cell>
          <cell r="L69">
            <v>37.299999999999997</v>
          </cell>
          <cell r="M69">
            <v>29.5</v>
          </cell>
          <cell r="N69">
            <v>39.799999999999997</v>
          </cell>
          <cell r="O69">
            <v>32.700000000000003</v>
          </cell>
        </row>
        <row r="70">
          <cell r="A70">
            <v>305</v>
          </cell>
          <cell r="B70">
            <v>1</v>
          </cell>
          <cell r="C70">
            <v>13.55</v>
          </cell>
          <cell r="D70">
            <v>34.700000000000003</v>
          </cell>
          <cell r="E70">
            <v>34.299999999999997</v>
          </cell>
          <cell r="F70">
            <v>35</v>
          </cell>
          <cell r="G70">
            <v>36</v>
          </cell>
          <cell r="H70">
            <v>32.299999999999997</v>
          </cell>
          <cell r="I70">
            <v>35.700000000000003</v>
          </cell>
          <cell r="J70">
            <v>33.4</v>
          </cell>
          <cell r="K70">
            <v>35.4</v>
          </cell>
          <cell r="L70">
            <v>34.200000000000003</v>
          </cell>
          <cell r="M70">
            <v>34.6</v>
          </cell>
          <cell r="N70">
            <v>34.6</v>
          </cell>
          <cell r="O70">
            <v>33.5</v>
          </cell>
        </row>
        <row r="71">
          <cell r="A71">
            <v>305</v>
          </cell>
          <cell r="B71">
            <v>2</v>
          </cell>
          <cell r="C71">
            <v>13.555</v>
          </cell>
          <cell r="D71">
            <v>27.8</v>
          </cell>
          <cell r="E71">
            <v>27.9</v>
          </cell>
          <cell r="F71">
            <v>27.4</v>
          </cell>
          <cell r="G71">
            <v>30.9</v>
          </cell>
          <cell r="H71">
            <v>28.3</v>
          </cell>
          <cell r="I71">
            <v>29.3</v>
          </cell>
          <cell r="J71">
            <v>28.7</v>
          </cell>
          <cell r="K71">
            <v>27.5</v>
          </cell>
          <cell r="L71">
            <v>27.9</v>
          </cell>
          <cell r="M71">
            <v>26.2</v>
          </cell>
          <cell r="N71">
            <v>28</v>
          </cell>
          <cell r="O71">
            <v>26.7</v>
          </cell>
        </row>
        <row r="72">
          <cell r="A72">
            <v>306</v>
          </cell>
          <cell r="B72">
            <v>1</v>
          </cell>
          <cell r="C72">
            <v>13.565</v>
          </cell>
          <cell r="D72">
            <v>56.9</v>
          </cell>
          <cell r="E72">
            <v>57.6</v>
          </cell>
          <cell r="F72">
            <v>51.3</v>
          </cell>
          <cell r="G72">
            <v>60.1</v>
          </cell>
          <cell r="H72">
            <v>56.3</v>
          </cell>
          <cell r="I72">
            <v>57.3</v>
          </cell>
          <cell r="J72">
            <v>55.5</v>
          </cell>
          <cell r="K72">
            <v>60.1</v>
          </cell>
          <cell r="L72">
            <v>48.7</v>
          </cell>
          <cell r="M72">
            <v>57.6</v>
          </cell>
          <cell r="N72">
            <v>51.5</v>
          </cell>
          <cell r="O72">
            <v>54.9</v>
          </cell>
        </row>
        <row r="73">
          <cell r="A73">
            <v>306</v>
          </cell>
          <cell r="B73">
            <v>2</v>
          </cell>
          <cell r="C73">
            <v>13.57</v>
          </cell>
          <cell r="D73">
            <v>29.6</v>
          </cell>
          <cell r="E73">
            <v>32.5</v>
          </cell>
          <cell r="F73">
            <v>32.700000000000003</v>
          </cell>
          <cell r="G73">
            <v>29.4</v>
          </cell>
          <cell r="H73">
            <v>31.3</v>
          </cell>
          <cell r="I73">
            <v>30.2</v>
          </cell>
          <cell r="J73">
            <v>28.1</v>
          </cell>
          <cell r="K73">
            <v>28.8</v>
          </cell>
          <cell r="L73">
            <v>29.7</v>
          </cell>
          <cell r="M73">
            <v>30.9</v>
          </cell>
          <cell r="N73">
            <v>29.4</v>
          </cell>
          <cell r="O73">
            <v>28.6</v>
          </cell>
        </row>
        <row r="74">
          <cell r="A74">
            <v>307</v>
          </cell>
          <cell r="B74">
            <v>1</v>
          </cell>
          <cell r="C74">
            <v>13.581</v>
          </cell>
          <cell r="D74">
            <v>57.9</v>
          </cell>
          <cell r="E74">
            <v>55.3</v>
          </cell>
          <cell r="F74">
            <v>55.4</v>
          </cell>
          <cell r="G74">
            <v>57.8</v>
          </cell>
          <cell r="H74">
            <v>53</v>
          </cell>
          <cell r="I74">
            <v>59.2</v>
          </cell>
          <cell r="J74">
            <v>51.3</v>
          </cell>
          <cell r="K74">
            <v>59.5</v>
          </cell>
          <cell r="L74">
            <v>47.8</v>
          </cell>
          <cell r="M74">
            <v>59.7</v>
          </cell>
          <cell r="N74">
            <v>48</v>
          </cell>
          <cell r="O74">
            <v>53.7</v>
          </cell>
        </row>
        <row r="75">
          <cell r="A75">
            <v>307</v>
          </cell>
          <cell r="B75">
            <v>2</v>
          </cell>
          <cell r="C75">
            <v>13.585000000000001</v>
          </cell>
          <cell r="D75">
            <v>31.9</v>
          </cell>
          <cell r="E75">
            <v>32.5</v>
          </cell>
          <cell r="F75">
            <v>33.1</v>
          </cell>
          <cell r="G75">
            <v>28</v>
          </cell>
          <cell r="H75">
            <v>31.3</v>
          </cell>
          <cell r="I75">
            <v>34.299999999999997</v>
          </cell>
          <cell r="J75">
            <v>30.5</v>
          </cell>
          <cell r="K75">
            <v>29.2</v>
          </cell>
          <cell r="L75">
            <v>30</v>
          </cell>
          <cell r="M75">
            <v>29.9</v>
          </cell>
          <cell r="N75">
            <v>29.9</v>
          </cell>
          <cell r="O75">
            <v>31.1</v>
          </cell>
        </row>
        <row r="76">
          <cell r="A76">
            <v>308</v>
          </cell>
          <cell r="B76">
            <v>1</v>
          </cell>
          <cell r="C76">
            <v>13.597</v>
          </cell>
          <cell r="D76">
            <v>57</v>
          </cell>
          <cell r="E76">
            <v>49.5</v>
          </cell>
          <cell r="F76">
            <v>46.6</v>
          </cell>
          <cell r="G76">
            <v>50.1</v>
          </cell>
          <cell r="H76">
            <v>50.8</v>
          </cell>
          <cell r="I76">
            <v>56.1</v>
          </cell>
          <cell r="J76">
            <v>49.8</v>
          </cell>
          <cell r="K76">
            <v>55</v>
          </cell>
          <cell r="L76">
            <v>52.6</v>
          </cell>
          <cell r="M76">
            <v>52</v>
          </cell>
          <cell r="N76">
            <v>46.5</v>
          </cell>
          <cell r="O76">
            <v>53.6</v>
          </cell>
        </row>
        <row r="77">
          <cell r="A77">
            <v>308</v>
          </cell>
          <cell r="B77">
            <v>2</v>
          </cell>
          <cell r="C77">
            <v>13.602</v>
          </cell>
          <cell r="D77">
            <v>32.299999999999997</v>
          </cell>
          <cell r="E77">
            <v>28.9</v>
          </cell>
          <cell r="F77">
            <v>28.4</v>
          </cell>
          <cell r="G77">
            <v>31.9</v>
          </cell>
          <cell r="H77">
            <v>30.2</v>
          </cell>
          <cell r="I77">
            <v>31.5</v>
          </cell>
          <cell r="J77">
            <v>29.3</v>
          </cell>
          <cell r="K77">
            <v>29.6</v>
          </cell>
          <cell r="L77">
            <v>31.6</v>
          </cell>
          <cell r="M77">
            <v>34.700000000000003</v>
          </cell>
          <cell r="N77">
            <v>32.700000000000003</v>
          </cell>
          <cell r="O77">
            <v>30</v>
          </cell>
        </row>
        <row r="78">
          <cell r="A78">
            <v>408</v>
          </cell>
          <cell r="B78">
            <v>1</v>
          </cell>
          <cell r="C78">
            <v>13.618</v>
          </cell>
          <cell r="D78">
            <v>59</v>
          </cell>
          <cell r="E78">
            <v>51.8</v>
          </cell>
          <cell r="F78">
            <v>53.5</v>
          </cell>
          <cell r="G78">
            <v>58.3</v>
          </cell>
          <cell r="H78">
            <v>56.9</v>
          </cell>
          <cell r="I78">
            <v>58</v>
          </cell>
          <cell r="J78">
            <v>51</v>
          </cell>
          <cell r="K78">
            <v>58.6</v>
          </cell>
          <cell r="L78">
            <v>52</v>
          </cell>
          <cell r="M78">
            <v>59.1</v>
          </cell>
          <cell r="N78">
            <v>54.2</v>
          </cell>
          <cell r="O78">
            <v>54</v>
          </cell>
        </row>
        <row r="79">
          <cell r="A79">
            <v>408</v>
          </cell>
          <cell r="B79">
            <v>2</v>
          </cell>
          <cell r="C79">
            <v>13.622999999999999</v>
          </cell>
          <cell r="D79">
            <v>35.1</v>
          </cell>
          <cell r="E79">
            <v>30.7</v>
          </cell>
          <cell r="F79">
            <v>31.6</v>
          </cell>
          <cell r="G79">
            <v>32.700000000000003</v>
          </cell>
          <cell r="H79">
            <v>32</v>
          </cell>
          <cell r="I79">
            <v>34.299999999999997</v>
          </cell>
          <cell r="J79">
            <v>30.3</v>
          </cell>
          <cell r="K79">
            <v>32.6</v>
          </cell>
          <cell r="L79">
            <v>31.2</v>
          </cell>
          <cell r="M79">
            <v>30.5</v>
          </cell>
          <cell r="N79">
            <v>32.700000000000003</v>
          </cell>
          <cell r="O79">
            <v>30</v>
          </cell>
        </row>
        <row r="80">
          <cell r="A80">
            <v>407</v>
          </cell>
          <cell r="B80">
            <v>1</v>
          </cell>
          <cell r="C80">
            <v>13.635</v>
          </cell>
          <cell r="D80">
            <v>56</v>
          </cell>
          <cell r="E80">
            <v>56.3</v>
          </cell>
          <cell r="F80">
            <v>56</v>
          </cell>
          <cell r="G80">
            <v>57.7</v>
          </cell>
          <cell r="H80">
            <v>54</v>
          </cell>
          <cell r="I80">
            <v>57.4</v>
          </cell>
          <cell r="J80">
            <v>57.3</v>
          </cell>
          <cell r="K80">
            <v>57.1</v>
          </cell>
          <cell r="L80">
            <v>53.4</v>
          </cell>
          <cell r="M80">
            <v>57.4</v>
          </cell>
          <cell r="N80">
            <v>55.1</v>
          </cell>
          <cell r="O80">
            <v>56.9</v>
          </cell>
        </row>
        <row r="81">
          <cell r="A81">
            <v>407</v>
          </cell>
          <cell r="B81">
            <v>2</v>
          </cell>
          <cell r="C81">
            <v>13.64</v>
          </cell>
          <cell r="D81">
            <v>43.5</v>
          </cell>
          <cell r="E81">
            <v>32.9</v>
          </cell>
          <cell r="F81">
            <v>44.2</v>
          </cell>
          <cell r="G81">
            <v>40.700000000000003</v>
          </cell>
          <cell r="H81">
            <v>34.200000000000003</v>
          </cell>
          <cell r="I81">
            <v>39.9</v>
          </cell>
          <cell r="J81">
            <v>35.700000000000003</v>
          </cell>
          <cell r="K81">
            <v>37.4</v>
          </cell>
          <cell r="L81">
            <v>29.5</v>
          </cell>
          <cell r="M81">
            <v>36</v>
          </cell>
          <cell r="N81">
            <v>33.799999999999997</v>
          </cell>
          <cell r="O81">
            <v>46</v>
          </cell>
        </row>
        <row r="82">
          <cell r="A82">
            <v>406</v>
          </cell>
          <cell r="B82">
            <v>1</v>
          </cell>
          <cell r="C82">
            <v>13.651999999999999</v>
          </cell>
          <cell r="D82">
            <v>56.6</v>
          </cell>
          <cell r="E82">
            <v>57.2</v>
          </cell>
          <cell r="F82">
            <v>56.2</v>
          </cell>
          <cell r="G82">
            <v>56.5</v>
          </cell>
          <cell r="H82">
            <v>50.4</v>
          </cell>
          <cell r="I82">
            <v>56.1</v>
          </cell>
          <cell r="J82">
            <v>49.1</v>
          </cell>
          <cell r="K82">
            <v>57.2</v>
          </cell>
          <cell r="L82">
            <v>53.2</v>
          </cell>
          <cell r="M82">
            <v>54.3</v>
          </cell>
          <cell r="N82">
            <v>53.5</v>
          </cell>
          <cell r="O82">
            <v>53</v>
          </cell>
        </row>
        <row r="83">
          <cell r="A83">
            <v>406</v>
          </cell>
          <cell r="B83">
            <v>2</v>
          </cell>
          <cell r="C83">
            <v>13.657</v>
          </cell>
          <cell r="D83">
            <v>31.4</v>
          </cell>
          <cell r="E83">
            <v>29</v>
          </cell>
          <cell r="F83">
            <v>30.5</v>
          </cell>
          <cell r="G83">
            <v>30.5</v>
          </cell>
          <cell r="H83">
            <v>35</v>
          </cell>
          <cell r="I83">
            <v>30.6</v>
          </cell>
          <cell r="J83">
            <v>30.4</v>
          </cell>
          <cell r="K83">
            <v>28.6</v>
          </cell>
          <cell r="L83">
            <v>31.5</v>
          </cell>
          <cell r="M83">
            <v>28.9</v>
          </cell>
          <cell r="N83">
            <v>30.9</v>
          </cell>
          <cell r="O83">
            <v>33.200000000000003</v>
          </cell>
        </row>
        <row r="84">
          <cell r="A84">
            <v>405</v>
          </cell>
          <cell r="B84">
            <v>1</v>
          </cell>
          <cell r="C84">
            <v>13.669</v>
          </cell>
          <cell r="D84">
            <v>56.2</v>
          </cell>
          <cell r="E84">
            <v>49</v>
          </cell>
          <cell r="F84">
            <v>52.8</v>
          </cell>
          <cell r="G84">
            <v>54</v>
          </cell>
          <cell r="H84">
            <v>53.4</v>
          </cell>
          <cell r="I84">
            <v>51.3</v>
          </cell>
          <cell r="J84">
            <v>52.9</v>
          </cell>
          <cell r="K84">
            <v>56</v>
          </cell>
          <cell r="L84">
            <v>52.1</v>
          </cell>
          <cell r="M84">
            <v>51.9</v>
          </cell>
          <cell r="N84">
            <v>51.9</v>
          </cell>
          <cell r="O84">
            <v>50.7</v>
          </cell>
        </row>
        <row r="85">
          <cell r="A85">
            <v>405</v>
          </cell>
          <cell r="B85">
            <v>2</v>
          </cell>
          <cell r="C85">
            <v>13.673999999999999</v>
          </cell>
          <cell r="D85">
            <v>30.2</v>
          </cell>
          <cell r="E85">
            <v>34.799999999999997</v>
          </cell>
          <cell r="F85">
            <v>30</v>
          </cell>
          <cell r="G85">
            <v>29.7</v>
          </cell>
          <cell r="H85">
            <v>30.2</v>
          </cell>
          <cell r="I85">
            <v>28.7</v>
          </cell>
          <cell r="J85">
            <v>32</v>
          </cell>
          <cell r="K85">
            <v>30.1</v>
          </cell>
          <cell r="L85">
            <v>29.2</v>
          </cell>
          <cell r="M85">
            <v>32.5</v>
          </cell>
          <cell r="N85">
            <v>35.6</v>
          </cell>
          <cell r="O85">
            <v>30.2</v>
          </cell>
        </row>
        <row r="86">
          <cell r="A86">
            <v>404</v>
          </cell>
          <cell r="B86">
            <v>1</v>
          </cell>
          <cell r="C86">
            <v>13.685</v>
          </cell>
          <cell r="D86">
            <v>56.7</v>
          </cell>
          <cell r="E86">
            <v>54.3</v>
          </cell>
          <cell r="F86">
            <v>50.7</v>
          </cell>
          <cell r="G86">
            <v>58.6</v>
          </cell>
          <cell r="H86">
            <v>51.8</v>
          </cell>
          <cell r="I86">
            <v>58</v>
          </cell>
          <cell r="J86">
            <v>52.9</v>
          </cell>
          <cell r="K86">
            <v>56.5</v>
          </cell>
          <cell r="L86">
            <v>52.3</v>
          </cell>
          <cell r="M86">
            <v>55.8</v>
          </cell>
          <cell r="N86">
            <v>56</v>
          </cell>
          <cell r="O86">
            <v>55.4</v>
          </cell>
        </row>
        <row r="87">
          <cell r="A87">
            <v>404</v>
          </cell>
          <cell r="B87">
            <v>2</v>
          </cell>
          <cell r="C87">
            <v>13.689</v>
          </cell>
          <cell r="D87">
            <v>36.9</v>
          </cell>
          <cell r="E87">
            <v>34.1</v>
          </cell>
          <cell r="F87">
            <v>31.9</v>
          </cell>
          <cell r="G87">
            <v>29.9</v>
          </cell>
          <cell r="H87">
            <v>33.1</v>
          </cell>
          <cell r="I87">
            <v>30.3</v>
          </cell>
          <cell r="J87">
            <v>31.6</v>
          </cell>
          <cell r="K87">
            <v>29.3</v>
          </cell>
          <cell r="L87">
            <v>33.1</v>
          </cell>
          <cell r="M87">
            <v>29.9</v>
          </cell>
          <cell r="N87">
            <v>30.3</v>
          </cell>
          <cell r="O87">
            <v>36.5</v>
          </cell>
        </row>
        <row r="88">
          <cell r="A88">
            <v>403</v>
          </cell>
          <cell r="B88">
            <v>1</v>
          </cell>
          <cell r="C88">
            <v>13.701000000000001</v>
          </cell>
          <cell r="D88">
            <v>56.9</v>
          </cell>
          <cell r="E88">
            <v>54.7</v>
          </cell>
          <cell r="F88">
            <v>52.2</v>
          </cell>
          <cell r="G88">
            <v>56.8</v>
          </cell>
          <cell r="H88">
            <v>46.7</v>
          </cell>
          <cell r="I88">
            <v>58.9</v>
          </cell>
          <cell r="J88">
            <v>48.2</v>
          </cell>
          <cell r="K88">
            <v>58.3</v>
          </cell>
          <cell r="L88">
            <v>51.4</v>
          </cell>
          <cell r="M88">
            <v>56.2</v>
          </cell>
          <cell r="N88">
            <v>49.3</v>
          </cell>
          <cell r="O88">
            <v>57.2</v>
          </cell>
        </row>
        <row r="89">
          <cell r="A89">
            <v>403</v>
          </cell>
          <cell r="B89">
            <v>2</v>
          </cell>
          <cell r="C89">
            <v>13.706</v>
          </cell>
          <cell r="D89">
            <v>34.5</v>
          </cell>
          <cell r="E89">
            <v>32</v>
          </cell>
          <cell r="F89">
            <v>49.6</v>
          </cell>
          <cell r="G89">
            <v>32.299999999999997</v>
          </cell>
          <cell r="H89">
            <v>49.1</v>
          </cell>
          <cell r="I89">
            <v>33.5</v>
          </cell>
          <cell r="J89">
            <v>38.700000000000003</v>
          </cell>
          <cell r="K89">
            <v>31.4</v>
          </cell>
          <cell r="L89">
            <v>29.8</v>
          </cell>
          <cell r="M89">
            <v>29.3</v>
          </cell>
          <cell r="N89">
            <v>33.6</v>
          </cell>
          <cell r="O89">
            <v>33.200000000000003</v>
          </cell>
        </row>
        <row r="90">
          <cell r="A90">
            <v>402</v>
          </cell>
          <cell r="B90">
            <v>1</v>
          </cell>
          <cell r="C90">
            <v>13.717000000000001</v>
          </cell>
          <cell r="D90">
            <v>57.2</v>
          </cell>
          <cell r="E90">
            <v>57.2</v>
          </cell>
          <cell r="F90">
            <v>55.7</v>
          </cell>
          <cell r="G90">
            <v>58.9</v>
          </cell>
          <cell r="H90">
            <v>55.3</v>
          </cell>
          <cell r="I90">
            <v>57.5</v>
          </cell>
          <cell r="J90">
            <v>48.3</v>
          </cell>
          <cell r="K90">
            <v>59.1</v>
          </cell>
          <cell r="L90">
            <v>52.5</v>
          </cell>
          <cell r="M90">
            <v>57.2</v>
          </cell>
          <cell r="N90">
            <v>54.1</v>
          </cell>
          <cell r="O90">
            <v>51.9</v>
          </cell>
        </row>
        <row r="91">
          <cell r="A91">
            <v>402</v>
          </cell>
          <cell r="B91">
            <v>2</v>
          </cell>
          <cell r="C91">
            <v>13.722</v>
          </cell>
          <cell r="D91">
            <v>32.700000000000003</v>
          </cell>
          <cell r="E91">
            <v>32.700000000000003</v>
          </cell>
          <cell r="F91">
            <v>41</v>
          </cell>
          <cell r="G91">
            <v>29.7</v>
          </cell>
          <cell r="H91">
            <v>30.8</v>
          </cell>
          <cell r="I91">
            <v>29.5</v>
          </cell>
          <cell r="J91">
            <v>32.200000000000003</v>
          </cell>
          <cell r="K91">
            <v>32.1</v>
          </cell>
          <cell r="L91">
            <v>30</v>
          </cell>
          <cell r="M91">
            <v>32.299999999999997</v>
          </cell>
          <cell r="N91">
            <v>32.200000000000003</v>
          </cell>
          <cell r="O91">
            <v>30.4</v>
          </cell>
        </row>
        <row r="92">
          <cell r="A92">
            <v>401</v>
          </cell>
          <cell r="B92">
            <v>1</v>
          </cell>
          <cell r="C92">
            <v>13.733000000000001</v>
          </cell>
          <cell r="D92">
            <v>55.5</v>
          </cell>
          <cell r="E92">
            <v>57.4</v>
          </cell>
          <cell r="F92">
            <v>56.5</v>
          </cell>
          <cell r="G92">
            <v>58.4</v>
          </cell>
          <cell r="H92">
            <v>56.2</v>
          </cell>
          <cell r="I92">
            <v>58.6</v>
          </cell>
          <cell r="J92">
            <v>55.9</v>
          </cell>
          <cell r="K92">
            <v>57.3</v>
          </cell>
          <cell r="L92">
            <v>57.2</v>
          </cell>
          <cell r="M92">
            <v>56.8</v>
          </cell>
          <cell r="N92">
            <v>53.6</v>
          </cell>
          <cell r="O92">
            <v>57.5</v>
          </cell>
        </row>
        <row r="93">
          <cell r="A93">
            <v>401</v>
          </cell>
          <cell r="B93">
            <v>2</v>
          </cell>
          <cell r="C93">
            <v>13.738</v>
          </cell>
          <cell r="D93">
            <v>31.5</v>
          </cell>
          <cell r="E93">
            <v>32.5</v>
          </cell>
          <cell r="F93">
            <v>33.1</v>
          </cell>
          <cell r="G93">
            <v>33.700000000000003</v>
          </cell>
          <cell r="H93">
            <v>31.9</v>
          </cell>
          <cell r="I93">
            <v>31.6</v>
          </cell>
          <cell r="J93">
            <v>35.700000000000003</v>
          </cell>
          <cell r="K93">
            <v>31.6</v>
          </cell>
          <cell r="L93">
            <v>39.299999999999997</v>
          </cell>
          <cell r="M93">
            <v>39.4</v>
          </cell>
          <cell r="N93">
            <v>39.299999999999997</v>
          </cell>
          <cell r="O93">
            <v>36.299999999999997</v>
          </cell>
        </row>
      </sheetData>
      <sheetData sheetId="2">
        <row r="7">
          <cell r="C7">
            <v>156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37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'IA155.03R'</v>
          </cell>
        </row>
        <row r="14">
          <cell r="A14">
            <v>108</v>
          </cell>
          <cell r="B14">
            <v>1</v>
          </cell>
          <cell r="C14">
            <v>13.103</v>
          </cell>
          <cell r="D14">
            <v>57.1</v>
          </cell>
          <cell r="E14">
            <v>55.3</v>
          </cell>
          <cell r="F14">
            <v>50.4</v>
          </cell>
          <cell r="G14">
            <v>55.9</v>
          </cell>
          <cell r="H14">
            <v>58.5</v>
          </cell>
          <cell r="I14">
            <v>57.1</v>
          </cell>
          <cell r="J14">
            <v>57.3</v>
          </cell>
          <cell r="K14">
            <v>49.6</v>
          </cell>
          <cell r="L14">
            <v>55.8</v>
          </cell>
          <cell r="M14">
            <v>53.5</v>
          </cell>
          <cell r="N14">
            <v>56.8</v>
          </cell>
          <cell r="O14">
            <v>52</v>
          </cell>
        </row>
        <row r="15">
          <cell r="A15">
            <v>108</v>
          </cell>
          <cell r="B15">
            <v>2</v>
          </cell>
          <cell r="C15">
            <v>13.109</v>
          </cell>
          <cell r="D15">
            <v>30</v>
          </cell>
          <cell r="E15">
            <v>32.200000000000003</v>
          </cell>
          <cell r="F15">
            <v>31.5</v>
          </cell>
          <cell r="G15">
            <v>30.6</v>
          </cell>
          <cell r="H15">
            <v>29.7</v>
          </cell>
          <cell r="I15">
            <v>30.2</v>
          </cell>
          <cell r="J15">
            <v>32.6</v>
          </cell>
          <cell r="K15">
            <v>29.9</v>
          </cell>
          <cell r="L15">
            <v>33.9</v>
          </cell>
          <cell r="M15">
            <v>29.2</v>
          </cell>
          <cell r="N15">
            <v>31.3</v>
          </cell>
          <cell r="O15">
            <v>31</v>
          </cell>
        </row>
        <row r="16">
          <cell r="A16">
            <v>107</v>
          </cell>
          <cell r="B16">
            <v>1</v>
          </cell>
          <cell r="C16">
            <v>13.122</v>
          </cell>
          <cell r="D16">
            <v>58.1</v>
          </cell>
          <cell r="E16">
            <v>57.9</v>
          </cell>
          <cell r="F16">
            <v>58.8</v>
          </cell>
          <cell r="G16">
            <v>58.3</v>
          </cell>
          <cell r="H16">
            <v>53.6</v>
          </cell>
          <cell r="I16">
            <v>57.3</v>
          </cell>
          <cell r="J16">
            <v>57.4</v>
          </cell>
          <cell r="K16">
            <v>61</v>
          </cell>
          <cell r="L16">
            <v>51.7</v>
          </cell>
          <cell r="M16">
            <v>59.6</v>
          </cell>
          <cell r="N16">
            <v>53.7</v>
          </cell>
          <cell r="O16">
            <v>58.3</v>
          </cell>
        </row>
        <row r="17">
          <cell r="A17">
            <v>107</v>
          </cell>
          <cell r="B17">
            <v>2</v>
          </cell>
          <cell r="C17">
            <v>13.127000000000001</v>
          </cell>
          <cell r="D17">
            <v>39</v>
          </cell>
          <cell r="E17">
            <v>33.700000000000003</v>
          </cell>
          <cell r="F17">
            <v>31.7</v>
          </cell>
          <cell r="G17">
            <v>31.2</v>
          </cell>
          <cell r="H17">
            <v>29.9</v>
          </cell>
          <cell r="I17">
            <v>30.1</v>
          </cell>
          <cell r="J17">
            <v>32.1</v>
          </cell>
          <cell r="K17">
            <v>29.7</v>
          </cell>
          <cell r="L17">
            <v>30.9</v>
          </cell>
          <cell r="M17">
            <v>30.3</v>
          </cell>
          <cell r="N17">
            <v>30.1</v>
          </cell>
          <cell r="O17">
            <v>30.5</v>
          </cell>
        </row>
        <row r="18">
          <cell r="A18">
            <v>106</v>
          </cell>
          <cell r="B18">
            <v>1</v>
          </cell>
          <cell r="C18">
            <v>13.14</v>
          </cell>
          <cell r="D18">
            <v>56.4</v>
          </cell>
          <cell r="E18">
            <v>56.8</v>
          </cell>
          <cell r="F18">
            <v>51.8</v>
          </cell>
          <cell r="G18">
            <v>56.2</v>
          </cell>
          <cell r="H18">
            <v>51.9</v>
          </cell>
          <cell r="I18">
            <v>56.7</v>
          </cell>
          <cell r="J18">
            <v>52.2</v>
          </cell>
          <cell r="K18">
            <v>58.8</v>
          </cell>
          <cell r="L18">
            <v>51.6</v>
          </cell>
          <cell r="M18">
            <v>56</v>
          </cell>
          <cell r="N18">
            <v>54.3</v>
          </cell>
          <cell r="O18">
            <v>55.5</v>
          </cell>
        </row>
        <row r="19">
          <cell r="A19">
            <v>106</v>
          </cell>
          <cell r="B19">
            <v>2</v>
          </cell>
          <cell r="C19">
            <v>13.145</v>
          </cell>
          <cell r="D19">
            <v>31.2</v>
          </cell>
          <cell r="E19">
            <v>29.9</v>
          </cell>
          <cell r="F19">
            <v>30.6</v>
          </cell>
          <cell r="G19">
            <v>29.1</v>
          </cell>
          <cell r="H19">
            <v>30.3</v>
          </cell>
          <cell r="I19">
            <v>28.7</v>
          </cell>
          <cell r="J19">
            <v>32.1</v>
          </cell>
          <cell r="K19">
            <v>30.5</v>
          </cell>
          <cell r="L19">
            <v>31.3</v>
          </cell>
          <cell r="M19">
            <v>29</v>
          </cell>
          <cell r="N19">
            <v>31.8</v>
          </cell>
          <cell r="O19">
            <v>31.5</v>
          </cell>
        </row>
        <row r="20">
          <cell r="A20">
            <v>105</v>
          </cell>
          <cell r="B20">
            <v>1</v>
          </cell>
          <cell r="C20">
            <v>13.157</v>
          </cell>
          <cell r="D20">
            <v>37.200000000000003</v>
          </cell>
          <cell r="E20">
            <v>34.9</v>
          </cell>
          <cell r="F20">
            <v>36.1</v>
          </cell>
          <cell r="G20">
            <v>35.6</v>
          </cell>
          <cell r="H20">
            <v>34.299999999999997</v>
          </cell>
          <cell r="I20">
            <v>35.700000000000003</v>
          </cell>
          <cell r="J20">
            <v>34.700000000000003</v>
          </cell>
          <cell r="K20">
            <v>35.299999999999997</v>
          </cell>
          <cell r="L20">
            <v>34.5</v>
          </cell>
          <cell r="M20">
            <v>35.9</v>
          </cell>
          <cell r="N20">
            <v>35.5</v>
          </cell>
          <cell r="O20">
            <v>35</v>
          </cell>
        </row>
        <row r="21">
          <cell r="A21">
            <v>105</v>
          </cell>
          <cell r="B21">
            <v>2</v>
          </cell>
          <cell r="C21">
            <v>13.161</v>
          </cell>
          <cell r="D21">
            <v>29.9</v>
          </cell>
          <cell r="E21">
            <v>29.3</v>
          </cell>
          <cell r="F21">
            <v>28.1</v>
          </cell>
          <cell r="G21">
            <v>29</v>
          </cell>
          <cell r="H21">
            <v>28.8</v>
          </cell>
          <cell r="I21">
            <v>29.3</v>
          </cell>
          <cell r="J21">
            <v>29.7</v>
          </cell>
          <cell r="K21">
            <v>28.4</v>
          </cell>
          <cell r="L21">
            <v>30.8</v>
          </cell>
          <cell r="M21">
            <v>29.8</v>
          </cell>
          <cell r="N21">
            <v>29.3</v>
          </cell>
          <cell r="O21">
            <v>28.5</v>
          </cell>
        </row>
        <row r="22">
          <cell r="A22">
            <v>104</v>
          </cell>
          <cell r="B22">
            <v>1</v>
          </cell>
          <cell r="C22">
            <v>13.173</v>
          </cell>
          <cell r="D22">
            <v>56.8</v>
          </cell>
          <cell r="E22">
            <v>53.8</v>
          </cell>
          <cell r="F22">
            <v>57</v>
          </cell>
          <cell r="G22">
            <v>52.4</v>
          </cell>
          <cell r="H22">
            <v>56</v>
          </cell>
          <cell r="I22">
            <v>58</v>
          </cell>
          <cell r="J22">
            <v>53</v>
          </cell>
          <cell r="K22">
            <v>60.7</v>
          </cell>
          <cell r="L22">
            <v>54.1</v>
          </cell>
          <cell r="M22">
            <v>57.3</v>
          </cell>
          <cell r="N22">
            <v>53.4</v>
          </cell>
          <cell r="O22">
            <v>53.6</v>
          </cell>
        </row>
        <row r="23">
          <cell r="A23">
            <v>104</v>
          </cell>
          <cell r="B23">
            <v>2</v>
          </cell>
          <cell r="C23">
            <v>13.178000000000001</v>
          </cell>
          <cell r="D23">
            <v>31.6</v>
          </cell>
          <cell r="E23">
            <v>31</v>
          </cell>
          <cell r="F23">
            <v>31.6</v>
          </cell>
          <cell r="G23">
            <v>31.9</v>
          </cell>
          <cell r="H23">
            <v>32.6</v>
          </cell>
          <cell r="I23">
            <v>30.8</v>
          </cell>
          <cell r="J23">
            <v>32.200000000000003</v>
          </cell>
          <cell r="K23">
            <v>31.9</v>
          </cell>
          <cell r="L23">
            <v>32.299999999999997</v>
          </cell>
          <cell r="M23">
            <v>30.7</v>
          </cell>
          <cell r="N23">
            <v>32.200000000000003</v>
          </cell>
          <cell r="O23">
            <v>31.7</v>
          </cell>
        </row>
        <row r="24">
          <cell r="A24">
            <v>103</v>
          </cell>
          <cell r="B24">
            <v>1</v>
          </cell>
          <cell r="C24">
            <v>13.19</v>
          </cell>
          <cell r="D24">
            <v>58.4</v>
          </cell>
          <cell r="E24">
            <v>49.7</v>
          </cell>
          <cell r="F24">
            <v>59.3</v>
          </cell>
          <cell r="G24">
            <v>55.1</v>
          </cell>
          <cell r="H24">
            <v>46.4</v>
          </cell>
          <cell r="I24">
            <v>56.7</v>
          </cell>
          <cell r="J24">
            <v>47.1</v>
          </cell>
          <cell r="K24">
            <v>61.3</v>
          </cell>
          <cell r="L24">
            <v>46.2</v>
          </cell>
          <cell r="M24">
            <v>56.3</v>
          </cell>
          <cell r="N24">
            <v>47.3</v>
          </cell>
          <cell r="O24">
            <v>51.7</v>
          </cell>
        </row>
        <row r="25">
          <cell r="A25">
            <v>103</v>
          </cell>
          <cell r="B25">
            <v>2</v>
          </cell>
          <cell r="C25">
            <v>13.194000000000001</v>
          </cell>
          <cell r="D25">
            <v>30.6</v>
          </cell>
          <cell r="E25">
            <v>31.7</v>
          </cell>
          <cell r="F25">
            <v>32.4</v>
          </cell>
          <cell r="G25">
            <v>32.5</v>
          </cell>
          <cell r="H25">
            <v>33.799999999999997</v>
          </cell>
          <cell r="I25">
            <v>30.1</v>
          </cell>
          <cell r="J25">
            <v>30.8</v>
          </cell>
          <cell r="K25">
            <v>30.5</v>
          </cell>
          <cell r="L25">
            <v>30.9</v>
          </cell>
          <cell r="M25">
            <v>31</v>
          </cell>
          <cell r="N25">
            <v>33.6</v>
          </cell>
          <cell r="O25">
            <v>31.1</v>
          </cell>
        </row>
        <row r="26">
          <cell r="A26">
            <v>102</v>
          </cell>
          <cell r="B26">
            <v>1</v>
          </cell>
          <cell r="C26">
            <v>13.206</v>
          </cell>
          <cell r="D26">
            <v>59.5</v>
          </cell>
          <cell r="E26">
            <v>56.6</v>
          </cell>
          <cell r="F26">
            <v>57.1</v>
          </cell>
          <cell r="G26">
            <v>56.8</v>
          </cell>
          <cell r="H26">
            <v>57.3</v>
          </cell>
          <cell r="I26">
            <v>58</v>
          </cell>
          <cell r="J26">
            <v>57.4</v>
          </cell>
          <cell r="K26">
            <v>59.1</v>
          </cell>
          <cell r="L26">
            <v>56.8</v>
          </cell>
          <cell r="M26">
            <v>56.3</v>
          </cell>
          <cell r="N26">
            <v>53.6</v>
          </cell>
          <cell r="O26">
            <v>56.9</v>
          </cell>
        </row>
        <row r="27">
          <cell r="A27">
            <v>102</v>
          </cell>
          <cell r="B27">
            <v>2</v>
          </cell>
          <cell r="C27">
            <v>13.211</v>
          </cell>
          <cell r="D27">
            <v>30.5</v>
          </cell>
          <cell r="E27">
            <v>31.2</v>
          </cell>
          <cell r="F27">
            <v>34.4</v>
          </cell>
          <cell r="G27">
            <v>31.3</v>
          </cell>
          <cell r="H27">
            <v>32.4</v>
          </cell>
          <cell r="I27">
            <v>34.4</v>
          </cell>
          <cell r="J27">
            <v>32.700000000000003</v>
          </cell>
          <cell r="K27">
            <v>33</v>
          </cell>
          <cell r="L27">
            <v>31.3</v>
          </cell>
          <cell r="M27">
            <v>29.3</v>
          </cell>
          <cell r="N27">
            <v>33.1</v>
          </cell>
          <cell r="O27">
            <v>31.9</v>
          </cell>
        </row>
        <row r="28">
          <cell r="A28">
            <v>101</v>
          </cell>
          <cell r="B28">
            <v>1</v>
          </cell>
          <cell r="C28">
            <v>13.223000000000001</v>
          </cell>
          <cell r="D28">
            <v>57.2</v>
          </cell>
          <cell r="E28">
            <v>57.1</v>
          </cell>
          <cell r="F28">
            <v>58.1</v>
          </cell>
          <cell r="G28">
            <v>58.5</v>
          </cell>
          <cell r="H28">
            <v>53.8</v>
          </cell>
          <cell r="I28">
            <v>58</v>
          </cell>
          <cell r="J28">
            <v>55.2</v>
          </cell>
          <cell r="K28">
            <v>58.8</v>
          </cell>
          <cell r="L28">
            <v>59.8</v>
          </cell>
          <cell r="M28">
            <v>59.4</v>
          </cell>
          <cell r="N28">
            <v>56.2</v>
          </cell>
          <cell r="O28">
            <v>57.5</v>
          </cell>
        </row>
        <row r="29">
          <cell r="A29">
            <v>101</v>
          </cell>
          <cell r="B29">
            <v>2</v>
          </cell>
          <cell r="C29">
            <v>13.227</v>
          </cell>
          <cell r="D29">
            <v>31.3</v>
          </cell>
          <cell r="E29">
            <v>33.1</v>
          </cell>
          <cell r="F29">
            <v>34.200000000000003</v>
          </cell>
          <cell r="G29">
            <v>38.9</v>
          </cell>
          <cell r="H29">
            <v>33.799999999999997</v>
          </cell>
          <cell r="I29">
            <v>32.200000000000003</v>
          </cell>
          <cell r="J29">
            <v>39.200000000000003</v>
          </cell>
          <cell r="K29">
            <v>31.9</v>
          </cell>
          <cell r="L29">
            <v>37</v>
          </cell>
          <cell r="M29">
            <v>32.6</v>
          </cell>
          <cell r="N29">
            <v>32.799999999999997</v>
          </cell>
          <cell r="O29">
            <v>35.6</v>
          </cell>
        </row>
        <row r="30">
          <cell r="A30">
            <v>201</v>
          </cell>
          <cell r="B30">
            <v>1</v>
          </cell>
          <cell r="C30">
            <v>13.244</v>
          </cell>
          <cell r="D30">
            <v>37.700000000000003</v>
          </cell>
          <cell r="E30">
            <v>36.4</v>
          </cell>
          <cell r="F30">
            <v>36.799999999999997</v>
          </cell>
          <cell r="G30">
            <v>36.5</v>
          </cell>
          <cell r="H30">
            <v>36.9</v>
          </cell>
          <cell r="I30">
            <v>37.5</v>
          </cell>
          <cell r="J30">
            <v>36.5</v>
          </cell>
          <cell r="K30">
            <v>37.200000000000003</v>
          </cell>
          <cell r="L30">
            <v>36.799999999999997</v>
          </cell>
          <cell r="M30">
            <v>36.4</v>
          </cell>
          <cell r="N30">
            <v>35.1</v>
          </cell>
          <cell r="O30">
            <v>35.200000000000003</v>
          </cell>
        </row>
        <row r="31">
          <cell r="A31">
            <v>201</v>
          </cell>
          <cell r="B31">
            <v>2</v>
          </cell>
          <cell r="C31">
            <v>13.247999999999999</v>
          </cell>
          <cell r="D31">
            <v>29.6</v>
          </cell>
          <cell r="E31">
            <v>29.2</v>
          </cell>
          <cell r="F31">
            <v>29.9</v>
          </cell>
          <cell r="G31">
            <v>30.7</v>
          </cell>
          <cell r="H31">
            <v>29.8</v>
          </cell>
          <cell r="I31">
            <v>31.4</v>
          </cell>
          <cell r="J31">
            <v>28.9</v>
          </cell>
          <cell r="K31">
            <v>30.2</v>
          </cell>
          <cell r="L31">
            <v>29.5</v>
          </cell>
          <cell r="M31">
            <v>29.5</v>
          </cell>
          <cell r="N31">
            <v>29.6</v>
          </cell>
          <cell r="O31">
            <v>30.8</v>
          </cell>
        </row>
        <row r="32">
          <cell r="A32">
            <v>202</v>
          </cell>
          <cell r="B32">
            <v>1</v>
          </cell>
          <cell r="C32">
            <v>13.26</v>
          </cell>
          <cell r="D32">
            <v>59.2</v>
          </cell>
          <cell r="E32">
            <v>54.8</v>
          </cell>
          <cell r="F32">
            <v>57.3</v>
          </cell>
          <cell r="G32">
            <v>57</v>
          </cell>
          <cell r="H32">
            <v>58</v>
          </cell>
          <cell r="I32">
            <v>56</v>
          </cell>
          <cell r="J32">
            <v>54.2</v>
          </cell>
          <cell r="K32">
            <v>57.9</v>
          </cell>
          <cell r="L32">
            <v>57</v>
          </cell>
          <cell r="M32">
            <v>57.1</v>
          </cell>
          <cell r="N32">
            <v>50.5</v>
          </cell>
          <cell r="O32">
            <v>55.5</v>
          </cell>
        </row>
        <row r="33">
          <cell r="A33">
            <v>202</v>
          </cell>
          <cell r="B33">
            <v>2</v>
          </cell>
          <cell r="C33">
            <v>13.265000000000001</v>
          </cell>
          <cell r="D33">
            <v>30.1</v>
          </cell>
          <cell r="E33">
            <v>30.1</v>
          </cell>
          <cell r="F33">
            <v>32.799999999999997</v>
          </cell>
          <cell r="G33">
            <v>30.6</v>
          </cell>
          <cell r="H33">
            <v>30.4</v>
          </cell>
          <cell r="I33">
            <v>33.200000000000003</v>
          </cell>
          <cell r="J33">
            <v>30</v>
          </cell>
          <cell r="K33">
            <v>30.2</v>
          </cell>
          <cell r="L33">
            <v>30</v>
          </cell>
          <cell r="M33">
            <v>28.4</v>
          </cell>
          <cell r="N33">
            <v>30.6</v>
          </cell>
          <cell r="O33">
            <v>29.6</v>
          </cell>
        </row>
        <row r="34">
          <cell r="A34">
            <v>203</v>
          </cell>
          <cell r="B34">
            <v>1</v>
          </cell>
          <cell r="C34">
            <v>13.276</v>
          </cell>
          <cell r="D34">
            <v>58.6</v>
          </cell>
          <cell r="E34">
            <v>58.9</v>
          </cell>
          <cell r="F34">
            <v>59.8</v>
          </cell>
          <cell r="G34">
            <v>60.4</v>
          </cell>
          <cell r="H34">
            <v>49.6</v>
          </cell>
          <cell r="I34">
            <v>59.2</v>
          </cell>
          <cell r="J34">
            <v>56.7</v>
          </cell>
          <cell r="K34">
            <v>60.6</v>
          </cell>
          <cell r="L34">
            <v>58.9</v>
          </cell>
          <cell r="M34">
            <v>57.6</v>
          </cell>
          <cell r="N34">
            <v>56</v>
          </cell>
          <cell r="O34">
            <v>56.6</v>
          </cell>
        </row>
        <row r="35">
          <cell r="A35">
            <v>203</v>
          </cell>
          <cell r="B35">
            <v>2</v>
          </cell>
          <cell r="C35">
            <v>13.28</v>
          </cell>
          <cell r="D35">
            <v>31.5</v>
          </cell>
          <cell r="E35">
            <v>31.3</v>
          </cell>
          <cell r="F35">
            <v>31.2</v>
          </cell>
          <cell r="G35">
            <v>31.3</v>
          </cell>
          <cell r="H35">
            <v>31.7</v>
          </cell>
          <cell r="I35">
            <v>33.5</v>
          </cell>
          <cell r="J35">
            <v>31.9</v>
          </cell>
          <cell r="K35">
            <v>31.2</v>
          </cell>
          <cell r="L35">
            <v>32.1</v>
          </cell>
          <cell r="M35">
            <v>30.1</v>
          </cell>
          <cell r="N35">
            <v>31.1</v>
          </cell>
          <cell r="O35">
            <v>31</v>
          </cell>
        </row>
        <row r="36">
          <cell r="A36">
            <v>204</v>
          </cell>
          <cell r="B36">
            <v>1</v>
          </cell>
          <cell r="C36">
            <v>13.292</v>
          </cell>
          <cell r="D36">
            <v>37.700000000000003</v>
          </cell>
          <cell r="E36">
            <v>36</v>
          </cell>
          <cell r="F36">
            <v>36.9</v>
          </cell>
          <cell r="G36">
            <v>40.5</v>
          </cell>
          <cell r="H36">
            <v>37.9</v>
          </cell>
          <cell r="I36">
            <v>37.6</v>
          </cell>
          <cell r="J36">
            <v>38.799999999999997</v>
          </cell>
          <cell r="K36">
            <v>35.200000000000003</v>
          </cell>
          <cell r="L36">
            <v>35.299999999999997</v>
          </cell>
          <cell r="M36">
            <v>37.799999999999997</v>
          </cell>
          <cell r="N36">
            <v>37.700000000000003</v>
          </cell>
          <cell r="O36">
            <v>35.5</v>
          </cell>
        </row>
        <row r="37">
          <cell r="A37">
            <v>204</v>
          </cell>
          <cell r="B37">
            <v>2</v>
          </cell>
          <cell r="C37">
            <v>13.297000000000001</v>
          </cell>
          <cell r="D37">
            <v>30.9</v>
          </cell>
          <cell r="E37">
            <v>28.9</v>
          </cell>
          <cell r="F37">
            <v>29.2</v>
          </cell>
          <cell r="G37">
            <v>30</v>
          </cell>
          <cell r="H37">
            <v>27.7</v>
          </cell>
          <cell r="I37">
            <v>29.2</v>
          </cell>
          <cell r="J37">
            <v>29.6</v>
          </cell>
          <cell r="K37">
            <v>30</v>
          </cell>
          <cell r="L37">
            <v>30.6</v>
          </cell>
          <cell r="M37">
            <v>29.3</v>
          </cell>
          <cell r="N37">
            <v>29.1</v>
          </cell>
          <cell r="O37">
            <v>28.9</v>
          </cell>
        </row>
        <row r="38">
          <cell r="A38">
            <v>205</v>
          </cell>
          <cell r="B38">
            <v>1</v>
          </cell>
          <cell r="C38">
            <v>13.308</v>
          </cell>
          <cell r="D38">
            <v>56.8</v>
          </cell>
          <cell r="E38">
            <v>58.2</v>
          </cell>
          <cell r="F38">
            <v>57.8</v>
          </cell>
          <cell r="G38">
            <v>52.8</v>
          </cell>
          <cell r="H38">
            <v>56.9</v>
          </cell>
          <cell r="I38">
            <v>56.8</v>
          </cell>
          <cell r="J38">
            <v>55.1</v>
          </cell>
          <cell r="K38">
            <v>57.6</v>
          </cell>
          <cell r="L38">
            <v>59.3</v>
          </cell>
          <cell r="M38">
            <v>56.8</v>
          </cell>
          <cell r="N38">
            <v>54.5</v>
          </cell>
          <cell r="O38">
            <v>56.9</v>
          </cell>
        </row>
        <row r="39">
          <cell r="A39">
            <v>205</v>
          </cell>
          <cell r="B39">
            <v>2</v>
          </cell>
          <cell r="C39">
            <v>13.311999999999999</v>
          </cell>
          <cell r="D39">
            <v>30.2</v>
          </cell>
          <cell r="E39">
            <v>30.7</v>
          </cell>
          <cell r="F39">
            <v>36.5</v>
          </cell>
          <cell r="G39">
            <v>33</v>
          </cell>
          <cell r="H39">
            <v>33.9</v>
          </cell>
          <cell r="I39">
            <v>31.8</v>
          </cell>
          <cell r="J39">
            <v>33.200000000000003</v>
          </cell>
          <cell r="K39">
            <v>30.7</v>
          </cell>
          <cell r="L39">
            <v>32.9</v>
          </cell>
          <cell r="M39">
            <v>30.9</v>
          </cell>
          <cell r="N39">
            <v>35.5</v>
          </cell>
          <cell r="O39">
            <v>31.3</v>
          </cell>
        </row>
        <row r="40">
          <cell r="A40">
            <v>206</v>
          </cell>
          <cell r="B40">
            <v>1</v>
          </cell>
          <cell r="C40">
            <v>13.324</v>
          </cell>
          <cell r="D40">
            <v>57.3</v>
          </cell>
          <cell r="E40">
            <v>57.7</v>
          </cell>
          <cell r="F40">
            <v>58.2</v>
          </cell>
          <cell r="G40">
            <v>57.9</v>
          </cell>
          <cell r="H40">
            <v>57.6</v>
          </cell>
          <cell r="I40">
            <v>57</v>
          </cell>
          <cell r="J40">
            <v>56.9</v>
          </cell>
          <cell r="K40">
            <v>56.9</v>
          </cell>
          <cell r="L40">
            <v>56.4</v>
          </cell>
          <cell r="M40">
            <v>57.7</v>
          </cell>
          <cell r="N40">
            <v>57.3</v>
          </cell>
          <cell r="O40">
            <v>58.9</v>
          </cell>
        </row>
        <row r="41">
          <cell r="A41">
            <v>206</v>
          </cell>
          <cell r="B41">
            <v>2</v>
          </cell>
          <cell r="C41">
            <v>13.329000000000001</v>
          </cell>
          <cell r="D41">
            <v>32.4</v>
          </cell>
          <cell r="E41">
            <v>31.1</v>
          </cell>
          <cell r="F41">
            <v>35</v>
          </cell>
          <cell r="G41">
            <v>32.299999999999997</v>
          </cell>
          <cell r="H41">
            <v>32.200000000000003</v>
          </cell>
          <cell r="I41">
            <v>30.9</v>
          </cell>
          <cell r="J41">
            <v>35.299999999999997</v>
          </cell>
          <cell r="K41">
            <v>31.8</v>
          </cell>
          <cell r="L41">
            <v>33.6</v>
          </cell>
          <cell r="M41">
            <v>35.200000000000003</v>
          </cell>
          <cell r="N41">
            <v>32.9</v>
          </cell>
          <cell r="O41">
            <v>31.3</v>
          </cell>
        </row>
        <row r="42">
          <cell r="A42">
            <v>207</v>
          </cell>
          <cell r="B42">
            <v>1</v>
          </cell>
          <cell r="C42">
            <v>13.342000000000001</v>
          </cell>
          <cell r="D42">
            <v>58.6</v>
          </cell>
          <cell r="E42">
            <v>52.9</v>
          </cell>
          <cell r="F42">
            <v>57.5</v>
          </cell>
          <cell r="G42">
            <v>52.8</v>
          </cell>
          <cell r="H42">
            <v>56</v>
          </cell>
          <cell r="I42">
            <v>55.4</v>
          </cell>
          <cell r="J42">
            <v>57.5</v>
          </cell>
          <cell r="K42">
            <v>56.2</v>
          </cell>
          <cell r="L42">
            <v>46.8</v>
          </cell>
          <cell r="M42">
            <v>57.6</v>
          </cell>
          <cell r="N42">
            <v>51.8</v>
          </cell>
          <cell r="O42">
            <v>54.7</v>
          </cell>
        </row>
        <row r="43">
          <cell r="A43">
            <v>207</v>
          </cell>
          <cell r="B43">
            <v>2</v>
          </cell>
          <cell r="C43">
            <v>13.346</v>
          </cell>
          <cell r="D43">
            <v>29.6</v>
          </cell>
          <cell r="E43">
            <v>30.6</v>
          </cell>
          <cell r="F43">
            <v>29</v>
          </cell>
          <cell r="G43">
            <v>28.6</v>
          </cell>
          <cell r="H43">
            <v>30.9</v>
          </cell>
          <cell r="I43">
            <v>29.3</v>
          </cell>
          <cell r="J43">
            <v>29.4</v>
          </cell>
          <cell r="K43">
            <v>29.6</v>
          </cell>
          <cell r="L43">
            <v>31.4</v>
          </cell>
          <cell r="M43">
            <v>29.7</v>
          </cell>
          <cell r="N43">
            <v>30.5</v>
          </cell>
          <cell r="O43">
            <v>30.4</v>
          </cell>
        </row>
        <row r="44">
          <cell r="A44">
            <v>208</v>
          </cell>
          <cell r="B44">
            <v>1</v>
          </cell>
          <cell r="C44">
            <v>13.356999999999999</v>
          </cell>
          <cell r="D44">
            <v>57</v>
          </cell>
          <cell r="E44">
            <v>57.8</v>
          </cell>
          <cell r="F44">
            <v>56.4</v>
          </cell>
          <cell r="G44">
            <v>58.9</v>
          </cell>
          <cell r="H44">
            <v>58.5</v>
          </cell>
          <cell r="I44">
            <v>58.4</v>
          </cell>
          <cell r="J44">
            <v>57.1</v>
          </cell>
          <cell r="K44">
            <v>59.8</v>
          </cell>
          <cell r="L44">
            <v>57.3</v>
          </cell>
          <cell r="M44">
            <v>58.1</v>
          </cell>
          <cell r="N44">
            <v>58.8</v>
          </cell>
          <cell r="O44">
            <v>57.9</v>
          </cell>
        </row>
        <row r="45">
          <cell r="A45">
            <v>208</v>
          </cell>
          <cell r="B45">
            <v>2</v>
          </cell>
          <cell r="C45">
            <v>13.361000000000001</v>
          </cell>
          <cell r="D45">
            <v>33.6</v>
          </cell>
          <cell r="E45">
            <v>35.200000000000003</v>
          </cell>
          <cell r="F45">
            <v>33.700000000000003</v>
          </cell>
          <cell r="G45">
            <v>31.9</v>
          </cell>
          <cell r="H45">
            <v>32</v>
          </cell>
          <cell r="I45">
            <v>34.200000000000003</v>
          </cell>
          <cell r="J45">
            <v>33</v>
          </cell>
          <cell r="K45">
            <v>32</v>
          </cell>
          <cell r="L45">
            <v>37.799999999999997</v>
          </cell>
          <cell r="M45">
            <v>31.4</v>
          </cell>
          <cell r="N45">
            <v>33.700000000000003</v>
          </cell>
          <cell r="O45">
            <v>35</v>
          </cell>
        </row>
        <row r="46">
          <cell r="A46">
            <v>908</v>
          </cell>
          <cell r="B46">
            <v>1</v>
          </cell>
          <cell r="C46">
            <v>13.379</v>
          </cell>
          <cell r="D46">
            <v>57.5</v>
          </cell>
          <cell r="E46">
            <v>57.5</v>
          </cell>
          <cell r="F46">
            <v>51</v>
          </cell>
          <cell r="G46">
            <v>56.3</v>
          </cell>
          <cell r="H46">
            <v>57.1</v>
          </cell>
          <cell r="I46">
            <v>57.8</v>
          </cell>
          <cell r="J46">
            <v>58</v>
          </cell>
          <cell r="K46">
            <v>58.2</v>
          </cell>
          <cell r="L46">
            <v>56.4</v>
          </cell>
          <cell r="M46">
            <v>58.7</v>
          </cell>
          <cell r="N46">
            <v>56.8</v>
          </cell>
          <cell r="O46">
            <v>53.8</v>
          </cell>
        </row>
        <row r="47">
          <cell r="A47">
            <v>908</v>
          </cell>
          <cell r="B47">
            <v>2</v>
          </cell>
          <cell r="C47">
            <v>13.384</v>
          </cell>
          <cell r="D47">
            <v>30.9</v>
          </cell>
          <cell r="E47">
            <v>30.3</v>
          </cell>
          <cell r="F47">
            <v>30.5</v>
          </cell>
          <cell r="G47">
            <v>31.4</v>
          </cell>
          <cell r="H47">
            <v>34.1</v>
          </cell>
          <cell r="I47">
            <v>30.3</v>
          </cell>
          <cell r="J47">
            <v>38.1</v>
          </cell>
          <cell r="K47">
            <v>30.1</v>
          </cell>
          <cell r="L47">
            <v>40.5</v>
          </cell>
          <cell r="M47">
            <v>30.5</v>
          </cell>
          <cell r="N47">
            <v>31.7</v>
          </cell>
          <cell r="O47">
            <v>29.3</v>
          </cell>
        </row>
        <row r="48">
          <cell r="A48">
            <v>907</v>
          </cell>
          <cell r="B48">
            <v>1</v>
          </cell>
          <cell r="C48">
            <v>13.396000000000001</v>
          </cell>
          <cell r="D48">
            <v>63.9</v>
          </cell>
          <cell r="E48">
            <v>64.3</v>
          </cell>
          <cell r="F48">
            <v>64.2</v>
          </cell>
          <cell r="G48">
            <v>64.3</v>
          </cell>
          <cell r="H48">
            <v>63.9</v>
          </cell>
          <cell r="I48">
            <v>64.400000000000006</v>
          </cell>
          <cell r="J48">
            <v>65</v>
          </cell>
          <cell r="K48">
            <v>64.8</v>
          </cell>
          <cell r="L48">
            <v>64.400000000000006</v>
          </cell>
          <cell r="M48">
            <v>64.2</v>
          </cell>
          <cell r="N48">
            <v>65.7</v>
          </cell>
          <cell r="O48">
            <v>64.5</v>
          </cell>
        </row>
        <row r="50">
          <cell r="A50">
            <v>906</v>
          </cell>
          <cell r="B50">
            <v>1</v>
          </cell>
          <cell r="C50">
            <v>13.406000000000001</v>
          </cell>
          <cell r="D50">
            <v>56.9</v>
          </cell>
          <cell r="E50">
            <v>54.4</v>
          </cell>
          <cell r="F50">
            <v>54.6</v>
          </cell>
          <cell r="G50">
            <v>57.4</v>
          </cell>
          <cell r="H50">
            <v>55.4</v>
          </cell>
          <cell r="I50">
            <v>57.5</v>
          </cell>
          <cell r="J50">
            <v>56.2</v>
          </cell>
          <cell r="K50">
            <v>57.7</v>
          </cell>
          <cell r="L50">
            <v>55.9</v>
          </cell>
          <cell r="M50">
            <v>57.1</v>
          </cell>
          <cell r="N50">
            <v>57.6</v>
          </cell>
          <cell r="O50">
            <v>54.4</v>
          </cell>
        </row>
        <row r="51">
          <cell r="A51">
            <v>906</v>
          </cell>
          <cell r="B51">
            <v>2</v>
          </cell>
          <cell r="C51">
            <v>13.41</v>
          </cell>
          <cell r="D51">
            <v>28.7</v>
          </cell>
          <cell r="E51">
            <v>31.1</v>
          </cell>
          <cell r="F51">
            <v>31.8</v>
          </cell>
          <cell r="G51">
            <v>36.1</v>
          </cell>
          <cell r="H51">
            <v>33.700000000000003</v>
          </cell>
          <cell r="I51">
            <v>29.4</v>
          </cell>
          <cell r="J51">
            <v>30.2</v>
          </cell>
          <cell r="K51">
            <v>34</v>
          </cell>
          <cell r="L51">
            <v>30.8</v>
          </cell>
          <cell r="M51">
            <v>31</v>
          </cell>
          <cell r="N51">
            <v>33.1</v>
          </cell>
          <cell r="O51">
            <v>30.5</v>
          </cell>
        </row>
        <row r="52">
          <cell r="A52">
            <v>905</v>
          </cell>
          <cell r="B52">
            <v>1</v>
          </cell>
          <cell r="C52">
            <v>13.422000000000001</v>
          </cell>
          <cell r="D52">
            <v>38.5</v>
          </cell>
          <cell r="E52">
            <v>38.5</v>
          </cell>
          <cell r="F52">
            <v>38.1</v>
          </cell>
          <cell r="G52">
            <v>38.5</v>
          </cell>
          <cell r="H52">
            <v>38.9</v>
          </cell>
          <cell r="I52">
            <v>38.700000000000003</v>
          </cell>
          <cell r="J52">
            <v>38.4</v>
          </cell>
          <cell r="K52">
            <v>38.4</v>
          </cell>
          <cell r="L52">
            <v>38.700000000000003</v>
          </cell>
          <cell r="M52">
            <v>38.5</v>
          </cell>
          <cell r="N52">
            <v>38.4</v>
          </cell>
          <cell r="O52">
            <v>38.799999999999997</v>
          </cell>
        </row>
        <row r="54">
          <cell r="A54">
            <v>904</v>
          </cell>
          <cell r="B54">
            <v>1</v>
          </cell>
          <cell r="C54">
            <v>13.430999999999999</v>
          </cell>
          <cell r="D54">
            <v>57.7</v>
          </cell>
          <cell r="E54">
            <v>51</v>
          </cell>
          <cell r="F54">
            <v>56.3</v>
          </cell>
          <cell r="G54">
            <v>56.7</v>
          </cell>
          <cell r="H54">
            <v>53.2</v>
          </cell>
          <cell r="I54">
            <v>57.4</v>
          </cell>
          <cell r="J54">
            <v>51.7</v>
          </cell>
          <cell r="K54">
            <v>57.7</v>
          </cell>
          <cell r="L54">
            <v>49.2</v>
          </cell>
          <cell r="M54">
            <v>56.5</v>
          </cell>
          <cell r="N54">
            <v>53.4</v>
          </cell>
          <cell r="O54">
            <v>57.3</v>
          </cell>
        </row>
        <row r="55">
          <cell r="A55">
            <v>904</v>
          </cell>
          <cell r="B55">
            <v>2</v>
          </cell>
          <cell r="C55">
            <v>13.435</v>
          </cell>
          <cell r="D55">
            <v>31</v>
          </cell>
          <cell r="E55">
            <v>34.299999999999997</v>
          </cell>
          <cell r="F55">
            <v>32.799999999999997</v>
          </cell>
          <cell r="G55">
            <v>32.9</v>
          </cell>
          <cell r="H55">
            <v>36.200000000000003</v>
          </cell>
          <cell r="I55">
            <v>32.1</v>
          </cell>
          <cell r="J55">
            <v>38.700000000000003</v>
          </cell>
          <cell r="K55">
            <v>31.9</v>
          </cell>
          <cell r="L55">
            <v>31.7</v>
          </cell>
          <cell r="M55">
            <v>29.9</v>
          </cell>
          <cell r="N55">
            <v>33.1</v>
          </cell>
          <cell r="O55">
            <v>33.5</v>
          </cell>
        </row>
        <row r="56">
          <cell r="A56">
            <v>903</v>
          </cell>
          <cell r="B56">
            <v>1</v>
          </cell>
          <cell r="C56">
            <v>13.446999999999999</v>
          </cell>
          <cell r="D56">
            <v>63.9</v>
          </cell>
          <cell r="E56">
            <v>64</v>
          </cell>
          <cell r="F56">
            <v>64.3</v>
          </cell>
          <cell r="G56">
            <v>64.3</v>
          </cell>
          <cell r="H56">
            <v>64.099999999999994</v>
          </cell>
          <cell r="I56">
            <v>64.2</v>
          </cell>
          <cell r="J56">
            <v>64.400000000000006</v>
          </cell>
          <cell r="K56">
            <v>64.599999999999994</v>
          </cell>
          <cell r="L56">
            <v>64.900000000000006</v>
          </cell>
          <cell r="M56">
            <v>65.3</v>
          </cell>
          <cell r="N56">
            <v>64.900000000000006</v>
          </cell>
          <cell r="O56">
            <v>65.099999999999994</v>
          </cell>
        </row>
        <row r="58">
          <cell r="A58">
            <v>902</v>
          </cell>
          <cell r="B58">
            <v>1</v>
          </cell>
          <cell r="C58">
            <v>13.455</v>
          </cell>
          <cell r="D58">
            <v>57.7</v>
          </cell>
          <cell r="E58">
            <v>58</v>
          </cell>
          <cell r="F58">
            <v>56.9</v>
          </cell>
          <cell r="G58">
            <v>58.5</v>
          </cell>
          <cell r="H58">
            <v>56.7</v>
          </cell>
          <cell r="I58">
            <v>57</v>
          </cell>
          <cell r="J58">
            <v>57.4</v>
          </cell>
          <cell r="K58">
            <v>58.9</v>
          </cell>
          <cell r="L58">
            <v>56.4</v>
          </cell>
          <cell r="M58">
            <v>58.1</v>
          </cell>
          <cell r="N58">
            <v>55.9</v>
          </cell>
          <cell r="O58">
            <v>55.5</v>
          </cell>
        </row>
        <row r="59">
          <cell r="A59">
            <v>902</v>
          </cell>
          <cell r="B59">
            <v>2</v>
          </cell>
          <cell r="C59">
            <v>13.46</v>
          </cell>
          <cell r="D59">
            <v>33.1</v>
          </cell>
          <cell r="E59">
            <v>30.9</v>
          </cell>
          <cell r="F59">
            <v>39.6</v>
          </cell>
          <cell r="G59">
            <v>31.4</v>
          </cell>
          <cell r="H59">
            <v>30.1</v>
          </cell>
          <cell r="I59">
            <v>31</v>
          </cell>
          <cell r="J59">
            <v>31.5</v>
          </cell>
          <cell r="K59">
            <v>29.2</v>
          </cell>
          <cell r="L59">
            <v>29.1</v>
          </cell>
          <cell r="M59">
            <v>28.3</v>
          </cell>
          <cell r="N59">
            <v>30.6</v>
          </cell>
          <cell r="O59">
            <v>30.1</v>
          </cell>
        </row>
        <row r="60">
          <cell r="A60">
            <v>901</v>
          </cell>
          <cell r="B60">
            <v>1</v>
          </cell>
          <cell r="C60">
            <v>13.472</v>
          </cell>
          <cell r="D60">
            <v>36.200000000000003</v>
          </cell>
          <cell r="E60">
            <v>36.1</v>
          </cell>
          <cell r="F60">
            <v>36.1</v>
          </cell>
          <cell r="G60">
            <v>36</v>
          </cell>
          <cell r="H60">
            <v>35.799999999999997</v>
          </cell>
          <cell r="I60">
            <v>35.299999999999997</v>
          </cell>
          <cell r="J60">
            <v>35.200000000000003</v>
          </cell>
          <cell r="K60">
            <v>36.200000000000003</v>
          </cell>
          <cell r="L60">
            <v>36.200000000000003</v>
          </cell>
          <cell r="M60">
            <v>36.5</v>
          </cell>
          <cell r="N60">
            <v>36.5</v>
          </cell>
          <cell r="O60">
            <v>36.1</v>
          </cell>
        </row>
        <row r="62">
          <cell r="A62">
            <v>301</v>
          </cell>
          <cell r="B62">
            <v>1</v>
          </cell>
          <cell r="C62">
            <v>13.483000000000001</v>
          </cell>
          <cell r="D62">
            <v>57.2</v>
          </cell>
          <cell r="E62">
            <v>55.3</v>
          </cell>
          <cell r="F62">
            <v>56.5</v>
          </cell>
          <cell r="G62">
            <v>57.4</v>
          </cell>
          <cell r="H62">
            <v>51.6</v>
          </cell>
          <cell r="I62">
            <v>57.8</v>
          </cell>
          <cell r="J62">
            <v>46.4</v>
          </cell>
          <cell r="K62">
            <v>59.1</v>
          </cell>
          <cell r="L62">
            <v>49.7</v>
          </cell>
          <cell r="M62">
            <v>60.9</v>
          </cell>
          <cell r="N62">
            <v>50.8</v>
          </cell>
          <cell r="O62">
            <v>56.2</v>
          </cell>
        </row>
        <row r="63">
          <cell r="A63">
            <v>301</v>
          </cell>
          <cell r="B63">
            <v>2</v>
          </cell>
          <cell r="C63">
            <v>13.488</v>
          </cell>
          <cell r="D63">
            <v>28.4</v>
          </cell>
          <cell r="E63">
            <v>30.1</v>
          </cell>
          <cell r="F63">
            <v>32.700000000000003</v>
          </cell>
          <cell r="G63">
            <v>31.7</v>
          </cell>
          <cell r="H63">
            <v>29.6</v>
          </cell>
          <cell r="I63">
            <v>30.4</v>
          </cell>
          <cell r="J63">
            <v>31.9</v>
          </cell>
          <cell r="K63">
            <v>30.4</v>
          </cell>
          <cell r="L63">
            <v>32.799999999999997</v>
          </cell>
          <cell r="M63">
            <v>32.6</v>
          </cell>
          <cell r="N63">
            <v>32.799999999999997</v>
          </cell>
          <cell r="O63">
            <v>32.799999999999997</v>
          </cell>
        </row>
        <row r="64">
          <cell r="A64">
            <v>302</v>
          </cell>
          <cell r="B64">
            <v>1</v>
          </cell>
          <cell r="C64">
            <v>13.499000000000001</v>
          </cell>
          <cell r="D64">
            <v>57.6</v>
          </cell>
          <cell r="E64">
            <v>57.1</v>
          </cell>
          <cell r="F64">
            <v>58.4</v>
          </cell>
          <cell r="G64">
            <v>58.6</v>
          </cell>
          <cell r="H64">
            <v>56.5</v>
          </cell>
          <cell r="I64">
            <v>57.2</v>
          </cell>
          <cell r="J64">
            <v>56.7</v>
          </cell>
          <cell r="K64">
            <v>58.3</v>
          </cell>
          <cell r="L64">
            <v>54.8</v>
          </cell>
          <cell r="M64">
            <v>55.3</v>
          </cell>
          <cell r="N64">
            <v>56.3</v>
          </cell>
          <cell r="O64">
            <v>54.2</v>
          </cell>
        </row>
        <row r="65">
          <cell r="A65">
            <v>302</v>
          </cell>
          <cell r="B65">
            <v>2</v>
          </cell>
          <cell r="C65">
            <v>13.503</v>
          </cell>
          <cell r="D65">
            <v>34.200000000000003</v>
          </cell>
          <cell r="E65">
            <v>32.799999999999997</v>
          </cell>
          <cell r="F65">
            <v>31.6</v>
          </cell>
          <cell r="G65">
            <v>30.4</v>
          </cell>
          <cell r="H65">
            <v>32</v>
          </cell>
          <cell r="I65">
            <v>32.299999999999997</v>
          </cell>
          <cell r="J65">
            <v>30.6</v>
          </cell>
          <cell r="K65">
            <v>31.5</v>
          </cell>
          <cell r="L65">
            <v>32.200000000000003</v>
          </cell>
          <cell r="M65">
            <v>32.1</v>
          </cell>
          <cell r="N65">
            <v>31.9</v>
          </cell>
          <cell r="O65">
            <v>30.1</v>
          </cell>
        </row>
        <row r="66">
          <cell r="A66">
            <v>303</v>
          </cell>
          <cell r="B66">
            <v>1</v>
          </cell>
          <cell r="C66">
            <v>13.515000000000001</v>
          </cell>
          <cell r="D66">
            <v>56.6</v>
          </cell>
          <cell r="E66">
            <v>58.5</v>
          </cell>
          <cell r="F66">
            <v>55.5</v>
          </cell>
          <cell r="G66">
            <v>56.4</v>
          </cell>
          <cell r="H66">
            <v>56</v>
          </cell>
          <cell r="I66">
            <v>55.9</v>
          </cell>
          <cell r="J66">
            <v>56.4</v>
          </cell>
          <cell r="K66">
            <v>57.7</v>
          </cell>
          <cell r="L66">
            <v>55.9</v>
          </cell>
          <cell r="M66">
            <v>57.7</v>
          </cell>
          <cell r="N66">
            <v>58.9</v>
          </cell>
          <cell r="O66">
            <v>57.9</v>
          </cell>
        </row>
        <row r="67">
          <cell r="A67">
            <v>303</v>
          </cell>
          <cell r="B67">
            <v>2</v>
          </cell>
          <cell r="C67">
            <v>13.519</v>
          </cell>
          <cell r="D67">
            <v>33.299999999999997</v>
          </cell>
          <cell r="E67">
            <v>31.4</v>
          </cell>
          <cell r="F67">
            <v>31.2</v>
          </cell>
          <cell r="G67">
            <v>31.8</v>
          </cell>
          <cell r="H67">
            <v>30.8</v>
          </cell>
          <cell r="I67">
            <v>32.1</v>
          </cell>
          <cell r="J67">
            <v>37.6</v>
          </cell>
          <cell r="K67">
            <v>39</v>
          </cell>
          <cell r="L67">
            <v>32.6</v>
          </cell>
          <cell r="M67">
            <v>30.3</v>
          </cell>
          <cell r="N67">
            <v>29.9</v>
          </cell>
          <cell r="O67">
            <v>30.9</v>
          </cell>
        </row>
        <row r="68">
          <cell r="A68">
            <v>304</v>
          </cell>
          <cell r="B68">
            <v>1</v>
          </cell>
          <cell r="C68">
            <v>13.531000000000001</v>
          </cell>
          <cell r="D68">
            <v>58.6</v>
          </cell>
          <cell r="E68">
            <v>55.2</v>
          </cell>
          <cell r="F68">
            <v>57.5</v>
          </cell>
          <cell r="G68">
            <v>54.5</v>
          </cell>
          <cell r="H68">
            <v>57</v>
          </cell>
          <cell r="I68">
            <v>58.9</v>
          </cell>
          <cell r="J68">
            <v>58.5</v>
          </cell>
          <cell r="K68">
            <v>59.4</v>
          </cell>
          <cell r="L68">
            <v>53.7</v>
          </cell>
          <cell r="M68">
            <v>57.1</v>
          </cell>
          <cell r="N68">
            <v>55.6</v>
          </cell>
          <cell r="O68">
            <v>59</v>
          </cell>
        </row>
        <row r="69">
          <cell r="A69">
            <v>304</v>
          </cell>
          <cell r="B69">
            <v>2</v>
          </cell>
          <cell r="C69">
            <v>13.536</v>
          </cell>
          <cell r="D69">
            <v>31.7</v>
          </cell>
          <cell r="E69">
            <v>34</v>
          </cell>
          <cell r="F69">
            <v>32.299999999999997</v>
          </cell>
          <cell r="G69">
            <v>29.3</v>
          </cell>
          <cell r="H69">
            <v>30.4</v>
          </cell>
          <cell r="I69">
            <v>29.8</v>
          </cell>
          <cell r="J69">
            <v>34</v>
          </cell>
          <cell r="K69">
            <v>31.2</v>
          </cell>
          <cell r="L69">
            <v>33.1</v>
          </cell>
          <cell r="M69">
            <v>33.700000000000003</v>
          </cell>
          <cell r="N69">
            <v>31.8</v>
          </cell>
          <cell r="O69">
            <v>32</v>
          </cell>
        </row>
        <row r="70">
          <cell r="A70">
            <v>305</v>
          </cell>
          <cell r="B70">
            <v>1</v>
          </cell>
          <cell r="C70">
            <v>13.547000000000001</v>
          </cell>
          <cell r="D70">
            <v>37</v>
          </cell>
          <cell r="E70">
            <v>34.700000000000003</v>
          </cell>
          <cell r="F70">
            <v>36.799999999999997</v>
          </cell>
          <cell r="G70">
            <v>36.700000000000003</v>
          </cell>
          <cell r="H70">
            <v>35.4</v>
          </cell>
          <cell r="I70">
            <v>37.9</v>
          </cell>
          <cell r="J70">
            <v>36.1</v>
          </cell>
          <cell r="K70">
            <v>36.700000000000003</v>
          </cell>
          <cell r="L70">
            <v>35.799999999999997</v>
          </cell>
          <cell r="M70">
            <v>36.1</v>
          </cell>
          <cell r="N70">
            <v>36.799999999999997</v>
          </cell>
          <cell r="O70">
            <v>35.700000000000003</v>
          </cell>
        </row>
        <row r="71">
          <cell r="A71">
            <v>305</v>
          </cell>
          <cell r="B71">
            <v>2</v>
          </cell>
          <cell r="C71">
            <v>13.552</v>
          </cell>
          <cell r="D71">
            <v>30.2</v>
          </cell>
          <cell r="E71">
            <v>32.9</v>
          </cell>
          <cell r="F71">
            <v>31.6</v>
          </cell>
          <cell r="G71">
            <v>30.7</v>
          </cell>
          <cell r="H71">
            <v>29.8</v>
          </cell>
          <cell r="I71">
            <v>28.8</v>
          </cell>
          <cell r="J71">
            <v>31.6</v>
          </cell>
          <cell r="K71">
            <v>29.9</v>
          </cell>
          <cell r="L71">
            <v>32.299999999999997</v>
          </cell>
          <cell r="M71">
            <v>30.6</v>
          </cell>
          <cell r="N71">
            <v>29.5</v>
          </cell>
          <cell r="O71">
            <v>29.4</v>
          </cell>
        </row>
        <row r="72">
          <cell r="A72">
            <v>306</v>
          </cell>
          <cell r="B72">
            <v>1</v>
          </cell>
          <cell r="C72">
            <v>13.561999999999999</v>
          </cell>
          <cell r="D72">
            <v>56.2</v>
          </cell>
          <cell r="E72">
            <v>56.2</v>
          </cell>
          <cell r="F72">
            <v>55.1</v>
          </cell>
          <cell r="G72">
            <v>56.5</v>
          </cell>
          <cell r="H72">
            <v>56.8</v>
          </cell>
          <cell r="I72">
            <v>58.1</v>
          </cell>
          <cell r="J72">
            <v>52.4</v>
          </cell>
          <cell r="K72">
            <v>58.6</v>
          </cell>
          <cell r="L72">
            <v>54.5</v>
          </cell>
          <cell r="M72">
            <v>56.5</v>
          </cell>
          <cell r="N72">
            <v>52.8</v>
          </cell>
          <cell r="O72">
            <v>56.9</v>
          </cell>
        </row>
        <row r="73">
          <cell r="A73">
            <v>306</v>
          </cell>
          <cell r="B73">
            <v>2</v>
          </cell>
          <cell r="C73">
            <v>13.567</v>
          </cell>
          <cell r="D73">
            <v>29</v>
          </cell>
          <cell r="E73">
            <v>32.9</v>
          </cell>
          <cell r="F73">
            <v>29.4</v>
          </cell>
          <cell r="G73">
            <v>29.2</v>
          </cell>
          <cell r="H73">
            <v>30.4</v>
          </cell>
          <cell r="I73">
            <v>30</v>
          </cell>
          <cell r="J73">
            <v>30.3</v>
          </cell>
          <cell r="K73">
            <v>30.7</v>
          </cell>
          <cell r="L73">
            <v>30.3</v>
          </cell>
          <cell r="M73">
            <v>34.200000000000003</v>
          </cell>
          <cell r="N73">
            <v>31.3</v>
          </cell>
          <cell r="O73">
            <v>30.1</v>
          </cell>
        </row>
        <row r="74">
          <cell r="A74">
            <v>307</v>
          </cell>
          <cell r="B74">
            <v>1</v>
          </cell>
          <cell r="C74">
            <v>13.577999999999999</v>
          </cell>
          <cell r="D74">
            <v>57.4</v>
          </cell>
          <cell r="E74">
            <v>57.4</v>
          </cell>
          <cell r="F74">
            <v>54.2</v>
          </cell>
          <cell r="G74">
            <v>58</v>
          </cell>
          <cell r="H74">
            <v>51.4</v>
          </cell>
          <cell r="I74">
            <v>58.4</v>
          </cell>
          <cell r="J74">
            <v>52.4</v>
          </cell>
          <cell r="K74">
            <v>58.3</v>
          </cell>
          <cell r="L74">
            <v>47</v>
          </cell>
          <cell r="M74">
            <v>57.8</v>
          </cell>
          <cell r="N74">
            <v>49.6</v>
          </cell>
          <cell r="O74">
            <v>53.6</v>
          </cell>
        </row>
        <row r="75">
          <cell r="A75">
            <v>307</v>
          </cell>
          <cell r="B75">
            <v>2</v>
          </cell>
          <cell r="C75">
            <v>13.583</v>
          </cell>
          <cell r="D75">
            <v>32.1</v>
          </cell>
          <cell r="E75">
            <v>32.299999999999997</v>
          </cell>
          <cell r="F75">
            <v>32.9</v>
          </cell>
          <cell r="G75">
            <v>32.299999999999997</v>
          </cell>
          <cell r="H75">
            <v>31.3</v>
          </cell>
          <cell r="I75">
            <v>30.2</v>
          </cell>
          <cell r="J75">
            <v>31.3</v>
          </cell>
          <cell r="K75">
            <v>29.8</v>
          </cell>
          <cell r="L75">
            <v>29.5</v>
          </cell>
          <cell r="M75">
            <v>30.6</v>
          </cell>
          <cell r="N75">
            <v>30.7</v>
          </cell>
          <cell r="O75">
            <v>32.5</v>
          </cell>
        </row>
        <row r="76">
          <cell r="A76">
            <v>308</v>
          </cell>
          <cell r="B76">
            <v>1</v>
          </cell>
          <cell r="C76">
            <v>13.593999999999999</v>
          </cell>
          <cell r="D76">
            <v>56.4</v>
          </cell>
          <cell r="E76">
            <v>48.4</v>
          </cell>
          <cell r="F76">
            <v>44.3</v>
          </cell>
          <cell r="G76">
            <v>55.2</v>
          </cell>
          <cell r="H76">
            <v>51.4</v>
          </cell>
          <cell r="I76">
            <v>56</v>
          </cell>
          <cell r="J76">
            <v>50.9</v>
          </cell>
          <cell r="K76">
            <v>52.8</v>
          </cell>
          <cell r="L76">
            <v>53.7</v>
          </cell>
          <cell r="M76">
            <v>47.5</v>
          </cell>
          <cell r="N76">
            <v>54.9</v>
          </cell>
          <cell r="O76">
            <v>47.2</v>
          </cell>
        </row>
        <row r="77">
          <cell r="A77">
            <v>308</v>
          </cell>
          <cell r="B77">
            <v>2</v>
          </cell>
          <cell r="C77">
            <v>13.598000000000001</v>
          </cell>
          <cell r="D77">
            <v>31.2</v>
          </cell>
          <cell r="E77">
            <v>30.3</v>
          </cell>
          <cell r="F77">
            <v>31.4</v>
          </cell>
          <cell r="G77">
            <v>32.4</v>
          </cell>
          <cell r="H77">
            <v>32.5</v>
          </cell>
          <cell r="I77">
            <v>35.200000000000003</v>
          </cell>
          <cell r="J77">
            <v>32.5</v>
          </cell>
          <cell r="K77">
            <v>33.200000000000003</v>
          </cell>
          <cell r="L77">
            <v>30.6</v>
          </cell>
          <cell r="M77">
            <v>34.799999999999997</v>
          </cell>
          <cell r="N77">
            <v>34.5</v>
          </cell>
          <cell r="O77">
            <v>35.1</v>
          </cell>
        </row>
        <row r="78">
          <cell r="A78">
            <v>408</v>
          </cell>
          <cell r="B78">
            <v>1</v>
          </cell>
          <cell r="C78">
            <v>13.613</v>
          </cell>
          <cell r="D78">
            <v>57.8</v>
          </cell>
          <cell r="E78">
            <v>56.8</v>
          </cell>
          <cell r="F78">
            <v>52.4</v>
          </cell>
          <cell r="G78">
            <v>58.2</v>
          </cell>
          <cell r="H78">
            <v>56.1</v>
          </cell>
          <cell r="I78">
            <v>58</v>
          </cell>
          <cell r="J78">
            <v>54.8</v>
          </cell>
          <cell r="K78">
            <v>58.1</v>
          </cell>
          <cell r="L78">
            <v>54.6</v>
          </cell>
          <cell r="M78">
            <v>58.8</v>
          </cell>
          <cell r="N78">
            <v>54.1</v>
          </cell>
          <cell r="O78">
            <v>53.4</v>
          </cell>
        </row>
        <row r="79">
          <cell r="A79">
            <v>408</v>
          </cell>
          <cell r="B79">
            <v>2</v>
          </cell>
          <cell r="C79">
            <v>13.617000000000001</v>
          </cell>
          <cell r="D79">
            <v>29.6</v>
          </cell>
          <cell r="E79">
            <v>30.1</v>
          </cell>
          <cell r="F79">
            <v>31.5</v>
          </cell>
          <cell r="G79">
            <v>29.4</v>
          </cell>
          <cell r="H79">
            <v>31.1</v>
          </cell>
          <cell r="I79">
            <v>36.9</v>
          </cell>
          <cell r="J79">
            <v>32.700000000000003</v>
          </cell>
          <cell r="K79">
            <v>31.6</v>
          </cell>
          <cell r="L79">
            <v>31.1</v>
          </cell>
          <cell r="M79">
            <v>31.9</v>
          </cell>
          <cell r="N79">
            <v>37.9</v>
          </cell>
          <cell r="O79">
            <v>30.6</v>
          </cell>
        </row>
        <row r="80">
          <cell r="A80">
            <v>407</v>
          </cell>
          <cell r="B80">
            <v>1</v>
          </cell>
          <cell r="C80">
            <v>13.63</v>
          </cell>
          <cell r="D80">
            <v>56.3</v>
          </cell>
          <cell r="E80">
            <v>58</v>
          </cell>
          <cell r="F80">
            <v>56.8</v>
          </cell>
          <cell r="G80">
            <v>58.1</v>
          </cell>
          <cell r="H80">
            <v>55.5</v>
          </cell>
          <cell r="I80">
            <v>57.4</v>
          </cell>
          <cell r="J80">
            <v>56.5</v>
          </cell>
          <cell r="K80">
            <v>58</v>
          </cell>
          <cell r="L80">
            <v>56.4</v>
          </cell>
          <cell r="M80">
            <v>58.7</v>
          </cell>
          <cell r="N80">
            <v>56.7</v>
          </cell>
          <cell r="O80">
            <v>55.6</v>
          </cell>
        </row>
        <row r="81">
          <cell r="A81">
            <v>407</v>
          </cell>
          <cell r="B81">
            <v>2</v>
          </cell>
          <cell r="C81">
            <v>13.634</v>
          </cell>
          <cell r="D81">
            <v>29.2</v>
          </cell>
          <cell r="E81">
            <v>35.4</v>
          </cell>
          <cell r="F81">
            <v>44.3</v>
          </cell>
          <cell r="G81">
            <v>37.200000000000003</v>
          </cell>
          <cell r="H81">
            <v>31.9</v>
          </cell>
          <cell r="I81">
            <v>40.6</v>
          </cell>
          <cell r="J81">
            <v>33.9</v>
          </cell>
          <cell r="K81">
            <v>31.5</v>
          </cell>
          <cell r="L81">
            <v>32.4</v>
          </cell>
          <cell r="M81">
            <v>43.8</v>
          </cell>
          <cell r="N81">
            <v>36.799999999999997</v>
          </cell>
          <cell r="O81">
            <v>38.5</v>
          </cell>
        </row>
        <row r="82">
          <cell r="A82">
            <v>406</v>
          </cell>
          <cell r="B82">
            <v>1</v>
          </cell>
          <cell r="C82">
            <v>13.646000000000001</v>
          </cell>
          <cell r="D82">
            <v>57.5</v>
          </cell>
          <cell r="E82">
            <v>55.6</v>
          </cell>
          <cell r="F82">
            <v>56.5</v>
          </cell>
          <cell r="G82">
            <v>56.7</v>
          </cell>
          <cell r="H82">
            <v>56.1</v>
          </cell>
          <cell r="I82">
            <v>58.1</v>
          </cell>
          <cell r="J82">
            <v>55.7</v>
          </cell>
          <cell r="K82">
            <v>57.9</v>
          </cell>
          <cell r="L82">
            <v>55.7</v>
          </cell>
          <cell r="M82">
            <v>56.3</v>
          </cell>
          <cell r="N82">
            <v>55.2</v>
          </cell>
          <cell r="O82">
            <v>55.9</v>
          </cell>
        </row>
        <row r="83">
          <cell r="A83">
            <v>406</v>
          </cell>
          <cell r="B83">
            <v>2</v>
          </cell>
          <cell r="C83">
            <v>13.65</v>
          </cell>
          <cell r="D83">
            <v>36</v>
          </cell>
          <cell r="E83">
            <v>32</v>
          </cell>
          <cell r="F83">
            <v>32.700000000000003</v>
          </cell>
          <cell r="G83">
            <v>30.9</v>
          </cell>
          <cell r="H83">
            <v>30.5</v>
          </cell>
          <cell r="I83">
            <v>33.5</v>
          </cell>
          <cell r="J83">
            <v>32.299999999999997</v>
          </cell>
          <cell r="K83">
            <v>33.4</v>
          </cell>
          <cell r="L83">
            <v>31.8</v>
          </cell>
          <cell r="M83">
            <v>30.4</v>
          </cell>
          <cell r="N83">
            <v>31.2</v>
          </cell>
          <cell r="O83">
            <v>33.299999999999997</v>
          </cell>
        </row>
        <row r="84">
          <cell r="A84">
            <v>405</v>
          </cell>
          <cell r="B84">
            <v>1</v>
          </cell>
          <cell r="C84">
            <v>13.662000000000001</v>
          </cell>
          <cell r="D84">
            <v>56.3</v>
          </cell>
          <cell r="E84">
            <v>47</v>
          </cell>
          <cell r="F84">
            <v>55.5</v>
          </cell>
          <cell r="G84">
            <v>53.8</v>
          </cell>
          <cell r="H84">
            <v>52.9</v>
          </cell>
          <cell r="I84">
            <v>52.1</v>
          </cell>
          <cell r="J84">
            <v>50.6</v>
          </cell>
          <cell r="K84">
            <v>56.3</v>
          </cell>
          <cell r="L84">
            <v>52</v>
          </cell>
          <cell r="M84">
            <v>52.6</v>
          </cell>
          <cell r="N84">
            <v>45.3</v>
          </cell>
          <cell r="O84">
            <v>53.5</v>
          </cell>
        </row>
        <row r="85">
          <cell r="A85">
            <v>405</v>
          </cell>
          <cell r="B85">
            <v>2</v>
          </cell>
          <cell r="C85">
            <v>13.666</v>
          </cell>
          <cell r="D85">
            <v>29.4</v>
          </cell>
          <cell r="E85">
            <v>32.200000000000003</v>
          </cell>
          <cell r="F85">
            <v>31.9</v>
          </cell>
          <cell r="G85">
            <v>33.299999999999997</v>
          </cell>
          <cell r="H85">
            <v>31.5</v>
          </cell>
          <cell r="I85">
            <v>32.9</v>
          </cell>
          <cell r="J85">
            <v>31.5</v>
          </cell>
          <cell r="K85">
            <v>30.1</v>
          </cell>
          <cell r="L85">
            <v>30.7</v>
          </cell>
          <cell r="M85">
            <v>31.1</v>
          </cell>
          <cell r="N85">
            <v>31.7</v>
          </cell>
          <cell r="O85">
            <v>30.5</v>
          </cell>
        </row>
        <row r="86">
          <cell r="A86">
            <v>404</v>
          </cell>
          <cell r="B86">
            <v>1</v>
          </cell>
          <cell r="C86">
            <v>13.677</v>
          </cell>
          <cell r="D86">
            <v>57.4</v>
          </cell>
          <cell r="E86">
            <v>53.9</v>
          </cell>
          <cell r="F86">
            <v>57</v>
          </cell>
          <cell r="G86">
            <v>55.9</v>
          </cell>
          <cell r="H86">
            <v>56.6</v>
          </cell>
          <cell r="I86">
            <v>58.9</v>
          </cell>
          <cell r="J86">
            <v>56.3</v>
          </cell>
          <cell r="K86">
            <v>57.9</v>
          </cell>
          <cell r="L86">
            <v>54.5</v>
          </cell>
          <cell r="M86">
            <v>58.5</v>
          </cell>
          <cell r="N86">
            <v>55.6</v>
          </cell>
          <cell r="O86">
            <v>57.8</v>
          </cell>
        </row>
        <row r="87">
          <cell r="A87">
            <v>404</v>
          </cell>
          <cell r="B87">
            <v>2</v>
          </cell>
          <cell r="C87">
            <v>13.680999999999999</v>
          </cell>
          <cell r="D87">
            <v>33.6</v>
          </cell>
          <cell r="E87">
            <v>32.6</v>
          </cell>
          <cell r="F87">
            <v>31.2</v>
          </cell>
          <cell r="G87">
            <v>31</v>
          </cell>
          <cell r="H87">
            <v>30</v>
          </cell>
          <cell r="I87">
            <v>31.5</v>
          </cell>
          <cell r="J87">
            <v>31.8</v>
          </cell>
          <cell r="K87">
            <v>29.6</v>
          </cell>
          <cell r="L87">
            <v>37.4</v>
          </cell>
          <cell r="M87">
            <v>31.3</v>
          </cell>
          <cell r="N87">
            <v>32</v>
          </cell>
          <cell r="O87">
            <v>30.9</v>
          </cell>
        </row>
        <row r="88">
          <cell r="A88">
            <v>403</v>
          </cell>
          <cell r="B88">
            <v>1</v>
          </cell>
          <cell r="C88">
            <v>13.694000000000001</v>
          </cell>
          <cell r="D88">
            <v>48.3</v>
          </cell>
          <cell r="E88">
            <v>47.8</v>
          </cell>
          <cell r="F88">
            <v>55.6</v>
          </cell>
          <cell r="G88">
            <v>55.4</v>
          </cell>
          <cell r="H88">
            <v>51.5</v>
          </cell>
          <cell r="I88">
            <v>55.5</v>
          </cell>
          <cell r="J88">
            <v>49.6</v>
          </cell>
          <cell r="K88">
            <v>58</v>
          </cell>
          <cell r="L88">
            <v>53.3</v>
          </cell>
          <cell r="M88">
            <v>53.5</v>
          </cell>
          <cell r="N88">
            <v>52.6</v>
          </cell>
          <cell r="O88">
            <v>53.1</v>
          </cell>
        </row>
        <row r="89">
          <cell r="A89">
            <v>403</v>
          </cell>
          <cell r="B89">
            <v>2</v>
          </cell>
          <cell r="C89">
            <v>13.698</v>
          </cell>
          <cell r="D89">
            <v>34.1</v>
          </cell>
          <cell r="E89">
            <v>32.4</v>
          </cell>
          <cell r="F89">
            <v>37.5</v>
          </cell>
          <cell r="G89">
            <v>33</v>
          </cell>
          <cell r="H89">
            <v>33.299999999999997</v>
          </cell>
          <cell r="I89">
            <v>36.5</v>
          </cell>
          <cell r="J89">
            <v>39</v>
          </cell>
          <cell r="K89">
            <v>29.8</v>
          </cell>
          <cell r="L89">
            <v>33.299999999999997</v>
          </cell>
          <cell r="M89">
            <v>29.8</v>
          </cell>
          <cell r="N89">
            <v>32.5</v>
          </cell>
          <cell r="O89">
            <v>30.8</v>
          </cell>
        </row>
        <row r="90">
          <cell r="A90">
            <v>402</v>
          </cell>
          <cell r="B90">
            <v>1</v>
          </cell>
          <cell r="C90">
            <v>13.71</v>
          </cell>
          <cell r="D90">
            <v>58.5</v>
          </cell>
          <cell r="E90">
            <v>54.4</v>
          </cell>
          <cell r="F90">
            <v>56.8</v>
          </cell>
          <cell r="G90">
            <v>57</v>
          </cell>
          <cell r="H90">
            <v>56.3</v>
          </cell>
          <cell r="I90">
            <v>57.3</v>
          </cell>
          <cell r="J90">
            <v>56.4</v>
          </cell>
          <cell r="K90">
            <v>58.6</v>
          </cell>
          <cell r="L90">
            <v>55.6</v>
          </cell>
          <cell r="M90">
            <v>57.4</v>
          </cell>
          <cell r="N90">
            <v>54.8</v>
          </cell>
          <cell r="O90">
            <v>54.6</v>
          </cell>
        </row>
        <row r="91">
          <cell r="A91">
            <v>402</v>
          </cell>
          <cell r="B91">
            <v>2</v>
          </cell>
          <cell r="C91">
            <v>13.714</v>
          </cell>
          <cell r="D91">
            <v>33</v>
          </cell>
          <cell r="E91">
            <v>37.200000000000003</v>
          </cell>
          <cell r="F91">
            <v>38</v>
          </cell>
          <cell r="G91">
            <v>32.799999999999997</v>
          </cell>
          <cell r="H91">
            <v>31.3</v>
          </cell>
          <cell r="I91">
            <v>31.2</v>
          </cell>
          <cell r="J91">
            <v>33.6</v>
          </cell>
          <cell r="K91">
            <v>30.3</v>
          </cell>
          <cell r="L91">
            <v>32</v>
          </cell>
          <cell r="M91">
            <v>29.9</v>
          </cell>
          <cell r="N91">
            <v>32.799999999999997</v>
          </cell>
          <cell r="O91">
            <v>29.2</v>
          </cell>
        </row>
        <row r="92">
          <cell r="A92">
            <v>401</v>
          </cell>
          <cell r="B92">
            <v>1</v>
          </cell>
          <cell r="C92">
            <v>13.726000000000001</v>
          </cell>
          <cell r="D92">
            <v>56.2</v>
          </cell>
          <cell r="E92">
            <v>55.2</v>
          </cell>
          <cell r="F92">
            <v>56.9</v>
          </cell>
          <cell r="G92">
            <v>57.3</v>
          </cell>
          <cell r="H92">
            <v>56.3</v>
          </cell>
          <cell r="I92">
            <v>58.1</v>
          </cell>
          <cell r="J92">
            <v>56.4</v>
          </cell>
          <cell r="K92">
            <v>57.1</v>
          </cell>
          <cell r="L92">
            <v>57.3</v>
          </cell>
          <cell r="M92">
            <v>56.1</v>
          </cell>
          <cell r="N92">
            <v>53.3</v>
          </cell>
          <cell r="O92">
            <v>56.8</v>
          </cell>
        </row>
        <row r="93">
          <cell r="A93">
            <v>401</v>
          </cell>
          <cell r="B93">
            <v>2</v>
          </cell>
          <cell r="C93">
            <v>13.731</v>
          </cell>
          <cell r="D93">
            <v>32.799999999999997</v>
          </cell>
          <cell r="E93">
            <v>49.7</v>
          </cell>
          <cell r="F93">
            <v>32.799999999999997</v>
          </cell>
          <cell r="G93">
            <v>31.9</v>
          </cell>
          <cell r="H93">
            <v>41.3</v>
          </cell>
          <cell r="I93">
            <v>36.9</v>
          </cell>
          <cell r="J93">
            <v>32.6</v>
          </cell>
          <cell r="K93">
            <v>32.1</v>
          </cell>
          <cell r="L93">
            <v>35.299999999999997</v>
          </cell>
          <cell r="M93">
            <v>33.6</v>
          </cell>
          <cell r="N93">
            <v>33.799999999999997</v>
          </cell>
          <cell r="O93">
            <v>36</v>
          </cell>
        </row>
      </sheetData>
      <sheetData sheetId="2">
        <row r="7">
          <cell r="C7">
            <v>155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38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'IA154.03R'</v>
          </cell>
        </row>
        <row r="14">
          <cell r="A14">
            <v>108</v>
          </cell>
          <cell r="B14">
            <v>1</v>
          </cell>
          <cell r="C14">
            <v>12.885999999999999</v>
          </cell>
          <cell r="D14">
            <v>56.4</v>
          </cell>
          <cell r="E14">
            <v>51.6</v>
          </cell>
          <cell r="F14">
            <v>57.2</v>
          </cell>
          <cell r="G14">
            <v>58</v>
          </cell>
          <cell r="H14">
            <v>56.4</v>
          </cell>
          <cell r="I14">
            <v>57.8</v>
          </cell>
          <cell r="J14">
            <v>55.7</v>
          </cell>
          <cell r="K14">
            <v>56</v>
          </cell>
          <cell r="L14">
            <v>54.1</v>
          </cell>
          <cell r="M14">
            <v>57</v>
          </cell>
          <cell r="N14">
            <v>52.1</v>
          </cell>
          <cell r="O14">
            <v>56.1</v>
          </cell>
        </row>
        <row r="15">
          <cell r="A15">
            <v>108</v>
          </cell>
          <cell r="B15">
            <v>2</v>
          </cell>
          <cell r="C15">
            <v>12.891</v>
          </cell>
          <cell r="D15">
            <v>30.1</v>
          </cell>
          <cell r="E15">
            <v>30.1</v>
          </cell>
          <cell r="F15">
            <v>31.1</v>
          </cell>
          <cell r="G15">
            <v>35.9</v>
          </cell>
          <cell r="H15">
            <v>30.6</v>
          </cell>
          <cell r="I15">
            <v>30.4</v>
          </cell>
          <cell r="J15">
            <v>31.8</v>
          </cell>
          <cell r="K15">
            <v>33.9</v>
          </cell>
          <cell r="L15">
            <v>31.7</v>
          </cell>
          <cell r="M15">
            <v>33.6</v>
          </cell>
          <cell r="N15">
            <v>29.6</v>
          </cell>
          <cell r="O15">
            <v>30.3</v>
          </cell>
        </row>
        <row r="16">
          <cell r="A16">
            <v>107</v>
          </cell>
          <cell r="B16">
            <v>1</v>
          </cell>
          <cell r="C16">
            <v>12.901999999999999</v>
          </cell>
          <cell r="D16">
            <v>56.9</v>
          </cell>
          <cell r="E16">
            <v>59.9</v>
          </cell>
          <cell r="F16">
            <v>57.3</v>
          </cell>
          <cell r="G16">
            <v>48.9</v>
          </cell>
          <cell r="H16">
            <v>56.7</v>
          </cell>
          <cell r="I16">
            <v>58.9</v>
          </cell>
          <cell r="J16">
            <v>53.9</v>
          </cell>
          <cell r="K16">
            <v>49.8</v>
          </cell>
          <cell r="L16">
            <v>56.6</v>
          </cell>
          <cell r="M16">
            <v>56.3</v>
          </cell>
          <cell r="N16">
            <v>55.8</v>
          </cell>
          <cell r="O16">
            <v>55</v>
          </cell>
        </row>
        <row r="17">
          <cell r="A17">
            <v>107</v>
          </cell>
          <cell r="B17">
            <v>2</v>
          </cell>
          <cell r="C17">
            <v>12.906000000000001</v>
          </cell>
          <cell r="D17">
            <v>29.8</v>
          </cell>
          <cell r="E17">
            <v>31.3</v>
          </cell>
          <cell r="F17">
            <v>29.4</v>
          </cell>
          <cell r="G17">
            <v>30.5</v>
          </cell>
          <cell r="H17">
            <v>32</v>
          </cell>
          <cell r="I17">
            <v>29</v>
          </cell>
          <cell r="J17">
            <v>31.7</v>
          </cell>
          <cell r="K17">
            <v>29.7</v>
          </cell>
          <cell r="L17">
            <v>29.9</v>
          </cell>
          <cell r="M17">
            <v>31.1</v>
          </cell>
          <cell r="N17">
            <v>31.7</v>
          </cell>
          <cell r="O17">
            <v>36.9</v>
          </cell>
        </row>
        <row r="18">
          <cell r="A18">
            <v>106</v>
          </cell>
          <cell r="B18">
            <v>1</v>
          </cell>
          <cell r="C18">
            <v>12.917</v>
          </cell>
          <cell r="D18">
            <v>56.7</v>
          </cell>
          <cell r="E18">
            <v>54.5</v>
          </cell>
          <cell r="F18">
            <v>56.9</v>
          </cell>
          <cell r="G18">
            <v>52.1</v>
          </cell>
          <cell r="H18">
            <v>57.5</v>
          </cell>
          <cell r="I18">
            <v>48.9</v>
          </cell>
          <cell r="J18">
            <v>56.7</v>
          </cell>
          <cell r="K18">
            <v>53</v>
          </cell>
          <cell r="L18">
            <v>55.9</v>
          </cell>
          <cell r="M18">
            <v>50.5</v>
          </cell>
          <cell r="N18">
            <v>56.2</v>
          </cell>
          <cell r="O18">
            <v>55.5</v>
          </cell>
        </row>
        <row r="19">
          <cell r="A19">
            <v>106</v>
          </cell>
          <cell r="B19">
            <v>2</v>
          </cell>
          <cell r="C19">
            <v>12.920999999999999</v>
          </cell>
          <cell r="D19">
            <v>30.3</v>
          </cell>
          <cell r="E19">
            <v>30.2</v>
          </cell>
          <cell r="F19">
            <v>34.799999999999997</v>
          </cell>
          <cell r="G19">
            <v>31.4</v>
          </cell>
          <cell r="H19">
            <v>30.4</v>
          </cell>
          <cell r="I19">
            <v>33.200000000000003</v>
          </cell>
          <cell r="J19">
            <v>31.9</v>
          </cell>
          <cell r="K19">
            <v>30.1</v>
          </cell>
          <cell r="L19">
            <v>29.7</v>
          </cell>
          <cell r="M19">
            <v>30</v>
          </cell>
          <cell r="N19">
            <v>31.2</v>
          </cell>
          <cell r="O19">
            <v>33.1</v>
          </cell>
        </row>
        <row r="20">
          <cell r="A20">
            <v>105</v>
          </cell>
          <cell r="B20">
            <v>1</v>
          </cell>
          <cell r="C20">
            <v>12.932</v>
          </cell>
          <cell r="D20">
            <v>57.9</v>
          </cell>
          <cell r="E20">
            <v>51.9</v>
          </cell>
          <cell r="F20">
            <v>59.3</v>
          </cell>
          <cell r="G20">
            <v>49.8</v>
          </cell>
          <cell r="H20">
            <v>58.6</v>
          </cell>
          <cell r="I20">
            <v>53</v>
          </cell>
          <cell r="J20">
            <v>58.8</v>
          </cell>
          <cell r="K20">
            <v>48.4</v>
          </cell>
          <cell r="L20">
            <v>57.2</v>
          </cell>
          <cell r="M20">
            <v>53.3</v>
          </cell>
          <cell r="N20">
            <v>58.7</v>
          </cell>
          <cell r="O20">
            <v>50.3</v>
          </cell>
        </row>
        <row r="21">
          <cell r="A21">
            <v>105</v>
          </cell>
          <cell r="B21">
            <v>2</v>
          </cell>
          <cell r="C21">
            <v>12.936999999999999</v>
          </cell>
          <cell r="D21">
            <v>29.3</v>
          </cell>
          <cell r="E21">
            <v>34.799999999999997</v>
          </cell>
          <cell r="F21">
            <v>31.3</v>
          </cell>
          <cell r="G21">
            <v>31.8</v>
          </cell>
          <cell r="H21">
            <v>31.4</v>
          </cell>
          <cell r="I21">
            <v>29.9</v>
          </cell>
          <cell r="J21">
            <v>33.200000000000003</v>
          </cell>
          <cell r="K21">
            <v>29.2</v>
          </cell>
          <cell r="L21">
            <v>31.1</v>
          </cell>
          <cell r="M21">
            <v>30.9</v>
          </cell>
          <cell r="N21">
            <v>29.7</v>
          </cell>
          <cell r="O21">
            <v>31.7</v>
          </cell>
        </row>
        <row r="22">
          <cell r="A22">
            <v>104</v>
          </cell>
          <cell r="B22">
            <v>1</v>
          </cell>
          <cell r="C22">
            <v>12.946999999999999</v>
          </cell>
          <cell r="D22">
            <v>56.1</v>
          </cell>
          <cell r="E22">
            <v>53.1</v>
          </cell>
          <cell r="F22">
            <v>56.8</v>
          </cell>
          <cell r="G22">
            <v>45.9</v>
          </cell>
          <cell r="H22">
            <v>57.4</v>
          </cell>
          <cell r="I22">
            <v>48.7</v>
          </cell>
          <cell r="J22">
            <v>53.3</v>
          </cell>
          <cell r="K22">
            <v>54.8</v>
          </cell>
          <cell r="L22">
            <v>56</v>
          </cell>
          <cell r="M22">
            <v>52</v>
          </cell>
          <cell r="N22">
            <v>56.3</v>
          </cell>
          <cell r="O22">
            <v>49.7</v>
          </cell>
        </row>
        <row r="23">
          <cell r="A23">
            <v>104</v>
          </cell>
          <cell r="B23">
            <v>2</v>
          </cell>
          <cell r="C23">
            <v>12.952</v>
          </cell>
          <cell r="D23">
            <v>29.6</v>
          </cell>
          <cell r="E23">
            <v>28.3</v>
          </cell>
          <cell r="F23">
            <v>28.9</v>
          </cell>
          <cell r="G23">
            <v>31</v>
          </cell>
          <cell r="H23">
            <v>32.1</v>
          </cell>
          <cell r="I23">
            <v>27.7</v>
          </cell>
          <cell r="J23">
            <v>30.4</v>
          </cell>
          <cell r="K23">
            <v>29</v>
          </cell>
          <cell r="L23">
            <v>29.4</v>
          </cell>
          <cell r="M23">
            <v>28.6</v>
          </cell>
          <cell r="N23">
            <v>30.9</v>
          </cell>
          <cell r="O23">
            <v>30.3</v>
          </cell>
        </row>
        <row r="24">
          <cell r="A24">
            <v>103</v>
          </cell>
          <cell r="B24">
            <v>1</v>
          </cell>
          <cell r="C24">
            <v>12.962999999999999</v>
          </cell>
          <cell r="D24">
            <v>56.1</v>
          </cell>
          <cell r="E24">
            <v>52.3</v>
          </cell>
          <cell r="F24">
            <v>56.9</v>
          </cell>
          <cell r="G24">
            <v>49.6</v>
          </cell>
          <cell r="H24">
            <v>55.9</v>
          </cell>
          <cell r="I24">
            <v>48.1</v>
          </cell>
          <cell r="J24">
            <v>53.9</v>
          </cell>
          <cell r="K24">
            <v>52.3</v>
          </cell>
          <cell r="L24">
            <v>55.3</v>
          </cell>
          <cell r="M24">
            <v>55.5</v>
          </cell>
          <cell r="N24">
            <v>57.3</v>
          </cell>
          <cell r="O24">
            <v>51.4</v>
          </cell>
        </row>
        <row r="25">
          <cell r="A25">
            <v>103</v>
          </cell>
          <cell r="B25">
            <v>2</v>
          </cell>
          <cell r="C25">
            <v>12.968999999999999</v>
          </cell>
          <cell r="D25">
            <v>31.8</v>
          </cell>
          <cell r="E25">
            <v>29.3</v>
          </cell>
          <cell r="F25">
            <v>29.4</v>
          </cell>
          <cell r="G25">
            <v>29.7</v>
          </cell>
          <cell r="H25">
            <v>30</v>
          </cell>
          <cell r="I25">
            <v>30.7</v>
          </cell>
          <cell r="J25">
            <v>30</v>
          </cell>
          <cell r="K25">
            <v>32.700000000000003</v>
          </cell>
          <cell r="L25">
            <v>29.6</v>
          </cell>
          <cell r="M25">
            <v>30.1</v>
          </cell>
          <cell r="N25">
            <v>32.200000000000003</v>
          </cell>
          <cell r="O25">
            <v>29.6</v>
          </cell>
        </row>
        <row r="26">
          <cell r="A26">
            <v>102</v>
          </cell>
          <cell r="B26">
            <v>1</v>
          </cell>
          <cell r="C26">
            <v>12.981</v>
          </cell>
          <cell r="D26">
            <v>56.9</v>
          </cell>
          <cell r="E26">
            <v>54.4</v>
          </cell>
          <cell r="F26">
            <v>57.3</v>
          </cell>
          <cell r="G26">
            <v>51.3</v>
          </cell>
          <cell r="H26">
            <v>56.3</v>
          </cell>
          <cell r="I26">
            <v>54.7</v>
          </cell>
          <cell r="J26">
            <v>55.8</v>
          </cell>
          <cell r="K26">
            <v>56</v>
          </cell>
          <cell r="L26">
            <v>56.6</v>
          </cell>
          <cell r="M26">
            <v>54.4</v>
          </cell>
          <cell r="N26">
            <v>56.9</v>
          </cell>
          <cell r="O26">
            <v>47.3</v>
          </cell>
        </row>
        <row r="27">
          <cell r="A27">
            <v>102</v>
          </cell>
          <cell r="B27">
            <v>2</v>
          </cell>
          <cell r="C27">
            <v>12.986000000000001</v>
          </cell>
          <cell r="D27">
            <v>30</v>
          </cell>
          <cell r="E27">
            <v>30.1</v>
          </cell>
          <cell r="F27">
            <v>32</v>
          </cell>
          <cell r="G27">
            <v>29.3</v>
          </cell>
          <cell r="H27">
            <v>30.1</v>
          </cell>
          <cell r="I27">
            <v>29.7</v>
          </cell>
          <cell r="J27">
            <v>30.6</v>
          </cell>
          <cell r="K27">
            <v>30.5</v>
          </cell>
          <cell r="L27">
            <v>30.2</v>
          </cell>
          <cell r="M27">
            <v>29.4</v>
          </cell>
          <cell r="N27">
            <v>31.6</v>
          </cell>
          <cell r="O27">
            <v>31.7</v>
          </cell>
        </row>
        <row r="28">
          <cell r="A28">
            <v>101</v>
          </cell>
          <cell r="B28">
            <v>1</v>
          </cell>
          <cell r="C28">
            <v>12.996</v>
          </cell>
          <cell r="D28">
            <v>56.3</v>
          </cell>
          <cell r="E28">
            <v>57.3</v>
          </cell>
          <cell r="F28">
            <v>57.5</v>
          </cell>
          <cell r="G28">
            <v>50.3</v>
          </cell>
          <cell r="H28">
            <v>56.4</v>
          </cell>
          <cell r="I28">
            <v>54.3</v>
          </cell>
          <cell r="J28">
            <v>56.8</v>
          </cell>
          <cell r="K28">
            <v>59.5</v>
          </cell>
          <cell r="L28">
            <v>56.9</v>
          </cell>
          <cell r="M28">
            <v>58.6</v>
          </cell>
          <cell r="N28">
            <v>57.6</v>
          </cell>
          <cell r="O28">
            <v>56.8</v>
          </cell>
        </row>
        <row r="29">
          <cell r="A29">
            <v>101</v>
          </cell>
          <cell r="B29">
            <v>2</v>
          </cell>
          <cell r="C29">
            <v>13.000999999999999</v>
          </cell>
          <cell r="D29">
            <v>33.4</v>
          </cell>
          <cell r="E29">
            <v>29.7</v>
          </cell>
          <cell r="F29">
            <v>32.799999999999997</v>
          </cell>
          <cell r="G29">
            <v>31.7</v>
          </cell>
          <cell r="H29">
            <v>35</v>
          </cell>
          <cell r="I29">
            <v>30.2</v>
          </cell>
          <cell r="J29">
            <v>30.1</v>
          </cell>
          <cell r="K29">
            <v>31.9</v>
          </cell>
          <cell r="L29">
            <v>34.1</v>
          </cell>
          <cell r="M29">
            <v>32.299999999999997</v>
          </cell>
          <cell r="N29">
            <v>29.6</v>
          </cell>
          <cell r="O29">
            <v>32.200000000000003</v>
          </cell>
        </row>
        <row r="30">
          <cell r="A30">
            <v>201</v>
          </cell>
          <cell r="B30">
            <v>1</v>
          </cell>
          <cell r="C30">
            <v>13.026</v>
          </cell>
          <cell r="D30">
            <v>59</v>
          </cell>
          <cell r="E30">
            <v>54.6</v>
          </cell>
          <cell r="F30">
            <v>58.1</v>
          </cell>
          <cell r="G30">
            <v>51.7</v>
          </cell>
          <cell r="H30">
            <v>58.2</v>
          </cell>
          <cell r="I30">
            <v>52.4</v>
          </cell>
          <cell r="J30">
            <v>58.6</v>
          </cell>
          <cell r="K30">
            <v>53.2</v>
          </cell>
          <cell r="L30">
            <v>57.8</v>
          </cell>
          <cell r="M30">
            <v>47.4</v>
          </cell>
          <cell r="N30">
            <v>59.5</v>
          </cell>
          <cell r="O30">
            <v>49.4</v>
          </cell>
        </row>
        <row r="31">
          <cell r="A31">
            <v>201</v>
          </cell>
          <cell r="B31">
            <v>2</v>
          </cell>
          <cell r="C31">
            <v>13.031000000000001</v>
          </cell>
          <cell r="D31">
            <v>30.8</v>
          </cell>
          <cell r="E31">
            <v>31.2</v>
          </cell>
          <cell r="F31">
            <v>30.4</v>
          </cell>
          <cell r="G31">
            <v>30.2</v>
          </cell>
          <cell r="H31">
            <v>30.2</v>
          </cell>
          <cell r="I31">
            <v>29.9</v>
          </cell>
          <cell r="J31">
            <v>31.7</v>
          </cell>
          <cell r="K31">
            <v>31.9</v>
          </cell>
          <cell r="L31">
            <v>30.2</v>
          </cell>
          <cell r="M31">
            <v>31.3</v>
          </cell>
          <cell r="N31">
            <v>30.4</v>
          </cell>
          <cell r="O31">
            <v>31.8</v>
          </cell>
        </row>
        <row r="32">
          <cell r="A32">
            <v>202</v>
          </cell>
          <cell r="B32">
            <v>1</v>
          </cell>
          <cell r="C32">
            <v>13.042</v>
          </cell>
          <cell r="D32">
            <v>58.2</v>
          </cell>
          <cell r="E32">
            <v>57</v>
          </cell>
          <cell r="F32">
            <v>57.7</v>
          </cell>
          <cell r="G32">
            <v>53.1</v>
          </cell>
          <cell r="H32">
            <v>57.6</v>
          </cell>
          <cell r="I32">
            <v>52.8</v>
          </cell>
          <cell r="J32">
            <v>57</v>
          </cell>
          <cell r="K32">
            <v>59.6</v>
          </cell>
          <cell r="L32">
            <v>57.5</v>
          </cell>
          <cell r="M32">
            <v>50.4</v>
          </cell>
          <cell r="N32">
            <v>57.4</v>
          </cell>
          <cell r="O32">
            <v>44.7</v>
          </cell>
        </row>
        <row r="33">
          <cell r="A33">
            <v>202</v>
          </cell>
          <cell r="B33">
            <v>2</v>
          </cell>
          <cell r="C33">
            <v>13.047000000000001</v>
          </cell>
          <cell r="D33">
            <v>29.5</v>
          </cell>
          <cell r="E33">
            <v>32.6</v>
          </cell>
          <cell r="F33">
            <v>33.5</v>
          </cell>
          <cell r="G33">
            <v>30.2</v>
          </cell>
          <cell r="H33">
            <v>28.2</v>
          </cell>
          <cell r="I33">
            <v>29.1</v>
          </cell>
          <cell r="J33">
            <v>29.8</v>
          </cell>
          <cell r="K33">
            <v>30.4</v>
          </cell>
          <cell r="L33">
            <v>30</v>
          </cell>
          <cell r="M33">
            <v>30.6</v>
          </cell>
          <cell r="N33">
            <v>29.9</v>
          </cell>
          <cell r="O33">
            <v>30.2</v>
          </cell>
        </row>
        <row r="34">
          <cell r="A34">
            <v>203</v>
          </cell>
          <cell r="B34">
            <v>1</v>
          </cell>
          <cell r="C34">
            <v>13.057</v>
          </cell>
          <cell r="D34">
            <v>56</v>
          </cell>
          <cell r="E34">
            <v>58.9</v>
          </cell>
          <cell r="F34">
            <v>58.2</v>
          </cell>
          <cell r="G34">
            <v>45.1</v>
          </cell>
          <cell r="H34">
            <v>57.4</v>
          </cell>
          <cell r="I34">
            <v>51.3</v>
          </cell>
          <cell r="J34">
            <v>57.7</v>
          </cell>
          <cell r="K34">
            <v>60.4</v>
          </cell>
          <cell r="L34">
            <v>58.2</v>
          </cell>
          <cell r="M34">
            <v>49.4</v>
          </cell>
          <cell r="N34">
            <v>52.1</v>
          </cell>
          <cell r="O34">
            <v>54.4</v>
          </cell>
        </row>
        <row r="35">
          <cell r="A35">
            <v>203</v>
          </cell>
          <cell r="B35">
            <v>2</v>
          </cell>
          <cell r="C35">
            <v>13.061</v>
          </cell>
          <cell r="D35">
            <v>31.1</v>
          </cell>
          <cell r="E35">
            <v>30.8</v>
          </cell>
          <cell r="F35">
            <v>28.9</v>
          </cell>
          <cell r="G35">
            <v>30.6</v>
          </cell>
          <cell r="H35">
            <v>31.8</v>
          </cell>
          <cell r="I35">
            <v>28.6</v>
          </cell>
          <cell r="J35">
            <v>28.3</v>
          </cell>
          <cell r="K35">
            <v>28.2</v>
          </cell>
          <cell r="L35">
            <v>37.9</v>
          </cell>
          <cell r="M35">
            <v>29.4</v>
          </cell>
          <cell r="N35">
            <v>32.4</v>
          </cell>
          <cell r="O35">
            <v>32</v>
          </cell>
        </row>
        <row r="36">
          <cell r="A36">
            <v>204</v>
          </cell>
          <cell r="B36">
            <v>1</v>
          </cell>
          <cell r="C36">
            <v>13.071999999999999</v>
          </cell>
          <cell r="D36">
            <v>58.9</v>
          </cell>
          <cell r="E36">
            <v>53.8</v>
          </cell>
          <cell r="F36">
            <v>57.3</v>
          </cell>
          <cell r="G36">
            <v>56.4</v>
          </cell>
          <cell r="H36">
            <v>59.4</v>
          </cell>
          <cell r="I36">
            <v>56.3</v>
          </cell>
          <cell r="J36">
            <v>60</v>
          </cell>
          <cell r="K36">
            <v>49.2</v>
          </cell>
          <cell r="L36">
            <v>57.6</v>
          </cell>
          <cell r="M36">
            <v>52.9</v>
          </cell>
          <cell r="N36">
            <v>58.4</v>
          </cell>
          <cell r="O36">
            <v>51</v>
          </cell>
        </row>
        <row r="37">
          <cell r="A37">
            <v>204</v>
          </cell>
          <cell r="B37">
            <v>2</v>
          </cell>
          <cell r="C37">
            <v>13.077</v>
          </cell>
          <cell r="D37">
            <v>32.9</v>
          </cell>
          <cell r="E37">
            <v>34.299999999999997</v>
          </cell>
          <cell r="F37">
            <v>33.1</v>
          </cell>
          <cell r="G37">
            <v>29.5</v>
          </cell>
          <cell r="H37">
            <v>30.3</v>
          </cell>
          <cell r="I37">
            <v>30.1</v>
          </cell>
          <cell r="J37">
            <v>28.5</v>
          </cell>
          <cell r="K37">
            <v>31.6</v>
          </cell>
          <cell r="L37">
            <v>30.5</v>
          </cell>
          <cell r="M37">
            <v>29.1</v>
          </cell>
          <cell r="N37">
            <v>30.3</v>
          </cell>
          <cell r="O37">
            <v>28.9</v>
          </cell>
        </row>
        <row r="38">
          <cell r="A38">
            <v>205</v>
          </cell>
          <cell r="B38">
            <v>1</v>
          </cell>
          <cell r="C38">
            <v>13.089</v>
          </cell>
          <cell r="D38">
            <v>55.8</v>
          </cell>
          <cell r="E38">
            <v>58.6</v>
          </cell>
          <cell r="F38">
            <v>56.6</v>
          </cell>
          <cell r="G38">
            <v>54.9</v>
          </cell>
          <cell r="H38">
            <v>56.1</v>
          </cell>
          <cell r="I38">
            <v>56</v>
          </cell>
          <cell r="J38">
            <v>54.7</v>
          </cell>
          <cell r="K38">
            <v>59.5</v>
          </cell>
          <cell r="L38">
            <v>57.7</v>
          </cell>
          <cell r="M38">
            <v>57</v>
          </cell>
          <cell r="N38">
            <v>57.2</v>
          </cell>
          <cell r="O38">
            <v>56.7</v>
          </cell>
        </row>
        <row r="39">
          <cell r="A39">
            <v>205</v>
          </cell>
          <cell r="B39">
            <v>2</v>
          </cell>
          <cell r="C39">
            <v>13.096</v>
          </cell>
          <cell r="D39">
            <v>40.200000000000003</v>
          </cell>
          <cell r="E39">
            <v>36</v>
          </cell>
          <cell r="F39">
            <v>32.4</v>
          </cell>
          <cell r="G39">
            <v>31.8</v>
          </cell>
          <cell r="H39">
            <v>31.9</v>
          </cell>
          <cell r="I39">
            <v>32.299999999999997</v>
          </cell>
          <cell r="J39">
            <v>34.299999999999997</v>
          </cell>
          <cell r="K39">
            <v>31.7</v>
          </cell>
          <cell r="L39">
            <v>37.5</v>
          </cell>
          <cell r="M39">
            <v>34.1</v>
          </cell>
          <cell r="N39">
            <v>31.2</v>
          </cell>
          <cell r="O39">
            <v>36.200000000000003</v>
          </cell>
        </row>
        <row r="40">
          <cell r="A40">
            <v>206</v>
          </cell>
          <cell r="B40">
            <v>1</v>
          </cell>
          <cell r="C40">
            <v>13.11</v>
          </cell>
          <cell r="D40">
            <v>55.8</v>
          </cell>
          <cell r="E40">
            <v>55.4</v>
          </cell>
          <cell r="F40">
            <v>54.8</v>
          </cell>
          <cell r="G40">
            <v>54.8</v>
          </cell>
          <cell r="H40">
            <v>54.5</v>
          </cell>
          <cell r="I40">
            <v>51.4</v>
          </cell>
          <cell r="J40">
            <v>54.7</v>
          </cell>
          <cell r="K40">
            <v>55.3</v>
          </cell>
          <cell r="L40">
            <v>54.6</v>
          </cell>
          <cell r="M40">
            <v>52.6</v>
          </cell>
          <cell r="N40">
            <v>54.7</v>
          </cell>
          <cell r="O40">
            <v>54.7</v>
          </cell>
        </row>
        <row r="41">
          <cell r="A41">
            <v>206</v>
          </cell>
          <cell r="B41">
            <v>2</v>
          </cell>
          <cell r="C41">
            <v>13.114000000000001</v>
          </cell>
          <cell r="D41">
            <v>32.5</v>
          </cell>
          <cell r="E41">
            <v>37.200000000000003</v>
          </cell>
          <cell r="F41">
            <v>30.2</v>
          </cell>
          <cell r="G41">
            <v>31.3</v>
          </cell>
          <cell r="H41">
            <v>35.6</v>
          </cell>
          <cell r="I41">
            <v>38</v>
          </cell>
          <cell r="J41">
            <v>33.4</v>
          </cell>
          <cell r="K41">
            <v>31.4</v>
          </cell>
          <cell r="L41">
            <v>33</v>
          </cell>
          <cell r="M41">
            <v>38.1</v>
          </cell>
          <cell r="N41">
            <v>38.299999999999997</v>
          </cell>
          <cell r="O41">
            <v>35.9</v>
          </cell>
        </row>
        <row r="42">
          <cell r="A42">
            <v>207</v>
          </cell>
          <cell r="B42">
            <v>1</v>
          </cell>
          <cell r="C42">
            <v>13.125</v>
          </cell>
          <cell r="D42">
            <v>55.1</v>
          </cell>
          <cell r="E42">
            <v>55.3</v>
          </cell>
          <cell r="F42">
            <v>56.1</v>
          </cell>
          <cell r="G42">
            <v>50.2</v>
          </cell>
          <cell r="H42">
            <v>55.8</v>
          </cell>
          <cell r="I42">
            <v>49.6</v>
          </cell>
          <cell r="J42">
            <v>55.4</v>
          </cell>
          <cell r="K42">
            <v>43.2</v>
          </cell>
          <cell r="L42">
            <v>56</v>
          </cell>
          <cell r="M42">
            <v>52.8</v>
          </cell>
          <cell r="N42">
            <v>53.9</v>
          </cell>
          <cell r="O42">
            <v>47.3</v>
          </cell>
        </row>
        <row r="43">
          <cell r="A43">
            <v>207</v>
          </cell>
          <cell r="B43">
            <v>2</v>
          </cell>
          <cell r="C43">
            <v>13.13</v>
          </cell>
          <cell r="D43">
            <v>34.700000000000003</v>
          </cell>
          <cell r="E43">
            <v>30.8</v>
          </cell>
          <cell r="F43">
            <v>32.9</v>
          </cell>
          <cell r="G43">
            <v>30.9</v>
          </cell>
          <cell r="H43">
            <v>30.1</v>
          </cell>
          <cell r="I43">
            <v>31.1</v>
          </cell>
          <cell r="J43">
            <v>30.2</v>
          </cell>
          <cell r="K43">
            <v>32.1</v>
          </cell>
          <cell r="L43">
            <v>35.200000000000003</v>
          </cell>
          <cell r="M43">
            <v>33.200000000000003</v>
          </cell>
          <cell r="N43">
            <v>31.5</v>
          </cell>
          <cell r="O43">
            <v>30</v>
          </cell>
        </row>
        <row r="44">
          <cell r="A44">
            <v>208</v>
          </cell>
          <cell r="B44">
            <v>1</v>
          </cell>
          <cell r="C44">
            <v>13.14</v>
          </cell>
          <cell r="D44">
            <v>55.1</v>
          </cell>
          <cell r="E44">
            <v>55.6</v>
          </cell>
          <cell r="F44">
            <v>55.3</v>
          </cell>
          <cell r="G44">
            <v>54.5</v>
          </cell>
          <cell r="H44">
            <v>55.9</v>
          </cell>
          <cell r="I44">
            <v>56.3</v>
          </cell>
          <cell r="J44">
            <v>55.4</v>
          </cell>
          <cell r="K44">
            <v>55.7</v>
          </cell>
          <cell r="L44">
            <v>56</v>
          </cell>
          <cell r="M44">
            <v>57.2</v>
          </cell>
          <cell r="N44">
            <v>55.4</v>
          </cell>
          <cell r="O44">
            <v>52.9</v>
          </cell>
        </row>
        <row r="45">
          <cell r="A45">
            <v>208</v>
          </cell>
          <cell r="B45">
            <v>2</v>
          </cell>
          <cell r="C45">
            <v>13.145</v>
          </cell>
          <cell r="D45">
            <v>33.700000000000003</v>
          </cell>
          <cell r="E45">
            <v>32.799999999999997</v>
          </cell>
          <cell r="F45">
            <v>33.6</v>
          </cell>
          <cell r="G45">
            <v>39</v>
          </cell>
          <cell r="H45">
            <v>32.1</v>
          </cell>
          <cell r="I45">
            <v>35.9</v>
          </cell>
          <cell r="J45">
            <v>32.4</v>
          </cell>
          <cell r="K45">
            <v>36.4</v>
          </cell>
          <cell r="L45">
            <v>37.700000000000003</v>
          </cell>
          <cell r="M45">
            <v>45.6</v>
          </cell>
          <cell r="N45">
            <v>30.9</v>
          </cell>
          <cell r="O45">
            <v>33</v>
          </cell>
        </row>
        <row r="46">
          <cell r="A46">
            <v>908</v>
          </cell>
          <cell r="B46">
            <v>1</v>
          </cell>
          <cell r="C46">
            <v>13.162000000000001</v>
          </cell>
          <cell r="D46">
            <v>54.6</v>
          </cell>
          <cell r="E46">
            <v>55.4</v>
          </cell>
          <cell r="F46">
            <v>54.7</v>
          </cell>
          <cell r="G46">
            <v>54.5</v>
          </cell>
          <cell r="H46">
            <v>54.8</v>
          </cell>
          <cell r="I46">
            <v>54.1</v>
          </cell>
          <cell r="J46">
            <v>54.9</v>
          </cell>
          <cell r="K46">
            <v>55</v>
          </cell>
          <cell r="L46">
            <v>54.2</v>
          </cell>
          <cell r="M46">
            <v>56.5</v>
          </cell>
          <cell r="N46">
            <v>54.8</v>
          </cell>
          <cell r="O46">
            <v>51.9</v>
          </cell>
        </row>
        <row r="47">
          <cell r="A47">
            <v>908</v>
          </cell>
          <cell r="B47">
            <v>2</v>
          </cell>
          <cell r="C47">
            <v>13.167</v>
          </cell>
          <cell r="D47">
            <v>35.200000000000003</v>
          </cell>
          <cell r="E47">
            <v>33.9</v>
          </cell>
          <cell r="F47">
            <v>36.1</v>
          </cell>
          <cell r="G47">
            <v>37.4</v>
          </cell>
          <cell r="H47">
            <v>34.4</v>
          </cell>
          <cell r="I47">
            <v>32.6</v>
          </cell>
          <cell r="J47">
            <v>40.5</v>
          </cell>
          <cell r="K47">
            <v>37.9</v>
          </cell>
          <cell r="L47">
            <v>34.700000000000003</v>
          </cell>
          <cell r="M47">
            <v>34.299999999999997</v>
          </cell>
          <cell r="N47">
            <v>30.1</v>
          </cell>
          <cell r="O47">
            <v>30</v>
          </cell>
        </row>
        <row r="48">
          <cell r="A48">
            <v>907</v>
          </cell>
          <cell r="B48">
            <v>1</v>
          </cell>
          <cell r="C48">
            <v>13.176</v>
          </cell>
          <cell r="D48">
            <v>64.400000000000006</v>
          </cell>
          <cell r="E48">
            <v>64.599999999999994</v>
          </cell>
          <cell r="F48">
            <v>64.599999999999994</v>
          </cell>
          <cell r="G48">
            <v>63.9</v>
          </cell>
          <cell r="H48">
            <v>64.7</v>
          </cell>
          <cell r="I48">
            <v>63.8</v>
          </cell>
          <cell r="J48">
            <v>64.3</v>
          </cell>
          <cell r="K48">
            <v>64</v>
          </cell>
          <cell r="L48">
            <v>64.3</v>
          </cell>
          <cell r="M48">
            <v>64.5</v>
          </cell>
          <cell r="N48">
            <v>63.8</v>
          </cell>
          <cell r="O48">
            <v>63.2</v>
          </cell>
        </row>
        <row r="50">
          <cell r="A50">
            <v>906</v>
          </cell>
          <cell r="B50">
            <v>1</v>
          </cell>
          <cell r="C50">
            <v>13.183</v>
          </cell>
          <cell r="D50">
            <v>55.4</v>
          </cell>
          <cell r="E50">
            <v>52.3</v>
          </cell>
          <cell r="F50">
            <v>55.8</v>
          </cell>
          <cell r="G50">
            <v>51.2</v>
          </cell>
          <cell r="H50">
            <v>56.4</v>
          </cell>
          <cell r="I50">
            <v>56.6</v>
          </cell>
          <cell r="J50">
            <v>56.4</v>
          </cell>
          <cell r="K50">
            <v>57.6</v>
          </cell>
          <cell r="L50">
            <v>55.4</v>
          </cell>
          <cell r="M50">
            <v>55.4</v>
          </cell>
          <cell r="N50">
            <v>54.3</v>
          </cell>
          <cell r="O50">
            <v>51.2</v>
          </cell>
        </row>
        <row r="51">
          <cell r="A51">
            <v>906</v>
          </cell>
          <cell r="B51">
            <v>2</v>
          </cell>
          <cell r="C51">
            <v>13.19</v>
          </cell>
          <cell r="D51">
            <v>31.7</v>
          </cell>
          <cell r="E51">
            <v>34.1</v>
          </cell>
          <cell r="F51">
            <v>32.9</v>
          </cell>
          <cell r="G51">
            <v>43.2</v>
          </cell>
          <cell r="H51">
            <v>36.299999999999997</v>
          </cell>
          <cell r="I51">
            <v>30.8</v>
          </cell>
          <cell r="J51">
            <v>32.6</v>
          </cell>
          <cell r="K51">
            <v>34.200000000000003</v>
          </cell>
          <cell r="L51">
            <v>31.1</v>
          </cell>
          <cell r="M51">
            <v>36.299999999999997</v>
          </cell>
          <cell r="N51">
            <v>31.5</v>
          </cell>
          <cell r="O51">
            <v>36.1</v>
          </cell>
        </row>
        <row r="52">
          <cell r="A52">
            <v>905</v>
          </cell>
          <cell r="B52">
            <v>1</v>
          </cell>
          <cell r="C52">
            <v>13.202</v>
          </cell>
          <cell r="D52">
            <v>49</v>
          </cell>
          <cell r="E52">
            <v>49.7</v>
          </cell>
          <cell r="F52">
            <v>50.5</v>
          </cell>
          <cell r="G52">
            <v>50.4</v>
          </cell>
          <cell r="H52">
            <v>50.2</v>
          </cell>
          <cell r="I52">
            <v>49.6</v>
          </cell>
          <cell r="J52">
            <v>48.4</v>
          </cell>
          <cell r="K52">
            <v>48.5</v>
          </cell>
          <cell r="L52">
            <v>48.4</v>
          </cell>
          <cell r="M52">
            <v>48.9</v>
          </cell>
          <cell r="N52">
            <v>48.9</v>
          </cell>
          <cell r="O52">
            <v>49</v>
          </cell>
        </row>
        <row r="54">
          <cell r="A54">
            <v>904</v>
          </cell>
          <cell r="B54">
            <v>1</v>
          </cell>
          <cell r="C54">
            <v>13.209</v>
          </cell>
          <cell r="D54">
            <v>56.9</v>
          </cell>
          <cell r="E54">
            <v>51.4</v>
          </cell>
          <cell r="F54">
            <v>55.2</v>
          </cell>
          <cell r="G54">
            <v>50.4</v>
          </cell>
          <cell r="H54">
            <v>55.2</v>
          </cell>
          <cell r="I54">
            <v>55.3</v>
          </cell>
          <cell r="J54">
            <v>55.5</v>
          </cell>
          <cell r="K54">
            <v>53.6</v>
          </cell>
          <cell r="L54">
            <v>55.2</v>
          </cell>
          <cell r="M54">
            <v>57.2</v>
          </cell>
          <cell r="N54">
            <v>55.8</v>
          </cell>
          <cell r="O54">
            <v>58.9</v>
          </cell>
        </row>
        <row r="55">
          <cell r="A55">
            <v>904</v>
          </cell>
          <cell r="B55">
            <v>2</v>
          </cell>
          <cell r="C55">
            <v>13.215</v>
          </cell>
          <cell r="D55">
            <v>32.6</v>
          </cell>
          <cell r="E55">
            <v>33</v>
          </cell>
          <cell r="F55">
            <v>31.2</v>
          </cell>
          <cell r="G55">
            <v>36.1</v>
          </cell>
          <cell r="H55">
            <v>35.4</v>
          </cell>
          <cell r="I55">
            <v>34.6</v>
          </cell>
          <cell r="J55">
            <v>31.6</v>
          </cell>
          <cell r="K55">
            <v>41.1</v>
          </cell>
          <cell r="L55">
            <v>37.9</v>
          </cell>
          <cell r="M55">
            <v>34.9</v>
          </cell>
          <cell r="N55">
            <v>31.4</v>
          </cell>
          <cell r="O55">
            <v>31.6</v>
          </cell>
        </row>
        <row r="56">
          <cell r="A56">
            <v>903</v>
          </cell>
          <cell r="B56">
            <v>1</v>
          </cell>
          <cell r="C56">
            <v>13.225</v>
          </cell>
          <cell r="D56">
            <v>64.400000000000006</v>
          </cell>
          <cell r="E56">
            <v>64.5</v>
          </cell>
          <cell r="F56">
            <v>64.8</v>
          </cell>
          <cell r="G56">
            <v>64.5</v>
          </cell>
          <cell r="H56">
            <v>64.3</v>
          </cell>
          <cell r="I56">
            <v>64</v>
          </cell>
          <cell r="J56">
            <v>64.099999999999994</v>
          </cell>
          <cell r="K56">
            <v>63.6</v>
          </cell>
          <cell r="L56">
            <v>64</v>
          </cell>
          <cell r="M56">
            <v>63.7</v>
          </cell>
          <cell r="N56">
            <v>63.6</v>
          </cell>
          <cell r="O56">
            <v>64.3</v>
          </cell>
        </row>
        <row r="58">
          <cell r="A58">
            <v>902</v>
          </cell>
          <cell r="B58">
            <v>1</v>
          </cell>
          <cell r="C58">
            <v>13.231</v>
          </cell>
          <cell r="D58">
            <v>56.6</v>
          </cell>
          <cell r="E58">
            <v>51.9</v>
          </cell>
          <cell r="F58">
            <v>54.2</v>
          </cell>
          <cell r="G58">
            <v>47</v>
          </cell>
          <cell r="H58">
            <v>56</v>
          </cell>
          <cell r="I58">
            <v>55.7</v>
          </cell>
          <cell r="J58">
            <v>57</v>
          </cell>
          <cell r="K58">
            <v>51.3</v>
          </cell>
          <cell r="L58">
            <v>55.1</v>
          </cell>
          <cell r="M58">
            <v>53</v>
          </cell>
          <cell r="N58">
            <v>55</v>
          </cell>
          <cell r="O58">
            <v>54.9</v>
          </cell>
        </row>
        <row r="59">
          <cell r="A59">
            <v>902</v>
          </cell>
          <cell r="B59">
            <v>2</v>
          </cell>
          <cell r="C59">
            <v>13.236000000000001</v>
          </cell>
          <cell r="D59">
            <v>38.5</v>
          </cell>
          <cell r="E59">
            <v>31.9</v>
          </cell>
          <cell r="F59">
            <v>38.5</v>
          </cell>
          <cell r="G59">
            <v>34.700000000000003</v>
          </cell>
          <cell r="H59">
            <v>29.6</v>
          </cell>
          <cell r="I59">
            <v>32.200000000000003</v>
          </cell>
          <cell r="J59">
            <v>29.7</v>
          </cell>
          <cell r="K59">
            <v>30.7</v>
          </cell>
          <cell r="L59">
            <v>29.1</v>
          </cell>
          <cell r="M59">
            <v>29.3</v>
          </cell>
          <cell r="N59">
            <v>32.299999999999997</v>
          </cell>
          <cell r="O59">
            <v>32.6</v>
          </cell>
        </row>
        <row r="60">
          <cell r="A60">
            <v>901</v>
          </cell>
          <cell r="B60">
            <v>1</v>
          </cell>
          <cell r="C60">
            <v>13.246</v>
          </cell>
          <cell r="D60">
            <v>27.9</v>
          </cell>
          <cell r="E60">
            <v>27.8</v>
          </cell>
          <cell r="F60">
            <v>27.6</v>
          </cell>
          <cell r="G60">
            <v>27.6</v>
          </cell>
          <cell r="H60">
            <v>27.6</v>
          </cell>
          <cell r="I60">
            <v>27.7</v>
          </cell>
          <cell r="J60">
            <v>27.7</v>
          </cell>
          <cell r="K60">
            <v>27.7</v>
          </cell>
          <cell r="L60">
            <v>27.8</v>
          </cell>
          <cell r="M60">
            <v>27.9</v>
          </cell>
          <cell r="N60">
            <v>28.1</v>
          </cell>
          <cell r="O60">
            <v>28.2</v>
          </cell>
        </row>
        <row r="62">
          <cell r="A62">
            <v>301</v>
          </cell>
          <cell r="B62">
            <v>1</v>
          </cell>
          <cell r="C62">
            <v>13.260999999999999</v>
          </cell>
          <cell r="D62">
            <v>54.6</v>
          </cell>
          <cell r="E62">
            <v>51.9</v>
          </cell>
          <cell r="F62">
            <v>54.8</v>
          </cell>
          <cell r="G62">
            <v>52.1</v>
          </cell>
          <cell r="H62">
            <v>54.5</v>
          </cell>
          <cell r="I62">
            <v>50.1</v>
          </cell>
          <cell r="J62">
            <v>55.2</v>
          </cell>
          <cell r="K62">
            <v>51.1</v>
          </cell>
          <cell r="L62">
            <v>55.3</v>
          </cell>
          <cell r="M62">
            <v>51.7</v>
          </cell>
          <cell r="N62">
            <v>54.9</v>
          </cell>
          <cell r="O62">
            <v>48.7</v>
          </cell>
        </row>
        <row r="63">
          <cell r="A63">
            <v>301</v>
          </cell>
          <cell r="B63">
            <v>2</v>
          </cell>
          <cell r="C63">
            <v>13.27</v>
          </cell>
          <cell r="D63">
            <v>33.799999999999997</v>
          </cell>
          <cell r="E63">
            <v>33.799999999999997</v>
          </cell>
          <cell r="F63">
            <v>36.9</v>
          </cell>
          <cell r="G63">
            <v>34.299999999999997</v>
          </cell>
          <cell r="H63">
            <v>35.9</v>
          </cell>
          <cell r="I63">
            <v>38.9</v>
          </cell>
          <cell r="J63">
            <v>35.5</v>
          </cell>
          <cell r="K63">
            <v>37.4</v>
          </cell>
          <cell r="L63">
            <v>33.299999999999997</v>
          </cell>
          <cell r="M63">
            <v>37.4</v>
          </cell>
          <cell r="N63">
            <v>39.1</v>
          </cell>
          <cell r="O63">
            <v>33.200000000000003</v>
          </cell>
        </row>
        <row r="64">
          <cell r="A64">
            <v>302</v>
          </cell>
          <cell r="B64">
            <v>1</v>
          </cell>
          <cell r="C64">
            <v>13.281000000000001</v>
          </cell>
          <cell r="D64">
            <v>53.9</v>
          </cell>
          <cell r="E64">
            <v>55.7</v>
          </cell>
          <cell r="F64">
            <v>55.3</v>
          </cell>
          <cell r="G64">
            <v>51.4</v>
          </cell>
          <cell r="H64">
            <v>54.2</v>
          </cell>
          <cell r="I64">
            <v>48</v>
          </cell>
          <cell r="J64">
            <v>55</v>
          </cell>
          <cell r="K64">
            <v>48.6</v>
          </cell>
          <cell r="L64">
            <v>54.3</v>
          </cell>
          <cell r="M64">
            <v>47.7</v>
          </cell>
          <cell r="N64">
            <v>55</v>
          </cell>
          <cell r="O64">
            <v>52</v>
          </cell>
        </row>
        <row r="65">
          <cell r="A65">
            <v>302</v>
          </cell>
          <cell r="B65">
            <v>2</v>
          </cell>
          <cell r="C65">
            <v>13.286</v>
          </cell>
          <cell r="D65">
            <v>35.799999999999997</v>
          </cell>
          <cell r="E65">
            <v>39.299999999999997</v>
          </cell>
          <cell r="F65">
            <v>31.3</v>
          </cell>
          <cell r="G65">
            <v>32.700000000000003</v>
          </cell>
          <cell r="H65">
            <v>33.6</v>
          </cell>
          <cell r="I65">
            <v>36.299999999999997</v>
          </cell>
          <cell r="J65">
            <v>33.5</v>
          </cell>
          <cell r="K65">
            <v>33</v>
          </cell>
          <cell r="L65">
            <v>30.4</v>
          </cell>
          <cell r="M65">
            <v>34.700000000000003</v>
          </cell>
          <cell r="N65">
            <v>38.1</v>
          </cell>
          <cell r="O65">
            <v>33.9</v>
          </cell>
        </row>
        <row r="66">
          <cell r="A66">
            <v>303</v>
          </cell>
          <cell r="B66">
            <v>1</v>
          </cell>
          <cell r="C66">
            <v>13.295999999999999</v>
          </cell>
          <cell r="D66">
            <v>52.9</v>
          </cell>
          <cell r="E66">
            <v>54.2</v>
          </cell>
          <cell r="F66">
            <v>53.7</v>
          </cell>
          <cell r="G66">
            <v>52</v>
          </cell>
          <cell r="H66">
            <v>53.3</v>
          </cell>
          <cell r="I66">
            <v>50.2</v>
          </cell>
          <cell r="J66">
            <v>53.6</v>
          </cell>
          <cell r="K66">
            <v>49.8</v>
          </cell>
          <cell r="L66">
            <v>53.6</v>
          </cell>
          <cell r="M66">
            <v>55.3</v>
          </cell>
          <cell r="N66">
            <v>52.8</v>
          </cell>
          <cell r="O66">
            <v>50.8</v>
          </cell>
        </row>
        <row r="67">
          <cell r="A67">
            <v>303</v>
          </cell>
          <cell r="B67">
            <v>2</v>
          </cell>
          <cell r="C67">
            <v>13.301</v>
          </cell>
          <cell r="D67">
            <v>34.9</v>
          </cell>
          <cell r="E67">
            <v>37.6</v>
          </cell>
          <cell r="F67">
            <v>34.5</v>
          </cell>
          <cell r="G67">
            <v>35.799999999999997</v>
          </cell>
          <cell r="H67">
            <v>34</v>
          </cell>
          <cell r="I67">
            <v>37.1</v>
          </cell>
          <cell r="J67">
            <v>35.5</v>
          </cell>
          <cell r="K67">
            <v>37.5</v>
          </cell>
          <cell r="L67">
            <v>37.9</v>
          </cell>
          <cell r="M67">
            <v>34.9</v>
          </cell>
          <cell r="N67">
            <v>34</v>
          </cell>
          <cell r="O67">
            <v>35.6</v>
          </cell>
        </row>
        <row r="68">
          <cell r="A68">
            <v>304</v>
          </cell>
          <cell r="B68">
            <v>1</v>
          </cell>
          <cell r="C68">
            <v>13.311999999999999</v>
          </cell>
          <cell r="D68">
            <v>55.6</v>
          </cell>
          <cell r="E68">
            <v>54.8</v>
          </cell>
          <cell r="F68">
            <v>54.4</v>
          </cell>
          <cell r="G68">
            <v>53.9</v>
          </cell>
          <cell r="H68">
            <v>54.5</v>
          </cell>
          <cell r="I68">
            <v>55.3</v>
          </cell>
          <cell r="J68">
            <v>55.3</v>
          </cell>
          <cell r="K68">
            <v>50.9</v>
          </cell>
          <cell r="L68">
            <v>54.5</v>
          </cell>
          <cell r="M68">
            <v>52.8</v>
          </cell>
          <cell r="N68">
            <v>54.2</v>
          </cell>
          <cell r="O68">
            <v>57.8</v>
          </cell>
        </row>
        <row r="69">
          <cell r="A69">
            <v>304</v>
          </cell>
          <cell r="B69">
            <v>2</v>
          </cell>
          <cell r="C69">
            <v>13.317</v>
          </cell>
          <cell r="D69">
            <v>42.9</v>
          </cell>
          <cell r="E69">
            <v>46.2</v>
          </cell>
          <cell r="F69">
            <v>40.700000000000003</v>
          </cell>
          <cell r="G69">
            <v>35.1</v>
          </cell>
          <cell r="H69">
            <v>39.9</v>
          </cell>
          <cell r="I69">
            <v>37.6</v>
          </cell>
          <cell r="J69">
            <v>38.6</v>
          </cell>
          <cell r="K69">
            <v>36.9</v>
          </cell>
          <cell r="L69">
            <v>35.5</v>
          </cell>
          <cell r="M69">
            <v>34.799999999999997</v>
          </cell>
          <cell r="N69">
            <v>31.9</v>
          </cell>
          <cell r="O69">
            <v>30.5</v>
          </cell>
        </row>
        <row r="70">
          <cell r="A70">
            <v>305</v>
          </cell>
          <cell r="B70">
            <v>1</v>
          </cell>
          <cell r="C70">
            <v>13.327999999999999</v>
          </cell>
          <cell r="D70">
            <v>54.6</v>
          </cell>
          <cell r="E70">
            <v>49.4</v>
          </cell>
          <cell r="F70">
            <v>57.4</v>
          </cell>
          <cell r="G70">
            <v>52.3</v>
          </cell>
          <cell r="H70">
            <v>56.8</v>
          </cell>
          <cell r="I70">
            <v>53.6</v>
          </cell>
          <cell r="J70">
            <v>56.8</v>
          </cell>
          <cell r="K70">
            <v>46.9</v>
          </cell>
          <cell r="L70">
            <v>56.4</v>
          </cell>
          <cell r="M70">
            <v>50.2</v>
          </cell>
          <cell r="N70">
            <v>56.7</v>
          </cell>
          <cell r="O70">
            <v>48.5</v>
          </cell>
        </row>
        <row r="71">
          <cell r="A71">
            <v>305</v>
          </cell>
          <cell r="B71">
            <v>2</v>
          </cell>
          <cell r="C71">
            <v>13.333</v>
          </cell>
          <cell r="D71">
            <v>37.799999999999997</v>
          </cell>
          <cell r="E71">
            <v>38.1</v>
          </cell>
          <cell r="F71">
            <v>32.700000000000003</v>
          </cell>
          <cell r="G71">
            <v>34.4</v>
          </cell>
          <cell r="H71">
            <v>35.299999999999997</v>
          </cell>
          <cell r="I71">
            <v>32.9</v>
          </cell>
          <cell r="J71">
            <v>37.4</v>
          </cell>
          <cell r="K71">
            <v>34.6</v>
          </cell>
          <cell r="L71">
            <v>34.4</v>
          </cell>
          <cell r="M71">
            <v>32.9</v>
          </cell>
          <cell r="N71">
            <v>39.299999999999997</v>
          </cell>
          <cell r="O71">
            <v>34.299999999999997</v>
          </cell>
        </row>
        <row r="72">
          <cell r="A72">
            <v>306</v>
          </cell>
          <cell r="B72">
            <v>1</v>
          </cell>
          <cell r="C72">
            <v>13.343</v>
          </cell>
          <cell r="D72">
            <v>52</v>
          </cell>
          <cell r="E72">
            <v>52.8</v>
          </cell>
          <cell r="F72">
            <v>54.4</v>
          </cell>
          <cell r="G72">
            <v>49.2</v>
          </cell>
          <cell r="H72">
            <v>55</v>
          </cell>
          <cell r="I72">
            <v>47.1</v>
          </cell>
          <cell r="J72">
            <v>55</v>
          </cell>
          <cell r="K72">
            <v>44.1</v>
          </cell>
          <cell r="L72">
            <v>53.8</v>
          </cell>
          <cell r="M72">
            <v>48.4</v>
          </cell>
          <cell r="N72">
            <v>53.8</v>
          </cell>
          <cell r="O72">
            <v>50.2</v>
          </cell>
        </row>
        <row r="73">
          <cell r="A73">
            <v>306</v>
          </cell>
          <cell r="B73">
            <v>2</v>
          </cell>
          <cell r="C73">
            <v>13.348000000000001</v>
          </cell>
          <cell r="D73">
            <v>33.4</v>
          </cell>
          <cell r="E73">
            <v>31.8</v>
          </cell>
          <cell r="F73">
            <v>35.799999999999997</v>
          </cell>
          <cell r="G73">
            <v>34.1</v>
          </cell>
          <cell r="H73">
            <v>33</v>
          </cell>
          <cell r="I73">
            <v>34.1</v>
          </cell>
          <cell r="J73">
            <v>30.6</v>
          </cell>
          <cell r="K73">
            <v>30.2</v>
          </cell>
          <cell r="L73">
            <v>35.200000000000003</v>
          </cell>
          <cell r="M73">
            <v>33.200000000000003</v>
          </cell>
          <cell r="N73">
            <v>31.5</v>
          </cell>
          <cell r="O73">
            <v>31.1</v>
          </cell>
        </row>
        <row r="74">
          <cell r="A74">
            <v>307</v>
          </cell>
          <cell r="B74">
            <v>1</v>
          </cell>
          <cell r="C74">
            <v>13.358000000000001</v>
          </cell>
          <cell r="D74">
            <v>53.5</v>
          </cell>
          <cell r="E74">
            <v>54.9</v>
          </cell>
          <cell r="F74">
            <v>54.8</v>
          </cell>
          <cell r="G74">
            <v>47.3</v>
          </cell>
          <cell r="H74">
            <v>55.3</v>
          </cell>
          <cell r="I74">
            <v>51.1</v>
          </cell>
          <cell r="J74">
            <v>55.1</v>
          </cell>
          <cell r="K74">
            <v>46</v>
          </cell>
          <cell r="L74">
            <v>55.9</v>
          </cell>
          <cell r="M74">
            <v>45.8</v>
          </cell>
          <cell r="N74">
            <v>54.1</v>
          </cell>
          <cell r="O74">
            <v>48.4</v>
          </cell>
        </row>
        <row r="75">
          <cell r="A75">
            <v>307</v>
          </cell>
          <cell r="B75">
            <v>2</v>
          </cell>
          <cell r="C75">
            <v>13.364000000000001</v>
          </cell>
          <cell r="D75">
            <v>35.9</v>
          </cell>
          <cell r="E75">
            <v>37.9</v>
          </cell>
          <cell r="F75">
            <v>33.9</v>
          </cell>
          <cell r="G75">
            <v>34.4</v>
          </cell>
          <cell r="H75">
            <v>35.299999999999997</v>
          </cell>
          <cell r="I75">
            <v>33.299999999999997</v>
          </cell>
          <cell r="J75">
            <v>31.4</v>
          </cell>
          <cell r="K75">
            <v>36.799999999999997</v>
          </cell>
          <cell r="L75">
            <v>34.4</v>
          </cell>
          <cell r="M75">
            <v>37.299999999999997</v>
          </cell>
          <cell r="N75">
            <v>30.5</v>
          </cell>
          <cell r="O75">
            <v>32.9</v>
          </cell>
        </row>
        <row r="76">
          <cell r="A76">
            <v>308</v>
          </cell>
          <cell r="B76">
            <v>1</v>
          </cell>
          <cell r="C76">
            <v>13.375</v>
          </cell>
          <cell r="D76">
            <v>48.9</v>
          </cell>
          <cell r="E76">
            <v>51.9</v>
          </cell>
          <cell r="F76">
            <v>53.6</v>
          </cell>
          <cell r="G76">
            <v>47.2</v>
          </cell>
          <cell r="H76">
            <v>54.8</v>
          </cell>
          <cell r="I76">
            <v>51.3</v>
          </cell>
          <cell r="J76">
            <v>52.5</v>
          </cell>
          <cell r="K76">
            <v>51.3</v>
          </cell>
          <cell r="L76">
            <v>57</v>
          </cell>
          <cell r="M76">
            <v>47</v>
          </cell>
          <cell r="N76">
            <v>56.2</v>
          </cell>
          <cell r="O76">
            <v>47.4</v>
          </cell>
        </row>
        <row r="77">
          <cell r="A77">
            <v>308</v>
          </cell>
          <cell r="B77">
            <v>2</v>
          </cell>
          <cell r="C77">
            <v>13.382</v>
          </cell>
          <cell r="D77">
            <v>35.799999999999997</v>
          </cell>
          <cell r="E77">
            <v>33.4</v>
          </cell>
          <cell r="F77">
            <v>31</v>
          </cell>
          <cell r="G77">
            <v>34.700000000000003</v>
          </cell>
          <cell r="H77">
            <v>35.799999999999997</v>
          </cell>
          <cell r="I77">
            <v>34.299999999999997</v>
          </cell>
          <cell r="J77">
            <v>29.7</v>
          </cell>
          <cell r="K77">
            <v>32.6</v>
          </cell>
          <cell r="L77">
            <v>31.5</v>
          </cell>
          <cell r="M77">
            <v>31.8</v>
          </cell>
          <cell r="N77">
            <v>36.6</v>
          </cell>
          <cell r="O77">
            <v>30.1</v>
          </cell>
        </row>
        <row r="78">
          <cell r="A78">
            <v>408</v>
          </cell>
          <cell r="B78">
            <v>1</v>
          </cell>
          <cell r="C78">
            <v>13.401999999999999</v>
          </cell>
          <cell r="D78">
            <v>54.9</v>
          </cell>
          <cell r="E78">
            <v>55.5</v>
          </cell>
          <cell r="F78">
            <v>54.3</v>
          </cell>
          <cell r="G78">
            <v>55</v>
          </cell>
          <cell r="H78">
            <v>56.2</v>
          </cell>
          <cell r="I78">
            <v>51.8</v>
          </cell>
          <cell r="J78">
            <v>55.5</v>
          </cell>
          <cell r="K78">
            <v>54.8</v>
          </cell>
          <cell r="L78">
            <v>55.8</v>
          </cell>
          <cell r="M78">
            <v>54.3</v>
          </cell>
          <cell r="N78">
            <v>55.2</v>
          </cell>
          <cell r="O78">
            <v>52.6</v>
          </cell>
        </row>
        <row r="79">
          <cell r="A79">
            <v>408</v>
          </cell>
          <cell r="B79">
            <v>2</v>
          </cell>
          <cell r="C79">
            <v>13.407999999999999</v>
          </cell>
          <cell r="D79">
            <v>34.1</v>
          </cell>
          <cell r="E79">
            <v>31.8</v>
          </cell>
          <cell r="F79">
            <v>37.5</v>
          </cell>
          <cell r="G79">
            <v>38.299999999999997</v>
          </cell>
          <cell r="H79">
            <v>38.1</v>
          </cell>
          <cell r="I79">
            <v>34.700000000000003</v>
          </cell>
          <cell r="J79">
            <v>38.700000000000003</v>
          </cell>
          <cell r="K79">
            <v>35.700000000000003</v>
          </cell>
          <cell r="L79">
            <v>31.7</v>
          </cell>
          <cell r="M79">
            <v>34.9</v>
          </cell>
          <cell r="N79">
            <v>32.9</v>
          </cell>
          <cell r="O79">
            <v>31.6</v>
          </cell>
        </row>
        <row r="80">
          <cell r="A80">
            <v>407</v>
          </cell>
          <cell r="B80">
            <v>1</v>
          </cell>
          <cell r="C80">
            <v>13.417999999999999</v>
          </cell>
          <cell r="D80">
            <v>54.6</v>
          </cell>
          <cell r="E80">
            <v>55.6</v>
          </cell>
          <cell r="F80">
            <v>55</v>
          </cell>
          <cell r="G80">
            <v>54.9</v>
          </cell>
          <cell r="H80">
            <v>54.6</v>
          </cell>
          <cell r="I80">
            <v>55.5</v>
          </cell>
          <cell r="J80">
            <v>55.4</v>
          </cell>
          <cell r="K80">
            <v>53.1</v>
          </cell>
          <cell r="L80">
            <v>54.8</v>
          </cell>
          <cell r="M80">
            <v>54.9</v>
          </cell>
          <cell r="N80">
            <v>55.2</v>
          </cell>
          <cell r="O80">
            <v>52.1</v>
          </cell>
        </row>
        <row r="81">
          <cell r="A81">
            <v>407</v>
          </cell>
          <cell r="B81">
            <v>2</v>
          </cell>
          <cell r="C81">
            <v>13.423</v>
          </cell>
          <cell r="D81">
            <v>44.3</v>
          </cell>
          <cell r="E81">
            <v>38.700000000000003</v>
          </cell>
          <cell r="F81">
            <v>39.5</v>
          </cell>
          <cell r="G81">
            <v>38.200000000000003</v>
          </cell>
          <cell r="H81">
            <v>37.6</v>
          </cell>
          <cell r="I81">
            <v>39.9</v>
          </cell>
          <cell r="J81">
            <v>36.799999999999997</v>
          </cell>
          <cell r="K81">
            <v>35.1</v>
          </cell>
          <cell r="L81">
            <v>36.5</v>
          </cell>
          <cell r="M81">
            <v>33.700000000000003</v>
          </cell>
          <cell r="N81">
            <v>40.4</v>
          </cell>
          <cell r="O81">
            <v>36.200000000000003</v>
          </cell>
        </row>
        <row r="82">
          <cell r="A82">
            <v>406</v>
          </cell>
          <cell r="B82">
            <v>1</v>
          </cell>
          <cell r="C82">
            <v>13.435</v>
          </cell>
          <cell r="D82">
            <v>54.2</v>
          </cell>
          <cell r="E82">
            <v>53.8</v>
          </cell>
          <cell r="F82">
            <v>55.2</v>
          </cell>
          <cell r="G82">
            <v>46.1</v>
          </cell>
          <cell r="H82">
            <v>54.8</v>
          </cell>
          <cell r="I82">
            <v>50</v>
          </cell>
          <cell r="J82">
            <v>55.4</v>
          </cell>
          <cell r="K82">
            <v>52</v>
          </cell>
          <cell r="L82">
            <v>54.1</v>
          </cell>
          <cell r="M82">
            <v>49.4</v>
          </cell>
          <cell r="N82">
            <v>54.8</v>
          </cell>
          <cell r="O82">
            <v>48.3</v>
          </cell>
        </row>
        <row r="83">
          <cell r="A83">
            <v>406</v>
          </cell>
          <cell r="B83">
            <v>2</v>
          </cell>
          <cell r="C83">
            <v>13.44</v>
          </cell>
          <cell r="D83">
            <v>35.4</v>
          </cell>
          <cell r="E83">
            <v>33.5</v>
          </cell>
          <cell r="F83">
            <v>34.4</v>
          </cell>
          <cell r="G83">
            <v>39.1</v>
          </cell>
          <cell r="H83">
            <v>35.1</v>
          </cell>
          <cell r="I83">
            <v>32.4</v>
          </cell>
          <cell r="J83">
            <v>36.4</v>
          </cell>
          <cell r="K83">
            <v>32.799999999999997</v>
          </cell>
          <cell r="L83">
            <v>34.700000000000003</v>
          </cell>
          <cell r="M83">
            <v>30</v>
          </cell>
          <cell r="N83">
            <v>30.6</v>
          </cell>
          <cell r="O83">
            <v>30.7</v>
          </cell>
        </row>
        <row r="84">
          <cell r="A84">
            <v>405</v>
          </cell>
          <cell r="B84">
            <v>1</v>
          </cell>
          <cell r="C84">
            <v>13.451000000000001</v>
          </cell>
          <cell r="D84">
            <v>56</v>
          </cell>
          <cell r="E84">
            <v>51.2</v>
          </cell>
          <cell r="F84">
            <v>55.9</v>
          </cell>
          <cell r="G84">
            <v>50.3</v>
          </cell>
          <cell r="H84">
            <v>55.9</v>
          </cell>
          <cell r="I84">
            <v>48.3</v>
          </cell>
          <cell r="J84">
            <v>56.1</v>
          </cell>
          <cell r="K84">
            <v>54.2</v>
          </cell>
          <cell r="L84">
            <v>56.3</v>
          </cell>
          <cell r="M84">
            <v>50.1</v>
          </cell>
          <cell r="N84">
            <v>54.6</v>
          </cell>
          <cell r="O84">
            <v>51.3</v>
          </cell>
        </row>
        <row r="85">
          <cell r="A85">
            <v>405</v>
          </cell>
          <cell r="B85">
            <v>2</v>
          </cell>
          <cell r="C85">
            <v>13.456</v>
          </cell>
          <cell r="D85">
            <v>39.9</v>
          </cell>
          <cell r="E85">
            <v>38.700000000000003</v>
          </cell>
          <cell r="F85">
            <v>32.6</v>
          </cell>
          <cell r="G85">
            <v>37.1</v>
          </cell>
          <cell r="H85">
            <v>30.4</v>
          </cell>
          <cell r="I85">
            <v>32.1</v>
          </cell>
          <cell r="J85">
            <v>35.9</v>
          </cell>
          <cell r="K85">
            <v>33.799999999999997</v>
          </cell>
          <cell r="L85">
            <v>34.200000000000003</v>
          </cell>
          <cell r="M85">
            <v>33.200000000000003</v>
          </cell>
          <cell r="N85">
            <v>33.700000000000003</v>
          </cell>
          <cell r="O85">
            <v>31.5</v>
          </cell>
        </row>
        <row r="86">
          <cell r="A86">
            <v>404</v>
          </cell>
          <cell r="B86">
            <v>1</v>
          </cell>
          <cell r="C86">
            <v>13.467000000000001</v>
          </cell>
          <cell r="D86">
            <v>54.9</v>
          </cell>
          <cell r="E86">
            <v>55.1</v>
          </cell>
          <cell r="F86">
            <v>55.1</v>
          </cell>
          <cell r="G86">
            <v>47.6</v>
          </cell>
          <cell r="H86">
            <v>55.4</v>
          </cell>
          <cell r="I86">
            <v>53.7</v>
          </cell>
          <cell r="J86">
            <v>55.8</v>
          </cell>
          <cell r="K86">
            <v>45.8</v>
          </cell>
          <cell r="L86">
            <v>54.9</v>
          </cell>
          <cell r="M86">
            <v>57.4</v>
          </cell>
          <cell r="N86">
            <v>55.3</v>
          </cell>
          <cell r="O86">
            <v>55.8</v>
          </cell>
        </row>
        <row r="87">
          <cell r="A87">
            <v>404</v>
          </cell>
          <cell r="B87">
            <v>2</v>
          </cell>
          <cell r="C87">
            <v>13.472</v>
          </cell>
          <cell r="D87">
            <v>38.1</v>
          </cell>
          <cell r="E87">
            <v>43.2</v>
          </cell>
          <cell r="F87">
            <v>36.6</v>
          </cell>
          <cell r="G87">
            <v>34.299999999999997</v>
          </cell>
          <cell r="H87">
            <v>37.1</v>
          </cell>
          <cell r="I87">
            <v>37.700000000000003</v>
          </cell>
          <cell r="J87">
            <v>32.6</v>
          </cell>
          <cell r="K87">
            <v>35.5</v>
          </cell>
          <cell r="L87">
            <v>39.6</v>
          </cell>
          <cell r="M87">
            <v>41.8</v>
          </cell>
          <cell r="N87">
            <v>36.799999999999997</v>
          </cell>
          <cell r="O87">
            <v>36.5</v>
          </cell>
        </row>
        <row r="88">
          <cell r="A88">
            <v>403</v>
          </cell>
          <cell r="B88">
            <v>1</v>
          </cell>
          <cell r="C88">
            <v>13.484999999999999</v>
          </cell>
          <cell r="D88">
            <v>55.6</v>
          </cell>
          <cell r="E88">
            <v>48.7</v>
          </cell>
          <cell r="F88">
            <v>55.1</v>
          </cell>
          <cell r="G88">
            <v>50.2</v>
          </cell>
          <cell r="H88">
            <v>55.4</v>
          </cell>
          <cell r="I88">
            <v>49.5</v>
          </cell>
          <cell r="J88">
            <v>55.9</v>
          </cell>
          <cell r="K88">
            <v>50.9</v>
          </cell>
          <cell r="L88">
            <v>55.2</v>
          </cell>
          <cell r="M88">
            <v>51.4</v>
          </cell>
          <cell r="N88">
            <v>55.2</v>
          </cell>
          <cell r="O88">
            <v>54.8</v>
          </cell>
        </row>
        <row r="89">
          <cell r="A89">
            <v>403</v>
          </cell>
          <cell r="B89">
            <v>2</v>
          </cell>
          <cell r="C89">
            <v>13.49</v>
          </cell>
          <cell r="D89">
            <v>36.299999999999997</v>
          </cell>
          <cell r="E89">
            <v>30.3</v>
          </cell>
          <cell r="F89">
            <v>30.6</v>
          </cell>
          <cell r="G89">
            <v>30.3</v>
          </cell>
          <cell r="H89">
            <v>31.6</v>
          </cell>
          <cell r="I89">
            <v>36.200000000000003</v>
          </cell>
          <cell r="J89">
            <v>33</v>
          </cell>
          <cell r="K89">
            <v>35.6</v>
          </cell>
          <cell r="L89">
            <v>32.299999999999997</v>
          </cell>
          <cell r="M89">
            <v>30.8</v>
          </cell>
          <cell r="N89">
            <v>32.799999999999997</v>
          </cell>
          <cell r="O89">
            <v>39</v>
          </cell>
        </row>
        <row r="90">
          <cell r="A90">
            <v>402</v>
          </cell>
          <cell r="B90">
            <v>1</v>
          </cell>
          <cell r="C90">
            <v>13.500999999999999</v>
          </cell>
          <cell r="D90">
            <v>56.4</v>
          </cell>
          <cell r="E90">
            <v>55.6</v>
          </cell>
          <cell r="F90">
            <v>56.5</v>
          </cell>
          <cell r="G90">
            <v>55.1</v>
          </cell>
          <cell r="H90">
            <v>55.6</v>
          </cell>
          <cell r="I90">
            <v>53</v>
          </cell>
          <cell r="J90">
            <v>55</v>
          </cell>
          <cell r="K90">
            <v>54.8</v>
          </cell>
          <cell r="L90">
            <v>54.8</v>
          </cell>
          <cell r="M90">
            <v>56.3</v>
          </cell>
          <cell r="N90">
            <v>54.9</v>
          </cell>
          <cell r="O90">
            <v>54</v>
          </cell>
        </row>
        <row r="91">
          <cell r="A91">
            <v>402</v>
          </cell>
          <cell r="B91">
            <v>2</v>
          </cell>
          <cell r="C91">
            <v>13.506</v>
          </cell>
          <cell r="D91">
            <v>32.5</v>
          </cell>
          <cell r="E91">
            <v>40</v>
          </cell>
          <cell r="F91">
            <v>33.4</v>
          </cell>
          <cell r="G91">
            <v>33.6</v>
          </cell>
          <cell r="H91">
            <v>34.299999999999997</v>
          </cell>
          <cell r="I91">
            <v>33.9</v>
          </cell>
          <cell r="J91">
            <v>33.700000000000003</v>
          </cell>
          <cell r="K91">
            <v>34.200000000000003</v>
          </cell>
          <cell r="L91">
            <v>34</v>
          </cell>
          <cell r="M91">
            <v>35</v>
          </cell>
          <cell r="N91">
            <v>31</v>
          </cell>
          <cell r="O91">
            <v>36.700000000000003</v>
          </cell>
        </row>
        <row r="92">
          <cell r="A92">
            <v>401</v>
          </cell>
          <cell r="B92">
            <v>1</v>
          </cell>
          <cell r="C92">
            <v>13.516999999999999</v>
          </cell>
          <cell r="D92">
            <v>56.4</v>
          </cell>
          <cell r="E92">
            <v>56.3</v>
          </cell>
          <cell r="F92">
            <v>55.8</v>
          </cell>
          <cell r="G92">
            <v>54.4</v>
          </cell>
          <cell r="H92">
            <v>55.1</v>
          </cell>
          <cell r="I92">
            <v>57.1</v>
          </cell>
          <cell r="J92">
            <v>55.7</v>
          </cell>
          <cell r="K92">
            <v>57.2</v>
          </cell>
          <cell r="L92">
            <v>55.5</v>
          </cell>
          <cell r="M92">
            <v>55.6</v>
          </cell>
          <cell r="N92">
            <v>54.8</v>
          </cell>
          <cell r="O92">
            <v>56.2</v>
          </cell>
        </row>
        <row r="93">
          <cell r="A93">
            <v>401</v>
          </cell>
          <cell r="B93">
            <v>2</v>
          </cell>
          <cell r="C93">
            <v>13.522</v>
          </cell>
          <cell r="D93">
            <v>36.700000000000003</v>
          </cell>
          <cell r="E93">
            <v>38.9</v>
          </cell>
          <cell r="F93">
            <v>35.799999999999997</v>
          </cell>
          <cell r="G93">
            <v>36.6</v>
          </cell>
          <cell r="H93">
            <v>36.4</v>
          </cell>
          <cell r="I93">
            <v>40.799999999999997</v>
          </cell>
          <cell r="J93">
            <v>36.299999999999997</v>
          </cell>
          <cell r="K93">
            <v>33.200000000000003</v>
          </cell>
          <cell r="L93">
            <v>37.299999999999997</v>
          </cell>
          <cell r="M93">
            <v>40.9</v>
          </cell>
          <cell r="N93">
            <v>33.1</v>
          </cell>
          <cell r="O93">
            <v>36.1</v>
          </cell>
        </row>
      </sheetData>
      <sheetData sheetId="2">
        <row r="7">
          <cell r="C7">
            <v>154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35.25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'IA153.03R'</v>
          </cell>
        </row>
        <row r="14">
          <cell r="A14">
            <v>108</v>
          </cell>
          <cell r="B14">
            <v>1</v>
          </cell>
          <cell r="C14">
            <v>13.083</v>
          </cell>
          <cell r="D14">
            <v>56</v>
          </cell>
          <cell r="E14">
            <v>54.5</v>
          </cell>
          <cell r="F14">
            <v>53.3</v>
          </cell>
          <cell r="G14">
            <v>55.4</v>
          </cell>
          <cell r="H14">
            <v>54</v>
          </cell>
          <cell r="I14">
            <v>54.7</v>
          </cell>
          <cell r="J14">
            <v>54.4</v>
          </cell>
          <cell r="K14">
            <v>55.3</v>
          </cell>
          <cell r="L14">
            <v>53.4</v>
          </cell>
          <cell r="M14">
            <v>54.6</v>
          </cell>
          <cell r="N14">
            <v>54.4</v>
          </cell>
          <cell r="O14">
            <v>51.3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13.092000000000001</v>
          </cell>
          <cell r="D16">
            <v>56.6</v>
          </cell>
          <cell r="E16">
            <v>55.9</v>
          </cell>
          <cell r="F16">
            <v>56.4</v>
          </cell>
          <cell r="G16">
            <v>55</v>
          </cell>
          <cell r="H16">
            <v>52.3</v>
          </cell>
          <cell r="I16">
            <v>54.6</v>
          </cell>
          <cell r="J16">
            <v>55.8</v>
          </cell>
          <cell r="K16">
            <v>52.4</v>
          </cell>
          <cell r="L16">
            <v>49.1</v>
          </cell>
          <cell r="M16">
            <v>55.1</v>
          </cell>
          <cell r="N16">
            <v>51.4</v>
          </cell>
          <cell r="O16">
            <v>53.5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13.1</v>
          </cell>
          <cell r="D18">
            <v>55</v>
          </cell>
          <cell r="E18">
            <v>53.5</v>
          </cell>
          <cell r="F18">
            <v>52.2</v>
          </cell>
          <cell r="G18">
            <v>54</v>
          </cell>
          <cell r="H18">
            <v>54.8</v>
          </cell>
          <cell r="I18">
            <v>54.6</v>
          </cell>
          <cell r="J18">
            <v>53.5</v>
          </cell>
          <cell r="K18">
            <v>54</v>
          </cell>
          <cell r="L18">
            <v>53.7</v>
          </cell>
          <cell r="M18">
            <v>53.3</v>
          </cell>
          <cell r="N18">
            <v>54.3</v>
          </cell>
          <cell r="O18">
            <v>52.7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13.109</v>
          </cell>
          <cell r="D20">
            <v>56.3</v>
          </cell>
          <cell r="E20">
            <v>52.8</v>
          </cell>
          <cell r="F20">
            <v>53.6</v>
          </cell>
          <cell r="G20">
            <v>54.6</v>
          </cell>
          <cell r="H20">
            <v>50.3</v>
          </cell>
          <cell r="I20">
            <v>56</v>
          </cell>
          <cell r="J20">
            <v>53.1</v>
          </cell>
          <cell r="K20">
            <v>54.9</v>
          </cell>
          <cell r="L20">
            <v>52.9</v>
          </cell>
          <cell r="M20">
            <v>56.3</v>
          </cell>
          <cell r="N20">
            <v>56.5</v>
          </cell>
          <cell r="O20">
            <v>55.6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13.118</v>
          </cell>
          <cell r="D22">
            <v>54.2</v>
          </cell>
          <cell r="E22">
            <v>54.4</v>
          </cell>
          <cell r="F22">
            <v>55.5</v>
          </cell>
          <cell r="G22">
            <v>54.3</v>
          </cell>
          <cell r="H22">
            <v>54.4</v>
          </cell>
          <cell r="I22">
            <v>55.4</v>
          </cell>
          <cell r="J22">
            <v>54.7</v>
          </cell>
          <cell r="K22">
            <v>54</v>
          </cell>
          <cell r="L22">
            <v>54</v>
          </cell>
          <cell r="M22">
            <v>53.4</v>
          </cell>
          <cell r="N22">
            <v>52.6</v>
          </cell>
          <cell r="O22">
            <v>53.5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13.127000000000001</v>
          </cell>
          <cell r="D24">
            <v>55.7</v>
          </cell>
          <cell r="E24">
            <v>51.6</v>
          </cell>
          <cell r="F24">
            <v>52.4</v>
          </cell>
          <cell r="G24">
            <v>55.2</v>
          </cell>
          <cell r="H24">
            <v>47</v>
          </cell>
          <cell r="I24">
            <v>55.2</v>
          </cell>
          <cell r="J24">
            <v>49.7</v>
          </cell>
          <cell r="K24">
            <v>56</v>
          </cell>
          <cell r="L24">
            <v>52.5</v>
          </cell>
          <cell r="M24">
            <v>55</v>
          </cell>
          <cell r="N24">
            <v>54.9</v>
          </cell>
          <cell r="O24">
            <v>51.8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13.138</v>
          </cell>
          <cell r="D26">
            <v>56.1</v>
          </cell>
          <cell r="E26">
            <v>54.8</v>
          </cell>
          <cell r="F26">
            <v>54.2</v>
          </cell>
          <cell r="G26">
            <v>55.8</v>
          </cell>
          <cell r="H26">
            <v>55.2</v>
          </cell>
          <cell r="I26">
            <v>54.5</v>
          </cell>
          <cell r="J26">
            <v>55.4</v>
          </cell>
          <cell r="K26">
            <v>54.5</v>
          </cell>
          <cell r="L26">
            <v>54.9</v>
          </cell>
          <cell r="M26">
            <v>54.5</v>
          </cell>
          <cell r="N26">
            <v>52.3</v>
          </cell>
          <cell r="O26">
            <v>54.9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13.147</v>
          </cell>
          <cell r="D28">
            <v>55</v>
          </cell>
          <cell r="E28">
            <v>54.8</v>
          </cell>
          <cell r="F28">
            <v>55.6</v>
          </cell>
          <cell r="G28">
            <v>55</v>
          </cell>
          <cell r="H28">
            <v>55.7</v>
          </cell>
          <cell r="I28">
            <v>55.2</v>
          </cell>
          <cell r="J28">
            <v>54.2</v>
          </cell>
          <cell r="K28">
            <v>55.1</v>
          </cell>
          <cell r="L28">
            <v>54.6</v>
          </cell>
          <cell r="M28">
            <v>54.3</v>
          </cell>
          <cell r="N28">
            <v>55.2</v>
          </cell>
          <cell r="O28">
            <v>55.1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13.164</v>
          </cell>
          <cell r="D30">
            <v>58.1</v>
          </cell>
          <cell r="E30">
            <v>55.5</v>
          </cell>
          <cell r="F30">
            <v>54.6</v>
          </cell>
          <cell r="G30">
            <v>56.4</v>
          </cell>
          <cell r="H30">
            <v>52.8</v>
          </cell>
          <cell r="I30">
            <v>58.9</v>
          </cell>
          <cell r="J30">
            <v>51.7</v>
          </cell>
          <cell r="K30">
            <v>58.8</v>
          </cell>
          <cell r="L30">
            <v>52.4</v>
          </cell>
          <cell r="M30">
            <v>57.5</v>
          </cell>
          <cell r="N30">
            <v>52.4</v>
          </cell>
          <cell r="O30">
            <v>56.3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13.169</v>
          </cell>
          <cell r="D32">
            <v>55.3</v>
          </cell>
          <cell r="E32">
            <v>55.5</v>
          </cell>
          <cell r="F32">
            <v>51.1</v>
          </cell>
          <cell r="G32">
            <v>55.1</v>
          </cell>
          <cell r="H32">
            <v>54.6</v>
          </cell>
          <cell r="I32">
            <v>54.1</v>
          </cell>
          <cell r="J32">
            <v>54.4</v>
          </cell>
          <cell r="K32">
            <v>54.1</v>
          </cell>
          <cell r="L32">
            <v>53.4</v>
          </cell>
          <cell r="M32">
            <v>53.5</v>
          </cell>
          <cell r="N32">
            <v>54.5</v>
          </cell>
          <cell r="O32">
            <v>50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13.175000000000001</v>
          </cell>
          <cell r="D34">
            <v>55.4</v>
          </cell>
          <cell r="E34">
            <v>55.1</v>
          </cell>
          <cell r="F34">
            <v>54.9</v>
          </cell>
          <cell r="G34">
            <v>54.9</v>
          </cell>
          <cell r="H34">
            <v>51.7</v>
          </cell>
          <cell r="I34">
            <v>55.1</v>
          </cell>
          <cell r="J34">
            <v>51.6</v>
          </cell>
          <cell r="K34">
            <v>55.2</v>
          </cell>
          <cell r="L34">
            <v>58.1</v>
          </cell>
          <cell r="M34">
            <v>54.6</v>
          </cell>
          <cell r="N34">
            <v>50.9</v>
          </cell>
          <cell r="O34">
            <v>55.2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13.18</v>
          </cell>
          <cell r="D36">
            <v>57.6</v>
          </cell>
          <cell r="E36">
            <v>54.2</v>
          </cell>
          <cell r="F36">
            <v>55</v>
          </cell>
          <cell r="G36">
            <v>55.4</v>
          </cell>
          <cell r="H36">
            <v>54.9</v>
          </cell>
          <cell r="I36">
            <v>56.6</v>
          </cell>
          <cell r="J36">
            <v>55.5</v>
          </cell>
          <cell r="K36">
            <v>57.7</v>
          </cell>
          <cell r="L36">
            <v>47.6</v>
          </cell>
          <cell r="M36">
            <v>57.2</v>
          </cell>
          <cell r="N36">
            <v>53.5</v>
          </cell>
          <cell r="O36">
            <v>57.8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13.185</v>
          </cell>
          <cell r="D38">
            <v>53.7</v>
          </cell>
          <cell r="E38">
            <v>54.9</v>
          </cell>
          <cell r="F38">
            <v>55.8</v>
          </cell>
          <cell r="G38">
            <v>53.8</v>
          </cell>
          <cell r="H38">
            <v>55.7</v>
          </cell>
          <cell r="I38">
            <v>53.7</v>
          </cell>
          <cell r="J38">
            <v>55</v>
          </cell>
          <cell r="K38">
            <v>53.4</v>
          </cell>
          <cell r="L38">
            <v>56.8</v>
          </cell>
          <cell r="M38">
            <v>54.3</v>
          </cell>
          <cell r="N38">
            <v>54.9</v>
          </cell>
          <cell r="O38">
            <v>54.9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13.191000000000001</v>
          </cell>
          <cell r="D40">
            <v>53.5</v>
          </cell>
          <cell r="E40">
            <v>53.7</v>
          </cell>
          <cell r="F40">
            <v>53.8</v>
          </cell>
          <cell r="G40">
            <v>53</v>
          </cell>
          <cell r="H40">
            <v>54.3</v>
          </cell>
          <cell r="I40">
            <v>53.3</v>
          </cell>
          <cell r="J40">
            <v>54.4</v>
          </cell>
          <cell r="K40">
            <v>53.4</v>
          </cell>
          <cell r="L40">
            <v>52.8</v>
          </cell>
          <cell r="M40">
            <v>53.2</v>
          </cell>
          <cell r="N40">
            <v>54.9</v>
          </cell>
          <cell r="O40">
            <v>53.6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13.196</v>
          </cell>
          <cell r="D42">
            <v>56.1</v>
          </cell>
          <cell r="E42">
            <v>55.4</v>
          </cell>
          <cell r="F42">
            <v>56</v>
          </cell>
          <cell r="G42">
            <v>54.7</v>
          </cell>
          <cell r="H42">
            <v>53.2</v>
          </cell>
          <cell r="I42">
            <v>52.6</v>
          </cell>
          <cell r="J42">
            <v>55.5</v>
          </cell>
          <cell r="K42">
            <v>55.3</v>
          </cell>
          <cell r="L42">
            <v>52.3</v>
          </cell>
          <cell r="M42">
            <v>55.5</v>
          </cell>
          <cell r="N42">
            <v>55.3</v>
          </cell>
          <cell r="O42">
            <v>53.7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13.202</v>
          </cell>
          <cell r="D44">
            <v>55.2</v>
          </cell>
          <cell r="E44">
            <v>53.9</v>
          </cell>
          <cell r="F44">
            <v>55.4</v>
          </cell>
          <cell r="G44">
            <v>55</v>
          </cell>
          <cell r="H44">
            <v>55.6</v>
          </cell>
          <cell r="I44">
            <v>55.3</v>
          </cell>
          <cell r="J44">
            <v>55.9</v>
          </cell>
          <cell r="K44">
            <v>54.3</v>
          </cell>
          <cell r="L44">
            <v>55</v>
          </cell>
          <cell r="M44">
            <v>55.5</v>
          </cell>
          <cell r="N44">
            <v>56</v>
          </cell>
          <cell r="O44">
            <v>54.4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13.211</v>
          </cell>
          <cell r="D46">
            <v>54.6</v>
          </cell>
          <cell r="E46">
            <v>54.5</v>
          </cell>
          <cell r="F46">
            <v>53.7</v>
          </cell>
          <cell r="G46">
            <v>53.8</v>
          </cell>
          <cell r="H46">
            <v>55.7</v>
          </cell>
          <cell r="I46">
            <v>54.5</v>
          </cell>
          <cell r="J46">
            <v>53.7</v>
          </cell>
          <cell r="K46">
            <v>54.1</v>
          </cell>
          <cell r="L46">
            <v>52.5</v>
          </cell>
          <cell r="M46">
            <v>53.4</v>
          </cell>
          <cell r="N46">
            <v>55.5</v>
          </cell>
          <cell r="O46">
            <v>53.7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13.22</v>
          </cell>
          <cell r="D48">
            <v>61</v>
          </cell>
          <cell r="E48">
            <v>61.1</v>
          </cell>
          <cell r="F48">
            <v>61</v>
          </cell>
          <cell r="G48">
            <v>60.7</v>
          </cell>
          <cell r="H48">
            <v>61.1</v>
          </cell>
          <cell r="I48">
            <v>61</v>
          </cell>
          <cell r="J48">
            <v>61.3</v>
          </cell>
          <cell r="K48">
            <v>60.9</v>
          </cell>
          <cell r="L48">
            <v>61.1</v>
          </cell>
          <cell r="M48">
            <v>61.1</v>
          </cell>
          <cell r="N48">
            <v>62.2</v>
          </cell>
          <cell r="O48">
            <v>62.2</v>
          </cell>
        </row>
        <row r="50">
          <cell r="A50">
            <v>906</v>
          </cell>
          <cell r="B50">
            <v>1</v>
          </cell>
          <cell r="C50">
            <v>13.228</v>
          </cell>
          <cell r="D50">
            <v>54.3</v>
          </cell>
          <cell r="E50">
            <v>52.3</v>
          </cell>
          <cell r="F50">
            <v>53.4</v>
          </cell>
          <cell r="G50">
            <v>54.8</v>
          </cell>
          <cell r="H50">
            <v>53.5</v>
          </cell>
          <cell r="I50">
            <v>55</v>
          </cell>
          <cell r="J50">
            <v>52.1</v>
          </cell>
          <cell r="K50">
            <v>55.6</v>
          </cell>
          <cell r="L50">
            <v>53.3</v>
          </cell>
          <cell r="M50">
            <v>54.4</v>
          </cell>
          <cell r="N50">
            <v>54.8</v>
          </cell>
          <cell r="O50">
            <v>52.4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13.237</v>
          </cell>
          <cell r="D52">
            <v>31.4</v>
          </cell>
          <cell r="E52">
            <v>31.3</v>
          </cell>
          <cell r="F52">
            <v>31.4</v>
          </cell>
          <cell r="G52">
            <v>31.6</v>
          </cell>
          <cell r="H52">
            <v>31.6</v>
          </cell>
          <cell r="I52">
            <v>31.1</v>
          </cell>
          <cell r="J52">
            <v>36.799999999999997</v>
          </cell>
          <cell r="K52">
            <v>36.799999999999997</v>
          </cell>
          <cell r="L52">
            <v>32</v>
          </cell>
          <cell r="M52">
            <v>33.1</v>
          </cell>
          <cell r="N52">
            <v>32.299999999999997</v>
          </cell>
          <cell r="O52">
            <v>32.5</v>
          </cell>
        </row>
        <row r="54">
          <cell r="A54">
            <v>904</v>
          </cell>
          <cell r="B54">
            <v>1</v>
          </cell>
          <cell r="C54">
            <v>13.246</v>
          </cell>
          <cell r="D54">
            <v>55.2</v>
          </cell>
          <cell r="E54">
            <v>53.3</v>
          </cell>
          <cell r="F54">
            <v>54.3</v>
          </cell>
          <cell r="G54">
            <v>54.5</v>
          </cell>
          <cell r="H54">
            <v>53.5</v>
          </cell>
          <cell r="I54">
            <v>54.8</v>
          </cell>
          <cell r="J54">
            <v>54.9</v>
          </cell>
          <cell r="K54">
            <v>55</v>
          </cell>
          <cell r="L54">
            <v>52.4</v>
          </cell>
          <cell r="M54">
            <v>53.6</v>
          </cell>
          <cell r="N54">
            <v>54</v>
          </cell>
          <cell r="O54">
            <v>55.6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13.255000000000001</v>
          </cell>
          <cell r="D56">
            <v>62.3</v>
          </cell>
          <cell r="E56">
            <v>61.5</v>
          </cell>
          <cell r="F56">
            <v>61.8</v>
          </cell>
          <cell r="G56">
            <v>61.9</v>
          </cell>
          <cell r="H56">
            <v>61.8</v>
          </cell>
          <cell r="I56">
            <v>61.9</v>
          </cell>
          <cell r="J56">
            <v>61.9</v>
          </cell>
          <cell r="K56">
            <v>61.9</v>
          </cell>
          <cell r="L56">
            <v>62.8</v>
          </cell>
          <cell r="M56">
            <v>62.3</v>
          </cell>
          <cell r="N56">
            <v>62.5</v>
          </cell>
          <cell r="O56">
            <v>62.9</v>
          </cell>
        </row>
        <row r="58">
          <cell r="A58">
            <v>902</v>
          </cell>
          <cell r="B58">
            <v>1</v>
          </cell>
          <cell r="C58">
            <v>13.263</v>
          </cell>
          <cell r="D58">
            <v>55.9</v>
          </cell>
          <cell r="E58">
            <v>54.6</v>
          </cell>
          <cell r="F58">
            <v>54.1</v>
          </cell>
          <cell r="G58">
            <v>54.7</v>
          </cell>
          <cell r="H58">
            <v>53.5</v>
          </cell>
          <cell r="I58">
            <v>55.1</v>
          </cell>
          <cell r="J58">
            <v>54.4</v>
          </cell>
          <cell r="K58">
            <v>55</v>
          </cell>
          <cell r="L58">
            <v>53.2</v>
          </cell>
          <cell r="M58">
            <v>54.5</v>
          </cell>
          <cell r="N58">
            <v>53.7</v>
          </cell>
          <cell r="O58">
            <v>53.4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13.272</v>
          </cell>
          <cell r="D60">
            <v>31.2</v>
          </cell>
          <cell r="E60">
            <v>31</v>
          </cell>
          <cell r="F60">
            <v>31.2</v>
          </cell>
          <cell r="G60">
            <v>31.2</v>
          </cell>
          <cell r="H60">
            <v>31.5</v>
          </cell>
          <cell r="I60">
            <v>31.1</v>
          </cell>
          <cell r="J60">
            <v>30.8</v>
          </cell>
          <cell r="K60">
            <v>30.7</v>
          </cell>
          <cell r="L60">
            <v>31.8</v>
          </cell>
          <cell r="M60">
            <v>31.8</v>
          </cell>
          <cell r="N60">
            <v>32.200000000000003</v>
          </cell>
          <cell r="O60">
            <v>32.1</v>
          </cell>
        </row>
        <row r="62">
          <cell r="A62">
            <v>301</v>
          </cell>
          <cell r="B62">
            <v>1</v>
          </cell>
          <cell r="C62">
            <v>13.284000000000001</v>
          </cell>
          <cell r="D62">
            <v>53.1</v>
          </cell>
          <cell r="E62">
            <v>53.1</v>
          </cell>
          <cell r="F62">
            <v>53.7</v>
          </cell>
          <cell r="G62">
            <v>54</v>
          </cell>
          <cell r="H62">
            <v>53.3</v>
          </cell>
          <cell r="I62">
            <v>53.3</v>
          </cell>
          <cell r="J62">
            <v>54.2</v>
          </cell>
          <cell r="K62">
            <v>54.4</v>
          </cell>
          <cell r="L62">
            <v>53.5</v>
          </cell>
          <cell r="M62">
            <v>54.8</v>
          </cell>
          <cell r="N62">
            <v>53.6</v>
          </cell>
          <cell r="O62">
            <v>54.3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13.289</v>
          </cell>
          <cell r="D64">
            <v>53.7</v>
          </cell>
          <cell r="E64">
            <v>55.1</v>
          </cell>
          <cell r="F64">
            <v>54.9</v>
          </cell>
          <cell r="G64">
            <v>53.6</v>
          </cell>
          <cell r="H64">
            <v>54.3</v>
          </cell>
          <cell r="I64">
            <v>53.9</v>
          </cell>
          <cell r="J64">
            <v>53.5</v>
          </cell>
          <cell r="K64">
            <v>53.2</v>
          </cell>
          <cell r="L64">
            <v>53.1</v>
          </cell>
          <cell r="M64">
            <v>53.6</v>
          </cell>
          <cell r="N64">
            <v>53.2</v>
          </cell>
          <cell r="O64">
            <v>54.2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13.295</v>
          </cell>
          <cell r="D66">
            <v>53.5</v>
          </cell>
          <cell r="E66">
            <v>53.5</v>
          </cell>
          <cell r="F66">
            <v>53.2</v>
          </cell>
          <cell r="G66">
            <v>52.8</v>
          </cell>
          <cell r="H66">
            <v>53.1</v>
          </cell>
          <cell r="I66">
            <v>52.5</v>
          </cell>
          <cell r="J66">
            <v>53.7</v>
          </cell>
          <cell r="K66">
            <v>53</v>
          </cell>
          <cell r="L66">
            <v>53.5</v>
          </cell>
          <cell r="M66">
            <v>53</v>
          </cell>
          <cell r="N66">
            <v>52.8</v>
          </cell>
          <cell r="O66">
            <v>52.5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13.3</v>
          </cell>
          <cell r="D68">
            <v>53.8</v>
          </cell>
          <cell r="E68">
            <v>53.8</v>
          </cell>
          <cell r="F68">
            <v>54.5</v>
          </cell>
          <cell r="G68">
            <v>54.3</v>
          </cell>
          <cell r="H68">
            <v>55.9</v>
          </cell>
          <cell r="I68">
            <v>54.4</v>
          </cell>
          <cell r="J68">
            <v>55.4</v>
          </cell>
          <cell r="K68">
            <v>54.4</v>
          </cell>
          <cell r="L68">
            <v>53.9</v>
          </cell>
          <cell r="M68">
            <v>54.3</v>
          </cell>
          <cell r="N68">
            <v>54</v>
          </cell>
          <cell r="O68">
            <v>54.6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13.305999999999999</v>
          </cell>
          <cell r="D70">
            <v>56.5</v>
          </cell>
          <cell r="E70">
            <v>53.3</v>
          </cell>
          <cell r="F70">
            <v>55.8</v>
          </cell>
          <cell r="G70">
            <v>57.8</v>
          </cell>
          <cell r="H70">
            <v>54.5</v>
          </cell>
          <cell r="I70">
            <v>56.5</v>
          </cell>
          <cell r="J70">
            <v>54.9</v>
          </cell>
          <cell r="K70">
            <v>56.5</v>
          </cell>
          <cell r="L70">
            <v>50.2</v>
          </cell>
          <cell r="M70">
            <v>57.1</v>
          </cell>
          <cell r="N70">
            <v>52.2</v>
          </cell>
          <cell r="O70">
            <v>55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13.311999999999999</v>
          </cell>
          <cell r="D72">
            <v>54.6</v>
          </cell>
          <cell r="E72">
            <v>54.6</v>
          </cell>
          <cell r="F72">
            <v>52.1</v>
          </cell>
          <cell r="G72">
            <v>54.9</v>
          </cell>
          <cell r="H72">
            <v>54.8</v>
          </cell>
          <cell r="I72">
            <v>55</v>
          </cell>
          <cell r="J72">
            <v>54.8</v>
          </cell>
          <cell r="K72">
            <v>54.9</v>
          </cell>
          <cell r="L72">
            <v>53.6</v>
          </cell>
          <cell r="M72">
            <v>54.7</v>
          </cell>
          <cell r="N72">
            <v>53.9</v>
          </cell>
          <cell r="O72">
            <v>54.2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13.317</v>
          </cell>
          <cell r="D74">
            <v>55.4</v>
          </cell>
          <cell r="E74">
            <v>55</v>
          </cell>
          <cell r="F74">
            <v>53.6</v>
          </cell>
          <cell r="G74">
            <v>55</v>
          </cell>
          <cell r="H74">
            <v>52.6</v>
          </cell>
          <cell r="I74">
            <v>54.7</v>
          </cell>
          <cell r="J74">
            <v>51.7</v>
          </cell>
          <cell r="K74">
            <v>54.8</v>
          </cell>
          <cell r="L74">
            <v>53.3</v>
          </cell>
          <cell r="M74">
            <v>55.8</v>
          </cell>
          <cell r="N74">
            <v>53.9</v>
          </cell>
          <cell r="O74">
            <v>52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13.321999999999999</v>
          </cell>
          <cell r="D76">
            <v>53.3</v>
          </cell>
          <cell r="E76">
            <v>55.5</v>
          </cell>
          <cell r="F76">
            <v>47.5</v>
          </cell>
          <cell r="G76">
            <v>54.8</v>
          </cell>
          <cell r="H76">
            <v>46.5</v>
          </cell>
          <cell r="I76">
            <v>55.3</v>
          </cell>
          <cell r="J76">
            <v>50.8</v>
          </cell>
          <cell r="K76">
            <v>52.7</v>
          </cell>
          <cell r="L76">
            <v>51.6</v>
          </cell>
          <cell r="M76">
            <v>54.4</v>
          </cell>
          <cell r="N76">
            <v>49.7</v>
          </cell>
          <cell r="O76">
            <v>52.8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13.339</v>
          </cell>
          <cell r="D78">
            <v>54.8</v>
          </cell>
          <cell r="E78">
            <v>54.7</v>
          </cell>
          <cell r="F78">
            <v>53.1</v>
          </cell>
          <cell r="G78">
            <v>54.7</v>
          </cell>
          <cell r="H78">
            <v>55.8</v>
          </cell>
          <cell r="I78">
            <v>54.4</v>
          </cell>
          <cell r="J78">
            <v>55.3</v>
          </cell>
          <cell r="K78">
            <v>54.6</v>
          </cell>
          <cell r="L78">
            <v>52.3</v>
          </cell>
          <cell r="M78">
            <v>55</v>
          </cell>
          <cell r="N78">
            <v>54.6</v>
          </cell>
          <cell r="O78">
            <v>53.5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13.348000000000001</v>
          </cell>
          <cell r="D80">
            <v>54.2</v>
          </cell>
          <cell r="E80">
            <v>53.5</v>
          </cell>
          <cell r="F80">
            <v>54.9</v>
          </cell>
          <cell r="G80">
            <v>52.9</v>
          </cell>
          <cell r="H80">
            <v>53.2</v>
          </cell>
          <cell r="I80">
            <v>53.3</v>
          </cell>
          <cell r="J80">
            <v>55</v>
          </cell>
          <cell r="K80">
            <v>53.6</v>
          </cell>
          <cell r="L80">
            <v>53.7</v>
          </cell>
          <cell r="M80">
            <v>53.8</v>
          </cell>
          <cell r="N80">
            <v>54.8</v>
          </cell>
          <cell r="O80">
            <v>54.8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13.356999999999999</v>
          </cell>
          <cell r="D82">
            <v>54.3</v>
          </cell>
          <cell r="E82">
            <v>54.5</v>
          </cell>
          <cell r="F82">
            <v>55</v>
          </cell>
          <cell r="G82">
            <v>54.3</v>
          </cell>
          <cell r="H82">
            <v>54.1</v>
          </cell>
          <cell r="I82">
            <v>54.4</v>
          </cell>
          <cell r="J82">
            <v>51.7</v>
          </cell>
          <cell r="K82">
            <v>55.3</v>
          </cell>
          <cell r="L82">
            <v>52.3</v>
          </cell>
          <cell r="M82">
            <v>53</v>
          </cell>
          <cell r="N82">
            <v>51.9</v>
          </cell>
          <cell r="O82">
            <v>53.6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13.365</v>
          </cell>
          <cell r="D84">
            <v>54.4</v>
          </cell>
          <cell r="E84">
            <v>50.7</v>
          </cell>
          <cell r="F84">
            <v>53.2</v>
          </cell>
          <cell r="G84">
            <v>54.7</v>
          </cell>
          <cell r="H84">
            <v>48.1</v>
          </cell>
          <cell r="I84">
            <v>55.1</v>
          </cell>
          <cell r="J84">
            <v>48.6</v>
          </cell>
          <cell r="K84">
            <v>55</v>
          </cell>
          <cell r="L84">
            <v>51.7</v>
          </cell>
          <cell r="M84">
            <v>53.7</v>
          </cell>
          <cell r="N84">
            <v>48.2</v>
          </cell>
          <cell r="O84">
            <v>53.4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13.372999999999999</v>
          </cell>
          <cell r="D86">
            <v>54.4</v>
          </cell>
          <cell r="E86">
            <v>54.4</v>
          </cell>
          <cell r="F86">
            <v>52</v>
          </cell>
          <cell r="G86">
            <v>54</v>
          </cell>
          <cell r="H86">
            <v>49.3</v>
          </cell>
          <cell r="I86">
            <v>54.6</v>
          </cell>
          <cell r="J86">
            <v>54.4</v>
          </cell>
          <cell r="K86">
            <v>53.9</v>
          </cell>
          <cell r="L86">
            <v>48.7</v>
          </cell>
          <cell r="M86">
            <v>54</v>
          </cell>
          <cell r="N86">
            <v>50.8</v>
          </cell>
          <cell r="O86">
            <v>53.7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13.382</v>
          </cell>
          <cell r="D88">
            <v>54.8</v>
          </cell>
          <cell r="E88">
            <v>51.5</v>
          </cell>
          <cell r="F88">
            <v>54.3</v>
          </cell>
          <cell r="G88">
            <v>55.3</v>
          </cell>
          <cell r="H88">
            <v>51.1</v>
          </cell>
          <cell r="I88">
            <v>54.1</v>
          </cell>
          <cell r="J88">
            <v>49.9</v>
          </cell>
          <cell r="K88">
            <v>54.7</v>
          </cell>
          <cell r="L88">
            <v>53.6</v>
          </cell>
          <cell r="M88">
            <v>53</v>
          </cell>
          <cell r="N88">
            <v>53.7</v>
          </cell>
          <cell r="O88">
            <v>52.5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13.391</v>
          </cell>
          <cell r="D90">
            <v>53.1</v>
          </cell>
          <cell r="E90">
            <v>53.8</v>
          </cell>
          <cell r="F90">
            <v>53.4</v>
          </cell>
          <cell r="G90">
            <v>54.3</v>
          </cell>
          <cell r="H90">
            <v>52.9</v>
          </cell>
          <cell r="I90">
            <v>53.8</v>
          </cell>
          <cell r="J90">
            <v>52.4</v>
          </cell>
          <cell r="K90">
            <v>53.7</v>
          </cell>
          <cell r="L90">
            <v>50.8</v>
          </cell>
          <cell r="M90">
            <v>53.1</v>
          </cell>
          <cell r="N90">
            <v>53.3</v>
          </cell>
          <cell r="O90">
            <v>53.2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13.4</v>
          </cell>
          <cell r="D92">
            <v>54.2</v>
          </cell>
          <cell r="E92">
            <v>53.7</v>
          </cell>
          <cell r="F92">
            <v>54.8</v>
          </cell>
          <cell r="G92">
            <v>53.7</v>
          </cell>
          <cell r="H92">
            <v>53.5</v>
          </cell>
          <cell r="I92">
            <v>52.9</v>
          </cell>
          <cell r="J92">
            <v>54.6</v>
          </cell>
          <cell r="K92">
            <v>53.2</v>
          </cell>
          <cell r="L92">
            <v>53.5</v>
          </cell>
          <cell r="M92">
            <v>52.8</v>
          </cell>
          <cell r="N92">
            <v>51.8</v>
          </cell>
          <cell r="O92">
            <v>52.6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153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40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'IA150.03R'</v>
          </cell>
        </row>
        <row r="14">
          <cell r="A14">
            <v>108</v>
          </cell>
          <cell r="B14">
            <v>1</v>
          </cell>
          <cell r="C14">
            <v>13.12</v>
          </cell>
          <cell r="D14">
            <v>40.799999999999997</v>
          </cell>
          <cell r="E14">
            <v>45.5</v>
          </cell>
          <cell r="F14">
            <v>46</v>
          </cell>
          <cell r="G14">
            <v>45.5</v>
          </cell>
          <cell r="H14">
            <v>45.7</v>
          </cell>
          <cell r="I14">
            <v>47.9</v>
          </cell>
          <cell r="J14">
            <v>44.3</v>
          </cell>
          <cell r="K14">
            <v>47.8</v>
          </cell>
          <cell r="L14">
            <v>43</v>
          </cell>
          <cell r="M14">
            <v>46.5</v>
          </cell>
          <cell r="N14">
            <v>39.700000000000003</v>
          </cell>
          <cell r="O14">
            <v>43.1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13.128</v>
          </cell>
          <cell r="D16">
            <v>47.2</v>
          </cell>
          <cell r="E16">
            <v>47.1</v>
          </cell>
          <cell r="F16">
            <v>50.4</v>
          </cell>
          <cell r="G16">
            <v>46.8</v>
          </cell>
          <cell r="H16">
            <v>48</v>
          </cell>
          <cell r="I16">
            <v>49.5</v>
          </cell>
          <cell r="J16">
            <v>45.2</v>
          </cell>
          <cell r="K16">
            <v>46.7</v>
          </cell>
          <cell r="L16">
            <v>45.3</v>
          </cell>
          <cell r="M16">
            <v>48.5</v>
          </cell>
          <cell r="N16">
            <v>45.3</v>
          </cell>
          <cell r="O16">
            <v>46.8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13.137</v>
          </cell>
          <cell r="D18">
            <v>36.799999999999997</v>
          </cell>
          <cell r="E18">
            <v>43.9</v>
          </cell>
          <cell r="F18">
            <v>38.299999999999997</v>
          </cell>
          <cell r="G18">
            <v>43</v>
          </cell>
          <cell r="H18">
            <v>40.799999999999997</v>
          </cell>
          <cell r="I18">
            <v>45.4</v>
          </cell>
          <cell r="J18">
            <v>42.5</v>
          </cell>
          <cell r="K18">
            <v>46.9</v>
          </cell>
          <cell r="L18">
            <v>39.4</v>
          </cell>
          <cell r="M18">
            <v>45.6</v>
          </cell>
          <cell r="N18">
            <v>40.799999999999997</v>
          </cell>
          <cell r="O18">
            <v>47.4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13.151999999999999</v>
          </cell>
          <cell r="D20">
            <v>54.4</v>
          </cell>
          <cell r="E20">
            <v>52</v>
          </cell>
          <cell r="F20">
            <v>54.9</v>
          </cell>
          <cell r="G20">
            <v>52.7</v>
          </cell>
          <cell r="H20">
            <v>55.2</v>
          </cell>
          <cell r="I20">
            <v>53.5</v>
          </cell>
          <cell r="J20">
            <v>53.5</v>
          </cell>
          <cell r="K20">
            <v>54.2</v>
          </cell>
          <cell r="L20">
            <v>53.3</v>
          </cell>
          <cell r="M20">
            <v>54.3</v>
          </cell>
          <cell r="N20">
            <v>54.4</v>
          </cell>
          <cell r="O20">
            <v>54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13.159000000000001</v>
          </cell>
          <cell r="D22">
            <v>36.9</v>
          </cell>
          <cell r="E22">
            <v>42.9</v>
          </cell>
          <cell r="F22">
            <v>42.6</v>
          </cell>
          <cell r="G22">
            <v>44</v>
          </cell>
          <cell r="H22">
            <v>42.6</v>
          </cell>
          <cell r="I22">
            <v>43.7</v>
          </cell>
          <cell r="J22">
            <v>40.200000000000003</v>
          </cell>
          <cell r="K22">
            <v>44</v>
          </cell>
          <cell r="L22">
            <v>42.3</v>
          </cell>
          <cell r="M22">
            <v>44.2</v>
          </cell>
          <cell r="N22">
            <v>43.8</v>
          </cell>
          <cell r="O22">
            <v>46.8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13.167</v>
          </cell>
          <cell r="D24">
            <v>44</v>
          </cell>
          <cell r="E24">
            <v>46.8</v>
          </cell>
          <cell r="F24">
            <v>43.7</v>
          </cell>
          <cell r="G24">
            <v>45.1</v>
          </cell>
          <cell r="H24">
            <v>41</v>
          </cell>
          <cell r="I24">
            <v>44</v>
          </cell>
          <cell r="J24">
            <v>45.3</v>
          </cell>
          <cell r="K24">
            <v>48.8</v>
          </cell>
          <cell r="L24">
            <v>43.2</v>
          </cell>
          <cell r="M24">
            <v>47</v>
          </cell>
          <cell r="N24">
            <v>41.7</v>
          </cell>
          <cell r="O24">
            <v>45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13.176</v>
          </cell>
          <cell r="D26">
            <v>46.1</v>
          </cell>
          <cell r="E26">
            <v>47.9</v>
          </cell>
          <cell r="F26">
            <v>46.8</v>
          </cell>
          <cell r="G26">
            <v>45.6</v>
          </cell>
          <cell r="H26">
            <v>41.4</v>
          </cell>
          <cell r="I26">
            <v>46.4</v>
          </cell>
          <cell r="J26">
            <v>40.4</v>
          </cell>
          <cell r="K26">
            <v>44.5</v>
          </cell>
          <cell r="L26">
            <v>41.1</v>
          </cell>
          <cell r="M26">
            <v>44.5</v>
          </cell>
          <cell r="N26">
            <v>43.1</v>
          </cell>
          <cell r="O26">
            <v>44.3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13.183999999999999</v>
          </cell>
          <cell r="D28">
            <v>36.9</v>
          </cell>
          <cell r="E28">
            <v>45.1</v>
          </cell>
          <cell r="F28">
            <v>44.9</v>
          </cell>
          <cell r="G28">
            <v>44.9</v>
          </cell>
          <cell r="H28">
            <v>42.4</v>
          </cell>
          <cell r="I28">
            <v>39.200000000000003</v>
          </cell>
          <cell r="J28">
            <v>45.9</v>
          </cell>
          <cell r="K28">
            <v>37.9</v>
          </cell>
          <cell r="L28">
            <v>48</v>
          </cell>
          <cell r="M28">
            <v>41.4</v>
          </cell>
          <cell r="N28">
            <v>45.2</v>
          </cell>
          <cell r="O28">
            <v>46.7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13.201000000000001</v>
          </cell>
          <cell r="D30">
            <v>55.3</v>
          </cell>
          <cell r="E30">
            <v>53.5</v>
          </cell>
          <cell r="F30">
            <v>55.1</v>
          </cell>
          <cell r="G30">
            <v>54</v>
          </cell>
          <cell r="H30">
            <v>53.4</v>
          </cell>
          <cell r="I30">
            <v>55.5</v>
          </cell>
          <cell r="J30">
            <v>54.9</v>
          </cell>
          <cell r="K30">
            <v>54.3</v>
          </cell>
          <cell r="L30">
            <v>55.4</v>
          </cell>
          <cell r="M30">
            <v>53.1</v>
          </cell>
          <cell r="N30">
            <v>55.4</v>
          </cell>
          <cell r="O30">
            <v>54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13.206</v>
          </cell>
          <cell r="D32">
            <v>41.6</v>
          </cell>
          <cell r="E32">
            <v>47.5</v>
          </cell>
          <cell r="F32">
            <v>43.6</v>
          </cell>
          <cell r="G32">
            <v>44</v>
          </cell>
          <cell r="H32">
            <v>39.5</v>
          </cell>
          <cell r="I32">
            <v>41.5</v>
          </cell>
          <cell r="J32">
            <v>42.7</v>
          </cell>
          <cell r="K32">
            <v>39.4</v>
          </cell>
          <cell r="L32">
            <v>41.9</v>
          </cell>
          <cell r="M32">
            <v>38</v>
          </cell>
          <cell r="N32">
            <v>41.9</v>
          </cell>
          <cell r="O32">
            <v>40.299999999999997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13.211</v>
          </cell>
          <cell r="D34">
            <v>40.5</v>
          </cell>
          <cell r="E34">
            <v>47.5</v>
          </cell>
          <cell r="F34">
            <v>42</v>
          </cell>
          <cell r="G34">
            <v>44.8</v>
          </cell>
          <cell r="H34">
            <v>41.4</v>
          </cell>
          <cell r="I34">
            <v>45.4</v>
          </cell>
          <cell r="J34">
            <v>44.7</v>
          </cell>
          <cell r="K34">
            <v>50</v>
          </cell>
          <cell r="L34">
            <v>46.9</v>
          </cell>
          <cell r="M34">
            <v>46.2</v>
          </cell>
          <cell r="N34">
            <v>44.7</v>
          </cell>
          <cell r="O34">
            <v>47.7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13.217000000000001</v>
          </cell>
          <cell r="D36">
            <v>54.5</v>
          </cell>
          <cell r="E36">
            <v>52.4</v>
          </cell>
          <cell r="F36">
            <v>54.8</v>
          </cell>
          <cell r="G36">
            <v>53.6</v>
          </cell>
          <cell r="H36">
            <v>56.4</v>
          </cell>
          <cell r="I36">
            <v>54.2</v>
          </cell>
          <cell r="J36">
            <v>55.5</v>
          </cell>
          <cell r="K36">
            <v>55.1</v>
          </cell>
          <cell r="L36">
            <v>53.8</v>
          </cell>
          <cell r="M36">
            <v>53.4</v>
          </cell>
          <cell r="N36">
            <v>55.5</v>
          </cell>
          <cell r="O36">
            <v>54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13.222</v>
          </cell>
          <cell r="D38">
            <v>38.1</v>
          </cell>
          <cell r="E38">
            <v>40.799999999999997</v>
          </cell>
          <cell r="F38">
            <v>42.1</v>
          </cell>
          <cell r="G38">
            <v>40</v>
          </cell>
          <cell r="H38">
            <v>43</v>
          </cell>
          <cell r="I38">
            <v>37.4</v>
          </cell>
          <cell r="J38">
            <v>45</v>
          </cell>
          <cell r="K38">
            <v>35.299999999999997</v>
          </cell>
          <cell r="L38">
            <v>44.3</v>
          </cell>
          <cell r="M38">
            <v>41.4</v>
          </cell>
          <cell r="N38">
            <v>43.7</v>
          </cell>
          <cell r="O38">
            <v>41.9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13.227</v>
          </cell>
          <cell r="D40">
            <v>33.799999999999997</v>
          </cell>
          <cell r="E40">
            <v>36.299999999999997</v>
          </cell>
          <cell r="F40">
            <v>35.799999999999997</v>
          </cell>
          <cell r="G40">
            <v>33.4</v>
          </cell>
          <cell r="H40">
            <v>39.200000000000003</v>
          </cell>
          <cell r="I40">
            <v>33.799999999999997</v>
          </cell>
          <cell r="J40">
            <v>42</v>
          </cell>
          <cell r="K40">
            <v>33.5</v>
          </cell>
          <cell r="L40">
            <v>40.799999999999997</v>
          </cell>
          <cell r="M40">
            <v>34</v>
          </cell>
          <cell r="N40">
            <v>40.6</v>
          </cell>
          <cell r="O40">
            <v>34.5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13.233000000000001</v>
          </cell>
          <cell r="D42">
            <v>44.4</v>
          </cell>
          <cell r="E42">
            <v>45.6</v>
          </cell>
          <cell r="F42">
            <v>47.3</v>
          </cell>
          <cell r="G42">
            <v>46.8</v>
          </cell>
          <cell r="H42">
            <v>47.4</v>
          </cell>
          <cell r="I42">
            <v>45.2</v>
          </cell>
          <cell r="J42">
            <v>46.1</v>
          </cell>
          <cell r="K42">
            <v>44.4</v>
          </cell>
          <cell r="L42">
            <v>46.4</v>
          </cell>
          <cell r="M42">
            <v>45.4</v>
          </cell>
          <cell r="N42">
            <v>44.9</v>
          </cell>
          <cell r="O42">
            <v>44.2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13.238</v>
          </cell>
          <cell r="D44">
            <v>43</v>
          </cell>
          <cell r="E44">
            <v>48.4</v>
          </cell>
          <cell r="F44">
            <v>46.2</v>
          </cell>
          <cell r="G44">
            <v>47.1</v>
          </cell>
          <cell r="H44">
            <v>48.4</v>
          </cell>
          <cell r="I44">
            <v>45.4</v>
          </cell>
          <cell r="J44">
            <v>48</v>
          </cell>
          <cell r="K44">
            <v>48.6</v>
          </cell>
          <cell r="L44">
            <v>47</v>
          </cell>
          <cell r="M44">
            <v>49.9</v>
          </cell>
          <cell r="N44">
            <v>47.4</v>
          </cell>
          <cell r="O44">
            <v>48.7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13.249000000000001</v>
          </cell>
          <cell r="D46">
            <v>40.799999999999997</v>
          </cell>
          <cell r="E46">
            <v>45.4</v>
          </cell>
          <cell r="F46">
            <v>40.200000000000003</v>
          </cell>
          <cell r="G46">
            <v>44.4</v>
          </cell>
          <cell r="H46">
            <v>45.9</v>
          </cell>
          <cell r="I46">
            <v>47.2</v>
          </cell>
          <cell r="J46">
            <v>41.9</v>
          </cell>
          <cell r="K46">
            <v>47.6</v>
          </cell>
          <cell r="L46">
            <v>42.3</v>
          </cell>
          <cell r="M46">
            <v>50.1</v>
          </cell>
          <cell r="N46">
            <v>38.700000000000003</v>
          </cell>
          <cell r="O46">
            <v>42.9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13.257999999999999</v>
          </cell>
          <cell r="D48">
            <v>60.4</v>
          </cell>
          <cell r="E48">
            <v>60</v>
          </cell>
          <cell r="F48">
            <v>61</v>
          </cell>
          <cell r="G48">
            <v>60.6</v>
          </cell>
          <cell r="H48">
            <v>60.8</v>
          </cell>
          <cell r="I48">
            <v>60.8</v>
          </cell>
          <cell r="J48">
            <v>59.9</v>
          </cell>
          <cell r="K48">
            <v>60.6</v>
          </cell>
          <cell r="L48">
            <v>60.9</v>
          </cell>
          <cell r="M48">
            <v>61.4</v>
          </cell>
          <cell r="N48">
            <v>61.3</v>
          </cell>
          <cell r="O48">
            <v>61.2</v>
          </cell>
        </row>
        <row r="50">
          <cell r="A50">
            <v>906</v>
          </cell>
          <cell r="B50">
            <v>1</v>
          </cell>
          <cell r="C50">
            <v>13.266</v>
          </cell>
          <cell r="D50">
            <v>36.700000000000003</v>
          </cell>
          <cell r="E50">
            <v>44.9</v>
          </cell>
          <cell r="F50">
            <v>40.9</v>
          </cell>
          <cell r="G50">
            <v>44.6</v>
          </cell>
          <cell r="H50">
            <v>44.4</v>
          </cell>
          <cell r="I50">
            <v>49.9</v>
          </cell>
          <cell r="J50">
            <v>43.4</v>
          </cell>
          <cell r="K50">
            <v>46.2</v>
          </cell>
          <cell r="L50">
            <v>46.3</v>
          </cell>
          <cell r="M50">
            <v>43.8</v>
          </cell>
          <cell r="N50">
            <v>42.3</v>
          </cell>
          <cell r="O50">
            <v>41.1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13.276</v>
          </cell>
          <cell r="D52">
            <v>46.9</v>
          </cell>
          <cell r="E52">
            <v>48</v>
          </cell>
          <cell r="F52">
            <v>47.9</v>
          </cell>
          <cell r="G52">
            <v>48.3</v>
          </cell>
          <cell r="H52">
            <v>48.4</v>
          </cell>
          <cell r="I52">
            <v>49.8</v>
          </cell>
          <cell r="J52">
            <v>48.7</v>
          </cell>
          <cell r="K52">
            <v>48.3</v>
          </cell>
          <cell r="L52">
            <v>47.1</v>
          </cell>
          <cell r="M52">
            <v>47.7</v>
          </cell>
          <cell r="N52">
            <v>47.7</v>
          </cell>
          <cell r="O52">
            <v>48</v>
          </cell>
        </row>
        <row r="54">
          <cell r="A54">
            <v>904</v>
          </cell>
          <cell r="B54">
            <v>1</v>
          </cell>
          <cell r="C54">
            <v>13.284000000000001</v>
          </cell>
          <cell r="D54">
            <v>43</v>
          </cell>
          <cell r="E54">
            <v>43.8</v>
          </cell>
          <cell r="F54">
            <v>37.4</v>
          </cell>
          <cell r="G54">
            <v>45</v>
          </cell>
          <cell r="H54">
            <v>37.9</v>
          </cell>
          <cell r="I54">
            <v>44.7</v>
          </cell>
          <cell r="J54">
            <v>42.2</v>
          </cell>
          <cell r="K54">
            <v>41.1</v>
          </cell>
          <cell r="L54">
            <v>39.799999999999997</v>
          </cell>
          <cell r="M54">
            <v>42</v>
          </cell>
          <cell r="N54">
            <v>44.9</v>
          </cell>
          <cell r="O54">
            <v>39.4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13.292999999999999</v>
          </cell>
          <cell r="D56">
            <v>59.7</v>
          </cell>
          <cell r="E56">
            <v>59.7</v>
          </cell>
          <cell r="F56">
            <v>60.5</v>
          </cell>
          <cell r="G56">
            <v>59.6</v>
          </cell>
          <cell r="H56">
            <v>59.7</v>
          </cell>
          <cell r="I56">
            <v>60.4</v>
          </cell>
          <cell r="J56">
            <v>60.3</v>
          </cell>
          <cell r="K56">
            <v>60.4</v>
          </cell>
          <cell r="L56">
            <v>61.2</v>
          </cell>
          <cell r="M56">
            <v>61.1</v>
          </cell>
          <cell r="N56">
            <v>61.1</v>
          </cell>
          <cell r="O56">
            <v>61.3</v>
          </cell>
        </row>
        <row r="58">
          <cell r="A58">
            <v>902</v>
          </cell>
          <cell r="B58">
            <v>1</v>
          </cell>
          <cell r="C58">
            <v>13.301</v>
          </cell>
          <cell r="D58">
            <v>38.9</v>
          </cell>
          <cell r="E58">
            <v>46.1</v>
          </cell>
          <cell r="F58">
            <v>43.6</v>
          </cell>
          <cell r="G58">
            <v>42.7</v>
          </cell>
          <cell r="H58">
            <v>40.4</v>
          </cell>
          <cell r="I58">
            <v>42.7</v>
          </cell>
          <cell r="J58">
            <v>42</v>
          </cell>
          <cell r="K58">
            <v>39.700000000000003</v>
          </cell>
          <cell r="L58">
            <v>39.1</v>
          </cell>
          <cell r="M58">
            <v>40.1</v>
          </cell>
          <cell r="N58">
            <v>39.6</v>
          </cell>
          <cell r="O58">
            <v>45.1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13.31</v>
          </cell>
          <cell r="D60">
            <v>43.4</v>
          </cell>
          <cell r="E60">
            <v>40</v>
          </cell>
          <cell r="F60">
            <v>43.8</v>
          </cell>
          <cell r="G60">
            <v>43.4</v>
          </cell>
          <cell r="H60">
            <v>41.7</v>
          </cell>
          <cell r="I60">
            <v>41.2</v>
          </cell>
          <cell r="J60">
            <v>41</v>
          </cell>
          <cell r="K60">
            <v>44.7</v>
          </cell>
          <cell r="L60">
            <v>44.5</v>
          </cell>
          <cell r="M60">
            <v>44.7</v>
          </cell>
          <cell r="N60">
            <v>41.4</v>
          </cell>
          <cell r="O60">
            <v>44.1</v>
          </cell>
        </row>
        <row r="62">
          <cell r="A62">
            <v>301</v>
          </cell>
          <cell r="B62">
            <v>1</v>
          </cell>
          <cell r="C62">
            <v>13.323</v>
          </cell>
          <cell r="D62">
            <v>36.6</v>
          </cell>
          <cell r="E62">
            <v>41.7</v>
          </cell>
          <cell r="F62">
            <v>36.200000000000003</v>
          </cell>
          <cell r="G62">
            <v>43.5</v>
          </cell>
          <cell r="H62">
            <v>40.9</v>
          </cell>
          <cell r="I62">
            <v>42.4</v>
          </cell>
          <cell r="J62">
            <v>40.4</v>
          </cell>
          <cell r="K62">
            <v>42.8</v>
          </cell>
          <cell r="L62">
            <v>39.5</v>
          </cell>
          <cell r="M62">
            <v>40.5</v>
          </cell>
          <cell r="N62">
            <v>41.7</v>
          </cell>
          <cell r="O62">
            <v>40.4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13.327999999999999</v>
          </cell>
          <cell r="D64">
            <v>39.6</v>
          </cell>
          <cell r="E64">
            <v>50.7</v>
          </cell>
          <cell r="F64">
            <v>43.1</v>
          </cell>
          <cell r="G64">
            <v>45.5</v>
          </cell>
          <cell r="H64">
            <v>44.3</v>
          </cell>
          <cell r="I64">
            <v>43.5</v>
          </cell>
          <cell r="J64">
            <v>42.9</v>
          </cell>
          <cell r="K64">
            <v>39.9</v>
          </cell>
          <cell r="L64">
            <v>39.9</v>
          </cell>
          <cell r="M64">
            <v>41.1</v>
          </cell>
          <cell r="N64">
            <v>39.9</v>
          </cell>
          <cell r="O64">
            <v>43.2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13.333</v>
          </cell>
          <cell r="D66">
            <v>39</v>
          </cell>
          <cell r="E66">
            <v>40.700000000000003</v>
          </cell>
          <cell r="F66">
            <v>35.799999999999997</v>
          </cell>
          <cell r="G66">
            <v>34.299999999999997</v>
          </cell>
          <cell r="H66">
            <v>35.700000000000003</v>
          </cell>
          <cell r="I66">
            <v>34.799999999999997</v>
          </cell>
          <cell r="J66">
            <v>38</v>
          </cell>
          <cell r="K66">
            <v>35.1</v>
          </cell>
          <cell r="L66">
            <v>38.299999999999997</v>
          </cell>
          <cell r="M66">
            <v>35.799999999999997</v>
          </cell>
          <cell r="N66">
            <v>37.9</v>
          </cell>
          <cell r="O66">
            <v>35.6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13.339</v>
          </cell>
          <cell r="D68">
            <v>38.299999999999997</v>
          </cell>
          <cell r="E68">
            <v>43.6</v>
          </cell>
          <cell r="F68">
            <v>44.3</v>
          </cell>
          <cell r="G68">
            <v>45.1</v>
          </cell>
          <cell r="H68">
            <v>49.8</v>
          </cell>
          <cell r="I68">
            <v>41.2</v>
          </cell>
          <cell r="J68">
            <v>46.8</v>
          </cell>
          <cell r="K68">
            <v>43.2</v>
          </cell>
          <cell r="L68">
            <v>46.6</v>
          </cell>
          <cell r="M68">
            <v>44.3</v>
          </cell>
          <cell r="N68">
            <v>45.4</v>
          </cell>
          <cell r="O68">
            <v>43.3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13.343999999999999</v>
          </cell>
          <cell r="D70">
            <v>53.5</v>
          </cell>
          <cell r="E70">
            <v>51.5</v>
          </cell>
          <cell r="F70">
            <v>54.8</v>
          </cell>
          <cell r="G70">
            <v>54.9</v>
          </cell>
          <cell r="H70">
            <v>51.5</v>
          </cell>
          <cell r="I70">
            <v>53.8</v>
          </cell>
          <cell r="J70">
            <v>53.8</v>
          </cell>
          <cell r="K70">
            <v>54</v>
          </cell>
          <cell r="L70">
            <v>51.4</v>
          </cell>
          <cell r="M70">
            <v>53.2</v>
          </cell>
          <cell r="N70">
            <v>50.3</v>
          </cell>
          <cell r="O70">
            <v>52.8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13.35</v>
          </cell>
          <cell r="D72">
            <v>38.5</v>
          </cell>
          <cell r="E72">
            <v>45.2</v>
          </cell>
          <cell r="F72">
            <v>45.7</v>
          </cell>
          <cell r="G72">
            <v>44.9</v>
          </cell>
          <cell r="H72">
            <v>44</v>
          </cell>
          <cell r="I72">
            <v>46</v>
          </cell>
          <cell r="J72">
            <v>42.8</v>
          </cell>
          <cell r="K72">
            <v>43.4</v>
          </cell>
          <cell r="L72">
            <v>40.299999999999997</v>
          </cell>
          <cell r="M72">
            <v>43.4</v>
          </cell>
          <cell r="N72">
            <v>40.200000000000003</v>
          </cell>
          <cell r="O72">
            <v>42.7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13.355</v>
          </cell>
          <cell r="D74">
            <v>40.1</v>
          </cell>
          <cell r="E74">
            <v>47</v>
          </cell>
          <cell r="F74">
            <v>41.9</v>
          </cell>
          <cell r="G74">
            <v>45.7</v>
          </cell>
          <cell r="H74">
            <v>41.1</v>
          </cell>
          <cell r="I74">
            <v>46.6</v>
          </cell>
          <cell r="J74">
            <v>44.9</v>
          </cell>
          <cell r="K74">
            <v>45.7</v>
          </cell>
          <cell r="L74">
            <v>43.8</v>
          </cell>
          <cell r="M74">
            <v>46.4</v>
          </cell>
          <cell r="N74">
            <v>42.1</v>
          </cell>
          <cell r="O74">
            <v>43.9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13.361000000000001</v>
          </cell>
          <cell r="D76">
            <v>45.7</v>
          </cell>
          <cell r="E76">
            <v>45.1</v>
          </cell>
          <cell r="F76">
            <v>43.9</v>
          </cell>
          <cell r="G76">
            <v>43.6</v>
          </cell>
          <cell r="H76">
            <v>44.7</v>
          </cell>
          <cell r="I76">
            <v>45.5</v>
          </cell>
          <cell r="J76">
            <v>46.3</v>
          </cell>
          <cell r="K76">
            <v>46.1</v>
          </cell>
          <cell r="L76">
            <v>46</v>
          </cell>
          <cell r="M76">
            <v>43.7</v>
          </cell>
          <cell r="N76">
            <v>43.9</v>
          </cell>
          <cell r="O76">
            <v>44.4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13.377000000000001</v>
          </cell>
          <cell r="D78">
            <v>38.5</v>
          </cell>
          <cell r="E78">
            <v>45.5</v>
          </cell>
          <cell r="F78">
            <v>44.1</v>
          </cell>
          <cell r="G78">
            <v>45.3</v>
          </cell>
          <cell r="H78">
            <v>46.5</v>
          </cell>
          <cell r="I78">
            <v>44.4</v>
          </cell>
          <cell r="J78">
            <v>47.6</v>
          </cell>
          <cell r="K78">
            <v>44</v>
          </cell>
          <cell r="L78">
            <v>47.4</v>
          </cell>
          <cell r="M78">
            <v>46.8</v>
          </cell>
          <cell r="N78">
            <v>45</v>
          </cell>
          <cell r="O78">
            <v>41.9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13.387</v>
          </cell>
          <cell r="D80">
            <v>34.200000000000003</v>
          </cell>
          <cell r="E80">
            <v>37.9</v>
          </cell>
          <cell r="F80">
            <v>36.4</v>
          </cell>
          <cell r="G80">
            <v>34.6</v>
          </cell>
          <cell r="H80">
            <v>40.4</v>
          </cell>
          <cell r="I80">
            <v>35.1</v>
          </cell>
          <cell r="J80">
            <v>40.5</v>
          </cell>
          <cell r="K80">
            <v>35.1</v>
          </cell>
          <cell r="L80">
            <v>40.1</v>
          </cell>
          <cell r="M80">
            <v>35.5</v>
          </cell>
          <cell r="N80">
            <v>35.799999999999997</v>
          </cell>
          <cell r="O80">
            <v>34.1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13.396000000000001</v>
          </cell>
          <cell r="D82">
            <v>35.1</v>
          </cell>
          <cell r="E82">
            <v>44.2</v>
          </cell>
          <cell r="F82">
            <v>40.9</v>
          </cell>
          <cell r="G82">
            <v>42.3</v>
          </cell>
          <cell r="H82">
            <v>40.6</v>
          </cell>
          <cell r="I82">
            <v>43.1</v>
          </cell>
          <cell r="J82">
            <v>39.5</v>
          </cell>
          <cell r="K82">
            <v>41.1</v>
          </cell>
          <cell r="L82">
            <v>35.1</v>
          </cell>
          <cell r="M82">
            <v>41.8</v>
          </cell>
          <cell r="N82">
            <v>36.1</v>
          </cell>
          <cell r="O82">
            <v>45.4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13.404</v>
          </cell>
          <cell r="D84">
            <v>37.9</v>
          </cell>
          <cell r="E84">
            <v>45.3</v>
          </cell>
          <cell r="F84">
            <v>41.9</v>
          </cell>
          <cell r="G84">
            <v>45.7</v>
          </cell>
          <cell r="H84">
            <v>40.700000000000003</v>
          </cell>
          <cell r="I84">
            <v>41.6</v>
          </cell>
          <cell r="J84">
            <v>41.5</v>
          </cell>
          <cell r="K84">
            <v>42.1</v>
          </cell>
          <cell r="L84">
            <v>43.2</v>
          </cell>
          <cell r="M84">
            <v>43</v>
          </cell>
          <cell r="N84">
            <v>43.1</v>
          </cell>
          <cell r="O84">
            <v>43.6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13.412000000000001</v>
          </cell>
          <cell r="D86">
            <v>39.200000000000003</v>
          </cell>
          <cell r="E86">
            <v>42</v>
          </cell>
          <cell r="F86">
            <v>44.2</v>
          </cell>
          <cell r="G86">
            <v>38.9</v>
          </cell>
          <cell r="H86">
            <v>44.8</v>
          </cell>
          <cell r="I86">
            <v>44</v>
          </cell>
          <cell r="J86">
            <v>46.7</v>
          </cell>
          <cell r="K86">
            <v>41.9</v>
          </cell>
          <cell r="L86">
            <v>45</v>
          </cell>
          <cell r="M86">
            <v>43.9</v>
          </cell>
          <cell r="N86">
            <v>45.7</v>
          </cell>
          <cell r="O86">
            <v>41.7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13.42</v>
          </cell>
          <cell r="D88">
            <v>43.5</v>
          </cell>
          <cell r="E88">
            <v>44.5</v>
          </cell>
          <cell r="F88">
            <v>45.5</v>
          </cell>
          <cell r="G88">
            <v>45.2</v>
          </cell>
          <cell r="H88">
            <v>43</v>
          </cell>
          <cell r="I88">
            <v>45.3</v>
          </cell>
          <cell r="J88">
            <v>44.6</v>
          </cell>
          <cell r="K88">
            <v>45.1</v>
          </cell>
          <cell r="L88">
            <v>44.1</v>
          </cell>
          <cell r="M88">
            <v>44.3</v>
          </cell>
          <cell r="N88">
            <v>41.5</v>
          </cell>
          <cell r="O88">
            <v>44.8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13.428000000000001</v>
          </cell>
          <cell r="D90">
            <v>39.5</v>
          </cell>
          <cell r="E90">
            <v>46</v>
          </cell>
          <cell r="F90">
            <v>42.5</v>
          </cell>
          <cell r="G90">
            <v>44.5</v>
          </cell>
          <cell r="H90">
            <v>38.9</v>
          </cell>
          <cell r="I90">
            <v>41.1</v>
          </cell>
          <cell r="J90">
            <v>36.299999999999997</v>
          </cell>
          <cell r="K90">
            <v>40.4</v>
          </cell>
          <cell r="L90">
            <v>38.6</v>
          </cell>
          <cell r="M90">
            <v>41.5</v>
          </cell>
          <cell r="N90">
            <v>35.1</v>
          </cell>
          <cell r="O90">
            <v>40.5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13.436</v>
          </cell>
          <cell r="D92">
            <v>33.5</v>
          </cell>
          <cell r="E92">
            <v>33.4</v>
          </cell>
          <cell r="F92">
            <v>34</v>
          </cell>
          <cell r="G92">
            <v>34.6</v>
          </cell>
          <cell r="H92">
            <v>34.6</v>
          </cell>
          <cell r="I92">
            <v>39</v>
          </cell>
          <cell r="J92">
            <v>36.1</v>
          </cell>
          <cell r="K92">
            <v>34.9</v>
          </cell>
          <cell r="L92">
            <v>35.5</v>
          </cell>
          <cell r="M92">
            <v>34.4</v>
          </cell>
          <cell r="N92">
            <v>34.1</v>
          </cell>
          <cell r="O92">
            <v>35.9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150</v>
          </cell>
        </row>
        <row r="10">
          <cell r="C10">
            <v>5481</v>
          </cell>
        </row>
        <row r="20">
          <cell r="C20">
            <v>3</v>
          </cell>
        </row>
        <row r="25">
          <cell r="E25">
            <v>36.950000000000003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'IA149.03R'</v>
          </cell>
        </row>
        <row r="14">
          <cell r="A14">
            <v>108</v>
          </cell>
          <cell r="B14">
            <v>1</v>
          </cell>
          <cell r="C14">
            <v>13.122999999999999</v>
          </cell>
          <cell r="D14">
            <v>34.9</v>
          </cell>
          <cell r="E14">
            <v>36</v>
          </cell>
          <cell r="F14">
            <v>39.700000000000003</v>
          </cell>
          <cell r="G14">
            <v>38</v>
          </cell>
          <cell r="H14">
            <v>43.4</v>
          </cell>
          <cell r="I14">
            <v>36.200000000000003</v>
          </cell>
          <cell r="J14">
            <v>43.4</v>
          </cell>
          <cell r="K14">
            <v>39.1</v>
          </cell>
          <cell r="L14">
            <v>40.700000000000003</v>
          </cell>
          <cell r="M14">
            <v>38.200000000000003</v>
          </cell>
          <cell r="N14">
            <v>35.9</v>
          </cell>
          <cell r="O14">
            <v>35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13.132</v>
          </cell>
          <cell r="D16">
            <v>35.4</v>
          </cell>
          <cell r="E16">
            <v>44.3</v>
          </cell>
          <cell r="F16">
            <v>40.5</v>
          </cell>
          <cell r="G16">
            <v>42</v>
          </cell>
          <cell r="H16">
            <v>40.299999999999997</v>
          </cell>
          <cell r="I16">
            <v>42.4</v>
          </cell>
          <cell r="J16">
            <v>37.5</v>
          </cell>
          <cell r="K16">
            <v>40.1</v>
          </cell>
          <cell r="L16">
            <v>40.700000000000003</v>
          </cell>
          <cell r="M16">
            <v>40.5</v>
          </cell>
          <cell r="N16">
            <v>40.4</v>
          </cell>
          <cell r="O16">
            <v>37.9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13.14</v>
          </cell>
          <cell r="D18">
            <v>35</v>
          </cell>
          <cell r="E18">
            <v>36.6</v>
          </cell>
          <cell r="F18">
            <v>33.799999999999997</v>
          </cell>
          <cell r="G18">
            <v>36</v>
          </cell>
          <cell r="H18">
            <v>34.700000000000003</v>
          </cell>
          <cell r="I18">
            <v>37.6</v>
          </cell>
          <cell r="J18">
            <v>37.799999999999997</v>
          </cell>
          <cell r="K18">
            <v>36.6</v>
          </cell>
          <cell r="L18">
            <v>34.6</v>
          </cell>
          <cell r="M18">
            <v>37.200000000000003</v>
          </cell>
          <cell r="N18">
            <v>35.799999999999997</v>
          </cell>
          <cell r="O18">
            <v>42.3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13.148999999999999</v>
          </cell>
          <cell r="D20">
            <v>56</v>
          </cell>
          <cell r="E20">
            <v>53.9</v>
          </cell>
          <cell r="F20">
            <v>55.9</v>
          </cell>
          <cell r="G20">
            <v>54.5</v>
          </cell>
          <cell r="H20">
            <v>55.5</v>
          </cell>
          <cell r="I20">
            <v>57</v>
          </cell>
          <cell r="J20">
            <v>52.1</v>
          </cell>
          <cell r="K20">
            <v>55.9</v>
          </cell>
          <cell r="L20">
            <v>51.5</v>
          </cell>
          <cell r="M20">
            <v>56.5</v>
          </cell>
          <cell r="N20">
            <v>54.1</v>
          </cell>
          <cell r="O20">
            <v>55.5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13.159000000000001</v>
          </cell>
          <cell r="D22">
            <v>34.700000000000003</v>
          </cell>
          <cell r="E22">
            <v>38.5</v>
          </cell>
          <cell r="F22">
            <v>36.299999999999997</v>
          </cell>
          <cell r="G22">
            <v>37.4</v>
          </cell>
          <cell r="H22">
            <v>39.700000000000003</v>
          </cell>
          <cell r="I22">
            <v>37.4</v>
          </cell>
          <cell r="J22">
            <v>35.4</v>
          </cell>
          <cell r="K22">
            <v>36.799999999999997</v>
          </cell>
          <cell r="L22">
            <v>33.9</v>
          </cell>
          <cell r="M22">
            <v>37.700000000000003</v>
          </cell>
          <cell r="N22">
            <v>34.9</v>
          </cell>
          <cell r="O22">
            <v>37.6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13.167</v>
          </cell>
          <cell r="D24">
            <v>35.5</v>
          </cell>
          <cell r="E24">
            <v>41.1</v>
          </cell>
          <cell r="F24">
            <v>35.4</v>
          </cell>
          <cell r="G24">
            <v>37.200000000000003</v>
          </cell>
          <cell r="H24">
            <v>39.299999999999997</v>
          </cell>
          <cell r="I24">
            <v>36</v>
          </cell>
          <cell r="J24">
            <v>38.700000000000003</v>
          </cell>
          <cell r="K24">
            <v>38.4</v>
          </cell>
          <cell r="L24">
            <v>45.9</v>
          </cell>
          <cell r="M24">
            <v>37.4</v>
          </cell>
          <cell r="N24">
            <v>35.6</v>
          </cell>
          <cell r="O24">
            <v>38.200000000000003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13.176</v>
          </cell>
          <cell r="D26">
            <v>35.9</v>
          </cell>
          <cell r="E26">
            <v>43.4</v>
          </cell>
          <cell r="F26">
            <v>35.4</v>
          </cell>
          <cell r="G26">
            <v>38.1</v>
          </cell>
          <cell r="H26">
            <v>37.299999999999997</v>
          </cell>
          <cell r="I26">
            <v>36.700000000000003</v>
          </cell>
          <cell r="J26">
            <v>37.700000000000003</v>
          </cell>
          <cell r="K26">
            <v>35.9</v>
          </cell>
          <cell r="L26">
            <v>35.4</v>
          </cell>
          <cell r="M26">
            <v>39.299999999999997</v>
          </cell>
          <cell r="N26">
            <v>35.4</v>
          </cell>
          <cell r="O26">
            <v>39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13.183999999999999</v>
          </cell>
          <cell r="D28">
            <v>34.700000000000003</v>
          </cell>
          <cell r="E28">
            <v>38.4</v>
          </cell>
          <cell r="F28">
            <v>37.5</v>
          </cell>
          <cell r="G28">
            <v>36.299999999999997</v>
          </cell>
          <cell r="H28">
            <v>36.5</v>
          </cell>
          <cell r="I28">
            <v>36</v>
          </cell>
          <cell r="J28">
            <v>36.799999999999997</v>
          </cell>
          <cell r="K28">
            <v>37</v>
          </cell>
          <cell r="L28">
            <v>38.6</v>
          </cell>
          <cell r="M28">
            <v>38.4</v>
          </cell>
          <cell r="N28">
            <v>35.9</v>
          </cell>
          <cell r="O28">
            <v>39.4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13.2</v>
          </cell>
          <cell r="D30">
            <v>55.6</v>
          </cell>
          <cell r="E30">
            <v>58.7</v>
          </cell>
          <cell r="F30">
            <v>56.1</v>
          </cell>
          <cell r="G30">
            <v>57.3</v>
          </cell>
          <cell r="H30">
            <v>53.1</v>
          </cell>
          <cell r="I30">
            <v>57.8</v>
          </cell>
          <cell r="J30">
            <v>55.7</v>
          </cell>
          <cell r="K30">
            <v>57</v>
          </cell>
          <cell r="L30">
            <v>55.4</v>
          </cell>
          <cell r="M30">
            <v>53.8</v>
          </cell>
          <cell r="N30">
            <v>55.2</v>
          </cell>
          <cell r="O30">
            <v>57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13.205</v>
          </cell>
          <cell r="D32">
            <v>36.6</v>
          </cell>
          <cell r="E32">
            <v>42.9</v>
          </cell>
          <cell r="F32">
            <v>35.700000000000003</v>
          </cell>
          <cell r="G32">
            <v>37.6</v>
          </cell>
          <cell r="H32">
            <v>35.5</v>
          </cell>
          <cell r="I32">
            <v>37</v>
          </cell>
          <cell r="J32">
            <v>35.299999999999997</v>
          </cell>
          <cell r="K32">
            <v>36.9</v>
          </cell>
          <cell r="L32">
            <v>34.9</v>
          </cell>
          <cell r="M32">
            <v>36.9</v>
          </cell>
          <cell r="N32">
            <v>34.700000000000003</v>
          </cell>
          <cell r="O32">
            <v>36.1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13.211</v>
          </cell>
          <cell r="D34">
            <v>35.1</v>
          </cell>
          <cell r="E34">
            <v>40.1</v>
          </cell>
          <cell r="F34">
            <v>37.200000000000003</v>
          </cell>
          <cell r="G34">
            <v>39.299999999999997</v>
          </cell>
          <cell r="H34">
            <v>39.700000000000003</v>
          </cell>
          <cell r="I34">
            <v>37.299999999999997</v>
          </cell>
          <cell r="J34">
            <v>40.299999999999997</v>
          </cell>
          <cell r="K34">
            <v>46.7</v>
          </cell>
          <cell r="L34">
            <v>37.9</v>
          </cell>
          <cell r="M34">
            <v>40.799999999999997</v>
          </cell>
          <cell r="N34">
            <v>40.4</v>
          </cell>
          <cell r="O34">
            <v>39.200000000000003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13.215999999999999</v>
          </cell>
          <cell r="D36">
            <v>54.3</v>
          </cell>
          <cell r="E36">
            <v>56.5</v>
          </cell>
          <cell r="F36">
            <v>54.4</v>
          </cell>
          <cell r="G36">
            <v>57</v>
          </cell>
          <cell r="H36">
            <v>56.5</v>
          </cell>
          <cell r="I36">
            <v>57.5</v>
          </cell>
          <cell r="J36">
            <v>56.8</v>
          </cell>
          <cell r="K36">
            <v>56.6</v>
          </cell>
          <cell r="L36">
            <v>52.4</v>
          </cell>
          <cell r="M36">
            <v>55.8</v>
          </cell>
          <cell r="N36">
            <v>54.8</v>
          </cell>
          <cell r="O36">
            <v>56.7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13.221</v>
          </cell>
          <cell r="D38">
            <v>34.9</v>
          </cell>
          <cell r="E38">
            <v>41.9</v>
          </cell>
          <cell r="F38">
            <v>35.5</v>
          </cell>
          <cell r="G38">
            <v>39.299999999999997</v>
          </cell>
          <cell r="H38">
            <v>35.9</v>
          </cell>
          <cell r="I38">
            <v>37.700000000000003</v>
          </cell>
          <cell r="J38">
            <v>36</v>
          </cell>
          <cell r="K38">
            <v>37</v>
          </cell>
          <cell r="L38">
            <v>38.9</v>
          </cell>
          <cell r="M38">
            <v>37.4</v>
          </cell>
          <cell r="N38">
            <v>39.5</v>
          </cell>
          <cell r="O38">
            <v>42.8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13.227</v>
          </cell>
          <cell r="D40">
            <v>35.200000000000003</v>
          </cell>
          <cell r="E40">
            <v>38.700000000000003</v>
          </cell>
          <cell r="F40">
            <v>36.6</v>
          </cell>
          <cell r="G40">
            <v>39.299999999999997</v>
          </cell>
          <cell r="H40">
            <v>36.299999999999997</v>
          </cell>
          <cell r="I40">
            <v>42.2</v>
          </cell>
          <cell r="J40">
            <v>41.6</v>
          </cell>
          <cell r="K40">
            <v>40.200000000000003</v>
          </cell>
          <cell r="L40">
            <v>36.9</v>
          </cell>
          <cell r="M40">
            <v>39.700000000000003</v>
          </cell>
          <cell r="N40">
            <v>36.700000000000003</v>
          </cell>
          <cell r="O40">
            <v>39.9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13.231999999999999</v>
          </cell>
          <cell r="D42">
            <v>36.1</v>
          </cell>
          <cell r="E42">
            <v>45.7</v>
          </cell>
          <cell r="F42">
            <v>40.799999999999997</v>
          </cell>
          <cell r="G42">
            <v>39</v>
          </cell>
          <cell r="H42">
            <v>40.299999999999997</v>
          </cell>
          <cell r="I42">
            <v>40.4</v>
          </cell>
          <cell r="J42">
            <v>38.200000000000003</v>
          </cell>
          <cell r="K42">
            <v>38.5</v>
          </cell>
          <cell r="L42">
            <v>39.1</v>
          </cell>
          <cell r="M42">
            <v>38</v>
          </cell>
          <cell r="N42">
            <v>36.799999999999997</v>
          </cell>
          <cell r="O42">
            <v>38.5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13.237</v>
          </cell>
          <cell r="D44">
            <v>36.200000000000003</v>
          </cell>
          <cell r="E44">
            <v>47.9</v>
          </cell>
          <cell r="F44">
            <v>38.6</v>
          </cell>
          <cell r="G44">
            <v>42.5</v>
          </cell>
          <cell r="H44">
            <v>45.9</v>
          </cell>
          <cell r="I44">
            <v>37.6</v>
          </cell>
          <cell r="J44">
            <v>46.2</v>
          </cell>
          <cell r="K44">
            <v>41.7</v>
          </cell>
          <cell r="L44">
            <v>45.3</v>
          </cell>
          <cell r="M44">
            <v>42.3</v>
          </cell>
          <cell r="N44">
            <v>42.1</v>
          </cell>
          <cell r="O44">
            <v>44.3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13.247999999999999</v>
          </cell>
          <cell r="D46">
            <v>36.5</v>
          </cell>
          <cell r="E46">
            <v>43.7</v>
          </cell>
          <cell r="F46">
            <v>40.6</v>
          </cell>
          <cell r="G46">
            <v>39.299999999999997</v>
          </cell>
          <cell r="H46">
            <v>43.8</v>
          </cell>
          <cell r="I46">
            <v>43.8</v>
          </cell>
          <cell r="J46">
            <v>39.799999999999997</v>
          </cell>
          <cell r="K46">
            <v>44.8</v>
          </cell>
          <cell r="L46">
            <v>38.6</v>
          </cell>
          <cell r="M46">
            <v>48.1</v>
          </cell>
          <cell r="N46">
            <v>37.4</v>
          </cell>
          <cell r="O46">
            <v>37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13.257</v>
          </cell>
          <cell r="D48">
            <v>65</v>
          </cell>
          <cell r="E48">
            <v>65.400000000000006</v>
          </cell>
          <cell r="F48">
            <v>65.3</v>
          </cell>
          <cell r="G48">
            <v>64.900000000000006</v>
          </cell>
          <cell r="H48">
            <v>65.099999999999994</v>
          </cell>
          <cell r="I48">
            <v>64.8</v>
          </cell>
          <cell r="J48">
            <v>64.900000000000006</v>
          </cell>
          <cell r="K48">
            <v>64</v>
          </cell>
          <cell r="L48">
            <v>64</v>
          </cell>
          <cell r="M48">
            <v>65.2</v>
          </cell>
          <cell r="N48">
            <v>64.599999999999994</v>
          </cell>
          <cell r="O48">
            <v>64.5</v>
          </cell>
        </row>
        <row r="50">
          <cell r="A50">
            <v>906</v>
          </cell>
          <cell r="B50">
            <v>1</v>
          </cell>
          <cell r="C50">
            <v>13.265000000000001</v>
          </cell>
          <cell r="D50">
            <v>36.200000000000003</v>
          </cell>
          <cell r="E50">
            <v>38.700000000000003</v>
          </cell>
          <cell r="F50">
            <v>38.1</v>
          </cell>
          <cell r="G50">
            <v>36.5</v>
          </cell>
          <cell r="H50">
            <v>45.8</v>
          </cell>
          <cell r="I50">
            <v>40.299999999999997</v>
          </cell>
          <cell r="J50">
            <v>44.7</v>
          </cell>
          <cell r="K50">
            <v>37</v>
          </cell>
          <cell r="L50">
            <v>42.2</v>
          </cell>
          <cell r="M50">
            <v>37</v>
          </cell>
          <cell r="N50">
            <v>36.5</v>
          </cell>
          <cell r="O50">
            <v>36.700000000000003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13.273</v>
          </cell>
          <cell r="D52">
            <v>36.4</v>
          </cell>
          <cell r="E52">
            <v>35.700000000000003</v>
          </cell>
          <cell r="F52">
            <v>36.1</v>
          </cell>
          <cell r="G52">
            <v>36</v>
          </cell>
          <cell r="H52">
            <v>36.4</v>
          </cell>
          <cell r="I52">
            <v>36.6</v>
          </cell>
          <cell r="J52">
            <v>37.4</v>
          </cell>
          <cell r="K52">
            <v>37.9</v>
          </cell>
          <cell r="L52">
            <v>36.299999999999997</v>
          </cell>
          <cell r="M52">
            <v>36.5</v>
          </cell>
          <cell r="N52">
            <v>36.4</v>
          </cell>
          <cell r="O52">
            <v>36.1</v>
          </cell>
        </row>
        <row r="54">
          <cell r="A54">
            <v>904</v>
          </cell>
          <cell r="B54">
            <v>1</v>
          </cell>
          <cell r="C54">
            <v>13.282</v>
          </cell>
          <cell r="D54">
            <v>38.799999999999997</v>
          </cell>
          <cell r="E54">
            <v>38.6</v>
          </cell>
          <cell r="F54">
            <v>36</v>
          </cell>
          <cell r="G54">
            <v>38.299999999999997</v>
          </cell>
          <cell r="H54">
            <v>37.700000000000003</v>
          </cell>
          <cell r="I54">
            <v>39.1</v>
          </cell>
          <cell r="J54">
            <v>37.799999999999997</v>
          </cell>
          <cell r="K54">
            <v>37.200000000000003</v>
          </cell>
          <cell r="L54">
            <v>36.1</v>
          </cell>
          <cell r="M54">
            <v>44.5</v>
          </cell>
          <cell r="N54">
            <v>37.200000000000003</v>
          </cell>
          <cell r="O54">
            <v>45.8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13.291</v>
          </cell>
          <cell r="D56">
            <v>65.2</v>
          </cell>
          <cell r="E56">
            <v>65.7</v>
          </cell>
          <cell r="F56">
            <v>65.599999999999994</v>
          </cell>
          <cell r="G56">
            <v>65.599999999999994</v>
          </cell>
          <cell r="H56">
            <v>65.7</v>
          </cell>
          <cell r="I56">
            <v>65.3</v>
          </cell>
          <cell r="J56">
            <v>65.2</v>
          </cell>
          <cell r="K56">
            <v>66</v>
          </cell>
          <cell r="L56">
            <v>65.7</v>
          </cell>
          <cell r="M56">
            <v>65.5</v>
          </cell>
          <cell r="N56">
            <v>65.599999999999994</v>
          </cell>
          <cell r="O56">
            <v>65.400000000000006</v>
          </cell>
        </row>
        <row r="58">
          <cell r="A58">
            <v>902</v>
          </cell>
          <cell r="B58">
            <v>1</v>
          </cell>
          <cell r="C58">
            <v>13.298999999999999</v>
          </cell>
          <cell r="D58">
            <v>36.9</v>
          </cell>
          <cell r="E58">
            <v>42</v>
          </cell>
          <cell r="F58">
            <v>39.4</v>
          </cell>
          <cell r="G58">
            <v>37.6</v>
          </cell>
          <cell r="H58">
            <v>38.5</v>
          </cell>
          <cell r="I58">
            <v>38.799999999999997</v>
          </cell>
          <cell r="J58">
            <v>37.799999999999997</v>
          </cell>
          <cell r="K58">
            <v>37.299999999999997</v>
          </cell>
          <cell r="L58">
            <v>37.4</v>
          </cell>
          <cell r="M58">
            <v>36.700000000000003</v>
          </cell>
          <cell r="N58">
            <v>36.6</v>
          </cell>
          <cell r="O58">
            <v>41.7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13.308</v>
          </cell>
          <cell r="D60">
            <v>36.6</v>
          </cell>
          <cell r="E60">
            <v>35.9</v>
          </cell>
          <cell r="F60">
            <v>35.9</v>
          </cell>
          <cell r="G60">
            <v>35.6</v>
          </cell>
          <cell r="H60">
            <v>35.5</v>
          </cell>
          <cell r="I60">
            <v>35.299999999999997</v>
          </cell>
          <cell r="J60">
            <v>34.799999999999997</v>
          </cell>
          <cell r="K60">
            <v>36.200000000000003</v>
          </cell>
          <cell r="L60">
            <v>36.299999999999997</v>
          </cell>
          <cell r="M60">
            <v>36.299999999999997</v>
          </cell>
          <cell r="N60">
            <v>35.700000000000003</v>
          </cell>
          <cell r="O60">
            <v>35.4</v>
          </cell>
        </row>
        <row r="62">
          <cell r="A62">
            <v>301</v>
          </cell>
          <cell r="B62">
            <v>1</v>
          </cell>
          <cell r="C62">
            <v>13.321</v>
          </cell>
          <cell r="D62">
            <v>35.4</v>
          </cell>
          <cell r="E62">
            <v>35.6</v>
          </cell>
          <cell r="F62">
            <v>35.299999999999997</v>
          </cell>
          <cell r="G62">
            <v>35.9</v>
          </cell>
          <cell r="H62">
            <v>39.299999999999997</v>
          </cell>
          <cell r="I62">
            <v>35.799999999999997</v>
          </cell>
          <cell r="J62">
            <v>38.6</v>
          </cell>
          <cell r="K62">
            <v>36.5</v>
          </cell>
          <cell r="L62">
            <v>37.9</v>
          </cell>
          <cell r="M62">
            <v>37.6</v>
          </cell>
          <cell r="N62">
            <v>36.299999999999997</v>
          </cell>
          <cell r="O62">
            <v>36.5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13.327999999999999</v>
          </cell>
          <cell r="D64">
            <v>36.299999999999997</v>
          </cell>
          <cell r="E64">
            <v>44</v>
          </cell>
          <cell r="F64">
            <v>38.5</v>
          </cell>
          <cell r="G64">
            <v>38.6</v>
          </cell>
          <cell r="H64">
            <v>36.799999999999997</v>
          </cell>
          <cell r="I64">
            <v>37.299999999999997</v>
          </cell>
          <cell r="J64">
            <v>37.5</v>
          </cell>
          <cell r="K64">
            <v>36.799999999999997</v>
          </cell>
          <cell r="L64">
            <v>37.799999999999997</v>
          </cell>
          <cell r="M64">
            <v>37</v>
          </cell>
          <cell r="N64">
            <v>37.6</v>
          </cell>
          <cell r="O64">
            <v>38.9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13.333</v>
          </cell>
          <cell r="D66">
            <v>37.700000000000003</v>
          </cell>
          <cell r="E66">
            <v>39.6</v>
          </cell>
          <cell r="F66">
            <v>37.200000000000003</v>
          </cell>
          <cell r="G66">
            <v>36.6</v>
          </cell>
          <cell r="H66">
            <v>36.200000000000003</v>
          </cell>
          <cell r="I66">
            <v>37.799999999999997</v>
          </cell>
          <cell r="J66">
            <v>36.1</v>
          </cell>
          <cell r="K66">
            <v>36.4</v>
          </cell>
          <cell r="L66">
            <v>36.200000000000003</v>
          </cell>
          <cell r="M66">
            <v>37.700000000000003</v>
          </cell>
          <cell r="N66">
            <v>35.9</v>
          </cell>
          <cell r="O66">
            <v>37.200000000000003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13.337999999999999</v>
          </cell>
          <cell r="D68">
            <v>36</v>
          </cell>
          <cell r="E68">
            <v>37.1</v>
          </cell>
          <cell r="F68">
            <v>38.5</v>
          </cell>
          <cell r="G68">
            <v>38.9</v>
          </cell>
          <cell r="H68">
            <v>41.9</v>
          </cell>
          <cell r="I68">
            <v>39</v>
          </cell>
          <cell r="J68">
            <v>40</v>
          </cell>
          <cell r="K68">
            <v>39.799999999999997</v>
          </cell>
          <cell r="L68">
            <v>36.9</v>
          </cell>
          <cell r="M68">
            <v>41.5</v>
          </cell>
          <cell r="N68">
            <v>37.299999999999997</v>
          </cell>
          <cell r="O68">
            <v>42.9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13.343</v>
          </cell>
          <cell r="D70">
            <v>55</v>
          </cell>
          <cell r="E70">
            <v>55.4</v>
          </cell>
          <cell r="F70">
            <v>55.2</v>
          </cell>
          <cell r="G70">
            <v>56.3</v>
          </cell>
          <cell r="H70">
            <v>53.8</v>
          </cell>
          <cell r="I70">
            <v>56.1</v>
          </cell>
          <cell r="J70">
            <v>56.1</v>
          </cell>
          <cell r="K70">
            <v>56.9</v>
          </cell>
          <cell r="L70">
            <v>55.4</v>
          </cell>
          <cell r="M70">
            <v>54.8</v>
          </cell>
          <cell r="N70">
            <v>53.7</v>
          </cell>
          <cell r="O70">
            <v>54.8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13.349</v>
          </cell>
          <cell r="D72">
            <v>36.200000000000003</v>
          </cell>
          <cell r="E72">
            <v>37.5</v>
          </cell>
          <cell r="F72">
            <v>38.700000000000003</v>
          </cell>
          <cell r="G72">
            <v>39.4</v>
          </cell>
          <cell r="H72">
            <v>40.200000000000003</v>
          </cell>
          <cell r="I72">
            <v>39.799999999999997</v>
          </cell>
          <cell r="J72">
            <v>38.5</v>
          </cell>
          <cell r="K72">
            <v>37.299999999999997</v>
          </cell>
          <cell r="L72">
            <v>39.1</v>
          </cell>
          <cell r="M72">
            <v>37.4</v>
          </cell>
          <cell r="N72">
            <v>37.799999999999997</v>
          </cell>
          <cell r="O72">
            <v>36.9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13.355</v>
          </cell>
          <cell r="D74">
            <v>36.299999999999997</v>
          </cell>
          <cell r="E74">
            <v>41.8</v>
          </cell>
          <cell r="F74">
            <v>37</v>
          </cell>
          <cell r="G74">
            <v>39</v>
          </cell>
          <cell r="H74">
            <v>37.799999999999997</v>
          </cell>
          <cell r="I74">
            <v>39.200000000000003</v>
          </cell>
          <cell r="J74">
            <v>40.700000000000003</v>
          </cell>
          <cell r="K74">
            <v>40.9</v>
          </cell>
          <cell r="L74">
            <v>39.299999999999997</v>
          </cell>
          <cell r="M74">
            <v>37.9</v>
          </cell>
          <cell r="N74">
            <v>36.200000000000003</v>
          </cell>
          <cell r="O74">
            <v>36.4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13.36</v>
          </cell>
          <cell r="D76">
            <v>38</v>
          </cell>
          <cell r="E76">
            <v>37.4</v>
          </cell>
          <cell r="F76">
            <v>39.5</v>
          </cell>
          <cell r="G76">
            <v>37</v>
          </cell>
          <cell r="H76">
            <v>40.299999999999997</v>
          </cell>
          <cell r="I76">
            <v>37.5</v>
          </cell>
          <cell r="J76">
            <v>45.2</v>
          </cell>
          <cell r="K76">
            <v>38</v>
          </cell>
          <cell r="L76">
            <v>46.1</v>
          </cell>
          <cell r="M76">
            <v>37.6</v>
          </cell>
          <cell r="N76">
            <v>40.200000000000003</v>
          </cell>
          <cell r="O76">
            <v>36.700000000000003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13.375999999999999</v>
          </cell>
          <cell r="D78">
            <v>36.5</v>
          </cell>
          <cell r="E78">
            <v>39</v>
          </cell>
          <cell r="F78">
            <v>39.200000000000003</v>
          </cell>
          <cell r="G78">
            <v>36.299999999999997</v>
          </cell>
          <cell r="H78">
            <v>39.299999999999997</v>
          </cell>
          <cell r="I78">
            <v>38.9</v>
          </cell>
          <cell r="J78">
            <v>41.8</v>
          </cell>
          <cell r="K78">
            <v>39.1</v>
          </cell>
          <cell r="L78">
            <v>43.8</v>
          </cell>
          <cell r="M78">
            <v>38.299999999999997</v>
          </cell>
          <cell r="N78">
            <v>39.799999999999997</v>
          </cell>
          <cell r="O78">
            <v>35.9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13.384</v>
          </cell>
          <cell r="D80">
            <v>36.6</v>
          </cell>
          <cell r="E80">
            <v>40.5</v>
          </cell>
          <cell r="F80">
            <v>40.1</v>
          </cell>
          <cell r="G80">
            <v>37.299999999999997</v>
          </cell>
          <cell r="H80">
            <v>36.9</v>
          </cell>
          <cell r="I80">
            <v>38.700000000000003</v>
          </cell>
          <cell r="J80">
            <v>38</v>
          </cell>
          <cell r="K80">
            <v>37.299999999999997</v>
          </cell>
          <cell r="L80">
            <v>37.6</v>
          </cell>
          <cell r="M80">
            <v>36.9</v>
          </cell>
          <cell r="N80">
            <v>36.799999999999997</v>
          </cell>
          <cell r="O80">
            <v>36.9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13.391999999999999</v>
          </cell>
          <cell r="D82">
            <v>36.200000000000003</v>
          </cell>
          <cell r="E82">
            <v>38.5</v>
          </cell>
          <cell r="F82">
            <v>38.700000000000003</v>
          </cell>
          <cell r="G82">
            <v>37.1</v>
          </cell>
          <cell r="H82">
            <v>44.5</v>
          </cell>
          <cell r="I82">
            <v>37.700000000000003</v>
          </cell>
          <cell r="J82">
            <v>38.5</v>
          </cell>
          <cell r="K82">
            <v>36.4</v>
          </cell>
          <cell r="L82">
            <v>36</v>
          </cell>
          <cell r="M82">
            <v>35.9</v>
          </cell>
          <cell r="N82">
            <v>37.299999999999997</v>
          </cell>
          <cell r="O82">
            <v>38.5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13.401</v>
          </cell>
          <cell r="D84">
            <v>36.6</v>
          </cell>
          <cell r="E84">
            <v>44</v>
          </cell>
          <cell r="F84">
            <v>42.9</v>
          </cell>
          <cell r="G84">
            <v>42</v>
          </cell>
          <cell r="H84">
            <v>38.200000000000003</v>
          </cell>
          <cell r="I84">
            <v>38.200000000000003</v>
          </cell>
          <cell r="J84">
            <v>36.9</v>
          </cell>
          <cell r="K84">
            <v>39.6</v>
          </cell>
          <cell r="L84">
            <v>37.299999999999997</v>
          </cell>
          <cell r="M84">
            <v>38.299999999999997</v>
          </cell>
          <cell r="N84">
            <v>37.299999999999997</v>
          </cell>
          <cell r="O84">
            <v>38.299999999999997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13.41</v>
          </cell>
          <cell r="D86">
            <v>36.299999999999997</v>
          </cell>
          <cell r="E86">
            <v>39.299999999999997</v>
          </cell>
          <cell r="F86">
            <v>38.700000000000003</v>
          </cell>
          <cell r="G86">
            <v>39.299999999999997</v>
          </cell>
          <cell r="H86">
            <v>41.4</v>
          </cell>
          <cell r="I86">
            <v>36.6</v>
          </cell>
          <cell r="J86">
            <v>41.3</v>
          </cell>
          <cell r="K86">
            <v>36.5</v>
          </cell>
          <cell r="L86">
            <v>40.9</v>
          </cell>
          <cell r="M86">
            <v>37.200000000000003</v>
          </cell>
          <cell r="N86">
            <v>38.9</v>
          </cell>
          <cell r="O86">
            <v>43.2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13.417999999999999</v>
          </cell>
          <cell r="D88">
            <v>36.700000000000003</v>
          </cell>
          <cell r="E88">
            <v>36.9</v>
          </cell>
          <cell r="F88">
            <v>42.2</v>
          </cell>
          <cell r="G88">
            <v>37.6</v>
          </cell>
          <cell r="H88">
            <v>37.700000000000003</v>
          </cell>
          <cell r="I88">
            <v>38.299999999999997</v>
          </cell>
          <cell r="J88">
            <v>39.1</v>
          </cell>
          <cell r="K88">
            <v>36.299999999999997</v>
          </cell>
          <cell r="L88">
            <v>38.1</v>
          </cell>
          <cell r="M88">
            <v>36.200000000000003</v>
          </cell>
          <cell r="N88">
            <v>36.4</v>
          </cell>
          <cell r="O88">
            <v>36.299999999999997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13.426</v>
          </cell>
          <cell r="D90">
            <v>36.700000000000003</v>
          </cell>
          <cell r="E90">
            <v>40.799999999999997</v>
          </cell>
          <cell r="F90">
            <v>37.6</v>
          </cell>
          <cell r="G90">
            <v>37.5</v>
          </cell>
          <cell r="H90">
            <v>37.5</v>
          </cell>
          <cell r="I90">
            <v>36.9</v>
          </cell>
          <cell r="J90">
            <v>37.299999999999997</v>
          </cell>
          <cell r="K90">
            <v>36.4</v>
          </cell>
          <cell r="L90">
            <v>36.5</v>
          </cell>
          <cell r="M90">
            <v>37</v>
          </cell>
          <cell r="N90">
            <v>36.799999999999997</v>
          </cell>
          <cell r="O90">
            <v>36.5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13.435</v>
          </cell>
          <cell r="D92">
            <v>35.6</v>
          </cell>
          <cell r="E92">
            <v>35.5</v>
          </cell>
          <cell r="F92">
            <v>35.4</v>
          </cell>
          <cell r="G92">
            <v>35.4</v>
          </cell>
          <cell r="H92">
            <v>35.5</v>
          </cell>
          <cell r="I92">
            <v>35.4</v>
          </cell>
          <cell r="J92">
            <v>36.200000000000003</v>
          </cell>
          <cell r="K92">
            <v>37</v>
          </cell>
          <cell r="L92">
            <v>35.799999999999997</v>
          </cell>
          <cell r="M92">
            <v>35.9</v>
          </cell>
          <cell r="N92">
            <v>36</v>
          </cell>
          <cell r="O92">
            <v>35.4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149</v>
          </cell>
        </row>
        <row r="10">
          <cell r="C10">
            <v>5481</v>
          </cell>
        </row>
        <row r="20">
          <cell r="C20">
            <v>4</v>
          </cell>
        </row>
        <row r="25">
          <cell r="E25">
            <v>39.6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'IA148.03R'</v>
          </cell>
        </row>
        <row r="14">
          <cell r="A14">
            <v>108</v>
          </cell>
          <cell r="B14">
            <v>1</v>
          </cell>
          <cell r="C14">
            <v>12.836</v>
          </cell>
          <cell r="D14">
            <v>33</v>
          </cell>
          <cell r="E14">
            <v>34.4</v>
          </cell>
          <cell r="F14">
            <v>32.9</v>
          </cell>
          <cell r="G14">
            <v>35.1</v>
          </cell>
          <cell r="H14">
            <v>34.5</v>
          </cell>
          <cell r="I14">
            <v>34.799999999999997</v>
          </cell>
          <cell r="J14">
            <v>34.799999999999997</v>
          </cell>
          <cell r="K14">
            <v>35.5</v>
          </cell>
          <cell r="L14">
            <v>32.200000000000003</v>
          </cell>
          <cell r="M14">
            <v>34.9</v>
          </cell>
          <cell r="N14">
            <v>32.200000000000003</v>
          </cell>
          <cell r="O14">
            <v>33.1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12.843999999999999</v>
          </cell>
          <cell r="D16">
            <v>33</v>
          </cell>
          <cell r="E16">
            <v>36.700000000000003</v>
          </cell>
          <cell r="F16">
            <v>32.799999999999997</v>
          </cell>
          <cell r="G16">
            <v>35.9</v>
          </cell>
          <cell r="H16">
            <v>33.1</v>
          </cell>
          <cell r="I16">
            <v>34.299999999999997</v>
          </cell>
          <cell r="J16">
            <v>33.299999999999997</v>
          </cell>
          <cell r="K16">
            <v>34.4</v>
          </cell>
          <cell r="L16">
            <v>32.700000000000003</v>
          </cell>
          <cell r="M16">
            <v>34.700000000000003</v>
          </cell>
          <cell r="N16">
            <v>33.200000000000003</v>
          </cell>
          <cell r="O16">
            <v>34.299999999999997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12.853</v>
          </cell>
          <cell r="D18">
            <v>34</v>
          </cell>
          <cell r="E18">
            <v>34.9</v>
          </cell>
          <cell r="F18">
            <v>34.299999999999997</v>
          </cell>
          <cell r="G18">
            <v>34.5</v>
          </cell>
          <cell r="H18">
            <v>35.5</v>
          </cell>
          <cell r="I18">
            <v>34.299999999999997</v>
          </cell>
          <cell r="J18">
            <v>35</v>
          </cell>
          <cell r="K18">
            <v>34.5</v>
          </cell>
          <cell r="L18">
            <v>33.9</v>
          </cell>
          <cell r="M18">
            <v>32.9</v>
          </cell>
          <cell r="N18">
            <v>34.299999999999997</v>
          </cell>
          <cell r="O18">
            <v>33.6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12.862</v>
          </cell>
          <cell r="D20">
            <v>53.4</v>
          </cell>
          <cell r="E20">
            <v>53.6</v>
          </cell>
          <cell r="F20">
            <v>49.6</v>
          </cell>
          <cell r="G20">
            <v>52.4</v>
          </cell>
          <cell r="H20">
            <v>50.4</v>
          </cell>
          <cell r="I20">
            <v>53.8</v>
          </cell>
          <cell r="J20">
            <v>49.8</v>
          </cell>
          <cell r="K20">
            <v>53.1</v>
          </cell>
          <cell r="L20">
            <v>49.6</v>
          </cell>
          <cell r="M20">
            <v>52.5</v>
          </cell>
          <cell r="N20">
            <v>51.4</v>
          </cell>
          <cell r="O20">
            <v>52.8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12.869</v>
          </cell>
          <cell r="D22">
            <v>33</v>
          </cell>
          <cell r="E22">
            <v>35</v>
          </cell>
          <cell r="F22">
            <v>34.6</v>
          </cell>
          <cell r="G22">
            <v>35.700000000000003</v>
          </cell>
          <cell r="H22">
            <v>37.299999999999997</v>
          </cell>
          <cell r="I22">
            <v>33.9</v>
          </cell>
          <cell r="J22">
            <v>33.799999999999997</v>
          </cell>
          <cell r="K22">
            <v>33.1</v>
          </cell>
          <cell r="L22">
            <v>32.200000000000003</v>
          </cell>
          <cell r="M22">
            <v>33.9</v>
          </cell>
          <cell r="N22">
            <v>33</v>
          </cell>
          <cell r="O22">
            <v>34.200000000000003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12.878</v>
          </cell>
          <cell r="D24">
            <v>33.799999999999997</v>
          </cell>
          <cell r="E24">
            <v>36</v>
          </cell>
          <cell r="F24">
            <v>34</v>
          </cell>
          <cell r="G24">
            <v>36</v>
          </cell>
          <cell r="H24">
            <v>34.9</v>
          </cell>
          <cell r="I24">
            <v>35.799999999999997</v>
          </cell>
          <cell r="J24">
            <v>34.9</v>
          </cell>
          <cell r="K24">
            <v>37.200000000000003</v>
          </cell>
          <cell r="L24">
            <v>35.6</v>
          </cell>
          <cell r="M24">
            <v>34.700000000000003</v>
          </cell>
          <cell r="N24">
            <v>33.299999999999997</v>
          </cell>
          <cell r="O24">
            <v>34.9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12.887</v>
          </cell>
          <cell r="D26">
            <v>33.5</v>
          </cell>
          <cell r="E26">
            <v>35.5</v>
          </cell>
          <cell r="F26">
            <v>33.9</v>
          </cell>
          <cell r="G26">
            <v>33.5</v>
          </cell>
          <cell r="H26">
            <v>32.200000000000003</v>
          </cell>
          <cell r="I26">
            <v>34.1</v>
          </cell>
          <cell r="J26">
            <v>31.1</v>
          </cell>
          <cell r="K26">
            <v>34.6</v>
          </cell>
          <cell r="L26">
            <v>32.5</v>
          </cell>
          <cell r="M26">
            <v>34.200000000000003</v>
          </cell>
          <cell r="N26">
            <v>32.700000000000003</v>
          </cell>
          <cell r="O26">
            <v>35.200000000000003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12.895</v>
          </cell>
          <cell r="D28">
            <v>33.1</v>
          </cell>
          <cell r="E28">
            <v>34.6</v>
          </cell>
          <cell r="F28">
            <v>32</v>
          </cell>
          <cell r="G28">
            <v>33.6</v>
          </cell>
          <cell r="H28">
            <v>31.8</v>
          </cell>
          <cell r="I28">
            <v>35.1</v>
          </cell>
          <cell r="J28">
            <v>31.6</v>
          </cell>
          <cell r="K28">
            <v>35.299999999999997</v>
          </cell>
          <cell r="L28">
            <v>32.700000000000003</v>
          </cell>
          <cell r="M28">
            <v>35.4</v>
          </cell>
          <cell r="N28">
            <v>31.5</v>
          </cell>
          <cell r="O28">
            <v>35.799999999999997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12.907999999999999</v>
          </cell>
          <cell r="D30">
            <v>52</v>
          </cell>
          <cell r="E30">
            <v>53.8</v>
          </cell>
          <cell r="F30">
            <v>52.2</v>
          </cell>
          <cell r="G30">
            <v>53</v>
          </cell>
          <cell r="H30">
            <v>51.5</v>
          </cell>
          <cell r="I30">
            <v>54.1</v>
          </cell>
          <cell r="J30">
            <v>52.3</v>
          </cell>
          <cell r="K30">
            <v>53.3</v>
          </cell>
          <cell r="L30">
            <v>51.4</v>
          </cell>
          <cell r="M30">
            <v>52</v>
          </cell>
          <cell r="N30">
            <v>51.3</v>
          </cell>
          <cell r="O30">
            <v>53.6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12.914</v>
          </cell>
          <cell r="D32">
            <v>37.5</v>
          </cell>
          <cell r="E32">
            <v>36.4</v>
          </cell>
          <cell r="F32">
            <v>33.200000000000003</v>
          </cell>
          <cell r="G32">
            <v>35.9</v>
          </cell>
          <cell r="H32">
            <v>33.200000000000003</v>
          </cell>
          <cell r="I32">
            <v>35.9</v>
          </cell>
          <cell r="J32">
            <v>32.4</v>
          </cell>
          <cell r="K32">
            <v>34</v>
          </cell>
          <cell r="L32">
            <v>32.200000000000003</v>
          </cell>
          <cell r="M32">
            <v>34.700000000000003</v>
          </cell>
          <cell r="N32">
            <v>32.6</v>
          </cell>
          <cell r="O32">
            <v>35.200000000000003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12.917999999999999</v>
          </cell>
          <cell r="D34">
            <v>33.4</v>
          </cell>
          <cell r="E34">
            <v>33.799999999999997</v>
          </cell>
          <cell r="F34">
            <v>33.700000000000003</v>
          </cell>
          <cell r="G34">
            <v>35.4</v>
          </cell>
          <cell r="H34">
            <v>32.9</v>
          </cell>
          <cell r="I34">
            <v>34.5</v>
          </cell>
          <cell r="J34">
            <v>32.9</v>
          </cell>
          <cell r="K34">
            <v>37.700000000000003</v>
          </cell>
          <cell r="L34">
            <v>33.1</v>
          </cell>
          <cell r="M34">
            <v>37.200000000000003</v>
          </cell>
          <cell r="N34">
            <v>32.1</v>
          </cell>
          <cell r="O34">
            <v>36.799999999999997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12.923</v>
          </cell>
          <cell r="D36">
            <v>52.4</v>
          </cell>
          <cell r="E36">
            <v>52.5</v>
          </cell>
          <cell r="F36">
            <v>51.6</v>
          </cell>
          <cell r="G36">
            <v>54.2</v>
          </cell>
          <cell r="H36">
            <v>52.1</v>
          </cell>
          <cell r="I36">
            <v>53.8</v>
          </cell>
          <cell r="J36">
            <v>52.3</v>
          </cell>
          <cell r="K36">
            <v>52.1</v>
          </cell>
          <cell r="L36">
            <v>51.1</v>
          </cell>
          <cell r="M36">
            <v>49.6</v>
          </cell>
          <cell r="N36">
            <v>52.5</v>
          </cell>
          <cell r="O36">
            <v>50.4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12.928000000000001</v>
          </cell>
          <cell r="D38">
            <v>31.5</v>
          </cell>
          <cell r="E38">
            <v>33.5</v>
          </cell>
          <cell r="F38">
            <v>33.4</v>
          </cell>
          <cell r="G38">
            <v>34.5</v>
          </cell>
          <cell r="H38">
            <v>31.6</v>
          </cell>
          <cell r="I38">
            <v>34.200000000000003</v>
          </cell>
          <cell r="J38">
            <v>31.1</v>
          </cell>
          <cell r="K38">
            <v>33.799999999999997</v>
          </cell>
          <cell r="L38">
            <v>31.9</v>
          </cell>
          <cell r="M38">
            <v>36.5</v>
          </cell>
          <cell r="N38">
            <v>31.7</v>
          </cell>
          <cell r="O38">
            <v>35.5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12.933999999999999</v>
          </cell>
          <cell r="D40">
            <v>56.4</v>
          </cell>
          <cell r="E40">
            <v>55.1</v>
          </cell>
          <cell r="F40">
            <v>53.8</v>
          </cell>
          <cell r="G40">
            <v>56.4</v>
          </cell>
          <cell r="H40">
            <v>53.5</v>
          </cell>
          <cell r="I40">
            <v>55.9</v>
          </cell>
          <cell r="J40">
            <v>53</v>
          </cell>
          <cell r="K40">
            <v>53.5</v>
          </cell>
          <cell r="L40">
            <v>53.1</v>
          </cell>
          <cell r="M40">
            <v>54.6</v>
          </cell>
          <cell r="N40">
            <v>53.4</v>
          </cell>
          <cell r="O40">
            <v>54.1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12.938000000000001</v>
          </cell>
          <cell r="D42">
            <v>33.200000000000003</v>
          </cell>
          <cell r="E42">
            <v>33.9</v>
          </cell>
          <cell r="F42">
            <v>35.299999999999997</v>
          </cell>
          <cell r="G42">
            <v>33</v>
          </cell>
          <cell r="H42">
            <v>33.799999999999997</v>
          </cell>
          <cell r="I42">
            <v>33.6</v>
          </cell>
          <cell r="J42">
            <v>33.6</v>
          </cell>
          <cell r="K42">
            <v>34</v>
          </cell>
          <cell r="L42">
            <v>32.5</v>
          </cell>
          <cell r="M42">
            <v>33.700000000000003</v>
          </cell>
          <cell r="N42">
            <v>31.4</v>
          </cell>
          <cell r="O42">
            <v>34.5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12.943</v>
          </cell>
          <cell r="D44">
            <v>36.1</v>
          </cell>
          <cell r="E44">
            <v>33.5</v>
          </cell>
          <cell r="F44">
            <v>31.9</v>
          </cell>
          <cell r="G44">
            <v>33.1</v>
          </cell>
          <cell r="H44">
            <v>31.6</v>
          </cell>
          <cell r="I44">
            <v>35</v>
          </cell>
          <cell r="J44">
            <v>31.5</v>
          </cell>
          <cell r="K44">
            <v>35.200000000000003</v>
          </cell>
          <cell r="L44">
            <v>31.5</v>
          </cell>
          <cell r="M44">
            <v>34.9</v>
          </cell>
          <cell r="N44">
            <v>31.5</v>
          </cell>
          <cell r="O44">
            <v>35.799999999999997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12.952999999999999</v>
          </cell>
          <cell r="D46">
            <v>34.200000000000003</v>
          </cell>
          <cell r="E46">
            <v>36.1</v>
          </cell>
          <cell r="F46">
            <v>32.5</v>
          </cell>
          <cell r="G46">
            <v>39.9</v>
          </cell>
          <cell r="H46">
            <v>33.6</v>
          </cell>
          <cell r="I46">
            <v>40.5</v>
          </cell>
          <cell r="J46">
            <v>33.299999999999997</v>
          </cell>
          <cell r="K46">
            <v>41.2</v>
          </cell>
          <cell r="L46">
            <v>33.1</v>
          </cell>
          <cell r="M46">
            <v>42.3</v>
          </cell>
          <cell r="N46">
            <v>33.200000000000003</v>
          </cell>
          <cell r="O46">
            <v>33.700000000000003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12.959</v>
          </cell>
          <cell r="D48">
            <v>58</v>
          </cell>
          <cell r="E48">
            <v>58</v>
          </cell>
          <cell r="F48">
            <v>58</v>
          </cell>
          <cell r="G48">
            <v>58</v>
          </cell>
          <cell r="H48">
            <v>58.3</v>
          </cell>
          <cell r="I48">
            <v>57.5</v>
          </cell>
          <cell r="J48">
            <v>57.7</v>
          </cell>
          <cell r="K48">
            <v>58.3</v>
          </cell>
          <cell r="L48">
            <v>58.4</v>
          </cell>
          <cell r="M48">
            <v>58.7</v>
          </cell>
          <cell r="N48">
            <v>59.1</v>
          </cell>
          <cell r="O48">
            <v>59.3</v>
          </cell>
        </row>
        <row r="50">
          <cell r="A50">
            <v>906</v>
          </cell>
          <cell r="B50">
            <v>1</v>
          </cell>
          <cell r="C50">
            <v>12.965999999999999</v>
          </cell>
          <cell r="D50">
            <v>34.1</v>
          </cell>
          <cell r="E50">
            <v>36.799999999999997</v>
          </cell>
          <cell r="F50">
            <v>32.4</v>
          </cell>
          <cell r="G50">
            <v>36.6</v>
          </cell>
          <cell r="H50">
            <v>34.5</v>
          </cell>
          <cell r="I50">
            <v>37.6</v>
          </cell>
          <cell r="J50">
            <v>32.799999999999997</v>
          </cell>
          <cell r="K50">
            <v>35.4</v>
          </cell>
          <cell r="L50">
            <v>31.7</v>
          </cell>
          <cell r="M50">
            <v>34.6</v>
          </cell>
          <cell r="N50">
            <v>31.6</v>
          </cell>
          <cell r="O50">
            <v>33.9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12.972</v>
          </cell>
          <cell r="D52">
            <v>30.6</v>
          </cell>
          <cell r="E52">
            <v>30.6</v>
          </cell>
          <cell r="F52">
            <v>30.6</v>
          </cell>
          <cell r="G52">
            <v>31.2</v>
          </cell>
          <cell r="H52">
            <v>31.7</v>
          </cell>
          <cell r="I52">
            <v>31.8</v>
          </cell>
          <cell r="J52">
            <v>31.8</v>
          </cell>
          <cell r="K52">
            <v>31.4</v>
          </cell>
          <cell r="L52">
            <v>31.4</v>
          </cell>
          <cell r="M52">
            <v>31.4</v>
          </cell>
          <cell r="N52">
            <v>31.3</v>
          </cell>
          <cell r="O52">
            <v>31.6</v>
          </cell>
        </row>
        <row r="54">
          <cell r="A54">
            <v>904</v>
          </cell>
          <cell r="B54">
            <v>1</v>
          </cell>
          <cell r="C54">
            <v>12.978</v>
          </cell>
          <cell r="D54">
            <v>34.299999999999997</v>
          </cell>
          <cell r="E54">
            <v>34.299999999999997</v>
          </cell>
          <cell r="F54">
            <v>32.9</v>
          </cell>
          <cell r="G54">
            <v>36.1</v>
          </cell>
          <cell r="H54">
            <v>32.1</v>
          </cell>
          <cell r="I54">
            <v>34.299999999999997</v>
          </cell>
          <cell r="J54">
            <v>32</v>
          </cell>
          <cell r="K54">
            <v>33</v>
          </cell>
          <cell r="L54">
            <v>32.1</v>
          </cell>
          <cell r="M54">
            <v>37.1</v>
          </cell>
          <cell r="N54">
            <v>32.1</v>
          </cell>
          <cell r="O54">
            <v>40.799999999999997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12.984999999999999</v>
          </cell>
          <cell r="D56">
            <v>58.9</v>
          </cell>
          <cell r="E56">
            <v>58.7</v>
          </cell>
          <cell r="F56">
            <v>58.4</v>
          </cell>
          <cell r="G56">
            <v>58.8</v>
          </cell>
          <cell r="H56">
            <v>59.2</v>
          </cell>
          <cell r="I56">
            <v>59.6</v>
          </cell>
          <cell r="J56">
            <v>59.6</v>
          </cell>
          <cell r="K56">
            <v>59.4</v>
          </cell>
          <cell r="L56">
            <v>60.6</v>
          </cell>
          <cell r="M56">
            <v>60.3</v>
          </cell>
          <cell r="N56">
            <v>60.3</v>
          </cell>
          <cell r="O56">
            <v>60.2</v>
          </cell>
        </row>
        <row r="58">
          <cell r="A58">
            <v>902</v>
          </cell>
          <cell r="B58">
            <v>1</v>
          </cell>
          <cell r="C58">
            <v>12.992000000000001</v>
          </cell>
          <cell r="D58">
            <v>33.799999999999997</v>
          </cell>
          <cell r="E58">
            <v>35.6</v>
          </cell>
          <cell r="F58">
            <v>33.4</v>
          </cell>
          <cell r="G58">
            <v>35.799999999999997</v>
          </cell>
          <cell r="H58">
            <v>33</v>
          </cell>
          <cell r="I58">
            <v>39.799999999999997</v>
          </cell>
          <cell r="J58">
            <v>33.6</v>
          </cell>
          <cell r="K58">
            <v>34.299999999999997</v>
          </cell>
          <cell r="L58">
            <v>33.200000000000003</v>
          </cell>
          <cell r="M58">
            <v>34.200000000000003</v>
          </cell>
          <cell r="N58">
            <v>33.6</v>
          </cell>
          <cell r="O58">
            <v>39.700000000000003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12.997999999999999</v>
          </cell>
          <cell r="D60">
            <v>32.299999999999997</v>
          </cell>
          <cell r="E60">
            <v>31.7</v>
          </cell>
          <cell r="F60">
            <v>31.2</v>
          </cell>
          <cell r="G60">
            <v>31.3</v>
          </cell>
          <cell r="H60">
            <v>32.5</v>
          </cell>
          <cell r="I60">
            <v>32.6</v>
          </cell>
          <cell r="J60">
            <v>32.700000000000003</v>
          </cell>
          <cell r="K60">
            <v>31.6</v>
          </cell>
          <cell r="L60">
            <v>31.1</v>
          </cell>
          <cell r="M60">
            <v>32.299999999999997</v>
          </cell>
          <cell r="N60">
            <v>32.6</v>
          </cell>
          <cell r="O60">
            <v>34</v>
          </cell>
        </row>
        <row r="62">
          <cell r="A62">
            <v>301</v>
          </cell>
          <cell r="B62">
            <v>1</v>
          </cell>
          <cell r="C62">
            <v>13.007999999999999</v>
          </cell>
          <cell r="D62">
            <v>32</v>
          </cell>
          <cell r="E62">
            <v>32.700000000000003</v>
          </cell>
          <cell r="F62">
            <v>32.200000000000003</v>
          </cell>
          <cell r="G62">
            <v>35.6</v>
          </cell>
          <cell r="H62">
            <v>32.5</v>
          </cell>
          <cell r="I62">
            <v>35.700000000000003</v>
          </cell>
          <cell r="J62">
            <v>33.299999999999997</v>
          </cell>
          <cell r="K62">
            <v>35</v>
          </cell>
          <cell r="L62">
            <v>33.1</v>
          </cell>
          <cell r="M62">
            <v>34.700000000000003</v>
          </cell>
          <cell r="N62">
            <v>31.7</v>
          </cell>
          <cell r="O62">
            <v>34.200000000000003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13.013</v>
          </cell>
          <cell r="D64">
            <v>33.5</v>
          </cell>
          <cell r="E64">
            <v>39.299999999999997</v>
          </cell>
          <cell r="F64">
            <v>32.299999999999997</v>
          </cell>
          <cell r="G64">
            <v>37.200000000000003</v>
          </cell>
          <cell r="H64">
            <v>31.7</v>
          </cell>
          <cell r="I64">
            <v>35.799999999999997</v>
          </cell>
          <cell r="J64">
            <v>31.7</v>
          </cell>
          <cell r="K64">
            <v>34.700000000000003</v>
          </cell>
          <cell r="L64">
            <v>31.5</v>
          </cell>
          <cell r="M64">
            <v>34.700000000000003</v>
          </cell>
          <cell r="N64">
            <v>31.2</v>
          </cell>
          <cell r="O64">
            <v>39.700000000000003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13.018000000000001</v>
          </cell>
          <cell r="D66">
            <v>52.6</v>
          </cell>
          <cell r="E66">
            <v>55.5</v>
          </cell>
          <cell r="F66">
            <v>52.8</v>
          </cell>
          <cell r="G66">
            <v>54.8</v>
          </cell>
          <cell r="H66">
            <v>53.2</v>
          </cell>
          <cell r="I66">
            <v>55</v>
          </cell>
          <cell r="J66">
            <v>53.2</v>
          </cell>
          <cell r="K66">
            <v>55.4</v>
          </cell>
          <cell r="L66">
            <v>52.9</v>
          </cell>
          <cell r="M66">
            <v>55.1</v>
          </cell>
          <cell r="N66">
            <v>51.8</v>
          </cell>
          <cell r="O66">
            <v>55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13.023</v>
          </cell>
          <cell r="D68">
            <v>30.3</v>
          </cell>
          <cell r="E68">
            <v>32.200000000000003</v>
          </cell>
          <cell r="F68">
            <v>31.1</v>
          </cell>
          <cell r="G68">
            <v>33.1</v>
          </cell>
          <cell r="H68">
            <v>33.799999999999997</v>
          </cell>
          <cell r="I68">
            <v>33</v>
          </cell>
          <cell r="J68">
            <v>31.9</v>
          </cell>
          <cell r="K68">
            <v>34.9</v>
          </cell>
          <cell r="L68">
            <v>32.200000000000003</v>
          </cell>
          <cell r="M68">
            <v>33</v>
          </cell>
          <cell r="N68">
            <v>35.9</v>
          </cell>
          <cell r="O68">
            <v>37.200000000000003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13.026999999999999</v>
          </cell>
          <cell r="D70">
            <v>49.8</v>
          </cell>
          <cell r="E70">
            <v>50.8</v>
          </cell>
          <cell r="F70">
            <v>50.8</v>
          </cell>
          <cell r="G70">
            <v>52.9</v>
          </cell>
          <cell r="H70">
            <v>49.7</v>
          </cell>
          <cell r="I70">
            <v>52.8</v>
          </cell>
          <cell r="J70">
            <v>51.5</v>
          </cell>
          <cell r="K70">
            <v>53.4</v>
          </cell>
          <cell r="L70">
            <v>51.3</v>
          </cell>
          <cell r="M70">
            <v>50</v>
          </cell>
          <cell r="N70">
            <v>50.4</v>
          </cell>
          <cell r="O70">
            <v>51.2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13.032</v>
          </cell>
          <cell r="D72">
            <v>32.6</v>
          </cell>
          <cell r="E72">
            <v>34.9</v>
          </cell>
          <cell r="F72">
            <v>32.9</v>
          </cell>
          <cell r="G72">
            <v>35.200000000000003</v>
          </cell>
          <cell r="H72">
            <v>32.9</v>
          </cell>
          <cell r="I72">
            <v>36.5</v>
          </cell>
          <cell r="J72">
            <v>31.6</v>
          </cell>
          <cell r="K72">
            <v>35.299999999999997</v>
          </cell>
          <cell r="L72">
            <v>32.5</v>
          </cell>
          <cell r="M72">
            <v>35</v>
          </cell>
          <cell r="N72">
            <v>31.9</v>
          </cell>
          <cell r="O72">
            <v>35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13.037000000000001</v>
          </cell>
          <cell r="D74">
            <v>33.4</v>
          </cell>
          <cell r="E74">
            <v>37.299999999999997</v>
          </cell>
          <cell r="F74">
            <v>33.200000000000003</v>
          </cell>
          <cell r="G74">
            <v>38.4</v>
          </cell>
          <cell r="H74">
            <v>33.4</v>
          </cell>
          <cell r="I74">
            <v>36.200000000000003</v>
          </cell>
          <cell r="J74">
            <v>34.299999999999997</v>
          </cell>
          <cell r="K74">
            <v>35.200000000000003</v>
          </cell>
          <cell r="L74">
            <v>32.200000000000003</v>
          </cell>
          <cell r="M74">
            <v>33.799999999999997</v>
          </cell>
          <cell r="N74">
            <v>32.1</v>
          </cell>
          <cell r="O74">
            <v>32.299999999999997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13.042</v>
          </cell>
          <cell r="D76">
            <v>35.4</v>
          </cell>
          <cell r="E76">
            <v>34.799999999999997</v>
          </cell>
          <cell r="F76">
            <v>33</v>
          </cell>
          <cell r="G76">
            <v>34.299999999999997</v>
          </cell>
          <cell r="H76">
            <v>32.299999999999997</v>
          </cell>
          <cell r="I76">
            <v>36.1</v>
          </cell>
          <cell r="J76">
            <v>33</v>
          </cell>
          <cell r="K76">
            <v>36.6</v>
          </cell>
          <cell r="L76">
            <v>33.4</v>
          </cell>
          <cell r="M76">
            <v>36</v>
          </cell>
          <cell r="N76">
            <v>33.299999999999997</v>
          </cell>
          <cell r="O76">
            <v>32.6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13.055</v>
          </cell>
          <cell r="D78">
            <v>33.799999999999997</v>
          </cell>
          <cell r="E78">
            <v>35.1</v>
          </cell>
          <cell r="F78">
            <v>31.5</v>
          </cell>
          <cell r="G78">
            <v>34.200000000000003</v>
          </cell>
          <cell r="H78">
            <v>31.7</v>
          </cell>
          <cell r="I78">
            <v>35.1</v>
          </cell>
          <cell r="J78">
            <v>32.5</v>
          </cell>
          <cell r="K78">
            <v>35</v>
          </cell>
          <cell r="L78">
            <v>32.200000000000003</v>
          </cell>
          <cell r="M78">
            <v>34.6</v>
          </cell>
          <cell r="N78">
            <v>31.7</v>
          </cell>
          <cell r="O78">
            <v>31.4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13.064</v>
          </cell>
          <cell r="D80">
            <v>56.1</v>
          </cell>
          <cell r="E80">
            <v>56.3</v>
          </cell>
          <cell r="F80">
            <v>53.3</v>
          </cell>
          <cell r="G80">
            <v>56.3</v>
          </cell>
          <cell r="H80">
            <v>52.5</v>
          </cell>
          <cell r="I80">
            <v>55.7</v>
          </cell>
          <cell r="J80">
            <v>52.8</v>
          </cell>
          <cell r="K80">
            <v>55.3</v>
          </cell>
          <cell r="L80">
            <v>53</v>
          </cell>
          <cell r="M80">
            <v>55.8</v>
          </cell>
          <cell r="N80">
            <v>53.6</v>
          </cell>
          <cell r="O80">
            <v>54.8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13.071</v>
          </cell>
          <cell r="D82">
            <v>33.700000000000003</v>
          </cell>
          <cell r="E82">
            <v>34.6</v>
          </cell>
          <cell r="F82">
            <v>32.1</v>
          </cell>
          <cell r="G82">
            <v>35.6</v>
          </cell>
          <cell r="H82">
            <v>32.1</v>
          </cell>
          <cell r="I82">
            <v>36.6</v>
          </cell>
          <cell r="J82">
            <v>31.2</v>
          </cell>
          <cell r="K82">
            <v>32.4</v>
          </cell>
          <cell r="L82">
            <v>30.7</v>
          </cell>
          <cell r="M82">
            <v>33.200000000000003</v>
          </cell>
          <cell r="N82">
            <v>30.7</v>
          </cell>
          <cell r="O82">
            <v>35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13.08</v>
          </cell>
          <cell r="D84">
            <v>34.299999999999997</v>
          </cell>
          <cell r="E84">
            <v>39.200000000000003</v>
          </cell>
          <cell r="F84">
            <v>32.5</v>
          </cell>
          <cell r="G84">
            <v>39.4</v>
          </cell>
          <cell r="H84">
            <v>32.1</v>
          </cell>
          <cell r="I84">
            <v>35.200000000000003</v>
          </cell>
          <cell r="J84">
            <v>31.4</v>
          </cell>
          <cell r="K84">
            <v>36.200000000000003</v>
          </cell>
          <cell r="L84">
            <v>32.6</v>
          </cell>
          <cell r="M84">
            <v>36.299999999999997</v>
          </cell>
          <cell r="N84">
            <v>32</v>
          </cell>
          <cell r="O84">
            <v>34.5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13.089</v>
          </cell>
          <cell r="D86">
            <v>34.200000000000003</v>
          </cell>
          <cell r="E86">
            <v>35.6</v>
          </cell>
          <cell r="F86">
            <v>32</v>
          </cell>
          <cell r="G86">
            <v>35.1</v>
          </cell>
          <cell r="H86">
            <v>31.8</v>
          </cell>
          <cell r="I86">
            <v>35.5</v>
          </cell>
          <cell r="J86">
            <v>31.9</v>
          </cell>
          <cell r="K86">
            <v>34.9</v>
          </cell>
          <cell r="L86">
            <v>32</v>
          </cell>
          <cell r="M86">
            <v>36.299999999999997</v>
          </cell>
          <cell r="N86">
            <v>31.5</v>
          </cell>
          <cell r="O86">
            <v>37.1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13.097</v>
          </cell>
          <cell r="D88">
            <v>33.6</v>
          </cell>
          <cell r="E88">
            <v>35.700000000000003</v>
          </cell>
          <cell r="F88">
            <v>31.6</v>
          </cell>
          <cell r="G88">
            <v>33.5</v>
          </cell>
          <cell r="H88">
            <v>32.9</v>
          </cell>
          <cell r="I88">
            <v>30</v>
          </cell>
          <cell r="J88">
            <v>32.700000000000003</v>
          </cell>
          <cell r="K88">
            <v>30.7</v>
          </cell>
          <cell r="L88">
            <v>32.200000000000003</v>
          </cell>
          <cell r="M88">
            <v>32.4</v>
          </cell>
          <cell r="N88">
            <v>33.9</v>
          </cell>
          <cell r="O88">
            <v>31.3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13.105</v>
          </cell>
          <cell r="D90">
            <v>33.9</v>
          </cell>
          <cell r="E90">
            <v>36.6</v>
          </cell>
          <cell r="F90">
            <v>32</v>
          </cell>
          <cell r="G90">
            <v>35.799999999999997</v>
          </cell>
          <cell r="H90">
            <v>31.4</v>
          </cell>
          <cell r="I90">
            <v>34.9</v>
          </cell>
          <cell r="J90">
            <v>31.4</v>
          </cell>
          <cell r="K90">
            <v>33.299999999999997</v>
          </cell>
          <cell r="L90">
            <v>31.2</v>
          </cell>
          <cell r="M90">
            <v>32.799999999999997</v>
          </cell>
          <cell r="N90">
            <v>31.7</v>
          </cell>
          <cell r="O90">
            <v>33.5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13.114000000000001</v>
          </cell>
          <cell r="D92">
            <v>54</v>
          </cell>
          <cell r="E92">
            <v>54.8</v>
          </cell>
          <cell r="F92">
            <v>52.8</v>
          </cell>
          <cell r="G92">
            <v>54.4</v>
          </cell>
          <cell r="H92">
            <v>52.3</v>
          </cell>
          <cell r="I92">
            <v>55.2</v>
          </cell>
          <cell r="J92">
            <v>52.6</v>
          </cell>
          <cell r="K92">
            <v>55.6</v>
          </cell>
          <cell r="L92">
            <v>52.8</v>
          </cell>
          <cell r="M92">
            <v>55.6</v>
          </cell>
          <cell r="N92">
            <v>51.7</v>
          </cell>
          <cell r="O92">
            <v>55.4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148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37.5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'IA147.03R'</v>
          </cell>
        </row>
        <row r="14">
          <cell r="A14">
            <v>108</v>
          </cell>
          <cell r="B14">
            <v>1</v>
          </cell>
          <cell r="C14">
            <v>12.959</v>
          </cell>
          <cell r="D14">
            <v>56.4</v>
          </cell>
          <cell r="E14">
            <v>56.7</v>
          </cell>
          <cell r="F14">
            <v>57.1</v>
          </cell>
          <cell r="G14">
            <v>58.5</v>
          </cell>
          <cell r="H14">
            <v>58.3</v>
          </cell>
          <cell r="I14">
            <v>57.4</v>
          </cell>
          <cell r="J14">
            <v>58.9</v>
          </cell>
          <cell r="K14">
            <v>59</v>
          </cell>
          <cell r="L14">
            <v>58.8</v>
          </cell>
          <cell r="M14">
            <v>58.2</v>
          </cell>
          <cell r="N14">
            <v>58.2</v>
          </cell>
          <cell r="O14">
            <v>56.3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12.968</v>
          </cell>
          <cell r="D16">
            <v>55.8</v>
          </cell>
          <cell r="E16">
            <v>58.9</v>
          </cell>
          <cell r="F16">
            <v>61.1</v>
          </cell>
          <cell r="G16">
            <v>57.2</v>
          </cell>
          <cell r="H16">
            <v>58.2</v>
          </cell>
          <cell r="I16">
            <v>57</v>
          </cell>
          <cell r="J16">
            <v>61.1</v>
          </cell>
          <cell r="K16">
            <v>57.2</v>
          </cell>
          <cell r="L16">
            <v>60.1</v>
          </cell>
          <cell r="M16">
            <v>57.3</v>
          </cell>
          <cell r="N16">
            <v>60.9</v>
          </cell>
          <cell r="O16">
            <v>57.6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12.977</v>
          </cell>
          <cell r="D18">
            <v>56.2</v>
          </cell>
          <cell r="E18">
            <v>56.1</v>
          </cell>
          <cell r="F18">
            <v>58.9</v>
          </cell>
          <cell r="G18">
            <v>56.9</v>
          </cell>
          <cell r="H18">
            <v>60</v>
          </cell>
          <cell r="I18">
            <v>57.9</v>
          </cell>
          <cell r="J18">
            <v>59</v>
          </cell>
          <cell r="K18">
            <v>57.2</v>
          </cell>
          <cell r="L18">
            <v>58.1</v>
          </cell>
          <cell r="M18">
            <v>58.1</v>
          </cell>
          <cell r="N18">
            <v>57.6</v>
          </cell>
          <cell r="O18">
            <v>57.6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12.984</v>
          </cell>
          <cell r="D20">
            <v>50</v>
          </cell>
          <cell r="E20">
            <v>50.8</v>
          </cell>
          <cell r="F20">
            <v>52.8</v>
          </cell>
          <cell r="G20">
            <v>51.7</v>
          </cell>
          <cell r="H20">
            <v>50.3</v>
          </cell>
          <cell r="I20">
            <v>52.4</v>
          </cell>
          <cell r="J20">
            <v>51.6</v>
          </cell>
          <cell r="K20">
            <v>52.2</v>
          </cell>
          <cell r="L20">
            <v>51.9</v>
          </cell>
          <cell r="M20">
            <v>53.3</v>
          </cell>
          <cell r="N20">
            <v>52.8</v>
          </cell>
          <cell r="O20">
            <v>52.9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12.992000000000001</v>
          </cell>
          <cell r="D22">
            <v>57.4</v>
          </cell>
          <cell r="E22">
            <v>56.7</v>
          </cell>
          <cell r="F22">
            <v>57.5</v>
          </cell>
          <cell r="G22">
            <v>55.5</v>
          </cell>
          <cell r="H22">
            <v>56.9</v>
          </cell>
          <cell r="I22">
            <v>57.9</v>
          </cell>
          <cell r="J22">
            <v>56.1</v>
          </cell>
          <cell r="K22">
            <v>57.2</v>
          </cell>
          <cell r="L22">
            <v>55.7</v>
          </cell>
          <cell r="M22">
            <v>56.1</v>
          </cell>
          <cell r="N22">
            <v>55.5</v>
          </cell>
          <cell r="O22">
            <v>58.2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13.000999999999999</v>
          </cell>
          <cell r="D24">
            <v>55.9</v>
          </cell>
          <cell r="E24">
            <v>56.8</v>
          </cell>
          <cell r="F24">
            <v>57.9</v>
          </cell>
          <cell r="G24">
            <v>59</v>
          </cell>
          <cell r="H24">
            <v>56.2</v>
          </cell>
          <cell r="I24">
            <v>57.1</v>
          </cell>
          <cell r="J24">
            <v>56.9</v>
          </cell>
          <cell r="K24">
            <v>58.7</v>
          </cell>
          <cell r="L24">
            <v>56.3</v>
          </cell>
          <cell r="M24">
            <v>56.9</v>
          </cell>
          <cell r="N24">
            <v>58.1</v>
          </cell>
          <cell r="O24">
            <v>55.7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13.009</v>
          </cell>
          <cell r="D26">
            <v>57.6</v>
          </cell>
          <cell r="E26">
            <v>58.1</v>
          </cell>
          <cell r="F26">
            <v>59.1</v>
          </cell>
          <cell r="G26">
            <v>58.9</v>
          </cell>
          <cell r="H26">
            <v>59.3</v>
          </cell>
          <cell r="I26">
            <v>58.4</v>
          </cell>
          <cell r="J26">
            <v>59.2</v>
          </cell>
          <cell r="K26">
            <v>58.4</v>
          </cell>
          <cell r="L26">
            <v>58</v>
          </cell>
          <cell r="M26">
            <v>57.9</v>
          </cell>
          <cell r="N26">
            <v>58.4</v>
          </cell>
          <cell r="O26">
            <v>56.2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13.016999999999999</v>
          </cell>
          <cell r="D28">
            <v>58.2</v>
          </cell>
          <cell r="E28">
            <v>59.7</v>
          </cell>
          <cell r="F28">
            <v>59.3</v>
          </cell>
          <cell r="G28">
            <v>59</v>
          </cell>
          <cell r="H28">
            <v>59.8</v>
          </cell>
          <cell r="I28">
            <v>58.2</v>
          </cell>
          <cell r="J28">
            <v>59.9</v>
          </cell>
          <cell r="K28">
            <v>57.9</v>
          </cell>
          <cell r="L28">
            <v>60.7</v>
          </cell>
          <cell r="M28">
            <v>58.8</v>
          </cell>
          <cell r="N28">
            <v>59.5</v>
          </cell>
          <cell r="O28">
            <v>58.8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13.03</v>
          </cell>
          <cell r="D30">
            <v>53.8</v>
          </cell>
          <cell r="E30">
            <v>54</v>
          </cell>
          <cell r="F30">
            <v>54.7</v>
          </cell>
          <cell r="G30">
            <v>53.1</v>
          </cell>
          <cell r="H30">
            <v>54.3</v>
          </cell>
          <cell r="I30">
            <v>54.9</v>
          </cell>
          <cell r="J30">
            <v>54.6</v>
          </cell>
          <cell r="K30">
            <v>55</v>
          </cell>
          <cell r="L30">
            <v>53.7</v>
          </cell>
          <cell r="M30">
            <v>51.7</v>
          </cell>
          <cell r="N30">
            <v>52.2</v>
          </cell>
          <cell r="O30">
            <v>53.6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13.035</v>
          </cell>
          <cell r="D32">
            <v>58.7</v>
          </cell>
          <cell r="E32">
            <v>58.5</v>
          </cell>
          <cell r="F32">
            <v>60.2</v>
          </cell>
          <cell r="G32">
            <v>60</v>
          </cell>
          <cell r="H32">
            <v>59.6</v>
          </cell>
          <cell r="I32">
            <v>59.4</v>
          </cell>
          <cell r="J32">
            <v>58.9</v>
          </cell>
          <cell r="K32">
            <v>59.1</v>
          </cell>
          <cell r="L32">
            <v>58.4</v>
          </cell>
          <cell r="M32">
            <v>58.9</v>
          </cell>
          <cell r="N32">
            <v>58.4</v>
          </cell>
          <cell r="O32">
            <v>57.2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13.04</v>
          </cell>
          <cell r="D34">
            <v>57.5</v>
          </cell>
          <cell r="E34">
            <v>58</v>
          </cell>
          <cell r="F34">
            <v>60.1</v>
          </cell>
          <cell r="G34">
            <v>59.2</v>
          </cell>
          <cell r="H34">
            <v>59.3</v>
          </cell>
          <cell r="I34">
            <v>58.6</v>
          </cell>
          <cell r="J34">
            <v>59.8</v>
          </cell>
          <cell r="K34">
            <v>59.5</v>
          </cell>
          <cell r="L34">
            <v>60.2</v>
          </cell>
          <cell r="M34">
            <v>59.1</v>
          </cell>
          <cell r="N34">
            <v>58.2</v>
          </cell>
          <cell r="O34">
            <v>58.3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13.044</v>
          </cell>
          <cell r="D36">
            <v>54.9</v>
          </cell>
          <cell r="E36">
            <v>52.1</v>
          </cell>
          <cell r="F36">
            <v>53.9</v>
          </cell>
          <cell r="G36">
            <v>53.6</v>
          </cell>
          <cell r="H36">
            <v>55.1</v>
          </cell>
          <cell r="I36">
            <v>54.7</v>
          </cell>
          <cell r="J36">
            <v>55</v>
          </cell>
          <cell r="K36">
            <v>54.6</v>
          </cell>
          <cell r="L36">
            <v>52.8</v>
          </cell>
          <cell r="M36">
            <v>53.2</v>
          </cell>
          <cell r="N36">
            <v>54.3</v>
          </cell>
          <cell r="O36">
            <v>54.3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13.048999999999999</v>
          </cell>
          <cell r="D38">
            <v>59.7</v>
          </cell>
          <cell r="E38">
            <v>56.7</v>
          </cell>
          <cell r="F38">
            <v>61.5</v>
          </cell>
          <cell r="G38">
            <v>58.6</v>
          </cell>
          <cell r="H38">
            <v>60.7</v>
          </cell>
          <cell r="I38">
            <v>56.7</v>
          </cell>
          <cell r="J38">
            <v>60.6</v>
          </cell>
          <cell r="K38">
            <v>57.1</v>
          </cell>
          <cell r="L38">
            <v>61.3</v>
          </cell>
          <cell r="M38">
            <v>58.8</v>
          </cell>
          <cell r="N38">
            <v>59.3</v>
          </cell>
          <cell r="O38">
            <v>58.6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13.054</v>
          </cell>
          <cell r="D40">
            <v>60.1</v>
          </cell>
          <cell r="E40">
            <v>57.4</v>
          </cell>
          <cell r="F40">
            <v>59.3</v>
          </cell>
          <cell r="G40">
            <v>58.5</v>
          </cell>
          <cell r="H40">
            <v>59.3</v>
          </cell>
          <cell r="I40">
            <v>58</v>
          </cell>
          <cell r="J40">
            <v>59.5</v>
          </cell>
          <cell r="K40">
            <v>58.9</v>
          </cell>
          <cell r="L40">
            <v>59.9</v>
          </cell>
          <cell r="M40">
            <v>59</v>
          </cell>
          <cell r="N40">
            <v>60</v>
          </cell>
          <cell r="O40">
            <v>60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13.058</v>
          </cell>
          <cell r="D42">
            <v>59.2</v>
          </cell>
          <cell r="E42">
            <v>56.5</v>
          </cell>
          <cell r="F42">
            <v>58.7</v>
          </cell>
          <cell r="G42">
            <v>59.9</v>
          </cell>
          <cell r="H42">
            <v>59.2</v>
          </cell>
          <cell r="I42">
            <v>59</v>
          </cell>
          <cell r="J42">
            <v>59.5</v>
          </cell>
          <cell r="K42">
            <v>58.1</v>
          </cell>
          <cell r="L42">
            <v>58.7</v>
          </cell>
          <cell r="M42">
            <v>57.5</v>
          </cell>
          <cell r="N42">
            <v>58.2</v>
          </cell>
          <cell r="O42">
            <v>57.7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13.066000000000001</v>
          </cell>
          <cell r="D44">
            <v>60.8</v>
          </cell>
          <cell r="E44">
            <v>60.3</v>
          </cell>
          <cell r="F44">
            <v>59.1</v>
          </cell>
          <cell r="G44">
            <v>59.3</v>
          </cell>
          <cell r="H44">
            <v>59.7</v>
          </cell>
          <cell r="I44">
            <v>58.5</v>
          </cell>
          <cell r="J44">
            <v>60.4</v>
          </cell>
          <cell r="K44">
            <v>59.9</v>
          </cell>
          <cell r="L44">
            <v>59.5</v>
          </cell>
          <cell r="M44">
            <v>59</v>
          </cell>
          <cell r="N44">
            <v>61.6</v>
          </cell>
          <cell r="O44">
            <v>60.8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13.076000000000001</v>
          </cell>
          <cell r="D46">
            <v>55</v>
          </cell>
          <cell r="E46">
            <v>57.1</v>
          </cell>
          <cell r="F46">
            <v>57.9</v>
          </cell>
          <cell r="G46">
            <v>57.9</v>
          </cell>
          <cell r="H46">
            <v>59.4</v>
          </cell>
          <cell r="I46">
            <v>56.9</v>
          </cell>
          <cell r="J46">
            <v>59.3</v>
          </cell>
          <cell r="K46">
            <v>56.7</v>
          </cell>
          <cell r="L46">
            <v>58.6</v>
          </cell>
          <cell r="M46">
            <v>59.6</v>
          </cell>
          <cell r="N46">
            <v>59.3</v>
          </cell>
          <cell r="O46">
            <v>57.8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13.083</v>
          </cell>
          <cell r="D48">
            <v>64.900000000000006</v>
          </cell>
          <cell r="E48">
            <v>64.900000000000006</v>
          </cell>
          <cell r="F48">
            <v>65.2</v>
          </cell>
          <cell r="G48">
            <v>65.3</v>
          </cell>
          <cell r="H48">
            <v>64.7</v>
          </cell>
          <cell r="I48">
            <v>65.099999999999994</v>
          </cell>
          <cell r="J48">
            <v>65.099999999999994</v>
          </cell>
          <cell r="K48">
            <v>65.5</v>
          </cell>
          <cell r="L48">
            <v>65.5</v>
          </cell>
          <cell r="M48">
            <v>65.599999999999994</v>
          </cell>
          <cell r="N48">
            <v>65.2</v>
          </cell>
          <cell r="O48">
            <v>65</v>
          </cell>
        </row>
        <row r="50">
          <cell r="A50">
            <v>906</v>
          </cell>
          <cell r="B50">
            <v>1</v>
          </cell>
          <cell r="C50">
            <v>13.097</v>
          </cell>
          <cell r="D50">
            <v>55.9</v>
          </cell>
          <cell r="E50">
            <v>58.3</v>
          </cell>
          <cell r="F50">
            <v>58</v>
          </cell>
          <cell r="G50">
            <v>58</v>
          </cell>
          <cell r="H50">
            <v>57.6</v>
          </cell>
          <cell r="I50">
            <v>59.7</v>
          </cell>
          <cell r="J50">
            <v>60.2</v>
          </cell>
          <cell r="K50">
            <v>60</v>
          </cell>
          <cell r="L50">
            <v>58</v>
          </cell>
          <cell r="M50">
            <v>58.3</v>
          </cell>
          <cell r="N50">
            <v>57</v>
          </cell>
          <cell r="O50">
            <v>57.1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13.103</v>
          </cell>
          <cell r="D52">
            <v>36.299999999999997</v>
          </cell>
          <cell r="E52">
            <v>36.299999999999997</v>
          </cell>
          <cell r="F52">
            <v>35.700000000000003</v>
          </cell>
          <cell r="G52">
            <v>36.5</v>
          </cell>
          <cell r="H52">
            <v>36.9</v>
          </cell>
          <cell r="I52">
            <v>36.4</v>
          </cell>
          <cell r="J52">
            <v>36.700000000000003</v>
          </cell>
          <cell r="K52">
            <v>37.200000000000003</v>
          </cell>
          <cell r="L52">
            <v>37</v>
          </cell>
          <cell r="M52">
            <v>37.4</v>
          </cell>
          <cell r="N52">
            <v>36.6</v>
          </cell>
          <cell r="O52">
            <v>36.700000000000003</v>
          </cell>
        </row>
        <row r="54">
          <cell r="A54">
            <v>904</v>
          </cell>
          <cell r="B54">
            <v>1</v>
          </cell>
          <cell r="C54">
            <v>13.11</v>
          </cell>
          <cell r="D54">
            <v>56.7</v>
          </cell>
          <cell r="E54">
            <v>56.6</v>
          </cell>
          <cell r="F54">
            <v>55.8</v>
          </cell>
          <cell r="G54">
            <v>57</v>
          </cell>
          <cell r="H54">
            <v>56.2</v>
          </cell>
          <cell r="I54">
            <v>58.6</v>
          </cell>
          <cell r="J54">
            <v>59</v>
          </cell>
          <cell r="K54">
            <v>57.2</v>
          </cell>
          <cell r="L54">
            <v>55.6</v>
          </cell>
          <cell r="M54">
            <v>58.6</v>
          </cell>
          <cell r="N54">
            <v>58.8</v>
          </cell>
          <cell r="O54">
            <v>59.1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13.117000000000001</v>
          </cell>
          <cell r="D56">
            <v>65.3</v>
          </cell>
          <cell r="E56">
            <v>65.400000000000006</v>
          </cell>
          <cell r="F56">
            <v>65.599999999999994</v>
          </cell>
          <cell r="G56">
            <v>65.5</v>
          </cell>
          <cell r="H56">
            <v>65.2</v>
          </cell>
          <cell r="I56">
            <v>64.400000000000006</v>
          </cell>
          <cell r="J56">
            <v>65.400000000000006</v>
          </cell>
          <cell r="K56">
            <v>65</v>
          </cell>
          <cell r="L56">
            <v>65.2</v>
          </cell>
          <cell r="M56">
            <v>65.2</v>
          </cell>
          <cell r="N56">
            <v>65.400000000000006</v>
          </cell>
          <cell r="O56">
            <v>65.3</v>
          </cell>
        </row>
        <row r="58">
          <cell r="A58">
            <v>902</v>
          </cell>
          <cell r="B58">
            <v>1</v>
          </cell>
          <cell r="C58">
            <v>13.122999999999999</v>
          </cell>
          <cell r="D58">
            <v>56.5</v>
          </cell>
          <cell r="E58">
            <v>57.8</v>
          </cell>
          <cell r="F58">
            <v>58.3</v>
          </cell>
          <cell r="G58">
            <v>56</v>
          </cell>
          <cell r="H58">
            <v>58.2</v>
          </cell>
          <cell r="I58">
            <v>58.8</v>
          </cell>
          <cell r="J58">
            <v>58.2</v>
          </cell>
          <cell r="K58">
            <v>57.4</v>
          </cell>
          <cell r="L58">
            <v>58.2</v>
          </cell>
          <cell r="M58">
            <v>57.1</v>
          </cell>
          <cell r="N58">
            <v>57.8</v>
          </cell>
          <cell r="O58">
            <v>57.4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13.131</v>
          </cell>
          <cell r="D60">
            <v>36.299999999999997</v>
          </cell>
          <cell r="E60">
            <v>36.1</v>
          </cell>
          <cell r="F60">
            <v>37</v>
          </cell>
          <cell r="G60">
            <v>37</v>
          </cell>
          <cell r="H60">
            <v>36.9</v>
          </cell>
          <cell r="I60">
            <v>36.9</v>
          </cell>
          <cell r="J60">
            <v>36.799999999999997</v>
          </cell>
          <cell r="K60">
            <v>34.6</v>
          </cell>
          <cell r="L60">
            <v>34.9</v>
          </cell>
          <cell r="M60">
            <v>34.700000000000003</v>
          </cell>
          <cell r="N60">
            <v>36</v>
          </cell>
          <cell r="O60">
            <v>35.9</v>
          </cell>
        </row>
        <row r="62">
          <cell r="A62">
            <v>301</v>
          </cell>
          <cell r="B62">
            <v>1</v>
          </cell>
          <cell r="C62">
            <v>13.141999999999999</v>
          </cell>
          <cell r="D62">
            <v>57.2</v>
          </cell>
          <cell r="E62">
            <v>56.9</v>
          </cell>
          <cell r="F62">
            <v>57.8</v>
          </cell>
          <cell r="G62">
            <v>57.5</v>
          </cell>
          <cell r="H62">
            <v>56.8</v>
          </cell>
          <cell r="I62">
            <v>56.5</v>
          </cell>
          <cell r="J62">
            <v>57.2</v>
          </cell>
          <cell r="K62">
            <v>58.4</v>
          </cell>
          <cell r="L62">
            <v>58</v>
          </cell>
          <cell r="M62">
            <v>57.6</v>
          </cell>
          <cell r="N62">
            <v>57.7</v>
          </cell>
          <cell r="O62">
            <v>56.9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13.147</v>
          </cell>
          <cell r="D64">
            <v>57.9</v>
          </cell>
          <cell r="E64">
            <v>57.7</v>
          </cell>
          <cell r="F64">
            <v>57.9</v>
          </cell>
          <cell r="G64">
            <v>58.1</v>
          </cell>
          <cell r="H64">
            <v>57</v>
          </cell>
          <cell r="I64">
            <v>56.7</v>
          </cell>
          <cell r="J64">
            <v>56.8</v>
          </cell>
          <cell r="K64">
            <v>56.9</v>
          </cell>
          <cell r="L64">
            <v>56.5</v>
          </cell>
          <cell r="M64">
            <v>57.6</v>
          </cell>
          <cell r="N64">
            <v>57.3</v>
          </cell>
          <cell r="O64">
            <v>56.2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13.151999999999999</v>
          </cell>
          <cell r="D66">
            <v>55.3</v>
          </cell>
          <cell r="E66">
            <v>56.1</v>
          </cell>
          <cell r="F66">
            <v>59.1</v>
          </cell>
          <cell r="G66">
            <v>56.4</v>
          </cell>
          <cell r="H66">
            <v>58.4</v>
          </cell>
          <cell r="I66">
            <v>55.6</v>
          </cell>
          <cell r="J66">
            <v>58.8</v>
          </cell>
          <cell r="K66">
            <v>57.9</v>
          </cell>
          <cell r="L66">
            <v>59.6</v>
          </cell>
          <cell r="M66">
            <v>55.5</v>
          </cell>
          <cell r="N66">
            <v>58.4</v>
          </cell>
          <cell r="O66">
            <v>57.2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13.157</v>
          </cell>
          <cell r="D68">
            <v>59.8</v>
          </cell>
          <cell r="E68">
            <v>57.4</v>
          </cell>
          <cell r="F68">
            <v>58.3</v>
          </cell>
          <cell r="G68">
            <v>57</v>
          </cell>
          <cell r="H68">
            <v>60.1</v>
          </cell>
          <cell r="I68">
            <v>58.2</v>
          </cell>
          <cell r="J68">
            <v>59.5</v>
          </cell>
          <cell r="K68">
            <v>56.5</v>
          </cell>
          <cell r="L68">
            <v>59.9</v>
          </cell>
          <cell r="M68">
            <v>56.7</v>
          </cell>
          <cell r="N68">
            <v>59.3</v>
          </cell>
          <cell r="O68">
            <v>57.4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13.162000000000001</v>
          </cell>
          <cell r="D70">
            <v>51.8</v>
          </cell>
          <cell r="E70">
            <v>50.2</v>
          </cell>
          <cell r="F70">
            <v>53</v>
          </cell>
          <cell r="G70">
            <v>52.2</v>
          </cell>
          <cell r="H70">
            <v>52</v>
          </cell>
          <cell r="I70">
            <v>53.1</v>
          </cell>
          <cell r="J70">
            <v>50.8</v>
          </cell>
          <cell r="K70">
            <v>53.3</v>
          </cell>
          <cell r="L70">
            <v>52.9</v>
          </cell>
          <cell r="M70">
            <v>52.1</v>
          </cell>
          <cell r="N70">
            <v>50.1</v>
          </cell>
          <cell r="O70">
            <v>52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13.167</v>
          </cell>
          <cell r="D72">
            <v>57.2</v>
          </cell>
          <cell r="E72">
            <v>56</v>
          </cell>
          <cell r="F72">
            <v>56.5</v>
          </cell>
          <cell r="G72">
            <v>57.6</v>
          </cell>
          <cell r="H72">
            <v>59.8</v>
          </cell>
          <cell r="I72">
            <v>57.4</v>
          </cell>
          <cell r="J72">
            <v>59.4</v>
          </cell>
          <cell r="K72">
            <v>57.6</v>
          </cell>
          <cell r="L72">
            <v>58.4</v>
          </cell>
          <cell r="M72">
            <v>57.7</v>
          </cell>
          <cell r="N72">
            <v>58.6</v>
          </cell>
          <cell r="O72">
            <v>57.7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13.170999999999999</v>
          </cell>
          <cell r="D74">
            <v>59.5</v>
          </cell>
          <cell r="E74">
            <v>56.3</v>
          </cell>
          <cell r="F74">
            <v>57.4</v>
          </cell>
          <cell r="G74">
            <v>57.6</v>
          </cell>
          <cell r="H74">
            <v>60.5</v>
          </cell>
          <cell r="I74">
            <v>57.9</v>
          </cell>
          <cell r="J74">
            <v>60.2</v>
          </cell>
          <cell r="K74">
            <v>58.2</v>
          </cell>
          <cell r="L74">
            <v>58.9</v>
          </cell>
          <cell r="M74">
            <v>58.2</v>
          </cell>
          <cell r="N74">
            <v>59.5</v>
          </cell>
          <cell r="O74">
            <v>59.3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13.176</v>
          </cell>
          <cell r="D76">
            <v>56.9</v>
          </cell>
          <cell r="E76">
            <v>57.7</v>
          </cell>
          <cell r="F76">
            <v>56</v>
          </cell>
          <cell r="G76">
            <v>58</v>
          </cell>
          <cell r="H76">
            <v>54.9</v>
          </cell>
          <cell r="I76">
            <v>57.4</v>
          </cell>
          <cell r="J76">
            <v>58.8</v>
          </cell>
          <cell r="K76">
            <v>57.9</v>
          </cell>
          <cell r="L76">
            <v>58.1</v>
          </cell>
          <cell r="M76">
            <v>57.4</v>
          </cell>
          <cell r="N76">
            <v>57.2</v>
          </cell>
          <cell r="O76">
            <v>57.2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13.189</v>
          </cell>
          <cell r="D78">
            <v>55.1</v>
          </cell>
          <cell r="E78">
            <v>57.7</v>
          </cell>
          <cell r="F78">
            <v>57.1</v>
          </cell>
          <cell r="G78">
            <v>57.7</v>
          </cell>
          <cell r="H78">
            <v>57.3</v>
          </cell>
          <cell r="I78">
            <v>57.4</v>
          </cell>
          <cell r="J78">
            <v>59.4</v>
          </cell>
          <cell r="K78">
            <v>56.7</v>
          </cell>
          <cell r="L78">
            <v>57</v>
          </cell>
          <cell r="M78">
            <v>57.8</v>
          </cell>
          <cell r="N78">
            <v>56.8</v>
          </cell>
          <cell r="O78">
            <v>55.9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13.196999999999999</v>
          </cell>
          <cell r="D80">
            <v>56.4</v>
          </cell>
          <cell r="E80">
            <v>57.7</v>
          </cell>
          <cell r="F80">
            <v>58.2</v>
          </cell>
          <cell r="G80">
            <v>58.6</v>
          </cell>
          <cell r="H80">
            <v>58.3</v>
          </cell>
          <cell r="I80">
            <v>58</v>
          </cell>
          <cell r="J80">
            <v>58.3</v>
          </cell>
          <cell r="K80">
            <v>57.4</v>
          </cell>
          <cell r="L80">
            <v>57.9</v>
          </cell>
          <cell r="M80">
            <v>57.3</v>
          </cell>
          <cell r="N80">
            <v>59</v>
          </cell>
          <cell r="O80">
            <v>58.5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13.205</v>
          </cell>
          <cell r="D82">
            <v>55</v>
          </cell>
          <cell r="E82">
            <v>56.2</v>
          </cell>
          <cell r="F82">
            <v>59</v>
          </cell>
          <cell r="G82">
            <v>58</v>
          </cell>
          <cell r="H82">
            <v>58.9</v>
          </cell>
          <cell r="I82">
            <v>56.3</v>
          </cell>
          <cell r="J82">
            <v>59.2</v>
          </cell>
          <cell r="K82">
            <v>56.4</v>
          </cell>
          <cell r="L82">
            <v>56.8</v>
          </cell>
          <cell r="M82">
            <v>55.4</v>
          </cell>
          <cell r="N82">
            <v>59.1</v>
          </cell>
          <cell r="O82">
            <v>57.8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13.214</v>
          </cell>
          <cell r="D84">
            <v>56</v>
          </cell>
          <cell r="E84">
            <v>55.8</v>
          </cell>
          <cell r="F84">
            <v>59.6</v>
          </cell>
          <cell r="G84">
            <v>57.8</v>
          </cell>
          <cell r="H84">
            <v>56.3</v>
          </cell>
          <cell r="I84">
            <v>57.5</v>
          </cell>
          <cell r="J84">
            <v>56.3</v>
          </cell>
          <cell r="K84">
            <v>56.7</v>
          </cell>
          <cell r="L84">
            <v>56.3</v>
          </cell>
          <cell r="M84">
            <v>57.3</v>
          </cell>
          <cell r="N84">
            <v>56.5</v>
          </cell>
          <cell r="O84">
            <v>56.7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13.222</v>
          </cell>
          <cell r="D86">
            <v>55.7</v>
          </cell>
          <cell r="E86">
            <v>55.8</v>
          </cell>
          <cell r="F86">
            <v>56.9</v>
          </cell>
          <cell r="G86">
            <v>58</v>
          </cell>
          <cell r="H86">
            <v>58.5</v>
          </cell>
          <cell r="I86">
            <v>57.7</v>
          </cell>
          <cell r="J86">
            <v>59.8</v>
          </cell>
          <cell r="K86">
            <v>56.9</v>
          </cell>
          <cell r="L86">
            <v>57.2</v>
          </cell>
          <cell r="M86">
            <v>55.3</v>
          </cell>
          <cell r="N86">
            <v>58.9</v>
          </cell>
          <cell r="O86">
            <v>58.9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13.231</v>
          </cell>
          <cell r="D88">
            <v>57.2</v>
          </cell>
          <cell r="E88">
            <v>56.7</v>
          </cell>
          <cell r="F88">
            <v>59.5</v>
          </cell>
          <cell r="G88">
            <v>58.4</v>
          </cell>
          <cell r="H88">
            <v>57.4</v>
          </cell>
          <cell r="I88">
            <v>57.8</v>
          </cell>
          <cell r="J88">
            <v>58.9</v>
          </cell>
          <cell r="K88">
            <v>58.4</v>
          </cell>
          <cell r="L88">
            <v>58.5</v>
          </cell>
          <cell r="M88">
            <v>57.7</v>
          </cell>
          <cell r="N88">
            <v>58.9</v>
          </cell>
          <cell r="O88">
            <v>56.9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13.239000000000001</v>
          </cell>
          <cell r="D90">
            <v>56.1</v>
          </cell>
          <cell r="E90">
            <v>58.1</v>
          </cell>
          <cell r="F90">
            <v>60.2</v>
          </cell>
          <cell r="G90">
            <v>58.7</v>
          </cell>
          <cell r="H90">
            <v>59.8</v>
          </cell>
          <cell r="I90">
            <v>57.7</v>
          </cell>
          <cell r="J90">
            <v>58.4</v>
          </cell>
          <cell r="K90">
            <v>57.3</v>
          </cell>
          <cell r="L90">
            <v>58.8</v>
          </cell>
          <cell r="M90">
            <v>56.2</v>
          </cell>
          <cell r="N90">
            <v>58.1</v>
          </cell>
          <cell r="O90">
            <v>57.4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13.255000000000001</v>
          </cell>
          <cell r="D92">
            <v>59.8</v>
          </cell>
          <cell r="E92">
            <v>59.8</v>
          </cell>
          <cell r="F92">
            <v>58.4</v>
          </cell>
          <cell r="G92">
            <v>59.9</v>
          </cell>
          <cell r="H92">
            <v>59.2</v>
          </cell>
          <cell r="I92">
            <v>60.6</v>
          </cell>
          <cell r="J92">
            <v>59.8</v>
          </cell>
          <cell r="K92">
            <v>59.9</v>
          </cell>
          <cell r="L92">
            <v>60</v>
          </cell>
          <cell r="M92">
            <v>59</v>
          </cell>
          <cell r="N92">
            <v>58.9</v>
          </cell>
          <cell r="O92">
            <v>58.6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147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40.6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'IA143.03R'</v>
          </cell>
        </row>
        <row r="14">
          <cell r="A14">
            <v>108</v>
          </cell>
          <cell r="B14">
            <v>1</v>
          </cell>
          <cell r="C14">
            <v>13.082000000000001</v>
          </cell>
          <cell r="D14">
            <v>51.8</v>
          </cell>
          <cell r="E14">
            <v>54.7</v>
          </cell>
          <cell r="F14">
            <v>55.1</v>
          </cell>
          <cell r="G14">
            <v>54.4</v>
          </cell>
          <cell r="H14">
            <v>54.8</v>
          </cell>
          <cell r="I14">
            <v>53.9</v>
          </cell>
          <cell r="J14">
            <v>54</v>
          </cell>
          <cell r="K14">
            <v>55.3</v>
          </cell>
          <cell r="L14">
            <v>53.2</v>
          </cell>
          <cell r="M14">
            <v>55.9</v>
          </cell>
          <cell r="N14">
            <v>53.3</v>
          </cell>
          <cell r="O14">
            <v>53.9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13.090999999999999</v>
          </cell>
          <cell r="D16">
            <v>52.7</v>
          </cell>
          <cell r="E16">
            <v>55.6</v>
          </cell>
          <cell r="F16">
            <v>56.1</v>
          </cell>
          <cell r="G16">
            <v>53.5</v>
          </cell>
          <cell r="H16">
            <v>54.1</v>
          </cell>
          <cell r="I16">
            <v>55.8</v>
          </cell>
          <cell r="J16">
            <v>55.2</v>
          </cell>
          <cell r="K16">
            <v>54.5</v>
          </cell>
          <cell r="L16">
            <v>54.3</v>
          </cell>
          <cell r="M16">
            <v>55.5</v>
          </cell>
          <cell r="N16">
            <v>54.7</v>
          </cell>
          <cell r="O16">
            <v>54.7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13.099</v>
          </cell>
          <cell r="D18">
            <v>54.6</v>
          </cell>
          <cell r="E18">
            <v>53.8</v>
          </cell>
          <cell r="F18">
            <v>55.6</v>
          </cell>
          <cell r="G18">
            <v>54.1</v>
          </cell>
          <cell r="H18">
            <v>54.3</v>
          </cell>
          <cell r="I18">
            <v>54.6</v>
          </cell>
          <cell r="J18">
            <v>54.3</v>
          </cell>
          <cell r="K18">
            <v>54.7</v>
          </cell>
          <cell r="L18">
            <v>54.5</v>
          </cell>
          <cell r="M18">
            <v>54.7</v>
          </cell>
          <cell r="N18">
            <v>54</v>
          </cell>
          <cell r="O18">
            <v>54.3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13.106999999999999</v>
          </cell>
          <cell r="D20">
            <v>34.5</v>
          </cell>
          <cell r="E20">
            <v>38.9</v>
          </cell>
          <cell r="F20">
            <v>35.700000000000003</v>
          </cell>
          <cell r="G20">
            <v>34.200000000000003</v>
          </cell>
          <cell r="H20">
            <v>35.200000000000003</v>
          </cell>
          <cell r="I20">
            <v>37.799999999999997</v>
          </cell>
          <cell r="J20">
            <v>37.4</v>
          </cell>
          <cell r="K20">
            <v>34.799999999999997</v>
          </cell>
          <cell r="L20">
            <v>38.799999999999997</v>
          </cell>
          <cell r="M20">
            <v>35.200000000000003</v>
          </cell>
          <cell r="N20">
            <v>38.4</v>
          </cell>
          <cell r="O20">
            <v>36.4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13.115</v>
          </cell>
          <cell r="D22">
            <v>55</v>
          </cell>
          <cell r="E22">
            <v>55.1</v>
          </cell>
          <cell r="F22">
            <v>55.1</v>
          </cell>
          <cell r="G22">
            <v>54.8</v>
          </cell>
          <cell r="H22">
            <v>56.6</v>
          </cell>
          <cell r="I22">
            <v>55.2</v>
          </cell>
          <cell r="J22">
            <v>54.9</v>
          </cell>
          <cell r="K22">
            <v>55.7</v>
          </cell>
          <cell r="L22">
            <v>56</v>
          </cell>
          <cell r="M22">
            <v>55</v>
          </cell>
          <cell r="N22">
            <v>54.1</v>
          </cell>
          <cell r="O22">
            <v>56.1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13.122999999999999</v>
          </cell>
          <cell r="D24">
            <v>54.8</v>
          </cell>
          <cell r="E24">
            <v>55.1</v>
          </cell>
          <cell r="F24">
            <v>56.1</v>
          </cell>
          <cell r="G24">
            <v>55.7</v>
          </cell>
          <cell r="H24">
            <v>55.4</v>
          </cell>
          <cell r="I24">
            <v>54.3</v>
          </cell>
          <cell r="J24">
            <v>54.5</v>
          </cell>
          <cell r="K24">
            <v>56.8</v>
          </cell>
          <cell r="L24">
            <v>54.5</v>
          </cell>
          <cell r="M24">
            <v>54.9</v>
          </cell>
          <cell r="N24">
            <v>54.3</v>
          </cell>
          <cell r="O24">
            <v>56.6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13.132</v>
          </cell>
          <cell r="D26">
            <v>55.4</v>
          </cell>
          <cell r="E26">
            <v>56</v>
          </cell>
          <cell r="F26">
            <v>56.9</v>
          </cell>
          <cell r="G26">
            <v>55.6</v>
          </cell>
          <cell r="H26">
            <v>56.4</v>
          </cell>
          <cell r="I26">
            <v>55.1</v>
          </cell>
          <cell r="J26">
            <v>56.3</v>
          </cell>
          <cell r="K26">
            <v>55.3</v>
          </cell>
          <cell r="L26">
            <v>55.7</v>
          </cell>
          <cell r="M26">
            <v>54.2</v>
          </cell>
          <cell r="N26">
            <v>56.2</v>
          </cell>
          <cell r="O26">
            <v>54.5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13.14</v>
          </cell>
          <cell r="D28">
            <v>54.5</v>
          </cell>
          <cell r="E28">
            <v>55.4</v>
          </cell>
          <cell r="F28">
            <v>55.3</v>
          </cell>
          <cell r="G28">
            <v>54.3</v>
          </cell>
          <cell r="H28">
            <v>55.2</v>
          </cell>
          <cell r="I28">
            <v>54.4</v>
          </cell>
          <cell r="J28">
            <v>56.1</v>
          </cell>
          <cell r="K28">
            <v>54.6</v>
          </cell>
          <cell r="L28">
            <v>55.3</v>
          </cell>
          <cell r="M28">
            <v>54.1</v>
          </cell>
          <cell r="N28">
            <v>55.4</v>
          </cell>
          <cell r="O28">
            <v>55.1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13.154999999999999</v>
          </cell>
          <cell r="D30">
            <v>34.6</v>
          </cell>
          <cell r="E30">
            <v>37.799999999999997</v>
          </cell>
          <cell r="F30">
            <v>35.200000000000003</v>
          </cell>
          <cell r="G30">
            <v>35.6</v>
          </cell>
          <cell r="H30">
            <v>39.299999999999997</v>
          </cell>
          <cell r="I30">
            <v>36.4</v>
          </cell>
          <cell r="J30">
            <v>37.200000000000003</v>
          </cell>
          <cell r="K30">
            <v>38</v>
          </cell>
          <cell r="L30">
            <v>36.799999999999997</v>
          </cell>
          <cell r="M30">
            <v>37.5</v>
          </cell>
          <cell r="N30">
            <v>36.200000000000003</v>
          </cell>
          <cell r="O30">
            <v>36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13.161</v>
          </cell>
          <cell r="D32">
            <v>53.6</v>
          </cell>
          <cell r="E32">
            <v>54.3</v>
          </cell>
          <cell r="F32">
            <v>56.1</v>
          </cell>
          <cell r="G32">
            <v>54.8</v>
          </cell>
          <cell r="H32">
            <v>56.6</v>
          </cell>
          <cell r="I32">
            <v>53.9</v>
          </cell>
          <cell r="J32">
            <v>56.2</v>
          </cell>
          <cell r="K32">
            <v>55.2</v>
          </cell>
          <cell r="L32">
            <v>55.9</v>
          </cell>
          <cell r="M32">
            <v>54.3</v>
          </cell>
          <cell r="N32">
            <v>55.4</v>
          </cell>
          <cell r="O32">
            <v>54.9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13.167</v>
          </cell>
          <cell r="D34">
            <v>53.8</v>
          </cell>
          <cell r="E34">
            <v>56.1</v>
          </cell>
          <cell r="F34">
            <v>55.4</v>
          </cell>
          <cell r="G34">
            <v>55.3</v>
          </cell>
          <cell r="H34">
            <v>55.6</v>
          </cell>
          <cell r="I34">
            <v>54.9</v>
          </cell>
          <cell r="J34">
            <v>55.5</v>
          </cell>
          <cell r="K34">
            <v>57.1</v>
          </cell>
          <cell r="L34">
            <v>54.9</v>
          </cell>
          <cell r="M34">
            <v>54.6</v>
          </cell>
          <cell r="N34">
            <v>56.8</v>
          </cell>
          <cell r="O34">
            <v>55.3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13.173</v>
          </cell>
          <cell r="D36">
            <v>35</v>
          </cell>
          <cell r="E36">
            <v>33.700000000000003</v>
          </cell>
          <cell r="F36">
            <v>36.4</v>
          </cell>
          <cell r="G36">
            <v>37.299999999999997</v>
          </cell>
          <cell r="H36">
            <v>36.299999999999997</v>
          </cell>
          <cell r="I36">
            <v>42.3</v>
          </cell>
          <cell r="J36">
            <v>37</v>
          </cell>
          <cell r="K36">
            <v>34.200000000000003</v>
          </cell>
          <cell r="L36">
            <v>38.6</v>
          </cell>
          <cell r="M36">
            <v>34.5</v>
          </cell>
          <cell r="N36">
            <v>40.299999999999997</v>
          </cell>
          <cell r="O36">
            <v>34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13.178000000000001</v>
          </cell>
          <cell r="D38">
            <v>54.5</v>
          </cell>
          <cell r="E38">
            <v>54.7</v>
          </cell>
          <cell r="F38">
            <v>57.6</v>
          </cell>
          <cell r="G38">
            <v>54.8</v>
          </cell>
          <cell r="H38">
            <v>57.3</v>
          </cell>
          <cell r="I38">
            <v>53.1</v>
          </cell>
          <cell r="J38">
            <v>57.4</v>
          </cell>
          <cell r="K38">
            <v>53.6</v>
          </cell>
          <cell r="L38">
            <v>57.1</v>
          </cell>
          <cell r="M38">
            <v>54.5</v>
          </cell>
          <cell r="N38">
            <v>57</v>
          </cell>
          <cell r="O38">
            <v>55.1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13.183</v>
          </cell>
          <cell r="D40">
            <v>54.8</v>
          </cell>
          <cell r="E40">
            <v>55.4</v>
          </cell>
          <cell r="F40">
            <v>56.9</v>
          </cell>
          <cell r="G40">
            <v>55.2</v>
          </cell>
          <cell r="H40">
            <v>57.4</v>
          </cell>
          <cell r="I40">
            <v>53.7</v>
          </cell>
          <cell r="J40">
            <v>57.7</v>
          </cell>
          <cell r="K40">
            <v>54.6</v>
          </cell>
          <cell r="L40">
            <v>56.8</v>
          </cell>
          <cell r="M40">
            <v>55.5</v>
          </cell>
          <cell r="N40">
            <v>57.2</v>
          </cell>
          <cell r="O40">
            <v>55.8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13.189</v>
          </cell>
          <cell r="D42">
            <v>52.9</v>
          </cell>
          <cell r="E42">
            <v>56.4</v>
          </cell>
          <cell r="F42">
            <v>54.6</v>
          </cell>
          <cell r="G42">
            <v>55.3</v>
          </cell>
          <cell r="H42">
            <v>55.4</v>
          </cell>
          <cell r="I42">
            <v>55</v>
          </cell>
          <cell r="J42">
            <v>56.2</v>
          </cell>
          <cell r="K42">
            <v>55.8</v>
          </cell>
          <cell r="L42">
            <v>55.5</v>
          </cell>
          <cell r="M42">
            <v>53.4</v>
          </cell>
          <cell r="N42">
            <v>55.8</v>
          </cell>
          <cell r="O42">
            <v>54.3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13.215999999999999</v>
          </cell>
          <cell r="D44">
            <v>55.6</v>
          </cell>
          <cell r="E44">
            <v>55.3</v>
          </cell>
          <cell r="F44">
            <v>56.8</v>
          </cell>
          <cell r="G44">
            <v>53.9</v>
          </cell>
          <cell r="H44">
            <v>57</v>
          </cell>
          <cell r="I44">
            <v>53.8</v>
          </cell>
          <cell r="J44">
            <v>57.2</v>
          </cell>
          <cell r="K44">
            <v>54.8</v>
          </cell>
          <cell r="L44">
            <v>56.7</v>
          </cell>
          <cell r="M44">
            <v>54.9</v>
          </cell>
          <cell r="N44">
            <v>58</v>
          </cell>
          <cell r="O44">
            <v>56.3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13.226000000000001</v>
          </cell>
          <cell r="D46">
            <v>54.9</v>
          </cell>
          <cell r="E46">
            <v>53.8</v>
          </cell>
          <cell r="F46">
            <v>55.1</v>
          </cell>
          <cell r="G46">
            <v>54.7</v>
          </cell>
          <cell r="H46">
            <v>56.7</v>
          </cell>
          <cell r="I46">
            <v>54.8</v>
          </cell>
          <cell r="J46">
            <v>55.3</v>
          </cell>
          <cell r="K46">
            <v>54.6</v>
          </cell>
          <cell r="L46">
            <v>56.2</v>
          </cell>
          <cell r="M46">
            <v>55.7</v>
          </cell>
          <cell r="N46">
            <v>55.2</v>
          </cell>
          <cell r="O46">
            <v>55.1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13.234</v>
          </cell>
          <cell r="D48">
            <v>61.7</v>
          </cell>
          <cell r="E48">
            <v>61.7</v>
          </cell>
          <cell r="F48">
            <v>61.8</v>
          </cell>
          <cell r="G48">
            <v>61.9</v>
          </cell>
          <cell r="H48">
            <v>61.9</v>
          </cell>
          <cell r="I48">
            <v>62.6</v>
          </cell>
          <cell r="J48">
            <v>62.5</v>
          </cell>
          <cell r="K48">
            <v>61.6</v>
          </cell>
          <cell r="L48">
            <v>61.7</v>
          </cell>
          <cell r="M48">
            <v>62.5</v>
          </cell>
          <cell r="N48">
            <v>62.9</v>
          </cell>
          <cell r="O48">
            <v>62.9</v>
          </cell>
        </row>
        <row r="50">
          <cell r="A50">
            <v>906</v>
          </cell>
          <cell r="B50">
            <v>1</v>
          </cell>
          <cell r="C50">
            <v>13.242000000000001</v>
          </cell>
          <cell r="D50">
            <v>53.5</v>
          </cell>
          <cell r="E50">
            <v>55</v>
          </cell>
          <cell r="F50">
            <v>55.3</v>
          </cell>
          <cell r="G50">
            <v>55.2</v>
          </cell>
          <cell r="H50">
            <v>56.3</v>
          </cell>
          <cell r="I50">
            <v>56.3</v>
          </cell>
          <cell r="J50">
            <v>57.8</v>
          </cell>
          <cell r="K50">
            <v>54.7</v>
          </cell>
          <cell r="L50">
            <v>56.6</v>
          </cell>
          <cell r="M50">
            <v>55.2</v>
          </cell>
          <cell r="N50">
            <v>55.3</v>
          </cell>
          <cell r="O50">
            <v>55.3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13.250999999999999</v>
          </cell>
          <cell r="D52">
            <v>33.5</v>
          </cell>
          <cell r="E52">
            <v>33.5</v>
          </cell>
          <cell r="F52">
            <v>33.200000000000003</v>
          </cell>
          <cell r="G52">
            <v>33.200000000000003</v>
          </cell>
          <cell r="H52">
            <v>33.5</v>
          </cell>
          <cell r="I52">
            <v>33.299999999999997</v>
          </cell>
          <cell r="J52">
            <v>33.700000000000003</v>
          </cell>
          <cell r="K52">
            <v>34</v>
          </cell>
          <cell r="L52">
            <v>34</v>
          </cell>
          <cell r="M52">
            <v>33.799999999999997</v>
          </cell>
          <cell r="N52">
            <v>33.799999999999997</v>
          </cell>
          <cell r="O52">
            <v>33.5</v>
          </cell>
        </row>
        <row r="54">
          <cell r="A54">
            <v>904</v>
          </cell>
          <cell r="B54">
            <v>1</v>
          </cell>
          <cell r="C54">
            <v>13.257999999999999</v>
          </cell>
          <cell r="D54">
            <v>54.3</v>
          </cell>
          <cell r="E54">
            <v>54</v>
          </cell>
          <cell r="F54">
            <v>54.6</v>
          </cell>
          <cell r="G54">
            <v>53.1</v>
          </cell>
          <cell r="H54">
            <v>55.6</v>
          </cell>
          <cell r="I54">
            <v>52.9</v>
          </cell>
          <cell r="J54">
            <v>55.8</v>
          </cell>
          <cell r="K54">
            <v>55</v>
          </cell>
          <cell r="L54">
            <v>53.8</v>
          </cell>
          <cell r="M54">
            <v>52.9</v>
          </cell>
          <cell r="N54">
            <v>56</v>
          </cell>
          <cell r="O54">
            <v>52.6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13.266999999999999</v>
          </cell>
          <cell r="D56">
            <v>61.2</v>
          </cell>
          <cell r="E56">
            <v>61.1</v>
          </cell>
          <cell r="F56">
            <v>61.1</v>
          </cell>
          <cell r="G56">
            <v>60.6</v>
          </cell>
          <cell r="H56">
            <v>60.9</v>
          </cell>
          <cell r="I56">
            <v>60.9</v>
          </cell>
          <cell r="J56">
            <v>61.4</v>
          </cell>
          <cell r="K56">
            <v>61.4</v>
          </cell>
          <cell r="L56">
            <v>61.8</v>
          </cell>
          <cell r="M56">
            <v>61.9</v>
          </cell>
          <cell r="N56">
            <v>61.5</v>
          </cell>
          <cell r="O56">
            <v>61.6</v>
          </cell>
        </row>
        <row r="58">
          <cell r="A58">
            <v>902</v>
          </cell>
          <cell r="B58">
            <v>1</v>
          </cell>
          <cell r="C58">
            <v>13.275</v>
          </cell>
          <cell r="D58">
            <v>53.7</v>
          </cell>
          <cell r="E58">
            <v>55</v>
          </cell>
          <cell r="F58">
            <v>55.5</v>
          </cell>
          <cell r="G58">
            <v>54</v>
          </cell>
          <cell r="H58">
            <v>54.6</v>
          </cell>
          <cell r="I58">
            <v>53.2</v>
          </cell>
          <cell r="J58">
            <v>55.8</v>
          </cell>
          <cell r="K58">
            <v>54</v>
          </cell>
          <cell r="L58">
            <v>54.2</v>
          </cell>
          <cell r="M58">
            <v>53.7</v>
          </cell>
          <cell r="N58">
            <v>55.1</v>
          </cell>
          <cell r="O58">
            <v>54.7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13.282999999999999</v>
          </cell>
          <cell r="D60">
            <v>34.1</v>
          </cell>
          <cell r="E60">
            <v>34</v>
          </cell>
          <cell r="F60">
            <v>34.200000000000003</v>
          </cell>
          <cell r="G60">
            <v>34.4</v>
          </cell>
          <cell r="H60">
            <v>33.6</v>
          </cell>
          <cell r="I60">
            <v>33.299999999999997</v>
          </cell>
          <cell r="J60">
            <v>33.1</v>
          </cell>
          <cell r="K60">
            <v>33.200000000000003</v>
          </cell>
          <cell r="L60">
            <v>34.4</v>
          </cell>
          <cell r="M60">
            <v>34.799999999999997</v>
          </cell>
          <cell r="N60">
            <v>34.4</v>
          </cell>
          <cell r="O60">
            <v>34.200000000000003</v>
          </cell>
        </row>
        <row r="62">
          <cell r="A62">
            <v>301</v>
          </cell>
          <cell r="B62">
            <v>1</v>
          </cell>
          <cell r="C62">
            <v>13.294</v>
          </cell>
          <cell r="D62">
            <v>53</v>
          </cell>
          <cell r="E62">
            <v>54.3</v>
          </cell>
          <cell r="F62">
            <v>54.3</v>
          </cell>
          <cell r="G62">
            <v>54</v>
          </cell>
          <cell r="H62">
            <v>55.8</v>
          </cell>
          <cell r="I62">
            <v>53.4</v>
          </cell>
          <cell r="J62">
            <v>55.2</v>
          </cell>
          <cell r="K62">
            <v>53.1</v>
          </cell>
          <cell r="L62">
            <v>55.5</v>
          </cell>
          <cell r="M62">
            <v>53.5</v>
          </cell>
          <cell r="N62">
            <v>55.3</v>
          </cell>
          <cell r="O62">
            <v>53.6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13.3</v>
          </cell>
          <cell r="D64">
            <v>52.2</v>
          </cell>
          <cell r="E64">
            <v>55.3</v>
          </cell>
          <cell r="F64">
            <v>53.2</v>
          </cell>
          <cell r="G64">
            <v>55</v>
          </cell>
          <cell r="H64">
            <v>53.7</v>
          </cell>
          <cell r="I64">
            <v>53.3</v>
          </cell>
          <cell r="J64">
            <v>54.3</v>
          </cell>
          <cell r="K64">
            <v>53.4</v>
          </cell>
          <cell r="L64">
            <v>54.7</v>
          </cell>
          <cell r="M64">
            <v>52.8</v>
          </cell>
          <cell r="N64">
            <v>54.5</v>
          </cell>
          <cell r="O64">
            <v>53.4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13.305</v>
          </cell>
          <cell r="D66">
            <v>51.5</v>
          </cell>
          <cell r="E66">
            <v>54.3</v>
          </cell>
          <cell r="F66">
            <v>52.8</v>
          </cell>
          <cell r="G66">
            <v>52.9</v>
          </cell>
          <cell r="H66">
            <v>53.9</v>
          </cell>
          <cell r="I66">
            <v>52.6</v>
          </cell>
          <cell r="J66">
            <v>55.5</v>
          </cell>
          <cell r="K66">
            <v>53.6</v>
          </cell>
          <cell r="L66">
            <v>55.4</v>
          </cell>
          <cell r="M66">
            <v>52.2</v>
          </cell>
          <cell r="N66">
            <v>55.1</v>
          </cell>
          <cell r="O66">
            <v>53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13.31</v>
          </cell>
          <cell r="D68">
            <v>52.5</v>
          </cell>
          <cell r="E68">
            <v>54.1</v>
          </cell>
          <cell r="F68">
            <v>54.3</v>
          </cell>
          <cell r="G68">
            <v>53.4</v>
          </cell>
          <cell r="H68">
            <v>56.1</v>
          </cell>
          <cell r="I68">
            <v>54.3</v>
          </cell>
          <cell r="J68">
            <v>55.5</v>
          </cell>
          <cell r="K68">
            <v>54.5</v>
          </cell>
          <cell r="L68">
            <v>54.9</v>
          </cell>
          <cell r="M68">
            <v>53.5</v>
          </cell>
          <cell r="N68">
            <v>55.2</v>
          </cell>
          <cell r="O68">
            <v>54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13.316000000000001</v>
          </cell>
          <cell r="D70">
            <v>33.700000000000003</v>
          </cell>
          <cell r="E70">
            <v>32.700000000000003</v>
          </cell>
          <cell r="F70">
            <v>37.9</v>
          </cell>
          <cell r="G70">
            <v>34.200000000000003</v>
          </cell>
          <cell r="H70">
            <v>37.5</v>
          </cell>
          <cell r="I70">
            <v>34.1</v>
          </cell>
          <cell r="J70">
            <v>35.9</v>
          </cell>
          <cell r="K70">
            <v>35</v>
          </cell>
          <cell r="L70">
            <v>36.700000000000003</v>
          </cell>
          <cell r="M70">
            <v>34.9</v>
          </cell>
          <cell r="N70">
            <v>39</v>
          </cell>
          <cell r="O70">
            <v>35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13.321</v>
          </cell>
          <cell r="D72">
            <v>51.8</v>
          </cell>
          <cell r="E72">
            <v>53.8</v>
          </cell>
          <cell r="F72">
            <v>54.8</v>
          </cell>
          <cell r="G72">
            <v>54</v>
          </cell>
          <cell r="H72">
            <v>55.1</v>
          </cell>
          <cell r="I72">
            <v>53.5</v>
          </cell>
          <cell r="J72">
            <v>54.9</v>
          </cell>
          <cell r="K72">
            <v>54</v>
          </cell>
          <cell r="L72">
            <v>52.3</v>
          </cell>
          <cell r="M72">
            <v>53.7</v>
          </cell>
          <cell r="N72">
            <v>54.3</v>
          </cell>
          <cell r="O72">
            <v>52.9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13.327</v>
          </cell>
          <cell r="D74">
            <v>51.8</v>
          </cell>
          <cell r="E74">
            <v>54.6</v>
          </cell>
          <cell r="F74">
            <v>54.1</v>
          </cell>
          <cell r="G74">
            <v>54</v>
          </cell>
          <cell r="H74">
            <v>54</v>
          </cell>
          <cell r="I74">
            <v>53.8</v>
          </cell>
          <cell r="J74">
            <v>55.6</v>
          </cell>
          <cell r="K74">
            <v>53.5</v>
          </cell>
          <cell r="L74">
            <v>55.2</v>
          </cell>
          <cell r="M74">
            <v>52.6</v>
          </cell>
          <cell r="N74">
            <v>55.4</v>
          </cell>
          <cell r="O74">
            <v>53.6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13.332000000000001</v>
          </cell>
          <cell r="D76">
            <v>52.8</v>
          </cell>
          <cell r="E76">
            <v>53.1</v>
          </cell>
          <cell r="F76">
            <v>53.5</v>
          </cell>
          <cell r="G76">
            <v>54.2</v>
          </cell>
          <cell r="H76">
            <v>54</v>
          </cell>
          <cell r="I76">
            <v>53.4</v>
          </cell>
          <cell r="J76">
            <v>54.5</v>
          </cell>
          <cell r="K76">
            <v>53.2</v>
          </cell>
          <cell r="L76">
            <v>55.3</v>
          </cell>
          <cell r="M76">
            <v>53.1</v>
          </cell>
          <cell r="N76">
            <v>53.3</v>
          </cell>
          <cell r="O76">
            <v>52.9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13.343999999999999</v>
          </cell>
          <cell r="D78">
            <v>50.9</v>
          </cell>
          <cell r="E78">
            <v>54.4</v>
          </cell>
          <cell r="F78">
            <v>52.7</v>
          </cell>
          <cell r="G78">
            <v>53.8</v>
          </cell>
          <cell r="H78">
            <v>53.9</v>
          </cell>
          <cell r="I78">
            <v>52.8</v>
          </cell>
          <cell r="J78">
            <v>55.3</v>
          </cell>
          <cell r="K78">
            <v>52.3</v>
          </cell>
          <cell r="L78">
            <v>54.5</v>
          </cell>
          <cell r="M78">
            <v>53.7</v>
          </cell>
          <cell r="N78">
            <v>53.9</v>
          </cell>
          <cell r="O78">
            <v>52.5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13.352</v>
          </cell>
          <cell r="D80">
            <v>51.7</v>
          </cell>
          <cell r="E80">
            <v>55.3</v>
          </cell>
          <cell r="F80">
            <v>53.6</v>
          </cell>
          <cell r="G80">
            <v>54.8</v>
          </cell>
          <cell r="H80">
            <v>54.7</v>
          </cell>
          <cell r="I80">
            <v>53.5</v>
          </cell>
          <cell r="J80">
            <v>54.5</v>
          </cell>
          <cell r="K80">
            <v>53.1</v>
          </cell>
          <cell r="L80">
            <v>55.1</v>
          </cell>
          <cell r="M80">
            <v>52.8</v>
          </cell>
          <cell r="N80">
            <v>56</v>
          </cell>
          <cell r="O80">
            <v>54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13.36</v>
          </cell>
          <cell r="D82">
            <v>50.7</v>
          </cell>
          <cell r="E82">
            <v>51.3</v>
          </cell>
          <cell r="F82">
            <v>53.9</v>
          </cell>
          <cell r="G82">
            <v>52.7</v>
          </cell>
          <cell r="H82">
            <v>53.7</v>
          </cell>
          <cell r="I82">
            <v>52.7</v>
          </cell>
          <cell r="J82">
            <v>54.7</v>
          </cell>
          <cell r="K82">
            <v>52.5</v>
          </cell>
          <cell r="L82">
            <v>52.1</v>
          </cell>
          <cell r="M82">
            <v>52.3</v>
          </cell>
          <cell r="N82">
            <v>52.9</v>
          </cell>
          <cell r="O82">
            <v>55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13.368</v>
          </cell>
          <cell r="D84">
            <v>51.3</v>
          </cell>
          <cell r="E84">
            <v>52.8</v>
          </cell>
          <cell r="F84">
            <v>54.8</v>
          </cell>
          <cell r="G84">
            <v>53.5</v>
          </cell>
          <cell r="H84">
            <v>53.7</v>
          </cell>
          <cell r="I84">
            <v>52.4</v>
          </cell>
          <cell r="J84">
            <v>52.9</v>
          </cell>
          <cell r="K84">
            <v>53.1</v>
          </cell>
          <cell r="L84">
            <v>52.8</v>
          </cell>
          <cell r="M84">
            <v>53.1</v>
          </cell>
          <cell r="N84">
            <v>52.7</v>
          </cell>
          <cell r="O84">
            <v>52.9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13.375999999999999</v>
          </cell>
          <cell r="D86">
            <v>52.3</v>
          </cell>
          <cell r="E86">
            <v>52.8</v>
          </cell>
          <cell r="F86">
            <v>54.2</v>
          </cell>
          <cell r="G86">
            <v>52.7</v>
          </cell>
          <cell r="H86">
            <v>53.4</v>
          </cell>
          <cell r="I86">
            <v>53.9</v>
          </cell>
          <cell r="J86">
            <v>55</v>
          </cell>
          <cell r="K86">
            <v>53</v>
          </cell>
          <cell r="L86">
            <v>54.1</v>
          </cell>
          <cell r="M86">
            <v>52.2</v>
          </cell>
          <cell r="N86">
            <v>54.7</v>
          </cell>
          <cell r="O86">
            <v>54.7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13.384</v>
          </cell>
          <cell r="D88">
            <v>52</v>
          </cell>
          <cell r="E88">
            <v>51.7</v>
          </cell>
          <cell r="F88">
            <v>54.2</v>
          </cell>
          <cell r="G88">
            <v>53.1</v>
          </cell>
          <cell r="H88">
            <v>53</v>
          </cell>
          <cell r="I88">
            <v>52.7</v>
          </cell>
          <cell r="J88">
            <v>53.4</v>
          </cell>
          <cell r="K88">
            <v>53.7</v>
          </cell>
          <cell r="L88">
            <v>52.9</v>
          </cell>
          <cell r="M88">
            <v>53.5</v>
          </cell>
          <cell r="N88">
            <v>52.1</v>
          </cell>
          <cell r="O88">
            <v>54.4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13.391999999999999</v>
          </cell>
          <cell r="D90">
            <v>52.9</v>
          </cell>
          <cell r="E90">
            <v>53.6</v>
          </cell>
          <cell r="F90">
            <v>54.3</v>
          </cell>
          <cell r="G90">
            <v>52.4</v>
          </cell>
          <cell r="H90">
            <v>53.8</v>
          </cell>
          <cell r="I90">
            <v>51.1</v>
          </cell>
          <cell r="J90">
            <v>52.1</v>
          </cell>
          <cell r="K90">
            <v>51.8</v>
          </cell>
          <cell r="L90">
            <v>52.6</v>
          </cell>
          <cell r="M90">
            <v>51</v>
          </cell>
          <cell r="N90">
            <v>52.8</v>
          </cell>
          <cell r="O90">
            <v>51.8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13.398999999999999</v>
          </cell>
          <cell r="D92">
            <v>52.3</v>
          </cell>
          <cell r="E92">
            <v>54.3</v>
          </cell>
          <cell r="F92">
            <v>53.4</v>
          </cell>
          <cell r="G92">
            <v>53.4</v>
          </cell>
          <cell r="H92">
            <v>53.8</v>
          </cell>
          <cell r="I92">
            <v>52.9</v>
          </cell>
          <cell r="J92">
            <v>55.7</v>
          </cell>
          <cell r="K92">
            <v>53</v>
          </cell>
          <cell r="L92">
            <v>54.6</v>
          </cell>
          <cell r="M92">
            <v>53.1</v>
          </cell>
          <cell r="N92">
            <v>53.2</v>
          </cell>
          <cell r="O92">
            <v>52.5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143</v>
          </cell>
        </row>
        <row r="10">
          <cell r="C10">
            <v>5481</v>
          </cell>
        </row>
        <row r="20">
          <cell r="C20">
            <v>4</v>
          </cell>
        </row>
        <row r="25">
          <cell r="E25">
            <v>36.75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'IA141.03R'</v>
          </cell>
        </row>
        <row r="14">
          <cell r="A14">
            <v>108</v>
          </cell>
          <cell r="B14">
            <v>1</v>
          </cell>
          <cell r="C14">
            <v>13.129</v>
          </cell>
          <cell r="D14">
            <v>55.4</v>
          </cell>
          <cell r="E14">
            <v>58.4</v>
          </cell>
          <cell r="F14">
            <v>55.3</v>
          </cell>
          <cell r="G14">
            <v>59.3</v>
          </cell>
          <cell r="H14">
            <v>54.4</v>
          </cell>
          <cell r="I14">
            <v>57.6</v>
          </cell>
          <cell r="J14">
            <v>56.9</v>
          </cell>
          <cell r="K14">
            <v>57.1</v>
          </cell>
          <cell r="L14">
            <v>55.3</v>
          </cell>
          <cell r="M14">
            <v>57.9</v>
          </cell>
          <cell r="N14">
            <v>55.9</v>
          </cell>
          <cell r="O14">
            <v>57.2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13.137</v>
          </cell>
          <cell r="D16">
            <v>54.5</v>
          </cell>
          <cell r="E16">
            <v>57</v>
          </cell>
          <cell r="F16">
            <v>55.3</v>
          </cell>
          <cell r="G16">
            <v>59.2</v>
          </cell>
          <cell r="H16">
            <v>54.7</v>
          </cell>
          <cell r="I16">
            <v>58.6</v>
          </cell>
          <cell r="J16">
            <v>57.4</v>
          </cell>
          <cell r="K16">
            <v>57.7</v>
          </cell>
          <cell r="L16">
            <v>56.2</v>
          </cell>
          <cell r="M16">
            <v>55.9</v>
          </cell>
          <cell r="N16">
            <v>57.2</v>
          </cell>
          <cell r="O16">
            <v>56.6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13.145</v>
          </cell>
          <cell r="D18">
            <v>53.4</v>
          </cell>
          <cell r="E18">
            <v>58.4</v>
          </cell>
          <cell r="F18">
            <v>55.5</v>
          </cell>
          <cell r="G18">
            <v>57.7</v>
          </cell>
          <cell r="H18">
            <v>55</v>
          </cell>
          <cell r="I18">
            <v>57.3</v>
          </cell>
          <cell r="J18">
            <v>55.2</v>
          </cell>
          <cell r="K18">
            <v>56.3</v>
          </cell>
          <cell r="L18">
            <v>54.7</v>
          </cell>
          <cell r="M18">
            <v>57.8</v>
          </cell>
          <cell r="N18">
            <v>55.4</v>
          </cell>
          <cell r="O18">
            <v>59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13.154</v>
          </cell>
          <cell r="D20">
            <v>53.5</v>
          </cell>
          <cell r="E20">
            <v>57.6</v>
          </cell>
          <cell r="F20">
            <v>55.8</v>
          </cell>
          <cell r="G20">
            <v>56.7</v>
          </cell>
          <cell r="H20">
            <v>54.4</v>
          </cell>
          <cell r="I20">
            <v>56.9</v>
          </cell>
          <cell r="J20">
            <v>55.3</v>
          </cell>
          <cell r="K20">
            <v>56.8</v>
          </cell>
          <cell r="L20">
            <v>55.3</v>
          </cell>
          <cell r="M20">
            <v>55.8</v>
          </cell>
          <cell r="N20">
            <v>54.8</v>
          </cell>
          <cell r="O20">
            <v>56.9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13.161</v>
          </cell>
          <cell r="D22">
            <v>53.7</v>
          </cell>
          <cell r="E22">
            <v>58</v>
          </cell>
          <cell r="F22">
            <v>55.9</v>
          </cell>
          <cell r="G22">
            <v>57.2</v>
          </cell>
          <cell r="H22">
            <v>56.5</v>
          </cell>
          <cell r="I22">
            <v>56.4</v>
          </cell>
          <cell r="J22">
            <v>55</v>
          </cell>
          <cell r="K22">
            <v>55</v>
          </cell>
          <cell r="L22">
            <v>55.3</v>
          </cell>
          <cell r="M22">
            <v>54.9</v>
          </cell>
          <cell r="N22">
            <v>56.4</v>
          </cell>
          <cell r="O22">
            <v>55.3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13.17</v>
          </cell>
          <cell r="D24">
            <v>54.4</v>
          </cell>
          <cell r="E24">
            <v>57.2</v>
          </cell>
          <cell r="F24">
            <v>55.3</v>
          </cell>
          <cell r="G24">
            <v>58.3</v>
          </cell>
          <cell r="H24">
            <v>54.6</v>
          </cell>
          <cell r="I24">
            <v>56.2</v>
          </cell>
          <cell r="J24">
            <v>55.7</v>
          </cell>
          <cell r="K24">
            <v>57.8</v>
          </cell>
          <cell r="L24">
            <v>54.7</v>
          </cell>
          <cell r="M24">
            <v>56.8</v>
          </cell>
          <cell r="N24">
            <v>55.2</v>
          </cell>
          <cell r="O24">
            <v>57.6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13.178000000000001</v>
          </cell>
          <cell r="D26">
            <v>54.5</v>
          </cell>
          <cell r="E26">
            <v>56.8</v>
          </cell>
          <cell r="F26">
            <v>55.1</v>
          </cell>
          <cell r="G26">
            <v>57.1</v>
          </cell>
          <cell r="H26">
            <v>55.4</v>
          </cell>
          <cell r="I26">
            <v>56.6</v>
          </cell>
          <cell r="J26">
            <v>55.7</v>
          </cell>
          <cell r="K26">
            <v>57</v>
          </cell>
          <cell r="L26">
            <v>55.3</v>
          </cell>
          <cell r="M26">
            <v>55.2</v>
          </cell>
          <cell r="N26">
            <v>54.4</v>
          </cell>
          <cell r="O26">
            <v>55.9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13.186999999999999</v>
          </cell>
          <cell r="D28">
            <v>55.1</v>
          </cell>
          <cell r="E28">
            <v>57</v>
          </cell>
          <cell r="F28">
            <v>55</v>
          </cell>
          <cell r="G28">
            <v>57.1</v>
          </cell>
          <cell r="H28">
            <v>56.4</v>
          </cell>
          <cell r="I28">
            <v>55.6</v>
          </cell>
          <cell r="J28">
            <v>56.7</v>
          </cell>
          <cell r="K28">
            <v>55.3</v>
          </cell>
          <cell r="L28">
            <v>58</v>
          </cell>
          <cell r="M28">
            <v>54.9</v>
          </cell>
          <cell r="N28">
            <v>55.6</v>
          </cell>
          <cell r="O28">
            <v>57.5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13.199</v>
          </cell>
          <cell r="D30">
            <v>54</v>
          </cell>
          <cell r="E30">
            <v>56.5</v>
          </cell>
          <cell r="F30">
            <v>55.5</v>
          </cell>
          <cell r="G30">
            <v>57.5</v>
          </cell>
          <cell r="H30">
            <v>55.3</v>
          </cell>
          <cell r="I30">
            <v>55.1</v>
          </cell>
          <cell r="J30">
            <v>54.8</v>
          </cell>
          <cell r="K30">
            <v>55.9</v>
          </cell>
          <cell r="L30">
            <v>54.4</v>
          </cell>
          <cell r="M30">
            <v>55.2</v>
          </cell>
          <cell r="N30">
            <v>54.9</v>
          </cell>
          <cell r="O30">
            <v>54.3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13.204000000000001</v>
          </cell>
          <cell r="D32">
            <v>53.3</v>
          </cell>
          <cell r="E32">
            <v>56</v>
          </cell>
          <cell r="F32">
            <v>54.1</v>
          </cell>
          <cell r="G32">
            <v>55.7</v>
          </cell>
          <cell r="H32">
            <v>54.4</v>
          </cell>
          <cell r="I32">
            <v>55.8</v>
          </cell>
          <cell r="J32">
            <v>54.3</v>
          </cell>
          <cell r="K32">
            <v>55.8</v>
          </cell>
          <cell r="L32">
            <v>53.4</v>
          </cell>
          <cell r="M32">
            <v>56.6</v>
          </cell>
          <cell r="N32">
            <v>53.7</v>
          </cell>
          <cell r="O32">
            <v>56.1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13.209</v>
          </cell>
          <cell r="D34">
            <v>53.8</v>
          </cell>
          <cell r="E34">
            <v>56.5</v>
          </cell>
          <cell r="F34">
            <v>55.1</v>
          </cell>
          <cell r="G34">
            <v>56.7</v>
          </cell>
          <cell r="H34">
            <v>54</v>
          </cell>
          <cell r="I34">
            <v>56.4</v>
          </cell>
          <cell r="J34">
            <v>55.8</v>
          </cell>
          <cell r="K34">
            <v>56.1</v>
          </cell>
          <cell r="L34">
            <v>55.8</v>
          </cell>
          <cell r="M34">
            <v>54.8</v>
          </cell>
          <cell r="N34">
            <v>55.5</v>
          </cell>
          <cell r="O34">
            <v>56.1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13.215</v>
          </cell>
          <cell r="D36">
            <v>53.6</v>
          </cell>
          <cell r="E36">
            <v>56.4</v>
          </cell>
          <cell r="F36">
            <v>55.5</v>
          </cell>
          <cell r="G36">
            <v>56.9</v>
          </cell>
          <cell r="H36">
            <v>55.2</v>
          </cell>
          <cell r="I36">
            <v>57.7</v>
          </cell>
          <cell r="J36">
            <v>55</v>
          </cell>
          <cell r="K36">
            <v>57.6</v>
          </cell>
          <cell r="L36">
            <v>54.7</v>
          </cell>
          <cell r="M36">
            <v>56.1</v>
          </cell>
          <cell r="N36">
            <v>55.5</v>
          </cell>
          <cell r="O36">
            <v>57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13.22</v>
          </cell>
          <cell r="D38">
            <v>53.1</v>
          </cell>
          <cell r="E38">
            <v>57.2</v>
          </cell>
          <cell r="F38">
            <v>55.4</v>
          </cell>
          <cell r="G38">
            <v>57.3</v>
          </cell>
          <cell r="H38">
            <v>54.1</v>
          </cell>
          <cell r="I38">
            <v>55.7</v>
          </cell>
          <cell r="J38">
            <v>55.1</v>
          </cell>
          <cell r="K38">
            <v>56.6</v>
          </cell>
          <cell r="L38">
            <v>55.1</v>
          </cell>
          <cell r="M38">
            <v>56.7</v>
          </cell>
          <cell r="N38">
            <v>54.6</v>
          </cell>
          <cell r="O38">
            <v>56.9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13.226000000000001</v>
          </cell>
          <cell r="D40">
            <v>54.3</v>
          </cell>
          <cell r="E40">
            <v>57.5</v>
          </cell>
          <cell r="F40">
            <v>54.9</v>
          </cell>
          <cell r="G40">
            <v>56.1</v>
          </cell>
          <cell r="H40">
            <v>57.6</v>
          </cell>
          <cell r="I40">
            <v>54.7</v>
          </cell>
          <cell r="J40">
            <v>56.8</v>
          </cell>
          <cell r="K40">
            <v>56.3</v>
          </cell>
          <cell r="L40">
            <v>55.6</v>
          </cell>
          <cell r="M40">
            <v>56.7</v>
          </cell>
          <cell r="N40">
            <v>56.2</v>
          </cell>
          <cell r="O40">
            <v>58.2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13.231</v>
          </cell>
          <cell r="D42">
            <v>53.4</v>
          </cell>
          <cell r="E42">
            <v>56.3</v>
          </cell>
          <cell r="F42">
            <v>55.2</v>
          </cell>
          <cell r="G42">
            <v>55.8</v>
          </cell>
          <cell r="H42">
            <v>55.6</v>
          </cell>
          <cell r="I42">
            <v>54.9</v>
          </cell>
          <cell r="J42">
            <v>56.4</v>
          </cell>
          <cell r="K42">
            <v>55.7</v>
          </cell>
          <cell r="L42">
            <v>55.5</v>
          </cell>
          <cell r="M42">
            <v>53.6</v>
          </cell>
          <cell r="N42">
            <v>55.2</v>
          </cell>
          <cell r="O42">
            <v>54.5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13.237</v>
          </cell>
          <cell r="D44">
            <v>53</v>
          </cell>
          <cell r="E44">
            <v>55.3</v>
          </cell>
          <cell r="F44">
            <v>55.4</v>
          </cell>
          <cell r="G44">
            <v>55.7</v>
          </cell>
          <cell r="H44">
            <v>55.6</v>
          </cell>
          <cell r="I44">
            <v>54.4</v>
          </cell>
          <cell r="J44">
            <v>56.4</v>
          </cell>
          <cell r="K44">
            <v>55.5</v>
          </cell>
          <cell r="L44">
            <v>56.4</v>
          </cell>
          <cell r="M44">
            <v>54.8</v>
          </cell>
          <cell r="N44">
            <v>57.1</v>
          </cell>
          <cell r="O44">
            <v>57.4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13.247</v>
          </cell>
          <cell r="D46">
            <v>52.1</v>
          </cell>
          <cell r="E46">
            <v>57.1</v>
          </cell>
          <cell r="F46">
            <v>54.1</v>
          </cell>
          <cell r="G46">
            <v>56</v>
          </cell>
          <cell r="H46">
            <v>56</v>
          </cell>
          <cell r="I46">
            <v>53.1</v>
          </cell>
          <cell r="J46">
            <v>55.3</v>
          </cell>
          <cell r="K46">
            <v>53.5</v>
          </cell>
          <cell r="L46">
            <v>54</v>
          </cell>
          <cell r="M46">
            <v>55.9</v>
          </cell>
          <cell r="N46">
            <v>54</v>
          </cell>
          <cell r="O46">
            <v>55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13.255000000000001</v>
          </cell>
          <cell r="D48">
            <v>63.3</v>
          </cell>
          <cell r="E48">
            <v>63.4</v>
          </cell>
          <cell r="F48">
            <v>63.6</v>
          </cell>
          <cell r="G48">
            <v>62.8</v>
          </cell>
          <cell r="H48">
            <v>63.2</v>
          </cell>
          <cell r="I48">
            <v>62.9</v>
          </cell>
          <cell r="J48">
            <v>62.2</v>
          </cell>
          <cell r="K48">
            <v>62.1</v>
          </cell>
          <cell r="L48">
            <v>61.7</v>
          </cell>
          <cell r="M48">
            <v>62.4</v>
          </cell>
          <cell r="N48">
            <v>62.4</v>
          </cell>
          <cell r="O48">
            <v>62.3</v>
          </cell>
        </row>
        <row r="50">
          <cell r="A50">
            <v>906</v>
          </cell>
          <cell r="B50">
            <v>1</v>
          </cell>
          <cell r="C50">
            <v>13.263999999999999</v>
          </cell>
          <cell r="D50">
            <v>52.8</v>
          </cell>
          <cell r="E50">
            <v>55.3</v>
          </cell>
          <cell r="F50">
            <v>54.5</v>
          </cell>
          <cell r="G50">
            <v>55.8</v>
          </cell>
          <cell r="H50">
            <v>56.1</v>
          </cell>
          <cell r="I50">
            <v>55.4</v>
          </cell>
          <cell r="J50">
            <v>56.7</v>
          </cell>
          <cell r="K50">
            <v>54.7</v>
          </cell>
          <cell r="L50">
            <v>55.4</v>
          </cell>
          <cell r="M50">
            <v>55.4</v>
          </cell>
          <cell r="N50">
            <v>55.1</v>
          </cell>
          <cell r="O50">
            <v>56.3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13.273</v>
          </cell>
          <cell r="D52">
            <v>35.200000000000003</v>
          </cell>
          <cell r="E52">
            <v>35.1</v>
          </cell>
          <cell r="F52">
            <v>34.799999999999997</v>
          </cell>
          <cell r="G52">
            <v>34.700000000000003</v>
          </cell>
          <cell r="H52">
            <v>34.4</v>
          </cell>
          <cell r="I52">
            <v>34.299999999999997</v>
          </cell>
          <cell r="J52">
            <v>34.700000000000003</v>
          </cell>
          <cell r="K52">
            <v>33.9</v>
          </cell>
          <cell r="L52">
            <v>34.1</v>
          </cell>
          <cell r="M52">
            <v>34.700000000000003</v>
          </cell>
          <cell r="N52">
            <v>34.299999999999997</v>
          </cell>
          <cell r="O52">
            <v>34</v>
          </cell>
        </row>
        <row r="54">
          <cell r="A54">
            <v>904</v>
          </cell>
          <cell r="B54">
            <v>1</v>
          </cell>
          <cell r="C54">
            <v>13.281000000000001</v>
          </cell>
          <cell r="D54">
            <v>54.2</v>
          </cell>
          <cell r="E54">
            <v>56.4</v>
          </cell>
          <cell r="F54">
            <v>53.3</v>
          </cell>
          <cell r="G54">
            <v>56.5</v>
          </cell>
          <cell r="H54">
            <v>54</v>
          </cell>
          <cell r="I54">
            <v>55.4</v>
          </cell>
          <cell r="J54">
            <v>55.7</v>
          </cell>
          <cell r="K54">
            <v>54.4</v>
          </cell>
          <cell r="L54">
            <v>53.4</v>
          </cell>
          <cell r="M54">
            <v>54.1</v>
          </cell>
          <cell r="N54">
            <v>57</v>
          </cell>
          <cell r="O54">
            <v>55.1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13.29</v>
          </cell>
          <cell r="D56">
            <v>62.2</v>
          </cell>
          <cell r="E56">
            <v>62.4</v>
          </cell>
          <cell r="F56">
            <v>62.1</v>
          </cell>
          <cell r="G56">
            <v>61.7</v>
          </cell>
          <cell r="H56">
            <v>62.6</v>
          </cell>
          <cell r="I56">
            <v>61.6</v>
          </cell>
          <cell r="J56">
            <v>62</v>
          </cell>
          <cell r="K56">
            <v>61.9</v>
          </cell>
          <cell r="L56">
            <v>62.6</v>
          </cell>
          <cell r="M56">
            <v>63.3</v>
          </cell>
          <cell r="N56">
            <v>63.3</v>
          </cell>
          <cell r="O56">
            <v>62.5</v>
          </cell>
        </row>
        <row r="58">
          <cell r="A58">
            <v>902</v>
          </cell>
          <cell r="B58">
            <v>1</v>
          </cell>
          <cell r="C58">
            <v>13.298</v>
          </cell>
          <cell r="D58">
            <v>53.2</v>
          </cell>
          <cell r="E58">
            <v>57.2</v>
          </cell>
          <cell r="F58">
            <v>54.1</v>
          </cell>
          <cell r="G58">
            <v>56.7</v>
          </cell>
          <cell r="H58">
            <v>53.5</v>
          </cell>
          <cell r="I58">
            <v>56.5</v>
          </cell>
          <cell r="J58">
            <v>55.6</v>
          </cell>
          <cell r="K58">
            <v>56.2</v>
          </cell>
          <cell r="L58">
            <v>53.4</v>
          </cell>
          <cell r="M58">
            <v>55.4</v>
          </cell>
          <cell r="N58">
            <v>53.6</v>
          </cell>
          <cell r="O58">
            <v>57.6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13.308</v>
          </cell>
          <cell r="D60">
            <v>35.799999999999997</v>
          </cell>
          <cell r="E60">
            <v>34.9</v>
          </cell>
          <cell r="F60">
            <v>35.299999999999997</v>
          </cell>
          <cell r="G60">
            <v>34.200000000000003</v>
          </cell>
          <cell r="H60">
            <v>33.299999999999997</v>
          </cell>
          <cell r="I60">
            <v>33.700000000000003</v>
          </cell>
          <cell r="J60">
            <v>34.299999999999997</v>
          </cell>
          <cell r="K60">
            <v>35.799999999999997</v>
          </cell>
          <cell r="L60">
            <v>35.700000000000003</v>
          </cell>
          <cell r="M60">
            <v>35.4</v>
          </cell>
          <cell r="N60">
            <v>35.1</v>
          </cell>
          <cell r="O60">
            <v>35.200000000000003</v>
          </cell>
        </row>
        <row r="62">
          <cell r="A62">
            <v>301</v>
          </cell>
          <cell r="B62">
            <v>1</v>
          </cell>
          <cell r="C62">
            <v>13.319000000000001</v>
          </cell>
          <cell r="D62">
            <v>52.8</v>
          </cell>
          <cell r="E62">
            <v>56</v>
          </cell>
          <cell r="F62">
            <v>55.8</v>
          </cell>
          <cell r="G62">
            <v>56.8</v>
          </cell>
          <cell r="H62">
            <v>57.9</v>
          </cell>
          <cell r="I62">
            <v>55.6</v>
          </cell>
          <cell r="J62">
            <v>55.9</v>
          </cell>
          <cell r="K62">
            <v>56.3</v>
          </cell>
          <cell r="L62">
            <v>54.3</v>
          </cell>
          <cell r="M62">
            <v>55.2</v>
          </cell>
          <cell r="N62">
            <v>55.7</v>
          </cell>
          <cell r="O62">
            <v>56.3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13.324999999999999</v>
          </cell>
          <cell r="D64">
            <v>53.2</v>
          </cell>
          <cell r="E64">
            <v>57</v>
          </cell>
          <cell r="F64">
            <v>55</v>
          </cell>
          <cell r="G64">
            <v>55.8</v>
          </cell>
          <cell r="H64">
            <v>56</v>
          </cell>
          <cell r="I64">
            <v>54.2</v>
          </cell>
          <cell r="J64">
            <v>56.3</v>
          </cell>
          <cell r="K64">
            <v>55.2</v>
          </cell>
          <cell r="L64">
            <v>56.3</v>
          </cell>
          <cell r="M64">
            <v>52.6</v>
          </cell>
          <cell r="N64">
            <v>56.2</v>
          </cell>
          <cell r="O64">
            <v>55.1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13.33</v>
          </cell>
          <cell r="D66">
            <v>52.7</v>
          </cell>
          <cell r="E66">
            <v>56.6</v>
          </cell>
          <cell r="F66">
            <v>55.3</v>
          </cell>
          <cell r="G66">
            <v>56.4</v>
          </cell>
          <cell r="H66">
            <v>54.1</v>
          </cell>
          <cell r="I66">
            <v>57.4</v>
          </cell>
          <cell r="J66">
            <v>54.9</v>
          </cell>
          <cell r="K66">
            <v>57.8</v>
          </cell>
          <cell r="L66">
            <v>53.9</v>
          </cell>
          <cell r="M66">
            <v>58.3</v>
          </cell>
          <cell r="N66">
            <v>54.2</v>
          </cell>
          <cell r="O66">
            <v>58.2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13.335000000000001</v>
          </cell>
          <cell r="D68">
            <v>54.2</v>
          </cell>
          <cell r="E68">
            <v>57.5</v>
          </cell>
          <cell r="F68">
            <v>56</v>
          </cell>
          <cell r="G68">
            <v>56.3</v>
          </cell>
          <cell r="H68">
            <v>58.5</v>
          </cell>
          <cell r="I68">
            <v>57.5</v>
          </cell>
          <cell r="J68">
            <v>57.9</v>
          </cell>
          <cell r="K68">
            <v>57.9</v>
          </cell>
          <cell r="L68">
            <v>57.2</v>
          </cell>
          <cell r="M68">
            <v>57.8</v>
          </cell>
          <cell r="N68">
            <v>56.9</v>
          </cell>
          <cell r="O68">
            <v>58.7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13.34</v>
          </cell>
          <cell r="D70">
            <v>54.4</v>
          </cell>
          <cell r="E70">
            <v>57.2</v>
          </cell>
          <cell r="F70">
            <v>55.6</v>
          </cell>
          <cell r="G70">
            <v>56.3</v>
          </cell>
          <cell r="H70">
            <v>56.2</v>
          </cell>
          <cell r="I70">
            <v>54.7</v>
          </cell>
          <cell r="J70">
            <v>56.3</v>
          </cell>
          <cell r="K70">
            <v>56.5</v>
          </cell>
          <cell r="L70">
            <v>57.4</v>
          </cell>
          <cell r="M70">
            <v>54.5</v>
          </cell>
          <cell r="N70">
            <v>56</v>
          </cell>
          <cell r="O70">
            <v>56.8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13.346</v>
          </cell>
          <cell r="D72">
            <v>53.6</v>
          </cell>
          <cell r="E72">
            <v>56</v>
          </cell>
          <cell r="F72">
            <v>57.8</v>
          </cell>
          <cell r="G72">
            <v>56.6</v>
          </cell>
          <cell r="H72">
            <v>56.9</v>
          </cell>
          <cell r="I72">
            <v>54.5</v>
          </cell>
          <cell r="J72">
            <v>57.7</v>
          </cell>
          <cell r="K72">
            <v>55</v>
          </cell>
          <cell r="L72">
            <v>56.3</v>
          </cell>
          <cell r="M72">
            <v>55.5</v>
          </cell>
          <cell r="N72">
            <v>56.3</v>
          </cell>
          <cell r="O72">
            <v>56.5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13.351000000000001</v>
          </cell>
          <cell r="D74">
            <v>54.1</v>
          </cell>
          <cell r="E74">
            <v>57.8</v>
          </cell>
          <cell r="F74">
            <v>55.6</v>
          </cell>
          <cell r="G74">
            <v>57.1</v>
          </cell>
          <cell r="H74">
            <v>57.1</v>
          </cell>
          <cell r="I74">
            <v>55</v>
          </cell>
          <cell r="J74">
            <v>57.5</v>
          </cell>
          <cell r="K74">
            <v>56.9</v>
          </cell>
          <cell r="L74">
            <v>57.1</v>
          </cell>
          <cell r="M74">
            <v>56.2</v>
          </cell>
          <cell r="N74">
            <v>57.1</v>
          </cell>
          <cell r="O74">
            <v>57.1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13.356999999999999</v>
          </cell>
          <cell r="D76">
            <v>54.2</v>
          </cell>
          <cell r="E76">
            <v>57</v>
          </cell>
          <cell r="F76">
            <v>55</v>
          </cell>
          <cell r="G76">
            <v>55.9</v>
          </cell>
          <cell r="H76">
            <v>55</v>
          </cell>
          <cell r="I76">
            <v>59</v>
          </cell>
          <cell r="J76">
            <v>55.3</v>
          </cell>
          <cell r="K76">
            <v>57.9</v>
          </cell>
          <cell r="L76">
            <v>57.2</v>
          </cell>
          <cell r="M76">
            <v>57.2</v>
          </cell>
          <cell r="N76">
            <v>54.6</v>
          </cell>
          <cell r="O76">
            <v>56.6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13.369</v>
          </cell>
          <cell r="D78">
            <v>52.3</v>
          </cell>
          <cell r="E78">
            <v>57.3</v>
          </cell>
          <cell r="F78">
            <v>54.8</v>
          </cell>
          <cell r="G78">
            <v>56.6</v>
          </cell>
          <cell r="H78">
            <v>53.9</v>
          </cell>
          <cell r="I78">
            <v>54.3</v>
          </cell>
          <cell r="J78">
            <v>56.2</v>
          </cell>
          <cell r="K78">
            <v>55.1</v>
          </cell>
          <cell r="L78">
            <v>54.5</v>
          </cell>
          <cell r="M78">
            <v>56</v>
          </cell>
          <cell r="N78">
            <v>53.9</v>
          </cell>
          <cell r="O78">
            <v>55.1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13.378</v>
          </cell>
          <cell r="D80">
            <v>53.7</v>
          </cell>
          <cell r="E80">
            <v>59.1</v>
          </cell>
          <cell r="F80">
            <v>55.2</v>
          </cell>
          <cell r="G80">
            <v>59.5</v>
          </cell>
          <cell r="H80">
            <v>55.2</v>
          </cell>
          <cell r="I80">
            <v>57</v>
          </cell>
          <cell r="J80">
            <v>57.9</v>
          </cell>
          <cell r="K80">
            <v>56.8</v>
          </cell>
          <cell r="L80">
            <v>56.3</v>
          </cell>
          <cell r="M80">
            <v>57.9</v>
          </cell>
          <cell r="N80">
            <v>55.4</v>
          </cell>
          <cell r="O80">
            <v>58.8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13.387</v>
          </cell>
          <cell r="D82">
            <v>53.1</v>
          </cell>
          <cell r="E82">
            <v>55.7</v>
          </cell>
          <cell r="F82">
            <v>56.7</v>
          </cell>
          <cell r="G82">
            <v>56.6</v>
          </cell>
          <cell r="H82">
            <v>57</v>
          </cell>
          <cell r="I82">
            <v>55.1</v>
          </cell>
          <cell r="J82">
            <v>55.9</v>
          </cell>
          <cell r="K82">
            <v>56.7</v>
          </cell>
          <cell r="L82">
            <v>54.5</v>
          </cell>
          <cell r="M82">
            <v>56.3</v>
          </cell>
          <cell r="N82">
            <v>56</v>
          </cell>
          <cell r="O82">
            <v>57.3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13.396000000000001</v>
          </cell>
          <cell r="D84">
            <v>53.3</v>
          </cell>
          <cell r="E84">
            <v>56.8</v>
          </cell>
          <cell r="F84">
            <v>55.9</v>
          </cell>
          <cell r="G84">
            <v>56.3</v>
          </cell>
          <cell r="H84">
            <v>56</v>
          </cell>
          <cell r="I84">
            <v>55.3</v>
          </cell>
          <cell r="J84">
            <v>56</v>
          </cell>
          <cell r="K84">
            <v>54.5</v>
          </cell>
          <cell r="L84">
            <v>55.1</v>
          </cell>
          <cell r="M84">
            <v>55.1</v>
          </cell>
          <cell r="N84">
            <v>56.2</v>
          </cell>
          <cell r="O84">
            <v>56.3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13.404</v>
          </cell>
          <cell r="D86">
            <v>52.8</v>
          </cell>
          <cell r="E86">
            <v>57.3</v>
          </cell>
          <cell r="F86">
            <v>55.9</v>
          </cell>
          <cell r="G86">
            <v>58</v>
          </cell>
          <cell r="H86">
            <v>55.1</v>
          </cell>
          <cell r="I86">
            <v>54.9</v>
          </cell>
          <cell r="J86">
            <v>57.3</v>
          </cell>
          <cell r="K86">
            <v>56.7</v>
          </cell>
          <cell r="L86">
            <v>56.4</v>
          </cell>
          <cell r="M86">
            <v>55.2</v>
          </cell>
          <cell r="N86">
            <v>54.9</v>
          </cell>
          <cell r="O86">
            <v>58.5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13.413</v>
          </cell>
          <cell r="D88">
            <v>53.5</v>
          </cell>
          <cell r="E88">
            <v>56.5</v>
          </cell>
          <cell r="F88">
            <v>54.4</v>
          </cell>
          <cell r="G88">
            <v>57.7</v>
          </cell>
          <cell r="H88">
            <v>54.2</v>
          </cell>
          <cell r="I88">
            <v>56.5</v>
          </cell>
          <cell r="J88">
            <v>54.7</v>
          </cell>
          <cell r="K88">
            <v>58.3</v>
          </cell>
          <cell r="L88">
            <v>55.3</v>
          </cell>
          <cell r="M88">
            <v>56.3</v>
          </cell>
          <cell r="N88">
            <v>54.7</v>
          </cell>
          <cell r="O88">
            <v>56.5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13.420999999999999</v>
          </cell>
          <cell r="D90">
            <v>54.1</v>
          </cell>
          <cell r="E90">
            <v>56.9</v>
          </cell>
          <cell r="F90">
            <v>54.1</v>
          </cell>
          <cell r="G90">
            <v>57.2</v>
          </cell>
          <cell r="H90">
            <v>53.9</v>
          </cell>
          <cell r="I90">
            <v>54.7</v>
          </cell>
          <cell r="J90">
            <v>55.9</v>
          </cell>
          <cell r="K90">
            <v>55.5</v>
          </cell>
          <cell r="L90">
            <v>54.9</v>
          </cell>
          <cell r="M90">
            <v>53.6</v>
          </cell>
          <cell r="N90">
            <v>54.3</v>
          </cell>
          <cell r="O90">
            <v>56.1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13.43</v>
          </cell>
          <cell r="D92">
            <v>54.9</v>
          </cell>
          <cell r="E92">
            <v>57.1</v>
          </cell>
          <cell r="F92">
            <v>55.5</v>
          </cell>
          <cell r="G92">
            <v>56</v>
          </cell>
          <cell r="H92">
            <v>55.7</v>
          </cell>
          <cell r="I92">
            <v>55</v>
          </cell>
          <cell r="J92">
            <v>57</v>
          </cell>
          <cell r="K92">
            <v>55.2</v>
          </cell>
          <cell r="L92">
            <v>55.2</v>
          </cell>
          <cell r="M92">
            <v>55</v>
          </cell>
          <cell r="N92">
            <v>54.8</v>
          </cell>
          <cell r="O92">
            <v>56.4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141</v>
          </cell>
        </row>
        <row r="10">
          <cell r="C10">
            <v>5481</v>
          </cell>
        </row>
        <row r="20">
          <cell r="C20">
            <v>4</v>
          </cell>
        </row>
        <row r="25">
          <cell r="E25">
            <v>38.35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'IA139.03R'</v>
          </cell>
        </row>
        <row r="14">
          <cell r="A14">
            <v>108</v>
          </cell>
          <cell r="B14">
            <v>1</v>
          </cell>
          <cell r="C14">
            <v>12.914</v>
          </cell>
          <cell r="D14">
            <v>52</v>
          </cell>
          <cell r="E14">
            <v>56.9</v>
          </cell>
          <cell r="F14">
            <v>54.7</v>
          </cell>
          <cell r="G14">
            <v>57.2</v>
          </cell>
          <cell r="H14">
            <v>53.9</v>
          </cell>
          <cell r="I14">
            <v>56.8</v>
          </cell>
          <cell r="J14">
            <v>54.9</v>
          </cell>
          <cell r="K14">
            <v>55.6</v>
          </cell>
          <cell r="L14">
            <v>54.5</v>
          </cell>
          <cell r="M14">
            <v>53.7</v>
          </cell>
          <cell r="N14">
            <v>55.2</v>
          </cell>
          <cell r="O14">
            <v>55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12.922000000000001</v>
          </cell>
          <cell r="D16">
            <v>52.5</v>
          </cell>
          <cell r="E16">
            <v>53.6</v>
          </cell>
          <cell r="F16">
            <v>58.1</v>
          </cell>
          <cell r="G16">
            <v>53</v>
          </cell>
          <cell r="H16">
            <v>57</v>
          </cell>
          <cell r="I16">
            <v>53</v>
          </cell>
          <cell r="J16">
            <v>56.7</v>
          </cell>
          <cell r="K16">
            <v>54.1</v>
          </cell>
          <cell r="L16">
            <v>56.6</v>
          </cell>
          <cell r="M16">
            <v>57.8</v>
          </cell>
          <cell r="N16">
            <v>56.1</v>
          </cell>
          <cell r="O16">
            <v>56.2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12.930999999999999</v>
          </cell>
          <cell r="D18">
            <v>51.6</v>
          </cell>
          <cell r="E18">
            <v>54</v>
          </cell>
          <cell r="F18">
            <v>56</v>
          </cell>
          <cell r="G18">
            <v>55.1</v>
          </cell>
          <cell r="H18">
            <v>56</v>
          </cell>
          <cell r="I18">
            <v>53.5</v>
          </cell>
          <cell r="J18">
            <v>56.2</v>
          </cell>
          <cell r="K18">
            <v>53.1</v>
          </cell>
          <cell r="L18">
            <v>56</v>
          </cell>
          <cell r="M18">
            <v>54.2</v>
          </cell>
          <cell r="N18">
            <v>55.9</v>
          </cell>
          <cell r="O18">
            <v>56.8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12.939</v>
          </cell>
          <cell r="D20">
            <v>51.4</v>
          </cell>
          <cell r="E20">
            <v>55.2</v>
          </cell>
          <cell r="F20">
            <v>53.9</v>
          </cell>
          <cell r="G20">
            <v>54.2</v>
          </cell>
          <cell r="H20">
            <v>53.4</v>
          </cell>
          <cell r="I20">
            <v>54</v>
          </cell>
          <cell r="J20">
            <v>55.3</v>
          </cell>
          <cell r="K20">
            <v>53.3</v>
          </cell>
          <cell r="L20">
            <v>55.7</v>
          </cell>
          <cell r="M20">
            <v>52.5</v>
          </cell>
          <cell r="N20">
            <v>55</v>
          </cell>
          <cell r="O20">
            <v>54.1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12.946999999999999</v>
          </cell>
          <cell r="D22">
            <v>52.1</v>
          </cell>
          <cell r="E22">
            <v>53.6</v>
          </cell>
          <cell r="F22">
            <v>56.3</v>
          </cell>
          <cell r="G22">
            <v>53.5</v>
          </cell>
          <cell r="H22">
            <v>56.6</v>
          </cell>
          <cell r="I22">
            <v>53.5</v>
          </cell>
          <cell r="J22">
            <v>55</v>
          </cell>
          <cell r="K22">
            <v>54.1</v>
          </cell>
          <cell r="L22">
            <v>54.8</v>
          </cell>
          <cell r="M22">
            <v>54.2</v>
          </cell>
          <cell r="N22">
            <v>56.1</v>
          </cell>
          <cell r="O22">
            <v>52.9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12.956</v>
          </cell>
          <cell r="D24">
            <v>53.3</v>
          </cell>
          <cell r="E24">
            <v>55.4</v>
          </cell>
          <cell r="F24">
            <v>55.7</v>
          </cell>
          <cell r="G24">
            <v>57.3</v>
          </cell>
          <cell r="H24">
            <v>54.7</v>
          </cell>
          <cell r="I24">
            <v>55.4</v>
          </cell>
          <cell r="J24">
            <v>55.7</v>
          </cell>
          <cell r="K24">
            <v>56.8</v>
          </cell>
          <cell r="L24">
            <v>55</v>
          </cell>
          <cell r="M24">
            <v>56.5</v>
          </cell>
          <cell r="N24">
            <v>56.8</v>
          </cell>
          <cell r="O24">
            <v>56.1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12.964</v>
          </cell>
          <cell r="D26">
            <v>53.3</v>
          </cell>
          <cell r="E26">
            <v>55.8</v>
          </cell>
          <cell r="F26">
            <v>56.1</v>
          </cell>
          <cell r="G26">
            <v>55.6</v>
          </cell>
          <cell r="H26">
            <v>54.7</v>
          </cell>
          <cell r="I26">
            <v>54.1</v>
          </cell>
          <cell r="J26">
            <v>55.9</v>
          </cell>
          <cell r="K26">
            <v>53.8</v>
          </cell>
          <cell r="L26">
            <v>55.5</v>
          </cell>
          <cell r="M26">
            <v>53.5</v>
          </cell>
          <cell r="N26">
            <v>55.3</v>
          </cell>
          <cell r="O26">
            <v>54.5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12.973000000000001</v>
          </cell>
          <cell r="D28">
            <v>53.4</v>
          </cell>
          <cell r="E28">
            <v>55.4</v>
          </cell>
          <cell r="F28">
            <v>55.3</v>
          </cell>
          <cell r="G28">
            <v>55.7</v>
          </cell>
          <cell r="H28">
            <v>56.2</v>
          </cell>
          <cell r="I28">
            <v>54.2</v>
          </cell>
          <cell r="J28">
            <v>55.9</v>
          </cell>
          <cell r="K28">
            <v>53.8</v>
          </cell>
          <cell r="L28">
            <v>57.5</v>
          </cell>
          <cell r="M28">
            <v>53.5</v>
          </cell>
          <cell r="N28">
            <v>56.7</v>
          </cell>
          <cell r="O28">
            <v>54.5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12.984999999999999</v>
          </cell>
          <cell r="D30">
            <v>52.8</v>
          </cell>
          <cell r="E30">
            <v>55</v>
          </cell>
          <cell r="F30">
            <v>56.5</v>
          </cell>
          <cell r="G30">
            <v>54.9</v>
          </cell>
          <cell r="H30">
            <v>55.5</v>
          </cell>
          <cell r="I30">
            <v>54.6</v>
          </cell>
          <cell r="J30">
            <v>54.7</v>
          </cell>
          <cell r="K30">
            <v>54.9</v>
          </cell>
          <cell r="L30">
            <v>55.5</v>
          </cell>
          <cell r="M30">
            <v>53.7</v>
          </cell>
          <cell r="N30">
            <v>54.8</v>
          </cell>
          <cell r="O30">
            <v>54.2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12.99</v>
          </cell>
          <cell r="D32">
            <v>55.3</v>
          </cell>
          <cell r="E32">
            <v>55.1</v>
          </cell>
          <cell r="F32">
            <v>55.9</v>
          </cell>
          <cell r="G32">
            <v>54.6</v>
          </cell>
          <cell r="H32">
            <v>56.2</v>
          </cell>
          <cell r="I32">
            <v>53.3</v>
          </cell>
          <cell r="J32">
            <v>55.8</v>
          </cell>
          <cell r="K32">
            <v>53.5</v>
          </cell>
          <cell r="L32">
            <v>55.4</v>
          </cell>
          <cell r="M32">
            <v>53.3</v>
          </cell>
          <cell r="N32">
            <v>55.2</v>
          </cell>
          <cell r="O32">
            <v>53.1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12.994999999999999</v>
          </cell>
          <cell r="D34">
            <v>55.4</v>
          </cell>
          <cell r="E34">
            <v>53.3</v>
          </cell>
          <cell r="F34">
            <v>56.9</v>
          </cell>
          <cell r="G34">
            <v>53.3</v>
          </cell>
          <cell r="H34">
            <v>57</v>
          </cell>
          <cell r="I34">
            <v>53.4</v>
          </cell>
          <cell r="J34">
            <v>57.1</v>
          </cell>
          <cell r="K34">
            <v>54.3</v>
          </cell>
          <cell r="L34">
            <v>59.9</v>
          </cell>
          <cell r="M34">
            <v>53.4</v>
          </cell>
          <cell r="N34">
            <v>57.1</v>
          </cell>
          <cell r="O34">
            <v>53.2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</v>
          </cell>
          <cell r="D36">
            <v>55.9</v>
          </cell>
          <cell r="E36">
            <v>52.6</v>
          </cell>
          <cell r="F36">
            <v>56.5</v>
          </cell>
          <cell r="G36">
            <v>53.5</v>
          </cell>
          <cell r="H36">
            <v>56.5</v>
          </cell>
          <cell r="I36">
            <v>54.8</v>
          </cell>
          <cell r="J36">
            <v>56.8</v>
          </cell>
          <cell r="K36">
            <v>54.1</v>
          </cell>
          <cell r="L36">
            <v>55.9</v>
          </cell>
          <cell r="M36">
            <v>53.6</v>
          </cell>
          <cell r="N36">
            <v>55.9</v>
          </cell>
          <cell r="O36">
            <v>54.6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13.005000000000001</v>
          </cell>
          <cell r="D38">
            <v>53.9</v>
          </cell>
          <cell r="E38">
            <v>53.6</v>
          </cell>
          <cell r="F38">
            <v>56.4</v>
          </cell>
          <cell r="G38">
            <v>53.8</v>
          </cell>
          <cell r="H38">
            <v>55.4</v>
          </cell>
          <cell r="I38">
            <v>52.2</v>
          </cell>
          <cell r="J38">
            <v>55.8</v>
          </cell>
          <cell r="K38">
            <v>51.5</v>
          </cell>
          <cell r="L38">
            <v>56.9</v>
          </cell>
          <cell r="M38">
            <v>52.6</v>
          </cell>
          <cell r="N38">
            <v>56.1</v>
          </cell>
          <cell r="O38">
            <v>52.9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13.01</v>
          </cell>
          <cell r="D40">
            <v>55.1</v>
          </cell>
          <cell r="E40">
            <v>53.3</v>
          </cell>
          <cell r="F40">
            <v>56.3</v>
          </cell>
          <cell r="G40">
            <v>52.7</v>
          </cell>
          <cell r="H40">
            <v>56.7</v>
          </cell>
          <cell r="I40">
            <v>53.2</v>
          </cell>
          <cell r="J40">
            <v>57</v>
          </cell>
          <cell r="K40">
            <v>55.3</v>
          </cell>
          <cell r="L40">
            <v>55.8</v>
          </cell>
          <cell r="M40">
            <v>53.2</v>
          </cell>
          <cell r="N40">
            <v>56.6</v>
          </cell>
          <cell r="O40">
            <v>54.9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13.015000000000001</v>
          </cell>
          <cell r="D42">
            <v>51.9</v>
          </cell>
          <cell r="E42">
            <v>55</v>
          </cell>
          <cell r="F42">
            <v>56.3</v>
          </cell>
          <cell r="G42">
            <v>54.8</v>
          </cell>
          <cell r="H42">
            <v>57.1</v>
          </cell>
          <cell r="I42">
            <v>53.9</v>
          </cell>
          <cell r="J42">
            <v>57.1</v>
          </cell>
          <cell r="K42">
            <v>53.9</v>
          </cell>
          <cell r="L42">
            <v>56.1</v>
          </cell>
          <cell r="M42">
            <v>53.6</v>
          </cell>
          <cell r="N42">
            <v>55.9</v>
          </cell>
          <cell r="O42">
            <v>53.7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13.02</v>
          </cell>
          <cell r="D44">
            <v>56.6</v>
          </cell>
          <cell r="E44">
            <v>52.5</v>
          </cell>
          <cell r="F44">
            <v>57.3</v>
          </cell>
          <cell r="G44">
            <v>53.4</v>
          </cell>
          <cell r="H44">
            <v>57.4</v>
          </cell>
          <cell r="I44">
            <v>52.9</v>
          </cell>
          <cell r="J44">
            <v>57</v>
          </cell>
          <cell r="K44">
            <v>55.8</v>
          </cell>
          <cell r="L44">
            <v>55.4</v>
          </cell>
          <cell r="M44">
            <v>53.9</v>
          </cell>
          <cell r="N44">
            <v>58.1</v>
          </cell>
          <cell r="O44">
            <v>55.3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13.03</v>
          </cell>
          <cell r="D46">
            <v>50.7</v>
          </cell>
          <cell r="E46">
            <v>53.1</v>
          </cell>
          <cell r="F46">
            <v>54.6</v>
          </cell>
          <cell r="G46">
            <v>53.7</v>
          </cell>
          <cell r="H46">
            <v>55</v>
          </cell>
          <cell r="I46">
            <v>53.2</v>
          </cell>
          <cell r="J46">
            <v>53.6</v>
          </cell>
          <cell r="K46">
            <v>54.7</v>
          </cell>
          <cell r="L46">
            <v>54.3</v>
          </cell>
          <cell r="M46">
            <v>53.1</v>
          </cell>
          <cell r="N46">
            <v>54</v>
          </cell>
          <cell r="O46">
            <v>53.6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13.037000000000001</v>
          </cell>
          <cell r="D48">
            <v>64.2</v>
          </cell>
          <cell r="E48">
            <v>63.9</v>
          </cell>
          <cell r="F48">
            <v>64</v>
          </cell>
          <cell r="G48">
            <v>62.1</v>
          </cell>
          <cell r="H48">
            <v>63.9</v>
          </cell>
          <cell r="I48">
            <v>63.1</v>
          </cell>
          <cell r="J48">
            <v>63.4</v>
          </cell>
          <cell r="K48">
            <v>63.8</v>
          </cell>
          <cell r="L48">
            <v>64.3</v>
          </cell>
          <cell r="M48">
            <v>65</v>
          </cell>
          <cell r="N48">
            <v>64.3</v>
          </cell>
          <cell r="O48">
            <v>64.900000000000006</v>
          </cell>
        </row>
        <row r="50">
          <cell r="A50">
            <v>906</v>
          </cell>
          <cell r="B50">
            <v>1</v>
          </cell>
          <cell r="C50">
            <v>13.042999999999999</v>
          </cell>
          <cell r="D50">
            <v>51.8</v>
          </cell>
          <cell r="E50">
            <v>54.8</v>
          </cell>
          <cell r="F50">
            <v>54.6</v>
          </cell>
          <cell r="G50">
            <v>54.5</v>
          </cell>
          <cell r="H50">
            <v>56.4</v>
          </cell>
          <cell r="I50">
            <v>55</v>
          </cell>
          <cell r="J50">
            <v>56.7</v>
          </cell>
          <cell r="K50">
            <v>53.1</v>
          </cell>
          <cell r="L50">
            <v>54.3</v>
          </cell>
          <cell r="M50">
            <v>53.8</v>
          </cell>
          <cell r="N50">
            <v>52.8</v>
          </cell>
          <cell r="O50">
            <v>54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13.051</v>
          </cell>
          <cell r="D52">
            <v>34.9</v>
          </cell>
          <cell r="E52">
            <v>35.299999999999997</v>
          </cell>
          <cell r="F52">
            <v>35.299999999999997</v>
          </cell>
          <cell r="G52">
            <v>35.4</v>
          </cell>
          <cell r="H52">
            <v>35.5</v>
          </cell>
          <cell r="I52">
            <v>36.799999999999997</v>
          </cell>
          <cell r="J52">
            <v>36.200000000000003</v>
          </cell>
          <cell r="K52">
            <v>36.1</v>
          </cell>
          <cell r="L52">
            <v>36.4</v>
          </cell>
          <cell r="M52">
            <v>34.200000000000003</v>
          </cell>
          <cell r="N52">
            <v>34.799999999999997</v>
          </cell>
          <cell r="O52">
            <v>33.9</v>
          </cell>
        </row>
        <row r="54">
          <cell r="A54">
            <v>904</v>
          </cell>
          <cell r="B54">
            <v>1</v>
          </cell>
          <cell r="C54">
            <v>13.058</v>
          </cell>
          <cell r="D54">
            <v>52</v>
          </cell>
          <cell r="E54">
            <v>52</v>
          </cell>
          <cell r="F54">
            <v>54.6</v>
          </cell>
          <cell r="G54">
            <v>54.2</v>
          </cell>
          <cell r="H54">
            <v>54.5</v>
          </cell>
          <cell r="I54">
            <v>53.9</v>
          </cell>
          <cell r="J54">
            <v>54.5</v>
          </cell>
          <cell r="K54">
            <v>53.6</v>
          </cell>
          <cell r="L54">
            <v>52.3</v>
          </cell>
          <cell r="M54">
            <v>53.2</v>
          </cell>
          <cell r="N54">
            <v>54.7</v>
          </cell>
          <cell r="O54">
            <v>55.4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13.067</v>
          </cell>
          <cell r="D56">
            <v>62.8</v>
          </cell>
          <cell r="E56">
            <v>63</v>
          </cell>
          <cell r="F56">
            <v>65.2</v>
          </cell>
          <cell r="G56">
            <v>64.8</v>
          </cell>
          <cell r="H56">
            <v>63.4</v>
          </cell>
          <cell r="I56">
            <v>63.5</v>
          </cell>
          <cell r="J56">
            <v>63.1</v>
          </cell>
          <cell r="K56">
            <v>63.3</v>
          </cell>
          <cell r="L56">
            <v>63.3</v>
          </cell>
          <cell r="M56">
            <v>63.7</v>
          </cell>
          <cell r="N56">
            <v>63.3</v>
          </cell>
          <cell r="O56">
            <v>63.5</v>
          </cell>
        </row>
        <row r="58">
          <cell r="A58">
            <v>902</v>
          </cell>
          <cell r="B58">
            <v>1</v>
          </cell>
          <cell r="C58">
            <v>13.073</v>
          </cell>
          <cell r="D58">
            <v>52.4</v>
          </cell>
          <cell r="E58">
            <v>54.8</v>
          </cell>
          <cell r="F58">
            <v>55.3</v>
          </cell>
          <cell r="G58">
            <v>54.8</v>
          </cell>
          <cell r="H58">
            <v>54.7</v>
          </cell>
          <cell r="I58">
            <v>53.4</v>
          </cell>
          <cell r="J58">
            <v>55</v>
          </cell>
          <cell r="K58">
            <v>54.7</v>
          </cell>
          <cell r="L58">
            <v>54.1</v>
          </cell>
          <cell r="M58">
            <v>54.1</v>
          </cell>
          <cell r="N58">
            <v>53.6</v>
          </cell>
          <cell r="O58">
            <v>53.9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13.08</v>
          </cell>
          <cell r="D60">
            <v>33</v>
          </cell>
          <cell r="E60">
            <v>33.1</v>
          </cell>
          <cell r="F60">
            <v>32.700000000000003</v>
          </cell>
          <cell r="G60">
            <v>32.6</v>
          </cell>
          <cell r="H60">
            <v>32.4</v>
          </cell>
          <cell r="I60">
            <v>33</v>
          </cell>
          <cell r="J60">
            <v>33.200000000000003</v>
          </cell>
          <cell r="K60">
            <v>33.299999999999997</v>
          </cell>
          <cell r="L60">
            <v>33</v>
          </cell>
          <cell r="M60">
            <v>34.4</v>
          </cell>
          <cell r="N60">
            <v>34</v>
          </cell>
          <cell r="O60">
            <v>33.299999999999997</v>
          </cell>
        </row>
        <row r="62">
          <cell r="A62">
            <v>301</v>
          </cell>
          <cell r="B62">
            <v>1</v>
          </cell>
          <cell r="C62">
            <v>13.090999999999999</v>
          </cell>
          <cell r="D62">
            <v>51.3</v>
          </cell>
          <cell r="E62">
            <v>51</v>
          </cell>
          <cell r="F62">
            <v>54.9</v>
          </cell>
          <cell r="G62">
            <v>52.6</v>
          </cell>
          <cell r="H62">
            <v>55.5</v>
          </cell>
          <cell r="I62">
            <v>53.2</v>
          </cell>
          <cell r="J62">
            <v>54.8</v>
          </cell>
          <cell r="K62">
            <v>53.5</v>
          </cell>
          <cell r="L62">
            <v>54.9</v>
          </cell>
          <cell r="M62">
            <v>52.9</v>
          </cell>
          <cell r="N62">
            <v>54.6</v>
          </cell>
          <cell r="O62">
            <v>54.7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13.096</v>
          </cell>
          <cell r="D64">
            <v>55.1</v>
          </cell>
          <cell r="E64">
            <v>51.6</v>
          </cell>
          <cell r="F64">
            <v>56.3</v>
          </cell>
          <cell r="G64">
            <v>53.4</v>
          </cell>
          <cell r="H64">
            <v>55.8</v>
          </cell>
          <cell r="I64">
            <v>52.7</v>
          </cell>
          <cell r="J64">
            <v>55.1</v>
          </cell>
          <cell r="K64">
            <v>53.1</v>
          </cell>
          <cell r="L64">
            <v>54.6</v>
          </cell>
          <cell r="M64">
            <v>53.3</v>
          </cell>
          <cell r="N64">
            <v>53.9</v>
          </cell>
          <cell r="O64">
            <v>53.8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13.101000000000001</v>
          </cell>
          <cell r="D66">
            <v>53.9</v>
          </cell>
          <cell r="E66">
            <v>53.9</v>
          </cell>
          <cell r="F66">
            <v>53.4</v>
          </cell>
          <cell r="G66">
            <v>54.6</v>
          </cell>
          <cell r="H66">
            <v>54.2</v>
          </cell>
          <cell r="I66">
            <v>55.6</v>
          </cell>
          <cell r="J66">
            <v>55.3</v>
          </cell>
          <cell r="K66">
            <v>56.8</v>
          </cell>
          <cell r="L66">
            <v>54.4</v>
          </cell>
          <cell r="M66">
            <v>56.1</v>
          </cell>
          <cell r="N66">
            <v>54</v>
          </cell>
          <cell r="O66">
            <v>55.9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13.106</v>
          </cell>
          <cell r="D68">
            <v>53.8</v>
          </cell>
          <cell r="E68">
            <v>54.7</v>
          </cell>
          <cell r="F68">
            <v>54.8</v>
          </cell>
          <cell r="G68">
            <v>56.1</v>
          </cell>
          <cell r="H68">
            <v>55.6</v>
          </cell>
          <cell r="I68">
            <v>57.3</v>
          </cell>
          <cell r="J68">
            <v>53.8</v>
          </cell>
          <cell r="K68">
            <v>56</v>
          </cell>
          <cell r="L68">
            <v>55.1</v>
          </cell>
          <cell r="M68">
            <v>55.7</v>
          </cell>
          <cell r="N68">
            <v>56.2</v>
          </cell>
          <cell r="O68">
            <v>55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13.111000000000001</v>
          </cell>
          <cell r="D70">
            <v>55.3</v>
          </cell>
          <cell r="E70">
            <v>56</v>
          </cell>
          <cell r="F70">
            <v>55</v>
          </cell>
          <cell r="G70">
            <v>54.8</v>
          </cell>
          <cell r="H70">
            <v>55.3</v>
          </cell>
          <cell r="I70">
            <v>53.6</v>
          </cell>
          <cell r="J70">
            <v>53.8</v>
          </cell>
          <cell r="K70">
            <v>57.1</v>
          </cell>
          <cell r="L70">
            <v>54.5</v>
          </cell>
          <cell r="M70">
            <v>56.5</v>
          </cell>
          <cell r="N70">
            <v>52.2</v>
          </cell>
          <cell r="O70">
            <v>56.9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13.116</v>
          </cell>
          <cell r="D72">
            <v>53.7</v>
          </cell>
          <cell r="E72">
            <v>54.4</v>
          </cell>
          <cell r="F72">
            <v>56.4</v>
          </cell>
          <cell r="G72">
            <v>53.6</v>
          </cell>
          <cell r="H72">
            <v>54.7</v>
          </cell>
          <cell r="I72">
            <v>55.1</v>
          </cell>
          <cell r="J72">
            <v>55.5</v>
          </cell>
          <cell r="K72">
            <v>54.9</v>
          </cell>
          <cell r="L72">
            <v>54.1</v>
          </cell>
          <cell r="M72">
            <v>54.4</v>
          </cell>
          <cell r="N72">
            <v>55.1</v>
          </cell>
          <cell r="O72">
            <v>55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13.122</v>
          </cell>
          <cell r="D74">
            <v>52.7</v>
          </cell>
          <cell r="E74">
            <v>56.6</v>
          </cell>
          <cell r="F74">
            <v>55.9</v>
          </cell>
          <cell r="G74">
            <v>56.2</v>
          </cell>
          <cell r="H74">
            <v>54.4</v>
          </cell>
          <cell r="I74">
            <v>56</v>
          </cell>
          <cell r="J74">
            <v>54.6</v>
          </cell>
          <cell r="K74">
            <v>56.9</v>
          </cell>
          <cell r="L74">
            <v>57</v>
          </cell>
          <cell r="M74">
            <v>54.2</v>
          </cell>
          <cell r="N74">
            <v>56</v>
          </cell>
          <cell r="O74">
            <v>56.6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13.127000000000001</v>
          </cell>
          <cell r="D76">
            <v>54.3</v>
          </cell>
          <cell r="E76">
            <v>55.8</v>
          </cell>
          <cell r="F76">
            <v>55</v>
          </cell>
          <cell r="G76">
            <v>55.4</v>
          </cell>
          <cell r="H76">
            <v>55.4</v>
          </cell>
          <cell r="I76">
            <v>55.3</v>
          </cell>
          <cell r="J76">
            <v>55.7</v>
          </cell>
          <cell r="K76">
            <v>55.1</v>
          </cell>
          <cell r="L76">
            <v>57.3</v>
          </cell>
          <cell r="M76">
            <v>54.4</v>
          </cell>
          <cell r="N76">
            <v>55.2</v>
          </cell>
          <cell r="O76">
            <v>55.1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13.14</v>
          </cell>
          <cell r="D78">
            <v>51.6</v>
          </cell>
          <cell r="E78">
            <v>51.9</v>
          </cell>
          <cell r="F78">
            <v>56.8</v>
          </cell>
          <cell r="G78">
            <v>54</v>
          </cell>
          <cell r="H78">
            <v>57</v>
          </cell>
          <cell r="I78">
            <v>53.9</v>
          </cell>
          <cell r="J78">
            <v>56.7</v>
          </cell>
          <cell r="K78">
            <v>55.9</v>
          </cell>
          <cell r="L78">
            <v>52.9</v>
          </cell>
          <cell r="M78">
            <v>56.9</v>
          </cell>
          <cell r="N78">
            <v>52.2</v>
          </cell>
          <cell r="O78">
            <v>55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13.148999999999999</v>
          </cell>
          <cell r="D80">
            <v>52.6</v>
          </cell>
          <cell r="E80">
            <v>54.7</v>
          </cell>
          <cell r="F80">
            <v>57</v>
          </cell>
          <cell r="G80">
            <v>55.1</v>
          </cell>
          <cell r="H80">
            <v>57.8</v>
          </cell>
          <cell r="I80">
            <v>54.5</v>
          </cell>
          <cell r="J80">
            <v>55.7</v>
          </cell>
          <cell r="K80">
            <v>56</v>
          </cell>
          <cell r="L80">
            <v>55.6</v>
          </cell>
          <cell r="M80">
            <v>55.2</v>
          </cell>
          <cell r="N80">
            <v>53.6</v>
          </cell>
          <cell r="O80">
            <v>56.9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13.157</v>
          </cell>
          <cell r="D82">
            <v>51.5</v>
          </cell>
          <cell r="E82">
            <v>53.8</v>
          </cell>
          <cell r="F82">
            <v>56.3</v>
          </cell>
          <cell r="G82">
            <v>55.1</v>
          </cell>
          <cell r="H82">
            <v>56.5</v>
          </cell>
          <cell r="I82">
            <v>53.6</v>
          </cell>
          <cell r="J82">
            <v>54.8</v>
          </cell>
          <cell r="K82">
            <v>53.8</v>
          </cell>
          <cell r="L82">
            <v>53.8</v>
          </cell>
          <cell r="M82">
            <v>52.9</v>
          </cell>
          <cell r="N82">
            <v>54.7</v>
          </cell>
          <cell r="O82">
            <v>57.1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13.166</v>
          </cell>
          <cell r="D84">
            <v>52.3</v>
          </cell>
          <cell r="E84">
            <v>55.6</v>
          </cell>
          <cell r="F84">
            <v>56.6</v>
          </cell>
          <cell r="G84">
            <v>56</v>
          </cell>
          <cell r="H84">
            <v>56.1</v>
          </cell>
          <cell r="I84">
            <v>54.9</v>
          </cell>
          <cell r="J84">
            <v>55.6</v>
          </cell>
          <cell r="K84">
            <v>54.5</v>
          </cell>
          <cell r="L84">
            <v>56.3</v>
          </cell>
          <cell r="M84">
            <v>53.5</v>
          </cell>
          <cell r="N84">
            <v>56.4</v>
          </cell>
          <cell r="O84">
            <v>53.6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13.173999999999999</v>
          </cell>
          <cell r="D86">
            <v>53.2</v>
          </cell>
          <cell r="E86">
            <v>56.9</v>
          </cell>
          <cell r="F86">
            <v>55.6</v>
          </cell>
          <cell r="G86">
            <v>57</v>
          </cell>
          <cell r="H86">
            <v>55.6</v>
          </cell>
          <cell r="I86">
            <v>57.5</v>
          </cell>
          <cell r="J86">
            <v>55.7</v>
          </cell>
          <cell r="K86">
            <v>57.2</v>
          </cell>
          <cell r="L86">
            <v>54.7</v>
          </cell>
          <cell r="M86">
            <v>54.8</v>
          </cell>
          <cell r="N86">
            <v>53.8</v>
          </cell>
          <cell r="O86">
            <v>56.7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13.182</v>
          </cell>
          <cell r="D88">
            <v>53.1</v>
          </cell>
          <cell r="E88">
            <v>54.1</v>
          </cell>
          <cell r="F88">
            <v>56.9</v>
          </cell>
          <cell r="G88">
            <v>55.9</v>
          </cell>
          <cell r="H88">
            <v>55.1</v>
          </cell>
          <cell r="I88">
            <v>56.3</v>
          </cell>
          <cell r="J88">
            <v>53.9</v>
          </cell>
          <cell r="K88">
            <v>57.8</v>
          </cell>
          <cell r="L88">
            <v>54.2</v>
          </cell>
          <cell r="M88">
            <v>55.8</v>
          </cell>
          <cell r="N88">
            <v>54.6</v>
          </cell>
          <cell r="O88">
            <v>55.4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13.191000000000001</v>
          </cell>
          <cell r="D90">
            <v>52.5</v>
          </cell>
          <cell r="E90">
            <v>54.5</v>
          </cell>
          <cell r="F90">
            <v>55.5</v>
          </cell>
          <cell r="G90">
            <v>55.6</v>
          </cell>
          <cell r="H90">
            <v>54.5</v>
          </cell>
          <cell r="I90">
            <v>54.7</v>
          </cell>
          <cell r="J90">
            <v>54.8</v>
          </cell>
          <cell r="K90">
            <v>53.9</v>
          </cell>
          <cell r="L90">
            <v>53.8</v>
          </cell>
          <cell r="M90">
            <v>53.1</v>
          </cell>
          <cell r="N90">
            <v>52.5</v>
          </cell>
          <cell r="O90">
            <v>53.5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13.231999999999999</v>
          </cell>
          <cell r="D92">
            <v>52</v>
          </cell>
          <cell r="E92">
            <v>54.6</v>
          </cell>
          <cell r="F92">
            <v>55.8</v>
          </cell>
          <cell r="G92">
            <v>54.8</v>
          </cell>
          <cell r="H92">
            <v>55</v>
          </cell>
          <cell r="I92">
            <v>54.9</v>
          </cell>
          <cell r="J92">
            <v>55.3</v>
          </cell>
          <cell r="K92">
            <v>55</v>
          </cell>
          <cell r="L92">
            <v>54.5</v>
          </cell>
          <cell r="M92">
            <v>54.2</v>
          </cell>
          <cell r="N92">
            <v>53.7</v>
          </cell>
          <cell r="O92">
            <v>55.4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139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36.1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'IA136.03R'</v>
          </cell>
        </row>
        <row r="14">
          <cell r="A14">
            <v>108</v>
          </cell>
          <cell r="B14">
            <v>1</v>
          </cell>
          <cell r="C14">
            <v>13.307</v>
          </cell>
          <cell r="D14">
            <v>50</v>
          </cell>
          <cell r="E14">
            <v>50.9</v>
          </cell>
          <cell r="F14">
            <v>56</v>
          </cell>
          <cell r="G14">
            <v>53</v>
          </cell>
          <cell r="H14">
            <v>56</v>
          </cell>
          <cell r="I14">
            <v>50.4</v>
          </cell>
          <cell r="J14">
            <v>56.3</v>
          </cell>
          <cell r="K14">
            <v>50.3</v>
          </cell>
          <cell r="L14">
            <v>55.4</v>
          </cell>
          <cell r="M14">
            <v>50</v>
          </cell>
          <cell r="N14">
            <v>55.4</v>
          </cell>
          <cell r="O14">
            <v>50.1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13.315</v>
          </cell>
          <cell r="D16">
            <v>50.6</v>
          </cell>
          <cell r="E16">
            <v>50.8</v>
          </cell>
          <cell r="F16">
            <v>56.5</v>
          </cell>
          <cell r="G16">
            <v>51.4</v>
          </cell>
          <cell r="H16">
            <v>56.1</v>
          </cell>
          <cell r="I16">
            <v>51.3</v>
          </cell>
          <cell r="J16">
            <v>57.4</v>
          </cell>
          <cell r="K16">
            <v>52</v>
          </cell>
          <cell r="L16">
            <v>56.3</v>
          </cell>
          <cell r="M16">
            <v>51.4</v>
          </cell>
          <cell r="N16">
            <v>57.2</v>
          </cell>
          <cell r="O16">
            <v>52.2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13.323</v>
          </cell>
          <cell r="D18">
            <v>49.6</v>
          </cell>
          <cell r="E18">
            <v>49.7</v>
          </cell>
          <cell r="F18">
            <v>56.1</v>
          </cell>
          <cell r="G18">
            <v>51</v>
          </cell>
          <cell r="H18">
            <v>55.5</v>
          </cell>
          <cell r="I18">
            <v>51</v>
          </cell>
          <cell r="J18">
            <v>55.8</v>
          </cell>
          <cell r="K18">
            <v>51.4</v>
          </cell>
          <cell r="L18">
            <v>54.8</v>
          </cell>
          <cell r="M18">
            <v>51.2</v>
          </cell>
          <cell r="N18">
            <v>55.4</v>
          </cell>
          <cell r="O18">
            <v>52.9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13.331</v>
          </cell>
          <cell r="D20">
            <v>49.6</v>
          </cell>
          <cell r="E20">
            <v>49.5</v>
          </cell>
          <cell r="F20">
            <v>55.8</v>
          </cell>
          <cell r="G20">
            <v>52</v>
          </cell>
          <cell r="H20">
            <v>53.2</v>
          </cell>
          <cell r="I20">
            <v>49.8</v>
          </cell>
          <cell r="J20">
            <v>55.8</v>
          </cell>
          <cell r="K20">
            <v>50.6</v>
          </cell>
          <cell r="L20">
            <v>55.8</v>
          </cell>
          <cell r="M20">
            <v>49.8</v>
          </cell>
          <cell r="N20">
            <v>55.4</v>
          </cell>
          <cell r="O20">
            <v>50.3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13.34</v>
          </cell>
          <cell r="D22">
            <v>50.5</v>
          </cell>
          <cell r="E22">
            <v>50.1</v>
          </cell>
          <cell r="F22">
            <v>56</v>
          </cell>
          <cell r="G22">
            <v>51.2</v>
          </cell>
          <cell r="H22">
            <v>56.7</v>
          </cell>
          <cell r="I22">
            <v>52.2</v>
          </cell>
          <cell r="J22">
            <v>55.8</v>
          </cell>
          <cell r="K22">
            <v>51.8</v>
          </cell>
          <cell r="L22">
            <v>55.1</v>
          </cell>
          <cell r="M22">
            <v>50.8</v>
          </cell>
          <cell r="N22">
            <v>55.6</v>
          </cell>
          <cell r="O22">
            <v>51.3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13.348000000000001</v>
          </cell>
          <cell r="D24">
            <v>52.2</v>
          </cell>
          <cell r="E24">
            <v>51.4</v>
          </cell>
          <cell r="F24">
            <v>56.3</v>
          </cell>
          <cell r="G24">
            <v>52.9</v>
          </cell>
          <cell r="H24">
            <v>55.5</v>
          </cell>
          <cell r="I24">
            <v>51.5</v>
          </cell>
          <cell r="J24">
            <v>55.2</v>
          </cell>
          <cell r="K24">
            <v>53.1</v>
          </cell>
          <cell r="L24">
            <v>55.5</v>
          </cell>
          <cell r="M24">
            <v>51.2</v>
          </cell>
          <cell r="N24">
            <v>55.9</v>
          </cell>
          <cell r="O24">
            <v>52.3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13.356</v>
          </cell>
          <cell r="D26">
            <v>51.3</v>
          </cell>
          <cell r="E26">
            <v>51.2</v>
          </cell>
          <cell r="F26">
            <v>55.5</v>
          </cell>
          <cell r="G26">
            <v>52.8</v>
          </cell>
          <cell r="H26">
            <v>54.2</v>
          </cell>
          <cell r="I26">
            <v>52.2</v>
          </cell>
          <cell r="J26">
            <v>53.3</v>
          </cell>
          <cell r="K26">
            <v>52.5</v>
          </cell>
          <cell r="L26">
            <v>53</v>
          </cell>
          <cell r="M26">
            <v>51.4</v>
          </cell>
          <cell r="N26">
            <v>52.8</v>
          </cell>
          <cell r="O26">
            <v>52.4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13.365</v>
          </cell>
          <cell r="D28">
            <v>50.4</v>
          </cell>
          <cell r="E28">
            <v>51.4</v>
          </cell>
          <cell r="F28">
            <v>53.3</v>
          </cell>
          <cell r="G28">
            <v>53.7</v>
          </cell>
          <cell r="H28">
            <v>54.2</v>
          </cell>
          <cell r="I28">
            <v>52.3</v>
          </cell>
          <cell r="J28">
            <v>54</v>
          </cell>
          <cell r="K28">
            <v>52</v>
          </cell>
          <cell r="L28">
            <v>55.6</v>
          </cell>
          <cell r="M28">
            <v>52.6</v>
          </cell>
          <cell r="N28">
            <v>52.8</v>
          </cell>
          <cell r="O28">
            <v>54.2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13.377000000000001</v>
          </cell>
          <cell r="D30">
            <v>53.4</v>
          </cell>
          <cell r="E30">
            <v>51.8</v>
          </cell>
          <cell r="F30">
            <v>54.4</v>
          </cell>
          <cell r="G30">
            <v>52.8</v>
          </cell>
          <cell r="H30">
            <v>54.9</v>
          </cell>
          <cell r="I30">
            <v>52.3</v>
          </cell>
          <cell r="J30">
            <v>54.4</v>
          </cell>
          <cell r="K30">
            <v>52.1</v>
          </cell>
          <cell r="L30">
            <v>55.6</v>
          </cell>
          <cell r="M30">
            <v>52.3</v>
          </cell>
          <cell r="N30">
            <v>54.5</v>
          </cell>
          <cell r="O30">
            <v>51.5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13.382</v>
          </cell>
          <cell r="D32">
            <v>51.6</v>
          </cell>
          <cell r="E32">
            <v>50.8</v>
          </cell>
          <cell r="F32">
            <v>55.4</v>
          </cell>
          <cell r="G32">
            <v>53.2</v>
          </cell>
          <cell r="H32">
            <v>54.3</v>
          </cell>
          <cell r="I32">
            <v>52.4</v>
          </cell>
          <cell r="J32">
            <v>54</v>
          </cell>
          <cell r="K32">
            <v>51.9</v>
          </cell>
          <cell r="L32">
            <v>53.3</v>
          </cell>
          <cell r="M32">
            <v>51.9</v>
          </cell>
          <cell r="N32">
            <v>52.8</v>
          </cell>
          <cell r="O32">
            <v>52.5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13.387</v>
          </cell>
          <cell r="D34">
            <v>50.8</v>
          </cell>
          <cell r="E34">
            <v>50.7</v>
          </cell>
          <cell r="F34">
            <v>55.9</v>
          </cell>
          <cell r="G34">
            <v>51.6</v>
          </cell>
          <cell r="H34">
            <v>55.3</v>
          </cell>
          <cell r="I34">
            <v>52.1</v>
          </cell>
          <cell r="J34">
            <v>54.4</v>
          </cell>
          <cell r="K34">
            <v>54.3</v>
          </cell>
          <cell r="L34">
            <v>55.8</v>
          </cell>
          <cell r="M34">
            <v>52.3</v>
          </cell>
          <cell r="N34">
            <v>55.4</v>
          </cell>
          <cell r="O34">
            <v>53.2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13.391999999999999</v>
          </cell>
          <cell r="D36">
            <v>54.8</v>
          </cell>
          <cell r="E36">
            <v>51.2</v>
          </cell>
          <cell r="F36">
            <v>54.5</v>
          </cell>
          <cell r="G36">
            <v>51.4</v>
          </cell>
          <cell r="H36">
            <v>55.9</v>
          </cell>
          <cell r="I36">
            <v>53.2</v>
          </cell>
          <cell r="J36">
            <v>55.2</v>
          </cell>
          <cell r="K36">
            <v>52.9</v>
          </cell>
          <cell r="L36">
            <v>54.6</v>
          </cell>
          <cell r="M36">
            <v>51.7</v>
          </cell>
          <cell r="N36">
            <v>54.3</v>
          </cell>
          <cell r="O36">
            <v>53.4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13.398</v>
          </cell>
          <cell r="D38">
            <v>51.3</v>
          </cell>
          <cell r="E38">
            <v>49.7</v>
          </cell>
          <cell r="F38">
            <v>55.2</v>
          </cell>
          <cell r="G38">
            <v>51.7</v>
          </cell>
          <cell r="H38">
            <v>54.1</v>
          </cell>
          <cell r="I38">
            <v>50.6</v>
          </cell>
          <cell r="J38">
            <v>53</v>
          </cell>
          <cell r="K38">
            <v>49.8</v>
          </cell>
          <cell r="L38">
            <v>55.3</v>
          </cell>
          <cell r="M38">
            <v>50.6</v>
          </cell>
          <cell r="N38">
            <v>54.5</v>
          </cell>
          <cell r="O38">
            <v>53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13.403</v>
          </cell>
          <cell r="D40">
            <v>54.3</v>
          </cell>
          <cell r="E40">
            <v>52.6</v>
          </cell>
          <cell r="F40">
            <v>54.1</v>
          </cell>
          <cell r="G40">
            <v>52.5</v>
          </cell>
          <cell r="H40">
            <v>53.8</v>
          </cell>
          <cell r="I40">
            <v>52</v>
          </cell>
          <cell r="J40">
            <v>55.2</v>
          </cell>
          <cell r="K40">
            <v>52.6</v>
          </cell>
          <cell r="L40">
            <v>53.4</v>
          </cell>
          <cell r="M40">
            <v>52.6</v>
          </cell>
          <cell r="N40">
            <v>53.3</v>
          </cell>
          <cell r="O40">
            <v>55.2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13.407999999999999</v>
          </cell>
          <cell r="D42">
            <v>50.1</v>
          </cell>
          <cell r="E42">
            <v>50.3</v>
          </cell>
          <cell r="F42">
            <v>55.3</v>
          </cell>
          <cell r="G42">
            <v>53.4</v>
          </cell>
          <cell r="H42">
            <v>54</v>
          </cell>
          <cell r="I42">
            <v>52.6</v>
          </cell>
          <cell r="J42">
            <v>53.7</v>
          </cell>
          <cell r="K42">
            <v>52.6</v>
          </cell>
          <cell r="L42">
            <v>54.8</v>
          </cell>
          <cell r="M42">
            <v>51.7</v>
          </cell>
          <cell r="N42">
            <v>54.2</v>
          </cell>
          <cell r="O42">
            <v>52.7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13.413</v>
          </cell>
          <cell r="D44">
            <v>49.8</v>
          </cell>
          <cell r="E44">
            <v>51.5</v>
          </cell>
          <cell r="F44">
            <v>54.7</v>
          </cell>
          <cell r="G44">
            <v>52.5</v>
          </cell>
          <cell r="H44">
            <v>55.1</v>
          </cell>
          <cell r="I44">
            <v>52.9</v>
          </cell>
          <cell r="J44">
            <v>54.9</v>
          </cell>
          <cell r="K44">
            <v>54</v>
          </cell>
          <cell r="L44">
            <v>53.4</v>
          </cell>
          <cell r="M44">
            <v>53.6</v>
          </cell>
          <cell r="N44">
            <v>55.1</v>
          </cell>
          <cell r="O44">
            <v>54.4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13.038</v>
          </cell>
          <cell r="D46">
            <v>48.3</v>
          </cell>
          <cell r="E46">
            <v>52.8</v>
          </cell>
          <cell r="F46">
            <v>52.6</v>
          </cell>
          <cell r="G46">
            <v>53.6</v>
          </cell>
          <cell r="H46">
            <v>52.4</v>
          </cell>
          <cell r="I46">
            <v>52.6</v>
          </cell>
          <cell r="J46">
            <v>53</v>
          </cell>
          <cell r="K46">
            <v>51.2</v>
          </cell>
          <cell r="L46">
            <v>54.2</v>
          </cell>
          <cell r="M46">
            <v>50.3</v>
          </cell>
          <cell r="N46">
            <v>54.2</v>
          </cell>
          <cell r="O46">
            <v>51.3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13.045999999999999</v>
          </cell>
          <cell r="D48">
            <v>62.3</v>
          </cell>
          <cell r="E48">
            <v>63.9</v>
          </cell>
          <cell r="F48">
            <v>63.6</v>
          </cell>
          <cell r="G48">
            <v>63.4</v>
          </cell>
          <cell r="H48">
            <v>63.3</v>
          </cell>
          <cell r="I48">
            <v>63.2</v>
          </cell>
          <cell r="J48">
            <v>63.5</v>
          </cell>
          <cell r="K48">
            <v>63.4</v>
          </cell>
          <cell r="L48">
            <v>63.4</v>
          </cell>
          <cell r="M48">
            <v>63.4</v>
          </cell>
          <cell r="N48">
            <v>63.2</v>
          </cell>
          <cell r="O48">
            <v>63.1</v>
          </cell>
        </row>
        <row r="50">
          <cell r="A50">
            <v>906</v>
          </cell>
          <cell r="B50">
            <v>1</v>
          </cell>
          <cell r="C50">
            <v>13.053000000000001</v>
          </cell>
          <cell r="D50">
            <v>50.4</v>
          </cell>
          <cell r="E50">
            <v>53.2</v>
          </cell>
          <cell r="F50">
            <v>53.1</v>
          </cell>
          <cell r="G50">
            <v>52.8</v>
          </cell>
          <cell r="H50">
            <v>55.5</v>
          </cell>
          <cell r="I50">
            <v>52</v>
          </cell>
          <cell r="J50">
            <v>54.8</v>
          </cell>
          <cell r="K50">
            <v>51.2</v>
          </cell>
          <cell r="L50">
            <v>54.4</v>
          </cell>
          <cell r="M50">
            <v>50.8</v>
          </cell>
          <cell r="N50">
            <v>52.8</v>
          </cell>
          <cell r="O50">
            <v>51.6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13.061</v>
          </cell>
          <cell r="D52">
            <v>34.9</v>
          </cell>
          <cell r="E52">
            <v>35</v>
          </cell>
          <cell r="F52">
            <v>35.4</v>
          </cell>
          <cell r="G52">
            <v>35.299999999999997</v>
          </cell>
          <cell r="H52">
            <v>34.9</v>
          </cell>
          <cell r="I52">
            <v>34.799999999999997</v>
          </cell>
          <cell r="J52">
            <v>35.700000000000003</v>
          </cell>
          <cell r="K52">
            <v>35.5</v>
          </cell>
          <cell r="L52">
            <v>35</v>
          </cell>
          <cell r="M52">
            <v>35</v>
          </cell>
          <cell r="N52">
            <v>34.9</v>
          </cell>
          <cell r="O52">
            <v>34.799999999999997</v>
          </cell>
        </row>
        <row r="54">
          <cell r="A54">
            <v>904</v>
          </cell>
          <cell r="B54">
            <v>1</v>
          </cell>
          <cell r="C54">
            <v>13.067</v>
          </cell>
          <cell r="D54">
            <v>50.3</v>
          </cell>
          <cell r="E54">
            <v>51.1</v>
          </cell>
          <cell r="F54">
            <v>53.6</v>
          </cell>
          <cell r="G54">
            <v>51.6</v>
          </cell>
          <cell r="H54">
            <v>54.7</v>
          </cell>
          <cell r="I54">
            <v>50.6</v>
          </cell>
          <cell r="J54">
            <v>54.3</v>
          </cell>
          <cell r="K54">
            <v>50.7</v>
          </cell>
          <cell r="L54">
            <v>51.5</v>
          </cell>
          <cell r="M54">
            <v>49.3</v>
          </cell>
          <cell r="N54">
            <v>54.4</v>
          </cell>
          <cell r="O54">
            <v>52.9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13.074999999999999</v>
          </cell>
          <cell r="D56">
            <v>63.1</v>
          </cell>
          <cell r="E56">
            <v>63.1</v>
          </cell>
          <cell r="F56">
            <v>63.5</v>
          </cell>
          <cell r="G56">
            <v>63.3</v>
          </cell>
          <cell r="H56">
            <v>63.4</v>
          </cell>
          <cell r="I56">
            <v>63.3</v>
          </cell>
          <cell r="J56">
            <v>62.9</v>
          </cell>
          <cell r="K56">
            <v>62.6</v>
          </cell>
          <cell r="L56">
            <v>62.2</v>
          </cell>
          <cell r="M56">
            <v>62</v>
          </cell>
          <cell r="N56">
            <v>62.4</v>
          </cell>
          <cell r="O56">
            <v>63</v>
          </cell>
        </row>
        <row r="58">
          <cell r="A58">
            <v>902</v>
          </cell>
          <cell r="B58">
            <v>1</v>
          </cell>
          <cell r="C58">
            <v>13.085000000000001</v>
          </cell>
          <cell r="D58">
            <v>50.2</v>
          </cell>
          <cell r="E58">
            <v>51.4</v>
          </cell>
          <cell r="F58">
            <v>53.9</v>
          </cell>
          <cell r="G58">
            <v>53.3</v>
          </cell>
          <cell r="H58">
            <v>52.8</v>
          </cell>
          <cell r="I58">
            <v>52.5</v>
          </cell>
          <cell r="J58">
            <v>52.8</v>
          </cell>
          <cell r="K58">
            <v>52</v>
          </cell>
          <cell r="L58">
            <v>53</v>
          </cell>
          <cell r="M58">
            <v>50.9</v>
          </cell>
          <cell r="N58">
            <v>53</v>
          </cell>
          <cell r="O58">
            <v>53.2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13.093</v>
          </cell>
          <cell r="D60">
            <v>35.9</v>
          </cell>
          <cell r="E60">
            <v>36.700000000000003</v>
          </cell>
          <cell r="F60">
            <v>36.799999999999997</v>
          </cell>
          <cell r="G60">
            <v>36.700000000000003</v>
          </cell>
          <cell r="H60">
            <v>36.799999999999997</v>
          </cell>
          <cell r="I60">
            <v>35.200000000000003</v>
          </cell>
          <cell r="J60">
            <v>34.5</v>
          </cell>
          <cell r="K60">
            <v>34.700000000000003</v>
          </cell>
          <cell r="L60">
            <v>34.299999999999997</v>
          </cell>
          <cell r="M60">
            <v>35</v>
          </cell>
          <cell r="N60">
            <v>35.799999999999997</v>
          </cell>
          <cell r="O60">
            <v>35.700000000000003</v>
          </cell>
        </row>
        <row r="62">
          <cell r="A62">
            <v>301</v>
          </cell>
          <cell r="B62">
            <v>1</v>
          </cell>
          <cell r="C62">
            <v>13.103999999999999</v>
          </cell>
          <cell r="D62">
            <v>51.2</v>
          </cell>
          <cell r="E62">
            <v>48.5</v>
          </cell>
          <cell r="F62">
            <v>50.3</v>
          </cell>
          <cell r="G62">
            <v>40.200000000000003</v>
          </cell>
          <cell r="H62">
            <v>43.9</v>
          </cell>
          <cell r="I62">
            <v>39.4</v>
          </cell>
          <cell r="J62">
            <v>44</v>
          </cell>
          <cell r="K62">
            <v>50.5</v>
          </cell>
          <cell r="L62">
            <v>54.1</v>
          </cell>
          <cell r="M62">
            <v>50.3</v>
          </cell>
          <cell r="N62">
            <v>53.7</v>
          </cell>
          <cell r="O62">
            <v>51.4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13.109</v>
          </cell>
          <cell r="D64">
            <v>49</v>
          </cell>
          <cell r="E64">
            <v>48.1</v>
          </cell>
          <cell r="F64">
            <v>55.2</v>
          </cell>
          <cell r="G64">
            <v>49.5</v>
          </cell>
          <cell r="H64">
            <v>54.3</v>
          </cell>
          <cell r="I64">
            <v>48.5</v>
          </cell>
          <cell r="J64">
            <v>54.4</v>
          </cell>
          <cell r="K64">
            <v>52.6</v>
          </cell>
          <cell r="L64">
            <v>53.8</v>
          </cell>
          <cell r="M64">
            <v>48.3</v>
          </cell>
          <cell r="N64">
            <v>53</v>
          </cell>
          <cell r="O64">
            <v>49.7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13.115</v>
          </cell>
          <cell r="D66">
            <v>49.1</v>
          </cell>
          <cell r="E66">
            <v>49</v>
          </cell>
          <cell r="F66">
            <v>53.6</v>
          </cell>
          <cell r="G66">
            <v>49.5</v>
          </cell>
          <cell r="H66">
            <v>52.4</v>
          </cell>
          <cell r="I66">
            <v>48.7</v>
          </cell>
          <cell r="J66">
            <v>54.1</v>
          </cell>
          <cell r="K66">
            <v>50</v>
          </cell>
          <cell r="L66">
            <v>54.9</v>
          </cell>
          <cell r="M66">
            <v>49.7</v>
          </cell>
          <cell r="N66">
            <v>55</v>
          </cell>
          <cell r="O66">
            <v>51.8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13.12</v>
          </cell>
          <cell r="D68">
            <v>52</v>
          </cell>
          <cell r="E68">
            <v>50</v>
          </cell>
          <cell r="F68">
            <v>53.6</v>
          </cell>
          <cell r="G68">
            <v>50.2</v>
          </cell>
          <cell r="H68">
            <v>54.6</v>
          </cell>
          <cell r="I68">
            <v>52.1</v>
          </cell>
          <cell r="J68">
            <v>54.1</v>
          </cell>
          <cell r="K68">
            <v>51.4</v>
          </cell>
          <cell r="L68">
            <v>53.9</v>
          </cell>
          <cell r="M68">
            <v>50.1</v>
          </cell>
          <cell r="N68">
            <v>54.8</v>
          </cell>
          <cell r="O68">
            <v>50.9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13.127000000000001</v>
          </cell>
          <cell r="D70">
            <v>48.7</v>
          </cell>
          <cell r="E70">
            <v>51.5</v>
          </cell>
          <cell r="F70">
            <v>52.9</v>
          </cell>
          <cell r="G70">
            <v>51.1</v>
          </cell>
          <cell r="H70">
            <v>54.9</v>
          </cell>
          <cell r="I70">
            <v>49.6</v>
          </cell>
          <cell r="J70">
            <v>53.8</v>
          </cell>
          <cell r="K70">
            <v>50.9</v>
          </cell>
          <cell r="L70">
            <v>53.6</v>
          </cell>
          <cell r="M70">
            <v>51.6</v>
          </cell>
          <cell r="N70">
            <v>53.2</v>
          </cell>
          <cell r="O70">
            <v>50.4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13.132</v>
          </cell>
          <cell r="D72">
            <v>51.1</v>
          </cell>
          <cell r="E72">
            <v>49.8</v>
          </cell>
          <cell r="F72">
            <v>55.1</v>
          </cell>
          <cell r="G72">
            <v>49.9</v>
          </cell>
          <cell r="H72">
            <v>54.7</v>
          </cell>
          <cell r="I72">
            <v>49.7</v>
          </cell>
          <cell r="J72">
            <v>54.4</v>
          </cell>
          <cell r="K72">
            <v>50.7</v>
          </cell>
          <cell r="L72">
            <v>53.5</v>
          </cell>
          <cell r="M72">
            <v>50.2</v>
          </cell>
          <cell r="N72">
            <v>53.7</v>
          </cell>
          <cell r="O72">
            <v>51.8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13.138</v>
          </cell>
          <cell r="D74">
            <v>50.9</v>
          </cell>
          <cell r="E74">
            <v>51.5</v>
          </cell>
          <cell r="F74">
            <v>54.4</v>
          </cell>
          <cell r="G74">
            <v>11.4</v>
          </cell>
          <cell r="H74">
            <v>7.9</v>
          </cell>
          <cell r="I74">
            <v>51.4</v>
          </cell>
          <cell r="J74">
            <v>55.3</v>
          </cell>
          <cell r="K74">
            <v>7.7</v>
          </cell>
          <cell r="L74">
            <v>8.5</v>
          </cell>
          <cell r="M74">
            <v>51.3</v>
          </cell>
          <cell r="N74">
            <v>54.6</v>
          </cell>
          <cell r="O74">
            <v>52.4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13.143000000000001</v>
          </cell>
          <cell r="D76">
            <v>53</v>
          </cell>
          <cell r="E76">
            <v>53</v>
          </cell>
          <cell r="F76">
            <v>53.4</v>
          </cell>
          <cell r="G76">
            <v>53</v>
          </cell>
          <cell r="H76">
            <v>55.3</v>
          </cell>
          <cell r="I76">
            <v>51.9</v>
          </cell>
          <cell r="J76">
            <v>55.3</v>
          </cell>
          <cell r="K76">
            <v>52.9</v>
          </cell>
          <cell r="L76">
            <v>54.2</v>
          </cell>
          <cell r="M76">
            <v>53.4</v>
          </cell>
          <cell r="N76">
            <v>53.1</v>
          </cell>
          <cell r="O76">
            <v>53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13.157</v>
          </cell>
          <cell r="D78">
            <v>48.9</v>
          </cell>
          <cell r="E78">
            <v>50.6</v>
          </cell>
          <cell r="F78">
            <v>54.7</v>
          </cell>
          <cell r="G78">
            <v>51.2</v>
          </cell>
          <cell r="H78">
            <v>54.9</v>
          </cell>
          <cell r="I78">
            <v>10.5</v>
          </cell>
          <cell r="J78">
            <v>9.6</v>
          </cell>
          <cell r="K78">
            <v>8.6</v>
          </cell>
          <cell r="L78">
            <v>9.1999999999999993</v>
          </cell>
          <cell r="M78">
            <v>7.7</v>
          </cell>
          <cell r="N78">
            <v>9</v>
          </cell>
          <cell r="O78">
            <v>8.3000000000000007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13.164</v>
          </cell>
          <cell r="D80">
            <v>49.3</v>
          </cell>
          <cell r="E80">
            <v>53.7</v>
          </cell>
          <cell r="F80">
            <v>53</v>
          </cell>
          <cell r="G80">
            <v>54.1</v>
          </cell>
          <cell r="H80">
            <v>13</v>
          </cell>
          <cell r="I80">
            <v>13.9</v>
          </cell>
          <cell r="J80">
            <v>11.4</v>
          </cell>
          <cell r="K80">
            <v>11.2</v>
          </cell>
          <cell r="L80">
            <v>10.8</v>
          </cell>
          <cell r="M80">
            <v>10.8</v>
          </cell>
          <cell r="N80">
            <v>55</v>
          </cell>
          <cell r="O80">
            <v>54.6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13.208</v>
          </cell>
          <cell r="D82">
            <v>51.2</v>
          </cell>
          <cell r="E82">
            <v>50.1</v>
          </cell>
          <cell r="F82">
            <v>54.6</v>
          </cell>
          <cell r="G82">
            <v>52.3</v>
          </cell>
          <cell r="H82">
            <v>55.5</v>
          </cell>
          <cell r="I82">
            <v>50.6</v>
          </cell>
          <cell r="J82">
            <v>53.9</v>
          </cell>
          <cell r="K82">
            <v>52</v>
          </cell>
          <cell r="L82">
            <v>53</v>
          </cell>
          <cell r="M82">
            <v>52.1</v>
          </cell>
          <cell r="N82">
            <v>49.3</v>
          </cell>
          <cell r="O82">
            <v>53.7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13.217000000000001</v>
          </cell>
          <cell r="D84">
            <v>49.5</v>
          </cell>
          <cell r="E84">
            <v>49.4</v>
          </cell>
          <cell r="F84">
            <v>55</v>
          </cell>
          <cell r="G84">
            <v>54.1</v>
          </cell>
          <cell r="H84">
            <v>54.4</v>
          </cell>
          <cell r="I84">
            <v>51.9</v>
          </cell>
          <cell r="J84">
            <v>54.7</v>
          </cell>
          <cell r="K84">
            <v>51.9</v>
          </cell>
          <cell r="L84">
            <v>54.8</v>
          </cell>
          <cell r="M84">
            <v>51.8</v>
          </cell>
          <cell r="N84">
            <v>54.4</v>
          </cell>
          <cell r="O84">
            <v>52.7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13.227</v>
          </cell>
          <cell r="D86">
            <v>49.6</v>
          </cell>
          <cell r="E86">
            <v>50.3</v>
          </cell>
          <cell r="F86">
            <v>55.1</v>
          </cell>
          <cell r="G86">
            <v>52.6</v>
          </cell>
          <cell r="H86">
            <v>56</v>
          </cell>
          <cell r="I86">
            <v>52</v>
          </cell>
          <cell r="J86">
            <v>55.5</v>
          </cell>
          <cell r="K86">
            <v>51.7</v>
          </cell>
          <cell r="L86">
            <v>55.4</v>
          </cell>
          <cell r="M86">
            <v>50.2</v>
          </cell>
          <cell r="N86">
            <v>55.3</v>
          </cell>
          <cell r="O86">
            <v>52.9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13.236000000000001</v>
          </cell>
          <cell r="D88">
            <v>51</v>
          </cell>
          <cell r="E88">
            <v>50.6</v>
          </cell>
          <cell r="F88">
            <v>55.5</v>
          </cell>
          <cell r="G88">
            <v>53.1</v>
          </cell>
          <cell r="H88">
            <v>54</v>
          </cell>
          <cell r="I88">
            <v>53.3</v>
          </cell>
          <cell r="J88">
            <v>53.8</v>
          </cell>
          <cell r="K88">
            <v>54.2</v>
          </cell>
          <cell r="L88">
            <v>53.7</v>
          </cell>
          <cell r="M88">
            <v>52.9</v>
          </cell>
          <cell r="N88">
            <v>53.4</v>
          </cell>
          <cell r="O88">
            <v>53.6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13.244999999999999</v>
          </cell>
          <cell r="D90">
            <v>49.2</v>
          </cell>
          <cell r="E90">
            <v>50.7</v>
          </cell>
          <cell r="F90">
            <v>54.9</v>
          </cell>
          <cell r="G90">
            <v>53.9</v>
          </cell>
          <cell r="H90">
            <v>54.2</v>
          </cell>
          <cell r="I90">
            <v>52.6</v>
          </cell>
          <cell r="J90">
            <v>53.3</v>
          </cell>
          <cell r="K90">
            <v>51.1</v>
          </cell>
          <cell r="L90">
            <v>51.3</v>
          </cell>
          <cell r="M90">
            <v>50.8</v>
          </cell>
          <cell r="N90">
            <v>51.7</v>
          </cell>
          <cell r="O90">
            <v>50.5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13.254</v>
          </cell>
          <cell r="D92">
            <v>50.8</v>
          </cell>
          <cell r="E92">
            <v>50.8</v>
          </cell>
          <cell r="F92">
            <v>54.5</v>
          </cell>
          <cell r="G92">
            <v>53.4</v>
          </cell>
          <cell r="H92">
            <v>53.8</v>
          </cell>
          <cell r="I92">
            <v>53.1</v>
          </cell>
          <cell r="J92">
            <v>55.2</v>
          </cell>
          <cell r="K92">
            <v>52.6</v>
          </cell>
          <cell r="L92">
            <v>52.9</v>
          </cell>
          <cell r="M92">
            <v>51.8</v>
          </cell>
          <cell r="N92">
            <v>53.7</v>
          </cell>
          <cell r="O92">
            <v>52.1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136</v>
          </cell>
        </row>
        <row r="10">
          <cell r="C10">
            <v>5481</v>
          </cell>
        </row>
        <row r="20">
          <cell r="C20">
            <v>2</v>
          </cell>
        </row>
        <row r="25">
          <cell r="E25">
            <v>35.700000000000003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'IA132.03R'</v>
          </cell>
        </row>
        <row r="14">
          <cell r="A14">
            <v>108</v>
          </cell>
          <cell r="B14">
            <v>1</v>
          </cell>
          <cell r="C14">
            <v>13.042999999999999</v>
          </cell>
          <cell r="D14">
            <v>37.200000000000003</v>
          </cell>
          <cell r="E14">
            <v>38</v>
          </cell>
          <cell r="F14">
            <v>44.9</v>
          </cell>
          <cell r="G14">
            <v>42.8</v>
          </cell>
          <cell r="H14">
            <v>43.7</v>
          </cell>
          <cell r="I14">
            <v>41.6</v>
          </cell>
          <cell r="J14">
            <v>45.8</v>
          </cell>
          <cell r="K14">
            <v>36.5</v>
          </cell>
          <cell r="L14">
            <v>43.7</v>
          </cell>
          <cell r="M14">
            <v>36.299999999999997</v>
          </cell>
          <cell r="N14">
            <v>41.4</v>
          </cell>
          <cell r="O14">
            <v>37.9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13.051</v>
          </cell>
          <cell r="D16">
            <v>37</v>
          </cell>
          <cell r="E16">
            <v>39.200000000000003</v>
          </cell>
          <cell r="F16">
            <v>45.3</v>
          </cell>
          <cell r="G16">
            <v>44.2</v>
          </cell>
          <cell r="H16">
            <v>46.7</v>
          </cell>
          <cell r="I16">
            <v>45.5</v>
          </cell>
          <cell r="J16">
            <v>42.8</v>
          </cell>
          <cell r="K16">
            <v>44.7</v>
          </cell>
          <cell r="L16">
            <v>40.9</v>
          </cell>
          <cell r="M16">
            <v>45.4</v>
          </cell>
          <cell r="N16">
            <v>45.4</v>
          </cell>
          <cell r="O16">
            <v>44.1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13.06</v>
          </cell>
          <cell r="D18">
            <v>37</v>
          </cell>
          <cell r="E18">
            <v>37.5</v>
          </cell>
          <cell r="F18">
            <v>40.5</v>
          </cell>
          <cell r="G18">
            <v>42.4</v>
          </cell>
          <cell r="H18">
            <v>36.6</v>
          </cell>
          <cell r="I18">
            <v>40.5</v>
          </cell>
          <cell r="J18">
            <v>43.4</v>
          </cell>
          <cell r="K18">
            <v>39.1</v>
          </cell>
          <cell r="L18">
            <v>44.1</v>
          </cell>
          <cell r="M18">
            <v>35.4</v>
          </cell>
          <cell r="N18">
            <v>44.2</v>
          </cell>
          <cell r="O18">
            <v>43.2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13.068</v>
          </cell>
          <cell r="D20">
            <v>33.1</v>
          </cell>
          <cell r="E20">
            <v>37.799999999999997</v>
          </cell>
          <cell r="F20">
            <v>38.1</v>
          </cell>
          <cell r="G20">
            <v>40.9</v>
          </cell>
          <cell r="H20">
            <v>35.6</v>
          </cell>
          <cell r="I20">
            <v>41.9</v>
          </cell>
          <cell r="J20">
            <v>36.700000000000003</v>
          </cell>
          <cell r="K20">
            <v>40.6</v>
          </cell>
          <cell r="L20">
            <v>44.4</v>
          </cell>
          <cell r="M20">
            <v>36.1</v>
          </cell>
          <cell r="N20">
            <v>39.9</v>
          </cell>
          <cell r="O20">
            <v>36.5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13.077</v>
          </cell>
          <cell r="D22">
            <v>32.200000000000003</v>
          </cell>
          <cell r="E22">
            <v>42.9</v>
          </cell>
          <cell r="F22">
            <v>38.6</v>
          </cell>
          <cell r="G22">
            <v>42.2</v>
          </cell>
          <cell r="H22">
            <v>38.1</v>
          </cell>
          <cell r="I22">
            <v>40.200000000000003</v>
          </cell>
          <cell r="J22">
            <v>40.299999999999997</v>
          </cell>
          <cell r="K22">
            <v>36.200000000000003</v>
          </cell>
          <cell r="L22">
            <v>39.1</v>
          </cell>
          <cell r="M22">
            <v>37.200000000000003</v>
          </cell>
          <cell r="N22">
            <v>37.5</v>
          </cell>
          <cell r="O22">
            <v>37.5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13.085000000000001</v>
          </cell>
          <cell r="D24">
            <v>38.5</v>
          </cell>
          <cell r="E24">
            <v>45.7</v>
          </cell>
          <cell r="F24">
            <v>41.9</v>
          </cell>
          <cell r="G24">
            <v>42.7</v>
          </cell>
          <cell r="H24">
            <v>40.5</v>
          </cell>
          <cell r="I24">
            <v>39.9</v>
          </cell>
          <cell r="J24">
            <v>43.8</v>
          </cell>
          <cell r="K24">
            <v>43.9</v>
          </cell>
          <cell r="L24">
            <v>41.3</v>
          </cell>
          <cell r="M24">
            <v>40.700000000000003</v>
          </cell>
          <cell r="N24">
            <v>41.7</v>
          </cell>
          <cell r="O24">
            <v>41.7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13.093999999999999</v>
          </cell>
          <cell r="D26">
            <v>40.1</v>
          </cell>
          <cell r="E26">
            <v>45.4</v>
          </cell>
          <cell r="F26">
            <v>43.4</v>
          </cell>
          <cell r="G26">
            <v>42.4</v>
          </cell>
          <cell r="H26">
            <v>40.700000000000003</v>
          </cell>
          <cell r="I26">
            <v>40.4</v>
          </cell>
          <cell r="J26">
            <v>38.700000000000003</v>
          </cell>
          <cell r="K26">
            <v>41.4</v>
          </cell>
          <cell r="L26">
            <v>39.4</v>
          </cell>
          <cell r="M26">
            <v>39.799999999999997</v>
          </cell>
          <cell r="N26">
            <v>40.200000000000003</v>
          </cell>
          <cell r="O26">
            <v>40.6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13.103</v>
          </cell>
          <cell r="D28">
            <v>34.799999999999997</v>
          </cell>
          <cell r="E28">
            <v>35.299999999999997</v>
          </cell>
          <cell r="F28">
            <v>37.5</v>
          </cell>
          <cell r="G28">
            <v>40.1</v>
          </cell>
          <cell r="H28">
            <v>40.700000000000003</v>
          </cell>
          <cell r="I28">
            <v>38.6</v>
          </cell>
          <cell r="J28">
            <v>40.299999999999997</v>
          </cell>
          <cell r="K28">
            <v>39.799999999999997</v>
          </cell>
          <cell r="L28">
            <v>41.4</v>
          </cell>
          <cell r="M28">
            <v>41.4</v>
          </cell>
          <cell r="N28">
            <v>42.9</v>
          </cell>
          <cell r="O28">
            <v>40.4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13.135</v>
          </cell>
          <cell r="D30">
            <v>36.5</v>
          </cell>
          <cell r="E30">
            <v>43.4</v>
          </cell>
          <cell r="F30">
            <v>41.1</v>
          </cell>
          <cell r="G30">
            <v>42.2</v>
          </cell>
          <cell r="H30">
            <v>43.3</v>
          </cell>
          <cell r="I30">
            <v>42.7</v>
          </cell>
          <cell r="J30">
            <v>44.3</v>
          </cell>
          <cell r="K30">
            <v>39.200000000000003</v>
          </cell>
          <cell r="L30">
            <v>42.5</v>
          </cell>
          <cell r="M30">
            <v>37.799999999999997</v>
          </cell>
          <cell r="N30">
            <v>42</v>
          </cell>
          <cell r="O30">
            <v>37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13.14</v>
          </cell>
          <cell r="D32">
            <v>39</v>
          </cell>
          <cell r="E32">
            <v>40</v>
          </cell>
          <cell r="F32">
            <v>41</v>
          </cell>
          <cell r="G32">
            <v>42.5</v>
          </cell>
          <cell r="H32">
            <v>39.1</v>
          </cell>
          <cell r="I32">
            <v>39.299999999999997</v>
          </cell>
          <cell r="J32">
            <v>40.200000000000003</v>
          </cell>
          <cell r="K32">
            <v>38.700000000000003</v>
          </cell>
          <cell r="L32">
            <v>42.2</v>
          </cell>
          <cell r="M32">
            <v>35.700000000000003</v>
          </cell>
          <cell r="N32">
            <v>43.3</v>
          </cell>
          <cell r="O32">
            <v>37.299999999999997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13.148</v>
          </cell>
          <cell r="D34">
            <v>36.700000000000003</v>
          </cell>
          <cell r="E34">
            <v>41.9</v>
          </cell>
          <cell r="F34">
            <v>42.5</v>
          </cell>
          <cell r="G34">
            <v>43.3</v>
          </cell>
          <cell r="H34">
            <v>41.8</v>
          </cell>
          <cell r="I34">
            <v>43.1</v>
          </cell>
          <cell r="J34">
            <v>41.3</v>
          </cell>
          <cell r="K34">
            <v>47.7</v>
          </cell>
          <cell r="L34">
            <v>38.799999999999997</v>
          </cell>
          <cell r="M34">
            <v>42.7</v>
          </cell>
          <cell r="N34">
            <v>40</v>
          </cell>
          <cell r="O34">
            <v>45.3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13.153</v>
          </cell>
          <cell r="D36">
            <v>39.6</v>
          </cell>
          <cell r="E36">
            <v>36.5</v>
          </cell>
          <cell r="F36">
            <v>42.7</v>
          </cell>
          <cell r="G36">
            <v>46.3</v>
          </cell>
          <cell r="H36">
            <v>39.6</v>
          </cell>
          <cell r="I36">
            <v>45.6</v>
          </cell>
          <cell r="J36">
            <v>38.6</v>
          </cell>
          <cell r="K36">
            <v>43.8</v>
          </cell>
          <cell r="L36">
            <v>43.9</v>
          </cell>
          <cell r="M36">
            <v>40</v>
          </cell>
          <cell r="N36">
            <v>43.8</v>
          </cell>
          <cell r="O36">
            <v>37.1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13.159000000000001</v>
          </cell>
          <cell r="D38">
            <v>34.1</v>
          </cell>
          <cell r="E38">
            <v>42.1</v>
          </cell>
          <cell r="F38">
            <v>39.5</v>
          </cell>
          <cell r="G38">
            <v>42.6</v>
          </cell>
          <cell r="H38">
            <v>37.5</v>
          </cell>
          <cell r="I38">
            <v>37.4</v>
          </cell>
          <cell r="J38">
            <v>41.8</v>
          </cell>
          <cell r="K38">
            <v>37.200000000000003</v>
          </cell>
          <cell r="L38">
            <v>43.4</v>
          </cell>
          <cell r="M38">
            <v>37.4</v>
          </cell>
          <cell r="N38">
            <v>43.9</v>
          </cell>
          <cell r="O38">
            <v>39.799999999999997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13.164</v>
          </cell>
          <cell r="D40">
            <v>36</v>
          </cell>
          <cell r="E40">
            <v>37.5</v>
          </cell>
          <cell r="F40">
            <v>41.4</v>
          </cell>
          <cell r="G40">
            <v>40.700000000000003</v>
          </cell>
          <cell r="H40">
            <v>45.2</v>
          </cell>
          <cell r="I40">
            <v>41.2</v>
          </cell>
          <cell r="J40">
            <v>46.4</v>
          </cell>
          <cell r="K40">
            <v>40.4</v>
          </cell>
          <cell r="L40">
            <v>43.5</v>
          </cell>
          <cell r="M40">
            <v>42.2</v>
          </cell>
          <cell r="N40">
            <v>45.7</v>
          </cell>
          <cell r="O40">
            <v>41.7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13.169</v>
          </cell>
          <cell r="D42">
            <v>38.299999999999997</v>
          </cell>
          <cell r="E42">
            <v>46.4</v>
          </cell>
          <cell r="F42">
            <v>42.9</v>
          </cell>
          <cell r="G42">
            <v>42.7</v>
          </cell>
          <cell r="H42">
            <v>43.5</v>
          </cell>
          <cell r="I42">
            <v>44.1</v>
          </cell>
          <cell r="J42">
            <v>46.9</v>
          </cell>
          <cell r="K42">
            <v>40.1</v>
          </cell>
          <cell r="L42">
            <v>47.2</v>
          </cell>
          <cell r="M42">
            <v>41.1</v>
          </cell>
          <cell r="N42">
            <v>42.2</v>
          </cell>
          <cell r="O42">
            <v>39.6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13.175000000000001</v>
          </cell>
          <cell r="D44">
            <v>36</v>
          </cell>
          <cell r="E44">
            <v>39.200000000000003</v>
          </cell>
          <cell r="F44">
            <v>44.2</v>
          </cell>
          <cell r="G44">
            <v>42.1</v>
          </cell>
          <cell r="H44">
            <v>46.8</v>
          </cell>
          <cell r="I44">
            <v>39.6</v>
          </cell>
          <cell r="J44">
            <v>43.2</v>
          </cell>
          <cell r="K44">
            <v>42.7</v>
          </cell>
          <cell r="L44">
            <v>44.5</v>
          </cell>
          <cell r="M44">
            <v>42</v>
          </cell>
          <cell r="N44">
            <v>48.9</v>
          </cell>
          <cell r="O44">
            <v>43.7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13.189</v>
          </cell>
          <cell r="D46">
            <v>37.4</v>
          </cell>
          <cell r="E46">
            <v>36.9</v>
          </cell>
          <cell r="F46">
            <v>42</v>
          </cell>
          <cell r="G46">
            <v>36.9</v>
          </cell>
          <cell r="H46">
            <v>46.2</v>
          </cell>
          <cell r="I46">
            <v>36.5</v>
          </cell>
          <cell r="J46">
            <v>46.5</v>
          </cell>
          <cell r="K46">
            <v>35.6</v>
          </cell>
          <cell r="L46">
            <v>45.2</v>
          </cell>
          <cell r="M46">
            <v>35.700000000000003</v>
          </cell>
          <cell r="N46">
            <v>43.7</v>
          </cell>
          <cell r="O46">
            <v>38.9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13.198</v>
          </cell>
          <cell r="D48">
            <v>61.1</v>
          </cell>
          <cell r="E48">
            <v>61</v>
          </cell>
          <cell r="F48">
            <v>61.4</v>
          </cell>
          <cell r="G48">
            <v>61.5</v>
          </cell>
          <cell r="H48">
            <v>61.3</v>
          </cell>
          <cell r="I48">
            <v>60.7</v>
          </cell>
          <cell r="J48">
            <v>61</v>
          </cell>
          <cell r="K48">
            <v>60.3</v>
          </cell>
          <cell r="L48">
            <v>61</v>
          </cell>
          <cell r="M48">
            <v>60.7</v>
          </cell>
          <cell r="N48">
            <v>61.2</v>
          </cell>
          <cell r="O48">
            <v>60.8</v>
          </cell>
        </row>
        <row r="50">
          <cell r="A50">
            <v>906</v>
          </cell>
          <cell r="B50">
            <v>1</v>
          </cell>
          <cell r="C50">
            <v>13.207000000000001</v>
          </cell>
          <cell r="D50">
            <v>35.5</v>
          </cell>
          <cell r="E50">
            <v>40.4</v>
          </cell>
          <cell r="F50">
            <v>40.200000000000003</v>
          </cell>
          <cell r="G50">
            <v>39.6</v>
          </cell>
          <cell r="H50">
            <v>42.9</v>
          </cell>
          <cell r="I50">
            <v>40.299999999999997</v>
          </cell>
          <cell r="J50">
            <v>43</v>
          </cell>
          <cell r="K50">
            <v>38</v>
          </cell>
          <cell r="L50">
            <v>39.200000000000003</v>
          </cell>
          <cell r="M50">
            <v>36.9</v>
          </cell>
          <cell r="N50">
            <v>38.299999999999997</v>
          </cell>
          <cell r="O50">
            <v>37.1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13.217000000000001</v>
          </cell>
          <cell r="D52">
            <v>42.7</v>
          </cell>
          <cell r="E52">
            <v>43.5</v>
          </cell>
          <cell r="F52">
            <v>44.9</v>
          </cell>
          <cell r="G52">
            <v>44.8</v>
          </cell>
          <cell r="H52">
            <v>45.9</v>
          </cell>
          <cell r="I52">
            <v>44.2</v>
          </cell>
          <cell r="J52">
            <v>44.5</v>
          </cell>
          <cell r="K52">
            <v>45.4</v>
          </cell>
          <cell r="L52">
            <v>43.4</v>
          </cell>
          <cell r="M52">
            <v>43.3</v>
          </cell>
          <cell r="N52">
            <v>44.4</v>
          </cell>
          <cell r="O52">
            <v>45.3</v>
          </cell>
        </row>
        <row r="54">
          <cell r="A54">
            <v>904</v>
          </cell>
          <cell r="B54">
            <v>1</v>
          </cell>
          <cell r="C54">
            <v>13.225</v>
          </cell>
          <cell r="D54">
            <v>40.200000000000003</v>
          </cell>
          <cell r="E54">
            <v>42.4</v>
          </cell>
          <cell r="F54">
            <v>42.2</v>
          </cell>
          <cell r="G54">
            <v>39.799999999999997</v>
          </cell>
          <cell r="H54">
            <v>45.7</v>
          </cell>
          <cell r="I54">
            <v>39.1</v>
          </cell>
          <cell r="J54">
            <v>43.5</v>
          </cell>
          <cell r="K54">
            <v>39.1</v>
          </cell>
          <cell r="L54">
            <v>41.9</v>
          </cell>
          <cell r="M54">
            <v>35.4</v>
          </cell>
          <cell r="N54">
            <v>45.4</v>
          </cell>
          <cell r="O54">
            <v>38.799999999999997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13.234999999999999</v>
          </cell>
          <cell r="D56">
            <v>60.1</v>
          </cell>
          <cell r="E56">
            <v>60.1</v>
          </cell>
          <cell r="F56">
            <v>59.9</v>
          </cell>
          <cell r="G56">
            <v>59.4</v>
          </cell>
          <cell r="H56">
            <v>60.4</v>
          </cell>
          <cell r="I56">
            <v>60.3</v>
          </cell>
          <cell r="J56">
            <v>59.9</v>
          </cell>
          <cell r="K56">
            <v>60</v>
          </cell>
          <cell r="L56">
            <v>61.2</v>
          </cell>
          <cell r="M56">
            <v>60.7</v>
          </cell>
          <cell r="N56">
            <v>61</v>
          </cell>
          <cell r="O56">
            <v>60.6</v>
          </cell>
        </row>
        <row r="58">
          <cell r="A58">
            <v>902</v>
          </cell>
          <cell r="B58">
            <v>1</v>
          </cell>
          <cell r="C58">
            <v>13.243</v>
          </cell>
          <cell r="D58">
            <v>41.2</v>
          </cell>
          <cell r="E58">
            <v>39.799999999999997</v>
          </cell>
          <cell r="F58">
            <v>42.6</v>
          </cell>
          <cell r="G58">
            <v>41.5</v>
          </cell>
          <cell r="H58">
            <v>44.4</v>
          </cell>
          <cell r="I58">
            <v>39.6</v>
          </cell>
          <cell r="J58">
            <v>44.2</v>
          </cell>
          <cell r="K58">
            <v>39.700000000000003</v>
          </cell>
          <cell r="L58">
            <v>42.2</v>
          </cell>
          <cell r="M58">
            <v>37.5</v>
          </cell>
          <cell r="N58">
            <v>43</v>
          </cell>
          <cell r="O58">
            <v>41.2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13.252000000000001</v>
          </cell>
          <cell r="D60">
            <v>42.7</v>
          </cell>
          <cell r="E60">
            <v>41.3</v>
          </cell>
          <cell r="F60">
            <v>41.8</v>
          </cell>
          <cell r="G60">
            <v>39.299999999999997</v>
          </cell>
          <cell r="H60">
            <v>39.9</v>
          </cell>
          <cell r="I60">
            <v>39.700000000000003</v>
          </cell>
          <cell r="J60">
            <v>42.7</v>
          </cell>
          <cell r="K60">
            <v>44.3</v>
          </cell>
          <cell r="L60">
            <v>41.8</v>
          </cell>
          <cell r="M60">
            <v>42.1</v>
          </cell>
          <cell r="N60">
            <v>42.5</v>
          </cell>
          <cell r="O60">
            <v>41.8</v>
          </cell>
        </row>
        <row r="62">
          <cell r="A62">
            <v>301</v>
          </cell>
          <cell r="B62">
            <v>1</v>
          </cell>
          <cell r="C62">
            <v>13.27</v>
          </cell>
          <cell r="D62">
            <v>35.1</v>
          </cell>
          <cell r="E62">
            <v>38.9</v>
          </cell>
          <cell r="F62">
            <v>38.5</v>
          </cell>
          <cell r="G62">
            <v>36.6</v>
          </cell>
          <cell r="H62">
            <v>45.6</v>
          </cell>
          <cell r="I62">
            <v>37.799999999999997</v>
          </cell>
          <cell r="J62">
            <v>44.9</v>
          </cell>
          <cell r="K62">
            <v>34.4</v>
          </cell>
          <cell r="L62">
            <v>42.9</v>
          </cell>
          <cell r="M62">
            <v>34.5</v>
          </cell>
          <cell r="N62">
            <v>43.5</v>
          </cell>
          <cell r="O62">
            <v>34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13.276</v>
          </cell>
          <cell r="D64">
            <v>36.9</v>
          </cell>
          <cell r="E64">
            <v>37.9</v>
          </cell>
          <cell r="F64">
            <v>41.5</v>
          </cell>
          <cell r="G64">
            <v>35.799999999999997</v>
          </cell>
          <cell r="H64">
            <v>39.200000000000003</v>
          </cell>
          <cell r="I64">
            <v>35.9</v>
          </cell>
          <cell r="J64">
            <v>43.5</v>
          </cell>
          <cell r="K64">
            <v>35.5</v>
          </cell>
          <cell r="L64">
            <v>41.3</v>
          </cell>
          <cell r="M64">
            <v>35.1</v>
          </cell>
          <cell r="N64">
            <v>42.5</v>
          </cell>
          <cell r="O64">
            <v>34.700000000000003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13.281000000000001</v>
          </cell>
          <cell r="D66">
            <v>37.200000000000003</v>
          </cell>
          <cell r="E66">
            <v>39.299999999999997</v>
          </cell>
          <cell r="F66">
            <v>40.6</v>
          </cell>
          <cell r="G66">
            <v>37.700000000000003</v>
          </cell>
          <cell r="H66">
            <v>37.299999999999997</v>
          </cell>
          <cell r="I66">
            <v>38.200000000000003</v>
          </cell>
          <cell r="J66">
            <v>42.7</v>
          </cell>
          <cell r="K66">
            <v>37.799999999999997</v>
          </cell>
          <cell r="L66">
            <v>40.5</v>
          </cell>
          <cell r="M66">
            <v>38.6</v>
          </cell>
          <cell r="N66">
            <v>41.3</v>
          </cell>
          <cell r="O66">
            <v>35.1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13.287000000000001</v>
          </cell>
          <cell r="D68">
            <v>34.9</v>
          </cell>
          <cell r="E68">
            <v>38.6</v>
          </cell>
          <cell r="F68">
            <v>41.8</v>
          </cell>
          <cell r="G68">
            <v>36.6</v>
          </cell>
          <cell r="H68">
            <v>43.8</v>
          </cell>
          <cell r="I68">
            <v>36.299999999999997</v>
          </cell>
          <cell r="J68">
            <v>41.6</v>
          </cell>
          <cell r="K68">
            <v>41.5</v>
          </cell>
          <cell r="L68">
            <v>41.8</v>
          </cell>
          <cell r="M68">
            <v>42.7</v>
          </cell>
          <cell r="N68">
            <v>38.200000000000003</v>
          </cell>
          <cell r="O68">
            <v>40.6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13.292</v>
          </cell>
          <cell r="D70">
            <v>35.200000000000003</v>
          </cell>
          <cell r="E70">
            <v>39.9</v>
          </cell>
          <cell r="F70">
            <v>43.5</v>
          </cell>
          <cell r="G70">
            <v>36.299999999999997</v>
          </cell>
          <cell r="H70">
            <v>38.6</v>
          </cell>
          <cell r="I70">
            <v>42.5</v>
          </cell>
          <cell r="J70">
            <v>37.799999999999997</v>
          </cell>
          <cell r="K70">
            <v>42.7</v>
          </cell>
          <cell r="L70">
            <v>43.1</v>
          </cell>
          <cell r="M70">
            <v>43.2</v>
          </cell>
          <cell r="N70">
            <v>39.4</v>
          </cell>
          <cell r="O70">
            <v>37.4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13.298</v>
          </cell>
          <cell r="D72">
            <v>35.700000000000003</v>
          </cell>
          <cell r="E72">
            <v>38</v>
          </cell>
          <cell r="F72">
            <v>41.6</v>
          </cell>
          <cell r="G72">
            <v>41</v>
          </cell>
          <cell r="H72">
            <v>40.4</v>
          </cell>
          <cell r="I72">
            <v>38.5</v>
          </cell>
          <cell r="J72">
            <v>42.4</v>
          </cell>
          <cell r="K72">
            <v>36.4</v>
          </cell>
          <cell r="L72">
            <v>41.9</v>
          </cell>
          <cell r="M72">
            <v>35.799999999999997</v>
          </cell>
          <cell r="N72">
            <v>44.5</v>
          </cell>
          <cell r="O72">
            <v>36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13.303000000000001</v>
          </cell>
          <cell r="D74">
            <v>37.1</v>
          </cell>
          <cell r="E74">
            <v>40.700000000000003</v>
          </cell>
          <cell r="F74">
            <v>46.6</v>
          </cell>
          <cell r="G74">
            <v>39.799999999999997</v>
          </cell>
          <cell r="H74">
            <v>48.2</v>
          </cell>
          <cell r="I74">
            <v>37.799999999999997</v>
          </cell>
          <cell r="J74">
            <v>49.2</v>
          </cell>
          <cell r="K74">
            <v>40</v>
          </cell>
          <cell r="L74">
            <v>48</v>
          </cell>
          <cell r="M74">
            <v>42.2</v>
          </cell>
          <cell r="N74">
            <v>48.1</v>
          </cell>
          <cell r="O74">
            <v>43.5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13.308999999999999</v>
          </cell>
          <cell r="D76">
            <v>42.4</v>
          </cell>
          <cell r="E76">
            <v>45.7</v>
          </cell>
          <cell r="F76">
            <v>45.7</v>
          </cell>
          <cell r="G76">
            <v>43.8</v>
          </cell>
          <cell r="H76">
            <v>47.8</v>
          </cell>
          <cell r="I76">
            <v>44.4</v>
          </cell>
          <cell r="J76">
            <v>49.5</v>
          </cell>
          <cell r="K76">
            <v>44.3</v>
          </cell>
          <cell r="L76">
            <v>49.1</v>
          </cell>
          <cell r="M76">
            <v>43.4</v>
          </cell>
          <cell r="N76">
            <v>46.6</v>
          </cell>
          <cell r="O76">
            <v>43.8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13.324999999999999</v>
          </cell>
          <cell r="D78">
            <v>36</v>
          </cell>
          <cell r="E78">
            <v>39.4</v>
          </cell>
          <cell r="F78">
            <v>45.1</v>
          </cell>
          <cell r="G78">
            <v>35.1</v>
          </cell>
          <cell r="H78">
            <v>45</v>
          </cell>
          <cell r="I78">
            <v>33.9</v>
          </cell>
          <cell r="J78">
            <v>45.7</v>
          </cell>
          <cell r="K78">
            <v>35</v>
          </cell>
          <cell r="L78">
            <v>43.7</v>
          </cell>
          <cell r="M78">
            <v>34.4</v>
          </cell>
          <cell r="N78">
            <v>44.5</v>
          </cell>
          <cell r="O78">
            <v>34.1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13.334</v>
          </cell>
          <cell r="D80">
            <v>33.9</v>
          </cell>
          <cell r="E80">
            <v>45.3</v>
          </cell>
          <cell r="F80">
            <v>40.299999999999997</v>
          </cell>
          <cell r="G80">
            <v>41.7</v>
          </cell>
          <cell r="H80">
            <v>44.9</v>
          </cell>
          <cell r="I80">
            <v>35.299999999999997</v>
          </cell>
          <cell r="J80">
            <v>48.6</v>
          </cell>
          <cell r="K80">
            <v>36.1</v>
          </cell>
          <cell r="L80">
            <v>47.3</v>
          </cell>
          <cell r="M80">
            <v>36.1</v>
          </cell>
          <cell r="N80">
            <v>47</v>
          </cell>
          <cell r="O80">
            <v>37.299999999999997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13.343</v>
          </cell>
          <cell r="D82">
            <v>35.1</v>
          </cell>
          <cell r="E82">
            <v>43.3</v>
          </cell>
          <cell r="F82">
            <v>38</v>
          </cell>
          <cell r="G82">
            <v>41.1</v>
          </cell>
          <cell r="H82">
            <v>39.4</v>
          </cell>
          <cell r="I82">
            <v>39.200000000000003</v>
          </cell>
          <cell r="J82">
            <v>37.700000000000003</v>
          </cell>
          <cell r="K82">
            <v>37.9</v>
          </cell>
          <cell r="L82">
            <v>36.9</v>
          </cell>
          <cell r="M82">
            <v>37.200000000000003</v>
          </cell>
          <cell r="N82">
            <v>39.6</v>
          </cell>
          <cell r="O82">
            <v>37.1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13.351000000000001</v>
          </cell>
          <cell r="D84">
            <v>34.4</v>
          </cell>
          <cell r="E84">
            <v>38.6</v>
          </cell>
          <cell r="F84">
            <v>40.9</v>
          </cell>
          <cell r="G84">
            <v>41.7</v>
          </cell>
          <cell r="H84">
            <v>40.6</v>
          </cell>
          <cell r="I84">
            <v>37.200000000000003</v>
          </cell>
          <cell r="J84">
            <v>40.4</v>
          </cell>
          <cell r="K84">
            <v>36.200000000000003</v>
          </cell>
          <cell r="L84">
            <v>45</v>
          </cell>
          <cell r="M84">
            <v>35.299999999999997</v>
          </cell>
          <cell r="N84">
            <v>45.9</v>
          </cell>
          <cell r="O84">
            <v>38.1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13.36</v>
          </cell>
          <cell r="D86">
            <v>33.299999999999997</v>
          </cell>
          <cell r="E86">
            <v>43.4</v>
          </cell>
          <cell r="F86">
            <v>35.799999999999997</v>
          </cell>
          <cell r="G86">
            <v>42.5</v>
          </cell>
          <cell r="H86">
            <v>38.4</v>
          </cell>
          <cell r="I86">
            <v>38.1</v>
          </cell>
          <cell r="J86">
            <v>40.700000000000003</v>
          </cell>
          <cell r="K86">
            <v>40.799999999999997</v>
          </cell>
          <cell r="L86">
            <v>45</v>
          </cell>
          <cell r="M86">
            <v>39.799999999999997</v>
          </cell>
          <cell r="N86">
            <v>44.8</v>
          </cell>
          <cell r="O86">
            <v>38.299999999999997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13.369</v>
          </cell>
          <cell r="D88">
            <v>37</v>
          </cell>
          <cell r="E88">
            <v>44.4</v>
          </cell>
          <cell r="F88">
            <v>40.9</v>
          </cell>
          <cell r="G88">
            <v>43.3</v>
          </cell>
          <cell r="H88">
            <v>40.4</v>
          </cell>
          <cell r="I88">
            <v>39</v>
          </cell>
          <cell r="J88">
            <v>40.9</v>
          </cell>
          <cell r="K88">
            <v>43.8</v>
          </cell>
          <cell r="L88">
            <v>41.5</v>
          </cell>
          <cell r="M88">
            <v>37.299999999999997</v>
          </cell>
          <cell r="N88">
            <v>42</v>
          </cell>
          <cell r="O88">
            <v>37.700000000000003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13.377000000000001</v>
          </cell>
          <cell r="D90">
            <v>34.200000000000003</v>
          </cell>
          <cell r="E90">
            <v>34.1</v>
          </cell>
          <cell r="F90">
            <v>41</v>
          </cell>
          <cell r="G90">
            <v>32.799999999999997</v>
          </cell>
          <cell r="H90">
            <v>42.6</v>
          </cell>
          <cell r="I90">
            <v>32.799999999999997</v>
          </cell>
          <cell r="J90">
            <v>41.5</v>
          </cell>
          <cell r="K90">
            <v>33.1</v>
          </cell>
          <cell r="L90">
            <v>38.200000000000003</v>
          </cell>
          <cell r="M90">
            <v>32.799999999999997</v>
          </cell>
          <cell r="N90">
            <v>36.9</v>
          </cell>
          <cell r="O90">
            <v>32.1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13.385999999999999</v>
          </cell>
          <cell r="D92">
            <v>35.9</v>
          </cell>
          <cell r="E92">
            <v>42.7</v>
          </cell>
          <cell r="F92">
            <v>41.3</v>
          </cell>
          <cell r="G92">
            <v>41.2</v>
          </cell>
          <cell r="H92">
            <v>42</v>
          </cell>
          <cell r="I92">
            <v>34.6</v>
          </cell>
          <cell r="J92">
            <v>44.3</v>
          </cell>
          <cell r="K92">
            <v>35.299999999999997</v>
          </cell>
          <cell r="L92">
            <v>41.8</v>
          </cell>
          <cell r="M92">
            <v>34.9</v>
          </cell>
          <cell r="N92">
            <v>42</v>
          </cell>
          <cell r="O92">
            <v>33.299999999999997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132</v>
          </cell>
        </row>
        <row r="10">
          <cell r="C10">
            <v>5481</v>
          </cell>
        </row>
        <row r="20">
          <cell r="C20">
            <v>4</v>
          </cell>
        </row>
        <row r="25">
          <cell r="E25">
            <v>33.1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DataFile"/>
      <sheetName val="FormattedData"/>
      <sheetName val="AncillaryData"/>
      <sheetName val="TimeSequenceGraph"/>
      <sheetName val="DailySummaryTable"/>
      <sheetName val="SASDataFormat"/>
      <sheetName val="Data"/>
      <sheetName val="Sheet1"/>
      <sheetName val="TrtCodes"/>
    </sheetNames>
    <sheetDataSet>
      <sheetData sheetId="0" refreshError="1"/>
      <sheetData sheetId="1">
        <row r="1">
          <cell r="A1" t="str">
            <v>Raw data file name - 'IA128.03R'</v>
          </cell>
        </row>
        <row r="14">
          <cell r="A14">
            <v>108</v>
          </cell>
          <cell r="B14">
            <v>1</v>
          </cell>
          <cell r="C14">
            <v>13.054</v>
          </cell>
          <cell r="D14">
            <v>43.7</v>
          </cell>
          <cell r="E14">
            <v>44.6</v>
          </cell>
          <cell r="F14">
            <v>47.8</v>
          </cell>
          <cell r="G14">
            <v>44.7</v>
          </cell>
          <cell r="H14">
            <v>47.7</v>
          </cell>
          <cell r="I14">
            <v>44.8</v>
          </cell>
          <cell r="J14">
            <v>47.4</v>
          </cell>
          <cell r="K14">
            <v>44.3</v>
          </cell>
          <cell r="L14">
            <v>46.3</v>
          </cell>
          <cell r="M14">
            <v>44.5</v>
          </cell>
          <cell r="N14">
            <v>44.9</v>
          </cell>
          <cell r="O14">
            <v>44.7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107</v>
          </cell>
          <cell r="B16">
            <v>1</v>
          </cell>
          <cell r="C16">
            <v>13.063000000000001</v>
          </cell>
          <cell r="D16">
            <v>45.9</v>
          </cell>
          <cell r="E16">
            <v>44.3</v>
          </cell>
          <cell r="F16">
            <v>46.7</v>
          </cell>
          <cell r="G16">
            <v>44.4</v>
          </cell>
          <cell r="H16">
            <v>46.4</v>
          </cell>
          <cell r="I16">
            <v>43.8</v>
          </cell>
          <cell r="J16">
            <v>45.5</v>
          </cell>
          <cell r="K16">
            <v>44.9</v>
          </cell>
          <cell r="L16">
            <v>45.7</v>
          </cell>
          <cell r="M16">
            <v>45.2</v>
          </cell>
          <cell r="N16">
            <v>45.7</v>
          </cell>
          <cell r="O16">
            <v>45.2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106</v>
          </cell>
          <cell r="B18">
            <v>1</v>
          </cell>
          <cell r="C18">
            <v>13.071999999999999</v>
          </cell>
          <cell r="D18">
            <v>44.8</v>
          </cell>
          <cell r="E18">
            <v>43.7</v>
          </cell>
          <cell r="F18">
            <v>44.8</v>
          </cell>
          <cell r="G18">
            <v>43.8</v>
          </cell>
          <cell r="H18">
            <v>44.7</v>
          </cell>
          <cell r="I18">
            <v>45</v>
          </cell>
          <cell r="J18">
            <v>44.7</v>
          </cell>
          <cell r="K18">
            <v>45.8</v>
          </cell>
          <cell r="L18">
            <v>44.6</v>
          </cell>
          <cell r="M18">
            <v>44.2</v>
          </cell>
          <cell r="N18">
            <v>46.4</v>
          </cell>
          <cell r="O18">
            <v>43.7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105</v>
          </cell>
          <cell r="B20">
            <v>1</v>
          </cell>
          <cell r="C20">
            <v>13.081</v>
          </cell>
          <cell r="D20">
            <v>44.8</v>
          </cell>
          <cell r="E20">
            <v>42.8</v>
          </cell>
          <cell r="F20">
            <v>45.6</v>
          </cell>
          <cell r="G20">
            <v>43.4</v>
          </cell>
          <cell r="H20">
            <v>46.1</v>
          </cell>
          <cell r="I20">
            <v>44.2</v>
          </cell>
          <cell r="J20">
            <v>45.6</v>
          </cell>
          <cell r="K20">
            <v>44.4</v>
          </cell>
          <cell r="L20">
            <v>45.3</v>
          </cell>
          <cell r="M20">
            <v>44.4</v>
          </cell>
          <cell r="N20">
            <v>45.6</v>
          </cell>
          <cell r="O20">
            <v>43.6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104</v>
          </cell>
          <cell r="B22">
            <v>1</v>
          </cell>
          <cell r="C22">
            <v>13.089</v>
          </cell>
          <cell r="D22">
            <v>44</v>
          </cell>
          <cell r="E22">
            <v>43.2</v>
          </cell>
          <cell r="F22">
            <v>45.5</v>
          </cell>
          <cell r="G22">
            <v>43.1</v>
          </cell>
          <cell r="H22">
            <v>45.3</v>
          </cell>
          <cell r="I22">
            <v>43</v>
          </cell>
          <cell r="J22">
            <v>44.2</v>
          </cell>
          <cell r="K22">
            <v>43.2</v>
          </cell>
          <cell r="L22">
            <v>44.7</v>
          </cell>
          <cell r="M22">
            <v>42.8</v>
          </cell>
          <cell r="N22">
            <v>44.8</v>
          </cell>
          <cell r="O22">
            <v>42.7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103</v>
          </cell>
          <cell r="B24">
            <v>1</v>
          </cell>
          <cell r="C24">
            <v>13.098000000000001</v>
          </cell>
          <cell r="D24">
            <v>45.2</v>
          </cell>
          <cell r="E24">
            <v>43.5</v>
          </cell>
          <cell r="F24">
            <v>45.2</v>
          </cell>
          <cell r="G24">
            <v>43.3</v>
          </cell>
          <cell r="H24">
            <v>44.7</v>
          </cell>
          <cell r="I24">
            <v>43.1</v>
          </cell>
          <cell r="J24">
            <v>45.3</v>
          </cell>
          <cell r="K24">
            <v>42.4</v>
          </cell>
          <cell r="L24">
            <v>45.6</v>
          </cell>
          <cell r="M24">
            <v>42.7</v>
          </cell>
          <cell r="N24">
            <v>46</v>
          </cell>
          <cell r="O24">
            <v>42.8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102</v>
          </cell>
          <cell r="B26">
            <v>1</v>
          </cell>
          <cell r="C26">
            <v>13.106999999999999</v>
          </cell>
          <cell r="D26">
            <v>45.2</v>
          </cell>
          <cell r="E26">
            <v>42.9</v>
          </cell>
          <cell r="F26">
            <v>45.9</v>
          </cell>
          <cell r="G26">
            <v>43.2</v>
          </cell>
          <cell r="H26">
            <v>45.4</v>
          </cell>
          <cell r="I26">
            <v>43.7</v>
          </cell>
          <cell r="J26">
            <v>45.4</v>
          </cell>
          <cell r="K26">
            <v>43.1</v>
          </cell>
          <cell r="L26">
            <v>45.2</v>
          </cell>
          <cell r="M26">
            <v>43.4</v>
          </cell>
          <cell r="N26">
            <v>45.6</v>
          </cell>
          <cell r="O26">
            <v>43.3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101</v>
          </cell>
          <cell r="B28">
            <v>1</v>
          </cell>
          <cell r="C28">
            <v>13.115</v>
          </cell>
          <cell r="D28">
            <v>44.1</v>
          </cell>
          <cell r="E28">
            <v>44.3</v>
          </cell>
          <cell r="F28">
            <v>45.5</v>
          </cell>
          <cell r="G28">
            <v>43.5</v>
          </cell>
          <cell r="H28">
            <v>44.5</v>
          </cell>
          <cell r="I28">
            <v>43.2</v>
          </cell>
          <cell r="J28">
            <v>45.5</v>
          </cell>
          <cell r="K28">
            <v>43.5</v>
          </cell>
          <cell r="L28">
            <v>45.6</v>
          </cell>
          <cell r="M28">
            <v>43.9</v>
          </cell>
          <cell r="N28">
            <v>44.8</v>
          </cell>
          <cell r="O28">
            <v>43.2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201</v>
          </cell>
          <cell r="B30">
            <v>1</v>
          </cell>
          <cell r="C30">
            <v>13.132999999999999</v>
          </cell>
          <cell r="D30">
            <v>45.1</v>
          </cell>
          <cell r="E30">
            <v>44.4</v>
          </cell>
          <cell r="F30">
            <v>45.6</v>
          </cell>
          <cell r="G30">
            <v>44</v>
          </cell>
          <cell r="H30">
            <v>46.2</v>
          </cell>
          <cell r="I30">
            <v>45.2</v>
          </cell>
          <cell r="J30">
            <v>45.1</v>
          </cell>
          <cell r="K30">
            <v>44</v>
          </cell>
          <cell r="L30">
            <v>46.9</v>
          </cell>
          <cell r="M30">
            <v>43.6</v>
          </cell>
          <cell r="N30">
            <v>46.3</v>
          </cell>
          <cell r="O30">
            <v>44.1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202</v>
          </cell>
          <cell r="B32">
            <v>1</v>
          </cell>
          <cell r="C32">
            <v>13.138</v>
          </cell>
          <cell r="D32">
            <v>45.2</v>
          </cell>
          <cell r="E32">
            <v>43.7</v>
          </cell>
          <cell r="F32">
            <v>46.2</v>
          </cell>
          <cell r="G32">
            <v>43.8</v>
          </cell>
          <cell r="H32">
            <v>46.2</v>
          </cell>
          <cell r="I32">
            <v>44.4</v>
          </cell>
          <cell r="J32">
            <v>45.1</v>
          </cell>
          <cell r="K32">
            <v>44.6</v>
          </cell>
          <cell r="L32">
            <v>44.5</v>
          </cell>
          <cell r="M32">
            <v>44.6</v>
          </cell>
          <cell r="N32">
            <v>46.1</v>
          </cell>
          <cell r="O32">
            <v>44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203</v>
          </cell>
          <cell r="B34">
            <v>1</v>
          </cell>
          <cell r="C34">
            <v>13.146000000000001</v>
          </cell>
          <cell r="D34">
            <v>45</v>
          </cell>
          <cell r="E34">
            <v>44.3</v>
          </cell>
          <cell r="F34">
            <v>46.7</v>
          </cell>
          <cell r="G34">
            <v>43.8</v>
          </cell>
          <cell r="H34">
            <v>46.6</v>
          </cell>
          <cell r="I34">
            <v>43.9</v>
          </cell>
          <cell r="J34">
            <v>46.2</v>
          </cell>
          <cell r="K34">
            <v>44.7</v>
          </cell>
          <cell r="L34">
            <v>47.1</v>
          </cell>
          <cell r="M34">
            <v>46.2</v>
          </cell>
          <cell r="N34">
            <v>45.4</v>
          </cell>
          <cell r="O34">
            <v>44.5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204</v>
          </cell>
          <cell r="B36">
            <v>1</v>
          </cell>
          <cell r="C36">
            <v>13.151999999999999</v>
          </cell>
          <cell r="D36">
            <v>44.3</v>
          </cell>
          <cell r="E36">
            <v>44.2</v>
          </cell>
          <cell r="F36">
            <v>45.8</v>
          </cell>
          <cell r="G36">
            <v>43.9</v>
          </cell>
          <cell r="H36">
            <v>47</v>
          </cell>
          <cell r="I36">
            <v>44</v>
          </cell>
          <cell r="J36">
            <v>46.8</v>
          </cell>
          <cell r="K36">
            <v>44.3</v>
          </cell>
          <cell r="L36">
            <v>46.7</v>
          </cell>
          <cell r="M36">
            <v>43.9</v>
          </cell>
          <cell r="N36">
            <v>46.8</v>
          </cell>
          <cell r="O36">
            <v>44.3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205</v>
          </cell>
          <cell r="B38">
            <v>1</v>
          </cell>
          <cell r="C38">
            <v>13.157999999999999</v>
          </cell>
          <cell r="D38">
            <v>44.6</v>
          </cell>
          <cell r="E38">
            <v>43.4</v>
          </cell>
          <cell r="F38">
            <v>46.6</v>
          </cell>
          <cell r="G38">
            <v>43.6</v>
          </cell>
          <cell r="H38">
            <v>46.3</v>
          </cell>
          <cell r="I38">
            <v>44.1</v>
          </cell>
          <cell r="J38">
            <v>46.3</v>
          </cell>
          <cell r="K38">
            <v>43.1</v>
          </cell>
          <cell r="L38">
            <v>46.7</v>
          </cell>
          <cell r="M38">
            <v>44.1</v>
          </cell>
          <cell r="N38">
            <v>46.9</v>
          </cell>
          <cell r="O38">
            <v>43.4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206</v>
          </cell>
          <cell r="B40">
            <v>1</v>
          </cell>
          <cell r="C40">
            <v>13.164</v>
          </cell>
          <cell r="D40">
            <v>45</v>
          </cell>
          <cell r="E40">
            <v>44</v>
          </cell>
          <cell r="F40">
            <v>47.4</v>
          </cell>
          <cell r="G40">
            <v>44.6</v>
          </cell>
          <cell r="H40">
            <v>47.5</v>
          </cell>
          <cell r="I40">
            <v>44.6</v>
          </cell>
          <cell r="J40">
            <v>47.6</v>
          </cell>
          <cell r="K40">
            <v>44.5</v>
          </cell>
          <cell r="L40">
            <v>47.8</v>
          </cell>
          <cell r="M40">
            <v>44.8</v>
          </cell>
          <cell r="N40">
            <v>47.6</v>
          </cell>
          <cell r="O40">
            <v>45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207</v>
          </cell>
          <cell r="B42">
            <v>1</v>
          </cell>
          <cell r="C42">
            <v>13.169</v>
          </cell>
          <cell r="D42">
            <v>44.7</v>
          </cell>
          <cell r="E42">
            <v>45</v>
          </cell>
          <cell r="F42">
            <v>47.2</v>
          </cell>
          <cell r="G42">
            <v>45</v>
          </cell>
          <cell r="H42">
            <v>46.9</v>
          </cell>
          <cell r="I42">
            <v>43.9</v>
          </cell>
          <cell r="J42">
            <v>46.8</v>
          </cell>
          <cell r="K42">
            <v>44.7</v>
          </cell>
          <cell r="L42">
            <v>46.9</v>
          </cell>
          <cell r="M42">
            <v>43.8</v>
          </cell>
          <cell r="N42">
            <v>46.8</v>
          </cell>
          <cell r="O42">
            <v>43.6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208</v>
          </cell>
          <cell r="B44">
            <v>1</v>
          </cell>
          <cell r="C44">
            <v>13.176</v>
          </cell>
          <cell r="D44">
            <v>44.6</v>
          </cell>
          <cell r="E44">
            <v>45.8</v>
          </cell>
          <cell r="F44">
            <v>46.8</v>
          </cell>
          <cell r="G44">
            <v>44.4</v>
          </cell>
          <cell r="H44">
            <v>46.8</v>
          </cell>
          <cell r="I44">
            <v>43.6</v>
          </cell>
          <cell r="J44">
            <v>46.4</v>
          </cell>
          <cell r="K44">
            <v>44.7</v>
          </cell>
          <cell r="L44">
            <v>46.7</v>
          </cell>
          <cell r="M44">
            <v>44.8</v>
          </cell>
          <cell r="N44">
            <v>46.7</v>
          </cell>
          <cell r="O44">
            <v>44.3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908</v>
          </cell>
          <cell r="B46">
            <v>1</v>
          </cell>
          <cell r="C46">
            <v>13.19</v>
          </cell>
          <cell r="D46">
            <v>43.5</v>
          </cell>
          <cell r="E46">
            <v>43.4</v>
          </cell>
          <cell r="F46">
            <v>46.2</v>
          </cell>
          <cell r="G46">
            <v>43</v>
          </cell>
          <cell r="H46">
            <v>45.9</v>
          </cell>
          <cell r="I46">
            <v>43.7</v>
          </cell>
          <cell r="J46">
            <v>46.2</v>
          </cell>
          <cell r="K46">
            <v>43.6</v>
          </cell>
          <cell r="L46">
            <v>46.2</v>
          </cell>
          <cell r="M46">
            <v>43.7</v>
          </cell>
          <cell r="N46">
            <v>47.1</v>
          </cell>
          <cell r="O46">
            <v>46.3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907</v>
          </cell>
          <cell r="B48">
            <v>1</v>
          </cell>
          <cell r="C48">
            <v>13.199</v>
          </cell>
          <cell r="D48">
            <v>49.2</v>
          </cell>
          <cell r="E48">
            <v>49.7</v>
          </cell>
          <cell r="F48">
            <v>50.1</v>
          </cell>
          <cell r="G48">
            <v>49.9</v>
          </cell>
          <cell r="H48">
            <v>49.5</v>
          </cell>
          <cell r="I48">
            <v>50.4</v>
          </cell>
          <cell r="J48">
            <v>50.1</v>
          </cell>
          <cell r="K48">
            <v>48.6</v>
          </cell>
          <cell r="L48">
            <v>49.2</v>
          </cell>
          <cell r="M48">
            <v>50.4</v>
          </cell>
          <cell r="N48">
            <v>51</v>
          </cell>
          <cell r="O48">
            <v>50.3</v>
          </cell>
        </row>
        <row r="50">
          <cell r="A50">
            <v>906</v>
          </cell>
          <cell r="B50">
            <v>1</v>
          </cell>
          <cell r="C50">
            <v>13.208</v>
          </cell>
          <cell r="D50">
            <v>44.8</v>
          </cell>
          <cell r="E50">
            <v>43</v>
          </cell>
          <cell r="F50">
            <v>45.5</v>
          </cell>
          <cell r="G50">
            <v>44.1</v>
          </cell>
          <cell r="H50">
            <v>45</v>
          </cell>
          <cell r="I50">
            <v>43.8</v>
          </cell>
          <cell r="J50">
            <v>46.2</v>
          </cell>
          <cell r="K50">
            <v>43.6</v>
          </cell>
          <cell r="L50">
            <v>45.5</v>
          </cell>
          <cell r="M50">
            <v>44</v>
          </cell>
          <cell r="N50">
            <v>45</v>
          </cell>
          <cell r="O50">
            <v>43.7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905</v>
          </cell>
          <cell r="B52">
            <v>1</v>
          </cell>
          <cell r="C52">
            <v>13.218</v>
          </cell>
          <cell r="D52">
            <v>27.4</v>
          </cell>
          <cell r="E52">
            <v>27.2</v>
          </cell>
          <cell r="F52">
            <v>26</v>
          </cell>
          <cell r="G52">
            <v>26.2</v>
          </cell>
          <cell r="H52">
            <v>26.4</v>
          </cell>
          <cell r="I52">
            <v>26.4</v>
          </cell>
          <cell r="J52">
            <v>26.9</v>
          </cell>
          <cell r="K52">
            <v>27.6</v>
          </cell>
          <cell r="L52">
            <v>27.4</v>
          </cell>
          <cell r="M52">
            <v>27.4</v>
          </cell>
          <cell r="N52">
            <v>27.4</v>
          </cell>
          <cell r="O52">
            <v>27.6</v>
          </cell>
        </row>
        <row r="54">
          <cell r="A54">
            <v>904</v>
          </cell>
          <cell r="B54">
            <v>1</v>
          </cell>
          <cell r="C54">
            <v>13.227</v>
          </cell>
          <cell r="D54">
            <v>43.4</v>
          </cell>
          <cell r="E54">
            <v>42.8</v>
          </cell>
          <cell r="F54">
            <v>44.5</v>
          </cell>
          <cell r="G54">
            <v>43.2</v>
          </cell>
          <cell r="H54">
            <v>44.1</v>
          </cell>
          <cell r="I54">
            <v>42.9</v>
          </cell>
          <cell r="J54">
            <v>44.4</v>
          </cell>
          <cell r="K54">
            <v>42.1</v>
          </cell>
          <cell r="L54">
            <v>43.5</v>
          </cell>
          <cell r="M54">
            <v>42.6</v>
          </cell>
          <cell r="N54">
            <v>44.8</v>
          </cell>
          <cell r="O54">
            <v>42.5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903</v>
          </cell>
          <cell r="B56">
            <v>1</v>
          </cell>
          <cell r="C56">
            <v>13.236000000000001</v>
          </cell>
          <cell r="D56">
            <v>47.6</v>
          </cell>
          <cell r="E56">
            <v>47.6</v>
          </cell>
          <cell r="F56">
            <v>47.2</v>
          </cell>
          <cell r="G56">
            <v>47.7</v>
          </cell>
          <cell r="H56">
            <v>47.7</v>
          </cell>
          <cell r="I56">
            <v>47.6</v>
          </cell>
          <cell r="J56">
            <v>48</v>
          </cell>
          <cell r="K56">
            <v>48.3</v>
          </cell>
          <cell r="L56">
            <v>49.2</v>
          </cell>
          <cell r="M56">
            <v>48.9</v>
          </cell>
          <cell r="N56">
            <v>48.8</v>
          </cell>
          <cell r="O56">
            <v>49</v>
          </cell>
        </row>
        <row r="58">
          <cell r="A58">
            <v>902</v>
          </cell>
          <cell r="B58">
            <v>1</v>
          </cell>
          <cell r="C58">
            <v>13.244999999999999</v>
          </cell>
          <cell r="D58">
            <v>43.5</v>
          </cell>
          <cell r="E58">
            <v>41.9</v>
          </cell>
          <cell r="F58">
            <v>43.6</v>
          </cell>
          <cell r="G58">
            <v>42.5</v>
          </cell>
          <cell r="H58">
            <v>43.5</v>
          </cell>
          <cell r="I58">
            <v>42.2</v>
          </cell>
          <cell r="J58">
            <v>44</v>
          </cell>
          <cell r="K58">
            <v>42</v>
          </cell>
          <cell r="L58">
            <v>43.1</v>
          </cell>
          <cell r="M58">
            <v>42.7</v>
          </cell>
          <cell r="N58">
            <v>43.6</v>
          </cell>
          <cell r="O58">
            <v>43.2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901</v>
          </cell>
          <cell r="B60">
            <v>1</v>
          </cell>
          <cell r="C60">
            <v>13.255000000000001</v>
          </cell>
          <cell r="D60">
            <v>27.4</v>
          </cell>
          <cell r="E60">
            <v>27.4</v>
          </cell>
          <cell r="F60">
            <v>27.4</v>
          </cell>
          <cell r="G60">
            <v>27.2</v>
          </cell>
          <cell r="H60">
            <v>25.8</v>
          </cell>
          <cell r="I60">
            <v>25.6</v>
          </cell>
          <cell r="J60">
            <v>25.6</v>
          </cell>
          <cell r="K60">
            <v>27.3</v>
          </cell>
          <cell r="L60">
            <v>28.3</v>
          </cell>
          <cell r="M60">
            <v>28.3</v>
          </cell>
          <cell r="N60">
            <v>28.3</v>
          </cell>
          <cell r="O60">
            <v>28.5</v>
          </cell>
        </row>
        <row r="62">
          <cell r="A62">
            <v>301</v>
          </cell>
          <cell r="B62">
            <v>1</v>
          </cell>
          <cell r="C62">
            <v>13.272</v>
          </cell>
          <cell r="D62">
            <v>42.8</v>
          </cell>
          <cell r="E62">
            <v>43.5</v>
          </cell>
          <cell r="F62">
            <v>43.8</v>
          </cell>
          <cell r="G62">
            <v>42.6</v>
          </cell>
          <cell r="H62">
            <v>44.7</v>
          </cell>
          <cell r="I62">
            <v>42.7</v>
          </cell>
          <cell r="J62">
            <v>45.4</v>
          </cell>
          <cell r="K62">
            <v>42.7</v>
          </cell>
          <cell r="L62">
            <v>45.2</v>
          </cell>
          <cell r="M62">
            <v>42.3</v>
          </cell>
          <cell r="N62">
            <v>44.7</v>
          </cell>
          <cell r="O62">
            <v>42.4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302</v>
          </cell>
          <cell r="B64">
            <v>1</v>
          </cell>
          <cell r="C64">
            <v>13.278</v>
          </cell>
          <cell r="D64">
            <v>42.9</v>
          </cell>
          <cell r="E64">
            <v>42.9</v>
          </cell>
          <cell r="F64">
            <v>44.2</v>
          </cell>
          <cell r="G64">
            <v>44</v>
          </cell>
          <cell r="H64">
            <v>44.1</v>
          </cell>
          <cell r="I64">
            <v>42.4</v>
          </cell>
          <cell r="J64">
            <v>44</v>
          </cell>
          <cell r="K64">
            <v>42.6</v>
          </cell>
          <cell r="L64">
            <v>44.4</v>
          </cell>
          <cell r="M64">
            <v>42.2</v>
          </cell>
          <cell r="N64">
            <v>44.6</v>
          </cell>
          <cell r="O64">
            <v>43.3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303</v>
          </cell>
          <cell r="B66">
            <v>1</v>
          </cell>
          <cell r="C66">
            <v>13.282999999999999</v>
          </cell>
          <cell r="D66">
            <v>43</v>
          </cell>
          <cell r="E66">
            <v>42.7</v>
          </cell>
          <cell r="F66">
            <v>44.2</v>
          </cell>
          <cell r="G66">
            <v>42.7</v>
          </cell>
          <cell r="H66">
            <v>44</v>
          </cell>
          <cell r="I66">
            <v>43.9</v>
          </cell>
          <cell r="J66">
            <v>44.7</v>
          </cell>
          <cell r="K66">
            <v>43.7</v>
          </cell>
          <cell r="L66">
            <v>45</v>
          </cell>
          <cell r="M66">
            <v>42.6</v>
          </cell>
          <cell r="N66">
            <v>44.8</v>
          </cell>
          <cell r="O66">
            <v>42.7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304</v>
          </cell>
          <cell r="B68">
            <v>1</v>
          </cell>
          <cell r="C68">
            <v>13.289</v>
          </cell>
          <cell r="D68">
            <v>45</v>
          </cell>
          <cell r="E68">
            <v>43.8</v>
          </cell>
          <cell r="F68">
            <v>45.1</v>
          </cell>
          <cell r="G68">
            <v>43.4</v>
          </cell>
          <cell r="H68">
            <v>45.9</v>
          </cell>
          <cell r="I68">
            <v>44</v>
          </cell>
          <cell r="J68">
            <v>45.3</v>
          </cell>
          <cell r="K68">
            <v>43.8</v>
          </cell>
          <cell r="L68">
            <v>46.1</v>
          </cell>
          <cell r="M68">
            <v>44.1</v>
          </cell>
          <cell r="N68">
            <v>46.2</v>
          </cell>
          <cell r="O68">
            <v>43.3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305</v>
          </cell>
          <cell r="B70">
            <v>1</v>
          </cell>
          <cell r="C70">
            <v>13.295</v>
          </cell>
          <cell r="D70">
            <v>43.3</v>
          </cell>
          <cell r="E70">
            <v>43.6</v>
          </cell>
          <cell r="F70">
            <v>46.1</v>
          </cell>
          <cell r="G70">
            <v>43.2</v>
          </cell>
          <cell r="H70">
            <v>46.2</v>
          </cell>
          <cell r="I70">
            <v>43.5</v>
          </cell>
          <cell r="J70">
            <v>46.5</v>
          </cell>
          <cell r="K70">
            <v>43.7</v>
          </cell>
          <cell r="L70">
            <v>46.9</v>
          </cell>
          <cell r="M70">
            <v>44.4</v>
          </cell>
          <cell r="N70">
            <v>46.7</v>
          </cell>
          <cell r="O70">
            <v>43.4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>
            <v>306</v>
          </cell>
          <cell r="B72">
            <v>1</v>
          </cell>
          <cell r="C72">
            <v>13.301</v>
          </cell>
          <cell r="D72">
            <v>44.1</v>
          </cell>
          <cell r="E72">
            <v>45.2</v>
          </cell>
          <cell r="F72">
            <v>45.6</v>
          </cell>
          <cell r="G72">
            <v>44.9</v>
          </cell>
          <cell r="H72">
            <v>46.4</v>
          </cell>
          <cell r="I72">
            <v>44.1</v>
          </cell>
          <cell r="J72">
            <v>45.4</v>
          </cell>
          <cell r="K72">
            <v>44.1</v>
          </cell>
          <cell r="L72">
            <v>45.4</v>
          </cell>
          <cell r="M72">
            <v>43.9</v>
          </cell>
          <cell r="N72">
            <v>45.7</v>
          </cell>
          <cell r="O72">
            <v>43.8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>
            <v>307</v>
          </cell>
          <cell r="B74">
            <v>1</v>
          </cell>
          <cell r="C74">
            <v>13.307</v>
          </cell>
          <cell r="D74">
            <v>44</v>
          </cell>
          <cell r="E74">
            <v>45.7</v>
          </cell>
          <cell r="F74">
            <v>46.3</v>
          </cell>
          <cell r="G74">
            <v>44.4</v>
          </cell>
          <cell r="H74">
            <v>46.5</v>
          </cell>
          <cell r="I74">
            <v>44.5</v>
          </cell>
          <cell r="J74">
            <v>46.6</v>
          </cell>
          <cell r="K74">
            <v>44.1</v>
          </cell>
          <cell r="L74">
            <v>46.4</v>
          </cell>
          <cell r="M74">
            <v>44</v>
          </cell>
          <cell r="N74">
            <v>46.7</v>
          </cell>
          <cell r="O74">
            <v>44.6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>
            <v>308</v>
          </cell>
          <cell r="B76">
            <v>1</v>
          </cell>
          <cell r="C76">
            <v>13.313000000000001</v>
          </cell>
          <cell r="D76">
            <v>43.9</v>
          </cell>
          <cell r="E76">
            <v>44.9</v>
          </cell>
          <cell r="F76">
            <v>45.4</v>
          </cell>
          <cell r="G76">
            <v>45.2</v>
          </cell>
          <cell r="H76">
            <v>46.2</v>
          </cell>
          <cell r="I76">
            <v>44.4</v>
          </cell>
          <cell r="J76">
            <v>46.5</v>
          </cell>
          <cell r="K76">
            <v>44.9</v>
          </cell>
          <cell r="L76">
            <v>46.9</v>
          </cell>
          <cell r="M76">
            <v>45.1</v>
          </cell>
          <cell r="N76">
            <v>46.7</v>
          </cell>
          <cell r="O76">
            <v>45.7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>
            <v>408</v>
          </cell>
          <cell r="B78">
            <v>1</v>
          </cell>
          <cell r="C78">
            <v>13.33</v>
          </cell>
          <cell r="D78">
            <v>43.5</v>
          </cell>
          <cell r="E78">
            <v>43.4</v>
          </cell>
          <cell r="F78">
            <v>45.2</v>
          </cell>
          <cell r="G78">
            <v>42.5</v>
          </cell>
          <cell r="H78">
            <v>44.9</v>
          </cell>
          <cell r="I78">
            <v>42.6</v>
          </cell>
          <cell r="J78">
            <v>45</v>
          </cell>
          <cell r="K78">
            <v>42.8</v>
          </cell>
          <cell r="L78">
            <v>45</v>
          </cell>
          <cell r="M78">
            <v>43.2</v>
          </cell>
          <cell r="N78">
            <v>45.4</v>
          </cell>
          <cell r="O78">
            <v>43.5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>
            <v>407</v>
          </cell>
          <cell r="B80">
            <v>1</v>
          </cell>
          <cell r="C80">
            <v>13.337999999999999</v>
          </cell>
          <cell r="D80">
            <v>42.5</v>
          </cell>
          <cell r="E80">
            <v>43.7</v>
          </cell>
          <cell r="F80">
            <v>45.1</v>
          </cell>
          <cell r="G80">
            <v>43.5</v>
          </cell>
          <cell r="H80">
            <v>45</v>
          </cell>
          <cell r="I80">
            <v>41.2</v>
          </cell>
          <cell r="J80">
            <v>45.3</v>
          </cell>
          <cell r="K80">
            <v>43.2</v>
          </cell>
          <cell r="L80">
            <v>45.1</v>
          </cell>
          <cell r="M80">
            <v>41.6</v>
          </cell>
          <cell r="N80">
            <v>44</v>
          </cell>
          <cell r="O80">
            <v>44.5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>
            <v>406</v>
          </cell>
          <cell r="B82">
            <v>1</v>
          </cell>
          <cell r="C82">
            <v>13.347</v>
          </cell>
          <cell r="D82">
            <v>44.3</v>
          </cell>
          <cell r="E82">
            <v>43.4</v>
          </cell>
          <cell r="F82">
            <v>46.1</v>
          </cell>
          <cell r="G82">
            <v>43.4</v>
          </cell>
          <cell r="H82">
            <v>46</v>
          </cell>
          <cell r="I82">
            <v>43.4</v>
          </cell>
          <cell r="J82">
            <v>46</v>
          </cell>
          <cell r="K82">
            <v>43.2</v>
          </cell>
          <cell r="L82">
            <v>45.1</v>
          </cell>
          <cell r="M82">
            <v>43.4</v>
          </cell>
          <cell r="N82">
            <v>45.5</v>
          </cell>
          <cell r="O82">
            <v>43.5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>
            <v>405</v>
          </cell>
          <cell r="B84">
            <v>1</v>
          </cell>
          <cell r="C84">
            <v>13.356</v>
          </cell>
          <cell r="D84">
            <v>44.2</v>
          </cell>
          <cell r="E84">
            <v>44.7</v>
          </cell>
          <cell r="F84">
            <v>45.4</v>
          </cell>
          <cell r="G84">
            <v>44.5</v>
          </cell>
          <cell r="H84">
            <v>45.3</v>
          </cell>
          <cell r="I84">
            <v>43.7</v>
          </cell>
          <cell r="J84">
            <v>45.8</v>
          </cell>
          <cell r="K84">
            <v>43.8</v>
          </cell>
          <cell r="L84">
            <v>45.7</v>
          </cell>
          <cell r="M84">
            <v>44.4</v>
          </cell>
          <cell r="N84">
            <v>46</v>
          </cell>
          <cell r="O84">
            <v>44.5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A86">
            <v>404</v>
          </cell>
          <cell r="B86">
            <v>1</v>
          </cell>
          <cell r="C86">
            <v>13.365</v>
          </cell>
          <cell r="D86">
            <v>43.7</v>
          </cell>
          <cell r="E86">
            <v>43</v>
          </cell>
          <cell r="F86">
            <v>45.7</v>
          </cell>
          <cell r="G86">
            <v>43.4</v>
          </cell>
          <cell r="H86">
            <v>46.1</v>
          </cell>
          <cell r="I86">
            <v>43.7</v>
          </cell>
          <cell r="J86">
            <v>45.8</v>
          </cell>
          <cell r="K86">
            <v>43.3</v>
          </cell>
          <cell r="L86">
            <v>46.1</v>
          </cell>
          <cell r="M86">
            <v>43.8</v>
          </cell>
          <cell r="N86">
            <v>45.9</v>
          </cell>
          <cell r="O86">
            <v>43.5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>
            <v>403</v>
          </cell>
          <cell r="B88">
            <v>1</v>
          </cell>
          <cell r="C88">
            <v>13.374000000000001</v>
          </cell>
          <cell r="D88">
            <v>43.9</v>
          </cell>
          <cell r="E88">
            <v>43.8</v>
          </cell>
          <cell r="F88">
            <v>44.7</v>
          </cell>
          <cell r="G88">
            <v>43.3</v>
          </cell>
          <cell r="H88">
            <v>44</v>
          </cell>
          <cell r="I88">
            <v>44.1</v>
          </cell>
          <cell r="J88">
            <v>43.9</v>
          </cell>
          <cell r="K88">
            <v>43.7</v>
          </cell>
          <cell r="L88">
            <v>45.1</v>
          </cell>
          <cell r="M88">
            <v>43.4</v>
          </cell>
          <cell r="N88">
            <v>43.7</v>
          </cell>
          <cell r="O88">
            <v>44.2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A90">
            <v>402</v>
          </cell>
          <cell r="B90">
            <v>1</v>
          </cell>
          <cell r="C90">
            <v>13.382</v>
          </cell>
          <cell r="D90">
            <v>43.1</v>
          </cell>
          <cell r="E90">
            <v>41.7</v>
          </cell>
          <cell r="F90">
            <v>44.1</v>
          </cell>
          <cell r="G90">
            <v>42.2</v>
          </cell>
          <cell r="H90">
            <v>43.8</v>
          </cell>
          <cell r="I90">
            <v>42.2</v>
          </cell>
          <cell r="J90">
            <v>44.3</v>
          </cell>
          <cell r="K90">
            <v>42.3</v>
          </cell>
          <cell r="L90">
            <v>43.8</v>
          </cell>
          <cell r="M90">
            <v>42.7</v>
          </cell>
          <cell r="N90">
            <v>44.1</v>
          </cell>
          <cell r="O90">
            <v>42.4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A92">
            <v>401</v>
          </cell>
          <cell r="B92">
            <v>1</v>
          </cell>
          <cell r="C92">
            <v>13.391999999999999</v>
          </cell>
          <cell r="D92">
            <v>43.4</v>
          </cell>
          <cell r="E92">
            <v>43.4</v>
          </cell>
          <cell r="F92">
            <v>43.3</v>
          </cell>
          <cell r="G92">
            <v>44.3</v>
          </cell>
          <cell r="H92">
            <v>44.4</v>
          </cell>
          <cell r="I92">
            <v>43.1</v>
          </cell>
          <cell r="J92">
            <v>44.6</v>
          </cell>
          <cell r="K92">
            <v>44.3</v>
          </cell>
          <cell r="L92">
            <v>44.7</v>
          </cell>
          <cell r="M92">
            <v>42.6</v>
          </cell>
          <cell r="N92">
            <v>44.6</v>
          </cell>
          <cell r="O92">
            <v>42.8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</sheetData>
      <sheetData sheetId="2">
        <row r="7">
          <cell r="C7">
            <v>128</v>
          </cell>
        </row>
        <row r="10">
          <cell r="C10">
            <v>5481</v>
          </cell>
        </row>
        <row r="20">
          <cell r="C20">
            <v>1</v>
          </cell>
        </row>
        <row r="25">
          <cell r="E25">
            <v>25.35</v>
          </cell>
        </row>
        <row r="29">
          <cell r="E29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B11">
            <v>101</v>
          </cell>
          <cell r="C11" t="str">
            <v>FSH</v>
          </cell>
          <cell r="D11">
            <v>1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 t="str">
            <v>112.1</v>
          </cell>
          <cell r="K11" t="str">
            <v>Irrigation</v>
          </cell>
        </row>
        <row r="12">
          <cell r="B12">
            <v>102</v>
          </cell>
          <cell r="C12" t="str">
            <v>FTL</v>
          </cell>
          <cell r="D12">
            <v>4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 t="str">
            <v>121.1</v>
          </cell>
          <cell r="K12" t="str">
            <v>Code</v>
          </cell>
          <cell r="L12" t="str">
            <v>Schedule</v>
          </cell>
          <cell r="M12" t="str">
            <v>notes</v>
          </cell>
        </row>
        <row r="13">
          <cell r="B13">
            <v>103</v>
          </cell>
          <cell r="C13" t="str">
            <v>FDH</v>
          </cell>
          <cell r="D13">
            <v>5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 t="str">
            <v>132.1</v>
          </cell>
          <cell r="K13">
            <v>1</v>
          </cell>
          <cell r="L13" t="str">
            <v>FAO</v>
          </cell>
        </row>
        <row r="14">
          <cell r="B14">
            <v>104</v>
          </cell>
          <cell r="C14" t="str">
            <v>NTL</v>
          </cell>
          <cell r="D14">
            <v>10</v>
          </cell>
          <cell r="E14">
            <v>2</v>
          </cell>
          <cell r="F14">
            <v>2</v>
          </cell>
          <cell r="G14">
            <v>1</v>
          </cell>
          <cell r="H14">
            <v>1</v>
          </cell>
          <cell r="I14" t="str">
            <v>221.1</v>
          </cell>
          <cell r="K14">
            <v>2</v>
          </cell>
          <cell r="L14" t="str">
            <v>NDVI</v>
          </cell>
        </row>
        <row r="15">
          <cell r="B15">
            <v>105</v>
          </cell>
          <cell r="C15" t="str">
            <v>NDL</v>
          </cell>
          <cell r="D15">
            <v>12</v>
          </cell>
          <cell r="E15">
            <v>2</v>
          </cell>
          <cell r="F15">
            <v>3</v>
          </cell>
          <cell r="G15">
            <v>1</v>
          </cell>
          <cell r="H15">
            <v>2</v>
          </cell>
          <cell r="I15" t="str">
            <v>231.2</v>
          </cell>
          <cell r="K15">
            <v>3</v>
          </cell>
          <cell r="L15" t="str">
            <v>None&gt;1Jun</v>
          </cell>
          <cell r="M15" t="str">
            <v>ad hoc</v>
          </cell>
        </row>
        <row r="16">
          <cell r="B16">
            <v>106</v>
          </cell>
          <cell r="C16" t="str">
            <v>NTH</v>
          </cell>
          <cell r="D16">
            <v>9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 t="str">
            <v>222.2</v>
          </cell>
          <cell r="K16">
            <v>4</v>
          </cell>
          <cell r="L16" t="str">
            <v>None&gt;15Jul</v>
          </cell>
          <cell r="M16" t="str">
            <v>ad hoc</v>
          </cell>
        </row>
        <row r="17">
          <cell r="B17">
            <v>107</v>
          </cell>
          <cell r="C17" t="str">
            <v>NTL</v>
          </cell>
          <cell r="D17">
            <v>10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 t="str">
            <v>221.2</v>
          </cell>
          <cell r="K17">
            <v>8</v>
          </cell>
          <cell r="L17" t="str">
            <v>Dry Soil</v>
          </cell>
          <cell r="M17" t="str">
            <v>never</v>
          </cell>
        </row>
        <row r="18">
          <cell r="B18">
            <v>108</v>
          </cell>
          <cell r="C18" t="str">
            <v>FTH</v>
          </cell>
          <cell r="D18">
            <v>3</v>
          </cell>
          <cell r="E18">
            <v>1</v>
          </cell>
          <cell r="F18">
            <v>2</v>
          </cell>
          <cell r="G18">
            <v>2</v>
          </cell>
          <cell r="H18">
            <v>2</v>
          </cell>
          <cell r="I18" t="str">
            <v>122.2</v>
          </cell>
          <cell r="K18">
            <v>9</v>
          </cell>
          <cell r="L18" t="str">
            <v>Wet Soil</v>
          </cell>
          <cell r="M18" t="str">
            <v>often</v>
          </cell>
        </row>
        <row r="19">
          <cell r="B19">
            <v>201</v>
          </cell>
          <cell r="C19" t="str">
            <v>NDL</v>
          </cell>
          <cell r="D19">
            <v>12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 t="str">
            <v>231.1</v>
          </cell>
        </row>
        <row r="20">
          <cell r="B20">
            <v>202</v>
          </cell>
          <cell r="C20" t="str">
            <v>NTH</v>
          </cell>
          <cell r="D20">
            <v>9</v>
          </cell>
          <cell r="E20">
            <v>2</v>
          </cell>
          <cell r="F20">
            <v>2</v>
          </cell>
          <cell r="G20">
            <v>2</v>
          </cell>
          <cell r="H20">
            <v>1</v>
          </cell>
          <cell r="I20" t="str">
            <v>222.1</v>
          </cell>
          <cell r="K20" t="str">
            <v>Population</v>
          </cell>
        </row>
        <row r="21">
          <cell r="B21">
            <v>203</v>
          </cell>
          <cell r="C21" t="str">
            <v>FTH</v>
          </cell>
          <cell r="D21">
            <v>3</v>
          </cell>
          <cell r="E21">
            <v>1</v>
          </cell>
          <cell r="F21">
            <v>2</v>
          </cell>
          <cell r="G21">
            <v>2</v>
          </cell>
          <cell r="H21">
            <v>1</v>
          </cell>
          <cell r="I21" t="str">
            <v>122.1</v>
          </cell>
          <cell r="K21" t="str">
            <v>Code</v>
          </cell>
          <cell r="L21" t="str">
            <v>no./meter</v>
          </cell>
          <cell r="M21" t="str">
            <v>lines/bed</v>
          </cell>
        </row>
        <row r="22">
          <cell r="B22">
            <v>204</v>
          </cell>
          <cell r="C22" t="str">
            <v>NDH</v>
          </cell>
          <cell r="D22">
            <v>11</v>
          </cell>
          <cell r="E22">
            <v>2</v>
          </cell>
          <cell r="F22">
            <v>3</v>
          </cell>
          <cell r="G22">
            <v>2</v>
          </cell>
          <cell r="H22">
            <v>1</v>
          </cell>
          <cell r="I22" t="str">
            <v>232.1</v>
          </cell>
          <cell r="K22">
            <v>0</v>
          </cell>
          <cell r="L22">
            <v>0</v>
          </cell>
          <cell r="M22" t="str">
            <v>na</v>
          </cell>
        </row>
        <row r="23">
          <cell r="B23">
            <v>205</v>
          </cell>
          <cell r="C23" t="str">
            <v>FSH</v>
          </cell>
          <cell r="D23">
            <v>1</v>
          </cell>
          <cell r="E23">
            <v>1</v>
          </cell>
          <cell r="F23">
            <v>1</v>
          </cell>
          <cell r="G23">
            <v>2</v>
          </cell>
          <cell r="H23">
            <v>2</v>
          </cell>
          <cell r="I23" t="str">
            <v>112.2</v>
          </cell>
          <cell r="K23">
            <v>1</v>
          </cell>
          <cell r="L23">
            <v>5</v>
          </cell>
          <cell r="M23" t="str">
            <v>Single</v>
          </cell>
        </row>
        <row r="24">
          <cell r="B24">
            <v>206</v>
          </cell>
          <cell r="C24" t="str">
            <v>NSL</v>
          </cell>
          <cell r="D24">
            <v>8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 t="str">
            <v>211.2</v>
          </cell>
          <cell r="K24">
            <v>2</v>
          </cell>
          <cell r="L24">
            <v>10</v>
          </cell>
          <cell r="M24" t="str">
            <v>Single</v>
          </cell>
        </row>
        <row r="25">
          <cell r="B25">
            <v>207</v>
          </cell>
          <cell r="C25" t="str">
            <v>FTL</v>
          </cell>
          <cell r="D25">
            <v>4</v>
          </cell>
          <cell r="E25">
            <v>1</v>
          </cell>
          <cell r="F25">
            <v>2</v>
          </cell>
          <cell r="G25">
            <v>1</v>
          </cell>
          <cell r="H25">
            <v>2</v>
          </cell>
          <cell r="I25" t="str">
            <v>121.2</v>
          </cell>
          <cell r="K25">
            <v>3</v>
          </cell>
          <cell r="L25">
            <v>20</v>
          </cell>
          <cell r="M25" t="str">
            <v>Double</v>
          </cell>
        </row>
        <row r="26">
          <cell r="B26">
            <v>208</v>
          </cell>
          <cell r="C26" t="str">
            <v>FSL</v>
          </cell>
          <cell r="D26">
            <v>2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 t="str">
            <v>111.2</v>
          </cell>
        </row>
        <row r="27">
          <cell r="B27">
            <v>301</v>
          </cell>
          <cell r="C27" t="str">
            <v>NTL</v>
          </cell>
          <cell r="D27">
            <v>10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 t="str">
            <v>221.3</v>
          </cell>
          <cell r="K27" t="str">
            <v>Nitrogen</v>
          </cell>
        </row>
        <row r="28">
          <cell r="B28">
            <v>302</v>
          </cell>
          <cell r="C28" t="str">
            <v>FTL</v>
          </cell>
          <cell r="D28">
            <v>4</v>
          </cell>
          <cell r="E28">
            <v>1</v>
          </cell>
          <cell r="F28">
            <v>2</v>
          </cell>
          <cell r="G28">
            <v>1</v>
          </cell>
          <cell r="H28">
            <v>3</v>
          </cell>
          <cell r="I28" t="str">
            <v>121.3</v>
          </cell>
          <cell r="K28" t="str">
            <v>Code</v>
          </cell>
          <cell r="L28" t="str">
            <v>Descript</v>
          </cell>
          <cell r="M28" t="str">
            <v>kg N/ha</v>
          </cell>
        </row>
        <row r="29">
          <cell r="B29">
            <v>303</v>
          </cell>
          <cell r="C29" t="str">
            <v>NSL</v>
          </cell>
          <cell r="D29">
            <v>8</v>
          </cell>
          <cell r="E29">
            <v>2</v>
          </cell>
          <cell r="F29">
            <v>1</v>
          </cell>
          <cell r="G29">
            <v>1</v>
          </cell>
          <cell r="H29">
            <v>3</v>
          </cell>
          <cell r="I29" t="str">
            <v>211.3</v>
          </cell>
          <cell r="K29">
            <v>1</v>
          </cell>
          <cell r="L29" t="str">
            <v>Low</v>
          </cell>
          <cell r="M29">
            <v>0</v>
          </cell>
        </row>
        <row r="30">
          <cell r="B30">
            <v>304</v>
          </cell>
          <cell r="C30" t="str">
            <v>FSL</v>
          </cell>
          <cell r="D30">
            <v>2</v>
          </cell>
          <cell r="E30">
            <v>1</v>
          </cell>
          <cell r="F30">
            <v>1</v>
          </cell>
          <cell r="G30">
            <v>1</v>
          </cell>
          <cell r="H30">
            <v>3</v>
          </cell>
          <cell r="I30" t="str">
            <v>111.3</v>
          </cell>
          <cell r="K30">
            <v>2</v>
          </cell>
          <cell r="L30" t="str">
            <v>High</v>
          </cell>
          <cell r="M30">
            <v>150</v>
          </cell>
        </row>
        <row r="31">
          <cell r="B31">
            <v>305</v>
          </cell>
          <cell r="C31" t="str">
            <v>NDH</v>
          </cell>
          <cell r="D31">
            <v>11</v>
          </cell>
          <cell r="E31">
            <v>2</v>
          </cell>
          <cell r="F31">
            <v>3</v>
          </cell>
          <cell r="G31">
            <v>2</v>
          </cell>
          <cell r="H31">
            <v>4</v>
          </cell>
          <cell r="I31" t="str">
            <v>232.4</v>
          </cell>
        </row>
        <row r="32">
          <cell r="B32">
            <v>306</v>
          </cell>
          <cell r="C32" t="str">
            <v>FTL</v>
          </cell>
          <cell r="D32">
            <v>4</v>
          </cell>
          <cell r="E32">
            <v>1</v>
          </cell>
          <cell r="F32">
            <v>2</v>
          </cell>
          <cell r="G32">
            <v>1</v>
          </cell>
          <cell r="H32">
            <v>4</v>
          </cell>
          <cell r="I32" t="str">
            <v>121.4</v>
          </cell>
        </row>
        <row r="33">
          <cell r="B33">
            <v>307</v>
          </cell>
          <cell r="C33" t="str">
            <v>NTH</v>
          </cell>
          <cell r="D33">
            <v>9</v>
          </cell>
          <cell r="E33">
            <v>2</v>
          </cell>
          <cell r="F33">
            <v>2</v>
          </cell>
          <cell r="G33">
            <v>2</v>
          </cell>
          <cell r="H33">
            <v>4</v>
          </cell>
          <cell r="I33" t="str">
            <v>222.4</v>
          </cell>
        </row>
        <row r="34">
          <cell r="B34">
            <v>308</v>
          </cell>
          <cell r="C34" t="str">
            <v>FDH</v>
          </cell>
          <cell r="D34">
            <v>5</v>
          </cell>
          <cell r="E34">
            <v>1</v>
          </cell>
          <cell r="F34">
            <v>3</v>
          </cell>
          <cell r="G34">
            <v>2</v>
          </cell>
          <cell r="H34">
            <v>4</v>
          </cell>
          <cell r="I34" t="str">
            <v>132.4</v>
          </cell>
        </row>
        <row r="35">
          <cell r="B35">
            <v>401</v>
          </cell>
          <cell r="C35" t="str">
            <v>NSH</v>
          </cell>
          <cell r="D35">
            <v>7</v>
          </cell>
          <cell r="E35">
            <v>2</v>
          </cell>
          <cell r="F35">
            <v>1</v>
          </cell>
          <cell r="G35">
            <v>2</v>
          </cell>
          <cell r="H35">
            <v>3</v>
          </cell>
          <cell r="I35" t="str">
            <v>212.3</v>
          </cell>
        </row>
        <row r="36">
          <cell r="B36">
            <v>402</v>
          </cell>
          <cell r="C36" t="str">
            <v>NTH</v>
          </cell>
          <cell r="D36">
            <v>9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 t="str">
            <v>222.3</v>
          </cell>
        </row>
        <row r="37">
          <cell r="B37">
            <v>403</v>
          </cell>
          <cell r="C37" t="str">
            <v>FDL</v>
          </cell>
          <cell r="D37">
            <v>6</v>
          </cell>
          <cell r="E37">
            <v>1</v>
          </cell>
          <cell r="F37">
            <v>3</v>
          </cell>
          <cell r="G37">
            <v>1</v>
          </cell>
          <cell r="H37">
            <v>3</v>
          </cell>
          <cell r="I37" t="str">
            <v>131.3</v>
          </cell>
        </row>
        <row r="38">
          <cell r="B38">
            <v>404</v>
          </cell>
          <cell r="C38" t="str">
            <v>FTH</v>
          </cell>
          <cell r="D38">
            <v>3</v>
          </cell>
          <cell r="E38">
            <v>1</v>
          </cell>
          <cell r="F38">
            <v>2</v>
          </cell>
          <cell r="G38">
            <v>2</v>
          </cell>
          <cell r="H38">
            <v>3</v>
          </cell>
          <cell r="I38" t="str">
            <v>122.3</v>
          </cell>
        </row>
        <row r="39">
          <cell r="B39">
            <v>405</v>
          </cell>
          <cell r="C39" t="str">
            <v>FDL</v>
          </cell>
          <cell r="D39">
            <v>6</v>
          </cell>
          <cell r="E39">
            <v>1</v>
          </cell>
          <cell r="F39">
            <v>3</v>
          </cell>
          <cell r="G39">
            <v>1</v>
          </cell>
          <cell r="H39">
            <v>4</v>
          </cell>
          <cell r="I39" t="str">
            <v>131.4</v>
          </cell>
        </row>
        <row r="40">
          <cell r="B40">
            <v>406</v>
          </cell>
          <cell r="C40" t="str">
            <v>FTH</v>
          </cell>
          <cell r="D40">
            <v>3</v>
          </cell>
          <cell r="E40">
            <v>1</v>
          </cell>
          <cell r="F40">
            <v>2</v>
          </cell>
          <cell r="G40">
            <v>2</v>
          </cell>
          <cell r="H40">
            <v>4</v>
          </cell>
          <cell r="I40" t="str">
            <v>122.4</v>
          </cell>
        </row>
        <row r="41">
          <cell r="B41">
            <v>407</v>
          </cell>
          <cell r="C41" t="str">
            <v>NSH</v>
          </cell>
          <cell r="D41">
            <v>7</v>
          </cell>
          <cell r="E41">
            <v>2</v>
          </cell>
          <cell r="F41">
            <v>1</v>
          </cell>
          <cell r="G41">
            <v>2</v>
          </cell>
          <cell r="H41">
            <v>4</v>
          </cell>
          <cell r="I41" t="str">
            <v>212.4</v>
          </cell>
        </row>
        <row r="42">
          <cell r="B42">
            <v>408</v>
          </cell>
          <cell r="C42" t="str">
            <v>NTL</v>
          </cell>
          <cell r="D42">
            <v>10</v>
          </cell>
          <cell r="E42">
            <v>2</v>
          </cell>
          <cell r="F42">
            <v>2</v>
          </cell>
          <cell r="G42">
            <v>1</v>
          </cell>
          <cell r="H42">
            <v>4</v>
          </cell>
          <cell r="I42" t="str">
            <v>221.4</v>
          </cell>
        </row>
        <row r="43">
          <cell r="B43">
            <v>901</v>
          </cell>
          <cell r="C43" t="str">
            <v>WS</v>
          </cell>
          <cell r="D43">
            <v>32</v>
          </cell>
          <cell r="E43">
            <v>9</v>
          </cell>
          <cell r="F43">
            <v>0</v>
          </cell>
          <cell r="G43">
            <v>1</v>
          </cell>
          <cell r="H43">
            <v>1</v>
          </cell>
          <cell r="I43" t="str">
            <v>901.1</v>
          </cell>
        </row>
        <row r="44">
          <cell r="B44">
            <v>902</v>
          </cell>
          <cell r="C44" t="str">
            <v>Late</v>
          </cell>
          <cell r="D44">
            <v>22</v>
          </cell>
          <cell r="E44">
            <v>4</v>
          </cell>
          <cell r="F44">
            <v>2</v>
          </cell>
          <cell r="G44">
            <v>2</v>
          </cell>
          <cell r="H44">
            <v>1</v>
          </cell>
          <cell r="I44" t="str">
            <v>422.1</v>
          </cell>
        </row>
        <row r="45">
          <cell r="B45">
            <v>903</v>
          </cell>
          <cell r="C45" t="str">
            <v>DS</v>
          </cell>
          <cell r="D45">
            <v>31</v>
          </cell>
          <cell r="E45">
            <v>8</v>
          </cell>
          <cell r="F45">
            <v>0</v>
          </cell>
          <cell r="G45">
            <v>1</v>
          </cell>
          <cell r="H45">
            <v>1</v>
          </cell>
          <cell r="I45" t="str">
            <v>801.1</v>
          </cell>
        </row>
        <row r="46">
          <cell r="B46">
            <v>904</v>
          </cell>
          <cell r="C46" t="str">
            <v>Early</v>
          </cell>
          <cell r="D46">
            <v>21</v>
          </cell>
          <cell r="E46">
            <v>3</v>
          </cell>
          <cell r="F46">
            <v>2</v>
          </cell>
          <cell r="G46">
            <v>2</v>
          </cell>
          <cell r="H46">
            <v>1</v>
          </cell>
          <cell r="I46" t="str">
            <v>322.1</v>
          </cell>
        </row>
        <row r="47">
          <cell r="B47">
            <v>905</v>
          </cell>
          <cell r="C47" t="str">
            <v>WS</v>
          </cell>
          <cell r="D47">
            <v>32</v>
          </cell>
          <cell r="E47">
            <v>9</v>
          </cell>
          <cell r="F47">
            <v>0</v>
          </cell>
          <cell r="G47">
            <v>1</v>
          </cell>
          <cell r="H47">
            <v>2</v>
          </cell>
          <cell r="I47" t="str">
            <v>901.2</v>
          </cell>
        </row>
        <row r="48">
          <cell r="B48">
            <v>906</v>
          </cell>
          <cell r="C48" t="str">
            <v>Late</v>
          </cell>
          <cell r="D48">
            <v>22</v>
          </cell>
          <cell r="E48">
            <v>4</v>
          </cell>
          <cell r="F48">
            <v>2</v>
          </cell>
          <cell r="G48">
            <v>2</v>
          </cell>
          <cell r="H48">
            <v>2</v>
          </cell>
          <cell r="I48" t="str">
            <v>422.2</v>
          </cell>
        </row>
        <row r="49">
          <cell r="B49">
            <v>907</v>
          </cell>
          <cell r="C49" t="str">
            <v>DS</v>
          </cell>
          <cell r="D49">
            <v>31</v>
          </cell>
          <cell r="E49">
            <v>8</v>
          </cell>
          <cell r="F49">
            <v>0</v>
          </cell>
          <cell r="G49">
            <v>1</v>
          </cell>
          <cell r="H49">
            <v>2</v>
          </cell>
          <cell r="I49" t="str">
            <v>801.2</v>
          </cell>
        </row>
        <row r="50">
          <cell r="B50">
            <v>908</v>
          </cell>
          <cell r="C50" t="str">
            <v>Early</v>
          </cell>
          <cell r="D50">
            <v>21</v>
          </cell>
          <cell r="E50">
            <v>3</v>
          </cell>
          <cell r="F50">
            <v>2</v>
          </cell>
          <cell r="G50">
            <v>2</v>
          </cell>
          <cell r="H50">
            <v>2</v>
          </cell>
          <cell r="I50" t="str">
            <v>322.2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7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4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4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3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6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7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8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9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50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51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E4EF-7188-46A8-B4E0-26F0BB784099}">
  <dimension ref="A1:BA41"/>
  <sheetViews>
    <sheetView tabSelected="1" workbookViewId="0"/>
  </sheetViews>
  <sheetFormatPr defaultRowHeight="15" x14ac:dyDescent="0.25"/>
  <sheetData>
    <row r="1" spans="1:53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</row>
    <row r="2" spans="1:53" x14ac:dyDescent="0.25">
      <c r="A2" t="s">
        <v>1</v>
      </c>
      <c r="B2">
        <v>43.521943048886243</v>
      </c>
      <c r="C2">
        <v>39.236021936608736</v>
      </c>
      <c r="D2">
        <v>51.59725210246345</v>
      </c>
      <c r="E2">
        <v>53.463261194019374</v>
      </c>
      <c r="F2">
        <v>54.394491867345856</v>
      </c>
      <c r="G2">
        <v>53.31023074208094</v>
      </c>
      <c r="H2">
        <v>56.990155154581238</v>
      </c>
      <c r="I2">
        <v>33.799133964531443</v>
      </c>
      <c r="J2">
        <v>37.256580667767565</v>
      </c>
      <c r="K2">
        <v>42.81143586852631</v>
      </c>
      <c r="L2">
        <v>53.404605769361588</v>
      </c>
      <c r="M2">
        <v>54.597071827459196</v>
      </c>
      <c r="N2">
        <v>55.482513113640387</v>
      </c>
      <c r="O2">
        <v>54.873460028542127</v>
      </c>
      <c r="P2">
        <v>53.336470353023238</v>
      </c>
      <c r="Q2">
        <v>53.855895054720953</v>
      </c>
      <c r="R2">
        <v>32.259841921477268</v>
      </c>
      <c r="S2">
        <v>33.854494769831327</v>
      </c>
      <c r="T2">
        <v>39.023369564619564</v>
      </c>
      <c r="U2">
        <v>45.165585845747664</v>
      </c>
      <c r="V2">
        <v>52.060817982593221</v>
      </c>
      <c r="W2">
        <v>52.550237224738304</v>
      </c>
      <c r="X2">
        <v>51.506545809273653</v>
      </c>
      <c r="Y2">
        <v>49.037553657251095</v>
      </c>
      <c r="Z2">
        <v>44.325607332655728</v>
      </c>
      <c r="AA2">
        <v>48.840114012981111</v>
      </c>
      <c r="AB2">
        <v>31.908791241359967</v>
      </c>
      <c r="AC2">
        <v>32.556310181135096</v>
      </c>
      <c r="AD2">
        <v>35.930708314677744</v>
      </c>
      <c r="AE2">
        <v>36.901221921504693</v>
      </c>
      <c r="AF2">
        <v>42.608436844257717</v>
      </c>
      <c r="AG2">
        <v>46.792044965687161</v>
      </c>
      <c r="AH2">
        <v>45.871726074978248</v>
      </c>
      <c r="AI2">
        <v>45.797563180678452</v>
      </c>
      <c r="AJ2">
        <v>45.353118216305582</v>
      </c>
      <c r="AK2">
        <v>45.607066901897866</v>
      </c>
      <c r="AL2">
        <v>31.712979812555854</v>
      </c>
      <c r="AM2">
        <v>36.795481995466254</v>
      </c>
      <c r="AN2">
        <v>36.53672101284279</v>
      </c>
      <c r="AO2">
        <v>32.413072516555012</v>
      </c>
      <c r="AP2">
        <v>29.774835741040103</v>
      </c>
      <c r="AQ2">
        <v>35.026948579783102</v>
      </c>
      <c r="AR2">
        <v>29.462417585471588</v>
      </c>
      <c r="AS2">
        <v>31.559891494734305</v>
      </c>
      <c r="AT2">
        <v>32.793421157960886</v>
      </c>
      <c r="AU2">
        <v>30.785897264020363</v>
      </c>
      <c r="AV2">
        <v>31.195305135603373</v>
      </c>
      <c r="AW2">
        <v>31.070866613548688</v>
      </c>
      <c r="AX2">
        <v>31.689294449522858</v>
      </c>
      <c r="AY2">
        <v>30.783708256183839</v>
      </c>
      <c r="AZ2">
        <v>33.335331972139635</v>
      </c>
      <c r="BA2">
        <v>32.119362866218829</v>
      </c>
    </row>
    <row r="3" spans="1:53" x14ac:dyDescent="0.25">
      <c r="A3" t="s">
        <v>2</v>
      </c>
      <c r="B3">
        <v>43.573965493840213</v>
      </c>
      <c r="C3">
        <v>40.733551054747103</v>
      </c>
      <c r="D3">
        <v>51.313952816142425</v>
      </c>
      <c r="E3">
        <v>53.176156166566024</v>
      </c>
      <c r="F3">
        <v>54.021657939480292</v>
      </c>
      <c r="G3">
        <v>53.878722404513944</v>
      </c>
      <c r="H3">
        <v>56.260550915982492</v>
      </c>
      <c r="I3">
        <v>33.840973591163262</v>
      </c>
      <c r="J3">
        <v>37.563185580719825</v>
      </c>
      <c r="K3">
        <v>43.860304005292484</v>
      </c>
      <c r="L3">
        <v>53.208338663372331</v>
      </c>
      <c r="M3">
        <v>53.124720980402138</v>
      </c>
      <c r="N3">
        <v>55.184524314610883</v>
      </c>
      <c r="O3">
        <v>53.811973095530867</v>
      </c>
      <c r="P3">
        <v>53.390745170340573</v>
      </c>
      <c r="Q3">
        <v>51.571430587246113</v>
      </c>
      <c r="R3">
        <v>31.463857712553605</v>
      </c>
      <c r="S3">
        <v>33.135372439711389</v>
      </c>
      <c r="T3">
        <v>36.9665864741999</v>
      </c>
      <c r="U3">
        <v>44.228201861565303</v>
      </c>
      <c r="V3">
        <v>50.419946621156839</v>
      </c>
      <c r="W3">
        <v>50.977423434375986</v>
      </c>
      <c r="X3">
        <v>49.809762543511432</v>
      </c>
      <c r="Y3">
        <v>49.191274711316709</v>
      </c>
      <c r="Z3">
        <v>45.01673222843408</v>
      </c>
      <c r="AA3">
        <v>49.969801673839477</v>
      </c>
      <c r="AB3">
        <v>31.771511517726239</v>
      </c>
      <c r="AC3">
        <v>32.035915903561488</v>
      </c>
      <c r="AD3">
        <v>35.251927404693824</v>
      </c>
      <c r="AE3">
        <v>37.420422112881745</v>
      </c>
      <c r="AF3">
        <v>44.050312764394526</v>
      </c>
      <c r="AG3">
        <v>46.473794563685566</v>
      </c>
      <c r="AH3">
        <v>44.830134417610338</v>
      </c>
      <c r="AI3">
        <v>45.777638283199515</v>
      </c>
      <c r="AJ3">
        <v>45.656961272792678</v>
      </c>
      <c r="AK3">
        <v>48.059729709666733</v>
      </c>
      <c r="AL3">
        <v>36.467105071105529</v>
      </c>
      <c r="AM3">
        <v>35.417907595506527</v>
      </c>
      <c r="AN3">
        <v>37.447222206900946</v>
      </c>
      <c r="AO3">
        <v>32.06139600653772</v>
      </c>
      <c r="AP3">
        <v>29.032754927008341</v>
      </c>
      <c r="AQ3">
        <v>34.584220479011343</v>
      </c>
      <c r="AR3">
        <v>29.576761909122084</v>
      </c>
      <c r="AS3">
        <v>32.541932189240917</v>
      </c>
      <c r="AT3">
        <v>33.694692083564767</v>
      </c>
      <c r="AU3">
        <v>32.659594741411162</v>
      </c>
      <c r="AV3">
        <v>32.559835350396853</v>
      </c>
      <c r="AW3">
        <v>31.80177639371362</v>
      </c>
      <c r="AX3">
        <v>33.355206267397044</v>
      </c>
      <c r="AY3">
        <v>29.277683603816538</v>
      </c>
      <c r="AZ3">
        <v>33.037224231088963</v>
      </c>
      <c r="BA3">
        <v>32.255499389668778</v>
      </c>
    </row>
    <row r="4" spans="1:53" x14ac:dyDescent="0.25">
      <c r="A4" t="s">
        <v>3</v>
      </c>
      <c r="B4">
        <v>43.383534591522498</v>
      </c>
      <c r="C4">
        <v>41.486645214464772</v>
      </c>
      <c r="D4">
        <v>52.06655975685058</v>
      </c>
      <c r="E4">
        <v>53.939319297681386</v>
      </c>
      <c r="F4">
        <v>54.364422078868223</v>
      </c>
      <c r="G4">
        <v>53.547335169644697</v>
      </c>
      <c r="H4">
        <v>55.263152522786008</v>
      </c>
      <c r="I4">
        <v>35.279244480768796</v>
      </c>
      <c r="J4">
        <v>38.275777044788299</v>
      </c>
      <c r="K4">
        <v>44.127489165409457</v>
      </c>
      <c r="L4">
        <v>51.737669186475443</v>
      </c>
      <c r="M4">
        <v>52.160975830050376</v>
      </c>
      <c r="N4">
        <v>51.530568421265201</v>
      </c>
      <c r="O4">
        <v>51.971412826192442</v>
      </c>
      <c r="P4">
        <v>50.916547231423884</v>
      </c>
      <c r="Q4">
        <v>50.485613392499907</v>
      </c>
      <c r="R4">
        <v>31.156530335137262</v>
      </c>
      <c r="S4">
        <v>33.273389913099265</v>
      </c>
      <c r="T4">
        <v>35.123477328758611</v>
      </c>
      <c r="U4">
        <v>40.214539761681088</v>
      </c>
      <c r="V4">
        <v>42.341252617309287</v>
      </c>
      <c r="W4">
        <v>44.917589401890119</v>
      </c>
      <c r="X4">
        <v>44.15714211047333</v>
      </c>
      <c r="Y4">
        <v>43.989474477463439</v>
      </c>
      <c r="Z4">
        <v>41.688795972489714</v>
      </c>
      <c r="AA4">
        <v>43.928515730866856</v>
      </c>
      <c r="AB4">
        <v>31.305039819653874</v>
      </c>
      <c r="AC4">
        <v>31.912099905036257</v>
      </c>
      <c r="AD4">
        <v>33.801926995812387</v>
      </c>
      <c r="AE4">
        <v>33.657164628509967</v>
      </c>
      <c r="AF4">
        <v>37.183684851258427</v>
      </c>
      <c r="AG4">
        <v>37.628417572024802</v>
      </c>
      <c r="AH4">
        <v>38.947553004872951</v>
      </c>
      <c r="AI4">
        <v>40.879764759118764</v>
      </c>
      <c r="AJ4">
        <v>41.509194931749143</v>
      </c>
      <c r="AK4">
        <v>41.694349869231736</v>
      </c>
      <c r="AL4">
        <v>33.195321943828716</v>
      </c>
      <c r="AM4">
        <v>33.417452491930923</v>
      </c>
      <c r="AN4">
        <v>32.63297139595452</v>
      </c>
      <c r="AO4">
        <v>34.980253310373449</v>
      </c>
      <c r="AP4">
        <v>28.626393054147425</v>
      </c>
      <c r="AQ4">
        <v>31.099172444518036</v>
      </c>
      <c r="AR4">
        <v>29.186607693957018</v>
      </c>
      <c r="AS4">
        <v>30.949187275479641</v>
      </c>
      <c r="AT4">
        <v>29.11865261071506</v>
      </c>
      <c r="AU4">
        <v>31.600549700255851</v>
      </c>
      <c r="AV4">
        <v>32.665995616860982</v>
      </c>
      <c r="AW4">
        <v>31.046659635049355</v>
      </c>
      <c r="AX4">
        <v>33.284395834273788</v>
      </c>
      <c r="AY4">
        <v>31.219440913928</v>
      </c>
      <c r="AZ4">
        <v>33.902486638635885</v>
      </c>
      <c r="BA4">
        <v>34.156938363572834</v>
      </c>
    </row>
    <row r="5" spans="1:53" x14ac:dyDescent="0.25">
      <c r="A5" t="s">
        <v>4</v>
      </c>
      <c r="B5">
        <v>43.134024348075947</v>
      </c>
      <c r="C5">
        <v>38.36100681781641</v>
      </c>
      <c r="D5">
        <v>51.632647349779297</v>
      </c>
      <c r="E5">
        <v>52.783953058134621</v>
      </c>
      <c r="F5">
        <v>54.063833764755941</v>
      </c>
      <c r="G5">
        <v>53.59114890076517</v>
      </c>
      <c r="H5">
        <v>54.920701875054391</v>
      </c>
      <c r="I5">
        <v>34.373655496480723</v>
      </c>
      <c r="J5">
        <v>36.84632851669847</v>
      </c>
      <c r="K5">
        <v>42.481762082161815</v>
      </c>
      <c r="L5">
        <v>52.724297278079121</v>
      </c>
      <c r="M5">
        <v>51.825398537888169</v>
      </c>
      <c r="N5">
        <v>53.793219554671623</v>
      </c>
      <c r="O5">
        <v>54.002785987408487</v>
      </c>
      <c r="P5">
        <v>53.530586858674702</v>
      </c>
      <c r="Q5">
        <v>50.494016655968558</v>
      </c>
      <c r="R5">
        <v>48.166313113232718</v>
      </c>
      <c r="S5">
        <v>33.831610255860873</v>
      </c>
      <c r="T5">
        <v>35.128951104420686</v>
      </c>
      <c r="U5">
        <v>36.635139161247182</v>
      </c>
      <c r="V5">
        <v>45.933414858774341</v>
      </c>
      <c r="W5">
        <v>49.130001195438957</v>
      </c>
      <c r="X5">
        <v>47.81493764304728</v>
      </c>
      <c r="Y5">
        <v>46.998923266200222</v>
      </c>
      <c r="Z5">
        <v>42.358655517428339</v>
      </c>
      <c r="AA5">
        <v>46.575316997392484</v>
      </c>
      <c r="AB5">
        <v>43.650946386753304</v>
      </c>
      <c r="AC5">
        <v>45.047174632285085</v>
      </c>
      <c r="AD5">
        <v>35.988372036726993</v>
      </c>
      <c r="AE5">
        <v>36.286217632397744</v>
      </c>
      <c r="AF5">
        <v>36.836959609157987</v>
      </c>
      <c r="AG5">
        <v>37.965379158804261</v>
      </c>
      <c r="AH5">
        <v>40.703372459435641</v>
      </c>
      <c r="AI5">
        <v>41.933491074205186</v>
      </c>
      <c r="AJ5">
        <v>42.009290185876537</v>
      </c>
      <c r="AK5">
        <v>42.655202705218159</v>
      </c>
      <c r="AL5">
        <v>36.012956601499717</v>
      </c>
      <c r="AM5">
        <v>33.580211968357482</v>
      </c>
      <c r="AN5">
        <v>32.425818191788352</v>
      </c>
      <c r="AO5">
        <v>34.057831257795385</v>
      </c>
      <c r="AP5">
        <v>30.251186137135353</v>
      </c>
      <c r="AQ5">
        <v>32.070059717048622</v>
      </c>
      <c r="AR5">
        <v>29.617030555094132</v>
      </c>
      <c r="AS5">
        <v>31.898160637693664</v>
      </c>
      <c r="AT5">
        <v>29.831170858724366</v>
      </c>
      <c r="AU5">
        <v>30.850108710129675</v>
      </c>
      <c r="AV5">
        <v>32.914840507776219</v>
      </c>
      <c r="AW5">
        <v>30.860694731298604</v>
      </c>
      <c r="AX5">
        <v>32.668101600877733</v>
      </c>
      <c r="AY5">
        <v>29.887828141884707</v>
      </c>
      <c r="AZ5">
        <v>32.904414405341463</v>
      </c>
      <c r="BA5">
        <v>33.206674238233383</v>
      </c>
    </row>
    <row r="6" spans="1:53" x14ac:dyDescent="0.25">
      <c r="A6" t="s">
        <v>5</v>
      </c>
      <c r="B6">
        <v>43.839974179651449</v>
      </c>
      <c r="C6">
        <v>38.326069102720368</v>
      </c>
      <c r="D6">
        <v>50.937444670913912</v>
      </c>
      <c r="E6">
        <v>52.444434601751432</v>
      </c>
      <c r="F6">
        <v>54.077993348021749</v>
      </c>
      <c r="G6">
        <v>36.534006539735039</v>
      </c>
      <c r="H6">
        <v>50.722178688685865</v>
      </c>
      <c r="I6">
        <v>50.614396112231468</v>
      </c>
      <c r="J6">
        <v>53.287633734657156</v>
      </c>
      <c r="K6">
        <v>52.352508866857328</v>
      </c>
      <c r="L6">
        <v>52.899504461985309</v>
      </c>
      <c r="M6">
        <v>53.058404724871131</v>
      </c>
      <c r="N6">
        <v>35.578439085135031</v>
      </c>
      <c r="O6">
        <v>34.24954711938576</v>
      </c>
      <c r="P6">
        <v>37.740262304581258</v>
      </c>
      <c r="Q6">
        <v>45.532587601998642</v>
      </c>
      <c r="R6">
        <v>44.573928896989408</v>
      </c>
      <c r="S6">
        <v>43.637463124090722</v>
      </c>
      <c r="T6">
        <v>46.241450193243274</v>
      </c>
      <c r="U6">
        <v>45.162451812974865</v>
      </c>
      <c r="V6">
        <v>34.440914621365039</v>
      </c>
      <c r="W6">
        <v>35.100075070392755</v>
      </c>
      <c r="X6">
        <v>36.068433296586164</v>
      </c>
      <c r="Y6">
        <v>38.18566608710676</v>
      </c>
      <c r="Z6">
        <v>37.150167171237911</v>
      </c>
      <c r="AA6">
        <v>36.957212045190921</v>
      </c>
      <c r="AB6">
        <v>37.770289830164423</v>
      </c>
      <c r="AC6">
        <v>39.820347966552539</v>
      </c>
      <c r="AD6">
        <v>32.614096634428996</v>
      </c>
      <c r="AE6">
        <v>35.501144178298105</v>
      </c>
      <c r="AF6">
        <v>34.887110954515656</v>
      </c>
      <c r="AG6">
        <v>34.435951798070988</v>
      </c>
      <c r="AH6">
        <v>33.721826204917051</v>
      </c>
      <c r="AI6">
        <v>37.61493587220081</v>
      </c>
      <c r="AJ6">
        <v>37.42771409357772</v>
      </c>
      <c r="AK6">
        <v>38.889562455536947</v>
      </c>
      <c r="AL6">
        <v>33.468470490172145</v>
      </c>
      <c r="AM6">
        <v>31.629729285646174</v>
      </c>
      <c r="AN6">
        <v>31.236647377044168</v>
      </c>
      <c r="AO6">
        <v>32.771962857045864</v>
      </c>
      <c r="AP6">
        <v>29.962009197441166</v>
      </c>
      <c r="AQ6">
        <v>31.737185284713274</v>
      </c>
      <c r="AR6">
        <v>30.347678106556629</v>
      </c>
      <c r="AS6">
        <v>31.061435784124374</v>
      </c>
      <c r="AT6">
        <v>30.052587744782656</v>
      </c>
      <c r="AU6">
        <v>30.874097301183014</v>
      </c>
      <c r="AV6">
        <v>32.312839708016106</v>
      </c>
      <c r="AW6">
        <v>30.537464193426771</v>
      </c>
      <c r="AX6">
        <v>32.588173680355474</v>
      </c>
      <c r="AY6">
        <v>30.404369314691362</v>
      </c>
      <c r="AZ6">
        <v>31.990248430231528</v>
      </c>
      <c r="BA6">
        <v>31.994661178056678</v>
      </c>
    </row>
    <row r="7" spans="1:53" x14ac:dyDescent="0.25">
      <c r="A7" t="s">
        <v>6</v>
      </c>
      <c r="B7">
        <v>43.871058413039428</v>
      </c>
      <c r="C7">
        <v>40.057224865400222</v>
      </c>
      <c r="D7">
        <v>51.436056184999238</v>
      </c>
      <c r="E7">
        <v>53.194896414159594</v>
      </c>
      <c r="F7">
        <v>54.49857003137577</v>
      </c>
      <c r="G7">
        <v>52.862632700077036</v>
      </c>
      <c r="H7">
        <v>55.840157396292852</v>
      </c>
      <c r="I7">
        <v>34.535378197950536</v>
      </c>
      <c r="J7">
        <v>36.66159292292587</v>
      </c>
      <c r="K7">
        <v>42.225698265676307</v>
      </c>
      <c r="L7">
        <v>52.37628479523142</v>
      </c>
      <c r="M7">
        <v>52.872935657604728</v>
      </c>
      <c r="N7">
        <v>53.224678578944371</v>
      </c>
      <c r="O7">
        <v>53.767769953153056</v>
      </c>
      <c r="P7">
        <v>54.048090082614522</v>
      </c>
      <c r="Q7">
        <v>51.668612311778027</v>
      </c>
      <c r="R7">
        <v>49.362012155440631</v>
      </c>
      <c r="S7">
        <v>49.750490161903294</v>
      </c>
      <c r="T7">
        <v>36.498454163295207</v>
      </c>
      <c r="U7">
        <v>35.120709295751574</v>
      </c>
      <c r="V7">
        <v>44.382863252271306</v>
      </c>
      <c r="W7">
        <v>48.293872689648076</v>
      </c>
      <c r="X7">
        <v>46.006894903021355</v>
      </c>
      <c r="Y7">
        <v>45.096650554541213</v>
      </c>
      <c r="Z7">
        <v>42.69520649372739</v>
      </c>
      <c r="AA7">
        <v>45.579794082096129</v>
      </c>
      <c r="AB7">
        <v>46.860190573573277</v>
      </c>
      <c r="AC7">
        <v>44.621059574684672</v>
      </c>
      <c r="AD7">
        <v>35.142454530039892</v>
      </c>
      <c r="AE7">
        <v>35.804814950242303</v>
      </c>
      <c r="AF7">
        <v>35.336154302388856</v>
      </c>
      <c r="AG7">
        <v>38.636457381632447</v>
      </c>
      <c r="AH7">
        <v>39.166873257089172</v>
      </c>
      <c r="AI7">
        <v>42.66306819964786</v>
      </c>
      <c r="AJ7">
        <v>41.601706801675988</v>
      </c>
      <c r="AK7">
        <v>42.33410006069662</v>
      </c>
      <c r="AL7">
        <v>34.950657259864819</v>
      </c>
      <c r="AM7">
        <v>33.659682356659928</v>
      </c>
      <c r="AN7">
        <v>33.51663080769486</v>
      </c>
      <c r="AO7">
        <v>33.681884366471898</v>
      </c>
      <c r="AP7">
        <v>30.545368376196219</v>
      </c>
      <c r="AQ7">
        <v>32.425871499026833</v>
      </c>
      <c r="AR7">
        <v>29.772372656995984</v>
      </c>
      <c r="AS7">
        <v>29.662043396894756</v>
      </c>
      <c r="AT7">
        <v>31.7159532601876</v>
      </c>
      <c r="AU7">
        <v>30.995308312587682</v>
      </c>
      <c r="AV7">
        <v>32.368539515770088</v>
      </c>
      <c r="AW7">
        <v>30.294820260793298</v>
      </c>
      <c r="AX7">
        <v>32.195946734113264</v>
      </c>
      <c r="AY7">
        <v>32.773558609940203</v>
      </c>
      <c r="AZ7">
        <v>33.047602729869588</v>
      </c>
      <c r="BA7">
        <v>32.301643362413259</v>
      </c>
    </row>
    <row r="8" spans="1:53" x14ac:dyDescent="0.25">
      <c r="A8" t="s">
        <v>7</v>
      </c>
      <c r="B8">
        <v>44.438360265536232</v>
      </c>
      <c r="C8">
        <v>42.922959676426579</v>
      </c>
      <c r="D8">
        <v>52.073350525003754</v>
      </c>
      <c r="E8">
        <v>53.646007839908471</v>
      </c>
      <c r="F8">
        <v>54.829524013731202</v>
      </c>
      <c r="G8">
        <v>53.09242309786017</v>
      </c>
      <c r="H8">
        <v>56.461114946386978</v>
      </c>
      <c r="I8">
        <v>34.270876713051088</v>
      </c>
      <c r="J8">
        <v>40.092704353359409</v>
      </c>
      <c r="K8">
        <v>46.482073237992807</v>
      </c>
      <c r="L8">
        <v>52.548645897583562</v>
      </c>
      <c r="M8">
        <v>53.703888594099801</v>
      </c>
      <c r="N8">
        <v>55.195744284830852</v>
      </c>
      <c r="O8">
        <v>55.303280627967837</v>
      </c>
      <c r="P8">
        <v>54.538196249218622</v>
      </c>
      <c r="Q8">
        <v>50.937323245595046</v>
      </c>
      <c r="R8">
        <v>50.386838488539951</v>
      </c>
      <c r="S8">
        <v>35.28696430260581</v>
      </c>
      <c r="T8">
        <v>35.585961694752804</v>
      </c>
      <c r="U8">
        <v>39.91244776903519</v>
      </c>
      <c r="V8">
        <v>48.281088090360051</v>
      </c>
      <c r="W8">
        <v>51.698073722735558</v>
      </c>
      <c r="X8">
        <v>48.551180810597181</v>
      </c>
      <c r="Y8">
        <v>46.631965483943397</v>
      </c>
      <c r="Z8">
        <v>43.317944794452409</v>
      </c>
      <c r="AA8">
        <v>44.639782026864623</v>
      </c>
      <c r="AB8">
        <v>45.76577915305549</v>
      </c>
      <c r="AC8">
        <v>45.623592087475373</v>
      </c>
      <c r="AD8">
        <v>35.734194642217219</v>
      </c>
      <c r="AE8">
        <v>35.375510632641841</v>
      </c>
      <c r="AF8">
        <v>35.501849492542</v>
      </c>
      <c r="AG8">
        <v>39.977272243104721</v>
      </c>
      <c r="AH8">
        <v>44.416868176704675</v>
      </c>
      <c r="AI8">
        <v>42.733007097600961</v>
      </c>
      <c r="AJ8">
        <v>43.447399929877093</v>
      </c>
      <c r="AK8">
        <v>44.42273532789747</v>
      </c>
      <c r="AL8">
        <v>34.542396825175167</v>
      </c>
      <c r="AM8">
        <v>35.269388340102388</v>
      </c>
      <c r="AN8">
        <v>35.202939209734573</v>
      </c>
      <c r="AO8">
        <v>33.529192665665576</v>
      </c>
      <c r="AP8">
        <v>31.916874472466869</v>
      </c>
      <c r="AQ8">
        <v>32.896353236164863</v>
      </c>
      <c r="AR8">
        <v>30.007248173066092</v>
      </c>
      <c r="AS8">
        <v>29.246132356839563</v>
      </c>
      <c r="AT8">
        <v>32.589424381568016</v>
      </c>
      <c r="AU8">
        <v>32.081790353015883</v>
      </c>
      <c r="AV8">
        <v>32.697329939098402</v>
      </c>
      <c r="AW8">
        <v>31.417367177329044</v>
      </c>
      <c r="AX8">
        <v>33.330826692367829</v>
      </c>
      <c r="AY8">
        <v>33.302904823139265</v>
      </c>
      <c r="AZ8">
        <v>32.620624754573868</v>
      </c>
      <c r="BA8">
        <v>32.429750813315913</v>
      </c>
    </row>
    <row r="9" spans="1:53" x14ac:dyDescent="0.25">
      <c r="A9" t="s">
        <v>8</v>
      </c>
      <c r="B9">
        <v>44.564139424474519</v>
      </c>
      <c r="C9">
        <v>40.509020386394546</v>
      </c>
      <c r="D9">
        <v>51.389477387022424</v>
      </c>
      <c r="E9">
        <v>53.339736357104094</v>
      </c>
      <c r="F9">
        <v>54.858051000574342</v>
      </c>
      <c r="G9">
        <v>52.6290909695525</v>
      </c>
      <c r="H9">
        <v>55.855021455190865</v>
      </c>
      <c r="I9">
        <v>34.191755417127673</v>
      </c>
      <c r="J9">
        <v>38.416077019224453</v>
      </c>
      <c r="K9">
        <v>44.139323979089085</v>
      </c>
      <c r="L9">
        <v>52.787865701703531</v>
      </c>
      <c r="M9">
        <v>53.889041401213916</v>
      </c>
      <c r="N9">
        <v>53.299141341279409</v>
      </c>
      <c r="O9">
        <v>54.814112986673059</v>
      </c>
      <c r="P9">
        <v>52.522087125292408</v>
      </c>
      <c r="Q9">
        <v>51.030973597550066</v>
      </c>
      <c r="R9">
        <v>32.011233029898825</v>
      </c>
      <c r="S9">
        <v>33.235474215738712</v>
      </c>
      <c r="T9">
        <v>36.076946441283411</v>
      </c>
      <c r="U9">
        <v>44.222985596450066</v>
      </c>
      <c r="V9">
        <v>46.354586447096466</v>
      </c>
      <c r="W9">
        <v>48.730520099844874</v>
      </c>
      <c r="X9">
        <v>48.573908325314811</v>
      </c>
      <c r="Y9">
        <v>45.92869033316947</v>
      </c>
      <c r="Z9">
        <v>42.674606495418963</v>
      </c>
      <c r="AA9">
        <v>46.107870419405849</v>
      </c>
      <c r="AB9">
        <v>32.045602488698286</v>
      </c>
      <c r="AC9">
        <v>32.774516231029146</v>
      </c>
      <c r="AD9">
        <v>34.381596671914423</v>
      </c>
      <c r="AE9">
        <v>35.401695238007967</v>
      </c>
      <c r="AF9">
        <v>38.914864893644328</v>
      </c>
      <c r="AG9">
        <v>40.698978114089265</v>
      </c>
      <c r="AH9">
        <v>42.382838076486088</v>
      </c>
      <c r="AI9">
        <v>42.337520313887239</v>
      </c>
      <c r="AJ9">
        <v>41.616358764002136</v>
      </c>
      <c r="AK9">
        <v>44.191446346677402</v>
      </c>
      <c r="AL9">
        <v>35.464432988874044</v>
      </c>
      <c r="AM9">
        <v>33.017802322185105</v>
      </c>
      <c r="AN9">
        <v>34.184128344651917</v>
      </c>
      <c r="AO9">
        <v>32.384041829634846</v>
      </c>
      <c r="AP9">
        <v>30.433410275279204</v>
      </c>
      <c r="AQ9">
        <v>32.754323774051691</v>
      </c>
      <c r="AR9">
        <v>29.739858338074665</v>
      </c>
      <c r="AS9">
        <v>29.149959605180204</v>
      </c>
      <c r="AT9">
        <v>31.401251972561898</v>
      </c>
      <c r="AU9">
        <v>32.348141086449836</v>
      </c>
      <c r="AV9">
        <v>33.121796458765367</v>
      </c>
      <c r="AW9">
        <v>32.06864491673722</v>
      </c>
      <c r="AX9">
        <v>34.787621391780583</v>
      </c>
      <c r="AY9">
        <v>34.651463002632575</v>
      </c>
      <c r="AZ9">
        <v>34.64122981088962</v>
      </c>
      <c r="BA9">
        <v>34.996843547680335</v>
      </c>
    </row>
    <row r="10" spans="1:53" x14ac:dyDescent="0.25">
      <c r="A10" t="s">
        <v>9</v>
      </c>
      <c r="B10">
        <v>44.195720232222037</v>
      </c>
      <c r="C10">
        <v>40.687854424029062</v>
      </c>
      <c r="D10">
        <v>51.852196998471214</v>
      </c>
      <c r="E10">
        <v>53.104171208796664</v>
      </c>
      <c r="F10">
        <v>53.618542880447421</v>
      </c>
      <c r="G10">
        <v>36.795947255711503</v>
      </c>
      <c r="H10">
        <v>52.391571941868698</v>
      </c>
      <c r="I10">
        <v>51.209932217242965</v>
      </c>
      <c r="J10">
        <v>54.317453292224251</v>
      </c>
      <c r="K10">
        <v>52.89581980170005</v>
      </c>
      <c r="L10">
        <v>53.795089580309359</v>
      </c>
      <c r="M10">
        <v>53.252283658467285</v>
      </c>
      <c r="N10">
        <v>36.705789771600074</v>
      </c>
      <c r="O10">
        <v>35.33755397261654</v>
      </c>
      <c r="P10">
        <v>37.375102507905062</v>
      </c>
      <c r="Q10">
        <v>46.359415391772053</v>
      </c>
      <c r="R10">
        <v>45.228538871091949</v>
      </c>
      <c r="S10">
        <v>44.369528686187657</v>
      </c>
      <c r="T10">
        <v>45.665594433853215</v>
      </c>
      <c r="U10">
        <v>46.560842337042367</v>
      </c>
      <c r="V10">
        <v>34.678602567926085</v>
      </c>
      <c r="W10">
        <v>34.591670591137834</v>
      </c>
      <c r="X10">
        <v>36.274118864836652</v>
      </c>
      <c r="Y10">
        <v>38.874811029417572</v>
      </c>
      <c r="Z10">
        <v>38.7561684316914</v>
      </c>
      <c r="AA10">
        <v>38.66938810351639</v>
      </c>
      <c r="AB10">
        <v>37.880811177732888</v>
      </c>
      <c r="AC10">
        <v>40.607107132026854</v>
      </c>
      <c r="AD10">
        <v>33.511894118225101</v>
      </c>
      <c r="AE10">
        <v>34.185269391877831</v>
      </c>
      <c r="AF10">
        <v>34.642100360699139</v>
      </c>
      <c r="AG10">
        <v>32.832988842205957</v>
      </c>
      <c r="AH10">
        <v>35.118245704978847</v>
      </c>
      <c r="AI10">
        <v>36.854804377858713</v>
      </c>
      <c r="AJ10">
        <v>35.682344339241084</v>
      </c>
      <c r="AK10">
        <v>37.563222995587559</v>
      </c>
      <c r="AL10">
        <v>31.534210750446771</v>
      </c>
      <c r="AM10">
        <v>32.087132809613792</v>
      </c>
      <c r="AN10">
        <v>33.092925498651745</v>
      </c>
      <c r="AO10">
        <v>31.086715132727818</v>
      </c>
      <c r="AP10">
        <v>28.236996150286974</v>
      </c>
      <c r="AQ10">
        <v>31.94830468668864</v>
      </c>
      <c r="AR10">
        <v>28.967297190038963</v>
      </c>
      <c r="AS10">
        <v>29.751539669220637</v>
      </c>
      <c r="AT10">
        <v>30.117595248356338</v>
      </c>
      <c r="AU10">
        <v>31.204927181466498</v>
      </c>
      <c r="AV10">
        <v>32.641799205496135</v>
      </c>
      <c r="AW10">
        <v>31.915877673271009</v>
      </c>
      <c r="AX10">
        <v>32.203232584868587</v>
      </c>
      <c r="AZ10">
        <v>33.04840230971211</v>
      </c>
      <c r="BA10">
        <v>32.552122636795161</v>
      </c>
    </row>
    <row r="11" spans="1:53" x14ac:dyDescent="0.25">
      <c r="A11" t="s">
        <v>10</v>
      </c>
      <c r="B11">
        <v>44.037380963446331</v>
      </c>
      <c r="C11">
        <v>39.633975892799512</v>
      </c>
      <c r="D11">
        <v>51.423099682345907</v>
      </c>
      <c r="E11">
        <v>53.074478314782247</v>
      </c>
      <c r="F11">
        <v>53.3149112316041</v>
      </c>
      <c r="G11">
        <v>53.417274748522367</v>
      </c>
      <c r="H11">
        <v>56.813415736175067</v>
      </c>
      <c r="I11">
        <v>34.649396513150592</v>
      </c>
      <c r="J11">
        <v>36.827184768334924</v>
      </c>
      <c r="K11">
        <v>41.554076777775016</v>
      </c>
      <c r="L11">
        <v>52.372258716993485</v>
      </c>
      <c r="M11">
        <v>53.473425045146804</v>
      </c>
      <c r="N11">
        <v>54.398746319924932</v>
      </c>
      <c r="O11">
        <v>53.842334864454756</v>
      </c>
      <c r="P11">
        <v>52.57374519257727</v>
      </c>
      <c r="Q11">
        <v>50.138005229258489</v>
      </c>
      <c r="R11">
        <v>51.203998546039031</v>
      </c>
      <c r="S11">
        <v>33.208643065509499</v>
      </c>
      <c r="T11">
        <v>34.197098072787306</v>
      </c>
      <c r="U11">
        <v>36.531893474240668</v>
      </c>
      <c r="V11">
        <v>47.741726872259051</v>
      </c>
      <c r="W11">
        <v>50.158582006716721</v>
      </c>
      <c r="X11">
        <v>45.551754318551581</v>
      </c>
      <c r="Y11">
        <v>46.470434563612791</v>
      </c>
      <c r="Z11">
        <v>43.261000391430201</v>
      </c>
      <c r="AA11">
        <v>46.501272579222267</v>
      </c>
      <c r="AB11">
        <v>46.566393404555271</v>
      </c>
      <c r="AC11">
        <v>44.736076737518026</v>
      </c>
      <c r="AD11">
        <v>36.685596118761545</v>
      </c>
      <c r="AE11">
        <v>34.182567727828406</v>
      </c>
      <c r="AF11">
        <v>35.865903639416779</v>
      </c>
      <c r="AG11">
        <v>39.655067094218829</v>
      </c>
      <c r="AH11">
        <v>44.214855318052734</v>
      </c>
      <c r="AI11">
        <v>41.753582711231594</v>
      </c>
      <c r="AJ11">
        <v>41.003968456431714</v>
      </c>
      <c r="AK11">
        <v>46.886721450630404</v>
      </c>
      <c r="AL11">
        <v>31.524094857309688</v>
      </c>
      <c r="AM11">
        <v>35.624828322714073</v>
      </c>
      <c r="AN11">
        <v>35.064748762875702</v>
      </c>
      <c r="AO11">
        <v>33.553230570013177</v>
      </c>
      <c r="AP11">
        <v>32.281504339700419</v>
      </c>
      <c r="AQ11">
        <v>33.493283761032878</v>
      </c>
      <c r="AR11">
        <v>29.421271867337463</v>
      </c>
      <c r="AS11">
        <v>30.025806759100707</v>
      </c>
      <c r="AT11">
        <v>32.188048246523344</v>
      </c>
      <c r="AU11">
        <v>30.38909827092526</v>
      </c>
      <c r="AV11">
        <v>31.049651146362589</v>
      </c>
      <c r="AW11">
        <v>31.141923613143206</v>
      </c>
      <c r="AX11">
        <v>31.317438611962714</v>
      </c>
      <c r="AZ11">
        <v>32.494061678024224</v>
      </c>
      <c r="BA11">
        <v>30.919321992470021</v>
      </c>
    </row>
    <row r="12" spans="1:53" x14ac:dyDescent="0.25">
      <c r="A12" t="s">
        <v>11</v>
      </c>
      <c r="B12">
        <v>44.490069218833874</v>
      </c>
      <c r="C12">
        <v>41.693068909410528</v>
      </c>
      <c r="D12">
        <v>51.979407815661354</v>
      </c>
      <c r="E12">
        <v>53.615628082152682</v>
      </c>
      <c r="F12">
        <v>53.849037753862767</v>
      </c>
      <c r="G12">
        <v>53.712856190549438</v>
      </c>
      <c r="H12">
        <v>56.848615679973534</v>
      </c>
      <c r="I12">
        <v>34.672356569780952</v>
      </c>
      <c r="J12">
        <v>39.468194738314644</v>
      </c>
      <c r="K12">
        <v>44.591187997986985</v>
      </c>
      <c r="L12">
        <v>52.884154314901103</v>
      </c>
      <c r="M12">
        <v>53.186885170917741</v>
      </c>
      <c r="N12">
        <v>55.706327608402972</v>
      </c>
      <c r="O12">
        <v>55.192594105566911</v>
      </c>
      <c r="P12">
        <v>54.3496838472212</v>
      </c>
      <c r="Q12">
        <v>52.225315393342726</v>
      </c>
      <c r="R12">
        <v>32.97948204118687</v>
      </c>
      <c r="S12">
        <v>34.27165392753291</v>
      </c>
      <c r="T12">
        <v>37.962153542739692</v>
      </c>
      <c r="U12">
        <v>44.381129184767282</v>
      </c>
      <c r="V12">
        <v>47.913621512929545</v>
      </c>
      <c r="W12">
        <v>49.675330452967899</v>
      </c>
      <c r="X12">
        <v>48.00990392562597</v>
      </c>
      <c r="Y12">
        <v>46.627868581201142</v>
      </c>
      <c r="Z12">
        <v>44.182126650740258</v>
      </c>
      <c r="AA12">
        <v>47.595474671664142</v>
      </c>
      <c r="AB12">
        <v>32.39789893727189</v>
      </c>
      <c r="AC12">
        <v>33.285011430193116</v>
      </c>
      <c r="AD12">
        <v>35.66071229678834</v>
      </c>
      <c r="AE12">
        <v>35.678189666663179</v>
      </c>
      <c r="AF12">
        <v>40.668758426189292</v>
      </c>
      <c r="AG12">
        <v>43.042434240180022</v>
      </c>
      <c r="AH12">
        <v>41.689444392230989</v>
      </c>
      <c r="AI12">
        <v>42.133810045902827</v>
      </c>
      <c r="AJ12">
        <v>43.256005403707711</v>
      </c>
      <c r="AK12">
        <v>44.830328902291406</v>
      </c>
      <c r="AL12">
        <v>35.145751790867607</v>
      </c>
      <c r="AM12">
        <v>34.823346435363405</v>
      </c>
      <c r="AN12">
        <v>34.797309991531129</v>
      </c>
      <c r="AO12">
        <v>29.826899059692838</v>
      </c>
      <c r="AP12">
        <v>32.408331594612129</v>
      </c>
      <c r="AQ12">
        <v>32.963894902354781</v>
      </c>
      <c r="AR12">
        <v>29.056550418271737</v>
      </c>
      <c r="AS12">
        <v>31.324958047895095</v>
      </c>
      <c r="AT12">
        <v>33.254410839837426</v>
      </c>
      <c r="AU12">
        <v>29.448211912027627</v>
      </c>
      <c r="AV12">
        <v>30.452822770461257</v>
      </c>
      <c r="AW12">
        <v>31.232420240866791</v>
      </c>
      <c r="AX12">
        <v>32.557011954647948</v>
      </c>
      <c r="AZ12">
        <v>32.696944187140808</v>
      </c>
      <c r="BA12">
        <v>32.350726571262477</v>
      </c>
    </row>
    <row r="13" spans="1:53" x14ac:dyDescent="0.25">
      <c r="A13" t="s">
        <v>12</v>
      </c>
      <c r="B13">
        <v>44.30793156742552</v>
      </c>
      <c r="C13">
        <v>41.104134559908942</v>
      </c>
      <c r="D13">
        <v>52.076512047873742</v>
      </c>
      <c r="E13">
        <v>53.361939102429851</v>
      </c>
      <c r="F13">
        <v>54.17842075555842</v>
      </c>
      <c r="G13">
        <v>36.70686115197082</v>
      </c>
      <c r="H13">
        <v>52.602224063326105</v>
      </c>
      <c r="I13">
        <v>50.777386492898124</v>
      </c>
      <c r="J13">
        <v>54.074021100764931</v>
      </c>
      <c r="K13">
        <v>52.844350370117354</v>
      </c>
      <c r="L13">
        <v>53.620458116761945</v>
      </c>
      <c r="M13">
        <v>54.075306525944676</v>
      </c>
      <c r="N13">
        <v>37.322457000140076</v>
      </c>
      <c r="O13">
        <v>36.588730847800178</v>
      </c>
      <c r="P13">
        <v>40.914273962408878</v>
      </c>
      <c r="Q13">
        <v>47.34521490567159</v>
      </c>
      <c r="R13">
        <v>44.969279438778152</v>
      </c>
      <c r="S13">
        <v>44.208100668705924</v>
      </c>
      <c r="T13">
        <v>46.081307466849182</v>
      </c>
      <c r="U13">
        <v>44.710973618002022</v>
      </c>
      <c r="V13">
        <v>34.64034834532098</v>
      </c>
      <c r="W13">
        <v>34.741509165633808</v>
      </c>
      <c r="X13">
        <v>36.479405208577532</v>
      </c>
      <c r="Y13">
        <v>38.17017624067352</v>
      </c>
      <c r="Z13">
        <v>37.143409300265617</v>
      </c>
      <c r="AA13">
        <v>38.377668760672222</v>
      </c>
      <c r="AB13">
        <v>37.871994665196084</v>
      </c>
      <c r="AC13">
        <v>40.384035859056233</v>
      </c>
      <c r="AD13">
        <v>33.116013270052576</v>
      </c>
      <c r="AE13">
        <v>32.136949068414474</v>
      </c>
      <c r="AF13">
        <v>33.935827289169168</v>
      </c>
      <c r="AG13">
        <v>32.421616574881675</v>
      </c>
      <c r="AH13">
        <v>33.877383925768932</v>
      </c>
      <c r="AI13">
        <v>36.58208323505017</v>
      </c>
      <c r="AJ13">
        <v>36.060106451094889</v>
      </c>
      <c r="AK13">
        <v>34.524428962405104</v>
      </c>
      <c r="AL13">
        <v>34.224950409184686</v>
      </c>
      <c r="AM13">
        <v>33.307671597658469</v>
      </c>
      <c r="AN13">
        <v>29.274270819060831</v>
      </c>
      <c r="AO13">
        <v>31.453655680034931</v>
      </c>
      <c r="AP13">
        <v>31.726841598881339</v>
      </c>
      <c r="AQ13">
        <v>28.984172683631979</v>
      </c>
      <c r="AR13">
        <v>28.118853384328261</v>
      </c>
      <c r="AS13">
        <v>29.182956489909568</v>
      </c>
      <c r="AT13">
        <v>31.023867950948738</v>
      </c>
      <c r="AU13">
        <v>29.570155578089771</v>
      </c>
      <c r="AV13">
        <v>30.305918336973349</v>
      </c>
      <c r="AW13">
        <v>31.377507127223655</v>
      </c>
      <c r="AX13">
        <v>33.323875467537796</v>
      </c>
      <c r="AZ13">
        <v>33.240349784298665</v>
      </c>
      <c r="BA13">
        <v>33.318869911205695</v>
      </c>
    </row>
    <row r="14" spans="1:53" x14ac:dyDescent="0.25">
      <c r="A14" t="s">
        <v>13</v>
      </c>
      <c r="B14">
        <v>44.08757529413478</v>
      </c>
      <c r="C14">
        <v>39.501104236963641</v>
      </c>
      <c r="D14">
        <v>51.03134196628131</v>
      </c>
      <c r="E14">
        <v>52.665678137397634</v>
      </c>
      <c r="F14">
        <v>53.933681761801402</v>
      </c>
      <c r="G14">
        <v>53.810148681522868</v>
      </c>
      <c r="H14">
        <v>56.971715881849882</v>
      </c>
      <c r="I14">
        <v>33.535336955264164</v>
      </c>
      <c r="J14">
        <v>38.132527267112906</v>
      </c>
      <c r="K14">
        <v>40.865033607489778</v>
      </c>
      <c r="L14">
        <v>53.193650723382355</v>
      </c>
      <c r="M14">
        <v>54.782712295478042</v>
      </c>
      <c r="N14">
        <v>54.761112116837324</v>
      </c>
      <c r="O14">
        <v>56.037916772240045</v>
      </c>
      <c r="P14">
        <v>55.079043845949428</v>
      </c>
      <c r="Q14">
        <v>53.811121287081058</v>
      </c>
      <c r="R14">
        <v>34.35762744334977</v>
      </c>
      <c r="S14">
        <v>34.978684310367477</v>
      </c>
      <c r="T14">
        <v>38.419690540136315</v>
      </c>
      <c r="U14">
        <v>44.65268756584161</v>
      </c>
      <c r="V14">
        <v>49.064101772071872</v>
      </c>
      <c r="W14">
        <v>53.528853101803293</v>
      </c>
      <c r="X14">
        <v>48.811535325577921</v>
      </c>
      <c r="Y14">
        <v>49.035001505802938</v>
      </c>
      <c r="Z14">
        <v>44.866571544806959</v>
      </c>
      <c r="AA14">
        <v>49.097076919688078</v>
      </c>
      <c r="AB14">
        <v>32.557258122995727</v>
      </c>
      <c r="AC14">
        <v>33.739702722976823</v>
      </c>
      <c r="AD14">
        <v>36.682772744195013</v>
      </c>
      <c r="AE14">
        <v>35.724661597517738</v>
      </c>
      <c r="AF14">
        <v>40.042465668958783</v>
      </c>
      <c r="AG14">
        <v>45.298014634931796</v>
      </c>
      <c r="AH14">
        <v>45.504300193367129</v>
      </c>
      <c r="AI14">
        <v>43.513046319426422</v>
      </c>
      <c r="AJ14">
        <v>43.787784072451558</v>
      </c>
      <c r="AK14">
        <v>43.120255391741011</v>
      </c>
      <c r="AL14">
        <v>35.850275813170128</v>
      </c>
      <c r="AM14">
        <v>35.080186747762845</v>
      </c>
      <c r="AN14">
        <v>33.935144508269872</v>
      </c>
      <c r="AO14">
        <v>31.284213875295986</v>
      </c>
      <c r="AP14">
        <v>32.96788534597821</v>
      </c>
      <c r="AQ14">
        <v>31.111870240847082</v>
      </c>
      <c r="AR14">
        <v>29.007999088524812</v>
      </c>
      <c r="AS14">
        <v>30.019031653178725</v>
      </c>
      <c r="AT14">
        <v>30.474421475244899</v>
      </c>
      <c r="AU14">
        <v>29.943554217284397</v>
      </c>
      <c r="AV14">
        <v>30.808306971270497</v>
      </c>
      <c r="AW14">
        <v>31.51421974797346</v>
      </c>
      <c r="AX14">
        <v>34.05735463410057</v>
      </c>
      <c r="AZ14">
        <v>34.403570043353859</v>
      </c>
      <c r="BA14">
        <v>33.932825285502894</v>
      </c>
    </row>
    <row r="15" spans="1:53" x14ac:dyDescent="0.25">
      <c r="A15" t="s">
        <v>14</v>
      </c>
      <c r="B15">
        <v>44.940746196291542</v>
      </c>
      <c r="C15">
        <v>41.444535937433081</v>
      </c>
      <c r="D15">
        <v>51.969978786265663</v>
      </c>
      <c r="E15">
        <v>53.317706208308216</v>
      </c>
      <c r="F15">
        <v>54.444048647587174</v>
      </c>
      <c r="G15">
        <v>54.121164807710024</v>
      </c>
      <c r="H15">
        <v>56.997134558436578</v>
      </c>
      <c r="I15">
        <v>52.829372234170819</v>
      </c>
      <c r="J15">
        <v>38.641923107349577</v>
      </c>
      <c r="K15">
        <v>36.556119284420078</v>
      </c>
      <c r="L15">
        <v>52.253506702486241</v>
      </c>
      <c r="M15">
        <v>52.805542308238678</v>
      </c>
      <c r="N15">
        <v>55.501723787188986</v>
      </c>
      <c r="O15">
        <v>55.939514732145916</v>
      </c>
      <c r="P15">
        <v>54.771176725838139</v>
      </c>
      <c r="Q15">
        <v>54.333690067757402</v>
      </c>
      <c r="R15">
        <v>52.345457240829013</v>
      </c>
      <c r="S15">
        <v>51.64827341412564</v>
      </c>
      <c r="T15">
        <v>54.747735261048888</v>
      </c>
      <c r="U15">
        <v>54.74157870025104</v>
      </c>
      <c r="V15">
        <v>36.502661496495648</v>
      </c>
      <c r="W15">
        <v>40.153405544214891</v>
      </c>
      <c r="X15">
        <v>44.175488540640963</v>
      </c>
      <c r="Y15">
        <v>46.42090004846375</v>
      </c>
      <c r="Z15">
        <v>43.942097453525491</v>
      </c>
      <c r="AA15">
        <v>49.049832262330625</v>
      </c>
      <c r="AB15">
        <v>44.805601482852666</v>
      </c>
      <c r="AC15">
        <v>46.50639556132262</v>
      </c>
      <c r="AD15">
        <v>49.269079501822972</v>
      </c>
      <c r="AE15">
        <v>48.082906249262152</v>
      </c>
      <c r="AF15">
        <v>49.272621544632251</v>
      </c>
      <c r="AG15">
        <v>50.969969219616473</v>
      </c>
      <c r="AH15">
        <v>52.010371434109366</v>
      </c>
      <c r="AI15">
        <v>36.127564473842241</v>
      </c>
      <c r="AJ15">
        <v>35.48630341933633</v>
      </c>
      <c r="AK15">
        <v>36.726250756710684</v>
      </c>
      <c r="AL15">
        <v>38.584808510654767</v>
      </c>
      <c r="AM15">
        <v>45.995866094166011</v>
      </c>
      <c r="AN15">
        <v>42.354505822800938</v>
      </c>
      <c r="AO15">
        <v>36.552980172105059</v>
      </c>
      <c r="AP15">
        <v>31.900883252557364</v>
      </c>
      <c r="AQ15">
        <v>34.264178447257358</v>
      </c>
      <c r="AR15">
        <v>30.039075628246025</v>
      </c>
      <c r="AS15">
        <v>31.535376496616447</v>
      </c>
      <c r="AT15">
        <v>33.390094926164245</v>
      </c>
      <c r="AU15">
        <v>29.989625792806024</v>
      </c>
      <c r="AV15">
        <v>30.710915476767457</v>
      </c>
      <c r="AW15">
        <v>29.970811277347895</v>
      </c>
      <c r="AX15">
        <v>31.287065898963238</v>
      </c>
      <c r="AZ15">
        <v>31.604969186441192</v>
      </c>
      <c r="BA15">
        <v>31.247953908781088</v>
      </c>
    </row>
    <row r="16" spans="1:53" x14ac:dyDescent="0.25">
      <c r="A16" t="s">
        <v>15</v>
      </c>
      <c r="B16">
        <v>44.556938110795052</v>
      </c>
      <c r="C16">
        <v>42.450370361370886</v>
      </c>
      <c r="D16">
        <v>51.515860822285866</v>
      </c>
      <c r="E16">
        <v>53.259697670140305</v>
      </c>
      <c r="F16">
        <v>53.525003294933917</v>
      </c>
      <c r="G16">
        <v>53.373573733503029</v>
      </c>
      <c r="H16">
        <v>56.451707051260236</v>
      </c>
      <c r="I16">
        <v>33.802466134271668</v>
      </c>
      <c r="J16">
        <v>39.270104613156541</v>
      </c>
      <c r="K16">
        <v>45.0796014084601</v>
      </c>
      <c r="L16">
        <v>53.098314725006766</v>
      </c>
      <c r="M16">
        <v>51.133075214698778</v>
      </c>
      <c r="N16">
        <v>53.185841591224197</v>
      </c>
      <c r="O16">
        <v>53.93369762026483</v>
      </c>
      <c r="P16">
        <v>54.585423541718143</v>
      </c>
      <c r="Q16">
        <v>50.446459832640436</v>
      </c>
      <c r="R16">
        <v>33.322833598891357</v>
      </c>
      <c r="S16">
        <v>34.037949790671867</v>
      </c>
      <c r="T16">
        <v>37.35384843995373</v>
      </c>
      <c r="U16">
        <v>42.603582064035351</v>
      </c>
      <c r="V16">
        <v>44.391209845702406</v>
      </c>
      <c r="W16">
        <v>48.308539118427966</v>
      </c>
      <c r="X16">
        <v>44.4104863390316</v>
      </c>
      <c r="Y16">
        <v>45.418299167677681</v>
      </c>
      <c r="Z16">
        <v>42.194426832367576</v>
      </c>
      <c r="AA16">
        <v>45.837063877598325</v>
      </c>
      <c r="AB16">
        <v>31.913931963815287</v>
      </c>
      <c r="AC16">
        <v>32.311690194353339</v>
      </c>
      <c r="AD16">
        <v>35.03927224584028</v>
      </c>
      <c r="AE16">
        <v>34.18146132414477</v>
      </c>
      <c r="AF16">
        <v>38.600465334763037</v>
      </c>
      <c r="AG16">
        <v>41.805145283248599</v>
      </c>
      <c r="AH16">
        <v>41.967834237277884</v>
      </c>
      <c r="AI16">
        <v>41.643472351084647</v>
      </c>
      <c r="AJ16">
        <v>42.349646149425702</v>
      </c>
      <c r="AK16">
        <v>41.085809962886422</v>
      </c>
      <c r="AL16">
        <v>35.029590297027177</v>
      </c>
      <c r="AM16">
        <v>36.63587699715336</v>
      </c>
      <c r="AN16">
        <v>32.143645312596618</v>
      </c>
      <c r="AO16">
        <v>31.877308530346735</v>
      </c>
      <c r="AP16">
        <v>32.074333523643446</v>
      </c>
      <c r="AQ16">
        <v>31.370977392063626</v>
      </c>
      <c r="AR16">
        <v>29.487839784436432</v>
      </c>
      <c r="AS16">
        <v>31.511063846772291</v>
      </c>
      <c r="AT16">
        <v>31.225348553557286</v>
      </c>
      <c r="AU16">
        <v>31.398132145056497</v>
      </c>
      <c r="AV16">
        <v>30.792044528242602</v>
      </c>
      <c r="AW16">
        <v>30.675032752069693</v>
      </c>
      <c r="AX16">
        <v>32.458630671881672</v>
      </c>
      <c r="AZ16">
        <v>33.48637325030699</v>
      </c>
      <c r="BA16">
        <v>32.911359743064331</v>
      </c>
    </row>
    <row r="17" spans="1:53" x14ac:dyDescent="0.25">
      <c r="A17" t="s">
        <v>16</v>
      </c>
      <c r="B17">
        <v>44.580581508788619</v>
      </c>
      <c r="C17">
        <v>42.283299117134234</v>
      </c>
      <c r="D17">
        <v>51.988951510817834</v>
      </c>
      <c r="E17">
        <v>53.711640377135161</v>
      </c>
      <c r="F17">
        <v>53.876782772754176</v>
      </c>
      <c r="G17">
        <v>54.070477344079052</v>
      </c>
      <c r="H17">
        <v>57.631829006417213</v>
      </c>
      <c r="I17">
        <v>33.725984672309323</v>
      </c>
      <c r="J17">
        <v>42.27839881573874</v>
      </c>
      <c r="K17">
        <v>46.578131323891377</v>
      </c>
      <c r="L17">
        <v>53.526799147332063</v>
      </c>
      <c r="M17">
        <v>53.672253673941277</v>
      </c>
      <c r="N17">
        <v>55.942090386828511</v>
      </c>
      <c r="O17">
        <v>56.479315428680714</v>
      </c>
      <c r="P17">
        <v>54.754178105774599</v>
      </c>
      <c r="Q17">
        <v>53.357606403649015</v>
      </c>
      <c r="R17">
        <v>33.524187395886102</v>
      </c>
      <c r="S17">
        <v>34.802212215760427</v>
      </c>
      <c r="T17">
        <v>40.48008759054909</v>
      </c>
      <c r="U17">
        <v>47.386107698676739</v>
      </c>
      <c r="V17">
        <v>49.155279349603823</v>
      </c>
      <c r="W17">
        <v>53.067128373714432</v>
      </c>
      <c r="X17">
        <v>49.526072650155648</v>
      </c>
      <c r="Y17">
        <v>49.729408504145077</v>
      </c>
      <c r="Z17">
        <v>44.89337369717456</v>
      </c>
      <c r="AA17">
        <v>48.761757138072731</v>
      </c>
      <c r="AB17">
        <v>32.478619392880361</v>
      </c>
      <c r="AC17">
        <v>32.879656957486233</v>
      </c>
      <c r="AD17">
        <v>36.027541700712838</v>
      </c>
      <c r="AE17">
        <v>38.245861266823425</v>
      </c>
      <c r="AF17">
        <v>42.457595145868112</v>
      </c>
      <c r="AG17">
        <v>46.524933333616339</v>
      </c>
      <c r="AH17">
        <v>47.987489944892339</v>
      </c>
      <c r="AI17">
        <v>44.709875538174664</v>
      </c>
      <c r="AJ17">
        <v>45.104249864520646</v>
      </c>
      <c r="AK17">
        <v>46.209753811517146</v>
      </c>
      <c r="AL17">
        <v>35.804600693662145</v>
      </c>
      <c r="AM17">
        <v>36.668850797954128</v>
      </c>
      <c r="AN17">
        <v>36.376925871063314</v>
      </c>
      <c r="AO17">
        <v>33.185050522534524</v>
      </c>
      <c r="AP17">
        <v>34.599731048880635</v>
      </c>
      <c r="AQ17">
        <v>33.000558582749676</v>
      </c>
      <c r="AR17">
        <v>30.088253941305595</v>
      </c>
      <c r="AS17">
        <v>31.58128956512083</v>
      </c>
      <c r="AT17">
        <v>33.602862424177836</v>
      </c>
      <c r="AU17">
        <v>31.391025935587376</v>
      </c>
      <c r="AV17">
        <v>31.251727030880335</v>
      </c>
      <c r="AW17">
        <v>31.101563385338974</v>
      </c>
      <c r="AX17">
        <v>32.322073035770948</v>
      </c>
      <c r="AZ17">
        <v>33.311272933523064</v>
      </c>
      <c r="BA17">
        <v>32.406725781160141</v>
      </c>
    </row>
    <row r="18" spans="1:53" x14ac:dyDescent="0.25">
      <c r="A18" t="s">
        <v>17</v>
      </c>
      <c r="B18">
        <v>42.851802532531075</v>
      </c>
      <c r="C18">
        <v>38.706893733914548</v>
      </c>
      <c r="D18">
        <v>47.204718211696523</v>
      </c>
      <c r="E18">
        <v>52.145686541757691</v>
      </c>
      <c r="F18">
        <v>53.991521225817593</v>
      </c>
      <c r="G18">
        <v>52.68025747661337</v>
      </c>
      <c r="H18">
        <v>55.47884321773207</v>
      </c>
      <c r="I18">
        <v>33.816312225881184</v>
      </c>
      <c r="J18">
        <v>36.880015787547372</v>
      </c>
      <c r="K18">
        <v>40.378351634353301</v>
      </c>
      <c r="L18">
        <v>52.35525500183325</v>
      </c>
      <c r="M18">
        <v>51.462726671016874</v>
      </c>
      <c r="N18">
        <v>53.25049453038104</v>
      </c>
      <c r="O18">
        <v>54.246332844628597</v>
      </c>
      <c r="P18">
        <v>51.693856610174628</v>
      </c>
      <c r="Q18">
        <v>49.631392821651168</v>
      </c>
      <c r="R18">
        <v>48.709514035516129</v>
      </c>
      <c r="S18">
        <v>49.774425475389002</v>
      </c>
      <c r="T18">
        <v>35.598729938645072</v>
      </c>
      <c r="U18">
        <v>34.461420472628014</v>
      </c>
      <c r="V18">
        <v>42.787918359923871</v>
      </c>
      <c r="W18">
        <v>46.104050818900447</v>
      </c>
      <c r="X18">
        <v>44.633247135874733</v>
      </c>
      <c r="Y18">
        <v>43.619901517892693</v>
      </c>
      <c r="Z18">
        <v>41.981943074266496</v>
      </c>
      <c r="AA18">
        <v>43.992011510235507</v>
      </c>
      <c r="AB18">
        <v>46.193890580236832</v>
      </c>
      <c r="AC18">
        <v>43.949752774217131</v>
      </c>
      <c r="AD18">
        <v>46.975783990403478</v>
      </c>
      <c r="AE18">
        <v>35.404028625069031</v>
      </c>
      <c r="AF18">
        <v>36.742840027025345</v>
      </c>
      <c r="AG18">
        <v>34.632448235581819</v>
      </c>
      <c r="AH18">
        <v>35.341277036012265</v>
      </c>
      <c r="AI18">
        <v>38.790891542921514</v>
      </c>
      <c r="AJ18">
        <v>38.842158798466407</v>
      </c>
      <c r="AK18">
        <v>39.698480083185338</v>
      </c>
      <c r="AL18">
        <v>34.710771349331353</v>
      </c>
      <c r="AM18">
        <v>34.858423472867351</v>
      </c>
      <c r="AN18">
        <v>31.053815440196999</v>
      </c>
      <c r="AO18">
        <v>30.679011233787602</v>
      </c>
      <c r="AP18">
        <v>31.20729583750342</v>
      </c>
      <c r="AQ18">
        <v>32.260258519348817</v>
      </c>
      <c r="AR18">
        <v>29.389159099526491</v>
      </c>
      <c r="AS18">
        <v>30.35875358865891</v>
      </c>
      <c r="AT18">
        <v>30.579355954109019</v>
      </c>
      <c r="AU18">
        <v>32.122911414502887</v>
      </c>
      <c r="AV18">
        <v>31.445164471428949</v>
      </c>
      <c r="AW18">
        <v>32.581040250448467</v>
      </c>
      <c r="AX18">
        <v>34.200014601904563</v>
      </c>
      <c r="AZ18">
        <v>35.069512638823412</v>
      </c>
      <c r="BA18">
        <v>33.988500436609748</v>
      </c>
    </row>
    <row r="19" spans="1:53" x14ac:dyDescent="0.25">
      <c r="A19" t="s">
        <v>18</v>
      </c>
      <c r="B19">
        <v>42.761586122341839</v>
      </c>
      <c r="C19">
        <v>38.185659934561222</v>
      </c>
      <c r="D19">
        <v>50.116850294707938</v>
      </c>
      <c r="E19">
        <v>52.494554962498505</v>
      </c>
      <c r="F19">
        <v>53.580968853768489</v>
      </c>
      <c r="G19">
        <v>52.303534843258142</v>
      </c>
      <c r="H19">
        <v>55.343173597858986</v>
      </c>
      <c r="I19">
        <v>34.645611529346127</v>
      </c>
      <c r="J19">
        <v>38.160119251024881</v>
      </c>
      <c r="K19">
        <v>42.442999064382995</v>
      </c>
      <c r="L19">
        <v>52.42758867504056</v>
      </c>
      <c r="M19">
        <v>51.178090453713246</v>
      </c>
      <c r="N19">
        <v>54.870435101948864</v>
      </c>
      <c r="O19">
        <v>54.639530836419901</v>
      </c>
      <c r="P19">
        <v>54.284911147206884</v>
      </c>
      <c r="Q19">
        <v>50.205065083522562</v>
      </c>
      <c r="R19">
        <v>32.131767744696589</v>
      </c>
      <c r="S19">
        <v>34.091876269492374</v>
      </c>
      <c r="T19">
        <v>36.626348698789684</v>
      </c>
      <c r="U19">
        <v>41.266036346437524</v>
      </c>
      <c r="V19">
        <v>46.83700986503635</v>
      </c>
      <c r="W19">
        <v>50.843190502897357</v>
      </c>
      <c r="X19">
        <v>47.05417533102738</v>
      </c>
      <c r="Y19">
        <v>45.050927317516404</v>
      </c>
      <c r="Z19">
        <v>43.265590050173898</v>
      </c>
      <c r="AA19">
        <v>47.463727785284924</v>
      </c>
      <c r="AB19">
        <v>33.741342623675529</v>
      </c>
      <c r="AC19">
        <v>32.894779722708527</v>
      </c>
      <c r="AD19">
        <v>34.74458278432423</v>
      </c>
      <c r="AE19">
        <v>34.09055999987379</v>
      </c>
      <c r="AF19">
        <v>37.376567705717257</v>
      </c>
      <c r="AG19">
        <v>41.357063791646205</v>
      </c>
      <c r="AH19">
        <v>43.039102372546836</v>
      </c>
      <c r="AI19">
        <v>42.233360446231529</v>
      </c>
      <c r="AJ19">
        <v>41.376362463968249</v>
      </c>
      <c r="AK19">
        <v>43.895252010850328</v>
      </c>
      <c r="AL19">
        <v>36.460002384014572</v>
      </c>
      <c r="AM19">
        <v>35.481543321257078</v>
      </c>
      <c r="AN19">
        <v>32.576664166438327</v>
      </c>
      <c r="AO19">
        <v>31.137309441808085</v>
      </c>
      <c r="AP19">
        <v>32.47280017432719</v>
      </c>
      <c r="AQ19">
        <v>33.578970392907159</v>
      </c>
      <c r="AR19">
        <v>29.747383710544938</v>
      </c>
      <c r="AS19">
        <v>28.816294210477171</v>
      </c>
      <c r="AT19">
        <v>31.835755320327902</v>
      </c>
      <c r="AU19">
        <v>31.93731283808086</v>
      </c>
      <c r="AV19">
        <v>31.154980131580743</v>
      </c>
      <c r="AW19">
        <v>32.14116722564669</v>
      </c>
      <c r="AX19">
        <v>33.906739563690678</v>
      </c>
      <c r="AZ19">
        <v>34.871815070359709</v>
      </c>
      <c r="BA19">
        <v>33.638972577270629</v>
      </c>
    </row>
    <row r="20" spans="1:53" x14ac:dyDescent="0.25">
      <c r="A20" t="s">
        <v>19</v>
      </c>
      <c r="B20">
        <v>42.94417816053295</v>
      </c>
      <c r="C20">
        <v>38.70286488718066</v>
      </c>
      <c r="D20">
        <v>50.222695119856105</v>
      </c>
      <c r="E20">
        <v>53.175846197287861</v>
      </c>
      <c r="F20">
        <v>54.073928523624055</v>
      </c>
      <c r="G20">
        <v>52.084194964537367</v>
      </c>
      <c r="H20">
        <v>55.460618810068517</v>
      </c>
      <c r="I20">
        <v>52.430795570927764</v>
      </c>
      <c r="J20">
        <v>37.187446886648921</v>
      </c>
      <c r="K20">
        <v>36.828591911097725</v>
      </c>
      <c r="L20">
        <v>51.759502459035417</v>
      </c>
      <c r="M20">
        <v>51.270284867710387</v>
      </c>
      <c r="N20">
        <v>55.043425137273289</v>
      </c>
      <c r="O20">
        <v>55.556973507009936</v>
      </c>
      <c r="P20">
        <v>53.078726739096076</v>
      </c>
      <c r="Q20">
        <v>51.591043942728369</v>
      </c>
      <c r="R20">
        <v>50.939147526865305</v>
      </c>
      <c r="S20">
        <v>50.24298443594639</v>
      </c>
      <c r="T20">
        <v>54.118076683015055</v>
      </c>
      <c r="U20">
        <v>53.96213199183881</v>
      </c>
      <c r="V20">
        <v>35.254506444832984</v>
      </c>
      <c r="W20">
        <v>37.373705326618563</v>
      </c>
      <c r="X20">
        <v>41.481749635461341</v>
      </c>
      <c r="Y20">
        <v>44.815153153120065</v>
      </c>
      <c r="Z20">
        <v>42.527598652232861</v>
      </c>
      <c r="AA20">
        <v>47.666630609834165</v>
      </c>
      <c r="AB20">
        <v>46.621614987715674</v>
      </c>
      <c r="AC20">
        <v>43.42222178154838</v>
      </c>
      <c r="AD20">
        <v>47.119669810761572</v>
      </c>
      <c r="AE20">
        <v>47.564895048984972</v>
      </c>
      <c r="AF20">
        <v>47.512220229964413</v>
      </c>
      <c r="AG20">
        <v>50.234155028319982</v>
      </c>
      <c r="AH20">
        <v>49.625215510644033</v>
      </c>
      <c r="AI20">
        <v>35.942997577280273</v>
      </c>
      <c r="AJ20">
        <v>33.931657743541074</v>
      </c>
      <c r="AK20">
        <v>34.982200763361085</v>
      </c>
      <c r="AL20">
        <v>35.299966731757955</v>
      </c>
      <c r="AM20">
        <v>41.765720387308427</v>
      </c>
      <c r="AN20">
        <v>38.148030874125901</v>
      </c>
      <c r="AO20">
        <v>33.740854513877743</v>
      </c>
      <c r="AP20">
        <v>32.98519550803843</v>
      </c>
      <c r="AQ20">
        <v>35.725303722148418</v>
      </c>
      <c r="AR20">
        <v>29.195151033715803</v>
      </c>
      <c r="AS20">
        <v>30.195378891831613</v>
      </c>
      <c r="AT20">
        <v>32.326860204657066</v>
      </c>
      <c r="AU20">
        <v>31.888560732778767</v>
      </c>
      <c r="AV20">
        <v>31.251529777703322</v>
      </c>
      <c r="AW20">
        <v>30.367730031300468</v>
      </c>
      <c r="AX20">
        <v>31.472051581585259</v>
      </c>
      <c r="AZ20">
        <v>32.576567979360291</v>
      </c>
      <c r="BA20">
        <v>31.838324192794914</v>
      </c>
    </row>
    <row r="21" spans="1:53" x14ac:dyDescent="0.25">
      <c r="A21" t="s">
        <v>20</v>
      </c>
      <c r="B21">
        <v>43.85500731270119</v>
      </c>
      <c r="C21">
        <v>39.635192685983554</v>
      </c>
      <c r="D21">
        <v>50.952733364850864</v>
      </c>
      <c r="E21">
        <v>53.608671762225946</v>
      </c>
      <c r="F21">
        <v>55.266535736642993</v>
      </c>
      <c r="G21">
        <v>52.774346553119983</v>
      </c>
      <c r="H21">
        <v>56.301095880169612</v>
      </c>
      <c r="I21">
        <v>33.485690165909183</v>
      </c>
      <c r="J21">
        <v>39.148398896090825</v>
      </c>
      <c r="K21">
        <v>43.840188080556523</v>
      </c>
      <c r="L21">
        <v>52.934681698796282</v>
      </c>
      <c r="M21">
        <v>52.853852166611027</v>
      </c>
      <c r="N21">
        <v>55.153035007734381</v>
      </c>
      <c r="O21">
        <v>55.364020958870107</v>
      </c>
      <c r="P21">
        <v>54.57376327422805</v>
      </c>
      <c r="Q21">
        <v>52.764200141647457</v>
      </c>
      <c r="R21">
        <v>31.161174402271897</v>
      </c>
      <c r="S21">
        <v>34.783776465407236</v>
      </c>
      <c r="T21">
        <v>38.934207918218981</v>
      </c>
      <c r="U21">
        <v>44.638790211278227</v>
      </c>
      <c r="V21">
        <v>49.769788933049718</v>
      </c>
      <c r="W21">
        <v>52.104298287802294</v>
      </c>
      <c r="X21">
        <v>48.666032356702857</v>
      </c>
      <c r="Y21">
        <v>47.821851029467247</v>
      </c>
      <c r="Z21">
        <v>45.965187047176236</v>
      </c>
      <c r="AA21">
        <v>48.080950795692154</v>
      </c>
      <c r="AB21">
        <v>33.108509629036497</v>
      </c>
      <c r="AC21">
        <v>32.995318650568912</v>
      </c>
      <c r="AD21">
        <v>35.177992622141815</v>
      </c>
      <c r="AE21">
        <v>35.707161227036821</v>
      </c>
      <c r="AF21">
        <v>40.592765755954986</v>
      </c>
      <c r="AG21">
        <v>44.148273386275172</v>
      </c>
      <c r="AH21">
        <v>44.062492459146917</v>
      </c>
      <c r="AI21">
        <v>43.371855937197751</v>
      </c>
      <c r="AJ21">
        <v>40.959115935740748</v>
      </c>
      <c r="AK21">
        <v>45.04783078854026</v>
      </c>
      <c r="AL21">
        <v>34.742077492543473</v>
      </c>
      <c r="AM21">
        <v>34.066526795328883</v>
      </c>
      <c r="AN21">
        <v>32.986306946085591</v>
      </c>
      <c r="AO21">
        <v>30.821097053951338</v>
      </c>
      <c r="AP21">
        <v>32.549378313218412</v>
      </c>
      <c r="AQ21">
        <v>32.814669221658825</v>
      </c>
      <c r="AR21">
        <v>29.177853011508585</v>
      </c>
      <c r="AS21">
        <v>30.277825312738944</v>
      </c>
      <c r="AT21">
        <v>31.545440652487731</v>
      </c>
      <c r="AU21">
        <v>32.683343810749555</v>
      </c>
      <c r="AV21">
        <v>32.714733632650443</v>
      </c>
      <c r="AW21">
        <v>31.521871926057525</v>
      </c>
      <c r="AX21">
        <v>33.483755965229449</v>
      </c>
      <c r="AZ21">
        <v>33.254305069631151</v>
      </c>
      <c r="BA21">
        <v>33.023389864263088</v>
      </c>
    </row>
    <row r="22" spans="1:53" x14ac:dyDescent="0.25">
      <c r="A22" t="s">
        <v>21</v>
      </c>
      <c r="B22">
        <v>43.966267605801228</v>
      </c>
      <c r="C22">
        <v>39.726958942563598</v>
      </c>
      <c r="D22">
        <v>50.550084832453784</v>
      </c>
      <c r="E22">
        <v>53.383257730837208</v>
      </c>
      <c r="F22">
        <v>54.229699978720426</v>
      </c>
      <c r="G22">
        <v>35.689492512274519</v>
      </c>
      <c r="H22">
        <v>50.780641613636533</v>
      </c>
      <c r="I22">
        <v>50.044359698504365</v>
      </c>
      <c r="J22">
        <v>53.659229735069694</v>
      </c>
      <c r="K22">
        <v>51.557551554684004</v>
      </c>
      <c r="L22">
        <v>53.431623228692239</v>
      </c>
      <c r="M22">
        <v>51.787616690897728</v>
      </c>
      <c r="N22">
        <v>36.445983616789128</v>
      </c>
      <c r="O22">
        <v>34.679584091643697</v>
      </c>
      <c r="P22">
        <v>38.271210822902439</v>
      </c>
      <c r="Q22">
        <v>44.919467720253685</v>
      </c>
      <c r="R22">
        <v>44.238605216054786</v>
      </c>
      <c r="S22">
        <v>45.183978774149438</v>
      </c>
      <c r="T22">
        <v>45.372932731334551</v>
      </c>
      <c r="U22">
        <v>45.141221997903727</v>
      </c>
      <c r="V22">
        <v>34.318900507739677</v>
      </c>
      <c r="W22">
        <v>32.357871452109933</v>
      </c>
      <c r="X22">
        <v>35.087276718997948</v>
      </c>
      <c r="Y22">
        <v>36.529700269381614</v>
      </c>
      <c r="Z22">
        <v>38.049345050331986</v>
      </c>
      <c r="AA22">
        <v>39.162799391658758</v>
      </c>
      <c r="AB22">
        <v>38.289720925781573</v>
      </c>
      <c r="AC22">
        <v>40.10621971975435</v>
      </c>
      <c r="AD22">
        <v>33.575952529354964</v>
      </c>
      <c r="AE22">
        <v>33.15509143552876</v>
      </c>
      <c r="AF22">
        <v>34.804386642674714</v>
      </c>
      <c r="AG22">
        <v>33.220527880057084</v>
      </c>
      <c r="AH22">
        <v>33.243135753945531</v>
      </c>
      <c r="AI22">
        <v>35.276392774716456</v>
      </c>
      <c r="AJ22">
        <v>34.077323872634864</v>
      </c>
      <c r="AK22">
        <v>35.190565665614606</v>
      </c>
      <c r="AL22">
        <v>31.1323434321192</v>
      </c>
      <c r="AM22">
        <v>30.775533813339791</v>
      </c>
      <c r="AN22">
        <v>30.641254558713957</v>
      </c>
      <c r="AO22">
        <v>31.73632521454736</v>
      </c>
      <c r="AP22">
        <v>30.432661958390565</v>
      </c>
      <c r="AQ22">
        <v>32.141506127900477</v>
      </c>
      <c r="AR22">
        <v>27.635994010332734</v>
      </c>
      <c r="AS22">
        <v>28.376422758393915</v>
      </c>
      <c r="AT22">
        <v>29.874842121999876</v>
      </c>
      <c r="AU22">
        <v>31.213565625435624</v>
      </c>
      <c r="AV22">
        <v>30.759561910724727</v>
      </c>
      <c r="AW22">
        <v>30.641162317556407</v>
      </c>
      <c r="AX22">
        <v>33.019355425515705</v>
      </c>
      <c r="AZ22">
        <v>33.694935405737532</v>
      </c>
      <c r="BA22">
        <v>33.048336542176209</v>
      </c>
    </row>
    <row r="23" spans="1:53" x14ac:dyDescent="0.25">
      <c r="A23" t="s">
        <v>22</v>
      </c>
      <c r="B23">
        <v>44.052678274858131</v>
      </c>
      <c r="C23">
        <v>39.152575160303698</v>
      </c>
      <c r="D23">
        <v>50.723983641343729</v>
      </c>
      <c r="E23">
        <v>53.09022296822048</v>
      </c>
      <c r="F23">
        <v>54.286102312446964</v>
      </c>
      <c r="G23">
        <v>52.252452873273143</v>
      </c>
      <c r="H23">
        <v>55.861726113549629</v>
      </c>
      <c r="I23">
        <v>34.101885772716741</v>
      </c>
      <c r="J23">
        <v>38.297782913878144</v>
      </c>
      <c r="K23">
        <v>42.719071184600004</v>
      </c>
      <c r="L23">
        <v>52.847314892539252</v>
      </c>
      <c r="M23">
        <v>50.051435560451431</v>
      </c>
      <c r="N23">
        <v>54.122040925521162</v>
      </c>
      <c r="O23">
        <v>53.876881595574936</v>
      </c>
      <c r="P23">
        <v>53.243885331991329</v>
      </c>
      <c r="Q23">
        <v>49.508840914990508</v>
      </c>
      <c r="R23">
        <v>31.291104872343386</v>
      </c>
      <c r="S23">
        <v>33.959374463363396</v>
      </c>
      <c r="T23">
        <v>37.276172891794822</v>
      </c>
      <c r="U23">
        <v>40.873858713489561</v>
      </c>
      <c r="V23">
        <v>44.246640307039968</v>
      </c>
      <c r="W23">
        <v>47.631534240919358</v>
      </c>
      <c r="X23">
        <v>45.185282247539867</v>
      </c>
      <c r="Y23">
        <v>45.183529322952417</v>
      </c>
      <c r="Z23">
        <v>42.905988189294526</v>
      </c>
      <c r="AA23">
        <v>46.329110809614996</v>
      </c>
      <c r="AB23">
        <v>33.260133672318936</v>
      </c>
      <c r="AC23">
        <v>32.869908587455313</v>
      </c>
      <c r="AD23">
        <v>35.313776907775669</v>
      </c>
      <c r="AE23">
        <v>34.809123844584676</v>
      </c>
      <c r="AF23">
        <v>35.921189756207404</v>
      </c>
      <c r="AG23">
        <v>38.941344192878489</v>
      </c>
      <c r="AH23">
        <v>40.657915415386647</v>
      </c>
      <c r="AI23">
        <v>39.456422020146242</v>
      </c>
      <c r="AJ23">
        <v>41.013631158563449</v>
      </c>
      <c r="AK23">
        <v>43.181324811576651</v>
      </c>
      <c r="AL23">
        <v>34.959671025578636</v>
      </c>
      <c r="AM23">
        <v>32.365723430215859</v>
      </c>
      <c r="AN23">
        <v>31.3655915812306</v>
      </c>
      <c r="AO23">
        <v>33.863858415766323</v>
      </c>
      <c r="AP23">
        <v>33.711263967891718</v>
      </c>
      <c r="AQ23">
        <v>34.067016280274103</v>
      </c>
      <c r="AR23">
        <v>28.469376503968402</v>
      </c>
      <c r="AS23">
        <v>29.377295659267386</v>
      </c>
      <c r="AT23">
        <v>30.407201918186161</v>
      </c>
      <c r="AU23">
        <v>31.486730210951336</v>
      </c>
      <c r="AV23">
        <v>32.120360354327268</v>
      </c>
      <c r="AW23">
        <v>30.957582525724636</v>
      </c>
      <c r="AX23">
        <v>33.13824871209048</v>
      </c>
      <c r="AZ23">
        <v>34.018769842993414</v>
      </c>
      <c r="BA23">
        <v>32.909838075698808</v>
      </c>
    </row>
    <row r="24" spans="1:53" x14ac:dyDescent="0.25">
      <c r="A24" t="s">
        <v>23</v>
      </c>
      <c r="B24">
        <v>44.444843014070869</v>
      </c>
      <c r="C24">
        <v>42.90190642215871</v>
      </c>
      <c r="D24">
        <v>37.170971518465663</v>
      </c>
      <c r="E24">
        <v>53.823210639513377</v>
      </c>
      <c r="F24">
        <v>54.709599047296372</v>
      </c>
      <c r="G24">
        <v>52.476901773045789</v>
      </c>
      <c r="H24">
        <v>56.542661211203637</v>
      </c>
      <c r="I24">
        <v>34.53601379873804</v>
      </c>
      <c r="J24">
        <v>38.582188603882798</v>
      </c>
      <c r="K24">
        <v>43.640842416054603</v>
      </c>
      <c r="L24">
        <v>52.533621758949778</v>
      </c>
      <c r="M24">
        <v>50.515014255230348</v>
      </c>
      <c r="N24">
        <v>53.012064115910242</v>
      </c>
      <c r="O24">
        <v>53.203596349404258</v>
      </c>
      <c r="P24">
        <v>53.705178003343832</v>
      </c>
      <c r="Q24">
        <v>49.874170227713648</v>
      </c>
      <c r="R24">
        <v>51.525477708082668</v>
      </c>
      <c r="S24">
        <v>35.022719951312105</v>
      </c>
      <c r="T24">
        <v>35.518204786553973</v>
      </c>
      <c r="U24">
        <v>38.113049386911378</v>
      </c>
      <c r="V24">
        <v>44.534901051471223</v>
      </c>
      <c r="W24">
        <v>48.249137733122069</v>
      </c>
      <c r="X24">
        <v>45.352191904276317</v>
      </c>
      <c r="Y24">
        <v>44.41617028556518</v>
      </c>
      <c r="Z24">
        <v>43.843219957333751</v>
      </c>
      <c r="AA24">
        <v>46.146889310058867</v>
      </c>
      <c r="AB24">
        <v>45.83521007467121</v>
      </c>
      <c r="AC24">
        <v>44.484536473427454</v>
      </c>
      <c r="AD24">
        <v>35.839831647053892</v>
      </c>
      <c r="AE24">
        <v>35.000256077097511</v>
      </c>
      <c r="AF24">
        <v>35.327138587015405</v>
      </c>
      <c r="AG24">
        <v>38.059339480037451</v>
      </c>
      <c r="AH24">
        <v>40.271623611391483</v>
      </c>
      <c r="AI24">
        <v>41.168501843438051</v>
      </c>
      <c r="AJ24">
        <v>42.042385697194398</v>
      </c>
      <c r="AK24">
        <v>41.526417968946404</v>
      </c>
      <c r="AL24">
        <v>32.794417807457599</v>
      </c>
      <c r="AM24">
        <v>33.618272460163745</v>
      </c>
      <c r="AN24">
        <v>31.993505763238449</v>
      </c>
      <c r="AO24">
        <v>32.128108341141292</v>
      </c>
      <c r="AP24">
        <v>33.056958932924772</v>
      </c>
      <c r="AQ24">
        <v>31.915265533421344</v>
      </c>
      <c r="AR24">
        <v>28.184294140415734</v>
      </c>
      <c r="AS24">
        <v>28.22096089563459</v>
      </c>
      <c r="AT24">
        <v>31.394832626834159</v>
      </c>
      <c r="AU24">
        <v>31.415049750422327</v>
      </c>
      <c r="AV24">
        <v>31.50180827653006</v>
      </c>
      <c r="AW24">
        <v>30.843164232132768</v>
      </c>
      <c r="AX24">
        <v>32.971681167930853</v>
      </c>
      <c r="AZ24">
        <v>33.519081300027175</v>
      </c>
      <c r="BA24">
        <v>32.727032745158397</v>
      </c>
    </row>
    <row r="25" spans="1:53" x14ac:dyDescent="0.25">
      <c r="A25" t="s">
        <v>24</v>
      </c>
      <c r="B25">
        <v>44.596678400042968</v>
      </c>
      <c r="C25">
        <v>44.848203388791518</v>
      </c>
      <c r="D25">
        <v>51.962981770519526</v>
      </c>
      <c r="E25">
        <v>53.602351043086713</v>
      </c>
      <c r="F25">
        <v>54.442696054373378</v>
      </c>
      <c r="G25">
        <v>52.12269185429448</v>
      </c>
      <c r="H25">
        <v>55.406093903901763</v>
      </c>
      <c r="I25">
        <v>34.460390224328421</v>
      </c>
      <c r="J25">
        <v>39.425833799715001</v>
      </c>
      <c r="K25">
        <v>44.384988162524998</v>
      </c>
      <c r="L25">
        <v>50.852301733314043</v>
      </c>
      <c r="M25">
        <v>50.294425881922088</v>
      </c>
      <c r="N25">
        <v>50.331350081379298</v>
      </c>
      <c r="O25">
        <v>50.378479523761882</v>
      </c>
      <c r="P25">
        <v>51.831294463884483</v>
      </c>
      <c r="Q25">
        <v>52.440401305114278</v>
      </c>
      <c r="R25">
        <v>30.90627297057949</v>
      </c>
      <c r="S25">
        <v>34.318104347177389</v>
      </c>
      <c r="T25">
        <v>36.788048316330901</v>
      </c>
      <c r="U25">
        <v>41.26723005569297</v>
      </c>
      <c r="V25">
        <v>44.575146990455785</v>
      </c>
      <c r="W25">
        <v>43.762259204961282</v>
      </c>
      <c r="X25">
        <v>46.067367975078589</v>
      </c>
      <c r="Y25">
        <v>45.223326347192007</v>
      </c>
      <c r="Z25">
        <v>44.427430355826338</v>
      </c>
      <c r="AA25">
        <v>46.829623966012001</v>
      </c>
      <c r="AB25">
        <v>32.538854074045986</v>
      </c>
      <c r="AC25">
        <v>33.073915112146352</v>
      </c>
      <c r="AD25">
        <v>33.72744114954876</v>
      </c>
      <c r="AE25">
        <v>35.621373265032197</v>
      </c>
      <c r="AF25">
        <v>39.138927085701475</v>
      </c>
      <c r="AG25">
        <v>40.644456730300668</v>
      </c>
      <c r="AH25">
        <v>36.820394241608248</v>
      </c>
      <c r="AI25">
        <v>41.052888644813315</v>
      </c>
      <c r="AJ25">
        <v>41.624043397371857</v>
      </c>
      <c r="AK25">
        <v>40.914395184482139</v>
      </c>
      <c r="AL25">
        <v>32.929601716085578</v>
      </c>
      <c r="AM25">
        <v>30.800674222051754</v>
      </c>
      <c r="AN25">
        <v>32.720119814765575</v>
      </c>
      <c r="AO25">
        <v>31.629689427031508</v>
      </c>
      <c r="AP25">
        <v>35.807652678352859</v>
      </c>
      <c r="AQ25">
        <v>30.729504003795839</v>
      </c>
      <c r="AR25">
        <v>28.298536315099565</v>
      </c>
      <c r="AS25">
        <v>28.743373872835519</v>
      </c>
      <c r="AT25">
        <v>34.364949969222565</v>
      </c>
      <c r="AU25">
        <v>29.910250885655021</v>
      </c>
      <c r="AV25">
        <v>31.70206661391676</v>
      </c>
      <c r="AW25">
        <v>30.310811480702807</v>
      </c>
      <c r="AX25">
        <v>33.131399636227115</v>
      </c>
      <c r="AZ25">
        <v>33.119297279911237</v>
      </c>
      <c r="BA25">
        <v>32.423284103953556</v>
      </c>
    </row>
    <row r="26" spans="1:53" x14ac:dyDescent="0.25">
      <c r="A26" t="s">
        <v>25</v>
      </c>
      <c r="B26">
        <v>43.058781190507716</v>
      </c>
      <c r="C26">
        <v>38.914948666889913</v>
      </c>
      <c r="D26">
        <v>51.466444937170991</v>
      </c>
      <c r="E26">
        <v>52.966680519414389</v>
      </c>
      <c r="F26">
        <v>53.935830412479568</v>
      </c>
      <c r="G26">
        <v>52.042089586824936</v>
      </c>
      <c r="H26">
        <v>57.280150104845085</v>
      </c>
      <c r="I26">
        <v>52.422921483019564</v>
      </c>
      <c r="J26">
        <v>35.96952402980039</v>
      </c>
      <c r="K26">
        <v>35.175276494468129</v>
      </c>
      <c r="L26">
        <v>52.063930165343116</v>
      </c>
      <c r="M26">
        <v>54.018117506110819</v>
      </c>
      <c r="N26">
        <v>54.585119442601247</v>
      </c>
      <c r="O26">
        <v>54.836911013908029</v>
      </c>
      <c r="P26">
        <v>52.578749296166528</v>
      </c>
      <c r="Q26">
        <v>54.031319807236791</v>
      </c>
      <c r="R26">
        <v>50.663396320002057</v>
      </c>
      <c r="S26">
        <v>51.025695570077481</v>
      </c>
      <c r="T26">
        <v>53.438238994628733</v>
      </c>
      <c r="U26">
        <v>55.163778822996129</v>
      </c>
      <c r="V26">
        <v>53.960297890265821</v>
      </c>
      <c r="W26">
        <v>36.26221395935255</v>
      </c>
      <c r="X26">
        <v>34.415151154078544</v>
      </c>
      <c r="Y26">
        <v>37.725477115896062</v>
      </c>
      <c r="Z26">
        <v>41.490108550808678</v>
      </c>
      <c r="AA26">
        <v>46.881056601094571</v>
      </c>
      <c r="AB26">
        <v>47.542874278559516</v>
      </c>
      <c r="AC26">
        <v>45.645140736332394</v>
      </c>
      <c r="AD26">
        <v>49.664296505228599</v>
      </c>
      <c r="AE26">
        <v>49.4583187278674</v>
      </c>
      <c r="AF26">
        <v>51.007817098121592</v>
      </c>
      <c r="AG26">
        <v>48.798954014798142</v>
      </c>
      <c r="AH26">
        <v>52.35136891237903</v>
      </c>
      <c r="AI26">
        <v>49.116424594702842</v>
      </c>
      <c r="AJ26">
        <v>51.483357296439202</v>
      </c>
      <c r="AK26">
        <v>56.509981981465707</v>
      </c>
      <c r="AL26">
        <v>33.043424727768247</v>
      </c>
      <c r="AM26">
        <v>41.294361889995294</v>
      </c>
      <c r="AN26">
        <v>42.697846813370937</v>
      </c>
      <c r="AO26">
        <v>47.930889649300845</v>
      </c>
      <c r="AP26">
        <v>47.098430529792068</v>
      </c>
      <c r="AQ26">
        <v>51.328138494734411</v>
      </c>
      <c r="AR26">
        <v>35.721448134015617</v>
      </c>
      <c r="AS26">
        <v>31.679873196160802</v>
      </c>
      <c r="AT26">
        <v>34.753945763867897</v>
      </c>
      <c r="AU26">
        <v>29.763765615168268</v>
      </c>
      <c r="AV26">
        <v>32.257122288371328</v>
      </c>
      <c r="AW26">
        <v>29.873067545028761</v>
      </c>
      <c r="AX26">
        <v>30.922527613561879</v>
      </c>
      <c r="AZ26">
        <v>32.66426431644593</v>
      </c>
      <c r="BA26">
        <v>30.928569807860992</v>
      </c>
    </row>
    <row r="27" spans="1:53" x14ac:dyDescent="0.25">
      <c r="A27" t="s">
        <v>26</v>
      </c>
      <c r="B27">
        <v>42.387605094973239</v>
      </c>
      <c r="C27">
        <v>36.003621765667042</v>
      </c>
      <c r="D27">
        <v>50.697277724009773</v>
      </c>
      <c r="E27">
        <v>52.510535615273547</v>
      </c>
      <c r="F27">
        <v>53.459050221294582</v>
      </c>
      <c r="G27">
        <v>51.167776929051058</v>
      </c>
      <c r="H27">
        <v>56.067203861488643</v>
      </c>
      <c r="I27">
        <v>33.478943239012487</v>
      </c>
      <c r="J27">
        <v>37.414305470024743</v>
      </c>
      <c r="K27">
        <v>40.238243441056362</v>
      </c>
      <c r="L27">
        <v>51.809238880562937</v>
      </c>
      <c r="M27">
        <v>53.434652591056825</v>
      </c>
      <c r="N27">
        <v>54.634313417892002</v>
      </c>
      <c r="O27">
        <v>53.672457038706064</v>
      </c>
      <c r="P27">
        <v>53.494172071351812</v>
      </c>
      <c r="Q27">
        <v>52.166824978294848</v>
      </c>
      <c r="R27">
        <v>50.186923771494492</v>
      </c>
      <c r="S27">
        <v>49.90877539922915</v>
      </c>
      <c r="T27">
        <v>53.728838221217735</v>
      </c>
      <c r="U27">
        <v>36.62051267440448</v>
      </c>
      <c r="V27">
        <v>41.842863766930314</v>
      </c>
      <c r="W27">
        <v>46.591474753097337</v>
      </c>
      <c r="X27">
        <v>44.271631982451716</v>
      </c>
      <c r="Y27">
        <v>44.821270770103375</v>
      </c>
      <c r="Z27">
        <v>43.087485144818693</v>
      </c>
      <c r="AA27">
        <v>45.412134665660723</v>
      </c>
      <c r="AB27">
        <v>44.368226643003304</v>
      </c>
      <c r="AC27">
        <v>45.142089517999892</v>
      </c>
      <c r="AD27">
        <v>47.728087187753466</v>
      </c>
      <c r="AE27">
        <v>47.413946106531995</v>
      </c>
      <c r="AF27">
        <v>35.983537864269586</v>
      </c>
      <c r="AG27">
        <v>35.256339484788782</v>
      </c>
      <c r="AH27">
        <v>35.785383959363486</v>
      </c>
      <c r="AI27">
        <v>38.562092506120116</v>
      </c>
      <c r="AJ27">
        <v>40.266638823689703</v>
      </c>
      <c r="AK27">
        <v>43.382231643486058</v>
      </c>
      <c r="AL27">
        <v>40.134578084251977</v>
      </c>
      <c r="AM27">
        <v>36.796038908156788</v>
      </c>
      <c r="AN27">
        <v>34.115359318143469</v>
      </c>
      <c r="AO27">
        <v>36.265560522172073</v>
      </c>
      <c r="AP27">
        <v>37.468684494709741</v>
      </c>
      <c r="AQ27">
        <v>39.112308310191914</v>
      </c>
      <c r="AR27">
        <v>31.570418380951882</v>
      </c>
      <c r="AS27">
        <v>30.470382158747327</v>
      </c>
      <c r="AT27">
        <v>31.458233925966457</v>
      </c>
      <c r="AU27">
        <v>29.967704837733148</v>
      </c>
      <c r="AV27">
        <v>32.094885319690007</v>
      </c>
      <c r="AW27">
        <v>30.326031299795076</v>
      </c>
      <c r="AX27">
        <v>31.463166571144868</v>
      </c>
      <c r="AZ27">
        <v>33.32726415343258</v>
      </c>
      <c r="BA27">
        <v>32.544484548223743</v>
      </c>
    </row>
    <row r="28" spans="1:53" x14ac:dyDescent="0.25">
      <c r="A28" t="s">
        <v>27</v>
      </c>
      <c r="B28">
        <v>43.234333944414779</v>
      </c>
      <c r="C28">
        <v>40.396469330169069</v>
      </c>
      <c r="D28">
        <v>51.786994191380153</v>
      </c>
      <c r="E28">
        <v>53.535059465746208</v>
      </c>
      <c r="F28">
        <v>53.990387020049781</v>
      </c>
      <c r="G28">
        <v>51.64241394159567</v>
      </c>
      <c r="H28">
        <v>56.033198003886717</v>
      </c>
      <c r="I28">
        <v>32.841214138729761</v>
      </c>
      <c r="J28">
        <v>37.748076159131493</v>
      </c>
      <c r="K28">
        <v>43.815879330031635</v>
      </c>
      <c r="L28">
        <v>51.856368742251384</v>
      </c>
      <c r="M28">
        <v>51.67635325236062</v>
      </c>
      <c r="N28">
        <v>51.47623994943914</v>
      </c>
      <c r="O28">
        <v>52.35044224030198</v>
      </c>
      <c r="P28">
        <v>51.293151234744961</v>
      </c>
      <c r="Q28">
        <v>49.412560919267776</v>
      </c>
      <c r="R28">
        <v>30.559617422160063</v>
      </c>
      <c r="S28">
        <v>32.034773084555283</v>
      </c>
      <c r="T28">
        <v>34.673919713673918</v>
      </c>
      <c r="U28">
        <v>42.093573706939793</v>
      </c>
      <c r="V28">
        <v>43.653337389782514</v>
      </c>
      <c r="W28">
        <v>45.884760253473935</v>
      </c>
      <c r="X28">
        <v>45.117798824106046</v>
      </c>
      <c r="Y28">
        <v>42.659961354791058</v>
      </c>
      <c r="Z28">
        <v>43.443511037982518</v>
      </c>
      <c r="AA28">
        <v>44.424731273920543</v>
      </c>
      <c r="AB28">
        <v>32.628258764539673</v>
      </c>
      <c r="AC28">
        <v>31.82677765083109</v>
      </c>
      <c r="AD28">
        <v>32.290814833603271</v>
      </c>
      <c r="AE28">
        <v>35.35299634531939</v>
      </c>
      <c r="AF28">
        <v>36.80582964980804</v>
      </c>
      <c r="AG28">
        <v>37.720598715345631</v>
      </c>
      <c r="AH28">
        <v>41.061725071845302</v>
      </c>
      <c r="AI28">
        <v>37.486237038708225</v>
      </c>
      <c r="AJ28">
        <v>39.588000823445959</v>
      </c>
      <c r="AK28">
        <v>40.199034000355859</v>
      </c>
      <c r="AL28">
        <v>33.99772002644233</v>
      </c>
      <c r="AM28">
        <v>33.335992336908646</v>
      </c>
      <c r="AN28">
        <v>33.228750103163897</v>
      </c>
      <c r="AO28">
        <v>31.645916646277801</v>
      </c>
      <c r="AP28">
        <v>32.278445342738202</v>
      </c>
      <c r="AQ28">
        <v>30.03079310123627</v>
      </c>
      <c r="AR28">
        <v>29.113895176626869</v>
      </c>
      <c r="AS28">
        <v>30.83572354636938</v>
      </c>
      <c r="AT28">
        <v>31.584233422010357</v>
      </c>
      <c r="AU28">
        <v>29.780806503769742</v>
      </c>
      <c r="AV28">
        <v>32.304926873948126</v>
      </c>
      <c r="AW28">
        <v>30.553546995168464</v>
      </c>
      <c r="AX28">
        <v>32.074714588439626</v>
      </c>
      <c r="AZ28">
        <v>33.215216420343012</v>
      </c>
      <c r="BA28">
        <v>32.046798288771427</v>
      </c>
    </row>
    <row r="29" spans="1:53" x14ac:dyDescent="0.25">
      <c r="A29" t="s">
        <v>28</v>
      </c>
      <c r="B29">
        <v>43.702425182558976</v>
      </c>
      <c r="C29">
        <v>39.820153335017345</v>
      </c>
      <c r="D29">
        <v>51.597838389956685</v>
      </c>
      <c r="E29">
        <v>53.937892734526208</v>
      </c>
      <c r="F29">
        <v>54.305628050370409</v>
      </c>
      <c r="G29">
        <v>52.100122781639975</v>
      </c>
      <c r="H29">
        <v>55.553932963379729</v>
      </c>
      <c r="I29">
        <v>34.226272019562927</v>
      </c>
      <c r="J29">
        <v>39.132238602029581</v>
      </c>
      <c r="K29">
        <v>42.786908730555439</v>
      </c>
      <c r="L29">
        <v>51.539829527107877</v>
      </c>
      <c r="M29">
        <v>52.314103551866431</v>
      </c>
      <c r="N29">
        <v>54.819705369779946</v>
      </c>
      <c r="O29">
        <v>53.254796884469322</v>
      </c>
      <c r="P29">
        <v>53.265633690534337</v>
      </c>
      <c r="Q29">
        <v>52.899560988019793</v>
      </c>
      <c r="R29">
        <v>31.302430890849305</v>
      </c>
      <c r="S29">
        <v>32.904124973147042</v>
      </c>
      <c r="T29">
        <v>37.156767287668181</v>
      </c>
      <c r="U29">
        <v>44.275110567311806</v>
      </c>
      <c r="V29">
        <v>48.292901327875491</v>
      </c>
      <c r="W29">
        <v>48.857583354093371</v>
      </c>
      <c r="X29">
        <v>48.72801759486034</v>
      </c>
      <c r="Y29">
        <v>46.735557559787104</v>
      </c>
      <c r="Z29">
        <v>46.060255786706819</v>
      </c>
      <c r="AA29">
        <v>46.554783170386912</v>
      </c>
      <c r="AB29">
        <v>33.235729440642601</v>
      </c>
      <c r="AC29">
        <v>33.414205723228982</v>
      </c>
      <c r="AD29">
        <v>34.40442602361172</v>
      </c>
      <c r="AE29">
        <v>35.564685995615726</v>
      </c>
      <c r="AF29">
        <v>39.031964535852978</v>
      </c>
      <c r="AG29">
        <v>43.000938103981206</v>
      </c>
      <c r="AH29">
        <v>43.553082022548288</v>
      </c>
      <c r="AI29">
        <v>41.495900862438681</v>
      </c>
      <c r="AJ29">
        <v>39.75886050891112</v>
      </c>
      <c r="AK29">
        <v>44.08223224330186</v>
      </c>
      <c r="AL29">
        <v>31.700568901576375</v>
      </c>
      <c r="AM29">
        <v>33.233914506733036</v>
      </c>
      <c r="AN29">
        <v>33.090595257027736</v>
      </c>
      <c r="AO29">
        <v>33.059547681811317</v>
      </c>
      <c r="AP29">
        <v>32.69867091909942</v>
      </c>
      <c r="AQ29">
        <v>30.542232297747372</v>
      </c>
      <c r="AR29">
        <v>28.575917187273898</v>
      </c>
      <c r="AS29">
        <v>30.55941347715596</v>
      </c>
      <c r="AT29">
        <v>32.857004424980126</v>
      </c>
      <c r="AU29">
        <v>31.526981245032587</v>
      </c>
      <c r="AV29">
        <v>34.158989042751386</v>
      </c>
      <c r="AW29">
        <v>32.606011585008709</v>
      </c>
      <c r="AX29">
        <v>35.437192350499245</v>
      </c>
      <c r="AZ29">
        <v>35.415919671111951</v>
      </c>
      <c r="BA29">
        <v>34.394171923351117</v>
      </c>
    </row>
    <row r="30" spans="1:53" x14ac:dyDescent="0.25">
      <c r="A30" t="s">
        <v>29</v>
      </c>
      <c r="B30">
        <v>44.007487293876729</v>
      </c>
      <c r="C30">
        <v>39.307997899962153</v>
      </c>
      <c r="D30">
        <v>51.454946322135186</v>
      </c>
      <c r="E30">
        <v>53.412478626178064</v>
      </c>
      <c r="F30">
        <v>53.863362888902145</v>
      </c>
      <c r="G30">
        <v>51.591508090518722</v>
      </c>
      <c r="H30">
        <v>55.070450063495592</v>
      </c>
      <c r="I30">
        <v>34.839337804903934</v>
      </c>
      <c r="J30">
        <v>39.130008936653709</v>
      </c>
      <c r="K30">
        <v>42.148292744858367</v>
      </c>
      <c r="L30">
        <v>50.994188350641146</v>
      </c>
      <c r="M30">
        <v>51.842050392173398</v>
      </c>
      <c r="N30">
        <v>51.012986886169529</v>
      </c>
      <c r="O30">
        <v>51.314277683889621</v>
      </c>
      <c r="P30">
        <v>49.372239228681643</v>
      </c>
      <c r="Q30">
        <v>51.918031727274602</v>
      </c>
      <c r="R30">
        <v>30.544122857571242</v>
      </c>
      <c r="S30">
        <v>33.212172488426738</v>
      </c>
      <c r="T30">
        <v>33.747367861172727</v>
      </c>
      <c r="U30">
        <v>39.494065969170663</v>
      </c>
      <c r="V30">
        <v>43.701893814626125</v>
      </c>
      <c r="W30">
        <v>44.268720969144006</v>
      </c>
      <c r="X30">
        <v>45.3398489843511</v>
      </c>
      <c r="Y30">
        <v>42.031650716769555</v>
      </c>
      <c r="Z30">
        <v>43.8864830016837</v>
      </c>
      <c r="AA30">
        <v>43.809739943502933</v>
      </c>
      <c r="AB30">
        <v>32.460012618715808</v>
      </c>
      <c r="AC30">
        <v>32.315659914540696</v>
      </c>
      <c r="AD30">
        <v>33.231165414079349</v>
      </c>
      <c r="AE30">
        <v>34.111514250612046</v>
      </c>
      <c r="AF30">
        <v>34.367539340713172</v>
      </c>
      <c r="AG30">
        <v>38.039591832289865</v>
      </c>
      <c r="AH30">
        <v>38.049269809831742</v>
      </c>
      <c r="AI30">
        <v>37.693393765252544</v>
      </c>
      <c r="AJ30">
        <v>41.782674958580799</v>
      </c>
      <c r="AK30">
        <v>40.776468539044224</v>
      </c>
      <c r="AL30">
        <v>34.831342860629256</v>
      </c>
      <c r="AM30">
        <v>32.201126468166713</v>
      </c>
      <c r="AN30">
        <v>35.167437095296464</v>
      </c>
      <c r="AO30">
        <v>33.049503808955983</v>
      </c>
      <c r="AP30">
        <v>33.305338869922764</v>
      </c>
      <c r="AQ30">
        <v>30.591611386362114</v>
      </c>
      <c r="AR30">
        <v>28.853231134263183</v>
      </c>
      <c r="AS30">
        <v>28.995374814582945</v>
      </c>
      <c r="AT30">
        <v>32.825543297128917</v>
      </c>
      <c r="AU30">
        <v>30.510524147397756</v>
      </c>
      <c r="AV30">
        <v>33.354400040921682</v>
      </c>
      <c r="AW30">
        <v>31.554513050592647</v>
      </c>
      <c r="AX30">
        <v>33.93069645334058</v>
      </c>
      <c r="AZ30">
        <v>34.466122449349371</v>
      </c>
      <c r="BA30">
        <v>33.893155443818202</v>
      </c>
    </row>
    <row r="31" spans="1:53" x14ac:dyDescent="0.25">
      <c r="A31" t="s">
        <v>30</v>
      </c>
      <c r="B31">
        <v>43.649673605325688</v>
      </c>
      <c r="C31">
        <v>38.406506195357437</v>
      </c>
      <c r="D31">
        <v>50.996208947667895</v>
      </c>
      <c r="E31">
        <v>52.869600943849129</v>
      </c>
      <c r="F31">
        <v>54.157119739041867</v>
      </c>
      <c r="G31">
        <v>51.480367558276157</v>
      </c>
      <c r="H31">
        <v>55.446483883449794</v>
      </c>
      <c r="I31">
        <v>33.429962179129923</v>
      </c>
      <c r="J31">
        <v>38.017036597841582</v>
      </c>
      <c r="K31">
        <v>40.257364105491305</v>
      </c>
      <c r="L31">
        <v>52.287723902777827</v>
      </c>
      <c r="M31">
        <v>50.957366280375219</v>
      </c>
      <c r="N31">
        <v>54.60063514145903</v>
      </c>
      <c r="O31">
        <v>52.841282192386863</v>
      </c>
      <c r="P31">
        <v>52.118900422918919</v>
      </c>
      <c r="Q31">
        <v>51.230708608355208</v>
      </c>
      <c r="R31">
        <v>31.310058412286242</v>
      </c>
      <c r="S31">
        <v>33.096016089683012</v>
      </c>
      <c r="T31">
        <v>35.062326829271143</v>
      </c>
      <c r="U31">
        <v>41.585481523563779</v>
      </c>
      <c r="V31">
        <v>46.717669613376245</v>
      </c>
      <c r="W31">
        <v>48.617355772878291</v>
      </c>
      <c r="X31">
        <v>47.148253775445404</v>
      </c>
      <c r="Y31">
        <v>46.228718147258945</v>
      </c>
      <c r="Z31">
        <v>43.22453396421232</v>
      </c>
      <c r="AA31">
        <v>47.064229454741131</v>
      </c>
      <c r="AB31">
        <v>32.25740328237724</v>
      </c>
      <c r="AC31">
        <v>32.979270695667729</v>
      </c>
      <c r="AD31">
        <v>34.703937620830068</v>
      </c>
      <c r="AE31">
        <v>34.770102497422684</v>
      </c>
      <c r="AF31">
        <v>36.56419896630748</v>
      </c>
      <c r="AG31">
        <v>40.184612510254532</v>
      </c>
      <c r="AH31">
        <v>42.075408927044172</v>
      </c>
      <c r="AI31">
        <v>41.148208162121406</v>
      </c>
      <c r="AJ31">
        <v>42.67310016984019</v>
      </c>
      <c r="AK31">
        <v>42.604626826865015</v>
      </c>
      <c r="AL31">
        <v>31.99860971744198</v>
      </c>
      <c r="AM31">
        <v>33.307336594792069</v>
      </c>
      <c r="AN31">
        <v>32.932965558980918</v>
      </c>
      <c r="AO31">
        <v>32.721953262740321</v>
      </c>
      <c r="AP31">
        <v>32.684528947724395</v>
      </c>
      <c r="AQ31">
        <v>31.823282462113848</v>
      </c>
      <c r="AR31">
        <v>28.32240162291728</v>
      </c>
      <c r="AS31">
        <v>28.889922546129171</v>
      </c>
      <c r="AT31">
        <v>32.34301345396198</v>
      </c>
      <c r="AU31">
        <v>30.122247359792468</v>
      </c>
      <c r="AV31">
        <v>31.83134896640664</v>
      </c>
      <c r="AW31">
        <v>31.473112775999109</v>
      </c>
      <c r="AX31">
        <v>34.582433674628213</v>
      </c>
      <c r="AZ31">
        <v>35.465284670214054</v>
      </c>
      <c r="BA31">
        <v>34.522059414089277</v>
      </c>
    </row>
    <row r="32" spans="1:53" x14ac:dyDescent="0.25">
      <c r="A32" t="s">
        <v>31</v>
      </c>
      <c r="B32">
        <v>42.995291831921406</v>
      </c>
      <c r="C32">
        <v>40.785456130398437</v>
      </c>
      <c r="D32">
        <v>31.909465219987368</v>
      </c>
      <c r="E32">
        <v>53.649734516002745</v>
      </c>
      <c r="F32">
        <v>55.006087313229351</v>
      </c>
      <c r="G32">
        <v>52.541674850001208</v>
      </c>
      <c r="H32">
        <v>55.983993461461473</v>
      </c>
      <c r="I32">
        <v>53.023441376187662</v>
      </c>
      <c r="J32">
        <v>37.891229259878017</v>
      </c>
      <c r="K32">
        <v>36.722336540423264</v>
      </c>
      <c r="L32">
        <v>52.528879065226647</v>
      </c>
      <c r="M32">
        <v>52.979930727692995</v>
      </c>
      <c r="N32">
        <v>55.086724601182276</v>
      </c>
      <c r="O32">
        <v>54.38548609650281</v>
      </c>
      <c r="P32">
        <v>53.397856851847486</v>
      </c>
      <c r="Q32">
        <v>53.361093934969425</v>
      </c>
      <c r="R32">
        <v>50.931763049521486</v>
      </c>
      <c r="S32">
        <v>50.770232507538957</v>
      </c>
      <c r="T32">
        <v>53.802746397462954</v>
      </c>
      <c r="U32">
        <v>54.428586142974488</v>
      </c>
      <c r="V32">
        <v>55.741992929661023</v>
      </c>
      <c r="W32">
        <v>36.682490421726548</v>
      </c>
      <c r="X32">
        <v>37.506719848422875</v>
      </c>
      <c r="Y32">
        <v>36.346048372305155</v>
      </c>
      <c r="Z32">
        <v>42.584977815533271</v>
      </c>
      <c r="AA32">
        <v>47.333796873318221</v>
      </c>
      <c r="AB32">
        <v>46.341564152895359</v>
      </c>
      <c r="AC32">
        <v>46.941226490257577</v>
      </c>
      <c r="AD32">
        <v>49.268889605389269</v>
      </c>
      <c r="AE32">
        <v>48.445188262980899</v>
      </c>
      <c r="AF32">
        <v>49.875449349377966</v>
      </c>
      <c r="AG32">
        <v>49.14477784007638</v>
      </c>
      <c r="AH32">
        <v>49.594120268226327</v>
      </c>
      <c r="AI32">
        <v>50.062492943678642</v>
      </c>
      <c r="AJ32">
        <v>49.249446442225228</v>
      </c>
      <c r="AK32">
        <v>52.521405245144962</v>
      </c>
      <c r="AL32">
        <v>35.237423320178401</v>
      </c>
      <c r="AM32">
        <v>36.654580071305674</v>
      </c>
      <c r="AN32">
        <v>36.7409631599295</v>
      </c>
      <c r="AO32">
        <v>41.343354419171185</v>
      </c>
      <c r="AP32">
        <v>40.564889457550173</v>
      </c>
      <c r="AQ32">
        <v>35.432137500716429</v>
      </c>
      <c r="AR32">
        <v>30.217564472820769</v>
      </c>
      <c r="AS32">
        <v>30.549905005781088</v>
      </c>
      <c r="AT32">
        <v>33.546755970216815</v>
      </c>
      <c r="AU32">
        <v>29.650865466563761</v>
      </c>
      <c r="AV32">
        <v>31.967748095500131</v>
      </c>
      <c r="AW32">
        <v>30.02619407106739</v>
      </c>
      <c r="AX32">
        <v>33.179168998022313</v>
      </c>
      <c r="AZ32">
        <v>33.238771758882571</v>
      </c>
      <c r="BA32">
        <v>32.182862791939634</v>
      </c>
    </row>
    <row r="33" spans="1:53" x14ac:dyDescent="0.25">
      <c r="A33" t="s">
        <v>32</v>
      </c>
      <c r="B33">
        <v>43.171672344696276</v>
      </c>
      <c r="C33">
        <v>39.097381821122688</v>
      </c>
      <c r="D33">
        <v>26.385232091228744</v>
      </c>
      <c r="E33">
        <v>52.931221492350524</v>
      </c>
      <c r="F33">
        <v>53.371658758390403</v>
      </c>
      <c r="G33">
        <v>51.932083260350176</v>
      </c>
      <c r="H33">
        <v>55.291799270486621</v>
      </c>
      <c r="I33">
        <v>33.50468949676813</v>
      </c>
      <c r="J33">
        <v>38.999992356787828</v>
      </c>
      <c r="K33">
        <v>44.230456207600163</v>
      </c>
      <c r="L33">
        <v>52.89744934279895</v>
      </c>
      <c r="M33">
        <v>52.99322380593123</v>
      </c>
      <c r="N33">
        <v>54.29934392443311</v>
      </c>
      <c r="O33">
        <v>53.781811725221047</v>
      </c>
      <c r="P33">
        <v>53.383218225151779</v>
      </c>
      <c r="Q33">
        <v>52.11822980729147</v>
      </c>
      <c r="R33">
        <v>49.85942329245529</v>
      </c>
      <c r="S33">
        <v>50.20395371742736</v>
      </c>
      <c r="T33">
        <v>52.900539650091595</v>
      </c>
      <c r="U33">
        <v>36.154407680601949</v>
      </c>
      <c r="V33">
        <v>42.609606765080486</v>
      </c>
      <c r="W33">
        <v>46.043027813954872</v>
      </c>
      <c r="X33">
        <v>45.458849138048123</v>
      </c>
      <c r="Y33">
        <v>43.672848021702237</v>
      </c>
      <c r="Z33">
        <v>44.109069694232538</v>
      </c>
      <c r="AA33">
        <v>47.173909395824353</v>
      </c>
      <c r="AB33">
        <v>47.094533833599975</v>
      </c>
      <c r="AC33">
        <v>45.460707313199443</v>
      </c>
      <c r="AD33">
        <v>49.246728062732252</v>
      </c>
      <c r="AE33">
        <v>49.18424958009242</v>
      </c>
      <c r="AF33">
        <v>37.421692138454702</v>
      </c>
      <c r="AG33">
        <v>36.074700985227722</v>
      </c>
      <c r="AH33">
        <v>36.229348037928624</v>
      </c>
      <c r="AI33">
        <v>38.710357708401446</v>
      </c>
      <c r="AJ33">
        <v>41.885469846136829</v>
      </c>
      <c r="AK33">
        <v>41.639846916170278</v>
      </c>
      <c r="AL33">
        <v>41.144243347864453</v>
      </c>
      <c r="AM33">
        <v>33.669608041376314</v>
      </c>
      <c r="AN33">
        <v>34.214749950723395</v>
      </c>
      <c r="AO33">
        <v>36.570122832732082</v>
      </c>
      <c r="AP33">
        <v>35.745755057754181</v>
      </c>
      <c r="AQ33">
        <v>38.288316034838054</v>
      </c>
      <c r="AR33">
        <v>30.684800526954053</v>
      </c>
      <c r="AS33">
        <v>29.417011291868167</v>
      </c>
      <c r="AT33">
        <v>33.336522634819467</v>
      </c>
      <c r="AU33">
        <v>29.765128775516548</v>
      </c>
      <c r="AV33">
        <v>31.49364535361266</v>
      </c>
      <c r="AW33">
        <v>29.679144016293943</v>
      </c>
      <c r="AX33">
        <v>31.407917627795488</v>
      </c>
      <c r="AZ33">
        <v>31.869946192392376</v>
      </c>
      <c r="BA33">
        <v>30.887871431753297</v>
      </c>
    </row>
    <row r="34" spans="1:53" x14ac:dyDescent="0.25">
      <c r="A34" t="s">
        <v>33</v>
      </c>
      <c r="B34">
        <v>27.384861134960854</v>
      </c>
      <c r="C34">
        <v>41.30572982827826</v>
      </c>
      <c r="D34">
        <v>35.785076416886362</v>
      </c>
      <c r="E34">
        <v>33.407357069500954</v>
      </c>
      <c r="F34">
        <v>35.112902970233158</v>
      </c>
      <c r="G34">
        <v>34.197704116656261</v>
      </c>
      <c r="H34">
        <v>36.310510918346225</v>
      </c>
      <c r="I34">
        <v>32.476015595893777</v>
      </c>
      <c r="J34">
        <v>36.0010203814332</v>
      </c>
      <c r="K34">
        <v>42.48014726024558</v>
      </c>
      <c r="L34">
        <v>31.796744362421034</v>
      </c>
      <c r="M34">
        <v>28.183444641620781</v>
      </c>
      <c r="N34">
        <v>36.171359193996274</v>
      </c>
      <c r="O34">
        <v>34.70482312694417</v>
      </c>
      <c r="P34">
        <v>32.426865461859492</v>
      </c>
      <c r="Q34">
        <v>32.127365771540603</v>
      </c>
      <c r="R34">
        <v>29.846852607679498</v>
      </c>
      <c r="S34">
        <v>33.132954515574461</v>
      </c>
      <c r="T34">
        <v>35.62872418446279</v>
      </c>
      <c r="U34">
        <v>35.114809689273123</v>
      </c>
      <c r="V34">
        <v>37.097145541260346</v>
      </c>
      <c r="W34">
        <v>44.829041338217621</v>
      </c>
      <c r="X34">
        <v>50.926063906626744</v>
      </c>
      <c r="Y34">
        <v>48.085210068065152</v>
      </c>
      <c r="Z34">
        <v>29.426001620724161</v>
      </c>
      <c r="AA34">
        <v>35.937034874322926</v>
      </c>
      <c r="AB34">
        <v>30.304123077523943</v>
      </c>
      <c r="AC34">
        <v>42.535677347231889</v>
      </c>
      <c r="AD34">
        <v>36.423039363548014</v>
      </c>
      <c r="AE34">
        <v>39.059585744884053</v>
      </c>
      <c r="AF34">
        <v>48.222805316337336</v>
      </c>
      <c r="AG34">
        <v>54.438771357103484</v>
      </c>
      <c r="AH34">
        <v>36.026924191855159</v>
      </c>
      <c r="AI34">
        <v>38.470031058702652</v>
      </c>
      <c r="AJ34">
        <v>35.816615886971263</v>
      </c>
      <c r="AK34">
        <v>35.347294011793345</v>
      </c>
      <c r="AL34">
        <v>38.520347352637138</v>
      </c>
      <c r="AM34">
        <v>39.826204687563489</v>
      </c>
      <c r="AN34">
        <v>37.139355021835541</v>
      </c>
      <c r="AO34">
        <v>37.457067050578054</v>
      </c>
      <c r="AP34">
        <v>38.222824358846005</v>
      </c>
      <c r="AQ34">
        <v>37.869059866353304</v>
      </c>
      <c r="AR34">
        <v>33.793404195966851</v>
      </c>
      <c r="AS34">
        <v>45.705541260076195</v>
      </c>
      <c r="AT34">
        <v>39.518534058274049</v>
      </c>
      <c r="AU34">
        <v>51.969609412361301</v>
      </c>
      <c r="AV34">
        <v>53.441629870202661</v>
      </c>
      <c r="AW34">
        <v>49.991243910178888</v>
      </c>
      <c r="AX34">
        <v>38.344563997988494</v>
      </c>
      <c r="AZ34">
        <v>48.729152646237708</v>
      </c>
      <c r="BA34">
        <v>36.23113294618306</v>
      </c>
    </row>
    <row r="35" spans="1:53" x14ac:dyDescent="0.25">
      <c r="A35" t="s">
        <v>34</v>
      </c>
      <c r="B35">
        <v>42.319556206328151</v>
      </c>
      <c r="C35">
        <v>41.071085216448246</v>
      </c>
      <c r="D35">
        <v>51.051852397371306</v>
      </c>
      <c r="E35">
        <v>52.648966779624772</v>
      </c>
      <c r="F35">
        <v>53.586532261603132</v>
      </c>
      <c r="G35">
        <v>52.861826075478184</v>
      </c>
      <c r="H35">
        <v>55.706189085071514</v>
      </c>
      <c r="I35">
        <v>35.183492464829108</v>
      </c>
      <c r="J35">
        <v>38.442543791784573</v>
      </c>
      <c r="K35">
        <v>41.409097512422612</v>
      </c>
      <c r="L35">
        <v>52.847402951993274</v>
      </c>
      <c r="M35">
        <v>52.387552246232218</v>
      </c>
      <c r="N35">
        <v>55.300854882603026</v>
      </c>
      <c r="O35">
        <v>54.73626874130354</v>
      </c>
      <c r="P35">
        <v>53.64175909232074</v>
      </c>
      <c r="Q35">
        <v>52.897335221963196</v>
      </c>
      <c r="R35">
        <v>30.493979412895573</v>
      </c>
      <c r="S35">
        <v>32.13075562779396</v>
      </c>
      <c r="T35">
        <v>35.325454586687847</v>
      </c>
      <c r="U35">
        <v>41.662692117805442</v>
      </c>
      <c r="V35">
        <v>49.017526431519116</v>
      </c>
      <c r="W35">
        <v>49.532019222145244</v>
      </c>
      <c r="X35">
        <v>47.414037847890661</v>
      </c>
      <c r="Y35">
        <v>47.515241775300524</v>
      </c>
      <c r="Z35">
        <v>43.627325341395483</v>
      </c>
      <c r="AA35">
        <v>47.1763699004862</v>
      </c>
      <c r="AB35">
        <v>33.063263862723048</v>
      </c>
      <c r="AC35">
        <v>33.266274704977725</v>
      </c>
      <c r="AD35">
        <v>34.398253621296341</v>
      </c>
      <c r="AE35">
        <v>36.614662108784081</v>
      </c>
      <c r="AF35">
        <v>42.555091934774879</v>
      </c>
      <c r="AG35">
        <v>44.69007164816832</v>
      </c>
      <c r="AH35">
        <v>44.571285218835861</v>
      </c>
      <c r="AI35">
        <v>45.435418539707996</v>
      </c>
      <c r="AJ35">
        <v>45.061115952385222</v>
      </c>
      <c r="AK35">
        <v>47.239739674740015</v>
      </c>
      <c r="AL35">
        <v>33.028965742358736</v>
      </c>
      <c r="AM35">
        <v>36.332612494475079</v>
      </c>
      <c r="AN35">
        <v>35.6714433200058</v>
      </c>
      <c r="AO35">
        <v>41.617594083908195</v>
      </c>
      <c r="AP35">
        <v>42.89094534751294</v>
      </c>
      <c r="AQ35">
        <v>46.208381804992484</v>
      </c>
      <c r="AR35">
        <v>33.049407208215534</v>
      </c>
      <c r="AS35">
        <v>34.977773184782372</v>
      </c>
      <c r="AT35">
        <v>37.806861011097503</v>
      </c>
      <c r="AU35">
        <v>42.758416447987742</v>
      </c>
      <c r="AV35">
        <v>41.347251349603084</v>
      </c>
      <c r="AW35">
        <v>41.373315181857144</v>
      </c>
      <c r="AX35">
        <v>43.836707767635311</v>
      </c>
      <c r="AZ35">
        <v>43.234467981205341</v>
      </c>
      <c r="BA35">
        <v>41.687276750293655</v>
      </c>
    </row>
    <row r="36" spans="1:53" x14ac:dyDescent="0.25">
      <c r="A36" t="s">
        <v>35</v>
      </c>
      <c r="B36">
        <v>46.98318465507549</v>
      </c>
      <c r="C36">
        <v>57.762970297820544</v>
      </c>
      <c r="D36">
        <v>60.0106397362336</v>
      </c>
      <c r="E36">
        <v>60.581621360031143</v>
      </c>
      <c r="F36">
        <v>59.622991675488414</v>
      </c>
      <c r="G36">
        <v>58.687901822528517</v>
      </c>
      <c r="H36">
        <v>62.079175767353242</v>
      </c>
      <c r="I36">
        <v>57.204145670276375</v>
      </c>
      <c r="J36">
        <v>62.299032262475613</v>
      </c>
      <c r="K36">
        <v>57.963949436632468</v>
      </c>
      <c r="L36">
        <v>59.479445834524682</v>
      </c>
      <c r="M36">
        <v>61.035794326757632</v>
      </c>
      <c r="N36">
        <v>61.398378374194401</v>
      </c>
      <c r="O36">
        <v>62.482454782836271</v>
      </c>
      <c r="P36">
        <v>59.649327141693767</v>
      </c>
      <c r="Q36">
        <v>58.721778912147578</v>
      </c>
      <c r="R36">
        <v>54.044152404050401</v>
      </c>
      <c r="S36">
        <v>58.687277727687523</v>
      </c>
      <c r="T36">
        <v>60.609648567298954</v>
      </c>
      <c r="U36">
        <v>60.549072771679157</v>
      </c>
      <c r="V36">
        <v>63.457996089673856</v>
      </c>
      <c r="W36">
        <v>63.691569148897202</v>
      </c>
      <c r="X36">
        <v>62.752483747337273</v>
      </c>
      <c r="Y36">
        <v>56.061336890989175</v>
      </c>
      <c r="Z36">
        <v>53.215719540658945</v>
      </c>
      <c r="AA36">
        <v>59.077905391439479</v>
      </c>
      <c r="AB36">
        <v>54.737626014544645</v>
      </c>
      <c r="AC36">
        <v>58.796771355432817</v>
      </c>
      <c r="AD36">
        <v>61.307173889618525</v>
      </c>
      <c r="AE36">
        <v>64.06813584043293</v>
      </c>
      <c r="AF36">
        <v>64.843826205736576</v>
      </c>
      <c r="AG36">
        <v>64.674294336809794</v>
      </c>
      <c r="AH36">
        <v>62.236616651818565</v>
      </c>
      <c r="AI36">
        <v>63.478715316608636</v>
      </c>
      <c r="AJ36">
        <v>61.692294548780687</v>
      </c>
      <c r="AK36">
        <v>62.701540141172764</v>
      </c>
      <c r="AL36">
        <v>64.224181895631318</v>
      </c>
      <c r="AM36">
        <v>64.55035268044</v>
      </c>
      <c r="AN36">
        <v>62.814040494908284</v>
      </c>
      <c r="AO36">
        <v>64.157504995173539</v>
      </c>
      <c r="AP36">
        <v>64.333319799903663</v>
      </c>
      <c r="AQ36">
        <v>63.941750311537824</v>
      </c>
      <c r="AR36">
        <v>47.891900768658822</v>
      </c>
      <c r="AS36">
        <v>55.482467240808752</v>
      </c>
      <c r="AT36">
        <v>63.080839600976155</v>
      </c>
      <c r="AU36">
        <v>57.638995494438575</v>
      </c>
      <c r="AV36">
        <v>57.269770768859729</v>
      </c>
      <c r="AW36">
        <v>53.556622494957566</v>
      </c>
      <c r="AX36">
        <v>57.770714894941541</v>
      </c>
      <c r="AZ36">
        <v>54.153013360437647</v>
      </c>
      <c r="BA36">
        <v>55.629966786799436</v>
      </c>
    </row>
    <row r="37" spans="1:53" x14ac:dyDescent="0.25">
      <c r="A37" t="s">
        <v>36</v>
      </c>
      <c r="B37">
        <v>42.700506070417596</v>
      </c>
      <c r="C37">
        <v>40.800259490031401</v>
      </c>
      <c r="D37">
        <v>50.755261605530563</v>
      </c>
      <c r="E37">
        <v>52.220052627163852</v>
      </c>
      <c r="F37">
        <v>53.336236904767787</v>
      </c>
      <c r="G37">
        <v>52.650363807043782</v>
      </c>
      <c r="H37">
        <v>55.526025915092902</v>
      </c>
      <c r="I37">
        <v>34.47509030417141</v>
      </c>
      <c r="J37">
        <v>38.929162362114141</v>
      </c>
      <c r="K37">
        <v>41.49866228265207</v>
      </c>
      <c r="L37">
        <v>52.774593757734237</v>
      </c>
      <c r="M37">
        <v>53.325010642251179</v>
      </c>
      <c r="N37">
        <v>53.21150683428214</v>
      </c>
      <c r="O37">
        <v>54.260919831429305</v>
      </c>
      <c r="P37">
        <v>54.143813542587814</v>
      </c>
      <c r="Q37">
        <v>51.84675753601153</v>
      </c>
      <c r="R37">
        <v>30.18648296132751</v>
      </c>
      <c r="S37">
        <v>32.713353972866251</v>
      </c>
      <c r="T37">
        <v>36.293100894369267</v>
      </c>
      <c r="U37">
        <v>42.805703739469187</v>
      </c>
      <c r="V37">
        <v>48.186789555869304</v>
      </c>
      <c r="W37">
        <v>49.710885403078407</v>
      </c>
      <c r="X37">
        <v>46.68878890637145</v>
      </c>
      <c r="Y37">
        <v>47.375175915495618</v>
      </c>
      <c r="Z37">
        <v>42.77983962254455</v>
      </c>
      <c r="AA37">
        <v>47.638129982264893</v>
      </c>
      <c r="AB37">
        <v>46.53782339529198</v>
      </c>
      <c r="AC37">
        <v>45.522411709848598</v>
      </c>
      <c r="AD37">
        <v>48.482321090230869</v>
      </c>
      <c r="AE37">
        <v>48.327642539477331</v>
      </c>
      <c r="AF37">
        <v>49.60633115753285</v>
      </c>
      <c r="AG37">
        <v>49.230980311880678</v>
      </c>
      <c r="AH37">
        <v>52.080275108280851</v>
      </c>
      <c r="AI37">
        <v>50.115103560831379</v>
      </c>
      <c r="AJ37">
        <v>49.984763094410575</v>
      </c>
      <c r="AK37">
        <v>52.000441161145602</v>
      </c>
      <c r="AL37">
        <v>53.071081706036757</v>
      </c>
      <c r="AM37">
        <v>52.514281892506091</v>
      </c>
      <c r="AN37">
        <v>50.524815062862807</v>
      </c>
      <c r="AO37">
        <v>38.566816413372926</v>
      </c>
      <c r="AP37">
        <v>36.660049411196439</v>
      </c>
      <c r="AQ37">
        <v>35.627388966017925</v>
      </c>
      <c r="AR37">
        <v>31.573739983557644</v>
      </c>
      <c r="AS37">
        <v>42.423729857221105</v>
      </c>
      <c r="AT37">
        <v>48.684800220028279</v>
      </c>
      <c r="AU37">
        <v>48.017106676472274</v>
      </c>
      <c r="AV37">
        <v>47.407156206593271</v>
      </c>
      <c r="AW37">
        <v>46.296819102155325</v>
      </c>
      <c r="AX37">
        <v>47.857451550249749</v>
      </c>
      <c r="AZ37">
        <v>46.784736629542856</v>
      </c>
      <c r="BA37">
        <v>47.088911063435766</v>
      </c>
    </row>
    <row r="38" spans="1:53" x14ac:dyDescent="0.25">
      <c r="A38" t="s">
        <v>37</v>
      </c>
      <c r="B38">
        <v>27.124140734546597</v>
      </c>
      <c r="C38">
        <v>43.781974580893433</v>
      </c>
      <c r="D38">
        <v>35.241186681201931</v>
      </c>
      <c r="E38">
        <v>35.535305534401807</v>
      </c>
      <c r="F38">
        <v>34.757128361696189</v>
      </c>
      <c r="G38">
        <v>33.82396223406149</v>
      </c>
      <c r="H38">
        <v>36.831134150500283</v>
      </c>
      <c r="I38">
        <v>31.63341384283353</v>
      </c>
      <c r="J38">
        <v>36.654689438671554</v>
      </c>
      <c r="K38">
        <v>47.233451622605003</v>
      </c>
      <c r="L38">
        <v>33.016858515426755</v>
      </c>
      <c r="M38">
        <v>48.281093587764111</v>
      </c>
      <c r="N38">
        <v>38.538660936446071</v>
      </c>
      <c r="O38">
        <v>37.433502008866455</v>
      </c>
      <c r="P38">
        <v>34.042735984024681</v>
      </c>
      <c r="Q38">
        <v>34.091115680065606</v>
      </c>
      <c r="R38">
        <v>30.269887469094609</v>
      </c>
      <c r="S38">
        <v>33.929641250470688</v>
      </c>
      <c r="T38">
        <v>35.106987880809875</v>
      </c>
      <c r="U38">
        <v>38.073073098326681</v>
      </c>
      <c r="V38">
        <v>37.872721091119587</v>
      </c>
      <c r="W38">
        <v>37.695963688117978</v>
      </c>
      <c r="X38">
        <v>38.716544757879419</v>
      </c>
      <c r="Y38">
        <v>47.631040841131473</v>
      </c>
      <c r="Z38">
        <v>29.019535649236946</v>
      </c>
      <c r="AA38">
        <v>48.974758932796334</v>
      </c>
      <c r="AB38">
        <v>28.810070611584525</v>
      </c>
      <c r="AC38">
        <v>35.740954637899016</v>
      </c>
      <c r="AD38">
        <v>36.691110590243035</v>
      </c>
      <c r="AE38">
        <v>39.555862676130893</v>
      </c>
      <c r="AF38">
        <v>39.780463057939834</v>
      </c>
      <c r="AG38">
        <v>41.028202478859455</v>
      </c>
      <c r="AH38">
        <v>35.827645075597196</v>
      </c>
      <c r="AI38">
        <v>50.669920402499088</v>
      </c>
      <c r="AJ38">
        <v>36.668095228774462</v>
      </c>
      <c r="AK38">
        <v>35.513262751665614</v>
      </c>
      <c r="AL38">
        <v>39.096686054776349</v>
      </c>
      <c r="AM38">
        <v>51.129162675650321</v>
      </c>
      <c r="AN38">
        <v>52.731658260661469</v>
      </c>
      <c r="AO38">
        <v>40.415025208509029</v>
      </c>
      <c r="AP38">
        <v>50.924064431159536</v>
      </c>
      <c r="AQ38">
        <v>37.485188001108817</v>
      </c>
      <c r="AR38">
        <v>33.610102210105751</v>
      </c>
      <c r="AS38">
        <v>37.71025466239994</v>
      </c>
      <c r="AT38">
        <v>54.962757338050885</v>
      </c>
      <c r="AU38">
        <v>37.754616460087156</v>
      </c>
      <c r="AV38">
        <v>39.323536345358221</v>
      </c>
      <c r="AW38">
        <v>46.999401475254864</v>
      </c>
      <c r="AX38">
        <v>52.800022168487153</v>
      </c>
      <c r="AZ38">
        <v>34.817062782331028</v>
      </c>
      <c r="BA38">
        <v>37.392940354654634</v>
      </c>
    </row>
    <row r="39" spans="1:53" x14ac:dyDescent="0.25">
      <c r="A39" t="s">
        <v>38</v>
      </c>
      <c r="B39">
        <v>43.718965893461586</v>
      </c>
      <c r="C39">
        <v>39.097863568094411</v>
      </c>
      <c r="D39">
        <v>51.311913359187251</v>
      </c>
      <c r="E39">
        <v>52.718908758060813</v>
      </c>
      <c r="F39">
        <v>53.625652612294722</v>
      </c>
      <c r="G39">
        <v>53.798532255289238</v>
      </c>
      <c r="H39">
        <v>56.159411988057322</v>
      </c>
      <c r="I39">
        <v>34.55237134597629</v>
      </c>
      <c r="J39">
        <v>39.127675172651543</v>
      </c>
      <c r="K39">
        <v>43.272834965105837</v>
      </c>
      <c r="L39">
        <v>52.396772142392798</v>
      </c>
      <c r="M39">
        <v>53.13918543784942</v>
      </c>
      <c r="N39">
        <v>54.448643198129332</v>
      </c>
      <c r="O39">
        <v>54.993657790813891</v>
      </c>
      <c r="P39">
        <v>54.822207432869256</v>
      </c>
      <c r="Q39">
        <v>53.022543001757192</v>
      </c>
      <c r="R39">
        <v>32.266176730129153</v>
      </c>
      <c r="S39">
        <v>33.74985617073272</v>
      </c>
      <c r="T39">
        <v>37.8541338375477</v>
      </c>
      <c r="U39">
        <v>45.373429059092267</v>
      </c>
      <c r="V39">
        <v>49.058454957984686</v>
      </c>
      <c r="W39">
        <v>50.02800153435809</v>
      </c>
      <c r="X39">
        <v>47.469295785655987</v>
      </c>
      <c r="Y39">
        <v>47.397714040628877</v>
      </c>
      <c r="Z39">
        <v>43.28321137728971</v>
      </c>
      <c r="AA39">
        <v>47.422252159381095</v>
      </c>
      <c r="AB39">
        <v>32.443938811390062</v>
      </c>
      <c r="AC39">
        <v>32.578268309649218</v>
      </c>
      <c r="AD39">
        <v>34.104726544573424</v>
      </c>
      <c r="AE39">
        <v>36.649883563792621</v>
      </c>
      <c r="AF39">
        <v>41.653133703534394</v>
      </c>
      <c r="AG39">
        <v>42.787357820402889</v>
      </c>
      <c r="AH39">
        <v>44.717632674679116</v>
      </c>
      <c r="AI39">
        <v>44.56906255725854</v>
      </c>
      <c r="AJ39">
        <v>44.567086675346168</v>
      </c>
      <c r="AK39">
        <v>44.148521515585024</v>
      </c>
      <c r="AL39">
        <v>33.7722316481711</v>
      </c>
      <c r="AM39">
        <v>35.499390834457401</v>
      </c>
      <c r="AN39">
        <v>34.45291618683212</v>
      </c>
      <c r="AO39">
        <v>39.039679720042962</v>
      </c>
      <c r="AP39">
        <v>39.227588421718089</v>
      </c>
      <c r="AQ39">
        <v>41.829286670699908</v>
      </c>
      <c r="AR39">
        <v>33.103685924852137</v>
      </c>
      <c r="AS39">
        <v>31.429469841379909</v>
      </c>
      <c r="AT39">
        <v>34.983034766501795</v>
      </c>
      <c r="AU39">
        <v>41.27784758069425</v>
      </c>
      <c r="AV39">
        <v>38.902282234574002</v>
      </c>
      <c r="AW39">
        <v>38.9430324340995</v>
      </c>
      <c r="AX39">
        <v>41.230485558255133</v>
      </c>
      <c r="AZ39">
        <v>39.988058805468306</v>
      </c>
      <c r="BA39">
        <v>39.394264731753772</v>
      </c>
    </row>
    <row r="40" spans="1:53" x14ac:dyDescent="0.25">
      <c r="A40" t="s">
        <v>39</v>
      </c>
      <c r="B40">
        <v>48.527627262070062</v>
      </c>
      <c r="C40">
        <v>58.352480809576122</v>
      </c>
      <c r="D40">
        <v>60.350309277936596</v>
      </c>
      <c r="E40">
        <v>60.857641463412058</v>
      </c>
      <c r="F40">
        <v>59.907791117964877</v>
      </c>
      <c r="G40">
        <v>59.406364779004271</v>
      </c>
      <c r="H40">
        <v>62.017527039826575</v>
      </c>
      <c r="I40">
        <v>56.164333879748938</v>
      </c>
      <c r="J40">
        <v>61.695468215740163</v>
      </c>
      <c r="K40">
        <v>58.237984868390249</v>
      </c>
      <c r="L40">
        <v>58.725687830040108</v>
      </c>
      <c r="M40">
        <v>61.056373255751197</v>
      </c>
      <c r="N40">
        <v>61.370774250429427</v>
      </c>
      <c r="O40">
        <v>61.893663213166633</v>
      </c>
      <c r="P40">
        <v>60.065389708963984</v>
      </c>
      <c r="Q40">
        <v>59.446869034662576</v>
      </c>
      <c r="R40">
        <v>55.517348244924989</v>
      </c>
      <c r="S40">
        <v>58.959678775978638</v>
      </c>
      <c r="T40">
        <v>60.429642331619057</v>
      </c>
      <c r="U40">
        <v>60.223270455854617</v>
      </c>
      <c r="V40">
        <v>63.485166960925056</v>
      </c>
      <c r="W40">
        <v>64.036951611036116</v>
      </c>
      <c r="X40">
        <v>63.106617369546463</v>
      </c>
      <c r="Y40">
        <v>55.819521471105723</v>
      </c>
      <c r="Z40">
        <v>52.926906159797539</v>
      </c>
      <c r="AA40">
        <v>60.653364240767786</v>
      </c>
      <c r="AB40">
        <v>54.322063248032158</v>
      </c>
      <c r="AC40">
        <v>58.376555904310869</v>
      </c>
      <c r="AD40">
        <v>60.983227867084814</v>
      </c>
      <c r="AE40">
        <v>63.44415332138076</v>
      </c>
      <c r="AF40">
        <v>64.944688438505565</v>
      </c>
      <c r="AG40">
        <v>64.694482281827504</v>
      </c>
      <c r="AH40">
        <v>62.407466653939672</v>
      </c>
      <c r="AI40">
        <v>63.118345512336077</v>
      </c>
      <c r="AJ40">
        <v>62.034910371344751</v>
      </c>
      <c r="AK40">
        <v>61.412769105956301</v>
      </c>
      <c r="AL40">
        <v>64.142243074120273</v>
      </c>
      <c r="AM40">
        <v>64.442010866116846</v>
      </c>
      <c r="AN40">
        <v>63.147887545511253</v>
      </c>
      <c r="AO40">
        <v>65.06137128950806</v>
      </c>
      <c r="AP40">
        <v>63.832032409239353</v>
      </c>
      <c r="AQ40">
        <v>64.266398860044092</v>
      </c>
      <c r="AR40">
        <v>47.616741321326622</v>
      </c>
      <c r="AS40">
        <v>54.461059122289974</v>
      </c>
      <c r="AT40">
        <v>62.794865633853554</v>
      </c>
      <c r="AU40">
        <v>56.882953039246082</v>
      </c>
      <c r="AV40">
        <v>56.755807911912768</v>
      </c>
      <c r="AW40">
        <v>52.819932804217558</v>
      </c>
      <c r="AX40">
        <v>57.045971538204874</v>
      </c>
      <c r="AZ40">
        <v>53.310949270504487</v>
      </c>
      <c r="BA40">
        <v>55.466087194117705</v>
      </c>
    </row>
    <row r="41" spans="1:53" x14ac:dyDescent="0.25">
      <c r="A41" t="s">
        <v>40</v>
      </c>
      <c r="B41">
        <v>44.064794878790622</v>
      </c>
      <c r="C41">
        <v>39.855316105374577</v>
      </c>
      <c r="D41">
        <v>50.865806855863944</v>
      </c>
      <c r="E41">
        <v>52.125738118454933</v>
      </c>
      <c r="F41">
        <v>53.089694453392383</v>
      </c>
      <c r="G41">
        <v>53.482850927698479</v>
      </c>
      <c r="H41">
        <v>55.974122185136032</v>
      </c>
      <c r="I41">
        <v>36.24185341073899</v>
      </c>
      <c r="J41">
        <v>40.957546467081862</v>
      </c>
      <c r="K41">
        <v>43.49211339067935</v>
      </c>
      <c r="L41">
        <v>52.673342113707925</v>
      </c>
      <c r="M41">
        <v>52.958140100612063</v>
      </c>
      <c r="N41">
        <v>54.729326930195306</v>
      </c>
      <c r="O41">
        <v>54.018005806500753</v>
      </c>
      <c r="P41">
        <v>54.15563973879258</v>
      </c>
      <c r="Q41">
        <v>52.660533341980162</v>
      </c>
      <c r="R41">
        <v>31.881587872458365</v>
      </c>
      <c r="S41">
        <v>33.457039041679771</v>
      </c>
      <c r="T41">
        <v>37.279209181769552</v>
      </c>
      <c r="U41">
        <v>43.218840341310987</v>
      </c>
      <c r="V41">
        <v>47.199467997663135</v>
      </c>
      <c r="W41">
        <v>47.368375665889637</v>
      </c>
      <c r="X41">
        <v>46.988314970043525</v>
      </c>
      <c r="Y41">
        <v>45.069690649038563</v>
      </c>
      <c r="Z41">
        <v>43.290371995149769</v>
      </c>
      <c r="AA41">
        <v>47.275283569204099</v>
      </c>
      <c r="AB41">
        <v>45.480124968463343</v>
      </c>
      <c r="AC41">
        <v>44.270136164665729</v>
      </c>
      <c r="AD41">
        <v>45.50580414574393</v>
      </c>
      <c r="AE41">
        <v>47.530505252163501</v>
      </c>
      <c r="AF41">
        <v>49.326664703827277</v>
      </c>
      <c r="AG41">
        <v>48.841062161006533</v>
      </c>
      <c r="AH41">
        <v>52.628277408938693</v>
      </c>
      <c r="AI41">
        <v>49.944144053000286</v>
      </c>
      <c r="AJ41">
        <v>50.388920023496865</v>
      </c>
      <c r="AK41">
        <v>52.720690210381832</v>
      </c>
      <c r="AL41">
        <v>52.594133194582263</v>
      </c>
      <c r="AM41">
        <v>52.884519697758833</v>
      </c>
      <c r="AN41">
        <v>49.712536644553687</v>
      </c>
      <c r="AO41">
        <v>38.175442259586767</v>
      </c>
      <c r="AP41">
        <v>36.618993702175963</v>
      </c>
      <c r="AQ41">
        <v>35.320690521573852</v>
      </c>
      <c r="AR41">
        <v>31.509148120606948</v>
      </c>
      <c r="AS41">
        <v>38.947131501086531</v>
      </c>
      <c r="AT41">
        <v>45.574661665144191</v>
      </c>
      <c r="AU41">
        <v>46.756778974813528</v>
      </c>
      <c r="AV41">
        <v>46.046725910070869</v>
      </c>
      <c r="AW41">
        <v>46.046802832031027</v>
      </c>
      <c r="AX41">
        <v>46.897652282274549</v>
      </c>
      <c r="AZ41">
        <v>44.516459881272318</v>
      </c>
      <c r="BA41">
        <v>45.588518186898462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7FDB-5ECB-4D5B-8C4F-D763538846CF}">
  <dimension ref="A1:AP41"/>
  <sheetViews>
    <sheetView workbookViewId="0"/>
  </sheetViews>
  <sheetFormatPr defaultRowHeight="15" x14ac:dyDescent="0.25"/>
  <sheetData>
    <row r="1" spans="1:42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</row>
    <row r="2" spans="1:42" x14ac:dyDescent="0.25">
      <c r="A2" t="s">
        <v>1</v>
      </c>
      <c r="B2">
        <v>32.178538518637872</v>
      </c>
      <c r="C2">
        <v>34.607005843989505</v>
      </c>
      <c r="D2">
        <v>32.944614035310764</v>
      </c>
      <c r="E2">
        <v>31.993776160454559</v>
      </c>
      <c r="F2">
        <v>31.305765632853237</v>
      </c>
      <c r="G2">
        <v>29.791061218093336</v>
      </c>
      <c r="H2">
        <v>28.178445374755825</v>
      </c>
      <c r="I2">
        <v>30.502444505045617</v>
      </c>
      <c r="J2">
        <v>30.898035878658977</v>
      </c>
      <c r="K2">
        <v>29.653637935342118</v>
      </c>
      <c r="L2">
        <v>32.004659562155588</v>
      </c>
      <c r="M2">
        <v>30.277209804378611</v>
      </c>
      <c r="N2">
        <v>33.336679532396886</v>
      </c>
      <c r="O2">
        <v>32.075134506729967</v>
      </c>
      <c r="P2">
        <v>29.929804491971158</v>
      </c>
      <c r="Q2">
        <v>30.853664657438134</v>
      </c>
      <c r="R2">
        <v>28.0209299612922</v>
      </c>
      <c r="S2">
        <v>29.131351104429626</v>
      </c>
      <c r="T2">
        <v>29.06922184407706</v>
      </c>
      <c r="U2">
        <v>31.842267048371252</v>
      </c>
      <c r="V2">
        <v>30.606583174937835</v>
      </c>
      <c r="W2">
        <v>31.785746526505779</v>
      </c>
      <c r="X2">
        <v>31.823202701029121</v>
      </c>
      <c r="Y2">
        <v>32.440982419421665</v>
      </c>
      <c r="Z2">
        <v>31.359751294716958</v>
      </c>
      <c r="AA2">
        <v>31.019425671623882</v>
      </c>
      <c r="AB2">
        <v>32.244975800009904</v>
      </c>
      <c r="AC2">
        <v>30.539824846119966</v>
      </c>
      <c r="AD2">
        <v>31.066382770205518</v>
      </c>
      <c r="AE2">
        <v>26.906627973511906</v>
      </c>
      <c r="AF2">
        <v>32.558845303829365</v>
      </c>
      <c r="AG2">
        <v>28.478240380139823</v>
      </c>
      <c r="AH2">
        <v>29.864936473145836</v>
      </c>
      <c r="AI2">
        <v>29.866559438225007</v>
      </c>
      <c r="AJ2">
        <v>31.391304203462084</v>
      </c>
      <c r="AK2">
        <v>31.989869826128174</v>
      </c>
      <c r="AL2">
        <v>31.568447201656166</v>
      </c>
      <c r="AM2">
        <v>30.986960969495328</v>
      </c>
      <c r="AN2">
        <v>30.499844635474869</v>
      </c>
      <c r="AO2">
        <v>32.469801863852474</v>
      </c>
      <c r="AP2">
        <v>32.430312821103136</v>
      </c>
    </row>
    <row r="3" spans="1:42" x14ac:dyDescent="0.25">
      <c r="A3" t="s">
        <v>2</v>
      </c>
      <c r="B3">
        <v>30.749578470289109</v>
      </c>
      <c r="C3">
        <v>32.454167059226116</v>
      </c>
      <c r="D3">
        <v>32.092558596207688</v>
      </c>
      <c r="E3">
        <v>31.401995352457831</v>
      </c>
      <c r="F3">
        <v>30.602393051268233</v>
      </c>
      <c r="G3">
        <v>28.993993689414626</v>
      </c>
      <c r="H3">
        <v>28.040235743287621</v>
      </c>
      <c r="I3">
        <v>30.307865813972864</v>
      </c>
      <c r="J3">
        <v>29.921438831129521</v>
      </c>
      <c r="K3">
        <v>29.8321056456479</v>
      </c>
      <c r="L3">
        <v>31.126912273687804</v>
      </c>
      <c r="M3">
        <v>29.425235003032132</v>
      </c>
      <c r="N3">
        <v>34.544696266079463</v>
      </c>
      <c r="O3">
        <v>31.109623955991484</v>
      </c>
      <c r="P3">
        <v>30.658789480941692</v>
      </c>
      <c r="Q3">
        <v>30.40140185592584</v>
      </c>
      <c r="R3">
        <v>27.152666110611065</v>
      </c>
      <c r="S3">
        <v>28.984284641546321</v>
      </c>
      <c r="T3">
        <v>30.965027339524358</v>
      </c>
      <c r="U3">
        <v>31.124949748588236</v>
      </c>
      <c r="V3">
        <v>30.596556913973302</v>
      </c>
      <c r="W3">
        <v>30.509988546855553</v>
      </c>
      <c r="X3">
        <v>31.201617855635348</v>
      </c>
      <c r="Y3">
        <v>30.483193570522392</v>
      </c>
      <c r="Z3">
        <v>31.455797240762525</v>
      </c>
      <c r="AA3">
        <v>29.072388316649185</v>
      </c>
      <c r="AB3">
        <v>32.708717655007554</v>
      </c>
      <c r="AC3">
        <v>29.363168287099352</v>
      </c>
      <c r="AD3">
        <v>29.429501262310385</v>
      </c>
      <c r="AE3">
        <v>25.836180617308582</v>
      </c>
      <c r="AF3">
        <v>30.542038566948516</v>
      </c>
      <c r="AG3">
        <v>28.388479929451876</v>
      </c>
      <c r="AH3">
        <v>29.191133502339614</v>
      </c>
      <c r="AI3">
        <v>28.996663153736829</v>
      </c>
      <c r="AJ3">
        <v>33.263543039353159</v>
      </c>
      <c r="AK3">
        <v>32.413131692464127</v>
      </c>
      <c r="AL3">
        <v>30.794577678604238</v>
      </c>
      <c r="AM3">
        <v>32.777595609800628</v>
      </c>
      <c r="AN3">
        <v>29.238538596477813</v>
      </c>
      <c r="AO3">
        <v>31.296926766258178</v>
      </c>
      <c r="AP3">
        <v>31.57071949273568</v>
      </c>
    </row>
    <row r="4" spans="1:42" x14ac:dyDescent="0.25">
      <c r="A4" t="s">
        <v>3</v>
      </c>
      <c r="B4">
        <v>30.740415191973998</v>
      </c>
      <c r="C4">
        <v>31.933848324312411</v>
      </c>
      <c r="D4">
        <v>34.351793269830878</v>
      </c>
      <c r="E4">
        <v>30.472382176393694</v>
      </c>
      <c r="F4">
        <v>31.209230076243305</v>
      </c>
      <c r="G4">
        <v>29.287668706020323</v>
      </c>
      <c r="H4">
        <v>27.851104221570193</v>
      </c>
      <c r="I4">
        <v>29.911704371324898</v>
      </c>
      <c r="J4">
        <v>30.177742169329978</v>
      </c>
      <c r="K4">
        <v>29.848977460097633</v>
      </c>
      <c r="L4">
        <v>30.86136112009639</v>
      </c>
      <c r="M4">
        <v>30.213223790471602</v>
      </c>
      <c r="N4">
        <v>34.013458535807985</v>
      </c>
      <c r="O4">
        <v>31.254481887767891</v>
      </c>
      <c r="P4">
        <v>32.701682196600174</v>
      </c>
      <c r="Q4">
        <v>30.214292179272785</v>
      </c>
      <c r="R4">
        <v>28.209628230495841</v>
      </c>
      <c r="S4">
        <v>29.430874841500984</v>
      </c>
      <c r="T4">
        <v>29.012451233362157</v>
      </c>
      <c r="U4">
        <v>30.35659784245485</v>
      </c>
      <c r="V4">
        <v>30.612805267488572</v>
      </c>
      <c r="W4">
        <v>29.830696138156071</v>
      </c>
      <c r="X4">
        <v>31.098719311348248</v>
      </c>
      <c r="Y4">
        <v>31.481820766847715</v>
      </c>
      <c r="Z4">
        <v>33.48567319639784</v>
      </c>
      <c r="AA4">
        <v>32.138834149218241</v>
      </c>
      <c r="AB4">
        <v>32.413079101047707</v>
      </c>
      <c r="AC4">
        <v>28.777325831740843</v>
      </c>
      <c r="AD4">
        <v>31.007297957038887</v>
      </c>
      <c r="AE4">
        <v>26.917175546444255</v>
      </c>
      <c r="AF4">
        <v>30.25209022643709</v>
      </c>
      <c r="AG4">
        <v>28.396639329991118</v>
      </c>
      <c r="AH4">
        <v>30.729003221777663</v>
      </c>
      <c r="AI4">
        <v>30.027982737551152</v>
      </c>
      <c r="AJ4">
        <v>31.865671123711625</v>
      </c>
      <c r="AK4">
        <v>33.70318467846883</v>
      </c>
      <c r="AL4">
        <v>31.061086919055423</v>
      </c>
      <c r="AM4">
        <v>32.729202787070946</v>
      </c>
      <c r="AN4">
        <v>30.573892134128016</v>
      </c>
      <c r="AO4">
        <v>33.099442011159191</v>
      </c>
      <c r="AP4">
        <v>33.087819697818375</v>
      </c>
    </row>
    <row r="5" spans="1:42" x14ac:dyDescent="0.25">
      <c r="A5" t="s">
        <v>4</v>
      </c>
      <c r="B5">
        <v>30.019638916836957</v>
      </c>
      <c r="C5">
        <v>32.056581003082613</v>
      </c>
      <c r="D5">
        <v>30.136361862237148</v>
      </c>
      <c r="E5">
        <v>29.714303097696089</v>
      </c>
      <c r="F5">
        <v>29.501566314250208</v>
      </c>
      <c r="G5">
        <v>32.069984789858687</v>
      </c>
      <c r="H5">
        <v>27.859344636807126</v>
      </c>
      <c r="I5">
        <v>30.155052779590559</v>
      </c>
      <c r="J5">
        <v>29.620840768719081</v>
      </c>
      <c r="K5">
        <v>30.497414589989589</v>
      </c>
      <c r="L5">
        <v>31.201857978771987</v>
      </c>
      <c r="M5">
        <v>30.924333087216535</v>
      </c>
      <c r="N5">
        <v>32.79833364299666</v>
      </c>
      <c r="O5">
        <v>29.595626589127466</v>
      </c>
      <c r="P5">
        <v>29.303644077346338</v>
      </c>
      <c r="Q5">
        <v>33.670491871673974</v>
      </c>
      <c r="R5">
        <v>30.60510855633785</v>
      </c>
      <c r="S5">
        <v>30.299031071177662</v>
      </c>
      <c r="T5">
        <v>30.779333658891996</v>
      </c>
      <c r="U5">
        <v>32.436943251216256</v>
      </c>
      <c r="V5">
        <v>30.945329411667462</v>
      </c>
      <c r="W5">
        <v>29.058723227273251</v>
      </c>
      <c r="X5">
        <v>30.094586637957391</v>
      </c>
      <c r="Y5">
        <v>29.341948297989916</v>
      </c>
      <c r="Z5">
        <v>31.760972445122547</v>
      </c>
      <c r="AA5">
        <v>29.480175179946745</v>
      </c>
      <c r="AB5">
        <v>29.685427245783988</v>
      </c>
      <c r="AC5">
        <v>28.263371657222834</v>
      </c>
      <c r="AD5">
        <v>34.429547772947622</v>
      </c>
      <c r="AE5">
        <v>26.742939785028288</v>
      </c>
      <c r="AF5">
        <v>28.845360725498253</v>
      </c>
      <c r="AG5">
        <v>28.306836610765234</v>
      </c>
      <c r="AH5">
        <v>30.633443363918307</v>
      </c>
      <c r="AI5">
        <v>28.417349237829058</v>
      </c>
      <c r="AJ5">
        <v>31.44531679207698</v>
      </c>
      <c r="AK5">
        <v>33.293293382690671</v>
      </c>
      <c r="AL5">
        <v>30.521236974180479</v>
      </c>
      <c r="AM5">
        <v>31.641716868866876</v>
      </c>
      <c r="AN5">
        <v>29.247046712454985</v>
      </c>
      <c r="AO5">
        <v>32.275283053208462</v>
      </c>
      <c r="AP5">
        <v>32.640229142466005</v>
      </c>
    </row>
    <row r="6" spans="1:42" x14ac:dyDescent="0.25">
      <c r="A6" t="s">
        <v>5</v>
      </c>
      <c r="B6">
        <v>31.479945804217252</v>
      </c>
      <c r="C6">
        <v>29.665262555508274</v>
      </c>
      <c r="D6">
        <v>28.970030966324753</v>
      </c>
      <c r="E6">
        <v>28.845019707007925</v>
      </c>
      <c r="F6">
        <v>28.898094733137356</v>
      </c>
      <c r="G6">
        <v>31.278156987164916</v>
      </c>
      <c r="H6">
        <v>29.188724598037492</v>
      </c>
      <c r="I6">
        <v>30.387758510713521</v>
      </c>
      <c r="J6">
        <v>29.87232039849869</v>
      </c>
      <c r="K6">
        <v>30.252724155644618</v>
      </c>
      <c r="L6">
        <v>29.274795653406812</v>
      </c>
      <c r="M6">
        <v>31.584453568527177</v>
      </c>
      <c r="N6">
        <v>30.618967828303315</v>
      </c>
      <c r="O6">
        <v>28.219625561382372</v>
      </c>
      <c r="P6">
        <v>28.840252510505149</v>
      </c>
      <c r="Q6">
        <v>30.688074384747619</v>
      </c>
      <c r="R6">
        <v>28.004899995222917</v>
      </c>
      <c r="S6">
        <v>29.244314655841034</v>
      </c>
      <c r="T6">
        <v>31.611558862831245</v>
      </c>
      <c r="U6">
        <v>30.170875982797199</v>
      </c>
      <c r="V6">
        <v>30.90378918717931</v>
      </c>
      <c r="W6">
        <v>28.748817469043107</v>
      </c>
      <c r="X6">
        <v>29.61748282987681</v>
      </c>
      <c r="Y6">
        <v>29.558178670676799</v>
      </c>
      <c r="Z6">
        <v>31.41430280719047</v>
      </c>
      <c r="AA6">
        <v>29.487686462904374</v>
      </c>
      <c r="AB6">
        <v>29.960589019716938</v>
      </c>
      <c r="AC6">
        <v>29.832567081423452</v>
      </c>
      <c r="AD6">
        <v>32.601400936051746</v>
      </c>
      <c r="AE6">
        <v>28.089771180386425</v>
      </c>
      <c r="AF6">
        <v>32.10703336672168</v>
      </c>
      <c r="AG6">
        <v>29.902035426327249</v>
      </c>
      <c r="AH6">
        <v>30.569288275859567</v>
      </c>
      <c r="AI6">
        <v>29.720183361461242</v>
      </c>
      <c r="AJ6">
        <v>30.194283580515727</v>
      </c>
      <c r="AK6">
        <v>32.174890732531814</v>
      </c>
      <c r="AL6">
        <v>30.657988341090057</v>
      </c>
      <c r="AM6">
        <v>32.97785394718732</v>
      </c>
      <c r="AN6">
        <v>29.401758308666036</v>
      </c>
      <c r="AO6">
        <v>31.282865809580851</v>
      </c>
      <c r="AP6">
        <v>31.34746235255885</v>
      </c>
    </row>
    <row r="7" spans="1:42" x14ac:dyDescent="0.25">
      <c r="A7" t="s">
        <v>6</v>
      </c>
      <c r="B7">
        <v>31.641129581828455</v>
      </c>
      <c r="C7">
        <v>30.886764902450519</v>
      </c>
      <c r="D7">
        <v>30.399551449742216</v>
      </c>
      <c r="E7">
        <v>30.631177781611779</v>
      </c>
      <c r="F7">
        <v>30.628072383838823</v>
      </c>
      <c r="G7">
        <v>32.969483959247619</v>
      </c>
      <c r="H7">
        <v>28.837930255278966</v>
      </c>
      <c r="I7">
        <v>30.438268282717917</v>
      </c>
      <c r="J7">
        <v>29.701216031267791</v>
      </c>
      <c r="K7">
        <v>29.060058764823683</v>
      </c>
      <c r="L7">
        <v>30.248192808847609</v>
      </c>
      <c r="M7">
        <v>30.79599473207378</v>
      </c>
      <c r="N7">
        <v>32.782987018290605</v>
      </c>
      <c r="O7">
        <v>29.474161966495217</v>
      </c>
      <c r="P7">
        <v>29.98669486354353</v>
      </c>
      <c r="Q7">
        <v>32.575454351633979</v>
      </c>
      <c r="R7">
        <v>29.096424508459048</v>
      </c>
      <c r="S7">
        <v>29.870077041733655</v>
      </c>
      <c r="T7">
        <v>31.708967969225096</v>
      </c>
      <c r="U7">
        <v>30.049957328779882</v>
      </c>
      <c r="V7">
        <v>30.339644204351018</v>
      </c>
      <c r="W7">
        <v>29.50617288749919</v>
      </c>
      <c r="X7">
        <v>30.703431418484186</v>
      </c>
      <c r="Y7">
        <v>29.17642690014409</v>
      </c>
      <c r="Z7">
        <v>31.883458557421477</v>
      </c>
      <c r="AA7">
        <v>29.70745839836151</v>
      </c>
      <c r="AB7">
        <v>30.153889087517282</v>
      </c>
      <c r="AC7">
        <v>28.851633986377895</v>
      </c>
      <c r="AD7">
        <v>32.265775526372714</v>
      </c>
      <c r="AE7">
        <v>28.383252466193266</v>
      </c>
      <c r="AF7">
        <v>30.607595561515307</v>
      </c>
      <c r="AG7">
        <v>29.804686200362131</v>
      </c>
      <c r="AH7">
        <v>30.115944104251877</v>
      </c>
      <c r="AI7">
        <v>29.435224281144215</v>
      </c>
      <c r="AJ7">
        <v>31.632405334461072</v>
      </c>
      <c r="AK7">
        <v>32.470902658576726</v>
      </c>
      <c r="AL7">
        <v>30.479369168523359</v>
      </c>
      <c r="AM7">
        <v>33.512628145132375</v>
      </c>
      <c r="AN7">
        <v>33.39482801401801</v>
      </c>
      <c r="AO7">
        <v>32.728095345713854</v>
      </c>
      <c r="AP7">
        <v>31.359180927759159</v>
      </c>
    </row>
    <row r="8" spans="1:42" x14ac:dyDescent="0.25">
      <c r="A8" t="s">
        <v>7</v>
      </c>
      <c r="B8">
        <v>31.371950378731288</v>
      </c>
      <c r="C8">
        <v>31.939800766463282</v>
      </c>
      <c r="D8">
        <v>30.973588843164922</v>
      </c>
      <c r="E8">
        <v>31.033915504286217</v>
      </c>
      <c r="F8">
        <v>30.671611369462756</v>
      </c>
      <c r="G8">
        <v>32.098379875991355</v>
      </c>
      <c r="H8">
        <v>27.86783514089349</v>
      </c>
      <c r="I8">
        <v>29.658935551138384</v>
      </c>
      <c r="J8">
        <v>29.668367086421171</v>
      </c>
      <c r="K8">
        <v>29.150041125335772</v>
      </c>
      <c r="L8">
        <v>30.677551911780117</v>
      </c>
      <c r="M8">
        <v>31.392865376513043</v>
      </c>
      <c r="N8">
        <v>31.61151734958251</v>
      </c>
      <c r="O8">
        <v>29.384324023487732</v>
      </c>
      <c r="P8">
        <v>30.042179806229687</v>
      </c>
      <c r="Q8">
        <v>31.851400692088735</v>
      </c>
      <c r="R8">
        <v>29.966116495013882</v>
      </c>
      <c r="S8">
        <v>30.016435506606623</v>
      </c>
      <c r="T8">
        <v>30.716101433911422</v>
      </c>
      <c r="U8">
        <v>29.253869021229914</v>
      </c>
      <c r="V8">
        <v>31.179377168869735</v>
      </c>
      <c r="W8">
        <v>30.292418097748982</v>
      </c>
      <c r="X8">
        <v>31.066300096637267</v>
      </c>
      <c r="Y8">
        <v>30.027082382398742</v>
      </c>
      <c r="Z8">
        <v>32.565616232284306</v>
      </c>
      <c r="AA8">
        <v>29.682842823995525</v>
      </c>
      <c r="AB8">
        <v>29.693061811977248</v>
      </c>
      <c r="AC8">
        <v>30.200391745648961</v>
      </c>
      <c r="AD8">
        <v>31.752351658238471</v>
      </c>
      <c r="AE8">
        <v>30.441677296822906</v>
      </c>
      <c r="AF8">
        <v>29.641906942209143</v>
      </c>
      <c r="AG8">
        <v>29.219660936736961</v>
      </c>
      <c r="AH8">
        <v>28.637428471439211</v>
      </c>
      <c r="AI8">
        <v>31.668240256442981</v>
      </c>
      <c r="AJ8">
        <v>31.604718246338752</v>
      </c>
      <c r="AK8">
        <v>32.46573375709611</v>
      </c>
      <c r="AL8">
        <v>30.834677250424562</v>
      </c>
      <c r="AM8">
        <v>33.474442797371964</v>
      </c>
      <c r="AN8">
        <v>33.227069906039993</v>
      </c>
      <c r="AO8">
        <v>33.22094185757306</v>
      </c>
      <c r="AP8">
        <v>30.502801580992983</v>
      </c>
    </row>
    <row r="9" spans="1:42" x14ac:dyDescent="0.25">
      <c r="A9" t="s">
        <v>8</v>
      </c>
      <c r="B9">
        <v>31.864101409374246</v>
      </c>
      <c r="C9">
        <v>31.37775707067853</v>
      </c>
      <c r="D9">
        <v>30.357113018823032</v>
      </c>
      <c r="E9">
        <v>31.748989049180711</v>
      </c>
      <c r="F9">
        <v>32.489570292939796</v>
      </c>
      <c r="G9">
        <v>30.252723297257504</v>
      </c>
      <c r="H9">
        <v>26.818902093556005</v>
      </c>
      <c r="I9">
        <v>29.692270584171208</v>
      </c>
      <c r="J9">
        <v>29.246385416076169</v>
      </c>
      <c r="K9">
        <v>28.530335280220314</v>
      </c>
      <c r="L9">
        <v>30.320908848555927</v>
      </c>
      <c r="M9">
        <v>31.988298890662662</v>
      </c>
      <c r="N9">
        <v>32.381878583986158</v>
      </c>
      <c r="O9">
        <v>30.803166605980891</v>
      </c>
      <c r="P9">
        <v>30.115959604142603</v>
      </c>
      <c r="Q9">
        <v>29.849894788997858</v>
      </c>
      <c r="R9">
        <v>28.397114801612123</v>
      </c>
      <c r="S9">
        <v>29.658277820773225</v>
      </c>
      <c r="T9">
        <v>29.101774909158141</v>
      </c>
      <c r="U9">
        <v>29.782025047551681</v>
      </c>
      <c r="V9">
        <v>30.99103465986035</v>
      </c>
      <c r="W9">
        <v>30.559984051648453</v>
      </c>
      <c r="X9">
        <v>30.581600468523202</v>
      </c>
      <c r="Y9">
        <v>30.062796970349819</v>
      </c>
      <c r="Z9">
        <v>31.890152648645753</v>
      </c>
      <c r="AA9">
        <v>29.568952887127793</v>
      </c>
      <c r="AB9">
        <v>30.195718147014627</v>
      </c>
      <c r="AC9">
        <v>30.580414028504663</v>
      </c>
      <c r="AD9">
        <v>31.098541328932587</v>
      </c>
      <c r="AE9">
        <v>27.631382963252278</v>
      </c>
      <c r="AF9">
        <v>30.730779104690097</v>
      </c>
      <c r="AG9">
        <v>29.195489182019248</v>
      </c>
      <c r="AH9">
        <v>29.807947474984957</v>
      </c>
      <c r="AI9">
        <v>30.765465275364374</v>
      </c>
      <c r="AJ9">
        <v>32.106948373618657</v>
      </c>
      <c r="AK9">
        <v>32.510864857648777</v>
      </c>
      <c r="AL9">
        <v>31.513254616357369</v>
      </c>
      <c r="AM9">
        <v>35.136511700672578</v>
      </c>
      <c r="AN9">
        <v>34.412059657907157</v>
      </c>
      <c r="AO9">
        <v>34.369685519327938</v>
      </c>
      <c r="AP9">
        <v>34.152521301359023</v>
      </c>
    </row>
    <row r="10" spans="1:42" x14ac:dyDescent="0.25">
      <c r="A10" t="s">
        <v>9</v>
      </c>
      <c r="B10">
        <v>31.137591079532314</v>
      </c>
      <c r="C10">
        <v>30.33026857532813</v>
      </c>
      <c r="D10">
        <v>29.492644719080847</v>
      </c>
      <c r="E10">
        <v>28.941731382525912</v>
      </c>
      <c r="F10">
        <v>28.540060330539603</v>
      </c>
      <c r="G10">
        <v>31.815636371537554</v>
      </c>
      <c r="H10">
        <v>28.258838249195332</v>
      </c>
      <c r="I10">
        <v>30.389266088566401</v>
      </c>
      <c r="J10">
        <v>30.650659819436836</v>
      </c>
      <c r="K10">
        <v>29.320698150540242</v>
      </c>
      <c r="L10">
        <v>29.874621573123093</v>
      </c>
      <c r="M10">
        <v>29.156855379777497</v>
      </c>
      <c r="N10">
        <v>31.885773872328105</v>
      </c>
      <c r="O10">
        <v>29.439668071047453</v>
      </c>
      <c r="P10">
        <v>28.318783530651356</v>
      </c>
      <c r="Q10">
        <v>31.49841385739559</v>
      </c>
      <c r="R10">
        <v>29.120804083488256</v>
      </c>
      <c r="S10">
        <v>29.659412026541052</v>
      </c>
      <c r="T10">
        <v>28.694629118685871</v>
      </c>
      <c r="U10">
        <v>30.503002098243893</v>
      </c>
      <c r="V10">
        <v>30.182283779762951</v>
      </c>
      <c r="W10">
        <v>30.832461773422782</v>
      </c>
      <c r="X10">
        <v>30.364075810332725</v>
      </c>
      <c r="Y10">
        <v>28.899602563719174</v>
      </c>
      <c r="Z10">
        <v>32.652164274089486</v>
      </c>
      <c r="AA10">
        <v>29.112491410847678</v>
      </c>
      <c r="AB10">
        <v>30.20278913270214</v>
      </c>
      <c r="AC10">
        <v>31.054252592030064</v>
      </c>
      <c r="AD10">
        <v>30.47649152962158</v>
      </c>
      <c r="AE10">
        <v>28.963165186388398</v>
      </c>
      <c r="AF10">
        <v>31.352103294099948</v>
      </c>
      <c r="AG10">
        <v>28.37223862069294</v>
      </c>
      <c r="AH10">
        <v>29.937870900300126</v>
      </c>
      <c r="AI10">
        <v>31.353690431078203</v>
      </c>
      <c r="AJ10">
        <v>32.808917099035988</v>
      </c>
      <c r="AK10">
        <v>32.72879811170592</v>
      </c>
      <c r="AL10">
        <v>31.946965429037153</v>
      </c>
      <c r="AM10">
        <v>31.454954334933223</v>
      </c>
      <c r="AO10">
        <v>32.403519259384552</v>
      </c>
      <c r="AP10">
        <v>31.391688201924158</v>
      </c>
    </row>
    <row r="11" spans="1:42" x14ac:dyDescent="0.25">
      <c r="A11" t="s">
        <v>10</v>
      </c>
      <c r="B11">
        <v>30.65017569785617</v>
      </c>
      <c r="C11">
        <v>30.885972367364307</v>
      </c>
      <c r="D11">
        <v>32.527764093005139</v>
      </c>
      <c r="E11">
        <v>32.582443186157029</v>
      </c>
      <c r="F11">
        <v>31.153037135546793</v>
      </c>
      <c r="G11">
        <v>31.848266928938187</v>
      </c>
      <c r="H11">
        <v>28.544758938750295</v>
      </c>
      <c r="I11">
        <v>29.350149909163409</v>
      </c>
      <c r="J11">
        <v>29.70697669227944</v>
      </c>
      <c r="K11">
        <v>29.304541378857166</v>
      </c>
      <c r="L11">
        <v>30.879081827682921</v>
      </c>
      <c r="M11">
        <v>29.376916150243826</v>
      </c>
      <c r="N11">
        <v>33.105058693747488</v>
      </c>
      <c r="O11">
        <v>31.382971705171567</v>
      </c>
      <c r="P11">
        <v>30.908455085968424</v>
      </c>
      <c r="Q11">
        <v>33.311272377295609</v>
      </c>
      <c r="R11">
        <v>31.371502020213779</v>
      </c>
      <c r="S11">
        <v>29.910842343026413</v>
      </c>
      <c r="T11">
        <v>27.992254942838937</v>
      </c>
      <c r="U11">
        <v>32.955972795723063</v>
      </c>
      <c r="V11">
        <v>30.144762588756418</v>
      </c>
      <c r="W11">
        <v>31.811144068823495</v>
      </c>
      <c r="X11">
        <v>30.330057435936691</v>
      </c>
      <c r="Y11">
        <v>30.419087795757914</v>
      </c>
      <c r="Z11">
        <v>31.438537964715085</v>
      </c>
      <c r="AA11">
        <v>29.584718674834999</v>
      </c>
      <c r="AB11">
        <v>31.173727668186611</v>
      </c>
      <c r="AC11">
        <v>29.452801932173504</v>
      </c>
      <c r="AD11">
        <v>29.899188891643689</v>
      </c>
      <c r="AE11">
        <v>29.167174856516493</v>
      </c>
      <c r="AF11">
        <v>30.301370688463326</v>
      </c>
      <c r="AG11">
        <v>28.241483914131788</v>
      </c>
      <c r="AH11">
        <v>29.759276384380556</v>
      </c>
      <c r="AI11">
        <v>30.859147705663972</v>
      </c>
      <c r="AJ11">
        <v>29.731673981626262</v>
      </c>
      <c r="AK11">
        <v>30.40301747408904</v>
      </c>
      <c r="AL11">
        <v>31.214195833203249</v>
      </c>
      <c r="AM11">
        <v>31.45382717392172</v>
      </c>
      <c r="AO11">
        <v>32.680466879045092</v>
      </c>
      <c r="AP11">
        <v>30.628658609191927</v>
      </c>
    </row>
    <row r="12" spans="1:42" x14ac:dyDescent="0.25">
      <c r="A12" t="s">
        <v>11</v>
      </c>
      <c r="B12">
        <v>31.124678041194354</v>
      </c>
      <c r="C12">
        <v>31.847046671279646</v>
      </c>
      <c r="D12">
        <v>31.643192762262213</v>
      </c>
      <c r="E12">
        <v>29.948847510219064</v>
      </c>
      <c r="F12">
        <v>30.457954282492981</v>
      </c>
      <c r="G12">
        <v>29.328173351329156</v>
      </c>
      <c r="H12">
        <v>28.204082438788486</v>
      </c>
      <c r="I12">
        <v>29.1722986150358</v>
      </c>
      <c r="J12">
        <v>29.5385246758037</v>
      </c>
      <c r="K12">
        <v>29.65430014243638</v>
      </c>
      <c r="L12">
        <v>29.793429118841061</v>
      </c>
      <c r="M12">
        <v>28.824102281018146</v>
      </c>
      <c r="N12">
        <v>32.896154867635339</v>
      </c>
      <c r="O12">
        <v>30.406913581500735</v>
      </c>
      <c r="P12">
        <v>29.329217738572108</v>
      </c>
      <c r="Q12">
        <v>30.157961865827996</v>
      </c>
      <c r="R12">
        <v>30.094486551560092</v>
      </c>
      <c r="S12">
        <v>29.700194939724593</v>
      </c>
      <c r="T12">
        <v>27.435112070853474</v>
      </c>
      <c r="U12">
        <v>30.915056134212872</v>
      </c>
      <c r="V12">
        <v>30.233166923852405</v>
      </c>
      <c r="W12">
        <v>30.736704662386405</v>
      </c>
      <c r="X12">
        <v>30.29837087588319</v>
      </c>
      <c r="Y12">
        <v>30.514622996970157</v>
      </c>
      <c r="Z12">
        <v>30.656075788610121</v>
      </c>
      <c r="AA12">
        <v>32.2890371013833</v>
      </c>
      <c r="AB12">
        <v>32.140030754011299</v>
      </c>
      <c r="AC12">
        <v>29.257740675292698</v>
      </c>
      <c r="AD12">
        <v>31.831821669599822</v>
      </c>
      <c r="AE12">
        <v>30.636044645206002</v>
      </c>
      <c r="AF12">
        <v>29.37532725419474</v>
      </c>
      <c r="AG12">
        <v>28.200563628199969</v>
      </c>
      <c r="AH12">
        <v>29.417152186994613</v>
      </c>
      <c r="AI12">
        <v>31.547871093418774</v>
      </c>
      <c r="AJ12">
        <v>29.244216331412176</v>
      </c>
      <c r="AK12">
        <v>30.871430002528083</v>
      </c>
      <c r="AL12">
        <v>31.497305664985788</v>
      </c>
      <c r="AM12">
        <v>32.443019868813543</v>
      </c>
      <c r="AO12">
        <v>32.416211960616899</v>
      </c>
      <c r="AP12">
        <v>31.112143016840474</v>
      </c>
    </row>
    <row r="13" spans="1:42" x14ac:dyDescent="0.25">
      <c r="A13" t="s">
        <v>12</v>
      </c>
      <c r="B13">
        <v>31.059447055078</v>
      </c>
      <c r="C13">
        <v>29.867880886262796</v>
      </c>
      <c r="D13">
        <v>30.511803480765106</v>
      </c>
      <c r="E13">
        <v>28.764732503913237</v>
      </c>
      <c r="F13">
        <v>29.926233609472359</v>
      </c>
      <c r="G13">
        <v>30.317487756738078</v>
      </c>
      <c r="H13">
        <v>28.497074114030955</v>
      </c>
      <c r="I13">
        <v>31.326982307119199</v>
      </c>
      <c r="J13">
        <v>29.758733386152802</v>
      </c>
      <c r="K13">
        <v>28.096545025561351</v>
      </c>
      <c r="L13">
        <v>31.289036526267978</v>
      </c>
      <c r="M13">
        <v>30.634740506899359</v>
      </c>
      <c r="N13">
        <v>31.612211258080208</v>
      </c>
      <c r="O13">
        <v>28.626894635090277</v>
      </c>
      <c r="P13">
        <v>29.335753322779158</v>
      </c>
      <c r="Q13">
        <v>31.571341239793572</v>
      </c>
      <c r="R13">
        <v>30.558110595359903</v>
      </c>
      <c r="S13">
        <v>30.340296550169253</v>
      </c>
      <c r="T13">
        <v>27.927085409869864</v>
      </c>
      <c r="U13">
        <v>30.435204871166761</v>
      </c>
      <c r="V13">
        <v>29.975720385468179</v>
      </c>
      <c r="W13">
        <v>29.904409010883938</v>
      </c>
      <c r="X13">
        <v>29.365066247506395</v>
      </c>
      <c r="Y13">
        <v>29.272652487475867</v>
      </c>
      <c r="Z13">
        <v>28.577547550038631</v>
      </c>
      <c r="AA13">
        <v>33.596018259888318</v>
      </c>
      <c r="AB13">
        <v>31.770496163659214</v>
      </c>
      <c r="AC13">
        <v>28.614824684697449</v>
      </c>
      <c r="AD13">
        <v>31.516873815502862</v>
      </c>
      <c r="AE13">
        <v>32.030551493926417</v>
      </c>
      <c r="AF13">
        <v>28.787924385310941</v>
      </c>
      <c r="AG13">
        <v>28.282242170668212</v>
      </c>
      <c r="AH13">
        <v>29.060097005525588</v>
      </c>
      <c r="AI13">
        <v>30.813851053337739</v>
      </c>
      <c r="AJ13">
        <v>29.836636639515671</v>
      </c>
      <c r="AK13">
        <v>32.656642130125185</v>
      </c>
      <c r="AL13">
        <v>31.604597810616998</v>
      </c>
      <c r="AM13">
        <v>32.860267462910258</v>
      </c>
      <c r="AO13">
        <v>32.936516606017953</v>
      </c>
      <c r="AP13">
        <v>33.103358103663659</v>
      </c>
    </row>
    <row r="14" spans="1:42" x14ac:dyDescent="0.25">
      <c r="A14" t="s">
        <v>13</v>
      </c>
      <c r="B14">
        <v>34.293894858554509</v>
      </c>
      <c r="C14">
        <v>32.859475741016915</v>
      </c>
      <c r="D14">
        <v>34.079029039648098</v>
      </c>
      <c r="E14">
        <v>31.033358968536785</v>
      </c>
      <c r="F14">
        <v>31.103975060966537</v>
      </c>
      <c r="G14">
        <v>31.831822894964443</v>
      </c>
      <c r="H14">
        <v>27.566046514664652</v>
      </c>
      <c r="I14">
        <v>29.813150492028743</v>
      </c>
      <c r="J14">
        <v>30.363009642204862</v>
      </c>
      <c r="K14">
        <v>28.946566856688147</v>
      </c>
      <c r="L14">
        <v>30.926882890881561</v>
      </c>
      <c r="M14">
        <v>29.417973808923932</v>
      </c>
      <c r="N14">
        <v>33.105134236407402</v>
      </c>
      <c r="O14">
        <v>30.07352997705058</v>
      </c>
      <c r="P14">
        <v>29.897948857765925</v>
      </c>
      <c r="Q14">
        <v>29.533555595527332</v>
      </c>
      <c r="R14">
        <v>28.527175599675569</v>
      </c>
      <c r="S14">
        <v>29.723214876783686</v>
      </c>
      <c r="T14">
        <v>28.97135482852228</v>
      </c>
      <c r="U14">
        <v>32.203240687073752</v>
      </c>
      <c r="V14">
        <v>31.445925155480698</v>
      </c>
      <c r="W14">
        <v>31.057219446696166</v>
      </c>
      <c r="X14">
        <v>29.211281036751675</v>
      </c>
      <c r="Y14">
        <v>30.629030723427537</v>
      </c>
      <c r="Z14">
        <v>29.967500340738059</v>
      </c>
      <c r="AA14">
        <v>30.340175531462339</v>
      </c>
      <c r="AB14">
        <v>32.092532615334491</v>
      </c>
      <c r="AC14">
        <v>29.574664583537938</v>
      </c>
      <c r="AD14">
        <v>31.603552185299993</v>
      </c>
      <c r="AE14">
        <v>29.004490545808732</v>
      </c>
      <c r="AF14">
        <v>29.456628902199768</v>
      </c>
      <c r="AG14">
        <v>28.649594836220157</v>
      </c>
      <c r="AH14">
        <v>29.03465014991362</v>
      </c>
      <c r="AI14">
        <v>29.589305371664452</v>
      </c>
      <c r="AJ14">
        <v>30.363683116716743</v>
      </c>
      <c r="AK14">
        <v>30.580749007359184</v>
      </c>
      <c r="AL14">
        <v>30.553300428697195</v>
      </c>
      <c r="AM14">
        <v>33.539163415596072</v>
      </c>
      <c r="AO14">
        <v>32.752235399028123</v>
      </c>
      <c r="AP14">
        <v>33.221200148827947</v>
      </c>
    </row>
    <row r="15" spans="1:42" x14ac:dyDescent="0.25">
      <c r="A15" t="s">
        <v>14</v>
      </c>
      <c r="B15">
        <v>34.713246885131817</v>
      </c>
      <c r="C15">
        <v>33.134288799511943</v>
      </c>
      <c r="D15">
        <v>34.509027265746262</v>
      </c>
      <c r="E15">
        <v>31.797188141111544</v>
      </c>
      <c r="F15">
        <v>30.441210846375558</v>
      </c>
      <c r="G15">
        <v>33.143601532524663</v>
      </c>
      <c r="H15">
        <v>29.882655633432677</v>
      </c>
      <c r="I15">
        <v>31.045010203482644</v>
      </c>
      <c r="J15">
        <v>31.551405910694744</v>
      </c>
      <c r="K15">
        <v>27.72894227115999</v>
      </c>
      <c r="L15">
        <v>29.39636242500573</v>
      </c>
      <c r="M15">
        <v>29.310577187725318</v>
      </c>
      <c r="N15">
        <v>33.51399347538441</v>
      </c>
      <c r="O15">
        <v>30.113946562905397</v>
      </c>
      <c r="P15">
        <v>29.027235381544418</v>
      </c>
      <c r="Q15">
        <v>31.230146950242105</v>
      </c>
      <c r="R15">
        <v>28.999550803545656</v>
      </c>
      <c r="S15">
        <v>30.453601772262271</v>
      </c>
      <c r="T15">
        <v>30.157710067338456</v>
      </c>
      <c r="U15">
        <v>31.722570659575791</v>
      </c>
      <c r="V15">
        <v>32.825273638256107</v>
      </c>
      <c r="W15">
        <v>34.949838283641789</v>
      </c>
      <c r="X15">
        <v>31.798960498748187</v>
      </c>
      <c r="Y15">
        <v>31.033245895269918</v>
      </c>
      <c r="Z15">
        <v>29.522533957115588</v>
      </c>
      <c r="AA15">
        <v>29.324410392665573</v>
      </c>
      <c r="AB15">
        <v>32.187712056352474</v>
      </c>
      <c r="AC15">
        <v>29.14206489269738</v>
      </c>
      <c r="AD15">
        <v>32.451120491567146</v>
      </c>
      <c r="AE15">
        <v>26.718824388361156</v>
      </c>
      <c r="AF15">
        <v>29.270051104649003</v>
      </c>
      <c r="AG15">
        <v>28.942857734581015</v>
      </c>
      <c r="AH15">
        <v>29.920160759848077</v>
      </c>
      <c r="AI15">
        <v>32.318094955074152</v>
      </c>
      <c r="AJ15">
        <v>30.428327815339845</v>
      </c>
      <c r="AK15">
        <v>30.587890440609911</v>
      </c>
      <c r="AL15">
        <v>29.14215933758236</v>
      </c>
      <c r="AM15">
        <v>30.187827754495785</v>
      </c>
      <c r="AO15">
        <v>30.709413130932859</v>
      </c>
      <c r="AP15">
        <v>30.068625814395961</v>
      </c>
    </row>
    <row r="16" spans="1:42" x14ac:dyDescent="0.25">
      <c r="A16" t="s">
        <v>15</v>
      </c>
      <c r="B16">
        <v>32.15443016672706</v>
      </c>
      <c r="C16">
        <v>30.321837951670499</v>
      </c>
      <c r="D16">
        <v>32.01377035349104</v>
      </c>
      <c r="E16">
        <v>32.019698537118252</v>
      </c>
      <c r="F16">
        <v>31.015116339087786</v>
      </c>
      <c r="G16">
        <v>29.838812967997725</v>
      </c>
      <c r="H16">
        <v>28.369029688994086</v>
      </c>
      <c r="I16">
        <v>29.587329060550758</v>
      </c>
      <c r="J16">
        <v>28.905226350306325</v>
      </c>
      <c r="K16">
        <v>28.310070211820644</v>
      </c>
      <c r="L16">
        <v>29.241305635734914</v>
      </c>
      <c r="M16">
        <v>28.202881813293477</v>
      </c>
      <c r="N16">
        <v>32.014792046455923</v>
      </c>
      <c r="O16">
        <v>30.414188865121584</v>
      </c>
      <c r="P16">
        <v>30.181150271380648</v>
      </c>
      <c r="Q16">
        <v>29.71193172400092</v>
      </c>
      <c r="R16">
        <v>27.578311054243429</v>
      </c>
      <c r="S16">
        <v>29.480993629529525</v>
      </c>
      <c r="T16">
        <v>30.302641969056239</v>
      </c>
      <c r="U16">
        <v>32.015155311670114</v>
      </c>
      <c r="V16">
        <v>30.68362274536814</v>
      </c>
      <c r="W16">
        <v>33.929894408568735</v>
      </c>
      <c r="X16">
        <v>29.957011034558153</v>
      </c>
      <c r="Y16">
        <v>30.515334517358657</v>
      </c>
      <c r="Z16">
        <v>28.667050867120835</v>
      </c>
      <c r="AA16">
        <v>28.91021475077476</v>
      </c>
      <c r="AB16">
        <v>32.836710817090534</v>
      </c>
      <c r="AC16">
        <v>28.401535497774955</v>
      </c>
      <c r="AD16">
        <v>30.451964014709606</v>
      </c>
      <c r="AE16">
        <v>29.753073669925566</v>
      </c>
      <c r="AF16">
        <v>28.789682052013248</v>
      </c>
      <c r="AG16">
        <v>28.869750710896838</v>
      </c>
      <c r="AH16">
        <v>30.229495892816161</v>
      </c>
      <c r="AI16">
        <v>31.272906572662833</v>
      </c>
      <c r="AJ16">
        <v>30.937336570919911</v>
      </c>
      <c r="AK16">
        <v>30.313285202426382</v>
      </c>
      <c r="AL16">
        <v>30.656924582885452</v>
      </c>
      <c r="AM16">
        <v>31.629515727858522</v>
      </c>
      <c r="AO16">
        <v>32.150562180436978</v>
      </c>
      <c r="AP16">
        <v>31.96467045461711</v>
      </c>
    </row>
    <row r="17" spans="1:42" x14ac:dyDescent="0.25">
      <c r="A17" t="s">
        <v>16</v>
      </c>
      <c r="B17">
        <v>35.347583558304471</v>
      </c>
      <c r="C17">
        <v>33.891073215764841</v>
      </c>
      <c r="D17">
        <v>34.075970042685874</v>
      </c>
      <c r="E17">
        <v>32.194309243337813</v>
      </c>
      <c r="F17">
        <v>30.941903644058772</v>
      </c>
      <c r="G17">
        <v>30.534329073565335</v>
      </c>
      <c r="H17">
        <v>27.941600849293767</v>
      </c>
      <c r="I17">
        <v>30.227892102534501</v>
      </c>
      <c r="J17">
        <v>31.125981304167997</v>
      </c>
      <c r="K17">
        <v>29.522766990301658</v>
      </c>
      <c r="L17">
        <v>30.580033611663282</v>
      </c>
      <c r="M17">
        <v>28.374155254676111</v>
      </c>
      <c r="N17">
        <v>33.583537802029362</v>
      </c>
      <c r="O17">
        <v>31.067076331349313</v>
      </c>
      <c r="P17">
        <v>29.272137158579046</v>
      </c>
      <c r="Q17">
        <v>29.614050618933504</v>
      </c>
      <c r="R17">
        <v>28.445905653073989</v>
      </c>
      <c r="S17">
        <v>28.543222625644677</v>
      </c>
      <c r="T17">
        <v>28.082600108301605</v>
      </c>
      <c r="U17">
        <v>30.171925651489147</v>
      </c>
      <c r="V17">
        <v>31.124115708726251</v>
      </c>
      <c r="W17">
        <v>32.299279588363007</v>
      </c>
      <c r="X17">
        <v>29.941453067162442</v>
      </c>
      <c r="Y17">
        <v>30.701264197327813</v>
      </c>
      <c r="Z17">
        <v>29.20272169877839</v>
      </c>
      <c r="AA17">
        <v>28.517753377914293</v>
      </c>
      <c r="AB17">
        <v>30.995996134916471</v>
      </c>
      <c r="AC17">
        <v>28.352727034422276</v>
      </c>
      <c r="AD17">
        <v>30.719301014028606</v>
      </c>
      <c r="AE17">
        <v>31.427839173777802</v>
      </c>
      <c r="AF17">
        <v>30.042013448397356</v>
      </c>
      <c r="AG17">
        <v>29.179054142461467</v>
      </c>
      <c r="AH17">
        <v>29.653538803295746</v>
      </c>
      <c r="AI17">
        <v>30.132417038716415</v>
      </c>
      <c r="AJ17">
        <v>31.710977139391385</v>
      </c>
      <c r="AK17">
        <v>31.186177081069875</v>
      </c>
      <c r="AL17">
        <v>30.971928795032994</v>
      </c>
      <c r="AM17">
        <v>31.025711470480015</v>
      </c>
      <c r="AO17">
        <v>32.311157720895316</v>
      </c>
      <c r="AP17">
        <v>30.847567561999636</v>
      </c>
    </row>
    <row r="18" spans="1:42" x14ac:dyDescent="0.25">
      <c r="A18" t="s">
        <v>17</v>
      </c>
      <c r="B18">
        <v>35.876389651867477</v>
      </c>
      <c r="C18">
        <v>31.707114596890758</v>
      </c>
      <c r="D18">
        <v>30.549465566898089</v>
      </c>
      <c r="E18">
        <v>30.533974922810899</v>
      </c>
      <c r="F18">
        <v>31.345245266117246</v>
      </c>
      <c r="G18">
        <v>32.050504842851332</v>
      </c>
      <c r="H18">
        <v>29.217050809325471</v>
      </c>
      <c r="I18">
        <v>29.278480015768896</v>
      </c>
      <c r="J18">
        <v>28.979583818237629</v>
      </c>
      <c r="K18">
        <v>28.894951057941213</v>
      </c>
      <c r="L18">
        <v>29.680578283530803</v>
      </c>
      <c r="M18">
        <v>29.62193768813593</v>
      </c>
      <c r="N18">
        <v>31.933028966911817</v>
      </c>
      <c r="O18">
        <v>30.575876342809796</v>
      </c>
      <c r="P18">
        <v>28.807121775405662</v>
      </c>
      <c r="Q18">
        <v>33.214747387820161</v>
      </c>
      <c r="R18">
        <v>29.593933076284781</v>
      </c>
      <c r="S18">
        <v>31.067830319337489</v>
      </c>
      <c r="T18">
        <v>29.26250782236475</v>
      </c>
      <c r="U18">
        <v>31.383067111541564</v>
      </c>
      <c r="V18">
        <v>28.737821745127928</v>
      </c>
      <c r="W18">
        <v>29.164411495063813</v>
      </c>
      <c r="X18">
        <v>28.534913774644295</v>
      </c>
      <c r="Y18">
        <v>29.957429238971908</v>
      </c>
      <c r="Z18">
        <v>31.413203825204263</v>
      </c>
      <c r="AA18">
        <v>30.428755985466378</v>
      </c>
      <c r="AB18">
        <v>30.671652525545785</v>
      </c>
      <c r="AC18">
        <v>27.951993544921425</v>
      </c>
      <c r="AD18">
        <v>29.283128707924789</v>
      </c>
      <c r="AE18">
        <v>29.866093579387552</v>
      </c>
      <c r="AF18">
        <v>30.680794167031664</v>
      </c>
      <c r="AG18">
        <v>28.478247424896143</v>
      </c>
      <c r="AH18">
        <v>29.733239341956079</v>
      </c>
      <c r="AI18">
        <v>29.744453742767462</v>
      </c>
      <c r="AJ18">
        <v>31.107954849964603</v>
      </c>
      <c r="AK18">
        <v>30.64431233588688</v>
      </c>
      <c r="AL18">
        <v>32.387310452512494</v>
      </c>
      <c r="AM18">
        <v>32.911715760223991</v>
      </c>
      <c r="AO18">
        <v>34.437114469416706</v>
      </c>
      <c r="AP18">
        <v>32.59939534326967</v>
      </c>
    </row>
    <row r="19" spans="1:42" x14ac:dyDescent="0.25">
      <c r="A19" t="s">
        <v>18</v>
      </c>
      <c r="B19">
        <v>34.534287991543145</v>
      </c>
      <c r="C19">
        <v>32.151267311158058</v>
      </c>
      <c r="D19">
        <v>32.916187247774644</v>
      </c>
      <c r="E19">
        <v>30.46887583740504</v>
      </c>
      <c r="F19">
        <v>31.892694553403839</v>
      </c>
      <c r="G19">
        <v>29.554762661246226</v>
      </c>
      <c r="H19">
        <v>27.024711698924325</v>
      </c>
      <c r="I19">
        <v>29.203798489046779</v>
      </c>
      <c r="J19">
        <v>29.405695288505758</v>
      </c>
      <c r="K19">
        <v>29.214485048403713</v>
      </c>
      <c r="L19">
        <v>29.851076801718033</v>
      </c>
      <c r="M19">
        <v>29.605467424796529</v>
      </c>
      <c r="N19">
        <v>32.67174238742173</v>
      </c>
      <c r="O19">
        <v>30.180102361759538</v>
      </c>
      <c r="P19">
        <v>30.2536021327269</v>
      </c>
      <c r="Q19">
        <v>30.804845626950982</v>
      </c>
      <c r="R19">
        <v>27.97975606413279</v>
      </c>
      <c r="S19">
        <v>28.455174050742944</v>
      </c>
      <c r="T19">
        <v>29.159193637454653</v>
      </c>
      <c r="U19">
        <v>30.8503903013208</v>
      </c>
      <c r="V19">
        <v>29.901671314096507</v>
      </c>
      <c r="W19">
        <v>29.42495577657002</v>
      </c>
      <c r="X19">
        <v>30.320904724756065</v>
      </c>
      <c r="Y19">
        <v>30.272680017590702</v>
      </c>
      <c r="Z19">
        <v>32.499559060018676</v>
      </c>
      <c r="AA19">
        <v>30.421744880207601</v>
      </c>
      <c r="AB19">
        <v>30.592545319135017</v>
      </c>
      <c r="AC19">
        <v>27.532806693176578</v>
      </c>
      <c r="AD19">
        <v>29.380523724805993</v>
      </c>
      <c r="AE19">
        <v>30.093676199946</v>
      </c>
      <c r="AF19">
        <v>31.318585097402764</v>
      </c>
      <c r="AG19">
        <v>28.535394930074261</v>
      </c>
      <c r="AH19">
        <v>27.492836939653852</v>
      </c>
      <c r="AI19">
        <v>32.062908210750713</v>
      </c>
      <c r="AJ19">
        <v>32.274093587796685</v>
      </c>
      <c r="AK19">
        <v>32.191607562342476</v>
      </c>
      <c r="AL19">
        <v>32.123129504025677</v>
      </c>
      <c r="AM19">
        <v>32.544865222030531</v>
      </c>
      <c r="AO19">
        <v>34.425057745912945</v>
      </c>
      <c r="AP19">
        <v>31.626940612457474</v>
      </c>
    </row>
    <row r="20" spans="1:42" x14ac:dyDescent="0.25">
      <c r="A20" t="s">
        <v>19</v>
      </c>
      <c r="B20">
        <v>35.865548148829241</v>
      </c>
      <c r="C20">
        <v>32.875500235048399</v>
      </c>
      <c r="D20">
        <v>32.243020631638132</v>
      </c>
      <c r="E20">
        <v>30.868823459634907</v>
      </c>
      <c r="F20">
        <v>31.512295376084921</v>
      </c>
      <c r="G20">
        <v>33.687149597527458</v>
      </c>
      <c r="H20">
        <v>29.660095924131713</v>
      </c>
      <c r="I20">
        <v>31.416430838869349</v>
      </c>
      <c r="J20">
        <v>31.036101092622584</v>
      </c>
      <c r="K20">
        <v>27.933934684794973</v>
      </c>
      <c r="L20">
        <v>28.231103904772784</v>
      </c>
      <c r="M20">
        <v>29.725998617216145</v>
      </c>
      <c r="N20">
        <v>32.100163613955353</v>
      </c>
      <c r="O20">
        <v>29.740949474821111</v>
      </c>
      <c r="P20">
        <v>29.523320908593139</v>
      </c>
      <c r="Q20">
        <v>30.966071673100107</v>
      </c>
      <c r="R20">
        <v>28.118585634157313</v>
      </c>
      <c r="S20">
        <v>30.112685750585516</v>
      </c>
      <c r="T20">
        <v>31.467507555653697</v>
      </c>
      <c r="U20">
        <v>30.713114100065241</v>
      </c>
      <c r="V20">
        <v>31.678842229293313</v>
      </c>
      <c r="W20">
        <v>34.352652574827665</v>
      </c>
      <c r="X20">
        <v>31.050812576804777</v>
      </c>
      <c r="Y20">
        <v>30.08617618998132</v>
      </c>
      <c r="Z20">
        <v>31.210870807080777</v>
      </c>
      <c r="AA20">
        <v>28.51832400317636</v>
      </c>
      <c r="AB20">
        <v>32.028433885326336</v>
      </c>
      <c r="AC20">
        <v>29.055492194245065</v>
      </c>
      <c r="AD20">
        <v>29.315773354838058</v>
      </c>
      <c r="AE20">
        <v>31.101723808192165</v>
      </c>
      <c r="AF20">
        <v>31.576959593961835</v>
      </c>
      <c r="AG20">
        <v>28.771947098148956</v>
      </c>
      <c r="AH20">
        <v>29.304392933516539</v>
      </c>
      <c r="AI20">
        <v>30.48995478599349</v>
      </c>
      <c r="AJ20">
        <v>32.258327800089468</v>
      </c>
      <c r="AK20">
        <v>32.918304578226945</v>
      </c>
      <c r="AL20">
        <v>30.254498779148829</v>
      </c>
      <c r="AM20">
        <v>31.140763792140856</v>
      </c>
      <c r="AO20">
        <v>31.08145213215737</v>
      </c>
      <c r="AP20">
        <v>30.973528311883769</v>
      </c>
    </row>
    <row r="21" spans="1:42" x14ac:dyDescent="0.25">
      <c r="A21" t="s">
        <v>20</v>
      </c>
      <c r="B21">
        <v>37.504821039508649</v>
      </c>
      <c r="C21">
        <v>32.277273851958277</v>
      </c>
      <c r="D21">
        <v>34.07840872415067</v>
      </c>
      <c r="E21">
        <v>33.376655638865749</v>
      </c>
      <c r="F21">
        <v>32.116131334866878</v>
      </c>
      <c r="G21">
        <v>29.860779713986698</v>
      </c>
      <c r="H21">
        <v>28.097481875054243</v>
      </c>
      <c r="I21">
        <v>30.080561461289133</v>
      </c>
      <c r="J21">
        <v>29.839696885854377</v>
      </c>
      <c r="K21">
        <v>29.149621962334624</v>
      </c>
      <c r="L21">
        <v>29.39670409568734</v>
      </c>
      <c r="M21">
        <v>29.384917043765828</v>
      </c>
      <c r="N21">
        <v>33.633584192835052</v>
      </c>
      <c r="O21">
        <v>30.864042359971801</v>
      </c>
      <c r="P21">
        <v>28.864522891811372</v>
      </c>
      <c r="Q21">
        <v>29.87371430589948</v>
      </c>
      <c r="R21">
        <v>28.843419688935754</v>
      </c>
      <c r="S21">
        <v>29.236496925983403</v>
      </c>
      <c r="T21">
        <v>28.556919664916521</v>
      </c>
      <c r="U21">
        <v>30.358207569274384</v>
      </c>
      <c r="V21">
        <v>30.233343042760453</v>
      </c>
      <c r="W21">
        <v>30.210679674852006</v>
      </c>
      <c r="X21">
        <v>30.676646059171066</v>
      </c>
      <c r="Y21">
        <v>29.972811087459576</v>
      </c>
      <c r="Z21">
        <v>31.11807601607774</v>
      </c>
      <c r="AA21">
        <v>29.738859645783986</v>
      </c>
      <c r="AB21">
        <v>30.212346917371278</v>
      </c>
      <c r="AC21">
        <v>28.155855275166758</v>
      </c>
      <c r="AD21">
        <v>30.127236466119381</v>
      </c>
      <c r="AE21">
        <v>29.939795884980928</v>
      </c>
      <c r="AF21">
        <v>30.374410786962446</v>
      </c>
      <c r="AG21">
        <v>27.816148939777587</v>
      </c>
      <c r="AH21">
        <v>29.239195221522177</v>
      </c>
      <c r="AI21">
        <v>30.432824892706176</v>
      </c>
      <c r="AJ21">
        <v>33.26819805056337</v>
      </c>
      <c r="AK21">
        <v>31.587658887459373</v>
      </c>
      <c r="AL21">
        <v>31.606658778782244</v>
      </c>
      <c r="AM21">
        <v>33.217542604543787</v>
      </c>
      <c r="AO21">
        <v>32.491286044033409</v>
      </c>
      <c r="AP21">
        <v>32.275534299707033</v>
      </c>
    </row>
    <row r="22" spans="1:42" x14ac:dyDescent="0.25">
      <c r="A22" t="s">
        <v>21</v>
      </c>
      <c r="B22">
        <v>35.448888791885402</v>
      </c>
      <c r="C22">
        <v>30.991185114103146</v>
      </c>
      <c r="D22">
        <v>28.472462518070277</v>
      </c>
      <c r="E22">
        <v>29.73560763659081</v>
      </c>
      <c r="F22">
        <v>30.68060205124797</v>
      </c>
      <c r="G22">
        <v>31.664464765378238</v>
      </c>
      <c r="H22">
        <v>29.406872717162447</v>
      </c>
      <c r="I22">
        <v>30.769580728809458</v>
      </c>
      <c r="J22">
        <v>31.537665490430072</v>
      </c>
      <c r="K22">
        <v>29.784223567751553</v>
      </c>
      <c r="L22">
        <v>27.84604814352512</v>
      </c>
      <c r="M22">
        <v>30.96452424086905</v>
      </c>
      <c r="N22">
        <v>30.434566860456016</v>
      </c>
      <c r="O22">
        <v>29.554826064053117</v>
      </c>
      <c r="P22">
        <v>27.933445979150818</v>
      </c>
      <c r="Q22">
        <v>30.812846520472974</v>
      </c>
      <c r="R22">
        <v>29.795790573356538</v>
      </c>
      <c r="S22">
        <v>30.227357655404976</v>
      </c>
      <c r="T22">
        <v>28.180558705688558</v>
      </c>
      <c r="U22">
        <v>31.198039160381615</v>
      </c>
      <c r="V22">
        <v>30.500845593853025</v>
      </c>
      <c r="W22">
        <v>29.098495217924608</v>
      </c>
      <c r="X22">
        <v>29.454685803067907</v>
      </c>
      <c r="Y22">
        <v>30.51623624616786</v>
      </c>
      <c r="Z22">
        <v>31.149410338315153</v>
      </c>
      <c r="AA22">
        <v>31.716753852284729</v>
      </c>
      <c r="AB22">
        <v>28.977877123700129</v>
      </c>
      <c r="AC22">
        <v>28.443163781717121</v>
      </c>
      <c r="AD22">
        <v>31.364631406382625</v>
      </c>
      <c r="AE22">
        <v>31.435019353188306</v>
      </c>
      <c r="AF22">
        <v>32.550770440366001</v>
      </c>
      <c r="AG22">
        <v>27.308191425608005</v>
      </c>
      <c r="AH22">
        <v>28.163996554120846</v>
      </c>
      <c r="AI22">
        <v>30.052774430825192</v>
      </c>
      <c r="AJ22">
        <v>30.745744856527612</v>
      </c>
      <c r="AK22">
        <v>31.844677268426491</v>
      </c>
      <c r="AL22">
        <v>30.890035387496926</v>
      </c>
      <c r="AM22">
        <v>35.274150329937598</v>
      </c>
      <c r="AO22">
        <v>33.207469138048594</v>
      </c>
      <c r="AP22">
        <v>31.917695577567759</v>
      </c>
    </row>
    <row r="23" spans="1:42" x14ac:dyDescent="0.25">
      <c r="A23" t="s">
        <v>22</v>
      </c>
      <c r="B23">
        <v>33.059383550227643</v>
      </c>
      <c r="C23">
        <v>31.030111733995884</v>
      </c>
      <c r="D23">
        <v>30.47030552481489</v>
      </c>
      <c r="E23">
        <v>30.971058224109228</v>
      </c>
      <c r="F23">
        <v>32.075725316146553</v>
      </c>
      <c r="G23">
        <v>29.595816797548157</v>
      </c>
      <c r="H23">
        <v>30.244092653333894</v>
      </c>
      <c r="I23">
        <v>29.155292950215941</v>
      </c>
      <c r="J23">
        <v>28.334286700005595</v>
      </c>
      <c r="K23">
        <v>28.848382827098888</v>
      </c>
      <c r="L23">
        <v>28.394411676415029</v>
      </c>
      <c r="M23">
        <v>29.610541222066797</v>
      </c>
      <c r="N23">
        <v>32.728611624725126</v>
      </c>
      <c r="O23">
        <v>31.341639300994913</v>
      </c>
      <c r="P23">
        <v>29.7913201150064</v>
      </c>
      <c r="Q23">
        <v>29.102241572715503</v>
      </c>
      <c r="R23">
        <v>28.813314676676509</v>
      </c>
      <c r="S23">
        <v>31.099037835961116</v>
      </c>
      <c r="T23">
        <v>30.50584853696364</v>
      </c>
      <c r="U23">
        <v>29.739614795657783</v>
      </c>
      <c r="V23">
        <v>29.510005998700407</v>
      </c>
      <c r="W23">
        <v>29.904056773067847</v>
      </c>
      <c r="X23">
        <v>28.844801920983631</v>
      </c>
      <c r="Y23">
        <v>30.085651355635346</v>
      </c>
      <c r="Z23">
        <v>30.972351579273749</v>
      </c>
      <c r="AA23">
        <v>30.153696360500089</v>
      </c>
      <c r="AB23">
        <v>28.782361480036567</v>
      </c>
      <c r="AC23">
        <v>29.304460368395937</v>
      </c>
      <c r="AD23">
        <v>32.907555361540503</v>
      </c>
      <c r="AE23">
        <v>32.608908895692956</v>
      </c>
      <c r="AF23">
        <v>30.050229206987169</v>
      </c>
      <c r="AG23">
        <v>27.799851272968073</v>
      </c>
      <c r="AH23">
        <v>28.368094283702959</v>
      </c>
      <c r="AI23">
        <v>31.925452368208948</v>
      </c>
      <c r="AJ23">
        <v>31.082754560823901</v>
      </c>
      <c r="AK23">
        <v>33.213858595110928</v>
      </c>
      <c r="AL23">
        <v>30.57749684006205</v>
      </c>
      <c r="AM23">
        <v>32.706520998315298</v>
      </c>
      <c r="AO23">
        <v>32.710462697581356</v>
      </c>
      <c r="AP23">
        <v>31.925213905281709</v>
      </c>
    </row>
    <row r="24" spans="1:42" x14ac:dyDescent="0.25">
      <c r="A24" t="s">
        <v>23</v>
      </c>
      <c r="B24">
        <v>34.648628792815479</v>
      </c>
      <c r="C24">
        <v>31.652728636190805</v>
      </c>
      <c r="D24">
        <v>31.316376820363654</v>
      </c>
      <c r="E24">
        <v>30.825832392285559</v>
      </c>
      <c r="F24">
        <v>32.894356090044255</v>
      </c>
      <c r="G24">
        <v>33.092938725540805</v>
      </c>
      <c r="H24">
        <v>29.806232479180533</v>
      </c>
      <c r="I24">
        <v>29.952240718037178</v>
      </c>
      <c r="J24">
        <v>29.669134964860259</v>
      </c>
      <c r="K24">
        <v>29.172867331596013</v>
      </c>
      <c r="L24">
        <v>29.631459850899969</v>
      </c>
      <c r="M24">
        <v>29.132000283696559</v>
      </c>
      <c r="N24">
        <v>32.526792873813143</v>
      </c>
      <c r="O24">
        <v>33.383166971599586</v>
      </c>
      <c r="P24">
        <v>30.74753548671929</v>
      </c>
      <c r="Q24">
        <v>31.571689955231506</v>
      </c>
      <c r="R24">
        <v>31.37250589798963</v>
      </c>
      <c r="S24">
        <v>29.422183561859445</v>
      </c>
      <c r="T24">
        <v>30.868696080847759</v>
      </c>
      <c r="U24">
        <v>30.072308013988401</v>
      </c>
      <c r="V24">
        <v>29.966333624610414</v>
      </c>
      <c r="W24">
        <v>29.457515886407432</v>
      </c>
      <c r="X24">
        <v>29.917644117395298</v>
      </c>
      <c r="Y24">
        <v>30.670081337351316</v>
      </c>
      <c r="Z24">
        <v>30.322952840143866</v>
      </c>
      <c r="AA24">
        <v>29.754896656609578</v>
      </c>
      <c r="AB24">
        <v>29.725569086142247</v>
      </c>
      <c r="AC24">
        <v>29.663562051576459</v>
      </c>
      <c r="AD24">
        <v>30.257219771863287</v>
      </c>
      <c r="AE24">
        <v>31.669084722281386</v>
      </c>
      <c r="AF24">
        <v>29.570677346084736</v>
      </c>
      <c r="AG24">
        <v>27.636124338324681</v>
      </c>
      <c r="AH24">
        <v>28.082018609508918</v>
      </c>
      <c r="AI24">
        <v>33.190135990921227</v>
      </c>
      <c r="AJ24">
        <v>31.058727223610784</v>
      </c>
      <c r="AK24">
        <v>33.056450806888243</v>
      </c>
      <c r="AL24">
        <v>32.482796340430482</v>
      </c>
      <c r="AM24">
        <v>35.01660396918745</v>
      </c>
      <c r="AO24">
        <v>34.479159966700394</v>
      </c>
      <c r="AP24">
        <v>32.496524978007848</v>
      </c>
    </row>
    <row r="25" spans="1:42" x14ac:dyDescent="0.25">
      <c r="A25" t="s">
        <v>24</v>
      </c>
      <c r="B25">
        <v>33.318721228743179</v>
      </c>
      <c r="C25">
        <v>33.109239972632146</v>
      </c>
      <c r="D25">
        <v>31.267497909447766</v>
      </c>
      <c r="E25">
        <v>33.564138687603865</v>
      </c>
      <c r="F25">
        <v>34.123390477271975</v>
      </c>
      <c r="G25">
        <v>30.527779399845638</v>
      </c>
      <c r="H25">
        <v>28.644415322410811</v>
      </c>
      <c r="I25">
        <v>30.081949278284537</v>
      </c>
      <c r="J25">
        <v>30.241537974816293</v>
      </c>
      <c r="K25">
        <v>28.814970301746531</v>
      </c>
      <c r="L25">
        <v>31.000835285324371</v>
      </c>
      <c r="M25">
        <v>30.923751894819976</v>
      </c>
      <c r="N25">
        <v>35.456775043658503</v>
      </c>
      <c r="O25">
        <v>33.762002148060937</v>
      </c>
      <c r="P25">
        <v>33.178435339583181</v>
      </c>
      <c r="Q25">
        <v>30.012529786411367</v>
      </c>
      <c r="R25">
        <v>28.54407911552876</v>
      </c>
      <c r="S25">
        <v>30.736169157808025</v>
      </c>
      <c r="T25">
        <v>28.881492228867668</v>
      </c>
      <c r="U25">
        <v>31.325341936345058</v>
      </c>
      <c r="V25">
        <v>29.722196203636702</v>
      </c>
      <c r="W25">
        <v>30.640986297509802</v>
      </c>
      <c r="X25">
        <v>30.687116139783868</v>
      </c>
      <c r="Y25">
        <v>31.565841690792976</v>
      </c>
      <c r="Z25">
        <v>33.021480476995599</v>
      </c>
      <c r="AA25">
        <v>29.698288075290083</v>
      </c>
      <c r="AB25">
        <v>30.236800462341865</v>
      </c>
      <c r="AC25">
        <v>28.981303800465483</v>
      </c>
      <c r="AD25">
        <v>30.160131201882081</v>
      </c>
      <c r="AE25">
        <v>33.729643360194345</v>
      </c>
      <c r="AF25">
        <v>30.235553037912627</v>
      </c>
      <c r="AG25">
        <v>27.938916842329387</v>
      </c>
      <c r="AH25">
        <v>28.5229502974186</v>
      </c>
      <c r="AI25">
        <v>35.064835019487148</v>
      </c>
      <c r="AJ25">
        <v>30.445587091387292</v>
      </c>
      <c r="AK25">
        <v>33.240901088029801</v>
      </c>
      <c r="AL25">
        <v>30.269877105258345</v>
      </c>
      <c r="AM25">
        <v>32.561289694453841</v>
      </c>
      <c r="AO25">
        <v>31.618515875907026</v>
      </c>
      <c r="AP25">
        <v>31.883384845784359</v>
      </c>
    </row>
    <row r="26" spans="1:42" x14ac:dyDescent="0.25">
      <c r="A26" t="s">
        <v>25</v>
      </c>
      <c r="B26">
        <v>36.865435602653974</v>
      </c>
      <c r="C26">
        <v>35.852280409152861</v>
      </c>
      <c r="D26">
        <v>34.836213057351721</v>
      </c>
      <c r="E26">
        <v>31.551502823406661</v>
      </c>
      <c r="F26">
        <v>32.593772117146443</v>
      </c>
      <c r="G26">
        <v>35.357796687427367</v>
      </c>
      <c r="H26">
        <v>31.712810602821389</v>
      </c>
      <c r="I26">
        <v>34.351476615791604</v>
      </c>
      <c r="J26">
        <v>32.179152968210509</v>
      </c>
      <c r="K26">
        <v>31.068327633983557</v>
      </c>
      <c r="L26">
        <v>30.110493922212736</v>
      </c>
      <c r="M26">
        <v>27.882992062636735</v>
      </c>
      <c r="N26">
        <v>32.059644879133863</v>
      </c>
      <c r="O26">
        <v>30.995695272963985</v>
      </c>
      <c r="P26">
        <v>28.390967691257373</v>
      </c>
      <c r="Q26">
        <v>30.902138494865515</v>
      </c>
      <c r="R26">
        <v>28.731914402082964</v>
      </c>
      <c r="S26">
        <v>29.74042836191504</v>
      </c>
      <c r="T26">
        <v>29.352373944397524</v>
      </c>
      <c r="U26">
        <v>30.877596396353606</v>
      </c>
      <c r="V26">
        <v>31.364771447358425</v>
      </c>
      <c r="W26">
        <v>33.987994528568834</v>
      </c>
      <c r="X26">
        <v>32.885852707761593</v>
      </c>
      <c r="Y26">
        <v>34.252063711068949</v>
      </c>
      <c r="Z26">
        <v>35.690650664594514</v>
      </c>
      <c r="AA26">
        <v>31.48602417531005</v>
      </c>
      <c r="AB26">
        <v>31.141917824897476</v>
      </c>
      <c r="AC26">
        <v>30.570401857052776</v>
      </c>
      <c r="AD26">
        <v>34.582910298323036</v>
      </c>
      <c r="AE26">
        <v>33.919428094590081</v>
      </c>
      <c r="AF26">
        <v>37.582084413009696</v>
      </c>
      <c r="AG26">
        <v>30.46868482002796</v>
      </c>
      <c r="AH26">
        <v>28.588391053506076</v>
      </c>
      <c r="AI26">
        <v>28.662180567300467</v>
      </c>
      <c r="AJ26">
        <v>30.678560523250486</v>
      </c>
      <c r="AK26">
        <v>32.337698326475213</v>
      </c>
      <c r="AL26">
        <v>31.279573186483827</v>
      </c>
      <c r="AM26">
        <v>30.83407396517163</v>
      </c>
      <c r="AO26">
        <v>32.759591697346671</v>
      </c>
      <c r="AP26">
        <v>30.377985604011162</v>
      </c>
    </row>
    <row r="27" spans="1:42" x14ac:dyDescent="0.25">
      <c r="A27" t="s">
        <v>26</v>
      </c>
      <c r="B27">
        <v>34.514124703172577</v>
      </c>
      <c r="C27">
        <v>32.909226252057081</v>
      </c>
      <c r="D27">
        <v>32.422044500752229</v>
      </c>
      <c r="E27">
        <v>32.480435803544637</v>
      </c>
      <c r="F27">
        <v>32.169178791865676</v>
      </c>
      <c r="G27">
        <v>33.010707169701298</v>
      </c>
      <c r="H27">
        <v>30.025525371207788</v>
      </c>
      <c r="I27">
        <v>33.541246713807716</v>
      </c>
      <c r="J27">
        <v>30.972467316531663</v>
      </c>
      <c r="K27">
        <v>29.864475547064625</v>
      </c>
      <c r="L27">
        <v>30.377767518724852</v>
      </c>
      <c r="M27">
        <v>29.166096150412141</v>
      </c>
      <c r="N27">
        <v>32.60714700209288</v>
      </c>
      <c r="O27">
        <v>29.474500114798662</v>
      </c>
      <c r="P27">
        <v>29.156929852279131</v>
      </c>
      <c r="Q27">
        <v>31.981581251009668</v>
      </c>
      <c r="R27">
        <v>30.742617234552032</v>
      </c>
      <c r="S27">
        <v>31.373086538395217</v>
      </c>
      <c r="T27">
        <v>32.118521116699817</v>
      </c>
      <c r="U27">
        <v>30.089775110347336</v>
      </c>
      <c r="V27">
        <v>29.859729538498016</v>
      </c>
      <c r="W27">
        <v>29.425304492007943</v>
      </c>
      <c r="X27">
        <v>30.282626222444943</v>
      </c>
      <c r="Y27">
        <v>30.44293196930667</v>
      </c>
      <c r="Z27">
        <v>31.648343519636427</v>
      </c>
      <c r="AA27">
        <v>32.010027317780079</v>
      </c>
      <c r="AB27">
        <v>33.100349319340573</v>
      </c>
      <c r="AC27">
        <v>31.999423735489923</v>
      </c>
      <c r="AD27">
        <v>31.363021679563072</v>
      </c>
      <c r="AE27">
        <v>31.621829627697679</v>
      </c>
      <c r="AF27">
        <v>33.34379937401264</v>
      </c>
      <c r="AG27">
        <v>29.471513938601635</v>
      </c>
      <c r="AH27">
        <v>28.946798828188893</v>
      </c>
      <c r="AI27">
        <v>29.622112047973133</v>
      </c>
      <c r="AJ27">
        <v>29.569401789163333</v>
      </c>
      <c r="AK27">
        <v>32.864320168637335</v>
      </c>
      <c r="AL27">
        <v>30.447013356619284</v>
      </c>
      <c r="AM27">
        <v>32.009101235822264</v>
      </c>
      <c r="AO27">
        <v>33.406160017153688</v>
      </c>
      <c r="AP27">
        <v>31.354462890683141</v>
      </c>
    </row>
    <row r="28" spans="1:42" x14ac:dyDescent="0.25">
      <c r="A28" t="s">
        <v>27</v>
      </c>
      <c r="B28">
        <v>33.433084737003</v>
      </c>
      <c r="C28">
        <v>33.761489511471645</v>
      </c>
      <c r="D28">
        <v>35.643427868583956</v>
      </c>
      <c r="E28">
        <v>31.743821720418634</v>
      </c>
      <c r="F28">
        <v>31.496557767403001</v>
      </c>
      <c r="G28">
        <v>29.490688587885188</v>
      </c>
      <c r="H28">
        <v>28.120001634414482</v>
      </c>
      <c r="I28">
        <v>28.762306743009503</v>
      </c>
      <c r="J28">
        <v>31.077257377891183</v>
      </c>
      <c r="K28">
        <v>29.083983953070135</v>
      </c>
      <c r="L28">
        <v>29.907896725727184</v>
      </c>
      <c r="M28">
        <v>29.083431342058827</v>
      </c>
      <c r="N28">
        <v>33.845770875393185</v>
      </c>
      <c r="O28">
        <v>30.735344722256631</v>
      </c>
      <c r="P28">
        <v>29.677571073265103</v>
      </c>
      <c r="Q28">
        <v>29.801783756521058</v>
      </c>
      <c r="R28">
        <v>27.832809362106957</v>
      </c>
      <c r="S28">
        <v>27.669902589584083</v>
      </c>
      <c r="T28">
        <v>29.224838691475455</v>
      </c>
      <c r="U28">
        <v>28.706329724829668</v>
      </c>
      <c r="V28">
        <v>29.315849993006967</v>
      </c>
      <c r="W28">
        <v>31.012916105011318</v>
      </c>
      <c r="X28">
        <v>29.844170766382387</v>
      </c>
      <c r="Y28">
        <v>30.273148493886112</v>
      </c>
      <c r="Z28">
        <v>32.091273968681882</v>
      </c>
      <c r="AA28">
        <v>31.75207550660032</v>
      </c>
      <c r="AB28">
        <v>30.663341662745623</v>
      </c>
      <c r="AC28">
        <v>30.15097743325261</v>
      </c>
      <c r="AD28">
        <v>30.589712214638727</v>
      </c>
      <c r="AE28">
        <v>32.402051571292304</v>
      </c>
      <c r="AF28">
        <v>28.707344824828908</v>
      </c>
      <c r="AG28">
        <v>28.869740143762357</v>
      </c>
      <c r="AH28">
        <v>31.181533724030189</v>
      </c>
      <c r="AI28">
        <v>32.300550366395669</v>
      </c>
      <c r="AJ28">
        <v>30.088288865825167</v>
      </c>
      <c r="AK28">
        <v>33.576139036111144</v>
      </c>
      <c r="AL28">
        <v>30.921313351683768</v>
      </c>
      <c r="AM28">
        <v>31.97212758614921</v>
      </c>
      <c r="AO28">
        <v>33.03792166196483</v>
      </c>
      <c r="AP28">
        <v>31.015255222414442</v>
      </c>
    </row>
    <row r="29" spans="1:42" x14ac:dyDescent="0.25">
      <c r="A29" t="s">
        <v>28</v>
      </c>
      <c r="B29">
        <v>37.463903080177566</v>
      </c>
      <c r="C29">
        <v>32.242040257096718</v>
      </c>
      <c r="D29">
        <v>32.53138195231751</v>
      </c>
      <c r="E29">
        <v>33.630393113046516</v>
      </c>
      <c r="F29">
        <v>31.98088050105385</v>
      </c>
      <c r="G29">
        <v>29.838323357433357</v>
      </c>
      <c r="H29">
        <v>27.60498722407004</v>
      </c>
      <c r="I29">
        <v>29.818143274601308</v>
      </c>
      <c r="J29">
        <v>30.934366505847109</v>
      </c>
      <c r="K29">
        <v>30.33438508622206</v>
      </c>
      <c r="L29">
        <v>30.068876205405047</v>
      </c>
      <c r="M29">
        <v>29.084142862447337</v>
      </c>
      <c r="N29">
        <v>33.846144247478236</v>
      </c>
      <c r="O29">
        <v>31.374040903815082</v>
      </c>
      <c r="P29">
        <v>29.336478932680304</v>
      </c>
      <c r="Q29">
        <v>29.045957050186814</v>
      </c>
      <c r="R29">
        <v>27.702452684277986</v>
      </c>
      <c r="S29">
        <v>28.869986108811926</v>
      </c>
      <c r="T29">
        <v>30.748922199732743</v>
      </c>
      <c r="U29">
        <v>28.389247309567182</v>
      </c>
      <c r="V29">
        <v>28.518476017428259</v>
      </c>
      <c r="W29">
        <v>30.316822329425321</v>
      </c>
      <c r="X29">
        <v>29.858939721070055</v>
      </c>
      <c r="Y29">
        <v>30.305363410663748</v>
      </c>
      <c r="Z29">
        <v>31.827040184522669</v>
      </c>
      <c r="AA29">
        <v>29.772779393591517</v>
      </c>
      <c r="AB29">
        <v>32.276112869070303</v>
      </c>
      <c r="AC29">
        <v>29.120767398558979</v>
      </c>
      <c r="AD29">
        <v>30.993782968976507</v>
      </c>
      <c r="AE29">
        <v>31.653695829037392</v>
      </c>
      <c r="AF29">
        <v>28.487005786487853</v>
      </c>
      <c r="AG29">
        <v>28.445067376502408</v>
      </c>
      <c r="AH29">
        <v>31.874418613111583</v>
      </c>
      <c r="AI29">
        <v>32.086069042936238</v>
      </c>
      <c r="AJ29">
        <v>31.784968279993958</v>
      </c>
      <c r="AK29">
        <v>33.552169629667119</v>
      </c>
      <c r="AL29">
        <v>33.012310055062727</v>
      </c>
      <c r="AM29">
        <v>34.920269188132686</v>
      </c>
      <c r="AO29">
        <v>35.069688757731456</v>
      </c>
      <c r="AP29">
        <v>33.690829470451042</v>
      </c>
    </row>
    <row r="30" spans="1:42" x14ac:dyDescent="0.25">
      <c r="A30" t="s">
        <v>29</v>
      </c>
      <c r="B30">
        <v>34.570808827151971</v>
      </c>
      <c r="C30">
        <v>31.757381324802044</v>
      </c>
      <c r="D30">
        <v>31.434016140313144</v>
      </c>
      <c r="E30">
        <v>32.001674905009885</v>
      </c>
      <c r="F30">
        <v>31.578021444803436</v>
      </c>
      <c r="G30">
        <v>29.660500242331036</v>
      </c>
      <c r="H30">
        <v>26.884244223054967</v>
      </c>
      <c r="I30">
        <v>29.041670714088454</v>
      </c>
      <c r="J30">
        <v>30.221582506757205</v>
      </c>
      <c r="K30">
        <v>29.571751572562377</v>
      </c>
      <c r="L30">
        <v>29.338309668640253</v>
      </c>
      <c r="M30">
        <v>29.636354405007513</v>
      </c>
      <c r="N30">
        <v>34.124889852719384</v>
      </c>
      <c r="O30">
        <v>31.50413340328198</v>
      </c>
      <c r="P30">
        <v>30.098545343456081</v>
      </c>
      <c r="Q30">
        <v>30.368771298525214</v>
      </c>
      <c r="R30">
        <v>28.355954993965355</v>
      </c>
      <c r="S30">
        <v>27.547011403796649</v>
      </c>
      <c r="T30">
        <v>30.302427103988425</v>
      </c>
      <c r="U30">
        <v>28.503862856336056</v>
      </c>
      <c r="V30">
        <v>30.452487994904946</v>
      </c>
      <c r="W30">
        <v>29.237240250873274</v>
      </c>
      <c r="X30">
        <v>29.761949777677355</v>
      </c>
      <c r="Y30">
        <v>32.400875802845015</v>
      </c>
      <c r="Z30">
        <v>31.028604400398986</v>
      </c>
      <c r="AA30">
        <v>31.397496556978425</v>
      </c>
      <c r="AB30">
        <v>29.270439068806965</v>
      </c>
      <c r="AC30">
        <v>31.025123278521388</v>
      </c>
      <c r="AD30">
        <v>32.507260596591237</v>
      </c>
      <c r="AE30">
        <v>31.250776892358235</v>
      </c>
      <c r="AF30">
        <v>29.619693629748909</v>
      </c>
      <c r="AG30">
        <v>28.061695312015662</v>
      </c>
      <c r="AH30">
        <v>28.531416144857843</v>
      </c>
      <c r="AI30">
        <v>31.431966356242992</v>
      </c>
      <c r="AJ30">
        <v>30.109297524954368</v>
      </c>
      <c r="AK30">
        <v>32.956910661707035</v>
      </c>
      <c r="AL30">
        <v>31.028068900057093</v>
      </c>
      <c r="AM30">
        <v>32.961697175504256</v>
      </c>
      <c r="AO30">
        <v>34.565583152551405</v>
      </c>
      <c r="AP30">
        <v>32.35854782349827</v>
      </c>
    </row>
    <row r="31" spans="1:42" x14ac:dyDescent="0.25">
      <c r="A31" t="s">
        <v>30</v>
      </c>
      <c r="B31">
        <v>33.937609505184199</v>
      </c>
      <c r="C31">
        <v>32.654122472090975</v>
      </c>
      <c r="D31">
        <v>31.219302339895091</v>
      </c>
      <c r="E31">
        <v>31.411553137126958</v>
      </c>
      <c r="F31">
        <v>31.287375296475034</v>
      </c>
      <c r="G31">
        <v>29.878944241221504</v>
      </c>
      <c r="H31">
        <v>27.114785641268597</v>
      </c>
      <c r="I31">
        <v>29.334658866952761</v>
      </c>
      <c r="J31">
        <v>29.198556173852239</v>
      </c>
      <c r="K31">
        <v>28.99587197536151</v>
      </c>
      <c r="L31">
        <v>29.697760067258709</v>
      </c>
      <c r="M31">
        <v>30.317372779005836</v>
      </c>
      <c r="N31">
        <v>33.692580946547658</v>
      </c>
      <c r="O31">
        <v>31.573041752198339</v>
      </c>
      <c r="P31">
        <v>29.548584600540735</v>
      </c>
      <c r="Q31">
        <v>29.508943543539502</v>
      </c>
      <c r="R31">
        <v>28.101534178421371</v>
      </c>
      <c r="S31">
        <v>30.169227406719958</v>
      </c>
      <c r="T31">
        <v>30.705658778441702</v>
      </c>
      <c r="U31">
        <v>28.094769190740791</v>
      </c>
      <c r="V31">
        <v>29.820499994083434</v>
      </c>
      <c r="W31">
        <v>29.773950184088307</v>
      </c>
      <c r="X31">
        <v>30.176617418241729</v>
      </c>
      <c r="Y31">
        <v>31.557178590176733</v>
      </c>
      <c r="Z31">
        <v>31.687407512277449</v>
      </c>
      <c r="AA31">
        <v>29.446459730072544</v>
      </c>
      <c r="AB31">
        <v>30.544244078237515</v>
      </c>
      <c r="AC31">
        <v>32.765785121021281</v>
      </c>
      <c r="AD31">
        <v>31.911915141895651</v>
      </c>
      <c r="AE31">
        <v>30.564107051071247</v>
      </c>
      <c r="AF31">
        <v>29.838137628639377</v>
      </c>
      <c r="AG31">
        <v>27.930856068378656</v>
      </c>
      <c r="AH31">
        <v>28.49798248523652</v>
      </c>
      <c r="AI31">
        <v>32.398984484834344</v>
      </c>
      <c r="AJ31">
        <v>30.939127511744186</v>
      </c>
      <c r="AK31">
        <v>34.051856599914849</v>
      </c>
      <c r="AL31">
        <v>31.961833010313327</v>
      </c>
      <c r="AM31">
        <v>34.167003627662545</v>
      </c>
      <c r="AO31">
        <v>34.156673027561617</v>
      </c>
      <c r="AP31">
        <v>33.46235763787751</v>
      </c>
    </row>
    <row r="32" spans="1:42" x14ac:dyDescent="0.25">
      <c r="A32" t="s">
        <v>31</v>
      </c>
      <c r="B32">
        <v>38.021029536049646</v>
      </c>
      <c r="C32">
        <v>36.385980281758826</v>
      </c>
      <c r="D32">
        <v>37.790802249042336</v>
      </c>
      <c r="E32">
        <v>33.783338048139306</v>
      </c>
      <c r="F32">
        <v>31.583750404411632</v>
      </c>
      <c r="G32">
        <v>35.334611198594708</v>
      </c>
      <c r="H32">
        <v>29.47420146794417</v>
      </c>
      <c r="I32">
        <v>34.278712835507555</v>
      </c>
      <c r="J32">
        <v>33.002371451192268</v>
      </c>
      <c r="K32">
        <v>30.206332043710344</v>
      </c>
      <c r="L32">
        <v>29.071405921835041</v>
      </c>
      <c r="M32">
        <v>30.052029445725918</v>
      </c>
      <c r="N32">
        <v>32.396272216929134</v>
      </c>
      <c r="O32">
        <v>29.984713523709768</v>
      </c>
      <c r="P32">
        <v>27.450283680633436</v>
      </c>
      <c r="Q32">
        <v>31.482968606101021</v>
      </c>
      <c r="R32">
        <v>28.767181271066505</v>
      </c>
      <c r="S32">
        <v>29.724183530777939</v>
      </c>
      <c r="T32">
        <v>29.622328070690099</v>
      </c>
      <c r="U32">
        <v>29.6916728373327</v>
      </c>
      <c r="V32">
        <v>30.565666411384175</v>
      </c>
      <c r="W32">
        <v>32.446293215573895</v>
      </c>
      <c r="X32">
        <v>32.282141981874908</v>
      </c>
      <c r="Y32">
        <v>34.183155362152604</v>
      </c>
      <c r="Z32">
        <v>35.281620778747246</v>
      </c>
      <c r="AA32">
        <v>29.439416923410324</v>
      </c>
      <c r="AB32">
        <v>31.687345267119692</v>
      </c>
      <c r="AC32">
        <v>29.501430754239966</v>
      </c>
      <c r="AD32">
        <v>30.28935719632139</v>
      </c>
      <c r="AE32">
        <v>32.007869705170776</v>
      </c>
      <c r="AF32">
        <v>30.422518297061099</v>
      </c>
      <c r="AG32">
        <v>28.861640623651851</v>
      </c>
      <c r="AH32">
        <v>30.147563739120326</v>
      </c>
      <c r="AI32">
        <v>31.723401140338336</v>
      </c>
      <c r="AJ32">
        <v>30.028295279093015</v>
      </c>
      <c r="AK32">
        <v>32.374828533505877</v>
      </c>
      <c r="AL32">
        <v>30.448735799539975</v>
      </c>
      <c r="AM32">
        <v>32.451242672159687</v>
      </c>
      <c r="AO32">
        <v>32.54098919143896</v>
      </c>
      <c r="AP32">
        <v>31.321163081431937</v>
      </c>
    </row>
    <row r="33" spans="1:42" x14ac:dyDescent="0.25">
      <c r="A33" t="s">
        <v>32</v>
      </c>
      <c r="B33">
        <v>35.120429472104227</v>
      </c>
      <c r="C33">
        <v>32.356414332491028</v>
      </c>
      <c r="D33">
        <v>32.282595369112478</v>
      </c>
      <c r="E33">
        <v>32.163999179263023</v>
      </c>
      <c r="F33">
        <v>31.206662262563984</v>
      </c>
      <c r="G33">
        <v>32.937036565511363</v>
      </c>
      <c r="H33">
        <v>29.4161487115787</v>
      </c>
      <c r="I33">
        <v>30.794548540991531</v>
      </c>
      <c r="J33">
        <v>28.95354520309462</v>
      </c>
      <c r="K33">
        <v>29.479849515952594</v>
      </c>
      <c r="L33">
        <v>28.776762251235098</v>
      </c>
      <c r="M33">
        <v>29.320001122024326</v>
      </c>
      <c r="N33">
        <v>32.854554762718458</v>
      </c>
      <c r="O33">
        <v>30.36638075716662</v>
      </c>
      <c r="P33">
        <v>28.489789271293755</v>
      </c>
      <c r="Q33">
        <v>31.644134771821427</v>
      </c>
      <c r="R33">
        <v>29.414729188943369</v>
      </c>
      <c r="S33">
        <v>31.091181359943715</v>
      </c>
      <c r="T33">
        <v>31.812123647117946</v>
      </c>
      <c r="U33">
        <v>30.608126785528707</v>
      </c>
      <c r="V33">
        <v>31.509703349076204</v>
      </c>
      <c r="W33">
        <v>29.343580158623606</v>
      </c>
      <c r="X33">
        <v>29.39879226451507</v>
      </c>
      <c r="Y33">
        <v>30.959769021878841</v>
      </c>
      <c r="Z33">
        <v>29.951449240399825</v>
      </c>
      <c r="AA33">
        <v>29.297801152260504</v>
      </c>
      <c r="AB33">
        <v>30.129724377555892</v>
      </c>
      <c r="AC33">
        <v>30.627623332172274</v>
      </c>
      <c r="AD33">
        <v>29.827677505266408</v>
      </c>
      <c r="AE33">
        <v>31.670053376275643</v>
      </c>
      <c r="AF33">
        <v>32.676685399334026</v>
      </c>
      <c r="AG33">
        <v>29.154420956204675</v>
      </c>
      <c r="AH33">
        <v>28.84096262051558</v>
      </c>
      <c r="AI33">
        <v>33.398969369470159</v>
      </c>
      <c r="AJ33">
        <v>29.381946919450499</v>
      </c>
      <c r="AK33">
        <v>31.870670092653409</v>
      </c>
      <c r="AL33">
        <v>29.734526810013435</v>
      </c>
      <c r="AM33">
        <v>32.737481948467654</v>
      </c>
      <c r="AO33">
        <v>30.798701582947245</v>
      </c>
      <c r="AP33">
        <v>30.151822501851569</v>
      </c>
    </row>
    <row r="34" spans="1:42" x14ac:dyDescent="0.25">
      <c r="A34" t="s">
        <v>33</v>
      </c>
    </row>
    <row r="35" spans="1:42" x14ac:dyDescent="0.25">
      <c r="A35" t="s">
        <v>34</v>
      </c>
      <c r="B35">
        <v>32.652739510172751</v>
      </c>
      <c r="C35">
        <v>31.590373106431198</v>
      </c>
      <c r="D35">
        <v>30.864568405634127</v>
      </c>
      <c r="E35">
        <v>31.746748816670362</v>
      </c>
      <c r="F35">
        <v>31.321260197442069</v>
      </c>
      <c r="G35">
        <v>28.594943896674696</v>
      </c>
      <c r="H35">
        <v>27.975182448797849</v>
      </c>
      <c r="I35">
        <v>29.343557966905788</v>
      </c>
      <c r="J35">
        <v>29.540525386599111</v>
      </c>
      <c r="K35">
        <v>29.180308166990425</v>
      </c>
      <c r="L35">
        <v>30.329586038684823</v>
      </c>
      <c r="M35">
        <v>30.197443913251746</v>
      </c>
      <c r="N35">
        <v>32.712659150975391</v>
      </c>
      <c r="O35">
        <v>30.794669057138197</v>
      </c>
      <c r="P35">
        <v>29.91255226068003</v>
      </c>
      <c r="Q35">
        <v>30.190916482019446</v>
      </c>
      <c r="R35">
        <v>29.130513330418299</v>
      </c>
      <c r="S35">
        <v>28.152585844671577</v>
      </c>
      <c r="T35">
        <v>29.322272454516437</v>
      </c>
      <c r="U35">
        <v>30.574312709066007</v>
      </c>
      <c r="V35">
        <v>30.678010024239256</v>
      </c>
      <c r="W35">
        <v>31.93158367941092</v>
      </c>
      <c r="X35">
        <v>30.459773040940366</v>
      </c>
      <c r="Y35">
        <v>32.464777279676163</v>
      </c>
      <c r="Z35">
        <v>35.01381373041432</v>
      </c>
      <c r="AA35">
        <v>31.429905204554924</v>
      </c>
      <c r="AB35">
        <v>32.436070859081511</v>
      </c>
      <c r="AC35">
        <v>28.271576848678169</v>
      </c>
      <c r="AD35">
        <v>33.814031985125133</v>
      </c>
      <c r="AE35">
        <v>34.420099381063224</v>
      </c>
      <c r="AF35">
        <v>35.771716968351647</v>
      </c>
      <c r="AG35">
        <v>29.788057430005495</v>
      </c>
      <c r="AH35">
        <v>32.498037443422731</v>
      </c>
      <c r="AI35">
        <v>32.904851279094864</v>
      </c>
      <c r="AJ35">
        <v>42.456152677648284</v>
      </c>
      <c r="AK35">
        <v>33.597665484829996</v>
      </c>
      <c r="AL35">
        <v>34.455572154522301</v>
      </c>
      <c r="AM35">
        <v>34.735931623092277</v>
      </c>
      <c r="AO35">
        <v>34.24343241205645</v>
      </c>
      <c r="AP35">
        <v>38.89001508601023</v>
      </c>
    </row>
    <row r="36" spans="1:42" x14ac:dyDescent="0.25">
      <c r="A36" t="s">
        <v>35</v>
      </c>
    </row>
    <row r="37" spans="1:42" x14ac:dyDescent="0.25">
      <c r="A37" t="s">
        <v>36</v>
      </c>
      <c r="B37">
        <v>34.43445196659642</v>
      </c>
      <c r="C37">
        <v>33.455883004257466</v>
      </c>
      <c r="D37">
        <v>32.089911717490303</v>
      </c>
      <c r="E37">
        <v>32.205177352682803</v>
      </c>
      <c r="F37">
        <v>31.3523127294266</v>
      </c>
      <c r="G37">
        <v>28.644203224431973</v>
      </c>
      <c r="H37">
        <v>27.590168956088117</v>
      </c>
      <c r="I37">
        <v>28.822723015120967</v>
      </c>
      <c r="J37">
        <v>30.801961753588117</v>
      </c>
      <c r="K37">
        <v>29.668487904727488</v>
      </c>
      <c r="L37">
        <v>29.452259485936718</v>
      </c>
      <c r="M37">
        <v>28.799786108795828</v>
      </c>
      <c r="N37">
        <v>32.046637113526664</v>
      </c>
      <c r="O37">
        <v>30.082665076340401</v>
      </c>
      <c r="P37">
        <v>29.11705923503926</v>
      </c>
      <c r="Q37">
        <v>32.093558536536001</v>
      </c>
      <c r="R37">
        <v>29.819673493065064</v>
      </c>
      <c r="S37">
        <v>31.323823688259779</v>
      </c>
      <c r="T37">
        <v>31.892009299102288</v>
      </c>
      <c r="U37">
        <v>33.525237366737706</v>
      </c>
      <c r="V37">
        <v>33.551984743653215</v>
      </c>
      <c r="W37">
        <v>34.697488626456426</v>
      </c>
      <c r="X37">
        <v>34.499109625331364</v>
      </c>
      <c r="Y37">
        <v>34.725167670277244</v>
      </c>
      <c r="Z37">
        <v>38.05653993340178</v>
      </c>
      <c r="AA37">
        <v>34.738615371752381</v>
      </c>
      <c r="AB37">
        <v>37.547523717996022</v>
      </c>
      <c r="AC37">
        <v>38.705873503587974</v>
      </c>
      <c r="AD37">
        <v>35.068974282562813</v>
      </c>
      <c r="AE37">
        <v>32.192961059137623</v>
      </c>
      <c r="AF37">
        <v>29.928694136791695</v>
      </c>
      <c r="AG37">
        <v>29.064614714600634</v>
      </c>
      <c r="AH37">
        <v>33.251354266846754</v>
      </c>
      <c r="AI37">
        <v>39.700921798531837</v>
      </c>
      <c r="AJ37">
        <v>43.520694643348385</v>
      </c>
      <c r="AK37">
        <v>40.128776233265498</v>
      </c>
      <c r="AL37">
        <v>39.27805866255008</v>
      </c>
      <c r="AM37">
        <v>40.465727231728088</v>
      </c>
      <c r="AO37">
        <v>40.729592897002924</v>
      </c>
      <c r="AP37">
        <v>39.774600129324696</v>
      </c>
    </row>
    <row r="38" spans="1:42" x14ac:dyDescent="0.25">
      <c r="A38" t="s">
        <v>37</v>
      </c>
    </row>
    <row r="39" spans="1:42" x14ac:dyDescent="0.25">
      <c r="A39" t="s">
        <v>38</v>
      </c>
      <c r="B39">
        <v>34.381307455727644</v>
      </c>
      <c r="C39">
        <v>32.040411714605419</v>
      </c>
      <c r="D39">
        <v>34.284452379196146</v>
      </c>
      <c r="E39">
        <v>32.871711330742293</v>
      </c>
      <c r="F39">
        <v>30.077812238779813</v>
      </c>
      <c r="G39">
        <v>29.124367979134401</v>
      </c>
      <c r="H39">
        <v>27.917105035785244</v>
      </c>
      <c r="I39">
        <v>29.926772728156248</v>
      </c>
      <c r="J39">
        <v>32.08440677970632</v>
      </c>
      <c r="K39">
        <v>28.668182106737934</v>
      </c>
      <c r="L39">
        <v>31.653930571863594</v>
      </c>
      <c r="M39">
        <v>28.546640394146095</v>
      </c>
      <c r="N39">
        <v>32.013978377100742</v>
      </c>
      <c r="O39">
        <v>30.348755153790439</v>
      </c>
      <c r="P39">
        <v>30.132038883506141</v>
      </c>
      <c r="Q39">
        <v>29.728719001374799</v>
      </c>
      <c r="R39">
        <v>28.763590395001998</v>
      </c>
      <c r="S39">
        <v>28.06267393172271</v>
      </c>
      <c r="T39">
        <v>29.296734017072286</v>
      </c>
      <c r="U39">
        <v>31.883219035706531</v>
      </c>
      <c r="V39">
        <v>30.896957723206739</v>
      </c>
      <c r="W39">
        <v>30.575869600213135</v>
      </c>
      <c r="X39">
        <v>30.41976152857406</v>
      </c>
      <c r="Y39">
        <v>31.466854558983027</v>
      </c>
      <c r="Z39">
        <v>32.065076846521642</v>
      </c>
      <c r="AA39">
        <v>32.482270243998578</v>
      </c>
      <c r="AB39">
        <v>30.90815185794807</v>
      </c>
      <c r="AC39">
        <v>29.559148884680155</v>
      </c>
      <c r="AD39">
        <v>32.938477565533091</v>
      </c>
      <c r="AE39">
        <v>33.202232505324169</v>
      </c>
      <c r="AF39">
        <v>33.698503179588691</v>
      </c>
      <c r="AG39">
        <v>30.412093850599273</v>
      </c>
      <c r="AH39">
        <v>29.92879920381721</v>
      </c>
      <c r="AI39">
        <v>31.757109545456206</v>
      </c>
      <c r="AJ39">
        <v>42.122679817966684</v>
      </c>
      <c r="AK39">
        <v>34.582009437712756</v>
      </c>
      <c r="AL39">
        <v>36.338909250116238</v>
      </c>
      <c r="AM39">
        <v>38.256643424477978</v>
      </c>
      <c r="AO39">
        <v>35.599691705986977</v>
      </c>
      <c r="AP39">
        <v>39.307237646518708</v>
      </c>
    </row>
    <row r="40" spans="1:42" x14ac:dyDescent="0.25">
      <c r="A40" t="s">
        <v>39</v>
      </c>
    </row>
    <row r="41" spans="1:42" x14ac:dyDescent="0.25">
      <c r="A41" t="s">
        <v>40</v>
      </c>
      <c r="B41">
        <v>34.886638848507694</v>
      </c>
      <c r="C41">
        <v>32.611113038968618</v>
      </c>
      <c r="D41">
        <v>32.335776676481395</v>
      </c>
      <c r="E41">
        <v>31.22485205634057</v>
      </c>
      <c r="F41">
        <v>30.003838710068042</v>
      </c>
      <c r="G41">
        <v>29.513581719330485</v>
      </c>
      <c r="H41">
        <v>27.499795611600163</v>
      </c>
      <c r="I41">
        <v>29.779442086910866</v>
      </c>
      <c r="J41">
        <v>30.125932639784192</v>
      </c>
      <c r="K41">
        <v>28.439694234992132</v>
      </c>
      <c r="L41">
        <v>31.37992061558926</v>
      </c>
      <c r="M41">
        <v>28.455368843227117</v>
      </c>
      <c r="N41">
        <v>32.30356743503976</v>
      </c>
      <c r="O41">
        <v>30.54386924634365</v>
      </c>
      <c r="P41">
        <v>30.10850115685739</v>
      </c>
      <c r="Q41">
        <v>31.378326484624264</v>
      </c>
      <c r="R41">
        <v>29.715552683556123</v>
      </c>
      <c r="S41">
        <v>30.438026192975752</v>
      </c>
      <c r="T41">
        <v>30.514698323622422</v>
      </c>
      <c r="U41">
        <v>33.77824023660137</v>
      </c>
      <c r="V41">
        <v>33.299207305991857</v>
      </c>
      <c r="W41">
        <v>33.259323408195719</v>
      </c>
      <c r="X41">
        <v>34.252135117219581</v>
      </c>
      <c r="Y41">
        <v>36.045045074065747</v>
      </c>
      <c r="Z41">
        <v>37.43014075094424</v>
      </c>
      <c r="AA41">
        <v>35.671132183198559</v>
      </c>
      <c r="AB41">
        <v>36.743988284177533</v>
      </c>
      <c r="AC41">
        <v>36.148691922532088</v>
      </c>
      <c r="AD41">
        <v>34.752336063889707</v>
      </c>
      <c r="AE41">
        <v>32.20888535386208</v>
      </c>
      <c r="AF41">
        <v>29.531025116290845</v>
      </c>
      <c r="AG41">
        <v>29.764209734078591</v>
      </c>
      <c r="AH41">
        <v>32.516508417557539</v>
      </c>
      <c r="AI41">
        <v>35.875705994296325</v>
      </c>
      <c r="AJ41">
        <v>42.855916759272674</v>
      </c>
      <c r="AK41">
        <v>40.719078838212056</v>
      </c>
      <c r="AL41">
        <v>39.18662703189532</v>
      </c>
      <c r="AM41">
        <v>40.107511615125595</v>
      </c>
      <c r="AO41">
        <v>38.07770972258151</v>
      </c>
      <c r="AP41">
        <v>39.760186557890172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2845-EE7B-4D2C-AEDB-444F39CBC2F7}">
  <sheetPr codeName="Sheet24"/>
  <dimension ref="A1:AI88"/>
  <sheetViews>
    <sheetView topLeftCell="A8" workbookViewId="0">
      <pane xSplit="4" ySplit="2" topLeftCell="L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[53]FormattedData!A1</f>
        <v>Raw data file name - 'IA128.03R'</v>
      </c>
    </row>
    <row r="2" spans="1:35" ht="15" x14ac:dyDescent="0.25">
      <c r="I2" s="65" t="s">
        <v>136</v>
      </c>
      <c r="J2" s="57"/>
      <c r="P2" s="64">
        <f>[53]AncillaryData!C10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[53]AncillaryData!E25</f>
        <v>25.35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"&amp;[53]AncillaryData!C7</f>
        <v>Time Sequence of Midday IRT Temps - FISE 2003 - DOY 128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"&amp;[53]AncillaryData!E25&amp;", VPD = "&amp;ROUND([53]AncillaryData!E29,1)&amp;", Quality = "&amp;[53]AncillaryData!C20&amp;")"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[53]FormattedData!A28</f>
        <v>101</v>
      </c>
      <c r="C10" s="34" t="str">
        <f>VLOOKUP($B10,[53]TrtCodes!$B$11:I71,2)</f>
        <v>FSH</v>
      </c>
      <c r="D10" s="34">
        <f>VLOOKUP($B10,[53]TrtCodes!$B$11:J71,3)</f>
        <v>1</v>
      </c>
      <c r="E10" s="34">
        <f>VLOOKUP($B10,[53]TrtCodes!$B$11:K71,4)</f>
        <v>1</v>
      </c>
      <c r="F10" s="34">
        <f>VLOOKUP($B10,[53]TrtCodes!$B$11:L71,5)</f>
        <v>1</v>
      </c>
      <c r="G10" s="34">
        <f>VLOOKUP($B10,[53]TrtCodes!$B$11:M71,6)</f>
        <v>2</v>
      </c>
      <c r="H10" s="34">
        <f>VLOOKUP($B10,[53]TrtCodes!$B$11:N71,7)</f>
        <v>1</v>
      </c>
      <c r="I10" s="34">
        <f>[53]FormattedData!B28</f>
        <v>1</v>
      </c>
      <c r="J10" s="37">
        <f>[53]FormattedData!C28</f>
        <v>13.115</v>
      </c>
      <c r="K10" s="39">
        <f>$J$3+[53]FormattedData!D28*$J$4+$M$4*$J$5+[53]FormattedData!D28^2*$J$6+$M$5*$J$7</f>
        <v>43.341228438254909</v>
      </c>
      <c r="L10" s="39">
        <f>$J$3+[53]FormattedData!E28*$J$4+$M$4*$J$5+[53]FormattedData!E28^2*$J$6+$M$5*$J$7</f>
        <v>43.523485850520736</v>
      </c>
      <c r="M10" s="39">
        <f>$J$3+[53]FormattedData!F28*$J$4+$M$4*$J$5+[53]FormattedData!F28^2*$J$6+$M$5*$J$7</f>
        <v>44.613479766929494</v>
      </c>
      <c r="N10" s="39">
        <f>$J$3+[53]FormattedData!G28*$J$4+$M$4*$J$5+[53]FormattedData!G28^2*$J$6+$M$5*$J$7</f>
        <v>42.793441756547068</v>
      </c>
      <c r="O10" s="39">
        <f>$J$3+[53]FormattedData!H28*$J$4+$M$4*$J$5+[53]FormattedData!H28^2*$J$6+$M$5*$J$7</f>
        <v>43.705574188634841</v>
      </c>
      <c r="P10" s="39">
        <f>$J$3+[53]FormattedData!I28*$J$4+$M$4*$J$5+[53]FormattedData!I28^2*$J$6+$M$5*$J$7</f>
        <v>42.51897779043108</v>
      </c>
      <c r="Q10" s="39">
        <f>$J$3+[53]FormattedData!J28*$J$4+$M$4*$J$5+[53]FormattedData!J28^2*$J$6+$M$5*$J$7</f>
        <v>44.613479766929494</v>
      </c>
      <c r="R10" s="39">
        <f>$J$3+[53]FormattedData!K28*$J$4+$M$4*$J$5+[53]FormattedData!K28^2*$J$6+$M$5*$J$7</f>
        <v>42.793441756547068</v>
      </c>
      <c r="S10" s="39">
        <f>$J$3+[53]FormattedData!L28*$J$4+$M$4*$J$5+[53]FormattedData!L28^2*$J$6+$M$5*$J$7</f>
        <v>44.704037847800343</v>
      </c>
      <c r="T10" s="39">
        <f>$J$3+[53]FormattedData!M28*$J$4+$M$4*$J$5+[53]FormattedData!M28^2*$J$6+$M$5*$J$7</f>
        <v>43.158801951837347</v>
      </c>
      <c r="U10" s="39">
        <f>$J$3+[53]FormattedData!N28*$J$4+$M$4*$J$5+[53]FormattedData!N28^2*$J$6+$M$5*$J$7</f>
        <v>43.97838968177151</v>
      </c>
      <c r="V10" s="39">
        <f>$J$3+[53]FormattedData!O28*$J$4+$M$4*$J$5+[53]FormattedData!O28^2*$J$6+$M$5*$J$7</f>
        <v>42.51897779043108</v>
      </c>
      <c r="W10" s="38">
        <f>AVERAGE(K10:V10)</f>
        <v>43.521943048886243</v>
      </c>
      <c r="X10" s="37">
        <f>STDEV(K10:V10)/SQRT(COUNT(K10:V10))</f>
        <v>0.23452329702335206</v>
      </c>
      <c r="Y10" s="36">
        <f>MIN(K10:V10)</f>
        <v>42.51897779043108</v>
      </c>
      <c r="Z10" s="35">
        <f>QUARTILE(K10:V10,1)</f>
        <v>42.793441756547068</v>
      </c>
      <c r="AA10" s="36">
        <f>MEDIAN(K10:V10)</f>
        <v>43.432357144387822</v>
      </c>
      <c r="AB10" s="35">
        <f>QUARTILE(K10:V10,3)</f>
        <v>44.13716220306101</v>
      </c>
      <c r="AC10" s="35">
        <f>MAX(K10:V10)</f>
        <v>44.704037847800343</v>
      </c>
      <c r="AD10" s="35">
        <f>SKEW(K10:V10)</f>
        <v>0.30705355830132763</v>
      </c>
      <c r="AE10" s="35">
        <f>KURT(K10:V10)</f>
        <v>-1.3414053002966377</v>
      </c>
    </row>
    <row r="11" spans="1:35" x14ac:dyDescent="0.2">
      <c r="B11" s="34">
        <f>[53]FormattedData!A26</f>
        <v>102</v>
      </c>
      <c r="C11" s="34" t="str">
        <f>VLOOKUP($B11,[53]TrtCodes!$B$11:I69,2)</f>
        <v>FTL</v>
      </c>
      <c r="D11" s="34">
        <f>VLOOKUP($B11,[53]TrtCodes!$B$11:J69,3)</f>
        <v>4</v>
      </c>
      <c r="E11" s="34">
        <f>VLOOKUP($B11,[53]TrtCodes!$B$11:K69,4)</f>
        <v>1</v>
      </c>
      <c r="F11" s="34">
        <f>VLOOKUP($B11,[53]TrtCodes!$B$11:L69,5)</f>
        <v>2</v>
      </c>
      <c r="G11" s="34">
        <f>VLOOKUP($B11,[53]TrtCodes!$B$11:M69,6)</f>
        <v>1</v>
      </c>
      <c r="H11" s="34">
        <f>VLOOKUP($B11,[53]TrtCodes!$B$11:N69,7)</f>
        <v>1</v>
      </c>
      <c r="I11" s="34">
        <f>[53]FormattedData!B26</f>
        <v>1</v>
      </c>
      <c r="J11" s="37">
        <f>[53]FormattedData!C26</f>
        <v>13.106999999999999</v>
      </c>
      <c r="K11" s="39">
        <f>$J$3+[53]FormattedData!D26*$J$4+$M$4*$J$5+[53]FormattedData!D26^2*$J$6+$M$5*$J$7</f>
        <v>44.341551913089376</v>
      </c>
      <c r="L11" s="39">
        <f>$J$3+[53]FormattedData!E26*$J$4+$M$4*$J$5+[53]FormattedData!E26^2*$J$6+$M$5*$J$7</f>
        <v>42.244133407473711</v>
      </c>
      <c r="M11" s="39">
        <f>$J$3+[53]FormattedData!F26*$J$4+$M$4*$J$5+[53]FormattedData!F26^2*$J$6+$M$5*$J$7</f>
        <v>44.975458479185292</v>
      </c>
      <c r="N11" s="39">
        <f>$J$3+[53]FormattedData!G26*$J$4+$M$4*$J$5+[53]FormattedData!G26^2*$J$6+$M$5*$J$7</f>
        <v>42.51897779043108</v>
      </c>
      <c r="O11" s="39">
        <f>$J$3+[53]FormattedData!H26*$J$4+$M$4*$J$5+[53]FormattedData!H26^2*$J$6+$M$5*$J$7</f>
        <v>44.522879417520713</v>
      </c>
      <c r="P11" s="39">
        <f>$J$3+[53]FormattedData!I26*$J$4+$M$4*$J$5+[53]FormattedData!I26^2*$J$6+$M$5*$J$7</f>
        <v>42.976206391268072</v>
      </c>
      <c r="Q11" s="39">
        <f>$J$3+[53]FormattedData!J26*$J$4+$M$4*$J$5+[53]FormattedData!J26^2*$J$6+$M$5*$J$7</f>
        <v>44.522879417520713</v>
      </c>
      <c r="R11" s="39">
        <f>$J$3+[53]FormattedData!K26*$J$4+$M$4*$J$5+[53]FormattedData!K26^2*$J$6+$M$5*$J$7</f>
        <v>42.427405264649884</v>
      </c>
      <c r="S11" s="39">
        <f>$J$3+[53]FormattedData!L26*$J$4+$M$4*$J$5+[53]FormattedData!L26^2*$J$6+$M$5*$J$7</f>
        <v>44.341551913089376</v>
      </c>
      <c r="T11" s="39">
        <f>$J$3+[53]FormattedData!M26*$J$4+$M$4*$J$5+[53]FormattedData!M26^2*$J$6+$M$5*$J$7</f>
        <v>42.701996036379668</v>
      </c>
      <c r="U11" s="39">
        <f>$J$3+[53]FormattedData!N26*$J$4+$M$4*$J$5+[53]FormattedData!N26^2*$J$6+$M$5*$J$7</f>
        <v>44.704037847800343</v>
      </c>
      <c r="V11" s="39">
        <f>$J$3+[53]FormattedData!O26*$J$4+$M$4*$J$5+[53]FormattedData!O26^2*$J$6+$M$5*$J$7</f>
        <v>42.610508047674344</v>
      </c>
      <c r="W11" s="38">
        <f>AVERAGE(K11:V11)</f>
        <v>43.573965493840213</v>
      </c>
      <c r="X11" s="37">
        <f>STDEV(K11:V11)/SQRT(COUNT(K11:V11))</f>
        <v>0.30726615801580892</v>
      </c>
      <c r="Y11" s="36">
        <f>MIN(K11:V11)</f>
        <v>42.244133407473711</v>
      </c>
      <c r="Z11" s="35">
        <f>QUARTILE(K11:V11,1)</f>
        <v>42.587625483363524</v>
      </c>
      <c r="AA11" s="36">
        <f>MEDIAN(K11:V11)</f>
        <v>43.658879152178727</v>
      </c>
      <c r="AB11" s="35">
        <f>QUARTILE(K11:V11,3)</f>
        <v>44.522879417520713</v>
      </c>
      <c r="AC11" s="35">
        <f>MAX(K11:V11)</f>
        <v>44.975458479185292</v>
      </c>
      <c r="AD11" s="35">
        <f>SKEW(K11:V11)</f>
        <v>4.7278214589205689E-4</v>
      </c>
      <c r="AE11" s="35">
        <f>KURT(K11:V11)</f>
        <v>-2.1346096181511358</v>
      </c>
    </row>
    <row r="12" spans="1:35" x14ac:dyDescent="0.2">
      <c r="B12" s="34">
        <f>[53]FormattedData!A24</f>
        <v>103</v>
      </c>
      <c r="C12" s="34" t="str">
        <f>VLOOKUP($B12,[53]TrtCodes!$B$11:I67,2)</f>
        <v>FDH</v>
      </c>
      <c r="D12" s="34">
        <f>VLOOKUP($B12,[53]TrtCodes!$B$11:J67,3)</f>
        <v>5</v>
      </c>
      <c r="E12" s="34">
        <f>VLOOKUP($B12,[53]TrtCodes!$B$11:K67,4)</f>
        <v>1</v>
      </c>
      <c r="F12" s="34">
        <f>VLOOKUP($B12,[53]TrtCodes!$B$11:L67,5)</f>
        <v>3</v>
      </c>
      <c r="G12" s="34">
        <f>VLOOKUP($B12,[53]TrtCodes!$B$11:M67,6)</f>
        <v>2</v>
      </c>
      <c r="H12" s="34">
        <f>VLOOKUP($B12,[53]TrtCodes!$B$11:N67,7)</f>
        <v>1</v>
      </c>
      <c r="I12" s="34">
        <f>[53]FormattedData!B24</f>
        <v>1</v>
      </c>
      <c r="J12" s="37">
        <f>[53]FormattedData!C24</f>
        <v>13.098000000000001</v>
      </c>
      <c r="K12" s="39">
        <f>$J$3+[53]FormattedData!D24*$J$4+$M$4*$J$5+[53]FormattedData!D24^2*$J$6+$M$5*$J$7</f>
        <v>44.341551913089376</v>
      </c>
      <c r="L12" s="39">
        <f>$J$3+[53]FormattedData!E24*$J$4+$M$4*$J$5+[53]FormattedData!E24^2*$J$6+$M$5*$J$7</f>
        <v>42.793441756547068</v>
      </c>
      <c r="M12" s="39">
        <f>$J$3+[53]FormattedData!F24*$J$4+$M$4*$J$5+[53]FormattedData!F24^2*$J$6+$M$5*$J$7</f>
        <v>44.341551913089376</v>
      </c>
      <c r="N12" s="39">
        <f>$J$3+[53]FormattedData!G24*$J$4+$M$4*$J$5+[53]FormattedData!G24^2*$J$6+$M$5*$J$7</f>
        <v>42.610508047674344</v>
      </c>
      <c r="O12" s="39">
        <f>$J$3+[53]FormattedData!H24*$J$4+$M$4*$J$5+[53]FormattedData!H24^2*$J$6+$M$5*$J$7</f>
        <v>43.887493452597219</v>
      </c>
      <c r="P12" s="39">
        <f>$J$3+[53]FormattedData!I24*$J$4+$M$4*$J$5+[53]FormattedData!I24^2*$J$6+$M$5*$J$7</f>
        <v>42.427405264649884</v>
      </c>
      <c r="Q12" s="39">
        <f>$J$3+[53]FormattedData!J24*$J$4+$M$4*$J$5+[53]FormattedData!J24^2*$J$6+$M$5*$J$7</f>
        <v>44.432236799574014</v>
      </c>
      <c r="R12" s="39">
        <f>$J$3+[53]FormattedData!K24*$J$4+$M$4*$J$5+[53]FormattedData!K24^2*$J$6+$M$5*$J$7</f>
        <v>41.785214065119476</v>
      </c>
      <c r="S12" s="39">
        <f>$J$3+[53]FormattedData!L24*$J$4+$M$4*$J$5+[53]FormattedData!L24^2*$J$6+$M$5*$J$7</f>
        <v>44.704037847800343</v>
      </c>
      <c r="T12" s="39">
        <f>$J$3+[53]FormattedData!M24*$J$4+$M$4*$J$5+[53]FormattedData!M24^2*$J$6+$M$5*$J$7</f>
        <v>42.06069247614581</v>
      </c>
      <c r="U12" s="39">
        <f>$J$3+[53]FormattedData!N24*$J$4+$M$4*$J$5+[53]FormattedData!N24^2*$J$6+$M$5*$J$7</f>
        <v>45.065847485904406</v>
      </c>
      <c r="V12" s="39">
        <f>$J$3+[53]FormattedData!O24*$J$4+$M$4*$J$5+[53]FormattedData!O24^2*$J$6+$M$5*$J$7</f>
        <v>42.15243407607872</v>
      </c>
      <c r="W12" s="38">
        <f>AVERAGE(K12:V12)</f>
        <v>43.383534591522498</v>
      </c>
      <c r="X12" s="37">
        <f>STDEV(K12:V12)/SQRT(COUNT(K12:V12))</f>
        <v>0.34204556097887584</v>
      </c>
      <c r="Y12" s="36">
        <f>MIN(K12:V12)</f>
        <v>41.785214065119476</v>
      </c>
      <c r="Z12" s="35">
        <f>QUARTILE(K12:V12,1)</f>
        <v>42.358662467507095</v>
      </c>
      <c r="AA12" s="36">
        <f>MEDIAN(K12:V12)</f>
        <v>43.34046760457214</v>
      </c>
      <c r="AB12" s="35">
        <f>QUARTILE(K12:V12,3)</f>
        <v>44.364223134710535</v>
      </c>
      <c r="AC12" s="35">
        <f>MAX(K12:V12)</f>
        <v>45.065847485904406</v>
      </c>
      <c r="AD12" s="35">
        <f>SKEW(K12:V12)</f>
        <v>1.9567156880948147E-2</v>
      </c>
      <c r="AE12" s="35">
        <f>KURT(K12:V12)</f>
        <v>-1.8581380866967692</v>
      </c>
    </row>
    <row r="13" spans="1:35" x14ac:dyDescent="0.2">
      <c r="B13" s="34">
        <f>[53]FormattedData!A22</f>
        <v>104</v>
      </c>
      <c r="C13" s="34" t="str">
        <f>VLOOKUP($B13,[53]TrtCodes!$B$11:I65,2)</f>
        <v>NTL</v>
      </c>
      <c r="D13" s="34">
        <f>VLOOKUP($B13,[53]TrtCodes!$B$11:J65,3)</f>
        <v>10</v>
      </c>
      <c r="E13" s="34">
        <f>VLOOKUP($B13,[53]TrtCodes!$B$11:K65,4)</f>
        <v>2</v>
      </c>
      <c r="F13" s="34">
        <f>VLOOKUP($B13,[53]TrtCodes!$B$11:L65,5)</f>
        <v>2</v>
      </c>
      <c r="G13" s="34">
        <f>VLOOKUP($B13,[53]TrtCodes!$B$11:M65,6)</f>
        <v>1</v>
      </c>
      <c r="H13" s="34">
        <f>VLOOKUP($B13,[53]TrtCodes!$B$11:N65,7)</f>
        <v>1</v>
      </c>
      <c r="I13" s="34">
        <f>[53]FormattedData!B22</f>
        <v>1</v>
      </c>
      <c r="J13" s="37">
        <f>[53]FormattedData!C22</f>
        <v>13.089</v>
      </c>
      <c r="K13" s="39">
        <f>$J$3+[53]FormattedData!D22*$J$4+$M$4*$J$5+[53]FormattedData!D22^2*$J$6+$M$5*$J$7</f>
        <v>43.250036329315094</v>
      </c>
      <c r="L13" s="39">
        <f>$J$3+[53]FormattedData!E22*$J$4+$M$4*$J$5+[53]FormattedData!E22^2*$J$6+$M$5*$J$7</f>
        <v>42.51897779043108</v>
      </c>
      <c r="M13" s="39">
        <f>$J$3+[53]FormattedData!F22*$J$4+$M$4*$J$5+[53]FormattedData!F22^2*$J$6+$M$5*$J$7</f>
        <v>44.613479766929494</v>
      </c>
      <c r="N13" s="39">
        <f>$J$3+[53]FormattedData!G22*$J$4+$M$4*$J$5+[53]FormattedData!G22^2*$J$6+$M$5*$J$7</f>
        <v>42.427405264649884</v>
      </c>
      <c r="O13" s="39">
        <f>$J$3+[53]FormattedData!H22*$J$4+$M$4*$J$5+[53]FormattedData!H22^2*$J$6+$M$5*$J$7</f>
        <v>44.432236799574014</v>
      </c>
      <c r="P13" s="39">
        <f>$J$3+[53]FormattedData!I22*$J$4+$M$4*$J$5+[53]FormattedData!I22^2*$J$6+$M$5*$J$7</f>
        <v>42.335790470330764</v>
      </c>
      <c r="Q13" s="39">
        <f>$J$3+[53]FormattedData!J22*$J$4+$M$4*$J$5+[53]FormattedData!J22^2*$J$6+$M$5*$J$7</f>
        <v>43.432378278656785</v>
      </c>
      <c r="R13" s="39">
        <f>$J$3+[53]FormattedData!K22*$J$4+$M$4*$J$5+[53]FormattedData!K22^2*$J$6+$M$5*$J$7</f>
        <v>42.51897779043108</v>
      </c>
      <c r="S13" s="39">
        <f>$J$3+[53]FormattedData!L22*$J$4+$M$4*$J$5+[53]FormattedData!L22^2*$J$6+$M$5*$J$7</f>
        <v>43.887493452597219</v>
      </c>
      <c r="T13" s="39">
        <f>$J$3+[53]FormattedData!M22*$J$4+$M$4*$J$5+[53]FormattedData!M22^2*$J$6+$M$5*$J$7</f>
        <v>42.15243407607872</v>
      </c>
      <c r="U13" s="39">
        <f>$J$3+[53]FormattedData!N22*$J$4+$M$4*$J$5+[53]FormattedData!N22^2*$J$6+$M$5*$J$7</f>
        <v>43.97838968177151</v>
      </c>
      <c r="V13" s="39">
        <f>$J$3+[53]FormattedData!O22*$J$4+$M$4*$J$5+[53]FormattedData!O22^2*$J$6+$M$5*$J$7</f>
        <v>42.06069247614581</v>
      </c>
      <c r="W13" s="38">
        <f>AVERAGE(K13:V13)</f>
        <v>43.134024348075947</v>
      </c>
      <c r="X13" s="37">
        <f>STDEV(K13:V13)/SQRT(COUNT(K13:V13))</f>
        <v>0.2649456693828367</v>
      </c>
      <c r="Y13" s="36">
        <f>MIN(K13:V13)</f>
        <v>42.06069247614581</v>
      </c>
      <c r="Z13" s="35">
        <f>QUARTILE(K13:V13,1)</f>
        <v>42.404501566070103</v>
      </c>
      <c r="AA13" s="36">
        <f>MEDIAN(K13:V13)</f>
        <v>42.884507059873087</v>
      </c>
      <c r="AB13" s="35">
        <f>QUARTILE(K13:V13,3)</f>
        <v>43.910217509890792</v>
      </c>
      <c r="AC13" s="35">
        <f>MAX(K13:V13)</f>
        <v>44.613479766929494</v>
      </c>
      <c r="AD13" s="35">
        <f>SKEW(K13:V13)</f>
        <v>0.41978645079484017</v>
      </c>
      <c r="AE13" s="35">
        <f>KURT(K13:V13)</f>
        <v>-1.4423857226166006</v>
      </c>
    </row>
    <row r="14" spans="1:35" x14ac:dyDescent="0.2">
      <c r="B14" s="34">
        <f>[53]FormattedData!A20</f>
        <v>105</v>
      </c>
      <c r="C14" s="34" t="str">
        <f>VLOOKUP($B14,[53]TrtCodes!$B$11:I63,2)</f>
        <v>NDL</v>
      </c>
      <c r="D14" s="34">
        <f>VLOOKUP($B14,[53]TrtCodes!$B$11:J63,3)</f>
        <v>12</v>
      </c>
      <c r="E14" s="34">
        <f>VLOOKUP($B14,[53]TrtCodes!$B$11:K63,4)</f>
        <v>2</v>
      </c>
      <c r="F14" s="34">
        <f>VLOOKUP($B14,[53]TrtCodes!$B$11:L63,5)</f>
        <v>3</v>
      </c>
      <c r="G14" s="34">
        <f>VLOOKUP($B14,[53]TrtCodes!$B$11:M63,6)</f>
        <v>1</v>
      </c>
      <c r="H14" s="34">
        <f>VLOOKUP($B14,[53]TrtCodes!$B$11:N63,7)</f>
        <v>2</v>
      </c>
      <c r="I14" s="34">
        <f>[53]FormattedData!B20</f>
        <v>1</v>
      </c>
      <c r="J14" s="37">
        <f>[53]FormattedData!C20</f>
        <v>13.081</v>
      </c>
      <c r="K14" s="39">
        <f>$J$3+[53]FormattedData!D20*$J$4+$M$4*$J$5+[53]FormattedData!D20^2*$J$6+$M$5*$J$7</f>
        <v>43.97838968177151</v>
      </c>
      <c r="L14" s="39">
        <f>$J$3+[53]FormattedData!E20*$J$4+$M$4*$J$5+[53]FormattedData!E20^2*$J$6+$M$5*$J$7</f>
        <v>42.15243407607872</v>
      </c>
      <c r="M14" s="39">
        <f>$J$3+[53]FormattedData!F20*$J$4+$M$4*$J$5+[53]FormattedData!F20^2*$J$6+$M$5*$J$7</f>
        <v>44.704037847800343</v>
      </c>
      <c r="N14" s="39">
        <f>$J$3+[53]FormattedData!G20*$J$4+$M$4*$J$5+[53]FormattedData!G20^2*$J$6+$M$5*$J$7</f>
        <v>42.701996036379668</v>
      </c>
      <c r="O14" s="39">
        <f>$J$3+[53]FormattedData!H20*$J$4+$M$4*$J$5+[53]FormattedData!H20^2*$J$6+$M$5*$J$7</f>
        <v>45.156194224085596</v>
      </c>
      <c r="P14" s="39">
        <f>$J$3+[53]FormattedData!I20*$J$4+$M$4*$J$5+[53]FormattedData!I20^2*$J$6+$M$5*$J$7</f>
        <v>43.432378278656785</v>
      </c>
      <c r="Q14" s="39">
        <f>$J$3+[53]FormattedData!J20*$J$4+$M$4*$J$5+[53]FormattedData!J20^2*$J$6+$M$5*$J$7</f>
        <v>44.704037847800343</v>
      </c>
      <c r="R14" s="39">
        <f>$J$3+[53]FormattedData!K20*$J$4+$M$4*$J$5+[53]FormattedData!K20^2*$J$6+$M$5*$J$7</f>
        <v>43.614551153846747</v>
      </c>
      <c r="S14" s="39">
        <f>$J$3+[53]FormattedData!L20*$J$4+$M$4*$J$5+[53]FormattedData!L20^2*$J$6+$M$5*$J$7</f>
        <v>44.432236799574014</v>
      </c>
      <c r="T14" s="39">
        <f>$J$3+[53]FormattedData!M20*$J$4+$M$4*$J$5+[53]FormattedData!M20^2*$J$6+$M$5*$J$7</f>
        <v>43.614551153846747</v>
      </c>
      <c r="U14" s="39">
        <f>$J$3+[53]FormattedData!N20*$J$4+$M$4*$J$5+[53]FormattedData!N20^2*$J$6+$M$5*$J$7</f>
        <v>44.704037847800343</v>
      </c>
      <c r="V14" s="39">
        <f>$J$3+[53]FormattedData!O20*$J$4+$M$4*$J$5+[53]FormattedData!O20^2*$J$6+$M$5*$J$7</f>
        <v>42.884845208176536</v>
      </c>
      <c r="W14" s="38">
        <f>AVERAGE(K14:V14)</f>
        <v>43.839974179651449</v>
      </c>
      <c r="X14" s="37">
        <f>STDEV(K14:V14)/SQRT(COUNT(K14:V14))</f>
        <v>0.27059152155459543</v>
      </c>
      <c r="Y14" s="36">
        <f>MIN(K14:V14)</f>
        <v>42.15243407607872</v>
      </c>
      <c r="Z14" s="35">
        <f>QUARTILE(K14:V14,1)</f>
        <v>43.295495011036721</v>
      </c>
      <c r="AA14" s="36">
        <f>MEDIAN(K14:V14)</f>
        <v>43.796470417809132</v>
      </c>
      <c r="AB14" s="35">
        <f>QUARTILE(K14:V14,3)</f>
        <v>44.704037847800343</v>
      </c>
      <c r="AC14" s="35">
        <f>MAX(K14:V14)</f>
        <v>45.156194224085596</v>
      </c>
      <c r="AD14" s="35">
        <f>SKEW(K14:V14)</f>
        <v>-0.37291691833271134</v>
      </c>
      <c r="AE14" s="35">
        <f>KURT(K14:V14)</f>
        <v>-0.88000848588422498</v>
      </c>
    </row>
    <row r="15" spans="1:35" x14ac:dyDescent="0.2">
      <c r="B15" s="34">
        <f>[53]FormattedData!A18</f>
        <v>106</v>
      </c>
      <c r="C15" s="34" t="str">
        <f>VLOOKUP($B15,[53]TrtCodes!$B$11:I61,2)</f>
        <v>NTH</v>
      </c>
      <c r="D15" s="34">
        <f>VLOOKUP($B15,[53]TrtCodes!$B$11:J61,3)</f>
        <v>9</v>
      </c>
      <c r="E15" s="34">
        <f>VLOOKUP($B15,[53]TrtCodes!$B$11:K61,4)</f>
        <v>2</v>
      </c>
      <c r="F15" s="34">
        <f>VLOOKUP($B15,[53]TrtCodes!$B$11:L61,5)</f>
        <v>2</v>
      </c>
      <c r="G15" s="34">
        <f>VLOOKUP($B15,[53]TrtCodes!$B$11:M61,6)</f>
        <v>2</v>
      </c>
      <c r="H15" s="34">
        <f>VLOOKUP($B15,[53]TrtCodes!$B$11:N61,7)</f>
        <v>2</v>
      </c>
      <c r="I15" s="34">
        <f>[53]FormattedData!B18</f>
        <v>1</v>
      </c>
      <c r="J15" s="37">
        <f>[53]FormattedData!C18</f>
        <v>13.071999999999999</v>
      </c>
      <c r="K15" s="39">
        <f>$J$3+[53]FormattedData!D18*$J$4+$M$4*$J$5+[53]FormattedData!D18^2*$J$6+$M$5*$J$7</f>
        <v>43.97838968177151</v>
      </c>
      <c r="L15" s="39">
        <f>$J$3+[53]FormattedData!E18*$J$4+$M$4*$J$5+[53]FormattedData!E18^2*$J$6+$M$5*$J$7</f>
        <v>42.976206391268072</v>
      </c>
      <c r="M15" s="39">
        <f>$J$3+[53]FormattedData!F18*$J$4+$M$4*$J$5+[53]FormattedData!F18^2*$J$6+$M$5*$J$7</f>
        <v>43.97838968177151</v>
      </c>
      <c r="N15" s="39">
        <f>$J$3+[53]FormattedData!G18*$J$4+$M$4*$J$5+[53]FormattedData!G18^2*$J$6+$M$5*$J$7</f>
        <v>43.067525305821675</v>
      </c>
      <c r="O15" s="39">
        <f>$J$3+[53]FormattedData!H18*$J$4+$M$4*$J$5+[53]FormattedData!H18^2*$J$6+$M$5*$J$7</f>
        <v>43.887493452597219</v>
      </c>
      <c r="P15" s="39">
        <f>$J$3+[53]FormattedData!I18*$J$4+$M$4*$J$5+[53]FormattedData!I18^2*$J$6+$M$5*$J$7</f>
        <v>44.16005533450631</v>
      </c>
      <c r="Q15" s="39">
        <f>$J$3+[53]FormattedData!J18*$J$4+$M$4*$J$5+[53]FormattedData!J18^2*$J$6+$M$5*$J$7</f>
        <v>43.887493452597219</v>
      </c>
      <c r="R15" s="39">
        <f>$J$3+[53]FormattedData!K18*$J$4+$M$4*$J$5+[53]FormattedData!K18^2*$J$6+$M$5*$J$7</f>
        <v>44.885027203928232</v>
      </c>
      <c r="S15" s="39">
        <f>$J$3+[53]FormattedData!L18*$J$4+$M$4*$J$5+[53]FormattedData!L18^2*$J$6+$M$5*$J$7</f>
        <v>43.796554954884996</v>
      </c>
      <c r="T15" s="39">
        <f>$J$3+[53]FormattedData!M18*$J$4+$M$4*$J$5+[53]FormattedData!M18^2*$J$6+$M$5*$J$7</f>
        <v>43.432378278656785</v>
      </c>
      <c r="U15" s="39">
        <f>$J$3+[53]FormattedData!N18*$J$4+$M$4*$J$5+[53]FormattedData!N18^2*$J$6+$M$5*$J$7</f>
        <v>45.426980827401579</v>
      </c>
      <c r="V15" s="39">
        <f>$J$3+[53]FormattedData!O18*$J$4+$M$4*$J$5+[53]FormattedData!O18^2*$J$6+$M$5*$J$7</f>
        <v>42.976206391268072</v>
      </c>
      <c r="W15" s="38">
        <f>AVERAGE(K15:V15)</f>
        <v>43.871058413039428</v>
      </c>
      <c r="X15" s="37">
        <f>STDEV(K15:V15)/SQRT(COUNT(K15:V15))</f>
        <v>0.2132238735689152</v>
      </c>
      <c r="Y15" s="36">
        <f>MIN(K15:V15)</f>
        <v>42.976206391268072</v>
      </c>
      <c r="Z15" s="35">
        <f>QUARTILE(K15:V15,1)</f>
        <v>43.341165035448007</v>
      </c>
      <c r="AA15" s="36">
        <f>MEDIAN(K15:V15)</f>
        <v>43.887493452597219</v>
      </c>
      <c r="AB15" s="35">
        <f>QUARTILE(K15:V15,3)</f>
        <v>44.023806094955212</v>
      </c>
      <c r="AC15" s="35">
        <f>MAX(K15:V15)</f>
        <v>45.426980827401579</v>
      </c>
      <c r="AD15" s="35">
        <f>SKEW(K15:V15)</f>
        <v>0.75774390057470564</v>
      </c>
      <c r="AE15" s="35">
        <f>KURT(K15:V15)</f>
        <v>0.55201348043441723</v>
      </c>
    </row>
    <row r="16" spans="1:35" x14ac:dyDescent="0.2">
      <c r="B16" s="34">
        <f>[53]FormattedData!A16</f>
        <v>107</v>
      </c>
      <c r="C16" s="34" t="str">
        <f>VLOOKUP($B16,[53]TrtCodes!$B$11:I59,2)</f>
        <v>NTL</v>
      </c>
      <c r="D16" s="34">
        <f>VLOOKUP($B16,[53]TrtCodes!$B$11:J59,3)</f>
        <v>10</v>
      </c>
      <c r="E16" s="34">
        <f>VLOOKUP($B16,[53]TrtCodes!$B$11:K59,4)</f>
        <v>2</v>
      </c>
      <c r="F16" s="34">
        <f>VLOOKUP($B16,[53]TrtCodes!$B$11:L59,5)</f>
        <v>2</v>
      </c>
      <c r="G16" s="34">
        <f>VLOOKUP($B16,[53]TrtCodes!$B$11:M59,6)</f>
        <v>1</v>
      </c>
      <c r="H16" s="34">
        <f>VLOOKUP($B16,[53]TrtCodes!$B$11:N59,7)</f>
        <v>2</v>
      </c>
      <c r="I16" s="34">
        <f>[53]FormattedData!B16</f>
        <v>1</v>
      </c>
      <c r="J16" s="37">
        <f>[53]FormattedData!C16</f>
        <v>13.063000000000001</v>
      </c>
      <c r="K16" s="39">
        <f>$J$3+[53]FormattedData!D16*$J$4+$M$4*$J$5+[53]FormattedData!D16^2*$J$6+$M$5*$J$7</f>
        <v>44.975458479185292</v>
      </c>
      <c r="L16" s="39">
        <f>$J$3+[53]FormattedData!E16*$J$4+$M$4*$J$5+[53]FormattedData!E16^2*$J$6+$M$5*$J$7</f>
        <v>43.523485850520736</v>
      </c>
      <c r="M16" s="39">
        <f>$J$3+[53]FormattedData!F16*$J$4+$M$4*$J$5+[53]FormattedData!F16^2*$J$6+$M$5*$J$7</f>
        <v>45.697387013876181</v>
      </c>
      <c r="N16" s="39">
        <f>$J$3+[53]FormattedData!G16*$J$4+$M$4*$J$5+[53]FormattedData!G16^2*$J$6+$M$5*$J$7</f>
        <v>43.614551153846747</v>
      </c>
      <c r="O16" s="39">
        <f>$J$3+[53]FormattedData!H16*$J$4+$M$4*$J$5+[53]FormattedData!H16^2*$J$6+$M$5*$J$7</f>
        <v>45.426980827401579</v>
      </c>
      <c r="P16" s="39">
        <f>$J$3+[53]FormattedData!I16*$J$4+$M$4*$J$5+[53]FormattedData!I16^2*$J$6+$M$5*$J$7</f>
        <v>43.067525305821675</v>
      </c>
      <c r="Q16" s="39">
        <f>$J$3+[53]FormattedData!J16*$J$4+$M$4*$J$5+[53]FormattedData!J16^2*$J$6+$M$5*$J$7</f>
        <v>44.613479766929494</v>
      </c>
      <c r="R16" s="39">
        <f>$J$3+[53]FormattedData!K16*$J$4+$M$4*$J$5+[53]FormattedData!K16^2*$J$6+$M$5*$J$7</f>
        <v>44.069243642407869</v>
      </c>
      <c r="S16" s="39">
        <f>$J$3+[53]FormattedData!L16*$J$4+$M$4*$J$5+[53]FormattedData!L16^2*$J$6+$M$5*$J$7</f>
        <v>44.794553660133253</v>
      </c>
      <c r="T16" s="39">
        <f>$J$3+[53]FormattedData!M16*$J$4+$M$4*$J$5+[53]FormattedData!M16^2*$J$6+$M$5*$J$7</f>
        <v>44.341551913089376</v>
      </c>
      <c r="U16" s="39">
        <f>$J$3+[53]FormattedData!N16*$J$4+$M$4*$J$5+[53]FormattedData!N16^2*$J$6+$M$5*$J$7</f>
        <v>44.794553660133253</v>
      </c>
      <c r="V16" s="39">
        <f>$J$3+[53]FormattedData!O16*$J$4+$M$4*$J$5+[53]FormattedData!O16^2*$J$6+$M$5*$J$7</f>
        <v>44.341551913089376</v>
      </c>
      <c r="W16" s="38">
        <f>AVERAGE(K16:V16)</f>
        <v>44.438360265536232</v>
      </c>
      <c r="X16" s="37">
        <f>STDEV(K16:V16)/SQRT(COUNT(K16:V16))</f>
        <v>0.22504618546459165</v>
      </c>
      <c r="Y16" s="36">
        <f>MIN(K16:V16)</f>
        <v>43.067525305821675</v>
      </c>
      <c r="Z16" s="35">
        <f>QUARTILE(K16:V16,1)</f>
        <v>43.955570520267585</v>
      </c>
      <c r="AA16" s="36">
        <f>MEDIAN(K16:V16)</f>
        <v>44.477515840009431</v>
      </c>
      <c r="AB16" s="35">
        <f>QUARTILE(K16:V16,3)</f>
        <v>44.839779864896265</v>
      </c>
      <c r="AC16" s="35">
        <f>MAX(K16:V16)</f>
        <v>45.697387013876181</v>
      </c>
      <c r="AD16" s="35">
        <f>SKEW(K16:V16)</f>
        <v>-0.17045727198597807</v>
      </c>
      <c r="AE16" s="35">
        <f>KURT(K16:V16)</f>
        <v>-0.49430137534814511</v>
      </c>
    </row>
    <row r="17" spans="2:31" x14ac:dyDescent="0.2">
      <c r="B17" s="34">
        <f>[53]FormattedData!A14</f>
        <v>108</v>
      </c>
      <c r="C17" s="34" t="str">
        <f>VLOOKUP($B17,[53]TrtCodes!$B$11:I57,2)</f>
        <v>FTH</v>
      </c>
      <c r="D17" s="34">
        <f>VLOOKUP($B17,[53]TrtCodes!$B$11:J57,3)</f>
        <v>3</v>
      </c>
      <c r="E17" s="34">
        <f>VLOOKUP($B17,[53]TrtCodes!$B$11:K57,4)</f>
        <v>1</v>
      </c>
      <c r="F17" s="34">
        <f>VLOOKUP($B17,[53]TrtCodes!$B$11:L57,5)</f>
        <v>2</v>
      </c>
      <c r="G17" s="34">
        <f>VLOOKUP($B17,[53]TrtCodes!$B$11:M57,6)</f>
        <v>2</v>
      </c>
      <c r="H17" s="34">
        <f>VLOOKUP($B17,[53]TrtCodes!$B$11:N57,7)</f>
        <v>2</v>
      </c>
      <c r="I17" s="34">
        <f>[53]FormattedData!B14</f>
        <v>1</v>
      </c>
      <c r="J17" s="37">
        <f>[53]FormattedData!C14</f>
        <v>13.054</v>
      </c>
      <c r="K17" s="39">
        <f>$J$3+[53]FormattedData!D14*$J$4+$M$4*$J$5+[53]FormattedData!D14^2*$J$6+$M$5*$J$7</f>
        <v>42.976206391268072</v>
      </c>
      <c r="L17" s="39">
        <f>$J$3+[53]FormattedData!E14*$J$4+$M$4*$J$5+[53]FormattedData!E14^2*$J$6+$M$5*$J$7</f>
        <v>43.796554954884996</v>
      </c>
      <c r="M17" s="39">
        <f>$J$3+[53]FormattedData!F14*$J$4+$M$4*$J$5+[53]FormattedData!F14^2*$J$6+$M$5*$J$7</f>
        <v>46.685621686862333</v>
      </c>
      <c r="N17" s="39">
        <f>$J$3+[53]FormattedData!G14*$J$4+$M$4*$J$5+[53]FormattedData!G14^2*$J$6+$M$5*$J$7</f>
        <v>43.887493452597219</v>
      </c>
      <c r="O17" s="39">
        <f>$J$3+[53]FormattedData!H14*$J$4+$M$4*$J$5+[53]FormattedData!H14^2*$J$6+$M$5*$J$7</f>
        <v>46.595993513825988</v>
      </c>
      <c r="P17" s="39">
        <f>$J$3+[53]FormattedData!I14*$J$4+$M$4*$J$5+[53]FormattedData!I14^2*$J$6+$M$5*$J$7</f>
        <v>43.97838968177151</v>
      </c>
      <c r="Q17" s="39">
        <f>$J$3+[53]FormattedData!J14*$J$4+$M$4*$J$5+[53]FormattedData!J14^2*$J$6+$M$5*$J$7</f>
        <v>46.326855383489317</v>
      </c>
      <c r="R17" s="39">
        <f>$J$3+[53]FormattedData!K14*$J$4+$M$4*$J$5+[53]FormattedData!K14^2*$J$6+$M$5*$J$7</f>
        <v>43.523485850520736</v>
      </c>
      <c r="S17" s="39">
        <f>$J$3+[53]FormattedData!L14*$J$4+$M$4*$J$5+[53]FormattedData!L14^2*$J$6+$M$5*$J$7</f>
        <v>45.336760894834178</v>
      </c>
      <c r="T17" s="39">
        <f>$J$3+[53]FormattedData!M14*$J$4+$M$4*$J$5+[53]FormattedData!M14^2*$J$6+$M$5*$J$7</f>
        <v>43.705574188634841</v>
      </c>
      <c r="U17" s="39">
        <f>$J$3+[53]FormattedData!N14*$J$4+$M$4*$J$5+[53]FormattedData!N14^2*$J$6+$M$5*$J$7</f>
        <v>44.069243642407869</v>
      </c>
      <c r="V17" s="39">
        <f>$J$3+[53]FormattedData!O14*$J$4+$M$4*$J$5+[53]FormattedData!O14^2*$J$6+$M$5*$J$7</f>
        <v>43.887493452597219</v>
      </c>
      <c r="W17" s="38">
        <f>AVERAGE(K17:V17)</f>
        <v>44.564139424474519</v>
      </c>
      <c r="X17" s="37">
        <f>STDEV(K17:V17)/SQRT(COUNT(K17:V17))</f>
        <v>0.37706768360404463</v>
      </c>
      <c r="Y17" s="36">
        <f>MIN(K17:V17)</f>
        <v>42.976206391268072</v>
      </c>
      <c r="Z17" s="35">
        <f>QUARTILE(K17:V17,1)</f>
        <v>43.773809763322461</v>
      </c>
      <c r="AA17" s="36">
        <f>MEDIAN(K17:V17)</f>
        <v>43.932941567184365</v>
      </c>
      <c r="AB17" s="35">
        <f>QUARTILE(K17:V17,3)</f>
        <v>45.584284516997961</v>
      </c>
      <c r="AC17" s="35">
        <f>MAX(K17:V17)</f>
        <v>46.685621686862333</v>
      </c>
      <c r="AD17" s="35">
        <f>SKEW(K17:V17)</f>
        <v>0.81830064966723715</v>
      </c>
      <c r="AE17" s="35">
        <f>KURT(K17:V17)</f>
        <v>-0.98414412278109697</v>
      </c>
    </row>
    <row r="18" spans="2:31" x14ac:dyDescent="0.2">
      <c r="B18" s="34">
        <f>[53]FormattedData!A30</f>
        <v>201</v>
      </c>
      <c r="C18" s="34" t="str">
        <f>VLOOKUP($B18,[53]TrtCodes!$B$11:I73,2)</f>
        <v>NDL</v>
      </c>
      <c r="D18" s="34">
        <f>VLOOKUP($B18,[53]TrtCodes!$B$11:J73,3)</f>
        <v>12</v>
      </c>
      <c r="E18" s="34">
        <f>VLOOKUP($B18,[53]TrtCodes!$B$11:K73,4)</f>
        <v>2</v>
      </c>
      <c r="F18" s="34">
        <f>VLOOKUP($B18,[53]TrtCodes!$B$11:L73,5)</f>
        <v>3</v>
      </c>
      <c r="G18" s="34">
        <f>VLOOKUP($B18,[53]TrtCodes!$B$11:M73,6)</f>
        <v>1</v>
      </c>
      <c r="H18" s="34">
        <f>VLOOKUP($B18,[53]TrtCodes!$B$11:N73,7)</f>
        <v>1</v>
      </c>
      <c r="I18" s="34">
        <f>[53]FormattedData!B30</f>
        <v>1</v>
      </c>
      <c r="J18" s="37">
        <f>[53]FormattedData!C30</f>
        <v>13.132999999999999</v>
      </c>
      <c r="K18" s="39">
        <f>$J$3+[53]FormattedData!D30*$J$4+$M$4*$J$5+[53]FormattedData!D30^2*$J$6+$M$5*$J$7</f>
        <v>44.250824758066813</v>
      </c>
      <c r="L18" s="39">
        <f>$J$3+[53]FormattedData!E30*$J$4+$M$4*$J$5+[53]FormattedData!E30^2*$J$6+$M$5*$J$7</f>
        <v>43.614551153846747</v>
      </c>
      <c r="M18" s="39">
        <f>$J$3+[53]FormattedData!F30*$J$4+$M$4*$J$5+[53]FormattedData!F30^2*$J$6+$M$5*$J$7</f>
        <v>44.704037847800343</v>
      </c>
      <c r="N18" s="39">
        <f>$J$3+[53]FormattedData!G30*$J$4+$M$4*$J$5+[53]FormattedData!G30^2*$J$6+$M$5*$J$7</f>
        <v>43.250036329315094</v>
      </c>
      <c r="O18" s="39">
        <f>$J$3+[53]FormattedData!H30*$J$4+$M$4*$J$5+[53]FormattedData!H30^2*$J$6+$M$5*$J$7</f>
        <v>45.246498693728853</v>
      </c>
      <c r="P18" s="39">
        <f>$J$3+[53]FormattedData!I30*$J$4+$M$4*$J$5+[53]FormattedData!I30^2*$J$6+$M$5*$J$7</f>
        <v>44.341551913089376</v>
      </c>
      <c r="Q18" s="39">
        <f>$J$3+[53]FormattedData!J30*$J$4+$M$4*$J$5+[53]FormattedData!J30^2*$J$6+$M$5*$J$7</f>
        <v>44.250824758066813</v>
      </c>
      <c r="R18" s="39">
        <f>$J$3+[53]FormattedData!K30*$J$4+$M$4*$J$5+[53]FormattedData!K30^2*$J$6+$M$5*$J$7</f>
        <v>43.250036329315094</v>
      </c>
      <c r="S18" s="39">
        <f>$J$3+[53]FormattedData!L30*$J$4+$M$4*$J$5+[53]FormattedData!L30^2*$J$6+$M$5*$J$7</f>
        <v>45.877446462169587</v>
      </c>
      <c r="T18" s="39">
        <f>$J$3+[53]FormattedData!M30*$J$4+$M$4*$J$5+[53]FormattedData!M30^2*$J$6+$M$5*$J$7</f>
        <v>42.884845208176536</v>
      </c>
      <c r="U18" s="39">
        <f>$J$3+[53]FormattedData!N30*$J$4+$M$4*$J$5+[53]FormattedData!N30^2*$J$6+$M$5*$J$7</f>
        <v>45.336760894834178</v>
      </c>
      <c r="V18" s="39">
        <f>$J$3+[53]FormattedData!O30*$J$4+$M$4*$J$5+[53]FormattedData!O30^2*$J$6+$M$5*$J$7</f>
        <v>43.341228438254909</v>
      </c>
      <c r="W18" s="38">
        <f>AVERAGE(K18:V18)</f>
        <v>44.195720232222037</v>
      </c>
      <c r="X18" s="37">
        <f>STDEV(K18:V18)/SQRT(COUNT(K18:V18))</f>
        <v>0.27654500040819163</v>
      </c>
      <c r="Y18" s="36">
        <f>MIN(K18:V18)</f>
        <v>42.884845208176536</v>
      </c>
      <c r="Z18" s="35">
        <f>QUARTILE(K18:V18,1)</f>
        <v>43.318430411019953</v>
      </c>
      <c r="AA18" s="36">
        <f>MEDIAN(K18:V18)</f>
        <v>44.250824758066813</v>
      </c>
      <c r="AB18" s="35">
        <f>QUARTILE(K18:V18,3)</f>
        <v>44.839653059282469</v>
      </c>
      <c r="AC18" s="35">
        <f>MAX(K18:V18)</f>
        <v>45.877446462169587</v>
      </c>
      <c r="AD18" s="35">
        <f>SKEW(K18:V18)</f>
        <v>0.3440329241060831</v>
      </c>
      <c r="AE18" s="35">
        <f>KURT(K18:V18)</f>
        <v>-1.0061424619168329</v>
      </c>
    </row>
    <row r="19" spans="2:31" x14ac:dyDescent="0.2">
      <c r="B19" s="34">
        <f>[53]FormattedData!A32</f>
        <v>202</v>
      </c>
      <c r="C19" s="34" t="str">
        <f>VLOOKUP($B19,[53]TrtCodes!$B$11:I75,2)</f>
        <v>NTH</v>
      </c>
      <c r="D19" s="34">
        <f>VLOOKUP($B19,[53]TrtCodes!$B$11:J75,3)</f>
        <v>9</v>
      </c>
      <c r="E19" s="34">
        <f>VLOOKUP($B19,[53]TrtCodes!$B$11:K75,4)</f>
        <v>2</v>
      </c>
      <c r="F19" s="34">
        <f>VLOOKUP($B19,[53]TrtCodes!$B$11:L75,5)</f>
        <v>2</v>
      </c>
      <c r="G19" s="34">
        <f>VLOOKUP($B19,[53]TrtCodes!$B$11:M75,6)</f>
        <v>2</v>
      </c>
      <c r="H19" s="34">
        <f>VLOOKUP($B19,[53]TrtCodes!$B$11:N75,7)</f>
        <v>1</v>
      </c>
      <c r="I19" s="34">
        <f>[53]FormattedData!B32</f>
        <v>1</v>
      </c>
      <c r="J19" s="37">
        <f>[53]FormattedData!C32</f>
        <v>13.138</v>
      </c>
      <c r="K19" s="39">
        <f>$J$3+[53]FormattedData!D32*$J$4+$M$4*$J$5+[53]FormattedData!D32^2*$J$6+$M$5*$J$7</f>
        <v>44.341551913089376</v>
      </c>
      <c r="L19" s="39">
        <f>$J$3+[53]FormattedData!E32*$J$4+$M$4*$J$5+[53]FormattedData!E32^2*$J$6+$M$5*$J$7</f>
        <v>42.976206391268072</v>
      </c>
      <c r="M19" s="39">
        <f>$J$3+[53]FormattedData!F32*$J$4+$M$4*$J$5+[53]FormattedData!F32^2*$J$6+$M$5*$J$7</f>
        <v>45.246498693728853</v>
      </c>
      <c r="N19" s="39">
        <f>$J$3+[53]FormattedData!G32*$J$4+$M$4*$J$5+[53]FormattedData!G32^2*$J$6+$M$5*$J$7</f>
        <v>43.067525305821675</v>
      </c>
      <c r="O19" s="39">
        <f>$J$3+[53]FormattedData!H32*$J$4+$M$4*$J$5+[53]FormattedData!H32^2*$J$6+$M$5*$J$7</f>
        <v>45.246498693728853</v>
      </c>
      <c r="P19" s="39">
        <f>$J$3+[53]FormattedData!I32*$J$4+$M$4*$J$5+[53]FormattedData!I32^2*$J$6+$M$5*$J$7</f>
        <v>43.614551153846747</v>
      </c>
      <c r="Q19" s="39">
        <f>$J$3+[53]FormattedData!J32*$J$4+$M$4*$J$5+[53]FormattedData!J32^2*$J$6+$M$5*$J$7</f>
        <v>44.250824758066813</v>
      </c>
      <c r="R19" s="39">
        <f>$J$3+[53]FormattedData!K32*$J$4+$M$4*$J$5+[53]FormattedData!K32^2*$J$6+$M$5*$J$7</f>
        <v>43.796554954884996</v>
      </c>
      <c r="S19" s="39">
        <f>$J$3+[53]FormattedData!L32*$J$4+$M$4*$J$5+[53]FormattedData!L32^2*$J$6+$M$5*$J$7</f>
        <v>43.705574188634841</v>
      </c>
      <c r="T19" s="39">
        <f>$J$3+[53]FormattedData!M32*$J$4+$M$4*$J$5+[53]FormattedData!M32^2*$J$6+$M$5*$J$7</f>
        <v>43.796554954884996</v>
      </c>
      <c r="U19" s="39">
        <f>$J$3+[53]FormattedData!N32*$J$4+$M$4*$J$5+[53]FormattedData!N32^2*$J$6+$M$5*$J$7</f>
        <v>45.156194224085596</v>
      </c>
      <c r="V19" s="39">
        <f>$J$3+[53]FormattedData!O32*$J$4+$M$4*$J$5+[53]FormattedData!O32^2*$J$6+$M$5*$J$7</f>
        <v>43.250036329315094</v>
      </c>
      <c r="W19" s="38">
        <f>AVERAGE(K19:V19)</f>
        <v>44.037380963446331</v>
      </c>
      <c r="X19" s="37">
        <f>STDEV(K19:V19)/SQRT(COUNT(K19:V19))</f>
        <v>0.23685519905683883</v>
      </c>
      <c r="Y19" s="36">
        <f>MIN(K19:V19)</f>
        <v>42.976206391268072</v>
      </c>
      <c r="Z19" s="35">
        <f>QUARTILE(K19:V19,1)</f>
        <v>43.523422447713834</v>
      </c>
      <c r="AA19" s="36">
        <f>MEDIAN(K19:V19)</f>
        <v>43.796554954884996</v>
      </c>
      <c r="AB19" s="35">
        <f>QUARTILE(K19:V19,3)</f>
        <v>44.545212490838431</v>
      </c>
      <c r="AC19" s="35">
        <f>MAX(K19:V19)</f>
        <v>45.246498693728853</v>
      </c>
      <c r="AD19" s="35">
        <f>SKEW(K19:V19)</f>
        <v>0.44206906901388104</v>
      </c>
      <c r="AE19" s="35">
        <f>KURT(K19:V19)</f>
        <v>-1.0987625411352764</v>
      </c>
    </row>
    <row r="20" spans="2:31" x14ac:dyDescent="0.2">
      <c r="B20" s="34">
        <f>[53]FormattedData!A34</f>
        <v>203</v>
      </c>
      <c r="C20" s="34" t="str">
        <f>VLOOKUP($B20,[53]TrtCodes!$B$11:I77,2)</f>
        <v>FTH</v>
      </c>
      <c r="D20" s="34">
        <f>VLOOKUP($B20,[53]TrtCodes!$B$11:J77,3)</f>
        <v>3</v>
      </c>
      <c r="E20" s="34">
        <f>VLOOKUP($B20,[53]TrtCodes!$B$11:K77,4)</f>
        <v>1</v>
      </c>
      <c r="F20" s="34">
        <f>VLOOKUP($B20,[53]TrtCodes!$B$11:L77,5)</f>
        <v>2</v>
      </c>
      <c r="G20" s="34">
        <f>VLOOKUP($B20,[53]TrtCodes!$B$11:M77,6)</f>
        <v>2</v>
      </c>
      <c r="H20" s="34">
        <f>VLOOKUP($B20,[53]TrtCodes!$B$11:N77,7)</f>
        <v>1</v>
      </c>
      <c r="I20" s="34">
        <f>[53]FormattedData!B34</f>
        <v>1</v>
      </c>
      <c r="J20" s="37">
        <f>[53]FormattedData!C34</f>
        <v>13.146000000000001</v>
      </c>
      <c r="K20" s="39">
        <f>$J$3+[53]FormattedData!D34*$J$4+$M$4*$J$5+[53]FormattedData!D34^2*$J$6+$M$5*$J$7</f>
        <v>44.16005533450631</v>
      </c>
      <c r="L20" s="39">
        <f>$J$3+[53]FormattedData!E34*$J$4+$M$4*$J$5+[53]FormattedData!E34^2*$J$6+$M$5*$J$7</f>
        <v>43.523485850520736</v>
      </c>
      <c r="M20" s="39">
        <f>$J$3+[53]FormattedData!F34*$J$4+$M$4*$J$5+[53]FormattedData!F34^2*$J$6+$M$5*$J$7</f>
        <v>45.697387013876181</v>
      </c>
      <c r="N20" s="39">
        <f>$J$3+[53]FormattedData!G34*$J$4+$M$4*$J$5+[53]FormattedData!G34^2*$J$6+$M$5*$J$7</f>
        <v>43.067525305821675</v>
      </c>
      <c r="O20" s="39">
        <f>$J$3+[53]FormattedData!H34*$J$4+$M$4*$J$5+[53]FormattedData!H34^2*$J$6+$M$5*$J$7</f>
        <v>45.607293886922577</v>
      </c>
      <c r="P20" s="39">
        <f>$J$3+[53]FormattedData!I34*$J$4+$M$4*$J$5+[53]FormattedData!I34^2*$J$6+$M$5*$J$7</f>
        <v>43.158801951837347</v>
      </c>
      <c r="Q20" s="39">
        <f>$J$3+[53]FormattedData!J34*$J$4+$M$4*$J$5+[53]FormattedData!J34^2*$J$6+$M$5*$J$7</f>
        <v>45.246498693728853</v>
      </c>
      <c r="R20" s="39">
        <f>$J$3+[53]FormattedData!K34*$J$4+$M$4*$J$5+[53]FormattedData!K34^2*$J$6+$M$5*$J$7</f>
        <v>43.887493452597219</v>
      </c>
      <c r="S20" s="39">
        <f>$J$3+[53]FormattedData!L34*$J$4+$M$4*$J$5+[53]FormattedData!L34^2*$J$6+$M$5*$J$7</f>
        <v>46.057336836311272</v>
      </c>
      <c r="T20" s="39">
        <f>$J$3+[53]FormattedData!M34*$J$4+$M$4*$J$5+[53]FormattedData!M34^2*$J$6+$M$5*$J$7</f>
        <v>45.246498693728853</v>
      </c>
      <c r="U20" s="39">
        <f>$J$3+[53]FormattedData!N34*$J$4+$M$4*$J$5+[53]FormattedData!N34^2*$J$6+$M$5*$J$7</f>
        <v>44.522879417520713</v>
      </c>
      <c r="V20" s="39">
        <f>$J$3+[53]FormattedData!O34*$J$4+$M$4*$J$5+[53]FormattedData!O34^2*$J$6+$M$5*$J$7</f>
        <v>43.705574188634841</v>
      </c>
      <c r="W20" s="38">
        <f>AVERAGE(K20:V20)</f>
        <v>44.490069218833874</v>
      </c>
      <c r="X20" s="37">
        <f>STDEV(K20:V20)/SQRT(COUNT(K20:V20))</f>
        <v>0.30308025878442807</v>
      </c>
      <c r="Y20" s="36">
        <f>MIN(K20:V20)</f>
        <v>43.067525305821675</v>
      </c>
      <c r="Z20" s="35">
        <f>QUARTILE(K20:V20,1)</f>
        <v>43.660052104106313</v>
      </c>
      <c r="AA20" s="36">
        <f>MEDIAN(K20:V20)</f>
        <v>44.341467376013512</v>
      </c>
      <c r="AB20" s="35">
        <f>QUARTILE(K20:V20,3)</f>
        <v>45.336697492027284</v>
      </c>
      <c r="AC20" s="35">
        <f>MAX(K20:V20)</f>
        <v>46.057336836311272</v>
      </c>
      <c r="AD20" s="35">
        <f>SKEW(K20:V20)</f>
        <v>9.3418528949058888E-2</v>
      </c>
      <c r="AE20" s="35">
        <f>KURT(K20:V20)</f>
        <v>-1.5689772759086371</v>
      </c>
    </row>
    <row r="21" spans="2:31" x14ac:dyDescent="0.2">
      <c r="B21" s="34">
        <f>[53]FormattedData!A36</f>
        <v>204</v>
      </c>
      <c r="C21" s="34" t="str">
        <f>VLOOKUP($B21,[53]TrtCodes!$B$11:I79,2)</f>
        <v>NDH</v>
      </c>
      <c r="D21" s="34">
        <f>VLOOKUP($B21,[53]TrtCodes!$B$11:J79,3)</f>
        <v>11</v>
      </c>
      <c r="E21" s="34">
        <f>VLOOKUP($B21,[53]TrtCodes!$B$11:K79,4)</f>
        <v>2</v>
      </c>
      <c r="F21" s="34">
        <f>VLOOKUP($B21,[53]TrtCodes!$B$11:L79,5)</f>
        <v>3</v>
      </c>
      <c r="G21" s="34">
        <f>VLOOKUP($B21,[53]TrtCodes!$B$11:M79,6)</f>
        <v>2</v>
      </c>
      <c r="H21" s="34">
        <f>VLOOKUP($B21,[53]TrtCodes!$B$11:N79,7)</f>
        <v>1</v>
      </c>
      <c r="I21" s="34">
        <f>[53]FormattedData!B36</f>
        <v>1</v>
      </c>
      <c r="J21" s="37">
        <f>[53]FormattedData!C36</f>
        <v>13.151999999999999</v>
      </c>
      <c r="K21" s="39">
        <f>$J$3+[53]FormattedData!D36*$J$4+$M$4*$J$5+[53]FormattedData!D36^2*$J$6+$M$5*$J$7</f>
        <v>43.523485850520736</v>
      </c>
      <c r="L21" s="39">
        <f>$J$3+[53]FormattedData!E36*$J$4+$M$4*$J$5+[53]FormattedData!E36^2*$J$6+$M$5*$J$7</f>
        <v>43.432378278656785</v>
      </c>
      <c r="M21" s="39">
        <f>$J$3+[53]FormattedData!F36*$J$4+$M$4*$J$5+[53]FormattedData!F36^2*$J$6+$M$5*$J$7</f>
        <v>44.885027203928232</v>
      </c>
      <c r="N21" s="39">
        <f>$J$3+[53]FormattedData!G36*$J$4+$M$4*$J$5+[53]FormattedData!G36^2*$J$6+$M$5*$J$7</f>
        <v>43.158801951837347</v>
      </c>
      <c r="O21" s="39">
        <f>$J$3+[53]FormattedData!H36*$J$4+$M$4*$J$5+[53]FormattedData!H36^2*$J$6+$M$5*$J$7</f>
        <v>45.967412783509388</v>
      </c>
      <c r="P21" s="39">
        <f>$J$3+[53]FormattedData!I36*$J$4+$M$4*$J$5+[53]FormattedData!I36^2*$J$6+$M$5*$J$7</f>
        <v>43.250036329315094</v>
      </c>
      <c r="Q21" s="39">
        <f>$J$3+[53]FormattedData!J36*$J$4+$M$4*$J$5+[53]FormattedData!J36^2*$J$6+$M$5*$J$7</f>
        <v>45.787437872291839</v>
      </c>
      <c r="R21" s="39">
        <f>$J$3+[53]FormattedData!K36*$J$4+$M$4*$J$5+[53]FormattedData!K36^2*$J$6+$M$5*$J$7</f>
        <v>43.523485850520736</v>
      </c>
      <c r="S21" s="39">
        <f>$J$3+[53]FormattedData!L36*$J$4+$M$4*$J$5+[53]FormattedData!L36^2*$J$6+$M$5*$J$7</f>
        <v>45.697387013876181</v>
      </c>
      <c r="T21" s="39">
        <f>$J$3+[53]FormattedData!M36*$J$4+$M$4*$J$5+[53]FormattedData!M36^2*$J$6+$M$5*$J$7</f>
        <v>43.158801951837347</v>
      </c>
      <c r="U21" s="39">
        <f>$J$3+[53]FormattedData!N36*$J$4+$M$4*$J$5+[53]FormattedData!N36^2*$J$6+$M$5*$J$7</f>
        <v>45.787437872291839</v>
      </c>
      <c r="V21" s="39">
        <f>$J$3+[53]FormattedData!O36*$J$4+$M$4*$J$5+[53]FormattedData!O36^2*$J$6+$M$5*$J$7</f>
        <v>43.523485850520736</v>
      </c>
      <c r="W21" s="38">
        <f>AVERAGE(K21:V21)</f>
        <v>44.30793156742552</v>
      </c>
      <c r="X21" s="37">
        <f>STDEV(K21:V21)/SQRT(COUNT(K21:V21))</f>
        <v>0.34562394634175897</v>
      </c>
      <c r="Y21" s="36">
        <f>MIN(K21:V21)</f>
        <v>43.158801951837347</v>
      </c>
      <c r="Z21" s="35">
        <f>QUARTILE(K21:V21,1)</f>
        <v>43.386792791321362</v>
      </c>
      <c r="AA21" s="36">
        <f>MEDIAN(K21:V21)</f>
        <v>43.523485850520736</v>
      </c>
      <c r="AB21" s="35">
        <f>QUARTILE(K21:V21,3)</f>
        <v>45.719899728480094</v>
      </c>
      <c r="AC21" s="35">
        <f>MAX(K21:V21)</f>
        <v>45.967412783509388</v>
      </c>
      <c r="AD21" s="35">
        <f>SKEW(K21:V21)</f>
        <v>0.4820404885151115</v>
      </c>
      <c r="AE21" s="35">
        <f>KURT(K21:V21)</f>
        <v>-1.9269136668418145</v>
      </c>
    </row>
    <row r="22" spans="2:31" x14ac:dyDescent="0.2">
      <c r="B22" s="34">
        <f>[53]FormattedData!A38</f>
        <v>205</v>
      </c>
      <c r="C22" s="34" t="str">
        <f>VLOOKUP($B22,[53]TrtCodes!$B$11:I81,2)</f>
        <v>FSH</v>
      </c>
      <c r="D22" s="34">
        <f>VLOOKUP($B22,[53]TrtCodes!$B$11:J81,3)</f>
        <v>1</v>
      </c>
      <c r="E22" s="34">
        <f>VLOOKUP($B22,[53]TrtCodes!$B$11:K81,4)</f>
        <v>1</v>
      </c>
      <c r="F22" s="34">
        <f>VLOOKUP($B22,[53]TrtCodes!$B$11:L81,5)</f>
        <v>1</v>
      </c>
      <c r="G22" s="34">
        <f>VLOOKUP($B22,[53]TrtCodes!$B$11:M81,6)</f>
        <v>2</v>
      </c>
      <c r="H22" s="34">
        <f>VLOOKUP($B22,[53]TrtCodes!$B$11:N81,7)</f>
        <v>2</v>
      </c>
      <c r="I22" s="34">
        <f>[53]FormattedData!B38</f>
        <v>1</v>
      </c>
      <c r="J22" s="37">
        <f>[53]FormattedData!C38</f>
        <v>13.157999999999999</v>
      </c>
      <c r="K22" s="39">
        <f>$J$3+[53]FormattedData!D38*$J$4+$M$4*$J$5+[53]FormattedData!D38^2*$J$6+$M$5*$J$7</f>
        <v>43.796554954884996</v>
      </c>
      <c r="L22" s="39">
        <f>$J$3+[53]FormattedData!E38*$J$4+$M$4*$J$5+[53]FormattedData!E38^2*$J$6+$M$5*$J$7</f>
        <v>42.701996036379668</v>
      </c>
      <c r="M22" s="39">
        <f>$J$3+[53]FormattedData!F38*$J$4+$M$4*$J$5+[53]FormattedData!F38^2*$J$6+$M$5*$J$7</f>
        <v>45.607293886922577</v>
      </c>
      <c r="N22" s="39">
        <f>$J$3+[53]FormattedData!G38*$J$4+$M$4*$J$5+[53]FormattedData!G38^2*$J$6+$M$5*$J$7</f>
        <v>42.884845208176536</v>
      </c>
      <c r="O22" s="39">
        <f>$J$3+[53]FormattedData!H38*$J$4+$M$4*$J$5+[53]FormattedData!H38^2*$J$6+$M$5*$J$7</f>
        <v>45.336760894834178</v>
      </c>
      <c r="P22" s="39">
        <f>$J$3+[53]FormattedData!I38*$J$4+$M$4*$J$5+[53]FormattedData!I38^2*$J$6+$M$5*$J$7</f>
        <v>43.341228438254909</v>
      </c>
      <c r="Q22" s="39">
        <f>$J$3+[53]FormattedData!J38*$J$4+$M$4*$J$5+[53]FormattedData!J38^2*$J$6+$M$5*$J$7</f>
        <v>45.336760894834178</v>
      </c>
      <c r="R22" s="39">
        <f>$J$3+[53]FormattedData!K38*$J$4+$M$4*$J$5+[53]FormattedData!K38^2*$J$6+$M$5*$J$7</f>
        <v>42.427405264649884</v>
      </c>
      <c r="S22" s="39">
        <f>$J$3+[53]FormattedData!L38*$J$4+$M$4*$J$5+[53]FormattedData!L38^2*$J$6+$M$5*$J$7</f>
        <v>45.697387013876181</v>
      </c>
      <c r="T22" s="39">
        <f>$J$3+[53]FormattedData!M38*$J$4+$M$4*$J$5+[53]FormattedData!M38^2*$J$6+$M$5*$J$7</f>
        <v>43.341228438254909</v>
      </c>
      <c r="U22" s="39">
        <f>$J$3+[53]FormattedData!N38*$J$4+$M$4*$J$5+[53]FormattedData!N38^2*$J$6+$M$5*$J$7</f>
        <v>45.877446462169587</v>
      </c>
      <c r="V22" s="39">
        <f>$J$3+[53]FormattedData!O38*$J$4+$M$4*$J$5+[53]FormattedData!O38^2*$J$6+$M$5*$J$7</f>
        <v>42.701996036379668</v>
      </c>
      <c r="W22" s="38">
        <f>AVERAGE(K22:V22)</f>
        <v>44.08757529413478</v>
      </c>
      <c r="X22" s="37">
        <f>STDEV(K22:V22)/SQRT(COUNT(K22:V22))</f>
        <v>0.39376533682844256</v>
      </c>
      <c r="Y22" s="36">
        <f>MIN(K22:V22)</f>
        <v>42.427405264649884</v>
      </c>
      <c r="Z22" s="35">
        <f>QUARTILE(K22:V22,1)</f>
        <v>42.839132915227317</v>
      </c>
      <c r="AA22" s="36">
        <f>MEDIAN(K22:V22)</f>
        <v>43.568891696569949</v>
      </c>
      <c r="AB22" s="35">
        <f>QUARTILE(K22:V22,3)</f>
        <v>45.404394142856276</v>
      </c>
      <c r="AC22" s="35">
        <f>MAX(K22:V22)</f>
        <v>45.877446462169587</v>
      </c>
      <c r="AD22" s="35">
        <f>SKEW(K22:V22)</f>
        <v>0.20729306988479049</v>
      </c>
      <c r="AE22" s="35">
        <f>KURT(K22:V22)</f>
        <v>-1.990903563724105</v>
      </c>
    </row>
    <row r="23" spans="2:31" x14ac:dyDescent="0.2">
      <c r="B23" s="34">
        <f>[53]FormattedData!A40</f>
        <v>206</v>
      </c>
      <c r="C23" s="34" t="str">
        <f>VLOOKUP($B23,[53]TrtCodes!$B$11:I83,2)</f>
        <v>NSL</v>
      </c>
      <c r="D23" s="34">
        <f>VLOOKUP($B23,[53]TrtCodes!$B$11:J83,3)</f>
        <v>8</v>
      </c>
      <c r="E23" s="34">
        <f>VLOOKUP($B23,[53]TrtCodes!$B$11:K83,4)</f>
        <v>2</v>
      </c>
      <c r="F23" s="34">
        <f>VLOOKUP($B23,[53]TrtCodes!$B$11:L83,5)</f>
        <v>1</v>
      </c>
      <c r="G23" s="34">
        <f>VLOOKUP($B23,[53]TrtCodes!$B$11:M83,6)</f>
        <v>1</v>
      </c>
      <c r="H23" s="34">
        <f>VLOOKUP($B23,[53]TrtCodes!$B$11:N83,7)</f>
        <v>2</v>
      </c>
      <c r="I23" s="34">
        <f>[53]FormattedData!B40</f>
        <v>1</v>
      </c>
      <c r="J23" s="37">
        <f>[53]FormattedData!C40</f>
        <v>13.164</v>
      </c>
      <c r="K23" s="39">
        <f>$J$3+[53]FormattedData!D40*$J$4+$M$4*$J$5+[53]FormattedData!D40^2*$J$6+$M$5*$J$7</f>
        <v>44.16005533450631</v>
      </c>
      <c r="L23" s="39">
        <f>$J$3+[53]FormattedData!E40*$J$4+$M$4*$J$5+[53]FormattedData!E40^2*$J$6+$M$5*$J$7</f>
        <v>43.250036329315094</v>
      </c>
      <c r="M23" s="39">
        <f>$J$3+[53]FormattedData!F40*$J$4+$M$4*$J$5+[53]FormattedData!F40^2*$J$6+$M$5*$J$7</f>
        <v>46.326855383489317</v>
      </c>
      <c r="N23" s="39">
        <f>$J$3+[53]FormattedData!G40*$J$4+$M$4*$J$5+[53]FormattedData!G40^2*$J$6+$M$5*$J$7</f>
        <v>43.796554954884996</v>
      </c>
      <c r="O23" s="39">
        <f>$J$3+[53]FormattedData!H40*$J$4+$M$4*$J$5+[53]FormattedData!H40^2*$J$6+$M$5*$J$7</f>
        <v>46.416610362139465</v>
      </c>
      <c r="P23" s="39">
        <f>$J$3+[53]FormattedData!I40*$J$4+$M$4*$J$5+[53]FormattedData!I40^2*$J$6+$M$5*$J$7</f>
        <v>43.796554954884996</v>
      </c>
      <c r="Q23" s="39">
        <f>$J$3+[53]FormattedData!J40*$J$4+$M$4*$J$5+[53]FormattedData!J40^2*$J$6+$M$5*$J$7</f>
        <v>46.506323072251689</v>
      </c>
      <c r="R23" s="39">
        <f>$J$3+[53]FormattedData!K40*$J$4+$M$4*$J$5+[53]FormattedData!K40^2*$J$6+$M$5*$J$7</f>
        <v>43.705574188634841</v>
      </c>
      <c r="S23" s="39">
        <f>$J$3+[53]FormattedData!L40*$J$4+$M$4*$J$5+[53]FormattedData!L40^2*$J$6+$M$5*$J$7</f>
        <v>46.685621686862333</v>
      </c>
      <c r="T23" s="39">
        <f>$J$3+[53]FormattedData!M40*$J$4+$M$4*$J$5+[53]FormattedData!M40^2*$J$6+$M$5*$J$7</f>
        <v>43.97838968177151</v>
      </c>
      <c r="U23" s="39">
        <f>$J$3+[53]FormattedData!N40*$J$4+$M$4*$J$5+[53]FormattedData!N40^2*$J$6+$M$5*$J$7</f>
        <v>46.506323072251689</v>
      </c>
      <c r="V23" s="39">
        <f>$J$3+[53]FormattedData!O40*$J$4+$M$4*$J$5+[53]FormattedData!O40^2*$J$6+$M$5*$J$7</f>
        <v>44.16005533450631</v>
      </c>
      <c r="W23" s="38">
        <f>AVERAGE(K23:V23)</f>
        <v>44.940746196291542</v>
      </c>
      <c r="X23" s="37">
        <f>STDEV(K23:V23)/SQRT(COUNT(K23:V23))</f>
        <v>0.40069739907485974</v>
      </c>
      <c r="Y23" s="36">
        <f>MIN(K23:V23)</f>
        <v>43.250036329315094</v>
      </c>
      <c r="Z23" s="35">
        <f>QUARTILE(K23:V23,1)</f>
        <v>43.796554954884996</v>
      </c>
      <c r="AA23" s="36">
        <f>MEDIAN(K23:V23)</f>
        <v>44.16005533450631</v>
      </c>
      <c r="AB23" s="35">
        <f>QUARTILE(K23:V23,3)</f>
        <v>46.439038539667521</v>
      </c>
      <c r="AC23" s="35">
        <f>MAX(K23:V23)</f>
        <v>46.685621686862333</v>
      </c>
      <c r="AD23" s="35">
        <f>SKEW(K23:V23)</f>
        <v>0.29813055164364788</v>
      </c>
      <c r="AE23" s="35">
        <f>KURT(K23:V23)</f>
        <v>-2.1126466706228477</v>
      </c>
    </row>
    <row r="24" spans="2:31" x14ac:dyDescent="0.2">
      <c r="B24" s="34">
        <f>[53]FormattedData!A42</f>
        <v>207</v>
      </c>
      <c r="C24" s="34" t="str">
        <f>VLOOKUP($B24,[53]TrtCodes!$B$11:I85,2)</f>
        <v>FTL</v>
      </c>
      <c r="D24" s="34">
        <f>VLOOKUP($B24,[53]TrtCodes!$B$11:J85,3)</f>
        <v>4</v>
      </c>
      <c r="E24" s="34">
        <f>VLOOKUP($B24,[53]TrtCodes!$B$11:K85,4)</f>
        <v>1</v>
      </c>
      <c r="F24" s="34">
        <f>VLOOKUP($B24,[53]TrtCodes!$B$11:L85,5)</f>
        <v>2</v>
      </c>
      <c r="G24" s="34">
        <f>VLOOKUP($B24,[53]TrtCodes!$B$11:M85,6)</f>
        <v>1</v>
      </c>
      <c r="H24" s="34">
        <f>VLOOKUP($B24,[53]TrtCodes!$B$11:N85,7)</f>
        <v>2</v>
      </c>
      <c r="I24" s="34">
        <f>[53]FormattedData!B42</f>
        <v>1</v>
      </c>
      <c r="J24" s="37">
        <f>[53]FormattedData!C42</f>
        <v>13.169</v>
      </c>
      <c r="K24" s="39">
        <f>$J$3+[53]FormattedData!D42*$J$4+$M$4*$J$5+[53]FormattedData!D42^2*$J$6+$M$5*$J$7</f>
        <v>43.887493452597219</v>
      </c>
      <c r="L24" s="39">
        <f>$J$3+[53]FormattedData!E42*$J$4+$M$4*$J$5+[53]FormattedData!E42^2*$J$6+$M$5*$J$7</f>
        <v>44.16005533450631</v>
      </c>
      <c r="M24" s="39">
        <f>$J$3+[53]FormattedData!F42*$J$4+$M$4*$J$5+[53]FormattedData!F42^2*$J$6+$M$5*$J$7</f>
        <v>46.147218620575224</v>
      </c>
      <c r="N24" s="39">
        <f>$J$3+[53]FormattedData!G42*$J$4+$M$4*$J$5+[53]FormattedData!G42^2*$J$6+$M$5*$J$7</f>
        <v>44.16005533450631</v>
      </c>
      <c r="O24" s="39">
        <f>$J$3+[53]FormattedData!H42*$J$4+$M$4*$J$5+[53]FormattedData!H42^2*$J$6+$M$5*$J$7</f>
        <v>45.877446462169587</v>
      </c>
      <c r="P24" s="39">
        <f>$J$3+[53]FormattedData!I42*$J$4+$M$4*$J$5+[53]FormattedData!I42^2*$J$6+$M$5*$J$7</f>
        <v>43.158801951837347</v>
      </c>
      <c r="Q24" s="39">
        <f>$J$3+[53]FormattedData!J42*$J$4+$M$4*$J$5+[53]FormattedData!J42^2*$J$6+$M$5*$J$7</f>
        <v>45.787437872291839</v>
      </c>
      <c r="R24" s="39">
        <f>$J$3+[53]FormattedData!K42*$J$4+$M$4*$J$5+[53]FormattedData!K42^2*$J$6+$M$5*$J$7</f>
        <v>43.887493452597219</v>
      </c>
      <c r="S24" s="39">
        <f>$J$3+[53]FormattedData!L42*$J$4+$M$4*$J$5+[53]FormattedData!L42^2*$J$6+$M$5*$J$7</f>
        <v>45.877446462169587</v>
      </c>
      <c r="T24" s="39">
        <f>$J$3+[53]FormattedData!M42*$J$4+$M$4*$J$5+[53]FormattedData!M42^2*$J$6+$M$5*$J$7</f>
        <v>43.067525305821675</v>
      </c>
      <c r="U24" s="39">
        <f>$J$3+[53]FormattedData!N42*$J$4+$M$4*$J$5+[53]FormattedData!N42^2*$J$6+$M$5*$J$7</f>
        <v>45.787437872291839</v>
      </c>
      <c r="V24" s="39">
        <f>$J$3+[53]FormattedData!O42*$J$4+$M$4*$J$5+[53]FormattedData!O42^2*$J$6+$M$5*$J$7</f>
        <v>42.884845208176536</v>
      </c>
      <c r="W24" s="38">
        <f>AVERAGE(K24:V24)</f>
        <v>44.556938110795052</v>
      </c>
      <c r="X24" s="37">
        <f>STDEV(K24:V24)/SQRT(COUNT(K24:V24))</f>
        <v>0.36123850629270521</v>
      </c>
      <c r="Y24" s="36">
        <f>MIN(K24:V24)</f>
        <v>42.884845208176536</v>
      </c>
      <c r="Z24" s="35">
        <f>QUARTILE(K24:V24,1)</f>
        <v>43.70532057740725</v>
      </c>
      <c r="AA24" s="36">
        <f>MEDIAN(K24:V24)</f>
        <v>44.16005533450631</v>
      </c>
      <c r="AB24" s="35">
        <f>QUARTILE(K24:V24,3)</f>
        <v>45.809940019761278</v>
      </c>
      <c r="AC24" s="35">
        <f>MAX(K24:V24)</f>
        <v>46.147218620575224</v>
      </c>
      <c r="AD24" s="35">
        <f>SKEW(K24:V24)</f>
        <v>5.1005258351087088E-2</v>
      </c>
      <c r="AE24" s="35">
        <f>KURT(K24:V24)</f>
        <v>-1.8437612197144584</v>
      </c>
    </row>
    <row r="25" spans="2:31" x14ac:dyDescent="0.2">
      <c r="B25" s="34">
        <f>[53]FormattedData!A44</f>
        <v>208</v>
      </c>
      <c r="C25" s="34" t="str">
        <f>VLOOKUP($B25,[53]TrtCodes!$B$11:I87,2)</f>
        <v>FSL</v>
      </c>
      <c r="D25" s="34">
        <f>VLOOKUP($B25,[53]TrtCodes!$B$11:J87,3)</f>
        <v>2</v>
      </c>
      <c r="E25" s="34">
        <f>VLOOKUP($B25,[53]TrtCodes!$B$11:K87,4)</f>
        <v>1</v>
      </c>
      <c r="F25" s="34">
        <f>VLOOKUP($B25,[53]TrtCodes!$B$11:L87,5)</f>
        <v>1</v>
      </c>
      <c r="G25" s="34">
        <f>VLOOKUP($B25,[53]TrtCodes!$B$11:M87,6)</f>
        <v>1</v>
      </c>
      <c r="H25" s="34">
        <f>VLOOKUP($B25,[53]TrtCodes!$B$11:N87,7)</f>
        <v>2</v>
      </c>
      <c r="I25" s="34">
        <f>[53]FormattedData!B44</f>
        <v>1</v>
      </c>
      <c r="J25" s="37">
        <f>[53]FormattedData!C44</f>
        <v>13.176</v>
      </c>
      <c r="K25" s="39">
        <f>$J$3+[53]FormattedData!D44*$J$4+$M$4*$J$5+[53]FormattedData!D44^2*$J$6+$M$5*$J$7</f>
        <v>43.796554954884996</v>
      </c>
      <c r="L25" s="39">
        <f>$J$3+[53]FormattedData!E44*$J$4+$M$4*$J$5+[53]FormattedData!E44^2*$J$6+$M$5*$J$7</f>
        <v>44.885027203928232</v>
      </c>
      <c r="M25" s="39">
        <f>$J$3+[53]FormattedData!F44*$J$4+$M$4*$J$5+[53]FormattedData!F44^2*$J$6+$M$5*$J$7</f>
        <v>45.787437872291839</v>
      </c>
      <c r="N25" s="39">
        <f>$J$3+[53]FormattedData!G44*$J$4+$M$4*$J$5+[53]FormattedData!G44^2*$J$6+$M$5*$J$7</f>
        <v>43.614551153846747</v>
      </c>
      <c r="O25" s="39">
        <f>$J$3+[53]FormattedData!H44*$J$4+$M$4*$J$5+[53]FormattedData!H44^2*$J$6+$M$5*$J$7</f>
        <v>45.787437872291839</v>
      </c>
      <c r="P25" s="39">
        <f>$J$3+[53]FormattedData!I44*$J$4+$M$4*$J$5+[53]FormattedData!I44^2*$J$6+$M$5*$J$7</f>
        <v>42.884845208176536</v>
      </c>
      <c r="Q25" s="39">
        <f>$J$3+[53]FormattedData!J44*$J$4+$M$4*$J$5+[53]FormattedData!J44^2*$J$6+$M$5*$J$7</f>
        <v>45.426980827401579</v>
      </c>
      <c r="R25" s="39">
        <f>$J$3+[53]FormattedData!K44*$J$4+$M$4*$J$5+[53]FormattedData!K44^2*$J$6+$M$5*$J$7</f>
        <v>43.887493452597219</v>
      </c>
      <c r="S25" s="39">
        <f>$J$3+[53]FormattedData!L44*$J$4+$M$4*$J$5+[53]FormattedData!L44^2*$J$6+$M$5*$J$7</f>
        <v>45.697387013876181</v>
      </c>
      <c r="T25" s="39">
        <f>$J$3+[53]FormattedData!M44*$J$4+$M$4*$J$5+[53]FormattedData!M44^2*$J$6+$M$5*$J$7</f>
        <v>43.97838968177151</v>
      </c>
      <c r="U25" s="39">
        <f>$J$3+[53]FormattedData!N44*$J$4+$M$4*$J$5+[53]FormattedData!N44^2*$J$6+$M$5*$J$7</f>
        <v>45.697387013876181</v>
      </c>
      <c r="V25" s="39">
        <f>$J$3+[53]FormattedData!O44*$J$4+$M$4*$J$5+[53]FormattedData!O44^2*$J$6+$M$5*$J$7</f>
        <v>43.523485850520736</v>
      </c>
      <c r="W25" s="38">
        <f>AVERAGE(K25:V25)</f>
        <v>44.580581508788619</v>
      </c>
      <c r="X25" s="37">
        <f>STDEV(K25:V25)/SQRT(COUNT(K25:V25))</f>
        <v>0.30896312164066408</v>
      </c>
      <c r="Y25" s="36">
        <f>MIN(K25:V25)</f>
        <v>42.884845208176536</v>
      </c>
      <c r="Z25" s="35">
        <f>QUARTILE(K25:V25,1)</f>
        <v>43.751054004625431</v>
      </c>
      <c r="AA25" s="36">
        <f>MEDIAN(K25:V25)</f>
        <v>44.431708442849867</v>
      </c>
      <c r="AB25" s="35">
        <f>QUARTILE(K25:V25,3)</f>
        <v>45.697387013876181</v>
      </c>
      <c r="AC25" s="35">
        <f>MAX(K25:V25)</f>
        <v>45.787437872291839</v>
      </c>
      <c r="AD25" s="35">
        <f>SKEW(K25:V25)</f>
        <v>-9.3974154657563105E-2</v>
      </c>
      <c r="AE25" s="35">
        <f>KURT(K25:V25)</f>
        <v>-1.7511509269907166</v>
      </c>
    </row>
    <row r="26" spans="2:31" x14ac:dyDescent="0.2">
      <c r="B26" s="34">
        <f>[53]FormattedData!A62</f>
        <v>301</v>
      </c>
      <c r="C26" s="34" t="str">
        <f>VLOOKUP($B26,[53]TrtCodes!$B$11:I105,2)</f>
        <v>NTL</v>
      </c>
      <c r="D26" s="34">
        <f>VLOOKUP($B26,[53]TrtCodes!$B$11:J105,3)</f>
        <v>10</v>
      </c>
      <c r="E26" s="34">
        <f>VLOOKUP($B26,[53]TrtCodes!$B$11:K105,4)</f>
        <v>2</v>
      </c>
      <c r="F26" s="34">
        <f>VLOOKUP($B26,[53]TrtCodes!$B$11:L105,5)</f>
        <v>2</v>
      </c>
      <c r="G26" s="34">
        <f>VLOOKUP($B26,[53]TrtCodes!$B$11:M105,6)</f>
        <v>1</v>
      </c>
      <c r="H26" s="34">
        <f>VLOOKUP($B26,[53]TrtCodes!$B$11:N105,7)</f>
        <v>3</v>
      </c>
      <c r="I26" s="34">
        <f>[53]FormattedData!B62</f>
        <v>1</v>
      </c>
      <c r="J26" s="37">
        <f>[53]FormattedData!C62</f>
        <v>13.272</v>
      </c>
      <c r="K26" s="39">
        <f>$J$3+[53]FormattedData!D62*$J$4+$M$4*$J$5+[53]FormattedData!D62^2*$J$6+$M$5*$J$7</f>
        <v>42.15243407607872</v>
      </c>
      <c r="L26" s="39">
        <f>$J$3+[53]FormattedData!E62*$J$4+$M$4*$J$5+[53]FormattedData!E62^2*$J$6+$M$5*$J$7</f>
        <v>42.793441756547068</v>
      </c>
      <c r="M26" s="39">
        <f>$J$3+[53]FormattedData!F62*$J$4+$M$4*$J$5+[53]FormattedData!F62^2*$J$6+$M$5*$J$7</f>
        <v>43.067525305821675</v>
      </c>
      <c r="N26" s="39">
        <f>$J$3+[53]FormattedData!G62*$J$4+$M$4*$J$5+[53]FormattedData!G62^2*$J$6+$M$5*$J$7</f>
        <v>41.968908607674962</v>
      </c>
      <c r="O26" s="39">
        <f>$J$3+[53]FormattedData!H62*$J$4+$M$4*$J$5+[53]FormattedData!H62^2*$J$6+$M$5*$J$7</f>
        <v>43.887493452597219</v>
      </c>
      <c r="P26" s="39">
        <f>$J$3+[53]FormattedData!I62*$J$4+$M$4*$J$5+[53]FormattedData!I62^2*$J$6+$M$5*$J$7</f>
        <v>42.06069247614581</v>
      </c>
      <c r="Q26" s="39">
        <f>$J$3+[53]FormattedData!J62*$J$4+$M$4*$J$5+[53]FormattedData!J62^2*$J$6+$M$5*$J$7</f>
        <v>44.522879417520713</v>
      </c>
      <c r="R26" s="39">
        <f>$J$3+[53]FormattedData!K62*$J$4+$M$4*$J$5+[53]FormattedData!K62^2*$J$6+$M$5*$J$7</f>
        <v>42.06069247614581</v>
      </c>
      <c r="S26" s="39">
        <f>$J$3+[53]FormattedData!L62*$J$4+$M$4*$J$5+[53]FormattedData!L62^2*$J$6+$M$5*$J$7</f>
        <v>44.341551913089376</v>
      </c>
      <c r="T26" s="39">
        <f>$J$3+[53]FormattedData!M62*$J$4+$M$4*$J$5+[53]FormattedData!M62^2*$J$6+$M$5*$J$7</f>
        <v>41.693303391034831</v>
      </c>
      <c r="U26" s="39">
        <f>$J$3+[53]FormattedData!N62*$J$4+$M$4*$J$5+[53]FormattedData!N62^2*$J$6+$M$5*$J$7</f>
        <v>43.887493452597219</v>
      </c>
      <c r="V26" s="39">
        <f>$J$3+[53]FormattedData!O62*$J$4+$M$4*$J$5+[53]FormattedData!O62^2*$J$6+$M$5*$J$7</f>
        <v>41.785214065119476</v>
      </c>
      <c r="W26" s="38">
        <f>AVERAGE(K26:V26)</f>
        <v>42.851802532531075</v>
      </c>
      <c r="X26" s="37">
        <f>STDEV(K26:V26)/SQRT(COUNT(K26:V26))</f>
        <v>0.30410280625647329</v>
      </c>
      <c r="Y26" s="36">
        <f>MIN(K26:V26)</f>
        <v>41.693303391034831</v>
      </c>
      <c r="Z26" s="35">
        <f>QUARTILE(K26:V26,1)</f>
        <v>42.037746509028096</v>
      </c>
      <c r="AA26" s="36">
        <f>MEDIAN(K26:V26)</f>
        <v>42.472937916312894</v>
      </c>
      <c r="AB26" s="35">
        <f>QUARTILE(K26:V26,3)</f>
        <v>43.887493452597219</v>
      </c>
      <c r="AC26" s="35">
        <f>MAX(K26:V26)</f>
        <v>44.522879417520713</v>
      </c>
      <c r="AD26" s="35">
        <f>SKEW(K26:V26)</f>
        <v>0.50537440058811578</v>
      </c>
      <c r="AE26" s="35">
        <f>KURT(K26:V26)</f>
        <v>-1.5059565812045341</v>
      </c>
    </row>
    <row r="27" spans="2:31" x14ac:dyDescent="0.2">
      <c r="B27" s="34">
        <f>[53]FormattedData!A64</f>
        <v>302</v>
      </c>
      <c r="C27" s="34" t="str">
        <f>VLOOKUP($B27,[53]TrtCodes!$B$11:I107,2)</f>
        <v>FTL</v>
      </c>
      <c r="D27" s="34">
        <f>VLOOKUP($B27,[53]TrtCodes!$B$11:J107,3)</f>
        <v>4</v>
      </c>
      <c r="E27" s="34">
        <f>VLOOKUP($B27,[53]TrtCodes!$B$11:K107,4)</f>
        <v>1</v>
      </c>
      <c r="F27" s="34">
        <f>VLOOKUP($B27,[53]TrtCodes!$B$11:L107,5)</f>
        <v>2</v>
      </c>
      <c r="G27" s="34">
        <f>VLOOKUP($B27,[53]TrtCodes!$B$11:M107,6)</f>
        <v>1</v>
      </c>
      <c r="H27" s="34">
        <f>VLOOKUP($B27,[53]TrtCodes!$B$11:N107,7)</f>
        <v>3</v>
      </c>
      <c r="I27" s="34">
        <f>[53]FormattedData!B64</f>
        <v>1</v>
      </c>
      <c r="J27" s="37">
        <f>[53]FormattedData!C64</f>
        <v>13.278</v>
      </c>
      <c r="K27" s="39">
        <f>$J$3+[53]FormattedData!D64*$J$4+$M$4*$J$5+[53]FormattedData!D64^2*$J$6+$M$5*$J$7</f>
        <v>42.244133407473711</v>
      </c>
      <c r="L27" s="39">
        <f>$J$3+[53]FormattedData!E64*$J$4+$M$4*$J$5+[53]FormattedData!E64^2*$J$6+$M$5*$J$7</f>
        <v>42.244133407473711</v>
      </c>
      <c r="M27" s="39">
        <f>$J$3+[53]FormattedData!F64*$J$4+$M$4*$J$5+[53]FormattedData!F64^2*$J$6+$M$5*$J$7</f>
        <v>43.432378278656785</v>
      </c>
      <c r="N27" s="39">
        <f>$J$3+[53]FormattedData!G64*$J$4+$M$4*$J$5+[53]FormattedData!G64^2*$J$6+$M$5*$J$7</f>
        <v>43.250036329315094</v>
      </c>
      <c r="O27" s="39">
        <f>$J$3+[53]FormattedData!H64*$J$4+$M$4*$J$5+[53]FormattedData!H64^2*$J$6+$M$5*$J$7</f>
        <v>43.341228438254909</v>
      </c>
      <c r="P27" s="39">
        <f>$J$3+[53]FormattedData!I64*$J$4+$M$4*$J$5+[53]FormattedData!I64^2*$J$6+$M$5*$J$7</f>
        <v>41.785214065119476</v>
      </c>
      <c r="Q27" s="39">
        <f>$J$3+[53]FormattedData!J64*$J$4+$M$4*$J$5+[53]FormattedData!J64^2*$J$6+$M$5*$J$7</f>
        <v>43.250036329315094</v>
      </c>
      <c r="R27" s="39">
        <f>$J$3+[53]FormattedData!K64*$J$4+$M$4*$J$5+[53]FormattedData!K64^2*$J$6+$M$5*$J$7</f>
        <v>41.968908607674962</v>
      </c>
      <c r="S27" s="39">
        <f>$J$3+[53]FormattedData!L64*$J$4+$M$4*$J$5+[53]FormattedData!L64^2*$J$6+$M$5*$J$7</f>
        <v>43.614551153846747</v>
      </c>
      <c r="T27" s="39">
        <f>$J$3+[53]FormattedData!M64*$J$4+$M$4*$J$5+[53]FormattedData!M64^2*$J$6+$M$5*$J$7</f>
        <v>41.601350448412262</v>
      </c>
      <c r="U27" s="39">
        <f>$J$3+[53]FormattedData!N64*$J$4+$M$4*$J$5+[53]FormattedData!N64^2*$J$6+$M$5*$J$7</f>
        <v>43.796554954884996</v>
      </c>
      <c r="V27" s="39">
        <f>$J$3+[53]FormattedData!O64*$J$4+$M$4*$J$5+[53]FormattedData!O64^2*$J$6+$M$5*$J$7</f>
        <v>42.610508047674344</v>
      </c>
      <c r="W27" s="38">
        <f>AVERAGE(K27:V27)</f>
        <v>42.761586122341839</v>
      </c>
      <c r="X27" s="37">
        <f>STDEV(K27:V27)/SQRT(COUNT(K27:V27))</f>
        <v>0.22272333759412868</v>
      </c>
      <c r="Y27" s="36">
        <f>MIN(K27:V27)</f>
        <v>41.601350448412262</v>
      </c>
      <c r="Z27" s="35">
        <f>QUARTILE(K27:V27,1)</f>
        <v>42.17532720752402</v>
      </c>
      <c r="AA27" s="36">
        <f>MEDIAN(K27:V27)</f>
        <v>42.930272188494719</v>
      </c>
      <c r="AB27" s="35">
        <f>QUARTILE(K27:V27,3)</f>
        <v>43.364015898355376</v>
      </c>
      <c r="AC27" s="35">
        <f>MAX(K27:V27)</f>
        <v>43.796554954884996</v>
      </c>
      <c r="AD27" s="35">
        <f>SKEW(K27:V27)</f>
        <v>-0.19296976457344611</v>
      </c>
      <c r="AE27" s="35">
        <f>KURT(K27:V27)</f>
        <v>-1.6473024519125059</v>
      </c>
    </row>
    <row r="28" spans="2:31" x14ac:dyDescent="0.2">
      <c r="B28" s="34">
        <f>[53]FormattedData!A66</f>
        <v>303</v>
      </c>
      <c r="C28" s="34" t="str">
        <f>VLOOKUP($B28,[53]TrtCodes!$B$11:I109,2)</f>
        <v>NSL</v>
      </c>
      <c r="D28" s="34">
        <f>VLOOKUP($B28,[53]TrtCodes!$B$11:J109,3)</f>
        <v>8</v>
      </c>
      <c r="E28" s="34">
        <f>VLOOKUP($B28,[53]TrtCodes!$B$11:K109,4)</f>
        <v>2</v>
      </c>
      <c r="F28" s="34">
        <f>VLOOKUP($B28,[53]TrtCodes!$B$11:L109,5)</f>
        <v>1</v>
      </c>
      <c r="G28" s="34">
        <f>VLOOKUP($B28,[53]TrtCodes!$B$11:M109,6)</f>
        <v>1</v>
      </c>
      <c r="H28" s="34">
        <f>VLOOKUP($B28,[53]TrtCodes!$B$11:N109,7)</f>
        <v>3</v>
      </c>
      <c r="I28" s="34">
        <f>[53]FormattedData!B66</f>
        <v>1</v>
      </c>
      <c r="J28" s="37">
        <f>[53]FormattedData!C66</f>
        <v>13.282999999999999</v>
      </c>
      <c r="K28" s="39">
        <f>$J$3+[53]FormattedData!D66*$J$4+$M$4*$J$5+[53]FormattedData!D66^2*$J$6+$M$5*$J$7</f>
        <v>42.335790470330764</v>
      </c>
      <c r="L28" s="39">
        <f>$J$3+[53]FormattedData!E66*$J$4+$M$4*$J$5+[53]FormattedData!E66^2*$J$6+$M$5*$J$7</f>
        <v>42.06069247614581</v>
      </c>
      <c r="M28" s="39">
        <f>$J$3+[53]FormattedData!F66*$J$4+$M$4*$J$5+[53]FormattedData!F66^2*$J$6+$M$5*$J$7</f>
        <v>43.432378278656785</v>
      </c>
      <c r="N28" s="39">
        <f>$J$3+[53]FormattedData!G66*$J$4+$M$4*$J$5+[53]FormattedData!G66^2*$J$6+$M$5*$J$7</f>
        <v>42.06069247614581</v>
      </c>
      <c r="O28" s="39">
        <f>$J$3+[53]FormattedData!H66*$J$4+$M$4*$J$5+[53]FormattedData!H66^2*$J$6+$M$5*$J$7</f>
        <v>43.250036329315094</v>
      </c>
      <c r="P28" s="39">
        <f>$J$3+[53]FormattedData!I66*$J$4+$M$4*$J$5+[53]FormattedData!I66^2*$J$6+$M$5*$J$7</f>
        <v>43.158801951837347</v>
      </c>
      <c r="Q28" s="39">
        <f>$J$3+[53]FormattedData!J66*$J$4+$M$4*$J$5+[53]FormattedData!J66^2*$J$6+$M$5*$J$7</f>
        <v>43.887493452597219</v>
      </c>
      <c r="R28" s="39">
        <f>$J$3+[53]FormattedData!K66*$J$4+$M$4*$J$5+[53]FormattedData!K66^2*$J$6+$M$5*$J$7</f>
        <v>42.976206391268072</v>
      </c>
      <c r="S28" s="39">
        <f>$J$3+[53]FormattedData!L66*$J$4+$M$4*$J$5+[53]FormattedData!L66^2*$J$6+$M$5*$J$7</f>
        <v>44.16005533450631</v>
      </c>
      <c r="T28" s="39">
        <f>$J$3+[53]FormattedData!M66*$J$4+$M$4*$J$5+[53]FormattedData!M66^2*$J$6+$M$5*$J$7</f>
        <v>41.968908607674962</v>
      </c>
      <c r="U28" s="39">
        <f>$J$3+[53]FormattedData!N66*$J$4+$M$4*$J$5+[53]FormattedData!N66^2*$J$6+$M$5*$J$7</f>
        <v>43.97838968177151</v>
      </c>
      <c r="V28" s="39">
        <f>$J$3+[53]FormattedData!O66*$J$4+$M$4*$J$5+[53]FormattedData!O66^2*$J$6+$M$5*$J$7</f>
        <v>42.06069247614581</v>
      </c>
      <c r="W28" s="38">
        <f>AVERAGE(K28:V28)</f>
        <v>42.94417816053295</v>
      </c>
      <c r="X28" s="37">
        <f>STDEV(K28:V28)/SQRT(COUNT(K28:V28))</f>
        <v>0.2380428312152375</v>
      </c>
      <c r="Y28" s="36">
        <f>MIN(K28:V28)</f>
        <v>41.968908607674962</v>
      </c>
      <c r="Z28" s="35">
        <f>QUARTILE(K28:V28,1)</f>
        <v>42.06069247614581</v>
      </c>
      <c r="AA28" s="36">
        <f>MEDIAN(K28:V28)</f>
        <v>43.067504171552713</v>
      </c>
      <c r="AB28" s="35">
        <f>QUARTILE(K28:V28,3)</f>
        <v>43.546157072141895</v>
      </c>
      <c r="AC28" s="35">
        <f>MAX(K28:V28)</f>
        <v>44.16005533450631</v>
      </c>
      <c r="AD28" s="35">
        <f>SKEW(K28:V28)</f>
        <v>0.13159170755757693</v>
      </c>
      <c r="AE28" s="35">
        <f>KURT(K28:V28)</f>
        <v>-1.6277511614360223</v>
      </c>
    </row>
    <row r="29" spans="2:31" x14ac:dyDescent="0.2">
      <c r="B29" s="34">
        <f>[53]FormattedData!A68</f>
        <v>304</v>
      </c>
      <c r="C29" s="34" t="str">
        <f>VLOOKUP($B29,[53]TrtCodes!$B$11:I111,2)</f>
        <v>FSL</v>
      </c>
      <c r="D29" s="34">
        <f>VLOOKUP($B29,[53]TrtCodes!$B$11:J111,3)</f>
        <v>2</v>
      </c>
      <c r="E29" s="34">
        <f>VLOOKUP($B29,[53]TrtCodes!$B$11:K111,4)</f>
        <v>1</v>
      </c>
      <c r="F29" s="34">
        <f>VLOOKUP($B29,[53]TrtCodes!$B$11:L111,5)</f>
        <v>1</v>
      </c>
      <c r="G29" s="34">
        <f>VLOOKUP($B29,[53]TrtCodes!$B$11:M111,6)</f>
        <v>1</v>
      </c>
      <c r="H29" s="34">
        <f>VLOOKUP($B29,[53]TrtCodes!$B$11:N111,7)</f>
        <v>3</v>
      </c>
      <c r="I29" s="34">
        <f>[53]FormattedData!B68</f>
        <v>1</v>
      </c>
      <c r="J29" s="37">
        <f>[53]FormattedData!C68</f>
        <v>13.289</v>
      </c>
      <c r="K29" s="39">
        <f>$J$3+[53]FormattedData!D68*$J$4+$M$4*$J$5+[53]FormattedData!D68^2*$J$6+$M$5*$J$7</f>
        <v>44.16005533450631</v>
      </c>
      <c r="L29" s="39">
        <f>$J$3+[53]FormattedData!E68*$J$4+$M$4*$J$5+[53]FormattedData!E68^2*$J$6+$M$5*$J$7</f>
        <v>43.067525305821675</v>
      </c>
      <c r="M29" s="39">
        <f>$J$3+[53]FormattedData!F68*$J$4+$M$4*$J$5+[53]FormattedData!F68^2*$J$6+$M$5*$J$7</f>
        <v>44.250824758066813</v>
      </c>
      <c r="N29" s="39">
        <f>$J$3+[53]FormattedData!G68*$J$4+$M$4*$J$5+[53]FormattedData!G68^2*$J$6+$M$5*$J$7</f>
        <v>42.701996036379668</v>
      </c>
      <c r="O29" s="39">
        <f>$J$3+[53]FormattedData!H68*$J$4+$M$4*$J$5+[53]FormattedData!H68^2*$J$6+$M$5*$J$7</f>
        <v>44.975458479185292</v>
      </c>
      <c r="P29" s="39">
        <f>$J$3+[53]FormattedData!I68*$J$4+$M$4*$J$5+[53]FormattedData!I68^2*$J$6+$M$5*$J$7</f>
        <v>43.250036329315094</v>
      </c>
      <c r="Q29" s="39">
        <f>$J$3+[53]FormattedData!J68*$J$4+$M$4*$J$5+[53]FormattedData!J68^2*$J$6+$M$5*$J$7</f>
        <v>44.432236799574014</v>
      </c>
      <c r="R29" s="39">
        <f>$J$3+[53]FormattedData!K68*$J$4+$M$4*$J$5+[53]FormattedData!K68^2*$J$6+$M$5*$J$7</f>
        <v>43.067525305821675</v>
      </c>
      <c r="S29" s="39">
        <f>$J$3+[53]FormattedData!L68*$J$4+$M$4*$J$5+[53]FormattedData!L68^2*$J$6+$M$5*$J$7</f>
        <v>45.156194224085596</v>
      </c>
      <c r="T29" s="39">
        <f>$J$3+[53]FormattedData!M68*$J$4+$M$4*$J$5+[53]FormattedData!M68^2*$J$6+$M$5*$J$7</f>
        <v>43.341228438254909</v>
      </c>
      <c r="U29" s="39">
        <f>$J$3+[53]FormattedData!N68*$J$4+$M$4*$J$5+[53]FormattedData!N68^2*$J$6+$M$5*$J$7</f>
        <v>45.246498693728853</v>
      </c>
      <c r="V29" s="39">
        <f>$J$3+[53]FormattedData!O68*$J$4+$M$4*$J$5+[53]FormattedData!O68^2*$J$6+$M$5*$J$7</f>
        <v>42.610508047674344</v>
      </c>
      <c r="W29" s="38">
        <f>AVERAGE(K29:V29)</f>
        <v>43.85500731270119</v>
      </c>
      <c r="X29" s="37">
        <f>STDEV(K29:V29)/SQRT(COUNT(K29:V29))</f>
        <v>0.27819894169770903</v>
      </c>
      <c r="Y29" s="36">
        <f>MIN(K29:V29)</f>
        <v>42.610508047674344</v>
      </c>
      <c r="Z29" s="35">
        <f>QUARTILE(K29:V29,1)</f>
        <v>43.067525305821675</v>
      </c>
      <c r="AA29" s="36">
        <f>MEDIAN(K29:V29)</f>
        <v>43.750641886380606</v>
      </c>
      <c r="AB29" s="35">
        <f>QUARTILE(K29:V29,3)</f>
        <v>44.568042219476837</v>
      </c>
      <c r="AC29" s="35">
        <f>MAX(K29:V29)</f>
        <v>45.246498693728853</v>
      </c>
      <c r="AD29" s="35">
        <f>SKEW(K29:V29)</f>
        <v>0.21849470658215445</v>
      </c>
      <c r="AE29" s="35">
        <f>KURT(K29:V29)</f>
        <v>-1.5716885590594756</v>
      </c>
    </row>
    <row r="30" spans="2:31" x14ac:dyDescent="0.2">
      <c r="B30" s="34">
        <f>[53]FormattedData!A70</f>
        <v>305</v>
      </c>
      <c r="C30" s="34" t="str">
        <f>VLOOKUP($B30,[53]TrtCodes!$B$11:I113,2)</f>
        <v>NDH</v>
      </c>
      <c r="D30" s="34">
        <f>VLOOKUP($B30,[53]TrtCodes!$B$11:J113,3)</f>
        <v>11</v>
      </c>
      <c r="E30" s="34">
        <f>VLOOKUP($B30,[53]TrtCodes!$B$11:K113,4)</f>
        <v>2</v>
      </c>
      <c r="F30" s="34">
        <f>VLOOKUP($B30,[53]TrtCodes!$B$11:L113,5)</f>
        <v>3</v>
      </c>
      <c r="G30" s="34">
        <f>VLOOKUP($B30,[53]TrtCodes!$B$11:M113,6)</f>
        <v>2</v>
      </c>
      <c r="H30" s="34">
        <f>VLOOKUP($B30,[53]TrtCodes!$B$11:N113,7)</f>
        <v>4</v>
      </c>
      <c r="I30" s="34">
        <f>[53]FormattedData!B70</f>
        <v>1</v>
      </c>
      <c r="J30" s="37">
        <f>[53]FormattedData!C70</f>
        <v>13.295</v>
      </c>
      <c r="K30" s="39">
        <f>$J$3+[53]FormattedData!D70*$J$4+$M$4*$J$5+[53]FormattedData!D70^2*$J$6+$M$5*$J$7</f>
        <v>42.610508047674344</v>
      </c>
      <c r="L30" s="39">
        <f>$J$3+[53]FormattedData!E70*$J$4+$M$4*$J$5+[53]FormattedData!E70^2*$J$6+$M$5*$J$7</f>
        <v>42.884845208176536</v>
      </c>
      <c r="M30" s="39">
        <f>$J$3+[53]FormattedData!F70*$J$4+$M$4*$J$5+[53]FormattedData!F70^2*$J$6+$M$5*$J$7</f>
        <v>45.156194224085596</v>
      </c>
      <c r="N30" s="39">
        <f>$J$3+[53]FormattedData!G70*$J$4+$M$4*$J$5+[53]FormattedData!G70^2*$J$6+$M$5*$J$7</f>
        <v>42.51897779043108</v>
      </c>
      <c r="O30" s="39">
        <f>$J$3+[53]FormattedData!H70*$J$4+$M$4*$J$5+[53]FormattedData!H70^2*$J$6+$M$5*$J$7</f>
        <v>45.246498693728853</v>
      </c>
      <c r="P30" s="39">
        <f>$J$3+[53]FormattedData!I70*$J$4+$M$4*$J$5+[53]FormattedData!I70^2*$J$6+$M$5*$J$7</f>
        <v>42.793441756547068</v>
      </c>
      <c r="Q30" s="39">
        <f>$J$3+[53]FormattedData!J70*$J$4+$M$4*$J$5+[53]FormattedData!J70^2*$J$6+$M$5*$J$7</f>
        <v>45.51715849143104</v>
      </c>
      <c r="R30" s="39">
        <f>$J$3+[53]FormattedData!K70*$J$4+$M$4*$J$5+[53]FormattedData!K70^2*$J$6+$M$5*$J$7</f>
        <v>42.976206391268072</v>
      </c>
      <c r="S30" s="39">
        <f>$J$3+[53]FormattedData!L70*$J$4+$M$4*$J$5+[53]FormattedData!L70^2*$J$6+$M$5*$J$7</f>
        <v>45.877446462169587</v>
      </c>
      <c r="T30" s="39">
        <f>$J$3+[53]FormattedData!M70*$J$4+$M$4*$J$5+[53]FormattedData!M70^2*$J$6+$M$5*$J$7</f>
        <v>43.614551153846747</v>
      </c>
      <c r="U30" s="39">
        <f>$J$3+[53]FormattedData!N70*$J$4+$M$4*$J$5+[53]FormattedData!N70^2*$J$6+$M$5*$J$7</f>
        <v>45.697387013876181</v>
      </c>
      <c r="V30" s="39">
        <f>$J$3+[53]FormattedData!O70*$J$4+$M$4*$J$5+[53]FormattedData!O70^2*$J$6+$M$5*$J$7</f>
        <v>42.701996036379668</v>
      </c>
      <c r="W30" s="38">
        <f>AVERAGE(K30:V30)</f>
        <v>43.966267605801228</v>
      </c>
      <c r="X30" s="37">
        <f>STDEV(K30:V30)/SQRT(COUNT(K30:V30))</f>
        <v>0.40160278786162712</v>
      </c>
      <c r="Y30" s="36">
        <f>MIN(K30:V30)</f>
        <v>42.51897779043108</v>
      </c>
      <c r="Z30" s="35">
        <f>QUARTILE(K30:V30,1)</f>
        <v>42.770580326505218</v>
      </c>
      <c r="AA30" s="36">
        <f>MEDIAN(K30:V30)</f>
        <v>43.295378772557413</v>
      </c>
      <c r="AB30" s="35">
        <f>QUARTILE(K30:V30,3)</f>
        <v>45.314163643154401</v>
      </c>
      <c r="AC30" s="35">
        <f>MAX(K30:V30)</f>
        <v>45.877446462169587</v>
      </c>
      <c r="AD30" s="35">
        <f>SKEW(K30:V30)</f>
        <v>0.33408310069136204</v>
      </c>
      <c r="AE30" s="35">
        <f>KURT(K30:V30)</f>
        <v>-2.0412408001521842</v>
      </c>
    </row>
    <row r="31" spans="2:31" x14ac:dyDescent="0.2">
      <c r="B31" s="34">
        <f>[53]FormattedData!A72</f>
        <v>306</v>
      </c>
      <c r="C31" s="34" t="str">
        <f>VLOOKUP($B31,[53]TrtCodes!$B$11:I115,2)</f>
        <v>FTL</v>
      </c>
      <c r="D31" s="34">
        <f>VLOOKUP($B31,[53]TrtCodes!$B$11:J115,3)</f>
        <v>4</v>
      </c>
      <c r="E31" s="34">
        <f>VLOOKUP($B31,[53]TrtCodes!$B$11:K115,4)</f>
        <v>1</v>
      </c>
      <c r="F31" s="34">
        <f>VLOOKUP($B31,[53]TrtCodes!$B$11:L115,5)</f>
        <v>2</v>
      </c>
      <c r="G31" s="34">
        <f>VLOOKUP($B31,[53]TrtCodes!$B$11:M115,6)</f>
        <v>1</v>
      </c>
      <c r="H31" s="34">
        <f>VLOOKUP($B31,[53]TrtCodes!$B$11:N115,7)</f>
        <v>4</v>
      </c>
      <c r="I31" s="34">
        <f>[53]FormattedData!B72</f>
        <v>1</v>
      </c>
      <c r="J31" s="37">
        <f>[53]FormattedData!C72</f>
        <v>13.301</v>
      </c>
      <c r="K31" s="39">
        <f>$J$3+[53]FormattedData!D72*$J$4+$M$4*$J$5+[53]FormattedData!D72^2*$J$6+$M$5*$J$7</f>
        <v>43.341228438254909</v>
      </c>
      <c r="L31" s="39">
        <f>$J$3+[53]FormattedData!E72*$J$4+$M$4*$J$5+[53]FormattedData!E72^2*$J$6+$M$5*$J$7</f>
        <v>44.341551913089376</v>
      </c>
      <c r="M31" s="39">
        <f>$J$3+[53]FormattedData!F72*$J$4+$M$4*$J$5+[53]FormattedData!F72^2*$J$6+$M$5*$J$7</f>
        <v>44.704037847800343</v>
      </c>
      <c r="N31" s="39">
        <f>$J$3+[53]FormattedData!G72*$J$4+$M$4*$J$5+[53]FormattedData!G72^2*$J$6+$M$5*$J$7</f>
        <v>44.069243642407869</v>
      </c>
      <c r="O31" s="39">
        <f>$J$3+[53]FormattedData!H72*$J$4+$M$4*$J$5+[53]FormattedData!H72^2*$J$6+$M$5*$J$7</f>
        <v>45.426980827401579</v>
      </c>
      <c r="P31" s="39">
        <f>$J$3+[53]FormattedData!I72*$J$4+$M$4*$J$5+[53]FormattedData!I72^2*$J$6+$M$5*$J$7</f>
        <v>43.341228438254909</v>
      </c>
      <c r="Q31" s="39">
        <f>$J$3+[53]FormattedData!J72*$J$4+$M$4*$J$5+[53]FormattedData!J72^2*$J$6+$M$5*$J$7</f>
        <v>44.522879417520713</v>
      </c>
      <c r="R31" s="39">
        <f>$J$3+[53]FormattedData!K72*$J$4+$M$4*$J$5+[53]FormattedData!K72^2*$J$6+$M$5*$J$7</f>
        <v>43.341228438254909</v>
      </c>
      <c r="S31" s="39">
        <f>$J$3+[53]FormattedData!L72*$J$4+$M$4*$J$5+[53]FormattedData!L72^2*$J$6+$M$5*$J$7</f>
        <v>44.522879417520713</v>
      </c>
      <c r="T31" s="39">
        <f>$J$3+[53]FormattedData!M72*$J$4+$M$4*$J$5+[53]FormattedData!M72^2*$J$6+$M$5*$J$7</f>
        <v>43.158801951837347</v>
      </c>
      <c r="U31" s="39">
        <f>$J$3+[53]FormattedData!N72*$J$4+$M$4*$J$5+[53]FormattedData!N72^2*$J$6+$M$5*$J$7</f>
        <v>44.794553660133253</v>
      </c>
      <c r="V31" s="39">
        <f>$J$3+[53]FormattedData!O72*$J$4+$M$4*$J$5+[53]FormattedData!O72^2*$J$6+$M$5*$J$7</f>
        <v>43.067525305821675</v>
      </c>
      <c r="W31" s="38">
        <f>AVERAGE(K31:V31)</f>
        <v>44.052678274858131</v>
      </c>
      <c r="X31" s="37">
        <f>STDEV(K31:V31)/SQRT(COUNT(K31:V31))</f>
        <v>0.22491211026054109</v>
      </c>
      <c r="Y31" s="36">
        <f>MIN(K31:V31)</f>
        <v>43.067525305821675</v>
      </c>
      <c r="Z31" s="35">
        <f>QUARTILE(K31:V31,1)</f>
        <v>43.341228438254909</v>
      </c>
      <c r="AA31" s="36">
        <f>MEDIAN(K31:V31)</f>
        <v>44.205397777748622</v>
      </c>
      <c r="AB31" s="35">
        <f>QUARTILE(K31:V31,3)</f>
        <v>44.568169025090619</v>
      </c>
      <c r="AC31" s="35">
        <f>MAX(K31:V31)</f>
        <v>45.426980827401579</v>
      </c>
      <c r="AD31" s="35">
        <f>SKEW(K31:V31)</f>
        <v>0.17569187142421266</v>
      </c>
      <c r="AE31" s="35">
        <f>KURT(K31:V31)</f>
        <v>-1.2520640155331582</v>
      </c>
    </row>
    <row r="32" spans="2:31" x14ac:dyDescent="0.2">
      <c r="B32" s="34">
        <f>[53]FormattedData!A74</f>
        <v>307</v>
      </c>
      <c r="C32" s="34" t="str">
        <f>VLOOKUP($B32,[53]TrtCodes!$B$11:I117,2)</f>
        <v>NTH</v>
      </c>
      <c r="D32" s="34">
        <f>VLOOKUP($B32,[53]TrtCodes!$B$11:J117,3)</f>
        <v>9</v>
      </c>
      <c r="E32" s="34">
        <f>VLOOKUP($B32,[53]TrtCodes!$B$11:K117,4)</f>
        <v>2</v>
      </c>
      <c r="F32" s="34">
        <f>VLOOKUP($B32,[53]TrtCodes!$B$11:L117,5)</f>
        <v>2</v>
      </c>
      <c r="G32" s="34">
        <f>VLOOKUP($B32,[53]TrtCodes!$B$11:M117,6)</f>
        <v>2</v>
      </c>
      <c r="H32" s="34">
        <f>VLOOKUP($B32,[53]TrtCodes!$B$11:N117,7)</f>
        <v>4</v>
      </c>
      <c r="I32" s="34">
        <f>[53]FormattedData!B74</f>
        <v>1</v>
      </c>
      <c r="J32" s="37">
        <f>[53]FormattedData!C74</f>
        <v>13.307</v>
      </c>
      <c r="K32" s="39">
        <f>$J$3+[53]FormattedData!D74*$J$4+$M$4*$J$5+[53]FormattedData!D74^2*$J$6+$M$5*$J$7</f>
        <v>43.250036329315094</v>
      </c>
      <c r="L32" s="39">
        <f>$J$3+[53]FormattedData!E74*$J$4+$M$4*$J$5+[53]FormattedData!E74^2*$J$6+$M$5*$J$7</f>
        <v>44.794553660133253</v>
      </c>
      <c r="M32" s="39">
        <f>$J$3+[53]FormattedData!F74*$J$4+$M$4*$J$5+[53]FormattedData!F74^2*$J$6+$M$5*$J$7</f>
        <v>45.336760894834178</v>
      </c>
      <c r="N32" s="39">
        <f>$J$3+[53]FormattedData!G74*$J$4+$M$4*$J$5+[53]FormattedData!G74^2*$J$6+$M$5*$J$7</f>
        <v>43.614551153846747</v>
      </c>
      <c r="O32" s="39">
        <f>$J$3+[53]FormattedData!H74*$J$4+$M$4*$J$5+[53]FormattedData!H74^2*$J$6+$M$5*$J$7</f>
        <v>45.51715849143104</v>
      </c>
      <c r="P32" s="39">
        <f>$J$3+[53]FormattedData!I74*$J$4+$M$4*$J$5+[53]FormattedData!I74^2*$J$6+$M$5*$J$7</f>
        <v>43.705574188634841</v>
      </c>
      <c r="Q32" s="39">
        <f>$J$3+[53]FormattedData!J74*$J$4+$M$4*$J$5+[53]FormattedData!J74^2*$J$6+$M$5*$J$7</f>
        <v>45.607293886922577</v>
      </c>
      <c r="R32" s="39">
        <f>$J$3+[53]FormattedData!K74*$J$4+$M$4*$J$5+[53]FormattedData!K74^2*$J$6+$M$5*$J$7</f>
        <v>43.341228438254909</v>
      </c>
      <c r="S32" s="39">
        <f>$J$3+[53]FormattedData!L74*$J$4+$M$4*$J$5+[53]FormattedData!L74^2*$J$6+$M$5*$J$7</f>
        <v>45.426980827401579</v>
      </c>
      <c r="T32" s="39">
        <f>$J$3+[53]FormattedData!M74*$J$4+$M$4*$J$5+[53]FormattedData!M74^2*$J$6+$M$5*$J$7</f>
        <v>43.250036329315094</v>
      </c>
      <c r="U32" s="39">
        <f>$J$3+[53]FormattedData!N74*$J$4+$M$4*$J$5+[53]FormattedData!N74^2*$J$6+$M$5*$J$7</f>
        <v>45.697387013876181</v>
      </c>
      <c r="V32" s="39">
        <f>$J$3+[53]FormattedData!O74*$J$4+$M$4*$J$5+[53]FormattedData!O74^2*$J$6+$M$5*$J$7</f>
        <v>43.796554954884996</v>
      </c>
      <c r="W32" s="38">
        <f>AVERAGE(K32:V32)</f>
        <v>44.444843014070869</v>
      </c>
      <c r="X32" s="37">
        <f>STDEV(K32:V32)/SQRT(COUNT(K32:V32))</f>
        <v>0.29748567892094668</v>
      </c>
      <c r="Y32" s="36">
        <f>MIN(K32:V32)</f>
        <v>43.250036329315094</v>
      </c>
      <c r="Z32" s="35">
        <f>QUARTILE(K32:V32,1)</f>
        <v>43.54622047494879</v>
      </c>
      <c r="AA32" s="36">
        <f>MEDIAN(K32:V32)</f>
        <v>44.295554307509121</v>
      </c>
      <c r="AB32" s="35">
        <f>QUARTILE(K32:V32,3)</f>
        <v>45.449525243408942</v>
      </c>
      <c r="AC32" s="35">
        <f>MAX(K32:V32)</f>
        <v>45.697387013876181</v>
      </c>
      <c r="AD32" s="35">
        <f>SKEW(K32:V32)</f>
        <v>4.6273075993775226E-2</v>
      </c>
      <c r="AE32" s="35">
        <f>KURT(K32:V32)</f>
        <v>-2.1194815204584074</v>
      </c>
    </row>
    <row r="33" spans="2:31" x14ac:dyDescent="0.2">
      <c r="B33" s="34">
        <f>[53]FormattedData!A76</f>
        <v>308</v>
      </c>
      <c r="C33" s="34" t="str">
        <f>VLOOKUP($B33,[53]TrtCodes!$B$11:I119,2)</f>
        <v>FDH</v>
      </c>
      <c r="D33" s="34">
        <f>VLOOKUP($B33,[53]TrtCodes!$B$11:J119,3)</f>
        <v>5</v>
      </c>
      <c r="E33" s="34">
        <f>VLOOKUP($B33,[53]TrtCodes!$B$11:K119,4)</f>
        <v>1</v>
      </c>
      <c r="F33" s="34">
        <f>VLOOKUP($B33,[53]TrtCodes!$B$11:L119,5)</f>
        <v>3</v>
      </c>
      <c r="G33" s="34">
        <f>VLOOKUP($B33,[53]TrtCodes!$B$11:M119,6)</f>
        <v>2</v>
      </c>
      <c r="H33" s="34">
        <f>VLOOKUP($B33,[53]TrtCodes!$B$11:N119,7)</f>
        <v>4</v>
      </c>
      <c r="I33" s="34">
        <f>[53]FormattedData!B76</f>
        <v>1</v>
      </c>
      <c r="J33" s="37">
        <f>[53]FormattedData!C76</f>
        <v>13.313000000000001</v>
      </c>
      <c r="K33" s="39">
        <f>$J$3+[53]FormattedData!D76*$J$4+$M$4*$J$5+[53]FormattedData!D76^2*$J$6+$M$5*$J$7</f>
        <v>43.158801951837347</v>
      </c>
      <c r="L33" s="39">
        <f>$J$3+[53]FormattedData!E76*$J$4+$M$4*$J$5+[53]FormattedData!E76^2*$J$6+$M$5*$J$7</f>
        <v>44.069243642407869</v>
      </c>
      <c r="M33" s="39">
        <f>$J$3+[53]FormattedData!F76*$J$4+$M$4*$J$5+[53]FormattedData!F76^2*$J$6+$M$5*$J$7</f>
        <v>44.522879417520713</v>
      </c>
      <c r="N33" s="39">
        <f>$J$3+[53]FormattedData!G76*$J$4+$M$4*$J$5+[53]FormattedData!G76^2*$J$6+$M$5*$J$7</f>
        <v>44.341551913089376</v>
      </c>
      <c r="O33" s="39">
        <f>$J$3+[53]FormattedData!H76*$J$4+$M$4*$J$5+[53]FormattedData!H76^2*$J$6+$M$5*$J$7</f>
        <v>45.246498693728853</v>
      </c>
      <c r="P33" s="39">
        <f>$J$3+[53]FormattedData!I76*$J$4+$M$4*$J$5+[53]FormattedData!I76^2*$J$6+$M$5*$J$7</f>
        <v>43.614551153846747</v>
      </c>
      <c r="Q33" s="39">
        <f>$J$3+[53]FormattedData!J76*$J$4+$M$4*$J$5+[53]FormattedData!J76^2*$J$6+$M$5*$J$7</f>
        <v>45.51715849143104</v>
      </c>
      <c r="R33" s="39">
        <f>$J$3+[53]FormattedData!K76*$J$4+$M$4*$J$5+[53]FormattedData!K76^2*$J$6+$M$5*$J$7</f>
        <v>44.069243642407869</v>
      </c>
      <c r="S33" s="39">
        <f>$J$3+[53]FormattedData!L76*$J$4+$M$4*$J$5+[53]FormattedData!L76^2*$J$6+$M$5*$J$7</f>
        <v>45.877446462169587</v>
      </c>
      <c r="T33" s="39">
        <f>$J$3+[53]FormattedData!M76*$J$4+$M$4*$J$5+[53]FormattedData!M76^2*$J$6+$M$5*$J$7</f>
        <v>44.250824758066813</v>
      </c>
      <c r="U33" s="39">
        <f>$J$3+[53]FormattedData!N76*$J$4+$M$4*$J$5+[53]FormattedData!N76^2*$J$6+$M$5*$J$7</f>
        <v>45.697387013876181</v>
      </c>
      <c r="V33" s="39">
        <f>$J$3+[53]FormattedData!O76*$J$4+$M$4*$J$5+[53]FormattedData!O76^2*$J$6+$M$5*$J$7</f>
        <v>44.794553660133253</v>
      </c>
      <c r="W33" s="38">
        <f>AVERAGE(K33:V33)</f>
        <v>44.596678400042968</v>
      </c>
      <c r="X33" s="37">
        <f>STDEV(K33:V33)/SQRT(COUNT(K33:V33))</f>
        <v>0.24524599468198094</v>
      </c>
      <c r="Y33" s="36">
        <f>MIN(K33:V33)</f>
        <v>43.158801951837347</v>
      </c>
      <c r="Z33" s="35">
        <f>QUARTILE(K33:V33,1)</f>
        <v>44.069243642407869</v>
      </c>
      <c r="AA33" s="36">
        <f>MEDIAN(K33:V33)</f>
        <v>44.432215665305044</v>
      </c>
      <c r="AB33" s="35">
        <f>QUARTILE(K33:V33,3)</f>
        <v>45.314163643154401</v>
      </c>
      <c r="AC33" s="35">
        <f>MAX(K33:V33)</f>
        <v>45.877446462169587</v>
      </c>
      <c r="AD33" s="35">
        <f>SKEW(K33:V33)</f>
        <v>3.9959528548268342E-2</v>
      </c>
      <c r="AE33" s="35">
        <f>KURT(K33:V33)</f>
        <v>-0.87688924361529663</v>
      </c>
    </row>
    <row r="34" spans="2:31" x14ac:dyDescent="0.2">
      <c r="B34" s="34">
        <f>[53]FormattedData!A92</f>
        <v>401</v>
      </c>
      <c r="C34" s="34" t="str">
        <f>VLOOKUP($B34,[53]TrtCodes!$B$11:I129,2)</f>
        <v>NSH</v>
      </c>
      <c r="D34" s="34">
        <f>VLOOKUP($B34,[53]TrtCodes!$B$11:J129,3)</f>
        <v>7</v>
      </c>
      <c r="E34" s="34">
        <f>VLOOKUP($B34,[53]TrtCodes!$B$11:K129,4)</f>
        <v>2</v>
      </c>
      <c r="F34" s="34">
        <f>VLOOKUP($B34,[53]TrtCodes!$B$11:L129,5)</f>
        <v>1</v>
      </c>
      <c r="G34" s="34">
        <f>VLOOKUP($B34,[53]TrtCodes!$B$11:M129,6)</f>
        <v>2</v>
      </c>
      <c r="H34" s="34">
        <f>VLOOKUP($B34,[53]TrtCodes!$B$11:N129,7)</f>
        <v>3</v>
      </c>
      <c r="I34" s="34">
        <f>[53]FormattedData!B92</f>
        <v>1</v>
      </c>
      <c r="J34" s="37">
        <f>[53]FormattedData!C92</f>
        <v>13.391999999999999</v>
      </c>
      <c r="K34" s="39">
        <f>$J$3+[53]FormattedData!D92*$J$4+$M$4*$J$5+[53]FormattedData!D92^2*$J$6+$M$5*$J$7</f>
        <v>42.701996036379668</v>
      </c>
      <c r="L34" s="39">
        <f>$J$3+[53]FormattedData!E92*$J$4+$M$4*$J$5+[53]FormattedData!E92^2*$J$6+$M$5*$J$7</f>
        <v>42.701996036379668</v>
      </c>
      <c r="M34" s="39">
        <f>$J$3+[53]FormattedData!F92*$J$4+$M$4*$J$5+[53]FormattedData!F92^2*$J$6+$M$5*$J$7</f>
        <v>42.610508047674344</v>
      </c>
      <c r="N34" s="39">
        <f>$J$3+[53]FormattedData!G92*$J$4+$M$4*$J$5+[53]FormattedData!G92^2*$J$6+$M$5*$J$7</f>
        <v>43.523485850520736</v>
      </c>
      <c r="O34" s="39">
        <f>$J$3+[53]FormattedData!H92*$J$4+$M$4*$J$5+[53]FormattedData!H92^2*$J$6+$M$5*$J$7</f>
        <v>43.614551153846747</v>
      </c>
      <c r="P34" s="39">
        <f>$J$3+[53]FormattedData!I92*$J$4+$M$4*$J$5+[53]FormattedData!I92^2*$J$6+$M$5*$J$7</f>
        <v>42.427405264649884</v>
      </c>
      <c r="Q34" s="39">
        <f>$J$3+[53]FormattedData!J92*$J$4+$M$4*$J$5+[53]FormattedData!J92^2*$J$6+$M$5*$J$7</f>
        <v>43.796554954884996</v>
      </c>
      <c r="R34" s="39">
        <f>$J$3+[53]FormattedData!K92*$J$4+$M$4*$J$5+[53]FormattedData!K92^2*$J$6+$M$5*$J$7</f>
        <v>43.523485850520736</v>
      </c>
      <c r="S34" s="39">
        <f>$J$3+[53]FormattedData!L92*$J$4+$M$4*$J$5+[53]FormattedData!L92^2*$J$6+$M$5*$J$7</f>
        <v>43.887493452597219</v>
      </c>
      <c r="T34" s="39">
        <f>$J$3+[53]FormattedData!M92*$J$4+$M$4*$J$5+[53]FormattedData!M92^2*$J$6+$M$5*$J$7</f>
        <v>41.968908607674962</v>
      </c>
      <c r="U34" s="39">
        <f>$J$3+[53]FormattedData!N92*$J$4+$M$4*$J$5+[53]FormattedData!N92^2*$J$6+$M$5*$J$7</f>
        <v>43.796554954884996</v>
      </c>
      <c r="V34" s="39">
        <f>$J$3+[53]FormattedData!O92*$J$4+$M$4*$J$5+[53]FormattedData!O92^2*$J$6+$M$5*$J$7</f>
        <v>42.15243407607872</v>
      </c>
      <c r="W34" s="38">
        <f>AVERAGE(K34:V34)</f>
        <v>43.058781190507716</v>
      </c>
      <c r="X34" s="37">
        <f>STDEV(K34:V34)/SQRT(COUNT(K34:V34))</f>
        <v>0.2018780828409894</v>
      </c>
      <c r="Y34" s="36">
        <f>MIN(K34:V34)</f>
        <v>41.968908607674962</v>
      </c>
      <c r="Z34" s="35">
        <f>QUARTILE(K34:V34,1)</f>
        <v>42.564732351918231</v>
      </c>
      <c r="AA34" s="36">
        <f>MEDIAN(K34:V34)</f>
        <v>43.112740943450206</v>
      </c>
      <c r="AB34" s="35">
        <f>QUARTILE(K34:V34,3)</f>
        <v>43.660052104106313</v>
      </c>
      <c r="AC34" s="35">
        <f>MAX(K34:V34)</f>
        <v>43.887493452597219</v>
      </c>
      <c r="AD34" s="35">
        <f>SKEW(K34:V34)</f>
        <v>-0.23190765807318611</v>
      </c>
      <c r="AE34" s="35">
        <f>KURT(K34:V34)</f>
        <v>-1.6811337508543773</v>
      </c>
    </row>
    <row r="35" spans="2:31" x14ac:dyDescent="0.2">
      <c r="B35" s="34">
        <f>[53]FormattedData!A90</f>
        <v>402</v>
      </c>
      <c r="C35" s="34" t="str">
        <f>VLOOKUP($B35,[53]TrtCodes!$B$11:I130,2)</f>
        <v>NTH</v>
      </c>
      <c r="D35" s="34">
        <f>VLOOKUP($B35,[53]TrtCodes!$B$11:J130,3)</f>
        <v>9</v>
      </c>
      <c r="E35" s="34">
        <f>VLOOKUP($B35,[53]TrtCodes!$B$11:K130,4)</f>
        <v>2</v>
      </c>
      <c r="F35" s="34">
        <f>VLOOKUP($B35,[53]TrtCodes!$B$11:L130,5)</f>
        <v>2</v>
      </c>
      <c r="G35" s="34">
        <f>VLOOKUP($B35,[53]TrtCodes!$B$11:M130,6)</f>
        <v>2</v>
      </c>
      <c r="H35" s="34">
        <f>VLOOKUP($B35,[53]TrtCodes!$B$11:N130,7)</f>
        <v>3</v>
      </c>
      <c r="I35" s="34">
        <f>[53]FormattedData!B90</f>
        <v>1</v>
      </c>
      <c r="J35" s="37">
        <f>[53]FormattedData!C90</f>
        <v>13.382</v>
      </c>
      <c r="K35" s="39">
        <f>$J$3+[53]FormattedData!D90*$J$4+$M$4*$J$5+[53]FormattedData!D90^2*$J$6+$M$5*$J$7</f>
        <v>42.427405264649884</v>
      </c>
      <c r="L35" s="39">
        <f>$J$3+[53]FormattedData!E90*$J$4+$M$4*$J$5+[53]FormattedData!E90^2*$J$6+$M$5*$J$7</f>
        <v>41.140951707230435</v>
      </c>
      <c r="M35" s="39">
        <f>$J$3+[53]FormattedData!F90*$J$4+$M$4*$J$5+[53]FormattedData!F90^2*$J$6+$M$5*$J$7</f>
        <v>43.341228438254909</v>
      </c>
      <c r="N35" s="39">
        <f>$J$3+[53]FormattedData!G90*$J$4+$M$4*$J$5+[53]FormattedData!G90^2*$J$6+$M$5*$J$7</f>
        <v>41.601350448412262</v>
      </c>
      <c r="O35" s="39">
        <f>$J$3+[53]FormattedData!H90*$J$4+$M$4*$J$5+[53]FormattedData!H90^2*$J$6+$M$5*$J$7</f>
        <v>43.067525305821675</v>
      </c>
      <c r="P35" s="39">
        <f>$J$3+[53]FormattedData!I90*$J$4+$M$4*$J$5+[53]FormattedData!I90^2*$J$6+$M$5*$J$7</f>
        <v>41.601350448412262</v>
      </c>
      <c r="Q35" s="39">
        <f>$J$3+[53]FormattedData!J90*$J$4+$M$4*$J$5+[53]FormattedData!J90^2*$J$6+$M$5*$J$7</f>
        <v>43.523485850520736</v>
      </c>
      <c r="R35" s="39">
        <f>$J$3+[53]FormattedData!K90*$J$4+$M$4*$J$5+[53]FormattedData!K90^2*$J$6+$M$5*$J$7</f>
        <v>41.693303391034831</v>
      </c>
      <c r="S35" s="39">
        <f>$J$3+[53]FormattedData!L90*$J$4+$M$4*$J$5+[53]FormattedData!L90^2*$J$6+$M$5*$J$7</f>
        <v>43.067525305821675</v>
      </c>
      <c r="T35" s="39">
        <f>$J$3+[53]FormattedData!M90*$J$4+$M$4*$J$5+[53]FormattedData!M90^2*$J$6+$M$5*$J$7</f>
        <v>42.06069247614581</v>
      </c>
      <c r="U35" s="39">
        <f>$J$3+[53]FormattedData!N90*$J$4+$M$4*$J$5+[53]FormattedData!N90^2*$J$6+$M$5*$J$7</f>
        <v>43.341228438254909</v>
      </c>
      <c r="V35" s="39">
        <f>$J$3+[53]FormattedData!O90*$J$4+$M$4*$J$5+[53]FormattedData!O90^2*$J$6+$M$5*$J$7</f>
        <v>41.785214065119476</v>
      </c>
      <c r="W35" s="38">
        <f>AVERAGE(K35:V35)</f>
        <v>42.387605094973239</v>
      </c>
      <c r="X35" s="37">
        <f>STDEV(K35:V35)/SQRT(COUNT(K35:V35))</f>
        <v>0.24273576744485983</v>
      </c>
      <c r="Y35" s="36">
        <f>MIN(K35:V35)</f>
        <v>41.140951707230435</v>
      </c>
      <c r="Z35" s="35">
        <f>QUARTILE(K35:V35,1)</f>
        <v>41.670315155379186</v>
      </c>
      <c r="AA35" s="36">
        <f>MEDIAN(K35:V35)</f>
        <v>42.244048870397847</v>
      </c>
      <c r="AB35" s="35">
        <f>QUARTILE(K35:V35,3)</f>
        <v>43.135951088929986</v>
      </c>
      <c r="AC35" s="35">
        <f>MAX(K35:V35)</f>
        <v>43.523485850520736</v>
      </c>
      <c r="AD35" s="35">
        <f>SKEW(K35:V35)</f>
        <v>6.0712072257011786E-2</v>
      </c>
      <c r="AE35" s="35">
        <f>KURT(K35:V35)</f>
        <v>-1.7319359100618223</v>
      </c>
    </row>
    <row r="36" spans="2:31" x14ac:dyDescent="0.2">
      <c r="B36" s="34">
        <f>[53]FormattedData!A88</f>
        <v>403</v>
      </c>
      <c r="C36" s="34" t="str">
        <f>VLOOKUP($B36,[53]TrtCodes!$B$11:I131,2)</f>
        <v>FDL</v>
      </c>
      <c r="D36" s="34">
        <f>VLOOKUP($B36,[53]TrtCodes!$B$11:J131,3)</f>
        <v>6</v>
      </c>
      <c r="E36" s="34">
        <f>VLOOKUP($B36,[53]TrtCodes!$B$11:K131,4)</f>
        <v>1</v>
      </c>
      <c r="F36" s="34">
        <f>VLOOKUP($B36,[53]TrtCodes!$B$11:L131,5)</f>
        <v>3</v>
      </c>
      <c r="G36" s="34">
        <f>VLOOKUP($B36,[53]TrtCodes!$B$11:M131,6)</f>
        <v>1</v>
      </c>
      <c r="H36" s="34">
        <f>VLOOKUP($B36,[53]TrtCodes!$B$11:N131,7)</f>
        <v>3</v>
      </c>
      <c r="I36" s="34">
        <f>[53]FormattedData!B88</f>
        <v>1</v>
      </c>
      <c r="J36" s="37">
        <f>[53]FormattedData!C88</f>
        <v>13.374000000000001</v>
      </c>
      <c r="K36" s="39">
        <f>$J$3+[53]FormattedData!D88*$J$4+$M$4*$J$5+[53]FormattedData!D88^2*$J$6+$M$5*$J$7</f>
        <v>43.158801951837347</v>
      </c>
      <c r="L36" s="39">
        <f>$J$3+[53]FormattedData!E88*$J$4+$M$4*$J$5+[53]FormattedData!E88^2*$J$6+$M$5*$J$7</f>
        <v>43.067525305821675</v>
      </c>
      <c r="M36" s="39">
        <f>$J$3+[53]FormattedData!F88*$J$4+$M$4*$J$5+[53]FormattedData!F88^2*$J$6+$M$5*$J$7</f>
        <v>43.887493452597219</v>
      </c>
      <c r="N36" s="39">
        <f>$J$3+[53]FormattedData!G88*$J$4+$M$4*$J$5+[53]FormattedData!G88^2*$J$6+$M$5*$J$7</f>
        <v>42.610508047674344</v>
      </c>
      <c r="O36" s="39">
        <f>$J$3+[53]FormattedData!H88*$J$4+$M$4*$J$5+[53]FormattedData!H88^2*$J$6+$M$5*$J$7</f>
        <v>43.250036329315094</v>
      </c>
      <c r="P36" s="39">
        <f>$J$3+[53]FormattedData!I88*$J$4+$M$4*$J$5+[53]FormattedData!I88^2*$J$6+$M$5*$J$7</f>
        <v>43.341228438254909</v>
      </c>
      <c r="Q36" s="39">
        <f>$J$3+[53]FormattedData!J88*$J$4+$M$4*$J$5+[53]FormattedData!J88^2*$J$6+$M$5*$J$7</f>
        <v>43.158801951837347</v>
      </c>
      <c r="R36" s="39">
        <f>$J$3+[53]FormattedData!K88*$J$4+$M$4*$J$5+[53]FormattedData!K88^2*$J$6+$M$5*$J$7</f>
        <v>42.976206391268072</v>
      </c>
      <c r="S36" s="39">
        <f>$J$3+[53]FormattedData!L88*$J$4+$M$4*$J$5+[53]FormattedData!L88^2*$J$6+$M$5*$J$7</f>
        <v>44.250824758066813</v>
      </c>
      <c r="T36" s="39">
        <f>$J$3+[53]FormattedData!M88*$J$4+$M$4*$J$5+[53]FormattedData!M88^2*$J$6+$M$5*$J$7</f>
        <v>42.701996036379668</v>
      </c>
      <c r="U36" s="39">
        <f>$J$3+[53]FormattedData!N88*$J$4+$M$4*$J$5+[53]FormattedData!N88^2*$J$6+$M$5*$J$7</f>
        <v>42.976206391268072</v>
      </c>
      <c r="V36" s="39">
        <f>$J$3+[53]FormattedData!O88*$J$4+$M$4*$J$5+[53]FormattedData!O88^2*$J$6+$M$5*$J$7</f>
        <v>43.432378278656785</v>
      </c>
      <c r="W36" s="38">
        <f>AVERAGE(K36:V36)</f>
        <v>43.234333944414779</v>
      </c>
      <c r="X36" s="37">
        <f>STDEV(K36:V36)/SQRT(COUNT(K36:V36))</f>
        <v>0.13359263113283845</v>
      </c>
      <c r="Y36" s="36">
        <f>MIN(K36:V36)</f>
        <v>42.610508047674344</v>
      </c>
      <c r="Z36" s="35">
        <f>QUARTILE(K36:V36,1)</f>
        <v>42.976206391268072</v>
      </c>
      <c r="AA36" s="36">
        <f>MEDIAN(K36:V36)</f>
        <v>43.158801951837347</v>
      </c>
      <c r="AB36" s="35">
        <f>QUARTILE(K36:V36,3)</f>
        <v>43.364015898355376</v>
      </c>
      <c r="AC36" s="35">
        <f>MAX(K36:V36)</f>
        <v>44.250824758066813</v>
      </c>
      <c r="AD36" s="35">
        <f>SKEW(K36:V36)</f>
        <v>0.99548500122620531</v>
      </c>
      <c r="AE36" s="35">
        <f>KURT(K36:V36)</f>
        <v>1.0951032855537619</v>
      </c>
    </row>
    <row r="37" spans="2:31" x14ac:dyDescent="0.2">
      <c r="B37" s="34">
        <f>[53]FormattedData!A86</f>
        <v>404</v>
      </c>
      <c r="C37" s="34" t="str">
        <f>VLOOKUP($B37,[53]TrtCodes!$B$11:I129,2)</f>
        <v>FTH</v>
      </c>
      <c r="D37" s="34">
        <f>VLOOKUP($B37,[53]TrtCodes!$B$11:J129,3)</f>
        <v>3</v>
      </c>
      <c r="E37" s="34">
        <f>VLOOKUP($B37,[53]TrtCodes!$B$11:K129,4)</f>
        <v>1</v>
      </c>
      <c r="F37" s="34">
        <f>VLOOKUP($B37,[53]TrtCodes!$B$11:L129,5)</f>
        <v>2</v>
      </c>
      <c r="G37" s="34">
        <f>VLOOKUP($B37,[53]TrtCodes!$B$11:M129,6)</f>
        <v>2</v>
      </c>
      <c r="H37" s="34">
        <f>VLOOKUP($B37,[53]TrtCodes!$B$11:N129,7)</f>
        <v>3</v>
      </c>
      <c r="I37" s="34">
        <f>[53]FormattedData!B86</f>
        <v>1</v>
      </c>
      <c r="J37" s="37">
        <f>[53]FormattedData!C86</f>
        <v>13.365</v>
      </c>
      <c r="K37" s="39">
        <f>$J$3+[53]FormattedData!D86*$J$4+$M$4*$J$5+[53]FormattedData!D86^2*$J$6+$M$5*$J$7</f>
        <v>42.976206391268072</v>
      </c>
      <c r="L37" s="39">
        <f>$J$3+[53]FormattedData!E86*$J$4+$M$4*$J$5+[53]FormattedData!E86^2*$J$6+$M$5*$J$7</f>
        <v>42.335790470330764</v>
      </c>
      <c r="M37" s="39">
        <f>$J$3+[53]FormattedData!F86*$J$4+$M$4*$J$5+[53]FormattedData!F86^2*$J$6+$M$5*$J$7</f>
        <v>44.794553660133253</v>
      </c>
      <c r="N37" s="39">
        <f>$J$3+[53]FormattedData!G86*$J$4+$M$4*$J$5+[53]FormattedData!G86^2*$J$6+$M$5*$J$7</f>
        <v>42.701996036379668</v>
      </c>
      <c r="O37" s="39">
        <f>$J$3+[53]FormattedData!H86*$J$4+$M$4*$J$5+[53]FormattedData!H86^2*$J$6+$M$5*$J$7</f>
        <v>45.156194224085596</v>
      </c>
      <c r="P37" s="39">
        <f>$J$3+[53]FormattedData!I86*$J$4+$M$4*$J$5+[53]FormattedData!I86^2*$J$6+$M$5*$J$7</f>
        <v>42.976206391268072</v>
      </c>
      <c r="Q37" s="39">
        <f>$J$3+[53]FormattedData!J86*$J$4+$M$4*$J$5+[53]FormattedData!J86^2*$J$6+$M$5*$J$7</f>
        <v>44.885027203928232</v>
      </c>
      <c r="R37" s="39">
        <f>$J$3+[53]FormattedData!K86*$J$4+$M$4*$J$5+[53]FormattedData!K86^2*$J$6+$M$5*$J$7</f>
        <v>42.610508047674344</v>
      </c>
      <c r="S37" s="39">
        <f>$J$3+[53]FormattedData!L86*$J$4+$M$4*$J$5+[53]FormattedData!L86^2*$J$6+$M$5*$J$7</f>
        <v>45.156194224085596</v>
      </c>
      <c r="T37" s="39">
        <f>$J$3+[53]FormattedData!M86*$J$4+$M$4*$J$5+[53]FormattedData!M86^2*$J$6+$M$5*$J$7</f>
        <v>43.067525305821675</v>
      </c>
      <c r="U37" s="39">
        <f>$J$3+[53]FormattedData!N86*$J$4+$M$4*$J$5+[53]FormattedData!N86^2*$J$6+$M$5*$J$7</f>
        <v>44.975458479185292</v>
      </c>
      <c r="V37" s="39">
        <f>$J$3+[53]FormattedData!O86*$J$4+$M$4*$J$5+[53]FormattedData!O86^2*$J$6+$M$5*$J$7</f>
        <v>42.793441756547068</v>
      </c>
      <c r="W37" s="38">
        <f>AVERAGE(K37:V37)</f>
        <v>43.702425182558976</v>
      </c>
      <c r="X37" s="37">
        <f>STDEV(K37:V37)/SQRT(COUNT(K37:V37))</f>
        <v>0.33466132710567442</v>
      </c>
      <c r="Y37" s="36">
        <f>MIN(K37:V37)</f>
        <v>42.335790470330764</v>
      </c>
      <c r="Z37" s="35">
        <f>QUARTILE(K37:V37,1)</f>
        <v>42.770580326505218</v>
      </c>
      <c r="AA37" s="36">
        <f>MEDIAN(K37:V37)</f>
        <v>43.021865848544877</v>
      </c>
      <c r="AB37" s="35">
        <f>QUARTILE(K37:V37,3)</f>
        <v>44.907635022742497</v>
      </c>
      <c r="AC37" s="35">
        <f>MAX(K37:V37)</f>
        <v>45.156194224085596</v>
      </c>
      <c r="AD37" s="35">
        <f>SKEW(K37:V37)</f>
        <v>0.31759298570057004</v>
      </c>
      <c r="AE37" s="35">
        <f>KURT(K37:V37)</f>
        <v>-2.0921828829246163</v>
      </c>
    </row>
    <row r="38" spans="2:31" x14ac:dyDescent="0.2">
      <c r="B38" s="34">
        <f>[53]FormattedData!A84</f>
        <v>405</v>
      </c>
      <c r="C38" s="34" t="str">
        <f>VLOOKUP($B38,[53]TrtCodes!$B$11:I127,2)</f>
        <v>FDL</v>
      </c>
      <c r="D38" s="34">
        <f>VLOOKUP($B38,[53]TrtCodes!$B$11:J127,3)</f>
        <v>6</v>
      </c>
      <c r="E38" s="34">
        <f>VLOOKUP($B38,[53]TrtCodes!$B$11:K127,4)</f>
        <v>1</v>
      </c>
      <c r="F38" s="34">
        <f>VLOOKUP($B38,[53]TrtCodes!$B$11:L127,5)</f>
        <v>3</v>
      </c>
      <c r="G38" s="34">
        <f>VLOOKUP($B38,[53]TrtCodes!$B$11:M127,6)</f>
        <v>1</v>
      </c>
      <c r="H38" s="34">
        <f>VLOOKUP($B38,[53]TrtCodes!$B$11:N127,7)</f>
        <v>4</v>
      </c>
      <c r="I38" s="34">
        <f>[53]FormattedData!B84</f>
        <v>1</v>
      </c>
      <c r="J38" s="37">
        <f>[53]FormattedData!C84</f>
        <v>13.356</v>
      </c>
      <c r="K38" s="39">
        <f>$J$3+[53]FormattedData!D84*$J$4+$M$4*$J$5+[53]FormattedData!D84^2*$J$6+$M$5*$J$7</f>
        <v>43.432378278656785</v>
      </c>
      <c r="L38" s="39">
        <f>$J$3+[53]FormattedData!E84*$J$4+$M$4*$J$5+[53]FormattedData!E84^2*$J$6+$M$5*$J$7</f>
        <v>43.887493452597219</v>
      </c>
      <c r="M38" s="39">
        <f>$J$3+[53]FormattedData!F84*$J$4+$M$4*$J$5+[53]FormattedData!F84^2*$J$6+$M$5*$J$7</f>
        <v>44.522879417520713</v>
      </c>
      <c r="N38" s="39">
        <f>$J$3+[53]FormattedData!G84*$J$4+$M$4*$J$5+[53]FormattedData!G84^2*$J$6+$M$5*$J$7</f>
        <v>43.705574188634841</v>
      </c>
      <c r="O38" s="39">
        <f>$J$3+[53]FormattedData!H84*$J$4+$M$4*$J$5+[53]FormattedData!H84^2*$J$6+$M$5*$J$7</f>
        <v>44.432236799574014</v>
      </c>
      <c r="P38" s="39">
        <f>$J$3+[53]FormattedData!I84*$J$4+$M$4*$J$5+[53]FormattedData!I84^2*$J$6+$M$5*$J$7</f>
        <v>42.976206391268072</v>
      </c>
      <c r="Q38" s="39">
        <f>$J$3+[53]FormattedData!J84*$J$4+$M$4*$J$5+[53]FormattedData!J84^2*$J$6+$M$5*$J$7</f>
        <v>44.885027203928232</v>
      </c>
      <c r="R38" s="39">
        <f>$J$3+[53]FormattedData!K84*$J$4+$M$4*$J$5+[53]FormattedData!K84^2*$J$6+$M$5*$J$7</f>
        <v>43.067525305821675</v>
      </c>
      <c r="S38" s="39">
        <f>$J$3+[53]FormattedData!L84*$J$4+$M$4*$J$5+[53]FormattedData!L84^2*$J$6+$M$5*$J$7</f>
        <v>44.794553660133253</v>
      </c>
      <c r="T38" s="39">
        <f>$J$3+[53]FormattedData!M84*$J$4+$M$4*$J$5+[53]FormattedData!M84^2*$J$6+$M$5*$J$7</f>
        <v>43.614551153846747</v>
      </c>
      <c r="U38" s="39">
        <f>$J$3+[53]FormattedData!N84*$J$4+$M$4*$J$5+[53]FormattedData!N84^2*$J$6+$M$5*$J$7</f>
        <v>45.065847485904406</v>
      </c>
      <c r="V38" s="39">
        <f>$J$3+[53]FormattedData!O84*$J$4+$M$4*$J$5+[53]FormattedData!O84^2*$J$6+$M$5*$J$7</f>
        <v>43.705574188634841</v>
      </c>
      <c r="W38" s="38">
        <f>AVERAGE(K38:V38)</f>
        <v>44.007487293876729</v>
      </c>
      <c r="X38" s="37">
        <f>STDEV(K38:V38)/SQRT(COUNT(K38:V38))</f>
        <v>0.20568873282698075</v>
      </c>
      <c r="Y38" s="36">
        <f>MIN(K38:V38)</f>
        <v>42.976206391268072</v>
      </c>
      <c r="Z38" s="35">
        <f>QUARTILE(K38:V38,1)</f>
        <v>43.569007935049257</v>
      </c>
      <c r="AA38" s="36">
        <f>MEDIAN(K38:V38)</f>
        <v>43.796533820616034</v>
      </c>
      <c r="AB38" s="35">
        <f>QUARTILE(K38:V38,3)</f>
        <v>44.590797978173846</v>
      </c>
      <c r="AC38" s="35">
        <f>MAX(K38:V38)</f>
        <v>45.065847485904406</v>
      </c>
      <c r="AD38" s="35">
        <f>SKEW(K38:V38)</f>
        <v>9.8740501095499644E-2</v>
      </c>
      <c r="AE38" s="35">
        <f>KURT(K38:V38)</f>
        <v>-1.3456526866834295</v>
      </c>
    </row>
    <row r="39" spans="2:31" x14ac:dyDescent="0.2">
      <c r="B39" s="34">
        <f>[53]FormattedData!A82</f>
        <v>406</v>
      </c>
      <c r="C39" s="34" t="str">
        <f>VLOOKUP($B39,[53]TrtCodes!$B$11:I125,2)</f>
        <v>FTH</v>
      </c>
      <c r="D39" s="34">
        <f>VLOOKUP($B39,[53]TrtCodes!$B$11:J125,3)</f>
        <v>3</v>
      </c>
      <c r="E39" s="34">
        <f>VLOOKUP($B39,[53]TrtCodes!$B$11:K125,4)</f>
        <v>1</v>
      </c>
      <c r="F39" s="34">
        <f>VLOOKUP($B39,[53]TrtCodes!$B$11:L125,5)</f>
        <v>2</v>
      </c>
      <c r="G39" s="34">
        <f>VLOOKUP($B39,[53]TrtCodes!$B$11:M125,6)</f>
        <v>2</v>
      </c>
      <c r="H39" s="34">
        <f>VLOOKUP($B39,[53]TrtCodes!$B$11:N125,7)</f>
        <v>4</v>
      </c>
      <c r="I39" s="34">
        <f>[53]FormattedData!B82</f>
        <v>1</v>
      </c>
      <c r="J39" s="37">
        <f>[53]FormattedData!C82</f>
        <v>13.347</v>
      </c>
      <c r="K39" s="39">
        <f>$J$3+[53]FormattedData!D82*$J$4+$M$4*$J$5+[53]FormattedData!D82^2*$J$6+$M$5*$J$7</f>
        <v>43.523485850520736</v>
      </c>
      <c r="L39" s="39">
        <f>$J$3+[53]FormattedData!E82*$J$4+$M$4*$J$5+[53]FormattedData!E82^2*$J$6+$M$5*$J$7</f>
        <v>42.701996036379668</v>
      </c>
      <c r="M39" s="39">
        <f>$J$3+[53]FormattedData!F82*$J$4+$M$4*$J$5+[53]FormattedData!F82^2*$J$6+$M$5*$J$7</f>
        <v>45.156194224085596</v>
      </c>
      <c r="N39" s="39">
        <f>$J$3+[53]FormattedData!G82*$J$4+$M$4*$J$5+[53]FormattedData!G82^2*$J$6+$M$5*$J$7</f>
        <v>42.701996036379668</v>
      </c>
      <c r="O39" s="39">
        <f>$J$3+[53]FormattedData!H82*$J$4+$M$4*$J$5+[53]FormattedData!H82^2*$J$6+$M$5*$J$7</f>
        <v>45.065847485904406</v>
      </c>
      <c r="P39" s="39">
        <f>$J$3+[53]FormattedData!I82*$J$4+$M$4*$J$5+[53]FormattedData!I82^2*$J$6+$M$5*$J$7</f>
        <v>42.701996036379668</v>
      </c>
      <c r="Q39" s="39">
        <f>$J$3+[53]FormattedData!J82*$J$4+$M$4*$J$5+[53]FormattedData!J82^2*$J$6+$M$5*$J$7</f>
        <v>45.065847485904406</v>
      </c>
      <c r="R39" s="39">
        <f>$J$3+[53]FormattedData!K82*$J$4+$M$4*$J$5+[53]FormattedData!K82^2*$J$6+$M$5*$J$7</f>
        <v>42.51897779043108</v>
      </c>
      <c r="S39" s="39">
        <f>$J$3+[53]FormattedData!L82*$J$4+$M$4*$J$5+[53]FormattedData!L82^2*$J$6+$M$5*$J$7</f>
        <v>44.250824758066813</v>
      </c>
      <c r="T39" s="39">
        <f>$J$3+[53]FormattedData!M82*$J$4+$M$4*$J$5+[53]FormattedData!M82^2*$J$6+$M$5*$J$7</f>
        <v>42.701996036379668</v>
      </c>
      <c r="U39" s="39">
        <f>$J$3+[53]FormattedData!N82*$J$4+$M$4*$J$5+[53]FormattedData!N82^2*$J$6+$M$5*$J$7</f>
        <v>44.613479766929494</v>
      </c>
      <c r="V39" s="39">
        <f>$J$3+[53]FormattedData!O82*$J$4+$M$4*$J$5+[53]FormattedData!O82^2*$J$6+$M$5*$J$7</f>
        <v>42.793441756547068</v>
      </c>
      <c r="W39" s="38">
        <f>AVERAGE(K39:V39)</f>
        <v>43.649673605325688</v>
      </c>
      <c r="X39" s="37">
        <f>STDEV(K39:V39)/SQRT(COUNT(K39:V39))</f>
        <v>0.3161188256317653</v>
      </c>
      <c r="Y39" s="36">
        <f>MIN(K39:V39)</f>
        <v>42.51897779043108</v>
      </c>
      <c r="Z39" s="35">
        <f>QUARTILE(K39:V39,1)</f>
        <v>42.701996036379668</v>
      </c>
      <c r="AA39" s="36">
        <f>MEDIAN(K39:V39)</f>
        <v>43.158463803533905</v>
      </c>
      <c r="AB39" s="35">
        <f>QUARTILE(K39:V39,3)</f>
        <v>44.726571696673219</v>
      </c>
      <c r="AC39" s="35">
        <f>MAX(K39:V39)</f>
        <v>45.156194224085596</v>
      </c>
      <c r="AD39" s="35">
        <f>SKEW(K39:V39)</f>
        <v>0.39314386321628708</v>
      </c>
      <c r="AE39" s="35">
        <f>KURT(K39:V39)</f>
        <v>-1.8869572125543548</v>
      </c>
    </row>
    <row r="40" spans="2:31" x14ac:dyDescent="0.2">
      <c r="B40" s="34">
        <f>[53]FormattedData!A80</f>
        <v>407</v>
      </c>
      <c r="C40" s="34" t="str">
        <f>VLOOKUP($B40,[53]TrtCodes!$B$11:I123,2)</f>
        <v>NSH</v>
      </c>
      <c r="D40" s="34">
        <f>VLOOKUP($B40,[53]TrtCodes!$B$11:J123,3)</f>
        <v>7</v>
      </c>
      <c r="E40" s="34">
        <f>VLOOKUP($B40,[53]TrtCodes!$B$11:K123,4)</f>
        <v>2</v>
      </c>
      <c r="F40" s="34">
        <f>VLOOKUP($B40,[53]TrtCodes!$B$11:L123,5)</f>
        <v>1</v>
      </c>
      <c r="G40" s="34">
        <f>VLOOKUP($B40,[53]TrtCodes!$B$11:M123,6)</f>
        <v>2</v>
      </c>
      <c r="H40" s="34">
        <f>VLOOKUP($B40,[53]TrtCodes!$B$11:N123,7)</f>
        <v>4</v>
      </c>
      <c r="I40" s="34">
        <f>[53]FormattedData!B80</f>
        <v>1</v>
      </c>
      <c r="J40" s="37">
        <f>[53]FormattedData!C80</f>
        <v>13.337999999999999</v>
      </c>
      <c r="K40" s="39">
        <f>$J$3+[53]FormattedData!D80*$J$4+$M$4*$J$5+[53]FormattedData!D80^2*$J$6+$M$5*$J$7</f>
        <v>41.877082470666188</v>
      </c>
      <c r="L40" s="39">
        <f>$J$3+[53]FormattedData!E80*$J$4+$M$4*$J$5+[53]FormattedData!E80^2*$J$6+$M$5*$J$7</f>
        <v>42.976206391268072</v>
      </c>
      <c r="M40" s="39">
        <f>$J$3+[53]FormattedData!F80*$J$4+$M$4*$J$5+[53]FormattedData!F80^2*$J$6+$M$5*$J$7</f>
        <v>44.250824758066813</v>
      </c>
      <c r="N40" s="39">
        <f>$J$3+[53]FormattedData!G80*$J$4+$M$4*$J$5+[53]FormattedData!G80^2*$J$6+$M$5*$J$7</f>
        <v>42.793441756547068</v>
      </c>
      <c r="O40" s="39">
        <f>$J$3+[53]FormattedData!H80*$J$4+$M$4*$J$5+[53]FormattedData!H80^2*$J$6+$M$5*$J$7</f>
        <v>44.16005533450631</v>
      </c>
      <c r="P40" s="39">
        <f>$J$3+[53]FormattedData!I80*$J$4+$M$4*$J$5+[53]FormattedData!I80^2*$J$6+$M$5*$J$7</f>
        <v>40.67949625260033</v>
      </c>
      <c r="Q40" s="39">
        <f>$J$3+[53]FormattedData!J80*$J$4+$M$4*$J$5+[53]FormattedData!J80^2*$J$6+$M$5*$J$7</f>
        <v>44.432236799574014</v>
      </c>
      <c r="R40" s="39">
        <f>$J$3+[53]FormattedData!K80*$J$4+$M$4*$J$5+[53]FormattedData!K80^2*$J$6+$M$5*$J$7</f>
        <v>42.51897779043108</v>
      </c>
      <c r="S40" s="39">
        <f>$J$3+[53]FormattedData!L80*$J$4+$M$4*$J$5+[53]FormattedData!L80^2*$J$6+$M$5*$J$7</f>
        <v>44.250824758066813</v>
      </c>
      <c r="T40" s="39">
        <f>$J$3+[53]FormattedData!M80*$J$4+$M$4*$J$5+[53]FormattedData!M80^2*$J$6+$M$5*$J$7</f>
        <v>41.048745153380274</v>
      </c>
      <c r="U40" s="39">
        <f>$J$3+[53]FormattedData!N80*$J$4+$M$4*$J$5+[53]FormattedData!N80^2*$J$6+$M$5*$J$7</f>
        <v>43.250036329315094</v>
      </c>
      <c r="V40" s="39">
        <f>$J$3+[53]FormattedData!O80*$J$4+$M$4*$J$5+[53]FormattedData!O80^2*$J$6+$M$5*$J$7</f>
        <v>43.705574188634841</v>
      </c>
      <c r="W40" s="38">
        <f>AVERAGE(K40:V40)</f>
        <v>42.995291831921406</v>
      </c>
      <c r="X40" s="37">
        <f>STDEV(K40:V40)/SQRT(COUNT(K40:V40))</f>
        <v>0.36736092591261166</v>
      </c>
      <c r="Y40" s="36">
        <f>MIN(K40:V40)</f>
        <v>40.67949625260033</v>
      </c>
      <c r="Z40" s="35">
        <f>QUARTILE(K40:V40,1)</f>
        <v>42.358503960489855</v>
      </c>
      <c r="AA40" s="36">
        <f>MEDIAN(K40:V40)</f>
        <v>43.113121360291586</v>
      </c>
      <c r="AB40" s="35">
        <f>QUARTILE(K40:V40,3)</f>
        <v>44.18274769039644</v>
      </c>
      <c r="AC40" s="35">
        <f>MAX(K40:V40)</f>
        <v>44.432236799574014</v>
      </c>
      <c r="AD40" s="35">
        <f>SKEW(K40:V40)</f>
        <v>-0.65792150948262362</v>
      </c>
      <c r="AE40" s="35">
        <f>KURT(K40:V40)</f>
        <v>-0.6646423821731382</v>
      </c>
    </row>
    <row r="41" spans="2:31" x14ac:dyDescent="0.2">
      <c r="B41" s="34">
        <f>[53]FormattedData!A78</f>
        <v>408</v>
      </c>
      <c r="C41" s="34" t="str">
        <f>VLOOKUP($B41,[53]TrtCodes!$B$11:I121,2)</f>
        <v>NTL</v>
      </c>
      <c r="D41" s="34">
        <f>VLOOKUP($B41,[53]TrtCodes!$B$11:J121,3)</f>
        <v>10</v>
      </c>
      <c r="E41" s="34">
        <f>VLOOKUP($B41,[53]TrtCodes!$B$11:K121,4)</f>
        <v>2</v>
      </c>
      <c r="F41" s="34">
        <f>VLOOKUP($B41,[53]TrtCodes!$B$11:L121,5)</f>
        <v>2</v>
      </c>
      <c r="G41" s="34">
        <f>VLOOKUP($B41,[53]TrtCodes!$B$11:M121,6)</f>
        <v>1</v>
      </c>
      <c r="H41" s="34">
        <f>VLOOKUP($B41,[53]TrtCodes!$B$11:N121,7)</f>
        <v>4</v>
      </c>
      <c r="I41" s="34">
        <f>[53]FormattedData!B78</f>
        <v>1</v>
      </c>
      <c r="J41" s="37">
        <f>[53]FormattedData!C78</f>
        <v>13.33</v>
      </c>
      <c r="K41" s="39">
        <f>$J$3+[53]FormattedData!D78*$J$4+$M$4*$J$5+[53]FormattedData!D78^2*$J$6+$M$5*$J$7</f>
        <v>42.793441756547068</v>
      </c>
      <c r="L41" s="39">
        <f>$J$3+[53]FormattedData!E78*$J$4+$M$4*$J$5+[53]FormattedData!E78^2*$J$6+$M$5*$J$7</f>
        <v>42.701996036379668</v>
      </c>
      <c r="M41" s="39">
        <f>$J$3+[53]FormattedData!F78*$J$4+$M$4*$J$5+[53]FormattedData!F78^2*$J$6+$M$5*$J$7</f>
        <v>44.341551913089376</v>
      </c>
      <c r="N41" s="39">
        <f>$J$3+[53]FormattedData!G78*$J$4+$M$4*$J$5+[53]FormattedData!G78^2*$J$6+$M$5*$J$7</f>
        <v>41.877082470666188</v>
      </c>
      <c r="O41" s="39">
        <f>$J$3+[53]FormattedData!H78*$J$4+$M$4*$J$5+[53]FormattedData!H78^2*$J$6+$M$5*$J$7</f>
        <v>44.069243642407869</v>
      </c>
      <c r="P41" s="39">
        <f>$J$3+[53]FormattedData!I78*$J$4+$M$4*$J$5+[53]FormattedData!I78^2*$J$6+$M$5*$J$7</f>
        <v>41.968908607674962</v>
      </c>
      <c r="Q41" s="39">
        <f>$J$3+[53]FormattedData!J78*$J$4+$M$4*$J$5+[53]FormattedData!J78^2*$J$6+$M$5*$J$7</f>
        <v>44.16005533450631</v>
      </c>
      <c r="R41" s="39">
        <f>$J$3+[53]FormattedData!K78*$J$4+$M$4*$J$5+[53]FormattedData!K78^2*$J$6+$M$5*$J$7</f>
        <v>42.15243407607872</v>
      </c>
      <c r="S41" s="39">
        <f>$J$3+[53]FormattedData!L78*$J$4+$M$4*$J$5+[53]FormattedData!L78^2*$J$6+$M$5*$J$7</f>
        <v>44.16005533450631</v>
      </c>
      <c r="T41" s="39">
        <f>$J$3+[53]FormattedData!M78*$J$4+$M$4*$J$5+[53]FormattedData!M78^2*$J$6+$M$5*$J$7</f>
        <v>42.51897779043108</v>
      </c>
      <c r="U41" s="39">
        <f>$J$3+[53]FormattedData!N78*$J$4+$M$4*$J$5+[53]FormattedData!N78^2*$J$6+$M$5*$J$7</f>
        <v>44.522879417520713</v>
      </c>
      <c r="V41" s="39">
        <f>$J$3+[53]FormattedData!O78*$J$4+$M$4*$J$5+[53]FormattedData!O78^2*$J$6+$M$5*$J$7</f>
        <v>42.793441756547068</v>
      </c>
      <c r="W41" s="38">
        <f>AVERAGE(K41:V41)</f>
        <v>43.171672344696276</v>
      </c>
      <c r="X41" s="37">
        <f>STDEV(K41:V41)/SQRT(COUNT(K41:V41))</f>
        <v>0.28930412631519414</v>
      </c>
      <c r="Y41" s="36">
        <f>MIN(K41:V41)</f>
        <v>41.877082470666188</v>
      </c>
      <c r="Z41" s="35">
        <f>QUARTILE(K41:V41,1)</f>
        <v>42.42734186184299</v>
      </c>
      <c r="AA41" s="36">
        <f>MEDIAN(K41:V41)</f>
        <v>42.793441756547068</v>
      </c>
      <c r="AB41" s="35">
        <f>QUARTILE(K41:V41,3)</f>
        <v>44.16005533450631</v>
      </c>
      <c r="AC41" s="35">
        <f>MAX(K41:V41)</f>
        <v>44.522879417520713</v>
      </c>
      <c r="AD41" s="35">
        <f>SKEW(K41:V41)</f>
        <v>0.13698834834793414</v>
      </c>
      <c r="AE41" s="35">
        <f>KURT(K41:V41)</f>
        <v>-1.8438748221146581</v>
      </c>
    </row>
    <row r="42" spans="2:31" x14ac:dyDescent="0.2">
      <c r="B42" s="50">
        <f>[53]FormattedData!A60</f>
        <v>901</v>
      </c>
      <c r="C42" s="50" t="str">
        <f>VLOOKUP($B42,[53]TrtCodes!$B$11:I103,2)</f>
        <v>WS</v>
      </c>
      <c r="D42" s="50">
        <f>VLOOKUP($B42,[53]TrtCodes!$B$11:J103,3)</f>
        <v>32</v>
      </c>
      <c r="E42" s="50">
        <f>VLOOKUP($B42,[53]TrtCodes!$B$11:K103,4)</f>
        <v>9</v>
      </c>
      <c r="F42" s="50">
        <f>VLOOKUP($B42,[53]TrtCodes!$B$11:L103,5)</f>
        <v>0</v>
      </c>
      <c r="G42" s="50">
        <f>VLOOKUP($B42,[53]TrtCodes!$B$11:M103,6)</f>
        <v>1</v>
      </c>
      <c r="H42" s="50">
        <f>VLOOKUP($B42,[53]TrtCodes!$B$11:N103,7)</f>
        <v>1</v>
      </c>
      <c r="I42" s="50">
        <f>[53]FormattedData!B60</f>
        <v>1</v>
      </c>
      <c r="J42" s="48">
        <f>[53]FormattedData!C60</f>
        <v>13.255000000000001</v>
      </c>
      <c r="K42" s="47">
        <f>$J$3+[53]FormattedData!D60*$J$4+$M$4*$J$5+[53]FormattedData!D60^2*$J$6+$M$5*$J$7</f>
        <v>27.526262041042852</v>
      </c>
      <c r="L42" s="47">
        <f>$J$3+[53]FormattedData!E60*$J$4+$M$4*$J$5+[53]FormattedData!E60^2*$J$6+$M$5*$J$7</f>
        <v>27.526262041042852</v>
      </c>
      <c r="M42" s="47">
        <f>$J$3+[53]FormattedData!F60*$J$4+$M$4*$J$5+[53]FormattedData!F60^2*$J$6+$M$5*$J$7</f>
        <v>27.526262041042852</v>
      </c>
      <c r="N42" s="47">
        <f>$J$3+[53]FormattedData!G60*$J$4+$M$4*$J$5+[53]FormattedData!G60^2*$J$6+$M$5*$J$7</f>
        <v>27.329717862956297</v>
      </c>
      <c r="O42" s="47">
        <f>$J$3+[53]FormattedData!H60*$J$4+$M$4*$J$5+[53]FormattedData!H60^2*$J$6+$M$5*$J$7</f>
        <v>25.949174540102128</v>
      </c>
      <c r="P42" s="47">
        <f>$J$3+[53]FormattedData!I60*$J$4+$M$4*$J$5+[53]FormattedData!I60^2*$J$6+$M$5*$J$7</f>
        <v>25.751277768801774</v>
      </c>
      <c r="Q42" s="47">
        <f>$J$3+[53]FormattedData!J60*$J$4+$M$4*$J$5+[53]FormattedData!J60^2*$J$6+$M$5*$J$7</f>
        <v>25.751277768801774</v>
      </c>
      <c r="R42" s="47">
        <f>$J$3+[53]FormattedData!K60*$J$4+$M$4*$J$5+[53]FormattedData!K60^2*$J$6+$M$5*$J$7</f>
        <v>27.42801108626854</v>
      </c>
      <c r="S42" s="47">
        <f>$J$3+[53]FormattedData!L60*$J$4+$M$4*$J$5+[53]FormattedData!L60^2*$J$6+$M$5*$J$7</f>
        <v>28.408618549804757</v>
      </c>
      <c r="T42" s="47">
        <f>$J$3+[53]FormattedData!M60*$J$4+$M$4*$J$5+[53]FormattedData!M60^2*$J$6+$M$5*$J$7</f>
        <v>28.408618549804757</v>
      </c>
      <c r="U42" s="47">
        <f>$J$3+[53]FormattedData!N60*$J$4+$M$4*$J$5+[53]FormattedData!N60^2*$J$6+$M$5*$J$7</f>
        <v>28.408618549804757</v>
      </c>
      <c r="V42" s="47">
        <f>$J$3+[53]FormattedData!O60*$J$4+$M$4*$J$5+[53]FormattedData!O60^2*$J$6+$M$5*$J$7</f>
        <v>28.604232820056829</v>
      </c>
      <c r="W42" s="49">
        <f>AVERAGE(K42:V42)</f>
        <v>27.384861134960854</v>
      </c>
      <c r="X42" s="48">
        <f>STDEV(K42:V42)/SQRT(COUNT(K42:V42))</f>
        <v>0.30269466081156537</v>
      </c>
      <c r="Y42" s="47">
        <f>MIN(K42:V42)</f>
        <v>25.751277768801774</v>
      </c>
      <c r="Z42" s="46">
        <f>QUARTILE(K42:V42,1)</f>
        <v>26.984582032242756</v>
      </c>
      <c r="AA42" s="47">
        <f>MEDIAN(K42:V42)</f>
        <v>27.526262041042852</v>
      </c>
      <c r="AB42" s="46">
        <f>QUARTILE(K42:V42,3)</f>
        <v>28.408618549804757</v>
      </c>
      <c r="AC42" s="46">
        <f>MAX(K42:V42)</f>
        <v>28.604232820056829</v>
      </c>
      <c r="AD42" s="46">
        <f>SKEW(K42:V42)</f>
        <v>-0.62807787885832067</v>
      </c>
      <c r="AE42" s="46">
        <f>KURT(K42:V42)</f>
        <v>-0.90512297521099505</v>
      </c>
    </row>
    <row r="43" spans="2:31" x14ac:dyDescent="0.2">
      <c r="B43" s="34">
        <f>[53]FormattedData!A58</f>
        <v>902</v>
      </c>
      <c r="C43" s="34" t="str">
        <f>VLOOKUP($B43,[53]TrtCodes!$B$11:I101,2)</f>
        <v>Late</v>
      </c>
      <c r="D43" s="34">
        <f>VLOOKUP($B43,[53]TrtCodes!$B$11:J101,3)</f>
        <v>22</v>
      </c>
      <c r="E43" s="34">
        <f>VLOOKUP($B43,[53]TrtCodes!$B$11:K101,4)</f>
        <v>4</v>
      </c>
      <c r="F43" s="34">
        <f>VLOOKUP($B43,[53]TrtCodes!$B$11:L101,5)</f>
        <v>2</v>
      </c>
      <c r="G43" s="34">
        <f>VLOOKUP($B43,[53]TrtCodes!$B$11:M101,6)</f>
        <v>2</v>
      </c>
      <c r="H43" s="34">
        <f>VLOOKUP($B43,[53]TrtCodes!$B$11:N101,7)</f>
        <v>1</v>
      </c>
      <c r="I43" s="34">
        <f>[53]FormattedData!B58</f>
        <v>1</v>
      </c>
      <c r="J43" s="37">
        <f>[53]FormattedData!C58</f>
        <v>13.244999999999999</v>
      </c>
      <c r="K43" s="39">
        <f>$J$3+[53]FormattedData!D58*$J$4+$M$4*$J$5+[53]FormattedData!D58^2*$J$6+$M$5*$J$7</f>
        <v>42.793441756547068</v>
      </c>
      <c r="L43" s="39">
        <f>$J$3+[53]FormattedData!E58*$J$4+$M$4*$J$5+[53]FormattedData!E58^2*$J$6+$M$5*$J$7</f>
        <v>41.325238009316955</v>
      </c>
      <c r="M43" s="39">
        <f>$J$3+[53]FormattedData!F58*$J$4+$M$4*$J$5+[53]FormattedData!F58^2*$J$6+$M$5*$J$7</f>
        <v>42.884845208176536</v>
      </c>
      <c r="N43" s="39">
        <f>$J$3+[53]FormattedData!G58*$J$4+$M$4*$J$5+[53]FormattedData!G58^2*$J$6+$M$5*$J$7</f>
        <v>41.877082470666188</v>
      </c>
      <c r="O43" s="39">
        <f>$J$3+[53]FormattedData!H58*$J$4+$M$4*$J$5+[53]FormattedData!H58^2*$J$6+$M$5*$J$7</f>
        <v>42.793441756547068</v>
      </c>
      <c r="P43" s="39">
        <f>$J$3+[53]FormattedData!I58*$J$4+$M$4*$J$5+[53]FormattedData!I58^2*$J$6+$M$5*$J$7</f>
        <v>41.601350448412262</v>
      </c>
      <c r="Q43" s="39">
        <f>$J$3+[53]FormattedData!J58*$J$4+$M$4*$J$5+[53]FormattedData!J58^2*$J$6+$M$5*$J$7</f>
        <v>43.250036329315094</v>
      </c>
      <c r="R43" s="39">
        <f>$J$3+[53]FormattedData!K58*$J$4+$M$4*$J$5+[53]FormattedData!K58^2*$J$6+$M$5*$J$7</f>
        <v>41.417317757553327</v>
      </c>
      <c r="S43" s="39">
        <f>$J$3+[53]FormattedData!L58*$J$4+$M$4*$J$5+[53]FormattedData!L58^2*$J$6+$M$5*$J$7</f>
        <v>42.427405264649884</v>
      </c>
      <c r="T43" s="39">
        <f>$J$3+[53]FormattedData!M58*$J$4+$M$4*$J$5+[53]FormattedData!M58^2*$J$6+$M$5*$J$7</f>
        <v>42.06069247614581</v>
      </c>
      <c r="U43" s="39">
        <f>$J$3+[53]FormattedData!N58*$J$4+$M$4*$J$5+[53]FormattedData!N58^2*$J$6+$M$5*$J$7</f>
        <v>42.884845208176536</v>
      </c>
      <c r="V43" s="39">
        <f>$J$3+[53]FormattedData!O58*$J$4+$M$4*$J$5+[53]FormattedData!O58^2*$J$6+$M$5*$J$7</f>
        <v>42.51897779043108</v>
      </c>
      <c r="W43" s="38">
        <f>AVERAGE(K43:V43)</f>
        <v>42.319556206328151</v>
      </c>
      <c r="X43" s="37">
        <f>STDEV(K43:V43)/SQRT(COUNT(K43:V43))</f>
        <v>0.18640839474017065</v>
      </c>
      <c r="Y43" s="36">
        <f>MIN(K43:V43)</f>
        <v>41.325238009316955</v>
      </c>
      <c r="Z43" s="35">
        <f>QUARTILE(K43:V43,1)</f>
        <v>41.808149465102709</v>
      </c>
      <c r="AA43" s="36">
        <f>MEDIAN(K43:V43)</f>
        <v>42.473191527540479</v>
      </c>
      <c r="AB43" s="35">
        <f>QUARTILE(K43:V43,3)</f>
        <v>42.816292619454437</v>
      </c>
      <c r="AC43" s="35">
        <f>MAX(K43:V43)</f>
        <v>43.250036329315094</v>
      </c>
      <c r="AD43" s="35">
        <f>SKEW(K43:V43)</f>
        <v>-0.32535452620097138</v>
      </c>
      <c r="AE43" s="35">
        <f>KURT(K43:V43)</f>
        <v>-1.3095727447662409</v>
      </c>
    </row>
    <row r="44" spans="2:31" x14ac:dyDescent="0.2">
      <c r="B44" s="50">
        <f>[53]FormattedData!A56</f>
        <v>903</v>
      </c>
      <c r="C44" s="50" t="str">
        <f>VLOOKUP($B44,[53]TrtCodes!$B$11:I99,2)</f>
        <v>DS</v>
      </c>
      <c r="D44" s="50">
        <f>VLOOKUP($B44,[53]TrtCodes!$B$11:J99,3)</f>
        <v>31</v>
      </c>
      <c r="E44" s="50">
        <f>VLOOKUP($B44,[53]TrtCodes!$B$11:K99,4)</f>
        <v>8</v>
      </c>
      <c r="F44" s="50">
        <f>VLOOKUP($B44,[53]TrtCodes!$B$11:L99,5)</f>
        <v>0</v>
      </c>
      <c r="G44" s="50">
        <f>VLOOKUP($B44,[53]TrtCodes!$B$11:M99,6)</f>
        <v>1</v>
      </c>
      <c r="H44" s="50">
        <f>VLOOKUP($B44,[53]TrtCodes!$B$11:N99,7)</f>
        <v>1</v>
      </c>
      <c r="I44" s="50">
        <f>[53]FormattedData!B56</f>
        <v>1</v>
      </c>
      <c r="J44" s="48">
        <f>[53]FormattedData!C56</f>
        <v>13.236000000000001</v>
      </c>
      <c r="K44" s="47">
        <f>$J$3+[53]FormattedData!D56*$J$4+$M$4*$J$5+[53]FormattedData!D56^2*$J$6+$M$5*$J$7</f>
        <v>46.506323072251689</v>
      </c>
      <c r="L44" s="47">
        <f>$J$3+[53]FormattedData!E56*$J$4+$M$4*$J$5+[53]FormattedData!E56^2*$J$6+$M$5*$J$7</f>
        <v>46.506323072251689</v>
      </c>
      <c r="M44" s="47">
        <f>$J$3+[53]FormattedData!F56*$J$4+$M$4*$J$5+[53]FormattedData!F56^2*$J$6+$M$5*$J$7</f>
        <v>46.147218620575224</v>
      </c>
      <c r="N44" s="47">
        <f>$J$3+[53]FormattedData!G56*$J$4+$M$4*$J$5+[53]FormattedData!G56^2*$J$6+$M$5*$J$7</f>
        <v>46.595993513825988</v>
      </c>
      <c r="O44" s="47">
        <f>$J$3+[53]FormattedData!H56*$J$4+$M$4*$J$5+[53]FormattedData!H56^2*$J$6+$M$5*$J$7</f>
        <v>46.595993513825988</v>
      </c>
      <c r="P44" s="47">
        <f>$J$3+[53]FormattedData!I56*$J$4+$M$4*$J$5+[53]FormattedData!I56^2*$J$6+$M$5*$J$7</f>
        <v>46.506323072251689</v>
      </c>
      <c r="Q44" s="47">
        <f>$J$3+[53]FormattedData!J56*$J$4+$M$4*$J$5+[53]FormattedData!J56^2*$J$6+$M$5*$J$7</f>
        <v>46.864751227321271</v>
      </c>
      <c r="R44" s="47">
        <f>$J$3+[53]FormattedData!K56*$J$4+$M$4*$J$5+[53]FormattedData!K56^2*$J$6+$M$5*$J$7</f>
        <v>47.133128523975167</v>
      </c>
      <c r="S44" s="47">
        <f>$J$3+[53]FormattedData!L56*$J$4+$M$4*$J$5+[53]FormattedData!L56^2*$J$6+$M$5*$J$7</f>
        <v>47.935977912888603</v>
      </c>
      <c r="T44" s="47">
        <f>$J$3+[53]FormattedData!M56*$J$4+$M$4*$J$5+[53]FormattedData!M56^2*$J$6+$M$5*$J$7</f>
        <v>47.668741866758836</v>
      </c>
      <c r="U44" s="47">
        <f>$J$3+[53]FormattedData!N56*$J$4+$M$4*$J$5+[53]FormattedData!N56^2*$J$6+$M$5*$J$7</f>
        <v>47.579578647639714</v>
      </c>
      <c r="V44" s="47">
        <f>$J$3+[53]FormattedData!O56*$J$4+$M$4*$J$5+[53]FormattedData!O56^2*$J$6+$M$5*$J$7</f>
        <v>47.757862817340026</v>
      </c>
      <c r="W44" s="49">
        <f>AVERAGE(K44:V44)</f>
        <v>46.98318465507549</v>
      </c>
      <c r="X44" s="48">
        <f>STDEV(K44:V44)/SQRT(COUNT(K44:V44))</f>
        <v>0.17518365797403462</v>
      </c>
      <c r="Y44" s="47">
        <f>MIN(K44:V44)</f>
        <v>46.147218620575224</v>
      </c>
      <c r="Z44" s="46">
        <f>QUARTILE(K44:V44,1)</f>
        <v>46.506323072251689</v>
      </c>
      <c r="AA44" s="47">
        <f>MEDIAN(K44:V44)</f>
        <v>46.730372370573633</v>
      </c>
      <c r="AB44" s="46">
        <f>QUARTILE(K44:V44,3)</f>
        <v>47.601869452419493</v>
      </c>
      <c r="AC44" s="46">
        <f>MAX(K44:V44)</f>
        <v>47.935977912888603</v>
      </c>
      <c r="AD44" s="46">
        <f>SKEW(K44:V44)</f>
        <v>0.41017515331392423</v>
      </c>
      <c r="AE44" s="46">
        <f>KURT(K44:V44)</f>
        <v>-1.4530377402430443</v>
      </c>
    </row>
    <row r="45" spans="2:31" x14ac:dyDescent="0.2">
      <c r="B45" s="34">
        <f>[53]FormattedData!A54</f>
        <v>904</v>
      </c>
      <c r="C45" s="34" t="str">
        <f>VLOOKUP($B45,[53]TrtCodes!$B$11:I97,2)</f>
        <v>Early</v>
      </c>
      <c r="D45" s="34">
        <f>VLOOKUP($B45,[53]TrtCodes!$B$11:J97,3)</f>
        <v>21</v>
      </c>
      <c r="E45" s="34">
        <f>VLOOKUP($B45,[53]TrtCodes!$B$11:K97,4)</f>
        <v>3</v>
      </c>
      <c r="F45" s="34">
        <f>VLOOKUP($B45,[53]TrtCodes!$B$11:L97,5)</f>
        <v>2</v>
      </c>
      <c r="G45" s="34">
        <f>VLOOKUP($B45,[53]TrtCodes!$B$11:M97,6)</f>
        <v>2</v>
      </c>
      <c r="H45" s="34">
        <f>VLOOKUP($B45,[53]TrtCodes!$B$11:N97,7)</f>
        <v>1</v>
      </c>
      <c r="I45" s="34">
        <f>[53]FormattedData!B54</f>
        <v>1</v>
      </c>
      <c r="J45" s="37">
        <f>[53]FormattedData!C54</f>
        <v>13.227</v>
      </c>
      <c r="K45" s="39">
        <f>$J$3+[53]FormattedData!D54*$J$4+$M$4*$J$5+[53]FormattedData!D54^2*$J$6+$M$5*$J$7</f>
        <v>42.701996036379668</v>
      </c>
      <c r="L45" s="39">
        <f>$J$3+[53]FormattedData!E54*$J$4+$M$4*$J$5+[53]FormattedData!E54^2*$J$6+$M$5*$J$7</f>
        <v>42.15243407607872</v>
      </c>
      <c r="M45" s="39">
        <f>$J$3+[53]FormattedData!F54*$J$4+$M$4*$J$5+[53]FormattedData!F54^2*$J$6+$M$5*$J$7</f>
        <v>43.705574188634841</v>
      </c>
      <c r="N45" s="39">
        <f>$J$3+[53]FormattedData!G54*$J$4+$M$4*$J$5+[53]FormattedData!G54^2*$J$6+$M$5*$J$7</f>
        <v>42.51897779043108</v>
      </c>
      <c r="O45" s="39">
        <f>$J$3+[53]FormattedData!H54*$J$4+$M$4*$J$5+[53]FormattedData!H54^2*$J$6+$M$5*$J$7</f>
        <v>43.341228438254909</v>
      </c>
      <c r="P45" s="39">
        <f>$J$3+[53]FormattedData!I54*$J$4+$M$4*$J$5+[53]FormattedData!I54^2*$J$6+$M$5*$J$7</f>
        <v>42.244133407473711</v>
      </c>
      <c r="Q45" s="39">
        <f>$J$3+[53]FormattedData!J54*$J$4+$M$4*$J$5+[53]FormattedData!J54^2*$J$6+$M$5*$J$7</f>
        <v>43.614551153846747</v>
      </c>
      <c r="R45" s="39">
        <f>$J$3+[53]FormattedData!K54*$J$4+$M$4*$J$5+[53]FormattedData!K54^2*$J$6+$M$5*$J$7</f>
        <v>41.509355237251761</v>
      </c>
      <c r="S45" s="39">
        <f>$J$3+[53]FormattedData!L54*$J$4+$M$4*$J$5+[53]FormattedData!L54^2*$J$6+$M$5*$J$7</f>
        <v>42.793441756547068</v>
      </c>
      <c r="T45" s="39">
        <f>$J$3+[53]FormattedData!M54*$J$4+$M$4*$J$5+[53]FormattedData!M54^2*$J$6+$M$5*$J$7</f>
        <v>41.968908607674962</v>
      </c>
      <c r="U45" s="39">
        <f>$J$3+[53]FormattedData!N54*$J$4+$M$4*$J$5+[53]FormattedData!N54^2*$J$6+$M$5*$J$7</f>
        <v>43.97838968177151</v>
      </c>
      <c r="V45" s="39">
        <f>$J$3+[53]FormattedData!O54*$J$4+$M$4*$J$5+[53]FormattedData!O54^2*$J$6+$M$5*$J$7</f>
        <v>41.877082470666188</v>
      </c>
      <c r="W45" s="38">
        <f>AVERAGE(K45:V45)</f>
        <v>42.700506070417596</v>
      </c>
      <c r="X45" s="37">
        <f>STDEV(K45:V45)/SQRT(COUNT(K45:V45))</f>
        <v>0.23145626410825268</v>
      </c>
      <c r="Y45" s="36">
        <f>MIN(K45:V45)</f>
        <v>41.509355237251761</v>
      </c>
      <c r="Z45" s="35">
        <f>QUARTILE(K45:V45,1)</f>
        <v>42.10655270897778</v>
      </c>
      <c r="AA45" s="36">
        <f>MEDIAN(K45:V45)</f>
        <v>42.610486913405374</v>
      </c>
      <c r="AB45" s="35">
        <f>QUARTILE(K45:V45,3)</f>
        <v>43.409559117152867</v>
      </c>
      <c r="AC45" s="35">
        <f>MAX(K45:V45)</f>
        <v>43.97838968177151</v>
      </c>
      <c r="AD45" s="35">
        <f>SKEW(K45:V45)</f>
        <v>0.25904433765051288</v>
      </c>
      <c r="AE45" s="35">
        <f>KURT(K45:V45)</f>
        <v>-1.1936274893719792</v>
      </c>
    </row>
    <row r="46" spans="2:31" x14ac:dyDescent="0.2">
      <c r="B46" s="50">
        <f>[53]FormattedData!A52</f>
        <v>905</v>
      </c>
      <c r="C46" s="50" t="str">
        <f>VLOOKUP($B46,[53]TrtCodes!$B$11:I95,2)</f>
        <v>WS</v>
      </c>
      <c r="D46" s="50">
        <f>VLOOKUP($B46,[53]TrtCodes!$B$11:J95,3)</f>
        <v>32</v>
      </c>
      <c r="E46" s="50">
        <f>VLOOKUP($B46,[53]TrtCodes!$B$11:K95,4)</f>
        <v>9</v>
      </c>
      <c r="F46" s="50">
        <f>VLOOKUP($B46,[53]TrtCodes!$B$11:L95,5)</f>
        <v>0</v>
      </c>
      <c r="G46" s="50">
        <f>VLOOKUP($B46,[53]TrtCodes!$B$11:M95,6)</f>
        <v>1</v>
      </c>
      <c r="H46" s="50">
        <f>VLOOKUP($B46,[53]TrtCodes!$B$11:N95,7)</f>
        <v>2</v>
      </c>
      <c r="I46" s="50">
        <f>[53]FormattedData!B52</f>
        <v>1</v>
      </c>
      <c r="J46" s="48">
        <f>[53]FormattedData!C52</f>
        <v>13.218</v>
      </c>
      <c r="K46" s="47">
        <f>$J$3+[53]FormattedData!D52*$J$4+$M$4*$J$5+[53]FormattedData!D52^2*$J$6+$M$5*$J$7</f>
        <v>27.526262041042852</v>
      </c>
      <c r="L46" s="47">
        <f>$J$3+[53]FormattedData!E52*$J$4+$M$4*$J$5+[53]FormattedData!E52^2*$J$6+$M$5*$J$7</f>
        <v>27.329717862956297</v>
      </c>
      <c r="M46" s="47">
        <f>$J$3+[53]FormattedData!F52*$J$4+$M$4*$J$5+[53]FormattedData!F52^2*$J$6+$M$5*$J$7</f>
        <v>26.146902237250753</v>
      </c>
      <c r="N46" s="47">
        <f>$J$3+[53]FormattedData!G52*$J$4+$M$4*$J$5+[53]FormattedData!G52^2*$J$6+$M$5*$J$7</f>
        <v>26.344460860247654</v>
      </c>
      <c r="O46" s="47">
        <f>$J$3+[53]FormattedData!H52*$J$4+$M$4*$J$5+[53]FormattedData!H52^2*$J$6+$M$5*$J$7</f>
        <v>26.541850409092831</v>
      </c>
      <c r="P46" s="47">
        <f>$J$3+[53]FormattedData!I52*$J$4+$M$4*$J$5+[53]FormattedData!I52^2*$J$6+$M$5*$J$7</f>
        <v>26.541850409092831</v>
      </c>
      <c r="Q46" s="47">
        <f>$J$3+[53]FormattedData!J52*$J$4+$M$4*$J$5+[53]FormattedData!J52^2*$J$6+$M$5*$J$7</f>
        <v>27.034584581791979</v>
      </c>
      <c r="R46" s="47">
        <f>$J$3+[53]FormattedData!K52*$J$4+$M$4*$J$5+[53]FormattedData!K52^2*$J$6+$M$5*$J$7</f>
        <v>27.722637144977686</v>
      </c>
      <c r="S46" s="47">
        <f>$J$3+[53]FormattedData!L52*$J$4+$M$4*$J$5+[53]FormattedData!L52^2*$J$6+$M$5*$J$7</f>
        <v>27.526262041042852</v>
      </c>
      <c r="T46" s="47">
        <f>$J$3+[53]FormattedData!M52*$J$4+$M$4*$J$5+[53]FormattedData!M52^2*$J$6+$M$5*$J$7</f>
        <v>27.526262041042852</v>
      </c>
      <c r="U46" s="47">
        <f>$J$3+[53]FormattedData!N52*$J$4+$M$4*$J$5+[53]FormattedData!N52^2*$J$6+$M$5*$J$7</f>
        <v>27.526262041042852</v>
      </c>
      <c r="V46" s="47">
        <f>$J$3+[53]FormattedData!O52*$J$4+$M$4*$J$5+[53]FormattedData!O52^2*$J$6+$M$5*$J$7</f>
        <v>27.722637144977686</v>
      </c>
      <c r="W46" s="49">
        <f>AVERAGE(K46:V46)</f>
        <v>27.124140734546597</v>
      </c>
      <c r="X46" s="48">
        <f>STDEV(K46:V46)/SQRT(COUNT(K46:V46))</f>
        <v>0.16639001692332284</v>
      </c>
      <c r="Y46" s="47">
        <f>MIN(K46:V46)</f>
        <v>26.146902237250753</v>
      </c>
      <c r="Z46" s="46">
        <f>QUARTILE(K46:V46,1)</f>
        <v>26.541850409092831</v>
      </c>
      <c r="AA46" s="47">
        <f>MEDIAN(K46:V46)</f>
        <v>27.427989951999574</v>
      </c>
      <c r="AB46" s="46">
        <f>QUARTILE(K46:V46,3)</f>
        <v>27.526262041042852</v>
      </c>
      <c r="AC46" s="46">
        <f>MAX(K46:V46)</f>
        <v>27.722637144977686</v>
      </c>
      <c r="AD46" s="46">
        <f>SKEW(K46:V46)</f>
        <v>-0.62965374919074135</v>
      </c>
      <c r="AE46" s="46">
        <f>KURT(K46:V46)</f>
        <v>-1.3571753582598962</v>
      </c>
    </row>
    <row r="47" spans="2:31" x14ac:dyDescent="0.2">
      <c r="B47" s="34">
        <f>[53]FormattedData!A50</f>
        <v>906</v>
      </c>
      <c r="C47" s="34" t="str">
        <f>VLOOKUP($B47,[53]TrtCodes!$B$11:I93,2)</f>
        <v>Late</v>
      </c>
      <c r="D47" s="34">
        <f>VLOOKUP($B47,[53]TrtCodes!$B$11:J93,3)</f>
        <v>22</v>
      </c>
      <c r="E47" s="34">
        <f>VLOOKUP($B47,[53]TrtCodes!$B$11:K93,4)</f>
        <v>4</v>
      </c>
      <c r="F47" s="34">
        <f>VLOOKUP($B47,[53]TrtCodes!$B$11:L93,5)</f>
        <v>2</v>
      </c>
      <c r="G47" s="34">
        <f>VLOOKUP($B47,[53]TrtCodes!$B$11:M93,6)</f>
        <v>2</v>
      </c>
      <c r="H47" s="34">
        <f>VLOOKUP($B47,[53]TrtCodes!$B$11:N93,7)</f>
        <v>2</v>
      </c>
      <c r="I47" s="34">
        <f>[53]FormattedData!B50</f>
        <v>1</v>
      </c>
      <c r="J47" s="37">
        <f>[53]FormattedData!C50</f>
        <v>13.208</v>
      </c>
      <c r="K47" s="39">
        <f>$J$3+[53]FormattedData!D50*$J$4+$M$4*$J$5+[53]FormattedData!D50^2*$J$6+$M$5*$J$7</f>
        <v>43.97838968177151</v>
      </c>
      <c r="L47" s="39">
        <f>$J$3+[53]FormattedData!E50*$J$4+$M$4*$J$5+[53]FormattedData!E50^2*$J$6+$M$5*$J$7</f>
        <v>42.335790470330764</v>
      </c>
      <c r="M47" s="39">
        <f>$J$3+[53]FormattedData!F50*$J$4+$M$4*$J$5+[53]FormattedData!F50^2*$J$6+$M$5*$J$7</f>
        <v>44.613479766929494</v>
      </c>
      <c r="N47" s="39">
        <f>$J$3+[53]FormattedData!G50*$J$4+$M$4*$J$5+[53]FormattedData!G50^2*$J$6+$M$5*$J$7</f>
        <v>43.341228438254909</v>
      </c>
      <c r="O47" s="39">
        <f>$J$3+[53]FormattedData!H50*$J$4+$M$4*$J$5+[53]FormattedData!H50^2*$J$6+$M$5*$J$7</f>
        <v>44.16005533450631</v>
      </c>
      <c r="P47" s="39">
        <f>$J$3+[53]FormattedData!I50*$J$4+$M$4*$J$5+[53]FormattedData!I50^2*$J$6+$M$5*$J$7</f>
        <v>43.067525305821675</v>
      </c>
      <c r="Q47" s="39">
        <f>$J$3+[53]FormattedData!J50*$J$4+$M$4*$J$5+[53]FormattedData!J50^2*$J$6+$M$5*$J$7</f>
        <v>45.246498693728853</v>
      </c>
      <c r="R47" s="39">
        <f>$J$3+[53]FormattedData!K50*$J$4+$M$4*$J$5+[53]FormattedData!K50^2*$J$6+$M$5*$J$7</f>
        <v>42.884845208176536</v>
      </c>
      <c r="S47" s="39">
        <f>$J$3+[53]FormattedData!L50*$J$4+$M$4*$J$5+[53]FormattedData!L50^2*$J$6+$M$5*$J$7</f>
        <v>44.613479766929494</v>
      </c>
      <c r="T47" s="39">
        <f>$J$3+[53]FormattedData!M50*$J$4+$M$4*$J$5+[53]FormattedData!M50^2*$J$6+$M$5*$J$7</f>
        <v>43.250036329315094</v>
      </c>
      <c r="U47" s="39">
        <f>$J$3+[53]FormattedData!N50*$J$4+$M$4*$J$5+[53]FormattedData!N50^2*$J$6+$M$5*$J$7</f>
        <v>44.16005533450631</v>
      </c>
      <c r="V47" s="39">
        <f>$J$3+[53]FormattedData!O50*$J$4+$M$4*$J$5+[53]FormattedData!O50^2*$J$6+$M$5*$J$7</f>
        <v>42.976206391268072</v>
      </c>
      <c r="W47" s="38">
        <f>AVERAGE(K47:V47)</f>
        <v>43.718965893461586</v>
      </c>
      <c r="X47" s="37">
        <f>STDEV(K47:V47)/SQRT(COUNT(K47:V47))</f>
        <v>0.25132475813453364</v>
      </c>
      <c r="Y47" s="36">
        <f>MIN(K47:V47)</f>
        <v>42.335790470330764</v>
      </c>
      <c r="Z47" s="35">
        <f>QUARTILE(K47:V47,1)</f>
        <v>43.044695577183276</v>
      </c>
      <c r="AA47" s="36">
        <f>MEDIAN(K47:V47)</f>
        <v>43.65980906001321</v>
      </c>
      <c r="AB47" s="35">
        <f>QUARTILE(K47:V47,3)</f>
        <v>44.273411442612108</v>
      </c>
      <c r="AC47" s="35">
        <f>MAX(K47:V47)</f>
        <v>45.246498693728853</v>
      </c>
      <c r="AD47" s="35">
        <f>SKEW(K47:V47)</f>
        <v>0.18433073431274979</v>
      </c>
      <c r="AE47" s="35">
        <f>KURT(K47:V47)</f>
        <v>-0.87841410549961552</v>
      </c>
    </row>
    <row r="48" spans="2:31" x14ac:dyDescent="0.2">
      <c r="B48" s="50">
        <f>[53]FormattedData!A48</f>
        <v>907</v>
      </c>
      <c r="C48" s="50" t="str">
        <f>VLOOKUP($B48,[53]TrtCodes!$B$11:I91,2)</f>
        <v>DS</v>
      </c>
      <c r="D48" s="50">
        <f>VLOOKUP($B48,[53]TrtCodes!$B$11:J91,3)</f>
        <v>31</v>
      </c>
      <c r="E48" s="50">
        <f>VLOOKUP($B48,[53]TrtCodes!$B$11:K91,4)</f>
        <v>8</v>
      </c>
      <c r="F48" s="50">
        <f>VLOOKUP($B48,[53]TrtCodes!$B$11:L91,5)</f>
        <v>0</v>
      </c>
      <c r="G48" s="50">
        <f>VLOOKUP($B48,[53]TrtCodes!$B$11:M91,6)</f>
        <v>1</v>
      </c>
      <c r="H48" s="50">
        <f>VLOOKUP($B48,[53]TrtCodes!$B$11:N91,7)</f>
        <v>2</v>
      </c>
      <c r="I48" s="50">
        <f>[53]FormattedData!B48</f>
        <v>1</v>
      </c>
      <c r="J48" s="48">
        <f>[53]FormattedData!C48</f>
        <v>13.199</v>
      </c>
      <c r="K48" s="47">
        <f>$J$3+[53]FormattedData!D48*$J$4+$M$4*$J$5+[53]FormattedData!D48^2*$J$6+$M$5*$J$7</f>
        <v>47.935977912888603</v>
      </c>
      <c r="L48" s="47">
        <f>$J$3+[53]FormattedData!E48*$J$4+$M$4*$J$5+[53]FormattedData!E48^2*$J$6+$M$5*$J$7</f>
        <v>48.380525952346254</v>
      </c>
      <c r="M48" s="47">
        <f>$J$3+[53]FormattedData!F48*$J$4+$M$4*$J$5+[53]FormattedData!F48^2*$J$6+$M$5*$J$7</f>
        <v>48.735403550229606</v>
      </c>
      <c r="N48" s="47">
        <f>$J$3+[53]FormattedData!G48*$J$4+$M$4*$J$5+[53]FormattedData!G48^2*$J$6+$M$5*$J$7</f>
        <v>48.55804928836379</v>
      </c>
      <c r="O48" s="47">
        <f>$J$3+[53]FormattedData!H48*$J$4+$M$4*$J$5+[53]FormattedData!H48^2*$J$6+$M$5*$J$7</f>
        <v>48.20283354217699</v>
      </c>
      <c r="P48" s="47">
        <f>$J$3+[53]FormattedData!I48*$J$4+$M$4*$J$5+[53]FormattedData!I48^2*$J$6+$M$5*$J$7</f>
        <v>49.00111792899385</v>
      </c>
      <c r="Q48" s="47">
        <f>$J$3+[53]FormattedData!J48*$J$4+$M$4*$J$5+[53]FormattedData!J48^2*$J$6+$M$5*$J$7</f>
        <v>48.735403550229606</v>
      </c>
      <c r="R48" s="47">
        <f>$J$3+[53]FormattedData!K48*$J$4+$M$4*$J$5+[53]FormattedData!K48^2*$J$6+$M$5*$J$7</f>
        <v>47.401125403787695</v>
      </c>
      <c r="S48" s="47">
        <f>$J$3+[53]FormattedData!L48*$J$4+$M$4*$J$5+[53]FormattedData!L48^2*$J$6+$M$5*$J$7</f>
        <v>47.935977912888603</v>
      </c>
      <c r="T48" s="47">
        <f>$J$3+[53]FormattedData!M48*$J$4+$M$4*$J$5+[53]FormattedData!M48^2*$J$6+$M$5*$J$7</f>
        <v>49.00111792899385</v>
      </c>
      <c r="U48" s="47">
        <f>$J$3+[53]FormattedData!N48*$J$4+$M$4*$J$5+[53]FormattedData!N48^2*$J$6+$M$5*$J$7</f>
        <v>49.531405435998195</v>
      </c>
      <c r="V48" s="47">
        <f>$J$3+[53]FormattedData!O48*$J$4+$M$4*$J$5+[53]FormattedData!O48^2*$J$6+$M$5*$J$7</f>
        <v>48.9125887379437</v>
      </c>
      <c r="W48" s="49">
        <f>AVERAGE(K48:V48)</f>
        <v>48.527627262070062</v>
      </c>
      <c r="X48" s="48">
        <f>STDEV(K48:V48)/SQRT(COUNT(K48:V48))</f>
        <v>0.16939407060272071</v>
      </c>
      <c r="Y48" s="47">
        <f>MIN(K48:V48)</f>
        <v>47.401125403787695</v>
      </c>
      <c r="Z48" s="46">
        <f>QUARTILE(K48:V48,1)</f>
        <v>48.136119634854893</v>
      </c>
      <c r="AA48" s="47">
        <f>MEDIAN(K48:V48)</f>
        <v>48.646726419296698</v>
      </c>
      <c r="AB48" s="46">
        <f>QUARTILE(K48:V48,3)</f>
        <v>48.934721035706239</v>
      </c>
      <c r="AC48" s="46">
        <f>MAX(K48:V48)</f>
        <v>49.531405435998195</v>
      </c>
      <c r="AD48" s="46">
        <f>SKEW(K48:V48)</f>
        <v>-0.31449518994854381</v>
      </c>
      <c r="AE48" s="46">
        <f>KURT(K48:V48)</f>
        <v>-3.5010655146873404E-2</v>
      </c>
    </row>
    <row r="49" spans="2:31" ht="13.5" thickBot="1" x14ac:dyDescent="0.25">
      <c r="B49" s="45">
        <f>[53]FormattedData!A46</f>
        <v>908</v>
      </c>
      <c r="C49" s="45" t="str">
        <f>VLOOKUP($B49,[53]TrtCodes!$B$11:I89,2)</f>
        <v>Early</v>
      </c>
      <c r="D49" s="45">
        <f>VLOOKUP($B49,[53]TrtCodes!$B$11:J89,3)</f>
        <v>21</v>
      </c>
      <c r="E49" s="45">
        <f>VLOOKUP($B49,[53]TrtCodes!$B$11:K89,4)</f>
        <v>3</v>
      </c>
      <c r="F49" s="45">
        <f>VLOOKUP($B49,[53]TrtCodes!$B$11:L89,5)</f>
        <v>2</v>
      </c>
      <c r="G49" s="45">
        <f>VLOOKUP($B49,[53]TrtCodes!$B$11:M89,6)</f>
        <v>2</v>
      </c>
      <c r="H49" s="45">
        <f>VLOOKUP($B49,[53]TrtCodes!$B$11:N89,7)</f>
        <v>2</v>
      </c>
      <c r="I49" s="45">
        <f>[53]FormattedData!B46</f>
        <v>1</v>
      </c>
      <c r="J49" s="42">
        <f>[53]FormattedData!C46</f>
        <v>13.19</v>
      </c>
      <c r="K49" s="44">
        <f>$J$3+[53]FormattedData!D46*$J$4+$M$4*$J$5+[53]FormattedData!D46^2*$J$6+$M$5*$J$7</f>
        <v>42.793441756547068</v>
      </c>
      <c r="L49" s="44">
        <f>$J$3+[53]FormattedData!E46*$J$4+$M$4*$J$5+[53]FormattedData!E46^2*$J$6+$M$5*$J$7</f>
        <v>42.701996036379668</v>
      </c>
      <c r="M49" s="44">
        <f>$J$3+[53]FormattedData!F46*$J$4+$M$4*$J$5+[53]FormattedData!F46^2*$J$6+$M$5*$J$7</f>
        <v>45.246498693728853</v>
      </c>
      <c r="N49" s="44">
        <f>$J$3+[53]FormattedData!G46*$J$4+$M$4*$J$5+[53]FormattedData!G46^2*$J$6+$M$5*$J$7</f>
        <v>42.335790470330764</v>
      </c>
      <c r="O49" s="44">
        <f>$J$3+[53]FormattedData!H46*$J$4+$M$4*$J$5+[53]FormattedData!H46^2*$J$6+$M$5*$J$7</f>
        <v>44.975458479185292</v>
      </c>
      <c r="P49" s="44">
        <f>$J$3+[53]FormattedData!I46*$J$4+$M$4*$J$5+[53]FormattedData!I46^2*$J$6+$M$5*$J$7</f>
        <v>42.976206391268072</v>
      </c>
      <c r="Q49" s="44">
        <f>$J$3+[53]FormattedData!J46*$J$4+$M$4*$J$5+[53]FormattedData!J46^2*$J$6+$M$5*$J$7</f>
        <v>45.246498693728853</v>
      </c>
      <c r="R49" s="44">
        <f>$J$3+[53]FormattedData!K46*$J$4+$M$4*$J$5+[53]FormattedData!K46^2*$J$6+$M$5*$J$7</f>
        <v>42.884845208176536</v>
      </c>
      <c r="S49" s="44">
        <f>$J$3+[53]FormattedData!L46*$J$4+$M$4*$J$5+[53]FormattedData!L46^2*$J$6+$M$5*$J$7</f>
        <v>45.246498693728853</v>
      </c>
      <c r="T49" s="44">
        <f>$J$3+[53]FormattedData!M46*$J$4+$M$4*$J$5+[53]FormattedData!M46^2*$J$6+$M$5*$J$7</f>
        <v>42.976206391268072</v>
      </c>
      <c r="U49" s="44">
        <f>$J$3+[53]FormattedData!N46*$J$4+$M$4*$J$5+[53]FormattedData!N46^2*$J$6+$M$5*$J$7</f>
        <v>46.057336836311272</v>
      </c>
      <c r="V49" s="44">
        <f>$J$3+[53]FormattedData!O46*$J$4+$M$4*$J$5+[53]FormattedData!O46^2*$J$6+$M$5*$J$7</f>
        <v>45.336760894834178</v>
      </c>
      <c r="W49" s="43">
        <f>AVERAGE(K49:V49)</f>
        <v>44.064794878790622</v>
      </c>
      <c r="X49" s="42">
        <f>STDEV(K49:V49)/SQRT(COUNT(K49:V49))</f>
        <v>0.3972638198347187</v>
      </c>
      <c r="Y49" s="41">
        <f>MIN(K49:V49)</f>
        <v>42.335790470330764</v>
      </c>
      <c r="Z49" s="40">
        <f>QUARTILE(K49:V49,1)</f>
        <v>42.861994345269167</v>
      </c>
      <c r="AA49" s="41">
        <f>MEDIAN(K49:V49)</f>
        <v>43.975832435226678</v>
      </c>
      <c r="AB49" s="40">
        <f>QUARTILE(K49:V49,3)</f>
        <v>45.246498693728853</v>
      </c>
      <c r="AC49" s="40">
        <f>MAX(K49:V49)</f>
        <v>46.057336836311272</v>
      </c>
      <c r="AD49" s="40">
        <f>SKEW(K49:V49)</f>
        <v>7.1028087183058947E-2</v>
      </c>
      <c r="AE49" s="40">
        <f>KURT(K49:V49)</f>
        <v>-2.0710326035246527</v>
      </c>
    </row>
    <row r="50" spans="2:31" ht="13.5" thickTop="1" x14ac:dyDescent="0.2">
      <c r="B50" s="34">
        <f>[53]FormattedData!A29</f>
        <v>0</v>
      </c>
      <c r="C50" s="34" t="e">
        <f>VLOOKUP($B50,[53]TrtCodes!$B$11:I72,2)</f>
        <v>#N/A</v>
      </c>
      <c r="D50" s="34" t="e">
        <f>VLOOKUP($B50,[53]TrtCodes!$B$11:J72,3)</f>
        <v>#N/A</v>
      </c>
      <c r="E50" s="34" t="e">
        <f>VLOOKUP($B50,[53]TrtCodes!$B$11:K72,4)</f>
        <v>#N/A</v>
      </c>
      <c r="F50" s="34" t="e">
        <f>VLOOKUP($B50,[53]TrtCodes!$B$11:L72,5)</f>
        <v>#N/A</v>
      </c>
      <c r="G50" s="34" t="e">
        <f>VLOOKUP($B50,[53]TrtCodes!$B$11:M72,6)</f>
        <v>#N/A</v>
      </c>
      <c r="H50" s="34" t="e">
        <f>VLOOKUP($B50,[53]TrtCodes!$B$11:N72,7)</f>
        <v>#N/A</v>
      </c>
      <c r="I50" s="34">
        <f>[53]FormattedData!B29</f>
        <v>0</v>
      </c>
      <c r="J50" s="37">
        <f>[53]FormattedData!C29</f>
        <v>0</v>
      </c>
      <c r="K50" s="39">
        <f>$J$3+[53]FormattedData!D29*$J$4+$M$4*$J$5+[53]FormattedData!D29^2*$J$6+$M$5*$J$7</f>
        <v>-0.975385154281182</v>
      </c>
      <c r="L50" s="39">
        <f>$J$3+[53]FormattedData!E29*$J$4+$M$4*$J$5+[53]FormattedData!E29^2*$J$6+$M$5*$J$7</f>
        <v>-0.975385154281182</v>
      </c>
      <c r="M50" s="39">
        <f>$J$3+[53]FormattedData!F29*$J$4+$M$4*$J$5+[53]FormattedData!F29^2*$J$6+$M$5*$J$7</f>
        <v>-0.975385154281182</v>
      </c>
      <c r="N50" s="39">
        <f>$J$3+[53]FormattedData!G29*$J$4+$M$4*$J$5+[53]FormattedData!G29^2*$J$6+$M$5*$J$7</f>
        <v>-0.975385154281182</v>
      </c>
      <c r="O50" s="39">
        <f>$J$3+[53]FormattedData!H29*$J$4+$M$4*$J$5+[53]FormattedData!H29^2*$J$6+$M$5*$J$7</f>
        <v>-0.975385154281182</v>
      </c>
      <c r="P50" s="39">
        <f>$J$3+[53]FormattedData!I29*$J$4+$M$4*$J$5+[53]FormattedData!I29^2*$J$6+$M$5*$J$7</f>
        <v>-0.975385154281182</v>
      </c>
      <c r="Q50" s="39">
        <f>$J$3+[53]FormattedData!J29*$J$4+$M$4*$J$5+[53]FormattedData!J29^2*$J$6+$M$5*$J$7</f>
        <v>-0.975385154281182</v>
      </c>
      <c r="R50" s="39">
        <f>$J$3+[53]FormattedData!K29*$J$4+$M$4*$J$5+[53]FormattedData!K29^2*$J$6+$M$5*$J$7</f>
        <v>-0.975385154281182</v>
      </c>
      <c r="S50" s="39">
        <f>$J$3+[53]FormattedData!L29*$J$4+$M$4*$J$5+[53]FormattedData!L29^2*$J$6+$M$5*$J$7</f>
        <v>-0.975385154281182</v>
      </c>
      <c r="T50" s="39">
        <f>$J$3+[53]FormattedData!M29*$J$4+$M$4*$J$5+[53]FormattedData!M29^2*$J$6+$M$5*$J$7</f>
        <v>-0.975385154281182</v>
      </c>
      <c r="U50" s="39">
        <f>$J$3+[53]FormattedData!N29*$J$4+$M$4*$J$5+[53]FormattedData!N29^2*$J$6+$M$5*$J$7</f>
        <v>-0.975385154281182</v>
      </c>
      <c r="V50" s="39">
        <f>$J$3+[53]FormattedData!O29*$J$4+$M$4*$J$5+[53]FormattedData!O29^2*$J$6+$M$5*$J$7</f>
        <v>-0.975385154281182</v>
      </c>
      <c r="W50" s="38">
        <f>AVERAGE(K50:V50)</f>
        <v>-0.97538515428118211</v>
      </c>
      <c r="X50" s="37">
        <f>STDEV(K50:V50)/SQRT(COUNT(K50:V50))</f>
        <v>3.3474483693592253E-17</v>
      </c>
      <c r="Y50" s="36">
        <f>MIN(K50:V50)</f>
        <v>-0.975385154281182</v>
      </c>
      <c r="Z50" s="35">
        <f>QUARTILE(K50:V50,1)</f>
        <v>-0.975385154281182</v>
      </c>
      <c r="AA50" s="36">
        <f>MEDIAN(K50:V50)</f>
        <v>-0.975385154281182</v>
      </c>
      <c r="AB50" s="35">
        <f>QUARTILE(K50:V50,3)</f>
        <v>-0.975385154281182</v>
      </c>
      <c r="AC50" s="35">
        <f>MAX(K50:V50)</f>
        <v>-0.975385154281182</v>
      </c>
      <c r="AD50" s="35">
        <f>SKEW(K50:V50)</f>
        <v>1.1489125293076057</v>
      </c>
      <c r="AE50" s="35">
        <f>KURT(K50:V50)</f>
        <v>-2.4444444444444446</v>
      </c>
    </row>
    <row r="51" spans="2:31" x14ac:dyDescent="0.2">
      <c r="B51" s="34">
        <f>[53]FormattedData!A27</f>
        <v>0</v>
      </c>
      <c r="C51" s="34" t="e">
        <f>VLOOKUP($B51,[53]TrtCodes!$B$11:I70,2)</f>
        <v>#N/A</v>
      </c>
      <c r="D51" s="34" t="e">
        <f>VLOOKUP($B51,[53]TrtCodes!$B$11:J70,3)</f>
        <v>#N/A</v>
      </c>
      <c r="E51" s="34" t="e">
        <f>VLOOKUP($B51,[53]TrtCodes!$B$11:K70,4)</f>
        <v>#N/A</v>
      </c>
      <c r="F51" s="34" t="e">
        <f>VLOOKUP($B51,[53]TrtCodes!$B$11:L70,5)</f>
        <v>#N/A</v>
      </c>
      <c r="G51" s="34" t="e">
        <f>VLOOKUP($B51,[53]TrtCodes!$B$11:M70,6)</f>
        <v>#N/A</v>
      </c>
      <c r="H51" s="34" t="e">
        <f>VLOOKUP($B51,[53]TrtCodes!$B$11:N70,7)</f>
        <v>#N/A</v>
      </c>
      <c r="I51" s="34">
        <f>[53]FormattedData!B27</f>
        <v>0</v>
      </c>
      <c r="J51" s="37">
        <f>[53]FormattedData!C27</f>
        <v>0</v>
      </c>
      <c r="K51" s="39">
        <f>$J$3+[53]FormattedData!D27*$J$4+$M$4*$J$5+[53]FormattedData!D27^2*$J$6+$M$5*$J$7</f>
        <v>-0.975385154281182</v>
      </c>
      <c r="L51" s="39">
        <f>$J$3+[53]FormattedData!E27*$J$4+$M$4*$J$5+[53]FormattedData!E27^2*$J$6+$M$5*$J$7</f>
        <v>-0.975385154281182</v>
      </c>
      <c r="M51" s="39">
        <f>$J$3+[53]FormattedData!F27*$J$4+$M$4*$J$5+[53]FormattedData!F27^2*$J$6+$M$5*$J$7</f>
        <v>-0.975385154281182</v>
      </c>
      <c r="N51" s="39">
        <f>$J$3+[53]FormattedData!G27*$J$4+$M$4*$J$5+[53]FormattedData!G27^2*$J$6+$M$5*$J$7</f>
        <v>-0.975385154281182</v>
      </c>
      <c r="O51" s="39">
        <f>$J$3+[53]FormattedData!H27*$J$4+$M$4*$J$5+[53]FormattedData!H27^2*$J$6+$M$5*$J$7</f>
        <v>-0.975385154281182</v>
      </c>
      <c r="P51" s="39">
        <f>$J$3+[53]FormattedData!I27*$J$4+$M$4*$J$5+[53]FormattedData!I27^2*$J$6+$M$5*$J$7</f>
        <v>-0.975385154281182</v>
      </c>
      <c r="Q51" s="39">
        <f>$J$3+[53]FormattedData!J27*$J$4+$M$4*$J$5+[53]FormattedData!J27^2*$J$6+$M$5*$J$7</f>
        <v>-0.975385154281182</v>
      </c>
      <c r="R51" s="39">
        <f>$J$3+[53]FormattedData!K27*$J$4+$M$4*$J$5+[53]FormattedData!K27^2*$J$6+$M$5*$J$7</f>
        <v>-0.975385154281182</v>
      </c>
      <c r="S51" s="39">
        <f>$J$3+[53]FormattedData!L27*$J$4+$M$4*$J$5+[53]FormattedData!L27^2*$J$6+$M$5*$J$7</f>
        <v>-0.975385154281182</v>
      </c>
      <c r="T51" s="39">
        <f>$J$3+[53]FormattedData!M27*$J$4+$M$4*$J$5+[53]FormattedData!M27^2*$J$6+$M$5*$J$7</f>
        <v>-0.975385154281182</v>
      </c>
      <c r="U51" s="39">
        <f>$J$3+[53]FormattedData!N27*$J$4+$M$4*$J$5+[53]FormattedData!N27^2*$J$6+$M$5*$J$7</f>
        <v>-0.975385154281182</v>
      </c>
      <c r="V51" s="39">
        <f>$J$3+[53]FormattedData!O27*$J$4+$M$4*$J$5+[53]FormattedData!O27^2*$J$6+$M$5*$J$7</f>
        <v>-0.975385154281182</v>
      </c>
      <c r="W51" s="38">
        <f>AVERAGE(K51:V51)</f>
        <v>-0.97538515428118211</v>
      </c>
      <c r="X51" s="37">
        <f>STDEV(K51:V51)/SQRT(COUNT(K51:V51))</f>
        <v>3.3474483693592253E-17</v>
      </c>
      <c r="Y51" s="36">
        <f>MIN(K51:V51)</f>
        <v>-0.975385154281182</v>
      </c>
      <c r="Z51" s="35">
        <f>QUARTILE(K51:V51,1)</f>
        <v>-0.975385154281182</v>
      </c>
      <c r="AA51" s="36">
        <f>MEDIAN(K51:V51)</f>
        <v>-0.975385154281182</v>
      </c>
      <c r="AB51" s="35">
        <f>QUARTILE(K51:V51,3)</f>
        <v>-0.975385154281182</v>
      </c>
      <c r="AC51" s="35">
        <f>MAX(K51:V51)</f>
        <v>-0.975385154281182</v>
      </c>
      <c r="AD51" s="35">
        <f>SKEW(K51:V51)</f>
        <v>1.1489125293076057</v>
      </c>
      <c r="AE51" s="35">
        <f>KURT(K51:V51)</f>
        <v>-2.4444444444444446</v>
      </c>
    </row>
    <row r="52" spans="2:31" x14ac:dyDescent="0.2">
      <c r="B52" s="34">
        <f>[53]FormattedData!A25</f>
        <v>0</v>
      </c>
      <c r="C52" s="34" t="e">
        <f>VLOOKUP($B52,[53]TrtCodes!$B$11:I68,2)</f>
        <v>#N/A</v>
      </c>
      <c r="D52" s="34" t="e">
        <f>VLOOKUP($B52,[53]TrtCodes!$B$11:J68,3)</f>
        <v>#N/A</v>
      </c>
      <c r="E52" s="34" t="e">
        <f>VLOOKUP($B52,[53]TrtCodes!$B$11:K68,4)</f>
        <v>#N/A</v>
      </c>
      <c r="F52" s="34" t="e">
        <f>VLOOKUP($B52,[53]TrtCodes!$B$11:L68,5)</f>
        <v>#N/A</v>
      </c>
      <c r="G52" s="34" t="e">
        <f>VLOOKUP($B52,[53]TrtCodes!$B$11:M68,6)</f>
        <v>#N/A</v>
      </c>
      <c r="H52" s="34" t="e">
        <f>VLOOKUP($B52,[53]TrtCodes!$B$11:N68,7)</f>
        <v>#N/A</v>
      </c>
      <c r="I52" s="34">
        <f>[53]FormattedData!B25</f>
        <v>0</v>
      </c>
      <c r="J52" s="37">
        <f>[53]FormattedData!C25</f>
        <v>0</v>
      </c>
      <c r="K52" s="39">
        <f>$J$3+[53]FormattedData!D25*$J$4+$M$4*$J$5+[53]FormattedData!D25^2*$J$6+$M$5*$J$7</f>
        <v>-0.975385154281182</v>
      </c>
      <c r="L52" s="39">
        <f>$J$3+[53]FormattedData!E25*$J$4+$M$4*$J$5+[53]FormattedData!E25^2*$J$6+$M$5*$J$7</f>
        <v>-0.975385154281182</v>
      </c>
      <c r="M52" s="39">
        <f>$J$3+[53]FormattedData!F25*$J$4+$M$4*$J$5+[53]FormattedData!F25^2*$J$6+$M$5*$J$7</f>
        <v>-0.975385154281182</v>
      </c>
      <c r="N52" s="39">
        <f>$J$3+[53]FormattedData!G25*$J$4+$M$4*$J$5+[53]FormattedData!G25^2*$J$6+$M$5*$J$7</f>
        <v>-0.975385154281182</v>
      </c>
      <c r="O52" s="39">
        <f>$J$3+[53]FormattedData!H25*$J$4+$M$4*$J$5+[53]FormattedData!H25^2*$J$6+$M$5*$J$7</f>
        <v>-0.975385154281182</v>
      </c>
      <c r="P52" s="39">
        <f>$J$3+[53]FormattedData!I25*$J$4+$M$4*$J$5+[53]FormattedData!I25^2*$J$6+$M$5*$J$7</f>
        <v>-0.975385154281182</v>
      </c>
      <c r="Q52" s="39">
        <f>$J$3+[53]FormattedData!J25*$J$4+$M$4*$J$5+[53]FormattedData!J25^2*$J$6+$M$5*$J$7</f>
        <v>-0.975385154281182</v>
      </c>
      <c r="R52" s="39">
        <f>$J$3+[53]FormattedData!K25*$J$4+$M$4*$J$5+[53]FormattedData!K25^2*$J$6+$M$5*$J$7</f>
        <v>-0.975385154281182</v>
      </c>
      <c r="S52" s="39">
        <f>$J$3+[53]FormattedData!L25*$J$4+$M$4*$J$5+[53]FormattedData!L25^2*$J$6+$M$5*$J$7</f>
        <v>-0.975385154281182</v>
      </c>
      <c r="T52" s="39">
        <f>$J$3+[53]FormattedData!M25*$J$4+$M$4*$J$5+[53]FormattedData!M25^2*$J$6+$M$5*$J$7</f>
        <v>-0.975385154281182</v>
      </c>
      <c r="U52" s="39">
        <f>$J$3+[53]FormattedData!N25*$J$4+$M$4*$J$5+[53]FormattedData!N25^2*$J$6+$M$5*$J$7</f>
        <v>-0.975385154281182</v>
      </c>
      <c r="V52" s="39">
        <f>$J$3+[53]FormattedData!O25*$J$4+$M$4*$J$5+[53]FormattedData!O25^2*$J$6+$M$5*$J$7</f>
        <v>-0.975385154281182</v>
      </c>
      <c r="W52" s="38">
        <f>AVERAGE(K52:V52)</f>
        <v>-0.97538515428118211</v>
      </c>
      <c r="X52" s="37">
        <f>STDEV(K52:V52)/SQRT(COUNT(K52:V52))</f>
        <v>3.3474483693592253E-17</v>
      </c>
      <c r="Y52" s="36">
        <f>MIN(K52:V52)</f>
        <v>-0.975385154281182</v>
      </c>
      <c r="Z52" s="35">
        <f>QUARTILE(K52:V52,1)</f>
        <v>-0.975385154281182</v>
      </c>
      <c r="AA52" s="36">
        <f>MEDIAN(K52:V52)</f>
        <v>-0.975385154281182</v>
      </c>
      <c r="AB52" s="35">
        <f>QUARTILE(K52:V52,3)</f>
        <v>-0.975385154281182</v>
      </c>
      <c r="AC52" s="35">
        <f>MAX(K52:V52)</f>
        <v>-0.975385154281182</v>
      </c>
      <c r="AD52" s="35">
        <f>SKEW(K52:V52)</f>
        <v>1.1489125293076057</v>
      </c>
      <c r="AE52" s="35">
        <f>KURT(K52:V52)</f>
        <v>-2.4444444444444446</v>
      </c>
    </row>
    <row r="53" spans="2:31" x14ac:dyDescent="0.2">
      <c r="B53" s="34">
        <f>[53]FormattedData!A23</f>
        <v>0</v>
      </c>
      <c r="C53" s="34" t="e">
        <f>VLOOKUP($B53,[53]TrtCodes!$B$11:I66,2)</f>
        <v>#N/A</v>
      </c>
      <c r="D53" s="34" t="e">
        <f>VLOOKUP($B53,[53]TrtCodes!$B$11:J66,3)</f>
        <v>#N/A</v>
      </c>
      <c r="E53" s="34" t="e">
        <f>VLOOKUP($B53,[53]TrtCodes!$B$11:K66,4)</f>
        <v>#N/A</v>
      </c>
      <c r="F53" s="34" t="e">
        <f>VLOOKUP($B53,[53]TrtCodes!$B$11:L66,5)</f>
        <v>#N/A</v>
      </c>
      <c r="G53" s="34" t="e">
        <f>VLOOKUP($B53,[53]TrtCodes!$B$11:M66,6)</f>
        <v>#N/A</v>
      </c>
      <c r="H53" s="34" t="e">
        <f>VLOOKUP($B53,[53]TrtCodes!$B$11:N66,7)</f>
        <v>#N/A</v>
      </c>
      <c r="I53" s="34">
        <f>[53]FormattedData!B23</f>
        <v>0</v>
      </c>
      <c r="J53" s="37">
        <f>[53]FormattedData!C23</f>
        <v>0</v>
      </c>
      <c r="K53" s="39">
        <f>$J$3+[53]FormattedData!D23*$J$4+$M$4*$J$5+[53]FormattedData!D23^2*$J$6+$M$5*$J$7</f>
        <v>-0.975385154281182</v>
      </c>
      <c r="L53" s="39">
        <f>$J$3+[53]FormattedData!E23*$J$4+$M$4*$J$5+[53]FormattedData!E23^2*$J$6+$M$5*$J$7</f>
        <v>-0.975385154281182</v>
      </c>
      <c r="M53" s="39">
        <f>$J$3+[53]FormattedData!F23*$J$4+$M$4*$J$5+[53]FormattedData!F23^2*$J$6+$M$5*$J$7</f>
        <v>-0.975385154281182</v>
      </c>
      <c r="N53" s="39">
        <f>$J$3+[53]FormattedData!G23*$J$4+$M$4*$J$5+[53]FormattedData!G23^2*$J$6+$M$5*$J$7</f>
        <v>-0.975385154281182</v>
      </c>
      <c r="O53" s="39">
        <f>$J$3+[53]FormattedData!H23*$J$4+$M$4*$J$5+[53]FormattedData!H23^2*$J$6+$M$5*$J$7</f>
        <v>-0.975385154281182</v>
      </c>
      <c r="P53" s="39">
        <f>$J$3+[53]FormattedData!I23*$J$4+$M$4*$J$5+[53]FormattedData!I23^2*$J$6+$M$5*$J$7</f>
        <v>-0.975385154281182</v>
      </c>
      <c r="Q53" s="39">
        <f>$J$3+[53]FormattedData!J23*$J$4+$M$4*$J$5+[53]FormattedData!J23^2*$J$6+$M$5*$J$7</f>
        <v>-0.975385154281182</v>
      </c>
      <c r="R53" s="39">
        <f>$J$3+[53]FormattedData!K23*$J$4+$M$4*$J$5+[53]FormattedData!K23^2*$J$6+$M$5*$J$7</f>
        <v>-0.975385154281182</v>
      </c>
      <c r="S53" s="39">
        <f>$J$3+[53]FormattedData!L23*$J$4+$M$4*$J$5+[53]FormattedData!L23^2*$J$6+$M$5*$J$7</f>
        <v>-0.975385154281182</v>
      </c>
      <c r="T53" s="39">
        <f>$J$3+[53]FormattedData!M23*$J$4+$M$4*$J$5+[53]FormattedData!M23^2*$J$6+$M$5*$J$7</f>
        <v>-0.975385154281182</v>
      </c>
      <c r="U53" s="39">
        <f>$J$3+[53]FormattedData!N23*$J$4+$M$4*$J$5+[53]FormattedData!N23^2*$J$6+$M$5*$J$7</f>
        <v>-0.975385154281182</v>
      </c>
      <c r="V53" s="39">
        <f>$J$3+[53]FormattedData!O23*$J$4+$M$4*$J$5+[53]FormattedData!O23^2*$J$6+$M$5*$J$7</f>
        <v>-0.975385154281182</v>
      </c>
      <c r="W53" s="38">
        <f>AVERAGE(K53:V53)</f>
        <v>-0.97538515428118211</v>
      </c>
      <c r="X53" s="37">
        <f>STDEV(K53:V53)/SQRT(COUNT(K53:V53))</f>
        <v>3.3474483693592253E-17</v>
      </c>
      <c r="Y53" s="36">
        <f>MIN(K53:V53)</f>
        <v>-0.975385154281182</v>
      </c>
      <c r="Z53" s="35">
        <f>QUARTILE(K53:V53,1)</f>
        <v>-0.975385154281182</v>
      </c>
      <c r="AA53" s="36">
        <f>MEDIAN(K53:V53)</f>
        <v>-0.975385154281182</v>
      </c>
      <c r="AB53" s="35">
        <f>QUARTILE(K53:V53,3)</f>
        <v>-0.975385154281182</v>
      </c>
      <c r="AC53" s="35">
        <f>MAX(K53:V53)</f>
        <v>-0.975385154281182</v>
      </c>
      <c r="AD53" s="35">
        <f>SKEW(K53:V53)</f>
        <v>1.1489125293076057</v>
      </c>
      <c r="AE53" s="35">
        <f>KURT(K53:V53)</f>
        <v>-2.4444444444444446</v>
      </c>
    </row>
    <row r="54" spans="2:31" x14ac:dyDescent="0.2">
      <c r="B54" s="34">
        <f>[53]FormattedData!A21</f>
        <v>0</v>
      </c>
      <c r="C54" s="34" t="e">
        <f>VLOOKUP($B54,[53]TrtCodes!$B$11:I64,2)</f>
        <v>#N/A</v>
      </c>
      <c r="D54" s="34" t="e">
        <f>VLOOKUP($B54,[53]TrtCodes!$B$11:J64,3)</f>
        <v>#N/A</v>
      </c>
      <c r="E54" s="34" t="e">
        <f>VLOOKUP($B54,[53]TrtCodes!$B$11:K64,4)</f>
        <v>#N/A</v>
      </c>
      <c r="F54" s="34" t="e">
        <f>VLOOKUP($B54,[53]TrtCodes!$B$11:L64,5)</f>
        <v>#N/A</v>
      </c>
      <c r="G54" s="34" t="e">
        <f>VLOOKUP($B54,[53]TrtCodes!$B$11:M64,6)</f>
        <v>#N/A</v>
      </c>
      <c r="H54" s="34" t="e">
        <f>VLOOKUP($B54,[53]TrtCodes!$B$11:N64,7)</f>
        <v>#N/A</v>
      </c>
      <c r="I54" s="34">
        <f>[53]FormattedData!B21</f>
        <v>0</v>
      </c>
      <c r="J54" s="37">
        <f>[53]FormattedData!C21</f>
        <v>0</v>
      </c>
      <c r="K54" s="39">
        <f>$J$3+[53]FormattedData!D21*$J$4+$M$4*$J$5+[53]FormattedData!D21^2*$J$6+$M$5*$J$7</f>
        <v>-0.975385154281182</v>
      </c>
      <c r="L54" s="39">
        <f>$J$3+[53]FormattedData!E21*$J$4+$M$4*$J$5+[53]FormattedData!E21^2*$J$6+$M$5*$J$7</f>
        <v>-0.975385154281182</v>
      </c>
      <c r="M54" s="39">
        <f>$J$3+[53]FormattedData!F21*$J$4+$M$4*$J$5+[53]FormattedData!F21^2*$J$6+$M$5*$J$7</f>
        <v>-0.975385154281182</v>
      </c>
      <c r="N54" s="39">
        <f>$J$3+[53]FormattedData!G21*$J$4+$M$4*$J$5+[53]FormattedData!G21^2*$J$6+$M$5*$J$7</f>
        <v>-0.975385154281182</v>
      </c>
      <c r="O54" s="39">
        <f>$J$3+[53]FormattedData!H21*$J$4+$M$4*$J$5+[53]FormattedData!H21^2*$J$6+$M$5*$J$7</f>
        <v>-0.975385154281182</v>
      </c>
      <c r="P54" s="39">
        <f>$J$3+[53]FormattedData!I21*$J$4+$M$4*$J$5+[53]FormattedData!I21^2*$J$6+$M$5*$J$7</f>
        <v>-0.975385154281182</v>
      </c>
      <c r="Q54" s="39">
        <f>$J$3+[53]FormattedData!J21*$J$4+$M$4*$J$5+[53]FormattedData!J21^2*$J$6+$M$5*$J$7</f>
        <v>-0.975385154281182</v>
      </c>
      <c r="R54" s="39">
        <f>$J$3+[53]FormattedData!K21*$J$4+$M$4*$J$5+[53]FormattedData!K21^2*$J$6+$M$5*$J$7</f>
        <v>-0.975385154281182</v>
      </c>
      <c r="S54" s="39">
        <f>$J$3+[53]FormattedData!L21*$J$4+$M$4*$J$5+[53]FormattedData!L21^2*$J$6+$M$5*$J$7</f>
        <v>-0.975385154281182</v>
      </c>
      <c r="T54" s="39">
        <f>$J$3+[53]FormattedData!M21*$J$4+$M$4*$J$5+[53]FormattedData!M21^2*$J$6+$M$5*$J$7</f>
        <v>-0.975385154281182</v>
      </c>
      <c r="U54" s="39">
        <f>$J$3+[53]FormattedData!N21*$J$4+$M$4*$J$5+[53]FormattedData!N21^2*$J$6+$M$5*$J$7</f>
        <v>-0.975385154281182</v>
      </c>
      <c r="V54" s="39">
        <f>$J$3+[53]FormattedData!O21*$J$4+$M$4*$J$5+[53]FormattedData!O21^2*$J$6+$M$5*$J$7</f>
        <v>-0.975385154281182</v>
      </c>
      <c r="W54" s="38">
        <f>AVERAGE(K54:V54)</f>
        <v>-0.97538515428118211</v>
      </c>
      <c r="X54" s="37">
        <f>STDEV(K54:V54)/SQRT(COUNT(K54:V54))</f>
        <v>3.3474483693592253E-17</v>
      </c>
      <c r="Y54" s="36">
        <f>MIN(K54:V54)</f>
        <v>-0.975385154281182</v>
      </c>
      <c r="Z54" s="35">
        <f>QUARTILE(K54:V54,1)</f>
        <v>-0.975385154281182</v>
      </c>
      <c r="AA54" s="36">
        <f>MEDIAN(K54:V54)</f>
        <v>-0.975385154281182</v>
      </c>
      <c r="AB54" s="35">
        <f>QUARTILE(K54:V54,3)</f>
        <v>-0.975385154281182</v>
      </c>
      <c r="AC54" s="35">
        <f>MAX(K54:V54)</f>
        <v>-0.975385154281182</v>
      </c>
      <c r="AD54" s="35">
        <f>SKEW(K54:V54)</f>
        <v>1.1489125293076057</v>
      </c>
      <c r="AE54" s="35">
        <f>KURT(K54:V54)</f>
        <v>-2.4444444444444446</v>
      </c>
    </row>
    <row r="55" spans="2:31" x14ac:dyDescent="0.2">
      <c r="B55" s="34">
        <f>[53]FormattedData!A19</f>
        <v>0</v>
      </c>
      <c r="C55" s="34" t="e">
        <f>VLOOKUP($B55,[53]TrtCodes!$B$11:I62,2)</f>
        <v>#N/A</v>
      </c>
      <c r="D55" s="34" t="e">
        <f>VLOOKUP($B55,[53]TrtCodes!$B$11:J62,3)</f>
        <v>#N/A</v>
      </c>
      <c r="E55" s="34" t="e">
        <f>VLOOKUP($B55,[53]TrtCodes!$B$11:K62,4)</f>
        <v>#N/A</v>
      </c>
      <c r="F55" s="34" t="e">
        <f>VLOOKUP($B55,[53]TrtCodes!$B$11:L62,5)</f>
        <v>#N/A</v>
      </c>
      <c r="G55" s="34" t="e">
        <f>VLOOKUP($B55,[53]TrtCodes!$B$11:M62,6)</f>
        <v>#N/A</v>
      </c>
      <c r="H55" s="34" t="e">
        <f>VLOOKUP($B55,[53]TrtCodes!$B$11:N62,7)</f>
        <v>#N/A</v>
      </c>
      <c r="I55" s="34">
        <f>[53]FormattedData!B19</f>
        <v>0</v>
      </c>
      <c r="J55" s="37">
        <f>[53]FormattedData!C19</f>
        <v>0</v>
      </c>
      <c r="K55" s="39">
        <f>$J$3+[53]FormattedData!D19*$J$4+$M$4*$J$5+[53]FormattedData!D19^2*$J$6+$M$5*$J$7</f>
        <v>-0.975385154281182</v>
      </c>
      <c r="L55" s="39">
        <f>$J$3+[53]FormattedData!E19*$J$4+$M$4*$J$5+[53]FormattedData!E19^2*$J$6+$M$5*$J$7</f>
        <v>-0.975385154281182</v>
      </c>
      <c r="M55" s="39">
        <f>$J$3+[53]FormattedData!F19*$J$4+$M$4*$J$5+[53]FormattedData!F19^2*$J$6+$M$5*$J$7</f>
        <v>-0.975385154281182</v>
      </c>
      <c r="N55" s="39">
        <f>$J$3+[53]FormattedData!G19*$J$4+$M$4*$J$5+[53]FormattedData!G19^2*$J$6+$M$5*$J$7</f>
        <v>-0.975385154281182</v>
      </c>
      <c r="O55" s="39">
        <f>$J$3+[53]FormattedData!H19*$J$4+$M$4*$J$5+[53]FormattedData!H19^2*$J$6+$M$5*$J$7</f>
        <v>-0.975385154281182</v>
      </c>
      <c r="P55" s="39">
        <f>$J$3+[53]FormattedData!I19*$J$4+$M$4*$J$5+[53]FormattedData!I19^2*$J$6+$M$5*$J$7</f>
        <v>-0.975385154281182</v>
      </c>
      <c r="Q55" s="39">
        <f>$J$3+[53]FormattedData!J19*$J$4+$M$4*$J$5+[53]FormattedData!J19^2*$J$6+$M$5*$J$7</f>
        <v>-0.975385154281182</v>
      </c>
      <c r="R55" s="39">
        <f>$J$3+[53]FormattedData!K19*$J$4+$M$4*$J$5+[53]FormattedData!K19^2*$J$6+$M$5*$J$7</f>
        <v>-0.975385154281182</v>
      </c>
      <c r="S55" s="39">
        <f>$J$3+[53]FormattedData!L19*$J$4+$M$4*$J$5+[53]FormattedData!L19^2*$J$6+$M$5*$J$7</f>
        <v>-0.975385154281182</v>
      </c>
      <c r="T55" s="39">
        <f>$J$3+[53]FormattedData!M19*$J$4+$M$4*$J$5+[53]FormattedData!M19^2*$J$6+$M$5*$J$7</f>
        <v>-0.975385154281182</v>
      </c>
      <c r="U55" s="39">
        <f>$J$3+[53]FormattedData!N19*$J$4+$M$4*$J$5+[53]FormattedData!N19^2*$J$6+$M$5*$J$7</f>
        <v>-0.975385154281182</v>
      </c>
      <c r="V55" s="39">
        <f>$J$3+[53]FormattedData!O19*$J$4+$M$4*$J$5+[53]FormattedData!O19^2*$J$6+$M$5*$J$7</f>
        <v>-0.975385154281182</v>
      </c>
      <c r="W55" s="38">
        <f>AVERAGE(K55:V55)</f>
        <v>-0.97538515428118211</v>
      </c>
      <c r="X55" s="37">
        <f>STDEV(K55:V55)/SQRT(COUNT(K55:V55))</f>
        <v>3.3474483693592253E-17</v>
      </c>
      <c r="Y55" s="36">
        <f>MIN(K55:V55)</f>
        <v>-0.975385154281182</v>
      </c>
      <c r="Z55" s="35">
        <f>QUARTILE(K55:V55,1)</f>
        <v>-0.975385154281182</v>
      </c>
      <c r="AA55" s="36">
        <f>MEDIAN(K55:V55)</f>
        <v>-0.975385154281182</v>
      </c>
      <c r="AB55" s="35">
        <f>QUARTILE(K55:V55,3)</f>
        <v>-0.975385154281182</v>
      </c>
      <c r="AC55" s="35">
        <f>MAX(K55:V55)</f>
        <v>-0.975385154281182</v>
      </c>
      <c r="AD55" s="35">
        <f>SKEW(K55:V55)</f>
        <v>1.1489125293076057</v>
      </c>
      <c r="AE55" s="35">
        <f>KURT(K55:V55)</f>
        <v>-2.4444444444444446</v>
      </c>
    </row>
    <row r="56" spans="2:31" x14ac:dyDescent="0.2">
      <c r="B56" s="34">
        <f>[53]FormattedData!A17</f>
        <v>0</v>
      </c>
      <c r="C56" s="34" t="e">
        <f>VLOOKUP($B56,[53]TrtCodes!$B$11:I60,2)</f>
        <v>#N/A</v>
      </c>
      <c r="D56" s="34" t="e">
        <f>VLOOKUP($B56,[53]TrtCodes!$B$11:J60,3)</f>
        <v>#N/A</v>
      </c>
      <c r="E56" s="34" t="e">
        <f>VLOOKUP($B56,[53]TrtCodes!$B$11:K60,4)</f>
        <v>#N/A</v>
      </c>
      <c r="F56" s="34" t="e">
        <f>VLOOKUP($B56,[53]TrtCodes!$B$11:L60,5)</f>
        <v>#N/A</v>
      </c>
      <c r="G56" s="34" t="e">
        <f>VLOOKUP($B56,[53]TrtCodes!$B$11:M60,6)</f>
        <v>#N/A</v>
      </c>
      <c r="H56" s="34" t="e">
        <f>VLOOKUP($B56,[53]TrtCodes!$B$11:N60,7)</f>
        <v>#N/A</v>
      </c>
      <c r="I56" s="34">
        <f>[53]FormattedData!B17</f>
        <v>0</v>
      </c>
      <c r="J56" s="37">
        <f>[53]FormattedData!C17</f>
        <v>0</v>
      </c>
      <c r="K56" s="39">
        <f>$J$3+[53]FormattedData!D17*$J$4+$M$4*$J$5+[53]FormattedData!D17^2*$J$6+$M$5*$J$7</f>
        <v>-0.975385154281182</v>
      </c>
      <c r="L56" s="39">
        <f>$J$3+[53]FormattedData!E17*$J$4+$M$4*$J$5+[53]FormattedData!E17^2*$J$6+$M$5*$J$7</f>
        <v>-0.975385154281182</v>
      </c>
      <c r="M56" s="39">
        <f>$J$3+[53]FormattedData!F17*$J$4+$M$4*$J$5+[53]FormattedData!F17^2*$J$6+$M$5*$J$7</f>
        <v>-0.975385154281182</v>
      </c>
      <c r="N56" s="39">
        <f>$J$3+[53]FormattedData!G17*$J$4+$M$4*$J$5+[53]FormattedData!G17^2*$J$6+$M$5*$J$7</f>
        <v>-0.975385154281182</v>
      </c>
      <c r="O56" s="39">
        <f>$J$3+[53]FormattedData!H17*$J$4+$M$4*$J$5+[53]FormattedData!H17^2*$J$6+$M$5*$J$7</f>
        <v>-0.975385154281182</v>
      </c>
      <c r="P56" s="39">
        <f>$J$3+[53]FormattedData!I17*$J$4+$M$4*$J$5+[53]FormattedData!I17^2*$J$6+$M$5*$J$7</f>
        <v>-0.975385154281182</v>
      </c>
      <c r="Q56" s="39">
        <f>$J$3+[53]FormattedData!J17*$J$4+$M$4*$J$5+[53]FormattedData!J17^2*$J$6+$M$5*$J$7</f>
        <v>-0.975385154281182</v>
      </c>
      <c r="R56" s="39">
        <f>$J$3+[53]FormattedData!K17*$J$4+$M$4*$J$5+[53]FormattedData!K17^2*$J$6+$M$5*$J$7</f>
        <v>-0.975385154281182</v>
      </c>
      <c r="S56" s="39">
        <f>$J$3+[53]FormattedData!L17*$J$4+$M$4*$J$5+[53]FormattedData!L17^2*$J$6+$M$5*$J$7</f>
        <v>-0.975385154281182</v>
      </c>
      <c r="T56" s="39">
        <f>$J$3+[53]FormattedData!M17*$J$4+$M$4*$J$5+[53]FormattedData!M17^2*$J$6+$M$5*$J$7</f>
        <v>-0.975385154281182</v>
      </c>
      <c r="U56" s="39">
        <f>$J$3+[53]FormattedData!N17*$J$4+$M$4*$J$5+[53]FormattedData!N17^2*$J$6+$M$5*$J$7</f>
        <v>-0.975385154281182</v>
      </c>
      <c r="V56" s="39">
        <f>$J$3+[53]FormattedData!O17*$J$4+$M$4*$J$5+[53]FormattedData!O17^2*$J$6+$M$5*$J$7</f>
        <v>-0.975385154281182</v>
      </c>
      <c r="W56" s="38">
        <f>AVERAGE(K56:V56)</f>
        <v>-0.97538515428118211</v>
      </c>
      <c r="X56" s="37">
        <f>STDEV(K56:V56)/SQRT(COUNT(K56:V56))</f>
        <v>3.3474483693592253E-17</v>
      </c>
      <c r="Y56" s="36">
        <f>MIN(K56:V56)</f>
        <v>-0.975385154281182</v>
      </c>
      <c r="Z56" s="35">
        <f>QUARTILE(K56:V56,1)</f>
        <v>-0.975385154281182</v>
      </c>
      <c r="AA56" s="36">
        <f>MEDIAN(K56:V56)</f>
        <v>-0.975385154281182</v>
      </c>
      <c r="AB56" s="35">
        <f>QUARTILE(K56:V56,3)</f>
        <v>-0.975385154281182</v>
      </c>
      <c r="AC56" s="35">
        <f>MAX(K56:V56)</f>
        <v>-0.975385154281182</v>
      </c>
      <c r="AD56" s="35">
        <f>SKEW(K56:V56)</f>
        <v>1.1489125293076057</v>
      </c>
      <c r="AE56" s="35">
        <f>KURT(K56:V56)</f>
        <v>-2.4444444444444446</v>
      </c>
    </row>
    <row r="57" spans="2:31" x14ac:dyDescent="0.2">
      <c r="B57" s="34">
        <f>[53]FormattedData!A15</f>
        <v>0</v>
      </c>
      <c r="C57" s="34" t="e">
        <f>VLOOKUP($B57,[53]TrtCodes!$B$11:I58,2)</f>
        <v>#N/A</v>
      </c>
      <c r="D57" s="34" t="e">
        <f>VLOOKUP($B57,[53]TrtCodes!$B$11:J58,3)</f>
        <v>#N/A</v>
      </c>
      <c r="E57" s="34" t="e">
        <f>VLOOKUP($B57,[53]TrtCodes!$B$11:K58,4)</f>
        <v>#N/A</v>
      </c>
      <c r="F57" s="34" t="e">
        <f>VLOOKUP($B57,[53]TrtCodes!$B$11:L58,5)</f>
        <v>#N/A</v>
      </c>
      <c r="G57" s="34" t="e">
        <f>VLOOKUP($B57,[53]TrtCodes!$B$11:M58,6)</f>
        <v>#N/A</v>
      </c>
      <c r="H57" s="34" t="e">
        <f>VLOOKUP($B57,[53]TrtCodes!$B$11:N58,7)</f>
        <v>#N/A</v>
      </c>
      <c r="I57" s="34">
        <f>[53]FormattedData!B15</f>
        <v>0</v>
      </c>
      <c r="J57" s="37">
        <f>[53]FormattedData!C15</f>
        <v>0</v>
      </c>
      <c r="K57" s="39">
        <f>$J$3+[53]FormattedData!D15*$J$4+$M$4*$J$5+[53]FormattedData!D15^2*$J$6+$M$5*$J$7</f>
        <v>-0.975385154281182</v>
      </c>
      <c r="L57" s="39">
        <f>$J$3+[53]FormattedData!E15*$J$4+$M$4*$J$5+[53]FormattedData!E15^2*$J$6+$M$5*$J$7</f>
        <v>-0.975385154281182</v>
      </c>
      <c r="M57" s="39">
        <f>$J$3+[53]FormattedData!F15*$J$4+$M$4*$J$5+[53]FormattedData!F15^2*$J$6+$M$5*$J$7</f>
        <v>-0.975385154281182</v>
      </c>
      <c r="N57" s="39">
        <f>$J$3+[53]FormattedData!G15*$J$4+$M$4*$J$5+[53]FormattedData!G15^2*$J$6+$M$5*$J$7</f>
        <v>-0.975385154281182</v>
      </c>
      <c r="O57" s="39">
        <f>$J$3+[53]FormattedData!H15*$J$4+$M$4*$J$5+[53]FormattedData!H15^2*$J$6+$M$5*$J$7</f>
        <v>-0.975385154281182</v>
      </c>
      <c r="P57" s="39">
        <f>$J$3+[53]FormattedData!I15*$J$4+$M$4*$J$5+[53]FormattedData!I15^2*$J$6+$M$5*$J$7</f>
        <v>-0.975385154281182</v>
      </c>
      <c r="Q57" s="39">
        <f>$J$3+[53]FormattedData!J15*$J$4+$M$4*$J$5+[53]FormattedData!J15^2*$J$6+$M$5*$J$7</f>
        <v>-0.975385154281182</v>
      </c>
      <c r="R57" s="39">
        <f>$J$3+[53]FormattedData!K15*$J$4+$M$4*$J$5+[53]FormattedData!K15^2*$J$6+$M$5*$J$7</f>
        <v>-0.975385154281182</v>
      </c>
      <c r="S57" s="39">
        <f>$J$3+[53]FormattedData!L15*$J$4+$M$4*$J$5+[53]FormattedData!L15^2*$J$6+$M$5*$J$7</f>
        <v>-0.975385154281182</v>
      </c>
      <c r="T57" s="39">
        <f>$J$3+[53]FormattedData!M15*$J$4+$M$4*$J$5+[53]FormattedData!M15^2*$J$6+$M$5*$J$7</f>
        <v>-0.975385154281182</v>
      </c>
      <c r="U57" s="39">
        <f>$J$3+[53]FormattedData!N15*$J$4+$M$4*$J$5+[53]FormattedData!N15^2*$J$6+$M$5*$J$7</f>
        <v>-0.975385154281182</v>
      </c>
      <c r="V57" s="39">
        <f>$J$3+[53]FormattedData!O15*$J$4+$M$4*$J$5+[53]FormattedData!O15^2*$J$6+$M$5*$J$7</f>
        <v>-0.975385154281182</v>
      </c>
      <c r="W57" s="38">
        <f>AVERAGE(K57:V57)</f>
        <v>-0.97538515428118211</v>
      </c>
      <c r="X57" s="37">
        <f>STDEV(K57:V57)/SQRT(COUNT(K57:V57))</f>
        <v>3.3474483693592253E-17</v>
      </c>
      <c r="Y57" s="36">
        <f>MIN(K57:V57)</f>
        <v>-0.975385154281182</v>
      </c>
      <c r="Z57" s="35">
        <f>QUARTILE(K57:V57,1)</f>
        <v>-0.975385154281182</v>
      </c>
      <c r="AA57" s="36">
        <f>MEDIAN(K57:V57)</f>
        <v>-0.975385154281182</v>
      </c>
      <c r="AB57" s="35">
        <f>QUARTILE(K57:V57,3)</f>
        <v>-0.975385154281182</v>
      </c>
      <c r="AC57" s="35">
        <f>MAX(K57:V57)</f>
        <v>-0.975385154281182</v>
      </c>
      <c r="AD57" s="35">
        <f>SKEW(K57:V57)</f>
        <v>1.1489125293076057</v>
      </c>
      <c r="AE57" s="35">
        <f>KURT(K57:V57)</f>
        <v>-2.4444444444444446</v>
      </c>
    </row>
    <row r="58" spans="2:31" x14ac:dyDescent="0.2">
      <c r="B58" s="34">
        <f>[53]FormattedData!A31</f>
        <v>0</v>
      </c>
      <c r="C58" s="34" t="e">
        <f>VLOOKUP($B58,[53]TrtCodes!$B$11:I74,2)</f>
        <v>#N/A</v>
      </c>
      <c r="D58" s="34" t="e">
        <f>VLOOKUP($B58,[53]TrtCodes!$B$11:J74,3)</f>
        <v>#N/A</v>
      </c>
      <c r="E58" s="34" t="e">
        <f>VLOOKUP($B58,[53]TrtCodes!$B$11:K74,4)</f>
        <v>#N/A</v>
      </c>
      <c r="F58" s="34" t="e">
        <f>VLOOKUP($B58,[53]TrtCodes!$B$11:L74,5)</f>
        <v>#N/A</v>
      </c>
      <c r="G58" s="34" t="e">
        <f>VLOOKUP($B58,[53]TrtCodes!$B$11:M74,6)</f>
        <v>#N/A</v>
      </c>
      <c r="H58" s="34" t="e">
        <f>VLOOKUP($B58,[53]TrtCodes!$B$11:N74,7)</f>
        <v>#N/A</v>
      </c>
      <c r="I58" s="34">
        <f>[53]FormattedData!B31</f>
        <v>0</v>
      </c>
      <c r="J58" s="37">
        <f>[53]FormattedData!C31</f>
        <v>0</v>
      </c>
      <c r="K58" s="39">
        <f>$J$3+[53]FormattedData!D31*$J$4+$M$4*$J$5+[53]FormattedData!D31^2*$J$6+$M$5*$J$7</f>
        <v>-0.975385154281182</v>
      </c>
      <c r="L58" s="39">
        <f>$J$3+[53]FormattedData!E31*$J$4+$M$4*$J$5+[53]FormattedData!E31^2*$J$6+$M$5*$J$7</f>
        <v>-0.975385154281182</v>
      </c>
      <c r="M58" s="39">
        <f>$J$3+[53]FormattedData!F31*$J$4+$M$4*$J$5+[53]FormattedData!F31^2*$J$6+$M$5*$J$7</f>
        <v>-0.975385154281182</v>
      </c>
      <c r="N58" s="39">
        <f>$J$3+[53]FormattedData!G31*$J$4+$M$4*$J$5+[53]FormattedData!G31^2*$J$6+$M$5*$J$7</f>
        <v>-0.975385154281182</v>
      </c>
      <c r="O58" s="39">
        <f>$J$3+[53]FormattedData!H31*$J$4+$M$4*$J$5+[53]FormattedData!H31^2*$J$6+$M$5*$J$7</f>
        <v>-0.975385154281182</v>
      </c>
      <c r="P58" s="39">
        <f>$J$3+[53]FormattedData!I31*$J$4+$M$4*$J$5+[53]FormattedData!I31^2*$J$6+$M$5*$J$7</f>
        <v>-0.975385154281182</v>
      </c>
      <c r="Q58" s="39">
        <f>$J$3+[53]FormattedData!J31*$J$4+$M$4*$J$5+[53]FormattedData!J31^2*$J$6+$M$5*$J$7</f>
        <v>-0.975385154281182</v>
      </c>
      <c r="R58" s="39">
        <f>$J$3+[53]FormattedData!K31*$J$4+$M$4*$J$5+[53]FormattedData!K31^2*$J$6+$M$5*$J$7</f>
        <v>-0.975385154281182</v>
      </c>
      <c r="S58" s="39">
        <f>$J$3+[53]FormattedData!L31*$J$4+$M$4*$J$5+[53]FormattedData!L31^2*$J$6+$M$5*$J$7</f>
        <v>-0.975385154281182</v>
      </c>
      <c r="T58" s="39">
        <f>$J$3+[53]FormattedData!M31*$J$4+$M$4*$J$5+[53]FormattedData!M31^2*$J$6+$M$5*$J$7</f>
        <v>-0.975385154281182</v>
      </c>
      <c r="U58" s="39">
        <f>$J$3+[53]FormattedData!N31*$J$4+$M$4*$J$5+[53]FormattedData!N31^2*$J$6+$M$5*$J$7</f>
        <v>-0.975385154281182</v>
      </c>
      <c r="V58" s="39">
        <f>$J$3+[53]FormattedData!O31*$J$4+$M$4*$J$5+[53]FormattedData!O31^2*$J$6+$M$5*$J$7</f>
        <v>-0.975385154281182</v>
      </c>
      <c r="W58" s="38">
        <f>AVERAGE(K58:V58)</f>
        <v>-0.97538515428118211</v>
      </c>
      <c r="X58" s="37">
        <f>STDEV(K58:V58)/SQRT(COUNT(K58:V58))</f>
        <v>3.3474483693592253E-17</v>
      </c>
      <c r="Y58" s="36">
        <f>MIN(K58:V58)</f>
        <v>-0.975385154281182</v>
      </c>
      <c r="Z58" s="35">
        <f>QUARTILE(K58:V58,1)</f>
        <v>-0.975385154281182</v>
      </c>
      <c r="AA58" s="36">
        <f>MEDIAN(K58:V58)</f>
        <v>-0.975385154281182</v>
      </c>
      <c r="AB58" s="35">
        <f>QUARTILE(K58:V58,3)</f>
        <v>-0.975385154281182</v>
      </c>
      <c r="AC58" s="35">
        <f>MAX(K58:V58)</f>
        <v>-0.975385154281182</v>
      </c>
      <c r="AD58" s="35">
        <f>SKEW(K58:V58)</f>
        <v>1.1489125293076057</v>
      </c>
      <c r="AE58" s="35">
        <f>KURT(K58:V58)</f>
        <v>-2.4444444444444446</v>
      </c>
    </row>
    <row r="59" spans="2:31" x14ac:dyDescent="0.2">
      <c r="B59" s="34">
        <f>[53]FormattedData!A33</f>
        <v>0</v>
      </c>
      <c r="C59" s="34" t="e">
        <f>VLOOKUP($B59,[53]TrtCodes!$B$11:I76,2)</f>
        <v>#N/A</v>
      </c>
      <c r="D59" s="34" t="e">
        <f>VLOOKUP($B59,[53]TrtCodes!$B$11:J76,3)</f>
        <v>#N/A</v>
      </c>
      <c r="E59" s="34" t="e">
        <f>VLOOKUP($B59,[53]TrtCodes!$B$11:K76,4)</f>
        <v>#N/A</v>
      </c>
      <c r="F59" s="34" t="e">
        <f>VLOOKUP($B59,[53]TrtCodes!$B$11:L76,5)</f>
        <v>#N/A</v>
      </c>
      <c r="G59" s="34" t="e">
        <f>VLOOKUP($B59,[53]TrtCodes!$B$11:M76,6)</f>
        <v>#N/A</v>
      </c>
      <c r="H59" s="34" t="e">
        <f>VLOOKUP($B59,[53]TrtCodes!$B$11:N76,7)</f>
        <v>#N/A</v>
      </c>
      <c r="I59" s="34">
        <f>[53]FormattedData!B33</f>
        <v>0</v>
      </c>
      <c r="J59" s="37">
        <f>[53]FormattedData!C33</f>
        <v>0</v>
      </c>
      <c r="K59" s="39">
        <f>$J$3+[53]FormattedData!D33*$J$4+$M$4*$J$5+[53]FormattedData!D33^2*$J$6+$M$5*$J$7</f>
        <v>-0.975385154281182</v>
      </c>
      <c r="L59" s="39">
        <f>$J$3+[53]FormattedData!E33*$J$4+$M$4*$J$5+[53]FormattedData!E33^2*$J$6+$M$5*$J$7</f>
        <v>-0.975385154281182</v>
      </c>
      <c r="M59" s="39">
        <f>$J$3+[53]FormattedData!F33*$J$4+$M$4*$J$5+[53]FormattedData!F33^2*$J$6+$M$5*$J$7</f>
        <v>-0.975385154281182</v>
      </c>
      <c r="N59" s="39">
        <f>$J$3+[53]FormattedData!G33*$J$4+$M$4*$J$5+[53]FormattedData!G33^2*$J$6+$M$5*$J$7</f>
        <v>-0.975385154281182</v>
      </c>
      <c r="O59" s="39">
        <f>$J$3+[53]FormattedData!H33*$J$4+$M$4*$J$5+[53]FormattedData!H33^2*$J$6+$M$5*$J$7</f>
        <v>-0.975385154281182</v>
      </c>
      <c r="P59" s="39">
        <f>$J$3+[53]FormattedData!I33*$J$4+$M$4*$J$5+[53]FormattedData!I33^2*$J$6+$M$5*$J$7</f>
        <v>-0.975385154281182</v>
      </c>
      <c r="Q59" s="39">
        <f>$J$3+[53]FormattedData!J33*$J$4+$M$4*$J$5+[53]FormattedData!J33^2*$J$6+$M$5*$J$7</f>
        <v>-0.975385154281182</v>
      </c>
      <c r="R59" s="39">
        <f>$J$3+[53]FormattedData!K33*$J$4+$M$4*$J$5+[53]FormattedData!K33^2*$J$6+$M$5*$J$7</f>
        <v>-0.975385154281182</v>
      </c>
      <c r="S59" s="39">
        <f>$J$3+[53]FormattedData!L33*$J$4+$M$4*$J$5+[53]FormattedData!L33^2*$J$6+$M$5*$J$7</f>
        <v>-0.975385154281182</v>
      </c>
      <c r="T59" s="39">
        <f>$J$3+[53]FormattedData!M33*$J$4+$M$4*$J$5+[53]FormattedData!M33^2*$J$6+$M$5*$J$7</f>
        <v>-0.975385154281182</v>
      </c>
      <c r="U59" s="39">
        <f>$J$3+[53]FormattedData!N33*$J$4+$M$4*$J$5+[53]FormattedData!N33^2*$J$6+$M$5*$J$7</f>
        <v>-0.975385154281182</v>
      </c>
      <c r="V59" s="39">
        <f>$J$3+[53]FormattedData!O33*$J$4+$M$4*$J$5+[53]FormattedData!O33^2*$J$6+$M$5*$J$7</f>
        <v>-0.975385154281182</v>
      </c>
      <c r="W59" s="38">
        <f>AVERAGE(K59:V59)</f>
        <v>-0.97538515428118211</v>
      </c>
      <c r="X59" s="37">
        <f>STDEV(K59:V59)/SQRT(COUNT(K59:V59))</f>
        <v>3.3474483693592253E-17</v>
      </c>
      <c r="Y59" s="36">
        <f>MIN(K59:V59)</f>
        <v>-0.975385154281182</v>
      </c>
      <c r="Z59" s="35">
        <f>QUARTILE(K59:V59,1)</f>
        <v>-0.975385154281182</v>
      </c>
      <c r="AA59" s="36">
        <f>MEDIAN(K59:V59)</f>
        <v>-0.975385154281182</v>
      </c>
      <c r="AB59" s="35">
        <f>QUARTILE(K59:V59,3)</f>
        <v>-0.975385154281182</v>
      </c>
      <c r="AC59" s="35">
        <f>MAX(K59:V59)</f>
        <v>-0.975385154281182</v>
      </c>
      <c r="AD59" s="35">
        <f>SKEW(K59:V59)</f>
        <v>1.1489125293076057</v>
      </c>
      <c r="AE59" s="35">
        <f>KURT(K59:V59)</f>
        <v>-2.4444444444444446</v>
      </c>
    </row>
    <row r="60" spans="2:31" x14ac:dyDescent="0.2">
      <c r="B60" s="34">
        <f>[53]FormattedData!A35</f>
        <v>0</v>
      </c>
      <c r="C60" s="34" t="e">
        <f>VLOOKUP($B60,[53]TrtCodes!$B$11:I78,2)</f>
        <v>#N/A</v>
      </c>
      <c r="D60" s="34" t="e">
        <f>VLOOKUP($B60,[53]TrtCodes!$B$11:J78,3)</f>
        <v>#N/A</v>
      </c>
      <c r="E60" s="34" t="e">
        <f>VLOOKUP($B60,[53]TrtCodes!$B$11:K78,4)</f>
        <v>#N/A</v>
      </c>
      <c r="F60" s="34" t="e">
        <f>VLOOKUP($B60,[53]TrtCodes!$B$11:L78,5)</f>
        <v>#N/A</v>
      </c>
      <c r="G60" s="34" t="e">
        <f>VLOOKUP($B60,[53]TrtCodes!$B$11:M78,6)</f>
        <v>#N/A</v>
      </c>
      <c r="H60" s="34" t="e">
        <f>VLOOKUP($B60,[53]TrtCodes!$B$11:N78,7)</f>
        <v>#N/A</v>
      </c>
      <c r="I60" s="34">
        <f>[53]FormattedData!B35</f>
        <v>0</v>
      </c>
      <c r="J60" s="37">
        <f>[53]FormattedData!C35</f>
        <v>0</v>
      </c>
      <c r="K60" s="39">
        <f>$J$3+[53]FormattedData!D35*$J$4+$M$4*$J$5+[53]FormattedData!D35^2*$J$6+$M$5*$J$7</f>
        <v>-0.975385154281182</v>
      </c>
      <c r="L60" s="39">
        <f>$J$3+[53]FormattedData!E35*$J$4+$M$4*$J$5+[53]FormattedData!E35^2*$J$6+$M$5*$J$7</f>
        <v>-0.975385154281182</v>
      </c>
      <c r="M60" s="39">
        <f>$J$3+[53]FormattedData!F35*$J$4+$M$4*$J$5+[53]FormattedData!F35^2*$J$6+$M$5*$J$7</f>
        <v>-0.975385154281182</v>
      </c>
      <c r="N60" s="39">
        <f>$J$3+[53]FormattedData!G35*$J$4+$M$4*$J$5+[53]FormattedData!G35^2*$J$6+$M$5*$J$7</f>
        <v>-0.975385154281182</v>
      </c>
      <c r="O60" s="39">
        <f>$J$3+[53]FormattedData!H35*$J$4+$M$4*$J$5+[53]FormattedData!H35^2*$J$6+$M$5*$J$7</f>
        <v>-0.975385154281182</v>
      </c>
      <c r="P60" s="39">
        <f>$J$3+[53]FormattedData!I35*$J$4+$M$4*$J$5+[53]FormattedData!I35^2*$J$6+$M$5*$J$7</f>
        <v>-0.975385154281182</v>
      </c>
      <c r="Q60" s="39">
        <f>$J$3+[53]FormattedData!J35*$J$4+$M$4*$J$5+[53]FormattedData!J35^2*$J$6+$M$5*$J$7</f>
        <v>-0.975385154281182</v>
      </c>
      <c r="R60" s="39">
        <f>$J$3+[53]FormattedData!K35*$J$4+$M$4*$J$5+[53]FormattedData!K35^2*$J$6+$M$5*$J$7</f>
        <v>-0.975385154281182</v>
      </c>
      <c r="S60" s="39">
        <f>$J$3+[53]FormattedData!L35*$J$4+$M$4*$J$5+[53]FormattedData!L35^2*$J$6+$M$5*$J$7</f>
        <v>-0.975385154281182</v>
      </c>
      <c r="T60" s="39">
        <f>$J$3+[53]FormattedData!M35*$J$4+$M$4*$J$5+[53]FormattedData!M35^2*$J$6+$M$5*$J$7</f>
        <v>-0.975385154281182</v>
      </c>
      <c r="U60" s="39">
        <f>$J$3+[53]FormattedData!N35*$J$4+$M$4*$J$5+[53]FormattedData!N35^2*$J$6+$M$5*$J$7</f>
        <v>-0.975385154281182</v>
      </c>
      <c r="V60" s="39">
        <f>$J$3+[53]FormattedData!O35*$J$4+$M$4*$J$5+[53]FormattedData!O35^2*$J$6+$M$5*$J$7</f>
        <v>-0.975385154281182</v>
      </c>
      <c r="W60" s="38">
        <f>AVERAGE(K60:V60)</f>
        <v>-0.97538515428118211</v>
      </c>
      <c r="X60" s="37">
        <f>STDEV(K60:V60)/SQRT(COUNT(K60:V60))</f>
        <v>3.3474483693592253E-17</v>
      </c>
      <c r="Y60" s="36">
        <f>MIN(K60:V60)</f>
        <v>-0.975385154281182</v>
      </c>
      <c r="Z60" s="35">
        <f>QUARTILE(K60:V60,1)</f>
        <v>-0.975385154281182</v>
      </c>
      <c r="AA60" s="36">
        <f>MEDIAN(K60:V60)</f>
        <v>-0.975385154281182</v>
      </c>
      <c r="AB60" s="35">
        <f>QUARTILE(K60:V60,3)</f>
        <v>-0.975385154281182</v>
      </c>
      <c r="AC60" s="35">
        <f>MAX(K60:V60)</f>
        <v>-0.975385154281182</v>
      </c>
      <c r="AD60" s="35">
        <f>SKEW(K60:V60)</f>
        <v>1.1489125293076057</v>
      </c>
      <c r="AE60" s="35">
        <f>KURT(K60:V60)</f>
        <v>-2.4444444444444446</v>
      </c>
    </row>
    <row r="61" spans="2:31" x14ac:dyDescent="0.2">
      <c r="B61" s="34">
        <f>[53]FormattedData!A37</f>
        <v>0</v>
      </c>
      <c r="C61" s="34" t="e">
        <f>VLOOKUP($B61,[53]TrtCodes!$B$11:I80,2)</f>
        <v>#N/A</v>
      </c>
      <c r="D61" s="34" t="e">
        <f>VLOOKUP($B61,[53]TrtCodes!$B$11:J80,3)</f>
        <v>#N/A</v>
      </c>
      <c r="E61" s="34" t="e">
        <f>VLOOKUP($B61,[53]TrtCodes!$B$11:K80,4)</f>
        <v>#N/A</v>
      </c>
      <c r="F61" s="34" t="e">
        <f>VLOOKUP($B61,[53]TrtCodes!$B$11:L80,5)</f>
        <v>#N/A</v>
      </c>
      <c r="G61" s="34" t="e">
        <f>VLOOKUP($B61,[53]TrtCodes!$B$11:M80,6)</f>
        <v>#N/A</v>
      </c>
      <c r="H61" s="34" t="e">
        <f>VLOOKUP($B61,[53]TrtCodes!$B$11:N80,7)</f>
        <v>#N/A</v>
      </c>
      <c r="I61" s="34">
        <f>[53]FormattedData!B37</f>
        <v>0</v>
      </c>
      <c r="J61" s="37">
        <f>[53]FormattedData!C37</f>
        <v>0</v>
      </c>
      <c r="K61" s="39">
        <f>$J$3+[53]FormattedData!D37*$J$4+$M$4*$J$5+[53]FormattedData!D37^2*$J$6+$M$5*$J$7</f>
        <v>-0.975385154281182</v>
      </c>
      <c r="L61" s="39">
        <f>$J$3+[53]FormattedData!E37*$J$4+$M$4*$J$5+[53]FormattedData!E37^2*$J$6+$M$5*$J$7</f>
        <v>-0.975385154281182</v>
      </c>
      <c r="M61" s="39">
        <f>$J$3+[53]FormattedData!F37*$J$4+$M$4*$J$5+[53]FormattedData!F37^2*$J$6+$M$5*$J$7</f>
        <v>-0.975385154281182</v>
      </c>
      <c r="N61" s="39">
        <f>$J$3+[53]FormattedData!G37*$J$4+$M$4*$J$5+[53]FormattedData!G37^2*$J$6+$M$5*$J$7</f>
        <v>-0.975385154281182</v>
      </c>
      <c r="O61" s="39">
        <f>$J$3+[53]FormattedData!H37*$J$4+$M$4*$J$5+[53]FormattedData!H37^2*$J$6+$M$5*$J$7</f>
        <v>-0.975385154281182</v>
      </c>
      <c r="P61" s="39">
        <f>$J$3+[53]FormattedData!I37*$J$4+$M$4*$J$5+[53]FormattedData!I37^2*$J$6+$M$5*$J$7</f>
        <v>-0.975385154281182</v>
      </c>
      <c r="Q61" s="39">
        <f>$J$3+[53]FormattedData!J37*$J$4+$M$4*$J$5+[53]FormattedData!J37^2*$J$6+$M$5*$J$7</f>
        <v>-0.975385154281182</v>
      </c>
      <c r="R61" s="39">
        <f>$J$3+[53]FormattedData!K37*$J$4+$M$4*$J$5+[53]FormattedData!K37^2*$J$6+$M$5*$J$7</f>
        <v>-0.975385154281182</v>
      </c>
      <c r="S61" s="39">
        <f>$J$3+[53]FormattedData!L37*$J$4+$M$4*$J$5+[53]FormattedData!L37^2*$J$6+$M$5*$J$7</f>
        <v>-0.975385154281182</v>
      </c>
      <c r="T61" s="39">
        <f>$J$3+[53]FormattedData!M37*$J$4+$M$4*$J$5+[53]FormattedData!M37^2*$J$6+$M$5*$J$7</f>
        <v>-0.975385154281182</v>
      </c>
      <c r="U61" s="39">
        <f>$J$3+[53]FormattedData!N37*$J$4+$M$4*$J$5+[53]FormattedData!N37^2*$J$6+$M$5*$J$7</f>
        <v>-0.975385154281182</v>
      </c>
      <c r="V61" s="39">
        <f>$J$3+[53]FormattedData!O37*$J$4+$M$4*$J$5+[53]FormattedData!O37^2*$J$6+$M$5*$J$7</f>
        <v>-0.975385154281182</v>
      </c>
      <c r="W61" s="38">
        <f>AVERAGE(K61:V61)</f>
        <v>-0.97538515428118211</v>
      </c>
      <c r="X61" s="37">
        <f>STDEV(K61:V61)/SQRT(COUNT(K61:V61))</f>
        <v>3.3474483693592253E-17</v>
      </c>
      <c r="Y61" s="36">
        <f>MIN(K61:V61)</f>
        <v>-0.975385154281182</v>
      </c>
      <c r="Z61" s="35">
        <f>QUARTILE(K61:V61,1)</f>
        <v>-0.975385154281182</v>
      </c>
      <c r="AA61" s="36">
        <f>MEDIAN(K61:V61)</f>
        <v>-0.975385154281182</v>
      </c>
      <c r="AB61" s="35">
        <f>QUARTILE(K61:V61,3)</f>
        <v>-0.975385154281182</v>
      </c>
      <c r="AC61" s="35">
        <f>MAX(K61:V61)</f>
        <v>-0.975385154281182</v>
      </c>
      <c r="AD61" s="35">
        <f>SKEW(K61:V61)</f>
        <v>1.1489125293076057</v>
      </c>
      <c r="AE61" s="35">
        <f>KURT(K61:V61)</f>
        <v>-2.4444444444444446</v>
      </c>
    </row>
    <row r="62" spans="2:31" x14ac:dyDescent="0.2">
      <c r="B62" s="34">
        <f>[53]FormattedData!A39</f>
        <v>0</v>
      </c>
      <c r="C62" s="34" t="e">
        <f>VLOOKUP($B62,[53]TrtCodes!$B$11:I82,2)</f>
        <v>#N/A</v>
      </c>
      <c r="D62" s="34" t="e">
        <f>VLOOKUP($B62,[53]TrtCodes!$B$11:J82,3)</f>
        <v>#N/A</v>
      </c>
      <c r="E62" s="34" t="e">
        <f>VLOOKUP($B62,[53]TrtCodes!$B$11:K82,4)</f>
        <v>#N/A</v>
      </c>
      <c r="F62" s="34" t="e">
        <f>VLOOKUP($B62,[53]TrtCodes!$B$11:L82,5)</f>
        <v>#N/A</v>
      </c>
      <c r="G62" s="34" t="e">
        <f>VLOOKUP($B62,[53]TrtCodes!$B$11:M82,6)</f>
        <v>#N/A</v>
      </c>
      <c r="H62" s="34" t="e">
        <f>VLOOKUP($B62,[53]TrtCodes!$B$11:N82,7)</f>
        <v>#N/A</v>
      </c>
      <c r="I62" s="34">
        <f>[53]FormattedData!B39</f>
        <v>0</v>
      </c>
      <c r="J62" s="37">
        <f>[53]FormattedData!C39</f>
        <v>0</v>
      </c>
      <c r="K62" s="39">
        <f>$J$3+[53]FormattedData!D39*$J$4+$M$4*$J$5+[53]FormattedData!D39^2*$J$6+$M$5*$J$7</f>
        <v>-0.975385154281182</v>
      </c>
      <c r="L62" s="39">
        <f>$J$3+[53]FormattedData!E39*$J$4+$M$4*$J$5+[53]FormattedData!E39^2*$J$6+$M$5*$J$7</f>
        <v>-0.975385154281182</v>
      </c>
      <c r="M62" s="39">
        <f>$J$3+[53]FormattedData!F39*$J$4+$M$4*$J$5+[53]FormattedData!F39^2*$J$6+$M$5*$J$7</f>
        <v>-0.975385154281182</v>
      </c>
      <c r="N62" s="39">
        <f>$J$3+[53]FormattedData!G39*$J$4+$M$4*$J$5+[53]FormattedData!G39^2*$J$6+$M$5*$J$7</f>
        <v>-0.975385154281182</v>
      </c>
      <c r="O62" s="39">
        <f>$J$3+[53]FormattedData!H39*$J$4+$M$4*$J$5+[53]FormattedData!H39^2*$J$6+$M$5*$J$7</f>
        <v>-0.975385154281182</v>
      </c>
      <c r="P62" s="39">
        <f>$J$3+[53]FormattedData!I39*$J$4+$M$4*$J$5+[53]FormattedData!I39^2*$J$6+$M$5*$J$7</f>
        <v>-0.975385154281182</v>
      </c>
      <c r="Q62" s="39">
        <f>$J$3+[53]FormattedData!J39*$J$4+$M$4*$J$5+[53]FormattedData!J39^2*$J$6+$M$5*$J$7</f>
        <v>-0.975385154281182</v>
      </c>
      <c r="R62" s="39">
        <f>$J$3+[53]FormattedData!K39*$J$4+$M$4*$J$5+[53]FormattedData!K39^2*$J$6+$M$5*$J$7</f>
        <v>-0.975385154281182</v>
      </c>
      <c r="S62" s="39">
        <f>$J$3+[53]FormattedData!L39*$J$4+$M$4*$J$5+[53]FormattedData!L39^2*$J$6+$M$5*$J$7</f>
        <v>-0.975385154281182</v>
      </c>
      <c r="T62" s="39">
        <f>$J$3+[53]FormattedData!M39*$J$4+$M$4*$J$5+[53]FormattedData!M39^2*$J$6+$M$5*$J$7</f>
        <v>-0.975385154281182</v>
      </c>
      <c r="U62" s="39">
        <f>$J$3+[53]FormattedData!N39*$J$4+$M$4*$J$5+[53]FormattedData!N39^2*$J$6+$M$5*$J$7</f>
        <v>-0.975385154281182</v>
      </c>
      <c r="V62" s="39">
        <f>$J$3+[53]FormattedData!O39*$J$4+$M$4*$J$5+[53]FormattedData!O39^2*$J$6+$M$5*$J$7</f>
        <v>-0.975385154281182</v>
      </c>
      <c r="W62" s="38">
        <f>AVERAGE(K62:V62)</f>
        <v>-0.97538515428118211</v>
      </c>
      <c r="X62" s="37">
        <f>STDEV(K62:V62)/SQRT(COUNT(K62:V62))</f>
        <v>3.3474483693592253E-17</v>
      </c>
      <c r="Y62" s="36">
        <f>MIN(K62:V62)</f>
        <v>-0.975385154281182</v>
      </c>
      <c r="Z62" s="35">
        <f>QUARTILE(K62:V62,1)</f>
        <v>-0.975385154281182</v>
      </c>
      <c r="AA62" s="36">
        <f>MEDIAN(K62:V62)</f>
        <v>-0.975385154281182</v>
      </c>
      <c r="AB62" s="35">
        <f>QUARTILE(K62:V62,3)</f>
        <v>-0.975385154281182</v>
      </c>
      <c r="AC62" s="35">
        <f>MAX(K62:V62)</f>
        <v>-0.975385154281182</v>
      </c>
      <c r="AD62" s="35">
        <f>SKEW(K62:V62)</f>
        <v>1.1489125293076057</v>
      </c>
      <c r="AE62" s="35">
        <f>KURT(K62:V62)</f>
        <v>-2.4444444444444446</v>
      </c>
    </row>
    <row r="63" spans="2:31" x14ac:dyDescent="0.2">
      <c r="B63" s="34">
        <f>[53]FormattedData!A41</f>
        <v>0</v>
      </c>
      <c r="C63" s="34" t="e">
        <f>VLOOKUP($B63,[53]TrtCodes!$B$11:I84,2)</f>
        <v>#N/A</v>
      </c>
      <c r="D63" s="34" t="e">
        <f>VLOOKUP($B63,[53]TrtCodes!$B$11:J84,3)</f>
        <v>#N/A</v>
      </c>
      <c r="E63" s="34" t="e">
        <f>VLOOKUP($B63,[53]TrtCodes!$B$11:K84,4)</f>
        <v>#N/A</v>
      </c>
      <c r="F63" s="34" t="e">
        <f>VLOOKUP($B63,[53]TrtCodes!$B$11:L84,5)</f>
        <v>#N/A</v>
      </c>
      <c r="G63" s="34" t="e">
        <f>VLOOKUP($B63,[53]TrtCodes!$B$11:M84,6)</f>
        <v>#N/A</v>
      </c>
      <c r="H63" s="34" t="e">
        <f>VLOOKUP($B63,[53]TrtCodes!$B$11:N84,7)</f>
        <v>#N/A</v>
      </c>
      <c r="I63" s="34">
        <f>[53]FormattedData!B41</f>
        <v>0</v>
      </c>
      <c r="J63" s="37">
        <f>[53]FormattedData!C41</f>
        <v>0</v>
      </c>
      <c r="K63" s="39">
        <f>$J$3+[53]FormattedData!D41*$J$4+$M$4*$J$5+[53]FormattedData!D41^2*$J$6+$M$5*$J$7</f>
        <v>-0.975385154281182</v>
      </c>
      <c r="L63" s="39">
        <f>$J$3+[53]FormattedData!E41*$J$4+$M$4*$J$5+[53]FormattedData!E41^2*$J$6+$M$5*$J$7</f>
        <v>-0.975385154281182</v>
      </c>
      <c r="M63" s="39">
        <f>$J$3+[53]FormattedData!F41*$J$4+$M$4*$J$5+[53]FormattedData!F41^2*$J$6+$M$5*$J$7</f>
        <v>-0.975385154281182</v>
      </c>
      <c r="N63" s="39">
        <f>$J$3+[53]FormattedData!G41*$J$4+$M$4*$J$5+[53]FormattedData!G41^2*$J$6+$M$5*$J$7</f>
        <v>-0.975385154281182</v>
      </c>
      <c r="O63" s="39">
        <f>$J$3+[53]FormattedData!H41*$J$4+$M$4*$J$5+[53]FormattedData!H41^2*$J$6+$M$5*$J$7</f>
        <v>-0.975385154281182</v>
      </c>
      <c r="P63" s="39">
        <f>$J$3+[53]FormattedData!I41*$J$4+$M$4*$J$5+[53]FormattedData!I41^2*$J$6+$M$5*$J$7</f>
        <v>-0.975385154281182</v>
      </c>
      <c r="Q63" s="39">
        <f>$J$3+[53]FormattedData!J41*$J$4+$M$4*$J$5+[53]FormattedData!J41^2*$J$6+$M$5*$J$7</f>
        <v>-0.975385154281182</v>
      </c>
      <c r="R63" s="39">
        <f>$J$3+[53]FormattedData!K41*$J$4+$M$4*$J$5+[53]FormattedData!K41^2*$J$6+$M$5*$J$7</f>
        <v>-0.975385154281182</v>
      </c>
      <c r="S63" s="39">
        <f>$J$3+[53]FormattedData!L41*$J$4+$M$4*$J$5+[53]FormattedData!L41^2*$J$6+$M$5*$J$7</f>
        <v>-0.975385154281182</v>
      </c>
      <c r="T63" s="39">
        <f>$J$3+[53]FormattedData!M41*$J$4+$M$4*$J$5+[53]FormattedData!M41^2*$J$6+$M$5*$J$7</f>
        <v>-0.975385154281182</v>
      </c>
      <c r="U63" s="39">
        <f>$J$3+[53]FormattedData!N41*$J$4+$M$4*$J$5+[53]FormattedData!N41^2*$J$6+$M$5*$J$7</f>
        <v>-0.975385154281182</v>
      </c>
      <c r="V63" s="39">
        <f>$J$3+[53]FormattedData!O41*$J$4+$M$4*$J$5+[53]FormattedData!O41^2*$J$6+$M$5*$J$7</f>
        <v>-0.975385154281182</v>
      </c>
      <c r="W63" s="38">
        <f>AVERAGE(K63:V63)</f>
        <v>-0.97538515428118211</v>
      </c>
      <c r="X63" s="37">
        <f>STDEV(K63:V63)/SQRT(COUNT(K63:V63))</f>
        <v>3.3474483693592253E-17</v>
      </c>
      <c r="Y63" s="36">
        <f>MIN(K63:V63)</f>
        <v>-0.975385154281182</v>
      </c>
      <c r="Z63" s="35">
        <f>QUARTILE(K63:V63,1)</f>
        <v>-0.975385154281182</v>
      </c>
      <c r="AA63" s="36">
        <f>MEDIAN(K63:V63)</f>
        <v>-0.975385154281182</v>
      </c>
      <c r="AB63" s="35">
        <f>QUARTILE(K63:V63,3)</f>
        <v>-0.975385154281182</v>
      </c>
      <c r="AC63" s="35">
        <f>MAX(K63:V63)</f>
        <v>-0.975385154281182</v>
      </c>
      <c r="AD63" s="35">
        <f>SKEW(K63:V63)</f>
        <v>1.1489125293076057</v>
      </c>
      <c r="AE63" s="35">
        <f>KURT(K63:V63)</f>
        <v>-2.4444444444444446</v>
      </c>
    </row>
    <row r="64" spans="2:31" x14ac:dyDescent="0.2">
      <c r="B64" s="34">
        <f>[53]FormattedData!A43</f>
        <v>0</v>
      </c>
      <c r="C64" s="34" t="e">
        <f>VLOOKUP($B64,[53]TrtCodes!$B$11:I86,2)</f>
        <v>#N/A</v>
      </c>
      <c r="D64" s="34" t="e">
        <f>VLOOKUP($B64,[53]TrtCodes!$B$11:J86,3)</f>
        <v>#N/A</v>
      </c>
      <c r="E64" s="34" t="e">
        <f>VLOOKUP($B64,[53]TrtCodes!$B$11:K86,4)</f>
        <v>#N/A</v>
      </c>
      <c r="F64" s="34" t="e">
        <f>VLOOKUP($B64,[53]TrtCodes!$B$11:L86,5)</f>
        <v>#N/A</v>
      </c>
      <c r="G64" s="34" t="e">
        <f>VLOOKUP($B64,[53]TrtCodes!$B$11:M86,6)</f>
        <v>#N/A</v>
      </c>
      <c r="H64" s="34" t="e">
        <f>VLOOKUP($B64,[53]TrtCodes!$B$11:N86,7)</f>
        <v>#N/A</v>
      </c>
      <c r="I64" s="34">
        <f>[53]FormattedData!B43</f>
        <v>0</v>
      </c>
      <c r="J64" s="37">
        <f>[53]FormattedData!C43</f>
        <v>0</v>
      </c>
      <c r="K64" s="39">
        <f>$J$3+[53]FormattedData!D43*$J$4+$M$4*$J$5+[53]FormattedData!D43^2*$J$6+$M$5*$J$7</f>
        <v>-0.975385154281182</v>
      </c>
      <c r="L64" s="39">
        <f>$J$3+[53]FormattedData!E43*$J$4+$M$4*$J$5+[53]FormattedData!E43^2*$J$6+$M$5*$J$7</f>
        <v>-0.975385154281182</v>
      </c>
      <c r="M64" s="39">
        <f>$J$3+[53]FormattedData!F43*$J$4+$M$4*$J$5+[53]FormattedData!F43^2*$J$6+$M$5*$J$7</f>
        <v>-0.975385154281182</v>
      </c>
      <c r="N64" s="39">
        <f>$J$3+[53]FormattedData!G43*$J$4+$M$4*$J$5+[53]FormattedData!G43^2*$J$6+$M$5*$J$7</f>
        <v>-0.975385154281182</v>
      </c>
      <c r="O64" s="39">
        <f>$J$3+[53]FormattedData!H43*$J$4+$M$4*$J$5+[53]FormattedData!H43^2*$J$6+$M$5*$J$7</f>
        <v>-0.975385154281182</v>
      </c>
      <c r="P64" s="39">
        <f>$J$3+[53]FormattedData!I43*$J$4+$M$4*$J$5+[53]FormattedData!I43^2*$J$6+$M$5*$J$7</f>
        <v>-0.975385154281182</v>
      </c>
      <c r="Q64" s="39">
        <f>$J$3+[53]FormattedData!J43*$J$4+$M$4*$J$5+[53]FormattedData!J43^2*$J$6+$M$5*$J$7</f>
        <v>-0.975385154281182</v>
      </c>
      <c r="R64" s="39">
        <f>$J$3+[53]FormattedData!K43*$J$4+$M$4*$J$5+[53]FormattedData!K43^2*$J$6+$M$5*$J$7</f>
        <v>-0.975385154281182</v>
      </c>
      <c r="S64" s="39">
        <f>$J$3+[53]FormattedData!L43*$J$4+$M$4*$J$5+[53]FormattedData!L43^2*$J$6+$M$5*$J$7</f>
        <v>-0.975385154281182</v>
      </c>
      <c r="T64" s="39">
        <f>$J$3+[53]FormattedData!M43*$J$4+$M$4*$J$5+[53]FormattedData!M43^2*$J$6+$M$5*$J$7</f>
        <v>-0.975385154281182</v>
      </c>
      <c r="U64" s="39">
        <f>$J$3+[53]FormattedData!N43*$J$4+$M$4*$J$5+[53]FormattedData!N43^2*$J$6+$M$5*$J$7</f>
        <v>-0.975385154281182</v>
      </c>
      <c r="V64" s="39">
        <f>$J$3+[53]FormattedData!O43*$J$4+$M$4*$J$5+[53]FormattedData!O43^2*$J$6+$M$5*$J$7</f>
        <v>-0.975385154281182</v>
      </c>
      <c r="W64" s="38">
        <f>AVERAGE(K64:V64)</f>
        <v>-0.97538515428118211</v>
      </c>
      <c r="X64" s="37">
        <f>STDEV(K64:V64)/SQRT(COUNT(K64:V64))</f>
        <v>3.3474483693592253E-17</v>
      </c>
      <c r="Y64" s="36">
        <f>MIN(K64:V64)</f>
        <v>-0.975385154281182</v>
      </c>
      <c r="Z64" s="35">
        <f>QUARTILE(K64:V64,1)</f>
        <v>-0.975385154281182</v>
      </c>
      <c r="AA64" s="36">
        <f>MEDIAN(K64:V64)</f>
        <v>-0.975385154281182</v>
      </c>
      <c r="AB64" s="35">
        <f>QUARTILE(K64:V64,3)</f>
        <v>-0.975385154281182</v>
      </c>
      <c r="AC64" s="35">
        <f>MAX(K64:V64)</f>
        <v>-0.975385154281182</v>
      </c>
      <c r="AD64" s="35">
        <f>SKEW(K64:V64)</f>
        <v>1.1489125293076057</v>
      </c>
      <c r="AE64" s="35">
        <f>KURT(K64:V64)</f>
        <v>-2.4444444444444446</v>
      </c>
    </row>
    <row r="65" spans="2:31" x14ac:dyDescent="0.2">
      <c r="B65" s="34">
        <f>[53]FormattedData!A45</f>
        <v>0</v>
      </c>
      <c r="C65" s="34" t="e">
        <f>VLOOKUP($B65,[53]TrtCodes!$B$11:I88,2)</f>
        <v>#N/A</v>
      </c>
      <c r="D65" s="34" t="e">
        <f>VLOOKUP($B65,[53]TrtCodes!$B$11:J88,3)</f>
        <v>#N/A</v>
      </c>
      <c r="E65" s="34" t="e">
        <f>VLOOKUP($B65,[53]TrtCodes!$B$11:K88,4)</f>
        <v>#N/A</v>
      </c>
      <c r="F65" s="34" t="e">
        <f>VLOOKUP($B65,[53]TrtCodes!$B$11:L88,5)</f>
        <v>#N/A</v>
      </c>
      <c r="G65" s="34" t="e">
        <f>VLOOKUP($B65,[53]TrtCodes!$B$11:M88,6)</f>
        <v>#N/A</v>
      </c>
      <c r="H65" s="34" t="e">
        <f>VLOOKUP($B65,[53]TrtCodes!$B$11:N88,7)</f>
        <v>#N/A</v>
      </c>
      <c r="I65" s="34">
        <f>[53]FormattedData!B45</f>
        <v>0</v>
      </c>
      <c r="J65" s="37">
        <f>[53]FormattedData!C45</f>
        <v>0</v>
      </c>
      <c r="K65" s="39">
        <f>$J$3+[53]FormattedData!D45*$J$4+$M$4*$J$5+[53]FormattedData!D45^2*$J$6+$M$5*$J$7</f>
        <v>-0.975385154281182</v>
      </c>
      <c r="L65" s="39">
        <f>$J$3+[53]FormattedData!E45*$J$4+$M$4*$J$5+[53]FormattedData!E45^2*$J$6+$M$5*$J$7</f>
        <v>-0.975385154281182</v>
      </c>
      <c r="M65" s="39">
        <f>$J$3+[53]FormattedData!F45*$J$4+$M$4*$J$5+[53]FormattedData!F45^2*$J$6+$M$5*$J$7</f>
        <v>-0.975385154281182</v>
      </c>
      <c r="N65" s="39">
        <f>$J$3+[53]FormattedData!G45*$J$4+$M$4*$J$5+[53]FormattedData!G45^2*$J$6+$M$5*$J$7</f>
        <v>-0.975385154281182</v>
      </c>
      <c r="O65" s="39">
        <f>$J$3+[53]FormattedData!H45*$J$4+$M$4*$J$5+[53]FormattedData!H45^2*$J$6+$M$5*$J$7</f>
        <v>-0.975385154281182</v>
      </c>
      <c r="P65" s="39">
        <f>$J$3+[53]FormattedData!I45*$J$4+$M$4*$J$5+[53]FormattedData!I45^2*$J$6+$M$5*$J$7</f>
        <v>-0.975385154281182</v>
      </c>
      <c r="Q65" s="39">
        <f>$J$3+[53]FormattedData!J45*$J$4+$M$4*$J$5+[53]FormattedData!J45^2*$J$6+$M$5*$J$7</f>
        <v>-0.975385154281182</v>
      </c>
      <c r="R65" s="39">
        <f>$J$3+[53]FormattedData!K45*$J$4+$M$4*$J$5+[53]FormattedData!K45^2*$J$6+$M$5*$J$7</f>
        <v>-0.975385154281182</v>
      </c>
      <c r="S65" s="39">
        <f>$J$3+[53]FormattedData!L45*$J$4+$M$4*$J$5+[53]FormattedData!L45^2*$J$6+$M$5*$J$7</f>
        <v>-0.975385154281182</v>
      </c>
      <c r="T65" s="39">
        <f>$J$3+[53]FormattedData!M45*$J$4+$M$4*$J$5+[53]FormattedData!M45^2*$J$6+$M$5*$J$7</f>
        <v>-0.975385154281182</v>
      </c>
      <c r="U65" s="39">
        <f>$J$3+[53]FormattedData!N45*$J$4+$M$4*$J$5+[53]FormattedData!N45^2*$J$6+$M$5*$J$7</f>
        <v>-0.975385154281182</v>
      </c>
      <c r="V65" s="39">
        <f>$J$3+[53]FormattedData!O45*$J$4+$M$4*$J$5+[53]FormattedData!O45^2*$J$6+$M$5*$J$7</f>
        <v>-0.975385154281182</v>
      </c>
      <c r="W65" s="38">
        <f>AVERAGE(K65:V65)</f>
        <v>-0.97538515428118211</v>
      </c>
      <c r="X65" s="37">
        <f>STDEV(K65:V65)/SQRT(COUNT(K65:V65))</f>
        <v>3.3474483693592253E-17</v>
      </c>
      <c r="Y65" s="36">
        <f>MIN(K65:V65)</f>
        <v>-0.975385154281182</v>
      </c>
      <c r="Z65" s="35">
        <f>QUARTILE(K65:V65,1)</f>
        <v>-0.975385154281182</v>
      </c>
      <c r="AA65" s="36">
        <f>MEDIAN(K65:V65)</f>
        <v>-0.975385154281182</v>
      </c>
      <c r="AB65" s="35">
        <f>QUARTILE(K65:V65,3)</f>
        <v>-0.975385154281182</v>
      </c>
      <c r="AC65" s="35">
        <f>MAX(K65:V65)</f>
        <v>-0.975385154281182</v>
      </c>
      <c r="AD65" s="35">
        <f>SKEW(K65:V65)</f>
        <v>1.1489125293076057</v>
      </c>
      <c r="AE65" s="35">
        <f>KURT(K65:V65)</f>
        <v>-2.4444444444444446</v>
      </c>
    </row>
    <row r="66" spans="2:31" x14ac:dyDescent="0.2">
      <c r="B66" s="34">
        <f>[53]FormattedData!A63</f>
        <v>0</v>
      </c>
      <c r="C66" s="34" t="e">
        <f>VLOOKUP($B66,[53]TrtCodes!$B$11:I106,2)</f>
        <v>#N/A</v>
      </c>
      <c r="D66" s="34" t="e">
        <f>VLOOKUP($B66,[53]TrtCodes!$B$11:J106,3)</f>
        <v>#N/A</v>
      </c>
      <c r="E66" s="34" t="e">
        <f>VLOOKUP($B66,[53]TrtCodes!$B$11:K106,4)</f>
        <v>#N/A</v>
      </c>
      <c r="F66" s="34" t="e">
        <f>VLOOKUP($B66,[53]TrtCodes!$B$11:L106,5)</f>
        <v>#N/A</v>
      </c>
      <c r="G66" s="34" t="e">
        <f>VLOOKUP($B66,[53]TrtCodes!$B$11:M106,6)</f>
        <v>#N/A</v>
      </c>
      <c r="H66" s="34" t="e">
        <f>VLOOKUP($B66,[53]TrtCodes!$B$11:N106,7)</f>
        <v>#N/A</v>
      </c>
      <c r="I66" s="34">
        <f>[53]FormattedData!B63</f>
        <v>0</v>
      </c>
      <c r="J66" s="37">
        <f>[53]FormattedData!C63</f>
        <v>0</v>
      </c>
      <c r="K66" s="39">
        <f>$J$3+[53]FormattedData!D63*$J$4+$M$4*$J$5+[53]FormattedData!D63^2*$J$6+$M$5*$J$7</f>
        <v>-0.975385154281182</v>
      </c>
      <c r="L66" s="39">
        <f>$J$3+[53]FormattedData!E63*$J$4+$M$4*$J$5+[53]FormattedData!E63^2*$J$6+$M$5*$J$7</f>
        <v>-0.975385154281182</v>
      </c>
      <c r="M66" s="39">
        <f>$J$3+[53]FormattedData!F63*$J$4+$M$4*$J$5+[53]FormattedData!F63^2*$J$6+$M$5*$J$7</f>
        <v>-0.975385154281182</v>
      </c>
      <c r="N66" s="39">
        <f>$J$3+[53]FormattedData!G63*$J$4+$M$4*$J$5+[53]FormattedData!G63^2*$J$6+$M$5*$J$7</f>
        <v>-0.975385154281182</v>
      </c>
      <c r="O66" s="39">
        <f>$J$3+[53]FormattedData!H63*$J$4+$M$4*$J$5+[53]FormattedData!H63^2*$J$6+$M$5*$J$7</f>
        <v>-0.975385154281182</v>
      </c>
      <c r="P66" s="39">
        <f>$J$3+[53]FormattedData!I63*$J$4+$M$4*$J$5+[53]FormattedData!I63^2*$J$6+$M$5*$J$7</f>
        <v>-0.975385154281182</v>
      </c>
      <c r="Q66" s="39">
        <f>$J$3+[53]FormattedData!J63*$J$4+$M$4*$J$5+[53]FormattedData!J63^2*$J$6+$M$5*$J$7</f>
        <v>-0.975385154281182</v>
      </c>
      <c r="R66" s="39">
        <f>$J$3+[53]FormattedData!K63*$J$4+$M$4*$J$5+[53]FormattedData!K63^2*$J$6+$M$5*$J$7</f>
        <v>-0.975385154281182</v>
      </c>
      <c r="S66" s="39">
        <f>$J$3+[53]FormattedData!L63*$J$4+$M$4*$J$5+[53]FormattedData!L63^2*$J$6+$M$5*$J$7</f>
        <v>-0.975385154281182</v>
      </c>
      <c r="T66" s="39">
        <f>$J$3+[53]FormattedData!M63*$J$4+$M$4*$J$5+[53]FormattedData!M63^2*$J$6+$M$5*$J$7</f>
        <v>-0.975385154281182</v>
      </c>
      <c r="U66" s="39">
        <f>$J$3+[53]FormattedData!N63*$J$4+$M$4*$J$5+[53]FormattedData!N63^2*$J$6+$M$5*$J$7</f>
        <v>-0.975385154281182</v>
      </c>
      <c r="V66" s="39">
        <f>$J$3+[53]FormattedData!O63*$J$4+$M$4*$J$5+[53]FormattedData!O63^2*$J$6+$M$5*$J$7</f>
        <v>-0.975385154281182</v>
      </c>
      <c r="W66" s="38">
        <f>AVERAGE(K66:V66)</f>
        <v>-0.97538515428118211</v>
      </c>
      <c r="X66" s="37">
        <f>STDEV(K66:V66)/SQRT(COUNT(K66:V66))</f>
        <v>3.3474483693592253E-17</v>
      </c>
      <c r="Y66" s="36">
        <f>MIN(K66:V66)</f>
        <v>-0.975385154281182</v>
      </c>
      <c r="Z66" s="35">
        <f>QUARTILE(K66:V66,1)</f>
        <v>-0.975385154281182</v>
      </c>
      <c r="AA66" s="36">
        <f>MEDIAN(K66:V66)</f>
        <v>-0.975385154281182</v>
      </c>
      <c r="AB66" s="35">
        <f>QUARTILE(K66:V66,3)</f>
        <v>-0.975385154281182</v>
      </c>
      <c r="AC66" s="35">
        <f>MAX(K66:V66)</f>
        <v>-0.975385154281182</v>
      </c>
      <c r="AD66" s="35">
        <f>SKEW(K66:V66)</f>
        <v>1.1489125293076057</v>
      </c>
      <c r="AE66" s="35">
        <f>KURT(K66:V66)</f>
        <v>-2.4444444444444446</v>
      </c>
    </row>
    <row r="67" spans="2:31" x14ac:dyDescent="0.2">
      <c r="B67" s="34">
        <f>[53]FormattedData!A65</f>
        <v>0</v>
      </c>
      <c r="C67" s="34" t="e">
        <f>VLOOKUP($B67,[53]TrtCodes!$B$11:I108,2)</f>
        <v>#N/A</v>
      </c>
      <c r="D67" s="34" t="e">
        <f>VLOOKUP($B67,[53]TrtCodes!$B$11:J108,3)</f>
        <v>#N/A</v>
      </c>
      <c r="E67" s="34" t="e">
        <f>VLOOKUP($B67,[53]TrtCodes!$B$11:K108,4)</f>
        <v>#N/A</v>
      </c>
      <c r="F67" s="34" t="e">
        <f>VLOOKUP($B67,[53]TrtCodes!$B$11:L108,5)</f>
        <v>#N/A</v>
      </c>
      <c r="G67" s="34" t="e">
        <f>VLOOKUP($B67,[53]TrtCodes!$B$11:M108,6)</f>
        <v>#N/A</v>
      </c>
      <c r="H67" s="34" t="e">
        <f>VLOOKUP($B67,[53]TrtCodes!$B$11:N108,7)</f>
        <v>#N/A</v>
      </c>
      <c r="I67" s="34">
        <f>[53]FormattedData!B65</f>
        <v>0</v>
      </c>
      <c r="J67" s="37">
        <f>[53]FormattedData!C65</f>
        <v>0</v>
      </c>
      <c r="K67" s="39">
        <f>$J$3+[53]FormattedData!D65*$J$4+$M$4*$J$5+[53]FormattedData!D65^2*$J$6+$M$5*$J$7</f>
        <v>-0.975385154281182</v>
      </c>
      <c r="L67" s="39">
        <f>$J$3+[53]FormattedData!E65*$J$4+$M$4*$J$5+[53]FormattedData!E65^2*$J$6+$M$5*$J$7</f>
        <v>-0.975385154281182</v>
      </c>
      <c r="M67" s="39">
        <f>$J$3+[53]FormattedData!F65*$J$4+$M$4*$J$5+[53]FormattedData!F65^2*$J$6+$M$5*$J$7</f>
        <v>-0.975385154281182</v>
      </c>
      <c r="N67" s="39">
        <f>$J$3+[53]FormattedData!G65*$J$4+$M$4*$J$5+[53]FormattedData!G65^2*$J$6+$M$5*$J$7</f>
        <v>-0.975385154281182</v>
      </c>
      <c r="O67" s="39">
        <f>$J$3+[53]FormattedData!H65*$J$4+$M$4*$J$5+[53]FormattedData!H65^2*$J$6+$M$5*$J$7</f>
        <v>-0.975385154281182</v>
      </c>
      <c r="P67" s="39">
        <f>$J$3+[53]FormattedData!I65*$J$4+$M$4*$J$5+[53]FormattedData!I65^2*$J$6+$M$5*$J$7</f>
        <v>-0.975385154281182</v>
      </c>
      <c r="Q67" s="39">
        <f>$J$3+[53]FormattedData!J65*$J$4+$M$4*$J$5+[53]FormattedData!J65^2*$J$6+$M$5*$J$7</f>
        <v>-0.975385154281182</v>
      </c>
      <c r="R67" s="39">
        <f>$J$3+[53]FormattedData!K65*$J$4+$M$4*$J$5+[53]FormattedData!K65^2*$J$6+$M$5*$J$7</f>
        <v>-0.975385154281182</v>
      </c>
      <c r="S67" s="39">
        <f>$J$3+[53]FormattedData!L65*$J$4+$M$4*$J$5+[53]FormattedData!L65^2*$J$6+$M$5*$J$7</f>
        <v>-0.975385154281182</v>
      </c>
      <c r="T67" s="39">
        <f>$J$3+[53]FormattedData!M65*$J$4+$M$4*$J$5+[53]FormattedData!M65^2*$J$6+$M$5*$J$7</f>
        <v>-0.975385154281182</v>
      </c>
      <c r="U67" s="39">
        <f>$J$3+[53]FormattedData!N65*$J$4+$M$4*$J$5+[53]FormattedData!N65^2*$J$6+$M$5*$J$7</f>
        <v>-0.975385154281182</v>
      </c>
      <c r="V67" s="39">
        <f>$J$3+[53]FormattedData!O65*$J$4+$M$4*$J$5+[53]FormattedData!O65^2*$J$6+$M$5*$J$7</f>
        <v>-0.975385154281182</v>
      </c>
      <c r="W67" s="38">
        <f>AVERAGE(K67:V67)</f>
        <v>-0.97538515428118211</v>
      </c>
      <c r="X67" s="37">
        <f>STDEV(K67:V67)/SQRT(COUNT(K67:V67))</f>
        <v>3.3474483693592253E-17</v>
      </c>
      <c r="Y67" s="36">
        <f>MIN(K67:V67)</f>
        <v>-0.975385154281182</v>
      </c>
      <c r="Z67" s="35">
        <f>QUARTILE(K67:V67,1)</f>
        <v>-0.975385154281182</v>
      </c>
      <c r="AA67" s="36">
        <f>MEDIAN(K67:V67)</f>
        <v>-0.975385154281182</v>
      </c>
      <c r="AB67" s="35">
        <f>QUARTILE(K67:V67,3)</f>
        <v>-0.975385154281182</v>
      </c>
      <c r="AC67" s="35">
        <f>MAX(K67:V67)</f>
        <v>-0.975385154281182</v>
      </c>
      <c r="AD67" s="35">
        <f>SKEW(K67:V67)</f>
        <v>1.1489125293076057</v>
      </c>
      <c r="AE67" s="35">
        <f>KURT(K67:V67)</f>
        <v>-2.4444444444444446</v>
      </c>
    </row>
    <row r="68" spans="2:31" x14ac:dyDescent="0.2">
      <c r="B68" s="34">
        <f>[53]FormattedData!A67</f>
        <v>0</v>
      </c>
      <c r="C68" s="34" t="e">
        <f>VLOOKUP($B68,[53]TrtCodes!$B$11:I110,2)</f>
        <v>#N/A</v>
      </c>
      <c r="D68" s="34" t="e">
        <f>VLOOKUP($B68,[53]TrtCodes!$B$11:J110,3)</f>
        <v>#N/A</v>
      </c>
      <c r="E68" s="34" t="e">
        <f>VLOOKUP($B68,[53]TrtCodes!$B$11:K110,4)</f>
        <v>#N/A</v>
      </c>
      <c r="F68" s="34" t="e">
        <f>VLOOKUP($B68,[53]TrtCodes!$B$11:L110,5)</f>
        <v>#N/A</v>
      </c>
      <c r="G68" s="34" t="e">
        <f>VLOOKUP($B68,[53]TrtCodes!$B$11:M110,6)</f>
        <v>#N/A</v>
      </c>
      <c r="H68" s="34" t="e">
        <f>VLOOKUP($B68,[53]TrtCodes!$B$11:N110,7)</f>
        <v>#N/A</v>
      </c>
      <c r="I68" s="34">
        <f>[53]FormattedData!B67</f>
        <v>0</v>
      </c>
      <c r="J68" s="37">
        <f>[53]FormattedData!C67</f>
        <v>0</v>
      </c>
      <c r="K68" s="39">
        <f>$J$3+[53]FormattedData!D67*$J$4+$M$4*$J$5+[53]FormattedData!D67^2*$J$6+$M$5*$J$7</f>
        <v>-0.975385154281182</v>
      </c>
      <c r="L68" s="39">
        <f>$J$3+[53]FormattedData!E67*$J$4+$M$4*$J$5+[53]FormattedData!E67^2*$J$6+$M$5*$J$7</f>
        <v>-0.975385154281182</v>
      </c>
      <c r="M68" s="39">
        <f>$J$3+[53]FormattedData!F67*$J$4+$M$4*$J$5+[53]FormattedData!F67^2*$J$6+$M$5*$J$7</f>
        <v>-0.975385154281182</v>
      </c>
      <c r="N68" s="39">
        <f>$J$3+[53]FormattedData!G67*$J$4+$M$4*$J$5+[53]FormattedData!G67^2*$J$6+$M$5*$J$7</f>
        <v>-0.975385154281182</v>
      </c>
      <c r="O68" s="39">
        <f>$J$3+[53]FormattedData!H67*$J$4+$M$4*$J$5+[53]FormattedData!H67^2*$J$6+$M$5*$J$7</f>
        <v>-0.975385154281182</v>
      </c>
      <c r="P68" s="39">
        <f>$J$3+[53]FormattedData!I67*$J$4+$M$4*$J$5+[53]FormattedData!I67^2*$J$6+$M$5*$J$7</f>
        <v>-0.975385154281182</v>
      </c>
      <c r="Q68" s="39">
        <f>$J$3+[53]FormattedData!J67*$J$4+$M$4*$J$5+[53]FormattedData!J67^2*$J$6+$M$5*$J$7</f>
        <v>-0.975385154281182</v>
      </c>
      <c r="R68" s="39">
        <f>$J$3+[53]FormattedData!K67*$J$4+$M$4*$J$5+[53]FormattedData!K67^2*$J$6+$M$5*$J$7</f>
        <v>-0.975385154281182</v>
      </c>
      <c r="S68" s="39">
        <f>$J$3+[53]FormattedData!L67*$J$4+$M$4*$J$5+[53]FormattedData!L67^2*$J$6+$M$5*$J$7</f>
        <v>-0.975385154281182</v>
      </c>
      <c r="T68" s="39">
        <f>$J$3+[53]FormattedData!M67*$J$4+$M$4*$J$5+[53]FormattedData!M67^2*$J$6+$M$5*$J$7</f>
        <v>-0.975385154281182</v>
      </c>
      <c r="U68" s="39">
        <f>$J$3+[53]FormattedData!N67*$J$4+$M$4*$J$5+[53]FormattedData!N67^2*$J$6+$M$5*$J$7</f>
        <v>-0.975385154281182</v>
      </c>
      <c r="V68" s="39">
        <f>$J$3+[53]FormattedData!O67*$J$4+$M$4*$J$5+[53]FormattedData!O67^2*$J$6+$M$5*$J$7</f>
        <v>-0.975385154281182</v>
      </c>
      <c r="W68" s="38">
        <f>AVERAGE(K68:V68)</f>
        <v>-0.97538515428118211</v>
      </c>
      <c r="X68" s="37">
        <f>STDEV(K68:V68)/SQRT(COUNT(K68:V68))</f>
        <v>3.3474483693592253E-17</v>
      </c>
      <c r="Y68" s="36">
        <f>MIN(K68:V68)</f>
        <v>-0.975385154281182</v>
      </c>
      <c r="Z68" s="35">
        <f>QUARTILE(K68:V68,1)</f>
        <v>-0.975385154281182</v>
      </c>
      <c r="AA68" s="36">
        <f>MEDIAN(K68:V68)</f>
        <v>-0.975385154281182</v>
      </c>
      <c r="AB68" s="35">
        <f>QUARTILE(K68:V68,3)</f>
        <v>-0.975385154281182</v>
      </c>
      <c r="AC68" s="35">
        <f>MAX(K68:V68)</f>
        <v>-0.975385154281182</v>
      </c>
      <c r="AD68" s="35">
        <f>SKEW(K68:V68)</f>
        <v>1.1489125293076057</v>
      </c>
      <c r="AE68" s="35">
        <f>KURT(K68:V68)</f>
        <v>-2.4444444444444446</v>
      </c>
    </row>
    <row r="69" spans="2:31" x14ac:dyDescent="0.2">
      <c r="B69" s="34">
        <f>[53]FormattedData!A69</f>
        <v>0</v>
      </c>
      <c r="C69" s="34" t="e">
        <f>VLOOKUP($B69,[53]TrtCodes!$B$11:I112,2)</f>
        <v>#N/A</v>
      </c>
      <c r="D69" s="34" t="e">
        <f>VLOOKUP($B69,[53]TrtCodes!$B$11:J112,3)</f>
        <v>#N/A</v>
      </c>
      <c r="E69" s="34" t="e">
        <f>VLOOKUP($B69,[53]TrtCodes!$B$11:K112,4)</f>
        <v>#N/A</v>
      </c>
      <c r="F69" s="34" t="e">
        <f>VLOOKUP($B69,[53]TrtCodes!$B$11:L112,5)</f>
        <v>#N/A</v>
      </c>
      <c r="G69" s="34" t="e">
        <f>VLOOKUP($B69,[53]TrtCodes!$B$11:M112,6)</f>
        <v>#N/A</v>
      </c>
      <c r="H69" s="34" t="e">
        <f>VLOOKUP($B69,[53]TrtCodes!$B$11:N112,7)</f>
        <v>#N/A</v>
      </c>
      <c r="I69" s="34">
        <f>[53]FormattedData!B69</f>
        <v>0</v>
      </c>
      <c r="J69" s="37">
        <f>[53]FormattedData!C69</f>
        <v>0</v>
      </c>
      <c r="K69" s="39">
        <f>$J$3+[53]FormattedData!D69*$J$4+$M$4*$J$5+[53]FormattedData!D69^2*$J$6+$M$5*$J$7</f>
        <v>-0.975385154281182</v>
      </c>
      <c r="L69" s="39">
        <f>$J$3+[53]FormattedData!E69*$J$4+$M$4*$J$5+[53]FormattedData!E69^2*$J$6+$M$5*$J$7</f>
        <v>-0.975385154281182</v>
      </c>
      <c r="M69" s="39">
        <f>$J$3+[53]FormattedData!F69*$J$4+$M$4*$J$5+[53]FormattedData!F69^2*$J$6+$M$5*$J$7</f>
        <v>-0.975385154281182</v>
      </c>
      <c r="N69" s="39">
        <f>$J$3+[53]FormattedData!G69*$J$4+$M$4*$J$5+[53]FormattedData!G69^2*$J$6+$M$5*$J$7</f>
        <v>-0.975385154281182</v>
      </c>
      <c r="O69" s="39">
        <f>$J$3+[53]FormattedData!H69*$J$4+$M$4*$J$5+[53]FormattedData!H69^2*$J$6+$M$5*$J$7</f>
        <v>-0.975385154281182</v>
      </c>
      <c r="P69" s="39">
        <f>$J$3+[53]FormattedData!I69*$J$4+$M$4*$J$5+[53]FormattedData!I69^2*$J$6+$M$5*$J$7</f>
        <v>-0.975385154281182</v>
      </c>
      <c r="Q69" s="39">
        <f>$J$3+[53]FormattedData!J69*$J$4+$M$4*$J$5+[53]FormattedData!J69^2*$J$6+$M$5*$J$7</f>
        <v>-0.975385154281182</v>
      </c>
      <c r="R69" s="39">
        <f>$J$3+[53]FormattedData!K69*$J$4+$M$4*$J$5+[53]FormattedData!K69^2*$J$6+$M$5*$J$7</f>
        <v>-0.975385154281182</v>
      </c>
      <c r="S69" s="39">
        <f>$J$3+[53]FormattedData!L69*$J$4+$M$4*$J$5+[53]FormattedData!L69^2*$J$6+$M$5*$J$7</f>
        <v>-0.975385154281182</v>
      </c>
      <c r="T69" s="39">
        <f>$J$3+[53]FormattedData!M69*$J$4+$M$4*$J$5+[53]FormattedData!M69^2*$J$6+$M$5*$J$7</f>
        <v>-0.975385154281182</v>
      </c>
      <c r="U69" s="39">
        <f>$J$3+[53]FormattedData!N69*$J$4+$M$4*$J$5+[53]FormattedData!N69^2*$J$6+$M$5*$J$7</f>
        <v>-0.975385154281182</v>
      </c>
      <c r="V69" s="39">
        <f>$J$3+[53]FormattedData!O69*$J$4+$M$4*$J$5+[53]FormattedData!O69^2*$J$6+$M$5*$J$7</f>
        <v>-0.975385154281182</v>
      </c>
      <c r="W69" s="38">
        <f>AVERAGE(K69:V69)</f>
        <v>-0.97538515428118211</v>
      </c>
      <c r="X69" s="37">
        <f>STDEV(K69:V69)/SQRT(COUNT(K69:V69))</f>
        <v>3.3474483693592253E-17</v>
      </c>
      <c r="Y69" s="36">
        <f>MIN(K69:V69)</f>
        <v>-0.975385154281182</v>
      </c>
      <c r="Z69" s="35">
        <f>QUARTILE(K69:V69,1)</f>
        <v>-0.975385154281182</v>
      </c>
      <c r="AA69" s="36">
        <f>MEDIAN(K69:V69)</f>
        <v>-0.975385154281182</v>
      </c>
      <c r="AB69" s="35">
        <f>QUARTILE(K69:V69,3)</f>
        <v>-0.975385154281182</v>
      </c>
      <c r="AC69" s="35">
        <f>MAX(K69:V69)</f>
        <v>-0.975385154281182</v>
      </c>
      <c r="AD69" s="35">
        <f>SKEW(K69:V69)</f>
        <v>1.1489125293076057</v>
      </c>
      <c r="AE69" s="35">
        <f>KURT(K69:V69)</f>
        <v>-2.4444444444444446</v>
      </c>
    </row>
    <row r="70" spans="2:31" x14ac:dyDescent="0.2">
      <c r="B70" s="34">
        <f>[53]FormattedData!A71</f>
        <v>0</v>
      </c>
      <c r="C70" s="34" t="e">
        <f>VLOOKUP($B70,[53]TrtCodes!$B$11:I114,2)</f>
        <v>#N/A</v>
      </c>
      <c r="D70" s="34" t="e">
        <f>VLOOKUP($B70,[53]TrtCodes!$B$11:J114,3)</f>
        <v>#N/A</v>
      </c>
      <c r="E70" s="34" t="e">
        <f>VLOOKUP($B70,[53]TrtCodes!$B$11:K114,4)</f>
        <v>#N/A</v>
      </c>
      <c r="F70" s="34" t="e">
        <f>VLOOKUP($B70,[53]TrtCodes!$B$11:L114,5)</f>
        <v>#N/A</v>
      </c>
      <c r="G70" s="34" t="e">
        <f>VLOOKUP($B70,[53]TrtCodes!$B$11:M114,6)</f>
        <v>#N/A</v>
      </c>
      <c r="H70" s="34" t="e">
        <f>VLOOKUP($B70,[53]TrtCodes!$B$11:N114,7)</f>
        <v>#N/A</v>
      </c>
      <c r="I70" s="34">
        <f>[53]FormattedData!B71</f>
        <v>0</v>
      </c>
      <c r="J70" s="37">
        <f>[53]FormattedData!C71</f>
        <v>0</v>
      </c>
      <c r="K70" s="39">
        <f>$J$3+[53]FormattedData!D71*$J$4+$M$4*$J$5+[53]FormattedData!D71^2*$J$6+$M$5*$J$7</f>
        <v>-0.975385154281182</v>
      </c>
      <c r="L70" s="39">
        <f>$J$3+[53]FormattedData!E71*$J$4+$M$4*$J$5+[53]FormattedData!E71^2*$J$6+$M$5*$J$7</f>
        <v>-0.975385154281182</v>
      </c>
      <c r="M70" s="39">
        <f>$J$3+[53]FormattedData!F71*$J$4+$M$4*$J$5+[53]FormattedData!F71^2*$J$6+$M$5*$J$7</f>
        <v>-0.975385154281182</v>
      </c>
      <c r="N70" s="39">
        <f>$J$3+[53]FormattedData!G71*$J$4+$M$4*$J$5+[53]FormattedData!G71^2*$J$6+$M$5*$J$7</f>
        <v>-0.975385154281182</v>
      </c>
      <c r="O70" s="39">
        <f>$J$3+[53]FormattedData!H71*$J$4+$M$4*$J$5+[53]FormattedData!H71^2*$J$6+$M$5*$J$7</f>
        <v>-0.975385154281182</v>
      </c>
      <c r="P70" s="39">
        <f>$J$3+[53]FormattedData!I71*$J$4+$M$4*$J$5+[53]FormattedData!I71^2*$J$6+$M$5*$J$7</f>
        <v>-0.975385154281182</v>
      </c>
      <c r="Q70" s="39">
        <f>$J$3+[53]FormattedData!J71*$J$4+$M$4*$J$5+[53]FormattedData!J71^2*$J$6+$M$5*$J$7</f>
        <v>-0.975385154281182</v>
      </c>
      <c r="R70" s="39">
        <f>$J$3+[53]FormattedData!K71*$J$4+$M$4*$J$5+[53]FormattedData!K71^2*$J$6+$M$5*$J$7</f>
        <v>-0.975385154281182</v>
      </c>
      <c r="S70" s="39">
        <f>$J$3+[53]FormattedData!L71*$J$4+$M$4*$J$5+[53]FormattedData!L71^2*$J$6+$M$5*$J$7</f>
        <v>-0.975385154281182</v>
      </c>
      <c r="T70" s="39">
        <f>$J$3+[53]FormattedData!M71*$J$4+$M$4*$J$5+[53]FormattedData!M71^2*$J$6+$M$5*$J$7</f>
        <v>-0.975385154281182</v>
      </c>
      <c r="U70" s="39">
        <f>$J$3+[53]FormattedData!N71*$J$4+$M$4*$J$5+[53]FormattedData!N71^2*$J$6+$M$5*$J$7</f>
        <v>-0.975385154281182</v>
      </c>
      <c r="V70" s="39">
        <f>$J$3+[53]FormattedData!O71*$J$4+$M$4*$J$5+[53]FormattedData!O71^2*$J$6+$M$5*$J$7</f>
        <v>-0.975385154281182</v>
      </c>
      <c r="W70" s="38">
        <f>AVERAGE(K70:V70)</f>
        <v>-0.97538515428118211</v>
      </c>
      <c r="X70" s="37">
        <f>STDEV(K70:V70)/SQRT(COUNT(K70:V70))</f>
        <v>3.3474483693592253E-17</v>
      </c>
      <c r="Y70" s="36">
        <f>MIN(K70:V70)</f>
        <v>-0.975385154281182</v>
      </c>
      <c r="Z70" s="35">
        <f>QUARTILE(K70:V70,1)</f>
        <v>-0.975385154281182</v>
      </c>
      <c r="AA70" s="36">
        <f>MEDIAN(K70:V70)</f>
        <v>-0.975385154281182</v>
      </c>
      <c r="AB70" s="35">
        <f>QUARTILE(K70:V70,3)</f>
        <v>-0.975385154281182</v>
      </c>
      <c r="AC70" s="35">
        <f>MAX(K70:V70)</f>
        <v>-0.975385154281182</v>
      </c>
      <c r="AD70" s="35">
        <f>SKEW(K70:V70)</f>
        <v>1.1489125293076057</v>
      </c>
      <c r="AE70" s="35">
        <f>KURT(K70:V70)</f>
        <v>-2.4444444444444446</v>
      </c>
    </row>
    <row r="71" spans="2:31" x14ac:dyDescent="0.2">
      <c r="B71" s="34">
        <f>[53]FormattedData!A73</f>
        <v>0</v>
      </c>
      <c r="C71" s="34" t="e">
        <f>VLOOKUP($B71,[53]TrtCodes!$B$11:I116,2)</f>
        <v>#N/A</v>
      </c>
      <c r="D71" s="34" t="e">
        <f>VLOOKUP($B71,[53]TrtCodes!$B$11:J116,3)</f>
        <v>#N/A</v>
      </c>
      <c r="E71" s="34" t="e">
        <f>VLOOKUP($B71,[53]TrtCodes!$B$11:K116,4)</f>
        <v>#N/A</v>
      </c>
      <c r="F71" s="34" t="e">
        <f>VLOOKUP($B71,[53]TrtCodes!$B$11:L116,5)</f>
        <v>#N/A</v>
      </c>
      <c r="G71" s="34" t="e">
        <f>VLOOKUP($B71,[53]TrtCodes!$B$11:M116,6)</f>
        <v>#N/A</v>
      </c>
      <c r="H71" s="34" t="e">
        <f>VLOOKUP($B71,[53]TrtCodes!$B$11:N116,7)</f>
        <v>#N/A</v>
      </c>
      <c r="I71" s="34">
        <f>[53]FormattedData!B73</f>
        <v>0</v>
      </c>
      <c r="J71" s="37">
        <f>[53]FormattedData!C73</f>
        <v>0</v>
      </c>
      <c r="K71" s="39">
        <f>$J$3+[53]FormattedData!D73*$J$4+$M$4*$J$5+[53]FormattedData!D73^2*$J$6+$M$5*$J$7</f>
        <v>-0.975385154281182</v>
      </c>
      <c r="L71" s="39">
        <f>$J$3+[53]FormattedData!E73*$J$4+$M$4*$J$5+[53]FormattedData!E73^2*$J$6+$M$5*$J$7</f>
        <v>-0.975385154281182</v>
      </c>
      <c r="M71" s="39">
        <f>$J$3+[53]FormattedData!F73*$J$4+$M$4*$J$5+[53]FormattedData!F73^2*$J$6+$M$5*$J$7</f>
        <v>-0.975385154281182</v>
      </c>
      <c r="N71" s="39">
        <f>$J$3+[53]FormattedData!G73*$J$4+$M$4*$J$5+[53]FormattedData!G73^2*$J$6+$M$5*$J$7</f>
        <v>-0.975385154281182</v>
      </c>
      <c r="O71" s="39">
        <f>$J$3+[53]FormattedData!H73*$J$4+$M$4*$J$5+[53]FormattedData!H73^2*$J$6+$M$5*$J$7</f>
        <v>-0.975385154281182</v>
      </c>
      <c r="P71" s="39">
        <f>$J$3+[53]FormattedData!I73*$J$4+$M$4*$J$5+[53]FormattedData!I73^2*$J$6+$M$5*$J$7</f>
        <v>-0.975385154281182</v>
      </c>
      <c r="Q71" s="39">
        <f>$J$3+[53]FormattedData!J73*$J$4+$M$4*$J$5+[53]FormattedData!J73^2*$J$6+$M$5*$J$7</f>
        <v>-0.975385154281182</v>
      </c>
      <c r="R71" s="39">
        <f>$J$3+[53]FormattedData!K73*$J$4+$M$4*$J$5+[53]FormattedData!K73^2*$J$6+$M$5*$J$7</f>
        <v>-0.975385154281182</v>
      </c>
      <c r="S71" s="39">
        <f>$J$3+[53]FormattedData!L73*$J$4+$M$4*$J$5+[53]FormattedData!L73^2*$J$6+$M$5*$J$7</f>
        <v>-0.975385154281182</v>
      </c>
      <c r="T71" s="39">
        <f>$J$3+[53]FormattedData!M73*$J$4+$M$4*$J$5+[53]FormattedData!M73^2*$J$6+$M$5*$J$7</f>
        <v>-0.975385154281182</v>
      </c>
      <c r="U71" s="39">
        <f>$J$3+[53]FormattedData!N73*$J$4+$M$4*$J$5+[53]FormattedData!N73^2*$J$6+$M$5*$J$7</f>
        <v>-0.975385154281182</v>
      </c>
      <c r="V71" s="39">
        <f>$J$3+[53]FormattedData!O73*$J$4+$M$4*$J$5+[53]FormattedData!O73^2*$J$6+$M$5*$J$7</f>
        <v>-0.975385154281182</v>
      </c>
      <c r="W71" s="38">
        <f>AVERAGE(K71:V71)</f>
        <v>-0.97538515428118211</v>
      </c>
      <c r="X71" s="37">
        <f>STDEV(K71:V71)/SQRT(COUNT(K71:V71))</f>
        <v>3.3474483693592253E-17</v>
      </c>
      <c r="Y71" s="36">
        <f>MIN(K71:V71)</f>
        <v>-0.975385154281182</v>
      </c>
      <c r="Z71" s="35">
        <f>QUARTILE(K71:V71,1)</f>
        <v>-0.975385154281182</v>
      </c>
      <c r="AA71" s="36">
        <f>MEDIAN(K71:V71)</f>
        <v>-0.975385154281182</v>
      </c>
      <c r="AB71" s="35">
        <f>QUARTILE(K71:V71,3)</f>
        <v>-0.975385154281182</v>
      </c>
      <c r="AC71" s="35">
        <f>MAX(K71:V71)</f>
        <v>-0.975385154281182</v>
      </c>
      <c r="AD71" s="35">
        <f>SKEW(K71:V71)</f>
        <v>1.1489125293076057</v>
      </c>
      <c r="AE71" s="35">
        <f>KURT(K71:V71)</f>
        <v>-2.4444444444444446</v>
      </c>
    </row>
    <row r="72" spans="2:31" x14ac:dyDescent="0.2">
      <c r="B72" s="34">
        <f>[53]FormattedData!A75</f>
        <v>0</v>
      </c>
      <c r="C72" s="34" t="e">
        <f>VLOOKUP($B72,[53]TrtCodes!$B$11:I118,2)</f>
        <v>#N/A</v>
      </c>
      <c r="D72" s="34" t="e">
        <f>VLOOKUP($B72,[53]TrtCodes!$B$11:J118,3)</f>
        <v>#N/A</v>
      </c>
      <c r="E72" s="34" t="e">
        <f>VLOOKUP($B72,[53]TrtCodes!$B$11:K118,4)</f>
        <v>#N/A</v>
      </c>
      <c r="F72" s="34" t="e">
        <f>VLOOKUP($B72,[53]TrtCodes!$B$11:L118,5)</f>
        <v>#N/A</v>
      </c>
      <c r="G72" s="34" t="e">
        <f>VLOOKUP($B72,[53]TrtCodes!$B$11:M118,6)</f>
        <v>#N/A</v>
      </c>
      <c r="H72" s="34" t="e">
        <f>VLOOKUP($B72,[53]TrtCodes!$B$11:N118,7)</f>
        <v>#N/A</v>
      </c>
      <c r="I72" s="34">
        <f>[53]FormattedData!B75</f>
        <v>0</v>
      </c>
      <c r="J72" s="37">
        <f>[53]FormattedData!C75</f>
        <v>0</v>
      </c>
      <c r="K72" s="39">
        <f>$J$3+[53]FormattedData!D75*$J$4+$M$4*$J$5+[53]FormattedData!D75^2*$J$6+$M$5*$J$7</f>
        <v>-0.975385154281182</v>
      </c>
      <c r="L72" s="39">
        <f>$J$3+[53]FormattedData!E75*$J$4+$M$4*$J$5+[53]FormattedData!E75^2*$J$6+$M$5*$J$7</f>
        <v>-0.975385154281182</v>
      </c>
      <c r="M72" s="39">
        <f>$J$3+[53]FormattedData!F75*$J$4+$M$4*$J$5+[53]FormattedData!F75^2*$J$6+$M$5*$J$7</f>
        <v>-0.975385154281182</v>
      </c>
      <c r="N72" s="39">
        <f>$J$3+[53]FormattedData!G75*$J$4+$M$4*$J$5+[53]FormattedData!G75^2*$J$6+$M$5*$J$7</f>
        <v>-0.975385154281182</v>
      </c>
      <c r="O72" s="39">
        <f>$J$3+[53]FormattedData!H75*$J$4+$M$4*$J$5+[53]FormattedData!H75^2*$J$6+$M$5*$J$7</f>
        <v>-0.975385154281182</v>
      </c>
      <c r="P72" s="39">
        <f>$J$3+[53]FormattedData!I75*$J$4+$M$4*$J$5+[53]FormattedData!I75^2*$J$6+$M$5*$J$7</f>
        <v>-0.975385154281182</v>
      </c>
      <c r="Q72" s="39">
        <f>$J$3+[53]FormattedData!J75*$J$4+$M$4*$J$5+[53]FormattedData!J75^2*$J$6+$M$5*$J$7</f>
        <v>-0.975385154281182</v>
      </c>
      <c r="R72" s="39">
        <f>$J$3+[53]FormattedData!K75*$J$4+$M$4*$J$5+[53]FormattedData!K75^2*$J$6+$M$5*$J$7</f>
        <v>-0.975385154281182</v>
      </c>
      <c r="S72" s="39">
        <f>$J$3+[53]FormattedData!L75*$J$4+$M$4*$J$5+[53]FormattedData!L75^2*$J$6+$M$5*$J$7</f>
        <v>-0.975385154281182</v>
      </c>
      <c r="T72" s="39">
        <f>$J$3+[53]FormattedData!M75*$J$4+$M$4*$J$5+[53]FormattedData!M75^2*$J$6+$M$5*$J$7</f>
        <v>-0.975385154281182</v>
      </c>
      <c r="U72" s="39">
        <f>$J$3+[53]FormattedData!N75*$J$4+$M$4*$J$5+[53]FormattedData!N75^2*$J$6+$M$5*$J$7</f>
        <v>-0.975385154281182</v>
      </c>
      <c r="V72" s="39">
        <f>$J$3+[53]FormattedData!O75*$J$4+$M$4*$J$5+[53]FormattedData!O75^2*$J$6+$M$5*$J$7</f>
        <v>-0.975385154281182</v>
      </c>
      <c r="W72" s="38">
        <f>AVERAGE(K72:V72)</f>
        <v>-0.97538515428118211</v>
      </c>
      <c r="X72" s="37">
        <f>STDEV(K72:V72)/SQRT(COUNT(K72:V72))</f>
        <v>3.3474483693592253E-17</v>
      </c>
      <c r="Y72" s="36">
        <f>MIN(K72:V72)</f>
        <v>-0.975385154281182</v>
      </c>
      <c r="Z72" s="35">
        <f>QUARTILE(K72:V72,1)</f>
        <v>-0.975385154281182</v>
      </c>
      <c r="AA72" s="36">
        <f>MEDIAN(K72:V72)</f>
        <v>-0.975385154281182</v>
      </c>
      <c r="AB72" s="35">
        <f>QUARTILE(K72:V72,3)</f>
        <v>-0.975385154281182</v>
      </c>
      <c r="AC72" s="35">
        <f>MAX(K72:V72)</f>
        <v>-0.975385154281182</v>
      </c>
      <c r="AD72" s="35">
        <f>SKEW(K72:V72)</f>
        <v>1.1489125293076057</v>
      </c>
      <c r="AE72" s="35">
        <f>KURT(K72:V72)</f>
        <v>-2.4444444444444446</v>
      </c>
    </row>
    <row r="73" spans="2:31" x14ac:dyDescent="0.2">
      <c r="B73" s="34">
        <f>[53]FormattedData!A77</f>
        <v>0</v>
      </c>
      <c r="C73" s="34" t="e">
        <f>VLOOKUP($B73,[53]TrtCodes!$B$11:I120,2)</f>
        <v>#N/A</v>
      </c>
      <c r="D73" s="34" t="e">
        <f>VLOOKUP($B73,[53]TrtCodes!$B$11:J120,3)</f>
        <v>#N/A</v>
      </c>
      <c r="E73" s="34" t="e">
        <f>VLOOKUP($B73,[53]TrtCodes!$B$11:K120,4)</f>
        <v>#N/A</v>
      </c>
      <c r="F73" s="34" t="e">
        <f>VLOOKUP($B73,[53]TrtCodes!$B$11:L120,5)</f>
        <v>#N/A</v>
      </c>
      <c r="G73" s="34" t="e">
        <f>VLOOKUP($B73,[53]TrtCodes!$B$11:M120,6)</f>
        <v>#N/A</v>
      </c>
      <c r="H73" s="34" t="e">
        <f>VLOOKUP($B73,[53]TrtCodes!$B$11:N120,7)</f>
        <v>#N/A</v>
      </c>
      <c r="I73" s="34">
        <f>[53]FormattedData!B77</f>
        <v>0</v>
      </c>
      <c r="J73" s="37">
        <f>[53]FormattedData!C77</f>
        <v>0</v>
      </c>
      <c r="K73" s="39">
        <f>$J$3+[53]FormattedData!D77*$J$4+$M$4*$J$5+[53]FormattedData!D77^2*$J$6+$M$5*$J$7</f>
        <v>-0.975385154281182</v>
      </c>
      <c r="L73" s="39">
        <f>$J$3+[53]FormattedData!E77*$J$4+$M$4*$J$5+[53]FormattedData!E77^2*$J$6+$M$5*$J$7</f>
        <v>-0.975385154281182</v>
      </c>
      <c r="M73" s="39">
        <f>$J$3+[53]FormattedData!F77*$J$4+$M$4*$J$5+[53]FormattedData!F77^2*$J$6+$M$5*$J$7</f>
        <v>-0.975385154281182</v>
      </c>
      <c r="N73" s="39">
        <f>$J$3+[53]FormattedData!G77*$J$4+$M$4*$J$5+[53]FormattedData!G77^2*$J$6+$M$5*$J$7</f>
        <v>-0.975385154281182</v>
      </c>
      <c r="O73" s="39">
        <f>$J$3+[53]FormattedData!H77*$J$4+$M$4*$J$5+[53]FormattedData!H77^2*$J$6+$M$5*$J$7</f>
        <v>-0.975385154281182</v>
      </c>
      <c r="P73" s="39">
        <f>$J$3+[53]FormattedData!I77*$J$4+$M$4*$J$5+[53]FormattedData!I77^2*$J$6+$M$5*$J$7</f>
        <v>-0.975385154281182</v>
      </c>
      <c r="Q73" s="39">
        <f>$J$3+[53]FormattedData!J77*$J$4+$M$4*$J$5+[53]FormattedData!J77^2*$J$6+$M$5*$J$7</f>
        <v>-0.975385154281182</v>
      </c>
      <c r="R73" s="39">
        <f>$J$3+[53]FormattedData!K77*$J$4+$M$4*$J$5+[53]FormattedData!K77^2*$J$6+$M$5*$J$7</f>
        <v>-0.975385154281182</v>
      </c>
      <c r="S73" s="39">
        <f>$J$3+[53]FormattedData!L77*$J$4+$M$4*$J$5+[53]FormattedData!L77^2*$J$6+$M$5*$J$7</f>
        <v>-0.975385154281182</v>
      </c>
      <c r="T73" s="39">
        <f>$J$3+[53]FormattedData!M77*$J$4+$M$4*$J$5+[53]FormattedData!M77^2*$J$6+$M$5*$J$7</f>
        <v>-0.975385154281182</v>
      </c>
      <c r="U73" s="39">
        <f>$J$3+[53]FormattedData!N77*$J$4+$M$4*$J$5+[53]FormattedData!N77^2*$J$6+$M$5*$J$7</f>
        <v>-0.975385154281182</v>
      </c>
      <c r="V73" s="39">
        <f>$J$3+[53]FormattedData!O77*$J$4+$M$4*$J$5+[53]FormattedData!O77^2*$J$6+$M$5*$J$7</f>
        <v>-0.975385154281182</v>
      </c>
      <c r="W73" s="38">
        <f>AVERAGE(K73:V73)</f>
        <v>-0.97538515428118211</v>
      </c>
      <c r="X73" s="37">
        <f>STDEV(K73:V73)/SQRT(COUNT(K73:V73))</f>
        <v>3.3474483693592253E-17</v>
      </c>
      <c r="Y73" s="36">
        <f>MIN(K73:V73)</f>
        <v>-0.975385154281182</v>
      </c>
      <c r="Z73" s="35">
        <f>QUARTILE(K73:V73,1)</f>
        <v>-0.975385154281182</v>
      </c>
      <c r="AA73" s="36">
        <f>MEDIAN(K73:V73)</f>
        <v>-0.975385154281182</v>
      </c>
      <c r="AB73" s="35">
        <f>QUARTILE(K73:V73,3)</f>
        <v>-0.975385154281182</v>
      </c>
      <c r="AC73" s="35">
        <f>MAX(K73:V73)</f>
        <v>-0.975385154281182</v>
      </c>
      <c r="AD73" s="35">
        <f>SKEW(K73:V73)</f>
        <v>1.1489125293076057</v>
      </c>
      <c r="AE73" s="35">
        <f>KURT(K73:V73)</f>
        <v>-2.4444444444444446</v>
      </c>
    </row>
    <row r="74" spans="2:31" x14ac:dyDescent="0.2">
      <c r="B74" s="34">
        <f>[53]FormattedData!A93</f>
        <v>0</v>
      </c>
      <c r="C74" s="34" t="e">
        <f>VLOOKUP($B74,[53]TrtCodes!$B$11:I130,2)</f>
        <v>#N/A</v>
      </c>
      <c r="D74" s="34" t="e">
        <f>VLOOKUP($B74,[53]TrtCodes!$B$11:J130,3)</f>
        <v>#N/A</v>
      </c>
      <c r="E74" s="34" t="e">
        <f>VLOOKUP($B74,[53]TrtCodes!$B$11:K130,4)</f>
        <v>#N/A</v>
      </c>
      <c r="F74" s="34" t="e">
        <f>VLOOKUP($B74,[53]TrtCodes!$B$11:L130,5)</f>
        <v>#N/A</v>
      </c>
      <c r="G74" s="34" t="e">
        <f>VLOOKUP($B74,[53]TrtCodes!$B$11:M130,6)</f>
        <v>#N/A</v>
      </c>
      <c r="H74" s="34" t="e">
        <f>VLOOKUP($B74,[53]TrtCodes!$B$11:N130,7)</f>
        <v>#N/A</v>
      </c>
      <c r="I74" s="34">
        <f>[53]FormattedData!B93</f>
        <v>0</v>
      </c>
      <c r="J74" s="37">
        <f>[53]FormattedData!C93</f>
        <v>0</v>
      </c>
      <c r="K74" s="39">
        <f>$J$3+[53]FormattedData!D93*$J$4+$M$4*$J$5+[53]FormattedData!D93^2*$J$6+$M$5*$J$7</f>
        <v>-0.975385154281182</v>
      </c>
      <c r="L74" s="39">
        <f>$J$3+[53]FormattedData!E93*$J$4+$M$4*$J$5+[53]FormattedData!E93^2*$J$6+$M$5*$J$7</f>
        <v>-0.975385154281182</v>
      </c>
      <c r="M74" s="39">
        <f>$J$3+[53]FormattedData!F93*$J$4+$M$4*$J$5+[53]FormattedData!F93^2*$J$6+$M$5*$J$7</f>
        <v>-0.975385154281182</v>
      </c>
      <c r="N74" s="39">
        <f>$J$3+[53]FormattedData!G93*$J$4+$M$4*$J$5+[53]FormattedData!G93^2*$J$6+$M$5*$J$7</f>
        <v>-0.975385154281182</v>
      </c>
      <c r="O74" s="39">
        <f>$J$3+[53]FormattedData!H93*$J$4+$M$4*$J$5+[53]FormattedData!H93^2*$J$6+$M$5*$J$7</f>
        <v>-0.975385154281182</v>
      </c>
      <c r="P74" s="39">
        <f>$J$3+[53]FormattedData!I93*$J$4+$M$4*$J$5+[53]FormattedData!I93^2*$J$6+$M$5*$J$7</f>
        <v>-0.975385154281182</v>
      </c>
      <c r="Q74" s="39">
        <f>$J$3+[53]FormattedData!J93*$J$4+$M$4*$J$5+[53]FormattedData!J93^2*$J$6+$M$5*$J$7</f>
        <v>-0.975385154281182</v>
      </c>
      <c r="R74" s="39">
        <f>$J$3+[53]FormattedData!K93*$J$4+$M$4*$J$5+[53]FormattedData!K93^2*$J$6+$M$5*$J$7</f>
        <v>-0.975385154281182</v>
      </c>
      <c r="S74" s="39">
        <f>$J$3+[53]FormattedData!L93*$J$4+$M$4*$J$5+[53]FormattedData!L93^2*$J$6+$M$5*$J$7</f>
        <v>-0.975385154281182</v>
      </c>
      <c r="T74" s="39">
        <f>$J$3+[53]FormattedData!M93*$J$4+$M$4*$J$5+[53]FormattedData!M93^2*$J$6+$M$5*$J$7</f>
        <v>-0.975385154281182</v>
      </c>
      <c r="U74" s="39">
        <f>$J$3+[53]FormattedData!N93*$J$4+$M$4*$J$5+[53]FormattedData!N93^2*$J$6+$M$5*$J$7</f>
        <v>-0.975385154281182</v>
      </c>
      <c r="V74" s="39">
        <f>$J$3+[53]FormattedData!O93*$J$4+$M$4*$J$5+[53]FormattedData!O93^2*$J$6+$M$5*$J$7</f>
        <v>-0.975385154281182</v>
      </c>
      <c r="W74" s="38">
        <f>AVERAGE(K74:V74)</f>
        <v>-0.97538515428118211</v>
      </c>
      <c r="X74" s="37">
        <f>STDEV(K74:V74)/SQRT(COUNT(K74:V74))</f>
        <v>3.3474483693592253E-17</v>
      </c>
      <c r="Y74" s="36">
        <f>MIN(K74:V74)</f>
        <v>-0.975385154281182</v>
      </c>
      <c r="Z74" s="35">
        <f>QUARTILE(K74:V74,1)</f>
        <v>-0.975385154281182</v>
      </c>
      <c r="AA74" s="36">
        <f>MEDIAN(K74:V74)</f>
        <v>-0.975385154281182</v>
      </c>
      <c r="AB74" s="35">
        <f>QUARTILE(K74:V74,3)</f>
        <v>-0.975385154281182</v>
      </c>
      <c r="AC74" s="35">
        <f>MAX(K74:V74)</f>
        <v>-0.975385154281182</v>
      </c>
      <c r="AD74" s="35">
        <f>SKEW(K74:V74)</f>
        <v>1.1489125293076057</v>
      </c>
      <c r="AE74" s="35">
        <f>KURT(K74:V74)</f>
        <v>-2.4444444444444446</v>
      </c>
    </row>
    <row r="75" spans="2:31" x14ac:dyDescent="0.2">
      <c r="B75" s="34">
        <f>[53]FormattedData!A91</f>
        <v>0</v>
      </c>
      <c r="C75" s="34" t="e">
        <f>VLOOKUP($B75,[53]TrtCodes!$B$11:I131,2)</f>
        <v>#N/A</v>
      </c>
      <c r="D75" s="34" t="e">
        <f>VLOOKUP($B75,[53]TrtCodes!$B$11:J131,3)</f>
        <v>#N/A</v>
      </c>
      <c r="E75" s="34" t="e">
        <f>VLOOKUP($B75,[53]TrtCodes!$B$11:K131,4)</f>
        <v>#N/A</v>
      </c>
      <c r="F75" s="34" t="e">
        <f>VLOOKUP($B75,[53]TrtCodes!$B$11:L131,5)</f>
        <v>#N/A</v>
      </c>
      <c r="G75" s="34" t="e">
        <f>VLOOKUP($B75,[53]TrtCodes!$B$11:M131,6)</f>
        <v>#N/A</v>
      </c>
      <c r="H75" s="34" t="e">
        <f>VLOOKUP($B75,[53]TrtCodes!$B$11:N131,7)</f>
        <v>#N/A</v>
      </c>
      <c r="I75" s="34">
        <f>[53]FormattedData!B91</f>
        <v>0</v>
      </c>
      <c r="J75" s="37">
        <f>[53]FormattedData!C91</f>
        <v>0</v>
      </c>
      <c r="K75" s="39">
        <f>$J$3+[53]FormattedData!D91*$J$4+$M$4*$J$5+[53]FormattedData!D91^2*$J$6+$M$5*$J$7</f>
        <v>-0.975385154281182</v>
      </c>
      <c r="L75" s="39">
        <f>$J$3+[53]FormattedData!E91*$J$4+$M$4*$J$5+[53]FormattedData!E91^2*$J$6+$M$5*$J$7</f>
        <v>-0.975385154281182</v>
      </c>
      <c r="M75" s="39">
        <f>$J$3+[53]FormattedData!F91*$J$4+$M$4*$J$5+[53]FormattedData!F91^2*$J$6+$M$5*$J$7</f>
        <v>-0.975385154281182</v>
      </c>
      <c r="N75" s="39">
        <f>$J$3+[53]FormattedData!G91*$J$4+$M$4*$J$5+[53]FormattedData!G91^2*$J$6+$M$5*$J$7</f>
        <v>-0.975385154281182</v>
      </c>
      <c r="O75" s="39">
        <f>$J$3+[53]FormattedData!H91*$J$4+$M$4*$J$5+[53]FormattedData!H91^2*$J$6+$M$5*$J$7</f>
        <v>-0.975385154281182</v>
      </c>
      <c r="P75" s="39">
        <f>$J$3+[53]FormattedData!I91*$J$4+$M$4*$J$5+[53]FormattedData!I91^2*$J$6+$M$5*$J$7</f>
        <v>-0.975385154281182</v>
      </c>
      <c r="Q75" s="39">
        <f>$J$3+[53]FormattedData!J91*$J$4+$M$4*$J$5+[53]FormattedData!J91^2*$J$6+$M$5*$J$7</f>
        <v>-0.975385154281182</v>
      </c>
      <c r="R75" s="39">
        <f>$J$3+[53]FormattedData!K91*$J$4+$M$4*$J$5+[53]FormattedData!K91^2*$J$6+$M$5*$J$7</f>
        <v>-0.975385154281182</v>
      </c>
      <c r="S75" s="39">
        <f>$J$3+[53]FormattedData!L91*$J$4+$M$4*$J$5+[53]FormattedData!L91^2*$J$6+$M$5*$J$7</f>
        <v>-0.975385154281182</v>
      </c>
      <c r="T75" s="39">
        <f>$J$3+[53]FormattedData!M91*$J$4+$M$4*$J$5+[53]FormattedData!M91^2*$J$6+$M$5*$J$7</f>
        <v>-0.975385154281182</v>
      </c>
      <c r="U75" s="39">
        <f>$J$3+[53]FormattedData!N91*$J$4+$M$4*$J$5+[53]FormattedData!N91^2*$J$6+$M$5*$J$7</f>
        <v>-0.975385154281182</v>
      </c>
      <c r="V75" s="39">
        <f>$J$3+[53]FormattedData!O91*$J$4+$M$4*$J$5+[53]FormattedData!O91^2*$J$6+$M$5*$J$7</f>
        <v>-0.975385154281182</v>
      </c>
      <c r="W75" s="38">
        <f>AVERAGE(K75:V75)</f>
        <v>-0.97538515428118211</v>
      </c>
      <c r="X75" s="37">
        <f>STDEV(K75:V75)/SQRT(COUNT(K75:V75))</f>
        <v>3.3474483693592253E-17</v>
      </c>
      <c r="Y75" s="36">
        <f>MIN(K75:V75)</f>
        <v>-0.975385154281182</v>
      </c>
      <c r="Z75" s="35">
        <f>QUARTILE(K75:V75,1)</f>
        <v>-0.975385154281182</v>
      </c>
      <c r="AA75" s="36">
        <f>MEDIAN(K75:V75)</f>
        <v>-0.975385154281182</v>
      </c>
      <c r="AB75" s="35">
        <f>QUARTILE(K75:V75,3)</f>
        <v>-0.975385154281182</v>
      </c>
      <c r="AC75" s="35">
        <f>MAX(K75:V75)</f>
        <v>-0.975385154281182</v>
      </c>
      <c r="AD75" s="35">
        <f>SKEW(K75:V75)</f>
        <v>1.1489125293076057</v>
      </c>
      <c r="AE75" s="35">
        <f>KURT(K75:V75)</f>
        <v>-2.4444444444444446</v>
      </c>
    </row>
    <row r="76" spans="2:31" x14ac:dyDescent="0.2">
      <c r="B76" s="34">
        <f>[53]FormattedData!A89</f>
        <v>0</v>
      </c>
      <c r="C76" s="34" t="e">
        <f>VLOOKUP($B76,[53]TrtCodes!$B$11:I132,2)</f>
        <v>#N/A</v>
      </c>
      <c r="D76" s="34" t="e">
        <f>VLOOKUP($B76,[53]TrtCodes!$B$11:J132,3)</f>
        <v>#N/A</v>
      </c>
      <c r="E76" s="34" t="e">
        <f>VLOOKUP($B76,[53]TrtCodes!$B$11:K132,4)</f>
        <v>#N/A</v>
      </c>
      <c r="F76" s="34" t="e">
        <f>VLOOKUP($B76,[53]TrtCodes!$B$11:L132,5)</f>
        <v>#N/A</v>
      </c>
      <c r="G76" s="34" t="e">
        <f>VLOOKUP($B76,[53]TrtCodes!$B$11:M132,6)</f>
        <v>#N/A</v>
      </c>
      <c r="H76" s="34" t="e">
        <f>VLOOKUP($B76,[53]TrtCodes!$B$11:N132,7)</f>
        <v>#N/A</v>
      </c>
      <c r="I76" s="34">
        <f>[53]FormattedData!B89</f>
        <v>0</v>
      </c>
      <c r="J76" s="37">
        <f>[53]FormattedData!C89</f>
        <v>0</v>
      </c>
      <c r="K76" s="39">
        <f>$J$3+[53]FormattedData!D89*$J$4+$M$4*$J$5+[53]FormattedData!D89^2*$J$6+$M$5*$J$7</f>
        <v>-0.975385154281182</v>
      </c>
      <c r="L76" s="39">
        <f>$J$3+[53]FormattedData!E89*$J$4+$M$4*$J$5+[53]FormattedData!E89^2*$J$6+$M$5*$J$7</f>
        <v>-0.975385154281182</v>
      </c>
      <c r="M76" s="39">
        <f>$J$3+[53]FormattedData!F89*$J$4+$M$4*$J$5+[53]FormattedData!F89^2*$J$6+$M$5*$J$7</f>
        <v>-0.975385154281182</v>
      </c>
      <c r="N76" s="39">
        <f>$J$3+[53]FormattedData!G89*$J$4+$M$4*$J$5+[53]FormattedData!G89^2*$J$6+$M$5*$J$7</f>
        <v>-0.975385154281182</v>
      </c>
      <c r="O76" s="39">
        <f>$J$3+[53]FormattedData!H89*$J$4+$M$4*$J$5+[53]FormattedData!H89^2*$J$6+$M$5*$J$7</f>
        <v>-0.975385154281182</v>
      </c>
      <c r="P76" s="39">
        <f>$J$3+[53]FormattedData!I89*$J$4+$M$4*$J$5+[53]FormattedData!I89^2*$J$6+$M$5*$J$7</f>
        <v>-0.975385154281182</v>
      </c>
      <c r="Q76" s="39">
        <f>$J$3+[53]FormattedData!J89*$J$4+$M$4*$J$5+[53]FormattedData!J89^2*$J$6+$M$5*$J$7</f>
        <v>-0.975385154281182</v>
      </c>
      <c r="R76" s="39">
        <f>$J$3+[53]FormattedData!K89*$J$4+$M$4*$J$5+[53]FormattedData!K89^2*$J$6+$M$5*$J$7</f>
        <v>-0.975385154281182</v>
      </c>
      <c r="S76" s="39">
        <f>$J$3+[53]FormattedData!L89*$J$4+$M$4*$J$5+[53]FormattedData!L89^2*$J$6+$M$5*$J$7</f>
        <v>-0.975385154281182</v>
      </c>
      <c r="T76" s="39">
        <f>$J$3+[53]FormattedData!M89*$J$4+$M$4*$J$5+[53]FormattedData!M89^2*$J$6+$M$5*$J$7</f>
        <v>-0.975385154281182</v>
      </c>
      <c r="U76" s="39">
        <f>$J$3+[53]FormattedData!N89*$J$4+$M$4*$J$5+[53]FormattedData!N89^2*$J$6+$M$5*$J$7</f>
        <v>-0.975385154281182</v>
      </c>
      <c r="V76" s="39">
        <f>$J$3+[53]FormattedData!O89*$J$4+$M$4*$J$5+[53]FormattedData!O89^2*$J$6+$M$5*$J$7</f>
        <v>-0.975385154281182</v>
      </c>
      <c r="W76" s="38">
        <f>AVERAGE(K76:V76)</f>
        <v>-0.97538515428118211</v>
      </c>
      <c r="X76" s="37">
        <f>STDEV(K76:V76)/SQRT(COUNT(K76:V76))</f>
        <v>3.3474483693592253E-17</v>
      </c>
      <c r="Y76" s="36">
        <f>MIN(K76:V76)</f>
        <v>-0.975385154281182</v>
      </c>
      <c r="Z76" s="35">
        <f>QUARTILE(K76:V76,1)</f>
        <v>-0.975385154281182</v>
      </c>
      <c r="AA76" s="36">
        <f>MEDIAN(K76:V76)</f>
        <v>-0.975385154281182</v>
      </c>
      <c r="AB76" s="35">
        <f>QUARTILE(K76:V76,3)</f>
        <v>-0.975385154281182</v>
      </c>
      <c r="AC76" s="35">
        <f>MAX(K76:V76)</f>
        <v>-0.975385154281182</v>
      </c>
      <c r="AD76" s="35">
        <f>SKEW(K76:V76)</f>
        <v>1.1489125293076057</v>
      </c>
      <c r="AE76" s="35">
        <f>KURT(K76:V76)</f>
        <v>-2.4444444444444446</v>
      </c>
    </row>
    <row r="77" spans="2:31" x14ac:dyDescent="0.2">
      <c r="B77" s="34">
        <f>[53]FormattedData!A87</f>
        <v>0</v>
      </c>
      <c r="C77" s="34" t="e">
        <f>VLOOKUP($B77,[53]TrtCodes!$B$11:I130,2)</f>
        <v>#N/A</v>
      </c>
      <c r="D77" s="34" t="e">
        <f>VLOOKUP($B77,[53]TrtCodes!$B$11:J130,3)</f>
        <v>#N/A</v>
      </c>
      <c r="E77" s="34" t="e">
        <f>VLOOKUP($B77,[53]TrtCodes!$B$11:K130,4)</f>
        <v>#N/A</v>
      </c>
      <c r="F77" s="34" t="e">
        <f>VLOOKUP($B77,[53]TrtCodes!$B$11:L130,5)</f>
        <v>#N/A</v>
      </c>
      <c r="G77" s="34" t="e">
        <f>VLOOKUP($B77,[53]TrtCodes!$B$11:M130,6)</f>
        <v>#N/A</v>
      </c>
      <c r="H77" s="34" t="e">
        <f>VLOOKUP($B77,[53]TrtCodes!$B$11:N130,7)</f>
        <v>#N/A</v>
      </c>
      <c r="I77" s="34">
        <f>[53]FormattedData!B87</f>
        <v>0</v>
      </c>
      <c r="J77" s="37">
        <f>[53]FormattedData!C87</f>
        <v>0</v>
      </c>
      <c r="K77" s="39">
        <f>$J$3+[53]FormattedData!D87*$J$4+$M$4*$J$5+[53]FormattedData!D87^2*$J$6+$M$5*$J$7</f>
        <v>-0.975385154281182</v>
      </c>
      <c r="L77" s="39">
        <f>$J$3+[53]FormattedData!E87*$J$4+$M$4*$J$5+[53]FormattedData!E87^2*$J$6+$M$5*$J$7</f>
        <v>-0.975385154281182</v>
      </c>
      <c r="M77" s="39">
        <f>$J$3+[53]FormattedData!F87*$J$4+$M$4*$J$5+[53]FormattedData!F87^2*$J$6+$M$5*$J$7</f>
        <v>-0.975385154281182</v>
      </c>
      <c r="N77" s="39">
        <f>$J$3+[53]FormattedData!G87*$J$4+$M$4*$J$5+[53]FormattedData!G87^2*$J$6+$M$5*$J$7</f>
        <v>-0.975385154281182</v>
      </c>
      <c r="O77" s="39">
        <f>$J$3+[53]FormattedData!H87*$J$4+$M$4*$J$5+[53]FormattedData!H87^2*$J$6+$M$5*$J$7</f>
        <v>-0.975385154281182</v>
      </c>
      <c r="P77" s="39">
        <f>$J$3+[53]FormattedData!I87*$J$4+$M$4*$J$5+[53]FormattedData!I87^2*$J$6+$M$5*$J$7</f>
        <v>-0.975385154281182</v>
      </c>
      <c r="Q77" s="39">
        <f>$J$3+[53]FormattedData!J87*$J$4+$M$4*$J$5+[53]FormattedData!J87^2*$J$6+$M$5*$J$7</f>
        <v>-0.975385154281182</v>
      </c>
      <c r="R77" s="39">
        <f>$J$3+[53]FormattedData!K87*$J$4+$M$4*$J$5+[53]FormattedData!K87^2*$J$6+$M$5*$J$7</f>
        <v>-0.975385154281182</v>
      </c>
      <c r="S77" s="39">
        <f>$J$3+[53]FormattedData!L87*$J$4+$M$4*$J$5+[53]FormattedData!L87^2*$J$6+$M$5*$J$7</f>
        <v>-0.975385154281182</v>
      </c>
      <c r="T77" s="39">
        <f>$J$3+[53]FormattedData!M87*$J$4+$M$4*$J$5+[53]FormattedData!M87^2*$J$6+$M$5*$J$7</f>
        <v>-0.975385154281182</v>
      </c>
      <c r="U77" s="39">
        <f>$J$3+[53]FormattedData!N87*$J$4+$M$4*$J$5+[53]FormattedData!N87^2*$J$6+$M$5*$J$7</f>
        <v>-0.975385154281182</v>
      </c>
      <c r="V77" s="39">
        <f>$J$3+[53]FormattedData!O87*$J$4+$M$4*$J$5+[53]FormattedData!O87^2*$J$6+$M$5*$J$7</f>
        <v>-0.975385154281182</v>
      </c>
      <c r="W77" s="38">
        <f>AVERAGE(K77:V77)</f>
        <v>-0.97538515428118211</v>
      </c>
      <c r="X77" s="37">
        <f>STDEV(K77:V77)/SQRT(COUNT(K77:V77))</f>
        <v>3.3474483693592253E-17</v>
      </c>
      <c r="Y77" s="36">
        <f>MIN(K77:V77)</f>
        <v>-0.975385154281182</v>
      </c>
      <c r="Z77" s="35">
        <f>QUARTILE(K77:V77,1)</f>
        <v>-0.975385154281182</v>
      </c>
      <c r="AA77" s="36">
        <f>MEDIAN(K77:V77)</f>
        <v>-0.975385154281182</v>
      </c>
      <c r="AB77" s="35">
        <f>QUARTILE(K77:V77,3)</f>
        <v>-0.975385154281182</v>
      </c>
      <c r="AC77" s="35">
        <f>MAX(K77:V77)</f>
        <v>-0.975385154281182</v>
      </c>
      <c r="AD77" s="35">
        <f>SKEW(K77:V77)</f>
        <v>1.1489125293076057</v>
      </c>
      <c r="AE77" s="35">
        <f>KURT(K77:V77)</f>
        <v>-2.4444444444444446</v>
      </c>
    </row>
    <row r="78" spans="2:31" x14ac:dyDescent="0.2">
      <c r="B78" s="34">
        <f>[53]FormattedData!A85</f>
        <v>0</v>
      </c>
      <c r="C78" s="34" t="e">
        <f>VLOOKUP($B78,[53]TrtCodes!$B$11:I128,2)</f>
        <v>#N/A</v>
      </c>
      <c r="D78" s="34" t="e">
        <f>VLOOKUP($B78,[53]TrtCodes!$B$11:J128,3)</f>
        <v>#N/A</v>
      </c>
      <c r="E78" s="34" t="e">
        <f>VLOOKUP($B78,[53]TrtCodes!$B$11:K128,4)</f>
        <v>#N/A</v>
      </c>
      <c r="F78" s="34" t="e">
        <f>VLOOKUP($B78,[53]TrtCodes!$B$11:L128,5)</f>
        <v>#N/A</v>
      </c>
      <c r="G78" s="34" t="e">
        <f>VLOOKUP($B78,[53]TrtCodes!$B$11:M128,6)</f>
        <v>#N/A</v>
      </c>
      <c r="H78" s="34" t="e">
        <f>VLOOKUP($B78,[53]TrtCodes!$B$11:N128,7)</f>
        <v>#N/A</v>
      </c>
      <c r="I78" s="34">
        <f>[53]FormattedData!B85</f>
        <v>0</v>
      </c>
      <c r="J78" s="37">
        <f>[53]FormattedData!C85</f>
        <v>0</v>
      </c>
      <c r="K78" s="39">
        <f>$J$3+[53]FormattedData!D85*$J$4+$M$4*$J$5+[53]FormattedData!D85^2*$J$6+$M$5*$J$7</f>
        <v>-0.975385154281182</v>
      </c>
      <c r="L78" s="39">
        <f>$J$3+[53]FormattedData!E85*$J$4+$M$4*$J$5+[53]FormattedData!E85^2*$J$6+$M$5*$J$7</f>
        <v>-0.975385154281182</v>
      </c>
      <c r="M78" s="39">
        <f>$J$3+[53]FormattedData!F85*$J$4+$M$4*$J$5+[53]FormattedData!F85^2*$J$6+$M$5*$J$7</f>
        <v>-0.975385154281182</v>
      </c>
      <c r="N78" s="39">
        <f>$J$3+[53]FormattedData!G85*$J$4+$M$4*$J$5+[53]FormattedData!G85^2*$J$6+$M$5*$J$7</f>
        <v>-0.975385154281182</v>
      </c>
      <c r="O78" s="39">
        <f>$J$3+[53]FormattedData!H85*$J$4+$M$4*$J$5+[53]FormattedData!H85^2*$J$6+$M$5*$J$7</f>
        <v>-0.975385154281182</v>
      </c>
      <c r="P78" s="39">
        <f>$J$3+[53]FormattedData!I85*$J$4+$M$4*$J$5+[53]FormattedData!I85^2*$J$6+$M$5*$J$7</f>
        <v>-0.975385154281182</v>
      </c>
      <c r="Q78" s="39">
        <f>$J$3+[53]FormattedData!J85*$J$4+$M$4*$J$5+[53]FormattedData!J85^2*$J$6+$M$5*$J$7</f>
        <v>-0.975385154281182</v>
      </c>
      <c r="R78" s="39">
        <f>$J$3+[53]FormattedData!K85*$J$4+$M$4*$J$5+[53]FormattedData!K85^2*$J$6+$M$5*$J$7</f>
        <v>-0.975385154281182</v>
      </c>
      <c r="S78" s="39">
        <f>$J$3+[53]FormattedData!L85*$J$4+$M$4*$J$5+[53]FormattedData!L85^2*$J$6+$M$5*$J$7</f>
        <v>-0.975385154281182</v>
      </c>
      <c r="T78" s="39">
        <f>$J$3+[53]FormattedData!M85*$J$4+$M$4*$J$5+[53]FormattedData!M85^2*$J$6+$M$5*$J$7</f>
        <v>-0.975385154281182</v>
      </c>
      <c r="U78" s="39">
        <f>$J$3+[53]FormattedData!N85*$J$4+$M$4*$J$5+[53]FormattedData!N85^2*$J$6+$M$5*$J$7</f>
        <v>-0.975385154281182</v>
      </c>
      <c r="V78" s="39">
        <f>$J$3+[53]FormattedData!O85*$J$4+$M$4*$J$5+[53]FormattedData!O85^2*$J$6+$M$5*$J$7</f>
        <v>-0.975385154281182</v>
      </c>
      <c r="W78" s="38">
        <f>AVERAGE(K78:V78)</f>
        <v>-0.97538515428118211</v>
      </c>
      <c r="X78" s="37">
        <f>STDEV(K78:V78)/SQRT(COUNT(K78:V78))</f>
        <v>3.3474483693592253E-17</v>
      </c>
      <c r="Y78" s="36">
        <f>MIN(K78:V78)</f>
        <v>-0.975385154281182</v>
      </c>
      <c r="Z78" s="35">
        <f>QUARTILE(K78:V78,1)</f>
        <v>-0.975385154281182</v>
      </c>
      <c r="AA78" s="36">
        <f>MEDIAN(K78:V78)</f>
        <v>-0.975385154281182</v>
      </c>
      <c r="AB78" s="35">
        <f>QUARTILE(K78:V78,3)</f>
        <v>-0.975385154281182</v>
      </c>
      <c r="AC78" s="35">
        <f>MAX(K78:V78)</f>
        <v>-0.975385154281182</v>
      </c>
      <c r="AD78" s="35">
        <f>SKEW(K78:V78)</f>
        <v>1.1489125293076057</v>
      </c>
      <c r="AE78" s="35">
        <f>KURT(K78:V78)</f>
        <v>-2.4444444444444446</v>
      </c>
    </row>
    <row r="79" spans="2:31" x14ac:dyDescent="0.2">
      <c r="B79" s="34">
        <f>[53]FormattedData!A83</f>
        <v>0</v>
      </c>
      <c r="C79" s="34" t="e">
        <f>VLOOKUP($B79,[53]TrtCodes!$B$11:I126,2)</f>
        <v>#N/A</v>
      </c>
      <c r="D79" s="34" t="e">
        <f>VLOOKUP($B79,[53]TrtCodes!$B$11:J126,3)</f>
        <v>#N/A</v>
      </c>
      <c r="E79" s="34" t="e">
        <f>VLOOKUP($B79,[53]TrtCodes!$B$11:K126,4)</f>
        <v>#N/A</v>
      </c>
      <c r="F79" s="34" t="e">
        <f>VLOOKUP($B79,[53]TrtCodes!$B$11:L126,5)</f>
        <v>#N/A</v>
      </c>
      <c r="G79" s="34" t="e">
        <f>VLOOKUP($B79,[53]TrtCodes!$B$11:M126,6)</f>
        <v>#N/A</v>
      </c>
      <c r="H79" s="34" t="e">
        <f>VLOOKUP($B79,[53]TrtCodes!$B$11:N126,7)</f>
        <v>#N/A</v>
      </c>
      <c r="I79" s="34">
        <f>[53]FormattedData!B83</f>
        <v>0</v>
      </c>
      <c r="J79" s="37">
        <f>[53]FormattedData!C83</f>
        <v>0</v>
      </c>
      <c r="K79" s="39">
        <f>$J$3+[53]FormattedData!D83*$J$4+$M$4*$J$5+[53]FormattedData!D83^2*$J$6+$M$5*$J$7</f>
        <v>-0.975385154281182</v>
      </c>
      <c r="L79" s="39">
        <f>$J$3+[53]FormattedData!E83*$J$4+$M$4*$J$5+[53]FormattedData!E83^2*$J$6+$M$5*$J$7</f>
        <v>-0.975385154281182</v>
      </c>
      <c r="M79" s="39">
        <f>$J$3+[53]FormattedData!F83*$J$4+$M$4*$J$5+[53]FormattedData!F83^2*$J$6+$M$5*$J$7</f>
        <v>-0.975385154281182</v>
      </c>
      <c r="N79" s="39">
        <f>$J$3+[53]FormattedData!G83*$J$4+$M$4*$J$5+[53]FormattedData!G83^2*$J$6+$M$5*$J$7</f>
        <v>-0.975385154281182</v>
      </c>
      <c r="O79" s="39">
        <f>$J$3+[53]FormattedData!H83*$J$4+$M$4*$J$5+[53]FormattedData!H83^2*$J$6+$M$5*$J$7</f>
        <v>-0.975385154281182</v>
      </c>
      <c r="P79" s="39">
        <f>$J$3+[53]FormattedData!I83*$J$4+$M$4*$J$5+[53]FormattedData!I83^2*$J$6+$M$5*$J$7</f>
        <v>-0.975385154281182</v>
      </c>
      <c r="Q79" s="39">
        <f>$J$3+[53]FormattedData!J83*$J$4+$M$4*$J$5+[53]FormattedData!J83^2*$J$6+$M$5*$J$7</f>
        <v>-0.975385154281182</v>
      </c>
      <c r="R79" s="39">
        <f>$J$3+[53]FormattedData!K83*$J$4+$M$4*$J$5+[53]FormattedData!K83^2*$J$6+$M$5*$J$7</f>
        <v>-0.975385154281182</v>
      </c>
      <c r="S79" s="39">
        <f>$J$3+[53]FormattedData!L83*$J$4+$M$4*$J$5+[53]FormattedData!L83^2*$J$6+$M$5*$J$7</f>
        <v>-0.975385154281182</v>
      </c>
      <c r="T79" s="39">
        <f>$J$3+[53]FormattedData!M83*$J$4+$M$4*$J$5+[53]FormattedData!M83^2*$J$6+$M$5*$J$7</f>
        <v>-0.975385154281182</v>
      </c>
      <c r="U79" s="39">
        <f>$J$3+[53]FormattedData!N83*$J$4+$M$4*$J$5+[53]FormattedData!N83^2*$J$6+$M$5*$J$7</f>
        <v>-0.975385154281182</v>
      </c>
      <c r="V79" s="39">
        <f>$J$3+[53]FormattedData!O83*$J$4+$M$4*$J$5+[53]FormattedData!O83^2*$J$6+$M$5*$J$7</f>
        <v>-0.975385154281182</v>
      </c>
      <c r="W79" s="38">
        <f>AVERAGE(K79:V79)</f>
        <v>-0.97538515428118211</v>
      </c>
      <c r="X79" s="37">
        <f>STDEV(K79:V79)/SQRT(COUNT(K79:V79))</f>
        <v>3.3474483693592253E-17</v>
      </c>
      <c r="Y79" s="36">
        <f>MIN(K79:V79)</f>
        <v>-0.975385154281182</v>
      </c>
      <c r="Z79" s="35">
        <f>QUARTILE(K79:V79,1)</f>
        <v>-0.975385154281182</v>
      </c>
      <c r="AA79" s="36">
        <f>MEDIAN(K79:V79)</f>
        <v>-0.975385154281182</v>
      </c>
      <c r="AB79" s="35">
        <f>QUARTILE(K79:V79,3)</f>
        <v>-0.975385154281182</v>
      </c>
      <c r="AC79" s="35">
        <f>MAX(K79:V79)</f>
        <v>-0.975385154281182</v>
      </c>
      <c r="AD79" s="35">
        <f>SKEW(K79:V79)</f>
        <v>1.1489125293076057</v>
      </c>
      <c r="AE79" s="35">
        <f>KURT(K79:V79)</f>
        <v>-2.4444444444444446</v>
      </c>
    </row>
    <row r="80" spans="2:31" x14ac:dyDescent="0.2">
      <c r="B80" s="34">
        <f>[53]FormattedData!A81</f>
        <v>0</v>
      </c>
      <c r="C80" s="34" t="e">
        <f>VLOOKUP($B80,[53]TrtCodes!$B$11:I124,2)</f>
        <v>#N/A</v>
      </c>
      <c r="D80" s="34" t="e">
        <f>VLOOKUP($B80,[53]TrtCodes!$B$11:J124,3)</f>
        <v>#N/A</v>
      </c>
      <c r="E80" s="34" t="e">
        <f>VLOOKUP($B80,[53]TrtCodes!$B$11:K124,4)</f>
        <v>#N/A</v>
      </c>
      <c r="F80" s="34" t="e">
        <f>VLOOKUP($B80,[53]TrtCodes!$B$11:L124,5)</f>
        <v>#N/A</v>
      </c>
      <c r="G80" s="34" t="e">
        <f>VLOOKUP($B80,[53]TrtCodes!$B$11:M124,6)</f>
        <v>#N/A</v>
      </c>
      <c r="H80" s="34" t="e">
        <f>VLOOKUP($B80,[53]TrtCodes!$B$11:N124,7)</f>
        <v>#N/A</v>
      </c>
      <c r="I80" s="34">
        <f>[53]FormattedData!B81</f>
        <v>0</v>
      </c>
      <c r="J80" s="37">
        <f>[53]FormattedData!C81</f>
        <v>0</v>
      </c>
      <c r="K80" s="39">
        <f>$J$3+[53]FormattedData!D81*$J$4+$M$4*$J$5+[53]FormattedData!D81^2*$J$6+$M$5*$J$7</f>
        <v>-0.975385154281182</v>
      </c>
      <c r="L80" s="39">
        <f>$J$3+[53]FormattedData!E81*$J$4+$M$4*$J$5+[53]FormattedData!E81^2*$J$6+$M$5*$J$7</f>
        <v>-0.975385154281182</v>
      </c>
      <c r="M80" s="39">
        <f>$J$3+[53]FormattedData!F81*$J$4+$M$4*$J$5+[53]FormattedData!F81^2*$J$6+$M$5*$J$7</f>
        <v>-0.975385154281182</v>
      </c>
      <c r="N80" s="39">
        <f>$J$3+[53]FormattedData!G81*$J$4+$M$4*$J$5+[53]FormattedData!G81^2*$J$6+$M$5*$J$7</f>
        <v>-0.975385154281182</v>
      </c>
      <c r="O80" s="39">
        <f>$J$3+[53]FormattedData!H81*$J$4+$M$4*$J$5+[53]FormattedData!H81^2*$J$6+$M$5*$J$7</f>
        <v>-0.975385154281182</v>
      </c>
      <c r="P80" s="39">
        <f>$J$3+[53]FormattedData!I81*$J$4+$M$4*$J$5+[53]FormattedData!I81^2*$J$6+$M$5*$J$7</f>
        <v>-0.975385154281182</v>
      </c>
      <c r="Q80" s="39">
        <f>$J$3+[53]FormattedData!J81*$J$4+$M$4*$J$5+[53]FormattedData!J81^2*$J$6+$M$5*$J$7</f>
        <v>-0.975385154281182</v>
      </c>
      <c r="R80" s="39">
        <f>$J$3+[53]FormattedData!K81*$J$4+$M$4*$J$5+[53]FormattedData!K81^2*$J$6+$M$5*$J$7</f>
        <v>-0.975385154281182</v>
      </c>
      <c r="S80" s="39">
        <f>$J$3+[53]FormattedData!L81*$J$4+$M$4*$J$5+[53]FormattedData!L81^2*$J$6+$M$5*$J$7</f>
        <v>-0.975385154281182</v>
      </c>
      <c r="T80" s="39">
        <f>$J$3+[53]FormattedData!M81*$J$4+$M$4*$J$5+[53]FormattedData!M81^2*$J$6+$M$5*$J$7</f>
        <v>-0.975385154281182</v>
      </c>
      <c r="U80" s="39">
        <f>$J$3+[53]FormattedData!N81*$J$4+$M$4*$J$5+[53]FormattedData!N81^2*$J$6+$M$5*$J$7</f>
        <v>-0.975385154281182</v>
      </c>
      <c r="V80" s="39">
        <f>$J$3+[53]FormattedData!O81*$J$4+$M$4*$J$5+[53]FormattedData!O81^2*$J$6+$M$5*$J$7</f>
        <v>-0.975385154281182</v>
      </c>
      <c r="W80" s="38">
        <f>AVERAGE(K80:V80)</f>
        <v>-0.97538515428118211</v>
      </c>
      <c r="X80" s="37">
        <f>STDEV(K80:V80)/SQRT(COUNT(K80:V80))</f>
        <v>3.3474483693592253E-17</v>
      </c>
      <c r="Y80" s="36">
        <f>MIN(K80:V80)</f>
        <v>-0.975385154281182</v>
      </c>
      <c r="Z80" s="35">
        <f>QUARTILE(K80:V80,1)</f>
        <v>-0.975385154281182</v>
      </c>
      <c r="AA80" s="36">
        <f>MEDIAN(K80:V80)</f>
        <v>-0.975385154281182</v>
      </c>
      <c r="AB80" s="35">
        <f>QUARTILE(K80:V80,3)</f>
        <v>-0.975385154281182</v>
      </c>
      <c r="AC80" s="35">
        <f>MAX(K80:V80)</f>
        <v>-0.975385154281182</v>
      </c>
      <c r="AD80" s="35">
        <f>SKEW(K80:V80)</f>
        <v>1.1489125293076057</v>
      </c>
      <c r="AE80" s="35">
        <f>KURT(K80:V80)</f>
        <v>-2.4444444444444446</v>
      </c>
    </row>
    <row r="81" spans="2:31" x14ac:dyDescent="0.2">
      <c r="B81" s="34">
        <f>[53]FormattedData!A79</f>
        <v>0</v>
      </c>
      <c r="C81" s="34" t="e">
        <f>VLOOKUP($B81,[53]TrtCodes!$B$11:I122,2)</f>
        <v>#N/A</v>
      </c>
      <c r="D81" s="34" t="e">
        <f>VLOOKUP($B81,[53]TrtCodes!$B$11:J122,3)</f>
        <v>#N/A</v>
      </c>
      <c r="E81" s="34" t="e">
        <f>VLOOKUP($B81,[53]TrtCodes!$B$11:K122,4)</f>
        <v>#N/A</v>
      </c>
      <c r="F81" s="34" t="e">
        <f>VLOOKUP($B81,[53]TrtCodes!$B$11:L122,5)</f>
        <v>#N/A</v>
      </c>
      <c r="G81" s="34" t="e">
        <f>VLOOKUP($B81,[53]TrtCodes!$B$11:M122,6)</f>
        <v>#N/A</v>
      </c>
      <c r="H81" s="34" t="e">
        <f>VLOOKUP($B81,[53]TrtCodes!$B$11:N122,7)</f>
        <v>#N/A</v>
      </c>
      <c r="I81" s="34">
        <f>[53]FormattedData!B79</f>
        <v>0</v>
      </c>
      <c r="J81" s="37">
        <f>[53]FormattedData!C79</f>
        <v>0</v>
      </c>
      <c r="K81" s="39">
        <f>$J$3+[53]FormattedData!D79*$J$4+$M$4*$J$5+[53]FormattedData!D79^2*$J$6+$M$5*$J$7</f>
        <v>-0.975385154281182</v>
      </c>
      <c r="L81" s="39">
        <f>$J$3+[53]FormattedData!E79*$J$4+$M$4*$J$5+[53]FormattedData!E79^2*$J$6+$M$5*$J$7</f>
        <v>-0.975385154281182</v>
      </c>
      <c r="M81" s="39">
        <f>$J$3+[53]FormattedData!F79*$J$4+$M$4*$J$5+[53]FormattedData!F79^2*$J$6+$M$5*$J$7</f>
        <v>-0.975385154281182</v>
      </c>
      <c r="N81" s="39">
        <f>$J$3+[53]FormattedData!G79*$J$4+$M$4*$J$5+[53]FormattedData!G79^2*$J$6+$M$5*$J$7</f>
        <v>-0.975385154281182</v>
      </c>
      <c r="O81" s="39">
        <f>$J$3+[53]FormattedData!H79*$J$4+$M$4*$J$5+[53]FormattedData!H79^2*$J$6+$M$5*$J$7</f>
        <v>-0.975385154281182</v>
      </c>
      <c r="P81" s="39">
        <f>$J$3+[53]FormattedData!I79*$J$4+$M$4*$J$5+[53]FormattedData!I79^2*$J$6+$M$5*$J$7</f>
        <v>-0.975385154281182</v>
      </c>
      <c r="Q81" s="39">
        <f>$J$3+[53]FormattedData!J79*$J$4+$M$4*$J$5+[53]FormattedData!J79^2*$J$6+$M$5*$J$7</f>
        <v>-0.975385154281182</v>
      </c>
      <c r="R81" s="39">
        <f>$J$3+[53]FormattedData!K79*$J$4+$M$4*$J$5+[53]FormattedData!K79^2*$J$6+$M$5*$J$7</f>
        <v>-0.975385154281182</v>
      </c>
      <c r="S81" s="39">
        <f>$J$3+[53]FormattedData!L79*$J$4+$M$4*$J$5+[53]FormattedData!L79^2*$J$6+$M$5*$J$7</f>
        <v>-0.975385154281182</v>
      </c>
      <c r="T81" s="39">
        <f>$J$3+[53]FormattedData!M79*$J$4+$M$4*$J$5+[53]FormattedData!M79^2*$J$6+$M$5*$J$7</f>
        <v>-0.975385154281182</v>
      </c>
      <c r="U81" s="39">
        <f>$J$3+[53]FormattedData!N79*$J$4+$M$4*$J$5+[53]FormattedData!N79^2*$J$6+$M$5*$J$7</f>
        <v>-0.975385154281182</v>
      </c>
      <c r="V81" s="39">
        <f>$J$3+[53]FormattedData!O79*$J$4+$M$4*$J$5+[53]FormattedData!O79^2*$J$6+$M$5*$J$7</f>
        <v>-0.975385154281182</v>
      </c>
      <c r="W81" s="38">
        <f>AVERAGE(K81:V81)</f>
        <v>-0.97538515428118211</v>
      </c>
      <c r="X81" s="37">
        <f>STDEV(K81:V81)/SQRT(COUNT(K81:V81))</f>
        <v>3.3474483693592253E-17</v>
      </c>
      <c r="Y81" s="36">
        <f>MIN(K81:V81)</f>
        <v>-0.975385154281182</v>
      </c>
      <c r="Z81" s="35">
        <f>QUARTILE(K81:V81,1)</f>
        <v>-0.975385154281182</v>
      </c>
      <c r="AA81" s="36">
        <f>MEDIAN(K81:V81)</f>
        <v>-0.975385154281182</v>
      </c>
      <c r="AB81" s="35">
        <f>QUARTILE(K81:V81,3)</f>
        <v>-0.975385154281182</v>
      </c>
      <c r="AC81" s="35">
        <f>MAX(K81:V81)</f>
        <v>-0.975385154281182</v>
      </c>
      <c r="AD81" s="35">
        <f>SKEW(K81:V81)</f>
        <v>1.1489125293076057</v>
      </c>
      <c r="AE81" s="35">
        <f>KURT(K81:V81)</f>
        <v>-2.4444444444444446</v>
      </c>
    </row>
    <row r="82" spans="2:31" x14ac:dyDescent="0.2">
      <c r="B82" s="34">
        <f>[53]FormattedData!A59</f>
        <v>0</v>
      </c>
      <c r="C82" s="34" t="e">
        <f>VLOOKUP($B82,[53]TrtCodes!$B$11:I102,2)</f>
        <v>#N/A</v>
      </c>
      <c r="D82" s="34" t="e">
        <f>VLOOKUP($B82,[53]TrtCodes!$B$11:J102,3)</f>
        <v>#N/A</v>
      </c>
      <c r="E82" s="34" t="e">
        <f>VLOOKUP($B82,[53]TrtCodes!$B$11:K102,4)</f>
        <v>#N/A</v>
      </c>
      <c r="F82" s="34" t="e">
        <f>VLOOKUP($B82,[53]TrtCodes!$B$11:L102,5)</f>
        <v>#N/A</v>
      </c>
      <c r="G82" s="34" t="e">
        <f>VLOOKUP($B82,[53]TrtCodes!$B$11:M102,6)</f>
        <v>#N/A</v>
      </c>
      <c r="H82" s="34" t="e">
        <f>VLOOKUP($B82,[53]TrtCodes!$B$11:N102,7)</f>
        <v>#N/A</v>
      </c>
      <c r="I82" s="34">
        <f>[53]FormattedData!B59</f>
        <v>0</v>
      </c>
      <c r="J82" s="37">
        <f>[53]FormattedData!C59</f>
        <v>0</v>
      </c>
      <c r="K82" s="39">
        <f>$J$3+[53]FormattedData!D59*$J$4+$M$4*$J$5+[53]FormattedData!D59^2*$J$6+$M$5*$J$7</f>
        <v>-0.975385154281182</v>
      </c>
      <c r="L82" s="39">
        <f>$J$3+[53]FormattedData!E59*$J$4+$M$4*$J$5+[53]FormattedData!E59^2*$J$6+$M$5*$J$7</f>
        <v>-0.975385154281182</v>
      </c>
      <c r="M82" s="39">
        <f>$J$3+[53]FormattedData!F59*$J$4+$M$4*$J$5+[53]FormattedData!F59^2*$J$6+$M$5*$J$7</f>
        <v>-0.975385154281182</v>
      </c>
      <c r="N82" s="39">
        <f>$J$3+[53]FormattedData!G59*$J$4+$M$4*$J$5+[53]FormattedData!G59^2*$J$6+$M$5*$J$7</f>
        <v>-0.975385154281182</v>
      </c>
      <c r="O82" s="39">
        <f>$J$3+[53]FormattedData!H59*$J$4+$M$4*$J$5+[53]FormattedData!H59^2*$J$6+$M$5*$J$7</f>
        <v>-0.975385154281182</v>
      </c>
      <c r="P82" s="39">
        <f>$J$3+[53]FormattedData!I59*$J$4+$M$4*$J$5+[53]FormattedData!I59^2*$J$6+$M$5*$J$7</f>
        <v>-0.975385154281182</v>
      </c>
      <c r="Q82" s="39">
        <f>$J$3+[53]FormattedData!J59*$J$4+$M$4*$J$5+[53]FormattedData!J59^2*$J$6+$M$5*$J$7</f>
        <v>-0.975385154281182</v>
      </c>
      <c r="R82" s="39">
        <f>$J$3+[53]FormattedData!K59*$J$4+$M$4*$J$5+[53]FormattedData!K59^2*$J$6+$M$5*$J$7</f>
        <v>-0.975385154281182</v>
      </c>
      <c r="S82" s="39">
        <f>$J$3+[53]FormattedData!L59*$J$4+$M$4*$J$5+[53]FormattedData!L59^2*$J$6+$M$5*$J$7</f>
        <v>-0.975385154281182</v>
      </c>
      <c r="T82" s="39">
        <f>$J$3+[53]FormattedData!M59*$J$4+$M$4*$J$5+[53]FormattedData!M59^2*$J$6+$M$5*$J$7</f>
        <v>-0.975385154281182</v>
      </c>
      <c r="U82" s="39">
        <f>$J$3+[53]FormattedData!N59*$J$4+$M$4*$J$5+[53]FormattedData!N59^2*$J$6+$M$5*$J$7</f>
        <v>-0.975385154281182</v>
      </c>
      <c r="V82" s="39">
        <f>$J$3+[53]FormattedData!O59*$J$4+$M$4*$J$5+[53]FormattedData!O59^2*$J$6+$M$5*$J$7</f>
        <v>-0.975385154281182</v>
      </c>
      <c r="W82" s="38">
        <f>AVERAGE(K82:V82)</f>
        <v>-0.97538515428118211</v>
      </c>
      <c r="X82" s="37">
        <f>STDEV(K82:V82)/SQRT(COUNT(K82:V82))</f>
        <v>3.3474483693592253E-17</v>
      </c>
      <c r="Y82" s="36">
        <f>MIN(K82:V82)</f>
        <v>-0.975385154281182</v>
      </c>
      <c r="Z82" s="35">
        <f>QUARTILE(K82:V82,1)</f>
        <v>-0.975385154281182</v>
      </c>
      <c r="AA82" s="36">
        <f>MEDIAN(K82:V82)</f>
        <v>-0.975385154281182</v>
      </c>
      <c r="AB82" s="35">
        <f>QUARTILE(K82:V82,3)</f>
        <v>-0.975385154281182</v>
      </c>
      <c r="AC82" s="35">
        <f>MAX(K82:V82)</f>
        <v>-0.975385154281182</v>
      </c>
      <c r="AD82" s="35">
        <f>SKEW(K82:V82)</f>
        <v>1.1489125293076057</v>
      </c>
      <c r="AE82" s="35">
        <f>KURT(K82:V82)</f>
        <v>-2.4444444444444446</v>
      </c>
    </row>
    <row r="83" spans="2:31" x14ac:dyDescent="0.2">
      <c r="B83" s="34">
        <f>[53]FormattedData!A55</f>
        <v>0</v>
      </c>
      <c r="C83" s="34" t="e">
        <f>VLOOKUP($B83,[53]TrtCodes!$B$11:I98,2)</f>
        <v>#N/A</v>
      </c>
      <c r="D83" s="34" t="e">
        <f>VLOOKUP($B83,[53]TrtCodes!$B$11:J98,3)</f>
        <v>#N/A</v>
      </c>
      <c r="E83" s="34" t="e">
        <f>VLOOKUP($B83,[53]TrtCodes!$B$11:K98,4)</f>
        <v>#N/A</v>
      </c>
      <c r="F83" s="34" t="e">
        <f>VLOOKUP($B83,[53]TrtCodes!$B$11:L98,5)</f>
        <v>#N/A</v>
      </c>
      <c r="G83" s="34" t="e">
        <f>VLOOKUP($B83,[53]TrtCodes!$B$11:M98,6)</f>
        <v>#N/A</v>
      </c>
      <c r="H83" s="34" t="e">
        <f>VLOOKUP($B83,[53]TrtCodes!$B$11:N98,7)</f>
        <v>#N/A</v>
      </c>
      <c r="I83" s="34">
        <f>[53]FormattedData!B55</f>
        <v>0</v>
      </c>
      <c r="J83" s="37">
        <f>[53]FormattedData!C55</f>
        <v>0</v>
      </c>
      <c r="K83" s="39">
        <f>$J$3+[53]FormattedData!D55*$J$4+$M$4*$J$5+[53]FormattedData!D55^2*$J$6+$M$5*$J$7</f>
        <v>-0.975385154281182</v>
      </c>
      <c r="L83" s="39">
        <f>$J$3+[53]FormattedData!E55*$J$4+$M$4*$J$5+[53]FormattedData!E55^2*$J$6+$M$5*$J$7</f>
        <v>-0.975385154281182</v>
      </c>
      <c r="M83" s="39">
        <f>$J$3+[53]FormattedData!F55*$J$4+$M$4*$J$5+[53]FormattedData!F55^2*$J$6+$M$5*$J$7</f>
        <v>-0.975385154281182</v>
      </c>
      <c r="N83" s="39">
        <f>$J$3+[53]FormattedData!G55*$J$4+$M$4*$J$5+[53]FormattedData!G55^2*$J$6+$M$5*$J$7</f>
        <v>-0.975385154281182</v>
      </c>
      <c r="O83" s="39">
        <f>$J$3+[53]FormattedData!H55*$J$4+$M$4*$J$5+[53]FormattedData!H55^2*$J$6+$M$5*$J$7</f>
        <v>-0.975385154281182</v>
      </c>
      <c r="P83" s="39">
        <f>$J$3+[53]FormattedData!I55*$J$4+$M$4*$J$5+[53]FormattedData!I55^2*$J$6+$M$5*$J$7</f>
        <v>-0.975385154281182</v>
      </c>
      <c r="Q83" s="39">
        <f>$J$3+[53]FormattedData!J55*$J$4+$M$4*$J$5+[53]FormattedData!J55^2*$J$6+$M$5*$J$7</f>
        <v>-0.975385154281182</v>
      </c>
      <c r="R83" s="39">
        <f>$J$3+[53]FormattedData!K55*$J$4+$M$4*$J$5+[53]FormattedData!K55^2*$J$6+$M$5*$J$7</f>
        <v>-0.975385154281182</v>
      </c>
      <c r="S83" s="39">
        <f>$J$3+[53]FormattedData!L55*$J$4+$M$4*$J$5+[53]FormattedData!L55^2*$J$6+$M$5*$J$7</f>
        <v>-0.975385154281182</v>
      </c>
      <c r="T83" s="39">
        <f>$J$3+[53]FormattedData!M55*$J$4+$M$4*$J$5+[53]FormattedData!M55^2*$J$6+$M$5*$J$7</f>
        <v>-0.975385154281182</v>
      </c>
      <c r="U83" s="39">
        <f>$J$3+[53]FormattedData!N55*$J$4+$M$4*$J$5+[53]FormattedData!N55^2*$J$6+$M$5*$J$7</f>
        <v>-0.975385154281182</v>
      </c>
      <c r="V83" s="39">
        <f>$J$3+[53]FormattedData!O55*$J$4+$M$4*$J$5+[53]FormattedData!O55^2*$J$6+$M$5*$J$7</f>
        <v>-0.975385154281182</v>
      </c>
      <c r="W83" s="38">
        <f>AVERAGE(K83:V83)</f>
        <v>-0.97538515428118211</v>
      </c>
      <c r="X83" s="37">
        <f>STDEV(K83:V83)/SQRT(COUNT(K83:V83))</f>
        <v>3.3474483693592253E-17</v>
      </c>
      <c r="Y83" s="36">
        <f>MIN(K83:V83)</f>
        <v>-0.975385154281182</v>
      </c>
      <c r="Z83" s="35">
        <f>QUARTILE(K83:V83,1)</f>
        <v>-0.975385154281182</v>
      </c>
      <c r="AA83" s="36">
        <f>MEDIAN(K83:V83)</f>
        <v>-0.975385154281182</v>
      </c>
      <c r="AB83" s="35">
        <f>QUARTILE(K83:V83,3)</f>
        <v>-0.975385154281182</v>
      </c>
      <c r="AC83" s="35">
        <f>MAX(K83:V83)</f>
        <v>-0.975385154281182</v>
      </c>
      <c r="AD83" s="35">
        <f>SKEW(K83:V83)</f>
        <v>1.1489125293076057</v>
      </c>
      <c r="AE83" s="35">
        <f>KURT(K83:V83)</f>
        <v>-2.4444444444444446</v>
      </c>
    </row>
    <row r="84" spans="2:31" x14ac:dyDescent="0.2">
      <c r="B84" s="34">
        <f>[53]FormattedData!A51</f>
        <v>0</v>
      </c>
      <c r="C84" s="34" t="e">
        <f>VLOOKUP($B84,[53]TrtCodes!$B$11:I94,2)</f>
        <v>#N/A</v>
      </c>
      <c r="D84" s="34" t="e">
        <f>VLOOKUP($B84,[53]TrtCodes!$B$11:J94,3)</f>
        <v>#N/A</v>
      </c>
      <c r="E84" s="34" t="e">
        <f>VLOOKUP($B84,[53]TrtCodes!$B$11:K94,4)</f>
        <v>#N/A</v>
      </c>
      <c r="F84" s="34" t="e">
        <f>VLOOKUP($B84,[53]TrtCodes!$B$11:L94,5)</f>
        <v>#N/A</v>
      </c>
      <c r="G84" s="34" t="e">
        <f>VLOOKUP($B84,[53]TrtCodes!$B$11:M94,6)</f>
        <v>#N/A</v>
      </c>
      <c r="H84" s="34" t="e">
        <f>VLOOKUP($B84,[53]TrtCodes!$B$11:N94,7)</f>
        <v>#N/A</v>
      </c>
      <c r="I84" s="34">
        <f>[53]FormattedData!B51</f>
        <v>0</v>
      </c>
      <c r="J84" s="37">
        <f>[53]FormattedData!C51</f>
        <v>0</v>
      </c>
      <c r="K84" s="39">
        <f>$J$3+[53]FormattedData!D51*$J$4+$M$4*$J$5+[53]FormattedData!D51^2*$J$6+$M$5*$J$7</f>
        <v>-0.975385154281182</v>
      </c>
      <c r="L84" s="39">
        <f>$J$3+[53]FormattedData!E51*$J$4+$M$4*$J$5+[53]FormattedData!E51^2*$J$6+$M$5*$J$7</f>
        <v>-0.975385154281182</v>
      </c>
      <c r="M84" s="39">
        <f>$J$3+[53]FormattedData!F51*$J$4+$M$4*$J$5+[53]FormattedData!F51^2*$J$6+$M$5*$J$7</f>
        <v>-0.975385154281182</v>
      </c>
      <c r="N84" s="39">
        <f>$J$3+[53]FormattedData!G51*$J$4+$M$4*$J$5+[53]FormattedData!G51^2*$J$6+$M$5*$J$7</f>
        <v>-0.975385154281182</v>
      </c>
      <c r="O84" s="39">
        <f>$J$3+[53]FormattedData!H51*$J$4+$M$4*$J$5+[53]FormattedData!H51^2*$J$6+$M$5*$J$7</f>
        <v>-0.975385154281182</v>
      </c>
      <c r="P84" s="39">
        <f>$J$3+[53]FormattedData!I51*$J$4+$M$4*$J$5+[53]FormattedData!I51^2*$J$6+$M$5*$J$7</f>
        <v>-0.975385154281182</v>
      </c>
      <c r="Q84" s="39">
        <f>$J$3+[53]FormattedData!J51*$J$4+$M$4*$J$5+[53]FormattedData!J51^2*$J$6+$M$5*$J$7</f>
        <v>-0.975385154281182</v>
      </c>
      <c r="R84" s="39">
        <f>$J$3+[53]FormattedData!K51*$J$4+$M$4*$J$5+[53]FormattedData!K51^2*$J$6+$M$5*$J$7</f>
        <v>-0.975385154281182</v>
      </c>
      <c r="S84" s="39">
        <f>$J$3+[53]FormattedData!L51*$J$4+$M$4*$J$5+[53]FormattedData!L51^2*$J$6+$M$5*$J$7</f>
        <v>-0.975385154281182</v>
      </c>
      <c r="T84" s="39">
        <f>$J$3+[53]FormattedData!M51*$J$4+$M$4*$J$5+[53]FormattedData!M51^2*$J$6+$M$5*$J$7</f>
        <v>-0.975385154281182</v>
      </c>
      <c r="U84" s="39">
        <f>$J$3+[53]FormattedData!N51*$J$4+$M$4*$J$5+[53]FormattedData!N51^2*$J$6+$M$5*$J$7</f>
        <v>-0.975385154281182</v>
      </c>
      <c r="V84" s="39">
        <f>$J$3+[53]FormattedData!O51*$J$4+$M$4*$J$5+[53]FormattedData!O51^2*$J$6+$M$5*$J$7</f>
        <v>-0.975385154281182</v>
      </c>
      <c r="W84" s="38">
        <f>AVERAGE(K84:V84)</f>
        <v>-0.97538515428118211</v>
      </c>
      <c r="X84" s="37">
        <f>STDEV(K84:V84)/SQRT(COUNT(K84:V84))</f>
        <v>3.3474483693592253E-17</v>
      </c>
      <c r="Y84" s="36">
        <f>MIN(K84:V84)</f>
        <v>-0.975385154281182</v>
      </c>
      <c r="Z84" s="35">
        <f>QUARTILE(K84:V84,1)</f>
        <v>-0.975385154281182</v>
      </c>
      <c r="AA84" s="36">
        <f>MEDIAN(K84:V84)</f>
        <v>-0.975385154281182</v>
      </c>
      <c r="AB84" s="35">
        <f>QUARTILE(K84:V84,3)</f>
        <v>-0.975385154281182</v>
      </c>
      <c r="AC84" s="35">
        <f>MAX(K84:V84)</f>
        <v>-0.975385154281182</v>
      </c>
      <c r="AD84" s="35">
        <f>SKEW(K84:V84)</f>
        <v>1.1489125293076057</v>
      </c>
      <c r="AE84" s="35">
        <f>KURT(K84:V84)</f>
        <v>-2.4444444444444446</v>
      </c>
    </row>
    <row r="85" spans="2:31" x14ac:dyDescent="0.2">
      <c r="B85" s="34">
        <f>[53]FormattedData!A47</f>
        <v>0</v>
      </c>
      <c r="C85" s="34" t="e">
        <f>VLOOKUP($B85,[53]TrtCodes!$B$11:I90,2)</f>
        <v>#N/A</v>
      </c>
      <c r="D85" s="34" t="e">
        <f>VLOOKUP($B85,[53]TrtCodes!$B$11:J90,3)</f>
        <v>#N/A</v>
      </c>
      <c r="E85" s="34" t="e">
        <f>VLOOKUP($B85,[53]TrtCodes!$B$11:K90,4)</f>
        <v>#N/A</v>
      </c>
      <c r="F85" s="34" t="e">
        <f>VLOOKUP($B85,[53]TrtCodes!$B$11:L90,5)</f>
        <v>#N/A</v>
      </c>
      <c r="G85" s="34" t="e">
        <f>VLOOKUP($B85,[53]TrtCodes!$B$11:M90,6)</f>
        <v>#N/A</v>
      </c>
      <c r="H85" s="34" t="e">
        <f>VLOOKUP($B85,[53]TrtCodes!$B$11:N90,7)</f>
        <v>#N/A</v>
      </c>
      <c r="I85" s="34">
        <f>[53]FormattedData!B47</f>
        <v>0</v>
      </c>
      <c r="J85" s="37">
        <f>[53]FormattedData!C47</f>
        <v>0</v>
      </c>
      <c r="K85" s="39">
        <f>$J$3+[53]FormattedData!D47*$J$4+$M$4*$J$5+[53]FormattedData!D47^2*$J$6+$M$5*$J$7</f>
        <v>-0.975385154281182</v>
      </c>
      <c r="L85" s="39">
        <f>$J$3+[53]FormattedData!E47*$J$4+$M$4*$J$5+[53]FormattedData!E47^2*$J$6+$M$5*$J$7</f>
        <v>-0.975385154281182</v>
      </c>
      <c r="M85" s="39">
        <f>$J$3+[53]FormattedData!F47*$J$4+$M$4*$J$5+[53]FormattedData!F47^2*$J$6+$M$5*$J$7</f>
        <v>-0.975385154281182</v>
      </c>
      <c r="N85" s="39">
        <f>$J$3+[53]FormattedData!G47*$J$4+$M$4*$J$5+[53]FormattedData!G47^2*$J$6+$M$5*$J$7</f>
        <v>-0.975385154281182</v>
      </c>
      <c r="O85" s="39">
        <f>$J$3+[53]FormattedData!H47*$J$4+$M$4*$J$5+[53]FormattedData!H47^2*$J$6+$M$5*$J$7</f>
        <v>-0.975385154281182</v>
      </c>
      <c r="P85" s="39">
        <f>$J$3+[53]FormattedData!I47*$J$4+$M$4*$J$5+[53]FormattedData!I47^2*$J$6+$M$5*$J$7</f>
        <v>-0.975385154281182</v>
      </c>
      <c r="Q85" s="39">
        <f>$J$3+[53]FormattedData!J47*$J$4+$M$4*$J$5+[53]FormattedData!J47^2*$J$6+$M$5*$J$7</f>
        <v>-0.975385154281182</v>
      </c>
      <c r="R85" s="39">
        <f>$J$3+[53]FormattedData!K47*$J$4+$M$4*$J$5+[53]FormattedData!K47^2*$J$6+$M$5*$J$7</f>
        <v>-0.975385154281182</v>
      </c>
      <c r="S85" s="39">
        <f>$J$3+[53]FormattedData!L47*$J$4+$M$4*$J$5+[53]FormattedData!L47^2*$J$6+$M$5*$J$7</f>
        <v>-0.975385154281182</v>
      </c>
      <c r="T85" s="39">
        <f>$J$3+[53]FormattedData!M47*$J$4+$M$4*$J$5+[53]FormattedData!M47^2*$J$6+$M$5*$J$7</f>
        <v>-0.975385154281182</v>
      </c>
      <c r="U85" s="39">
        <f>$J$3+[53]FormattedData!N47*$J$4+$M$4*$J$5+[53]FormattedData!N47^2*$J$6+$M$5*$J$7</f>
        <v>-0.975385154281182</v>
      </c>
      <c r="V85" s="39">
        <f>$J$3+[53]FormattedData!O47*$J$4+$M$4*$J$5+[53]FormattedData!O47^2*$J$6+$M$5*$J$7</f>
        <v>-0.975385154281182</v>
      </c>
      <c r="W85" s="38">
        <f>AVERAGE(K85:V85)</f>
        <v>-0.97538515428118211</v>
      </c>
      <c r="X85" s="37">
        <f>STDEV(K85:V85)/SQRT(COUNT(K85:V85))</f>
        <v>3.3474483693592253E-17</v>
      </c>
      <c r="Y85" s="36">
        <f>MIN(K85:V85)</f>
        <v>-0.975385154281182</v>
      </c>
      <c r="Z85" s="35">
        <f>QUARTILE(K85:V85,1)</f>
        <v>-0.975385154281182</v>
      </c>
      <c r="AA85" s="36">
        <f>MEDIAN(K85:V85)</f>
        <v>-0.975385154281182</v>
      </c>
      <c r="AB85" s="35">
        <f>QUARTILE(K85:V85,3)</f>
        <v>-0.975385154281182</v>
      </c>
      <c r="AC85" s="35">
        <f>MAX(K85:V85)</f>
        <v>-0.975385154281182</v>
      </c>
      <c r="AD85" s="35">
        <f>SKEW(K85:V85)</f>
        <v>1.1489125293076057</v>
      </c>
      <c r="AE85" s="35">
        <f>KURT(K85:V85)</f>
        <v>-2.4444444444444446</v>
      </c>
    </row>
    <row r="88" spans="2:31" x14ac:dyDescent="0.2">
      <c r="W88" s="35"/>
    </row>
  </sheetData>
  <autoFilter ref="B9:AE85" xr:uid="{7C87FE87-F865-4DDB-8043-DCA14B36C0F4}"/>
  <conditionalFormatting sqref="K10:V85">
    <cfRule type="cellIs" dxfId="207" priority="1" stopIfTrue="1" operator="lessThan">
      <formula>$W10-$V$5*$X10</formula>
    </cfRule>
    <cfRule type="cellIs" dxfId="206" priority="2" stopIfTrue="1" operator="greaterThan">
      <formula>$W10+$V$5*$X10</formula>
    </cfRule>
  </conditionalFormatting>
  <conditionalFormatting sqref="W10:W85">
    <cfRule type="cellIs" dxfId="205" priority="3" stopIfTrue="1" operator="lessThan">
      <formula>AVERAGE($W$10:$W$41)</formula>
    </cfRule>
    <cfRule type="cellIs" dxfId="20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550A-C052-4740-8C89-2E91682A5F65}">
  <sheetPr codeName="Sheet23"/>
  <dimension ref="A1:AI88"/>
  <sheetViews>
    <sheetView topLeftCell="A8" workbookViewId="0">
      <pane xSplit="4" ySplit="2" topLeftCell="O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[52]FormattedData!A1</f>
        <v>Raw data file name - 'IA132.03R'</v>
      </c>
    </row>
    <row r="2" spans="1:35" ht="15" x14ac:dyDescent="0.25">
      <c r="I2" s="65" t="s">
        <v>136</v>
      </c>
      <c r="J2" s="57"/>
      <c r="P2" s="64">
        <f>[52]AncillaryData!C10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[52]AncillaryData!E25</f>
        <v>33.1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"&amp;[52]AncillaryData!C7</f>
        <v>Time Sequence of Midday IRT Temps - FISE 2003 - DOY 132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"&amp;[52]AncillaryData!E25&amp;", VPD = "&amp;ROUND([52]AncillaryData!E29,1)&amp;", Quality = "&amp;[52]AncillaryData!C20&amp;")"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[52]FormattedData!A28</f>
        <v>101</v>
      </c>
      <c r="C10" s="34" t="str">
        <f>VLOOKUP($B10,[52]TrtCodes!$B$11:I71,2)</f>
        <v>FSH</v>
      </c>
      <c r="D10" s="34">
        <f>VLOOKUP($B10,[52]TrtCodes!$B$11:J71,3)</f>
        <v>1</v>
      </c>
      <c r="E10" s="34">
        <f>VLOOKUP($B10,[52]TrtCodes!$B$11:K71,4)</f>
        <v>1</v>
      </c>
      <c r="F10" s="34">
        <f>VLOOKUP($B10,[52]TrtCodes!$B$11:L71,5)</f>
        <v>1</v>
      </c>
      <c r="G10" s="34">
        <f>VLOOKUP($B10,[52]TrtCodes!$B$11:M71,6)</f>
        <v>2</v>
      </c>
      <c r="H10" s="34">
        <f>VLOOKUP($B10,[52]TrtCodes!$B$11:N71,7)</f>
        <v>1</v>
      </c>
      <c r="I10" s="34">
        <f>[52]FormattedData!B28</f>
        <v>1</v>
      </c>
      <c r="J10" s="37">
        <f>[52]FormattedData!C28</f>
        <v>13.103</v>
      </c>
      <c r="K10" s="39">
        <f>$J$3+[52]FormattedData!D28*$J$4+$M$4*$J$5+[52]FormattedData!D28^2*$J$6+$M$5*$J$7</f>
        <v>34.886732919281059</v>
      </c>
      <c r="L10" s="39">
        <f>$J$3+[52]FormattedData!E28*$J$4+$M$4*$J$5+[52]FormattedData!E28^2*$J$6+$M$5*$J$7</f>
        <v>35.36171430604913</v>
      </c>
      <c r="M10" s="39">
        <f>$J$3+[52]FormattedData!F28*$J$4+$M$4*$J$5+[52]FormattedData!F28^2*$J$6+$M$5*$J$7</f>
        <v>37.439078652063095</v>
      </c>
      <c r="N10" s="39">
        <f>$J$3+[52]FormattedData!G28*$J$4+$M$4*$J$5+[52]FormattedData!G28^2*$J$6+$M$5*$J$7</f>
        <v>39.867770038774204</v>
      </c>
      <c r="O10" s="39">
        <f>$J$3+[52]FormattedData!H28*$J$4+$M$4*$J$5+[52]FormattedData!H28^2*$J$6+$M$5*$J$7</f>
        <v>40.424179502219992</v>
      </c>
      <c r="P10" s="39">
        <f>$J$3+[52]FormattedData!I28*$J$4+$M$4*$J$5+[52]FormattedData!I28^2*$J$6+$M$5*$J$7</f>
        <v>38.470089085435575</v>
      </c>
      <c r="Q10" s="39">
        <f>$J$3+[52]FormattedData!J28*$J$4+$M$4*$J$5+[52]FormattedData!J28^2*$J$6+$M$5*$J$7</f>
        <v>40.053408934074518</v>
      </c>
      <c r="R10" s="39">
        <f>$J$3+[52]FormattedData!K28*$J$4+$M$4*$J$5+[52]FormattedData!K28^2*$J$6+$M$5*$J$7</f>
        <v>39.588994681789231</v>
      </c>
      <c r="S10" s="39">
        <f>$J$3+[52]FormattedData!L28*$J$4+$M$4*$J$5+[52]FormattedData!L28^2*$J$6+$M$5*$J$7</f>
        <v>41.071400657764208</v>
      </c>
      <c r="T10" s="39">
        <f>$J$3+[52]FormattedData!M28*$J$4+$M$4*$J$5+[52]FormattedData!M28^2*$J$6+$M$5*$J$7</f>
        <v>41.071400657764208</v>
      </c>
      <c r="U10" s="39">
        <f>$J$3+[52]FormattedData!N28*$J$4+$M$4*$J$5+[52]FormattedData!N28^2*$J$6+$M$5*$J$7</f>
        <v>42.451328825171757</v>
      </c>
      <c r="V10" s="39">
        <f>$J$3+[52]FormattedData!O28*$J$4+$M$4*$J$5+[52]FormattedData!O28^2*$J$6+$M$5*$J$7</f>
        <v>40.146164978917788</v>
      </c>
      <c r="W10" s="38">
        <f>AVERAGE(K10:V10)</f>
        <v>39.236021936608736</v>
      </c>
      <c r="X10" s="37">
        <f>STDEV(K10:V10)/SQRT(COUNT(K10:V10))</f>
        <v>0.66429249813218216</v>
      </c>
      <c r="Y10" s="36">
        <f>MIN(K10:V10)</f>
        <v>34.886732919281059</v>
      </c>
      <c r="Z10" s="35">
        <f>QUARTILE(K10:V10,1)</f>
        <v>38.212336477092457</v>
      </c>
      <c r="AA10" s="36">
        <f>MEDIAN(K10:V10)</f>
        <v>39.960589486424361</v>
      </c>
      <c r="AB10" s="35">
        <f>QUARTILE(K10:V10,3)</f>
        <v>40.585984791106043</v>
      </c>
      <c r="AC10" s="35">
        <f>MAX(K10:V10)</f>
        <v>42.451328825171757</v>
      </c>
      <c r="AD10" s="35">
        <f>SKEW(K10:V10)</f>
        <v>-0.87553602561441812</v>
      </c>
      <c r="AE10" s="35">
        <f>KURT(K10:V10)</f>
        <v>5.0726280805841739E-2</v>
      </c>
    </row>
    <row r="11" spans="1:35" x14ac:dyDescent="0.2">
      <c r="B11" s="34">
        <f>[52]FormattedData!A26</f>
        <v>102</v>
      </c>
      <c r="C11" s="34" t="str">
        <f>VLOOKUP($B11,[52]TrtCodes!$B$11:I69,2)</f>
        <v>FTL</v>
      </c>
      <c r="D11" s="34">
        <f>VLOOKUP($B11,[52]TrtCodes!$B$11:J69,3)</f>
        <v>4</v>
      </c>
      <c r="E11" s="34">
        <f>VLOOKUP($B11,[52]TrtCodes!$B$11:K69,4)</f>
        <v>1</v>
      </c>
      <c r="F11" s="34">
        <f>VLOOKUP($B11,[52]TrtCodes!$B$11:L69,5)</f>
        <v>2</v>
      </c>
      <c r="G11" s="34">
        <f>VLOOKUP($B11,[52]TrtCodes!$B$11:M69,6)</f>
        <v>1</v>
      </c>
      <c r="H11" s="34">
        <f>VLOOKUP($B11,[52]TrtCodes!$B$11:N69,7)</f>
        <v>1</v>
      </c>
      <c r="I11" s="34">
        <f>[52]FormattedData!B26</f>
        <v>1</v>
      </c>
      <c r="J11" s="37">
        <f>[52]FormattedData!C26</f>
        <v>13.093999999999999</v>
      </c>
      <c r="K11" s="39">
        <f>$J$3+[52]FormattedData!D26*$J$4+$M$4*$J$5+[52]FormattedData!D26^2*$J$6+$M$5*$J$7</f>
        <v>39.867770038774204</v>
      </c>
      <c r="L11" s="39">
        <f>$J$3+[52]FormattedData!E26*$J$4+$M$4*$J$5+[52]FormattedData!E26^2*$J$6+$M$5*$J$7</f>
        <v>44.730074835218758</v>
      </c>
      <c r="M11" s="39">
        <f>$J$3+[52]FormattedData!F26*$J$4+$M$4*$J$5+[52]FormattedData!F26^2*$J$6+$M$5*$J$7</f>
        <v>42.909191454077714</v>
      </c>
      <c r="N11" s="39">
        <f>$J$3+[52]FormattedData!G26*$J$4+$M$4*$J$5+[52]FormattedData!G26^2*$J$6+$M$5*$J$7</f>
        <v>41.992409482817521</v>
      </c>
      <c r="O11" s="39">
        <f>$J$3+[52]FormattedData!H26*$J$4+$M$4*$J$5+[52]FormattedData!H26^2*$J$6+$M$5*$J$7</f>
        <v>40.424179502219992</v>
      </c>
      <c r="P11" s="39">
        <f>$J$3+[52]FormattedData!I26*$J$4+$M$4*$J$5+[52]FormattedData!I26^2*$J$6+$M$5*$J$7</f>
        <v>40.146164978917788</v>
      </c>
      <c r="Q11" s="39">
        <f>$J$3+[52]FormattedData!J26*$J$4+$M$4*$J$5+[52]FormattedData!J26^2*$J$6+$M$5*$J$7</f>
        <v>38.563563695423667</v>
      </c>
      <c r="R11" s="39">
        <f>$J$3+[52]FormattedData!K26*$J$4+$M$4*$J$5+[52]FormattedData!K26^2*$J$6+$M$5*$J$7</f>
        <v>41.071400657764208</v>
      </c>
      <c r="S11" s="39">
        <f>$J$3+[52]FormattedData!L26*$J$4+$M$4*$J$5+[52]FormattedData!L26^2*$J$6+$M$5*$J$7</f>
        <v>39.216702446278248</v>
      </c>
      <c r="T11" s="39">
        <f>$J$3+[52]FormattedData!M26*$J$4+$M$4*$J$5+[52]FormattedData!M26^2*$J$6+$M$5*$J$7</f>
        <v>39.588994681789231</v>
      </c>
      <c r="U11" s="39">
        <f>$J$3+[52]FormattedData!N26*$J$4+$M$4*$J$5+[52]FormattedData!N26^2*$J$6+$M$5*$J$7</f>
        <v>39.96061062069333</v>
      </c>
      <c r="V11" s="39">
        <f>$J$3+[52]FormattedData!O26*$J$4+$M$4*$J$5+[52]FormattedData!O26^2*$J$6+$M$5*$J$7</f>
        <v>40.331550262990518</v>
      </c>
      <c r="W11" s="38">
        <f>AVERAGE(K11:V11)</f>
        <v>40.733551054747103</v>
      </c>
      <c r="X11" s="37">
        <f>STDEV(K11:V11)/SQRT(COUNT(K11:V11))</f>
        <v>0.4975204882422915</v>
      </c>
      <c r="Y11" s="36">
        <f>MIN(K11:V11)</f>
        <v>38.563563695423667</v>
      </c>
      <c r="Z11" s="35">
        <f>QUARTILE(K11:V11,1)</f>
        <v>39.798076199527962</v>
      </c>
      <c r="AA11" s="36">
        <f>MEDIAN(K11:V11)</f>
        <v>40.23885762095415</v>
      </c>
      <c r="AB11" s="35">
        <f>QUARTILE(K11:V11,3)</f>
        <v>41.301652864027538</v>
      </c>
      <c r="AC11" s="35">
        <f>MAX(K11:V11)</f>
        <v>44.730074835218758</v>
      </c>
      <c r="AD11" s="35">
        <f>SKEW(K11:V11)</f>
        <v>1.2690003952550946</v>
      </c>
      <c r="AE11" s="35">
        <f>KURT(K11:V11)</f>
        <v>1.508592749590651</v>
      </c>
    </row>
    <row r="12" spans="1:35" x14ac:dyDescent="0.2">
      <c r="B12" s="34">
        <f>[52]FormattedData!A24</f>
        <v>103</v>
      </c>
      <c r="C12" s="34" t="str">
        <f>VLOOKUP($B12,[52]TrtCodes!$B$11:I67,2)</f>
        <v>FDH</v>
      </c>
      <c r="D12" s="34">
        <f>VLOOKUP($B12,[52]TrtCodes!$B$11:J67,3)</f>
        <v>5</v>
      </c>
      <c r="E12" s="34">
        <f>VLOOKUP($B12,[52]TrtCodes!$B$11:K67,4)</f>
        <v>1</v>
      </c>
      <c r="F12" s="34">
        <f>VLOOKUP($B12,[52]TrtCodes!$B$11:L67,5)</f>
        <v>3</v>
      </c>
      <c r="G12" s="34">
        <f>VLOOKUP($B12,[52]TrtCodes!$B$11:M67,6)</f>
        <v>2</v>
      </c>
      <c r="H12" s="34">
        <f>VLOOKUP($B12,[52]TrtCodes!$B$11:N67,7)</f>
        <v>1</v>
      </c>
      <c r="I12" s="34">
        <f>[52]FormattedData!B24</f>
        <v>1</v>
      </c>
      <c r="J12" s="37">
        <f>[52]FormattedData!C24</f>
        <v>13.085000000000001</v>
      </c>
      <c r="K12" s="39">
        <f>$J$3+[52]FormattedData!D24*$J$4+$M$4*$J$5+[52]FormattedData!D24^2*$J$6+$M$5*$J$7</f>
        <v>38.37657220690955</v>
      </c>
      <c r="L12" s="39">
        <f>$J$3+[52]FormattedData!E24*$J$4+$M$4*$J$5+[52]FormattedData!E24^2*$J$6+$M$5*$J$7</f>
        <v>45.001749077831299</v>
      </c>
      <c r="M12" s="39">
        <f>$J$3+[52]FormattedData!F24*$J$4+$M$4*$J$5+[52]FormattedData!F24^2*$J$6+$M$5*$J$7</f>
        <v>41.532433427015</v>
      </c>
      <c r="N12" s="39">
        <f>$J$3+[52]FormattedData!G24*$J$4+$M$4*$J$5+[52]FormattedData!G24^2*$J$6+$M$5*$J$7</f>
        <v>42.267887893843856</v>
      </c>
      <c r="O12" s="39">
        <f>$J$3+[52]FormattedData!H24*$J$4+$M$4*$J$5+[52]FormattedData!H24^2*$J$6+$M$5*$J$7</f>
        <v>40.238878755223112</v>
      </c>
      <c r="P12" s="39">
        <f>$J$3+[52]FormattedData!I24*$J$4+$M$4*$J$5+[52]FormattedData!I24^2*$J$6+$M$5*$J$7</f>
        <v>39.681962069322154</v>
      </c>
      <c r="Q12" s="39">
        <f>$J$3+[52]FormattedData!J24*$J$4+$M$4*$J$5+[52]FormattedData!J24^2*$J$6+$M$5*$J$7</f>
        <v>43.274720723519721</v>
      </c>
      <c r="R12" s="39">
        <f>$J$3+[52]FormattedData!K24*$J$4+$M$4*$J$5+[52]FormattedData!K24^2*$J$6+$M$5*$J$7</f>
        <v>43.365997369535393</v>
      </c>
      <c r="S12" s="39">
        <f>$J$3+[52]FormattedData!L24*$J$4+$M$4*$J$5+[52]FormattedData!L24^2*$J$6+$M$5*$J$7</f>
        <v>40.979067298300251</v>
      </c>
      <c r="T12" s="39">
        <f>$J$3+[52]FormattedData!M24*$J$4+$M$4*$J$5+[52]FormattedData!M24^2*$J$6+$M$5*$J$7</f>
        <v>40.424179502219992</v>
      </c>
      <c r="U12" s="39">
        <f>$J$3+[52]FormattedData!N24*$J$4+$M$4*$J$5+[52]FormattedData!N24^2*$J$6+$M$5*$J$7</f>
        <v>41.348147124928481</v>
      </c>
      <c r="V12" s="39">
        <f>$J$3+[52]FormattedData!O24*$J$4+$M$4*$J$5+[52]FormattedData!O24^2*$J$6+$M$5*$J$7</f>
        <v>41.348147124928481</v>
      </c>
      <c r="W12" s="38">
        <f>AVERAGE(K12:V12)</f>
        <v>41.486645214464772</v>
      </c>
      <c r="X12" s="37">
        <f>STDEV(K12:V12)/SQRT(COUNT(K12:V12))</f>
        <v>0.51938745302413813</v>
      </c>
      <c r="Y12" s="36">
        <f>MIN(K12:V12)</f>
        <v>38.37657220690955</v>
      </c>
      <c r="Z12" s="35">
        <f>QUARTILE(K12:V12,1)</f>
        <v>40.377854315470771</v>
      </c>
      <c r="AA12" s="36">
        <f>MEDIAN(K12:V12)</f>
        <v>41.348147124928481</v>
      </c>
      <c r="AB12" s="35">
        <f>QUARTILE(K12:V12,3)</f>
        <v>42.51959610126282</v>
      </c>
      <c r="AC12" s="35">
        <f>MAX(K12:V12)</f>
        <v>45.001749077831299</v>
      </c>
      <c r="AD12" s="35">
        <f>SKEW(K12:V12)</f>
        <v>0.31889954647922353</v>
      </c>
      <c r="AE12" s="35">
        <f>KURT(K12:V12)</f>
        <v>0.23221229252894737</v>
      </c>
    </row>
    <row r="13" spans="1:35" x14ac:dyDescent="0.2">
      <c r="B13" s="34">
        <f>[52]FormattedData!A22</f>
        <v>104</v>
      </c>
      <c r="C13" s="34" t="str">
        <f>VLOOKUP($B13,[52]TrtCodes!$B$11:I65,2)</f>
        <v>NTL</v>
      </c>
      <c r="D13" s="34">
        <f>VLOOKUP($B13,[52]TrtCodes!$B$11:J65,3)</f>
        <v>10</v>
      </c>
      <c r="E13" s="34">
        <f>VLOOKUP($B13,[52]TrtCodes!$B$11:K65,4)</f>
        <v>2</v>
      </c>
      <c r="F13" s="34">
        <f>VLOOKUP($B13,[52]TrtCodes!$B$11:L65,5)</f>
        <v>2</v>
      </c>
      <c r="G13" s="34">
        <f>VLOOKUP($B13,[52]TrtCodes!$B$11:M65,6)</f>
        <v>1</v>
      </c>
      <c r="H13" s="34">
        <f>VLOOKUP($B13,[52]TrtCodes!$B$11:N65,7)</f>
        <v>1</v>
      </c>
      <c r="I13" s="34">
        <f>[52]FormattedData!B22</f>
        <v>1</v>
      </c>
      <c r="J13" s="37">
        <f>[52]FormattedData!C22</f>
        <v>13.077</v>
      </c>
      <c r="K13" s="39">
        <f>$J$3+[52]FormattedData!D22*$J$4+$M$4*$J$5+[52]FormattedData!D22^2*$J$6+$M$5*$J$7</f>
        <v>32.39979548730085</v>
      </c>
      <c r="L13" s="39">
        <f>$J$3+[52]FormattedData!E22*$J$4+$M$4*$J$5+[52]FormattedData!E22^2*$J$6+$M$5*$J$7</f>
        <v>42.451328825171757</v>
      </c>
      <c r="M13" s="39">
        <f>$J$3+[52]FormattedData!F22*$J$4+$M$4*$J$5+[52]FormattedData!F22^2*$J$6+$M$5*$J$7</f>
        <v>38.470089085435575</v>
      </c>
      <c r="N13" s="39">
        <f>$J$3+[52]FormattedData!G22*$J$4+$M$4*$J$5+[52]FormattedData!G22^2*$J$6+$M$5*$J$7</f>
        <v>41.808545866110308</v>
      </c>
      <c r="O13" s="39">
        <f>$J$3+[52]FormattedData!H22*$J$4+$M$4*$J$5+[52]FormattedData!H22^2*$J$6+$M$5*$J$7</f>
        <v>38.002082007426147</v>
      </c>
      <c r="P13" s="39">
        <f>$J$3+[52]FormattedData!I22*$J$4+$M$4*$J$5+[52]FormattedData!I22^2*$J$6+$M$5*$J$7</f>
        <v>39.96061062069333</v>
      </c>
      <c r="Q13" s="39">
        <f>$J$3+[52]FormattedData!J22*$J$4+$M$4*$J$5+[52]FormattedData!J22^2*$J$6+$M$5*$J$7</f>
        <v>40.053408934074518</v>
      </c>
      <c r="R13" s="39">
        <f>$J$3+[52]FormattedData!K22*$J$4+$M$4*$J$5+[52]FormattedData!K22^2*$J$6+$M$5*$J$7</f>
        <v>36.214017884341999</v>
      </c>
      <c r="S13" s="39">
        <f>$J$3+[52]FormattedData!L22*$J$4+$M$4*$J$5+[52]FormattedData!L22^2*$J$6+$M$5*$J$7</f>
        <v>38.937039449996732</v>
      </c>
      <c r="T13" s="39">
        <f>$J$3+[52]FormattedData!M22*$J$4+$M$4*$J$5+[52]FormattedData!M22^2*$J$6+$M$5*$J$7</f>
        <v>37.157006349119506</v>
      </c>
      <c r="U13" s="39">
        <f>$J$3+[52]FormattedData!N22*$J$4+$M$4*$J$5+[52]FormattedData!N22^2*$J$6+$M$5*$J$7</f>
        <v>37.439078652063095</v>
      </c>
      <c r="V13" s="39">
        <f>$J$3+[52]FormattedData!O22*$J$4+$M$4*$J$5+[52]FormattedData!O22^2*$J$6+$M$5*$J$7</f>
        <v>37.439078652063095</v>
      </c>
      <c r="W13" s="38">
        <f>AVERAGE(K13:V13)</f>
        <v>38.36100681781641</v>
      </c>
      <c r="X13" s="37">
        <f>STDEV(K13:V13)/SQRT(COUNT(K13:V13))</f>
        <v>0.76775389956080553</v>
      </c>
      <c r="Y13" s="36">
        <f>MIN(K13:V13)</f>
        <v>32.39979548730085</v>
      </c>
      <c r="Z13" s="35">
        <f>QUARTILE(K13:V13,1)</f>
        <v>37.368560576327198</v>
      </c>
      <c r="AA13" s="36">
        <f>MEDIAN(K13:V13)</f>
        <v>38.236085546430857</v>
      </c>
      <c r="AB13" s="35">
        <f>QUARTILE(K13:V13,3)</f>
        <v>39.983810199038629</v>
      </c>
      <c r="AC13" s="35">
        <f>MAX(K13:V13)</f>
        <v>42.451328825171757</v>
      </c>
      <c r="AD13" s="35">
        <f>SKEW(K13:V13)</f>
        <v>-0.61788322772739646</v>
      </c>
      <c r="AE13" s="35">
        <f>KURT(K13:V13)</f>
        <v>1.3953154462717698</v>
      </c>
    </row>
    <row r="14" spans="1:35" x14ac:dyDescent="0.2">
      <c r="B14" s="34">
        <f>[52]FormattedData!A20</f>
        <v>105</v>
      </c>
      <c r="C14" s="34" t="str">
        <f>VLOOKUP($B14,[52]TrtCodes!$B$11:I63,2)</f>
        <v>NDL</v>
      </c>
      <c r="D14" s="34">
        <f>VLOOKUP($B14,[52]TrtCodes!$B$11:J63,3)</f>
        <v>12</v>
      </c>
      <c r="E14" s="34">
        <f>VLOOKUP($B14,[52]TrtCodes!$B$11:K63,4)</f>
        <v>2</v>
      </c>
      <c r="F14" s="34">
        <f>VLOOKUP($B14,[52]TrtCodes!$B$11:L63,5)</f>
        <v>3</v>
      </c>
      <c r="G14" s="34">
        <f>VLOOKUP($B14,[52]TrtCodes!$B$11:M63,6)</f>
        <v>1</v>
      </c>
      <c r="H14" s="34">
        <f>VLOOKUP($B14,[52]TrtCodes!$B$11:N63,7)</f>
        <v>2</v>
      </c>
      <c r="I14" s="34">
        <f>[52]FormattedData!B20</f>
        <v>1</v>
      </c>
      <c r="J14" s="37">
        <f>[52]FormattedData!C20</f>
        <v>13.068</v>
      </c>
      <c r="K14" s="39">
        <f>$J$3+[52]FormattedData!D20*$J$4+$M$4*$J$5+[52]FormattedData!D20^2*$J$6+$M$5*$J$7</f>
        <v>33.263891987676502</v>
      </c>
      <c r="L14" s="39">
        <f>$J$3+[52]FormattedData!E20*$J$4+$M$4*$J$5+[52]FormattedData!E20^2*$J$6+$M$5*$J$7</f>
        <v>37.720770538165311</v>
      </c>
      <c r="M14" s="39">
        <f>$J$3+[52]FormattedData!F20*$J$4+$M$4*$J$5+[52]FormattedData!F20^2*$J$6+$M$5*$J$7</f>
        <v>38.002082007426147</v>
      </c>
      <c r="N14" s="39">
        <f>$J$3+[52]FormattedData!G20*$J$4+$M$4*$J$5+[52]FormattedData!G20^2*$J$6+$M$5*$J$7</f>
        <v>40.609311175065137</v>
      </c>
      <c r="O14" s="39">
        <f>$J$3+[52]FormattedData!H20*$J$4+$M$4*$J$5+[52]FormattedData!H20^2*$J$6+$M$5*$J$7</f>
        <v>35.646195915654801</v>
      </c>
      <c r="P14" s="39">
        <f>$J$3+[52]FormattedData!I20*$J$4+$M$4*$J$5+[52]FormattedData!I20^2*$J$6+$M$5*$J$7</f>
        <v>41.532433427015</v>
      </c>
      <c r="Q14" s="39">
        <f>$J$3+[52]FormattedData!J20*$J$4+$M$4*$J$5+[52]FormattedData!J20^2*$J$6+$M$5*$J$7</f>
        <v>36.686040473454895</v>
      </c>
      <c r="R14" s="39">
        <f>$J$3+[52]FormattedData!K20*$J$4+$M$4*$J$5+[52]FormattedData!K20^2*$J$6+$M$5*$J$7</f>
        <v>40.331550262990518</v>
      </c>
      <c r="S14" s="39">
        <f>$J$3+[52]FormattedData!L20*$J$4+$M$4*$J$5+[52]FormattedData!L20^2*$J$6+$M$5*$J$7</f>
        <v>43.821746571544793</v>
      </c>
      <c r="T14" s="39">
        <f>$J$3+[52]FormattedData!M20*$J$4+$M$4*$J$5+[52]FormattedData!M20^2*$J$6+$M$5*$J$7</f>
        <v>36.119486560905628</v>
      </c>
      <c r="U14" s="39">
        <f>$J$3+[52]FormattedData!N20*$J$4+$M$4*$J$5+[52]FormattedData!N20^2*$J$6+$M$5*$J$7</f>
        <v>39.681962069322154</v>
      </c>
      <c r="V14" s="39">
        <f>$J$3+[52]FormattedData!O20*$J$4+$M$4*$J$5+[52]FormattedData!O20^2*$J$6+$M$5*$J$7</f>
        <v>36.497358243423527</v>
      </c>
      <c r="W14" s="38">
        <f>AVERAGE(K14:V14)</f>
        <v>38.326069102720368</v>
      </c>
      <c r="X14" s="37">
        <f>STDEV(K14:V14)/SQRT(COUNT(K14:V14))</f>
        <v>0.85164027591508962</v>
      </c>
      <c r="Y14" s="36">
        <f>MIN(K14:V14)</f>
        <v>33.263891987676502</v>
      </c>
      <c r="Z14" s="35">
        <f>QUARTILE(K14:V14,1)</f>
        <v>36.40289032279405</v>
      </c>
      <c r="AA14" s="36">
        <f>MEDIAN(K14:V14)</f>
        <v>37.861426272795725</v>
      </c>
      <c r="AB14" s="35">
        <f>QUARTILE(K14:V14,3)</f>
        <v>40.400990491009175</v>
      </c>
      <c r="AC14" s="35">
        <f>MAX(K14:V14)</f>
        <v>43.821746571544793</v>
      </c>
      <c r="AD14" s="35">
        <f>SKEW(K14:V14)</f>
        <v>0.21631705023604911</v>
      </c>
      <c r="AE14" s="35">
        <f>KURT(K14:V14)</f>
        <v>-0.2575093101503696</v>
      </c>
    </row>
    <row r="15" spans="1:35" x14ac:dyDescent="0.2">
      <c r="B15" s="34">
        <f>[52]FormattedData!A18</f>
        <v>106</v>
      </c>
      <c r="C15" s="34" t="str">
        <f>VLOOKUP($B15,[52]TrtCodes!$B$11:I61,2)</f>
        <v>NTH</v>
      </c>
      <c r="D15" s="34">
        <f>VLOOKUP($B15,[52]TrtCodes!$B$11:J61,3)</f>
        <v>9</v>
      </c>
      <c r="E15" s="34">
        <f>VLOOKUP($B15,[52]TrtCodes!$B$11:K61,4)</f>
        <v>2</v>
      </c>
      <c r="F15" s="34">
        <f>VLOOKUP($B15,[52]TrtCodes!$B$11:L61,5)</f>
        <v>2</v>
      </c>
      <c r="G15" s="34">
        <f>VLOOKUP($B15,[52]TrtCodes!$B$11:M61,6)</f>
        <v>2</v>
      </c>
      <c r="H15" s="34">
        <f>VLOOKUP($B15,[52]TrtCodes!$B$11:N61,7)</f>
        <v>2</v>
      </c>
      <c r="I15" s="34">
        <f>[52]FormattedData!B18</f>
        <v>1</v>
      </c>
      <c r="J15" s="37">
        <f>[52]FormattedData!C18</f>
        <v>13.06</v>
      </c>
      <c r="K15" s="39">
        <f>$J$3+[52]FormattedData!D18*$J$4+$M$4*$J$5+[52]FormattedData!D18^2*$J$6+$M$5*$J$7</f>
        <v>36.96874680446745</v>
      </c>
      <c r="L15" s="39">
        <f>$J$3+[52]FormattedData!E18*$J$4+$M$4*$J$5+[52]FormattedData!E18^2*$J$6+$M$5*$J$7</f>
        <v>37.439078652063095</v>
      </c>
      <c r="M15" s="39">
        <f>$J$3+[52]FormattedData!F18*$J$4+$M$4*$J$5+[52]FormattedData!F18^2*$J$6+$M$5*$J$7</f>
        <v>40.238878755223112</v>
      </c>
      <c r="N15" s="39">
        <f>$J$3+[52]FormattedData!G18*$J$4+$M$4*$J$5+[52]FormattedData!G18^2*$J$6+$M$5*$J$7</f>
        <v>41.992409482817521</v>
      </c>
      <c r="O15" s="39">
        <f>$J$3+[52]FormattedData!H18*$J$4+$M$4*$J$5+[52]FormattedData!H18^2*$J$6+$M$5*$J$7</f>
        <v>36.59172049270817</v>
      </c>
      <c r="P15" s="39">
        <f>$J$3+[52]FormattedData!I18*$J$4+$M$4*$J$5+[52]FormattedData!I18^2*$J$6+$M$5*$J$7</f>
        <v>40.238878755223112</v>
      </c>
      <c r="Q15" s="39">
        <f>$J$3+[52]FormattedData!J18*$J$4+$M$4*$J$5+[52]FormattedData!J18^2*$J$6+$M$5*$J$7</f>
        <v>42.909191454077714</v>
      </c>
      <c r="R15" s="39">
        <f>$J$3+[52]FormattedData!K18*$J$4+$M$4*$J$5+[52]FormattedData!K18^2*$J$6+$M$5*$J$7</f>
        <v>38.937039449996732</v>
      </c>
      <c r="S15" s="39">
        <f>$J$3+[52]FormattedData!L18*$J$4+$M$4*$J$5+[52]FormattedData!L18^2*$J$6+$M$5*$J$7</f>
        <v>43.548423855952954</v>
      </c>
      <c r="T15" s="39">
        <f>$J$3+[52]FormattedData!M18*$J$4+$M$4*$J$5+[52]FormattedData!M18^2*$J$6+$M$5*$J$7</f>
        <v>35.45658377778895</v>
      </c>
      <c r="U15" s="39">
        <f>$J$3+[52]FormattedData!N18*$J$4+$M$4*$J$5+[52]FormattedData!N18^2*$J$6+$M$5*$J$7</f>
        <v>43.63957369635483</v>
      </c>
      <c r="V15" s="39">
        <f>$J$3+[52]FormattedData!O18*$J$4+$M$4*$J$5+[52]FormattedData!O18^2*$J$6+$M$5*$J$7</f>
        <v>42.726173208129126</v>
      </c>
      <c r="W15" s="38">
        <f>AVERAGE(K15:V15)</f>
        <v>40.057224865400222</v>
      </c>
      <c r="X15" s="37">
        <f>STDEV(K15:V15)/SQRT(COUNT(K15:V15))</f>
        <v>0.84796301671494312</v>
      </c>
      <c r="Y15" s="36">
        <f>MIN(K15:V15)</f>
        <v>35.45658377778895</v>
      </c>
      <c r="Z15" s="35">
        <f>QUARTILE(K15:V15,1)</f>
        <v>37.321495690164184</v>
      </c>
      <c r="AA15" s="36">
        <f>MEDIAN(K15:V15)</f>
        <v>40.238878755223112</v>
      </c>
      <c r="AB15" s="35">
        <f>QUARTILE(K15:V15,3)</f>
        <v>42.771927769616269</v>
      </c>
      <c r="AC15" s="35">
        <f>MAX(K15:V15)</f>
        <v>43.63957369635483</v>
      </c>
      <c r="AD15" s="35">
        <f>SKEW(K15:V15)</f>
        <v>-0.21441201707969776</v>
      </c>
      <c r="AE15" s="35">
        <f>KURT(K15:V15)</f>
        <v>-1.5444244389885382</v>
      </c>
    </row>
    <row r="16" spans="1:35" x14ac:dyDescent="0.2">
      <c r="B16" s="34">
        <f>[52]FormattedData!A16</f>
        <v>107</v>
      </c>
      <c r="C16" s="34" t="str">
        <f>VLOOKUP($B16,[52]TrtCodes!$B$11:I59,2)</f>
        <v>NTL</v>
      </c>
      <c r="D16" s="34">
        <f>VLOOKUP($B16,[52]TrtCodes!$B$11:J59,3)</f>
        <v>10</v>
      </c>
      <c r="E16" s="34">
        <f>VLOOKUP($B16,[52]TrtCodes!$B$11:K59,4)</f>
        <v>2</v>
      </c>
      <c r="F16" s="34">
        <f>VLOOKUP($B16,[52]TrtCodes!$B$11:L59,5)</f>
        <v>2</v>
      </c>
      <c r="G16" s="34">
        <f>VLOOKUP($B16,[52]TrtCodes!$B$11:M59,6)</f>
        <v>1</v>
      </c>
      <c r="H16" s="34">
        <f>VLOOKUP($B16,[52]TrtCodes!$B$11:N59,7)</f>
        <v>2</v>
      </c>
      <c r="I16" s="34">
        <f>[52]FormattedData!B16</f>
        <v>1</v>
      </c>
      <c r="J16" s="37">
        <f>[52]FormattedData!C16</f>
        <v>13.051</v>
      </c>
      <c r="K16" s="39">
        <f>$J$3+[52]FormattedData!D16*$J$4+$M$4*$J$5+[52]FormattedData!D16^2*$J$6+$M$5*$J$7</f>
        <v>36.96874680446745</v>
      </c>
      <c r="L16" s="39">
        <f>$J$3+[52]FormattedData!E16*$J$4+$M$4*$J$5+[52]FormattedData!E16^2*$J$6+$M$5*$J$7</f>
        <v>39.030302717295164</v>
      </c>
      <c r="M16" s="39">
        <f>$J$3+[52]FormattedData!F16*$J$4+$M$4*$J$5+[52]FormattedData!F16^2*$J$6+$M$5*$J$7</f>
        <v>44.639432217272059</v>
      </c>
      <c r="N16" s="39">
        <f>$J$3+[52]FormattedData!G16*$J$4+$M$4*$J$5+[52]FormattedData!G16^2*$J$6+$M$5*$J$7</f>
        <v>43.63957369635483</v>
      </c>
      <c r="O16" s="39">
        <f>$J$3+[52]FormattedData!H16*$J$4+$M$4*$J$5+[52]FormattedData!H16^2*$J$6+$M$5*$J$7</f>
        <v>45.904582431574227</v>
      </c>
      <c r="P16" s="39">
        <f>$J$3+[52]FormattedData!I16*$J$4+$M$4*$J$5+[52]FormattedData!I16^2*$J$6+$M$5*$J$7</f>
        <v>44.82067518462754</v>
      </c>
      <c r="Q16" s="39">
        <f>$J$3+[52]FormattedData!J16*$J$4+$M$4*$J$5+[52]FormattedData!J16^2*$J$6+$M$5*$J$7</f>
        <v>42.359629493776765</v>
      </c>
      <c r="R16" s="39">
        <f>$J$3+[52]FormattedData!K16*$J$4+$M$4*$J$5+[52]FormattedData!K16^2*$J$6+$M$5*$J$7</f>
        <v>44.094688870295265</v>
      </c>
      <c r="S16" s="39">
        <f>$J$3+[52]FormattedData!L16*$J$4+$M$4*$J$5+[52]FormattedData!L16^2*$J$6+$M$5*$J$7</f>
        <v>40.609311175065137</v>
      </c>
      <c r="T16" s="39">
        <f>$J$3+[52]FormattedData!M16*$J$4+$M$4*$J$5+[52]FormattedData!M16^2*$J$6+$M$5*$J$7</f>
        <v>44.730074835218758</v>
      </c>
      <c r="U16" s="39">
        <f>$J$3+[52]FormattedData!N16*$J$4+$M$4*$J$5+[52]FormattedData!N16^2*$J$6+$M$5*$J$7</f>
        <v>44.730074835218758</v>
      </c>
      <c r="V16" s="39">
        <f>$J$3+[52]FormattedData!O16*$J$4+$M$4*$J$5+[52]FormattedData!O16^2*$J$6+$M$5*$J$7</f>
        <v>43.548423855952954</v>
      </c>
      <c r="W16" s="38">
        <f>AVERAGE(K16:V16)</f>
        <v>42.922959676426579</v>
      </c>
      <c r="X16" s="37">
        <f>STDEV(K16:V16)/SQRT(COUNT(K16:V16))</f>
        <v>0.78103678466334103</v>
      </c>
      <c r="Y16" s="36">
        <f>MIN(K16:V16)</f>
        <v>36.96874680446745</v>
      </c>
      <c r="Z16" s="35">
        <f>QUARTILE(K16:V16,1)</f>
        <v>41.922049914098857</v>
      </c>
      <c r="AA16" s="36">
        <f>MEDIAN(K16:V16)</f>
        <v>43.867131283325051</v>
      </c>
      <c r="AB16" s="35">
        <f>QUARTILE(K16:V16,3)</f>
        <v>44.730074835218758</v>
      </c>
      <c r="AC16" s="35">
        <f>MAX(K16:V16)</f>
        <v>45.904582431574227</v>
      </c>
      <c r="AD16" s="35">
        <f>SKEW(K16:V16)</f>
        <v>-1.268066235366897</v>
      </c>
      <c r="AE16" s="35">
        <f>KURT(K16:V16)</f>
        <v>0.78803156839882149</v>
      </c>
    </row>
    <row r="17" spans="2:31" x14ac:dyDescent="0.2">
      <c r="B17" s="34">
        <f>[52]FormattedData!A14</f>
        <v>108</v>
      </c>
      <c r="C17" s="34" t="str">
        <f>VLOOKUP($B17,[52]TrtCodes!$B$11:I57,2)</f>
        <v>FTH</v>
      </c>
      <c r="D17" s="34">
        <f>VLOOKUP($B17,[52]TrtCodes!$B$11:J57,3)</f>
        <v>3</v>
      </c>
      <c r="E17" s="34">
        <f>VLOOKUP($B17,[52]TrtCodes!$B$11:K57,4)</f>
        <v>1</v>
      </c>
      <c r="F17" s="34">
        <f>VLOOKUP($B17,[52]TrtCodes!$B$11:L57,5)</f>
        <v>2</v>
      </c>
      <c r="G17" s="34">
        <f>VLOOKUP($B17,[52]TrtCodes!$B$11:M57,6)</f>
        <v>2</v>
      </c>
      <c r="H17" s="34">
        <f>VLOOKUP($B17,[52]TrtCodes!$B$11:N57,7)</f>
        <v>2</v>
      </c>
      <c r="I17" s="34">
        <f>[52]FormattedData!B14</f>
        <v>1</v>
      </c>
      <c r="J17" s="37">
        <f>[52]FormattedData!C14</f>
        <v>13.042999999999999</v>
      </c>
      <c r="K17" s="39">
        <f>$J$3+[52]FormattedData!D14*$J$4+$M$4*$J$5+[52]FormattedData!D14^2*$J$6+$M$5*$J$7</f>
        <v>37.157006349119506</v>
      </c>
      <c r="L17" s="39">
        <f>$J$3+[52]FormattedData!E14*$J$4+$M$4*$J$5+[52]FormattedData!E14^2*$J$6+$M$5*$J$7</f>
        <v>37.908353786210462</v>
      </c>
      <c r="M17" s="39">
        <f>$J$3+[52]FormattedData!F14*$J$4+$M$4*$J$5+[52]FormattedData!F14^2*$J$6+$M$5*$J$7</f>
        <v>44.276439060105915</v>
      </c>
      <c r="N17" s="39">
        <f>$J$3+[52]FormattedData!G14*$J$4+$M$4*$J$5+[52]FormattedData!G14^2*$J$6+$M$5*$J$7</f>
        <v>42.359629493776765</v>
      </c>
      <c r="O17" s="39">
        <f>$J$3+[52]FormattedData!H14*$J$4+$M$4*$J$5+[52]FormattedData!H14^2*$J$6+$M$5*$J$7</f>
        <v>43.183401808966117</v>
      </c>
      <c r="P17" s="39">
        <f>$J$3+[52]FormattedData!I14*$J$4+$M$4*$J$5+[52]FormattedData!I14^2*$J$6+$M$5*$J$7</f>
        <v>41.25594057107832</v>
      </c>
      <c r="Q17" s="39">
        <f>$J$3+[52]FormattedData!J14*$J$4+$M$4*$J$5+[52]FormattedData!J14^2*$J$6+$M$5*$J$7</f>
        <v>45.092222621626277</v>
      </c>
      <c r="R17" s="39">
        <f>$J$3+[52]FormattedData!K14*$J$4+$M$4*$J$5+[52]FormattedData!K14^2*$J$6+$M$5*$J$7</f>
        <v>36.497358243423527</v>
      </c>
      <c r="S17" s="39">
        <f>$J$3+[52]FormattedData!L14*$J$4+$M$4*$J$5+[52]FormattedData!L14^2*$J$6+$M$5*$J$7</f>
        <v>43.183401808966117</v>
      </c>
      <c r="T17" s="39">
        <f>$J$3+[52]FormattedData!M14*$J$4+$M$4*$J$5+[52]FormattedData!M14^2*$J$6+$M$5*$J$7</f>
        <v>36.308506939240431</v>
      </c>
      <c r="U17" s="39">
        <f>$J$3+[52]FormattedData!N14*$J$4+$M$4*$J$5+[52]FormattedData!N14^2*$J$6+$M$5*$J$7</f>
        <v>41.071400657764208</v>
      </c>
      <c r="V17" s="39">
        <f>$J$3+[52]FormattedData!O14*$J$4+$M$4*$J$5+[52]FormattedData!O14^2*$J$6+$M$5*$J$7</f>
        <v>37.814583296456846</v>
      </c>
      <c r="W17" s="38">
        <f>AVERAGE(K17:V17)</f>
        <v>40.509020386394546</v>
      </c>
      <c r="X17" s="37">
        <f>STDEV(K17:V17)/SQRT(COUNT(K17:V17))</f>
        <v>0.92441601570117127</v>
      </c>
      <c r="Y17" s="36">
        <f>MIN(K17:V17)</f>
        <v>36.308506939240431</v>
      </c>
      <c r="Z17" s="35">
        <f>QUARTILE(K17:V17,1)</f>
        <v>37.650189059622512</v>
      </c>
      <c r="AA17" s="36">
        <f>MEDIAN(K17:V17)</f>
        <v>41.163670614421264</v>
      </c>
      <c r="AB17" s="35">
        <f>QUARTILE(K17:V17,3)</f>
        <v>43.183401808966117</v>
      </c>
      <c r="AC17" s="35">
        <f>MAX(K17:V17)</f>
        <v>45.092222621626277</v>
      </c>
      <c r="AD17" s="35">
        <f>SKEW(K17:V17)</f>
        <v>-6.1645874837035514E-2</v>
      </c>
      <c r="AE17" s="35">
        <f>KURT(K17:V17)</f>
        <v>-1.7074101039276322</v>
      </c>
    </row>
    <row r="18" spans="2:31" x14ac:dyDescent="0.2">
      <c r="B18" s="34">
        <f>[52]FormattedData!A30</f>
        <v>201</v>
      </c>
      <c r="C18" s="34" t="str">
        <f>VLOOKUP($B18,[52]TrtCodes!$B$11:I73,2)</f>
        <v>NDL</v>
      </c>
      <c r="D18" s="34">
        <f>VLOOKUP($B18,[52]TrtCodes!$B$11:J73,3)</f>
        <v>12</v>
      </c>
      <c r="E18" s="34">
        <f>VLOOKUP($B18,[52]TrtCodes!$B$11:K73,4)</f>
        <v>2</v>
      </c>
      <c r="F18" s="34">
        <f>VLOOKUP($B18,[52]TrtCodes!$B$11:L73,5)</f>
        <v>3</v>
      </c>
      <c r="G18" s="34">
        <f>VLOOKUP($B18,[52]TrtCodes!$B$11:M73,6)</f>
        <v>1</v>
      </c>
      <c r="H18" s="34">
        <f>VLOOKUP($B18,[52]TrtCodes!$B$11:N73,7)</f>
        <v>1</v>
      </c>
      <c r="I18" s="34">
        <f>[52]FormattedData!B30</f>
        <v>1</v>
      </c>
      <c r="J18" s="37">
        <f>[52]FormattedData!C30</f>
        <v>13.135</v>
      </c>
      <c r="K18" s="39">
        <f>$J$3+[52]FormattedData!D30*$J$4+$M$4*$J$5+[52]FormattedData!D30^2*$J$6+$M$5*$J$7</f>
        <v>36.497358243423527</v>
      </c>
      <c r="L18" s="39">
        <f>$J$3+[52]FormattedData!E30*$J$4+$M$4*$J$5+[52]FormattedData!E30^2*$J$6+$M$5*$J$7</f>
        <v>42.909191454077714</v>
      </c>
      <c r="M18" s="39">
        <f>$J$3+[52]FormattedData!F30*$J$4+$M$4*$J$5+[52]FormattedData!F30^2*$J$6+$M$5*$J$7</f>
        <v>40.794273773758562</v>
      </c>
      <c r="N18" s="39">
        <f>$J$3+[52]FormattedData!G30*$J$4+$M$4*$J$5+[52]FormattedData!G30^2*$J$6+$M$5*$J$7</f>
        <v>41.808545866110308</v>
      </c>
      <c r="O18" s="39">
        <f>$J$3+[52]FormattedData!H30*$J$4+$M$4*$J$5+[52]FormattedData!H30^2*$J$6+$M$5*$J$7</f>
        <v>42.817703465372389</v>
      </c>
      <c r="P18" s="39">
        <f>$J$3+[52]FormattedData!I30*$J$4+$M$4*$J$5+[52]FormattedData!I30^2*$J$6+$M$5*$J$7</f>
        <v>42.267887893843856</v>
      </c>
      <c r="Q18" s="39">
        <f>$J$3+[52]FormattedData!J30*$J$4+$M$4*$J$5+[52]FormattedData!J30^2*$J$6+$M$5*$J$7</f>
        <v>43.730681268218781</v>
      </c>
      <c r="R18" s="39">
        <f>$J$3+[52]FormattedData!K30*$J$4+$M$4*$J$5+[52]FormattedData!K30^2*$J$6+$M$5*$J$7</f>
        <v>39.030302717295164</v>
      </c>
      <c r="S18" s="39">
        <f>$J$3+[52]FormattedData!L30*$J$4+$M$4*$J$5+[52]FormattedData!L30^2*$J$6+$M$5*$J$7</f>
        <v>42.084277888364234</v>
      </c>
      <c r="T18" s="39">
        <f>$J$3+[52]FormattedData!M30*$J$4+$M$4*$J$5+[52]FormattedData!M30^2*$J$6+$M$5*$J$7</f>
        <v>37.720770538165311</v>
      </c>
      <c r="U18" s="39">
        <f>$J$3+[52]FormattedData!N30*$J$4+$M$4*$J$5+[52]FormattedData!N30^2*$J$6+$M$5*$J$7</f>
        <v>41.624513175251373</v>
      </c>
      <c r="V18" s="39">
        <f>$J$3+[52]FormattedData!O30*$J$4+$M$4*$J$5+[52]FormattedData!O30^2*$J$6+$M$5*$J$7</f>
        <v>36.96874680446745</v>
      </c>
      <c r="W18" s="38">
        <f>AVERAGE(K18:V18)</f>
        <v>40.687854424029062</v>
      </c>
      <c r="X18" s="37">
        <f>STDEV(K18:V18)/SQRT(COUNT(K18:V18))</f>
        <v>0.71913027634802351</v>
      </c>
      <c r="Y18" s="36">
        <f>MIN(K18:V18)</f>
        <v>36.497358243423527</v>
      </c>
      <c r="Z18" s="35">
        <f>QUARTILE(K18:V18,1)</f>
        <v>38.702919672512699</v>
      </c>
      <c r="AA18" s="36">
        <f>MEDIAN(K18:V18)</f>
        <v>41.716529520680837</v>
      </c>
      <c r="AB18" s="35">
        <f>QUARTILE(K18:V18,3)</f>
        <v>42.405341786725991</v>
      </c>
      <c r="AC18" s="35">
        <f>MAX(K18:V18)</f>
        <v>43.730681268218781</v>
      </c>
      <c r="AD18" s="35">
        <f>SKEW(K18:V18)</f>
        <v>-0.69161287403762806</v>
      </c>
      <c r="AE18" s="35">
        <f>KURT(K18:V18)</f>
        <v>-1.0555865944572633</v>
      </c>
    </row>
    <row r="19" spans="2:31" x14ac:dyDescent="0.2">
      <c r="B19" s="34">
        <f>[52]FormattedData!A32</f>
        <v>202</v>
      </c>
      <c r="C19" s="34" t="str">
        <f>VLOOKUP($B19,[52]TrtCodes!$B$11:I75,2)</f>
        <v>NTH</v>
      </c>
      <c r="D19" s="34">
        <f>VLOOKUP($B19,[52]TrtCodes!$B$11:J75,3)</f>
        <v>9</v>
      </c>
      <c r="E19" s="34">
        <f>VLOOKUP($B19,[52]TrtCodes!$B$11:K75,4)</f>
        <v>2</v>
      </c>
      <c r="F19" s="34">
        <f>VLOOKUP($B19,[52]TrtCodes!$B$11:L75,5)</f>
        <v>2</v>
      </c>
      <c r="G19" s="34">
        <f>VLOOKUP($B19,[52]TrtCodes!$B$11:M75,6)</f>
        <v>2</v>
      </c>
      <c r="H19" s="34">
        <f>VLOOKUP($B19,[52]TrtCodes!$B$11:N75,7)</f>
        <v>1</v>
      </c>
      <c r="I19" s="34">
        <f>[52]FormattedData!B32</f>
        <v>1</v>
      </c>
      <c r="J19" s="37">
        <f>[52]FormattedData!C32</f>
        <v>13.14</v>
      </c>
      <c r="K19" s="39">
        <f>$J$3+[52]FormattedData!D32*$J$4+$M$4*$J$5+[52]FormattedData!D32^2*$J$6+$M$5*$J$7</f>
        <v>38.84373391416036</v>
      </c>
      <c r="L19" s="39">
        <f>$J$3+[52]FormattedData!E32*$J$4+$M$4*$J$5+[52]FormattedData!E32^2*$J$6+$M$5*$J$7</f>
        <v>39.774887188317145</v>
      </c>
      <c r="M19" s="39">
        <f>$J$3+[52]FormattedData!F32*$J$4+$M$4*$J$5+[52]FormattedData!F32^2*$J$6+$M$5*$J$7</f>
        <v>40.701813608680808</v>
      </c>
      <c r="N19" s="39">
        <f>$J$3+[52]FormattedData!G32*$J$4+$M$4*$J$5+[52]FormattedData!G32^2*$J$6+$M$5*$J$7</f>
        <v>42.084277888364234</v>
      </c>
      <c r="O19" s="39">
        <f>$J$3+[52]FormattedData!H32*$J$4+$M$4*$J$5+[52]FormattedData!H32^2*$J$6+$M$5*$J$7</f>
        <v>38.937039449996732</v>
      </c>
      <c r="P19" s="39">
        <f>$J$3+[52]FormattedData!I32*$J$4+$M$4*$J$5+[52]FormattedData!I32^2*$J$6+$M$5*$J$7</f>
        <v>39.123523716055672</v>
      </c>
      <c r="Q19" s="39">
        <f>$J$3+[52]FormattedData!J32*$J$4+$M$4*$J$5+[52]FormattedData!J32^2*$J$6+$M$5*$J$7</f>
        <v>39.96061062069333</v>
      </c>
      <c r="R19" s="39">
        <f>$J$3+[52]FormattedData!K32*$J$4+$M$4*$J$5+[52]FormattedData!K32^2*$J$6+$M$5*$J$7</f>
        <v>38.563563695423667</v>
      </c>
      <c r="S19" s="39">
        <f>$J$3+[52]FormattedData!L32*$J$4+$M$4*$J$5+[52]FormattedData!L32^2*$J$6+$M$5*$J$7</f>
        <v>41.808545866110308</v>
      </c>
      <c r="T19" s="39">
        <f>$J$3+[52]FormattedData!M32*$J$4+$M$4*$J$5+[52]FormattedData!M32^2*$J$6+$M$5*$J$7</f>
        <v>35.740938581780831</v>
      </c>
      <c r="U19" s="39">
        <f>$J$3+[52]FormattedData!N32*$J$4+$M$4*$J$5+[52]FormattedData!N32^2*$J$6+$M$5*$J$7</f>
        <v>42.817703465372389</v>
      </c>
      <c r="V19" s="39">
        <f>$J$3+[52]FormattedData!O32*$J$4+$M$4*$J$5+[52]FormattedData!O32^2*$J$6+$M$5*$J$7</f>
        <v>37.251072718638632</v>
      </c>
      <c r="W19" s="38">
        <f>AVERAGE(K19:V19)</f>
        <v>39.633975892799512</v>
      </c>
      <c r="X19" s="37">
        <f>STDEV(K19:V19)/SQRT(COUNT(K19:V19))</f>
        <v>0.58701990603241716</v>
      </c>
      <c r="Y19" s="36">
        <f>MIN(K19:V19)</f>
        <v>35.740938581780831</v>
      </c>
      <c r="Z19" s="35">
        <f>QUARTILE(K19:V19,1)</f>
        <v>38.773691359476189</v>
      </c>
      <c r="AA19" s="36">
        <f>MEDIAN(K19:V19)</f>
        <v>39.449205452186405</v>
      </c>
      <c r="AB19" s="35">
        <f>QUARTILE(K19:V19,3)</f>
        <v>40.97849667303818</v>
      </c>
      <c r="AC19" s="35">
        <f>MAX(K19:V19)</f>
        <v>42.817703465372389</v>
      </c>
      <c r="AD19" s="35">
        <f>SKEW(K19:V19)</f>
        <v>-0.21021660971610104</v>
      </c>
      <c r="AE19" s="35">
        <f>KURT(K19:V19)</f>
        <v>-0.10380790248109539</v>
      </c>
    </row>
    <row r="20" spans="2:31" x14ac:dyDescent="0.2">
      <c r="B20" s="34">
        <f>[52]FormattedData!A34</f>
        <v>203</v>
      </c>
      <c r="C20" s="34" t="str">
        <f>VLOOKUP($B20,[52]TrtCodes!$B$11:I77,2)</f>
        <v>FTH</v>
      </c>
      <c r="D20" s="34">
        <f>VLOOKUP($B20,[52]TrtCodes!$B$11:J77,3)</f>
        <v>3</v>
      </c>
      <c r="E20" s="34">
        <f>VLOOKUP($B20,[52]TrtCodes!$B$11:K77,4)</f>
        <v>1</v>
      </c>
      <c r="F20" s="34">
        <f>VLOOKUP($B20,[52]TrtCodes!$B$11:L77,5)</f>
        <v>2</v>
      </c>
      <c r="G20" s="34">
        <f>VLOOKUP($B20,[52]TrtCodes!$B$11:M77,6)</f>
        <v>2</v>
      </c>
      <c r="H20" s="34">
        <f>VLOOKUP($B20,[52]TrtCodes!$B$11:N77,7)</f>
        <v>1</v>
      </c>
      <c r="I20" s="34">
        <f>[52]FormattedData!B34</f>
        <v>1</v>
      </c>
      <c r="J20" s="37">
        <f>[52]FormattedData!C34</f>
        <v>13.148</v>
      </c>
      <c r="K20" s="39">
        <f>$J$3+[52]FormattedData!D34*$J$4+$M$4*$J$5+[52]FormattedData!D34^2*$J$6+$M$5*$J$7</f>
        <v>36.686040473454895</v>
      </c>
      <c r="L20" s="39">
        <f>$J$3+[52]FormattedData!E34*$J$4+$M$4*$J$5+[52]FormattedData!E34^2*$J$6+$M$5*$J$7</f>
        <v>41.532433427015</v>
      </c>
      <c r="M20" s="39">
        <f>$J$3+[52]FormattedData!F34*$J$4+$M$4*$J$5+[52]FormattedData!F34^2*$J$6+$M$5*$J$7</f>
        <v>42.084277888364234</v>
      </c>
      <c r="N20" s="39">
        <f>$J$3+[52]FormattedData!G34*$J$4+$M$4*$J$5+[52]FormattedData!G34^2*$J$6+$M$5*$J$7</f>
        <v>42.817703465372389</v>
      </c>
      <c r="O20" s="39">
        <f>$J$3+[52]FormattedData!H34*$J$4+$M$4*$J$5+[52]FormattedData!H34^2*$J$6+$M$5*$J$7</f>
        <v>41.440311410240703</v>
      </c>
      <c r="P20" s="39">
        <f>$J$3+[52]FormattedData!I34*$J$4+$M$4*$J$5+[52]FormattedData!I34^2*$J$6+$M$5*$J$7</f>
        <v>42.63460068234793</v>
      </c>
      <c r="Q20" s="39">
        <f>$J$3+[52]FormattedData!J34*$J$4+$M$4*$J$5+[52]FormattedData!J34^2*$J$6+$M$5*$J$7</f>
        <v>40.979067298300251</v>
      </c>
      <c r="R20" s="39">
        <f>$J$3+[52]FormattedData!K34*$J$4+$M$4*$J$5+[52]FormattedData!K34^2*$J$6+$M$5*$J$7</f>
        <v>46.803188931524033</v>
      </c>
      <c r="S20" s="39">
        <f>$J$3+[52]FormattedData!L34*$J$4+$M$4*$J$5+[52]FormattedData!L34^2*$J$6+$M$5*$J$7</f>
        <v>38.656996036873828</v>
      </c>
      <c r="T20" s="39">
        <f>$J$3+[52]FormattedData!M34*$J$4+$M$4*$J$5+[52]FormattedData!M34^2*$J$6+$M$5*$J$7</f>
        <v>42.267887893843856</v>
      </c>
      <c r="U20" s="39">
        <f>$J$3+[52]FormattedData!N34*$J$4+$M$4*$J$5+[52]FormattedData!N34^2*$J$6+$M$5*$J$7</f>
        <v>39.774887188317145</v>
      </c>
      <c r="V20" s="39">
        <f>$J$3+[52]FormattedData!O34*$J$4+$M$4*$J$5+[52]FormattedData!O34^2*$J$6+$M$5*$J$7</f>
        <v>44.639432217272059</v>
      </c>
      <c r="W20" s="38">
        <f>AVERAGE(K20:V20)</f>
        <v>41.693068909410528</v>
      </c>
      <c r="X20" s="37">
        <f>STDEV(K20:V20)/SQRT(COUNT(K20:V20))</f>
        <v>0.75876749867260629</v>
      </c>
      <c r="Y20" s="36">
        <f>MIN(K20:V20)</f>
        <v>36.686040473454895</v>
      </c>
      <c r="Z20" s="35">
        <f>QUARTILE(K20:V20,1)</f>
        <v>40.678022270804476</v>
      </c>
      <c r="AA20" s="36">
        <f>MEDIAN(K20:V20)</f>
        <v>41.808355657689617</v>
      </c>
      <c r="AB20" s="35">
        <f>QUARTILE(K20:V20,3)</f>
        <v>42.680376378104043</v>
      </c>
      <c r="AC20" s="35">
        <f>MAX(K20:V20)</f>
        <v>46.803188931524033</v>
      </c>
      <c r="AD20" s="35">
        <f>SKEW(K20:V20)</f>
        <v>3.4301788289918971E-3</v>
      </c>
      <c r="AE20" s="35">
        <f>KURT(K20:V20)</f>
        <v>0.87602981354485721</v>
      </c>
    </row>
    <row r="21" spans="2:31" x14ac:dyDescent="0.2">
      <c r="B21" s="34">
        <f>[52]FormattedData!A36</f>
        <v>204</v>
      </c>
      <c r="C21" s="34" t="str">
        <f>VLOOKUP($B21,[52]TrtCodes!$B$11:I79,2)</f>
        <v>NDH</v>
      </c>
      <c r="D21" s="34">
        <f>VLOOKUP($B21,[52]TrtCodes!$B$11:J79,3)</f>
        <v>11</v>
      </c>
      <c r="E21" s="34">
        <f>VLOOKUP($B21,[52]TrtCodes!$B$11:K79,4)</f>
        <v>2</v>
      </c>
      <c r="F21" s="34">
        <f>VLOOKUP($B21,[52]TrtCodes!$B$11:L79,5)</f>
        <v>3</v>
      </c>
      <c r="G21" s="34">
        <f>VLOOKUP($B21,[52]TrtCodes!$B$11:M79,6)</f>
        <v>2</v>
      </c>
      <c r="H21" s="34">
        <f>VLOOKUP($B21,[52]TrtCodes!$B$11:N79,7)</f>
        <v>1</v>
      </c>
      <c r="I21" s="34">
        <f>[52]FormattedData!B36</f>
        <v>1</v>
      </c>
      <c r="J21" s="37">
        <f>[52]FormattedData!C36</f>
        <v>13.153</v>
      </c>
      <c r="K21" s="39">
        <f>$J$3+[52]FormattedData!D36*$J$4+$M$4*$J$5+[52]FormattedData!D36^2*$J$6+$M$5*$J$7</f>
        <v>39.402933101109603</v>
      </c>
      <c r="L21" s="39">
        <f>$J$3+[52]FormattedData!E36*$J$4+$M$4*$J$5+[52]FormattedData!E36^2*$J$6+$M$5*$J$7</f>
        <v>36.497358243423527</v>
      </c>
      <c r="M21" s="39">
        <f>$J$3+[52]FormattedData!F36*$J$4+$M$4*$J$5+[52]FormattedData!F36^2*$J$6+$M$5*$J$7</f>
        <v>42.267887893843856</v>
      </c>
      <c r="N21" s="39">
        <f>$J$3+[52]FormattedData!G36*$J$4+$M$4*$J$5+[52]FormattedData!G36^2*$J$6+$M$5*$J$7</f>
        <v>45.543956312532224</v>
      </c>
      <c r="O21" s="39">
        <f>$J$3+[52]FormattedData!H36*$J$4+$M$4*$J$5+[52]FormattedData!H36^2*$J$6+$M$5*$J$7</f>
        <v>39.402933101109603</v>
      </c>
      <c r="P21" s="39">
        <f>$J$3+[52]FormattedData!I36*$J$4+$M$4*$J$5+[52]FormattedData!I36^2*$J$6+$M$5*$J$7</f>
        <v>44.911233265498389</v>
      </c>
      <c r="Q21" s="39">
        <f>$J$3+[52]FormattedData!J36*$J$4+$M$4*$J$5+[52]FormattedData!J36^2*$J$6+$M$5*$J$7</f>
        <v>38.470089085435575</v>
      </c>
      <c r="R21" s="39">
        <f>$J$3+[52]FormattedData!K36*$J$4+$M$4*$J$5+[52]FormattedData!K36^2*$J$6+$M$5*$J$7</f>
        <v>43.274720723519721</v>
      </c>
      <c r="S21" s="39">
        <f>$J$3+[52]FormattedData!L36*$J$4+$M$4*$J$5+[52]FormattedData!L36^2*$J$6+$M$5*$J$7</f>
        <v>43.365997369535393</v>
      </c>
      <c r="T21" s="39">
        <f>$J$3+[52]FormattedData!M36*$J$4+$M$4*$J$5+[52]FormattedData!M36^2*$J$6+$M$5*$J$7</f>
        <v>39.774887188317145</v>
      </c>
      <c r="U21" s="39">
        <f>$J$3+[52]FormattedData!N36*$J$4+$M$4*$J$5+[52]FormattedData!N36^2*$J$6+$M$5*$J$7</f>
        <v>43.274720723519721</v>
      </c>
      <c r="V21" s="39">
        <f>$J$3+[52]FormattedData!O36*$J$4+$M$4*$J$5+[52]FormattedData!O36^2*$J$6+$M$5*$J$7</f>
        <v>37.06289771106244</v>
      </c>
      <c r="W21" s="38">
        <f>AVERAGE(K21:V21)</f>
        <v>41.104134559908942</v>
      </c>
      <c r="X21" s="37">
        <f>STDEV(K21:V21)/SQRT(COUNT(K21:V21))</f>
        <v>0.87968013199282991</v>
      </c>
      <c r="Y21" s="36">
        <f>MIN(K21:V21)</f>
        <v>36.497358243423527</v>
      </c>
      <c r="Z21" s="35">
        <f>QUARTILE(K21:V21,1)</f>
        <v>39.169722097191098</v>
      </c>
      <c r="AA21" s="36">
        <f>MEDIAN(K21:V21)</f>
        <v>41.0213875410805</v>
      </c>
      <c r="AB21" s="35">
        <f>QUARTILE(K21:V21,3)</f>
        <v>43.297539885023639</v>
      </c>
      <c r="AC21" s="35">
        <f>MAX(K21:V21)</f>
        <v>45.543956312532224</v>
      </c>
      <c r="AD21" s="35">
        <f>SKEW(K21:V21)</f>
        <v>-6.9156511614509142E-2</v>
      </c>
      <c r="AE21" s="35">
        <f>KURT(K21:V21)</f>
        <v>-1.3723719484157844</v>
      </c>
    </row>
    <row r="22" spans="2:31" x14ac:dyDescent="0.2">
      <c r="B22" s="34">
        <f>[52]FormattedData!A38</f>
        <v>205</v>
      </c>
      <c r="C22" s="34" t="str">
        <f>VLOOKUP($B22,[52]TrtCodes!$B$11:I81,2)</f>
        <v>FSH</v>
      </c>
      <c r="D22" s="34">
        <f>VLOOKUP($B22,[52]TrtCodes!$B$11:J81,3)</f>
        <v>1</v>
      </c>
      <c r="E22" s="34">
        <f>VLOOKUP($B22,[52]TrtCodes!$B$11:K81,4)</f>
        <v>1</v>
      </c>
      <c r="F22" s="34">
        <f>VLOOKUP($B22,[52]TrtCodes!$B$11:L81,5)</f>
        <v>1</v>
      </c>
      <c r="G22" s="34">
        <f>VLOOKUP($B22,[52]TrtCodes!$B$11:M81,6)</f>
        <v>2</v>
      </c>
      <c r="H22" s="34">
        <f>VLOOKUP($B22,[52]TrtCodes!$B$11:N81,7)</f>
        <v>2</v>
      </c>
      <c r="I22" s="34">
        <f>[52]FormattedData!B38</f>
        <v>1</v>
      </c>
      <c r="J22" s="37">
        <f>[52]FormattedData!C38</f>
        <v>13.159000000000001</v>
      </c>
      <c r="K22" s="39">
        <f>$J$3+[52]FormattedData!D38*$J$4+$M$4*$J$5+[52]FormattedData!D38^2*$J$6+$M$5*$J$7</f>
        <v>34.219983699212655</v>
      </c>
      <c r="L22" s="39">
        <f>$J$3+[52]FormattedData!E38*$J$4+$M$4*$J$5+[52]FormattedData!E38^2*$J$6+$M$5*$J$7</f>
        <v>41.716550654949806</v>
      </c>
      <c r="M22" s="39">
        <f>$J$3+[52]FormattedData!F38*$J$4+$M$4*$J$5+[52]FormattedData!F38^2*$J$6+$M$5*$J$7</f>
        <v>39.309838907962892</v>
      </c>
      <c r="N22" s="39">
        <f>$J$3+[52]FormattedData!G38*$J$4+$M$4*$J$5+[52]FormattedData!G38^2*$J$6+$M$5*$J$7</f>
        <v>42.176104025373007</v>
      </c>
      <c r="O22" s="39">
        <f>$J$3+[52]FormattedData!H38*$J$4+$M$4*$J$5+[52]FormattedData!H38^2*$J$6+$M$5*$J$7</f>
        <v>37.439078652063095</v>
      </c>
      <c r="P22" s="39">
        <f>$J$3+[52]FormattedData!I38*$J$4+$M$4*$J$5+[52]FormattedData!I38^2*$J$6+$M$5*$J$7</f>
        <v>37.345096819619826</v>
      </c>
      <c r="Q22" s="39">
        <f>$J$3+[52]FormattedData!J38*$J$4+$M$4*$J$5+[52]FormattedData!J38^2*$J$6+$M$5*$J$7</f>
        <v>41.440311410240703</v>
      </c>
      <c r="R22" s="39">
        <f>$J$3+[52]FormattedData!K38*$J$4+$M$4*$J$5+[52]FormattedData!K38^2*$J$6+$M$5*$J$7</f>
        <v>37.157006349119506</v>
      </c>
      <c r="S22" s="39">
        <f>$J$3+[52]FormattedData!L38*$J$4+$M$4*$J$5+[52]FormattedData!L38^2*$J$6+$M$5*$J$7</f>
        <v>42.909191454077714</v>
      </c>
      <c r="T22" s="39">
        <f>$J$3+[52]FormattedData!M38*$J$4+$M$4*$J$5+[52]FormattedData!M38^2*$J$6+$M$5*$J$7</f>
        <v>37.345096819619826</v>
      </c>
      <c r="U22" s="39">
        <f>$J$3+[52]FormattedData!N38*$J$4+$M$4*$J$5+[52]FormattedData!N38^2*$J$6+$M$5*$J$7</f>
        <v>43.365997369535393</v>
      </c>
      <c r="V22" s="39">
        <f>$J$3+[52]FormattedData!O38*$J$4+$M$4*$J$5+[52]FormattedData!O38^2*$J$6+$M$5*$J$7</f>
        <v>39.588994681789231</v>
      </c>
      <c r="W22" s="38">
        <f>AVERAGE(K22:V22)</f>
        <v>39.501104236963641</v>
      </c>
      <c r="X22" s="37">
        <f>STDEV(K22:V22)/SQRT(COUNT(K22:V22))</f>
        <v>0.82275788185313015</v>
      </c>
      <c r="Y22" s="36">
        <f>MIN(K22:V22)</f>
        <v>34.219983699212655</v>
      </c>
      <c r="Z22" s="35">
        <f>QUARTILE(K22:V22,1)</f>
        <v>37.345096819619826</v>
      </c>
      <c r="AA22" s="36">
        <f>MEDIAN(K22:V22)</f>
        <v>39.449416794876058</v>
      </c>
      <c r="AB22" s="35">
        <f>QUARTILE(K22:V22,3)</f>
        <v>41.831438997555608</v>
      </c>
      <c r="AC22" s="35">
        <f>MAX(K22:V22)</f>
        <v>43.365997369535393</v>
      </c>
      <c r="AD22" s="35">
        <f>SKEW(K22:V22)</f>
        <v>-0.25616806073289783</v>
      </c>
      <c r="AE22" s="35">
        <f>KURT(K22:V22)</f>
        <v>-0.88872713365801648</v>
      </c>
    </row>
    <row r="23" spans="2:31" x14ac:dyDescent="0.2">
      <c r="B23" s="34">
        <f>[52]FormattedData!A40</f>
        <v>206</v>
      </c>
      <c r="C23" s="34" t="str">
        <f>VLOOKUP($B23,[52]TrtCodes!$B$11:I83,2)</f>
        <v>NSL</v>
      </c>
      <c r="D23" s="34">
        <f>VLOOKUP($B23,[52]TrtCodes!$B$11:J83,3)</f>
        <v>8</v>
      </c>
      <c r="E23" s="34">
        <f>VLOOKUP($B23,[52]TrtCodes!$B$11:K83,4)</f>
        <v>2</v>
      </c>
      <c r="F23" s="34">
        <f>VLOOKUP($B23,[52]TrtCodes!$B$11:L83,5)</f>
        <v>1</v>
      </c>
      <c r="G23" s="34">
        <f>VLOOKUP($B23,[52]TrtCodes!$B$11:M83,6)</f>
        <v>1</v>
      </c>
      <c r="H23" s="34">
        <f>VLOOKUP($B23,[52]TrtCodes!$B$11:N83,7)</f>
        <v>2</v>
      </c>
      <c r="I23" s="34">
        <f>[52]FormattedData!B40</f>
        <v>1</v>
      </c>
      <c r="J23" s="37">
        <f>[52]FormattedData!C40</f>
        <v>13.164</v>
      </c>
      <c r="K23" s="39">
        <f>$J$3+[52]FormattedData!D40*$J$4+$M$4*$J$5+[52]FormattedData!D40^2*$J$6+$M$5*$J$7</f>
        <v>36.024912968931325</v>
      </c>
      <c r="L23" s="39">
        <f>$J$3+[52]FormattedData!E40*$J$4+$M$4*$J$5+[52]FormattedData!E40^2*$J$6+$M$5*$J$7</f>
        <v>37.439078652063095</v>
      </c>
      <c r="M23" s="39">
        <f>$J$3+[52]FormattedData!F40*$J$4+$M$4*$J$5+[52]FormattedData!F40^2*$J$6+$M$5*$J$7</f>
        <v>41.071400657764208</v>
      </c>
      <c r="N23" s="39">
        <f>$J$3+[52]FormattedData!G40*$J$4+$M$4*$J$5+[52]FormattedData!G40^2*$J$6+$M$5*$J$7</f>
        <v>40.424179502219992</v>
      </c>
      <c r="O23" s="39">
        <f>$J$3+[52]FormattedData!H40*$J$4+$M$4*$J$5+[52]FormattedData!H40^2*$J$6+$M$5*$J$7</f>
        <v>44.548747330787421</v>
      </c>
      <c r="P23" s="39">
        <f>$J$3+[52]FormattedData!I40*$J$4+$M$4*$J$5+[52]FormattedData!I40^2*$J$6+$M$5*$J$7</f>
        <v>40.886691670298376</v>
      </c>
      <c r="Q23" s="39">
        <f>$J$3+[52]FormattedData!J40*$J$4+$M$4*$J$5+[52]FormattedData!J40^2*$J$6+$M$5*$J$7</f>
        <v>45.634176245099624</v>
      </c>
      <c r="R23" s="39">
        <f>$J$3+[52]FormattedData!K40*$J$4+$M$4*$J$5+[52]FormattedData!K40^2*$J$6+$M$5*$J$7</f>
        <v>40.146164978917788</v>
      </c>
      <c r="S23" s="39">
        <f>$J$3+[52]FormattedData!L40*$J$4+$M$4*$J$5+[52]FormattedData!L40^2*$J$6+$M$5*$J$7</f>
        <v>43.000637174245114</v>
      </c>
      <c r="T23" s="39">
        <f>$J$3+[52]FormattedData!M40*$J$4+$M$4*$J$5+[52]FormattedData!M40^2*$J$6+$M$5*$J$7</f>
        <v>41.808545866110308</v>
      </c>
      <c r="U23" s="39">
        <f>$J$3+[52]FormattedData!N40*$J$4+$M$4*$J$5+[52]FormattedData!N40^2*$J$6+$M$5*$J$7</f>
        <v>45.001749077831299</v>
      </c>
      <c r="V23" s="39">
        <f>$J$3+[52]FormattedData!O40*$J$4+$M$4*$J$5+[52]FormattedData!O40^2*$J$6+$M$5*$J$7</f>
        <v>41.348147124928481</v>
      </c>
      <c r="W23" s="38">
        <f>AVERAGE(K23:V23)</f>
        <v>41.444535937433081</v>
      </c>
      <c r="X23" s="37">
        <f>STDEV(K23:V23)/SQRT(COUNT(K23:V23))</f>
        <v>0.83029540402514612</v>
      </c>
      <c r="Y23" s="36">
        <f>MIN(K23:V23)</f>
        <v>36.024912968931325</v>
      </c>
      <c r="Z23" s="35">
        <f>QUARTILE(K23:V23,1)</f>
        <v>40.354675871394441</v>
      </c>
      <c r="AA23" s="36">
        <f>MEDIAN(K23:V23)</f>
        <v>41.209773891346344</v>
      </c>
      <c r="AB23" s="35">
        <f>QUARTILE(K23:V23,3)</f>
        <v>43.387664713380687</v>
      </c>
      <c r="AC23" s="35">
        <f>MAX(K23:V23)</f>
        <v>45.634176245099624</v>
      </c>
      <c r="AD23" s="35">
        <f>SKEW(K23:V23)</f>
        <v>-0.34222926657448305</v>
      </c>
      <c r="AE23" s="35">
        <f>KURT(K23:V23)</f>
        <v>-0.13951429017920303</v>
      </c>
    </row>
    <row r="24" spans="2:31" x14ac:dyDescent="0.2">
      <c r="B24" s="34">
        <f>[52]FormattedData!A42</f>
        <v>207</v>
      </c>
      <c r="C24" s="34" t="str">
        <f>VLOOKUP($B24,[52]TrtCodes!$B$11:I85,2)</f>
        <v>FTL</v>
      </c>
      <c r="D24" s="34">
        <f>VLOOKUP($B24,[52]TrtCodes!$B$11:J85,3)</f>
        <v>4</v>
      </c>
      <c r="E24" s="34">
        <f>VLOOKUP($B24,[52]TrtCodes!$B$11:K85,4)</f>
        <v>1</v>
      </c>
      <c r="F24" s="34">
        <f>VLOOKUP($B24,[52]TrtCodes!$B$11:L85,5)</f>
        <v>2</v>
      </c>
      <c r="G24" s="34">
        <f>VLOOKUP($B24,[52]TrtCodes!$B$11:M85,6)</f>
        <v>1</v>
      </c>
      <c r="H24" s="34">
        <f>VLOOKUP($B24,[52]TrtCodes!$B$11:N85,7)</f>
        <v>2</v>
      </c>
      <c r="I24" s="34">
        <f>[52]FormattedData!B42</f>
        <v>1</v>
      </c>
      <c r="J24" s="37">
        <f>[52]FormattedData!C42</f>
        <v>13.169</v>
      </c>
      <c r="K24" s="39">
        <f>$J$3+[52]FormattedData!D42*$J$4+$M$4*$J$5+[52]FormattedData!D42^2*$J$6+$M$5*$J$7</f>
        <v>38.189411644243705</v>
      </c>
      <c r="L24" s="39">
        <f>$J$3+[52]FormattedData!E42*$J$4+$M$4*$J$5+[52]FormattedData!E42^2*$J$6+$M$5*$J$7</f>
        <v>45.634176245099624</v>
      </c>
      <c r="M24" s="39">
        <f>$J$3+[52]FormattedData!F42*$J$4+$M$4*$J$5+[52]FormattedData!F42^2*$J$6+$M$5*$J$7</f>
        <v>42.451328825171757</v>
      </c>
      <c r="N24" s="39">
        <f>$J$3+[52]FormattedData!G42*$J$4+$M$4*$J$5+[52]FormattedData!G42^2*$J$6+$M$5*$J$7</f>
        <v>42.267887893843856</v>
      </c>
      <c r="O24" s="39">
        <f>$J$3+[52]FormattedData!H42*$J$4+$M$4*$J$5+[52]FormattedData!H42^2*$J$6+$M$5*$J$7</f>
        <v>43.000637174245114</v>
      </c>
      <c r="P24" s="39">
        <f>$J$3+[52]FormattedData!I42*$J$4+$M$4*$J$5+[52]FormattedData!I42^2*$J$6+$M$5*$J$7</f>
        <v>43.548423855952954</v>
      </c>
      <c r="Q24" s="39">
        <f>$J$3+[52]FormattedData!J42*$J$4+$M$4*$J$5+[52]FormattedData!J42^2*$J$6+$M$5*$J$7</f>
        <v>46.084641879867632</v>
      </c>
      <c r="R24" s="39">
        <f>$J$3+[52]FormattedData!K42*$J$4+$M$4*$J$5+[52]FormattedData!K42^2*$J$6+$M$5*$J$7</f>
        <v>39.867770038774204</v>
      </c>
      <c r="S24" s="39">
        <f>$J$3+[52]FormattedData!L42*$J$4+$M$4*$J$5+[52]FormattedData!L42^2*$J$6+$M$5*$J$7</f>
        <v>46.354414038273269</v>
      </c>
      <c r="T24" s="39">
        <f>$J$3+[52]FormattedData!M42*$J$4+$M$4*$J$5+[52]FormattedData!M42^2*$J$6+$M$5*$J$7</f>
        <v>40.794273773758562</v>
      </c>
      <c r="U24" s="39">
        <f>$J$3+[52]FormattedData!N42*$J$4+$M$4*$J$5+[52]FormattedData!N42^2*$J$6+$M$5*$J$7</f>
        <v>41.808545866110308</v>
      </c>
      <c r="V24" s="39">
        <f>$J$3+[52]FormattedData!O42*$J$4+$M$4*$J$5+[52]FormattedData!O42^2*$J$6+$M$5*$J$7</f>
        <v>39.402933101109603</v>
      </c>
      <c r="W24" s="38">
        <f>AVERAGE(K24:V24)</f>
        <v>42.450370361370886</v>
      </c>
      <c r="X24" s="37">
        <f>STDEV(K24:V24)/SQRT(COUNT(K24:V24))</f>
        <v>0.7657190336405898</v>
      </c>
      <c r="Y24" s="36">
        <f>MIN(K24:V24)</f>
        <v>38.189411644243705</v>
      </c>
      <c r="Z24" s="35">
        <f>QUARTILE(K24:V24,1)</f>
        <v>40.562647840012474</v>
      </c>
      <c r="AA24" s="36">
        <f>MEDIAN(K24:V24)</f>
        <v>42.359608359507803</v>
      </c>
      <c r="AB24" s="35">
        <f>QUARTILE(K24:V24,3)</f>
        <v>44.069861953239624</v>
      </c>
      <c r="AC24" s="35">
        <f>MAX(K24:V24)</f>
        <v>46.354414038273269</v>
      </c>
      <c r="AD24" s="35">
        <f>SKEW(K24:V24)</f>
        <v>7.9311004805341173E-2</v>
      </c>
      <c r="AE24" s="35">
        <f>KURT(K24:V24)</f>
        <v>-0.91674133492674992</v>
      </c>
    </row>
    <row r="25" spans="2:31" x14ac:dyDescent="0.2">
      <c r="B25" s="34">
        <f>[52]FormattedData!A44</f>
        <v>208</v>
      </c>
      <c r="C25" s="34" t="str">
        <f>VLOOKUP($B25,[52]TrtCodes!$B$11:I87,2)</f>
        <v>FSL</v>
      </c>
      <c r="D25" s="34">
        <f>VLOOKUP($B25,[52]TrtCodes!$B$11:J87,3)</f>
        <v>2</v>
      </c>
      <c r="E25" s="34">
        <f>VLOOKUP($B25,[52]TrtCodes!$B$11:K87,4)</f>
        <v>1</v>
      </c>
      <c r="F25" s="34">
        <f>VLOOKUP($B25,[52]TrtCodes!$B$11:L87,5)</f>
        <v>1</v>
      </c>
      <c r="G25" s="34">
        <f>VLOOKUP($B25,[52]TrtCodes!$B$11:M87,6)</f>
        <v>1</v>
      </c>
      <c r="H25" s="34">
        <f>VLOOKUP($B25,[52]TrtCodes!$B$11:N87,7)</f>
        <v>2</v>
      </c>
      <c r="I25" s="34">
        <f>[52]FormattedData!B44</f>
        <v>1</v>
      </c>
      <c r="J25" s="37">
        <f>[52]FormattedData!C44</f>
        <v>13.175000000000001</v>
      </c>
      <c r="K25" s="39">
        <f>$J$3+[52]FormattedData!D44*$J$4+$M$4*$J$5+[52]FormattedData!D44^2*$J$6+$M$5*$J$7</f>
        <v>36.024912968931325</v>
      </c>
      <c r="L25" s="39">
        <f>$J$3+[52]FormattedData!E44*$J$4+$M$4*$J$5+[52]FormattedData!E44^2*$J$6+$M$5*$J$7</f>
        <v>39.030302717295164</v>
      </c>
      <c r="M25" s="39">
        <f>$J$3+[52]FormattedData!F44*$J$4+$M$4*$J$5+[52]FormattedData!F44^2*$J$6+$M$5*$J$7</f>
        <v>43.63957369635483</v>
      </c>
      <c r="N25" s="39">
        <f>$J$3+[52]FormattedData!G44*$J$4+$M$4*$J$5+[52]FormattedData!G44^2*$J$6+$M$5*$J$7</f>
        <v>41.716550654949806</v>
      </c>
      <c r="O25" s="39">
        <f>$J$3+[52]FormattedData!H44*$J$4+$M$4*$J$5+[52]FormattedData!H44^2*$J$6+$M$5*$J$7</f>
        <v>45.994633289989885</v>
      </c>
      <c r="P25" s="39">
        <f>$J$3+[52]FormattedData!I44*$J$4+$M$4*$J$5+[52]FormattedData!I44^2*$J$6+$M$5*$J$7</f>
        <v>39.402933101109603</v>
      </c>
      <c r="Q25" s="39">
        <f>$J$3+[52]FormattedData!J44*$J$4+$M$4*$J$5+[52]FormattedData!J44^2*$J$6+$M$5*$J$7</f>
        <v>42.726173208129126</v>
      </c>
      <c r="R25" s="39">
        <f>$J$3+[52]FormattedData!K44*$J$4+$M$4*$J$5+[52]FormattedData!K44^2*$J$6+$M$5*$J$7</f>
        <v>42.267887893843856</v>
      </c>
      <c r="S25" s="39">
        <f>$J$3+[52]FormattedData!L44*$J$4+$M$4*$J$5+[52]FormattedData!L44^2*$J$6+$M$5*$J$7</f>
        <v>43.912769606332887</v>
      </c>
      <c r="T25" s="39">
        <f>$J$3+[52]FormattedData!M44*$J$4+$M$4*$J$5+[52]FormattedData!M44^2*$J$6+$M$5*$J$7</f>
        <v>41.624513175251373</v>
      </c>
      <c r="U25" s="39">
        <f>$J$3+[52]FormattedData!N44*$J$4+$M$4*$J$5+[52]FormattedData!N44^2*$J$6+$M$5*$J$7</f>
        <v>47.875937284456882</v>
      </c>
      <c r="V25" s="39">
        <f>$J$3+[52]FormattedData!O44*$J$4+$M$4*$J$5+[52]FormattedData!O44^2*$J$6+$M$5*$J$7</f>
        <v>43.183401808966117</v>
      </c>
      <c r="W25" s="38">
        <f>AVERAGE(K25:V25)</f>
        <v>42.283299117134234</v>
      </c>
      <c r="X25" s="37">
        <f>STDEV(K25:V25)/SQRT(COUNT(K25:V25))</f>
        <v>0.91018609288112262</v>
      </c>
      <c r="Y25" s="36">
        <f>MIN(K25:V25)</f>
        <v>36.024912968931325</v>
      </c>
      <c r="Z25" s="35">
        <f>QUARTILE(K25:V25,1)</f>
        <v>41.06911815671593</v>
      </c>
      <c r="AA25" s="36">
        <f>MEDIAN(K25:V25)</f>
        <v>42.497030550986494</v>
      </c>
      <c r="AB25" s="35">
        <f>QUARTILE(K25:V25,3)</f>
        <v>43.707872673849344</v>
      </c>
      <c r="AC25" s="35">
        <f>MAX(K25:V25)</f>
        <v>47.875937284456882</v>
      </c>
      <c r="AD25" s="35">
        <f>SKEW(K25:V25)</f>
        <v>-0.24443053964615336</v>
      </c>
      <c r="AE25" s="35">
        <f>KURT(K25:V25)</f>
        <v>0.58147559085074274</v>
      </c>
    </row>
    <row r="26" spans="2:31" x14ac:dyDescent="0.2">
      <c r="B26" s="34">
        <f>[52]FormattedData!A62</f>
        <v>301</v>
      </c>
      <c r="C26" s="34" t="str">
        <f>VLOOKUP($B26,[52]TrtCodes!$B$11:I105,2)</f>
        <v>NTL</v>
      </c>
      <c r="D26" s="34">
        <f>VLOOKUP($B26,[52]TrtCodes!$B$11:J105,3)</f>
        <v>10</v>
      </c>
      <c r="E26" s="34">
        <f>VLOOKUP($B26,[52]TrtCodes!$B$11:K105,4)</f>
        <v>2</v>
      </c>
      <c r="F26" s="34">
        <f>VLOOKUP($B26,[52]TrtCodes!$B$11:L105,5)</f>
        <v>2</v>
      </c>
      <c r="G26" s="34">
        <f>VLOOKUP($B26,[52]TrtCodes!$B$11:M105,6)</f>
        <v>1</v>
      </c>
      <c r="H26" s="34">
        <f>VLOOKUP($B26,[52]TrtCodes!$B$11:N105,7)</f>
        <v>3</v>
      </c>
      <c r="I26" s="34">
        <f>[52]FormattedData!B62</f>
        <v>1</v>
      </c>
      <c r="J26" s="37">
        <f>[52]FormattedData!C62</f>
        <v>13.27</v>
      </c>
      <c r="K26" s="39">
        <f>$J$3+[52]FormattedData!D62*$J$4+$M$4*$J$5+[52]FormattedData!D62^2*$J$6+$M$5*$J$7</f>
        <v>35.171848556955702</v>
      </c>
      <c r="L26" s="39">
        <f>$J$3+[52]FormattedData!E62*$J$4+$M$4*$J$5+[52]FormattedData!E62^2*$J$6+$M$5*$J$7</f>
        <v>38.750386109786056</v>
      </c>
      <c r="M26" s="39">
        <f>$J$3+[52]FormattedData!F62*$J$4+$M$4*$J$5+[52]FormattedData!F62^2*$J$6+$M$5*$J$7</f>
        <v>38.37657220690955</v>
      </c>
      <c r="N26" s="39">
        <f>$J$3+[52]FormattedData!G62*$J$4+$M$4*$J$5+[52]FormattedData!G62^2*$J$6+$M$5*$J$7</f>
        <v>36.59172049270817</v>
      </c>
      <c r="O26" s="39">
        <f>$J$3+[52]FormattedData!H62*$J$4+$M$4*$J$5+[52]FormattedData!H62^2*$J$6+$M$5*$J$7</f>
        <v>44.911233265498389</v>
      </c>
      <c r="P26" s="39">
        <f>$J$3+[52]FormattedData!I62*$J$4+$M$4*$J$5+[52]FormattedData!I62^2*$J$6+$M$5*$J$7</f>
        <v>37.720770538165311</v>
      </c>
      <c r="Q26" s="39">
        <f>$J$3+[52]FormattedData!J62*$J$4+$M$4*$J$5+[52]FormattedData!J62^2*$J$6+$M$5*$J$7</f>
        <v>44.276439060105915</v>
      </c>
      <c r="R26" s="39">
        <f>$J$3+[52]FormattedData!K62*$J$4+$M$4*$J$5+[52]FormattedData!K62^2*$J$6+$M$5*$J$7</f>
        <v>34.505986976183848</v>
      </c>
      <c r="S26" s="39">
        <f>$J$3+[52]FormattedData!L62*$J$4+$M$4*$J$5+[52]FormattedData!L62^2*$J$6+$M$5*$J$7</f>
        <v>42.451328825171757</v>
      </c>
      <c r="T26" s="39">
        <f>$J$3+[52]FormattedData!M62*$J$4+$M$4*$J$5+[52]FormattedData!M62^2*$J$6+$M$5*$J$7</f>
        <v>34.601236864765042</v>
      </c>
      <c r="U26" s="39">
        <f>$J$3+[52]FormattedData!N62*$J$4+$M$4*$J$5+[52]FormattedData!N62^2*$J$6+$M$5*$J$7</f>
        <v>43.000637174245114</v>
      </c>
      <c r="V26" s="39">
        <f>$J$3+[52]FormattedData!O62*$J$4+$M$4*$J$5+[52]FormattedData!O62^2*$J$6+$M$5*$J$7</f>
        <v>34.124564736479726</v>
      </c>
      <c r="W26" s="38">
        <f>AVERAGE(K26:V26)</f>
        <v>38.706893733914548</v>
      </c>
      <c r="X26" s="37">
        <f>STDEV(K26:V26)/SQRT(COUNT(K26:V26))</f>
        <v>1.1531459312016066</v>
      </c>
      <c r="Y26" s="36">
        <f>MIN(K26:V26)</f>
        <v>34.124564736479726</v>
      </c>
      <c r="Z26" s="35">
        <f>QUARTILE(K26:V26,1)</f>
        <v>35.029195633908039</v>
      </c>
      <c r="AA26" s="36">
        <f>MEDIAN(K26:V26)</f>
        <v>38.048671372537427</v>
      </c>
      <c r="AB26" s="35">
        <f>QUARTILE(K26:V26,3)</f>
        <v>42.588655912440096</v>
      </c>
      <c r="AC26" s="35">
        <f>MAX(K26:V26)</f>
        <v>44.911233265498389</v>
      </c>
      <c r="AD26" s="35">
        <f>SKEW(K26:V26)</f>
        <v>0.42625410190511276</v>
      </c>
      <c r="AE26" s="35">
        <f>KURT(K26:V26)</f>
        <v>-1.4377867278806136</v>
      </c>
    </row>
    <row r="27" spans="2:31" x14ac:dyDescent="0.2">
      <c r="B27" s="34">
        <f>[52]FormattedData!A64</f>
        <v>302</v>
      </c>
      <c r="C27" s="34" t="str">
        <f>VLOOKUP($B27,[52]TrtCodes!$B$11:I107,2)</f>
        <v>FTL</v>
      </c>
      <c r="D27" s="34">
        <f>VLOOKUP($B27,[52]TrtCodes!$B$11:J107,3)</f>
        <v>4</v>
      </c>
      <c r="E27" s="34">
        <f>VLOOKUP($B27,[52]TrtCodes!$B$11:K107,4)</f>
        <v>1</v>
      </c>
      <c r="F27" s="34">
        <f>VLOOKUP($B27,[52]TrtCodes!$B$11:L107,5)</f>
        <v>2</v>
      </c>
      <c r="G27" s="34">
        <f>VLOOKUP($B27,[52]TrtCodes!$B$11:M107,6)</f>
        <v>1</v>
      </c>
      <c r="H27" s="34">
        <f>VLOOKUP($B27,[52]TrtCodes!$B$11:N107,7)</f>
        <v>3</v>
      </c>
      <c r="I27" s="34">
        <f>[52]FormattedData!B64</f>
        <v>1</v>
      </c>
      <c r="J27" s="37">
        <f>[52]FormattedData!C64</f>
        <v>13.276</v>
      </c>
      <c r="K27" s="39">
        <f>$J$3+[52]FormattedData!D64*$J$4+$M$4*$J$5+[52]FormattedData!D64^2*$J$6+$M$5*$J$7</f>
        <v>36.874553629334528</v>
      </c>
      <c r="L27" s="39">
        <f>$J$3+[52]FormattedData!E64*$J$4+$M$4*$J$5+[52]FormattedData!E64^2*$J$6+$M$5*$J$7</f>
        <v>37.814583296456846</v>
      </c>
      <c r="M27" s="39">
        <f>$J$3+[52]FormattedData!F64*$J$4+$M$4*$J$5+[52]FormattedData!F64^2*$J$6+$M$5*$J$7</f>
        <v>41.163691748690226</v>
      </c>
      <c r="N27" s="39">
        <f>$J$3+[52]FormattedData!G64*$J$4+$M$4*$J$5+[52]FormattedData!G64^2*$J$6+$M$5*$J$7</f>
        <v>35.835638979368923</v>
      </c>
      <c r="O27" s="39">
        <f>$J$3+[52]FormattedData!H64*$J$4+$M$4*$J$5+[52]FormattedData!H64^2*$J$6+$M$5*$J$7</f>
        <v>39.030302717295164</v>
      </c>
      <c r="P27" s="39">
        <f>$J$3+[52]FormattedData!I64*$J$4+$M$4*$J$5+[52]FormattedData!I64^2*$J$6+$M$5*$J$7</f>
        <v>35.93029710841909</v>
      </c>
      <c r="Q27" s="39">
        <f>$J$3+[52]FormattedData!J64*$J$4+$M$4*$J$5+[52]FormattedData!J64^2*$J$6+$M$5*$J$7</f>
        <v>43.000637174245114</v>
      </c>
      <c r="R27" s="39">
        <f>$J$3+[52]FormattedData!K64*$J$4+$M$4*$J$5+[52]FormattedData!K64^2*$J$6+$M$5*$J$7</f>
        <v>35.551410980990845</v>
      </c>
      <c r="S27" s="39">
        <f>$J$3+[52]FormattedData!L64*$J$4+$M$4*$J$5+[52]FormattedData!L64^2*$J$6+$M$5*$J$7</f>
        <v>40.979067298300251</v>
      </c>
      <c r="T27" s="39">
        <f>$J$3+[52]FormattedData!M64*$J$4+$M$4*$J$5+[52]FormattedData!M64^2*$J$6+$M$5*$J$7</f>
        <v>35.171848556955702</v>
      </c>
      <c r="U27" s="39">
        <f>$J$3+[52]FormattedData!N64*$J$4+$M$4*$J$5+[52]FormattedData!N64^2*$J$6+$M$5*$J$7</f>
        <v>42.084277888364234</v>
      </c>
      <c r="V27" s="39">
        <f>$J$3+[52]FormattedData!O64*$J$4+$M$4*$J$5+[52]FormattedData!O64^2*$J$6+$M$5*$J$7</f>
        <v>34.791609836313661</v>
      </c>
      <c r="W27" s="38">
        <f>AVERAGE(K27:V27)</f>
        <v>38.185659934561222</v>
      </c>
      <c r="X27" s="37">
        <f>STDEV(K27:V27)/SQRT(COUNT(K27:V27))</f>
        <v>0.85180871556964421</v>
      </c>
      <c r="Y27" s="36">
        <f>MIN(K27:V27)</f>
        <v>34.791609836313661</v>
      </c>
      <c r="Z27" s="35">
        <f>QUARTILE(K27:V27,1)</f>
        <v>35.764581979774405</v>
      </c>
      <c r="AA27" s="36">
        <f>MEDIAN(K27:V27)</f>
        <v>37.344568462895687</v>
      </c>
      <c r="AB27" s="35">
        <f>QUARTILE(K27:V27,3)</f>
        <v>41.025223410897745</v>
      </c>
      <c r="AC27" s="35">
        <f>MAX(K27:V27)</f>
        <v>43.000637174245114</v>
      </c>
      <c r="AD27" s="35">
        <f>SKEW(K27:V27)</f>
        <v>0.45938463430654275</v>
      </c>
      <c r="AE27" s="35">
        <f>KURT(K27:V27)</f>
        <v>-1.4740907915146146</v>
      </c>
    </row>
    <row r="28" spans="2:31" x14ac:dyDescent="0.2">
      <c r="B28" s="34">
        <f>[52]FormattedData!A66</f>
        <v>303</v>
      </c>
      <c r="C28" s="34" t="str">
        <f>VLOOKUP($B28,[52]TrtCodes!$B$11:I109,2)</f>
        <v>NSL</v>
      </c>
      <c r="D28" s="34">
        <f>VLOOKUP($B28,[52]TrtCodes!$B$11:J109,3)</f>
        <v>8</v>
      </c>
      <c r="E28" s="34">
        <f>VLOOKUP($B28,[52]TrtCodes!$B$11:K109,4)</f>
        <v>2</v>
      </c>
      <c r="F28" s="34">
        <f>VLOOKUP($B28,[52]TrtCodes!$B$11:L109,5)</f>
        <v>1</v>
      </c>
      <c r="G28" s="34">
        <f>VLOOKUP($B28,[52]TrtCodes!$B$11:M109,6)</f>
        <v>1</v>
      </c>
      <c r="H28" s="34">
        <f>VLOOKUP($B28,[52]TrtCodes!$B$11:N109,7)</f>
        <v>3</v>
      </c>
      <c r="I28" s="34">
        <f>[52]FormattedData!B66</f>
        <v>1</v>
      </c>
      <c r="J28" s="37">
        <f>[52]FormattedData!C66</f>
        <v>13.281000000000001</v>
      </c>
      <c r="K28" s="39">
        <f>$J$3+[52]FormattedData!D66*$J$4+$M$4*$J$5+[52]FormattedData!D66^2*$J$6+$M$5*$J$7</f>
        <v>37.157006349119506</v>
      </c>
      <c r="L28" s="39">
        <f>$J$3+[52]FormattedData!E66*$J$4+$M$4*$J$5+[52]FormattedData!E66^2*$J$6+$M$5*$J$7</f>
        <v>39.123523716055672</v>
      </c>
      <c r="M28" s="39">
        <f>$J$3+[52]FormattedData!F66*$J$4+$M$4*$J$5+[52]FormattedData!F66^2*$J$6+$M$5*$J$7</f>
        <v>40.331550262990518</v>
      </c>
      <c r="N28" s="39">
        <f>$J$3+[52]FormattedData!G66*$J$4+$M$4*$J$5+[52]FormattedData!G66^2*$J$6+$M$5*$J$7</f>
        <v>37.626915511335838</v>
      </c>
      <c r="O28" s="39">
        <f>$J$3+[52]FormattedData!H66*$J$4+$M$4*$J$5+[52]FormattedData!H66^2*$J$6+$M$5*$J$7</f>
        <v>37.251072718638632</v>
      </c>
      <c r="P28" s="39">
        <f>$J$3+[52]FormattedData!I66*$J$4+$M$4*$J$5+[52]FormattedData!I66^2*$J$6+$M$5*$J$7</f>
        <v>38.095767960103892</v>
      </c>
      <c r="Q28" s="39">
        <f>$J$3+[52]FormattedData!J66*$J$4+$M$4*$J$5+[52]FormattedData!J66^2*$J$6+$M$5*$J$7</f>
        <v>42.267887893843856</v>
      </c>
      <c r="R28" s="39">
        <f>$J$3+[52]FormattedData!K66*$J$4+$M$4*$J$5+[52]FormattedData!K66^2*$J$6+$M$5*$J$7</f>
        <v>37.720770538165311</v>
      </c>
      <c r="S28" s="39">
        <f>$J$3+[52]FormattedData!L66*$J$4+$M$4*$J$5+[52]FormattedData!L66^2*$J$6+$M$5*$J$7</f>
        <v>40.238878755223112</v>
      </c>
      <c r="T28" s="39">
        <f>$J$3+[52]FormattedData!M66*$J$4+$M$4*$J$5+[52]FormattedData!M66^2*$J$6+$M$5*$J$7</f>
        <v>38.470089085435575</v>
      </c>
      <c r="U28" s="39">
        <f>$J$3+[52]FormattedData!N66*$J$4+$M$4*$J$5+[52]FormattedData!N66^2*$J$6+$M$5*$J$7</f>
        <v>40.979067298300251</v>
      </c>
      <c r="V28" s="39">
        <f>$J$3+[52]FormattedData!O66*$J$4+$M$4*$J$5+[52]FormattedData!O66^2*$J$6+$M$5*$J$7</f>
        <v>35.171848556955702</v>
      </c>
      <c r="W28" s="38">
        <f>AVERAGE(K28:V28)</f>
        <v>38.70286488718066</v>
      </c>
      <c r="X28" s="37">
        <f>STDEV(K28:V28)/SQRT(COUNT(K28:V28))</f>
        <v>0.56802274034234379</v>
      </c>
      <c r="Y28" s="36">
        <f>MIN(K28:V28)</f>
        <v>35.171848556955702</v>
      </c>
      <c r="Z28" s="35">
        <f>QUARTILE(K28:V28,1)</f>
        <v>37.532954813161538</v>
      </c>
      <c r="AA28" s="36">
        <f>MEDIAN(K28:V28)</f>
        <v>38.282928522769737</v>
      </c>
      <c r="AB28" s="35">
        <f>QUARTILE(K28:V28,3)</f>
        <v>40.262046632164967</v>
      </c>
      <c r="AC28" s="35">
        <f>MAX(K28:V28)</f>
        <v>42.267887893843856</v>
      </c>
      <c r="AD28" s="35">
        <f>SKEW(K28:V28)</f>
        <v>0.17058426718686576</v>
      </c>
      <c r="AE28" s="35">
        <f>KURT(K28:V28)</f>
        <v>-0.15436833477441736</v>
      </c>
    </row>
    <row r="29" spans="2:31" x14ac:dyDescent="0.2">
      <c r="B29" s="34">
        <f>[52]FormattedData!A68</f>
        <v>304</v>
      </c>
      <c r="C29" s="34" t="str">
        <f>VLOOKUP($B29,[52]TrtCodes!$B$11:I111,2)</f>
        <v>FSL</v>
      </c>
      <c r="D29" s="34">
        <f>VLOOKUP($B29,[52]TrtCodes!$B$11:J111,3)</f>
        <v>2</v>
      </c>
      <c r="E29" s="34">
        <f>VLOOKUP($B29,[52]TrtCodes!$B$11:K111,4)</f>
        <v>1</v>
      </c>
      <c r="F29" s="34">
        <f>VLOOKUP($B29,[52]TrtCodes!$B$11:L111,5)</f>
        <v>1</v>
      </c>
      <c r="G29" s="34">
        <f>VLOOKUP($B29,[52]TrtCodes!$B$11:M111,6)</f>
        <v>1</v>
      </c>
      <c r="H29" s="34">
        <f>VLOOKUP($B29,[52]TrtCodes!$B$11:N111,7)</f>
        <v>3</v>
      </c>
      <c r="I29" s="34">
        <f>[52]FormattedData!B68</f>
        <v>1</v>
      </c>
      <c r="J29" s="37">
        <f>[52]FormattedData!C68</f>
        <v>13.287000000000001</v>
      </c>
      <c r="K29" s="39">
        <f>$J$3+[52]FormattedData!D68*$J$4+$M$4*$J$5+[52]FormattedData!D68^2*$J$6+$M$5*$J$7</f>
        <v>34.981813733710538</v>
      </c>
      <c r="L29" s="39">
        <f>$J$3+[52]FormattedData!E68*$J$4+$M$4*$J$5+[52]FormattedData!E68^2*$J$6+$M$5*$J$7</f>
        <v>38.470089085435575</v>
      </c>
      <c r="M29" s="39">
        <f>$J$3+[52]FormattedData!F68*$J$4+$M$4*$J$5+[52]FormattedData!F68^2*$J$6+$M$5*$J$7</f>
        <v>41.440311410240703</v>
      </c>
      <c r="N29" s="39">
        <f>$J$3+[52]FormattedData!G68*$J$4+$M$4*$J$5+[52]FormattedData!G68^2*$J$6+$M$5*$J$7</f>
        <v>36.59172049270817</v>
      </c>
      <c r="O29" s="39">
        <f>$J$3+[52]FormattedData!H68*$J$4+$M$4*$J$5+[52]FormattedData!H68^2*$J$6+$M$5*$J$7</f>
        <v>43.274720723519721</v>
      </c>
      <c r="P29" s="39">
        <f>$J$3+[52]FormattedData!I68*$J$4+$M$4*$J$5+[52]FormattedData!I68^2*$J$6+$M$5*$J$7</f>
        <v>36.308506939240431</v>
      </c>
      <c r="Q29" s="39">
        <f>$J$3+[52]FormattedData!J68*$J$4+$M$4*$J$5+[52]FormattedData!J68^2*$J$6+$M$5*$J$7</f>
        <v>41.25594057107832</v>
      </c>
      <c r="R29" s="39">
        <f>$J$3+[52]FormattedData!K68*$J$4+$M$4*$J$5+[52]FormattedData!K68^2*$J$6+$M$5*$J$7</f>
        <v>41.163691748690226</v>
      </c>
      <c r="S29" s="39">
        <f>$J$3+[52]FormattedData!L68*$J$4+$M$4*$J$5+[52]FormattedData!L68^2*$J$6+$M$5*$J$7</f>
        <v>41.440311410240703</v>
      </c>
      <c r="T29" s="39">
        <f>$J$3+[52]FormattedData!M68*$J$4+$M$4*$J$5+[52]FormattedData!M68^2*$J$6+$M$5*$J$7</f>
        <v>42.267887893843856</v>
      </c>
      <c r="U29" s="39">
        <f>$J$3+[52]FormattedData!N68*$J$4+$M$4*$J$5+[52]FormattedData!N68^2*$J$6+$M$5*$J$7</f>
        <v>38.095767960103892</v>
      </c>
      <c r="V29" s="39">
        <f>$J$3+[52]FormattedData!O68*$J$4+$M$4*$J$5+[52]FormattedData!O68^2*$J$6+$M$5*$J$7</f>
        <v>40.331550262990518</v>
      </c>
      <c r="W29" s="38">
        <f>AVERAGE(K29:V29)</f>
        <v>39.635192685983554</v>
      </c>
      <c r="X29" s="37">
        <f>STDEV(K29:V29)/SQRT(COUNT(K29:V29))</f>
        <v>0.76798138682148265</v>
      </c>
      <c r="Y29" s="36">
        <f>MIN(K29:V29)</f>
        <v>34.981813733710538</v>
      </c>
      <c r="Z29" s="35">
        <f>QUARTILE(K29:V29,1)</f>
        <v>37.719756093254958</v>
      </c>
      <c r="AA29" s="36">
        <f>MEDIAN(K29:V29)</f>
        <v>40.747621005840372</v>
      </c>
      <c r="AB29" s="35">
        <f>QUARTILE(K29:V29,3)</f>
        <v>41.440311410240703</v>
      </c>
      <c r="AC29" s="35">
        <f>MAX(K29:V29)</f>
        <v>43.274720723519721</v>
      </c>
      <c r="AD29" s="35">
        <f>SKEW(K29:V29)</f>
        <v>-0.49023386903828103</v>
      </c>
      <c r="AE29" s="35">
        <f>KURT(K29:V29)</f>
        <v>-1.0701814082328518</v>
      </c>
    </row>
    <row r="30" spans="2:31" x14ac:dyDescent="0.2">
      <c r="B30" s="34">
        <f>[52]FormattedData!A70</f>
        <v>305</v>
      </c>
      <c r="C30" s="34" t="str">
        <f>VLOOKUP($B30,[52]TrtCodes!$B$11:I113,2)</f>
        <v>NDH</v>
      </c>
      <c r="D30" s="34">
        <f>VLOOKUP($B30,[52]TrtCodes!$B$11:J113,3)</f>
        <v>11</v>
      </c>
      <c r="E30" s="34">
        <f>VLOOKUP($B30,[52]TrtCodes!$B$11:K113,4)</f>
        <v>2</v>
      </c>
      <c r="F30" s="34">
        <f>VLOOKUP($B30,[52]TrtCodes!$B$11:L113,5)</f>
        <v>3</v>
      </c>
      <c r="G30" s="34">
        <f>VLOOKUP($B30,[52]TrtCodes!$B$11:M113,6)</f>
        <v>2</v>
      </c>
      <c r="H30" s="34">
        <f>VLOOKUP($B30,[52]TrtCodes!$B$11:N113,7)</f>
        <v>4</v>
      </c>
      <c r="I30" s="34">
        <f>[52]FormattedData!B70</f>
        <v>1</v>
      </c>
      <c r="J30" s="37">
        <f>[52]FormattedData!C70</f>
        <v>13.292</v>
      </c>
      <c r="K30" s="39">
        <f>$J$3+[52]FormattedData!D70*$J$4+$M$4*$J$5+[52]FormattedData!D70^2*$J$6+$M$5*$J$7</f>
        <v>35.266802565771386</v>
      </c>
      <c r="L30" s="39">
        <f>$J$3+[52]FormattedData!E70*$J$4+$M$4*$J$5+[52]FormattedData!E70^2*$J$6+$M$5*$J$7</f>
        <v>39.681962069322154</v>
      </c>
      <c r="M30" s="39">
        <f>$J$3+[52]FormattedData!F70*$J$4+$M$4*$J$5+[52]FormattedData!F70^2*$J$6+$M$5*$J$7</f>
        <v>43.000637174245114</v>
      </c>
      <c r="N30" s="39">
        <f>$J$3+[52]FormattedData!G70*$J$4+$M$4*$J$5+[52]FormattedData!G70^2*$J$6+$M$5*$J$7</f>
        <v>36.308506939240431</v>
      </c>
      <c r="O30" s="39">
        <f>$J$3+[52]FormattedData!H70*$J$4+$M$4*$J$5+[52]FormattedData!H70^2*$J$6+$M$5*$J$7</f>
        <v>38.470089085435575</v>
      </c>
      <c r="P30" s="39">
        <f>$J$3+[52]FormattedData!I70*$J$4+$M$4*$J$5+[52]FormattedData!I70^2*$J$6+$M$5*$J$7</f>
        <v>42.084277888364234</v>
      </c>
      <c r="Q30" s="39">
        <f>$J$3+[52]FormattedData!J70*$J$4+$M$4*$J$5+[52]FormattedData!J70^2*$J$6+$M$5*$J$7</f>
        <v>37.720770538165311</v>
      </c>
      <c r="R30" s="39">
        <f>$J$3+[52]FormattedData!K70*$J$4+$M$4*$J$5+[52]FormattedData!K70^2*$J$6+$M$5*$J$7</f>
        <v>42.267887893843856</v>
      </c>
      <c r="S30" s="39">
        <f>$J$3+[52]FormattedData!L70*$J$4+$M$4*$J$5+[52]FormattedData!L70^2*$J$6+$M$5*$J$7</f>
        <v>42.63460068234793</v>
      </c>
      <c r="T30" s="39">
        <f>$J$3+[52]FormattedData!M70*$J$4+$M$4*$J$5+[52]FormattedData!M70^2*$J$6+$M$5*$J$7</f>
        <v>42.726173208129126</v>
      </c>
      <c r="U30" s="39">
        <f>$J$3+[52]FormattedData!N70*$J$4+$M$4*$J$5+[52]FormattedData!N70^2*$J$6+$M$5*$J$7</f>
        <v>39.216702446278248</v>
      </c>
      <c r="V30" s="39">
        <f>$J$3+[52]FormattedData!O70*$J$4+$M$4*$J$5+[52]FormattedData!O70^2*$J$6+$M$5*$J$7</f>
        <v>37.345096819619826</v>
      </c>
      <c r="W30" s="38">
        <f>AVERAGE(K30:V30)</f>
        <v>39.726958942563598</v>
      </c>
      <c r="X30" s="37">
        <f>STDEV(K30:V30)/SQRT(COUNT(K30:V30))</f>
        <v>0.79438791354908556</v>
      </c>
      <c r="Y30" s="36">
        <f>MIN(K30:V30)</f>
        <v>35.266802565771386</v>
      </c>
      <c r="Z30" s="35">
        <f>QUARTILE(K30:V30,1)</f>
        <v>37.626852108528936</v>
      </c>
      <c r="AA30" s="36">
        <f>MEDIAN(K30:V30)</f>
        <v>39.449332257800201</v>
      </c>
      <c r="AB30" s="35">
        <f>QUARTILE(K30:V30,3)</f>
        <v>42.359566090969878</v>
      </c>
      <c r="AC30" s="35">
        <f>MAX(K30:V30)</f>
        <v>43.000637174245114</v>
      </c>
      <c r="AD30" s="35">
        <f>SKEW(K30:V30)</f>
        <v>-0.18966273612641674</v>
      </c>
      <c r="AE30" s="35">
        <f>KURT(K30:V30)</f>
        <v>-1.4969198306286216</v>
      </c>
    </row>
    <row r="31" spans="2:31" x14ac:dyDescent="0.2">
      <c r="B31" s="34">
        <f>[52]FormattedData!A72</f>
        <v>306</v>
      </c>
      <c r="C31" s="34" t="str">
        <f>VLOOKUP($B31,[52]TrtCodes!$B$11:I115,2)</f>
        <v>FTL</v>
      </c>
      <c r="D31" s="34">
        <f>VLOOKUP($B31,[52]TrtCodes!$B$11:J115,3)</f>
        <v>4</v>
      </c>
      <c r="E31" s="34">
        <f>VLOOKUP($B31,[52]TrtCodes!$B$11:K115,4)</f>
        <v>1</v>
      </c>
      <c r="F31" s="34">
        <f>VLOOKUP($B31,[52]TrtCodes!$B$11:L115,5)</f>
        <v>2</v>
      </c>
      <c r="G31" s="34">
        <f>VLOOKUP($B31,[52]TrtCodes!$B$11:M115,6)</f>
        <v>1</v>
      </c>
      <c r="H31" s="34">
        <f>VLOOKUP($B31,[52]TrtCodes!$B$11:N115,7)</f>
        <v>4</v>
      </c>
      <c r="I31" s="34">
        <f>[52]FormattedData!B72</f>
        <v>1</v>
      </c>
      <c r="J31" s="37">
        <f>[52]FormattedData!C72</f>
        <v>13.298</v>
      </c>
      <c r="K31" s="39">
        <f>$J$3+[52]FormattedData!D72*$J$4+$M$4*$J$5+[52]FormattedData!D72^2*$J$6+$M$5*$J$7</f>
        <v>35.740938581780831</v>
      </c>
      <c r="L31" s="39">
        <f>$J$3+[52]FormattedData!E72*$J$4+$M$4*$J$5+[52]FormattedData!E72^2*$J$6+$M$5*$J$7</f>
        <v>37.908353786210462</v>
      </c>
      <c r="M31" s="39">
        <f>$J$3+[52]FormattedData!F72*$J$4+$M$4*$J$5+[52]FormattedData!F72^2*$J$6+$M$5*$J$7</f>
        <v>41.25594057107832</v>
      </c>
      <c r="N31" s="39">
        <f>$J$3+[52]FormattedData!G72*$J$4+$M$4*$J$5+[52]FormattedData!G72^2*$J$6+$M$5*$J$7</f>
        <v>40.701813608680808</v>
      </c>
      <c r="O31" s="39">
        <f>$J$3+[52]FormattedData!H72*$J$4+$M$4*$J$5+[52]FormattedData!H72^2*$J$6+$M$5*$J$7</f>
        <v>40.146164978917788</v>
      </c>
      <c r="P31" s="39">
        <f>$J$3+[52]FormattedData!I72*$J$4+$M$4*$J$5+[52]FormattedData!I72^2*$J$6+$M$5*$J$7</f>
        <v>38.37657220690955</v>
      </c>
      <c r="Q31" s="39">
        <f>$J$3+[52]FormattedData!J72*$J$4+$M$4*$J$5+[52]FormattedData!J72^2*$J$6+$M$5*$J$7</f>
        <v>41.992409482817521</v>
      </c>
      <c r="R31" s="39">
        <f>$J$3+[52]FormattedData!K72*$J$4+$M$4*$J$5+[52]FormattedData!K72^2*$J$6+$M$5*$J$7</f>
        <v>36.402953725600945</v>
      </c>
      <c r="S31" s="39">
        <f>$J$3+[52]FormattedData!L72*$J$4+$M$4*$J$5+[52]FormattedData!L72^2*$J$6+$M$5*$J$7</f>
        <v>41.532433427015</v>
      </c>
      <c r="T31" s="39">
        <f>$J$3+[52]FormattedData!M72*$J$4+$M$4*$J$5+[52]FormattedData!M72^2*$J$6+$M$5*$J$7</f>
        <v>35.835638979368923</v>
      </c>
      <c r="U31" s="39">
        <f>$J$3+[52]FormattedData!N72*$J$4+$M$4*$J$5+[52]FormattedData!N72^2*$J$6+$M$5*$J$7</f>
        <v>43.912769606332887</v>
      </c>
      <c r="V31" s="39">
        <f>$J$3+[52]FormattedData!O72*$J$4+$M$4*$J$5+[52]FormattedData!O72^2*$J$6+$M$5*$J$7</f>
        <v>36.024912968931325</v>
      </c>
      <c r="W31" s="38">
        <f>AVERAGE(K31:V31)</f>
        <v>39.152575160303698</v>
      </c>
      <c r="X31" s="37">
        <f>STDEV(K31:V31)/SQRT(COUNT(K31:V31))</f>
        <v>0.80872902559589044</v>
      </c>
      <c r="Y31" s="36">
        <f>MIN(K31:V31)</f>
        <v>35.740938581780831</v>
      </c>
      <c r="Z31" s="35">
        <f>QUARTILE(K31:V31,1)</f>
        <v>36.308443536433543</v>
      </c>
      <c r="AA31" s="36">
        <f>MEDIAN(K31:V31)</f>
        <v>39.261368592913669</v>
      </c>
      <c r="AB31" s="35">
        <f>QUARTILE(K31:V31,3)</f>
        <v>41.32506378506249</v>
      </c>
      <c r="AC31" s="35">
        <f>MAX(K31:V31)</f>
        <v>43.912769606332887</v>
      </c>
      <c r="AD31" s="35">
        <f>SKEW(K31:V31)</f>
        <v>0.14025965525783748</v>
      </c>
      <c r="AE31" s="35">
        <f>KURT(K31:V31)</f>
        <v>-1.3498893828513361</v>
      </c>
    </row>
    <row r="32" spans="2:31" x14ac:dyDescent="0.2">
      <c r="B32" s="34">
        <f>[52]FormattedData!A74</f>
        <v>307</v>
      </c>
      <c r="C32" s="34" t="str">
        <f>VLOOKUP($B32,[52]TrtCodes!$B$11:I117,2)</f>
        <v>NTH</v>
      </c>
      <c r="D32" s="34">
        <f>VLOOKUP($B32,[52]TrtCodes!$B$11:J117,3)</f>
        <v>9</v>
      </c>
      <c r="E32" s="34">
        <f>VLOOKUP($B32,[52]TrtCodes!$B$11:K117,4)</f>
        <v>2</v>
      </c>
      <c r="F32" s="34">
        <f>VLOOKUP($B32,[52]TrtCodes!$B$11:L117,5)</f>
        <v>2</v>
      </c>
      <c r="G32" s="34">
        <f>VLOOKUP($B32,[52]TrtCodes!$B$11:M117,6)</f>
        <v>2</v>
      </c>
      <c r="H32" s="34">
        <f>VLOOKUP($B32,[52]TrtCodes!$B$11:N117,7)</f>
        <v>4</v>
      </c>
      <c r="I32" s="34">
        <f>[52]FormattedData!B74</f>
        <v>1</v>
      </c>
      <c r="J32" s="37">
        <f>[52]FormattedData!C74</f>
        <v>13.303000000000001</v>
      </c>
      <c r="K32" s="39">
        <f>$J$3+[52]FormattedData!D74*$J$4+$M$4*$J$5+[52]FormattedData!D74^2*$J$6+$M$5*$J$7</f>
        <v>37.06289771106244</v>
      </c>
      <c r="L32" s="39">
        <f>$J$3+[52]FormattedData!E74*$J$4+$M$4*$J$5+[52]FormattedData!E74^2*$J$6+$M$5*$J$7</f>
        <v>40.424179502219992</v>
      </c>
      <c r="M32" s="39">
        <f>$J$3+[52]FormattedData!F74*$J$4+$M$4*$J$5+[52]FormattedData!F74^2*$J$6+$M$5*$J$7</f>
        <v>45.814489304620622</v>
      </c>
      <c r="N32" s="39">
        <f>$J$3+[52]FormattedData!G74*$J$4+$M$4*$J$5+[52]FormattedData!G74^2*$J$6+$M$5*$J$7</f>
        <v>39.588994681789231</v>
      </c>
      <c r="O32" s="39">
        <f>$J$3+[52]FormattedData!H74*$J$4+$M$4*$J$5+[52]FormattedData!H74^2*$J$6+$M$5*$J$7</f>
        <v>47.250907111326512</v>
      </c>
      <c r="P32" s="39">
        <f>$J$3+[52]FormattedData!I74*$J$4+$M$4*$J$5+[52]FormattedData!I74^2*$J$6+$M$5*$J$7</f>
        <v>37.720770538165311</v>
      </c>
      <c r="Q32" s="39">
        <f>$J$3+[52]FormattedData!J74*$J$4+$M$4*$J$5+[52]FormattedData!J74^2*$J$6+$M$5*$J$7</f>
        <v>48.143173330586649</v>
      </c>
      <c r="R32" s="39">
        <f>$J$3+[52]FormattedData!K74*$J$4+$M$4*$J$5+[52]FormattedData!K74^2*$J$6+$M$5*$J$7</f>
        <v>39.774887188317145</v>
      </c>
      <c r="S32" s="39">
        <f>$J$3+[52]FormattedData!L74*$J$4+$M$4*$J$5+[52]FormattedData!L74^2*$J$6+$M$5*$J$7</f>
        <v>47.071946645019317</v>
      </c>
      <c r="T32" s="39">
        <f>$J$3+[52]FormattedData!M74*$J$4+$M$4*$J$5+[52]FormattedData!M74^2*$J$6+$M$5*$J$7</f>
        <v>41.808545866110308</v>
      </c>
      <c r="U32" s="39">
        <f>$J$3+[52]FormattedData!N74*$J$4+$M$4*$J$5+[52]FormattedData!N74^2*$J$6+$M$5*$J$7</f>
        <v>47.16144801244188</v>
      </c>
      <c r="V32" s="39">
        <f>$J$3+[52]FormattedData!O74*$J$4+$M$4*$J$5+[52]FormattedData!O74^2*$J$6+$M$5*$J$7</f>
        <v>43.000637174245114</v>
      </c>
      <c r="W32" s="38">
        <f>AVERAGE(K32:V32)</f>
        <v>42.90190642215871</v>
      </c>
      <c r="X32" s="37">
        <f>STDEV(K32:V32)/SQRT(COUNT(K32:V32))</f>
        <v>1.1659204189806556</v>
      </c>
      <c r="Y32" s="36">
        <f>MIN(K32:V32)</f>
        <v>37.06289771106244</v>
      </c>
      <c r="Z32" s="35">
        <f>QUARTILE(K32:V32,1)</f>
        <v>39.728414061685164</v>
      </c>
      <c r="AA32" s="36">
        <f>MEDIAN(K32:V32)</f>
        <v>42.404591520177711</v>
      </c>
      <c r="AB32" s="35">
        <f>QUARTILE(K32:V32,3)</f>
        <v>47.094321986874959</v>
      </c>
      <c r="AC32" s="35">
        <f>MAX(K32:V32)</f>
        <v>48.143173330586649</v>
      </c>
      <c r="AD32" s="35">
        <f>SKEW(K32:V32)</f>
        <v>-3.4555322694890797E-2</v>
      </c>
      <c r="AE32" s="35">
        <f>KURT(K32:V32)</f>
        <v>-1.6917915387906244</v>
      </c>
    </row>
    <row r="33" spans="2:31" x14ac:dyDescent="0.2">
      <c r="B33" s="34">
        <f>[52]FormattedData!A76</f>
        <v>308</v>
      </c>
      <c r="C33" s="34" t="str">
        <f>VLOOKUP($B33,[52]TrtCodes!$B$11:I119,2)</f>
        <v>FDH</v>
      </c>
      <c r="D33" s="34">
        <f>VLOOKUP($B33,[52]TrtCodes!$B$11:J119,3)</f>
        <v>5</v>
      </c>
      <c r="E33" s="34">
        <f>VLOOKUP($B33,[52]TrtCodes!$B$11:K119,4)</f>
        <v>1</v>
      </c>
      <c r="F33" s="34">
        <f>VLOOKUP($B33,[52]TrtCodes!$B$11:L119,5)</f>
        <v>3</v>
      </c>
      <c r="G33" s="34">
        <f>VLOOKUP($B33,[52]TrtCodes!$B$11:M119,6)</f>
        <v>2</v>
      </c>
      <c r="H33" s="34">
        <f>VLOOKUP($B33,[52]TrtCodes!$B$11:N119,7)</f>
        <v>4</v>
      </c>
      <c r="I33" s="34">
        <f>[52]FormattedData!B76</f>
        <v>1</v>
      </c>
      <c r="J33" s="37">
        <f>[52]FormattedData!C76</f>
        <v>13.308999999999999</v>
      </c>
      <c r="K33" s="39">
        <f>$J$3+[52]FormattedData!D76*$J$4+$M$4*$J$5+[52]FormattedData!D76^2*$J$6+$M$5*$J$7</f>
        <v>41.992409482817521</v>
      </c>
      <c r="L33" s="39">
        <f>$J$3+[52]FormattedData!E76*$J$4+$M$4*$J$5+[52]FormattedData!E76^2*$J$6+$M$5*$J$7</f>
        <v>45.001749077831299</v>
      </c>
      <c r="M33" s="39">
        <f>$J$3+[52]FormattedData!F76*$J$4+$M$4*$J$5+[52]FormattedData!F76^2*$J$6+$M$5*$J$7</f>
        <v>45.001749077831299</v>
      </c>
      <c r="N33" s="39">
        <f>$J$3+[52]FormattedData!G76*$J$4+$M$4*$J$5+[52]FormattedData!G76^2*$J$6+$M$5*$J$7</f>
        <v>43.274720723519721</v>
      </c>
      <c r="O33" s="39">
        <f>$J$3+[52]FormattedData!H76*$J$4+$M$4*$J$5+[52]FormattedData!H76^2*$J$6+$M$5*$J$7</f>
        <v>46.892817104560379</v>
      </c>
      <c r="P33" s="39">
        <f>$J$3+[52]FormattedData!I76*$J$4+$M$4*$J$5+[52]FormattedData!I76^2*$J$6+$M$5*$J$7</f>
        <v>43.821746571544793</v>
      </c>
      <c r="Q33" s="39">
        <f>$J$3+[52]FormattedData!J76*$J$4+$M$4*$J$5+[52]FormattedData!J76^2*$J$6+$M$5*$J$7</f>
        <v>48.410028959875035</v>
      </c>
      <c r="R33" s="39">
        <f>$J$3+[52]FormattedData!K76*$J$4+$M$4*$J$5+[52]FormattedData!K76^2*$J$6+$M$5*$J$7</f>
        <v>43.730681268218781</v>
      </c>
      <c r="S33" s="39">
        <f>$J$3+[52]FormattedData!L76*$J$4+$M$4*$J$5+[52]FormattedData!L76^2*$J$6+$M$5*$J$7</f>
        <v>48.054136917081323</v>
      </c>
      <c r="T33" s="39">
        <f>$J$3+[52]FormattedData!M76*$J$4+$M$4*$J$5+[52]FormattedData!M76^2*$J$6+$M$5*$J$7</f>
        <v>42.909191454077714</v>
      </c>
      <c r="U33" s="39">
        <f>$J$3+[52]FormattedData!N76*$J$4+$M$4*$J$5+[52]FormattedData!N76^2*$J$6+$M$5*$J$7</f>
        <v>45.814489304620622</v>
      </c>
      <c r="V33" s="39">
        <f>$J$3+[52]FormattedData!O76*$J$4+$M$4*$J$5+[52]FormattedData!O76^2*$J$6+$M$5*$J$7</f>
        <v>43.274720723519721</v>
      </c>
      <c r="W33" s="38">
        <f>AVERAGE(K33:V33)</f>
        <v>44.848203388791518</v>
      </c>
      <c r="X33" s="37">
        <f>STDEV(K33:V33)/SQRT(COUNT(K33:V33))</f>
        <v>0.59858044357960649</v>
      </c>
      <c r="Y33" s="36">
        <f>MIN(K33:V33)</f>
        <v>41.992409482817521</v>
      </c>
      <c r="Z33" s="35">
        <f>QUARTILE(K33:V33,1)</f>
        <v>43.274720723519721</v>
      </c>
      <c r="AA33" s="36">
        <f>MEDIAN(K33:V33)</f>
        <v>44.411747824688049</v>
      </c>
      <c r="AB33" s="35">
        <f>QUARTILE(K33:V33,3)</f>
        <v>46.084071254605561</v>
      </c>
      <c r="AC33" s="35">
        <f>MAX(K33:V33)</f>
        <v>48.410028959875035</v>
      </c>
      <c r="AD33" s="35">
        <f>SKEW(K33:V33)</f>
        <v>0.57199180213200829</v>
      </c>
      <c r="AE33" s="35">
        <f>KURT(K33:V33)</f>
        <v>-0.7898749791201265</v>
      </c>
    </row>
    <row r="34" spans="2:31" x14ac:dyDescent="0.2">
      <c r="B34" s="34">
        <f>[52]FormattedData!A92</f>
        <v>401</v>
      </c>
      <c r="C34" s="34" t="str">
        <f>VLOOKUP($B34,[52]TrtCodes!$B$11:I129,2)</f>
        <v>NSH</v>
      </c>
      <c r="D34" s="34">
        <f>VLOOKUP($B34,[52]TrtCodes!$B$11:J129,3)</f>
        <v>7</v>
      </c>
      <c r="E34" s="34">
        <f>VLOOKUP($B34,[52]TrtCodes!$B$11:K129,4)</f>
        <v>2</v>
      </c>
      <c r="F34" s="34">
        <f>VLOOKUP($B34,[52]TrtCodes!$B$11:L129,5)</f>
        <v>1</v>
      </c>
      <c r="G34" s="34">
        <f>VLOOKUP($B34,[52]TrtCodes!$B$11:M129,6)</f>
        <v>2</v>
      </c>
      <c r="H34" s="34">
        <f>VLOOKUP($B34,[52]TrtCodes!$B$11:N129,7)</f>
        <v>3</v>
      </c>
      <c r="I34" s="34">
        <f>[52]FormattedData!B92</f>
        <v>1</v>
      </c>
      <c r="J34" s="37">
        <f>[52]FormattedData!C92</f>
        <v>13.385999999999999</v>
      </c>
      <c r="K34" s="39">
        <f>$J$3+[52]FormattedData!D92*$J$4+$M$4*$J$5+[52]FormattedData!D92^2*$J$6+$M$5*$J$7</f>
        <v>35.93029710841909</v>
      </c>
      <c r="L34" s="39">
        <f>$J$3+[52]FormattedData!E92*$J$4+$M$4*$J$5+[52]FormattedData!E92^2*$J$6+$M$5*$J$7</f>
        <v>42.267887893843856</v>
      </c>
      <c r="M34" s="39">
        <f>$J$3+[52]FormattedData!F92*$J$4+$M$4*$J$5+[52]FormattedData!F92^2*$J$6+$M$5*$J$7</f>
        <v>40.979067298300251</v>
      </c>
      <c r="N34" s="39">
        <f>$J$3+[52]FormattedData!G92*$J$4+$M$4*$J$5+[52]FormattedData!G92^2*$J$6+$M$5*$J$7</f>
        <v>40.886691670298376</v>
      </c>
      <c r="O34" s="39">
        <f>$J$3+[52]FormattedData!H92*$J$4+$M$4*$J$5+[52]FormattedData!H92^2*$J$6+$M$5*$J$7</f>
        <v>41.624513175251373</v>
      </c>
      <c r="P34" s="39">
        <f>$J$3+[52]FormattedData!I92*$J$4+$M$4*$J$5+[52]FormattedData!I92^2*$J$6+$M$5*$J$7</f>
        <v>34.696444484808318</v>
      </c>
      <c r="Q34" s="39">
        <f>$J$3+[52]FormattedData!J92*$J$4+$M$4*$J$5+[52]FormattedData!J92^2*$J$6+$M$5*$J$7</f>
        <v>43.730681268218781</v>
      </c>
      <c r="R34" s="39">
        <f>$J$3+[52]FormattedData!K92*$J$4+$M$4*$J$5+[52]FormattedData!K92^2*$J$6+$M$5*$J$7</f>
        <v>35.36171430604913</v>
      </c>
      <c r="S34" s="39">
        <f>$J$3+[52]FormattedData!L92*$J$4+$M$4*$J$5+[52]FormattedData!L92^2*$J$6+$M$5*$J$7</f>
        <v>41.440311410240703</v>
      </c>
      <c r="T34" s="39">
        <f>$J$3+[52]FormattedData!M92*$J$4+$M$4*$J$5+[52]FormattedData!M92^2*$J$6+$M$5*$J$7</f>
        <v>34.981813733710538</v>
      </c>
      <c r="U34" s="39">
        <f>$J$3+[52]FormattedData!N92*$J$4+$M$4*$J$5+[52]FormattedData!N92^2*$J$6+$M$5*$J$7</f>
        <v>41.624513175251373</v>
      </c>
      <c r="V34" s="39">
        <f>$J$3+[52]FormattedData!O92*$J$4+$M$4*$J$5+[52]FormattedData!O92^2*$J$6+$M$5*$J$7</f>
        <v>33.455448478287174</v>
      </c>
      <c r="W34" s="38">
        <f>AVERAGE(K34:V34)</f>
        <v>38.914948666889913</v>
      </c>
      <c r="X34" s="37">
        <f>STDEV(K34:V34)/SQRT(COUNT(K34:V34))</f>
        <v>1.059759350803904</v>
      </c>
      <c r="Y34" s="36">
        <f>MIN(K34:V34)</f>
        <v>33.455448478287174</v>
      </c>
      <c r="Z34" s="35">
        <f>QUARTILE(K34:V34,1)</f>
        <v>35.266739162964484</v>
      </c>
      <c r="AA34" s="36">
        <f>MEDIAN(K34:V34)</f>
        <v>40.932879484299313</v>
      </c>
      <c r="AB34" s="35">
        <f>QUARTILE(K34:V34,3)</f>
        <v>41.624513175251373</v>
      </c>
      <c r="AC34" s="35">
        <f>MAX(K34:V34)</f>
        <v>43.730681268218781</v>
      </c>
      <c r="AD34" s="35">
        <f>SKEW(K34:V34)</f>
        <v>-0.32712861315685088</v>
      </c>
      <c r="AE34" s="35">
        <f>KURT(K34:V34)</f>
        <v>-1.8391742364320884</v>
      </c>
    </row>
    <row r="35" spans="2:31" x14ac:dyDescent="0.2">
      <c r="B35" s="34">
        <f>[52]FormattedData!A90</f>
        <v>402</v>
      </c>
      <c r="C35" s="34" t="str">
        <f>VLOOKUP($B35,[52]TrtCodes!$B$11:I130,2)</f>
        <v>NTH</v>
      </c>
      <c r="D35" s="34">
        <f>VLOOKUP($B35,[52]TrtCodes!$B$11:J130,3)</f>
        <v>9</v>
      </c>
      <c r="E35" s="34">
        <f>VLOOKUP($B35,[52]TrtCodes!$B$11:K130,4)</f>
        <v>2</v>
      </c>
      <c r="F35" s="34">
        <f>VLOOKUP($B35,[52]TrtCodes!$B$11:L130,5)</f>
        <v>2</v>
      </c>
      <c r="G35" s="34">
        <f>VLOOKUP($B35,[52]TrtCodes!$B$11:M130,6)</f>
        <v>2</v>
      </c>
      <c r="H35" s="34">
        <f>VLOOKUP($B35,[52]TrtCodes!$B$11:N130,7)</f>
        <v>3</v>
      </c>
      <c r="I35" s="34">
        <f>[52]FormattedData!B90</f>
        <v>1</v>
      </c>
      <c r="J35" s="37">
        <f>[52]FormattedData!C90</f>
        <v>13.377000000000001</v>
      </c>
      <c r="K35" s="39">
        <f>$J$3+[52]FormattedData!D90*$J$4+$M$4*$J$5+[52]FormattedData!D90^2*$J$6+$M$5*$J$7</f>
        <v>34.315360393407659</v>
      </c>
      <c r="L35" s="39">
        <f>$J$3+[52]FormattedData!E90*$J$4+$M$4*$J$5+[52]FormattedData!E90^2*$J$6+$M$5*$J$7</f>
        <v>34.219983699212655</v>
      </c>
      <c r="M35" s="39">
        <f>$J$3+[52]FormattedData!F90*$J$4+$M$4*$J$5+[52]FormattedData!F90^2*$J$6+$M$5*$J$7</f>
        <v>40.701813608680808</v>
      </c>
      <c r="N35" s="39">
        <f>$J$3+[52]FormattedData!G90*$J$4+$M$4*$J$5+[52]FormattedData!G90^2*$J$6+$M$5*$J$7</f>
        <v>32.976240237725989</v>
      </c>
      <c r="O35" s="39">
        <f>$J$3+[52]FormattedData!H90*$J$4+$M$4*$J$5+[52]FormattedData!H90^2*$J$6+$M$5*$J$7</f>
        <v>42.176104025373007</v>
      </c>
      <c r="P35" s="39">
        <f>$J$3+[52]FormattedData!I90*$J$4+$M$4*$J$5+[52]FormattedData!I90^2*$J$6+$M$5*$J$7</f>
        <v>32.976240237725989</v>
      </c>
      <c r="Q35" s="39">
        <f>$J$3+[52]FormattedData!J90*$J$4+$M$4*$J$5+[52]FormattedData!J90^2*$J$6+$M$5*$J$7</f>
        <v>41.163691748690226</v>
      </c>
      <c r="R35" s="39">
        <f>$J$3+[52]FormattedData!K90*$J$4+$M$4*$J$5+[52]FormattedData!K90^2*$J$6+$M$5*$J$7</f>
        <v>33.263891987676502</v>
      </c>
      <c r="S35" s="39">
        <f>$J$3+[52]FormattedData!L90*$J$4+$M$4*$J$5+[52]FormattedData!L90^2*$J$6+$M$5*$J$7</f>
        <v>38.095767960103892</v>
      </c>
      <c r="T35" s="39">
        <f>$J$3+[52]FormattedData!M90*$J$4+$M$4*$J$5+[52]FormattedData!M90^2*$J$6+$M$5*$J$7</f>
        <v>32.976240237725989</v>
      </c>
      <c r="U35" s="39">
        <f>$J$3+[52]FormattedData!N90*$J$4+$M$4*$J$5+[52]FormattedData!N90^2*$J$6+$M$5*$J$7</f>
        <v>36.874553629334528</v>
      </c>
      <c r="V35" s="39">
        <f>$J$3+[52]FormattedData!O90*$J$4+$M$4*$J$5+[52]FormattedData!O90^2*$J$6+$M$5*$J$7</f>
        <v>32.303573422347235</v>
      </c>
      <c r="W35" s="38">
        <f>AVERAGE(K35:V35)</f>
        <v>36.003621765667042</v>
      </c>
      <c r="X35" s="37">
        <f>STDEV(K35:V35)/SQRT(COUNT(K35:V35))</f>
        <v>1.0540601480722016</v>
      </c>
      <c r="Y35" s="36">
        <f>MIN(K35:V35)</f>
        <v>32.303573422347235</v>
      </c>
      <c r="Z35" s="35">
        <f>QUARTILE(K35:V35,1)</f>
        <v>32.976240237725989</v>
      </c>
      <c r="AA35" s="36">
        <f>MEDIAN(K35:V35)</f>
        <v>34.267672046310153</v>
      </c>
      <c r="AB35" s="35">
        <f>QUARTILE(K35:V35,3)</f>
        <v>38.747279372248123</v>
      </c>
      <c r="AC35" s="35">
        <f>MAX(K35:V35)</f>
        <v>42.176104025373007</v>
      </c>
      <c r="AD35" s="35">
        <f>SKEW(K35:V35)</f>
        <v>0.71963816649352974</v>
      </c>
      <c r="AE35" s="35">
        <f>KURT(K35:V35)</f>
        <v>-1.2130259902443656</v>
      </c>
    </row>
    <row r="36" spans="2:31" x14ac:dyDescent="0.2">
      <c r="B36" s="34">
        <f>[52]FormattedData!A88</f>
        <v>403</v>
      </c>
      <c r="C36" s="34" t="str">
        <f>VLOOKUP($B36,[52]TrtCodes!$B$11:I131,2)</f>
        <v>FDL</v>
      </c>
      <c r="D36" s="34">
        <f>VLOOKUP($B36,[52]TrtCodes!$B$11:J131,3)</f>
        <v>6</v>
      </c>
      <c r="E36" s="34">
        <f>VLOOKUP($B36,[52]TrtCodes!$B$11:K131,4)</f>
        <v>1</v>
      </c>
      <c r="F36" s="34">
        <f>VLOOKUP($B36,[52]TrtCodes!$B$11:L131,5)</f>
        <v>3</v>
      </c>
      <c r="G36" s="34">
        <f>VLOOKUP($B36,[52]TrtCodes!$B$11:M131,6)</f>
        <v>1</v>
      </c>
      <c r="H36" s="34">
        <f>VLOOKUP($B36,[52]TrtCodes!$B$11:N131,7)</f>
        <v>3</v>
      </c>
      <c r="I36" s="34">
        <f>[52]FormattedData!B88</f>
        <v>1</v>
      </c>
      <c r="J36" s="37">
        <f>[52]FormattedData!C88</f>
        <v>13.369</v>
      </c>
      <c r="K36" s="39">
        <f>$J$3+[52]FormattedData!D88*$J$4+$M$4*$J$5+[52]FormattedData!D88^2*$J$6+$M$5*$J$7</f>
        <v>36.96874680446745</v>
      </c>
      <c r="L36" s="39">
        <f>$J$3+[52]FormattedData!E88*$J$4+$M$4*$J$5+[52]FormattedData!E88^2*$J$6+$M$5*$J$7</f>
        <v>43.821746571544793</v>
      </c>
      <c r="M36" s="39">
        <f>$J$3+[52]FormattedData!F88*$J$4+$M$4*$J$5+[52]FormattedData!F88^2*$J$6+$M$5*$J$7</f>
        <v>40.609311175065137</v>
      </c>
      <c r="N36" s="39">
        <f>$J$3+[52]FormattedData!G88*$J$4+$M$4*$J$5+[52]FormattedData!G88^2*$J$6+$M$5*$J$7</f>
        <v>42.817703465372389</v>
      </c>
      <c r="O36" s="39">
        <f>$J$3+[52]FormattedData!H88*$J$4+$M$4*$J$5+[52]FormattedData!H88^2*$J$6+$M$5*$J$7</f>
        <v>40.146164978917788</v>
      </c>
      <c r="P36" s="39">
        <f>$J$3+[52]FormattedData!I88*$J$4+$M$4*$J$5+[52]FormattedData!I88^2*$J$6+$M$5*$J$7</f>
        <v>38.84373391416036</v>
      </c>
      <c r="Q36" s="39">
        <f>$J$3+[52]FormattedData!J88*$J$4+$M$4*$J$5+[52]FormattedData!J88^2*$J$6+$M$5*$J$7</f>
        <v>40.609311175065137</v>
      </c>
      <c r="R36" s="39">
        <f>$J$3+[52]FormattedData!K88*$J$4+$M$4*$J$5+[52]FormattedData!K88^2*$J$6+$M$5*$J$7</f>
        <v>43.274720723519721</v>
      </c>
      <c r="S36" s="39">
        <f>$J$3+[52]FormattedData!L88*$J$4+$M$4*$J$5+[52]FormattedData!L88^2*$J$6+$M$5*$J$7</f>
        <v>41.163691748690226</v>
      </c>
      <c r="T36" s="39">
        <f>$J$3+[52]FormattedData!M88*$J$4+$M$4*$J$5+[52]FormattedData!M88^2*$J$6+$M$5*$J$7</f>
        <v>37.251072718638632</v>
      </c>
      <c r="U36" s="39">
        <f>$J$3+[52]FormattedData!N88*$J$4+$M$4*$J$5+[52]FormattedData!N88^2*$J$6+$M$5*$J$7</f>
        <v>41.624513175251373</v>
      </c>
      <c r="V36" s="39">
        <f>$J$3+[52]FormattedData!O88*$J$4+$M$4*$J$5+[52]FormattedData!O88^2*$J$6+$M$5*$J$7</f>
        <v>37.626915511335838</v>
      </c>
      <c r="W36" s="38">
        <f>AVERAGE(K36:V36)</f>
        <v>40.396469330169069</v>
      </c>
      <c r="X36" s="37">
        <f>STDEV(K36:V36)/SQRT(COUNT(K36:V36))</f>
        <v>0.67337585007183165</v>
      </c>
      <c r="Y36" s="36">
        <f>MIN(K36:V36)</f>
        <v>36.96874680446745</v>
      </c>
      <c r="Z36" s="35">
        <f>QUARTILE(K36:V36,1)</f>
        <v>38.539529313454231</v>
      </c>
      <c r="AA36" s="36">
        <f>MEDIAN(K36:V36)</f>
        <v>40.609311175065137</v>
      </c>
      <c r="AB36" s="35">
        <f>QUARTILE(K36:V36,3)</f>
        <v>41.922810747781625</v>
      </c>
      <c r="AC36" s="35">
        <f>MAX(K36:V36)</f>
        <v>43.821746571544793</v>
      </c>
      <c r="AD36" s="35">
        <f>SKEW(K36:V36)</f>
        <v>-0.13620163657637535</v>
      </c>
      <c r="AE36" s="35">
        <f>KURT(K36:V36)</f>
        <v>-1.1387951217586059</v>
      </c>
    </row>
    <row r="37" spans="2:31" x14ac:dyDescent="0.2">
      <c r="B37" s="34">
        <f>[52]FormattedData!A86</f>
        <v>404</v>
      </c>
      <c r="C37" s="34" t="str">
        <f>VLOOKUP($B37,[52]TrtCodes!$B$11:I129,2)</f>
        <v>FTH</v>
      </c>
      <c r="D37" s="34">
        <f>VLOOKUP($B37,[52]TrtCodes!$B$11:J129,3)</f>
        <v>3</v>
      </c>
      <c r="E37" s="34">
        <f>VLOOKUP($B37,[52]TrtCodes!$B$11:K129,4)</f>
        <v>1</v>
      </c>
      <c r="F37" s="34">
        <f>VLOOKUP($B37,[52]TrtCodes!$B$11:L129,5)</f>
        <v>2</v>
      </c>
      <c r="G37" s="34">
        <f>VLOOKUP($B37,[52]TrtCodes!$B$11:M129,6)</f>
        <v>2</v>
      </c>
      <c r="H37" s="34">
        <f>VLOOKUP($B37,[52]TrtCodes!$B$11:N129,7)</f>
        <v>3</v>
      </c>
      <c r="I37" s="34">
        <f>[52]FormattedData!B86</f>
        <v>1</v>
      </c>
      <c r="J37" s="37">
        <f>[52]FormattedData!C86</f>
        <v>13.36</v>
      </c>
      <c r="K37" s="39">
        <f>$J$3+[52]FormattedData!D86*$J$4+$M$4*$J$5+[52]FormattedData!D86^2*$J$6+$M$5*$J$7</f>
        <v>33.455448478287174</v>
      </c>
      <c r="L37" s="39">
        <f>$J$3+[52]FormattedData!E86*$J$4+$M$4*$J$5+[52]FormattedData!E86^2*$J$6+$M$5*$J$7</f>
        <v>42.909191454077714</v>
      </c>
      <c r="M37" s="39">
        <f>$J$3+[52]FormattedData!F86*$J$4+$M$4*$J$5+[52]FormattedData!F86^2*$J$6+$M$5*$J$7</f>
        <v>35.835638979368923</v>
      </c>
      <c r="N37" s="39">
        <f>$J$3+[52]FormattedData!G86*$J$4+$M$4*$J$5+[52]FormattedData!G86^2*$J$6+$M$5*$J$7</f>
        <v>42.084277888364234</v>
      </c>
      <c r="O37" s="39">
        <f>$J$3+[52]FormattedData!H86*$J$4+$M$4*$J$5+[52]FormattedData!H86^2*$J$6+$M$5*$J$7</f>
        <v>38.283013059845587</v>
      </c>
      <c r="P37" s="39">
        <f>$J$3+[52]FormattedData!I86*$J$4+$M$4*$J$5+[52]FormattedData!I86^2*$J$6+$M$5*$J$7</f>
        <v>38.002082007426147</v>
      </c>
      <c r="Q37" s="39">
        <f>$J$3+[52]FormattedData!J86*$J$4+$M$4*$J$5+[52]FormattedData!J86^2*$J$6+$M$5*$J$7</f>
        <v>40.424179502219992</v>
      </c>
      <c r="R37" s="39">
        <f>$J$3+[52]FormattedData!K86*$J$4+$M$4*$J$5+[52]FormattedData!K86^2*$J$6+$M$5*$J$7</f>
        <v>40.516766472911527</v>
      </c>
      <c r="S37" s="39">
        <f>$J$3+[52]FormattedData!L86*$J$4+$M$4*$J$5+[52]FormattedData!L86^2*$J$6+$M$5*$J$7</f>
        <v>44.367250752204356</v>
      </c>
      <c r="T37" s="39">
        <f>$J$3+[52]FormattedData!M86*$J$4+$M$4*$J$5+[52]FormattedData!M86^2*$J$6+$M$5*$J$7</f>
        <v>39.588994681789231</v>
      </c>
      <c r="U37" s="39">
        <f>$J$3+[52]FormattedData!N86*$J$4+$M$4*$J$5+[52]FormattedData!N86^2*$J$6+$M$5*$J$7</f>
        <v>44.185585099469556</v>
      </c>
      <c r="V37" s="39">
        <f>$J$3+[52]FormattedData!O86*$J$4+$M$4*$J$5+[52]FormattedData!O86^2*$J$6+$M$5*$J$7</f>
        <v>38.189411644243705</v>
      </c>
      <c r="W37" s="38">
        <f>AVERAGE(K37:V37)</f>
        <v>39.820153335017345</v>
      </c>
      <c r="X37" s="37">
        <f>STDEV(K37:V37)/SQRT(COUNT(K37:V37))</f>
        <v>0.95353561495558803</v>
      </c>
      <c r="Y37" s="36">
        <f>MIN(K37:V37)</f>
        <v>33.455448478287174</v>
      </c>
      <c r="Z37" s="35">
        <f>QUARTILE(K37:V37,1)</f>
        <v>38.142579235039314</v>
      </c>
      <c r="AA37" s="36">
        <f>MEDIAN(K37:V37)</f>
        <v>40.006587092004608</v>
      </c>
      <c r="AB37" s="35">
        <f>QUARTILE(K37:V37,3)</f>
        <v>42.290506279792602</v>
      </c>
      <c r="AC37" s="35">
        <f>MAX(K37:V37)</f>
        <v>44.367250752204356</v>
      </c>
      <c r="AD37" s="35">
        <f>SKEW(K37:V37)</f>
        <v>-0.35182760404450447</v>
      </c>
      <c r="AE37" s="35">
        <f>KURT(K37:V37)</f>
        <v>-0.29393184167864472</v>
      </c>
    </row>
    <row r="38" spans="2:31" x14ac:dyDescent="0.2">
      <c r="B38" s="34">
        <f>[52]FormattedData!A84</f>
        <v>405</v>
      </c>
      <c r="C38" s="34" t="str">
        <f>VLOOKUP($B38,[52]TrtCodes!$B$11:I127,2)</f>
        <v>FDL</v>
      </c>
      <c r="D38" s="34">
        <f>VLOOKUP($B38,[52]TrtCodes!$B$11:J127,3)</f>
        <v>6</v>
      </c>
      <c r="E38" s="34">
        <f>VLOOKUP($B38,[52]TrtCodes!$B$11:K127,4)</f>
        <v>1</v>
      </c>
      <c r="F38" s="34">
        <f>VLOOKUP($B38,[52]TrtCodes!$B$11:L127,5)</f>
        <v>3</v>
      </c>
      <c r="G38" s="34">
        <f>VLOOKUP($B38,[52]TrtCodes!$B$11:M127,6)</f>
        <v>1</v>
      </c>
      <c r="H38" s="34">
        <f>VLOOKUP($B38,[52]TrtCodes!$B$11:N127,7)</f>
        <v>4</v>
      </c>
      <c r="I38" s="34">
        <f>[52]FormattedData!B84</f>
        <v>1</v>
      </c>
      <c r="J38" s="37">
        <f>[52]FormattedData!C84</f>
        <v>13.351000000000001</v>
      </c>
      <c r="K38" s="39">
        <f>$J$3+[52]FormattedData!D84*$J$4+$M$4*$J$5+[52]FormattedData!D84^2*$J$6+$M$5*$J$7</f>
        <v>34.505986976183848</v>
      </c>
      <c r="L38" s="39">
        <f>$J$3+[52]FormattedData!E84*$J$4+$M$4*$J$5+[52]FormattedData!E84^2*$J$6+$M$5*$J$7</f>
        <v>38.470089085435575</v>
      </c>
      <c r="M38" s="39">
        <f>$J$3+[52]FormattedData!F84*$J$4+$M$4*$J$5+[52]FormattedData!F84^2*$J$6+$M$5*$J$7</f>
        <v>40.609311175065137</v>
      </c>
      <c r="N38" s="39">
        <f>$J$3+[52]FormattedData!G84*$J$4+$M$4*$J$5+[52]FormattedData!G84^2*$J$6+$M$5*$J$7</f>
        <v>41.348147124928481</v>
      </c>
      <c r="O38" s="39">
        <f>$J$3+[52]FormattedData!H84*$J$4+$M$4*$J$5+[52]FormattedData!H84^2*$J$6+$M$5*$J$7</f>
        <v>40.331550262990518</v>
      </c>
      <c r="P38" s="39">
        <f>$J$3+[52]FormattedData!I84*$J$4+$M$4*$J$5+[52]FormattedData!I84^2*$J$6+$M$5*$J$7</f>
        <v>37.157006349119506</v>
      </c>
      <c r="Q38" s="39">
        <f>$J$3+[52]FormattedData!J84*$J$4+$M$4*$J$5+[52]FormattedData!J84^2*$J$6+$M$5*$J$7</f>
        <v>40.146164978917788</v>
      </c>
      <c r="R38" s="39">
        <f>$J$3+[52]FormattedData!K84*$J$4+$M$4*$J$5+[52]FormattedData!K84^2*$J$6+$M$5*$J$7</f>
        <v>36.214017884341999</v>
      </c>
      <c r="S38" s="39">
        <f>$J$3+[52]FormattedData!L84*$J$4+$M$4*$J$5+[52]FormattedData!L84^2*$J$6+$M$5*$J$7</f>
        <v>44.367250752204356</v>
      </c>
      <c r="T38" s="39">
        <f>$J$3+[52]FormattedData!M84*$J$4+$M$4*$J$5+[52]FormattedData!M84^2*$J$6+$M$5*$J$7</f>
        <v>35.36171430604913</v>
      </c>
      <c r="U38" s="39">
        <f>$J$3+[52]FormattedData!N84*$J$4+$M$4*$J$5+[52]FormattedData!N84^2*$J$6+$M$5*$J$7</f>
        <v>45.182653896883338</v>
      </c>
      <c r="V38" s="39">
        <f>$J$3+[52]FormattedData!O84*$J$4+$M$4*$J$5+[52]FormattedData!O84^2*$J$6+$M$5*$J$7</f>
        <v>38.002082007426147</v>
      </c>
      <c r="W38" s="38">
        <f>AVERAGE(K38:V38)</f>
        <v>39.307997899962153</v>
      </c>
      <c r="X38" s="37">
        <f>STDEV(K38:V38)/SQRT(COUNT(K38:V38))</f>
        <v>0.96512237684409141</v>
      </c>
      <c r="Y38" s="36">
        <f>MIN(K38:V38)</f>
        <v>34.505986976183848</v>
      </c>
      <c r="Z38" s="35">
        <f>QUARTILE(K38:V38,1)</f>
        <v>36.921259232925131</v>
      </c>
      <c r="AA38" s="36">
        <f>MEDIAN(K38:V38)</f>
        <v>39.308127032176685</v>
      </c>
      <c r="AB38" s="35">
        <f>QUARTILE(K38:V38,3)</f>
        <v>40.79402016253097</v>
      </c>
      <c r="AC38" s="35">
        <f>MAX(K38:V38)</f>
        <v>45.182653896883338</v>
      </c>
      <c r="AD38" s="35">
        <f>SKEW(K38:V38)</f>
        <v>0.37957221508832151</v>
      </c>
      <c r="AE38" s="35">
        <f>KURT(K38:V38)</f>
        <v>-0.55396685821807923</v>
      </c>
    </row>
    <row r="39" spans="2:31" x14ac:dyDescent="0.2">
      <c r="B39" s="34">
        <f>[52]FormattedData!A82</f>
        <v>406</v>
      </c>
      <c r="C39" s="34" t="str">
        <f>VLOOKUP($B39,[52]TrtCodes!$B$11:I125,2)</f>
        <v>FTH</v>
      </c>
      <c r="D39" s="34">
        <f>VLOOKUP($B39,[52]TrtCodes!$B$11:J125,3)</f>
        <v>3</v>
      </c>
      <c r="E39" s="34">
        <f>VLOOKUP($B39,[52]TrtCodes!$B$11:K125,4)</f>
        <v>1</v>
      </c>
      <c r="F39" s="34">
        <f>VLOOKUP($B39,[52]TrtCodes!$B$11:L125,5)</f>
        <v>2</v>
      </c>
      <c r="G39" s="34">
        <f>VLOOKUP($B39,[52]TrtCodes!$B$11:M125,6)</f>
        <v>2</v>
      </c>
      <c r="H39" s="34">
        <f>VLOOKUP($B39,[52]TrtCodes!$B$11:N125,7)</f>
        <v>4</v>
      </c>
      <c r="I39" s="34">
        <f>[52]FormattedData!B82</f>
        <v>1</v>
      </c>
      <c r="J39" s="37">
        <f>[52]FormattedData!C82</f>
        <v>13.343</v>
      </c>
      <c r="K39" s="39">
        <f>$J$3+[52]FormattedData!D82*$J$4+$M$4*$J$5+[52]FormattedData!D82^2*$J$6+$M$5*$J$7</f>
        <v>35.171848556955702</v>
      </c>
      <c r="L39" s="39">
        <f>$J$3+[52]FormattedData!E82*$J$4+$M$4*$J$5+[52]FormattedData!E82^2*$J$6+$M$5*$J$7</f>
        <v>42.817703465372389</v>
      </c>
      <c r="M39" s="39">
        <f>$J$3+[52]FormattedData!F82*$J$4+$M$4*$J$5+[52]FormattedData!F82^2*$J$6+$M$5*$J$7</f>
        <v>37.908353786210462</v>
      </c>
      <c r="N39" s="39">
        <f>$J$3+[52]FormattedData!G82*$J$4+$M$4*$J$5+[52]FormattedData!G82^2*$J$6+$M$5*$J$7</f>
        <v>40.794273773758562</v>
      </c>
      <c r="O39" s="39">
        <f>$J$3+[52]FormattedData!H82*$J$4+$M$4*$J$5+[52]FormattedData!H82^2*$J$6+$M$5*$J$7</f>
        <v>39.216702446278248</v>
      </c>
      <c r="P39" s="39">
        <f>$J$3+[52]FormattedData!I82*$J$4+$M$4*$J$5+[52]FormattedData!I82^2*$J$6+$M$5*$J$7</f>
        <v>39.030302717295164</v>
      </c>
      <c r="Q39" s="39">
        <f>$J$3+[52]FormattedData!J82*$J$4+$M$4*$J$5+[52]FormattedData!J82^2*$J$6+$M$5*$J$7</f>
        <v>37.626915511335838</v>
      </c>
      <c r="R39" s="39">
        <f>$J$3+[52]FormattedData!K82*$J$4+$M$4*$J$5+[52]FormattedData!K82^2*$J$6+$M$5*$J$7</f>
        <v>37.814583296456846</v>
      </c>
      <c r="S39" s="39">
        <f>$J$3+[52]FormattedData!L82*$J$4+$M$4*$J$5+[52]FormattedData!L82^2*$J$6+$M$5*$J$7</f>
        <v>36.874553629334528</v>
      </c>
      <c r="T39" s="39">
        <f>$J$3+[52]FormattedData!M82*$J$4+$M$4*$J$5+[52]FormattedData!M82^2*$J$6+$M$5*$J$7</f>
        <v>37.157006349119506</v>
      </c>
      <c r="U39" s="39">
        <f>$J$3+[52]FormattedData!N82*$J$4+$M$4*$J$5+[52]FormattedData!N82^2*$J$6+$M$5*$J$7</f>
        <v>39.402933101109603</v>
      </c>
      <c r="V39" s="39">
        <f>$J$3+[52]FormattedData!O82*$J$4+$M$4*$J$5+[52]FormattedData!O82^2*$J$6+$M$5*$J$7</f>
        <v>37.06289771106244</v>
      </c>
      <c r="W39" s="38">
        <f>AVERAGE(K39:V39)</f>
        <v>38.406506195357437</v>
      </c>
      <c r="X39" s="37">
        <f>STDEV(K39:V39)/SQRT(COUNT(K39:V39))</f>
        <v>0.58115099033163164</v>
      </c>
      <c r="Y39" s="36">
        <f>MIN(K39:V39)</f>
        <v>35.171848556955702</v>
      </c>
      <c r="Z39" s="35">
        <f>QUARTILE(K39:V39,1)</f>
        <v>37.133479189605239</v>
      </c>
      <c r="AA39" s="36">
        <f>MEDIAN(K39:V39)</f>
        <v>37.86146854133365</v>
      </c>
      <c r="AB39" s="35">
        <f>QUARTILE(K39:V39,3)</f>
        <v>39.263260109986085</v>
      </c>
      <c r="AC39" s="35">
        <f>MAX(K39:V39)</f>
        <v>42.817703465372389</v>
      </c>
      <c r="AD39" s="35">
        <f>SKEW(K39:V39)</f>
        <v>0.78341902803537045</v>
      </c>
      <c r="AE39" s="35">
        <f>KURT(K39:V39)</f>
        <v>1.0890116689028924</v>
      </c>
    </row>
    <row r="40" spans="2:31" x14ac:dyDescent="0.2">
      <c r="B40" s="34">
        <f>[52]FormattedData!A80</f>
        <v>407</v>
      </c>
      <c r="C40" s="34" t="str">
        <f>VLOOKUP($B40,[52]TrtCodes!$B$11:I123,2)</f>
        <v>NSH</v>
      </c>
      <c r="D40" s="34">
        <f>VLOOKUP($B40,[52]TrtCodes!$B$11:J123,3)</f>
        <v>7</v>
      </c>
      <c r="E40" s="34">
        <f>VLOOKUP($B40,[52]TrtCodes!$B$11:K123,4)</f>
        <v>2</v>
      </c>
      <c r="F40" s="34">
        <f>VLOOKUP($B40,[52]TrtCodes!$B$11:L123,5)</f>
        <v>1</v>
      </c>
      <c r="G40" s="34">
        <f>VLOOKUP($B40,[52]TrtCodes!$B$11:M123,6)</f>
        <v>2</v>
      </c>
      <c r="H40" s="34">
        <f>VLOOKUP($B40,[52]TrtCodes!$B$11:N123,7)</f>
        <v>4</v>
      </c>
      <c r="I40" s="34">
        <f>[52]FormattedData!B80</f>
        <v>1</v>
      </c>
      <c r="J40" s="37">
        <f>[52]FormattedData!C80</f>
        <v>13.334</v>
      </c>
      <c r="K40" s="39">
        <f>$J$3+[52]FormattedData!D80*$J$4+$M$4*$J$5+[52]FormattedData!D80^2*$J$6+$M$5*$J$7</f>
        <v>34.029103505208873</v>
      </c>
      <c r="L40" s="39">
        <f>$J$3+[52]FormattedData!E80*$J$4+$M$4*$J$5+[52]FormattedData!E80^2*$J$6+$M$5*$J$7</f>
        <v>44.639432217272059</v>
      </c>
      <c r="M40" s="39">
        <f>$J$3+[52]FormattedData!F80*$J$4+$M$4*$J$5+[52]FormattedData!F80^2*$J$6+$M$5*$J$7</f>
        <v>40.053408934074518</v>
      </c>
      <c r="N40" s="39">
        <f>$J$3+[52]FormattedData!G80*$J$4+$M$4*$J$5+[52]FormattedData!G80^2*$J$6+$M$5*$J$7</f>
        <v>41.348147124928481</v>
      </c>
      <c r="O40" s="39">
        <f>$J$3+[52]FormattedData!H80*$J$4+$M$4*$J$5+[52]FormattedData!H80^2*$J$6+$M$5*$J$7</f>
        <v>44.276439060105915</v>
      </c>
      <c r="P40" s="39">
        <f>$J$3+[52]FormattedData!I80*$J$4+$M$4*$J$5+[52]FormattedData!I80^2*$J$6+$M$5*$J$7</f>
        <v>35.36171430604913</v>
      </c>
      <c r="Q40" s="39">
        <f>$J$3+[52]FormattedData!J80*$J$4+$M$4*$J$5+[52]FormattedData!J80^2*$J$6+$M$5*$J$7</f>
        <v>47.608320821485741</v>
      </c>
      <c r="R40" s="39">
        <f>$J$3+[52]FormattedData!K80*$J$4+$M$4*$J$5+[52]FormattedData!K80^2*$J$6+$M$5*$J$7</f>
        <v>36.119486560905628</v>
      </c>
      <c r="S40" s="39">
        <f>$J$3+[52]FormattedData!L80*$J$4+$M$4*$J$5+[52]FormattedData!L80^2*$J$6+$M$5*$J$7</f>
        <v>46.444253553999275</v>
      </c>
      <c r="T40" s="39">
        <f>$J$3+[52]FormattedData!M80*$J$4+$M$4*$J$5+[52]FormattedData!M80^2*$J$6+$M$5*$J$7</f>
        <v>36.119486560905628</v>
      </c>
      <c r="U40" s="39">
        <f>$J$3+[52]FormattedData!N80*$J$4+$M$4*$J$5+[52]FormattedData!N80^2*$J$6+$M$5*$J$7</f>
        <v>46.174608201207434</v>
      </c>
      <c r="V40" s="39">
        <f>$J$3+[52]FormattedData!O80*$J$4+$M$4*$J$5+[52]FormattedData!O80^2*$J$6+$M$5*$J$7</f>
        <v>37.251072718638632</v>
      </c>
      <c r="W40" s="38">
        <f>AVERAGE(K40:V40)</f>
        <v>40.785456130398437</v>
      </c>
      <c r="X40" s="37">
        <f>STDEV(K40:V40)/SQRT(COUNT(K40:V40))</f>
        <v>1.4211836855468332</v>
      </c>
      <c r="Y40" s="36">
        <f>MIN(K40:V40)</f>
        <v>34.029103505208873</v>
      </c>
      <c r="Z40" s="35">
        <f>QUARTILE(K40:V40,1)</f>
        <v>36.119486560905628</v>
      </c>
      <c r="AA40" s="36">
        <f>MEDIAN(K40:V40)</f>
        <v>40.7007780295015</v>
      </c>
      <c r="AB40" s="35">
        <f>QUARTILE(K40:V40,3)</f>
        <v>45.023226213255903</v>
      </c>
      <c r="AC40" s="35">
        <f>MAX(K40:V40)</f>
        <v>47.608320821485741</v>
      </c>
      <c r="AD40" s="35">
        <f>SKEW(K40:V40)</f>
        <v>3.6228128169647184E-2</v>
      </c>
      <c r="AE40" s="35">
        <f>KURT(K40:V40)</f>
        <v>-1.7643810563155924</v>
      </c>
    </row>
    <row r="41" spans="2:31" x14ac:dyDescent="0.2">
      <c r="B41" s="34">
        <f>[52]FormattedData!A78</f>
        <v>408</v>
      </c>
      <c r="C41" s="34" t="str">
        <f>VLOOKUP($B41,[52]TrtCodes!$B$11:I121,2)</f>
        <v>NTL</v>
      </c>
      <c r="D41" s="34">
        <f>VLOOKUP($B41,[52]TrtCodes!$B$11:J121,3)</f>
        <v>10</v>
      </c>
      <c r="E41" s="34">
        <f>VLOOKUP($B41,[52]TrtCodes!$B$11:K121,4)</f>
        <v>2</v>
      </c>
      <c r="F41" s="34">
        <f>VLOOKUP($B41,[52]TrtCodes!$B$11:L121,5)</f>
        <v>2</v>
      </c>
      <c r="G41" s="34">
        <f>VLOOKUP($B41,[52]TrtCodes!$B$11:M121,6)</f>
        <v>1</v>
      </c>
      <c r="H41" s="34">
        <f>VLOOKUP($B41,[52]TrtCodes!$B$11:N121,7)</f>
        <v>4</v>
      </c>
      <c r="I41" s="34">
        <f>[52]FormattedData!B78</f>
        <v>1</v>
      </c>
      <c r="J41" s="37">
        <f>[52]FormattedData!C78</f>
        <v>13.324999999999999</v>
      </c>
      <c r="K41" s="39">
        <f>$J$3+[52]FormattedData!D78*$J$4+$M$4*$J$5+[52]FormattedData!D78^2*$J$6+$M$5*$J$7</f>
        <v>36.024912968931325</v>
      </c>
      <c r="L41" s="39">
        <f>$J$3+[52]FormattedData!E78*$J$4+$M$4*$J$5+[52]FormattedData!E78^2*$J$6+$M$5*$J$7</f>
        <v>39.216702446278248</v>
      </c>
      <c r="M41" s="39">
        <f>$J$3+[52]FormattedData!F78*$J$4+$M$4*$J$5+[52]FormattedData!F78^2*$J$6+$M$5*$J$7</f>
        <v>44.458020175764858</v>
      </c>
      <c r="N41" s="39">
        <f>$J$3+[52]FormattedData!G78*$J$4+$M$4*$J$5+[52]FormattedData!G78^2*$J$6+$M$5*$J$7</f>
        <v>35.171848556955702</v>
      </c>
      <c r="O41" s="39">
        <f>$J$3+[52]FormattedData!H78*$J$4+$M$4*$J$5+[52]FormattedData!H78^2*$J$6+$M$5*$J$7</f>
        <v>44.367250752204356</v>
      </c>
      <c r="P41" s="39">
        <f>$J$3+[52]FormattedData!I78*$J$4+$M$4*$J$5+[52]FormattedData!I78^2*$J$6+$M$5*$J$7</f>
        <v>34.029103505208873</v>
      </c>
      <c r="Q41" s="39">
        <f>$J$3+[52]FormattedData!J78*$J$4+$M$4*$J$5+[52]FormattedData!J78^2*$J$6+$M$5*$J$7</f>
        <v>45.001749077831299</v>
      </c>
      <c r="R41" s="39">
        <f>$J$3+[52]FormattedData!K78*$J$4+$M$4*$J$5+[52]FormattedData!K78^2*$J$6+$M$5*$J$7</f>
        <v>35.076852279602079</v>
      </c>
      <c r="S41" s="39">
        <f>$J$3+[52]FormattedData!L78*$J$4+$M$4*$J$5+[52]FormattedData!L78^2*$J$6+$M$5*$J$7</f>
        <v>43.183401808966117</v>
      </c>
      <c r="T41" s="39">
        <f>$J$3+[52]FormattedData!M78*$J$4+$M$4*$J$5+[52]FormattedData!M78^2*$J$6+$M$5*$J$7</f>
        <v>34.505986976183848</v>
      </c>
      <c r="U41" s="39">
        <f>$J$3+[52]FormattedData!N78*$J$4+$M$4*$J$5+[52]FormattedData!N78^2*$J$6+$M$5*$J$7</f>
        <v>43.912769606332887</v>
      </c>
      <c r="V41" s="39">
        <f>$J$3+[52]FormattedData!O78*$J$4+$M$4*$J$5+[52]FormattedData!O78^2*$J$6+$M$5*$J$7</f>
        <v>34.219983699212655</v>
      </c>
      <c r="W41" s="38">
        <f>AVERAGE(K41:V41)</f>
        <v>39.097381821122688</v>
      </c>
      <c r="X41" s="37">
        <f>STDEV(K41:V41)/SQRT(COUNT(K41:V41))</f>
        <v>1.3563519736724592</v>
      </c>
      <c r="Y41" s="36">
        <f>MIN(K41:V41)</f>
        <v>34.029103505208873</v>
      </c>
      <c r="Z41" s="35">
        <f>QUARTILE(K41:V41,1)</f>
        <v>34.934135953747521</v>
      </c>
      <c r="AA41" s="36">
        <f>MEDIAN(K41:V41)</f>
        <v>37.620807707604783</v>
      </c>
      <c r="AB41" s="35">
        <f>QUARTILE(K41:V41,3)</f>
        <v>44.026389892800751</v>
      </c>
      <c r="AC41" s="35">
        <f>MAX(K41:V41)</f>
        <v>45.001749077831299</v>
      </c>
      <c r="AD41" s="35">
        <f>SKEW(K41:V41)</f>
        <v>0.19837047105388719</v>
      </c>
      <c r="AE41" s="35">
        <f>KURT(K41:V41)</f>
        <v>-2.1299822553479242</v>
      </c>
    </row>
    <row r="42" spans="2:31" x14ac:dyDescent="0.2">
      <c r="B42" s="50">
        <f>[52]FormattedData!A60</f>
        <v>901</v>
      </c>
      <c r="C42" s="50" t="str">
        <f>VLOOKUP($B42,[52]TrtCodes!$B$11:I103,2)</f>
        <v>WS</v>
      </c>
      <c r="D42" s="50">
        <f>VLOOKUP($B42,[52]TrtCodes!$B$11:J103,3)</f>
        <v>32</v>
      </c>
      <c r="E42" s="50">
        <f>VLOOKUP($B42,[52]TrtCodes!$B$11:K103,4)</f>
        <v>9</v>
      </c>
      <c r="F42" s="50">
        <f>VLOOKUP($B42,[52]TrtCodes!$B$11:L103,5)</f>
        <v>0</v>
      </c>
      <c r="G42" s="50">
        <f>VLOOKUP($B42,[52]TrtCodes!$B$11:M103,6)</f>
        <v>1</v>
      </c>
      <c r="H42" s="50">
        <f>VLOOKUP($B42,[52]TrtCodes!$B$11:N103,7)</f>
        <v>1</v>
      </c>
      <c r="I42" s="50">
        <f>[52]FormattedData!B60</f>
        <v>1</v>
      </c>
      <c r="J42" s="48">
        <f>[52]FormattedData!C60</f>
        <v>13.252000000000001</v>
      </c>
      <c r="K42" s="47">
        <f>$J$3+[52]FormattedData!D60*$J$4+$M$4*$J$5+[52]FormattedData!D60^2*$J$6+$M$5*$J$7</f>
        <v>42.267887893843856</v>
      </c>
      <c r="L42" s="47">
        <f>$J$3+[52]FormattedData!E60*$J$4+$M$4*$J$5+[52]FormattedData!E60^2*$J$6+$M$5*$J$7</f>
        <v>40.979067298300251</v>
      </c>
      <c r="M42" s="47">
        <f>$J$3+[52]FormattedData!F60*$J$4+$M$4*$J$5+[52]FormattedData!F60^2*$J$6+$M$5*$J$7</f>
        <v>41.440311410240703</v>
      </c>
      <c r="N42" s="47">
        <f>$J$3+[52]FormattedData!G60*$J$4+$M$4*$J$5+[52]FormattedData!G60^2*$J$6+$M$5*$J$7</f>
        <v>39.123523716055672</v>
      </c>
      <c r="O42" s="47">
        <f>$J$3+[52]FormattedData!H60*$J$4+$M$4*$J$5+[52]FormattedData!H60^2*$J$6+$M$5*$J$7</f>
        <v>39.681962069322154</v>
      </c>
      <c r="P42" s="47">
        <f>$J$3+[52]FormattedData!I60*$J$4+$M$4*$J$5+[52]FormattedData!I60^2*$J$6+$M$5*$J$7</f>
        <v>39.495985025718383</v>
      </c>
      <c r="Q42" s="47">
        <f>$J$3+[52]FormattedData!J60*$J$4+$M$4*$J$5+[52]FormattedData!J60^2*$J$6+$M$5*$J$7</f>
        <v>42.267887893843856</v>
      </c>
      <c r="R42" s="47">
        <f>$J$3+[52]FormattedData!K60*$J$4+$M$4*$J$5+[52]FormattedData!K60^2*$J$6+$M$5*$J$7</f>
        <v>43.730681268218781</v>
      </c>
      <c r="S42" s="47">
        <f>$J$3+[52]FormattedData!L60*$J$4+$M$4*$J$5+[52]FormattedData!L60^2*$J$6+$M$5*$J$7</f>
        <v>41.440311410240703</v>
      </c>
      <c r="T42" s="47">
        <f>$J$3+[52]FormattedData!M60*$J$4+$M$4*$J$5+[52]FormattedData!M60^2*$J$6+$M$5*$J$7</f>
        <v>41.716550654949806</v>
      </c>
      <c r="U42" s="47">
        <f>$J$3+[52]FormattedData!N60*$J$4+$M$4*$J$5+[52]FormattedData!N60^2*$J$6+$M$5*$J$7</f>
        <v>42.084277888364234</v>
      </c>
      <c r="V42" s="47">
        <f>$J$3+[52]FormattedData!O60*$J$4+$M$4*$J$5+[52]FormattedData!O60^2*$J$6+$M$5*$J$7</f>
        <v>41.440311410240703</v>
      </c>
      <c r="W42" s="49">
        <f>AVERAGE(K42:V42)</f>
        <v>41.30572982827826</v>
      </c>
      <c r="X42" s="48">
        <f>STDEV(K42:V42)/SQRT(COUNT(K42:V42))</f>
        <v>0.3827894341913633</v>
      </c>
      <c r="Y42" s="47">
        <f>MIN(K42:V42)</f>
        <v>39.123523716055672</v>
      </c>
      <c r="Z42" s="46">
        <f>QUARTILE(K42:V42,1)</f>
        <v>40.654790991055727</v>
      </c>
      <c r="AA42" s="47">
        <f>MEDIAN(K42:V42)</f>
        <v>41.440311410240703</v>
      </c>
      <c r="AB42" s="46">
        <f>QUARTILE(K42:V42,3)</f>
        <v>42.130180389734136</v>
      </c>
      <c r="AC42" s="46">
        <f>MAX(K42:V42)</f>
        <v>43.730681268218781</v>
      </c>
      <c r="AD42" s="46">
        <f>SKEW(K42:V42)</f>
        <v>-0.18927827493590113</v>
      </c>
      <c r="AE42" s="46">
        <f>KURT(K42:V42)</f>
        <v>-0.10600299996232465</v>
      </c>
    </row>
    <row r="43" spans="2:31" x14ac:dyDescent="0.2">
      <c r="B43" s="34">
        <f>[52]FormattedData!A58</f>
        <v>902</v>
      </c>
      <c r="C43" s="34" t="str">
        <f>VLOOKUP($B43,[52]TrtCodes!$B$11:I101,2)</f>
        <v>Late</v>
      </c>
      <c r="D43" s="34">
        <f>VLOOKUP($B43,[52]TrtCodes!$B$11:J101,3)</f>
        <v>22</v>
      </c>
      <c r="E43" s="34">
        <f>VLOOKUP($B43,[52]TrtCodes!$B$11:K101,4)</f>
        <v>4</v>
      </c>
      <c r="F43" s="34">
        <f>VLOOKUP($B43,[52]TrtCodes!$B$11:L101,5)</f>
        <v>2</v>
      </c>
      <c r="G43" s="34">
        <f>VLOOKUP($B43,[52]TrtCodes!$B$11:M101,6)</f>
        <v>2</v>
      </c>
      <c r="H43" s="34">
        <f>VLOOKUP($B43,[52]TrtCodes!$B$11:N101,7)</f>
        <v>1</v>
      </c>
      <c r="I43" s="34">
        <f>[52]FormattedData!B58</f>
        <v>1</v>
      </c>
      <c r="J43" s="37">
        <f>[52]FormattedData!C58</f>
        <v>13.243</v>
      </c>
      <c r="K43" s="39">
        <f>$J$3+[52]FormattedData!D58*$J$4+$M$4*$J$5+[52]FormattedData!D58^2*$J$6+$M$5*$J$7</f>
        <v>40.886691670298376</v>
      </c>
      <c r="L43" s="39">
        <f>$J$3+[52]FormattedData!E58*$J$4+$M$4*$J$5+[52]FormattedData!E58^2*$J$6+$M$5*$J$7</f>
        <v>39.588994681789231</v>
      </c>
      <c r="M43" s="39">
        <f>$J$3+[52]FormattedData!F58*$J$4+$M$4*$J$5+[52]FormattedData!F58^2*$J$6+$M$5*$J$7</f>
        <v>42.176104025373007</v>
      </c>
      <c r="N43" s="39">
        <f>$J$3+[52]FormattedData!G58*$J$4+$M$4*$J$5+[52]FormattedData!G58^2*$J$6+$M$5*$J$7</f>
        <v>41.163691748690226</v>
      </c>
      <c r="O43" s="39">
        <f>$J$3+[52]FormattedData!H58*$J$4+$M$4*$J$5+[52]FormattedData!H58^2*$J$6+$M$5*$J$7</f>
        <v>43.821746571544793</v>
      </c>
      <c r="P43" s="39">
        <f>$J$3+[52]FormattedData!I58*$J$4+$M$4*$J$5+[52]FormattedData!I58^2*$J$6+$M$5*$J$7</f>
        <v>39.402933101109603</v>
      </c>
      <c r="Q43" s="39">
        <f>$J$3+[52]FormattedData!J58*$J$4+$M$4*$J$5+[52]FormattedData!J58^2*$J$6+$M$5*$J$7</f>
        <v>43.63957369635483</v>
      </c>
      <c r="R43" s="39">
        <f>$J$3+[52]FormattedData!K58*$J$4+$M$4*$J$5+[52]FormattedData!K58^2*$J$6+$M$5*$J$7</f>
        <v>39.495985025718383</v>
      </c>
      <c r="S43" s="39">
        <f>$J$3+[52]FormattedData!L58*$J$4+$M$4*$J$5+[52]FormattedData!L58^2*$J$6+$M$5*$J$7</f>
        <v>41.808545866110308</v>
      </c>
      <c r="T43" s="39">
        <f>$J$3+[52]FormattedData!M58*$J$4+$M$4*$J$5+[52]FormattedData!M58^2*$J$6+$M$5*$J$7</f>
        <v>37.439078652063095</v>
      </c>
      <c r="U43" s="39">
        <f>$J$3+[52]FormattedData!N58*$J$4+$M$4*$J$5+[52]FormattedData!N58^2*$J$6+$M$5*$J$7</f>
        <v>42.542985888028809</v>
      </c>
      <c r="V43" s="39">
        <f>$J$3+[52]FormattedData!O58*$J$4+$M$4*$J$5+[52]FormattedData!O58^2*$J$6+$M$5*$J$7</f>
        <v>40.886691670298376</v>
      </c>
      <c r="W43" s="38">
        <f>AVERAGE(K43:V43)</f>
        <v>41.071085216448246</v>
      </c>
      <c r="X43" s="37">
        <f>STDEV(K43:V43)/SQRT(COUNT(K43:V43))</f>
        <v>0.54232238667448762</v>
      </c>
      <c r="Y43" s="36">
        <f>MIN(K43:V43)</f>
        <v>37.439078652063095</v>
      </c>
      <c r="Z43" s="35">
        <f>QUARTILE(K43:V43,1)</f>
        <v>39.565742267771519</v>
      </c>
      <c r="AA43" s="36">
        <f>MEDIAN(K43:V43)</f>
        <v>41.025191709494301</v>
      </c>
      <c r="AB43" s="35">
        <f>QUARTILE(K43:V43,3)</f>
        <v>42.267824491036961</v>
      </c>
      <c r="AC43" s="35">
        <f>MAX(K43:V43)</f>
        <v>43.821746571544793</v>
      </c>
      <c r="AD43" s="35">
        <f>SKEW(K43:V43)</f>
        <v>-0.28023972944879089</v>
      </c>
      <c r="AE43" s="35">
        <f>KURT(K43:V43)</f>
        <v>-0.23840443125365818</v>
      </c>
    </row>
    <row r="44" spans="2:31" x14ac:dyDescent="0.2">
      <c r="B44" s="50">
        <f>[52]FormattedData!A56</f>
        <v>903</v>
      </c>
      <c r="C44" s="50" t="str">
        <f>VLOOKUP($B44,[52]TrtCodes!$B$11:I99,2)</f>
        <v>DS</v>
      </c>
      <c r="D44" s="50">
        <f>VLOOKUP($B44,[52]TrtCodes!$B$11:J99,3)</f>
        <v>31</v>
      </c>
      <c r="E44" s="50">
        <f>VLOOKUP($B44,[52]TrtCodes!$B$11:K99,4)</f>
        <v>8</v>
      </c>
      <c r="F44" s="50">
        <f>VLOOKUP($B44,[52]TrtCodes!$B$11:L99,5)</f>
        <v>0</v>
      </c>
      <c r="G44" s="50">
        <f>VLOOKUP($B44,[52]TrtCodes!$B$11:M99,6)</f>
        <v>1</v>
      </c>
      <c r="H44" s="50">
        <f>VLOOKUP($B44,[52]TrtCodes!$B$11:N99,7)</f>
        <v>1</v>
      </c>
      <c r="I44" s="50">
        <f>[52]FormattedData!B56</f>
        <v>1</v>
      </c>
      <c r="J44" s="48">
        <f>[52]FormattedData!C56</f>
        <v>13.234999999999999</v>
      </c>
      <c r="K44" s="47">
        <f>$J$3+[52]FormattedData!D56*$J$4+$M$4*$J$5+[52]FormattedData!D56^2*$J$6+$M$5*$J$7</f>
        <v>57.59474251776971</v>
      </c>
      <c r="L44" s="47">
        <f>$J$3+[52]FormattedData!E56*$J$4+$M$4*$J$5+[52]FormattedData!E56^2*$J$6+$M$5*$J$7</f>
        <v>57.59474251776971</v>
      </c>
      <c r="M44" s="47">
        <f>$J$3+[52]FormattedData!F56*$J$4+$M$4*$J$5+[52]FormattedData!F56^2*$J$6+$M$5*$J$7</f>
        <v>57.425841963490114</v>
      </c>
      <c r="N44" s="47">
        <f>$J$3+[52]FormattedData!G56*$J$4+$M$4*$J$5+[52]FormattedData!G56^2*$J$6+$M$5*$J$7</f>
        <v>57.002850878377345</v>
      </c>
      <c r="O44" s="47">
        <f>$J$3+[52]FormattedData!H56*$J$4+$M$4*$J$5+[52]FormattedData!H56^2*$J$6+$M$5*$J$7</f>
        <v>57.847776335154606</v>
      </c>
      <c r="P44" s="47">
        <f>$J$3+[52]FormattedData!I56*$J$4+$M$4*$J$5+[52]FormattedData!I56^2*$J$6+$M$5*$J$7</f>
        <v>57.76347399789757</v>
      </c>
      <c r="Q44" s="47">
        <f>$J$3+[52]FormattedData!J56*$J$4+$M$4*$J$5+[52]FormattedData!J56^2*$J$6+$M$5*$J$7</f>
        <v>57.425841963490114</v>
      </c>
      <c r="R44" s="47">
        <f>$J$3+[52]FormattedData!K56*$J$4+$M$4*$J$5+[52]FormattedData!K56^2*$J$6+$M$5*$J$7</f>
        <v>57.510313374898885</v>
      </c>
      <c r="S44" s="47">
        <f>$J$3+[52]FormattedData!L56*$J$4+$M$4*$J$5+[52]FormattedData!L56^2*$J$6+$M$5*$J$7</f>
        <v>58.520673365845369</v>
      </c>
      <c r="T44" s="47">
        <f>$J$3+[52]FormattedData!M56*$J$4+$M$4*$J$5+[52]FormattedData!M56^2*$J$6+$M$5*$J$7</f>
        <v>58.100429735698128</v>
      </c>
      <c r="U44" s="47">
        <f>$J$3+[52]FormattedData!N56*$J$4+$M$4*$J$5+[52]FormattedData!N56^2*$J$6+$M$5*$J$7</f>
        <v>58.35270271940027</v>
      </c>
      <c r="V44" s="47">
        <f>$J$3+[52]FormattedData!O56*$J$4+$M$4*$J$5+[52]FormattedData!O56^2*$J$6+$M$5*$J$7</f>
        <v>58.016254204054889</v>
      </c>
      <c r="W44" s="49">
        <f>AVERAGE(K44:V44)</f>
        <v>57.762970297820544</v>
      </c>
      <c r="X44" s="48">
        <f>STDEV(K44:V44)/SQRT(COUNT(K44:V44))</f>
        <v>0.12409220202046393</v>
      </c>
      <c r="Y44" s="47">
        <f>MIN(K44:V44)</f>
        <v>57.002850878377345</v>
      </c>
      <c r="Z44" s="46">
        <f>QUARTILE(K44:V44,1)</f>
        <v>57.489195522046693</v>
      </c>
      <c r="AA44" s="47">
        <f>MEDIAN(K44:V44)</f>
        <v>57.67910825783364</v>
      </c>
      <c r="AB44" s="46">
        <f>QUARTILE(K44:V44,3)</f>
        <v>58.037298086965698</v>
      </c>
      <c r="AC44" s="46">
        <f>MAX(K44:V44)</f>
        <v>58.520673365845369</v>
      </c>
      <c r="AD44" s="46">
        <f>SKEW(K44:V44)</f>
        <v>0.21140011166823633</v>
      </c>
      <c r="AE44" s="46">
        <f>KURT(K44:V44)</f>
        <v>-0.18905555170647403</v>
      </c>
    </row>
    <row r="45" spans="2:31" x14ac:dyDescent="0.2">
      <c r="B45" s="34">
        <f>[52]FormattedData!A54</f>
        <v>904</v>
      </c>
      <c r="C45" s="34" t="str">
        <f>VLOOKUP($B45,[52]TrtCodes!$B$11:I97,2)</f>
        <v>Early</v>
      </c>
      <c r="D45" s="34">
        <f>VLOOKUP($B45,[52]TrtCodes!$B$11:J97,3)</f>
        <v>21</v>
      </c>
      <c r="E45" s="34">
        <f>VLOOKUP($B45,[52]TrtCodes!$B$11:K97,4)</f>
        <v>3</v>
      </c>
      <c r="F45" s="34">
        <f>VLOOKUP($B45,[52]TrtCodes!$B$11:L97,5)</f>
        <v>2</v>
      </c>
      <c r="G45" s="34">
        <f>VLOOKUP($B45,[52]TrtCodes!$B$11:M97,6)</f>
        <v>2</v>
      </c>
      <c r="H45" s="34">
        <f>VLOOKUP($B45,[52]TrtCodes!$B$11:N97,7)</f>
        <v>1</v>
      </c>
      <c r="I45" s="34">
        <f>[52]FormattedData!B54</f>
        <v>1</v>
      </c>
      <c r="J45" s="37">
        <f>[52]FormattedData!C54</f>
        <v>13.225</v>
      </c>
      <c r="K45" s="39">
        <f>$J$3+[52]FormattedData!D54*$J$4+$M$4*$J$5+[52]FormattedData!D54^2*$J$6+$M$5*$J$7</f>
        <v>39.96061062069333</v>
      </c>
      <c r="L45" s="39">
        <f>$J$3+[52]FormattedData!E54*$J$4+$M$4*$J$5+[52]FormattedData!E54^2*$J$6+$M$5*$J$7</f>
        <v>41.992409482817521</v>
      </c>
      <c r="M45" s="39">
        <f>$J$3+[52]FormattedData!F54*$J$4+$M$4*$J$5+[52]FormattedData!F54^2*$J$6+$M$5*$J$7</f>
        <v>41.808545866110308</v>
      </c>
      <c r="N45" s="39">
        <f>$J$3+[52]FormattedData!G54*$J$4+$M$4*$J$5+[52]FormattedData!G54^2*$J$6+$M$5*$J$7</f>
        <v>39.588994681789231</v>
      </c>
      <c r="O45" s="39">
        <f>$J$3+[52]FormattedData!H54*$J$4+$M$4*$J$5+[52]FormattedData!H54^2*$J$6+$M$5*$J$7</f>
        <v>45.001749077831299</v>
      </c>
      <c r="P45" s="39">
        <f>$J$3+[52]FormattedData!I54*$J$4+$M$4*$J$5+[52]FormattedData!I54^2*$J$6+$M$5*$J$7</f>
        <v>38.937039449996732</v>
      </c>
      <c r="Q45" s="39">
        <f>$J$3+[52]FormattedData!J54*$J$4+$M$4*$J$5+[52]FormattedData!J54^2*$J$6+$M$5*$J$7</f>
        <v>43.000637174245114</v>
      </c>
      <c r="R45" s="39">
        <f>$J$3+[52]FormattedData!K54*$J$4+$M$4*$J$5+[52]FormattedData!K54^2*$J$6+$M$5*$J$7</f>
        <v>38.937039449996732</v>
      </c>
      <c r="S45" s="39">
        <f>$J$3+[52]FormattedData!L54*$J$4+$M$4*$J$5+[52]FormattedData!L54^2*$J$6+$M$5*$J$7</f>
        <v>41.532433427015</v>
      </c>
      <c r="T45" s="39">
        <f>$J$3+[52]FormattedData!M54*$J$4+$M$4*$J$5+[52]FormattedData!M54^2*$J$6+$M$5*$J$7</f>
        <v>35.45658377778895</v>
      </c>
      <c r="U45" s="39">
        <f>$J$3+[52]FormattedData!N54*$J$4+$M$4*$J$5+[52]FormattedData!N54^2*$J$6+$M$5*$J$7</f>
        <v>44.730074835218758</v>
      </c>
      <c r="V45" s="39">
        <f>$J$3+[52]FormattedData!O54*$J$4+$M$4*$J$5+[52]FormattedData!O54^2*$J$6+$M$5*$J$7</f>
        <v>38.656996036873828</v>
      </c>
      <c r="W45" s="38">
        <f>AVERAGE(K45:V45)</f>
        <v>40.800259490031401</v>
      </c>
      <c r="X45" s="37">
        <f>STDEV(K45:V45)/SQRT(COUNT(K45:V45))</f>
        <v>0.7937987202619825</v>
      </c>
      <c r="Y45" s="36">
        <f>MIN(K45:V45)</f>
        <v>35.45658377778895</v>
      </c>
      <c r="Z45" s="35">
        <f>QUARTILE(K45:V45,1)</f>
        <v>38.937039449996732</v>
      </c>
      <c r="AA45" s="36">
        <f>MEDIAN(K45:V45)</f>
        <v>40.746522023854169</v>
      </c>
      <c r="AB45" s="35">
        <f>QUARTILE(K45:V45,3)</f>
        <v>42.244466405674416</v>
      </c>
      <c r="AC45" s="35">
        <f>MAX(K45:V45)</f>
        <v>45.001749077831299</v>
      </c>
      <c r="AD45" s="35">
        <f>SKEW(K45:V45)</f>
        <v>-0.15276709293055524</v>
      </c>
      <c r="AE45" s="35">
        <f>KURT(K45:V45)</f>
        <v>-6.4282099177338736E-2</v>
      </c>
    </row>
    <row r="46" spans="2:31" x14ac:dyDescent="0.2">
      <c r="B46" s="50">
        <f>[52]FormattedData!A52</f>
        <v>905</v>
      </c>
      <c r="C46" s="50" t="str">
        <f>VLOOKUP($B46,[52]TrtCodes!$B$11:I95,2)</f>
        <v>WS</v>
      </c>
      <c r="D46" s="50">
        <f>VLOOKUP($B46,[52]TrtCodes!$B$11:J95,3)</f>
        <v>32</v>
      </c>
      <c r="E46" s="50">
        <f>VLOOKUP($B46,[52]TrtCodes!$B$11:K95,4)</f>
        <v>9</v>
      </c>
      <c r="F46" s="50">
        <f>VLOOKUP($B46,[52]TrtCodes!$B$11:L95,5)</f>
        <v>0</v>
      </c>
      <c r="G46" s="50">
        <f>VLOOKUP($B46,[52]TrtCodes!$B$11:M95,6)</f>
        <v>1</v>
      </c>
      <c r="H46" s="50">
        <f>VLOOKUP($B46,[52]TrtCodes!$B$11:N95,7)</f>
        <v>2</v>
      </c>
      <c r="I46" s="50">
        <f>[52]FormattedData!B52</f>
        <v>1</v>
      </c>
      <c r="J46" s="48">
        <f>[52]FormattedData!C52</f>
        <v>13.217000000000001</v>
      </c>
      <c r="K46" s="47">
        <f>$J$3+[52]FormattedData!D52*$J$4+$M$4*$J$5+[52]FormattedData!D52^2*$J$6+$M$5*$J$7</f>
        <v>42.267887893843856</v>
      </c>
      <c r="L46" s="47">
        <f>$J$3+[52]FormattedData!E52*$J$4+$M$4*$J$5+[52]FormattedData!E52^2*$J$6+$M$5*$J$7</f>
        <v>43.000637174245114</v>
      </c>
      <c r="M46" s="47">
        <f>$J$3+[52]FormattedData!F52*$J$4+$M$4*$J$5+[52]FormattedData!F52^2*$J$6+$M$5*$J$7</f>
        <v>44.276439060105915</v>
      </c>
      <c r="N46" s="47">
        <f>$J$3+[52]FormattedData!G52*$J$4+$M$4*$J$5+[52]FormattedData!G52^2*$J$6+$M$5*$J$7</f>
        <v>44.185585099469556</v>
      </c>
      <c r="O46" s="47">
        <f>$J$3+[52]FormattedData!H52*$J$4+$M$4*$J$5+[52]FormattedData!H52^2*$J$6+$M$5*$J$7</f>
        <v>45.182653896883338</v>
      </c>
      <c r="P46" s="47">
        <f>$J$3+[52]FormattedData!I52*$J$4+$M$4*$J$5+[52]FormattedData!I52^2*$J$6+$M$5*$J$7</f>
        <v>43.63957369635483</v>
      </c>
      <c r="Q46" s="47">
        <f>$J$3+[52]FormattedData!J52*$J$4+$M$4*$J$5+[52]FormattedData!J52^2*$J$6+$M$5*$J$7</f>
        <v>43.912769606332887</v>
      </c>
      <c r="R46" s="47">
        <f>$J$3+[52]FormattedData!K52*$J$4+$M$4*$J$5+[52]FormattedData!K52^2*$J$6+$M$5*$J$7</f>
        <v>44.730074835218758</v>
      </c>
      <c r="S46" s="47">
        <f>$J$3+[52]FormattedData!L52*$J$4+$M$4*$J$5+[52]FormattedData!L52^2*$J$6+$M$5*$J$7</f>
        <v>42.909191454077714</v>
      </c>
      <c r="T46" s="47">
        <f>$J$3+[52]FormattedData!M52*$J$4+$M$4*$J$5+[52]FormattedData!M52^2*$J$6+$M$5*$J$7</f>
        <v>42.817703465372389</v>
      </c>
      <c r="U46" s="47">
        <f>$J$3+[52]FormattedData!N52*$J$4+$M$4*$J$5+[52]FormattedData!N52^2*$J$6+$M$5*$J$7</f>
        <v>43.821746571544793</v>
      </c>
      <c r="V46" s="47">
        <f>$J$3+[52]FormattedData!O52*$J$4+$M$4*$J$5+[52]FormattedData!O52^2*$J$6+$M$5*$J$7</f>
        <v>44.639432217272059</v>
      </c>
      <c r="W46" s="49">
        <f>AVERAGE(K46:V46)</f>
        <v>43.781974580893433</v>
      </c>
      <c r="X46" s="48">
        <f>STDEV(K46:V46)/SQRT(COUNT(K46:V46))</f>
        <v>0.25579510295787633</v>
      </c>
      <c r="Y46" s="47">
        <f>MIN(K46:V46)</f>
        <v>42.267887893843856</v>
      </c>
      <c r="Z46" s="46">
        <f>QUARTILE(K46:V46,1)</f>
        <v>42.977775744203264</v>
      </c>
      <c r="AA46" s="47">
        <f>MEDIAN(K46:V46)</f>
        <v>43.86725808893884</v>
      </c>
      <c r="AB46" s="46">
        <f>QUARTILE(K46:V46,3)</f>
        <v>44.367187349397454</v>
      </c>
      <c r="AC46" s="46">
        <f>MAX(K46:V46)</f>
        <v>45.182653896883338</v>
      </c>
      <c r="AD46" s="46">
        <f>SKEW(K46:V46)</f>
        <v>-0.17133186899731112</v>
      </c>
      <c r="AE46" s="46">
        <f>KURT(K46:V46)</f>
        <v>-0.87476419552899909</v>
      </c>
    </row>
    <row r="47" spans="2:31" x14ac:dyDescent="0.2">
      <c r="B47" s="34">
        <f>[52]FormattedData!A50</f>
        <v>906</v>
      </c>
      <c r="C47" s="34" t="str">
        <f>VLOOKUP($B47,[52]TrtCodes!$B$11:I93,2)</f>
        <v>Late</v>
      </c>
      <c r="D47" s="34">
        <f>VLOOKUP($B47,[52]TrtCodes!$B$11:J93,3)</f>
        <v>22</v>
      </c>
      <c r="E47" s="34">
        <f>VLOOKUP($B47,[52]TrtCodes!$B$11:K93,4)</f>
        <v>4</v>
      </c>
      <c r="F47" s="34">
        <f>VLOOKUP($B47,[52]TrtCodes!$B$11:L93,5)</f>
        <v>2</v>
      </c>
      <c r="G47" s="34">
        <f>VLOOKUP($B47,[52]TrtCodes!$B$11:M93,6)</f>
        <v>2</v>
      </c>
      <c r="H47" s="34">
        <f>VLOOKUP($B47,[52]TrtCodes!$B$11:N93,7)</f>
        <v>2</v>
      </c>
      <c r="I47" s="34">
        <f>[52]FormattedData!B50</f>
        <v>1</v>
      </c>
      <c r="J47" s="37">
        <f>[52]FormattedData!C50</f>
        <v>13.207000000000001</v>
      </c>
      <c r="K47" s="39">
        <f>$J$3+[52]FormattedData!D50*$J$4+$M$4*$J$5+[52]FormattedData!D50^2*$J$6+$M$5*$J$7</f>
        <v>35.551410980990845</v>
      </c>
      <c r="L47" s="39">
        <f>$J$3+[52]FormattedData!E50*$J$4+$M$4*$J$5+[52]FormattedData!E50^2*$J$6+$M$5*$J$7</f>
        <v>40.146164978917788</v>
      </c>
      <c r="M47" s="39">
        <f>$J$3+[52]FormattedData!F50*$J$4+$M$4*$J$5+[52]FormattedData!F50^2*$J$6+$M$5*$J$7</f>
        <v>39.96061062069333</v>
      </c>
      <c r="N47" s="39">
        <f>$J$3+[52]FormattedData!G50*$J$4+$M$4*$J$5+[52]FormattedData!G50^2*$J$6+$M$5*$J$7</f>
        <v>39.402933101109603</v>
      </c>
      <c r="O47" s="39">
        <f>$J$3+[52]FormattedData!H50*$J$4+$M$4*$J$5+[52]FormattedData!H50^2*$J$6+$M$5*$J$7</f>
        <v>42.451328825171757</v>
      </c>
      <c r="P47" s="39">
        <f>$J$3+[52]FormattedData!I50*$J$4+$M$4*$J$5+[52]FormattedData!I50^2*$J$6+$M$5*$J$7</f>
        <v>40.053408934074518</v>
      </c>
      <c r="Q47" s="39">
        <f>$J$3+[52]FormattedData!J50*$J$4+$M$4*$J$5+[52]FormattedData!J50^2*$J$6+$M$5*$J$7</f>
        <v>42.542985888028809</v>
      </c>
      <c r="R47" s="39">
        <f>$J$3+[52]FormattedData!K50*$J$4+$M$4*$J$5+[52]FormattedData!K50^2*$J$6+$M$5*$J$7</f>
        <v>37.908353786210462</v>
      </c>
      <c r="S47" s="39">
        <f>$J$3+[52]FormattedData!L50*$J$4+$M$4*$J$5+[52]FormattedData!L50^2*$J$6+$M$5*$J$7</f>
        <v>39.030302717295164</v>
      </c>
      <c r="T47" s="39">
        <f>$J$3+[52]FormattedData!M50*$J$4+$M$4*$J$5+[52]FormattedData!M50^2*$J$6+$M$5*$J$7</f>
        <v>36.874553629334528</v>
      </c>
      <c r="U47" s="39">
        <f>$J$3+[52]FormattedData!N50*$J$4+$M$4*$J$5+[52]FormattedData!N50^2*$J$6+$M$5*$J$7</f>
        <v>38.189411644243705</v>
      </c>
      <c r="V47" s="39">
        <f>$J$3+[52]FormattedData!O50*$J$4+$M$4*$J$5+[52]FormattedData!O50^2*$J$6+$M$5*$J$7</f>
        <v>37.06289771106244</v>
      </c>
      <c r="W47" s="38">
        <f>AVERAGE(K47:V47)</f>
        <v>39.097863568094411</v>
      </c>
      <c r="X47" s="37">
        <f>STDEV(K47:V47)/SQRT(COUNT(K47:V47))</f>
        <v>0.61465869862020472</v>
      </c>
      <c r="Y47" s="36">
        <f>MIN(K47:V47)</f>
        <v>35.551410980990845</v>
      </c>
      <c r="Z47" s="35">
        <f>QUARTILE(K47:V47,1)</f>
        <v>37.69698976742346</v>
      </c>
      <c r="AA47" s="36">
        <f>MEDIAN(K47:V47)</f>
        <v>39.216617909202384</v>
      </c>
      <c r="AB47" s="35">
        <f>QUARTILE(K47:V47,3)</f>
        <v>40.076597945285336</v>
      </c>
      <c r="AC47" s="35">
        <f>MAX(K47:V47)</f>
        <v>42.542985888028809</v>
      </c>
      <c r="AD47" s="35">
        <f>SKEW(K47:V47)</f>
        <v>0.16772725003940081</v>
      </c>
      <c r="AE47" s="35">
        <f>KURT(K47:V47)</f>
        <v>-0.41176490366408114</v>
      </c>
    </row>
    <row r="48" spans="2:31" x14ac:dyDescent="0.2">
      <c r="B48" s="50">
        <f>[52]FormattedData!A48</f>
        <v>907</v>
      </c>
      <c r="C48" s="50" t="str">
        <f>VLOOKUP($B48,[52]TrtCodes!$B$11:I91,2)</f>
        <v>DS</v>
      </c>
      <c r="D48" s="50">
        <f>VLOOKUP($B48,[52]TrtCodes!$B$11:J91,3)</f>
        <v>31</v>
      </c>
      <c r="E48" s="50">
        <f>VLOOKUP($B48,[52]TrtCodes!$B$11:K91,4)</f>
        <v>8</v>
      </c>
      <c r="F48" s="50">
        <f>VLOOKUP($B48,[52]TrtCodes!$B$11:L91,5)</f>
        <v>0</v>
      </c>
      <c r="G48" s="50">
        <f>VLOOKUP($B48,[52]TrtCodes!$B$11:M91,6)</f>
        <v>1</v>
      </c>
      <c r="H48" s="50">
        <f>VLOOKUP($B48,[52]TrtCodes!$B$11:N91,7)</f>
        <v>2</v>
      </c>
      <c r="I48" s="50">
        <f>[52]FormattedData!B48</f>
        <v>1</v>
      </c>
      <c r="J48" s="48">
        <f>[52]FormattedData!C48</f>
        <v>13.198</v>
      </c>
      <c r="K48" s="47">
        <f>$J$3+[52]FormattedData!D48*$J$4+$M$4*$J$5+[52]FormattedData!D48^2*$J$6+$M$5*$J$7</f>
        <v>58.436709176891789</v>
      </c>
      <c r="L48" s="47">
        <f>$J$3+[52]FormattedData!E48*$J$4+$M$4*$J$5+[52]FormattedData!E48^2*$J$6+$M$5*$J$7</f>
        <v>58.35270271940027</v>
      </c>
      <c r="M48" s="47">
        <f>$J$3+[52]FormattedData!F48*$J$4+$M$4*$J$5+[52]FormattedData!F48^2*$J$6+$M$5*$J$7</f>
        <v>58.688474938138746</v>
      </c>
      <c r="N48" s="47">
        <f>$J$3+[52]FormattedData!G48*$J$4+$M$4*$J$5+[52]FormattedData!G48^2*$J$6+$M$5*$J$7</f>
        <v>58.772312321478552</v>
      </c>
      <c r="O48" s="47">
        <f>$J$3+[52]FormattedData!H48*$J$4+$M$4*$J$5+[52]FormattedData!H48^2*$J$6+$M$5*$J$7</f>
        <v>58.604595286261024</v>
      </c>
      <c r="P48" s="47">
        <f>$J$3+[52]FormattedData!I48*$J$4+$M$4*$J$5+[52]FormattedData!I48^2*$J$6+$M$5*$J$7</f>
        <v>58.100429735698128</v>
      </c>
      <c r="Q48" s="47">
        <f>$J$3+[52]FormattedData!J48*$J$4+$M$4*$J$5+[52]FormattedData!J48^2*$J$6+$M$5*$J$7</f>
        <v>58.35270271940027</v>
      </c>
      <c r="R48" s="47">
        <f>$J$3+[52]FormattedData!K48*$J$4+$M$4*$J$5+[52]FormattedData!K48^2*$J$6+$M$5*$J$7</f>
        <v>57.76347399789757</v>
      </c>
      <c r="S48" s="47">
        <f>$J$3+[52]FormattedData!L48*$J$4+$M$4*$J$5+[52]FormattedData!L48^2*$J$6+$M$5*$J$7</f>
        <v>58.35270271940027</v>
      </c>
      <c r="T48" s="47">
        <f>$J$3+[52]FormattedData!M48*$J$4+$M$4*$J$5+[52]FormattedData!M48^2*$J$6+$M$5*$J$7</f>
        <v>58.100429735698128</v>
      </c>
      <c r="U48" s="47">
        <f>$J$3+[52]FormattedData!N48*$J$4+$M$4*$J$5+[52]FormattedData!N48^2*$J$6+$M$5*$J$7</f>
        <v>58.520673365845369</v>
      </c>
      <c r="V48" s="47">
        <f>$J$3+[52]FormattedData!O48*$J$4+$M$4*$J$5+[52]FormattedData!O48^2*$J$6+$M$5*$J$7</f>
        <v>58.184562998803436</v>
      </c>
      <c r="W48" s="49">
        <f>AVERAGE(K48:V48)</f>
        <v>58.352480809576122</v>
      </c>
      <c r="X48" s="48">
        <f>STDEV(K48:V48)/SQRT(COUNT(K48:V48))</f>
        <v>8.2125203141228398E-2</v>
      </c>
      <c r="Y48" s="47">
        <f>MIN(K48:V48)</f>
        <v>57.76347399789757</v>
      </c>
      <c r="Z48" s="46">
        <f>QUARTILE(K48:V48,1)</f>
        <v>58.163529683027107</v>
      </c>
      <c r="AA48" s="47">
        <f>MEDIAN(K48:V48)</f>
        <v>58.35270271940027</v>
      </c>
      <c r="AB48" s="46">
        <f>QUARTILE(K48:V48,3)</f>
        <v>58.541653845949284</v>
      </c>
      <c r="AC48" s="46">
        <f>MAX(K48:V48)</f>
        <v>58.772312321478552</v>
      </c>
      <c r="AD48" s="46">
        <f>SKEW(K48:V48)</f>
        <v>-0.51071623448944725</v>
      </c>
      <c r="AE48" s="46">
        <f>KURT(K48:V48)</f>
        <v>0.24690827779103675</v>
      </c>
    </row>
    <row r="49" spans="2:31" ht="13.5" thickBot="1" x14ac:dyDescent="0.25">
      <c r="B49" s="45">
        <f>[52]FormattedData!A46</f>
        <v>908</v>
      </c>
      <c r="C49" s="45" t="str">
        <f>VLOOKUP($B49,[52]TrtCodes!$B$11:I89,2)</f>
        <v>Early</v>
      </c>
      <c r="D49" s="45">
        <f>VLOOKUP($B49,[52]TrtCodes!$B$11:J89,3)</f>
        <v>21</v>
      </c>
      <c r="E49" s="45">
        <f>VLOOKUP($B49,[52]TrtCodes!$B$11:K89,4)</f>
        <v>3</v>
      </c>
      <c r="F49" s="45">
        <f>VLOOKUP($B49,[52]TrtCodes!$B$11:L89,5)</f>
        <v>2</v>
      </c>
      <c r="G49" s="45">
        <f>VLOOKUP($B49,[52]TrtCodes!$B$11:M89,6)</f>
        <v>2</v>
      </c>
      <c r="H49" s="45">
        <f>VLOOKUP($B49,[52]TrtCodes!$B$11:N89,7)</f>
        <v>2</v>
      </c>
      <c r="I49" s="45">
        <f>[52]FormattedData!B46</f>
        <v>1</v>
      </c>
      <c r="J49" s="42">
        <f>[52]FormattedData!C46</f>
        <v>13.189</v>
      </c>
      <c r="K49" s="44">
        <f>$J$3+[52]FormattedData!D46*$J$4+$M$4*$J$5+[52]FormattedData!D46^2*$J$6+$M$5*$J$7</f>
        <v>37.345096819619826</v>
      </c>
      <c r="L49" s="44">
        <f>$J$3+[52]FormattedData!E46*$J$4+$M$4*$J$5+[52]FormattedData!E46^2*$J$6+$M$5*$J$7</f>
        <v>36.874553629334528</v>
      </c>
      <c r="M49" s="44">
        <f>$J$3+[52]FormattedData!F46*$J$4+$M$4*$J$5+[52]FormattedData!F46^2*$J$6+$M$5*$J$7</f>
        <v>41.624513175251373</v>
      </c>
      <c r="N49" s="44">
        <f>$J$3+[52]FormattedData!G46*$J$4+$M$4*$J$5+[52]FormattedData!G46^2*$J$6+$M$5*$J$7</f>
        <v>36.874553629334528</v>
      </c>
      <c r="O49" s="44">
        <f>$J$3+[52]FormattedData!H46*$J$4+$M$4*$J$5+[52]FormattedData!H46^2*$J$6+$M$5*$J$7</f>
        <v>45.453694111426898</v>
      </c>
      <c r="P49" s="44">
        <f>$J$3+[52]FormattedData!I46*$J$4+$M$4*$J$5+[52]FormattedData!I46^2*$J$6+$M$5*$J$7</f>
        <v>36.497358243423527</v>
      </c>
      <c r="Q49" s="44">
        <f>$J$3+[52]FormattedData!J46*$J$4+$M$4*$J$5+[52]FormattedData!J46^2*$J$6+$M$5*$J$7</f>
        <v>45.724353909129086</v>
      </c>
      <c r="R49" s="44">
        <f>$J$3+[52]FormattedData!K46*$J$4+$M$4*$J$5+[52]FormattedData!K46^2*$J$6+$M$5*$J$7</f>
        <v>35.646195915654801</v>
      </c>
      <c r="S49" s="44">
        <f>$J$3+[52]FormattedData!L46*$J$4+$M$4*$J$5+[52]FormattedData!L46^2*$J$6+$M$5*$J$7</f>
        <v>44.548747330787421</v>
      </c>
      <c r="T49" s="44">
        <f>$J$3+[52]FormattedData!M46*$J$4+$M$4*$J$5+[52]FormattedData!M46^2*$J$6+$M$5*$J$7</f>
        <v>35.740938581780831</v>
      </c>
      <c r="U49" s="44">
        <f>$J$3+[52]FormattedData!N46*$J$4+$M$4*$J$5+[52]FormattedData!N46^2*$J$6+$M$5*$J$7</f>
        <v>43.183401808966117</v>
      </c>
      <c r="V49" s="44">
        <f>$J$3+[52]FormattedData!O46*$J$4+$M$4*$J$5+[52]FormattedData!O46^2*$J$6+$M$5*$J$7</f>
        <v>38.750386109786056</v>
      </c>
      <c r="W49" s="43">
        <f>AVERAGE(K49:V49)</f>
        <v>39.855316105374577</v>
      </c>
      <c r="X49" s="42">
        <f>STDEV(K49:V49)/SQRT(COUNT(K49:V49))</f>
        <v>1.1455929642527838</v>
      </c>
      <c r="Y49" s="41">
        <f>MIN(K49:V49)</f>
        <v>35.646195915654801</v>
      </c>
      <c r="Z49" s="40">
        <f>QUARTILE(K49:V49,1)</f>
        <v>36.78025478285678</v>
      </c>
      <c r="AA49" s="41">
        <f>MEDIAN(K49:V49)</f>
        <v>38.047741464702938</v>
      </c>
      <c r="AB49" s="40">
        <f>QUARTILE(K49:V49,3)</f>
        <v>43.524738189421441</v>
      </c>
      <c r="AC49" s="40">
        <f>MAX(K49:V49)</f>
        <v>45.724353909129086</v>
      </c>
      <c r="AD49" s="40">
        <f>SKEW(K49:V49)</f>
        <v>0.473378898581227</v>
      </c>
      <c r="AE49" s="40">
        <f>KURT(K49:V49)</f>
        <v>-1.6741909122314325</v>
      </c>
    </row>
    <row r="50" spans="2:31" ht="13.5" thickTop="1" x14ac:dyDescent="0.2">
      <c r="B50" s="34">
        <f>[52]FormattedData!A29</f>
        <v>0</v>
      </c>
      <c r="C50" s="34" t="e">
        <f>VLOOKUP($B50,[52]TrtCodes!$B$11:I72,2)</f>
        <v>#N/A</v>
      </c>
      <c r="D50" s="34" t="e">
        <f>VLOOKUP($B50,[52]TrtCodes!$B$11:J72,3)</f>
        <v>#N/A</v>
      </c>
      <c r="E50" s="34" t="e">
        <f>VLOOKUP($B50,[52]TrtCodes!$B$11:K72,4)</f>
        <v>#N/A</v>
      </c>
      <c r="F50" s="34" t="e">
        <f>VLOOKUP($B50,[52]TrtCodes!$B$11:L72,5)</f>
        <v>#N/A</v>
      </c>
      <c r="G50" s="34" t="e">
        <f>VLOOKUP($B50,[52]TrtCodes!$B$11:M72,6)</f>
        <v>#N/A</v>
      </c>
      <c r="H50" s="34" t="e">
        <f>VLOOKUP($B50,[52]TrtCodes!$B$11:N72,7)</f>
        <v>#N/A</v>
      </c>
      <c r="I50" s="34">
        <f>[52]FormattedData!B29</f>
        <v>0</v>
      </c>
      <c r="J50" s="37">
        <f>[52]FormattedData!C29</f>
        <v>0</v>
      </c>
      <c r="K50" s="39">
        <f>$J$3+[52]FormattedData!D29*$J$4+$M$4*$J$5+[52]FormattedData!D29^2*$J$6+$M$5*$J$7</f>
        <v>-0.76818973658313661</v>
      </c>
      <c r="L50" s="39">
        <f>$J$3+[52]FormattedData!E29*$J$4+$M$4*$J$5+[52]FormattedData!E29^2*$J$6+$M$5*$J$7</f>
        <v>-0.76818973658313661</v>
      </c>
      <c r="M50" s="39">
        <f>$J$3+[52]FormattedData!F29*$J$4+$M$4*$J$5+[52]FormattedData!F29^2*$J$6+$M$5*$J$7</f>
        <v>-0.76818973658313661</v>
      </c>
      <c r="N50" s="39">
        <f>$J$3+[52]FormattedData!G29*$J$4+$M$4*$J$5+[52]FormattedData!G29^2*$J$6+$M$5*$J$7</f>
        <v>-0.76818973658313661</v>
      </c>
      <c r="O50" s="39">
        <f>$J$3+[52]FormattedData!H29*$J$4+$M$4*$J$5+[52]FormattedData!H29^2*$J$6+$M$5*$J$7</f>
        <v>-0.76818973658313661</v>
      </c>
      <c r="P50" s="39">
        <f>$J$3+[52]FormattedData!I29*$J$4+$M$4*$J$5+[52]FormattedData!I29^2*$J$6+$M$5*$J$7</f>
        <v>-0.76818973658313661</v>
      </c>
      <c r="Q50" s="39">
        <f>$J$3+[52]FormattedData!J29*$J$4+$M$4*$J$5+[52]FormattedData!J29^2*$J$6+$M$5*$J$7</f>
        <v>-0.76818973658313661</v>
      </c>
      <c r="R50" s="39">
        <f>$J$3+[52]FormattedData!K29*$J$4+$M$4*$J$5+[52]FormattedData!K29^2*$J$6+$M$5*$J$7</f>
        <v>-0.76818973658313661</v>
      </c>
      <c r="S50" s="39">
        <f>$J$3+[52]FormattedData!L29*$J$4+$M$4*$J$5+[52]FormattedData!L29^2*$J$6+$M$5*$J$7</f>
        <v>-0.76818973658313661</v>
      </c>
      <c r="T50" s="39">
        <f>$J$3+[52]FormattedData!M29*$J$4+$M$4*$J$5+[52]FormattedData!M29^2*$J$6+$M$5*$J$7</f>
        <v>-0.76818973658313661</v>
      </c>
      <c r="U50" s="39">
        <f>$J$3+[52]FormattedData!N29*$J$4+$M$4*$J$5+[52]FormattedData!N29^2*$J$6+$M$5*$J$7</f>
        <v>-0.76818973658313661</v>
      </c>
      <c r="V50" s="39">
        <f>$J$3+[52]FormattedData!O29*$J$4+$M$4*$J$5+[52]FormattedData!O29^2*$J$6+$M$5*$J$7</f>
        <v>-0.76818973658313661</v>
      </c>
      <c r="W50" s="38">
        <f>AVERAGE(K50:V50)</f>
        <v>-0.76818973658313661</v>
      </c>
      <c r="X50" s="37">
        <f>STDEV(K50:V50)/SQRT(COUNT(K50:V50))</f>
        <v>0</v>
      </c>
      <c r="Y50" s="36">
        <f>MIN(K50:V50)</f>
        <v>-0.76818973658313661</v>
      </c>
      <c r="Z50" s="35">
        <f>QUARTILE(K50:V50,1)</f>
        <v>-0.76818973658313661</v>
      </c>
      <c r="AA50" s="36">
        <f>MEDIAN(K50:V50)</f>
        <v>-0.76818973658313661</v>
      </c>
      <c r="AB50" s="35">
        <f>QUARTILE(K50:V50,3)</f>
        <v>-0.76818973658313661</v>
      </c>
      <c r="AC50" s="35">
        <f>MAX(K50:V50)</f>
        <v>-0.76818973658313661</v>
      </c>
      <c r="AD50" s="35" t="e">
        <f>SKEW(K50:V50)</f>
        <v>#DIV/0!</v>
      </c>
      <c r="AE50" s="35" t="e">
        <f>KURT(K50:V50)</f>
        <v>#DIV/0!</v>
      </c>
    </row>
    <row r="51" spans="2:31" x14ac:dyDescent="0.2">
      <c r="B51" s="34">
        <f>[52]FormattedData!A27</f>
        <v>0</v>
      </c>
      <c r="C51" s="34" t="e">
        <f>VLOOKUP($B51,[52]TrtCodes!$B$11:I70,2)</f>
        <v>#N/A</v>
      </c>
      <c r="D51" s="34" t="e">
        <f>VLOOKUP($B51,[52]TrtCodes!$B$11:J70,3)</f>
        <v>#N/A</v>
      </c>
      <c r="E51" s="34" t="e">
        <f>VLOOKUP($B51,[52]TrtCodes!$B$11:K70,4)</f>
        <v>#N/A</v>
      </c>
      <c r="F51" s="34" t="e">
        <f>VLOOKUP($B51,[52]TrtCodes!$B$11:L70,5)</f>
        <v>#N/A</v>
      </c>
      <c r="G51" s="34" t="e">
        <f>VLOOKUP($B51,[52]TrtCodes!$B$11:M70,6)</f>
        <v>#N/A</v>
      </c>
      <c r="H51" s="34" t="e">
        <f>VLOOKUP($B51,[52]TrtCodes!$B$11:N70,7)</f>
        <v>#N/A</v>
      </c>
      <c r="I51" s="34">
        <f>[52]FormattedData!B27</f>
        <v>0</v>
      </c>
      <c r="J51" s="37">
        <f>[52]FormattedData!C27</f>
        <v>0</v>
      </c>
      <c r="K51" s="39">
        <f>$J$3+[52]FormattedData!D27*$J$4+$M$4*$J$5+[52]FormattedData!D27^2*$J$6+$M$5*$J$7</f>
        <v>-0.76818973658313661</v>
      </c>
      <c r="L51" s="39">
        <f>$J$3+[52]FormattedData!E27*$J$4+$M$4*$J$5+[52]FormattedData!E27^2*$J$6+$M$5*$J$7</f>
        <v>-0.76818973658313661</v>
      </c>
      <c r="M51" s="39">
        <f>$J$3+[52]FormattedData!F27*$J$4+$M$4*$J$5+[52]FormattedData!F27^2*$J$6+$M$5*$J$7</f>
        <v>-0.76818973658313661</v>
      </c>
      <c r="N51" s="39">
        <f>$J$3+[52]FormattedData!G27*$J$4+$M$4*$J$5+[52]FormattedData!G27^2*$J$6+$M$5*$J$7</f>
        <v>-0.76818973658313661</v>
      </c>
      <c r="O51" s="39">
        <f>$J$3+[52]FormattedData!H27*$J$4+$M$4*$J$5+[52]FormattedData!H27^2*$J$6+$M$5*$J$7</f>
        <v>-0.76818973658313661</v>
      </c>
      <c r="P51" s="39">
        <f>$J$3+[52]FormattedData!I27*$J$4+$M$4*$J$5+[52]FormattedData!I27^2*$J$6+$M$5*$J$7</f>
        <v>-0.76818973658313661</v>
      </c>
      <c r="Q51" s="39">
        <f>$J$3+[52]FormattedData!J27*$J$4+$M$4*$J$5+[52]FormattedData!J27^2*$J$6+$M$5*$J$7</f>
        <v>-0.76818973658313661</v>
      </c>
      <c r="R51" s="39">
        <f>$J$3+[52]FormattedData!K27*$J$4+$M$4*$J$5+[52]FormattedData!K27^2*$J$6+$M$5*$J$7</f>
        <v>-0.76818973658313661</v>
      </c>
      <c r="S51" s="39">
        <f>$J$3+[52]FormattedData!L27*$J$4+$M$4*$J$5+[52]FormattedData!L27^2*$J$6+$M$5*$J$7</f>
        <v>-0.76818973658313661</v>
      </c>
      <c r="T51" s="39">
        <f>$J$3+[52]FormattedData!M27*$J$4+$M$4*$J$5+[52]FormattedData!M27^2*$J$6+$M$5*$J$7</f>
        <v>-0.76818973658313661</v>
      </c>
      <c r="U51" s="39">
        <f>$J$3+[52]FormattedData!N27*$J$4+$M$4*$J$5+[52]FormattedData!N27^2*$J$6+$M$5*$J$7</f>
        <v>-0.76818973658313661</v>
      </c>
      <c r="V51" s="39">
        <f>$J$3+[52]FormattedData!O27*$J$4+$M$4*$J$5+[52]FormattedData!O27^2*$J$6+$M$5*$J$7</f>
        <v>-0.76818973658313661</v>
      </c>
      <c r="W51" s="38">
        <f>AVERAGE(K51:V51)</f>
        <v>-0.76818973658313661</v>
      </c>
      <c r="X51" s="37">
        <f>STDEV(K51:V51)/SQRT(COUNT(K51:V51))</f>
        <v>0</v>
      </c>
      <c r="Y51" s="36">
        <f>MIN(K51:V51)</f>
        <v>-0.76818973658313661</v>
      </c>
      <c r="Z51" s="35">
        <f>QUARTILE(K51:V51,1)</f>
        <v>-0.76818973658313661</v>
      </c>
      <c r="AA51" s="36">
        <f>MEDIAN(K51:V51)</f>
        <v>-0.76818973658313661</v>
      </c>
      <c r="AB51" s="35">
        <f>QUARTILE(K51:V51,3)</f>
        <v>-0.76818973658313661</v>
      </c>
      <c r="AC51" s="35">
        <f>MAX(K51:V51)</f>
        <v>-0.76818973658313661</v>
      </c>
      <c r="AD51" s="35" t="e">
        <f>SKEW(K51:V51)</f>
        <v>#DIV/0!</v>
      </c>
      <c r="AE51" s="35" t="e">
        <f>KURT(K51:V51)</f>
        <v>#DIV/0!</v>
      </c>
    </row>
    <row r="52" spans="2:31" x14ac:dyDescent="0.2">
      <c r="B52" s="34">
        <f>[52]FormattedData!A25</f>
        <v>0</v>
      </c>
      <c r="C52" s="34" t="e">
        <f>VLOOKUP($B52,[52]TrtCodes!$B$11:I68,2)</f>
        <v>#N/A</v>
      </c>
      <c r="D52" s="34" t="e">
        <f>VLOOKUP($B52,[52]TrtCodes!$B$11:J68,3)</f>
        <v>#N/A</v>
      </c>
      <c r="E52" s="34" t="e">
        <f>VLOOKUP($B52,[52]TrtCodes!$B$11:K68,4)</f>
        <v>#N/A</v>
      </c>
      <c r="F52" s="34" t="e">
        <f>VLOOKUP($B52,[52]TrtCodes!$B$11:L68,5)</f>
        <v>#N/A</v>
      </c>
      <c r="G52" s="34" t="e">
        <f>VLOOKUP($B52,[52]TrtCodes!$B$11:M68,6)</f>
        <v>#N/A</v>
      </c>
      <c r="H52" s="34" t="e">
        <f>VLOOKUP($B52,[52]TrtCodes!$B$11:N68,7)</f>
        <v>#N/A</v>
      </c>
      <c r="I52" s="34">
        <f>[52]FormattedData!B25</f>
        <v>0</v>
      </c>
      <c r="J52" s="37">
        <f>[52]FormattedData!C25</f>
        <v>0</v>
      </c>
      <c r="K52" s="39">
        <f>$J$3+[52]FormattedData!D25*$J$4+$M$4*$J$5+[52]FormattedData!D25^2*$J$6+$M$5*$J$7</f>
        <v>-0.76818973658313661</v>
      </c>
      <c r="L52" s="39">
        <f>$J$3+[52]FormattedData!E25*$J$4+$M$4*$J$5+[52]FormattedData!E25^2*$J$6+$M$5*$J$7</f>
        <v>-0.76818973658313661</v>
      </c>
      <c r="M52" s="39">
        <f>$J$3+[52]FormattedData!F25*$J$4+$M$4*$J$5+[52]FormattedData!F25^2*$J$6+$M$5*$J$7</f>
        <v>-0.76818973658313661</v>
      </c>
      <c r="N52" s="39">
        <f>$J$3+[52]FormattedData!G25*$J$4+$M$4*$J$5+[52]FormattedData!G25^2*$J$6+$M$5*$J$7</f>
        <v>-0.76818973658313661</v>
      </c>
      <c r="O52" s="39">
        <f>$J$3+[52]FormattedData!H25*$J$4+$M$4*$J$5+[52]FormattedData!H25^2*$J$6+$M$5*$J$7</f>
        <v>-0.76818973658313661</v>
      </c>
      <c r="P52" s="39">
        <f>$J$3+[52]FormattedData!I25*$J$4+$M$4*$J$5+[52]FormattedData!I25^2*$J$6+$M$5*$J$7</f>
        <v>-0.76818973658313661</v>
      </c>
      <c r="Q52" s="39">
        <f>$J$3+[52]FormattedData!J25*$J$4+$M$4*$J$5+[52]FormattedData!J25^2*$J$6+$M$5*$J$7</f>
        <v>-0.76818973658313661</v>
      </c>
      <c r="R52" s="39">
        <f>$J$3+[52]FormattedData!K25*$J$4+$M$4*$J$5+[52]FormattedData!K25^2*$J$6+$M$5*$J$7</f>
        <v>-0.76818973658313661</v>
      </c>
      <c r="S52" s="39">
        <f>$J$3+[52]FormattedData!L25*$J$4+$M$4*$J$5+[52]FormattedData!L25^2*$J$6+$M$5*$J$7</f>
        <v>-0.76818973658313661</v>
      </c>
      <c r="T52" s="39">
        <f>$J$3+[52]FormattedData!M25*$J$4+$M$4*$J$5+[52]FormattedData!M25^2*$J$6+$M$5*$J$7</f>
        <v>-0.76818973658313661</v>
      </c>
      <c r="U52" s="39">
        <f>$J$3+[52]FormattedData!N25*$J$4+$M$4*$J$5+[52]FormattedData!N25^2*$J$6+$M$5*$J$7</f>
        <v>-0.76818973658313661</v>
      </c>
      <c r="V52" s="39">
        <f>$J$3+[52]FormattedData!O25*$J$4+$M$4*$J$5+[52]FormattedData!O25^2*$J$6+$M$5*$J$7</f>
        <v>-0.76818973658313661</v>
      </c>
      <c r="W52" s="38">
        <f>AVERAGE(K52:V52)</f>
        <v>-0.76818973658313661</v>
      </c>
      <c r="X52" s="37">
        <f>STDEV(K52:V52)/SQRT(COUNT(K52:V52))</f>
        <v>0</v>
      </c>
      <c r="Y52" s="36">
        <f>MIN(K52:V52)</f>
        <v>-0.76818973658313661</v>
      </c>
      <c r="Z52" s="35">
        <f>QUARTILE(K52:V52,1)</f>
        <v>-0.76818973658313661</v>
      </c>
      <c r="AA52" s="36">
        <f>MEDIAN(K52:V52)</f>
        <v>-0.76818973658313661</v>
      </c>
      <c r="AB52" s="35">
        <f>QUARTILE(K52:V52,3)</f>
        <v>-0.76818973658313661</v>
      </c>
      <c r="AC52" s="35">
        <f>MAX(K52:V52)</f>
        <v>-0.76818973658313661</v>
      </c>
      <c r="AD52" s="35" t="e">
        <f>SKEW(K52:V52)</f>
        <v>#DIV/0!</v>
      </c>
      <c r="AE52" s="35" t="e">
        <f>KURT(K52:V52)</f>
        <v>#DIV/0!</v>
      </c>
    </row>
    <row r="53" spans="2:31" x14ac:dyDescent="0.2">
      <c r="B53" s="34">
        <f>[52]FormattedData!A23</f>
        <v>0</v>
      </c>
      <c r="C53" s="34" t="e">
        <f>VLOOKUP($B53,[52]TrtCodes!$B$11:I66,2)</f>
        <v>#N/A</v>
      </c>
      <c r="D53" s="34" t="e">
        <f>VLOOKUP($B53,[52]TrtCodes!$B$11:J66,3)</f>
        <v>#N/A</v>
      </c>
      <c r="E53" s="34" t="e">
        <f>VLOOKUP($B53,[52]TrtCodes!$B$11:K66,4)</f>
        <v>#N/A</v>
      </c>
      <c r="F53" s="34" t="e">
        <f>VLOOKUP($B53,[52]TrtCodes!$B$11:L66,5)</f>
        <v>#N/A</v>
      </c>
      <c r="G53" s="34" t="e">
        <f>VLOOKUP($B53,[52]TrtCodes!$B$11:M66,6)</f>
        <v>#N/A</v>
      </c>
      <c r="H53" s="34" t="e">
        <f>VLOOKUP($B53,[52]TrtCodes!$B$11:N66,7)</f>
        <v>#N/A</v>
      </c>
      <c r="I53" s="34">
        <f>[52]FormattedData!B23</f>
        <v>0</v>
      </c>
      <c r="J53" s="37">
        <f>[52]FormattedData!C23</f>
        <v>0</v>
      </c>
      <c r="K53" s="39">
        <f>$J$3+[52]FormattedData!D23*$J$4+$M$4*$J$5+[52]FormattedData!D23^2*$J$6+$M$5*$J$7</f>
        <v>-0.76818973658313661</v>
      </c>
      <c r="L53" s="39">
        <f>$J$3+[52]FormattedData!E23*$J$4+$M$4*$J$5+[52]FormattedData!E23^2*$J$6+$M$5*$J$7</f>
        <v>-0.76818973658313661</v>
      </c>
      <c r="M53" s="39">
        <f>$J$3+[52]FormattedData!F23*$J$4+$M$4*$J$5+[52]FormattedData!F23^2*$J$6+$M$5*$J$7</f>
        <v>-0.76818973658313661</v>
      </c>
      <c r="N53" s="39">
        <f>$J$3+[52]FormattedData!G23*$J$4+$M$4*$J$5+[52]FormattedData!G23^2*$J$6+$M$5*$J$7</f>
        <v>-0.76818973658313661</v>
      </c>
      <c r="O53" s="39">
        <f>$J$3+[52]FormattedData!H23*$J$4+$M$4*$J$5+[52]FormattedData!H23^2*$J$6+$M$5*$J$7</f>
        <v>-0.76818973658313661</v>
      </c>
      <c r="P53" s="39">
        <f>$J$3+[52]FormattedData!I23*$J$4+$M$4*$J$5+[52]FormattedData!I23^2*$J$6+$M$5*$J$7</f>
        <v>-0.76818973658313661</v>
      </c>
      <c r="Q53" s="39">
        <f>$J$3+[52]FormattedData!J23*$J$4+$M$4*$J$5+[52]FormattedData!J23^2*$J$6+$M$5*$J$7</f>
        <v>-0.76818973658313661</v>
      </c>
      <c r="R53" s="39">
        <f>$J$3+[52]FormattedData!K23*$J$4+$M$4*$J$5+[52]FormattedData!K23^2*$J$6+$M$5*$J$7</f>
        <v>-0.76818973658313661</v>
      </c>
      <c r="S53" s="39">
        <f>$J$3+[52]FormattedData!L23*$J$4+$M$4*$J$5+[52]FormattedData!L23^2*$J$6+$M$5*$J$7</f>
        <v>-0.76818973658313661</v>
      </c>
      <c r="T53" s="39">
        <f>$J$3+[52]FormattedData!M23*$J$4+$M$4*$J$5+[52]FormattedData!M23^2*$J$6+$M$5*$J$7</f>
        <v>-0.76818973658313661</v>
      </c>
      <c r="U53" s="39">
        <f>$J$3+[52]FormattedData!N23*$J$4+$M$4*$J$5+[52]FormattedData!N23^2*$J$6+$M$5*$J$7</f>
        <v>-0.76818973658313661</v>
      </c>
      <c r="V53" s="39">
        <f>$J$3+[52]FormattedData!O23*$J$4+$M$4*$J$5+[52]FormattedData!O23^2*$J$6+$M$5*$J$7</f>
        <v>-0.76818973658313661</v>
      </c>
      <c r="W53" s="38">
        <f>AVERAGE(K53:V53)</f>
        <v>-0.76818973658313661</v>
      </c>
      <c r="X53" s="37">
        <f>STDEV(K53:V53)/SQRT(COUNT(K53:V53))</f>
        <v>0</v>
      </c>
      <c r="Y53" s="36">
        <f>MIN(K53:V53)</f>
        <v>-0.76818973658313661</v>
      </c>
      <c r="Z53" s="35">
        <f>QUARTILE(K53:V53,1)</f>
        <v>-0.76818973658313661</v>
      </c>
      <c r="AA53" s="36">
        <f>MEDIAN(K53:V53)</f>
        <v>-0.76818973658313661</v>
      </c>
      <c r="AB53" s="35">
        <f>QUARTILE(K53:V53,3)</f>
        <v>-0.76818973658313661</v>
      </c>
      <c r="AC53" s="35">
        <f>MAX(K53:V53)</f>
        <v>-0.76818973658313661</v>
      </c>
      <c r="AD53" s="35" t="e">
        <f>SKEW(K53:V53)</f>
        <v>#DIV/0!</v>
      </c>
      <c r="AE53" s="35" t="e">
        <f>KURT(K53:V53)</f>
        <v>#DIV/0!</v>
      </c>
    </row>
    <row r="54" spans="2:31" x14ac:dyDescent="0.2">
      <c r="B54" s="34">
        <f>[52]FormattedData!A21</f>
        <v>0</v>
      </c>
      <c r="C54" s="34" t="e">
        <f>VLOOKUP($B54,[52]TrtCodes!$B$11:I64,2)</f>
        <v>#N/A</v>
      </c>
      <c r="D54" s="34" t="e">
        <f>VLOOKUP($B54,[52]TrtCodes!$B$11:J64,3)</f>
        <v>#N/A</v>
      </c>
      <c r="E54" s="34" t="e">
        <f>VLOOKUP($B54,[52]TrtCodes!$B$11:K64,4)</f>
        <v>#N/A</v>
      </c>
      <c r="F54" s="34" t="e">
        <f>VLOOKUP($B54,[52]TrtCodes!$B$11:L64,5)</f>
        <v>#N/A</v>
      </c>
      <c r="G54" s="34" t="e">
        <f>VLOOKUP($B54,[52]TrtCodes!$B$11:M64,6)</f>
        <v>#N/A</v>
      </c>
      <c r="H54" s="34" t="e">
        <f>VLOOKUP($B54,[52]TrtCodes!$B$11:N64,7)</f>
        <v>#N/A</v>
      </c>
      <c r="I54" s="34">
        <f>[52]FormattedData!B21</f>
        <v>0</v>
      </c>
      <c r="J54" s="37">
        <f>[52]FormattedData!C21</f>
        <v>0</v>
      </c>
      <c r="K54" s="39">
        <f>$J$3+[52]FormattedData!D21*$J$4+$M$4*$J$5+[52]FormattedData!D21^2*$J$6+$M$5*$J$7</f>
        <v>-0.76818973658313661</v>
      </c>
      <c r="L54" s="39">
        <f>$J$3+[52]FormattedData!E21*$J$4+$M$4*$J$5+[52]FormattedData!E21^2*$J$6+$M$5*$J$7</f>
        <v>-0.76818973658313661</v>
      </c>
      <c r="M54" s="39">
        <f>$J$3+[52]FormattedData!F21*$J$4+$M$4*$J$5+[52]FormattedData!F21^2*$J$6+$M$5*$J$7</f>
        <v>-0.76818973658313661</v>
      </c>
      <c r="N54" s="39">
        <f>$J$3+[52]FormattedData!G21*$J$4+$M$4*$J$5+[52]FormattedData!G21^2*$J$6+$M$5*$J$7</f>
        <v>-0.76818973658313661</v>
      </c>
      <c r="O54" s="39">
        <f>$J$3+[52]FormattedData!H21*$J$4+$M$4*$J$5+[52]FormattedData!H21^2*$J$6+$M$5*$J$7</f>
        <v>-0.76818973658313661</v>
      </c>
      <c r="P54" s="39">
        <f>$J$3+[52]FormattedData!I21*$J$4+$M$4*$J$5+[52]FormattedData!I21^2*$J$6+$M$5*$J$7</f>
        <v>-0.76818973658313661</v>
      </c>
      <c r="Q54" s="39">
        <f>$J$3+[52]FormattedData!J21*$J$4+$M$4*$J$5+[52]FormattedData!J21^2*$J$6+$M$5*$J$7</f>
        <v>-0.76818973658313661</v>
      </c>
      <c r="R54" s="39">
        <f>$J$3+[52]FormattedData!K21*$J$4+$M$4*$J$5+[52]FormattedData!K21^2*$J$6+$M$5*$J$7</f>
        <v>-0.76818973658313661</v>
      </c>
      <c r="S54" s="39">
        <f>$J$3+[52]FormattedData!L21*$J$4+$M$4*$J$5+[52]FormattedData!L21^2*$J$6+$M$5*$J$7</f>
        <v>-0.76818973658313661</v>
      </c>
      <c r="T54" s="39">
        <f>$J$3+[52]FormattedData!M21*$J$4+$M$4*$J$5+[52]FormattedData!M21^2*$J$6+$M$5*$J$7</f>
        <v>-0.76818973658313661</v>
      </c>
      <c r="U54" s="39">
        <f>$J$3+[52]FormattedData!N21*$J$4+$M$4*$J$5+[52]FormattedData!N21^2*$J$6+$M$5*$J$7</f>
        <v>-0.76818973658313661</v>
      </c>
      <c r="V54" s="39">
        <f>$J$3+[52]FormattedData!O21*$J$4+$M$4*$J$5+[52]FormattedData!O21^2*$J$6+$M$5*$J$7</f>
        <v>-0.76818973658313661</v>
      </c>
      <c r="W54" s="38">
        <f>AVERAGE(K54:V54)</f>
        <v>-0.76818973658313661</v>
      </c>
      <c r="X54" s="37">
        <f>STDEV(K54:V54)/SQRT(COUNT(K54:V54))</f>
        <v>0</v>
      </c>
      <c r="Y54" s="36">
        <f>MIN(K54:V54)</f>
        <v>-0.76818973658313661</v>
      </c>
      <c r="Z54" s="35">
        <f>QUARTILE(K54:V54,1)</f>
        <v>-0.76818973658313661</v>
      </c>
      <c r="AA54" s="36">
        <f>MEDIAN(K54:V54)</f>
        <v>-0.76818973658313661</v>
      </c>
      <c r="AB54" s="35">
        <f>QUARTILE(K54:V54,3)</f>
        <v>-0.76818973658313661</v>
      </c>
      <c r="AC54" s="35">
        <f>MAX(K54:V54)</f>
        <v>-0.76818973658313661</v>
      </c>
      <c r="AD54" s="35" t="e">
        <f>SKEW(K54:V54)</f>
        <v>#DIV/0!</v>
      </c>
      <c r="AE54" s="35" t="e">
        <f>KURT(K54:V54)</f>
        <v>#DIV/0!</v>
      </c>
    </row>
    <row r="55" spans="2:31" x14ac:dyDescent="0.2">
      <c r="B55" s="34">
        <f>[52]FormattedData!A19</f>
        <v>0</v>
      </c>
      <c r="C55" s="34" t="e">
        <f>VLOOKUP($B55,[52]TrtCodes!$B$11:I62,2)</f>
        <v>#N/A</v>
      </c>
      <c r="D55" s="34" t="e">
        <f>VLOOKUP($B55,[52]TrtCodes!$B$11:J62,3)</f>
        <v>#N/A</v>
      </c>
      <c r="E55" s="34" t="e">
        <f>VLOOKUP($B55,[52]TrtCodes!$B$11:K62,4)</f>
        <v>#N/A</v>
      </c>
      <c r="F55" s="34" t="e">
        <f>VLOOKUP($B55,[52]TrtCodes!$B$11:L62,5)</f>
        <v>#N/A</v>
      </c>
      <c r="G55" s="34" t="e">
        <f>VLOOKUP($B55,[52]TrtCodes!$B$11:M62,6)</f>
        <v>#N/A</v>
      </c>
      <c r="H55" s="34" t="e">
        <f>VLOOKUP($B55,[52]TrtCodes!$B$11:N62,7)</f>
        <v>#N/A</v>
      </c>
      <c r="I55" s="34">
        <f>[52]FormattedData!B19</f>
        <v>0</v>
      </c>
      <c r="J55" s="37">
        <f>[52]FormattedData!C19</f>
        <v>0</v>
      </c>
      <c r="K55" s="39">
        <f>$J$3+[52]FormattedData!D19*$J$4+$M$4*$J$5+[52]FormattedData!D19^2*$J$6+$M$5*$J$7</f>
        <v>-0.76818973658313661</v>
      </c>
      <c r="L55" s="39">
        <f>$J$3+[52]FormattedData!E19*$J$4+$M$4*$J$5+[52]FormattedData!E19^2*$J$6+$M$5*$J$7</f>
        <v>-0.76818973658313661</v>
      </c>
      <c r="M55" s="39">
        <f>$J$3+[52]FormattedData!F19*$J$4+$M$4*$J$5+[52]FormattedData!F19^2*$J$6+$M$5*$J$7</f>
        <v>-0.76818973658313661</v>
      </c>
      <c r="N55" s="39">
        <f>$J$3+[52]FormattedData!G19*$J$4+$M$4*$J$5+[52]FormattedData!G19^2*$J$6+$M$5*$J$7</f>
        <v>-0.76818973658313661</v>
      </c>
      <c r="O55" s="39">
        <f>$J$3+[52]FormattedData!H19*$J$4+$M$4*$J$5+[52]FormattedData!H19^2*$J$6+$M$5*$J$7</f>
        <v>-0.76818973658313661</v>
      </c>
      <c r="P55" s="39">
        <f>$J$3+[52]FormattedData!I19*$J$4+$M$4*$J$5+[52]FormattedData!I19^2*$J$6+$M$5*$J$7</f>
        <v>-0.76818973658313661</v>
      </c>
      <c r="Q55" s="39">
        <f>$J$3+[52]FormattedData!J19*$J$4+$M$4*$J$5+[52]FormattedData!J19^2*$J$6+$M$5*$J$7</f>
        <v>-0.76818973658313661</v>
      </c>
      <c r="R55" s="39">
        <f>$J$3+[52]FormattedData!K19*$J$4+$M$4*$J$5+[52]FormattedData!K19^2*$J$6+$M$5*$J$7</f>
        <v>-0.76818973658313661</v>
      </c>
      <c r="S55" s="39">
        <f>$J$3+[52]FormattedData!L19*$J$4+$M$4*$J$5+[52]FormattedData!L19^2*$J$6+$M$5*$J$7</f>
        <v>-0.76818973658313661</v>
      </c>
      <c r="T55" s="39">
        <f>$J$3+[52]FormattedData!M19*$J$4+$M$4*$J$5+[52]FormattedData!M19^2*$J$6+$M$5*$J$7</f>
        <v>-0.76818973658313661</v>
      </c>
      <c r="U55" s="39">
        <f>$J$3+[52]FormattedData!N19*$J$4+$M$4*$J$5+[52]FormattedData!N19^2*$J$6+$M$5*$J$7</f>
        <v>-0.76818973658313661</v>
      </c>
      <c r="V55" s="39">
        <f>$J$3+[52]FormattedData!O19*$J$4+$M$4*$J$5+[52]FormattedData!O19^2*$J$6+$M$5*$J$7</f>
        <v>-0.76818973658313661</v>
      </c>
      <c r="W55" s="38">
        <f>AVERAGE(K55:V55)</f>
        <v>-0.76818973658313661</v>
      </c>
      <c r="X55" s="37">
        <f>STDEV(K55:V55)/SQRT(COUNT(K55:V55))</f>
        <v>0</v>
      </c>
      <c r="Y55" s="36">
        <f>MIN(K55:V55)</f>
        <v>-0.76818973658313661</v>
      </c>
      <c r="Z55" s="35">
        <f>QUARTILE(K55:V55,1)</f>
        <v>-0.76818973658313661</v>
      </c>
      <c r="AA55" s="36">
        <f>MEDIAN(K55:V55)</f>
        <v>-0.76818973658313661</v>
      </c>
      <c r="AB55" s="35">
        <f>QUARTILE(K55:V55,3)</f>
        <v>-0.76818973658313661</v>
      </c>
      <c r="AC55" s="35">
        <f>MAX(K55:V55)</f>
        <v>-0.76818973658313661</v>
      </c>
      <c r="AD55" s="35" t="e">
        <f>SKEW(K55:V55)</f>
        <v>#DIV/0!</v>
      </c>
      <c r="AE55" s="35" t="e">
        <f>KURT(K55:V55)</f>
        <v>#DIV/0!</v>
      </c>
    </row>
    <row r="56" spans="2:31" x14ac:dyDescent="0.2">
      <c r="B56" s="34">
        <f>[52]FormattedData!A17</f>
        <v>0</v>
      </c>
      <c r="C56" s="34" t="e">
        <f>VLOOKUP($B56,[52]TrtCodes!$B$11:I60,2)</f>
        <v>#N/A</v>
      </c>
      <c r="D56" s="34" t="e">
        <f>VLOOKUP($B56,[52]TrtCodes!$B$11:J60,3)</f>
        <v>#N/A</v>
      </c>
      <c r="E56" s="34" t="e">
        <f>VLOOKUP($B56,[52]TrtCodes!$B$11:K60,4)</f>
        <v>#N/A</v>
      </c>
      <c r="F56" s="34" t="e">
        <f>VLOOKUP($B56,[52]TrtCodes!$B$11:L60,5)</f>
        <v>#N/A</v>
      </c>
      <c r="G56" s="34" t="e">
        <f>VLOOKUP($B56,[52]TrtCodes!$B$11:M60,6)</f>
        <v>#N/A</v>
      </c>
      <c r="H56" s="34" t="e">
        <f>VLOOKUP($B56,[52]TrtCodes!$B$11:N60,7)</f>
        <v>#N/A</v>
      </c>
      <c r="I56" s="34">
        <f>[52]FormattedData!B17</f>
        <v>0</v>
      </c>
      <c r="J56" s="37">
        <f>[52]FormattedData!C17</f>
        <v>0</v>
      </c>
      <c r="K56" s="39">
        <f>$J$3+[52]FormattedData!D17*$J$4+$M$4*$J$5+[52]FormattedData!D17^2*$J$6+$M$5*$J$7</f>
        <v>-0.76818973658313661</v>
      </c>
      <c r="L56" s="39">
        <f>$J$3+[52]FormattedData!E17*$J$4+$M$4*$J$5+[52]FormattedData!E17^2*$J$6+$M$5*$J$7</f>
        <v>-0.76818973658313661</v>
      </c>
      <c r="M56" s="39">
        <f>$J$3+[52]FormattedData!F17*$J$4+$M$4*$J$5+[52]FormattedData!F17^2*$J$6+$M$5*$J$7</f>
        <v>-0.76818973658313661</v>
      </c>
      <c r="N56" s="39">
        <f>$J$3+[52]FormattedData!G17*$J$4+$M$4*$J$5+[52]FormattedData!G17^2*$J$6+$M$5*$J$7</f>
        <v>-0.76818973658313661</v>
      </c>
      <c r="O56" s="39">
        <f>$J$3+[52]FormattedData!H17*$J$4+$M$4*$J$5+[52]FormattedData!H17^2*$J$6+$M$5*$J$7</f>
        <v>-0.76818973658313661</v>
      </c>
      <c r="P56" s="39">
        <f>$J$3+[52]FormattedData!I17*$J$4+$M$4*$J$5+[52]FormattedData!I17^2*$J$6+$M$5*$J$7</f>
        <v>-0.76818973658313661</v>
      </c>
      <c r="Q56" s="39">
        <f>$J$3+[52]FormattedData!J17*$J$4+$M$4*$J$5+[52]FormattedData!J17^2*$J$6+$M$5*$J$7</f>
        <v>-0.76818973658313661</v>
      </c>
      <c r="R56" s="39">
        <f>$J$3+[52]FormattedData!K17*$J$4+$M$4*$J$5+[52]FormattedData!K17^2*$J$6+$M$5*$J$7</f>
        <v>-0.76818973658313661</v>
      </c>
      <c r="S56" s="39">
        <f>$J$3+[52]FormattedData!L17*$J$4+$M$4*$J$5+[52]FormattedData!L17^2*$J$6+$M$5*$J$7</f>
        <v>-0.76818973658313661</v>
      </c>
      <c r="T56" s="39">
        <f>$J$3+[52]FormattedData!M17*$J$4+$M$4*$J$5+[52]FormattedData!M17^2*$J$6+$M$5*$J$7</f>
        <v>-0.76818973658313661</v>
      </c>
      <c r="U56" s="39">
        <f>$J$3+[52]FormattedData!N17*$J$4+$M$4*$J$5+[52]FormattedData!N17^2*$J$6+$M$5*$J$7</f>
        <v>-0.76818973658313661</v>
      </c>
      <c r="V56" s="39">
        <f>$J$3+[52]FormattedData!O17*$J$4+$M$4*$J$5+[52]FormattedData!O17^2*$J$6+$M$5*$J$7</f>
        <v>-0.76818973658313661</v>
      </c>
      <c r="W56" s="38">
        <f>AVERAGE(K56:V56)</f>
        <v>-0.76818973658313661</v>
      </c>
      <c r="X56" s="37">
        <f>STDEV(K56:V56)/SQRT(COUNT(K56:V56))</f>
        <v>0</v>
      </c>
      <c r="Y56" s="36">
        <f>MIN(K56:V56)</f>
        <v>-0.76818973658313661</v>
      </c>
      <c r="Z56" s="35">
        <f>QUARTILE(K56:V56,1)</f>
        <v>-0.76818973658313661</v>
      </c>
      <c r="AA56" s="36">
        <f>MEDIAN(K56:V56)</f>
        <v>-0.76818973658313661</v>
      </c>
      <c r="AB56" s="35">
        <f>QUARTILE(K56:V56,3)</f>
        <v>-0.76818973658313661</v>
      </c>
      <c r="AC56" s="35">
        <f>MAX(K56:V56)</f>
        <v>-0.76818973658313661</v>
      </c>
      <c r="AD56" s="35" t="e">
        <f>SKEW(K56:V56)</f>
        <v>#DIV/0!</v>
      </c>
      <c r="AE56" s="35" t="e">
        <f>KURT(K56:V56)</f>
        <v>#DIV/0!</v>
      </c>
    </row>
    <row r="57" spans="2:31" x14ac:dyDescent="0.2">
      <c r="B57" s="34">
        <f>[52]FormattedData!A15</f>
        <v>0</v>
      </c>
      <c r="C57" s="34" t="e">
        <f>VLOOKUP($B57,[52]TrtCodes!$B$11:I58,2)</f>
        <v>#N/A</v>
      </c>
      <c r="D57" s="34" t="e">
        <f>VLOOKUP($B57,[52]TrtCodes!$B$11:J58,3)</f>
        <v>#N/A</v>
      </c>
      <c r="E57" s="34" t="e">
        <f>VLOOKUP($B57,[52]TrtCodes!$B$11:K58,4)</f>
        <v>#N/A</v>
      </c>
      <c r="F57" s="34" t="e">
        <f>VLOOKUP($B57,[52]TrtCodes!$B$11:L58,5)</f>
        <v>#N/A</v>
      </c>
      <c r="G57" s="34" t="e">
        <f>VLOOKUP($B57,[52]TrtCodes!$B$11:M58,6)</f>
        <v>#N/A</v>
      </c>
      <c r="H57" s="34" t="e">
        <f>VLOOKUP($B57,[52]TrtCodes!$B$11:N58,7)</f>
        <v>#N/A</v>
      </c>
      <c r="I57" s="34">
        <f>[52]FormattedData!B15</f>
        <v>0</v>
      </c>
      <c r="J57" s="37">
        <f>[52]FormattedData!C15</f>
        <v>0</v>
      </c>
      <c r="K57" s="39">
        <f>$J$3+[52]FormattedData!D15*$J$4+$M$4*$J$5+[52]FormattedData!D15^2*$J$6+$M$5*$J$7</f>
        <v>-0.76818973658313661</v>
      </c>
      <c r="L57" s="39">
        <f>$J$3+[52]FormattedData!E15*$J$4+$M$4*$J$5+[52]FormattedData!E15^2*$J$6+$M$5*$J$7</f>
        <v>-0.76818973658313661</v>
      </c>
      <c r="M57" s="39">
        <f>$J$3+[52]FormattedData!F15*$J$4+$M$4*$J$5+[52]FormattedData!F15^2*$J$6+$M$5*$J$7</f>
        <v>-0.76818973658313661</v>
      </c>
      <c r="N57" s="39">
        <f>$J$3+[52]FormattedData!G15*$J$4+$M$4*$J$5+[52]FormattedData!G15^2*$J$6+$M$5*$J$7</f>
        <v>-0.76818973658313661</v>
      </c>
      <c r="O57" s="39">
        <f>$J$3+[52]FormattedData!H15*$J$4+$M$4*$J$5+[52]FormattedData!H15^2*$J$6+$M$5*$J$7</f>
        <v>-0.76818973658313661</v>
      </c>
      <c r="P57" s="39">
        <f>$J$3+[52]FormattedData!I15*$J$4+$M$4*$J$5+[52]FormattedData!I15^2*$J$6+$M$5*$J$7</f>
        <v>-0.76818973658313661</v>
      </c>
      <c r="Q57" s="39">
        <f>$J$3+[52]FormattedData!J15*$J$4+$M$4*$J$5+[52]FormattedData!J15^2*$J$6+$M$5*$J$7</f>
        <v>-0.76818973658313661</v>
      </c>
      <c r="R57" s="39">
        <f>$J$3+[52]FormattedData!K15*$J$4+$M$4*$J$5+[52]FormattedData!K15^2*$J$6+$M$5*$J$7</f>
        <v>-0.76818973658313661</v>
      </c>
      <c r="S57" s="39">
        <f>$J$3+[52]FormattedData!L15*$J$4+$M$4*$J$5+[52]FormattedData!L15^2*$J$6+$M$5*$J$7</f>
        <v>-0.76818973658313661</v>
      </c>
      <c r="T57" s="39">
        <f>$J$3+[52]FormattedData!M15*$J$4+$M$4*$J$5+[52]FormattedData!M15^2*$J$6+$M$5*$J$7</f>
        <v>-0.76818973658313661</v>
      </c>
      <c r="U57" s="39">
        <f>$J$3+[52]FormattedData!N15*$J$4+$M$4*$J$5+[52]FormattedData!N15^2*$J$6+$M$5*$J$7</f>
        <v>-0.76818973658313661</v>
      </c>
      <c r="V57" s="39">
        <f>$J$3+[52]FormattedData!O15*$J$4+$M$4*$J$5+[52]FormattedData!O15^2*$J$6+$M$5*$J$7</f>
        <v>-0.76818973658313661</v>
      </c>
      <c r="W57" s="38">
        <f>AVERAGE(K57:V57)</f>
        <v>-0.76818973658313661</v>
      </c>
      <c r="X57" s="37">
        <f>STDEV(K57:V57)/SQRT(COUNT(K57:V57))</f>
        <v>0</v>
      </c>
      <c r="Y57" s="36">
        <f>MIN(K57:V57)</f>
        <v>-0.76818973658313661</v>
      </c>
      <c r="Z57" s="35">
        <f>QUARTILE(K57:V57,1)</f>
        <v>-0.76818973658313661</v>
      </c>
      <c r="AA57" s="36">
        <f>MEDIAN(K57:V57)</f>
        <v>-0.76818973658313661</v>
      </c>
      <c r="AB57" s="35">
        <f>QUARTILE(K57:V57,3)</f>
        <v>-0.76818973658313661</v>
      </c>
      <c r="AC57" s="35">
        <f>MAX(K57:V57)</f>
        <v>-0.76818973658313661</v>
      </c>
      <c r="AD57" s="35" t="e">
        <f>SKEW(K57:V57)</f>
        <v>#DIV/0!</v>
      </c>
      <c r="AE57" s="35" t="e">
        <f>KURT(K57:V57)</f>
        <v>#DIV/0!</v>
      </c>
    </row>
    <row r="58" spans="2:31" x14ac:dyDescent="0.2">
      <c r="B58" s="34">
        <f>[52]FormattedData!A31</f>
        <v>0</v>
      </c>
      <c r="C58" s="34" t="e">
        <f>VLOOKUP($B58,[52]TrtCodes!$B$11:I74,2)</f>
        <v>#N/A</v>
      </c>
      <c r="D58" s="34" t="e">
        <f>VLOOKUP($B58,[52]TrtCodes!$B$11:J74,3)</f>
        <v>#N/A</v>
      </c>
      <c r="E58" s="34" t="e">
        <f>VLOOKUP($B58,[52]TrtCodes!$B$11:K74,4)</f>
        <v>#N/A</v>
      </c>
      <c r="F58" s="34" t="e">
        <f>VLOOKUP($B58,[52]TrtCodes!$B$11:L74,5)</f>
        <v>#N/A</v>
      </c>
      <c r="G58" s="34" t="e">
        <f>VLOOKUP($B58,[52]TrtCodes!$B$11:M74,6)</f>
        <v>#N/A</v>
      </c>
      <c r="H58" s="34" t="e">
        <f>VLOOKUP($B58,[52]TrtCodes!$B$11:N74,7)</f>
        <v>#N/A</v>
      </c>
      <c r="I58" s="34">
        <f>[52]FormattedData!B31</f>
        <v>0</v>
      </c>
      <c r="J58" s="37">
        <f>[52]FormattedData!C31</f>
        <v>0</v>
      </c>
      <c r="K58" s="39">
        <f>$J$3+[52]FormattedData!D31*$J$4+$M$4*$J$5+[52]FormattedData!D31^2*$J$6+$M$5*$J$7</f>
        <v>-0.76818973658313661</v>
      </c>
      <c r="L58" s="39">
        <f>$J$3+[52]FormattedData!E31*$J$4+$M$4*$J$5+[52]FormattedData!E31^2*$J$6+$M$5*$J$7</f>
        <v>-0.76818973658313661</v>
      </c>
      <c r="M58" s="39">
        <f>$J$3+[52]FormattedData!F31*$J$4+$M$4*$J$5+[52]FormattedData!F31^2*$J$6+$M$5*$J$7</f>
        <v>-0.76818973658313661</v>
      </c>
      <c r="N58" s="39">
        <f>$J$3+[52]FormattedData!G31*$J$4+$M$4*$J$5+[52]FormattedData!G31^2*$J$6+$M$5*$J$7</f>
        <v>-0.76818973658313661</v>
      </c>
      <c r="O58" s="39">
        <f>$J$3+[52]FormattedData!H31*$J$4+$M$4*$J$5+[52]FormattedData!H31^2*$J$6+$M$5*$J$7</f>
        <v>-0.76818973658313661</v>
      </c>
      <c r="P58" s="39">
        <f>$J$3+[52]FormattedData!I31*$J$4+$M$4*$J$5+[52]FormattedData!I31^2*$J$6+$M$5*$J$7</f>
        <v>-0.76818973658313661</v>
      </c>
      <c r="Q58" s="39">
        <f>$J$3+[52]FormattedData!J31*$J$4+$M$4*$J$5+[52]FormattedData!J31^2*$J$6+$M$5*$J$7</f>
        <v>-0.76818973658313661</v>
      </c>
      <c r="R58" s="39">
        <f>$J$3+[52]FormattedData!K31*$J$4+$M$4*$J$5+[52]FormattedData!K31^2*$J$6+$M$5*$J$7</f>
        <v>-0.76818973658313661</v>
      </c>
      <c r="S58" s="39">
        <f>$J$3+[52]FormattedData!L31*$J$4+$M$4*$J$5+[52]FormattedData!L31^2*$J$6+$M$5*$J$7</f>
        <v>-0.76818973658313661</v>
      </c>
      <c r="T58" s="39">
        <f>$J$3+[52]FormattedData!M31*$J$4+$M$4*$J$5+[52]FormattedData!M31^2*$J$6+$M$5*$J$7</f>
        <v>-0.76818973658313661</v>
      </c>
      <c r="U58" s="39">
        <f>$J$3+[52]FormattedData!N31*$J$4+$M$4*$J$5+[52]FormattedData!N31^2*$J$6+$M$5*$J$7</f>
        <v>-0.76818973658313661</v>
      </c>
      <c r="V58" s="39">
        <f>$J$3+[52]FormattedData!O31*$J$4+$M$4*$J$5+[52]FormattedData!O31^2*$J$6+$M$5*$J$7</f>
        <v>-0.76818973658313661</v>
      </c>
      <c r="W58" s="38">
        <f>AVERAGE(K58:V58)</f>
        <v>-0.76818973658313661</v>
      </c>
      <c r="X58" s="37">
        <f>STDEV(K58:V58)/SQRT(COUNT(K58:V58))</f>
        <v>0</v>
      </c>
      <c r="Y58" s="36">
        <f>MIN(K58:V58)</f>
        <v>-0.76818973658313661</v>
      </c>
      <c r="Z58" s="35">
        <f>QUARTILE(K58:V58,1)</f>
        <v>-0.76818973658313661</v>
      </c>
      <c r="AA58" s="36">
        <f>MEDIAN(K58:V58)</f>
        <v>-0.76818973658313661</v>
      </c>
      <c r="AB58" s="35">
        <f>QUARTILE(K58:V58,3)</f>
        <v>-0.76818973658313661</v>
      </c>
      <c r="AC58" s="35">
        <f>MAX(K58:V58)</f>
        <v>-0.76818973658313661</v>
      </c>
      <c r="AD58" s="35" t="e">
        <f>SKEW(K58:V58)</f>
        <v>#DIV/0!</v>
      </c>
      <c r="AE58" s="35" t="e">
        <f>KURT(K58:V58)</f>
        <v>#DIV/0!</v>
      </c>
    </row>
    <row r="59" spans="2:31" x14ac:dyDescent="0.2">
      <c r="B59" s="34">
        <f>[52]FormattedData!A33</f>
        <v>0</v>
      </c>
      <c r="C59" s="34" t="e">
        <f>VLOOKUP($B59,[52]TrtCodes!$B$11:I76,2)</f>
        <v>#N/A</v>
      </c>
      <c r="D59" s="34" t="e">
        <f>VLOOKUP($B59,[52]TrtCodes!$B$11:J76,3)</f>
        <v>#N/A</v>
      </c>
      <c r="E59" s="34" t="e">
        <f>VLOOKUP($B59,[52]TrtCodes!$B$11:K76,4)</f>
        <v>#N/A</v>
      </c>
      <c r="F59" s="34" t="e">
        <f>VLOOKUP($B59,[52]TrtCodes!$B$11:L76,5)</f>
        <v>#N/A</v>
      </c>
      <c r="G59" s="34" t="e">
        <f>VLOOKUP($B59,[52]TrtCodes!$B$11:M76,6)</f>
        <v>#N/A</v>
      </c>
      <c r="H59" s="34" t="e">
        <f>VLOOKUP($B59,[52]TrtCodes!$B$11:N76,7)</f>
        <v>#N/A</v>
      </c>
      <c r="I59" s="34">
        <f>[52]FormattedData!B33</f>
        <v>0</v>
      </c>
      <c r="J59" s="37">
        <f>[52]FormattedData!C33</f>
        <v>0</v>
      </c>
      <c r="K59" s="39">
        <f>$J$3+[52]FormattedData!D33*$J$4+$M$4*$J$5+[52]FormattedData!D33^2*$J$6+$M$5*$J$7</f>
        <v>-0.76818973658313661</v>
      </c>
      <c r="L59" s="39">
        <f>$J$3+[52]FormattedData!E33*$J$4+$M$4*$J$5+[52]FormattedData!E33^2*$J$6+$M$5*$J$7</f>
        <v>-0.76818973658313661</v>
      </c>
      <c r="M59" s="39">
        <f>$J$3+[52]FormattedData!F33*$J$4+$M$4*$J$5+[52]FormattedData!F33^2*$J$6+$M$5*$J$7</f>
        <v>-0.76818973658313661</v>
      </c>
      <c r="N59" s="39">
        <f>$J$3+[52]FormattedData!G33*$J$4+$M$4*$J$5+[52]FormattedData!G33^2*$J$6+$M$5*$J$7</f>
        <v>-0.76818973658313661</v>
      </c>
      <c r="O59" s="39">
        <f>$J$3+[52]FormattedData!H33*$J$4+$M$4*$J$5+[52]FormattedData!H33^2*$J$6+$M$5*$J$7</f>
        <v>-0.76818973658313661</v>
      </c>
      <c r="P59" s="39">
        <f>$J$3+[52]FormattedData!I33*$J$4+$M$4*$J$5+[52]FormattedData!I33^2*$J$6+$M$5*$J$7</f>
        <v>-0.76818973658313661</v>
      </c>
      <c r="Q59" s="39">
        <f>$J$3+[52]FormattedData!J33*$J$4+$M$4*$J$5+[52]FormattedData!J33^2*$J$6+$M$5*$J$7</f>
        <v>-0.76818973658313661</v>
      </c>
      <c r="R59" s="39">
        <f>$J$3+[52]FormattedData!K33*$J$4+$M$4*$J$5+[52]FormattedData!K33^2*$J$6+$M$5*$J$7</f>
        <v>-0.76818973658313661</v>
      </c>
      <c r="S59" s="39">
        <f>$J$3+[52]FormattedData!L33*$J$4+$M$4*$J$5+[52]FormattedData!L33^2*$J$6+$M$5*$J$7</f>
        <v>-0.76818973658313661</v>
      </c>
      <c r="T59" s="39">
        <f>$J$3+[52]FormattedData!M33*$J$4+$M$4*$J$5+[52]FormattedData!M33^2*$J$6+$M$5*$J$7</f>
        <v>-0.76818973658313661</v>
      </c>
      <c r="U59" s="39">
        <f>$J$3+[52]FormattedData!N33*$J$4+$M$4*$J$5+[52]FormattedData!N33^2*$J$6+$M$5*$J$7</f>
        <v>-0.76818973658313661</v>
      </c>
      <c r="V59" s="39">
        <f>$J$3+[52]FormattedData!O33*$J$4+$M$4*$J$5+[52]FormattedData!O33^2*$J$6+$M$5*$J$7</f>
        <v>-0.76818973658313661</v>
      </c>
      <c r="W59" s="38">
        <f>AVERAGE(K59:V59)</f>
        <v>-0.76818973658313661</v>
      </c>
      <c r="X59" s="37">
        <f>STDEV(K59:V59)/SQRT(COUNT(K59:V59))</f>
        <v>0</v>
      </c>
      <c r="Y59" s="36">
        <f>MIN(K59:V59)</f>
        <v>-0.76818973658313661</v>
      </c>
      <c r="Z59" s="35">
        <f>QUARTILE(K59:V59,1)</f>
        <v>-0.76818973658313661</v>
      </c>
      <c r="AA59" s="36">
        <f>MEDIAN(K59:V59)</f>
        <v>-0.76818973658313661</v>
      </c>
      <c r="AB59" s="35">
        <f>QUARTILE(K59:V59,3)</f>
        <v>-0.76818973658313661</v>
      </c>
      <c r="AC59" s="35">
        <f>MAX(K59:V59)</f>
        <v>-0.76818973658313661</v>
      </c>
      <c r="AD59" s="35" t="e">
        <f>SKEW(K59:V59)</f>
        <v>#DIV/0!</v>
      </c>
      <c r="AE59" s="35" t="e">
        <f>KURT(K59:V59)</f>
        <v>#DIV/0!</v>
      </c>
    </row>
    <row r="60" spans="2:31" x14ac:dyDescent="0.2">
      <c r="B60" s="34">
        <f>[52]FormattedData!A35</f>
        <v>0</v>
      </c>
      <c r="C60" s="34" t="e">
        <f>VLOOKUP($B60,[52]TrtCodes!$B$11:I78,2)</f>
        <v>#N/A</v>
      </c>
      <c r="D60" s="34" t="e">
        <f>VLOOKUP($B60,[52]TrtCodes!$B$11:J78,3)</f>
        <v>#N/A</v>
      </c>
      <c r="E60" s="34" t="e">
        <f>VLOOKUP($B60,[52]TrtCodes!$B$11:K78,4)</f>
        <v>#N/A</v>
      </c>
      <c r="F60" s="34" t="e">
        <f>VLOOKUP($B60,[52]TrtCodes!$B$11:L78,5)</f>
        <v>#N/A</v>
      </c>
      <c r="G60" s="34" t="e">
        <f>VLOOKUP($B60,[52]TrtCodes!$B$11:M78,6)</f>
        <v>#N/A</v>
      </c>
      <c r="H60" s="34" t="e">
        <f>VLOOKUP($B60,[52]TrtCodes!$B$11:N78,7)</f>
        <v>#N/A</v>
      </c>
      <c r="I60" s="34">
        <f>[52]FormattedData!B35</f>
        <v>0</v>
      </c>
      <c r="J60" s="37">
        <f>[52]FormattedData!C35</f>
        <v>0</v>
      </c>
      <c r="K60" s="39">
        <f>$J$3+[52]FormattedData!D35*$J$4+$M$4*$J$5+[52]FormattedData!D35^2*$J$6+$M$5*$J$7</f>
        <v>-0.76818973658313661</v>
      </c>
      <c r="L60" s="39">
        <f>$J$3+[52]FormattedData!E35*$J$4+$M$4*$J$5+[52]FormattedData!E35^2*$J$6+$M$5*$J$7</f>
        <v>-0.76818973658313661</v>
      </c>
      <c r="M60" s="39">
        <f>$J$3+[52]FormattedData!F35*$J$4+$M$4*$J$5+[52]FormattedData!F35^2*$J$6+$M$5*$J$7</f>
        <v>-0.76818973658313661</v>
      </c>
      <c r="N60" s="39">
        <f>$J$3+[52]FormattedData!G35*$J$4+$M$4*$J$5+[52]FormattedData!G35^2*$J$6+$M$5*$J$7</f>
        <v>-0.76818973658313661</v>
      </c>
      <c r="O60" s="39">
        <f>$J$3+[52]FormattedData!H35*$J$4+$M$4*$J$5+[52]FormattedData!H35^2*$J$6+$M$5*$J$7</f>
        <v>-0.76818973658313661</v>
      </c>
      <c r="P60" s="39">
        <f>$J$3+[52]FormattedData!I35*$J$4+$M$4*$J$5+[52]FormattedData!I35^2*$J$6+$M$5*$J$7</f>
        <v>-0.76818973658313661</v>
      </c>
      <c r="Q60" s="39">
        <f>$J$3+[52]FormattedData!J35*$J$4+$M$4*$J$5+[52]FormattedData!J35^2*$J$6+$M$5*$J$7</f>
        <v>-0.76818973658313661</v>
      </c>
      <c r="R60" s="39">
        <f>$J$3+[52]FormattedData!K35*$J$4+$M$4*$J$5+[52]FormattedData!K35^2*$J$6+$M$5*$J$7</f>
        <v>-0.76818973658313661</v>
      </c>
      <c r="S60" s="39">
        <f>$J$3+[52]FormattedData!L35*$J$4+$M$4*$J$5+[52]FormattedData!L35^2*$J$6+$M$5*$J$7</f>
        <v>-0.76818973658313661</v>
      </c>
      <c r="T60" s="39">
        <f>$J$3+[52]FormattedData!M35*$J$4+$M$4*$J$5+[52]FormattedData!M35^2*$J$6+$M$5*$J$7</f>
        <v>-0.76818973658313661</v>
      </c>
      <c r="U60" s="39">
        <f>$J$3+[52]FormattedData!N35*$J$4+$M$4*$J$5+[52]FormattedData!N35^2*$J$6+$M$5*$J$7</f>
        <v>-0.76818973658313661</v>
      </c>
      <c r="V60" s="39">
        <f>$J$3+[52]FormattedData!O35*$J$4+$M$4*$J$5+[52]FormattedData!O35^2*$J$6+$M$5*$J$7</f>
        <v>-0.76818973658313661</v>
      </c>
      <c r="W60" s="38">
        <f>AVERAGE(K60:V60)</f>
        <v>-0.76818973658313661</v>
      </c>
      <c r="X60" s="37">
        <f>STDEV(K60:V60)/SQRT(COUNT(K60:V60))</f>
        <v>0</v>
      </c>
      <c r="Y60" s="36">
        <f>MIN(K60:V60)</f>
        <v>-0.76818973658313661</v>
      </c>
      <c r="Z60" s="35">
        <f>QUARTILE(K60:V60,1)</f>
        <v>-0.76818973658313661</v>
      </c>
      <c r="AA60" s="36">
        <f>MEDIAN(K60:V60)</f>
        <v>-0.76818973658313661</v>
      </c>
      <c r="AB60" s="35">
        <f>QUARTILE(K60:V60,3)</f>
        <v>-0.76818973658313661</v>
      </c>
      <c r="AC60" s="35">
        <f>MAX(K60:V60)</f>
        <v>-0.76818973658313661</v>
      </c>
      <c r="AD60" s="35" t="e">
        <f>SKEW(K60:V60)</f>
        <v>#DIV/0!</v>
      </c>
      <c r="AE60" s="35" t="e">
        <f>KURT(K60:V60)</f>
        <v>#DIV/0!</v>
      </c>
    </row>
    <row r="61" spans="2:31" x14ac:dyDescent="0.2">
      <c r="B61" s="34">
        <f>[52]FormattedData!A37</f>
        <v>0</v>
      </c>
      <c r="C61" s="34" t="e">
        <f>VLOOKUP($B61,[52]TrtCodes!$B$11:I80,2)</f>
        <v>#N/A</v>
      </c>
      <c r="D61" s="34" t="e">
        <f>VLOOKUP($B61,[52]TrtCodes!$B$11:J80,3)</f>
        <v>#N/A</v>
      </c>
      <c r="E61" s="34" t="e">
        <f>VLOOKUP($B61,[52]TrtCodes!$B$11:K80,4)</f>
        <v>#N/A</v>
      </c>
      <c r="F61" s="34" t="e">
        <f>VLOOKUP($B61,[52]TrtCodes!$B$11:L80,5)</f>
        <v>#N/A</v>
      </c>
      <c r="G61" s="34" t="e">
        <f>VLOOKUP($B61,[52]TrtCodes!$B$11:M80,6)</f>
        <v>#N/A</v>
      </c>
      <c r="H61" s="34" t="e">
        <f>VLOOKUP($B61,[52]TrtCodes!$B$11:N80,7)</f>
        <v>#N/A</v>
      </c>
      <c r="I61" s="34">
        <f>[52]FormattedData!B37</f>
        <v>0</v>
      </c>
      <c r="J61" s="37">
        <f>[52]FormattedData!C37</f>
        <v>0</v>
      </c>
      <c r="K61" s="39">
        <f>$J$3+[52]FormattedData!D37*$J$4+$M$4*$J$5+[52]FormattedData!D37^2*$J$6+$M$5*$J$7</f>
        <v>-0.76818973658313661</v>
      </c>
      <c r="L61" s="39">
        <f>$J$3+[52]FormattedData!E37*$J$4+$M$4*$J$5+[52]FormattedData!E37^2*$J$6+$M$5*$J$7</f>
        <v>-0.76818973658313661</v>
      </c>
      <c r="M61" s="39">
        <f>$J$3+[52]FormattedData!F37*$J$4+$M$4*$J$5+[52]FormattedData!F37^2*$J$6+$M$5*$J$7</f>
        <v>-0.76818973658313661</v>
      </c>
      <c r="N61" s="39">
        <f>$J$3+[52]FormattedData!G37*$J$4+$M$4*$J$5+[52]FormattedData!G37^2*$J$6+$M$5*$J$7</f>
        <v>-0.76818973658313661</v>
      </c>
      <c r="O61" s="39">
        <f>$J$3+[52]FormattedData!H37*$J$4+$M$4*$J$5+[52]FormattedData!H37^2*$J$6+$M$5*$J$7</f>
        <v>-0.76818973658313661</v>
      </c>
      <c r="P61" s="39">
        <f>$J$3+[52]FormattedData!I37*$J$4+$M$4*$J$5+[52]FormattedData!I37^2*$J$6+$M$5*$J$7</f>
        <v>-0.76818973658313661</v>
      </c>
      <c r="Q61" s="39">
        <f>$J$3+[52]FormattedData!J37*$J$4+$M$4*$J$5+[52]FormattedData!J37^2*$J$6+$M$5*$J$7</f>
        <v>-0.76818973658313661</v>
      </c>
      <c r="R61" s="39">
        <f>$J$3+[52]FormattedData!K37*$J$4+$M$4*$J$5+[52]FormattedData!K37^2*$J$6+$M$5*$J$7</f>
        <v>-0.76818973658313661</v>
      </c>
      <c r="S61" s="39">
        <f>$J$3+[52]FormattedData!L37*$J$4+$M$4*$J$5+[52]FormattedData!L37^2*$J$6+$M$5*$J$7</f>
        <v>-0.76818973658313661</v>
      </c>
      <c r="T61" s="39">
        <f>$J$3+[52]FormattedData!M37*$J$4+$M$4*$J$5+[52]FormattedData!M37^2*$J$6+$M$5*$J$7</f>
        <v>-0.76818973658313661</v>
      </c>
      <c r="U61" s="39">
        <f>$J$3+[52]FormattedData!N37*$J$4+$M$4*$J$5+[52]FormattedData!N37^2*$J$6+$M$5*$J$7</f>
        <v>-0.76818973658313661</v>
      </c>
      <c r="V61" s="39">
        <f>$J$3+[52]FormattedData!O37*$J$4+$M$4*$J$5+[52]FormattedData!O37^2*$J$6+$M$5*$J$7</f>
        <v>-0.76818973658313661</v>
      </c>
      <c r="W61" s="38">
        <f>AVERAGE(K61:V61)</f>
        <v>-0.76818973658313661</v>
      </c>
      <c r="X61" s="37">
        <f>STDEV(K61:V61)/SQRT(COUNT(K61:V61))</f>
        <v>0</v>
      </c>
      <c r="Y61" s="36">
        <f>MIN(K61:V61)</f>
        <v>-0.76818973658313661</v>
      </c>
      <c r="Z61" s="35">
        <f>QUARTILE(K61:V61,1)</f>
        <v>-0.76818973658313661</v>
      </c>
      <c r="AA61" s="36">
        <f>MEDIAN(K61:V61)</f>
        <v>-0.76818973658313661</v>
      </c>
      <c r="AB61" s="35">
        <f>QUARTILE(K61:V61,3)</f>
        <v>-0.76818973658313661</v>
      </c>
      <c r="AC61" s="35">
        <f>MAX(K61:V61)</f>
        <v>-0.76818973658313661</v>
      </c>
      <c r="AD61" s="35" t="e">
        <f>SKEW(K61:V61)</f>
        <v>#DIV/0!</v>
      </c>
      <c r="AE61" s="35" t="e">
        <f>KURT(K61:V61)</f>
        <v>#DIV/0!</v>
      </c>
    </row>
    <row r="62" spans="2:31" x14ac:dyDescent="0.2">
      <c r="B62" s="34">
        <f>[52]FormattedData!A39</f>
        <v>0</v>
      </c>
      <c r="C62" s="34" t="e">
        <f>VLOOKUP($B62,[52]TrtCodes!$B$11:I82,2)</f>
        <v>#N/A</v>
      </c>
      <c r="D62" s="34" t="e">
        <f>VLOOKUP($B62,[52]TrtCodes!$B$11:J82,3)</f>
        <v>#N/A</v>
      </c>
      <c r="E62" s="34" t="e">
        <f>VLOOKUP($B62,[52]TrtCodes!$B$11:K82,4)</f>
        <v>#N/A</v>
      </c>
      <c r="F62" s="34" t="e">
        <f>VLOOKUP($B62,[52]TrtCodes!$B$11:L82,5)</f>
        <v>#N/A</v>
      </c>
      <c r="G62" s="34" t="e">
        <f>VLOOKUP($B62,[52]TrtCodes!$B$11:M82,6)</f>
        <v>#N/A</v>
      </c>
      <c r="H62" s="34" t="e">
        <f>VLOOKUP($B62,[52]TrtCodes!$B$11:N82,7)</f>
        <v>#N/A</v>
      </c>
      <c r="I62" s="34">
        <f>[52]FormattedData!B39</f>
        <v>0</v>
      </c>
      <c r="J62" s="37">
        <f>[52]FormattedData!C39</f>
        <v>0</v>
      </c>
      <c r="K62" s="39">
        <f>$J$3+[52]FormattedData!D39*$J$4+$M$4*$J$5+[52]FormattedData!D39^2*$J$6+$M$5*$J$7</f>
        <v>-0.76818973658313661</v>
      </c>
      <c r="L62" s="39">
        <f>$J$3+[52]FormattedData!E39*$J$4+$M$4*$J$5+[52]FormattedData!E39^2*$J$6+$M$5*$J$7</f>
        <v>-0.76818973658313661</v>
      </c>
      <c r="M62" s="39">
        <f>$J$3+[52]FormattedData!F39*$J$4+$M$4*$J$5+[52]FormattedData!F39^2*$J$6+$M$5*$J$7</f>
        <v>-0.76818973658313661</v>
      </c>
      <c r="N62" s="39">
        <f>$J$3+[52]FormattedData!G39*$J$4+$M$4*$J$5+[52]FormattedData!G39^2*$J$6+$M$5*$J$7</f>
        <v>-0.76818973658313661</v>
      </c>
      <c r="O62" s="39">
        <f>$J$3+[52]FormattedData!H39*$J$4+$M$4*$J$5+[52]FormattedData!H39^2*$J$6+$M$5*$J$7</f>
        <v>-0.76818973658313661</v>
      </c>
      <c r="P62" s="39">
        <f>$J$3+[52]FormattedData!I39*$J$4+$M$4*$J$5+[52]FormattedData!I39^2*$J$6+$M$5*$J$7</f>
        <v>-0.76818973658313661</v>
      </c>
      <c r="Q62" s="39">
        <f>$J$3+[52]FormattedData!J39*$J$4+$M$4*$J$5+[52]FormattedData!J39^2*$J$6+$M$5*$J$7</f>
        <v>-0.76818973658313661</v>
      </c>
      <c r="R62" s="39">
        <f>$J$3+[52]FormattedData!K39*$J$4+$M$4*$J$5+[52]FormattedData!K39^2*$J$6+$M$5*$J$7</f>
        <v>-0.76818973658313661</v>
      </c>
      <c r="S62" s="39">
        <f>$J$3+[52]FormattedData!L39*$J$4+$M$4*$J$5+[52]FormattedData!L39^2*$J$6+$M$5*$J$7</f>
        <v>-0.76818973658313661</v>
      </c>
      <c r="T62" s="39">
        <f>$J$3+[52]FormattedData!M39*$J$4+$M$4*$J$5+[52]FormattedData!M39^2*$J$6+$M$5*$J$7</f>
        <v>-0.76818973658313661</v>
      </c>
      <c r="U62" s="39">
        <f>$J$3+[52]FormattedData!N39*$J$4+$M$4*$J$5+[52]FormattedData!N39^2*$J$6+$M$5*$J$7</f>
        <v>-0.76818973658313661</v>
      </c>
      <c r="V62" s="39">
        <f>$J$3+[52]FormattedData!O39*$J$4+$M$4*$J$5+[52]FormattedData!O39^2*$J$6+$M$5*$J$7</f>
        <v>-0.76818973658313661</v>
      </c>
      <c r="W62" s="38">
        <f>AVERAGE(K62:V62)</f>
        <v>-0.76818973658313661</v>
      </c>
      <c r="X62" s="37">
        <f>STDEV(K62:V62)/SQRT(COUNT(K62:V62))</f>
        <v>0</v>
      </c>
      <c r="Y62" s="36">
        <f>MIN(K62:V62)</f>
        <v>-0.76818973658313661</v>
      </c>
      <c r="Z62" s="35">
        <f>QUARTILE(K62:V62,1)</f>
        <v>-0.76818973658313661</v>
      </c>
      <c r="AA62" s="36">
        <f>MEDIAN(K62:V62)</f>
        <v>-0.76818973658313661</v>
      </c>
      <c r="AB62" s="35">
        <f>QUARTILE(K62:V62,3)</f>
        <v>-0.76818973658313661</v>
      </c>
      <c r="AC62" s="35">
        <f>MAX(K62:V62)</f>
        <v>-0.76818973658313661</v>
      </c>
      <c r="AD62" s="35" t="e">
        <f>SKEW(K62:V62)</f>
        <v>#DIV/0!</v>
      </c>
      <c r="AE62" s="35" t="e">
        <f>KURT(K62:V62)</f>
        <v>#DIV/0!</v>
      </c>
    </row>
    <row r="63" spans="2:31" x14ac:dyDescent="0.2">
      <c r="B63" s="34">
        <f>[52]FormattedData!A41</f>
        <v>0</v>
      </c>
      <c r="C63" s="34" t="e">
        <f>VLOOKUP($B63,[52]TrtCodes!$B$11:I84,2)</f>
        <v>#N/A</v>
      </c>
      <c r="D63" s="34" t="e">
        <f>VLOOKUP($B63,[52]TrtCodes!$B$11:J84,3)</f>
        <v>#N/A</v>
      </c>
      <c r="E63" s="34" t="e">
        <f>VLOOKUP($B63,[52]TrtCodes!$B$11:K84,4)</f>
        <v>#N/A</v>
      </c>
      <c r="F63" s="34" t="e">
        <f>VLOOKUP($B63,[52]TrtCodes!$B$11:L84,5)</f>
        <v>#N/A</v>
      </c>
      <c r="G63" s="34" t="e">
        <f>VLOOKUP($B63,[52]TrtCodes!$B$11:M84,6)</f>
        <v>#N/A</v>
      </c>
      <c r="H63" s="34" t="e">
        <f>VLOOKUP($B63,[52]TrtCodes!$B$11:N84,7)</f>
        <v>#N/A</v>
      </c>
      <c r="I63" s="34">
        <f>[52]FormattedData!B41</f>
        <v>0</v>
      </c>
      <c r="J63" s="37">
        <f>[52]FormattedData!C41</f>
        <v>0</v>
      </c>
      <c r="K63" s="39">
        <f>$J$3+[52]FormattedData!D41*$J$4+$M$4*$J$5+[52]FormattedData!D41^2*$J$6+$M$5*$J$7</f>
        <v>-0.76818973658313661</v>
      </c>
      <c r="L63" s="39">
        <f>$J$3+[52]FormattedData!E41*$J$4+$M$4*$J$5+[52]FormattedData!E41^2*$J$6+$M$5*$J$7</f>
        <v>-0.76818973658313661</v>
      </c>
      <c r="M63" s="39">
        <f>$J$3+[52]FormattedData!F41*$J$4+$M$4*$J$5+[52]FormattedData!F41^2*$J$6+$M$5*$J$7</f>
        <v>-0.76818973658313661</v>
      </c>
      <c r="N63" s="39">
        <f>$J$3+[52]FormattedData!G41*$J$4+$M$4*$J$5+[52]FormattedData!G41^2*$J$6+$M$5*$J$7</f>
        <v>-0.76818973658313661</v>
      </c>
      <c r="O63" s="39">
        <f>$J$3+[52]FormattedData!H41*$J$4+$M$4*$J$5+[52]FormattedData!H41^2*$J$6+$M$5*$J$7</f>
        <v>-0.76818973658313661</v>
      </c>
      <c r="P63" s="39">
        <f>$J$3+[52]FormattedData!I41*$J$4+$M$4*$J$5+[52]FormattedData!I41^2*$J$6+$M$5*$J$7</f>
        <v>-0.76818973658313661</v>
      </c>
      <c r="Q63" s="39">
        <f>$J$3+[52]FormattedData!J41*$J$4+$M$4*$J$5+[52]FormattedData!J41^2*$J$6+$M$5*$J$7</f>
        <v>-0.76818973658313661</v>
      </c>
      <c r="R63" s="39">
        <f>$J$3+[52]FormattedData!K41*$J$4+$M$4*$J$5+[52]FormattedData!K41^2*$J$6+$M$5*$J$7</f>
        <v>-0.76818973658313661</v>
      </c>
      <c r="S63" s="39">
        <f>$J$3+[52]FormattedData!L41*$J$4+$M$4*$J$5+[52]FormattedData!L41^2*$J$6+$M$5*$J$7</f>
        <v>-0.76818973658313661</v>
      </c>
      <c r="T63" s="39">
        <f>$J$3+[52]FormattedData!M41*$J$4+$M$4*$J$5+[52]FormattedData!M41^2*$J$6+$M$5*$J$7</f>
        <v>-0.76818973658313661</v>
      </c>
      <c r="U63" s="39">
        <f>$J$3+[52]FormattedData!N41*$J$4+$M$4*$J$5+[52]FormattedData!N41^2*$J$6+$M$5*$J$7</f>
        <v>-0.76818973658313661</v>
      </c>
      <c r="V63" s="39">
        <f>$J$3+[52]FormattedData!O41*$J$4+$M$4*$J$5+[52]FormattedData!O41^2*$J$6+$M$5*$J$7</f>
        <v>-0.76818973658313661</v>
      </c>
      <c r="W63" s="38">
        <f>AVERAGE(K63:V63)</f>
        <v>-0.76818973658313661</v>
      </c>
      <c r="X63" s="37">
        <f>STDEV(K63:V63)/SQRT(COUNT(K63:V63))</f>
        <v>0</v>
      </c>
      <c r="Y63" s="36">
        <f>MIN(K63:V63)</f>
        <v>-0.76818973658313661</v>
      </c>
      <c r="Z63" s="35">
        <f>QUARTILE(K63:V63,1)</f>
        <v>-0.76818973658313661</v>
      </c>
      <c r="AA63" s="36">
        <f>MEDIAN(K63:V63)</f>
        <v>-0.76818973658313661</v>
      </c>
      <c r="AB63" s="35">
        <f>QUARTILE(K63:V63,3)</f>
        <v>-0.76818973658313661</v>
      </c>
      <c r="AC63" s="35">
        <f>MAX(K63:V63)</f>
        <v>-0.76818973658313661</v>
      </c>
      <c r="AD63" s="35" t="e">
        <f>SKEW(K63:V63)</f>
        <v>#DIV/0!</v>
      </c>
      <c r="AE63" s="35" t="e">
        <f>KURT(K63:V63)</f>
        <v>#DIV/0!</v>
      </c>
    </row>
    <row r="64" spans="2:31" x14ac:dyDescent="0.2">
      <c r="B64" s="34">
        <f>[52]FormattedData!A43</f>
        <v>0</v>
      </c>
      <c r="C64" s="34" t="e">
        <f>VLOOKUP($B64,[52]TrtCodes!$B$11:I86,2)</f>
        <v>#N/A</v>
      </c>
      <c r="D64" s="34" t="e">
        <f>VLOOKUP($B64,[52]TrtCodes!$B$11:J86,3)</f>
        <v>#N/A</v>
      </c>
      <c r="E64" s="34" t="e">
        <f>VLOOKUP($B64,[52]TrtCodes!$B$11:K86,4)</f>
        <v>#N/A</v>
      </c>
      <c r="F64" s="34" t="e">
        <f>VLOOKUP($B64,[52]TrtCodes!$B$11:L86,5)</f>
        <v>#N/A</v>
      </c>
      <c r="G64" s="34" t="e">
        <f>VLOOKUP($B64,[52]TrtCodes!$B$11:M86,6)</f>
        <v>#N/A</v>
      </c>
      <c r="H64" s="34" t="e">
        <f>VLOOKUP($B64,[52]TrtCodes!$B$11:N86,7)</f>
        <v>#N/A</v>
      </c>
      <c r="I64" s="34">
        <f>[52]FormattedData!B43</f>
        <v>0</v>
      </c>
      <c r="J64" s="37">
        <f>[52]FormattedData!C43</f>
        <v>0</v>
      </c>
      <c r="K64" s="39">
        <f>$J$3+[52]FormattedData!D43*$J$4+$M$4*$J$5+[52]FormattedData!D43^2*$J$6+$M$5*$J$7</f>
        <v>-0.76818973658313661</v>
      </c>
      <c r="L64" s="39">
        <f>$J$3+[52]FormattedData!E43*$J$4+$M$4*$J$5+[52]FormattedData!E43^2*$J$6+$M$5*$J$7</f>
        <v>-0.76818973658313661</v>
      </c>
      <c r="M64" s="39">
        <f>$J$3+[52]FormattedData!F43*$J$4+$M$4*$J$5+[52]FormattedData!F43^2*$J$6+$M$5*$J$7</f>
        <v>-0.76818973658313661</v>
      </c>
      <c r="N64" s="39">
        <f>$J$3+[52]FormattedData!G43*$J$4+$M$4*$J$5+[52]FormattedData!G43^2*$J$6+$M$5*$J$7</f>
        <v>-0.76818973658313661</v>
      </c>
      <c r="O64" s="39">
        <f>$J$3+[52]FormattedData!H43*$J$4+$M$4*$J$5+[52]FormattedData!H43^2*$J$6+$M$5*$J$7</f>
        <v>-0.76818973658313661</v>
      </c>
      <c r="P64" s="39">
        <f>$J$3+[52]FormattedData!I43*$J$4+$M$4*$J$5+[52]FormattedData!I43^2*$J$6+$M$5*$J$7</f>
        <v>-0.76818973658313661</v>
      </c>
      <c r="Q64" s="39">
        <f>$J$3+[52]FormattedData!J43*$J$4+$M$4*$J$5+[52]FormattedData!J43^2*$J$6+$M$5*$J$7</f>
        <v>-0.76818973658313661</v>
      </c>
      <c r="R64" s="39">
        <f>$J$3+[52]FormattedData!K43*$J$4+$M$4*$J$5+[52]FormattedData!K43^2*$J$6+$M$5*$J$7</f>
        <v>-0.76818973658313661</v>
      </c>
      <c r="S64" s="39">
        <f>$J$3+[52]FormattedData!L43*$J$4+$M$4*$J$5+[52]FormattedData!L43^2*$J$6+$M$5*$J$7</f>
        <v>-0.76818973658313661</v>
      </c>
      <c r="T64" s="39">
        <f>$J$3+[52]FormattedData!M43*$J$4+$M$4*$J$5+[52]FormattedData!M43^2*$J$6+$M$5*$J$7</f>
        <v>-0.76818973658313661</v>
      </c>
      <c r="U64" s="39">
        <f>$J$3+[52]FormattedData!N43*$J$4+$M$4*$J$5+[52]FormattedData!N43^2*$J$6+$M$5*$J$7</f>
        <v>-0.76818973658313661</v>
      </c>
      <c r="V64" s="39">
        <f>$J$3+[52]FormattedData!O43*$J$4+$M$4*$J$5+[52]FormattedData!O43^2*$J$6+$M$5*$J$7</f>
        <v>-0.76818973658313661</v>
      </c>
      <c r="W64" s="38">
        <f>AVERAGE(K64:V64)</f>
        <v>-0.76818973658313661</v>
      </c>
      <c r="X64" s="37">
        <f>STDEV(K64:V64)/SQRT(COUNT(K64:V64))</f>
        <v>0</v>
      </c>
      <c r="Y64" s="36">
        <f>MIN(K64:V64)</f>
        <v>-0.76818973658313661</v>
      </c>
      <c r="Z64" s="35">
        <f>QUARTILE(K64:V64,1)</f>
        <v>-0.76818973658313661</v>
      </c>
      <c r="AA64" s="36">
        <f>MEDIAN(K64:V64)</f>
        <v>-0.76818973658313661</v>
      </c>
      <c r="AB64" s="35">
        <f>QUARTILE(K64:V64,3)</f>
        <v>-0.76818973658313661</v>
      </c>
      <c r="AC64" s="35">
        <f>MAX(K64:V64)</f>
        <v>-0.76818973658313661</v>
      </c>
      <c r="AD64" s="35" t="e">
        <f>SKEW(K64:V64)</f>
        <v>#DIV/0!</v>
      </c>
      <c r="AE64" s="35" t="e">
        <f>KURT(K64:V64)</f>
        <v>#DIV/0!</v>
      </c>
    </row>
    <row r="65" spans="2:31" x14ac:dyDescent="0.2">
      <c r="B65" s="34">
        <f>[52]FormattedData!A45</f>
        <v>0</v>
      </c>
      <c r="C65" s="34" t="e">
        <f>VLOOKUP($B65,[52]TrtCodes!$B$11:I88,2)</f>
        <v>#N/A</v>
      </c>
      <c r="D65" s="34" t="e">
        <f>VLOOKUP($B65,[52]TrtCodes!$B$11:J88,3)</f>
        <v>#N/A</v>
      </c>
      <c r="E65" s="34" t="e">
        <f>VLOOKUP($B65,[52]TrtCodes!$B$11:K88,4)</f>
        <v>#N/A</v>
      </c>
      <c r="F65" s="34" t="e">
        <f>VLOOKUP($B65,[52]TrtCodes!$B$11:L88,5)</f>
        <v>#N/A</v>
      </c>
      <c r="G65" s="34" t="e">
        <f>VLOOKUP($B65,[52]TrtCodes!$B$11:M88,6)</f>
        <v>#N/A</v>
      </c>
      <c r="H65" s="34" t="e">
        <f>VLOOKUP($B65,[52]TrtCodes!$B$11:N88,7)</f>
        <v>#N/A</v>
      </c>
      <c r="I65" s="34">
        <f>[52]FormattedData!B45</f>
        <v>0</v>
      </c>
      <c r="J65" s="37">
        <f>[52]FormattedData!C45</f>
        <v>0</v>
      </c>
      <c r="K65" s="39">
        <f>$J$3+[52]FormattedData!D45*$J$4+$M$4*$J$5+[52]FormattedData!D45^2*$J$6+$M$5*$J$7</f>
        <v>-0.76818973658313661</v>
      </c>
      <c r="L65" s="39">
        <f>$J$3+[52]FormattedData!E45*$J$4+$M$4*$J$5+[52]FormattedData!E45^2*$J$6+$M$5*$J$7</f>
        <v>-0.76818973658313661</v>
      </c>
      <c r="M65" s="39">
        <f>$J$3+[52]FormattedData!F45*$J$4+$M$4*$J$5+[52]FormattedData!F45^2*$J$6+$M$5*$J$7</f>
        <v>-0.76818973658313661</v>
      </c>
      <c r="N65" s="39">
        <f>$J$3+[52]FormattedData!G45*$J$4+$M$4*$J$5+[52]FormattedData!G45^2*$J$6+$M$5*$J$7</f>
        <v>-0.76818973658313661</v>
      </c>
      <c r="O65" s="39">
        <f>$J$3+[52]FormattedData!H45*$J$4+$M$4*$J$5+[52]FormattedData!H45^2*$J$6+$M$5*$J$7</f>
        <v>-0.76818973658313661</v>
      </c>
      <c r="P65" s="39">
        <f>$J$3+[52]FormattedData!I45*$J$4+$M$4*$J$5+[52]FormattedData!I45^2*$J$6+$M$5*$J$7</f>
        <v>-0.76818973658313661</v>
      </c>
      <c r="Q65" s="39">
        <f>$J$3+[52]FormattedData!J45*$J$4+$M$4*$J$5+[52]FormattedData!J45^2*$J$6+$M$5*$J$7</f>
        <v>-0.76818973658313661</v>
      </c>
      <c r="R65" s="39">
        <f>$J$3+[52]FormattedData!K45*$J$4+$M$4*$J$5+[52]FormattedData!K45^2*$J$6+$M$5*$J$7</f>
        <v>-0.76818973658313661</v>
      </c>
      <c r="S65" s="39">
        <f>$J$3+[52]FormattedData!L45*$J$4+$M$4*$J$5+[52]FormattedData!L45^2*$J$6+$M$5*$J$7</f>
        <v>-0.76818973658313661</v>
      </c>
      <c r="T65" s="39">
        <f>$J$3+[52]FormattedData!M45*$J$4+$M$4*$J$5+[52]FormattedData!M45^2*$J$6+$M$5*$J$7</f>
        <v>-0.76818973658313661</v>
      </c>
      <c r="U65" s="39">
        <f>$J$3+[52]FormattedData!N45*$J$4+$M$4*$J$5+[52]FormattedData!N45^2*$J$6+$M$5*$J$7</f>
        <v>-0.76818973658313661</v>
      </c>
      <c r="V65" s="39">
        <f>$J$3+[52]FormattedData!O45*$J$4+$M$4*$J$5+[52]FormattedData!O45^2*$J$6+$M$5*$J$7</f>
        <v>-0.76818973658313661</v>
      </c>
      <c r="W65" s="38">
        <f>AVERAGE(K65:V65)</f>
        <v>-0.76818973658313661</v>
      </c>
      <c r="X65" s="37">
        <f>STDEV(K65:V65)/SQRT(COUNT(K65:V65))</f>
        <v>0</v>
      </c>
      <c r="Y65" s="36">
        <f>MIN(K65:V65)</f>
        <v>-0.76818973658313661</v>
      </c>
      <c r="Z65" s="35">
        <f>QUARTILE(K65:V65,1)</f>
        <v>-0.76818973658313661</v>
      </c>
      <c r="AA65" s="36">
        <f>MEDIAN(K65:V65)</f>
        <v>-0.76818973658313661</v>
      </c>
      <c r="AB65" s="35">
        <f>QUARTILE(K65:V65,3)</f>
        <v>-0.76818973658313661</v>
      </c>
      <c r="AC65" s="35">
        <f>MAX(K65:V65)</f>
        <v>-0.76818973658313661</v>
      </c>
      <c r="AD65" s="35" t="e">
        <f>SKEW(K65:V65)</f>
        <v>#DIV/0!</v>
      </c>
      <c r="AE65" s="35" t="e">
        <f>KURT(K65:V65)</f>
        <v>#DIV/0!</v>
      </c>
    </row>
    <row r="66" spans="2:31" x14ac:dyDescent="0.2">
      <c r="B66" s="34">
        <f>[52]FormattedData!A63</f>
        <v>0</v>
      </c>
      <c r="C66" s="34" t="e">
        <f>VLOOKUP($B66,[52]TrtCodes!$B$11:I106,2)</f>
        <v>#N/A</v>
      </c>
      <c r="D66" s="34" t="e">
        <f>VLOOKUP($B66,[52]TrtCodes!$B$11:J106,3)</f>
        <v>#N/A</v>
      </c>
      <c r="E66" s="34" t="e">
        <f>VLOOKUP($B66,[52]TrtCodes!$B$11:K106,4)</f>
        <v>#N/A</v>
      </c>
      <c r="F66" s="34" t="e">
        <f>VLOOKUP($B66,[52]TrtCodes!$B$11:L106,5)</f>
        <v>#N/A</v>
      </c>
      <c r="G66" s="34" t="e">
        <f>VLOOKUP($B66,[52]TrtCodes!$B$11:M106,6)</f>
        <v>#N/A</v>
      </c>
      <c r="H66" s="34" t="e">
        <f>VLOOKUP($B66,[52]TrtCodes!$B$11:N106,7)</f>
        <v>#N/A</v>
      </c>
      <c r="I66" s="34">
        <f>[52]FormattedData!B63</f>
        <v>0</v>
      </c>
      <c r="J66" s="37">
        <f>[52]FormattedData!C63</f>
        <v>0</v>
      </c>
      <c r="K66" s="39">
        <f>$J$3+[52]FormattedData!D63*$J$4+$M$4*$J$5+[52]FormattedData!D63^2*$J$6+$M$5*$J$7</f>
        <v>-0.76818973658313661</v>
      </c>
      <c r="L66" s="39">
        <f>$J$3+[52]FormattedData!E63*$J$4+$M$4*$J$5+[52]FormattedData!E63^2*$J$6+$M$5*$J$7</f>
        <v>-0.76818973658313661</v>
      </c>
      <c r="M66" s="39">
        <f>$J$3+[52]FormattedData!F63*$J$4+$M$4*$J$5+[52]FormattedData!F63^2*$J$6+$M$5*$J$7</f>
        <v>-0.76818973658313661</v>
      </c>
      <c r="N66" s="39">
        <f>$J$3+[52]FormattedData!G63*$J$4+$M$4*$J$5+[52]FormattedData!G63^2*$J$6+$M$5*$J$7</f>
        <v>-0.76818973658313661</v>
      </c>
      <c r="O66" s="39">
        <f>$J$3+[52]FormattedData!H63*$J$4+$M$4*$J$5+[52]FormattedData!H63^2*$J$6+$M$5*$J$7</f>
        <v>-0.76818973658313661</v>
      </c>
      <c r="P66" s="39">
        <f>$J$3+[52]FormattedData!I63*$J$4+$M$4*$J$5+[52]FormattedData!I63^2*$J$6+$M$5*$J$7</f>
        <v>-0.76818973658313661</v>
      </c>
      <c r="Q66" s="39">
        <f>$J$3+[52]FormattedData!J63*$J$4+$M$4*$J$5+[52]FormattedData!J63^2*$J$6+$M$5*$J$7</f>
        <v>-0.76818973658313661</v>
      </c>
      <c r="R66" s="39">
        <f>$J$3+[52]FormattedData!K63*$J$4+$M$4*$J$5+[52]FormattedData!K63^2*$J$6+$M$5*$J$7</f>
        <v>-0.76818973658313661</v>
      </c>
      <c r="S66" s="39">
        <f>$J$3+[52]FormattedData!L63*$J$4+$M$4*$J$5+[52]FormattedData!L63^2*$J$6+$M$5*$J$7</f>
        <v>-0.76818973658313661</v>
      </c>
      <c r="T66" s="39">
        <f>$J$3+[52]FormattedData!M63*$J$4+$M$4*$J$5+[52]FormattedData!M63^2*$J$6+$M$5*$J$7</f>
        <v>-0.76818973658313661</v>
      </c>
      <c r="U66" s="39">
        <f>$J$3+[52]FormattedData!N63*$J$4+$M$4*$J$5+[52]FormattedData!N63^2*$J$6+$M$5*$J$7</f>
        <v>-0.76818973658313661</v>
      </c>
      <c r="V66" s="39">
        <f>$J$3+[52]FormattedData!O63*$J$4+$M$4*$J$5+[52]FormattedData!O63^2*$J$6+$M$5*$J$7</f>
        <v>-0.76818973658313661</v>
      </c>
      <c r="W66" s="38">
        <f>AVERAGE(K66:V66)</f>
        <v>-0.76818973658313661</v>
      </c>
      <c r="X66" s="37">
        <f>STDEV(K66:V66)/SQRT(COUNT(K66:V66))</f>
        <v>0</v>
      </c>
      <c r="Y66" s="36">
        <f>MIN(K66:V66)</f>
        <v>-0.76818973658313661</v>
      </c>
      <c r="Z66" s="35">
        <f>QUARTILE(K66:V66,1)</f>
        <v>-0.76818973658313661</v>
      </c>
      <c r="AA66" s="36">
        <f>MEDIAN(K66:V66)</f>
        <v>-0.76818973658313661</v>
      </c>
      <c r="AB66" s="35">
        <f>QUARTILE(K66:V66,3)</f>
        <v>-0.76818973658313661</v>
      </c>
      <c r="AC66" s="35">
        <f>MAX(K66:V66)</f>
        <v>-0.76818973658313661</v>
      </c>
      <c r="AD66" s="35" t="e">
        <f>SKEW(K66:V66)</f>
        <v>#DIV/0!</v>
      </c>
      <c r="AE66" s="35" t="e">
        <f>KURT(K66:V66)</f>
        <v>#DIV/0!</v>
      </c>
    </row>
    <row r="67" spans="2:31" x14ac:dyDescent="0.2">
      <c r="B67" s="34">
        <f>[52]FormattedData!A65</f>
        <v>0</v>
      </c>
      <c r="C67" s="34" t="e">
        <f>VLOOKUP($B67,[52]TrtCodes!$B$11:I108,2)</f>
        <v>#N/A</v>
      </c>
      <c r="D67" s="34" t="e">
        <f>VLOOKUP($B67,[52]TrtCodes!$B$11:J108,3)</f>
        <v>#N/A</v>
      </c>
      <c r="E67" s="34" t="e">
        <f>VLOOKUP($B67,[52]TrtCodes!$B$11:K108,4)</f>
        <v>#N/A</v>
      </c>
      <c r="F67" s="34" t="e">
        <f>VLOOKUP($B67,[52]TrtCodes!$B$11:L108,5)</f>
        <v>#N/A</v>
      </c>
      <c r="G67" s="34" t="e">
        <f>VLOOKUP($B67,[52]TrtCodes!$B$11:M108,6)</f>
        <v>#N/A</v>
      </c>
      <c r="H67" s="34" t="e">
        <f>VLOOKUP($B67,[52]TrtCodes!$B$11:N108,7)</f>
        <v>#N/A</v>
      </c>
      <c r="I67" s="34">
        <f>[52]FormattedData!B65</f>
        <v>0</v>
      </c>
      <c r="J67" s="37">
        <f>[52]FormattedData!C65</f>
        <v>0</v>
      </c>
      <c r="K67" s="39">
        <f>$J$3+[52]FormattedData!D65*$J$4+$M$4*$J$5+[52]FormattedData!D65^2*$J$6+$M$5*$J$7</f>
        <v>-0.76818973658313661</v>
      </c>
      <c r="L67" s="39">
        <f>$J$3+[52]FormattedData!E65*$J$4+$M$4*$J$5+[52]FormattedData!E65^2*$J$6+$M$5*$J$7</f>
        <v>-0.76818973658313661</v>
      </c>
      <c r="M67" s="39">
        <f>$J$3+[52]FormattedData!F65*$J$4+$M$4*$J$5+[52]FormattedData!F65^2*$J$6+$M$5*$J$7</f>
        <v>-0.76818973658313661</v>
      </c>
      <c r="N67" s="39">
        <f>$J$3+[52]FormattedData!G65*$J$4+$M$4*$J$5+[52]FormattedData!G65^2*$J$6+$M$5*$J$7</f>
        <v>-0.76818973658313661</v>
      </c>
      <c r="O67" s="39">
        <f>$J$3+[52]FormattedData!H65*$J$4+$M$4*$J$5+[52]FormattedData!H65^2*$J$6+$M$5*$J$7</f>
        <v>-0.76818973658313661</v>
      </c>
      <c r="P67" s="39">
        <f>$J$3+[52]FormattedData!I65*$J$4+$M$4*$J$5+[52]FormattedData!I65^2*$J$6+$M$5*$J$7</f>
        <v>-0.76818973658313661</v>
      </c>
      <c r="Q67" s="39">
        <f>$J$3+[52]FormattedData!J65*$J$4+$M$4*$J$5+[52]FormattedData!J65^2*$J$6+$M$5*$J$7</f>
        <v>-0.76818973658313661</v>
      </c>
      <c r="R67" s="39">
        <f>$J$3+[52]FormattedData!K65*$J$4+$M$4*$J$5+[52]FormattedData!K65^2*$J$6+$M$5*$J$7</f>
        <v>-0.76818973658313661</v>
      </c>
      <c r="S67" s="39">
        <f>$J$3+[52]FormattedData!L65*$J$4+$M$4*$J$5+[52]FormattedData!L65^2*$J$6+$M$5*$J$7</f>
        <v>-0.76818973658313661</v>
      </c>
      <c r="T67" s="39">
        <f>$J$3+[52]FormattedData!M65*$J$4+$M$4*$J$5+[52]FormattedData!M65^2*$J$6+$M$5*$J$7</f>
        <v>-0.76818973658313661</v>
      </c>
      <c r="U67" s="39">
        <f>$J$3+[52]FormattedData!N65*$J$4+$M$4*$J$5+[52]FormattedData!N65^2*$J$6+$M$5*$J$7</f>
        <v>-0.76818973658313661</v>
      </c>
      <c r="V67" s="39">
        <f>$J$3+[52]FormattedData!O65*$J$4+$M$4*$J$5+[52]FormattedData!O65^2*$J$6+$M$5*$J$7</f>
        <v>-0.76818973658313661</v>
      </c>
      <c r="W67" s="38">
        <f>AVERAGE(K67:V67)</f>
        <v>-0.76818973658313661</v>
      </c>
      <c r="X67" s="37">
        <f>STDEV(K67:V67)/SQRT(COUNT(K67:V67))</f>
        <v>0</v>
      </c>
      <c r="Y67" s="36">
        <f>MIN(K67:V67)</f>
        <v>-0.76818973658313661</v>
      </c>
      <c r="Z67" s="35">
        <f>QUARTILE(K67:V67,1)</f>
        <v>-0.76818973658313661</v>
      </c>
      <c r="AA67" s="36">
        <f>MEDIAN(K67:V67)</f>
        <v>-0.76818973658313661</v>
      </c>
      <c r="AB67" s="35">
        <f>QUARTILE(K67:V67,3)</f>
        <v>-0.76818973658313661</v>
      </c>
      <c r="AC67" s="35">
        <f>MAX(K67:V67)</f>
        <v>-0.76818973658313661</v>
      </c>
      <c r="AD67" s="35" t="e">
        <f>SKEW(K67:V67)</f>
        <v>#DIV/0!</v>
      </c>
      <c r="AE67" s="35" t="e">
        <f>KURT(K67:V67)</f>
        <v>#DIV/0!</v>
      </c>
    </row>
    <row r="68" spans="2:31" x14ac:dyDescent="0.2">
      <c r="B68" s="34">
        <f>[52]FormattedData!A67</f>
        <v>0</v>
      </c>
      <c r="C68" s="34" t="e">
        <f>VLOOKUP($B68,[52]TrtCodes!$B$11:I110,2)</f>
        <v>#N/A</v>
      </c>
      <c r="D68" s="34" t="e">
        <f>VLOOKUP($B68,[52]TrtCodes!$B$11:J110,3)</f>
        <v>#N/A</v>
      </c>
      <c r="E68" s="34" t="e">
        <f>VLOOKUP($B68,[52]TrtCodes!$B$11:K110,4)</f>
        <v>#N/A</v>
      </c>
      <c r="F68" s="34" t="e">
        <f>VLOOKUP($B68,[52]TrtCodes!$B$11:L110,5)</f>
        <v>#N/A</v>
      </c>
      <c r="G68" s="34" t="e">
        <f>VLOOKUP($B68,[52]TrtCodes!$B$11:M110,6)</f>
        <v>#N/A</v>
      </c>
      <c r="H68" s="34" t="e">
        <f>VLOOKUP($B68,[52]TrtCodes!$B$11:N110,7)</f>
        <v>#N/A</v>
      </c>
      <c r="I68" s="34">
        <f>[52]FormattedData!B67</f>
        <v>0</v>
      </c>
      <c r="J68" s="37">
        <f>[52]FormattedData!C67</f>
        <v>0</v>
      </c>
      <c r="K68" s="39">
        <f>$J$3+[52]FormattedData!D67*$J$4+$M$4*$J$5+[52]FormattedData!D67^2*$J$6+$M$5*$J$7</f>
        <v>-0.76818973658313661</v>
      </c>
      <c r="L68" s="39">
        <f>$J$3+[52]FormattedData!E67*$J$4+$M$4*$J$5+[52]FormattedData!E67^2*$J$6+$M$5*$J$7</f>
        <v>-0.76818973658313661</v>
      </c>
      <c r="M68" s="39">
        <f>$J$3+[52]FormattedData!F67*$J$4+$M$4*$J$5+[52]FormattedData!F67^2*$J$6+$M$5*$J$7</f>
        <v>-0.76818973658313661</v>
      </c>
      <c r="N68" s="39">
        <f>$J$3+[52]FormattedData!G67*$J$4+$M$4*$J$5+[52]FormattedData!G67^2*$J$6+$M$5*$J$7</f>
        <v>-0.76818973658313661</v>
      </c>
      <c r="O68" s="39">
        <f>$J$3+[52]FormattedData!H67*$J$4+$M$4*$J$5+[52]FormattedData!H67^2*$J$6+$M$5*$J$7</f>
        <v>-0.76818973658313661</v>
      </c>
      <c r="P68" s="39">
        <f>$J$3+[52]FormattedData!I67*$J$4+$M$4*$J$5+[52]FormattedData!I67^2*$J$6+$M$5*$J$7</f>
        <v>-0.76818973658313661</v>
      </c>
      <c r="Q68" s="39">
        <f>$J$3+[52]FormattedData!J67*$J$4+$M$4*$J$5+[52]FormattedData!J67^2*$J$6+$M$5*$J$7</f>
        <v>-0.76818973658313661</v>
      </c>
      <c r="R68" s="39">
        <f>$J$3+[52]FormattedData!K67*$J$4+$M$4*$J$5+[52]FormattedData!K67^2*$J$6+$M$5*$J$7</f>
        <v>-0.76818973658313661</v>
      </c>
      <c r="S68" s="39">
        <f>$J$3+[52]FormattedData!L67*$J$4+$M$4*$J$5+[52]FormattedData!L67^2*$J$6+$M$5*$J$7</f>
        <v>-0.76818973658313661</v>
      </c>
      <c r="T68" s="39">
        <f>$J$3+[52]FormattedData!M67*$J$4+$M$4*$J$5+[52]FormattedData!M67^2*$J$6+$M$5*$J$7</f>
        <v>-0.76818973658313661</v>
      </c>
      <c r="U68" s="39">
        <f>$J$3+[52]FormattedData!N67*$J$4+$M$4*$J$5+[52]FormattedData!N67^2*$J$6+$M$5*$J$7</f>
        <v>-0.76818973658313661</v>
      </c>
      <c r="V68" s="39">
        <f>$J$3+[52]FormattedData!O67*$J$4+$M$4*$J$5+[52]FormattedData!O67^2*$J$6+$M$5*$J$7</f>
        <v>-0.76818973658313661</v>
      </c>
      <c r="W68" s="38">
        <f>AVERAGE(K68:V68)</f>
        <v>-0.76818973658313661</v>
      </c>
      <c r="X68" s="37">
        <f>STDEV(K68:V68)/SQRT(COUNT(K68:V68))</f>
        <v>0</v>
      </c>
      <c r="Y68" s="36">
        <f>MIN(K68:V68)</f>
        <v>-0.76818973658313661</v>
      </c>
      <c r="Z68" s="35">
        <f>QUARTILE(K68:V68,1)</f>
        <v>-0.76818973658313661</v>
      </c>
      <c r="AA68" s="36">
        <f>MEDIAN(K68:V68)</f>
        <v>-0.76818973658313661</v>
      </c>
      <c r="AB68" s="35">
        <f>QUARTILE(K68:V68,3)</f>
        <v>-0.76818973658313661</v>
      </c>
      <c r="AC68" s="35">
        <f>MAX(K68:V68)</f>
        <v>-0.76818973658313661</v>
      </c>
      <c r="AD68" s="35" t="e">
        <f>SKEW(K68:V68)</f>
        <v>#DIV/0!</v>
      </c>
      <c r="AE68" s="35" t="e">
        <f>KURT(K68:V68)</f>
        <v>#DIV/0!</v>
      </c>
    </row>
    <row r="69" spans="2:31" x14ac:dyDescent="0.2">
      <c r="B69" s="34">
        <f>[52]FormattedData!A69</f>
        <v>0</v>
      </c>
      <c r="C69" s="34" t="e">
        <f>VLOOKUP($B69,[52]TrtCodes!$B$11:I112,2)</f>
        <v>#N/A</v>
      </c>
      <c r="D69" s="34" t="e">
        <f>VLOOKUP($B69,[52]TrtCodes!$B$11:J112,3)</f>
        <v>#N/A</v>
      </c>
      <c r="E69" s="34" t="e">
        <f>VLOOKUP($B69,[52]TrtCodes!$B$11:K112,4)</f>
        <v>#N/A</v>
      </c>
      <c r="F69" s="34" t="e">
        <f>VLOOKUP($B69,[52]TrtCodes!$B$11:L112,5)</f>
        <v>#N/A</v>
      </c>
      <c r="G69" s="34" t="e">
        <f>VLOOKUP($B69,[52]TrtCodes!$B$11:M112,6)</f>
        <v>#N/A</v>
      </c>
      <c r="H69" s="34" t="e">
        <f>VLOOKUP($B69,[52]TrtCodes!$B$11:N112,7)</f>
        <v>#N/A</v>
      </c>
      <c r="I69" s="34">
        <f>[52]FormattedData!B69</f>
        <v>0</v>
      </c>
      <c r="J69" s="37">
        <f>[52]FormattedData!C69</f>
        <v>0</v>
      </c>
      <c r="K69" s="39">
        <f>$J$3+[52]FormattedData!D69*$J$4+$M$4*$J$5+[52]FormattedData!D69^2*$J$6+$M$5*$J$7</f>
        <v>-0.76818973658313661</v>
      </c>
      <c r="L69" s="39">
        <f>$J$3+[52]FormattedData!E69*$J$4+$M$4*$J$5+[52]FormattedData!E69^2*$J$6+$M$5*$J$7</f>
        <v>-0.76818973658313661</v>
      </c>
      <c r="M69" s="39">
        <f>$J$3+[52]FormattedData!F69*$J$4+$M$4*$J$5+[52]FormattedData!F69^2*$J$6+$M$5*$J$7</f>
        <v>-0.76818973658313661</v>
      </c>
      <c r="N69" s="39">
        <f>$J$3+[52]FormattedData!G69*$J$4+$M$4*$J$5+[52]FormattedData!G69^2*$J$6+$M$5*$J$7</f>
        <v>-0.76818973658313661</v>
      </c>
      <c r="O69" s="39">
        <f>$J$3+[52]FormattedData!H69*$J$4+$M$4*$J$5+[52]FormattedData!H69^2*$J$6+$M$5*$J$7</f>
        <v>-0.76818973658313661</v>
      </c>
      <c r="P69" s="39">
        <f>$J$3+[52]FormattedData!I69*$J$4+$M$4*$J$5+[52]FormattedData!I69^2*$J$6+$M$5*$J$7</f>
        <v>-0.76818973658313661</v>
      </c>
      <c r="Q69" s="39">
        <f>$J$3+[52]FormattedData!J69*$J$4+$M$4*$J$5+[52]FormattedData!J69^2*$J$6+$M$5*$J$7</f>
        <v>-0.76818973658313661</v>
      </c>
      <c r="R69" s="39">
        <f>$J$3+[52]FormattedData!K69*$J$4+$M$4*$J$5+[52]FormattedData!K69^2*$J$6+$M$5*$J$7</f>
        <v>-0.76818973658313661</v>
      </c>
      <c r="S69" s="39">
        <f>$J$3+[52]FormattedData!L69*$J$4+$M$4*$J$5+[52]FormattedData!L69^2*$J$6+$M$5*$J$7</f>
        <v>-0.76818973658313661</v>
      </c>
      <c r="T69" s="39">
        <f>$J$3+[52]FormattedData!M69*$J$4+$M$4*$J$5+[52]FormattedData!M69^2*$J$6+$M$5*$J$7</f>
        <v>-0.76818973658313661</v>
      </c>
      <c r="U69" s="39">
        <f>$J$3+[52]FormattedData!N69*$J$4+$M$4*$J$5+[52]FormattedData!N69^2*$J$6+$M$5*$J$7</f>
        <v>-0.76818973658313661</v>
      </c>
      <c r="V69" s="39">
        <f>$J$3+[52]FormattedData!O69*$J$4+$M$4*$J$5+[52]FormattedData!O69^2*$J$6+$M$5*$J$7</f>
        <v>-0.76818973658313661</v>
      </c>
      <c r="W69" s="38">
        <f>AVERAGE(K69:V69)</f>
        <v>-0.76818973658313661</v>
      </c>
      <c r="X69" s="37">
        <f>STDEV(K69:V69)/SQRT(COUNT(K69:V69))</f>
        <v>0</v>
      </c>
      <c r="Y69" s="36">
        <f>MIN(K69:V69)</f>
        <v>-0.76818973658313661</v>
      </c>
      <c r="Z69" s="35">
        <f>QUARTILE(K69:V69,1)</f>
        <v>-0.76818973658313661</v>
      </c>
      <c r="AA69" s="36">
        <f>MEDIAN(K69:V69)</f>
        <v>-0.76818973658313661</v>
      </c>
      <c r="AB69" s="35">
        <f>QUARTILE(K69:V69,3)</f>
        <v>-0.76818973658313661</v>
      </c>
      <c r="AC69" s="35">
        <f>MAX(K69:V69)</f>
        <v>-0.76818973658313661</v>
      </c>
      <c r="AD69" s="35" t="e">
        <f>SKEW(K69:V69)</f>
        <v>#DIV/0!</v>
      </c>
      <c r="AE69" s="35" t="e">
        <f>KURT(K69:V69)</f>
        <v>#DIV/0!</v>
      </c>
    </row>
    <row r="70" spans="2:31" x14ac:dyDescent="0.2">
      <c r="B70" s="34">
        <f>[52]FormattedData!A71</f>
        <v>0</v>
      </c>
      <c r="C70" s="34" t="e">
        <f>VLOOKUP($B70,[52]TrtCodes!$B$11:I114,2)</f>
        <v>#N/A</v>
      </c>
      <c r="D70" s="34" t="e">
        <f>VLOOKUP($B70,[52]TrtCodes!$B$11:J114,3)</f>
        <v>#N/A</v>
      </c>
      <c r="E70" s="34" t="e">
        <f>VLOOKUP($B70,[52]TrtCodes!$B$11:K114,4)</f>
        <v>#N/A</v>
      </c>
      <c r="F70" s="34" t="e">
        <f>VLOOKUP($B70,[52]TrtCodes!$B$11:L114,5)</f>
        <v>#N/A</v>
      </c>
      <c r="G70" s="34" t="e">
        <f>VLOOKUP($B70,[52]TrtCodes!$B$11:M114,6)</f>
        <v>#N/A</v>
      </c>
      <c r="H70" s="34" t="e">
        <f>VLOOKUP($B70,[52]TrtCodes!$B$11:N114,7)</f>
        <v>#N/A</v>
      </c>
      <c r="I70" s="34">
        <f>[52]FormattedData!B71</f>
        <v>0</v>
      </c>
      <c r="J70" s="37">
        <f>[52]FormattedData!C71</f>
        <v>0</v>
      </c>
      <c r="K70" s="39">
        <f>$J$3+[52]FormattedData!D71*$J$4+$M$4*$J$5+[52]FormattedData!D71^2*$J$6+$M$5*$J$7</f>
        <v>-0.76818973658313661</v>
      </c>
      <c r="L70" s="39">
        <f>$J$3+[52]FormattedData!E71*$J$4+$M$4*$J$5+[52]FormattedData!E71^2*$J$6+$M$5*$J$7</f>
        <v>-0.76818973658313661</v>
      </c>
      <c r="M70" s="39">
        <f>$J$3+[52]FormattedData!F71*$J$4+$M$4*$J$5+[52]FormattedData!F71^2*$J$6+$M$5*$J$7</f>
        <v>-0.76818973658313661</v>
      </c>
      <c r="N70" s="39">
        <f>$J$3+[52]FormattedData!G71*$J$4+$M$4*$J$5+[52]FormattedData!G71^2*$J$6+$M$5*$J$7</f>
        <v>-0.76818973658313661</v>
      </c>
      <c r="O70" s="39">
        <f>$J$3+[52]FormattedData!H71*$J$4+$M$4*$J$5+[52]FormattedData!H71^2*$J$6+$M$5*$J$7</f>
        <v>-0.76818973658313661</v>
      </c>
      <c r="P70" s="39">
        <f>$J$3+[52]FormattedData!I71*$J$4+$M$4*$J$5+[52]FormattedData!I71^2*$J$6+$M$5*$J$7</f>
        <v>-0.76818973658313661</v>
      </c>
      <c r="Q70" s="39">
        <f>$J$3+[52]FormattedData!J71*$J$4+$M$4*$J$5+[52]FormattedData!J71^2*$J$6+$M$5*$J$7</f>
        <v>-0.76818973658313661</v>
      </c>
      <c r="R70" s="39">
        <f>$J$3+[52]FormattedData!K71*$J$4+$M$4*$J$5+[52]FormattedData!K71^2*$J$6+$M$5*$J$7</f>
        <v>-0.76818973658313661</v>
      </c>
      <c r="S70" s="39">
        <f>$J$3+[52]FormattedData!L71*$J$4+$M$4*$J$5+[52]FormattedData!L71^2*$J$6+$M$5*$J$7</f>
        <v>-0.76818973658313661</v>
      </c>
      <c r="T70" s="39">
        <f>$J$3+[52]FormattedData!M71*$J$4+$M$4*$J$5+[52]FormattedData!M71^2*$J$6+$M$5*$J$7</f>
        <v>-0.76818973658313661</v>
      </c>
      <c r="U70" s="39">
        <f>$J$3+[52]FormattedData!N71*$J$4+$M$4*$J$5+[52]FormattedData!N71^2*$J$6+$M$5*$J$7</f>
        <v>-0.76818973658313661</v>
      </c>
      <c r="V70" s="39">
        <f>$J$3+[52]FormattedData!O71*$J$4+$M$4*$J$5+[52]FormattedData!O71^2*$J$6+$M$5*$J$7</f>
        <v>-0.76818973658313661</v>
      </c>
      <c r="W70" s="38">
        <f>AVERAGE(K70:V70)</f>
        <v>-0.76818973658313661</v>
      </c>
      <c r="X70" s="37">
        <f>STDEV(K70:V70)/SQRT(COUNT(K70:V70))</f>
        <v>0</v>
      </c>
      <c r="Y70" s="36">
        <f>MIN(K70:V70)</f>
        <v>-0.76818973658313661</v>
      </c>
      <c r="Z70" s="35">
        <f>QUARTILE(K70:V70,1)</f>
        <v>-0.76818973658313661</v>
      </c>
      <c r="AA70" s="36">
        <f>MEDIAN(K70:V70)</f>
        <v>-0.76818973658313661</v>
      </c>
      <c r="AB70" s="35">
        <f>QUARTILE(K70:V70,3)</f>
        <v>-0.76818973658313661</v>
      </c>
      <c r="AC70" s="35">
        <f>MAX(K70:V70)</f>
        <v>-0.76818973658313661</v>
      </c>
      <c r="AD70" s="35" t="e">
        <f>SKEW(K70:V70)</f>
        <v>#DIV/0!</v>
      </c>
      <c r="AE70" s="35" t="e">
        <f>KURT(K70:V70)</f>
        <v>#DIV/0!</v>
      </c>
    </row>
    <row r="71" spans="2:31" x14ac:dyDescent="0.2">
      <c r="B71" s="34">
        <f>[52]FormattedData!A73</f>
        <v>0</v>
      </c>
      <c r="C71" s="34" t="e">
        <f>VLOOKUP($B71,[52]TrtCodes!$B$11:I116,2)</f>
        <v>#N/A</v>
      </c>
      <c r="D71" s="34" t="e">
        <f>VLOOKUP($B71,[52]TrtCodes!$B$11:J116,3)</f>
        <v>#N/A</v>
      </c>
      <c r="E71" s="34" t="e">
        <f>VLOOKUP($B71,[52]TrtCodes!$B$11:K116,4)</f>
        <v>#N/A</v>
      </c>
      <c r="F71" s="34" t="e">
        <f>VLOOKUP($B71,[52]TrtCodes!$B$11:L116,5)</f>
        <v>#N/A</v>
      </c>
      <c r="G71" s="34" t="e">
        <f>VLOOKUP($B71,[52]TrtCodes!$B$11:M116,6)</f>
        <v>#N/A</v>
      </c>
      <c r="H71" s="34" t="e">
        <f>VLOOKUP($B71,[52]TrtCodes!$B$11:N116,7)</f>
        <v>#N/A</v>
      </c>
      <c r="I71" s="34">
        <f>[52]FormattedData!B73</f>
        <v>0</v>
      </c>
      <c r="J71" s="37">
        <f>[52]FormattedData!C73</f>
        <v>0</v>
      </c>
      <c r="K71" s="39">
        <f>$J$3+[52]FormattedData!D73*$J$4+$M$4*$J$5+[52]FormattedData!D73^2*$J$6+$M$5*$J$7</f>
        <v>-0.76818973658313661</v>
      </c>
      <c r="L71" s="39">
        <f>$J$3+[52]FormattedData!E73*$J$4+$M$4*$J$5+[52]FormattedData!E73^2*$J$6+$M$5*$J$7</f>
        <v>-0.76818973658313661</v>
      </c>
      <c r="M71" s="39">
        <f>$J$3+[52]FormattedData!F73*$J$4+$M$4*$J$5+[52]FormattedData!F73^2*$J$6+$M$5*$J$7</f>
        <v>-0.76818973658313661</v>
      </c>
      <c r="N71" s="39">
        <f>$J$3+[52]FormattedData!G73*$J$4+$M$4*$J$5+[52]FormattedData!G73^2*$J$6+$M$5*$J$7</f>
        <v>-0.76818973658313661</v>
      </c>
      <c r="O71" s="39">
        <f>$J$3+[52]FormattedData!H73*$J$4+$M$4*$J$5+[52]FormattedData!H73^2*$J$6+$M$5*$J$7</f>
        <v>-0.76818973658313661</v>
      </c>
      <c r="P71" s="39">
        <f>$J$3+[52]FormattedData!I73*$J$4+$M$4*$J$5+[52]FormattedData!I73^2*$J$6+$M$5*$J$7</f>
        <v>-0.76818973658313661</v>
      </c>
      <c r="Q71" s="39">
        <f>$J$3+[52]FormattedData!J73*$J$4+$M$4*$J$5+[52]FormattedData!J73^2*$J$6+$M$5*$J$7</f>
        <v>-0.76818973658313661</v>
      </c>
      <c r="R71" s="39">
        <f>$J$3+[52]FormattedData!K73*$J$4+$M$4*$J$5+[52]FormattedData!K73^2*$J$6+$M$5*$J$7</f>
        <v>-0.76818973658313661</v>
      </c>
      <c r="S71" s="39">
        <f>$J$3+[52]FormattedData!L73*$J$4+$M$4*$J$5+[52]FormattedData!L73^2*$J$6+$M$5*$J$7</f>
        <v>-0.76818973658313661</v>
      </c>
      <c r="T71" s="39">
        <f>$J$3+[52]FormattedData!M73*$J$4+$M$4*$J$5+[52]FormattedData!M73^2*$J$6+$M$5*$J$7</f>
        <v>-0.76818973658313661</v>
      </c>
      <c r="U71" s="39">
        <f>$J$3+[52]FormattedData!N73*$J$4+$M$4*$J$5+[52]FormattedData!N73^2*$J$6+$M$5*$J$7</f>
        <v>-0.76818973658313661</v>
      </c>
      <c r="V71" s="39">
        <f>$J$3+[52]FormattedData!O73*$J$4+$M$4*$J$5+[52]FormattedData!O73^2*$J$6+$M$5*$J$7</f>
        <v>-0.76818973658313661</v>
      </c>
      <c r="W71" s="38">
        <f>AVERAGE(K71:V71)</f>
        <v>-0.76818973658313661</v>
      </c>
      <c r="X71" s="37">
        <f>STDEV(K71:V71)/SQRT(COUNT(K71:V71))</f>
        <v>0</v>
      </c>
      <c r="Y71" s="36">
        <f>MIN(K71:V71)</f>
        <v>-0.76818973658313661</v>
      </c>
      <c r="Z71" s="35">
        <f>QUARTILE(K71:V71,1)</f>
        <v>-0.76818973658313661</v>
      </c>
      <c r="AA71" s="36">
        <f>MEDIAN(K71:V71)</f>
        <v>-0.76818973658313661</v>
      </c>
      <c r="AB71" s="35">
        <f>QUARTILE(K71:V71,3)</f>
        <v>-0.76818973658313661</v>
      </c>
      <c r="AC71" s="35">
        <f>MAX(K71:V71)</f>
        <v>-0.76818973658313661</v>
      </c>
      <c r="AD71" s="35" t="e">
        <f>SKEW(K71:V71)</f>
        <v>#DIV/0!</v>
      </c>
      <c r="AE71" s="35" t="e">
        <f>KURT(K71:V71)</f>
        <v>#DIV/0!</v>
      </c>
    </row>
    <row r="72" spans="2:31" x14ac:dyDescent="0.2">
      <c r="B72" s="34">
        <f>[52]FormattedData!A75</f>
        <v>0</v>
      </c>
      <c r="C72" s="34" t="e">
        <f>VLOOKUP($B72,[52]TrtCodes!$B$11:I118,2)</f>
        <v>#N/A</v>
      </c>
      <c r="D72" s="34" t="e">
        <f>VLOOKUP($B72,[52]TrtCodes!$B$11:J118,3)</f>
        <v>#N/A</v>
      </c>
      <c r="E72" s="34" t="e">
        <f>VLOOKUP($B72,[52]TrtCodes!$B$11:K118,4)</f>
        <v>#N/A</v>
      </c>
      <c r="F72" s="34" t="e">
        <f>VLOOKUP($B72,[52]TrtCodes!$B$11:L118,5)</f>
        <v>#N/A</v>
      </c>
      <c r="G72" s="34" t="e">
        <f>VLOOKUP($B72,[52]TrtCodes!$B$11:M118,6)</f>
        <v>#N/A</v>
      </c>
      <c r="H72" s="34" t="e">
        <f>VLOOKUP($B72,[52]TrtCodes!$B$11:N118,7)</f>
        <v>#N/A</v>
      </c>
      <c r="I72" s="34">
        <f>[52]FormattedData!B75</f>
        <v>0</v>
      </c>
      <c r="J72" s="37">
        <f>[52]FormattedData!C75</f>
        <v>0</v>
      </c>
      <c r="K72" s="39">
        <f>$J$3+[52]FormattedData!D75*$J$4+$M$4*$J$5+[52]FormattedData!D75^2*$J$6+$M$5*$J$7</f>
        <v>-0.76818973658313661</v>
      </c>
      <c r="L72" s="39">
        <f>$J$3+[52]FormattedData!E75*$J$4+$M$4*$J$5+[52]FormattedData!E75^2*$J$6+$M$5*$J$7</f>
        <v>-0.76818973658313661</v>
      </c>
      <c r="M72" s="39">
        <f>$J$3+[52]FormattedData!F75*$J$4+$M$4*$J$5+[52]FormattedData!F75^2*$J$6+$M$5*$J$7</f>
        <v>-0.76818973658313661</v>
      </c>
      <c r="N72" s="39">
        <f>$J$3+[52]FormattedData!G75*$J$4+$M$4*$J$5+[52]FormattedData!G75^2*$J$6+$M$5*$J$7</f>
        <v>-0.76818973658313661</v>
      </c>
      <c r="O72" s="39">
        <f>$J$3+[52]FormattedData!H75*$J$4+$M$4*$J$5+[52]FormattedData!H75^2*$J$6+$M$5*$J$7</f>
        <v>-0.76818973658313661</v>
      </c>
      <c r="P72" s="39">
        <f>$J$3+[52]FormattedData!I75*$J$4+$M$4*$J$5+[52]FormattedData!I75^2*$J$6+$M$5*$J$7</f>
        <v>-0.76818973658313661</v>
      </c>
      <c r="Q72" s="39">
        <f>$J$3+[52]FormattedData!J75*$J$4+$M$4*$J$5+[52]FormattedData!J75^2*$J$6+$M$5*$J$7</f>
        <v>-0.76818973658313661</v>
      </c>
      <c r="R72" s="39">
        <f>$J$3+[52]FormattedData!K75*$J$4+$M$4*$J$5+[52]FormattedData!K75^2*$J$6+$M$5*$J$7</f>
        <v>-0.76818973658313661</v>
      </c>
      <c r="S72" s="39">
        <f>$J$3+[52]FormattedData!L75*$J$4+$M$4*$J$5+[52]FormattedData!L75^2*$J$6+$M$5*$J$7</f>
        <v>-0.76818973658313661</v>
      </c>
      <c r="T72" s="39">
        <f>$J$3+[52]FormattedData!M75*$J$4+$M$4*$J$5+[52]FormattedData!M75^2*$J$6+$M$5*$J$7</f>
        <v>-0.76818973658313661</v>
      </c>
      <c r="U72" s="39">
        <f>$J$3+[52]FormattedData!N75*$J$4+$M$4*$J$5+[52]FormattedData!N75^2*$J$6+$M$5*$J$7</f>
        <v>-0.76818973658313661</v>
      </c>
      <c r="V72" s="39">
        <f>$J$3+[52]FormattedData!O75*$J$4+$M$4*$J$5+[52]FormattedData!O75^2*$J$6+$M$5*$J$7</f>
        <v>-0.76818973658313661</v>
      </c>
      <c r="W72" s="38">
        <f>AVERAGE(K72:V72)</f>
        <v>-0.76818973658313661</v>
      </c>
      <c r="X72" s="37">
        <f>STDEV(K72:V72)/SQRT(COUNT(K72:V72))</f>
        <v>0</v>
      </c>
      <c r="Y72" s="36">
        <f>MIN(K72:V72)</f>
        <v>-0.76818973658313661</v>
      </c>
      <c r="Z72" s="35">
        <f>QUARTILE(K72:V72,1)</f>
        <v>-0.76818973658313661</v>
      </c>
      <c r="AA72" s="36">
        <f>MEDIAN(K72:V72)</f>
        <v>-0.76818973658313661</v>
      </c>
      <c r="AB72" s="35">
        <f>QUARTILE(K72:V72,3)</f>
        <v>-0.76818973658313661</v>
      </c>
      <c r="AC72" s="35">
        <f>MAX(K72:V72)</f>
        <v>-0.76818973658313661</v>
      </c>
      <c r="AD72" s="35" t="e">
        <f>SKEW(K72:V72)</f>
        <v>#DIV/0!</v>
      </c>
      <c r="AE72" s="35" t="e">
        <f>KURT(K72:V72)</f>
        <v>#DIV/0!</v>
      </c>
    </row>
    <row r="73" spans="2:31" x14ac:dyDescent="0.2">
      <c r="B73" s="34">
        <f>[52]FormattedData!A77</f>
        <v>0</v>
      </c>
      <c r="C73" s="34" t="e">
        <f>VLOOKUP($B73,[52]TrtCodes!$B$11:I120,2)</f>
        <v>#N/A</v>
      </c>
      <c r="D73" s="34" t="e">
        <f>VLOOKUP($B73,[52]TrtCodes!$B$11:J120,3)</f>
        <v>#N/A</v>
      </c>
      <c r="E73" s="34" t="e">
        <f>VLOOKUP($B73,[52]TrtCodes!$B$11:K120,4)</f>
        <v>#N/A</v>
      </c>
      <c r="F73" s="34" t="e">
        <f>VLOOKUP($B73,[52]TrtCodes!$B$11:L120,5)</f>
        <v>#N/A</v>
      </c>
      <c r="G73" s="34" t="e">
        <f>VLOOKUP($B73,[52]TrtCodes!$B$11:M120,6)</f>
        <v>#N/A</v>
      </c>
      <c r="H73" s="34" t="e">
        <f>VLOOKUP($B73,[52]TrtCodes!$B$11:N120,7)</f>
        <v>#N/A</v>
      </c>
      <c r="I73" s="34">
        <f>[52]FormattedData!B77</f>
        <v>0</v>
      </c>
      <c r="J73" s="37">
        <f>[52]FormattedData!C77</f>
        <v>0</v>
      </c>
      <c r="K73" s="39">
        <f>$J$3+[52]FormattedData!D77*$J$4+$M$4*$J$5+[52]FormattedData!D77^2*$J$6+$M$5*$J$7</f>
        <v>-0.76818973658313661</v>
      </c>
      <c r="L73" s="39">
        <f>$J$3+[52]FormattedData!E77*$J$4+$M$4*$J$5+[52]FormattedData!E77^2*$J$6+$M$5*$J$7</f>
        <v>-0.76818973658313661</v>
      </c>
      <c r="M73" s="39">
        <f>$J$3+[52]FormattedData!F77*$J$4+$M$4*$J$5+[52]FormattedData!F77^2*$J$6+$M$5*$J$7</f>
        <v>-0.76818973658313661</v>
      </c>
      <c r="N73" s="39">
        <f>$J$3+[52]FormattedData!G77*$J$4+$M$4*$J$5+[52]FormattedData!G77^2*$J$6+$M$5*$J$7</f>
        <v>-0.76818973658313661</v>
      </c>
      <c r="O73" s="39">
        <f>$J$3+[52]FormattedData!H77*$J$4+$M$4*$J$5+[52]FormattedData!H77^2*$J$6+$M$5*$J$7</f>
        <v>-0.76818973658313661</v>
      </c>
      <c r="P73" s="39">
        <f>$J$3+[52]FormattedData!I77*$J$4+$M$4*$J$5+[52]FormattedData!I77^2*$J$6+$M$5*$J$7</f>
        <v>-0.76818973658313661</v>
      </c>
      <c r="Q73" s="39">
        <f>$J$3+[52]FormattedData!J77*$J$4+$M$4*$J$5+[52]FormattedData!J77^2*$J$6+$M$5*$J$7</f>
        <v>-0.76818973658313661</v>
      </c>
      <c r="R73" s="39">
        <f>$J$3+[52]FormattedData!K77*$J$4+$M$4*$J$5+[52]FormattedData!K77^2*$J$6+$M$5*$J$7</f>
        <v>-0.76818973658313661</v>
      </c>
      <c r="S73" s="39">
        <f>$J$3+[52]FormattedData!L77*$J$4+$M$4*$J$5+[52]FormattedData!L77^2*$J$6+$M$5*$J$7</f>
        <v>-0.76818973658313661</v>
      </c>
      <c r="T73" s="39">
        <f>$J$3+[52]FormattedData!M77*$J$4+$M$4*$J$5+[52]FormattedData!M77^2*$J$6+$M$5*$J$7</f>
        <v>-0.76818973658313661</v>
      </c>
      <c r="U73" s="39">
        <f>$J$3+[52]FormattedData!N77*$J$4+$M$4*$J$5+[52]FormattedData!N77^2*$J$6+$M$5*$J$7</f>
        <v>-0.76818973658313661</v>
      </c>
      <c r="V73" s="39">
        <f>$J$3+[52]FormattedData!O77*$J$4+$M$4*$J$5+[52]FormattedData!O77^2*$J$6+$M$5*$J$7</f>
        <v>-0.76818973658313661</v>
      </c>
      <c r="W73" s="38">
        <f>AVERAGE(K73:V73)</f>
        <v>-0.76818973658313661</v>
      </c>
      <c r="X73" s="37">
        <f>STDEV(K73:V73)/SQRT(COUNT(K73:V73))</f>
        <v>0</v>
      </c>
      <c r="Y73" s="36">
        <f>MIN(K73:V73)</f>
        <v>-0.76818973658313661</v>
      </c>
      <c r="Z73" s="35">
        <f>QUARTILE(K73:V73,1)</f>
        <v>-0.76818973658313661</v>
      </c>
      <c r="AA73" s="36">
        <f>MEDIAN(K73:V73)</f>
        <v>-0.76818973658313661</v>
      </c>
      <c r="AB73" s="35">
        <f>QUARTILE(K73:V73,3)</f>
        <v>-0.76818973658313661</v>
      </c>
      <c r="AC73" s="35">
        <f>MAX(K73:V73)</f>
        <v>-0.76818973658313661</v>
      </c>
      <c r="AD73" s="35" t="e">
        <f>SKEW(K73:V73)</f>
        <v>#DIV/0!</v>
      </c>
      <c r="AE73" s="35" t="e">
        <f>KURT(K73:V73)</f>
        <v>#DIV/0!</v>
      </c>
    </row>
    <row r="74" spans="2:31" x14ac:dyDescent="0.2">
      <c r="B74" s="34">
        <f>[52]FormattedData!A93</f>
        <v>0</v>
      </c>
      <c r="C74" s="34" t="e">
        <f>VLOOKUP($B74,[52]TrtCodes!$B$11:I130,2)</f>
        <v>#N/A</v>
      </c>
      <c r="D74" s="34" t="e">
        <f>VLOOKUP($B74,[52]TrtCodes!$B$11:J130,3)</f>
        <v>#N/A</v>
      </c>
      <c r="E74" s="34" t="e">
        <f>VLOOKUP($B74,[52]TrtCodes!$B$11:K130,4)</f>
        <v>#N/A</v>
      </c>
      <c r="F74" s="34" t="e">
        <f>VLOOKUP($B74,[52]TrtCodes!$B$11:L130,5)</f>
        <v>#N/A</v>
      </c>
      <c r="G74" s="34" t="e">
        <f>VLOOKUP($B74,[52]TrtCodes!$B$11:M130,6)</f>
        <v>#N/A</v>
      </c>
      <c r="H74" s="34" t="e">
        <f>VLOOKUP($B74,[52]TrtCodes!$B$11:N130,7)</f>
        <v>#N/A</v>
      </c>
      <c r="I74" s="34">
        <f>[52]FormattedData!B93</f>
        <v>0</v>
      </c>
      <c r="J74" s="37">
        <f>[52]FormattedData!C93</f>
        <v>0</v>
      </c>
      <c r="K74" s="39">
        <f>$J$3+[52]FormattedData!D93*$J$4+$M$4*$J$5+[52]FormattedData!D93^2*$J$6+$M$5*$J$7</f>
        <v>-0.76818973658313661</v>
      </c>
      <c r="L74" s="39">
        <f>$J$3+[52]FormattedData!E93*$J$4+$M$4*$J$5+[52]FormattedData!E93^2*$J$6+$M$5*$J$7</f>
        <v>-0.76818973658313661</v>
      </c>
      <c r="M74" s="39">
        <f>$J$3+[52]FormattedData!F93*$J$4+$M$4*$J$5+[52]FormattedData!F93^2*$J$6+$M$5*$J$7</f>
        <v>-0.76818973658313661</v>
      </c>
      <c r="N74" s="39">
        <f>$J$3+[52]FormattedData!G93*$J$4+$M$4*$J$5+[52]FormattedData!G93^2*$J$6+$M$5*$J$7</f>
        <v>-0.76818973658313661</v>
      </c>
      <c r="O74" s="39">
        <f>$J$3+[52]FormattedData!H93*$J$4+$M$4*$J$5+[52]FormattedData!H93^2*$J$6+$M$5*$J$7</f>
        <v>-0.76818973658313661</v>
      </c>
      <c r="P74" s="39">
        <f>$J$3+[52]FormattedData!I93*$J$4+$M$4*$J$5+[52]FormattedData!I93^2*$J$6+$M$5*$J$7</f>
        <v>-0.76818973658313661</v>
      </c>
      <c r="Q74" s="39">
        <f>$J$3+[52]FormattedData!J93*$J$4+$M$4*$J$5+[52]FormattedData!J93^2*$J$6+$M$5*$J$7</f>
        <v>-0.76818973658313661</v>
      </c>
      <c r="R74" s="39">
        <f>$J$3+[52]FormattedData!K93*$J$4+$M$4*$J$5+[52]FormattedData!K93^2*$J$6+$M$5*$J$7</f>
        <v>-0.76818973658313661</v>
      </c>
      <c r="S74" s="39">
        <f>$J$3+[52]FormattedData!L93*$J$4+$M$4*$J$5+[52]FormattedData!L93^2*$J$6+$M$5*$J$7</f>
        <v>-0.76818973658313661</v>
      </c>
      <c r="T74" s="39">
        <f>$J$3+[52]FormattedData!M93*$J$4+$M$4*$J$5+[52]FormattedData!M93^2*$J$6+$M$5*$J$7</f>
        <v>-0.76818973658313661</v>
      </c>
      <c r="U74" s="39">
        <f>$J$3+[52]FormattedData!N93*$J$4+$M$4*$J$5+[52]FormattedData!N93^2*$J$6+$M$5*$J$7</f>
        <v>-0.76818973658313661</v>
      </c>
      <c r="V74" s="39">
        <f>$J$3+[52]FormattedData!O93*$J$4+$M$4*$J$5+[52]FormattedData!O93^2*$J$6+$M$5*$J$7</f>
        <v>-0.76818973658313661</v>
      </c>
      <c r="W74" s="38">
        <f>AVERAGE(K74:V74)</f>
        <v>-0.76818973658313661</v>
      </c>
      <c r="X74" s="37">
        <f>STDEV(K74:V74)/SQRT(COUNT(K74:V74))</f>
        <v>0</v>
      </c>
      <c r="Y74" s="36">
        <f>MIN(K74:V74)</f>
        <v>-0.76818973658313661</v>
      </c>
      <c r="Z74" s="35">
        <f>QUARTILE(K74:V74,1)</f>
        <v>-0.76818973658313661</v>
      </c>
      <c r="AA74" s="36">
        <f>MEDIAN(K74:V74)</f>
        <v>-0.76818973658313661</v>
      </c>
      <c r="AB74" s="35">
        <f>QUARTILE(K74:V74,3)</f>
        <v>-0.76818973658313661</v>
      </c>
      <c r="AC74" s="35">
        <f>MAX(K74:V74)</f>
        <v>-0.76818973658313661</v>
      </c>
      <c r="AD74" s="35" t="e">
        <f>SKEW(K74:V74)</f>
        <v>#DIV/0!</v>
      </c>
      <c r="AE74" s="35" t="e">
        <f>KURT(K74:V74)</f>
        <v>#DIV/0!</v>
      </c>
    </row>
    <row r="75" spans="2:31" x14ac:dyDescent="0.2">
      <c r="B75" s="34">
        <f>[52]FormattedData!A91</f>
        <v>0</v>
      </c>
      <c r="C75" s="34" t="e">
        <f>VLOOKUP($B75,[52]TrtCodes!$B$11:I131,2)</f>
        <v>#N/A</v>
      </c>
      <c r="D75" s="34" t="e">
        <f>VLOOKUP($B75,[52]TrtCodes!$B$11:J131,3)</f>
        <v>#N/A</v>
      </c>
      <c r="E75" s="34" t="e">
        <f>VLOOKUP($B75,[52]TrtCodes!$B$11:K131,4)</f>
        <v>#N/A</v>
      </c>
      <c r="F75" s="34" t="e">
        <f>VLOOKUP($B75,[52]TrtCodes!$B$11:L131,5)</f>
        <v>#N/A</v>
      </c>
      <c r="G75" s="34" t="e">
        <f>VLOOKUP($B75,[52]TrtCodes!$B$11:M131,6)</f>
        <v>#N/A</v>
      </c>
      <c r="H75" s="34" t="e">
        <f>VLOOKUP($B75,[52]TrtCodes!$B$11:N131,7)</f>
        <v>#N/A</v>
      </c>
      <c r="I75" s="34">
        <f>[52]FormattedData!B91</f>
        <v>0</v>
      </c>
      <c r="J75" s="37">
        <f>[52]FormattedData!C91</f>
        <v>0</v>
      </c>
      <c r="K75" s="39">
        <f>$J$3+[52]FormattedData!D91*$J$4+$M$4*$J$5+[52]FormattedData!D91^2*$J$6+$M$5*$J$7</f>
        <v>-0.76818973658313661</v>
      </c>
      <c r="L75" s="39">
        <f>$J$3+[52]FormattedData!E91*$J$4+$M$4*$J$5+[52]FormattedData!E91^2*$J$6+$M$5*$J$7</f>
        <v>-0.76818973658313661</v>
      </c>
      <c r="M75" s="39">
        <f>$J$3+[52]FormattedData!F91*$J$4+$M$4*$J$5+[52]FormattedData!F91^2*$J$6+$M$5*$J$7</f>
        <v>-0.76818973658313661</v>
      </c>
      <c r="N75" s="39">
        <f>$J$3+[52]FormattedData!G91*$J$4+$M$4*$J$5+[52]FormattedData!G91^2*$J$6+$M$5*$J$7</f>
        <v>-0.76818973658313661</v>
      </c>
      <c r="O75" s="39">
        <f>$J$3+[52]FormattedData!H91*$J$4+$M$4*$J$5+[52]FormattedData!H91^2*$J$6+$M$5*$J$7</f>
        <v>-0.76818973658313661</v>
      </c>
      <c r="P75" s="39">
        <f>$J$3+[52]FormattedData!I91*$J$4+$M$4*$J$5+[52]FormattedData!I91^2*$J$6+$M$5*$J$7</f>
        <v>-0.76818973658313661</v>
      </c>
      <c r="Q75" s="39">
        <f>$J$3+[52]FormattedData!J91*$J$4+$M$4*$J$5+[52]FormattedData!J91^2*$J$6+$M$5*$J$7</f>
        <v>-0.76818973658313661</v>
      </c>
      <c r="R75" s="39">
        <f>$J$3+[52]FormattedData!K91*$J$4+$M$4*$J$5+[52]FormattedData!K91^2*$J$6+$M$5*$J$7</f>
        <v>-0.76818973658313661</v>
      </c>
      <c r="S75" s="39">
        <f>$J$3+[52]FormattedData!L91*$J$4+$M$4*$J$5+[52]FormattedData!L91^2*$J$6+$M$5*$J$7</f>
        <v>-0.76818973658313661</v>
      </c>
      <c r="T75" s="39">
        <f>$J$3+[52]FormattedData!M91*$J$4+$M$4*$J$5+[52]FormattedData!M91^2*$J$6+$M$5*$J$7</f>
        <v>-0.76818973658313661</v>
      </c>
      <c r="U75" s="39">
        <f>$J$3+[52]FormattedData!N91*$J$4+$M$4*$J$5+[52]FormattedData!N91^2*$J$6+$M$5*$J$7</f>
        <v>-0.76818973658313661</v>
      </c>
      <c r="V75" s="39">
        <f>$J$3+[52]FormattedData!O91*$J$4+$M$4*$J$5+[52]FormattedData!O91^2*$J$6+$M$5*$J$7</f>
        <v>-0.76818973658313661</v>
      </c>
      <c r="W75" s="38">
        <f>AVERAGE(K75:V75)</f>
        <v>-0.76818973658313661</v>
      </c>
      <c r="X75" s="37">
        <f>STDEV(K75:V75)/SQRT(COUNT(K75:V75))</f>
        <v>0</v>
      </c>
      <c r="Y75" s="36">
        <f>MIN(K75:V75)</f>
        <v>-0.76818973658313661</v>
      </c>
      <c r="Z75" s="35">
        <f>QUARTILE(K75:V75,1)</f>
        <v>-0.76818973658313661</v>
      </c>
      <c r="AA75" s="36">
        <f>MEDIAN(K75:V75)</f>
        <v>-0.76818973658313661</v>
      </c>
      <c r="AB75" s="35">
        <f>QUARTILE(K75:V75,3)</f>
        <v>-0.76818973658313661</v>
      </c>
      <c r="AC75" s="35">
        <f>MAX(K75:V75)</f>
        <v>-0.76818973658313661</v>
      </c>
      <c r="AD75" s="35" t="e">
        <f>SKEW(K75:V75)</f>
        <v>#DIV/0!</v>
      </c>
      <c r="AE75" s="35" t="e">
        <f>KURT(K75:V75)</f>
        <v>#DIV/0!</v>
      </c>
    </row>
    <row r="76" spans="2:31" x14ac:dyDescent="0.2">
      <c r="B76" s="34">
        <f>[52]FormattedData!A89</f>
        <v>0</v>
      </c>
      <c r="C76" s="34" t="e">
        <f>VLOOKUP($B76,[52]TrtCodes!$B$11:I132,2)</f>
        <v>#N/A</v>
      </c>
      <c r="D76" s="34" t="e">
        <f>VLOOKUP($B76,[52]TrtCodes!$B$11:J132,3)</f>
        <v>#N/A</v>
      </c>
      <c r="E76" s="34" t="e">
        <f>VLOOKUP($B76,[52]TrtCodes!$B$11:K132,4)</f>
        <v>#N/A</v>
      </c>
      <c r="F76" s="34" t="e">
        <f>VLOOKUP($B76,[52]TrtCodes!$B$11:L132,5)</f>
        <v>#N/A</v>
      </c>
      <c r="G76" s="34" t="e">
        <f>VLOOKUP($B76,[52]TrtCodes!$B$11:M132,6)</f>
        <v>#N/A</v>
      </c>
      <c r="H76" s="34" t="e">
        <f>VLOOKUP($B76,[52]TrtCodes!$B$11:N132,7)</f>
        <v>#N/A</v>
      </c>
      <c r="I76" s="34">
        <f>[52]FormattedData!B89</f>
        <v>0</v>
      </c>
      <c r="J76" s="37">
        <f>[52]FormattedData!C89</f>
        <v>0</v>
      </c>
      <c r="K76" s="39">
        <f>$J$3+[52]FormattedData!D89*$J$4+$M$4*$J$5+[52]FormattedData!D89^2*$J$6+$M$5*$J$7</f>
        <v>-0.76818973658313661</v>
      </c>
      <c r="L76" s="39">
        <f>$J$3+[52]FormattedData!E89*$J$4+$M$4*$J$5+[52]FormattedData!E89^2*$J$6+$M$5*$J$7</f>
        <v>-0.76818973658313661</v>
      </c>
      <c r="M76" s="39">
        <f>$J$3+[52]FormattedData!F89*$J$4+$M$4*$J$5+[52]FormattedData!F89^2*$J$6+$M$5*$J$7</f>
        <v>-0.76818973658313661</v>
      </c>
      <c r="N76" s="39">
        <f>$J$3+[52]FormattedData!G89*$J$4+$M$4*$J$5+[52]FormattedData!G89^2*$J$6+$M$5*$J$7</f>
        <v>-0.76818973658313661</v>
      </c>
      <c r="O76" s="39">
        <f>$J$3+[52]FormattedData!H89*$J$4+$M$4*$J$5+[52]FormattedData!H89^2*$J$6+$M$5*$J$7</f>
        <v>-0.76818973658313661</v>
      </c>
      <c r="P76" s="39">
        <f>$J$3+[52]FormattedData!I89*$J$4+$M$4*$J$5+[52]FormattedData!I89^2*$J$6+$M$5*$J$7</f>
        <v>-0.76818973658313661</v>
      </c>
      <c r="Q76" s="39">
        <f>$J$3+[52]FormattedData!J89*$J$4+$M$4*$J$5+[52]FormattedData!J89^2*$J$6+$M$5*$J$7</f>
        <v>-0.76818973658313661</v>
      </c>
      <c r="R76" s="39">
        <f>$J$3+[52]FormattedData!K89*$J$4+$M$4*$J$5+[52]FormattedData!K89^2*$J$6+$M$5*$J$7</f>
        <v>-0.76818973658313661</v>
      </c>
      <c r="S76" s="39">
        <f>$J$3+[52]FormattedData!L89*$J$4+$M$4*$J$5+[52]FormattedData!L89^2*$J$6+$M$5*$J$7</f>
        <v>-0.76818973658313661</v>
      </c>
      <c r="T76" s="39">
        <f>$J$3+[52]FormattedData!M89*$J$4+$M$4*$J$5+[52]FormattedData!M89^2*$J$6+$M$5*$J$7</f>
        <v>-0.76818973658313661</v>
      </c>
      <c r="U76" s="39">
        <f>$J$3+[52]FormattedData!N89*$J$4+$M$4*$J$5+[52]FormattedData!N89^2*$J$6+$M$5*$J$7</f>
        <v>-0.76818973658313661</v>
      </c>
      <c r="V76" s="39">
        <f>$J$3+[52]FormattedData!O89*$J$4+$M$4*$J$5+[52]FormattedData!O89^2*$J$6+$M$5*$J$7</f>
        <v>-0.76818973658313661</v>
      </c>
      <c r="W76" s="38">
        <f>AVERAGE(K76:V76)</f>
        <v>-0.76818973658313661</v>
      </c>
      <c r="X76" s="37">
        <f>STDEV(K76:V76)/SQRT(COUNT(K76:V76))</f>
        <v>0</v>
      </c>
      <c r="Y76" s="36">
        <f>MIN(K76:V76)</f>
        <v>-0.76818973658313661</v>
      </c>
      <c r="Z76" s="35">
        <f>QUARTILE(K76:V76,1)</f>
        <v>-0.76818973658313661</v>
      </c>
      <c r="AA76" s="36">
        <f>MEDIAN(K76:V76)</f>
        <v>-0.76818973658313661</v>
      </c>
      <c r="AB76" s="35">
        <f>QUARTILE(K76:V76,3)</f>
        <v>-0.76818973658313661</v>
      </c>
      <c r="AC76" s="35">
        <f>MAX(K76:V76)</f>
        <v>-0.76818973658313661</v>
      </c>
      <c r="AD76" s="35" t="e">
        <f>SKEW(K76:V76)</f>
        <v>#DIV/0!</v>
      </c>
      <c r="AE76" s="35" t="e">
        <f>KURT(K76:V76)</f>
        <v>#DIV/0!</v>
      </c>
    </row>
    <row r="77" spans="2:31" x14ac:dyDescent="0.2">
      <c r="B77" s="34">
        <f>[52]FormattedData!A87</f>
        <v>0</v>
      </c>
      <c r="C77" s="34" t="e">
        <f>VLOOKUP($B77,[52]TrtCodes!$B$11:I130,2)</f>
        <v>#N/A</v>
      </c>
      <c r="D77" s="34" t="e">
        <f>VLOOKUP($B77,[52]TrtCodes!$B$11:J130,3)</f>
        <v>#N/A</v>
      </c>
      <c r="E77" s="34" t="e">
        <f>VLOOKUP($B77,[52]TrtCodes!$B$11:K130,4)</f>
        <v>#N/A</v>
      </c>
      <c r="F77" s="34" t="e">
        <f>VLOOKUP($B77,[52]TrtCodes!$B$11:L130,5)</f>
        <v>#N/A</v>
      </c>
      <c r="G77" s="34" t="e">
        <f>VLOOKUP($B77,[52]TrtCodes!$B$11:M130,6)</f>
        <v>#N/A</v>
      </c>
      <c r="H77" s="34" t="e">
        <f>VLOOKUP($B77,[52]TrtCodes!$B$11:N130,7)</f>
        <v>#N/A</v>
      </c>
      <c r="I77" s="34">
        <f>[52]FormattedData!B87</f>
        <v>0</v>
      </c>
      <c r="J77" s="37">
        <f>[52]FormattedData!C87</f>
        <v>0</v>
      </c>
      <c r="K77" s="39">
        <f>$J$3+[52]FormattedData!D87*$J$4+$M$4*$J$5+[52]FormattedData!D87^2*$J$6+$M$5*$J$7</f>
        <v>-0.76818973658313661</v>
      </c>
      <c r="L77" s="39">
        <f>$J$3+[52]FormattedData!E87*$J$4+$M$4*$J$5+[52]FormattedData!E87^2*$J$6+$M$5*$J$7</f>
        <v>-0.76818973658313661</v>
      </c>
      <c r="M77" s="39">
        <f>$J$3+[52]FormattedData!F87*$J$4+$M$4*$J$5+[52]FormattedData!F87^2*$J$6+$M$5*$J$7</f>
        <v>-0.76818973658313661</v>
      </c>
      <c r="N77" s="39">
        <f>$J$3+[52]FormattedData!G87*$J$4+$M$4*$J$5+[52]FormattedData!G87^2*$J$6+$M$5*$J$7</f>
        <v>-0.76818973658313661</v>
      </c>
      <c r="O77" s="39">
        <f>$J$3+[52]FormattedData!H87*$J$4+$M$4*$J$5+[52]FormattedData!H87^2*$J$6+$M$5*$J$7</f>
        <v>-0.76818973658313661</v>
      </c>
      <c r="P77" s="39">
        <f>$J$3+[52]FormattedData!I87*$J$4+$M$4*$J$5+[52]FormattedData!I87^2*$J$6+$M$5*$J$7</f>
        <v>-0.76818973658313661</v>
      </c>
      <c r="Q77" s="39">
        <f>$J$3+[52]FormattedData!J87*$J$4+$M$4*$J$5+[52]FormattedData!J87^2*$J$6+$M$5*$J$7</f>
        <v>-0.76818973658313661</v>
      </c>
      <c r="R77" s="39">
        <f>$J$3+[52]FormattedData!K87*$J$4+$M$4*$J$5+[52]FormattedData!K87^2*$J$6+$M$5*$J$7</f>
        <v>-0.76818973658313661</v>
      </c>
      <c r="S77" s="39">
        <f>$J$3+[52]FormattedData!L87*$J$4+$M$4*$J$5+[52]FormattedData!L87^2*$J$6+$M$5*$J$7</f>
        <v>-0.76818973658313661</v>
      </c>
      <c r="T77" s="39">
        <f>$J$3+[52]FormattedData!M87*$J$4+$M$4*$J$5+[52]FormattedData!M87^2*$J$6+$M$5*$J$7</f>
        <v>-0.76818973658313661</v>
      </c>
      <c r="U77" s="39">
        <f>$J$3+[52]FormattedData!N87*$J$4+$M$4*$J$5+[52]FormattedData!N87^2*$J$6+$M$5*$J$7</f>
        <v>-0.76818973658313661</v>
      </c>
      <c r="V77" s="39">
        <f>$J$3+[52]FormattedData!O87*$J$4+$M$4*$J$5+[52]FormattedData!O87^2*$J$6+$M$5*$J$7</f>
        <v>-0.76818973658313661</v>
      </c>
      <c r="W77" s="38">
        <f>AVERAGE(K77:V77)</f>
        <v>-0.76818973658313661</v>
      </c>
      <c r="X77" s="37">
        <f>STDEV(K77:V77)/SQRT(COUNT(K77:V77))</f>
        <v>0</v>
      </c>
      <c r="Y77" s="36">
        <f>MIN(K77:V77)</f>
        <v>-0.76818973658313661</v>
      </c>
      <c r="Z77" s="35">
        <f>QUARTILE(K77:V77,1)</f>
        <v>-0.76818973658313661</v>
      </c>
      <c r="AA77" s="36">
        <f>MEDIAN(K77:V77)</f>
        <v>-0.76818973658313661</v>
      </c>
      <c r="AB77" s="35">
        <f>QUARTILE(K77:V77,3)</f>
        <v>-0.76818973658313661</v>
      </c>
      <c r="AC77" s="35">
        <f>MAX(K77:V77)</f>
        <v>-0.76818973658313661</v>
      </c>
      <c r="AD77" s="35" t="e">
        <f>SKEW(K77:V77)</f>
        <v>#DIV/0!</v>
      </c>
      <c r="AE77" s="35" t="e">
        <f>KURT(K77:V77)</f>
        <v>#DIV/0!</v>
      </c>
    </row>
    <row r="78" spans="2:31" x14ac:dyDescent="0.2">
      <c r="B78" s="34">
        <f>[52]FormattedData!A85</f>
        <v>0</v>
      </c>
      <c r="C78" s="34" t="e">
        <f>VLOOKUP($B78,[52]TrtCodes!$B$11:I128,2)</f>
        <v>#N/A</v>
      </c>
      <c r="D78" s="34" t="e">
        <f>VLOOKUP($B78,[52]TrtCodes!$B$11:J128,3)</f>
        <v>#N/A</v>
      </c>
      <c r="E78" s="34" t="e">
        <f>VLOOKUP($B78,[52]TrtCodes!$B$11:K128,4)</f>
        <v>#N/A</v>
      </c>
      <c r="F78" s="34" t="e">
        <f>VLOOKUP($B78,[52]TrtCodes!$B$11:L128,5)</f>
        <v>#N/A</v>
      </c>
      <c r="G78" s="34" t="e">
        <f>VLOOKUP($B78,[52]TrtCodes!$B$11:M128,6)</f>
        <v>#N/A</v>
      </c>
      <c r="H78" s="34" t="e">
        <f>VLOOKUP($B78,[52]TrtCodes!$B$11:N128,7)</f>
        <v>#N/A</v>
      </c>
      <c r="I78" s="34">
        <f>[52]FormattedData!B85</f>
        <v>0</v>
      </c>
      <c r="J78" s="37">
        <f>[52]FormattedData!C85</f>
        <v>0</v>
      </c>
      <c r="K78" s="39">
        <f>$J$3+[52]FormattedData!D85*$J$4+$M$4*$J$5+[52]FormattedData!D85^2*$J$6+$M$5*$J$7</f>
        <v>-0.76818973658313661</v>
      </c>
      <c r="L78" s="39">
        <f>$J$3+[52]FormattedData!E85*$J$4+$M$4*$J$5+[52]FormattedData!E85^2*$J$6+$M$5*$J$7</f>
        <v>-0.76818973658313661</v>
      </c>
      <c r="M78" s="39">
        <f>$J$3+[52]FormattedData!F85*$J$4+$M$4*$J$5+[52]FormattedData!F85^2*$J$6+$M$5*$J$7</f>
        <v>-0.76818973658313661</v>
      </c>
      <c r="N78" s="39">
        <f>$J$3+[52]FormattedData!G85*$J$4+$M$4*$J$5+[52]FormattedData!G85^2*$J$6+$M$5*$J$7</f>
        <v>-0.76818973658313661</v>
      </c>
      <c r="O78" s="39">
        <f>$J$3+[52]FormattedData!H85*$J$4+$M$4*$J$5+[52]FormattedData!H85^2*$J$6+$M$5*$J$7</f>
        <v>-0.76818973658313661</v>
      </c>
      <c r="P78" s="39">
        <f>$J$3+[52]FormattedData!I85*$J$4+$M$4*$J$5+[52]FormattedData!I85^2*$J$6+$M$5*$J$7</f>
        <v>-0.76818973658313661</v>
      </c>
      <c r="Q78" s="39">
        <f>$J$3+[52]FormattedData!J85*$J$4+$M$4*$J$5+[52]FormattedData!J85^2*$J$6+$M$5*$J$7</f>
        <v>-0.76818973658313661</v>
      </c>
      <c r="R78" s="39">
        <f>$J$3+[52]FormattedData!K85*$J$4+$M$4*$J$5+[52]FormattedData!K85^2*$J$6+$M$5*$J$7</f>
        <v>-0.76818973658313661</v>
      </c>
      <c r="S78" s="39">
        <f>$J$3+[52]FormattedData!L85*$J$4+$M$4*$J$5+[52]FormattedData!L85^2*$J$6+$M$5*$J$7</f>
        <v>-0.76818973658313661</v>
      </c>
      <c r="T78" s="39">
        <f>$J$3+[52]FormattedData!M85*$J$4+$M$4*$J$5+[52]FormattedData!M85^2*$J$6+$M$5*$J$7</f>
        <v>-0.76818973658313661</v>
      </c>
      <c r="U78" s="39">
        <f>$J$3+[52]FormattedData!N85*$J$4+$M$4*$J$5+[52]FormattedData!N85^2*$J$6+$M$5*$J$7</f>
        <v>-0.76818973658313661</v>
      </c>
      <c r="V78" s="39">
        <f>$J$3+[52]FormattedData!O85*$J$4+$M$4*$J$5+[52]FormattedData!O85^2*$J$6+$M$5*$J$7</f>
        <v>-0.76818973658313661</v>
      </c>
      <c r="W78" s="38">
        <f>AVERAGE(K78:V78)</f>
        <v>-0.76818973658313661</v>
      </c>
      <c r="X78" s="37">
        <f>STDEV(K78:V78)/SQRT(COUNT(K78:V78))</f>
        <v>0</v>
      </c>
      <c r="Y78" s="36">
        <f>MIN(K78:V78)</f>
        <v>-0.76818973658313661</v>
      </c>
      <c r="Z78" s="35">
        <f>QUARTILE(K78:V78,1)</f>
        <v>-0.76818973658313661</v>
      </c>
      <c r="AA78" s="36">
        <f>MEDIAN(K78:V78)</f>
        <v>-0.76818973658313661</v>
      </c>
      <c r="AB78" s="35">
        <f>QUARTILE(K78:V78,3)</f>
        <v>-0.76818973658313661</v>
      </c>
      <c r="AC78" s="35">
        <f>MAX(K78:V78)</f>
        <v>-0.76818973658313661</v>
      </c>
      <c r="AD78" s="35" t="e">
        <f>SKEW(K78:V78)</f>
        <v>#DIV/0!</v>
      </c>
      <c r="AE78" s="35" t="e">
        <f>KURT(K78:V78)</f>
        <v>#DIV/0!</v>
      </c>
    </row>
    <row r="79" spans="2:31" x14ac:dyDescent="0.2">
      <c r="B79" s="34">
        <f>[52]FormattedData!A83</f>
        <v>0</v>
      </c>
      <c r="C79" s="34" t="e">
        <f>VLOOKUP($B79,[52]TrtCodes!$B$11:I126,2)</f>
        <v>#N/A</v>
      </c>
      <c r="D79" s="34" t="e">
        <f>VLOOKUP($B79,[52]TrtCodes!$B$11:J126,3)</f>
        <v>#N/A</v>
      </c>
      <c r="E79" s="34" t="e">
        <f>VLOOKUP($B79,[52]TrtCodes!$B$11:K126,4)</f>
        <v>#N/A</v>
      </c>
      <c r="F79" s="34" t="e">
        <f>VLOOKUP($B79,[52]TrtCodes!$B$11:L126,5)</f>
        <v>#N/A</v>
      </c>
      <c r="G79" s="34" t="e">
        <f>VLOOKUP($B79,[52]TrtCodes!$B$11:M126,6)</f>
        <v>#N/A</v>
      </c>
      <c r="H79" s="34" t="e">
        <f>VLOOKUP($B79,[52]TrtCodes!$B$11:N126,7)</f>
        <v>#N/A</v>
      </c>
      <c r="I79" s="34">
        <f>[52]FormattedData!B83</f>
        <v>0</v>
      </c>
      <c r="J79" s="37">
        <f>[52]FormattedData!C83</f>
        <v>0</v>
      </c>
      <c r="K79" s="39">
        <f>$J$3+[52]FormattedData!D83*$J$4+$M$4*$J$5+[52]FormattedData!D83^2*$J$6+$M$5*$J$7</f>
        <v>-0.76818973658313661</v>
      </c>
      <c r="L79" s="39">
        <f>$J$3+[52]FormattedData!E83*$J$4+$M$4*$J$5+[52]FormattedData!E83^2*$J$6+$M$5*$J$7</f>
        <v>-0.76818973658313661</v>
      </c>
      <c r="M79" s="39">
        <f>$J$3+[52]FormattedData!F83*$J$4+$M$4*$J$5+[52]FormattedData!F83^2*$J$6+$M$5*$J$7</f>
        <v>-0.76818973658313661</v>
      </c>
      <c r="N79" s="39">
        <f>$J$3+[52]FormattedData!G83*$J$4+$M$4*$J$5+[52]FormattedData!G83^2*$J$6+$M$5*$J$7</f>
        <v>-0.76818973658313661</v>
      </c>
      <c r="O79" s="39">
        <f>$J$3+[52]FormattedData!H83*$J$4+$M$4*$J$5+[52]FormattedData!H83^2*$J$6+$M$5*$J$7</f>
        <v>-0.76818973658313661</v>
      </c>
      <c r="P79" s="39">
        <f>$J$3+[52]FormattedData!I83*$J$4+$M$4*$J$5+[52]FormattedData!I83^2*$J$6+$M$5*$J$7</f>
        <v>-0.76818973658313661</v>
      </c>
      <c r="Q79" s="39">
        <f>$J$3+[52]FormattedData!J83*$J$4+$M$4*$J$5+[52]FormattedData!J83^2*$J$6+$M$5*$J$7</f>
        <v>-0.76818973658313661</v>
      </c>
      <c r="R79" s="39">
        <f>$J$3+[52]FormattedData!K83*$J$4+$M$4*$J$5+[52]FormattedData!K83^2*$J$6+$M$5*$J$7</f>
        <v>-0.76818973658313661</v>
      </c>
      <c r="S79" s="39">
        <f>$J$3+[52]FormattedData!L83*$J$4+$M$4*$J$5+[52]FormattedData!L83^2*$J$6+$M$5*$J$7</f>
        <v>-0.76818973658313661</v>
      </c>
      <c r="T79" s="39">
        <f>$J$3+[52]FormattedData!M83*$J$4+$M$4*$J$5+[52]FormattedData!M83^2*$J$6+$M$5*$J$7</f>
        <v>-0.76818973658313661</v>
      </c>
      <c r="U79" s="39">
        <f>$J$3+[52]FormattedData!N83*$J$4+$M$4*$J$5+[52]FormattedData!N83^2*$J$6+$M$5*$J$7</f>
        <v>-0.76818973658313661</v>
      </c>
      <c r="V79" s="39">
        <f>$J$3+[52]FormattedData!O83*$J$4+$M$4*$J$5+[52]FormattedData!O83^2*$J$6+$M$5*$J$7</f>
        <v>-0.76818973658313661</v>
      </c>
      <c r="W79" s="38">
        <f>AVERAGE(K79:V79)</f>
        <v>-0.76818973658313661</v>
      </c>
      <c r="X79" s="37">
        <f>STDEV(K79:V79)/SQRT(COUNT(K79:V79))</f>
        <v>0</v>
      </c>
      <c r="Y79" s="36">
        <f>MIN(K79:V79)</f>
        <v>-0.76818973658313661</v>
      </c>
      <c r="Z79" s="35">
        <f>QUARTILE(K79:V79,1)</f>
        <v>-0.76818973658313661</v>
      </c>
      <c r="AA79" s="36">
        <f>MEDIAN(K79:V79)</f>
        <v>-0.76818973658313661</v>
      </c>
      <c r="AB79" s="35">
        <f>QUARTILE(K79:V79,3)</f>
        <v>-0.76818973658313661</v>
      </c>
      <c r="AC79" s="35">
        <f>MAX(K79:V79)</f>
        <v>-0.76818973658313661</v>
      </c>
      <c r="AD79" s="35" t="e">
        <f>SKEW(K79:V79)</f>
        <v>#DIV/0!</v>
      </c>
      <c r="AE79" s="35" t="e">
        <f>KURT(K79:V79)</f>
        <v>#DIV/0!</v>
      </c>
    </row>
    <row r="80" spans="2:31" x14ac:dyDescent="0.2">
      <c r="B80" s="34">
        <f>[52]FormattedData!A81</f>
        <v>0</v>
      </c>
      <c r="C80" s="34" t="e">
        <f>VLOOKUP($B80,[52]TrtCodes!$B$11:I124,2)</f>
        <v>#N/A</v>
      </c>
      <c r="D80" s="34" t="e">
        <f>VLOOKUP($B80,[52]TrtCodes!$B$11:J124,3)</f>
        <v>#N/A</v>
      </c>
      <c r="E80" s="34" t="e">
        <f>VLOOKUP($B80,[52]TrtCodes!$B$11:K124,4)</f>
        <v>#N/A</v>
      </c>
      <c r="F80" s="34" t="e">
        <f>VLOOKUP($B80,[52]TrtCodes!$B$11:L124,5)</f>
        <v>#N/A</v>
      </c>
      <c r="G80" s="34" t="e">
        <f>VLOOKUP($B80,[52]TrtCodes!$B$11:M124,6)</f>
        <v>#N/A</v>
      </c>
      <c r="H80" s="34" t="e">
        <f>VLOOKUP($B80,[52]TrtCodes!$B$11:N124,7)</f>
        <v>#N/A</v>
      </c>
      <c r="I80" s="34">
        <f>[52]FormattedData!B81</f>
        <v>0</v>
      </c>
      <c r="J80" s="37">
        <f>[52]FormattedData!C81</f>
        <v>0</v>
      </c>
      <c r="K80" s="39">
        <f>$J$3+[52]FormattedData!D81*$J$4+$M$4*$J$5+[52]FormattedData!D81^2*$J$6+$M$5*$J$7</f>
        <v>-0.76818973658313661</v>
      </c>
      <c r="L80" s="39">
        <f>$J$3+[52]FormattedData!E81*$J$4+$M$4*$J$5+[52]FormattedData!E81^2*$J$6+$M$5*$J$7</f>
        <v>-0.76818973658313661</v>
      </c>
      <c r="M80" s="39">
        <f>$J$3+[52]FormattedData!F81*$J$4+$M$4*$J$5+[52]FormattedData!F81^2*$J$6+$M$5*$J$7</f>
        <v>-0.76818973658313661</v>
      </c>
      <c r="N80" s="39">
        <f>$J$3+[52]FormattedData!G81*$J$4+$M$4*$J$5+[52]FormattedData!G81^2*$J$6+$M$5*$J$7</f>
        <v>-0.76818973658313661</v>
      </c>
      <c r="O80" s="39">
        <f>$J$3+[52]FormattedData!H81*$J$4+$M$4*$J$5+[52]FormattedData!H81^2*$J$6+$M$5*$J$7</f>
        <v>-0.76818973658313661</v>
      </c>
      <c r="P80" s="39">
        <f>$J$3+[52]FormattedData!I81*$J$4+$M$4*$J$5+[52]FormattedData!I81^2*$J$6+$M$5*$J$7</f>
        <v>-0.76818973658313661</v>
      </c>
      <c r="Q80" s="39">
        <f>$J$3+[52]FormattedData!J81*$J$4+$M$4*$J$5+[52]FormattedData!J81^2*$J$6+$M$5*$J$7</f>
        <v>-0.76818973658313661</v>
      </c>
      <c r="R80" s="39">
        <f>$J$3+[52]FormattedData!K81*$J$4+$M$4*$J$5+[52]FormattedData!K81^2*$J$6+$M$5*$J$7</f>
        <v>-0.76818973658313661</v>
      </c>
      <c r="S80" s="39">
        <f>$J$3+[52]FormattedData!L81*$J$4+$M$4*$J$5+[52]FormattedData!L81^2*$J$6+$M$5*$J$7</f>
        <v>-0.76818973658313661</v>
      </c>
      <c r="T80" s="39">
        <f>$J$3+[52]FormattedData!M81*$J$4+$M$4*$J$5+[52]FormattedData!M81^2*$J$6+$M$5*$J$7</f>
        <v>-0.76818973658313661</v>
      </c>
      <c r="U80" s="39">
        <f>$J$3+[52]FormattedData!N81*$J$4+$M$4*$J$5+[52]FormattedData!N81^2*$J$6+$M$5*$J$7</f>
        <v>-0.76818973658313661</v>
      </c>
      <c r="V80" s="39">
        <f>$J$3+[52]FormattedData!O81*$J$4+$M$4*$J$5+[52]FormattedData!O81^2*$J$6+$M$5*$J$7</f>
        <v>-0.76818973658313661</v>
      </c>
      <c r="W80" s="38">
        <f>AVERAGE(K80:V80)</f>
        <v>-0.76818973658313661</v>
      </c>
      <c r="X80" s="37">
        <f>STDEV(K80:V80)/SQRT(COUNT(K80:V80))</f>
        <v>0</v>
      </c>
      <c r="Y80" s="36">
        <f>MIN(K80:V80)</f>
        <v>-0.76818973658313661</v>
      </c>
      <c r="Z80" s="35">
        <f>QUARTILE(K80:V80,1)</f>
        <v>-0.76818973658313661</v>
      </c>
      <c r="AA80" s="36">
        <f>MEDIAN(K80:V80)</f>
        <v>-0.76818973658313661</v>
      </c>
      <c r="AB80" s="35">
        <f>QUARTILE(K80:V80,3)</f>
        <v>-0.76818973658313661</v>
      </c>
      <c r="AC80" s="35">
        <f>MAX(K80:V80)</f>
        <v>-0.76818973658313661</v>
      </c>
      <c r="AD80" s="35" t="e">
        <f>SKEW(K80:V80)</f>
        <v>#DIV/0!</v>
      </c>
      <c r="AE80" s="35" t="e">
        <f>KURT(K80:V80)</f>
        <v>#DIV/0!</v>
      </c>
    </row>
    <row r="81" spans="2:31" x14ac:dyDescent="0.2">
      <c r="B81" s="34">
        <f>[52]FormattedData!A79</f>
        <v>0</v>
      </c>
      <c r="C81" s="34" t="e">
        <f>VLOOKUP($B81,[52]TrtCodes!$B$11:I122,2)</f>
        <v>#N/A</v>
      </c>
      <c r="D81" s="34" t="e">
        <f>VLOOKUP($B81,[52]TrtCodes!$B$11:J122,3)</f>
        <v>#N/A</v>
      </c>
      <c r="E81" s="34" t="e">
        <f>VLOOKUP($B81,[52]TrtCodes!$B$11:K122,4)</f>
        <v>#N/A</v>
      </c>
      <c r="F81" s="34" t="e">
        <f>VLOOKUP($B81,[52]TrtCodes!$B$11:L122,5)</f>
        <v>#N/A</v>
      </c>
      <c r="G81" s="34" t="e">
        <f>VLOOKUP($B81,[52]TrtCodes!$B$11:M122,6)</f>
        <v>#N/A</v>
      </c>
      <c r="H81" s="34" t="e">
        <f>VLOOKUP($B81,[52]TrtCodes!$B$11:N122,7)</f>
        <v>#N/A</v>
      </c>
      <c r="I81" s="34">
        <f>[52]FormattedData!B79</f>
        <v>0</v>
      </c>
      <c r="J81" s="37">
        <f>[52]FormattedData!C79</f>
        <v>0</v>
      </c>
      <c r="K81" s="39">
        <f>$J$3+[52]FormattedData!D79*$J$4+$M$4*$J$5+[52]FormattedData!D79^2*$J$6+$M$5*$J$7</f>
        <v>-0.76818973658313661</v>
      </c>
      <c r="L81" s="39">
        <f>$J$3+[52]FormattedData!E79*$J$4+$M$4*$J$5+[52]FormattedData!E79^2*$J$6+$M$5*$J$7</f>
        <v>-0.76818973658313661</v>
      </c>
      <c r="M81" s="39">
        <f>$J$3+[52]FormattedData!F79*$J$4+$M$4*$J$5+[52]FormattedData!F79^2*$J$6+$M$5*$J$7</f>
        <v>-0.76818973658313661</v>
      </c>
      <c r="N81" s="39">
        <f>$J$3+[52]FormattedData!G79*$J$4+$M$4*$J$5+[52]FormattedData!G79^2*$J$6+$M$5*$J$7</f>
        <v>-0.76818973658313661</v>
      </c>
      <c r="O81" s="39">
        <f>$J$3+[52]FormattedData!H79*$J$4+$M$4*$J$5+[52]FormattedData!H79^2*$J$6+$M$5*$J$7</f>
        <v>-0.76818973658313661</v>
      </c>
      <c r="P81" s="39">
        <f>$J$3+[52]FormattedData!I79*$J$4+$M$4*$J$5+[52]FormattedData!I79^2*$J$6+$M$5*$J$7</f>
        <v>-0.76818973658313661</v>
      </c>
      <c r="Q81" s="39">
        <f>$J$3+[52]FormattedData!J79*$J$4+$M$4*$J$5+[52]FormattedData!J79^2*$J$6+$M$5*$J$7</f>
        <v>-0.76818973658313661</v>
      </c>
      <c r="R81" s="39">
        <f>$J$3+[52]FormattedData!K79*$J$4+$M$4*$J$5+[52]FormattedData!K79^2*$J$6+$M$5*$J$7</f>
        <v>-0.76818973658313661</v>
      </c>
      <c r="S81" s="39">
        <f>$J$3+[52]FormattedData!L79*$J$4+$M$4*$J$5+[52]FormattedData!L79^2*$J$6+$M$5*$J$7</f>
        <v>-0.76818973658313661</v>
      </c>
      <c r="T81" s="39">
        <f>$J$3+[52]FormattedData!M79*$J$4+$M$4*$J$5+[52]FormattedData!M79^2*$J$6+$M$5*$J$7</f>
        <v>-0.76818973658313661</v>
      </c>
      <c r="U81" s="39">
        <f>$J$3+[52]FormattedData!N79*$J$4+$M$4*$J$5+[52]FormattedData!N79^2*$J$6+$M$5*$J$7</f>
        <v>-0.76818973658313661</v>
      </c>
      <c r="V81" s="39">
        <f>$J$3+[52]FormattedData!O79*$J$4+$M$4*$J$5+[52]FormattedData!O79^2*$J$6+$M$5*$J$7</f>
        <v>-0.76818973658313661</v>
      </c>
      <c r="W81" s="38">
        <f>AVERAGE(K81:V81)</f>
        <v>-0.76818973658313661</v>
      </c>
      <c r="X81" s="37">
        <f>STDEV(K81:V81)/SQRT(COUNT(K81:V81))</f>
        <v>0</v>
      </c>
      <c r="Y81" s="36">
        <f>MIN(K81:V81)</f>
        <v>-0.76818973658313661</v>
      </c>
      <c r="Z81" s="35">
        <f>QUARTILE(K81:V81,1)</f>
        <v>-0.76818973658313661</v>
      </c>
      <c r="AA81" s="36">
        <f>MEDIAN(K81:V81)</f>
        <v>-0.76818973658313661</v>
      </c>
      <c r="AB81" s="35">
        <f>QUARTILE(K81:V81,3)</f>
        <v>-0.76818973658313661</v>
      </c>
      <c r="AC81" s="35">
        <f>MAX(K81:V81)</f>
        <v>-0.76818973658313661</v>
      </c>
      <c r="AD81" s="35" t="e">
        <f>SKEW(K81:V81)</f>
        <v>#DIV/0!</v>
      </c>
      <c r="AE81" s="35" t="e">
        <f>KURT(K81:V81)</f>
        <v>#DIV/0!</v>
      </c>
    </row>
    <row r="82" spans="2:31" x14ac:dyDescent="0.2">
      <c r="B82" s="34">
        <f>[52]FormattedData!A59</f>
        <v>0</v>
      </c>
      <c r="C82" s="34" t="e">
        <f>VLOOKUP($B82,[52]TrtCodes!$B$11:I102,2)</f>
        <v>#N/A</v>
      </c>
      <c r="D82" s="34" t="e">
        <f>VLOOKUP($B82,[52]TrtCodes!$B$11:J102,3)</f>
        <v>#N/A</v>
      </c>
      <c r="E82" s="34" t="e">
        <f>VLOOKUP($B82,[52]TrtCodes!$B$11:K102,4)</f>
        <v>#N/A</v>
      </c>
      <c r="F82" s="34" t="e">
        <f>VLOOKUP($B82,[52]TrtCodes!$B$11:L102,5)</f>
        <v>#N/A</v>
      </c>
      <c r="G82" s="34" t="e">
        <f>VLOOKUP($B82,[52]TrtCodes!$B$11:M102,6)</f>
        <v>#N/A</v>
      </c>
      <c r="H82" s="34" t="e">
        <f>VLOOKUP($B82,[52]TrtCodes!$B$11:N102,7)</f>
        <v>#N/A</v>
      </c>
      <c r="I82" s="34">
        <f>[52]FormattedData!B59</f>
        <v>0</v>
      </c>
      <c r="J82" s="37">
        <f>[52]FormattedData!C59</f>
        <v>0</v>
      </c>
      <c r="K82" s="39">
        <f>$J$3+[52]FormattedData!D59*$J$4+$M$4*$J$5+[52]FormattedData!D59^2*$J$6+$M$5*$J$7</f>
        <v>-0.76818973658313661</v>
      </c>
      <c r="L82" s="39">
        <f>$J$3+[52]FormattedData!E59*$J$4+$M$4*$J$5+[52]FormattedData!E59^2*$J$6+$M$5*$J$7</f>
        <v>-0.76818973658313661</v>
      </c>
      <c r="M82" s="39">
        <f>$J$3+[52]FormattedData!F59*$J$4+$M$4*$J$5+[52]FormattedData!F59^2*$J$6+$M$5*$J$7</f>
        <v>-0.76818973658313661</v>
      </c>
      <c r="N82" s="39">
        <f>$J$3+[52]FormattedData!G59*$J$4+$M$4*$J$5+[52]FormattedData!G59^2*$J$6+$M$5*$J$7</f>
        <v>-0.76818973658313661</v>
      </c>
      <c r="O82" s="39">
        <f>$J$3+[52]FormattedData!H59*$J$4+$M$4*$J$5+[52]FormattedData!H59^2*$J$6+$M$5*$J$7</f>
        <v>-0.76818973658313661</v>
      </c>
      <c r="P82" s="39">
        <f>$J$3+[52]FormattedData!I59*$J$4+$M$4*$J$5+[52]FormattedData!I59^2*$J$6+$M$5*$J$7</f>
        <v>-0.76818973658313661</v>
      </c>
      <c r="Q82" s="39">
        <f>$J$3+[52]FormattedData!J59*$J$4+$M$4*$J$5+[52]FormattedData!J59^2*$J$6+$M$5*$J$7</f>
        <v>-0.76818973658313661</v>
      </c>
      <c r="R82" s="39">
        <f>$J$3+[52]FormattedData!K59*$J$4+$M$4*$J$5+[52]FormattedData!K59^2*$J$6+$M$5*$J$7</f>
        <v>-0.76818973658313661</v>
      </c>
      <c r="S82" s="39">
        <f>$J$3+[52]FormattedData!L59*$J$4+$M$4*$J$5+[52]FormattedData!L59^2*$J$6+$M$5*$J$7</f>
        <v>-0.76818973658313661</v>
      </c>
      <c r="T82" s="39">
        <f>$J$3+[52]FormattedData!M59*$J$4+$M$4*$J$5+[52]FormattedData!M59^2*$J$6+$M$5*$J$7</f>
        <v>-0.76818973658313661</v>
      </c>
      <c r="U82" s="39">
        <f>$J$3+[52]FormattedData!N59*$J$4+$M$4*$J$5+[52]FormattedData!N59^2*$J$6+$M$5*$J$7</f>
        <v>-0.76818973658313661</v>
      </c>
      <c r="V82" s="39">
        <f>$J$3+[52]FormattedData!O59*$J$4+$M$4*$J$5+[52]FormattedData!O59^2*$J$6+$M$5*$J$7</f>
        <v>-0.76818973658313661</v>
      </c>
      <c r="W82" s="38">
        <f>AVERAGE(K82:V82)</f>
        <v>-0.76818973658313661</v>
      </c>
      <c r="X82" s="37">
        <f>STDEV(K82:V82)/SQRT(COUNT(K82:V82))</f>
        <v>0</v>
      </c>
      <c r="Y82" s="36">
        <f>MIN(K82:V82)</f>
        <v>-0.76818973658313661</v>
      </c>
      <c r="Z82" s="35">
        <f>QUARTILE(K82:V82,1)</f>
        <v>-0.76818973658313661</v>
      </c>
      <c r="AA82" s="36">
        <f>MEDIAN(K82:V82)</f>
        <v>-0.76818973658313661</v>
      </c>
      <c r="AB82" s="35">
        <f>QUARTILE(K82:V82,3)</f>
        <v>-0.76818973658313661</v>
      </c>
      <c r="AC82" s="35">
        <f>MAX(K82:V82)</f>
        <v>-0.76818973658313661</v>
      </c>
      <c r="AD82" s="35" t="e">
        <f>SKEW(K82:V82)</f>
        <v>#DIV/0!</v>
      </c>
      <c r="AE82" s="35" t="e">
        <f>KURT(K82:V82)</f>
        <v>#DIV/0!</v>
      </c>
    </row>
    <row r="83" spans="2:31" x14ac:dyDescent="0.2">
      <c r="B83" s="34">
        <f>[52]FormattedData!A55</f>
        <v>0</v>
      </c>
      <c r="C83" s="34" t="e">
        <f>VLOOKUP($B83,[52]TrtCodes!$B$11:I98,2)</f>
        <v>#N/A</v>
      </c>
      <c r="D83" s="34" t="e">
        <f>VLOOKUP($B83,[52]TrtCodes!$B$11:J98,3)</f>
        <v>#N/A</v>
      </c>
      <c r="E83" s="34" t="e">
        <f>VLOOKUP($B83,[52]TrtCodes!$B$11:K98,4)</f>
        <v>#N/A</v>
      </c>
      <c r="F83" s="34" t="e">
        <f>VLOOKUP($B83,[52]TrtCodes!$B$11:L98,5)</f>
        <v>#N/A</v>
      </c>
      <c r="G83" s="34" t="e">
        <f>VLOOKUP($B83,[52]TrtCodes!$B$11:M98,6)</f>
        <v>#N/A</v>
      </c>
      <c r="H83" s="34" t="e">
        <f>VLOOKUP($B83,[52]TrtCodes!$B$11:N98,7)</f>
        <v>#N/A</v>
      </c>
      <c r="I83" s="34">
        <f>[52]FormattedData!B55</f>
        <v>0</v>
      </c>
      <c r="J83" s="37">
        <f>[52]FormattedData!C55</f>
        <v>0</v>
      </c>
      <c r="K83" s="39">
        <f>$J$3+[52]FormattedData!D55*$J$4+$M$4*$J$5+[52]FormattedData!D55^2*$J$6+$M$5*$J$7</f>
        <v>-0.76818973658313661</v>
      </c>
      <c r="L83" s="39">
        <f>$J$3+[52]FormattedData!E55*$J$4+$M$4*$J$5+[52]FormattedData!E55^2*$J$6+$M$5*$J$7</f>
        <v>-0.76818973658313661</v>
      </c>
      <c r="M83" s="39">
        <f>$J$3+[52]FormattedData!F55*$J$4+$M$4*$J$5+[52]FormattedData!F55^2*$J$6+$M$5*$J$7</f>
        <v>-0.76818973658313661</v>
      </c>
      <c r="N83" s="39">
        <f>$J$3+[52]FormattedData!G55*$J$4+$M$4*$J$5+[52]FormattedData!G55^2*$J$6+$M$5*$J$7</f>
        <v>-0.76818973658313661</v>
      </c>
      <c r="O83" s="39">
        <f>$J$3+[52]FormattedData!H55*$J$4+$M$4*$J$5+[52]FormattedData!H55^2*$J$6+$M$5*$J$7</f>
        <v>-0.76818973658313661</v>
      </c>
      <c r="P83" s="39">
        <f>$J$3+[52]FormattedData!I55*$J$4+$M$4*$J$5+[52]FormattedData!I55^2*$J$6+$M$5*$J$7</f>
        <v>-0.76818973658313661</v>
      </c>
      <c r="Q83" s="39">
        <f>$J$3+[52]FormattedData!J55*$J$4+$M$4*$J$5+[52]FormattedData!J55^2*$J$6+$M$5*$J$7</f>
        <v>-0.76818973658313661</v>
      </c>
      <c r="R83" s="39">
        <f>$J$3+[52]FormattedData!K55*$J$4+$M$4*$J$5+[52]FormattedData!K55^2*$J$6+$M$5*$J$7</f>
        <v>-0.76818973658313661</v>
      </c>
      <c r="S83" s="39">
        <f>$J$3+[52]FormattedData!L55*$J$4+$M$4*$J$5+[52]FormattedData!L55^2*$J$6+$M$5*$J$7</f>
        <v>-0.76818973658313661</v>
      </c>
      <c r="T83" s="39">
        <f>$J$3+[52]FormattedData!M55*$J$4+$M$4*$J$5+[52]FormattedData!M55^2*$J$6+$M$5*$J$7</f>
        <v>-0.76818973658313661</v>
      </c>
      <c r="U83" s="39">
        <f>$J$3+[52]FormattedData!N55*$J$4+$M$4*$J$5+[52]FormattedData!N55^2*$J$6+$M$5*$J$7</f>
        <v>-0.76818973658313661</v>
      </c>
      <c r="V83" s="39">
        <f>$J$3+[52]FormattedData!O55*$J$4+$M$4*$J$5+[52]FormattedData!O55^2*$J$6+$M$5*$J$7</f>
        <v>-0.76818973658313661</v>
      </c>
      <c r="W83" s="38">
        <f>AVERAGE(K83:V83)</f>
        <v>-0.76818973658313661</v>
      </c>
      <c r="X83" s="37">
        <f>STDEV(K83:V83)/SQRT(COUNT(K83:V83))</f>
        <v>0</v>
      </c>
      <c r="Y83" s="36">
        <f>MIN(K83:V83)</f>
        <v>-0.76818973658313661</v>
      </c>
      <c r="Z83" s="35">
        <f>QUARTILE(K83:V83,1)</f>
        <v>-0.76818973658313661</v>
      </c>
      <c r="AA83" s="36">
        <f>MEDIAN(K83:V83)</f>
        <v>-0.76818973658313661</v>
      </c>
      <c r="AB83" s="35">
        <f>QUARTILE(K83:V83,3)</f>
        <v>-0.76818973658313661</v>
      </c>
      <c r="AC83" s="35">
        <f>MAX(K83:V83)</f>
        <v>-0.76818973658313661</v>
      </c>
      <c r="AD83" s="35" t="e">
        <f>SKEW(K83:V83)</f>
        <v>#DIV/0!</v>
      </c>
      <c r="AE83" s="35" t="e">
        <f>KURT(K83:V83)</f>
        <v>#DIV/0!</v>
      </c>
    </row>
    <row r="84" spans="2:31" x14ac:dyDescent="0.2">
      <c r="B84" s="34">
        <f>[52]FormattedData!A51</f>
        <v>0</v>
      </c>
      <c r="C84" s="34" t="e">
        <f>VLOOKUP($B84,[52]TrtCodes!$B$11:I94,2)</f>
        <v>#N/A</v>
      </c>
      <c r="D84" s="34" t="e">
        <f>VLOOKUP($B84,[52]TrtCodes!$B$11:J94,3)</f>
        <v>#N/A</v>
      </c>
      <c r="E84" s="34" t="e">
        <f>VLOOKUP($B84,[52]TrtCodes!$B$11:K94,4)</f>
        <v>#N/A</v>
      </c>
      <c r="F84" s="34" t="e">
        <f>VLOOKUP($B84,[52]TrtCodes!$B$11:L94,5)</f>
        <v>#N/A</v>
      </c>
      <c r="G84" s="34" t="e">
        <f>VLOOKUP($B84,[52]TrtCodes!$B$11:M94,6)</f>
        <v>#N/A</v>
      </c>
      <c r="H84" s="34" t="e">
        <f>VLOOKUP($B84,[52]TrtCodes!$B$11:N94,7)</f>
        <v>#N/A</v>
      </c>
      <c r="I84" s="34">
        <f>[52]FormattedData!B51</f>
        <v>0</v>
      </c>
      <c r="J84" s="37">
        <f>[52]FormattedData!C51</f>
        <v>0</v>
      </c>
      <c r="K84" s="39">
        <f>$J$3+[52]FormattedData!D51*$J$4+$M$4*$J$5+[52]FormattedData!D51^2*$J$6+$M$5*$J$7</f>
        <v>-0.76818973658313661</v>
      </c>
      <c r="L84" s="39">
        <f>$J$3+[52]FormattedData!E51*$J$4+$M$4*$J$5+[52]FormattedData!E51^2*$J$6+$M$5*$J$7</f>
        <v>-0.76818973658313661</v>
      </c>
      <c r="M84" s="39">
        <f>$J$3+[52]FormattedData!F51*$J$4+$M$4*$J$5+[52]FormattedData!F51^2*$J$6+$M$5*$J$7</f>
        <v>-0.76818973658313661</v>
      </c>
      <c r="N84" s="39">
        <f>$J$3+[52]FormattedData!G51*$J$4+$M$4*$J$5+[52]FormattedData!G51^2*$J$6+$M$5*$J$7</f>
        <v>-0.76818973658313661</v>
      </c>
      <c r="O84" s="39">
        <f>$J$3+[52]FormattedData!H51*$J$4+$M$4*$J$5+[52]FormattedData!H51^2*$J$6+$M$5*$J$7</f>
        <v>-0.76818973658313661</v>
      </c>
      <c r="P84" s="39">
        <f>$J$3+[52]FormattedData!I51*$J$4+$M$4*$J$5+[52]FormattedData!I51^2*$J$6+$M$5*$J$7</f>
        <v>-0.76818973658313661</v>
      </c>
      <c r="Q84" s="39">
        <f>$J$3+[52]FormattedData!J51*$J$4+$M$4*$J$5+[52]FormattedData!J51^2*$J$6+$M$5*$J$7</f>
        <v>-0.76818973658313661</v>
      </c>
      <c r="R84" s="39">
        <f>$J$3+[52]FormattedData!K51*$J$4+$M$4*$J$5+[52]FormattedData!K51^2*$J$6+$M$5*$J$7</f>
        <v>-0.76818973658313661</v>
      </c>
      <c r="S84" s="39">
        <f>$J$3+[52]FormattedData!L51*$J$4+$M$4*$J$5+[52]FormattedData!L51^2*$J$6+$M$5*$J$7</f>
        <v>-0.76818973658313661</v>
      </c>
      <c r="T84" s="39">
        <f>$J$3+[52]FormattedData!M51*$J$4+$M$4*$J$5+[52]FormattedData!M51^2*$J$6+$M$5*$J$7</f>
        <v>-0.76818973658313661</v>
      </c>
      <c r="U84" s="39">
        <f>$J$3+[52]FormattedData!N51*$J$4+$M$4*$J$5+[52]FormattedData!N51^2*$J$6+$M$5*$J$7</f>
        <v>-0.76818973658313661</v>
      </c>
      <c r="V84" s="39">
        <f>$J$3+[52]FormattedData!O51*$J$4+$M$4*$J$5+[52]FormattedData!O51^2*$J$6+$M$5*$J$7</f>
        <v>-0.76818973658313661</v>
      </c>
      <c r="W84" s="38">
        <f>AVERAGE(K84:V84)</f>
        <v>-0.76818973658313661</v>
      </c>
      <c r="X84" s="37">
        <f>STDEV(K84:V84)/SQRT(COUNT(K84:V84))</f>
        <v>0</v>
      </c>
      <c r="Y84" s="36">
        <f>MIN(K84:V84)</f>
        <v>-0.76818973658313661</v>
      </c>
      <c r="Z84" s="35">
        <f>QUARTILE(K84:V84,1)</f>
        <v>-0.76818973658313661</v>
      </c>
      <c r="AA84" s="36">
        <f>MEDIAN(K84:V84)</f>
        <v>-0.76818973658313661</v>
      </c>
      <c r="AB84" s="35">
        <f>QUARTILE(K84:V84,3)</f>
        <v>-0.76818973658313661</v>
      </c>
      <c r="AC84" s="35">
        <f>MAX(K84:V84)</f>
        <v>-0.76818973658313661</v>
      </c>
      <c r="AD84" s="35" t="e">
        <f>SKEW(K84:V84)</f>
        <v>#DIV/0!</v>
      </c>
      <c r="AE84" s="35" t="e">
        <f>KURT(K84:V84)</f>
        <v>#DIV/0!</v>
      </c>
    </row>
    <row r="85" spans="2:31" x14ac:dyDescent="0.2">
      <c r="B85" s="34">
        <f>[52]FormattedData!A47</f>
        <v>0</v>
      </c>
      <c r="C85" s="34" t="e">
        <f>VLOOKUP($B85,[52]TrtCodes!$B$11:I90,2)</f>
        <v>#N/A</v>
      </c>
      <c r="D85" s="34" t="e">
        <f>VLOOKUP($B85,[52]TrtCodes!$B$11:J90,3)</f>
        <v>#N/A</v>
      </c>
      <c r="E85" s="34" t="e">
        <f>VLOOKUP($B85,[52]TrtCodes!$B$11:K90,4)</f>
        <v>#N/A</v>
      </c>
      <c r="F85" s="34" t="e">
        <f>VLOOKUP($B85,[52]TrtCodes!$B$11:L90,5)</f>
        <v>#N/A</v>
      </c>
      <c r="G85" s="34" t="e">
        <f>VLOOKUP($B85,[52]TrtCodes!$B$11:M90,6)</f>
        <v>#N/A</v>
      </c>
      <c r="H85" s="34" t="e">
        <f>VLOOKUP($B85,[52]TrtCodes!$B$11:N90,7)</f>
        <v>#N/A</v>
      </c>
      <c r="I85" s="34">
        <f>[52]FormattedData!B47</f>
        <v>0</v>
      </c>
      <c r="J85" s="37">
        <f>[52]FormattedData!C47</f>
        <v>0</v>
      </c>
      <c r="K85" s="39">
        <f>$J$3+[52]FormattedData!D47*$J$4+$M$4*$J$5+[52]FormattedData!D47^2*$J$6+$M$5*$J$7</f>
        <v>-0.76818973658313661</v>
      </c>
      <c r="L85" s="39">
        <f>$J$3+[52]FormattedData!E47*$J$4+$M$4*$J$5+[52]FormattedData!E47^2*$J$6+$M$5*$J$7</f>
        <v>-0.76818973658313661</v>
      </c>
      <c r="M85" s="39">
        <f>$J$3+[52]FormattedData!F47*$J$4+$M$4*$J$5+[52]FormattedData!F47^2*$J$6+$M$5*$J$7</f>
        <v>-0.76818973658313661</v>
      </c>
      <c r="N85" s="39">
        <f>$J$3+[52]FormattedData!G47*$J$4+$M$4*$J$5+[52]FormattedData!G47^2*$J$6+$M$5*$J$7</f>
        <v>-0.76818973658313661</v>
      </c>
      <c r="O85" s="39">
        <f>$J$3+[52]FormattedData!H47*$J$4+$M$4*$J$5+[52]FormattedData!H47^2*$J$6+$M$5*$J$7</f>
        <v>-0.76818973658313661</v>
      </c>
      <c r="P85" s="39">
        <f>$J$3+[52]FormattedData!I47*$J$4+$M$4*$J$5+[52]FormattedData!I47^2*$J$6+$M$5*$J$7</f>
        <v>-0.76818973658313661</v>
      </c>
      <c r="Q85" s="39">
        <f>$J$3+[52]FormattedData!J47*$J$4+$M$4*$J$5+[52]FormattedData!J47^2*$J$6+$M$5*$J$7</f>
        <v>-0.76818973658313661</v>
      </c>
      <c r="R85" s="39">
        <f>$J$3+[52]FormattedData!K47*$J$4+$M$4*$J$5+[52]FormattedData!K47^2*$J$6+$M$5*$J$7</f>
        <v>-0.76818973658313661</v>
      </c>
      <c r="S85" s="39">
        <f>$J$3+[52]FormattedData!L47*$J$4+$M$4*$J$5+[52]FormattedData!L47^2*$J$6+$M$5*$J$7</f>
        <v>-0.76818973658313661</v>
      </c>
      <c r="T85" s="39">
        <f>$J$3+[52]FormattedData!M47*$J$4+$M$4*$J$5+[52]FormattedData!M47^2*$J$6+$M$5*$J$7</f>
        <v>-0.76818973658313661</v>
      </c>
      <c r="U85" s="39">
        <f>$J$3+[52]FormattedData!N47*$J$4+$M$4*$J$5+[52]FormattedData!N47^2*$J$6+$M$5*$J$7</f>
        <v>-0.76818973658313661</v>
      </c>
      <c r="V85" s="39">
        <f>$J$3+[52]FormattedData!O47*$J$4+$M$4*$J$5+[52]FormattedData!O47^2*$J$6+$M$5*$J$7</f>
        <v>-0.76818973658313661</v>
      </c>
      <c r="W85" s="38">
        <f>AVERAGE(K85:V85)</f>
        <v>-0.76818973658313661</v>
      </c>
      <c r="X85" s="37">
        <f>STDEV(K85:V85)/SQRT(COUNT(K85:V85))</f>
        <v>0</v>
      </c>
      <c r="Y85" s="36">
        <f>MIN(K85:V85)</f>
        <v>-0.76818973658313661</v>
      </c>
      <c r="Z85" s="35">
        <f>QUARTILE(K85:V85,1)</f>
        <v>-0.76818973658313661</v>
      </c>
      <c r="AA85" s="36">
        <f>MEDIAN(K85:V85)</f>
        <v>-0.76818973658313661</v>
      </c>
      <c r="AB85" s="35">
        <f>QUARTILE(K85:V85,3)</f>
        <v>-0.76818973658313661</v>
      </c>
      <c r="AC85" s="35">
        <f>MAX(K85:V85)</f>
        <v>-0.76818973658313661</v>
      </c>
      <c r="AD85" s="35" t="e">
        <f>SKEW(K85:V85)</f>
        <v>#DIV/0!</v>
      </c>
      <c r="AE85" s="35" t="e">
        <f>KURT(K85:V85)</f>
        <v>#DIV/0!</v>
      </c>
    </row>
    <row r="88" spans="2:31" x14ac:dyDescent="0.2">
      <c r="W88" s="35"/>
    </row>
  </sheetData>
  <autoFilter ref="B9:AE85" xr:uid="{CB25F21F-15DD-4DD2-8BAC-282A55EDCE37}"/>
  <conditionalFormatting sqref="K10:V85">
    <cfRule type="cellIs" dxfId="203" priority="1" stopIfTrue="1" operator="lessThan">
      <formula>$W10-$V$5*$X10</formula>
    </cfRule>
    <cfRule type="cellIs" dxfId="202" priority="2" stopIfTrue="1" operator="greaterThan">
      <formula>$W10+$V$5*$X10</formula>
    </cfRule>
  </conditionalFormatting>
  <conditionalFormatting sqref="W10:W85">
    <cfRule type="cellIs" dxfId="201" priority="3" stopIfTrue="1" operator="lessThan">
      <formula>AVERAGE($W$10:$W$41)</formula>
    </cfRule>
    <cfRule type="cellIs" dxfId="20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3A06-C4CC-4938-BD48-04211F103460}">
  <sheetPr codeName="Sheet22"/>
  <dimension ref="A1:AI88"/>
  <sheetViews>
    <sheetView topLeftCell="A8" workbookViewId="0">
      <pane xSplit="4" ySplit="2" topLeftCell="P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[51]FormattedData!A1</f>
        <v>Raw data file name - 'IA136.03R'</v>
      </c>
    </row>
    <row r="2" spans="1:35" ht="15" x14ac:dyDescent="0.25">
      <c r="I2" s="65" t="s">
        <v>136</v>
      </c>
      <c r="J2" s="57"/>
      <c r="P2" s="64">
        <f>[51]AncillaryData!C10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[51]AncillaryData!E25</f>
        <v>35.700000000000003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"&amp;[51]AncillaryData!C7</f>
        <v>Time Sequence of Midday IRT Temps - FISE 2003 - DOY 136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"&amp;[51]AncillaryData!E25&amp;", VPD = "&amp;ROUND([51]AncillaryData!E29,1)&amp;", Quality = "&amp;[51]AncillaryData!C20&amp;")"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[51]FormattedData!A28</f>
        <v>101</v>
      </c>
      <c r="C10" s="34" t="str">
        <f>VLOOKUP($B10,[51]TrtCodes!$B$11:I71,2)</f>
        <v>FSH</v>
      </c>
      <c r="D10" s="34">
        <f>VLOOKUP($B10,[51]TrtCodes!$B$11:J71,3)</f>
        <v>1</v>
      </c>
      <c r="E10" s="34">
        <f>VLOOKUP($B10,[51]TrtCodes!$B$11:K71,4)</f>
        <v>1</v>
      </c>
      <c r="F10" s="34">
        <f>VLOOKUP($B10,[51]TrtCodes!$B$11:L71,5)</f>
        <v>1</v>
      </c>
      <c r="G10" s="34">
        <f>VLOOKUP($B10,[51]TrtCodes!$B$11:M71,6)</f>
        <v>2</v>
      </c>
      <c r="H10" s="34">
        <f>VLOOKUP($B10,[51]TrtCodes!$B$11:N71,7)</f>
        <v>1</v>
      </c>
      <c r="I10" s="34">
        <f>[51]FormattedData!B28</f>
        <v>1</v>
      </c>
      <c r="J10" s="37">
        <f>[51]FormattedData!C28</f>
        <v>13.365</v>
      </c>
      <c r="K10" s="39">
        <f>$J$3+[51]FormattedData!D28*$J$4+$M$4*$J$5+[51]FormattedData!D28^2*$J$6+$M$5*$J$7</f>
        <v>49.277824067468018</v>
      </c>
      <c r="L10" s="39">
        <f>$J$3+[51]FormattedData!E28*$J$4+$M$4*$J$5+[51]FormattedData!E28^2*$J$6+$M$5*$J$7</f>
        <v>50.160791208383301</v>
      </c>
      <c r="M10" s="39">
        <f>$J$3+[51]FormattedData!F28*$J$4+$M$4*$J$5+[51]FormattedData!F28^2*$J$6+$M$5*$J$7</f>
        <v>51.82678379392231</v>
      </c>
      <c r="N10" s="39">
        <f>$J$3+[51]FormattedData!G28*$J$4+$M$4*$J$5+[51]FormattedData!G28^2*$J$6+$M$5*$J$7</f>
        <v>52.175574722343598</v>
      </c>
      <c r="O10" s="39">
        <f>$J$3+[51]FormattedData!H28*$J$4+$M$4*$J$5+[51]FormattedData!H28^2*$J$6+$M$5*$J$7</f>
        <v>52.610612340766735</v>
      </c>
      <c r="P10" s="39">
        <f>$J$3+[51]FormattedData!I28*$J$4+$M$4*$J$5+[51]FormattedData!I28^2*$J$6+$M$5*$J$7</f>
        <v>50.951847675213948</v>
      </c>
      <c r="Q10" s="39">
        <f>$J$3+[51]FormattedData!J28*$J$4+$M$4*$J$5+[51]FormattedData!J28^2*$J$6+$M$5*$J$7</f>
        <v>52.436724099011265</v>
      </c>
      <c r="R10" s="39">
        <f>$J$3+[51]FormattedData!K28*$J$4+$M$4*$J$5+[51]FormattedData!K28^2*$J$6+$M$5*$J$7</f>
        <v>50.688542603111777</v>
      </c>
      <c r="S10" s="39">
        <f>$J$3+[51]FormattedData!L28*$J$4+$M$4*$J$5+[51]FormattedData!L28^2*$J$6+$M$5*$J$7</f>
        <v>53.823095956806689</v>
      </c>
      <c r="T10" s="39">
        <f>$J$3+[51]FormattedData!M28*$J$4+$M$4*$J$5+[51]FormattedData!M28^2*$J$6+$M$5*$J$7</f>
        <v>51.214772330474737</v>
      </c>
      <c r="U10" s="39">
        <f>$J$3+[51]FormattedData!N28*$J$4+$M$4*$J$5+[51]FormattedData!N28^2*$J$6+$M$5*$J$7</f>
        <v>51.389844091292268</v>
      </c>
      <c r="V10" s="39">
        <f>$J$3+[51]FormattedData!O28*$J$4+$M$4*$J$5+[51]FormattedData!O28^2*$J$6+$M$5*$J$7</f>
        <v>52.610612340766735</v>
      </c>
      <c r="W10" s="38">
        <f>AVERAGE(K10:V10)</f>
        <v>51.59725210246345</v>
      </c>
      <c r="X10" s="37">
        <f>STDEV(K10:V10)/SQRT(COUNT(K10:V10))</f>
        <v>0.35860429033173064</v>
      </c>
      <c r="Y10" s="36">
        <f>MIN(K10:V10)</f>
        <v>49.277824067468018</v>
      </c>
      <c r="Z10" s="35">
        <f>QUARTILE(K10:V10,1)</f>
        <v>50.886021407188409</v>
      </c>
      <c r="AA10" s="36">
        <f>MEDIAN(K10:V10)</f>
        <v>51.608313942607289</v>
      </c>
      <c r="AB10" s="35">
        <f>QUARTILE(K10:V10,3)</f>
        <v>52.480196159450131</v>
      </c>
      <c r="AC10" s="35">
        <f>MAX(K10:V10)</f>
        <v>53.823095956806689</v>
      </c>
      <c r="AD10" s="35">
        <f>SKEW(K10:V10)</f>
        <v>-0.14909924974951583</v>
      </c>
      <c r="AE10" s="35">
        <f>KURT(K10:V10)</f>
        <v>2.5848030150673829E-2</v>
      </c>
    </row>
    <row r="11" spans="1:35" x14ac:dyDescent="0.2">
      <c r="B11" s="34">
        <f>[51]FormattedData!A26</f>
        <v>102</v>
      </c>
      <c r="C11" s="34" t="str">
        <f>VLOOKUP($B11,[51]TrtCodes!$B$11:I69,2)</f>
        <v>FTL</v>
      </c>
      <c r="D11" s="34">
        <f>VLOOKUP($B11,[51]TrtCodes!$B$11:J69,3)</f>
        <v>4</v>
      </c>
      <c r="E11" s="34">
        <f>VLOOKUP($B11,[51]TrtCodes!$B$11:K69,4)</f>
        <v>1</v>
      </c>
      <c r="F11" s="34">
        <f>VLOOKUP($B11,[51]TrtCodes!$B$11:L69,5)</f>
        <v>2</v>
      </c>
      <c r="G11" s="34">
        <f>VLOOKUP($B11,[51]TrtCodes!$B$11:M69,6)</f>
        <v>1</v>
      </c>
      <c r="H11" s="34">
        <f>VLOOKUP($B11,[51]TrtCodes!$B$11:N69,7)</f>
        <v>1</v>
      </c>
      <c r="I11" s="34">
        <f>[51]FormattedData!B26</f>
        <v>1</v>
      </c>
      <c r="J11" s="37">
        <f>[51]FormattedData!C26</f>
        <v>13.356</v>
      </c>
      <c r="K11" s="39">
        <f>$J$3+[51]FormattedData!D26*$J$4+$M$4*$J$5+[51]FormattedData!D26^2*$J$6+$M$5*$J$7</f>
        <v>50.072684702712465</v>
      </c>
      <c r="L11" s="39">
        <f>$J$3+[51]FormattedData!E26*$J$4+$M$4*$J$5+[51]FormattedData!E26^2*$J$6+$M$5*$J$7</f>
        <v>49.984535928503696</v>
      </c>
      <c r="M11" s="39">
        <f>$J$3+[51]FormattedData!F26*$J$4+$M$4*$J$5+[51]FormattedData!F26^2*$J$6+$M$5*$J$7</f>
        <v>53.736764729728968</v>
      </c>
      <c r="N11" s="39">
        <f>$J$3+[51]FormattedData!G26*$J$4+$M$4*$J$5+[51]FormattedData!G26^2*$J$6+$M$5*$J$7</f>
        <v>51.389844091292268</v>
      </c>
      <c r="O11" s="39">
        <f>$J$3+[51]FormattedData!H26*$J$4+$M$4*$J$5+[51]FormattedData!H26^2*$J$6+$M$5*$J$7</f>
        <v>52.610612340766735</v>
      </c>
      <c r="P11" s="39">
        <f>$J$3+[51]FormattedData!I26*$J$4+$M$4*$J$5+[51]FormattedData!I26^2*$J$6+$M$5*$J$7</f>
        <v>50.864121586384492</v>
      </c>
      <c r="Q11" s="39">
        <f>$J$3+[51]FormattedData!J26*$J$4+$M$4*$J$5+[51]FormattedData!J26^2*$J$6+$M$5*$J$7</f>
        <v>51.82678379392231</v>
      </c>
      <c r="R11" s="39">
        <f>$J$3+[51]FormattedData!K26*$J$4+$M$4*$J$5+[51]FormattedData!K26^2*$J$6+$M$5*$J$7</f>
        <v>51.12717304725907</v>
      </c>
      <c r="S11" s="39">
        <f>$J$3+[51]FormattedData!L26*$J$4+$M$4*$J$5+[51]FormattedData!L26^2*$J$6+$M$5*$J$7</f>
        <v>51.564746777958078</v>
      </c>
      <c r="T11" s="39">
        <f>$J$3+[51]FormattedData!M26*$J$4+$M$4*$J$5+[51]FormattedData!M26^2*$J$6+$M$5*$J$7</f>
        <v>50.160791208383301</v>
      </c>
      <c r="U11" s="39">
        <f>$J$3+[51]FormattedData!N26*$J$4+$M$4*$J$5+[51]FormattedData!N26^2*$J$6+$M$5*$J$7</f>
        <v>51.389844091292268</v>
      </c>
      <c r="V11" s="39">
        <f>$J$3+[51]FormattedData!O26*$J$4+$M$4*$J$5+[51]FormattedData!O26^2*$J$6+$M$5*$J$7</f>
        <v>51.039531495505479</v>
      </c>
      <c r="W11" s="38">
        <f>AVERAGE(K11:V11)</f>
        <v>51.313952816142425</v>
      </c>
      <c r="X11" s="37">
        <f>STDEV(K11:V11)/SQRT(COUNT(K11:V11))</f>
        <v>0.31187574070445639</v>
      </c>
      <c r="Y11" s="36">
        <f>MIN(K11:V11)</f>
        <v>49.984535928503696</v>
      </c>
      <c r="Z11" s="35">
        <f>QUARTILE(K11:V11,1)</f>
        <v>50.688288991884193</v>
      </c>
      <c r="AA11" s="36">
        <f>MEDIAN(K11:V11)</f>
        <v>51.258508569275669</v>
      </c>
      <c r="AB11" s="35">
        <f>QUARTILE(K11:V11,3)</f>
        <v>51.630256031949138</v>
      </c>
      <c r="AC11" s="35">
        <f>MAX(K11:V11)</f>
        <v>53.736764729728968</v>
      </c>
      <c r="AD11" s="35">
        <f>SKEW(K11:V11)</f>
        <v>0.92046921344478405</v>
      </c>
      <c r="AE11" s="35">
        <f>KURT(K11:V11)</f>
        <v>1.1334894170957988</v>
      </c>
    </row>
    <row r="12" spans="1:35" x14ac:dyDescent="0.2">
      <c r="B12" s="34">
        <f>[51]FormattedData!A24</f>
        <v>103</v>
      </c>
      <c r="C12" s="34" t="str">
        <f>VLOOKUP($B12,[51]TrtCodes!$B$11:I67,2)</f>
        <v>FDH</v>
      </c>
      <c r="D12" s="34">
        <f>VLOOKUP($B12,[51]TrtCodes!$B$11:J67,3)</f>
        <v>5</v>
      </c>
      <c r="E12" s="34">
        <f>VLOOKUP($B12,[51]TrtCodes!$B$11:K67,4)</f>
        <v>1</v>
      </c>
      <c r="F12" s="34">
        <f>VLOOKUP($B12,[51]TrtCodes!$B$11:L67,5)</f>
        <v>3</v>
      </c>
      <c r="G12" s="34">
        <f>VLOOKUP($B12,[51]TrtCodes!$B$11:M67,6)</f>
        <v>2</v>
      </c>
      <c r="H12" s="34">
        <f>VLOOKUP($B12,[51]TrtCodes!$B$11:N67,7)</f>
        <v>1</v>
      </c>
      <c r="I12" s="34">
        <f>[51]FormattedData!B24</f>
        <v>1</v>
      </c>
      <c r="J12" s="37">
        <f>[51]FormattedData!C24</f>
        <v>13.348000000000001</v>
      </c>
      <c r="K12" s="39">
        <f>$J$3+[51]FormattedData!D24*$J$4+$M$4*$J$5+[51]FormattedData!D24^2*$J$6+$M$5*$J$7</f>
        <v>50.864121586384492</v>
      </c>
      <c r="L12" s="39">
        <f>$J$3+[51]FormattedData!E24*$J$4+$M$4*$J$5+[51]FormattedData!E24^2*$J$6+$M$5*$J$7</f>
        <v>50.160791208383301</v>
      </c>
      <c r="M12" s="39">
        <f>$J$3+[51]FormattedData!F24*$J$4+$M$4*$J$5+[51]FormattedData!F24^2*$J$6+$M$5*$J$7</f>
        <v>54.426231027288736</v>
      </c>
      <c r="N12" s="39">
        <f>$J$3+[51]FormattedData!G24*$J$4+$M$4*$J$5+[51]FormattedData!G24^2*$J$6+$M$5*$J$7</f>
        <v>51.477316568894146</v>
      </c>
      <c r="O12" s="39">
        <f>$J$3+[51]FormattedData!H24*$J$4+$M$4*$J$5+[51]FormattedData!H24^2*$J$6+$M$5*$J$7</f>
        <v>53.736764729728968</v>
      </c>
      <c r="P12" s="39">
        <f>$J$3+[51]FormattedData!I24*$J$4+$M$4*$J$5+[51]FormattedData!I24^2*$J$6+$M$5*$J$7</f>
        <v>50.248855445516213</v>
      </c>
      <c r="Q12" s="39">
        <f>$J$3+[51]FormattedData!J24*$J$4+$M$4*$J$5+[51]FormattedData!J24^2*$J$6+$M$5*$J$7</f>
        <v>53.47751743726819</v>
      </c>
      <c r="R12" s="39">
        <f>$J$3+[51]FormattedData!K24*$J$4+$M$4*$J$5+[51]FormattedData!K24^2*$J$6+$M$5*$J$7</f>
        <v>51.652134718484092</v>
      </c>
      <c r="S12" s="39">
        <f>$J$3+[51]FormattedData!L24*$J$4+$M$4*$J$5+[51]FormattedData!L24^2*$J$6+$M$5*$J$7</f>
        <v>53.736764729728968</v>
      </c>
      <c r="T12" s="39">
        <f>$J$3+[51]FormattedData!M24*$J$4+$M$4*$J$5+[51]FormattedData!M24^2*$J$6+$M$5*$J$7</f>
        <v>49.984535928503696</v>
      </c>
      <c r="U12" s="39">
        <f>$J$3+[51]FormattedData!N24*$J$4+$M$4*$J$5+[51]FormattedData!N24^2*$J$6+$M$5*$J$7</f>
        <v>54.081836026812297</v>
      </c>
      <c r="V12" s="39">
        <f>$J$3+[51]FormattedData!O24*$J$4+$M$4*$J$5+[51]FormattedData!O24^2*$J$6+$M$5*$J$7</f>
        <v>50.951847675213948</v>
      </c>
      <c r="W12" s="38">
        <f>AVERAGE(K12:V12)</f>
        <v>52.06655975685058</v>
      </c>
      <c r="X12" s="37">
        <f>STDEV(K12:V12)/SQRT(COUNT(K12:V12))</f>
        <v>0.48987923681064954</v>
      </c>
      <c r="Y12" s="36">
        <f>MIN(K12:V12)</f>
        <v>49.984535928503696</v>
      </c>
      <c r="Z12" s="35">
        <f>QUARTILE(K12:V12,1)</f>
        <v>50.710305051167424</v>
      </c>
      <c r="AA12" s="36">
        <f>MEDIAN(K12:V12)</f>
        <v>51.564725643689115</v>
      </c>
      <c r="AB12" s="35">
        <f>QUARTILE(K12:V12,3)</f>
        <v>53.736764729728968</v>
      </c>
      <c r="AC12" s="35">
        <f>MAX(K12:V12)</f>
        <v>54.426231027288736</v>
      </c>
      <c r="AD12" s="35">
        <f>SKEW(K12:V12)</f>
        <v>0.18078561318794928</v>
      </c>
      <c r="AE12" s="35">
        <f>KURT(K12:V12)</f>
        <v>-1.8728038984233764</v>
      </c>
    </row>
    <row r="13" spans="1:35" x14ac:dyDescent="0.2">
      <c r="B13" s="34">
        <f>[51]FormattedData!A22</f>
        <v>104</v>
      </c>
      <c r="C13" s="34" t="str">
        <f>VLOOKUP($B13,[51]TrtCodes!$B$11:I65,2)</f>
        <v>NTL</v>
      </c>
      <c r="D13" s="34">
        <f>VLOOKUP($B13,[51]TrtCodes!$B$11:J65,3)</f>
        <v>10</v>
      </c>
      <c r="E13" s="34">
        <f>VLOOKUP($B13,[51]TrtCodes!$B$11:K65,4)</f>
        <v>2</v>
      </c>
      <c r="F13" s="34">
        <f>VLOOKUP($B13,[51]TrtCodes!$B$11:L65,5)</f>
        <v>2</v>
      </c>
      <c r="G13" s="34">
        <f>VLOOKUP($B13,[51]TrtCodes!$B$11:M65,6)</f>
        <v>1</v>
      </c>
      <c r="H13" s="34">
        <f>VLOOKUP($B13,[51]TrtCodes!$B$11:N65,7)</f>
        <v>1</v>
      </c>
      <c r="I13" s="34">
        <f>[51]FormattedData!B22</f>
        <v>1</v>
      </c>
      <c r="J13" s="37">
        <f>[51]FormattedData!C22</f>
        <v>13.34</v>
      </c>
      <c r="K13" s="39">
        <f>$J$3+[51]FormattedData!D22*$J$4+$M$4*$J$5+[51]FormattedData!D22^2*$J$6+$M$5*$J$7</f>
        <v>49.366310989980242</v>
      </c>
      <c r="L13" s="39">
        <f>$J$3+[51]FormattedData!E22*$J$4+$M$4*$J$5+[51]FormattedData!E22^2*$J$6+$M$5*$J$7</f>
        <v>49.012109688703774</v>
      </c>
      <c r="M13" s="39">
        <f>$J$3+[51]FormattedData!F22*$J$4+$M$4*$J$5+[51]FormattedData!F22^2*$J$6+$M$5*$J$7</f>
        <v>54.167998179738305</v>
      </c>
      <c r="N13" s="39">
        <f>$J$3+[51]FormattedData!G22*$J$4+$M$4*$J$5+[51]FormattedData!G22^2*$J$6+$M$5*$J$7</f>
        <v>49.984535928503696</v>
      </c>
      <c r="O13" s="39">
        <f>$J$3+[51]FormattedData!H22*$J$4+$M$4*$J$5+[51]FormattedData!H22^2*$J$6+$M$5*$J$7</f>
        <v>54.769949731158277</v>
      </c>
      <c r="P13" s="39">
        <f>$J$3+[51]FormattedData!I22*$J$4+$M$4*$J$5+[51]FormattedData!I22^2*$J$6+$M$5*$J$7</f>
        <v>50.864121586384492</v>
      </c>
      <c r="Q13" s="39">
        <f>$J$3+[51]FormattedData!J22*$J$4+$M$4*$J$5+[51]FormattedData!J22^2*$J$6+$M$5*$J$7</f>
        <v>53.99563160534835</v>
      </c>
      <c r="R13" s="39">
        <f>$J$3+[51]FormattedData!K22*$J$4+$M$4*$J$5+[51]FormattedData!K22^2*$J$6+$M$5*$J$7</f>
        <v>50.512794545687342</v>
      </c>
      <c r="S13" s="39">
        <f>$J$3+[51]FormattedData!L22*$J$4+$M$4*$J$5+[51]FormattedData!L22^2*$J$6+$M$5*$J$7</f>
        <v>53.391017136038727</v>
      </c>
      <c r="T13" s="39">
        <f>$J$3+[51]FormattedData!M22*$J$4+$M$4*$J$5+[51]FormattedData!M22^2*$J$6+$M$5*$J$7</f>
        <v>49.631518146289309</v>
      </c>
      <c r="U13" s="39">
        <f>$J$3+[51]FormattedData!N22*$J$4+$M$4*$J$5+[51]FormattedData!N22^2*$J$6+$M$5*$J$7</f>
        <v>53.823095956806689</v>
      </c>
      <c r="V13" s="39">
        <f>$J$3+[51]FormattedData!O22*$J$4+$M$4*$J$5+[51]FormattedData!O22^2*$J$6+$M$5*$J$7</f>
        <v>50.072684702712465</v>
      </c>
      <c r="W13" s="38">
        <f>AVERAGE(K13:V13)</f>
        <v>51.632647349779297</v>
      </c>
      <c r="X13" s="37">
        <f>STDEV(K13:V13)/SQRT(COUNT(K13:V13))</f>
        <v>0.63213663144448518</v>
      </c>
      <c r="Y13" s="36">
        <f>MIN(K13:V13)</f>
        <v>49.012109688703774</v>
      </c>
      <c r="Z13" s="35">
        <f>QUARTILE(K13:V13,1)</f>
        <v>49.896281482950101</v>
      </c>
      <c r="AA13" s="36">
        <f>MEDIAN(K13:V13)</f>
        <v>50.688458066035921</v>
      </c>
      <c r="AB13" s="35">
        <f>QUARTILE(K13:V13,3)</f>
        <v>53.866229868942106</v>
      </c>
      <c r="AC13" s="35">
        <f>MAX(K13:V13)</f>
        <v>54.769949731158277</v>
      </c>
      <c r="AD13" s="35">
        <f>SKEW(K13:V13)</f>
        <v>0.29647104246158823</v>
      </c>
      <c r="AE13" s="35">
        <f>KURT(K13:V13)</f>
        <v>-1.9311385797374636</v>
      </c>
    </row>
    <row r="14" spans="1:35" x14ac:dyDescent="0.2">
      <c r="B14" s="34">
        <f>[51]FormattedData!A20</f>
        <v>105</v>
      </c>
      <c r="C14" s="34" t="str">
        <f>VLOOKUP($B14,[51]TrtCodes!$B$11:I63,2)</f>
        <v>NDL</v>
      </c>
      <c r="D14" s="34">
        <f>VLOOKUP($B14,[51]TrtCodes!$B$11:J63,3)</f>
        <v>12</v>
      </c>
      <c r="E14" s="34">
        <f>VLOOKUP($B14,[51]TrtCodes!$B$11:K63,4)</f>
        <v>2</v>
      </c>
      <c r="F14" s="34">
        <f>VLOOKUP($B14,[51]TrtCodes!$B$11:L63,5)</f>
        <v>3</v>
      </c>
      <c r="G14" s="34">
        <f>VLOOKUP($B14,[51]TrtCodes!$B$11:M63,6)</f>
        <v>1</v>
      </c>
      <c r="H14" s="34">
        <f>VLOOKUP($B14,[51]TrtCodes!$B$11:N63,7)</f>
        <v>2</v>
      </c>
      <c r="I14" s="34">
        <f>[51]FormattedData!B20</f>
        <v>1</v>
      </c>
      <c r="J14" s="37">
        <f>[51]FormattedData!C20</f>
        <v>13.331</v>
      </c>
      <c r="K14" s="39">
        <f>$J$3+[51]FormattedData!D20*$J$4+$M$4*$J$5+[51]FormattedData!D20^2*$J$6+$M$5*$J$7</f>
        <v>48.568407020004749</v>
      </c>
      <c r="L14" s="39">
        <f>$J$3+[51]FormattedData!E20*$J$4+$M$4*$J$5+[51]FormattedData!E20^2*$J$6+$M$5*$J$7</f>
        <v>48.479539680651158</v>
      </c>
      <c r="M14" s="39">
        <f>$J$3+[51]FormattedData!F20*$J$4+$M$4*$J$5+[51]FormattedData!F20^2*$J$6+$M$5*$J$7</f>
        <v>53.99563160534835</v>
      </c>
      <c r="N14" s="39">
        <f>$J$3+[51]FormattedData!G20*$J$4+$M$4*$J$5+[51]FormattedData!G20^2*$J$6+$M$5*$J$7</f>
        <v>50.688542603111777</v>
      </c>
      <c r="O14" s="39">
        <f>$J$3+[51]FormattedData!H20*$J$4+$M$4*$J$5+[51]FormattedData!H20^2*$J$6+$M$5*$J$7</f>
        <v>51.739480390472174</v>
      </c>
      <c r="P14" s="39">
        <f>$J$3+[51]FormattedData!I20*$J$4+$M$4*$J$5+[51]FormattedData!I20^2*$J$6+$M$5*$J$7</f>
        <v>48.746014893098156</v>
      </c>
      <c r="Q14" s="39">
        <f>$J$3+[51]FormattedData!J20*$J$4+$M$4*$J$5+[51]FormattedData!J20^2*$J$6+$M$5*$J$7</f>
        <v>53.99563160534835</v>
      </c>
      <c r="R14" s="39">
        <f>$J$3+[51]FormattedData!K20*$J$4+$M$4*$J$5+[51]FormattedData!K20^2*$J$6+$M$5*$J$7</f>
        <v>49.454755643954527</v>
      </c>
      <c r="S14" s="39">
        <f>$J$3+[51]FormattedData!L20*$J$4+$M$4*$J$5+[51]FormattedData!L20^2*$J$6+$M$5*$J$7</f>
        <v>53.99563160534835</v>
      </c>
      <c r="T14" s="39">
        <f>$J$3+[51]FormattedData!M20*$J$4+$M$4*$J$5+[51]FormattedData!M20^2*$J$6+$M$5*$J$7</f>
        <v>48.746014893098156</v>
      </c>
      <c r="U14" s="39">
        <f>$J$3+[51]FormattedData!N20*$J$4+$M$4*$J$5+[51]FormattedData!N20^2*$J$6+$M$5*$J$7</f>
        <v>53.6503912341133</v>
      </c>
      <c r="V14" s="39">
        <f>$J$3+[51]FormattedData!O20*$J$4+$M$4*$J$5+[51]FormattedData!O20^2*$J$6+$M$5*$J$7</f>
        <v>49.189294876417868</v>
      </c>
      <c r="W14" s="38">
        <f>AVERAGE(K14:V14)</f>
        <v>50.937444670913912</v>
      </c>
      <c r="X14" s="37">
        <f>STDEV(K14:V14)/SQRT(COUNT(K14:V14))</f>
        <v>0.68884826086108319</v>
      </c>
      <c r="Y14" s="36">
        <f>MIN(K14:V14)</f>
        <v>48.479539680651158</v>
      </c>
      <c r="Z14" s="35">
        <f>QUARTILE(K14:V14,1)</f>
        <v>48.746014893098156</v>
      </c>
      <c r="AA14" s="36">
        <f>MEDIAN(K14:V14)</f>
        <v>50.071649123533149</v>
      </c>
      <c r="AB14" s="35">
        <f>QUARTILE(K14:V14,3)</f>
        <v>53.736701326922059</v>
      </c>
      <c r="AC14" s="35">
        <f>MAX(K14:V14)</f>
        <v>53.99563160534835</v>
      </c>
      <c r="AD14" s="35">
        <f>SKEW(K14:V14)</f>
        <v>0.38921915006856234</v>
      </c>
      <c r="AE14" s="35">
        <f>KURT(K14:V14)</f>
        <v>-1.8692433480867008</v>
      </c>
    </row>
    <row r="15" spans="1:35" x14ac:dyDescent="0.2">
      <c r="B15" s="34">
        <f>[51]FormattedData!A18</f>
        <v>106</v>
      </c>
      <c r="C15" s="34" t="str">
        <f>VLOOKUP($B15,[51]TrtCodes!$B$11:I61,2)</f>
        <v>NTH</v>
      </c>
      <c r="D15" s="34">
        <f>VLOOKUP($B15,[51]TrtCodes!$B$11:J61,3)</f>
        <v>9</v>
      </c>
      <c r="E15" s="34">
        <f>VLOOKUP($B15,[51]TrtCodes!$B$11:K61,4)</f>
        <v>2</v>
      </c>
      <c r="F15" s="34">
        <f>VLOOKUP($B15,[51]TrtCodes!$B$11:L61,5)</f>
        <v>2</v>
      </c>
      <c r="G15" s="34">
        <f>VLOOKUP($B15,[51]TrtCodes!$B$11:M61,6)</f>
        <v>2</v>
      </c>
      <c r="H15" s="34">
        <f>VLOOKUP($B15,[51]TrtCodes!$B$11:N61,7)</f>
        <v>2</v>
      </c>
      <c r="I15" s="34">
        <f>[51]FormattedData!B18</f>
        <v>1</v>
      </c>
      <c r="J15" s="37">
        <f>[51]FormattedData!C18</f>
        <v>13.323</v>
      </c>
      <c r="K15" s="39">
        <f>$J$3+[51]FormattedData!D18*$J$4+$M$4*$J$5+[51]FormattedData!D18^2*$J$6+$M$5*$J$7</f>
        <v>48.568407020004749</v>
      </c>
      <c r="L15" s="39">
        <f>$J$3+[51]FormattedData!E18*$J$4+$M$4*$J$5+[51]FormattedData!E18^2*$J$6+$M$5*$J$7</f>
        <v>48.657232090820422</v>
      </c>
      <c r="M15" s="39">
        <f>$J$3+[51]FormattedData!F18*$J$4+$M$4*$J$5+[51]FormattedData!F18^2*$J$6+$M$5*$J$7</f>
        <v>54.254118064126374</v>
      </c>
      <c r="N15" s="39">
        <f>$J$3+[51]FormattedData!G18*$J$4+$M$4*$J$5+[51]FormattedData!G18^2*$J$6+$M$5*$J$7</f>
        <v>49.808111574472363</v>
      </c>
      <c r="O15" s="39">
        <f>$J$3+[51]FormattedData!H18*$J$4+$M$4*$J$5+[51]FormattedData!H18^2*$J$6+$M$5*$J$7</f>
        <v>53.736764729728968</v>
      </c>
      <c r="P15" s="39">
        <f>$J$3+[51]FormattedData!I18*$J$4+$M$4*$J$5+[51]FormattedData!I18^2*$J$6+$M$5*$J$7</f>
        <v>49.808111574472363</v>
      </c>
      <c r="Q15" s="39">
        <f>$J$3+[51]FormattedData!J18*$J$4+$M$4*$J$5+[51]FormattedData!J18^2*$J$6+$M$5*$J$7</f>
        <v>53.99563160534835</v>
      </c>
      <c r="R15" s="39">
        <f>$J$3+[51]FormattedData!K18*$J$4+$M$4*$J$5+[51]FormattedData!K18^2*$J$6+$M$5*$J$7</f>
        <v>50.160791208383301</v>
      </c>
      <c r="S15" s="39">
        <f>$J$3+[51]FormattedData!L18*$J$4+$M$4*$J$5+[51]FormattedData!L18^2*$J$6+$M$5*$J$7</f>
        <v>53.131262621122772</v>
      </c>
      <c r="T15" s="39">
        <f>$J$3+[51]FormattedData!M18*$J$4+$M$4*$J$5+[51]FormattedData!M18^2*$J$6+$M$5*$J$7</f>
        <v>49.984535928503696</v>
      </c>
      <c r="U15" s="39">
        <f>$J$3+[51]FormattedData!N18*$J$4+$M$4*$J$5+[51]FormattedData!N18^2*$J$6+$M$5*$J$7</f>
        <v>53.6503912341133</v>
      </c>
      <c r="V15" s="39">
        <f>$J$3+[51]FormattedData!O18*$J$4+$M$4*$J$5+[51]FormattedData!O18^2*$J$6+$M$5*$J$7</f>
        <v>51.477316568894146</v>
      </c>
      <c r="W15" s="38">
        <f>AVERAGE(K15:V15)</f>
        <v>51.436056184999238</v>
      </c>
      <c r="X15" s="37">
        <f>STDEV(K15:V15)/SQRT(COUNT(K15:V15))</f>
        <v>0.63091900317144112</v>
      </c>
      <c r="Y15" s="36">
        <f>MIN(K15:V15)</f>
        <v>48.568407020004749</v>
      </c>
      <c r="Z15" s="35">
        <f>QUARTILE(K15:V15,1)</f>
        <v>49.808111574472363</v>
      </c>
      <c r="AA15" s="36">
        <f>MEDIAN(K15:V15)</f>
        <v>50.81905388863872</v>
      </c>
      <c r="AB15" s="35">
        <f>QUARTILE(K15:V15,3)</f>
        <v>53.671984608017219</v>
      </c>
      <c r="AC15" s="35">
        <f>MAX(K15:V15)</f>
        <v>54.254118064126374</v>
      </c>
      <c r="AD15" s="35">
        <f>SKEW(K15:V15)</f>
        <v>8.6263755467344674E-2</v>
      </c>
      <c r="AE15" s="35">
        <f>KURT(K15:V15)</f>
        <v>-1.8600547432272294</v>
      </c>
    </row>
    <row r="16" spans="1:35" x14ac:dyDescent="0.2">
      <c r="B16" s="34">
        <f>[51]FormattedData!A16</f>
        <v>107</v>
      </c>
      <c r="C16" s="34" t="str">
        <f>VLOOKUP($B16,[51]TrtCodes!$B$11:I59,2)</f>
        <v>NTL</v>
      </c>
      <c r="D16" s="34">
        <f>VLOOKUP($B16,[51]TrtCodes!$B$11:J59,3)</f>
        <v>10</v>
      </c>
      <c r="E16" s="34">
        <f>VLOOKUP($B16,[51]TrtCodes!$B$11:K59,4)</f>
        <v>2</v>
      </c>
      <c r="F16" s="34">
        <f>VLOOKUP($B16,[51]TrtCodes!$B$11:L59,5)</f>
        <v>2</v>
      </c>
      <c r="G16" s="34">
        <f>VLOOKUP($B16,[51]TrtCodes!$B$11:M59,6)</f>
        <v>1</v>
      </c>
      <c r="H16" s="34">
        <f>VLOOKUP($B16,[51]TrtCodes!$B$11:N59,7)</f>
        <v>2</v>
      </c>
      <c r="I16" s="34">
        <f>[51]FormattedData!B16</f>
        <v>1</v>
      </c>
      <c r="J16" s="37">
        <f>[51]FormattedData!C16</f>
        <v>13.315</v>
      </c>
      <c r="K16" s="39">
        <f>$J$3+[51]FormattedData!D16*$J$4+$M$4*$J$5+[51]FormattedData!D16^2*$J$6+$M$5*$J$7</f>
        <v>49.454755643954527</v>
      </c>
      <c r="L16" s="39">
        <f>$J$3+[51]FormattedData!E16*$J$4+$M$4*$J$5+[51]FormattedData!E16^2*$J$6+$M$5*$J$7</f>
        <v>49.631518146289309</v>
      </c>
      <c r="M16" s="39">
        <f>$J$3+[51]FormattedData!F16*$J$4+$M$4*$J$5+[51]FormattedData!F16^2*$J$6+$M$5*$J$7</f>
        <v>54.598174916299364</v>
      </c>
      <c r="N16" s="39">
        <f>$J$3+[51]FormattedData!G16*$J$4+$M$4*$J$5+[51]FormattedData!G16^2*$J$6+$M$5*$J$7</f>
        <v>50.160791208383301</v>
      </c>
      <c r="O16" s="39">
        <f>$J$3+[51]FormattedData!H16*$J$4+$M$4*$J$5+[51]FormattedData!H16^2*$J$6+$M$5*$J$7</f>
        <v>54.254118064126374</v>
      </c>
      <c r="P16" s="39">
        <f>$J$3+[51]FormattedData!I16*$J$4+$M$4*$J$5+[51]FormattedData!I16^2*$J$6+$M$5*$J$7</f>
        <v>50.072684702712465</v>
      </c>
      <c r="Q16" s="39">
        <f>$J$3+[51]FormattedData!J16*$J$4+$M$4*$J$5+[51]FormattedData!J16^2*$J$6+$M$5*$J$7</f>
        <v>55.369830124219611</v>
      </c>
      <c r="R16" s="39">
        <f>$J$3+[51]FormattedData!K16*$J$4+$M$4*$J$5+[51]FormattedData!K16^2*$J$6+$M$5*$J$7</f>
        <v>50.688542603111777</v>
      </c>
      <c r="S16" s="39">
        <f>$J$3+[51]FormattedData!L16*$J$4+$M$4*$J$5+[51]FormattedData!L16^2*$J$6+$M$5*$J$7</f>
        <v>54.426231027288736</v>
      </c>
      <c r="T16" s="39">
        <f>$J$3+[51]FormattedData!M16*$J$4+$M$4*$J$5+[51]FormattedData!M16^2*$J$6+$M$5*$J$7</f>
        <v>50.160791208383301</v>
      </c>
      <c r="U16" s="39">
        <f>$J$3+[51]FormattedData!N16*$J$4+$M$4*$J$5+[51]FormattedData!N16^2*$J$6+$M$5*$J$7</f>
        <v>55.198647068891745</v>
      </c>
      <c r="V16" s="39">
        <f>$J$3+[51]FormattedData!O16*$J$4+$M$4*$J$5+[51]FormattedData!O16^2*$J$6+$M$5*$J$7</f>
        <v>50.864121586384492</v>
      </c>
      <c r="W16" s="38">
        <f>AVERAGE(K16:V16)</f>
        <v>52.073350525003754</v>
      </c>
      <c r="X16" s="37">
        <f>STDEV(K16:V16)/SQRT(COUNT(K16:V16))</f>
        <v>0.70075030294851737</v>
      </c>
      <c r="Y16" s="36">
        <f>MIN(K16:V16)</f>
        <v>49.454755643954527</v>
      </c>
      <c r="Z16" s="35">
        <f>QUARTILE(K16:V16,1)</f>
        <v>50.138764581965589</v>
      </c>
      <c r="AA16" s="36">
        <f>MEDIAN(K16:V16)</f>
        <v>50.776332094748135</v>
      </c>
      <c r="AB16" s="35">
        <f>QUARTILE(K16:V16,3)</f>
        <v>54.469216999541395</v>
      </c>
      <c r="AC16" s="35">
        <f>MAX(K16:V16)</f>
        <v>55.369830124219611</v>
      </c>
      <c r="AD16" s="35">
        <f>SKEW(K16:V16)</f>
        <v>0.35769419001598779</v>
      </c>
      <c r="AE16" s="35">
        <f>KURT(K16:V16)</f>
        <v>-2.0431017498339443</v>
      </c>
    </row>
    <row r="17" spans="2:31" x14ac:dyDescent="0.2">
      <c r="B17" s="34">
        <f>[51]FormattedData!A14</f>
        <v>108</v>
      </c>
      <c r="C17" s="34" t="str">
        <f>VLOOKUP($B17,[51]TrtCodes!$B$11:I57,2)</f>
        <v>FTH</v>
      </c>
      <c r="D17" s="34">
        <f>VLOOKUP($B17,[51]TrtCodes!$B$11:J57,3)</f>
        <v>3</v>
      </c>
      <c r="E17" s="34">
        <f>VLOOKUP($B17,[51]TrtCodes!$B$11:K57,4)</f>
        <v>1</v>
      </c>
      <c r="F17" s="34">
        <f>VLOOKUP($B17,[51]TrtCodes!$B$11:L57,5)</f>
        <v>2</v>
      </c>
      <c r="G17" s="34">
        <f>VLOOKUP($B17,[51]TrtCodes!$B$11:M57,6)</f>
        <v>2</v>
      </c>
      <c r="H17" s="34">
        <f>VLOOKUP($B17,[51]TrtCodes!$B$11:N57,7)</f>
        <v>2</v>
      </c>
      <c r="I17" s="34">
        <f>[51]FormattedData!B14</f>
        <v>1</v>
      </c>
      <c r="J17" s="37">
        <f>[51]FormattedData!C14</f>
        <v>13.307</v>
      </c>
      <c r="K17" s="39">
        <f>$J$3+[51]FormattedData!D14*$J$4+$M$4*$J$5+[51]FormattedData!D14^2*$J$6+$M$5*$J$7</f>
        <v>48.923453692039836</v>
      </c>
      <c r="L17" s="39">
        <f>$J$3+[51]FormattedData!E14*$J$4+$M$4*$J$5+[51]FormattedData!E14^2*$J$6+$M$5*$J$7</f>
        <v>49.719835994649799</v>
      </c>
      <c r="M17" s="39">
        <f>$J$3+[51]FormattedData!F14*$J$4+$M$4*$J$5+[51]FormattedData!F14^2*$J$6+$M$5*$J$7</f>
        <v>54.167998179738305</v>
      </c>
      <c r="N17" s="39">
        <f>$J$3+[51]FormattedData!G14*$J$4+$M$4*$J$5+[51]FormattedData!G14^2*$J$6+$M$5*$J$7</f>
        <v>51.564746777958078</v>
      </c>
      <c r="O17" s="39">
        <f>$J$3+[51]FormattedData!H14*$J$4+$M$4*$J$5+[51]FormattedData!H14^2*$J$6+$M$5*$J$7</f>
        <v>54.167998179738305</v>
      </c>
      <c r="P17" s="39">
        <f>$J$3+[51]FormattedData!I14*$J$4+$M$4*$J$5+[51]FormattedData!I14^2*$J$6+$M$5*$J$7</f>
        <v>49.277824067468018</v>
      </c>
      <c r="Q17" s="39">
        <f>$J$3+[51]FormattedData!J14*$J$4+$M$4*$J$5+[51]FormattedData!J14^2*$J$6+$M$5*$J$7</f>
        <v>54.426231027288736</v>
      </c>
      <c r="R17" s="39">
        <f>$J$3+[51]FormattedData!K14*$J$4+$M$4*$J$5+[51]FormattedData!K14^2*$J$6+$M$5*$J$7</f>
        <v>49.189294876417868</v>
      </c>
      <c r="S17" s="39">
        <f>$J$3+[51]FormattedData!L14*$J$4+$M$4*$J$5+[51]FormattedData!L14^2*$J$6+$M$5*$J$7</f>
        <v>53.6503912341133</v>
      </c>
      <c r="T17" s="39">
        <f>$J$3+[51]FormattedData!M14*$J$4+$M$4*$J$5+[51]FormattedData!M14^2*$J$6+$M$5*$J$7</f>
        <v>48.923453692039836</v>
      </c>
      <c r="U17" s="39">
        <f>$J$3+[51]FormattedData!N14*$J$4+$M$4*$J$5+[51]FormattedData!N14^2*$J$6+$M$5*$J$7</f>
        <v>53.6503912341133</v>
      </c>
      <c r="V17" s="39">
        <f>$J$3+[51]FormattedData!O14*$J$4+$M$4*$J$5+[51]FormattedData!O14^2*$J$6+$M$5*$J$7</f>
        <v>49.012109688703774</v>
      </c>
      <c r="W17" s="38">
        <f>AVERAGE(K17:V17)</f>
        <v>51.389477387022424</v>
      </c>
      <c r="X17" s="37">
        <f>STDEV(K17:V17)/SQRT(COUNT(K17:V17))</f>
        <v>0.70074861794387189</v>
      </c>
      <c r="Y17" s="36">
        <f>MIN(K17:V17)</f>
        <v>48.923453692039836</v>
      </c>
      <c r="Z17" s="35">
        <f>QUARTILE(K17:V17,1)</f>
        <v>49.144998579489346</v>
      </c>
      <c r="AA17" s="36">
        <f>MEDIAN(K17:V17)</f>
        <v>50.642291386303938</v>
      </c>
      <c r="AB17" s="35">
        <f>QUARTILE(K17:V17,3)</f>
        <v>53.779792970519551</v>
      </c>
      <c r="AC17" s="35">
        <f>MAX(K17:V17)</f>
        <v>54.426231027288736</v>
      </c>
      <c r="AD17" s="35">
        <f>SKEW(K17:V17)</f>
        <v>0.19733626066359816</v>
      </c>
      <c r="AE17" s="35">
        <f>KURT(K17:V17)</f>
        <v>-2.1568064829140887</v>
      </c>
    </row>
    <row r="18" spans="2:31" x14ac:dyDescent="0.2">
      <c r="B18" s="34">
        <f>[51]FormattedData!A30</f>
        <v>201</v>
      </c>
      <c r="C18" s="34" t="str">
        <f>VLOOKUP($B18,[51]TrtCodes!$B$11:I73,2)</f>
        <v>NDL</v>
      </c>
      <c r="D18" s="34">
        <f>VLOOKUP($B18,[51]TrtCodes!$B$11:J73,3)</f>
        <v>12</v>
      </c>
      <c r="E18" s="34">
        <f>VLOOKUP($B18,[51]TrtCodes!$B$11:K73,4)</f>
        <v>2</v>
      </c>
      <c r="F18" s="34">
        <f>VLOOKUP($B18,[51]TrtCodes!$B$11:L73,5)</f>
        <v>3</v>
      </c>
      <c r="G18" s="34">
        <f>VLOOKUP($B18,[51]TrtCodes!$B$11:M73,6)</f>
        <v>1</v>
      </c>
      <c r="H18" s="34">
        <f>VLOOKUP($B18,[51]TrtCodes!$B$11:N73,7)</f>
        <v>1</v>
      </c>
      <c r="I18" s="34">
        <f>[51]FormattedData!B30</f>
        <v>1</v>
      </c>
      <c r="J18" s="37">
        <f>[51]FormattedData!C30</f>
        <v>13.377000000000001</v>
      </c>
      <c r="K18" s="39">
        <f>$J$3+[51]FormattedData!D30*$J$4+$M$4*$J$5+[51]FormattedData!D30^2*$J$6+$M$5*$J$7</f>
        <v>51.914044928834528</v>
      </c>
      <c r="L18" s="39">
        <f>$J$3+[51]FormattedData!E30*$J$4+$M$4*$J$5+[51]FormattedData!E30^2*$J$6+$M$5*$J$7</f>
        <v>50.512794545687342</v>
      </c>
      <c r="M18" s="39">
        <f>$J$3+[51]FormattedData!F30*$J$4+$M$4*$J$5+[51]FormattedData!F30^2*$J$6+$M$5*$J$7</f>
        <v>52.784331508370471</v>
      </c>
      <c r="N18" s="39">
        <f>$J$3+[51]FormattedData!G30*$J$4+$M$4*$J$5+[51]FormattedData!G30^2*$J$6+$M$5*$J$7</f>
        <v>51.389844091292268</v>
      </c>
      <c r="O18" s="39">
        <f>$J$3+[51]FormattedData!H30*$J$4+$M$4*$J$5+[51]FormattedData!H30^2*$J$6+$M$5*$J$7</f>
        <v>53.217889727966025</v>
      </c>
      <c r="P18" s="39">
        <f>$J$3+[51]FormattedData!I30*$J$4+$M$4*$J$5+[51]FormattedData!I30^2*$J$6+$M$5*$J$7</f>
        <v>50.951847675213948</v>
      </c>
      <c r="Q18" s="39">
        <f>$J$3+[51]FormattedData!J30*$J$4+$M$4*$J$5+[51]FormattedData!J30^2*$J$6+$M$5*$J$7</f>
        <v>52.784331508370471</v>
      </c>
      <c r="R18" s="39">
        <f>$J$3+[51]FormattedData!K30*$J$4+$M$4*$J$5+[51]FormattedData!K30^2*$J$6+$M$5*$J$7</f>
        <v>50.776353229017104</v>
      </c>
      <c r="S18" s="39">
        <f>$J$3+[51]FormattedData!L30*$J$4+$M$4*$J$5+[51]FormattedData!L30^2*$J$6+$M$5*$J$7</f>
        <v>53.823095956806689</v>
      </c>
      <c r="T18" s="39">
        <f>$J$3+[51]FormattedData!M30*$J$4+$M$4*$J$5+[51]FormattedData!M30^2*$J$6+$M$5*$J$7</f>
        <v>50.951847675213948</v>
      </c>
      <c r="U18" s="39">
        <f>$J$3+[51]FormattedData!N30*$J$4+$M$4*$J$5+[51]FormattedData!N30^2*$J$6+$M$5*$J$7</f>
        <v>52.871127689365451</v>
      </c>
      <c r="V18" s="39">
        <f>$J$3+[51]FormattedData!O30*$J$4+$M$4*$J$5+[51]FormattedData!O30^2*$J$6+$M$5*$J$7</f>
        <v>50.248855445516213</v>
      </c>
      <c r="W18" s="38">
        <f>AVERAGE(K18:V18)</f>
        <v>51.852196998471214</v>
      </c>
      <c r="X18" s="37">
        <f>STDEV(K18:V18)/SQRT(COUNT(K18:V18))</f>
        <v>0.34691851986971983</v>
      </c>
      <c r="Y18" s="36">
        <f>MIN(K18:V18)</f>
        <v>50.248855445516213</v>
      </c>
      <c r="Z18" s="35">
        <f>QUARTILE(K18:V18,1)</f>
        <v>50.907974063664739</v>
      </c>
      <c r="AA18" s="36">
        <f>MEDIAN(K18:V18)</f>
        <v>51.651944510063402</v>
      </c>
      <c r="AB18" s="35">
        <f>QUARTILE(K18:V18,3)</f>
        <v>52.806030553619216</v>
      </c>
      <c r="AC18" s="35">
        <f>MAX(K18:V18)</f>
        <v>53.823095956806689</v>
      </c>
      <c r="AD18" s="35">
        <f>SKEW(K18:V18)</f>
        <v>0.22329477432946301</v>
      </c>
      <c r="AE18" s="35">
        <f>KURT(K18:V18)</f>
        <v>-1.4887674193272344</v>
      </c>
    </row>
    <row r="19" spans="2:31" x14ac:dyDescent="0.2">
      <c r="B19" s="34">
        <f>[51]FormattedData!A32</f>
        <v>202</v>
      </c>
      <c r="C19" s="34" t="str">
        <f>VLOOKUP($B19,[51]TrtCodes!$B$11:I75,2)</f>
        <v>NTH</v>
      </c>
      <c r="D19" s="34">
        <f>VLOOKUP($B19,[51]TrtCodes!$B$11:J75,3)</f>
        <v>9</v>
      </c>
      <c r="E19" s="34">
        <f>VLOOKUP($B19,[51]TrtCodes!$B$11:K75,4)</f>
        <v>2</v>
      </c>
      <c r="F19" s="34">
        <f>VLOOKUP($B19,[51]TrtCodes!$B$11:L75,5)</f>
        <v>2</v>
      </c>
      <c r="G19" s="34">
        <f>VLOOKUP($B19,[51]TrtCodes!$B$11:M75,6)</f>
        <v>2</v>
      </c>
      <c r="H19" s="34">
        <f>VLOOKUP($B19,[51]TrtCodes!$B$11:N75,7)</f>
        <v>1</v>
      </c>
      <c r="I19" s="34">
        <f>[51]FormattedData!B32</f>
        <v>1</v>
      </c>
      <c r="J19" s="37">
        <f>[51]FormattedData!C32</f>
        <v>13.382</v>
      </c>
      <c r="K19" s="39">
        <f>$J$3+[51]FormattedData!D32*$J$4+$M$4*$J$5+[51]FormattedData!D32^2*$J$6+$M$5*$J$7</f>
        <v>50.336877414111193</v>
      </c>
      <c r="L19" s="39">
        <f>$J$3+[51]FormattedData!E32*$J$4+$M$4*$J$5+[51]FormattedData!E32^2*$J$6+$M$5*$J$7</f>
        <v>49.631518146289309</v>
      </c>
      <c r="M19" s="39">
        <f>$J$3+[51]FormattedData!F32*$J$4+$M$4*$J$5+[51]FormattedData!F32^2*$J$6+$M$5*$J$7</f>
        <v>53.6503912341133</v>
      </c>
      <c r="N19" s="39">
        <f>$J$3+[51]FormattedData!G32*$J$4+$M$4*$J$5+[51]FormattedData!G32^2*$J$6+$M$5*$J$7</f>
        <v>51.739480390472174</v>
      </c>
      <c r="O19" s="39">
        <f>$J$3+[51]FormattedData!H32*$J$4+$M$4*$J$5+[51]FormattedData!H32^2*$J$6+$M$5*$J$7</f>
        <v>52.697493058837566</v>
      </c>
      <c r="P19" s="39">
        <f>$J$3+[51]FormattedData!I32*$J$4+$M$4*$J$5+[51]FormattedData!I32^2*$J$6+$M$5*$J$7</f>
        <v>51.039531495505479</v>
      </c>
      <c r="Q19" s="39">
        <f>$J$3+[51]FormattedData!J32*$J$4+$M$4*$J$5+[51]FormattedData!J32^2*$J$6+$M$5*$J$7</f>
        <v>52.436724099011265</v>
      </c>
      <c r="R19" s="39">
        <f>$J$3+[51]FormattedData!K32*$J$4+$M$4*$J$5+[51]FormattedData!K32^2*$J$6+$M$5*$J$7</f>
        <v>50.600689708668526</v>
      </c>
      <c r="S19" s="39">
        <f>$J$3+[51]FormattedData!L32*$J$4+$M$4*$J$5+[51]FormattedData!L32^2*$J$6+$M$5*$J$7</f>
        <v>51.82678379392231</v>
      </c>
      <c r="T19" s="39">
        <f>$J$3+[51]FormattedData!M32*$J$4+$M$4*$J$5+[51]FormattedData!M32^2*$J$6+$M$5*$J$7</f>
        <v>50.600689708668526</v>
      </c>
      <c r="U19" s="39">
        <f>$J$3+[51]FormattedData!N32*$J$4+$M$4*$J$5+[51]FormattedData!N32^2*$J$6+$M$5*$J$7</f>
        <v>51.389844091292268</v>
      </c>
      <c r="V19" s="39">
        <f>$J$3+[51]FormattedData!O32*$J$4+$M$4*$J$5+[51]FormattedData!O32^2*$J$6+$M$5*$J$7</f>
        <v>51.12717304725907</v>
      </c>
      <c r="W19" s="38">
        <f>AVERAGE(K19:V19)</f>
        <v>51.423099682345907</v>
      </c>
      <c r="X19" s="37">
        <f>STDEV(K19:V19)/SQRT(COUNT(K19:V19))</f>
        <v>0.32396175436793995</v>
      </c>
      <c r="Y19" s="36">
        <f>MIN(K19:V19)</f>
        <v>49.631518146289309</v>
      </c>
      <c r="Z19" s="35">
        <f>QUARTILE(K19:V19,1)</f>
        <v>50.600689708668526</v>
      </c>
      <c r="AA19" s="36">
        <f>MEDIAN(K19:V19)</f>
        <v>51.258508569275669</v>
      </c>
      <c r="AB19" s="35">
        <f>QUARTILE(K19:V19,3)</f>
        <v>51.979268870194545</v>
      </c>
      <c r="AC19" s="35">
        <f>MAX(K19:V19)</f>
        <v>53.6503912341133</v>
      </c>
      <c r="AD19" s="35">
        <f>SKEW(K19:V19)</f>
        <v>0.46548800208393204</v>
      </c>
      <c r="AE19" s="35">
        <f>KURT(K19:V19)</f>
        <v>3.7738994143609261E-2</v>
      </c>
    </row>
    <row r="20" spans="2:31" x14ac:dyDescent="0.2">
      <c r="B20" s="34">
        <f>[51]FormattedData!A34</f>
        <v>203</v>
      </c>
      <c r="C20" s="34" t="str">
        <f>VLOOKUP($B20,[51]TrtCodes!$B$11:I77,2)</f>
        <v>FTH</v>
      </c>
      <c r="D20" s="34">
        <f>VLOOKUP($B20,[51]TrtCodes!$B$11:J77,3)</f>
        <v>3</v>
      </c>
      <c r="E20" s="34">
        <f>VLOOKUP($B20,[51]TrtCodes!$B$11:K77,4)</f>
        <v>1</v>
      </c>
      <c r="F20" s="34">
        <f>VLOOKUP($B20,[51]TrtCodes!$B$11:L77,5)</f>
        <v>2</v>
      </c>
      <c r="G20" s="34">
        <f>VLOOKUP($B20,[51]TrtCodes!$B$11:M77,6)</f>
        <v>2</v>
      </c>
      <c r="H20" s="34">
        <f>VLOOKUP($B20,[51]TrtCodes!$B$11:N77,7)</f>
        <v>1</v>
      </c>
      <c r="I20" s="34">
        <f>[51]FormattedData!B34</f>
        <v>1</v>
      </c>
      <c r="J20" s="37">
        <f>[51]FormattedData!C34</f>
        <v>13.387</v>
      </c>
      <c r="K20" s="39">
        <f>$J$3+[51]FormattedData!D34*$J$4+$M$4*$J$5+[51]FormattedData!D34^2*$J$6+$M$5*$J$7</f>
        <v>49.631518146289309</v>
      </c>
      <c r="L20" s="39">
        <f>$J$3+[51]FormattedData!E34*$J$4+$M$4*$J$5+[51]FormattedData!E34^2*$J$6+$M$5*$J$7</f>
        <v>49.543158029390881</v>
      </c>
      <c r="M20" s="39">
        <f>$J$3+[51]FormattedData!F34*$J$4+$M$4*$J$5+[51]FormattedData!F34^2*$J$6+$M$5*$J$7</f>
        <v>54.081836026812297</v>
      </c>
      <c r="N20" s="39">
        <f>$J$3+[51]FormattedData!G34*$J$4+$M$4*$J$5+[51]FormattedData!G34^2*$J$6+$M$5*$J$7</f>
        <v>50.336877414111193</v>
      </c>
      <c r="O20" s="39">
        <f>$J$3+[51]FormattedData!H34*$J$4+$M$4*$J$5+[51]FormattedData!H34^2*$J$6+$M$5*$J$7</f>
        <v>53.563975469959701</v>
      </c>
      <c r="P20" s="39">
        <f>$J$3+[51]FormattedData!I34*$J$4+$M$4*$J$5+[51]FormattedData!I34^2*$J$6+$M$5*$J$7</f>
        <v>50.776353229017104</v>
      </c>
      <c r="Q20" s="39">
        <f>$J$3+[51]FormattedData!J34*$J$4+$M$4*$J$5+[51]FormattedData!J34^2*$J$6+$M$5*$J$7</f>
        <v>52.784331508370471</v>
      </c>
      <c r="R20" s="39">
        <f>$J$3+[51]FormattedData!K34*$J$4+$M$4*$J$5+[51]FormattedData!K34^2*$J$6+$M$5*$J$7</f>
        <v>52.697493058837566</v>
      </c>
      <c r="S20" s="39">
        <f>$J$3+[51]FormattedData!L34*$J$4+$M$4*$J$5+[51]FormattedData!L34^2*$J$6+$M$5*$J$7</f>
        <v>53.99563160534835</v>
      </c>
      <c r="T20" s="39">
        <f>$J$3+[51]FormattedData!M34*$J$4+$M$4*$J$5+[51]FormattedData!M34^2*$J$6+$M$5*$J$7</f>
        <v>50.951847675213948</v>
      </c>
      <c r="U20" s="39">
        <f>$J$3+[51]FormattedData!N34*$J$4+$M$4*$J$5+[51]FormattedData!N34^2*$J$6+$M$5*$J$7</f>
        <v>53.6503912341133</v>
      </c>
      <c r="V20" s="39">
        <f>$J$3+[51]FormattedData!O34*$J$4+$M$4*$J$5+[51]FormattedData!O34^2*$J$6+$M$5*$J$7</f>
        <v>51.739480390472174</v>
      </c>
      <c r="W20" s="38">
        <f>AVERAGE(K20:V20)</f>
        <v>51.979407815661354</v>
      </c>
      <c r="X20" s="37">
        <f>STDEV(K20:V20)/SQRT(COUNT(K20:V20))</f>
        <v>0.48973200732017863</v>
      </c>
      <c r="Y20" s="36">
        <f>MIN(K20:V20)</f>
        <v>49.543158029390881</v>
      </c>
      <c r="Z20" s="35">
        <f>QUARTILE(K20:V20,1)</f>
        <v>50.666484275290628</v>
      </c>
      <c r="AA20" s="36">
        <f>MEDIAN(K20:V20)</f>
        <v>52.218486724654866</v>
      </c>
      <c r="AB20" s="35">
        <f>QUARTILE(K20:V20,3)</f>
        <v>53.585579410998101</v>
      </c>
      <c r="AC20" s="35">
        <f>MAX(K20:V20)</f>
        <v>54.081836026812297</v>
      </c>
      <c r="AD20" s="35">
        <f>SKEW(K20:V20)</f>
        <v>-0.17089538595868703</v>
      </c>
      <c r="AE20" s="35">
        <f>KURT(K20:V20)</f>
        <v>-1.6181278258163014</v>
      </c>
    </row>
    <row r="21" spans="2:31" x14ac:dyDescent="0.2">
      <c r="B21" s="34">
        <f>[51]FormattedData!A36</f>
        <v>204</v>
      </c>
      <c r="C21" s="34" t="str">
        <f>VLOOKUP($B21,[51]TrtCodes!$B$11:I79,2)</f>
        <v>NDH</v>
      </c>
      <c r="D21" s="34">
        <f>VLOOKUP($B21,[51]TrtCodes!$B$11:J79,3)</f>
        <v>11</v>
      </c>
      <c r="E21" s="34">
        <f>VLOOKUP($B21,[51]TrtCodes!$B$11:K79,4)</f>
        <v>2</v>
      </c>
      <c r="F21" s="34">
        <f>VLOOKUP($B21,[51]TrtCodes!$B$11:L79,5)</f>
        <v>3</v>
      </c>
      <c r="G21" s="34">
        <f>VLOOKUP($B21,[51]TrtCodes!$B$11:M79,6)</f>
        <v>2</v>
      </c>
      <c r="H21" s="34">
        <f>VLOOKUP($B21,[51]TrtCodes!$B$11:N79,7)</f>
        <v>1</v>
      </c>
      <c r="I21" s="34">
        <f>[51]FormattedData!B36</f>
        <v>1</v>
      </c>
      <c r="J21" s="37">
        <f>[51]FormattedData!C36</f>
        <v>13.391999999999999</v>
      </c>
      <c r="K21" s="39">
        <f>$J$3+[51]FormattedData!D36*$J$4+$M$4*$J$5+[51]FormattedData!D36^2*$J$6+$M$5*$J$7</f>
        <v>53.131262621122772</v>
      </c>
      <c r="L21" s="39">
        <f>$J$3+[51]FormattedData!E36*$J$4+$M$4*$J$5+[51]FormattedData!E36^2*$J$6+$M$5*$J$7</f>
        <v>49.984535928503696</v>
      </c>
      <c r="M21" s="39">
        <f>$J$3+[51]FormattedData!F36*$J$4+$M$4*$J$5+[51]FormattedData!F36^2*$J$6+$M$5*$J$7</f>
        <v>52.871127689365451</v>
      </c>
      <c r="N21" s="39">
        <f>$J$3+[51]FormattedData!G36*$J$4+$M$4*$J$5+[51]FormattedData!G36^2*$J$6+$M$5*$J$7</f>
        <v>50.160791208383301</v>
      </c>
      <c r="O21" s="39">
        <f>$J$3+[51]FormattedData!H36*$J$4+$M$4*$J$5+[51]FormattedData!H36^2*$J$6+$M$5*$J$7</f>
        <v>54.081836026812297</v>
      </c>
      <c r="P21" s="39">
        <f>$J$3+[51]FormattedData!I36*$J$4+$M$4*$J$5+[51]FormattedData!I36^2*$J$6+$M$5*$J$7</f>
        <v>51.739480390472174</v>
      </c>
      <c r="Q21" s="39">
        <f>$J$3+[51]FormattedData!J36*$J$4+$M$4*$J$5+[51]FormattedData!J36^2*$J$6+$M$5*$J$7</f>
        <v>53.47751743726819</v>
      </c>
      <c r="R21" s="39">
        <f>$J$3+[51]FormattedData!K36*$J$4+$M$4*$J$5+[51]FormattedData!K36^2*$J$6+$M$5*$J$7</f>
        <v>51.477316568894146</v>
      </c>
      <c r="S21" s="39">
        <f>$J$3+[51]FormattedData!L36*$J$4+$M$4*$J$5+[51]FormattedData!L36^2*$J$6+$M$5*$J$7</f>
        <v>52.957881601822486</v>
      </c>
      <c r="T21" s="39">
        <f>$J$3+[51]FormattedData!M36*$J$4+$M$4*$J$5+[51]FormattedData!M36^2*$J$6+$M$5*$J$7</f>
        <v>50.424857114168233</v>
      </c>
      <c r="U21" s="39">
        <f>$J$3+[51]FormattedData!N36*$J$4+$M$4*$J$5+[51]FormattedData!N36^2*$J$6+$M$5*$J$7</f>
        <v>52.697493058837566</v>
      </c>
      <c r="V21" s="39">
        <f>$J$3+[51]FormattedData!O36*$J$4+$M$4*$J$5+[51]FormattedData!O36^2*$J$6+$M$5*$J$7</f>
        <v>51.914044928834528</v>
      </c>
      <c r="W21" s="38">
        <f>AVERAGE(K21:V21)</f>
        <v>52.076512047873742</v>
      </c>
      <c r="X21" s="37">
        <f>STDEV(K21:V21)/SQRT(COUNT(K21:V21))</f>
        <v>0.39084037683281431</v>
      </c>
      <c r="Y21" s="36">
        <f>MIN(K21:V21)</f>
        <v>49.984535928503696</v>
      </c>
      <c r="Z21" s="35">
        <f>QUARTILE(K21:V21,1)</f>
        <v>51.214201705212666</v>
      </c>
      <c r="AA21" s="36">
        <f>MEDIAN(K21:V21)</f>
        <v>52.305768993836047</v>
      </c>
      <c r="AB21" s="35">
        <f>QUARTILE(K21:V21,3)</f>
        <v>53.001226856647556</v>
      </c>
      <c r="AC21" s="35">
        <f>MAX(K21:V21)</f>
        <v>54.081836026812297</v>
      </c>
      <c r="AD21" s="35">
        <f>SKEW(K21:V21)</f>
        <v>-0.33125454843031771</v>
      </c>
      <c r="AE21" s="35">
        <f>KURT(K21:V21)</f>
        <v>-1.0968522315527487</v>
      </c>
    </row>
    <row r="22" spans="2:31" x14ac:dyDescent="0.2">
      <c r="B22" s="34">
        <f>[51]FormattedData!A38</f>
        <v>205</v>
      </c>
      <c r="C22" s="34" t="str">
        <f>VLOOKUP($B22,[51]TrtCodes!$B$11:I81,2)</f>
        <v>FSH</v>
      </c>
      <c r="D22" s="34">
        <f>VLOOKUP($B22,[51]TrtCodes!$B$11:J81,3)</f>
        <v>1</v>
      </c>
      <c r="E22" s="34">
        <f>VLOOKUP($B22,[51]TrtCodes!$B$11:K81,4)</f>
        <v>1</v>
      </c>
      <c r="F22" s="34">
        <f>VLOOKUP($B22,[51]TrtCodes!$B$11:L81,5)</f>
        <v>1</v>
      </c>
      <c r="G22" s="34">
        <f>VLOOKUP($B22,[51]TrtCodes!$B$11:M81,6)</f>
        <v>2</v>
      </c>
      <c r="H22" s="34">
        <f>VLOOKUP($B22,[51]TrtCodes!$B$11:N81,7)</f>
        <v>2</v>
      </c>
      <c r="I22" s="34">
        <f>[51]FormattedData!B38</f>
        <v>1</v>
      </c>
      <c r="J22" s="37">
        <f>[51]FormattedData!C38</f>
        <v>13.398</v>
      </c>
      <c r="K22" s="39">
        <f>$J$3+[51]FormattedData!D38*$J$4+$M$4*$J$5+[51]FormattedData!D38^2*$J$6+$M$5*$J$7</f>
        <v>50.072684702712465</v>
      </c>
      <c r="L22" s="39">
        <f>$J$3+[51]FormattedData!E38*$J$4+$M$4*$J$5+[51]FormattedData!E38^2*$J$6+$M$5*$J$7</f>
        <v>48.657232090820422</v>
      </c>
      <c r="M22" s="39">
        <f>$J$3+[51]FormattedData!F38*$J$4+$M$4*$J$5+[51]FormattedData!F38^2*$J$6+$M$5*$J$7</f>
        <v>53.47751743726819</v>
      </c>
      <c r="N22" s="39">
        <f>$J$3+[51]FormattedData!G38*$J$4+$M$4*$J$5+[51]FormattedData!G38^2*$J$6+$M$5*$J$7</f>
        <v>50.424857114168233</v>
      </c>
      <c r="O22" s="39">
        <f>$J$3+[51]FormattedData!H38*$J$4+$M$4*$J$5+[51]FormattedData!H38^2*$J$6+$M$5*$J$7</f>
        <v>52.523689354157966</v>
      </c>
      <c r="P22" s="39">
        <f>$J$3+[51]FormattedData!I38*$J$4+$M$4*$J$5+[51]FormattedData!I38^2*$J$6+$M$5*$J$7</f>
        <v>49.454755643954527</v>
      </c>
      <c r="Q22" s="39">
        <f>$J$3+[51]FormattedData!J38*$J$4+$M$4*$J$5+[51]FormattedData!J38^2*$J$6+$M$5*$J$7</f>
        <v>51.564746777958078</v>
      </c>
      <c r="R22" s="39">
        <f>$J$3+[51]FormattedData!K38*$J$4+$M$4*$J$5+[51]FormattedData!K38^2*$J$6+$M$5*$J$7</f>
        <v>48.746014893098156</v>
      </c>
      <c r="S22" s="39">
        <f>$J$3+[51]FormattedData!L38*$J$4+$M$4*$J$5+[51]FormattedData!L38^2*$J$6+$M$5*$J$7</f>
        <v>53.563975469959701</v>
      </c>
      <c r="T22" s="39">
        <f>$J$3+[51]FormattedData!M38*$J$4+$M$4*$J$5+[51]FormattedData!M38^2*$J$6+$M$5*$J$7</f>
        <v>49.454755643954527</v>
      </c>
      <c r="U22" s="39">
        <f>$J$3+[51]FormattedData!N38*$J$4+$M$4*$J$5+[51]FormattedData!N38^2*$J$6+$M$5*$J$7</f>
        <v>52.871127689365451</v>
      </c>
      <c r="V22" s="39">
        <f>$J$3+[51]FormattedData!O38*$J$4+$M$4*$J$5+[51]FormattedData!O38^2*$J$6+$M$5*$J$7</f>
        <v>51.564746777958078</v>
      </c>
      <c r="W22" s="38">
        <f>AVERAGE(K22:V22)</f>
        <v>51.03134196628131</v>
      </c>
      <c r="X22" s="37">
        <f>STDEV(K22:V22)/SQRT(COUNT(K22:V22))</f>
        <v>0.52002458084774383</v>
      </c>
      <c r="Y22" s="36">
        <f>MIN(K22:V22)</f>
        <v>48.657232090820422</v>
      </c>
      <c r="Z22" s="35">
        <f>QUARTILE(K22:V22,1)</f>
        <v>49.454755643954527</v>
      </c>
      <c r="AA22" s="36">
        <f>MEDIAN(K22:V22)</f>
        <v>50.994801946063156</v>
      </c>
      <c r="AB22" s="35">
        <f>QUARTILE(K22:V22,3)</f>
        <v>52.610548937959834</v>
      </c>
      <c r="AC22" s="35">
        <f>MAX(K22:V22)</f>
        <v>53.563975469959701</v>
      </c>
      <c r="AD22" s="35">
        <f>SKEW(K22:V22)</f>
        <v>0.12088814630349122</v>
      </c>
      <c r="AE22" s="35">
        <f>KURT(K22:V22)</f>
        <v>-1.550762564509685</v>
      </c>
    </row>
    <row r="23" spans="2:31" x14ac:dyDescent="0.2">
      <c r="B23" s="34">
        <f>[51]FormattedData!A40</f>
        <v>206</v>
      </c>
      <c r="C23" s="34" t="str">
        <f>VLOOKUP($B23,[51]TrtCodes!$B$11:I83,2)</f>
        <v>NSL</v>
      </c>
      <c r="D23" s="34">
        <f>VLOOKUP($B23,[51]TrtCodes!$B$11:J83,3)</f>
        <v>8</v>
      </c>
      <c r="E23" s="34">
        <f>VLOOKUP($B23,[51]TrtCodes!$B$11:K83,4)</f>
        <v>2</v>
      </c>
      <c r="F23" s="34">
        <f>VLOOKUP($B23,[51]TrtCodes!$B$11:L83,5)</f>
        <v>1</v>
      </c>
      <c r="G23" s="34">
        <f>VLOOKUP($B23,[51]TrtCodes!$B$11:M83,6)</f>
        <v>1</v>
      </c>
      <c r="H23" s="34">
        <f>VLOOKUP($B23,[51]TrtCodes!$B$11:N83,7)</f>
        <v>2</v>
      </c>
      <c r="I23" s="34">
        <f>[51]FormattedData!B40</f>
        <v>1</v>
      </c>
      <c r="J23" s="37">
        <f>[51]FormattedData!C40</f>
        <v>13.403</v>
      </c>
      <c r="K23" s="39">
        <f>$J$3+[51]FormattedData!D40*$J$4+$M$4*$J$5+[51]FormattedData!D40^2*$J$6+$M$5*$J$7</f>
        <v>52.697493058837566</v>
      </c>
      <c r="L23" s="39">
        <f>$J$3+[51]FormattedData!E40*$J$4+$M$4*$J$5+[51]FormattedData!E40^2*$J$6+$M$5*$J$7</f>
        <v>51.214772330474737</v>
      </c>
      <c r="M23" s="39">
        <f>$J$3+[51]FormattedData!F40*$J$4+$M$4*$J$5+[51]FormattedData!F40^2*$J$6+$M$5*$J$7</f>
        <v>52.523689354157966</v>
      </c>
      <c r="N23" s="39">
        <f>$J$3+[51]FormattedData!G40*$J$4+$M$4*$J$5+[51]FormattedData!G40^2*$J$6+$M$5*$J$7</f>
        <v>51.12717304725907</v>
      </c>
      <c r="O23" s="39">
        <f>$J$3+[51]FormattedData!H40*$J$4+$M$4*$J$5+[51]FormattedData!H40^2*$J$6+$M$5*$J$7</f>
        <v>52.262666783104081</v>
      </c>
      <c r="P23" s="39">
        <f>$J$3+[51]FormattedData!I40*$J$4+$M$4*$J$5+[51]FormattedData!I40^2*$J$6+$M$5*$J$7</f>
        <v>50.688542603111777</v>
      </c>
      <c r="Q23" s="39">
        <f>$J$3+[51]FormattedData!J40*$J$4+$M$4*$J$5+[51]FormattedData!J40^2*$J$6+$M$5*$J$7</f>
        <v>53.47751743726819</v>
      </c>
      <c r="R23" s="39">
        <f>$J$3+[51]FormattedData!K40*$J$4+$M$4*$J$5+[51]FormattedData!K40^2*$J$6+$M$5*$J$7</f>
        <v>51.214772330474737</v>
      </c>
      <c r="S23" s="39">
        <f>$J$3+[51]FormattedData!L40*$J$4+$M$4*$J$5+[51]FormattedData!L40^2*$J$6+$M$5*$J$7</f>
        <v>51.914044928834528</v>
      </c>
      <c r="T23" s="39">
        <f>$J$3+[51]FormattedData!M40*$J$4+$M$4*$J$5+[51]FormattedData!M40^2*$J$6+$M$5*$J$7</f>
        <v>51.214772330474737</v>
      </c>
      <c r="U23" s="39">
        <f>$J$3+[51]FormattedData!N40*$J$4+$M$4*$J$5+[51]FormattedData!N40^2*$J$6+$M$5*$J$7</f>
        <v>51.82678379392231</v>
      </c>
      <c r="V23" s="39">
        <f>$J$3+[51]FormattedData!O40*$J$4+$M$4*$J$5+[51]FormattedData!O40^2*$J$6+$M$5*$J$7</f>
        <v>53.47751743726819</v>
      </c>
      <c r="W23" s="38">
        <f>AVERAGE(K23:V23)</f>
        <v>51.969978786265663</v>
      </c>
      <c r="X23" s="37">
        <f>STDEV(K23:V23)/SQRT(COUNT(K23:V23))</f>
        <v>0.2690320503304453</v>
      </c>
      <c r="Y23" s="36">
        <f>MIN(K23:V23)</f>
        <v>50.688542603111777</v>
      </c>
      <c r="Z23" s="35">
        <f>QUARTILE(K23:V23,1)</f>
        <v>51.214772330474737</v>
      </c>
      <c r="AA23" s="36">
        <f>MEDIAN(K23:V23)</f>
        <v>51.870414361378423</v>
      </c>
      <c r="AB23" s="35">
        <f>QUARTILE(K23:V23,3)</f>
        <v>52.567140280327862</v>
      </c>
      <c r="AC23" s="35">
        <f>MAX(K23:V23)</f>
        <v>53.47751743726819</v>
      </c>
      <c r="AD23" s="35">
        <f>SKEW(K23:V23)</f>
        <v>0.46281501593451629</v>
      </c>
      <c r="AE23" s="35">
        <f>KURT(K23:V23)</f>
        <v>-0.9232569571292597</v>
      </c>
    </row>
    <row r="24" spans="2:31" x14ac:dyDescent="0.2">
      <c r="B24" s="34">
        <f>[51]FormattedData!A42</f>
        <v>207</v>
      </c>
      <c r="C24" s="34" t="str">
        <f>VLOOKUP($B24,[51]TrtCodes!$B$11:I85,2)</f>
        <v>FTL</v>
      </c>
      <c r="D24" s="34">
        <f>VLOOKUP($B24,[51]TrtCodes!$B$11:J85,3)</f>
        <v>4</v>
      </c>
      <c r="E24" s="34">
        <f>VLOOKUP($B24,[51]TrtCodes!$B$11:K85,4)</f>
        <v>1</v>
      </c>
      <c r="F24" s="34">
        <f>VLOOKUP($B24,[51]TrtCodes!$B$11:L85,5)</f>
        <v>2</v>
      </c>
      <c r="G24" s="34">
        <f>VLOOKUP($B24,[51]TrtCodes!$B$11:M85,6)</f>
        <v>1</v>
      </c>
      <c r="H24" s="34">
        <f>VLOOKUP($B24,[51]TrtCodes!$B$11:N85,7)</f>
        <v>2</v>
      </c>
      <c r="I24" s="34">
        <f>[51]FormattedData!B42</f>
        <v>1</v>
      </c>
      <c r="J24" s="37">
        <f>[51]FormattedData!C42</f>
        <v>13.407999999999999</v>
      </c>
      <c r="K24" s="39">
        <f>$J$3+[51]FormattedData!D42*$J$4+$M$4*$J$5+[51]FormattedData!D42^2*$J$6+$M$5*$J$7</f>
        <v>49.012109688703774</v>
      </c>
      <c r="L24" s="39">
        <f>$J$3+[51]FormattedData!E42*$J$4+$M$4*$J$5+[51]FormattedData!E42^2*$J$6+$M$5*$J$7</f>
        <v>49.189294876417868</v>
      </c>
      <c r="M24" s="39">
        <f>$J$3+[51]FormattedData!F42*$J$4+$M$4*$J$5+[51]FormattedData!F42^2*$J$6+$M$5*$J$7</f>
        <v>53.563975469959701</v>
      </c>
      <c r="N24" s="39">
        <f>$J$3+[51]FormattedData!G42*$J$4+$M$4*$J$5+[51]FormattedData!G42^2*$J$6+$M$5*$J$7</f>
        <v>51.914044928834528</v>
      </c>
      <c r="O24" s="39">
        <f>$J$3+[51]FormattedData!H42*$J$4+$M$4*$J$5+[51]FormattedData!H42^2*$J$6+$M$5*$J$7</f>
        <v>52.436724099011265</v>
      </c>
      <c r="P24" s="39">
        <f>$J$3+[51]FormattedData!I42*$J$4+$M$4*$J$5+[51]FormattedData!I42^2*$J$6+$M$5*$J$7</f>
        <v>51.214772330474737</v>
      </c>
      <c r="Q24" s="39">
        <f>$J$3+[51]FormattedData!J42*$J$4+$M$4*$J$5+[51]FormattedData!J42^2*$J$6+$M$5*$J$7</f>
        <v>52.175574722343598</v>
      </c>
      <c r="R24" s="39">
        <f>$J$3+[51]FormattedData!K42*$J$4+$M$4*$J$5+[51]FormattedData!K42^2*$J$6+$M$5*$J$7</f>
        <v>51.214772330474737</v>
      </c>
      <c r="S24" s="39">
        <f>$J$3+[51]FormattedData!L42*$J$4+$M$4*$J$5+[51]FormattedData!L42^2*$J$6+$M$5*$J$7</f>
        <v>53.131262621122772</v>
      </c>
      <c r="T24" s="39">
        <f>$J$3+[51]FormattedData!M42*$J$4+$M$4*$J$5+[51]FormattedData!M42^2*$J$6+$M$5*$J$7</f>
        <v>50.424857114168233</v>
      </c>
      <c r="U24" s="39">
        <f>$J$3+[51]FormattedData!N42*$J$4+$M$4*$J$5+[51]FormattedData!N42^2*$J$6+$M$5*$J$7</f>
        <v>52.610612340766735</v>
      </c>
      <c r="V24" s="39">
        <f>$J$3+[51]FormattedData!O42*$J$4+$M$4*$J$5+[51]FormattedData!O42^2*$J$6+$M$5*$J$7</f>
        <v>51.302329345152465</v>
      </c>
      <c r="W24" s="38">
        <f>AVERAGE(K24:V24)</f>
        <v>51.515860822285866</v>
      </c>
      <c r="X24" s="37">
        <f>STDEV(K24:V24)/SQRT(COUNT(K24:V24))</f>
        <v>0.41325951049587428</v>
      </c>
      <c r="Y24" s="36">
        <f>MIN(K24:V24)</f>
        <v>49.012109688703774</v>
      </c>
      <c r="Z24" s="35">
        <f>QUARTILE(K24:V24,1)</f>
        <v>51.017293526398113</v>
      </c>
      <c r="AA24" s="36">
        <f>MEDIAN(K24:V24)</f>
        <v>51.608187136993493</v>
      </c>
      <c r="AB24" s="35">
        <f>QUARTILE(K24:V24,3)</f>
        <v>52.480196159450131</v>
      </c>
      <c r="AC24" s="35">
        <f>MAX(K24:V24)</f>
        <v>53.563975469959701</v>
      </c>
      <c r="AD24" s="35">
        <f>SKEW(K24:V24)</f>
        <v>-0.53550982015135806</v>
      </c>
      <c r="AE24" s="35">
        <f>KURT(K24:V24)</f>
        <v>-0.40132222843269227</v>
      </c>
    </row>
    <row r="25" spans="2:31" x14ac:dyDescent="0.2">
      <c r="B25" s="34">
        <f>[51]FormattedData!A44</f>
        <v>208</v>
      </c>
      <c r="C25" s="34" t="str">
        <f>VLOOKUP($B25,[51]TrtCodes!$B$11:I87,2)</f>
        <v>FSL</v>
      </c>
      <c r="D25" s="34">
        <f>VLOOKUP($B25,[51]TrtCodes!$B$11:J87,3)</f>
        <v>2</v>
      </c>
      <c r="E25" s="34">
        <f>VLOOKUP($B25,[51]TrtCodes!$B$11:K87,4)</f>
        <v>1</v>
      </c>
      <c r="F25" s="34">
        <f>VLOOKUP($B25,[51]TrtCodes!$B$11:L87,5)</f>
        <v>1</v>
      </c>
      <c r="G25" s="34">
        <f>VLOOKUP($B25,[51]TrtCodes!$B$11:M87,6)</f>
        <v>1</v>
      </c>
      <c r="H25" s="34">
        <f>VLOOKUP($B25,[51]TrtCodes!$B$11:N87,7)</f>
        <v>2</v>
      </c>
      <c r="I25" s="34">
        <f>[51]FormattedData!B44</f>
        <v>1</v>
      </c>
      <c r="J25" s="37">
        <f>[51]FormattedData!C44</f>
        <v>13.413</v>
      </c>
      <c r="K25" s="39">
        <f>$J$3+[51]FormattedData!D44*$J$4+$M$4*$J$5+[51]FormattedData!D44^2*$J$6+$M$5*$J$7</f>
        <v>48.746014893098156</v>
      </c>
      <c r="L25" s="39">
        <f>$J$3+[51]FormattedData!E44*$J$4+$M$4*$J$5+[51]FormattedData!E44^2*$J$6+$M$5*$J$7</f>
        <v>50.248855445516213</v>
      </c>
      <c r="M25" s="39">
        <f>$J$3+[51]FormattedData!F44*$J$4+$M$4*$J$5+[51]FormattedData!F44^2*$J$6+$M$5*$J$7</f>
        <v>53.044593245741602</v>
      </c>
      <c r="N25" s="39">
        <f>$J$3+[51]FormattedData!G44*$J$4+$M$4*$J$5+[51]FormattedData!G44^2*$J$6+$M$5*$J$7</f>
        <v>51.12717304725907</v>
      </c>
      <c r="O25" s="39">
        <f>$J$3+[51]FormattedData!H44*$J$4+$M$4*$J$5+[51]FormattedData!H44^2*$J$6+$M$5*$J$7</f>
        <v>53.391017136038727</v>
      </c>
      <c r="P25" s="39">
        <f>$J$3+[51]FormattedData!I44*$J$4+$M$4*$J$5+[51]FormattedData!I44^2*$J$6+$M$5*$J$7</f>
        <v>51.477316568894146</v>
      </c>
      <c r="Q25" s="39">
        <f>$J$3+[51]FormattedData!J44*$J$4+$M$4*$J$5+[51]FormattedData!J44^2*$J$6+$M$5*$J$7</f>
        <v>53.217889727966025</v>
      </c>
      <c r="R25" s="39">
        <f>$J$3+[51]FormattedData!K44*$J$4+$M$4*$J$5+[51]FormattedData!K44^2*$J$6+$M$5*$J$7</f>
        <v>52.436724099011265</v>
      </c>
      <c r="S25" s="39">
        <f>$J$3+[51]FormattedData!L44*$J$4+$M$4*$J$5+[51]FormattedData!L44^2*$J$6+$M$5*$J$7</f>
        <v>51.914044928834528</v>
      </c>
      <c r="T25" s="39">
        <f>$J$3+[51]FormattedData!M44*$J$4+$M$4*$J$5+[51]FormattedData!M44^2*$J$6+$M$5*$J$7</f>
        <v>52.088440393045168</v>
      </c>
      <c r="U25" s="39">
        <f>$J$3+[51]FormattedData!N44*$J$4+$M$4*$J$5+[51]FormattedData!N44^2*$J$6+$M$5*$J$7</f>
        <v>53.391017136038727</v>
      </c>
      <c r="V25" s="39">
        <f>$J$3+[51]FormattedData!O44*$J$4+$M$4*$J$5+[51]FormattedData!O44^2*$J$6+$M$5*$J$7</f>
        <v>52.784331508370471</v>
      </c>
      <c r="W25" s="38">
        <f>AVERAGE(K25:V25)</f>
        <v>51.988951510817834</v>
      </c>
      <c r="X25" s="37">
        <f>STDEV(K25:V25)/SQRT(COUNT(K25:V25))</f>
        <v>0.40782022156014403</v>
      </c>
      <c r="Y25" s="36">
        <f>MIN(K25:V25)</f>
        <v>48.746014893098156</v>
      </c>
      <c r="Z25" s="35">
        <f>QUARTILE(K25:V25,1)</f>
        <v>51.389780688485374</v>
      </c>
      <c r="AA25" s="36">
        <f>MEDIAN(K25:V25)</f>
        <v>52.262582246028217</v>
      </c>
      <c r="AB25" s="35">
        <f>QUARTILE(K25:V25,3)</f>
        <v>53.08791736629771</v>
      </c>
      <c r="AC25" s="35">
        <f>MAX(K25:V25)</f>
        <v>53.391017136038727</v>
      </c>
      <c r="AD25" s="35">
        <f>SKEW(K25:V25)</f>
        <v>-1.1997836286021217</v>
      </c>
      <c r="AE25" s="35">
        <f>KURT(K25:V25)</f>
        <v>1.1917040918912312</v>
      </c>
    </row>
    <row r="26" spans="2:31" x14ac:dyDescent="0.2">
      <c r="B26" s="34">
        <f>[51]FormattedData!A62</f>
        <v>301</v>
      </c>
      <c r="C26" s="34" t="str">
        <f>VLOOKUP($B26,[51]TrtCodes!$B$11:I105,2)</f>
        <v>NTL</v>
      </c>
      <c r="D26" s="34">
        <f>VLOOKUP($B26,[51]TrtCodes!$B$11:J105,3)</f>
        <v>10</v>
      </c>
      <c r="E26" s="34">
        <f>VLOOKUP($B26,[51]TrtCodes!$B$11:K105,4)</f>
        <v>2</v>
      </c>
      <c r="F26" s="34">
        <f>VLOOKUP($B26,[51]TrtCodes!$B$11:L105,5)</f>
        <v>2</v>
      </c>
      <c r="G26" s="34">
        <f>VLOOKUP($B26,[51]TrtCodes!$B$11:M105,6)</f>
        <v>1</v>
      </c>
      <c r="H26" s="34">
        <f>VLOOKUP($B26,[51]TrtCodes!$B$11:N105,7)</f>
        <v>3</v>
      </c>
      <c r="I26" s="34">
        <f>[51]FormattedData!B62</f>
        <v>1</v>
      </c>
      <c r="J26" s="37">
        <f>[51]FormattedData!C62</f>
        <v>13.103999999999999</v>
      </c>
      <c r="K26" s="39">
        <f>$J$3+[51]FormattedData!D62*$J$4+$M$4*$J$5+[51]FormattedData!D62^2*$J$6+$M$5*$J$7</f>
        <v>49.984535928503696</v>
      </c>
      <c r="L26" s="39">
        <f>$J$3+[51]FormattedData!E62*$J$4+$M$4*$J$5+[51]FormattedData!E62^2*$J$6+$M$5*$J$7</f>
        <v>47.588541517528952</v>
      </c>
      <c r="M26" s="39">
        <f>$J$3+[51]FormattedData!F62*$J$4+$M$4*$J$5+[51]FormattedData!F62^2*$J$6+$M$5*$J$7</f>
        <v>49.189294876417868</v>
      </c>
      <c r="N26" s="39">
        <f>$J$3+[51]FormattedData!G62*$J$4+$M$4*$J$5+[51]FormattedData!G62^2*$J$6+$M$5*$J$7</f>
        <v>40.030121341469453</v>
      </c>
      <c r="O26" s="39">
        <f>$J$3+[51]FormattedData!H62*$J$4+$M$4*$J$5+[51]FormattedData!H62^2*$J$6+$M$5*$J$7</f>
        <v>43.435508090311515</v>
      </c>
      <c r="P26" s="39">
        <f>$J$3+[51]FormattedData!I62*$J$4+$M$4*$J$5+[51]FormattedData!I62^2*$J$6+$M$5*$J$7</f>
        <v>39.28621316705437</v>
      </c>
      <c r="Q26" s="39">
        <f>$J$3+[51]FormattedData!J62*$J$4+$M$4*$J$5+[51]FormattedData!J62^2*$J$6+$M$5*$J$7</f>
        <v>43.526742467789262</v>
      </c>
      <c r="R26" s="39">
        <f>$J$3+[51]FormattedData!K62*$J$4+$M$4*$J$5+[51]FormattedData!K62^2*$J$6+$M$5*$J$7</f>
        <v>49.366310989980242</v>
      </c>
      <c r="S26" s="39">
        <f>$J$3+[51]FormattedData!L62*$J$4+$M$4*$J$5+[51]FormattedData!L62^2*$J$6+$M$5*$J$7</f>
        <v>52.523689354157966</v>
      </c>
      <c r="T26" s="39">
        <f>$J$3+[51]FormattedData!M62*$J$4+$M$4*$J$5+[51]FormattedData!M62^2*$J$6+$M$5*$J$7</f>
        <v>49.189294876417868</v>
      </c>
      <c r="U26" s="39">
        <f>$J$3+[51]FormattedData!N62*$J$4+$M$4*$J$5+[51]FormattedData!N62^2*$J$6+$M$5*$J$7</f>
        <v>52.175574722343598</v>
      </c>
      <c r="V26" s="39">
        <f>$J$3+[51]FormattedData!O62*$J$4+$M$4*$J$5+[51]FormattedData!O62^2*$J$6+$M$5*$J$7</f>
        <v>50.160791208383301</v>
      </c>
      <c r="W26" s="38">
        <f>AVERAGE(K26:V26)</f>
        <v>47.204718211696523</v>
      </c>
      <c r="X26" s="37">
        <f>STDEV(K26:V26)/SQRT(COUNT(K26:V26))</f>
        <v>1.3028974942061795</v>
      </c>
      <c r="Y26" s="36">
        <f>MIN(K26:V26)</f>
        <v>39.28621316705437</v>
      </c>
      <c r="Z26" s="35">
        <f>QUARTILE(K26:V26,1)</f>
        <v>43.503933873419825</v>
      </c>
      <c r="AA26" s="36">
        <f>MEDIAN(K26:V26)</f>
        <v>49.189294876417868</v>
      </c>
      <c r="AB26" s="35">
        <f>QUARTILE(K26:V26,3)</f>
        <v>50.028599748473596</v>
      </c>
      <c r="AC26" s="35">
        <f>MAX(K26:V26)</f>
        <v>52.523689354157966</v>
      </c>
      <c r="AD26" s="35">
        <f>SKEW(K26:V26)</f>
        <v>-0.73888379848012775</v>
      </c>
      <c r="AE26" s="35">
        <f>KURT(K26:V26)</f>
        <v>-0.78047140544618232</v>
      </c>
    </row>
    <row r="27" spans="2:31" x14ac:dyDescent="0.2">
      <c r="B27" s="34">
        <f>[51]FormattedData!A64</f>
        <v>302</v>
      </c>
      <c r="C27" s="34" t="str">
        <f>VLOOKUP($B27,[51]TrtCodes!$B$11:I107,2)</f>
        <v>FTL</v>
      </c>
      <c r="D27" s="34">
        <f>VLOOKUP($B27,[51]TrtCodes!$B$11:J107,3)</f>
        <v>4</v>
      </c>
      <c r="E27" s="34">
        <f>VLOOKUP($B27,[51]TrtCodes!$B$11:K107,4)</f>
        <v>1</v>
      </c>
      <c r="F27" s="34">
        <f>VLOOKUP($B27,[51]TrtCodes!$B$11:L107,5)</f>
        <v>2</v>
      </c>
      <c r="G27" s="34">
        <f>VLOOKUP($B27,[51]TrtCodes!$B$11:M107,6)</f>
        <v>1</v>
      </c>
      <c r="H27" s="34">
        <f>VLOOKUP($B27,[51]TrtCodes!$B$11:N107,7)</f>
        <v>3</v>
      </c>
      <c r="I27" s="34">
        <f>[51]FormattedData!B64</f>
        <v>1</v>
      </c>
      <c r="J27" s="37">
        <f>[51]FormattedData!C64</f>
        <v>13.109</v>
      </c>
      <c r="K27" s="39">
        <f>$J$3+[51]FormattedData!D64*$J$4+$M$4*$J$5+[51]FormattedData!D64^2*$J$6+$M$5*$J$7</f>
        <v>48.034568955814194</v>
      </c>
      <c r="L27" s="39">
        <f>$J$3+[51]FormattedData!E64*$J$4+$M$4*$J$5+[51]FormattedData!E64^2*$J$6+$M$5*$J$7</f>
        <v>47.230958733218003</v>
      </c>
      <c r="M27" s="39">
        <f>$J$3+[51]FormattedData!F64*$J$4+$M$4*$J$5+[51]FormattedData!F64^2*$J$6+$M$5*$J$7</f>
        <v>53.47751743726819</v>
      </c>
      <c r="N27" s="39">
        <f>$J$3+[51]FormattedData!G64*$J$4+$M$4*$J$5+[51]FormattedData!G64^2*$J$6+$M$5*$J$7</f>
        <v>48.479539680651158</v>
      </c>
      <c r="O27" s="39">
        <f>$J$3+[51]FormattedData!H64*$J$4+$M$4*$J$5+[51]FormattedData!H64^2*$J$6+$M$5*$J$7</f>
        <v>52.697493058837566</v>
      </c>
      <c r="P27" s="39">
        <f>$J$3+[51]FormattedData!I64*$J$4+$M$4*$J$5+[51]FormattedData!I64^2*$J$6+$M$5*$J$7</f>
        <v>47.588541517528952</v>
      </c>
      <c r="Q27" s="39">
        <f>$J$3+[51]FormattedData!J64*$J$4+$M$4*$J$5+[51]FormattedData!J64^2*$J$6+$M$5*$J$7</f>
        <v>52.784331508370471</v>
      </c>
      <c r="R27" s="39">
        <f>$J$3+[51]FormattedData!K64*$J$4+$M$4*$J$5+[51]FormattedData!K64^2*$J$6+$M$5*$J$7</f>
        <v>51.214772330474737</v>
      </c>
      <c r="S27" s="39">
        <f>$J$3+[51]FormattedData!L64*$J$4+$M$4*$J$5+[51]FormattedData!L64^2*$J$6+$M$5*$J$7</f>
        <v>52.262666783104081</v>
      </c>
      <c r="T27" s="39">
        <f>$J$3+[51]FormattedData!M64*$J$4+$M$4*$J$5+[51]FormattedData!M64^2*$J$6+$M$5*$J$7</f>
        <v>47.409834662449335</v>
      </c>
      <c r="U27" s="39">
        <f>$J$3+[51]FormattedData!N64*$J$4+$M$4*$J$5+[51]FormattedData!N64^2*$J$6+$M$5*$J$7</f>
        <v>51.564746777958078</v>
      </c>
      <c r="V27" s="39">
        <f>$J$3+[51]FormattedData!O64*$J$4+$M$4*$J$5+[51]FormattedData!O64^2*$J$6+$M$5*$J$7</f>
        <v>48.657232090820422</v>
      </c>
      <c r="W27" s="38">
        <f>AVERAGE(K27:V27)</f>
        <v>50.116850294707938</v>
      </c>
      <c r="X27" s="37">
        <f>STDEV(K27:V27)/SQRT(COUNT(K27:V27))</f>
        <v>0.69724261082465055</v>
      </c>
      <c r="Y27" s="36">
        <f>MIN(K27:V27)</f>
        <v>47.230958733218003</v>
      </c>
      <c r="Z27" s="35">
        <f>QUARTILE(K27:V27,1)</f>
        <v>47.923062096242887</v>
      </c>
      <c r="AA27" s="36">
        <f>MEDIAN(K27:V27)</f>
        <v>49.93600221064758</v>
      </c>
      <c r="AB27" s="35">
        <f>QUARTILE(K27:V27,3)</f>
        <v>52.371373352037452</v>
      </c>
      <c r="AC27" s="35">
        <f>MAX(K27:V27)</f>
        <v>53.47751743726819</v>
      </c>
      <c r="AD27" s="35">
        <f>SKEW(K27:V27)</f>
        <v>9.136362324440904E-2</v>
      </c>
      <c r="AE27" s="35">
        <f>KURT(K27:V27)</f>
        <v>-1.9774003042188473</v>
      </c>
    </row>
    <row r="28" spans="2:31" x14ac:dyDescent="0.2">
      <c r="B28" s="34">
        <f>[51]FormattedData!A66</f>
        <v>303</v>
      </c>
      <c r="C28" s="34" t="str">
        <f>VLOOKUP($B28,[51]TrtCodes!$B$11:I109,2)</f>
        <v>NSL</v>
      </c>
      <c r="D28" s="34">
        <f>VLOOKUP($B28,[51]TrtCodes!$B$11:J109,3)</f>
        <v>8</v>
      </c>
      <c r="E28" s="34">
        <f>VLOOKUP($B28,[51]TrtCodes!$B$11:K109,4)</f>
        <v>2</v>
      </c>
      <c r="F28" s="34">
        <f>VLOOKUP($B28,[51]TrtCodes!$B$11:L109,5)</f>
        <v>1</v>
      </c>
      <c r="G28" s="34">
        <f>VLOOKUP($B28,[51]TrtCodes!$B$11:M109,6)</f>
        <v>1</v>
      </c>
      <c r="H28" s="34">
        <f>VLOOKUP($B28,[51]TrtCodes!$B$11:N109,7)</f>
        <v>3</v>
      </c>
      <c r="I28" s="34">
        <f>[51]FormattedData!B66</f>
        <v>1</v>
      </c>
      <c r="J28" s="37">
        <f>[51]FormattedData!C66</f>
        <v>13.115</v>
      </c>
      <c r="K28" s="39">
        <f>$J$3+[51]FormattedData!D66*$J$4+$M$4*$J$5+[51]FormattedData!D66^2*$J$6+$M$5*$J$7</f>
        <v>48.123647637857445</v>
      </c>
      <c r="L28" s="39">
        <f>$J$3+[51]FormattedData!E66*$J$4+$M$4*$J$5+[51]FormattedData!E66^2*$J$6+$M$5*$J$7</f>
        <v>48.034568955814194</v>
      </c>
      <c r="M28" s="39">
        <f>$J$3+[51]FormattedData!F66*$J$4+$M$4*$J$5+[51]FormattedData!F66^2*$J$6+$M$5*$J$7</f>
        <v>52.088440393045168</v>
      </c>
      <c r="N28" s="39">
        <f>$J$3+[51]FormattedData!G66*$J$4+$M$4*$J$5+[51]FormattedData!G66^2*$J$6+$M$5*$J$7</f>
        <v>48.479539680651158</v>
      </c>
      <c r="O28" s="39">
        <f>$J$3+[51]FormattedData!H66*$J$4+$M$4*$J$5+[51]FormattedData!H66^2*$J$6+$M$5*$J$7</f>
        <v>51.039531495505479</v>
      </c>
      <c r="P28" s="39">
        <f>$J$3+[51]FormattedData!I66*$J$4+$M$4*$J$5+[51]FormattedData!I66^2*$J$6+$M$5*$J$7</f>
        <v>47.767079298456842</v>
      </c>
      <c r="Q28" s="39">
        <f>$J$3+[51]FormattedData!J66*$J$4+$M$4*$J$5+[51]FormattedData!J66^2*$J$6+$M$5*$J$7</f>
        <v>52.523689354157966</v>
      </c>
      <c r="R28" s="39">
        <f>$J$3+[51]FormattedData!K66*$J$4+$M$4*$J$5+[51]FormattedData!K66^2*$J$6+$M$5*$J$7</f>
        <v>48.923453692039836</v>
      </c>
      <c r="S28" s="39">
        <f>$J$3+[51]FormattedData!L66*$J$4+$M$4*$J$5+[51]FormattedData!L66^2*$J$6+$M$5*$J$7</f>
        <v>53.217889727966025</v>
      </c>
      <c r="T28" s="39">
        <f>$J$3+[51]FormattedData!M66*$J$4+$M$4*$J$5+[51]FormattedData!M66^2*$J$6+$M$5*$J$7</f>
        <v>48.657232090820422</v>
      </c>
      <c r="U28" s="39">
        <f>$J$3+[51]FormattedData!N66*$J$4+$M$4*$J$5+[51]FormattedData!N66^2*$J$6+$M$5*$J$7</f>
        <v>53.304474566271345</v>
      </c>
      <c r="V28" s="39">
        <f>$J$3+[51]FormattedData!O66*$J$4+$M$4*$J$5+[51]FormattedData!O66^2*$J$6+$M$5*$J$7</f>
        <v>50.512794545687342</v>
      </c>
      <c r="W28" s="38">
        <f>AVERAGE(K28:V28)</f>
        <v>50.222695119856105</v>
      </c>
      <c r="X28" s="37">
        <f>STDEV(K28:V28)/SQRT(COUNT(K28:V28))</f>
        <v>0.61789448018559434</v>
      </c>
      <c r="Y28" s="36">
        <f>MIN(K28:V28)</f>
        <v>47.767079298456842</v>
      </c>
      <c r="Z28" s="35">
        <f>QUARTILE(K28:V28,1)</f>
        <v>48.390566669952733</v>
      </c>
      <c r="AA28" s="36">
        <f>MEDIAN(K28:V28)</f>
        <v>49.718124118863585</v>
      </c>
      <c r="AB28" s="35">
        <f>QUARTILE(K28:V28,3)</f>
        <v>52.197252633323366</v>
      </c>
      <c r="AC28" s="35">
        <f>MAX(K28:V28)</f>
        <v>53.304474566271345</v>
      </c>
      <c r="AD28" s="35">
        <f>SKEW(K28:V28)</f>
        <v>0.32847226751906122</v>
      </c>
      <c r="AE28" s="35">
        <f>KURT(K28:V28)</f>
        <v>-1.7206275604492096</v>
      </c>
    </row>
    <row r="29" spans="2:31" x14ac:dyDescent="0.2">
      <c r="B29" s="34">
        <f>[51]FormattedData!A68</f>
        <v>304</v>
      </c>
      <c r="C29" s="34" t="str">
        <f>VLOOKUP($B29,[51]TrtCodes!$B$11:I111,2)</f>
        <v>FSL</v>
      </c>
      <c r="D29" s="34">
        <f>VLOOKUP($B29,[51]TrtCodes!$B$11:J111,3)</f>
        <v>2</v>
      </c>
      <c r="E29" s="34">
        <f>VLOOKUP($B29,[51]TrtCodes!$B$11:K111,4)</f>
        <v>1</v>
      </c>
      <c r="F29" s="34">
        <f>VLOOKUP($B29,[51]TrtCodes!$B$11:L111,5)</f>
        <v>1</v>
      </c>
      <c r="G29" s="34">
        <f>VLOOKUP($B29,[51]TrtCodes!$B$11:M111,6)</f>
        <v>1</v>
      </c>
      <c r="H29" s="34">
        <f>VLOOKUP($B29,[51]TrtCodes!$B$11:N111,7)</f>
        <v>3</v>
      </c>
      <c r="I29" s="34">
        <f>[51]FormattedData!B68</f>
        <v>1</v>
      </c>
      <c r="J29" s="37">
        <f>[51]FormattedData!C68</f>
        <v>13.12</v>
      </c>
      <c r="K29" s="39">
        <f>$J$3+[51]FormattedData!D68*$J$4+$M$4*$J$5+[51]FormattedData!D68^2*$J$6+$M$5*$J$7</f>
        <v>50.688542603111777</v>
      </c>
      <c r="L29" s="39">
        <f>$J$3+[51]FormattedData!E68*$J$4+$M$4*$J$5+[51]FormattedData!E68^2*$J$6+$M$5*$J$7</f>
        <v>48.923453692039836</v>
      </c>
      <c r="M29" s="39">
        <f>$J$3+[51]FormattedData!F68*$J$4+$M$4*$J$5+[51]FormattedData!F68^2*$J$6+$M$5*$J$7</f>
        <v>52.088440393045168</v>
      </c>
      <c r="N29" s="39">
        <f>$J$3+[51]FormattedData!G68*$J$4+$M$4*$J$5+[51]FormattedData!G68^2*$J$6+$M$5*$J$7</f>
        <v>49.100723416829794</v>
      </c>
      <c r="O29" s="39">
        <f>$J$3+[51]FormattedData!H68*$J$4+$M$4*$J$5+[51]FormattedData!H68^2*$J$6+$M$5*$J$7</f>
        <v>52.957881601822486</v>
      </c>
      <c r="P29" s="39">
        <f>$J$3+[51]FormattedData!I68*$J$4+$M$4*$J$5+[51]FormattedData!I68^2*$J$6+$M$5*$J$7</f>
        <v>50.776353229017104</v>
      </c>
      <c r="Q29" s="39">
        <f>$J$3+[51]FormattedData!J68*$J$4+$M$4*$J$5+[51]FormattedData!J68^2*$J$6+$M$5*$J$7</f>
        <v>52.523689354157966</v>
      </c>
      <c r="R29" s="39">
        <f>$J$3+[51]FormattedData!K68*$J$4+$M$4*$J$5+[51]FormattedData!K68^2*$J$6+$M$5*$J$7</f>
        <v>50.160791208383301</v>
      </c>
      <c r="S29" s="39">
        <f>$J$3+[51]FormattedData!L68*$J$4+$M$4*$J$5+[51]FormattedData!L68^2*$J$6+$M$5*$J$7</f>
        <v>52.349716575326639</v>
      </c>
      <c r="T29" s="39">
        <f>$J$3+[51]FormattedData!M68*$J$4+$M$4*$J$5+[51]FormattedData!M68^2*$J$6+$M$5*$J$7</f>
        <v>49.012109688703774</v>
      </c>
      <c r="U29" s="39">
        <f>$J$3+[51]FormattedData!N68*$J$4+$M$4*$J$5+[51]FormattedData!N68^2*$J$6+$M$5*$J$7</f>
        <v>53.131262621122772</v>
      </c>
      <c r="V29" s="39">
        <f>$J$3+[51]FormattedData!O68*$J$4+$M$4*$J$5+[51]FormattedData!O68^2*$J$6+$M$5*$J$7</f>
        <v>49.719835994649799</v>
      </c>
      <c r="W29" s="38">
        <f>AVERAGE(K29:V29)</f>
        <v>50.952733364850864</v>
      </c>
      <c r="X29" s="37">
        <f>STDEV(K29:V29)/SQRT(COUNT(K29:V29))</f>
        <v>0.46087825039959679</v>
      </c>
      <c r="Y29" s="36">
        <f>MIN(K29:V29)</f>
        <v>48.923453692039836</v>
      </c>
      <c r="Z29" s="35">
        <f>QUARTILE(K29:V29,1)</f>
        <v>49.565057850194798</v>
      </c>
      <c r="AA29" s="36">
        <f>MEDIAN(K29:V29)</f>
        <v>50.732447916064444</v>
      </c>
      <c r="AB29" s="35">
        <f>QUARTILE(K29:V29,3)</f>
        <v>52.393209770034474</v>
      </c>
      <c r="AC29" s="35">
        <f>MAX(K29:V29)</f>
        <v>53.131262621122772</v>
      </c>
      <c r="AD29" s="35">
        <f>SKEW(K29:V29)</f>
        <v>5.5155419224481389E-2</v>
      </c>
      <c r="AE29" s="35">
        <f>KURT(K29:V29)</f>
        <v>-1.7081718982801575</v>
      </c>
    </row>
    <row r="30" spans="2:31" x14ac:dyDescent="0.2">
      <c r="B30" s="34">
        <f>[51]FormattedData!A70</f>
        <v>305</v>
      </c>
      <c r="C30" s="34" t="str">
        <f>VLOOKUP($B30,[51]TrtCodes!$B$11:I113,2)</f>
        <v>NDH</v>
      </c>
      <c r="D30" s="34">
        <f>VLOOKUP($B30,[51]TrtCodes!$B$11:J113,3)</f>
        <v>11</v>
      </c>
      <c r="E30" s="34">
        <f>VLOOKUP($B30,[51]TrtCodes!$B$11:K113,4)</f>
        <v>2</v>
      </c>
      <c r="F30" s="34">
        <f>VLOOKUP($B30,[51]TrtCodes!$B$11:L113,5)</f>
        <v>3</v>
      </c>
      <c r="G30" s="34">
        <f>VLOOKUP($B30,[51]TrtCodes!$B$11:M113,6)</f>
        <v>2</v>
      </c>
      <c r="H30" s="34">
        <f>VLOOKUP($B30,[51]TrtCodes!$B$11:N113,7)</f>
        <v>4</v>
      </c>
      <c r="I30" s="34">
        <f>[51]FormattedData!B70</f>
        <v>1</v>
      </c>
      <c r="J30" s="37">
        <f>[51]FormattedData!C70</f>
        <v>13.127000000000001</v>
      </c>
      <c r="K30" s="39">
        <f>$J$3+[51]FormattedData!D70*$J$4+$M$4*$J$5+[51]FormattedData!D70^2*$J$6+$M$5*$J$7</f>
        <v>47.767079298456842</v>
      </c>
      <c r="L30" s="39">
        <f>$J$3+[51]FormattedData!E70*$J$4+$M$4*$J$5+[51]FormattedData!E70^2*$J$6+$M$5*$J$7</f>
        <v>50.248855445516213</v>
      </c>
      <c r="M30" s="39">
        <f>$J$3+[51]FormattedData!F70*$J$4+$M$4*$J$5+[51]FormattedData!F70^2*$J$6+$M$5*$J$7</f>
        <v>51.477316568894146</v>
      </c>
      <c r="N30" s="39">
        <f>$J$3+[51]FormattedData!G70*$J$4+$M$4*$J$5+[51]FormattedData!G70^2*$J$6+$M$5*$J$7</f>
        <v>49.896344885757003</v>
      </c>
      <c r="O30" s="39">
        <f>$J$3+[51]FormattedData!H70*$J$4+$M$4*$J$5+[51]FormattedData!H70^2*$J$6+$M$5*$J$7</f>
        <v>53.217889727966025</v>
      </c>
      <c r="P30" s="39">
        <f>$J$3+[51]FormattedData!I70*$J$4+$M$4*$J$5+[51]FormattedData!I70^2*$J$6+$M$5*$J$7</f>
        <v>48.568407020004749</v>
      </c>
      <c r="Q30" s="39">
        <f>$J$3+[51]FormattedData!J70*$J$4+$M$4*$J$5+[51]FormattedData!J70^2*$J$6+$M$5*$J$7</f>
        <v>52.262666783104081</v>
      </c>
      <c r="R30" s="39">
        <f>$J$3+[51]FormattedData!K70*$J$4+$M$4*$J$5+[51]FormattedData!K70^2*$J$6+$M$5*$J$7</f>
        <v>49.719835994649799</v>
      </c>
      <c r="S30" s="39">
        <f>$J$3+[51]FormattedData!L70*$J$4+$M$4*$J$5+[51]FormattedData!L70^2*$J$6+$M$5*$J$7</f>
        <v>52.088440393045168</v>
      </c>
      <c r="T30" s="39">
        <f>$J$3+[51]FormattedData!M70*$J$4+$M$4*$J$5+[51]FormattedData!M70^2*$J$6+$M$5*$J$7</f>
        <v>50.336877414111193</v>
      </c>
      <c r="U30" s="39">
        <f>$J$3+[51]FormattedData!N70*$J$4+$M$4*$J$5+[51]FormattedData!N70^2*$J$6+$M$5*$J$7</f>
        <v>51.739480390472174</v>
      </c>
      <c r="V30" s="39">
        <f>$J$3+[51]FormattedData!O70*$J$4+$M$4*$J$5+[51]FormattedData!O70^2*$J$6+$M$5*$J$7</f>
        <v>49.277824067468018</v>
      </c>
      <c r="W30" s="38">
        <f>AVERAGE(K30:V30)</f>
        <v>50.550084832453784</v>
      </c>
      <c r="X30" s="37">
        <f>STDEV(K30:V30)/SQRT(COUNT(K30:V30))</f>
        <v>0.47061193256530548</v>
      </c>
      <c r="Y30" s="36">
        <f>MIN(K30:V30)</f>
        <v>47.767079298456842</v>
      </c>
      <c r="Z30" s="35">
        <f>QUARTILE(K30:V30,1)</f>
        <v>49.60933301285435</v>
      </c>
      <c r="AA30" s="36">
        <f>MEDIAN(K30:V30)</f>
        <v>50.292866429813699</v>
      </c>
      <c r="AB30" s="35">
        <f>QUARTILE(K30:V30,3)</f>
        <v>51.826720391115423</v>
      </c>
      <c r="AC30" s="35">
        <f>MAX(K30:V30)</f>
        <v>53.217889727966025</v>
      </c>
      <c r="AD30" s="35">
        <f>SKEW(K30:V30)</f>
        <v>-5.4244289321428947E-2</v>
      </c>
      <c r="AE30" s="35">
        <f>KURT(K30:V30)</f>
        <v>-0.76969603406202625</v>
      </c>
    </row>
    <row r="31" spans="2:31" x14ac:dyDescent="0.2">
      <c r="B31" s="34">
        <f>[51]FormattedData!A72</f>
        <v>306</v>
      </c>
      <c r="C31" s="34" t="str">
        <f>VLOOKUP($B31,[51]TrtCodes!$B$11:I115,2)</f>
        <v>FTL</v>
      </c>
      <c r="D31" s="34">
        <f>VLOOKUP($B31,[51]TrtCodes!$B$11:J115,3)</f>
        <v>4</v>
      </c>
      <c r="E31" s="34">
        <f>VLOOKUP($B31,[51]TrtCodes!$B$11:K115,4)</f>
        <v>1</v>
      </c>
      <c r="F31" s="34">
        <f>VLOOKUP($B31,[51]TrtCodes!$B$11:L115,5)</f>
        <v>2</v>
      </c>
      <c r="G31" s="34">
        <f>VLOOKUP($B31,[51]TrtCodes!$B$11:M115,6)</f>
        <v>1</v>
      </c>
      <c r="H31" s="34">
        <f>VLOOKUP($B31,[51]TrtCodes!$B$11:N115,7)</f>
        <v>4</v>
      </c>
      <c r="I31" s="34">
        <f>[51]FormattedData!B72</f>
        <v>1</v>
      </c>
      <c r="J31" s="37">
        <f>[51]FormattedData!C72</f>
        <v>13.132</v>
      </c>
      <c r="K31" s="39">
        <f>$J$3+[51]FormattedData!D72*$J$4+$M$4*$J$5+[51]FormattedData!D72^2*$J$6+$M$5*$J$7</f>
        <v>49.896344885757003</v>
      </c>
      <c r="L31" s="39">
        <f>$J$3+[51]FormattedData!E72*$J$4+$M$4*$J$5+[51]FormattedData!E72^2*$J$6+$M$5*$J$7</f>
        <v>48.746014893098156</v>
      </c>
      <c r="M31" s="39">
        <f>$J$3+[51]FormattedData!F72*$J$4+$M$4*$J$5+[51]FormattedData!F72^2*$J$6+$M$5*$J$7</f>
        <v>53.391017136038727</v>
      </c>
      <c r="N31" s="39">
        <f>$J$3+[51]FormattedData!G72*$J$4+$M$4*$J$5+[51]FormattedData!G72^2*$J$6+$M$5*$J$7</f>
        <v>48.834755426837958</v>
      </c>
      <c r="O31" s="39">
        <f>$J$3+[51]FormattedData!H72*$J$4+$M$4*$J$5+[51]FormattedData!H72^2*$J$6+$M$5*$J$7</f>
        <v>53.044593245741602</v>
      </c>
      <c r="P31" s="39">
        <f>$J$3+[51]FormattedData!I72*$J$4+$M$4*$J$5+[51]FormattedData!I72^2*$J$6+$M$5*$J$7</f>
        <v>48.657232090820422</v>
      </c>
      <c r="Q31" s="39">
        <f>$J$3+[51]FormattedData!J72*$J$4+$M$4*$J$5+[51]FormattedData!J72^2*$J$6+$M$5*$J$7</f>
        <v>52.784331508370471</v>
      </c>
      <c r="R31" s="39">
        <f>$J$3+[51]FormattedData!K72*$J$4+$M$4*$J$5+[51]FormattedData!K72^2*$J$6+$M$5*$J$7</f>
        <v>49.543158029390881</v>
      </c>
      <c r="S31" s="39">
        <f>$J$3+[51]FormattedData!L72*$J$4+$M$4*$J$5+[51]FormattedData!L72^2*$J$6+$M$5*$J$7</f>
        <v>52.001263795208814</v>
      </c>
      <c r="T31" s="39">
        <f>$J$3+[51]FormattedData!M72*$J$4+$M$4*$J$5+[51]FormattedData!M72^2*$J$6+$M$5*$J$7</f>
        <v>49.100723416829794</v>
      </c>
      <c r="U31" s="39">
        <f>$J$3+[51]FormattedData!N72*$J$4+$M$4*$J$5+[51]FormattedData!N72^2*$J$6+$M$5*$J$7</f>
        <v>52.175574722343598</v>
      </c>
      <c r="V31" s="39">
        <f>$J$3+[51]FormattedData!O72*$J$4+$M$4*$J$5+[51]FormattedData!O72^2*$J$6+$M$5*$J$7</f>
        <v>50.512794545687342</v>
      </c>
      <c r="W31" s="38">
        <f>AVERAGE(K31:V31)</f>
        <v>50.723983641343729</v>
      </c>
      <c r="X31" s="37">
        <f>STDEV(K31:V31)/SQRT(COUNT(K31:V31))</f>
        <v>0.52939220726013325</v>
      </c>
      <c r="Y31" s="36">
        <f>MIN(K31:V31)</f>
        <v>48.657232090820422</v>
      </c>
      <c r="Z31" s="35">
        <f>QUARTILE(K31:V31,1)</f>
        <v>49.034231419331832</v>
      </c>
      <c r="AA31" s="36">
        <f>MEDIAN(K31:V31)</f>
        <v>50.204569715722172</v>
      </c>
      <c r="AB31" s="35">
        <f>QUARTILE(K31:V31,3)</f>
        <v>52.327763918850316</v>
      </c>
      <c r="AC31" s="35">
        <f>MAX(K31:V31)</f>
        <v>53.391017136038727</v>
      </c>
      <c r="AD31" s="35">
        <f>SKEW(K31:V31)</f>
        <v>0.27499663063691515</v>
      </c>
      <c r="AE31" s="35">
        <f>KURT(K31:V31)</f>
        <v>-1.7990724141719263</v>
      </c>
    </row>
    <row r="32" spans="2:31" x14ac:dyDescent="0.2">
      <c r="B32" s="34">
        <f>[51]FormattedData!A74</f>
        <v>307</v>
      </c>
      <c r="C32" s="34" t="str">
        <f>VLOOKUP($B32,[51]TrtCodes!$B$11:I117,2)</f>
        <v>NTH</v>
      </c>
      <c r="D32" s="34">
        <f>VLOOKUP($B32,[51]TrtCodes!$B$11:J117,3)</f>
        <v>9</v>
      </c>
      <c r="E32" s="34">
        <f>VLOOKUP($B32,[51]TrtCodes!$B$11:K117,4)</f>
        <v>2</v>
      </c>
      <c r="F32" s="34">
        <f>VLOOKUP($B32,[51]TrtCodes!$B$11:L117,5)</f>
        <v>2</v>
      </c>
      <c r="G32" s="34">
        <f>VLOOKUP($B32,[51]TrtCodes!$B$11:M117,6)</f>
        <v>2</v>
      </c>
      <c r="H32" s="34">
        <f>VLOOKUP($B32,[51]TrtCodes!$B$11:N117,7)</f>
        <v>4</v>
      </c>
      <c r="I32" s="34">
        <f>[51]FormattedData!B74</f>
        <v>1</v>
      </c>
      <c r="J32" s="37">
        <f>[51]FormattedData!C74</f>
        <v>13.138</v>
      </c>
      <c r="K32" s="39">
        <f>$J$3+[51]FormattedData!D74*$J$4+$M$4*$J$5+[51]FormattedData!D74^2*$J$6+$M$5*$J$7</f>
        <v>49.719835994649799</v>
      </c>
      <c r="L32" s="39">
        <f>$J$3+[51]FormattedData!E74*$J$4+$M$4*$J$5+[51]FormattedData!E74^2*$J$6+$M$5*$J$7</f>
        <v>50.248855445516213</v>
      </c>
      <c r="M32" s="39">
        <f>$J$3+[51]FormattedData!F74*$J$4+$M$4*$J$5+[51]FormattedData!F74^2*$J$6+$M$5*$J$7</f>
        <v>52.784331508370471</v>
      </c>
      <c r="N32" s="39">
        <f>$J$3+[51]FormattedData!G74*$J$4+$M$4*$J$5+[51]FormattedData!G74^2*$J$6+$M$5*$J$7</f>
        <v>11.545159613143008</v>
      </c>
      <c r="O32" s="39">
        <f>$J$3+[51]FormattedData!H74*$J$4+$M$4*$J$5+[51]FormattedData!H74^2*$J$6+$M$5*$J$7</f>
        <v>7.8445226035586799</v>
      </c>
      <c r="P32" s="39">
        <f>$J$3+[51]FormattedData!I74*$J$4+$M$4*$J$5+[51]FormattedData!I74^2*$J$6+$M$5*$J$7</f>
        <v>50.160791208383301</v>
      </c>
      <c r="Q32" s="39">
        <f>$J$3+[51]FormattedData!J74*$J$4+$M$4*$J$5+[51]FormattedData!J74^2*$J$6+$M$5*$J$7</f>
        <v>53.563975469959701</v>
      </c>
      <c r="R32" s="39">
        <f>$J$3+[51]FormattedData!K74*$J$4+$M$4*$J$5+[51]FormattedData!K74^2*$J$6+$M$5*$J$7</f>
        <v>7.6314936956789783</v>
      </c>
      <c r="S32" s="39">
        <f>$J$3+[51]FormattedData!L74*$J$4+$M$4*$J$5+[51]FormattedData!L74^2*$J$6+$M$5*$J$7</f>
        <v>8.4825948822874295</v>
      </c>
      <c r="T32" s="39">
        <f>$J$3+[51]FormattedData!M74*$J$4+$M$4*$J$5+[51]FormattedData!M74^2*$J$6+$M$5*$J$7</f>
        <v>50.072684702712465</v>
      </c>
      <c r="U32" s="39">
        <f>$J$3+[51]FormattedData!N74*$J$4+$M$4*$J$5+[51]FormattedData!N74^2*$J$6+$M$5*$J$7</f>
        <v>52.957881601822486</v>
      </c>
      <c r="V32" s="39">
        <f>$J$3+[51]FormattedData!O74*$J$4+$M$4*$J$5+[51]FormattedData!O74^2*$J$6+$M$5*$J$7</f>
        <v>51.039531495505479</v>
      </c>
      <c r="W32" s="38">
        <f>AVERAGE(K32:V32)</f>
        <v>37.170971518465663</v>
      </c>
      <c r="X32" s="37">
        <f>STDEV(K32:V32)/SQRT(COUNT(K32:V32))</f>
        <v>6.0490997869509835</v>
      </c>
      <c r="Y32" s="36">
        <f>MIN(K32:V32)</f>
        <v>7.6314936956789783</v>
      </c>
      <c r="Z32" s="35">
        <f>QUARTILE(K32:V32,1)</f>
        <v>10.779518430429114</v>
      </c>
      <c r="AA32" s="36">
        <f>MEDIAN(K32:V32)</f>
        <v>50.116737955547883</v>
      </c>
      <c r="AB32" s="35">
        <f>QUARTILE(K32:V32,3)</f>
        <v>51.475731498721728</v>
      </c>
      <c r="AC32" s="35">
        <f>MAX(K32:V32)</f>
        <v>53.563975469959701</v>
      </c>
      <c r="AD32" s="35">
        <f>SKEW(K32:V32)</f>
        <v>-0.80706211553364493</v>
      </c>
      <c r="AE32" s="35">
        <f>KURT(K32:V32)</f>
        <v>-1.6218692984193215</v>
      </c>
    </row>
    <row r="33" spans="2:31" x14ac:dyDescent="0.2">
      <c r="B33" s="34">
        <f>[51]FormattedData!A76</f>
        <v>308</v>
      </c>
      <c r="C33" s="34" t="str">
        <f>VLOOKUP($B33,[51]TrtCodes!$B$11:I119,2)</f>
        <v>FDH</v>
      </c>
      <c r="D33" s="34">
        <f>VLOOKUP($B33,[51]TrtCodes!$B$11:J119,3)</f>
        <v>5</v>
      </c>
      <c r="E33" s="34">
        <f>VLOOKUP($B33,[51]TrtCodes!$B$11:K119,4)</f>
        <v>1</v>
      </c>
      <c r="F33" s="34">
        <f>VLOOKUP($B33,[51]TrtCodes!$B$11:L119,5)</f>
        <v>3</v>
      </c>
      <c r="G33" s="34">
        <f>VLOOKUP($B33,[51]TrtCodes!$B$11:M119,6)</f>
        <v>2</v>
      </c>
      <c r="H33" s="34">
        <f>VLOOKUP($B33,[51]TrtCodes!$B$11:N119,7)</f>
        <v>4</v>
      </c>
      <c r="I33" s="34">
        <f>[51]FormattedData!B76</f>
        <v>1</v>
      </c>
      <c r="J33" s="37">
        <f>[51]FormattedData!C76</f>
        <v>13.143000000000001</v>
      </c>
      <c r="K33" s="39">
        <f>$J$3+[51]FormattedData!D76*$J$4+$M$4*$J$5+[51]FormattedData!D76^2*$J$6+$M$5*$J$7</f>
        <v>51.564746777958078</v>
      </c>
      <c r="L33" s="39">
        <f>$J$3+[51]FormattedData!E76*$J$4+$M$4*$J$5+[51]FormattedData!E76^2*$J$6+$M$5*$J$7</f>
        <v>51.564746777958078</v>
      </c>
      <c r="M33" s="39">
        <f>$J$3+[51]FormattedData!F76*$J$4+$M$4*$J$5+[51]FormattedData!F76^2*$J$6+$M$5*$J$7</f>
        <v>51.914044928834528</v>
      </c>
      <c r="N33" s="39">
        <f>$J$3+[51]FormattedData!G76*$J$4+$M$4*$J$5+[51]FormattedData!G76^2*$J$6+$M$5*$J$7</f>
        <v>51.564746777958078</v>
      </c>
      <c r="O33" s="39">
        <f>$J$3+[51]FormattedData!H76*$J$4+$M$4*$J$5+[51]FormattedData!H76^2*$J$6+$M$5*$J$7</f>
        <v>53.563975469959701</v>
      </c>
      <c r="P33" s="39">
        <f>$J$3+[51]FormattedData!I76*$J$4+$M$4*$J$5+[51]FormattedData!I76^2*$J$6+$M$5*$J$7</f>
        <v>50.600689708668526</v>
      </c>
      <c r="Q33" s="39">
        <f>$J$3+[51]FormattedData!J76*$J$4+$M$4*$J$5+[51]FormattedData!J76^2*$J$6+$M$5*$J$7</f>
        <v>53.563975469959701</v>
      </c>
      <c r="R33" s="39">
        <f>$J$3+[51]FormattedData!K76*$J$4+$M$4*$J$5+[51]FormattedData!K76^2*$J$6+$M$5*$J$7</f>
        <v>51.477316568894146</v>
      </c>
      <c r="S33" s="39">
        <f>$J$3+[51]FormattedData!L76*$J$4+$M$4*$J$5+[51]FormattedData!L76^2*$J$6+$M$5*$J$7</f>
        <v>52.610612340766735</v>
      </c>
      <c r="T33" s="39">
        <f>$J$3+[51]FormattedData!M76*$J$4+$M$4*$J$5+[51]FormattedData!M76^2*$J$6+$M$5*$J$7</f>
        <v>51.914044928834528</v>
      </c>
      <c r="U33" s="39">
        <f>$J$3+[51]FormattedData!N76*$J$4+$M$4*$J$5+[51]FormattedData!N76^2*$J$6+$M$5*$J$7</f>
        <v>51.652134718484092</v>
      </c>
      <c r="V33" s="39">
        <f>$J$3+[51]FormattedData!O76*$J$4+$M$4*$J$5+[51]FormattedData!O76^2*$J$6+$M$5*$J$7</f>
        <v>51.564746777958078</v>
      </c>
      <c r="W33" s="38">
        <f>AVERAGE(K33:V33)</f>
        <v>51.962981770519526</v>
      </c>
      <c r="X33" s="37">
        <f>STDEV(K33:V33)/SQRT(COUNT(K33:V33))</f>
        <v>0.25186091208175193</v>
      </c>
      <c r="Y33" s="36">
        <f>MIN(K33:V33)</f>
        <v>50.600689708668526</v>
      </c>
      <c r="Z33" s="35">
        <f>QUARTILE(K33:V33,1)</f>
        <v>51.564746777958078</v>
      </c>
      <c r="AA33" s="36">
        <f>MEDIAN(K33:V33)</f>
        <v>51.608440748221085</v>
      </c>
      <c r="AB33" s="35">
        <f>QUARTILE(K33:V33,3)</f>
        <v>52.088186781817583</v>
      </c>
      <c r="AC33" s="35">
        <f>MAX(K33:V33)</f>
        <v>53.563975469959701</v>
      </c>
      <c r="AD33" s="35">
        <f>SKEW(K33:V33)</f>
        <v>0.91218372622577026</v>
      </c>
      <c r="AE33" s="35">
        <f>KURT(K33:V33)</f>
        <v>0.56948399471576128</v>
      </c>
    </row>
    <row r="34" spans="2:31" x14ac:dyDescent="0.2">
      <c r="B34" s="34">
        <f>[51]FormattedData!A92</f>
        <v>401</v>
      </c>
      <c r="C34" s="34" t="str">
        <f>VLOOKUP($B34,[51]TrtCodes!$B$11:I129,2)</f>
        <v>NSH</v>
      </c>
      <c r="D34" s="34">
        <f>VLOOKUP($B34,[51]TrtCodes!$B$11:J129,3)</f>
        <v>7</v>
      </c>
      <c r="E34" s="34">
        <f>VLOOKUP($B34,[51]TrtCodes!$B$11:K129,4)</f>
        <v>2</v>
      </c>
      <c r="F34" s="34">
        <f>VLOOKUP($B34,[51]TrtCodes!$B$11:L129,5)</f>
        <v>1</v>
      </c>
      <c r="G34" s="34">
        <f>VLOOKUP($B34,[51]TrtCodes!$B$11:M129,6)</f>
        <v>2</v>
      </c>
      <c r="H34" s="34">
        <f>VLOOKUP($B34,[51]TrtCodes!$B$11:N129,7)</f>
        <v>3</v>
      </c>
      <c r="I34" s="34">
        <f>[51]FormattedData!B92</f>
        <v>1</v>
      </c>
      <c r="J34" s="37">
        <f>[51]FormattedData!C92</f>
        <v>13.254</v>
      </c>
      <c r="K34" s="39">
        <f>$J$3+[51]FormattedData!D92*$J$4+$M$4*$J$5+[51]FormattedData!D92^2*$J$6+$M$5*$J$7</f>
        <v>49.631518146289309</v>
      </c>
      <c r="L34" s="39">
        <f>$J$3+[51]FormattedData!E92*$J$4+$M$4*$J$5+[51]FormattedData!E92^2*$J$6+$M$5*$J$7</f>
        <v>49.631518146289309</v>
      </c>
      <c r="M34" s="39">
        <f>$J$3+[51]FormattedData!F92*$J$4+$M$4*$J$5+[51]FormattedData!F92^2*$J$6+$M$5*$J$7</f>
        <v>52.871127689365451</v>
      </c>
      <c r="N34" s="39">
        <f>$J$3+[51]FormattedData!G92*$J$4+$M$4*$J$5+[51]FormattedData!G92^2*$J$6+$M$5*$J$7</f>
        <v>51.914044928834528</v>
      </c>
      <c r="O34" s="39">
        <f>$J$3+[51]FormattedData!H92*$J$4+$M$4*$J$5+[51]FormattedData!H92^2*$J$6+$M$5*$J$7</f>
        <v>52.262666783104081</v>
      </c>
      <c r="P34" s="39">
        <f>$J$3+[51]FormattedData!I92*$J$4+$M$4*$J$5+[51]FormattedData!I92^2*$J$6+$M$5*$J$7</f>
        <v>51.652134718484092</v>
      </c>
      <c r="Q34" s="39">
        <f>$J$3+[51]FormattedData!J92*$J$4+$M$4*$J$5+[51]FormattedData!J92^2*$J$6+$M$5*$J$7</f>
        <v>53.47751743726819</v>
      </c>
      <c r="R34" s="39">
        <f>$J$3+[51]FormattedData!K92*$J$4+$M$4*$J$5+[51]FormattedData!K92^2*$J$6+$M$5*$J$7</f>
        <v>51.214772330474737</v>
      </c>
      <c r="S34" s="39">
        <f>$J$3+[51]FormattedData!L92*$J$4+$M$4*$J$5+[51]FormattedData!L92^2*$J$6+$M$5*$J$7</f>
        <v>51.477316568894146</v>
      </c>
      <c r="T34" s="39">
        <f>$J$3+[51]FormattedData!M92*$J$4+$M$4*$J$5+[51]FormattedData!M92^2*$J$6+$M$5*$J$7</f>
        <v>50.512794545687342</v>
      </c>
      <c r="U34" s="39">
        <f>$J$3+[51]FormattedData!N92*$J$4+$M$4*$J$5+[51]FormattedData!N92^2*$J$6+$M$5*$J$7</f>
        <v>52.175574722343598</v>
      </c>
      <c r="V34" s="39">
        <f>$J$3+[51]FormattedData!O92*$J$4+$M$4*$J$5+[51]FormattedData!O92^2*$J$6+$M$5*$J$7</f>
        <v>50.776353229017104</v>
      </c>
      <c r="W34" s="38">
        <f>AVERAGE(K34:V34)</f>
        <v>51.466444937170991</v>
      </c>
      <c r="X34" s="37">
        <f>STDEV(K34:V34)/SQRT(COUNT(K34:V34))</f>
        <v>0.34346995531025232</v>
      </c>
      <c r="Y34" s="36">
        <f>MIN(K34:V34)</f>
        <v>49.631518146289309</v>
      </c>
      <c r="Z34" s="35">
        <f>QUARTILE(K34:V34,1)</f>
        <v>50.710463558184664</v>
      </c>
      <c r="AA34" s="36">
        <f>MEDIAN(K34:V34)</f>
        <v>51.564725643689115</v>
      </c>
      <c r="AB34" s="35">
        <f>QUARTILE(K34:V34,3)</f>
        <v>52.197347737533718</v>
      </c>
      <c r="AC34" s="35">
        <f>MAX(K34:V34)</f>
        <v>53.47751743726819</v>
      </c>
      <c r="AD34" s="35">
        <f>SKEW(K34:V34)</f>
        <v>-0.11045438869340911</v>
      </c>
      <c r="AE34" s="35">
        <f>KURT(K34:V34)</f>
        <v>-0.5204867083268403</v>
      </c>
    </row>
    <row r="35" spans="2:31" x14ac:dyDescent="0.2">
      <c r="B35" s="34">
        <f>[51]FormattedData!A90</f>
        <v>402</v>
      </c>
      <c r="C35" s="34" t="str">
        <f>VLOOKUP($B35,[51]TrtCodes!$B$11:I130,2)</f>
        <v>NTH</v>
      </c>
      <c r="D35" s="34">
        <f>VLOOKUP($B35,[51]TrtCodes!$B$11:J130,3)</f>
        <v>9</v>
      </c>
      <c r="E35" s="34">
        <f>VLOOKUP($B35,[51]TrtCodes!$B$11:K130,4)</f>
        <v>2</v>
      </c>
      <c r="F35" s="34">
        <f>VLOOKUP($B35,[51]TrtCodes!$B$11:L130,5)</f>
        <v>2</v>
      </c>
      <c r="G35" s="34">
        <f>VLOOKUP($B35,[51]TrtCodes!$B$11:M130,6)</f>
        <v>2</v>
      </c>
      <c r="H35" s="34">
        <f>VLOOKUP($B35,[51]TrtCodes!$B$11:N130,7)</f>
        <v>3</v>
      </c>
      <c r="I35" s="34">
        <f>[51]FormattedData!B90</f>
        <v>1</v>
      </c>
      <c r="J35" s="37">
        <f>[51]FormattedData!C90</f>
        <v>13.244999999999999</v>
      </c>
      <c r="K35" s="39">
        <f>$J$3+[51]FormattedData!D90*$J$4+$M$4*$J$5+[51]FormattedData!D90^2*$J$6+$M$5*$J$7</f>
        <v>48.212684051362771</v>
      </c>
      <c r="L35" s="39">
        <f>$J$3+[51]FormattedData!E90*$J$4+$M$4*$J$5+[51]FormattedData!E90^2*$J$6+$M$5*$J$7</f>
        <v>49.543158029390881</v>
      </c>
      <c r="M35" s="39">
        <f>$J$3+[51]FormattedData!F90*$J$4+$M$4*$J$5+[51]FormattedData!F90^2*$J$6+$M$5*$J$7</f>
        <v>53.217889727966025</v>
      </c>
      <c r="N35" s="39">
        <f>$J$3+[51]FormattedData!G90*$J$4+$M$4*$J$5+[51]FormattedData!G90^2*$J$6+$M$5*$J$7</f>
        <v>52.349716575326639</v>
      </c>
      <c r="O35" s="39">
        <f>$J$3+[51]FormattedData!H90*$J$4+$M$4*$J$5+[51]FormattedData!H90^2*$J$6+$M$5*$J$7</f>
        <v>52.610612340766735</v>
      </c>
      <c r="P35" s="39">
        <f>$J$3+[51]FormattedData!I90*$J$4+$M$4*$J$5+[51]FormattedData!I90^2*$J$6+$M$5*$J$7</f>
        <v>51.214772330474737</v>
      </c>
      <c r="Q35" s="39">
        <f>$J$3+[51]FormattedData!J90*$J$4+$M$4*$J$5+[51]FormattedData!J90^2*$J$6+$M$5*$J$7</f>
        <v>51.82678379392231</v>
      </c>
      <c r="R35" s="39">
        <f>$J$3+[51]FormattedData!K90*$J$4+$M$4*$J$5+[51]FormattedData!K90^2*$J$6+$M$5*$J$7</f>
        <v>49.896344885757003</v>
      </c>
      <c r="S35" s="39">
        <f>$J$3+[51]FormattedData!L90*$J$4+$M$4*$J$5+[51]FormattedData!L90^2*$J$6+$M$5*$J$7</f>
        <v>50.072684702712465</v>
      </c>
      <c r="T35" s="39">
        <f>$J$3+[51]FormattedData!M90*$J$4+$M$4*$J$5+[51]FormattedData!M90^2*$J$6+$M$5*$J$7</f>
        <v>49.631518146289309</v>
      </c>
      <c r="U35" s="39">
        <f>$J$3+[51]FormattedData!N90*$J$4+$M$4*$J$5+[51]FormattedData!N90^2*$J$6+$M$5*$J$7</f>
        <v>50.424857114168233</v>
      </c>
      <c r="V35" s="39">
        <f>$J$3+[51]FormattedData!O90*$J$4+$M$4*$J$5+[51]FormattedData!O90^2*$J$6+$M$5*$J$7</f>
        <v>49.366310989980242</v>
      </c>
      <c r="W35" s="38">
        <f>AVERAGE(K35:V35)</f>
        <v>50.697277724009773</v>
      </c>
      <c r="X35" s="37">
        <f>STDEV(K35:V35)/SQRT(COUNT(K35:V35))</f>
        <v>0.44216075655199999</v>
      </c>
      <c r="Y35" s="36">
        <f>MIN(K35:V35)</f>
        <v>48.212684051362771</v>
      </c>
      <c r="Z35" s="35">
        <f>QUARTILE(K35:V35,1)</f>
        <v>49.609428117064702</v>
      </c>
      <c r="AA35" s="36">
        <f>MEDIAN(K35:V35)</f>
        <v>50.248770908440349</v>
      </c>
      <c r="AB35" s="35">
        <f>QUARTILE(K35:V35,3)</f>
        <v>51.957516989273394</v>
      </c>
      <c r="AC35" s="35">
        <f>MAX(K35:V35)</f>
        <v>53.217889727966025</v>
      </c>
      <c r="AD35" s="35">
        <f>SKEW(K35:V35)</f>
        <v>0.23951402275479616</v>
      </c>
      <c r="AE35" s="35">
        <f>KURT(K35:V35)</f>
        <v>-0.94701307100801957</v>
      </c>
    </row>
    <row r="36" spans="2:31" x14ac:dyDescent="0.2">
      <c r="B36" s="34">
        <f>[51]FormattedData!A88</f>
        <v>403</v>
      </c>
      <c r="C36" s="34" t="str">
        <f>VLOOKUP($B36,[51]TrtCodes!$B$11:I131,2)</f>
        <v>FDL</v>
      </c>
      <c r="D36" s="34">
        <f>VLOOKUP($B36,[51]TrtCodes!$B$11:J131,3)</f>
        <v>6</v>
      </c>
      <c r="E36" s="34">
        <f>VLOOKUP($B36,[51]TrtCodes!$B$11:K131,4)</f>
        <v>1</v>
      </c>
      <c r="F36" s="34">
        <f>VLOOKUP($B36,[51]TrtCodes!$B$11:L131,5)</f>
        <v>3</v>
      </c>
      <c r="G36" s="34">
        <f>VLOOKUP($B36,[51]TrtCodes!$B$11:M131,6)</f>
        <v>1</v>
      </c>
      <c r="H36" s="34">
        <f>VLOOKUP($B36,[51]TrtCodes!$B$11:N131,7)</f>
        <v>3</v>
      </c>
      <c r="I36" s="34">
        <f>[51]FormattedData!B88</f>
        <v>1</v>
      </c>
      <c r="J36" s="37">
        <f>[51]FormattedData!C88</f>
        <v>13.236000000000001</v>
      </c>
      <c r="K36" s="39">
        <f>$J$3+[51]FormattedData!D88*$J$4+$M$4*$J$5+[51]FormattedData!D88^2*$J$6+$M$5*$J$7</f>
        <v>49.808111574472363</v>
      </c>
      <c r="L36" s="39">
        <f>$J$3+[51]FormattedData!E88*$J$4+$M$4*$J$5+[51]FormattedData!E88^2*$J$6+$M$5*$J$7</f>
        <v>49.454755643954527</v>
      </c>
      <c r="M36" s="39">
        <f>$J$3+[51]FormattedData!F88*$J$4+$M$4*$J$5+[51]FormattedData!F88^2*$J$6+$M$5*$J$7</f>
        <v>53.736764729728968</v>
      </c>
      <c r="N36" s="39">
        <f>$J$3+[51]FormattedData!G88*$J$4+$M$4*$J$5+[51]FormattedData!G88^2*$J$6+$M$5*$J$7</f>
        <v>51.652134718484092</v>
      </c>
      <c r="O36" s="39">
        <f>$J$3+[51]FormattedData!H88*$J$4+$M$4*$J$5+[51]FormattedData!H88^2*$J$6+$M$5*$J$7</f>
        <v>52.436724099011265</v>
      </c>
      <c r="P36" s="39">
        <f>$J$3+[51]FormattedData!I88*$J$4+$M$4*$J$5+[51]FormattedData!I88^2*$J$6+$M$5*$J$7</f>
        <v>51.82678379392231</v>
      </c>
      <c r="Q36" s="39">
        <f>$J$3+[51]FormattedData!J88*$J$4+$M$4*$J$5+[51]FormattedData!J88^2*$J$6+$M$5*$J$7</f>
        <v>52.262666783104081</v>
      </c>
      <c r="R36" s="39">
        <f>$J$3+[51]FormattedData!K88*$J$4+$M$4*$J$5+[51]FormattedData!K88^2*$J$6+$M$5*$J$7</f>
        <v>52.610612340766735</v>
      </c>
      <c r="S36" s="39">
        <f>$J$3+[51]FormattedData!L88*$J$4+$M$4*$J$5+[51]FormattedData!L88^2*$J$6+$M$5*$J$7</f>
        <v>52.175574722343598</v>
      </c>
      <c r="T36" s="39">
        <f>$J$3+[51]FormattedData!M88*$J$4+$M$4*$J$5+[51]FormattedData!M88^2*$J$6+$M$5*$J$7</f>
        <v>51.477316568894146</v>
      </c>
      <c r="U36" s="39">
        <f>$J$3+[51]FormattedData!N88*$J$4+$M$4*$J$5+[51]FormattedData!N88^2*$J$6+$M$5*$J$7</f>
        <v>51.914044928834528</v>
      </c>
      <c r="V36" s="39">
        <f>$J$3+[51]FormattedData!O88*$J$4+$M$4*$J$5+[51]FormattedData!O88^2*$J$6+$M$5*$J$7</f>
        <v>52.088440393045168</v>
      </c>
      <c r="W36" s="38">
        <f>AVERAGE(K36:V36)</f>
        <v>51.786994191380153</v>
      </c>
      <c r="X36" s="37">
        <f>STDEV(K36:V36)/SQRT(COUNT(K36:V36))</f>
        <v>0.33549325378662176</v>
      </c>
      <c r="Y36" s="36">
        <f>MIN(K36:V36)</f>
        <v>49.454755643954527</v>
      </c>
      <c r="Z36" s="35">
        <f>QUARTILE(K36:V36,1)</f>
        <v>51.608430181086604</v>
      </c>
      <c r="AA36" s="36">
        <f>MEDIAN(K36:V36)</f>
        <v>52.001242660939852</v>
      </c>
      <c r="AB36" s="35">
        <f>QUARTILE(K36:V36,3)</f>
        <v>52.306181112080878</v>
      </c>
      <c r="AC36" s="35">
        <f>MAX(K36:V36)</f>
        <v>53.736764729728968</v>
      </c>
      <c r="AD36" s="35">
        <f>SKEW(K36:V36)</f>
        <v>-0.83578285096915439</v>
      </c>
      <c r="AE36" s="35">
        <f>KURT(K36:V36)</f>
        <v>1.1581819077081423</v>
      </c>
    </row>
    <row r="37" spans="2:31" x14ac:dyDescent="0.2">
      <c r="B37" s="34">
        <f>[51]FormattedData!A86</f>
        <v>404</v>
      </c>
      <c r="C37" s="34" t="str">
        <f>VLOOKUP($B37,[51]TrtCodes!$B$11:I129,2)</f>
        <v>FTH</v>
      </c>
      <c r="D37" s="34">
        <f>VLOOKUP($B37,[51]TrtCodes!$B$11:J129,3)</f>
        <v>3</v>
      </c>
      <c r="E37" s="34">
        <f>VLOOKUP($B37,[51]TrtCodes!$B$11:K129,4)</f>
        <v>1</v>
      </c>
      <c r="F37" s="34">
        <f>VLOOKUP($B37,[51]TrtCodes!$B$11:L129,5)</f>
        <v>2</v>
      </c>
      <c r="G37" s="34">
        <f>VLOOKUP($B37,[51]TrtCodes!$B$11:M129,6)</f>
        <v>2</v>
      </c>
      <c r="H37" s="34">
        <f>VLOOKUP($B37,[51]TrtCodes!$B$11:N129,7)</f>
        <v>3</v>
      </c>
      <c r="I37" s="34">
        <f>[51]FormattedData!B86</f>
        <v>1</v>
      </c>
      <c r="J37" s="37">
        <f>[51]FormattedData!C86</f>
        <v>13.227</v>
      </c>
      <c r="K37" s="39">
        <f>$J$3+[51]FormattedData!D86*$J$4+$M$4*$J$5+[51]FormattedData!D86^2*$J$6+$M$5*$J$7</f>
        <v>48.568407020004749</v>
      </c>
      <c r="L37" s="39">
        <f>$J$3+[51]FormattedData!E86*$J$4+$M$4*$J$5+[51]FormattedData!E86^2*$J$6+$M$5*$J$7</f>
        <v>49.189294876417868</v>
      </c>
      <c r="M37" s="39">
        <f>$J$3+[51]FormattedData!F86*$J$4+$M$4*$J$5+[51]FormattedData!F86^2*$J$6+$M$5*$J$7</f>
        <v>53.391017136038727</v>
      </c>
      <c r="N37" s="39">
        <f>$J$3+[51]FormattedData!G86*$J$4+$M$4*$J$5+[51]FormattedData!G86^2*$J$6+$M$5*$J$7</f>
        <v>51.214772330474737</v>
      </c>
      <c r="O37" s="39">
        <f>$J$3+[51]FormattedData!H86*$J$4+$M$4*$J$5+[51]FormattedData!H86^2*$J$6+$M$5*$J$7</f>
        <v>54.167998179738305</v>
      </c>
      <c r="P37" s="39">
        <f>$J$3+[51]FormattedData!I86*$J$4+$M$4*$J$5+[51]FormattedData!I86^2*$J$6+$M$5*$J$7</f>
        <v>50.688542603111777</v>
      </c>
      <c r="Q37" s="39">
        <f>$J$3+[51]FormattedData!J86*$J$4+$M$4*$J$5+[51]FormattedData!J86^2*$J$6+$M$5*$J$7</f>
        <v>53.736764729728968</v>
      </c>
      <c r="R37" s="39">
        <f>$J$3+[51]FormattedData!K86*$J$4+$M$4*$J$5+[51]FormattedData!K86^2*$J$6+$M$5*$J$7</f>
        <v>50.424857114168233</v>
      </c>
      <c r="S37" s="39">
        <f>$J$3+[51]FormattedData!L86*$J$4+$M$4*$J$5+[51]FormattedData!L86^2*$J$6+$M$5*$J$7</f>
        <v>53.6503912341133</v>
      </c>
      <c r="T37" s="39">
        <f>$J$3+[51]FormattedData!M86*$J$4+$M$4*$J$5+[51]FormattedData!M86^2*$J$6+$M$5*$J$7</f>
        <v>49.100723416829794</v>
      </c>
      <c r="U37" s="39">
        <f>$J$3+[51]FormattedData!N86*$J$4+$M$4*$J$5+[51]FormattedData!N86^2*$J$6+$M$5*$J$7</f>
        <v>53.563975469959701</v>
      </c>
      <c r="V37" s="39">
        <f>$J$3+[51]FormattedData!O86*$J$4+$M$4*$J$5+[51]FormattedData!O86^2*$J$6+$M$5*$J$7</f>
        <v>51.477316568894146</v>
      </c>
      <c r="W37" s="38">
        <f>AVERAGE(K37:V37)</f>
        <v>51.597838389956685</v>
      </c>
      <c r="X37" s="37">
        <f>STDEV(K37:V37)/SQRT(COUNT(K37:V37))</f>
        <v>0.59066586674571275</v>
      </c>
      <c r="Y37" s="36">
        <f>MIN(K37:V37)</f>
        <v>48.568407020004749</v>
      </c>
      <c r="Z37" s="35">
        <f>QUARTILE(K37:V37,1)</f>
        <v>50.11596655473064</v>
      </c>
      <c r="AA37" s="36">
        <f>MEDIAN(K37:V37)</f>
        <v>51.346044449684442</v>
      </c>
      <c r="AB37" s="35">
        <f>QUARTILE(K37:V37,3)</f>
        <v>53.585579410998101</v>
      </c>
      <c r="AC37" s="35">
        <f>MAX(K37:V37)</f>
        <v>54.167998179738305</v>
      </c>
      <c r="AD37" s="35">
        <f>SKEW(K37:V37)</f>
        <v>-0.13998212995280737</v>
      </c>
      <c r="AE37" s="35">
        <f>KURT(K37:V37)</f>
        <v>-1.6333869389529516</v>
      </c>
    </row>
    <row r="38" spans="2:31" x14ac:dyDescent="0.2">
      <c r="B38" s="34">
        <f>[51]FormattedData!A84</f>
        <v>405</v>
      </c>
      <c r="C38" s="34" t="str">
        <f>VLOOKUP($B38,[51]TrtCodes!$B$11:I127,2)</f>
        <v>FDL</v>
      </c>
      <c r="D38" s="34">
        <f>VLOOKUP($B38,[51]TrtCodes!$B$11:J127,3)</f>
        <v>6</v>
      </c>
      <c r="E38" s="34">
        <f>VLOOKUP($B38,[51]TrtCodes!$B$11:K127,4)</f>
        <v>1</v>
      </c>
      <c r="F38" s="34">
        <f>VLOOKUP($B38,[51]TrtCodes!$B$11:L127,5)</f>
        <v>3</v>
      </c>
      <c r="G38" s="34">
        <f>VLOOKUP($B38,[51]TrtCodes!$B$11:M127,6)</f>
        <v>1</v>
      </c>
      <c r="H38" s="34">
        <f>VLOOKUP($B38,[51]TrtCodes!$B$11:N127,7)</f>
        <v>4</v>
      </c>
      <c r="I38" s="34">
        <f>[51]FormattedData!B84</f>
        <v>1</v>
      </c>
      <c r="J38" s="37">
        <f>[51]FormattedData!C84</f>
        <v>13.217000000000001</v>
      </c>
      <c r="K38" s="39">
        <f>$J$3+[51]FormattedData!D84*$J$4+$M$4*$J$5+[51]FormattedData!D84^2*$J$6+$M$5*$J$7</f>
        <v>48.479539680651158</v>
      </c>
      <c r="L38" s="39">
        <f>$J$3+[51]FormattedData!E84*$J$4+$M$4*$J$5+[51]FormattedData!E84^2*$J$6+$M$5*$J$7</f>
        <v>48.39063007275962</v>
      </c>
      <c r="M38" s="39">
        <f>$J$3+[51]FormattedData!F84*$J$4+$M$4*$J$5+[51]FormattedData!F84^2*$J$6+$M$5*$J$7</f>
        <v>53.304474566271345</v>
      </c>
      <c r="N38" s="39">
        <f>$J$3+[51]FormattedData!G84*$J$4+$M$4*$J$5+[51]FormattedData!G84^2*$J$6+$M$5*$J$7</f>
        <v>52.523689354157966</v>
      </c>
      <c r="O38" s="39">
        <f>$J$3+[51]FormattedData!H84*$J$4+$M$4*$J$5+[51]FormattedData!H84^2*$J$6+$M$5*$J$7</f>
        <v>52.784331508370471</v>
      </c>
      <c r="P38" s="39">
        <f>$J$3+[51]FormattedData!I84*$J$4+$M$4*$J$5+[51]FormattedData!I84^2*$J$6+$M$5*$J$7</f>
        <v>50.600689708668526</v>
      </c>
      <c r="Q38" s="39">
        <f>$J$3+[51]FormattedData!J84*$J$4+$M$4*$J$5+[51]FormattedData!J84^2*$J$6+$M$5*$J$7</f>
        <v>53.044593245741602</v>
      </c>
      <c r="R38" s="39">
        <f>$J$3+[51]FormattedData!K84*$J$4+$M$4*$J$5+[51]FormattedData!K84^2*$J$6+$M$5*$J$7</f>
        <v>50.600689708668526</v>
      </c>
      <c r="S38" s="39">
        <f>$J$3+[51]FormattedData!L84*$J$4+$M$4*$J$5+[51]FormattedData!L84^2*$J$6+$M$5*$J$7</f>
        <v>53.131262621122772</v>
      </c>
      <c r="T38" s="39">
        <f>$J$3+[51]FormattedData!M84*$J$4+$M$4*$J$5+[51]FormattedData!M84^2*$J$6+$M$5*$J$7</f>
        <v>50.512794545687342</v>
      </c>
      <c r="U38" s="39">
        <f>$J$3+[51]FormattedData!N84*$J$4+$M$4*$J$5+[51]FormattedData!N84^2*$J$6+$M$5*$J$7</f>
        <v>52.784331508370471</v>
      </c>
      <c r="V38" s="39">
        <f>$J$3+[51]FormattedData!O84*$J$4+$M$4*$J$5+[51]FormattedData!O84^2*$J$6+$M$5*$J$7</f>
        <v>51.302329345152465</v>
      </c>
      <c r="W38" s="38">
        <f>AVERAGE(K38:V38)</f>
        <v>51.454946322135186</v>
      </c>
      <c r="X38" s="37">
        <f>STDEV(K38:V38)/SQRT(COUNT(K38:V38))</f>
        <v>0.50787763536339714</v>
      </c>
      <c r="Y38" s="36">
        <f>MIN(K38:V38)</f>
        <v>48.39063007275962</v>
      </c>
      <c r="Z38" s="35">
        <f>QUARTILE(K38:V38,1)</f>
        <v>50.578715917923233</v>
      </c>
      <c r="AA38" s="36">
        <f>MEDIAN(K38:V38)</f>
        <v>51.913009349655212</v>
      </c>
      <c r="AB38" s="35">
        <f>QUARTILE(K38:V38,3)</f>
        <v>52.849396942713255</v>
      </c>
      <c r="AC38" s="35">
        <f>MAX(K38:V38)</f>
        <v>53.304474566271345</v>
      </c>
      <c r="AD38" s="35">
        <f>SKEW(K38:V38)</f>
        <v>-0.72575088627701401</v>
      </c>
      <c r="AE38" s="35">
        <f>KURT(K38:V38)</f>
        <v>-0.71204153898378086</v>
      </c>
    </row>
    <row r="39" spans="2:31" x14ac:dyDescent="0.2">
      <c r="B39" s="34">
        <f>[51]FormattedData!A82</f>
        <v>406</v>
      </c>
      <c r="C39" s="34" t="str">
        <f>VLOOKUP($B39,[51]TrtCodes!$B$11:I125,2)</f>
        <v>FTH</v>
      </c>
      <c r="D39" s="34">
        <f>VLOOKUP($B39,[51]TrtCodes!$B$11:J125,3)</f>
        <v>3</v>
      </c>
      <c r="E39" s="34">
        <f>VLOOKUP($B39,[51]TrtCodes!$B$11:K125,4)</f>
        <v>1</v>
      </c>
      <c r="F39" s="34">
        <f>VLOOKUP($B39,[51]TrtCodes!$B$11:L125,5)</f>
        <v>2</v>
      </c>
      <c r="G39" s="34">
        <f>VLOOKUP($B39,[51]TrtCodes!$B$11:M125,6)</f>
        <v>2</v>
      </c>
      <c r="H39" s="34">
        <f>VLOOKUP($B39,[51]TrtCodes!$B$11:N125,7)</f>
        <v>4</v>
      </c>
      <c r="I39" s="34">
        <f>[51]FormattedData!B82</f>
        <v>1</v>
      </c>
      <c r="J39" s="37">
        <f>[51]FormattedData!C82</f>
        <v>13.208</v>
      </c>
      <c r="K39" s="39">
        <f>$J$3+[51]FormattedData!D82*$J$4+$M$4*$J$5+[51]FormattedData!D82^2*$J$6+$M$5*$J$7</f>
        <v>49.984535928503696</v>
      </c>
      <c r="L39" s="39">
        <f>$J$3+[51]FormattedData!E82*$J$4+$M$4*$J$5+[51]FormattedData!E82^2*$J$6+$M$5*$J$7</f>
        <v>49.012109688703774</v>
      </c>
      <c r="M39" s="39">
        <f>$J$3+[51]FormattedData!F82*$J$4+$M$4*$J$5+[51]FormattedData!F82^2*$J$6+$M$5*$J$7</f>
        <v>52.957881601822486</v>
      </c>
      <c r="N39" s="39">
        <f>$J$3+[51]FormattedData!G82*$J$4+$M$4*$J$5+[51]FormattedData!G82^2*$J$6+$M$5*$J$7</f>
        <v>50.951847675213948</v>
      </c>
      <c r="O39" s="39">
        <f>$J$3+[51]FormattedData!H82*$J$4+$M$4*$J$5+[51]FormattedData!H82^2*$J$6+$M$5*$J$7</f>
        <v>53.736764729728968</v>
      </c>
      <c r="P39" s="39">
        <f>$J$3+[51]FormattedData!I82*$J$4+$M$4*$J$5+[51]FormattedData!I82^2*$J$6+$M$5*$J$7</f>
        <v>49.454755643954527</v>
      </c>
      <c r="Q39" s="39">
        <f>$J$3+[51]FormattedData!J82*$J$4+$M$4*$J$5+[51]FormattedData!J82^2*$J$6+$M$5*$J$7</f>
        <v>52.349716575326639</v>
      </c>
      <c r="R39" s="39">
        <f>$J$3+[51]FormattedData!K82*$J$4+$M$4*$J$5+[51]FormattedData!K82^2*$J$6+$M$5*$J$7</f>
        <v>50.688542603111777</v>
      </c>
      <c r="S39" s="39">
        <f>$J$3+[51]FormattedData!L82*$J$4+$M$4*$J$5+[51]FormattedData!L82^2*$J$6+$M$5*$J$7</f>
        <v>51.564746777958078</v>
      </c>
      <c r="T39" s="39">
        <f>$J$3+[51]FormattedData!M82*$J$4+$M$4*$J$5+[51]FormattedData!M82^2*$J$6+$M$5*$J$7</f>
        <v>50.776353229017104</v>
      </c>
      <c r="U39" s="39">
        <f>$J$3+[51]FormattedData!N82*$J$4+$M$4*$J$5+[51]FormattedData!N82^2*$J$6+$M$5*$J$7</f>
        <v>48.301678196330158</v>
      </c>
      <c r="V39" s="39">
        <f>$J$3+[51]FormattedData!O82*$J$4+$M$4*$J$5+[51]FormattedData!O82^2*$J$6+$M$5*$J$7</f>
        <v>52.175574722343598</v>
      </c>
      <c r="W39" s="38">
        <f>AVERAGE(K39:V39)</f>
        <v>50.996208947667895</v>
      </c>
      <c r="X39" s="37">
        <f>STDEV(K39:V39)/SQRT(COUNT(K39:V39))</f>
        <v>0.47391500367405609</v>
      </c>
      <c r="Y39" s="36">
        <f>MIN(K39:V39)</f>
        <v>48.301678196330158</v>
      </c>
      <c r="Z39" s="35">
        <f>QUARTILE(K39:V39,1)</f>
        <v>49.852090857366406</v>
      </c>
      <c r="AA39" s="36">
        <f>MEDIAN(K39:V39)</f>
        <v>50.864100452115522</v>
      </c>
      <c r="AB39" s="35">
        <f>QUARTILE(K39:V39,3)</f>
        <v>52.219110185589358</v>
      </c>
      <c r="AC39" s="35">
        <f>MAX(K39:V39)</f>
        <v>53.736764729728968</v>
      </c>
      <c r="AD39" s="35">
        <f>SKEW(K39:V39)</f>
        <v>7.9814489494325451E-3</v>
      </c>
      <c r="AE39" s="35">
        <f>KURT(K39:V39)</f>
        <v>-0.74615236287426967</v>
      </c>
    </row>
    <row r="40" spans="2:31" x14ac:dyDescent="0.2">
      <c r="B40" s="34">
        <f>[51]FormattedData!A80</f>
        <v>407</v>
      </c>
      <c r="C40" s="34" t="str">
        <f>VLOOKUP($B40,[51]TrtCodes!$B$11:I123,2)</f>
        <v>NSH</v>
      </c>
      <c r="D40" s="34">
        <f>VLOOKUP($B40,[51]TrtCodes!$B$11:J123,3)</f>
        <v>7</v>
      </c>
      <c r="E40" s="34">
        <f>VLOOKUP($B40,[51]TrtCodes!$B$11:K123,4)</f>
        <v>2</v>
      </c>
      <c r="F40" s="34">
        <f>VLOOKUP($B40,[51]TrtCodes!$B$11:L123,5)</f>
        <v>1</v>
      </c>
      <c r="G40" s="34">
        <f>VLOOKUP($B40,[51]TrtCodes!$B$11:M123,6)</f>
        <v>2</v>
      </c>
      <c r="H40" s="34">
        <f>VLOOKUP($B40,[51]TrtCodes!$B$11:N123,7)</f>
        <v>4</v>
      </c>
      <c r="I40" s="34">
        <f>[51]FormattedData!B80</f>
        <v>1</v>
      </c>
      <c r="J40" s="37">
        <f>[51]FormattedData!C80</f>
        <v>13.164</v>
      </c>
      <c r="K40" s="39">
        <f>$J$3+[51]FormattedData!D80*$J$4+$M$4*$J$5+[51]FormattedData!D80^2*$J$6+$M$5*$J$7</f>
        <v>48.301678196330158</v>
      </c>
      <c r="L40" s="39">
        <f>$J$3+[51]FormattedData!E80*$J$4+$M$4*$J$5+[51]FormattedData!E80^2*$J$6+$M$5*$J$7</f>
        <v>52.175574722343598</v>
      </c>
      <c r="M40" s="39">
        <f>$J$3+[51]FormattedData!F80*$J$4+$M$4*$J$5+[51]FormattedData!F80^2*$J$6+$M$5*$J$7</f>
        <v>51.564746777958078</v>
      </c>
      <c r="N40" s="39">
        <f>$J$3+[51]FormattedData!G80*$J$4+$M$4*$J$5+[51]FormattedData!G80^2*$J$6+$M$5*$J$7</f>
        <v>52.523689354157966</v>
      </c>
      <c r="O40" s="39">
        <f>$J$3+[51]FormattedData!H80*$J$4+$M$4*$J$5+[51]FormattedData!H80^2*$J$6+$M$5*$J$7</f>
        <v>13.219633825477082</v>
      </c>
      <c r="P40" s="39">
        <f>$J$3+[51]FormattedData!I80*$J$4+$M$4*$J$5+[51]FormattedData!I80^2*$J$6+$M$5*$J$7</f>
        <v>14.156770359397745</v>
      </c>
      <c r="Q40" s="39">
        <f>$J$3+[51]FormattedData!J80*$J$4+$M$4*$J$5+[51]FormattedData!J80^2*$J$6+$M$5*$J$7</f>
        <v>11.545159613143008</v>
      </c>
      <c r="R40" s="39">
        <f>$J$3+[51]FormattedData!K80*$J$4+$M$4*$J$5+[51]FormattedData!K80^2*$J$6+$M$5*$J$7</f>
        <v>11.335089502918487</v>
      </c>
      <c r="S40" s="39">
        <f>$J$3+[51]FormattedData!L80*$J$4+$M$4*$J$5+[51]FormattedData!L80^2*$J$6+$M$5*$J$7</f>
        <v>10.914442060014276</v>
      </c>
      <c r="T40" s="39">
        <f>$J$3+[51]FormattedData!M80*$J$4+$M$4*$J$5+[51]FormattedData!M80^2*$J$6+$M$5*$J$7</f>
        <v>10.914442060014276</v>
      </c>
      <c r="U40" s="39">
        <f>$J$3+[51]FormattedData!N80*$J$4+$M$4*$J$5+[51]FormattedData!N80^2*$J$6+$M$5*$J$7</f>
        <v>53.304474566271345</v>
      </c>
      <c r="V40" s="39">
        <f>$J$3+[51]FormattedData!O80*$J$4+$M$4*$J$5+[51]FormattedData!O80^2*$J$6+$M$5*$J$7</f>
        <v>52.957881601822486</v>
      </c>
      <c r="W40" s="38">
        <f>AVERAGE(K40:V40)</f>
        <v>31.909465219987368</v>
      </c>
      <c r="X40" s="37">
        <f>STDEV(K40:V40)/SQRT(COUNT(K40:V40))</f>
        <v>6.0148416651186238</v>
      </c>
      <c r="Y40" s="36">
        <f>MIN(K40:V40)</f>
        <v>10.914442060014276</v>
      </c>
      <c r="Z40" s="35">
        <f>QUARTILE(K40:V40,1)</f>
        <v>11.492642085586878</v>
      </c>
      <c r="AA40" s="36">
        <f>MEDIAN(K40:V40)</f>
        <v>31.229224277863949</v>
      </c>
      <c r="AB40" s="35">
        <f>QUARTILE(K40:V40,3)</f>
        <v>52.262603380297193</v>
      </c>
      <c r="AC40" s="35">
        <f>MAX(K40:V40)</f>
        <v>53.304474566271345</v>
      </c>
      <c r="AD40" s="35">
        <f>SKEW(K40:V40)</f>
        <v>4.9882540111713209E-3</v>
      </c>
      <c r="AE40" s="35">
        <f>KURT(K40:V40)</f>
        <v>-2.4133818849026945</v>
      </c>
    </row>
    <row r="41" spans="2:31" x14ac:dyDescent="0.2">
      <c r="B41" s="34">
        <f>[51]FormattedData!A78</f>
        <v>408</v>
      </c>
      <c r="C41" s="34" t="str">
        <f>VLOOKUP($B41,[51]TrtCodes!$B$11:I121,2)</f>
        <v>NTL</v>
      </c>
      <c r="D41" s="34">
        <f>VLOOKUP($B41,[51]TrtCodes!$B$11:J121,3)</f>
        <v>10</v>
      </c>
      <c r="E41" s="34">
        <f>VLOOKUP($B41,[51]TrtCodes!$B$11:K121,4)</f>
        <v>2</v>
      </c>
      <c r="F41" s="34">
        <f>VLOOKUP($B41,[51]TrtCodes!$B$11:L121,5)</f>
        <v>2</v>
      </c>
      <c r="G41" s="34">
        <f>VLOOKUP($B41,[51]TrtCodes!$B$11:M121,6)</f>
        <v>1</v>
      </c>
      <c r="H41" s="34">
        <f>VLOOKUP($B41,[51]TrtCodes!$B$11:N121,7)</f>
        <v>4</v>
      </c>
      <c r="I41" s="34">
        <f>[51]FormattedData!B78</f>
        <v>1</v>
      </c>
      <c r="J41" s="37">
        <f>[51]FormattedData!C78</f>
        <v>13.157</v>
      </c>
      <c r="K41" s="39">
        <f>$J$3+[51]FormattedData!D78*$J$4+$M$4*$J$5+[51]FormattedData!D78^2*$J$6+$M$5*$J$7</f>
        <v>47.945448005233004</v>
      </c>
      <c r="L41" s="39">
        <f>$J$3+[51]FormattedData!E78*$J$4+$M$4*$J$5+[51]FormattedData!E78^2*$J$6+$M$5*$J$7</f>
        <v>49.454755643954527</v>
      </c>
      <c r="M41" s="39">
        <f>$J$3+[51]FormattedData!F78*$J$4+$M$4*$J$5+[51]FormattedData!F78^2*$J$6+$M$5*$J$7</f>
        <v>53.044593245741602</v>
      </c>
      <c r="N41" s="39">
        <f>$J$3+[51]FormattedData!G78*$J$4+$M$4*$J$5+[51]FormattedData!G78^2*$J$6+$M$5*$J$7</f>
        <v>49.984535928503696</v>
      </c>
      <c r="O41" s="39">
        <f>$J$3+[51]FormattedData!H78*$J$4+$M$4*$J$5+[51]FormattedData!H78^2*$J$6+$M$5*$J$7</f>
        <v>53.217889727966025</v>
      </c>
      <c r="P41" s="39">
        <f>$J$3+[51]FormattedData!I78*$J$4+$M$4*$J$5+[51]FormattedData!I78^2*$J$6+$M$5*$J$7</f>
        <v>10.598512658187838</v>
      </c>
      <c r="Q41" s="39">
        <f>$J$3+[51]FormattedData!J78*$J$4+$M$4*$J$5+[51]FormattedData!J78^2*$J$6+$M$5*$J$7</f>
        <v>9.648441951660244</v>
      </c>
      <c r="R41" s="39">
        <f>$J$3+[51]FormattedData!K78*$J$4+$M$4*$J$5+[51]FormattedData!K78^2*$J$6+$M$5*$J$7</f>
        <v>8.5887923221927966</v>
      </c>
      <c r="S41" s="39">
        <f>$J$3+[51]FormattedData!L78*$J$4+$M$4*$J$5+[51]FormattedData!L78^2*$J$6+$M$5*$J$7</f>
        <v>9.22508932232844</v>
      </c>
      <c r="T41" s="39">
        <f>$J$3+[51]FormattedData!M78*$J$4+$M$4*$J$5+[51]FormattedData!M78^2*$J$6+$M$5*$J$7</f>
        <v>7.6314936956789783</v>
      </c>
      <c r="U41" s="39">
        <f>$J$3+[51]FormattedData!N78*$J$4+$M$4*$J$5+[51]FormattedData!N78^2*$J$6+$M$5*$J$7</f>
        <v>9.0131593964349506</v>
      </c>
      <c r="V41" s="39">
        <f>$J$3+[51]FormattedData!O78*$J$4+$M$4*$J$5+[51]FormattedData!O78^2*$J$6+$M$5*$J$7</f>
        <v>8.2700731968629047</v>
      </c>
      <c r="W41" s="38">
        <f>AVERAGE(K41:V41)</f>
        <v>26.385232091228744</v>
      </c>
      <c r="X41" s="37">
        <f>STDEV(K41:V41)/SQRT(COUNT(K41:V41))</f>
        <v>6.2199952743179079</v>
      </c>
      <c r="Y41" s="36">
        <f>MIN(K41:V41)</f>
        <v>7.6314936956789783</v>
      </c>
      <c r="Z41" s="35">
        <f>QUARTILE(K41:V41,1)</f>
        <v>8.9070676278744116</v>
      </c>
      <c r="AA41" s="36">
        <f>MEDIAN(K41:V41)</f>
        <v>10.123477304924041</v>
      </c>
      <c r="AB41" s="35">
        <f>QUARTILE(K41:V41,3)</f>
        <v>49.587200715091818</v>
      </c>
      <c r="AC41" s="35">
        <f>MAX(K41:V41)</f>
        <v>53.217889727966025</v>
      </c>
      <c r="AD41" s="35">
        <f>SKEW(K41:V41)</f>
        <v>0.39929746160021645</v>
      </c>
      <c r="AE41" s="35">
        <f>KURT(K41:V41)</f>
        <v>-2.2180121129114703</v>
      </c>
    </row>
    <row r="42" spans="2:31" x14ac:dyDescent="0.2">
      <c r="B42" s="50">
        <f>[51]FormattedData!A60</f>
        <v>901</v>
      </c>
      <c r="C42" s="50" t="str">
        <f>VLOOKUP($B42,[51]TrtCodes!$B$11:I103,2)</f>
        <v>WS</v>
      </c>
      <c r="D42" s="50">
        <f>VLOOKUP($B42,[51]TrtCodes!$B$11:J103,3)</f>
        <v>32</v>
      </c>
      <c r="E42" s="50">
        <f>VLOOKUP($B42,[51]TrtCodes!$B$11:K103,4)</f>
        <v>9</v>
      </c>
      <c r="F42" s="50">
        <f>VLOOKUP($B42,[51]TrtCodes!$B$11:L103,5)</f>
        <v>0</v>
      </c>
      <c r="G42" s="50">
        <f>VLOOKUP($B42,[51]TrtCodes!$B$11:M103,6)</f>
        <v>1</v>
      </c>
      <c r="H42" s="50">
        <f>VLOOKUP($B42,[51]TrtCodes!$B$11:N103,7)</f>
        <v>1</v>
      </c>
      <c r="I42" s="50">
        <f>[51]FormattedData!B60</f>
        <v>1</v>
      </c>
      <c r="J42" s="48">
        <f>[51]FormattedData!C60</f>
        <v>13.093</v>
      </c>
      <c r="K42" s="47">
        <f>$J$3+[51]FormattedData!D60*$J$4+$M$4*$J$5+[51]FormattedData!D60^2*$J$6+$M$5*$J$7</f>
        <v>35.999807829195213</v>
      </c>
      <c r="L42" s="47">
        <f>$J$3+[51]FormattedData!E60*$J$4+$M$4*$J$5+[51]FormattedData!E60^2*$J$6+$M$5*$J$7</f>
        <v>36.755551194231018</v>
      </c>
      <c r="M42" s="47">
        <f>$J$3+[51]FormattedData!F60*$J$4+$M$4*$J$5+[51]FormattedData!F60^2*$J$6+$M$5*$J$7</f>
        <v>36.849828906439797</v>
      </c>
      <c r="N42" s="47">
        <f>$J$3+[51]FormattedData!G60*$J$4+$M$4*$J$5+[51]FormattedData!G60^2*$J$6+$M$5*$J$7</f>
        <v>36.755551194231018</v>
      </c>
      <c r="O42" s="47">
        <f>$J$3+[51]FormattedData!H60*$J$4+$M$4*$J$5+[51]FormattedData!H60^2*$J$6+$M$5*$J$7</f>
        <v>36.849828906439797</v>
      </c>
      <c r="P42" s="47">
        <f>$J$3+[51]FormattedData!I60*$J$4+$M$4*$J$5+[51]FormattedData!I60^2*$J$6+$M$5*$J$7</f>
        <v>35.336313286547508</v>
      </c>
      <c r="Q42" s="47">
        <f>$J$3+[51]FormattedData!J60*$J$4+$M$4*$J$5+[51]FormattedData!J60^2*$J$6+$M$5*$J$7</f>
        <v>34.670747585541164</v>
      </c>
      <c r="R42" s="47">
        <f>$J$3+[51]FormattedData!K60*$J$4+$M$4*$J$5+[51]FormattedData!K60^2*$J$6+$M$5*$J$7</f>
        <v>34.861120557089784</v>
      </c>
      <c r="S42" s="47">
        <f>$J$3+[51]FormattedData!L60*$J$4+$M$4*$J$5+[51]FormattedData!L60^2*$J$6+$M$5*$J$7</f>
        <v>34.480205539840831</v>
      </c>
      <c r="T42" s="47">
        <f>$J$3+[51]FormattedData!M60*$J$4+$M$4*$J$5+[51]FormattedData!M60^2*$J$6+$M$5*$J$7</f>
        <v>35.146363000378201</v>
      </c>
      <c r="U42" s="47">
        <f>$J$3+[51]FormattedData!N60*$J$4+$M$4*$J$5+[51]FormattedData!N60^2*$J$6+$M$5*$J$7</f>
        <v>35.905149700145046</v>
      </c>
      <c r="V42" s="47">
        <f>$J$3+[51]FormattedData!O60*$J$4+$M$4*$J$5+[51]FormattedData!O60^2*$J$6+$M$5*$J$7</f>
        <v>35.810449302556954</v>
      </c>
      <c r="W42" s="49">
        <f>AVERAGE(K42:V42)</f>
        <v>35.785076416886362</v>
      </c>
      <c r="X42" s="48">
        <f>STDEV(K42:V42)/SQRT(COUNT(K42:V42))</f>
        <v>0.25553958994136511</v>
      </c>
      <c r="Y42" s="47">
        <f>MIN(K42:V42)</f>
        <v>34.480205539840831</v>
      </c>
      <c r="Z42" s="46">
        <f>QUARTILE(K42:V42,1)</f>
        <v>35.075052389556099</v>
      </c>
      <c r="AA42" s="47">
        <f>MEDIAN(K42:V42)</f>
        <v>35.857799501350996</v>
      </c>
      <c r="AB42" s="46">
        <f>QUARTILE(K42:V42,3)</f>
        <v>36.755551194231018</v>
      </c>
      <c r="AC42" s="46">
        <f>MAX(K42:V42)</f>
        <v>36.849828906439797</v>
      </c>
      <c r="AD42" s="46">
        <f>SKEW(K42:V42)</f>
        <v>-7.7267407759810461E-2</v>
      </c>
      <c r="AE42" s="46">
        <f>KURT(K42:V42)</f>
        <v>-1.5380047195788142</v>
      </c>
    </row>
    <row r="43" spans="2:31" x14ac:dyDescent="0.2">
      <c r="B43" s="34">
        <f>[51]FormattedData!A58</f>
        <v>902</v>
      </c>
      <c r="C43" s="34" t="str">
        <f>VLOOKUP($B43,[51]TrtCodes!$B$11:I101,2)</f>
        <v>Late</v>
      </c>
      <c r="D43" s="34">
        <f>VLOOKUP($B43,[51]TrtCodes!$B$11:J101,3)</f>
        <v>22</v>
      </c>
      <c r="E43" s="34">
        <f>VLOOKUP($B43,[51]TrtCodes!$B$11:K101,4)</f>
        <v>4</v>
      </c>
      <c r="F43" s="34">
        <f>VLOOKUP($B43,[51]TrtCodes!$B$11:L101,5)</f>
        <v>2</v>
      </c>
      <c r="G43" s="34">
        <f>VLOOKUP($B43,[51]TrtCodes!$B$11:M101,6)</f>
        <v>2</v>
      </c>
      <c r="H43" s="34">
        <f>VLOOKUP($B43,[51]TrtCodes!$B$11:N101,7)</f>
        <v>1</v>
      </c>
      <c r="I43" s="34">
        <f>[51]FormattedData!B58</f>
        <v>1</v>
      </c>
      <c r="J43" s="37">
        <f>[51]FormattedData!C58</f>
        <v>13.085000000000001</v>
      </c>
      <c r="K43" s="39">
        <f>$J$3+[51]FormattedData!D58*$J$4+$M$4*$J$5+[51]FormattedData!D58^2*$J$6+$M$5*$J$7</f>
        <v>49.100723416829794</v>
      </c>
      <c r="L43" s="39">
        <f>$J$3+[51]FormattedData!E58*$J$4+$M$4*$J$5+[51]FormattedData!E58^2*$J$6+$M$5*$J$7</f>
        <v>50.160791208383301</v>
      </c>
      <c r="M43" s="39">
        <f>$J$3+[51]FormattedData!F58*$J$4+$M$4*$J$5+[51]FormattedData!F58^2*$J$6+$M$5*$J$7</f>
        <v>52.349716575326639</v>
      </c>
      <c r="N43" s="39">
        <f>$J$3+[51]FormattedData!G58*$J$4+$M$4*$J$5+[51]FormattedData!G58^2*$J$6+$M$5*$J$7</f>
        <v>51.82678379392231</v>
      </c>
      <c r="O43" s="39">
        <f>$J$3+[51]FormattedData!H58*$J$4+$M$4*$J$5+[51]FormattedData!H58^2*$J$6+$M$5*$J$7</f>
        <v>51.389844091292268</v>
      </c>
      <c r="P43" s="39">
        <f>$J$3+[51]FormattedData!I58*$J$4+$M$4*$J$5+[51]FormattedData!I58^2*$J$6+$M$5*$J$7</f>
        <v>51.12717304725907</v>
      </c>
      <c r="Q43" s="39">
        <f>$J$3+[51]FormattedData!J58*$J$4+$M$4*$J$5+[51]FormattedData!J58^2*$J$6+$M$5*$J$7</f>
        <v>51.389844091292268</v>
      </c>
      <c r="R43" s="39">
        <f>$J$3+[51]FormattedData!K58*$J$4+$M$4*$J$5+[51]FormattedData!K58^2*$J$6+$M$5*$J$7</f>
        <v>50.688542603111777</v>
      </c>
      <c r="S43" s="39">
        <f>$J$3+[51]FormattedData!L58*$J$4+$M$4*$J$5+[51]FormattedData!L58^2*$J$6+$M$5*$J$7</f>
        <v>51.564746777958078</v>
      </c>
      <c r="T43" s="39">
        <f>$J$3+[51]FormattedData!M58*$J$4+$M$4*$J$5+[51]FormattedData!M58^2*$J$6+$M$5*$J$7</f>
        <v>49.719835994649799</v>
      </c>
      <c r="U43" s="39">
        <f>$J$3+[51]FormattedData!N58*$J$4+$M$4*$J$5+[51]FormattedData!N58^2*$J$6+$M$5*$J$7</f>
        <v>51.564746777958078</v>
      </c>
      <c r="V43" s="39">
        <f>$J$3+[51]FormattedData!O58*$J$4+$M$4*$J$5+[51]FormattedData!O58^2*$J$6+$M$5*$J$7</f>
        <v>51.739480390472174</v>
      </c>
      <c r="W43" s="38">
        <f>AVERAGE(K43:V43)</f>
        <v>51.051852397371306</v>
      </c>
      <c r="X43" s="37">
        <f>STDEV(K43:V43)/SQRT(COUNT(K43:V43))</f>
        <v>0.2755879342908405</v>
      </c>
      <c r="Y43" s="36">
        <f>MIN(K43:V43)</f>
        <v>49.100723416829794</v>
      </c>
      <c r="Z43" s="35">
        <f>QUARTILE(K43:V43,1)</f>
        <v>50.556604754429657</v>
      </c>
      <c r="AA43" s="36">
        <f>MEDIAN(K43:V43)</f>
        <v>51.389844091292268</v>
      </c>
      <c r="AB43" s="35">
        <f>QUARTILE(K43:V43,3)</f>
        <v>51.608430181086604</v>
      </c>
      <c r="AC43" s="35">
        <f>MAX(K43:V43)</f>
        <v>52.349716575326639</v>
      </c>
      <c r="AD43" s="35">
        <f>SKEW(K43:V43)</f>
        <v>-0.90555902356131024</v>
      </c>
      <c r="AE43" s="35">
        <f>KURT(K43:V43)</f>
        <v>0.11643750200662506</v>
      </c>
    </row>
    <row r="44" spans="2:31" x14ac:dyDescent="0.2">
      <c r="B44" s="50">
        <f>[51]FormattedData!A56</f>
        <v>903</v>
      </c>
      <c r="C44" s="50" t="str">
        <f>VLOOKUP($B44,[51]TrtCodes!$B$11:I99,2)</f>
        <v>DS</v>
      </c>
      <c r="D44" s="50">
        <f>VLOOKUP($B44,[51]TrtCodes!$B$11:J99,3)</f>
        <v>31</v>
      </c>
      <c r="E44" s="50">
        <f>VLOOKUP($B44,[51]TrtCodes!$B$11:K99,4)</f>
        <v>8</v>
      </c>
      <c r="F44" s="50">
        <f>VLOOKUP($B44,[51]TrtCodes!$B$11:L99,5)</f>
        <v>0</v>
      </c>
      <c r="G44" s="50">
        <f>VLOOKUP($B44,[51]TrtCodes!$B$11:M99,6)</f>
        <v>1</v>
      </c>
      <c r="H44" s="50">
        <f>VLOOKUP($B44,[51]TrtCodes!$B$11:N99,7)</f>
        <v>1</v>
      </c>
      <c r="I44" s="50">
        <f>[51]FormattedData!B56</f>
        <v>1</v>
      </c>
      <c r="J44" s="48">
        <f>[51]FormattedData!C56</f>
        <v>13.074999999999999</v>
      </c>
      <c r="K44" s="47">
        <f>$J$3+[51]FormattedData!D56*$J$4+$M$4*$J$5+[51]FormattedData!D56^2*$J$6+$M$5*$J$7</f>
        <v>60.177472654532721</v>
      </c>
      <c r="L44" s="47">
        <f>$J$3+[51]FormattedData!E56*$J$4+$M$4*$J$5+[51]FormattedData!E56^2*$J$6+$M$5*$J$7</f>
        <v>60.177472654532721</v>
      </c>
      <c r="M44" s="47">
        <f>$J$3+[51]FormattedData!F56*$J$4+$M$4*$J$5+[51]FormattedData!F56^2*$J$6+$M$5*$J$7</f>
        <v>60.509694316084989</v>
      </c>
      <c r="N44" s="47">
        <f>$J$3+[51]FormattedData!G56*$J$4+$M$4*$J$5+[51]FormattedData!G56^2*$J$6+$M$5*$J$7</f>
        <v>60.343668022384712</v>
      </c>
      <c r="O44" s="47">
        <f>$J$3+[51]FormattedData!H56*$J$4+$M$4*$J$5+[51]FormattedData!H56^2*$J$6+$M$5*$J$7</f>
        <v>60.426702303503824</v>
      </c>
      <c r="P44" s="47">
        <f>$J$3+[51]FormattedData!I56*$J$4+$M$4*$J$5+[51]FormattedData!I56^2*$J$6+$M$5*$J$7</f>
        <v>60.343668022384712</v>
      </c>
      <c r="Q44" s="47">
        <f>$J$3+[51]FormattedData!J56*$J$4+$M$4*$J$5+[51]FormattedData!J56^2*$J$6+$M$5*$J$7</f>
        <v>60.01110821252901</v>
      </c>
      <c r="R44" s="47">
        <f>$J$3+[51]FormattedData!K56*$J$4+$M$4*$J$5+[51]FormattedData!K56^2*$J$6+$M$5*$J$7</f>
        <v>59.761244535488935</v>
      </c>
      <c r="S44" s="47">
        <f>$J$3+[51]FormattedData!L56*$J$4+$M$4*$J$5+[51]FormattedData!L56^2*$J$6+$M$5*$J$7</f>
        <v>59.427501206571144</v>
      </c>
      <c r="T44" s="47">
        <f>$J$3+[51]FormattedData!M56*$J$4+$M$4*$J$5+[51]FormattedData!M56^2*$J$6+$M$5*$J$7</f>
        <v>59.26037593088467</v>
      </c>
      <c r="U44" s="47">
        <f>$J$3+[51]FormattedData!N56*$J$4+$M$4*$J$5+[51]FormattedData!N56^2*$J$6+$M$5*$J$7</f>
        <v>59.59445740810591</v>
      </c>
      <c r="V44" s="47">
        <f>$J$3+[51]FormattedData!O56*$J$4+$M$4*$J$5+[51]FormattedData!O56^2*$J$6+$M$5*$J$7</f>
        <v>60.094311567799828</v>
      </c>
      <c r="W44" s="49">
        <f>AVERAGE(K44:V44)</f>
        <v>60.0106397362336</v>
      </c>
      <c r="X44" s="48">
        <f>STDEV(K44:V44)/SQRT(COUNT(K44:V44))</f>
        <v>0.11822548023142444</v>
      </c>
      <c r="Y44" s="47">
        <f>MIN(K44:V44)</f>
        <v>59.26037593088467</v>
      </c>
      <c r="Z44" s="46">
        <f>QUARTILE(K44:V44,1)</f>
        <v>59.719547753643177</v>
      </c>
      <c r="AA44" s="47">
        <f>MEDIAN(K44:V44)</f>
        <v>60.135892111166271</v>
      </c>
      <c r="AB44" s="46">
        <f>QUARTILE(K44:V44,3)</f>
        <v>60.343668022384712</v>
      </c>
      <c r="AC44" s="46">
        <f>MAX(K44:V44)</f>
        <v>60.509694316084989</v>
      </c>
      <c r="AD44" s="46">
        <f>SKEW(K44:V44)</f>
        <v>-0.67996176356537297</v>
      </c>
      <c r="AE44" s="46">
        <f>KURT(K44:V44)</f>
        <v>-0.75914039409152201</v>
      </c>
    </row>
    <row r="45" spans="2:31" x14ac:dyDescent="0.2">
      <c r="B45" s="34">
        <f>[51]FormattedData!A54</f>
        <v>904</v>
      </c>
      <c r="C45" s="34" t="str">
        <f>VLOOKUP($B45,[51]TrtCodes!$B$11:I97,2)</f>
        <v>Early</v>
      </c>
      <c r="D45" s="34">
        <f>VLOOKUP($B45,[51]TrtCodes!$B$11:J97,3)</f>
        <v>21</v>
      </c>
      <c r="E45" s="34">
        <f>VLOOKUP($B45,[51]TrtCodes!$B$11:K97,4)</f>
        <v>3</v>
      </c>
      <c r="F45" s="34">
        <f>VLOOKUP($B45,[51]TrtCodes!$B$11:L97,5)</f>
        <v>2</v>
      </c>
      <c r="G45" s="34">
        <f>VLOOKUP($B45,[51]TrtCodes!$B$11:M97,6)</f>
        <v>2</v>
      </c>
      <c r="H45" s="34">
        <f>VLOOKUP($B45,[51]TrtCodes!$B$11:N97,7)</f>
        <v>1</v>
      </c>
      <c r="I45" s="34">
        <f>[51]FormattedData!B54</f>
        <v>1</v>
      </c>
      <c r="J45" s="37">
        <f>[51]FormattedData!C54</f>
        <v>13.067</v>
      </c>
      <c r="K45" s="39">
        <f>$J$3+[51]FormattedData!D54*$J$4+$M$4*$J$5+[51]FormattedData!D54^2*$J$6+$M$5*$J$7</f>
        <v>49.189294876417868</v>
      </c>
      <c r="L45" s="39">
        <f>$J$3+[51]FormattedData!E54*$J$4+$M$4*$J$5+[51]FormattedData!E54^2*$J$6+$M$5*$J$7</f>
        <v>49.896344885757003</v>
      </c>
      <c r="M45" s="39">
        <f>$J$3+[51]FormattedData!F54*$J$4+$M$4*$J$5+[51]FormattedData!F54^2*$J$6+$M$5*$J$7</f>
        <v>52.088440393045168</v>
      </c>
      <c r="N45" s="39">
        <f>$J$3+[51]FormattedData!G54*$J$4+$M$4*$J$5+[51]FormattedData!G54^2*$J$6+$M$5*$J$7</f>
        <v>50.336877414111193</v>
      </c>
      <c r="O45" s="39">
        <f>$J$3+[51]FormattedData!H54*$J$4+$M$4*$J$5+[51]FormattedData!H54^2*$J$6+$M$5*$J$7</f>
        <v>53.044593245741602</v>
      </c>
      <c r="P45" s="39">
        <f>$J$3+[51]FormattedData!I54*$J$4+$M$4*$J$5+[51]FormattedData!I54^2*$J$6+$M$5*$J$7</f>
        <v>49.454755643954527</v>
      </c>
      <c r="Q45" s="39">
        <f>$J$3+[51]FormattedData!J54*$J$4+$M$4*$J$5+[51]FormattedData!J54^2*$J$6+$M$5*$J$7</f>
        <v>52.697493058837566</v>
      </c>
      <c r="R45" s="39">
        <f>$J$3+[51]FormattedData!K54*$J$4+$M$4*$J$5+[51]FormattedData!K54^2*$J$6+$M$5*$J$7</f>
        <v>49.543158029390881</v>
      </c>
      <c r="S45" s="39">
        <f>$J$3+[51]FormattedData!L54*$J$4+$M$4*$J$5+[51]FormattedData!L54^2*$J$6+$M$5*$J$7</f>
        <v>50.248855445516213</v>
      </c>
      <c r="T45" s="39">
        <f>$J$3+[51]FormattedData!M54*$J$4+$M$4*$J$5+[51]FormattedData!M54^2*$J$6+$M$5*$J$7</f>
        <v>48.301678196330158</v>
      </c>
      <c r="U45" s="39">
        <f>$J$3+[51]FormattedData!N54*$J$4+$M$4*$J$5+[51]FormattedData!N54^2*$J$6+$M$5*$J$7</f>
        <v>52.784331508370471</v>
      </c>
      <c r="V45" s="39">
        <f>$J$3+[51]FormattedData!O54*$J$4+$M$4*$J$5+[51]FormattedData!O54^2*$J$6+$M$5*$J$7</f>
        <v>51.477316568894146</v>
      </c>
      <c r="W45" s="38">
        <f>AVERAGE(K45:V45)</f>
        <v>50.755261605530563</v>
      </c>
      <c r="X45" s="37">
        <f>STDEV(K45:V45)/SQRT(COUNT(K45:V45))</f>
        <v>0.46246392764575933</v>
      </c>
      <c r="Y45" s="36">
        <f>MIN(K45:V45)</f>
        <v>48.301678196330158</v>
      </c>
      <c r="Z45" s="35">
        <f>QUARTILE(K45:V45,1)</f>
        <v>49.521057433031793</v>
      </c>
      <c r="AA45" s="36">
        <f>MEDIAN(K45:V45)</f>
        <v>50.292866429813699</v>
      </c>
      <c r="AB45" s="35">
        <f>QUARTILE(K45:V45,3)</f>
        <v>52.240703559493269</v>
      </c>
      <c r="AC45" s="35">
        <f>MAX(K45:V45)</f>
        <v>53.044593245741602</v>
      </c>
      <c r="AD45" s="35">
        <f>SKEW(K45:V45)</f>
        <v>0.18564960603297626</v>
      </c>
      <c r="AE45" s="35">
        <f>KURT(K45:V45)</f>
        <v>-1.4019342723100321</v>
      </c>
    </row>
    <row r="46" spans="2:31" x14ac:dyDescent="0.2">
      <c r="B46" s="50">
        <f>[51]FormattedData!A52</f>
        <v>905</v>
      </c>
      <c r="C46" s="50" t="str">
        <f>VLOOKUP($B46,[51]TrtCodes!$B$11:I95,2)</f>
        <v>WS</v>
      </c>
      <c r="D46" s="50">
        <f>VLOOKUP($B46,[51]TrtCodes!$B$11:J95,3)</f>
        <v>32</v>
      </c>
      <c r="E46" s="50">
        <f>VLOOKUP($B46,[51]TrtCodes!$B$11:K95,4)</f>
        <v>9</v>
      </c>
      <c r="F46" s="50">
        <f>VLOOKUP($B46,[51]TrtCodes!$B$11:L95,5)</f>
        <v>0</v>
      </c>
      <c r="G46" s="50">
        <f>VLOOKUP($B46,[51]TrtCodes!$B$11:M95,6)</f>
        <v>1</v>
      </c>
      <c r="H46" s="50">
        <f>VLOOKUP($B46,[51]TrtCodes!$B$11:N95,7)</f>
        <v>2</v>
      </c>
      <c r="I46" s="50">
        <f>[51]FormattedData!B52</f>
        <v>1</v>
      </c>
      <c r="J46" s="48">
        <f>[51]FormattedData!C52</f>
        <v>13.061</v>
      </c>
      <c r="K46" s="47">
        <f>$J$3+[51]FormattedData!D52*$J$4+$M$4*$J$5+[51]FormattedData!D52^2*$J$6+$M$5*$J$7</f>
        <v>35.051324454486661</v>
      </c>
      <c r="L46" s="47">
        <f>$J$3+[51]FormattedData!E52*$J$4+$M$4*$J$5+[51]FormattedData!E52^2*$J$6+$M$5*$J$7</f>
        <v>35.146363000378201</v>
      </c>
      <c r="M46" s="47">
        <f>$J$3+[51]FormattedData!F52*$J$4+$M$4*$J$5+[51]FormattedData!F52^2*$J$6+$M$5*$J$7</f>
        <v>35.526094498565072</v>
      </c>
      <c r="N46" s="47">
        <f>$J$3+[51]FormattedData!G52*$J$4+$M$4*$J$5+[51]FormattedData!G52^2*$J$6+$M$5*$J$7</f>
        <v>35.431225026825253</v>
      </c>
      <c r="O46" s="47">
        <f>$J$3+[51]FormattedData!H52*$J$4+$M$4*$J$5+[51]FormattedData!H52^2*$J$6+$M$5*$J$7</f>
        <v>35.051324454486661</v>
      </c>
      <c r="P46" s="47">
        <f>$J$3+[51]FormattedData!I52*$J$4+$M$4*$J$5+[51]FormattedData!I52^2*$J$6+$M$5*$J$7</f>
        <v>34.956243640057181</v>
      </c>
      <c r="Q46" s="47">
        <f>$J$3+[51]FormattedData!J52*$J$4+$M$4*$J$5+[51]FormattedData!J52^2*$J$6+$M$5*$J$7</f>
        <v>35.810449302556954</v>
      </c>
      <c r="R46" s="47">
        <f>$J$3+[51]FormattedData!K52*$J$4+$M$4*$J$5+[51]FormattedData!K52^2*$J$6+$M$5*$J$7</f>
        <v>35.620921701766967</v>
      </c>
      <c r="S46" s="47">
        <f>$J$3+[51]FormattedData!L52*$J$4+$M$4*$J$5+[51]FormattedData!L52^2*$J$6+$M$5*$J$7</f>
        <v>35.146363000378201</v>
      </c>
      <c r="T46" s="47">
        <f>$J$3+[51]FormattedData!M52*$J$4+$M$4*$J$5+[51]FormattedData!M52^2*$J$6+$M$5*$J$7</f>
        <v>35.146363000378201</v>
      </c>
      <c r="U46" s="47">
        <f>$J$3+[51]FormattedData!N52*$J$4+$M$4*$J$5+[51]FormattedData!N52^2*$J$6+$M$5*$J$7</f>
        <v>35.051324454486661</v>
      </c>
      <c r="V46" s="47">
        <f>$J$3+[51]FormattedData!O52*$J$4+$M$4*$J$5+[51]FormattedData!O52^2*$J$6+$M$5*$J$7</f>
        <v>34.956243640057181</v>
      </c>
      <c r="W46" s="49">
        <f>AVERAGE(K46:V46)</f>
        <v>35.241186681201931</v>
      </c>
      <c r="X46" s="48">
        <f>STDEV(K46:V46)/SQRT(COUNT(K46:V46))</f>
        <v>8.1790952824765562E-2</v>
      </c>
      <c r="Y46" s="47">
        <f>MIN(K46:V46)</f>
        <v>34.956243640057181</v>
      </c>
      <c r="Z46" s="46">
        <f>QUARTILE(K46:V46,1)</f>
        <v>35.051324454486661</v>
      </c>
      <c r="AA46" s="47">
        <f>MEDIAN(K46:V46)</f>
        <v>35.146363000378201</v>
      </c>
      <c r="AB46" s="46">
        <f>QUARTILE(K46:V46,3)</f>
        <v>35.454942394760209</v>
      </c>
      <c r="AC46" s="46">
        <f>MAX(K46:V46)</f>
        <v>35.810449302556954</v>
      </c>
      <c r="AD46" s="46">
        <f>SKEW(K46:V46)</f>
        <v>0.95858475680004918</v>
      </c>
      <c r="AE46" s="46">
        <f>KURT(K46:V46)</f>
        <v>-0.34050276061186535</v>
      </c>
    </row>
    <row r="47" spans="2:31" x14ac:dyDescent="0.2">
      <c r="B47" s="34">
        <f>[51]FormattedData!A50</f>
        <v>906</v>
      </c>
      <c r="C47" s="34" t="str">
        <f>VLOOKUP($B47,[51]TrtCodes!$B$11:I93,2)</f>
        <v>Late</v>
      </c>
      <c r="D47" s="34">
        <f>VLOOKUP($B47,[51]TrtCodes!$B$11:J93,3)</f>
        <v>22</v>
      </c>
      <c r="E47" s="34">
        <f>VLOOKUP($B47,[51]TrtCodes!$B$11:K93,4)</f>
        <v>4</v>
      </c>
      <c r="F47" s="34">
        <f>VLOOKUP($B47,[51]TrtCodes!$B$11:L93,5)</f>
        <v>2</v>
      </c>
      <c r="G47" s="34">
        <f>VLOOKUP($B47,[51]TrtCodes!$B$11:M93,6)</f>
        <v>2</v>
      </c>
      <c r="H47" s="34">
        <f>VLOOKUP($B47,[51]TrtCodes!$B$11:N93,7)</f>
        <v>2</v>
      </c>
      <c r="I47" s="34">
        <f>[51]FormattedData!B50</f>
        <v>1</v>
      </c>
      <c r="J47" s="37">
        <f>[51]FormattedData!C50</f>
        <v>13.053000000000001</v>
      </c>
      <c r="K47" s="39">
        <f>$J$3+[51]FormattedData!D50*$J$4+$M$4*$J$5+[51]FormattedData!D50^2*$J$6+$M$5*$J$7</f>
        <v>49.277824067468018</v>
      </c>
      <c r="L47" s="39">
        <f>$J$3+[51]FormattedData!E50*$J$4+$M$4*$J$5+[51]FormattedData!E50^2*$J$6+$M$5*$J$7</f>
        <v>51.739480390472174</v>
      </c>
      <c r="M47" s="39">
        <f>$J$3+[51]FormattedData!F50*$J$4+$M$4*$J$5+[51]FormattedData!F50^2*$J$6+$M$5*$J$7</f>
        <v>51.652134718484092</v>
      </c>
      <c r="N47" s="39">
        <f>$J$3+[51]FormattedData!G50*$J$4+$M$4*$J$5+[51]FormattedData!G50^2*$J$6+$M$5*$J$7</f>
        <v>51.389844091292268</v>
      </c>
      <c r="O47" s="39">
        <f>$J$3+[51]FormattedData!H50*$J$4+$M$4*$J$5+[51]FormattedData!H50^2*$J$6+$M$5*$J$7</f>
        <v>53.736764729728968</v>
      </c>
      <c r="P47" s="39">
        <f>$J$3+[51]FormattedData!I50*$J$4+$M$4*$J$5+[51]FormattedData!I50^2*$J$6+$M$5*$J$7</f>
        <v>50.688542603111777</v>
      </c>
      <c r="Q47" s="39">
        <f>$J$3+[51]FormattedData!J50*$J$4+$M$4*$J$5+[51]FormattedData!J50^2*$J$6+$M$5*$J$7</f>
        <v>53.131262621122772</v>
      </c>
      <c r="R47" s="39">
        <f>$J$3+[51]FormattedData!K50*$J$4+$M$4*$J$5+[51]FormattedData!K50^2*$J$6+$M$5*$J$7</f>
        <v>49.984535928503696</v>
      </c>
      <c r="S47" s="39">
        <f>$J$3+[51]FormattedData!L50*$J$4+$M$4*$J$5+[51]FormattedData!L50^2*$J$6+$M$5*$J$7</f>
        <v>52.784331508370471</v>
      </c>
      <c r="T47" s="39">
        <f>$J$3+[51]FormattedData!M50*$J$4+$M$4*$J$5+[51]FormattedData!M50^2*$J$6+$M$5*$J$7</f>
        <v>49.631518146289309</v>
      </c>
      <c r="U47" s="39">
        <f>$J$3+[51]FormattedData!N50*$J$4+$M$4*$J$5+[51]FormattedData!N50^2*$J$6+$M$5*$J$7</f>
        <v>51.389844091292268</v>
      </c>
      <c r="V47" s="39">
        <f>$J$3+[51]FormattedData!O50*$J$4+$M$4*$J$5+[51]FormattedData!O50^2*$J$6+$M$5*$J$7</f>
        <v>50.336877414111193</v>
      </c>
      <c r="W47" s="38">
        <f>AVERAGE(K47:V47)</f>
        <v>51.311913359187251</v>
      </c>
      <c r="X47" s="37">
        <f>STDEV(K47:V47)/SQRT(COUNT(K47:V47))</f>
        <v>0.40574590874512406</v>
      </c>
      <c r="Y47" s="36">
        <f>MIN(K47:V47)</f>
        <v>49.277824067468018</v>
      </c>
      <c r="Z47" s="35">
        <f>QUARTILE(K47:V47,1)</f>
        <v>50.248792042709319</v>
      </c>
      <c r="AA47" s="36">
        <f>MEDIAN(K47:V47)</f>
        <v>51.389844091292268</v>
      </c>
      <c r="AB47" s="35">
        <f>QUARTILE(K47:V47,3)</f>
        <v>52.00069316994675</v>
      </c>
      <c r="AC47" s="35">
        <f>MAX(K47:V47)</f>
        <v>53.736764729728968</v>
      </c>
      <c r="AD47" s="35">
        <f>SKEW(K47:V47)</f>
        <v>0.27193645723390203</v>
      </c>
      <c r="AE47" s="35">
        <f>KURT(K47:V47)</f>
        <v>-0.82238672734721874</v>
      </c>
    </row>
    <row r="48" spans="2:31" x14ac:dyDescent="0.2">
      <c r="B48" s="50">
        <f>[51]FormattedData!A48</f>
        <v>907</v>
      </c>
      <c r="C48" s="50" t="str">
        <f>VLOOKUP($B48,[51]TrtCodes!$B$11:I91,2)</f>
        <v>DS</v>
      </c>
      <c r="D48" s="50">
        <f>VLOOKUP($B48,[51]TrtCodes!$B$11:J91,3)</f>
        <v>31</v>
      </c>
      <c r="E48" s="50">
        <f>VLOOKUP($B48,[51]TrtCodes!$B$11:K91,4)</f>
        <v>8</v>
      </c>
      <c r="F48" s="50">
        <f>VLOOKUP($B48,[51]TrtCodes!$B$11:L91,5)</f>
        <v>0</v>
      </c>
      <c r="G48" s="50">
        <f>VLOOKUP($B48,[51]TrtCodes!$B$11:M91,6)</f>
        <v>1</v>
      </c>
      <c r="H48" s="50">
        <f>VLOOKUP($B48,[51]TrtCodes!$B$11:N91,7)</f>
        <v>2</v>
      </c>
      <c r="I48" s="50">
        <f>[51]FormattedData!B48</f>
        <v>1</v>
      </c>
      <c r="J48" s="48">
        <f>[51]FormattedData!C48</f>
        <v>13.045999999999999</v>
      </c>
      <c r="K48" s="47">
        <f>$J$3+[51]FormattedData!D48*$J$4+$M$4*$J$5+[51]FormattedData!D48^2*$J$6+$M$5*$J$7</f>
        <v>59.511000441607486</v>
      </c>
      <c r="L48" s="47">
        <f>$J$3+[51]FormattedData!E48*$J$4+$M$4*$J$5+[51]FormattedData!E48^2*$J$6+$M$5*$J$7</f>
        <v>60.841239681030366</v>
      </c>
      <c r="M48" s="47">
        <f>$J$3+[51]FormattedData!F48*$J$4+$M$4*$J$5+[51]FormattedData!F48^2*$J$6+$M$5*$J$7</f>
        <v>60.592644060128229</v>
      </c>
      <c r="N48" s="47">
        <f>$J$3+[51]FormattedData!G48*$J$4+$M$4*$J$5+[51]FormattedData!G48^2*$J$6+$M$5*$J$7</f>
        <v>60.426702303503824</v>
      </c>
      <c r="O48" s="47">
        <f>$J$3+[51]FormattedData!H48*$J$4+$M$4*$J$5+[51]FormattedData!H48^2*$J$6+$M$5*$J$7</f>
        <v>60.343668022384712</v>
      </c>
      <c r="P48" s="47">
        <f>$J$3+[51]FormattedData!I48*$J$4+$M$4*$J$5+[51]FormattedData!I48^2*$J$6+$M$5*$J$7</f>
        <v>60.260591472727697</v>
      </c>
      <c r="Q48" s="47">
        <f>$J$3+[51]FormattedData!J48*$J$4+$M$4*$J$5+[51]FormattedData!J48^2*$J$6+$M$5*$J$7</f>
        <v>60.509694316084989</v>
      </c>
      <c r="R48" s="47">
        <f>$J$3+[51]FormattedData!K48*$J$4+$M$4*$J$5+[51]FormattedData!K48^2*$J$6+$M$5*$J$7</f>
        <v>60.426702303503824</v>
      </c>
      <c r="S48" s="47">
        <f>$J$3+[51]FormattedData!L48*$J$4+$M$4*$J$5+[51]FormattedData!L48^2*$J$6+$M$5*$J$7</f>
        <v>60.426702303503824</v>
      </c>
      <c r="T48" s="47">
        <f>$J$3+[51]FormattedData!M48*$J$4+$M$4*$J$5+[51]FormattedData!M48^2*$J$6+$M$5*$J$7</f>
        <v>60.426702303503824</v>
      </c>
      <c r="U48" s="47">
        <f>$J$3+[51]FormattedData!N48*$J$4+$M$4*$J$5+[51]FormattedData!N48^2*$J$6+$M$5*$J$7</f>
        <v>60.260591472727697</v>
      </c>
      <c r="V48" s="47">
        <f>$J$3+[51]FormattedData!O48*$J$4+$M$4*$J$5+[51]FormattedData!O48^2*$J$6+$M$5*$J$7</f>
        <v>60.177472654532721</v>
      </c>
      <c r="W48" s="49">
        <f>AVERAGE(K48:V48)</f>
        <v>60.350309277936596</v>
      </c>
      <c r="X48" s="48">
        <f>STDEV(K48:V48)/SQRT(COUNT(K48:V48))</f>
        <v>9.1243118117269817E-2</v>
      </c>
      <c r="Y48" s="47">
        <f>MIN(K48:V48)</f>
        <v>59.511000441607486</v>
      </c>
      <c r="Z48" s="46">
        <f>QUARTILE(K48:V48,1)</f>
        <v>60.260591472727697</v>
      </c>
      <c r="AA48" s="47">
        <f>MEDIAN(K48:V48)</f>
        <v>60.426702303503824</v>
      </c>
      <c r="AB48" s="46">
        <f>QUARTILE(K48:V48,3)</f>
        <v>60.447450306649117</v>
      </c>
      <c r="AC48" s="46">
        <f>MAX(K48:V48)</f>
        <v>60.841239681030366</v>
      </c>
      <c r="AD48" s="46">
        <f>SKEW(K48:V48)</f>
        <v>-1.5873382857799405</v>
      </c>
      <c r="AE48" s="46">
        <f>KURT(K48:V48)</f>
        <v>4.8012094559069869</v>
      </c>
    </row>
    <row r="49" spans="2:31" ht="13.5" thickBot="1" x14ac:dyDescent="0.25">
      <c r="B49" s="45">
        <f>[51]FormattedData!A46</f>
        <v>908</v>
      </c>
      <c r="C49" s="45" t="str">
        <f>VLOOKUP($B49,[51]TrtCodes!$B$11:I89,2)</f>
        <v>Early</v>
      </c>
      <c r="D49" s="45">
        <f>VLOOKUP($B49,[51]TrtCodes!$B$11:J89,3)</f>
        <v>21</v>
      </c>
      <c r="E49" s="45">
        <f>VLOOKUP($B49,[51]TrtCodes!$B$11:K89,4)</f>
        <v>3</v>
      </c>
      <c r="F49" s="45">
        <f>VLOOKUP($B49,[51]TrtCodes!$B$11:L89,5)</f>
        <v>2</v>
      </c>
      <c r="G49" s="45">
        <f>VLOOKUP($B49,[51]TrtCodes!$B$11:M89,6)</f>
        <v>2</v>
      </c>
      <c r="H49" s="45">
        <f>VLOOKUP($B49,[51]TrtCodes!$B$11:N89,7)</f>
        <v>2</v>
      </c>
      <c r="I49" s="45">
        <f>[51]FormattedData!B46</f>
        <v>1</v>
      </c>
      <c r="J49" s="42">
        <f>[51]FormattedData!C46</f>
        <v>13.038</v>
      </c>
      <c r="K49" s="44">
        <f>$J$3+[51]FormattedData!D46*$J$4+$M$4*$J$5+[51]FormattedData!D46^2*$J$6+$M$5*$J$7</f>
        <v>47.409834662449335</v>
      </c>
      <c r="L49" s="44">
        <f>$J$3+[51]FormattedData!E46*$J$4+$M$4*$J$5+[51]FormattedData!E46^2*$J$6+$M$5*$J$7</f>
        <v>51.389844091292268</v>
      </c>
      <c r="M49" s="44">
        <f>$J$3+[51]FormattedData!F46*$J$4+$M$4*$J$5+[51]FormattedData!F46^2*$J$6+$M$5*$J$7</f>
        <v>51.214772330474737</v>
      </c>
      <c r="N49" s="44">
        <f>$J$3+[51]FormattedData!G46*$J$4+$M$4*$J$5+[51]FormattedData!G46^2*$J$6+$M$5*$J$7</f>
        <v>52.088440393045168</v>
      </c>
      <c r="O49" s="44">
        <f>$J$3+[51]FormattedData!H46*$J$4+$M$4*$J$5+[51]FormattedData!H46^2*$J$6+$M$5*$J$7</f>
        <v>51.039531495505479</v>
      </c>
      <c r="P49" s="44">
        <f>$J$3+[51]FormattedData!I46*$J$4+$M$4*$J$5+[51]FormattedData!I46^2*$J$6+$M$5*$J$7</f>
        <v>51.214772330474737</v>
      </c>
      <c r="Q49" s="44">
        <f>$J$3+[51]FormattedData!J46*$J$4+$M$4*$J$5+[51]FormattedData!J46^2*$J$6+$M$5*$J$7</f>
        <v>51.564746777958078</v>
      </c>
      <c r="R49" s="44">
        <f>$J$3+[51]FormattedData!K46*$J$4+$M$4*$J$5+[51]FormattedData!K46^2*$J$6+$M$5*$J$7</f>
        <v>49.984535928503696</v>
      </c>
      <c r="S49" s="44">
        <f>$J$3+[51]FormattedData!L46*$J$4+$M$4*$J$5+[51]FormattedData!L46^2*$J$6+$M$5*$J$7</f>
        <v>52.610612340766735</v>
      </c>
      <c r="T49" s="44">
        <f>$J$3+[51]FormattedData!M46*$J$4+$M$4*$J$5+[51]FormattedData!M46^2*$J$6+$M$5*$J$7</f>
        <v>49.189294876417868</v>
      </c>
      <c r="U49" s="44">
        <f>$J$3+[51]FormattedData!N46*$J$4+$M$4*$J$5+[51]FormattedData!N46^2*$J$6+$M$5*$J$7</f>
        <v>52.610612340766735</v>
      </c>
      <c r="V49" s="44">
        <f>$J$3+[51]FormattedData!O46*$J$4+$M$4*$J$5+[51]FormattedData!O46^2*$J$6+$M$5*$J$7</f>
        <v>50.072684702712465</v>
      </c>
      <c r="W49" s="43">
        <f>AVERAGE(K49:V49)</f>
        <v>50.865806855863944</v>
      </c>
      <c r="X49" s="42">
        <f>STDEV(K49:V49)/SQRT(COUNT(K49:V49))</f>
        <v>0.43327950105733232</v>
      </c>
      <c r="Y49" s="41">
        <f>MIN(K49:V49)</f>
        <v>47.409834662449335</v>
      </c>
      <c r="Z49" s="40">
        <f>QUARTILE(K49:V49,1)</f>
        <v>50.050647509160271</v>
      </c>
      <c r="AA49" s="41">
        <f>MEDIAN(K49:V49)</f>
        <v>51.214772330474737</v>
      </c>
      <c r="AB49" s="40">
        <f>QUARTILE(K49:V49,3)</f>
        <v>51.695670181729852</v>
      </c>
      <c r="AC49" s="40">
        <f>MAX(K49:V49)</f>
        <v>52.610612340766735</v>
      </c>
      <c r="AD49" s="40">
        <f>SKEW(K49:V49)</f>
        <v>-1.1016694837310932</v>
      </c>
      <c r="AE49" s="40">
        <f>KURT(K49:V49)</f>
        <v>1.327890914218365</v>
      </c>
    </row>
    <row r="50" spans="2:31" ht="13.5" thickTop="1" x14ac:dyDescent="0.2">
      <c r="B50" s="34">
        <f>[51]FormattedData!A29</f>
        <v>0</v>
      </c>
      <c r="C50" s="34" t="e">
        <f>VLOOKUP($B50,[51]TrtCodes!$B$11:I72,2)</f>
        <v>#N/A</v>
      </c>
      <c r="D50" s="34" t="e">
        <f>VLOOKUP($B50,[51]TrtCodes!$B$11:J72,3)</f>
        <v>#N/A</v>
      </c>
      <c r="E50" s="34" t="e">
        <f>VLOOKUP($B50,[51]TrtCodes!$B$11:K72,4)</f>
        <v>#N/A</v>
      </c>
      <c r="F50" s="34" t="e">
        <f>VLOOKUP($B50,[51]TrtCodes!$B$11:L72,5)</f>
        <v>#N/A</v>
      </c>
      <c r="G50" s="34" t="e">
        <f>VLOOKUP($B50,[51]TrtCodes!$B$11:M72,6)</f>
        <v>#N/A</v>
      </c>
      <c r="H50" s="34" t="e">
        <f>VLOOKUP($B50,[51]TrtCodes!$B$11:N72,7)</f>
        <v>#N/A</v>
      </c>
      <c r="I50" s="34">
        <f>[51]FormattedData!B29</f>
        <v>0</v>
      </c>
      <c r="J50" s="37">
        <f>[51]FormattedData!C29</f>
        <v>0</v>
      </c>
      <c r="K50" s="39">
        <f>$J$3+[51]FormattedData!D29*$J$4+$M$4*$J$5+[51]FormattedData!D29^2*$J$6+$M$5*$J$7</f>
        <v>-0.69867901580701808</v>
      </c>
      <c r="L50" s="39">
        <f>$J$3+[51]FormattedData!E29*$J$4+$M$4*$J$5+[51]FormattedData!E29^2*$J$6+$M$5*$J$7</f>
        <v>-0.69867901580701808</v>
      </c>
      <c r="M50" s="39">
        <f>$J$3+[51]FormattedData!F29*$J$4+$M$4*$J$5+[51]FormattedData!F29^2*$J$6+$M$5*$J$7</f>
        <v>-0.69867901580701808</v>
      </c>
      <c r="N50" s="39">
        <f>$J$3+[51]FormattedData!G29*$J$4+$M$4*$J$5+[51]FormattedData!G29^2*$J$6+$M$5*$J$7</f>
        <v>-0.69867901580701808</v>
      </c>
      <c r="O50" s="39">
        <f>$J$3+[51]FormattedData!H29*$J$4+$M$4*$J$5+[51]FormattedData!H29^2*$J$6+$M$5*$J$7</f>
        <v>-0.69867901580701808</v>
      </c>
      <c r="P50" s="39">
        <f>$J$3+[51]FormattedData!I29*$J$4+$M$4*$J$5+[51]FormattedData!I29^2*$J$6+$M$5*$J$7</f>
        <v>-0.69867901580701808</v>
      </c>
      <c r="Q50" s="39">
        <f>$J$3+[51]FormattedData!J29*$J$4+$M$4*$J$5+[51]FormattedData!J29^2*$J$6+$M$5*$J$7</f>
        <v>-0.69867901580701808</v>
      </c>
      <c r="R50" s="39">
        <f>$J$3+[51]FormattedData!K29*$J$4+$M$4*$J$5+[51]FormattedData!K29^2*$J$6+$M$5*$J$7</f>
        <v>-0.69867901580701808</v>
      </c>
      <c r="S50" s="39">
        <f>$J$3+[51]FormattedData!L29*$J$4+$M$4*$J$5+[51]FormattedData!L29^2*$J$6+$M$5*$J$7</f>
        <v>-0.69867901580701808</v>
      </c>
      <c r="T50" s="39">
        <f>$J$3+[51]FormattedData!M29*$J$4+$M$4*$J$5+[51]FormattedData!M29^2*$J$6+$M$5*$J$7</f>
        <v>-0.69867901580701808</v>
      </c>
      <c r="U50" s="39">
        <f>$J$3+[51]FormattedData!N29*$J$4+$M$4*$J$5+[51]FormattedData!N29^2*$J$6+$M$5*$J$7</f>
        <v>-0.69867901580701808</v>
      </c>
      <c r="V50" s="39">
        <f>$J$3+[51]FormattedData!O29*$J$4+$M$4*$J$5+[51]FormattedData!O29^2*$J$6+$M$5*$J$7</f>
        <v>-0.69867901580701808</v>
      </c>
      <c r="W50" s="38">
        <f>AVERAGE(K50:V50)</f>
        <v>-0.69867901580701808</v>
      </c>
      <c r="X50" s="37">
        <f>STDEV(K50:V50)/SQRT(COUNT(K50:V50))</f>
        <v>0</v>
      </c>
      <c r="Y50" s="36">
        <f>MIN(K50:V50)</f>
        <v>-0.69867901580701808</v>
      </c>
      <c r="Z50" s="35">
        <f>QUARTILE(K50:V50,1)</f>
        <v>-0.69867901580701808</v>
      </c>
      <c r="AA50" s="36">
        <f>MEDIAN(K50:V50)</f>
        <v>-0.69867901580701808</v>
      </c>
      <c r="AB50" s="35">
        <f>QUARTILE(K50:V50,3)</f>
        <v>-0.69867901580701808</v>
      </c>
      <c r="AC50" s="35">
        <f>MAX(K50:V50)</f>
        <v>-0.69867901580701808</v>
      </c>
      <c r="AD50" s="35" t="e">
        <f>SKEW(K50:V50)</f>
        <v>#DIV/0!</v>
      </c>
      <c r="AE50" s="35" t="e">
        <f>KURT(K50:V50)</f>
        <v>#DIV/0!</v>
      </c>
    </row>
    <row r="51" spans="2:31" x14ac:dyDescent="0.2">
      <c r="B51" s="34">
        <f>[51]FormattedData!A27</f>
        <v>0</v>
      </c>
      <c r="C51" s="34" t="e">
        <f>VLOOKUP($B51,[51]TrtCodes!$B$11:I70,2)</f>
        <v>#N/A</v>
      </c>
      <c r="D51" s="34" t="e">
        <f>VLOOKUP($B51,[51]TrtCodes!$B$11:J70,3)</f>
        <v>#N/A</v>
      </c>
      <c r="E51" s="34" t="e">
        <f>VLOOKUP($B51,[51]TrtCodes!$B$11:K70,4)</f>
        <v>#N/A</v>
      </c>
      <c r="F51" s="34" t="e">
        <f>VLOOKUP($B51,[51]TrtCodes!$B$11:L70,5)</f>
        <v>#N/A</v>
      </c>
      <c r="G51" s="34" t="e">
        <f>VLOOKUP($B51,[51]TrtCodes!$B$11:M70,6)</f>
        <v>#N/A</v>
      </c>
      <c r="H51" s="34" t="e">
        <f>VLOOKUP($B51,[51]TrtCodes!$B$11:N70,7)</f>
        <v>#N/A</v>
      </c>
      <c r="I51" s="34">
        <f>[51]FormattedData!B27</f>
        <v>0</v>
      </c>
      <c r="J51" s="37">
        <f>[51]FormattedData!C27</f>
        <v>0</v>
      </c>
      <c r="K51" s="39">
        <f>$J$3+[51]FormattedData!D27*$J$4+$M$4*$J$5+[51]FormattedData!D27^2*$J$6+$M$5*$J$7</f>
        <v>-0.69867901580701808</v>
      </c>
      <c r="L51" s="39">
        <f>$J$3+[51]FormattedData!E27*$J$4+$M$4*$J$5+[51]FormattedData!E27^2*$J$6+$M$5*$J$7</f>
        <v>-0.69867901580701808</v>
      </c>
      <c r="M51" s="39">
        <f>$J$3+[51]FormattedData!F27*$J$4+$M$4*$J$5+[51]FormattedData!F27^2*$J$6+$M$5*$J$7</f>
        <v>-0.69867901580701808</v>
      </c>
      <c r="N51" s="39">
        <f>$J$3+[51]FormattedData!G27*$J$4+$M$4*$J$5+[51]FormattedData!G27^2*$J$6+$M$5*$J$7</f>
        <v>-0.69867901580701808</v>
      </c>
      <c r="O51" s="39">
        <f>$J$3+[51]FormattedData!H27*$J$4+$M$4*$J$5+[51]FormattedData!H27^2*$J$6+$M$5*$J$7</f>
        <v>-0.69867901580701808</v>
      </c>
      <c r="P51" s="39">
        <f>$J$3+[51]FormattedData!I27*$J$4+$M$4*$J$5+[51]FormattedData!I27^2*$J$6+$M$5*$J$7</f>
        <v>-0.69867901580701808</v>
      </c>
      <c r="Q51" s="39">
        <f>$J$3+[51]FormattedData!J27*$J$4+$M$4*$J$5+[51]FormattedData!J27^2*$J$6+$M$5*$J$7</f>
        <v>-0.69867901580701808</v>
      </c>
      <c r="R51" s="39">
        <f>$J$3+[51]FormattedData!K27*$J$4+$M$4*$J$5+[51]FormattedData!K27^2*$J$6+$M$5*$J$7</f>
        <v>-0.69867901580701808</v>
      </c>
      <c r="S51" s="39">
        <f>$J$3+[51]FormattedData!L27*$J$4+$M$4*$J$5+[51]FormattedData!L27^2*$J$6+$M$5*$J$7</f>
        <v>-0.69867901580701808</v>
      </c>
      <c r="T51" s="39">
        <f>$J$3+[51]FormattedData!M27*$J$4+$M$4*$J$5+[51]FormattedData!M27^2*$J$6+$M$5*$J$7</f>
        <v>-0.69867901580701808</v>
      </c>
      <c r="U51" s="39">
        <f>$J$3+[51]FormattedData!N27*$J$4+$M$4*$J$5+[51]FormattedData!N27^2*$J$6+$M$5*$J$7</f>
        <v>-0.69867901580701808</v>
      </c>
      <c r="V51" s="39">
        <f>$J$3+[51]FormattedData!O27*$J$4+$M$4*$J$5+[51]FormattedData!O27^2*$J$6+$M$5*$J$7</f>
        <v>-0.69867901580701808</v>
      </c>
      <c r="W51" s="38">
        <f>AVERAGE(K51:V51)</f>
        <v>-0.69867901580701808</v>
      </c>
      <c r="X51" s="37">
        <f>STDEV(K51:V51)/SQRT(COUNT(K51:V51))</f>
        <v>0</v>
      </c>
      <c r="Y51" s="36">
        <f>MIN(K51:V51)</f>
        <v>-0.69867901580701808</v>
      </c>
      <c r="Z51" s="35">
        <f>QUARTILE(K51:V51,1)</f>
        <v>-0.69867901580701808</v>
      </c>
      <c r="AA51" s="36">
        <f>MEDIAN(K51:V51)</f>
        <v>-0.69867901580701808</v>
      </c>
      <c r="AB51" s="35">
        <f>QUARTILE(K51:V51,3)</f>
        <v>-0.69867901580701808</v>
      </c>
      <c r="AC51" s="35">
        <f>MAX(K51:V51)</f>
        <v>-0.69867901580701808</v>
      </c>
      <c r="AD51" s="35" t="e">
        <f>SKEW(K51:V51)</f>
        <v>#DIV/0!</v>
      </c>
      <c r="AE51" s="35" t="e">
        <f>KURT(K51:V51)</f>
        <v>#DIV/0!</v>
      </c>
    </row>
    <row r="52" spans="2:31" x14ac:dyDescent="0.2">
      <c r="B52" s="34">
        <f>[51]FormattedData!A25</f>
        <v>0</v>
      </c>
      <c r="C52" s="34" t="e">
        <f>VLOOKUP($B52,[51]TrtCodes!$B$11:I68,2)</f>
        <v>#N/A</v>
      </c>
      <c r="D52" s="34" t="e">
        <f>VLOOKUP($B52,[51]TrtCodes!$B$11:J68,3)</f>
        <v>#N/A</v>
      </c>
      <c r="E52" s="34" t="e">
        <f>VLOOKUP($B52,[51]TrtCodes!$B$11:K68,4)</f>
        <v>#N/A</v>
      </c>
      <c r="F52" s="34" t="e">
        <f>VLOOKUP($B52,[51]TrtCodes!$B$11:L68,5)</f>
        <v>#N/A</v>
      </c>
      <c r="G52" s="34" t="e">
        <f>VLOOKUP($B52,[51]TrtCodes!$B$11:M68,6)</f>
        <v>#N/A</v>
      </c>
      <c r="H52" s="34" t="e">
        <f>VLOOKUP($B52,[51]TrtCodes!$B$11:N68,7)</f>
        <v>#N/A</v>
      </c>
      <c r="I52" s="34">
        <f>[51]FormattedData!B25</f>
        <v>0</v>
      </c>
      <c r="J52" s="37">
        <f>[51]FormattedData!C25</f>
        <v>0</v>
      </c>
      <c r="K52" s="39">
        <f>$J$3+[51]FormattedData!D25*$J$4+$M$4*$J$5+[51]FormattedData!D25^2*$J$6+$M$5*$J$7</f>
        <v>-0.69867901580701808</v>
      </c>
      <c r="L52" s="39">
        <f>$J$3+[51]FormattedData!E25*$J$4+$M$4*$J$5+[51]FormattedData!E25^2*$J$6+$M$5*$J$7</f>
        <v>-0.69867901580701808</v>
      </c>
      <c r="M52" s="39">
        <f>$J$3+[51]FormattedData!F25*$J$4+$M$4*$J$5+[51]FormattedData!F25^2*$J$6+$M$5*$J$7</f>
        <v>-0.69867901580701808</v>
      </c>
      <c r="N52" s="39">
        <f>$J$3+[51]FormattedData!G25*$J$4+$M$4*$J$5+[51]FormattedData!G25^2*$J$6+$M$5*$J$7</f>
        <v>-0.69867901580701808</v>
      </c>
      <c r="O52" s="39">
        <f>$J$3+[51]FormattedData!H25*$J$4+$M$4*$J$5+[51]FormattedData!H25^2*$J$6+$M$5*$J$7</f>
        <v>-0.69867901580701808</v>
      </c>
      <c r="P52" s="39">
        <f>$J$3+[51]FormattedData!I25*$J$4+$M$4*$J$5+[51]FormattedData!I25^2*$J$6+$M$5*$J$7</f>
        <v>-0.69867901580701808</v>
      </c>
      <c r="Q52" s="39">
        <f>$J$3+[51]FormattedData!J25*$J$4+$M$4*$J$5+[51]FormattedData!J25^2*$J$6+$M$5*$J$7</f>
        <v>-0.69867901580701808</v>
      </c>
      <c r="R52" s="39">
        <f>$J$3+[51]FormattedData!K25*$J$4+$M$4*$J$5+[51]FormattedData!K25^2*$J$6+$M$5*$J$7</f>
        <v>-0.69867901580701808</v>
      </c>
      <c r="S52" s="39">
        <f>$J$3+[51]FormattedData!L25*$J$4+$M$4*$J$5+[51]FormattedData!L25^2*$J$6+$M$5*$J$7</f>
        <v>-0.69867901580701808</v>
      </c>
      <c r="T52" s="39">
        <f>$J$3+[51]FormattedData!M25*$J$4+$M$4*$J$5+[51]FormattedData!M25^2*$J$6+$M$5*$J$7</f>
        <v>-0.69867901580701808</v>
      </c>
      <c r="U52" s="39">
        <f>$J$3+[51]FormattedData!N25*$J$4+$M$4*$J$5+[51]FormattedData!N25^2*$J$6+$M$5*$J$7</f>
        <v>-0.69867901580701808</v>
      </c>
      <c r="V52" s="39">
        <f>$J$3+[51]FormattedData!O25*$J$4+$M$4*$J$5+[51]FormattedData!O25^2*$J$6+$M$5*$J$7</f>
        <v>-0.69867901580701808</v>
      </c>
      <c r="W52" s="38">
        <f>AVERAGE(K52:V52)</f>
        <v>-0.69867901580701808</v>
      </c>
      <c r="X52" s="37">
        <f>STDEV(K52:V52)/SQRT(COUNT(K52:V52))</f>
        <v>0</v>
      </c>
      <c r="Y52" s="36">
        <f>MIN(K52:V52)</f>
        <v>-0.69867901580701808</v>
      </c>
      <c r="Z52" s="35">
        <f>QUARTILE(K52:V52,1)</f>
        <v>-0.69867901580701808</v>
      </c>
      <c r="AA52" s="36">
        <f>MEDIAN(K52:V52)</f>
        <v>-0.69867901580701808</v>
      </c>
      <c r="AB52" s="35">
        <f>QUARTILE(K52:V52,3)</f>
        <v>-0.69867901580701808</v>
      </c>
      <c r="AC52" s="35">
        <f>MAX(K52:V52)</f>
        <v>-0.69867901580701808</v>
      </c>
      <c r="AD52" s="35" t="e">
        <f>SKEW(K52:V52)</f>
        <v>#DIV/0!</v>
      </c>
      <c r="AE52" s="35" t="e">
        <f>KURT(K52:V52)</f>
        <v>#DIV/0!</v>
      </c>
    </row>
    <row r="53" spans="2:31" x14ac:dyDescent="0.2">
      <c r="B53" s="34">
        <f>[51]FormattedData!A23</f>
        <v>0</v>
      </c>
      <c r="C53" s="34" t="e">
        <f>VLOOKUP($B53,[51]TrtCodes!$B$11:I66,2)</f>
        <v>#N/A</v>
      </c>
      <c r="D53" s="34" t="e">
        <f>VLOOKUP($B53,[51]TrtCodes!$B$11:J66,3)</f>
        <v>#N/A</v>
      </c>
      <c r="E53" s="34" t="e">
        <f>VLOOKUP($B53,[51]TrtCodes!$B$11:K66,4)</f>
        <v>#N/A</v>
      </c>
      <c r="F53" s="34" t="e">
        <f>VLOOKUP($B53,[51]TrtCodes!$B$11:L66,5)</f>
        <v>#N/A</v>
      </c>
      <c r="G53" s="34" t="e">
        <f>VLOOKUP($B53,[51]TrtCodes!$B$11:M66,6)</f>
        <v>#N/A</v>
      </c>
      <c r="H53" s="34" t="e">
        <f>VLOOKUP($B53,[51]TrtCodes!$B$11:N66,7)</f>
        <v>#N/A</v>
      </c>
      <c r="I53" s="34">
        <f>[51]FormattedData!B23</f>
        <v>0</v>
      </c>
      <c r="J53" s="37">
        <f>[51]FormattedData!C23</f>
        <v>0</v>
      </c>
      <c r="K53" s="39">
        <f>$J$3+[51]FormattedData!D23*$J$4+$M$4*$J$5+[51]FormattedData!D23^2*$J$6+$M$5*$J$7</f>
        <v>-0.69867901580701808</v>
      </c>
      <c r="L53" s="39">
        <f>$J$3+[51]FormattedData!E23*$J$4+$M$4*$J$5+[51]FormattedData!E23^2*$J$6+$M$5*$J$7</f>
        <v>-0.69867901580701808</v>
      </c>
      <c r="M53" s="39">
        <f>$J$3+[51]FormattedData!F23*$J$4+$M$4*$J$5+[51]FormattedData!F23^2*$J$6+$M$5*$J$7</f>
        <v>-0.69867901580701808</v>
      </c>
      <c r="N53" s="39">
        <f>$J$3+[51]FormattedData!G23*$J$4+$M$4*$J$5+[51]FormattedData!G23^2*$J$6+$M$5*$J$7</f>
        <v>-0.69867901580701808</v>
      </c>
      <c r="O53" s="39">
        <f>$J$3+[51]FormattedData!H23*$J$4+$M$4*$J$5+[51]FormattedData!H23^2*$J$6+$M$5*$J$7</f>
        <v>-0.69867901580701808</v>
      </c>
      <c r="P53" s="39">
        <f>$J$3+[51]FormattedData!I23*$J$4+$M$4*$J$5+[51]FormattedData!I23^2*$J$6+$M$5*$J$7</f>
        <v>-0.69867901580701808</v>
      </c>
      <c r="Q53" s="39">
        <f>$J$3+[51]FormattedData!J23*$J$4+$M$4*$J$5+[51]FormattedData!J23^2*$J$6+$M$5*$J$7</f>
        <v>-0.69867901580701808</v>
      </c>
      <c r="R53" s="39">
        <f>$J$3+[51]FormattedData!K23*$J$4+$M$4*$J$5+[51]FormattedData!K23^2*$J$6+$M$5*$J$7</f>
        <v>-0.69867901580701808</v>
      </c>
      <c r="S53" s="39">
        <f>$J$3+[51]FormattedData!L23*$J$4+$M$4*$J$5+[51]FormattedData!L23^2*$J$6+$M$5*$J$7</f>
        <v>-0.69867901580701808</v>
      </c>
      <c r="T53" s="39">
        <f>$J$3+[51]FormattedData!M23*$J$4+$M$4*$J$5+[51]FormattedData!M23^2*$J$6+$M$5*$J$7</f>
        <v>-0.69867901580701808</v>
      </c>
      <c r="U53" s="39">
        <f>$J$3+[51]FormattedData!N23*$J$4+$M$4*$J$5+[51]FormattedData!N23^2*$J$6+$M$5*$J$7</f>
        <v>-0.69867901580701808</v>
      </c>
      <c r="V53" s="39">
        <f>$J$3+[51]FormattedData!O23*$J$4+$M$4*$J$5+[51]FormattedData!O23^2*$J$6+$M$5*$J$7</f>
        <v>-0.69867901580701808</v>
      </c>
      <c r="W53" s="38">
        <f>AVERAGE(K53:V53)</f>
        <v>-0.69867901580701808</v>
      </c>
      <c r="X53" s="37">
        <f>STDEV(K53:V53)/SQRT(COUNT(K53:V53))</f>
        <v>0</v>
      </c>
      <c r="Y53" s="36">
        <f>MIN(K53:V53)</f>
        <v>-0.69867901580701808</v>
      </c>
      <c r="Z53" s="35">
        <f>QUARTILE(K53:V53,1)</f>
        <v>-0.69867901580701808</v>
      </c>
      <c r="AA53" s="36">
        <f>MEDIAN(K53:V53)</f>
        <v>-0.69867901580701808</v>
      </c>
      <c r="AB53" s="35">
        <f>QUARTILE(K53:V53,3)</f>
        <v>-0.69867901580701808</v>
      </c>
      <c r="AC53" s="35">
        <f>MAX(K53:V53)</f>
        <v>-0.69867901580701808</v>
      </c>
      <c r="AD53" s="35" t="e">
        <f>SKEW(K53:V53)</f>
        <v>#DIV/0!</v>
      </c>
      <c r="AE53" s="35" t="e">
        <f>KURT(K53:V53)</f>
        <v>#DIV/0!</v>
      </c>
    </row>
    <row r="54" spans="2:31" x14ac:dyDescent="0.2">
      <c r="B54" s="34">
        <f>[51]FormattedData!A21</f>
        <v>0</v>
      </c>
      <c r="C54" s="34" t="e">
        <f>VLOOKUP($B54,[51]TrtCodes!$B$11:I64,2)</f>
        <v>#N/A</v>
      </c>
      <c r="D54" s="34" t="e">
        <f>VLOOKUP($B54,[51]TrtCodes!$B$11:J64,3)</f>
        <v>#N/A</v>
      </c>
      <c r="E54" s="34" t="e">
        <f>VLOOKUP($B54,[51]TrtCodes!$B$11:K64,4)</f>
        <v>#N/A</v>
      </c>
      <c r="F54" s="34" t="e">
        <f>VLOOKUP($B54,[51]TrtCodes!$B$11:L64,5)</f>
        <v>#N/A</v>
      </c>
      <c r="G54" s="34" t="e">
        <f>VLOOKUP($B54,[51]TrtCodes!$B$11:M64,6)</f>
        <v>#N/A</v>
      </c>
      <c r="H54" s="34" t="e">
        <f>VLOOKUP($B54,[51]TrtCodes!$B$11:N64,7)</f>
        <v>#N/A</v>
      </c>
      <c r="I54" s="34">
        <f>[51]FormattedData!B21</f>
        <v>0</v>
      </c>
      <c r="J54" s="37">
        <f>[51]FormattedData!C21</f>
        <v>0</v>
      </c>
      <c r="K54" s="39">
        <f>$J$3+[51]FormattedData!D21*$J$4+$M$4*$J$5+[51]FormattedData!D21^2*$J$6+$M$5*$J$7</f>
        <v>-0.69867901580701808</v>
      </c>
      <c r="L54" s="39">
        <f>$J$3+[51]FormattedData!E21*$J$4+$M$4*$J$5+[51]FormattedData!E21^2*$J$6+$M$5*$J$7</f>
        <v>-0.69867901580701808</v>
      </c>
      <c r="M54" s="39">
        <f>$J$3+[51]FormattedData!F21*$J$4+$M$4*$J$5+[51]FormattedData!F21^2*$J$6+$M$5*$J$7</f>
        <v>-0.69867901580701808</v>
      </c>
      <c r="N54" s="39">
        <f>$J$3+[51]FormattedData!G21*$J$4+$M$4*$J$5+[51]FormattedData!G21^2*$J$6+$M$5*$J$7</f>
        <v>-0.69867901580701808</v>
      </c>
      <c r="O54" s="39">
        <f>$J$3+[51]FormattedData!H21*$J$4+$M$4*$J$5+[51]FormattedData!H21^2*$J$6+$M$5*$J$7</f>
        <v>-0.69867901580701808</v>
      </c>
      <c r="P54" s="39">
        <f>$J$3+[51]FormattedData!I21*$J$4+$M$4*$J$5+[51]FormattedData!I21^2*$J$6+$M$5*$J$7</f>
        <v>-0.69867901580701808</v>
      </c>
      <c r="Q54" s="39">
        <f>$J$3+[51]FormattedData!J21*$J$4+$M$4*$J$5+[51]FormattedData!J21^2*$J$6+$M$5*$J$7</f>
        <v>-0.69867901580701808</v>
      </c>
      <c r="R54" s="39">
        <f>$J$3+[51]FormattedData!K21*$J$4+$M$4*$J$5+[51]FormattedData!K21^2*$J$6+$M$5*$J$7</f>
        <v>-0.69867901580701808</v>
      </c>
      <c r="S54" s="39">
        <f>$J$3+[51]FormattedData!L21*$J$4+$M$4*$J$5+[51]FormattedData!L21^2*$J$6+$M$5*$J$7</f>
        <v>-0.69867901580701808</v>
      </c>
      <c r="T54" s="39">
        <f>$J$3+[51]FormattedData!M21*$J$4+$M$4*$J$5+[51]FormattedData!M21^2*$J$6+$M$5*$J$7</f>
        <v>-0.69867901580701808</v>
      </c>
      <c r="U54" s="39">
        <f>$J$3+[51]FormattedData!N21*$J$4+$M$4*$J$5+[51]FormattedData!N21^2*$J$6+$M$5*$J$7</f>
        <v>-0.69867901580701808</v>
      </c>
      <c r="V54" s="39">
        <f>$J$3+[51]FormattedData!O21*$J$4+$M$4*$J$5+[51]FormattedData!O21^2*$J$6+$M$5*$J$7</f>
        <v>-0.69867901580701808</v>
      </c>
      <c r="W54" s="38">
        <f>AVERAGE(K54:V54)</f>
        <v>-0.69867901580701808</v>
      </c>
      <c r="X54" s="37">
        <f>STDEV(K54:V54)/SQRT(COUNT(K54:V54))</f>
        <v>0</v>
      </c>
      <c r="Y54" s="36">
        <f>MIN(K54:V54)</f>
        <v>-0.69867901580701808</v>
      </c>
      <c r="Z54" s="35">
        <f>QUARTILE(K54:V54,1)</f>
        <v>-0.69867901580701808</v>
      </c>
      <c r="AA54" s="36">
        <f>MEDIAN(K54:V54)</f>
        <v>-0.69867901580701808</v>
      </c>
      <c r="AB54" s="35">
        <f>QUARTILE(K54:V54,3)</f>
        <v>-0.69867901580701808</v>
      </c>
      <c r="AC54" s="35">
        <f>MAX(K54:V54)</f>
        <v>-0.69867901580701808</v>
      </c>
      <c r="AD54" s="35" t="e">
        <f>SKEW(K54:V54)</f>
        <v>#DIV/0!</v>
      </c>
      <c r="AE54" s="35" t="e">
        <f>KURT(K54:V54)</f>
        <v>#DIV/0!</v>
      </c>
    </row>
    <row r="55" spans="2:31" x14ac:dyDescent="0.2">
      <c r="B55" s="34">
        <f>[51]FormattedData!A19</f>
        <v>0</v>
      </c>
      <c r="C55" s="34" t="e">
        <f>VLOOKUP($B55,[51]TrtCodes!$B$11:I62,2)</f>
        <v>#N/A</v>
      </c>
      <c r="D55" s="34" t="e">
        <f>VLOOKUP($B55,[51]TrtCodes!$B$11:J62,3)</f>
        <v>#N/A</v>
      </c>
      <c r="E55" s="34" t="e">
        <f>VLOOKUP($B55,[51]TrtCodes!$B$11:K62,4)</f>
        <v>#N/A</v>
      </c>
      <c r="F55" s="34" t="e">
        <f>VLOOKUP($B55,[51]TrtCodes!$B$11:L62,5)</f>
        <v>#N/A</v>
      </c>
      <c r="G55" s="34" t="e">
        <f>VLOOKUP($B55,[51]TrtCodes!$B$11:M62,6)</f>
        <v>#N/A</v>
      </c>
      <c r="H55" s="34" t="e">
        <f>VLOOKUP($B55,[51]TrtCodes!$B$11:N62,7)</f>
        <v>#N/A</v>
      </c>
      <c r="I55" s="34">
        <f>[51]FormattedData!B19</f>
        <v>0</v>
      </c>
      <c r="J55" s="37">
        <f>[51]FormattedData!C19</f>
        <v>0</v>
      </c>
      <c r="K55" s="39">
        <f>$J$3+[51]FormattedData!D19*$J$4+$M$4*$J$5+[51]FormattedData!D19^2*$J$6+$M$5*$J$7</f>
        <v>-0.69867901580701808</v>
      </c>
      <c r="L55" s="39">
        <f>$J$3+[51]FormattedData!E19*$J$4+$M$4*$J$5+[51]FormattedData!E19^2*$J$6+$M$5*$J$7</f>
        <v>-0.69867901580701808</v>
      </c>
      <c r="M55" s="39">
        <f>$J$3+[51]FormattedData!F19*$J$4+$M$4*$J$5+[51]FormattedData!F19^2*$J$6+$M$5*$J$7</f>
        <v>-0.69867901580701808</v>
      </c>
      <c r="N55" s="39">
        <f>$J$3+[51]FormattedData!G19*$J$4+$M$4*$J$5+[51]FormattedData!G19^2*$J$6+$M$5*$J$7</f>
        <v>-0.69867901580701808</v>
      </c>
      <c r="O55" s="39">
        <f>$J$3+[51]FormattedData!H19*$J$4+$M$4*$J$5+[51]FormattedData!H19^2*$J$6+$M$5*$J$7</f>
        <v>-0.69867901580701808</v>
      </c>
      <c r="P55" s="39">
        <f>$J$3+[51]FormattedData!I19*$J$4+$M$4*$J$5+[51]FormattedData!I19^2*$J$6+$M$5*$J$7</f>
        <v>-0.69867901580701808</v>
      </c>
      <c r="Q55" s="39">
        <f>$J$3+[51]FormattedData!J19*$J$4+$M$4*$J$5+[51]FormattedData!J19^2*$J$6+$M$5*$J$7</f>
        <v>-0.69867901580701808</v>
      </c>
      <c r="R55" s="39">
        <f>$J$3+[51]FormattedData!K19*$J$4+$M$4*$J$5+[51]FormattedData!K19^2*$J$6+$M$5*$J$7</f>
        <v>-0.69867901580701808</v>
      </c>
      <c r="S55" s="39">
        <f>$J$3+[51]FormattedData!L19*$J$4+$M$4*$J$5+[51]FormattedData!L19^2*$J$6+$M$5*$J$7</f>
        <v>-0.69867901580701808</v>
      </c>
      <c r="T55" s="39">
        <f>$J$3+[51]FormattedData!M19*$J$4+$M$4*$J$5+[51]FormattedData!M19^2*$J$6+$M$5*$J$7</f>
        <v>-0.69867901580701808</v>
      </c>
      <c r="U55" s="39">
        <f>$J$3+[51]FormattedData!N19*$J$4+$M$4*$J$5+[51]FormattedData!N19^2*$J$6+$M$5*$J$7</f>
        <v>-0.69867901580701808</v>
      </c>
      <c r="V55" s="39">
        <f>$J$3+[51]FormattedData!O19*$J$4+$M$4*$J$5+[51]FormattedData!O19^2*$J$6+$M$5*$J$7</f>
        <v>-0.69867901580701808</v>
      </c>
      <c r="W55" s="38">
        <f>AVERAGE(K55:V55)</f>
        <v>-0.69867901580701808</v>
      </c>
      <c r="X55" s="37">
        <f>STDEV(K55:V55)/SQRT(COUNT(K55:V55))</f>
        <v>0</v>
      </c>
      <c r="Y55" s="36">
        <f>MIN(K55:V55)</f>
        <v>-0.69867901580701808</v>
      </c>
      <c r="Z55" s="35">
        <f>QUARTILE(K55:V55,1)</f>
        <v>-0.69867901580701808</v>
      </c>
      <c r="AA55" s="36">
        <f>MEDIAN(K55:V55)</f>
        <v>-0.69867901580701808</v>
      </c>
      <c r="AB55" s="35">
        <f>QUARTILE(K55:V55,3)</f>
        <v>-0.69867901580701808</v>
      </c>
      <c r="AC55" s="35">
        <f>MAX(K55:V55)</f>
        <v>-0.69867901580701808</v>
      </c>
      <c r="AD55" s="35" t="e">
        <f>SKEW(K55:V55)</f>
        <v>#DIV/0!</v>
      </c>
      <c r="AE55" s="35" t="e">
        <f>KURT(K55:V55)</f>
        <v>#DIV/0!</v>
      </c>
    </row>
    <row r="56" spans="2:31" x14ac:dyDescent="0.2">
      <c r="B56" s="34">
        <f>[51]FormattedData!A17</f>
        <v>0</v>
      </c>
      <c r="C56" s="34" t="e">
        <f>VLOOKUP($B56,[51]TrtCodes!$B$11:I60,2)</f>
        <v>#N/A</v>
      </c>
      <c r="D56" s="34" t="e">
        <f>VLOOKUP($B56,[51]TrtCodes!$B$11:J60,3)</f>
        <v>#N/A</v>
      </c>
      <c r="E56" s="34" t="e">
        <f>VLOOKUP($B56,[51]TrtCodes!$B$11:K60,4)</f>
        <v>#N/A</v>
      </c>
      <c r="F56" s="34" t="e">
        <f>VLOOKUP($B56,[51]TrtCodes!$B$11:L60,5)</f>
        <v>#N/A</v>
      </c>
      <c r="G56" s="34" t="e">
        <f>VLOOKUP($B56,[51]TrtCodes!$B$11:M60,6)</f>
        <v>#N/A</v>
      </c>
      <c r="H56" s="34" t="e">
        <f>VLOOKUP($B56,[51]TrtCodes!$B$11:N60,7)</f>
        <v>#N/A</v>
      </c>
      <c r="I56" s="34">
        <f>[51]FormattedData!B17</f>
        <v>0</v>
      </c>
      <c r="J56" s="37">
        <f>[51]FormattedData!C17</f>
        <v>0</v>
      </c>
      <c r="K56" s="39">
        <f>$J$3+[51]FormattedData!D17*$J$4+$M$4*$J$5+[51]FormattedData!D17^2*$J$6+$M$5*$J$7</f>
        <v>-0.69867901580701808</v>
      </c>
      <c r="L56" s="39">
        <f>$J$3+[51]FormattedData!E17*$J$4+$M$4*$J$5+[51]FormattedData!E17^2*$J$6+$M$5*$J$7</f>
        <v>-0.69867901580701808</v>
      </c>
      <c r="M56" s="39">
        <f>$J$3+[51]FormattedData!F17*$J$4+$M$4*$J$5+[51]FormattedData!F17^2*$J$6+$M$5*$J$7</f>
        <v>-0.69867901580701808</v>
      </c>
      <c r="N56" s="39">
        <f>$J$3+[51]FormattedData!G17*$J$4+$M$4*$J$5+[51]FormattedData!G17^2*$J$6+$M$5*$J$7</f>
        <v>-0.69867901580701808</v>
      </c>
      <c r="O56" s="39">
        <f>$J$3+[51]FormattedData!H17*$J$4+$M$4*$J$5+[51]FormattedData!H17^2*$J$6+$M$5*$J$7</f>
        <v>-0.69867901580701808</v>
      </c>
      <c r="P56" s="39">
        <f>$J$3+[51]FormattedData!I17*$J$4+$M$4*$J$5+[51]FormattedData!I17^2*$J$6+$M$5*$J$7</f>
        <v>-0.69867901580701808</v>
      </c>
      <c r="Q56" s="39">
        <f>$J$3+[51]FormattedData!J17*$J$4+$M$4*$J$5+[51]FormattedData!J17^2*$J$6+$M$5*$J$7</f>
        <v>-0.69867901580701808</v>
      </c>
      <c r="R56" s="39">
        <f>$J$3+[51]FormattedData!K17*$J$4+$M$4*$J$5+[51]FormattedData!K17^2*$J$6+$M$5*$J$7</f>
        <v>-0.69867901580701808</v>
      </c>
      <c r="S56" s="39">
        <f>$J$3+[51]FormattedData!L17*$J$4+$M$4*$J$5+[51]FormattedData!L17^2*$J$6+$M$5*$J$7</f>
        <v>-0.69867901580701808</v>
      </c>
      <c r="T56" s="39">
        <f>$J$3+[51]FormattedData!M17*$J$4+$M$4*$J$5+[51]FormattedData!M17^2*$J$6+$M$5*$J$7</f>
        <v>-0.69867901580701808</v>
      </c>
      <c r="U56" s="39">
        <f>$J$3+[51]FormattedData!N17*$J$4+$M$4*$J$5+[51]FormattedData!N17^2*$J$6+$M$5*$J$7</f>
        <v>-0.69867901580701808</v>
      </c>
      <c r="V56" s="39">
        <f>$J$3+[51]FormattedData!O17*$J$4+$M$4*$J$5+[51]FormattedData!O17^2*$J$6+$M$5*$J$7</f>
        <v>-0.69867901580701808</v>
      </c>
      <c r="W56" s="38">
        <f>AVERAGE(K56:V56)</f>
        <v>-0.69867901580701808</v>
      </c>
      <c r="X56" s="37">
        <f>STDEV(K56:V56)/SQRT(COUNT(K56:V56))</f>
        <v>0</v>
      </c>
      <c r="Y56" s="36">
        <f>MIN(K56:V56)</f>
        <v>-0.69867901580701808</v>
      </c>
      <c r="Z56" s="35">
        <f>QUARTILE(K56:V56,1)</f>
        <v>-0.69867901580701808</v>
      </c>
      <c r="AA56" s="36">
        <f>MEDIAN(K56:V56)</f>
        <v>-0.69867901580701808</v>
      </c>
      <c r="AB56" s="35">
        <f>QUARTILE(K56:V56,3)</f>
        <v>-0.69867901580701808</v>
      </c>
      <c r="AC56" s="35">
        <f>MAX(K56:V56)</f>
        <v>-0.69867901580701808</v>
      </c>
      <c r="AD56" s="35" t="e">
        <f>SKEW(K56:V56)</f>
        <v>#DIV/0!</v>
      </c>
      <c r="AE56" s="35" t="e">
        <f>KURT(K56:V56)</f>
        <v>#DIV/0!</v>
      </c>
    </row>
    <row r="57" spans="2:31" x14ac:dyDescent="0.2">
      <c r="B57" s="34">
        <f>[51]FormattedData!A15</f>
        <v>0</v>
      </c>
      <c r="C57" s="34" t="e">
        <f>VLOOKUP($B57,[51]TrtCodes!$B$11:I58,2)</f>
        <v>#N/A</v>
      </c>
      <c r="D57" s="34" t="e">
        <f>VLOOKUP($B57,[51]TrtCodes!$B$11:J58,3)</f>
        <v>#N/A</v>
      </c>
      <c r="E57" s="34" t="e">
        <f>VLOOKUP($B57,[51]TrtCodes!$B$11:K58,4)</f>
        <v>#N/A</v>
      </c>
      <c r="F57" s="34" t="e">
        <f>VLOOKUP($B57,[51]TrtCodes!$B$11:L58,5)</f>
        <v>#N/A</v>
      </c>
      <c r="G57" s="34" t="e">
        <f>VLOOKUP($B57,[51]TrtCodes!$B$11:M58,6)</f>
        <v>#N/A</v>
      </c>
      <c r="H57" s="34" t="e">
        <f>VLOOKUP($B57,[51]TrtCodes!$B$11:N58,7)</f>
        <v>#N/A</v>
      </c>
      <c r="I57" s="34">
        <f>[51]FormattedData!B15</f>
        <v>0</v>
      </c>
      <c r="J57" s="37">
        <f>[51]FormattedData!C15</f>
        <v>0</v>
      </c>
      <c r="K57" s="39">
        <f>$J$3+[51]FormattedData!D15*$J$4+$M$4*$J$5+[51]FormattedData!D15^2*$J$6+$M$5*$J$7</f>
        <v>-0.69867901580701808</v>
      </c>
      <c r="L57" s="39">
        <f>$J$3+[51]FormattedData!E15*$J$4+$M$4*$J$5+[51]FormattedData!E15^2*$J$6+$M$5*$J$7</f>
        <v>-0.69867901580701808</v>
      </c>
      <c r="M57" s="39">
        <f>$J$3+[51]FormattedData!F15*$J$4+$M$4*$J$5+[51]FormattedData!F15^2*$J$6+$M$5*$J$7</f>
        <v>-0.69867901580701808</v>
      </c>
      <c r="N57" s="39">
        <f>$J$3+[51]FormattedData!G15*$J$4+$M$4*$J$5+[51]FormattedData!G15^2*$J$6+$M$5*$J$7</f>
        <v>-0.69867901580701808</v>
      </c>
      <c r="O57" s="39">
        <f>$J$3+[51]FormattedData!H15*$J$4+$M$4*$J$5+[51]FormattedData!H15^2*$J$6+$M$5*$J$7</f>
        <v>-0.69867901580701808</v>
      </c>
      <c r="P57" s="39">
        <f>$J$3+[51]FormattedData!I15*$J$4+$M$4*$J$5+[51]FormattedData!I15^2*$J$6+$M$5*$J$7</f>
        <v>-0.69867901580701808</v>
      </c>
      <c r="Q57" s="39">
        <f>$J$3+[51]FormattedData!J15*$J$4+$M$4*$J$5+[51]FormattedData!J15^2*$J$6+$M$5*$J$7</f>
        <v>-0.69867901580701808</v>
      </c>
      <c r="R57" s="39">
        <f>$J$3+[51]FormattedData!K15*$J$4+$M$4*$J$5+[51]FormattedData!K15^2*$J$6+$M$5*$J$7</f>
        <v>-0.69867901580701808</v>
      </c>
      <c r="S57" s="39">
        <f>$J$3+[51]FormattedData!L15*$J$4+$M$4*$J$5+[51]FormattedData!L15^2*$J$6+$M$5*$J$7</f>
        <v>-0.69867901580701808</v>
      </c>
      <c r="T57" s="39">
        <f>$J$3+[51]FormattedData!M15*$J$4+$M$4*$J$5+[51]FormattedData!M15^2*$J$6+$M$5*$J$7</f>
        <v>-0.69867901580701808</v>
      </c>
      <c r="U57" s="39">
        <f>$J$3+[51]FormattedData!N15*$J$4+$M$4*$J$5+[51]FormattedData!N15^2*$J$6+$M$5*$J$7</f>
        <v>-0.69867901580701808</v>
      </c>
      <c r="V57" s="39">
        <f>$J$3+[51]FormattedData!O15*$J$4+$M$4*$J$5+[51]FormattedData!O15^2*$J$6+$M$5*$J$7</f>
        <v>-0.69867901580701808</v>
      </c>
      <c r="W57" s="38">
        <f>AVERAGE(K57:V57)</f>
        <v>-0.69867901580701808</v>
      </c>
      <c r="X57" s="37">
        <f>STDEV(K57:V57)/SQRT(COUNT(K57:V57))</f>
        <v>0</v>
      </c>
      <c r="Y57" s="36">
        <f>MIN(K57:V57)</f>
        <v>-0.69867901580701808</v>
      </c>
      <c r="Z57" s="35">
        <f>QUARTILE(K57:V57,1)</f>
        <v>-0.69867901580701808</v>
      </c>
      <c r="AA57" s="36">
        <f>MEDIAN(K57:V57)</f>
        <v>-0.69867901580701808</v>
      </c>
      <c r="AB57" s="35">
        <f>QUARTILE(K57:V57,3)</f>
        <v>-0.69867901580701808</v>
      </c>
      <c r="AC57" s="35">
        <f>MAX(K57:V57)</f>
        <v>-0.69867901580701808</v>
      </c>
      <c r="AD57" s="35" t="e">
        <f>SKEW(K57:V57)</f>
        <v>#DIV/0!</v>
      </c>
      <c r="AE57" s="35" t="e">
        <f>KURT(K57:V57)</f>
        <v>#DIV/0!</v>
      </c>
    </row>
    <row r="58" spans="2:31" x14ac:dyDescent="0.2">
      <c r="B58" s="34">
        <f>[51]FormattedData!A31</f>
        <v>0</v>
      </c>
      <c r="C58" s="34" t="e">
        <f>VLOOKUP($B58,[51]TrtCodes!$B$11:I74,2)</f>
        <v>#N/A</v>
      </c>
      <c r="D58" s="34" t="e">
        <f>VLOOKUP($B58,[51]TrtCodes!$B$11:J74,3)</f>
        <v>#N/A</v>
      </c>
      <c r="E58" s="34" t="e">
        <f>VLOOKUP($B58,[51]TrtCodes!$B$11:K74,4)</f>
        <v>#N/A</v>
      </c>
      <c r="F58" s="34" t="e">
        <f>VLOOKUP($B58,[51]TrtCodes!$B$11:L74,5)</f>
        <v>#N/A</v>
      </c>
      <c r="G58" s="34" t="e">
        <f>VLOOKUP($B58,[51]TrtCodes!$B$11:M74,6)</f>
        <v>#N/A</v>
      </c>
      <c r="H58" s="34" t="e">
        <f>VLOOKUP($B58,[51]TrtCodes!$B$11:N74,7)</f>
        <v>#N/A</v>
      </c>
      <c r="I58" s="34">
        <f>[51]FormattedData!B31</f>
        <v>0</v>
      </c>
      <c r="J58" s="37">
        <f>[51]FormattedData!C31</f>
        <v>0</v>
      </c>
      <c r="K58" s="39">
        <f>$J$3+[51]FormattedData!D31*$J$4+$M$4*$J$5+[51]FormattedData!D31^2*$J$6+$M$5*$J$7</f>
        <v>-0.69867901580701808</v>
      </c>
      <c r="L58" s="39">
        <f>$J$3+[51]FormattedData!E31*$J$4+$M$4*$J$5+[51]FormattedData!E31^2*$J$6+$M$5*$J$7</f>
        <v>-0.69867901580701808</v>
      </c>
      <c r="M58" s="39">
        <f>$J$3+[51]FormattedData!F31*$J$4+$M$4*$J$5+[51]FormattedData!F31^2*$J$6+$M$5*$J$7</f>
        <v>-0.69867901580701808</v>
      </c>
      <c r="N58" s="39">
        <f>$J$3+[51]FormattedData!G31*$J$4+$M$4*$J$5+[51]FormattedData!G31^2*$J$6+$M$5*$J$7</f>
        <v>-0.69867901580701808</v>
      </c>
      <c r="O58" s="39">
        <f>$J$3+[51]FormattedData!H31*$J$4+$M$4*$J$5+[51]FormattedData!H31^2*$J$6+$M$5*$J$7</f>
        <v>-0.69867901580701808</v>
      </c>
      <c r="P58" s="39">
        <f>$J$3+[51]FormattedData!I31*$J$4+$M$4*$J$5+[51]FormattedData!I31^2*$J$6+$M$5*$J$7</f>
        <v>-0.69867901580701808</v>
      </c>
      <c r="Q58" s="39">
        <f>$J$3+[51]FormattedData!J31*$J$4+$M$4*$J$5+[51]FormattedData!J31^2*$J$6+$M$5*$J$7</f>
        <v>-0.69867901580701808</v>
      </c>
      <c r="R58" s="39">
        <f>$J$3+[51]FormattedData!K31*$J$4+$M$4*$J$5+[51]FormattedData!K31^2*$J$6+$M$5*$J$7</f>
        <v>-0.69867901580701808</v>
      </c>
      <c r="S58" s="39">
        <f>$J$3+[51]FormattedData!L31*$J$4+$M$4*$J$5+[51]FormattedData!L31^2*$J$6+$M$5*$J$7</f>
        <v>-0.69867901580701808</v>
      </c>
      <c r="T58" s="39">
        <f>$J$3+[51]FormattedData!M31*$J$4+$M$4*$J$5+[51]FormattedData!M31^2*$J$6+$M$5*$J$7</f>
        <v>-0.69867901580701808</v>
      </c>
      <c r="U58" s="39">
        <f>$J$3+[51]FormattedData!N31*$J$4+$M$4*$J$5+[51]FormattedData!N31^2*$J$6+$M$5*$J$7</f>
        <v>-0.69867901580701808</v>
      </c>
      <c r="V58" s="39">
        <f>$J$3+[51]FormattedData!O31*$J$4+$M$4*$J$5+[51]FormattedData!O31^2*$J$6+$M$5*$J$7</f>
        <v>-0.69867901580701808</v>
      </c>
      <c r="W58" s="38">
        <f>AVERAGE(K58:V58)</f>
        <v>-0.69867901580701808</v>
      </c>
      <c r="X58" s="37">
        <f>STDEV(K58:V58)/SQRT(COUNT(K58:V58))</f>
        <v>0</v>
      </c>
      <c r="Y58" s="36">
        <f>MIN(K58:V58)</f>
        <v>-0.69867901580701808</v>
      </c>
      <c r="Z58" s="35">
        <f>QUARTILE(K58:V58,1)</f>
        <v>-0.69867901580701808</v>
      </c>
      <c r="AA58" s="36">
        <f>MEDIAN(K58:V58)</f>
        <v>-0.69867901580701808</v>
      </c>
      <c r="AB58" s="35">
        <f>QUARTILE(K58:V58,3)</f>
        <v>-0.69867901580701808</v>
      </c>
      <c r="AC58" s="35">
        <f>MAX(K58:V58)</f>
        <v>-0.69867901580701808</v>
      </c>
      <c r="AD58" s="35" t="e">
        <f>SKEW(K58:V58)</f>
        <v>#DIV/0!</v>
      </c>
      <c r="AE58" s="35" t="e">
        <f>KURT(K58:V58)</f>
        <v>#DIV/0!</v>
      </c>
    </row>
    <row r="59" spans="2:31" x14ac:dyDescent="0.2">
      <c r="B59" s="34">
        <f>[51]FormattedData!A33</f>
        <v>0</v>
      </c>
      <c r="C59" s="34" t="e">
        <f>VLOOKUP($B59,[51]TrtCodes!$B$11:I76,2)</f>
        <v>#N/A</v>
      </c>
      <c r="D59" s="34" t="e">
        <f>VLOOKUP($B59,[51]TrtCodes!$B$11:J76,3)</f>
        <v>#N/A</v>
      </c>
      <c r="E59" s="34" t="e">
        <f>VLOOKUP($B59,[51]TrtCodes!$B$11:K76,4)</f>
        <v>#N/A</v>
      </c>
      <c r="F59" s="34" t="e">
        <f>VLOOKUP($B59,[51]TrtCodes!$B$11:L76,5)</f>
        <v>#N/A</v>
      </c>
      <c r="G59" s="34" t="e">
        <f>VLOOKUP($B59,[51]TrtCodes!$B$11:M76,6)</f>
        <v>#N/A</v>
      </c>
      <c r="H59" s="34" t="e">
        <f>VLOOKUP($B59,[51]TrtCodes!$B$11:N76,7)</f>
        <v>#N/A</v>
      </c>
      <c r="I59" s="34">
        <f>[51]FormattedData!B33</f>
        <v>0</v>
      </c>
      <c r="J59" s="37">
        <f>[51]FormattedData!C33</f>
        <v>0</v>
      </c>
      <c r="K59" s="39">
        <f>$J$3+[51]FormattedData!D33*$J$4+$M$4*$J$5+[51]FormattedData!D33^2*$J$6+$M$5*$J$7</f>
        <v>-0.69867901580701808</v>
      </c>
      <c r="L59" s="39">
        <f>$J$3+[51]FormattedData!E33*$J$4+$M$4*$J$5+[51]FormattedData!E33^2*$J$6+$M$5*$J$7</f>
        <v>-0.69867901580701808</v>
      </c>
      <c r="M59" s="39">
        <f>$J$3+[51]FormattedData!F33*$J$4+$M$4*$J$5+[51]FormattedData!F33^2*$J$6+$M$5*$J$7</f>
        <v>-0.69867901580701808</v>
      </c>
      <c r="N59" s="39">
        <f>$J$3+[51]FormattedData!G33*$J$4+$M$4*$J$5+[51]FormattedData!G33^2*$J$6+$M$5*$J$7</f>
        <v>-0.69867901580701808</v>
      </c>
      <c r="O59" s="39">
        <f>$J$3+[51]FormattedData!H33*$J$4+$M$4*$J$5+[51]FormattedData!H33^2*$J$6+$M$5*$J$7</f>
        <v>-0.69867901580701808</v>
      </c>
      <c r="P59" s="39">
        <f>$J$3+[51]FormattedData!I33*$J$4+$M$4*$J$5+[51]FormattedData!I33^2*$J$6+$M$5*$J$7</f>
        <v>-0.69867901580701808</v>
      </c>
      <c r="Q59" s="39">
        <f>$J$3+[51]FormattedData!J33*$J$4+$M$4*$J$5+[51]FormattedData!J33^2*$J$6+$M$5*$J$7</f>
        <v>-0.69867901580701808</v>
      </c>
      <c r="R59" s="39">
        <f>$J$3+[51]FormattedData!K33*$J$4+$M$4*$J$5+[51]FormattedData!K33^2*$J$6+$M$5*$J$7</f>
        <v>-0.69867901580701808</v>
      </c>
      <c r="S59" s="39">
        <f>$J$3+[51]FormattedData!L33*$J$4+$M$4*$J$5+[51]FormattedData!L33^2*$J$6+$M$5*$J$7</f>
        <v>-0.69867901580701808</v>
      </c>
      <c r="T59" s="39">
        <f>$J$3+[51]FormattedData!M33*$J$4+$M$4*$J$5+[51]FormattedData!M33^2*$J$6+$M$5*$J$7</f>
        <v>-0.69867901580701808</v>
      </c>
      <c r="U59" s="39">
        <f>$J$3+[51]FormattedData!N33*$J$4+$M$4*$J$5+[51]FormattedData!N33^2*$J$6+$M$5*$J$7</f>
        <v>-0.69867901580701808</v>
      </c>
      <c r="V59" s="39">
        <f>$J$3+[51]FormattedData!O33*$J$4+$M$4*$J$5+[51]FormattedData!O33^2*$J$6+$M$5*$J$7</f>
        <v>-0.69867901580701808</v>
      </c>
      <c r="W59" s="38">
        <f>AVERAGE(K59:V59)</f>
        <v>-0.69867901580701808</v>
      </c>
      <c r="X59" s="37">
        <f>STDEV(K59:V59)/SQRT(COUNT(K59:V59))</f>
        <v>0</v>
      </c>
      <c r="Y59" s="36">
        <f>MIN(K59:V59)</f>
        <v>-0.69867901580701808</v>
      </c>
      <c r="Z59" s="35">
        <f>QUARTILE(K59:V59,1)</f>
        <v>-0.69867901580701808</v>
      </c>
      <c r="AA59" s="36">
        <f>MEDIAN(K59:V59)</f>
        <v>-0.69867901580701808</v>
      </c>
      <c r="AB59" s="35">
        <f>QUARTILE(K59:V59,3)</f>
        <v>-0.69867901580701808</v>
      </c>
      <c r="AC59" s="35">
        <f>MAX(K59:V59)</f>
        <v>-0.69867901580701808</v>
      </c>
      <c r="AD59" s="35" t="e">
        <f>SKEW(K59:V59)</f>
        <v>#DIV/0!</v>
      </c>
      <c r="AE59" s="35" t="e">
        <f>KURT(K59:V59)</f>
        <v>#DIV/0!</v>
      </c>
    </row>
    <row r="60" spans="2:31" x14ac:dyDescent="0.2">
      <c r="B60" s="34">
        <f>[51]FormattedData!A35</f>
        <v>0</v>
      </c>
      <c r="C60" s="34" t="e">
        <f>VLOOKUP($B60,[51]TrtCodes!$B$11:I78,2)</f>
        <v>#N/A</v>
      </c>
      <c r="D60" s="34" t="e">
        <f>VLOOKUP($B60,[51]TrtCodes!$B$11:J78,3)</f>
        <v>#N/A</v>
      </c>
      <c r="E60" s="34" t="e">
        <f>VLOOKUP($B60,[51]TrtCodes!$B$11:K78,4)</f>
        <v>#N/A</v>
      </c>
      <c r="F60" s="34" t="e">
        <f>VLOOKUP($B60,[51]TrtCodes!$B$11:L78,5)</f>
        <v>#N/A</v>
      </c>
      <c r="G60" s="34" t="e">
        <f>VLOOKUP($B60,[51]TrtCodes!$B$11:M78,6)</f>
        <v>#N/A</v>
      </c>
      <c r="H60" s="34" t="e">
        <f>VLOOKUP($B60,[51]TrtCodes!$B$11:N78,7)</f>
        <v>#N/A</v>
      </c>
      <c r="I60" s="34">
        <f>[51]FormattedData!B35</f>
        <v>0</v>
      </c>
      <c r="J60" s="37">
        <f>[51]FormattedData!C35</f>
        <v>0</v>
      </c>
      <c r="K60" s="39">
        <f>$J$3+[51]FormattedData!D35*$J$4+$M$4*$J$5+[51]FormattedData!D35^2*$J$6+$M$5*$J$7</f>
        <v>-0.69867901580701808</v>
      </c>
      <c r="L60" s="39">
        <f>$J$3+[51]FormattedData!E35*$J$4+$M$4*$J$5+[51]FormattedData!E35^2*$J$6+$M$5*$J$7</f>
        <v>-0.69867901580701808</v>
      </c>
      <c r="M60" s="39">
        <f>$J$3+[51]FormattedData!F35*$J$4+$M$4*$J$5+[51]FormattedData!F35^2*$J$6+$M$5*$J$7</f>
        <v>-0.69867901580701808</v>
      </c>
      <c r="N60" s="39">
        <f>$J$3+[51]FormattedData!G35*$J$4+$M$4*$J$5+[51]FormattedData!G35^2*$J$6+$M$5*$J$7</f>
        <v>-0.69867901580701808</v>
      </c>
      <c r="O60" s="39">
        <f>$J$3+[51]FormattedData!H35*$J$4+$M$4*$J$5+[51]FormattedData!H35^2*$J$6+$M$5*$J$7</f>
        <v>-0.69867901580701808</v>
      </c>
      <c r="P60" s="39">
        <f>$J$3+[51]FormattedData!I35*$J$4+$M$4*$J$5+[51]FormattedData!I35^2*$J$6+$M$5*$J$7</f>
        <v>-0.69867901580701808</v>
      </c>
      <c r="Q60" s="39">
        <f>$J$3+[51]FormattedData!J35*$J$4+$M$4*$J$5+[51]FormattedData!J35^2*$J$6+$M$5*$J$7</f>
        <v>-0.69867901580701808</v>
      </c>
      <c r="R60" s="39">
        <f>$J$3+[51]FormattedData!K35*$J$4+$M$4*$J$5+[51]FormattedData!K35^2*$J$6+$M$5*$J$7</f>
        <v>-0.69867901580701808</v>
      </c>
      <c r="S60" s="39">
        <f>$J$3+[51]FormattedData!L35*$J$4+$M$4*$J$5+[51]FormattedData!L35^2*$J$6+$M$5*$J$7</f>
        <v>-0.69867901580701808</v>
      </c>
      <c r="T60" s="39">
        <f>$J$3+[51]FormattedData!M35*$J$4+$M$4*$J$5+[51]FormattedData!M35^2*$J$6+$M$5*$J$7</f>
        <v>-0.69867901580701808</v>
      </c>
      <c r="U60" s="39">
        <f>$J$3+[51]FormattedData!N35*$J$4+$M$4*$J$5+[51]FormattedData!N35^2*$J$6+$M$5*$J$7</f>
        <v>-0.69867901580701808</v>
      </c>
      <c r="V60" s="39">
        <f>$J$3+[51]FormattedData!O35*$J$4+$M$4*$J$5+[51]FormattedData!O35^2*$J$6+$M$5*$J$7</f>
        <v>-0.69867901580701808</v>
      </c>
      <c r="W60" s="38">
        <f>AVERAGE(K60:V60)</f>
        <v>-0.69867901580701808</v>
      </c>
      <c r="X60" s="37">
        <f>STDEV(K60:V60)/SQRT(COUNT(K60:V60))</f>
        <v>0</v>
      </c>
      <c r="Y60" s="36">
        <f>MIN(K60:V60)</f>
        <v>-0.69867901580701808</v>
      </c>
      <c r="Z60" s="35">
        <f>QUARTILE(K60:V60,1)</f>
        <v>-0.69867901580701808</v>
      </c>
      <c r="AA60" s="36">
        <f>MEDIAN(K60:V60)</f>
        <v>-0.69867901580701808</v>
      </c>
      <c r="AB60" s="35">
        <f>QUARTILE(K60:V60,3)</f>
        <v>-0.69867901580701808</v>
      </c>
      <c r="AC60" s="35">
        <f>MAX(K60:V60)</f>
        <v>-0.69867901580701808</v>
      </c>
      <c r="AD60" s="35" t="e">
        <f>SKEW(K60:V60)</f>
        <v>#DIV/0!</v>
      </c>
      <c r="AE60" s="35" t="e">
        <f>KURT(K60:V60)</f>
        <v>#DIV/0!</v>
      </c>
    </row>
    <row r="61" spans="2:31" x14ac:dyDescent="0.2">
      <c r="B61" s="34">
        <f>[51]FormattedData!A37</f>
        <v>0</v>
      </c>
      <c r="C61" s="34" t="e">
        <f>VLOOKUP($B61,[51]TrtCodes!$B$11:I80,2)</f>
        <v>#N/A</v>
      </c>
      <c r="D61" s="34" t="e">
        <f>VLOOKUP($B61,[51]TrtCodes!$B$11:J80,3)</f>
        <v>#N/A</v>
      </c>
      <c r="E61" s="34" t="e">
        <f>VLOOKUP($B61,[51]TrtCodes!$B$11:K80,4)</f>
        <v>#N/A</v>
      </c>
      <c r="F61" s="34" t="e">
        <f>VLOOKUP($B61,[51]TrtCodes!$B$11:L80,5)</f>
        <v>#N/A</v>
      </c>
      <c r="G61" s="34" t="e">
        <f>VLOOKUP($B61,[51]TrtCodes!$B$11:M80,6)</f>
        <v>#N/A</v>
      </c>
      <c r="H61" s="34" t="e">
        <f>VLOOKUP($B61,[51]TrtCodes!$B$11:N80,7)</f>
        <v>#N/A</v>
      </c>
      <c r="I61" s="34">
        <f>[51]FormattedData!B37</f>
        <v>0</v>
      </c>
      <c r="J61" s="37">
        <f>[51]FormattedData!C37</f>
        <v>0</v>
      </c>
      <c r="K61" s="39">
        <f>$J$3+[51]FormattedData!D37*$J$4+$M$4*$J$5+[51]FormattedData!D37^2*$J$6+$M$5*$J$7</f>
        <v>-0.69867901580701808</v>
      </c>
      <c r="L61" s="39">
        <f>$J$3+[51]FormattedData!E37*$J$4+$M$4*$J$5+[51]FormattedData!E37^2*$J$6+$M$5*$J$7</f>
        <v>-0.69867901580701808</v>
      </c>
      <c r="M61" s="39">
        <f>$J$3+[51]FormattedData!F37*$J$4+$M$4*$J$5+[51]FormattedData!F37^2*$J$6+$M$5*$J$7</f>
        <v>-0.69867901580701808</v>
      </c>
      <c r="N61" s="39">
        <f>$J$3+[51]FormattedData!G37*$J$4+$M$4*$J$5+[51]FormattedData!G37^2*$J$6+$M$5*$J$7</f>
        <v>-0.69867901580701808</v>
      </c>
      <c r="O61" s="39">
        <f>$J$3+[51]FormattedData!H37*$J$4+$M$4*$J$5+[51]FormattedData!H37^2*$J$6+$M$5*$J$7</f>
        <v>-0.69867901580701808</v>
      </c>
      <c r="P61" s="39">
        <f>$J$3+[51]FormattedData!I37*$J$4+$M$4*$J$5+[51]FormattedData!I37^2*$J$6+$M$5*$J$7</f>
        <v>-0.69867901580701808</v>
      </c>
      <c r="Q61" s="39">
        <f>$J$3+[51]FormattedData!J37*$J$4+$M$4*$J$5+[51]FormattedData!J37^2*$J$6+$M$5*$J$7</f>
        <v>-0.69867901580701808</v>
      </c>
      <c r="R61" s="39">
        <f>$J$3+[51]FormattedData!K37*$J$4+$M$4*$J$5+[51]FormattedData!K37^2*$J$6+$M$5*$J$7</f>
        <v>-0.69867901580701808</v>
      </c>
      <c r="S61" s="39">
        <f>$J$3+[51]FormattedData!L37*$J$4+$M$4*$J$5+[51]FormattedData!L37^2*$J$6+$M$5*$J$7</f>
        <v>-0.69867901580701808</v>
      </c>
      <c r="T61" s="39">
        <f>$J$3+[51]FormattedData!M37*$J$4+$M$4*$J$5+[51]FormattedData!M37^2*$J$6+$M$5*$J$7</f>
        <v>-0.69867901580701808</v>
      </c>
      <c r="U61" s="39">
        <f>$J$3+[51]FormattedData!N37*$J$4+$M$4*$J$5+[51]FormattedData!N37^2*$J$6+$M$5*$J$7</f>
        <v>-0.69867901580701808</v>
      </c>
      <c r="V61" s="39">
        <f>$J$3+[51]FormattedData!O37*$J$4+$M$4*$J$5+[51]FormattedData!O37^2*$J$6+$M$5*$J$7</f>
        <v>-0.69867901580701808</v>
      </c>
      <c r="W61" s="38">
        <f>AVERAGE(K61:V61)</f>
        <v>-0.69867901580701808</v>
      </c>
      <c r="X61" s="37">
        <f>STDEV(K61:V61)/SQRT(COUNT(K61:V61))</f>
        <v>0</v>
      </c>
      <c r="Y61" s="36">
        <f>MIN(K61:V61)</f>
        <v>-0.69867901580701808</v>
      </c>
      <c r="Z61" s="35">
        <f>QUARTILE(K61:V61,1)</f>
        <v>-0.69867901580701808</v>
      </c>
      <c r="AA61" s="36">
        <f>MEDIAN(K61:V61)</f>
        <v>-0.69867901580701808</v>
      </c>
      <c r="AB61" s="35">
        <f>QUARTILE(K61:V61,3)</f>
        <v>-0.69867901580701808</v>
      </c>
      <c r="AC61" s="35">
        <f>MAX(K61:V61)</f>
        <v>-0.69867901580701808</v>
      </c>
      <c r="AD61" s="35" t="e">
        <f>SKEW(K61:V61)</f>
        <v>#DIV/0!</v>
      </c>
      <c r="AE61" s="35" t="e">
        <f>KURT(K61:V61)</f>
        <v>#DIV/0!</v>
      </c>
    </row>
    <row r="62" spans="2:31" x14ac:dyDescent="0.2">
      <c r="B62" s="34">
        <f>[51]FormattedData!A39</f>
        <v>0</v>
      </c>
      <c r="C62" s="34" t="e">
        <f>VLOOKUP($B62,[51]TrtCodes!$B$11:I82,2)</f>
        <v>#N/A</v>
      </c>
      <c r="D62" s="34" t="e">
        <f>VLOOKUP($B62,[51]TrtCodes!$B$11:J82,3)</f>
        <v>#N/A</v>
      </c>
      <c r="E62" s="34" t="e">
        <f>VLOOKUP($B62,[51]TrtCodes!$B$11:K82,4)</f>
        <v>#N/A</v>
      </c>
      <c r="F62" s="34" t="e">
        <f>VLOOKUP($B62,[51]TrtCodes!$B$11:L82,5)</f>
        <v>#N/A</v>
      </c>
      <c r="G62" s="34" t="e">
        <f>VLOOKUP($B62,[51]TrtCodes!$B$11:M82,6)</f>
        <v>#N/A</v>
      </c>
      <c r="H62" s="34" t="e">
        <f>VLOOKUP($B62,[51]TrtCodes!$B$11:N82,7)</f>
        <v>#N/A</v>
      </c>
      <c r="I62" s="34">
        <f>[51]FormattedData!B39</f>
        <v>0</v>
      </c>
      <c r="J62" s="37">
        <f>[51]FormattedData!C39</f>
        <v>0</v>
      </c>
      <c r="K62" s="39">
        <f>$J$3+[51]FormattedData!D39*$J$4+$M$4*$J$5+[51]FormattedData!D39^2*$J$6+$M$5*$J$7</f>
        <v>-0.69867901580701808</v>
      </c>
      <c r="L62" s="39">
        <f>$J$3+[51]FormattedData!E39*$J$4+$M$4*$J$5+[51]FormattedData!E39^2*$J$6+$M$5*$J$7</f>
        <v>-0.69867901580701808</v>
      </c>
      <c r="M62" s="39">
        <f>$J$3+[51]FormattedData!F39*$J$4+$M$4*$J$5+[51]FormattedData!F39^2*$J$6+$M$5*$J$7</f>
        <v>-0.69867901580701808</v>
      </c>
      <c r="N62" s="39">
        <f>$J$3+[51]FormattedData!G39*$J$4+$M$4*$J$5+[51]FormattedData!G39^2*$J$6+$M$5*$J$7</f>
        <v>-0.69867901580701808</v>
      </c>
      <c r="O62" s="39">
        <f>$J$3+[51]FormattedData!H39*$J$4+$M$4*$J$5+[51]FormattedData!H39^2*$J$6+$M$5*$J$7</f>
        <v>-0.69867901580701808</v>
      </c>
      <c r="P62" s="39">
        <f>$J$3+[51]FormattedData!I39*$J$4+$M$4*$J$5+[51]FormattedData!I39^2*$J$6+$M$5*$J$7</f>
        <v>-0.69867901580701808</v>
      </c>
      <c r="Q62" s="39">
        <f>$J$3+[51]FormattedData!J39*$J$4+$M$4*$J$5+[51]FormattedData!J39^2*$J$6+$M$5*$J$7</f>
        <v>-0.69867901580701808</v>
      </c>
      <c r="R62" s="39">
        <f>$J$3+[51]FormattedData!K39*$J$4+$M$4*$J$5+[51]FormattedData!K39^2*$J$6+$M$5*$J$7</f>
        <v>-0.69867901580701808</v>
      </c>
      <c r="S62" s="39">
        <f>$J$3+[51]FormattedData!L39*$J$4+$M$4*$J$5+[51]FormattedData!L39^2*$J$6+$M$5*$J$7</f>
        <v>-0.69867901580701808</v>
      </c>
      <c r="T62" s="39">
        <f>$J$3+[51]FormattedData!M39*$J$4+$M$4*$J$5+[51]FormattedData!M39^2*$J$6+$M$5*$J$7</f>
        <v>-0.69867901580701808</v>
      </c>
      <c r="U62" s="39">
        <f>$J$3+[51]FormattedData!N39*$J$4+$M$4*$J$5+[51]FormattedData!N39^2*$J$6+$M$5*$J$7</f>
        <v>-0.69867901580701808</v>
      </c>
      <c r="V62" s="39">
        <f>$J$3+[51]FormattedData!O39*$J$4+$M$4*$J$5+[51]FormattedData!O39^2*$J$6+$M$5*$J$7</f>
        <v>-0.69867901580701808</v>
      </c>
      <c r="W62" s="38">
        <f>AVERAGE(K62:V62)</f>
        <v>-0.69867901580701808</v>
      </c>
      <c r="X62" s="37">
        <f>STDEV(K62:V62)/SQRT(COUNT(K62:V62))</f>
        <v>0</v>
      </c>
      <c r="Y62" s="36">
        <f>MIN(K62:V62)</f>
        <v>-0.69867901580701808</v>
      </c>
      <c r="Z62" s="35">
        <f>QUARTILE(K62:V62,1)</f>
        <v>-0.69867901580701808</v>
      </c>
      <c r="AA62" s="36">
        <f>MEDIAN(K62:V62)</f>
        <v>-0.69867901580701808</v>
      </c>
      <c r="AB62" s="35">
        <f>QUARTILE(K62:V62,3)</f>
        <v>-0.69867901580701808</v>
      </c>
      <c r="AC62" s="35">
        <f>MAX(K62:V62)</f>
        <v>-0.69867901580701808</v>
      </c>
      <c r="AD62" s="35" t="e">
        <f>SKEW(K62:V62)</f>
        <v>#DIV/0!</v>
      </c>
      <c r="AE62" s="35" t="e">
        <f>KURT(K62:V62)</f>
        <v>#DIV/0!</v>
      </c>
    </row>
    <row r="63" spans="2:31" x14ac:dyDescent="0.2">
      <c r="B63" s="34">
        <f>[51]FormattedData!A41</f>
        <v>0</v>
      </c>
      <c r="C63" s="34" t="e">
        <f>VLOOKUP($B63,[51]TrtCodes!$B$11:I84,2)</f>
        <v>#N/A</v>
      </c>
      <c r="D63" s="34" t="e">
        <f>VLOOKUP($B63,[51]TrtCodes!$B$11:J84,3)</f>
        <v>#N/A</v>
      </c>
      <c r="E63" s="34" t="e">
        <f>VLOOKUP($B63,[51]TrtCodes!$B$11:K84,4)</f>
        <v>#N/A</v>
      </c>
      <c r="F63" s="34" t="e">
        <f>VLOOKUP($B63,[51]TrtCodes!$B$11:L84,5)</f>
        <v>#N/A</v>
      </c>
      <c r="G63" s="34" t="e">
        <f>VLOOKUP($B63,[51]TrtCodes!$B$11:M84,6)</f>
        <v>#N/A</v>
      </c>
      <c r="H63" s="34" t="e">
        <f>VLOOKUP($B63,[51]TrtCodes!$B$11:N84,7)</f>
        <v>#N/A</v>
      </c>
      <c r="I63" s="34">
        <f>[51]FormattedData!B41</f>
        <v>0</v>
      </c>
      <c r="J63" s="37">
        <f>[51]FormattedData!C41</f>
        <v>0</v>
      </c>
      <c r="K63" s="39">
        <f>$J$3+[51]FormattedData!D41*$J$4+$M$4*$J$5+[51]FormattedData!D41^2*$J$6+$M$5*$J$7</f>
        <v>-0.69867901580701808</v>
      </c>
      <c r="L63" s="39">
        <f>$J$3+[51]FormattedData!E41*$J$4+$M$4*$J$5+[51]FormattedData!E41^2*$J$6+$M$5*$J$7</f>
        <v>-0.69867901580701808</v>
      </c>
      <c r="M63" s="39">
        <f>$J$3+[51]FormattedData!F41*$J$4+$M$4*$J$5+[51]FormattedData!F41^2*$J$6+$M$5*$J$7</f>
        <v>-0.69867901580701808</v>
      </c>
      <c r="N63" s="39">
        <f>$J$3+[51]FormattedData!G41*$J$4+$M$4*$J$5+[51]FormattedData!G41^2*$J$6+$M$5*$J$7</f>
        <v>-0.69867901580701808</v>
      </c>
      <c r="O63" s="39">
        <f>$J$3+[51]FormattedData!H41*$J$4+$M$4*$J$5+[51]FormattedData!H41^2*$J$6+$M$5*$J$7</f>
        <v>-0.69867901580701808</v>
      </c>
      <c r="P63" s="39">
        <f>$J$3+[51]FormattedData!I41*$J$4+$M$4*$J$5+[51]FormattedData!I41^2*$J$6+$M$5*$J$7</f>
        <v>-0.69867901580701808</v>
      </c>
      <c r="Q63" s="39">
        <f>$J$3+[51]FormattedData!J41*$J$4+$M$4*$J$5+[51]FormattedData!J41^2*$J$6+$M$5*$J$7</f>
        <v>-0.69867901580701808</v>
      </c>
      <c r="R63" s="39">
        <f>$J$3+[51]FormattedData!K41*$J$4+$M$4*$J$5+[51]FormattedData!K41^2*$J$6+$M$5*$J$7</f>
        <v>-0.69867901580701808</v>
      </c>
      <c r="S63" s="39">
        <f>$J$3+[51]FormattedData!L41*$J$4+$M$4*$J$5+[51]FormattedData!L41^2*$J$6+$M$5*$J$7</f>
        <v>-0.69867901580701808</v>
      </c>
      <c r="T63" s="39">
        <f>$J$3+[51]FormattedData!M41*$J$4+$M$4*$J$5+[51]FormattedData!M41^2*$J$6+$M$5*$J$7</f>
        <v>-0.69867901580701808</v>
      </c>
      <c r="U63" s="39">
        <f>$J$3+[51]FormattedData!N41*$J$4+$M$4*$J$5+[51]FormattedData!N41^2*$J$6+$M$5*$J$7</f>
        <v>-0.69867901580701808</v>
      </c>
      <c r="V63" s="39">
        <f>$J$3+[51]FormattedData!O41*$J$4+$M$4*$J$5+[51]FormattedData!O41^2*$J$6+$M$5*$J$7</f>
        <v>-0.69867901580701808</v>
      </c>
      <c r="W63" s="38">
        <f>AVERAGE(K63:V63)</f>
        <v>-0.69867901580701808</v>
      </c>
      <c r="X63" s="37">
        <f>STDEV(K63:V63)/SQRT(COUNT(K63:V63))</f>
        <v>0</v>
      </c>
      <c r="Y63" s="36">
        <f>MIN(K63:V63)</f>
        <v>-0.69867901580701808</v>
      </c>
      <c r="Z63" s="35">
        <f>QUARTILE(K63:V63,1)</f>
        <v>-0.69867901580701808</v>
      </c>
      <c r="AA63" s="36">
        <f>MEDIAN(K63:V63)</f>
        <v>-0.69867901580701808</v>
      </c>
      <c r="AB63" s="35">
        <f>QUARTILE(K63:V63,3)</f>
        <v>-0.69867901580701808</v>
      </c>
      <c r="AC63" s="35">
        <f>MAX(K63:V63)</f>
        <v>-0.69867901580701808</v>
      </c>
      <c r="AD63" s="35" t="e">
        <f>SKEW(K63:V63)</f>
        <v>#DIV/0!</v>
      </c>
      <c r="AE63" s="35" t="e">
        <f>KURT(K63:V63)</f>
        <v>#DIV/0!</v>
      </c>
    </row>
    <row r="64" spans="2:31" x14ac:dyDescent="0.2">
      <c r="B64" s="34">
        <f>[51]FormattedData!A43</f>
        <v>0</v>
      </c>
      <c r="C64" s="34" t="e">
        <f>VLOOKUP($B64,[51]TrtCodes!$B$11:I86,2)</f>
        <v>#N/A</v>
      </c>
      <c r="D64" s="34" t="e">
        <f>VLOOKUP($B64,[51]TrtCodes!$B$11:J86,3)</f>
        <v>#N/A</v>
      </c>
      <c r="E64" s="34" t="e">
        <f>VLOOKUP($B64,[51]TrtCodes!$B$11:K86,4)</f>
        <v>#N/A</v>
      </c>
      <c r="F64" s="34" t="e">
        <f>VLOOKUP($B64,[51]TrtCodes!$B$11:L86,5)</f>
        <v>#N/A</v>
      </c>
      <c r="G64" s="34" t="e">
        <f>VLOOKUP($B64,[51]TrtCodes!$B$11:M86,6)</f>
        <v>#N/A</v>
      </c>
      <c r="H64" s="34" t="e">
        <f>VLOOKUP($B64,[51]TrtCodes!$B$11:N86,7)</f>
        <v>#N/A</v>
      </c>
      <c r="I64" s="34">
        <f>[51]FormattedData!B43</f>
        <v>0</v>
      </c>
      <c r="J64" s="37">
        <f>[51]FormattedData!C43</f>
        <v>0</v>
      </c>
      <c r="K64" s="39">
        <f>$J$3+[51]FormattedData!D43*$J$4+$M$4*$J$5+[51]FormattedData!D43^2*$J$6+$M$5*$J$7</f>
        <v>-0.69867901580701808</v>
      </c>
      <c r="L64" s="39">
        <f>$J$3+[51]FormattedData!E43*$J$4+$M$4*$J$5+[51]FormattedData!E43^2*$J$6+$M$5*$J$7</f>
        <v>-0.69867901580701808</v>
      </c>
      <c r="M64" s="39">
        <f>$J$3+[51]FormattedData!F43*$J$4+$M$4*$J$5+[51]FormattedData!F43^2*$J$6+$M$5*$J$7</f>
        <v>-0.69867901580701808</v>
      </c>
      <c r="N64" s="39">
        <f>$J$3+[51]FormattedData!G43*$J$4+$M$4*$J$5+[51]FormattedData!G43^2*$J$6+$M$5*$J$7</f>
        <v>-0.69867901580701808</v>
      </c>
      <c r="O64" s="39">
        <f>$J$3+[51]FormattedData!H43*$J$4+$M$4*$J$5+[51]FormattedData!H43^2*$J$6+$M$5*$J$7</f>
        <v>-0.69867901580701808</v>
      </c>
      <c r="P64" s="39">
        <f>$J$3+[51]FormattedData!I43*$J$4+$M$4*$J$5+[51]FormattedData!I43^2*$J$6+$M$5*$J$7</f>
        <v>-0.69867901580701808</v>
      </c>
      <c r="Q64" s="39">
        <f>$J$3+[51]FormattedData!J43*$J$4+$M$4*$J$5+[51]FormattedData!J43^2*$J$6+$M$5*$J$7</f>
        <v>-0.69867901580701808</v>
      </c>
      <c r="R64" s="39">
        <f>$J$3+[51]FormattedData!K43*$J$4+$M$4*$J$5+[51]FormattedData!K43^2*$J$6+$M$5*$J$7</f>
        <v>-0.69867901580701808</v>
      </c>
      <c r="S64" s="39">
        <f>$J$3+[51]FormattedData!L43*$J$4+$M$4*$J$5+[51]FormattedData!L43^2*$J$6+$M$5*$J$7</f>
        <v>-0.69867901580701808</v>
      </c>
      <c r="T64" s="39">
        <f>$J$3+[51]FormattedData!M43*$J$4+$M$4*$J$5+[51]FormattedData!M43^2*$J$6+$M$5*$J$7</f>
        <v>-0.69867901580701808</v>
      </c>
      <c r="U64" s="39">
        <f>$J$3+[51]FormattedData!N43*$J$4+$M$4*$J$5+[51]FormattedData!N43^2*$J$6+$M$5*$J$7</f>
        <v>-0.69867901580701808</v>
      </c>
      <c r="V64" s="39">
        <f>$J$3+[51]FormattedData!O43*$J$4+$M$4*$J$5+[51]FormattedData!O43^2*$J$6+$M$5*$J$7</f>
        <v>-0.69867901580701808</v>
      </c>
      <c r="W64" s="38">
        <f>AVERAGE(K64:V64)</f>
        <v>-0.69867901580701808</v>
      </c>
      <c r="X64" s="37">
        <f>STDEV(K64:V64)/SQRT(COUNT(K64:V64))</f>
        <v>0</v>
      </c>
      <c r="Y64" s="36">
        <f>MIN(K64:V64)</f>
        <v>-0.69867901580701808</v>
      </c>
      <c r="Z64" s="35">
        <f>QUARTILE(K64:V64,1)</f>
        <v>-0.69867901580701808</v>
      </c>
      <c r="AA64" s="36">
        <f>MEDIAN(K64:V64)</f>
        <v>-0.69867901580701808</v>
      </c>
      <c r="AB64" s="35">
        <f>QUARTILE(K64:V64,3)</f>
        <v>-0.69867901580701808</v>
      </c>
      <c r="AC64" s="35">
        <f>MAX(K64:V64)</f>
        <v>-0.69867901580701808</v>
      </c>
      <c r="AD64" s="35" t="e">
        <f>SKEW(K64:V64)</f>
        <v>#DIV/0!</v>
      </c>
      <c r="AE64" s="35" t="e">
        <f>KURT(K64:V64)</f>
        <v>#DIV/0!</v>
      </c>
    </row>
    <row r="65" spans="2:31" x14ac:dyDescent="0.2">
      <c r="B65" s="34">
        <f>[51]FormattedData!A45</f>
        <v>0</v>
      </c>
      <c r="C65" s="34" t="e">
        <f>VLOOKUP($B65,[51]TrtCodes!$B$11:I88,2)</f>
        <v>#N/A</v>
      </c>
      <c r="D65" s="34" t="e">
        <f>VLOOKUP($B65,[51]TrtCodes!$B$11:J88,3)</f>
        <v>#N/A</v>
      </c>
      <c r="E65" s="34" t="e">
        <f>VLOOKUP($B65,[51]TrtCodes!$B$11:K88,4)</f>
        <v>#N/A</v>
      </c>
      <c r="F65" s="34" t="e">
        <f>VLOOKUP($B65,[51]TrtCodes!$B$11:L88,5)</f>
        <v>#N/A</v>
      </c>
      <c r="G65" s="34" t="e">
        <f>VLOOKUP($B65,[51]TrtCodes!$B$11:M88,6)</f>
        <v>#N/A</v>
      </c>
      <c r="H65" s="34" t="e">
        <f>VLOOKUP($B65,[51]TrtCodes!$B$11:N88,7)</f>
        <v>#N/A</v>
      </c>
      <c r="I65" s="34">
        <f>[51]FormattedData!B45</f>
        <v>0</v>
      </c>
      <c r="J65" s="37">
        <f>[51]FormattedData!C45</f>
        <v>0</v>
      </c>
      <c r="K65" s="39">
        <f>$J$3+[51]FormattedData!D45*$J$4+$M$4*$J$5+[51]FormattedData!D45^2*$J$6+$M$5*$J$7</f>
        <v>-0.69867901580701808</v>
      </c>
      <c r="L65" s="39">
        <f>$J$3+[51]FormattedData!E45*$J$4+$M$4*$J$5+[51]FormattedData!E45^2*$J$6+$M$5*$J$7</f>
        <v>-0.69867901580701808</v>
      </c>
      <c r="M65" s="39">
        <f>$J$3+[51]FormattedData!F45*$J$4+$M$4*$J$5+[51]FormattedData!F45^2*$J$6+$M$5*$J$7</f>
        <v>-0.69867901580701808</v>
      </c>
      <c r="N65" s="39">
        <f>$J$3+[51]FormattedData!G45*$J$4+$M$4*$J$5+[51]FormattedData!G45^2*$J$6+$M$5*$J$7</f>
        <v>-0.69867901580701808</v>
      </c>
      <c r="O65" s="39">
        <f>$J$3+[51]FormattedData!H45*$J$4+$M$4*$J$5+[51]FormattedData!H45^2*$J$6+$M$5*$J$7</f>
        <v>-0.69867901580701808</v>
      </c>
      <c r="P65" s="39">
        <f>$J$3+[51]FormattedData!I45*$J$4+$M$4*$J$5+[51]FormattedData!I45^2*$J$6+$M$5*$J$7</f>
        <v>-0.69867901580701808</v>
      </c>
      <c r="Q65" s="39">
        <f>$J$3+[51]FormattedData!J45*$J$4+$M$4*$J$5+[51]FormattedData!J45^2*$J$6+$M$5*$J$7</f>
        <v>-0.69867901580701808</v>
      </c>
      <c r="R65" s="39">
        <f>$J$3+[51]FormattedData!K45*$J$4+$M$4*$J$5+[51]FormattedData!K45^2*$J$6+$M$5*$J$7</f>
        <v>-0.69867901580701808</v>
      </c>
      <c r="S65" s="39">
        <f>$J$3+[51]FormattedData!L45*$J$4+$M$4*$J$5+[51]FormattedData!L45^2*$J$6+$M$5*$J$7</f>
        <v>-0.69867901580701808</v>
      </c>
      <c r="T65" s="39">
        <f>$J$3+[51]FormattedData!M45*$J$4+$M$4*$J$5+[51]FormattedData!M45^2*$J$6+$M$5*$J$7</f>
        <v>-0.69867901580701808</v>
      </c>
      <c r="U65" s="39">
        <f>$J$3+[51]FormattedData!N45*$J$4+$M$4*$J$5+[51]FormattedData!N45^2*$J$6+$M$5*$J$7</f>
        <v>-0.69867901580701808</v>
      </c>
      <c r="V65" s="39">
        <f>$J$3+[51]FormattedData!O45*$J$4+$M$4*$J$5+[51]FormattedData!O45^2*$J$6+$M$5*$J$7</f>
        <v>-0.69867901580701808</v>
      </c>
      <c r="W65" s="38">
        <f>AVERAGE(K65:V65)</f>
        <v>-0.69867901580701808</v>
      </c>
      <c r="X65" s="37">
        <f>STDEV(K65:V65)/SQRT(COUNT(K65:V65))</f>
        <v>0</v>
      </c>
      <c r="Y65" s="36">
        <f>MIN(K65:V65)</f>
        <v>-0.69867901580701808</v>
      </c>
      <c r="Z65" s="35">
        <f>QUARTILE(K65:V65,1)</f>
        <v>-0.69867901580701808</v>
      </c>
      <c r="AA65" s="36">
        <f>MEDIAN(K65:V65)</f>
        <v>-0.69867901580701808</v>
      </c>
      <c r="AB65" s="35">
        <f>QUARTILE(K65:V65,3)</f>
        <v>-0.69867901580701808</v>
      </c>
      <c r="AC65" s="35">
        <f>MAX(K65:V65)</f>
        <v>-0.69867901580701808</v>
      </c>
      <c r="AD65" s="35" t="e">
        <f>SKEW(K65:V65)</f>
        <v>#DIV/0!</v>
      </c>
      <c r="AE65" s="35" t="e">
        <f>KURT(K65:V65)</f>
        <v>#DIV/0!</v>
      </c>
    </row>
    <row r="66" spans="2:31" x14ac:dyDescent="0.2">
      <c r="B66" s="34">
        <f>[51]FormattedData!A63</f>
        <v>0</v>
      </c>
      <c r="C66" s="34" t="e">
        <f>VLOOKUP($B66,[51]TrtCodes!$B$11:I106,2)</f>
        <v>#N/A</v>
      </c>
      <c r="D66" s="34" t="e">
        <f>VLOOKUP($B66,[51]TrtCodes!$B$11:J106,3)</f>
        <v>#N/A</v>
      </c>
      <c r="E66" s="34" t="e">
        <f>VLOOKUP($B66,[51]TrtCodes!$B$11:K106,4)</f>
        <v>#N/A</v>
      </c>
      <c r="F66" s="34" t="e">
        <f>VLOOKUP($B66,[51]TrtCodes!$B$11:L106,5)</f>
        <v>#N/A</v>
      </c>
      <c r="G66" s="34" t="e">
        <f>VLOOKUP($B66,[51]TrtCodes!$B$11:M106,6)</f>
        <v>#N/A</v>
      </c>
      <c r="H66" s="34" t="e">
        <f>VLOOKUP($B66,[51]TrtCodes!$B$11:N106,7)</f>
        <v>#N/A</v>
      </c>
      <c r="I66" s="34">
        <f>[51]FormattedData!B63</f>
        <v>0</v>
      </c>
      <c r="J66" s="37">
        <f>[51]FormattedData!C63</f>
        <v>0</v>
      </c>
      <c r="K66" s="39">
        <f>$J$3+[51]FormattedData!D63*$J$4+$M$4*$J$5+[51]FormattedData!D63^2*$J$6+$M$5*$J$7</f>
        <v>-0.69867901580701808</v>
      </c>
      <c r="L66" s="39">
        <f>$J$3+[51]FormattedData!E63*$J$4+$M$4*$J$5+[51]FormattedData!E63^2*$J$6+$M$5*$J$7</f>
        <v>-0.69867901580701808</v>
      </c>
      <c r="M66" s="39">
        <f>$J$3+[51]FormattedData!F63*$J$4+$M$4*$J$5+[51]FormattedData!F63^2*$J$6+$M$5*$J$7</f>
        <v>-0.69867901580701808</v>
      </c>
      <c r="N66" s="39">
        <f>$J$3+[51]FormattedData!G63*$J$4+$M$4*$J$5+[51]FormattedData!G63^2*$J$6+$M$5*$J$7</f>
        <v>-0.69867901580701808</v>
      </c>
      <c r="O66" s="39">
        <f>$J$3+[51]FormattedData!H63*$J$4+$M$4*$J$5+[51]FormattedData!H63^2*$J$6+$M$5*$J$7</f>
        <v>-0.69867901580701808</v>
      </c>
      <c r="P66" s="39">
        <f>$J$3+[51]FormattedData!I63*$J$4+$M$4*$J$5+[51]FormattedData!I63^2*$J$6+$M$5*$J$7</f>
        <v>-0.69867901580701808</v>
      </c>
      <c r="Q66" s="39">
        <f>$J$3+[51]FormattedData!J63*$J$4+$M$4*$J$5+[51]FormattedData!J63^2*$J$6+$M$5*$J$7</f>
        <v>-0.69867901580701808</v>
      </c>
      <c r="R66" s="39">
        <f>$J$3+[51]FormattedData!K63*$J$4+$M$4*$J$5+[51]FormattedData!K63^2*$J$6+$M$5*$J$7</f>
        <v>-0.69867901580701808</v>
      </c>
      <c r="S66" s="39">
        <f>$J$3+[51]FormattedData!L63*$J$4+$M$4*$J$5+[51]FormattedData!L63^2*$J$6+$M$5*$J$7</f>
        <v>-0.69867901580701808</v>
      </c>
      <c r="T66" s="39">
        <f>$J$3+[51]FormattedData!M63*$J$4+$M$4*$J$5+[51]FormattedData!M63^2*$J$6+$M$5*$J$7</f>
        <v>-0.69867901580701808</v>
      </c>
      <c r="U66" s="39">
        <f>$J$3+[51]FormattedData!N63*$J$4+$M$4*$J$5+[51]FormattedData!N63^2*$J$6+$M$5*$J$7</f>
        <v>-0.69867901580701808</v>
      </c>
      <c r="V66" s="39">
        <f>$J$3+[51]FormattedData!O63*$J$4+$M$4*$J$5+[51]FormattedData!O63^2*$J$6+$M$5*$J$7</f>
        <v>-0.69867901580701808</v>
      </c>
      <c r="W66" s="38">
        <f>AVERAGE(K66:V66)</f>
        <v>-0.69867901580701808</v>
      </c>
      <c r="X66" s="37">
        <f>STDEV(K66:V66)/SQRT(COUNT(K66:V66))</f>
        <v>0</v>
      </c>
      <c r="Y66" s="36">
        <f>MIN(K66:V66)</f>
        <v>-0.69867901580701808</v>
      </c>
      <c r="Z66" s="35">
        <f>QUARTILE(K66:V66,1)</f>
        <v>-0.69867901580701808</v>
      </c>
      <c r="AA66" s="36">
        <f>MEDIAN(K66:V66)</f>
        <v>-0.69867901580701808</v>
      </c>
      <c r="AB66" s="35">
        <f>QUARTILE(K66:V66,3)</f>
        <v>-0.69867901580701808</v>
      </c>
      <c r="AC66" s="35">
        <f>MAX(K66:V66)</f>
        <v>-0.69867901580701808</v>
      </c>
      <c r="AD66" s="35" t="e">
        <f>SKEW(K66:V66)</f>
        <v>#DIV/0!</v>
      </c>
      <c r="AE66" s="35" t="e">
        <f>KURT(K66:V66)</f>
        <v>#DIV/0!</v>
      </c>
    </row>
    <row r="67" spans="2:31" x14ac:dyDescent="0.2">
      <c r="B67" s="34">
        <f>[51]FormattedData!A65</f>
        <v>0</v>
      </c>
      <c r="C67" s="34" t="e">
        <f>VLOOKUP($B67,[51]TrtCodes!$B$11:I108,2)</f>
        <v>#N/A</v>
      </c>
      <c r="D67" s="34" t="e">
        <f>VLOOKUP($B67,[51]TrtCodes!$B$11:J108,3)</f>
        <v>#N/A</v>
      </c>
      <c r="E67" s="34" t="e">
        <f>VLOOKUP($B67,[51]TrtCodes!$B$11:K108,4)</f>
        <v>#N/A</v>
      </c>
      <c r="F67" s="34" t="e">
        <f>VLOOKUP($B67,[51]TrtCodes!$B$11:L108,5)</f>
        <v>#N/A</v>
      </c>
      <c r="G67" s="34" t="e">
        <f>VLOOKUP($B67,[51]TrtCodes!$B$11:M108,6)</f>
        <v>#N/A</v>
      </c>
      <c r="H67" s="34" t="e">
        <f>VLOOKUP($B67,[51]TrtCodes!$B$11:N108,7)</f>
        <v>#N/A</v>
      </c>
      <c r="I67" s="34">
        <f>[51]FormattedData!B65</f>
        <v>0</v>
      </c>
      <c r="J67" s="37">
        <f>[51]FormattedData!C65</f>
        <v>0</v>
      </c>
      <c r="K67" s="39">
        <f>$J$3+[51]FormattedData!D65*$J$4+$M$4*$J$5+[51]FormattedData!D65^2*$J$6+$M$5*$J$7</f>
        <v>-0.69867901580701808</v>
      </c>
      <c r="L67" s="39">
        <f>$J$3+[51]FormattedData!E65*$J$4+$M$4*$J$5+[51]FormattedData!E65^2*$J$6+$M$5*$J$7</f>
        <v>-0.69867901580701808</v>
      </c>
      <c r="M67" s="39">
        <f>$J$3+[51]FormattedData!F65*$J$4+$M$4*$J$5+[51]FormattedData!F65^2*$J$6+$M$5*$J$7</f>
        <v>-0.69867901580701808</v>
      </c>
      <c r="N67" s="39">
        <f>$J$3+[51]FormattedData!G65*$J$4+$M$4*$J$5+[51]FormattedData!G65^2*$J$6+$M$5*$J$7</f>
        <v>-0.69867901580701808</v>
      </c>
      <c r="O67" s="39">
        <f>$J$3+[51]FormattedData!H65*$J$4+$M$4*$J$5+[51]FormattedData!H65^2*$J$6+$M$5*$J$7</f>
        <v>-0.69867901580701808</v>
      </c>
      <c r="P67" s="39">
        <f>$J$3+[51]FormattedData!I65*$J$4+$M$4*$J$5+[51]FormattedData!I65^2*$J$6+$M$5*$J$7</f>
        <v>-0.69867901580701808</v>
      </c>
      <c r="Q67" s="39">
        <f>$J$3+[51]FormattedData!J65*$J$4+$M$4*$J$5+[51]FormattedData!J65^2*$J$6+$M$5*$J$7</f>
        <v>-0.69867901580701808</v>
      </c>
      <c r="R67" s="39">
        <f>$J$3+[51]FormattedData!K65*$J$4+$M$4*$J$5+[51]FormattedData!K65^2*$J$6+$M$5*$J$7</f>
        <v>-0.69867901580701808</v>
      </c>
      <c r="S67" s="39">
        <f>$J$3+[51]FormattedData!L65*$J$4+$M$4*$J$5+[51]FormattedData!L65^2*$J$6+$M$5*$J$7</f>
        <v>-0.69867901580701808</v>
      </c>
      <c r="T67" s="39">
        <f>$J$3+[51]FormattedData!M65*$J$4+$M$4*$J$5+[51]FormattedData!M65^2*$J$6+$M$5*$J$7</f>
        <v>-0.69867901580701808</v>
      </c>
      <c r="U67" s="39">
        <f>$J$3+[51]FormattedData!N65*$J$4+$M$4*$J$5+[51]FormattedData!N65^2*$J$6+$M$5*$J$7</f>
        <v>-0.69867901580701808</v>
      </c>
      <c r="V67" s="39">
        <f>$J$3+[51]FormattedData!O65*$J$4+$M$4*$J$5+[51]FormattedData!O65^2*$J$6+$M$5*$J$7</f>
        <v>-0.69867901580701808</v>
      </c>
      <c r="W67" s="38">
        <f>AVERAGE(K67:V67)</f>
        <v>-0.69867901580701808</v>
      </c>
      <c r="X67" s="37">
        <f>STDEV(K67:V67)/SQRT(COUNT(K67:V67))</f>
        <v>0</v>
      </c>
      <c r="Y67" s="36">
        <f>MIN(K67:V67)</f>
        <v>-0.69867901580701808</v>
      </c>
      <c r="Z67" s="35">
        <f>QUARTILE(K67:V67,1)</f>
        <v>-0.69867901580701808</v>
      </c>
      <c r="AA67" s="36">
        <f>MEDIAN(K67:V67)</f>
        <v>-0.69867901580701808</v>
      </c>
      <c r="AB67" s="35">
        <f>QUARTILE(K67:V67,3)</f>
        <v>-0.69867901580701808</v>
      </c>
      <c r="AC67" s="35">
        <f>MAX(K67:V67)</f>
        <v>-0.69867901580701808</v>
      </c>
      <c r="AD67" s="35" t="e">
        <f>SKEW(K67:V67)</f>
        <v>#DIV/0!</v>
      </c>
      <c r="AE67" s="35" t="e">
        <f>KURT(K67:V67)</f>
        <v>#DIV/0!</v>
      </c>
    </row>
    <row r="68" spans="2:31" x14ac:dyDescent="0.2">
      <c r="B68" s="34">
        <f>[51]FormattedData!A67</f>
        <v>0</v>
      </c>
      <c r="C68" s="34" t="e">
        <f>VLOOKUP($B68,[51]TrtCodes!$B$11:I110,2)</f>
        <v>#N/A</v>
      </c>
      <c r="D68" s="34" t="e">
        <f>VLOOKUP($B68,[51]TrtCodes!$B$11:J110,3)</f>
        <v>#N/A</v>
      </c>
      <c r="E68" s="34" t="e">
        <f>VLOOKUP($B68,[51]TrtCodes!$B$11:K110,4)</f>
        <v>#N/A</v>
      </c>
      <c r="F68" s="34" t="e">
        <f>VLOOKUP($B68,[51]TrtCodes!$B$11:L110,5)</f>
        <v>#N/A</v>
      </c>
      <c r="G68" s="34" t="e">
        <f>VLOOKUP($B68,[51]TrtCodes!$B$11:M110,6)</f>
        <v>#N/A</v>
      </c>
      <c r="H68" s="34" t="e">
        <f>VLOOKUP($B68,[51]TrtCodes!$B$11:N110,7)</f>
        <v>#N/A</v>
      </c>
      <c r="I68" s="34">
        <f>[51]FormattedData!B67</f>
        <v>0</v>
      </c>
      <c r="J68" s="37">
        <f>[51]FormattedData!C67</f>
        <v>0</v>
      </c>
      <c r="K68" s="39">
        <f>$J$3+[51]FormattedData!D67*$J$4+$M$4*$J$5+[51]FormattedData!D67^2*$J$6+$M$5*$J$7</f>
        <v>-0.69867901580701808</v>
      </c>
      <c r="L68" s="39">
        <f>$J$3+[51]FormattedData!E67*$J$4+$M$4*$J$5+[51]FormattedData!E67^2*$J$6+$M$5*$J$7</f>
        <v>-0.69867901580701808</v>
      </c>
      <c r="M68" s="39">
        <f>$J$3+[51]FormattedData!F67*$J$4+$M$4*$J$5+[51]FormattedData!F67^2*$J$6+$M$5*$J$7</f>
        <v>-0.69867901580701808</v>
      </c>
      <c r="N68" s="39">
        <f>$J$3+[51]FormattedData!G67*$J$4+$M$4*$J$5+[51]FormattedData!G67^2*$J$6+$M$5*$J$7</f>
        <v>-0.69867901580701808</v>
      </c>
      <c r="O68" s="39">
        <f>$J$3+[51]FormattedData!H67*$J$4+$M$4*$J$5+[51]FormattedData!H67^2*$J$6+$M$5*$J$7</f>
        <v>-0.69867901580701808</v>
      </c>
      <c r="P68" s="39">
        <f>$J$3+[51]FormattedData!I67*$J$4+$M$4*$J$5+[51]FormattedData!I67^2*$J$6+$M$5*$J$7</f>
        <v>-0.69867901580701808</v>
      </c>
      <c r="Q68" s="39">
        <f>$J$3+[51]FormattedData!J67*$J$4+$M$4*$J$5+[51]FormattedData!J67^2*$J$6+$M$5*$J$7</f>
        <v>-0.69867901580701808</v>
      </c>
      <c r="R68" s="39">
        <f>$J$3+[51]FormattedData!K67*$J$4+$M$4*$J$5+[51]FormattedData!K67^2*$J$6+$M$5*$J$7</f>
        <v>-0.69867901580701808</v>
      </c>
      <c r="S68" s="39">
        <f>$J$3+[51]FormattedData!L67*$J$4+$M$4*$J$5+[51]FormattedData!L67^2*$J$6+$M$5*$J$7</f>
        <v>-0.69867901580701808</v>
      </c>
      <c r="T68" s="39">
        <f>$J$3+[51]FormattedData!M67*$J$4+$M$4*$J$5+[51]FormattedData!M67^2*$J$6+$M$5*$J$7</f>
        <v>-0.69867901580701808</v>
      </c>
      <c r="U68" s="39">
        <f>$J$3+[51]FormattedData!N67*$J$4+$M$4*$J$5+[51]FormattedData!N67^2*$J$6+$M$5*$J$7</f>
        <v>-0.69867901580701808</v>
      </c>
      <c r="V68" s="39">
        <f>$J$3+[51]FormattedData!O67*$J$4+$M$4*$J$5+[51]FormattedData!O67^2*$J$6+$M$5*$J$7</f>
        <v>-0.69867901580701808</v>
      </c>
      <c r="W68" s="38">
        <f>AVERAGE(K68:V68)</f>
        <v>-0.69867901580701808</v>
      </c>
      <c r="X68" s="37">
        <f>STDEV(K68:V68)/SQRT(COUNT(K68:V68))</f>
        <v>0</v>
      </c>
      <c r="Y68" s="36">
        <f>MIN(K68:V68)</f>
        <v>-0.69867901580701808</v>
      </c>
      <c r="Z68" s="35">
        <f>QUARTILE(K68:V68,1)</f>
        <v>-0.69867901580701808</v>
      </c>
      <c r="AA68" s="36">
        <f>MEDIAN(K68:V68)</f>
        <v>-0.69867901580701808</v>
      </c>
      <c r="AB68" s="35">
        <f>QUARTILE(K68:V68,3)</f>
        <v>-0.69867901580701808</v>
      </c>
      <c r="AC68" s="35">
        <f>MAX(K68:V68)</f>
        <v>-0.69867901580701808</v>
      </c>
      <c r="AD68" s="35" t="e">
        <f>SKEW(K68:V68)</f>
        <v>#DIV/0!</v>
      </c>
      <c r="AE68" s="35" t="e">
        <f>KURT(K68:V68)</f>
        <v>#DIV/0!</v>
      </c>
    </row>
    <row r="69" spans="2:31" x14ac:dyDescent="0.2">
      <c r="B69" s="34">
        <f>[51]FormattedData!A69</f>
        <v>0</v>
      </c>
      <c r="C69" s="34" t="e">
        <f>VLOOKUP($B69,[51]TrtCodes!$B$11:I112,2)</f>
        <v>#N/A</v>
      </c>
      <c r="D69" s="34" t="e">
        <f>VLOOKUP($B69,[51]TrtCodes!$B$11:J112,3)</f>
        <v>#N/A</v>
      </c>
      <c r="E69" s="34" t="e">
        <f>VLOOKUP($B69,[51]TrtCodes!$B$11:K112,4)</f>
        <v>#N/A</v>
      </c>
      <c r="F69" s="34" t="e">
        <f>VLOOKUP($B69,[51]TrtCodes!$B$11:L112,5)</f>
        <v>#N/A</v>
      </c>
      <c r="G69" s="34" t="e">
        <f>VLOOKUP($B69,[51]TrtCodes!$B$11:M112,6)</f>
        <v>#N/A</v>
      </c>
      <c r="H69" s="34" t="e">
        <f>VLOOKUP($B69,[51]TrtCodes!$B$11:N112,7)</f>
        <v>#N/A</v>
      </c>
      <c r="I69" s="34">
        <f>[51]FormattedData!B69</f>
        <v>0</v>
      </c>
      <c r="J69" s="37">
        <f>[51]FormattedData!C69</f>
        <v>0</v>
      </c>
      <c r="K69" s="39">
        <f>$J$3+[51]FormattedData!D69*$J$4+$M$4*$J$5+[51]FormattedData!D69^2*$J$6+$M$5*$J$7</f>
        <v>-0.69867901580701808</v>
      </c>
      <c r="L69" s="39">
        <f>$J$3+[51]FormattedData!E69*$J$4+$M$4*$J$5+[51]FormattedData!E69^2*$J$6+$M$5*$J$7</f>
        <v>-0.69867901580701808</v>
      </c>
      <c r="M69" s="39">
        <f>$J$3+[51]FormattedData!F69*$J$4+$M$4*$J$5+[51]FormattedData!F69^2*$J$6+$M$5*$J$7</f>
        <v>-0.69867901580701808</v>
      </c>
      <c r="N69" s="39">
        <f>$J$3+[51]FormattedData!G69*$J$4+$M$4*$J$5+[51]FormattedData!G69^2*$J$6+$M$5*$J$7</f>
        <v>-0.69867901580701808</v>
      </c>
      <c r="O69" s="39">
        <f>$J$3+[51]FormattedData!H69*$J$4+$M$4*$J$5+[51]FormattedData!H69^2*$J$6+$M$5*$J$7</f>
        <v>-0.69867901580701808</v>
      </c>
      <c r="P69" s="39">
        <f>$J$3+[51]FormattedData!I69*$J$4+$M$4*$J$5+[51]FormattedData!I69^2*$J$6+$M$5*$J$7</f>
        <v>-0.69867901580701808</v>
      </c>
      <c r="Q69" s="39">
        <f>$J$3+[51]FormattedData!J69*$J$4+$M$4*$J$5+[51]FormattedData!J69^2*$J$6+$M$5*$J$7</f>
        <v>-0.69867901580701808</v>
      </c>
      <c r="R69" s="39">
        <f>$J$3+[51]FormattedData!K69*$J$4+$M$4*$J$5+[51]FormattedData!K69^2*$J$6+$M$5*$J$7</f>
        <v>-0.69867901580701808</v>
      </c>
      <c r="S69" s="39">
        <f>$J$3+[51]FormattedData!L69*$J$4+$M$4*$J$5+[51]FormattedData!L69^2*$J$6+$M$5*$J$7</f>
        <v>-0.69867901580701808</v>
      </c>
      <c r="T69" s="39">
        <f>$J$3+[51]FormattedData!M69*$J$4+$M$4*$J$5+[51]FormattedData!M69^2*$J$6+$M$5*$J$7</f>
        <v>-0.69867901580701808</v>
      </c>
      <c r="U69" s="39">
        <f>$J$3+[51]FormattedData!N69*$J$4+$M$4*$J$5+[51]FormattedData!N69^2*$J$6+$M$5*$J$7</f>
        <v>-0.69867901580701808</v>
      </c>
      <c r="V69" s="39">
        <f>$J$3+[51]FormattedData!O69*$J$4+$M$4*$J$5+[51]FormattedData!O69^2*$J$6+$M$5*$J$7</f>
        <v>-0.69867901580701808</v>
      </c>
      <c r="W69" s="38">
        <f>AVERAGE(K69:V69)</f>
        <v>-0.69867901580701808</v>
      </c>
      <c r="X69" s="37">
        <f>STDEV(K69:V69)/SQRT(COUNT(K69:V69))</f>
        <v>0</v>
      </c>
      <c r="Y69" s="36">
        <f>MIN(K69:V69)</f>
        <v>-0.69867901580701808</v>
      </c>
      <c r="Z69" s="35">
        <f>QUARTILE(K69:V69,1)</f>
        <v>-0.69867901580701808</v>
      </c>
      <c r="AA69" s="36">
        <f>MEDIAN(K69:V69)</f>
        <v>-0.69867901580701808</v>
      </c>
      <c r="AB69" s="35">
        <f>QUARTILE(K69:V69,3)</f>
        <v>-0.69867901580701808</v>
      </c>
      <c r="AC69" s="35">
        <f>MAX(K69:V69)</f>
        <v>-0.69867901580701808</v>
      </c>
      <c r="AD69" s="35" t="e">
        <f>SKEW(K69:V69)</f>
        <v>#DIV/0!</v>
      </c>
      <c r="AE69" s="35" t="e">
        <f>KURT(K69:V69)</f>
        <v>#DIV/0!</v>
      </c>
    </row>
    <row r="70" spans="2:31" x14ac:dyDescent="0.2">
      <c r="B70" s="34">
        <f>[51]FormattedData!A71</f>
        <v>0</v>
      </c>
      <c r="C70" s="34" t="e">
        <f>VLOOKUP($B70,[51]TrtCodes!$B$11:I114,2)</f>
        <v>#N/A</v>
      </c>
      <c r="D70" s="34" t="e">
        <f>VLOOKUP($B70,[51]TrtCodes!$B$11:J114,3)</f>
        <v>#N/A</v>
      </c>
      <c r="E70" s="34" t="e">
        <f>VLOOKUP($B70,[51]TrtCodes!$B$11:K114,4)</f>
        <v>#N/A</v>
      </c>
      <c r="F70" s="34" t="e">
        <f>VLOOKUP($B70,[51]TrtCodes!$B$11:L114,5)</f>
        <v>#N/A</v>
      </c>
      <c r="G70" s="34" t="e">
        <f>VLOOKUP($B70,[51]TrtCodes!$B$11:M114,6)</f>
        <v>#N/A</v>
      </c>
      <c r="H70" s="34" t="e">
        <f>VLOOKUP($B70,[51]TrtCodes!$B$11:N114,7)</f>
        <v>#N/A</v>
      </c>
      <c r="I70" s="34">
        <f>[51]FormattedData!B71</f>
        <v>0</v>
      </c>
      <c r="J70" s="37">
        <f>[51]FormattedData!C71</f>
        <v>0</v>
      </c>
      <c r="K70" s="39">
        <f>$J$3+[51]FormattedData!D71*$J$4+$M$4*$J$5+[51]FormattedData!D71^2*$J$6+$M$5*$J$7</f>
        <v>-0.69867901580701808</v>
      </c>
      <c r="L70" s="39">
        <f>$J$3+[51]FormattedData!E71*$J$4+$M$4*$J$5+[51]FormattedData!E71^2*$J$6+$M$5*$J$7</f>
        <v>-0.69867901580701808</v>
      </c>
      <c r="M70" s="39">
        <f>$J$3+[51]FormattedData!F71*$J$4+$M$4*$J$5+[51]FormattedData!F71^2*$J$6+$M$5*$J$7</f>
        <v>-0.69867901580701808</v>
      </c>
      <c r="N70" s="39">
        <f>$J$3+[51]FormattedData!G71*$J$4+$M$4*$J$5+[51]FormattedData!G71^2*$J$6+$M$5*$J$7</f>
        <v>-0.69867901580701808</v>
      </c>
      <c r="O70" s="39">
        <f>$J$3+[51]FormattedData!H71*$J$4+$M$4*$J$5+[51]FormattedData!H71^2*$J$6+$M$5*$J$7</f>
        <v>-0.69867901580701808</v>
      </c>
      <c r="P70" s="39">
        <f>$J$3+[51]FormattedData!I71*$J$4+$M$4*$J$5+[51]FormattedData!I71^2*$J$6+$M$5*$J$7</f>
        <v>-0.69867901580701808</v>
      </c>
      <c r="Q70" s="39">
        <f>$J$3+[51]FormattedData!J71*$J$4+$M$4*$J$5+[51]FormattedData!J71^2*$J$6+$M$5*$J$7</f>
        <v>-0.69867901580701808</v>
      </c>
      <c r="R70" s="39">
        <f>$J$3+[51]FormattedData!K71*$J$4+$M$4*$J$5+[51]FormattedData!K71^2*$J$6+$M$5*$J$7</f>
        <v>-0.69867901580701808</v>
      </c>
      <c r="S70" s="39">
        <f>$J$3+[51]FormattedData!L71*$J$4+$M$4*$J$5+[51]FormattedData!L71^2*$J$6+$M$5*$J$7</f>
        <v>-0.69867901580701808</v>
      </c>
      <c r="T70" s="39">
        <f>$J$3+[51]FormattedData!M71*$J$4+$M$4*$J$5+[51]FormattedData!M71^2*$J$6+$M$5*$J$7</f>
        <v>-0.69867901580701808</v>
      </c>
      <c r="U70" s="39">
        <f>$J$3+[51]FormattedData!N71*$J$4+$M$4*$J$5+[51]FormattedData!N71^2*$J$6+$M$5*$J$7</f>
        <v>-0.69867901580701808</v>
      </c>
      <c r="V70" s="39">
        <f>$J$3+[51]FormattedData!O71*$J$4+$M$4*$J$5+[51]FormattedData!O71^2*$J$6+$M$5*$J$7</f>
        <v>-0.69867901580701808</v>
      </c>
      <c r="W70" s="38">
        <f>AVERAGE(K70:V70)</f>
        <v>-0.69867901580701808</v>
      </c>
      <c r="X70" s="37">
        <f>STDEV(K70:V70)/SQRT(COUNT(K70:V70))</f>
        <v>0</v>
      </c>
      <c r="Y70" s="36">
        <f>MIN(K70:V70)</f>
        <v>-0.69867901580701808</v>
      </c>
      <c r="Z70" s="35">
        <f>QUARTILE(K70:V70,1)</f>
        <v>-0.69867901580701808</v>
      </c>
      <c r="AA70" s="36">
        <f>MEDIAN(K70:V70)</f>
        <v>-0.69867901580701808</v>
      </c>
      <c r="AB70" s="35">
        <f>QUARTILE(K70:V70,3)</f>
        <v>-0.69867901580701808</v>
      </c>
      <c r="AC70" s="35">
        <f>MAX(K70:V70)</f>
        <v>-0.69867901580701808</v>
      </c>
      <c r="AD70" s="35" t="e">
        <f>SKEW(K70:V70)</f>
        <v>#DIV/0!</v>
      </c>
      <c r="AE70" s="35" t="e">
        <f>KURT(K70:V70)</f>
        <v>#DIV/0!</v>
      </c>
    </row>
    <row r="71" spans="2:31" x14ac:dyDescent="0.2">
      <c r="B71" s="34">
        <f>[51]FormattedData!A73</f>
        <v>0</v>
      </c>
      <c r="C71" s="34" t="e">
        <f>VLOOKUP($B71,[51]TrtCodes!$B$11:I116,2)</f>
        <v>#N/A</v>
      </c>
      <c r="D71" s="34" t="e">
        <f>VLOOKUP($B71,[51]TrtCodes!$B$11:J116,3)</f>
        <v>#N/A</v>
      </c>
      <c r="E71" s="34" t="e">
        <f>VLOOKUP($B71,[51]TrtCodes!$B$11:K116,4)</f>
        <v>#N/A</v>
      </c>
      <c r="F71" s="34" t="e">
        <f>VLOOKUP($B71,[51]TrtCodes!$B$11:L116,5)</f>
        <v>#N/A</v>
      </c>
      <c r="G71" s="34" t="e">
        <f>VLOOKUP($B71,[51]TrtCodes!$B$11:M116,6)</f>
        <v>#N/A</v>
      </c>
      <c r="H71" s="34" t="e">
        <f>VLOOKUP($B71,[51]TrtCodes!$B$11:N116,7)</f>
        <v>#N/A</v>
      </c>
      <c r="I71" s="34">
        <f>[51]FormattedData!B73</f>
        <v>0</v>
      </c>
      <c r="J71" s="37">
        <f>[51]FormattedData!C73</f>
        <v>0</v>
      </c>
      <c r="K71" s="39">
        <f>$J$3+[51]FormattedData!D73*$J$4+$M$4*$J$5+[51]FormattedData!D73^2*$J$6+$M$5*$J$7</f>
        <v>-0.69867901580701808</v>
      </c>
      <c r="L71" s="39">
        <f>$J$3+[51]FormattedData!E73*$J$4+$M$4*$J$5+[51]FormattedData!E73^2*$J$6+$M$5*$J$7</f>
        <v>-0.69867901580701808</v>
      </c>
      <c r="M71" s="39">
        <f>$J$3+[51]FormattedData!F73*$J$4+$M$4*$J$5+[51]FormattedData!F73^2*$J$6+$M$5*$J$7</f>
        <v>-0.69867901580701808</v>
      </c>
      <c r="N71" s="39">
        <f>$J$3+[51]FormattedData!G73*$J$4+$M$4*$J$5+[51]FormattedData!G73^2*$J$6+$M$5*$J$7</f>
        <v>-0.69867901580701808</v>
      </c>
      <c r="O71" s="39">
        <f>$J$3+[51]FormattedData!H73*$J$4+$M$4*$J$5+[51]FormattedData!H73^2*$J$6+$M$5*$J$7</f>
        <v>-0.69867901580701808</v>
      </c>
      <c r="P71" s="39">
        <f>$J$3+[51]FormattedData!I73*$J$4+$M$4*$J$5+[51]FormattedData!I73^2*$J$6+$M$5*$J$7</f>
        <v>-0.69867901580701808</v>
      </c>
      <c r="Q71" s="39">
        <f>$J$3+[51]FormattedData!J73*$J$4+$M$4*$J$5+[51]FormattedData!J73^2*$J$6+$M$5*$J$7</f>
        <v>-0.69867901580701808</v>
      </c>
      <c r="R71" s="39">
        <f>$J$3+[51]FormattedData!K73*$J$4+$M$4*$J$5+[51]FormattedData!K73^2*$J$6+$M$5*$J$7</f>
        <v>-0.69867901580701808</v>
      </c>
      <c r="S71" s="39">
        <f>$J$3+[51]FormattedData!L73*$J$4+$M$4*$J$5+[51]FormattedData!L73^2*$J$6+$M$5*$J$7</f>
        <v>-0.69867901580701808</v>
      </c>
      <c r="T71" s="39">
        <f>$J$3+[51]FormattedData!M73*$J$4+$M$4*$J$5+[51]FormattedData!M73^2*$J$6+$M$5*$J$7</f>
        <v>-0.69867901580701808</v>
      </c>
      <c r="U71" s="39">
        <f>$J$3+[51]FormattedData!N73*$J$4+$M$4*$J$5+[51]FormattedData!N73^2*$J$6+$M$5*$J$7</f>
        <v>-0.69867901580701808</v>
      </c>
      <c r="V71" s="39">
        <f>$J$3+[51]FormattedData!O73*$J$4+$M$4*$J$5+[51]FormattedData!O73^2*$J$6+$M$5*$J$7</f>
        <v>-0.69867901580701808</v>
      </c>
      <c r="W71" s="38">
        <f>AVERAGE(K71:V71)</f>
        <v>-0.69867901580701808</v>
      </c>
      <c r="X71" s="37">
        <f>STDEV(K71:V71)/SQRT(COUNT(K71:V71))</f>
        <v>0</v>
      </c>
      <c r="Y71" s="36">
        <f>MIN(K71:V71)</f>
        <v>-0.69867901580701808</v>
      </c>
      <c r="Z71" s="35">
        <f>QUARTILE(K71:V71,1)</f>
        <v>-0.69867901580701808</v>
      </c>
      <c r="AA71" s="36">
        <f>MEDIAN(K71:V71)</f>
        <v>-0.69867901580701808</v>
      </c>
      <c r="AB71" s="35">
        <f>QUARTILE(K71:V71,3)</f>
        <v>-0.69867901580701808</v>
      </c>
      <c r="AC71" s="35">
        <f>MAX(K71:V71)</f>
        <v>-0.69867901580701808</v>
      </c>
      <c r="AD71" s="35" t="e">
        <f>SKEW(K71:V71)</f>
        <v>#DIV/0!</v>
      </c>
      <c r="AE71" s="35" t="e">
        <f>KURT(K71:V71)</f>
        <v>#DIV/0!</v>
      </c>
    </row>
    <row r="72" spans="2:31" x14ac:dyDescent="0.2">
      <c r="B72" s="34">
        <f>[51]FormattedData!A75</f>
        <v>0</v>
      </c>
      <c r="C72" s="34" t="e">
        <f>VLOOKUP($B72,[51]TrtCodes!$B$11:I118,2)</f>
        <v>#N/A</v>
      </c>
      <c r="D72" s="34" t="e">
        <f>VLOOKUP($B72,[51]TrtCodes!$B$11:J118,3)</f>
        <v>#N/A</v>
      </c>
      <c r="E72" s="34" t="e">
        <f>VLOOKUP($B72,[51]TrtCodes!$B$11:K118,4)</f>
        <v>#N/A</v>
      </c>
      <c r="F72" s="34" t="e">
        <f>VLOOKUP($B72,[51]TrtCodes!$B$11:L118,5)</f>
        <v>#N/A</v>
      </c>
      <c r="G72" s="34" t="e">
        <f>VLOOKUP($B72,[51]TrtCodes!$B$11:M118,6)</f>
        <v>#N/A</v>
      </c>
      <c r="H72" s="34" t="e">
        <f>VLOOKUP($B72,[51]TrtCodes!$B$11:N118,7)</f>
        <v>#N/A</v>
      </c>
      <c r="I72" s="34">
        <f>[51]FormattedData!B75</f>
        <v>0</v>
      </c>
      <c r="J72" s="37">
        <f>[51]FormattedData!C75</f>
        <v>0</v>
      </c>
      <c r="K72" s="39">
        <f>$J$3+[51]FormattedData!D75*$J$4+$M$4*$J$5+[51]FormattedData!D75^2*$J$6+$M$5*$J$7</f>
        <v>-0.69867901580701808</v>
      </c>
      <c r="L72" s="39">
        <f>$J$3+[51]FormattedData!E75*$J$4+$M$4*$J$5+[51]FormattedData!E75^2*$J$6+$M$5*$J$7</f>
        <v>-0.69867901580701808</v>
      </c>
      <c r="M72" s="39">
        <f>$J$3+[51]FormattedData!F75*$J$4+$M$4*$J$5+[51]FormattedData!F75^2*$J$6+$M$5*$J$7</f>
        <v>-0.69867901580701808</v>
      </c>
      <c r="N72" s="39">
        <f>$J$3+[51]FormattedData!G75*$J$4+$M$4*$J$5+[51]FormattedData!G75^2*$J$6+$M$5*$J$7</f>
        <v>-0.69867901580701808</v>
      </c>
      <c r="O72" s="39">
        <f>$J$3+[51]FormattedData!H75*$J$4+$M$4*$J$5+[51]FormattedData!H75^2*$J$6+$M$5*$J$7</f>
        <v>-0.69867901580701808</v>
      </c>
      <c r="P72" s="39">
        <f>$J$3+[51]FormattedData!I75*$J$4+$M$4*$J$5+[51]FormattedData!I75^2*$J$6+$M$5*$J$7</f>
        <v>-0.69867901580701808</v>
      </c>
      <c r="Q72" s="39">
        <f>$J$3+[51]FormattedData!J75*$J$4+$M$4*$J$5+[51]FormattedData!J75^2*$J$6+$M$5*$J$7</f>
        <v>-0.69867901580701808</v>
      </c>
      <c r="R72" s="39">
        <f>$J$3+[51]FormattedData!K75*$J$4+$M$4*$J$5+[51]FormattedData!K75^2*$J$6+$M$5*$J$7</f>
        <v>-0.69867901580701808</v>
      </c>
      <c r="S72" s="39">
        <f>$J$3+[51]FormattedData!L75*$J$4+$M$4*$J$5+[51]FormattedData!L75^2*$J$6+$M$5*$J$7</f>
        <v>-0.69867901580701808</v>
      </c>
      <c r="T72" s="39">
        <f>$J$3+[51]FormattedData!M75*$J$4+$M$4*$J$5+[51]FormattedData!M75^2*$J$6+$M$5*$J$7</f>
        <v>-0.69867901580701808</v>
      </c>
      <c r="U72" s="39">
        <f>$J$3+[51]FormattedData!N75*$J$4+$M$4*$J$5+[51]FormattedData!N75^2*$J$6+$M$5*$J$7</f>
        <v>-0.69867901580701808</v>
      </c>
      <c r="V72" s="39">
        <f>$J$3+[51]FormattedData!O75*$J$4+$M$4*$J$5+[51]FormattedData!O75^2*$J$6+$M$5*$J$7</f>
        <v>-0.69867901580701808</v>
      </c>
      <c r="W72" s="38">
        <f>AVERAGE(K72:V72)</f>
        <v>-0.69867901580701808</v>
      </c>
      <c r="X72" s="37">
        <f>STDEV(K72:V72)/SQRT(COUNT(K72:V72))</f>
        <v>0</v>
      </c>
      <c r="Y72" s="36">
        <f>MIN(K72:V72)</f>
        <v>-0.69867901580701808</v>
      </c>
      <c r="Z72" s="35">
        <f>QUARTILE(K72:V72,1)</f>
        <v>-0.69867901580701808</v>
      </c>
      <c r="AA72" s="36">
        <f>MEDIAN(K72:V72)</f>
        <v>-0.69867901580701808</v>
      </c>
      <c r="AB72" s="35">
        <f>QUARTILE(K72:V72,3)</f>
        <v>-0.69867901580701808</v>
      </c>
      <c r="AC72" s="35">
        <f>MAX(K72:V72)</f>
        <v>-0.69867901580701808</v>
      </c>
      <c r="AD72" s="35" t="e">
        <f>SKEW(K72:V72)</f>
        <v>#DIV/0!</v>
      </c>
      <c r="AE72" s="35" t="e">
        <f>KURT(K72:V72)</f>
        <v>#DIV/0!</v>
      </c>
    </row>
    <row r="73" spans="2:31" x14ac:dyDescent="0.2">
      <c r="B73" s="34">
        <f>[51]FormattedData!A77</f>
        <v>0</v>
      </c>
      <c r="C73" s="34" t="e">
        <f>VLOOKUP($B73,[51]TrtCodes!$B$11:I120,2)</f>
        <v>#N/A</v>
      </c>
      <c r="D73" s="34" t="e">
        <f>VLOOKUP($B73,[51]TrtCodes!$B$11:J120,3)</f>
        <v>#N/A</v>
      </c>
      <c r="E73" s="34" t="e">
        <f>VLOOKUP($B73,[51]TrtCodes!$B$11:K120,4)</f>
        <v>#N/A</v>
      </c>
      <c r="F73" s="34" t="e">
        <f>VLOOKUP($B73,[51]TrtCodes!$B$11:L120,5)</f>
        <v>#N/A</v>
      </c>
      <c r="G73" s="34" t="e">
        <f>VLOOKUP($B73,[51]TrtCodes!$B$11:M120,6)</f>
        <v>#N/A</v>
      </c>
      <c r="H73" s="34" t="e">
        <f>VLOOKUP($B73,[51]TrtCodes!$B$11:N120,7)</f>
        <v>#N/A</v>
      </c>
      <c r="I73" s="34">
        <f>[51]FormattedData!B77</f>
        <v>0</v>
      </c>
      <c r="J73" s="37">
        <f>[51]FormattedData!C77</f>
        <v>0</v>
      </c>
      <c r="K73" s="39">
        <f>$J$3+[51]FormattedData!D77*$J$4+$M$4*$J$5+[51]FormattedData!D77^2*$J$6+$M$5*$J$7</f>
        <v>-0.69867901580701808</v>
      </c>
      <c r="L73" s="39">
        <f>$J$3+[51]FormattedData!E77*$J$4+$M$4*$J$5+[51]FormattedData!E77^2*$J$6+$M$5*$J$7</f>
        <v>-0.69867901580701808</v>
      </c>
      <c r="M73" s="39">
        <f>$J$3+[51]FormattedData!F77*$J$4+$M$4*$J$5+[51]FormattedData!F77^2*$J$6+$M$5*$J$7</f>
        <v>-0.69867901580701808</v>
      </c>
      <c r="N73" s="39">
        <f>$J$3+[51]FormattedData!G77*$J$4+$M$4*$J$5+[51]FormattedData!G77^2*$J$6+$M$5*$J$7</f>
        <v>-0.69867901580701808</v>
      </c>
      <c r="O73" s="39">
        <f>$J$3+[51]FormattedData!H77*$J$4+$M$4*$J$5+[51]FormattedData!H77^2*$J$6+$M$5*$J$7</f>
        <v>-0.69867901580701808</v>
      </c>
      <c r="P73" s="39">
        <f>$J$3+[51]FormattedData!I77*$J$4+$M$4*$J$5+[51]FormattedData!I77^2*$J$6+$M$5*$J$7</f>
        <v>-0.69867901580701808</v>
      </c>
      <c r="Q73" s="39">
        <f>$J$3+[51]FormattedData!J77*$J$4+$M$4*$J$5+[51]FormattedData!J77^2*$J$6+$M$5*$J$7</f>
        <v>-0.69867901580701808</v>
      </c>
      <c r="R73" s="39">
        <f>$J$3+[51]FormattedData!K77*$J$4+$M$4*$J$5+[51]FormattedData!K77^2*$J$6+$M$5*$J$7</f>
        <v>-0.69867901580701808</v>
      </c>
      <c r="S73" s="39">
        <f>$J$3+[51]FormattedData!L77*$J$4+$M$4*$J$5+[51]FormattedData!L77^2*$J$6+$M$5*$J$7</f>
        <v>-0.69867901580701808</v>
      </c>
      <c r="T73" s="39">
        <f>$J$3+[51]FormattedData!M77*$J$4+$M$4*$J$5+[51]FormattedData!M77^2*$J$6+$M$5*$J$7</f>
        <v>-0.69867901580701808</v>
      </c>
      <c r="U73" s="39">
        <f>$J$3+[51]FormattedData!N77*$J$4+$M$4*$J$5+[51]FormattedData!N77^2*$J$6+$M$5*$J$7</f>
        <v>-0.69867901580701808</v>
      </c>
      <c r="V73" s="39">
        <f>$J$3+[51]FormattedData!O77*$J$4+$M$4*$J$5+[51]FormattedData!O77^2*$J$6+$M$5*$J$7</f>
        <v>-0.69867901580701808</v>
      </c>
      <c r="W73" s="38">
        <f>AVERAGE(K73:V73)</f>
        <v>-0.69867901580701808</v>
      </c>
      <c r="X73" s="37">
        <f>STDEV(K73:V73)/SQRT(COUNT(K73:V73))</f>
        <v>0</v>
      </c>
      <c r="Y73" s="36">
        <f>MIN(K73:V73)</f>
        <v>-0.69867901580701808</v>
      </c>
      <c r="Z73" s="35">
        <f>QUARTILE(K73:V73,1)</f>
        <v>-0.69867901580701808</v>
      </c>
      <c r="AA73" s="36">
        <f>MEDIAN(K73:V73)</f>
        <v>-0.69867901580701808</v>
      </c>
      <c r="AB73" s="35">
        <f>QUARTILE(K73:V73,3)</f>
        <v>-0.69867901580701808</v>
      </c>
      <c r="AC73" s="35">
        <f>MAX(K73:V73)</f>
        <v>-0.69867901580701808</v>
      </c>
      <c r="AD73" s="35" t="e">
        <f>SKEW(K73:V73)</f>
        <v>#DIV/0!</v>
      </c>
      <c r="AE73" s="35" t="e">
        <f>KURT(K73:V73)</f>
        <v>#DIV/0!</v>
      </c>
    </row>
    <row r="74" spans="2:31" x14ac:dyDescent="0.2">
      <c r="B74" s="34">
        <f>[51]FormattedData!A93</f>
        <v>0</v>
      </c>
      <c r="C74" s="34" t="e">
        <f>VLOOKUP($B74,[51]TrtCodes!$B$11:I130,2)</f>
        <v>#N/A</v>
      </c>
      <c r="D74" s="34" t="e">
        <f>VLOOKUP($B74,[51]TrtCodes!$B$11:J130,3)</f>
        <v>#N/A</v>
      </c>
      <c r="E74" s="34" t="e">
        <f>VLOOKUP($B74,[51]TrtCodes!$B$11:K130,4)</f>
        <v>#N/A</v>
      </c>
      <c r="F74" s="34" t="e">
        <f>VLOOKUP($B74,[51]TrtCodes!$B$11:L130,5)</f>
        <v>#N/A</v>
      </c>
      <c r="G74" s="34" t="e">
        <f>VLOOKUP($B74,[51]TrtCodes!$B$11:M130,6)</f>
        <v>#N/A</v>
      </c>
      <c r="H74" s="34" t="e">
        <f>VLOOKUP($B74,[51]TrtCodes!$B$11:N130,7)</f>
        <v>#N/A</v>
      </c>
      <c r="I74" s="34">
        <f>[51]FormattedData!B93</f>
        <v>0</v>
      </c>
      <c r="J74" s="37">
        <f>[51]FormattedData!C93</f>
        <v>0</v>
      </c>
      <c r="K74" s="39">
        <f>$J$3+[51]FormattedData!D93*$J$4+$M$4*$J$5+[51]FormattedData!D93^2*$J$6+$M$5*$J$7</f>
        <v>-0.69867901580701808</v>
      </c>
      <c r="L74" s="39">
        <f>$J$3+[51]FormattedData!E93*$J$4+$M$4*$J$5+[51]FormattedData!E93^2*$J$6+$M$5*$J$7</f>
        <v>-0.69867901580701808</v>
      </c>
      <c r="M74" s="39">
        <f>$J$3+[51]FormattedData!F93*$J$4+$M$4*$J$5+[51]FormattedData!F93^2*$J$6+$M$5*$J$7</f>
        <v>-0.69867901580701808</v>
      </c>
      <c r="N74" s="39">
        <f>$J$3+[51]FormattedData!G93*$J$4+$M$4*$J$5+[51]FormattedData!G93^2*$J$6+$M$5*$J$7</f>
        <v>-0.69867901580701808</v>
      </c>
      <c r="O74" s="39">
        <f>$J$3+[51]FormattedData!H93*$J$4+$M$4*$J$5+[51]FormattedData!H93^2*$J$6+$M$5*$J$7</f>
        <v>-0.69867901580701808</v>
      </c>
      <c r="P74" s="39">
        <f>$J$3+[51]FormattedData!I93*$J$4+$M$4*$J$5+[51]FormattedData!I93^2*$J$6+$M$5*$J$7</f>
        <v>-0.69867901580701808</v>
      </c>
      <c r="Q74" s="39">
        <f>$J$3+[51]FormattedData!J93*$J$4+$M$4*$J$5+[51]FormattedData!J93^2*$J$6+$M$5*$J$7</f>
        <v>-0.69867901580701808</v>
      </c>
      <c r="R74" s="39">
        <f>$J$3+[51]FormattedData!K93*$J$4+$M$4*$J$5+[51]FormattedData!K93^2*$J$6+$M$5*$J$7</f>
        <v>-0.69867901580701808</v>
      </c>
      <c r="S74" s="39">
        <f>$J$3+[51]FormattedData!L93*$J$4+$M$4*$J$5+[51]FormattedData!L93^2*$J$6+$M$5*$J$7</f>
        <v>-0.69867901580701808</v>
      </c>
      <c r="T74" s="39">
        <f>$J$3+[51]FormattedData!M93*$J$4+$M$4*$J$5+[51]FormattedData!M93^2*$J$6+$M$5*$J$7</f>
        <v>-0.69867901580701808</v>
      </c>
      <c r="U74" s="39">
        <f>$J$3+[51]FormattedData!N93*$J$4+$M$4*$J$5+[51]FormattedData!N93^2*$J$6+$M$5*$J$7</f>
        <v>-0.69867901580701808</v>
      </c>
      <c r="V74" s="39">
        <f>$J$3+[51]FormattedData!O93*$J$4+$M$4*$J$5+[51]FormattedData!O93^2*$J$6+$M$5*$J$7</f>
        <v>-0.69867901580701808</v>
      </c>
      <c r="W74" s="38">
        <f>AVERAGE(K74:V74)</f>
        <v>-0.69867901580701808</v>
      </c>
      <c r="X74" s="37">
        <f>STDEV(K74:V74)/SQRT(COUNT(K74:V74))</f>
        <v>0</v>
      </c>
      <c r="Y74" s="36">
        <f>MIN(K74:V74)</f>
        <v>-0.69867901580701808</v>
      </c>
      <c r="Z74" s="35">
        <f>QUARTILE(K74:V74,1)</f>
        <v>-0.69867901580701808</v>
      </c>
      <c r="AA74" s="36">
        <f>MEDIAN(K74:V74)</f>
        <v>-0.69867901580701808</v>
      </c>
      <c r="AB74" s="35">
        <f>QUARTILE(K74:V74,3)</f>
        <v>-0.69867901580701808</v>
      </c>
      <c r="AC74" s="35">
        <f>MAX(K74:V74)</f>
        <v>-0.69867901580701808</v>
      </c>
      <c r="AD74" s="35" t="e">
        <f>SKEW(K74:V74)</f>
        <v>#DIV/0!</v>
      </c>
      <c r="AE74" s="35" t="e">
        <f>KURT(K74:V74)</f>
        <v>#DIV/0!</v>
      </c>
    </row>
    <row r="75" spans="2:31" x14ac:dyDescent="0.2">
      <c r="B75" s="34">
        <f>[51]FormattedData!A91</f>
        <v>0</v>
      </c>
      <c r="C75" s="34" t="e">
        <f>VLOOKUP($B75,[51]TrtCodes!$B$11:I131,2)</f>
        <v>#N/A</v>
      </c>
      <c r="D75" s="34" t="e">
        <f>VLOOKUP($B75,[51]TrtCodes!$B$11:J131,3)</f>
        <v>#N/A</v>
      </c>
      <c r="E75" s="34" t="e">
        <f>VLOOKUP($B75,[51]TrtCodes!$B$11:K131,4)</f>
        <v>#N/A</v>
      </c>
      <c r="F75" s="34" t="e">
        <f>VLOOKUP($B75,[51]TrtCodes!$B$11:L131,5)</f>
        <v>#N/A</v>
      </c>
      <c r="G75" s="34" t="e">
        <f>VLOOKUP($B75,[51]TrtCodes!$B$11:M131,6)</f>
        <v>#N/A</v>
      </c>
      <c r="H75" s="34" t="e">
        <f>VLOOKUP($B75,[51]TrtCodes!$B$11:N131,7)</f>
        <v>#N/A</v>
      </c>
      <c r="I75" s="34">
        <f>[51]FormattedData!B91</f>
        <v>0</v>
      </c>
      <c r="J75" s="37">
        <f>[51]FormattedData!C91</f>
        <v>0</v>
      </c>
      <c r="K75" s="39">
        <f>$J$3+[51]FormattedData!D91*$J$4+$M$4*$J$5+[51]FormattedData!D91^2*$J$6+$M$5*$J$7</f>
        <v>-0.69867901580701808</v>
      </c>
      <c r="L75" s="39">
        <f>$J$3+[51]FormattedData!E91*$J$4+$M$4*$J$5+[51]FormattedData!E91^2*$J$6+$M$5*$J$7</f>
        <v>-0.69867901580701808</v>
      </c>
      <c r="M75" s="39">
        <f>$J$3+[51]FormattedData!F91*$J$4+$M$4*$J$5+[51]FormattedData!F91^2*$J$6+$M$5*$J$7</f>
        <v>-0.69867901580701808</v>
      </c>
      <c r="N75" s="39">
        <f>$J$3+[51]FormattedData!G91*$J$4+$M$4*$J$5+[51]FormattedData!G91^2*$J$6+$M$5*$J$7</f>
        <v>-0.69867901580701808</v>
      </c>
      <c r="O75" s="39">
        <f>$J$3+[51]FormattedData!H91*$J$4+$M$4*$J$5+[51]FormattedData!H91^2*$J$6+$M$5*$J$7</f>
        <v>-0.69867901580701808</v>
      </c>
      <c r="P75" s="39">
        <f>$J$3+[51]FormattedData!I91*$J$4+$M$4*$J$5+[51]FormattedData!I91^2*$J$6+$M$5*$J$7</f>
        <v>-0.69867901580701808</v>
      </c>
      <c r="Q75" s="39">
        <f>$J$3+[51]FormattedData!J91*$J$4+$M$4*$J$5+[51]FormattedData!J91^2*$J$6+$M$5*$J$7</f>
        <v>-0.69867901580701808</v>
      </c>
      <c r="R75" s="39">
        <f>$J$3+[51]FormattedData!K91*$J$4+$M$4*$J$5+[51]FormattedData!K91^2*$J$6+$M$5*$J$7</f>
        <v>-0.69867901580701808</v>
      </c>
      <c r="S75" s="39">
        <f>$J$3+[51]FormattedData!L91*$J$4+$M$4*$J$5+[51]FormattedData!L91^2*$J$6+$M$5*$J$7</f>
        <v>-0.69867901580701808</v>
      </c>
      <c r="T75" s="39">
        <f>$J$3+[51]FormattedData!M91*$J$4+$M$4*$J$5+[51]FormattedData!M91^2*$J$6+$M$5*$J$7</f>
        <v>-0.69867901580701808</v>
      </c>
      <c r="U75" s="39">
        <f>$J$3+[51]FormattedData!N91*$J$4+$M$4*$J$5+[51]FormattedData!N91^2*$J$6+$M$5*$J$7</f>
        <v>-0.69867901580701808</v>
      </c>
      <c r="V75" s="39">
        <f>$J$3+[51]FormattedData!O91*$J$4+$M$4*$J$5+[51]FormattedData!O91^2*$J$6+$M$5*$J$7</f>
        <v>-0.69867901580701808</v>
      </c>
      <c r="W75" s="38">
        <f>AVERAGE(K75:V75)</f>
        <v>-0.69867901580701808</v>
      </c>
      <c r="X75" s="37">
        <f>STDEV(K75:V75)/SQRT(COUNT(K75:V75))</f>
        <v>0</v>
      </c>
      <c r="Y75" s="36">
        <f>MIN(K75:V75)</f>
        <v>-0.69867901580701808</v>
      </c>
      <c r="Z75" s="35">
        <f>QUARTILE(K75:V75,1)</f>
        <v>-0.69867901580701808</v>
      </c>
      <c r="AA75" s="36">
        <f>MEDIAN(K75:V75)</f>
        <v>-0.69867901580701808</v>
      </c>
      <c r="AB75" s="35">
        <f>QUARTILE(K75:V75,3)</f>
        <v>-0.69867901580701808</v>
      </c>
      <c r="AC75" s="35">
        <f>MAX(K75:V75)</f>
        <v>-0.69867901580701808</v>
      </c>
      <c r="AD75" s="35" t="e">
        <f>SKEW(K75:V75)</f>
        <v>#DIV/0!</v>
      </c>
      <c r="AE75" s="35" t="e">
        <f>KURT(K75:V75)</f>
        <v>#DIV/0!</v>
      </c>
    </row>
    <row r="76" spans="2:31" x14ac:dyDescent="0.2">
      <c r="B76" s="34">
        <f>[51]FormattedData!A89</f>
        <v>0</v>
      </c>
      <c r="C76" s="34" t="e">
        <f>VLOOKUP($B76,[51]TrtCodes!$B$11:I132,2)</f>
        <v>#N/A</v>
      </c>
      <c r="D76" s="34" t="e">
        <f>VLOOKUP($B76,[51]TrtCodes!$B$11:J132,3)</f>
        <v>#N/A</v>
      </c>
      <c r="E76" s="34" t="e">
        <f>VLOOKUP($B76,[51]TrtCodes!$B$11:K132,4)</f>
        <v>#N/A</v>
      </c>
      <c r="F76" s="34" t="e">
        <f>VLOOKUP($B76,[51]TrtCodes!$B$11:L132,5)</f>
        <v>#N/A</v>
      </c>
      <c r="G76" s="34" t="e">
        <f>VLOOKUP($B76,[51]TrtCodes!$B$11:M132,6)</f>
        <v>#N/A</v>
      </c>
      <c r="H76" s="34" t="e">
        <f>VLOOKUP($B76,[51]TrtCodes!$B$11:N132,7)</f>
        <v>#N/A</v>
      </c>
      <c r="I76" s="34">
        <f>[51]FormattedData!B89</f>
        <v>0</v>
      </c>
      <c r="J76" s="37">
        <f>[51]FormattedData!C89</f>
        <v>0</v>
      </c>
      <c r="K76" s="39">
        <f>$J$3+[51]FormattedData!D89*$J$4+$M$4*$J$5+[51]FormattedData!D89^2*$J$6+$M$5*$J$7</f>
        <v>-0.69867901580701808</v>
      </c>
      <c r="L76" s="39">
        <f>$J$3+[51]FormattedData!E89*$J$4+$M$4*$J$5+[51]FormattedData!E89^2*$J$6+$M$5*$J$7</f>
        <v>-0.69867901580701808</v>
      </c>
      <c r="M76" s="39">
        <f>$J$3+[51]FormattedData!F89*$J$4+$M$4*$J$5+[51]FormattedData!F89^2*$J$6+$M$5*$J$7</f>
        <v>-0.69867901580701808</v>
      </c>
      <c r="N76" s="39">
        <f>$J$3+[51]FormattedData!G89*$J$4+$M$4*$J$5+[51]FormattedData!G89^2*$J$6+$M$5*$J$7</f>
        <v>-0.69867901580701808</v>
      </c>
      <c r="O76" s="39">
        <f>$J$3+[51]FormattedData!H89*$J$4+$M$4*$J$5+[51]FormattedData!H89^2*$J$6+$M$5*$J$7</f>
        <v>-0.69867901580701808</v>
      </c>
      <c r="P76" s="39">
        <f>$J$3+[51]FormattedData!I89*$J$4+$M$4*$J$5+[51]FormattedData!I89^2*$J$6+$M$5*$J$7</f>
        <v>-0.69867901580701808</v>
      </c>
      <c r="Q76" s="39">
        <f>$J$3+[51]FormattedData!J89*$J$4+$M$4*$J$5+[51]FormattedData!J89^2*$J$6+$M$5*$J$7</f>
        <v>-0.69867901580701808</v>
      </c>
      <c r="R76" s="39">
        <f>$J$3+[51]FormattedData!K89*$J$4+$M$4*$J$5+[51]FormattedData!K89^2*$J$6+$M$5*$J$7</f>
        <v>-0.69867901580701808</v>
      </c>
      <c r="S76" s="39">
        <f>$J$3+[51]FormattedData!L89*$J$4+$M$4*$J$5+[51]FormattedData!L89^2*$J$6+$M$5*$J$7</f>
        <v>-0.69867901580701808</v>
      </c>
      <c r="T76" s="39">
        <f>$J$3+[51]FormattedData!M89*$J$4+$M$4*$J$5+[51]FormattedData!M89^2*$J$6+$M$5*$J$7</f>
        <v>-0.69867901580701808</v>
      </c>
      <c r="U76" s="39">
        <f>$J$3+[51]FormattedData!N89*$J$4+$M$4*$J$5+[51]FormattedData!N89^2*$J$6+$M$5*$J$7</f>
        <v>-0.69867901580701808</v>
      </c>
      <c r="V76" s="39">
        <f>$J$3+[51]FormattedData!O89*$J$4+$M$4*$J$5+[51]FormattedData!O89^2*$J$6+$M$5*$J$7</f>
        <v>-0.69867901580701808</v>
      </c>
      <c r="W76" s="38">
        <f>AVERAGE(K76:V76)</f>
        <v>-0.69867901580701808</v>
      </c>
      <c r="X76" s="37">
        <f>STDEV(K76:V76)/SQRT(COUNT(K76:V76))</f>
        <v>0</v>
      </c>
      <c r="Y76" s="36">
        <f>MIN(K76:V76)</f>
        <v>-0.69867901580701808</v>
      </c>
      <c r="Z76" s="35">
        <f>QUARTILE(K76:V76,1)</f>
        <v>-0.69867901580701808</v>
      </c>
      <c r="AA76" s="36">
        <f>MEDIAN(K76:V76)</f>
        <v>-0.69867901580701808</v>
      </c>
      <c r="AB76" s="35">
        <f>QUARTILE(K76:V76,3)</f>
        <v>-0.69867901580701808</v>
      </c>
      <c r="AC76" s="35">
        <f>MAX(K76:V76)</f>
        <v>-0.69867901580701808</v>
      </c>
      <c r="AD76" s="35" t="e">
        <f>SKEW(K76:V76)</f>
        <v>#DIV/0!</v>
      </c>
      <c r="AE76" s="35" t="e">
        <f>KURT(K76:V76)</f>
        <v>#DIV/0!</v>
      </c>
    </row>
    <row r="77" spans="2:31" x14ac:dyDescent="0.2">
      <c r="B77" s="34">
        <f>[51]FormattedData!A87</f>
        <v>0</v>
      </c>
      <c r="C77" s="34" t="e">
        <f>VLOOKUP($B77,[51]TrtCodes!$B$11:I130,2)</f>
        <v>#N/A</v>
      </c>
      <c r="D77" s="34" t="e">
        <f>VLOOKUP($B77,[51]TrtCodes!$B$11:J130,3)</f>
        <v>#N/A</v>
      </c>
      <c r="E77" s="34" t="e">
        <f>VLOOKUP($B77,[51]TrtCodes!$B$11:K130,4)</f>
        <v>#N/A</v>
      </c>
      <c r="F77" s="34" t="e">
        <f>VLOOKUP($B77,[51]TrtCodes!$B$11:L130,5)</f>
        <v>#N/A</v>
      </c>
      <c r="G77" s="34" t="e">
        <f>VLOOKUP($B77,[51]TrtCodes!$B$11:M130,6)</f>
        <v>#N/A</v>
      </c>
      <c r="H77" s="34" t="e">
        <f>VLOOKUP($B77,[51]TrtCodes!$B$11:N130,7)</f>
        <v>#N/A</v>
      </c>
      <c r="I77" s="34">
        <f>[51]FormattedData!B87</f>
        <v>0</v>
      </c>
      <c r="J77" s="37">
        <f>[51]FormattedData!C87</f>
        <v>0</v>
      </c>
      <c r="K77" s="39">
        <f>$J$3+[51]FormattedData!D87*$J$4+$M$4*$J$5+[51]FormattedData!D87^2*$J$6+$M$5*$J$7</f>
        <v>-0.69867901580701808</v>
      </c>
      <c r="L77" s="39">
        <f>$J$3+[51]FormattedData!E87*$J$4+$M$4*$J$5+[51]FormattedData!E87^2*$J$6+$M$5*$J$7</f>
        <v>-0.69867901580701808</v>
      </c>
      <c r="M77" s="39">
        <f>$J$3+[51]FormattedData!F87*$J$4+$M$4*$J$5+[51]FormattedData!F87^2*$J$6+$M$5*$J$7</f>
        <v>-0.69867901580701808</v>
      </c>
      <c r="N77" s="39">
        <f>$J$3+[51]FormattedData!G87*$J$4+$M$4*$J$5+[51]FormattedData!G87^2*$J$6+$M$5*$J$7</f>
        <v>-0.69867901580701808</v>
      </c>
      <c r="O77" s="39">
        <f>$J$3+[51]FormattedData!H87*$J$4+$M$4*$J$5+[51]FormattedData!H87^2*$J$6+$M$5*$J$7</f>
        <v>-0.69867901580701808</v>
      </c>
      <c r="P77" s="39">
        <f>$J$3+[51]FormattedData!I87*$J$4+$M$4*$J$5+[51]FormattedData!I87^2*$J$6+$M$5*$J$7</f>
        <v>-0.69867901580701808</v>
      </c>
      <c r="Q77" s="39">
        <f>$J$3+[51]FormattedData!J87*$J$4+$M$4*$J$5+[51]FormattedData!J87^2*$J$6+$M$5*$J$7</f>
        <v>-0.69867901580701808</v>
      </c>
      <c r="R77" s="39">
        <f>$J$3+[51]FormattedData!K87*$J$4+$M$4*$J$5+[51]FormattedData!K87^2*$J$6+$M$5*$J$7</f>
        <v>-0.69867901580701808</v>
      </c>
      <c r="S77" s="39">
        <f>$J$3+[51]FormattedData!L87*$J$4+$M$4*$J$5+[51]FormattedData!L87^2*$J$6+$M$5*$J$7</f>
        <v>-0.69867901580701808</v>
      </c>
      <c r="T77" s="39">
        <f>$J$3+[51]FormattedData!M87*$J$4+$M$4*$J$5+[51]FormattedData!M87^2*$J$6+$M$5*$J$7</f>
        <v>-0.69867901580701808</v>
      </c>
      <c r="U77" s="39">
        <f>$J$3+[51]FormattedData!N87*$J$4+$M$4*$J$5+[51]FormattedData!N87^2*$J$6+$M$5*$J$7</f>
        <v>-0.69867901580701808</v>
      </c>
      <c r="V77" s="39">
        <f>$J$3+[51]FormattedData!O87*$J$4+$M$4*$J$5+[51]FormattedData!O87^2*$J$6+$M$5*$J$7</f>
        <v>-0.69867901580701808</v>
      </c>
      <c r="W77" s="38">
        <f>AVERAGE(K77:V77)</f>
        <v>-0.69867901580701808</v>
      </c>
      <c r="X77" s="37">
        <f>STDEV(K77:V77)/SQRT(COUNT(K77:V77))</f>
        <v>0</v>
      </c>
      <c r="Y77" s="36">
        <f>MIN(K77:V77)</f>
        <v>-0.69867901580701808</v>
      </c>
      <c r="Z77" s="35">
        <f>QUARTILE(K77:V77,1)</f>
        <v>-0.69867901580701808</v>
      </c>
      <c r="AA77" s="36">
        <f>MEDIAN(K77:V77)</f>
        <v>-0.69867901580701808</v>
      </c>
      <c r="AB77" s="35">
        <f>QUARTILE(K77:V77,3)</f>
        <v>-0.69867901580701808</v>
      </c>
      <c r="AC77" s="35">
        <f>MAX(K77:V77)</f>
        <v>-0.69867901580701808</v>
      </c>
      <c r="AD77" s="35" t="e">
        <f>SKEW(K77:V77)</f>
        <v>#DIV/0!</v>
      </c>
      <c r="AE77" s="35" t="e">
        <f>KURT(K77:V77)</f>
        <v>#DIV/0!</v>
      </c>
    </row>
    <row r="78" spans="2:31" x14ac:dyDescent="0.2">
      <c r="B78" s="34">
        <f>[51]FormattedData!A85</f>
        <v>0</v>
      </c>
      <c r="C78" s="34" t="e">
        <f>VLOOKUP($B78,[51]TrtCodes!$B$11:I128,2)</f>
        <v>#N/A</v>
      </c>
      <c r="D78" s="34" t="e">
        <f>VLOOKUP($B78,[51]TrtCodes!$B$11:J128,3)</f>
        <v>#N/A</v>
      </c>
      <c r="E78" s="34" t="e">
        <f>VLOOKUP($B78,[51]TrtCodes!$B$11:K128,4)</f>
        <v>#N/A</v>
      </c>
      <c r="F78" s="34" t="e">
        <f>VLOOKUP($B78,[51]TrtCodes!$B$11:L128,5)</f>
        <v>#N/A</v>
      </c>
      <c r="G78" s="34" t="e">
        <f>VLOOKUP($B78,[51]TrtCodes!$B$11:M128,6)</f>
        <v>#N/A</v>
      </c>
      <c r="H78" s="34" t="e">
        <f>VLOOKUP($B78,[51]TrtCodes!$B$11:N128,7)</f>
        <v>#N/A</v>
      </c>
      <c r="I78" s="34">
        <f>[51]FormattedData!B85</f>
        <v>0</v>
      </c>
      <c r="J78" s="37">
        <f>[51]FormattedData!C85</f>
        <v>0</v>
      </c>
      <c r="K78" s="39">
        <f>$J$3+[51]FormattedData!D85*$J$4+$M$4*$J$5+[51]FormattedData!D85^2*$J$6+$M$5*$J$7</f>
        <v>-0.69867901580701808</v>
      </c>
      <c r="L78" s="39">
        <f>$J$3+[51]FormattedData!E85*$J$4+$M$4*$J$5+[51]FormattedData!E85^2*$J$6+$M$5*$J$7</f>
        <v>-0.69867901580701808</v>
      </c>
      <c r="M78" s="39">
        <f>$J$3+[51]FormattedData!F85*$J$4+$M$4*$J$5+[51]FormattedData!F85^2*$J$6+$M$5*$J$7</f>
        <v>-0.69867901580701808</v>
      </c>
      <c r="N78" s="39">
        <f>$J$3+[51]FormattedData!G85*$J$4+$M$4*$J$5+[51]FormattedData!G85^2*$J$6+$M$5*$J$7</f>
        <v>-0.69867901580701808</v>
      </c>
      <c r="O78" s="39">
        <f>$J$3+[51]FormattedData!H85*$J$4+$M$4*$J$5+[51]FormattedData!H85^2*$J$6+$M$5*$J$7</f>
        <v>-0.69867901580701808</v>
      </c>
      <c r="P78" s="39">
        <f>$J$3+[51]FormattedData!I85*$J$4+$M$4*$J$5+[51]FormattedData!I85^2*$J$6+$M$5*$J$7</f>
        <v>-0.69867901580701808</v>
      </c>
      <c r="Q78" s="39">
        <f>$J$3+[51]FormattedData!J85*$J$4+$M$4*$J$5+[51]FormattedData!J85^2*$J$6+$M$5*$J$7</f>
        <v>-0.69867901580701808</v>
      </c>
      <c r="R78" s="39">
        <f>$J$3+[51]FormattedData!K85*$J$4+$M$4*$J$5+[51]FormattedData!K85^2*$J$6+$M$5*$J$7</f>
        <v>-0.69867901580701808</v>
      </c>
      <c r="S78" s="39">
        <f>$J$3+[51]FormattedData!L85*$J$4+$M$4*$J$5+[51]FormattedData!L85^2*$J$6+$M$5*$J$7</f>
        <v>-0.69867901580701808</v>
      </c>
      <c r="T78" s="39">
        <f>$J$3+[51]FormattedData!M85*$J$4+$M$4*$J$5+[51]FormattedData!M85^2*$J$6+$M$5*$J$7</f>
        <v>-0.69867901580701808</v>
      </c>
      <c r="U78" s="39">
        <f>$J$3+[51]FormattedData!N85*$J$4+$M$4*$J$5+[51]FormattedData!N85^2*$J$6+$M$5*$J$7</f>
        <v>-0.69867901580701808</v>
      </c>
      <c r="V78" s="39">
        <f>$J$3+[51]FormattedData!O85*$J$4+$M$4*$J$5+[51]FormattedData!O85^2*$J$6+$M$5*$J$7</f>
        <v>-0.69867901580701808</v>
      </c>
      <c r="W78" s="38">
        <f>AVERAGE(K78:V78)</f>
        <v>-0.69867901580701808</v>
      </c>
      <c r="X78" s="37">
        <f>STDEV(K78:V78)/SQRT(COUNT(K78:V78))</f>
        <v>0</v>
      </c>
      <c r="Y78" s="36">
        <f>MIN(K78:V78)</f>
        <v>-0.69867901580701808</v>
      </c>
      <c r="Z78" s="35">
        <f>QUARTILE(K78:V78,1)</f>
        <v>-0.69867901580701808</v>
      </c>
      <c r="AA78" s="36">
        <f>MEDIAN(K78:V78)</f>
        <v>-0.69867901580701808</v>
      </c>
      <c r="AB78" s="35">
        <f>QUARTILE(K78:V78,3)</f>
        <v>-0.69867901580701808</v>
      </c>
      <c r="AC78" s="35">
        <f>MAX(K78:V78)</f>
        <v>-0.69867901580701808</v>
      </c>
      <c r="AD78" s="35" t="e">
        <f>SKEW(K78:V78)</f>
        <v>#DIV/0!</v>
      </c>
      <c r="AE78" s="35" t="e">
        <f>KURT(K78:V78)</f>
        <v>#DIV/0!</v>
      </c>
    </row>
    <row r="79" spans="2:31" x14ac:dyDescent="0.2">
      <c r="B79" s="34">
        <f>[51]FormattedData!A83</f>
        <v>0</v>
      </c>
      <c r="C79" s="34" t="e">
        <f>VLOOKUP($B79,[51]TrtCodes!$B$11:I126,2)</f>
        <v>#N/A</v>
      </c>
      <c r="D79" s="34" t="e">
        <f>VLOOKUP($B79,[51]TrtCodes!$B$11:J126,3)</f>
        <v>#N/A</v>
      </c>
      <c r="E79" s="34" t="e">
        <f>VLOOKUP($B79,[51]TrtCodes!$B$11:K126,4)</f>
        <v>#N/A</v>
      </c>
      <c r="F79" s="34" t="e">
        <f>VLOOKUP($B79,[51]TrtCodes!$B$11:L126,5)</f>
        <v>#N/A</v>
      </c>
      <c r="G79" s="34" t="e">
        <f>VLOOKUP($B79,[51]TrtCodes!$B$11:M126,6)</f>
        <v>#N/A</v>
      </c>
      <c r="H79" s="34" t="e">
        <f>VLOOKUP($B79,[51]TrtCodes!$B$11:N126,7)</f>
        <v>#N/A</v>
      </c>
      <c r="I79" s="34">
        <f>[51]FormattedData!B83</f>
        <v>0</v>
      </c>
      <c r="J79" s="37">
        <f>[51]FormattedData!C83</f>
        <v>0</v>
      </c>
      <c r="K79" s="39">
        <f>$J$3+[51]FormattedData!D83*$J$4+$M$4*$J$5+[51]FormattedData!D83^2*$J$6+$M$5*$J$7</f>
        <v>-0.69867901580701808</v>
      </c>
      <c r="L79" s="39">
        <f>$J$3+[51]FormattedData!E83*$J$4+$M$4*$J$5+[51]FormattedData!E83^2*$J$6+$M$5*$J$7</f>
        <v>-0.69867901580701808</v>
      </c>
      <c r="M79" s="39">
        <f>$J$3+[51]FormattedData!F83*$J$4+$M$4*$J$5+[51]FormattedData!F83^2*$J$6+$M$5*$J$7</f>
        <v>-0.69867901580701808</v>
      </c>
      <c r="N79" s="39">
        <f>$J$3+[51]FormattedData!G83*$J$4+$M$4*$J$5+[51]FormattedData!G83^2*$J$6+$M$5*$J$7</f>
        <v>-0.69867901580701808</v>
      </c>
      <c r="O79" s="39">
        <f>$J$3+[51]FormattedData!H83*$J$4+$M$4*$J$5+[51]FormattedData!H83^2*$J$6+$M$5*$J$7</f>
        <v>-0.69867901580701808</v>
      </c>
      <c r="P79" s="39">
        <f>$J$3+[51]FormattedData!I83*$J$4+$M$4*$J$5+[51]FormattedData!I83^2*$J$6+$M$5*$J$7</f>
        <v>-0.69867901580701808</v>
      </c>
      <c r="Q79" s="39">
        <f>$J$3+[51]FormattedData!J83*$J$4+$M$4*$J$5+[51]FormattedData!J83^2*$J$6+$M$5*$J$7</f>
        <v>-0.69867901580701808</v>
      </c>
      <c r="R79" s="39">
        <f>$J$3+[51]FormattedData!K83*$J$4+$M$4*$J$5+[51]FormattedData!K83^2*$J$6+$M$5*$J$7</f>
        <v>-0.69867901580701808</v>
      </c>
      <c r="S79" s="39">
        <f>$J$3+[51]FormattedData!L83*$J$4+$M$4*$J$5+[51]FormattedData!L83^2*$J$6+$M$5*$J$7</f>
        <v>-0.69867901580701808</v>
      </c>
      <c r="T79" s="39">
        <f>$J$3+[51]FormattedData!M83*$J$4+$M$4*$J$5+[51]FormattedData!M83^2*$J$6+$M$5*$J$7</f>
        <v>-0.69867901580701808</v>
      </c>
      <c r="U79" s="39">
        <f>$J$3+[51]FormattedData!N83*$J$4+$M$4*$J$5+[51]FormattedData!N83^2*$J$6+$M$5*$J$7</f>
        <v>-0.69867901580701808</v>
      </c>
      <c r="V79" s="39">
        <f>$J$3+[51]FormattedData!O83*$J$4+$M$4*$J$5+[51]FormattedData!O83^2*$J$6+$M$5*$J$7</f>
        <v>-0.69867901580701808</v>
      </c>
      <c r="W79" s="38">
        <f>AVERAGE(K79:V79)</f>
        <v>-0.69867901580701808</v>
      </c>
      <c r="X79" s="37">
        <f>STDEV(K79:V79)/SQRT(COUNT(K79:V79))</f>
        <v>0</v>
      </c>
      <c r="Y79" s="36">
        <f>MIN(K79:V79)</f>
        <v>-0.69867901580701808</v>
      </c>
      <c r="Z79" s="35">
        <f>QUARTILE(K79:V79,1)</f>
        <v>-0.69867901580701808</v>
      </c>
      <c r="AA79" s="36">
        <f>MEDIAN(K79:V79)</f>
        <v>-0.69867901580701808</v>
      </c>
      <c r="AB79" s="35">
        <f>QUARTILE(K79:V79,3)</f>
        <v>-0.69867901580701808</v>
      </c>
      <c r="AC79" s="35">
        <f>MAX(K79:V79)</f>
        <v>-0.69867901580701808</v>
      </c>
      <c r="AD79" s="35" t="e">
        <f>SKEW(K79:V79)</f>
        <v>#DIV/0!</v>
      </c>
      <c r="AE79" s="35" t="e">
        <f>KURT(K79:V79)</f>
        <v>#DIV/0!</v>
      </c>
    </row>
    <row r="80" spans="2:31" x14ac:dyDescent="0.2">
      <c r="B80" s="34">
        <f>[51]FormattedData!A81</f>
        <v>0</v>
      </c>
      <c r="C80" s="34" t="e">
        <f>VLOOKUP($B80,[51]TrtCodes!$B$11:I124,2)</f>
        <v>#N/A</v>
      </c>
      <c r="D80" s="34" t="e">
        <f>VLOOKUP($B80,[51]TrtCodes!$B$11:J124,3)</f>
        <v>#N/A</v>
      </c>
      <c r="E80" s="34" t="e">
        <f>VLOOKUP($B80,[51]TrtCodes!$B$11:K124,4)</f>
        <v>#N/A</v>
      </c>
      <c r="F80" s="34" t="e">
        <f>VLOOKUP($B80,[51]TrtCodes!$B$11:L124,5)</f>
        <v>#N/A</v>
      </c>
      <c r="G80" s="34" t="e">
        <f>VLOOKUP($B80,[51]TrtCodes!$B$11:M124,6)</f>
        <v>#N/A</v>
      </c>
      <c r="H80" s="34" t="e">
        <f>VLOOKUP($B80,[51]TrtCodes!$B$11:N124,7)</f>
        <v>#N/A</v>
      </c>
      <c r="I80" s="34">
        <f>[51]FormattedData!B81</f>
        <v>0</v>
      </c>
      <c r="J80" s="37">
        <f>[51]FormattedData!C81</f>
        <v>0</v>
      </c>
      <c r="K80" s="39">
        <f>$J$3+[51]FormattedData!D81*$J$4+$M$4*$J$5+[51]FormattedData!D81^2*$J$6+$M$5*$J$7</f>
        <v>-0.69867901580701808</v>
      </c>
      <c r="L80" s="39">
        <f>$J$3+[51]FormattedData!E81*$J$4+$M$4*$J$5+[51]FormattedData!E81^2*$J$6+$M$5*$J$7</f>
        <v>-0.69867901580701808</v>
      </c>
      <c r="M80" s="39">
        <f>$J$3+[51]FormattedData!F81*$J$4+$M$4*$J$5+[51]FormattedData!F81^2*$J$6+$M$5*$J$7</f>
        <v>-0.69867901580701808</v>
      </c>
      <c r="N80" s="39">
        <f>$J$3+[51]FormattedData!G81*$J$4+$M$4*$J$5+[51]FormattedData!G81^2*$J$6+$M$5*$J$7</f>
        <v>-0.69867901580701808</v>
      </c>
      <c r="O80" s="39">
        <f>$J$3+[51]FormattedData!H81*$J$4+$M$4*$J$5+[51]FormattedData!H81^2*$J$6+$M$5*$J$7</f>
        <v>-0.69867901580701808</v>
      </c>
      <c r="P80" s="39">
        <f>$J$3+[51]FormattedData!I81*$J$4+$M$4*$J$5+[51]FormattedData!I81^2*$J$6+$M$5*$J$7</f>
        <v>-0.69867901580701808</v>
      </c>
      <c r="Q80" s="39">
        <f>$J$3+[51]FormattedData!J81*$J$4+$M$4*$J$5+[51]FormattedData!J81^2*$J$6+$M$5*$J$7</f>
        <v>-0.69867901580701808</v>
      </c>
      <c r="R80" s="39">
        <f>$J$3+[51]FormattedData!K81*$J$4+$M$4*$J$5+[51]FormattedData!K81^2*$J$6+$M$5*$J$7</f>
        <v>-0.69867901580701808</v>
      </c>
      <c r="S80" s="39">
        <f>$J$3+[51]FormattedData!L81*$J$4+$M$4*$J$5+[51]FormattedData!L81^2*$J$6+$M$5*$J$7</f>
        <v>-0.69867901580701808</v>
      </c>
      <c r="T80" s="39">
        <f>$J$3+[51]FormattedData!M81*$J$4+$M$4*$J$5+[51]FormattedData!M81^2*$J$6+$M$5*$J$7</f>
        <v>-0.69867901580701808</v>
      </c>
      <c r="U80" s="39">
        <f>$J$3+[51]FormattedData!N81*$J$4+$M$4*$J$5+[51]FormattedData!N81^2*$J$6+$M$5*$J$7</f>
        <v>-0.69867901580701808</v>
      </c>
      <c r="V80" s="39">
        <f>$J$3+[51]FormattedData!O81*$J$4+$M$4*$J$5+[51]FormattedData!O81^2*$J$6+$M$5*$J$7</f>
        <v>-0.69867901580701808</v>
      </c>
      <c r="W80" s="38">
        <f>AVERAGE(K80:V80)</f>
        <v>-0.69867901580701808</v>
      </c>
      <c r="X80" s="37">
        <f>STDEV(K80:V80)/SQRT(COUNT(K80:V80))</f>
        <v>0</v>
      </c>
      <c r="Y80" s="36">
        <f>MIN(K80:V80)</f>
        <v>-0.69867901580701808</v>
      </c>
      <c r="Z80" s="35">
        <f>QUARTILE(K80:V80,1)</f>
        <v>-0.69867901580701808</v>
      </c>
      <c r="AA80" s="36">
        <f>MEDIAN(K80:V80)</f>
        <v>-0.69867901580701808</v>
      </c>
      <c r="AB80" s="35">
        <f>QUARTILE(K80:V80,3)</f>
        <v>-0.69867901580701808</v>
      </c>
      <c r="AC80" s="35">
        <f>MAX(K80:V80)</f>
        <v>-0.69867901580701808</v>
      </c>
      <c r="AD80" s="35" t="e">
        <f>SKEW(K80:V80)</f>
        <v>#DIV/0!</v>
      </c>
      <c r="AE80" s="35" t="e">
        <f>KURT(K80:V80)</f>
        <v>#DIV/0!</v>
      </c>
    </row>
    <row r="81" spans="2:31" x14ac:dyDescent="0.2">
      <c r="B81" s="34">
        <f>[51]FormattedData!A79</f>
        <v>0</v>
      </c>
      <c r="C81" s="34" t="e">
        <f>VLOOKUP($B81,[51]TrtCodes!$B$11:I122,2)</f>
        <v>#N/A</v>
      </c>
      <c r="D81" s="34" t="e">
        <f>VLOOKUP($B81,[51]TrtCodes!$B$11:J122,3)</f>
        <v>#N/A</v>
      </c>
      <c r="E81" s="34" t="e">
        <f>VLOOKUP($B81,[51]TrtCodes!$B$11:K122,4)</f>
        <v>#N/A</v>
      </c>
      <c r="F81" s="34" t="e">
        <f>VLOOKUP($B81,[51]TrtCodes!$B$11:L122,5)</f>
        <v>#N/A</v>
      </c>
      <c r="G81" s="34" t="e">
        <f>VLOOKUP($B81,[51]TrtCodes!$B$11:M122,6)</f>
        <v>#N/A</v>
      </c>
      <c r="H81" s="34" t="e">
        <f>VLOOKUP($B81,[51]TrtCodes!$B$11:N122,7)</f>
        <v>#N/A</v>
      </c>
      <c r="I81" s="34">
        <f>[51]FormattedData!B79</f>
        <v>0</v>
      </c>
      <c r="J81" s="37">
        <f>[51]FormattedData!C79</f>
        <v>0</v>
      </c>
      <c r="K81" s="39">
        <f>$J$3+[51]FormattedData!D79*$J$4+$M$4*$J$5+[51]FormattedData!D79^2*$J$6+$M$5*$J$7</f>
        <v>-0.69867901580701808</v>
      </c>
      <c r="L81" s="39">
        <f>$J$3+[51]FormattedData!E79*$J$4+$M$4*$J$5+[51]FormattedData!E79^2*$J$6+$M$5*$J$7</f>
        <v>-0.69867901580701808</v>
      </c>
      <c r="M81" s="39">
        <f>$J$3+[51]FormattedData!F79*$J$4+$M$4*$J$5+[51]FormattedData!F79^2*$J$6+$M$5*$J$7</f>
        <v>-0.69867901580701808</v>
      </c>
      <c r="N81" s="39">
        <f>$J$3+[51]FormattedData!G79*$J$4+$M$4*$J$5+[51]FormattedData!G79^2*$J$6+$M$5*$J$7</f>
        <v>-0.69867901580701808</v>
      </c>
      <c r="O81" s="39">
        <f>$J$3+[51]FormattedData!H79*$J$4+$M$4*$J$5+[51]FormattedData!H79^2*$J$6+$M$5*$J$7</f>
        <v>-0.69867901580701808</v>
      </c>
      <c r="P81" s="39">
        <f>$J$3+[51]FormattedData!I79*$J$4+$M$4*$J$5+[51]FormattedData!I79^2*$J$6+$M$5*$J$7</f>
        <v>-0.69867901580701808</v>
      </c>
      <c r="Q81" s="39">
        <f>$J$3+[51]FormattedData!J79*$J$4+$M$4*$J$5+[51]FormattedData!J79^2*$J$6+$M$5*$J$7</f>
        <v>-0.69867901580701808</v>
      </c>
      <c r="R81" s="39">
        <f>$J$3+[51]FormattedData!K79*$J$4+$M$4*$J$5+[51]FormattedData!K79^2*$J$6+$M$5*$J$7</f>
        <v>-0.69867901580701808</v>
      </c>
      <c r="S81" s="39">
        <f>$J$3+[51]FormattedData!L79*$J$4+$M$4*$J$5+[51]FormattedData!L79^2*$J$6+$M$5*$J$7</f>
        <v>-0.69867901580701808</v>
      </c>
      <c r="T81" s="39">
        <f>$J$3+[51]FormattedData!M79*$J$4+$M$4*$J$5+[51]FormattedData!M79^2*$J$6+$M$5*$J$7</f>
        <v>-0.69867901580701808</v>
      </c>
      <c r="U81" s="39">
        <f>$J$3+[51]FormattedData!N79*$J$4+$M$4*$J$5+[51]FormattedData!N79^2*$J$6+$M$5*$J$7</f>
        <v>-0.69867901580701808</v>
      </c>
      <c r="V81" s="39">
        <f>$J$3+[51]FormattedData!O79*$J$4+$M$4*$J$5+[51]FormattedData!O79^2*$J$6+$M$5*$J$7</f>
        <v>-0.69867901580701808</v>
      </c>
      <c r="W81" s="38">
        <f>AVERAGE(K81:V81)</f>
        <v>-0.69867901580701808</v>
      </c>
      <c r="X81" s="37">
        <f>STDEV(K81:V81)/SQRT(COUNT(K81:V81))</f>
        <v>0</v>
      </c>
      <c r="Y81" s="36">
        <f>MIN(K81:V81)</f>
        <v>-0.69867901580701808</v>
      </c>
      <c r="Z81" s="35">
        <f>QUARTILE(K81:V81,1)</f>
        <v>-0.69867901580701808</v>
      </c>
      <c r="AA81" s="36">
        <f>MEDIAN(K81:V81)</f>
        <v>-0.69867901580701808</v>
      </c>
      <c r="AB81" s="35">
        <f>QUARTILE(K81:V81,3)</f>
        <v>-0.69867901580701808</v>
      </c>
      <c r="AC81" s="35">
        <f>MAX(K81:V81)</f>
        <v>-0.69867901580701808</v>
      </c>
      <c r="AD81" s="35" t="e">
        <f>SKEW(K81:V81)</f>
        <v>#DIV/0!</v>
      </c>
      <c r="AE81" s="35" t="e">
        <f>KURT(K81:V81)</f>
        <v>#DIV/0!</v>
      </c>
    </row>
    <row r="82" spans="2:31" x14ac:dyDescent="0.2">
      <c r="B82" s="34">
        <f>[51]FormattedData!A59</f>
        <v>0</v>
      </c>
      <c r="C82" s="34" t="e">
        <f>VLOOKUP($B82,[51]TrtCodes!$B$11:I102,2)</f>
        <v>#N/A</v>
      </c>
      <c r="D82" s="34" t="e">
        <f>VLOOKUP($B82,[51]TrtCodes!$B$11:J102,3)</f>
        <v>#N/A</v>
      </c>
      <c r="E82" s="34" t="e">
        <f>VLOOKUP($B82,[51]TrtCodes!$B$11:K102,4)</f>
        <v>#N/A</v>
      </c>
      <c r="F82" s="34" t="e">
        <f>VLOOKUP($B82,[51]TrtCodes!$B$11:L102,5)</f>
        <v>#N/A</v>
      </c>
      <c r="G82" s="34" t="e">
        <f>VLOOKUP($B82,[51]TrtCodes!$B$11:M102,6)</f>
        <v>#N/A</v>
      </c>
      <c r="H82" s="34" t="e">
        <f>VLOOKUP($B82,[51]TrtCodes!$B$11:N102,7)</f>
        <v>#N/A</v>
      </c>
      <c r="I82" s="34">
        <f>[51]FormattedData!B59</f>
        <v>0</v>
      </c>
      <c r="J82" s="37">
        <f>[51]FormattedData!C59</f>
        <v>0</v>
      </c>
      <c r="K82" s="39">
        <f>$J$3+[51]FormattedData!D59*$J$4+$M$4*$J$5+[51]FormattedData!D59^2*$J$6+$M$5*$J$7</f>
        <v>-0.69867901580701808</v>
      </c>
      <c r="L82" s="39">
        <f>$J$3+[51]FormattedData!E59*$J$4+$M$4*$J$5+[51]FormattedData!E59^2*$J$6+$M$5*$J$7</f>
        <v>-0.69867901580701808</v>
      </c>
      <c r="M82" s="39">
        <f>$J$3+[51]FormattedData!F59*$J$4+$M$4*$J$5+[51]FormattedData!F59^2*$J$6+$M$5*$J$7</f>
        <v>-0.69867901580701808</v>
      </c>
      <c r="N82" s="39">
        <f>$J$3+[51]FormattedData!G59*$J$4+$M$4*$J$5+[51]FormattedData!G59^2*$J$6+$M$5*$J$7</f>
        <v>-0.69867901580701808</v>
      </c>
      <c r="O82" s="39">
        <f>$J$3+[51]FormattedData!H59*$J$4+$M$4*$J$5+[51]FormattedData!H59^2*$J$6+$M$5*$J$7</f>
        <v>-0.69867901580701808</v>
      </c>
      <c r="P82" s="39">
        <f>$J$3+[51]FormattedData!I59*$J$4+$M$4*$J$5+[51]FormattedData!I59^2*$J$6+$M$5*$J$7</f>
        <v>-0.69867901580701808</v>
      </c>
      <c r="Q82" s="39">
        <f>$J$3+[51]FormattedData!J59*$J$4+$M$4*$J$5+[51]FormattedData!J59^2*$J$6+$M$5*$J$7</f>
        <v>-0.69867901580701808</v>
      </c>
      <c r="R82" s="39">
        <f>$J$3+[51]FormattedData!K59*$J$4+$M$4*$J$5+[51]FormattedData!K59^2*$J$6+$M$5*$J$7</f>
        <v>-0.69867901580701808</v>
      </c>
      <c r="S82" s="39">
        <f>$J$3+[51]FormattedData!L59*$J$4+$M$4*$J$5+[51]FormattedData!L59^2*$J$6+$M$5*$J$7</f>
        <v>-0.69867901580701808</v>
      </c>
      <c r="T82" s="39">
        <f>$J$3+[51]FormattedData!M59*$J$4+$M$4*$J$5+[51]FormattedData!M59^2*$J$6+$M$5*$J$7</f>
        <v>-0.69867901580701808</v>
      </c>
      <c r="U82" s="39">
        <f>$J$3+[51]FormattedData!N59*$J$4+$M$4*$J$5+[51]FormattedData!N59^2*$J$6+$M$5*$J$7</f>
        <v>-0.69867901580701808</v>
      </c>
      <c r="V82" s="39">
        <f>$J$3+[51]FormattedData!O59*$J$4+$M$4*$J$5+[51]FormattedData!O59^2*$J$6+$M$5*$J$7</f>
        <v>-0.69867901580701808</v>
      </c>
      <c r="W82" s="38">
        <f>AVERAGE(K82:V82)</f>
        <v>-0.69867901580701808</v>
      </c>
      <c r="X82" s="37">
        <f>STDEV(K82:V82)/SQRT(COUNT(K82:V82))</f>
        <v>0</v>
      </c>
      <c r="Y82" s="36">
        <f>MIN(K82:V82)</f>
        <v>-0.69867901580701808</v>
      </c>
      <c r="Z82" s="35">
        <f>QUARTILE(K82:V82,1)</f>
        <v>-0.69867901580701808</v>
      </c>
      <c r="AA82" s="36">
        <f>MEDIAN(K82:V82)</f>
        <v>-0.69867901580701808</v>
      </c>
      <c r="AB82" s="35">
        <f>QUARTILE(K82:V82,3)</f>
        <v>-0.69867901580701808</v>
      </c>
      <c r="AC82" s="35">
        <f>MAX(K82:V82)</f>
        <v>-0.69867901580701808</v>
      </c>
      <c r="AD82" s="35" t="e">
        <f>SKEW(K82:V82)</f>
        <v>#DIV/0!</v>
      </c>
      <c r="AE82" s="35" t="e">
        <f>KURT(K82:V82)</f>
        <v>#DIV/0!</v>
      </c>
    </row>
    <row r="83" spans="2:31" x14ac:dyDescent="0.2">
      <c r="B83" s="34">
        <f>[51]FormattedData!A55</f>
        <v>0</v>
      </c>
      <c r="C83" s="34" t="e">
        <f>VLOOKUP($B83,[51]TrtCodes!$B$11:I98,2)</f>
        <v>#N/A</v>
      </c>
      <c r="D83" s="34" t="e">
        <f>VLOOKUP($B83,[51]TrtCodes!$B$11:J98,3)</f>
        <v>#N/A</v>
      </c>
      <c r="E83" s="34" t="e">
        <f>VLOOKUP($B83,[51]TrtCodes!$B$11:K98,4)</f>
        <v>#N/A</v>
      </c>
      <c r="F83" s="34" t="e">
        <f>VLOOKUP($B83,[51]TrtCodes!$B$11:L98,5)</f>
        <v>#N/A</v>
      </c>
      <c r="G83" s="34" t="e">
        <f>VLOOKUP($B83,[51]TrtCodes!$B$11:M98,6)</f>
        <v>#N/A</v>
      </c>
      <c r="H83" s="34" t="e">
        <f>VLOOKUP($B83,[51]TrtCodes!$B$11:N98,7)</f>
        <v>#N/A</v>
      </c>
      <c r="I83" s="34">
        <f>[51]FormattedData!B55</f>
        <v>0</v>
      </c>
      <c r="J83" s="37">
        <f>[51]FormattedData!C55</f>
        <v>0</v>
      </c>
      <c r="K83" s="39">
        <f>$J$3+[51]FormattedData!D55*$J$4+$M$4*$J$5+[51]FormattedData!D55^2*$J$6+$M$5*$J$7</f>
        <v>-0.69867901580701808</v>
      </c>
      <c r="L83" s="39">
        <f>$J$3+[51]FormattedData!E55*$J$4+$M$4*$J$5+[51]FormattedData!E55^2*$J$6+$M$5*$J$7</f>
        <v>-0.69867901580701808</v>
      </c>
      <c r="M83" s="39">
        <f>$J$3+[51]FormattedData!F55*$J$4+$M$4*$J$5+[51]FormattedData!F55^2*$J$6+$M$5*$J$7</f>
        <v>-0.69867901580701808</v>
      </c>
      <c r="N83" s="39">
        <f>$J$3+[51]FormattedData!G55*$J$4+$M$4*$J$5+[51]FormattedData!G55^2*$J$6+$M$5*$J$7</f>
        <v>-0.69867901580701808</v>
      </c>
      <c r="O83" s="39">
        <f>$J$3+[51]FormattedData!H55*$J$4+$M$4*$J$5+[51]FormattedData!H55^2*$J$6+$M$5*$J$7</f>
        <v>-0.69867901580701808</v>
      </c>
      <c r="P83" s="39">
        <f>$J$3+[51]FormattedData!I55*$J$4+$M$4*$J$5+[51]FormattedData!I55^2*$J$6+$M$5*$J$7</f>
        <v>-0.69867901580701808</v>
      </c>
      <c r="Q83" s="39">
        <f>$J$3+[51]FormattedData!J55*$J$4+$M$4*$J$5+[51]FormattedData!J55^2*$J$6+$M$5*$J$7</f>
        <v>-0.69867901580701808</v>
      </c>
      <c r="R83" s="39">
        <f>$J$3+[51]FormattedData!K55*$J$4+$M$4*$J$5+[51]FormattedData!K55^2*$J$6+$M$5*$J$7</f>
        <v>-0.69867901580701808</v>
      </c>
      <c r="S83" s="39">
        <f>$J$3+[51]FormattedData!L55*$J$4+$M$4*$J$5+[51]FormattedData!L55^2*$J$6+$M$5*$J$7</f>
        <v>-0.69867901580701808</v>
      </c>
      <c r="T83" s="39">
        <f>$J$3+[51]FormattedData!M55*$J$4+$M$4*$J$5+[51]FormattedData!M55^2*$J$6+$M$5*$J$7</f>
        <v>-0.69867901580701808</v>
      </c>
      <c r="U83" s="39">
        <f>$J$3+[51]FormattedData!N55*$J$4+$M$4*$J$5+[51]FormattedData!N55^2*$J$6+$M$5*$J$7</f>
        <v>-0.69867901580701808</v>
      </c>
      <c r="V83" s="39">
        <f>$J$3+[51]FormattedData!O55*$J$4+$M$4*$J$5+[51]FormattedData!O55^2*$J$6+$M$5*$J$7</f>
        <v>-0.69867901580701808</v>
      </c>
      <c r="W83" s="38">
        <f>AVERAGE(K83:V83)</f>
        <v>-0.69867901580701808</v>
      </c>
      <c r="X83" s="37">
        <f>STDEV(K83:V83)/SQRT(COUNT(K83:V83))</f>
        <v>0</v>
      </c>
      <c r="Y83" s="36">
        <f>MIN(K83:V83)</f>
        <v>-0.69867901580701808</v>
      </c>
      <c r="Z83" s="35">
        <f>QUARTILE(K83:V83,1)</f>
        <v>-0.69867901580701808</v>
      </c>
      <c r="AA83" s="36">
        <f>MEDIAN(K83:V83)</f>
        <v>-0.69867901580701808</v>
      </c>
      <c r="AB83" s="35">
        <f>QUARTILE(K83:V83,3)</f>
        <v>-0.69867901580701808</v>
      </c>
      <c r="AC83" s="35">
        <f>MAX(K83:V83)</f>
        <v>-0.69867901580701808</v>
      </c>
      <c r="AD83" s="35" t="e">
        <f>SKEW(K83:V83)</f>
        <v>#DIV/0!</v>
      </c>
      <c r="AE83" s="35" t="e">
        <f>KURT(K83:V83)</f>
        <v>#DIV/0!</v>
      </c>
    </row>
    <row r="84" spans="2:31" x14ac:dyDescent="0.2">
      <c r="B84" s="34">
        <f>[51]FormattedData!A51</f>
        <v>0</v>
      </c>
      <c r="C84" s="34" t="e">
        <f>VLOOKUP($B84,[51]TrtCodes!$B$11:I94,2)</f>
        <v>#N/A</v>
      </c>
      <c r="D84" s="34" t="e">
        <f>VLOOKUP($B84,[51]TrtCodes!$B$11:J94,3)</f>
        <v>#N/A</v>
      </c>
      <c r="E84" s="34" t="e">
        <f>VLOOKUP($B84,[51]TrtCodes!$B$11:K94,4)</f>
        <v>#N/A</v>
      </c>
      <c r="F84" s="34" t="e">
        <f>VLOOKUP($B84,[51]TrtCodes!$B$11:L94,5)</f>
        <v>#N/A</v>
      </c>
      <c r="G84" s="34" t="e">
        <f>VLOOKUP($B84,[51]TrtCodes!$B$11:M94,6)</f>
        <v>#N/A</v>
      </c>
      <c r="H84" s="34" t="e">
        <f>VLOOKUP($B84,[51]TrtCodes!$B$11:N94,7)</f>
        <v>#N/A</v>
      </c>
      <c r="I84" s="34">
        <f>[51]FormattedData!B51</f>
        <v>0</v>
      </c>
      <c r="J84" s="37">
        <f>[51]FormattedData!C51</f>
        <v>0</v>
      </c>
      <c r="K84" s="39">
        <f>$J$3+[51]FormattedData!D51*$J$4+$M$4*$J$5+[51]FormattedData!D51^2*$J$6+$M$5*$J$7</f>
        <v>-0.69867901580701808</v>
      </c>
      <c r="L84" s="39">
        <f>$J$3+[51]FormattedData!E51*$J$4+$M$4*$J$5+[51]FormattedData!E51^2*$J$6+$M$5*$J$7</f>
        <v>-0.69867901580701808</v>
      </c>
      <c r="M84" s="39">
        <f>$J$3+[51]FormattedData!F51*$J$4+$M$4*$J$5+[51]FormattedData!F51^2*$J$6+$M$5*$J$7</f>
        <v>-0.69867901580701808</v>
      </c>
      <c r="N84" s="39">
        <f>$J$3+[51]FormattedData!G51*$J$4+$M$4*$J$5+[51]FormattedData!G51^2*$J$6+$M$5*$J$7</f>
        <v>-0.69867901580701808</v>
      </c>
      <c r="O84" s="39">
        <f>$J$3+[51]FormattedData!H51*$J$4+$M$4*$J$5+[51]FormattedData!H51^2*$J$6+$M$5*$J$7</f>
        <v>-0.69867901580701808</v>
      </c>
      <c r="P84" s="39">
        <f>$J$3+[51]FormattedData!I51*$J$4+$M$4*$J$5+[51]FormattedData!I51^2*$J$6+$M$5*$J$7</f>
        <v>-0.69867901580701808</v>
      </c>
      <c r="Q84" s="39">
        <f>$J$3+[51]FormattedData!J51*$J$4+$M$4*$J$5+[51]FormattedData!J51^2*$J$6+$M$5*$J$7</f>
        <v>-0.69867901580701808</v>
      </c>
      <c r="R84" s="39">
        <f>$J$3+[51]FormattedData!K51*$J$4+$M$4*$J$5+[51]FormattedData!K51^2*$J$6+$M$5*$J$7</f>
        <v>-0.69867901580701808</v>
      </c>
      <c r="S84" s="39">
        <f>$J$3+[51]FormattedData!L51*$J$4+$M$4*$J$5+[51]FormattedData!L51^2*$J$6+$M$5*$J$7</f>
        <v>-0.69867901580701808</v>
      </c>
      <c r="T84" s="39">
        <f>$J$3+[51]FormattedData!M51*$J$4+$M$4*$J$5+[51]FormattedData!M51^2*$J$6+$M$5*$J$7</f>
        <v>-0.69867901580701808</v>
      </c>
      <c r="U84" s="39">
        <f>$J$3+[51]FormattedData!N51*$J$4+$M$4*$J$5+[51]FormattedData!N51^2*$J$6+$M$5*$J$7</f>
        <v>-0.69867901580701808</v>
      </c>
      <c r="V84" s="39">
        <f>$J$3+[51]FormattedData!O51*$J$4+$M$4*$J$5+[51]FormattedData!O51^2*$J$6+$M$5*$J$7</f>
        <v>-0.69867901580701808</v>
      </c>
      <c r="W84" s="38">
        <f>AVERAGE(K84:V84)</f>
        <v>-0.69867901580701808</v>
      </c>
      <c r="X84" s="37">
        <f>STDEV(K84:V84)/SQRT(COUNT(K84:V84))</f>
        <v>0</v>
      </c>
      <c r="Y84" s="36">
        <f>MIN(K84:V84)</f>
        <v>-0.69867901580701808</v>
      </c>
      <c r="Z84" s="35">
        <f>QUARTILE(K84:V84,1)</f>
        <v>-0.69867901580701808</v>
      </c>
      <c r="AA84" s="36">
        <f>MEDIAN(K84:V84)</f>
        <v>-0.69867901580701808</v>
      </c>
      <c r="AB84" s="35">
        <f>QUARTILE(K84:V84,3)</f>
        <v>-0.69867901580701808</v>
      </c>
      <c r="AC84" s="35">
        <f>MAX(K84:V84)</f>
        <v>-0.69867901580701808</v>
      </c>
      <c r="AD84" s="35" t="e">
        <f>SKEW(K84:V84)</f>
        <v>#DIV/0!</v>
      </c>
      <c r="AE84" s="35" t="e">
        <f>KURT(K84:V84)</f>
        <v>#DIV/0!</v>
      </c>
    </row>
    <row r="85" spans="2:31" x14ac:dyDescent="0.2">
      <c r="B85" s="34">
        <f>[51]FormattedData!A47</f>
        <v>0</v>
      </c>
      <c r="C85" s="34" t="e">
        <f>VLOOKUP($B85,[51]TrtCodes!$B$11:I90,2)</f>
        <v>#N/A</v>
      </c>
      <c r="D85" s="34" t="e">
        <f>VLOOKUP($B85,[51]TrtCodes!$B$11:J90,3)</f>
        <v>#N/A</v>
      </c>
      <c r="E85" s="34" t="e">
        <f>VLOOKUP($B85,[51]TrtCodes!$B$11:K90,4)</f>
        <v>#N/A</v>
      </c>
      <c r="F85" s="34" t="e">
        <f>VLOOKUP($B85,[51]TrtCodes!$B$11:L90,5)</f>
        <v>#N/A</v>
      </c>
      <c r="G85" s="34" t="e">
        <f>VLOOKUP($B85,[51]TrtCodes!$B$11:M90,6)</f>
        <v>#N/A</v>
      </c>
      <c r="H85" s="34" t="e">
        <f>VLOOKUP($B85,[51]TrtCodes!$B$11:N90,7)</f>
        <v>#N/A</v>
      </c>
      <c r="I85" s="34">
        <f>[51]FormattedData!B47</f>
        <v>0</v>
      </c>
      <c r="J85" s="37">
        <f>[51]FormattedData!C47</f>
        <v>0</v>
      </c>
      <c r="K85" s="39">
        <f>$J$3+[51]FormattedData!D47*$J$4+$M$4*$J$5+[51]FormattedData!D47^2*$J$6+$M$5*$J$7</f>
        <v>-0.69867901580701808</v>
      </c>
      <c r="L85" s="39">
        <f>$J$3+[51]FormattedData!E47*$J$4+$M$4*$J$5+[51]FormattedData!E47^2*$J$6+$M$5*$J$7</f>
        <v>-0.69867901580701808</v>
      </c>
      <c r="M85" s="39">
        <f>$J$3+[51]FormattedData!F47*$J$4+$M$4*$J$5+[51]FormattedData!F47^2*$J$6+$M$5*$J$7</f>
        <v>-0.69867901580701808</v>
      </c>
      <c r="N85" s="39">
        <f>$J$3+[51]FormattedData!G47*$J$4+$M$4*$J$5+[51]FormattedData!G47^2*$J$6+$M$5*$J$7</f>
        <v>-0.69867901580701808</v>
      </c>
      <c r="O85" s="39">
        <f>$J$3+[51]FormattedData!H47*$J$4+$M$4*$J$5+[51]FormattedData!H47^2*$J$6+$M$5*$J$7</f>
        <v>-0.69867901580701808</v>
      </c>
      <c r="P85" s="39">
        <f>$J$3+[51]FormattedData!I47*$J$4+$M$4*$J$5+[51]FormattedData!I47^2*$J$6+$M$5*$J$7</f>
        <v>-0.69867901580701808</v>
      </c>
      <c r="Q85" s="39">
        <f>$J$3+[51]FormattedData!J47*$J$4+$M$4*$J$5+[51]FormattedData!J47^2*$J$6+$M$5*$J$7</f>
        <v>-0.69867901580701808</v>
      </c>
      <c r="R85" s="39">
        <f>$J$3+[51]FormattedData!K47*$J$4+$M$4*$J$5+[51]FormattedData!K47^2*$J$6+$M$5*$J$7</f>
        <v>-0.69867901580701808</v>
      </c>
      <c r="S85" s="39">
        <f>$J$3+[51]FormattedData!L47*$J$4+$M$4*$J$5+[51]FormattedData!L47^2*$J$6+$M$5*$J$7</f>
        <v>-0.69867901580701808</v>
      </c>
      <c r="T85" s="39">
        <f>$J$3+[51]FormattedData!M47*$J$4+$M$4*$J$5+[51]FormattedData!M47^2*$J$6+$M$5*$J$7</f>
        <v>-0.69867901580701808</v>
      </c>
      <c r="U85" s="39">
        <f>$J$3+[51]FormattedData!N47*$J$4+$M$4*$J$5+[51]FormattedData!N47^2*$J$6+$M$5*$J$7</f>
        <v>-0.69867901580701808</v>
      </c>
      <c r="V85" s="39">
        <f>$J$3+[51]FormattedData!O47*$J$4+$M$4*$J$5+[51]FormattedData!O47^2*$J$6+$M$5*$J$7</f>
        <v>-0.69867901580701808</v>
      </c>
      <c r="W85" s="38">
        <f>AVERAGE(K85:V85)</f>
        <v>-0.69867901580701808</v>
      </c>
      <c r="X85" s="37">
        <f>STDEV(K85:V85)/SQRT(COUNT(K85:V85))</f>
        <v>0</v>
      </c>
      <c r="Y85" s="36">
        <f>MIN(K85:V85)</f>
        <v>-0.69867901580701808</v>
      </c>
      <c r="Z85" s="35">
        <f>QUARTILE(K85:V85,1)</f>
        <v>-0.69867901580701808</v>
      </c>
      <c r="AA85" s="36">
        <f>MEDIAN(K85:V85)</f>
        <v>-0.69867901580701808</v>
      </c>
      <c r="AB85" s="35">
        <f>QUARTILE(K85:V85,3)</f>
        <v>-0.69867901580701808</v>
      </c>
      <c r="AC85" s="35">
        <f>MAX(K85:V85)</f>
        <v>-0.69867901580701808</v>
      </c>
      <c r="AD85" s="35" t="e">
        <f>SKEW(K85:V85)</f>
        <v>#DIV/0!</v>
      </c>
      <c r="AE85" s="35" t="e">
        <f>KURT(K85:V85)</f>
        <v>#DIV/0!</v>
      </c>
    </row>
    <row r="88" spans="2:31" x14ac:dyDescent="0.2">
      <c r="W88" s="35"/>
    </row>
  </sheetData>
  <autoFilter ref="B9:AE85" xr:uid="{61C92754-903A-4FD2-AE69-82815B482B40}"/>
  <conditionalFormatting sqref="K10:V85">
    <cfRule type="cellIs" dxfId="199" priority="1" stopIfTrue="1" operator="lessThan">
      <formula>$W10-$V$5*$X10</formula>
    </cfRule>
    <cfRule type="cellIs" dxfId="198" priority="2" stopIfTrue="1" operator="greaterThan">
      <formula>$W10+$V$5*$X10</formula>
    </cfRule>
  </conditionalFormatting>
  <conditionalFormatting sqref="W10:W85">
    <cfRule type="cellIs" dxfId="197" priority="3" stopIfTrue="1" operator="lessThan">
      <formula>AVERAGE($W$10:$W$41)</formula>
    </cfRule>
    <cfRule type="cellIs" dxfId="19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67E2-2DD2-416D-B3EA-BAF5071D1FDF}">
  <sheetPr codeName="Sheet21"/>
  <dimension ref="A1:AI88"/>
  <sheetViews>
    <sheetView topLeftCell="A8" workbookViewId="0">
      <pane xSplit="4" ySplit="2" topLeftCell="J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[50]FormattedData!A1</f>
        <v>Raw data file name - 'IA139.03R'</v>
      </c>
    </row>
    <row r="2" spans="1:35" ht="15" x14ac:dyDescent="0.25">
      <c r="I2" s="65" t="s">
        <v>136</v>
      </c>
      <c r="J2" s="57"/>
      <c r="P2" s="64">
        <f>[50]AncillaryData!C10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[50]AncillaryData!E25</f>
        <v>36.1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"&amp;[50]AncillaryData!C7</f>
        <v>Time Sequence of Midday IRT Temps - FISE 2003 - DOY 139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"&amp;[50]AncillaryData!E25&amp;", VPD = "&amp;ROUND([50]AncillaryData!E29,1)&amp;", Quality = "&amp;[50]AncillaryData!C20&amp;")"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[50]FormattedData!A28</f>
        <v>101</v>
      </c>
      <c r="C10" s="34" t="str">
        <f>VLOOKUP($B10,[50]TrtCodes!$B$11:I71,2)</f>
        <v>FSH</v>
      </c>
      <c r="D10" s="34">
        <f>VLOOKUP($B10,[50]TrtCodes!$B$11:J71,3)</f>
        <v>1</v>
      </c>
      <c r="E10" s="34">
        <f>VLOOKUP($B10,[50]TrtCodes!$B$11:K71,4)</f>
        <v>1</v>
      </c>
      <c r="F10" s="34">
        <f>VLOOKUP($B10,[50]TrtCodes!$B$11:L71,5)</f>
        <v>1</v>
      </c>
      <c r="G10" s="34">
        <f>VLOOKUP($B10,[50]TrtCodes!$B$11:M71,6)</f>
        <v>2</v>
      </c>
      <c r="H10" s="34">
        <f>VLOOKUP($B10,[50]TrtCodes!$B$11:N71,7)</f>
        <v>1</v>
      </c>
      <c r="I10" s="34">
        <f>[50]FormattedData!B28</f>
        <v>1</v>
      </c>
      <c r="J10" s="37">
        <f>[50]FormattedData!C28</f>
        <v>12.973000000000001</v>
      </c>
      <c r="K10" s="39">
        <f>$J$3+[50]FormattedData!D28*$J$4+$M$4*$J$5+[50]FormattedData!D28^2*$J$6+$M$5*$J$7</f>
        <v>51.924738885877005</v>
      </c>
      <c r="L10" s="39">
        <f>$J$3+[50]FormattedData!E28*$J$4+$M$4*$J$5+[50]FormattedData!E28^2*$J$6+$M$5*$J$7</f>
        <v>53.661085191155777</v>
      </c>
      <c r="M10" s="39">
        <f>$J$3+[50]FormattedData!F28*$J$4+$M$4*$J$5+[50]FormattedData!F28^2*$J$6+$M$5*$J$7</f>
        <v>53.574669427002178</v>
      </c>
      <c r="N10" s="39">
        <f>$J$3+[50]FormattedData!G28*$J$4+$M$4*$J$5+[50]FormattedData!G28^2*$J$6+$M$5*$J$7</f>
        <v>53.92007887238897</v>
      </c>
      <c r="O10" s="39">
        <f>$J$3+[50]FormattedData!H28*$J$4+$M$4*$J$5+[50]FormattedData!H28^2*$J$6+$M$5*$J$7</f>
        <v>54.350889637019002</v>
      </c>
      <c r="P10" s="39">
        <f>$J$3+[50]FormattedData!I28*$J$4+$M$4*$J$5+[50]FormattedData!I28^2*$J$6+$M$5*$J$7</f>
        <v>52.621306297809213</v>
      </c>
      <c r="Q10" s="39">
        <f>$J$3+[50]FormattedData!J28*$J$4+$M$4*$J$5+[50]FormattedData!J28^2*$J$6+$M$5*$J$7</f>
        <v>54.092529983854774</v>
      </c>
      <c r="R10" s="39">
        <f>$J$3+[50]FormattedData!K28*$J$4+$M$4*$J$5+[50]FormattedData!K28^2*$J$6+$M$5*$J$7</f>
        <v>52.273360740146558</v>
      </c>
      <c r="S10" s="39">
        <f>$J$3+[50]FormattedData!L28*$J$4+$M$4*$J$5+[50]FormattedData!L28^2*$J$6+$M$5*$J$7</f>
        <v>55.46605220611913</v>
      </c>
      <c r="T10" s="39">
        <f>$J$3+[50]FormattedData!M28*$J$4+$M$4*$J$5+[50]FormattedData!M28^2*$J$6+$M$5*$J$7</f>
        <v>52.011957752251291</v>
      </c>
      <c r="U10" s="39">
        <f>$J$3+[50]FormattedData!N28*$J$4+$M$4*$J$5+[50]FormattedData!N28^2*$J$6+$M$5*$J$7</f>
        <v>54.780643688200755</v>
      </c>
      <c r="V10" s="39">
        <f>$J$3+[50]FormattedData!O28*$J$4+$M$4*$J$5+[50]FormattedData!O28^2*$J$6+$M$5*$J$7</f>
        <v>52.881821646407928</v>
      </c>
      <c r="W10" s="38">
        <f>AVERAGE(K10:V10)</f>
        <v>53.463261194019374</v>
      </c>
      <c r="X10" s="37">
        <f>STDEV(K10:V10)/SQRT(COUNT(K10:V10))</f>
        <v>0.32714231119236842</v>
      </c>
      <c r="Y10" s="36">
        <f>MIN(K10:V10)</f>
        <v>51.924738885877005</v>
      </c>
      <c r="Z10" s="35">
        <f>QUARTILE(K10:V10,1)</f>
        <v>52.534319908393549</v>
      </c>
      <c r="AA10" s="36">
        <f>MEDIAN(K10:V10)</f>
        <v>53.617877309078978</v>
      </c>
      <c r="AB10" s="35">
        <f>QUARTILE(K10:V10,3)</f>
        <v>54.157119897145833</v>
      </c>
      <c r="AC10" s="35">
        <f>MAX(K10:V10)</f>
        <v>55.46605220611913</v>
      </c>
      <c r="AD10" s="35">
        <f>SKEW(K10:V10)</f>
        <v>0.16460801243296033</v>
      </c>
      <c r="AE10" s="35">
        <f>KURT(K10:V10)</f>
        <v>-0.92019215279898203</v>
      </c>
    </row>
    <row r="11" spans="1:35" x14ac:dyDescent="0.2">
      <c r="B11" s="34">
        <f>[50]FormattedData!A26</f>
        <v>102</v>
      </c>
      <c r="C11" s="34" t="str">
        <f>VLOOKUP($B11,[50]TrtCodes!$B$11:I69,2)</f>
        <v>FTL</v>
      </c>
      <c r="D11" s="34">
        <f>VLOOKUP($B11,[50]TrtCodes!$B$11:J69,3)</f>
        <v>4</v>
      </c>
      <c r="E11" s="34">
        <f>VLOOKUP($B11,[50]TrtCodes!$B$11:K69,4)</f>
        <v>1</v>
      </c>
      <c r="F11" s="34">
        <f>VLOOKUP($B11,[50]TrtCodes!$B$11:L69,5)</f>
        <v>2</v>
      </c>
      <c r="G11" s="34">
        <f>VLOOKUP($B11,[50]TrtCodes!$B$11:M69,6)</f>
        <v>1</v>
      </c>
      <c r="H11" s="34">
        <f>VLOOKUP($B11,[50]TrtCodes!$B$11:N69,7)</f>
        <v>1</v>
      </c>
      <c r="I11" s="34">
        <f>[50]FormattedData!B26</f>
        <v>1</v>
      </c>
      <c r="J11" s="37">
        <f>[50]FormattedData!C26</f>
        <v>12.964</v>
      </c>
      <c r="K11" s="39">
        <f>$J$3+[50]FormattedData!D26*$J$4+$M$4*$J$5+[50]FormattedData!D26^2*$J$6+$M$5*$J$7</f>
        <v>51.837477750964787</v>
      </c>
      <c r="L11" s="39">
        <f>$J$3+[50]FormattedData!E26*$J$4+$M$4*$J$5+[50]FormattedData!E26^2*$J$6+$M$5*$J$7</f>
        <v>54.006325562390828</v>
      </c>
      <c r="M11" s="39">
        <f>$J$3+[50]FormattedData!F26*$J$4+$M$4*$J$5+[50]FormattedData!F26^2*$J$6+$M$5*$J$7</f>
        <v>54.264812021168851</v>
      </c>
      <c r="N11" s="39">
        <f>$J$3+[50]FormattedData!G26*$J$4+$M$4*$J$5+[50]FormattedData!G26^2*$J$6+$M$5*$J$7</f>
        <v>53.833789913849166</v>
      </c>
      <c r="O11" s="39">
        <f>$J$3+[50]FormattedData!H26*$J$4+$M$4*$J$5+[50]FormattedData!H26^2*$J$6+$M$5*$J$7</f>
        <v>53.055287202784079</v>
      </c>
      <c r="P11" s="39">
        <f>$J$3+[50]FormattedData!I26*$J$4+$M$4*$J$5+[50]FormattedData!I26^2*$J$6+$M$5*$J$7</f>
        <v>52.534383311200443</v>
      </c>
      <c r="Q11" s="39">
        <f>$J$3+[50]FormattedData!J26*$J$4+$M$4*$J$5+[50]FormattedData!J26^2*$J$6+$M$5*$J$7</f>
        <v>54.092529983854774</v>
      </c>
      <c r="R11" s="39">
        <f>$J$3+[50]FormattedData!K26*$J$4+$M$4*$J$5+[50]FormattedData!K26^2*$J$6+$M$5*$J$7</f>
        <v>52.273360740146558</v>
      </c>
      <c r="S11" s="39">
        <f>$J$3+[50]FormattedData!L26*$J$4+$M$4*$J$5+[50]FormattedData!L26^2*$J$6+$M$5*$J$7</f>
        <v>53.747458686771445</v>
      </c>
      <c r="T11" s="39">
        <f>$J$3+[50]FormattedData!M26*$J$4+$M$4*$J$5+[50]FormattedData!M26^2*$J$6+$M$5*$J$7</f>
        <v>52.011957752251291</v>
      </c>
      <c r="U11" s="39">
        <f>$J$3+[50]FormattedData!N26*$J$4+$M$4*$J$5+[50]FormattedData!N26^2*$J$6+$M$5*$J$7</f>
        <v>53.574669427002178</v>
      </c>
      <c r="V11" s="39">
        <f>$J$3+[50]FormattedData!O26*$J$4+$M$4*$J$5+[50]FormattedData!O26^2*$J$6+$M$5*$J$7</f>
        <v>52.881821646407928</v>
      </c>
      <c r="W11" s="38">
        <f>AVERAGE(K11:V11)</f>
        <v>53.176156166566024</v>
      </c>
      <c r="X11" s="37">
        <f>STDEV(K11:V11)/SQRT(COUNT(K11:V11))</f>
        <v>0.24782916963865523</v>
      </c>
      <c r="Y11" s="36">
        <f>MIN(K11:V11)</f>
        <v>51.837477750964787</v>
      </c>
      <c r="Z11" s="35">
        <f>QUARTILE(K11:V11,1)</f>
        <v>52.469127668436968</v>
      </c>
      <c r="AA11" s="36">
        <f>MEDIAN(K11:V11)</f>
        <v>53.314978314893125</v>
      </c>
      <c r="AB11" s="35">
        <f>QUARTILE(K11:V11,3)</f>
        <v>53.876923825984584</v>
      </c>
      <c r="AC11" s="35">
        <f>MAX(K11:V11)</f>
        <v>54.264812021168851</v>
      </c>
      <c r="AD11" s="35">
        <f>SKEW(K11:V11)</f>
        <v>-0.31692836151626963</v>
      </c>
      <c r="AE11" s="35">
        <f>KURT(K11:V11)</f>
        <v>-1.4824663047058326</v>
      </c>
    </row>
    <row r="12" spans="1:35" x14ac:dyDescent="0.2">
      <c r="B12" s="34">
        <f>[50]FormattedData!A24</f>
        <v>103</v>
      </c>
      <c r="C12" s="34" t="str">
        <f>VLOOKUP($B12,[50]TrtCodes!$B$11:I67,2)</f>
        <v>FDH</v>
      </c>
      <c r="D12" s="34">
        <f>VLOOKUP($B12,[50]TrtCodes!$B$11:J67,3)</f>
        <v>5</v>
      </c>
      <c r="E12" s="34">
        <f>VLOOKUP($B12,[50]TrtCodes!$B$11:K67,4)</f>
        <v>1</v>
      </c>
      <c r="F12" s="34">
        <f>VLOOKUP($B12,[50]TrtCodes!$B$11:L67,5)</f>
        <v>3</v>
      </c>
      <c r="G12" s="34">
        <f>VLOOKUP($B12,[50]TrtCodes!$B$11:M67,6)</f>
        <v>2</v>
      </c>
      <c r="H12" s="34">
        <f>VLOOKUP($B12,[50]TrtCodes!$B$11:N67,7)</f>
        <v>1</v>
      </c>
      <c r="I12" s="34">
        <f>[50]FormattedData!B24</f>
        <v>1</v>
      </c>
      <c r="J12" s="37">
        <f>[50]FormattedData!C24</f>
        <v>12.956</v>
      </c>
      <c r="K12" s="39">
        <f>$J$3+[50]FormattedData!D24*$J$4+$M$4*$J$5+[50]FormattedData!D24^2*$J$6+$M$5*$J$7</f>
        <v>51.837477750964787</v>
      </c>
      <c r="L12" s="39">
        <f>$J$3+[50]FormattedData!E24*$J$4+$M$4*$J$5+[50]FormattedData!E24^2*$J$6+$M$5*$J$7</f>
        <v>53.661085191155777</v>
      </c>
      <c r="M12" s="39">
        <f>$J$3+[50]FormattedData!F24*$J$4+$M$4*$J$5+[50]FormattedData!F24^2*$J$6+$M$5*$J$7</f>
        <v>53.92007887238897</v>
      </c>
      <c r="N12" s="39">
        <f>$J$3+[50]FormattedData!G24*$J$4+$M$4*$J$5+[50]FormattedData!G24^2*$J$6+$M$5*$J$7</f>
        <v>55.294953687867121</v>
      </c>
      <c r="O12" s="39">
        <f>$J$3+[50]FormattedData!H24*$J$4+$M$4*$J$5+[50]FormattedData!H24^2*$J$6+$M$5*$J$7</f>
        <v>53.055287202784079</v>
      </c>
      <c r="P12" s="39">
        <f>$J$3+[50]FormattedData!I24*$J$4+$M$4*$J$5+[50]FormattedData!I24^2*$J$6+$M$5*$J$7</f>
        <v>53.661085191155777</v>
      </c>
      <c r="Q12" s="39">
        <f>$J$3+[50]FormattedData!J24*$J$4+$M$4*$J$5+[50]FormattedData!J24^2*$J$6+$M$5*$J$7</f>
        <v>53.92007887238897</v>
      </c>
      <c r="R12" s="39">
        <f>$J$3+[50]FormattedData!K24*$J$4+$M$4*$J$5+[50]FormattedData!K24^2*$J$6+$M$5*$J$7</f>
        <v>54.866467692823306</v>
      </c>
      <c r="S12" s="39">
        <f>$J$3+[50]FormattedData!L24*$J$4+$M$4*$J$5+[50]FormattedData!L24^2*$J$6+$M$5*$J$7</f>
        <v>53.315168523313822</v>
      </c>
      <c r="T12" s="39">
        <f>$J$3+[50]FormattedData!M24*$J$4+$M$4*$J$5+[50]FormattedData!M24^2*$J$6+$M$5*$J$7</f>
        <v>54.608868873341841</v>
      </c>
      <c r="U12" s="39">
        <f>$J$3+[50]FormattedData!N24*$J$4+$M$4*$J$5+[50]FormattedData!N24^2*$J$6+$M$5*$J$7</f>
        <v>54.866467692823306</v>
      </c>
      <c r="V12" s="39">
        <f>$J$3+[50]FormattedData!O24*$J$4+$M$4*$J$5+[50]FormattedData!O24^2*$J$6+$M$5*$J$7</f>
        <v>54.264812021168851</v>
      </c>
      <c r="W12" s="38">
        <f>AVERAGE(K12:V12)</f>
        <v>53.939319297681386</v>
      </c>
      <c r="X12" s="37">
        <f>STDEV(K12:V12)/SQRT(COUNT(K12:V12))</f>
        <v>0.27324618001500151</v>
      </c>
      <c r="Y12" s="36">
        <f>MIN(K12:V12)</f>
        <v>51.837477750964787</v>
      </c>
      <c r="Z12" s="35">
        <f>QUARTILE(K12:V12,1)</f>
        <v>53.57460602419529</v>
      </c>
      <c r="AA12" s="36">
        <f>MEDIAN(K12:V12)</f>
        <v>53.92007887238897</v>
      </c>
      <c r="AB12" s="35">
        <f>QUARTILE(K12:V12,3)</f>
        <v>54.673268578212209</v>
      </c>
      <c r="AC12" s="35">
        <f>MAX(K12:V12)</f>
        <v>55.294953687867121</v>
      </c>
      <c r="AD12" s="35">
        <f>SKEW(K12:V12)</f>
        <v>-0.75155393326711661</v>
      </c>
      <c r="AE12" s="35">
        <f>KURT(K12:V12)</f>
        <v>0.94437992944696525</v>
      </c>
    </row>
    <row r="13" spans="1:35" x14ac:dyDescent="0.2">
      <c r="B13" s="34">
        <f>[50]FormattedData!A22</f>
        <v>104</v>
      </c>
      <c r="C13" s="34" t="str">
        <f>VLOOKUP($B13,[50]TrtCodes!$B$11:I65,2)</f>
        <v>NTL</v>
      </c>
      <c r="D13" s="34">
        <f>VLOOKUP($B13,[50]TrtCodes!$B$11:J65,3)</f>
        <v>10</v>
      </c>
      <c r="E13" s="34">
        <f>VLOOKUP($B13,[50]TrtCodes!$B$11:K65,4)</f>
        <v>2</v>
      </c>
      <c r="F13" s="34">
        <f>VLOOKUP($B13,[50]TrtCodes!$B$11:L65,5)</f>
        <v>2</v>
      </c>
      <c r="G13" s="34">
        <f>VLOOKUP($B13,[50]TrtCodes!$B$11:M65,6)</f>
        <v>1</v>
      </c>
      <c r="H13" s="34">
        <f>VLOOKUP($B13,[50]TrtCodes!$B$11:N65,7)</f>
        <v>1</v>
      </c>
      <c r="I13" s="34">
        <f>[50]FormattedData!B22</f>
        <v>1</v>
      </c>
      <c r="J13" s="37">
        <f>[50]FormattedData!C22</f>
        <v>12.946999999999999</v>
      </c>
      <c r="K13" s="39">
        <f>$J$3+[50]FormattedData!D22*$J$4+$M$4*$J$5+[50]FormattedData!D22^2*$J$6+$M$5*$J$7</f>
        <v>50.787047186059581</v>
      </c>
      <c r="L13" s="39">
        <f>$J$3+[50]FormattedData!E22*$J$4+$M$4*$J$5+[50]FormattedData!E22^2*$J$6+$M$5*$J$7</f>
        <v>52.099134350087645</v>
      </c>
      <c r="M13" s="39">
        <f>$J$3+[50]FormattedData!F22*$J$4+$M$4*$J$5+[50]FormattedData!F22^2*$J$6+$M$5*$J$7</f>
        <v>54.436924984331213</v>
      </c>
      <c r="N13" s="39">
        <f>$J$3+[50]FormattedData!G22*$J$4+$M$4*$J$5+[50]FormattedData!G22^2*$J$6+$M$5*$J$7</f>
        <v>52.011957752251291</v>
      </c>
      <c r="O13" s="39">
        <f>$J$3+[50]FormattedData!H22*$J$4+$M$4*$J$5+[50]FormattedData!H22^2*$J$6+$M$5*$J$7</f>
        <v>54.694777415040264</v>
      </c>
      <c r="P13" s="39">
        <f>$J$3+[50]FormattedData!I22*$J$4+$M$4*$J$5+[50]FormattedData!I22^2*$J$6+$M$5*$J$7</f>
        <v>52.011957752251291</v>
      </c>
      <c r="Q13" s="39">
        <f>$J$3+[50]FormattedData!J22*$J$4+$M$4*$J$5+[50]FormattedData!J22^2*$J$6+$M$5*$J$7</f>
        <v>53.315168523313822</v>
      </c>
      <c r="R13" s="39">
        <f>$J$3+[50]FormattedData!K22*$J$4+$M$4*$J$5+[50]FormattedData!K22^2*$J$6+$M$5*$J$7</f>
        <v>52.534383311200443</v>
      </c>
      <c r="S13" s="39">
        <f>$J$3+[50]FormattedData!L22*$J$4+$M$4*$J$5+[50]FormattedData!L22^2*$J$6+$M$5*$J$7</f>
        <v>53.141956578165249</v>
      </c>
      <c r="T13" s="39">
        <f>$J$3+[50]FormattedData!M22*$J$4+$M$4*$J$5+[50]FormattedData!M22^2*$J$6+$M$5*$J$7</f>
        <v>52.621306297809213</v>
      </c>
      <c r="U13" s="39">
        <f>$J$3+[50]FormattedData!N22*$J$4+$M$4*$J$5+[50]FormattedData!N22^2*$J$6+$M$5*$J$7</f>
        <v>54.264812021168851</v>
      </c>
      <c r="V13" s="39">
        <f>$J$3+[50]FormattedData!O22*$J$4+$M$4*$J$5+[50]FormattedData!O22^2*$J$6+$M$5*$J$7</f>
        <v>51.488010525936623</v>
      </c>
      <c r="W13" s="38">
        <f>AVERAGE(K13:V13)</f>
        <v>52.783953058134621</v>
      </c>
      <c r="X13" s="37">
        <f>STDEV(K13:V13)/SQRT(COUNT(K13:V13))</f>
        <v>0.35251944793069967</v>
      </c>
      <c r="Y13" s="36">
        <f>MIN(K13:V13)</f>
        <v>50.787047186059581</v>
      </c>
      <c r="Z13" s="35">
        <f>QUARTILE(K13:V13,1)</f>
        <v>52.011957752251291</v>
      </c>
      <c r="AA13" s="36">
        <f>MEDIAN(K13:V13)</f>
        <v>52.577844804504828</v>
      </c>
      <c r="AB13" s="35">
        <f>QUARTILE(K13:V13,3)</f>
        <v>53.552579397777578</v>
      </c>
      <c r="AC13" s="35">
        <f>MAX(K13:V13)</f>
        <v>54.694777415040264</v>
      </c>
      <c r="AD13" s="35">
        <f>SKEW(K13:V13)</f>
        <v>0.21182333648378157</v>
      </c>
      <c r="AE13" s="35">
        <f>KURT(K13:V13)</f>
        <v>-0.81924625921886829</v>
      </c>
    </row>
    <row r="14" spans="1:35" x14ac:dyDescent="0.2">
      <c r="B14" s="34">
        <f>[50]FormattedData!A20</f>
        <v>105</v>
      </c>
      <c r="C14" s="34" t="str">
        <f>VLOOKUP($B14,[50]TrtCodes!$B$11:I63,2)</f>
        <v>NDL</v>
      </c>
      <c r="D14" s="34">
        <f>VLOOKUP($B14,[50]TrtCodes!$B$11:J63,3)</f>
        <v>12</v>
      </c>
      <c r="E14" s="34">
        <f>VLOOKUP($B14,[50]TrtCodes!$B$11:K63,4)</f>
        <v>2</v>
      </c>
      <c r="F14" s="34">
        <f>VLOOKUP($B14,[50]TrtCodes!$B$11:L63,5)</f>
        <v>3</v>
      </c>
      <c r="G14" s="34">
        <f>VLOOKUP($B14,[50]TrtCodes!$B$11:M63,6)</f>
        <v>1</v>
      </c>
      <c r="H14" s="34">
        <f>VLOOKUP($B14,[50]TrtCodes!$B$11:N63,7)</f>
        <v>2</v>
      </c>
      <c r="I14" s="34">
        <f>[50]FormattedData!B20</f>
        <v>1</v>
      </c>
      <c r="J14" s="37">
        <f>[50]FormattedData!C20</f>
        <v>12.939</v>
      </c>
      <c r="K14" s="39">
        <f>$J$3+[50]FormattedData!D20*$J$4+$M$4*$J$5+[50]FormattedData!D20^2*$J$6+$M$5*$J$7</f>
        <v>50.171485165425779</v>
      </c>
      <c r="L14" s="39">
        <f>$J$3+[50]FormattedData!E20*$J$4+$M$4*$J$5+[50]FormattedData!E20^2*$J$6+$M$5*$J$7</f>
        <v>53.488211394310667</v>
      </c>
      <c r="M14" s="39">
        <f>$J$3+[50]FormattedData!F20*$J$4+$M$4*$J$5+[50]FormattedData!F20^2*$J$6+$M$5*$J$7</f>
        <v>52.360410532369116</v>
      </c>
      <c r="N14" s="39">
        <f>$J$3+[50]FormattedData!G20*$J$4+$M$4*$J$5+[50]FormattedData!G20^2*$J$6+$M$5*$J$7</f>
        <v>52.621306297809213</v>
      </c>
      <c r="O14" s="39">
        <f>$J$3+[50]FormattedData!H20*$J$4+$M$4*$J$5+[50]FormattedData!H20^2*$J$6+$M$5*$J$7</f>
        <v>51.924738885877005</v>
      </c>
      <c r="P14" s="39">
        <f>$J$3+[50]FormattedData!I20*$J$4+$M$4*$J$5+[50]FormattedData!I20^2*$J$6+$M$5*$J$7</f>
        <v>52.447418056053742</v>
      </c>
      <c r="Q14" s="39">
        <f>$J$3+[50]FormattedData!J20*$J$4+$M$4*$J$5+[50]FormattedData!J20^2*$J$6+$M$5*$J$7</f>
        <v>53.574669427002178</v>
      </c>
      <c r="R14" s="39">
        <f>$J$3+[50]FormattedData!K20*$J$4+$M$4*$J$5+[50]FormattedData!K20^2*$J$6+$M$5*$J$7</f>
        <v>51.837477750964787</v>
      </c>
      <c r="S14" s="39">
        <f>$J$3+[50]FormattedData!L20*$J$4+$M$4*$J$5+[50]FormattedData!L20^2*$J$6+$M$5*$J$7</f>
        <v>53.92007887238897</v>
      </c>
      <c r="T14" s="39">
        <f>$J$3+[50]FormattedData!M20*$J$4+$M$4*$J$5+[50]FormattedData!M20^2*$J$6+$M$5*$J$7</f>
        <v>51.137867004301548</v>
      </c>
      <c r="U14" s="39">
        <f>$J$3+[50]FormattedData!N20*$J$4+$M$4*$J$5+[50]FormattedData!N20^2*$J$6+$M$5*$J$7</f>
        <v>53.315168523313822</v>
      </c>
      <c r="V14" s="39">
        <f>$J$3+[50]FormattedData!O20*$J$4+$M$4*$J$5+[50]FormattedData!O20^2*$J$6+$M$5*$J$7</f>
        <v>52.534383311200443</v>
      </c>
      <c r="W14" s="38">
        <f>AVERAGE(K14:V14)</f>
        <v>52.444434601751432</v>
      </c>
      <c r="X14" s="37">
        <f>STDEV(K14:V14)/SQRT(COUNT(K14:V14))</f>
        <v>0.3121400463123401</v>
      </c>
      <c r="Y14" s="36">
        <f>MIN(K14:V14)</f>
        <v>50.171485165425779</v>
      </c>
      <c r="Z14" s="35">
        <f>QUARTILE(K14:V14,1)</f>
        <v>51.902923602148952</v>
      </c>
      <c r="AA14" s="36">
        <f>MEDIAN(K14:V14)</f>
        <v>52.490900683627089</v>
      </c>
      <c r="AB14" s="35">
        <f>QUARTILE(K14:V14,3)</f>
        <v>53.358429241063035</v>
      </c>
      <c r="AC14" s="35">
        <f>MAX(K14:V14)</f>
        <v>53.92007887238897</v>
      </c>
      <c r="AD14" s="35">
        <f>SKEW(K14:V14)</f>
        <v>-0.67972816231042399</v>
      </c>
      <c r="AE14" s="35">
        <f>KURT(K14:V14)</f>
        <v>0.34127726775682454</v>
      </c>
    </row>
    <row r="15" spans="1:35" x14ac:dyDescent="0.2">
      <c r="B15" s="34">
        <f>[50]FormattedData!A18</f>
        <v>106</v>
      </c>
      <c r="C15" s="34" t="str">
        <f>VLOOKUP($B15,[50]TrtCodes!$B$11:I61,2)</f>
        <v>NTH</v>
      </c>
      <c r="D15" s="34">
        <f>VLOOKUP($B15,[50]TrtCodes!$B$11:J61,3)</f>
        <v>9</v>
      </c>
      <c r="E15" s="34">
        <f>VLOOKUP($B15,[50]TrtCodes!$B$11:K61,4)</f>
        <v>2</v>
      </c>
      <c r="F15" s="34">
        <f>VLOOKUP($B15,[50]TrtCodes!$B$11:L61,5)</f>
        <v>2</v>
      </c>
      <c r="G15" s="34">
        <f>VLOOKUP($B15,[50]TrtCodes!$B$11:M61,6)</f>
        <v>2</v>
      </c>
      <c r="H15" s="34">
        <f>VLOOKUP($B15,[50]TrtCodes!$B$11:N61,7)</f>
        <v>2</v>
      </c>
      <c r="I15" s="34">
        <f>[50]FormattedData!B18</f>
        <v>1</v>
      </c>
      <c r="J15" s="37">
        <f>[50]FormattedData!C18</f>
        <v>12.930999999999999</v>
      </c>
      <c r="K15" s="39">
        <f>$J$3+[50]FormattedData!D18*$J$4+$M$4*$J$5+[50]FormattedData!D18^2*$J$6+$M$5*$J$7</f>
        <v>50.34757137115367</v>
      </c>
      <c r="L15" s="39">
        <f>$J$3+[50]FormattedData!E18*$J$4+$M$4*$J$5+[50]FormattedData!E18^2*$J$6+$M$5*$J$7</f>
        <v>52.447418056053742</v>
      </c>
      <c r="M15" s="39">
        <f>$J$3+[50]FormattedData!F18*$J$4+$M$4*$J$5+[50]FormattedData!F18^2*$J$6+$M$5*$J$7</f>
        <v>54.178692136780782</v>
      </c>
      <c r="N15" s="39">
        <f>$J$3+[50]FormattedData!G18*$J$4+$M$4*$J$5+[50]FormattedData!G18^2*$J$6+$M$5*$J$7</f>
        <v>53.401711093081204</v>
      </c>
      <c r="O15" s="39">
        <f>$J$3+[50]FormattedData!H18*$J$4+$M$4*$J$5+[50]FormattedData!H18^2*$J$6+$M$5*$J$7</f>
        <v>54.178692136780782</v>
      </c>
      <c r="P15" s="39">
        <f>$J$3+[50]FormattedData!I18*$J$4+$M$4*$J$5+[50]FormattedData!I18^2*$J$6+$M$5*$J$7</f>
        <v>52.011957752251291</v>
      </c>
      <c r="Q15" s="39">
        <f>$J$3+[50]FormattedData!J18*$J$4+$M$4*$J$5+[50]FormattedData!J18^2*$J$6+$M$5*$J$7</f>
        <v>54.350889637019002</v>
      </c>
      <c r="R15" s="39">
        <f>$J$3+[50]FormattedData!K18*$J$4+$M$4*$J$5+[50]FormattedData!K18^2*$J$6+$M$5*$J$7</f>
        <v>51.662828675526569</v>
      </c>
      <c r="S15" s="39">
        <f>$J$3+[50]FormattedData!L18*$J$4+$M$4*$J$5+[50]FormattedData!L18^2*$J$6+$M$5*$J$7</f>
        <v>54.178692136780782</v>
      </c>
      <c r="T15" s="39">
        <f>$J$3+[50]FormattedData!M18*$J$4+$M$4*$J$5+[50]FormattedData!M18^2*$J$6+$M$5*$J$7</f>
        <v>52.621306297809213</v>
      </c>
      <c r="U15" s="39">
        <f>$J$3+[50]FormattedData!N18*$J$4+$M$4*$J$5+[50]FormattedData!N18^2*$J$6+$M$5*$J$7</f>
        <v>54.092529983854774</v>
      </c>
      <c r="V15" s="39">
        <f>$J$3+[50]FormattedData!O18*$J$4+$M$4*$J$5+[50]FormattedData!O18^2*$J$6+$M$5*$J$7</f>
        <v>54.866467692823306</v>
      </c>
      <c r="W15" s="38">
        <f>AVERAGE(K15:V15)</f>
        <v>53.194896414159594</v>
      </c>
      <c r="X15" s="37">
        <f>STDEV(K15:V15)/SQRT(COUNT(K15:V15))</f>
        <v>0.39527623761353531</v>
      </c>
      <c r="Y15" s="36">
        <f>MIN(K15:V15)</f>
        <v>50.34757137115367</v>
      </c>
      <c r="Z15" s="35">
        <f>QUARTILE(K15:V15,1)</f>
        <v>52.338552980103131</v>
      </c>
      <c r="AA15" s="36">
        <f>MEDIAN(K15:V15)</f>
        <v>53.747120538467989</v>
      </c>
      <c r="AB15" s="35">
        <f>QUARTILE(K15:V15,3)</f>
        <v>54.178692136780782</v>
      </c>
      <c r="AC15" s="35">
        <f>MAX(K15:V15)</f>
        <v>54.866467692823306</v>
      </c>
      <c r="AD15" s="35">
        <f>SKEW(K15:V15)</f>
        <v>-0.8132166822074981</v>
      </c>
      <c r="AE15" s="35">
        <f>KURT(K15:V15)</f>
        <v>-0.1483145250980078</v>
      </c>
    </row>
    <row r="16" spans="1:35" x14ac:dyDescent="0.2">
      <c r="B16" s="34">
        <f>[50]FormattedData!A16</f>
        <v>107</v>
      </c>
      <c r="C16" s="34" t="str">
        <f>VLOOKUP($B16,[50]TrtCodes!$B$11:I59,2)</f>
        <v>NTL</v>
      </c>
      <c r="D16" s="34">
        <f>VLOOKUP($B16,[50]TrtCodes!$B$11:J59,3)</f>
        <v>10</v>
      </c>
      <c r="E16" s="34">
        <f>VLOOKUP($B16,[50]TrtCodes!$B$11:K59,4)</f>
        <v>2</v>
      </c>
      <c r="F16" s="34">
        <f>VLOOKUP($B16,[50]TrtCodes!$B$11:L59,5)</f>
        <v>2</v>
      </c>
      <c r="G16" s="34">
        <f>VLOOKUP($B16,[50]TrtCodes!$B$11:M59,6)</f>
        <v>1</v>
      </c>
      <c r="H16" s="34">
        <f>VLOOKUP($B16,[50]TrtCodes!$B$11:N59,7)</f>
        <v>2</v>
      </c>
      <c r="I16" s="34">
        <f>[50]FormattedData!B16</f>
        <v>1</v>
      </c>
      <c r="J16" s="37">
        <f>[50]FormattedData!C16</f>
        <v>12.922000000000001</v>
      </c>
      <c r="K16" s="39">
        <f>$J$3+[50]FormattedData!D16*$J$4+$M$4*$J$5+[50]FormattedData!D16^2*$J$6+$M$5*$J$7</f>
        <v>51.137867004301548</v>
      </c>
      <c r="L16" s="39">
        <f>$J$3+[50]FormattedData!E16*$J$4+$M$4*$J$5+[50]FormattedData!E16^2*$J$6+$M$5*$J$7</f>
        <v>52.099134350087645</v>
      </c>
      <c r="M16" s="39">
        <f>$J$3+[50]FormattedData!F16*$J$4+$M$4*$J$5+[50]FormattedData!F16^2*$J$6+$M$5*$J$7</f>
        <v>55.978333315964811</v>
      </c>
      <c r="N16" s="39">
        <f>$J$3+[50]FormattedData!G16*$J$4+$M$4*$J$5+[50]FormattedData!G16^2*$J$6+$M$5*$J$7</f>
        <v>51.575440735000555</v>
      </c>
      <c r="O16" s="39">
        <f>$J$3+[50]FormattedData!H16*$J$4+$M$4*$J$5+[50]FormattedData!H16^2*$J$6+$M$5*$J$7</f>
        <v>55.037988896454628</v>
      </c>
      <c r="P16" s="39">
        <f>$J$3+[50]FormattedData!I16*$J$4+$M$4*$J$5+[50]FormattedData!I16^2*$J$6+$M$5*$J$7</f>
        <v>51.575440735000555</v>
      </c>
      <c r="Q16" s="39">
        <f>$J$3+[50]FormattedData!J16*$J$4+$M$4*$J$5+[50]FormattedData!J16^2*$J$6+$M$5*$J$7</f>
        <v>54.780643688200755</v>
      </c>
      <c r="R16" s="39">
        <f>$J$3+[50]FormattedData!K16*$J$4+$M$4*$J$5+[50]FormattedData!K16^2*$J$6+$M$5*$J$7</f>
        <v>52.534383311200443</v>
      </c>
      <c r="S16" s="39">
        <f>$J$3+[50]FormattedData!L16*$J$4+$M$4*$J$5+[50]FormattedData!L16^2*$J$6+$M$5*$J$7</f>
        <v>54.694777415040264</v>
      </c>
      <c r="T16" s="39">
        <f>$J$3+[50]FormattedData!M16*$J$4+$M$4*$J$5+[50]FormattedData!M16^2*$J$6+$M$5*$J$7</f>
        <v>55.722382969462657</v>
      </c>
      <c r="U16" s="39">
        <f>$J$3+[50]FormattedData!N16*$J$4+$M$4*$J$5+[50]FormattedData!N16^2*$J$6+$M$5*$J$7</f>
        <v>54.264812021168851</v>
      </c>
      <c r="V16" s="39">
        <f>$J$3+[50]FormattedData!O16*$J$4+$M$4*$J$5+[50]FormattedData!O16^2*$J$6+$M$5*$J$7</f>
        <v>54.350889637019002</v>
      </c>
      <c r="W16" s="38">
        <f>AVERAGE(K16:V16)</f>
        <v>53.646007839908471</v>
      </c>
      <c r="X16" s="37">
        <f>STDEV(K16:V16)/SQRT(COUNT(K16:V16))</f>
        <v>0.50339433883282303</v>
      </c>
      <c r="Y16" s="36">
        <f>MIN(K16:V16)</f>
        <v>51.137867004301548</v>
      </c>
      <c r="Z16" s="35">
        <f>QUARTILE(K16:V16,1)</f>
        <v>51.968210946315871</v>
      </c>
      <c r="AA16" s="36">
        <f>MEDIAN(K16:V16)</f>
        <v>54.307850829093923</v>
      </c>
      <c r="AB16" s="35">
        <f>QUARTILE(K16:V16,3)</f>
        <v>54.844979990264221</v>
      </c>
      <c r="AC16" s="35">
        <f>MAX(K16:V16)</f>
        <v>55.978333315964811</v>
      </c>
      <c r="AD16" s="35">
        <f>SKEW(K16:V16)</f>
        <v>-0.22772887375588291</v>
      </c>
      <c r="AE16" s="35">
        <f>KURT(K16:V16)</f>
        <v>-1.668378127831875</v>
      </c>
    </row>
    <row r="17" spans="2:31" x14ac:dyDescent="0.2">
      <c r="B17" s="34">
        <f>[50]FormattedData!A14</f>
        <v>108</v>
      </c>
      <c r="C17" s="34" t="str">
        <f>VLOOKUP($B17,[50]TrtCodes!$B$11:I57,2)</f>
        <v>FTH</v>
      </c>
      <c r="D17" s="34">
        <f>VLOOKUP($B17,[50]TrtCodes!$B$11:J57,3)</f>
        <v>3</v>
      </c>
      <c r="E17" s="34">
        <f>VLOOKUP($B17,[50]TrtCodes!$B$11:K57,4)</f>
        <v>1</v>
      </c>
      <c r="F17" s="34">
        <f>VLOOKUP($B17,[50]TrtCodes!$B$11:L57,5)</f>
        <v>2</v>
      </c>
      <c r="G17" s="34">
        <f>VLOOKUP($B17,[50]TrtCodes!$B$11:M57,6)</f>
        <v>2</v>
      </c>
      <c r="H17" s="34">
        <f>VLOOKUP($B17,[50]TrtCodes!$B$11:N57,7)</f>
        <v>2</v>
      </c>
      <c r="I17" s="34">
        <f>[50]FormattedData!B14</f>
        <v>1</v>
      </c>
      <c r="J17" s="37">
        <f>[50]FormattedData!C14</f>
        <v>12.914</v>
      </c>
      <c r="K17" s="39">
        <f>$J$3+[50]FormattedData!D14*$J$4+$M$4*$J$5+[50]FormattedData!D14^2*$J$6+$M$5*$J$7</f>
        <v>50.699236560154255</v>
      </c>
      <c r="L17" s="39">
        <f>$J$3+[50]FormattedData!E14*$J$4+$M$4*$J$5+[50]FormattedData!E14^2*$J$6+$M$5*$J$7</f>
        <v>54.952249428907926</v>
      </c>
      <c r="M17" s="39">
        <f>$J$3+[50]FormattedData!F14*$J$4+$M$4*$J$5+[50]FormattedData!F14^2*$J$6+$M$5*$J$7</f>
        <v>53.055287202784079</v>
      </c>
      <c r="N17" s="39">
        <f>$J$3+[50]FormattedData!G14*$J$4+$M$4*$J$5+[50]FormattedData!G14^2*$J$6+$M$5*$J$7</f>
        <v>55.209341025934222</v>
      </c>
      <c r="O17" s="39">
        <f>$J$3+[50]FormattedData!H14*$J$4+$M$4*$J$5+[50]FormattedData!H14^2*$J$6+$M$5*$J$7</f>
        <v>52.360410532369116</v>
      </c>
      <c r="P17" s="39">
        <f>$J$3+[50]FormattedData!I14*$J$4+$M$4*$J$5+[50]FormattedData!I14^2*$J$6+$M$5*$J$7</f>
        <v>54.866467692823306</v>
      </c>
      <c r="Q17" s="39">
        <f>$J$3+[50]FormattedData!J14*$J$4+$M$4*$J$5+[50]FormattedData!J14^2*$J$6+$M$5*$J$7</f>
        <v>53.228583685008502</v>
      </c>
      <c r="R17" s="39">
        <f>$J$3+[50]FormattedData!K14*$J$4+$M$4*$J$5+[50]FormattedData!K14^2*$J$6+$M$5*$J$7</f>
        <v>53.833789913849166</v>
      </c>
      <c r="S17" s="39">
        <f>$J$3+[50]FormattedData!L14*$J$4+$M$4*$J$5+[50]FormattedData!L14^2*$J$6+$M$5*$J$7</f>
        <v>52.881821646407928</v>
      </c>
      <c r="T17" s="39">
        <f>$J$3+[50]FormattedData!M14*$J$4+$M$4*$J$5+[50]FormattedData!M14^2*$J$6+$M$5*$J$7</f>
        <v>52.186268679386075</v>
      </c>
      <c r="U17" s="39">
        <f>$J$3+[50]FormattedData!N14*$J$4+$M$4*$J$5+[50]FormattedData!N14^2*$J$6+$M$5*$J$7</f>
        <v>53.488211394310667</v>
      </c>
      <c r="V17" s="39">
        <f>$J$3+[50]FormattedData!O14*$J$4+$M$4*$J$5+[50]FormattedData!O14^2*$J$6+$M$5*$J$7</f>
        <v>53.315168523313822</v>
      </c>
      <c r="W17" s="38">
        <f>AVERAGE(K17:V17)</f>
        <v>53.339736357104094</v>
      </c>
      <c r="X17" s="37">
        <f>STDEV(K17:V17)/SQRT(COUNT(K17:V17))</f>
        <v>0.37191176841793971</v>
      </c>
      <c r="Y17" s="36">
        <f>MIN(K17:V17)</f>
        <v>50.699236560154255</v>
      </c>
      <c r="Z17" s="35">
        <f>QUARTILE(K17:V17,1)</f>
        <v>52.751468867898225</v>
      </c>
      <c r="AA17" s="36">
        <f>MEDIAN(K17:V17)</f>
        <v>53.271876104161166</v>
      </c>
      <c r="AB17" s="35">
        <f>QUARTILE(K17:V17,3)</f>
        <v>54.091959358592703</v>
      </c>
      <c r="AC17" s="35">
        <f>MAX(K17:V17)</f>
        <v>55.209341025934222</v>
      </c>
      <c r="AD17" s="35">
        <f>SKEW(K17:V17)</f>
        <v>-0.33639702819306699</v>
      </c>
      <c r="AE17" s="35">
        <f>KURT(K17:V17)</f>
        <v>0.30357026552611899</v>
      </c>
    </row>
    <row r="18" spans="2:31" x14ac:dyDescent="0.2">
      <c r="B18" s="34">
        <f>[50]FormattedData!A30</f>
        <v>201</v>
      </c>
      <c r="C18" s="34" t="str">
        <f>VLOOKUP($B18,[50]TrtCodes!$B$11:I73,2)</f>
        <v>NDL</v>
      </c>
      <c r="D18" s="34">
        <f>VLOOKUP($B18,[50]TrtCodes!$B$11:J73,3)</f>
        <v>12</v>
      </c>
      <c r="E18" s="34">
        <f>VLOOKUP($B18,[50]TrtCodes!$B$11:K73,4)</f>
        <v>2</v>
      </c>
      <c r="F18" s="34">
        <f>VLOOKUP($B18,[50]TrtCodes!$B$11:L73,5)</f>
        <v>3</v>
      </c>
      <c r="G18" s="34">
        <f>VLOOKUP($B18,[50]TrtCodes!$B$11:M73,6)</f>
        <v>1</v>
      </c>
      <c r="H18" s="34">
        <f>VLOOKUP($B18,[50]TrtCodes!$B$11:N73,7)</f>
        <v>1</v>
      </c>
      <c r="I18" s="34">
        <f>[50]FormattedData!B30</f>
        <v>1</v>
      </c>
      <c r="J18" s="37">
        <f>[50]FormattedData!C30</f>
        <v>12.984999999999999</v>
      </c>
      <c r="K18" s="39">
        <f>$J$3+[50]FormattedData!D30*$J$4+$M$4*$J$5+[50]FormattedData!D30^2*$J$6+$M$5*$J$7</f>
        <v>51.400538048334745</v>
      </c>
      <c r="L18" s="39">
        <f>$J$3+[50]FormattedData!E30*$J$4+$M$4*$J$5+[50]FormattedData!E30^2*$J$6+$M$5*$J$7</f>
        <v>53.315168523313822</v>
      </c>
      <c r="M18" s="39">
        <f>$J$3+[50]FormattedData!F30*$J$4+$M$4*$J$5+[50]FormattedData!F30^2*$J$6+$M$5*$J$7</f>
        <v>54.608868873341841</v>
      </c>
      <c r="N18" s="39">
        <f>$J$3+[50]FormattedData!G30*$J$4+$M$4*$J$5+[50]FormattedData!G30^2*$J$6+$M$5*$J$7</f>
        <v>53.228583685008502</v>
      </c>
      <c r="O18" s="39">
        <f>$J$3+[50]FormattedData!H30*$J$4+$M$4*$J$5+[50]FormattedData!H30^2*$J$6+$M$5*$J$7</f>
        <v>53.747458686771445</v>
      </c>
      <c r="P18" s="39">
        <f>$J$3+[50]FormattedData!I30*$J$4+$M$4*$J$5+[50]FormattedData!I30^2*$J$6+$M$5*$J$7</f>
        <v>52.968575558864963</v>
      </c>
      <c r="Q18" s="39">
        <f>$J$3+[50]FormattedData!J30*$J$4+$M$4*$J$5+[50]FormattedData!J30^2*$J$6+$M$5*$J$7</f>
        <v>53.055287202784079</v>
      </c>
      <c r="R18" s="39">
        <f>$J$3+[50]FormattedData!K30*$J$4+$M$4*$J$5+[50]FormattedData!K30^2*$J$6+$M$5*$J$7</f>
        <v>53.228583685008502</v>
      </c>
      <c r="S18" s="39">
        <f>$J$3+[50]FormattedData!L30*$J$4+$M$4*$J$5+[50]FormattedData!L30^2*$J$6+$M$5*$J$7</f>
        <v>53.747458686771445</v>
      </c>
      <c r="T18" s="39">
        <f>$J$3+[50]FormattedData!M30*$J$4+$M$4*$J$5+[50]FormattedData!M30^2*$J$6+$M$5*$J$7</f>
        <v>52.186268679386075</v>
      </c>
      <c r="U18" s="39">
        <f>$J$3+[50]FormattedData!N30*$J$4+$M$4*$J$5+[50]FormattedData!N30^2*$J$6+$M$5*$J$7</f>
        <v>53.141956578165249</v>
      </c>
      <c r="V18" s="39">
        <f>$J$3+[50]FormattedData!O30*$J$4+$M$4*$J$5+[50]FormattedData!O30^2*$J$6+$M$5*$J$7</f>
        <v>52.621306297809213</v>
      </c>
      <c r="W18" s="38">
        <f>AVERAGE(K18:V18)</f>
        <v>53.104171208796664</v>
      </c>
      <c r="X18" s="37">
        <f>STDEV(K18:V18)/SQRT(COUNT(K18:V18))</f>
        <v>0.23302201900742381</v>
      </c>
      <c r="Y18" s="36">
        <f>MIN(K18:V18)</f>
        <v>51.400538048334745</v>
      </c>
      <c r="Z18" s="35">
        <f>QUARTILE(K18:V18,1)</f>
        <v>52.881758243601027</v>
      </c>
      <c r="AA18" s="36">
        <f>MEDIAN(K18:V18)</f>
        <v>53.185270131586876</v>
      </c>
      <c r="AB18" s="35">
        <f>QUARTILE(K18:V18,3)</f>
        <v>53.423241064178228</v>
      </c>
      <c r="AC18" s="35">
        <f>MAX(K18:V18)</f>
        <v>54.608868873341841</v>
      </c>
      <c r="AD18" s="35">
        <f>SKEW(K18:V18)</f>
        <v>-0.39005561774546899</v>
      </c>
      <c r="AE18" s="35">
        <f>KURT(K18:V18)</f>
        <v>1.4074057998660603</v>
      </c>
    </row>
    <row r="19" spans="2:31" x14ac:dyDescent="0.2">
      <c r="B19" s="34">
        <f>[50]FormattedData!A32</f>
        <v>202</v>
      </c>
      <c r="C19" s="34" t="str">
        <f>VLOOKUP($B19,[50]TrtCodes!$B$11:I75,2)</f>
        <v>NTH</v>
      </c>
      <c r="D19" s="34">
        <f>VLOOKUP($B19,[50]TrtCodes!$B$11:J75,3)</f>
        <v>9</v>
      </c>
      <c r="E19" s="34">
        <f>VLOOKUP($B19,[50]TrtCodes!$B$11:K75,4)</f>
        <v>2</v>
      </c>
      <c r="F19" s="34">
        <f>VLOOKUP($B19,[50]TrtCodes!$B$11:L75,5)</f>
        <v>2</v>
      </c>
      <c r="G19" s="34">
        <f>VLOOKUP($B19,[50]TrtCodes!$B$11:M75,6)</f>
        <v>2</v>
      </c>
      <c r="H19" s="34">
        <f>VLOOKUP($B19,[50]TrtCodes!$B$11:N75,7)</f>
        <v>1</v>
      </c>
      <c r="I19" s="34">
        <f>[50]FormattedData!B32</f>
        <v>1</v>
      </c>
      <c r="J19" s="37">
        <f>[50]FormattedData!C32</f>
        <v>12.99</v>
      </c>
      <c r="K19" s="39">
        <f>$J$3+[50]FormattedData!D32*$J$4+$M$4*$J$5+[50]FormattedData!D32^2*$J$6+$M$5*$J$7</f>
        <v>53.574669427002178</v>
      </c>
      <c r="L19" s="39">
        <f>$J$3+[50]FormattedData!E32*$J$4+$M$4*$J$5+[50]FormattedData!E32^2*$J$6+$M$5*$J$7</f>
        <v>53.401711093081204</v>
      </c>
      <c r="M19" s="39">
        <f>$J$3+[50]FormattedData!F32*$J$4+$M$4*$J$5+[50]FormattedData!F32^2*$J$6+$M$5*$J$7</f>
        <v>54.092529983854774</v>
      </c>
      <c r="N19" s="39">
        <f>$J$3+[50]FormattedData!G32*$J$4+$M$4*$J$5+[50]FormattedData!G32^2*$J$6+$M$5*$J$7</f>
        <v>52.968575558864963</v>
      </c>
      <c r="O19" s="39">
        <f>$J$3+[50]FormattedData!H32*$J$4+$M$4*$J$5+[50]FormattedData!H32^2*$J$6+$M$5*$J$7</f>
        <v>54.350889637019002</v>
      </c>
      <c r="P19" s="39">
        <f>$J$3+[50]FormattedData!I32*$J$4+$M$4*$J$5+[50]FormattedData!I32^2*$J$6+$M$5*$J$7</f>
        <v>51.837477750964787</v>
      </c>
      <c r="Q19" s="39">
        <f>$J$3+[50]FormattedData!J32*$J$4+$M$4*$J$5+[50]FormattedData!J32^2*$J$6+$M$5*$J$7</f>
        <v>54.006325562390828</v>
      </c>
      <c r="R19" s="39">
        <f>$J$3+[50]FormattedData!K32*$J$4+$M$4*$J$5+[50]FormattedData!K32^2*$J$6+$M$5*$J$7</f>
        <v>52.011957752251291</v>
      </c>
      <c r="S19" s="39">
        <f>$J$3+[50]FormattedData!L32*$J$4+$M$4*$J$5+[50]FormattedData!L32^2*$J$6+$M$5*$J$7</f>
        <v>53.661085191155777</v>
      </c>
      <c r="T19" s="39">
        <f>$J$3+[50]FormattedData!M32*$J$4+$M$4*$J$5+[50]FormattedData!M32^2*$J$6+$M$5*$J$7</f>
        <v>51.837477750964787</v>
      </c>
      <c r="U19" s="39">
        <f>$J$3+[50]FormattedData!N32*$J$4+$M$4*$J$5+[50]FormattedData!N32^2*$J$6+$M$5*$J$7</f>
        <v>53.488211394310667</v>
      </c>
      <c r="V19" s="39">
        <f>$J$3+[50]FormattedData!O32*$J$4+$M$4*$J$5+[50]FormattedData!O32^2*$J$6+$M$5*$J$7</f>
        <v>51.662828675526569</v>
      </c>
      <c r="W19" s="38">
        <f>AVERAGE(K19:V19)</f>
        <v>53.074478314782247</v>
      </c>
      <c r="X19" s="37">
        <f>STDEV(K19:V19)/SQRT(COUNT(K19:V19))</f>
        <v>0.28337535765500099</v>
      </c>
      <c r="Y19" s="36">
        <f>MIN(K19:V19)</f>
        <v>51.662828675526569</v>
      </c>
      <c r="Z19" s="35">
        <f>QUARTILE(K19:V19,1)</f>
        <v>51.968337751929667</v>
      </c>
      <c r="AA19" s="36">
        <f>MEDIAN(K19:V19)</f>
        <v>53.444961243695936</v>
      </c>
      <c r="AB19" s="35">
        <f>QUARTILE(K19:V19,3)</f>
        <v>53.747395283964536</v>
      </c>
      <c r="AC19" s="35">
        <f>MAX(K19:V19)</f>
        <v>54.350889637019002</v>
      </c>
      <c r="AD19" s="35">
        <f>SKEW(K19:V19)</f>
        <v>-0.39473084440331629</v>
      </c>
      <c r="AE19" s="35">
        <f>KURT(K19:V19)</f>
        <v>-1.5501460263830378</v>
      </c>
    </row>
    <row r="20" spans="2:31" x14ac:dyDescent="0.2">
      <c r="B20" s="34">
        <f>[50]FormattedData!A34</f>
        <v>203</v>
      </c>
      <c r="C20" s="34" t="str">
        <f>VLOOKUP($B20,[50]TrtCodes!$B$11:I77,2)</f>
        <v>FTH</v>
      </c>
      <c r="D20" s="34">
        <f>VLOOKUP($B20,[50]TrtCodes!$B$11:J77,3)</f>
        <v>3</v>
      </c>
      <c r="E20" s="34">
        <f>VLOOKUP($B20,[50]TrtCodes!$B$11:K77,4)</f>
        <v>1</v>
      </c>
      <c r="F20" s="34">
        <f>VLOOKUP($B20,[50]TrtCodes!$B$11:L77,5)</f>
        <v>2</v>
      </c>
      <c r="G20" s="34">
        <f>VLOOKUP($B20,[50]TrtCodes!$B$11:M77,6)</f>
        <v>2</v>
      </c>
      <c r="H20" s="34">
        <f>VLOOKUP($B20,[50]TrtCodes!$B$11:N77,7)</f>
        <v>1</v>
      </c>
      <c r="I20" s="34">
        <f>[50]FormattedData!B34</f>
        <v>1</v>
      </c>
      <c r="J20" s="37">
        <f>[50]FormattedData!C34</f>
        <v>12.994999999999999</v>
      </c>
      <c r="K20" s="39">
        <f>$J$3+[50]FormattedData!D34*$J$4+$M$4*$J$5+[50]FormattedData!D34^2*$J$6+$M$5*$J$7</f>
        <v>53.661085191155777</v>
      </c>
      <c r="L20" s="39">
        <f>$J$3+[50]FormattedData!E34*$J$4+$M$4*$J$5+[50]FormattedData!E34^2*$J$6+$M$5*$J$7</f>
        <v>51.837477750964787</v>
      </c>
      <c r="M20" s="39">
        <f>$J$3+[50]FormattedData!F34*$J$4+$M$4*$J$5+[50]FormattedData!F34^2*$J$6+$M$5*$J$7</f>
        <v>54.952249428907926</v>
      </c>
      <c r="N20" s="39">
        <f>$J$3+[50]FormattedData!G34*$J$4+$M$4*$J$5+[50]FormattedData!G34^2*$J$6+$M$5*$J$7</f>
        <v>51.837477750964787</v>
      </c>
      <c r="O20" s="39">
        <f>$J$3+[50]FormattedData!H34*$J$4+$M$4*$J$5+[50]FormattedData!H34^2*$J$6+$M$5*$J$7</f>
        <v>55.037988896454628</v>
      </c>
      <c r="P20" s="39">
        <f>$J$3+[50]FormattedData!I34*$J$4+$M$4*$J$5+[50]FormattedData!I34^2*$J$6+$M$5*$J$7</f>
        <v>51.924738885877005</v>
      </c>
      <c r="Q20" s="39">
        <f>$J$3+[50]FormattedData!J34*$J$4+$M$4*$J$5+[50]FormattedData!J34^2*$J$6+$M$5*$J$7</f>
        <v>55.123686095463391</v>
      </c>
      <c r="R20" s="39">
        <f>$J$3+[50]FormattedData!K34*$J$4+$M$4*$J$5+[50]FormattedData!K34^2*$J$6+$M$5*$J$7</f>
        <v>52.708187015880043</v>
      </c>
      <c r="S20" s="39">
        <f>$J$3+[50]FormattedData!L34*$J$4+$M$4*$J$5+[50]FormattedData!L34^2*$J$6+$M$5*$J$7</f>
        <v>57.506046641308714</v>
      </c>
      <c r="T20" s="39">
        <f>$J$3+[50]FormattedData!M34*$J$4+$M$4*$J$5+[50]FormattedData!M34^2*$J$6+$M$5*$J$7</f>
        <v>51.924738885877005</v>
      </c>
      <c r="U20" s="39">
        <f>$J$3+[50]FormattedData!N34*$J$4+$M$4*$J$5+[50]FormattedData!N34^2*$J$6+$M$5*$J$7</f>
        <v>55.123686095463391</v>
      </c>
      <c r="V20" s="39">
        <f>$J$3+[50]FormattedData!O34*$J$4+$M$4*$J$5+[50]FormattedData!O34^2*$J$6+$M$5*$J$7</f>
        <v>51.750174347514651</v>
      </c>
      <c r="W20" s="38">
        <f>AVERAGE(K20:V20)</f>
        <v>53.615628082152682</v>
      </c>
      <c r="X20" s="37">
        <f>STDEV(K20:V20)/SQRT(COUNT(K20:V20))</f>
        <v>0.54938522418847013</v>
      </c>
      <c r="Y20" s="36">
        <f>MIN(K20:V20)</f>
        <v>51.750174347514651</v>
      </c>
      <c r="Z20" s="35">
        <f>QUARTILE(K20:V20,1)</f>
        <v>51.902923602148952</v>
      </c>
      <c r="AA20" s="36">
        <f>MEDIAN(K20:V20)</f>
        <v>53.18463610351791</v>
      </c>
      <c r="AB20" s="35">
        <f>QUARTILE(K20:V20,3)</f>
        <v>55.059413196206819</v>
      </c>
      <c r="AC20" s="35">
        <f>MAX(K20:V20)</f>
        <v>57.506046641308714</v>
      </c>
      <c r="AD20" s="35">
        <f>SKEW(K20:V20)</f>
        <v>0.67825836392836558</v>
      </c>
      <c r="AE20" s="35">
        <f>KURT(K20:V20)</f>
        <v>-0.47968298109272656</v>
      </c>
    </row>
    <row r="21" spans="2:31" x14ac:dyDescent="0.2">
      <c r="B21" s="34">
        <f>[50]FormattedData!A36</f>
        <v>204</v>
      </c>
      <c r="C21" s="34" t="str">
        <f>VLOOKUP($B21,[50]TrtCodes!$B$11:I79,2)</f>
        <v>NDH</v>
      </c>
      <c r="D21" s="34">
        <f>VLOOKUP($B21,[50]TrtCodes!$B$11:J79,3)</f>
        <v>11</v>
      </c>
      <c r="E21" s="34">
        <f>VLOOKUP($B21,[50]TrtCodes!$B$11:K79,4)</f>
        <v>2</v>
      </c>
      <c r="F21" s="34">
        <f>VLOOKUP($B21,[50]TrtCodes!$B$11:L79,5)</f>
        <v>3</v>
      </c>
      <c r="G21" s="34">
        <f>VLOOKUP($B21,[50]TrtCodes!$B$11:M79,6)</f>
        <v>2</v>
      </c>
      <c r="H21" s="34">
        <f>VLOOKUP($B21,[50]TrtCodes!$B$11:N79,7)</f>
        <v>1</v>
      </c>
      <c r="I21" s="34">
        <f>[50]FormattedData!B36</f>
        <v>1</v>
      </c>
      <c r="J21" s="37">
        <f>[50]FormattedData!C36</f>
        <v>13</v>
      </c>
      <c r="K21" s="39">
        <f>$J$3+[50]FormattedData!D36*$J$4+$M$4*$J$5+[50]FormattedData!D36^2*$J$6+$M$5*$J$7</f>
        <v>54.092529983854774</v>
      </c>
      <c r="L21" s="39">
        <f>$J$3+[50]FormattedData!E36*$J$4+$M$4*$J$5+[50]FormattedData!E36^2*$J$6+$M$5*$J$7</f>
        <v>51.225466287517214</v>
      </c>
      <c r="M21" s="39">
        <f>$J$3+[50]FormattedData!F36*$J$4+$M$4*$J$5+[50]FormattedData!F36^2*$J$6+$M$5*$J$7</f>
        <v>54.608868873341841</v>
      </c>
      <c r="N21" s="39">
        <f>$J$3+[50]FormattedData!G36*$J$4+$M$4*$J$5+[50]FormattedData!G36^2*$J$6+$M$5*$J$7</f>
        <v>52.011957752251291</v>
      </c>
      <c r="O21" s="39">
        <f>$J$3+[50]FormattedData!H36*$J$4+$M$4*$J$5+[50]FormattedData!H36^2*$J$6+$M$5*$J$7</f>
        <v>54.608868873341841</v>
      </c>
      <c r="P21" s="39">
        <f>$J$3+[50]FormattedData!I36*$J$4+$M$4*$J$5+[50]FormattedData!I36^2*$J$6+$M$5*$J$7</f>
        <v>53.141956578165249</v>
      </c>
      <c r="Q21" s="39">
        <f>$J$3+[50]FormattedData!J36*$J$4+$M$4*$J$5+[50]FormattedData!J36^2*$J$6+$M$5*$J$7</f>
        <v>54.866467692823306</v>
      </c>
      <c r="R21" s="39">
        <f>$J$3+[50]FormattedData!K36*$J$4+$M$4*$J$5+[50]FormattedData!K36^2*$J$6+$M$5*$J$7</f>
        <v>52.534383311200443</v>
      </c>
      <c r="S21" s="39">
        <f>$J$3+[50]FormattedData!L36*$J$4+$M$4*$J$5+[50]FormattedData!L36^2*$J$6+$M$5*$J$7</f>
        <v>54.092529983854774</v>
      </c>
      <c r="T21" s="39">
        <f>$J$3+[50]FormattedData!M36*$J$4+$M$4*$J$5+[50]FormattedData!M36^2*$J$6+$M$5*$J$7</f>
        <v>52.099134350087645</v>
      </c>
      <c r="U21" s="39">
        <f>$J$3+[50]FormattedData!N36*$J$4+$M$4*$J$5+[50]FormattedData!N36^2*$J$6+$M$5*$J$7</f>
        <v>54.092529983854774</v>
      </c>
      <c r="V21" s="39">
        <f>$J$3+[50]FormattedData!O36*$J$4+$M$4*$J$5+[50]FormattedData!O36^2*$J$6+$M$5*$J$7</f>
        <v>52.968575558864963</v>
      </c>
      <c r="W21" s="38">
        <f>AVERAGE(K21:V21)</f>
        <v>53.361939102429851</v>
      </c>
      <c r="X21" s="37">
        <f>STDEV(K21:V21)/SQRT(COUNT(K21:V21))</f>
        <v>0.346455870290581</v>
      </c>
      <c r="Y21" s="36">
        <f>MIN(K21:V21)</f>
        <v>51.225466287517214</v>
      </c>
      <c r="Z21" s="35">
        <f>QUARTILE(K21:V21,1)</f>
        <v>52.425571070922246</v>
      </c>
      <c r="AA21" s="36">
        <f>MEDIAN(K21:V21)</f>
        <v>53.617243281010012</v>
      </c>
      <c r="AB21" s="35">
        <f>QUARTILE(K21:V21,3)</f>
        <v>54.221614706226539</v>
      </c>
      <c r="AC21" s="35">
        <f>MAX(K21:V21)</f>
        <v>54.866467692823306</v>
      </c>
      <c r="AD21" s="35">
        <f>SKEW(K21:V21)</f>
        <v>-0.40458603026810819</v>
      </c>
      <c r="AE21" s="35">
        <f>KURT(K21:V21)</f>
        <v>-1.1465715884564474</v>
      </c>
    </row>
    <row r="22" spans="2:31" x14ac:dyDescent="0.2">
      <c r="B22" s="34">
        <f>[50]FormattedData!A38</f>
        <v>205</v>
      </c>
      <c r="C22" s="34" t="str">
        <f>VLOOKUP($B22,[50]TrtCodes!$B$11:I81,2)</f>
        <v>FSH</v>
      </c>
      <c r="D22" s="34">
        <f>VLOOKUP($B22,[50]TrtCodes!$B$11:J81,3)</f>
        <v>1</v>
      </c>
      <c r="E22" s="34">
        <f>VLOOKUP($B22,[50]TrtCodes!$B$11:K81,4)</f>
        <v>1</v>
      </c>
      <c r="F22" s="34">
        <f>VLOOKUP($B22,[50]TrtCodes!$B$11:L81,5)</f>
        <v>1</v>
      </c>
      <c r="G22" s="34">
        <f>VLOOKUP($B22,[50]TrtCodes!$B$11:M81,6)</f>
        <v>2</v>
      </c>
      <c r="H22" s="34">
        <f>VLOOKUP($B22,[50]TrtCodes!$B$11:N81,7)</f>
        <v>2</v>
      </c>
      <c r="I22" s="34">
        <f>[50]FormattedData!B38</f>
        <v>1</v>
      </c>
      <c r="J22" s="37">
        <f>[50]FormattedData!C38</f>
        <v>13.005000000000001</v>
      </c>
      <c r="K22" s="39">
        <f>$J$3+[50]FormattedData!D38*$J$4+$M$4*$J$5+[50]FormattedData!D38^2*$J$6+$M$5*$J$7</f>
        <v>52.360410532369116</v>
      </c>
      <c r="L22" s="39">
        <f>$J$3+[50]FormattedData!E38*$J$4+$M$4*$J$5+[50]FormattedData!E38^2*$J$6+$M$5*$J$7</f>
        <v>52.099134350087645</v>
      </c>
      <c r="M22" s="39">
        <f>$J$3+[50]FormattedData!F38*$J$4+$M$4*$J$5+[50]FormattedData!F38^2*$J$6+$M$5*$J$7</f>
        <v>54.522918063105493</v>
      </c>
      <c r="N22" s="39">
        <f>$J$3+[50]FormattedData!G38*$J$4+$M$4*$J$5+[50]FormattedData!G38^2*$J$6+$M$5*$J$7</f>
        <v>52.273360740146558</v>
      </c>
      <c r="O22" s="39">
        <f>$J$3+[50]FormattedData!H38*$J$4+$M$4*$J$5+[50]FormattedData!H38^2*$J$6+$M$5*$J$7</f>
        <v>53.661085191155777</v>
      </c>
      <c r="P22" s="39">
        <f>$J$3+[50]FormattedData!I38*$J$4+$M$4*$J$5+[50]FormattedData!I38^2*$J$6+$M$5*$J$7</f>
        <v>50.874815543426969</v>
      </c>
      <c r="Q22" s="39">
        <f>$J$3+[50]FormattedData!J38*$J$4+$M$4*$J$5+[50]FormattedData!J38^2*$J$6+$M$5*$J$7</f>
        <v>54.006325562390828</v>
      </c>
      <c r="R22" s="39">
        <f>$J$3+[50]FormattedData!K38*$J$4+$M$4*$J$5+[50]FormattedData!K38^2*$J$6+$M$5*$J$7</f>
        <v>50.25954940255869</v>
      </c>
      <c r="S22" s="39">
        <f>$J$3+[50]FormattedData!L38*$J$4+$M$4*$J$5+[50]FormattedData!L38^2*$J$6+$M$5*$J$7</f>
        <v>54.952249428907926</v>
      </c>
      <c r="T22" s="39">
        <f>$J$3+[50]FormattedData!M38*$J$4+$M$4*$J$5+[50]FormattedData!M38^2*$J$6+$M$5*$J$7</f>
        <v>51.225466287517214</v>
      </c>
      <c r="U22" s="39">
        <f>$J$3+[50]FormattedData!N38*$J$4+$M$4*$J$5+[50]FormattedData!N38^2*$J$6+$M$5*$J$7</f>
        <v>54.264812021168851</v>
      </c>
      <c r="V22" s="39">
        <f>$J$3+[50]FormattedData!O38*$J$4+$M$4*$J$5+[50]FormattedData!O38^2*$J$6+$M$5*$J$7</f>
        <v>51.488010525936623</v>
      </c>
      <c r="W22" s="38">
        <f>AVERAGE(K22:V22)</f>
        <v>52.665678137397634</v>
      </c>
      <c r="X22" s="37">
        <f>STDEV(K22:V22)/SQRT(COUNT(K22:V22))</f>
        <v>0.4526770281568947</v>
      </c>
      <c r="Y22" s="36">
        <f>MIN(K22:V22)</f>
        <v>50.25954940255869</v>
      </c>
      <c r="Z22" s="35">
        <f>QUARTILE(K22:V22,1)</f>
        <v>51.422374466331775</v>
      </c>
      <c r="AA22" s="36">
        <f>MEDIAN(K22:V22)</f>
        <v>52.316885636257837</v>
      </c>
      <c r="AB22" s="35">
        <f>QUARTILE(K22:V22,3)</f>
        <v>54.07094717708533</v>
      </c>
      <c r="AC22" s="35">
        <f>MAX(K22:V22)</f>
        <v>54.952249428907926</v>
      </c>
      <c r="AD22" s="35">
        <f>SKEW(K22:V22)</f>
        <v>3.625559344371098E-2</v>
      </c>
      <c r="AE22" s="35">
        <f>KURT(K22:V22)</f>
        <v>-1.4234092431946794</v>
      </c>
    </row>
    <row r="23" spans="2:31" x14ac:dyDescent="0.2">
      <c r="B23" s="34">
        <f>[50]FormattedData!A40</f>
        <v>206</v>
      </c>
      <c r="C23" s="34" t="str">
        <f>VLOOKUP($B23,[50]TrtCodes!$B$11:I83,2)</f>
        <v>NSL</v>
      </c>
      <c r="D23" s="34">
        <f>VLOOKUP($B23,[50]TrtCodes!$B$11:J83,3)</f>
        <v>8</v>
      </c>
      <c r="E23" s="34">
        <f>VLOOKUP($B23,[50]TrtCodes!$B$11:K83,4)</f>
        <v>2</v>
      </c>
      <c r="F23" s="34">
        <f>VLOOKUP($B23,[50]TrtCodes!$B$11:L83,5)</f>
        <v>1</v>
      </c>
      <c r="G23" s="34">
        <f>VLOOKUP($B23,[50]TrtCodes!$B$11:M83,6)</f>
        <v>1</v>
      </c>
      <c r="H23" s="34">
        <f>VLOOKUP($B23,[50]TrtCodes!$B$11:N83,7)</f>
        <v>2</v>
      </c>
      <c r="I23" s="34">
        <f>[50]FormattedData!B40</f>
        <v>1</v>
      </c>
      <c r="J23" s="37">
        <f>[50]FormattedData!C40</f>
        <v>13.01</v>
      </c>
      <c r="K23" s="39">
        <f>$J$3+[50]FormattedData!D40*$J$4+$M$4*$J$5+[50]FormattedData!D40^2*$J$6+$M$5*$J$7</f>
        <v>53.401711093081204</v>
      </c>
      <c r="L23" s="39">
        <f>$J$3+[50]FormattedData!E40*$J$4+$M$4*$J$5+[50]FormattedData!E40^2*$J$6+$M$5*$J$7</f>
        <v>51.837477750964787</v>
      </c>
      <c r="M23" s="39">
        <f>$J$3+[50]FormattedData!F40*$J$4+$M$4*$J$5+[50]FormattedData!F40^2*$J$6+$M$5*$J$7</f>
        <v>54.436924984331213</v>
      </c>
      <c r="N23" s="39">
        <f>$J$3+[50]FormattedData!G40*$J$4+$M$4*$J$5+[50]FormattedData!G40^2*$J$6+$M$5*$J$7</f>
        <v>51.313023302194942</v>
      </c>
      <c r="O23" s="39">
        <f>$J$3+[50]FormattedData!H40*$J$4+$M$4*$J$5+[50]FormattedData!H40^2*$J$6+$M$5*$J$7</f>
        <v>54.780643688200755</v>
      </c>
      <c r="P23" s="39">
        <f>$J$3+[50]FormattedData!I40*$J$4+$M$4*$J$5+[50]FormattedData!I40^2*$J$6+$M$5*$J$7</f>
        <v>51.750174347514651</v>
      </c>
      <c r="Q23" s="39">
        <f>$J$3+[50]FormattedData!J40*$J$4+$M$4*$J$5+[50]FormattedData!J40^2*$J$6+$M$5*$J$7</f>
        <v>55.037988896454628</v>
      </c>
      <c r="R23" s="39">
        <f>$J$3+[50]FormattedData!K40*$J$4+$M$4*$J$5+[50]FormattedData!K40^2*$J$6+$M$5*$J$7</f>
        <v>53.574669427002178</v>
      </c>
      <c r="S23" s="39">
        <f>$J$3+[50]FormattedData!L40*$J$4+$M$4*$J$5+[50]FormattedData!L40^2*$J$6+$M$5*$J$7</f>
        <v>54.006325562390828</v>
      </c>
      <c r="T23" s="39">
        <f>$J$3+[50]FormattedData!M40*$J$4+$M$4*$J$5+[50]FormattedData!M40^2*$J$6+$M$5*$J$7</f>
        <v>51.750174347514651</v>
      </c>
      <c r="U23" s="39">
        <f>$J$3+[50]FormattedData!N40*$J$4+$M$4*$J$5+[50]FormattedData!N40^2*$J$6+$M$5*$J$7</f>
        <v>54.694777415040264</v>
      </c>
      <c r="V23" s="39">
        <f>$J$3+[50]FormattedData!O40*$J$4+$M$4*$J$5+[50]FormattedData!O40^2*$J$6+$M$5*$J$7</f>
        <v>53.228583685008502</v>
      </c>
      <c r="W23" s="38">
        <f>AVERAGE(K23:V23)</f>
        <v>53.317706208308216</v>
      </c>
      <c r="X23" s="37">
        <f>STDEV(K23:V23)/SQRT(COUNT(K23:V23))</f>
        <v>0.38854724410319841</v>
      </c>
      <c r="Y23" s="36">
        <f>MIN(K23:V23)</f>
        <v>51.313023302194942</v>
      </c>
      <c r="Z23" s="35">
        <f>QUARTILE(K23:V23,1)</f>
        <v>51.815651900102253</v>
      </c>
      <c r="AA23" s="36">
        <f>MEDIAN(K23:V23)</f>
        <v>53.488190260041691</v>
      </c>
      <c r="AB23" s="35">
        <f>QUARTILE(K23:V23,3)</f>
        <v>54.501388092008476</v>
      </c>
      <c r="AC23" s="35">
        <f>MAX(K23:V23)</f>
        <v>55.037988896454628</v>
      </c>
      <c r="AD23" s="35">
        <f>SKEW(K23:V23)</f>
        <v>-0.28741547458148953</v>
      </c>
      <c r="AE23" s="35">
        <f>KURT(K23:V23)</f>
        <v>-1.5482590774284937</v>
      </c>
    </row>
    <row r="24" spans="2:31" x14ac:dyDescent="0.2">
      <c r="B24" s="34">
        <f>[50]FormattedData!A42</f>
        <v>207</v>
      </c>
      <c r="C24" s="34" t="str">
        <f>VLOOKUP($B24,[50]TrtCodes!$B$11:I85,2)</f>
        <v>FTL</v>
      </c>
      <c r="D24" s="34">
        <f>VLOOKUP($B24,[50]TrtCodes!$B$11:J85,3)</f>
        <v>4</v>
      </c>
      <c r="E24" s="34">
        <f>VLOOKUP($B24,[50]TrtCodes!$B$11:K85,4)</f>
        <v>1</v>
      </c>
      <c r="F24" s="34">
        <f>VLOOKUP($B24,[50]TrtCodes!$B$11:L85,5)</f>
        <v>2</v>
      </c>
      <c r="G24" s="34">
        <f>VLOOKUP($B24,[50]TrtCodes!$B$11:M85,6)</f>
        <v>1</v>
      </c>
      <c r="H24" s="34">
        <f>VLOOKUP($B24,[50]TrtCodes!$B$11:N85,7)</f>
        <v>2</v>
      </c>
      <c r="I24" s="34">
        <f>[50]FormattedData!B42</f>
        <v>1</v>
      </c>
      <c r="J24" s="37">
        <f>[50]FormattedData!C42</f>
        <v>13.015000000000001</v>
      </c>
      <c r="K24" s="39">
        <f>$J$3+[50]FormattedData!D42*$J$4+$M$4*$J$5+[50]FormattedData!D42^2*$J$6+$M$5*$J$7</f>
        <v>50.611383665711003</v>
      </c>
      <c r="L24" s="39">
        <f>$J$3+[50]FormattedData!E42*$J$4+$M$4*$J$5+[50]FormattedData!E42^2*$J$6+$M$5*$J$7</f>
        <v>53.315168523313822</v>
      </c>
      <c r="M24" s="39">
        <f>$J$3+[50]FormattedData!F42*$J$4+$M$4*$J$5+[50]FormattedData!F42^2*$J$6+$M$5*$J$7</f>
        <v>54.436924984331213</v>
      </c>
      <c r="N24" s="39">
        <f>$J$3+[50]FormattedData!G42*$J$4+$M$4*$J$5+[50]FormattedData!G42^2*$J$6+$M$5*$J$7</f>
        <v>53.141956578165249</v>
      </c>
      <c r="O24" s="39">
        <f>$J$3+[50]FormattedData!H42*$J$4+$M$4*$J$5+[50]FormattedData!H42^2*$J$6+$M$5*$J$7</f>
        <v>55.123686095463391</v>
      </c>
      <c r="P24" s="39">
        <f>$J$3+[50]FormattedData!I42*$J$4+$M$4*$J$5+[50]FormattedData!I42^2*$J$6+$M$5*$J$7</f>
        <v>52.360410532369116</v>
      </c>
      <c r="Q24" s="39">
        <f>$J$3+[50]FormattedData!J42*$J$4+$M$4*$J$5+[50]FormattedData!J42^2*$J$6+$M$5*$J$7</f>
        <v>55.123686095463391</v>
      </c>
      <c r="R24" s="39">
        <f>$J$3+[50]FormattedData!K42*$J$4+$M$4*$J$5+[50]FormattedData!K42^2*$J$6+$M$5*$J$7</f>
        <v>52.360410532369116</v>
      </c>
      <c r="S24" s="39">
        <f>$J$3+[50]FormattedData!L42*$J$4+$M$4*$J$5+[50]FormattedData!L42^2*$J$6+$M$5*$J$7</f>
        <v>54.264812021168851</v>
      </c>
      <c r="T24" s="39">
        <f>$J$3+[50]FormattedData!M42*$J$4+$M$4*$J$5+[50]FormattedData!M42^2*$J$6+$M$5*$J$7</f>
        <v>52.099134350087645</v>
      </c>
      <c r="U24" s="39">
        <f>$J$3+[50]FormattedData!N42*$J$4+$M$4*$J$5+[50]FormattedData!N42^2*$J$6+$M$5*$J$7</f>
        <v>54.092529983854774</v>
      </c>
      <c r="V24" s="39">
        <f>$J$3+[50]FormattedData!O42*$J$4+$M$4*$J$5+[50]FormattedData!O42^2*$J$6+$M$5*$J$7</f>
        <v>52.186268679386075</v>
      </c>
      <c r="W24" s="38">
        <f>AVERAGE(K24:V24)</f>
        <v>53.259697670140305</v>
      </c>
      <c r="X24" s="37">
        <f>STDEV(K24:V24)/SQRT(COUNT(K24:V24))</f>
        <v>0.40062198939328197</v>
      </c>
      <c r="Y24" s="36">
        <f>MIN(K24:V24)</f>
        <v>50.611383665711003</v>
      </c>
      <c r="Z24" s="35">
        <f>QUARTILE(K24:V24,1)</f>
        <v>52.316875069123356</v>
      </c>
      <c r="AA24" s="36">
        <f>MEDIAN(K24:V24)</f>
        <v>53.228562550739539</v>
      </c>
      <c r="AB24" s="35">
        <f>QUARTILE(K24:V24,3)</f>
        <v>54.307840261959441</v>
      </c>
      <c r="AC24" s="35">
        <f>MAX(K24:V24)</f>
        <v>55.123686095463391</v>
      </c>
      <c r="AD24" s="35">
        <f>SKEW(K24:V24)</f>
        <v>-0.27153418489575093</v>
      </c>
      <c r="AE24" s="35">
        <f>KURT(K24:V24)</f>
        <v>-0.58366862721042345</v>
      </c>
    </row>
    <row r="25" spans="2:31" x14ac:dyDescent="0.2">
      <c r="B25" s="34">
        <f>[50]FormattedData!A44</f>
        <v>208</v>
      </c>
      <c r="C25" s="34" t="str">
        <f>VLOOKUP($B25,[50]TrtCodes!$B$11:I87,2)</f>
        <v>FSL</v>
      </c>
      <c r="D25" s="34">
        <f>VLOOKUP($B25,[50]TrtCodes!$B$11:J87,3)</f>
        <v>2</v>
      </c>
      <c r="E25" s="34">
        <f>VLOOKUP($B25,[50]TrtCodes!$B$11:K87,4)</f>
        <v>1</v>
      </c>
      <c r="F25" s="34">
        <f>VLOOKUP($B25,[50]TrtCodes!$B$11:L87,5)</f>
        <v>1</v>
      </c>
      <c r="G25" s="34">
        <f>VLOOKUP($B25,[50]TrtCodes!$B$11:M87,6)</f>
        <v>1</v>
      </c>
      <c r="H25" s="34">
        <f>VLOOKUP($B25,[50]TrtCodes!$B$11:N87,7)</f>
        <v>2</v>
      </c>
      <c r="I25" s="34">
        <f>[50]FormattedData!B44</f>
        <v>1</v>
      </c>
      <c r="J25" s="37">
        <f>[50]FormattedData!C44</f>
        <v>13.02</v>
      </c>
      <c r="K25" s="39">
        <f>$J$3+[50]FormattedData!D44*$J$4+$M$4*$J$5+[50]FormattedData!D44^2*$J$6+$M$5*$J$7</f>
        <v>54.694777415040264</v>
      </c>
      <c r="L25" s="39">
        <f>$J$3+[50]FormattedData!E44*$J$4+$M$4*$J$5+[50]FormattedData!E44^2*$J$6+$M$5*$J$7</f>
        <v>51.137867004301548</v>
      </c>
      <c r="M25" s="39">
        <f>$J$3+[50]FormattedData!F44*$J$4+$M$4*$J$5+[50]FormattedData!F44^2*$J$6+$M$5*$J$7</f>
        <v>55.294953687867121</v>
      </c>
      <c r="N25" s="39">
        <f>$J$3+[50]FormattedData!G44*$J$4+$M$4*$J$5+[50]FormattedData!G44^2*$J$6+$M$5*$J$7</f>
        <v>51.924738885877005</v>
      </c>
      <c r="O25" s="39">
        <f>$J$3+[50]FormattedData!H44*$J$4+$M$4*$J$5+[50]FormattedData!H44^2*$J$6+$M$5*$J$7</f>
        <v>55.380524081262088</v>
      </c>
      <c r="P25" s="39">
        <f>$J$3+[50]FormattedData!I44*$J$4+$M$4*$J$5+[50]FormattedData!I44^2*$J$6+$M$5*$J$7</f>
        <v>51.488010525936623</v>
      </c>
      <c r="Q25" s="39">
        <f>$J$3+[50]FormattedData!J44*$J$4+$M$4*$J$5+[50]FormattedData!J44^2*$J$6+$M$5*$J$7</f>
        <v>55.037988896454628</v>
      </c>
      <c r="R25" s="39">
        <f>$J$3+[50]FormattedData!K44*$J$4+$M$4*$J$5+[50]FormattedData!K44^2*$J$6+$M$5*$J$7</f>
        <v>54.006325562390828</v>
      </c>
      <c r="S25" s="39">
        <f>$J$3+[50]FormattedData!L44*$J$4+$M$4*$J$5+[50]FormattedData!L44^2*$J$6+$M$5*$J$7</f>
        <v>53.661085191155777</v>
      </c>
      <c r="T25" s="39">
        <f>$J$3+[50]FormattedData!M44*$J$4+$M$4*$J$5+[50]FormattedData!M44^2*$J$6+$M$5*$J$7</f>
        <v>52.360410532369116</v>
      </c>
      <c r="U25" s="39">
        <f>$J$3+[50]FormattedData!N44*$J$4+$M$4*$J$5+[50]FormattedData!N44^2*$J$6+$M$5*$J$7</f>
        <v>55.978333315964811</v>
      </c>
      <c r="V25" s="39">
        <f>$J$3+[50]FormattedData!O44*$J$4+$M$4*$J$5+[50]FormattedData!O44^2*$J$6+$M$5*$J$7</f>
        <v>53.574669427002178</v>
      </c>
      <c r="W25" s="38">
        <f>AVERAGE(K25:V25)</f>
        <v>53.711640377135161</v>
      </c>
      <c r="X25" s="37">
        <f>STDEV(K25:V25)/SQRT(COUNT(K25:V25))</f>
        <v>0.47555027070639294</v>
      </c>
      <c r="Y25" s="36">
        <f>MIN(K25:V25)</f>
        <v>51.137867004301548</v>
      </c>
      <c r="Z25" s="35">
        <f>QUARTILE(K25:V25,1)</f>
        <v>52.251492620746092</v>
      </c>
      <c r="AA25" s="36">
        <f>MEDIAN(K25:V25)</f>
        <v>53.833705376773302</v>
      </c>
      <c r="AB25" s="35">
        <f>QUARTILE(K25:V25,3)</f>
        <v>55.10223009430775</v>
      </c>
      <c r="AC25" s="35">
        <f>MAX(K25:V25)</f>
        <v>55.978333315964811</v>
      </c>
      <c r="AD25" s="35">
        <f>SKEW(K25:V25)</f>
        <v>-0.30861791477308209</v>
      </c>
      <c r="AE25" s="35">
        <f>KURT(K25:V25)</f>
        <v>-1.3302081316552408</v>
      </c>
    </row>
    <row r="26" spans="2:31" x14ac:dyDescent="0.2">
      <c r="B26" s="34">
        <f>[50]FormattedData!A62</f>
        <v>301</v>
      </c>
      <c r="C26" s="34" t="str">
        <f>VLOOKUP($B26,[50]TrtCodes!$B$11:I105,2)</f>
        <v>NTL</v>
      </c>
      <c r="D26" s="34">
        <f>VLOOKUP($B26,[50]TrtCodes!$B$11:J105,3)</f>
        <v>10</v>
      </c>
      <c r="E26" s="34">
        <f>VLOOKUP($B26,[50]TrtCodes!$B$11:K105,4)</f>
        <v>2</v>
      </c>
      <c r="F26" s="34">
        <f>VLOOKUP($B26,[50]TrtCodes!$B$11:L105,5)</f>
        <v>2</v>
      </c>
      <c r="G26" s="34">
        <f>VLOOKUP($B26,[50]TrtCodes!$B$11:M105,6)</f>
        <v>1</v>
      </c>
      <c r="H26" s="34">
        <f>VLOOKUP($B26,[50]TrtCodes!$B$11:N105,7)</f>
        <v>3</v>
      </c>
      <c r="I26" s="34">
        <f>[50]FormattedData!B62</f>
        <v>1</v>
      </c>
      <c r="J26" s="37">
        <f>[50]FormattedData!C62</f>
        <v>13.090999999999999</v>
      </c>
      <c r="K26" s="39">
        <f>$J$3+[50]FormattedData!D62*$J$4+$M$4*$J$5+[50]FormattedData!D62^2*$J$6+$M$5*$J$7</f>
        <v>50.083378659754942</v>
      </c>
      <c r="L26" s="39">
        <f>$J$3+[50]FormattedData!E62*$J$4+$M$4*$J$5+[50]FormattedData!E62^2*$J$6+$M$5*$J$7</f>
        <v>49.81880553151484</v>
      </c>
      <c r="M26" s="39">
        <f>$J$3+[50]FormattedData!F62*$J$4+$M$4*$J$5+[50]FormattedData!F62^2*$J$6+$M$5*$J$7</f>
        <v>53.228583685008502</v>
      </c>
      <c r="N26" s="39">
        <f>$J$3+[50]FormattedData!G62*$J$4+$M$4*$J$5+[50]FormattedData!G62^2*$J$6+$M$5*$J$7</f>
        <v>51.225466287517214</v>
      </c>
      <c r="O26" s="39">
        <f>$J$3+[50]FormattedData!H62*$J$4+$M$4*$J$5+[50]FormattedData!H62^2*$J$6+$M$5*$J$7</f>
        <v>53.747458686771445</v>
      </c>
      <c r="P26" s="39">
        <f>$J$3+[50]FormattedData!I62*$J$4+$M$4*$J$5+[50]FormattedData!I62^2*$J$6+$M$5*$J$7</f>
        <v>51.750174347514651</v>
      </c>
      <c r="Q26" s="39">
        <f>$J$3+[50]FormattedData!J62*$J$4+$M$4*$J$5+[50]FormattedData!J62^2*$J$6+$M$5*$J$7</f>
        <v>53.141956578165249</v>
      </c>
      <c r="R26" s="39">
        <f>$J$3+[50]FormattedData!K62*$J$4+$M$4*$J$5+[50]FormattedData!K62^2*$J$6+$M$5*$J$7</f>
        <v>52.011957752251291</v>
      </c>
      <c r="S26" s="39">
        <f>$J$3+[50]FormattedData!L62*$J$4+$M$4*$J$5+[50]FormattedData!L62^2*$J$6+$M$5*$J$7</f>
        <v>53.228583685008502</v>
      </c>
      <c r="T26" s="39">
        <f>$J$3+[50]FormattedData!M62*$J$4+$M$4*$J$5+[50]FormattedData!M62^2*$J$6+$M$5*$J$7</f>
        <v>51.488010525936623</v>
      </c>
      <c r="U26" s="39">
        <f>$J$3+[50]FormattedData!N62*$J$4+$M$4*$J$5+[50]FormattedData!N62^2*$J$6+$M$5*$J$7</f>
        <v>52.968575558864963</v>
      </c>
      <c r="V26" s="39">
        <f>$J$3+[50]FormattedData!O62*$J$4+$M$4*$J$5+[50]FormattedData!O62^2*$J$6+$M$5*$J$7</f>
        <v>53.055287202784079</v>
      </c>
      <c r="W26" s="38">
        <f>AVERAGE(K26:V26)</f>
        <v>52.145686541757691</v>
      </c>
      <c r="X26" s="37">
        <f>STDEV(K26:V26)/SQRT(COUNT(K26:V26))</f>
        <v>0.37466374330009439</v>
      </c>
      <c r="Y26" s="36">
        <f>MIN(K26:V26)</f>
        <v>49.81880553151484</v>
      </c>
      <c r="Z26" s="35">
        <f>QUARTILE(K26:V26,1)</f>
        <v>51.422374466331775</v>
      </c>
      <c r="AA26" s="36">
        <f>MEDIAN(K26:V26)</f>
        <v>52.490266655558131</v>
      </c>
      <c r="AB26" s="35">
        <f>QUARTILE(K26:V26,3)</f>
        <v>53.163613354876063</v>
      </c>
      <c r="AC26" s="35">
        <f>MAX(K26:V26)</f>
        <v>53.747458686771445</v>
      </c>
      <c r="AD26" s="35">
        <f>SKEW(K26:V26)</f>
        <v>-0.67612069122065677</v>
      </c>
      <c r="AE26" s="35">
        <f>KURT(K26:V26)</f>
        <v>-0.71268981182729663</v>
      </c>
    </row>
    <row r="27" spans="2:31" x14ac:dyDescent="0.2">
      <c r="B27" s="34">
        <f>[50]FormattedData!A64</f>
        <v>302</v>
      </c>
      <c r="C27" s="34" t="str">
        <f>VLOOKUP($B27,[50]TrtCodes!$B$11:I107,2)</f>
        <v>FTL</v>
      </c>
      <c r="D27" s="34">
        <f>VLOOKUP($B27,[50]TrtCodes!$B$11:J107,3)</f>
        <v>4</v>
      </c>
      <c r="E27" s="34">
        <f>VLOOKUP($B27,[50]TrtCodes!$B$11:K107,4)</f>
        <v>1</v>
      </c>
      <c r="F27" s="34">
        <f>VLOOKUP($B27,[50]TrtCodes!$B$11:L107,5)</f>
        <v>2</v>
      </c>
      <c r="G27" s="34">
        <f>VLOOKUP($B27,[50]TrtCodes!$B$11:M107,6)</f>
        <v>1</v>
      </c>
      <c r="H27" s="34">
        <f>VLOOKUP($B27,[50]TrtCodes!$B$11:N107,7)</f>
        <v>3</v>
      </c>
      <c r="I27" s="34">
        <f>[50]FormattedData!B64</f>
        <v>1</v>
      </c>
      <c r="J27" s="37">
        <f>[50]FormattedData!C64</f>
        <v>13.096</v>
      </c>
      <c r="K27" s="39">
        <f>$J$3+[50]FormattedData!D64*$J$4+$M$4*$J$5+[50]FormattedData!D64^2*$J$6+$M$5*$J$7</f>
        <v>53.401711093081204</v>
      </c>
      <c r="L27" s="39">
        <f>$J$3+[50]FormattedData!E64*$J$4+$M$4*$J$5+[50]FormattedData!E64^2*$J$6+$M$5*$J$7</f>
        <v>50.34757137115367</v>
      </c>
      <c r="M27" s="39">
        <f>$J$3+[50]FormattedData!F64*$J$4+$M$4*$J$5+[50]FormattedData!F64^2*$J$6+$M$5*$J$7</f>
        <v>54.436924984331213</v>
      </c>
      <c r="N27" s="39">
        <f>$J$3+[50]FormattedData!G64*$J$4+$M$4*$J$5+[50]FormattedData!G64^2*$J$6+$M$5*$J$7</f>
        <v>51.924738885877005</v>
      </c>
      <c r="O27" s="39">
        <f>$J$3+[50]FormattedData!H64*$J$4+$M$4*$J$5+[50]FormattedData!H64^2*$J$6+$M$5*$J$7</f>
        <v>54.006325562390828</v>
      </c>
      <c r="P27" s="39">
        <f>$J$3+[50]FormattedData!I64*$J$4+$M$4*$J$5+[50]FormattedData!I64^2*$J$6+$M$5*$J$7</f>
        <v>51.313023302194942</v>
      </c>
      <c r="Q27" s="39">
        <f>$J$3+[50]FormattedData!J64*$J$4+$M$4*$J$5+[50]FormattedData!J64^2*$J$6+$M$5*$J$7</f>
        <v>53.401711093081204</v>
      </c>
      <c r="R27" s="39">
        <f>$J$3+[50]FormattedData!K64*$J$4+$M$4*$J$5+[50]FormattedData!K64^2*$J$6+$M$5*$J$7</f>
        <v>51.662828675526569</v>
      </c>
      <c r="S27" s="39">
        <f>$J$3+[50]FormattedData!L64*$J$4+$M$4*$J$5+[50]FormattedData!L64^2*$J$6+$M$5*$J$7</f>
        <v>52.968575558864963</v>
      </c>
      <c r="T27" s="39">
        <f>$J$3+[50]FormattedData!M64*$J$4+$M$4*$J$5+[50]FormattedData!M64^2*$J$6+$M$5*$J$7</f>
        <v>51.837477750964787</v>
      </c>
      <c r="U27" s="39">
        <f>$J$3+[50]FormattedData!N64*$J$4+$M$4*$J$5+[50]FormattedData!N64^2*$J$6+$M$5*$J$7</f>
        <v>52.360410532369116</v>
      </c>
      <c r="V27" s="39">
        <f>$J$3+[50]FormattedData!O64*$J$4+$M$4*$J$5+[50]FormattedData!O64^2*$J$6+$M$5*$J$7</f>
        <v>52.273360740146558</v>
      </c>
      <c r="W27" s="38">
        <f>AVERAGE(K27:V27)</f>
        <v>52.494554962498505</v>
      </c>
      <c r="X27" s="37">
        <f>STDEV(K27:V27)/SQRT(COUNT(K27:V27))</f>
        <v>0.34211351033810933</v>
      </c>
      <c r="Y27" s="36">
        <f>MIN(K27:V27)</f>
        <v>50.34757137115367</v>
      </c>
      <c r="Z27" s="35">
        <f>QUARTILE(K27:V27,1)</f>
        <v>51.793815482105231</v>
      </c>
      <c r="AA27" s="36">
        <f>MEDIAN(K27:V27)</f>
        <v>52.316885636257837</v>
      </c>
      <c r="AB27" s="35">
        <f>QUARTILE(K27:V27,3)</f>
        <v>53.401711093081204</v>
      </c>
      <c r="AC27" s="35">
        <f>MAX(K27:V27)</f>
        <v>54.436924984331213</v>
      </c>
      <c r="AD27" s="35">
        <f>SKEW(K27:V27)</f>
        <v>-1.4453415404931289E-2</v>
      </c>
      <c r="AE27" s="35">
        <f>KURT(K27:V27)</f>
        <v>-0.45208446541813219</v>
      </c>
    </row>
    <row r="28" spans="2:31" x14ac:dyDescent="0.2">
      <c r="B28" s="34">
        <f>[50]FormattedData!A66</f>
        <v>303</v>
      </c>
      <c r="C28" s="34" t="str">
        <f>VLOOKUP($B28,[50]TrtCodes!$B$11:I109,2)</f>
        <v>NSL</v>
      </c>
      <c r="D28" s="34">
        <f>VLOOKUP($B28,[50]TrtCodes!$B$11:J109,3)</f>
        <v>8</v>
      </c>
      <c r="E28" s="34">
        <f>VLOOKUP($B28,[50]TrtCodes!$B$11:K109,4)</f>
        <v>2</v>
      </c>
      <c r="F28" s="34">
        <f>VLOOKUP($B28,[50]TrtCodes!$B$11:L109,5)</f>
        <v>1</v>
      </c>
      <c r="G28" s="34">
        <f>VLOOKUP($B28,[50]TrtCodes!$B$11:M109,6)</f>
        <v>1</v>
      </c>
      <c r="H28" s="34">
        <f>VLOOKUP($B28,[50]TrtCodes!$B$11:N109,7)</f>
        <v>3</v>
      </c>
      <c r="I28" s="34">
        <f>[50]FormattedData!B66</f>
        <v>1</v>
      </c>
      <c r="J28" s="37">
        <f>[50]FormattedData!C66</f>
        <v>13.101000000000001</v>
      </c>
      <c r="K28" s="39">
        <f>$J$3+[50]FormattedData!D66*$J$4+$M$4*$J$5+[50]FormattedData!D66^2*$J$6+$M$5*$J$7</f>
        <v>52.360410532369116</v>
      </c>
      <c r="L28" s="39">
        <f>$J$3+[50]FormattedData!E66*$J$4+$M$4*$J$5+[50]FormattedData!E66^2*$J$6+$M$5*$J$7</f>
        <v>52.360410532369116</v>
      </c>
      <c r="M28" s="39">
        <f>$J$3+[50]FormattedData!F66*$J$4+$M$4*$J$5+[50]FormattedData!F66^2*$J$6+$M$5*$J$7</f>
        <v>51.924738885877005</v>
      </c>
      <c r="N28" s="39">
        <f>$J$3+[50]FormattedData!G66*$J$4+$M$4*$J$5+[50]FormattedData!G66^2*$J$6+$M$5*$J$7</f>
        <v>52.968575558864963</v>
      </c>
      <c r="O28" s="39">
        <f>$J$3+[50]FormattedData!H66*$J$4+$M$4*$J$5+[50]FormattedData!H66^2*$J$6+$M$5*$J$7</f>
        <v>52.621306297809213</v>
      </c>
      <c r="P28" s="39">
        <f>$J$3+[50]FormattedData!I66*$J$4+$M$4*$J$5+[50]FormattedData!I66^2*$J$6+$M$5*$J$7</f>
        <v>53.833789913849166</v>
      </c>
      <c r="Q28" s="39">
        <f>$J$3+[50]FormattedData!J66*$J$4+$M$4*$J$5+[50]FormattedData!J66^2*$J$6+$M$5*$J$7</f>
        <v>53.574669427002178</v>
      </c>
      <c r="R28" s="39">
        <f>$J$3+[50]FormattedData!K66*$J$4+$M$4*$J$5+[50]FormattedData!K66^2*$J$6+$M$5*$J$7</f>
        <v>54.866467692823306</v>
      </c>
      <c r="S28" s="39">
        <f>$J$3+[50]FormattedData!L66*$J$4+$M$4*$J$5+[50]FormattedData!L66^2*$J$6+$M$5*$J$7</f>
        <v>52.795025465412948</v>
      </c>
      <c r="T28" s="39">
        <f>$J$3+[50]FormattedData!M66*$J$4+$M$4*$J$5+[50]FormattedData!M66^2*$J$6+$M$5*$J$7</f>
        <v>54.264812021168851</v>
      </c>
      <c r="U28" s="39">
        <f>$J$3+[50]FormattedData!N66*$J$4+$M$4*$J$5+[50]FormattedData!N66^2*$J$6+$M$5*$J$7</f>
        <v>52.447418056053742</v>
      </c>
      <c r="V28" s="39">
        <f>$J$3+[50]FormattedData!O66*$J$4+$M$4*$J$5+[50]FormattedData!O66^2*$J$6+$M$5*$J$7</f>
        <v>54.092529983854774</v>
      </c>
      <c r="W28" s="38">
        <f>AVERAGE(K28:V28)</f>
        <v>53.175846197287861</v>
      </c>
      <c r="X28" s="37">
        <f>STDEV(K28:V28)/SQRT(COUNT(K28:V28))</f>
        <v>0.26682127758003621</v>
      </c>
      <c r="Y28" s="36">
        <f>MIN(K28:V28)</f>
        <v>51.924738885877005</v>
      </c>
      <c r="Z28" s="35">
        <f>QUARTILE(K28:V28,1)</f>
        <v>52.425666175132584</v>
      </c>
      <c r="AA28" s="36">
        <f>MEDIAN(K28:V28)</f>
        <v>52.881800512138952</v>
      </c>
      <c r="AB28" s="35">
        <f>QUARTILE(K28:V28,3)</f>
        <v>53.89847493135057</v>
      </c>
      <c r="AC28" s="35">
        <f>MAX(K28:V28)</f>
        <v>54.866467692823306</v>
      </c>
      <c r="AD28" s="35">
        <f>SKEW(K28:V28)</f>
        <v>0.49432214967901877</v>
      </c>
      <c r="AE28" s="35">
        <f>KURT(K28:V28)</f>
        <v>-0.96162806888223118</v>
      </c>
    </row>
    <row r="29" spans="2:31" x14ac:dyDescent="0.2">
      <c r="B29" s="34">
        <f>[50]FormattedData!A68</f>
        <v>304</v>
      </c>
      <c r="C29" s="34" t="str">
        <f>VLOOKUP($B29,[50]TrtCodes!$B$11:I111,2)</f>
        <v>FSL</v>
      </c>
      <c r="D29" s="34">
        <f>VLOOKUP($B29,[50]TrtCodes!$B$11:J111,3)</f>
        <v>2</v>
      </c>
      <c r="E29" s="34">
        <f>VLOOKUP($B29,[50]TrtCodes!$B$11:K111,4)</f>
        <v>1</v>
      </c>
      <c r="F29" s="34">
        <f>VLOOKUP($B29,[50]TrtCodes!$B$11:L111,5)</f>
        <v>1</v>
      </c>
      <c r="G29" s="34">
        <f>VLOOKUP($B29,[50]TrtCodes!$B$11:M111,6)</f>
        <v>1</v>
      </c>
      <c r="H29" s="34">
        <f>VLOOKUP($B29,[50]TrtCodes!$B$11:N111,7)</f>
        <v>3</v>
      </c>
      <c r="I29" s="34">
        <f>[50]FormattedData!B68</f>
        <v>1</v>
      </c>
      <c r="J29" s="37">
        <f>[50]FormattedData!C68</f>
        <v>13.106</v>
      </c>
      <c r="K29" s="39">
        <f>$J$3+[50]FormattedData!D68*$J$4+$M$4*$J$5+[50]FormattedData!D68^2*$J$6+$M$5*$J$7</f>
        <v>52.273360740146558</v>
      </c>
      <c r="L29" s="39">
        <f>$J$3+[50]FormattedData!E68*$J$4+$M$4*$J$5+[50]FormattedData!E68^2*$J$6+$M$5*$J$7</f>
        <v>53.055287202784079</v>
      </c>
      <c r="M29" s="39">
        <f>$J$3+[50]FormattedData!F68*$J$4+$M$4*$J$5+[50]FormattedData!F68^2*$J$6+$M$5*$J$7</f>
        <v>53.141956578165249</v>
      </c>
      <c r="N29" s="39">
        <f>$J$3+[50]FormattedData!G68*$J$4+$M$4*$J$5+[50]FormattedData!G68^2*$J$6+$M$5*$J$7</f>
        <v>54.264812021168851</v>
      </c>
      <c r="O29" s="39">
        <f>$J$3+[50]FormattedData!H68*$J$4+$M$4*$J$5+[50]FormattedData!H68^2*$J$6+$M$5*$J$7</f>
        <v>53.833789913849166</v>
      </c>
      <c r="P29" s="39">
        <f>$J$3+[50]FormattedData!I68*$J$4+$M$4*$J$5+[50]FormattedData!I68^2*$J$6+$M$5*$J$7</f>
        <v>55.294953687867121</v>
      </c>
      <c r="Q29" s="39">
        <f>$J$3+[50]FormattedData!J68*$J$4+$M$4*$J$5+[50]FormattedData!J68^2*$J$6+$M$5*$J$7</f>
        <v>52.273360740146558</v>
      </c>
      <c r="R29" s="39">
        <f>$J$3+[50]FormattedData!K68*$J$4+$M$4*$J$5+[50]FormattedData!K68^2*$J$6+$M$5*$J$7</f>
        <v>54.178692136780782</v>
      </c>
      <c r="S29" s="39">
        <f>$J$3+[50]FormattedData!L68*$J$4+$M$4*$J$5+[50]FormattedData!L68^2*$J$6+$M$5*$J$7</f>
        <v>53.401711093081204</v>
      </c>
      <c r="T29" s="39">
        <f>$J$3+[50]FormattedData!M68*$J$4+$M$4*$J$5+[50]FormattedData!M68^2*$J$6+$M$5*$J$7</f>
        <v>53.92007887238897</v>
      </c>
      <c r="U29" s="39">
        <f>$J$3+[50]FormattedData!N68*$J$4+$M$4*$J$5+[50]FormattedData!N68^2*$J$6+$M$5*$J$7</f>
        <v>54.350889637019002</v>
      </c>
      <c r="V29" s="39">
        <f>$J$3+[50]FormattedData!O68*$J$4+$M$4*$J$5+[50]FormattedData!O68^2*$J$6+$M$5*$J$7</f>
        <v>53.315168523313822</v>
      </c>
      <c r="W29" s="38">
        <f>AVERAGE(K29:V29)</f>
        <v>53.608671762225946</v>
      </c>
      <c r="X29" s="37">
        <f>STDEV(K29:V29)/SQRT(COUNT(K29:V29))</f>
        <v>0.25400840177183021</v>
      </c>
      <c r="Y29" s="36">
        <f>MIN(K29:V29)</f>
        <v>52.273360740146558</v>
      </c>
      <c r="Z29" s="35">
        <f>QUARTILE(K29:V29,1)</f>
        <v>53.120289234319955</v>
      </c>
      <c r="AA29" s="36">
        <f>MEDIAN(K29:V29)</f>
        <v>53.617750503465189</v>
      </c>
      <c r="AB29" s="35">
        <f>QUARTILE(K29:V29,3)</f>
        <v>54.200222107877799</v>
      </c>
      <c r="AC29" s="35">
        <f>MAX(K29:V29)</f>
        <v>55.294953687867121</v>
      </c>
      <c r="AD29" s="35">
        <f>SKEW(K29:V29)</f>
        <v>0.1034533617671239</v>
      </c>
      <c r="AE29" s="35">
        <f>KURT(K29:V29)</f>
        <v>-3.7456899899713125E-2</v>
      </c>
    </row>
    <row r="30" spans="2:31" x14ac:dyDescent="0.2">
      <c r="B30" s="34">
        <f>[50]FormattedData!A70</f>
        <v>305</v>
      </c>
      <c r="C30" s="34" t="str">
        <f>VLOOKUP($B30,[50]TrtCodes!$B$11:I113,2)</f>
        <v>NDH</v>
      </c>
      <c r="D30" s="34">
        <f>VLOOKUP($B30,[50]TrtCodes!$B$11:J113,3)</f>
        <v>11</v>
      </c>
      <c r="E30" s="34">
        <f>VLOOKUP($B30,[50]TrtCodes!$B$11:K113,4)</f>
        <v>2</v>
      </c>
      <c r="F30" s="34">
        <f>VLOOKUP($B30,[50]TrtCodes!$B$11:L113,5)</f>
        <v>3</v>
      </c>
      <c r="G30" s="34">
        <f>VLOOKUP($B30,[50]TrtCodes!$B$11:M113,6)</f>
        <v>2</v>
      </c>
      <c r="H30" s="34">
        <f>VLOOKUP($B30,[50]TrtCodes!$B$11:N113,7)</f>
        <v>4</v>
      </c>
      <c r="I30" s="34">
        <f>[50]FormattedData!B70</f>
        <v>1</v>
      </c>
      <c r="J30" s="37">
        <f>[50]FormattedData!C70</f>
        <v>13.111000000000001</v>
      </c>
      <c r="K30" s="39">
        <f>$J$3+[50]FormattedData!D70*$J$4+$M$4*$J$5+[50]FormattedData!D70^2*$J$6+$M$5*$J$7</f>
        <v>53.574669427002178</v>
      </c>
      <c r="L30" s="39">
        <f>$J$3+[50]FormattedData!E70*$J$4+$M$4*$J$5+[50]FormattedData!E70^2*$J$6+$M$5*$J$7</f>
        <v>54.178692136780782</v>
      </c>
      <c r="M30" s="39">
        <f>$J$3+[50]FormattedData!F70*$J$4+$M$4*$J$5+[50]FormattedData!F70^2*$J$6+$M$5*$J$7</f>
        <v>53.315168523313822</v>
      </c>
      <c r="N30" s="39">
        <f>$J$3+[50]FormattedData!G70*$J$4+$M$4*$J$5+[50]FormattedData!G70^2*$J$6+$M$5*$J$7</f>
        <v>53.141956578165249</v>
      </c>
      <c r="O30" s="39">
        <f>$J$3+[50]FormattedData!H70*$J$4+$M$4*$J$5+[50]FormattedData!H70^2*$J$6+$M$5*$J$7</f>
        <v>53.574669427002178</v>
      </c>
      <c r="P30" s="39">
        <f>$J$3+[50]FormattedData!I70*$J$4+$M$4*$J$5+[50]FormattedData!I70^2*$J$6+$M$5*$J$7</f>
        <v>52.099134350087645</v>
      </c>
      <c r="Q30" s="39">
        <f>$J$3+[50]FormattedData!J70*$J$4+$M$4*$J$5+[50]FormattedData!J70^2*$J$6+$M$5*$J$7</f>
        <v>52.273360740146558</v>
      </c>
      <c r="R30" s="39">
        <f>$J$3+[50]FormattedData!K70*$J$4+$M$4*$J$5+[50]FormattedData!K70^2*$J$6+$M$5*$J$7</f>
        <v>55.123686095463391</v>
      </c>
      <c r="S30" s="39">
        <f>$J$3+[50]FormattedData!L70*$J$4+$M$4*$J$5+[50]FormattedData!L70^2*$J$6+$M$5*$J$7</f>
        <v>52.881821646407928</v>
      </c>
      <c r="T30" s="39">
        <f>$J$3+[50]FormattedData!M70*$J$4+$M$4*$J$5+[50]FormattedData!M70^2*$J$6+$M$5*$J$7</f>
        <v>54.608868873341841</v>
      </c>
      <c r="U30" s="39">
        <f>$J$3+[50]FormattedData!N70*$J$4+$M$4*$J$5+[50]FormattedData!N70^2*$J$6+$M$5*$J$7</f>
        <v>50.874815543426969</v>
      </c>
      <c r="V30" s="39">
        <f>$J$3+[50]FormattedData!O70*$J$4+$M$4*$J$5+[50]FormattedData!O70^2*$J$6+$M$5*$J$7</f>
        <v>54.952249428907926</v>
      </c>
      <c r="W30" s="38">
        <f>AVERAGE(K30:V30)</f>
        <v>53.383257730837208</v>
      </c>
      <c r="X30" s="37">
        <f>STDEV(K30:V30)/SQRT(COUNT(K30:V30))</f>
        <v>0.36083203733827462</v>
      </c>
      <c r="Y30" s="36">
        <f>MIN(K30:V30)</f>
        <v>50.874815543426969</v>
      </c>
      <c r="Z30" s="35">
        <f>QUARTILE(K30:V30,1)</f>
        <v>52.729706419842586</v>
      </c>
      <c r="AA30" s="36">
        <f>MEDIAN(K30:V30)</f>
        <v>53.444918975158004</v>
      </c>
      <c r="AB30" s="35">
        <f>QUARTILE(K30:V30,3)</f>
        <v>54.286236320921049</v>
      </c>
      <c r="AC30" s="35">
        <f>MAX(K30:V30)</f>
        <v>55.123686095463391</v>
      </c>
      <c r="AD30" s="35">
        <f>SKEW(K30:V30)</f>
        <v>-0.4422061993809791</v>
      </c>
      <c r="AE30" s="35">
        <f>KURT(K30:V30)</f>
        <v>-4.4630686788864171E-2</v>
      </c>
    </row>
    <row r="31" spans="2:31" x14ac:dyDescent="0.2">
      <c r="B31" s="34">
        <f>[50]FormattedData!A72</f>
        <v>306</v>
      </c>
      <c r="C31" s="34" t="str">
        <f>VLOOKUP($B31,[50]TrtCodes!$B$11:I115,2)</f>
        <v>FTL</v>
      </c>
      <c r="D31" s="34">
        <f>VLOOKUP($B31,[50]TrtCodes!$B$11:J115,3)</f>
        <v>4</v>
      </c>
      <c r="E31" s="34">
        <f>VLOOKUP($B31,[50]TrtCodes!$B$11:K115,4)</f>
        <v>1</v>
      </c>
      <c r="F31" s="34">
        <f>VLOOKUP($B31,[50]TrtCodes!$B$11:L115,5)</f>
        <v>2</v>
      </c>
      <c r="G31" s="34">
        <f>VLOOKUP($B31,[50]TrtCodes!$B$11:M115,6)</f>
        <v>1</v>
      </c>
      <c r="H31" s="34">
        <f>VLOOKUP($B31,[50]TrtCodes!$B$11:N115,7)</f>
        <v>4</v>
      </c>
      <c r="I31" s="34">
        <f>[50]FormattedData!B72</f>
        <v>1</v>
      </c>
      <c r="J31" s="37">
        <f>[50]FormattedData!C72</f>
        <v>13.116</v>
      </c>
      <c r="K31" s="39">
        <f>$J$3+[50]FormattedData!D72*$J$4+$M$4*$J$5+[50]FormattedData!D72^2*$J$6+$M$5*$J$7</f>
        <v>52.186268679386075</v>
      </c>
      <c r="L31" s="39">
        <f>$J$3+[50]FormattedData!E72*$J$4+$M$4*$J$5+[50]FormattedData!E72^2*$J$6+$M$5*$J$7</f>
        <v>52.795025465412948</v>
      </c>
      <c r="M31" s="39">
        <f>$J$3+[50]FormattedData!F72*$J$4+$M$4*$J$5+[50]FormattedData!F72^2*$J$6+$M$5*$J$7</f>
        <v>54.522918063105493</v>
      </c>
      <c r="N31" s="39">
        <f>$J$3+[50]FormattedData!G72*$J$4+$M$4*$J$5+[50]FormattedData!G72^2*$J$6+$M$5*$J$7</f>
        <v>52.099134350087645</v>
      </c>
      <c r="O31" s="39">
        <f>$J$3+[50]FormattedData!H72*$J$4+$M$4*$J$5+[50]FormattedData!H72^2*$J$6+$M$5*$J$7</f>
        <v>53.055287202784079</v>
      </c>
      <c r="P31" s="39">
        <f>$J$3+[50]FormattedData!I72*$J$4+$M$4*$J$5+[50]FormattedData!I72^2*$J$6+$M$5*$J$7</f>
        <v>53.401711093081204</v>
      </c>
      <c r="Q31" s="39">
        <f>$J$3+[50]FormattedData!J72*$J$4+$M$4*$J$5+[50]FormattedData!J72^2*$J$6+$M$5*$J$7</f>
        <v>53.747458686771445</v>
      </c>
      <c r="R31" s="39">
        <f>$J$3+[50]FormattedData!K72*$J$4+$M$4*$J$5+[50]FormattedData!K72^2*$J$6+$M$5*$J$7</f>
        <v>53.228583685008502</v>
      </c>
      <c r="S31" s="39">
        <f>$J$3+[50]FormattedData!L72*$J$4+$M$4*$J$5+[50]FormattedData!L72^2*$J$6+$M$5*$J$7</f>
        <v>52.534383311200443</v>
      </c>
      <c r="T31" s="39">
        <f>$J$3+[50]FormattedData!M72*$J$4+$M$4*$J$5+[50]FormattedData!M72^2*$J$6+$M$5*$J$7</f>
        <v>52.795025465412948</v>
      </c>
      <c r="U31" s="39">
        <f>$J$3+[50]FormattedData!N72*$J$4+$M$4*$J$5+[50]FormattedData!N72^2*$J$6+$M$5*$J$7</f>
        <v>53.401711093081204</v>
      </c>
      <c r="V31" s="39">
        <f>$J$3+[50]FormattedData!O72*$J$4+$M$4*$J$5+[50]FormattedData!O72^2*$J$6+$M$5*$J$7</f>
        <v>53.315168523313822</v>
      </c>
      <c r="W31" s="38">
        <f>AVERAGE(K31:V31)</f>
        <v>53.09022296822048</v>
      </c>
      <c r="X31" s="37">
        <f>STDEV(K31:V31)/SQRT(COUNT(K31:V31))</f>
        <v>0.19525079613884513</v>
      </c>
      <c r="Y31" s="36">
        <f>MIN(K31:V31)</f>
        <v>52.099134350087645</v>
      </c>
      <c r="Z31" s="35">
        <f>QUARTILE(K31:V31,1)</f>
        <v>52.729864926859818</v>
      </c>
      <c r="AA31" s="36">
        <f>MEDIAN(K31:V31)</f>
        <v>53.141935443896287</v>
      </c>
      <c r="AB31" s="35">
        <f>QUARTILE(K31:V31,3)</f>
        <v>53.401711093081204</v>
      </c>
      <c r="AC31" s="35">
        <f>MAX(K31:V31)</f>
        <v>54.522918063105493</v>
      </c>
      <c r="AD31" s="35">
        <f>SKEW(K31:V31)</f>
        <v>0.48081640689772426</v>
      </c>
      <c r="AE31" s="35">
        <f>KURT(K31:V31)</f>
        <v>0.60830389049451661</v>
      </c>
    </row>
    <row r="32" spans="2:31" x14ac:dyDescent="0.2">
      <c r="B32" s="34">
        <f>[50]FormattedData!A74</f>
        <v>307</v>
      </c>
      <c r="C32" s="34" t="str">
        <f>VLOOKUP($B32,[50]TrtCodes!$B$11:I117,2)</f>
        <v>NTH</v>
      </c>
      <c r="D32" s="34">
        <f>VLOOKUP($B32,[50]TrtCodes!$B$11:J117,3)</f>
        <v>9</v>
      </c>
      <c r="E32" s="34">
        <f>VLOOKUP($B32,[50]TrtCodes!$B$11:K117,4)</f>
        <v>2</v>
      </c>
      <c r="F32" s="34">
        <f>VLOOKUP($B32,[50]TrtCodes!$B$11:L117,5)</f>
        <v>2</v>
      </c>
      <c r="G32" s="34">
        <f>VLOOKUP($B32,[50]TrtCodes!$B$11:M117,6)</f>
        <v>2</v>
      </c>
      <c r="H32" s="34">
        <f>VLOOKUP($B32,[50]TrtCodes!$B$11:N117,7)</f>
        <v>4</v>
      </c>
      <c r="I32" s="34">
        <f>[50]FormattedData!B74</f>
        <v>1</v>
      </c>
      <c r="J32" s="37">
        <f>[50]FormattedData!C74</f>
        <v>13.122</v>
      </c>
      <c r="K32" s="39">
        <f>$J$3+[50]FormattedData!D74*$J$4+$M$4*$J$5+[50]FormattedData!D74^2*$J$6+$M$5*$J$7</f>
        <v>51.313023302194942</v>
      </c>
      <c r="L32" s="39">
        <f>$J$3+[50]FormattedData!E74*$J$4+$M$4*$J$5+[50]FormattedData!E74^2*$J$6+$M$5*$J$7</f>
        <v>54.694777415040264</v>
      </c>
      <c r="M32" s="39">
        <f>$J$3+[50]FormattedData!F74*$J$4+$M$4*$J$5+[50]FormattedData!F74^2*$J$6+$M$5*$J$7</f>
        <v>54.092529983854774</v>
      </c>
      <c r="N32" s="39">
        <f>$J$3+[50]FormattedData!G74*$J$4+$M$4*$J$5+[50]FormattedData!G74^2*$J$6+$M$5*$J$7</f>
        <v>54.350889637019002</v>
      </c>
      <c r="O32" s="39">
        <f>$J$3+[50]FormattedData!H74*$J$4+$M$4*$J$5+[50]FormattedData!H74^2*$J$6+$M$5*$J$7</f>
        <v>52.795025465412948</v>
      </c>
      <c r="P32" s="39">
        <f>$J$3+[50]FormattedData!I74*$J$4+$M$4*$J$5+[50]FormattedData!I74^2*$J$6+$M$5*$J$7</f>
        <v>54.178692136780782</v>
      </c>
      <c r="Q32" s="39">
        <f>$J$3+[50]FormattedData!J74*$J$4+$M$4*$J$5+[50]FormattedData!J74^2*$J$6+$M$5*$J$7</f>
        <v>52.968575558864963</v>
      </c>
      <c r="R32" s="39">
        <f>$J$3+[50]FormattedData!K74*$J$4+$M$4*$J$5+[50]FormattedData!K74^2*$J$6+$M$5*$J$7</f>
        <v>54.952249428907926</v>
      </c>
      <c r="S32" s="39">
        <f>$J$3+[50]FormattedData!L74*$J$4+$M$4*$J$5+[50]FormattedData!L74^2*$J$6+$M$5*$J$7</f>
        <v>55.037988896454628</v>
      </c>
      <c r="T32" s="39">
        <f>$J$3+[50]FormattedData!M74*$J$4+$M$4*$J$5+[50]FormattedData!M74^2*$J$6+$M$5*$J$7</f>
        <v>52.621306297809213</v>
      </c>
      <c r="U32" s="39">
        <f>$J$3+[50]FormattedData!N74*$J$4+$M$4*$J$5+[50]FormattedData!N74^2*$J$6+$M$5*$J$7</f>
        <v>54.178692136780782</v>
      </c>
      <c r="V32" s="39">
        <f>$J$3+[50]FormattedData!O74*$J$4+$M$4*$J$5+[50]FormattedData!O74^2*$J$6+$M$5*$J$7</f>
        <v>54.694777415040264</v>
      </c>
      <c r="W32" s="38">
        <f>AVERAGE(K32:V32)</f>
        <v>53.823210639513377</v>
      </c>
      <c r="X32" s="37">
        <f>STDEV(K32:V32)/SQRT(COUNT(K32:V32))</f>
        <v>0.33036440740421874</v>
      </c>
      <c r="Y32" s="36">
        <f>MIN(K32:V32)</f>
        <v>51.313023302194942</v>
      </c>
      <c r="Z32" s="35">
        <f>QUARTILE(K32:V32,1)</f>
        <v>52.925188035501961</v>
      </c>
      <c r="AA32" s="36">
        <f>MEDIAN(K32:V32)</f>
        <v>54.178692136780782</v>
      </c>
      <c r="AB32" s="35">
        <f>QUARTILE(K32:V32,3)</f>
        <v>54.694777415040264</v>
      </c>
      <c r="AC32" s="35">
        <f>MAX(K32:V32)</f>
        <v>55.037988896454628</v>
      </c>
      <c r="AD32" s="35">
        <f>SKEW(K32:V32)</f>
        <v>-1.0518716769246634</v>
      </c>
      <c r="AE32" s="35">
        <f>KURT(K32:V32)</f>
        <v>0.42329502443022538</v>
      </c>
    </row>
    <row r="33" spans="2:31" x14ac:dyDescent="0.2">
      <c r="B33" s="34">
        <f>[50]FormattedData!A76</f>
        <v>308</v>
      </c>
      <c r="C33" s="34" t="str">
        <f>VLOOKUP($B33,[50]TrtCodes!$B$11:I119,2)</f>
        <v>FDH</v>
      </c>
      <c r="D33" s="34">
        <f>VLOOKUP($B33,[50]TrtCodes!$B$11:J119,3)</f>
        <v>5</v>
      </c>
      <c r="E33" s="34">
        <f>VLOOKUP($B33,[50]TrtCodes!$B$11:K119,4)</f>
        <v>1</v>
      </c>
      <c r="F33" s="34">
        <f>VLOOKUP($B33,[50]TrtCodes!$B$11:L119,5)</f>
        <v>3</v>
      </c>
      <c r="G33" s="34">
        <f>VLOOKUP($B33,[50]TrtCodes!$B$11:M119,6)</f>
        <v>2</v>
      </c>
      <c r="H33" s="34">
        <f>VLOOKUP($B33,[50]TrtCodes!$B$11:N119,7)</f>
        <v>4</v>
      </c>
      <c r="I33" s="34">
        <f>[50]FormattedData!B76</f>
        <v>1</v>
      </c>
      <c r="J33" s="37">
        <f>[50]FormattedData!C76</f>
        <v>13.127000000000001</v>
      </c>
      <c r="K33" s="39">
        <f>$J$3+[50]FormattedData!D76*$J$4+$M$4*$J$5+[50]FormattedData!D76^2*$J$6+$M$5*$J$7</f>
        <v>52.708187015880043</v>
      </c>
      <c r="L33" s="39">
        <f>$J$3+[50]FormattedData!E76*$J$4+$M$4*$J$5+[50]FormattedData!E76^2*$J$6+$M$5*$J$7</f>
        <v>54.006325562390828</v>
      </c>
      <c r="M33" s="39">
        <f>$J$3+[50]FormattedData!F76*$J$4+$M$4*$J$5+[50]FormattedData!F76^2*$J$6+$M$5*$J$7</f>
        <v>53.315168523313822</v>
      </c>
      <c r="N33" s="39">
        <f>$J$3+[50]FormattedData!G76*$J$4+$M$4*$J$5+[50]FormattedData!G76^2*$J$6+$M$5*$J$7</f>
        <v>53.661085191155777</v>
      </c>
      <c r="O33" s="39">
        <f>$J$3+[50]FormattedData!H76*$J$4+$M$4*$J$5+[50]FormattedData!H76^2*$J$6+$M$5*$J$7</f>
        <v>53.661085191155777</v>
      </c>
      <c r="P33" s="39">
        <f>$J$3+[50]FormattedData!I76*$J$4+$M$4*$J$5+[50]FormattedData!I76^2*$J$6+$M$5*$J$7</f>
        <v>53.574669427002178</v>
      </c>
      <c r="Q33" s="39">
        <f>$J$3+[50]FormattedData!J76*$J$4+$M$4*$J$5+[50]FormattedData!J76^2*$J$6+$M$5*$J$7</f>
        <v>53.92007887238897</v>
      </c>
      <c r="R33" s="39">
        <f>$J$3+[50]FormattedData!K76*$J$4+$M$4*$J$5+[50]FormattedData!K76^2*$J$6+$M$5*$J$7</f>
        <v>53.401711093081204</v>
      </c>
      <c r="S33" s="39">
        <f>$J$3+[50]FormattedData!L76*$J$4+$M$4*$J$5+[50]FormattedData!L76^2*$J$6+$M$5*$J$7</f>
        <v>55.294953687867121</v>
      </c>
      <c r="T33" s="39">
        <f>$J$3+[50]FormattedData!M76*$J$4+$M$4*$J$5+[50]FormattedData!M76^2*$J$6+$M$5*$J$7</f>
        <v>52.795025465412948</v>
      </c>
      <c r="U33" s="39">
        <f>$J$3+[50]FormattedData!N76*$J$4+$M$4*$J$5+[50]FormattedData!N76^2*$J$6+$M$5*$J$7</f>
        <v>53.488211394310667</v>
      </c>
      <c r="V33" s="39">
        <f>$J$3+[50]FormattedData!O76*$J$4+$M$4*$J$5+[50]FormattedData!O76^2*$J$6+$M$5*$J$7</f>
        <v>53.401711093081204</v>
      </c>
      <c r="W33" s="38">
        <f>AVERAGE(K33:V33)</f>
        <v>53.602351043086713</v>
      </c>
      <c r="X33" s="37">
        <f>STDEV(K33:V33)/SQRT(COUNT(K33:V33))</f>
        <v>0.18997675505983616</v>
      </c>
      <c r="Y33" s="36">
        <f>MIN(K33:V33)</f>
        <v>52.708187015880043</v>
      </c>
      <c r="Z33" s="35">
        <f>QUARTILE(K33:V33,1)</f>
        <v>53.38007545063936</v>
      </c>
      <c r="AA33" s="36">
        <f>MEDIAN(K33:V33)</f>
        <v>53.531440410656423</v>
      </c>
      <c r="AB33" s="35">
        <f>QUARTILE(K33:V33,3)</f>
        <v>53.725833611464076</v>
      </c>
      <c r="AC33" s="35">
        <f>MAX(K33:V33)</f>
        <v>55.294953687867121</v>
      </c>
      <c r="AD33" s="35">
        <f>SKEW(K33:V33)</f>
        <v>1.4028167976058439</v>
      </c>
      <c r="AE33" s="35">
        <f>KURT(K33:V33)</f>
        <v>3.7952764728095838</v>
      </c>
    </row>
    <row r="34" spans="2:31" x14ac:dyDescent="0.2">
      <c r="B34" s="34">
        <f>[50]FormattedData!A92</f>
        <v>401</v>
      </c>
      <c r="C34" s="34" t="str">
        <f>VLOOKUP($B34,[50]TrtCodes!$B$11:I129,2)</f>
        <v>NSH</v>
      </c>
      <c r="D34" s="34">
        <f>VLOOKUP($B34,[50]TrtCodes!$B$11:J129,3)</f>
        <v>7</v>
      </c>
      <c r="E34" s="34">
        <f>VLOOKUP($B34,[50]TrtCodes!$B$11:K129,4)</f>
        <v>2</v>
      </c>
      <c r="F34" s="34">
        <f>VLOOKUP($B34,[50]TrtCodes!$B$11:L129,5)</f>
        <v>1</v>
      </c>
      <c r="G34" s="34">
        <f>VLOOKUP($B34,[50]TrtCodes!$B$11:M129,6)</f>
        <v>2</v>
      </c>
      <c r="H34" s="34">
        <f>VLOOKUP($B34,[50]TrtCodes!$B$11:N129,7)</f>
        <v>3</v>
      </c>
      <c r="I34" s="34">
        <f>[50]FormattedData!B92</f>
        <v>1</v>
      </c>
      <c r="J34" s="37">
        <f>[50]FormattedData!C92</f>
        <v>13.231999999999999</v>
      </c>
      <c r="K34" s="39">
        <f>$J$3+[50]FormattedData!D92*$J$4+$M$4*$J$5+[50]FormattedData!D92^2*$J$6+$M$5*$J$7</f>
        <v>50.699236560154255</v>
      </c>
      <c r="L34" s="39">
        <f>$J$3+[50]FormattedData!E92*$J$4+$M$4*$J$5+[50]FormattedData!E92^2*$J$6+$M$5*$J$7</f>
        <v>52.968575558864963</v>
      </c>
      <c r="M34" s="39">
        <f>$J$3+[50]FormattedData!F92*$J$4+$M$4*$J$5+[50]FormattedData!F92^2*$J$6+$M$5*$J$7</f>
        <v>54.006325562390828</v>
      </c>
      <c r="N34" s="39">
        <f>$J$3+[50]FormattedData!G92*$J$4+$M$4*$J$5+[50]FormattedData!G92^2*$J$6+$M$5*$J$7</f>
        <v>53.141956578165249</v>
      </c>
      <c r="O34" s="39">
        <f>$J$3+[50]FormattedData!H92*$J$4+$M$4*$J$5+[50]FormattedData!H92^2*$J$6+$M$5*$J$7</f>
        <v>53.315168523313822</v>
      </c>
      <c r="P34" s="39">
        <f>$J$3+[50]FormattedData!I92*$J$4+$M$4*$J$5+[50]FormattedData!I92^2*$J$6+$M$5*$J$7</f>
        <v>53.228583685008502</v>
      </c>
      <c r="Q34" s="39">
        <f>$J$3+[50]FormattedData!J92*$J$4+$M$4*$J$5+[50]FormattedData!J92^2*$J$6+$M$5*$J$7</f>
        <v>53.574669427002178</v>
      </c>
      <c r="R34" s="39">
        <f>$J$3+[50]FormattedData!K92*$J$4+$M$4*$J$5+[50]FormattedData!K92^2*$J$6+$M$5*$J$7</f>
        <v>53.315168523313822</v>
      </c>
      <c r="S34" s="39">
        <f>$J$3+[50]FormattedData!L92*$J$4+$M$4*$J$5+[50]FormattedData!L92^2*$J$6+$M$5*$J$7</f>
        <v>52.881821646407928</v>
      </c>
      <c r="T34" s="39">
        <f>$J$3+[50]FormattedData!M92*$J$4+$M$4*$J$5+[50]FormattedData!M92^2*$J$6+$M$5*$J$7</f>
        <v>52.621306297809213</v>
      </c>
      <c r="U34" s="39">
        <f>$J$3+[50]FormattedData!N92*$J$4+$M$4*$J$5+[50]FormattedData!N92^2*$J$6+$M$5*$J$7</f>
        <v>52.186268679386075</v>
      </c>
      <c r="V34" s="39">
        <f>$J$3+[50]FormattedData!O92*$J$4+$M$4*$J$5+[50]FormattedData!O92^2*$J$6+$M$5*$J$7</f>
        <v>53.661085191155777</v>
      </c>
      <c r="W34" s="38">
        <f>AVERAGE(K34:V34)</f>
        <v>52.966680519414389</v>
      </c>
      <c r="X34" s="37">
        <f>STDEV(K34:V34)/SQRT(COUNT(K34:V34))</f>
        <v>0.24850683849513924</v>
      </c>
      <c r="Y34" s="36">
        <f>MIN(K34:V34)</f>
        <v>50.699236560154255</v>
      </c>
      <c r="Z34" s="35">
        <f>QUARTILE(K34:V34,1)</f>
        <v>52.816692809258249</v>
      </c>
      <c r="AA34" s="36">
        <f>MEDIAN(K34:V34)</f>
        <v>53.185270131586876</v>
      </c>
      <c r="AB34" s="35">
        <f>QUARTILE(K34:V34,3)</f>
        <v>53.380043749235909</v>
      </c>
      <c r="AC34" s="35">
        <f>MAX(K34:V34)</f>
        <v>54.006325562390828</v>
      </c>
      <c r="AD34" s="35">
        <f>SKEW(K34:V34)</f>
        <v>-1.7755904850677291</v>
      </c>
      <c r="AE34" s="35">
        <f>KURT(K34:V34)</f>
        <v>4.1127834910120669</v>
      </c>
    </row>
    <row r="35" spans="2:31" x14ac:dyDescent="0.2">
      <c r="B35" s="34">
        <f>[50]FormattedData!A90</f>
        <v>402</v>
      </c>
      <c r="C35" s="34" t="str">
        <f>VLOOKUP($B35,[50]TrtCodes!$B$11:I130,2)</f>
        <v>NTH</v>
      </c>
      <c r="D35" s="34">
        <f>VLOOKUP($B35,[50]TrtCodes!$B$11:J130,3)</f>
        <v>9</v>
      </c>
      <c r="E35" s="34">
        <f>VLOOKUP($B35,[50]TrtCodes!$B$11:K130,4)</f>
        <v>2</v>
      </c>
      <c r="F35" s="34">
        <f>VLOOKUP($B35,[50]TrtCodes!$B$11:L130,5)</f>
        <v>2</v>
      </c>
      <c r="G35" s="34">
        <f>VLOOKUP($B35,[50]TrtCodes!$B$11:M130,6)</f>
        <v>2</v>
      </c>
      <c r="H35" s="34">
        <f>VLOOKUP($B35,[50]TrtCodes!$B$11:N130,7)</f>
        <v>3</v>
      </c>
      <c r="I35" s="34">
        <f>[50]FormattedData!B90</f>
        <v>1</v>
      </c>
      <c r="J35" s="37">
        <f>[50]FormattedData!C90</f>
        <v>13.191000000000001</v>
      </c>
      <c r="K35" s="39">
        <f>$J$3+[50]FormattedData!D90*$J$4+$M$4*$J$5+[50]FormattedData!D90^2*$J$6+$M$5*$J$7</f>
        <v>51.137867004301548</v>
      </c>
      <c r="L35" s="39">
        <f>$J$3+[50]FormattedData!E90*$J$4+$M$4*$J$5+[50]FormattedData!E90^2*$J$6+$M$5*$J$7</f>
        <v>52.881821646407928</v>
      </c>
      <c r="M35" s="39">
        <f>$J$3+[50]FormattedData!F90*$J$4+$M$4*$J$5+[50]FormattedData!F90^2*$J$6+$M$5*$J$7</f>
        <v>53.747458686771445</v>
      </c>
      <c r="N35" s="39">
        <f>$J$3+[50]FormattedData!G90*$J$4+$M$4*$J$5+[50]FormattedData!G90^2*$J$6+$M$5*$J$7</f>
        <v>53.833789913849166</v>
      </c>
      <c r="O35" s="39">
        <f>$J$3+[50]FormattedData!H90*$J$4+$M$4*$J$5+[50]FormattedData!H90^2*$J$6+$M$5*$J$7</f>
        <v>52.881821646407928</v>
      </c>
      <c r="P35" s="39">
        <f>$J$3+[50]FormattedData!I90*$J$4+$M$4*$J$5+[50]FormattedData!I90^2*$J$6+$M$5*$J$7</f>
        <v>53.055287202784079</v>
      </c>
      <c r="Q35" s="39">
        <f>$J$3+[50]FormattedData!J90*$J$4+$M$4*$J$5+[50]FormattedData!J90^2*$J$6+$M$5*$J$7</f>
        <v>53.141956578165249</v>
      </c>
      <c r="R35" s="39">
        <f>$J$3+[50]FormattedData!K90*$J$4+$M$4*$J$5+[50]FormattedData!K90^2*$J$6+$M$5*$J$7</f>
        <v>52.360410532369116</v>
      </c>
      <c r="S35" s="39">
        <f>$J$3+[50]FormattedData!L90*$J$4+$M$4*$J$5+[50]FormattedData!L90^2*$J$6+$M$5*$J$7</f>
        <v>52.273360740146558</v>
      </c>
      <c r="T35" s="39">
        <f>$J$3+[50]FormattedData!M90*$J$4+$M$4*$J$5+[50]FormattedData!M90^2*$J$6+$M$5*$J$7</f>
        <v>51.662828675526569</v>
      </c>
      <c r="U35" s="39">
        <f>$J$3+[50]FormattedData!N90*$J$4+$M$4*$J$5+[50]FormattedData!N90^2*$J$6+$M$5*$J$7</f>
        <v>51.137867004301548</v>
      </c>
      <c r="V35" s="39">
        <f>$J$3+[50]FormattedData!O90*$J$4+$M$4*$J$5+[50]FormattedData!O90^2*$J$6+$M$5*$J$7</f>
        <v>52.011957752251291</v>
      </c>
      <c r="W35" s="38">
        <f>AVERAGE(K35:V35)</f>
        <v>52.510535615273547</v>
      </c>
      <c r="X35" s="37">
        <f>STDEV(K35:V35)/SQRT(COUNT(K35:V35))</f>
        <v>0.2620800915057469</v>
      </c>
      <c r="Y35" s="36">
        <f>MIN(K35:V35)</f>
        <v>51.137867004301548</v>
      </c>
      <c r="Z35" s="35">
        <f>QUARTILE(K35:V35,1)</f>
        <v>51.924675483070111</v>
      </c>
      <c r="AA35" s="36">
        <f>MEDIAN(K35:V35)</f>
        <v>52.621116089388522</v>
      </c>
      <c r="AB35" s="35">
        <f>QUARTILE(K35:V35,3)</f>
        <v>53.076954546629374</v>
      </c>
      <c r="AC35" s="35">
        <f>MAX(K35:V35)</f>
        <v>53.833789913849166</v>
      </c>
      <c r="AD35" s="35">
        <f>SKEW(K35:V35)</f>
        <v>-0.17456272451789767</v>
      </c>
      <c r="AE35" s="35">
        <f>KURT(K35:V35)</f>
        <v>-0.93119195377872899</v>
      </c>
    </row>
    <row r="36" spans="2:31" x14ac:dyDescent="0.2">
      <c r="B36" s="34">
        <f>[50]FormattedData!A88</f>
        <v>403</v>
      </c>
      <c r="C36" s="34" t="str">
        <f>VLOOKUP($B36,[50]TrtCodes!$B$11:I131,2)</f>
        <v>FDL</v>
      </c>
      <c r="D36" s="34">
        <f>VLOOKUP($B36,[50]TrtCodes!$B$11:J131,3)</f>
        <v>6</v>
      </c>
      <c r="E36" s="34">
        <f>VLOOKUP($B36,[50]TrtCodes!$B$11:K131,4)</f>
        <v>1</v>
      </c>
      <c r="F36" s="34">
        <f>VLOOKUP($B36,[50]TrtCodes!$B$11:L131,5)</f>
        <v>3</v>
      </c>
      <c r="G36" s="34">
        <f>VLOOKUP($B36,[50]TrtCodes!$B$11:M131,6)</f>
        <v>1</v>
      </c>
      <c r="H36" s="34">
        <f>VLOOKUP($B36,[50]TrtCodes!$B$11:N131,7)</f>
        <v>3</v>
      </c>
      <c r="I36" s="34">
        <f>[50]FormattedData!B88</f>
        <v>1</v>
      </c>
      <c r="J36" s="37">
        <f>[50]FormattedData!C88</f>
        <v>13.182</v>
      </c>
      <c r="K36" s="39">
        <f>$J$3+[50]FormattedData!D88*$J$4+$M$4*$J$5+[50]FormattedData!D88^2*$J$6+$M$5*$J$7</f>
        <v>51.662828675526569</v>
      </c>
      <c r="L36" s="39">
        <f>$J$3+[50]FormattedData!E88*$J$4+$M$4*$J$5+[50]FormattedData!E88^2*$J$6+$M$5*$J$7</f>
        <v>52.534383311200443</v>
      </c>
      <c r="M36" s="39">
        <f>$J$3+[50]FormattedData!F88*$J$4+$M$4*$J$5+[50]FormattedData!F88^2*$J$6+$M$5*$J$7</f>
        <v>54.952249428907926</v>
      </c>
      <c r="N36" s="39">
        <f>$J$3+[50]FormattedData!G88*$J$4+$M$4*$J$5+[50]FormattedData!G88^2*$J$6+$M$5*$J$7</f>
        <v>54.092529983854774</v>
      </c>
      <c r="O36" s="39">
        <f>$J$3+[50]FormattedData!H88*$J$4+$M$4*$J$5+[50]FormattedData!H88^2*$J$6+$M$5*$J$7</f>
        <v>53.401711093081204</v>
      </c>
      <c r="P36" s="39">
        <f>$J$3+[50]FormattedData!I88*$J$4+$M$4*$J$5+[50]FormattedData!I88^2*$J$6+$M$5*$J$7</f>
        <v>54.436924984331213</v>
      </c>
      <c r="Q36" s="39">
        <f>$J$3+[50]FormattedData!J88*$J$4+$M$4*$J$5+[50]FormattedData!J88^2*$J$6+$M$5*$J$7</f>
        <v>52.360410532369116</v>
      </c>
      <c r="R36" s="39">
        <f>$J$3+[50]FormattedData!K88*$J$4+$M$4*$J$5+[50]FormattedData!K88^2*$J$6+$M$5*$J$7</f>
        <v>55.722382969462657</v>
      </c>
      <c r="S36" s="39">
        <f>$J$3+[50]FormattedData!L88*$J$4+$M$4*$J$5+[50]FormattedData!L88^2*$J$6+$M$5*$J$7</f>
        <v>52.621306297809213</v>
      </c>
      <c r="T36" s="39">
        <f>$J$3+[50]FormattedData!M88*$J$4+$M$4*$J$5+[50]FormattedData!M88^2*$J$6+$M$5*$J$7</f>
        <v>54.006325562390828</v>
      </c>
      <c r="U36" s="39">
        <f>$J$3+[50]FormattedData!N88*$J$4+$M$4*$J$5+[50]FormattedData!N88^2*$J$6+$M$5*$J$7</f>
        <v>52.968575558864963</v>
      </c>
      <c r="V36" s="39">
        <f>$J$3+[50]FormattedData!O88*$J$4+$M$4*$J$5+[50]FormattedData!O88^2*$J$6+$M$5*$J$7</f>
        <v>53.661085191155777</v>
      </c>
      <c r="W36" s="38">
        <f>AVERAGE(K36:V36)</f>
        <v>53.535059465746208</v>
      </c>
      <c r="X36" s="37">
        <f>STDEV(K36:V36)/SQRT(COUNT(K36:V36))</f>
        <v>0.33950668515588428</v>
      </c>
      <c r="Y36" s="36">
        <f>MIN(K36:V36)</f>
        <v>51.662828675526569</v>
      </c>
      <c r="Z36" s="35">
        <f>QUARTILE(K36:V36,1)</f>
        <v>52.599575551157017</v>
      </c>
      <c r="AA36" s="36">
        <f>MEDIAN(K36:V36)</f>
        <v>53.531398142118491</v>
      </c>
      <c r="AB36" s="35">
        <f>QUARTILE(K36:V36,3)</f>
        <v>54.178628733973881</v>
      </c>
      <c r="AC36" s="35">
        <f>MAX(K36:V36)</f>
        <v>55.722382969462657</v>
      </c>
      <c r="AD36" s="35">
        <f>SKEW(K36:V36)</f>
        <v>0.28113680976384714</v>
      </c>
      <c r="AE36" s="35">
        <f>KURT(K36:V36)</f>
        <v>-0.43195195845803669</v>
      </c>
    </row>
    <row r="37" spans="2:31" x14ac:dyDescent="0.2">
      <c r="B37" s="34">
        <f>[50]FormattedData!A86</f>
        <v>404</v>
      </c>
      <c r="C37" s="34" t="str">
        <f>VLOOKUP($B37,[50]TrtCodes!$B$11:I129,2)</f>
        <v>FTH</v>
      </c>
      <c r="D37" s="34">
        <f>VLOOKUP($B37,[50]TrtCodes!$B$11:J129,3)</f>
        <v>3</v>
      </c>
      <c r="E37" s="34">
        <f>VLOOKUP($B37,[50]TrtCodes!$B$11:K129,4)</f>
        <v>1</v>
      </c>
      <c r="F37" s="34">
        <f>VLOOKUP($B37,[50]TrtCodes!$B$11:L129,5)</f>
        <v>2</v>
      </c>
      <c r="G37" s="34">
        <f>VLOOKUP($B37,[50]TrtCodes!$B$11:M129,6)</f>
        <v>2</v>
      </c>
      <c r="H37" s="34">
        <f>VLOOKUP($B37,[50]TrtCodes!$B$11:N129,7)</f>
        <v>3</v>
      </c>
      <c r="I37" s="34">
        <f>[50]FormattedData!B86</f>
        <v>1</v>
      </c>
      <c r="J37" s="37">
        <f>[50]FormattedData!C86</f>
        <v>13.173999999999999</v>
      </c>
      <c r="K37" s="39">
        <f>$J$3+[50]FormattedData!D86*$J$4+$M$4*$J$5+[50]FormattedData!D86^2*$J$6+$M$5*$J$7</f>
        <v>51.750174347514651</v>
      </c>
      <c r="L37" s="39">
        <f>$J$3+[50]FormattedData!E86*$J$4+$M$4*$J$5+[50]FormattedData!E86^2*$J$6+$M$5*$J$7</f>
        <v>54.952249428907926</v>
      </c>
      <c r="M37" s="39">
        <f>$J$3+[50]FormattedData!F86*$J$4+$M$4*$J$5+[50]FormattedData!F86^2*$J$6+$M$5*$J$7</f>
        <v>53.833789913849166</v>
      </c>
      <c r="N37" s="39">
        <f>$J$3+[50]FormattedData!G86*$J$4+$M$4*$J$5+[50]FormattedData!G86^2*$J$6+$M$5*$J$7</f>
        <v>55.037988896454628</v>
      </c>
      <c r="O37" s="39">
        <f>$J$3+[50]FormattedData!H86*$J$4+$M$4*$J$5+[50]FormattedData!H86^2*$J$6+$M$5*$J$7</f>
        <v>53.833789913849166</v>
      </c>
      <c r="P37" s="39">
        <f>$J$3+[50]FormattedData!I86*$J$4+$M$4*$J$5+[50]FormattedData!I86^2*$J$6+$M$5*$J$7</f>
        <v>55.46605220611913</v>
      </c>
      <c r="Q37" s="39">
        <f>$J$3+[50]FormattedData!J86*$J$4+$M$4*$J$5+[50]FormattedData!J86^2*$J$6+$M$5*$J$7</f>
        <v>53.92007887238897</v>
      </c>
      <c r="R37" s="39">
        <f>$J$3+[50]FormattedData!K86*$J$4+$M$4*$J$5+[50]FormattedData!K86^2*$J$6+$M$5*$J$7</f>
        <v>55.209341025934222</v>
      </c>
      <c r="S37" s="39">
        <f>$J$3+[50]FormattedData!L86*$J$4+$M$4*$J$5+[50]FormattedData!L86^2*$J$6+$M$5*$J$7</f>
        <v>53.055287202784079</v>
      </c>
      <c r="T37" s="39">
        <f>$J$3+[50]FormattedData!M86*$J$4+$M$4*$J$5+[50]FormattedData!M86^2*$J$6+$M$5*$J$7</f>
        <v>53.141956578165249</v>
      </c>
      <c r="U37" s="39">
        <f>$J$3+[50]FormattedData!N86*$J$4+$M$4*$J$5+[50]FormattedData!N86^2*$J$6+$M$5*$J$7</f>
        <v>52.273360740146558</v>
      </c>
      <c r="V37" s="39">
        <f>$J$3+[50]FormattedData!O86*$J$4+$M$4*$J$5+[50]FormattedData!O86^2*$J$6+$M$5*$J$7</f>
        <v>54.780643688200755</v>
      </c>
      <c r="W37" s="38">
        <f>AVERAGE(K37:V37)</f>
        <v>53.937892734526208</v>
      </c>
      <c r="X37" s="37">
        <f>STDEV(K37:V37)/SQRT(COUNT(K37:V37))</f>
        <v>0.34698364608945237</v>
      </c>
      <c r="Y37" s="36">
        <f>MIN(K37:V37)</f>
        <v>51.750174347514651</v>
      </c>
      <c r="Z37" s="35">
        <f>QUARTILE(K37:V37,1)</f>
        <v>53.120289234319955</v>
      </c>
      <c r="AA37" s="36">
        <f>MEDIAN(K37:V37)</f>
        <v>53.876934393119072</v>
      </c>
      <c r="AB37" s="35">
        <f>QUARTILE(K37:V37,3)</f>
        <v>54.973684295794598</v>
      </c>
      <c r="AC37" s="35">
        <f>MAX(K37:V37)</f>
        <v>55.46605220611913</v>
      </c>
      <c r="AD37" s="35">
        <f>SKEW(K37:V37)</f>
        <v>-0.48238042915307194</v>
      </c>
      <c r="AE37" s="35">
        <f>KURT(K37:V37)</f>
        <v>-0.81092590832471467</v>
      </c>
    </row>
    <row r="38" spans="2:31" x14ac:dyDescent="0.2">
      <c r="B38" s="34">
        <f>[50]FormattedData!A84</f>
        <v>405</v>
      </c>
      <c r="C38" s="34" t="str">
        <f>VLOOKUP($B38,[50]TrtCodes!$B$11:I127,2)</f>
        <v>FDL</v>
      </c>
      <c r="D38" s="34">
        <f>VLOOKUP($B38,[50]TrtCodes!$B$11:J127,3)</f>
        <v>6</v>
      </c>
      <c r="E38" s="34">
        <f>VLOOKUP($B38,[50]TrtCodes!$B$11:K127,4)</f>
        <v>1</v>
      </c>
      <c r="F38" s="34">
        <f>VLOOKUP($B38,[50]TrtCodes!$B$11:L127,5)</f>
        <v>3</v>
      </c>
      <c r="G38" s="34">
        <f>VLOOKUP($B38,[50]TrtCodes!$B$11:M127,6)</f>
        <v>1</v>
      </c>
      <c r="H38" s="34">
        <f>VLOOKUP($B38,[50]TrtCodes!$B$11:N127,7)</f>
        <v>4</v>
      </c>
      <c r="I38" s="34">
        <f>[50]FormattedData!B84</f>
        <v>1</v>
      </c>
      <c r="J38" s="37">
        <f>[50]FormattedData!C84</f>
        <v>13.166</v>
      </c>
      <c r="K38" s="39">
        <f>$J$3+[50]FormattedData!D84*$J$4+$M$4*$J$5+[50]FormattedData!D84^2*$J$6+$M$5*$J$7</f>
        <v>50.962541632256425</v>
      </c>
      <c r="L38" s="39">
        <f>$J$3+[50]FormattedData!E84*$J$4+$M$4*$J$5+[50]FormattedData!E84^2*$J$6+$M$5*$J$7</f>
        <v>53.833789913849166</v>
      </c>
      <c r="M38" s="39">
        <f>$J$3+[50]FormattedData!F84*$J$4+$M$4*$J$5+[50]FormattedData!F84^2*$J$6+$M$5*$J$7</f>
        <v>54.694777415040264</v>
      </c>
      <c r="N38" s="39">
        <f>$J$3+[50]FormattedData!G84*$J$4+$M$4*$J$5+[50]FormattedData!G84^2*$J$6+$M$5*$J$7</f>
        <v>54.178692136780782</v>
      </c>
      <c r="O38" s="39">
        <f>$J$3+[50]FormattedData!H84*$J$4+$M$4*$J$5+[50]FormattedData!H84^2*$J$6+$M$5*$J$7</f>
        <v>54.264812021168851</v>
      </c>
      <c r="P38" s="39">
        <f>$J$3+[50]FormattedData!I84*$J$4+$M$4*$J$5+[50]FormattedData!I84^2*$J$6+$M$5*$J$7</f>
        <v>53.228583685008502</v>
      </c>
      <c r="Q38" s="39">
        <f>$J$3+[50]FormattedData!J84*$J$4+$M$4*$J$5+[50]FormattedData!J84^2*$J$6+$M$5*$J$7</f>
        <v>53.833789913849166</v>
      </c>
      <c r="R38" s="39">
        <f>$J$3+[50]FormattedData!K84*$J$4+$M$4*$J$5+[50]FormattedData!K84^2*$J$6+$M$5*$J$7</f>
        <v>52.881821646407928</v>
      </c>
      <c r="S38" s="39">
        <f>$J$3+[50]FormattedData!L84*$J$4+$M$4*$J$5+[50]FormattedData!L84^2*$J$6+$M$5*$J$7</f>
        <v>54.436924984331213</v>
      </c>
      <c r="T38" s="39">
        <f>$J$3+[50]FormattedData!M84*$J$4+$M$4*$J$5+[50]FormattedData!M84^2*$J$6+$M$5*$J$7</f>
        <v>52.011957752251291</v>
      </c>
      <c r="U38" s="39">
        <f>$J$3+[50]FormattedData!N84*$J$4+$M$4*$J$5+[50]FormattedData!N84^2*$J$6+$M$5*$J$7</f>
        <v>54.522918063105493</v>
      </c>
      <c r="V38" s="39">
        <f>$J$3+[50]FormattedData!O84*$J$4+$M$4*$J$5+[50]FormattedData!O84^2*$J$6+$M$5*$J$7</f>
        <v>52.099134350087645</v>
      </c>
      <c r="W38" s="38">
        <f>AVERAGE(K38:V38)</f>
        <v>53.412478626178064</v>
      </c>
      <c r="X38" s="37">
        <f>STDEV(K38:V38)/SQRT(COUNT(K38:V38))</f>
        <v>0.34376872279166915</v>
      </c>
      <c r="Y38" s="36">
        <f>MIN(K38:V38)</f>
        <v>50.962541632256425</v>
      </c>
      <c r="Z38" s="35">
        <f>QUARTILE(K38:V38,1)</f>
        <v>52.686149822327856</v>
      </c>
      <c r="AA38" s="36">
        <f>MEDIAN(K38:V38)</f>
        <v>53.833789913849166</v>
      </c>
      <c r="AB38" s="35">
        <f>QUARTILE(K38:V38,3)</f>
        <v>54.307840261959441</v>
      </c>
      <c r="AC38" s="35">
        <f>MAX(K38:V38)</f>
        <v>54.694777415040264</v>
      </c>
      <c r="AD38" s="35">
        <f>SKEW(K38:V38)</f>
        <v>-0.91093126581024819</v>
      </c>
      <c r="AE38" s="35">
        <f>KURT(K38:V38)</f>
        <v>-0.17907490790029312</v>
      </c>
    </row>
    <row r="39" spans="2:31" x14ac:dyDescent="0.2">
      <c r="B39" s="34">
        <f>[50]FormattedData!A82</f>
        <v>406</v>
      </c>
      <c r="C39" s="34" t="str">
        <f>VLOOKUP($B39,[50]TrtCodes!$B$11:I125,2)</f>
        <v>FTH</v>
      </c>
      <c r="D39" s="34">
        <f>VLOOKUP($B39,[50]TrtCodes!$B$11:J125,3)</f>
        <v>3</v>
      </c>
      <c r="E39" s="34">
        <f>VLOOKUP($B39,[50]TrtCodes!$B$11:K125,4)</f>
        <v>1</v>
      </c>
      <c r="F39" s="34">
        <f>VLOOKUP($B39,[50]TrtCodes!$B$11:L125,5)</f>
        <v>2</v>
      </c>
      <c r="G39" s="34">
        <f>VLOOKUP($B39,[50]TrtCodes!$B$11:M125,6)</f>
        <v>2</v>
      </c>
      <c r="H39" s="34">
        <f>VLOOKUP($B39,[50]TrtCodes!$B$11:N125,7)</f>
        <v>4</v>
      </c>
      <c r="I39" s="34">
        <f>[50]FormattedData!B82</f>
        <v>1</v>
      </c>
      <c r="J39" s="37">
        <f>[50]FormattedData!C82</f>
        <v>13.157</v>
      </c>
      <c r="K39" s="39">
        <f>$J$3+[50]FormattedData!D82*$J$4+$M$4*$J$5+[50]FormattedData!D82^2*$J$6+$M$5*$J$7</f>
        <v>50.25954940255869</v>
      </c>
      <c r="L39" s="39">
        <f>$J$3+[50]FormattedData!E82*$J$4+$M$4*$J$5+[50]FormattedData!E82^2*$J$6+$M$5*$J$7</f>
        <v>52.273360740146558</v>
      </c>
      <c r="M39" s="39">
        <f>$J$3+[50]FormattedData!F82*$J$4+$M$4*$J$5+[50]FormattedData!F82^2*$J$6+$M$5*$J$7</f>
        <v>54.436924984331213</v>
      </c>
      <c r="N39" s="39">
        <f>$J$3+[50]FormattedData!G82*$J$4+$M$4*$J$5+[50]FormattedData!G82^2*$J$6+$M$5*$J$7</f>
        <v>53.401711093081204</v>
      </c>
      <c r="O39" s="39">
        <f>$J$3+[50]FormattedData!H82*$J$4+$M$4*$J$5+[50]FormattedData!H82^2*$J$6+$M$5*$J$7</f>
        <v>54.608868873341841</v>
      </c>
      <c r="P39" s="39">
        <f>$J$3+[50]FormattedData!I82*$J$4+$M$4*$J$5+[50]FormattedData!I82^2*$J$6+$M$5*$J$7</f>
        <v>52.099134350087645</v>
      </c>
      <c r="Q39" s="39">
        <f>$J$3+[50]FormattedData!J82*$J$4+$M$4*$J$5+[50]FormattedData!J82^2*$J$6+$M$5*$J$7</f>
        <v>53.141956578165249</v>
      </c>
      <c r="R39" s="39">
        <f>$J$3+[50]FormattedData!K82*$J$4+$M$4*$J$5+[50]FormattedData!K82^2*$J$6+$M$5*$J$7</f>
        <v>52.273360740146558</v>
      </c>
      <c r="S39" s="39">
        <f>$J$3+[50]FormattedData!L82*$J$4+$M$4*$J$5+[50]FormattedData!L82^2*$J$6+$M$5*$J$7</f>
        <v>52.273360740146558</v>
      </c>
      <c r="T39" s="39">
        <f>$J$3+[50]FormattedData!M82*$J$4+$M$4*$J$5+[50]FormattedData!M82^2*$J$6+$M$5*$J$7</f>
        <v>51.488010525936623</v>
      </c>
      <c r="U39" s="39">
        <f>$J$3+[50]FormattedData!N82*$J$4+$M$4*$J$5+[50]FormattedData!N82^2*$J$6+$M$5*$J$7</f>
        <v>53.055287202784079</v>
      </c>
      <c r="V39" s="39">
        <f>$J$3+[50]FormattedData!O82*$J$4+$M$4*$J$5+[50]FormattedData!O82^2*$J$6+$M$5*$J$7</f>
        <v>55.123686095463391</v>
      </c>
      <c r="W39" s="38">
        <f>AVERAGE(K39:V39)</f>
        <v>52.869600943849129</v>
      </c>
      <c r="X39" s="37">
        <f>STDEV(K39:V39)/SQRT(COUNT(K39:V39))</f>
        <v>0.40203594256510605</v>
      </c>
      <c r="Y39" s="36">
        <f>MIN(K39:V39)</f>
        <v>50.25954940255869</v>
      </c>
      <c r="Z39" s="35">
        <f>QUARTILE(K39:V39,1)</f>
        <v>52.229804142631828</v>
      </c>
      <c r="AA39" s="36">
        <f>MEDIAN(K39:V39)</f>
        <v>52.664323971465322</v>
      </c>
      <c r="AB39" s="35">
        <f>QUARTILE(K39:V39,3)</f>
        <v>53.660514565893706</v>
      </c>
      <c r="AC39" s="35">
        <f>MAX(K39:V39)</f>
        <v>55.123686095463391</v>
      </c>
      <c r="AD39" s="35">
        <f>SKEW(K39:V39)</f>
        <v>-3.1076253054725358E-2</v>
      </c>
      <c r="AE39" s="35">
        <f>KURT(K39:V39)</f>
        <v>-0.18523156006137009</v>
      </c>
    </row>
    <row r="40" spans="2:31" x14ac:dyDescent="0.2">
      <c r="B40" s="34">
        <f>[50]FormattedData!A80</f>
        <v>407</v>
      </c>
      <c r="C40" s="34" t="str">
        <f>VLOOKUP($B40,[50]TrtCodes!$B$11:I123,2)</f>
        <v>NSH</v>
      </c>
      <c r="D40" s="34">
        <f>VLOOKUP($B40,[50]TrtCodes!$B$11:J123,3)</f>
        <v>7</v>
      </c>
      <c r="E40" s="34">
        <f>VLOOKUP($B40,[50]TrtCodes!$B$11:K123,4)</f>
        <v>2</v>
      </c>
      <c r="F40" s="34">
        <f>VLOOKUP($B40,[50]TrtCodes!$B$11:L123,5)</f>
        <v>1</v>
      </c>
      <c r="G40" s="34">
        <f>VLOOKUP($B40,[50]TrtCodes!$B$11:M123,6)</f>
        <v>2</v>
      </c>
      <c r="H40" s="34">
        <f>VLOOKUP($B40,[50]TrtCodes!$B$11:N123,7)</f>
        <v>4</v>
      </c>
      <c r="I40" s="34">
        <f>[50]FormattedData!B80</f>
        <v>1</v>
      </c>
      <c r="J40" s="37">
        <f>[50]FormattedData!C80</f>
        <v>13.148999999999999</v>
      </c>
      <c r="K40" s="39">
        <f>$J$3+[50]FormattedData!D80*$J$4+$M$4*$J$5+[50]FormattedData!D80^2*$J$6+$M$5*$J$7</f>
        <v>51.225466287517214</v>
      </c>
      <c r="L40" s="39">
        <f>$J$3+[50]FormattedData!E80*$J$4+$M$4*$J$5+[50]FormattedData!E80^2*$J$6+$M$5*$J$7</f>
        <v>53.055287202784079</v>
      </c>
      <c r="M40" s="39">
        <f>$J$3+[50]FormattedData!F80*$J$4+$M$4*$J$5+[50]FormattedData!F80^2*$J$6+$M$5*$J$7</f>
        <v>55.037988896454628</v>
      </c>
      <c r="N40" s="39">
        <f>$J$3+[50]FormattedData!G80*$J$4+$M$4*$J$5+[50]FormattedData!G80^2*$J$6+$M$5*$J$7</f>
        <v>53.401711093081204</v>
      </c>
      <c r="O40" s="39">
        <f>$J$3+[50]FormattedData!H80*$J$4+$M$4*$J$5+[50]FormattedData!H80^2*$J$6+$M$5*$J$7</f>
        <v>55.722382969462657</v>
      </c>
      <c r="P40" s="39">
        <f>$J$3+[50]FormattedData!I80*$J$4+$M$4*$J$5+[50]FormattedData!I80^2*$J$6+$M$5*$J$7</f>
        <v>52.881821646407928</v>
      </c>
      <c r="Q40" s="39">
        <f>$J$3+[50]FormattedData!J80*$J$4+$M$4*$J$5+[50]FormattedData!J80^2*$J$6+$M$5*$J$7</f>
        <v>53.92007887238897</v>
      </c>
      <c r="R40" s="39">
        <f>$J$3+[50]FormattedData!K80*$J$4+$M$4*$J$5+[50]FormattedData!K80^2*$J$6+$M$5*$J$7</f>
        <v>54.178692136780782</v>
      </c>
      <c r="S40" s="39">
        <f>$J$3+[50]FormattedData!L80*$J$4+$M$4*$J$5+[50]FormattedData!L80^2*$J$6+$M$5*$J$7</f>
        <v>53.833789913849166</v>
      </c>
      <c r="T40" s="39">
        <f>$J$3+[50]FormattedData!M80*$J$4+$M$4*$J$5+[50]FormattedData!M80^2*$J$6+$M$5*$J$7</f>
        <v>53.488211394310667</v>
      </c>
      <c r="U40" s="39">
        <f>$J$3+[50]FormattedData!N80*$J$4+$M$4*$J$5+[50]FormattedData!N80^2*$J$6+$M$5*$J$7</f>
        <v>52.099134350087645</v>
      </c>
      <c r="V40" s="39">
        <f>$J$3+[50]FormattedData!O80*$J$4+$M$4*$J$5+[50]FormattedData!O80^2*$J$6+$M$5*$J$7</f>
        <v>54.952249428907926</v>
      </c>
      <c r="W40" s="38">
        <f>AVERAGE(K40:V40)</f>
        <v>53.649734516002745</v>
      </c>
      <c r="X40" s="37">
        <f>STDEV(K40:V40)/SQRT(COUNT(K40:V40))</f>
        <v>0.36534050118826328</v>
      </c>
      <c r="Y40" s="36">
        <f>MIN(K40:V40)</f>
        <v>51.225466287517214</v>
      </c>
      <c r="Z40" s="35">
        <f>QUARTILE(K40:V40,1)</f>
        <v>53.01192081369004</v>
      </c>
      <c r="AA40" s="36">
        <f>MEDIAN(K40:V40)</f>
        <v>53.661000654079913</v>
      </c>
      <c r="AB40" s="35">
        <f>QUARTILE(K40:V40,3)</f>
        <v>54.37208145981257</v>
      </c>
      <c r="AC40" s="35">
        <f>MAX(K40:V40)</f>
        <v>55.722382969462657</v>
      </c>
      <c r="AD40" s="35">
        <f>SKEW(K40:V40)</f>
        <v>-0.25267612767830894</v>
      </c>
      <c r="AE40" s="35">
        <f>KURT(K40:V40)</f>
        <v>1.6321464963811039E-2</v>
      </c>
    </row>
    <row r="41" spans="2:31" x14ac:dyDescent="0.2">
      <c r="B41" s="34">
        <f>[50]FormattedData!A78</f>
        <v>408</v>
      </c>
      <c r="C41" s="34" t="str">
        <f>VLOOKUP($B41,[50]TrtCodes!$B$11:I121,2)</f>
        <v>NTL</v>
      </c>
      <c r="D41" s="34">
        <f>VLOOKUP($B41,[50]TrtCodes!$B$11:J121,3)</f>
        <v>10</v>
      </c>
      <c r="E41" s="34">
        <f>VLOOKUP($B41,[50]TrtCodes!$B$11:K121,4)</f>
        <v>2</v>
      </c>
      <c r="F41" s="34">
        <f>VLOOKUP($B41,[50]TrtCodes!$B$11:L121,5)</f>
        <v>2</v>
      </c>
      <c r="G41" s="34">
        <f>VLOOKUP($B41,[50]TrtCodes!$B$11:M121,6)</f>
        <v>1</v>
      </c>
      <c r="H41" s="34">
        <f>VLOOKUP($B41,[50]TrtCodes!$B$11:N121,7)</f>
        <v>4</v>
      </c>
      <c r="I41" s="34">
        <f>[50]FormattedData!B78</f>
        <v>1</v>
      </c>
      <c r="J41" s="37">
        <f>[50]FormattedData!C78</f>
        <v>13.14</v>
      </c>
      <c r="K41" s="39">
        <f>$J$3+[50]FormattedData!D78*$J$4+$M$4*$J$5+[50]FormattedData!D78^2*$J$6+$M$5*$J$7</f>
        <v>50.34757137115367</v>
      </c>
      <c r="L41" s="39">
        <f>$J$3+[50]FormattedData!E78*$J$4+$M$4*$J$5+[50]FormattedData!E78^2*$J$6+$M$5*$J$7</f>
        <v>50.611383665711003</v>
      </c>
      <c r="M41" s="39">
        <f>$J$3+[50]FormattedData!F78*$J$4+$M$4*$J$5+[50]FormattedData!F78^2*$J$6+$M$5*$J$7</f>
        <v>54.866467692823306</v>
      </c>
      <c r="N41" s="39">
        <f>$J$3+[50]FormattedData!G78*$J$4+$M$4*$J$5+[50]FormattedData!G78^2*$J$6+$M$5*$J$7</f>
        <v>52.447418056053742</v>
      </c>
      <c r="O41" s="39">
        <f>$J$3+[50]FormattedData!H78*$J$4+$M$4*$J$5+[50]FormattedData!H78^2*$J$6+$M$5*$J$7</f>
        <v>55.037988896454628</v>
      </c>
      <c r="P41" s="39">
        <f>$J$3+[50]FormattedData!I78*$J$4+$M$4*$J$5+[50]FormattedData!I78^2*$J$6+$M$5*$J$7</f>
        <v>52.360410532369116</v>
      </c>
      <c r="Q41" s="39">
        <f>$J$3+[50]FormattedData!J78*$J$4+$M$4*$J$5+[50]FormattedData!J78^2*$J$6+$M$5*$J$7</f>
        <v>54.780643688200755</v>
      </c>
      <c r="R41" s="39">
        <f>$J$3+[50]FormattedData!K78*$J$4+$M$4*$J$5+[50]FormattedData!K78^2*$J$6+$M$5*$J$7</f>
        <v>54.092529983854774</v>
      </c>
      <c r="S41" s="39">
        <f>$J$3+[50]FormattedData!L78*$J$4+$M$4*$J$5+[50]FormattedData!L78^2*$J$6+$M$5*$J$7</f>
        <v>51.488010525936623</v>
      </c>
      <c r="T41" s="39">
        <f>$J$3+[50]FormattedData!M78*$J$4+$M$4*$J$5+[50]FormattedData!M78^2*$J$6+$M$5*$J$7</f>
        <v>54.952249428907926</v>
      </c>
      <c r="U41" s="39">
        <f>$J$3+[50]FormattedData!N78*$J$4+$M$4*$J$5+[50]FormattedData!N78^2*$J$6+$M$5*$J$7</f>
        <v>50.874815543426969</v>
      </c>
      <c r="V41" s="39">
        <f>$J$3+[50]FormattedData!O78*$J$4+$M$4*$J$5+[50]FormattedData!O78^2*$J$6+$M$5*$J$7</f>
        <v>53.315168523313822</v>
      </c>
      <c r="W41" s="38">
        <f>AVERAGE(K41:V41)</f>
        <v>52.931221492350524</v>
      </c>
      <c r="X41" s="37">
        <f>STDEV(K41:V41)/SQRT(COUNT(K41:V41))</f>
        <v>0.52305241635283606</v>
      </c>
      <c r="Y41" s="36">
        <f>MIN(K41:V41)</f>
        <v>50.34757137115367</v>
      </c>
      <c r="Z41" s="35">
        <f>QUARTILE(K41:V41,1)</f>
        <v>51.334711780309206</v>
      </c>
      <c r="AA41" s="36">
        <f>MEDIAN(K41:V41)</f>
        <v>52.881293289683782</v>
      </c>
      <c r="AB41" s="35">
        <f>QUARTILE(K41:V41,3)</f>
        <v>54.802099689356396</v>
      </c>
      <c r="AC41" s="35">
        <f>MAX(K41:V41)</f>
        <v>55.037988896454628</v>
      </c>
      <c r="AD41" s="35">
        <f>SKEW(K41:V41)</f>
        <v>-0.16377456520389247</v>
      </c>
      <c r="AE41" s="35">
        <f>KURT(K41:V41)</f>
        <v>-1.6962970753964588</v>
      </c>
    </row>
    <row r="42" spans="2:31" x14ac:dyDescent="0.2">
      <c r="B42" s="50">
        <f>[50]FormattedData!A60</f>
        <v>901</v>
      </c>
      <c r="C42" s="50" t="str">
        <f>VLOOKUP($B42,[50]TrtCodes!$B$11:I103,2)</f>
        <v>WS</v>
      </c>
      <c r="D42" s="50">
        <f>VLOOKUP($B42,[50]TrtCodes!$B$11:J103,3)</f>
        <v>32</v>
      </c>
      <c r="E42" s="50">
        <f>VLOOKUP($B42,[50]TrtCodes!$B$11:K103,4)</f>
        <v>9</v>
      </c>
      <c r="F42" s="50">
        <f>VLOOKUP($B42,[50]TrtCodes!$B$11:L103,5)</f>
        <v>0</v>
      </c>
      <c r="G42" s="50">
        <f>VLOOKUP($B42,[50]TrtCodes!$B$11:M103,6)</f>
        <v>1</v>
      </c>
      <c r="H42" s="50">
        <f>VLOOKUP($B42,[50]TrtCodes!$B$11:N103,7)</f>
        <v>1</v>
      </c>
      <c r="I42" s="50">
        <f>[50]FormattedData!B60</f>
        <v>1</v>
      </c>
      <c r="J42" s="48">
        <f>[50]FormattedData!C60</f>
        <v>13.08</v>
      </c>
      <c r="K42" s="47">
        <f>$J$3+[50]FormattedData!D60*$J$4+$M$4*$J$5+[50]FormattedData!D60^2*$J$6+$M$5*$J$7</f>
        <v>33.24825501738286</v>
      </c>
      <c r="L42" s="47">
        <f>$J$3+[50]FormattedData!E60*$J$4+$M$4*$J$5+[50]FormattedData!E60^2*$J$6+$M$5*$J$7</f>
        <v>33.344096665495101</v>
      </c>
      <c r="M42" s="47">
        <f>$J$3+[50]FormattedData!F60*$J$4+$M$4*$J$5+[50]FormattedData!F60^2*$J$6+$M$5*$J$7</f>
        <v>32.960476461818565</v>
      </c>
      <c r="N42" s="47">
        <f>$J$3+[50]FormattedData!G60*$J$4+$M$4*$J$5+[50]FormattedData!G60^2*$J$6+$M$5*$J$7</f>
        <v>32.864465739554603</v>
      </c>
      <c r="O42" s="47">
        <f>$J$3+[50]FormattedData!H60*$J$4+$M$4*$J$5+[50]FormattedData!H60^2*$J$6+$M$5*$J$7</f>
        <v>32.672317489412883</v>
      </c>
      <c r="P42" s="47">
        <f>$J$3+[50]FormattedData!I60*$J$4+$M$4*$J$5+[50]FormattedData!I60^2*$J$6+$M$5*$J$7</f>
        <v>33.24825501738286</v>
      </c>
      <c r="Q42" s="47">
        <f>$J$3+[50]FormattedData!J60*$J$4+$M$4*$J$5+[50]FormattedData!J60^2*$J$6+$M$5*$J$7</f>
        <v>33.439896045069403</v>
      </c>
      <c r="R42" s="47">
        <f>$J$3+[50]FormattedData!K60*$J$4+$M$4*$J$5+[50]FormattedData!K60^2*$J$6+$M$5*$J$7</f>
        <v>33.535653156105774</v>
      </c>
      <c r="S42" s="47">
        <f>$J$3+[50]FormattedData!L60*$J$4+$M$4*$J$5+[50]FormattedData!L60^2*$J$6+$M$5*$J$7</f>
        <v>33.24825501738286</v>
      </c>
      <c r="T42" s="47">
        <f>$J$3+[50]FormattedData!M60*$J$4+$M$4*$J$5+[50]FormattedData!M60^2*$J$6+$M$5*$J$7</f>
        <v>34.586191654002448</v>
      </c>
      <c r="U42" s="47">
        <f>$J$3+[50]FormattedData!N60*$J$4+$M$4*$J$5+[50]FormattedData!N60^2*$J$6+$M$5*$J$7</f>
        <v>34.204769414298326</v>
      </c>
      <c r="V42" s="47">
        <f>$J$3+[50]FormattedData!O60*$J$4+$M$4*$J$5+[50]FormattedData!O60^2*$J$6+$M$5*$J$7</f>
        <v>33.535653156105774</v>
      </c>
      <c r="W42" s="49">
        <f>AVERAGE(K42:V42)</f>
        <v>33.407357069500954</v>
      </c>
      <c r="X42" s="48">
        <f>STDEV(K42:V42)/SQRT(COUNT(K42:V42))</f>
        <v>0.15506974744250387</v>
      </c>
      <c r="Y42" s="47">
        <f>MIN(K42:V42)</f>
        <v>32.672317489412883</v>
      </c>
      <c r="Z42" s="46">
        <f>QUARTILE(K42:V42,1)</f>
        <v>33.176310378491785</v>
      </c>
      <c r="AA42" s="47">
        <f>MEDIAN(K42:V42)</f>
        <v>33.296175841438981</v>
      </c>
      <c r="AB42" s="46">
        <f>QUARTILE(K42:V42,3)</f>
        <v>33.535653156105774</v>
      </c>
      <c r="AC42" s="46">
        <f>MAX(K42:V42)</f>
        <v>34.586191654002448</v>
      </c>
      <c r="AD42" s="46">
        <f>SKEW(K42:V42)</f>
        <v>1.0491630925243849</v>
      </c>
      <c r="AE42" s="46">
        <f>KURT(K42:V42)</f>
        <v>1.183306563820743</v>
      </c>
    </row>
    <row r="43" spans="2:31" x14ac:dyDescent="0.2">
      <c r="B43" s="34">
        <f>[50]FormattedData!A58</f>
        <v>902</v>
      </c>
      <c r="C43" s="34" t="str">
        <f>VLOOKUP($B43,[50]TrtCodes!$B$11:I101,2)</f>
        <v>Late</v>
      </c>
      <c r="D43" s="34">
        <f>VLOOKUP($B43,[50]TrtCodes!$B$11:J101,3)</f>
        <v>22</v>
      </c>
      <c r="E43" s="34">
        <f>VLOOKUP($B43,[50]TrtCodes!$B$11:K101,4)</f>
        <v>4</v>
      </c>
      <c r="F43" s="34">
        <f>VLOOKUP($B43,[50]TrtCodes!$B$11:L101,5)</f>
        <v>2</v>
      </c>
      <c r="G43" s="34">
        <f>VLOOKUP($B43,[50]TrtCodes!$B$11:M101,6)</f>
        <v>2</v>
      </c>
      <c r="H43" s="34">
        <f>VLOOKUP($B43,[50]TrtCodes!$B$11:N101,7)</f>
        <v>1</v>
      </c>
      <c r="I43" s="34">
        <f>[50]FormattedData!B58</f>
        <v>1</v>
      </c>
      <c r="J43" s="37">
        <f>[50]FormattedData!C58</f>
        <v>13.073</v>
      </c>
      <c r="K43" s="39">
        <f>$J$3+[50]FormattedData!D58*$J$4+$M$4*$J$5+[50]FormattedData!D58^2*$J$6+$M$5*$J$7</f>
        <v>51.050225452547956</v>
      </c>
      <c r="L43" s="39">
        <f>$J$3+[50]FormattedData!E58*$J$4+$M$4*$J$5+[50]FormattedData!E58^2*$J$6+$M$5*$J$7</f>
        <v>53.141956578165249</v>
      </c>
      <c r="M43" s="39">
        <f>$J$3+[50]FormattedData!F58*$J$4+$M$4*$J$5+[50]FormattedData!F58^2*$J$6+$M$5*$J$7</f>
        <v>53.574669427002178</v>
      </c>
      <c r="N43" s="39">
        <f>$J$3+[50]FormattedData!G58*$J$4+$M$4*$J$5+[50]FormattedData!G58^2*$J$6+$M$5*$J$7</f>
        <v>53.141956578165249</v>
      </c>
      <c r="O43" s="39">
        <f>$J$3+[50]FormattedData!H58*$J$4+$M$4*$J$5+[50]FormattedData!H58^2*$J$6+$M$5*$J$7</f>
        <v>53.055287202784079</v>
      </c>
      <c r="P43" s="39">
        <f>$J$3+[50]FormattedData!I58*$J$4+$M$4*$J$5+[50]FormattedData!I58^2*$J$6+$M$5*$J$7</f>
        <v>51.924738885877005</v>
      </c>
      <c r="Q43" s="39">
        <f>$J$3+[50]FormattedData!J58*$J$4+$M$4*$J$5+[50]FormattedData!J58^2*$J$6+$M$5*$J$7</f>
        <v>53.315168523313822</v>
      </c>
      <c r="R43" s="39">
        <f>$J$3+[50]FormattedData!K58*$J$4+$M$4*$J$5+[50]FormattedData!K58^2*$J$6+$M$5*$J$7</f>
        <v>53.055287202784079</v>
      </c>
      <c r="S43" s="39">
        <f>$J$3+[50]FormattedData!L58*$J$4+$M$4*$J$5+[50]FormattedData!L58^2*$J$6+$M$5*$J$7</f>
        <v>52.534383311200443</v>
      </c>
      <c r="T43" s="39">
        <f>$J$3+[50]FormattedData!M58*$J$4+$M$4*$J$5+[50]FormattedData!M58^2*$J$6+$M$5*$J$7</f>
        <v>52.534383311200443</v>
      </c>
      <c r="U43" s="39">
        <f>$J$3+[50]FormattedData!N58*$J$4+$M$4*$J$5+[50]FormattedData!N58^2*$J$6+$M$5*$J$7</f>
        <v>52.099134350087645</v>
      </c>
      <c r="V43" s="39">
        <f>$J$3+[50]FormattedData!O58*$J$4+$M$4*$J$5+[50]FormattedData!O58^2*$J$6+$M$5*$J$7</f>
        <v>52.360410532369116</v>
      </c>
      <c r="W43" s="38">
        <f>AVERAGE(K43:V43)</f>
        <v>52.648966779624772</v>
      </c>
      <c r="X43" s="37">
        <f>STDEV(K43:V43)/SQRT(COUNT(K43:V43))</f>
        <v>0.20614314741764669</v>
      </c>
      <c r="Y43" s="36">
        <f>MIN(K43:V43)</f>
        <v>51.050225452547956</v>
      </c>
      <c r="Z43" s="35">
        <f>QUARTILE(K43:V43,1)</f>
        <v>52.295091486798746</v>
      </c>
      <c r="AA43" s="36">
        <f>MEDIAN(K43:V43)</f>
        <v>52.794835256992258</v>
      </c>
      <c r="AB43" s="35">
        <f>QUARTILE(K43:V43,3)</f>
        <v>53.141956578165249</v>
      </c>
      <c r="AC43" s="35">
        <f>MAX(K43:V43)</f>
        <v>53.574669427002178</v>
      </c>
      <c r="AD43" s="35">
        <f>SKEW(K43:V43)</f>
        <v>-0.95767039348005756</v>
      </c>
      <c r="AE43" s="35">
        <f>KURT(K43:V43)</f>
        <v>0.82093212185488085</v>
      </c>
    </row>
    <row r="44" spans="2:31" x14ac:dyDescent="0.2">
      <c r="B44" s="50">
        <f>[50]FormattedData!A56</f>
        <v>903</v>
      </c>
      <c r="C44" s="50" t="str">
        <f>VLOOKUP($B44,[50]TrtCodes!$B$11:I99,2)</f>
        <v>DS</v>
      </c>
      <c r="D44" s="50">
        <f>VLOOKUP($B44,[50]TrtCodes!$B$11:J99,3)</f>
        <v>31</v>
      </c>
      <c r="E44" s="50">
        <f>VLOOKUP($B44,[50]TrtCodes!$B$11:K99,4)</f>
        <v>8</v>
      </c>
      <c r="F44" s="50">
        <f>VLOOKUP($B44,[50]TrtCodes!$B$11:L99,5)</f>
        <v>0</v>
      </c>
      <c r="G44" s="50">
        <f>VLOOKUP($B44,[50]TrtCodes!$B$11:M99,6)</f>
        <v>1</v>
      </c>
      <c r="H44" s="50">
        <f>VLOOKUP($B44,[50]TrtCodes!$B$11:N99,7)</f>
        <v>1</v>
      </c>
      <c r="I44" s="50">
        <f>[50]FormattedData!B56</f>
        <v>1</v>
      </c>
      <c r="J44" s="48">
        <f>[50]FormattedData!C56</f>
        <v>13.067</v>
      </c>
      <c r="K44" s="47">
        <f>$J$3+[50]FormattedData!D56*$J$4+$M$4*$J$5+[50]FormattedData!D56^2*$J$6+$M$5*$J$7</f>
        <v>59.938556545762715</v>
      </c>
      <c r="L44" s="47">
        <f>$J$3+[50]FormattedData!E56*$J$4+$M$4*$J$5+[50]FormattedData!E56^2*$J$6+$M$5*$J$7</f>
        <v>60.105005524842305</v>
      </c>
      <c r="M44" s="47">
        <f>$J$3+[50]FormattedData!F56*$J$4+$M$4*$J$5+[50]FormattedData!F56^2*$J$6+$M$5*$J$7</f>
        <v>61.924785400703911</v>
      </c>
      <c r="N44" s="47">
        <f>$J$3+[50]FormattedData!G56*$J$4+$M$4*$J$5+[50]FormattedData!G56^2*$J$6+$M$5*$J$7</f>
        <v>61.59543799973094</v>
      </c>
      <c r="O44" s="47">
        <f>$J$3+[50]FormattedData!H56*$J$4+$M$4*$J$5+[50]FormattedData!H56^2*$J$6+$M$5*$J$7</f>
        <v>60.437396260546301</v>
      </c>
      <c r="P44" s="47">
        <f>$J$3+[50]FormattedData!I56*$J$4+$M$4*$J$5+[50]FormattedData!I56^2*$J$6+$M$5*$J$7</f>
        <v>60.520388273127466</v>
      </c>
      <c r="Q44" s="47">
        <f>$J$3+[50]FormattedData!J56*$J$4+$M$4*$J$5+[50]FormattedData!J56^2*$J$6+$M$5*$J$7</f>
        <v>60.188166611575198</v>
      </c>
      <c r="R44" s="47">
        <f>$J$3+[50]FormattedData!K56*$J$4+$M$4*$J$5+[50]FormattedData!K56^2*$J$6+$M$5*$J$7</f>
        <v>60.354361979427189</v>
      </c>
      <c r="S44" s="47">
        <f>$J$3+[50]FormattedData!L56*$J$4+$M$4*$J$5+[50]FormattedData!L56^2*$J$6+$M$5*$J$7</f>
        <v>60.354361979427189</v>
      </c>
      <c r="T44" s="47">
        <f>$J$3+[50]FormattedData!M56*$J$4+$M$4*$J$5+[50]FormattedData!M56^2*$J$6+$M$5*$J$7</f>
        <v>60.686245492676022</v>
      </c>
      <c r="U44" s="47">
        <f>$J$3+[50]FormattedData!N56*$J$4+$M$4*$J$5+[50]FormattedData!N56^2*$J$6+$M$5*$J$7</f>
        <v>60.354361979427189</v>
      </c>
      <c r="V44" s="47">
        <f>$J$3+[50]FormattedData!O56*$J$4+$M$4*$J$5+[50]FormattedData!O56^2*$J$6+$M$5*$J$7</f>
        <v>60.520388273127466</v>
      </c>
      <c r="W44" s="49">
        <f>AVERAGE(K44:V44)</f>
        <v>60.581621360031143</v>
      </c>
      <c r="X44" s="48">
        <f>STDEV(K44:V44)/SQRT(COUNT(K44:V44))</f>
        <v>0.17015149258038761</v>
      </c>
      <c r="Y44" s="47">
        <f>MIN(K44:V44)</f>
        <v>59.938556545762715</v>
      </c>
      <c r="Z44" s="46">
        <f>QUARTILE(K44:V44,1)</f>
        <v>60.31281313746419</v>
      </c>
      <c r="AA44" s="47">
        <f>MEDIAN(K44:V44)</f>
        <v>60.395879119986745</v>
      </c>
      <c r="AB44" s="46">
        <f>QUARTILE(K44:V44,3)</f>
        <v>60.561852578014609</v>
      </c>
      <c r="AC44" s="46">
        <f>MAX(K44:V44)</f>
        <v>61.924785400703911</v>
      </c>
      <c r="AD44" s="46">
        <f>SKEW(K44:V44)</f>
        <v>1.5942459927975292</v>
      </c>
      <c r="AE44" s="46">
        <f>KURT(K44:V44)</f>
        <v>1.9280955595352349</v>
      </c>
    </row>
    <row r="45" spans="2:31" x14ac:dyDescent="0.2">
      <c r="B45" s="34">
        <f>[50]FormattedData!A54</f>
        <v>904</v>
      </c>
      <c r="C45" s="34" t="str">
        <f>VLOOKUP($B45,[50]TrtCodes!$B$11:I97,2)</f>
        <v>Early</v>
      </c>
      <c r="D45" s="34">
        <f>VLOOKUP($B45,[50]TrtCodes!$B$11:J97,3)</f>
        <v>21</v>
      </c>
      <c r="E45" s="34">
        <f>VLOOKUP($B45,[50]TrtCodes!$B$11:K97,4)</f>
        <v>3</v>
      </c>
      <c r="F45" s="34">
        <f>VLOOKUP($B45,[50]TrtCodes!$B$11:L97,5)</f>
        <v>2</v>
      </c>
      <c r="G45" s="34">
        <f>VLOOKUP($B45,[50]TrtCodes!$B$11:M97,6)</f>
        <v>2</v>
      </c>
      <c r="H45" s="34">
        <f>VLOOKUP($B45,[50]TrtCodes!$B$11:N97,7)</f>
        <v>1</v>
      </c>
      <c r="I45" s="34">
        <f>[50]FormattedData!B54</f>
        <v>1</v>
      </c>
      <c r="J45" s="37">
        <f>[50]FormattedData!C54</f>
        <v>13.058</v>
      </c>
      <c r="K45" s="39">
        <f>$J$3+[50]FormattedData!D54*$J$4+$M$4*$J$5+[50]FormattedData!D54^2*$J$6+$M$5*$J$7</f>
        <v>50.699236560154255</v>
      </c>
      <c r="L45" s="39">
        <f>$J$3+[50]FormattedData!E54*$J$4+$M$4*$J$5+[50]FormattedData!E54^2*$J$6+$M$5*$J$7</f>
        <v>50.699236560154255</v>
      </c>
      <c r="M45" s="39">
        <f>$J$3+[50]FormattedData!F54*$J$4+$M$4*$J$5+[50]FormattedData!F54^2*$J$6+$M$5*$J$7</f>
        <v>52.968575558864963</v>
      </c>
      <c r="N45" s="39">
        <f>$J$3+[50]FormattedData!G54*$J$4+$M$4*$J$5+[50]FormattedData!G54^2*$J$6+$M$5*$J$7</f>
        <v>52.621306297809213</v>
      </c>
      <c r="O45" s="39">
        <f>$J$3+[50]FormattedData!H54*$J$4+$M$4*$J$5+[50]FormattedData!H54^2*$J$6+$M$5*$J$7</f>
        <v>52.881821646407928</v>
      </c>
      <c r="P45" s="39">
        <f>$J$3+[50]FormattedData!I54*$J$4+$M$4*$J$5+[50]FormattedData!I54^2*$J$6+$M$5*$J$7</f>
        <v>52.360410532369116</v>
      </c>
      <c r="Q45" s="39">
        <f>$J$3+[50]FormattedData!J54*$J$4+$M$4*$J$5+[50]FormattedData!J54^2*$J$6+$M$5*$J$7</f>
        <v>52.881821646407928</v>
      </c>
      <c r="R45" s="39">
        <f>$J$3+[50]FormattedData!K54*$J$4+$M$4*$J$5+[50]FormattedData!K54^2*$J$6+$M$5*$J$7</f>
        <v>52.099134350087645</v>
      </c>
      <c r="S45" s="39">
        <f>$J$3+[50]FormattedData!L54*$J$4+$M$4*$J$5+[50]FormattedData!L54^2*$J$6+$M$5*$J$7</f>
        <v>50.962541632256425</v>
      </c>
      <c r="T45" s="39">
        <f>$J$3+[50]FormattedData!M54*$J$4+$M$4*$J$5+[50]FormattedData!M54^2*$J$6+$M$5*$J$7</f>
        <v>51.750174347514651</v>
      </c>
      <c r="U45" s="39">
        <f>$J$3+[50]FormattedData!N54*$J$4+$M$4*$J$5+[50]FormattedData!N54^2*$J$6+$M$5*$J$7</f>
        <v>53.055287202784079</v>
      </c>
      <c r="V45" s="39">
        <f>$J$3+[50]FormattedData!O54*$J$4+$M$4*$J$5+[50]FormattedData!O54^2*$J$6+$M$5*$J$7</f>
        <v>53.661085191155777</v>
      </c>
      <c r="W45" s="38">
        <f>AVERAGE(K45:V45)</f>
        <v>52.220052627163852</v>
      </c>
      <c r="X45" s="37">
        <f>STDEV(K45:V45)/SQRT(COUNT(K45:V45))</f>
        <v>0.28648289512878516</v>
      </c>
      <c r="Y45" s="36">
        <f>MIN(K45:V45)</f>
        <v>50.699236560154255</v>
      </c>
      <c r="Z45" s="35">
        <f>QUARTILE(K45:V45,1)</f>
        <v>51.553266168700091</v>
      </c>
      <c r="AA45" s="36">
        <f>MEDIAN(K45:V45)</f>
        <v>52.490858415089164</v>
      </c>
      <c r="AB45" s="35">
        <f>QUARTILE(K45:V45,3)</f>
        <v>52.903510124522185</v>
      </c>
      <c r="AC45" s="35">
        <f>MAX(K45:V45)</f>
        <v>53.661085191155777</v>
      </c>
      <c r="AD45" s="35">
        <f>SKEW(K45:V45)</f>
        <v>-0.50087229906577679</v>
      </c>
      <c r="AE45" s="35">
        <f>KURT(K45:V45)</f>
        <v>-0.98388711581487209</v>
      </c>
    </row>
    <row r="46" spans="2:31" x14ac:dyDescent="0.2">
      <c r="B46" s="50">
        <f>[50]FormattedData!A52</f>
        <v>905</v>
      </c>
      <c r="C46" s="50" t="str">
        <f>VLOOKUP($B46,[50]TrtCodes!$B$11:I95,2)</f>
        <v>WS</v>
      </c>
      <c r="D46" s="50">
        <f>VLOOKUP($B46,[50]TrtCodes!$B$11:J95,3)</f>
        <v>32</v>
      </c>
      <c r="E46" s="50">
        <f>VLOOKUP($B46,[50]TrtCodes!$B$11:K95,4)</f>
        <v>9</v>
      </c>
      <c r="F46" s="50">
        <f>VLOOKUP($B46,[50]TrtCodes!$B$11:L95,5)</f>
        <v>0</v>
      </c>
      <c r="G46" s="50">
        <f>VLOOKUP($B46,[50]TrtCodes!$B$11:M95,6)</f>
        <v>1</v>
      </c>
      <c r="H46" s="50">
        <f>VLOOKUP($B46,[50]TrtCodes!$B$11:N95,7)</f>
        <v>2</v>
      </c>
      <c r="I46" s="50">
        <f>[50]FormattedData!B52</f>
        <v>1</v>
      </c>
      <c r="J46" s="48">
        <f>[50]FormattedData!C52</f>
        <v>13.051</v>
      </c>
      <c r="K46" s="47">
        <f>$J$3+[50]FormattedData!D52*$J$4+$M$4*$J$5+[50]FormattedData!D52^2*$J$6+$M$5*$J$7</f>
        <v>35.062018411529138</v>
      </c>
      <c r="L46" s="47">
        <f>$J$3+[50]FormattedData!E52*$J$4+$M$4*$J$5+[50]FormattedData!E52^2*$J$6+$M$5*$J$7</f>
        <v>35.44191898386773</v>
      </c>
      <c r="M46" s="47">
        <f>$J$3+[50]FormattedData!F52*$J$4+$M$4*$J$5+[50]FormattedData!F52^2*$J$6+$M$5*$J$7</f>
        <v>35.44191898386773</v>
      </c>
      <c r="N46" s="47">
        <f>$J$3+[50]FormattedData!G52*$J$4+$M$4*$J$5+[50]FormattedData!G52^2*$J$6+$M$5*$J$7</f>
        <v>35.53678845560755</v>
      </c>
      <c r="O46" s="47">
        <f>$J$3+[50]FormattedData!H52*$J$4+$M$4*$J$5+[50]FormattedData!H52^2*$J$6+$M$5*$J$7</f>
        <v>35.631615658809444</v>
      </c>
      <c r="P46" s="47">
        <f>$J$3+[50]FormattedData!I52*$J$4+$M$4*$J$5+[50]FormattedData!I52^2*$J$6+$M$5*$J$7</f>
        <v>36.860522863482274</v>
      </c>
      <c r="Q46" s="47">
        <f>$J$3+[50]FormattedData!J52*$J$4+$M$4*$J$5+[50]FormattedData!J52^2*$J$6+$M$5*$J$7</f>
        <v>36.294222562160598</v>
      </c>
      <c r="R46" s="47">
        <f>$J$3+[50]FormattedData!K52*$J$4+$M$4*$J$5+[50]FormattedData!K52^2*$J$6+$M$5*$J$7</f>
        <v>36.199691238724228</v>
      </c>
      <c r="S46" s="47">
        <f>$J$3+[50]FormattedData!L52*$J$4+$M$4*$J$5+[50]FormattedData!L52^2*$J$6+$M$5*$J$7</f>
        <v>36.483158403419544</v>
      </c>
      <c r="T46" s="47">
        <f>$J$3+[50]FormattedData!M52*$J$4+$M$4*$J$5+[50]FormattedData!M52^2*$J$6+$M$5*$J$7</f>
        <v>34.395565071226258</v>
      </c>
      <c r="U46" s="47">
        <f>$J$3+[50]FormattedData!N52*$J$4+$M$4*$J$5+[50]FormattedData!N52^2*$J$6+$M$5*$J$7</f>
        <v>34.966937597099658</v>
      </c>
      <c r="V46" s="47">
        <f>$J$3+[50]FormattedData!O52*$J$4+$M$4*$J$5+[50]FormattedData!O52^2*$J$6+$M$5*$J$7</f>
        <v>34.109308183027473</v>
      </c>
      <c r="W46" s="49">
        <f>AVERAGE(K46:V46)</f>
        <v>35.535305534401807</v>
      </c>
      <c r="X46" s="48">
        <f>STDEV(K46:V46)/SQRT(COUNT(K46:V46))</f>
        <v>0.2396055623444846</v>
      </c>
      <c r="Y46" s="47">
        <f>MIN(K46:V46)</f>
        <v>34.109308183027473</v>
      </c>
      <c r="Z46" s="46">
        <f>QUARTILE(K46:V46,1)</f>
        <v>35.038248207921768</v>
      </c>
      <c r="AA46" s="47">
        <f>MEDIAN(K46:V46)</f>
        <v>35.489353719737636</v>
      </c>
      <c r="AB46" s="46">
        <f>QUARTILE(K46:V46,3)</f>
        <v>36.22332406958332</v>
      </c>
      <c r="AC46" s="46">
        <f>MAX(K46:V46)</f>
        <v>36.860522863482274</v>
      </c>
      <c r="AD46" s="46">
        <f>SKEW(K46:V46)</f>
        <v>-0.14524266125867749</v>
      </c>
      <c r="AE46" s="46">
        <f>KURT(K46:V46)</f>
        <v>-0.58212958423940053</v>
      </c>
    </row>
    <row r="47" spans="2:31" x14ac:dyDescent="0.2">
      <c r="B47" s="34">
        <f>[50]FormattedData!A50</f>
        <v>906</v>
      </c>
      <c r="C47" s="34" t="str">
        <f>VLOOKUP($B47,[50]TrtCodes!$B$11:I93,2)</f>
        <v>Late</v>
      </c>
      <c r="D47" s="34">
        <f>VLOOKUP($B47,[50]TrtCodes!$B$11:J93,3)</f>
        <v>22</v>
      </c>
      <c r="E47" s="34">
        <f>VLOOKUP($B47,[50]TrtCodes!$B$11:K93,4)</f>
        <v>4</v>
      </c>
      <c r="F47" s="34">
        <f>VLOOKUP($B47,[50]TrtCodes!$B$11:L93,5)</f>
        <v>2</v>
      </c>
      <c r="G47" s="34">
        <f>VLOOKUP($B47,[50]TrtCodes!$B$11:M93,6)</f>
        <v>2</v>
      </c>
      <c r="H47" s="34">
        <f>VLOOKUP($B47,[50]TrtCodes!$B$11:N93,7)</f>
        <v>2</v>
      </c>
      <c r="I47" s="34">
        <f>[50]FormattedData!B50</f>
        <v>1</v>
      </c>
      <c r="J47" s="37">
        <f>[50]FormattedData!C50</f>
        <v>13.042999999999999</v>
      </c>
      <c r="K47" s="39">
        <f>$J$3+[50]FormattedData!D50*$J$4+$M$4*$J$5+[50]FormattedData!D50^2*$J$6+$M$5*$J$7</f>
        <v>50.523488502729819</v>
      </c>
      <c r="L47" s="39">
        <f>$J$3+[50]FormattedData!E50*$J$4+$M$4*$J$5+[50]FormattedData!E50^2*$J$6+$M$5*$J$7</f>
        <v>53.141956578165249</v>
      </c>
      <c r="M47" s="39">
        <f>$J$3+[50]FormattedData!F50*$J$4+$M$4*$J$5+[50]FormattedData!F50^2*$J$6+$M$5*$J$7</f>
        <v>52.968575558864963</v>
      </c>
      <c r="N47" s="39">
        <f>$J$3+[50]FormattedData!G50*$J$4+$M$4*$J$5+[50]FormattedData!G50^2*$J$6+$M$5*$J$7</f>
        <v>52.881821646407928</v>
      </c>
      <c r="O47" s="39">
        <f>$J$3+[50]FormattedData!H50*$J$4+$M$4*$J$5+[50]FormattedData!H50^2*$J$6+$M$5*$J$7</f>
        <v>54.522918063105493</v>
      </c>
      <c r="P47" s="39">
        <f>$J$3+[50]FormattedData!I50*$J$4+$M$4*$J$5+[50]FormattedData!I50^2*$J$6+$M$5*$J$7</f>
        <v>53.315168523313822</v>
      </c>
      <c r="Q47" s="39">
        <f>$J$3+[50]FormattedData!J50*$J$4+$M$4*$J$5+[50]FormattedData!J50^2*$J$6+$M$5*$J$7</f>
        <v>54.780643688200755</v>
      </c>
      <c r="R47" s="39">
        <f>$J$3+[50]FormattedData!K50*$J$4+$M$4*$J$5+[50]FormattedData!K50^2*$J$6+$M$5*$J$7</f>
        <v>51.662828675526569</v>
      </c>
      <c r="S47" s="39">
        <f>$J$3+[50]FormattedData!L50*$J$4+$M$4*$J$5+[50]FormattedData!L50^2*$J$6+$M$5*$J$7</f>
        <v>52.708187015880043</v>
      </c>
      <c r="T47" s="39">
        <f>$J$3+[50]FormattedData!M50*$J$4+$M$4*$J$5+[50]FormattedData!M50^2*$J$6+$M$5*$J$7</f>
        <v>52.273360740146558</v>
      </c>
      <c r="U47" s="39">
        <f>$J$3+[50]FormattedData!N50*$J$4+$M$4*$J$5+[50]FormattedData!N50^2*$J$6+$M$5*$J$7</f>
        <v>51.400538048334745</v>
      </c>
      <c r="V47" s="39">
        <f>$J$3+[50]FormattedData!O50*$J$4+$M$4*$J$5+[50]FormattedData!O50^2*$J$6+$M$5*$J$7</f>
        <v>52.447418056053742</v>
      </c>
      <c r="W47" s="38">
        <f>AVERAGE(K47:V47)</f>
        <v>52.718908758060813</v>
      </c>
      <c r="X47" s="37">
        <f>STDEV(K47:V47)/SQRT(COUNT(K47:V47))</f>
        <v>0.34896146289166474</v>
      </c>
      <c r="Y47" s="36">
        <f>MIN(K47:V47)</f>
        <v>50.523488502729819</v>
      </c>
      <c r="Z47" s="35">
        <f>QUARTILE(K47:V47,1)</f>
        <v>52.120727723991564</v>
      </c>
      <c r="AA47" s="36">
        <f>MEDIAN(K47:V47)</f>
        <v>52.795004331143986</v>
      </c>
      <c r="AB47" s="35">
        <f>QUARTILE(K47:V47,3)</f>
        <v>53.185259564452394</v>
      </c>
      <c r="AC47" s="35">
        <f>MAX(K47:V47)</f>
        <v>54.780643688200755</v>
      </c>
      <c r="AD47" s="35">
        <f>SKEW(K47:V47)</f>
        <v>4.8364824824319308E-2</v>
      </c>
      <c r="AE47" s="35">
        <f>KURT(K47:V47)</f>
        <v>0.12597046374843401</v>
      </c>
    </row>
    <row r="48" spans="2:31" x14ac:dyDescent="0.2">
      <c r="B48" s="50">
        <f>[50]FormattedData!A48</f>
        <v>907</v>
      </c>
      <c r="C48" s="50" t="str">
        <f>VLOOKUP($B48,[50]TrtCodes!$B$11:I91,2)</f>
        <v>DS</v>
      </c>
      <c r="D48" s="50">
        <f>VLOOKUP($B48,[50]TrtCodes!$B$11:J91,3)</f>
        <v>31</v>
      </c>
      <c r="E48" s="50">
        <f>VLOOKUP($B48,[50]TrtCodes!$B$11:K91,4)</f>
        <v>8</v>
      </c>
      <c r="F48" s="50">
        <f>VLOOKUP($B48,[50]TrtCodes!$B$11:L91,5)</f>
        <v>0</v>
      </c>
      <c r="G48" s="50">
        <f>VLOOKUP($B48,[50]TrtCodes!$B$11:M91,6)</f>
        <v>1</v>
      </c>
      <c r="H48" s="50">
        <f>VLOOKUP($B48,[50]TrtCodes!$B$11:N91,7)</f>
        <v>2</v>
      </c>
      <c r="I48" s="50">
        <f>[50]FormattedData!B48</f>
        <v>1</v>
      </c>
      <c r="J48" s="48">
        <f>[50]FormattedData!C48</f>
        <v>13.037000000000001</v>
      </c>
      <c r="K48" s="47">
        <f>$J$3+[50]FormattedData!D48*$J$4+$M$4*$J$5+[50]FormattedData!D48^2*$J$6+$M$5*$J$7</f>
        <v>61.100148842133599</v>
      </c>
      <c r="L48" s="47">
        <f>$J$3+[50]FormattedData!E48*$J$4+$M$4*$J$5+[50]FormattedData!E48^2*$J$6+$M$5*$J$7</f>
        <v>60.851933638072843</v>
      </c>
      <c r="M48" s="47">
        <f>$J$3+[50]FormattedData!F48*$J$4+$M$4*$J$5+[50]FormattedData!F48^2*$J$6+$M$5*$J$7</f>
        <v>60.934714307964356</v>
      </c>
      <c r="N48" s="47">
        <f>$J$3+[50]FormattedData!G48*$J$4+$M$4*$J$5+[50]FormattedData!G48^2*$J$6+$M$5*$J$7</f>
        <v>59.354653660039347</v>
      </c>
      <c r="O48" s="47">
        <f>$J$3+[50]FormattedData!H48*$J$4+$M$4*$J$5+[50]FormattedData!H48^2*$J$6+$M$5*$J$7</f>
        <v>60.851933638072843</v>
      </c>
      <c r="P48" s="47">
        <f>$J$3+[50]FormattedData!I48*$J$4+$M$4*$J$5+[50]FormattedData!I48^2*$J$6+$M$5*$J$7</f>
        <v>60.188166611575198</v>
      </c>
      <c r="Q48" s="47">
        <f>$J$3+[50]FormattedData!J48*$J$4+$M$4*$J$5+[50]FormattedData!J48^2*$J$6+$M$5*$J$7</f>
        <v>60.437396260546301</v>
      </c>
      <c r="R48" s="47">
        <f>$J$3+[50]FormattedData!K48*$J$4+$M$4*$J$5+[50]FormattedData!K48^2*$J$6+$M$5*$J$7</f>
        <v>60.769110699643385</v>
      </c>
      <c r="S48" s="47">
        <f>$J$3+[50]FormattedData!L48*$J$4+$M$4*$J$5+[50]FormattedData!L48^2*$J$6+$M$5*$J$7</f>
        <v>61.182802706411302</v>
      </c>
      <c r="T48" s="47">
        <f>$J$3+[50]FormattedData!M48*$J$4+$M$4*$J$5+[50]FormattedData!M48^2*$J$6+$M$5*$J$7</f>
        <v>61.760196237293286</v>
      </c>
      <c r="U48" s="47">
        <f>$J$3+[50]FormattedData!N48*$J$4+$M$4*$J$5+[50]FormattedData!N48^2*$J$6+$M$5*$J$7</f>
        <v>61.182802706411302</v>
      </c>
      <c r="V48" s="47">
        <f>$J$3+[50]FormattedData!O48*$J$4+$M$4*$J$5+[50]FormattedData!O48^2*$J$6+$M$5*$J$7</f>
        <v>61.677838252781086</v>
      </c>
      <c r="W48" s="49">
        <f>AVERAGE(K48:V48)</f>
        <v>60.857641463412058</v>
      </c>
      <c r="X48" s="48">
        <f>STDEV(K48:V48)/SQRT(COUNT(K48:V48))</f>
        <v>0.18779452449259787</v>
      </c>
      <c r="Y48" s="47">
        <f>MIN(K48:V48)</f>
        <v>59.354653660039347</v>
      </c>
      <c r="Z48" s="46">
        <f>QUARTILE(K48:V48,1)</f>
        <v>60.686182089869114</v>
      </c>
      <c r="AA48" s="47">
        <f>MEDIAN(K48:V48)</f>
        <v>60.893323973018596</v>
      </c>
      <c r="AB48" s="46">
        <f>QUARTILE(K48:V48,3)</f>
        <v>61.182802706411302</v>
      </c>
      <c r="AC48" s="46">
        <f>MAX(K48:V48)</f>
        <v>61.760196237293286</v>
      </c>
      <c r="AD48" s="46">
        <f>SKEW(K48:V48)</f>
        <v>-0.95088106430550134</v>
      </c>
      <c r="AE48" s="46">
        <f>KURT(K48:V48)</f>
        <v>1.6653459740471162</v>
      </c>
    </row>
    <row r="49" spans="2:31" ht="13.5" thickBot="1" x14ac:dyDescent="0.25">
      <c r="B49" s="45">
        <f>[50]FormattedData!A46</f>
        <v>908</v>
      </c>
      <c r="C49" s="45" t="str">
        <f>VLOOKUP($B49,[50]TrtCodes!$B$11:I89,2)</f>
        <v>Early</v>
      </c>
      <c r="D49" s="45">
        <f>VLOOKUP($B49,[50]TrtCodes!$B$11:J89,3)</f>
        <v>21</v>
      </c>
      <c r="E49" s="45">
        <f>VLOOKUP($B49,[50]TrtCodes!$B$11:K89,4)</f>
        <v>3</v>
      </c>
      <c r="F49" s="45">
        <f>VLOOKUP($B49,[50]TrtCodes!$B$11:L89,5)</f>
        <v>2</v>
      </c>
      <c r="G49" s="45">
        <f>VLOOKUP($B49,[50]TrtCodes!$B$11:M89,6)</f>
        <v>2</v>
      </c>
      <c r="H49" s="45">
        <f>VLOOKUP($B49,[50]TrtCodes!$B$11:N89,7)</f>
        <v>2</v>
      </c>
      <c r="I49" s="45">
        <f>[50]FormattedData!B46</f>
        <v>1</v>
      </c>
      <c r="J49" s="42">
        <f>[50]FormattedData!C46</f>
        <v>13.03</v>
      </c>
      <c r="K49" s="44">
        <f>$J$3+[50]FormattedData!D46*$J$4+$M$4*$J$5+[50]FormattedData!D46^2*$J$6+$M$5*$J$7</f>
        <v>49.553851986433358</v>
      </c>
      <c r="L49" s="44">
        <f>$J$3+[50]FormattedData!E46*$J$4+$M$4*$J$5+[50]FormattedData!E46^2*$J$6+$M$5*$J$7</f>
        <v>51.662828675526569</v>
      </c>
      <c r="M49" s="44">
        <f>$J$3+[50]FormattedData!F46*$J$4+$M$4*$J$5+[50]FormattedData!F46^2*$J$6+$M$5*$J$7</f>
        <v>52.968575558864963</v>
      </c>
      <c r="N49" s="44">
        <f>$J$3+[50]FormattedData!G46*$J$4+$M$4*$J$5+[50]FormattedData!G46^2*$J$6+$M$5*$J$7</f>
        <v>52.186268679386075</v>
      </c>
      <c r="O49" s="44">
        <f>$J$3+[50]FormattedData!H46*$J$4+$M$4*$J$5+[50]FormattedData!H46^2*$J$6+$M$5*$J$7</f>
        <v>53.315168523313822</v>
      </c>
      <c r="P49" s="44">
        <f>$J$3+[50]FormattedData!I46*$J$4+$M$4*$J$5+[50]FormattedData!I46^2*$J$6+$M$5*$J$7</f>
        <v>51.750174347514651</v>
      </c>
      <c r="Q49" s="44">
        <f>$J$3+[50]FormattedData!J46*$J$4+$M$4*$J$5+[50]FormattedData!J46^2*$J$6+$M$5*$J$7</f>
        <v>52.099134350087645</v>
      </c>
      <c r="R49" s="44">
        <f>$J$3+[50]FormattedData!K46*$J$4+$M$4*$J$5+[50]FormattedData!K46^2*$J$6+$M$5*$J$7</f>
        <v>53.055287202784079</v>
      </c>
      <c r="S49" s="44">
        <f>$J$3+[50]FormattedData!L46*$J$4+$M$4*$J$5+[50]FormattedData!L46^2*$J$6+$M$5*$J$7</f>
        <v>52.708187015880043</v>
      </c>
      <c r="T49" s="44">
        <f>$J$3+[50]FormattedData!M46*$J$4+$M$4*$J$5+[50]FormattedData!M46^2*$J$6+$M$5*$J$7</f>
        <v>51.662828675526569</v>
      </c>
      <c r="U49" s="44">
        <f>$J$3+[50]FormattedData!N46*$J$4+$M$4*$J$5+[50]FormattedData!N46^2*$J$6+$M$5*$J$7</f>
        <v>52.447418056053742</v>
      </c>
      <c r="V49" s="44">
        <f>$J$3+[50]FormattedData!O46*$J$4+$M$4*$J$5+[50]FormattedData!O46^2*$J$6+$M$5*$J$7</f>
        <v>52.099134350087645</v>
      </c>
      <c r="W49" s="43">
        <f>AVERAGE(K49:V49)</f>
        <v>52.125738118454933</v>
      </c>
      <c r="X49" s="42">
        <f>STDEV(K49:V49)/SQRT(COUNT(K49:V49))</f>
        <v>0.28366115664436048</v>
      </c>
      <c r="Y49" s="41">
        <f>MIN(K49:V49)</f>
        <v>49.553851986433358</v>
      </c>
      <c r="Z49" s="40">
        <f>QUARTILE(K49:V49,1)</f>
        <v>51.728337929517629</v>
      </c>
      <c r="AA49" s="41">
        <f>MEDIAN(K49:V49)</f>
        <v>52.142701514736856</v>
      </c>
      <c r="AB49" s="40">
        <f>QUARTILE(K49:V49,3)</f>
        <v>52.773284151626271</v>
      </c>
      <c r="AC49" s="40">
        <f>MAX(K49:V49)</f>
        <v>53.315168523313822</v>
      </c>
      <c r="AD49" s="40">
        <f>SKEW(K49:V49)</f>
        <v>-1.6036794571338924</v>
      </c>
      <c r="AE49" s="40">
        <f>KURT(K49:V49)</f>
        <v>3.9515144174983732</v>
      </c>
    </row>
    <row r="50" spans="2:31" ht="13.5" thickTop="1" x14ac:dyDescent="0.2">
      <c r="B50" s="34">
        <f>[50]FormattedData!A29</f>
        <v>0</v>
      </c>
      <c r="C50" s="34" t="e">
        <f>VLOOKUP($B50,[50]TrtCodes!$B$11:I72,2)</f>
        <v>#N/A</v>
      </c>
      <c r="D50" s="34" t="e">
        <f>VLOOKUP($B50,[50]TrtCodes!$B$11:J72,3)</f>
        <v>#N/A</v>
      </c>
      <c r="E50" s="34" t="e">
        <f>VLOOKUP($B50,[50]TrtCodes!$B$11:K72,4)</f>
        <v>#N/A</v>
      </c>
      <c r="F50" s="34" t="e">
        <f>VLOOKUP($B50,[50]TrtCodes!$B$11:L72,5)</f>
        <v>#N/A</v>
      </c>
      <c r="G50" s="34" t="e">
        <f>VLOOKUP($B50,[50]TrtCodes!$B$11:M72,6)</f>
        <v>#N/A</v>
      </c>
      <c r="H50" s="34" t="e">
        <f>VLOOKUP($B50,[50]TrtCodes!$B$11:N72,7)</f>
        <v>#N/A</v>
      </c>
      <c r="I50" s="34">
        <f>[50]FormattedData!B29</f>
        <v>0</v>
      </c>
      <c r="J50" s="37">
        <f>[50]FormattedData!C29</f>
        <v>0</v>
      </c>
      <c r="K50" s="39">
        <f>$J$3+[50]FormattedData!D29*$J$4+$M$4*$J$5+[50]FormattedData!D29^2*$J$6+$M$5*$J$7</f>
        <v>-0.68798505876453842</v>
      </c>
      <c r="L50" s="39">
        <f>$J$3+[50]FormattedData!E29*$J$4+$M$4*$J$5+[50]FormattedData!E29^2*$J$6+$M$5*$J$7</f>
        <v>-0.68798505876453842</v>
      </c>
      <c r="M50" s="39">
        <f>$J$3+[50]FormattedData!F29*$J$4+$M$4*$J$5+[50]FormattedData!F29^2*$J$6+$M$5*$J$7</f>
        <v>-0.68798505876453842</v>
      </c>
      <c r="N50" s="39">
        <f>$J$3+[50]FormattedData!G29*$J$4+$M$4*$J$5+[50]FormattedData!G29^2*$J$6+$M$5*$J$7</f>
        <v>-0.68798505876453842</v>
      </c>
      <c r="O50" s="39">
        <f>$J$3+[50]FormattedData!H29*$J$4+$M$4*$J$5+[50]FormattedData!H29^2*$J$6+$M$5*$J$7</f>
        <v>-0.68798505876453842</v>
      </c>
      <c r="P50" s="39">
        <f>$J$3+[50]FormattedData!I29*$J$4+$M$4*$J$5+[50]FormattedData!I29^2*$J$6+$M$5*$J$7</f>
        <v>-0.68798505876453842</v>
      </c>
      <c r="Q50" s="39">
        <f>$J$3+[50]FormattedData!J29*$J$4+$M$4*$J$5+[50]FormattedData!J29^2*$J$6+$M$5*$J$7</f>
        <v>-0.68798505876453842</v>
      </c>
      <c r="R50" s="39">
        <f>$J$3+[50]FormattedData!K29*$J$4+$M$4*$J$5+[50]FormattedData!K29^2*$J$6+$M$5*$J$7</f>
        <v>-0.68798505876453842</v>
      </c>
      <c r="S50" s="39">
        <f>$J$3+[50]FormattedData!L29*$J$4+$M$4*$J$5+[50]FormattedData!L29^2*$J$6+$M$5*$J$7</f>
        <v>-0.68798505876453842</v>
      </c>
      <c r="T50" s="39">
        <f>$J$3+[50]FormattedData!M29*$J$4+$M$4*$J$5+[50]FormattedData!M29^2*$J$6+$M$5*$J$7</f>
        <v>-0.68798505876453842</v>
      </c>
      <c r="U50" s="39">
        <f>$J$3+[50]FormattedData!N29*$J$4+$M$4*$J$5+[50]FormattedData!N29^2*$J$6+$M$5*$J$7</f>
        <v>-0.68798505876453842</v>
      </c>
      <c r="V50" s="39">
        <f>$J$3+[50]FormattedData!O29*$J$4+$M$4*$J$5+[50]FormattedData!O29^2*$J$6+$M$5*$J$7</f>
        <v>-0.68798505876453842</v>
      </c>
      <c r="W50" s="38">
        <f>AVERAGE(K50:V50)</f>
        <v>-0.68798505876453842</v>
      </c>
      <c r="X50" s="37">
        <f>STDEV(K50:V50)/SQRT(COUNT(K50:V50))</f>
        <v>0</v>
      </c>
      <c r="Y50" s="36">
        <f>MIN(K50:V50)</f>
        <v>-0.68798505876453842</v>
      </c>
      <c r="Z50" s="35">
        <f>QUARTILE(K50:V50,1)</f>
        <v>-0.68798505876453842</v>
      </c>
      <c r="AA50" s="36">
        <f>MEDIAN(K50:V50)</f>
        <v>-0.68798505876453842</v>
      </c>
      <c r="AB50" s="35">
        <f>QUARTILE(K50:V50,3)</f>
        <v>-0.68798505876453842</v>
      </c>
      <c r="AC50" s="35">
        <f>MAX(K50:V50)</f>
        <v>-0.68798505876453842</v>
      </c>
      <c r="AD50" s="35" t="e">
        <f>SKEW(K50:V50)</f>
        <v>#DIV/0!</v>
      </c>
      <c r="AE50" s="35" t="e">
        <f>KURT(K50:V50)</f>
        <v>#DIV/0!</v>
      </c>
    </row>
    <row r="51" spans="2:31" x14ac:dyDescent="0.2">
      <c r="B51" s="34">
        <f>[50]FormattedData!A27</f>
        <v>0</v>
      </c>
      <c r="C51" s="34" t="e">
        <f>VLOOKUP($B51,[50]TrtCodes!$B$11:I70,2)</f>
        <v>#N/A</v>
      </c>
      <c r="D51" s="34" t="e">
        <f>VLOOKUP($B51,[50]TrtCodes!$B$11:J70,3)</f>
        <v>#N/A</v>
      </c>
      <c r="E51" s="34" t="e">
        <f>VLOOKUP($B51,[50]TrtCodes!$B$11:K70,4)</f>
        <v>#N/A</v>
      </c>
      <c r="F51" s="34" t="e">
        <f>VLOOKUP($B51,[50]TrtCodes!$B$11:L70,5)</f>
        <v>#N/A</v>
      </c>
      <c r="G51" s="34" t="e">
        <f>VLOOKUP($B51,[50]TrtCodes!$B$11:M70,6)</f>
        <v>#N/A</v>
      </c>
      <c r="H51" s="34" t="e">
        <f>VLOOKUP($B51,[50]TrtCodes!$B$11:N70,7)</f>
        <v>#N/A</v>
      </c>
      <c r="I51" s="34">
        <f>[50]FormattedData!B27</f>
        <v>0</v>
      </c>
      <c r="J51" s="37">
        <f>[50]FormattedData!C27</f>
        <v>0</v>
      </c>
      <c r="K51" s="39">
        <f>$J$3+[50]FormattedData!D27*$J$4+$M$4*$J$5+[50]FormattedData!D27^2*$J$6+$M$5*$J$7</f>
        <v>-0.68798505876453842</v>
      </c>
      <c r="L51" s="39">
        <f>$J$3+[50]FormattedData!E27*$J$4+$M$4*$J$5+[50]FormattedData!E27^2*$J$6+$M$5*$J$7</f>
        <v>-0.68798505876453842</v>
      </c>
      <c r="M51" s="39">
        <f>$J$3+[50]FormattedData!F27*$J$4+$M$4*$J$5+[50]FormattedData!F27^2*$J$6+$M$5*$J$7</f>
        <v>-0.68798505876453842</v>
      </c>
      <c r="N51" s="39">
        <f>$J$3+[50]FormattedData!G27*$J$4+$M$4*$J$5+[50]FormattedData!G27^2*$J$6+$M$5*$J$7</f>
        <v>-0.68798505876453842</v>
      </c>
      <c r="O51" s="39">
        <f>$J$3+[50]FormattedData!H27*$J$4+$M$4*$J$5+[50]FormattedData!H27^2*$J$6+$M$5*$J$7</f>
        <v>-0.68798505876453842</v>
      </c>
      <c r="P51" s="39">
        <f>$J$3+[50]FormattedData!I27*$J$4+$M$4*$J$5+[50]FormattedData!I27^2*$J$6+$M$5*$J$7</f>
        <v>-0.68798505876453842</v>
      </c>
      <c r="Q51" s="39">
        <f>$J$3+[50]FormattedData!J27*$J$4+$M$4*$J$5+[50]FormattedData!J27^2*$J$6+$M$5*$J$7</f>
        <v>-0.68798505876453842</v>
      </c>
      <c r="R51" s="39">
        <f>$J$3+[50]FormattedData!K27*$J$4+$M$4*$J$5+[50]FormattedData!K27^2*$J$6+$M$5*$J$7</f>
        <v>-0.68798505876453842</v>
      </c>
      <c r="S51" s="39">
        <f>$J$3+[50]FormattedData!L27*$J$4+$M$4*$J$5+[50]FormattedData!L27^2*$J$6+$M$5*$J$7</f>
        <v>-0.68798505876453842</v>
      </c>
      <c r="T51" s="39">
        <f>$J$3+[50]FormattedData!M27*$J$4+$M$4*$J$5+[50]FormattedData!M27^2*$J$6+$M$5*$J$7</f>
        <v>-0.68798505876453842</v>
      </c>
      <c r="U51" s="39">
        <f>$J$3+[50]FormattedData!N27*$J$4+$M$4*$J$5+[50]FormattedData!N27^2*$J$6+$M$5*$J$7</f>
        <v>-0.68798505876453842</v>
      </c>
      <c r="V51" s="39">
        <f>$J$3+[50]FormattedData!O27*$J$4+$M$4*$J$5+[50]FormattedData!O27^2*$J$6+$M$5*$J$7</f>
        <v>-0.68798505876453842</v>
      </c>
      <c r="W51" s="38">
        <f>AVERAGE(K51:V51)</f>
        <v>-0.68798505876453842</v>
      </c>
      <c r="X51" s="37">
        <f>STDEV(K51:V51)/SQRT(COUNT(K51:V51))</f>
        <v>0</v>
      </c>
      <c r="Y51" s="36">
        <f>MIN(K51:V51)</f>
        <v>-0.68798505876453842</v>
      </c>
      <c r="Z51" s="35">
        <f>QUARTILE(K51:V51,1)</f>
        <v>-0.68798505876453842</v>
      </c>
      <c r="AA51" s="36">
        <f>MEDIAN(K51:V51)</f>
        <v>-0.68798505876453842</v>
      </c>
      <c r="AB51" s="35">
        <f>QUARTILE(K51:V51,3)</f>
        <v>-0.68798505876453842</v>
      </c>
      <c r="AC51" s="35">
        <f>MAX(K51:V51)</f>
        <v>-0.68798505876453842</v>
      </c>
      <c r="AD51" s="35" t="e">
        <f>SKEW(K51:V51)</f>
        <v>#DIV/0!</v>
      </c>
      <c r="AE51" s="35" t="e">
        <f>KURT(K51:V51)</f>
        <v>#DIV/0!</v>
      </c>
    </row>
    <row r="52" spans="2:31" x14ac:dyDescent="0.2">
      <c r="B52" s="34">
        <f>[50]FormattedData!A25</f>
        <v>0</v>
      </c>
      <c r="C52" s="34" t="e">
        <f>VLOOKUP($B52,[50]TrtCodes!$B$11:I68,2)</f>
        <v>#N/A</v>
      </c>
      <c r="D52" s="34" t="e">
        <f>VLOOKUP($B52,[50]TrtCodes!$B$11:J68,3)</f>
        <v>#N/A</v>
      </c>
      <c r="E52" s="34" t="e">
        <f>VLOOKUP($B52,[50]TrtCodes!$B$11:K68,4)</f>
        <v>#N/A</v>
      </c>
      <c r="F52" s="34" t="e">
        <f>VLOOKUP($B52,[50]TrtCodes!$B$11:L68,5)</f>
        <v>#N/A</v>
      </c>
      <c r="G52" s="34" t="e">
        <f>VLOOKUP($B52,[50]TrtCodes!$B$11:M68,6)</f>
        <v>#N/A</v>
      </c>
      <c r="H52" s="34" t="e">
        <f>VLOOKUP($B52,[50]TrtCodes!$B$11:N68,7)</f>
        <v>#N/A</v>
      </c>
      <c r="I52" s="34">
        <f>[50]FormattedData!B25</f>
        <v>0</v>
      </c>
      <c r="J52" s="37">
        <f>[50]FormattedData!C25</f>
        <v>0</v>
      </c>
      <c r="K52" s="39">
        <f>$J$3+[50]FormattedData!D25*$J$4+$M$4*$J$5+[50]FormattedData!D25^2*$J$6+$M$5*$J$7</f>
        <v>-0.68798505876453842</v>
      </c>
      <c r="L52" s="39">
        <f>$J$3+[50]FormattedData!E25*$J$4+$M$4*$J$5+[50]FormattedData!E25^2*$J$6+$M$5*$J$7</f>
        <v>-0.68798505876453842</v>
      </c>
      <c r="M52" s="39">
        <f>$J$3+[50]FormattedData!F25*$J$4+$M$4*$J$5+[50]FormattedData!F25^2*$J$6+$M$5*$J$7</f>
        <v>-0.68798505876453842</v>
      </c>
      <c r="N52" s="39">
        <f>$J$3+[50]FormattedData!G25*$J$4+$M$4*$J$5+[50]FormattedData!G25^2*$J$6+$M$5*$J$7</f>
        <v>-0.68798505876453842</v>
      </c>
      <c r="O52" s="39">
        <f>$J$3+[50]FormattedData!H25*$J$4+$M$4*$J$5+[50]FormattedData!H25^2*$J$6+$M$5*$J$7</f>
        <v>-0.68798505876453842</v>
      </c>
      <c r="P52" s="39">
        <f>$J$3+[50]FormattedData!I25*$J$4+$M$4*$J$5+[50]FormattedData!I25^2*$J$6+$M$5*$J$7</f>
        <v>-0.68798505876453842</v>
      </c>
      <c r="Q52" s="39">
        <f>$J$3+[50]FormattedData!J25*$J$4+$M$4*$J$5+[50]FormattedData!J25^2*$J$6+$M$5*$J$7</f>
        <v>-0.68798505876453842</v>
      </c>
      <c r="R52" s="39">
        <f>$J$3+[50]FormattedData!K25*$J$4+$M$4*$J$5+[50]FormattedData!K25^2*$J$6+$M$5*$J$7</f>
        <v>-0.68798505876453842</v>
      </c>
      <c r="S52" s="39">
        <f>$J$3+[50]FormattedData!L25*$J$4+$M$4*$J$5+[50]FormattedData!L25^2*$J$6+$M$5*$J$7</f>
        <v>-0.68798505876453842</v>
      </c>
      <c r="T52" s="39">
        <f>$J$3+[50]FormattedData!M25*$J$4+$M$4*$J$5+[50]FormattedData!M25^2*$J$6+$M$5*$J$7</f>
        <v>-0.68798505876453842</v>
      </c>
      <c r="U52" s="39">
        <f>$J$3+[50]FormattedData!N25*$J$4+$M$4*$J$5+[50]FormattedData!N25^2*$J$6+$M$5*$J$7</f>
        <v>-0.68798505876453842</v>
      </c>
      <c r="V52" s="39">
        <f>$J$3+[50]FormattedData!O25*$J$4+$M$4*$J$5+[50]FormattedData!O25^2*$J$6+$M$5*$J$7</f>
        <v>-0.68798505876453842</v>
      </c>
      <c r="W52" s="38">
        <f>AVERAGE(K52:V52)</f>
        <v>-0.68798505876453842</v>
      </c>
      <c r="X52" s="37">
        <f>STDEV(K52:V52)/SQRT(COUNT(K52:V52))</f>
        <v>0</v>
      </c>
      <c r="Y52" s="36">
        <f>MIN(K52:V52)</f>
        <v>-0.68798505876453842</v>
      </c>
      <c r="Z52" s="35">
        <f>QUARTILE(K52:V52,1)</f>
        <v>-0.68798505876453842</v>
      </c>
      <c r="AA52" s="36">
        <f>MEDIAN(K52:V52)</f>
        <v>-0.68798505876453842</v>
      </c>
      <c r="AB52" s="35">
        <f>QUARTILE(K52:V52,3)</f>
        <v>-0.68798505876453842</v>
      </c>
      <c r="AC52" s="35">
        <f>MAX(K52:V52)</f>
        <v>-0.68798505876453842</v>
      </c>
      <c r="AD52" s="35" t="e">
        <f>SKEW(K52:V52)</f>
        <v>#DIV/0!</v>
      </c>
      <c r="AE52" s="35" t="e">
        <f>KURT(K52:V52)</f>
        <v>#DIV/0!</v>
      </c>
    </row>
    <row r="53" spans="2:31" x14ac:dyDescent="0.2">
      <c r="B53" s="34">
        <f>[50]FormattedData!A23</f>
        <v>0</v>
      </c>
      <c r="C53" s="34" t="e">
        <f>VLOOKUP($B53,[50]TrtCodes!$B$11:I66,2)</f>
        <v>#N/A</v>
      </c>
      <c r="D53" s="34" t="e">
        <f>VLOOKUP($B53,[50]TrtCodes!$B$11:J66,3)</f>
        <v>#N/A</v>
      </c>
      <c r="E53" s="34" t="e">
        <f>VLOOKUP($B53,[50]TrtCodes!$B$11:K66,4)</f>
        <v>#N/A</v>
      </c>
      <c r="F53" s="34" t="e">
        <f>VLOOKUP($B53,[50]TrtCodes!$B$11:L66,5)</f>
        <v>#N/A</v>
      </c>
      <c r="G53" s="34" t="e">
        <f>VLOOKUP($B53,[50]TrtCodes!$B$11:M66,6)</f>
        <v>#N/A</v>
      </c>
      <c r="H53" s="34" t="e">
        <f>VLOOKUP($B53,[50]TrtCodes!$B$11:N66,7)</f>
        <v>#N/A</v>
      </c>
      <c r="I53" s="34">
        <f>[50]FormattedData!B23</f>
        <v>0</v>
      </c>
      <c r="J53" s="37">
        <f>[50]FormattedData!C23</f>
        <v>0</v>
      </c>
      <c r="K53" s="39">
        <f>$J$3+[50]FormattedData!D23*$J$4+$M$4*$J$5+[50]FormattedData!D23^2*$J$6+$M$5*$J$7</f>
        <v>-0.68798505876453842</v>
      </c>
      <c r="L53" s="39">
        <f>$J$3+[50]FormattedData!E23*$J$4+$M$4*$J$5+[50]FormattedData!E23^2*$J$6+$M$5*$J$7</f>
        <v>-0.68798505876453842</v>
      </c>
      <c r="M53" s="39">
        <f>$J$3+[50]FormattedData!F23*$J$4+$M$4*$J$5+[50]FormattedData!F23^2*$J$6+$M$5*$J$7</f>
        <v>-0.68798505876453842</v>
      </c>
      <c r="N53" s="39">
        <f>$J$3+[50]FormattedData!G23*$J$4+$M$4*$J$5+[50]FormattedData!G23^2*$J$6+$M$5*$J$7</f>
        <v>-0.68798505876453842</v>
      </c>
      <c r="O53" s="39">
        <f>$J$3+[50]FormattedData!H23*$J$4+$M$4*$J$5+[50]FormattedData!H23^2*$J$6+$M$5*$J$7</f>
        <v>-0.68798505876453842</v>
      </c>
      <c r="P53" s="39">
        <f>$J$3+[50]FormattedData!I23*$J$4+$M$4*$J$5+[50]FormattedData!I23^2*$J$6+$M$5*$J$7</f>
        <v>-0.68798505876453842</v>
      </c>
      <c r="Q53" s="39">
        <f>$J$3+[50]FormattedData!J23*$J$4+$M$4*$J$5+[50]FormattedData!J23^2*$J$6+$M$5*$J$7</f>
        <v>-0.68798505876453842</v>
      </c>
      <c r="R53" s="39">
        <f>$J$3+[50]FormattedData!K23*$J$4+$M$4*$J$5+[50]FormattedData!K23^2*$J$6+$M$5*$J$7</f>
        <v>-0.68798505876453842</v>
      </c>
      <c r="S53" s="39">
        <f>$J$3+[50]FormattedData!L23*$J$4+$M$4*$J$5+[50]FormattedData!L23^2*$J$6+$M$5*$J$7</f>
        <v>-0.68798505876453842</v>
      </c>
      <c r="T53" s="39">
        <f>$J$3+[50]FormattedData!M23*$J$4+$M$4*$J$5+[50]FormattedData!M23^2*$J$6+$M$5*$J$7</f>
        <v>-0.68798505876453842</v>
      </c>
      <c r="U53" s="39">
        <f>$J$3+[50]FormattedData!N23*$J$4+$M$4*$J$5+[50]FormattedData!N23^2*$J$6+$M$5*$J$7</f>
        <v>-0.68798505876453842</v>
      </c>
      <c r="V53" s="39">
        <f>$J$3+[50]FormattedData!O23*$J$4+$M$4*$J$5+[50]FormattedData!O23^2*$J$6+$M$5*$J$7</f>
        <v>-0.68798505876453842</v>
      </c>
      <c r="W53" s="38">
        <f>AVERAGE(K53:V53)</f>
        <v>-0.68798505876453842</v>
      </c>
      <c r="X53" s="37">
        <f>STDEV(K53:V53)/SQRT(COUNT(K53:V53))</f>
        <v>0</v>
      </c>
      <c r="Y53" s="36">
        <f>MIN(K53:V53)</f>
        <v>-0.68798505876453842</v>
      </c>
      <c r="Z53" s="35">
        <f>QUARTILE(K53:V53,1)</f>
        <v>-0.68798505876453842</v>
      </c>
      <c r="AA53" s="36">
        <f>MEDIAN(K53:V53)</f>
        <v>-0.68798505876453842</v>
      </c>
      <c r="AB53" s="35">
        <f>QUARTILE(K53:V53,3)</f>
        <v>-0.68798505876453842</v>
      </c>
      <c r="AC53" s="35">
        <f>MAX(K53:V53)</f>
        <v>-0.68798505876453842</v>
      </c>
      <c r="AD53" s="35" t="e">
        <f>SKEW(K53:V53)</f>
        <v>#DIV/0!</v>
      </c>
      <c r="AE53" s="35" t="e">
        <f>KURT(K53:V53)</f>
        <v>#DIV/0!</v>
      </c>
    </row>
    <row r="54" spans="2:31" x14ac:dyDescent="0.2">
      <c r="B54" s="34">
        <f>[50]FormattedData!A21</f>
        <v>0</v>
      </c>
      <c r="C54" s="34" t="e">
        <f>VLOOKUP($B54,[50]TrtCodes!$B$11:I64,2)</f>
        <v>#N/A</v>
      </c>
      <c r="D54" s="34" t="e">
        <f>VLOOKUP($B54,[50]TrtCodes!$B$11:J64,3)</f>
        <v>#N/A</v>
      </c>
      <c r="E54" s="34" t="e">
        <f>VLOOKUP($B54,[50]TrtCodes!$B$11:K64,4)</f>
        <v>#N/A</v>
      </c>
      <c r="F54" s="34" t="e">
        <f>VLOOKUP($B54,[50]TrtCodes!$B$11:L64,5)</f>
        <v>#N/A</v>
      </c>
      <c r="G54" s="34" t="e">
        <f>VLOOKUP($B54,[50]TrtCodes!$B$11:M64,6)</f>
        <v>#N/A</v>
      </c>
      <c r="H54" s="34" t="e">
        <f>VLOOKUP($B54,[50]TrtCodes!$B$11:N64,7)</f>
        <v>#N/A</v>
      </c>
      <c r="I54" s="34">
        <f>[50]FormattedData!B21</f>
        <v>0</v>
      </c>
      <c r="J54" s="37">
        <f>[50]FormattedData!C21</f>
        <v>0</v>
      </c>
      <c r="K54" s="39">
        <f>$J$3+[50]FormattedData!D21*$J$4+$M$4*$J$5+[50]FormattedData!D21^2*$J$6+$M$5*$J$7</f>
        <v>-0.68798505876453842</v>
      </c>
      <c r="L54" s="39">
        <f>$J$3+[50]FormattedData!E21*$J$4+$M$4*$J$5+[50]FormattedData!E21^2*$J$6+$M$5*$J$7</f>
        <v>-0.68798505876453842</v>
      </c>
      <c r="M54" s="39">
        <f>$J$3+[50]FormattedData!F21*$J$4+$M$4*$J$5+[50]FormattedData!F21^2*$J$6+$M$5*$J$7</f>
        <v>-0.68798505876453842</v>
      </c>
      <c r="N54" s="39">
        <f>$J$3+[50]FormattedData!G21*$J$4+$M$4*$J$5+[50]FormattedData!G21^2*$J$6+$M$5*$J$7</f>
        <v>-0.68798505876453842</v>
      </c>
      <c r="O54" s="39">
        <f>$J$3+[50]FormattedData!H21*$J$4+$M$4*$J$5+[50]FormattedData!H21^2*$J$6+$M$5*$J$7</f>
        <v>-0.68798505876453842</v>
      </c>
      <c r="P54" s="39">
        <f>$J$3+[50]FormattedData!I21*$J$4+$M$4*$J$5+[50]FormattedData!I21^2*$J$6+$M$5*$J$7</f>
        <v>-0.68798505876453842</v>
      </c>
      <c r="Q54" s="39">
        <f>$J$3+[50]FormattedData!J21*$J$4+$M$4*$J$5+[50]FormattedData!J21^2*$J$6+$M$5*$J$7</f>
        <v>-0.68798505876453842</v>
      </c>
      <c r="R54" s="39">
        <f>$J$3+[50]FormattedData!K21*$J$4+$M$4*$J$5+[50]FormattedData!K21^2*$J$6+$M$5*$J$7</f>
        <v>-0.68798505876453842</v>
      </c>
      <c r="S54" s="39">
        <f>$J$3+[50]FormattedData!L21*$J$4+$M$4*$J$5+[50]FormattedData!L21^2*$J$6+$M$5*$J$7</f>
        <v>-0.68798505876453842</v>
      </c>
      <c r="T54" s="39">
        <f>$J$3+[50]FormattedData!M21*$J$4+$M$4*$J$5+[50]FormattedData!M21^2*$J$6+$M$5*$J$7</f>
        <v>-0.68798505876453842</v>
      </c>
      <c r="U54" s="39">
        <f>$J$3+[50]FormattedData!N21*$J$4+$M$4*$J$5+[50]FormattedData!N21^2*$J$6+$M$5*$J$7</f>
        <v>-0.68798505876453842</v>
      </c>
      <c r="V54" s="39">
        <f>$J$3+[50]FormattedData!O21*$J$4+$M$4*$J$5+[50]FormattedData!O21^2*$J$6+$M$5*$J$7</f>
        <v>-0.68798505876453842</v>
      </c>
      <c r="W54" s="38">
        <f>AVERAGE(K54:V54)</f>
        <v>-0.68798505876453842</v>
      </c>
      <c r="X54" s="37">
        <f>STDEV(K54:V54)/SQRT(COUNT(K54:V54))</f>
        <v>0</v>
      </c>
      <c r="Y54" s="36">
        <f>MIN(K54:V54)</f>
        <v>-0.68798505876453842</v>
      </c>
      <c r="Z54" s="35">
        <f>QUARTILE(K54:V54,1)</f>
        <v>-0.68798505876453842</v>
      </c>
      <c r="AA54" s="36">
        <f>MEDIAN(K54:V54)</f>
        <v>-0.68798505876453842</v>
      </c>
      <c r="AB54" s="35">
        <f>QUARTILE(K54:V54,3)</f>
        <v>-0.68798505876453842</v>
      </c>
      <c r="AC54" s="35">
        <f>MAX(K54:V54)</f>
        <v>-0.68798505876453842</v>
      </c>
      <c r="AD54" s="35" t="e">
        <f>SKEW(K54:V54)</f>
        <v>#DIV/0!</v>
      </c>
      <c r="AE54" s="35" t="e">
        <f>KURT(K54:V54)</f>
        <v>#DIV/0!</v>
      </c>
    </row>
    <row r="55" spans="2:31" x14ac:dyDescent="0.2">
      <c r="B55" s="34">
        <f>[50]FormattedData!A19</f>
        <v>0</v>
      </c>
      <c r="C55" s="34" t="e">
        <f>VLOOKUP($B55,[50]TrtCodes!$B$11:I62,2)</f>
        <v>#N/A</v>
      </c>
      <c r="D55" s="34" t="e">
        <f>VLOOKUP($B55,[50]TrtCodes!$B$11:J62,3)</f>
        <v>#N/A</v>
      </c>
      <c r="E55" s="34" t="e">
        <f>VLOOKUP($B55,[50]TrtCodes!$B$11:K62,4)</f>
        <v>#N/A</v>
      </c>
      <c r="F55" s="34" t="e">
        <f>VLOOKUP($B55,[50]TrtCodes!$B$11:L62,5)</f>
        <v>#N/A</v>
      </c>
      <c r="G55" s="34" t="e">
        <f>VLOOKUP($B55,[50]TrtCodes!$B$11:M62,6)</f>
        <v>#N/A</v>
      </c>
      <c r="H55" s="34" t="e">
        <f>VLOOKUP($B55,[50]TrtCodes!$B$11:N62,7)</f>
        <v>#N/A</v>
      </c>
      <c r="I55" s="34">
        <f>[50]FormattedData!B19</f>
        <v>0</v>
      </c>
      <c r="J55" s="37">
        <f>[50]FormattedData!C19</f>
        <v>0</v>
      </c>
      <c r="K55" s="39">
        <f>$J$3+[50]FormattedData!D19*$J$4+$M$4*$J$5+[50]FormattedData!D19^2*$J$6+$M$5*$J$7</f>
        <v>-0.68798505876453842</v>
      </c>
      <c r="L55" s="39">
        <f>$J$3+[50]FormattedData!E19*$J$4+$M$4*$J$5+[50]FormattedData!E19^2*$J$6+$M$5*$J$7</f>
        <v>-0.68798505876453842</v>
      </c>
      <c r="M55" s="39">
        <f>$J$3+[50]FormattedData!F19*$J$4+$M$4*$J$5+[50]FormattedData!F19^2*$J$6+$M$5*$J$7</f>
        <v>-0.68798505876453842</v>
      </c>
      <c r="N55" s="39">
        <f>$J$3+[50]FormattedData!G19*$J$4+$M$4*$J$5+[50]FormattedData!G19^2*$J$6+$M$5*$J$7</f>
        <v>-0.68798505876453842</v>
      </c>
      <c r="O55" s="39">
        <f>$J$3+[50]FormattedData!H19*$J$4+$M$4*$J$5+[50]FormattedData!H19^2*$J$6+$M$5*$J$7</f>
        <v>-0.68798505876453842</v>
      </c>
      <c r="P55" s="39">
        <f>$J$3+[50]FormattedData!I19*$J$4+$M$4*$J$5+[50]FormattedData!I19^2*$J$6+$M$5*$J$7</f>
        <v>-0.68798505876453842</v>
      </c>
      <c r="Q55" s="39">
        <f>$J$3+[50]FormattedData!J19*$J$4+$M$4*$J$5+[50]FormattedData!J19^2*$J$6+$M$5*$J$7</f>
        <v>-0.68798505876453842</v>
      </c>
      <c r="R55" s="39">
        <f>$J$3+[50]FormattedData!K19*$J$4+$M$4*$J$5+[50]FormattedData!K19^2*$J$6+$M$5*$J$7</f>
        <v>-0.68798505876453842</v>
      </c>
      <c r="S55" s="39">
        <f>$J$3+[50]FormattedData!L19*$J$4+$M$4*$J$5+[50]FormattedData!L19^2*$J$6+$M$5*$J$7</f>
        <v>-0.68798505876453842</v>
      </c>
      <c r="T55" s="39">
        <f>$J$3+[50]FormattedData!M19*$J$4+$M$4*$J$5+[50]FormattedData!M19^2*$J$6+$M$5*$J$7</f>
        <v>-0.68798505876453842</v>
      </c>
      <c r="U55" s="39">
        <f>$J$3+[50]FormattedData!N19*$J$4+$M$4*$J$5+[50]FormattedData!N19^2*$J$6+$M$5*$J$7</f>
        <v>-0.68798505876453842</v>
      </c>
      <c r="V55" s="39">
        <f>$J$3+[50]FormattedData!O19*$J$4+$M$4*$J$5+[50]FormattedData!O19^2*$J$6+$M$5*$J$7</f>
        <v>-0.68798505876453842</v>
      </c>
      <c r="W55" s="38">
        <f>AVERAGE(K55:V55)</f>
        <v>-0.68798505876453842</v>
      </c>
      <c r="X55" s="37">
        <f>STDEV(K55:V55)/SQRT(COUNT(K55:V55))</f>
        <v>0</v>
      </c>
      <c r="Y55" s="36">
        <f>MIN(K55:V55)</f>
        <v>-0.68798505876453842</v>
      </c>
      <c r="Z55" s="35">
        <f>QUARTILE(K55:V55,1)</f>
        <v>-0.68798505876453842</v>
      </c>
      <c r="AA55" s="36">
        <f>MEDIAN(K55:V55)</f>
        <v>-0.68798505876453842</v>
      </c>
      <c r="AB55" s="35">
        <f>QUARTILE(K55:V55,3)</f>
        <v>-0.68798505876453842</v>
      </c>
      <c r="AC55" s="35">
        <f>MAX(K55:V55)</f>
        <v>-0.68798505876453842</v>
      </c>
      <c r="AD55" s="35" t="e">
        <f>SKEW(K55:V55)</f>
        <v>#DIV/0!</v>
      </c>
      <c r="AE55" s="35" t="e">
        <f>KURT(K55:V55)</f>
        <v>#DIV/0!</v>
      </c>
    </row>
    <row r="56" spans="2:31" x14ac:dyDescent="0.2">
      <c r="B56" s="34">
        <f>[50]FormattedData!A17</f>
        <v>0</v>
      </c>
      <c r="C56" s="34" t="e">
        <f>VLOOKUP($B56,[50]TrtCodes!$B$11:I60,2)</f>
        <v>#N/A</v>
      </c>
      <c r="D56" s="34" t="e">
        <f>VLOOKUP($B56,[50]TrtCodes!$B$11:J60,3)</f>
        <v>#N/A</v>
      </c>
      <c r="E56" s="34" t="e">
        <f>VLOOKUP($B56,[50]TrtCodes!$B$11:K60,4)</f>
        <v>#N/A</v>
      </c>
      <c r="F56" s="34" t="e">
        <f>VLOOKUP($B56,[50]TrtCodes!$B$11:L60,5)</f>
        <v>#N/A</v>
      </c>
      <c r="G56" s="34" t="e">
        <f>VLOOKUP($B56,[50]TrtCodes!$B$11:M60,6)</f>
        <v>#N/A</v>
      </c>
      <c r="H56" s="34" t="e">
        <f>VLOOKUP($B56,[50]TrtCodes!$B$11:N60,7)</f>
        <v>#N/A</v>
      </c>
      <c r="I56" s="34">
        <f>[50]FormattedData!B17</f>
        <v>0</v>
      </c>
      <c r="J56" s="37">
        <f>[50]FormattedData!C17</f>
        <v>0</v>
      </c>
      <c r="K56" s="39">
        <f>$J$3+[50]FormattedData!D17*$J$4+$M$4*$J$5+[50]FormattedData!D17^2*$J$6+$M$5*$J$7</f>
        <v>-0.68798505876453842</v>
      </c>
      <c r="L56" s="39">
        <f>$J$3+[50]FormattedData!E17*$J$4+$M$4*$J$5+[50]FormattedData!E17^2*$J$6+$M$5*$J$7</f>
        <v>-0.68798505876453842</v>
      </c>
      <c r="M56" s="39">
        <f>$J$3+[50]FormattedData!F17*$J$4+$M$4*$J$5+[50]FormattedData!F17^2*$J$6+$M$5*$J$7</f>
        <v>-0.68798505876453842</v>
      </c>
      <c r="N56" s="39">
        <f>$J$3+[50]FormattedData!G17*$J$4+$M$4*$J$5+[50]FormattedData!G17^2*$J$6+$M$5*$J$7</f>
        <v>-0.68798505876453842</v>
      </c>
      <c r="O56" s="39">
        <f>$J$3+[50]FormattedData!H17*$J$4+$M$4*$J$5+[50]FormattedData!H17^2*$J$6+$M$5*$J$7</f>
        <v>-0.68798505876453842</v>
      </c>
      <c r="P56" s="39">
        <f>$J$3+[50]FormattedData!I17*$J$4+$M$4*$J$5+[50]FormattedData!I17^2*$J$6+$M$5*$J$7</f>
        <v>-0.68798505876453842</v>
      </c>
      <c r="Q56" s="39">
        <f>$J$3+[50]FormattedData!J17*$J$4+$M$4*$J$5+[50]FormattedData!J17^2*$J$6+$M$5*$J$7</f>
        <v>-0.68798505876453842</v>
      </c>
      <c r="R56" s="39">
        <f>$J$3+[50]FormattedData!K17*$J$4+$M$4*$J$5+[50]FormattedData!K17^2*$J$6+$M$5*$J$7</f>
        <v>-0.68798505876453842</v>
      </c>
      <c r="S56" s="39">
        <f>$J$3+[50]FormattedData!L17*$J$4+$M$4*$J$5+[50]FormattedData!L17^2*$J$6+$M$5*$J$7</f>
        <v>-0.68798505876453842</v>
      </c>
      <c r="T56" s="39">
        <f>$J$3+[50]FormattedData!M17*$J$4+$M$4*$J$5+[50]FormattedData!M17^2*$J$6+$M$5*$J$7</f>
        <v>-0.68798505876453842</v>
      </c>
      <c r="U56" s="39">
        <f>$J$3+[50]FormattedData!N17*$J$4+$M$4*$J$5+[50]FormattedData!N17^2*$J$6+$M$5*$J$7</f>
        <v>-0.68798505876453842</v>
      </c>
      <c r="V56" s="39">
        <f>$J$3+[50]FormattedData!O17*$J$4+$M$4*$J$5+[50]FormattedData!O17^2*$J$6+$M$5*$J$7</f>
        <v>-0.68798505876453842</v>
      </c>
      <c r="W56" s="38">
        <f>AVERAGE(K56:V56)</f>
        <v>-0.68798505876453842</v>
      </c>
      <c r="X56" s="37">
        <f>STDEV(K56:V56)/SQRT(COUNT(K56:V56))</f>
        <v>0</v>
      </c>
      <c r="Y56" s="36">
        <f>MIN(K56:V56)</f>
        <v>-0.68798505876453842</v>
      </c>
      <c r="Z56" s="35">
        <f>QUARTILE(K56:V56,1)</f>
        <v>-0.68798505876453842</v>
      </c>
      <c r="AA56" s="36">
        <f>MEDIAN(K56:V56)</f>
        <v>-0.68798505876453842</v>
      </c>
      <c r="AB56" s="35">
        <f>QUARTILE(K56:V56,3)</f>
        <v>-0.68798505876453842</v>
      </c>
      <c r="AC56" s="35">
        <f>MAX(K56:V56)</f>
        <v>-0.68798505876453842</v>
      </c>
      <c r="AD56" s="35" t="e">
        <f>SKEW(K56:V56)</f>
        <v>#DIV/0!</v>
      </c>
      <c r="AE56" s="35" t="e">
        <f>KURT(K56:V56)</f>
        <v>#DIV/0!</v>
      </c>
    </row>
    <row r="57" spans="2:31" x14ac:dyDescent="0.2">
      <c r="B57" s="34">
        <f>[50]FormattedData!A15</f>
        <v>0</v>
      </c>
      <c r="C57" s="34" t="e">
        <f>VLOOKUP($B57,[50]TrtCodes!$B$11:I58,2)</f>
        <v>#N/A</v>
      </c>
      <c r="D57" s="34" t="e">
        <f>VLOOKUP($B57,[50]TrtCodes!$B$11:J58,3)</f>
        <v>#N/A</v>
      </c>
      <c r="E57" s="34" t="e">
        <f>VLOOKUP($B57,[50]TrtCodes!$B$11:K58,4)</f>
        <v>#N/A</v>
      </c>
      <c r="F57" s="34" t="e">
        <f>VLOOKUP($B57,[50]TrtCodes!$B$11:L58,5)</f>
        <v>#N/A</v>
      </c>
      <c r="G57" s="34" t="e">
        <f>VLOOKUP($B57,[50]TrtCodes!$B$11:M58,6)</f>
        <v>#N/A</v>
      </c>
      <c r="H57" s="34" t="e">
        <f>VLOOKUP($B57,[50]TrtCodes!$B$11:N58,7)</f>
        <v>#N/A</v>
      </c>
      <c r="I57" s="34">
        <f>[50]FormattedData!B15</f>
        <v>0</v>
      </c>
      <c r="J57" s="37">
        <f>[50]FormattedData!C15</f>
        <v>0</v>
      </c>
      <c r="K57" s="39">
        <f>$J$3+[50]FormattedData!D15*$J$4+$M$4*$J$5+[50]FormattedData!D15^2*$J$6+$M$5*$J$7</f>
        <v>-0.68798505876453842</v>
      </c>
      <c r="L57" s="39">
        <f>$J$3+[50]FormattedData!E15*$J$4+$M$4*$J$5+[50]FormattedData!E15^2*$J$6+$M$5*$J$7</f>
        <v>-0.68798505876453842</v>
      </c>
      <c r="M57" s="39">
        <f>$J$3+[50]FormattedData!F15*$J$4+$M$4*$J$5+[50]FormattedData!F15^2*$J$6+$M$5*$J$7</f>
        <v>-0.68798505876453842</v>
      </c>
      <c r="N57" s="39">
        <f>$J$3+[50]FormattedData!G15*$J$4+$M$4*$J$5+[50]FormattedData!G15^2*$J$6+$M$5*$J$7</f>
        <v>-0.68798505876453842</v>
      </c>
      <c r="O57" s="39">
        <f>$J$3+[50]FormattedData!H15*$J$4+$M$4*$J$5+[50]FormattedData!H15^2*$J$6+$M$5*$J$7</f>
        <v>-0.68798505876453842</v>
      </c>
      <c r="P57" s="39">
        <f>$J$3+[50]FormattedData!I15*$J$4+$M$4*$J$5+[50]FormattedData!I15^2*$J$6+$M$5*$J$7</f>
        <v>-0.68798505876453842</v>
      </c>
      <c r="Q57" s="39">
        <f>$J$3+[50]FormattedData!J15*$J$4+$M$4*$J$5+[50]FormattedData!J15^2*$J$6+$M$5*$J$7</f>
        <v>-0.68798505876453842</v>
      </c>
      <c r="R57" s="39">
        <f>$J$3+[50]FormattedData!K15*$J$4+$M$4*$J$5+[50]FormattedData!K15^2*$J$6+$M$5*$J$7</f>
        <v>-0.68798505876453842</v>
      </c>
      <c r="S57" s="39">
        <f>$J$3+[50]FormattedData!L15*$J$4+$M$4*$J$5+[50]FormattedData!L15^2*$J$6+$M$5*$J$7</f>
        <v>-0.68798505876453842</v>
      </c>
      <c r="T57" s="39">
        <f>$J$3+[50]FormattedData!M15*$J$4+$M$4*$J$5+[50]FormattedData!M15^2*$J$6+$M$5*$J$7</f>
        <v>-0.68798505876453842</v>
      </c>
      <c r="U57" s="39">
        <f>$J$3+[50]FormattedData!N15*$J$4+$M$4*$J$5+[50]FormattedData!N15^2*$J$6+$M$5*$J$7</f>
        <v>-0.68798505876453842</v>
      </c>
      <c r="V57" s="39">
        <f>$J$3+[50]FormattedData!O15*$J$4+$M$4*$J$5+[50]FormattedData!O15^2*$J$6+$M$5*$J$7</f>
        <v>-0.68798505876453842</v>
      </c>
      <c r="W57" s="38">
        <f>AVERAGE(K57:V57)</f>
        <v>-0.68798505876453842</v>
      </c>
      <c r="X57" s="37">
        <f>STDEV(K57:V57)/SQRT(COUNT(K57:V57))</f>
        <v>0</v>
      </c>
      <c r="Y57" s="36">
        <f>MIN(K57:V57)</f>
        <v>-0.68798505876453842</v>
      </c>
      <c r="Z57" s="35">
        <f>QUARTILE(K57:V57,1)</f>
        <v>-0.68798505876453842</v>
      </c>
      <c r="AA57" s="36">
        <f>MEDIAN(K57:V57)</f>
        <v>-0.68798505876453842</v>
      </c>
      <c r="AB57" s="35">
        <f>QUARTILE(K57:V57,3)</f>
        <v>-0.68798505876453842</v>
      </c>
      <c r="AC57" s="35">
        <f>MAX(K57:V57)</f>
        <v>-0.68798505876453842</v>
      </c>
      <c r="AD57" s="35" t="e">
        <f>SKEW(K57:V57)</f>
        <v>#DIV/0!</v>
      </c>
      <c r="AE57" s="35" t="e">
        <f>KURT(K57:V57)</f>
        <v>#DIV/0!</v>
      </c>
    </row>
    <row r="58" spans="2:31" x14ac:dyDescent="0.2">
      <c r="B58" s="34">
        <f>[50]FormattedData!A31</f>
        <v>0</v>
      </c>
      <c r="C58" s="34" t="e">
        <f>VLOOKUP($B58,[50]TrtCodes!$B$11:I74,2)</f>
        <v>#N/A</v>
      </c>
      <c r="D58" s="34" t="e">
        <f>VLOOKUP($B58,[50]TrtCodes!$B$11:J74,3)</f>
        <v>#N/A</v>
      </c>
      <c r="E58" s="34" t="e">
        <f>VLOOKUP($B58,[50]TrtCodes!$B$11:K74,4)</f>
        <v>#N/A</v>
      </c>
      <c r="F58" s="34" t="e">
        <f>VLOOKUP($B58,[50]TrtCodes!$B$11:L74,5)</f>
        <v>#N/A</v>
      </c>
      <c r="G58" s="34" t="e">
        <f>VLOOKUP($B58,[50]TrtCodes!$B$11:M74,6)</f>
        <v>#N/A</v>
      </c>
      <c r="H58" s="34" t="e">
        <f>VLOOKUP($B58,[50]TrtCodes!$B$11:N74,7)</f>
        <v>#N/A</v>
      </c>
      <c r="I58" s="34">
        <f>[50]FormattedData!B31</f>
        <v>0</v>
      </c>
      <c r="J58" s="37">
        <f>[50]FormattedData!C31</f>
        <v>0</v>
      </c>
      <c r="K58" s="39">
        <f>$J$3+[50]FormattedData!D31*$J$4+$M$4*$J$5+[50]FormattedData!D31^2*$J$6+$M$5*$J$7</f>
        <v>-0.68798505876453842</v>
      </c>
      <c r="L58" s="39">
        <f>$J$3+[50]FormattedData!E31*$J$4+$M$4*$J$5+[50]FormattedData!E31^2*$J$6+$M$5*$J$7</f>
        <v>-0.68798505876453842</v>
      </c>
      <c r="M58" s="39">
        <f>$J$3+[50]FormattedData!F31*$J$4+$M$4*$J$5+[50]FormattedData!F31^2*$J$6+$M$5*$J$7</f>
        <v>-0.68798505876453842</v>
      </c>
      <c r="N58" s="39">
        <f>$J$3+[50]FormattedData!G31*$J$4+$M$4*$J$5+[50]FormattedData!G31^2*$J$6+$M$5*$J$7</f>
        <v>-0.68798505876453842</v>
      </c>
      <c r="O58" s="39">
        <f>$J$3+[50]FormattedData!H31*$J$4+$M$4*$J$5+[50]FormattedData!H31^2*$J$6+$M$5*$J$7</f>
        <v>-0.68798505876453842</v>
      </c>
      <c r="P58" s="39">
        <f>$J$3+[50]FormattedData!I31*$J$4+$M$4*$J$5+[50]FormattedData!I31^2*$J$6+$M$5*$J$7</f>
        <v>-0.68798505876453842</v>
      </c>
      <c r="Q58" s="39">
        <f>$J$3+[50]FormattedData!J31*$J$4+$M$4*$J$5+[50]FormattedData!J31^2*$J$6+$M$5*$J$7</f>
        <v>-0.68798505876453842</v>
      </c>
      <c r="R58" s="39">
        <f>$J$3+[50]FormattedData!K31*$J$4+$M$4*$J$5+[50]FormattedData!K31^2*$J$6+$M$5*$J$7</f>
        <v>-0.68798505876453842</v>
      </c>
      <c r="S58" s="39">
        <f>$J$3+[50]FormattedData!L31*$J$4+$M$4*$J$5+[50]FormattedData!L31^2*$J$6+$M$5*$J$7</f>
        <v>-0.68798505876453842</v>
      </c>
      <c r="T58" s="39">
        <f>$J$3+[50]FormattedData!M31*$J$4+$M$4*$J$5+[50]FormattedData!M31^2*$J$6+$M$5*$J$7</f>
        <v>-0.68798505876453842</v>
      </c>
      <c r="U58" s="39">
        <f>$J$3+[50]FormattedData!N31*$J$4+$M$4*$J$5+[50]FormattedData!N31^2*$J$6+$M$5*$J$7</f>
        <v>-0.68798505876453842</v>
      </c>
      <c r="V58" s="39">
        <f>$J$3+[50]FormattedData!O31*$J$4+$M$4*$J$5+[50]FormattedData!O31^2*$J$6+$M$5*$J$7</f>
        <v>-0.68798505876453842</v>
      </c>
      <c r="W58" s="38">
        <f>AVERAGE(K58:V58)</f>
        <v>-0.68798505876453842</v>
      </c>
      <c r="X58" s="37">
        <f>STDEV(K58:V58)/SQRT(COUNT(K58:V58))</f>
        <v>0</v>
      </c>
      <c r="Y58" s="36">
        <f>MIN(K58:V58)</f>
        <v>-0.68798505876453842</v>
      </c>
      <c r="Z58" s="35">
        <f>QUARTILE(K58:V58,1)</f>
        <v>-0.68798505876453842</v>
      </c>
      <c r="AA58" s="36">
        <f>MEDIAN(K58:V58)</f>
        <v>-0.68798505876453842</v>
      </c>
      <c r="AB58" s="35">
        <f>QUARTILE(K58:V58,3)</f>
        <v>-0.68798505876453842</v>
      </c>
      <c r="AC58" s="35">
        <f>MAX(K58:V58)</f>
        <v>-0.68798505876453842</v>
      </c>
      <c r="AD58" s="35" t="e">
        <f>SKEW(K58:V58)</f>
        <v>#DIV/0!</v>
      </c>
      <c r="AE58" s="35" t="e">
        <f>KURT(K58:V58)</f>
        <v>#DIV/0!</v>
      </c>
    </row>
    <row r="59" spans="2:31" x14ac:dyDescent="0.2">
      <c r="B59" s="34">
        <f>[50]FormattedData!A33</f>
        <v>0</v>
      </c>
      <c r="C59" s="34" t="e">
        <f>VLOOKUP($B59,[50]TrtCodes!$B$11:I76,2)</f>
        <v>#N/A</v>
      </c>
      <c r="D59" s="34" t="e">
        <f>VLOOKUP($B59,[50]TrtCodes!$B$11:J76,3)</f>
        <v>#N/A</v>
      </c>
      <c r="E59" s="34" t="e">
        <f>VLOOKUP($B59,[50]TrtCodes!$B$11:K76,4)</f>
        <v>#N/A</v>
      </c>
      <c r="F59" s="34" t="e">
        <f>VLOOKUP($B59,[50]TrtCodes!$B$11:L76,5)</f>
        <v>#N/A</v>
      </c>
      <c r="G59" s="34" t="e">
        <f>VLOOKUP($B59,[50]TrtCodes!$B$11:M76,6)</f>
        <v>#N/A</v>
      </c>
      <c r="H59" s="34" t="e">
        <f>VLOOKUP($B59,[50]TrtCodes!$B$11:N76,7)</f>
        <v>#N/A</v>
      </c>
      <c r="I59" s="34">
        <f>[50]FormattedData!B33</f>
        <v>0</v>
      </c>
      <c r="J59" s="37">
        <f>[50]FormattedData!C33</f>
        <v>0</v>
      </c>
      <c r="K59" s="39">
        <f>$J$3+[50]FormattedData!D33*$J$4+$M$4*$J$5+[50]FormattedData!D33^2*$J$6+$M$5*$J$7</f>
        <v>-0.68798505876453842</v>
      </c>
      <c r="L59" s="39">
        <f>$J$3+[50]FormattedData!E33*$J$4+$M$4*$J$5+[50]FormattedData!E33^2*$J$6+$M$5*$J$7</f>
        <v>-0.68798505876453842</v>
      </c>
      <c r="M59" s="39">
        <f>$J$3+[50]FormattedData!F33*$J$4+$M$4*$J$5+[50]FormattedData!F33^2*$J$6+$M$5*$J$7</f>
        <v>-0.68798505876453842</v>
      </c>
      <c r="N59" s="39">
        <f>$J$3+[50]FormattedData!G33*$J$4+$M$4*$J$5+[50]FormattedData!G33^2*$J$6+$M$5*$J$7</f>
        <v>-0.68798505876453842</v>
      </c>
      <c r="O59" s="39">
        <f>$J$3+[50]FormattedData!H33*$J$4+$M$4*$J$5+[50]FormattedData!H33^2*$J$6+$M$5*$J$7</f>
        <v>-0.68798505876453842</v>
      </c>
      <c r="P59" s="39">
        <f>$J$3+[50]FormattedData!I33*$J$4+$M$4*$J$5+[50]FormattedData!I33^2*$J$6+$M$5*$J$7</f>
        <v>-0.68798505876453842</v>
      </c>
      <c r="Q59" s="39">
        <f>$J$3+[50]FormattedData!J33*$J$4+$M$4*$J$5+[50]FormattedData!J33^2*$J$6+$M$5*$J$7</f>
        <v>-0.68798505876453842</v>
      </c>
      <c r="R59" s="39">
        <f>$J$3+[50]FormattedData!K33*$J$4+$M$4*$J$5+[50]FormattedData!K33^2*$J$6+$M$5*$J$7</f>
        <v>-0.68798505876453842</v>
      </c>
      <c r="S59" s="39">
        <f>$J$3+[50]FormattedData!L33*$J$4+$M$4*$J$5+[50]FormattedData!L33^2*$J$6+$M$5*$J$7</f>
        <v>-0.68798505876453842</v>
      </c>
      <c r="T59" s="39">
        <f>$J$3+[50]FormattedData!M33*$J$4+$M$4*$J$5+[50]FormattedData!M33^2*$J$6+$M$5*$J$7</f>
        <v>-0.68798505876453842</v>
      </c>
      <c r="U59" s="39">
        <f>$J$3+[50]FormattedData!N33*$J$4+$M$4*$J$5+[50]FormattedData!N33^2*$J$6+$M$5*$J$7</f>
        <v>-0.68798505876453842</v>
      </c>
      <c r="V59" s="39">
        <f>$J$3+[50]FormattedData!O33*$J$4+$M$4*$J$5+[50]FormattedData!O33^2*$J$6+$M$5*$J$7</f>
        <v>-0.68798505876453842</v>
      </c>
      <c r="W59" s="38">
        <f>AVERAGE(K59:V59)</f>
        <v>-0.68798505876453842</v>
      </c>
      <c r="X59" s="37">
        <f>STDEV(K59:V59)/SQRT(COUNT(K59:V59))</f>
        <v>0</v>
      </c>
      <c r="Y59" s="36">
        <f>MIN(K59:V59)</f>
        <v>-0.68798505876453842</v>
      </c>
      <c r="Z59" s="35">
        <f>QUARTILE(K59:V59,1)</f>
        <v>-0.68798505876453842</v>
      </c>
      <c r="AA59" s="36">
        <f>MEDIAN(K59:V59)</f>
        <v>-0.68798505876453842</v>
      </c>
      <c r="AB59" s="35">
        <f>QUARTILE(K59:V59,3)</f>
        <v>-0.68798505876453842</v>
      </c>
      <c r="AC59" s="35">
        <f>MAX(K59:V59)</f>
        <v>-0.68798505876453842</v>
      </c>
      <c r="AD59" s="35" t="e">
        <f>SKEW(K59:V59)</f>
        <v>#DIV/0!</v>
      </c>
      <c r="AE59" s="35" t="e">
        <f>KURT(K59:V59)</f>
        <v>#DIV/0!</v>
      </c>
    </row>
    <row r="60" spans="2:31" x14ac:dyDescent="0.2">
      <c r="B60" s="34">
        <f>[50]FormattedData!A35</f>
        <v>0</v>
      </c>
      <c r="C60" s="34" t="e">
        <f>VLOOKUP($B60,[50]TrtCodes!$B$11:I78,2)</f>
        <v>#N/A</v>
      </c>
      <c r="D60" s="34" t="e">
        <f>VLOOKUP($B60,[50]TrtCodes!$B$11:J78,3)</f>
        <v>#N/A</v>
      </c>
      <c r="E60" s="34" t="e">
        <f>VLOOKUP($B60,[50]TrtCodes!$B$11:K78,4)</f>
        <v>#N/A</v>
      </c>
      <c r="F60" s="34" t="e">
        <f>VLOOKUP($B60,[50]TrtCodes!$B$11:L78,5)</f>
        <v>#N/A</v>
      </c>
      <c r="G60" s="34" t="e">
        <f>VLOOKUP($B60,[50]TrtCodes!$B$11:M78,6)</f>
        <v>#N/A</v>
      </c>
      <c r="H60" s="34" t="e">
        <f>VLOOKUP($B60,[50]TrtCodes!$B$11:N78,7)</f>
        <v>#N/A</v>
      </c>
      <c r="I60" s="34">
        <f>[50]FormattedData!B35</f>
        <v>0</v>
      </c>
      <c r="J60" s="37">
        <f>[50]FormattedData!C35</f>
        <v>0</v>
      </c>
      <c r="K60" s="39">
        <f>$J$3+[50]FormattedData!D35*$J$4+$M$4*$J$5+[50]FormattedData!D35^2*$J$6+$M$5*$J$7</f>
        <v>-0.68798505876453842</v>
      </c>
      <c r="L60" s="39">
        <f>$J$3+[50]FormattedData!E35*$J$4+$M$4*$J$5+[50]FormattedData!E35^2*$J$6+$M$5*$J$7</f>
        <v>-0.68798505876453842</v>
      </c>
      <c r="M60" s="39">
        <f>$J$3+[50]FormattedData!F35*$J$4+$M$4*$J$5+[50]FormattedData!F35^2*$J$6+$M$5*$J$7</f>
        <v>-0.68798505876453842</v>
      </c>
      <c r="N60" s="39">
        <f>$J$3+[50]FormattedData!G35*$J$4+$M$4*$J$5+[50]FormattedData!G35^2*$J$6+$M$5*$J$7</f>
        <v>-0.68798505876453842</v>
      </c>
      <c r="O60" s="39">
        <f>$J$3+[50]FormattedData!H35*$J$4+$M$4*$J$5+[50]FormattedData!H35^2*$J$6+$M$5*$J$7</f>
        <v>-0.68798505876453842</v>
      </c>
      <c r="P60" s="39">
        <f>$J$3+[50]FormattedData!I35*$J$4+$M$4*$J$5+[50]FormattedData!I35^2*$J$6+$M$5*$J$7</f>
        <v>-0.68798505876453842</v>
      </c>
      <c r="Q60" s="39">
        <f>$J$3+[50]FormattedData!J35*$J$4+$M$4*$J$5+[50]FormattedData!J35^2*$J$6+$M$5*$J$7</f>
        <v>-0.68798505876453842</v>
      </c>
      <c r="R60" s="39">
        <f>$J$3+[50]FormattedData!K35*$J$4+$M$4*$J$5+[50]FormattedData!K35^2*$J$6+$M$5*$J$7</f>
        <v>-0.68798505876453842</v>
      </c>
      <c r="S60" s="39">
        <f>$J$3+[50]FormattedData!L35*$J$4+$M$4*$J$5+[50]FormattedData!L35^2*$J$6+$M$5*$J$7</f>
        <v>-0.68798505876453842</v>
      </c>
      <c r="T60" s="39">
        <f>$J$3+[50]FormattedData!M35*$J$4+$M$4*$J$5+[50]FormattedData!M35^2*$J$6+$M$5*$J$7</f>
        <v>-0.68798505876453842</v>
      </c>
      <c r="U60" s="39">
        <f>$J$3+[50]FormattedData!N35*$J$4+$M$4*$J$5+[50]FormattedData!N35^2*$J$6+$M$5*$J$7</f>
        <v>-0.68798505876453842</v>
      </c>
      <c r="V60" s="39">
        <f>$J$3+[50]FormattedData!O35*$J$4+$M$4*$J$5+[50]FormattedData!O35^2*$J$6+$M$5*$J$7</f>
        <v>-0.68798505876453842</v>
      </c>
      <c r="W60" s="38">
        <f>AVERAGE(K60:V60)</f>
        <v>-0.68798505876453842</v>
      </c>
      <c r="X60" s="37">
        <f>STDEV(K60:V60)/SQRT(COUNT(K60:V60))</f>
        <v>0</v>
      </c>
      <c r="Y60" s="36">
        <f>MIN(K60:V60)</f>
        <v>-0.68798505876453842</v>
      </c>
      <c r="Z60" s="35">
        <f>QUARTILE(K60:V60,1)</f>
        <v>-0.68798505876453842</v>
      </c>
      <c r="AA60" s="36">
        <f>MEDIAN(K60:V60)</f>
        <v>-0.68798505876453842</v>
      </c>
      <c r="AB60" s="35">
        <f>QUARTILE(K60:V60,3)</f>
        <v>-0.68798505876453842</v>
      </c>
      <c r="AC60" s="35">
        <f>MAX(K60:V60)</f>
        <v>-0.68798505876453842</v>
      </c>
      <c r="AD60" s="35" t="e">
        <f>SKEW(K60:V60)</f>
        <v>#DIV/0!</v>
      </c>
      <c r="AE60" s="35" t="e">
        <f>KURT(K60:V60)</f>
        <v>#DIV/0!</v>
      </c>
    </row>
    <row r="61" spans="2:31" x14ac:dyDescent="0.2">
      <c r="B61" s="34">
        <f>[50]FormattedData!A37</f>
        <v>0</v>
      </c>
      <c r="C61" s="34" t="e">
        <f>VLOOKUP($B61,[50]TrtCodes!$B$11:I80,2)</f>
        <v>#N/A</v>
      </c>
      <c r="D61" s="34" t="e">
        <f>VLOOKUP($B61,[50]TrtCodes!$B$11:J80,3)</f>
        <v>#N/A</v>
      </c>
      <c r="E61" s="34" t="e">
        <f>VLOOKUP($B61,[50]TrtCodes!$B$11:K80,4)</f>
        <v>#N/A</v>
      </c>
      <c r="F61" s="34" t="e">
        <f>VLOOKUP($B61,[50]TrtCodes!$B$11:L80,5)</f>
        <v>#N/A</v>
      </c>
      <c r="G61" s="34" t="e">
        <f>VLOOKUP($B61,[50]TrtCodes!$B$11:M80,6)</f>
        <v>#N/A</v>
      </c>
      <c r="H61" s="34" t="e">
        <f>VLOOKUP($B61,[50]TrtCodes!$B$11:N80,7)</f>
        <v>#N/A</v>
      </c>
      <c r="I61" s="34">
        <f>[50]FormattedData!B37</f>
        <v>0</v>
      </c>
      <c r="J61" s="37">
        <f>[50]FormattedData!C37</f>
        <v>0</v>
      </c>
      <c r="K61" s="39">
        <f>$J$3+[50]FormattedData!D37*$J$4+$M$4*$J$5+[50]FormattedData!D37^2*$J$6+$M$5*$J$7</f>
        <v>-0.68798505876453842</v>
      </c>
      <c r="L61" s="39">
        <f>$J$3+[50]FormattedData!E37*$J$4+$M$4*$J$5+[50]FormattedData!E37^2*$J$6+$M$5*$J$7</f>
        <v>-0.68798505876453842</v>
      </c>
      <c r="M61" s="39">
        <f>$J$3+[50]FormattedData!F37*$J$4+$M$4*$J$5+[50]FormattedData!F37^2*$J$6+$M$5*$J$7</f>
        <v>-0.68798505876453842</v>
      </c>
      <c r="N61" s="39">
        <f>$J$3+[50]FormattedData!G37*$J$4+$M$4*$J$5+[50]FormattedData!G37^2*$J$6+$M$5*$J$7</f>
        <v>-0.68798505876453842</v>
      </c>
      <c r="O61" s="39">
        <f>$J$3+[50]FormattedData!H37*$J$4+$M$4*$J$5+[50]FormattedData!H37^2*$J$6+$M$5*$J$7</f>
        <v>-0.68798505876453842</v>
      </c>
      <c r="P61" s="39">
        <f>$J$3+[50]FormattedData!I37*$J$4+$M$4*$J$5+[50]FormattedData!I37^2*$J$6+$M$5*$J$7</f>
        <v>-0.68798505876453842</v>
      </c>
      <c r="Q61" s="39">
        <f>$J$3+[50]FormattedData!J37*$J$4+$M$4*$J$5+[50]FormattedData!J37^2*$J$6+$M$5*$J$7</f>
        <v>-0.68798505876453842</v>
      </c>
      <c r="R61" s="39">
        <f>$J$3+[50]FormattedData!K37*$J$4+$M$4*$J$5+[50]FormattedData!K37^2*$J$6+$M$5*$J$7</f>
        <v>-0.68798505876453842</v>
      </c>
      <c r="S61" s="39">
        <f>$J$3+[50]FormattedData!L37*$J$4+$M$4*$J$5+[50]FormattedData!L37^2*$J$6+$M$5*$J$7</f>
        <v>-0.68798505876453842</v>
      </c>
      <c r="T61" s="39">
        <f>$J$3+[50]FormattedData!M37*$J$4+$M$4*$J$5+[50]FormattedData!M37^2*$J$6+$M$5*$J$7</f>
        <v>-0.68798505876453842</v>
      </c>
      <c r="U61" s="39">
        <f>$J$3+[50]FormattedData!N37*$J$4+$M$4*$J$5+[50]FormattedData!N37^2*$J$6+$M$5*$J$7</f>
        <v>-0.68798505876453842</v>
      </c>
      <c r="V61" s="39">
        <f>$J$3+[50]FormattedData!O37*$J$4+$M$4*$J$5+[50]FormattedData!O37^2*$J$6+$M$5*$J$7</f>
        <v>-0.68798505876453842</v>
      </c>
      <c r="W61" s="38">
        <f>AVERAGE(K61:V61)</f>
        <v>-0.68798505876453842</v>
      </c>
      <c r="X61" s="37">
        <f>STDEV(K61:V61)/SQRT(COUNT(K61:V61))</f>
        <v>0</v>
      </c>
      <c r="Y61" s="36">
        <f>MIN(K61:V61)</f>
        <v>-0.68798505876453842</v>
      </c>
      <c r="Z61" s="35">
        <f>QUARTILE(K61:V61,1)</f>
        <v>-0.68798505876453842</v>
      </c>
      <c r="AA61" s="36">
        <f>MEDIAN(K61:V61)</f>
        <v>-0.68798505876453842</v>
      </c>
      <c r="AB61" s="35">
        <f>QUARTILE(K61:V61,3)</f>
        <v>-0.68798505876453842</v>
      </c>
      <c r="AC61" s="35">
        <f>MAX(K61:V61)</f>
        <v>-0.68798505876453842</v>
      </c>
      <c r="AD61" s="35" t="e">
        <f>SKEW(K61:V61)</f>
        <v>#DIV/0!</v>
      </c>
      <c r="AE61" s="35" t="e">
        <f>KURT(K61:V61)</f>
        <v>#DIV/0!</v>
      </c>
    </row>
    <row r="62" spans="2:31" x14ac:dyDescent="0.2">
      <c r="B62" s="34">
        <f>[50]FormattedData!A39</f>
        <v>0</v>
      </c>
      <c r="C62" s="34" t="e">
        <f>VLOOKUP($B62,[50]TrtCodes!$B$11:I82,2)</f>
        <v>#N/A</v>
      </c>
      <c r="D62" s="34" t="e">
        <f>VLOOKUP($B62,[50]TrtCodes!$B$11:J82,3)</f>
        <v>#N/A</v>
      </c>
      <c r="E62" s="34" t="e">
        <f>VLOOKUP($B62,[50]TrtCodes!$B$11:K82,4)</f>
        <v>#N/A</v>
      </c>
      <c r="F62" s="34" t="e">
        <f>VLOOKUP($B62,[50]TrtCodes!$B$11:L82,5)</f>
        <v>#N/A</v>
      </c>
      <c r="G62" s="34" t="e">
        <f>VLOOKUP($B62,[50]TrtCodes!$B$11:M82,6)</f>
        <v>#N/A</v>
      </c>
      <c r="H62" s="34" t="e">
        <f>VLOOKUP($B62,[50]TrtCodes!$B$11:N82,7)</f>
        <v>#N/A</v>
      </c>
      <c r="I62" s="34">
        <f>[50]FormattedData!B39</f>
        <v>0</v>
      </c>
      <c r="J62" s="37">
        <f>[50]FormattedData!C39</f>
        <v>0</v>
      </c>
      <c r="K62" s="39">
        <f>$J$3+[50]FormattedData!D39*$J$4+$M$4*$J$5+[50]FormattedData!D39^2*$J$6+$M$5*$J$7</f>
        <v>-0.68798505876453842</v>
      </c>
      <c r="L62" s="39">
        <f>$J$3+[50]FormattedData!E39*$J$4+$M$4*$J$5+[50]FormattedData!E39^2*$J$6+$M$5*$J$7</f>
        <v>-0.68798505876453842</v>
      </c>
      <c r="M62" s="39">
        <f>$J$3+[50]FormattedData!F39*$J$4+$M$4*$J$5+[50]FormattedData!F39^2*$J$6+$M$5*$J$7</f>
        <v>-0.68798505876453842</v>
      </c>
      <c r="N62" s="39">
        <f>$J$3+[50]FormattedData!G39*$J$4+$M$4*$J$5+[50]FormattedData!G39^2*$J$6+$M$5*$J$7</f>
        <v>-0.68798505876453842</v>
      </c>
      <c r="O62" s="39">
        <f>$J$3+[50]FormattedData!H39*$J$4+$M$4*$J$5+[50]FormattedData!H39^2*$J$6+$M$5*$J$7</f>
        <v>-0.68798505876453842</v>
      </c>
      <c r="P62" s="39">
        <f>$J$3+[50]FormattedData!I39*$J$4+$M$4*$J$5+[50]FormattedData!I39^2*$J$6+$M$5*$J$7</f>
        <v>-0.68798505876453842</v>
      </c>
      <c r="Q62" s="39">
        <f>$J$3+[50]FormattedData!J39*$J$4+$M$4*$J$5+[50]FormattedData!J39^2*$J$6+$M$5*$J$7</f>
        <v>-0.68798505876453842</v>
      </c>
      <c r="R62" s="39">
        <f>$J$3+[50]FormattedData!K39*$J$4+$M$4*$J$5+[50]FormattedData!K39^2*$J$6+$M$5*$J$7</f>
        <v>-0.68798505876453842</v>
      </c>
      <c r="S62" s="39">
        <f>$J$3+[50]FormattedData!L39*$J$4+$M$4*$J$5+[50]FormattedData!L39^2*$J$6+$M$5*$J$7</f>
        <v>-0.68798505876453842</v>
      </c>
      <c r="T62" s="39">
        <f>$J$3+[50]FormattedData!M39*$J$4+$M$4*$J$5+[50]FormattedData!M39^2*$J$6+$M$5*$J$7</f>
        <v>-0.68798505876453842</v>
      </c>
      <c r="U62" s="39">
        <f>$J$3+[50]FormattedData!N39*$J$4+$M$4*$J$5+[50]FormattedData!N39^2*$J$6+$M$5*$J$7</f>
        <v>-0.68798505876453842</v>
      </c>
      <c r="V62" s="39">
        <f>$J$3+[50]FormattedData!O39*$J$4+$M$4*$J$5+[50]FormattedData!O39^2*$J$6+$M$5*$J$7</f>
        <v>-0.68798505876453842</v>
      </c>
      <c r="W62" s="38">
        <f>AVERAGE(K62:V62)</f>
        <v>-0.68798505876453842</v>
      </c>
      <c r="X62" s="37">
        <f>STDEV(K62:V62)/SQRT(COUNT(K62:V62))</f>
        <v>0</v>
      </c>
      <c r="Y62" s="36">
        <f>MIN(K62:V62)</f>
        <v>-0.68798505876453842</v>
      </c>
      <c r="Z62" s="35">
        <f>QUARTILE(K62:V62,1)</f>
        <v>-0.68798505876453842</v>
      </c>
      <c r="AA62" s="36">
        <f>MEDIAN(K62:V62)</f>
        <v>-0.68798505876453842</v>
      </c>
      <c r="AB62" s="35">
        <f>QUARTILE(K62:V62,3)</f>
        <v>-0.68798505876453842</v>
      </c>
      <c r="AC62" s="35">
        <f>MAX(K62:V62)</f>
        <v>-0.68798505876453842</v>
      </c>
      <c r="AD62" s="35" t="e">
        <f>SKEW(K62:V62)</f>
        <v>#DIV/0!</v>
      </c>
      <c r="AE62" s="35" t="e">
        <f>KURT(K62:V62)</f>
        <v>#DIV/0!</v>
      </c>
    </row>
    <row r="63" spans="2:31" x14ac:dyDescent="0.2">
      <c r="B63" s="34">
        <f>[50]FormattedData!A41</f>
        <v>0</v>
      </c>
      <c r="C63" s="34" t="e">
        <f>VLOOKUP($B63,[50]TrtCodes!$B$11:I84,2)</f>
        <v>#N/A</v>
      </c>
      <c r="D63" s="34" t="e">
        <f>VLOOKUP($B63,[50]TrtCodes!$B$11:J84,3)</f>
        <v>#N/A</v>
      </c>
      <c r="E63" s="34" t="e">
        <f>VLOOKUP($B63,[50]TrtCodes!$B$11:K84,4)</f>
        <v>#N/A</v>
      </c>
      <c r="F63" s="34" t="e">
        <f>VLOOKUP($B63,[50]TrtCodes!$B$11:L84,5)</f>
        <v>#N/A</v>
      </c>
      <c r="G63" s="34" t="e">
        <f>VLOOKUP($B63,[50]TrtCodes!$B$11:M84,6)</f>
        <v>#N/A</v>
      </c>
      <c r="H63" s="34" t="e">
        <f>VLOOKUP($B63,[50]TrtCodes!$B$11:N84,7)</f>
        <v>#N/A</v>
      </c>
      <c r="I63" s="34">
        <f>[50]FormattedData!B41</f>
        <v>0</v>
      </c>
      <c r="J63" s="37">
        <f>[50]FormattedData!C41</f>
        <v>0</v>
      </c>
      <c r="K63" s="39">
        <f>$J$3+[50]FormattedData!D41*$J$4+$M$4*$J$5+[50]FormattedData!D41^2*$J$6+$M$5*$J$7</f>
        <v>-0.68798505876453842</v>
      </c>
      <c r="L63" s="39">
        <f>$J$3+[50]FormattedData!E41*$J$4+$M$4*$J$5+[50]FormattedData!E41^2*$J$6+$M$5*$J$7</f>
        <v>-0.68798505876453842</v>
      </c>
      <c r="M63" s="39">
        <f>$J$3+[50]FormattedData!F41*$J$4+$M$4*$J$5+[50]FormattedData!F41^2*$J$6+$M$5*$J$7</f>
        <v>-0.68798505876453842</v>
      </c>
      <c r="N63" s="39">
        <f>$J$3+[50]FormattedData!G41*$J$4+$M$4*$J$5+[50]FormattedData!G41^2*$J$6+$M$5*$J$7</f>
        <v>-0.68798505876453842</v>
      </c>
      <c r="O63" s="39">
        <f>$J$3+[50]FormattedData!H41*$J$4+$M$4*$J$5+[50]FormattedData!H41^2*$J$6+$M$5*$J$7</f>
        <v>-0.68798505876453842</v>
      </c>
      <c r="P63" s="39">
        <f>$J$3+[50]FormattedData!I41*$J$4+$M$4*$J$5+[50]FormattedData!I41^2*$J$6+$M$5*$J$7</f>
        <v>-0.68798505876453842</v>
      </c>
      <c r="Q63" s="39">
        <f>$J$3+[50]FormattedData!J41*$J$4+$M$4*$J$5+[50]FormattedData!J41^2*$J$6+$M$5*$J$7</f>
        <v>-0.68798505876453842</v>
      </c>
      <c r="R63" s="39">
        <f>$J$3+[50]FormattedData!K41*$J$4+$M$4*$J$5+[50]FormattedData!K41^2*$J$6+$M$5*$J$7</f>
        <v>-0.68798505876453842</v>
      </c>
      <c r="S63" s="39">
        <f>$J$3+[50]FormattedData!L41*$J$4+$M$4*$J$5+[50]FormattedData!L41^2*$J$6+$M$5*$J$7</f>
        <v>-0.68798505876453842</v>
      </c>
      <c r="T63" s="39">
        <f>$J$3+[50]FormattedData!M41*$J$4+$M$4*$J$5+[50]FormattedData!M41^2*$J$6+$M$5*$J$7</f>
        <v>-0.68798505876453842</v>
      </c>
      <c r="U63" s="39">
        <f>$J$3+[50]FormattedData!N41*$J$4+$M$4*$J$5+[50]FormattedData!N41^2*$J$6+$M$5*$J$7</f>
        <v>-0.68798505876453842</v>
      </c>
      <c r="V63" s="39">
        <f>$J$3+[50]FormattedData!O41*$J$4+$M$4*$J$5+[50]FormattedData!O41^2*$J$6+$M$5*$J$7</f>
        <v>-0.68798505876453842</v>
      </c>
      <c r="W63" s="38">
        <f>AVERAGE(K63:V63)</f>
        <v>-0.68798505876453842</v>
      </c>
      <c r="X63" s="37">
        <f>STDEV(K63:V63)/SQRT(COUNT(K63:V63))</f>
        <v>0</v>
      </c>
      <c r="Y63" s="36">
        <f>MIN(K63:V63)</f>
        <v>-0.68798505876453842</v>
      </c>
      <c r="Z63" s="35">
        <f>QUARTILE(K63:V63,1)</f>
        <v>-0.68798505876453842</v>
      </c>
      <c r="AA63" s="36">
        <f>MEDIAN(K63:V63)</f>
        <v>-0.68798505876453842</v>
      </c>
      <c r="AB63" s="35">
        <f>QUARTILE(K63:V63,3)</f>
        <v>-0.68798505876453842</v>
      </c>
      <c r="AC63" s="35">
        <f>MAX(K63:V63)</f>
        <v>-0.68798505876453842</v>
      </c>
      <c r="AD63" s="35" t="e">
        <f>SKEW(K63:V63)</f>
        <v>#DIV/0!</v>
      </c>
      <c r="AE63" s="35" t="e">
        <f>KURT(K63:V63)</f>
        <v>#DIV/0!</v>
      </c>
    </row>
    <row r="64" spans="2:31" x14ac:dyDescent="0.2">
      <c r="B64" s="34">
        <f>[50]FormattedData!A43</f>
        <v>0</v>
      </c>
      <c r="C64" s="34" t="e">
        <f>VLOOKUP($B64,[50]TrtCodes!$B$11:I86,2)</f>
        <v>#N/A</v>
      </c>
      <c r="D64" s="34" t="e">
        <f>VLOOKUP($B64,[50]TrtCodes!$B$11:J86,3)</f>
        <v>#N/A</v>
      </c>
      <c r="E64" s="34" t="e">
        <f>VLOOKUP($B64,[50]TrtCodes!$B$11:K86,4)</f>
        <v>#N/A</v>
      </c>
      <c r="F64" s="34" t="e">
        <f>VLOOKUP($B64,[50]TrtCodes!$B$11:L86,5)</f>
        <v>#N/A</v>
      </c>
      <c r="G64" s="34" t="e">
        <f>VLOOKUP($B64,[50]TrtCodes!$B$11:M86,6)</f>
        <v>#N/A</v>
      </c>
      <c r="H64" s="34" t="e">
        <f>VLOOKUP($B64,[50]TrtCodes!$B$11:N86,7)</f>
        <v>#N/A</v>
      </c>
      <c r="I64" s="34">
        <f>[50]FormattedData!B43</f>
        <v>0</v>
      </c>
      <c r="J64" s="37">
        <f>[50]FormattedData!C43</f>
        <v>0</v>
      </c>
      <c r="K64" s="39">
        <f>$J$3+[50]FormattedData!D43*$J$4+$M$4*$J$5+[50]FormattedData!D43^2*$J$6+$M$5*$J$7</f>
        <v>-0.68798505876453842</v>
      </c>
      <c r="L64" s="39">
        <f>$J$3+[50]FormattedData!E43*$J$4+$M$4*$J$5+[50]FormattedData!E43^2*$J$6+$M$5*$J$7</f>
        <v>-0.68798505876453842</v>
      </c>
      <c r="M64" s="39">
        <f>$J$3+[50]FormattedData!F43*$J$4+$M$4*$J$5+[50]FormattedData!F43^2*$J$6+$M$5*$J$7</f>
        <v>-0.68798505876453842</v>
      </c>
      <c r="N64" s="39">
        <f>$J$3+[50]FormattedData!G43*$J$4+$M$4*$J$5+[50]FormattedData!G43^2*$J$6+$M$5*$J$7</f>
        <v>-0.68798505876453842</v>
      </c>
      <c r="O64" s="39">
        <f>$J$3+[50]FormattedData!H43*$J$4+$M$4*$J$5+[50]FormattedData!H43^2*$J$6+$M$5*$J$7</f>
        <v>-0.68798505876453842</v>
      </c>
      <c r="P64" s="39">
        <f>$J$3+[50]FormattedData!I43*$J$4+$M$4*$J$5+[50]FormattedData!I43^2*$J$6+$M$5*$J$7</f>
        <v>-0.68798505876453842</v>
      </c>
      <c r="Q64" s="39">
        <f>$J$3+[50]FormattedData!J43*$J$4+$M$4*$J$5+[50]FormattedData!J43^2*$J$6+$M$5*$J$7</f>
        <v>-0.68798505876453842</v>
      </c>
      <c r="R64" s="39">
        <f>$J$3+[50]FormattedData!K43*$J$4+$M$4*$J$5+[50]FormattedData!K43^2*$J$6+$M$5*$J$7</f>
        <v>-0.68798505876453842</v>
      </c>
      <c r="S64" s="39">
        <f>$J$3+[50]FormattedData!L43*$J$4+$M$4*$J$5+[50]FormattedData!L43^2*$J$6+$M$5*$J$7</f>
        <v>-0.68798505876453842</v>
      </c>
      <c r="T64" s="39">
        <f>$J$3+[50]FormattedData!M43*$J$4+$M$4*$J$5+[50]FormattedData!M43^2*$J$6+$M$5*$J$7</f>
        <v>-0.68798505876453842</v>
      </c>
      <c r="U64" s="39">
        <f>$J$3+[50]FormattedData!N43*$J$4+$M$4*$J$5+[50]FormattedData!N43^2*$J$6+$M$5*$J$7</f>
        <v>-0.68798505876453842</v>
      </c>
      <c r="V64" s="39">
        <f>$J$3+[50]FormattedData!O43*$J$4+$M$4*$J$5+[50]FormattedData!O43^2*$J$6+$M$5*$J$7</f>
        <v>-0.68798505876453842</v>
      </c>
      <c r="W64" s="38">
        <f>AVERAGE(K64:V64)</f>
        <v>-0.68798505876453842</v>
      </c>
      <c r="X64" s="37">
        <f>STDEV(K64:V64)/SQRT(COUNT(K64:V64))</f>
        <v>0</v>
      </c>
      <c r="Y64" s="36">
        <f>MIN(K64:V64)</f>
        <v>-0.68798505876453842</v>
      </c>
      <c r="Z64" s="35">
        <f>QUARTILE(K64:V64,1)</f>
        <v>-0.68798505876453842</v>
      </c>
      <c r="AA64" s="36">
        <f>MEDIAN(K64:V64)</f>
        <v>-0.68798505876453842</v>
      </c>
      <c r="AB64" s="35">
        <f>QUARTILE(K64:V64,3)</f>
        <v>-0.68798505876453842</v>
      </c>
      <c r="AC64" s="35">
        <f>MAX(K64:V64)</f>
        <v>-0.68798505876453842</v>
      </c>
      <c r="AD64" s="35" t="e">
        <f>SKEW(K64:V64)</f>
        <v>#DIV/0!</v>
      </c>
      <c r="AE64" s="35" t="e">
        <f>KURT(K64:V64)</f>
        <v>#DIV/0!</v>
      </c>
    </row>
    <row r="65" spans="2:31" x14ac:dyDescent="0.2">
      <c r="B65" s="34">
        <f>[50]FormattedData!A45</f>
        <v>0</v>
      </c>
      <c r="C65" s="34" t="e">
        <f>VLOOKUP($B65,[50]TrtCodes!$B$11:I88,2)</f>
        <v>#N/A</v>
      </c>
      <c r="D65" s="34" t="e">
        <f>VLOOKUP($B65,[50]TrtCodes!$B$11:J88,3)</f>
        <v>#N/A</v>
      </c>
      <c r="E65" s="34" t="e">
        <f>VLOOKUP($B65,[50]TrtCodes!$B$11:K88,4)</f>
        <v>#N/A</v>
      </c>
      <c r="F65" s="34" t="e">
        <f>VLOOKUP($B65,[50]TrtCodes!$B$11:L88,5)</f>
        <v>#N/A</v>
      </c>
      <c r="G65" s="34" t="e">
        <f>VLOOKUP($B65,[50]TrtCodes!$B$11:M88,6)</f>
        <v>#N/A</v>
      </c>
      <c r="H65" s="34" t="e">
        <f>VLOOKUP($B65,[50]TrtCodes!$B$11:N88,7)</f>
        <v>#N/A</v>
      </c>
      <c r="I65" s="34">
        <f>[50]FormattedData!B45</f>
        <v>0</v>
      </c>
      <c r="J65" s="37">
        <f>[50]FormattedData!C45</f>
        <v>0</v>
      </c>
      <c r="K65" s="39">
        <f>$J$3+[50]FormattedData!D45*$J$4+$M$4*$J$5+[50]FormattedData!D45^2*$J$6+$M$5*$J$7</f>
        <v>-0.68798505876453842</v>
      </c>
      <c r="L65" s="39">
        <f>$J$3+[50]FormattedData!E45*$J$4+$M$4*$J$5+[50]FormattedData!E45^2*$J$6+$M$5*$J$7</f>
        <v>-0.68798505876453842</v>
      </c>
      <c r="M65" s="39">
        <f>$J$3+[50]FormattedData!F45*$J$4+$M$4*$J$5+[50]FormattedData!F45^2*$J$6+$M$5*$J$7</f>
        <v>-0.68798505876453842</v>
      </c>
      <c r="N65" s="39">
        <f>$J$3+[50]FormattedData!G45*$J$4+$M$4*$J$5+[50]FormattedData!G45^2*$J$6+$M$5*$J$7</f>
        <v>-0.68798505876453842</v>
      </c>
      <c r="O65" s="39">
        <f>$J$3+[50]FormattedData!H45*$J$4+$M$4*$J$5+[50]FormattedData!H45^2*$J$6+$M$5*$J$7</f>
        <v>-0.68798505876453842</v>
      </c>
      <c r="P65" s="39">
        <f>$J$3+[50]FormattedData!I45*$J$4+$M$4*$J$5+[50]FormattedData!I45^2*$J$6+$M$5*$J$7</f>
        <v>-0.68798505876453842</v>
      </c>
      <c r="Q65" s="39">
        <f>$J$3+[50]FormattedData!J45*$J$4+$M$4*$J$5+[50]FormattedData!J45^2*$J$6+$M$5*$J$7</f>
        <v>-0.68798505876453842</v>
      </c>
      <c r="R65" s="39">
        <f>$J$3+[50]FormattedData!K45*$J$4+$M$4*$J$5+[50]FormattedData!K45^2*$J$6+$M$5*$J$7</f>
        <v>-0.68798505876453842</v>
      </c>
      <c r="S65" s="39">
        <f>$J$3+[50]FormattedData!L45*$J$4+$M$4*$J$5+[50]FormattedData!L45^2*$J$6+$M$5*$J$7</f>
        <v>-0.68798505876453842</v>
      </c>
      <c r="T65" s="39">
        <f>$J$3+[50]FormattedData!M45*$J$4+$M$4*$J$5+[50]FormattedData!M45^2*$J$6+$M$5*$J$7</f>
        <v>-0.68798505876453842</v>
      </c>
      <c r="U65" s="39">
        <f>$J$3+[50]FormattedData!N45*$J$4+$M$4*$J$5+[50]FormattedData!N45^2*$J$6+$M$5*$J$7</f>
        <v>-0.68798505876453842</v>
      </c>
      <c r="V65" s="39">
        <f>$J$3+[50]FormattedData!O45*$J$4+$M$4*$J$5+[50]FormattedData!O45^2*$J$6+$M$5*$J$7</f>
        <v>-0.68798505876453842</v>
      </c>
      <c r="W65" s="38">
        <f>AVERAGE(K65:V65)</f>
        <v>-0.68798505876453842</v>
      </c>
      <c r="X65" s="37">
        <f>STDEV(K65:V65)/SQRT(COUNT(K65:V65))</f>
        <v>0</v>
      </c>
      <c r="Y65" s="36">
        <f>MIN(K65:V65)</f>
        <v>-0.68798505876453842</v>
      </c>
      <c r="Z65" s="35">
        <f>QUARTILE(K65:V65,1)</f>
        <v>-0.68798505876453842</v>
      </c>
      <c r="AA65" s="36">
        <f>MEDIAN(K65:V65)</f>
        <v>-0.68798505876453842</v>
      </c>
      <c r="AB65" s="35">
        <f>QUARTILE(K65:V65,3)</f>
        <v>-0.68798505876453842</v>
      </c>
      <c r="AC65" s="35">
        <f>MAX(K65:V65)</f>
        <v>-0.68798505876453842</v>
      </c>
      <c r="AD65" s="35" t="e">
        <f>SKEW(K65:V65)</f>
        <v>#DIV/0!</v>
      </c>
      <c r="AE65" s="35" t="e">
        <f>KURT(K65:V65)</f>
        <v>#DIV/0!</v>
      </c>
    </row>
    <row r="66" spans="2:31" x14ac:dyDescent="0.2">
      <c r="B66" s="34">
        <f>[50]FormattedData!A63</f>
        <v>0</v>
      </c>
      <c r="C66" s="34" t="e">
        <f>VLOOKUP($B66,[50]TrtCodes!$B$11:I106,2)</f>
        <v>#N/A</v>
      </c>
      <c r="D66" s="34" t="e">
        <f>VLOOKUP($B66,[50]TrtCodes!$B$11:J106,3)</f>
        <v>#N/A</v>
      </c>
      <c r="E66" s="34" t="e">
        <f>VLOOKUP($B66,[50]TrtCodes!$B$11:K106,4)</f>
        <v>#N/A</v>
      </c>
      <c r="F66" s="34" t="e">
        <f>VLOOKUP($B66,[50]TrtCodes!$B$11:L106,5)</f>
        <v>#N/A</v>
      </c>
      <c r="G66" s="34" t="e">
        <f>VLOOKUP($B66,[50]TrtCodes!$B$11:M106,6)</f>
        <v>#N/A</v>
      </c>
      <c r="H66" s="34" t="e">
        <f>VLOOKUP($B66,[50]TrtCodes!$B$11:N106,7)</f>
        <v>#N/A</v>
      </c>
      <c r="I66" s="34">
        <f>[50]FormattedData!B63</f>
        <v>0</v>
      </c>
      <c r="J66" s="37">
        <f>[50]FormattedData!C63</f>
        <v>0</v>
      </c>
      <c r="K66" s="39">
        <f>$J$3+[50]FormattedData!D63*$J$4+$M$4*$J$5+[50]FormattedData!D63^2*$J$6+$M$5*$J$7</f>
        <v>-0.68798505876453842</v>
      </c>
      <c r="L66" s="39">
        <f>$J$3+[50]FormattedData!E63*$J$4+$M$4*$J$5+[50]FormattedData!E63^2*$J$6+$M$5*$J$7</f>
        <v>-0.68798505876453842</v>
      </c>
      <c r="M66" s="39">
        <f>$J$3+[50]FormattedData!F63*$J$4+$M$4*$J$5+[50]FormattedData!F63^2*$J$6+$M$5*$J$7</f>
        <v>-0.68798505876453842</v>
      </c>
      <c r="N66" s="39">
        <f>$J$3+[50]FormattedData!G63*$J$4+$M$4*$J$5+[50]FormattedData!G63^2*$J$6+$M$5*$J$7</f>
        <v>-0.68798505876453842</v>
      </c>
      <c r="O66" s="39">
        <f>$J$3+[50]FormattedData!H63*$J$4+$M$4*$J$5+[50]FormattedData!H63^2*$J$6+$M$5*$J$7</f>
        <v>-0.68798505876453842</v>
      </c>
      <c r="P66" s="39">
        <f>$J$3+[50]FormattedData!I63*$J$4+$M$4*$J$5+[50]FormattedData!I63^2*$J$6+$M$5*$J$7</f>
        <v>-0.68798505876453842</v>
      </c>
      <c r="Q66" s="39">
        <f>$J$3+[50]FormattedData!J63*$J$4+$M$4*$J$5+[50]FormattedData!J63^2*$J$6+$M$5*$J$7</f>
        <v>-0.68798505876453842</v>
      </c>
      <c r="R66" s="39">
        <f>$J$3+[50]FormattedData!K63*$J$4+$M$4*$J$5+[50]FormattedData!K63^2*$J$6+$M$5*$J$7</f>
        <v>-0.68798505876453842</v>
      </c>
      <c r="S66" s="39">
        <f>$J$3+[50]FormattedData!L63*$J$4+$M$4*$J$5+[50]FormattedData!L63^2*$J$6+$M$5*$J$7</f>
        <v>-0.68798505876453842</v>
      </c>
      <c r="T66" s="39">
        <f>$J$3+[50]FormattedData!M63*$J$4+$M$4*$J$5+[50]FormattedData!M63^2*$J$6+$M$5*$J$7</f>
        <v>-0.68798505876453842</v>
      </c>
      <c r="U66" s="39">
        <f>$J$3+[50]FormattedData!N63*$J$4+$M$4*$J$5+[50]FormattedData!N63^2*$J$6+$M$5*$J$7</f>
        <v>-0.68798505876453842</v>
      </c>
      <c r="V66" s="39">
        <f>$J$3+[50]FormattedData!O63*$J$4+$M$4*$J$5+[50]FormattedData!O63^2*$J$6+$M$5*$J$7</f>
        <v>-0.68798505876453842</v>
      </c>
      <c r="W66" s="38">
        <f>AVERAGE(K66:V66)</f>
        <v>-0.68798505876453842</v>
      </c>
      <c r="X66" s="37">
        <f>STDEV(K66:V66)/SQRT(COUNT(K66:V66))</f>
        <v>0</v>
      </c>
      <c r="Y66" s="36">
        <f>MIN(K66:V66)</f>
        <v>-0.68798505876453842</v>
      </c>
      <c r="Z66" s="35">
        <f>QUARTILE(K66:V66,1)</f>
        <v>-0.68798505876453842</v>
      </c>
      <c r="AA66" s="36">
        <f>MEDIAN(K66:V66)</f>
        <v>-0.68798505876453842</v>
      </c>
      <c r="AB66" s="35">
        <f>QUARTILE(K66:V66,3)</f>
        <v>-0.68798505876453842</v>
      </c>
      <c r="AC66" s="35">
        <f>MAX(K66:V66)</f>
        <v>-0.68798505876453842</v>
      </c>
      <c r="AD66" s="35" t="e">
        <f>SKEW(K66:V66)</f>
        <v>#DIV/0!</v>
      </c>
      <c r="AE66" s="35" t="e">
        <f>KURT(K66:V66)</f>
        <v>#DIV/0!</v>
      </c>
    </row>
    <row r="67" spans="2:31" x14ac:dyDescent="0.2">
      <c r="B67" s="34">
        <f>[50]FormattedData!A65</f>
        <v>0</v>
      </c>
      <c r="C67" s="34" t="e">
        <f>VLOOKUP($B67,[50]TrtCodes!$B$11:I108,2)</f>
        <v>#N/A</v>
      </c>
      <c r="D67" s="34" t="e">
        <f>VLOOKUP($B67,[50]TrtCodes!$B$11:J108,3)</f>
        <v>#N/A</v>
      </c>
      <c r="E67" s="34" t="e">
        <f>VLOOKUP($B67,[50]TrtCodes!$B$11:K108,4)</f>
        <v>#N/A</v>
      </c>
      <c r="F67" s="34" t="e">
        <f>VLOOKUP($B67,[50]TrtCodes!$B$11:L108,5)</f>
        <v>#N/A</v>
      </c>
      <c r="G67" s="34" t="e">
        <f>VLOOKUP($B67,[50]TrtCodes!$B$11:M108,6)</f>
        <v>#N/A</v>
      </c>
      <c r="H67" s="34" t="e">
        <f>VLOOKUP($B67,[50]TrtCodes!$B$11:N108,7)</f>
        <v>#N/A</v>
      </c>
      <c r="I67" s="34">
        <f>[50]FormattedData!B65</f>
        <v>0</v>
      </c>
      <c r="J67" s="37">
        <f>[50]FormattedData!C65</f>
        <v>0</v>
      </c>
      <c r="K67" s="39">
        <f>$J$3+[50]FormattedData!D65*$J$4+$M$4*$J$5+[50]FormattedData!D65^2*$J$6+$M$5*$J$7</f>
        <v>-0.68798505876453842</v>
      </c>
      <c r="L67" s="39">
        <f>$J$3+[50]FormattedData!E65*$J$4+$M$4*$J$5+[50]FormattedData!E65^2*$J$6+$M$5*$J$7</f>
        <v>-0.68798505876453842</v>
      </c>
      <c r="M67" s="39">
        <f>$J$3+[50]FormattedData!F65*$J$4+$M$4*$J$5+[50]FormattedData!F65^2*$J$6+$M$5*$J$7</f>
        <v>-0.68798505876453842</v>
      </c>
      <c r="N67" s="39">
        <f>$J$3+[50]FormattedData!G65*$J$4+$M$4*$J$5+[50]FormattedData!G65^2*$J$6+$M$5*$J$7</f>
        <v>-0.68798505876453842</v>
      </c>
      <c r="O67" s="39">
        <f>$J$3+[50]FormattedData!H65*$J$4+$M$4*$J$5+[50]FormattedData!H65^2*$J$6+$M$5*$J$7</f>
        <v>-0.68798505876453842</v>
      </c>
      <c r="P67" s="39">
        <f>$J$3+[50]FormattedData!I65*$J$4+$M$4*$J$5+[50]FormattedData!I65^2*$J$6+$M$5*$J$7</f>
        <v>-0.68798505876453842</v>
      </c>
      <c r="Q67" s="39">
        <f>$J$3+[50]FormattedData!J65*$J$4+$M$4*$J$5+[50]FormattedData!J65^2*$J$6+$M$5*$J$7</f>
        <v>-0.68798505876453842</v>
      </c>
      <c r="R67" s="39">
        <f>$J$3+[50]FormattedData!K65*$J$4+$M$4*$J$5+[50]FormattedData!K65^2*$J$6+$M$5*$J$7</f>
        <v>-0.68798505876453842</v>
      </c>
      <c r="S67" s="39">
        <f>$J$3+[50]FormattedData!L65*$J$4+$M$4*$J$5+[50]FormattedData!L65^2*$J$6+$M$5*$J$7</f>
        <v>-0.68798505876453842</v>
      </c>
      <c r="T67" s="39">
        <f>$J$3+[50]FormattedData!M65*$J$4+$M$4*$J$5+[50]FormattedData!M65^2*$J$6+$M$5*$J$7</f>
        <v>-0.68798505876453842</v>
      </c>
      <c r="U67" s="39">
        <f>$J$3+[50]FormattedData!N65*$J$4+$M$4*$J$5+[50]FormattedData!N65^2*$J$6+$M$5*$J$7</f>
        <v>-0.68798505876453842</v>
      </c>
      <c r="V67" s="39">
        <f>$J$3+[50]FormattedData!O65*$J$4+$M$4*$J$5+[50]FormattedData!O65^2*$J$6+$M$5*$J$7</f>
        <v>-0.68798505876453842</v>
      </c>
      <c r="W67" s="38">
        <f>AVERAGE(K67:V67)</f>
        <v>-0.68798505876453842</v>
      </c>
      <c r="X67" s="37">
        <f>STDEV(K67:V67)/SQRT(COUNT(K67:V67))</f>
        <v>0</v>
      </c>
      <c r="Y67" s="36">
        <f>MIN(K67:V67)</f>
        <v>-0.68798505876453842</v>
      </c>
      <c r="Z67" s="35">
        <f>QUARTILE(K67:V67,1)</f>
        <v>-0.68798505876453842</v>
      </c>
      <c r="AA67" s="36">
        <f>MEDIAN(K67:V67)</f>
        <v>-0.68798505876453842</v>
      </c>
      <c r="AB67" s="35">
        <f>QUARTILE(K67:V67,3)</f>
        <v>-0.68798505876453842</v>
      </c>
      <c r="AC67" s="35">
        <f>MAX(K67:V67)</f>
        <v>-0.68798505876453842</v>
      </c>
      <c r="AD67" s="35" t="e">
        <f>SKEW(K67:V67)</f>
        <v>#DIV/0!</v>
      </c>
      <c r="AE67" s="35" t="e">
        <f>KURT(K67:V67)</f>
        <v>#DIV/0!</v>
      </c>
    </row>
    <row r="68" spans="2:31" x14ac:dyDescent="0.2">
      <c r="B68" s="34">
        <f>[50]FormattedData!A67</f>
        <v>0</v>
      </c>
      <c r="C68" s="34" t="e">
        <f>VLOOKUP($B68,[50]TrtCodes!$B$11:I110,2)</f>
        <v>#N/A</v>
      </c>
      <c r="D68" s="34" t="e">
        <f>VLOOKUP($B68,[50]TrtCodes!$B$11:J110,3)</f>
        <v>#N/A</v>
      </c>
      <c r="E68" s="34" t="e">
        <f>VLOOKUP($B68,[50]TrtCodes!$B$11:K110,4)</f>
        <v>#N/A</v>
      </c>
      <c r="F68" s="34" t="e">
        <f>VLOOKUP($B68,[50]TrtCodes!$B$11:L110,5)</f>
        <v>#N/A</v>
      </c>
      <c r="G68" s="34" t="e">
        <f>VLOOKUP($B68,[50]TrtCodes!$B$11:M110,6)</f>
        <v>#N/A</v>
      </c>
      <c r="H68" s="34" t="e">
        <f>VLOOKUP($B68,[50]TrtCodes!$B$11:N110,7)</f>
        <v>#N/A</v>
      </c>
      <c r="I68" s="34">
        <f>[50]FormattedData!B67</f>
        <v>0</v>
      </c>
      <c r="J68" s="37">
        <f>[50]FormattedData!C67</f>
        <v>0</v>
      </c>
      <c r="K68" s="39">
        <f>$J$3+[50]FormattedData!D67*$J$4+$M$4*$J$5+[50]FormattedData!D67^2*$J$6+$M$5*$J$7</f>
        <v>-0.68798505876453842</v>
      </c>
      <c r="L68" s="39">
        <f>$J$3+[50]FormattedData!E67*$J$4+$M$4*$J$5+[50]FormattedData!E67^2*$J$6+$M$5*$J$7</f>
        <v>-0.68798505876453842</v>
      </c>
      <c r="M68" s="39">
        <f>$J$3+[50]FormattedData!F67*$J$4+$M$4*$J$5+[50]FormattedData!F67^2*$J$6+$M$5*$J$7</f>
        <v>-0.68798505876453842</v>
      </c>
      <c r="N68" s="39">
        <f>$J$3+[50]FormattedData!G67*$J$4+$M$4*$J$5+[50]FormattedData!G67^2*$J$6+$M$5*$J$7</f>
        <v>-0.68798505876453842</v>
      </c>
      <c r="O68" s="39">
        <f>$J$3+[50]FormattedData!H67*$J$4+$M$4*$J$5+[50]FormattedData!H67^2*$J$6+$M$5*$J$7</f>
        <v>-0.68798505876453842</v>
      </c>
      <c r="P68" s="39">
        <f>$J$3+[50]FormattedData!I67*$J$4+$M$4*$J$5+[50]FormattedData!I67^2*$J$6+$M$5*$J$7</f>
        <v>-0.68798505876453842</v>
      </c>
      <c r="Q68" s="39">
        <f>$J$3+[50]FormattedData!J67*$J$4+$M$4*$J$5+[50]FormattedData!J67^2*$J$6+$M$5*$J$7</f>
        <v>-0.68798505876453842</v>
      </c>
      <c r="R68" s="39">
        <f>$J$3+[50]FormattedData!K67*$J$4+$M$4*$J$5+[50]FormattedData!K67^2*$J$6+$M$5*$J$7</f>
        <v>-0.68798505876453842</v>
      </c>
      <c r="S68" s="39">
        <f>$J$3+[50]FormattedData!L67*$J$4+$M$4*$J$5+[50]FormattedData!L67^2*$J$6+$M$5*$J$7</f>
        <v>-0.68798505876453842</v>
      </c>
      <c r="T68" s="39">
        <f>$J$3+[50]FormattedData!M67*$J$4+$M$4*$J$5+[50]FormattedData!M67^2*$J$6+$M$5*$J$7</f>
        <v>-0.68798505876453842</v>
      </c>
      <c r="U68" s="39">
        <f>$J$3+[50]FormattedData!N67*$J$4+$M$4*$J$5+[50]FormattedData!N67^2*$J$6+$M$5*$J$7</f>
        <v>-0.68798505876453842</v>
      </c>
      <c r="V68" s="39">
        <f>$J$3+[50]FormattedData!O67*$J$4+$M$4*$J$5+[50]FormattedData!O67^2*$J$6+$M$5*$J$7</f>
        <v>-0.68798505876453842</v>
      </c>
      <c r="W68" s="38">
        <f>AVERAGE(K68:V68)</f>
        <v>-0.68798505876453842</v>
      </c>
      <c r="X68" s="37">
        <f>STDEV(K68:V68)/SQRT(COUNT(K68:V68))</f>
        <v>0</v>
      </c>
      <c r="Y68" s="36">
        <f>MIN(K68:V68)</f>
        <v>-0.68798505876453842</v>
      </c>
      <c r="Z68" s="35">
        <f>QUARTILE(K68:V68,1)</f>
        <v>-0.68798505876453842</v>
      </c>
      <c r="AA68" s="36">
        <f>MEDIAN(K68:V68)</f>
        <v>-0.68798505876453842</v>
      </c>
      <c r="AB68" s="35">
        <f>QUARTILE(K68:V68,3)</f>
        <v>-0.68798505876453842</v>
      </c>
      <c r="AC68" s="35">
        <f>MAX(K68:V68)</f>
        <v>-0.68798505876453842</v>
      </c>
      <c r="AD68" s="35" t="e">
        <f>SKEW(K68:V68)</f>
        <v>#DIV/0!</v>
      </c>
      <c r="AE68" s="35" t="e">
        <f>KURT(K68:V68)</f>
        <v>#DIV/0!</v>
      </c>
    </row>
    <row r="69" spans="2:31" x14ac:dyDescent="0.2">
      <c r="B69" s="34">
        <f>[50]FormattedData!A69</f>
        <v>0</v>
      </c>
      <c r="C69" s="34" t="e">
        <f>VLOOKUP($B69,[50]TrtCodes!$B$11:I112,2)</f>
        <v>#N/A</v>
      </c>
      <c r="D69" s="34" t="e">
        <f>VLOOKUP($B69,[50]TrtCodes!$B$11:J112,3)</f>
        <v>#N/A</v>
      </c>
      <c r="E69" s="34" t="e">
        <f>VLOOKUP($B69,[50]TrtCodes!$B$11:K112,4)</f>
        <v>#N/A</v>
      </c>
      <c r="F69" s="34" t="e">
        <f>VLOOKUP($B69,[50]TrtCodes!$B$11:L112,5)</f>
        <v>#N/A</v>
      </c>
      <c r="G69" s="34" t="e">
        <f>VLOOKUP($B69,[50]TrtCodes!$B$11:M112,6)</f>
        <v>#N/A</v>
      </c>
      <c r="H69" s="34" t="e">
        <f>VLOOKUP($B69,[50]TrtCodes!$B$11:N112,7)</f>
        <v>#N/A</v>
      </c>
      <c r="I69" s="34">
        <f>[50]FormattedData!B69</f>
        <v>0</v>
      </c>
      <c r="J69" s="37">
        <f>[50]FormattedData!C69</f>
        <v>0</v>
      </c>
      <c r="K69" s="39">
        <f>$J$3+[50]FormattedData!D69*$J$4+$M$4*$J$5+[50]FormattedData!D69^2*$J$6+$M$5*$J$7</f>
        <v>-0.68798505876453842</v>
      </c>
      <c r="L69" s="39">
        <f>$J$3+[50]FormattedData!E69*$J$4+$M$4*$J$5+[50]FormattedData!E69^2*$J$6+$M$5*$J$7</f>
        <v>-0.68798505876453842</v>
      </c>
      <c r="M69" s="39">
        <f>$J$3+[50]FormattedData!F69*$J$4+$M$4*$J$5+[50]FormattedData!F69^2*$J$6+$M$5*$J$7</f>
        <v>-0.68798505876453842</v>
      </c>
      <c r="N69" s="39">
        <f>$J$3+[50]FormattedData!G69*$J$4+$M$4*$J$5+[50]FormattedData!G69^2*$J$6+$M$5*$J$7</f>
        <v>-0.68798505876453842</v>
      </c>
      <c r="O69" s="39">
        <f>$J$3+[50]FormattedData!H69*$J$4+$M$4*$J$5+[50]FormattedData!H69^2*$J$6+$M$5*$J$7</f>
        <v>-0.68798505876453842</v>
      </c>
      <c r="P69" s="39">
        <f>$J$3+[50]FormattedData!I69*$J$4+$M$4*$J$5+[50]FormattedData!I69^2*$J$6+$M$5*$J$7</f>
        <v>-0.68798505876453842</v>
      </c>
      <c r="Q69" s="39">
        <f>$J$3+[50]FormattedData!J69*$J$4+$M$4*$J$5+[50]FormattedData!J69^2*$J$6+$M$5*$J$7</f>
        <v>-0.68798505876453842</v>
      </c>
      <c r="R69" s="39">
        <f>$J$3+[50]FormattedData!K69*$J$4+$M$4*$J$5+[50]FormattedData!K69^2*$J$6+$M$5*$J$7</f>
        <v>-0.68798505876453842</v>
      </c>
      <c r="S69" s="39">
        <f>$J$3+[50]FormattedData!L69*$J$4+$M$4*$J$5+[50]FormattedData!L69^2*$J$6+$M$5*$J$7</f>
        <v>-0.68798505876453842</v>
      </c>
      <c r="T69" s="39">
        <f>$J$3+[50]FormattedData!M69*$J$4+$M$4*$J$5+[50]FormattedData!M69^2*$J$6+$M$5*$J$7</f>
        <v>-0.68798505876453842</v>
      </c>
      <c r="U69" s="39">
        <f>$J$3+[50]FormattedData!N69*$J$4+$M$4*$J$5+[50]FormattedData!N69^2*$J$6+$M$5*$J$7</f>
        <v>-0.68798505876453842</v>
      </c>
      <c r="V69" s="39">
        <f>$J$3+[50]FormattedData!O69*$J$4+$M$4*$J$5+[50]FormattedData!O69^2*$J$6+$M$5*$J$7</f>
        <v>-0.68798505876453842</v>
      </c>
      <c r="W69" s="38">
        <f>AVERAGE(K69:V69)</f>
        <v>-0.68798505876453842</v>
      </c>
      <c r="X69" s="37">
        <f>STDEV(K69:V69)/SQRT(COUNT(K69:V69))</f>
        <v>0</v>
      </c>
      <c r="Y69" s="36">
        <f>MIN(K69:V69)</f>
        <v>-0.68798505876453842</v>
      </c>
      <c r="Z69" s="35">
        <f>QUARTILE(K69:V69,1)</f>
        <v>-0.68798505876453842</v>
      </c>
      <c r="AA69" s="36">
        <f>MEDIAN(K69:V69)</f>
        <v>-0.68798505876453842</v>
      </c>
      <c r="AB69" s="35">
        <f>QUARTILE(K69:V69,3)</f>
        <v>-0.68798505876453842</v>
      </c>
      <c r="AC69" s="35">
        <f>MAX(K69:V69)</f>
        <v>-0.68798505876453842</v>
      </c>
      <c r="AD69" s="35" t="e">
        <f>SKEW(K69:V69)</f>
        <v>#DIV/0!</v>
      </c>
      <c r="AE69" s="35" t="e">
        <f>KURT(K69:V69)</f>
        <v>#DIV/0!</v>
      </c>
    </row>
    <row r="70" spans="2:31" x14ac:dyDescent="0.2">
      <c r="B70" s="34">
        <f>[50]FormattedData!A71</f>
        <v>0</v>
      </c>
      <c r="C70" s="34" t="e">
        <f>VLOOKUP($B70,[50]TrtCodes!$B$11:I114,2)</f>
        <v>#N/A</v>
      </c>
      <c r="D70" s="34" t="e">
        <f>VLOOKUP($B70,[50]TrtCodes!$B$11:J114,3)</f>
        <v>#N/A</v>
      </c>
      <c r="E70" s="34" t="e">
        <f>VLOOKUP($B70,[50]TrtCodes!$B$11:K114,4)</f>
        <v>#N/A</v>
      </c>
      <c r="F70" s="34" t="e">
        <f>VLOOKUP($B70,[50]TrtCodes!$B$11:L114,5)</f>
        <v>#N/A</v>
      </c>
      <c r="G70" s="34" t="e">
        <f>VLOOKUP($B70,[50]TrtCodes!$B$11:M114,6)</f>
        <v>#N/A</v>
      </c>
      <c r="H70" s="34" t="e">
        <f>VLOOKUP($B70,[50]TrtCodes!$B$11:N114,7)</f>
        <v>#N/A</v>
      </c>
      <c r="I70" s="34">
        <f>[50]FormattedData!B71</f>
        <v>0</v>
      </c>
      <c r="J70" s="37">
        <f>[50]FormattedData!C71</f>
        <v>0</v>
      </c>
      <c r="K70" s="39">
        <f>$J$3+[50]FormattedData!D71*$J$4+$M$4*$J$5+[50]FormattedData!D71^2*$J$6+$M$5*$J$7</f>
        <v>-0.68798505876453842</v>
      </c>
      <c r="L70" s="39">
        <f>$J$3+[50]FormattedData!E71*$J$4+$M$4*$J$5+[50]FormattedData!E71^2*$J$6+$M$5*$J$7</f>
        <v>-0.68798505876453842</v>
      </c>
      <c r="M70" s="39">
        <f>$J$3+[50]FormattedData!F71*$J$4+$M$4*$J$5+[50]FormattedData!F71^2*$J$6+$M$5*$J$7</f>
        <v>-0.68798505876453842</v>
      </c>
      <c r="N70" s="39">
        <f>$J$3+[50]FormattedData!G71*$J$4+$M$4*$J$5+[50]FormattedData!G71^2*$J$6+$M$5*$J$7</f>
        <v>-0.68798505876453842</v>
      </c>
      <c r="O70" s="39">
        <f>$J$3+[50]FormattedData!H71*$J$4+$M$4*$J$5+[50]FormattedData!H71^2*$J$6+$M$5*$J$7</f>
        <v>-0.68798505876453842</v>
      </c>
      <c r="P70" s="39">
        <f>$J$3+[50]FormattedData!I71*$J$4+$M$4*$J$5+[50]FormattedData!I71^2*$J$6+$M$5*$J$7</f>
        <v>-0.68798505876453842</v>
      </c>
      <c r="Q70" s="39">
        <f>$J$3+[50]FormattedData!J71*$J$4+$M$4*$J$5+[50]FormattedData!J71^2*$J$6+$M$5*$J$7</f>
        <v>-0.68798505876453842</v>
      </c>
      <c r="R70" s="39">
        <f>$J$3+[50]FormattedData!K71*$J$4+$M$4*$J$5+[50]FormattedData!K71^2*$J$6+$M$5*$J$7</f>
        <v>-0.68798505876453842</v>
      </c>
      <c r="S70" s="39">
        <f>$J$3+[50]FormattedData!L71*$J$4+$M$4*$J$5+[50]FormattedData!L71^2*$J$6+$M$5*$J$7</f>
        <v>-0.68798505876453842</v>
      </c>
      <c r="T70" s="39">
        <f>$J$3+[50]FormattedData!M71*$J$4+$M$4*$J$5+[50]FormattedData!M71^2*$J$6+$M$5*$J$7</f>
        <v>-0.68798505876453842</v>
      </c>
      <c r="U70" s="39">
        <f>$J$3+[50]FormattedData!N71*$J$4+$M$4*$J$5+[50]FormattedData!N71^2*$J$6+$M$5*$J$7</f>
        <v>-0.68798505876453842</v>
      </c>
      <c r="V70" s="39">
        <f>$J$3+[50]FormattedData!O71*$J$4+$M$4*$J$5+[50]FormattedData!O71^2*$J$6+$M$5*$J$7</f>
        <v>-0.68798505876453842</v>
      </c>
      <c r="W70" s="38">
        <f>AVERAGE(K70:V70)</f>
        <v>-0.68798505876453842</v>
      </c>
      <c r="X70" s="37">
        <f>STDEV(K70:V70)/SQRT(COUNT(K70:V70))</f>
        <v>0</v>
      </c>
      <c r="Y70" s="36">
        <f>MIN(K70:V70)</f>
        <v>-0.68798505876453842</v>
      </c>
      <c r="Z70" s="35">
        <f>QUARTILE(K70:V70,1)</f>
        <v>-0.68798505876453842</v>
      </c>
      <c r="AA70" s="36">
        <f>MEDIAN(K70:V70)</f>
        <v>-0.68798505876453842</v>
      </c>
      <c r="AB70" s="35">
        <f>QUARTILE(K70:V70,3)</f>
        <v>-0.68798505876453842</v>
      </c>
      <c r="AC70" s="35">
        <f>MAX(K70:V70)</f>
        <v>-0.68798505876453842</v>
      </c>
      <c r="AD70" s="35" t="e">
        <f>SKEW(K70:V70)</f>
        <v>#DIV/0!</v>
      </c>
      <c r="AE70" s="35" t="e">
        <f>KURT(K70:V70)</f>
        <v>#DIV/0!</v>
      </c>
    </row>
    <row r="71" spans="2:31" x14ac:dyDescent="0.2">
      <c r="B71" s="34">
        <f>[50]FormattedData!A73</f>
        <v>0</v>
      </c>
      <c r="C71" s="34" t="e">
        <f>VLOOKUP($B71,[50]TrtCodes!$B$11:I116,2)</f>
        <v>#N/A</v>
      </c>
      <c r="D71" s="34" t="e">
        <f>VLOOKUP($B71,[50]TrtCodes!$B$11:J116,3)</f>
        <v>#N/A</v>
      </c>
      <c r="E71" s="34" t="e">
        <f>VLOOKUP($B71,[50]TrtCodes!$B$11:K116,4)</f>
        <v>#N/A</v>
      </c>
      <c r="F71" s="34" t="e">
        <f>VLOOKUP($B71,[50]TrtCodes!$B$11:L116,5)</f>
        <v>#N/A</v>
      </c>
      <c r="G71" s="34" t="e">
        <f>VLOOKUP($B71,[50]TrtCodes!$B$11:M116,6)</f>
        <v>#N/A</v>
      </c>
      <c r="H71" s="34" t="e">
        <f>VLOOKUP($B71,[50]TrtCodes!$B$11:N116,7)</f>
        <v>#N/A</v>
      </c>
      <c r="I71" s="34">
        <f>[50]FormattedData!B73</f>
        <v>0</v>
      </c>
      <c r="J71" s="37">
        <f>[50]FormattedData!C73</f>
        <v>0</v>
      </c>
      <c r="K71" s="39">
        <f>$J$3+[50]FormattedData!D73*$J$4+$M$4*$J$5+[50]FormattedData!D73^2*$J$6+$M$5*$J$7</f>
        <v>-0.68798505876453842</v>
      </c>
      <c r="L71" s="39">
        <f>$J$3+[50]FormattedData!E73*$J$4+$M$4*$J$5+[50]FormattedData!E73^2*$J$6+$M$5*$J$7</f>
        <v>-0.68798505876453842</v>
      </c>
      <c r="M71" s="39">
        <f>$J$3+[50]FormattedData!F73*$J$4+$M$4*$J$5+[50]FormattedData!F73^2*$J$6+$M$5*$J$7</f>
        <v>-0.68798505876453842</v>
      </c>
      <c r="N71" s="39">
        <f>$J$3+[50]FormattedData!G73*$J$4+$M$4*$J$5+[50]FormattedData!G73^2*$J$6+$M$5*$J$7</f>
        <v>-0.68798505876453842</v>
      </c>
      <c r="O71" s="39">
        <f>$J$3+[50]FormattedData!H73*$J$4+$M$4*$J$5+[50]FormattedData!H73^2*$J$6+$M$5*$J$7</f>
        <v>-0.68798505876453842</v>
      </c>
      <c r="P71" s="39">
        <f>$J$3+[50]FormattedData!I73*$J$4+$M$4*$J$5+[50]FormattedData!I73^2*$J$6+$M$5*$J$7</f>
        <v>-0.68798505876453842</v>
      </c>
      <c r="Q71" s="39">
        <f>$J$3+[50]FormattedData!J73*$J$4+$M$4*$J$5+[50]FormattedData!J73^2*$J$6+$M$5*$J$7</f>
        <v>-0.68798505876453842</v>
      </c>
      <c r="R71" s="39">
        <f>$J$3+[50]FormattedData!K73*$J$4+$M$4*$J$5+[50]FormattedData!K73^2*$J$6+$M$5*$J$7</f>
        <v>-0.68798505876453842</v>
      </c>
      <c r="S71" s="39">
        <f>$J$3+[50]FormattedData!L73*$J$4+$M$4*$J$5+[50]FormattedData!L73^2*$J$6+$M$5*$J$7</f>
        <v>-0.68798505876453842</v>
      </c>
      <c r="T71" s="39">
        <f>$J$3+[50]FormattedData!M73*$J$4+$M$4*$J$5+[50]FormattedData!M73^2*$J$6+$M$5*$J$7</f>
        <v>-0.68798505876453842</v>
      </c>
      <c r="U71" s="39">
        <f>$J$3+[50]FormattedData!N73*$J$4+$M$4*$J$5+[50]FormattedData!N73^2*$J$6+$M$5*$J$7</f>
        <v>-0.68798505876453842</v>
      </c>
      <c r="V71" s="39">
        <f>$J$3+[50]FormattedData!O73*$J$4+$M$4*$J$5+[50]FormattedData!O73^2*$J$6+$M$5*$J$7</f>
        <v>-0.68798505876453842</v>
      </c>
      <c r="W71" s="38">
        <f>AVERAGE(K71:V71)</f>
        <v>-0.68798505876453842</v>
      </c>
      <c r="X71" s="37">
        <f>STDEV(K71:V71)/SQRT(COUNT(K71:V71))</f>
        <v>0</v>
      </c>
      <c r="Y71" s="36">
        <f>MIN(K71:V71)</f>
        <v>-0.68798505876453842</v>
      </c>
      <c r="Z71" s="35">
        <f>QUARTILE(K71:V71,1)</f>
        <v>-0.68798505876453842</v>
      </c>
      <c r="AA71" s="36">
        <f>MEDIAN(K71:V71)</f>
        <v>-0.68798505876453842</v>
      </c>
      <c r="AB71" s="35">
        <f>QUARTILE(K71:V71,3)</f>
        <v>-0.68798505876453842</v>
      </c>
      <c r="AC71" s="35">
        <f>MAX(K71:V71)</f>
        <v>-0.68798505876453842</v>
      </c>
      <c r="AD71" s="35" t="e">
        <f>SKEW(K71:V71)</f>
        <v>#DIV/0!</v>
      </c>
      <c r="AE71" s="35" t="e">
        <f>KURT(K71:V71)</f>
        <v>#DIV/0!</v>
      </c>
    </row>
    <row r="72" spans="2:31" x14ac:dyDescent="0.2">
      <c r="B72" s="34">
        <f>[50]FormattedData!A75</f>
        <v>0</v>
      </c>
      <c r="C72" s="34" t="e">
        <f>VLOOKUP($B72,[50]TrtCodes!$B$11:I118,2)</f>
        <v>#N/A</v>
      </c>
      <c r="D72" s="34" t="e">
        <f>VLOOKUP($B72,[50]TrtCodes!$B$11:J118,3)</f>
        <v>#N/A</v>
      </c>
      <c r="E72" s="34" t="e">
        <f>VLOOKUP($B72,[50]TrtCodes!$B$11:K118,4)</f>
        <v>#N/A</v>
      </c>
      <c r="F72" s="34" t="e">
        <f>VLOOKUP($B72,[50]TrtCodes!$B$11:L118,5)</f>
        <v>#N/A</v>
      </c>
      <c r="G72" s="34" t="e">
        <f>VLOOKUP($B72,[50]TrtCodes!$B$11:M118,6)</f>
        <v>#N/A</v>
      </c>
      <c r="H72" s="34" t="e">
        <f>VLOOKUP($B72,[50]TrtCodes!$B$11:N118,7)</f>
        <v>#N/A</v>
      </c>
      <c r="I72" s="34">
        <f>[50]FormattedData!B75</f>
        <v>0</v>
      </c>
      <c r="J72" s="37">
        <f>[50]FormattedData!C75</f>
        <v>0</v>
      </c>
      <c r="K72" s="39">
        <f>$J$3+[50]FormattedData!D75*$J$4+$M$4*$J$5+[50]FormattedData!D75^2*$J$6+$M$5*$J$7</f>
        <v>-0.68798505876453842</v>
      </c>
      <c r="L72" s="39">
        <f>$J$3+[50]FormattedData!E75*$J$4+$M$4*$J$5+[50]FormattedData!E75^2*$J$6+$M$5*$J$7</f>
        <v>-0.68798505876453842</v>
      </c>
      <c r="M72" s="39">
        <f>$J$3+[50]FormattedData!F75*$J$4+$M$4*$J$5+[50]FormattedData!F75^2*$J$6+$M$5*$J$7</f>
        <v>-0.68798505876453842</v>
      </c>
      <c r="N72" s="39">
        <f>$J$3+[50]FormattedData!G75*$J$4+$M$4*$J$5+[50]FormattedData!G75^2*$J$6+$M$5*$J$7</f>
        <v>-0.68798505876453842</v>
      </c>
      <c r="O72" s="39">
        <f>$J$3+[50]FormattedData!H75*$J$4+$M$4*$J$5+[50]FormattedData!H75^2*$J$6+$M$5*$J$7</f>
        <v>-0.68798505876453842</v>
      </c>
      <c r="P72" s="39">
        <f>$J$3+[50]FormattedData!I75*$J$4+$M$4*$J$5+[50]FormattedData!I75^2*$J$6+$M$5*$J$7</f>
        <v>-0.68798505876453842</v>
      </c>
      <c r="Q72" s="39">
        <f>$J$3+[50]FormattedData!J75*$J$4+$M$4*$J$5+[50]FormattedData!J75^2*$J$6+$M$5*$J$7</f>
        <v>-0.68798505876453842</v>
      </c>
      <c r="R72" s="39">
        <f>$J$3+[50]FormattedData!K75*$J$4+$M$4*$J$5+[50]FormattedData!K75^2*$J$6+$M$5*$J$7</f>
        <v>-0.68798505876453842</v>
      </c>
      <c r="S72" s="39">
        <f>$J$3+[50]FormattedData!L75*$J$4+$M$4*$J$5+[50]FormattedData!L75^2*$J$6+$M$5*$J$7</f>
        <v>-0.68798505876453842</v>
      </c>
      <c r="T72" s="39">
        <f>$J$3+[50]FormattedData!M75*$J$4+$M$4*$J$5+[50]FormattedData!M75^2*$J$6+$M$5*$J$7</f>
        <v>-0.68798505876453842</v>
      </c>
      <c r="U72" s="39">
        <f>$J$3+[50]FormattedData!N75*$J$4+$M$4*$J$5+[50]FormattedData!N75^2*$J$6+$M$5*$J$7</f>
        <v>-0.68798505876453842</v>
      </c>
      <c r="V72" s="39">
        <f>$J$3+[50]FormattedData!O75*$J$4+$M$4*$J$5+[50]FormattedData!O75^2*$J$6+$M$5*$J$7</f>
        <v>-0.68798505876453842</v>
      </c>
      <c r="W72" s="38">
        <f>AVERAGE(K72:V72)</f>
        <v>-0.68798505876453842</v>
      </c>
      <c r="X72" s="37">
        <f>STDEV(K72:V72)/SQRT(COUNT(K72:V72))</f>
        <v>0</v>
      </c>
      <c r="Y72" s="36">
        <f>MIN(K72:V72)</f>
        <v>-0.68798505876453842</v>
      </c>
      <c r="Z72" s="35">
        <f>QUARTILE(K72:V72,1)</f>
        <v>-0.68798505876453842</v>
      </c>
      <c r="AA72" s="36">
        <f>MEDIAN(K72:V72)</f>
        <v>-0.68798505876453842</v>
      </c>
      <c r="AB72" s="35">
        <f>QUARTILE(K72:V72,3)</f>
        <v>-0.68798505876453842</v>
      </c>
      <c r="AC72" s="35">
        <f>MAX(K72:V72)</f>
        <v>-0.68798505876453842</v>
      </c>
      <c r="AD72" s="35" t="e">
        <f>SKEW(K72:V72)</f>
        <v>#DIV/0!</v>
      </c>
      <c r="AE72" s="35" t="e">
        <f>KURT(K72:V72)</f>
        <v>#DIV/0!</v>
      </c>
    </row>
    <row r="73" spans="2:31" x14ac:dyDescent="0.2">
      <c r="B73" s="34">
        <f>[50]FormattedData!A77</f>
        <v>0</v>
      </c>
      <c r="C73" s="34" t="e">
        <f>VLOOKUP($B73,[50]TrtCodes!$B$11:I120,2)</f>
        <v>#N/A</v>
      </c>
      <c r="D73" s="34" t="e">
        <f>VLOOKUP($B73,[50]TrtCodes!$B$11:J120,3)</f>
        <v>#N/A</v>
      </c>
      <c r="E73" s="34" t="e">
        <f>VLOOKUP($B73,[50]TrtCodes!$B$11:K120,4)</f>
        <v>#N/A</v>
      </c>
      <c r="F73" s="34" t="e">
        <f>VLOOKUP($B73,[50]TrtCodes!$B$11:L120,5)</f>
        <v>#N/A</v>
      </c>
      <c r="G73" s="34" t="e">
        <f>VLOOKUP($B73,[50]TrtCodes!$B$11:M120,6)</f>
        <v>#N/A</v>
      </c>
      <c r="H73" s="34" t="e">
        <f>VLOOKUP($B73,[50]TrtCodes!$B$11:N120,7)</f>
        <v>#N/A</v>
      </c>
      <c r="I73" s="34">
        <f>[50]FormattedData!B77</f>
        <v>0</v>
      </c>
      <c r="J73" s="37">
        <f>[50]FormattedData!C77</f>
        <v>0</v>
      </c>
      <c r="K73" s="39">
        <f>$J$3+[50]FormattedData!D77*$J$4+$M$4*$J$5+[50]FormattedData!D77^2*$J$6+$M$5*$J$7</f>
        <v>-0.68798505876453842</v>
      </c>
      <c r="L73" s="39">
        <f>$J$3+[50]FormattedData!E77*$J$4+$M$4*$J$5+[50]FormattedData!E77^2*$J$6+$M$5*$J$7</f>
        <v>-0.68798505876453842</v>
      </c>
      <c r="M73" s="39">
        <f>$J$3+[50]FormattedData!F77*$J$4+$M$4*$J$5+[50]FormattedData!F77^2*$J$6+$M$5*$J$7</f>
        <v>-0.68798505876453842</v>
      </c>
      <c r="N73" s="39">
        <f>$J$3+[50]FormattedData!G77*$J$4+$M$4*$J$5+[50]FormattedData!G77^2*$J$6+$M$5*$J$7</f>
        <v>-0.68798505876453842</v>
      </c>
      <c r="O73" s="39">
        <f>$J$3+[50]FormattedData!H77*$J$4+$M$4*$J$5+[50]FormattedData!H77^2*$J$6+$M$5*$J$7</f>
        <v>-0.68798505876453842</v>
      </c>
      <c r="P73" s="39">
        <f>$J$3+[50]FormattedData!I77*$J$4+$M$4*$J$5+[50]FormattedData!I77^2*$J$6+$M$5*$J$7</f>
        <v>-0.68798505876453842</v>
      </c>
      <c r="Q73" s="39">
        <f>$J$3+[50]FormattedData!J77*$J$4+$M$4*$J$5+[50]FormattedData!J77^2*$J$6+$M$5*$J$7</f>
        <v>-0.68798505876453842</v>
      </c>
      <c r="R73" s="39">
        <f>$J$3+[50]FormattedData!K77*$J$4+$M$4*$J$5+[50]FormattedData!K77^2*$J$6+$M$5*$J$7</f>
        <v>-0.68798505876453842</v>
      </c>
      <c r="S73" s="39">
        <f>$J$3+[50]FormattedData!L77*$J$4+$M$4*$J$5+[50]FormattedData!L77^2*$J$6+$M$5*$J$7</f>
        <v>-0.68798505876453842</v>
      </c>
      <c r="T73" s="39">
        <f>$J$3+[50]FormattedData!M77*$J$4+$M$4*$J$5+[50]FormattedData!M77^2*$J$6+$M$5*$J$7</f>
        <v>-0.68798505876453842</v>
      </c>
      <c r="U73" s="39">
        <f>$J$3+[50]FormattedData!N77*$J$4+$M$4*$J$5+[50]FormattedData!N77^2*$J$6+$M$5*$J$7</f>
        <v>-0.68798505876453842</v>
      </c>
      <c r="V73" s="39">
        <f>$J$3+[50]FormattedData!O77*$J$4+$M$4*$J$5+[50]FormattedData!O77^2*$J$6+$M$5*$J$7</f>
        <v>-0.68798505876453842</v>
      </c>
      <c r="W73" s="38">
        <f>AVERAGE(K73:V73)</f>
        <v>-0.68798505876453842</v>
      </c>
      <c r="X73" s="37">
        <f>STDEV(K73:V73)/SQRT(COUNT(K73:V73))</f>
        <v>0</v>
      </c>
      <c r="Y73" s="36">
        <f>MIN(K73:V73)</f>
        <v>-0.68798505876453842</v>
      </c>
      <c r="Z73" s="35">
        <f>QUARTILE(K73:V73,1)</f>
        <v>-0.68798505876453842</v>
      </c>
      <c r="AA73" s="36">
        <f>MEDIAN(K73:V73)</f>
        <v>-0.68798505876453842</v>
      </c>
      <c r="AB73" s="35">
        <f>QUARTILE(K73:V73,3)</f>
        <v>-0.68798505876453842</v>
      </c>
      <c r="AC73" s="35">
        <f>MAX(K73:V73)</f>
        <v>-0.68798505876453842</v>
      </c>
      <c r="AD73" s="35" t="e">
        <f>SKEW(K73:V73)</f>
        <v>#DIV/0!</v>
      </c>
      <c r="AE73" s="35" t="e">
        <f>KURT(K73:V73)</f>
        <v>#DIV/0!</v>
      </c>
    </row>
    <row r="74" spans="2:31" x14ac:dyDescent="0.2">
      <c r="B74" s="34">
        <f>[50]FormattedData!A93</f>
        <v>0</v>
      </c>
      <c r="C74" s="34" t="e">
        <f>VLOOKUP($B74,[50]TrtCodes!$B$11:I130,2)</f>
        <v>#N/A</v>
      </c>
      <c r="D74" s="34" t="e">
        <f>VLOOKUP($B74,[50]TrtCodes!$B$11:J130,3)</f>
        <v>#N/A</v>
      </c>
      <c r="E74" s="34" t="e">
        <f>VLOOKUP($B74,[50]TrtCodes!$B$11:K130,4)</f>
        <v>#N/A</v>
      </c>
      <c r="F74" s="34" t="e">
        <f>VLOOKUP($B74,[50]TrtCodes!$B$11:L130,5)</f>
        <v>#N/A</v>
      </c>
      <c r="G74" s="34" t="e">
        <f>VLOOKUP($B74,[50]TrtCodes!$B$11:M130,6)</f>
        <v>#N/A</v>
      </c>
      <c r="H74" s="34" t="e">
        <f>VLOOKUP($B74,[50]TrtCodes!$B$11:N130,7)</f>
        <v>#N/A</v>
      </c>
      <c r="I74" s="34">
        <f>[50]FormattedData!B93</f>
        <v>0</v>
      </c>
      <c r="J74" s="37">
        <f>[50]FormattedData!C93</f>
        <v>0</v>
      </c>
      <c r="K74" s="39">
        <f>$J$3+[50]FormattedData!D93*$J$4+$M$4*$J$5+[50]FormattedData!D93^2*$J$6+$M$5*$J$7</f>
        <v>-0.68798505876453842</v>
      </c>
      <c r="L74" s="39">
        <f>$J$3+[50]FormattedData!E93*$J$4+$M$4*$J$5+[50]FormattedData!E93^2*$J$6+$M$5*$J$7</f>
        <v>-0.68798505876453842</v>
      </c>
      <c r="M74" s="39">
        <f>$J$3+[50]FormattedData!F93*$J$4+$M$4*$J$5+[50]FormattedData!F93^2*$J$6+$M$5*$J$7</f>
        <v>-0.68798505876453842</v>
      </c>
      <c r="N74" s="39">
        <f>$J$3+[50]FormattedData!G93*$J$4+$M$4*$J$5+[50]FormattedData!G93^2*$J$6+$M$5*$J$7</f>
        <v>-0.68798505876453842</v>
      </c>
      <c r="O74" s="39">
        <f>$J$3+[50]FormattedData!H93*$J$4+$M$4*$J$5+[50]FormattedData!H93^2*$J$6+$M$5*$J$7</f>
        <v>-0.68798505876453842</v>
      </c>
      <c r="P74" s="39">
        <f>$J$3+[50]FormattedData!I93*$J$4+$M$4*$J$5+[50]FormattedData!I93^2*$J$6+$M$5*$J$7</f>
        <v>-0.68798505876453842</v>
      </c>
      <c r="Q74" s="39">
        <f>$J$3+[50]FormattedData!J93*$J$4+$M$4*$J$5+[50]FormattedData!J93^2*$J$6+$M$5*$J$7</f>
        <v>-0.68798505876453842</v>
      </c>
      <c r="R74" s="39">
        <f>$J$3+[50]FormattedData!K93*$J$4+$M$4*$J$5+[50]FormattedData!K93^2*$J$6+$M$5*$J$7</f>
        <v>-0.68798505876453842</v>
      </c>
      <c r="S74" s="39">
        <f>$J$3+[50]FormattedData!L93*$J$4+$M$4*$J$5+[50]FormattedData!L93^2*$J$6+$M$5*$J$7</f>
        <v>-0.68798505876453842</v>
      </c>
      <c r="T74" s="39">
        <f>$J$3+[50]FormattedData!M93*$J$4+$M$4*$J$5+[50]FormattedData!M93^2*$J$6+$M$5*$J$7</f>
        <v>-0.68798505876453842</v>
      </c>
      <c r="U74" s="39">
        <f>$J$3+[50]FormattedData!N93*$J$4+$M$4*$J$5+[50]FormattedData!N93^2*$J$6+$M$5*$J$7</f>
        <v>-0.68798505876453842</v>
      </c>
      <c r="V74" s="39">
        <f>$J$3+[50]FormattedData!O93*$J$4+$M$4*$J$5+[50]FormattedData!O93^2*$J$6+$M$5*$J$7</f>
        <v>-0.68798505876453842</v>
      </c>
      <c r="W74" s="38">
        <f>AVERAGE(K74:V74)</f>
        <v>-0.68798505876453842</v>
      </c>
      <c r="X74" s="37">
        <f>STDEV(K74:V74)/SQRT(COUNT(K74:V74))</f>
        <v>0</v>
      </c>
      <c r="Y74" s="36">
        <f>MIN(K74:V74)</f>
        <v>-0.68798505876453842</v>
      </c>
      <c r="Z74" s="35">
        <f>QUARTILE(K74:V74,1)</f>
        <v>-0.68798505876453842</v>
      </c>
      <c r="AA74" s="36">
        <f>MEDIAN(K74:V74)</f>
        <v>-0.68798505876453842</v>
      </c>
      <c r="AB74" s="35">
        <f>QUARTILE(K74:V74,3)</f>
        <v>-0.68798505876453842</v>
      </c>
      <c r="AC74" s="35">
        <f>MAX(K74:V74)</f>
        <v>-0.68798505876453842</v>
      </c>
      <c r="AD74" s="35" t="e">
        <f>SKEW(K74:V74)</f>
        <v>#DIV/0!</v>
      </c>
      <c r="AE74" s="35" t="e">
        <f>KURT(K74:V74)</f>
        <v>#DIV/0!</v>
      </c>
    </row>
    <row r="75" spans="2:31" x14ac:dyDescent="0.2">
      <c r="B75" s="34">
        <f>[50]FormattedData!A91</f>
        <v>0</v>
      </c>
      <c r="C75" s="34" t="e">
        <f>VLOOKUP($B75,[50]TrtCodes!$B$11:I131,2)</f>
        <v>#N/A</v>
      </c>
      <c r="D75" s="34" t="e">
        <f>VLOOKUP($B75,[50]TrtCodes!$B$11:J131,3)</f>
        <v>#N/A</v>
      </c>
      <c r="E75" s="34" t="e">
        <f>VLOOKUP($B75,[50]TrtCodes!$B$11:K131,4)</f>
        <v>#N/A</v>
      </c>
      <c r="F75" s="34" t="e">
        <f>VLOOKUP($B75,[50]TrtCodes!$B$11:L131,5)</f>
        <v>#N/A</v>
      </c>
      <c r="G75" s="34" t="e">
        <f>VLOOKUP($B75,[50]TrtCodes!$B$11:M131,6)</f>
        <v>#N/A</v>
      </c>
      <c r="H75" s="34" t="e">
        <f>VLOOKUP($B75,[50]TrtCodes!$B$11:N131,7)</f>
        <v>#N/A</v>
      </c>
      <c r="I75" s="34">
        <f>[50]FormattedData!B91</f>
        <v>0</v>
      </c>
      <c r="J75" s="37">
        <f>[50]FormattedData!C91</f>
        <v>0</v>
      </c>
      <c r="K75" s="39">
        <f>$J$3+[50]FormattedData!D91*$J$4+$M$4*$J$5+[50]FormattedData!D91^2*$J$6+$M$5*$J$7</f>
        <v>-0.68798505876453842</v>
      </c>
      <c r="L75" s="39">
        <f>$J$3+[50]FormattedData!E91*$J$4+$M$4*$J$5+[50]FormattedData!E91^2*$J$6+$M$5*$J$7</f>
        <v>-0.68798505876453842</v>
      </c>
      <c r="M75" s="39">
        <f>$J$3+[50]FormattedData!F91*$J$4+$M$4*$J$5+[50]FormattedData!F91^2*$J$6+$M$5*$J$7</f>
        <v>-0.68798505876453842</v>
      </c>
      <c r="N75" s="39">
        <f>$J$3+[50]FormattedData!G91*$J$4+$M$4*$J$5+[50]FormattedData!G91^2*$J$6+$M$5*$J$7</f>
        <v>-0.68798505876453842</v>
      </c>
      <c r="O75" s="39">
        <f>$J$3+[50]FormattedData!H91*$J$4+$M$4*$J$5+[50]FormattedData!H91^2*$J$6+$M$5*$J$7</f>
        <v>-0.68798505876453842</v>
      </c>
      <c r="P75" s="39">
        <f>$J$3+[50]FormattedData!I91*$J$4+$M$4*$J$5+[50]FormattedData!I91^2*$J$6+$M$5*$J$7</f>
        <v>-0.68798505876453842</v>
      </c>
      <c r="Q75" s="39">
        <f>$J$3+[50]FormattedData!J91*$J$4+$M$4*$J$5+[50]FormattedData!J91^2*$J$6+$M$5*$J$7</f>
        <v>-0.68798505876453842</v>
      </c>
      <c r="R75" s="39">
        <f>$J$3+[50]FormattedData!K91*$J$4+$M$4*$J$5+[50]FormattedData!K91^2*$J$6+$M$5*$J$7</f>
        <v>-0.68798505876453842</v>
      </c>
      <c r="S75" s="39">
        <f>$J$3+[50]FormattedData!L91*$J$4+$M$4*$J$5+[50]FormattedData!L91^2*$J$6+$M$5*$J$7</f>
        <v>-0.68798505876453842</v>
      </c>
      <c r="T75" s="39">
        <f>$J$3+[50]FormattedData!M91*$J$4+$M$4*$J$5+[50]FormattedData!M91^2*$J$6+$M$5*$J$7</f>
        <v>-0.68798505876453842</v>
      </c>
      <c r="U75" s="39">
        <f>$J$3+[50]FormattedData!N91*$J$4+$M$4*$J$5+[50]FormattedData!N91^2*$J$6+$M$5*$J$7</f>
        <v>-0.68798505876453842</v>
      </c>
      <c r="V75" s="39">
        <f>$J$3+[50]FormattedData!O91*$J$4+$M$4*$J$5+[50]FormattedData!O91^2*$J$6+$M$5*$J$7</f>
        <v>-0.68798505876453842</v>
      </c>
      <c r="W75" s="38">
        <f>AVERAGE(K75:V75)</f>
        <v>-0.68798505876453842</v>
      </c>
      <c r="X75" s="37">
        <f>STDEV(K75:V75)/SQRT(COUNT(K75:V75))</f>
        <v>0</v>
      </c>
      <c r="Y75" s="36">
        <f>MIN(K75:V75)</f>
        <v>-0.68798505876453842</v>
      </c>
      <c r="Z75" s="35">
        <f>QUARTILE(K75:V75,1)</f>
        <v>-0.68798505876453842</v>
      </c>
      <c r="AA75" s="36">
        <f>MEDIAN(K75:V75)</f>
        <v>-0.68798505876453842</v>
      </c>
      <c r="AB75" s="35">
        <f>QUARTILE(K75:V75,3)</f>
        <v>-0.68798505876453842</v>
      </c>
      <c r="AC75" s="35">
        <f>MAX(K75:V75)</f>
        <v>-0.68798505876453842</v>
      </c>
      <c r="AD75" s="35" t="e">
        <f>SKEW(K75:V75)</f>
        <v>#DIV/0!</v>
      </c>
      <c r="AE75" s="35" t="e">
        <f>KURT(K75:V75)</f>
        <v>#DIV/0!</v>
      </c>
    </row>
    <row r="76" spans="2:31" x14ac:dyDescent="0.2">
      <c r="B76" s="34">
        <f>[50]FormattedData!A89</f>
        <v>0</v>
      </c>
      <c r="C76" s="34" t="e">
        <f>VLOOKUP($B76,[50]TrtCodes!$B$11:I132,2)</f>
        <v>#N/A</v>
      </c>
      <c r="D76" s="34" t="e">
        <f>VLOOKUP($B76,[50]TrtCodes!$B$11:J132,3)</f>
        <v>#N/A</v>
      </c>
      <c r="E76" s="34" t="e">
        <f>VLOOKUP($B76,[50]TrtCodes!$B$11:K132,4)</f>
        <v>#N/A</v>
      </c>
      <c r="F76" s="34" t="e">
        <f>VLOOKUP($B76,[50]TrtCodes!$B$11:L132,5)</f>
        <v>#N/A</v>
      </c>
      <c r="G76" s="34" t="e">
        <f>VLOOKUP($B76,[50]TrtCodes!$B$11:M132,6)</f>
        <v>#N/A</v>
      </c>
      <c r="H76" s="34" t="e">
        <f>VLOOKUP($B76,[50]TrtCodes!$B$11:N132,7)</f>
        <v>#N/A</v>
      </c>
      <c r="I76" s="34">
        <f>[50]FormattedData!B89</f>
        <v>0</v>
      </c>
      <c r="J76" s="37">
        <f>[50]FormattedData!C89</f>
        <v>0</v>
      </c>
      <c r="K76" s="39">
        <f>$J$3+[50]FormattedData!D89*$J$4+$M$4*$J$5+[50]FormattedData!D89^2*$J$6+$M$5*$J$7</f>
        <v>-0.68798505876453842</v>
      </c>
      <c r="L76" s="39">
        <f>$J$3+[50]FormattedData!E89*$J$4+$M$4*$J$5+[50]FormattedData!E89^2*$J$6+$M$5*$J$7</f>
        <v>-0.68798505876453842</v>
      </c>
      <c r="M76" s="39">
        <f>$J$3+[50]FormattedData!F89*$J$4+$M$4*$J$5+[50]FormattedData!F89^2*$J$6+$M$5*$J$7</f>
        <v>-0.68798505876453842</v>
      </c>
      <c r="N76" s="39">
        <f>$J$3+[50]FormattedData!G89*$J$4+$M$4*$J$5+[50]FormattedData!G89^2*$J$6+$M$5*$J$7</f>
        <v>-0.68798505876453842</v>
      </c>
      <c r="O76" s="39">
        <f>$J$3+[50]FormattedData!H89*$J$4+$M$4*$J$5+[50]FormattedData!H89^2*$J$6+$M$5*$J$7</f>
        <v>-0.68798505876453842</v>
      </c>
      <c r="P76" s="39">
        <f>$J$3+[50]FormattedData!I89*$J$4+$M$4*$J$5+[50]FormattedData!I89^2*$J$6+$M$5*$J$7</f>
        <v>-0.68798505876453842</v>
      </c>
      <c r="Q76" s="39">
        <f>$J$3+[50]FormattedData!J89*$J$4+$M$4*$J$5+[50]FormattedData!J89^2*$J$6+$M$5*$J$7</f>
        <v>-0.68798505876453842</v>
      </c>
      <c r="R76" s="39">
        <f>$J$3+[50]FormattedData!K89*$J$4+$M$4*$J$5+[50]FormattedData!K89^2*$J$6+$M$5*$J$7</f>
        <v>-0.68798505876453842</v>
      </c>
      <c r="S76" s="39">
        <f>$J$3+[50]FormattedData!L89*$J$4+$M$4*$J$5+[50]FormattedData!L89^2*$J$6+$M$5*$J$7</f>
        <v>-0.68798505876453842</v>
      </c>
      <c r="T76" s="39">
        <f>$J$3+[50]FormattedData!M89*$J$4+$M$4*$J$5+[50]FormattedData!M89^2*$J$6+$M$5*$J$7</f>
        <v>-0.68798505876453842</v>
      </c>
      <c r="U76" s="39">
        <f>$J$3+[50]FormattedData!N89*$J$4+$M$4*$J$5+[50]FormattedData!N89^2*$J$6+$M$5*$J$7</f>
        <v>-0.68798505876453842</v>
      </c>
      <c r="V76" s="39">
        <f>$J$3+[50]FormattedData!O89*$J$4+$M$4*$J$5+[50]FormattedData!O89^2*$J$6+$M$5*$J$7</f>
        <v>-0.68798505876453842</v>
      </c>
      <c r="W76" s="38">
        <f>AVERAGE(K76:V76)</f>
        <v>-0.68798505876453842</v>
      </c>
      <c r="X76" s="37">
        <f>STDEV(K76:V76)/SQRT(COUNT(K76:V76))</f>
        <v>0</v>
      </c>
      <c r="Y76" s="36">
        <f>MIN(K76:V76)</f>
        <v>-0.68798505876453842</v>
      </c>
      <c r="Z76" s="35">
        <f>QUARTILE(K76:V76,1)</f>
        <v>-0.68798505876453842</v>
      </c>
      <c r="AA76" s="36">
        <f>MEDIAN(K76:V76)</f>
        <v>-0.68798505876453842</v>
      </c>
      <c r="AB76" s="35">
        <f>QUARTILE(K76:V76,3)</f>
        <v>-0.68798505876453842</v>
      </c>
      <c r="AC76" s="35">
        <f>MAX(K76:V76)</f>
        <v>-0.68798505876453842</v>
      </c>
      <c r="AD76" s="35" t="e">
        <f>SKEW(K76:V76)</f>
        <v>#DIV/0!</v>
      </c>
      <c r="AE76" s="35" t="e">
        <f>KURT(K76:V76)</f>
        <v>#DIV/0!</v>
      </c>
    </row>
    <row r="77" spans="2:31" x14ac:dyDescent="0.2">
      <c r="B77" s="34">
        <f>[50]FormattedData!A87</f>
        <v>0</v>
      </c>
      <c r="C77" s="34" t="e">
        <f>VLOOKUP($B77,[50]TrtCodes!$B$11:I130,2)</f>
        <v>#N/A</v>
      </c>
      <c r="D77" s="34" t="e">
        <f>VLOOKUP($B77,[50]TrtCodes!$B$11:J130,3)</f>
        <v>#N/A</v>
      </c>
      <c r="E77" s="34" t="e">
        <f>VLOOKUP($B77,[50]TrtCodes!$B$11:K130,4)</f>
        <v>#N/A</v>
      </c>
      <c r="F77" s="34" t="e">
        <f>VLOOKUP($B77,[50]TrtCodes!$B$11:L130,5)</f>
        <v>#N/A</v>
      </c>
      <c r="G77" s="34" t="e">
        <f>VLOOKUP($B77,[50]TrtCodes!$B$11:M130,6)</f>
        <v>#N/A</v>
      </c>
      <c r="H77" s="34" t="e">
        <f>VLOOKUP($B77,[50]TrtCodes!$B$11:N130,7)</f>
        <v>#N/A</v>
      </c>
      <c r="I77" s="34">
        <f>[50]FormattedData!B87</f>
        <v>0</v>
      </c>
      <c r="J77" s="37">
        <f>[50]FormattedData!C87</f>
        <v>0</v>
      </c>
      <c r="K77" s="39">
        <f>$J$3+[50]FormattedData!D87*$J$4+$M$4*$J$5+[50]FormattedData!D87^2*$J$6+$M$5*$J$7</f>
        <v>-0.68798505876453842</v>
      </c>
      <c r="L77" s="39">
        <f>$J$3+[50]FormattedData!E87*$J$4+$M$4*$J$5+[50]FormattedData!E87^2*$J$6+$M$5*$J$7</f>
        <v>-0.68798505876453842</v>
      </c>
      <c r="M77" s="39">
        <f>$J$3+[50]FormattedData!F87*$J$4+$M$4*$J$5+[50]FormattedData!F87^2*$J$6+$M$5*$J$7</f>
        <v>-0.68798505876453842</v>
      </c>
      <c r="N77" s="39">
        <f>$J$3+[50]FormattedData!G87*$J$4+$M$4*$J$5+[50]FormattedData!G87^2*$J$6+$M$5*$J$7</f>
        <v>-0.68798505876453842</v>
      </c>
      <c r="O77" s="39">
        <f>$J$3+[50]FormattedData!H87*$J$4+$M$4*$J$5+[50]FormattedData!H87^2*$J$6+$M$5*$J$7</f>
        <v>-0.68798505876453842</v>
      </c>
      <c r="P77" s="39">
        <f>$J$3+[50]FormattedData!I87*$J$4+$M$4*$J$5+[50]FormattedData!I87^2*$J$6+$M$5*$J$7</f>
        <v>-0.68798505876453842</v>
      </c>
      <c r="Q77" s="39">
        <f>$J$3+[50]FormattedData!J87*$J$4+$M$4*$J$5+[50]FormattedData!J87^2*$J$6+$M$5*$J$7</f>
        <v>-0.68798505876453842</v>
      </c>
      <c r="R77" s="39">
        <f>$J$3+[50]FormattedData!K87*$J$4+$M$4*$J$5+[50]FormattedData!K87^2*$J$6+$M$5*$J$7</f>
        <v>-0.68798505876453842</v>
      </c>
      <c r="S77" s="39">
        <f>$J$3+[50]FormattedData!L87*$J$4+$M$4*$J$5+[50]FormattedData!L87^2*$J$6+$M$5*$J$7</f>
        <v>-0.68798505876453842</v>
      </c>
      <c r="T77" s="39">
        <f>$J$3+[50]FormattedData!M87*$J$4+$M$4*$J$5+[50]FormattedData!M87^2*$J$6+$M$5*$J$7</f>
        <v>-0.68798505876453842</v>
      </c>
      <c r="U77" s="39">
        <f>$J$3+[50]FormattedData!N87*$J$4+$M$4*$J$5+[50]FormattedData!N87^2*$J$6+$M$5*$J$7</f>
        <v>-0.68798505876453842</v>
      </c>
      <c r="V77" s="39">
        <f>$J$3+[50]FormattedData!O87*$J$4+$M$4*$J$5+[50]FormattedData!O87^2*$J$6+$M$5*$J$7</f>
        <v>-0.68798505876453842</v>
      </c>
      <c r="W77" s="38">
        <f>AVERAGE(K77:V77)</f>
        <v>-0.68798505876453842</v>
      </c>
      <c r="X77" s="37">
        <f>STDEV(K77:V77)/SQRT(COUNT(K77:V77))</f>
        <v>0</v>
      </c>
      <c r="Y77" s="36">
        <f>MIN(K77:V77)</f>
        <v>-0.68798505876453842</v>
      </c>
      <c r="Z77" s="35">
        <f>QUARTILE(K77:V77,1)</f>
        <v>-0.68798505876453842</v>
      </c>
      <c r="AA77" s="36">
        <f>MEDIAN(K77:V77)</f>
        <v>-0.68798505876453842</v>
      </c>
      <c r="AB77" s="35">
        <f>QUARTILE(K77:V77,3)</f>
        <v>-0.68798505876453842</v>
      </c>
      <c r="AC77" s="35">
        <f>MAX(K77:V77)</f>
        <v>-0.68798505876453842</v>
      </c>
      <c r="AD77" s="35" t="e">
        <f>SKEW(K77:V77)</f>
        <v>#DIV/0!</v>
      </c>
      <c r="AE77" s="35" t="e">
        <f>KURT(K77:V77)</f>
        <v>#DIV/0!</v>
      </c>
    </row>
    <row r="78" spans="2:31" x14ac:dyDescent="0.2">
      <c r="B78" s="34">
        <f>[50]FormattedData!A85</f>
        <v>0</v>
      </c>
      <c r="C78" s="34" t="e">
        <f>VLOOKUP($B78,[50]TrtCodes!$B$11:I128,2)</f>
        <v>#N/A</v>
      </c>
      <c r="D78" s="34" t="e">
        <f>VLOOKUP($B78,[50]TrtCodes!$B$11:J128,3)</f>
        <v>#N/A</v>
      </c>
      <c r="E78" s="34" t="e">
        <f>VLOOKUP($B78,[50]TrtCodes!$B$11:K128,4)</f>
        <v>#N/A</v>
      </c>
      <c r="F78" s="34" t="e">
        <f>VLOOKUP($B78,[50]TrtCodes!$B$11:L128,5)</f>
        <v>#N/A</v>
      </c>
      <c r="G78" s="34" t="e">
        <f>VLOOKUP($B78,[50]TrtCodes!$B$11:M128,6)</f>
        <v>#N/A</v>
      </c>
      <c r="H78" s="34" t="e">
        <f>VLOOKUP($B78,[50]TrtCodes!$B$11:N128,7)</f>
        <v>#N/A</v>
      </c>
      <c r="I78" s="34">
        <f>[50]FormattedData!B85</f>
        <v>0</v>
      </c>
      <c r="J78" s="37">
        <f>[50]FormattedData!C85</f>
        <v>0</v>
      </c>
      <c r="K78" s="39">
        <f>$J$3+[50]FormattedData!D85*$J$4+$M$4*$J$5+[50]FormattedData!D85^2*$J$6+$M$5*$J$7</f>
        <v>-0.68798505876453842</v>
      </c>
      <c r="L78" s="39">
        <f>$J$3+[50]FormattedData!E85*$J$4+$M$4*$J$5+[50]FormattedData!E85^2*$J$6+$M$5*$J$7</f>
        <v>-0.68798505876453842</v>
      </c>
      <c r="M78" s="39">
        <f>$J$3+[50]FormattedData!F85*$J$4+$M$4*$J$5+[50]FormattedData!F85^2*$J$6+$M$5*$J$7</f>
        <v>-0.68798505876453842</v>
      </c>
      <c r="N78" s="39">
        <f>$J$3+[50]FormattedData!G85*$J$4+$M$4*$J$5+[50]FormattedData!G85^2*$J$6+$M$5*$J$7</f>
        <v>-0.68798505876453842</v>
      </c>
      <c r="O78" s="39">
        <f>$J$3+[50]FormattedData!H85*$J$4+$M$4*$J$5+[50]FormattedData!H85^2*$J$6+$M$5*$J$7</f>
        <v>-0.68798505876453842</v>
      </c>
      <c r="P78" s="39">
        <f>$J$3+[50]FormattedData!I85*$J$4+$M$4*$J$5+[50]FormattedData!I85^2*$J$6+$M$5*$J$7</f>
        <v>-0.68798505876453842</v>
      </c>
      <c r="Q78" s="39">
        <f>$J$3+[50]FormattedData!J85*$J$4+$M$4*$J$5+[50]FormattedData!J85^2*$J$6+$M$5*$J$7</f>
        <v>-0.68798505876453842</v>
      </c>
      <c r="R78" s="39">
        <f>$J$3+[50]FormattedData!K85*$J$4+$M$4*$J$5+[50]FormattedData!K85^2*$J$6+$M$5*$J$7</f>
        <v>-0.68798505876453842</v>
      </c>
      <c r="S78" s="39">
        <f>$J$3+[50]FormattedData!L85*$J$4+$M$4*$J$5+[50]FormattedData!L85^2*$J$6+$M$5*$J$7</f>
        <v>-0.68798505876453842</v>
      </c>
      <c r="T78" s="39">
        <f>$J$3+[50]FormattedData!M85*$J$4+$M$4*$J$5+[50]FormattedData!M85^2*$J$6+$M$5*$J$7</f>
        <v>-0.68798505876453842</v>
      </c>
      <c r="U78" s="39">
        <f>$J$3+[50]FormattedData!N85*$J$4+$M$4*$J$5+[50]FormattedData!N85^2*$J$6+$M$5*$J$7</f>
        <v>-0.68798505876453842</v>
      </c>
      <c r="V78" s="39">
        <f>$J$3+[50]FormattedData!O85*$J$4+$M$4*$J$5+[50]FormattedData!O85^2*$J$6+$M$5*$J$7</f>
        <v>-0.68798505876453842</v>
      </c>
      <c r="W78" s="38">
        <f>AVERAGE(K78:V78)</f>
        <v>-0.68798505876453842</v>
      </c>
      <c r="X78" s="37">
        <f>STDEV(K78:V78)/SQRT(COUNT(K78:V78))</f>
        <v>0</v>
      </c>
      <c r="Y78" s="36">
        <f>MIN(K78:V78)</f>
        <v>-0.68798505876453842</v>
      </c>
      <c r="Z78" s="35">
        <f>QUARTILE(K78:V78,1)</f>
        <v>-0.68798505876453842</v>
      </c>
      <c r="AA78" s="36">
        <f>MEDIAN(K78:V78)</f>
        <v>-0.68798505876453842</v>
      </c>
      <c r="AB78" s="35">
        <f>QUARTILE(K78:V78,3)</f>
        <v>-0.68798505876453842</v>
      </c>
      <c r="AC78" s="35">
        <f>MAX(K78:V78)</f>
        <v>-0.68798505876453842</v>
      </c>
      <c r="AD78" s="35" t="e">
        <f>SKEW(K78:V78)</f>
        <v>#DIV/0!</v>
      </c>
      <c r="AE78" s="35" t="e">
        <f>KURT(K78:V78)</f>
        <v>#DIV/0!</v>
      </c>
    </row>
    <row r="79" spans="2:31" x14ac:dyDescent="0.2">
      <c r="B79" s="34">
        <f>[50]FormattedData!A83</f>
        <v>0</v>
      </c>
      <c r="C79" s="34" t="e">
        <f>VLOOKUP($B79,[50]TrtCodes!$B$11:I126,2)</f>
        <v>#N/A</v>
      </c>
      <c r="D79" s="34" t="e">
        <f>VLOOKUP($B79,[50]TrtCodes!$B$11:J126,3)</f>
        <v>#N/A</v>
      </c>
      <c r="E79" s="34" t="e">
        <f>VLOOKUP($B79,[50]TrtCodes!$B$11:K126,4)</f>
        <v>#N/A</v>
      </c>
      <c r="F79" s="34" t="e">
        <f>VLOOKUP($B79,[50]TrtCodes!$B$11:L126,5)</f>
        <v>#N/A</v>
      </c>
      <c r="G79" s="34" t="e">
        <f>VLOOKUP($B79,[50]TrtCodes!$B$11:M126,6)</f>
        <v>#N/A</v>
      </c>
      <c r="H79" s="34" t="e">
        <f>VLOOKUP($B79,[50]TrtCodes!$B$11:N126,7)</f>
        <v>#N/A</v>
      </c>
      <c r="I79" s="34">
        <f>[50]FormattedData!B83</f>
        <v>0</v>
      </c>
      <c r="J79" s="37">
        <f>[50]FormattedData!C83</f>
        <v>0</v>
      </c>
      <c r="K79" s="39">
        <f>$J$3+[50]FormattedData!D83*$J$4+$M$4*$J$5+[50]FormattedData!D83^2*$J$6+$M$5*$J$7</f>
        <v>-0.68798505876453842</v>
      </c>
      <c r="L79" s="39">
        <f>$J$3+[50]FormattedData!E83*$J$4+$M$4*$J$5+[50]FormattedData!E83^2*$J$6+$M$5*$J$7</f>
        <v>-0.68798505876453842</v>
      </c>
      <c r="M79" s="39">
        <f>$J$3+[50]FormattedData!F83*$J$4+$M$4*$J$5+[50]FormattedData!F83^2*$J$6+$M$5*$J$7</f>
        <v>-0.68798505876453842</v>
      </c>
      <c r="N79" s="39">
        <f>$J$3+[50]FormattedData!G83*$J$4+$M$4*$J$5+[50]FormattedData!G83^2*$J$6+$M$5*$J$7</f>
        <v>-0.68798505876453842</v>
      </c>
      <c r="O79" s="39">
        <f>$J$3+[50]FormattedData!H83*$J$4+$M$4*$J$5+[50]FormattedData!H83^2*$J$6+$M$5*$J$7</f>
        <v>-0.68798505876453842</v>
      </c>
      <c r="P79" s="39">
        <f>$J$3+[50]FormattedData!I83*$J$4+$M$4*$J$5+[50]FormattedData!I83^2*$J$6+$M$5*$J$7</f>
        <v>-0.68798505876453842</v>
      </c>
      <c r="Q79" s="39">
        <f>$J$3+[50]FormattedData!J83*$J$4+$M$4*$J$5+[50]FormattedData!J83^2*$J$6+$M$5*$J$7</f>
        <v>-0.68798505876453842</v>
      </c>
      <c r="R79" s="39">
        <f>$J$3+[50]FormattedData!K83*$J$4+$M$4*$J$5+[50]FormattedData!K83^2*$J$6+$M$5*$J$7</f>
        <v>-0.68798505876453842</v>
      </c>
      <c r="S79" s="39">
        <f>$J$3+[50]FormattedData!L83*$J$4+$M$4*$J$5+[50]FormattedData!L83^2*$J$6+$M$5*$J$7</f>
        <v>-0.68798505876453842</v>
      </c>
      <c r="T79" s="39">
        <f>$J$3+[50]FormattedData!M83*$J$4+$M$4*$J$5+[50]FormattedData!M83^2*$J$6+$M$5*$J$7</f>
        <v>-0.68798505876453842</v>
      </c>
      <c r="U79" s="39">
        <f>$J$3+[50]FormattedData!N83*$J$4+$M$4*$J$5+[50]FormattedData!N83^2*$J$6+$M$5*$J$7</f>
        <v>-0.68798505876453842</v>
      </c>
      <c r="V79" s="39">
        <f>$J$3+[50]FormattedData!O83*$J$4+$M$4*$J$5+[50]FormattedData!O83^2*$J$6+$M$5*$J$7</f>
        <v>-0.68798505876453842</v>
      </c>
      <c r="W79" s="38">
        <f>AVERAGE(K79:V79)</f>
        <v>-0.68798505876453842</v>
      </c>
      <c r="X79" s="37">
        <f>STDEV(K79:V79)/SQRT(COUNT(K79:V79))</f>
        <v>0</v>
      </c>
      <c r="Y79" s="36">
        <f>MIN(K79:V79)</f>
        <v>-0.68798505876453842</v>
      </c>
      <c r="Z79" s="35">
        <f>QUARTILE(K79:V79,1)</f>
        <v>-0.68798505876453842</v>
      </c>
      <c r="AA79" s="36">
        <f>MEDIAN(K79:V79)</f>
        <v>-0.68798505876453842</v>
      </c>
      <c r="AB79" s="35">
        <f>QUARTILE(K79:V79,3)</f>
        <v>-0.68798505876453842</v>
      </c>
      <c r="AC79" s="35">
        <f>MAX(K79:V79)</f>
        <v>-0.68798505876453842</v>
      </c>
      <c r="AD79" s="35" t="e">
        <f>SKEW(K79:V79)</f>
        <v>#DIV/0!</v>
      </c>
      <c r="AE79" s="35" t="e">
        <f>KURT(K79:V79)</f>
        <v>#DIV/0!</v>
      </c>
    </row>
    <row r="80" spans="2:31" x14ac:dyDescent="0.2">
      <c r="B80" s="34">
        <f>[50]FormattedData!A81</f>
        <v>0</v>
      </c>
      <c r="C80" s="34" t="e">
        <f>VLOOKUP($B80,[50]TrtCodes!$B$11:I124,2)</f>
        <v>#N/A</v>
      </c>
      <c r="D80" s="34" t="e">
        <f>VLOOKUP($B80,[50]TrtCodes!$B$11:J124,3)</f>
        <v>#N/A</v>
      </c>
      <c r="E80" s="34" t="e">
        <f>VLOOKUP($B80,[50]TrtCodes!$B$11:K124,4)</f>
        <v>#N/A</v>
      </c>
      <c r="F80" s="34" t="e">
        <f>VLOOKUP($B80,[50]TrtCodes!$B$11:L124,5)</f>
        <v>#N/A</v>
      </c>
      <c r="G80" s="34" t="e">
        <f>VLOOKUP($B80,[50]TrtCodes!$B$11:M124,6)</f>
        <v>#N/A</v>
      </c>
      <c r="H80" s="34" t="e">
        <f>VLOOKUP($B80,[50]TrtCodes!$B$11:N124,7)</f>
        <v>#N/A</v>
      </c>
      <c r="I80" s="34">
        <f>[50]FormattedData!B81</f>
        <v>0</v>
      </c>
      <c r="J80" s="37">
        <f>[50]FormattedData!C81</f>
        <v>0</v>
      </c>
      <c r="K80" s="39">
        <f>$J$3+[50]FormattedData!D81*$J$4+$M$4*$J$5+[50]FormattedData!D81^2*$J$6+$M$5*$J$7</f>
        <v>-0.68798505876453842</v>
      </c>
      <c r="L80" s="39">
        <f>$J$3+[50]FormattedData!E81*$J$4+$M$4*$J$5+[50]FormattedData!E81^2*$J$6+$M$5*$J$7</f>
        <v>-0.68798505876453842</v>
      </c>
      <c r="M80" s="39">
        <f>$J$3+[50]FormattedData!F81*$J$4+$M$4*$J$5+[50]FormattedData!F81^2*$J$6+$M$5*$J$7</f>
        <v>-0.68798505876453842</v>
      </c>
      <c r="N80" s="39">
        <f>$J$3+[50]FormattedData!G81*$J$4+$M$4*$J$5+[50]FormattedData!G81^2*$J$6+$M$5*$J$7</f>
        <v>-0.68798505876453842</v>
      </c>
      <c r="O80" s="39">
        <f>$J$3+[50]FormattedData!H81*$J$4+$M$4*$J$5+[50]FormattedData!H81^2*$J$6+$M$5*$J$7</f>
        <v>-0.68798505876453842</v>
      </c>
      <c r="P80" s="39">
        <f>$J$3+[50]FormattedData!I81*$J$4+$M$4*$J$5+[50]FormattedData!I81^2*$J$6+$M$5*$J$7</f>
        <v>-0.68798505876453842</v>
      </c>
      <c r="Q80" s="39">
        <f>$J$3+[50]FormattedData!J81*$J$4+$M$4*$J$5+[50]FormattedData!J81^2*$J$6+$M$5*$J$7</f>
        <v>-0.68798505876453842</v>
      </c>
      <c r="R80" s="39">
        <f>$J$3+[50]FormattedData!K81*$J$4+$M$4*$J$5+[50]FormattedData!K81^2*$J$6+$M$5*$J$7</f>
        <v>-0.68798505876453842</v>
      </c>
      <c r="S80" s="39">
        <f>$J$3+[50]FormattedData!L81*$J$4+$M$4*$J$5+[50]FormattedData!L81^2*$J$6+$M$5*$J$7</f>
        <v>-0.68798505876453842</v>
      </c>
      <c r="T80" s="39">
        <f>$J$3+[50]FormattedData!M81*$J$4+$M$4*$J$5+[50]FormattedData!M81^2*$J$6+$M$5*$J$7</f>
        <v>-0.68798505876453842</v>
      </c>
      <c r="U80" s="39">
        <f>$J$3+[50]FormattedData!N81*$J$4+$M$4*$J$5+[50]FormattedData!N81^2*$J$6+$M$5*$J$7</f>
        <v>-0.68798505876453842</v>
      </c>
      <c r="V80" s="39">
        <f>$J$3+[50]FormattedData!O81*$J$4+$M$4*$J$5+[50]FormattedData!O81^2*$J$6+$M$5*$J$7</f>
        <v>-0.68798505876453842</v>
      </c>
      <c r="W80" s="38">
        <f>AVERAGE(K80:V80)</f>
        <v>-0.68798505876453842</v>
      </c>
      <c r="X80" s="37">
        <f>STDEV(K80:V80)/SQRT(COUNT(K80:V80))</f>
        <v>0</v>
      </c>
      <c r="Y80" s="36">
        <f>MIN(K80:V80)</f>
        <v>-0.68798505876453842</v>
      </c>
      <c r="Z80" s="35">
        <f>QUARTILE(K80:V80,1)</f>
        <v>-0.68798505876453842</v>
      </c>
      <c r="AA80" s="36">
        <f>MEDIAN(K80:V80)</f>
        <v>-0.68798505876453842</v>
      </c>
      <c r="AB80" s="35">
        <f>QUARTILE(K80:V80,3)</f>
        <v>-0.68798505876453842</v>
      </c>
      <c r="AC80" s="35">
        <f>MAX(K80:V80)</f>
        <v>-0.68798505876453842</v>
      </c>
      <c r="AD80" s="35" t="e">
        <f>SKEW(K80:V80)</f>
        <v>#DIV/0!</v>
      </c>
      <c r="AE80" s="35" t="e">
        <f>KURT(K80:V80)</f>
        <v>#DIV/0!</v>
      </c>
    </row>
    <row r="81" spans="2:31" x14ac:dyDescent="0.2">
      <c r="B81" s="34">
        <f>[50]FormattedData!A79</f>
        <v>0</v>
      </c>
      <c r="C81" s="34" t="e">
        <f>VLOOKUP($B81,[50]TrtCodes!$B$11:I122,2)</f>
        <v>#N/A</v>
      </c>
      <c r="D81" s="34" t="e">
        <f>VLOOKUP($B81,[50]TrtCodes!$B$11:J122,3)</f>
        <v>#N/A</v>
      </c>
      <c r="E81" s="34" t="e">
        <f>VLOOKUP($B81,[50]TrtCodes!$B$11:K122,4)</f>
        <v>#N/A</v>
      </c>
      <c r="F81" s="34" t="e">
        <f>VLOOKUP($B81,[50]TrtCodes!$B$11:L122,5)</f>
        <v>#N/A</v>
      </c>
      <c r="G81" s="34" t="e">
        <f>VLOOKUP($B81,[50]TrtCodes!$B$11:M122,6)</f>
        <v>#N/A</v>
      </c>
      <c r="H81" s="34" t="e">
        <f>VLOOKUP($B81,[50]TrtCodes!$B$11:N122,7)</f>
        <v>#N/A</v>
      </c>
      <c r="I81" s="34">
        <f>[50]FormattedData!B79</f>
        <v>0</v>
      </c>
      <c r="J81" s="37">
        <f>[50]FormattedData!C79</f>
        <v>0</v>
      </c>
      <c r="K81" s="39">
        <f>$J$3+[50]FormattedData!D79*$J$4+$M$4*$J$5+[50]FormattedData!D79^2*$J$6+$M$5*$J$7</f>
        <v>-0.68798505876453842</v>
      </c>
      <c r="L81" s="39">
        <f>$J$3+[50]FormattedData!E79*$J$4+$M$4*$J$5+[50]FormattedData!E79^2*$J$6+$M$5*$J$7</f>
        <v>-0.68798505876453842</v>
      </c>
      <c r="M81" s="39">
        <f>$J$3+[50]FormattedData!F79*$J$4+$M$4*$J$5+[50]FormattedData!F79^2*$J$6+$M$5*$J$7</f>
        <v>-0.68798505876453842</v>
      </c>
      <c r="N81" s="39">
        <f>$J$3+[50]FormattedData!G79*$J$4+$M$4*$J$5+[50]FormattedData!G79^2*$J$6+$M$5*$J$7</f>
        <v>-0.68798505876453842</v>
      </c>
      <c r="O81" s="39">
        <f>$J$3+[50]FormattedData!H79*$J$4+$M$4*$J$5+[50]FormattedData!H79^2*$J$6+$M$5*$J$7</f>
        <v>-0.68798505876453842</v>
      </c>
      <c r="P81" s="39">
        <f>$J$3+[50]FormattedData!I79*$J$4+$M$4*$J$5+[50]FormattedData!I79^2*$J$6+$M$5*$J$7</f>
        <v>-0.68798505876453842</v>
      </c>
      <c r="Q81" s="39">
        <f>$J$3+[50]FormattedData!J79*$J$4+$M$4*$J$5+[50]FormattedData!J79^2*$J$6+$M$5*$J$7</f>
        <v>-0.68798505876453842</v>
      </c>
      <c r="R81" s="39">
        <f>$J$3+[50]FormattedData!K79*$J$4+$M$4*$J$5+[50]FormattedData!K79^2*$J$6+$M$5*$J$7</f>
        <v>-0.68798505876453842</v>
      </c>
      <c r="S81" s="39">
        <f>$J$3+[50]FormattedData!L79*$J$4+$M$4*$J$5+[50]FormattedData!L79^2*$J$6+$M$5*$J$7</f>
        <v>-0.68798505876453842</v>
      </c>
      <c r="T81" s="39">
        <f>$J$3+[50]FormattedData!M79*$J$4+$M$4*$J$5+[50]FormattedData!M79^2*$J$6+$M$5*$J$7</f>
        <v>-0.68798505876453842</v>
      </c>
      <c r="U81" s="39">
        <f>$J$3+[50]FormattedData!N79*$J$4+$M$4*$J$5+[50]FormattedData!N79^2*$J$6+$M$5*$J$7</f>
        <v>-0.68798505876453842</v>
      </c>
      <c r="V81" s="39">
        <f>$J$3+[50]FormattedData!O79*$J$4+$M$4*$J$5+[50]FormattedData!O79^2*$J$6+$M$5*$J$7</f>
        <v>-0.68798505876453842</v>
      </c>
      <c r="W81" s="38">
        <f>AVERAGE(K81:V81)</f>
        <v>-0.68798505876453842</v>
      </c>
      <c r="X81" s="37">
        <f>STDEV(K81:V81)/SQRT(COUNT(K81:V81))</f>
        <v>0</v>
      </c>
      <c r="Y81" s="36">
        <f>MIN(K81:V81)</f>
        <v>-0.68798505876453842</v>
      </c>
      <c r="Z81" s="35">
        <f>QUARTILE(K81:V81,1)</f>
        <v>-0.68798505876453842</v>
      </c>
      <c r="AA81" s="36">
        <f>MEDIAN(K81:V81)</f>
        <v>-0.68798505876453842</v>
      </c>
      <c r="AB81" s="35">
        <f>QUARTILE(K81:V81,3)</f>
        <v>-0.68798505876453842</v>
      </c>
      <c r="AC81" s="35">
        <f>MAX(K81:V81)</f>
        <v>-0.68798505876453842</v>
      </c>
      <c r="AD81" s="35" t="e">
        <f>SKEW(K81:V81)</f>
        <v>#DIV/0!</v>
      </c>
      <c r="AE81" s="35" t="e">
        <f>KURT(K81:V81)</f>
        <v>#DIV/0!</v>
      </c>
    </row>
    <row r="82" spans="2:31" x14ac:dyDescent="0.2">
      <c r="B82" s="34">
        <f>[50]FormattedData!A59</f>
        <v>0</v>
      </c>
      <c r="C82" s="34" t="e">
        <f>VLOOKUP($B82,[50]TrtCodes!$B$11:I102,2)</f>
        <v>#N/A</v>
      </c>
      <c r="D82" s="34" t="e">
        <f>VLOOKUP($B82,[50]TrtCodes!$B$11:J102,3)</f>
        <v>#N/A</v>
      </c>
      <c r="E82" s="34" t="e">
        <f>VLOOKUP($B82,[50]TrtCodes!$B$11:K102,4)</f>
        <v>#N/A</v>
      </c>
      <c r="F82" s="34" t="e">
        <f>VLOOKUP($B82,[50]TrtCodes!$B$11:L102,5)</f>
        <v>#N/A</v>
      </c>
      <c r="G82" s="34" t="e">
        <f>VLOOKUP($B82,[50]TrtCodes!$B$11:M102,6)</f>
        <v>#N/A</v>
      </c>
      <c r="H82" s="34" t="e">
        <f>VLOOKUP($B82,[50]TrtCodes!$B$11:N102,7)</f>
        <v>#N/A</v>
      </c>
      <c r="I82" s="34">
        <f>[50]FormattedData!B59</f>
        <v>0</v>
      </c>
      <c r="J82" s="37">
        <f>[50]FormattedData!C59</f>
        <v>0</v>
      </c>
      <c r="K82" s="39">
        <f>$J$3+[50]FormattedData!D59*$J$4+$M$4*$J$5+[50]FormattedData!D59^2*$J$6+$M$5*$J$7</f>
        <v>-0.68798505876453842</v>
      </c>
      <c r="L82" s="39">
        <f>$J$3+[50]FormattedData!E59*$J$4+$M$4*$J$5+[50]FormattedData!E59^2*$J$6+$M$5*$J$7</f>
        <v>-0.68798505876453842</v>
      </c>
      <c r="M82" s="39">
        <f>$J$3+[50]FormattedData!F59*$J$4+$M$4*$J$5+[50]FormattedData!F59^2*$J$6+$M$5*$J$7</f>
        <v>-0.68798505876453842</v>
      </c>
      <c r="N82" s="39">
        <f>$J$3+[50]FormattedData!G59*$J$4+$M$4*$J$5+[50]FormattedData!G59^2*$J$6+$M$5*$J$7</f>
        <v>-0.68798505876453842</v>
      </c>
      <c r="O82" s="39">
        <f>$J$3+[50]FormattedData!H59*$J$4+$M$4*$J$5+[50]FormattedData!H59^2*$J$6+$M$5*$J$7</f>
        <v>-0.68798505876453842</v>
      </c>
      <c r="P82" s="39">
        <f>$J$3+[50]FormattedData!I59*$J$4+$M$4*$J$5+[50]FormattedData!I59^2*$J$6+$M$5*$J$7</f>
        <v>-0.68798505876453842</v>
      </c>
      <c r="Q82" s="39">
        <f>$J$3+[50]FormattedData!J59*$J$4+$M$4*$J$5+[50]FormattedData!J59^2*$J$6+$M$5*$J$7</f>
        <v>-0.68798505876453842</v>
      </c>
      <c r="R82" s="39">
        <f>$J$3+[50]FormattedData!K59*$J$4+$M$4*$J$5+[50]FormattedData!K59^2*$J$6+$M$5*$J$7</f>
        <v>-0.68798505876453842</v>
      </c>
      <c r="S82" s="39">
        <f>$J$3+[50]FormattedData!L59*$J$4+$M$4*$J$5+[50]FormattedData!L59^2*$J$6+$M$5*$J$7</f>
        <v>-0.68798505876453842</v>
      </c>
      <c r="T82" s="39">
        <f>$J$3+[50]FormattedData!M59*$J$4+$M$4*$J$5+[50]FormattedData!M59^2*$J$6+$M$5*$J$7</f>
        <v>-0.68798505876453842</v>
      </c>
      <c r="U82" s="39">
        <f>$J$3+[50]FormattedData!N59*$J$4+$M$4*$J$5+[50]FormattedData!N59^2*$J$6+$M$5*$J$7</f>
        <v>-0.68798505876453842</v>
      </c>
      <c r="V82" s="39">
        <f>$J$3+[50]FormattedData!O59*$J$4+$M$4*$J$5+[50]FormattedData!O59^2*$J$6+$M$5*$J$7</f>
        <v>-0.68798505876453842</v>
      </c>
      <c r="W82" s="38">
        <f>AVERAGE(K82:V82)</f>
        <v>-0.68798505876453842</v>
      </c>
      <c r="X82" s="37">
        <f>STDEV(K82:V82)/SQRT(COUNT(K82:V82))</f>
        <v>0</v>
      </c>
      <c r="Y82" s="36">
        <f>MIN(K82:V82)</f>
        <v>-0.68798505876453842</v>
      </c>
      <c r="Z82" s="35">
        <f>QUARTILE(K82:V82,1)</f>
        <v>-0.68798505876453842</v>
      </c>
      <c r="AA82" s="36">
        <f>MEDIAN(K82:V82)</f>
        <v>-0.68798505876453842</v>
      </c>
      <c r="AB82" s="35">
        <f>QUARTILE(K82:V82,3)</f>
        <v>-0.68798505876453842</v>
      </c>
      <c r="AC82" s="35">
        <f>MAX(K82:V82)</f>
        <v>-0.68798505876453842</v>
      </c>
      <c r="AD82" s="35" t="e">
        <f>SKEW(K82:V82)</f>
        <v>#DIV/0!</v>
      </c>
      <c r="AE82" s="35" t="e">
        <f>KURT(K82:V82)</f>
        <v>#DIV/0!</v>
      </c>
    </row>
    <row r="83" spans="2:31" x14ac:dyDescent="0.2">
      <c r="B83" s="34">
        <f>[50]FormattedData!A55</f>
        <v>0</v>
      </c>
      <c r="C83" s="34" t="e">
        <f>VLOOKUP($B83,[50]TrtCodes!$B$11:I98,2)</f>
        <v>#N/A</v>
      </c>
      <c r="D83" s="34" t="e">
        <f>VLOOKUP($B83,[50]TrtCodes!$B$11:J98,3)</f>
        <v>#N/A</v>
      </c>
      <c r="E83" s="34" t="e">
        <f>VLOOKUP($B83,[50]TrtCodes!$B$11:K98,4)</f>
        <v>#N/A</v>
      </c>
      <c r="F83" s="34" t="e">
        <f>VLOOKUP($B83,[50]TrtCodes!$B$11:L98,5)</f>
        <v>#N/A</v>
      </c>
      <c r="G83" s="34" t="e">
        <f>VLOOKUP($B83,[50]TrtCodes!$B$11:M98,6)</f>
        <v>#N/A</v>
      </c>
      <c r="H83" s="34" t="e">
        <f>VLOOKUP($B83,[50]TrtCodes!$B$11:N98,7)</f>
        <v>#N/A</v>
      </c>
      <c r="I83" s="34">
        <f>[50]FormattedData!B55</f>
        <v>0</v>
      </c>
      <c r="J83" s="37">
        <f>[50]FormattedData!C55</f>
        <v>0</v>
      </c>
      <c r="K83" s="39">
        <f>$J$3+[50]FormattedData!D55*$J$4+$M$4*$J$5+[50]FormattedData!D55^2*$J$6+$M$5*$J$7</f>
        <v>-0.68798505876453842</v>
      </c>
      <c r="L83" s="39">
        <f>$J$3+[50]FormattedData!E55*$J$4+$M$4*$J$5+[50]FormattedData!E55^2*$J$6+$M$5*$J$7</f>
        <v>-0.68798505876453842</v>
      </c>
      <c r="M83" s="39">
        <f>$J$3+[50]FormattedData!F55*$J$4+$M$4*$J$5+[50]FormattedData!F55^2*$J$6+$M$5*$J$7</f>
        <v>-0.68798505876453842</v>
      </c>
      <c r="N83" s="39">
        <f>$J$3+[50]FormattedData!G55*$J$4+$M$4*$J$5+[50]FormattedData!G55^2*$J$6+$M$5*$J$7</f>
        <v>-0.68798505876453842</v>
      </c>
      <c r="O83" s="39">
        <f>$J$3+[50]FormattedData!H55*$J$4+$M$4*$J$5+[50]FormattedData!H55^2*$J$6+$M$5*$J$7</f>
        <v>-0.68798505876453842</v>
      </c>
      <c r="P83" s="39">
        <f>$J$3+[50]FormattedData!I55*$J$4+$M$4*$J$5+[50]FormattedData!I55^2*$J$6+$M$5*$J$7</f>
        <v>-0.68798505876453842</v>
      </c>
      <c r="Q83" s="39">
        <f>$J$3+[50]FormattedData!J55*$J$4+$M$4*$J$5+[50]FormattedData!J55^2*$J$6+$M$5*$J$7</f>
        <v>-0.68798505876453842</v>
      </c>
      <c r="R83" s="39">
        <f>$J$3+[50]FormattedData!K55*$J$4+$M$4*$J$5+[50]FormattedData!K55^2*$J$6+$M$5*$J$7</f>
        <v>-0.68798505876453842</v>
      </c>
      <c r="S83" s="39">
        <f>$J$3+[50]FormattedData!L55*$J$4+$M$4*$J$5+[50]FormattedData!L55^2*$J$6+$M$5*$J$7</f>
        <v>-0.68798505876453842</v>
      </c>
      <c r="T83" s="39">
        <f>$J$3+[50]FormattedData!M55*$J$4+$M$4*$J$5+[50]FormattedData!M55^2*$J$6+$M$5*$J$7</f>
        <v>-0.68798505876453842</v>
      </c>
      <c r="U83" s="39">
        <f>$J$3+[50]FormattedData!N55*$J$4+$M$4*$J$5+[50]FormattedData!N55^2*$J$6+$M$5*$J$7</f>
        <v>-0.68798505876453842</v>
      </c>
      <c r="V83" s="39">
        <f>$J$3+[50]FormattedData!O55*$J$4+$M$4*$J$5+[50]FormattedData!O55^2*$J$6+$M$5*$J$7</f>
        <v>-0.68798505876453842</v>
      </c>
      <c r="W83" s="38">
        <f>AVERAGE(K83:V83)</f>
        <v>-0.68798505876453842</v>
      </c>
      <c r="X83" s="37">
        <f>STDEV(K83:V83)/SQRT(COUNT(K83:V83))</f>
        <v>0</v>
      </c>
      <c r="Y83" s="36">
        <f>MIN(K83:V83)</f>
        <v>-0.68798505876453842</v>
      </c>
      <c r="Z83" s="35">
        <f>QUARTILE(K83:V83,1)</f>
        <v>-0.68798505876453842</v>
      </c>
      <c r="AA83" s="36">
        <f>MEDIAN(K83:V83)</f>
        <v>-0.68798505876453842</v>
      </c>
      <c r="AB83" s="35">
        <f>QUARTILE(K83:V83,3)</f>
        <v>-0.68798505876453842</v>
      </c>
      <c r="AC83" s="35">
        <f>MAX(K83:V83)</f>
        <v>-0.68798505876453842</v>
      </c>
      <c r="AD83" s="35" t="e">
        <f>SKEW(K83:V83)</f>
        <v>#DIV/0!</v>
      </c>
      <c r="AE83" s="35" t="e">
        <f>KURT(K83:V83)</f>
        <v>#DIV/0!</v>
      </c>
    </row>
    <row r="84" spans="2:31" x14ac:dyDescent="0.2">
      <c r="B84" s="34">
        <f>[50]FormattedData!A51</f>
        <v>0</v>
      </c>
      <c r="C84" s="34" t="e">
        <f>VLOOKUP($B84,[50]TrtCodes!$B$11:I94,2)</f>
        <v>#N/A</v>
      </c>
      <c r="D84" s="34" t="e">
        <f>VLOOKUP($B84,[50]TrtCodes!$B$11:J94,3)</f>
        <v>#N/A</v>
      </c>
      <c r="E84" s="34" t="e">
        <f>VLOOKUP($B84,[50]TrtCodes!$B$11:K94,4)</f>
        <v>#N/A</v>
      </c>
      <c r="F84" s="34" t="e">
        <f>VLOOKUP($B84,[50]TrtCodes!$B$11:L94,5)</f>
        <v>#N/A</v>
      </c>
      <c r="G84" s="34" t="e">
        <f>VLOOKUP($B84,[50]TrtCodes!$B$11:M94,6)</f>
        <v>#N/A</v>
      </c>
      <c r="H84" s="34" t="e">
        <f>VLOOKUP($B84,[50]TrtCodes!$B$11:N94,7)</f>
        <v>#N/A</v>
      </c>
      <c r="I84" s="34">
        <f>[50]FormattedData!B51</f>
        <v>0</v>
      </c>
      <c r="J84" s="37">
        <f>[50]FormattedData!C51</f>
        <v>0</v>
      </c>
      <c r="K84" s="39">
        <f>$J$3+[50]FormattedData!D51*$J$4+$M$4*$J$5+[50]FormattedData!D51^2*$J$6+$M$5*$J$7</f>
        <v>-0.68798505876453842</v>
      </c>
      <c r="L84" s="39">
        <f>$J$3+[50]FormattedData!E51*$J$4+$M$4*$J$5+[50]FormattedData!E51^2*$J$6+$M$5*$J$7</f>
        <v>-0.68798505876453842</v>
      </c>
      <c r="M84" s="39">
        <f>$J$3+[50]FormattedData!F51*$J$4+$M$4*$J$5+[50]FormattedData!F51^2*$J$6+$M$5*$J$7</f>
        <v>-0.68798505876453842</v>
      </c>
      <c r="N84" s="39">
        <f>$J$3+[50]FormattedData!G51*$J$4+$M$4*$J$5+[50]FormattedData!G51^2*$J$6+$M$5*$J$7</f>
        <v>-0.68798505876453842</v>
      </c>
      <c r="O84" s="39">
        <f>$J$3+[50]FormattedData!H51*$J$4+$M$4*$J$5+[50]FormattedData!H51^2*$J$6+$M$5*$J$7</f>
        <v>-0.68798505876453842</v>
      </c>
      <c r="P84" s="39">
        <f>$J$3+[50]FormattedData!I51*$J$4+$M$4*$J$5+[50]FormattedData!I51^2*$J$6+$M$5*$J$7</f>
        <v>-0.68798505876453842</v>
      </c>
      <c r="Q84" s="39">
        <f>$J$3+[50]FormattedData!J51*$J$4+$M$4*$J$5+[50]FormattedData!J51^2*$J$6+$M$5*$J$7</f>
        <v>-0.68798505876453842</v>
      </c>
      <c r="R84" s="39">
        <f>$J$3+[50]FormattedData!K51*$J$4+$M$4*$J$5+[50]FormattedData!K51^2*$J$6+$M$5*$J$7</f>
        <v>-0.68798505876453842</v>
      </c>
      <c r="S84" s="39">
        <f>$J$3+[50]FormattedData!L51*$J$4+$M$4*$J$5+[50]FormattedData!L51^2*$J$6+$M$5*$J$7</f>
        <v>-0.68798505876453842</v>
      </c>
      <c r="T84" s="39">
        <f>$J$3+[50]FormattedData!M51*$J$4+$M$4*$J$5+[50]FormattedData!M51^2*$J$6+$M$5*$J$7</f>
        <v>-0.68798505876453842</v>
      </c>
      <c r="U84" s="39">
        <f>$J$3+[50]FormattedData!N51*$J$4+$M$4*$J$5+[50]FormattedData!N51^2*$J$6+$M$5*$J$7</f>
        <v>-0.68798505876453842</v>
      </c>
      <c r="V84" s="39">
        <f>$J$3+[50]FormattedData!O51*$J$4+$M$4*$J$5+[50]FormattedData!O51^2*$J$6+$M$5*$J$7</f>
        <v>-0.68798505876453842</v>
      </c>
      <c r="W84" s="38">
        <f>AVERAGE(K84:V84)</f>
        <v>-0.68798505876453842</v>
      </c>
      <c r="X84" s="37">
        <f>STDEV(K84:V84)/SQRT(COUNT(K84:V84))</f>
        <v>0</v>
      </c>
      <c r="Y84" s="36">
        <f>MIN(K84:V84)</f>
        <v>-0.68798505876453842</v>
      </c>
      <c r="Z84" s="35">
        <f>QUARTILE(K84:V84,1)</f>
        <v>-0.68798505876453842</v>
      </c>
      <c r="AA84" s="36">
        <f>MEDIAN(K84:V84)</f>
        <v>-0.68798505876453842</v>
      </c>
      <c r="AB84" s="35">
        <f>QUARTILE(K84:V84,3)</f>
        <v>-0.68798505876453842</v>
      </c>
      <c r="AC84" s="35">
        <f>MAX(K84:V84)</f>
        <v>-0.68798505876453842</v>
      </c>
      <c r="AD84" s="35" t="e">
        <f>SKEW(K84:V84)</f>
        <v>#DIV/0!</v>
      </c>
      <c r="AE84" s="35" t="e">
        <f>KURT(K84:V84)</f>
        <v>#DIV/0!</v>
      </c>
    </row>
    <row r="85" spans="2:31" x14ac:dyDescent="0.2">
      <c r="B85" s="34">
        <f>[50]FormattedData!A47</f>
        <v>0</v>
      </c>
      <c r="C85" s="34" t="e">
        <f>VLOOKUP($B85,[50]TrtCodes!$B$11:I90,2)</f>
        <v>#N/A</v>
      </c>
      <c r="D85" s="34" t="e">
        <f>VLOOKUP($B85,[50]TrtCodes!$B$11:J90,3)</f>
        <v>#N/A</v>
      </c>
      <c r="E85" s="34" t="e">
        <f>VLOOKUP($B85,[50]TrtCodes!$B$11:K90,4)</f>
        <v>#N/A</v>
      </c>
      <c r="F85" s="34" t="e">
        <f>VLOOKUP($B85,[50]TrtCodes!$B$11:L90,5)</f>
        <v>#N/A</v>
      </c>
      <c r="G85" s="34" t="e">
        <f>VLOOKUP($B85,[50]TrtCodes!$B$11:M90,6)</f>
        <v>#N/A</v>
      </c>
      <c r="H85" s="34" t="e">
        <f>VLOOKUP($B85,[50]TrtCodes!$B$11:N90,7)</f>
        <v>#N/A</v>
      </c>
      <c r="I85" s="34">
        <f>[50]FormattedData!B47</f>
        <v>0</v>
      </c>
      <c r="J85" s="37">
        <f>[50]FormattedData!C47</f>
        <v>0</v>
      </c>
      <c r="K85" s="39">
        <f>$J$3+[50]FormattedData!D47*$J$4+$M$4*$J$5+[50]FormattedData!D47^2*$J$6+$M$5*$J$7</f>
        <v>-0.68798505876453842</v>
      </c>
      <c r="L85" s="39">
        <f>$J$3+[50]FormattedData!E47*$J$4+$M$4*$J$5+[50]FormattedData!E47^2*$J$6+$M$5*$J$7</f>
        <v>-0.68798505876453842</v>
      </c>
      <c r="M85" s="39">
        <f>$J$3+[50]FormattedData!F47*$J$4+$M$4*$J$5+[50]FormattedData!F47^2*$J$6+$M$5*$J$7</f>
        <v>-0.68798505876453842</v>
      </c>
      <c r="N85" s="39">
        <f>$J$3+[50]FormattedData!G47*$J$4+$M$4*$J$5+[50]FormattedData!G47^2*$J$6+$M$5*$J$7</f>
        <v>-0.68798505876453842</v>
      </c>
      <c r="O85" s="39">
        <f>$J$3+[50]FormattedData!H47*$J$4+$M$4*$J$5+[50]FormattedData!H47^2*$J$6+$M$5*$J$7</f>
        <v>-0.68798505876453842</v>
      </c>
      <c r="P85" s="39">
        <f>$J$3+[50]FormattedData!I47*$J$4+$M$4*$J$5+[50]FormattedData!I47^2*$J$6+$M$5*$J$7</f>
        <v>-0.68798505876453842</v>
      </c>
      <c r="Q85" s="39">
        <f>$J$3+[50]FormattedData!J47*$J$4+$M$4*$J$5+[50]FormattedData!J47^2*$J$6+$M$5*$J$7</f>
        <v>-0.68798505876453842</v>
      </c>
      <c r="R85" s="39">
        <f>$J$3+[50]FormattedData!K47*$J$4+$M$4*$J$5+[50]FormattedData!K47^2*$J$6+$M$5*$J$7</f>
        <v>-0.68798505876453842</v>
      </c>
      <c r="S85" s="39">
        <f>$J$3+[50]FormattedData!L47*$J$4+$M$4*$J$5+[50]FormattedData!L47^2*$J$6+$M$5*$J$7</f>
        <v>-0.68798505876453842</v>
      </c>
      <c r="T85" s="39">
        <f>$J$3+[50]FormattedData!M47*$J$4+$M$4*$J$5+[50]FormattedData!M47^2*$J$6+$M$5*$J$7</f>
        <v>-0.68798505876453842</v>
      </c>
      <c r="U85" s="39">
        <f>$J$3+[50]FormattedData!N47*$J$4+$M$4*$J$5+[50]FormattedData!N47^2*$J$6+$M$5*$J$7</f>
        <v>-0.68798505876453842</v>
      </c>
      <c r="V85" s="39">
        <f>$J$3+[50]FormattedData!O47*$J$4+$M$4*$J$5+[50]FormattedData!O47^2*$J$6+$M$5*$J$7</f>
        <v>-0.68798505876453842</v>
      </c>
      <c r="W85" s="38">
        <f>AVERAGE(K85:V85)</f>
        <v>-0.68798505876453842</v>
      </c>
      <c r="X85" s="37">
        <f>STDEV(K85:V85)/SQRT(COUNT(K85:V85))</f>
        <v>0</v>
      </c>
      <c r="Y85" s="36">
        <f>MIN(K85:V85)</f>
        <v>-0.68798505876453842</v>
      </c>
      <c r="Z85" s="35">
        <f>QUARTILE(K85:V85,1)</f>
        <v>-0.68798505876453842</v>
      </c>
      <c r="AA85" s="36">
        <f>MEDIAN(K85:V85)</f>
        <v>-0.68798505876453842</v>
      </c>
      <c r="AB85" s="35">
        <f>QUARTILE(K85:V85,3)</f>
        <v>-0.68798505876453842</v>
      </c>
      <c r="AC85" s="35">
        <f>MAX(K85:V85)</f>
        <v>-0.68798505876453842</v>
      </c>
      <c r="AD85" s="35" t="e">
        <f>SKEW(K85:V85)</f>
        <v>#DIV/0!</v>
      </c>
      <c r="AE85" s="35" t="e">
        <f>KURT(K85:V85)</f>
        <v>#DIV/0!</v>
      </c>
    </row>
    <row r="88" spans="2:31" x14ac:dyDescent="0.2">
      <c r="W88" s="35"/>
    </row>
  </sheetData>
  <autoFilter ref="B9:AE85" xr:uid="{A4C8794A-A510-4F5E-80AD-55DE946D2A9C}"/>
  <conditionalFormatting sqref="K10:V85">
    <cfRule type="cellIs" dxfId="195" priority="1" stopIfTrue="1" operator="lessThan">
      <formula>$W10-$V$5*$X10</formula>
    </cfRule>
    <cfRule type="cellIs" dxfId="194" priority="2" stopIfTrue="1" operator="greaterThan">
      <formula>$W10+$V$5*$X10</formula>
    </cfRule>
  </conditionalFormatting>
  <conditionalFormatting sqref="W10:W85">
    <cfRule type="cellIs" dxfId="193" priority="3" stopIfTrue="1" operator="lessThan">
      <formula>AVERAGE($W$10:$W$41)</formula>
    </cfRule>
    <cfRule type="cellIs" dxfId="19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6B9D-39C3-42C2-9820-866827F88F61}">
  <sheetPr codeName="Sheet20"/>
  <dimension ref="A1:AI88"/>
  <sheetViews>
    <sheetView topLeftCell="A8" workbookViewId="0">
      <pane xSplit="4" ySplit="2" topLeftCell="H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[49]FormattedData!A1</f>
        <v>Raw data file name - 'IA141.03R'</v>
      </c>
    </row>
    <row r="2" spans="1:35" ht="15" x14ac:dyDescent="0.25">
      <c r="I2" s="65" t="s">
        <v>136</v>
      </c>
      <c r="J2" s="57"/>
      <c r="P2" s="64">
        <f>[49]AncillaryData!C10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[49]AncillaryData!E25</f>
        <v>38.35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"&amp;[49]AncillaryData!C7</f>
        <v>Time Sequence of Midday IRT Temps - FISE 2003 - DOY 141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"&amp;[49]AncillaryData!E25&amp;", VPD = "&amp;ROUND([49]AncillaryData!E29,1)&amp;", Quality = "&amp;[49]AncillaryData!C20&amp;")"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[49]FormattedData!A28</f>
        <v>101</v>
      </c>
      <c r="C10" s="34" t="str">
        <f>VLOOKUP($B10,[49]TrtCodes!$B$11:I71,2)</f>
        <v>FSH</v>
      </c>
      <c r="D10" s="34">
        <f>VLOOKUP($B10,[49]TrtCodes!$B$11:J71,3)</f>
        <v>1</v>
      </c>
      <c r="E10" s="34">
        <f>VLOOKUP($B10,[49]TrtCodes!$B$11:K71,4)</f>
        <v>1</v>
      </c>
      <c r="F10" s="34">
        <f>VLOOKUP($B10,[49]TrtCodes!$B$11:L71,5)</f>
        <v>1</v>
      </c>
      <c r="G10" s="34">
        <f>VLOOKUP($B10,[49]TrtCodes!$B$11:M71,6)</f>
        <v>2</v>
      </c>
      <c r="H10" s="34">
        <f>VLOOKUP($B10,[49]TrtCodes!$B$11:N71,7)</f>
        <v>1</v>
      </c>
      <c r="I10" s="34">
        <f>[49]FormattedData!B28</f>
        <v>1</v>
      </c>
      <c r="J10" s="37">
        <f>[49]FormattedData!C28</f>
        <v>13.186999999999999</v>
      </c>
      <c r="K10" s="39">
        <f>$J$3+[49]FormattedData!D28*$J$4+$M$4*$J$5+[49]FormattedData!D28^2*$J$6+$M$5*$J$7</f>
        <v>53.461864601445157</v>
      </c>
      <c r="L10" s="39">
        <f>$J$3+[49]FormattedData!E28*$J$4+$M$4*$J$5+[49]FormattedData!E28^2*$J$6+$M$5*$J$7</f>
        <v>55.098142404818581</v>
      </c>
      <c r="M10" s="39">
        <f>$J$3+[49]FormattedData!F28*$J$4+$M$4*$J$5+[49]FormattedData!F28^2*$J$6+$M$5*$J$7</f>
        <v>53.375322031677776</v>
      </c>
      <c r="N10" s="39">
        <f>$J$3+[49]FormattedData!G28*$J$4+$M$4*$J$5+[49]FormattedData!G28^2*$J$6+$M$5*$J$7</f>
        <v>55.183839603827344</v>
      </c>
      <c r="O10" s="39">
        <f>$J$3+[49]FormattedData!H28*$J$4+$M$4*$J$5+[49]FormattedData!H28^2*$J$6+$M$5*$J$7</f>
        <v>54.583071571469446</v>
      </c>
      <c r="P10" s="39">
        <f>$J$3+[49]FormattedData!I28*$J$4+$M$4*$J$5+[49]FormattedData!I28^2*$J$6+$M$5*$J$7</f>
        <v>53.89394342221312</v>
      </c>
      <c r="Q10" s="39">
        <f>$J$3+[49]FormattedData!J28*$J$4+$M$4*$J$5+[49]FormattedData!J28^2*$J$6+$M$5*$J$7</f>
        <v>54.840797196564708</v>
      </c>
      <c r="R10" s="39">
        <f>$J$3+[49]FormattedData!K28*$J$4+$M$4*$J$5+[49]FormattedData!K28^2*$J$6+$M$5*$J$7</f>
        <v>53.634822935366131</v>
      </c>
      <c r="S10" s="39">
        <f>$J$3+[49]FormattedData!L28*$J$4+$M$4*$J$5+[49]FormattedData!L28^2*$J$6+$M$5*$J$7</f>
        <v>55.953212310699314</v>
      </c>
      <c r="T10" s="39">
        <f>$J$3+[49]FormattedData!M28*$J$4+$M$4*$J$5+[49]FormattedData!M28^2*$J$6+$M$5*$J$7</f>
        <v>53.288737193372455</v>
      </c>
      <c r="U10" s="39">
        <f>$J$3+[49]FormattedData!N28*$J$4+$M$4*$J$5+[49]FormattedData!N28^2*$J$6+$M$5*$J$7</f>
        <v>53.89394342221312</v>
      </c>
      <c r="V10" s="39">
        <f>$J$3+[49]FormattedData!O28*$J$4+$M$4*$J$5+[49]FormattedData!O28^2*$J$6+$M$5*$J$7</f>
        <v>55.526205714483083</v>
      </c>
      <c r="W10" s="38">
        <f>AVERAGE(K10:V10)</f>
        <v>54.394491867345856</v>
      </c>
      <c r="X10" s="37">
        <f>STDEV(K10:V10)/SQRT(COUNT(K10:V10))</f>
        <v>0.26504314800408313</v>
      </c>
      <c r="Y10" s="36">
        <f>MIN(K10:V10)</f>
        <v>53.288737193372455</v>
      </c>
      <c r="Z10" s="35">
        <f>QUARTILE(K10:V10,1)</f>
        <v>53.591583351885888</v>
      </c>
      <c r="AA10" s="36">
        <f>MEDIAN(K10:V10)</f>
        <v>54.238507496841279</v>
      </c>
      <c r="AB10" s="35">
        <f>QUARTILE(K10:V10,3)</f>
        <v>55.119566704570772</v>
      </c>
      <c r="AC10" s="35">
        <f>MAX(K10:V10)</f>
        <v>55.953212310699314</v>
      </c>
      <c r="AD10" s="35">
        <f>SKEW(K10:V10)</f>
        <v>0.31873654416141028</v>
      </c>
      <c r="AE10" s="35">
        <f>KURT(K10:V10)</f>
        <v>-1.3708624630328345</v>
      </c>
    </row>
    <row r="11" spans="1:35" x14ac:dyDescent="0.2">
      <c r="B11" s="34">
        <f>[49]FormattedData!A26</f>
        <v>102</v>
      </c>
      <c r="C11" s="34" t="str">
        <f>VLOOKUP($B11,[49]TrtCodes!$B$11:I69,2)</f>
        <v>FTL</v>
      </c>
      <c r="D11" s="34">
        <f>VLOOKUP($B11,[49]TrtCodes!$B$11:J69,3)</f>
        <v>4</v>
      </c>
      <c r="E11" s="34">
        <f>VLOOKUP($B11,[49]TrtCodes!$B$11:K69,4)</f>
        <v>1</v>
      </c>
      <c r="F11" s="34">
        <f>VLOOKUP($B11,[49]TrtCodes!$B$11:L69,5)</f>
        <v>2</v>
      </c>
      <c r="G11" s="34">
        <f>VLOOKUP($B11,[49]TrtCodes!$B$11:M69,6)</f>
        <v>1</v>
      </c>
      <c r="H11" s="34">
        <f>VLOOKUP($B11,[49]TrtCodes!$B$11:N69,7)</f>
        <v>1</v>
      </c>
      <c r="I11" s="34">
        <f>[49]FormattedData!B26</f>
        <v>1</v>
      </c>
      <c r="J11" s="37">
        <f>[49]FormattedData!C26</f>
        <v>13.178000000000001</v>
      </c>
      <c r="K11" s="39">
        <f>$J$3+[49]FormattedData!D26*$J$4+$M$4*$J$5+[49]FormattedData!D26^2*$J$6+$M$5*$J$7</f>
        <v>52.941975154771882</v>
      </c>
      <c r="L11" s="39">
        <f>$J$3+[49]FormattedData!E26*$J$4+$M$4*$J$5+[49]FormattedData!E26^2*$J$6+$M$5*$J$7</f>
        <v>54.92662120118726</v>
      </c>
      <c r="M11" s="39">
        <f>$J$3+[49]FormattedData!F26*$J$4+$M$4*$J$5+[49]FormattedData!F26^2*$J$6+$M$5*$J$7</f>
        <v>53.461864601445157</v>
      </c>
      <c r="N11" s="39">
        <f>$J$3+[49]FormattedData!G26*$J$4+$M$4*$J$5+[49]FormattedData!G26^2*$J$6+$M$5*$J$7</f>
        <v>55.183839603827344</v>
      </c>
      <c r="O11" s="39">
        <f>$J$3+[49]FormattedData!H26*$J$4+$M$4*$J$5+[49]FormattedData!H26^2*$J$6+$M$5*$J$7</f>
        <v>53.721238699519731</v>
      </c>
      <c r="P11" s="39">
        <f>$J$3+[49]FormattedData!I26*$J$4+$M$4*$J$5+[49]FormattedData!I26^2*$J$6+$M$5*$J$7</f>
        <v>54.754930923404217</v>
      </c>
      <c r="Q11" s="39">
        <f>$J$3+[49]FormattedData!J26*$J$4+$M$4*$J$5+[49]FormattedData!J26^2*$J$6+$M$5*$J$7</f>
        <v>53.980232380752923</v>
      </c>
      <c r="R11" s="39">
        <f>$J$3+[49]FormattedData!K26*$J$4+$M$4*$J$5+[49]FormattedData!K26^2*$J$6+$M$5*$J$7</f>
        <v>55.098142404818581</v>
      </c>
      <c r="S11" s="39">
        <f>$J$3+[49]FormattedData!L26*$J$4+$M$4*$J$5+[49]FormattedData!L26^2*$J$6+$M$5*$J$7</f>
        <v>53.634822935366131</v>
      </c>
      <c r="T11" s="39">
        <f>$J$3+[49]FormattedData!M26*$J$4+$M$4*$J$5+[49]FormattedData!M26^2*$J$6+$M$5*$J$7</f>
        <v>53.548364902674621</v>
      </c>
      <c r="U11" s="39">
        <f>$J$3+[49]FormattedData!N26*$J$4+$M$4*$J$5+[49]FormattedData!N26^2*$J$6+$M$5*$J$7</f>
        <v>52.855178973776901</v>
      </c>
      <c r="V11" s="39">
        <f>$J$3+[49]FormattedData!O26*$J$4+$M$4*$J$5+[49]FormattedData!O26^2*$J$6+$M$5*$J$7</f>
        <v>54.152683492218728</v>
      </c>
      <c r="W11" s="38">
        <f>AVERAGE(K11:V11)</f>
        <v>54.021657939480292</v>
      </c>
      <c r="X11" s="37">
        <f>STDEV(K11:V11)/SQRT(COUNT(K11:V11))</f>
        <v>0.2333658946642905</v>
      </c>
      <c r="Y11" s="36">
        <f>MIN(K11:V11)</f>
        <v>52.855178973776901</v>
      </c>
      <c r="Z11" s="35">
        <f>QUARTILE(K11:V11,1)</f>
        <v>53.526739827367251</v>
      </c>
      <c r="AA11" s="36">
        <f>MEDIAN(K11:V11)</f>
        <v>53.850735540136327</v>
      </c>
      <c r="AB11" s="35">
        <f>QUARTILE(K11:V11,3)</f>
        <v>54.797853492849981</v>
      </c>
      <c r="AC11" s="35">
        <f>MAX(K11:V11)</f>
        <v>55.183839603827344</v>
      </c>
      <c r="AD11" s="35">
        <f>SKEW(K11:V11)</f>
        <v>0.15332233150782223</v>
      </c>
      <c r="AE11" s="35">
        <f>KURT(K11:V11)</f>
        <v>-1.2600577224189267</v>
      </c>
    </row>
    <row r="12" spans="1:35" x14ac:dyDescent="0.2">
      <c r="B12" s="34">
        <f>[49]FormattedData!A24</f>
        <v>103</v>
      </c>
      <c r="C12" s="34" t="str">
        <f>VLOOKUP($B12,[49]TrtCodes!$B$11:I67,2)</f>
        <v>FDH</v>
      </c>
      <c r="D12" s="34">
        <f>VLOOKUP($B12,[49]TrtCodes!$B$11:J67,3)</f>
        <v>5</v>
      </c>
      <c r="E12" s="34">
        <f>VLOOKUP($B12,[49]TrtCodes!$B$11:K67,4)</f>
        <v>1</v>
      </c>
      <c r="F12" s="34">
        <f>VLOOKUP($B12,[49]TrtCodes!$B$11:L67,5)</f>
        <v>3</v>
      </c>
      <c r="G12" s="34">
        <f>VLOOKUP($B12,[49]TrtCodes!$B$11:M67,6)</f>
        <v>2</v>
      </c>
      <c r="H12" s="34">
        <f>VLOOKUP($B12,[49]TrtCodes!$B$11:N67,7)</f>
        <v>1</v>
      </c>
      <c r="I12" s="34">
        <f>[49]FormattedData!B24</f>
        <v>1</v>
      </c>
      <c r="J12" s="37">
        <f>[49]FormattedData!C24</f>
        <v>13.17</v>
      </c>
      <c r="K12" s="39">
        <f>$J$3+[49]FormattedData!D24*$J$4+$M$4*$J$5+[49]FormattedData!D24^2*$J$6+$M$5*$J$7</f>
        <v>52.855178973776901</v>
      </c>
      <c r="L12" s="39">
        <f>$J$3+[49]FormattedData!E24*$J$4+$M$4*$J$5+[49]FormattedData!E24^2*$J$6+$M$5*$J$7</f>
        <v>55.269494534298175</v>
      </c>
      <c r="M12" s="39">
        <f>$J$3+[49]FormattedData!F24*$J$4+$M$4*$J$5+[49]FormattedData!F24^2*$J$6+$M$5*$J$7</f>
        <v>53.634822935366131</v>
      </c>
      <c r="N12" s="39">
        <f>$J$3+[49]FormattedData!G24*$J$4+$M$4*$J$5+[49]FormattedData!G24^2*$J$6+$M$5*$J$7</f>
        <v>56.208909045973869</v>
      </c>
      <c r="O12" s="39">
        <f>$J$3+[49]FormattedData!H24*$J$4+$M$4*$J$5+[49]FormattedData!H24^2*$J$6+$M$5*$J$7</f>
        <v>53.028729067228916</v>
      </c>
      <c r="P12" s="39">
        <f>$J$3+[49]FormattedData!I24*$J$4+$M$4*$J$5+[49]FormattedData!I24^2*$J$6+$M$5*$J$7</f>
        <v>54.411043145382955</v>
      </c>
      <c r="Q12" s="39">
        <f>$J$3+[49]FormattedData!J24*$J$4+$M$4*$J$5+[49]FormattedData!J24^2*$J$6+$M$5*$J$7</f>
        <v>53.980232380752923</v>
      </c>
      <c r="R12" s="39">
        <f>$J$3+[49]FormattedData!K24*$J$4+$M$4*$J$5+[49]FormattedData!K24^2*$J$6+$M$5*$J$7</f>
        <v>55.782536477826611</v>
      </c>
      <c r="S12" s="39">
        <f>$J$3+[49]FormattedData!L24*$J$4+$M$4*$J$5+[49]FormattedData!L24^2*$J$6+$M$5*$J$7</f>
        <v>53.115440711148032</v>
      </c>
      <c r="T12" s="39">
        <f>$J$3+[49]FormattedData!M24*$J$4+$M$4*$J$5+[49]FormattedData!M24^2*$J$6+$M$5*$J$7</f>
        <v>54.92662120118726</v>
      </c>
      <c r="U12" s="39">
        <f>$J$3+[49]FormattedData!N24*$J$4+$M$4*$J$5+[49]FormattedData!N24^2*$J$6+$M$5*$J$7</f>
        <v>53.548364902674621</v>
      </c>
      <c r="V12" s="39">
        <f>$J$3+[49]FormattedData!O24*$J$4+$M$4*$J$5+[49]FormattedData!O24^2*$J$6+$M$5*$J$7</f>
        <v>55.611691570802193</v>
      </c>
      <c r="W12" s="38">
        <f>AVERAGE(K12:V12)</f>
        <v>54.364422078868223</v>
      </c>
      <c r="X12" s="37">
        <f>STDEV(K12:V12)/SQRT(COUNT(K12:V12))</f>
        <v>0.33793008858853579</v>
      </c>
      <c r="Y12" s="36">
        <f>MIN(K12:V12)</f>
        <v>52.855178973776901</v>
      </c>
      <c r="Z12" s="35">
        <f>QUARTILE(K12:V12,1)</f>
        <v>53.440133854792975</v>
      </c>
      <c r="AA12" s="36">
        <f>MEDIAN(K12:V12)</f>
        <v>54.195637763067936</v>
      </c>
      <c r="AB12" s="35">
        <f>QUARTILE(K12:V12,3)</f>
        <v>55.35504379342418</v>
      </c>
      <c r="AC12" s="35">
        <f>MAX(K12:V12)</f>
        <v>56.208909045973869</v>
      </c>
      <c r="AD12" s="35">
        <f>SKEW(K12:V12)</f>
        <v>0.21958471612165029</v>
      </c>
      <c r="AE12" s="35">
        <f>KURT(K12:V12)</f>
        <v>-1.4855116260957781</v>
      </c>
    </row>
    <row r="13" spans="1:35" x14ac:dyDescent="0.2">
      <c r="B13" s="34">
        <f>[49]FormattedData!A22</f>
        <v>104</v>
      </c>
      <c r="C13" s="34" t="str">
        <f>VLOOKUP($B13,[49]TrtCodes!$B$11:I65,2)</f>
        <v>NTL</v>
      </c>
      <c r="D13" s="34">
        <f>VLOOKUP($B13,[49]TrtCodes!$B$11:J65,3)</f>
        <v>10</v>
      </c>
      <c r="E13" s="34">
        <f>VLOOKUP($B13,[49]TrtCodes!$B$11:K65,4)</f>
        <v>2</v>
      </c>
      <c r="F13" s="34">
        <f>VLOOKUP($B13,[49]TrtCodes!$B$11:L65,5)</f>
        <v>2</v>
      </c>
      <c r="G13" s="34">
        <f>VLOOKUP($B13,[49]TrtCodes!$B$11:M65,6)</f>
        <v>1</v>
      </c>
      <c r="H13" s="34">
        <f>VLOOKUP($B13,[49]TrtCodes!$B$11:N65,7)</f>
        <v>1</v>
      </c>
      <c r="I13" s="34">
        <f>[49]FormattedData!B22</f>
        <v>1</v>
      </c>
      <c r="J13" s="37">
        <f>[49]FormattedData!C22</f>
        <v>13.161</v>
      </c>
      <c r="K13" s="39">
        <f>$J$3+[49]FormattedData!D22*$J$4+$M$4*$J$5+[49]FormattedData!D22^2*$J$6+$M$5*$J$7</f>
        <v>52.246422187750028</v>
      </c>
      <c r="L13" s="39">
        <f>$J$3+[49]FormattedData!E22*$J$4+$M$4*$J$5+[49]FormattedData!E22^2*$J$6+$M$5*$J$7</f>
        <v>55.953212310699314</v>
      </c>
      <c r="M13" s="39">
        <f>$J$3+[49]FormattedData!F22*$J$4+$M$4*$J$5+[49]FormattedData!F22^2*$J$6+$M$5*$J$7</f>
        <v>54.152683492218728</v>
      </c>
      <c r="N13" s="39">
        <f>$J$3+[49]FormattedData!G22*$J$4+$M$4*$J$5+[49]FormattedData!G22^2*$J$6+$M$5*$J$7</f>
        <v>55.269494534298175</v>
      </c>
      <c r="O13" s="39">
        <f>$J$3+[49]FormattedData!H22*$J$4+$M$4*$J$5+[49]FormattedData!H22^2*$J$6+$M$5*$J$7</f>
        <v>54.669022381705794</v>
      </c>
      <c r="P13" s="39">
        <f>$J$3+[49]FormattedData!I22*$J$4+$M$4*$J$5+[49]FormattedData!I22^2*$J$6+$M$5*$J$7</f>
        <v>54.583071571469446</v>
      </c>
      <c r="Q13" s="39">
        <f>$J$3+[49]FormattedData!J22*$J$4+$M$4*$J$5+[49]FormattedData!J22^2*$J$6+$M$5*$J$7</f>
        <v>53.375322031677776</v>
      </c>
      <c r="R13" s="39">
        <f>$J$3+[49]FormattedData!K22*$J$4+$M$4*$J$5+[49]FormattedData!K22^2*$J$6+$M$5*$J$7</f>
        <v>53.375322031677776</v>
      </c>
      <c r="S13" s="39">
        <f>$J$3+[49]FormattedData!L22*$J$4+$M$4*$J$5+[49]FormattedData!L22^2*$J$6+$M$5*$J$7</f>
        <v>53.634822935366131</v>
      </c>
      <c r="T13" s="39">
        <f>$J$3+[49]FormattedData!M22*$J$4+$M$4*$J$5+[49]FormattedData!M22^2*$J$6+$M$5*$J$7</f>
        <v>53.288737193372455</v>
      </c>
      <c r="U13" s="39">
        <f>$J$3+[49]FormattedData!N22*$J$4+$M$4*$J$5+[49]FormattedData!N22^2*$J$6+$M$5*$J$7</f>
        <v>54.583071571469446</v>
      </c>
      <c r="V13" s="39">
        <f>$J$3+[49]FormattedData!O22*$J$4+$M$4*$J$5+[49]FormattedData!O22^2*$J$6+$M$5*$J$7</f>
        <v>53.634822935366131</v>
      </c>
      <c r="W13" s="38">
        <f>AVERAGE(K13:V13)</f>
        <v>54.063833764755941</v>
      </c>
      <c r="X13" s="37">
        <f>STDEV(K13:V13)/SQRT(COUNT(K13:V13))</f>
        <v>0.29072388036259411</v>
      </c>
      <c r="Y13" s="36">
        <f>MIN(K13:V13)</f>
        <v>52.246422187750028</v>
      </c>
      <c r="Z13" s="35">
        <f>QUARTILE(K13:V13,1)</f>
        <v>53.375322031677776</v>
      </c>
      <c r="AA13" s="36">
        <f>MEDIAN(K13:V13)</f>
        <v>53.893753213792429</v>
      </c>
      <c r="AB13" s="35">
        <f>QUARTILE(K13:V13,3)</f>
        <v>54.604559274028531</v>
      </c>
      <c r="AC13" s="35">
        <f>MAX(K13:V13)</f>
        <v>55.953212310699314</v>
      </c>
      <c r="AD13" s="35">
        <f>SKEW(K13:V13)</f>
        <v>0.18372733970049918</v>
      </c>
      <c r="AE13" s="35">
        <f>KURT(K13:V13)</f>
        <v>9.0833973355128883E-2</v>
      </c>
    </row>
    <row r="14" spans="1:35" x14ac:dyDescent="0.2">
      <c r="B14" s="34">
        <f>[49]FormattedData!A20</f>
        <v>105</v>
      </c>
      <c r="C14" s="34" t="str">
        <f>VLOOKUP($B14,[49]TrtCodes!$B$11:I63,2)</f>
        <v>NDL</v>
      </c>
      <c r="D14" s="34">
        <f>VLOOKUP($B14,[49]TrtCodes!$B$11:J63,3)</f>
        <v>12</v>
      </c>
      <c r="E14" s="34">
        <f>VLOOKUP($B14,[49]TrtCodes!$B$11:K63,4)</f>
        <v>2</v>
      </c>
      <c r="F14" s="34">
        <f>VLOOKUP($B14,[49]TrtCodes!$B$11:L63,5)</f>
        <v>3</v>
      </c>
      <c r="G14" s="34">
        <f>VLOOKUP($B14,[49]TrtCodes!$B$11:M63,6)</f>
        <v>1</v>
      </c>
      <c r="H14" s="34">
        <f>VLOOKUP($B14,[49]TrtCodes!$B$11:N63,7)</f>
        <v>2</v>
      </c>
      <c r="I14" s="34">
        <f>[49]FormattedData!B20</f>
        <v>1</v>
      </c>
      <c r="J14" s="37">
        <f>[49]FormattedData!C20</f>
        <v>13.154</v>
      </c>
      <c r="K14" s="39">
        <f>$J$3+[49]FormattedData!D20*$J$4+$M$4*$J$5+[49]FormattedData!D20^2*$J$6+$M$5*$J$7</f>
        <v>52.072111260615245</v>
      </c>
      <c r="L14" s="39">
        <f>$J$3+[49]FormattedData!E20*$J$4+$M$4*$J$5+[49]FormattedData!E20^2*$J$6+$M$5*$J$7</f>
        <v>55.611691570802193</v>
      </c>
      <c r="M14" s="39">
        <f>$J$3+[49]FormattedData!F20*$J$4+$M$4*$J$5+[49]FormattedData!F20^2*$J$6+$M$5*$J$7</f>
        <v>54.066479070754781</v>
      </c>
      <c r="N14" s="39">
        <f>$J$3+[49]FormattedData!G20*$J$4+$M$4*$J$5+[49]FormattedData!G20^2*$J$6+$M$5*$J$7</f>
        <v>54.840797196564708</v>
      </c>
      <c r="O14" s="39">
        <f>$J$3+[49]FormattedData!H20*$J$4+$M$4*$J$5+[49]FormattedData!H20^2*$J$6+$M$5*$J$7</f>
        <v>52.855178973776901</v>
      </c>
      <c r="P14" s="39">
        <f>$J$3+[49]FormattedData!I20*$J$4+$M$4*$J$5+[49]FormattedData!I20^2*$J$6+$M$5*$J$7</f>
        <v>55.012402937271879</v>
      </c>
      <c r="Q14" s="39">
        <f>$J$3+[49]FormattedData!J20*$J$4+$M$4*$J$5+[49]FormattedData!J20^2*$J$6+$M$5*$J$7</f>
        <v>53.634822935366131</v>
      </c>
      <c r="R14" s="39">
        <f>$J$3+[49]FormattedData!K20*$J$4+$M$4*$J$5+[49]FormattedData!K20^2*$J$6+$M$5*$J$7</f>
        <v>54.92662120118726</v>
      </c>
      <c r="S14" s="39">
        <f>$J$3+[49]FormattedData!L20*$J$4+$M$4*$J$5+[49]FormattedData!L20^2*$J$6+$M$5*$J$7</f>
        <v>53.634822935366131</v>
      </c>
      <c r="T14" s="39">
        <f>$J$3+[49]FormattedData!M20*$J$4+$M$4*$J$5+[49]FormattedData!M20^2*$J$6+$M$5*$J$7</f>
        <v>54.066479070754781</v>
      </c>
      <c r="U14" s="39">
        <f>$J$3+[49]FormattedData!N20*$J$4+$M$4*$J$5+[49]FormattedData!N20^2*$J$6+$M$5*$J$7</f>
        <v>53.202110086529203</v>
      </c>
      <c r="V14" s="39">
        <f>$J$3+[49]FormattedData!O20*$J$4+$M$4*$J$5+[49]FormattedData!O20^2*$J$6+$M$5*$J$7</f>
        <v>55.012402937271879</v>
      </c>
      <c r="W14" s="38">
        <f>AVERAGE(K14:V14)</f>
        <v>54.077993348021749</v>
      </c>
      <c r="X14" s="37">
        <f>STDEV(K14:V14)/SQRT(COUNT(K14:V14))</f>
        <v>0.30250953354267024</v>
      </c>
      <c r="Y14" s="36">
        <f>MIN(K14:V14)</f>
        <v>52.072111260615245</v>
      </c>
      <c r="Z14" s="35">
        <f>QUARTILE(K14:V14,1)</f>
        <v>53.526644723156899</v>
      </c>
      <c r="AA14" s="36">
        <f>MEDIAN(K14:V14)</f>
        <v>54.066479070754781</v>
      </c>
      <c r="AB14" s="35">
        <f>QUARTILE(K14:V14,3)</f>
        <v>54.948066635208413</v>
      </c>
      <c r="AC14" s="35">
        <f>MAX(K14:V14)</f>
        <v>55.611691570802193</v>
      </c>
      <c r="AD14" s="35">
        <f>SKEW(K14:V14)</f>
        <v>-0.4219409386978813</v>
      </c>
      <c r="AE14" s="35">
        <f>KURT(K14:V14)</f>
        <v>-0.50456870269995413</v>
      </c>
    </row>
    <row r="15" spans="1:35" x14ac:dyDescent="0.2">
      <c r="B15" s="34">
        <f>[49]FormattedData!A18</f>
        <v>106</v>
      </c>
      <c r="C15" s="34" t="str">
        <f>VLOOKUP($B15,[49]TrtCodes!$B$11:I61,2)</f>
        <v>NTH</v>
      </c>
      <c r="D15" s="34">
        <f>VLOOKUP($B15,[49]TrtCodes!$B$11:J61,3)</f>
        <v>9</v>
      </c>
      <c r="E15" s="34">
        <f>VLOOKUP($B15,[49]TrtCodes!$B$11:K61,4)</f>
        <v>2</v>
      </c>
      <c r="F15" s="34">
        <f>VLOOKUP($B15,[49]TrtCodes!$B$11:L61,5)</f>
        <v>2</v>
      </c>
      <c r="G15" s="34">
        <f>VLOOKUP($B15,[49]TrtCodes!$B$11:M61,6)</f>
        <v>2</v>
      </c>
      <c r="H15" s="34">
        <f>VLOOKUP($B15,[49]TrtCodes!$B$11:N61,7)</f>
        <v>2</v>
      </c>
      <c r="I15" s="34">
        <f>[49]FormattedData!B18</f>
        <v>1</v>
      </c>
      <c r="J15" s="37">
        <f>[49]FormattedData!C18</f>
        <v>13.145</v>
      </c>
      <c r="K15" s="39">
        <f>$J$3+[49]FormattedData!D18*$J$4+$M$4*$J$5+[49]FormattedData!D18^2*$J$6+$M$5*$J$7</f>
        <v>51.984892394240958</v>
      </c>
      <c r="L15" s="39">
        <f>$J$3+[49]FormattedData!E18*$J$4+$M$4*$J$5+[49]FormattedData!E18^2*$J$6+$M$5*$J$7</f>
        <v>56.29405675398953</v>
      </c>
      <c r="M15" s="39">
        <f>$J$3+[49]FormattedData!F18*$J$4+$M$4*$J$5+[49]FormattedData!F18^2*$J$6+$M$5*$J$7</f>
        <v>53.807612195135398</v>
      </c>
      <c r="N15" s="39">
        <f>$J$3+[49]FormattedData!G18*$J$4+$M$4*$J$5+[49]FormattedData!G18^2*$J$6+$M$5*$J$7</f>
        <v>55.697135158583372</v>
      </c>
      <c r="O15" s="39">
        <f>$J$3+[49]FormattedData!H18*$J$4+$M$4*$J$5+[49]FormattedData!H18^2*$J$6+$M$5*$J$7</f>
        <v>53.375322031677776</v>
      </c>
      <c r="P15" s="39">
        <f>$J$3+[49]FormattedData!I18*$J$4+$M$4*$J$5+[49]FormattedData!I18^2*$J$6+$M$5*$J$7</f>
        <v>55.355107196231074</v>
      </c>
      <c r="Q15" s="39">
        <f>$J$3+[49]FormattedData!J18*$J$4+$M$4*$J$5+[49]FormattedData!J18^2*$J$6+$M$5*$J$7</f>
        <v>53.548364902674621</v>
      </c>
      <c r="R15" s="39">
        <f>$J$3+[49]FormattedData!K18*$J$4+$M$4*$J$5+[49]FormattedData!K18^2*$J$6+$M$5*$J$7</f>
        <v>54.497078492695167</v>
      </c>
      <c r="S15" s="39">
        <f>$J$3+[49]FormattedData!L18*$J$4+$M$4*$J$5+[49]FormattedData!L18^2*$J$6+$M$5*$J$7</f>
        <v>53.115440711148032</v>
      </c>
      <c r="T15" s="39">
        <f>$J$3+[49]FormattedData!M18*$J$4+$M$4*$J$5+[49]FormattedData!M18^2*$J$6+$M$5*$J$7</f>
        <v>55.782536477826611</v>
      </c>
      <c r="U15" s="39">
        <f>$J$3+[49]FormattedData!N18*$J$4+$M$4*$J$5+[49]FormattedData!N18^2*$J$6+$M$5*$J$7</f>
        <v>53.721238699519731</v>
      </c>
      <c r="V15" s="39">
        <f>$J$3+[49]FormattedData!O18*$J$4+$M$4*$J$5+[49]FormattedData!O18^2*$J$6+$M$5*$J$7</f>
        <v>56.804055362786933</v>
      </c>
      <c r="W15" s="38">
        <f>AVERAGE(K15:V15)</f>
        <v>54.49857003137577</v>
      </c>
      <c r="X15" s="37">
        <f>STDEV(K15:V15)/SQRT(COUNT(K15:V15))</f>
        <v>0.42493926562436979</v>
      </c>
      <c r="Y15" s="36">
        <f>MIN(K15:V15)</f>
        <v>51.984892394240958</v>
      </c>
      <c r="Z15" s="35">
        <f>QUARTILE(K15:V15,1)</f>
        <v>53.505104184925408</v>
      </c>
      <c r="AA15" s="36">
        <f>MEDIAN(K15:V15)</f>
        <v>54.152345343915286</v>
      </c>
      <c r="AB15" s="35">
        <f>QUARTILE(K15:V15,3)</f>
        <v>55.71848548839418</v>
      </c>
      <c r="AC15" s="35">
        <f>MAX(K15:V15)</f>
        <v>56.804055362786933</v>
      </c>
      <c r="AD15" s="35">
        <f>SKEW(K15:V15)</f>
        <v>3.0981656249507737E-2</v>
      </c>
      <c r="AE15" s="35">
        <f>KURT(K15:V15)</f>
        <v>-0.99453620896157036</v>
      </c>
    </row>
    <row r="16" spans="1:35" x14ac:dyDescent="0.2">
      <c r="B16" s="34">
        <f>[49]FormattedData!A16</f>
        <v>107</v>
      </c>
      <c r="C16" s="34" t="str">
        <f>VLOOKUP($B16,[49]TrtCodes!$B$11:I59,2)</f>
        <v>NTL</v>
      </c>
      <c r="D16" s="34">
        <f>VLOOKUP($B16,[49]TrtCodes!$B$11:J59,3)</f>
        <v>10</v>
      </c>
      <c r="E16" s="34">
        <f>VLOOKUP($B16,[49]TrtCodes!$B$11:K59,4)</f>
        <v>2</v>
      </c>
      <c r="F16" s="34">
        <f>VLOOKUP($B16,[49]TrtCodes!$B$11:L59,5)</f>
        <v>2</v>
      </c>
      <c r="G16" s="34">
        <f>VLOOKUP($B16,[49]TrtCodes!$B$11:M59,6)</f>
        <v>1</v>
      </c>
      <c r="H16" s="34">
        <f>VLOOKUP($B16,[49]TrtCodes!$B$11:N59,7)</f>
        <v>2</v>
      </c>
      <c r="I16" s="34">
        <f>[49]FormattedData!B16</f>
        <v>1</v>
      </c>
      <c r="J16" s="37">
        <f>[49]FormattedData!C16</f>
        <v>13.137</v>
      </c>
      <c r="K16" s="39">
        <f>$J$3+[49]FormattedData!D16*$J$4+$M$4*$J$5+[49]FormattedData!D16^2*$J$6+$M$5*$J$7</f>
        <v>52.941975154771882</v>
      </c>
      <c r="L16" s="39">
        <f>$J$3+[49]FormattedData!E16*$J$4+$M$4*$J$5+[49]FormattedData!E16^2*$J$6+$M$5*$J$7</f>
        <v>55.098142404818581</v>
      </c>
      <c r="M16" s="39">
        <f>$J$3+[49]FormattedData!F16*$J$4+$M$4*$J$5+[49]FormattedData!F16^2*$J$6+$M$5*$J$7</f>
        <v>53.634822935366131</v>
      </c>
      <c r="N16" s="39">
        <f>$J$3+[49]FormattedData!G16*$J$4+$M$4*$J$5+[49]FormattedData!G16^2*$J$6+$M$5*$J$7</f>
        <v>56.973716750749276</v>
      </c>
      <c r="O16" s="39">
        <f>$J$3+[49]FormattedData!H16*$J$4+$M$4*$J$5+[49]FormattedData!H16^2*$J$6+$M$5*$J$7</f>
        <v>53.115440711148032</v>
      </c>
      <c r="P16" s="39">
        <f>$J$3+[49]FormattedData!I16*$J$4+$M$4*$J$5+[49]FormattedData!I16^2*$J$6+$M$5*$J$7</f>
        <v>56.464225364407056</v>
      </c>
      <c r="Q16" s="39">
        <f>$J$3+[49]FormattedData!J16*$J$4+$M$4*$J$5+[49]FormattedData!J16^2*$J$6+$M$5*$J$7</f>
        <v>55.440677589626041</v>
      </c>
      <c r="R16" s="39">
        <f>$J$3+[49]FormattedData!K16*$J$4+$M$4*$J$5+[49]FormattedData!K16^2*$J$6+$M$5*$J$7</f>
        <v>55.697135158583372</v>
      </c>
      <c r="S16" s="39">
        <f>$J$3+[49]FormattedData!L16*$J$4+$M$4*$J$5+[49]FormattedData!L16^2*$J$6+$M$5*$J$7</f>
        <v>54.411043145382955</v>
      </c>
      <c r="T16" s="39">
        <f>$J$3+[49]FormattedData!M16*$J$4+$M$4*$J$5+[49]FormattedData!M16^2*$J$6+$M$5*$J$7</f>
        <v>54.152683492218728</v>
      </c>
      <c r="U16" s="39">
        <f>$J$3+[49]FormattedData!N16*$J$4+$M$4*$J$5+[49]FormattedData!N16^2*$J$6+$M$5*$J$7</f>
        <v>55.269494534298175</v>
      </c>
      <c r="V16" s="39">
        <f>$J$3+[49]FormattedData!O16*$J$4+$M$4*$J$5+[49]FormattedData!O16^2*$J$6+$M$5*$J$7</f>
        <v>54.754930923404217</v>
      </c>
      <c r="W16" s="38">
        <f>AVERAGE(K16:V16)</f>
        <v>54.829524013731202</v>
      </c>
      <c r="X16" s="37">
        <f>STDEV(K16:V16)/SQRT(COUNT(K16:V16))</f>
        <v>0.36127756346602019</v>
      </c>
      <c r="Y16" s="36">
        <f>MIN(K16:V16)</f>
        <v>52.941975154771882</v>
      </c>
      <c r="Z16" s="35">
        <f>QUARTILE(K16:V16,1)</f>
        <v>54.023218353005575</v>
      </c>
      <c r="AA16" s="36">
        <f>MEDIAN(K16:V16)</f>
        <v>54.926536664111396</v>
      </c>
      <c r="AB16" s="35">
        <f>QUARTILE(K16:V16,3)</f>
        <v>55.504791981865374</v>
      </c>
      <c r="AC16" s="35">
        <f>MAX(K16:V16)</f>
        <v>56.973716750749276</v>
      </c>
      <c r="AD16" s="35">
        <f>SKEW(K16:V16)</f>
        <v>7.5809672985443763E-2</v>
      </c>
      <c r="AE16" s="35">
        <f>KURT(K16:V16)</f>
        <v>-0.65263329321970875</v>
      </c>
    </row>
    <row r="17" spans="2:31" x14ac:dyDescent="0.2">
      <c r="B17" s="34">
        <f>[49]FormattedData!A14</f>
        <v>108</v>
      </c>
      <c r="C17" s="34" t="str">
        <f>VLOOKUP($B17,[49]TrtCodes!$B$11:I57,2)</f>
        <v>FTH</v>
      </c>
      <c r="D17" s="34">
        <f>VLOOKUP($B17,[49]TrtCodes!$B$11:J57,3)</f>
        <v>3</v>
      </c>
      <c r="E17" s="34">
        <f>VLOOKUP($B17,[49]TrtCodes!$B$11:K57,4)</f>
        <v>1</v>
      </c>
      <c r="F17" s="34">
        <f>VLOOKUP($B17,[49]TrtCodes!$B$11:L57,5)</f>
        <v>2</v>
      </c>
      <c r="G17" s="34">
        <f>VLOOKUP($B17,[49]TrtCodes!$B$11:M57,6)</f>
        <v>2</v>
      </c>
      <c r="H17" s="34">
        <f>VLOOKUP($B17,[49]TrtCodes!$B$11:N57,7)</f>
        <v>2</v>
      </c>
      <c r="I17" s="34">
        <f>[49]FormattedData!B14</f>
        <v>1</v>
      </c>
      <c r="J17" s="37">
        <f>[49]FormattedData!C14</f>
        <v>13.129</v>
      </c>
      <c r="K17" s="39">
        <f>$J$3+[49]FormattedData!D14*$J$4+$M$4*$J$5+[49]FormattedData!D14^2*$J$6+$M$5*$J$7</f>
        <v>53.721238699519731</v>
      </c>
      <c r="L17" s="39">
        <f>$J$3+[49]FormattedData!E14*$J$4+$M$4*$J$5+[49]FormattedData!E14^2*$J$6+$M$5*$J$7</f>
        <v>56.29405675398953</v>
      </c>
      <c r="M17" s="39">
        <f>$J$3+[49]FormattedData!F14*$J$4+$M$4*$J$5+[49]FormattedData!F14^2*$J$6+$M$5*$J$7</f>
        <v>53.634822935366131</v>
      </c>
      <c r="N17" s="39">
        <f>$J$3+[49]FormattedData!G14*$J$4+$M$4*$J$5+[49]FormattedData!G14^2*$J$6+$M$5*$J$7</f>
        <v>57.058484041923556</v>
      </c>
      <c r="O17" s="39">
        <f>$J$3+[49]FormattedData!H14*$J$4+$M$4*$J$5+[49]FormattedData!H14^2*$J$6+$M$5*$J$7</f>
        <v>52.855178973776901</v>
      </c>
      <c r="P17" s="39">
        <f>$J$3+[49]FormattedData!I14*$J$4+$M$4*$J$5+[49]FormattedData!I14^2*$J$6+$M$5*$J$7</f>
        <v>55.611691570802193</v>
      </c>
      <c r="Q17" s="39">
        <f>$J$3+[49]FormattedData!J14*$J$4+$M$4*$J$5+[49]FormattedData!J14^2*$J$6+$M$5*$J$7</f>
        <v>55.012402937271879</v>
      </c>
      <c r="R17" s="39">
        <f>$J$3+[49]FormattedData!K14*$J$4+$M$4*$J$5+[49]FormattedData!K14^2*$J$6+$M$5*$J$7</f>
        <v>55.183839603827344</v>
      </c>
      <c r="S17" s="39">
        <f>$J$3+[49]FormattedData!L14*$J$4+$M$4*$J$5+[49]FormattedData!L14^2*$J$6+$M$5*$J$7</f>
        <v>53.634822935366131</v>
      </c>
      <c r="T17" s="39">
        <f>$J$3+[49]FormattedData!M14*$J$4+$M$4*$J$5+[49]FormattedData!M14^2*$J$6+$M$5*$J$7</f>
        <v>55.867895528531925</v>
      </c>
      <c r="U17" s="39">
        <f>$J$3+[49]FormattedData!N14*$J$4+$M$4*$J$5+[49]FormattedData!N14^2*$J$6+$M$5*$J$7</f>
        <v>54.152683492218728</v>
      </c>
      <c r="V17" s="39">
        <f>$J$3+[49]FormattedData!O14*$J$4+$M$4*$J$5+[49]FormattedData!O14^2*$J$6+$M$5*$J$7</f>
        <v>55.269494534298175</v>
      </c>
      <c r="W17" s="38">
        <f>AVERAGE(K17:V17)</f>
        <v>54.858051000574342</v>
      </c>
      <c r="X17" s="37">
        <f>STDEV(K17:V17)/SQRT(COUNT(K17:V17))</f>
        <v>0.36499255257329227</v>
      </c>
      <c r="Y17" s="36">
        <f>MIN(K17:V17)</f>
        <v>52.855178973776901</v>
      </c>
      <c r="Z17" s="35">
        <f>QUARTILE(K17:V17,1)</f>
        <v>53.699634758481331</v>
      </c>
      <c r="AA17" s="36">
        <f>MEDIAN(K17:V17)</f>
        <v>55.098121270549612</v>
      </c>
      <c r="AB17" s="35">
        <f>QUARTILE(K17:V17,3)</f>
        <v>55.675742560234625</v>
      </c>
      <c r="AC17" s="35">
        <f>MAX(K17:V17)</f>
        <v>57.058484041923556</v>
      </c>
      <c r="AD17" s="35">
        <f>SKEW(K17:V17)</f>
        <v>8.99198015510069E-2</v>
      </c>
      <c r="AE17" s="35">
        <f>KURT(K17:V17)</f>
        <v>-0.85257406667849756</v>
      </c>
    </row>
    <row r="18" spans="2:31" x14ac:dyDescent="0.2">
      <c r="B18" s="34">
        <f>[49]FormattedData!A30</f>
        <v>201</v>
      </c>
      <c r="C18" s="34" t="str">
        <f>VLOOKUP($B18,[49]TrtCodes!$B$11:I73,2)</f>
        <v>NDL</v>
      </c>
      <c r="D18" s="34">
        <f>VLOOKUP($B18,[49]TrtCodes!$B$11:J73,3)</f>
        <v>12</v>
      </c>
      <c r="E18" s="34">
        <f>VLOOKUP($B18,[49]TrtCodes!$B$11:K73,4)</f>
        <v>2</v>
      </c>
      <c r="F18" s="34">
        <f>VLOOKUP($B18,[49]TrtCodes!$B$11:L73,5)</f>
        <v>3</v>
      </c>
      <c r="G18" s="34">
        <f>VLOOKUP($B18,[49]TrtCodes!$B$11:M73,6)</f>
        <v>1</v>
      </c>
      <c r="H18" s="34">
        <f>VLOOKUP($B18,[49]TrtCodes!$B$11:N73,7)</f>
        <v>1</v>
      </c>
      <c r="I18" s="34">
        <f>[49]FormattedData!B30</f>
        <v>1</v>
      </c>
      <c r="J18" s="37">
        <f>[49]FormattedData!C30</f>
        <v>13.199</v>
      </c>
      <c r="K18" s="39">
        <f>$J$3+[49]FormattedData!D30*$J$4+$M$4*$J$5+[49]FormattedData!D30^2*$J$6+$M$5*$J$7</f>
        <v>52.507571564417695</v>
      </c>
      <c r="L18" s="39">
        <f>$J$3+[49]FormattedData!E30*$J$4+$M$4*$J$5+[49]FormattedData!E30^2*$J$6+$M$5*$J$7</f>
        <v>54.669022381705794</v>
      </c>
      <c r="M18" s="39">
        <f>$J$3+[49]FormattedData!F30*$J$4+$M$4*$J$5+[49]FormattedData!F30^2*$J$6+$M$5*$J$7</f>
        <v>53.807612195135398</v>
      </c>
      <c r="N18" s="39">
        <f>$J$3+[49]FormattedData!G30*$J$4+$M$4*$J$5+[49]FormattedData!G30^2*$J$6+$M$5*$J$7</f>
        <v>55.526205714483083</v>
      </c>
      <c r="O18" s="39">
        <f>$J$3+[49]FormattedData!H30*$J$4+$M$4*$J$5+[49]FormattedData!H30^2*$J$6+$M$5*$J$7</f>
        <v>53.634822935366131</v>
      </c>
      <c r="P18" s="39">
        <f>$J$3+[49]FormattedData!I30*$J$4+$M$4*$J$5+[49]FormattedData!I30^2*$J$6+$M$5*$J$7</f>
        <v>53.461864601445157</v>
      </c>
      <c r="Q18" s="39">
        <f>$J$3+[49]FormattedData!J30*$J$4+$M$4*$J$5+[49]FormattedData!J30^2*$J$6+$M$5*$J$7</f>
        <v>53.202110086529203</v>
      </c>
      <c r="R18" s="39">
        <f>$J$3+[49]FormattedData!K30*$J$4+$M$4*$J$5+[49]FormattedData!K30^2*$J$6+$M$5*$J$7</f>
        <v>54.152683492218728</v>
      </c>
      <c r="S18" s="39">
        <f>$J$3+[49]FormattedData!L30*$J$4+$M$4*$J$5+[49]FormattedData!L30^2*$J$6+$M$5*$J$7</f>
        <v>52.855178973776901</v>
      </c>
      <c r="T18" s="39">
        <f>$J$3+[49]FormattedData!M30*$J$4+$M$4*$J$5+[49]FormattedData!M30^2*$J$6+$M$5*$J$7</f>
        <v>53.548364902674621</v>
      </c>
      <c r="U18" s="39">
        <f>$J$3+[49]FormattedData!N30*$J$4+$M$4*$J$5+[49]FormattedData!N30^2*$J$6+$M$5*$J$7</f>
        <v>53.288737193372455</v>
      </c>
      <c r="V18" s="39">
        <f>$J$3+[49]FormattedData!O30*$J$4+$M$4*$J$5+[49]FormattedData!O30^2*$J$6+$M$5*$J$7</f>
        <v>52.768340524243996</v>
      </c>
      <c r="W18" s="38">
        <f>AVERAGE(K18:V18)</f>
        <v>53.618542880447421</v>
      </c>
      <c r="X18" s="37">
        <f>STDEV(K18:V18)/SQRT(COUNT(K18:V18))</f>
        <v>0.24487922147130881</v>
      </c>
      <c r="Y18" s="36">
        <f>MIN(K18:V18)</f>
        <v>52.507571564417695</v>
      </c>
      <c r="Z18" s="35">
        <f>QUARTILE(K18:V18,1)</f>
        <v>53.115377308341124</v>
      </c>
      <c r="AA18" s="36">
        <f>MEDIAN(K18:V18)</f>
        <v>53.505114752059889</v>
      </c>
      <c r="AB18" s="35">
        <f>QUARTILE(K18:V18,3)</f>
        <v>53.893880019406232</v>
      </c>
      <c r="AC18" s="35">
        <f>MAX(K18:V18)</f>
        <v>55.526205714483083</v>
      </c>
      <c r="AD18" s="35">
        <f>SKEW(K18:V18)</f>
        <v>1.0218548150100863</v>
      </c>
      <c r="AE18" s="35">
        <f>KURT(K18:V18)</f>
        <v>1.1314546880495042</v>
      </c>
    </row>
    <row r="19" spans="2:31" x14ac:dyDescent="0.2">
      <c r="B19" s="34">
        <f>[49]FormattedData!A32</f>
        <v>202</v>
      </c>
      <c r="C19" s="34" t="str">
        <f>VLOOKUP($B19,[49]TrtCodes!$B$11:I75,2)</f>
        <v>NTH</v>
      </c>
      <c r="D19" s="34">
        <f>VLOOKUP($B19,[49]TrtCodes!$B$11:J75,3)</f>
        <v>9</v>
      </c>
      <c r="E19" s="34">
        <f>VLOOKUP($B19,[49]TrtCodes!$B$11:K75,4)</f>
        <v>2</v>
      </c>
      <c r="F19" s="34">
        <f>VLOOKUP($B19,[49]TrtCodes!$B$11:L75,5)</f>
        <v>2</v>
      </c>
      <c r="G19" s="34">
        <f>VLOOKUP($B19,[49]TrtCodes!$B$11:M75,6)</f>
        <v>2</v>
      </c>
      <c r="H19" s="34">
        <f>VLOOKUP($B19,[49]TrtCodes!$B$11:N75,7)</f>
        <v>1</v>
      </c>
      <c r="I19" s="34">
        <f>[49]FormattedData!B32</f>
        <v>1</v>
      </c>
      <c r="J19" s="37">
        <f>[49]FormattedData!C32</f>
        <v>13.204000000000001</v>
      </c>
      <c r="K19" s="39">
        <f>$J$3+[49]FormattedData!D32*$J$4+$M$4*$J$5+[49]FormattedData!D32^2*$J$6+$M$5*$J$7</f>
        <v>51.89763125932874</v>
      </c>
      <c r="L19" s="39">
        <f>$J$3+[49]FormattedData!E32*$J$4+$M$4*$J$5+[49]FormattedData!E32^2*$J$6+$M$5*$J$7</f>
        <v>54.238845645144735</v>
      </c>
      <c r="M19" s="39">
        <f>$J$3+[49]FormattedData!F32*$J$4+$M$4*$J$5+[49]FormattedData!F32^2*$J$6+$M$5*$J$7</f>
        <v>52.594536819564397</v>
      </c>
      <c r="N19" s="39">
        <f>$J$3+[49]FormattedData!G32*$J$4+$M$4*$J$5+[49]FormattedData!G32^2*$J$6+$M$5*$J$7</f>
        <v>53.980232380752923</v>
      </c>
      <c r="O19" s="39">
        <f>$J$3+[49]FormattedData!H32*$J$4+$M$4*$J$5+[49]FormattedData!H32^2*$J$6+$M$5*$J$7</f>
        <v>52.855178973776901</v>
      </c>
      <c r="P19" s="39">
        <f>$J$3+[49]FormattedData!I32*$J$4+$M$4*$J$5+[49]FormattedData!I32^2*$J$6+$M$5*$J$7</f>
        <v>54.066479070754781</v>
      </c>
      <c r="Q19" s="39">
        <f>$J$3+[49]FormattedData!J32*$J$4+$M$4*$J$5+[49]FormattedData!J32^2*$J$6+$M$5*$J$7</f>
        <v>52.768340524243996</v>
      </c>
      <c r="R19" s="39">
        <f>$J$3+[49]FormattedData!K32*$J$4+$M$4*$J$5+[49]FormattedData!K32^2*$J$6+$M$5*$J$7</f>
        <v>54.066479070754781</v>
      </c>
      <c r="S19" s="39">
        <f>$J$3+[49]FormattedData!L32*$J$4+$M$4*$J$5+[49]FormattedData!L32^2*$J$6+$M$5*$J$7</f>
        <v>51.984892394240958</v>
      </c>
      <c r="T19" s="39">
        <f>$J$3+[49]FormattedData!M32*$J$4+$M$4*$J$5+[49]FormattedData!M32^2*$J$6+$M$5*$J$7</f>
        <v>54.754930923404217</v>
      </c>
      <c r="U19" s="39">
        <f>$J$3+[49]FormattedData!N32*$J$4+$M$4*$J$5+[49]FormattedData!N32^2*$J$6+$M$5*$J$7</f>
        <v>52.246422187750028</v>
      </c>
      <c r="V19" s="39">
        <f>$J$3+[49]FormattedData!O32*$J$4+$M$4*$J$5+[49]FormattedData!O32^2*$J$6+$M$5*$J$7</f>
        <v>54.324965529532804</v>
      </c>
      <c r="W19" s="38">
        <f>AVERAGE(K19:V19)</f>
        <v>53.3149112316041</v>
      </c>
      <c r="X19" s="37">
        <f>STDEV(K19:V19)/SQRT(COUNT(K19:V19))</f>
        <v>0.29475485330519169</v>
      </c>
      <c r="Y19" s="36">
        <f>MIN(K19:V19)</f>
        <v>51.89763125932874</v>
      </c>
      <c r="Z19" s="35">
        <f>QUARTILE(K19:V19,1)</f>
        <v>52.507508161610801</v>
      </c>
      <c r="AA19" s="36">
        <f>MEDIAN(K19:V19)</f>
        <v>53.417705677264912</v>
      </c>
      <c r="AB19" s="35">
        <f>QUARTILE(K19:V19,3)</f>
        <v>54.109570714352273</v>
      </c>
      <c r="AC19" s="35">
        <f>MAX(K19:V19)</f>
        <v>54.754930923404217</v>
      </c>
      <c r="AD19" s="35">
        <f>SKEW(K19:V19)</f>
        <v>-0.11322763570999403</v>
      </c>
      <c r="AE19" s="35">
        <f>KURT(K19:V19)</f>
        <v>-1.7465101682237969</v>
      </c>
    </row>
    <row r="20" spans="2:31" x14ac:dyDescent="0.2">
      <c r="B20" s="34">
        <f>[49]FormattedData!A34</f>
        <v>203</v>
      </c>
      <c r="C20" s="34" t="str">
        <f>VLOOKUP($B20,[49]TrtCodes!$B$11:I77,2)</f>
        <v>FTH</v>
      </c>
      <c r="D20" s="34">
        <f>VLOOKUP($B20,[49]TrtCodes!$B$11:J77,3)</f>
        <v>3</v>
      </c>
      <c r="E20" s="34">
        <f>VLOOKUP($B20,[49]TrtCodes!$B$11:K77,4)</f>
        <v>1</v>
      </c>
      <c r="F20" s="34">
        <f>VLOOKUP($B20,[49]TrtCodes!$B$11:L77,5)</f>
        <v>2</v>
      </c>
      <c r="G20" s="34">
        <f>VLOOKUP($B20,[49]TrtCodes!$B$11:M77,6)</f>
        <v>2</v>
      </c>
      <c r="H20" s="34">
        <f>VLOOKUP($B20,[49]TrtCodes!$B$11:N77,7)</f>
        <v>1</v>
      </c>
      <c r="I20" s="34">
        <f>[49]FormattedData!B34</f>
        <v>1</v>
      </c>
      <c r="J20" s="37">
        <f>[49]FormattedData!C34</f>
        <v>13.209</v>
      </c>
      <c r="K20" s="39">
        <f>$J$3+[49]FormattedData!D34*$J$4+$M$4*$J$5+[49]FormattedData!D34^2*$J$6+$M$5*$J$7</f>
        <v>52.333514248510511</v>
      </c>
      <c r="L20" s="39">
        <f>$J$3+[49]FormattedData!E34*$J$4+$M$4*$J$5+[49]FormattedData!E34^2*$J$6+$M$5*$J$7</f>
        <v>54.669022381705794</v>
      </c>
      <c r="M20" s="39">
        <f>$J$3+[49]FormattedData!F34*$J$4+$M$4*$J$5+[49]FormattedData!F34^2*$J$6+$M$5*$J$7</f>
        <v>53.461864601445157</v>
      </c>
      <c r="N20" s="39">
        <f>$J$3+[49]FormattedData!G34*$J$4+$M$4*$J$5+[49]FormattedData!G34^2*$J$6+$M$5*$J$7</f>
        <v>54.840797196564708</v>
      </c>
      <c r="O20" s="39">
        <f>$J$3+[49]FormattedData!H34*$J$4+$M$4*$J$5+[49]FormattedData!H34^2*$J$6+$M$5*$J$7</f>
        <v>52.507571564417695</v>
      </c>
      <c r="P20" s="39">
        <f>$J$3+[49]FormattedData!I34*$J$4+$M$4*$J$5+[49]FormattedData!I34^2*$J$6+$M$5*$J$7</f>
        <v>54.583071571469446</v>
      </c>
      <c r="Q20" s="39">
        <f>$J$3+[49]FormattedData!J34*$J$4+$M$4*$J$5+[49]FormattedData!J34^2*$J$6+$M$5*$J$7</f>
        <v>54.066479070754781</v>
      </c>
      <c r="R20" s="39">
        <f>$J$3+[49]FormattedData!K34*$J$4+$M$4*$J$5+[49]FormattedData!K34^2*$J$6+$M$5*$J$7</f>
        <v>54.324965529532804</v>
      </c>
      <c r="S20" s="39">
        <f>$J$3+[49]FormattedData!L34*$J$4+$M$4*$J$5+[49]FormattedData!L34^2*$J$6+$M$5*$J$7</f>
        <v>54.066479070754781</v>
      </c>
      <c r="T20" s="39">
        <f>$J$3+[49]FormattedData!M34*$J$4+$M$4*$J$5+[49]FormattedData!M34^2*$J$6+$M$5*$J$7</f>
        <v>53.202110086529203</v>
      </c>
      <c r="U20" s="39">
        <f>$J$3+[49]FormattedData!N34*$J$4+$M$4*$J$5+[49]FormattedData!N34^2*$J$6+$M$5*$J$7</f>
        <v>53.807612195135398</v>
      </c>
      <c r="V20" s="39">
        <f>$J$3+[49]FormattedData!O34*$J$4+$M$4*$J$5+[49]FormattedData!O34^2*$J$6+$M$5*$J$7</f>
        <v>54.324965529532804</v>
      </c>
      <c r="W20" s="38">
        <f>AVERAGE(K20:V20)</f>
        <v>53.849037753862767</v>
      </c>
      <c r="X20" s="37">
        <f>STDEV(K20:V20)/SQRT(COUNT(K20:V20))</f>
        <v>0.23691228305294695</v>
      </c>
      <c r="Y20" s="36">
        <f>MIN(K20:V20)</f>
        <v>52.333514248510511</v>
      </c>
      <c r="Z20" s="35">
        <f>QUARTILE(K20:V20,1)</f>
        <v>53.396925972716168</v>
      </c>
      <c r="AA20" s="36">
        <f>MEDIAN(K20:V20)</f>
        <v>54.066479070754781</v>
      </c>
      <c r="AB20" s="35">
        <f>QUARTILE(K20:V20,3)</f>
        <v>54.389492040016961</v>
      </c>
      <c r="AC20" s="35">
        <f>MAX(K20:V20)</f>
        <v>54.840797196564708</v>
      </c>
      <c r="AD20" s="35">
        <f>SKEW(K20:V20)</f>
        <v>-0.80230964392714821</v>
      </c>
      <c r="AE20" s="35">
        <f>KURT(K20:V20)</f>
        <v>-0.37628124512202632</v>
      </c>
    </row>
    <row r="21" spans="2:31" x14ac:dyDescent="0.2">
      <c r="B21" s="34">
        <f>[49]FormattedData!A36</f>
        <v>204</v>
      </c>
      <c r="C21" s="34" t="str">
        <f>VLOOKUP($B21,[49]TrtCodes!$B$11:I79,2)</f>
        <v>NDH</v>
      </c>
      <c r="D21" s="34">
        <f>VLOOKUP($B21,[49]TrtCodes!$B$11:J79,3)</f>
        <v>11</v>
      </c>
      <c r="E21" s="34">
        <f>VLOOKUP($B21,[49]TrtCodes!$B$11:K79,4)</f>
        <v>2</v>
      </c>
      <c r="F21" s="34">
        <f>VLOOKUP($B21,[49]TrtCodes!$B$11:L79,5)</f>
        <v>3</v>
      </c>
      <c r="G21" s="34">
        <f>VLOOKUP($B21,[49]TrtCodes!$B$11:M79,6)</f>
        <v>2</v>
      </c>
      <c r="H21" s="34">
        <f>VLOOKUP($B21,[49]TrtCodes!$B$11:N79,7)</f>
        <v>1</v>
      </c>
      <c r="I21" s="34">
        <f>[49]FormattedData!B36</f>
        <v>1</v>
      </c>
      <c r="J21" s="37">
        <f>[49]FormattedData!C36</f>
        <v>13.215</v>
      </c>
      <c r="K21" s="39">
        <f>$J$3+[49]FormattedData!D36*$J$4+$M$4*$J$5+[49]FormattedData!D36^2*$J$6+$M$5*$J$7</f>
        <v>52.159287858451599</v>
      </c>
      <c r="L21" s="39">
        <f>$J$3+[49]FormattedData!E36*$J$4+$M$4*$J$5+[49]FormattedData!E36^2*$J$6+$M$5*$J$7</f>
        <v>54.583071571469446</v>
      </c>
      <c r="M21" s="39">
        <f>$J$3+[49]FormattedData!F36*$J$4+$M$4*$J$5+[49]FormattedData!F36^2*$J$6+$M$5*$J$7</f>
        <v>53.807612195135398</v>
      </c>
      <c r="N21" s="39">
        <f>$J$3+[49]FormattedData!G36*$J$4+$M$4*$J$5+[49]FormattedData!G36^2*$J$6+$M$5*$J$7</f>
        <v>55.012402937271879</v>
      </c>
      <c r="O21" s="39">
        <f>$J$3+[49]FormattedData!H36*$J$4+$M$4*$J$5+[49]FormattedData!H36^2*$J$6+$M$5*$J$7</f>
        <v>53.548364902674621</v>
      </c>
      <c r="P21" s="39">
        <f>$J$3+[49]FormattedData!I36*$J$4+$M$4*$J$5+[49]FormattedData!I36^2*$J$6+$M$5*$J$7</f>
        <v>55.697135158583372</v>
      </c>
      <c r="Q21" s="39">
        <f>$J$3+[49]FormattedData!J36*$J$4+$M$4*$J$5+[49]FormattedData!J36^2*$J$6+$M$5*$J$7</f>
        <v>53.375322031677776</v>
      </c>
      <c r="R21" s="39">
        <f>$J$3+[49]FormattedData!K36*$J$4+$M$4*$J$5+[49]FormattedData!K36^2*$J$6+$M$5*$J$7</f>
        <v>55.611691570802193</v>
      </c>
      <c r="S21" s="39">
        <f>$J$3+[49]FormattedData!L36*$J$4+$M$4*$J$5+[49]FormattedData!L36^2*$J$6+$M$5*$J$7</f>
        <v>53.115440711148032</v>
      </c>
      <c r="T21" s="39">
        <f>$J$3+[49]FormattedData!M36*$J$4+$M$4*$J$5+[49]FormattedData!M36^2*$J$6+$M$5*$J$7</f>
        <v>54.324965529532804</v>
      </c>
      <c r="U21" s="39">
        <f>$J$3+[49]FormattedData!N36*$J$4+$M$4*$J$5+[49]FormattedData!N36^2*$J$6+$M$5*$J$7</f>
        <v>53.807612195135398</v>
      </c>
      <c r="V21" s="39">
        <f>$J$3+[49]FormattedData!O36*$J$4+$M$4*$J$5+[49]FormattedData!O36^2*$J$6+$M$5*$J$7</f>
        <v>55.098142404818581</v>
      </c>
      <c r="W21" s="38">
        <f>AVERAGE(K21:V21)</f>
        <v>54.17842075555842</v>
      </c>
      <c r="X21" s="37">
        <f>STDEV(K21:V21)/SQRT(COUNT(K21:V21))</f>
        <v>0.30909386946910328</v>
      </c>
      <c r="Y21" s="36">
        <f>MIN(K21:V21)</f>
        <v>52.159287858451599</v>
      </c>
      <c r="Z21" s="35">
        <f>QUARTILE(K21:V21,1)</f>
        <v>53.505104184925408</v>
      </c>
      <c r="AA21" s="36">
        <f>MEDIAN(K21:V21)</f>
        <v>54.066288862334105</v>
      </c>
      <c r="AB21" s="35">
        <f>QUARTILE(K21:V21,3)</f>
        <v>55.033837804158551</v>
      </c>
      <c r="AC21" s="35">
        <f>MAX(K21:V21)</f>
        <v>55.697135158583372</v>
      </c>
      <c r="AD21" s="35">
        <f>SKEW(K21:V21)</f>
        <v>-0.21579631863756804</v>
      </c>
      <c r="AE21" s="35">
        <f>KURT(K21:V21)</f>
        <v>-0.5236140910845215</v>
      </c>
    </row>
    <row r="22" spans="2:31" x14ac:dyDescent="0.2">
      <c r="B22" s="34">
        <f>[49]FormattedData!A38</f>
        <v>205</v>
      </c>
      <c r="C22" s="34" t="str">
        <f>VLOOKUP($B22,[49]TrtCodes!$B$11:I81,2)</f>
        <v>FSH</v>
      </c>
      <c r="D22" s="34">
        <f>VLOOKUP($B22,[49]TrtCodes!$B$11:J81,3)</f>
        <v>1</v>
      </c>
      <c r="E22" s="34">
        <f>VLOOKUP($B22,[49]TrtCodes!$B$11:K81,4)</f>
        <v>1</v>
      </c>
      <c r="F22" s="34">
        <f>VLOOKUP($B22,[49]TrtCodes!$B$11:L81,5)</f>
        <v>1</v>
      </c>
      <c r="G22" s="34">
        <f>VLOOKUP($B22,[49]TrtCodes!$B$11:M81,6)</f>
        <v>2</v>
      </c>
      <c r="H22" s="34">
        <f>VLOOKUP($B22,[49]TrtCodes!$B$11:N81,7)</f>
        <v>2</v>
      </c>
      <c r="I22" s="34">
        <f>[49]FormattedData!B38</f>
        <v>1</v>
      </c>
      <c r="J22" s="37">
        <f>[49]FormattedData!C38</f>
        <v>13.22</v>
      </c>
      <c r="K22" s="39">
        <f>$J$3+[49]FormattedData!D38*$J$4+$M$4*$J$5+[49]FormattedData!D38^2*$J$6+$M$5*$J$7</f>
        <v>51.722982183890522</v>
      </c>
      <c r="L22" s="39">
        <f>$J$3+[49]FormattedData!E38*$J$4+$M$4*$J$5+[49]FormattedData!E38^2*$J$6+$M$5*$J$7</f>
        <v>55.269494534298175</v>
      </c>
      <c r="M22" s="39">
        <f>$J$3+[49]FormattedData!F38*$J$4+$M$4*$J$5+[49]FormattedData!F38^2*$J$6+$M$5*$J$7</f>
        <v>53.721238699519731</v>
      </c>
      <c r="N22" s="39">
        <f>$J$3+[49]FormattedData!G38*$J$4+$M$4*$J$5+[49]FormattedData!G38^2*$J$6+$M$5*$J$7</f>
        <v>55.355107196231074</v>
      </c>
      <c r="O22" s="39">
        <f>$J$3+[49]FormattedData!H38*$J$4+$M$4*$J$5+[49]FormattedData!H38^2*$J$6+$M$5*$J$7</f>
        <v>52.594536819564397</v>
      </c>
      <c r="P22" s="39">
        <f>$J$3+[49]FormattedData!I38*$J$4+$M$4*$J$5+[49]FormattedData!I38^2*$J$6+$M$5*$J$7</f>
        <v>53.980232380752923</v>
      </c>
      <c r="Q22" s="39">
        <f>$J$3+[49]FormattedData!J38*$J$4+$M$4*$J$5+[49]FormattedData!J38^2*$J$6+$M$5*$J$7</f>
        <v>53.461864601445157</v>
      </c>
      <c r="R22" s="39">
        <f>$J$3+[49]FormattedData!K38*$J$4+$M$4*$J$5+[49]FormattedData!K38^2*$J$6+$M$5*$J$7</f>
        <v>54.754930923404217</v>
      </c>
      <c r="S22" s="39">
        <f>$J$3+[49]FormattedData!L38*$J$4+$M$4*$J$5+[49]FormattedData!L38^2*$J$6+$M$5*$J$7</f>
        <v>53.461864601445157</v>
      </c>
      <c r="T22" s="39">
        <f>$J$3+[49]FormattedData!M38*$J$4+$M$4*$J$5+[49]FormattedData!M38^2*$J$6+$M$5*$J$7</f>
        <v>54.840797196564708</v>
      </c>
      <c r="U22" s="39">
        <f>$J$3+[49]FormattedData!N38*$J$4+$M$4*$J$5+[49]FormattedData!N38^2*$J$6+$M$5*$J$7</f>
        <v>53.028729067228916</v>
      </c>
      <c r="V22" s="39">
        <f>$J$3+[49]FormattedData!O38*$J$4+$M$4*$J$5+[49]FormattedData!O38^2*$J$6+$M$5*$J$7</f>
        <v>55.012402937271879</v>
      </c>
      <c r="W22" s="38">
        <f>AVERAGE(K22:V22)</f>
        <v>53.933681761801402</v>
      </c>
      <c r="X22" s="37">
        <f>STDEV(K22:V22)/SQRT(COUNT(K22:V22))</f>
        <v>0.33095084616943066</v>
      </c>
      <c r="Y22" s="36">
        <f>MIN(K22:V22)</f>
        <v>51.722982183890522</v>
      </c>
      <c r="Z22" s="35">
        <f>QUARTILE(K22:V22,1)</f>
        <v>53.353580717891099</v>
      </c>
      <c r="AA22" s="36">
        <f>MEDIAN(K22:V22)</f>
        <v>53.850735540136327</v>
      </c>
      <c r="AB22" s="35">
        <f>QUARTILE(K22:V22,3)</f>
        <v>54.883698631741503</v>
      </c>
      <c r="AC22" s="35">
        <f>MAX(K22:V22)</f>
        <v>55.355107196231074</v>
      </c>
      <c r="AD22" s="35">
        <f>SKEW(K22:V22)</f>
        <v>-0.46010108045094378</v>
      </c>
      <c r="AE22" s="35">
        <f>KURT(K22:V22)</f>
        <v>-0.60133929734693181</v>
      </c>
    </row>
    <row r="23" spans="2:31" x14ac:dyDescent="0.2">
      <c r="B23" s="34">
        <f>[49]FormattedData!A40</f>
        <v>206</v>
      </c>
      <c r="C23" s="34" t="str">
        <f>VLOOKUP($B23,[49]TrtCodes!$B$11:I83,2)</f>
        <v>NSL</v>
      </c>
      <c r="D23" s="34">
        <f>VLOOKUP($B23,[49]TrtCodes!$B$11:J83,3)</f>
        <v>8</v>
      </c>
      <c r="E23" s="34">
        <f>VLOOKUP($B23,[49]TrtCodes!$B$11:K83,4)</f>
        <v>2</v>
      </c>
      <c r="F23" s="34">
        <f>VLOOKUP($B23,[49]TrtCodes!$B$11:L83,5)</f>
        <v>1</v>
      </c>
      <c r="G23" s="34">
        <f>VLOOKUP($B23,[49]TrtCodes!$B$11:M83,6)</f>
        <v>1</v>
      </c>
      <c r="H23" s="34">
        <f>VLOOKUP($B23,[49]TrtCodes!$B$11:N83,7)</f>
        <v>2</v>
      </c>
      <c r="I23" s="34">
        <f>[49]FormattedData!B40</f>
        <v>1</v>
      </c>
      <c r="J23" s="37">
        <f>[49]FormattedData!C40</f>
        <v>13.226000000000001</v>
      </c>
      <c r="K23" s="39">
        <f>$J$3+[49]FormattedData!D40*$J$4+$M$4*$J$5+[49]FormattedData!D40^2*$J$6+$M$5*$J$7</f>
        <v>52.768340524243996</v>
      </c>
      <c r="L23" s="39">
        <f>$J$3+[49]FormattedData!E40*$J$4+$M$4*$J$5+[49]FormattedData!E40^2*$J$6+$M$5*$J$7</f>
        <v>55.526205714483083</v>
      </c>
      <c r="M23" s="39">
        <f>$J$3+[49]FormattedData!F40*$J$4+$M$4*$J$5+[49]FormattedData!F40^2*$J$6+$M$5*$J$7</f>
        <v>53.288737193372455</v>
      </c>
      <c r="N23" s="39">
        <f>$J$3+[49]FormattedData!G40*$J$4+$M$4*$J$5+[49]FormattedData!G40^2*$J$6+$M$5*$J$7</f>
        <v>54.324965529532804</v>
      </c>
      <c r="O23" s="39">
        <f>$J$3+[49]FormattedData!H40*$J$4+$M$4*$J$5+[49]FormattedData!H40^2*$J$6+$M$5*$J$7</f>
        <v>55.611691570802193</v>
      </c>
      <c r="P23" s="39">
        <f>$J$3+[49]FormattedData!I40*$J$4+$M$4*$J$5+[49]FormattedData!I40^2*$J$6+$M$5*$J$7</f>
        <v>53.115440711148032</v>
      </c>
      <c r="Q23" s="39">
        <f>$J$3+[49]FormattedData!J40*$J$4+$M$4*$J$5+[49]FormattedData!J40^2*$J$6+$M$5*$J$7</f>
        <v>54.92662120118726</v>
      </c>
      <c r="R23" s="39">
        <f>$J$3+[49]FormattedData!K40*$J$4+$M$4*$J$5+[49]FormattedData!K40^2*$J$6+$M$5*$J$7</f>
        <v>54.497078492695167</v>
      </c>
      <c r="S23" s="39">
        <f>$J$3+[49]FormattedData!L40*$J$4+$M$4*$J$5+[49]FormattedData!L40^2*$J$6+$M$5*$J$7</f>
        <v>53.89394342221312</v>
      </c>
      <c r="T23" s="39">
        <f>$J$3+[49]FormattedData!M40*$J$4+$M$4*$J$5+[49]FormattedData!M40^2*$J$6+$M$5*$J$7</f>
        <v>54.840797196564708</v>
      </c>
      <c r="U23" s="39">
        <f>$J$3+[49]FormattedData!N40*$J$4+$M$4*$J$5+[49]FormattedData!N40^2*$J$6+$M$5*$J$7</f>
        <v>54.411043145382955</v>
      </c>
      <c r="V23" s="39">
        <f>$J$3+[49]FormattedData!O40*$J$4+$M$4*$J$5+[49]FormattedData!O40^2*$J$6+$M$5*$J$7</f>
        <v>56.123719069420282</v>
      </c>
      <c r="W23" s="38">
        <f>AVERAGE(K23:V23)</f>
        <v>54.444048647587174</v>
      </c>
      <c r="X23" s="37">
        <f>STDEV(K23:V23)/SQRT(COUNT(K23:V23))</f>
        <v>0.30119297794840083</v>
      </c>
      <c r="Y23" s="36">
        <f>MIN(K23:V23)</f>
        <v>52.768340524243996</v>
      </c>
      <c r="Z23" s="35">
        <f>QUARTILE(K23:V23,1)</f>
        <v>53.742641865002952</v>
      </c>
      <c r="AA23" s="36">
        <f>MEDIAN(K23:V23)</f>
        <v>54.454060819039057</v>
      </c>
      <c r="AB23" s="35">
        <f>QUARTILE(K23:V23,3)</f>
        <v>55.076517329511219</v>
      </c>
      <c r="AC23" s="35">
        <f>MAX(K23:V23)</f>
        <v>56.123719069420282</v>
      </c>
      <c r="AD23" s="35">
        <f>SKEW(K23:V23)</f>
        <v>-9.4877978398464236E-2</v>
      </c>
      <c r="AE23" s="35">
        <f>KURT(K23:V23)</f>
        <v>-0.82307951554092407</v>
      </c>
    </row>
    <row r="24" spans="2:31" x14ac:dyDescent="0.2">
      <c r="B24" s="34">
        <f>[49]FormattedData!A42</f>
        <v>207</v>
      </c>
      <c r="C24" s="34" t="str">
        <f>VLOOKUP($B24,[49]TrtCodes!$B$11:I85,2)</f>
        <v>FTL</v>
      </c>
      <c r="D24" s="34">
        <f>VLOOKUP($B24,[49]TrtCodes!$B$11:J85,3)</f>
        <v>4</v>
      </c>
      <c r="E24" s="34">
        <f>VLOOKUP($B24,[49]TrtCodes!$B$11:K85,4)</f>
        <v>1</v>
      </c>
      <c r="F24" s="34">
        <f>VLOOKUP($B24,[49]TrtCodes!$B$11:L85,5)</f>
        <v>2</v>
      </c>
      <c r="G24" s="34">
        <f>VLOOKUP($B24,[49]TrtCodes!$B$11:M85,6)</f>
        <v>1</v>
      </c>
      <c r="H24" s="34">
        <f>VLOOKUP($B24,[49]TrtCodes!$B$11:N85,7)</f>
        <v>2</v>
      </c>
      <c r="I24" s="34">
        <f>[49]FormattedData!B42</f>
        <v>1</v>
      </c>
      <c r="J24" s="37">
        <f>[49]FormattedData!C42</f>
        <v>13.231</v>
      </c>
      <c r="K24" s="39">
        <f>$J$3+[49]FormattedData!D42*$J$4+$M$4*$J$5+[49]FormattedData!D42^2*$J$6+$M$5*$J$7</f>
        <v>51.984892394240958</v>
      </c>
      <c r="L24" s="39">
        <f>$J$3+[49]FormattedData!E42*$J$4+$M$4*$J$5+[49]FormattedData!E42^2*$J$6+$M$5*$J$7</f>
        <v>54.497078492695167</v>
      </c>
      <c r="M24" s="39">
        <f>$J$3+[49]FormattedData!F42*$J$4+$M$4*$J$5+[49]FormattedData!F42^2*$J$6+$M$5*$J$7</f>
        <v>53.548364902674621</v>
      </c>
      <c r="N24" s="39">
        <f>$J$3+[49]FormattedData!G42*$J$4+$M$4*$J$5+[49]FormattedData!G42^2*$J$6+$M$5*$J$7</f>
        <v>54.066479070754781</v>
      </c>
      <c r="O24" s="39">
        <f>$J$3+[49]FormattedData!H42*$J$4+$M$4*$J$5+[49]FormattedData!H42^2*$J$6+$M$5*$J$7</f>
        <v>53.89394342221312</v>
      </c>
      <c r="P24" s="39">
        <f>$J$3+[49]FormattedData!I42*$J$4+$M$4*$J$5+[49]FormattedData!I42^2*$J$6+$M$5*$J$7</f>
        <v>53.288737193372455</v>
      </c>
      <c r="Q24" s="39">
        <f>$J$3+[49]FormattedData!J42*$J$4+$M$4*$J$5+[49]FormattedData!J42^2*$J$6+$M$5*$J$7</f>
        <v>54.583071571469446</v>
      </c>
      <c r="R24" s="39">
        <f>$J$3+[49]FormattedData!K42*$J$4+$M$4*$J$5+[49]FormattedData!K42^2*$J$6+$M$5*$J$7</f>
        <v>53.980232380752923</v>
      </c>
      <c r="S24" s="39">
        <f>$J$3+[49]FormattedData!L42*$J$4+$M$4*$J$5+[49]FormattedData!L42^2*$J$6+$M$5*$J$7</f>
        <v>53.807612195135398</v>
      </c>
      <c r="T24" s="39">
        <f>$J$3+[49]FormattedData!M42*$J$4+$M$4*$J$5+[49]FormattedData!M42^2*$J$6+$M$5*$J$7</f>
        <v>52.159287858451599</v>
      </c>
      <c r="U24" s="39">
        <f>$J$3+[49]FormattedData!N42*$J$4+$M$4*$J$5+[49]FormattedData!N42^2*$J$6+$M$5*$J$7</f>
        <v>53.548364902674621</v>
      </c>
      <c r="V24" s="39">
        <f>$J$3+[49]FormattedData!O42*$J$4+$M$4*$J$5+[49]FormattedData!O42^2*$J$6+$M$5*$J$7</f>
        <v>52.941975154771882</v>
      </c>
      <c r="W24" s="38">
        <f>AVERAGE(K24:V24)</f>
        <v>53.525003294933917</v>
      </c>
      <c r="X24" s="37">
        <f>STDEV(K24:V24)/SQRT(COUNT(K24:V24))</f>
        <v>0.23700799220252972</v>
      </c>
      <c r="Y24" s="36">
        <f>MIN(K24:V24)</f>
        <v>51.984892394240958</v>
      </c>
      <c r="Z24" s="35">
        <f>QUARTILE(K24:V24,1)</f>
        <v>53.202046683722315</v>
      </c>
      <c r="AA24" s="36">
        <f>MEDIAN(K24:V24)</f>
        <v>53.677988548905006</v>
      </c>
      <c r="AB24" s="35">
        <f>QUARTILE(K24:V24,3)</f>
        <v>54.001794053253391</v>
      </c>
      <c r="AC24" s="35">
        <f>MAX(K24:V24)</f>
        <v>54.583071571469446</v>
      </c>
      <c r="AD24" s="35">
        <f>SKEW(K24:V24)</f>
        <v>-0.78507557737514178</v>
      </c>
      <c r="AE24" s="35">
        <f>KURT(K24:V24)</f>
        <v>-3.6962561508123937E-2</v>
      </c>
    </row>
    <row r="25" spans="2:31" x14ac:dyDescent="0.2">
      <c r="B25" s="34">
        <f>[49]FormattedData!A44</f>
        <v>208</v>
      </c>
      <c r="C25" s="34" t="str">
        <f>VLOOKUP($B25,[49]TrtCodes!$B$11:I87,2)</f>
        <v>FSL</v>
      </c>
      <c r="D25" s="34">
        <f>VLOOKUP($B25,[49]TrtCodes!$B$11:J87,3)</f>
        <v>2</v>
      </c>
      <c r="E25" s="34">
        <f>VLOOKUP($B25,[49]TrtCodes!$B$11:K87,4)</f>
        <v>1</v>
      </c>
      <c r="F25" s="34">
        <f>VLOOKUP($B25,[49]TrtCodes!$B$11:L87,5)</f>
        <v>1</v>
      </c>
      <c r="G25" s="34">
        <f>VLOOKUP($B25,[49]TrtCodes!$B$11:M87,6)</f>
        <v>1</v>
      </c>
      <c r="H25" s="34">
        <f>VLOOKUP($B25,[49]TrtCodes!$B$11:N87,7)</f>
        <v>2</v>
      </c>
      <c r="I25" s="34">
        <f>[49]FormattedData!B44</f>
        <v>1</v>
      </c>
      <c r="J25" s="37">
        <f>[49]FormattedData!C44</f>
        <v>13.237</v>
      </c>
      <c r="K25" s="39">
        <f>$J$3+[49]FormattedData!D44*$J$4+$M$4*$J$5+[49]FormattedData!D44^2*$J$6+$M$5*$J$7</f>
        <v>51.635594243364508</v>
      </c>
      <c r="L25" s="39">
        <f>$J$3+[49]FormattedData!E44*$J$4+$M$4*$J$5+[49]FormattedData!E44^2*$J$6+$M$5*$J$7</f>
        <v>53.634822935366131</v>
      </c>
      <c r="M25" s="39">
        <f>$J$3+[49]FormattedData!F44*$J$4+$M$4*$J$5+[49]FormattedData!F44^2*$J$6+$M$5*$J$7</f>
        <v>53.721238699519731</v>
      </c>
      <c r="N25" s="39">
        <f>$J$3+[49]FormattedData!G44*$J$4+$M$4*$J$5+[49]FormattedData!G44^2*$J$6+$M$5*$J$7</f>
        <v>53.980232380752923</v>
      </c>
      <c r="O25" s="39">
        <f>$J$3+[49]FormattedData!H44*$J$4+$M$4*$J$5+[49]FormattedData!H44^2*$J$6+$M$5*$J$7</f>
        <v>53.89394342221312</v>
      </c>
      <c r="P25" s="39">
        <f>$J$3+[49]FormattedData!I44*$J$4+$M$4*$J$5+[49]FormattedData!I44^2*$J$6+$M$5*$J$7</f>
        <v>52.855178973776901</v>
      </c>
      <c r="Q25" s="39">
        <f>$J$3+[49]FormattedData!J44*$J$4+$M$4*$J$5+[49]FormattedData!J44^2*$J$6+$M$5*$J$7</f>
        <v>54.583071571469446</v>
      </c>
      <c r="R25" s="39">
        <f>$J$3+[49]FormattedData!K44*$J$4+$M$4*$J$5+[49]FormattedData!K44^2*$J$6+$M$5*$J$7</f>
        <v>53.807612195135398</v>
      </c>
      <c r="S25" s="39">
        <f>$J$3+[49]FormattedData!L44*$J$4+$M$4*$J$5+[49]FormattedData!L44^2*$J$6+$M$5*$J$7</f>
        <v>54.583071571469446</v>
      </c>
      <c r="T25" s="39">
        <f>$J$3+[49]FormattedData!M44*$J$4+$M$4*$J$5+[49]FormattedData!M44^2*$J$6+$M$5*$J$7</f>
        <v>53.202110086529203</v>
      </c>
      <c r="U25" s="39">
        <f>$J$3+[49]FormattedData!N44*$J$4+$M$4*$J$5+[49]FormattedData!N44^2*$J$6+$M$5*$J$7</f>
        <v>55.183839603827344</v>
      </c>
      <c r="V25" s="39">
        <f>$J$3+[49]FormattedData!O44*$J$4+$M$4*$J$5+[49]FormattedData!O44^2*$J$6+$M$5*$J$7</f>
        <v>55.440677589626041</v>
      </c>
      <c r="W25" s="38">
        <f>AVERAGE(K25:V25)</f>
        <v>53.876782772754176</v>
      </c>
      <c r="X25" s="37">
        <f>STDEV(K25:V25)/SQRT(COUNT(K25:V25))</f>
        <v>0.2986352197648236</v>
      </c>
      <c r="Y25" s="36">
        <f>MIN(K25:V25)</f>
        <v>51.635594243364508</v>
      </c>
      <c r="Z25" s="35">
        <f>QUARTILE(K25:V25,1)</f>
        <v>53.526644723156899</v>
      </c>
      <c r="AA25" s="36">
        <f>MEDIAN(K25:V25)</f>
        <v>53.850777808674259</v>
      </c>
      <c r="AB25" s="35">
        <f>QUARTILE(K25:V25,3)</f>
        <v>54.583071571469446</v>
      </c>
      <c r="AC25" s="35">
        <f>MAX(K25:V25)</f>
        <v>55.440677589626041</v>
      </c>
      <c r="AD25" s="35">
        <f>SKEW(K25:V25)</f>
        <v>-0.57990648206689999</v>
      </c>
      <c r="AE25" s="35">
        <f>KURT(K25:V25)</f>
        <v>0.90979139162743294</v>
      </c>
    </row>
    <row r="26" spans="2:31" x14ac:dyDescent="0.2">
      <c r="B26" s="34">
        <f>[49]FormattedData!A62</f>
        <v>301</v>
      </c>
      <c r="C26" s="34" t="str">
        <f>VLOOKUP($B26,[49]TrtCodes!$B$11:I105,2)</f>
        <v>NTL</v>
      </c>
      <c r="D26" s="34">
        <f>VLOOKUP($B26,[49]TrtCodes!$B$11:J105,3)</f>
        <v>10</v>
      </c>
      <c r="E26" s="34">
        <f>VLOOKUP($B26,[49]TrtCodes!$B$11:K105,4)</f>
        <v>2</v>
      </c>
      <c r="F26" s="34">
        <f>VLOOKUP($B26,[49]TrtCodes!$B$11:L105,5)</f>
        <v>2</v>
      </c>
      <c r="G26" s="34">
        <f>VLOOKUP($B26,[49]TrtCodes!$B$11:M105,6)</f>
        <v>1</v>
      </c>
      <c r="H26" s="34">
        <f>VLOOKUP($B26,[49]TrtCodes!$B$11:N105,7)</f>
        <v>3</v>
      </c>
      <c r="I26" s="34">
        <f>[49]FormattedData!B62</f>
        <v>1</v>
      </c>
      <c r="J26" s="37">
        <f>[49]FormattedData!C62</f>
        <v>13.319000000000001</v>
      </c>
      <c r="K26" s="39">
        <f>$J$3+[49]FormattedData!D62*$J$4+$M$4*$J$5+[49]FormattedData!D62^2*$J$6+$M$5*$J$7</f>
        <v>51.460691556698698</v>
      </c>
      <c r="L26" s="39">
        <f>$J$3+[49]FormattedData!E62*$J$4+$M$4*$J$5+[49]FormattedData!E62^2*$J$6+$M$5*$J$7</f>
        <v>54.238845645144735</v>
      </c>
      <c r="M26" s="39">
        <f>$J$3+[49]FormattedData!F62*$J$4+$M$4*$J$5+[49]FormattedData!F62^2*$J$6+$M$5*$J$7</f>
        <v>54.066479070754781</v>
      </c>
      <c r="N26" s="39">
        <f>$J$3+[49]FormattedData!G62*$J$4+$M$4*$J$5+[49]FormattedData!G62^2*$J$6+$M$5*$J$7</f>
        <v>54.92662120118726</v>
      </c>
      <c r="O26" s="39">
        <f>$J$3+[49]FormattedData!H62*$J$4+$M$4*$J$5+[49]FormattedData!H62^2*$J$6+$M$5*$J$7</f>
        <v>55.867895528531925</v>
      </c>
      <c r="P26" s="39">
        <f>$J$3+[49]FormattedData!I62*$J$4+$M$4*$J$5+[49]FormattedData!I62^2*$J$6+$M$5*$J$7</f>
        <v>53.89394342221312</v>
      </c>
      <c r="Q26" s="39">
        <f>$J$3+[49]FormattedData!J62*$J$4+$M$4*$J$5+[49]FormattedData!J62^2*$J$6+$M$5*$J$7</f>
        <v>54.152683492218728</v>
      </c>
      <c r="R26" s="39">
        <f>$J$3+[49]FormattedData!K62*$J$4+$M$4*$J$5+[49]FormattedData!K62^2*$J$6+$M$5*$J$7</f>
        <v>54.497078492695167</v>
      </c>
      <c r="S26" s="39">
        <f>$J$3+[49]FormattedData!L62*$J$4+$M$4*$J$5+[49]FormattedData!L62^2*$J$6+$M$5*$J$7</f>
        <v>52.768340524243996</v>
      </c>
      <c r="T26" s="39">
        <f>$J$3+[49]FormattedData!M62*$J$4+$M$4*$J$5+[49]FormattedData!M62^2*$J$6+$M$5*$J$7</f>
        <v>53.548364902674621</v>
      </c>
      <c r="U26" s="39">
        <f>$J$3+[49]FormattedData!N62*$J$4+$M$4*$J$5+[49]FormattedData!N62^2*$J$6+$M$5*$J$7</f>
        <v>53.980232380752923</v>
      </c>
      <c r="V26" s="39">
        <f>$J$3+[49]FormattedData!O62*$J$4+$M$4*$J$5+[49]FormattedData!O62^2*$J$6+$M$5*$J$7</f>
        <v>54.497078492695167</v>
      </c>
      <c r="W26" s="38">
        <f>AVERAGE(K26:V26)</f>
        <v>53.991521225817593</v>
      </c>
      <c r="X26" s="37">
        <f>STDEV(K26:V26)/SQRT(COUNT(K26:V26))</f>
        <v>0.31510503715750698</v>
      </c>
      <c r="Y26" s="36">
        <f>MIN(K26:V26)</f>
        <v>51.460691556698698</v>
      </c>
      <c r="Z26" s="35">
        <f>QUARTILE(K26:V26,1)</f>
        <v>53.807548792328497</v>
      </c>
      <c r="AA26" s="36">
        <f>MEDIAN(K26:V26)</f>
        <v>54.109581281486754</v>
      </c>
      <c r="AB26" s="35">
        <f>QUARTILE(K26:V26,3)</f>
        <v>54.497078492695167</v>
      </c>
      <c r="AC26" s="35">
        <f>MAX(K26:V26)</f>
        <v>55.867895528531925</v>
      </c>
      <c r="AD26" s="35">
        <f>SKEW(K26:V26)</f>
        <v>-0.87452841054191588</v>
      </c>
      <c r="AE26" s="35">
        <f>KURT(K26:V26)</f>
        <v>2.2487997443071297</v>
      </c>
    </row>
    <row r="27" spans="2:31" x14ac:dyDescent="0.2">
      <c r="B27" s="34">
        <f>[49]FormattedData!A64</f>
        <v>302</v>
      </c>
      <c r="C27" s="34" t="str">
        <f>VLOOKUP($B27,[49]TrtCodes!$B$11:I107,2)</f>
        <v>FTL</v>
      </c>
      <c r="D27" s="34">
        <f>VLOOKUP($B27,[49]TrtCodes!$B$11:J107,3)</f>
        <v>4</v>
      </c>
      <c r="E27" s="34">
        <f>VLOOKUP($B27,[49]TrtCodes!$B$11:K107,4)</f>
        <v>1</v>
      </c>
      <c r="F27" s="34">
        <f>VLOOKUP($B27,[49]TrtCodes!$B$11:L107,5)</f>
        <v>2</v>
      </c>
      <c r="G27" s="34">
        <f>VLOOKUP($B27,[49]TrtCodes!$B$11:M107,6)</f>
        <v>1</v>
      </c>
      <c r="H27" s="34">
        <f>VLOOKUP($B27,[49]TrtCodes!$B$11:N107,7)</f>
        <v>3</v>
      </c>
      <c r="I27" s="34">
        <f>[49]FormattedData!B64</f>
        <v>1</v>
      </c>
      <c r="J27" s="37">
        <f>[49]FormattedData!C64</f>
        <v>13.324999999999999</v>
      </c>
      <c r="K27" s="39">
        <f>$J$3+[49]FormattedData!D64*$J$4+$M$4*$J$5+[49]FormattedData!D64^2*$J$6+$M$5*$J$7</f>
        <v>51.810327855878604</v>
      </c>
      <c r="L27" s="39">
        <f>$J$3+[49]FormattedData!E64*$J$4+$M$4*$J$5+[49]FormattedData!E64^2*$J$6+$M$5*$J$7</f>
        <v>55.098142404818581</v>
      </c>
      <c r="M27" s="39">
        <f>$J$3+[49]FormattedData!F64*$J$4+$M$4*$J$5+[49]FormattedData!F64^2*$J$6+$M$5*$J$7</f>
        <v>53.375322031677776</v>
      </c>
      <c r="N27" s="39">
        <f>$J$3+[49]FormattedData!G64*$J$4+$M$4*$J$5+[49]FormattedData!G64^2*$J$6+$M$5*$J$7</f>
        <v>54.066479070754781</v>
      </c>
      <c r="O27" s="39">
        <f>$J$3+[49]FormattedData!H64*$J$4+$M$4*$J$5+[49]FormattedData!H64^2*$J$6+$M$5*$J$7</f>
        <v>54.238845645144735</v>
      </c>
      <c r="P27" s="39">
        <f>$J$3+[49]FormattedData!I64*$J$4+$M$4*$J$5+[49]FormattedData!I64^2*$J$6+$M$5*$J$7</f>
        <v>52.681459806173166</v>
      </c>
      <c r="Q27" s="39">
        <f>$J$3+[49]FormattedData!J64*$J$4+$M$4*$J$5+[49]FormattedData!J64^2*$J$6+$M$5*$J$7</f>
        <v>54.497078492695167</v>
      </c>
      <c r="R27" s="39">
        <f>$J$3+[49]FormattedData!K64*$J$4+$M$4*$J$5+[49]FormattedData!K64^2*$J$6+$M$5*$J$7</f>
        <v>53.548364902674621</v>
      </c>
      <c r="S27" s="39">
        <f>$J$3+[49]FormattedData!L64*$J$4+$M$4*$J$5+[49]FormattedData!L64^2*$J$6+$M$5*$J$7</f>
        <v>54.497078492695167</v>
      </c>
      <c r="T27" s="39">
        <f>$J$3+[49]FormattedData!M64*$J$4+$M$4*$J$5+[49]FormattedData!M64^2*$J$6+$M$5*$J$7</f>
        <v>51.285619795881168</v>
      </c>
      <c r="U27" s="39">
        <f>$J$3+[49]FormattedData!N64*$J$4+$M$4*$J$5+[49]FormattedData!N64^2*$J$6+$M$5*$J$7</f>
        <v>54.411043145382955</v>
      </c>
      <c r="V27" s="39">
        <f>$J$3+[49]FormattedData!O64*$J$4+$M$4*$J$5+[49]FormattedData!O64^2*$J$6+$M$5*$J$7</f>
        <v>53.461864601445157</v>
      </c>
      <c r="W27" s="38">
        <f>AVERAGE(K27:V27)</f>
        <v>53.580968853768489</v>
      </c>
      <c r="X27" s="37">
        <f>STDEV(K27:V27)/SQRT(COUNT(K27:V27))</f>
        <v>0.33266972794653105</v>
      </c>
      <c r="Y27" s="36">
        <f>MIN(K27:V27)</f>
        <v>51.285619795881168</v>
      </c>
      <c r="Z27" s="35">
        <f>QUARTILE(K27:V27,1)</f>
        <v>53.201856475301625</v>
      </c>
      <c r="AA27" s="36">
        <f>MEDIAN(K27:V27)</f>
        <v>53.807421986714701</v>
      </c>
      <c r="AB27" s="35">
        <f>QUARTILE(K27:V27,3)</f>
        <v>54.43255198221101</v>
      </c>
      <c r="AC27" s="35">
        <f>MAX(K27:V27)</f>
        <v>55.098142404818581</v>
      </c>
      <c r="AD27" s="35">
        <f>SKEW(K27:V27)</f>
        <v>-0.88259013016406673</v>
      </c>
      <c r="AE27" s="35">
        <f>KURT(K27:V27)</f>
        <v>4.7003380957716168E-2</v>
      </c>
    </row>
    <row r="28" spans="2:31" x14ac:dyDescent="0.2">
      <c r="B28" s="34">
        <f>[49]FormattedData!A66</f>
        <v>303</v>
      </c>
      <c r="C28" s="34" t="str">
        <f>VLOOKUP($B28,[49]TrtCodes!$B$11:I109,2)</f>
        <v>NSL</v>
      </c>
      <c r="D28" s="34">
        <f>VLOOKUP($B28,[49]TrtCodes!$B$11:J109,3)</f>
        <v>8</v>
      </c>
      <c r="E28" s="34">
        <f>VLOOKUP($B28,[49]TrtCodes!$B$11:K109,4)</f>
        <v>2</v>
      </c>
      <c r="F28" s="34">
        <f>VLOOKUP($B28,[49]TrtCodes!$B$11:L109,5)</f>
        <v>1</v>
      </c>
      <c r="G28" s="34">
        <f>VLOOKUP($B28,[49]TrtCodes!$B$11:M109,6)</f>
        <v>1</v>
      </c>
      <c r="H28" s="34">
        <f>VLOOKUP($B28,[49]TrtCodes!$B$11:N109,7)</f>
        <v>3</v>
      </c>
      <c r="I28" s="34">
        <f>[49]FormattedData!B66</f>
        <v>1</v>
      </c>
      <c r="J28" s="37">
        <f>[49]FormattedData!C66</f>
        <v>13.33</v>
      </c>
      <c r="K28" s="39">
        <f>$J$3+[49]FormattedData!D66*$J$4+$M$4*$J$5+[49]FormattedData!D66^2*$J$6+$M$5*$J$7</f>
        <v>51.373176810558896</v>
      </c>
      <c r="L28" s="39">
        <f>$J$3+[49]FormattedData!E66*$J$4+$M$4*$J$5+[49]FormattedData!E66^2*$J$6+$M$5*$J$7</f>
        <v>54.754930923404217</v>
      </c>
      <c r="M28" s="39">
        <f>$J$3+[49]FormattedData!F66*$J$4+$M$4*$J$5+[49]FormattedData!F66^2*$J$6+$M$5*$J$7</f>
        <v>53.634822935366131</v>
      </c>
      <c r="N28" s="39">
        <f>$J$3+[49]FormattedData!G66*$J$4+$M$4*$J$5+[49]FormattedData!G66^2*$J$6+$M$5*$J$7</f>
        <v>54.583071571469446</v>
      </c>
      <c r="O28" s="39">
        <f>$J$3+[49]FormattedData!H66*$J$4+$M$4*$J$5+[49]FormattedData!H66^2*$J$6+$M$5*$J$7</f>
        <v>52.594536819564397</v>
      </c>
      <c r="P28" s="39">
        <f>$J$3+[49]FormattedData!I66*$J$4+$M$4*$J$5+[49]FormattedData!I66^2*$J$6+$M$5*$J$7</f>
        <v>55.440677589626041</v>
      </c>
      <c r="Q28" s="39">
        <f>$J$3+[49]FormattedData!J66*$J$4+$M$4*$J$5+[49]FormattedData!J66^2*$J$6+$M$5*$J$7</f>
        <v>53.288737193372455</v>
      </c>
      <c r="R28" s="39">
        <f>$J$3+[49]FormattedData!K66*$J$4+$M$4*$J$5+[49]FormattedData!K66^2*$J$6+$M$5*$J$7</f>
        <v>55.782536477826611</v>
      </c>
      <c r="S28" s="39">
        <f>$J$3+[49]FormattedData!L66*$J$4+$M$4*$J$5+[49]FormattedData!L66^2*$J$6+$M$5*$J$7</f>
        <v>52.420564040733069</v>
      </c>
      <c r="T28" s="39">
        <f>$J$3+[49]FormattedData!M66*$J$4+$M$4*$J$5+[49]FormattedData!M66^2*$J$6+$M$5*$J$7</f>
        <v>56.208909045973869</v>
      </c>
      <c r="U28" s="39">
        <f>$J$3+[49]FormattedData!N66*$J$4+$M$4*$J$5+[49]FormattedData!N66^2*$J$6+$M$5*$J$7</f>
        <v>52.681459806173166</v>
      </c>
      <c r="V28" s="39">
        <f>$J$3+[49]FormattedData!O66*$J$4+$M$4*$J$5+[49]FormattedData!O66^2*$J$6+$M$5*$J$7</f>
        <v>56.123719069420282</v>
      </c>
      <c r="W28" s="38">
        <f>AVERAGE(K28:V28)</f>
        <v>54.073928523624055</v>
      </c>
      <c r="X28" s="37">
        <f>STDEV(K28:V28)/SQRT(COUNT(K28:V28))</f>
        <v>0.47061130610667723</v>
      </c>
      <c r="Y28" s="36">
        <f>MIN(K28:V28)</f>
        <v>51.373176810558896</v>
      </c>
      <c r="Z28" s="35">
        <f>QUARTILE(K28:V28,1)</f>
        <v>52.65972905952097</v>
      </c>
      <c r="AA28" s="36">
        <f>MEDIAN(K28:V28)</f>
        <v>54.108947253417789</v>
      </c>
      <c r="AB28" s="35">
        <f>QUARTILE(K28:V28,3)</f>
        <v>55.526142311676182</v>
      </c>
      <c r="AC28" s="35">
        <f>MAX(K28:V28)</f>
        <v>56.208909045973869</v>
      </c>
      <c r="AD28" s="35">
        <f>SKEW(K28:V28)</f>
        <v>-0.11060087836600509</v>
      </c>
      <c r="AE28" s="35">
        <f>KURT(K28:V28)</f>
        <v>-1.3480706077884141</v>
      </c>
    </row>
    <row r="29" spans="2:31" x14ac:dyDescent="0.2">
      <c r="B29" s="34">
        <f>[49]FormattedData!A68</f>
        <v>304</v>
      </c>
      <c r="C29" s="34" t="str">
        <f>VLOOKUP($B29,[49]TrtCodes!$B$11:I111,2)</f>
        <v>FSL</v>
      </c>
      <c r="D29" s="34">
        <f>VLOOKUP($B29,[49]TrtCodes!$B$11:J111,3)</f>
        <v>2</v>
      </c>
      <c r="E29" s="34">
        <f>VLOOKUP($B29,[49]TrtCodes!$B$11:K111,4)</f>
        <v>1</v>
      </c>
      <c r="F29" s="34">
        <f>VLOOKUP($B29,[49]TrtCodes!$B$11:L111,5)</f>
        <v>1</v>
      </c>
      <c r="G29" s="34">
        <f>VLOOKUP($B29,[49]TrtCodes!$B$11:M111,6)</f>
        <v>1</v>
      </c>
      <c r="H29" s="34">
        <f>VLOOKUP($B29,[49]TrtCodes!$B$11:N111,7)</f>
        <v>3</v>
      </c>
      <c r="I29" s="34">
        <f>[49]FormattedData!B68</f>
        <v>1</v>
      </c>
      <c r="J29" s="37">
        <f>[49]FormattedData!C68</f>
        <v>13.335000000000001</v>
      </c>
      <c r="K29" s="39">
        <f>$J$3+[49]FormattedData!D68*$J$4+$M$4*$J$5+[49]FormattedData!D68^2*$J$6+$M$5*$J$7</f>
        <v>52.681459806173166</v>
      </c>
      <c r="L29" s="39">
        <f>$J$3+[49]FormattedData!E68*$J$4+$M$4*$J$5+[49]FormattedData!E68^2*$J$6+$M$5*$J$7</f>
        <v>55.526205714483083</v>
      </c>
      <c r="M29" s="39">
        <f>$J$3+[49]FormattedData!F68*$J$4+$M$4*$J$5+[49]FormattedData!F68^2*$J$6+$M$5*$J$7</f>
        <v>54.238845645144735</v>
      </c>
      <c r="N29" s="39">
        <f>$J$3+[49]FormattedData!G68*$J$4+$M$4*$J$5+[49]FormattedData!G68^2*$J$6+$M$5*$J$7</f>
        <v>54.497078492695167</v>
      </c>
      <c r="O29" s="39">
        <f>$J$3+[49]FormattedData!H68*$J$4+$M$4*$J$5+[49]FormattedData!H68^2*$J$6+$M$5*$J$7</f>
        <v>56.379162193467266</v>
      </c>
      <c r="P29" s="39">
        <f>$J$3+[49]FormattedData!I68*$J$4+$M$4*$J$5+[49]FormattedData!I68^2*$J$6+$M$5*$J$7</f>
        <v>55.526205714483083</v>
      </c>
      <c r="Q29" s="39">
        <f>$J$3+[49]FormattedData!J68*$J$4+$M$4*$J$5+[49]FormattedData!J68^2*$J$6+$M$5*$J$7</f>
        <v>55.867895528531925</v>
      </c>
      <c r="R29" s="39">
        <f>$J$3+[49]FormattedData!K68*$J$4+$M$4*$J$5+[49]FormattedData!K68^2*$J$6+$M$5*$J$7</f>
        <v>55.867895528531925</v>
      </c>
      <c r="S29" s="39">
        <f>$J$3+[49]FormattedData!L68*$J$4+$M$4*$J$5+[49]FormattedData!L68^2*$J$6+$M$5*$J$7</f>
        <v>55.269494534298175</v>
      </c>
      <c r="T29" s="39">
        <f>$J$3+[49]FormattedData!M68*$J$4+$M$4*$J$5+[49]FormattedData!M68^2*$J$6+$M$5*$J$7</f>
        <v>55.782536477826611</v>
      </c>
      <c r="U29" s="39">
        <f>$J$3+[49]FormattedData!N68*$J$4+$M$4*$J$5+[49]FormattedData!N68^2*$J$6+$M$5*$J$7</f>
        <v>55.012402937271879</v>
      </c>
      <c r="V29" s="39">
        <f>$J$3+[49]FormattedData!O68*$J$4+$M$4*$J$5+[49]FormattedData!O68^2*$J$6+$M$5*$J$7</f>
        <v>56.549246266808922</v>
      </c>
      <c r="W29" s="38">
        <f>AVERAGE(K29:V29)</f>
        <v>55.266535736642993</v>
      </c>
      <c r="X29" s="37">
        <f>STDEV(K29:V29)/SQRT(COUNT(K29:V29))</f>
        <v>0.30653347819822685</v>
      </c>
      <c r="Y29" s="36">
        <f>MIN(K29:V29)</f>
        <v>52.681459806173166</v>
      </c>
      <c r="Z29" s="35">
        <f>QUARTILE(K29:V29,1)</f>
        <v>54.883571826127699</v>
      </c>
      <c r="AA29" s="36">
        <f>MEDIAN(K29:V29)</f>
        <v>55.526205714483083</v>
      </c>
      <c r="AB29" s="35">
        <f>QUARTILE(K29:V29,3)</f>
        <v>55.867895528531925</v>
      </c>
      <c r="AC29" s="35">
        <f>MAX(K29:V29)</f>
        <v>56.549246266808922</v>
      </c>
      <c r="AD29" s="35">
        <f>SKEW(K29:V29)</f>
        <v>-1.3427613471074529</v>
      </c>
      <c r="AE29" s="35">
        <f>KURT(K29:V29)</f>
        <v>2.2515615333103085</v>
      </c>
    </row>
    <row r="30" spans="2:31" x14ac:dyDescent="0.2">
      <c r="B30" s="34">
        <f>[49]FormattedData!A70</f>
        <v>305</v>
      </c>
      <c r="C30" s="34" t="str">
        <f>VLOOKUP($B30,[49]TrtCodes!$B$11:I113,2)</f>
        <v>NDH</v>
      </c>
      <c r="D30" s="34">
        <f>VLOOKUP($B30,[49]TrtCodes!$B$11:J113,3)</f>
        <v>11</v>
      </c>
      <c r="E30" s="34">
        <f>VLOOKUP($B30,[49]TrtCodes!$B$11:K113,4)</f>
        <v>2</v>
      </c>
      <c r="F30" s="34">
        <f>VLOOKUP($B30,[49]TrtCodes!$B$11:L113,5)</f>
        <v>3</v>
      </c>
      <c r="G30" s="34">
        <f>VLOOKUP($B30,[49]TrtCodes!$B$11:M113,6)</f>
        <v>2</v>
      </c>
      <c r="H30" s="34">
        <f>VLOOKUP($B30,[49]TrtCodes!$B$11:N113,7)</f>
        <v>4</v>
      </c>
      <c r="I30" s="34">
        <f>[49]FormattedData!B70</f>
        <v>1</v>
      </c>
      <c r="J30" s="37">
        <f>[49]FormattedData!C70</f>
        <v>13.34</v>
      </c>
      <c r="K30" s="39">
        <f>$J$3+[49]FormattedData!D70*$J$4+$M$4*$J$5+[49]FormattedData!D70^2*$J$6+$M$5*$J$7</f>
        <v>52.855178973776901</v>
      </c>
      <c r="L30" s="39">
        <f>$J$3+[49]FormattedData!E70*$J$4+$M$4*$J$5+[49]FormattedData!E70^2*$J$6+$M$5*$J$7</f>
        <v>55.269494534298175</v>
      </c>
      <c r="M30" s="39">
        <f>$J$3+[49]FormattedData!F70*$J$4+$M$4*$J$5+[49]FormattedData!F70^2*$J$6+$M$5*$J$7</f>
        <v>53.89394342221312</v>
      </c>
      <c r="N30" s="39">
        <f>$J$3+[49]FormattedData!G70*$J$4+$M$4*$J$5+[49]FormattedData!G70^2*$J$6+$M$5*$J$7</f>
        <v>54.497078492695167</v>
      </c>
      <c r="O30" s="39">
        <f>$J$3+[49]FormattedData!H70*$J$4+$M$4*$J$5+[49]FormattedData!H70^2*$J$6+$M$5*$J$7</f>
        <v>54.411043145382955</v>
      </c>
      <c r="P30" s="39">
        <f>$J$3+[49]FormattedData!I70*$J$4+$M$4*$J$5+[49]FormattedData!I70^2*$J$6+$M$5*$J$7</f>
        <v>53.115440711148032</v>
      </c>
      <c r="Q30" s="39">
        <f>$J$3+[49]FormattedData!J70*$J$4+$M$4*$J$5+[49]FormattedData!J70^2*$J$6+$M$5*$J$7</f>
        <v>54.497078492695167</v>
      </c>
      <c r="R30" s="39">
        <f>$J$3+[49]FormattedData!K70*$J$4+$M$4*$J$5+[49]FormattedData!K70^2*$J$6+$M$5*$J$7</f>
        <v>54.669022381705794</v>
      </c>
      <c r="S30" s="39">
        <f>$J$3+[49]FormattedData!L70*$J$4+$M$4*$J$5+[49]FormattedData!L70^2*$J$6+$M$5*$J$7</f>
        <v>55.440677589626041</v>
      </c>
      <c r="T30" s="39">
        <f>$J$3+[49]FormattedData!M70*$J$4+$M$4*$J$5+[49]FormattedData!M70^2*$J$6+$M$5*$J$7</f>
        <v>52.941975154771882</v>
      </c>
      <c r="U30" s="39">
        <f>$J$3+[49]FormattedData!N70*$J$4+$M$4*$J$5+[49]FormattedData!N70^2*$J$6+$M$5*$J$7</f>
        <v>54.238845645144735</v>
      </c>
      <c r="V30" s="39">
        <f>$J$3+[49]FormattedData!O70*$J$4+$M$4*$J$5+[49]FormattedData!O70^2*$J$6+$M$5*$J$7</f>
        <v>54.92662120118726</v>
      </c>
      <c r="W30" s="38">
        <f>AVERAGE(K30:V30)</f>
        <v>54.229699978720426</v>
      </c>
      <c r="X30" s="37">
        <f>STDEV(K30:V30)/SQRT(COUNT(K30:V30))</f>
        <v>0.25081901869926176</v>
      </c>
      <c r="Y30" s="36">
        <f>MIN(K30:V30)</f>
        <v>52.855178973776901</v>
      </c>
      <c r="Z30" s="35">
        <f>QUARTILE(K30:V30,1)</f>
        <v>53.699317744446844</v>
      </c>
      <c r="AA30" s="36">
        <f>MEDIAN(K30:V30)</f>
        <v>54.454060819039057</v>
      </c>
      <c r="AB30" s="35">
        <f>QUARTILE(K30:V30,3)</f>
        <v>54.733422086576162</v>
      </c>
      <c r="AC30" s="35">
        <f>MAX(K30:V30)</f>
        <v>55.440677589626041</v>
      </c>
      <c r="AD30" s="35">
        <f>SKEW(K30:V30)</f>
        <v>-0.46335673688391005</v>
      </c>
      <c r="AE30" s="35">
        <f>KURT(K30:V30)</f>
        <v>-0.85991705449665812</v>
      </c>
    </row>
    <row r="31" spans="2:31" x14ac:dyDescent="0.2">
      <c r="B31" s="34">
        <f>[49]FormattedData!A72</f>
        <v>306</v>
      </c>
      <c r="C31" s="34" t="str">
        <f>VLOOKUP($B31,[49]TrtCodes!$B$11:I115,2)</f>
        <v>FTL</v>
      </c>
      <c r="D31" s="34">
        <f>VLOOKUP($B31,[49]TrtCodes!$B$11:J115,3)</f>
        <v>4</v>
      </c>
      <c r="E31" s="34">
        <f>VLOOKUP($B31,[49]TrtCodes!$B$11:K115,4)</f>
        <v>1</v>
      </c>
      <c r="F31" s="34">
        <f>VLOOKUP($B31,[49]TrtCodes!$B$11:L115,5)</f>
        <v>2</v>
      </c>
      <c r="G31" s="34">
        <f>VLOOKUP($B31,[49]TrtCodes!$B$11:M115,6)</f>
        <v>1</v>
      </c>
      <c r="H31" s="34">
        <f>VLOOKUP($B31,[49]TrtCodes!$B$11:N115,7)</f>
        <v>4</v>
      </c>
      <c r="I31" s="34">
        <f>[49]FormattedData!B72</f>
        <v>1</v>
      </c>
      <c r="J31" s="37">
        <f>[49]FormattedData!C72</f>
        <v>13.346</v>
      </c>
      <c r="K31" s="39">
        <f>$J$3+[49]FormattedData!D72*$J$4+$M$4*$J$5+[49]FormattedData!D72^2*$J$6+$M$5*$J$7</f>
        <v>52.159287858451599</v>
      </c>
      <c r="L31" s="39">
        <f>$J$3+[49]FormattedData!E72*$J$4+$M$4*$J$5+[49]FormattedData!E72^2*$J$6+$M$5*$J$7</f>
        <v>54.238845645144735</v>
      </c>
      <c r="M31" s="39">
        <f>$J$3+[49]FormattedData!F72*$J$4+$M$4*$J$5+[49]FormattedData!F72^2*$J$6+$M$5*$J$7</f>
        <v>55.782536477826611</v>
      </c>
      <c r="N31" s="39">
        <f>$J$3+[49]FormattedData!G72*$J$4+$M$4*$J$5+[49]FormattedData!G72^2*$J$6+$M$5*$J$7</f>
        <v>54.754930923404217</v>
      </c>
      <c r="O31" s="39">
        <f>$J$3+[49]FormattedData!H72*$J$4+$M$4*$J$5+[49]FormattedData!H72^2*$J$6+$M$5*$J$7</f>
        <v>55.012402937271879</v>
      </c>
      <c r="P31" s="39">
        <f>$J$3+[49]FormattedData!I72*$J$4+$M$4*$J$5+[49]FormattedData!I72^2*$J$6+$M$5*$J$7</f>
        <v>52.941975154771882</v>
      </c>
      <c r="Q31" s="39">
        <f>$J$3+[49]FormattedData!J72*$J$4+$M$4*$J$5+[49]FormattedData!J72^2*$J$6+$M$5*$J$7</f>
        <v>55.697135158583372</v>
      </c>
      <c r="R31" s="39">
        <f>$J$3+[49]FormattedData!K72*$J$4+$M$4*$J$5+[49]FormattedData!K72^2*$J$6+$M$5*$J$7</f>
        <v>53.375322031677776</v>
      </c>
      <c r="S31" s="39">
        <f>$J$3+[49]FormattedData!L72*$J$4+$M$4*$J$5+[49]FormattedData!L72^2*$J$6+$M$5*$J$7</f>
        <v>54.497078492695167</v>
      </c>
      <c r="T31" s="39">
        <f>$J$3+[49]FormattedData!M72*$J$4+$M$4*$J$5+[49]FormattedData!M72^2*$J$6+$M$5*$J$7</f>
        <v>53.807612195135398</v>
      </c>
      <c r="U31" s="39">
        <f>$J$3+[49]FormattedData!N72*$J$4+$M$4*$J$5+[49]FormattedData!N72^2*$J$6+$M$5*$J$7</f>
        <v>54.497078492695167</v>
      </c>
      <c r="V31" s="39">
        <f>$J$3+[49]FormattedData!O72*$J$4+$M$4*$J$5+[49]FormattedData!O72^2*$J$6+$M$5*$J$7</f>
        <v>54.669022381705794</v>
      </c>
      <c r="W31" s="38">
        <f>AVERAGE(K31:V31)</f>
        <v>54.286102312446964</v>
      </c>
      <c r="X31" s="37">
        <f>STDEV(K31:V31)/SQRT(COUNT(K31:V31))</f>
        <v>0.3090064195604188</v>
      </c>
      <c r="Y31" s="36">
        <f>MIN(K31:V31)</f>
        <v>52.159287858451599</v>
      </c>
      <c r="Z31" s="35">
        <f>QUARTILE(K31:V31,1)</f>
        <v>53.699539654270993</v>
      </c>
      <c r="AA31" s="36">
        <f>MEDIAN(K31:V31)</f>
        <v>54.497078492695167</v>
      </c>
      <c r="AB31" s="35">
        <f>QUARTILE(K31:V31,3)</f>
        <v>54.819298926871134</v>
      </c>
      <c r="AC31" s="35">
        <f>MAX(K31:V31)</f>
        <v>55.782536477826611</v>
      </c>
      <c r="AD31" s="35">
        <f>SKEW(K31:V31)</f>
        <v>-0.55077317687959859</v>
      </c>
      <c r="AE31" s="35">
        <f>KURT(K31:V31)</f>
        <v>2.2884588774680026E-2</v>
      </c>
    </row>
    <row r="32" spans="2:31" x14ac:dyDescent="0.2">
      <c r="B32" s="34">
        <f>[49]FormattedData!A74</f>
        <v>307</v>
      </c>
      <c r="C32" s="34" t="str">
        <f>VLOOKUP($B32,[49]TrtCodes!$B$11:I117,2)</f>
        <v>NTH</v>
      </c>
      <c r="D32" s="34">
        <f>VLOOKUP($B32,[49]TrtCodes!$B$11:J117,3)</f>
        <v>9</v>
      </c>
      <c r="E32" s="34">
        <f>VLOOKUP($B32,[49]TrtCodes!$B$11:K117,4)</f>
        <v>2</v>
      </c>
      <c r="F32" s="34">
        <f>VLOOKUP($B32,[49]TrtCodes!$B$11:L117,5)</f>
        <v>2</v>
      </c>
      <c r="G32" s="34">
        <f>VLOOKUP($B32,[49]TrtCodes!$B$11:M117,6)</f>
        <v>2</v>
      </c>
      <c r="H32" s="34">
        <f>VLOOKUP($B32,[49]TrtCodes!$B$11:N117,7)</f>
        <v>4</v>
      </c>
      <c r="I32" s="34">
        <f>[49]FormattedData!B74</f>
        <v>1</v>
      </c>
      <c r="J32" s="37">
        <f>[49]FormattedData!C74</f>
        <v>13.351000000000001</v>
      </c>
      <c r="K32" s="39">
        <f>$J$3+[49]FormattedData!D74*$J$4+$M$4*$J$5+[49]FormattedData!D74^2*$J$6+$M$5*$J$7</f>
        <v>52.594536819564397</v>
      </c>
      <c r="L32" s="39">
        <f>$J$3+[49]FormattedData!E74*$J$4+$M$4*$J$5+[49]FormattedData!E74^2*$J$6+$M$5*$J$7</f>
        <v>55.782536477826611</v>
      </c>
      <c r="M32" s="39">
        <f>$J$3+[49]FormattedData!F74*$J$4+$M$4*$J$5+[49]FormattedData!F74^2*$J$6+$M$5*$J$7</f>
        <v>53.89394342221312</v>
      </c>
      <c r="N32" s="39">
        <f>$J$3+[49]FormattedData!G74*$J$4+$M$4*$J$5+[49]FormattedData!G74^2*$J$6+$M$5*$J$7</f>
        <v>55.183839603827344</v>
      </c>
      <c r="O32" s="39">
        <f>$J$3+[49]FormattedData!H74*$J$4+$M$4*$J$5+[49]FormattedData!H74^2*$J$6+$M$5*$J$7</f>
        <v>55.183839603827344</v>
      </c>
      <c r="P32" s="39">
        <f>$J$3+[49]FormattedData!I74*$J$4+$M$4*$J$5+[49]FormattedData!I74^2*$J$6+$M$5*$J$7</f>
        <v>53.375322031677776</v>
      </c>
      <c r="Q32" s="39">
        <f>$J$3+[49]FormattedData!J74*$J$4+$M$4*$J$5+[49]FormattedData!J74^2*$J$6+$M$5*$J$7</f>
        <v>55.526205714483083</v>
      </c>
      <c r="R32" s="39">
        <f>$J$3+[49]FormattedData!K74*$J$4+$M$4*$J$5+[49]FormattedData!K74^2*$J$6+$M$5*$J$7</f>
        <v>55.012402937271879</v>
      </c>
      <c r="S32" s="39">
        <f>$J$3+[49]FormattedData!L74*$J$4+$M$4*$J$5+[49]FormattedData!L74^2*$J$6+$M$5*$J$7</f>
        <v>55.183839603827344</v>
      </c>
      <c r="T32" s="39">
        <f>$J$3+[49]FormattedData!M74*$J$4+$M$4*$J$5+[49]FormattedData!M74^2*$J$6+$M$5*$J$7</f>
        <v>54.411043145382955</v>
      </c>
      <c r="U32" s="39">
        <f>$J$3+[49]FormattedData!N74*$J$4+$M$4*$J$5+[49]FormattedData!N74^2*$J$6+$M$5*$J$7</f>
        <v>55.183839603827344</v>
      </c>
      <c r="V32" s="39">
        <f>$J$3+[49]FormattedData!O74*$J$4+$M$4*$J$5+[49]FormattedData!O74^2*$J$6+$M$5*$J$7</f>
        <v>55.183839603827344</v>
      </c>
      <c r="W32" s="38">
        <f>AVERAGE(K32:V32)</f>
        <v>54.709599047296372</v>
      </c>
      <c r="X32" s="37">
        <f>STDEV(K32:V32)/SQRT(COUNT(K32:V32))</f>
        <v>0.27582472762400206</v>
      </c>
      <c r="Y32" s="36">
        <f>MIN(K32:V32)</f>
        <v>52.594536819564397</v>
      </c>
      <c r="Z32" s="35">
        <f>QUARTILE(K32:V32,1)</f>
        <v>54.2817682145905</v>
      </c>
      <c r="AA32" s="36">
        <f>MEDIAN(K32:V32)</f>
        <v>55.183839603827344</v>
      </c>
      <c r="AB32" s="35">
        <f>QUARTILE(K32:V32,3)</f>
        <v>55.183839603827344</v>
      </c>
      <c r="AC32" s="35">
        <f>MAX(K32:V32)</f>
        <v>55.782536477826611</v>
      </c>
      <c r="AD32" s="35">
        <f>SKEW(K32:V32)</f>
        <v>-1.2588009868737398</v>
      </c>
      <c r="AE32" s="35">
        <f>KURT(K32:V32)</f>
        <v>0.81851949976496385</v>
      </c>
    </row>
    <row r="33" spans="2:31" x14ac:dyDescent="0.2">
      <c r="B33" s="34">
        <f>[49]FormattedData!A76</f>
        <v>308</v>
      </c>
      <c r="C33" s="34" t="str">
        <f>VLOOKUP($B33,[49]TrtCodes!$B$11:I119,2)</f>
        <v>FDH</v>
      </c>
      <c r="D33" s="34">
        <f>VLOOKUP($B33,[49]TrtCodes!$B$11:J119,3)</f>
        <v>5</v>
      </c>
      <c r="E33" s="34">
        <f>VLOOKUP($B33,[49]TrtCodes!$B$11:K119,4)</f>
        <v>1</v>
      </c>
      <c r="F33" s="34">
        <f>VLOOKUP($B33,[49]TrtCodes!$B$11:L119,5)</f>
        <v>3</v>
      </c>
      <c r="G33" s="34">
        <f>VLOOKUP($B33,[49]TrtCodes!$B$11:M119,6)</f>
        <v>2</v>
      </c>
      <c r="H33" s="34">
        <f>VLOOKUP($B33,[49]TrtCodes!$B$11:N119,7)</f>
        <v>4</v>
      </c>
      <c r="I33" s="34">
        <f>[49]FormattedData!B76</f>
        <v>1</v>
      </c>
      <c r="J33" s="37">
        <f>[49]FormattedData!C76</f>
        <v>13.356999999999999</v>
      </c>
      <c r="K33" s="39">
        <f>$J$3+[49]FormattedData!D76*$J$4+$M$4*$J$5+[49]FormattedData!D76^2*$J$6+$M$5*$J$7</f>
        <v>52.681459806173166</v>
      </c>
      <c r="L33" s="39">
        <f>$J$3+[49]FormattedData!E76*$J$4+$M$4*$J$5+[49]FormattedData!E76^2*$J$6+$M$5*$J$7</f>
        <v>55.098142404818581</v>
      </c>
      <c r="M33" s="39">
        <f>$J$3+[49]FormattedData!F76*$J$4+$M$4*$J$5+[49]FormattedData!F76^2*$J$6+$M$5*$J$7</f>
        <v>53.375322031677776</v>
      </c>
      <c r="N33" s="39">
        <f>$J$3+[49]FormattedData!G76*$J$4+$M$4*$J$5+[49]FormattedData!G76^2*$J$6+$M$5*$J$7</f>
        <v>54.152683492218728</v>
      </c>
      <c r="O33" s="39">
        <f>$J$3+[49]FormattedData!H76*$J$4+$M$4*$J$5+[49]FormattedData!H76^2*$J$6+$M$5*$J$7</f>
        <v>53.375322031677776</v>
      </c>
      <c r="P33" s="39">
        <f>$J$3+[49]FormattedData!I76*$J$4+$M$4*$J$5+[49]FormattedData!I76^2*$J$6+$M$5*$J$7</f>
        <v>56.804055362786933</v>
      </c>
      <c r="Q33" s="39">
        <f>$J$3+[49]FormattedData!J76*$J$4+$M$4*$J$5+[49]FormattedData!J76^2*$J$6+$M$5*$J$7</f>
        <v>53.634822935366131</v>
      </c>
      <c r="R33" s="39">
        <f>$J$3+[49]FormattedData!K76*$J$4+$M$4*$J$5+[49]FormattedData!K76^2*$J$6+$M$5*$J$7</f>
        <v>55.867895528531925</v>
      </c>
      <c r="S33" s="39">
        <f>$J$3+[49]FormattedData!L76*$J$4+$M$4*$J$5+[49]FormattedData!L76^2*$J$6+$M$5*$J$7</f>
        <v>55.269494534298175</v>
      </c>
      <c r="T33" s="39">
        <f>$J$3+[49]FormattedData!M76*$J$4+$M$4*$J$5+[49]FormattedData!M76^2*$J$6+$M$5*$J$7</f>
        <v>55.269494534298175</v>
      </c>
      <c r="U33" s="39">
        <f>$J$3+[49]FormattedData!N76*$J$4+$M$4*$J$5+[49]FormattedData!N76^2*$J$6+$M$5*$J$7</f>
        <v>53.028729067228916</v>
      </c>
      <c r="V33" s="39">
        <f>$J$3+[49]FormattedData!O76*$J$4+$M$4*$J$5+[49]FormattedData!O76^2*$J$6+$M$5*$J$7</f>
        <v>54.754930923404217</v>
      </c>
      <c r="W33" s="38">
        <f>AVERAGE(K33:V33)</f>
        <v>54.442696054373378</v>
      </c>
      <c r="X33" s="37">
        <f>STDEV(K33:V33)/SQRT(COUNT(K33:V33))</f>
        <v>0.36533608378385574</v>
      </c>
      <c r="Y33" s="36">
        <f>MIN(K33:V33)</f>
        <v>52.681459806173166</v>
      </c>
      <c r="Z33" s="35">
        <f>QUARTILE(K33:V33,1)</f>
        <v>53.375322031677776</v>
      </c>
      <c r="AA33" s="36">
        <f>MEDIAN(K33:V33)</f>
        <v>54.453807207811472</v>
      </c>
      <c r="AB33" s="35">
        <f>QUARTILE(K33:V33,3)</f>
        <v>55.269494534298175</v>
      </c>
      <c r="AC33" s="35">
        <f>MAX(K33:V33)</f>
        <v>56.804055362786933</v>
      </c>
      <c r="AD33" s="35">
        <f>SKEW(K33:V33)</f>
        <v>0.33531036406582437</v>
      </c>
      <c r="AE33" s="35">
        <f>KURT(K33:V33)</f>
        <v>-0.77804729750159174</v>
      </c>
    </row>
    <row r="34" spans="2:31" x14ac:dyDescent="0.2">
      <c r="B34" s="34">
        <f>[49]FormattedData!A92</f>
        <v>401</v>
      </c>
      <c r="C34" s="34" t="str">
        <f>VLOOKUP($B34,[49]TrtCodes!$B$11:I129,2)</f>
        <v>NSH</v>
      </c>
      <c r="D34" s="34">
        <f>VLOOKUP($B34,[49]TrtCodes!$B$11:J129,3)</f>
        <v>7</v>
      </c>
      <c r="E34" s="34">
        <f>VLOOKUP($B34,[49]TrtCodes!$B$11:K129,4)</f>
        <v>2</v>
      </c>
      <c r="F34" s="34">
        <f>VLOOKUP($B34,[49]TrtCodes!$B$11:L129,5)</f>
        <v>1</v>
      </c>
      <c r="G34" s="34">
        <f>VLOOKUP($B34,[49]TrtCodes!$B$11:M129,6)</f>
        <v>2</v>
      </c>
      <c r="H34" s="34">
        <f>VLOOKUP($B34,[49]TrtCodes!$B$11:N129,7)</f>
        <v>3</v>
      </c>
      <c r="I34" s="34">
        <f>[49]FormattedData!B92</f>
        <v>1</v>
      </c>
      <c r="J34" s="37">
        <f>[49]FormattedData!C92</f>
        <v>13.43</v>
      </c>
      <c r="K34" s="39">
        <f>$J$3+[49]FormattedData!D92*$J$4+$M$4*$J$5+[49]FormattedData!D92^2*$J$6+$M$5*$J$7</f>
        <v>53.288737193372455</v>
      </c>
      <c r="L34" s="39">
        <f>$J$3+[49]FormattedData!E92*$J$4+$M$4*$J$5+[49]FormattedData!E92^2*$J$6+$M$5*$J$7</f>
        <v>55.183839603827344</v>
      </c>
      <c r="M34" s="39">
        <f>$J$3+[49]FormattedData!F92*$J$4+$M$4*$J$5+[49]FormattedData!F92^2*$J$6+$M$5*$J$7</f>
        <v>53.807612195135398</v>
      </c>
      <c r="N34" s="39">
        <f>$J$3+[49]FormattedData!G92*$J$4+$M$4*$J$5+[49]FormattedData!G92^2*$J$6+$M$5*$J$7</f>
        <v>54.238845645144735</v>
      </c>
      <c r="O34" s="39">
        <f>$J$3+[49]FormattedData!H92*$J$4+$M$4*$J$5+[49]FormattedData!H92^2*$J$6+$M$5*$J$7</f>
        <v>53.980232380752923</v>
      </c>
      <c r="P34" s="39">
        <f>$J$3+[49]FormattedData!I92*$J$4+$M$4*$J$5+[49]FormattedData!I92^2*$J$6+$M$5*$J$7</f>
        <v>53.375322031677776</v>
      </c>
      <c r="Q34" s="39">
        <f>$J$3+[49]FormattedData!J92*$J$4+$M$4*$J$5+[49]FormattedData!J92^2*$J$6+$M$5*$J$7</f>
        <v>55.098142404818581</v>
      </c>
      <c r="R34" s="39">
        <f>$J$3+[49]FormattedData!K92*$J$4+$M$4*$J$5+[49]FormattedData!K92^2*$J$6+$M$5*$J$7</f>
        <v>53.548364902674621</v>
      </c>
      <c r="S34" s="39">
        <f>$J$3+[49]FormattedData!L92*$J$4+$M$4*$J$5+[49]FormattedData!L92^2*$J$6+$M$5*$J$7</f>
        <v>53.548364902674621</v>
      </c>
      <c r="T34" s="39">
        <f>$J$3+[49]FormattedData!M92*$J$4+$M$4*$J$5+[49]FormattedData!M92^2*$J$6+$M$5*$J$7</f>
        <v>53.375322031677776</v>
      </c>
      <c r="U34" s="39">
        <f>$J$3+[49]FormattedData!N92*$J$4+$M$4*$J$5+[49]FormattedData!N92^2*$J$6+$M$5*$J$7</f>
        <v>53.202110086529203</v>
      </c>
      <c r="V34" s="39">
        <f>$J$3+[49]FormattedData!O92*$J$4+$M$4*$J$5+[49]FormattedData!O92^2*$J$6+$M$5*$J$7</f>
        <v>54.583071571469446</v>
      </c>
      <c r="W34" s="38">
        <f>AVERAGE(K34:V34)</f>
        <v>53.935830412479568</v>
      </c>
      <c r="X34" s="37">
        <f>STDEV(K34:V34)/SQRT(COUNT(K34:V34))</f>
        <v>0.20081878586421076</v>
      </c>
      <c r="Y34" s="36">
        <f>MIN(K34:V34)</f>
        <v>53.202110086529203</v>
      </c>
      <c r="Z34" s="35">
        <f>QUARTILE(K34:V34,1)</f>
        <v>53.375322031677776</v>
      </c>
      <c r="AA34" s="36">
        <f>MEDIAN(K34:V34)</f>
        <v>53.677988548905006</v>
      </c>
      <c r="AB34" s="35">
        <f>QUARTILE(K34:V34,3)</f>
        <v>54.324902126725917</v>
      </c>
      <c r="AC34" s="35">
        <f>MAX(K34:V34)</f>
        <v>55.183839603827344</v>
      </c>
      <c r="AD34" s="35">
        <f>SKEW(K34:V34)</f>
        <v>0.86730929815722613</v>
      </c>
      <c r="AE34" s="35">
        <f>KURT(K34:V34)</f>
        <v>-0.57304217020891057</v>
      </c>
    </row>
    <row r="35" spans="2:31" x14ac:dyDescent="0.2">
      <c r="B35" s="34">
        <f>[49]FormattedData!A90</f>
        <v>402</v>
      </c>
      <c r="C35" s="34" t="str">
        <f>VLOOKUP($B35,[49]TrtCodes!$B$11:I130,2)</f>
        <v>NTH</v>
      </c>
      <c r="D35" s="34">
        <f>VLOOKUP($B35,[49]TrtCodes!$B$11:J130,3)</f>
        <v>9</v>
      </c>
      <c r="E35" s="34">
        <f>VLOOKUP($B35,[49]TrtCodes!$B$11:K130,4)</f>
        <v>2</v>
      </c>
      <c r="F35" s="34">
        <f>VLOOKUP($B35,[49]TrtCodes!$B$11:L130,5)</f>
        <v>2</v>
      </c>
      <c r="G35" s="34">
        <f>VLOOKUP($B35,[49]TrtCodes!$B$11:M130,6)</f>
        <v>2</v>
      </c>
      <c r="H35" s="34">
        <f>VLOOKUP($B35,[49]TrtCodes!$B$11:N130,7)</f>
        <v>3</v>
      </c>
      <c r="I35" s="34">
        <f>[49]FormattedData!B90</f>
        <v>1</v>
      </c>
      <c r="J35" s="37">
        <f>[49]FormattedData!C90</f>
        <v>13.420999999999999</v>
      </c>
      <c r="K35" s="39">
        <f>$J$3+[49]FormattedData!D90*$J$4+$M$4*$J$5+[49]FormattedData!D90^2*$J$6+$M$5*$J$7</f>
        <v>52.594536819564397</v>
      </c>
      <c r="L35" s="39">
        <f>$J$3+[49]FormattedData!E90*$J$4+$M$4*$J$5+[49]FormattedData!E90^2*$J$6+$M$5*$J$7</f>
        <v>55.012402937271879</v>
      </c>
      <c r="M35" s="39">
        <f>$J$3+[49]FormattedData!F90*$J$4+$M$4*$J$5+[49]FormattedData!F90^2*$J$6+$M$5*$J$7</f>
        <v>52.594536819564397</v>
      </c>
      <c r="N35" s="39">
        <f>$J$3+[49]FormattedData!G90*$J$4+$M$4*$J$5+[49]FormattedData!G90^2*$J$6+$M$5*$J$7</f>
        <v>55.269494534298175</v>
      </c>
      <c r="O35" s="39">
        <f>$J$3+[49]FormattedData!H90*$J$4+$M$4*$J$5+[49]FormattedData!H90^2*$J$6+$M$5*$J$7</f>
        <v>52.420564040733069</v>
      </c>
      <c r="P35" s="39">
        <f>$J$3+[49]FormattedData!I90*$J$4+$M$4*$J$5+[49]FormattedData!I90^2*$J$6+$M$5*$J$7</f>
        <v>53.115440711148032</v>
      </c>
      <c r="Q35" s="39">
        <f>$J$3+[49]FormattedData!J90*$J$4+$M$4*$J$5+[49]FormattedData!J90^2*$J$6+$M$5*$J$7</f>
        <v>54.152683492218728</v>
      </c>
      <c r="R35" s="39">
        <f>$J$3+[49]FormattedData!K90*$J$4+$M$4*$J$5+[49]FormattedData!K90^2*$J$6+$M$5*$J$7</f>
        <v>53.807612195135398</v>
      </c>
      <c r="S35" s="39">
        <f>$J$3+[49]FormattedData!L90*$J$4+$M$4*$J$5+[49]FormattedData!L90^2*$J$6+$M$5*$J$7</f>
        <v>53.288737193372455</v>
      </c>
      <c r="T35" s="39">
        <f>$J$3+[49]FormattedData!M90*$J$4+$M$4*$J$5+[49]FormattedData!M90^2*$J$6+$M$5*$J$7</f>
        <v>52.159287858451599</v>
      </c>
      <c r="U35" s="39">
        <f>$J$3+[49]FormattedData!N90*$J$4+$M$4*$J$5+[49]FormattedData!N90^2*$J$6+$M$5*$J$7</f>
        <v>52.768340524243996</v>
      </c>
      <c r="V35" s="39">
        <f>$J$3+[49]FormattedData!O90*$J$4+$M$4*$J$5+[49]FormattedData!O90^2*$J$6+$M$5*$J$7</f>
        <v>54.324965529532804</v>
      </c>
      <c r="W35" s="38">
        <f>AVERAGE(K35:V35)</f>
        <v>53.459050221294582</v>
      </c>
      <c r="X35" s="37">
        <f>STDEV(K35:V35)/SQRT(COUNT(K35:V35))</f>
        <v>0.3006281511530004</v>
      </c>
      <c r="Y35" s="36">
        <f>MIN(K35:V35)</f>
        <v>52.159287858451599</v>
      </c>
      <c r="Z35" s="35">
        <f>QUARTILE(K35:V35,1)</f>
        <v>52.594536819564397</v>
      </c>
      <c r="AA35" s="36">
        <f>MEDIAN(K35:V35)</f>
        <v>53.20208895226024</v>
      </c>
      <c r="AB35" s="35">
        <f>QUARTILE(K35:V35,3)</f>
        <v>54.195754001547243</v>
      </c>
      <c r="AC35" s="35">
        <f>MAX(K35:V35)</f>
        <v>55.269494534298175</v>
      </c>
      <c r="AD35" s="35">
        <f>SKEW(K35:V35)</f>
        <v>0.5529251200587858</v>
      </c>
      <c r="AE35" s="35">
        <f>KURT(K35:V35)</f>
        <v>-0.9854346189341423</v>
      </c>
    </row>
    <row r="36" spans="2:31" x14ac:dyDescent="0.2">
      <c r="B36" s="34">
        <f>[49]FormattedData!A88</f>
        <v>403</v>
      </c>
      <c r="C36" s="34" t="str">
        <f>VLOOKUP($B36,[49]TrtCodes!$B$11:I131,2)</f>
        <v>FDL</v>
      </c>
      <c r="D36" s="34">
        <f>VLOOKUP($B36,[49]TrtCodes!$B$11:J131,3)</f>
        <v>6</v>
      </c>
      <c r="E36" s="34">
        <f>VLOOKUP($B36,[49]TrtCodes!$B$11:K131,4)</f>
        <v>1</v>
      </c>
      <c r="F36" s="34">
        <f>VLOOKUP($B36,[49]TrtCodes!$B$11:L131,5)</f>
        <v>3</v>
      </c>
      <c r="G36" s="34">
        <f>VLOOKUP($B36,[49]TrtCodes!$B$11:M131,6)</f>
        <v>1</v>
      </c>
      <c r="H36" s="34">
        <f>VLOOKUP($B36,[49]TrtCodes!$B$11:N131,7)</f>
        <v>3</v>
      </c>
      <c r="I36" s="34">
        <f>[49]FormattedData!B88</f>
        <v>1</v>
      </c>
      <c r="J36" s="37">
        <f>[49]FormattedData!C88</f>
        <v>13.413</v>
      </c>
      <c r="K36" s="39">
        <f>$J$3+[49]FormattedData!D88*$J$4+$M$4*$J$5+[49]FormattedData!D88^2*$J$6+$M$5*$J$7</f>
        <v>52.072111260615245</v>
      </c>
      <c r="L36" s="39">
        <f>$J$3+[49]FormattedData!E88*$J$4+$M$4*$J$5+[49]FormattedData!E88^2*$J$6+$M$5*$J$7</f>
        <v>54.669022381705794</v>
      </c>
      <c r="M36" s="39">
        <f>$J$3+[49]FormattedData!F88*$J$4+$M$4*$J$5+[49]FormattedData!F88^2*$J$6+$M$5*$J$7</f>
        <v>52.855178973776901</v>
      </c>
      <c r="N36" s="39">
        <f>$J$3+[49]FormattedData!G88*$J$4+$M$4*$J$5+[49]FormattedData!G88^2*$J$6+$M$5*$J$7</f>
        <v>55.697135158583372</v>
      </c>
      <c r="O36" s="39">
        <f>$J$3+[49]FormattedData!H88*$J$4+$M$4*$J$5+[49]FormattedData!H88^2*$J$6+$M$5*$J$7</f>
        <v>52.681459806173166</v>
      </c>
      <c r="P36" s="39">
        <f>$J$3+[49]FormattedData!I88*$J$4+$M$4*$J$5+[49]FormattedData!I88^2*$J$6+$M$5*$J$7</f>
        <v>54.669022381705794</v>
      </c>
      <c r="Q36" s="39">
        <f>$J$3+[49]FormattedData!J88*$J$4+$M$4*$J$5+[49]FormattedData!J88^2*$J$6+$M$5*$J$7</f>
        <v>53.115440711148032</v>
      </c>
      <c r="R36" s="39">
        <f>$J$3+[49]FormattedData!K88*$J$4+$M$4*$J$5+[49]FormattedData!K88^2*$J$6+$M$5*$J$7</f>
        <v>56.208909045973869</v>
      </c>
      <c r="S36" s="39">
        <f>$J$3+[49]FormattedData!L88*$J$4+$M$4*$J$5+[49]FormattedData!L88^2*$J$6+$M$5*$J$7</f>
        <v>53.634822935366131</v>
      </c>
      <c r="T36" s="39">
        <f>$J$3+[49]FormattedData!M88*$J$4+$M$4*$J$5+[49]FormattedData!M88^2*$J$6+$M$5*$J$7</f>
        <v>54.497078492695167</v>
      </c>
      <c r="U36" s="39">
        <f>$J$3+[49]FormattedData!N88*$J$4+$M$4*$J$5+[49]FormattedData!N88^2*$J$6+$M$5*$J$7</f>
        <v>53.115440711148032</v>
      </c>
      <c r="V36" s="39">
        <f>$J$3+[49]FormattedData!O88*$J$4+$M$4*$J$5+[49]FormattedData!O88^2*$J$6+$M$5*$J$7</f>
        <v>54.669022381705794</v>
      </c>
      <c r="W36" s="38">
        <f>AVERAGE(K36:V36)</f>
        <v>53.990387020049781</v>
      </c>
      <c r="X36" s="37">
        <f>STDEV(K36:V36)/SQRT(COUNT(K36:V36))</f>
        <v>0.36734572986123948</v>
      </c>
      <c r="Y36" s="36">
        <f>MIN(K36:V36)</f>
        <v>52.072111260615245</v>
      </c>
      <c r="Z36" s="35">
        <f>QUARTILE(K36:V36,1)</f>
        <v>53.050375276805248</v>
      </c>
      <c r="AA36" s="36">
        <f>MEDIAN(K36:V36)</f>
        <v>54.065950714030649</v>
      </c>
      <c r="AB36" s="35">
        <f>QUARTILE(K36:V36,3)</f>
        <v>54.669022381705794</v>
      </c>
      <c r="AC36" s="35">
        <f>MAX(K36:V36)</f>
        <v>56.208909045973869</v>
      </c>
      <c r="AD36" s="35">
        <f>SKEW(K36:V36)</f>
        <v>0.25463354700312846</v>
      </c>
      <c r="AE36" s="35">
        <f>KURT(K36:V36)</f>
        <v>-0.86417487976595586</v>
      </c>
    </row>
    <row r="37" spans="2:31" x14ac:dyDescent="0.2">
      <c r="B37" s="34">
        <f>[49]FormattedData!A86</f>
        <v>404</v>
      </c>
      <c r="C37" s="34" t="str">
        <f>VLOOKUP($B37,[49]TrtCodes!$B$11:I129,2)</f>
        <v>FTH</v>
      </c>
      <c r="D37" s="34">
        <f>VLOOKUP($B37,[49]TrtCodes!$B$11:J129,3)</f>
        <v>3</v>
      </c>
      <c r="E37" s="34">
        <f>VLOOKUP($B37,[49]TrtCodes!$B$11:K129,4)</f>
        <v>1</v>
      </c>
      <c r="F37" s="34">
        <f>VLOOKUP($B37,[49]TrtCodes!$B$11:L129,5)</f>
        <v>2</v>
      </c>
      <c r="G37" s="34">
        <f>VLOOKUP($B37,[49]TrtCodes!$B$11:M129,6)</f>
        <v>2</v>
      </c>
      <c r="H37" s="34">
        <f>VLOOKUP($B37,[49]TrtCodes!$B$11:N129,7)</f>
        <v>3</v>
      </c>
      <c r="I37" s="34">
        <f>[49]FormattedData!B86</f>
        <v>1</v>
      </c>
      <c r="J37" s="37">
        <f>[49]FormattedData!C86</f>
        <v>13.404</v>
      </c>
      <c r="K37" s="39">
        <f>$J$3+[49]FormattedData!D86*$J$4+$M$4*$J$5+[49]FormattedData!D86^2*$J$6+$M$5*$J$7</f>
        <v>51.460691556698698</v>
      </c>
      <c r="L37" s="39">
        <f>$J$3+[49]FormattedData!E86*$J$4+$M$4*$J$5+[49]FormattedData!E86^2*$J$6+$M$5*$J$7</f>
        <v>55.355107196231074</v>
      </c>
      <c r="M37" s="39">
        <f>$J$3+[49]FormattedData!F86*$J$4+$M$4*$J$5+[49]FormattedData!F86^2*$J$6+$M$5*$J$7</f>
        <v>54.152683492218728</v>
      </c>
      <c r="N37" s="39">
        <f>$J$3+[49]FormattedData!G86*$J$4+$M$4*$J$5+[49]FormattedData!G86^2*$J$6+$M$5*$J$7</f>
        <v>55.953212310699314</v>
      </c>
      <c r="O37" s="39">
        <f>$J$3+[49]FormattedData!H86*$J$4+$M$4*$J$5+[49]FormattedData!H86^2*$J$6+$M$5*$J$7</f>
        <v>53.461864601445157</v>
      </c>
      <c r="P37" s="39">
        <f>$J$3+[49]FormattedData!I86*$J$4+$M$4*$J$5+[49]FormattedData!I86^2*$J$6+$M$5*$J$7</f>
        <v>53.288737193372455</v>
      </c>
      <c r="Q37" s="39">
        <f>$J$3+[49]FormattedData!J86*$J$4+$M$4*$J$5+[49]FormattedData!J86^2*$J$6+$M$5*$J$7</f>
        <v>55.355107196231074</v>
      </c>
      <c r="R37" s="39">
        <f>$J$3+[49]FormattedData!K86*$J$4+$M$4*$J$5+[49]FormattedData!K86^2*$J$6+$M$5*$J$7</f>
        <v>54.840797196564708</v>
      </c>
      <c r="S37" s="39">
        <f>$J$3+[49]FormattedData!L86*$J$4+$M$4*$J$5+[49]FormattedData!L86^2*$J$6+$M$5*$J$7</f>
        <v>54.583071571469446</v>
      </c>
      <c r="T37" s="39">
        <f>$J$3+[49]FormattedData!M86*$J$4+$M$4*$J$5+[49]FormattedData!M86^2*$J$6+$M$5*$J$7</f>
        <v>53.548364902674621</v>
      </c>
      <c r="U37" s="39">
        <f>$J$3+[49]FormattedData!N86*$J$4+$M$4*$J$5+[49]FormattedData!N86^2*$J$6+$M$5*$J$7</f>
        <v>53.288737193372455</v>
      </c>
      <c r="V37" s="39">
        <f>$J$3+[49]FormattedData!O86*$J$4+$M$4*$J$5+[49]FormattedData!O86^2*$J$6+$M$5*$J$7</f>
        <v>56.379162193467266</v>
      </c>
      <c r="W37" s="38">
        <f>AVERAGE(K37:V37)</f>
        <v>54.305628050370409</v>
      </c>
      <c r="X37" s="37">
        <f>STDEV(K37:V37)/SQRT(COUNT(K37:V37))</f>
        <v>0.39934459154106056</v>
      </c>
      <c r="Y37" s="36">
        <f>MIN(K37:V37)</f>
        <v>51.460691556698698</v>
      </c>
      <c r="Z37" s="35">
        <f>QUARTILE(K37:V37,1)</f>
        <v>53.418582749426982</v>
      </c>
      <c r="AA37" s="36">
        <f>MEDIAN(K37:V37)</f>
        <v>54.367877531844087</v>
      </c>
      <c r="AB37" s="35">
        <f>QUARTILE(K37:V37,3)</f>
        <v>55.355107196231074</v>
      </c>
      <c r="AC37" s="35">
        <f>MAX(K37:V37)</f>
        <v>56.379162193467266</v>
      </c>
      <c r="AD37" s="35">
        <f>SKEW(K37:V37)</f>
        <v>-0.42416432490069439</v>
      </c>
      <c r="AE37" s="35">
        <f>KURT(K37:V37)</f>
        <v>0.13382906715087284</v>
      </c>
    </row>
    <row r="38" spans="2:31" x14ac:dyDescent="0.2">
      <c r="B38" s="34">
        <f>[49]FormattedData!A84</f>
        <v>405</v>
      </c>
      <c r="C38" s="34" t="str">
        <f>VLOOKUP($B38,[49]TrtCodes!$B$11:I127,2)</f>
        <v>FDL</v>
      </c>
      <c r="D38" s="34">
        <f>VLOOKUP($B38,[49]TrtCodes!$B$11:J127,3)</f>
        <v>6</v>
      </c>
      <c r="E38" s="34">
        <f>VLOOKUP($B38,[49]TrtCodes!$B$11:K127,4)</f>
        <v>1</v>
      </c>
      <c r="F38" s="34">
        <f>VLOOKUP($B38,[49]TrtCodes!$B$11:L127,5)</f>
        <v>3</v>
      </c>
      <c r="G38" s="34">
        <f>VLOOKUP($B38,[49]TrtCodes!$B$11:M127,6)</f>
        <v>1</v>
      </c>
      <c r="H38" s="34">
        <f>VLOOKUP($B38,[49]TrtCodes!$B$11:N127,7)</f>
        <v>4</v>
      </c>
      <c r="I38" s="34">
        <f>[49]FormattedData!B84</f>
        <v>1</v>
      </c>
      <c r="J38" s="37">
        <f>[49]FormattedData!C84</f>
        <v>13.396000000000001</v>
      </c>
      <c r="K38" s="39">
        <f>$J$3+[49]FormattedData!D84*$J$4+$M$4*$J$5+[49]FormattedData!D84^2*$J$6+$M$5*$J$7</f>
        <v>51.89763125932874</v>
      </c>
      <c r="L38" s="39">
        <f>$J$3+[49]FormattedData!E84*$J$4+$M$4*$J$5+[49]FormattedData!E84^2*$J$6+$M$5*$J$7</f>
        <v>54.92662120118726</v>
      </c>
      <c r="M38" s="39">
        <f>$J$3+[49]FormattedData!F84*$J$4+$M$4*$J$5+[49]FormattedData!F84^2*$J$6+$M$5*$J$7</f>
        <v>54.152683492218728</v>
      </c>
      <c r="N38" s="39">
        <f>$J$3+[49]FormattedData!G84*$J$4+$M$4*$J$5+[49]FormattedData!G84^2*$J$6+$M$5*$J$7</f>
        <v>54.497078492695167</v>
      </c>
      <c r="O38" s="39">
        <f>$J$3+[49]FormattedData!H84*$J$4+$M$4*$J$5+[49]FormattedData!H84^2*$J$6+$M$5*$J$7</f>
        <v>54.238845645144735</v>
      </c>
      <c r="P38" s="39">
        <f>$J$3+[49]FormattedData!I84*$J$4+$M$4*$J$5+[49]FormattedData!I84^2*$J$6+$M$5*$J$7</f>
        <v>53.634822935366131</v>
      </c>
      <c r="Q38" s="39">
        <f>$J$3+[49]FormattedData!J84*$J$4+$M$4*$J$5+[49]FormattedData!J84^2*$J$6+$M$5*$J$7</f>
        <v>54.238845645144735</v>
      </c>
      <c r="R38" s="39">
        <f>$J$3+[49]FormattedData!K84*$J$4+$M$4*$J$5+[49]FormattedData!K84^2*$J$6+$M$5*$J$7</f>
        <v>52.941975154771882</v>
      </c>
      <c r="S38" s="39">
        <f>$J$3+[49]FormattedData!L84*$J$4+$M$4*$J$5+[49]FormattedData!L84^2*$J$6+$M$5*$J$7</f>
        <v>53.461864601445157</v>
      </c>
      <c r="T38" s="39">
        <f>$J$3+[49]FormattedData!M84*$J$4+$M$4*$J$5+[49]FormattedData!M84^2*$J$6+$M$5*$J$7</f>
        <v>53.461864601445157</v>
      </c>
      <c r="U38" s="39">
        <f>$J$3+[49]FormattedData!N84*$J$4+$M$4*$J$5+[49]FormattedData!N84^2*$J$6+$M$5*$J$7</f>
        <v>54.411043145382955</v>
      </c>
      <c r="V38" s="39">
        <f>$J$3+[49]FormattedData!O84*$J$4+$M$4*$J$5+[49]FormattedData!O84^2*$J$6+$M$5*$J$7</f>
        <v>54.497078492695167</v>
      </c>
      <c r="W38" s="38">
        <f>AVERAGE(K38:V38)</f>
        <v>53.863362888902145</v>
      </c>
      <c r="X38" s="37">
        <f>STDEV(K38:V38)/SQRT(COUNT(K38:V38))</f>
        <v>0.24131948368314826</v>
      </c>
      <c r="Y38" s="36">
        <f>MIN(K38:V38)</f>
        <v>51.89763125932874</v>
      </c>
      <c r="Z38" s="35">
        <f>QUARTILE(K38:V38,1)</f>
        <v>53.461864601445157</v>
      </c>
      <c r="AA38" s="36">
        <f>MEDIAN(K38:V38)</f>
        <v>54.195764568681732</v>
      </c>
      <c r="AB38" s="35">
        <f>QUARTILE(K38:V38,3)</f>
        <v>54.43255198221101</v>
      </c>
      <c r="AC38" s="35">
        <f>MAX(K38:V38)</f>
        <v>54.92662120118726</v>
      </c>
      <c r="AD38" s="35">
        <f>SKEW(K38:V38)</f>
        <v>-1.2164270852497314</v>
      </c>
      <c r="AE38" s="35">
        <f>KURT(K38:V38)</f>
        <v>1.5953265994049426</v>
      </c>
    </row>
    <row r="39" spans="2:31" x14ac:dyDescent="0.2">
      <c r="B39" s="34">
        <f>[49]FormattedData!A82</f>
        <v>406</v>
      </c>
      <c r="C39" s="34" t="str">
        <f>VLOOKUP($B39,[49]TrtCodes!$B$11:I125,2)</f>
        <v>FTH</v>
      </c>
      <c r="D39" s="34">
        <f>VLOOKUP($B39,[49]TrtCodes!$B$11:J125,3)</f>
        <v>3</v>
      </c>
      <c r="E39" s="34">
        <f>VLOOKUP($B39,[49]TrtCodes!$B$11:K125,4)</f>
        <v>1</v>
      </c>
      <c r="F39" s="34">
        <f>VLOOKUP($B39,[49]TrtCodes!$B$11:L125,5)</f>
        <v>2</v>
      </c>
      <c r="G39" s="34">
        <f>VLOOKUP($B39,[49]TrtCodes!$B$11:M125,6)</f>
        <v>2</v>
      </c>
      <c r="H39" s="34">
        <f>VLOOKUP($B39,[49]TrtCodes!$B$11:N125,7)</f>
        <v>4</v>
      </c>
      <c r="I39" s="34">
        <f>[49]FormattedData!B82</f>
        <v>1</v>
      </c>
      <c r="J39" s="37">
        <f>[49]FormattedData!C82</f>
        <v>13.387</v>
      </c>
      <c r="K39" s="39">
        <f>$J$3+[49]FormattedData!D82*$J$4+$M$4*$J$5+[49]FormattedData!D82^2*$J$6+$M$5*$J$7</f>
        <v>51.722982183890522</v>
      </c>
      <c r="L39" s="39">
        <f>$J$3+[49]FormattedData!E82*$J$4+$M$4*$J$5+[49]FormattedData!E82^2*$J$6+$M$5*$J$7</f>
        <v>53.980232380752923</v>
      </c>
      <c r="M39" s="39">
        <f>$J$3+[49]FormattedData!F82*$J$4+$M$4*$J$5+[49]FormattedData!F82^2*$J$6+$M$5*$J$7</f>
        <v>54.840797196564708</v>
      </c>
      <c r="N39" s="39">
        <f>$J$3+[49]FormattedData!G82*$J$4+$M$4*$J$5+[49]FormattedData!G82^2*$J$6+$M$5*$J$7</f>
        <v>54.754930923404217</v>
      </c>
      <c r="O39" s="39">
        <f>$J$3+[49]FormattedData!H82*$J$4+$M$4*$J$5+[49]FormattedData!H82^2*$J$6+$M$5*$J$7</f>
        <v>55.098142404818581</v>
      </c>
      <c r="P39" s="39">
        <f>$J$3+[49]FormattedData!I82*$J$4+$M$4*$J$5+[49]FormattedData!I82^2*$J$6+$M$5*$J$7</f>
        <v>53.461864601445157</v>
      </c>
      <c r="Q39" s="39">
        <f>$J$3+[49]FormattedData!J82*$J$4+$M$4*$J$5+[49]FormattedData!J82^2*$J$6+$M$5*$J$7</f>
        <v>54.152683492218728</v>
      </c>
      <c r="R39" s="39">
        <f>$J$3+[49]FormattedData!K82*$J$4+$M$4*$J$5+[49]FormattedData!K82^2*$J$6+$M$5*$J$7</f>
        <v>54.840797196564708</v>
      </c>
      <c r="S39" s="39">
        <f>$J$3+[49]FormattedData!L82*$J$4+$M$4*$J$5+[49]FormattedData!L82^2*$J$6+$M$5*$J$7</f>
        <v>52.941975154771882</v>
      </c>
      <c r="T39" s="39">
        <f>$J$3+[49]FormattedData!M82*$J$4+$M$4*$J$5+[49]FormattedData!M82^2*$J$6+$M$5*$J$7</f>
        <v>54.497078492695167</v>
      </c>
      <c r="U39" s="39">
        <f>$J$3+[49]FormattedData!N82*$J$4+$M$4*$J$5+[49]FormattedData!N82^2*$J$6+$M$5*$J$7</f>
        <v>54.238845645144735</v>
      </c>
      <c r="V39" s="39">
        <f>$J$3+[49]FormattedData!O82*$J$4+$M$4*$J$5+[49]FormattedData!O82^2*$J$6+$M$5*$J$7</f>
        <v>55.355107196231074</v>
      </c>
      <c r="W39" s="38">
        <f>AVERAGE(K39:V39)</f>
        <v>54.157119739041867</v>
      </c>
      <c r="X39" s="37">
        <f>STDEV(K39:V39)/SQRT(COUNT(K39:V39))</f>
        <v>0.29710021711437945</v>
      </c>
      <c r="Y39" s="36">
        <f>MIN(K39:V39)</f>
        <v>51.722982183890522</v>
      </c>
      <c r="Z39" s="35">
        <f>QUARTILE(K39:V39,1)</f>
        <v>53.850640435925982</v>
      </c>
      <c r="AA39" s="36">
        <f>MEDIAN(K39:V39)</f>
        <v>54.367962068919951</v>
      </c>
      <c r="AB39" s="35">
        <f>QUARTILE(K39:V39,3)</f>
        <v>54.840797196564708</v>
      </c>
      <c r="AC39" s="35">
        <f>MAX(K39:V39)</f>
        <v>55.355107196231074</v>
      </c>
      <c r="AD39" s="35">
        <f>SKEW(K39:V39)</f>
        <v>-1.3122264116828302</v>
      </c>
      <c r="AE39" s="35">
        <f>KURT(K39:V39)</f>
        <v>1.7169929624527676</v>
      </c>
    </row>
    <row r="40" spans="2:31" x14ac:dyDescent="0.2">
      <c r="B40" s="34">
        <f>[49]FormattedData!A80</f>
        <v>407</v>
      </c>
      <c r="C40" s="34" t="str">
        <f>VLOOKUP($B40,[49]TrtCodes!$B$11:I123,2)</f>
        <v>NSH</v>
      </c>
      <c r="D40" s="34">
        <f>VLOOKUP($B40,[49]TrtCodes!$B$11:J123,3)</f>
        <v>7</v>
      </c>
      <c r="E40" s="34">
        <f>VLOOKUP($B40,[49]TrtCodes!$B$11:K123,4)</f>
        <v>2</v>
      </c>
      <c r="F40" s="34">
        <f>VLOOKUP($B40,[49]TrtCodes!$B$11:L123,5)</f>
        <v>1</v>
      </c>
      <c r="G40" s="34">
        <f>VLOOKUP($B40,[49]TrtCodes!$B$11:M123,6)</f>
        <v>2</v>
      </c>
      <c r="H40" s="34">
        <f>VLOOKUP($B40,[49]TrtCodes!$B$11:N123,7)</f>
        <v>4</v>
      </c>
      <c r="I40" s="34">
        <f>[49]FormattedData!B80</f>
        <v>1</v>
      </c>
      <c r="J40" s="37">
        <f>[49]FormattedData!C80</f>
        <v>13.378</v>
      </c>
      <c r="K40" s="39">
        <f>$J$3+[49]FormattedData!D80*$J$4+$M$4*$J$5+[49]FormattedData!D80^2*$J$6+$M$5*$J$7</f>
        <v>52.246422187750028</v>
      </c>
      <c r="L40" s="39">
        <f>$J$3+[49]FormattedData!E80*$J$4+$M$4*$J$5+[49]FormattedData!E80^2*$J$6+$M$5*$J$7</f>
        <v>56.88890719103707</v>
      </c>
      <c r="M40" s="39">
        <f>$J$3+[49]FormattedData!F80*$J$4+$M$4*$J$5+[49]FormattedData!F80^2*$J$6+$M$5*$J$7</f>
        <v>53.548364902674621</v>
      </c>
      <c r="N40" s="39">
        <f>$J$3+[49]FormattedData!G80*$J$4+$M$4*$J$5+[49]FormattedData!G80^2*$J$6+$M$5*$J$7</f>
        <v>57.227891818658321</v>
      </c>
      <c r="O40" s="39">
        <f>$J$3+[49]FormattedData!H80*$J$4+$M$4*$J$5+[49]FormattedData!H80^2*$J$6+$M$5*$J$7</f>
        <v>53.548364902674621</v>
      </c>
      <c r="P40" s="39">
        <f>$J$3+[49]FormattedData!I80*$J$4+$M$4*$J$5+[49]FormattedData!I80^2*$J$6+$M$5*$J$7</f>
        <v>55.098142404818581</v>
      </c>
      <c r="Q40" s="39">
        <f>$J$3+[49]FormattedData!J80*$J$4+$M$4*$J$5+[49]FormattedData!J80^2*$J$6+$M$5*$J$7</f>
        <v>55.867895528531925</v>
      </c>
      <c r="R40" s="39">
        <f>$J$3+[49]FormattedData!K80*$J$4+$M$4*$J$5+[49]FormattedData!K80^2*$J$6+$M$5*$J$7</f>
        <v>54.92662120118726</v>
      </c>
      <c r="S40" s="39">
        <f>$J$3+[49]FormattedData!L80*$J$4+$M$4*$J$5+[49]FormattedData!L80^2*$J$6+$M$5*$J$7</f>
        <v>54.497078492695167</v>
      </c>
      <c r="T40" s="39">
        <f>$J$3+[49]FormattedData!M80*$J$4+$M$4*$J$5+[49]FormattedData!M80^2*$J$6+$M$5*$J$7</f>
        <v>55.867895528531925</v>
      </c>
      <c r="U40" s="39">
        <f>$J$3+[49]FormattedData!N80*$J$4+$M$4*$J$5+[49]FormattedData!N80^2*$J$6+$M$5*$J$7</f>
        <v>53.721238699519731</v>
      </c>
      <c r="V40" s="39">
        <f>$J$3+[49]FormattedData!O80*$J$4+$M$4*$J$5+[49]FormattedData!O80^2*$J$6+$M$5*$J$7</f>
        <v>56.634224900672855</v>
      </c>
      <c r="W40" s="38">
        <f>AVERAGE(K40:V40)</f>
        <v>55.006087313229351</v>
      </c>
      <c r="X40" s="37">
        <f>STDEV(K40:V40)/SQRT(COUNT(K40:V40))</f>
        <v>0.44728186283017907</v>
      </c>
      <c r="Y40" s="36">
        <f>MIN(K40:V40)</f>
        <v>52.246422187750028</v>
      </c>
      <c r="Z40" s="35">
        <f>QUARTILE(K40:V40,1)</f>
        <v>53.67802025030845</v>
      </c>
      <c r="AA40" s="36">
        <f>MEDIAN(K40:V40)</f>
        <v>55.012381803002924</v>
      </c>
      <c r="AB40" s="35">
        <f>QUARTILE(K40:V40,3)</f>
        <v>56.059477871567154</v>
      </c>
      <c r="AC40" s="35">
        <f>MAX(K40:V40)</f>
        <v>57.227891818658321</v>
      </c>
      <c r="AD40" s="35">
        <f>SKEW(K40:V40)</f>
        <v>-0.18260230905909206</v>
      </c>
      <c r="AE40" s="35">
        <f>KURT(K40:V40)</f>
        <v>-0.89225855212449456</v>
      </c>
    </row>
    <row r="41" spans="2:31" x14ac:dyDescent="0.2">
      <c r="B41" s="34">
        <f>[49]FormattedData!A78</f>
        <v>408</v>
      </c>
      <c r="C41" s="34" t="str">
        <f>VLOOKUP($B41,[49]TrtCodes!$B$11:I121,2)</f>
        <v>NTL</v>
      </c>
      <c r="D41" s="34">
        <f>VLOOKUP($B41,[49]TrtCodes!$B$11:J121,3)</f>
        <v>10</v>
      </c>
      <c r="E41" s="34">
        <f>VLOOKUP($B41,[49]TrtCodes!$B$11:K121,4)</f>
        <v>2</v>
      </c>
      <c r="F41" s="34">
        <f>VLOOKUP($B41,[49]TrtCodes!$B$11:L121,5)</f>
        <v>2</v>
      </c>
      <c r="G41" s="34">
        <f>VLOOKUP($B41,[49]TrtCodes!$B$11:M121,6)</f>
        <v>1</v>
      </c>
      <c r="H41" s="34">
        <f>VLOOKUP($B41,[49]TrtCodes!$B$11:N121,7)</f>
        <v>4</v>
      </c>
      <c r="I41" s="34">
        <f>[49]FormattedData!B78</f>
        <v>1</v>
      </c>
      <c r="J41" s="37">
        <f>[49]FormattedData!C78</f>
        <v>13.369</v>
      </c>
      <c r="K41" s="39">
        <f>$J$3+[49]FormattedData!D78*$J$4+$M$4*$J$5+[49]FormattedData!D78^2*$J$6+$M$5*$J$7</f>
        <v>51.022695140620378</v>
      </c>
      <c r="L41" s="39">
        <f>$J$3+[49]FormattedData!E78*$J$4+$M$4*$J$5+[49]FormattedData!E78^2*$J$6+$M$5*$J$7</f>
        <v>55.355107196231074</v>
      </c>
      <c r="M41" s="39">
        <f>$J$3+[49]FormattedData!F78*$J$4+$M$4*$J$5+[49]FormattedData!F78^2*$J$6+$M$5*$J$7</f>
        <v>53.202110086529203</v>
      </c>
      <c r="N41" s="39">
        <f>$J$3+[49]FormattedData!G78*$J$4+$M$4*$J$5+[49]FormattedData!G78^2*$J$6+$M$5*$J$7</f>
        <v>54.754930923404217</v>
      </c>
      <c r="O41" s="39">
        <f>$J$3+[49]FormattedData!H78*$J$4+$M$4*$J$5+[49]FormattedData!H78^2*$J$6+$M$5*$J$7</f>
        <v>52.420564040733069</v>
      </c>
      <c r="P41" s="39">
        <f>$J$3+[49]FormattedData!I78*$J$4+$M$4*$J$5+[49]FormattedData!I78^2*$J$6+$M$5*$J$7</f>
        <v>52.768340524243996</v>
      </c>
      <c r="Q41" s="39">
        <f>$J$3+[49]FormattedData!J78*$J$4+$M$4*$J$5+[49]FormattedData!J78^2*$J$6+$M$5*$J$7</f>
        <v>54.411043145382955</v>
      </c>
      <c r="R41" s="39">
        <f>$J$3+[49]FormattedData!K78*$J$4+$M$4*$J$5+[49]FormattedData!K78^2*$J$6+$M$5*$J$7</f>
        <v>53.461864601445157</v>
      </c>
      <c r="S41" s="39">
        <f>$J$3+[49]FormattedData!L78*$J$4+$M$4*$J$5+[49]FormattedData!L78^2*$J$6+$M$5*$J$7</f>
        <v>52.941975154771882</v>
      </c>
      <c r="T41" s="39">
        <f>$J$3+[49]FormattedData!M78*$J$4+$M$4*$J$5+[49]FormattedData!M78^2*$J$6+$M$5*$J$7</f>
        <v>54.238845645144735</v>
      </c>
      <c r="U41" s="39">
        <f>$J$3+[49]FormattedData!N78*$J$4+$M$4*$J$5+[49]FormattedData!N78^2*$J$6+$M$5*$J$7</f>
        <v>52.420564040733069</v>
      </c>
      <c r="V41" s="39">
        <f>$J$3+[49]FormattedData!O78*$J$4+$M$4*$J$5+[49]FormattedData!O78^2*$J$6+$M$5*$J$7</f>
        <v>53.461864601445157</v>
      </c>
      <c r="W41" s="38">
        <f>AVERAGE(K41:V41)</f>
        <v>53.371658758390403</v>
      </c>
      <c r="X41" s="37">
        <f>STDEV(K41:V41)/SQRT(COUNT(K41:V41))</f>
        <v>0.34377887560615489</v>
      </c>
      <c r="Y41" s="36">
        <f>MIN(K41:V41)</f>
        <v>51.022695140620378</v>
      </c>
      <c r="Z41" s="35">
        <f>QUARTILE(K41:V41,1)</f>
        <v>52.681396403366264</v>
      </c>
      <c r="AA41" s="36">
        <f>MEDIAN(K41:V41)</f>
        <v>53.33198734398718</v>
      </c>
      <c r="AB41" s="35">
        <f>QUARTILE(K41:V41,3)</f>
        <v>54.281895020204288</v>
      </c>
      <c r="AC41" s="35">
        <f>MAX(K41:V41)</f>
        <v>55.355107196231074</v>
      </c>
      <c r="AD41" s="35">
        <f>SKEW(K41:V41)</f>
        <v>-0.17820324452929984</v>
      </c>
      <c r="AE41" s="35">
        <f>KURT(K41:V41)</f>
        <v>0.12826996227197185</v>
      </c>
    </row>
    <row r="42" spans="2:31" x14ac:dyDescent="0.2">
      <c r="B42" s="50">
        <f>[49]FormattedData!A60</f>
        <v>901</v>
      </c>
      <c r="C42" s="50" t="str">
        <f>VLOOKUP($B42,[49]TrtCodes!$B$11:I103,2)</f>
        <v>WS</v>
      </c>
      <c r="D42" s="50">
        <f>VLOOKUP($B42,[49]TrtCodes!$B$11:J103,3)</f>
        <v>32</v>
      </c>
      <c r="E42" s="50">
        <f>VLOOKUP($B42,[49]TrtCodes!$B$11:K103,4)</f>
        <v>9</v>
      </c>
      <c r="F42" s="50">
        <f>VLOOKUP($B42,[49]TrtCodes!$B$11:L103,5)</f>
        <v>0</v>
      </c>
      <c r="G42" s="50">
        <f>VLOOKUP($B42,[49]TrtCodes!$B$11:M103,6)</f>
        <v>1</v>
      </c>
      <c r="H42" s="50">
        <f>VLOOKUP($B42,[49]TrtCodes!$B$11:N103,7)</f>
        <v>1</v>
      </c>
      <c r="I42" s="50">
        <f>[49]FormattedData!B60</f>
        <v>1</v>
      </c>
      <c r="J42" s="48">
        <f>[49]FormattedData!C60</f>
        <v>13.308</v>
      </c>
      <c r="K42" s="47">
        <f>$J$3+[49]FormattedData!D60*$J$4+$M$4*$J$5+[49]FormattedData!D60^2*$J$6+$M$5*$J$7</f>
        <v>35.975997165551476</v>
      </c>
      <c r="L42" s="47">
        <f>$J$3+[49]FormattedData!E60*$J$4+$M$4*$J$5+[49]FormattedData!E60^2*$J$6+$M$5*$J$7</f>
        <v>35.122171919893091</v>
      </c>
      <c r="M42" s="47">
        <f>$J$3+[49]FormattedData!F60*$J$4+$M$4*$J$5+[49]FormattedData!F60^2*$J$6+$M$5*$J$7</f>
        <v>35.502072492231683</v>
      </c>
      <c r="N42" s="47">
        <f>$J$3+[49]FormattedData!G60*$J$4+$M$4*$J$5+[49]FormattedData!G60^2*$J$6+$M$5*$J$7</f>
        <v>34.455718579590211</v>
      </c>
      <c r="O42" s="47">
        <f>$J$3+[49]FormattedData!H60*$J$4+$M$4*$J$5+[49]FormattedData!H60^2*$J$6+$M$5*$J$7</f>
        <v>33.595806664469727</v>
      </c>
      <c r="P42" s="47">
        <f>$J$3+[49]FormattedData!I60*$J$4+$M$4*$J$5+[49]FormattedData!I60^2*$J$6+$M$5*$J$7</f>
        <v>33.978412423235923</v>
      </c>
      <c r="Q42" s="47">
        <f>$J$3+[49]FormattedData!J60*$J$4+$M$4*$J$5+[49]FormattedData!J60^2*$J$6+$M$5*$J$7</f>
        <v>34.551053005247262</v>
      </c>
      <c r="R42" s="47">
        <f>$J$3+[49]FormattedData!K60*$J$4+$M$4*$J$5+[49]FormattedData!K60^2*$J$6+$M$5*$J$7</f>
        <v>35.975997165551476</v>
      </c>
      <c r="S42" s="47">
        <f>$J$3+[49]FormattedData!L60*$J$4+$M$4*$J$5+[49]FormattedData!L60^2*$J$6+$M$5*$J$7</f>
        <v>35.881296767963384</v>
      </c>
      <c r="T42" s="47">
        <f>$J$3+[49]FormattedData!M60*$J$4+$M$4*$J$5+[49]FormattedData!M60^2*$J$6+$M$5*$J$7</f>
        <v>35.596941963971503</v>
      </c>
      <c r="U42" s="47">
        <f>$J$3+[49]FormattedData!N60*$J$4+$M$4*$J$5+[49]FormattedData!N60^2*$J$6+$M$5*$J$7</f>
        <v>35.312206743138255</v>
      </c>
      <c r="V42" s="47">
        <f>$J$3+[49]FormattedData!O60*$J$4+$M$4*$J$5+[49]FormattedData!O60^2*$J$6+$M$5*$J$7</f>
        <v>35.407160751953938</v>
      </c>
      <c r="W42" s="49">
        <f>AVERAGE(K42:V42)</f>
        <v>35.112902970233158</v>
      </c>
      <c r="X42" s="48">
        <f>STDEV(K42:V42)/SQRT(COUNT(K42:V42))</f>
        <v>0.22910648461713745</v>
      </c>
      <c r="Y42" s="47">
        <f>MIN(K42:V42)</f>
        <v>33.595806664469727</v>
      </c>
      <c r="Z42" s="46">
        <f>QUARTILE(K42:V42,1)</f>
        <v>34.527219398832997</v>
      </c>
      <c r="AA42" s="47">
        <f>MEDIAN(K42:V42)</f>
        <v>35.3596837475461</v>
      </c>
      <c r="AB42" s="46">
        <f>QUARTILE(K42:V42,3)</f>
        <v>35.668030664969471</v>
      </c>
      <c r="AC42" s="46">
        <f>MAX(K42:V42)</f>
        <v>35.975997165551476</v>
      </c>
      <c r="AD42" s="46">
        <f>SKEW(K42:V42)</f>
        <v>-0.75675268122468253</v>
      </c>
      <c r="AE42" s="46">
        <f>KURT(K42:V42)</f>
        <v>-0.54404325753831806</v>
      </c>
    </row>
    <row r="43" spans="2:31" x14ac:dyDescent="0.2">
      <c r="B43" s="34">
        <f>[49]FormattedData!A58</f>
        <v>902</v>
      </c>
      <c r="C43" s="34" t="str">
        <f>VLOOKUP($B43,[49]TrtCodes!$B$11:I101,2)</f>
        <v>Late</v>
      </c>
      <c r="D43" s="34">
        <f>VLOOKUP($B43,[49]TrtCodes!$B$11:J101,3)</f>
        <v>22</v>
      </c>
      <c r="E43" s="34">
        <f>VLOOKUP($B43,[49]TrtCodes!$B$11:K101,4)</f>
        <v>4</v>
      </c>
      <c r="F43" s="34">
        <f>VLOOKUP($B43,[49]TrtCodes!$B$11:L101,5)</f>
        <v>2</v>
      </c>
      <c r="G43" s="34">
        <f>VLOOKUP($B43,[49]TrtCodes!$B$11:M101,6)</f>
        <v>2</v>
      </c>
      <c r="H43" s="34">
        <f>VLOOKUP($B43,[49]TrtCodes!$B$11:N101,7)</f>
        <v>1</v>
      </c>
      <c r="I43" s="34">
        <f>[49]FormattedData!B58</f>
        <v>1</v>
      </c>
      <c r="J43" s="37">
        <f>[49]FormattedData!C58</f>
        <v>13.298</v>
      </c>
      <c r="K43" s="39">
        <f>$J$3+[49]FormattedData!D58*$J$4+$M$4*$J$5+[49]FormattedData!D58^2*$J$6+$M$5*$J$7</f>
        <v>51.810327855878604</v>
      </c>
      <c r="L43" s="39">
        <f>$J$3+[49]FormattedData!E58*$J$4+$M$4*$J$5+[49]FormattedData!E58^2*$J$6+$M$5*$J$7</f>
        <v>55.269494534298175</v>
      </c>
      <c r="M43" s="39">
        <f>$J$3+[49]FormattedData!F58*$J$4+$M$4*$J$5+[49]FormattedData!F58^2*$J$6+$M$5*$J$7</f>
        <v>52.594536819564397</v>
      </c>
      <c r="N43" s="39">
        <f>$J$3+[49]FormattedData!G58*$J$4+$M$4*$J$5+[49]FormattedData!G58^2*$J$6+$M$5*$J$7</f>
        <v>54.840797196564708</v>
      </c>
      <c r="O43" s="39">
        <f>$J$3+[49]FormattedData!H58*$J$4+$M$4*$J$5+[49]FormattedData!H58^2*$J$6+$M$5*$J$7</f>
        <v>52.072111260615245</v>
      </c>
      <c r="P43" s="39">
        <f>$J$3+[49]FormattedData!I58*$J$4+$M$4*$J$5+[49]FormattedData!I58^2*$J$6+$M$5*$J$7</f>
        <v>54.669022381705794</v>
      </c>
      <c r="Q43" s="39">
        <f>$J$3+[49]FormattedData!J58*$J$4+$M$4*$J$5+[49]FormattedData!J58^2*$J$6+$M$5*$J$7</f>
        <v>53.89394342221312</v>
      </c>
      <c r="R43" s="39">
        <f>$J$3+[49]FormattedData!K58*$J$4+$M$4*$J$5+[49]FormattedData!K58^2*$J$6+$M$5*$J$7</f>
        <v>54.411043145382955</v>
      </c>
      <c r="S43" s="39">
        <f>$J$3+[49]FormattedData!L58*$J$4+$M$4*$J$5+[49]FormattedData!L58^2*$J$6+$M$5*$J$7</f>
        <v>51.984892394240958</v>
      </c>
      <c r="T43" s="39">
        <f>$J$3+[49]FormattedData!M58*$J$4+$M$4*$J$5+[49]FormattedData!M58^2*$J$6+$M$5*$J$7</f>
        <v>53.721238699519731</v>
      </c>
      <c r="U43" s="39">
        <f>$J$3+[49]FormattedData!N58*$J$4+$M$4*$J$5+[49]FormattedData!N58^2*$J$6+$M$5*$J$7</f>
        <v>52.159287858451599</v>
      </c>
      <c r="V43" s="39">
        <f>$J$3+[49]FormattedData!O58*$J$4+$M$4*$J$5+[49]FormattedData!O58^2*$J$6+$M$5*$J$7</f>
        <v>55.611691570802193</v>
      </c>
      <c r="W43" s="38">
        <f>AVERAGE(K43:V43)</f>
        <v>53.586532261603132</v>
      </c>
      <c r="X43" s="37">
        <f>STDEV(K43:V43)/SQRT(COUNT(K43:V43))</f>
        <v>0.40363657649647572</v>
      </c>
      <c r="Y43" s="36">
        <f>MIN(K43:V43)</f>
        <v>51.810327855878604</v>
      </c>
      <c r="Z43" s="35">
        <f>QUARTILE(K43:V43,1)</f>
        <v>52.137493708992508</v>
      </c>
      <c r="AA43" s="36">
        <f>MEDIAN(K43:V43)</f>
        <v>53.807591060866429</v>
      </c>
      <c r="AB43" s="35">
        <f>QUARTILE(K43:V43,3)</f>
        <v>54.711966085420521</v>
      </c>
      <c r="AC43" s="35">
        <f>MAX(K43:V43)</f>
        <v>55.611691570802193</v>
      </c>
      <c r="AD43" s="35">
        <f>SKEW(K43:V43)</f>
        <v>-6.5057440168690304E-3</v>
      </c>
      <c r="AE43" s="35">
        <f>KURT(K43:V43)</f>
        <v>-1.7216666371265945</v>
      </c>
    </row>
    <row r="44" spans="2:31" x14ac:dyDescent="0.2">
      <c r="B44" s="50">
        <f>[49]FormattedData!A56</f>
        <v>903</v>
      </c>
      <c r="C44" s="50" t="str">
        <f>VLOOKUP($B44,[49]TrtCodes!$B$11:I99,2)</f>
        <v>DS</v>
      </c>
      <c r="D44" s="50">
        <f>VLOOKUP($B44,[49]TrtCodes!$B$11:J99,3)</f>
        <v>31</v>
      </c>
      <c r="E44" s="50">
        <f>VLOOKUP($B44,[49]TrtCodes!$B$11:K99,4)</f>
        <v>8</v>
      </c>
      <c r="F44" s="50">
        <f>VLOOKUP($B44,[49]TrtCodes!$B$11:L99,5)</f>
        <v>0</v>
      </c>
      <c r="G44" s="50">
        <f>VLOOKUP($B44,[49]TrtCodes!$B$11:M99,6)</f>
        <v>1</v>
      </c>
      <c r="H44" s="50">
        <f>VLOOKUP($B44,[49]TrtCodes!$B$11:N99,7)</f>
        <v>1</v>
      </c>
      <c r="I44" s="50">
        <f>[49]FormattedData!B56</f>
        <v>1</v>
      </c>
      <c r="J44" s="48">
        <f>[49]FormattedData!C56</f>
        <v>13.29</v>
      </c>
      <c r="K44" s="47">
        <f>$J$3+[49]FormattedData!D56*$J$4+$M$4*$J$5+[49]FormattedData!D56^2*$J$6+$M$5*$J$7</f>
        <v>59.498348671977574</v>
      </c>
      <c r="L44" s="47">
        <f>$J$3+[49]FormattedData!E56*$J$4+$M$4*$J$5+[49]FormattedData!E56^2*$J$6+$M$5*$J$7</f>
        <v>59.665304873512341</v>
      </c>
      <c r="M44" s="47">
        <f>$J$3+[49]FormattedData!F56*$J$4+$M$4*$J$5+[49]FormattedData!F56^2*$J$6+$M$5*$J$7</f>
        <v>59.4148071684033</v>
      </c>
      <c r="N44" s="47">
        <f>$J$3+[49]FormattedData!G56*$J$4+$M$4*$J$5+[49]FormattedData!G56^2*$J$6+$M$5*$J$7</f>
        <v>59.080218468726891</v>
      </c>
      <c r="O44" s="47">
        <f>$J$3+[49]FormattedData!H56*$J$4+$M$4*$J$5+[49]FormattedData!H56^2*$J$6+$M$5*$J$7</f>
        <v>59.832092000895365</v>
      </c>
      <c r="P44" s="47">
        <f>$J$3+[49]FormattedData!I56*$J$4+$M$4*$J$5+[49]FormattedData!I56^2*$J$6+$M$5*$J$7</f>
        <v>58.996465622462964</v>
      </c>
      <c r="Q44" s="47">
        <f>$J$3+[49]FormattedData!J56*$J$4+$M$4*$J$5+[49]FormattedData!J56^2*$J$6+$M$5*$J$7</f>
        <v>59.331223396291101</v>
      </c>
      <c r="R44" s="47">
        <f>$J$3+[49]FormattedData!K56*$J$4+$M$4*$J$5+[49]FormattedData!K56^2*$J$6+$M$5*$J$7</f>
        <v>59.247597355640963</v>
      </c>
      <c r="S44" s="47">
        <f>$J$3+[49]FormattedData!L56*$J$4+$M$4*$J$5+[49]FormattedData!L56^2*$J$6+$M$5*$J$7</f>
        <v>59.832092000895365</v>
      </c>
      <c r="T44" s="47">
        <f>$J$3+[49]FormattedData!M56*$J$4+$M$4*$J$5+[49]FormattedData!M56^2*$J$6+$M$5*$J$7</f>
        <v>60.414515487791142</v>
      </c>
      <c r="U44" s="47">
        <f>$J$3+[49]FormattedData!N56*$J$4+$M$4*$J$5+[49]FormattedData!N56^2*$J$6+$M$5*$J$7</f>
        <v>60.414515487791142</v>
      </c>
      <c r="V44" s="47">
        <f>$J$3+[49]FormattedData!O56*$J$4+$M$4*$J$5+[49]FormattedData!O56^2*$J$6+$M$5*$J$7</f>
        <v>59.748719571472819</v>
      </c>
      <c r="W44" s="49">
        <f>AVERAGE(K44:V44)</f>
        <v>59.622991675488414</v>
      </c>
      <c r="X44" s="48">
        <f>STDEV(K44:V44)/SQRT(COUNT(K44:V44))</f>
        <v>0.13286264364687897</v>
      </c>
      <c r="Y44" s="47">
        <f>MIN(K44:V44)</f>
        <v>58.996465622462964</v>
      </c>
      <c r="Z44" s="46">
        <f>QUARTILE(K44:V44,1)</f>
        <v>59.310316886128568</v>
      </c>
      <c r="AA44" s="47">
        <f>MEDIAN(K44:V44)</f>
        <v>59.581826772744961</v>
      </c>
      <c r="AB44" s="46">
        <f>QUARTILE(K44:V44,3)</f>
        <v>59.832092000895365</v>
      </c>
      <c r="AC44" s="46">
        <f>MAX(K44:V44)</f>
        <v>60.414515487791142</v>
      </c>
      <c r="AD44" s="46">
        <f>SKEW(K44:V44)</f>
        <v>0.57917542873779648</v>
      </c>
      <c r="AE44" s="46">
        <f>KURT(K44:V44)</f>
        <v>-0.31373823132257428</v>
      </c>
    </row>
    <row r="45" spans="2:31" x14ac:dyDescent="0.2">
      <c r="B45" s="34">
        <f>[49]FormattedData!A54</f>
        <v>904</v>
      </c>
      <c r="C45" s="34" t="str">
        <f>VLOOKUP($B45,[49]TrtCodes!$B$11:I97,2)</f>
        <v>Early</v>
      </c>
      <c r="D45" s="34">
        <f>VLOOKUP($B45,[49]TrtCodes!$B$11:J97,3)</f>
        <v>21</v>
      </c>
      <c r="E45" s="34">
        <f>VLOOKUP($B45,[49]TrtCodes!$B$11:K97,4)</f>
        <v>3</v>
      </c>
      <c r="F45" s="34">
        <f>VLOOKUP($B45,[49]TrtCodes!$B$11:L97,5)</f>
        <v>2</v>
      </c>
      <c r="G45" s="34">
        <f>VLOOKUP($B45,[49]TrtCodes!$B$11:M97,6)</f>
        <v>2</v>
      </c>
      <c r="H45" s="34">
        <f>VLOOKUP($B45,[49]TrtCodes!$B$11:N97,7)</f>
        <v>1</v>
      </c>
      <c r="I45" s="34">
        <f>[49]FormattedData!B54</f>
        <v>1</v>
      </c>
      <c r="J45" s="37">
        <f>[49]FormattedData!C54</f>
        <v>13.281000000000001</v>
      </c>
      <c r="K45" s="39">
        <f>$J$3+[49]FormattedData!D54*$J$4+$M$4*$J$5+[49]FormattedData!D54^2*$J$6+$M$5*$J$7</f>
        <v>52.681459806173166</v>
      </c>
      <c r="L45" s="39">
        <f>$J$3+[49]FormattedData!E54*$J$4+$M$4*$J$5+[49]FormattedData!E54^2*$J$6+$M$5*$J$7</f>
        <v>54.583071571469446</v>
      </c>
      <c r="M45" s="39">
        <f>$J$3+[49]FormattedData!F54*$J$4+$M$4*$J$5+[49]FormattedData!F54^2*$J$6+$M$5*$J$7</f>
        <v>51.89763125932874</v>
      </c>
      <c r="N45" s="39">
        <f>$J$3+[49]FormattedData!G54*$J$4+$M$4*$J$5+[49]FormattedData!G54^2*$J$6+$M$5*$J$7</f>
        <v>54.669022381705794</v>
      </c>
      <c r="O45" s="39">
        <f>$J$3+[49]FormattedData!H54*$J$4+$M$4*$J$5+[49]FormattedData!H54^2*$J$6+$M$5*$J$7</f>
        <v>52.507571564417695</v>
      </c>
      <c r="P45" s="39">
        <f>$J$3+[49]FormattedData!I54*$J$4+$M$4*$J$5+[49]FormattedData!I54^2*$J$6+$M$5*$J$7</f>
        <v>53.721238699519731</v>
      </c>
      <c r="Q45" s="39">
        <f>$J$3+[49]FormattedData!J54*$J$4+$M$4*$J$5+[49]FormattedData!J54^2*$J$6+$M$5*$J$7</f>
        <v>53.980232380752923</v>
      </c>
      <c r="R45" s="39">
        <f>$J$3+[49]FormattedData!K54*$J$4+$M$4*$J$5+[49]FormattedData!K54^2*$J$6+$M$5*$J$7</f>
        <v>52.855178973776901</v>
      </c>
      <c r="S45" s="39">
        <f>$J$3+[49]FormattedData!L54*$J$4+$M$4*$J$5+[49]FormattedData!L54^2*$J$6+$M$5*$J$7</f>
        <v>51.984892394240958</v>
      </c>
      <c r="T45" s="39">
        <f>$J$3+[49]FormattedData!M54*$J$4+$M$4*$J$5+[49]FormattedData!M54^2*$J$6+$M$5*$J$7</f>
        <v>52.594536819564397</v>
      </c>
      <c r="U45" s="39">
        <f>$J$3+[49]FormattedData!N54*$J$4+$M$4*$J$5+[49]FormattedData!N54^2*$J$6+$M$5*$J$7</f>
        <v>55.098142404818581</v>
      </c>
      <c r="V45" s="39">
        <f>$J$3+[49]FormattedData!O54*$J$4+$M$4*$J$5+[49]FormattedData!O54^2*$J$6+$M$5*$J$7</f>
        <v>53.461864601445157</v>
      </c>
      <c r="W45" s="38">
        <f>AVERAGE(K45:V45)</f>
        <v>53.336236904767787</v>
      </c>
      <c r="X45" s="37">
        <f>STDEV(K45:V45)/SQRT(COUNT(K45:V45))</f>
        <v>0.31148029890129769</v>
      </c>
      <c r="Y45" s="36">
        <f>MIN(K45:V45)</f>
        <v>51.89763125932874</v>
      </c>
      <c r="Z45" s="35">
        <f>QUARTILE(K45:V45,1)</f>
        <v>52.572795505777719</v>
      </c>
      <c r="AA45" s="36">
        <f>MEDIAN(K45:V45)</f>
        <v>53.158521787611029</v>
      </c>
      <c r="AB45" s="35">
        <f>QUARTILE(K45:V45,3)</f>
        <v>54.130942178432051</v>
      </c>
      <c r="AC45" s="35">
        <f>MAX(K45:V45)</f>
        <v>55.098142404818581</v>
      </c>
      <c r="AD45" s="35">
        <f>SKEW(K45:V45)</f>
        <v>0.28546851844076154</v>
      </c>
      <c r="AE45" s="35">
        <f>KURT(K45:V45)</f>
        <v>-1.2394780071312135</v>
      </c>
    </row>
    <row r="46" spans="2:31" x14ac:dyDescent="0.2">
      <c r="B46" s="50">
        <f>[49]FormattedData!A52</f>
        <v>905</v>
      </c>
      <c r="C46" s="50" t="str">
        <f>VLOOKUP($B46,[49]TrtCodes!$B$11:I95,2)</f>
        <v>WS</v>
      </c>
      <c r="D46" s="50">
        <f>VLOOKUP($B46,[49]TrtCodes!$B$11:J95,3)</f>
        <v>32</v>
      </c>
      <c r="E46" s="50">
        <f>VLOOKUP($B46,[49]TrtCodes!$B$11:K95,4)</f>
        <v>9</v>
      </c>
      <c r="F46" s="50">
        <f>VLOOKUP($B46,[49]TrtCodes!$B$11:L95,5)</f>
        <v>0</v>
      </c>
      <c r="G46" s="50">
        <f>VLOOKUP($B46,[49]TrtCodes!$B$11:M95,6)</f>
        <v>1</v>
      </c>
      <c r="H46" s="50">
        <f>VLOOKUP($B46,[49]TrtCodes!$B$11:N95,7)</f>
        <v>2</v>
      </c>
      <c r="I46" s="50">
        <f>[49]FormattedData!B52</f>
        <v>1</v>
      </c>
      <c r="J46" s="48">
        <f>[49]FormattedData!C52</f>
        <v>13.273</v>
      </c>
      <c r="K46" s="47">
        <f>$J$3+[49]FormattedData!D52*$J$4+$M$4*$J$5+[49]FormattedData!D52^2*$J$6+$M$5*$J$7</f>
        <v>35.407160751953938</v>
      </c>
      <c r="L46" s="47">
        <f>$J$3+[49]FormattedData!E52*$J$4+$M$4*$J$5+[49]FormattedData!E52^2*$J$6+$M$5*$J$7</f>
        <v>35.312206743138255</v>
      </c>
      <c r="M46" s="47">
        <f>$J$3+[49]FormattedData!F52*$J$4+$M$4*$J$5+[49]FormattedData!F52^2*$J$6+$M$5*$J$7</f>
        <v>35.027091105463612</v>
      </c>
      <c r="N46" s="47">
        <f>$J$3+[49]FormattedData!G52*$J$4+$M$4*$J$5+[49]FormattedData!G52^2*$J$6+$M$5*$J$7</f>
        <v>34.931968022496214</v>
      </c>
      <c r="O46" s="47">
        <f>$J$3+[49]FormattedData!H52*$J$4+$M$4*$J$5+[49]FormattedData!H52^2*$J$6+$M$5*$J$7</f>
        <v>34.646345162366401</v>
      </c>
      <c r="P46" s="47">
        <f>$J$3+[49]FormattedData!I52*$J$4+$M$4*$J$5+[49]FormattedData!I52^2*$J$6+$M$5*$J$7</f>
        <v>34.551053005247262</v>
      </c>
      <c r="Q46" s="47">
        <f>$J$3+[49]FormattedData!J52*$J$4+$M$4*$J$5+[49]FormattedData!J52^2*$J$6+$M$5*$J$7</f>
        <v>34.931968022496214</v>
      </c>
      <c r="R46" s="47">
        <f>$J$3+[49]FormattedData!K52*$J$4+$M$4*$J$5+[49]FormattedData!K52^2*$J$6+$M$5*$J$7</f>
        <v>34.169461691391426</v>
      </c>
      <c r="S46" s="47">
        <f>$J$3+[49]FormattedData!L52*$J$4+$M$4*$J$5+[49]FormattedData!L52^2*$J$6+$M$5*$J$7</f>
        <v>34.360341885395208</v>
      </c>
      <c r="T46" s="47">
        <f>$J$3+[49]FormattedData!M52*$J$4+$M$4*$J$5+[49]FormattedData!M52^2*$J$6+$M$5*$J$7</f>
        <v>34.931968022496214</v>
      </c>
      <c r="U46" s="47">
        <f>$J$3+[49]FormattedData!N52*$J$4+$M$4*$J$5+[49]FormattedData!N52^2*$J$6+$M$5*$J$7</f>
        <v>34.551053005247262</v>
      </c>
      <c r="V46" s="47">
        <f>$J$3+[49]FormattedData!O52*$J$4+$M$4*$J$5+[49]FormattedData!O52^2*$J$6+$M$5*$J$7</f>
        <v>34.264922922662279</v>
      </c>
      <c r="W46" s="49">
        <f>AVERAGE(K46:V46)</f>
        <v>34.757128361696189</v>
      </c>
      <c r="X46" s="48">
        <f>STDEV(K46:V46)/SQRT(COUNT(K46:V46))</f>
        <v>0.11472977347382325</v>
      </c>
      <c r="Y46" s="47">
        <f>MIN(K46:V46)</f>
        <v>34.169461691391426</v>
      </c>
      <c r="Z46" s="46">
        <f>QUARTILE(K46:V46,1)</f>
        <v>34.503375225284245</v>
      </c>
      <c r="AA46" s="47">
        <f>MEDIAN(K46:V46)</f>
        <v>34.789156592431311</v>
      </c>
      <c r="AB46" s="46">
        <f>QUARTILE(K46:V46,3)</f>
        <v>34.955748793238065</v>
      </c>
      <c r="AC46" s="46">
        <f>MAX(K46:V46)</f>
        <v>35.407160751953938</v>
      </c>
      <c r="AD46" s="46">
        <f>SKEW(K46:V46)</f>
        <v>0.13532273100968903</v>
      </c>
      <c r="AE46" s="46">
        <f>KURT(K46:V46)</f>
        <v>-0.95066293079256026</v>
      </c>
    </row>
    <row r="47" spans="2:31" x14ac:dyDescent="0.2">
      <c r="B47" s="34">
        <f>[49]FormattedData!A50</f>
        <v>906</v>
      </c>
      <c r="C47" s="34" t="str">
        <f>VLOOKUP($B47,[49]TrtCodes!$B$11:I93,2)</f>
        <v>Late</v>
      </c>
      <c r="D47" s="34">
        <f>VLOOKUP($B47,[49]TrtCodes!$B$11:J93,3)</f>
        <v>22</v>
      </c>
      <c r="E47" s="34">
        <f>VLOOKUP($B47,[49]TrtCodes!$B$11:K93,4)</f>
        <v>4</v>
      </c>
      <c r="F47" s="34">
        <f>VLOOKUP($B47,[49]TrtCodes!$B$11:L93,5)</f>
        <v>2</v>
      </c>
      <c r="G47" s="34">
        <f>VLOOKUP($B47,[49]TrtCodes!$B$11:M93,6)</f>
        <v>2</v>
      </c>
      <c r="H47" s="34">
        <f>VLOOKUP($B47,[49]TrtCodes!$B$11:N93,7)</f>
        <v>2</v>
      </c>
      <c r="I47" s="34">
        <f>[49]FormattedData!B50</f>
        <v>1</v>
      </c>
      <c r="J47" s="37">
        <f>[49]FormattedData!C50</f>
        <v>13.263999999999999</v>
      </c>
      <c r="K47" s="39">
        <f>$J$3+[49]FormattedData!D50*$J$4+$M$4*$J$5+[49]FormattedData!D50^2*$J$6+$M$5*$J$7</f>
        <v>51.460691556698698</v>
      </c>
      <c r="L47" s="39">
        <f>$J$3+[49]FormattedData!E50*$J$4+$M$4*$J$5+[49]FormattedData!E50^2*$J$6+$M$5*$J$7</f>
        <v>53.634822935366131</v>
      </c>
      <c r="M47" s="39">
        <f>$J$3+[49]FormattedData!F50*$J$4+$M$4*$J$5+[49]FormattedData!F50^2*$J$6+$M$5*$J$7</f>
        <v>52.941975154771882</v>
      </c>
      <c r="N47" s="39">
        <f>$J$3+[49]FormattedData!G50*$J$4+$M$4*$J$5+[49]FormattedData!G50^2*$J$6+$M$5*$J$7</f>
        <v>54.066479070754781</v>
      </c>
      <c r="O47" s="39">
        <f>$J$3+[49]FormattedData!H50*$J$4+$M$4*$J$5+[49]FormattedData!H50^2*$J$6+$M$5*$J$7</f>
        <v>54.324965529532804</v>
      </c>
      <c r="P47" s="39">
        <f>$J$3+[49]FormattedData!I50*$J$4+$M$4*$J$5+[49]FormattedData!I50^2*$J$6+$M$5*$J$7</f>
        <v>53.721238699519731</v>
      </c>
      <c r="Q47" s="39">
        <f>$J$3+[49]FormattedData!J50*$J$4+$M$4*$J$5+[49]FormattedData!J50^2*$J$6+$M$5*$J$7</f>
        <v>54.840797196564708</v>
      </c>
      <c r="R47" s="39">
        <f>$J$3+[49]FormattedData!K50*$J$4+$M$4*$J$5+[49]FormattedData!K50^2*$J$6+$M$5*$J$7</f>
        <v>53.115440711148032</v>
      </c>
      <c r="S47" s="39">
        <f>$J$3+[49]FormattedData!L50*$J$4+$M$4*$J$5+[49]FormattedData!L50^2*$J$6+$M$5*$J$7</f>
        <v>53.721238699519731</v>
      </c>
      <c r="T47" s="39">
        <f>$J$3+[49]FormattedData!M50*$J$4+$M$4*$J$5+[49]FormattedData!M50^2*$J$6+$M$5*$J$7</f>
        <v>53.721238699519731</v>
      </c>
      <c r="U47" s="39">
        <f>$J$3+[49]FormattedData!N50*$J$4+$M$4*$J$5+[49]FormattedData!N50^2*$J$6+$M$5*$J$7</f>
        <v>53.461864601445157</v>
      </c>
      <c r="V47" s="39">
        <f>$J$3+[49]FormattedData!O50*$J$4+$M$4*$J$5+[49]FormattedData!O50^2*$J$6+$M$5*$J$7</f>
        <v>54.497078492695167</v>
      </c>
      <c r="W47" s="38">
        <f>AVERAGE(K47:V47)</f>
        <v>53.625652612294722</v>
      </c>
      <c r="X47" s="37">
        <f>STDEV(K47:V47)/SQRT(COUNT(K47:V47))</f>
        <v>0.25208876019483567</v>
      </c>
      <c r="Y47" s="36">
        <f>MIN(K47:V47)</f>
        <v>51.460691556698698</v>
      </c>
      <c r="Z47" s="35">
        <f>QUARTILE(K47:V47,1)</f>
        <v>53.375258628870874</v>
      </c>
      <c r="AA47" s="36">
        <f>MEDIAN(K47:V47)</f>
        <v>53.721238699519731</v>
      </c>
      <c r="AB47" s="35">
        <f>QUARTILE(K47:V47,3)</f>
        <v>54.131100685449283</v>
      </c>
      <c r="AC47" s="35">
        <f>MAX(K47:V47)</f>
        <v>54.840797196564708</v>
      </c>
      <c r="AD47" s="35">
        <f>SKEW(K47:V47)</f>
        <v>-1.2642971586901746</v>
      </c>
      <c r="AE47" s="35">
        <f>KURT(K47:V47)</f>
        <v>2.8192519221661483</v>
      </c>
    </row>
    <row r="48" spans="2:31" x14ac:dyDescent="0.2">
      <c r="B48" s="50">
        <f>[49]FormattedData!A48</f>
        <v>907</v>
      </c>
      <c r="C48" s="50" t="str">
        <f>VLOOKUP($B48,[49]TrtCodes!$B$11:I91,2)</f>
        <v>DS</v>
      </c>
      <c r="D48" s="50">
        <f>VLOOKUP($B48,[49]TrtCodes!$B$11:J91,3)</f>
        <v>31</v>
      </c>
      <c r="E48" s="50">
        <f>VLOOKUP($B48,[49]TrtCodes!$B$11:K91,4)</f>
        <v>8</v>
      </c>
      <c r="F48" s="50">
        <f>VLOOKUP($B48,[49]TrtCodes!$B$11:L91,5)</f>
        <v>0</v>
      </c>
      <c r="G48" s="50">
        <f>VLOOKUP($B48,[49]TrtCodes!$B$11:M91,6)</f>
        <v>1</v>
      </c>
      <c r="H48" s="50">
        <f>VLOOKUP($B48,[49]TrtCodes!$B$11:N91,7)</f>
        <v>2</v>
      </c>
      <c r="I48" s="50">
        <f>[49]FormattedData!B48</f>
        <v>1</v>
      </c>
      <c r="J48" s="48">
        <f>[49]FormattedData!C48</f>
        <v>13.255000000000001</v>
      </c>
      <c r="K48" s="47">
        <f>$J$3+[49]FormattedData!D48*$J$4+$M$4*$J$5+[49]FormattedData!D48^2*$J$6+$M$5*$J$7</f>
        <v>60.414515487791142</v>
      </c>
      <c r="L48" s="47">
        <f>$J$3+[49]FormattedData!E48*$J$4+$M$4*$J$5+[49]FormattedData!E48^2*$J$6+$M$5*$J$7</f>
        <v>60.497549768910254</v>
      </c>
      <c r="M48" s="47">
        <f>$J$3+[49]FormattedData!F48*$J$4+$M$4*$J$5+[49]FormattedData!F48^2*$J$6+$M$5*$J$7</f>
        <v>60.66349152553466</v>
      </c>
      <c r="N48" s="47">
        <f>$J$3+[49]FormattedData!G48*$J$4+$M$4*$J$5+[49]FormattedData!G48^2*$J$6+$M$5*$J$7</f>
        <v>59.998710054126668</v>
      </c>
      <c r="O48" s="47">
        <f>$J$3+[49]FormattedData!H48*$J$4+$M$4*$J$5+[49]FormattedData!H48^2*$J$6+$M$5*$J$7</f>
        <v>60.331438938134127</v>
      </c>
      <c r="P48" s="47">
        <f>$J$3+[49]FormattedData!I48*$J$4+$M$4*$J$5+[49]FormattedData!I48^2*$J$6+$M$5*$J$7</f>
        <v>60.08195567793544</v>
      </c>
      <c r="Q48" s="47">
        <f>$J$3+[49]FormattedData!J48*$J$4+$M$4*$J$5+[49]FormattedData!J48^2*$J$6+$M$5*$J$7</f>
        <v>59.498348671977574</v>
      </c>
      <c r="R48" s="47">
        <f>$J$3+[49]FormattedData!K48*$J$4+$M$4*$J$5+[49]FormattedData!K48^2*$J$6+$M$5*$J$7</f>
        <v>59.4148071684033</v>
      </c>
      <c r="S48" s="47">
        <f>$J$3+[49]FormattedData!L48*$J$4+$M$4*$J$5+[49]FormattedData!L48^2*$J$6+$M$5*$J$7</f>
        <v>59.080218468726891</v>
      </c>
      <c r="T48" s="47">
        <f>$J$3+[49]FormattedData!M48*$J$4+$M$4*$J$5+[49]FormattedData!M48^2*$J$6+$M$5*$J$7</f>
        <v>59.665304873512341</v>
      </c>
      <c r="U48" s="47">
        <f>$J$3+[49]FormattedData!N48*$J$4+$M$4*$J$5+[49]FormattedData!N48^2*$J$6+$M$5*$J$7</f>
        <v>59.665304873512341</v>
      </c>
      <c r="V48" s="47">
        <f>$J$3+[49]FormattedData!O48*$J$4+$M$4*$J$5+[49]FormattedData!O48^2*$J$6+$M$5*$J$7</f>
        <v>59.581847907013916</v>
      </c>
      <c r="W48" s="49">
        <f>AVERAGE(K48:V48)</f>
        <v>59.907791117964877</v>
      </c>
      <c r="X48" s="48">
        <f>STDEV(K48:V48)/SQRT(COUNT(K48:V48))</f>
        <v>0.14336687143503318</v>
      </c>
      <c r="Y48" s="47">
        <f>MIN(K48:V48)</f>
        <v>59.080218468726891</v>
      </c>
      <c r="Z48" s="46">
        <f>QUARTILE(K48:V48,1)</f>
        <v>59.560973098254834</v>
      </c>
      <c r="AA48" s="47">
        <f>MEDIAN(K48:V48)</f>
        <v>59.832007463819508</v>
      </c>
      <c r="AB48" s="46">
        <f>QUARTILE(K48:V48,3)</f>
        <v>60.352208075548383</v>
      </c>
      <c r="AC48" s="46">
        <f>MAX(K48:V48)</f>
        <v>60.66349152553466</v>
      </c>
      <c r="AD48" s="46">
        <f>SKEW(K48:V48)</f>
        <v>2.7158271484566964E-2</v>
      </c>
      <c r="AE48" s="46">
        <f>KURT(K48:V48)</f>
        <v>-1.1305866847777728</v>
      </c>
    </row>
    <row r="49" spans="2:31" ht="13.5" thickBot="1" x14ac:dyDescent="0.25">
      <c r="B49" s="45">
        <f>[49]FormattedData!A46</f>
        <v>908</v>
      </c>
      <c r="C49" s="45" t="str">
        <f>VLOOKUP($B49,[49]TrtCodes!$B$11:I89,2)</f>
        <v>Early</v>
      </c>
      <c r="D49" s="45">
        <f>VLOOKUP($B49,[49]TrtCodes!$B$11:J89,3)</f>
        <v>21</v>
      </c>
      <c r="E49" s="45">
        <f>VLOOKUP($B49,[49]TrtCodes!$B$11:K89,4)</f>
        <v>3</v>
      </c>
      <c r="F49" s="45">
        <f>VLOOKUP($B49,[49]TrtCodes!$B$11:L89,5)</f>
        <v>2</v>
      </c>
      <c r="G49" s="45">
        <f>VLOOKUP($B49,[49]TrtCodes!$B$11:M89,6)</f>
        <v>2</v>
      </c>
      <c r="H49" s="45">
        <f>VLOOKUP($B49,[49]TrtCodes!$B$11:N89,7)</f>
        <v>2</v>
      </c>
      <c r="I49" s="45">
        <f>[49]FormattedData!B46</f>
        <v>1</v>
      </c>
      <c r="J49" s="42">
        <f>[49]FormattedData!C46</f>
        <v>13.247</v>
      </c>
      <c r="K49" s="44">
        <f>$J$3+[49]FormattedData!D46*$J$4+$M$4*$J$5+[49]FormattedData!D46^2*$J$6+$M$5*$J$7</f>
        <v>50.847200694423535</v>
      </c>
      <c r="L49" s="44">
        <f>$J$3+[49]FormattedData!E46*$J$4+$M$4*$J$5+[49]FormattedData!E46^2*$J$6+$M$5*$J$7</f>
        <v>55.183839603827344</v>
      </c>
      <c r="M49" s="44">
        <f>$J$3+[49]FormattedData!F46*$J$4+$M$4*$J$5+[49]FormattedData!F46^2*$J$6+$M$5*$J$7</f>
        <v>52.594536819564397</v>
      </c>
      <c r="N49" s="44">
        <f>$J$3+[49]FormattedData!G46*$J$4+$M$4*$J$5+[49]FormattedData!G46^2*$J$6+$M$5*$J$7</f>
        <v>54.238845645144735</v>
      </c>
      <c r="O49" s="44">
        <f>$J$3+[49]FormattedData!H46*$J$4+$M$4*$J$5+[49]FormattedData!H46^2*$J$6+$M$5*$J$7</f>
        <v>54.238845645144735</v>
      </c>
      <c r="P49" s="44">
        <f>$J$3+[49]FormattedData!I46*$J$4+$M$4*$J$5+[49]FormattedData!I46^2*$J$6+$M$5*$J$7</f>
        <v>51.722982183890522</v>
      </c>
      <c r="Q49" s="44">
        <f>$J$3+[49]FormattedData!J46*$J$4+$M$4*$J$5+[49]FormattedData!J46^2*$J$6+$M$5*$J$7</f>
        <v>53.634822935366131</v>
      </c>
      <c r="R49" s="44">
        <f>$J$3+[49]FormattedData!K46*$J$4+$M$4*$J$5+[49]FormattedData!K46^2*$J$6+$M$5*$J$7</f>
        <v>52.072111260615245</v>
      </c>
      <c r="S49" s="44">
        <f>$J$3+[49]FormattedData!L46*$J$4+$M$4*$J$5+[49]FormattedData!L46^2*$J$6+$M$5*$J$7</f>
        <v>52.507571564417695</v>
      </c>
      <c r="T49" s="44">
        <f>$J$3+[49]FormattedData!M46*$J$4+$M$4*$J$5+[49]FormattedData!M46^2*$J$6+$M$5*$J$7</f>
        <v>54.152683492218728</v>
      </c>
      <c r="U49" s="44">
        <f>$J$3+[49]FormattedData!N46*$J$4+$M$4*$J$5+[49]FormattedData!N46^2*$J$6+$M$5*$J$7</f>
        <v>52.507571564417695</v>
      </c>
      <c r="V49" s="44">
        <f>$J$3+[49]FormattedData!O46*$J$4+$M$4*$J$5+[49]FormattedData!O46^2*$J$6+$M$5*$J$7</f>
        <v>53.375322031677776</v>
      </c>
      <c r="W49" s="43">
        <f>AVERAGE(K49:V49)</f>
        <v>53.089694453392383</v>
      </c>
      <c r="X49" s="42">
        <f>STDEV(K49:V49)/SQRT(COUNT(K49:V49))</f>
        <v>0.36296658733675385</v>
      </c>
      <c r="Y49" s="41">
        <f>MIN(K49:V49)</f>
        <v>50.847200694423535</v>
      </c>
      <c r="Z49" s="40">
        <f>QUARTILE(K49:V49,1)</f>
        <v>52.398706488467084</v>
      </c>
      <c r="AA49" s="41">
        <f>MEDIAN(K49:V49)</f>
        <v>52.98492942562109</v>
      </c>
      <c r="AB49" s="40">
        <f>QUARTILE(K49:V49,3)</f>
        <v>54.174224030450233</v>
      </c>
      <c r="AC49" s="40">
        <f>MAX(K49:V49)</f>
        <v>55.183839603827344</v>
      </c>
      <c r="AD49" s="40">
        <f>SKEW(K49:V49)</f>
        <v>-9.8472232661656084E-2</v>
      </c>
      <c r="AE49" s="40">
        <f>KURT(K49:V49)</f>
        <v>-0.61425054948810409</v>
      </c>
    </row>
    <row r="50" spans="2:31" ht="13.5" thickTop="1" x14ac:dyDescent="0.2">
      <c r="B50" s="34">
        <f>[49]FormattedData!A29</f>
        <v>0</v>
      </c>
      <c r="C50" s="34" t="e">
        <f>VLOOKUP($B50,[49]TrtCodes!$B$11:I72,2)</f>
        <v>#N/A</v>
      </c>
      <c r="D50" s="34" t="e">
        <f>VLOOKUP($B50,[49]TrtCodes!$B$11:J72,3)</f>
        <v>#N/A</v>
      </c>
      <c r="E50" s="34" t="e">
        <f>VLOOKUP($B50,[49]TrtCodes!$B$11:K72,4)</f>
        <v>#N/A</v>
      </c>
      <c r="F50" s="34" t="e">
        <f>VLOOKUP($B50,[49]TrtCodes!$B$11:L72,5)</f>
        <v>#N/A</v>
      </c>
      <c r="G50" s="34" t="e">
        <f>VLOOKUP($B50,[49]TrtCodes!$B$11:M72,6)</f>
        <v>#N/A</v>
      </c>
      <c r="H50" s="34" t="e">
        <f>VLOOKUP($B50,[49]TrtCodes!$B$11:N72,7)</f>
        <v>#N/A</v>
      </c>
      <c r="I50" s="34">
        <f>[49]FormattedData!B29</f>
        <v>0</v>
      </c>
      <c r="J50" s="37">
        <f>[49]FormattedData!C29</f>
        <v>0</v>
      </c>
      <c r="K50" s="39">
        <f>$J$3+[49]FormattedData!D29*$J$4+$M$4*$J$5+[49]FormattedData!D29^2*$J$6+$M$5*$J$7</f>
        <v>-0.6278315504005898</v>
      </c>
      <c r="L50" s="39">
        <f>$J$3+[49]FormattedData!E29*$J$4+$M$4*$J$5+[49]FormattedData!E29^2*$J$6+$M$5*$J$7</f>
        <v>-0.6278315504005898</v>
      </c>
      <c r="M50" s="39">
        <f>$J$3+[49]FormattedData!F29*$J$4+$M$4*$J$5+[49]FormattedData!F29^2*$J$6+$M$5*$J$7</f>
        <v>-0.6278315504005898</v>
      </c>
      <c r="N50" s="39">
        <f>$J$3+[49]FormattedData!G29*$J$4+$M$4*$J$5+[49]FormattedData!G29^2*$J$6+$M$5*$J$7</f>
        <v>-0.6278315504005898</v>
      </c>
      <c r="O50" s="39">
        <f>$J$3+[49]FormattedData!H29*$J$4+$M$4*$J$5+[49]FormattedData!H29^2*$J$6+$M$5*$J$7</f>
        <v>-0.6278315504005898</v>
      </c>
      <c r="P50" s="39">
        <f>$J$3+[49]FormattedData!I29*$J$4+$M$4*$J$5+[49]FormattedData!I29^2*$J$6+$M$5*$J$7</f>
        <v>-0.6278315504005898</v>
      </c>
      <c r="Q50" s="39">
        <f>$J$3+[49]FormattedData!J29*$J$4+$M$4*$J$5+[49]FormattedData!J29^2*$J$6+$M$5*$J$7</f>
        <v>-0.6278315504005898</v>
      </c>
      <c r="R50" s="39">
        <f>$J$3+[49]FormattedData!K29*$J$4+$M$4*$J$5+[49]FormattedData!K29^2*$J$6+$M$5*$J$7</f>
        <v>-0.6278315504005898</v>
      </c>
      <c r="S50" s="39">
        <f>$J$3+[49]FormattedData!L29*$J$4+$M$4*$J$5+[49]FormattedData!L29^2*$J$6+$M$5*$J$7</f>
        <v>-0.6278315504005898</v>
      </c>
      <c r="T50" s="39">
        <f>$J$3+[49]FormattedData!M29*$J$4+$M$4*$J$5+[49]FormattedData!M29^2*$J$6+$M$5*$J$7</f>
        <v>-0.6278315504005898</v>
      </c>
      <c r="U50" s="39">
        <f>$J$3+[49]FormattedData!N29*$J$4+$M$4*$J$5+[49]FormattedData!N29^2*$J$6+$M$5*$J$7</f>
        <v>-0.6278315504005898</v>
      </c>
      <c r="V50" s="39">
        <f>$J$3+[49]FormattedData!O29*$J$4+$M$4*$J$5+[49]FormattedData!O29^2*$J$6+$M$5*$J$7</f>
        <v>-0.6278315504005898</v>
      </c>
      <c r="W50" s="38">
        <f>AVERAGE(K50:V50)</f>
        <v>-0.62783155040058969</v>
      </c>
      <c r="X50" s="37">
        <f>STDEV(K50:V50)/SQRT(COUNT(K50:V50))</f>
        <v>3.3474483693592253E-17</v>
      </c>
      <c r="Y50" s="36">
        <f>MIN(K50:V50)</f>
        <v>-0.6278315504005898</v>
      </c>
      <c r="Z50" s="35">
        <f>QUARTILE(K50:V50,1)</f>
        <v>-0.6278315504005898</v>
      </c>
      <c r="AA50" s="36">
        <f>MEDIAN(K50:V50)</f>
        <v>-0.6278315504005898</v>
      </c>
      <c r="AB50" s="35">
        <f>QUARTILE(K50:V50,3)</f>
        <v>-0.6278315504005898</v>
      </c>
      <c r="AC50" s="35">
        <f>MAX(K50:V50)</f>
        <v>-0.6278315504005898</v>
      </c>
      <c r="AD50" s="35">
        <f>SKEW(K50:V50)</f>
        <v>-1.1489125293076057</v>
      </c>
      <c r="AE50" s="35">
        <f>KURT(K50:V50)</f>
        <v>-2.4444444444444446</v>
      </c>
    </row>
    <row r="51" spans="2:31" x14ac:dyDescent="0.2">
      <c r="B51" s="34">
        <f>[49]FormattedData!A27</f>
        <v>0</v>
      </c>
      <c r="C51" s="34" t="e">
        <f>VLOOKUP($B51,[49]TrtCodes!$B$11:I70,2)</f>
        <v>#N/A</v>
      </c>
      <c r="D51" s="34" t="e">
        <f>VLOOKUP($B51,[49]TrtCodes!$B$11:J70,3)</f>
        <v>#N/A</v>
      </c>
      <c r="E51" s="34" t="e">
        <f>VLOOKUP($B51,[49]TrtCodes!$B$11:K70,4)</f>
        <v>#N/A</v>
      </c>
      <c r="F51" s="34" t="e">
        <f>VLOOKUP($B51,[49]TrtCodes!$B$11:L70,5)</f>
        <v>#N/A</v>
      </c>
      <c r="G51" s="34" t="e">
        <f>VLOOKUP($B51,[49]TrtCodes!$B$11:M70,6)</f>
        <v>#N/A</v>
      </c>
      <c r="H51" s="34" t="e">
        <f>VLOOKUP($B51,[49]TrtCodes!$B$11:N70,7)</f>
        <v>#N/A</v>
      </c>
      <c r="I51" s="34">
        <f>[49]FormattedData!B27</f>
        <v>0</v>
      </c>
      <c r="J51" s="37">
        <f>[49]FormattedData!C27</f>
        <v>0</v>
      </c>
      <c r="K51" s="39">
        <f>$J$3+[49]FormattedData!D27*$J$4+$M$4*$J$5+[49]FormattedData!D27^2*$J$6+$M$5*$J$7</f>
        <v>-0.6278315504005898</v>
      </c>
      <c r="L51" s="39">
        <f>$J$3+[49]FormattedData!E27*$J$4+$M$4*$J$5+[49]FormattedData!E27^2*$J$6+$M$5*$J$7</f>
        <v>-0.6278315504005898</v>
      </c>
      <c r="M51" s="39">
        <f>$J$3+[49]FormattedData!F27*$J$4+$M$4*$J$5+[49]FormattedData!F27^2*$J$6+$M$5*$J$7</f>
        <v>-0.6278315504005898</v>
      </c>
      <c r="N51" s="39">
        <f>$J$3+[49]FormattedData!G27*$J$4+$M$4*$J$5+[49]FormattedData!G27^2*$J$6+$M$5*$J$7</f>
        <v>-0.6278315504005898</v>
      </c>
      <c r="O51" s="39">
        <f>$J$3+[49]FormattedData!H27*$J$4+$M$4*$J$5+[49]FormattedData!H27^2*$J$6+$M$5*$J$7</f>
        <v>-0.6278315504005898</v>
      </c>
      <c r="P51" s="39">
        <f>$J$3+[49]FormattedData!I27*$J$4+$M$4*$J$5+[49]FormattedData!I27^2*$J$6+$M$5*$J$7</f>
        <v>-0.6278315504005898</v>
      </c>
      <c r="Q51" s="39">
        <f>$J$3+[49]FormattedData!J27*$J$4+$M$4*$J$5+[49]FormattedData!J27^2*$J$6+$M$5*$J$7</f>
        <v>-0.6278315504005898</v>
      </c>
      <c r="R51" s="39">
        <f>$J$3+[49]FormattedData!K27*$J$4+$M$4*$J$5+[49]FormattedData!K27^2*$J$6+$M$5*$J$7</f>
        <v>-0.6278315504005898</v>
      </c>
      <c r="S51" s="39">
        <f>$J$3+[49]FormattedData!L27*$J$4+$M$4*$J$5+[49]FormattedData!L27^2*$J$6+$M$5*$J$7</f>
        <v>-0.6278315504005898</v>
      </c>
      <c r="T51" s="39">
        <f>$J$3+[49]FormattedData!M27*$J$4+$M$4*$J$5+[49]FormattedData!M27^2*$J$6+$M$5*$J$7</f>
        <v>-0.6278315504005898</v>
      </c>
      <c r="U51" s="39">
        <f>$J$3+[49]FormattedData!N27*$J$4+$M$4*$J$5+[49]FormattedData!N27^2*$J$6+$M$5*$J$7</f>
        <v>-0.6278315504005898</v>
      </c>
      <c r="V51" s="39">
        <f>$J$3+[49]FormattedData!O27*$J$4+$M$4*$J$5+[49]FormattedData!O27^2*$J$6+$M$5*$J$7</f>
        <v>-0.6278315504005898</v>
      </c>
      <c r="W51" s="38">
        <f>AVERAGE(K51:V51)</f>
        <v>-0.62783155040058969</v>
      </c>
      <c r="X51" s="37">
        <f>STDEV(K51:V51)/SQRT(COUNT(K51:V51))</f>
        <v>3.3474483693592253E-17</v>
      </c>
      <c r="Y51" s="36">
        <f>MIN(K51:V51)</f>
        <v>-0.6278315504005898</v>
      </c>
      <c r="Z51" s="35">
        <f>QUARTILE(K51:V51,1)</f>
        <v>-0.6278315504005898</v>
      </c>
      <c r="AA51" s="36">
        <f>MEDIAN(K51:V51)</f>
        <v>-0.6278315504005898</v>
      </c>
      <c r="AB51" s="35">
        <f>QUARTILE(K51:V51,3)</f>
        <v>-0.6278315504005898</v>
      </c>
      <c r="AC51" s="35">
        <f>MAX(K51:V51)</f>
        <v>-0.6278315504005898</v>
      </c>
      <c r="AD51" s="35">
        <f>SKEW(K51:V51)</f>
        <v>-1.1489125293076057</v>
      </c>
      <c r="AE51" s="35">
        <f>KURT(K51:V51)</f>
        <v>-2.4444444444444446</v>
      </c>
    </row>
    <row r="52" spans="2:31" x14ac:dyDescent="0.2">
      <c r="B52" s="34">
        <f>[49]FormattedData!A25</f>
        <v>0</v>
      </c>
      <c r="C52" s="34" t="e">
        <f>VLOOKUP($B52,[49]TrtCodes!$B$11:I68,2)</f>
        <v>#N/A</v>
      </c>
      <c r="D52" s="34" t="e">
        <f>VLOOKUP($B52,[49]TrtCodes!$B$11:J68,3)</f>
        <v>#N/A</v>
      </c>
      <c r="E52" s="34" t="e">
        <f>VLOOKUP($B52,[49]TrtCodes!$B$11:K68,4)</f>
        <v>#N/A</v>
      </c>
      <c r="F52" s="34" t="e">
        <f>VLOOKUP($B52,[49]TrtCodes!$B$11:L68,5)</f>
        <v>#N/A</v>
      </c>
      <c r="G52" s="34" t="e">
        <f>VLOOKUP($B52,[49]TrtCodes!$B$11:M68,6)</f>
        <v>#N/A</v>
      </c>
      <c r="H52" s="34" t="e">
        <f>VLOOKUP($B52,[49]TrtCodes!$B$11:N68,7)</f>
        <v>#N/A</v>
      </c>
      <c r="I52" s="34">
        <f>[49]FormattedData!B25</f>
        <v>0</v>
      </c>
      <c r="J52" s="37">
        <f>[49]FormattedData!C25</f>
        <v>0</v>
      </c>
      <c r="K52" s="39">
        <f>$J$3+[49]FormattedData!D25*$J$4+$M$4*$J$5+[49]FormattedData!D25^2*$J$6+$M$5*$J$7</f>
        <v>-0.6278315504005898</v>
      </c>
      <c r="L52" s="39">
        <f>$J$3+[49]FormattedData!E25*$J$4+$M$4*$J$5+[49]FormattedData!E25^2*$J$6+$M$5*$J$7</f>
        <v>-0.6278315504005898</v>
      </c>
      <c r="M52" s="39">
        <f>$J$3+[49]FormattedData!F25*$J$4+$M$4*$J$5+[49]FormattedData!F25^2*$J$6+$M$5*$J$7</f>
        <v>-0.6278315504005898</v>
      </c>
      <c r="N52" s="39">
        <f>$J$3+[49]FormattedData!G25*$J$4+$M$4*$J$5+[49]FormattedData!G25^2*$J$6+$M$5*$J$7</f>
        <v>-0.6278315504005898</v>
      </c>
      <c r="O52" s="39">
        <f>$J$3+[49]FormattedData!H25*$J$4+$M$4*$J$5+[49]FormattedData!H25^2*$J$6+$M$5*$J$7</f>
        <v>-0.6278315504005898</v>
      </c>
      <c r="P52" s="39">
        <f>$J$3+[49]FormattedData!I25*$J$4+$M$4*$J$5+[49]FormattedData!I25^2*$J$6+$M$5*$J$7</f>
        <v>-0.6278315504005898</v>
      </c>
      <c r="Q52" s="39">
        <f>$J$3+[49]FormattedData!J25*$J$4+$M$4*$J$5+[49]FormattedData!J25^2*$J$6+$M$5*$J$7</f>
        <v>-0.6278315504005898</v>
      </c>
      <c r="R52" s="39">
        <f>$J$3+[49]FormattedData!K25*$J$4+$M$4*$J$5+[49]FormattedData!K25^2*$J$6+$M$5*$J$7</f>
        <v>-0.6278315504005898</v>
      </c>
      <c r="S52" s="39">
        <f>$J$3+[49]FormattedData!L25*$J$4+$M$4*$J$5+[49]FormattedData!L25^2*$J$6+$M$5*$J$7</f>
        <v>-0.6278315504005898</v>
      </c>
      <c r="T52" s="39">
        <f>$J$3+[49]FormattedData!M25*$J$4+$M$4*$J$5+[49]FormattedData!M25^2*$J$6+$M$5*$J$7</f>
        <v>-0.6278315504005898</v>
      </c>
      <c r="U52" s="39">
        <f>$J$3+[49]FormattedData!N25*$J$4+$M$4*$J$5+[49]FormattedData!N25^2*$J$6+$M$5*$J$7</f>
        <v>-0.6278315504005898</v>
      </c>
      <c r="V52" s="39">
        <f>$J$3+[49]FormattedData!O25*$J$4+$M$4*$J$5+[49]FormattedData!O25^2*$J$6+$M$5*$J$7</f>
        <v>-0.6278315504005898</v>
      </c>
      <c r="W52" s="38">
        <f>AVERAGE(K52:V52)</f>
        <v>-0.62783155040058969</v>
      </c>
      <c r="X52" s="37">
        <f>STDEV(K52:V52)/SQRT(COUNT(K52:V52))</f>
        <v>3.3474483693592253E-17</v>
      </c>
      <c r="Y52" s="36">
        <f>MIN(K52:V52)</f>
        <v>-0.6278315504005898</v>
      </c>
      <c r="Z52" s="35">
        <f>QUARTILE(K52:V52,1)</f>
        <v>-0.6278315504005898</v>
      </c>
      <c r="AA52" s="36">
        <f>MEDIAN(K52:V52)</f>
        <v>-0.6278315504005898</v>
      </c>
      <c r="AB52" s="35">
        <f>QUARTILE(K52:V52,3)</f>
        <v>-0.6278315504005898</v>
      </c>
      <c r="AC52" s="35">
        <f>MAX(K52:V52)</f>
        <v>-0.6278315504005898</v>
      </c>
      <c r="AD52" s="35">
        <f>SKEW(K52:V52)</f>
        <v>-1.1489125293076057</v>
      </c>
      <c r="AE52" s="35">
        <f>KURT(K52:V52)</f>
        <v>-2.4444444444444446</v>
      </c>
    </row>
    <row r="53" spans="2:31" x14ac:dyDescent="0.2">
      <c r="B53" s="34">
        <f>[49]FormattedData!A23</f>
        <v>0</v>
      </c>
      <c r="C53" s="34" t="e">
        <f>VLOOKUP($B53,[49]TrtCodes!$B$11:I66,2)</f>
        <v>#N/A</v>
      </c>
      <c r="D53" s="34" t="e">
        <f>VLOOKUP($B53,[49]TrtCodes!$B$11:J66,3)</f>
        <v>#N/A</v>
      </c>
      <c r="E53" s="34" t="e">
        <f>VLOOKUP($B53,[49]TrtCodes!$B$11:K66,4)</f>
        <v>#N/A</v>
      </c>
      <c r="F53" s="34" t="e">
        <f>VLOOKUP($B53,[49]TrtCodes!$B$11:L66,5)</f>
        <v>#N/A</v>
      </c>
      <c r="G53" s="34" t="e">
        <f>VLOOKUP($B53,[49]TrtCodes!$B$11:M66,6)</f>
        <v>#N/A</v>
      </c>
      <c r="H53" s="34" t="e">
        <f>VLOOKUP($B53,[49]TrtCodes!$B$11:N66,7)</f>
        <v>#N/A</v>
      </c>
      <c r="I53" s="34">
        <f>[49]FormattedData!B23</f>
        <v>0</v>
      </c>
      <c r="J53" s="37">
        <f>[49]FormattedData!C23</f>
        <v>0</v>
      </c>
      <c r="K53" s="39">
        <f>$J$3+[49]FormattedData!D23*$J$4+$M$4*$J$5+[49]FormattedData!D23^2*$J$6+$M$5*$J$7</f>
        <v>-0.6278315504005898</v>
      </c>
      <c r="L53" s="39">
        <f>$J$3+[49]FormattedData!E23*$J$4+$M$4*$J$5+[49]FormattedData!E23^2*$J$6+$M$5*$J$7</f>
        <v>-0.6278315504005898</v>
      </c>
      <c r="M53" s="39">
        <f>$J$3+[49]FormattedData!F23*$J$4+$M$4*$J$5+[49]FormattedData!F23^2*$J$6+$M$5*$J$7</f>
        <v>-0.6278315504005898</v>
      </c>
      <c r="N53" s="39">
        <f>$J$3+[49]FormattedData!G23*$J$4+$M$4*$J$5+[49]FormattedData!G23^2*$J$6+$M$5*$J$7</f>
        <v>-0.6278315504005898</v>
      </c>
      <c r="O53" s="39">
        <f>$J$3+[49]FormattedData!H23*$J$4+$M$4*$J$5+[49]FormattedData!H23^2*$J$6+$M$5*$J$7</f>
        <v>-0.6278315504005898</v>
      </c>
      <c r="P53" s="39">
        <f>$J$3+[49]FormattedData!I23*$J$4+$M$4*$J$5+[49]FormattedData!I23^2*$J$6+$M$5*$J$7</f>
        <v>-0.6278315504005898</v>
      </c>
      <c r="Q53" s="39">
        <f>$J$3+[49]FormattedData!J23*$J$4+$M$4*$J$5+[49]FormattedData!J23^2*$J$6+$M$5*$J$7</f>
        <v>-0.6278315504005898</v>
      </c>
      <c r="R53" s="39">
        <f>$J$3+[49]FormattedData!K23*$J$4+$M$4*$J$5+[49]FormattedData!K23^2*$J$6+$M$5*$J$7</f>
        <v>-0.6278315504005898</v>
      </c>
      <c r="S53" s="39">
        <f>$J$3+[49]FormattedData!L23*$J$4+$M$4*$J$5+[49]FormattedData!L23^2*$J$6+$M$5*$J$7</f>
        <v>-0.6278315504005898</v>
      </c>
      <c r="T53" s="39">
        <f>$J$3+[49]FormattedData!M23*$J$4+$M$4*$J$5+[49]FormattedData!M23^2*$J$6+$M$5*$J$7</f>
        <v>-0.6278315504005898</v>
      </c>
      <c r="U53" s="39">
        <f>$J$3+[49]FormattedData!N23*$J$4+$M$4*$J$5+[49]FormattedData!N23^2*$J$6+$M$5*$J$7</f>
        <v>-0.6278315504005898</v>
      </c>
      <c r="V53" s="39">
        <f>$J$3+[49]FormattedData!O23*$J$4+$M$4*$J$5+[49]FormattedData!O23^2*$J$6+$M$5*$J$7</f>
        <v>-0.6278315504005898</v>
      </c>
      <c r="W53" s="38">
        <f>AVERAGE(K53:V53)</f>
        <v>-0.62783155040058969</v>
      </c>
      <c r="X53" s="37">
        <f>STDEV(K53:V53)/SQRT(COUNT(K53:V53))</f>
        <v>3.3474483693592253E-17</v>
      </c>
      <c r="Y53" s="36">
        <f>MIN(K53:V53)</f>
        <v>-0.6278315504005898</v>
      </c>
      <c r="Z53" s="35">
        <f>QUARTILE(K53:V53,1)</f>
        <v>-0.6278315504005898</v>
      </c>
      <c r="AA53" s="36">
        <f>MEDIAN(K53:V53)</f>
        <v>-0.6278315504005898</v>
      </c>
      <c r="AB53" s="35">
        <f>QUARTILE(K53:V53,3)</f>
        <v>-0.6278315504005898</v>
      </c>
      <c r="AC53" s="35">
        <f>MAX(K53:V53)</f>
        <v>-0.6278315504005898</v>
      </c>
      <c r="AD53" s="35">
        <f>SKEW(K53:V53)</f>
        <v>-1.1489125293076057</v>
      </c>
      <c r="AE53" s="35">
        <f>KURT(K53:V53)</f>
        <v>-2.4444444444444446</v>
      </c>
    </row>
    <row r="54" spans="2:31" x14ac:dyDescent="0.2">
      <c r="B54" s="34">
        <f>[49]FormattedData!A21</f>
        <v>0</v>
      </c>
      <c r="C54" s="34" t="e">
        <f>VLOOKUP($B54,[49]TrtCodes!$B$11:I64,2)</f>
        <v>#N/A</v>
      </c>
      <c r="D54" s="34" t="e">
        <f>VLOOKUP($B54,[49]TrtCodes!$B$11:J64,3)</f>
        <v>#N/A</v>
      </c>
      <c r="E54" s="34" t="e">
        <f>VLOOKUP($B54,[49]TrtCodes!$B$11:K64,4)</f>
        <v>#N/A</v>
      </c>
      <c r="F54" s="34" t="e">
        <f>VLOOKUP($B54,[49]TrtCodes!$B$11:L64,5)</f>
        <v>#N/A</v>
      </c>
      <c r="G54" s="34" t="e">
        <f>VLOOKUP($B54,[49]TrtCodes!$B$11:M64,6)</f>
        <v>#N/A</v>
      </c>
      <c r="H54" s="34" t="e">
        <f>VLOOKUP($B54,[49]TrtCodes!$B$11:N64,7)</f>
        <v>#N/A</v>
      </c>
      <c r="I54" s="34">
        <f>[49]FormattedData!B21</f>
        <v>0</v>
      </c>
      <c r="J54" s="37">
        <f>[49]FormattedData!C21</f>
        <v>0</v>
      </c>
      <c r="K54" s="39">
        <f>$J$3+[49]FormattedData!D21*$J$4+$M$4*$J$5+[49]FormattedData!D21^2*$J$6+$M$5*$J$7</f>
        <v>-0.6278315504005898</v>
      </c>
      <c r="L54" s="39">
        <f>$J$3+[49]FormattedData!E21*$J$4+$M$4*$J$5+[49]FormattedData!E21^2*$J$6+$M$5*$J$7</f>
        <v>-0.6278315504005898</v>
      </c>
      <c r="M54" s="39">
        <f>$J$3+[49]FormattedData!F21*$J$4+$M$4*$J$5+[49]FormattedData!F21^2*$J$6+$M$5*$J$7</f>
        <v>-0.6278315504005898</v>
      </c>
      <c r="N54" s="39">
        <f>$J$3+[49]FormattedData!G21*$J$4+$M$4*$J$5+[49]FormattedData!G21^2*$J$6+$M$5*$J$7</f>
        <v>-0.6278315504005898</v>
      </c>
      <c r="O54" s="39">
        <f>$J$3+[49]FormattedData!H21*$J$4+$M$4*$J$5+[49]FormattedData!H21^2*$J$6+$M$5*$J$7</f>
        <v>-0.6278315504005898</v>
      </c>
      <c r="P54" s="39">
        <f>$J$3+[49]FormattedData!I21*$J$4+$M$4*$J$5+[49]FormattedData!I21^2*$J$6+$M$5*$J$7</f>
        <v>-0.6278315504005898</v>
      </c>
      <c r="Q54" s="39">
        <f>$J$3+[49]FormattedData!J21*$J$4+$M$4*$J$5+[49]FormattedData!J21^2*$J$6+$M$5*$J$7</f>
        <v>-0.6278315504005898</v>
      </c>
      <c r="R54" s="39">
        <f>$J$3+[49]FormattedData!K21*$J$4+$M$4*$J$5+[49]FormattedData!K21^2*$J$6+$M$5*$J$7</f>
        <v>-0.6278315504005898</v>
      </c>
      <c r="S54" s="39">
        <f>$J$3+[49]FormattedData!L21*$J$4+$M$4*$J$5+[49]FormattedData!L21^2*$J$6+$M$5*$J$7</f>
        <v>-0.6278315504005898</v>
      </c>
      <c r="T54" s="39">
        <f>$J$3+[49]FormattedData!M21*$J$4+$M$4*$J$5+[49]FormattedData!M21^2*$J$6+$M$5*$J$7</f>
        <v>-0.6278315504005898</v>
      </c>
      <c r="U54" s="39">
        <f>$J$3+[49]FormattedData!N21*$J$4+$M$4*$J$5+[49]FormattedData!N21^2*$J$6+$M$5*$J$7</f>
        <v>-0.6278315504005898</v>
      </c>
      <c r="V54" s="39">
        <f>$J$3+[49]FormattedData!O21*$J$4+$M$4*$J$5+[49]FormattedData!O21^2*$J$6+$M$5*$J$7</f>
        <v>-0.6278315504005898</v>
      </c>
      <c r="W54" s="38">
        <f>AVERAGE(K54:V54)</f>
        <v>-0.62783155040058969</v>
      </c>
      <c r="X54" s="37">
        <f>STDEV(K54:V54)/SQRT(COUNT(K54:V54))</f>
        <v>3.3474483693592253E-17</v>
      </c>
      <c r="Y54" s="36">
        <f>MIN(K54:V54)</f>
        <v>-0.6278315504005898</v>
      </c>
      <c r="Z54" s="35">
        <f>QUARTILE(K54:V54,1)</f>
        <v>-0.6278315504005898</v>
      </c>
      <c r="AA54" s="36">
        <f>MEDIAN(K54:V54)</f>
        <v>-0.6278315504005898</v>
      </c>
      <c r="AB54" s="35">
        <f>QUARTILE(K54:V54,3)</f>
        <v>-0.6278315504005898</v>
      </c>
      <c r="AC54" s="35">
        <f>MAX(K54:V54)</f>
        <v>-0.6278315504005898</v>
      </c>
      <c r="AD54" s="35">
        <f>SKEW(K54:V54)</f>
        <v>-1.1489125293076057</v>
      </c>
      <c r="AE54" s="35">
        <f>KURT(K54:V54)</f>
        <v>-2.4444444444444446</v>
      </c>
    </row>
    <row r="55" spans="2:31" x14ac:dyDescent="0.2">
      <c r="B55" s="34">
        <f>[49]FormattedData!A19</f>
        <v>0</v>
      </c>
      <c r="C55" s="34" t="e">
        <f>VLOOKUP($B55,[49]TrtCodes!$B$11:I62,2)</f>
        <v>#N/A</v>
      </c>
      <c r="D55" s="34" t="e">
        <f>VLOOKUP($B55,[49]TrtCodes!$B$11:J62,3)</f>
        <v>#N/A</v>
      </c>
      <c r="E55" s="34" t="e">
        <f>VLOOKUP($B55,[49]TrtCodes!$B$11:K62,4)</f>
        <v>#N/A</v>
      </c>
      <c r="F55" s="34" t="e">
        <f>VLOOKUP($B55,[49]TrtCodes!$B$11:L62,5)</f>
        <v>#N/A</v>
      </c>
      <c r="G55" s="34" t="e">
        <f>VLOOKUP($B55,[49]TrtCodes!$B$11:M62,6)</f>
        <v>#N/A</v>
      </c>
      <c r="H55" s="34" t="e">
        <f>VLOOKUP($B55,[49]TrtCodes!$B$11:N62,7)</f>
        <v>#N/A</v>
      </c>
      <c r="I55" s="34">
        <f>[49]FormattedData!B19</f>
        <v>0</v>
      </c>
      <c r="J55" s="37">
        <f>[49]FormattedData!C19</f>
        <v>0</v>
      </c>
      <c r="K55" s="39">
        <f>$J$3+[49]FormattedData!D19*$J$4+$M$4*$J$5+[49]FormattedData!D19^2*$J$6+$M$5*$J$7</f>
        <v>-0.6278315504005898</v>
      </c>
      <c r="L55" s="39">
        <f>$J$3+[49]FormattedData!E19*$J$4+$M$4*$J$5+[49]FormattedData!E19^2*$J$6+$M$5*$J$7</f>
        <v>-0.6278315504005898</v>
      </c>
      <c r="M55" s="39">
        <f>$J$3+[49]FormattedData!F19*$J$4+$M$4*$J$5+[49]FormattedData!F19^2*$J$6+$M$5*$J$7</f>
        <v>-0.6278315504005898</v>
      </c>
      <c r="N55" s="39">
        <f>$J$3+[49]FormattedData!G19*$J$4+$M$4*$J$5+[49]FormattedData!G19^2*$J$6+$M$5*$J$7</f>
        <v>-0.6278315504005898</v>
      </c>
      <c r="O55" s="39">
        <f>$J$3+[49]FormattedData!H19*$J$4+$M$4*$J$5+[49]FormattedData!H19^2*$J$6+$M$5*$J$7</f>
        <v>-0.6278315504005898</v>
      </c>
      <c r="P55" s="39">
        <f>$J$3+[49]FormattedData!I19*$J$4+$M$4*$J$5+[49]FormattedData!I19^2*$J$6+$M$5*$J$7</f>
        <v>-0.6278315504005898</v>
      </c>
      <c r="Q55" s="39">
        <f>$J$3+[49]FormattedData!J19*$J$4+$M$4*$J$5+[49]FormattedData!J19^2*$J$6+$M$5*$J$7</f>
        <v>-0.6278315504005898</v>
      </c>
      <c r="R55" s="39">
        <f>$J$3+[49]FormattedData!K19*$J$4+$M$4*$J$5+[49]FormattedData!K19^2*$J$6+$M$5*$J$7</f>
        <v>-0.6278315504005898</v>
      </c>
      <c r="S55" s="39">
        <f>$J$3+[49]FormattedData!L19*$J$4+$M$4*$J$5+[49]FormattedData!L19^2*$J$6+$M$5*$J$7</f>
        <v>-0.6278315504005898</v>
      </c>
      <c r="T55" s="39">
        <f>$J$3+[49]FormattedData!M19*$J$4+$M$4*$J$5+[49]FormattedData!M19^2*$J$6+$M$5*$J$7</f>
        <v>-0.6278315504005898</v>
      </c>
      <c r="U55" s="39">
        <f>$J$3+[49]FormattedData!N19*$J$4+$M$4*$J$5+[49]FormattedData!N19^2*$J$6+$M$5*$J$7</f>
        <v>-0.6278315504005898</v>
      </c>
      <c r="V55" s="39">
        <f>$J$3+[49]FormattedData!O19*$J$4+$M$4*$J$5+[49]FormattedData!O19^2*$J$6+$M$5*$J$7</f>
        <v>-0.6278315504005898</v>
      </c>
      <c r="W55" s="38">
        <f>AVERAGE(K55:V55)</f>
        <v>-0.62783155040058969</v>
      </c>
      <c r="X55" s="37">
        <f>STDEV(K55:V55)/SQRT(COUNT(K55:V55))</f>
        <v>3.3474483693592253E-17</v>
      </c>
      <c r="Y55" s="36">
        <f>MIN(K55:V55)</f>
        <v>-0.6278315504005898</v>
      </c>
      <c r="Z55" s="35">
        <f>QUARTILE(K55:V55,1)</f>
        <v>-0.6278315504005898</v>
      </c>
      <c r="AA55" s="36">
        <f>MEDIAN(K55:V55)</f>
        <v>-0.6278315504005898</v>
      </c>
      <c r="AB55" s="35">
        <f>QUARTILE(K55:V55,3)</f>
        <v>-0.6278315504005898</v>
      </c>
      <c r="AC55" s="35">
        <f>MAX(K55:V55)</f>
        <v>-0.6278315504005898</v>
      </c>
      <c r="AD55" s="35">
        <f>SKEW(K55:V55)</f>
        <v>-1.1489125293076057</v>
      </c>
      <c r="AE55" s="35">
        <f>KURT(K55:V55)</f>
        <v>-2.4444444444444446</v>
      </c>
    </row>
    <row r="56" spans="2:31" x14ac:dyDescent="0.2">
      <c r="B56" s="34">
        <f>[49]FormattedData!A17</f>
        <v>0</v>
      </c>
      <c r="C56" s="34" t="e">
        <f>VLOOKUP($B56,[49]TrtCodes!$B$11:I60,2)</f>
        <v>#N/A</v>
      </c>
      <c r="D56" s="34" t="e">
        <f>VLOOKUP($B56,[49]TrtCodes!$B$11:J60,3)</f>
        <v>#N/A</v>
      </c>
      <c r="E56" s="34" t="e">
        <f>VLOOKUP($B56,[49]TrtCodes!$B$11:K60,4)</f>
        <v>#N/A</v>
      </c>
      <c r="F56" s="34" t="e">
        <f>VLOOKUP($B56,[49]TrtCodes!$B$11:L60,5)</f>
        <v>#N/A</v>
      </c>
      <c r="G56" s="34" t="e">
        <f>VLOOKUP($B56,[49]TrtCodes!$B$11:M60,6)</f>
        <v>#N/A</v>
      </c>
      <c r="H56" s="34" t="e">
        <f>VLOOKUP($B56,[49]TrtCodes!$B$11:N60,7)</f>
        <v>#N/A</v>
      </c>
      <c r="I56" s="34">
        <f>[49]FormattedData!B17</f>
        <v>0</v>
      </c>
      <c r="J56" s="37">
        <f>[49]FormattedData!C17</f>
        <v>0</v>
      </c>
      <c r="K56" s="39">
        <f>$J$3+[49]FormattedData!D17*$J$4+$M$4*$J$5+[49]FormattedData!D17^2*$J$6+$M$5*$J$7</f>
        <v>-0.6278315504005898</v>
      </c>
      <c r="L56" s="39">
        <f>$J$3+[49]FormattedData!E17*$J$4+$M$4*$J$5+[49]FormattedData!E17^2*$J$6+$M$5*$J$7</f>
        <v>-0.6278315504005898</v>
      </c>
      <c r="M56" s="39">
        <f>$J$3+[49]FormattedData!F17*$J$4+$M$4*$J$5+[49]FormattedData!F17^2*$J$6+$M$5*$J$7</f>
        <v>-0.6278315504005898</v>
      </c>
      <c r="N56" s="39">
        <f>$J$3+[49]FormattedData!G17*$J$4+$M$4*$J$5+[49]FormattedData!G17^2*$J$6+$M$5*$J$7</f>
        <v>-0.6278315504005898</v>
      </c>
      <c r="O56" s="39">
        <f>$J$3+[49]FormattedData!H17*$J$4+$M$4*$J$5+[49]FormattedData!H17^2*$J$6+$M$5*$J$7</f>
        <v>-0.6278315504005898</v>
      </c>
      <c r="P56" s="39">
        <f>$J$3+[49]FormattedData!I17*$J$4+$M$4*$J$5+[49]FormattedData!I17^2*$J$6+$M$5*$J$7</f>
        <v>-0.6278315504005898</v>
      </c>
      <c r="Q56" s="39">
        <f>$J$3+[49]FormattedData!J17*$J$4+$M$4*$J$5+[49]FormattedData!J17^2*$J$6+$M$5*$J$7</f>
        <v>-0.6278315504005898</v>
      </c>
      <c r="R56" s="39">
        <f>$J$3+[49]FormattedData!K17*$J$4+$M$4*$J$5+[49]FormattedData!K17^2*$J$6+$M$5*$J$7</f>
        <v>-0.6278315504005898</v>
      </c>
      <c r="S56" s="39">
        <f>$J$3+[49]FormattedData!L17*$J$4+$M$4*$J$5+[49]FormattedData!L17^2*$J$6+$M$5*$J$7</f>
        <v>-0.6278315504005898</v>
      </c>
      <c r="T56" s="39">
        <f>$J$3+[49]FormattedData!M17*$J$4+$M$4*$J$5+[49]FormattedData!M17^2*$J$6+$M$5*$J$7</f>
        <v>-0.6278315504005898</v>
      </c>
      <c r="U56" s="39">
        <f>$J$3+[49]FormattedData!N17*$J$4+$M$4*$J$5+[49]FormattedData!N17^2*$J$6+$M$5*$J$7</f>
        <v>-0.6278315504005898</v>
      </c>
      <c r="V56" s="39">
        <f>$J$3+[49]FormattedData!O17*$J$4+$M$4*$J$5+[49]FormattedData!O17^2*$J$6+$M$5*$J$7</f>
        <v>-0.6278315504005898</v>
      </c>
      <c r="W56" s="38">
        <f>AVERAGE(K56:V56)</f>
        <v>-0.62783155040058969</v>
      </c>
      <c r="X56" s="37">
        <f>STDEV(K56:V56)/SQRT(COUNT(K56:V56))</f>
        <v>3.3474483693592253E-17</v>
      </c>
      <c r="Y56" s="36">
        <f>MIN(K56:V56)</f>
        <v>-0.6278315504005898</v>
      </c>
      <c r="Z56" s="35">
        <f>QUARTILE(K56:V56,1)</f>
        <v>-0.6278315504005898</v>
      </c>
      <c r="AA56" s="36">
        <f>MEDIAN(K56:V56)</f>
        <v>-0.6278315504005898</v>
      </c>
      <c r="AB56" s="35">
        <f>QUARTILE(K56:V56,3)</f>
        <v>-0.6278315504005898</v>
      </c>
      <c r="AC56" s="35">
        <f>MAX(K56:V56)</f>
        <v>-0.6278315504005898</v>
      </c>
      <c r="AD56" s="35">
        <f>SKEW(K56:V56)</f>
        <v>-1.1489125293076057</v>
      </c>
      <c r="AE56" s="35">
        <f>KURT(K56:V56)</f>
        <v>-2.4444444444444446</v>
      </c>
    </row>
    <row r="57" spans="2:31" x14ac:dyDescent="0.2">
      <c r="B57" s="34">
        <f>[49]FormattedData!A15</f>
        <v>0</v>
      </c>
      <c r="C57" s="34" t="e">
        <f>VLOOKUP($B57,[49]TrtCodes!$B$11:I58,2)</f>
        <v>#N/A</v>
      </c>
      <c r="D57" s="34" t="e">
        <f>VLOOKUP($B57,[49]TrtCodes!$B$11:J58,3)</f>
        <v>#N/A</v>
      </c>
      <c r="E57" s="34" t="e">
        <f>VLOOKUP($B57,[49]TrtCodes!$B$11:K58,4)</f>
        <v>#N/A</v>
      </c>
      <c r="F57" s="34" t="e">
        <f>VLOOKUP($B57,[49]TrtCodes!$B$11:L58,5)</f>
        <v>#N/A</v>
      </c>
      <c r="G57" s="34" t="e">
        <f>VLOOKUP($B57,[49]TrtCodes!$B$11:M58,6)</f>
        <v>#N/A</v>
      </c>
      <c r="H57" s="34" t="e">
        <f>VLOOKUP($B57,[49]TrtCodes!$B$11:N58,7)</f>
        <v>#N/A</v>
      </c>
      <c r="I57" s="34">
        <f>[49]FormattedData!B15</f>
        <v>0</v>
      </c>
      <c r="J57" s="37">
        <f>[49]FormattedData!C15</f>
        <v>0</v>
      </c>
      <c r="K57" s="39">
        <f>$J$3+[49]FormattedData!D15*$J$4+$M$4*$J$5+[49]FormattedData!D15^2*$J$6+$M$5*$J$7</f>
        <v>-0.6278315504005898</v>
      </c>
      <c r="L57" s="39">
        <f>$J$3+[49]FormattedData!E15*$J$4+$M$4*$J$5+[49]FormattedData!E15^2*$J$6+$M$5*$J$7</f>
        <v>-0.6278315504005898</v>
      </c>
      <c r="M57" s="39">
        <f>$J$3+[49]FormattedData!F15*$J$4+$M$4*$J$5+[49]FormattedData!F15^2*$J$6+$M$5*$J$7</f>
        <v>-0.6278315504005898</v>
      </c>
      <c r="N57" s="39">
        <f>$J$3+[49]FormattedData!G15*$J$4+$M$4*$J$5+[49]FormattedData!G15^2*$J$6+$M$5*$J$7</f>
        <v>-0.6278315504005898</v>
      </c>
      <c r="O57" s="39">
        <f>$J$3+[49]FormattedData!H15*$J$4+$M$4*$J$5+[49]FormattedData!H15^2*$J$6+$M$5*$J$7</f>
        <v>-0.6278315504005898</v>
      </c>
      <c r="P57" s="39">
        <f>$J$3+[49]FormattedData!I15*$J$4+$M$4*$J$5+[49]FormattedData!I15^2*$J$6+$M$5*$J$7</f>
        <v>-0.6278315504005898</v>
      </c>
      <c r="Q57" s="39">
        <f>$J$3+[49]FormattedData!J15*$J$4+$M$4*$J$5+[49]FormattedData!J15^2*$J$6+$M$5*$J$7</f>
        <v>-0.6278315504005898</v>
      </c>
      <c r="R57" s="39">
        <f>$J$3+[49]FormattedData!K15*$J$4+$M$4*$J$5+[49]FormattedData!K15^2*$J$6+$M$5*$J$7</f>
        <v>-0.6278315504005898</v>
      </c>
      <c r="S57" s="39">
        <f>$J$3+[49]FormattedData!L15*$J$4+$M$4*$J$5+[49]FormattedData!L15^2*$J$6+$M$5*$J$7</f>
        <v>-0.6278315504005898</v>
      </c>
      <c r="T57" s="39">
        <f>$J$3+[49]FormattedData!M15*$J$4+$M$4*$J$5+[49]FormattedData!M15^2*$J$6+$M$5*$J$7</f>
        <v>-0.6278315504005898</v>
      </c>
      <c r="U57" s="39">
        <f>$J$3+[49]FormattedData!N15*$J$4+$M$4*$J$5+[49]FormattedData!N15^2*$J$6+$M$5*$J$7</f>
        <v>-0.6278315504005898</v>
      </c>
      <c r="V57" s="39">
        <f>$J$3+[49]FormattedData!O15*$J$4+$M$4*$J$5+[49]FormattedData!O15^2*$J$6+$M$5*$J$7</f>
        <v>-0.6278315504005898</v>
      </c>
      <c r="W57" s="38">
        <f>AVERAGE(K57:V57)</f>
        <v>-0.62783155040058969</v>
      </c>
      <c r="X57" s="37">
        <f>STDEV(K57:V57)/SQRT(COUNT(K57:V57))</f>
        <v>3.3474483693592253E-17</v>
      </c>
      <c r="Y57" s="36">
        <f>MIN(K57:V57)</f>
        <v>-0.6278315504005898</v>
      </c>
      <c r="Z57" s="35">
        <f>QUARTILE(K57:V57,1)</f>
        <v>-0.6278315504005898</v>
      </c>
      <c r="AA57" s="36">
        <f>MEDIAN(K57:V57)</f>
        <v>-0.6278315504005898</v>
      </c>
      <c r="AB57" s="35">
        <f>QUARTILE(K57:V57,3)</f>
        <v>-0.6278315504005898</v>
      </c>
      <c r="AC57" s="35">
        <f>MAX(K57:V57)</f>
        <v>-0.6278315504005898</v>
      </c>
      <c r="AD57" s="35">
        <f>SKEW(K57:V57)</f>
        <v>-1.1489125293076057</v>
      </c>
      <c r="AE57" s="35">
        <f>KURT(K57:V57)</f>
        <v>-2.4444444444444446</v>
      </c>
    </row>
    <row r="58" spans="2:31" x14ac:dyDescent="0.2">
      <c r="B58" s="34">
        <f>[49]FormattedData!A31</f>
        <v>0</v>
      </c>
      <c r="C58" s="34" t="e">
        <f>VLOOKUP($B58,[49]TrtCodes!$B$11:I74,2)</f>
        <v>#N/A</v>
      </c>
      <c r="D58" s="34" t="e">
        <f>VLOOKUP($B58,[49]TrtCodes!$B$11:J74,3)</f>
        <v>#N/A</v>
      </c>
      <c r="E58" s="34" t="e">
        <f>VLOOKUP($B58,[49]TrtCodes!$B$11:K74,4)</f>
        <v>#N/A</v>
      </c>
      <c r="F58" s="34" t="e">
        <f>VLOOKUP($B58,[49]TrtCodes!$B$11:L74,5)</f>
        <v>#N/A</v>
      </c>
      <c r="G58" s="34" t="e">
        <f>VLOOKUP($B58,[49]TrtCodes!$B$11:M74,6)</f>
        <v>#N/A</v>
      </c>
      <c r="H58" s="34" t="e">
        <f>VLOOKUP($B58,[49]TrtCodes!$B$11:N74,7)</f>
        <v>#N/A</v>
      </c>
      <c r="I58" s="34">
        <f>[49]FormattedData!B31</f>
        <v>0</v>
      </c>
      <c r="J58" s="37">
        <f>[49]FormattedData!C31</f>
        <v>0</v>
      </c>
      <c r="K58" s="39">
        <f>$J$3+[49]FormattedData!D31*$J$4+$M$4*$J$5+[49]FormattedData!D31^2*$J$6+$M$5*$J$7</f>
        <v>-0.6278315504005898</v>
      </c>
      <c r="L58" s="39">
        <f>$J$3+[49]FormattedData!E31*$J$4+$M$4*$J$5+[49]FormattedData!E31^2*$J$6+$M$5*$J$7</f>
        <v>-0.6278315504005898</v>
      </c>
      <c r="M58" s="39">
        <f>$J$3+[49]FormattedData!F31*$J$4+$M$4*$J$5+[49]FormattedData!F31^2*$J$6+$M$5*$J$7</f>
        <v>-0.6278315504005898</v>
      </c>
      <c r="N58" s="39">
        <f>$J$3+[49]FormattedData!G31*$J$4+$M$4*$J$5+[49]FormattedData!G31^2*$J$6+$M$5*$J$7</f>
        <v>-0.6278315504005898</v>
      </c>
      <c r="O58" s="39">
        <f>$J$3+[49]FormattedData!H31*$J$4+$M$4*$J$5+[49]FormattedData!H31^2*$J$6+$M$5*$J$7</f>
        <v>-0.6278315504005898</v>
      </c>
      <c r="P58" s="39">
        <f>$J$3+[49]FormattedData!I31*$J$4+$M$4*$J$5+[49]FormattedData!I31^2*$J$6+$M$5*$J$7</f>
        <v>-0.6278315504005898</v>
      </c>
      <c r="Q58" s="39">
        <f>$J$3+[49]FormattedData!J31*$J$4+$M$4*$J$5+[49]FormattedData!J31^2*$J$6+$M$5*$J$7</f>
        <v>-0.6278315504005898</v>
      </c>
      <c r="R58" s="39">
        <f>$J$3+[49]FormattedData!K31*$J$4+$M$4*$J$5+[49]FormattedData!K31^2*$J$6+$M$5*$J$7</f>
        <v>-0.6278315504005898</v>
      </c>
      <c r="S58" s="39">
        <f>$J$3+[49]FormattedData!L31*$J$4+$M$4*$J$5+[49]FormattedData!L31^2*$J$6+$M$5*$J$7</f>
        <v>-0.6278315504005898</v>
      </c>
      <c r="T58" s="39">
        <f>$J$3+[49]FormattedData!M31*$J$4+$M$4*$J$5+[49]FormattedData!M31^2*$J$6+$M$5*$J$7</f>
        <v>-0.6278315504005898</v>
      </c>
      <c r="U58" s="39">
        <f>$J$3+[49]FormattedData!N31*$J$4+$M$4*$J$5+[49]FormattedData!N31^2*$J$6+$M$5*$J$7</f>
        <v>-0.6278315504005898</v>
      </c>
      <c r="V58" s="39">
        <f>$J$3+[49]FormattedData!O31*$J$4+$M$4*$J$5+[49]FormattedData!O31^2*$J$6+$M$5*$J$7</f>
        <v>-0.6278315504005898</v>
      </c>
      <c r="W58" s="38">
        <f>AVERAGE(K58:V58)</f>
        <v>-0.62783155040058969</v>
      </c>
      <c r="X58" s="37">
        <f>STDEV(K58:V58)/SQRT(COUNT(K58:V58))</f>
        <v>3.3474483693592253E-17</v>
      </c>
      <c r="Y58" s="36">
        <f>MIN(K58:V58)</f>
        <v>-0.6278315504005898</v>
      </c>
      <c r="Z58" s="35">
        <f>QUARTILE(K58:V58,1)</f>
        <v>-0.6278315504005898</v>
      </c>
      <c r="AA58" s="36">
        <f>MEDIAN(K58:V58)</f>
        <v>-0.6278315504005898</v>
      </c>
      <c r="AB58" s="35">
        <f>QUARTILE(K58:V58,3)</f>
        <v>-0.6278315504005898</v>
      </c>
      <c r="AC58" s="35">
        <f>MAX(K58:V58)</f>
        <v>-0.6278315504005898</v>
      </c>
      <c r="AD58" s="35">
        <f>SKEW(K58:V58)</f>
        <v>-1.1489125293076057</v>
      </c>
      <c r="AE58" s="35">
        <f>KURT(K58:V58)</f>
        <v>-2.4444444444444446</v>
      </c>
    </row>
    <row r="59" spans="2:31" x14ac:dyDescent="0.2">
      <c r="B59" s="34">
        <f>[49]FormattedData!A33</f>
        <v>0</v>
      </c>
      <c r="C59" s="34" t="e">
        <f>VLOOKUP($B59,[49]TrtCodes!$B$11:I76,2)</f>
        <v>#N/A</v>
      </c>
      <c r="D59" s="34" t="e">
        <f>VLOOKUP($B59,[49]TrtCodes!$B$11:J76,3)</f>
        <v>#N/A</v>
      </c>
      <c r="E59" s="34" t="e">
        <f>VLOOKUP($B59,[49]TrtCodes!$B$11:K76,4)</f>
        <v>#N/A</v>
      </c>
      <c r="F59" s="34" t="e">
        <f>VLOOKUP($B59,[49]TrtCodes!$B$11:L76,5)</f>
        <v>#N/A</v>
      </c>
      <c r="G59" s="34" t="e">
        <f>VLOOKUP($B59,[49]TrtCodes!$B$11:M76,6)</f>
        <v>#N/A</v>
      </c>
      <c r="H59" s="34" t="e">
        <f>VLOOKUP($B59,[49]TrtCodes!$B$11:N76,7)</f>
        <v>#N/A</v>
      </c>
      <c r="I59" s="34">
        <f>[49]FormattedData!B33</f>
        <v>0</v>
      </c>
      <c r="J59" s="37">
        <f>[49]FormattedData!C33</f>
        <v>0</v>
      </c>
      <c r="K59" s="39">
        <f>$J$3+[49]FormattedData!D33*$J$4+$M$4*$J$5+[49]FormattedData!D33^2*$J$6+$M$5*$J$7</f>
        <v>-0.6278315504005898</v>
      </c>
      <c r="L59" s="39">
        <f>$J$3+[49]FormattedData!E33*$J$4+$M$4*$J$5+[49]FormattedData!E33^2*$J$6+$M$5*$J$7</f>
        <v>-0.6278315504005898</v>
      </c>
      <c r="M59" s="39">
        <f>$J$3+[49]FormattedData!F33*$J$4+$M$4*$J$5+[49]FormattedData!F33^2*$J$6+$M$5*$J$7</f>
        <v>-0.6278315504005898</v>
      </c>
      <c r="N59" s="39">
        <f>$J$3+[49]FormattedData!G33*$J$4+$M$4*$J$5+[49]FormattedData!G33^2*$J$6+$M$5*$J$7</f>
        <v>-0.6278315504005898</v>
      </c>
      <c r="O59" s="39">
        <f>$J$3+[49]FormattedData!H33*$J$4+$M$4*$J$5+[49]FormattedData!H33^2*$J$6+$M$5*$J$7</f>
        <v>-0.6278315504005898</v>
      </c>
      <c r="P59" s="39">
        <f>$J$3+[49]FormattedData!I33*$J$4+$M$4*$J$5+[49]FormattedData!I33^2*$J$6+$M$5*$J$7</f>
        <v>-0.6278315504005898</v>
      </c>
      <c r="Q59" s="39">
        <f>$J$3+[49]FormattedData!J33*$J$4+$M$4*$J$5+[49]FormattedData!J33^2*$J$6+$M$5*$J$7</f>
        <v>-0.6278315504005898</v>
      </c>
      <c r="R59" s="39">
        <f>$J$3+[49]FormattedData!K33*$J$4+$M$4*$J$5+[49]FormattedData!K33^2*$J$6+$M$5*$J$7</f>
        <v>-0.6278315504005898</v>
      </c>
      <c r="S59" s="39">
        <f>$J$3+[49]FormattedData!L33*$J$4+$M$4*$J$5+[49]FormattedData!L33^2*$J$6+$M$5*$J$7</f>
        <v>-0.6278315504005898</v>
      </c>
      <c r="T59" s="39">
        <f>$J$3+[49]FormattedData!M33*$J$4+$M$4*$J$5+[49]FormattedData!M33^2*$J$6+$M$5*$J$7</f>
        <v>-0.6278315504005898</v>
      </c>
      <c r="U59" s="39">
        <f>$J$3+[49]FormattedData!N33*$J$4+$M$4*$J$5+[49]FormattedData!N33^2*$J$6+$M$5*$J$7</f>
        <v>-0.6278315504005898</v>
      </c>
      <c r="V59" s="39">
        <f>$J$3+[49]FormattedData!O33*$J$4+$M$4*$J$5+[49]FormattedData!O33^2*$J$6+$M$5*$J$7</f>
        <v>-0.6278315504005898</v>
      </c>
      <c r="W59" s="38">
        <f>AVERAGE(K59:V59)</f>
        <v>-0.62783155040058969</v>
      </c>
      <c r="X59" s="37">
        <f>STDEV(K59:V59)/SQRT(COUNT(K59:V59))</f>
        <v>3.3474483693592253E-17</v>
      </c>
      <c r="Y59" s="36">
        <f>MIN(K59:V59)</f>
        <v>-0.6278315504005898</v>
      </c>
      <c r="Z59" s="35">
        <f>QUARTILE(K59:V59,1)</f>
        <v>-0.6278315504005898</v>
      </c>
      <c r="AA59" s="36">
        <f>MEDIAN(K59:V59)</f>
        <v>-0.6278315504005898</v>
      </c>
      <c r="AB59" s="35">
        <f>QUARTILE(K59:V59,3)</f>
        <v>-0.6278315504005898</v>
      </c>
      <c r="AC59" s="35">
        <f>MAX(K59:V59)</f>
        <v>-0.6278315504005898</v>
      </c>
      <c r="AD59" s="35">
        <f>SKEW(K59:V59)</f>
        <v>-1.1489125293076057</v>
      </c>
      <c r="AE59" s="35">
        <f>KURT(K59:V59)</f>
        <v>-2.4444444444444446</v>
      </c>
    </row>
    <row r="60" spans="2:31" x14ac:dyDescent="0.2">
      <c r="B60" s="34">
        <f>[49]FormattedData!A35</f>
        <v>0</v>
      </c>
      <c r="C60" s="34" t="e">
        <f>VLOOKUP($B60,[49]TrtCodes!$B$11:I78,2)</f>
        <v>#N/A</v>
      </c>
      <c r="D60" s="34" t="e">
        <f>VLOOKUP($B60,[49]TrtCodes!$B$11:J78,3)</f>
        <v>#N/A</v>
      </c>
      <c r="E60" s="34" t="e">
        <f>VLOOKUP($B60,[49]TrtCodes!$B$11:K78,4)</f>
        <v>#N/A</v>
      </c>
      <c r="F60" s="34" t="e">
        <f>VLOOKUP($B60,[49]TrtCodes!$B$11:L78,5)</f>
        <v>#N/A</v>
      </c>
      <c r="G60" s="34" t="e">
        <f>VLOOKUP($B60,[49]TrtCodes!$B$11:M78,6)</f>
        <v>#N/A</v>
      </c>
      <c r="H60" s="34" t="e">
        <f>VLOOKUP($B60,[49]TrtCodes!$B$11:N78,7)</f>
        <v>#N/A</v>
      </c>
      <c r="I60" s="34">
        <f>[49]FormattedData!B35</f>
        <v>0</v>
      </c>
      <c r="J60" s="37">
        <f>[49]FormattedData!C35</f>
        <v>0</v>
      </c>
      <c r="K60" s="39">
        <f>$J$3+[49]FormattedData!D35*$J$4+$M$4*$J$5+[49]FormattedData!D35^2*$J$6+$M$5*$J$7</f>
        <v>-0.6278315504005898</v>
      </c>
      <c r="L60" s="39">
        <f>$J$3+[49]FormattedData!E35*$J$4+$M$4*$J$5+[49]FormattedData!E35^2*$J$6+$M$5*$J$7</f>
        <v>-0.6278315504005898</v>
      </c>
      <c r="M60" s="39">
        <f>$J$3+[49]FormattedData!F35*$J$4+$M$4*$J$5+[49]FormattedData!F35^2*$J$6+$M$5*$J$7</f>
        <v>-0.6278315504005898</v>
      </c>
      <c r="N60" s="39">
        <f>$J$3+[49]FormattedData!G35*$J$4+$M$4*$J$5+[49]FormattedData!G35^2*$J$6+$M$5*$J$7</f>
        <v>-0.6278315504005898</v>
      </c>
      <c r="O60" s="39">
        <f>$J$3+[49]FormattedData!H35*$J$4+$M$4*$J$5+[49]FormattedData!H35^2*$J$6+$M$5*$J$7</f>
        <v>-0.6278315504005898</v>
      </c>
      <c r="P60" s="39">
        <f>$J$3+[49]FormattedData!I35*$J$4+$M$4*$J$5+[49]FormattedData!I35^2*$J$6+$M$5*$J$7</f>
        <v>-0.6278315504005898</v>
      </c>
      <c r="Q60" s="39">
        <f>$J$3+[49]FormattedData!J35*$J$4+$M$4*$J$5+[49]FormattedData!J35^2*$J$6+$M$5*$J$7</f>
        <v>-0.6278315504005898</v>
      </c>
      <c r="R60" s="39">
        <f>$J$3+[49]FormattedData!K35*$J$4+$M$4*$J$5+[49]FormattedData!K35^2*$J$6+$M$5*$J$7</f>
        <v>-0.6278315504005898</v>
      </c>
      <c r="S60" s="39">
        <f>$J$3+[49]FormattedData!L35*$J$4+$M$4*$J$5+[49]FormattedData!L35^2*$J$6+$M$5*$J$7</f>
        <v>-0.6278315504005898</v>
      </c>
      <c r="T60" s="39">
        <f>$J$3+[49]FormattedData!M35*$J$4+$M$4*$J$5+[49]FormattedData!M35^2*$J$6+$M$5*$J$7</f>
        <v>-0.6278315504005898</v>
      </c>
      <c r="U60" s="39">
        <f>$J$3+[49]FormattedData!N35*$J$4+$M$4*$J$5+[49]FormattedData!N35^2*$J$6+$M$5*$J$7</f>
        <v>-0.6278315504005898</v>
      </c>
      <c r="V60" s="39">
        <f>$J$3+[49]FormattedData!O35*$J$4+$M$4*$J$5+[49]FormattedData!O35^2*$J$6+$M$5*$J$7</f>
        <v>-0.6278315504005898</v>
      </c>
      <c r="W60" s="38">
        <f>AVERAGE(K60:V60)</f>
        <v>-0.62783155040058969</v>
      </c>
      <c r="X60" s="37">
        <f>STDEV(K60:V60)/SQRT(COUNT(K60:V60))</f>
        <v>3.3474483693592253E-17</v>
      </c>
      <c r="Y60" s="36">
        <f>MIN(K60:V60)</f>
        <v>-0.6278315504005898</v>
      </c>
      <c r="Z60" s="35">
        <f>QUARTILE(K60:V60,1)</f>
        <v>-0.6278315504005898</v>
      </c>
      <c r="AA60" s="36">
        <f>MEDIAN(K60:V60)</f>
        <v>-0.6278315504005898</v>
      </c>
      <c r="AB60" s="35">
        <f>QUARTILE(K60:V60,3)</f>
        <v>-0.6278315504005898</v>
      </c>
      <c r="AC60" s="35">
        <f>MAX(K60:V60)</f>
        <v>-0.6278315504005898</v>
      </c>
      <c r="AD60" s="35">
        <f>SKEW(K60:V60)</f>
        <v>-1.1489125293076057</v>
      </c>
      <c r="AE60" s="35">
        <f>KURT(K60:V60)</f>
        <v>-2.4444444444444446</v>
      </c>
    </row>
    <row r="61" spans="2:31" x14ac:dyDescent="0.2">
      <c r="B61" s="34">
        <f>[49]FormattedData!A37</f>
        <v>0</v>
      </c>
      <c r="C61" s="34" t="e">
        <f>VLOOKUP($B61,[49]TrtCodes!$B$11:I80,2)</f>
        <v>#N/A</v>
      </c>
      <c r="D61" s="34" t="e">
        <f>VLOOKUP($B61,[49]TrtCodes!$B$11:J80,3)</f>
        <v>#N/A</v>
      </c>
      <c r="E61" s="34" t="e">
        <f>VLOOKUP($B61,[49]TrtCodes!$B$11:K80,4)</f>
        <v>#N/A</v>
      </c>
      <c r="F61" s="34" t="e">
        <f>VLOOKUP($B61,[49]TrtCodes!$B$11:L80,5)</f>
        <v>#N/A</v>
      </c>
      <c r="G61" s="34" t="e">
        <f>VLOOKUP($B61,[49]TrtCodes!$B$11:M80,6)</f>
        <v>#N/A</v>
      </c>
      <c r="H61" s="34" t="e">
        <f>VLOOKUP($B61,[49]TrtCodes!$B$11:N80,7)</f>
        <v>#N/A</v>
      </c>
      <c r="I61" s="34">
        <f>[49]FormattedData!B37</f>
        <v>0</v>
      </c>
      <c r="J61" s="37">
        <f>[49]FormattedData!C37</f>
        <v>0</v>
      </c>
      <c r="K61" s="39">
        <f>$J$3+[49]FormattedData!D37*$J$4+$M$4*$J$5+[49]FormattedData!D37^2*$J$6+$M$5*$J$7</f>
        <v>-0.6278315504005898</v>
      </c>
      <c r="L61" s="39">
        <f>$J$3+[49]FormattedData!E37*$J$4+$M$4*$J$5+[49]FormattedData!E37^2*$J$6+$M$5*$J$7</f>
        <v>-0.6278315504005898</v>
      </c>
      <c r="M61" s="39">
        <f>$J$3+[49]FormattedData!F37*$J$4+$M$4*$J$5+[49]FormattedData!F37^2*$J$6+$M$5*$J$7</f>
        <v>-0.6278315504005898</v>
      </c>
      <c r="N61" s="39">
        <f>$J$3+[49]FormattedData!G37*$J$4+$M$4*$J$5+[49]FormattedData!G37^2*$J$6+$M$5*$J$7</f>
        <v>-0.6278315504005898</v>
      </c>
      <c r="O61" s="39">
        <f>$J$3+[49]FormattedData!H37*$J$4+$M$4*$J$5+[49]FormattedData!H37^2*$J$6+$M$5*$J$7</f>
        <v>-0.6278315504005898</v>
      </c>
      <c r="P61" s="39">
        <f>$J$3+[49]FormattedData!I37*$J$4+$M$4*$J$5+[49]FormattedData!I37^2*$J$6+$M$5*$J$7</f>
        <v>-0.6278315504005898</v>
      </c>
      <c r="Q61" s="39">
        <f>$J$3+[49]FormattedData!J37*$J$4+$M$4*$J$5+[49]FormattedData!J37^2*$J$6+$M$5*$J$7</f>
        <v>-0.6278315504005898</v>
      </c>
      <c r="R61" s="39">
        <f>$J$3+[49]FormattedData!K37*$J$4+$M$4*$J$5+[49]FormattedData!K37^2*$J$6+$M$5*$J$7</f>
        <v>-0.6278315504005898</v>
      </c>
      <c r="S61" s="39">
        <f>$J$3+[49]FormattedData!L37*$J$4+$M$4*$J$5+[49]FormattedData!L37^2*$J$6+$M$5*$J$7</f>
        <v>-0.6278315504005898</v>
      </c>
      <c r="T61" s="39">
        <f>$J$3+[49]FormattedData!M37*$J$4+$M$4*$J$5+[49]FormattedData!M37^2*$J$6+$M$5*$J$7</f>
        <v>-0.6278315504005898</v>
      </c>
      <c r="U61" s="39">
        <f>$J$3+[49]FormattedData!N37*$J$4+$M$4*$J$5+[49]FormattedData!N37^2*$J$6+$M$5*$J$7</f>
        <v>-0.6278315504005898</v>
      </c>
      <c r="V61" s="39">
        <f>$J$3+[49]FormattedData!O37*$J$4+$M$4*$J$5+[49]FormattedData!O37^2*$J$6+$M$5*$J$7</f>
        <v>-0.6278315504005898</v>
      </c>
      <c r="W61" s="38">
        <f>AVERAGE(K61:V61)</f>
        <v>-0.62783155040058969</v>
      </c>
      <c r="X61" s="37">
        <f>STDEV(K61:V61)/SQRT(COUNT(K61:V61))</f>
        <v>3.3474483693592253E-17</v>
      </c>
      <c r="Y61" s="36">
        <f>MIN(K61:V61)</f>
        <v>-0.6278315504005898</v>
      </c>
      <c r="Z61" s="35">
        <f>QUARTILE(K61:V61,1)</f>
        <v>-0.6278315504005898</v>
      </c>
      <c r="AA61" s="36">
        <f>MEDIAN(K61:V61)</f>
        <v>-0.6278315504005898</v>
      </c>
      <c r="AB61" s="35">
        <f>QUARTILE(K61:V61,3)</f>
        <v>-0.6278315504005898</v>
      </c>
      <c r="AC61" s="35">
        <f>MAX(K61:V61)</f>
        <v>-0.6278315504005898</v>
      </c>
      <c r="AD61" s="35">
        <f>SKEW(K61:V61)</f>
        <v>-1.1489125293076057</v>
      </c>
      <c r="AE61" s="35">
        <f>KURT(K61:V61)</f>
        <v>-2.4444444444444446</v>
      </c>
    </row>
    <row r="62" spans="2:31" x14ac:dyDescent="0.2">
      <c r="B62" s="34">
        <f>[49]FormattedData!A39</f>
        <v>0</v>
      </c>
      <c r="C62" s="34" t="e">
        <f>VLOOKUP($B62,[49]TrtCodes!$B$11:I82,2)</f>
        <v>#N/A</v>
      </c>
      <c r="D62" s="34" t="e">
        <f>VLOOKUP($B62,[49]TrtCodes!$B$11:J82,3)</f>
        <v>#N/A</v>
      </c>
      <c r="E62" s="34" t="e">
        <f>VLOOKUP($B62,[49]TrtCodes!$B$11:K82,4)</f>
        <v>#N/A</v>
      </c>
      <c r="F62" s="34" t="e">
        <f>VLOOKUP($B62,[49]TrtCodes!$B$11:L82,5)</f>
        <v>#N/A</v>
      </c>
      <c r="G62" s="34" t="e">
        <f>VLOOKUP($B62,[49]TrtCodes!$B$11:M82,6)</f>
        <v>#N/A</v>
      </c>
      <c r="H62" s="34" t="e">
        <f>VLOOKUP($B62,[49]TrtCodes!$B$11:N82,7)</f>
        <v>#N/A</v>
      </c>
      <c r="I62" s="34">
        <f>[49]FormattedData!B39</f>
        <v>0</v>
      </c>
      <c r="J62" s="37">
        <f>[49]FormattedData!C39</f>
        <v>0</v>
      </c>
      <c r="K62" s="39">
        <f>$J$3+[49]FormattedData!D39*$J$4+$M$4*$J$5+[49]FormattedData!D39^2*$J$6+$M$5*$J$7</f>
        <v>-0.6278315504005898</v>
      </c>
      <c r="L62" s="39">
        <f>$J$3+[49]FormattedData!E39*$J$4+$M$4*$J$5+[49]FormattedData!E39^2*$J$6+$M$5*$J$7</f>
        <v>-0.6278315504005898</v>
      </c>
      <c r="M62" s="39">
        <f>$J$3+[49]FormattedData!F39*$J$4+$M$4*$J$5+[49]FormattedData!F39^2*$J$6+$M$5*$J$7</f>
        <v>-0.6278315504005898</v>
      </c>
      <c r="N62" s="39">
        <f>$J$3+[49]FormattedData!G39*$J$4+$M$4*$J$5+[49]FormattedData!G39^2*$J$6+$M$5*$J$7</f>
        <v>-0.6278315504005898</v>
      </c>
      <c r="O62" s="39">
        <f>$J$3+[49]FormattedData!H39*$J$4+$M$4*$J$5+[49]FormattedData!H39^2*$J$6+$M$5*$J$7</f>
        <v>-0.6278315504005898</v>
      </c>
      <c r="P62" s="39">
        <f>$J$3+[49]FormattedData!I39*$J$4+$M$4*$J$5+[49]FormattedData!I39^2*$J$6+$M$5*$J$7</f>
        <v>-0.6278315504005898</v>
      </c>
      <c r="Q62" s="39">
        <f>$J$3+[49]FormattedData!J39*$J$4+$M$4*$J$5+[49]FormattedData!J39^2*$J$6+$M$5*$J$7</f>
        <v>-0.6278315504005898</v>
      </c>
      <c r="R62" s="39">
        <f>$J$3+[49]FormattedData!K39*$J$4+$M$4*$J$5+[49]FormattedData!K39^2*$J$6+$M$5*$J$7</f>
        <v>-0.6278315504005898</v>
      </c>
      <c r="S62" s="39">
        <f>$J$3+[49]FormattedData!L39*$J$4+$M$4*$J$5+[49]FormattedData!L39^2*$J$6+$M$5*$J$7</f>
        <v>-0.6278315504005898</v>
      </c>
      <c r="T62" s="39">
        <f>$J$3+[49]FormattedData!M39*$J$4+$M$4*$J$5+[49]FormattedData!M39^2*$J$6+$M$5*$J$7</f>
        <v>-0.6278315504005898</v>
      </c>
      <c r="U62" s="39">
        <f>$J$3+[49]FormattedData!N39*$J$4+$M$4*$J$5+[49]FormattedData!N39^2*$J$6+$M$5*$J$7</f>
        <v>-0.6278315504005898</v>
      </c>
      <c r="V62" s="39">
        <f>$J$3+[49]FormattedData!O39*$J$4+$M$4*$J$5+[49]FormattedData!O39^2*$J$6+$M$5*$J$7</f>
        <v>-0.6278315504005898</v>
      </c>
      <c r="W62" s="38">
        <f>AVERAGE(K62:V62)</f>
        <v>-0.62783155040058969</v>
      </c>
      <c r="X62" s="37">
        <f>STDEV(K62:V62)/SQRT(COUNT(K62:V62))</f>
        <v>3.3474483693592253E-17</v>
      </c>
      <c r="Y62" s="36">
        <f>MIN(K62:V62)</f>
        <v>-0.6278315504005898</v>
      </c>
      <c r="Z62" s="35">
        <f>QUARTILE(K62:V62,1)</f>
        <v>-0.6278315504005898</v>
      </c>
      <c r="AA62" s="36">
        <f>MEDIAN(K62:V62)</f>
        <v>-0.6278315504005898</v>
      </c>
      <c r="AB62" s="35">
        <f>QUARTILE(K62:V62,3)</f>
        <v>-0.6278315504005898</v>
      </c>
      <c r="AC62" s="35">
        <f>MAX(K62:V62)</f>
        <v>-0.6278315504005898</v>
      </c>
      <c r="AD62" s="35">
        <f>SKEW(K62:V62)</f>
        <v>-1.1489125293076057</v>
      </c>
      <c r="AE62" s="35">
        <f>KURT(K62:V62)</f>
        <v>-2.4444444444444446</v>
      </c>
    </row>
    <row r="63" spans="2:31" x14ac:dyDescent="0.2">
      <c r="B63" s="34">
        <f>[49]FormattedData!A41</f>
        <v>0</v>
      </c>
      <c r="C63" s="34" t="e">
        <f>VLOOKUP($B63,[49]TrtCodes!$B$11:I84,2)</f>
        <v>#N/A</v>
      </c>
      <c r="D63" s="34" t="e">
        <f>VLOOKUP($B63,[49]TrtCodes!$B$11:J84,3)</f>
        <v>#N/A</v>
      </c>
      <c r="E63" s="34" t="e">
        <f>VLOOKUP($B63,[49]TrtCodes!$B$11:K84,4)</f>
        <v>#N/A</v>
      </c>
      <c r="F63" s="34" t="e">
        <f>VLOOKUP($B63,[49]TrtCodes!$B$11:L84,5)</f>
        <v>#N/A</v>
      </c>
      <c r="G63" s="34" t="e">
        <f>VLOOKUP($B63,[49]TrtCodes!$B$11:M84,6)</f>
        <v>#N/A</v>
      </c>
      <c r="H63" s="34" t="e">
        <f>VLOOKUP($B63,[49]TrtCodes!$B$11:N84,7)</f>
        <v>#N/A</v>
      </c>
      <c r="I63" s="34">
        <f>[49]FormattedData!B41</f>
        <v>0</v>
      </c>
      <c r="J63" s="37">
        <f>[49]FormattedData!C41</f>
        <v>0</v>
      </c>
      <c r="K63" s="39">
        <f>$J$3+[49]FormattedData!D41*$J$4+$M$4*$J$5+[49]FormattedData!D41^2*$J$6+$M$5*$J$7</f>
        <v>-0.6278315504005898</v>
      </c>
      <c r="L63" s="39">
        <f>$J$3+[49]FormattedData!E41*$J$4+$M$4*$J$5+[49]FormattedData!E41^2*$J$6+$M$5*$J$7</f>
        <v>-0.6278315504005898</v>
      </c>
      <c r="M63" s="39">
        <f>$J$3+[49]FormattedData!F41*$J$4+$M$4*$J$5+[49]FormattedData!F41^2*$J$6+$M$5*$J$7</f>
        <v>-0.6278315504005898</v>
      </c>
      <c r="N63" s="39">
        <f>$J$3+[49]FormattedData!G41*$J$4+$M$4*$J$5+[49]FormattedData!G41^2*$J$6+$M$5*$J$7</f>
        <v>-0.6278315504005898</v>
      </c>
      <c r="O63" s="39">
        <f>$J$3+[49]FormattedData!H41*$J$4+$M$4*$J$5+[49]FormattedData!H41^2*$J$6+$M$5*$J$7</f>
        <v>-0.6278315504005898</v>
      </c>
      <c r="P63" s="39">
        <f>$J$3+[49]FormattedData!I41*$J$4+$M$4*$J$5+[49]FormattedData!I41^2*$J$6+$M$5*$J$7</f>
        <v>-0.6278315504005898</v>
      </c>
      <c r="Q63" s="39">
        <f>$J$3+[49]FormattedData!J41*$J$4+$M$4*$J$5+[49]FormattedData!J41^2*$J$6+$M$5*$J$7</f>
        <v>-0.6278315504005898</v>
      </c>
      <c r="R63" s="39">
        <f>$J$3+[49]FormattedData!K41*$J$4+$M$4*$J$5+[49]FormattedData!K41^2*$J$6+$M$5*$J$7</f>
        <v>-0.6278315504005898</v>
      </c>
      <c r="S63" s="39">
        <f>$J$3+[49]FormattedData!L41*$J$4+$M$4*$J$5+[49]FormattedData!L41^2*$J$6+$M$5*$J$7</f>
        <v>-0.6278315504005898</v>
      </c>
      <c r="T63" s="39">
        <f>$J$3+[49]FormattedData!M41*$J$4+$M$4*$J$5+[49]FormattedData!M41^2*$J$6+$M$5*$J$7</f>
        <v>-0.6278315504005898</v>
      </c>
      <c r="U63" s="39">
        <f>$J$3+[49]FormattedData!N41*$J$4+$M$4*$J$5+[49]FormattedData!N41^2*$J$6+$M$5*$J$7</f>
        <v>-0.6278315504005898</v>
      </c>
      <c r="V63" s="39">
        <f>$J$3+[49]FormattedData!O41*$J$4+$M$4*$J$5+[49]FormattedData!O41^2*$J$6+$M$5*$J$7</f>
        <v>-0.6278315504005898</v>
      </c>
      <c r="W63" s="38">
        <f>AVERAGE(K63:V63)</f>
        <v>-0.62783155040058969</v>
      </c>
      <c r="X63" s="37">
        <f>STDEV(K63:V63)/SQRT(COUNT(K63:V63))</f>
        <v>3.3474483693592253E-17</v>
      </c>
      <c r="Y63" s="36">
        <f>MIN(K63:V63)</f>
        <v>-0.6278315504005898</v>
      </c>
      <c r="Z63" s="35">
        <f>QUARTILE(K63:V63,1)</f>
        <v>-0.6278315504005898</v>
      </c>
      <c r="AA63" s="36">
        <f>MEDIAN(K63:V63)</f>
        <v>-0.6278315504005898</v>
      </c>
      <c r="AB63" s="35">
        <f>QUARTILE(K63:V63,3)</f>
        <v>-0.6278315504005898</v>
      </c>
      <c r="AC63" s="35">
        <f>MAX(K63:V63)</f>
        <v>-0.6278315504005898</v>
      </c>
      <c r="AD63" s="35">
        <f>SKEW(K63:V63)</f>
        <v>-1.1489125293076057</v>
      </c>
      <c r="AE63" s="35">
        <f>KURT(K63:V63)</f>
        <v>-2.4444444444444446</v>
      </c>
    </row>
    <row r="64" spans="2:31" x14ac:dyDescent="0.2">
      <c r="B64" s="34">
        <f>[49]FormattedData!A43</f>
        <v>0</v>
      </c>
      <c r="C64" s="34" t="e">
        <f>VLOOKUP($B64,[49]TrtCodes!$B$11:I86,2)</f>
        <v>#N/A</v>
      </c>
      <c r="D64" s="34" t="e">
        <f>VLOOKUP($B64,[49]TrtCodes!$B$11:J86,3)</f>
        <v>#N/A</v>
      </c>
      <c r="E64" s="34" t="e">
        <f>VLOOKUP($B64,[49]TrtCodes!$B$11:K86,4)</f>
        <v>#N/A</v>
      </c>
      <c r="F64" s="34" t="e">
        <f>VLOOKUP($B64,[49]TrtCodes!$B$11:L86,5)</f>
        <v>#N/A</v>
      </c>
      <c r="G64" s="34" t="e">
        <f>VLOOKUP($B64,[49]TrtCodes!$B$11:M86,6)</f>
        <v>#N/A</v>
      </c>
      <c r="H64" s="34" t="e">
        <f>VLOOKUP($B64,[49]TrtCodes!$B$11:N86,7)</f>
        <v>#N/A</v>
      </c>
      <c r="I64" s="34">
        <f>[49]FormattedData!B43</f>
        <v>0</v>
      </c>
      <c r="J64" s="37">
        <f>[49]FormattedData!C43</f>
        <v>0</v>
      </c>
      <c r="K64" s="39">
        <f>$J$3+[49]FormattedData!D43*$J$4+$M$4*$J$5+[49]FormattedData!D43^2*$J$6+$M$5*$J$7</f>
        <v>-0.6278315504005898</v>
      </c>
      <c r="L64" s="39">
        <f>$J$3+[49]FormattedData!E43*$J$4+$M$4*$J$5+[49]FormattedData!E43^2*$J$6+$M$5*$J$7</f>
        <v>-0.6278315504005898</v>
      </c>
      <c r="M64" s="39">
        <f>$J$3+[49]FormattedData!F43*$J$4+$M$4*$J$5+[49]FormattedData!F43^2*$J$6+$M$5*$J$7</f>
        <v>-0.6278315504005898</v>
      </c>
      <c r="N64" s="39">
        <f>$J$3+[49]FormattedData!G43*$J$4+$M$4*$J$5+[49]FormattedData!G43^2*$J$6+$M$5*$J$7</f>
        <v>-0.6278315504005898</v>
      </c>
      <c r="O64" s="39">
        <f>$J$3+[49]FormattedData!H43*$J$4+$M$4*$J$5+[49]FormattedData!H43^2*$J$6+$M$5*$J$7</f>
        <v>-0.6278315504005898</v>
      </c>
      <c r="P64" s="39">
        <f>$J$3+[49]FormattedData!I43*$J$4+$M$4*$J$5+[49]FormattedData!I43^2*$J$6+$M$5*$J$7</f>
        <v>-0.6278315504005898</v>
      </c>
      <c r="Q64" s="39">
        <f>$J$3+[49]FormattedData!J43*$J$4+$M$4*$J$5+[49]FormattedData!J43^2*$J$6+$M$5*$J$7</f>
        <v>-0.6278315504005898</v>
      </c>
      <c r="R64" s="39">
        <f>$J$3+[49]FormattedData!K43*$J$4+$M$4*$J$5+[49]FormattedData!K43^2*$J$6+$M$5*$J$7</f>
        <v>-0.6278315504005898</v>
      </c>
      <c r="S64" s="39">
        <f>$J$3+[49]FormattedData!L43*$J$4+$M$4*$J$5+[49]FormattedData!L43^2*$J$6+$M$5*$J$7</f>
        <v>-0.6278315504005898</v>
      </c>
      <c r="T64" s="39">
        <f>$J$3+[49]FormattedData!M43*$J$4+$M$4*$J$5+[49]FormattedData!M43^2*$J$6+$M$5*$J$7</f>
        <v>-0.6278315504005898</v>
      </c>
      <c r="U64" s="39">
        <f>$J$3+[49]FormattedData!N43*$J$4+$M$4*$J$5+[49]FormattedData!N43^2*$J$6+$M$5*$J$7</f>
        <v>-0.6278315504005898</v>
      </c>
      <c r="V64" s="39">
        <f>$J$3+[49]FormattedData!O43*$J$4+$M$4*$J$5+[49]FormattedData!O43^2*$J$6+$M$5*$J$7</f>
        <v>-0.6278315504005898</v>
      </c>
      <c r="W64" s="38">
        <f>AVERAGE(K64:V64)</f>
        <v>-0.62783155040058969</v>
      </c>
      <c r="X64" s="37">
        <f>STDEV(K64:V64)/SQRT(COUNT(K64:V64))</f>
        <v>3.3474483693592253E-17</v>
      </c>
      <c r="Y64" s="36">
        <f>MIN(K64:V64)</f>
        <v>-0.6278315504005898</v>
      </c>
      <c r="Z64" s="35">
        <f>QUARTILE(K64:V64,1)</f>
        <v>-0.6278315504005898</v>
      </c>
      <c r="AA64" s="36">
        <f>MEDIAN(K64:V64)</f>
        <v>-0.6278315504005898</v>
      </c>
      <c r="AB64" s="35">
        <f>QUARTILE(K64:V64,3)</f>
        <v>-0.6278315504005898</v>
      </c>
      <c r="AC64" s="35">
        <f>MAX(K64:V64)</f>
        <v>-0.6278315504005898</v>
      </c>
      <c r="AD64" s="35">
        <f>SKEW(K64:V64)</f>
        <v>-1.1489125293076057</v>
      </c>
      <c r="AE64" s="35">
        <f>KURT(K64:V64)</f>
        <v>-2.4444444444444446</v>
      </c>
    </row>
    <row r="65" spans="2:31" x14ac:dyDescent="0.2">
      <c r="B65" s="34">
        <f>[49]FormattedData!A45</f>
        <v>0</v>
      </c>
      <c r="C65" s="34" t="e">
        <f>VLOOKUP($B65,[49]TrtCodes!$B$11:I88,2)</f>
        <v>#N/A</v>
      </c>
      <c r="D65" s="34" t="e">
        <f>VLOOKUP($B65,[49]TrtCodes!$B$11:J88,3)</f>
        <v>#N/A</v>
      </c>
      <c r="E65" s="34" t="e">
        <f>VLOOKUP($B65,[49]TrtCodes!$B$11:K88,4)</f>
        <v>#N/A</v>
      </c>
      <c r="F65" s="34" t="e">
        <f>VLOOKUP($B65,[49]TrtCodes!$B$11:L88,5)</f>
        <v>#N/A</v>
      </c>
      <c r="G65" s="34" t="e">
        <f>VLOOKUP($B65,[49]TrtCodes!$B$11:M88,6)</f>
        <v>#N/A</v>
      </c>
      <c r="H65" s="34" t="e">
        <f>VLOOKUP($B65,[49]TrtCodes!$B$11:N88,7)</f>
        <v>#N/A</v>
      </c>
      <c r="I65" s="34">
        <f>[49]FormattedData!B45</f>
        <v>0</v>
      </c>
      <c r="J65" s="37">
        <f>[49]FormattedData!C45</f>
        <v>0</v>
      </c>
      <c r="K65" s="39">
        <f>$J$3+[49]FormattedData!D45*$J$4+$M$4*$J$5+[49]FormattedData!D45^2*$J$6+$M$5*$J$7</f>
        <v>-0.6278315504005898</v>
      </c>
      <c r="L65" s="39">
        <f>$J$3+[49]FormattedData!E45*$J$4+$M$4*$J$5+[49]FormattedData!E45^2*$J$6+$M$5*$J$7</f>
        <v>-0.6278315504005898</v>
      </c>
      <c r="M65" s="39">
        <f>$J$3+[49]FormattedData!F45*$J$4+$M$4*$J$5+[49]FormattedData!F45^2*$J$6+$M$5*$J$7</f>
        <v>-0.6278315504005898</v>
      </c>
      <c r="N65" s="39">
        <f>$J$3+[49]FormattedData!G45*$J$4+$M$4*$J$5+[49]FormattedData!G45^2*$J$6+$M$5*$J$7</f>
        <v>-0.6278315504005898</v>
      </c>
      <c r="O65" s="39">
        <f>$J$3+[49]FormattedData!H45*$J$4+$M$4*$J$5+[49]FormattedData!H45^2*$J$6+$M$5*$J$7</f>
        <v>-0.6278315504005898</v>
      </c>
      <c r="P65" s="39">
        <f>$J$3+[49]FormattedData!I45*$J$4+$M$4*$J$5+[49]FormattedData!I45^2*$J$6+$M$5*$J$7</f>
        <v>-0.6278315504005898</v>
      </c>
      <c r="Q65" s="39">
        <f>$J$3+[49]FormattedData!J45*$J$4+$M$4*$J$5+[49]FormattedData!J45^2*$J$6+$M$5*$J$7</f>
        <v>-0.6278315504005898</v>
      </c>
      <c r="R65" s="39">
        <f>$J$3+[49]FormattedData!K45*$J$4+$M$4*$J$5+[49]FormattedData!K45^2*$J$6+$M$5*$J$7</f>
        <v>-0.6278315504005898</v>
      </c>
      <c r="S65" s="39">
        <f>$J$3+[49]FormattedData!L45*$J$4+$M$4*$J$5+[49]FormattedData!L45^2*$J$6+$M$5*$J$7</f>
        <v>-0.6278315504005898</v>
      </c>
      <c r="T65" s="39">
        <f>$J$3+[49]FormattedData!M45*$J$4+$M$4*$J$5+[49]FormattedData!M45^2*$J$6+$M$5*$J$7</f>
        <v>-0.6278315504005898</v>
      </c>
      <c r="U65" s="39">
        <f>$J$3+[49]FormattedData!N45*$J$4+$M$4*$J$5+[49]FormattedData!N45^2*$J$6+$M$5*$J$7</f>
        <v>-0.6278315504005898</v>
      </c>
      <c r="V65" s="39">
        <f>$J$3+[49]FormattedData!O45*$J$4+$M$4*$J$5+[49]FormattedData!O45^2*$J$6+$M$5*$J$7</f>
        <v>-0.6278315504005898</v>
      </c>
      <c r="W65" s="38">
        <f>AVERAGE(K65:V65)</f>
        <v>-0.62783155040058969</v>
      </c>
      <c r="X65" s="37">
        <f>STDEV(K65:V65)/SQRT(COUNT(K65:V65))</f>
        <v>3.3474483693592253E-17</v>
      </c>
      <c r="Y65" s="36">
        <f>MIN(K65:V65)</f>
        <v>-0.6278315504005898</v>
      </c>
      <c r="Z65" s="35">
        <f>QUARTILE(K65:V65,1)</f>
        <v>-0.6278315504005898</v>
      </c>
      <c r="AA65" s="36">
        <f>MEDIAN(K65:V65)</f>
        <v>-0.6278315504005898</v>
      </c>
      <c r="AB65" s="35">
        <f>QUARTILE(K65:V65,3)</f>
        <v>-0.6278315504005898</v>
      </c>
      <c r="AC65" s="35">
        <f>MAX(K65:V65)</f>
        <v>-0.6278315504005898</v>
      </c>
      <c r="AD65" s="35">
        <f>SKEW(K65:V65)</f>
        <v>-1.1489125293076057</v>
      </c>
      <c r="AE65" s="35">
        <f>KURT(K65:V65)</f>
        <v>-2.4444444444444446</v>
      </c>
    </row>
    <row r="66" spans="2:31" x14ac:dyDescent="0.2">
      <c r="B66" s="34">
        <f>[49]FormattedData!A63</f>
        <v>0</v>
      </c>
      <c r="C66" s="34" t="e">
        <f>VLOOKUP($B66,[49]TrtCodes!$B$11:I106,2)</f>
        <v>#N/A</v>
      </c>
      <c r="D66" s="34" t="e">
        <f>VLOOKUP($B66,[49]TrtCodes!$B$11:J106,3)</f>
        <v>#N/A</v>
      </c>
      <c r="E66" s="34" t="e">
        <f>VLOOKUP($B66,[49]TrtCodes!$B$11:K106,4)</f>
        <v>#N/A</v>
      </c>
      <c r="F66" s="34" t="e">
        <f>VLOOKUP($B66,[49]TrtCodes!$B$11:L106,5)</f>
        <v>#N/A</v>
      </c>
      <c r="G66" s="34" t="e">
        <f>VLOOKUP($B66,[49]TrtCodes!$B$11:M106,6)</f>
        <v>#N/A</v>
      </c>
      <c r="H66" s="34" t="e">
        <f>VLOOKUP($B66,[49]TrtCodes!$B$11:N106,7)</f>
        <v>#N/A</v>
      </c>
      <c r="I66" s="34">
        <f>[49]FormattedData!B63</f>
        <v>0</v>
      </c>
      <c r="J66" s="37">
        <f>[49]FormattedData!C63</f>
        <v>0</v>
      </c>
      <c r="K66" s="39">
        <f>$J$3+[49]FormattedData!D63*$J$4+$M$4*$J$5+[49]FormattedData!D63^2*$J$6+$M$5*$J$7</f>
        <v>-0.6278315504005898</v>
      </c>
      <c r="L66" s="39">
        <f>$J$3+[49]FormattedData!E63*$J$4+$M$4*$J$5+[49]FormattedData!E63^2*$J$6+$M$5*$J$7</f>
        <v>-0.6278315504005898</v>
      </c>
      <c r="M66" s="39">
        <f>$J$3+[49]FormattedData!F63*$J$4+$M$4*$J$5+[49]FormattedData!F63^2*$J$6+$M$5*$J$7</f>
        <v>-0.6278315504005898</v>
      </c>
      <c r="N66" s="39">
        <f>$J$3+[49]FormattedData!G63*$J$4+$M$4*$J$5+[49]FormattedData!G63^2*$J$6+$M$5*$J$7</f>
        <v>-0.6278315504005898</v>
      </c>
      <c r="O66" s="39">
        <f>$J$3+[49]FormattedData!H63*$J$4+$M$4*$J$5+[49]FormattedData!H63^2*$J$6+$M$5*$J$7</f>
        <v>-0.6278315504005898</v>
      </c>
      <c r="P66" s="39">
        <f>$J$3+[49]FormattedData!I63*$J$4+$M$4*$J$5+[49]FormattedData!I63^2*$J$6+$M$5*$J$7</f>
        <v>-0.6278315504005898</v>
      </c>
      <c r="Q66" s="39">
        <f>$J$3+[49]FormattedData!J63*$J$4+$M$4*$J$5+[49]FormattedData!J63^2*$J$6+$M$5*$J$7</f>
        <v>-0.6278315504005898</v>
      </c>
      <c r="R66" s="39">
        <f>$J$3+[49]FormattedData!K63*$J$4+$M$4*$J$5+[49]FormattedData!K63^2*$J$6+$M$5*$J$7</f>
        <v>-0.6278315504005898</v>
      </c>
      <c r="S66" s="39">
        <f>$J$3+[49]FormattedData!L63*$J$4+$M$4*$J$5+[49]FormattedData!L63^2*$J$6+$M$5*$J$7</f>
        <v>-0.6278315504005898</v>
      </c>
      <c r="T66" s="39">
        <f>$J$3+[49]FormattedData!M63*$J$4+$M$4*$J$5+[49]FormattedData!M63^2*$J$6+$M$5*$J$7</f>
        <v>-0.6278315504005898</v>
      </c>
      <c r="U66" s="39">
        <f>$J$3+[49]FormattedData!N63*$J$4+$M$4*$J$5+[49]FormattedData!N63^2*$J$6+$M$5*$J$7</f>
        <v>-0.6278315504005898</v>
      </c>
      <c r="V66" s="39">
        <f>$J$3+[49]FormattedData!O63*$J$4+$M$4*$J$5+[49]FormattedData!O63^2*$J$6+$M$5*$J$7</f>
        <v>-0.6278315504005898</v>
      </c>
      <c r="W66" s="38">
        <f>AVERAGE(K66:V66)</f>
        <v>-0.62783155040058969</v>
      </c>
      <c r="X66" s="37">
        <f>STDEV(K66:V66)/SQRT(COUNT(K66:V66))</f>
        <v>3.3474483693592253E-17</v>
      </c>
      <c r="Y66" s="36">
        <f>MIN(K66:V66)</f>
        <v>-0.6278315504005898</v>
      </c>
      <c r="Z66" s="35">
        <f>QUARTILE(K66:V66,1)</f>
        <v>-0.6278315504005898</v>
      </c>
      <c r="AA66" s="36">
        <f>MEDIAN(K66:V66)</f>
        <v>-0.6278315504005898</v>
      </c>
      <c r="AB66" s="35">
        <f>QUARTILE(K66:V66,3)</f>
        <v>-0.6278315504005898</v>
      </c>
      <c r="AC66" s="35">
        <f>MAX(K66:V66)</f>
        <v>-0.6278315504005898</v>
      </c>
      <c r="AD66" s="35">
        <f>SKEW(K66:V66)</f>
        <v>-1.1489125293076057</v>
      </c>
      <c r="AE66" s="35">
        <f>KURT(K66:V66)</f>
        <v>-2.4444444444444446</v>
      </c>
    </row>
    <row r="67" spans="2:31" x14ac:dyDescent="0.2">
      <c r="B67" s="34">
        <f>[49]FormattedData!A65</f>
        <v>0</v>
      </c>
      <c r="C67" s="34" t="e">
        <f>VLOOKUP($B67,[49]TrtCodes!$B$11:I108,2)</f>
        <v>#N/A</v>
      </c>
      <c r="D67" s="34" t="e">
        <f>VLOOKUP($B67,[49]TrtCodes!$B$11:J108,3)</f>
        <v>#N/A</v>
      </c>
      <c r="E67" s="34" t="e">
        <f>VLOOKUP($B67,[49]TrtCodes!$B$11:K108,4)</f>
        <v>#N/A</v>
      </c>
      <c r="F67" s="34" t="e">
        <f>VLOOKUP($B67,[49]TrtCodes!$B$11:L108,5)</f>
        <v>#N/A</v>
      </c>
      <c r="G67" s="34" t="e">
        <f>VLOOKUP($B67,[49]TrtCodes!$B$11:M108,6)</f>
        <v>#N/A</v>
      </c>
      <c r="H67" s="34" t="e">
        <f>VLOOKUP($B67,[49]TrtCodes!$B$11:N108,7)</f>
        <v>#N/A</v>
      </c>
      <c r="I67" s="34">
        <f>[49]FormattedData!B65</f>
        <v>0</v>
      </c>
      <c r="J67" s="37">
        <f>[49]FormattedData!C65</f>
        <v>0</v>
      </c>
      <c r="K67" s="39">
        <f>$J$3+[49]FormattedData!D65*$J$4+$M$4*$J$5+[49]FormattedData!D65^2*$J$6+$M$5*$J$7</f>
        <v>-0.6278315504005898</v>
      </c>
      <c r="L67" s="39">
        <f>$J$3+[49]FormattedData!E65*$J$4+$M$4*$J$5+[49]FormattedData!E65^2*$J$6+$M$5*$J$7</f>
        <v>-0.6278315504005898</v>
      </c>
      <c r="M67" s="39">
        <f>$J$3+[49]FormattedData!F65*$J$4+$M$4*$J$5+[49]FormattedData!F65^2*$J$6+$M$5*$J$7</f>
        <v>-0.6278315504005898</v>
      </c>
      <c r="N67" s="39">
        <f>$J$3+[49]FormattedData!G65*$J$4+$M$4*$J$5+[49]FormattedData!G65^2*$J$6+$M$5*$J$7</f>
        <v>-0.6278315504005898</v>
      </c>
      <c r="O67" s="39">
        <f>$J$3+[49]FormattedData!H65*$J$4+$M$4*$J$5+[49]FormattedData!H65^2*$J$6+$M$5*$J$7</f>
        <v>-0.6278315504005898</v>
      </c>
      <c r="P67" s="39">
        <f>$J$3+[49]FormattedData!I65*$J$4+$M$4*$J$5+[49]FormattedData!I65^2*$J$6+$M$5*$J$7</f>
        <v>-0.6278315504005898</v>
      </c>
      <c r="Q67" s="39">
        <f>$J$3+[49]FormattedData!J65*$J$4+$M$4*$J$5+[49]FormattedData!J65^2*$J$6+$M$5*$J$7</f>
        <v>-0.6278315504005898</v>
      </c>
      <c r="R67" s="39">
        <f>$J$3+[49]FormattedData!K65*$J$4+$M$4*$J$5+[49]FormattedData!K65^2*$J$6+$M$5*$J$7</f>
        <v>-0.6278315504005898</v>
      </c>
      <c r="S67" s="39">
        <f>$J$3+[49]FormattedData!L65*$J$4+$M$4*$J$5+[49]FormattedData!L65^2*$J$6+$M$5*$J$7</f>
        <v>-0.6278315504005898</v>
      </c>
      <c r="T67" s="39">
        <f>$J$3+[49]FormattedData!M65*$J$4+$M$4*$J$5+[49]FormattedData!M65^2*$J$6+$M$5*$J$7</f>
        <v>-0.6278315504005898</v>
      </c>
      <c r="U67" s="39">
        <f>$J$3+[49]FormattedData!N65*$J$4+$M$4*$J$5+[49]FormattedData!N65^2*$J$6+$M$5*$J$7</f>
        <v>-0.6278315504005898</v>
      </c>
      <c r="V67" s="39">
        <f>$J$3+[49]FormattedData!O65*$J$4+$M$4*$J$5+[49]FormattedData!O65^2*$J$6+$M$5*$J$7</f>
        <v>-0.6278315504005898</v>
      </c>
      <c r="W67" s="38">
        <f>AVERAGE(K67:V67)</f>
        <v>-0.62783155040058969</v>
      </c>
      <c r="X67" s="37">
        <f>STDEV(K67:V67)/SQRT(COUNT(K67:V67))</f>
        <v>3.3474483693592253E-17</v>
      </c>
      <c r="Y67" s="36">
        <f>MIN(K67:V67)</f>
        <v>-0.6278315504005898</v>
      </c>
      <c r="Z67" s="35">
        <f>QUARTILE(K67:V67,1)</f>
        <v>-0.6278315504005898</v>
      </c>
      <c r="AA67" s="36">
        <f>MEDIAN(K67:V67)</f>
        <v>-0.6278315504005898</v>
      </c>
      <c r="AB67" s="35">
        <f>QUARTILE(K67:V67,3)</f>
        <v>-0.6278315504005898</v>
      </c>
      <c r="AC67" s="35">
        <f>MAX(K67:V67)</f>
        <v>-0.6278315504005898</v>
      </c>
      <c r="AD67" s="35">
        <f>SKEW(K67:V67)</f>
        <v>-1.1489125293076057</v>
      </c>
      <c r="AE67" s="35">
        <f>KURT(K67:V67)</f>
        <v>-2.4444444444444446</v>
      </c>
    </row>
    <row r="68" spans="2:31" x14ac:dyDescent="0.2">
      <c r="B68" s="34">
        <f>[49]FormattedData!A67</f>
        <v>0</v>
      </c>
      <c r="C68" s="34" t="e">
        <f>VLOOKUP($B68,[49]TrtCodes!$B$11:I110,2)</f>
        <v>#N/A</v>
      </c>
      <c r="D68" s="34" t="e">
        <f>VLOOKUP($B68,[49]TrtCodes!$B$11:J110,3)</f>
        <v>#N/A</v>
      </c>
      <c r="E68" s="34" t="e">
        <f>VLOOKUP($B68,[49]TrtCodes!$B$11:K110,4)</f>
        <v>#N/A</v>
      </c>
      <c r="F68" s="34" t="e">
        <f>VLOOKUP($B68,[49]TrtCodes!$B$11:L110,5)</f>
        <v>#N/A</v>
      </c>
      <c r="G68" s="34" t="e">
        <f>VLOOKUP($B68,[49]TrtCodes!$B$11:M110,6)</f>
        <v>#N/A</v>
      </c>
      <c r="H68" s="34" t="e">
        <f>VLOOKUP($B68,[49]TrtCodes!$B$11:N110,7)</f>
        <v>#N/A</v>
      </c>
      <c r="I68" s="34">
        <f>[49]FormattedData!B67</f>
        <v>0</v>
      </c>
      <c r="J68" s="37">
        <f>[49]FormattedData!C67</f>
        <v>0</v>
      </c>
      <c r="K68" s="39">
        <f>$J$3+[49]FormattedData!D67*$J$4+$M$4*$J$5+[49]FormattedData!D67^2*$J$6+$M$5*$J$7</f>
        <v>-0.6278315504005898</v>
      </c>
      <c r="L68" s="39">
        <f>$J$3+[49]FormattedData!E67*$J$4+$M$4*$J$5+[49]FormattedData!E67^2*$J$6+$M$5*$J$7</f>
        <v>-0.6278315504005898</v>
      </c>
      <c r="M68" s="39">
        <f>$J$3+[49]FormattedData!F67*$J$4+$M$4*$J$5+[49]FormattedData!F67^2*$J$6+$M$5*$J$7</f>
        <v>-0.6278315504005898</v>
      </c>
      <c r="N68" s="39">
        <f>$J$3+[49]FormattedData!G67*$J$4+$M$4*$J$5+[49]FormattedData!G67^2*$J$6+$M$5*$J$7</f>
        <v>-0.6278315504005898</v>
      </c>
      <c r="O68" s="39">
        <f>$J$3+[49]FormattedData!H67*$J$4+$M$4*$J$5+[49]FormattedData!H67^2*$J$6+$M$5*$J$7</f>
        <v>-0.6278315504005898</v>
      </c>
      <c r="P68" s="39">
        <f>$J$3+[49]FormattedData!I67*$J$4+$M$4*$J$5+[49]FormattedData!I67^2*$J$6+$M$5*$J$7</f>
        <v>-0.6278315504005898</v>
      </c>
      <c r="Q68" s="39">
        <f>$J$3+[49]FormattedData!J67*$J$4+$M$4*$J$5+[49]FormattedData!J67^2*$J$6+$M$5*$J$7</f>
        <v>-0.6278315504005898</v>
      </c>
      <c r="R68" s="39">
        <f>$J$3+[49]FormattedData!K67*$J$4+$M$4*$J$5+[49]FormattedData!K67^2*$J$6+$M$5*$J$7</f>
        <v>-0.6278315504005898</v>
      </c>
      <c r="S68" s="39">
        <f>$J$3+[49]FormattedData!L67*$J$4+$M$4*$J$5+[49]FormattedData!L67^2*$J$6+$M$5*$J$7</f>
        <v>-0.6278315504005898</v>
      </c>
      <c r="T68" s="39">
        <f>$J$3+[49]FormattedData!M67*$J$4+$M$4*$J$5+[49]FormattedData!M67^2*$J$6+$M$5*$J$7</f>
        <v>-0.6278315504005898</v>
      </c>
      <c r="U68" s="39">
        <f>$J$3+[49]FormattedData!N67*$J$4+$M$4*$J$5+[49]FormattedData!N67^2*$J$6+$M$5*$J$7</f>
        <v>-0.6278315504005898</v>
      </c>
      <c r="V68" s="39">
        <f>$J$3+[49]FormattedData!O67*$J$4+$M$4*$J$5+[49]FormattedData!O67^2*$J$6+$M$5*$J$7</f>
        <v>-0.6278315504005898</v>
      </c>
      <c r="W68" s="38">
        <f>AVERAGE(K68:V68)</f>
        <v>-0.62783155040058969</v>
      </c>
      <c r="X68" s="37">
        <f>STDEV(K68:V68)/SQRT(COUNT(K68:V68))</f>
        <v>3.3474483693592253E-17</v>
      </c>
      <c r="Y68" s="36">
        <f>MIN(K68:V68)</f>
        <v>-0.6278315504005898</v>
      </c>
      <c r="Z68" s="35">
        <f>QUARTILE(K68:V68,1)</f>
        <v>-0.6278315504005898</v>
      </c>
      <c r="AA68" s="36">
        <f>MEDIAN(K68:V68)</f>
        <v>-0.6278315504005898</v>
      </c>
      <c r="AB68" s="35">
        <f>QUARTILE(K68:V68,3)</f>
        <v>-0.6278315504005898</v>
      </c>
      <c r="AC68" s="35">
        <f>MAX(K68:V68)</f>
        <v>-0.6278315504005898</v>
      </c>
      <c r="AD68" s="35">
        <f>SKEW(K68:V68)</f>
        <v>-1.1489125293076057</v>
      </c>
      <c r="AE68" s="35">
        <f>KURT(K68:V68)</f>
        <v>-2.4444444444444446</v>
      </c>
    </row>
    <row r="69" spans="2:31" x14ac:dyDescent="0.2">
      <c r="B69" s="34">
        <f>[49]FormattedData!A69</f>
        <v>0</v>
      </c>
      <c r="C69" s="34" t="e">
        <f>VLOOKUP($B69,[49]TrtCodes!$B$11:I112,2)</f>
        <v>#N/A</v>
      </c>
      <c r="D69" s="34" t="e">
        <f>VLOOKUP($B69,[49]TrtCodes!$B$11:J112,3)</f>
        <v>#N/A</v>
      </c>
      <c r="E69" s="34" t="e">
        <f>VLOOKUP($B69,[49]TrtCodes!$B$11:K112,4)</f>
        <v>#N/A</v>
      </c>
      <c r="F69" s="34" t="e">
        <f>VLOOKUP($B69,[49]TrtCodes!$B$11:L112,5)</f>
        <v>#N/A</v>
      </c>
      <c r="G69" s="34" t="e">
        <f>VLOOKUP($B69,[49]TrtCodes!$B$11:M112,6)</f>
        <v>#N/A</v>
      </c>
      <c r="H69" s="34" t="e">
        <f>VLOOKUP($B69,[49]TrtCodes!$B$11:N112,7)</f>
        <v>#N/A</v>
      </c>
      <c r="I69" s="34">
        <f>[49]FormattedData!B69</f>
        <v>0</v>
      </c>
      <c r="J69" s="37">
        <f>[49]FormattedData!C69</f>
        <v>0</v>
      </c>
      <c r="K69" s="39">
        <f>$J$3+[49]FormattedData!D69*$J$4+$M$4*$J$5+[49]FormattedData!D69^2*$J$6+$M$5*$J$7</f>
        <v>-0.6278315504005898</v>
      </c>
      <c r="L69" s="39">
        <f>$J$3+[49]FormattedData!E69*$J$4+$M$4*$J$5+[49]FormattedData!E69^2*$J$6+$M$5*$J$7</f>
        <v>-0.6278315504005898</v>
      </c>
      <c r="M69" s="39">
        <f>$J$3+[49]FormattedData!F69*$J$4+$M$4*$J$5+[49]FormattedData!F69^2*$J$6+$M$5*$J$7</f>
        <v>-0.6278315504005898</v>
      </c>
      <c r="N69" s="39">
        <f>$J$3+[49]FormattedData!G69*$J$4+$M$4*$J$5+[49]FormattedData!G69^2*$J$6+$M$5*$J$7</f>
        <v>-0.6278315504005898</v>
      </c>
      <c r="O69" s="39">
        <f>$J$3+[49]FormattedData!H69*$J$4+$M$4*$J$5+[49]FormattedData!H69^2*$J$6+$M$5*$J$7</f>
        <v>-0.6278315504005898</v>
      </c>
      <c r="P69" s="39">
        <f>$J$3+[49]FormattedData!I69*$J$4+$M$4*$J$5+[49]FormattedData!I69^2*$J$6+$M$5*$J$7</f>
        <v>-0.6278315504005898</v>
      </c>
      <c r="Q69" s="39">
        <f>$J$3+[49]FormattedData!J69*$J$4+$M$4*$J$5+[49]FormattedData!J69^2*$J$6+$M$5*$J$7</f>
        <v>-0.6278315504005898</v>
      </c>
      <c r="R69" s="39">
        <f>$J$3+[49]FormattedData!K69*$J$4+$M$4*$J$5+[49]FormattedData!K69^2*$J$6+$M$5*$J$7</f>
        <v>-0.6278315504005898</v>
      </c>
      <c r="S69" s="39">
        <f>$J$3+[49]FormattedData!L69*$J$4+$M$4*$J$5+[49]FormattedData!L69^2*$J$6+$M$5*$J$7</f>
        <v>-0.6278315504005898</v>
      </c>
      <c r="T69" s="39">
        <f>$J$3+[49]FormattedData!M69*$J$4+$M$4*$J$5+[49]FormattedData!M69^2*$J$6+$M$5*$J$7</f>
        <v>-0.6278315504005898</v>
      </c>
      <c r="U69" s="39">
        <f>$J$3+[49]FormattedData!N69*$J$4+$M$4*$J$5+[49]FormattedData!N69^2*$J$6+$M$5*$J$7</f>
        <v>-0.6278315504005898</v>
      </c>
      <c r="V69" s="39">
        <f>$J$3+[49]FormattedData!O69*$J$4+$M$4*$J$5+[49]FormattedData!O69^2*$J$6+$M$5*$J$7</f>
        <v>-0.6278315504005898</v>
      </c>
      <c r="W69" s="38">
        <f>AVERAGE(K69:V69)</f>
        <v>-0.62783155040058969</v>
      </c>
      <c r="X69" s="37">
        <f>STDEV(K69:V69)/SQRT(COUNT(K69:V69))</f>
        <v>3.3474483693592253E-17</v>
      </c>
      <c r="Y69" s="36">
        <f>MIN(K69:V69)</f>
        <v>-0.6278315504005898</v>
      </c>
      <c r="Z69" s="35">
        <f>QUARTILE(K69:V69,1)</f>
        <v>-0.6278315504005898</v>
      </c>
      <c r="AA69" s="36">
        <f>MEDIAN(K69:V69)</f>
        <v>-0.6278315504005898</v>
      </c>
      <c r="AB69" s="35">
        <f>QUARTILE(K69:V69,3)</f>
        <v>-0.6278315504005898</v>
      </c>
      <c r="AC69" s="35">
        <f>MAX(K69:V69)</f>
        <v>-0.6278315504005898</v>
      </c>
      <c r="AD69" s="35">
        <f>SKEW(K69:V69)</f>
        <v>-1.1489125293076057</v>
      </c>
      <c r="AE69" s="35">
        <f>KURT(K69:V69)</f>
        <v>-2.4444444444444446</v>
      </c>
    </row>
    <row r="70" spans="2:31" x14ac:dyDescent="0.2">
      <c r="B70" s="34">
        <f>[49]FormattedData!A71</f>
        <v>0</v>
      </c>
      <c r="C70" s="34" t="e">
        <f>VLOOKUP($B70,[49]TrtCodes!$B$11:I114,2)</f>
        <v>#N/A</v>
      </c>
      <c r="D70" s="34" t="e">
        <f>VLOOKUP($B70,[49]TrtCodes!$B$11:J114,3)</f>
        <v>#N/A</v>
      </c>
      <c r="E70" s="34" t="e">
        <f>VLOOKUP($B70,[49]TrtCodes!$B$11:K114,4)</f>
        <v>#N/A</v>
      </c>
      <c r="F70" s="34" t="e">
        <f>VLOOKUP($B70,[49]TrtCodes!$B$11:L114,5)</f>
        <v>#N/A</v>
      </c>
      <c r="G70" s="34" t="e">
        <f>VLOOKUP($B70,[49]TrtCodes!$B$11:M114,6)</f>
        <v>#N/A</v>
      </c>
      <c r="H70" s="34" t="e">
        <f>VLOOKUP($B70,[49]TrtCodes!$B$11:N114,7)</f>
        <v>#N/A</v>
      </c>
      <c r="I70" s="34">
        <f>[49]FormattedData!B71</f>
        <v>0</v>
      </c>
      <c r="J70" s="37">
        <f>[49]FormattedData!C71</f>
        <v>0</v>
      </c>
      <c r="K70" s="39">
        <f>$J$3+[49]FormattedData!D71*$J$4+$M$4*$J$5+[49]FormattedData!D71^2*$J$6+$M$5*$J$7</f>
        <v>-0.6278315504005898</v>
      </c>
      <c r="L70" s="39">
        <f>$J$3+[49]FormattedData!E71*$J$4+$M$4*$J$5+[49]FormattedData!E71^2*$J$6+$M$5*$J$7</f>
        <v>-0.6278315504005898</v>
      </c>
      <c r="M70" s="39">
        <f>$J$3+[49]FormattedData!F71*$J$4+$M$4*$J$5+[49]FormattedData!F71^2*$J$6+$M$5*$J$7</f>
        <v>-0.6278315504005898</v>
      </c>
      <c r="N70" s="39">
        <f>$J$3+[49]FormattedData!G71*$J$4+$M$4*$J$5+[49]FormattedData!G71^2*$J$6+$M$5*$J$7</f>
        <v>-0.6278315504005898</v>
      </c>
      <c r="O70" s="39">
        <f>$J$3+[49]FormattedData!H71*$J$4+$M$4*$J$5+[49]FormattedData!H71^2*$J$6+$M$5*$J$7</f>
        <v>-0.6278315504005898</v>
      </c>
      <c r="P70" s="39">
        <f>$J$3+[49]FormattedData!I71*$J$4+$M$4*$J$5+[49]FormattedData!I71^2*$J$6+$M$5*$J$7</f>
        <v>-0.6278315504005898</v>
      </c>
      <c r="Q70" s="39">
        <f>$J$3+[49]FormattedData!J71*$J$4+$M$4*$J$5+[49]FormattedData!J71^2*$J$6+$M$5*$J$7</f>
        <v>-0.6278315504005898</v>
      </c>
      <c r="R70" s="39">
        <f>$J$3+[49]FormattedData!K71*$J$4+$M$4*$J$5+[49]FormattedData!K71^2*$J$6+$M$5*$J$7</f>
        <v>-0.6278315504005898</v>
      </c>
      <c r="S70" s="39">
        <f>$J$3+[49]FormattedData!L71*$J$4+$M$4*$J$5+[49]FormattedData!L71^2*$J$6+$M$5*$J$7</f>
        <v>-0.6278315504005898</v>
      </c>
      <c r="T70" s="39">
        <f>$J$3+[49]FormattedData!M71*$J$4+$M$4*$J$5+[49]FormattedData!M71^2*$J$6+$M$5*$J$7</f>
        <v>-0.6278315504005898</v>
      </c>
      <c r="U70" s="39">
        <f>$J$3+[49]FormattedData!N71*$J$4+$M$4*$J$5+[49]FormattedData!N71^2*$J$6+$M$5*$J$7</f>
        <v>-0.6278315504005898</v>
      </c>
      <c r="V70" s="39">
        <f>$J$3+[49]FormattedData!O71*$J$4+$M$4*$J$5+[49]FormattedData!O71^2*$J$6+$M$5*$J$7</f>
        <v>-0.6278315504005898</v>
      </c>
      <c r="W70" s="38">
        <f>AVERAGE(K70:V70)</f>
        <v>-0.62783155040058969</v>
      </c>
      <c r="X70" s="37">
        <f>STDEV(K70:V70)/SQRT(COUNT(K70:V70))</f>
        <v>3.3474483693592253E-17</v>
      </c>
      <c r="Y70" s="36">
        <f>MIN(K70:V70)</f>
        <v>-0.6278315504005898</v>
      </c>
      <c r="Z70" s="35">
        <f>QUARTILE(K70:V70,1)</f>
        <v>-0.6278315504005898</v>
      </c>
      <c r="AA70" s="36">
        <f>MEDIAN(K70:V70)</f>
        <v>-0.6278315504005898</v>
      </c>
      <c r="AB70" s="35">
        <f>QUARTILE(K70:V70,3)</f>
        <v>-0.6278315504005898</v>
      </c>
      <c r="AC70" s="35">
        <f>MAX(K70:V70)</f>
        <v>-0.6278315504005898</v>
      </c>
      <c r="AD70" s="35">
        <f>SKEW(K70:V70)</f>
        <v>-1.1489125293076057</v>
      </c>
      <c r="AE70" s="35">
        <f>KURT(K70:V70)</f>
        <v>-2.4444444444444446</v>
      </c>
    </row>
    <row r="71" spans="2:31" x14ac:dyDescent="0.2">
      <c r="B71" s="34">
        <f>[49]FormattedData!A73</f>
        <v>0</v>
      </c>
      <c r="C71" s="34" t="e">
        <f>VLOOKUP($B71,[49]TrtCodes!$B$11:I116,2)</f>
        <v>#N/A</v>
      </c>
      <c r="D71" s="34" t="e">
        <f>VLOOKUP($B71,[49]TrtCodes!$B$11:J116,3)</f>
        <v>#N/A</v>
      </c>
      <c r="E71" s="34" t="e">
        <f>VLOOKUP($B71,[49]TrtCodes!$B$11:K116,4)</f>
        <v>#N/A</v>
      </c>
      <c r="F71" s="34" t="e">
        <f>VLOOKUP($B71,[49]TrtCodes!$B$11:L116,5)</f>
        <v>#N/A</v>
      </c>
      <c r="G71" s="34" t="e">
        <f>VLOOKUP($B71,[49]TrtCodes!$B$11:M116,6)</f>
        <v>#N/A</v>
      </c>
      <c r="H71" s="34" t="e">
        <f>VLOOKUP($B71,[49]TrtCodes!$B$11:N116,7)</f>
        <v>#N/A</v>
      </c>
      <c r="I71" s="34">
        <f>[49]FormattedData!B73</f>
        <v>0</v>
      </c>
      <c r="J71" s="37">
        <f>[49]FormattedData!C73</f>
        <v>0</v>
      </c>
      <c r="K71" s="39">
        <f>$J$3+[49]FormattedData!D73*$J$4+$M$4*$J$5+[49]FormattedData!D73^2*$J$6+$M$5*$J$7</f>
        <v>-0.6278315504005898</v>
      </c>
      <c r="L71" s="39">
        <f>$J$3+[49]FormattedData!E73*$J$4+$M$4*$J$5+[49]FormattedData!E73^2*$J$6+$M$5*$J$7</f>
        <v>-0.6278315504005898</v>
      </c>
      <c r="M71" s="39">
        <f>$J$3+[49]FormattedData!F73*$J$4+$M$4*$J$5+[49]FormattedData!F73^2*$J$6+$M$5*$J$7</f>
        <v>-0.6278315504005898</v>
      </c>
      <c r="N71" s="39">
        <f>$J$3+[49]FormattedData!G73*$J$4+$M$4*$J$5+[49]FormattedData!G73^2*$J$6+$M$5*$J$7</f>
        <v>-0.6278315504005898</v>
      </c>
      <c r="O71" s="39">
        <f>$J$3+[49]FormattedData!H73*$J$4+$M$4*$J$5+[49]FormattedData!H73^2*$J$6+$M$5*$J$7</f>
        <v>-0.6278315504005898</v>
      </c>
      <c r="P71" s="39">
        <f>$J$3+[49]FormattedData!I73*$J$4+$M$4*$J$5+[49]FormattedData!I73^2*$J$6+$M$5*$J$7</f>
        <v>-0.6278315504005898</v>
      </c>
      <c r="Q71" s="39">
        <f>$J$3+[49]FormattedData!J73*$J$4+$M$4*$J$5+[49]FormattedData!J73^2*$J$6+$M$5*$J$7</f>
        <v>-0.6278315504005898</v>
      </c>
      <c r="R71" s="39">
        <f>$J$3+[49]FormattedData!K73*$J$4+$M$4*$J$5+[49]FormattedData!K73^2*$J$6+$M$5*$J$7</f>
        <v>-0.6278315504005898</v>
      </c>
      <c r="S71" s="39">
        <f>$J$3+[49]FormattedData!L73*$J$4+$M$4*$J$5+[49]FormattedData!L73^2*$J$6+$M$5*$J$7</f>
        <v>-0.6278315504005898</v>
      </c>
      <c r="T71" s="39">
        <f>$J$3+[49]FormattedData!M73*$J$4+$M$4*$J$5+[49]FormattedData!M73^2*$J$6+$M$5*$J$7</f>
        <v>-0.6278315504005898</v>
      </c>
      <c r="U71" s="39">
        <f>$J$3+[49]FormattedData!N73*$J$4+$M$4*$J$5+[49]FormattedData!N73^2*$J$6+$M$5*$J$7</f>
        <v>-0.6278315504005898</v>
      </c>
      <c r="V71" s="39">
        <f>$J$3+[49]FormattedData!O73*$J$4+$M$4*$J$5+[49]FormattedData!O73^2*$J$6+$M$5*$J$7</f>
        <v>-0.6278315504005898</v>
      </c>
      <c r="W71" s="38">
        <f>AVERAGE(K71:V71)</f>
        <v>-0.62783155040058969</v>
      </c>
      <c r="X71" s="37">
        <f>STDEV(K71:V71)/SQRT(COUNT(K71:V71))</f>
        <v>3.3474483693592253E-17</v>
      </c>
      <c r="Y71" s="36">
        <f>MIN(K71:V71)</f>
        <v>-0.6278315504005898</v>
      </c>
      <c r="Z71" s="35">
        <f>QUARTILE(K71:V71,1)</f>
        <v>-0.6278315504005898</v>
      </c>
      <c r="AA71" s="36">
        <f>MEDIAN(K71:V71)</f>
        <v>-0.6278315504005898</v>
      </c>
      <c r="AB71" s="35">
        <f>QUARTILE(K71:V71,3)</f>
        <v>-0.6278315504005898</v>
      </c>
      <c r="AC71" s="35">
        <f>MAX(K71:V71)</f>
        <v>-0.6278315504005898</v>
      </c>
      <c r="AD71" s="35">
        <f>SKEW(K71:V71)</f>
        <v>-1.1489125293076057</v>
      </c>
      <c r="AE71" s="35">
        <f>KURT(K71:V71)</f>
        <v>-2.4444444444444446</v>
      </c>
    </row>
    <row r="72" spans="2:31" x14ac:dyDescent="0.2">
      <c r="B72" s="34">
        <f>[49]FormattedData!A75</f>
        <v>0</v>
      </c>
      <c r="C72" s="34" t="e">
        <f>VLOOKUP($B72,[49]TrtCodes!$B$11:I118,2)</f>
        <v>#N/A</v>
      </c>
      <c r="D72" s="34" t="e">
        <f>VLOOKUP($B72,[49]TrtCodes!$B$11:J118,3)</f>
        <v>#N/A</v>
      </c>
      <c r="E72" s="34" t="e">
        <f>VLOOKUP($B72,[49]TrtCodes!$B$11:K118,4)</f>
        <v>#N/A</v>
      </c>
      <c r="F72" s="34" t="e">
        <f>VLOOKUP($B72,[49]TrtCodes!$B$11:L118,5)</f>
        <v>#N/A</v>
      </c>
      <c r="G72" s="34" t="e">
        <f>VLOOKUP($B72,[49]TrtCodes!$B$11:M118,6)</f>
        <v>#N/A</v>
      </c>
      <c r="H72" s="34" t="e">
        <f>VLOOKUP($B72,[49]TrtCodes!$B$11:N118,7)</f>
        <v>#N/A</v>
      </c>
      <c r="I72" s="34">
        <f>[49]FormattedData!B75</f>
        <v>0</v>
      </c>
      <c r="J72" s="37">
        <f>[49]FormattedData!C75</f>
        <v>0</v>
      </c>
      <c r="K72" s="39">
        <f>$J$3+[49]FormattedData!D75*$J$4+$M$4*$J$5+[49]FormattedData!D75^2*$J$6+$M$5*$J$7</f>
        <v>-0.6278315504005898</v>
      </c>
      <c r="L72" s="39">
        <f>$J$3+[49]FormattedData!E75*$J$4+$M$4*$J$5+[49]FormattedData!E75^2*$J$6+$M$5*$J$7</f>
        <v>-0.6278315504005898</v>
      </c>
      <c r="M72" s="39">
        <f>$J$3+[49]FormattedData!F75*$J$4+$M$4*$J$5+[49]FormattedData!F75^2*$J$6+$M$5*$J$7</f>
        <v>-0.6278315504005898</v>
      </c>
      <c r="N72" s="39">
        <f>$J$3+[49]FormattedData!G75*$J$4+$M$4*$J$5+[49]FormattedData!G75^2*$J$6+$M$5*$J$7</f>
        <v>-0.6278315504005898</v>
      </c>
      <c r="O72" s="39">
        <f>$J$3+[49]FormattedData!H75*$J$4+$M$4*$J$5+[49]FormattedData!H75^2*$J$6+$M$5*$J$7</f>
        <v>-0.6278315504005898</v>
      </c>
      <c r="P72" s="39">
        <f>$J$3+[49]FormattedData!I75*$J$4+$M$4*$J$5+[49]FormattedData!I75^2*$J$6+$M$5*$J$7</f>
        <v>-0.6278315504005898</v>
      </c>
      <c r="Q72" s="39">
        <f>$J$3+[49]FormattedData!J75*$J$4+$M$4*$J$5+[49]FormattedData!J75^2*$J$6+$M$5*$J$7</f>
        <v>-0.6278315504005898</v>
      </c>
      <c r="R72" s="39">
        <f>$J$3+[49]FormattedData!K75*$J$4+$M$4*$J$5+[49]FormattedData!K75^2*$J$6+$M$5*$J$7</f>
        <v>-0.6278315504005898</v>
      </c>
      <c r="S72" s="39">
        <f>$J$3+[49]FormattedData!L75*$J$4+$M$4*$J$5+[49]FormattedData!L75^2*$J$6+$M$5*$J$7</f>
        <v>-0.6278315504005898</v>
      </c>
      <c r="T72" s="39">
        <f>$J$3+[49]FormattedData!M75*$J$4+$M$4*$J$5+[49]FormattedData!M75^2*$J$6+$M$5*$J$7</f>
        <v>-0.6278315504005898</v>
      </c>
      <c r="U72" s="39">
        <f>$J$3+[49]FormattedData!N75*$J$4+$M$4*$J$5+[49]FormattedData!N75^2*$J$6+$M$5*$J$7</f>
        <v>-0.6278315504005898</v>
      </c>
      <c r="V72" s="39">
        <f>$J$3+[49]FormattedData!O75*$J$4+$M$4*$J$5+[49]FormattedData!O75^2*$J$6+$M$5*$J$7</f>
        <v>-0.6278315504005898</v>
      </c>
      <c r="W72" s="38">
        <f>AVERAGE(K72:V72)</f>
        <v>-0.62783155040058969</v>
      </c>
      <c r="X72" s="37">
        <f>STDEV(K72:V72)/SQRT(COUNT(K72:V72))</f>
        <v>3.3474483693592253E-17</v>
      </c>
      <c r="Y72" s="36">
        <f>MIN(K72:V72)</f>
        <v>-0.6278315504005898</v>
      </c>
      <c r="Z72" s="35">
        <f>QUARTILE(K72:V72,1)</f>
        <v>-0.6278315504005898</v>
      </c>
      <c r="AA72" s="36">
        <f>MEDIAN(K72:V72)</f>
        <v>-0.6278315504005898</v>
      </c>
      <c r="AB72" s="35">
        <f>QUARTILE(K72:V72,3)</f>
        <v>-0.6278315504005898</v>
      </c>
      <c r="AC72" s="35">
        <f>MAX(K72:V72)</f>
        <v>-0.6278315504005898</v>
      </c>
      <c r="AD72" s="35">
        <f>SKEW(K72:V72)</f>
        <v>-1.1489125293076057</v>
      </c>
      <c r="AE72" s="35">
        <f>KURT(K72:V72)</f>
        <v>-2.4444444444444446</v>
      </c>
    </row>
    <row r="73" spans="2:31" x14ac:dyDescent="0.2">
      <c r="B73" s="34">
        <f>[49]FormattedData!A77</f>
        <v>0</v>
      </c>
      <c r="C73" s="34" t="e">
        <f>VLOOKUP($B73,[49]TrtCodes!$B$11:I120,2)</f>
        <v>#N/A</v>
      </c>
      <c r="D73" s="34" t="e">
        <f>VLOOKUP($B73,[49]TrtCodes!$B$11:J120,3)</f>
        <v>#N/A</v>
      </c>
      <c r="E73" s="34" t="e">
        <f>VLOOKUP($B73,[49]TrtCodes!$B$11:K120,4)</f>
        <v>#N/A</v>
      </c>
      <c r="F73" s="34" t="e">
        <f>VLOOKUP($B73,[49]TrtCodes!$B$11:L120,5)</f>
        <v>#N/A</v>
      </c>
      <c r="G73" s="34" t="e">
        <f>VLOOKUP($B73,[49]TrtCodes!$B$11:M120,6)</f>
        <v>#N/A</v>
      </c>
      <c r="H73" s="34" t="e">
        <f>VLOOKUP($B73,[49]TrtCodes!$B$11:N120,7)</f>
        <v>#N/A</v>
      </c>
      <c r="I73" s="34">
        <f>[49]FormattedData!B77</f>
        <v>0</v>
      </c>
      <c r="J73" s="37">
        <f>[49]FormattedData!C77</f>
        <v>0</v>
      </c>
      <c r="K73" s="39">
        <f>$J$3+[49]FormattedData!D77*$J$4+$M$4*$J$5+[49]FormattedData!D77^2*$J$6+$M$5*$J$7</f>
        <v>-0.6278315504005898</v>
      </c>
      <c r="L73" s="39">
        <f>$J$3+[49]FormattedData!E77*$J$4+$M$4*$J$5+[49]FormattedData!E77^2*$J$6+$M$5*$J$7</f>
        <v>-0.6278315504005898</v>
      </c>
      <c r="M73" s="39">
        <f>$J$3+[49]FormattedData!F77*$J$4+$M$4*$J$5+[49]FormattedData!F77^2*$J$6+$M$5*$J$7</f>
        <v>-0.6278315504005898</v>
      </c>
      <c r="N73" s="39">
        <f>$J$3+[49]FormattedData!G77*$J$4+$M$4*$J$5+[49]FormattedData!G77^2*$J$6+$M$5*$J$7</f>
        <v>-0.6278315504005898</v>
      </c>
      <c r="O73" s="39">
        <f>$J$3+[49]FormattedData!H77*$J$4+$M$4*$J$5+[49]FormattedData!H77^2*$J$6+$M$5*$J$7</f>
        <v>-0.6278315504005898</v>
      </c>
      <c r="P73" s="39">
        <f>$J$3+[49]FormattedData!I77*$J$4+$M$4*$J$5+[49]FormattedData!I77^2*$J$6+$M$5*$J$7</f>
        <v>-0.6278315504005898</v>
      </c>
      <c r="Q73" s="39">
        <f>$J$3+[49]FormattedData!J77*$J$4+$M$4*$J$5+[49]FormattedData!J77^2*$J$6+$M$5*$J$7</f>
        <v>-0.6278315504005898</v>
      </c>
      <c r="R73" s="39">
        <f>$J$3+[49]FormattedData!K77*$J$4+$M$4*$J$5+[49]FormattedData!K77^2*$J$6+$M$5*$J$7</f>
        <v>-0.6278315504005898</v>
      </c>
      <c r="S73" s="39">
        <f>$J$3+[49]FormattedData!L77*$J$4+$M$4*$J$5+[49]FormattedData!L77^2*$J$6+$M$5*$J$7</f>
        <v>-0.6278315504005898</v>
      </c>
      <c r="T73" s="39">
        <f>$J$3+[49]FormattedData!M77*$J$4+$M$4*$J$5+[49]FormattedData!M77^2*$J$6+$M$5*$J$7</f>
        <v>-0.6278315504005898</v>
      </c>
      <c r="U73" s="39">
        <f>$J$3+[49]FormattedData!N77*$J$4+$M$4*$J$5+[49]FormattedData!N77^2*$J$6+$M$5*$J$7</f>
        <v>-0.6278315504005898</v>
      </c>
      <c r="V73" s="39">
        <f>$J$3+[49]FormattedData!O77*$J$4+$M$4*$J$5+[49]FormattedData!O77^2*$J$6+$M$5*$J$7</f>
        <v>-0.6278315504005898</v>
      </c>
      <c r="W73" s="38">
        <f>AVERAGE(K73:V73)</f>
        <v>-0.62783155040058969</v>
      </c>
      <c r="X73" s="37">
        <f>STDEV(K73:V73)/SQRT(COUNT(K73:V73))</f>
        <v>3.3474483693592253E-17</v>
      </c>
      <c r="Y73" s="36">
        <f>MIN(K73:V73)</f>
        <v>-0.6278315504005898</v>
      </c>
      <c r="Z73" s="35">
        <f>QUARTILE(K73:V73,1)</f>
        <v>-0.6278315504005898</v>
      </c>
      <c r="AA73" s="36">
        <f>MEDIAN(K73:V73)</f>
        <v>-0.6278315504005898</v>
      </c>
      <c r="AB73" s="35">
        <f>QUARTILE(K73:V73,3)</f>
        <v>-0.6278315504005898</v>
      </c>
      <c r="AC73" s="35">
        <f>MAX(K73:V73)</f>
        <v>-0.6278315504005898</v>
      </c>
      <c r="AD73" s="35">
        <f>SKEW(K73:V73)</f>
        <v>-1.1489125293076057</v>
      </c>
      <c r="AE73" s="35">
        <f>KURT(K73:V73)</f>
        <v>-2.4444444444444446</v>
      </c>
    </row>
    <row r="74" spans="2:31" x14ac:dyDescent="0.2">
      <c r="B74" s="34">
        <f>[49]FormattedData!A93</f>
        <v>0</v>
      </c>
      <c r="C74" s="34" t="e">
        <f>VLOOKUP($B74,[49]TrtCodes!$B$11:I130,2)</f>
        <v>#N/A</v>
      </c>
      <c r="D74" s="34" t="e">
        <f>VLOOKUP($B74,[49]TrtCodes!$B$11:J130,3)</f>
        <v>#N/A</v>
      </c>
      <c r="E74" s="34" t="e">
        <f>VLOOKUP($B74,[49]TrtCodes!$B$11:K130,4)</f>
        <v>#N/A</v>
      </c>
      <c r="F74" s="34" t="e">
        <f>VLOOKUP($B74,[49]TrtCodes!$B$11:L130,5)</f>
        <v>#N/A</v>
      </c>
      <c r="G74" s="34" t="e">
        <f>VLOOKUP($B74,[49]TrtCodes!$B$11:M130,6)</f>
        <v>#N/A</v>
      </c>
      <c r="H74" s="34" t="e">
        <f>VLOOKUP($B74,[49]TrtCodes!$B$11:N130,7)</f>
        <v>#N/A</v>
      </c>
      <c r="I74" s="34">
        <f>[49]FormattedData!B93</f>
        <v>0</v>
      </c>
      <c r="J74" s="37">
        <f>[49]FormattedData!C93</f>
        <v>0</v>
      </c>
      <c r="K74" s="39">
        <f>$J$3+[49]FormattedData!D93*$J$4+$M$4*$J$5+[49]FormattedData!D93^2*$J$6+$M$5*$J$7</f>
        <v>-0.6278315504005898</v>
      </c>
      <c r="L74" s="39">
        <f>$J$3+[49]FormattedData!E93*$J$4+$M$4*$J$5+[49]FormattedData!E93^2*$J$6+$M$5*$J$7</f>
        <v>-0.6278315504005898</v>
      </c>
      <c r="M74" s="39">
        <f>$J$3+[49]FormattedData!F93*$J$4+$M$4*$J$5+[49]FormattedData!F93^2*$J$6+$M$5*$J$7</f>
        <v>-0.6278315504005898</v>
      </c>
      <c r="N74" s="39">
        <f>$J$3+[49]FormattedData!G93*$J$4+$M$4*$J$5+[49]FormattedData!G93^2*$J$6+$M$5*$J$7</f>
        <v>-0.6278315504005898</v>
      </c>
      <c r="O74" s="39">
        <f>$J$3+[49]FormattedData!H93*$J$4+$M$4*$J$5+[49]FormattedData!H93^2*$J$6+$M$5*$J$7</f>
        <v>-0.6278315504005898</v>
      </c>
      <c r="P74" s="39">
        <f>$J$3+[49]FormattedData!I93*$J$4+$M$4*$J$5+[49]FormattedData!I93^2*$J$6+$M$5*$J$7</f>
        <v>-0.6278315504005898</v>
      </c>
      <c r="Q74" s="39">
        <f>$J$3+[49]FormattedData!J93*$J$4+$M$4*$J$5+[49]FormattedData!J93^2*$J$6+$M$5*$J$7</f>
        <v>-0.6278315504005898</v>
      </c>
      <c r="R74" s="39">
        <f>$J$3+[49]FormattedData!K93*$J$4+$M$4*$J$5+[49]FormattedData!K93^2*$J$6+$M$5*$J$7</f>
        <v>-0.6278315504005898</v>
      </c>
      <c r="S74" s="39">
        <f>$J$3+[49]FormattedData!L93*$J$4+$M$4*$J$5+[49]FormattedData!L93^2*$J$6+$M$5*$J$7</f>
        <v>-0.6278315504005898</v>
      </c>
      <c r="T74" s="39">
        <f>$J$3+[49]FormattedData!M93*$J$4+$M$4*$J$5+[49]FormattedData!M93^2*$J$6+$M$5*$J$7</f>
        <v>-0.6278315504005898</v>
      </c>
      <c r="U74" s="39">
        <f>$J$3+[49]FormattedData!N93*$J$4+$M$4*$J$5+[49]FormattedData!N93^2*$J$6+$M$5*$J$7</f>
        <v>-0.6278315504005898</v>
      </c>
      <c r="V74" s="39">
        <f>$J$3+[49]FormattedData!O93*$J$4+$M$4*$J$5+[49]FormattedData!O93^2*$J$6+$M$5*$J$7</f>
        <v>-0.6278315504005898</v>
      </c>
      <c r="W74" s="38">
        <f>AVERAGE(K74:V74)</f>
        <v>-0.62783155040058969</v>
      </c>
      <c r="X74" s="37">
        <f>STDEV(K74:V74)/SQRT(COUNT(K74:V74))</f>
        <v>3.3474483693592253E-17</v>
      </c>
      <c r="Y74" s="36">
        <f>MIN(K74:V74)</f>
        <v>-0.6278315504005898</v>
      </c>
      <c r="Z74" s="35">
        <f>QUARTILE(K74:V74,1)</f>
        <v>-0.6278315504005898</v>
      </c>
      <c r="AA74" s="36">
        <f>MEDIAN(K74:V74)</f>
        <v>-0.6278315504005898</v>
      </c>
      <c r="AB74" s="35">
        <f>QUARTILE(K74:V74,3)</f>
        <v>-0.6278315504005898</v>
      </c>
      <c r="AC74" s="35">
        <f>MAX(K74:V74)</f>
        <v>-0.6278315504005898</v>
      </c>
      <c r="AD74" s="35">
        <f>SKEW(K74:V74)</f>
        <v>-1.1489125293076057</v>
      </c>
      <c r="AE74" s="35">
        <f>KURT(K74:V74)</f>
        <v>-2.4444444444444446</v>
      </c>
    </row>
    <row r="75" spans="2:31" x14ac:dyDescent="0.2">
      <c r="B75" s="34">
        <f>[49]FormattedData!A91</f>
        <v>0</v>
      </c>
      <c r="C75" s="34" t="e">
        <f>VLOOKUP($B75,[49]TrtCodes!$B$11:I131,2)</f>
        <v>#N/A</v>
      </c>
      <c r="D75" s="34" t="e">
        <f>VLOOKUP($B75,[49]TrtCodes!$B$11:J131,3)</f>
        <v>#N/A</v>
      </c>
      <c r="E75" s="34" t="e">
        <f>VLOOKUP($B75,[49]TrtCodes!$B$11:K131,4)</f>
        <v>#N/A</v>
      </c>
      <c r="F75" s="34" t="e">
        <f>VLOOKUP($B75,[49]TrtCodes!$B$11:L131,5)</f>
        <v>#N/A</v>
      </c>
      <c r="G75" s="34" t="e">
        <f>VLOOKUP($B75,[49]TrtCodes!$B$11:M131,6)</f>
        <v>#N/A</v>
      </c>
      <c r="H75" s="34" t="e">
        <f>VLOOKUP($B75,[49]TrtCodes!$B$11:N131,7)</f>
        <v>#N/A</v>
      </c>
      <c r="I75" s="34">
        <f>[49]FormattedData!B91</f>
        <v>0</v>
      </c>
      <c r="J75" s="37">
        <f>[49]FormattedData!C91</f>
        <v>0</v>
      </c>
      <c r="K75" s="39">
        <f>$J$3+[49]FormattedData!D91*$J$4+$M$4*$J$5+[49]FormattedData!D91^2*$J$6+$M$5*$J$7</f>
        <v>-0.6278315504005898</v>
      </c>
      <c r="L75" s="39">
        <f>$J$3+[49]FormattedData!E91*$J$4+$M$4*$J$5+[49]FormattedData!E91^2*$J$6+$M$5*$J$7</f>
        <v>-0.6278315504005898</v>
      </c>
      <c r="M75" s="39">
        <f>$J$3+[49]FormattedData!F91*$J$4+$M$4*$J$5+[49]FormattedData!F91^2*$J$6+$M$5*$J$7</f>
        <v>-0.6278315504005898</v>
      </c>
      <c r="N75" s="39">
        <f>$J$3+[49]FormattedData!G91*$J$4+$M$4*$J$5+[49]FormattedData!G91^2*$J$6+$M$5*$J$7</f>
        <v>-0.6278315504005898</v>
      </c>
      <c r="O75" s="39">
        <f>$J$3+[49]FormattedData!H91*$J$4+$M$4*$J$5+[49]FormattedData!H91^2*$J$6+$M$5*$J$7</f>
        <v>-0.6278315504005898</v>
      </c>
      <c r="P75" s="39">
        <f>$J$3+[49]FormattedData!I91*$J$4+$M$4*$J$5+[49]FormattedData!I91^2*$J$6+$M$5*$J$7</f>
        <v>-0.6278315504005898</v>
      </c>
      <c r="Q75" s="39">
        <f>$J$3+[49]FormattedData!J91*$J$4+$M$4*$J$5+[49]FormattedData!J91^2*$J$6+$M$5*$J$7</f>
        <v>-0.6278315504005898</v>
      </c>
      <c r="R75" s="39">
        <f>$J$3+[49]FormattedData!K91*$J$4+$M$4*$J$5+[49]FormattedData!K91^2*$J$6+$M$5*$J$7</f>
        <v>-0.6278315504005898</v>
      </c>
      <c r="S75" s="39">
        <f>$J$3+[49]FormattedData!L91*$J$4+$M$4*$J$5+[49]FormattedData!L91^2*$J$6+$M$5*$J$7</f>
        <v>-0.6278315504005898</v>
      </c>
      <c r="T75" s="39">
        <f>$J$3+[49]FormattedData!M91*$J$4+$M$4*$J$5+[49]FormattedData!M91^2*$J$6+$M$5*$J$7</f>
        <v>-0.6278315504005898</v>
      </c>
      <c r="U75" s="39">
        <f>$J$3+[49]FormattedData!N91*$J$4+$M$4*$J$5+[49]FormattedData!N91^2*$J$6+$M$5*$J$7</f>
        <v>-0.6278315504005898</v>
      </c>
      <c r="V75" s="39">
        <f>$J$3+[49]FormattedData!O91*$J$4+$M$4*$J$5+[49]FormattedData!O91^2*$J$6+$M$5*$J$7</f>
        <v>-0.6278315504005898</v>
      </c>
      <c r="W75" s="38">
        <f>AVERAGE(K75:V75)</f>
        <v>-0.62783155040058969</v>
      </c>
      <c r="X75" s="37">
        <f>STDEV(K75:V75)/SQRT(COUNT(K75:V75))</f>
        <v>3.3474483693592253E-17</v>
      </c>
      <c r="Y75" s="36">
        <f>MIN(K75:V75)</f>
        <v>-0.6278315504005898</v>
      </c>
      <c r="Z75" s="35">
        <f>QUARTILE(K75:V75,1)</f>
        <v>-0.6278315504005898</v>
      </c>
      <c r="AA75" s="36">
        <f>MEDIAN(K75:V75)</f>
        <v>-0.6278315504005898</v>
      </c>
      <c r="AB75" s="35">
        <f>QUARTILE(K75:V75,3)</f>
        <v>-0.6278315504005898</v>
      </c>
      <c r="AC75" s="35">
        <f>MAX(K75:V75)</f>
        <v>-0.6278315504005898</v>
      </c>
      <c r="AD75" s="35">
        <f>SKEW(K75:V75)</f>
        <v>-1.1489125293076057</v>
      </c>
      <c r="AE75" s="35">
        <f>KURT(K75:V75)</f>
        <v>-2.4444444444444446</v>
      </c>
    </row>
    <row r="76" spans="2:31" x14ac:dyDescent="0.2">
      <c r="B76" s="34">
        <f>[49]FormattedData!A89</f>
        <v>0</v>
      </c>
      <c r="C76" s="34" t="e">
        <f>VLOOKUP($B76,[49]TrtCodes!$B$11:I132,2)</f>
        <v>#N/A</v>
      </c>
      <c r="D76" s="34" t="e">
        <f>VLOOKUP($B76,[49]TrtCodes!$B$11:J132,3)</f>
        <v>#N/A</v>
      </c>
      <c r="E76" s="34" t="e">
        <f>VLOOKUP($B76,[49]TrtCodes!$B$11:K132,4)</f>
        <v>#N/A</v>
      </c>
      <c r="F76" s="34" t="e">
        <f>VLOOKUP($B76,[49]TrtCodes!$B$11:L132,5)</f>
        <v>#N/A</v>
      </c>
      <c r="G76" s="34" t="e">
        <f>VLOOKUP($B76,[49]TrtCodes!$B$11:M132,6)</f>
        <v>#N/A</v>
      </c>
      <c r="H76" s="34" t="e">
        <f>VLOOKUP($B76,[49]TrtCodes!$B$11:N132,7)</f>
        <v>#N/A</v>
      </c>
      <c r="I76" s="34">
        <f>[49]FormattedData!B89</f>
        <v>0</v>
      </c>
      <c r="J76" s="37">
        <f>[49]FormattedData!C89</f>
        <v>0</v>
      </c>
      <c r="K76" s="39">
        <f>$J$3+[49]FormattedData!D89*$J$4+$M$4*$J$5+[49]FormattedData!D89^2*$J$6+$M$5*$J$7</f>
        <v>-0.6278315504005898</v>
      </c>
      <c r="L76" s="39">
        <f>$J$3+[49]FormattedData!E89*$J$4+$M$4*$J$5+[49]FormattedData!E89^2*$J$6+$M$5*$J$7</f>
        <v>-0.6278315504005898</v>
      </c>
      <c r="M76" s="39">
        <f>$J$3+[49]FormattedData!F89*$J$4+$M$4*$J$5+[49]FormattedData!F89^2*$J$6+$M$5*$J$7</f>
        <v>-0.6278315504005898</v>
      </c>
      <c r="N76" s="39">
        <f>$J$3+[49]FormattedData!G89*$J$4+$M$4*$J$5+[49]FormattedData!G89^2*$J$6+$M$5*$J$7</f>
        <v>-0.6278315504005898</v>
      </c>
      <c r="O76" s="39">
        <f>$J$3+[49]FormattedData!H89*$J$4+$M$4*$J$5+[49]FormattedData!H89^2*$J$6+$M$5*$J$7</f>
        <v>-0.6278315504005898</v>
      </c>
      <c r="P76" s="39">
        <f>$J$3+[49]FormattedData!I89*$J$4+$M$4*$J$5+[49]FormattedData!I89^2*$J$6+$M$5*$J$7</f>
        <v>-0.6278315504005898</v>
      </c>
      <c r="Q76" s="39">
        <f>$J$3+[49]FormattedData!J89*$J$4+$M$4*$J$5+[49]FormattedData!J89^2*$J$6+$M$5*$J$7</f>
        <v>-0.6278315504005898</v>
      </c>
      <c r="R76" s="39">
        <f>$J$3+[49]FormattedData!K89*$J$4+$M$4*$J$5+[49]FormattedData!K89^2*$J$6+$M$5*$J$7</f>
        <v>-0.6278315504005898</v>
      </c>
      <c r="S76" s="39">
        <f>$J$3+[49]FormattedData!L89*$J$4+$M$4*$J$5+[49]FormattedData!L89^2*$J$6+$M$5*$J$7</f>
        <v>-0.6278315504005898</v>
      </c>
      <c r="T76" s="39">
        <f>$J$3+[49]FormattedData!M89*$J$4+$M$4*$J$5+[49]FormattedData!M89^2*$J$6+$M$5*$J$7</f>
        <v>-0.6278315504005898</v>
      </c>
      <c r="U76" s="39">
        <f>$J$3+[49]FormattedData!N89*$J$4+$M$4*$J$5+[49]FormattedData!N89^2*$J$6+$M$5*$J$7</f>
        <v>-0.6278315504005898</v>
      </c>
      <c r="V76" s="39">
        <f>$J$3+[49]FormattedData!O89*$J$4+$M$4*$J$5+[49]FormattedData!O89^2*$J$6+$M$5*$J$7</f>
        <v>-0.6278315504005898</v>
      </c>
      <c r="W76" s="38">
        <f>AVERAGE(K76:V76)</f>
        <v>-0.62783155040058969</v>
      </c>
      <c r="X76" s="37">
        <f>STDEV(K76:V76)/SQRT(COUNT(K76:V76))</f>
        <v>3.3474483693592253E-17</v>
      </c>
      <c r="Y76" s="36">
        <f>MIN(K76:V76)</f>
        <v>-0.6278315504005898</v>
      </c>
      <c r="Z76" s="35">
        <f>QUARTILE(K76:V76,1)</f>
        <v>-0.6278315504005898</v>
      </c>
      <c r="AA76" s="36">
        <f>MEDIAN(K76:V76)</f>
        <v>-0.6278315504005898</v>
      </c>
      <c r="AB76" s="35">
        <f>QUARTILE(K76:V76,3)</f>
        <v>-0.6278315504005898</v>
      </c>
      <c r="AC76" s="35">
        <f>MAX(K76:V76)</f>
        <v>-0.6278315504005898</v>
      </c>
      <c r="AD76" s="35">
        <f>SKEW(K76:V76)</f>
        <v>-1.1489125293076057</v>
      </c>
      <c r="AE76" s="35">
        <f>KURT(K76:V76)</f>
        <v>-2.4444444444444446</v>
      </c>
    </row>
    <row r="77" spans="2:31" x14ac:dyDescent="0.2">
      <c r="B77" s="34">
        <f>[49]FormattedData!A87</f>
        <v>0</v>
      </c>
      <c r="C77" s="34" t="e">
        <f>VLOOKUP($B77,[49]TrtCodes!$B$11:I130,2)</f>
        <v>#N/A</v>
      </c>
      <c r="D77" s="34" t="e">
        <f>VLOOKUP($B77,[49]TrtCodes!$B$11:J130,3)</f>
        <v>#N/A</v>
      </c>
      <c r="E77" s="34" t="e">
        <f>VLOOKUP($B77,[49]TrtCodes!$B$11:K130,4)</f>
        <v>#N/A</v>
      </c>
      <c r="F77" s="34" t="e">
        <f>VLOOKUP($B77,[49]TrtCodes!$B$11:L130,5)</f>
        <v>#N/A</v>
      </c>
      <c r="G77" s="34" t="e">
        <f>VLOOKUP($B77,[49]TrtCodes!$B$11:M130,6)</f>
        <v>#N/A</v>
      </c>
      <c r="H77" s="34" t="e">
        <f>VLOOKUP($B77,[49]TrtCodes!$B$11:N130,7)</f>
        <v>#N/A</v>
      </c>
      <c r="I77" s="34">
        <f>[49]FormattedData!B87</f>
        <v>0</v>
      </c>
      <c r="J77" s="37">
        <f>[49]FormattedData!C87</f>
        <v>0</v>
      </c>
      <c r="K77" s="39">
        <f>$J$3+[49]FormattedData!D87*$J$4+$M$4*$J$5+[49]FormattedData!D87^2*$J$6+$M$5*$J$7</f>
        <v>-0.6278315504005898</v>
      </c>
      <c r="L77" s="39">
        <f>$J$3+[49]FormattedData!E87*$J$4+$M$4*$J$5+[49]FormattedData!E87^2*$J$6+$M$5*$J$7</f>
        <v>-0.6278315504005898</v>
      </c>
      <c r="M77" s="39">
        <f>$J$3+[49]FormattedData!F87*$J$4+$M$4*$J$5+[49]FormattedData!F87^2*$J$6+$M$5*$J$7</f>
        <v>-0.6278315504005898</v>
      </c>
      <c r="N77" s="39">
        <f>$J$3+[49]FormattedData!G87*$J$4+$M$4*$J$5+[49]FormattedData!G87^2*$J$6+$M$5*$J$7</f>
        <v>-0.6278315504005898</v>
      </c>
      <c r="O77" s="39">
        <f>$J$3+[49]FormattedData!H87*$J$4+$M$4*$J$5+[49]FormattedData!H87^2*$J$6+$M$5*$J$7</f>
        <v>-0.6278315504005898</v>
      </c>
      <c r="P77" s="39">
        <f>$J$3+[49]FormattedData!I87*$J$4+$M$4*$J$5+[49]FormattedData!I87^2*$J$6+$M$5*$J$7</f>
        <v>-0.6278315504005898</v>
      </c>
      <c r="Q77" s="39">
        <f>$J$3+[49]FormattedData!J87*$J$4+$M$4*$J$5+[49]FormattedData!J87^2*$J$6+$M$5*$J$7</f>
        <v>-0.6278315504005898</v>
      </c>
      <c r="R77" s="39">
        <f>$J$3+[49]FormattedData!K87*$J$4+$M$4*$J$5+[49]FormattedData!K87^2*$J$6+$M$5*$J$7</f>
        <v>-0.6278315504005898</v>
      </c>
      <c r="S77" s="39">
        <f>$J$3+[49]FormattedData!L87*$J$4+$M$4*$J$5+[49]FormattedData!L87^2*$J$6+$M$5*$J$7</f>
        <v>-0.6278315504005898</v>
      </c>
      <c r="T77" s="39">
        <f>$J$3+[49]FormattedData!M87*$J$4+$M$4*$J$5+[49]FormattedData!M87^2*$J$6+$M$5*$J$7</f>
        <v>-0.6278315504005898</v>
      </c>
      <c r="U77" s="39">
        <f>$J$3+[49]FormattedData!N87*$J$4+$M$4*$J$5+[49]FormattedData!N87^2*$J$6+$M$5*$J$7</f>
        <v>-0.6278315504005898</v>
      </c>
      <c r="V77" s="39">
        <f>$J$3+[49]FormattedData!O87*$J$4+$M$4*$J$5+[49]FormattedData!O87^2*$J$6+$M$5*$J$7</f>
        <v>-0.6278315504005898</v>
      </c>
      <c r="W77" s="38">
        <f>AVERAGE(K77:V77)</f>
        <v>-0.62783155040058969</v>
      </c>
      <c r="X77" s="37">
        <f>STDEV(K77:V77)/SQRT(COUNT(K77:V77))</f>
        <v>3.3474483693592253E-17</v>
      </c>
      <c r="Y77" s="36">
        <f>MIN(K77:V77)</f>
        <v>-0.6278315504005898</v>
      </c>
      <c r="Z77" s="35">
        <f>QUARTILE(K77:V77,1)</f>
        <v>-0.6278315504005898</v>
      </c>
      <c r="AA77" s="36">
        <f>MEDIAN(K77:V77)</f>
        <v>-0.6278315504005898</v>
      </c>
      <c r="AB77" s="35">
        <f>QUARTILE(K77:V77,3)</f>
        <v>-0.6278315504005898</v>
      </c>
      <c r="AC77" s="35">
        <f>MAX(K77:V77)</f>
        <v>-0.6278315504005898</v>
      </c>
      <c r="AD77" s="35">
        <f>SKEW(K77:V77)</f>
        <v>-1.1489125293076057</v>
      </c>
      <c r="AE77" s="35">
        <f>KURT(K77:V77)</f>
        <v>-2.4444444444444446</v>
      </c>
    </row>
    <row r="78" spans="2:31" x14ac:dyDescent="0.2">
      <c r="B78" s="34">
        <f>[49]FormattedData!A85</f>
        <v>0</v>
      </c>
      <c r="C78" s="34" t="e">
        <f>VLOOKUP($B78,[49]TrtCodes!$B$11:I128,2)</f>
        <v>#N/A</v>
      </c>
      <c r="D78" s="34" t="e">
        <f>VLOOKUP($B78,[49]TrtCodes!$B$11:J128,3)</f>
        <v>#N/A</v>
      </c>
      <c r="E78" s="34" t="e">
        <f>VLOOKUP($B78,[49]TrtCodes!$B$11:K128,4)</f>
        <v>#N/A</v>
      </c>
      <c r="F78" s="34" t="e">
        <f>VLOOKUP($B78,[49]TrtCodes!$B$11:L128,5)</f>
        <v>#N/A</v>
      </c>
      <c r="G78" s="34" t="e">
        <f>VLOOKUP($B78,[49]TrtCodes!$B$11:M128,6)</f>
        <v>#N/A</v>
      </c>
      <c r="H78" s="34" t="e">
        <f>VLOOKUP($B78,[49]TrtCodes!$B$11:N128,7)</f>
        <v>#N/A</v>
      </c>
      <c r="I78" s="34">
        <f>[49]FormattedData!B85</f>
        <v>0</v>
      </c>
      <c r="J78" s="37">
        <f>[49]FormattedData!C85</f>
        <v>0</v>
      </c>
      <c r="K78" s="39">
        <f>$J$3+[49]FormattedData!D85*$J$4+$M$4*$J$5+[49]FormattedData!D85^2*$J$6+$M$5*$J$7</f>
        <v>-0.6278315504005898</v>
      </c>
      <c r="L78" s="39">
        <f>$J$3+[49]FormattedData!E85*$J$4+$M$4*$J$5+[49]FormattedData!E85^2*$J$6+$M$5*$J$7</f>
        <v>-0.6278315504005898</v>
      </c>
      <c r="M78" s="39">
        <f>$J$3+[49]FormattedData!F85*$J$4+$M$4*$J$5+[49]FormattedData!F85^2*$J$6+$M$5*$J$7</f>
        <v>-0.6278315504005898</v>
      </c>
      <c r="N78" s="39">
        <f>$J$3+[49]FormattedData!G85*$J$4+$M$4*$J$5+[49]FormattedData!G85^2*$J$6+$M$5*$J$7</f>
        <v>-0.6278315504005898</v>
      </c>
      <c r="O78" s="39">
        <f>$J$3+[49]FormattedData!H85*$J$4+$M$4*$J$5+[49]FormattedData!H85^2*$J$6+$M$5*$J$7</f>
        <v>-0.6278315504005898</v>
      </c>
      <c r="P78" s="39">
        <f>$J$3+[49]FormattedData!I85*$J$4+$M$4*$J$5+[49]FormattedData!I85^2*$J$6+$M$5*$J$7</f>
        <v>-0.6278315504005898</v>
      </c>
      <c r="Q78" s="39">
        <f>$J$3+[49]FormattedData!J85*$J$4+$M$4*$J$5+[49]FormattedData!J85^2*$J$6+$M$5*$J$7</f>
        <v>-0.6278315504005898</v>
      </c>
      <c r="R78" s="39">
        <f>$J$3+[49]FormattedData!K85*$J$4+$M$4*$J$5+[49]FormattedData!K85^2*$J$6+$M$5*$J$7</f>
        <v>-0.6278315504005898</v>
      </c>
      <c r="S78" s="39">
        <f>$J$3+[49]FormattedData!L85*$J$4+$M$4*$J$5+[49]FormattedData!L85^2*$J$6+$M$5*$J$7</f>
        <v>-0.6278315504005898</v>
      </c>
      <c r="T78" s="39">
        <f>$J$3+[49]FormattedData!M85*$J$4+$M$4*$J$5+[49]FormattedData!M85^2*$J$6+$M$5*$J$7</f>
        <v>-0.6278315504005898</v>
      </c>
      <c r="U78" s="39">
        <f>$J$3+[49]FormattedData!N85*$J$4+$M$4*$J$5+[49]FormattedData!N85^2*$J$6+$M$5*$J$7</f>
        <v>-0.6278315504005898</v>
      </c>
      <c r="V78" s="39">
        <f>$J$3+[49]FormattedData!O85*$J$4+$M$4*$J$5+[49]FormattedData!O85^2*$J$6+$M$5*$J$7</f>
        <v>-0.6278315504005898</v>
      </c>
      <c r="W78" s="38">
        <f>AVERAGE(K78:V78)</f>
        <v>-0.62783155040058969</v>
      </c>
      <c r="X78" s="37">
        <f>STDEV(K78:V78)/SQRT(COUNT(K78:V78))</f>
        <v>3.3474483693592253E-17</v>
      </c>
      <c r="Y78" s="36">
        <f>MIN(K78:V78)</f>
        <v>-0.6278315504005898</v>
      </c>
      <c r="Z78" s="35">
        <f>QUARTILE(K78:V78,1)</f>
        <v>-0.6278315504005898</v>
      </c>
      <c r="AA78" s="36">
        <f>MEDIAN(K78:V78)</f>
        <v>-0.6278315504005898</v>
      </c>
      <c r="AB78" s="35">
        <f>QUARTILE(K78:V78,3)</f>
        <v>-0.6278315504005898</v>
      </c>
      <c r="AC78" s="35">
        <f>MAX(K78:V78)</f>
        <v>-0.6278315504005898</v>
      </c>
      <c r="AD78" s="35">
        <f>SKEW(K78:V78)</f>
        <v>-1.1489125293076057</v>
      </c>
      <c r="AE78" s="35">
        <f>KURT(K78:V78)</f>
        <v>-2.4444444444444446</v>
      </c>
    </row>
    <row r="79" spans="2:31" x14ac:dyDescent="0.2">
      <c r="B79" s="34">
        <f>[49]FormattedData!A83</f>
        <v>0</v>
      </c>
      <c r="C79" s="34" t="e">
        <f>VLOOKUP($B79,[49]TrtCodes!$B$11:I126,2)</f>
        <v>#N/A</v>
      </c>
      <c r="D79" s="34" t="e">
        <f>VLOOKUP($B79,[49]TrtCodes!$B$11:J126,3)</f>
        <v>#N/A</v>
      </c>
      <c r="E79" s="34" t="e">
        <f>VLOOKUP($B79,[49]TrtCodes!$B$11:K126,4)</f>
        <v>#N/A</v>
      </c>
      <c r="F79" s="34" t="e">
        <f>VLOOKUP($B79,[49]TrtCodes!$B$11:L126,5)</f>
        <v>#N/A</v>
      </c>
      <c r="G79" s="34" t="e">
        <f>VLOOKUP($B79,[49]TrtCodes!$B$11:M126,6)</f>
        <v>#N/A</v>
      </c>
      <c r="H79" s="34" t="e">
        <f>VLOOKUP($B79,[49]TrtCodes!$B$11:N126,7)</f>
        <v>#N/A</v>
      </c>
      <c r="I79" s="34">
        <f>[49]FormattedData!B83</f>
        <v>0</v>
      </c>
      <c r="J79" s="37">
        <f>[49]FormattedData!C83</f>
        <v>0</v>
      </c>
      <c r="K79" s="39">
        <f>$J$3+[49]FormattedData!D83*$J$4+$M$4*$J$5+[49]FormattedData!D83^2*$J$6+$M$5*$J$7</f>
        <v>-0.6278315504005898</v>
      </c>
      <c r="L79" s="39">
        <f>$J$3+[49]FormattedData!E83*$J$4+$M$4*$J$5+[49]FormattedData!E83^2*$J$6+$M$5*$J$7</f>
        <v>-0.6278315504005898</v>
      </c>
      <c r="M79" s="39">
        <f>$J$3+[49]FormattedData!F83*$J$4+$M$4*$J$5+[49]FormattedData!F83^2*$J$6+$M$5*$J$7</f>
        <v>-0.6278315504005898</v>
      </c>
      <c r="N79" s="39">
        <f>$J$3+[49]FormattedData!G83*$J$4+$M$4*$J$5+[49]FormattedData!G83^2*$J$6+$M$5*$J$7</f>
        <v>-0.6278315504005898</v>
      </c>
      <c r="O79" s="39">
        <f>$J$3+[49]FormattedData!H83*$J$4+$M$4*$J$5+[49]FormattedData!H83^2*$J$6+$M$5*$J$7</f>
        <v>-0.6278315504005898</v>
      </c>
      <c r="P79" s="39">
        <f>$J$3+[49]FormattedData!I83*$J$4+$M$4*$J$5+[49]FormattedData!I83^2*$J$6+$M$5*$J$7</f>
        <v>-0.6278315504005898</v>
      </c>
      <c r="Q79" s="39">
        <f>$J$3+[49]FormattedData!J83*$J$4+$M$4*$J$5+[49]FormattedData!J83^2*$J$6+$M$5*$J$7</f>
        <v>-0.6278315504005898</v>
      </c>
      <c r="R79" s="39">
        <f>$J$3+[49]FormattedData!K83*$J$4+$M$4*$J$5+[49]FormattedData!K83^2*$J$6+$M$5*$J$7</f>
        <v>-0.6278315504005898</v>
      </c>
      <c r="S79" s="39">
        <f>$J$3+[49]FormattedData!L83*$J$4+$M$4*$J$5+[49]FormattedData!L83^2*$J$6+$M$5*$J$7</f>
        <v>-0.6278315504005898</v>
      </c>
      <c r="T79" s="39">
        <f>$J$3+[49]FormattedData!M83*$J$4+$M$4*$J$5+[49]FormattedData!M83^2*$J$6+$M$5*$J$7</f>
        <v>-0.6278315504005898</v>
      </c>
      <c r="U79" s="39">
        <f>$J$3+[49]FormattedData!N83*$J$4+$M$4*$J$5+[49]FormattedData!N83^2*$J$6+$M$5*$J$7</f>
        <v>-0.6278315504005898</v>
      </c>
      <c r="V79" s="39">
        <f>$J$3+[49]FormattedData!O83*$J$4+$M$4*$J$5+[49]FormattedData!O83^2*$J$6+$M$5*$J$7</f>
        <v>-0.6278315504005898</v>
      </c>
      <c r="W79" s="38">
        <f>AVERAGE(K79:V79)</f>
        <v>-0.62783155040058969</v>
      </c>
      <c r="X79" s="37">
        <f>STDEV(K79:V79)/SQRT(COUNT(K79:V79))</f>
        <v>3.3474483693592253E-17</v>
      </c>
      <c r="Y79" s="36">
        <f>MIN(K79:V79)</f>
        <v>-0.6278315504005898</v>
      </c>
      <c r="Z79" s="35">
        <f>QUARTILE(K79:V79,1)</f>
        <v>-0.6278315504005898</v>
      </c>
      <c r="AA79" s="36">
        <f>MEDIAN(K79:V79)</f>
        <v>-0.6278315504005898</v>
      </c>
      <c r="AB79" s="35">
        <f>QUARTILE(K79:V79,3)</f>
        <v>-0.6278315504005898</v>
      </c>
      <c r="AC79" s="35">
        <f>MAX(K79:V79)</f>
        <v>-0.6278315504005898</v>
      </c>
      <c r="AD79" s="35">
        <f>SKEW(K79:V79)</f>
        <v>-1.1489125293076057</v>
      </c>
      <c r="AE79" s="35">
        <f>KURT(K79:V79)</f>
        <v>-2.4444444444444446</v>
      </c>
    </row>
    <row r="80" spans="2:31" x14ac:dyDescent="0.2">
      <c r="B80" s="34">
        <f>[49]FormattedData!A81</f>
        <v>0</v>
      </c>
      <c r="C80" s="34" t="e">
        <f>VLOOKUP($B80,[49]TrtCodes!$B$11:I124,2)</f>
        <v>#N/A</v>
      </c>
      <c r="D80" s="34" t="e">
        <f>VLOOKUP($B80,[49]TrtCodes!$B$11:J124,3)</f>
        <v>#N/A</v>
      </c>
      <c r="E80" s="34" t="e">
        <f>VLOOKUP($B80,[49]TrtCodes!$B$11:K124,4)</f>
        <v>#N/A</v>
      </c>
      <c r="F80" s="34" t="e">
        <f>VLOOKUP($B80,[49]TrtCodes!$B$11:L124,5)</f>
        <v>#N/A</v>
      </c>
      <c r="G80" s="34" t="e">
        <f>VLOOKUP($B80,[49]TrtCodes!$B$11:M124,6)</f>
        <v>#N/A</v>
      </c>
      <c r="H80" s="34" t="e">
        <f>VLOOKUP($B80,[49]TrtCodes!$B$11:N124,7)</f>
        <v>#N/A</v>
      </c>
      <c r="I80" s="34">
        <f>[49]FormattedData!B81</f>
        <v>0</v>
      </c>
      <c r="J80" s="37">
        <f>[49]FormattedData!C81</f>
        <v>0</v>
      </c>
      <c r="K80" s="39">
        <f>$J$3+[49]FormattedData!D81*$J$4+$M$4*$J$5+[49]FormattedData!D81^2*$J$6+$M$5*$J$7</f>
        <v>-0.6278315504005898</v>
      </c>
      <c r="L80" s="39">
        <f>$J$3+[49]FormattedData!E81*$J$4+$M$4*$J$5+[49]FormattedData!E81^2*$J$6+$M$5*$J$7</f>
        <v>-0.6278315504005898</v>
      </c>
      <c r="M80" s="39">
        <f>$J$3+[49]FormattedData!F81*$J$4+$M$4*$J$5+[49]FormattedData!F81^2*$J$6+$M$5*$J$7</f>
        <v>-0.6278315504005898</v>
      </c>
      <c r="N80" s="39">
        <f>$J$3+[49]FormattedData!G81*$J$4+$M$4*$J$5+[49]FormattedData!G81^2*$J$6+$M$5*$J$7</f>
        <v>-0.6278315504005898</v>
      </c>
      <c r="O80" s="39">
        <f>$J$3+[49]FormattedData!H81*$J$4+$M$4*$J$5+[49]FormattedData!H81^2*$J$6+$M$5*$J$7</f>
        <v>-0.6278315504005898</v>
      </c>
      <c r="P80" s="39">
        <f>$J$3+[49]FormattedData!I81*$J$4+$M$4*$J$5+[49]FormattedData!I81^2*$J$6+$M$5*$J$7</f>
        <v>-0.6278315504005898</v>
      </c>
      <c r="Q80" s="39">
        <f>$J$3+[49]FormattedData!J81*$J$4+$M$4*$J$5+[49]FormattedData!J81^2*$J$6+$M$5*$J$7</f>
        <v>-0.6278315504005898</v>
      </c>
      <c r="R80" s="39">
        <f>$J$3+[49]FormattedData!K81*$J$4+$M$4*$J$5+[49]FormattedData!K81^2*$J$6+$M$5*$J$7</f>
        <v>-0.6278315504005898</v>
      </c>
      <c r="S80" s="39">
        <f>$J$3+[49]FormattedData!L81*$J$4+$M$4*$J$5+[49]FormattedData!L81^2*$J$6+$M$5*$J$7</f>
        <v>-0.6278315504005898</v>
      </c>
      <c r="T80" s="39">
        <f>$J$3+[49]FormattedData!M81*$J$4+$M$4*$J$5+[49]FormattedData!M81^2*$J$6+$M$5*$J$7</f>
        <v>-0.6278315504005898</v>
      </c>
      <c r="U80" s="39">
        <f>$J$3+[49]FormattedData!N81*$J$4+$M$4*$J$5+[49]FormattedData!N81^2*$J$6+$M$5*$J$7</f>
        <v>-0.6278315504005898</v>
      </c>
      <c r="V80" s="39">
        <f>$J$3+[49]FormattedData!O81*$J$4+$M$4*$J$5+[49]FormattedData!O81^2*$J$6+$M$5*$J$7</f>
        <v>-0.6278315504005898</v>
      </c>
      <c r="W80" s="38">
        <f>AVERAGE(K80:V80)</f>
        <v>-0.62783155040058969</v>
      </c>
      <c r="X80" s="37">
        <f>STDEV(K80:V80)/SQRT(COUNT(K80:V80))</f>
        <v>3.3474483693592253E-17</v>
      </c>
      <c r="Y80" s="36">
        <f>MIN(K80:V80)</f>
        <v>-0.6278315504005898</v>
      </c>
      <c r="Z80" s="35">
        <f>QUARTILE(K80:V80,1)</f>
        <v>-0.6278315504005898</v>
      </c>
      <c r="AA80" s="36">
        <f>MEDIAN(K80:V80)</f>
        <v>-0.6278315504005898</v>
      </c>
      <c r="AB80" s="35">
        <f>QUARTILE(K80:V80,3)</f>
        <v>-0.6278315504005898</v>
      </c>
      <c r="AC80" s="35">
        <f>MAX(K80:V80)</f>
        <v>-0.6278315504005898</v>
      </c>
      <c r="AD80" s="35">
        <f>SKEW(K80:V80)</f>
        <v>-1.1489125293076057</v>
      </c>
      <c r="AE80" s="35">
        <f>KURT(K80:V80)</f>
        <v>-2.4444444444444446</v>
      </c>
    </row>
    <row r="81" spans="2:31" x14ac:dyDescent="0.2">
      <c r="B81" s="34">
        <f>[49]FormattedData!A79</f>
        <v>0</v>
      </c>
      <c r="C81" s="34" t="e">
        <f>VLOOKUP($B81,[49]TrtCodes!$B$11:I122,2)</f>
        <v>#N/A</v>
      </c>
      <c r="D81" s="34" t="e">
        <f>VLOOKUP($B81,[49]TrtCodes!$B$11:J122,3)</f>
        <v>#N/A</v>
      </c>
      <c r="E81" s="34" t="e">
        <f>VLOOKUP($B81,[49]TrtCodes!$B$11:K122,4)</f>
        <v>#N/A</v>
      </c>
      <c r="F81" s="34" t="e">
        <f>VLOOKUP($B81,[49]TrtCodes!$B$11:L122,5)</f>
        <v>#N/A</v>
      </c>
      <c r="G81" s="34" t="e">
        <f>VLOOKUP($B81,[49]TrtCodes!$B$11:M122,6)</f>
        <v>#N/A</v>
      </c>
      <c r="H81" s="34" t="e">
        <f>VLOOKUP($B81,[49]TrtCodes!$B$11:N122,7)</f>
        <v>#N/A</v>
      </c>
      <c r="I81" s="34">
        <f>[49]FormattedData!B79</f>
        <v>0</v>
      </c>
      <c r="J81" s="37">
        <f>[49]FormattedData!C79</f>
        <v>0</v>
      </c>
      <c r="K81" s="39">
        <f>$J$3+[49]FormattedData!D79*$J$4+$M$4*$J$5+[49]FormattedData!D79^2*$J$6+$M$5*$J$7</f>
        <v>-0.6278315504005898</v>
      </c>
      <c r="L81" s="39">
        <f>$J$3+[49]FormattedData!E79*$J$4+$M$4*$J$5+[49]FormattedData!E79^2*$J$6+$M$5*$J$7</f>
        <v>-0.6278315504005898</v>
      </c>
      <c r="M81" s="39">
        <f>$J$3+[49]FormattedData!F79*$J$4+$M$4*$J$5+[49]FormattedData!F79^2*$J$6+$M$5*$J$7</f>
        <v>-0.6278315504005898</v>
      </c>
      <c r="N81" s="39">
        <f>$J$3+[49]FormattedData!G79*$J$4+$M$4*$J$5+[49]FormattedData!G79^2*$J$6+$M$5*$J$7</f>
        <v>-0.6278315504005898</v>
      </c>
      <c r="O81" s="39">
        <f>$J$3+[49]FormattedData!H79*$J$4+$M$4*$J$5+[49]FormattedData!H79^2*$J$6+$M$5*$J$7</f>
        <v>-0.6278315504005898</v>
      </c>
      <c r="P81" s="39">
        <f>$J$3+[49]FormattedData!I79*$J$4+$M$4*$J$5+[49]FormattedData!I79^2*$J$6+$M$5*$J$7</f>
        <v>-0.6278315504005898</v>
      </c>
      <c r="Q81" s="39">
        <f>$J$3+[49]FormattedData!J79*$J$4+$M$4*$J$5+[49]FormattedData!J79^2*$J$6+$M$5*$J$7</f>
        <v>-0.6278315504005898</v>
      </c>
      <c r="R81" s="39">
        <f>$J$3+[49]FormattedData!K79*$J$4+$M$4*$J$5+[49]FormattedData!K79^2*$J$6+$M$5*$J$7</f>
        <v>-0.6278315504005898</v>
      </c>
      <c r="S81" s="39">
        <f>$J$3+[49]FormattedData!L79*$J$4+$M$4*$J$5+[49]FormattedData!L79^2*$J$6+$M$5*$J$7</f>
        <v>-0.6278315504005898</v>
      </c>
      <c r="T81" s="39">
        <f>$J$3+[49]FormattedData!M79*$J$4+$M$4*$J$5+[49]FormattedData!M79^2*$J$6+$M$5*$J$7</f>
        <v>-0.6278315504005898</v>
      </c>
      <c r="U81" s="39">
        <f>$J$3+[49]FormattedData!N79*$J$4+$M$4*$J$5+[49]FormattedData!N79^2*$J$6+$M$5*$J$7</f>
        <v>-0.6278315504005898</v>
      </c>
      <c r="V81" s="39">
        <f>$J$3+[49]FormattedData!O79*$J$4+$M$4*$J$5+[49]FormattedData!O79^2*$J$6+$M$5*$J$7</f>
        <v>-0.6278315504005898</v>
      </c>
      <c r="W81" s="38">
        <f>AVERAGE(K81:V81)</f>
        <v>-0.62783155040058969</v>
      </c>
      <c r="X81" s="37">
        <f>STDEV(K81:V81)/SQRT(COUNT(K81:V81))</f>
        <v>3.3474483693592253E-17</v>
      </c>
      <c r="Y81" s="36">
        <f>MIN(K81:V81)</f>
        <v>-0.6278315504005898</v>
      </c>
      <c r="Z81" s="35">
        <f>QUARTILE(K81:V81,1)</f>
        <v>-0.6278315504005898</v>
      </c>
      <c r="AA81" s="36">
        <f>MEDIAN(K81:V81)</f>
        <v>-0.6278315504005898</v>
      </c>
      <c r="AB81" s="35">
        <f>QUARTILE(K81:V81,3)</f>
        <v>-0.6278315504005898</v>
      </c>
      <c r="AC81" s="35">
        <f>MAX(K81:V81)</f>
        <v>-0.6278315504005898</v>
      </c>
      <c r="AD81" s="35">
        <f>SKEW(K81:V81)</f>
        <v>-1.1489125293076057</v>
      </c>
      <c r="AE81" s="35">
        <f>KURT(K81:V81)</f>
        <v>-2.4444444444444446</v>
      </c>
    </row>
    <row r="82" spans="2:31" x14ac:dyDescent="0.2">
      <c r="B82" s="34">
        <f>[49]FormattedData!A59</f>
        <v>0</v>
      </c>
      <c r="C82" s="34" t="e">
        <f>VLOOKUP($B82,[49]TrtCodes!$B$11:I102,2)</f>
        <v>#N/A</v>
      </c>
      <c r="D82" s="34" t="e">
        <f>VLOOKUP($B82,[49]TrtCodes!$B$11:J102,3)</f>
        <v>#N/A</v>
      </c>
      <c r="E82" s="34" t="e">
        <f>VLOOKUP($B82,[49]TrtCodes!$B$11:K102,4)</f>
        <v>#N/A</v>
      </c>
      <c r="F82" s="34" t="e">
        <f>VLOOKUP($B82,[49]TrtCodes!$B$11:L102,5)</f>
        <v>#N/A</v>
      </c>
      <c r="G82" s="34" t="e">
        <f>VLOOKUP($B82,[49]TrtCodes!$B$11:M102,6)</f>
        <v>#N/A</v>
      </c>
      <c r="H82" s="34" t="e">
        <f>VLOOKUP($B82,[49]TrtCodes!$B$11:N102,7)</f>
        <v>#N/A</v>
      </c>
      <c r="I82" s="34">
        <f>[49]FormattedData!B59</f>
        <v>0</v>
      </c>
      <c r="J82" s="37">
        <f>[49]FormattedData!C59</f>
        <v>0</v>
      </c>
      <c r="K82" s="39">
        <f>$J$3+[49]FormattedData!D59*$J$4+$M$4*$J$5+[49]FormattedData!D59^2*$J$6+$M$5*$J$7</f>
        <v>-0.6278315504005898</v>
      </c>
      <c r="L82" s="39">
        <f>$J$3+[49]FormattedData!E59*$J$4+$M$4*$J$5+[49]FormattedData!E59^2*$J$6+$M$5*$J$7</f>
        <v>-0.6278315504005898</v>
      </c>
      <c r="M82" s="39">
        <f>$J$3+[49]FormattedData!F59*$J$4+$M$4*$J$5+[49]FormattedData!F59^2*$J$6+$M$5*$J$7</f>
        <v>-0.6278315504005898</v>
      </c>
      <c r="N82" s="39">
        <f>$J$3+[49]FormattedData!G59*$J$4+$M$4*$J$5+[49]FormattedData!G59^2*$J$6+$M$5*$J$7</f>
        <v>-0.6278315504005898</v>
      </c>
      <c r="O82" s="39">
        <f>$J$3+[49]FormattedData!H59*$J$4+$M$4*$J$5+[49]FormattedData!H59^2*$J$6+$M$5*$J$7</f>
        <v>-0.6278315504005898</v>
      </c>
      <c r="P82" s="39">
        <f>$J$3+[49]FormattedData!I59*$J$4+$M$4*$J$5+[49]FormattedData!I59^2*$J$6+$M$5*$J$7</f>
        <v>-0.6278315504005898</v>
      </c>
      <c r="Q82" s="39">
        <f>$J$3+[49]FormattedData!J59*$J$4+$M$4*$J$5+[49]FormattedData!J59^2*$J$6+$M$5*$J$7</f>
        <v>-0.6278315504005898</v>
      </c>
      <c r="R82" s="39">
        <f>$J$3+[49]FormattedData!K59*$J$4+$M$4*$J$5+[49]FormattedData!K59^2*$J$6+$M$5*$J$7</f>
        <v>-0.6278315504005898</v>
      </c>
      <c r="S82" s="39">
        <f>$J$3+[49]FormattedData!L59*$J$4+$M$4*$J$5+[49]FormattedData!L59^2*$J$6+$M$5*$J$7</f>
        <v>-0.6278315504005898</v>
      </c>
      <c r="T82" s="39">
        <f>$J$3+[49]FormattedData!M59*$J$4+$M$4*$J$5+[49]FormattedData!M59^2*$J$6+$M$5*$J$7</f>
        <v>-0.6278315504005898</v>
      </c>
      <c r="U82" s="39">
        <f>$J$3+[49]FormattedData!N59*$J$4+$M$4*$J$5+[49]FormattedData!N59^2*$J$6+$M$5*$J$7</f>
        <v>-0.6278315504005898</v>
      </c>
      <c r="V82" s="39">
        <f>$J$3+[49]FormattedData!O59*$J$4+$M$4*$J$5+[49]FormattedData!O59^2*$J$6+$M$5*$J$7</f>
        <v>-0.6278315504005898</v>
      </c>
      <c r="W82" s="38">
        <f>AVERAGE(K82:V82)</f>
        <v>-0.62783155040058969</v>
      </c>
      <c r="X82" s="37">
        <f>STDEV(K82:V82)/SQRT(COUNT(K82:V82))</f>
        <v>3.3474483693592253E-17</v>
      </c>
      <c r="Y82" s="36">
        <f>MIN(K82:V82)</f>
        <v>-0.6278315504005898</v>
      </c>
      <c r="Z82" s="35">
        <f>QUARTILE(K82:V82,1)</f>
        <v>-0.6278315504005898</v>
      </c>
      <c r="AA82" s="36">
        <f>MEDIAN(K82:V82)</f>
        <v>-0.6278315504005898</v>
      </c>
      <c r="AB82" s="35">
        <f>QUARTILE(K82:V82,3)</f>
        <v>-0.6278315504005898</v>
      </c>
      <c r="AC82" s="35">
        <f>MAX(K82:V82)</f>
        <v>-0.6278315504005898</v>
      </c>
      <c r="AD82" s="35">
        <f>SKEW(K82:V82)</f>
        <v>-1.1489125293076057</v>
      </c>
      <c r="AE82" s="35">
        <f>KURT(K82:V82)</f>
        <v>-2.4444444444444446</v>
      </c>
    </row>
    <row r="83" spans="2:31" x14ac:dyDescent="0.2">
      <c r="B83" s="34">
        <f>[49]FormattedData!A55</f>
        <v>0</v>
      </c>
      <c r="C83" s="34" t="e">
        <f>VLOOKUP($B83,[49]TrtCodes!$B$11:I98,2)</f>
        <v>#N/A</v>
      </c>
      <c r="D83" s="34" t="e">
        <f>VLOOKUP($B83,[49]TrtCodes!$B$11:J98,3)</f>
        <v>#N/A</v>
      </c>
      <c r="E83" s="34" t="e">
        <f>VLOOKUP($B83,[49]TrtCodes!$B$11:K98,4)</f>
        <v>#N/A</v>
      </c>
      <c r="F83" s="34" t="e">
        <f>VLOOKUP($B83,[49]TrtCodes!$B$11:L98,5)</f>
        <v>#N/A</v>
      </c>
      <c r="G83" s="34" t="e">
        <f>VLOOKUP($B83,[49]TrtCodes!$B$11:M98,6)</f>
        <v>#N/A</v>
      </c>
      <c r="H83" s="34" t="e">
        <f>VLOOKUP($B83,[49]TrtCodes!$B$11:N98,7)</f>
        <v>#N/A</v>
      </c>
      <c r="I83" s="34">
        <f>[49]FormattedData!B55</f>
        <v>0</v>
      </c>
      <c r="J83" s="37">
        <f>[49]FormattedData!C55</f>
        <v>0</v>
      </c>
      <c r="K83" s="39">
        <f>$J$3+[49]FormattedData!D55*$J$4+$M$4*$J$5+[49]FormattedData!D55^2*$J$6+$M$5*$J$7</f>
        <v>-0.6278315504005898</v>
      </c>
      <c r="L83" s="39">
        <f>$J$3+[49]FormattedData!E55*$J$4+$M$4*$J$5+[49]FormattedData!E55^2*$J$6+$M$5*$J$7</f>
        <v>-0.6278315504005898</v>
      </c>
      <c r="M83" s="39">
        <f>$J$3+[49]FormattedData!F55*$J$4+$M$4*$J$5+[49]FormattedData!F55^2*$J$6+$M$5*$J$7</f>
        <v>-0.6278315504005898</v>
      </c>
      <c r="N83" s="39">
        <f>$J$3+[49]FormattedData!G55*$J$4+$M$4*$J$5+[49]FormattedData!G55^2*$J$6+$M$5*$J$7</f>
        <v>-0.6278315504005898</v>
      </c>
      <c r="O83" s="39">
        <f>$J$3+[49]FormattedData!H55*$J$4+$M$4*$J$5+[49]FormattedData!H55^2*$J$6+$M$5*$J$7</f>
        <v>-0.6278315504005898</v>
      </c>
      <c r="P83" s="39">
        <f>$J$3+[49]FormattedData!I55*$J$4+$M$4*$J$5+[49]FormattedData!I55^2*$J$6+$M$5*$J$7</f>
        <v>-0.6278315504005898</v>
      </c>
      <c r="Q83" s="39">
        <f>$J$3+[49]FormattedData!J55*$J$4+$M$4*$J$5+[49]FormattedData!J55^2*$J$6+$M$5*$J$7</f>
        <v>-0.6278315504005898</v>
      </c>
      <c r="R83" s="39">
        <f>$J$3+[49]FormattedData!K55*$J$4+$M$4*$J$5+[49]FormattedData!K55^2*$J$6+$M$5*$J$7</f>
        <v>-0.6278315504005898</v>
      </c>
      <c r="S83" s="39">
        <f>$J$3+[49]FormattedData!L55*$J$4+$M$4*$J$5+[49]FormattedData!L55^2*$J$6+$M$5*$J$7</f>
        <v>-0.6278315504005898</v>
      </c>
      <c r="T83" s="39">
        <f>$J$3+[49]FormattedData!M55*$J$4+$M$4*$J$5+[49]FormattedData!M55^2*$J$6+$M$5*$J$7</f>
        <v>-0.6278315504005898</v>
      </c>
      <c r="U83" s="39">
        <f>$J$3+[49]FormattedData!N55*$J$4+$M$4*$J$5+[49]FormattedData!N55^2*$J$6+$M$5*$J$7</f>
        <v>-0.6278315504005898</v>
      </c>
      <c r="V83" s="39">
        <f>$J$3+[49]FormattedData!O55*$J$4+$M$4*$J$5+[49]FormattedData!O55^2*$J$6+$M$5*$J$7</f>
        <v>-0.6278315504005898</v>
      </c>
      <c r="W83" s="38">
        <f>AVERAGE(K83:V83)</f>
        <v>-0.62783155040058969</v>
      </c>
      <c r="X83" s="37">
        <f>STDEV(K83:V83)/SQRT(COUNT(K83:V83))</f>
        <v>3.3474483693592253E-17</v>
      </c>
      <c r="Y83" s="36">
        <f>MIN(K83:V83)</f>
        <v>-0.6278315504005898</v>
      </c>
      <c r="Z83" s="35">
        <f>QUARTILE(K83:V83,1)</f>
        <v>-0.6278315504005898</v>
      </c>
      <c r="AA83" s="36">
        <f>MEDIAN(K83:V83)</f>
        <v>-0.6278315504005898</v>
      </c>
      <c r="AB83" s="35">
        <f>QUARTILE(K83:V83,3)</f>
        <v>-0.6278315504005898</v>
      </c>
      <c r="AC83" s="35">
        <f>MAX(K83:V83)</f>
        <v>-0.6278315504005898</v>
      </c>
      <c r="AD83" s="35">
        <f>SKEW(K83:V83)</f>
        <v>-1.1489125293076057</v>
      </c>
      <c r="AE83" s="35">
        <f>KURT(K83:V83)</f>
        <v>-2.4444444444444446</v>
      </c>
    </row>
    <row r="84" spans="2:31" x14ac:dyDescent="0.2">
      <c r="B84" s="34">
        <f>[49]FormattedData!A51</f>
        <v>0</v>
      </c>
      <c r="C84" s="34" t="e">
        <f>VLOOKUP($B84,[49]TrtCodes!$B$11:I94,2)</f>
        <v>#N/A</v>
      </c>
      <c r="D84" s="34" t="e">
        <f>VLOOKUP($B84,[49]TrtCodes!$B$11:J94,3)</f>
        <v>#N/A</v>
      </c>
      <c r="E84" s="34" t="e">
        <f>VLOOKUP($B84,[49]TrtCodes!$B$11:K94,4)</f>
        <v>#N/A</v>
      </c>
      <c r="F84" s="34" t="e">
        <f>VLOOKUP($B84,[49]TrtCodes!$B$11:L94,5)</f>
        <v>#N/A</v>
      </c>
      <c r="G84" s="34" t="e">
        <f>VLOOKUP($B84,[49]TrtCodes!$B$11:M94,6)</f>
        <v>#N/A</v>
      </c>
      <c r="H84" s="34" t="e">
        <f>VLOOKUP($B84,[49]TrtCodes!$B$11:N94,7)</f>
        <v>#N/A</v>
      </c>
      <c r="I84" s="34">
        <f>[49]FormattedData!B51</f>
        <v>0</v>
      </c>
      <c r="J84" s="37">
        <f>[49]FormattedData!C51</f>
        <v>0</v>
      </c>
      <c r="K84" s="39">
        <f>$J$3+[49]FormattedData!D51*$J$4+$M$4*$J$5+[49]FormattedData!D51^2*$J$6+$M$5*$J$7</f>
        <v>-0.6278315504005898</v>
      </c>
      <c r="L84" s="39">
        <f>$J$3+[49]FormattedData!E51*$J$4+$M$4*$J$5+[49]FormattedData!E51^2*$J$6+$M$5*$J$7</f>
        <v>-0.6278315504005898</v>
      </c>
      <c r="M84" s="39">
        <f>$J$3+[49]FormattedData!F51*$J$4+$M$4*$J$5+[49]FormattedData!F51^2*$J$6+$M$5*$J$7</f>
        <v>-0.6278315504005898</v>
      </c>
      <c r="N84" s="39">
        <f>$J$3+[49]FormattedData!G51*$J$4+$M$4*$J$5+[49]FormattedData!G51^2*$J$6+$M$5*$J$7</f>
        <v>-0.6278315504005898</v>
      </c>
      <c r="O84" s="39">
        <f>$J$3+[49]FormattedData!H51*$J$4+$M$4*$J$5+[49]FormattedData!H51^2*$J$6+$M$5*$J$7</f>
        <v>-0.6278315504005898</v>
      </c>
      <c r="P84" s="39">
        <f>$J$3+[49]FormattedData!I51*$J$4+$M$4*$J$5+[49]FormattedData!I51^2*$J$6+$M$5*$J$7</f>
        <v>-0.6278315504005898</v>
      </c>
      <c r="Q84" s="39">
        <f>$J$3+[49]FormattedData!J51*$J$4+$M$4*$J$5+[49]FormattedData!J51^2*$J$6+$M$5*$J$7</f>
        <v>-0.6278315504005898</v>
      </c>
      <c r="R84" s="39">
        <f>$J$3+[49]FormattedData!K51*$J$4+$M$4*$J$5+[49]FormattedData!K51^2*$J$6+$M$5*$J$7</f>
        <v>-0.6278315504005898</v>
      </c>
      <c r="S84" s="39">
        <f>$J$3+[49]FormattedData!L51*$J$4+$M$4*$J$5+[49]FormattedData!L51^2*$J$6+$M$5*$J$7</f>
        <v>-0.6278315504005898</v>
      </c>
      <c r="T84" s="39">
        <f>$J$3+[49]FormattedData!M51*$J$4+$M$4*$J$5+[49]FormattedData!M51^2*$J$6+$M$5*$J$7</f>
        <v>-0.6278315504005898</v>
      </c>
      <c r="U84" s="39">
        <f>$J$3+[49]FormattedData!N51*$J$4+$M$4*$J$5+[49]FormattedData!N51^2*$J$6+$M$5*$J$7</f>
        <v>-0.6278315504005898</v>
      </c>
      <c r="V84" s="39">
        <f>$J$3+[49]FormattedData!O51*$J$4+$M$4*$J$5+[49]FormattedData!O51^2*$J$6+$M$5*$J$7</f>
        <v>-0.6278315504005898</v>
      </c>
      <c r="W84" s="38">
        <f>AVERAGE(K84:V84)</f>
        <v>-0.62783155040058969</v>
      </c>
      <c r="X84" s="37">
        <f>STDEV(K84:V84)/SQRT(COUNT(K84:V84))</f>
        <v>3.3474483693592253E-17</v>
      </c>
      <c r="Y84" s="36">
        <f>MIN(K84:V84)</f>
        <v>-0.6278315504005898</v>
      </c>
      <c r="Z84" s="35">
        <f>QUARTILE(K84:V84,1)</f>
        <v>-0.6278315504005898</v>
      </c>
      <c r="AA84" s="36">
        <f>MEDIAN(K84:V84)</f>
        <v>-0.6278315504005898</v>
      </c>
      <c r="AB84" s="35">
        <f>QUARTILE(K84:V84,3)</f>
        <v>-0.6278315504005898</v>
      </c>
      <c r="AC84" s="35">
        <f>MAX(K84:V84)</f>
        <v>-0.6278315504005898</v>
      </c>
      <c r="AD84" s="35">
        <f>SKEW(K84:V84)</f>
        <v>-1.1489125293076057</v>
      </c>
      <c r="AE84" s="35">
        <f>KURT(K84:V84)</f>
        <v>-2.4444444444444446</v>
      </c>
    </row>
    <row r="85" spans="2:31" x14ac:dyDescent="0.2">
      <c r="B85" s="34">
        <f>[49]FormattedData!A47</f>
        <v>0</v>
      </c>
      <c r="C85" s="34" t="e">
        <f>VLOOKUP($B85,[49]TrtCodes!$B$11:I90,2)</f>
        <v>#N/A</v>
      </c>
      <c r="D85" s="34" t="e">
        <f>VLOOKUP($B85,[49]TrtCodes!$B$11:J90,3)</f>
        <v>#N/A</v>
      </c>
      <c r="E85" s="34" t="e">
        <f>VLOOKUP($B85,[49]TrtCodes!$B$11:K90,4)</f>
        <v>#N/A</v>
      </c>
      <c r="F85" s="34" t="e">
        <f>VLOOKUP($B85,[49]TrtCodes!$B$11:L90,5)</f>
        <v>#N/A</v>
      </c>
      <c r="G85" s="34" t="e">
        <f>VLOOKUP($B85,[49]TrtCodes!$B$11:M90,6)</f>
        <v>#N/A</v>
      </c>
      <c r="H85" s="34" t="e">
        <f>VLOOKUP($B85,[49]TrtCodes!$B$11:N90,7)</f>
        <v>#N/A</v>
      </c>
      <c r="I85" s="34">
        <f>[49]FormattedData!B47</f>
        <v>0</v>
      </c>
      <c r="J85" s="37">
        <f>[49]FormattedData!C47</f>
        <v>0</v>
      </c>
      <c r="K85" s="39">
        <f>$J$3+[49]FormattedData!D47*$J$4+$M$4*$J$5+[49]FormattedData!D47^2*$J$6+$M$5*$J$7</f>
        <v>-0.6278315504005898</v>
      </c>
      <c r="L85" s="39">
        <f>$J$3+[49]FormattedData!E47*$J$4+$M$4*$J$5+[49]FormattedData!E47^2*$J$6+$M$5*$J$7</f>
        <v>-0.6278315504005898</v>
      </c>
      <c r="M85" s="39">
        <f>$J$3+[49]FormattedData!F47*$J$4+$M$4*$J$5+[49]FormattedData!F47^2*$J$6+$M$5*$J$7</f>
        <v>-0.6278315504005898</v>
      </c>
      <c r="N85" s="39">
        <f>$J$3+[49]FormattedData!G47*$J$4+$M$4*$J$5+[49]FormattedData!G47^2*$J$6+$M$5*$J$7</f>
        <v>-0.6278315504005898</v>
      </c>
      <c r="O85" s="39">
        <f>$J$3+[49]FormattedData!H47*$J$4+$M$4*$J$5+[49]FormattedData!H47^2*$J$6+$M$5*$J$7</f>
        <v>-0.6278315504005898</v>
      </c>
      <c r="P85" s="39">
        <f>$J$3+[49]FormattedData!I47*$J$4+$M$4*$J$5+[49]FormattedData!I47^2*$J$6+$M$5*$J$7</f>
        <v>-0.6278315504005898</v>
      </c>
      <c r="Q85" s="39">
        <f>$J$3+[49]FormattedData!J47*$J$4+$M$4*$J$5+[49]FormattedData!J47^2*$J$6+$M$5*$J$7</f>
        <v>-0.6278315504005898</v>
      </c>
      <c r="R85" s="39">
        <f>$J$3+[49]FormattedData!K47*$J$4+$M$4*$J$5+[49]FormattedData!K47^2*$J$6+$M$5*$J$7</f>
        <v>-0.6278315504005898</v>
      </c>
      <c r="S85" s="39">
        <f>$J$3+[49]FormattedData!L47*$J$4+$M$4*$J$5+[49]FormattedData!L47^2*$J$6+$M$5*$J$7</f>
        <v>-0.6278315504005898</v>
      </c>
      <c r="T85" s="39">
        <f>$J$3+[49]FormattedData!M47*$J$4+$M$4*$J$5+[49]FormattedData!M47^2*$J$6+$M$5*$J$7</f>
        <v>-0.6278315504005898</v>
      </c>
      <c r="U85" s="39">
        <f>$J$3+[49]FormattedData!N47*$J$4+$M$4*$J$5+[49]FormattedData!N47^2*$J$6+$M$5*$J$7</f>
        <v>-0.6278315504005898</v>
      </c>
      <c r="V85" s="39">
        <f>$J$3+[49]FormattedData!O47*$J$4+$M$4*$J$5+[49]FormattedData!O47^2*$J$6+$M$5*$J$7</f>
        <v>-0.6278315504005898</v>
      </c>
      <c r="W85" s="38">
        <f>AVERAGE(K85:V85)</f>
        <v>-0.62783155040058969</v>
      </c>
      <c r="X85" s="37">
        <f>STDEV(K85:V85)/SQRT(COUNT(K85:V85))</f>
        <v>3.3474483693592253E-17</v>
      </c>
      <c r="Y85" s="36">
        <f>MIN(K85:V85)</f>
        <v>-0.6278315504005898</v>
      </c>
      <c r="Z85" s="35">
        <f>QUARTILE(K85:V85,1)</f>
        <v>-0.6278315504005898</v>
      </c>
      <c r="AA85" s="36">
        <f>MEDIAN(K85:V85)</f>
        <v>-0.6278315504005898</v>
      </c>
      <c r="AB85" s="35">
        <f>QUARTILE(K85:V85,3)</f>
        <v>-0.6278315504005898</v>
      </c>
      <c r="AC85" s="35">
        <f>MAX(K85:V85)</f>
        <v>-0.6278315504005898</v>
      </c>
      <c r="AD85" s="35">
        <f>SKEW(K85:V85)</f>
        <v>-1.1489125293076057</v>
      </c>
      <c r="AE85" s="35">
        <f>KURT(K85:V85)</f>
        <v>-2.4444444444444446</v>
      </c>
    </row>
    <row r="88" spans="2:31" x14ac:dyDescent="0.2">
      <c r="W88" s="35"/>
    </row>
  </sheetData>
  <autoFilter ref="B9:AE85" xr:uid="{7F73E2F0-B28B-4C75-9174-E961326E38D1}"/>
  <conditionalFormatting sqref="K10:V85">
    <cfRule type="cellIs" dxfId="191" priority="1" stopIfTrue="1" operator="lessThan">
      <formula>$W10-$V$5*$X10</formula>
    </cfRule>
    <cfRule type="cellIs" dxfId="190" priority="2" stopIfTrue="1" operator="greaterThan">
      <formula>$W10+$V$5*$X10</formula>
    </cfRule>
  </conditionalFormatting>
  <conditionalFormatting sqref="W10:W85">
    <cfRule type="cellIs" dxfId="189" priority="3" stopIfTrue="1" operator="lessThan">
      <formula>AVERAGE($W$10:$W$41)</formula>
    </cfRule>
    <cfRule type="cellIs" dxfId="18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B9DA-74B1-4793-84CE-9E38597D4BD0}">
  <sheetPr codeName="Sheet19"/>
  <dimension ref="A1:AI88"/>
  <sheetViews>
    <sheetView topLeftCell="A8" workbookViewId="0">
      <pane xSplit="4" ySplit="2" topLeftCell="J2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[48]FormattedData!A1</f>
        <v>Raw data file name - 'IA143.03R'</v>
      </c>
    </row>
    <row r="2" spans="1:35" ht="15" x14ac:dyDescent="0.25">
      <c r="I2" s="65" t="s">
        <v>136</v>
      </c>
      <c r="J2" s="57"/>
      <c r="P2" s="64">
        <f>[48]AncillaryData!C10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[48]AncillaryData!E25</f>
        <v>36.75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"&amp;[48]AncillaryData!C7</f>
        <v>Time Sequence of Midday IRT Temps - FISE 2003 - DOY 143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"&amp;[48]AncillaryData!E25&amp;", VPD = "&amp;ROUND([48]AncillaryData!E29,1)&amp;", Quality = "&amp;[48]AncillaryData!C20&amp;")"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[48]FormattedData!A28</f>
        <v>101</v>
      </c>
      <c r="C10" s="34" t="str">
        <f>VLOOKUP($B10,[48]TrtCodes!$B$11:I71,2)</f>
        <v>FSH</v>
      </c>
      <c r="D10" s="34">
        <f>VLOOKUP($B10,[48]TrtCodes!$B$11:J71,3)</f>
        <v>1</v>
      </c>
      <c r="E10" s="34">
        <f>VLOOKUP($B10,[48]TrtCodes!$B$11:K71,4)</f>
        <v>1</v>
      </c>
      <c r="F10" s="34">
        <f>VLOOKUP($B10,[48]TrtCodes!$B$11:L71,5)</f>
        <v>1</v>
      </c>
      <c r="G10" s="34">
        <f>VLOOKUP($B10,[48]TrtCodes!$B$11:M71,6)</f>
        <v>2</v>
      </c>
      <c r="H10" s="34">
        <f>VLOOKUP($B10,[48]TrtCodes!$B$11:N71,7)</f>
        <v>1</v>
      </c>
      <c r="I10" s="34">
        <f>[48]FormattedData!B28</f>
        <v>1</v>
      </c>
      <c r="J10" s="37">
        <f>[48]FormattedData!C28</f>
        <v>13.14</v>
      </c>
      <c r="K10" s="39">
        <f>$J$3+[48]FormattedData!D28*$J$4+$M$4*$J$5+[48]FormattedData!D28^2*$J$6+$M$5*$J$7</f>
        <v>52.899199326601959</v>
      </c>
      <c r="L10" s="39">
        <f>$J$3+[48]FormattedData!E28*$J$4+$M$4*$J$5+[48]FormattedData!E28^2*$J$6+$M$5*$J$7</f>
        <v>53.678462871349808</v>
      </c>
      <c r="M10" s="39">
        <f>$J$3+[48]FormattedData!F28*$J$4+$M$4*$J$5+[48]FormattedData!F28^2*$J$6+$M$5*$J$7</f>
        <v>53.592047107196208</v>
      </c>
      <c r="N10" s="39">
        <f>$J$3+[48]FormattedData!G28*$J$4+$M$4*$J$5+[48]FormattedData!G28^2*$J$6+$M$5*$J$7</f>
        <v>52.725564696074073</v>
      </c>
      <c r="O10" s="39">
        <f>$J$3+[48]FormattedData!H28*$J$4+$M$4*$J$5+[48]FormattedData!H28^2*$J$6+$M$5*$J$7</f>
        <v>53.505589074504698</v>
      </c>
      <c r="P10" s="39">
        <f>$J$3+[48]FormattedData!I28*$J$4+$M$4*$J$5+[48]FormattedData!I28^2*$J$6+$M$5*$J$7</f>
        <v>52.812403145606979</v>
      </c>
      <c r="Q10" s="39">
        <f>$J$3+[48]FormattedData!J28*$J$4+$M$4*$J$5+[48]FormattedData!J28^2*$J$6+$M$5*$J$7</f>
        <v>54.282189701362881</v>
      </c>
      <c r="R10" s="39">
        <f>$J$3+[48]FormattedData!K28*$J$4+$M$4*$J$5+[48]FormattedData!K28^2*$J$6+$M$5*$J$7</f>
        <v>52.985953239058993</v>
      </c>
      <c r="S10" s="39">
        <f>$J$3+[48]FormattedData!L28*$J$4+$M$4*$J$5+[48]FormattedData!L28^2*$J$6+$M$5*$J$7</f>
        <v>53.592047107196208</v>
      </c>
      <c r="T10" s="39">
        <f>$J$3+[48]FormattedData!M28*$J$4+$M$4*$J$5+[48]FormattedData!M28^2*$J$6+$M$5*$J$7</f>
        <v>52.551760991394474</v>
      </c>
      <c r="U10" s="39">
        <f>$J$3+[48]FormattedData!N28*$J$4+$M$4*$J$5+[48]FormattedData!N28^2*$J$6+$M$5*$J$7</f>
        <v>53.678462871349808</v>
      </c>
      <c r="V10" s="39">
        <f>$J$3+[48]FormattedData!O28*$J$4+$M$4*$J$5+[48]FormattedData!O28^2*$J$6+$M$5*$J$7</f>
        <v>53.419088773275234</v>
      </c>
      <c r="W10" s="38">
        <f>AVERAGE(K10:V10)</f>
        <v>53.31023074208094</v>
      </c>
      <c r="X10" s="37">
        <f>STDEV(K10:V10)/SQRT(COUNT(K10:V10))</f>
        <v>0.14729365855386747</v>
      </c>
      <c r="Y10" s="36">
        <f>MIN(K10:V10)</f>
        <v>52.551760991394474</v>
      </c>
      <c r="Z10" s="35">
        <f>QUARTILE(K10:V10,1)</f>
        <v>52.877500281353214</v>
      </c>
      <c r="AA10" s="36">
        <f>MEDIAN(K10:V10)</f>
        <v>53.462338923889966</v>
      </c>
      <c r="AB10" s="35">
        <f>QUARTILE(K10:V10,3)</f>
        <v>53.613651048234608</v>
      </c>
      <c r="AC10" s="35">
        <f>MAX(K10:V10)</f>
        <v>54.282189701362881</v>
      </c>
      <c r="AD10" s="35">
        <f>SKEW(K10:V10)</f>
        <v>0.171206406735218</v>
      </c>
      <c r="AE10" s="35">
        <f>KURT(K10:V10)</f>
        <v>-0.56407361037679316</v>
      </c>
    </row>
    <row r="11" spans="1:35" x14ac:dyDescent="0.2">
      <c r="B11" s="34">
        <f>[48]FormattedData!A26</f>
        <v>102</v>
      </c>
      <c r="C11" s="34" t="str">
        <f>VLOOKUP($B11,[48]TrtCodes!$B$11:I69,2)</f>
        <v>FTL</v>
      </c>
      <c r="D11" s="34">
        <f>VLOOKUP($B11,[48]TrtCodes!$B$11:J69,3)</f>
        <v>4</v>
      </c>
      <c r="E11" s="34">
        <f>VLOOKUP($B11,[48]TrtCodes!$B$11:K69,4)</f>
        <v>1</v>
      </c>
      <c r="F11" s="34">
        <f>VLOOKUP($B11,[48]TrtCodes!$B$11:L69,5)</f>
        <v>2</v>
      </c>
      <c r="G11" s="34">
        <f>VLOOKUP($B11,[48]TrtCodes!$B$11:M69,6)</f>
        <v>1</v>
      </c>
      <c r="H11" s="34">
        <f>VLOOKUP($B11,[48]TrtCodes!$B$11:N69,7)</f>
        <v>1</v>
      </c>
      <c r="I11" s="34">
        <f>[48]FormattedData!B26</f>
        <v>1</v>
      </c>
      <c r="J11" s="37">
        <f>[48]FormattedData!C26</f>
        <v>13.132</v>
      </c>
      <c r="K11" s="39">
        <f>$J$3+[48]FormattedData!D26*$J$4+$M$4*$J$5+[48]FormattedData!D26^2*$J$6+$M$5*$J$7</f>
        <v>53.678462871349808</v>
      </c>
      <c r="L11" s="39">
        <f>$J$3+[48]FormattedData!E26*$J$4+$M$4*$J$5+[48]FormattedData!E26^2*$J$6+$M$5*$J$7</f>
        <v>54.196069816974813</v>
      </c>
      <c r="M11" s="39">
        <f>$J$3+[48]FormattedData!F26*$J$4+$M$4*$J$5+[48]FormattedData!F26^2*$J$6+$M$5*$J$7</f>
        <v>54.969627109101957</v>
      </c>
      <c r="N11" s="39">
        <f>$J$3+[48]FormattedData!G26*$J$4+$M$4*$J$5+[48]FormattedData!G26^2*$J$6+$M$5*$J$7</f>
        <v>53.851167594043197</v>
      </c>
      <c r="O11" s="39">
        <f>$J$3+[48]FormattedData!H26*$J$4+$M$4*$J$5+[48]FormattedData!H26^2*$J$6+$M$5*$J$7</f>
        <v>54.540295743299524</v>
      </c>
      <c r="P11" s="39">
        <f>$J$3+[48]FormattedData!I26*$J$4+$M$4*$J$5+[48]FormattedData!I26^2*$J$6+$M$5*$J$7</f>
        <v>53.419088773275234</v>
      </c>
      <c r="Q11" s="39">
        <f>$J$3+[48]FormattedData!J26*$J$4+$M$4*$J$5+[48]FormattedData!J26^2*$J$6+$M$5*$J$7</f>
        <v>54.454302664525244</v>
      </c>
      <c r="R11" s="39">
        <f>$J$3+[48]FormattedData!K26*$J$4+$M$4*$J$5+[48]FormattedData!K26^2*$J$6+$M$5*$J$7</f>
        <v>53.592047107196208</v>
      </c>
      <c r="S11" s="39">
        <f>$J$3+[48]FormattedData!L26*$J$4+$M$4*$J$5+[48]FormattedData!L26^2*$J$6+$M$5*$J$7</f>
        <v>53.937456552583001</v>
      </c>
      <c r="T11" s="39">
        <f>$J$3+[48]FormattedData!M26*$J$4+$M$4*$J$5+[48]FormattedData!M26^2*$J$6+$M$5*$J$7</f>
        <v>52.638683978003243</v>
      </c>
      <c r="U11" s="39">
        <f>$J$3+[48]FormattedData!N26*$J$4+$M$4*$J$5+[48]FormattedData!N26^2*$J$6+$M$5*$J$7</f>
        <v>54.368267317213032</v>
      </c>
      <c r="V11" s="39">
        <f>$J$3+[48]FormattedData!O26*$J$4+$M$4*$J$5+[48]FormattedData!O26^2*$J$6+$M$5*$J$7</f>
        <v>52.899199326601959</v>
      </c>
      <c r="W11" s="38">
        <f>AVERAGE(K11:V11)</f>
        <v>53.878722404513944</v>
      </c>
      <c r="X11" s="37">
        <f>STDEV(K11:V11)/SQRT(COUNT(K11:V11))</f>
        <v>0.19722176418368667</v>
      </c>
      <c r="Y11" s="36">
        <f>MIN(K11:V11)</f>
        <v>52.638683978003243</v>
      </c>
      <c r="Z11" s="35">
        <f>QUARTILE(K11:V11,1)</f>
        <v>53.548807523715965</v>
      </c>
      <c r="AA11" s="36">
        <f>MEDIAN(K11:V11)</f>
        <v>53.894312073313102</v>
      </c>
      <c r="AB11" s="35">
        <f>QUARTILE(K11:V11,3)</f>
        <v>54.389776154041087</v>
      </c>
      <c r="AC11" s="35">
        <f>MAX(K11:V11)</f>
        <v>54.969627109101957</v>
      </c>
      <c r="AD11" s="35">
        <f>SKEW(K11:V11)</f>
        <v>-0.35829856618850725</v>
      </c>
      <c r="AE11" s="35">
        <f>KURT(K11:V11)</f>
        <v>-0.32777529121289728</v>
      </c>
    </row>
    <row r="12" spans="1:35" x14ac:dyDescent="0.2">
      <c r="B12" s="34">
        <f>[48]FormattedData!A24</f>
        <v>103</v>
      </c>
      <c r="C12" s="34" t="str">
        <f>VLOOKUP($B12,[48]TrtCodes!$B$11:I67,2)</f>
        <v>FDH</v>
      </c>
      <c r="D12" s="34">
        <f>VLOOKUP($B12,[48]TrtCodes!$B$11:J67,3)</f>
        <v>5</v>
      </c>
      <c r="E12" s="34">
        <f>VLOOKUP($B12,[48]TrtCodes!$B$11:K67,4)</f>
        <v>1</v>
      </c>
      <c r="F12" s="34">
        <f>VLOOKUP($B12,[48]TrtCodes!$B$11:L67,5)</f>
        <v>3</v>
      </c>
      <c r="G12" s="34">
        <f>VLOOKUP($B12,[48]TrtCodes!$B$11:M67,6)</f>
        <v>2</v>
      </c>
      <c r="H12" s="34">
        <f>VLOOKUP($B12,[48]TrtCodes!$B$11:N67,7)</f>
        <v>1</v>
      </c>
      <c r="I12" s="34">
        <f>[48]FormattedData!B24</f>
        <v>1</v>
      </c>
      <c r="J12" s="37">
        <f>[48]FormattedData!C24</f>
        <v>13.122999999999999</v>
      </c>
      <c r="K12" s="39">
        <f>$J$3+[48]FormattedData!D24*$J$4+$M$4*$J$5+[48]FormattedData!D24^2*$J$6+$M$5*$J$7</f>
        <v>53.15933425835928</v>
      </c>
      <c r="L12" s="39">
        <f>$J$3+[48]FormattedData!E24*$J$4+$M$4*$J$5+[48]FormattedData!E24^2*$J$6+$M$5*$J$7</f>
        <v>53.419088773275234</v>
      </c>
      <c r="M12" s="39">
        <f>$J$3+[48]FormattedData!F24*$J$4+$M$4*$J$5+[48]FormattedData!F24^2*$J$6+$M$5*$J$7</f>
        <v>54.282189701362881</v>
      </c>
      <c r="N12" s="39">
        <f>$J$3+[48]FormattedData!G24*$J$4+$M$4*$J$5+[48]FormattedData!G24^2*$J$6+$M$5*$J$7</f>
        <v>53.937456552583001</v>
      </c>
      <c r="O12" s="39">
        <f>$J$3+[48]FormattedData!H24*$J$4+$M$4*$J$5+[48]FormattedData!H24^2*$J$6+$M$5*$J$7</f>
        <v>53.678462871349808</v>
      </c>
      <c r="P12" s="39">
        <f>$J$3+[48]FormattedData!I24*$J$4+$M$4*$J$5+[48]FormattedData!I24^2*$J$6+$M$5*$J$7</f>
        <v>52.725564696074073</v>
      </c>
      <c r="Q12" s="39">
        <f>$J$3+[48]FormattedData!J24*$J$4+$M$4*$J$5+[48]FormattedData!J24^2*$J$6+$M$5*$J$7</f>
        <v>52.899199326601959</v>
      </c>
      <c r="R12" s="39">
        <f>$J$3+[48]FormattedData!K24*$J$4+$M$4*$J$5+[48]FormattedData!K24^2*$J$6+$M$5*$J$7</f>
        <v>54.883845373017337</v>
      </c>
      <c r="S12" s="39">
        <f>$J$3+[48]FormattedData!L24*$J$4+$M$4*$J$5+[48]FormattedData!L24^2*$J$6+$M$5*$J$7</f>
        <v>52.899199326601959</v>
      </c>
      <c r="T12" s="39">
        <f>$J$3+[48]FormattedData!M24*$J$4+$M$4*$J$5+[48]FormattedData!M24^2*$J$6+$M$5*$J$7</f>
        <v>53.245961365202533</v>
      </c>
      <c r="U12" s="39">
        <f>$J$3+[48]FormattedData!N24*$J$4+$M$4*$J$5+[48]FormattedData!N24^2*$J$6+$M$5*$J$7</f>
        <v>52.725564696074073</v>
      </c>
      <c r="V12" s="39">
        <f>$J$3+[48]FormattedData!O24*$J$4+$M$4*$J$5+[48]FormattedData!O24^2*$J$6+$M$5*$J$7</f>
        <v>54.712155095234294</v>
      </c>
      <c r="W12" s="38">
        <f>AVERAGE(K12:V12)</f>
        <v>53.547335169644697</v>
      </c>
      <c r="X12" s="37">
        <f>STDEV(K12:V12)/SQRT(COUNT(K12:V12))</f>
        <v>0.21848404894656237</v>
      </c>
      <c r="Y12" s="36">
        <f>MIN(K12:V12)</f>
        <v>52.725564696074073</v>
      </c>
      <c r="Z12" s="35">
        <f>QUARTILE(K12:V12,1)</f>
        <v>52.899199326601959</v>
      </c>
      <c r="AA12" s="36">
        <f>MEDIAN(K12:V12)</f>
        <v>53.332525069238883</v>
      </c>
      <c r="AB12" s="35">
        <f>QUARTILE(K12:V12,3)</f>
        <v>54.023639839777971</v>
      </c>
      <c r="AC12" s="35">
        <f>MAX(K12:V12)</f>
        <v>54.883845373017337</v>
      </c>
      <c r="AD12" s="35">
        <f>SKEW(K12:V12)</f>
        <v>0.67534745209973712</v>
      </c>
      <c r="AE12" s="35">
        <f>KURT(K12:V12)</f>
        <v>-0.84321760092454312</v>
      </c>
    </row>
    <row r="13" spans="1:35" x14ac:dyDescent="0.2">
      <c r="B13" s="34">
        <f>[48]FormattedData!A22</f>
        <v>104</v>
      </c>
      <c r="C13" s="34" t="str">
        <f>VLOOKUP($B13,[48]TrtCodes!$B$11:I65,2)</f>
        <v>NTL</v>
      </c>
      <c r="D13" s="34">
        <f>VLOOKUP($B13,[48]TrtCodes!$B$11:J65,3)</f>
        <v>10</v>
      </c>
      <c r="E13" s="34">
        <f>VLOOKUP($B13,[48]TrtCodes!$B$11:K65,4)</f>
        <v>2</v>
      </c>
      <c r="F13" s="34">
        <f>VLOOKUP($B13,[48]TrtCodes!$B$11:L65,5)</f>
        <v>2</v>
      </c>
      <c r="G13" s="34">
        <f>VLOOKUP($B13,[48]TrtCodes!$B$11:M65,6)</f>
        <v>1</v>
      </c>
      <c r="H13" s="34">
        <f>VLOOKUP($B13,[48]TrtCodes!$B$11:N65,7)</f>
        <v>1</v>
      </c>
      <c r="I13" s="34">
        <f>[48]FormattedData!B22</f>
        <v>1</v>
      </c>
      <c r="J13" s="37">
        <f>[48]FormattedData!C22</f>
        <v>13.115</v>
      </c>
      <c r="K13" s="39">
        <f>$J$3+[48]FormattedData!D22*$J$4+$M$4*$J$5+[48]FormattedData!D22^2*$J$6+$M$5*$J$7</f>
        <v>53.332546203507853</v>
      </c>
      <c r="L13" s="39">
        <f>$J$3+[48]FormattedData!E22*$J$4+$M$4*$J$5+[48]FormattedData!E22^2*$J$6+$M$5*$J$7</f>
        <v>53.419088773275234</v>
      </c>
      <c r="M13" s="39">
        <f>$J$3+[48]FormattedData!F22*$J$4+$M$4*$J$5+[48]FormattedData!F22^2*$J$6+$M$5*$J$7</f>
        <v>53.419088773275234</v>
      </c>
      <c r="N13" s="39">
        <f>$J$3+[48]FormattedData!G22*$J$4+$M$4*$J$5+[48]FormattedData!G22^2*$J$6+$M$5*$J$7</f>
        <v>53.15933425835928</v>
      </c>
      <c r="O13" s="39">
        <f>$J$3+[48]FormattedData!H22*$J$4+$M$4*$J$5+[48]FormattedData!H22^2*$J$6+$M$5*$J$7</f>
        <v>54.712155095234294</v>
      </c>
      <c r="P13" s="39">
        <f>$J$3+[48]FormattedData!I22*$J$4+$M$4*$J$5+[48]FormattedData!I22^2*$J$6+$M$5*$J$7</f>
        <v>53.505589074504698</v>
      </c>
      <c r="Q13" s="39">
        <f>$J$3+[48]FormattedData!J22*$J$4+$M$4*$J$5+[48]FormattedData!J22^2*$J$6+$M$5*$J$7</f>
        <v>53.245961365202533</v>
      </c>
      <c r="R13" s="39">
        <f>$J$3+[48]FormattedData!K22*$J$4+$M$4*$J$5+[48]FormattedData!K22^2*$J$6+$M$5*$J$7</f>
        <v>53.937456552583001</v>
      </c>
      <c r="S13" s="39">
        <f>$J$3+[48]FormattedData!L22*$J$4+$M$4*$J$5+[48]FormattedData!L22^2*$J$6+$M$5*$J$7</f>
        <v>54.196069816974813</v>
      </c>
      <c r="T13" s="39">
        <f>$J$3+[48]FormattedData!M22*$J$4+$M$4*$J$5+[48]FormattedData!M22^2*$J$6+$M$5*$J$7</f>
        <v>53.332546203507853</v>
      </c>
      <c r="U13" s="39">
        <f>$J$3+[48]FormattedData!N22*$J$4+$M$4*$J$5+[48]FormattedData!N22^2*$J$6+$M$5*$J$7</f>
        <v>52.551760991394474</v>
      </c>
      <c r="V13" s="39">
        <f>$J$3+[48]FormattedData!O22*$J$4+$M$4*$J$5+[48]FormattedData!O22^2*$J$6+$M$5*$J$7</f>
        <v>54.282189701362881</v>
      </c>
      <c r="W13" s="38">
        <f>AVERAGE(K13:V13)</f>
        <v>53.59114890076517</v>
      </c>
      <c r="X13" s="37">
        <f>STDEV(K13:V13)/SQRT(COUNT(K13:V13))</f>
        <v>0.16980998060722913</v>
      </c>
      <c r="Y13" s="36">
        <f>MIN(K13:V13)</f>
        <v>52.551760991394474</v>
      </c>
      <c r="Z13" s="35">
        <f>QUARTILE(K13:V13,1)</f>
        <v>53.310899993931521</v>
      </c>
      <c r="AA13" s="36">
        <f>MEDIAN(K13:V13)</f>
        <v>53.419088773275234</v>
      </c>
      <c r="AB13" s="35">
        <f>QUARTILE(K13:V13,3)</f>
        <v>54.002109868680954</v>
      </c>
      <c r="AC13" s="35">
        <f>MAX(K13:V13)</f>
        <v>54.712155095234294</v>
      </c>
      <c r="AD13" s="35">
        <f>SKEW(K13:V13)</f>
        <v>0.3814255314479999</v>
      </c>
      <c r="AE13" s="35">
        <f>KURT(K13:V13)</f>
        <v>0.1547951113872319</v>
      </c>
    </row>
    <row r="14" spans="1:35" x14ac:dyDescent="0.2">
      <c r="B14" s="34">
        <f>[48]FormattedData!A20</f>
        <v>105</v>
      </c>
      <c r="C14" s="34" t="str">
        <f>VLOOKUP($B14,[48]TrtCodes!$B$11:I63,2)</f>
        <v>NDL</v>
      </c>
      <c r="D14" s="34">
        <f>VLOOKUP($B14,[48]TrtCodes!$B$11:J63,3)</f>
        <v>12</v>
      </c>
      <c r="E14" s="34">
        <f>VLOOKUP($B14,[48]TrtCodes!$B$11:K63,4)</f>
        <v>2</v>
      </c>
      <c r="F14" s="34">
        <f>VLOOKUP($B14,[48]TrtCodes!$B$11:L63,5)</f>
        <v>3</v>
      </c>
      <c r="G14" s="34">
        <f>VLOOKUP($B14,[48]TrtCodes!$B$11:M63,6)</f>
        <v>1</v>
      </c>
      <c r="H14" s="34">
        <f>VLOOKUP($B14,[48]TrtCodes!$B$11:N63,7)</f>
        <v>2</v>
      </c>
      <c r="I14" s="34">
        <f>[48]FormattedData!B20</f>
        <v>1</v>
      </c>
      <c r="J14" s="37">
        <f>[48]FormattedData!C20</f>
        <v>13.106999999999999</v>
      </c>
      <c r="K14" s="39">
        <f>$J$3+[48]FormattedData!D20*$J$4+$M$4*$J$5+[48]FormattedData!D20^2*$J$6+$M$5*$J$7</f>
        <v>34.698819222777672</v>
      </c>
      <c r="L14" s="39">
        <f>$J$3+[48]FormattedData!E20*$J$4+$M$4*$J$5+[48]FormattedData!E20^2*$J$6+$M$5*$J$7</f>
        <v>38.847968467798687</v>
      </c>
      <c r="M14" s="39">
        <f>$J$3+[48]FormattedData!F20*$J$4+$M$4*$J$5+[48]FormattedData!F20^2*$J$6+$M$5*$J$7</f>
        <v>35.838520939793462</v>
      </c>
      <c r="N14" s="39">
        <f>$J$3+[48]FormattedData!G20*$J$4+$M$4*$J$5+[48]FormattedData!G20^2*$J$6+$M$5*$J$7</f>
        <v>34.412942751420289</v>
      </c>
      <c r="O14" s="39">
        <f>$J$3+[48]FormattedData!H20*$J$4+$M$4*$J$5+[48]FormattedData!H20^2*$J$6+$M$5*$J$7</f>
        <v>35.364384923784016</v>
      </c>
      <c r="P14" s="39">
        <f>$J$3+[48]FormattedData!I20*$J$4+$M$4*$J$5+[48]FormattedData!I20^2*$J$6+$M$5*$J$7</f>
        <v>37.818352896177942</v>
      </c>
      <c r="Q14" s="39">
        <f>$J$3+[48]FormattedData!J20*$J$4+$M$4*$J$5+[48]FormattedData!J20^2*$J$6+$M$5*$J$7</f>
        <v>37.442679177632456</v>
      </c>
      <c r="R14" s="39">
        <f>$J$3+[48]FormattedData!K20*$J$4+$M$4*$J$5+[48]FormattedData!K20^2*$J$6+$M$5*$J$7</f>
        <v>34.984315277293689</v>
      </c>
      <c r="S14" s="39">
        <f>$J$3+[48]FormattedData!L20*$J$4+$M$4*$J$5+[48]FormattedData!L20^2*$J$6+$M$5*$J$7</f>
        <v>38.754578394886458</v>
      </c>
      <c r="T14" s="39">
        <f>$J$3+[48]FormattedData!M20*$J$4+$M$4*$J$5+[48]FormattedData!M20^2*$J$6+$M$5*$J$7</f>
        <v>35.364384923784016</v>
      </c>
      <c r="U14" s="39">
        <f>$J$3+[48]FormattedData!N20*$J$4+$M$4*$J$5+[48]FormattedData!N20^2*$J$6+$M$5*$J$7</f>
        <v>38.380595417858217</v>
      </c>
      <c r="V14" s="39">
        <f>$J$3+[48]FormattedData!O20*$J$4+$M$4*$J$5+[48]FormattedData!O20^2*$J$6+$M$5*$J$7</f>
        <v>36.500536083613575</v>
      </c>
      <c r="W14" s="38">
        <f>AVERAGE(K14:V14)</f>
        <v>36.534006539735039</v>
      </c>
      <c r="X14" s="37">
        <f>STDEV(K14:V14)/SQRT(COUNT(K14:V14))</f>
        <v>0.4740197078346523</v>
      </c>
      <c r="Y14" s="36">
        <f>MIN(K14:V14)</f>
        <v>34.412942751420289</v>
      </c>
      <c r="Z14" s="35">
        <f>QUARTILE(K14:V14,1)</f>
        <v>35.269367512161438</v>
      </c>
      <c r="AA14" s="36">
        <f>MEDIAN(K14:V14)</f>
        <v>36.169528511703518</v>
      </c>
      <c r="AB14" s="35">
        <f>QUARTILE(K14:V14,3)</f>
        <v>37.95891352659801</v>
      </c>
      <c r="AC14" s="35">
        <f>MAX(K14:V14)</f>
        <v>38.847968467798687</v>
      </c>
      <c r="AD14" s="35">
        <f>SKEW(K14:V14)</f>
        <v>0.23465235963133446</v>
      </c>
      <c r="AE14" s="35">
        <f>KURT(K14:V14)</f>
        <v>-1.6634549027463805</v>
      </c>
    </row>
    <row r="15" spans="1:35" x14ac:dyDescent="0.2">
      <c r="B15" s="34">
        <f>[48]FormattedData!A18</f>
        <v>106</v>
      </c>
      <c r="C15" s="34" t="str">
        <f>VLOOKUP($B15,[48]TrtCodes!$B$11:I61,2)</f>
        <v>NTH</v>
      </c>
      <c r="D15" s="34">
        <f>VLOOKUP($B15,[48]TrtCodes!$B$11:J61,3)</f>
        <v>9</v>
      </c>
      <c r="E15" s="34">
        <f>VLOOKUP($B15,[48]TrtCodes!$B$11:K61,4)</f>
        <v>2</v>
      </c>
      <c r="F15" s="34">
        <f>VLOOKUP($B15,[48]TrtCodes!$B$11:L61,5)</f>
        <v>2</v>
      </c>
      <c r="G15" s="34">
        <f>VLOOKUP($B15,[48]TrtCodes!$B$11:M61,6)</f>
        <v>2</v>
      </c>
      <c r="H15" s="34">
        <f>VLOOKUP($B15,[48]TrtCodes!$B$11:N61,7)</f>
        <v>2</v>
      </c>
      <c r="I15" s="34">
        <f>[48]FormattedData!B18</f>
        <v>1</v>
      </c>
      <c r="J15" s="37">
        <f>[48]FormattedData!C18</f>
        <v>13.099</v>
      </c>
      <c r="K15" s="39">
        <f>$J$3+[48]FormattedData!D18*$J$4+$M$4*$J$5+[48]FormattedData!D18^2*$J$6+$M$5*$J$7</f>
        <v>52.985953239058993</v>
      </c>
      <c r="L15" s="39">
        <f>$J$3+[48]FormattedData!E18*$J$4+$M$4*$J$5+[48]FormattedData!E18^2*$J$6+$M$5*$J$7</f>
        <v>52.290738420340588</v>
      </c>
      <c r="M15" s="39">
        <f>$J$3+[48]FormattedData!F18*$J$4+$M$4*$J$5+[48]FormattedData!F18^2*$J$6+$M$5*$J$7</f>
        <v>53.851167594043197</v>
      </c>
      <c r="N15" s="39">
        <f>$J$3+[48]FormattedData!G18*$J$4+$M$4*$J$5+[48]FormattedData!G18^2*$J$6+$M$5*$J$7</f>
        <v>52.551760991394474</v>
      </c>
      <c r="O15" s="39">
        <f>$J$3+[48]FormattedData!H18*$J$4+$M$4*$J$5+[48]FormattedData!H18^2*$J$6+$M$5*$J$7</f>
        <v>52.725564696074073</v>
      </c>
      <c r="P15" s="39">
        <f>$J$3+[48]FormattedData!I18*$J$4+$M$4*$J$5+[48]FormattedData!I18^2*$J$6+$M$5*$J$7</f>
        <v>52.985953239058993</v>
      </c>
      <c r="Q15" s="39">
        <f>$J$3+[48]FormattedData!J18*$J$4+$M$4*$J$5+[48]FormattedData!J18^2*$J$6+$M$5*$J$7</f>
        <v>52.725564696074073</v>
      </c>
      <c r="R15" s="39">
        <f>$J$3+[48]FormattedData!K18*$J$4+$M$4*$J$5+[48]FormattedData!K18^2*$J$6+$M$5*$J$7</f>
        <v>53.07266488297811</v>
      </c>
      <c r="S15" s="39">
        <f>$J$3+[48]FormattedData!L18*$J$4+$M$4*$J$5+[48]FormattedData!L18^2*$J$6+$M$5*$J$7</f>
        <v>52.899199326601959</v>
      </c>
      <c r="T15" s="39">
        <f>$J$3+[48]FormattedData!M18*$J$4+$M$4*$J$5+[48]FormattedData!M18^2*$J$6+$M$5*$J$7</f>
        <v>53.07266488297811</v>
      </c>
      <c r="U15" s="39">
        <f>$J$3+[48]FormattedData!N18*$J$4+$M$4*$J$5+[48]FormattedData!N18^2*$J$6+$M$5*$J$7</f>
        <v>52.464795736247773</v>
      </c>
      <c r="V15" s="39">
        <f>$J$3+[48]FormattedData!O18*$J$4+$M$4*$J$5+[48]FormattedData!O18^2*$J$6+$M$5*$J$7</f>
        <v>52.725564696074073</v>
      </c>
      <c r="W15" s="38">
        <f>AVERAGE(K15:V15)</f>
        <v>52.862632700077036</v>
      </c>
      <c r="X15" s="37">
        <f>STDEV(K15:V15)/SQRT(COUNT(K15:V15))</f>
        <v>0.11466429097751049</v>
      </c>
      <c r="Y15" s="36">
        <f>MIN(K15:V15)</f>
        <v>52.290738420340588</v>
      </c>
      <c r="Z15" s="35">
        <f>QUARTILE(K15:V15,1)</f>
        <v>52.682113769904177</v>
      </c>
      <c r="AA15" s="36">
        <f>MEDIAN(K15:V15)</f>
        <v>52.812382011338016</v>
      </c>
      <c r="AB15" s="35">
        <f>QUARTILE(K15:V15,3)</f>
        <v>53.007631150038776</v>
      </c>
      <c r="AC15" s="35">
        <f>MAX(K15:V15)</f>
        <v>53.851167594043197</v>
      </c>
      <c r="AD15" s="35">
        <f>SKEW(K15:V15)</f>
        <v>1.2194641589373894</v>
      </c>
      <c r="AE15" s="35">
        <f>KURT(K15:V15)</f>
        <v>2.9405830138850755</v>
      </c>
    </row>
    <row r="16" spans="1:35" x14ac:dyDescent="0.2">
      <c r="B16" s="34">
        <f>[48]FormattedData!A16</f>
        <v>107</v>
      </c>
      <c r="C16" s="34" t="str">
        <f>VLOOKUP($B16,[48]TrtCodes!$B$11:I59,2)</f>
        <v>NTL</v>
      </c>
      <c r="D16" s="34">
        <f>VLOOKUP($B16,[48]TrtCodes!$B$11:J59,3)</f>
        <v>10</v>
      </c>
      <c r="E16" s="34">
        <f>VLOOKUP($B16,[48]TrtCodes!$B$11:K59,4)</f>
        <v>2</v>
      </c>
      <c r="F16" s="34">
        <f>VLOOKUP($B16,[48]TrtCodes!$B$11:L59,5)</f>
        <v>2</v>
      </c>
      <c r="G16" s="34">
        <f>VLOOKUP($B16,[48]TrtCodes!$B$11:M59,6)</f>
        <v>1</v>
      </c>
      <c r="H16" s="34">
        <f>VLOOKUP($B16,[48]TrtCodes!$B$11:N59,7)</f>
        <v>2</v>
      </c>
      <c r="I16" s="34">
        <f>[48]FormattedData!B16</f>
        <v>1</v>
      </c>
      <c r="J16" s="37">
        <f>[48]FormattedData!C16</f>
        <v>13.090999999999999</v>
      </c>
      <c r="K16" s="39">
        <f>$J$3+[48]FormattedData!D16*$J$4+$M$4*$J$5+[48]FormattedData!D16^2*$J$6+$M$5*$J$7</f>
        <v>51.330400982388973</v>
      </c>
      <c r="L16" s="39">
        <f>$J$3+[48]FormattedData!E16*$J$4+$M$4*$J$5+[48]FormattedData!E16^2*$J$6+$M$5*$J$7</f>
        <v>53.851167594043197</v>
      </c>
      <c r="M16" s="39">
        <f>$J$3+[48]FormattedData!F16*$J$4+$M$4*$J$5+[48]FormattedData!F16^2*$J$6+$M$5*$J$7</f>
        <v>54.282189701362881</v>
      </c>
      <c r="N16" s="39">
        <f>$J$3+[48]FormattedData!G16*$J$4+$M$4*$J$5+[48]FormattedData!G16^2*$J$6+$M$5*$J$7</f>
        <v>52.029335432445322</v>
      </c>
      <c r="O16" s="39">
        <f>$J$3+[48]FormattedData!H16*$J$4+$M$4*$J$5+[48]FormattedData!H16^2*$J$6+$M$5*$J$7</f>
        <v>52.551760991394474</v>
      </c>
      <c r="P16" s="39">
        <f>$J$3+[48]FormattedData!I16*$J$4+$M$4*$J$5+[48]FormattedData!I16^2*$J$6+$M$5*$J$7</f>
        <v>54.023703242584858</v>
      </c>
      <c r="Q16" s="39">
        <f>$J$3+[48]FormattedData!J16*$J$4+$M$4*$J$5+[48]FormattedData!J16^2*$J$6+$M$5*$J$7</f>
        <v>53.505589074504698</v>
      </c>
      <c r="R16" s="39">
        <f>$J$3+[48]FormattedData!K16*$J$4+$M$4*$J$5+[48]FormattedData!K16^2*$J$6+$M$5*$J$7</f>
        <v>52.899199326601959</v>
      </c>
      <c r="S16" s="39">
        <f>$J$3+[48]FormattedData!L16*$J$4+$M$4*$J$5+[48]FormattedData!L16^2*$J$6+$M$5*$J$7</f>
        <v>52.725564696074073</v>
      </c>
      <c r="T16" s="39">
        <f>$J$3+[48]FormattedData!M16*$J$4+$M$4*$J$5+[48]FormattedData!M16^2*$J$6+$M$5*$J$7</f>
        <v>53.764836366965476</v>
      </c>
      <c r="U16" s="39">
        <f>$J$3+[48]FormattedData!N16*$J$4+$M$4*$J$5+[48]FormattedData!N16^2*$J$6+$M$5*$J$7</f>
        <v>53.07266488297811</v>
      </c>
      <c r="V16" s="39">
        <f>$J$3+[48]FormattedData!O16*$J$4+$M$4*$J$5+[48]FormattedData!O16^2*$J$6+$M$5*$J$7</f>
        <v>53.07266488297811</v>
      </c>
      <c r="W16" s="38">
        <f>AVERAGE(K16:V16)</f>
        <v>53.09242309786017</v>
      </c>
      <c r="X16" s="37">
        <f>STDEV(K16:V16)/SQRT(COUNT(K16:V16))</f>
        <v>0.24895631139741403</v>
      </c>
      <c r="Y16" s="36">
        <f>MIN(K16:V16)</f>
        <v>51.330400982388973</v>
      </c>
      <c r="Z16" s="35">
        <f>QUARTILE(K16:V16,1)</f>
        <v>52.682113769904177</v>
      </c>
      <c r="AA16" s="36">
        <f>MEDIAN(K16:V16)</f>
        <v>53.07266488297811</v>
      </c>
      <c r="AB16" s="35">
        <f>QUARTILE(K16:V16,3)</f>
        <v>53.786419173734906</v>
      </c>
      <c r="AC16" s="35">
        <f>MAX(K16:V16)</f>
        <v>54.282189701362881</v>
      </c>
      <c r="AD16" s="35">
        <f>SKEW(K16:V16)</f>
        <v>-0.60946998532898256</v>
      </c>
      <c r="AE16" s="35">
        <f>KURT(K16:V16)</f>
        <v>5.2282470471999076E-2</v>
      </c>
    </row>
    <row r="17" spans="2:31" x14ac:dyDescent="0.2">
      <c r="B17" s="34">
        <f>[48]FormattedData!A14</f>
        <v>108</v>
      </c>
      <c r="C17" s="34" t="str">
        <f>VLOOKUP($B17,[48]TrtCodes!$B$11:I57,2)</f>
        <v>FTH</v>
      </c>
      <c r="D17" s="34">
        <f>VLOOKUP($B17,[48]TrtCodes!$B$11:J57,3)</f>
        <v>3</v>
      </c>
      <c r="E17" s="34">
        <f>VLOOKUP($B17,[48]TrtCodes!$B$11:K57,4)</f>
        <v>1</v>
      </c>
      <c r="F17" s="34">
        <f>VLOOKUP($B17,[48]TrtCodes!$B$11:L57,5)</f>
        <v>2</v>
      </c>
      <c r="G17" s="34">
        <f>VLOOKUP($B17,[48]TrtCodes!$B$11:M57,6)</f>
        <v>2</v>
      </c>
      <c r="H17" s="34">
        <f>VLOOKUP($B17,[48]TrtCodes!$B$11:N57,7)</f>
        <v>2</v>
      </c>
      <c r="I17" s="34">
        <f>[48]FormattedData!B14</f>
        <v>1</v>
      </c>
      <c r="J17" s="37">
        <f>[48]FormattedData!C14</f>
        <v>13.082000000000001</v>
      </c>
      <c r="K17" s="39">
        <f>$J$3+[48]FormattedData!D14*$J$4+$M$4*$J$5+[48]FormattedData!D14^2*$J$6+$M$5*$J$7</f>
        <v>50.54086618292385</v>
      </c>
      <c r="L17" s="39">
        <f>$J$3+[48]FormattedData!E14*$J$4+$M$4*$J$5+[48]FormattedData!E14^2*$J$6+$M$5*$J$7</f>
        <v>53.07266488297811</v>
      </c>
      <c r="M17" s="39">
        <f>$J$3+[48]FormattedData!F14*$J$4+$M$4*$J$5+[48]FormattedData!F14^2*$J$6+$M$5*$J$7</f>
        <v>53.419088773275234</v>
      </c>
      <c r="N17" s="39">
        <f>$J$3+[48]FormattedData!G14*$J$4+$M$4*$J$5+[48]FormattedData!G14^2*$J$6+$M$5*$J$7</f>
        <v>52.812403145606979</v>
      </c>
      <c r="O17" s="39">
        <f>$J$3+[48]FormattedData!H14*$J$4+$M$4*$J$5+[48]FormattedData!H14^2*$J$6+$M$5*$J$7</f>
        <v>53.15933425835928</v>
      </c>
      <c r="P17" s="39">
        <f>$J$3+[48]FormattedData!I14*$J$4+$M$4*$J$5+[48]FormattedData!I14^2*$J$6+$M$5*$J$7</f>
        <v>52.377788212563146</v>
      </c>
      <c r="Q17" s="39">
        <f>$J$3+[48]FormattedData!J14*$J$4+$M$4*$J$5+[48]FormattedData!J14^2*$J$6+$M$5*$J$7</f>
        <v>52.464795736247773</v>
      </c>
      <c r="R17" s="39">
        <f>$J$3+[48]FormattedData!K14*$J$4+$M$4*$J$5+[48]FormattedData!K14^2*$J$6+$M$5*$J$7</f>
        <v>53.592047107196208</v>
      </c>
      <c r="S17" s="39">
        <f>$J$3+[48]FormattedData!L14*$J$4+$M$4*$J$5+[48]FormattedData!L14^2*$J$6+$M$5*$J$7</f>
        <v>51.767552027708682</v>
      </c>
      <c r="T17" s="39">
        <f>$J$3+[48]FormattedData!M14*$J$4+$M$4*$J$5+[48]FormattedData!M14^2*$J$6+$M$5*$J$7</f>
        <v>54.109907664048805</v>
      </c>
      <c r="U17" s="39">
        <f>$J$3+[48]FormattedData!N14*$J$4+$M$4*$J$5+[48]FormattedData!N14^2*$J$6+$M$5*$J$7</f>
        <v>51.854855431158818</v>
      </c>
      <c r="V17" s="39">
        <f>$J$3+[48]FormattedData!O14*$J$4+$M$4*$J$5+[48]FormattedData!O14^2*$J$6+$M$5*$J$7</f>
        <v>52.377788212563146</v>
      </c>
      <c r="W17" s="38">
        <f>AVERAGE(K17:V17)</f>
        <v>52.6290909695525</v>
      </c>
      <c r="X17" s="37">
        <f>STDEV(K17:V17)/SQRT(COUNT(K17:V17))</f>
        <v>0.27676965183355007</v>
      </c>
      <c r="Y17" s="36">
        <f>MIN(K17:V17)</f>
        <v>50.54086618292385</v>
      </c>
      <c r="Z17" s="35">
        <f>QUARTILE(K17:V17,1)</f>
        <v>52.247055017212062</v>
      </c>
      <c r="AA17" s="36">
        <f>MEDIAN(K17:V17)</f>
        <v>52.638599440927379</v>
      </c>
      <c r="AB17" s="35">
        <f>QUARTILE(K17:V17,3)</f>
        <v>53.224272887088269</v>
      </c>
      <c r="AC17" s="35">
        <f>MAX(K17:V17)</f>
        <v>54.109907664048805</v>
      </c>
      <c r="AD17" s="35">
        <f>SKEW(K17:V17)</f>
        <v>-0.66473955916497296</v>
      </c>
      <c r="AE17" s="35">
        <f>KURT(K17:V17)</f>
        <v>0.83611986403976335</v>
      </c>
    </row>
    <row r="18" spans="2:31" x14ac:dyDescent="0.2">
      <c r="B18" s="34">
        <f>[48]FormattedData!A30</f>
        <v>201</v>
      </c>
      <c r="C18" s="34" t="str">
        <f>VLOOKUP($B18,[48]TrtCodes!$B$11:I73,2)</f>
        <v>NDL</v>
      </c>
      <c r="D18" s="34">
        <f>VLOOKUP($B18,[48]TrtCodes!$B$11:J73,3)</f>
        <v>12</v>
      </c>
      <c r="E18" s="34">
        <f>VLOOKUP($B18,[48]TrtCodes!$B$11:K73,4)</f>
        <v>2</v>
      </c>
      <c r="F18" s="34">
        <f>VLOOKUP($B18,[48]TrtCodes!$B$11:L73,5)</f>
        <v>3</v>
      </c>
      <c r="G18" s="34">
        <f>VLOOKUP($B18,[48]TrtCodes!$B$11:M73,6)</f>
        <v>1</v>
      </c>
      <c r="H18" s="34">
        <f>VLOOKUP($B18,[48]TrtCodes!$B$11:N73,7)</f>
        <v>1</v>
      </c>
      <c r="I18" s="34">
        <f>[48]FormattedData!B30</f>
        <v>1</v>
      </c>
      <c r="J18" s="37">
        <f>[48]FormattedData!C30</f>
        <v>13.154999999999999</v>
      </c>
      <c r="K18" s="39">
        <f>$J$3+[48]FormattedData!D30*$J$4+$M$4*$J$5+[48]FormattedData!D30^2*$J$6+$M$5*$J$7</f>
        <v>34.794026842820948</v>
      </c>
      <c r="L18" s="39">
        <f>$J$3+[48]FormattedData!E30*$J$4+$M$4*$J$5+[48]FormattedData!E30^2*$J$6+$M$5*$J$7</f>
        <v>37.818352896177942</v>
      </c>
      <c r="M18" s="39">
        <f>$J$3+[48]FormattedData!F30*$J$4+$M$4*$J$5+[48]FormattedData!F30^2*$J$6+$M$5*$J$7</f>
        <v>35.364384923784016</v>
      </c>
      <c r="N18" s="39">
        <f>$J$3+[48]FormattedData!G30*$J$4+$M$4*$J$5+[48]FormattedData!G30^2*$J$6+$M$5*$J$7</f>
        <v>35.743778273667431</v>
      </c>
      <c r="O18" s="39">
        <f>$J$3+[48]FormattedData!H30*$J$4+$M$4*$J$5+[48]FormattedData!H30^2*$J$6+$M$5*$J$7</f>
        <v>39.221106074068302</v>
      </c>
      <c r="P18" s="39">
        <f>$J$3+[48]FormattedData!I30*$J$4+$M$4*$J$5+[48]FormattedData!I30^2*$J$6+$M$5*$J$7</f>
        <v>36.500536083613575</v>
      </c>
      <c r="Q18" s="39">
        <f>$J$3+[48]FormattedData!J30*$J$4+$M$4*$J$5+[48]FormattedData!J30^2*$J$6+$M$5*$J$7</f>
        <v>37.254588707132136</v>
      </c>
      <c r="R18" s="39">
        <f>$J$3+[48]FormattedData!K30*$J$4+$M$4*$J$5+[48]FormattedData!K30^2*$J$6+$M$5*$J$7</f>
        <v>38.005936144223092</v>
      </c>
      <c r="S18" s="39">
        <f>$J$3+[48]FormattedData!L30*$J$4+$M$4*$J$5+[48]FormattedData!L30^2*$J$6+$M$5*$J$7</f>
        <v>36.877900543676304</v>
      </c>
      <c r="T18" s="39">
        <f>$J$3+[48]FormattedData!M30*$J$4+$M$4*$J$5+[48]FormattedData!M30^2*$J$6+$M$5*$J$7</f>
        <v>37.536661010075726</v>
      </c>
      <c r="U18" s="39">
        <f>$J$3+[48]FormattedData!N30*$J$4+$M$4*$J$5+[48]FormattedData!N30^2*$J$6+$M$5*$J$7</f>
        <v>36.311600242354629</v>
      </c>
      <c r="V18" s="39">
        <f>$J$3+[48]FormattedData!O30*$J$4+$M$4*$J$5+[48]FormattedData!O30^2*$J$6+$M$5*$J$7</f>
        <v>36.122495326943955</v>
      </c>
      <c r="W18" s="38">
        <f>AVERAGE(K18:V18)</f>
        <v>36.795947255711503</v>
      </c>
      <c r="X18" s="37">
        <f>STDEV(K18:V18)/SQRT(COUNT(K18:V18))</f>
        <v>0.35988234391901042</v>
      </c>
      <c r="Y18" s="36">
        <f>MIN(K18:V18)</f>
        <v>34.794026842820948</v>
      </c>
      <c r="Z18" s="35">
        <f>QUARTILE(K18:V18,1)</f>
        <v>36.027816063624826</v>
      </c>
      <c r="AA18" s="36">
        <f>MEDIAN(K18:V18)</f>
        <v>36.689218313644943</v>
      </c>
      <c r="AB18" s="35">
        <f>QUARTILE(K18:V18,3)</f>
        <v>37.607083981601278</v>
      </c>
      <c r="AC18" s="35">
        <f>MAX(K18:V18)</f>
        <v>39.221106074068302</v>
      </c>
      <c r="AD18" s="35">
        <f>SKEW(K18:V18)</f>
        <v>0.28379566984694554</v>
      </c>
      <c r="AE18" s="35">
        <f>KURT(K18:V18)</f>
        <v>-0.12391265491891224</v>
      </c>
    </row>
    <row r="19" spans="2:31" x14ac:dyDescent="0.2">
      <c r="B19" s="34">
        <f>[48]FormattedData!A32</f>
        <v>202</v>
      </c>
      <c r="C19" s="34" t="str">
        <f>VLOOKUP($B19,[48]TrtCodes!$B$11:I75,2)</f>
        <v>NTH</v>
      </c>
      <c r="D19" s="34">
        <f>VLOOKUP($B19,[48]TrtCodes!$B$11:J75,3)</f>
        <v>9</v>
      </c>
      <c r="E19" s="34">
        <f>VLOOKUP($B19,[48]TrtCodes!$B$11:K75,4)</f>
        <v>2</v>
      </c>
      <c r="F19" s="34">
        <f>VLOOKUP($B19,[48]TrtCodes!$B$11:L75,5)</f>
        <v>2</v>
      </c>
      <c r="G19" s="34">
        <f>VLOOKUP($B19,[48]TrtCodes!$B$11:M75,6)</f>
        <v>2</v>
      </c>
      <c r="H19" s="34">
        <f>VLOOKUP($B19,[48]TrtCodes!$B$11:N75,7)</f>
        <v>1</v>
      </c>
      <c r="I19" s="34">
        <f>[48]FormattedData!B32</f>
        <v>1</v>
      </c>
      <c r="J19" s="37">
        <f>[48]FormattedData!C32</f>
        <v>13.161</v>
      </c>
      <c r="K19" s="39">
        <f>$J$3+[48]FormattedData!D32*$J$4+$M$4*$J$5+[48]FormattedData!D32^2*$J$6+$M$5*$J$7</f>
        <v>52.116512030281676</v>
      </c>
      <c r="L19" s="39">
        <f>$J$3+[48]FormattedData!E32*$J$4+$M$4*$J$5+[48]FormattedData!E32^2*$J$6+$M$5*$J$7</f>
        <v>52.725564696074073</v>
      </c>
      <c r="M19" s="39">
        <f>$J$3+[48]FormattedData!F32*$J$4+$M$4*$J$5+[48]FormattedData!F32^2*$J$6+$M$5*$J$7</f>
        <v>54.282189701362881</v>
      </c>
      <c r="N19" s="39">
        <f>$J$3+[48]FormattedData!G32*$J$4+$M$4*$J$5+[48]FormattedData!G32^2*$J$6+$M$5*$J$7</f>
        <v>53.15933425835928</v>
      </c>
      <c r="O19" s="39">
        <f>$J$3+[48]FormattedData!H32*$J$4+$M$4*$J$5+[48]FormattedData!H32^2*$J$6+$M$5*$J$7</f>
        <v>54.712155095234294</v>
      </c>
      <c r="P19" s="39">
        <f>$J$3+[48]FormattedData!I32*$J$4+$M$4*$J$5+[48]FormattedData!I32^2*$J$6+$M$5*$J$7</f>
        <v>52.377788212563146</v>
      </c>
      <c r="Q19" s="39">
        <f>$J$3+[48]FormattedData!J32*$J$4+$M$4*$J$5+[48]FormattedData!J32^2*$J$6+$M$5*$J$7</f>
        <v>54.368267317213032</v>
      </c>
      <c r="R19" s="39">
        <f>$J$3+[48]FormattedData!K32*$J$4+$M$4*$J$5+[48]FormattedData!K32^2*$J$6+$M$5*$J$7</f>
        <v>53.505589074504698</v>
      </c>
      <c r="S19" s="39">
        <f>$J$3+[48]FormattedData!L32*$J$4+$M$4*$J$5+[48]FormattedData!L32^2*$J$6+$M$5*$J$7</f>
        <v>54.109907664048805</v>
      </c>
      <c r="T19" s="39">
        <f>$J$3+[48]FormattedData!M32*$J$4+$M$4*$J$5+[48]FormattedData!M32^2*$J$6+$M$5*$J$7</f>
        <v>52.725564696074073</v>
      </c>
      <c r="U19" s="39">
        <f>$J$3+[48]FormattedData!N32*$J$4+$M$4*$J$5+[48]FormattedData!N32^2*$J$6+$M$5*$J$7</f>
        <v>53.678462871349808</v>
      </c>
      <c r="V19" s="39">
        <f>$J$3+[48]FormattedData!O32*$J$4+$M$4*$J$5+[48]FormattedData!O32^2*$J$6+$M$5*$J$7</f>
        <v>53.245961365202533</v>
      </c>
      <c r="W19" s="38">
        <f>AVERAGE(K19:V19)</f>
        <v>53.417274748522367</v>
      </c>
      <c r="X19" s="37">
        <f>STDEV(K19:V19)/SQRT(COUNT(K19:V19))</f>
        <v>0.2416838333144494</v>
      </c>
      <c r="Y19" s="36">
        <f>MIN(K19:V19)</f>
        <v>52.116512030281676</v>
      </c>
      <c r="Z19" s="35">
        <f>QUARTILE(K19:V19,1)</f>
        <v>52.725564696074073</v>
      </c>
      <c r="AA19" s="36">
        <f>MEDIAN(K19:V19)</f>
        <v>53.375775219853615</v>
      </c>
      <c r="AB19" s="35">
        <f>QUARTILE(K19:V19,3)</f>
        <v>54.152978173377321</v>
      </c>
      <c r="AC19" s="35">
        <f>MAX(K19:V19)</f>
        <v>54.712155095234294</v>
      </c>
      <c r="AD19" s="35">
        <f>SKEW(K19:V19)</f>
        <v>3.876480858105691E-3</v>
      </c>
      <c r="AE19" s="35">
        <f>KURT(K19:V19)</f>
        <v>-1.1733159379006857</v>
      </c>
    </row>
    <row r="20" spans="2:31" x14ac:dyDescent="0.2">
      <c r="B20" s="34">
        <f>[48]FormattedData!A34</f>
        <v>203</v>
      </c>
      <c r="C20" s="34" t="str">
        <f>VLOOKUP($B20,[48]TrtCodes!$B$11:I77,2)</f>
        <v>FTH</v>
      </c>
      <c r="D20" s="34">
        <f>VLOOKUP($B20,[48]TrtCodes!$B$11:J77,3)</f>
        <v>3</v>
      </c>
      <c r="E20" s="34">
        <f>VLOOKUP($B20,[48]TrtCodes!$B$11:K77,4)</f>
        <v>1</v>
      </c>
      <c r="F20" s="34">
        <f>VLOOKUP($B20,[48]TrtCodes!$B$11:L77,5)</f>
        <v>2</v>
      </c>
      <c r="G20" s="34">
        <f>VLOOKUP($B20,[48]TrtCodes!$B$11:M77,6)</f>
        <v>2</v>
      </c>
      <c r="H20" s="34">
        <f>VLOOKUP($B20,[48]TrtCodes!$B$11:N77,7)</f>
        <v>1</v>
      </c>
      <c r="I20" s="34">
        <f>[48]FormattedData!B34</f>
        <v>1</v>
      </c>
      <c r="J20" s="37">
        <f>[48]FormattedData!C34</f>
        <v>13.167</v>
      </c>
      <c r="K20" s="39">
        <f>$J$3+[48]FormattedData!D34*$J$4+$M$4*$J$5+[48]FormattedData!D34^2*$J$6+$M$5*$J$7</f>
        <v>52.290738420340588</v>
      </c>
      <c r="L20" s="39">
        <f>$J$3+[48]FormattedData!E34*$J$4+$M$4*$J$5+[48]FormattedData!E34^2*$J$6+$M$5*$J$7</f>
        <v>54.282189701362881</v>
      </c>
      <c r="M20" s="39">
        <f>$J$3+[48]FormattedData!F34*$J$4+$M$4*$J$5+[48]FormattedData!F34^2*$J$6+$M$5*$J$7</f>
        <v>53.678462871349808</v>
      </c>
      <c r="N20" s="39">
        <f>$J$3+[48]FormattedData!G34*$J$4+$M$4*$J$5+[48]FormattedData!G34^2*$J$6+$M$5*$J$7</f>
        <v>53.592047107196208</v>
      </c>
      <c r="O20" s="39">
        <f>$J$3+[48]FormattedData!H34*$J$4+$M$4*$J$5+[48]FormattedData!H34^2*$J$6+$M$5*$J$7</f>
        <v>53.851167594043197</v>
      </c>
      <c r="P20" s="39">
        <f>$J$3+[48]FormattedData!I34*$J$4+$M$4*$J$5+[48]FormattedData!I34^2*$J$6+$M$5*$J$7</f>
        <v>53.245961365202533</v>
      </c>
      <c r="Q20" s="39">
        <f>$J$3+[48]FormattedData!J34*$J$4+$M$4*$J$5+[48]FormattedData!J34^2*$J$6+$M$5*$J$7</f>
        <v>53.764836366965476</v>
      </c>
      <c r="R20" s="39">
        <f>$J$3+[48]FormattedData!K34*$J$4+$M$4*$J$5+[48]FormattedData!K34^2*$J$6+$M$5*$J$7</f>
        <v>55.141063775657422</v>
      </c>
      <c r="S20" s="39">
        <f>$J$3+[48]FormattedData!L34*$J$4+$M$4*$J$5+[48]FormattedData!L34^2*$J$6+$M$5*$J$7</f>
        <v>53.245961365202533</v>
      </c>
      <c r="T20" s="39">
        <f>$J$3+[48]FormattedData!M34*$J$4+$M$4*$J$5+[48]FormattedData!M34^2*$J$6+$M$5*$J$7</f>
        <v>52.985953239058993</v>
      </c>
      <c r="U20" s="39">
        <f>$J$3+[48]FormattedData!N34*$J$4+$M$4*$J$5+[48]FormattedData!N34^2*$J$6+$M$5*$J$7</f>
        <v>54.883845373017337</v>
      </c>
      <c r="V20" s="39">
        <f>$J$3+[48]FormattedData!O34*$J$4+$M$4*$J$5+[48]FormattedData!O34^2*$J$6+$M$5*$J$7</f>
        <v>53.592047107196208</v>
      </c>
      <c r="W20" s="38">
        <f>AVERAGE(K20:V20)</f>
        <v>53.712856190549438</v>
      </c>
      <c r="X20" s="37">
        <f>STDEV(K20:V20)/SQRT(COUNT(K20:V20))</f>
        <v>0.22653727668331486</v>
      </c>
      <c r="Y20" s="36">
        <f>MIN(K20:V20)</f>
        <v>52.290738420340588</v>
      </c>
      <c r="Z20" s="35">
        <f>QUARTILE(K20:V20,1)</f>
        <v>53.245961365202533</v>
      </c>
      <c r="AA20" s="36">
        <f>MEDIAN(K20:V20)</f>
        <v>53.635254989273008</v>
      </c>
      <c r="AB20" s="35">
        <f>QUARTILE(K20:V20,3)</f>
        <v>53.958923120873116</v>
      </c>
      <c r="AC20" s="35">
        <f>MAX(K20:V20)</f>
        <v>55.141063775657422</v>
      </c>
      <c r="AD20" s="35">
        <f>SKEW(K20:V20)</f>
        <v>0.2796633781436183</v>
      </c>
      <c r="AE20" s="35">
        <f>KURT(K20:V20)</f>
        <v>0.37559258060464717</v>
      </c>
    </row>
    <row r="21" spans="2:31" x14ac:dyDescent="0.2">
      <c r="B21" s="34">
        <f>[48]FormattedData!A36</f>
        <v>204</v>
      </c>
      <c r="C21" s="34" t="str">
        <f>VLOOKUP($B21,[48]TrtCodes!$B$11:I79,2)</f>
        <v>NDH</v>
      </c>
      <c r="D21" s="34">
        <f>VLOOKUP($B21,[48]TrtCodes!$B$11:J79,3)</f>
        <v>11</v>
      </c>
      <c r="E21" s="34">
        <f>VLOOKUP($B21,[48]TrtCodes!$B$11:K79,4)</f>
        <v>2</v>
      </c>
      <c r="F21" s="34">
        <f>VLOOKUP($B21,[48]TrtCodes!$B$11:L79,5)</f>
        <v>3</v>
      </c>
      <c r="G21" s="34">
        <f>VLOOKUP($B21,[48]TrtCodes!$B$11:M79,6)</f>
        <v>2</v>
      </c>
      <c r="H21" s="34">
        <f>VLOOKUP($B21,[48]TrtCodes!$B$11:N79,7)</f>
        <v>1</v>
      </c>
      <c r="I21" s="34">
        <f>[48]FormattedData!B36</f>
        <v>1</v>
      </c>
      <c r="J21" s="37">
        <f>[48]FormattedData!C36</f>
        <v>13.173</v>
      </c>
      <c r="K21" s="39">
        <f>$J$3+[48]FormattedData!D36*$J$4+$M$4*$J$5+[48]FormattedData!D36^2*$J$6+$M$5*$J$7</f>
        <v>35.174434637614709</v>
      </c>
      <c r="L21" s="39">
        <f>$J$3+[48]FormattedData!E36*$J$4+$M$4*$J$5+[48]FormattedData!E36^2*$J$6+$M$5*$J$7</f>
        <v>33.935636595066001</v>
      </c>
      <c r="M21" s="39">
        <f>$J$3+[48]FormattedData!F36*$J$4+$M$4*$J$5+[48]FormattedData!F36^2*$J$6+$M$5*$J$7</f>
        <v>36.500536083613575</v>
      </c>
      <c r="N21" s="39">
        <f>$J$3+[48]FormattedData!G36*$J$4+$M$4*$J$5+[48]FormattedData!G36^2*$J$6+$M$5*$J$7</f>
        <v>37.348655076651262</v>
      </c>
      <c r="O21" s="39">
        <f>$J$3+[48]FormattedData!H36*$J$4+$M$4*$J$5+[48]FormattedData!H36^2*$J$6+$M$5*$J$7</f>
        <v>36.406089297253061</v>
      </c>
      <c r="P21" s="39">
        <f>$J$3+[48]FormattedData!I36*$J$4+$M$4*$J$5+[48]FormattedData!I36^2*$J$6+$M$5*$J$7</f>
        <v>41.998081166745507</v>
      </c>
      <c r="Q21" s="39">
        <f>$J$3+[48]FormattedData!J36*$J$4+$M$4*$J$5+[48]FormattedData!J36^2*$J$6+$M$5*$J$7</f>
        <v>37.066329162480081</v>
      </c>
      <c r="R21" s="39">
        <f>$J$3+[48]FormattedData!K36*$J$4+$M$4*$J$5+[48]FormattedData!K36^2*$J$6+$M$5*$J$7</f>
        <v>34.412942751420289</v>
      </c>
      <c r="S21" s="39">
        <f>$J$3+[48]FormattedData!L36*$J$4+$M$4*$J$5+[48]FormattedData!L36^2*$J$6+$M$5*$J$7</f>
        <v>38.567671443448205</v>
      </c>
      <c r="T21" s="39">
        <f>$J$3+[48]FormattedData!M36*$J$4+$M$4*$J$5+[48]FormattedData!M36^2*$J$6+$M$5*$J$7</f>
        <v>34.698819222777672</v>
      </c>
      <c r="U21" s="39">
        <f>$J$3+[48]FormattedData!N36*$J$4+$M$4*$J$5+[48]FormattedData!N36^2*$J$6+$M$5*$J$7</f>
        <v>40.150991292087149</v>
      </c>
      <c r="V21" s="39">
        <f>$J$3+[48]FormattedData!O36*$J$4+$M$4*$J$5+[48]FormattedData!O36^2*$J$6+$M$5*$J$7</f>
        <v>34.222147094492357</v>
      </c>
      <c r="W21" s="38">
        <f>AVERAGE(K21:V21)</f>
        <v>36.70686115197082</v>
      </c>
      <c r="X21" s="37">
        <f>STDEV(K21:V21)/SQRT(COUNT(K21:V21))</f>
        <v>0.72557146534355299</v>
      </c>
      <c r="Y21" s="36">
        <f>MIN(K21:V21)</f>
        <v>33.935636595066001</v>
      </c>
      <c r="Z21" s="35">
        <f>QUARTILE(K21:V21,1)</f>
        <v>34.62735010493833</v>
      </c>
      <c r="AA21" s="36">
        <f>MEDIAN(K21:V21)</f>
        <v>36.453312690433322</v>
      </c>
      <c r="AB21" s="35">
        <f>QUARTILE(K21:V21,3)</f>
        <v>37.6534091683505</v>
      </c>
      <c r="AC21" s="35">
        <f>MAX(K21:V21)</f>
        <v>41.998081166745507</v>
      </c>
      <c r="AD21" s="35">
        <f>SKEW(K21:V21)</f>
        <v>0.92970534605266941</v>
      </c>
      <c r="AE21" s="35">
        <f>KURT(K21:V21)</f>
        <v>0.2437521285713613</v>
      </c>
    </row>
    <row r="22" spans="2:31" x14ac:dyDescent="0.2">
      <c r="B22" s="34">
        <f>[48]FormattedData!A38</f>
        <v>205</v>
      </c>
      <c r="C22" s="34" t="str">
        <f>VLOOKUP($B22,[48]TrtCodes!$B$11:I81,2)</f>
        <v>FSH</v>
      </c>
      <c r="D22" s="34">
        <f>VLOOKUP($B22,[48]TrtCodes!$B$11:J81,3)</f>
        <v>1</v>
      </c>
      <c r="E22" s="34">
        <f>VLOOKUP($B22,[48]TrtCodes!$B$11:K81,4)</f>
        <v>1</v>
      </c>
      <c r="F22" s="34">
        <f>VLOOKUP($B22,[48]TrtCodes!$B$11:L81,5)</f>
        <v>1</v>
      </c>
      <c r="G22" s="34">
        <f>VLOOKUP($B22,[48]TrtCodes!$B$11:M81,6)</f>
        <v>2</v>
      </c>
      <c r="H22" s="34">
        <f>VLOOKUP($B22,[48]TrtCodes!$B$11:N81,7)</f>
        <v>2</v>
      </c>
      <c r="I22" s="34">
        <f>[48]FormattedData!B38</f>
        <v>1</v>
      </c>
      <c r="J22" s="37">
        <f>[48]FormattedData!C38</f>
        <v>13.178000000000001</v>
      </c>
      <c r="K22" s="39">
        <f>$J$3+[48]FormattedData!D38*$J$4+$M$4*$J$5+[48]FormattedData!D38^2*$J$6+$M$5*$J$7</f>
        <v>52.899199326601959</v>
      </c>
      <c r="L22" s="39">
        <f>$J$3+[48]FormattedData!E38*$J$4+$M$4*$J$5+[48]FormattedData!E38^2*$J$6+$M$5*$J$7</f>
        <v>53.07266488297811</v>
      </c>
      <c r="M22" s="39">
        <f>$J$3+[48]FormattedData!F38*$J$4+$M$4*$J$5+[48]FormattedData!F38^2*$J$6+$M$5*$J$7</f>
        <v>55.568915742632271</v>
      </c>
      <c r="N22" s="39">
        <f>$J$3+[48]FormattedData!G38*$J$4+$M$4*$J$5+[48]FormattedData!G38^2*$J$6+$M$5*$J$7</f>
        <v>53.15933425835928</v>
      </c>
      <c r="O22" s="39">
        <f>$J$3+[48]FormattedData!H38*$J$4+$M$4*$J$5+[48]FormattedData!H38^2*$J$6+$M$5*$J$7</f>
        <v>55.312331368061152</v>
      </c>
      <c r="P22" s="39">
        <f>$J$3+[48]FormattedData!I38*$J$4+$M$4*$J$5+[48]FormattedData!I38^2*$J$6+$M$5*$J$7</f>
        <v>51.6802063557206</v>
      </c>
      <c r="Q22" s="39">
        <f>$J$3+[48]FormattedData!J38*$J$4+$M$4*$J$5+[48]FormattedData!J38^2*$J$6+$M$5*$J$7</f>
        <v>55.397901761456119</v>
      </c>
      <c r="R22" s="39">
        <f>$J$3+[48]FormattedData!K38*$J$4+$M$4*$J$5+[48]FormattedData!K38^2*$J$6+$M$5*$J$7</f>
        <v>52.116512030281676</v>
      </c>
      <c r="S22" s="39">
        <f>$J$3+[48]FormattedData!L38*$J$4+$M$4*$J$5+[48]FormattedData!L38^2*$J$6+$M$5*$J$7</f>
        <v>55.141063775657422</v>
      </c>
      <c r="T22" s="39">
        <f>$J$3+[48]FormattedData!M38*$J$4+$M$4*$J$5+[48]FormattedData!M38^2*$J$6+$M$5*$J$7</f>
        <v>52.899199326601959</v>
      </c>
      <c r="U22" s="39">
        <f>$J$3+[48]FormattedData!N38*$J$4+$M$4*$J$5+[48]FormattedData!N38^2*$J$6+$M$5*$J$7</f>
        <v>55.055366576648659</v>
      </c>
      <c r="V22" s="39">
        <f>$J$3+[48]FormattedData!O38*$J$4+$M$4*$J$5+[48]FormattedData!O38^2*$J$6+$M$5*$J$7</f>
        <v>53.419088773275234</v>
      </c>
      <c r="W22" s="38">
        <f>AVERAGE(K22:V22)</f>
        <v>53.810148681522868</v>
      </c>
      <c r="X22" s="37">
        <f>STDEV(K22:V22)/SQRT(COUNT(K22:V22))</f>
        <v>0.40243353795753528</v>
      </c>
      <c r="Y22" s="36">
        <f>MIN(K22:V22)</f>
        <v>51.6802063557206</v>
      </c>
      <c r="Z22" s="35">
        <f>QUARTILE(K22:V22,1)</f>
        <v>52.899199326601959</v>
      </c>
      <c r="AA22" s="36">
        <f>MEDIAN(K22:V22)</f>
        <v>53.289211515817257</v>
      </c>
      <c r="AB22" s="35">
        <f>QUARTILE(K22:V22,3)</f>
        <v>55.183880673758352</v>
      </c>
      <c r="AC22" s="35">
        <f>MAX(K22:V22)</f>
        <v>55.568915742632271</v>
      </c>
      <c r="AD22" s="35">
        <f>SKEW(K22:V22)</f>
        <v>1.4163627425733826E-2</v>
      </c>
      <c r="AE22" s="35">
        <f>KURT(K22:V22)</f>
        <v>-1.6451546800937384</v>
      </c>
    </row>
    <row r="23" spans="2:31" x14ac:dyDescent="0.2">
      <c r="B23" s="34">
        <f>[48]FormattedData!A40</f>
        <v>206</v>
      </c>
      <c r="C23" s="34" t="str">
        <f>VLOOKUP($B23,[48]TrtCodes!$B$11:I83,2)</f>
        <v>NSL</v>
      </c>
      <c r="D23" s="34">
        <f>VLOOKUP($B23,[48]TrtCodes!$B$11:J83,3)</f>
        <v>8</v>
      </c>
      <c r="E23" s="34">
        <f>VLOOKUP($B23,[48]TrtCodes!$B$11:K83,4)</f>
        <v>2</v>
      </c>
      <c r="F23" s="34">
        <f>VLOOKUP($B23,[48]TrtCodes!$B$11:L83,5)</f>
        <v>1</v>
      </c>
      <c r="G23" s="34">
        <f>VLOOKUP($B23,[48]TrtCodes!$B$11:M83,6)</f>
        <v>1</v>
      </c>
      <c r="H23" s="34">
        <f>VLOOKUP($B23,[48]TrtCodes!$B$11:N83,7)</f>
        <v>2</v>
      </c>
      <c r="I23" s="34">
        <f>[48]FormattedData!B40</f>
        <v>1</v>
      </c>
      <c r="J23" s="37">
        <f>[48]FormattedData!C40</f>
        <v>13.183</v>
      </c>
      <c r="K23" s="39">
        <f>$J$3+[48]FormattedData!D40*$J$4+$M$4*$J$5+[48]FormattedData!D40^2*$J$6+$M$5*$J$7</f>
        <v>53.15933425835928</v>
      </c>
      <c r="L23" s="39">
        <f>$J$3+[48]FormattedData!E40*$J$4+$M$4*$J$5+[48]FormattedData!E40^2*$J$6+$M$5*$J$7</f>
        <v>53.678462871349808</v>
      </c>
      <c r="M23" s="39">
        <f>$J$3+[48]FormattedData!F40*$J$4+$M$4*$J$5+[48]FormattedData!F40^2*$J$6+$M$5*$J$7</f>
        <v>54.969627109101957</v>
      </c>
      <c r="N23" s="39">
        <f>$J$3+[48]FormattedData!G40*$J$4+$M$4*$J$5+[48]FormattedData!G40^2*$J$6+$M$5*$J$7</f>
        <v>53.505589074504698</v>
      </c>
      <c r="O23" s="39">
        <f>$J$3+[48]FormattedData!H40*$J$4+$M$4*$J$5+[48]FormattedData!H40^2*$J$6+$M$5*$J$7</f>
        <v>55.397901761456119</v>
      </c>
      <c r="P23" s="39">
        <f>$J$3+[48]FormattedData!I40*$J$4+$M$4*$J$5+[48]FormattedData!I40^2*$J$6+$M$5*$J$7</f>
        <v>52.203646359580105</v>
      </c>
      <c r="Q23" s="39">
        <f>$J$3+[48]FormattedData!J40*$J$4+$M$4*$J$5+[48]FormattedData!J40^2*$J$6+$M$5*$J$7</f>
        <v>55.654359330413449</v>
      </c>
      <c r="R23" s="39">
        <f>$J$3+[48]FormattedData!K40*$J$4+$M$4*$J$5+[48]FormattedData!K40^2*$J$6+$M$5*$J$7</f>
        <v>52.985953239058993</v>
      </c>
      <c r="S23" s="39">
        <f>$J$3+[48]FormattedData!L40*$J$4+$M$4*$J$5+[48]FormattedData!L40^2*$J$6+$M$5*$J$7</f>
        <v>54.883845373017337</v>
      </c>
      <c r="T23" s="39">
        <f>$J$3+[48]FormattedData!M40*$J$4+$M$4*$J$5+[48]FormattedData!M40^2*$J$6+$M$5*$J$7</f>
        <v>53.764836366965476</v>
      </c>
      <c r="U23" s="39">
        <f>$J$3+[48]FormattedData!N40*$J$4+$M$4*$J$5+[48]FormattedData!N40^2*$J$6+$M$5*$J$7</f>
        <v>55.226718706128253</v>
      </c>
      <c r="V23" s="39">
        <f>$J$3+[48]FormattedData!O40*$J$4+$M$4*$J$5+[48]FormattedData!O40^2*$J$6+$M$5*$J$7</f>
        <v>54.023703242584858</v>
      </c>
      <c r="W23" s="38">
        <f>AVERAGE(K23:V23)</f>
        <v>54.121164807710024</v>
      </c>
      <c r="X23" s="37">
        <f>STDEV(K23:V23)/SQRT(COUNT(K23:V23))</f>
        <v>0.31510760006543398</v>
      </c>
      <c r="Y23" s="36">
        <f>MIN(K23:V23)</f>
        <v>52.203646359580105</v>
      </c>
      <c r="Z23" s="35">
        <f>QUARTILE(K23:V23,1)</f>
        <v>53.419025370468347</v>
      </c>
      <c r="AA23" s="36">
        <f>MEDIAN(K23:V23)</f>
        <v>53.894269804775163</v>
      </c>
      <c r="AB23" s="35">
        <f>QUARTILE(K23:V23,3)</f>
        <v>55.033900008358529</v>
      </c>
      <c r="AC23" s="35">
        <f>MAX(K23:V23)</f>
        <v>55.654359330413449</v>
      </c>
      <c r="AD23" s="35">
        <f>SKEW(K23:V23)</f>
        <v>-0.14078855912650901</v>
      </c>
      <c r="AE23" s="35">
        <f>KURT(K23:V23)</f>
        <v>-1.0623528246881357</v>
      </c>
    </row>
    <row r="24" spans="2:31" x14ac:dyDescent="0.2">
      <c r="B24" s="34">
        <f>[48]FormattedData!A42</f>
        <v>207</v>
      </c>
      <c r="C24" s="34" t="str">
        <f>VLOOKUP($B24,[48]TrtCodes!$B$11:I85,2)</f>
        <v>FTL</v>
      </c>
      <c r="D24" s="34">
        <f>VLOOKUP($B24,[48]TrtCodes!$B$11:J85,3)</f>
        <v>4</v>
      </c>
      <c r="E24" s="34">
        <f>VLOOKUP($B24,[48]TrtCodes!$B$11:K85,4)</f>
        <v>1</v>
      </c>
      <c r="F24" s="34">
        <f>VLOOKUP($B24,[48]TrtCodes!$B$11:L85,5)</f>
        <v>2</v>
      </c>
      <c r="G24" s="34">
        <f>VLOOKUP($B24,[48]TrtCodes!$B$11:M85,6)</f>
        <v>1</v>
      </c>
      <c r="H24" s="34">
        <f>VLOOKUP($B24,[48]TrtCodes!$B$11:N85,7)</f>
        <v>2</v>
      </c>
      <c r="I24" s="34">
        <f>[48]FormattedData!B42</f>
        <v>1</v>
      </c>
      <c r="J24" s="37">
        <f>[48]FormattedData!C42</f>
        <v>13.189</v>
      </c>
      <c r="K24" s="39">
        <f>$J$3+[48]FormattedData!D42*$J$4+$M$4*$J$5+[48]FormattedData!D42^2*$J$6+$M$5*$J$7</f>
        <v>51.505388206130654</v>
      </c>
      <c r="L24" s="39">
        <f>$J$3+[48]FormattedData!E42*$J$4+$M$4*$J$5+[48]FormattedData!E42^2*$J$6+$M$5*$J$7</f>
        <v>54.540295743299524</v>
      </c>
      <c r="M24" s="39">
        <f>$J$3+[48]FormattedData!F42*$J$4+$M$4*$J$5+[48]FormattedData!F42^2*$J$6+$M$5*$J$7</f>
        <v>52.985953239058993</v>
      </c>
      <c r="N24" s="39">
        <f>$J$3+[48]FormattedData!G42*$J$4+$M$4*$J$5+[48]FormattedData!G42^2*$J$6+$M$5*$J$7</f>
        <v>53.592047107196208</v>
      </c>
      <c r="O24" s="39">
        <f>$J$3+[48]FormattedData!H42*$J$4+$M$4*$J$5+[48]FormattedData!H42^2*$J$6+$M$5*$J$7</f>
        <v>53.678462871349808</v>
      </c>
      <c r="P24" s="39">
        <f>$J$3+[48]FormattedData!I42*$J$4+$M$4*$J$5+[48]FormattedData!I42^2*$J$6+$M$5*$J$7</f>
        <v>53.332546203507853</v>
      </c>
      <c r="Q24" s="39">
        <f>$J$3+[48]FormattedData!J42*$J$4+$M$4*$J$5+[48]FormattedData!J42^2*$J$6+$M$5*$J$7</f>
        <v>54.368267317213032</v>
      </c>
      <c r="R24" s="39">
        <f>$J$3+[48]FormattedData!K42*$J$4+$M$4*$J$5+[48]FormattedData!K42^2*$J$6+$M$5*$J$7</f>
        <v>54.023703242584858</v>
      </c>
      <c r="S24" s="39">
        <f>$J$3+[48]FormattedData!L42*$J$4+$M$4*$J$5+[48]FormattedData!L42^2*$J$6+$M$5*$J$7</f>
        <v>53.764836366965476</v>
      </c>
      <c r="T24" s="39">
        <f>$J$3+[48]FormattedData!M42*$J$4+$M$4*$J$5+[48]FormattedData!M42^2*$J$6+$M$5*$J$7</f>
        <v>51.942116566071036</v>
      </c>
      <c r="U24" s="39">
        <f>$J$3+[48]FormattedData!N42*$J$4+$M$4*$J$5+[48]FormattedData!N42^2*$J$6+$M$5*$J$7</f>
        <v>54.023703242584858</v>
      </c>
      <c r="V24" s="39">
        <f>$J$3+[48]FormattedData!O42*$J$4+$M$4*$J$5+[48]FormattedData!O42^2*$J$6+$M$5*$J$7</f>
        <v>52.725564696074073</v>
      </c>
      <c r="W24" s="38">
        <f>AVERAGE(K24:V24)</f>
        <v>53.373573733503029</v>
      </c>
      <c r="X24" s="37">
        <f>STDEV(K24:V24)/SQRT(COUNT(K24:V24))</f>
        <v>0.26969121211715885</v>
      </c>
      <c r="Y24" s="36">
        <f>MIN(K24:V24)</f>
        <v>51.505388206130654</v>
      </c>
      <c r="Z24" s="35">
        <f>QUARTILE(K24:V24,1)</f>
        <v>52.920856103312765</v>
      </c>
      <c r="AA24" s="36">
        <f>MEDIAN(K24:V24)</f>
        <v>53.635254989273008</v>
      </c>
      <c r="AB24" s="35">
        <f>QUARTILE(K24:V24,3)</f>
        <v>54.023703242584858</v>
      </c>
      <c r="AC24" s="35">
        <f>MAX(K24:V24)</f>
        <v>54.540295743299524</v>
      </c>
      <c r="AD24" s="35">
        <f>SKEW(K24:V24)</f>
        <v>-0.87807043782408367</v>
      </c>
      <c r="AE24" s="35">
        <f>KURT(K24:V24)</f>
        <v>6.2766724807438834E-2</v>
      </c>
    </row>
    <row r="25" spans="2:31" x14ac:dyDescent="0.2">
      <c r="B25" s="34">
        <f>[48]FormattedData!A44</f>
        <v>208</v>
      </c>
      <c r="C25" s="34" t="str">
        <f>VLOOKUP($B25,[48]TrtCodes!$B$11:I87,2)</f>
        <v>FSL</v>
      </c>
      <c r="D25" s="34">
        <f>VLOOKUP($B25,[48]TrtCodes!$B$11:J87,3)</f>
        <v>2</v>
      </c>
      <c r="E25" s="34">
        <f>VLOOKUP($B25,[48]TrtCodes!$B$11:K87,4)</f>
        <v>1</v>
      </c>
      <c r="F25" s="34">
        <f>VLOOKUP($B25,[48]TrtCodes!$B$11:L87,5)</f>
        <v>1</v>
      </c>
      <c r="G25" s="34">
        <f>VLOOKUP($B25,[48]TrtCodes!$B$11:M87,6)</f>
        <v>1</v>
      </c>
      <c r="H25" s="34">
        <f>VLOOKUP($B25,[48]TrtCodes!$B$11:N87,7)</f>
        <v>2</v>
      </c>
      <c r="I25" s="34">
        <f>[48]FormattedData!B44</f>
        <v>1</v>
      </c>
      <c r="J25" s="37">
        <f>[48]FormattedData!C44</f>
        <v>13.215999999999999</v>
      </c>
      <c r="K25" s="39">
        <f>$J$3+[48]FormattedData!D44*$J$4+$M$4*$J$5+[48]FormattedData!D44^2*$J$6+$M$5*$J$7</f>
        <v>53.851167594043197</v>
      </c>
      <c r="L25" s="39">
        <f>$J$3+[48]FormattedData!E44*$J$4+$M$4*$J$5+[48]FormattedData!E44^2*$J$6+$M$5*$J$7</f>
        <v>53.592047107196208</v>
      </c>
      <c r="M25" s="39">
        <f>$J$3+[48]FormattedData!F44*$J$4+$M$4*$J$5+[48]FormattedData!F44^2*$J$6+$M$5*$J$7</f>
        <v>54.883845373017337</v>
      </c>
      <c r="N25" s="39">
        <f>$J$3+[48]FormattedData!G44*$J$4+$M$4*$J$5+[48]FormattedData!G44^2*$J$6+$M$5*$J$7</f>
        <v>52.377788212563146</v>
      </c>
      <c r="O25" s="39">
        <f>$J$3+[48]FormattedData!H44*$J$4+$M$4*$J$5+[48]FormattedData!H44^2*$J$6+$M$5*$J$7</f>
        <v>55.055366576648659</v>
      </c>
      <c r="P25" s="39">
        <f>$J$3+[48]FormattedData!I44*$J$4+$M$4*$J$5+[48]FormattedData!I44^2*$J$6+$M$5*$J$7</f>
        <v>52.290738420340588</v>
      </c>
      <c r="Q25" s="39">
        <f>$J$3+[48]FormattedData!J44*$J$4+$M$4*$J$5+[48]FormattedData!J44^2*$J$6+$M$5*$J$7</f>
        <v>55.226718706128253</v>
      </c>
      <c r="R25" s="39">
        <f>$J$3+[48]FormattedData!K44*$J$4+$M$4*$J$5+[48]FormattedData!K44^2*$J$6+$M$5*$J$7</f>
        <v>53.15933425835928</v>
      </c>
      <c r="S25" s="39">
        <f>$J$3+[48]FormattedData!L44*$J$4+$M$4*$J$5+[48]FormattedData!L44^2*$J$6+$M$5*$J$7</f>
        <v>54.798021368394785</v>
      </c>
      <c r="T25" s="39">
        <f>$J$3+[48]FormattedData!M44*$J$4+$M$4*$J$5+[48]FormattedData!M44^2*$J$6+$M$5*$J$7</f>
        <v>53.245961365202533</v>
      </c>
      <c r="U25" s="39">
        <f>$J$3+[48]FormattedData!N44*$J$4+$M$4*$J$5+[48]FormattedData!N44^2*$J$6+$M$5*$J$7</f>
        <v>55.910436482529391</v>
      </c>
      <c r="V25" s="39">
        <f>$J$3+[48]FormattedData!O44*$J$4+$M$4*$J$5+[48]FormattedData!O44^2*$J$6+$M$5*$J$7</f>
        <v>54.454302664525244</v>
      </c>
      <c r="W25" s="38">
        <f>AVERAGE(K25:V25)</f>
        <v>54.070477344079052</v>
      </c>
      <c r="X25" s="37">
        <f>STDEV(K25:V25)/SQRT(COUNT(K25:V25))</f>
        <v>0.33541277109804063</v>
      </c>
      <c r="Y25" s="36">
        <f>MIN(K25:V25)</f>
        <v>52.290738420340588</v>
      </c>
      <c r="Z25" s="35">
        <f>QUARTILE(K25:V25,1)</f>
        <v>53.224304588491719</v>
      </c>
      <c r="AA25" s="36">
        <f>MEDIAN(K25:V25)</f>
        <v>54.152735129284224</v>
      </c>
      <c r="AB25" s="35">
        <f>QUARTILE(K25:V25,3)</f>
        <v>54.926725673925169</v>
      </c>
      <c r="AC25" s="35">
        <f>MAX(K25:V25)</f>
        <v>55.910436482529391</v>
      </c>
      <c r="AD25" s="35">
        <f>SKEW(K25:V25)</f>
        <v>-0.15399082920799032</v>
      </c>
      <c r="AE25" s="35">
        <f>KURT(K25:V25)</f>
        <v>-1.0611163400757633</v>
      </c>
    </row>
    <row r="26" spans="2:31" x14ac:dyDescent="0.2">
      <c r="B26" s="34">
        <f>[48]FormattedData!A62</f>
        <v>301</v>
      </c>
      <c r="C26" s="34" t="str">
        <f>VLOOKUP($B26,[48]TrtCodes!$B$11:I105,2)</f>
        <v>NTL</v>
      </c>
      <c r="D26" s="34">
        <f>VLOOKUP($B26,[48]TrtCodes!$B$11:J105,3)</f>
        <v>10</v>
      </c>
      <c r="E26" s="34">
        <f>VLOOKUP($B26,[48]TrtCodes!$B$11:K105,4)</f>
        <v>2</v>
      </c>
      <c r="F26" s="34">
        <f>VLOOKUP($B26,[48]TrtCodes!$B$11:L105,5)</f>
        <v>2</v>
      </c>
      <c r="G26" s="34">
        <f>VLOOKUP($B26,[48]TrtCodes!$B$11:M105,6)</f>
        <v>1</v>
      </c>
      <c r="H26" s="34">
        <f>VLOOKUP($B26,[48]TrtCodes!$B$11:N105,7)</f>
        <v>3</v>
      </c>
      <c r="I26" s="34">
        <f>[48]FormattedData!B62</f>
        <v>1</v>
      </c>
      <c r="J26" s="37">
        <f>[48]FormattedData!C62</f>
        <v>13.294</v>
      </c>
      <c r="K26" s="39">
        <f>$J$3+[48]FormattedData!D62*$J$4+$M$4*$J$5+[48]FormattedData!D62^2*$J$6+$M$5*$J$7</f>
        <v>51.592818415194586</v>
      </c>
      <c r="L26" s="39">
        <f>$J$3+[48]FormattedData!E62*$J$4+$M$4*$J$5+[48]FormattedData!E62^2*$J$6+$M$5*$J$7</f>
        <v>52.725564696074073</v>
      </c>
      <c r="M26" s="39">
        <f>$J$3+[48]FormattedData!F62*$J$4+$M$4*$J$5+[48]FormattedData!F62^2*$J$6+$M$5*$J$7</f>
        <v>52.725564696074073</v>
      </c>
      <c r="N26" s="39">
        <f>$J$3+[48]FormattedData!G62*$J$4+$M$4*$J$5+[48]FormattedData!G62^2*$J$6+$M$5*$J$7</f>
        <v>52.464795736247773</v>
      </c>
      <c r="O26" s="39">
        <f>$J$3+[48]FormattedData!H62*$J$4+$M$4*$J$5+[48]FormattedData!H62^2*$J$6+$M$5*$J$7</f>
        <v>54.023703242584858</v>
      </c>
      <c r="P26" s="39">
        <f>$J$3+[48]FormattedData!I62*$J$4+$M$4*$J$5+[48]FormattedData!I62^2*$J$6+$M$5*$J$7</f>
        <v>51.942116566071036</v>
      </c>
      <c r="Q26" s="39">
        <f>$J$3+[48]FormattedData!J62*$J$4+$M$4*$J$5+[48]FormattedData!J62^2*$J$6+$M$5*$J$7</f>
        <v>53.505589074504698</v>
      </c>
      <c r="R26" s="39">
        <f>$J$3+[48]FormattedData!K62*$J$4+$M$4*$J$5+[48]FormattedData!K62^2*$J$6+$M$5*$J$7</f>
        <v>51.6802063557206</v>
      </c>
      <c r="S26" s="39">
        <f>$J$3+[48]FormattedData!L62*$J$4+$M$4*$J$5+[48]FormattedData!L62^2*$J$6+$M$5*$J$7</f>
        <v>53.764836366965476</v>
      </c>
      <c r="T26" s="39">
        <f>$J$3+[48]FormattedData!M62*$J$4+$M$4*$J$5+[48]FormattedData!M62^2*$J$6+$M$5*$J$7</f>
        <v>52.029335432445322</v>
      </c>
      <c r="U26" s="39">
        <f>$J$3+[48]FormattedData!N62*$J$4+$M$4*$J$5+[48]FormattedData!N62^2*$J$6+$M$5*$J$7</f>
        <v>53.592047107196208</v>
      </c>
      <c r="V26" s="39">
        <f>$J$3+[48]FormattedData!O62*$J$4+$M$4*$J$5+[48]FormattedData!O62^2*$J$6+$M$5*$J$7</f>
        <v>52.116512030281676</v>
      </c>
      <c r="W26" s="38">
        <f>AVERAGE(K26:V26)</f>
        <v>52.68025747661337</v>
      </c>
      <c r="X26" s="37">
        <f>STDEV(K26:V26)/SQRT(COUNT(K26:V26))</f>
        <v>0.24638609327470121</v>
      </c>
      <c r="Y26" s="36">
        <f>MIN(K26:V26)</f>
        <v>51.592818415194586</v>
      </c>
      <c r="Z26" s="35">
        <f>QUARTILE(K26:V26,1)</f>
        <v>52.00753071585175</v>
      </c>
      <c r="AA26" s="36">
        <f>MEDIAN(K26:V26)</f>
        <v>52.595180216160927</v>
      </c>
      <c r="AB26" s="35">
        <f>QUARTILE(K26:V26,3)</f>
        <v>53.527203582677572</v>
      </c>
      <c r="AC26" s="35">
        <f>MAX(K26:V26)</f>
        <v>54.023703242584858</v>
      </c>
      <c r="AD26" s="35">
        <f>SKEW(K26:V26)</f>
        <v>0.32770014148898269</v>
      </c>
      <c r="AE26" s="35">
        <f>KURT(K26:V26)</f>
        <v>-1.427886613627392</v>
      </c>
    </row>
    <row r="27" spans="2:31" x14ac:dyDescent="0.2">
      <c r="B27" s="34">
        <f>[48]FormattedData!A64</f>
        <v>302</v>
      </c>
      <c r="C27" s="34" t="str">
        <f>VLOOKUP($B27,[48]TrtCodes!$B$11:I107,2)</f>
        <v>FTL</v>
      </c>
      <c r="D27" s="34">
        <f>VLOOKUP($B27,[48]TrtCodes!$B$11:J107,3)</f>
        <v>4</v>
      </c>
      <c r="E27" s="34">
        <f>VLOOKUP($B27,[48]TrtCodes!$B$11:K107,4)</f>
        <v>1</v>
      </c>
      <c r="F27" s="34">
        <f>VLOOKUP($B27,[48]TrtCodes!$B$11:L107,5)</f>
        <v>2</v>
      </c>
      <c r="G27" s="34">
        <f>VLOOKUP($B27,[48]TrtCodes!$B$11:M107,6)</f>
        <v>1</v>
      </c>
      <c r="H27" s="34">
        <f>VLOOKUP($B27,[48]TrtCodes!$B$11:N107,7)</f>
        <v>3</v>
      </c>
      <c r="I27" s="34">
        <f>[48]FormattedData!B64</f>
        <v>1</v>
      </c>
      <c r="J27" s="37">
        <f>[48]FormattedData!C64</f>
        <v>13.3</v>
      </c>
      <c r="K27" s="39">
        <f>$J$3+[48]FormattedData!D64*$J$4+$M$4*$J$5+[48]FormattedData!D64^2*$J$6+$M$5*$J$7</f>
        <v>50.892193223621</v>
      </c>
      <c r="L27" s="39">
        <f>$J$3+[48]FormattedData!E64*$J$4+$M$4*$J$5+[48]FormattedData!E64^2*$J$6+$M$5*$J$7</f>
        <v>53.592047107196208</v>
      </c>
      <c r="M27" s="39">
        <f>$J$3+[48]FormattedData!F64*$J$4+$M$4*$J$5+[48]FormattedData!F64^2*$J$6+$M$5*$J$7</f>
        <v>51.767552027708682</v>
      </c>
      <c r="N27" s="39">
        <f>$J$3+[48]FormattedData!G64*$J$4+$M$4*$J$5+[48]FormattedData!G64^2*$J$6+$M$5*$J$7</f>
        <v>53.332546203507853</v>
      </c>
      <c r="O27" s="39">
        <f>$J$3+[48]FormattedData!H64*$J$4+$M$4*$J$5+[48]FormattedData!H64^2*$J$6+$M$5*$J$7</f>
        <v>52.203646359580105</v>
      </c>
      <c r="P27" s="39">
        <f>$J$3+[48]FormattedData!I64*$J$4+$M$4*$J$5+[48]FormattedData!I64^2*$J$6+$M$5*$J$7</f>
        <v>51.854855431158818</v>
      </c>
      <c r="Q27" s="39">
        <f>$J$3+[48]FormattedData!J64*$J$4+$M$4*$J$5+[48]FormattedData!J64^2*$J$6+$M$5*$J$7</f>
        <v>52.725564696074073</v>
      </c>
      <c r="R27" s="39">
        <f>$J$3+[48]FormattedData!K64*$J$4+$M$4*$J$5+[48]FormattedData!K64^2*$J$6+$M$5*$J$7</f>
        <v>51.942116566071036</v>
      </c>
      <c r="S27" s="39">
        <f>$J$3+[48]FormattedData!L64*$J$4+$M$4*$J$5+[48]FormattedData!L64^2*$J$6+$M$5*$J$7</f>
        <v>53.07266488297811</v>
      </c>
      <c r="T27" s="39">
        <f>$J$3+[48]FormattedData!M64*$J$4+$M$4*$J$5+[48]FormattedData!M64^2*$J$6+$M$5*$J$7</f>
        <v>51.417915728528776</v>
      </c>
      <c r="U27" s="39">
        <f>$J$3+[48]FormattedData!N64*$J$4+$M$4*$J$5+[48]FormattedData!N64^2*$J$6+$M$5*$J$7</f>
        <v>52.899199326601959</v>
      </c>
      <c r="V27" s="39">
        <f>$J$3+[48]FormattedData!O64*$J$4+$M$4*$J$5+[48]FormattedData!O64^2*$J$6+$M$5*$J$7</f>
        <v>51.942116566071036</v>
      </c>
      <c r="W27" s="38">
        <f>AVERAGE(K27:V27)</f>
        <v>52.303534843258142</v>
      </c>
      <c r="X27" s="37">
        <f>STDEV(K27:V27)/SQRT(COUNT(K27:V27))</f>
        <v>0.23644519920006199</v>
      </c>
      <c r="Y27" s="36">
        <f>MIN(K27:V27)</f>
        <v>50.892193223621</v>
      </c>
      <c r="Z27" s="35">
        <f>QUARTILE(K27:V27,1)</f>
        <v>51.833029580296284</v>
      </c>
      <c r="AA27" s="36">
        <f>MEDIAN(K27:V27)</f>
        <v>52.072881462825571</v>
      </c>
      <c r="AB27" s="35">
        <f>QUARTILE(K27:V27,3)</f>
        <v>52.942565715695999</v>
      </c>
      <c r="AC27" s="35">
        <f>MAX(K27:V27)</f>
        <v>53.592047107196208</v>
      </c>
      <c r="AD27" s="35">
        <f>SKEW(K27:V27)</f>
        <v>2.477705630672512E-2</v>
      </c>
      <c r="AE27" s="35">
        <f>KURT(K27:V27)</f>
        <v>-0.83847943265370084</v>
      </c>
    </row>
    <row r="28" spans="2:31" x14ac:dyDescent="0.2">
      <c r="B28" s="34">
        <f>[48]FormattedData!A66</f>
        <v>303</v>
      </c>
      <c r="C28" s="34" t="str">
        <f>VLOOKUP($B28,[48]TrtCodes!$B$11:I109,2)</f>
        <v>NSL</v>
      </c>
      <c r="D28" s="34">
        <f>VLOOKUP($B28,[48]TrtCodes!$B$11:J109,3)</f>
        <v>8</v>
      </c>
      <c r="E28" s="34">
        <f>VLOOKUP($B28,[48]TrtCodes!$B$11:K109,4)</f>
        <v>2</v>
      </c>
      <c r="F28" s="34">
        <f>VLOOKUP($B28,[48]TrtCodes!$B$11:L109,5)</f>
        <v>1</v>
      </c>
      <c r="G28" s="34">
        <f>VLOOKUP($B28,[48]TrtCodes!$B$11:M109,6)</f>
        <v>1</v>
      </c>
      <c r="H28" s="34">
        <f>VLOOKUP($B28,[48]TrtCodes!$B$11:N109,7)</f>
        <v>3</v>
      </c>
      <c r="I28" s="34">
        <f>[48]FormattedData!B66</f>
        <v>1</v>
      </c>
      <c r="J28" s="37">
        <f>[48]FormattedData!C66</f>
        <v>13.305</v>
      </c>
      <c r="K28" s="39">
        <f>$J$3+[48]FormattedData!D66*$J$4+$M$4*$J$5+[48]FormattedData!D66^2*$J$6+$M$5*$J$7</f>
        <v>50.276927082752721</v>
      </c>
      <c r="L28" s="39">
        <f>$J$3+[48]FormattedData!E66*$J$4+$M$4*$J$5+[48]FormattedData!E66^2*$J$6+$M$5*$J$7</f>
        <v>52.725564696074073</v>
      </c>
      <c r="M28" s="39">
        <f>$J$3+[48]FormattedData!F66*$J$4+$M$4*$J$5+[48]FormattedData!F66^2*$J$6+$M$5*$J$7</f>
        <v>51.417915728528776</v>
      </c>
      <c r="N28" s="39">
        <f>$J$3+[48]FormattedData!G66*$J$4+$M$4*$J$5+[48]FormattedData!G66^2*$J$6+$M$5*$J$7</f>
        <v>51.505388206130654</v>
      </c>
      <c r="O28" s="39">
        <f>$J$3+[48]FormattedData!H66*$J$4+$M$4*$J$5+[48]FormattedData!H66^2*$J$6+$M$5*$J$7</f>
        <v>52.377788212563146</v>
      </c>
      <c r="P28" s="39">
        <f>$J$3+[48]FormattedData!I66*$J$4+$M$4*$J$5+[48]FormattedData!I66^2*$J$6+$M$5*$J$7</f>
        <v>51.242843967711245</v>
      </c>
      <c r="Q28" s="39">
        <f>$J$3+[48]FormattedData!J66*$J$4+$M$4*$J$5+[48]FormattedData!J66^2*$J$6+$M$5*$J$7</f>
        <v>53.764836366965476</v>
      </c>
      <c r="R28" s="39">
        <f>$J$3+[48]FormattedData!K66*$J$4+$M$4*$J$5+[48]FormattedData!K66^2*$J$6+$M$5*$J$7</f>
        <v>52.116512030281676</v>
      </c>
      <c r="S28" s="39">
        <f>$J$3+[48]FormattedData!L66*$J$4+$M$4*$J$5+[48]FormattedData!L66^2*$J$6+$M$5*$J$7</f>
        <v>53.678462871349808</v>
      </c>
      <c r="T28" s="39">
        <f>$J$3+[48]FormattedData!M66*$J$4+$M$4*$J$5+[48]FormattedData!M66^2*$J$6+$M$5*$J$7</f>
        <v>50.892193223621</v>
      </c>
      <c r="U28" s="39">
        <f>$J$3+[48]FormattedData!N66*$J$4+$M$4*$J$5+[48]FormattedData!N66^2*$J$6+$M$5*$J$7</f>
        <v>53.419088773275234</v>
      </c>
      <c r="V28" s="39">
        <f>$J$3+[48]FormattedData!O66*$J$4+$M$4*$J$5+[48]FormattedData!O66^2*$J$6+$M$5*$J$7</f>
        <v>51.592818415194586</v>
      </c>
      <c r="W28" s="38">
        <f>AVERAGE(K28:V28)</f>
        <v>52.084194964537367</v>
      </c>
      <c r="X28" s="37">
        <f>STDEV(K28:V28)/SQRT(COUNT(K28:V28))</f>
        <v>0.32639138904577319</v>
      </c>
      <c r="Y28" s="36">
        <f>MIN(K28:V28)</f>
        <v>50.276927082752721</v>
      </c>
      <c r="Z28" s="35">
        <f>QUARTILE(K28:V28,1)</f>
        <v>51.374147788324393</v>
      </c>
      <c r="AA28" s="36">
        <f>MEDIAN(K28:V28)</f>
        <v>51.854665222738134</v>
      </c>
      <c r="AB28" s="35">
        <f>QUARTILE(K28:V28,3)</f>
        <v>52.898945715374367</v>
      </c>
      <c r="AC28" s="35">
        <f>MAX(K28:V28)</f>
        <v>53.764836366965476</v>
      </c>
      <c r="AD28" s="35">
        <f>SKEW(K28:V28)</f>
        <v>0.20125785124937384</v>
      </c>
      <c r="AE28" s="35">
        <f>KURT(K28:V28)</f>
        <v>-1.0109178304955315</v>
      </c>
    </row>
    <row r="29" spans="2:31" x14ac:dyDescent="0.2">
      <c r="B29" s="34">
        <f>[48]FormattedData!A68</f>
        <v>304</v>
      </c>
      <c r="C29" s="34" t="str">
        <f>VLOOKUP($B29,[48]TrtCodes!$B$11:I111,2)</f>
        <v>FSL</v>
      </c>
      <c r="D29" s="34">
        <f>VLOOKUP($B29,[48]TrtCodes!$B$11:J111,3)</f>
        <v>2</v>
      </c>
      <c r="E29" s="34">
        <f>VLOOKUP($B29,[48]TrtCodes!$B$11:K111,4)</f>
        <v>1</v>
      </c>
      <c r="F29" s="34">
        <f>VLOOKUP($B29,[48]TrtCodes!$B$11:L111,5)</f>
        <v>1</v>
      </c>
      <c r="G29" s="34">
        <f>VLOOKUP($B29,[48]TrtCodes!$B$11:M111,6)</f>
        <v>1</v>
      </c>
      <c r="H29" s="34">
        <f>VLOOKUP($B29,[48]TrtCodes!$B$11:N111,7)</f>
        <v>3</v>
      </c>
      <c r="I29" s="34">
        <f>[48]FormattedData!B68</f>
        <v>1</v>
      </c>
      <c r="J29" s="37">
        <f>[48]FormattedData!C68</f>
        <v>13.31</v>
      </c>
      <c r="K29" s="39">
        <f>$J$3+[48]FormattedData!D68*$J$4+$M$4*$J$5+[48]FormattedData!D68^2*$J$6+$M$5*$J$7</f>
        <v>51.155244684495578</v>
      </c>
      <c r="L29" s="39">
        <f>$J$3+[48]FormattedData!E68*$J$4+$M$4*$J$5+[48]FormattedData!E68^2*$J$6+$M$5*$J$7</f>
        <v>52.551760991394474</v>
      </c>
      <c r="M29" s="39">
        <f>$J$3+[48]FormattedData!F68*$J$4+$M$4*$J$5+[48]FormattedData!F68^2*$J$6+$M$5*$J$7</f>
        <v>52.725564696074073</v>
      </c>
      <c r="N29" s="39">
        <f>$J$3+[48]FormattedData!G68*$J$4+$M$4*$J$5+[48]FormattedData!G68^2*$J$6+$M$5*$J$7</f>
        <v>51.942116566071036</v>
      </c>
      <c r="O29" s="39">
        <f>$J$3+[48]FormattedData!H68*$J$4+$M$4*$J$5+[48]FormattedData!H68^2*$J$6+$M$5*$J$7</f>
        <v>54.282189701362881</v>
      </c>
      <c r="P29" s="39">
        <f>$J$3+[48]FormattedData!I68*$J$4+$M$4*$J$5+[48]FormattedData!I68^2*$J$6+$M$5*$J$7</f>
        <v>52.725564696074073</v>
      </c>
      <c r="Q29" s="39">
        <f>$J$3+[48]FormattedData!J68*$J$4+$M$4*$J$5+[48]FormattedData!J68^2*$J$6+$M$5*$J$7</f>
        <v>53.764836366965476</v>
      </c>
      <c r="R29" s="39">
        <f>$J$3+[48]FormattedData!K68*$J$4+$M$4*$J$5+[48]FormattedData!K68^2*$J$6+$M$5*$J$7</f>
        <v>52.899199326601959</v>
      </c>
      <c r="S29" s="39">
        <f>$J$3+[48]FormattedData!L68*$J$4+$M$4*$J$5+[48]FormattedData!L68^2*$J$6+$M$5*$J$7</f>
        <v>53.245961365202533</v>
      </c>
      <c r="T29" s="39">
        <f>$J$3+[48]FormattedData!M68*$J$4+$M$4*$J$5+[48]FormattedData!M68^2*$J$6+$M$5*$J$7</f>
        <v>52.029335432445322</v>
      </c>
      <c r="U29" s="39">
        <f>$J$3+[48]FormattedData!N68*$J$4+$M$4*$J$5+[48]FormattedData!N68^2*$J$6+$M$5*$J$7</f>
        <v>53.505589074504698</v>
      </c>
      <c r="V29" s="39">
        <f>$J$3+[48]FormattedData!O68*$J$4+$M$4*$J$5+[48]FormattedData!O68^2*$J$6+$M$5*$J$7</f>
        <v>52.464795736247773</v>
      </c>
      <c r="W29" s="38">
        <f>AVERAGE(K29:V29)</f>
        <v>52.774346553119983</v>
      </c>
      <c r="X29" s="37">
        <f>STDEV(K29:V29)/SQRT(COUNT(K29:V29))</f>
        <v>0.24689971531921534</v>
      </c>
      <c r="Y29" s="36">
        <f>MIN(K29:V29)</f>
        <v>51.155244684495578</v>
      </c>
      <c r="Z29" s="35">
        <f>QUARTILE(K29:V29,1)</f>
        <v>52.355930660297162</v>
      </c>
      <c r="AA29" s="36">
        <f>MEDIAN(K29:V29)</f>
        <v>52.725564696074073</v>
      </c>
      <c r="AB29" s="35">
        <f>QUARTILE(K29:V29,3)</f>
        <v>53.31086829252807</v>
      </c>
      <c r="AC29" s="35">
        <f>MAX(K29:V29)</f>
        <v>54.282189701362881</v>
      </c>
      <c r="AD29" s="35">
        <f>SKEW(K29:V29)</f>
        <v>-6.5821145434964298E-2</v>
      </c>
      <c r="AE29" s="35">
        <f>KURT(K29:V29)</f>
        <v>0.13020752608866815</v>
      </c>
    </row>
    <row r="30" spans="2:31" x14ac:dyDescent="0.2">
      <c r="B30" s="34">
        <f>[48]FormattedData!A70</f>
        <v>305</v>
      </c>
      <c r="C30" s="34" t="str">
        <f>VLOOKUP($B30,[48]TrtCodes!$B$11:I113,2)</f>
        <v>NDH</v>
      </c>
      <c r="D30" s="34">
        <f>VLOOKUP($B30,[48]TrtCodes!$B$11:J113,3)</f>
        <v>11</v>
      </c>
      <c r="E30" s="34">
        <f>VLOOKUP($B30,[48]TrtCodes!$B$11:K113,4)</f>
        <v>2</v>
      </c>
      <c r="F30" s="34">
        <f>VLOOKUP($B30,[48]TrtCodes!$B$11:L113,5)</f>
        <v>3</v>
      </c>
      <c r="G30" s="34">
        <f>VLOOKUP($B30,[48]TrtCodes!$B$11:M113,6)</f>
        <v>2</v>
      </c>
      <c r="H30" s="34">
        <f>VLOOKUP($B30,[48]TrtCodes!$B$11:N113,7)</f>
        <v>4</v>
      </c>
      <c r="I30" s="34">
        <f>[48]FormattedData!B70</f>
        <v>1</v>
      </c>
      <c r="J30" s="37">
        <f>[48]FormattedData!C70</f>
        <v>13.316000000000001</v>
      </c>
      <c r="K30" s="39">
        <f>$J$3+[48]FormattedData!D70*$J$4+$M$4*$J$5+[48]FormattedData!D70^2*$J$6+$M$5*$J$7</f>
        <v>33.935636595066001</v>
      </c>
      <c r="L30" s="39">
        <f>$J$3+[48]FormattedData!E70*$J$4+$M$4*$J$5+[48]FormattedData!E70^2*$J$6+$M$5*$J$7</f>
        <v>32.977854142012596</v>
      </c>
      <c r="M30" s="39">
        <f>$J$3+[48]FormattedData!F70*$J$4+$M$4*$J$5+[48]FormattedData!F70^2*$J$6+$M$5*$J$7</f>
        <v>37.912165654469476</v>
      </c>
      <c r="N30" s="39">
        <f>$J$3+[48]FormattedData!G70*$J$4+$M$4*$J$5+[48]FormattedData!G70^2*$J$6+$M$5*$J$7</f>
        <v>34.412942751420289</v>
      </c>
      <c r="O30" s="39">
        <f>$J$3+[48]FormattedData!H70*$J$4+$M$4*$J$5+[48]FormattedData!H70^2*$J$6+$M$5*$J$7</f>
        <v>37.536661010075726</v>
      </c>
      <c r="P30" s="39">
        <f>$J$3+[48]FormattedData!I70*$J$4+$M$4*$J$5+[48]FormattedData!I70^2*$J$6+$M$5*$J$7</f>
        <v>34.317566057225285</v>
      </c>
      <c r="Q30" s="39">
        <f>$J$3+[48]FormattedData!J70*$J$4+$M$4*$J$5+[48]FormattedData!J70^2*$J$6+$M$5*$J$7</f>
        <v>36.02787946643172</v>
      </c>
      <c r="R30" s="39">
        <f>$J$3+[48]FormattedData!K70*$J$4+$M$4*$J$5+[48]FormattedData!K70^2*$J$6+$M$5*$J$7</f>
        <v>35.174434637614709</v>
      </c>
      <c r="S30" s="39">
        <f>$J$3+[48]FormattedData!L70*$J$4+$M$4*$J$5+[48]FormattedData!L70^2*$J$6+$M$5*$J$7</f>
        <v>36.783622831467525</v>
      </c>
      <c r="T30" s="39">
        <f>$J$3+[48]FormattedData!M70*$J$4+$M$4*$J$5+[48]FormattedData!M70^2*$J$6+$M$5*$J$7</f>
        <v>35.079396091723169</v>
      </c>
      <c r="U30" s="39">
        <f>$J$3+[48]FormattedData!N70*$J$4+$M$4*$J$5+[48]FormattedData!N70^2*$J$6+$M$5*$J$7</f>
        <v>38.94131627217299</v>
      </c>
      <c r="V30" s="39">
        <f>$J$3+[48]FormattedData!O70*$J$4+$M$4*$J$5+[48]FormattedData!O70^2*$J$6+$M$5*$J$7</f>
        <v>35.174434637614709</v>
      </c>
      <c r="W30" s="38">
        <f>AVERAGE(K30:V30)</f>
        <v>35.689492512274519</v>
      </c>
      <c r="X30" s="37">
        <f>STDEV(K30:V30)/SQRT(COUNT(K30:V30))</f>
        <v>0.51553027714438038</v>
      </c>
      <c r="Y30" s="36">
        <f>MIN(K30:V30)</f>
        <v>32.977854142012596</v>
      </c>
      <c r="Z30" s="35">
        <f>QUARTILE(K30:V30,1)</f>
        <v>34.389098577871536</v>
      </c>
      <c r="AA30" s="36">
        <f>MEDIAN(K30:V30)</f>
        <v>35.174434637614709</v>
      </c>
      <c r="AB30" s="35">
        <f>QUARTILE(K30:V30,3)</f>
        <v>36.971882376119574</v>
      </c>
      <c r="AC30" s="35">
        <f>MAX(K30:V30)</f>
        <v>38.94131627217299</v>
      </c>
      <c r="AD30" s="35">
        <f>SKEW(K30:V30)</f>
        <v>0.43136943506424014</v>
      </c>
      <c r="AE30" s="35">
        <f>KURT(K30:V30)</f>
        <v>-0.63565049831971709</v>
      </c>
    </row>
    <row r="31" spans="2:31" x14ac:dyDescent="0.2">
      <c r="B31" s="34">
        <f>[48]FormattedData!A72</f>
        <v>306</v>
      </c>
      <c r="C31" s="34" t="str">
        <f>VLOOKUP($B31,[48]TrtCodes!$B$11:I115,2)</f>
        <v>FTL</v>
      </c>
      <c r="D31" s="34">
        <f>VLOOKUP($B31,[48]TrtCodes!$B$11:J115,3)</f>
        <v>4</v>
      </c>
      <c r="E31" s="34">
        <f>VLOOKUP($B31,[48]TrtCodes!$B$11:K115,4)</f>
        <v>1</v>
      </c>
      <c r="F31" s="34">
        <f>VLOOKUP($B31,[48]TrtCodes!$B$11:L115,5)</f>
        <v>2</v>
      </c>
      <c r="G31" s="34">
        <f>VLOOKUP($B31,[48]TrtCodes!$B$11:M115,6)</f>
        <v>1</v>
      </c>
      <c r="H31" s="34">
        <f>VLOOKUP($B31,[48]TrtCodes!$B$11:N115,7)</f>
        <v>4</v>
      </c>
      <c r="I31" s="34">
        <f>[48]FormattedData!B72</f>
        <v>1</v>
      </c>
      <c r="J31" s="37">
        <f>[48]FormattedData!C72</f>
        <v>13.321</v>
      </c>
      <c r="K31" s="39">
        <f>$J$3+[48]FormattedData!D72*$J$4+$M$4*$J$5+[48]FormattedData!D72^2*$J$6+$M$5*$J$7</f>
        <v>50.54086618292385</v>
      </c>
      <c r="L31" s="39">
        <f>$J$3+[48]FormattedData!E72*$J$4+$M$4*$J$5+[48]FormattedData!E72^2*$J$6+$M$5*$J$7</f>
        <v>52.290738420340588</v>
      </c>
      <c r="M31" s="39">
        <f>$J$3+[48]FormattedData!F72*$J$4+$M$4*$J$5+[48]FormattedData!F72^2*$J$6+$M$5*$J$7</f>
        <v>53.15933425835928</v>
      </c>
      <c r="N31" s="39">
        <f>$J$3+[48]FormattedData!G72*$J$4+$M$4*$J$5+[48]FormattedData!G72^2*$J$6+$M$5*$J$7</f>
        <v>52.464795736247773</v>
      </c>
      <c r="O31" s="39">
        <f>$J$3+[48]FormattedData!H72*$J$4+$M$4*$J$5+[48]FormattedData!H72^2*$J$6+$M$5*$J$7</f>
        <v>53.419088773275234</v>
      </c>
      <c r="P31" s="39">
        <f>$J$3+[48]FormattedData!I72*$J$4+$M$4*$J$5+[48]FormattedData!I72^2*$J$6+$M$5*$J$7</f>
        <v>52.029335432445322</v>
      </c>
      <c r="Q31" s="39">
        <f>$J$3+[48]FormattedData!J72*$J$4+$M$4*$J$5+[48]FormattedData!J72^2*$J$6+$M$5*$J$7</f>
        <v>53.245961365202533</v>
      </c>
      <c r="R31" s="39">
        <f>$J$3+[48]FormattedData!K72*$J$4+$M$4*$J$5+[48]FormattedData!K72^2*$J$6+$M$5*$J$7</f>
        <v>52.464795736247773</v>
      </c>
      <c r="S31" s="39">
        <f>$J$3+[48]FormattedData!L72*$J$4+$M$4*$J$5+[48]FormattedData!L72^2*$J$6+$M$5*$J$7</f>
        <v>50.979919312450455</v>
      </c>
      <c r="T31" s="39">
        <f>$J$3+[48]FormattedData!M72*$J$4+$M$4*$J$5+[48]FormattedData!M72^2*$J$6+$M$5*$J$7</f>
        <v>52.203646359580105</v>
      </c>
      <c r="U31" s="39">
        <f>$J$3+[48]FormattedData!N72*$J$4+$M$4*$J$5+[48]FormattedData!N72^2*$J$6+$M$5*$J$7</f>
        <v>52.725564696074073</v>
      </c>
      <c r="V31" s="39">
        <f>$J$3+[48]FormattedData!O72*$J$4+$M$4*$J$5+[48]FormattedData!O72^2*$J$6+$M$5*$J$7</f>
        <v>51.505388206130654</v>
      </c>
      <c r="W31" s="38">
        <f>AVERAGE(K31:V31)</f>
        <v>52.252452873273143</v>
      </c>
      <c r="X31" s="37">
        <f>STDEV(K31:V31)/SQRT(COUNT(K31:V31))</f>
        <v>0.25591712086586454</v>
      </c>
      <c r="Y31" s="36">
        <f>MIN(K31:V31)</f>
        <v>50.54086618292385</v>
      </c>
      <c r="Z31" s="35">
        <f>QUARTILE(K31:V31,1)</f>
        <v>51.898348625866653</v>
      </c>
      <c r="AA31" s="36">
        <f>MEDIAN(K31:V31)</f>
        <v>52.377767078294184</v>
      </c>
      <c r="AB31" s="35">
        <f>QUARTILE(K31:V31,3)</f>
        <v>52.834007086645371</v>
      </c>
      <c r="AC31" s="35">
        <f>MAX(K31:V31)</f>
        <v>53.419088773275234</v>
      </c>
      <c r="AD31" s="35">
        <f>SKEW(K31:V31)</f>
        <v>-0.63624187375759933</v>
      </c>
      <c r="AE31" s="35">
        <f>KURT(K31:V31)</f>
        <v>-0.18736475974906597</v>
      </c>
    </row>
    <row r="32" spans="2:31" x14ac:dyDescent="0.2">
      <c r="B32" s="34">
        <f>[48]FormattedData!A74</f>
        <v>307</v>
      </c>
      <c r="C32" s="34" t="str">
        <f>VLOOKUP($B32,[48]TrtCodes!$B$11:I117,2)</f>
        <v>NTH</v>
      </c>
      <c r="D32" s="34">
        <f>VLOOKUP($B32,[48]TrtCodes!$B$11:J117,3)</f>
        <v>9</v>
      </c>
      <c r="E32" s="34">
        <f>VLOOKUP($B32,[48]TrtCodes!$B$11:K117,4)</f>
        <v>2</v>
      </c>
      <c r="F32" s="34">
        <f>VLOOKUP($B32,[48]TrtCodes!$B$11:L117,5)</f>
        <v>2</v>
      </c>
      <c r="G32" s="34">
        <f>VLOOKUP($B32,[48]TrtCodes!$B$11:M117,6)</f>
        <v>2</v>
      </c>
      <c r="H32" s="34">
        <f>VLOOKUP($B32,[48]TrtCodes!$B$11:N117,7)</f>
        <v>4</v>
      </c>
      <c r="I32" s="34">
        <f>[48]FormattedData!B74</f>
        <v>1</v>
      </c>
      <c r="J32" s="37">
        <f>[48]FormattedData!C74</f>
        <v>13.327</v>
      </c>
      <c r="K32" s="39">
        <f>$J$3+[48]FormattedData!D74*$J$4+$M$4*$J$5+[48]FormattedData!D74^2*$J$6+$M$5*$J$7</f>
        <v>50.54086618292385</v>
      </c>
      <c r="L32" s="39">
        <f>$J$3+[48]FormattedData!E74*$J$4+$M$4*$J$5+[48]FormattedData!E74^2*$J$6+$M$5*$J$7</f>
        <v>52.985953239058993</v>
      </c>
      <c r="M32" s="39">
        <f>$J$3+[48]FormattedData!F74*$J$4+$M$4*$J$5+[48]FormattedData!F74^2*$J$6+$M$5*$J$7</f>
        <v>52.551760991394474</v>
      </c>
      <c r="N32" s="39">
        <f>$J$3+[48]FormattedData!G74*$J$4+$M$4*$J$5+[48]FormattedData!G74^2*$J$6+$M$5*$J$7</f>
        <v>52.464795736247773</v>
      </c>
      <c r="O32" s="39">
        <f>$J$3+[48]FormattedData!H74*$J$4+$M$4*$J$5+[48]FormattedData!H74^2*$J$6+$M$5*$J$7</f>
        <v>52.464795736247773</v>
      </c>
      <c r="P32" s="39">
        <f>$J$3+[48]FormattedData!I74*$J$4+$M$4*$J$5+[48]FormattedData!I74^2*$J$6+$M$5*$J$7</f>
        <v>52.290738420340588</v>
      </c>
      <c r="Q32" s="39">
        <f>$J$3+[48]FormattedData!J74*$J$4+$M$4*$J$5+[48]FormattedData!J74^2*$J$6+$M$5*$J$7</f>
        <v>53.851167594043197</v>
      </c>
      <c r="R32" s="39">
        <f>$J$3+[48]FormattedData!K74*$J$4+$M$4*$J$5+[48]FormattedData!K74^2*$J$6+$M$5*$J$7</f>
        <v>52.029335432445322</v>
      </c>
      <c r="S32" s="39">
        <f>$J$3+[48]FormattedData!L74*$J$4+$M$4*$J$5+[48]FormattedData!L74^2*$J$6+$M$5*$J$7</f>
        <v>53.505589074504698</v>
      </c>
      <c r="T32" s="39">
        <f>$J$3+[48]FormattedData!M74*$J$4+$M$4*$J$5+[48]FormattedData!M74^2*$J$6+$M$5*$J$7</f>
        <v>51.242843967711245</v>
      </c>
      <c r="U32" s="39">
        <f>$J$3+[48]FormattedData!N74*$J$4+$M$4*$J$5+[48]FormattedData!N74^2*$J$6+$M$5*$J$7</f>
        <v>53.678462871349808</v>
      </c>
      <c r="V32" s="39">
        <f>$J$3+[48]FormattedData!O74*$J$4+$M$4*$J$5+[48]FormattedData!O74^2*$J$6+$M$5*$J$7</f>
        <v>52.116512030281676</v>
      </c>
      <c r="W32" s="38">
        <f>AVERAGE(K32:V32)</f>
        <v>52.476901773045789</v>
      </c>
      <c r="X32" s="37">
        <f>STDEV(K32:V32)/SQRT(COUNT(K32:V32))</f>
        <v>0.27922470120504783</v>
      </c>
      <c r="Y32" s="36">
        <f>MIN(K32:V32)</f>
        <v>50.54086618292385</v>
      </c>
      <c r="Z32" s="35">
        <f>QUARTILE(K32:V32,1)</f>
        <v>52.094717880822586</v>
      </c>
      <c r="AA32" s="36">
        <f>MEDIAN(K32:V32)</f>
        <v>52.464795736247773</v>
      </c>
      <c r="AB32" s="35">
        <f>QUARTILE(K32:V32,3)</f>
        <v>53.115862197920421</v>
      </c>
      <c r="AC32" s="35">
        <f>MAX(K32:V32)</f>
        <v>53.851167594043197</v>
      </c>
      <c r="AD32" s="35">
        <f>SKEW(K32:V32)</f>
        <v>-0.44938473665120809</v>
      </c>
      <c r="AE32" s="35">
        <f>KURT(K32:V32)</f>
        <v>0.15472236243232018</v>
      </c>
    </row>
    <row r="33" spans="2:31" x14ac:dyDescent="0.2">
      <c r="B33" s="34">
        <f>[48]FormattedData!A76</f>
        <v>308</v>
      </c>
      <c r="C33" s="34" t="str">
        <f>VLOOKUP($B33,[48]TrtCodes!$B$11:I119,2)</f>
        <v>FDH</v>
      </c>
      <c r="D33" s="34">
        <f>VLOOKUP($B33,[48]TrtCodes!$B$11:J119,3)</f>
        <v>5</v>
      </c>
      <c r="E33" s="34">
        <f>VLOOKUP($B33,[48]TrtCodes!$B$11:K119,4)</f>
        <v>1</v>
      </c>
      <c r="F33" s="34">
        <f>VLOOKUP($B33,[48]TrtCodes!$B$11:L119,5)</f>
        <v>3</v>
      </c>
      <c r="G33" s="34">
        <f>VLOOKUP($B33,[48]TrtCodes!$B$11:M119,6)</f>
        <v>2</v>
      </c>
      <c r="H33" s="34">
        <f>VLOOKUP($B33,[48]TrtCodes!$B$11:N119,7)</f>
        <v>4</v>
      </c>
      <c r="I33" s="34">
        <f>[48]FormattedData!B76</f>
        <v>1</v>
      </c>
      <c r="J33" s="37">
        <f>[48]FormattedData!C76</f>
        <v>13.332000000000001</v>
      </c>
      <c r="K33" s="39">
        <f>$J$3+[48]FormattedData!D76*$J$4+$M$4*$J$5+[48]FormattedData!D76^2*$J$6+$M$5*$J$7</f>
        <v>51.417915728528776</v>
      </c>
      <c r="L33" s="39">
        <f>$J$3+[48]FormattedData!E76*$J$4+$M$4*$J$5+[48]FormattedData!E76^2*$J$6+$M$5*$J$7</f>
        <v>51.6802063557206</v>
      </c>
      <c r="M33" s="39">
        <f>$J$3+[48]FormattedData!F76*$J$4+$M$4*$J$5+[48]FormattedData!F76^2*$J$6+$M$5*$J$7</f>
        <v>52.029335432445322</v>
      </c>
      <c r="N33" s="39">
        <f>$J$3+[48]FormattedData!G76*$J$4+$M$4*$J$5+[48]FormattedData!G76^2*$J$6+$M$5*$J$7</f>
        <v>52.638683978003243</v>
      </c>
      <c r="O33" s="39">
        <f>$J$3+[48]FormattedData!H76*$J$4+$M$4*$J$5+[48]FormattedData!H76^2*$J$6+$M$5*$J$7</f>
        <v>52.464795736247773</v>
      </c>
      <c r="P33" s="39">
        <f>$J$3+[48]FormattedData!I76*$J$4+$M$4*$J$5+[48]FormattedData!I76^2*$J$6+$M$5*$J$7</f>
        <v>51.942116566071036</v>
      </c>
      <c r="Q33" s="39">
        <f>$J$3+[48]FormattedData!J76*$J$4+$M$4*$J$5+[48]FormattedData!J76^2*$J$6+$M$5*$J$7</f>
        <v>52.899199326601959</v>
      </c>
      <c r="R33" s="39">
        <f>$J$3+[48]FormattedData!K76*$J$4+$M$4*$J$5+[48]FormattedData!K76^2*$J$6+$M$5*$J$7</f>
        <v>51.767552027708682</v>
      </c>
      <c r="S33" s="39">
        <f>$J$3+[48]FormattedData!L76*$J$4+$M$4*$J$5+[48]FormattedData!L76^2*$J$6+$M$5*$J$7</f>
        <v>53.592047107196208</v>
      </c>
      <c r="T33" s="39">
        <f>$J$3+[48]FormattedData!M76*$J$4+$M$4*$J$5+[48]FormattedData!M76^2*$J$6+$M$5*$J$7</f>
        <v>51.6802063557206</v>
      </c>
      <c r="U33" s="39">
        <f>$J$3+[48]FormattedData!N76*$J$4+$M$4*$J$5+[48]FormattedData!N76^2*$J$6+$M$5*$J$7</f>
        <v>51.854855431158818</v>
      </c>
      <c r="V33" s="39">
        <f>$J$3+[48]FormattedData!O76*$J$4+$M$4*$J$5+[48]FormattedData!O76^2*$J$6+$M$5*$J$7</f>
        <v>51.505388206130654</v>
      </c>
      <c r="W33" s="38">
        <f>AVERAGE(K33:V33)</f>
        <v>52.12269185429448</v>
      </c>
      <c r="X33" s="37">
        <f>STDEV(K33:V33)/SQRT(COUNT(K33:V33))</f>
        <v>0.18776587549677382</v>
      </c>
      <c r="Y33" s="36">
        <f>MIN(K33:V33)</f>
        <v>51.417915728528776</v>
      </c>
      <c r="Z33" s="35">
        <f>QUARTILE(K33:V33,1)</f>
        <v>51.6802063557206</v>
      </c>
      <c r="AA33" s="36">
        <f>MEDIAN(K33:V33)</f>
        <v>51.89848599861493</v>
      </c>
      <c r="AB33" s="35">
        <f>QUARTILE(K33:V33,3)</f>
        <v>52.508267796686638</v>
      </c>
      <c r="AC33" s="35">
        <f>MAX(K33:V33)</f>
        <v>53.592047107196208</v>
      </c>
      <c r="AD33" s="35">
        <f>SKEW(K33:V33)</f>
        <v>1.184807436096555</v>
      </c>
      <c r="AE33" s="35">
        <f>KURT(K33:V33)</f>
        <v>0.89689782727965728</v>
      </c>
    </row>
    <row r="34" spans="2:31" x14ac:dyDescent="0.2">
      <c r="B34" s="34">
        <f>[48]FormattedData!A92</f>
        <v>401</v>
      </c>
      <c r="C34" s="34" t="str">
        <f>VLOOKUP($B34,[48]TrtCodes!$B$11:I129,2)</f>
        <v>NSH</v>
      </c>
      <c r="D34" s="34">
        <f>VLOOKUP($B34,[48]TrtCodes!$B$11:J129,3)</f>
        <v>7</v>
      </c>
      <c r="E34" s="34">
        <f>VLOOKUP($B34,[48]TrtCodes!$B$11:K129,4)</f>
        <v>2</v>
      </c>
      <c r="F34" s="34">
        <f>VLOOKUP($B34,[48]TrtCodes!$B$11:L129,5)</f>
        <v>1</v>
      </c>
      <c r="G34" s="34">
        <f>VLOOKUP($B34,[48]TrtCodes!$B$11:M129,6)</f>
        <v>2</v>
      </c>
      <c r="H34" s="34">
        <f>VLOOKUP($B34,[48]TrtCodes!$B$11:N129,7)</f>
        <v>3</v>
      </c>
      <c r="I34" s="34">
        <f>[48]FormattedData!B92</f>
        <v>1</v>
      </c>
      <c r="J34" s="37">
        <f>[48]FormattedData!C92</f>
        <v>13.398999999999999</v>
      </c>
      <c r="K34" s="39">
        <f>$J$3+[48]FormattedData!D92*$J$4+$M$4*$J$5+[48]FormattedData!D92^2*$J$6+$M$5*$J$7</f>
        <v>50.979919312450455</v>
      </c>
      <c r="L34" s="39">
        <f>$J$3+[48]FormattedData!E92*$J$4+$M$4*$J$5+[48]FormattedData!E92^2*$J$6+$M$5*$J$7</f>
        <v>52.725564696074073</v>
      </c>
      <c r="M34" s="39">
        <f>$J$3+[48]FormattedData!F92*$J$4+$M$4*$J$5+[48]FormattedData!F92^2*$J$6+$M$5*$J$7</f>
        <v>51.942116566071036</v>
      </c>
      <c r="N34" s="39">
        <f>$J$3+[48]FormattedData!G92*$J$4+$M$4*$J$5+[48]FormattedData!G92^2*$J$6+$M$5*$J$7</f>
        <v>51.942116566071036</v>
      </c>
      <c r="O34" s="39">
        <f>$J$3+[48]FormattedData!H92*$J$4+$M$4*$J$5+[48]FormattedData!H92^2*$J$6+$M$5*$J$7</f>
        <v>52.290738420340588</v>
      </c>
      <c r="P34" s="39">
        <f>$J$3+[48]FormattedData!I92*$J$4+$M$4*$J$5+[48]FormattedData!I92^2*$J$6+$M$5*$J$7</f>
        <v>51.505388206130654</v>
      </c>
      <c r="Q34" s="39">
        <f>$J$3+[48]FormattedData!J92*$J$4+$M$4*$J$5+[48]FormattedData!J92^2*$J$6+$M$5*$J$7</f>
        <v>53.937456552583001</v>
      </c>
      <c r="R34" s="39">
        <f>$J$3+[48]FormattedData!K92*$J$4+$M$4*$J$5+[48]FormattedData!K92^2*$J$6+$M$5*$J$7</f>
        <v>51.592818415194586</v>
      </c>
      <c r="S34" s="39">
        <f>$J$3+[48]FormattedData!L92*$J$4+$M$4*$J$5+[48]FormattedData!L92^2*$J$6+$M$5*$J$7</f>
        <v>52.985953239058993</v>
      </c>
      <c r="T34" s="39">
        <f>$J$3+[48]FormattedData!M92*$J$4+$M$4*$J$5+[48]FormattedData!M92^2*$J$6+$M$5*$J$7</f>
        <v>51.6802063557206</v>
      </c>
      <c r="U34" s="39">
        <f>$J$3+[48]FormattedData!N92*$J$4+$M$4*$J$5+[48]FormattedData!N92^2*$J$6+$M$5*$J$7</f>
        <v>51.767552027708682</v>
      </c>
      <c r="V34" s="39">
        <f>$J$3+[48]FormattedData!O92*$J$4+$M$4*$J$5+[48]FormattedData!O92^2*$J$6+$M$5*$J$7</f>
        <v>51.155244684495578</v>
      </c>
      <c r="W34" s="38">
        <f>AVERAGE(K34:V34)</f>
        <v>52.042089586824936</v>
      </c>
      <c r="X34" s="37">
        <f>STDEV(K34:V34)/SQRT(COUNT(K34:V34))</f>
        <v>0.24063002974820791</v>
      </c>
      <c r="Y34" s="36">
        <f>MIN(K34:V34)</f>
        <v>50.979919312450455</v>
      </c>
      <c r="Z34" s="35">
        <f>QUARTILE(K34:V34,1)</f>
        <v>51.570960862928601</v>
      </c>
      <c r="AA34" s="36">
        <f>MEDIAN(K34:V34)</f>
        <v>51.854834296889862</v>
      </c>
      <c r="AB34" s="35">
        <f>QUARTILE(K34:V34,3)</f>
        <v>52.39944498927396</v>
      </c>
      <c r="AC34" s="35">
        <f>MAX(K34:V34)</f>
        <v>53.937456552583001</v>
      </c>
      <c r="AD34" s="35">
        <f>SKEW(K34:V34)</f>
        <v>1.0873972613372616</v>
      </c>
      <c r="AE34" s="35">
        <f>KURT(K34:V34)</f>
        <v>1.1755191383143542</v>
      </c>
    </row>
    <row r="35" spans="2:31" x14ac:dyDescent="0.2">
      <c r="B35" s="34">
        <f>[48]FormattedData!A90</f>
        <v>402</v>
      </c>
      <c r="C35" s="34" t="str">
        <f>VLOOKUP($B35,[48]TrtCodes!$B$11:I130,2)</f>
        <v>NTH</v>
      </c>
      <c r="D35" s="34">
        <f>VLOOKUP($B35,[48]TrtCodes!$B$11:J130,3)</f>
        <v>9</v>
      </c>
      <c r="E35" s="34">
        <f>VLOOKUP($B35,[48]TrtCodes!$B$11:K130,4)</f>
        <v>2</v>
      </c>
      <c r="F35" s="34">
        <f>VLOOKUP($B35,[48]TrtCodes!$B$11:L130,5)</f>
        <v>2</v>
      </c>
      <c r="G35" s="34">
        <f>VLOOKUP($B35,[48]TrtCodes!$B$11:M130,6)</f>
        <v>2</v>
      </c>
      <c r="H35" s="34">
        <f>VLOOKUP($B35,[48]TrtCodes!$B$11:N130,7)</f>
        <v>3</v>
      </c>
      <c r="I35" s="34">
        <f>[48]FormattedData!B90</f>
        <v>1</v>
      </c>
      <c r="J35" s="37">
        <f>[48]FormattedData!C90</f>
        <v>13.391999999999999</v>
      </c>
      <c r="K35" s="39">
        <f>$J$3+[48]FormattedData!D90*$J$4+$M$4*$J$5+[48]FormattedData!D90^2*$J$6+$M$5*$J$7</f>
        <v>51.505388206130654</v>
      </c>
      <c r="L35" s="39">
        <f>$J$3+[48]FormattedData!E90*$J$4+$M$4*$J$5+[48]FormattedData!E90^2*$J$6+$M$5*$J$7</f>
        <v>52.116512030281676</v>
      </c>
      <c r="M35" s="39">
        <f>$J$3+[48]FormattedData!F90*$J$4+$M$4*$J$5+[48]FormattedData!F90^2*$J$6+$M$5*$J$7</f>
        <v>52.725564696074073</v>
      </c>
      <c r="N35" s="39">
        <f>$J$3+[48]FormattedData!G90*$J$4+$M$4*$J$5+[48]FormattedData!G90^2*$J$6+$M$5*$J$7</f>
        <v>51.067603132741986</v>
      </c>
      <c r="O35" s="39">
        <f>$J$3+[48]FormattedData!H90*$J$4+$M$4*$J$5+[48]FormattedData!H90^2*$J$6+$M$5*$J$7</f>
        <v>52.290738420340588</v>
      </c>
      <c r="P35" s="39">
        <f>$J$3+[48]FormattedData!I90*$J$4+$M$4*$J$5+[48]FormattedData!I90^2*$J$6+$M$5*$J$7</f>
        <v>49.924416522993511</v>
      </c>
      <c r="Q35" s="39">
        <f>$J$3+[48]FormattedData!J90*$J$4+$M$4*$J$5+[48]FormattedData!J90^2*$J$6+$M$5*$J$7</f>
        <v>50.804424866253612</v>
      </c>
      <c r="R35" s="39">
        <f>$J$3+[48]FormattedData!K90*$J$4+$M$4*$J$5+[48]FormattedData!K90^2*$J$6+$M$5*$J$7</f>
        <v>50.54086618292385</v>
      </c>
      <c r="S35" s="39">
        <f>$J$3+[48]FormattedData!L90*$J$4+$M$4*$J$5+[48]FormattedData!L90^2*$J$6+$M$5*$J$7</f>
        <v>51.242843967711245</v>
      </c>
      <c r="T35" s="39">
        <f>$J$3+[48]FormattedData!M90*$J$4+$M$4*$J$5+[48]FormattedData!M90^2*$J$6+$M$5*$J$7</f>
        <v>49.836183211708871</v>
      </c>
      <c r="U35" s="39">
        <f>$J$3+[48]FormattedData!N90*$J$4+$M$4*$J$5+[48]FormattedData!N90^2*$J$6+$M$5*$J$7</f>
        <v>51.417915728528776</v>
      </c>
      <c r="V35" s="39">
        <f>$J$3+[48]FormattedData!O90*$J$4+$M$4*$J$5+[48]FormattedData!O90^2*$J$6+$M$5*$J$7</f>
        <v>50.54086618292385</v>
      </c>
      <c r="W35" s="38">
        <f>AVERAGE(K35:V35)</f>
        <v>51.167776929051058</v>
      </c>
      <c r="X35" s="37">
        <f>STDEV(K35:V35)/SQRT(COUNT(K35:V35))</f>
        <v>0.26136602091969346</v>
      </c>
      <c r="Y35" s="36">
        <f>MIN(K35:V35)</f>
        <v>49.836183211708871</v>
      </c>
      <c r="Z35" s="35">
        <f>QUARTILE(K35:V35,1)</f>
        <v>50.54086618292385</v>
      </c>
      <c r="AA35" s="36">
        <f>MEDIAN(K35:V35)</f>
        <v>51.155223550226616</v>
      </c>
      <c r="AB35" s="35">
        <f>QUARTILE(K35:V35,3)</f>
        <v>51.658169162168406</v>
      </c>
      <c r="AC35" s="35">
        <f>MAX(K35:V35)</f>
        <v>52.725564696074073</v>
      </c>
      <c r="AD35" s="35">
        <f>SKEW(K35:V35)</f>
        <v>0.18812139606819164</v>
      </c>
      <c r="AE35" s="35">
        <f>KURT(K35:V35)</f>
        <v>-0.71134578467137155</v>
      </c>
    </row>
    <row r="36" spans="2:31" x14ac:dyDescent="0.2">
      <c r="B36" s="34">
        <f>[48]FormattedData!A88</f>
        <v>403</v>
      </c>
      <c r="C36" s="34" t="str">
        <f>VLOOKUP($B36,[48]TrtCodes!$B$11:I131,2)</f>
        <v>FDL</v>
      </c>
      <c r="D36" s="34">
        <f>VLOOKUP($B36,[48]TrtCodes!$B$11:J131,3)</f>
        <v>6</v>
      </c>
      <c r="E36" s="34">
        <f>VLOOKUP($B36,[48]TrtCodes!$B$11:K131,4)</f>
        <v>1</v>
      </c>
      <c r="F36" s="34">
        <f>VLOOKUP($B36,[48]TrtCodes!$B$11:L131,5)</f>
        <v>3</v>
      </c>
      <c r="G36" s="34">
        <f>VLOOKUP($B36,[48]TrtCodes!$B$11:M131,6)</f>
        <v>1</v>
      </c>
      <c r="H36" s="34">
        <f>VLOOKUP($B36,[48]TrtCodes!$B$11:N131,7)</f>
        <v>3</v>
      </c>
      <c r="I36" s="34">
        <f>[48]FormattedData!B88</f>
        <v>1</v>
      </c>
      <c r="J36" s="37">
        <f>[48]FormattedData!C88</f>
        <v>13.384</v>
      </c>
      <c r="K36" s="39">
        <f>$J$3+[48]FormattedData!D88*$J$4+$M$4*$J$5+[48]FormattedData!D88^2*$J$6+$M$5*$J$7</f>
        <v>50.716614240348285</v>
      </c>
      <c r="L36" s="39">
        <f>$J$3+[48]FormattedData!E88*$J$4+$M$4*$J$5+[48]FormattedData!E88^2*$J$6+$M$5*$J$7</f>
        <v>50.452928751404741</v>
      </c>
      <c r="M36" s="39">
        <f>$J$3+[48]FormattedData!F88*$J$4+$M$4*$J$5+[48]FormattedData!F88^2*$J$6+$M$5*$J$7</f>
        <v>52.638683978003243</v>
      </c>
      <c r="N36" s="39">
        <f>$J$3+[48]FormattedData!G88*$J$4+$M$4*$J$5+[48]FormattedData!G88^2*$J$6+$M$5*$J$7</f>
        <v>51.6802063557206</v>
      </c>
      <c r="O36" s="39">
        <f>$J$3+[48]FormattedData!H88*$J$4+$M$4*$J$5+[48]FormattedData!H88^2*$J$6+$M$5*$J$7</f>
        <v>51.592818415194586</v>
      </c>
      <c r="P36" s="39">
        <f>$J$3+[48]FormattedData!I88*$J$4+$M$4*$J$5+[48]FormattedData!I88^2*$J$6+$M$5*$J$7</f>
        <v>51.330400982388973</v>
      </c>
      <c r="Q36" s="39">
        <f>$J$3+[48]FormattedData!J88*$J$4+$M$4*$J$5+[48]FormattedData!J88^2*$J$6+$M$5*$J$7</f>
        <v>51.942116566071036</v>
      </c>
      <c r="R36" s="39">
        <f>$J$3+[48]FormattedData!K88*$J$4+$M$4*$J$5+[48]FormattedData!K88^2*$J$6+$M$5*$J$7</f>
        <v>52.203646359580105</v>
      </c>
      <c r="S36" s="39">
        <f>$J$3+[48]FormattedData!L88*$J$4+$M$4*$J$5+[48]FormattedData!L88^2*$J$6+$M$5*$J$7</f>
        <v>51.505388206130654</v>
      </c>
      <c r="T36" s="39">
        <f>$J$3+[48]FormattedData!M88*$J$4+$M$4*$J$5+[48]FormattedData!M88^2*$J$6+$M$5*$J$7</f>
        <v>52.029335432445322</v>
      </c>
      <c r="U36" s="39">
        <f>$J$3+[48]FormattedData!N88*$J$4+$M$4*$J$5+[48]FormattedData!N88^2*$J$6+$M$5*$J$7</f>
        <v>50.804424866253612</v>
      </c>
      <c r="V36" s="39">
        <f>$J$3+[48]FormattedData!O88*$J$4+$M$4*$J$5+[48]FormattedData!O88^2*$J$6+$M$5*$J$7</f>
        <v>52.812403145606979</v>
      </c>
      <c r="W36" s="38">
        <f>AVERAGE(K36:V36)</f>
        <v>51.64241394159567</v>
      </c>
      <c r="X36" s="37">
        <f>STDEV(K36:V36)/SQRT(COUNT(K36:V36))</f>
        <v>0.21338119201121797</v>
      </c>
      <c r="Y36" s="36">
        <f>MIN(K36:V36)</f>
        <v>50.452928751404741</v>
      </c>
      <c r="Z36" s="35">
        <f>QUARTILE(K36:V36,1)</f>
        <v>51.198906953355134</v>
      </c>
      <c r="AA36" s="36">
        <f>MEDIAN(K36:V36)</f>
        <v>51.636512385457593</v>
      </c>
      <c r="AB36" s="35">
        <f>QUARTILE(K36:V36,3)</f>
        <v>52.072913164229021</v>
      </c>
      <c r="AC36" s="35">
        <f>MAX(K36:V36)</f>
        <v>52.812403145606979</v>
      </c>
      <c r="AD36" s="35">
        <f>SKEW(K36:V36)</f>
        <v>-6.6423996942576849E-2</v>
      </c>
      <c r="AE36" s="35">
        <f>KURT(K36:V36)</f>
        <v>-0.7458740956745431</v>
      </c>
    </row>
    <row r="37" spans="2:31" x14ac:dyDescent="0.2">
      <c r="B37" s="34">
        <f>[48]FormattedData!A86</f>
        <v>404</v>
      </c>
      <c r="C37" s="34" t="str">
        <f>VLOOKUP($B37,[48]TrtCodes!$B$11:I129,2)</f>
        <v>FTH</v>
      </c>
      <c r="D37" s="34">
        <f>VLOOKUP($B37,[48]TrtCodes!$B$11:J129,3)</f>
        <v>3</v>
      </c>
      <c r="E37" s="34">
        <f>VLOOKUP($B37,[48]TrtCodes!$B$11:K129,4)</f>
        <v>1</v>
      </c>
      <c r="F37" s="34">
        <f>VLOOKUP($B37,[48]TrtCodes!$B$11:L129,5)</f>
        <v>2</v>
      </c>
      <c r="G37" s="34">
        <f>VLOOKUP($B37,[48]TrtCodes!$B$11:M129,6)</f>
        <v>2</v>
      </c>
      <c r="H37" s="34">
        <f>VLOOKUP($B37,[48]TrtCodes!$B$11:N129,7)</f>
        <v>3</v>
      </c>
      <c r="I37" s="34">
        <f>[48]FormattedData!B86</f>
        <v>1</v>
      </c>
      <c r="J37" s="37">
        <f>[48]FormattedData!C86</f>
        <v>13.375999999999999</v>
      </c>
      <c r="K37" s="39">
        <f>$J$3+[48]FormattedData!D86*$J$4+$M$4*$J$5+[48]FormattedData!D86^2*$J$6+$M$5*$J$7</f>
        <v>50.979919312450455</v>
      </c>
      <c r="L37" s="39">
        <f>$J$3+[48]FormattedData!E86*$J$4+$M$4*$J$5+[48]FormattedData!E86^2*$J$6+$M$5*$J$7</f>
        <v>51.417915728528776</v>
      </c>
      <c r="M37" s="39">
        <f>$J$3+[48]FormattedData!F86*$J$4+$M$4*$J$5+[48]FormattedData!F86^2*$J$6+$M$5*$J$7</f>
        <v>52.638683978003243</v>
      </c>
      <c r="N37" s="39">
        <f>$J$3+[48]FormattedData!G86*$J$4+$M$4*$J$5+[48]FormattedData!G86^2*$J$6+$M$5*$J$7</f>
        <v>51.330400982388973</v>
      </c>
      <c r="O37" s="39">
        <f>$J$3+[48]FormattedData!H86*$J$4+$M$4*$J$5+[48]FormattedData!H86^2*$J$6+$M$5*$J$7</f>
        <v>51.942116566071036</v>
      </c>
      <c r="P37" s="39">
        <f>$J$3+[48]FormattedData!I86*$J$4+$M$4*$J$5+[48]FormattedData!I86^2*$J$6+$M$5*$J$7</f>
        <v>52.377788212563146</v>
      </c>
      <c r="Q37" s="39">
        <f>$J$3+[48]FormattedData!J86*$J$4+$M$4*$J$5+[48]FormattedData!J86^2*$J$6+$M$5*$J$7</f>
        <v>53.332546203507853</v>
      </c>
      <c r="R37" s="39">
        <f>$J$3+[48]FormattedData!K86*$J$4+$M$4*$J$5+[48]FormattedData!K86^2*$J$6+$M$5*$J$7</f>
        <v>51.592818415194586</v>
      </c>
      <c r="S37" s="39">
        <f>$J$3+[48]FormattedData!L86*$J$4+$M$4*$J$5+[48]FormattedData!L86^2*$J$6+$M$5*$J$7</f>
        <v>52.551760991394474</v>
      </c>
      <c r="T37" s="39">
        <f>$J$3+[48]FormattedData!M86*$J$4+$M$4*$J$5+[48]FormattedData!M86^2*$J$6+$M$5*$J$7</f>
        <v>50.892193223621</v>
      </c>
      <c r="U37" s="39">
        <f>$J$3+[48]FormattedData!N86*$J$4+$M$4*$J$5+[48]FormattedData!N86^2*$J$6+$M$5*$J$7</f>
        <v>53.07266488297811</v>
      </c>
      <c r="V37" s="39">
        <f>$J$3+[48]FormattedData!O86*$J$4+$M$4*$J$5+[48]FormattedData!O86^2*$J$6+$M$5*$J$7</f>
        <v>53.07266488297811</v>
      </c>
      <c r="W37" s="38">
        <f>AVERAGE(K37:V37)</f>
        <v>52.100122781639975</v>
      </c>
      <c r="X37" s="37">
        <f>STDEV(K37:V37)/SQRT(COUNT(K37:V37))</f>
        <v>0.24673348583461388</v>
      </c>
      <c r="Y37" s="36">
        <f>MIN(K37:V37)</f>
        <v>50.892193223621</v>
      </c>
      <c r="Z37" s="35">
        <f>QUARTILE(K37:V37,1)</f>
        <v>51.396037041993822</v>
      </c>
      <c r="AA37" s="36">
        <f>MEDIAN(K37:V37)</f>
        <v>52.159952389317091</v>
      </c>
      <c r="AB37" s="35">
        <f>QUARTILE(K37:V37,3)</f>
        <v>52.747179204246962</v>
      </c>
      <c r="AC37" s="35">
        <f>MAX(K37:V37)</f>
        <v>53.332546203507853</v>
      </c>
      <c r="AD37" s="35">
        <f>SKEW(K37:V37)</f>
        <v>-1.6573388579700869E-2</v>
      </c>
      <c r="AE37" s="35">
        <f>KURT(K37:V37)</f>
        <v>-1.5040911887234669</v>
      </c>
    </row>
    <row r="38" spans="2:31" x14ac:dyDescent="0.2">
      <c r="B38" s="34">
        <f>[48]FormattedData!A84</f>
        <v>405</v>
      </c>
      <c r="C38" s="34" t="str">
        <f>VLOOKUP($B38,[48]TrtCodes!$B$11:I127,2)</f>
        <v>FDL</v>
      </c>
      <c r="D38" s="34">
        <f>VLOOKUP($B38,[48]TrtCodes!$B$11:J127,3)</f>
        <v>6</v>
      </c>
      <c r="E38" s="34">
        <f>VLOOKUP($B38,[48]TrtCodes!$B$11:K127,4)</f>
        <v>1</v>
      </c>
      <c r="F38" s="34">
        <f>VLOOKUP($B38,[48]TrtCodes!$B$11:L127,5)</f>
        <v>3</v>
      </c>
      <c r="G38" s="34">
        <f>VLOOKUP($B38,[48]TrtCodes!$B$11:M127,6)</f>
        <v>1</v>
      </c>
      <c r="H38" s="34">
        <f>VLOOKUP($B38,[48]TrtCodes!$B$11:N127,7)</f>
        <v>4</v>
      </c>
      <c r="I38" s="34">
        <f>[48]FormattedData!B84</f>
        <v>1</v>
      </c>
      <c r="J38" s="37">
        <f>[48]FormattedData!C84</f>
        <v>13.368</v>
      </c>
      <c r="K38" s="39">
        <f>$J$3+[48]FormattedData!D84*$J$4+$M$4*$J$5+[48]FormattedData!D84^2*$J$6+$M$5*$J$7</f>
        <v>50.100756339948973</v>
      </c>
      <c r="L38" s="39">
        <f>$J$3+[48]FormattedData!E84*$J$4+$M$4*$J$5+[48]FormattedData!E84^2*$J$6+$M$5*$J$7</f>
        <v>51.417915728528776</v>
      </c>
      <c r="M38" s="39">
        <f>$J$3+[48]FormattedData!F84*$J$4+$M$4*$J$5+[48]FormattedData!F84^2*$J$6+$M$5*$J$7</f>
        <v>53.15933425835928</v>
      </c>
      <c r="N38" s="39">
        <f>$J$3+[48]FormattedData!G84*$J$4+$M$4*$J$5+[48]FormattedData!G84^2*$J$6+$M$5*$J$7</f>
        <v>52.029335432445322</v>
      </c>
      <c r="O38" s="39">
        <f>$J$3+[48]FormattedData!H84*$J$4+$M$4*$J$5+[48]FormattedData!H84^2*$J$6+$M$5*$J$7</f>
        <v>52.203646359580105</v>
      </c>
      <c r="P38" s="39">
        <f>$J$3+[48]FormattedData!I84*$J$4+$M$4*$J$5+[48]FormattedData!I84^2*$J$6+$M$5*$J$7</f>
        <v>51.067603132741986</v>
      </c>
      <c r="Q38" s="39">
        <f>$J$3+[48]FormattedData!J84*$J$4+$M$4*$J$5+[48]FormattedData!J84^2*$J$6+$M$5*$J$7</f>
        <v>51.505388206130654</v>
      </c>
      <c r="R38" s="39">
        <f>$J$3+[48]FormattedData!K84*$J$4+$M$4*$J$5+[48]FormattedData!K84^2*$J$6+$M$5*$J$7</f>
        <v>51.6802063557206</v>
      </c>
      <c r="S38" s="39">
        <f>$J$3+[48]FormattedData!L84*$J$4+$M$4*$J$5+[48]FormattedData!L84^2*$J$6+$M$5*$J$7</f>
        <v>51.417915728528776</v>
      </c>
      <c r="T38" s="39">
        <f>$J$3+[48]FormattedData!M84*$J$4+$M$4*$J$5+[48]FormattedData!M84^2*$J$6+$M$5*$J$7</f>
        <v>51.6802063557206</v>
      </c>
      <c r="U38" s="39">
        <f>$J$3+[48]FormattedData!N84*$J$4+$M$4*$J$5+[48]FormattedData!N84^2*$J$6+$M$5*$J$7</f>
        <v>51.330400982388973</v>
      </c>
      <c r="V38" s="39">
        <f>$J$3+[48]FormattedData!O84*$J$4+$M$4*$J$5+[48]FormattedData!O84^2*$J$6+$M$5*$J$7</f>
        <v>51.505388206130654</v>
      </c>
      <c r="W38" s="38">
        <f>AVERAGE(K38:V38)</f>
        <v>51.591508090518722</v>
      </c>
      <c r="X38" s="37">
        <f>STDEV(K38:V38)/SQRT(COUNT(K38:V38))</f>
        <v>0.20744323233399953</v>
      </c>
      <c r="Y38" s="36">
        <f>MIN(K38:V38)</f>
        <v>50.100756339948973</v>
      </c>
      <c r="Z38" s="35">
        <f>QUARTILE(K38:V38,1)</f>
        <v>51.396037041993822</v>
      </c>
      <c r="AA38" s="36">
        <f>MEDIAN(K38:V38)</f>
        <v>51.505388206130654</v>
      </c>
      <c r="AB38" s="35">
        <f>QUARTILE(K38:V38,3)</f>
        <v>51.76748862490178</v>
      </c>
      <c r="AC38" s="35">
        <f>MAX(K38:V38)</f>
        <v>53.15933425835928</v>
      </c>
      <c r="AD38" s="35">
        <f>SKEW(K38:V38)</f>
        <v>0.20056591245742414</v>
      </c>
      <c r="AE38" s="35">
        <f>KURT(K38:V38)</f>
        <v>2.6087087306685239</v>
      </c>
    </row>
    <row r="39" spans="2:31" x14ac:dyDescent="0.2">
      <c r="B39" s="34">
        <f>[48]FormattedData!A82</f>
        <v>406</v>
      </c>
      <c r="C39" s="34" t="str">
        <f>VLOOKUP($B39,[48]TrtCodes!$B$11:I125,2)</f>
        <v>FTH</v>
      </c>
      <c r="D39" s="34">
        <f>VLOOKUP($B39,[48]TrtCodes!$B$11:J125,3)</f>
        <v>3</v>
      </c>
      <c r="E39" s="34">
        <f>VLOOKUP($B39,[48]TrtCodes!$B$11:K125,4)</f>
        <v>1</v>
      </c>
      <c r="F39" s="34">
        <f>VLOOKUP($B39,[48]TrtCodes!$B$11:L125,5)</f>
        <v>2</v>
      </c>
      <c r="G39" s="34">
        <f>VLOOKUP($B39,[48]TrtCodes!$B$11:M125,6)</f>
        <v>2</v>
      </c>
      <c r="H39" s="34">
        <f>VLOOKUP($B39,[48]TrtCodes!$B$11:N125,7)</f>
        <v>4</v>
      </c>
      <c r="I39" s="34">
        <f>[48]FormattedData!B82</f>
        <v>1</v>
      </c>
      <c r="J39" s="37">
        <f>[48]FormattedData!C82</f>
        <v>13.36</v>
      </c>
      <c r="K39" s="39">
        <f>$J$3+[48]FormattedData!D82*$J$4+$M$4*$J$5+[48]FormattedData!D82^2*$J$6+$M$5*$J$7</f>
        <v>49.571229666627389</v>
      </c>
      <c r="L39" s="39">
        <f>$J$3+[48]FormattedData!E82*$J$4+$M$4*$J$5+[48]FormattedData!E82^2*$J$6+$M$5*$J$7</f>
        <v>50.100756339948973</v>
      </c>
      <c r="M39" s="39">
        <f>$J$3+[48]FormattedData!F82*$J$4+$M$4*$J$5+[48]FormattedData!F82^2*$J$6+$M$5*$J$7</f>
        <v>52.377788212563146</v>
      </c>
      <c r="N39" s="39">
        <f>$J$3+[48]FormattedData!G82*$J$4+$M$4*$J$5+[48]FormattedData!G82^2*$J$6+$M$5*$J$7</f>
        <v>51.330400982388973</v>
      </c>
      <c r="O39" s="39">
        <f>$J$3+[48]FormattedData!H82*$J$4+$M$4*$J$5+[48]FormattedData!H82^2*$J$6+$M$5*$J$7</f>
        <v>52.203646359580105</v>
      </c>
      <c r="P39" s="39">
        <f>$J$3+[48]FormattedData!I82*$J$4+$M$4*$J$5+[48]FormattedData!I82^2*$J$6+$M$5*$J$7</f>
        <v>51.330400982388973</v>
      </c>
      <c r="Q39" s="39">
        <f>$J$3+[48]FormattedData!J82*$J$4+$M$4*$J$5+[48]FormattedData!J82^2*$J$6+$M$5*$J$7</f>
        <v>53.07266488297811</v>
      </c>
      <c r="R39" s="39">
        <f>$J$3+[48]FormattedData!K82*$J$4+$M$4*$J$5+[48]FormattedData!K82^2*$J$6+$M$5*$J$7</f>
        <v>51.155244684495578</v>
      </c>
      <c r="S39" s="39">
        <f>$J$3+[48]FormattedData!L82*$J$4+$M$4*$J$5+[48]FormattedData!L82^2*$J$6+$M$5*$J$7</f>
        <v>50.804424866253612</v>
      </c>
      <c r="T39" s="39">
        <f>$J$3+[48]FormattedData!M82*$J$4+$M$4*$J$5+[48]FormattedData!M82^2*$J$6+$M$5*$J$7</f>
        <v>50.979919312450455</v>
      </c>
      <c r="U39" s="39">
        <f>$J$3+[48]FormattedData!N82*$J$4+$M$4*$J$5+[48]FormattedData!N82^2*$J$6+$M$5*$J$7</f>
        <v>51.505388206130654</v>
      </c>
      <c r="V39" s="39">
        <f>$J$3+[48]FormattedData!O82*$J$4+$M$4*$J$5+[48]FormattedData!O82^2*$J$6+$M$5*$J$7</f>
        <v>53.332546203507853</v>
      </c>
      <c r="W39" s="38">
        <f>AVERAGE(K39:V39)</f>
        <v>51.480367558276157</v>
      </c>
      <c r="X39" s="37">
        <f>STDEV(K39:V39)/SQRT(COUNT(K39:V39))</f>
        <v>0.32217613519314581</v>
      </c>
      <c r="Y39" s="36">
        <f>MIN(K39:V39)</f>
        <v>49.571229666627389</v>
      </c>
      <c r="Z39" s="35">
        <f>QUARTILE(K39:V39,1)</f>
        <v>50.936045700901246</v>
      </c>
      <c r="AA39" s="36">
        <f>MEDIAN(K39:V39)</f>
        <v>51.330400982388973</v>
      </c>
      <c r="AB39" s="35">
        <f>QUARTILE(K39:V39,3)</f>
        <v>52.247181822825866</v>
      </c>
      <c r="AC39" s="35">
        <f>MAX(K39:V39)</f>
        <v>53.332546203507853</v>
      </c>
      <c r="AD39" s="35">
        <f>SKEW(K39:V39)</f>
        <v>0.11243303204120521</v>
      </c>
      <c r="AE39" s="35">
        <f>KURT(K39:V39)</f>
        <v>-0.34539722173455667</v>
      </c>
    </row>
    <row r="40" spans="2:31" x14ac:dyDescent="0.2">
      <c r="B40" s="34">
        <f>[48]FormattedData!A80</f>
        <v>407</v>
      </c>
      <c r="C40" s="34" t="str">
        <f>VLOOKUP($B40,[48]TrtCodes!$B$11:I123,2)</f>
        <v>NSH</v>
      </c>
      <c r="D40" s="34">
        <f>VLOOKUP($B40,[48]TrtCodes!$B$11:J123,3)</f>
        <v>7</v>
      </c>
      <c r="E40" s="34">
        <f>VLOOKUP($B40,[48]TrtCodes!$B$11:K123,4)</f>
        <v>2</v>
      </c>
      <c r="F40" s="34">
        <f>VLOOKUP($B40,[48]TrtCodes!$B$11:L123,5)</f>
        <v>1</v>
      </c>
      <c r="G40" s="34">
        <f>VLOOKUP($B40,[48]TrtCodes!$B$11:M123,6)</f>
        <v>2</v>
      </c>
      <c r="H40" s="34">
        <f>VLOOKUP($B40,[48]TrtCodes!$B$11:N123,7)</f>
        <v>4</v>
      </c>
      <c r="I40" s="34">
        <f>[48]FormattedData!B80</f>
        <v>1</v>
      </c>
      <c r="J40" s="37">
        <f>[48]FormattedData!C80</f>
        <v>13.352</v>
      </c>
      <c r="K40" s="39">
        <f>$J$3+[48]FormattedData!D80*$J$4+$M$4*$J$5+[48]FormattedData!D80^2*$J$6+$M$5*$J$7</f>
        <v>50.452928751404741</v>
      </c>
      <c r="L40" s="39">
        <f>$J$3+[48]FormattedData!E80*$J$4+$M$4*$J$5+[48]FormattedData!E80^2*$J$6+$M$5*$J$7</f>
        <v>53.592047107196208</v>
      </c>
      <c r="M40" s="39">
        <f>$J$3+[48]FormattedData!F80*$J$4+$M$4*$J$5+[48]FormattedData!F80^2*$J$6+$M$5*$J$7</f>
        <v>52.116512030281676</v>
      </c>
      <c r="N40" s="39">
        <f>$J$3+[48]FormattedData!G80*$J$4+$M$4*$J$5+[48]FormattedData!G80^2*$J$6+$M$5*$J$7</f>
        <v>53.15933425835928</v>
      </c>
      <c r="O40" s="39">
        <f>$J$3+[48]FormattedData!H80*$J$4+$M$4*$J$5+[48]FormattedData!H80^2*$J$6+$M$5*$J$7</f>
        <v>53.07266488297811</v>
      </c>
      <c r="P40" s="39">
        <f>$J$3+[48]FormattedData!I80*$J$4+$M$4*$J$5+[48]FormattedData!I80^2*$J$6+$M$5*$J$7</f>
        <v>52.029335432445322</v>
      </c>
      <c r="Q40" s="39">
        <f>$J$3+[48]FormattedData!J80*$J$4+$M$4*$J$5+[48]FormattedData!J80^2*$J$6+$M$5*$J$7</f>
        <v>52.899199326601959</v>
      </c>
      <c r="R40" s="39">
        <f>$J$3+[48]FormattedData!K80*$J$4+$M$4*$J$5+[48]FormattedData!K80^2*$J$6+$M$5*$J$7</f>
        <v>51.6802063557206</v>
      </c>
      <c r="S40" s="39">
        <f>$J$3+[48]FormattedData!L80*$J$4+$M$4*$J$5+[48]FormattedData!L80^2*$J$6+$M$5*$J$7</f>
        <v>53.419088773275234</v>
      </c>
      <c r="T40" s="39">
        <f>$J$3+[48]FormattedData!M80*$J$4+$M$4*$J$5+[48]FormattedData!M80^2*$J$6+$M$5*$J$7</f>
        <v>51.417915728528776</v>
      </c>
      <c r="U40" s="39">
        <f>$J$3+[48]FormattedData!N80*$J$4+$M$4*$J$5+[48]FormattedData!N80^2*$J$6+$M$5*$J$7</f>
        <v>54.196069816974813</v>
      </c>
      <c r="V40" s="39">
        <f>$J$3+[48]FormattedData!O80*$J$4+$M$4*$J$5+[48]FormattedData!O80^2*$J$6+$M$5*$J$7</f>
        <v>52.464795736247773</v>
      </c>
      <c r="W40" s="38">
        <f>AVERAGE(K40:V40)</f>
        <v>52.541674850001208</v>
      </c>
      <c r="X40" s="37">
        <f>STDEV(K40:V40)/SQRT(COUNT(K40:V40))</f>
        <v>0.30424304209727504</v>
      </c>
      <c r="Y40" s="36">
        <f>MIN(K40:V40)</f>
        <v>50.452928751404741</v>
      </c>
      <c r="Z40" s="35">
        <f>QUARTILE(K40:V40,1)</f>
        <v>51.942053163264141</v>
      </c>
      <c r="AA40" s="36">
        <f>MEDIAN(K40:V40)</f>
        <v>52.681997531424869</v>
      </c>
      <c r="AB40" s="35">
        <f>QUARTILE(K40:V40,3)</f>
        <v>53.224272887088269</v>
      </c>
      <c r="AC40" s="35">
        <f>MAX(K40:V40)</f>
        <v>54.196069816974813</v>
      </c>
      <c r="AD40" s="35">
        <f>SKEW(K40:V40)</f>
        <v>-0.4276937471169065</v>
      </c>
      <c r="AE40" s="35">
        <f>KURT(K40:V40)</f>
        <v>-9.6592913982887829E-2</v>
      </c>
    </row>
    <row r="41" spans="2:31" x14ac:dyDescent="0.2">
      <c r="B41" s="34">
        <f>[48]FormattedData!A78</f>
        <v>408</v>
      </c>
      <c r="C41" s="34" t="str">
        <f>VLOOKUP($B41,[48]TrtCodes!$B$11:I121,2)</f>
        <v>NTL</v>
      </c>
      <c r="D41" s="34">
        <f>VLOOKUP($B41,[48]TrtCodes!$B$11:J121,3)</f>
        <v>10</v>
      </c>
      <c r="E41" s="34">
        <f>VLOOKUP($B41,[48]TrtCodes!$B$11:K121,4)</f>
        <v>2</v>
      </c>
      <c r="F41" s="34">
        <f>VLOOKUP($B41,[48]TrtCodes!$B$11:L121,5)</f>
        <v>2</v>
      </c>
      <c r="G41" s="34">
        <f>VLOOKUP($B41,[48]TrtCodes!$B$11:M121,6)</f>
        <v>1</v>
      </c>
      <c r="H41" s="34">
        <f>VLOOKUP($B41,[48]TrtCodes!$B$11:N121,7)</f>
        <v>4</v>
      </c>
      <c r="I41" s="34">
        <f>[48]FormattedData!B78</f>
        <v>1</v>
      </c>
      <c r="J41" s="37">
        <f>[48]FormattedData!C78</f>
        <v>13.343999999999999</v>
      </c>
      <c r="K41" s="39">
        <f>$J$3+[48]FormattedData!D78*$J$4+$M$4*$J$5+[48]FormattedData!D78^2*$J$6+$M$5*$J$7</f>
        <v>49.747907631886306</v>
      </c>
      <c r="L41" s="39">
        <f>$J$3+[48]FormattedData!E78*$J$4+$M$4*$J$5+[48]FormattedData!E78^2*$J$6+$M$5*$J$7</f>
        <v>52.812403145606979</v>
      </c>
      <c r="M41" s="39">
        <f>$J$3+[48]FormattedData!F78*$J$4+$M$4*$J$5+[48]FormattedData!F78^2*$J$6+$M$5*$J$7</f>
        <v>51.330400982388973</v>
      </c>
      <c r="N41" s="39">
        <f>$J$3+[48]FormattedData!G78*$J$4+$M$4*$J$5+[48]FormattedData!G78^2*$J$6+$M$5*$J$7</f>
        <v>52.290738420340588</v>
      </c>
      <c r="O41" s="39">
        <f>$J$3+[48]FormattedData!H78*$J$4+$M$4*$J$5+[48]FormattedData!H78^2*$J$6+$M$5*$J$7</f>
        <v>52.377788212563146</v>
      </c>
      <c r="P41" s="39">
        <f>$J$3+[48]FormattedData!I78*$J$4+$M$4*$J$5+[48]FormattedData!I78^2*$J$6+$M$5*$J$7</f>
        <v>51.417915728528776</v>
      </c>
      <c r="Q41" s="39">
        <f>$J$3+[48]FormattedData!J78*$J$4+$M$4*$J$5+[48]FormattedData!J78^2*$J$6+$M$5*$J$7</f>
        <v>53.592047107196208</v>
      </c>
      <c r="R41" s="39">
        <f>$J$3+[48]FormattedData!K78*$J$4+$M$4*$J$5+[48]FormattedData!K78^2*$J$6+$M$5*$J$7</f>
        <v>50.979919312450455</v>
      </c>
      <c r="S41" s="39">
        <f>$J$3+[48]FormattedData!L78*$J$4+$M$4*$J$5+[48]FormattedData!L78^2*$J$6+$M$5*$J$7</f>
        <v>52.899199326601959</v>
      </c>
      <c r="T41" s="39">
        <f>$J$3+[48]FormattedData!M78*$J$4+$M$4*$J$5+[48]FormattedData!M78^2*$J$6+$M$5*$J$7</f>
        <v>52.203646359580105</v>
      </c>
      <c r="U41" s="39">
        <f>$J$3+[48]FormattedData!N78*$J$4+$M$4*$J$5+[48]FormattedData!N78^2*$J$6+$M$5*$J$7</f>
        <v>52.377788212563146</v>
      </c>
      <c r="V41" s="39">
        <f>$J$3+[48]FormattedData!O78*$J$4+$M$4*$J$5+[48]FormattedData!O78^2*$J$6+$M$5*$J$7</f>
        <v>51.155244684495578</v>
      </c>
      <c r="W41" s="38">
        <f>AVERAGE(K41:V41)</f>
        <v>51.932083260350176</v>
      </c>
      <c r="X41" s="37">
        <f>STDEV(K41:V41)/SQRT(COUNT(K41:V41))</f>
        <v>0.30116629046075105</v>
      </c>
      <c r="Y41" s="36">
        <f>MIN(K41:V41)</f>
        <v>49.747907631886306</v>
      </c>
      <c r="Z41" s="35">
        <f>QUARTILE(K41:V41,1)</f>
        <v>51.286611907915628</v>
      </c>
      <c r="AA41" s="36">
        <f>MEDIAN(K41:V41)</f>
        <v>52.247192389960347</v>
      </c>
      <c r="AB41" s="35">
        <f>QUARTILE(K41:V41,3)</f>
        <v>52.486441945824104</v>
      </c>
      <c r="AC41" s="35">
        <f>MAX(K41:V41)</f>
        <v>53.592047107196208</v>
      </c>
      <c r="AD41" s="35">
        <f>SKEW(K41:V41)</f>
        <v>-0.54777186701077474</v>
      </c>
      <c r="AE41" s="35">
        <f>KURT(K41:V41)</f>
        <v>0.39805608375005441</v>
      </c>
    </row>
    <row r="42" spans="2:31" x14ac:dyDescent="0.2">
      <c r="B42" s="50">
        <f>[48]FormattedData!A60</f>
        <v>901</v>
      </c>
      <c r="C42" s="50" t="str">
        <f>VLOOKUP($B42,[48]TrtCodes!$B$11:I103,2)</f>
        <v>WS</v>
      </c>
      <c r="D42" s="50">
        <f>VLOOKUP($B42,[48]TrtCodes!$B$11:J103,3)</f>
        <v>32</v>
      </c>
      <c r="E42" s="50">
        <f>VLOOKUP($B42,[48]TrtCodes!$B$11:K103,4)</f>
        <v>9</v>
      </c>
      <c r="F42" s="50">
        <f>VLOOKUP($B42,[48]TrtCodes!$B$11:L103,5)</f>
        <v>0</v>
      </c>
      <c r="G42" s="50">
        <f>VLOOKUP($B42,[48]TrtCodes!$B$11:M103,6)</f>
        <v>1</v>
      </c>
      <c r="H42" s="50">
        <f>VLOOKUP($B42,[48]TrtCodes!$B$11:N103,7)</f>
        <v>1</v>
      </c>
      <c r="I42" s="50">
        <f>[48]FormattedData!B60</f>
        <v>1</v>
      </c>
      <c r="J42" s="48">
        <f>[48]FormattedData!C60</f>
        <v>13.282999999999999</v>
      </c>
      <c r="K42" s="47">
        <f>$J$3+[48]FormattedData!D60*$J$4+$M$4*$J$5+[48]FormattedData!D60^2*$J$6+$M$5*$J$7</f>
        <v>34.317566057225285</v>
      </c>
      <c r="L42" s="47">
        <f>$J$3+[48]FormattedData!E60*$J$4+$M$4*$J$5+[48]FormattedData!E60^2*$J$6+$M$5*$J$7</f>
        <v>34.222147094492357</v>
      </c>
      <c r="M42" s="47">
        <f>$J$3+[48]FormattedData!F60*$J$4+$M$4*$J$5+[48]FormattedData!F60^2*$J$6+$M$5*$J$7</f>
        <v>34.412942751420289</v>
      </c>
      <c r="N42" s="47">
        <f>$J$3+[48]FormattedData!G60*$J$4+$M$4*$J$5+[48]FormattedData!G60^2*$J$6+$M$5*$J$7</f>
        <v>34.603569334196479</v>
      </c>
      <c r="O42" s="47">
        <f>$J$3+[48]FormattedData!H60*$J$4+$M$4*$J$5+[48]FormattedData!H60^2*$J$6+$M$5*$J$7</f>
        <v>33.840048558181351</v>
      </c>
      <c r="P42" s="47">
        <f>$J$3+[48]FormattedData!I60*$J$4+$M$4*$J$5+[48]FormattedData!I60^2*$J$6+$M$5*$J$7</f>
        <v>33.553030836299804</v>
      </c>
      <c r="Q42" s="47">
        <f>$J$3+[48]FormattedData!J60*$J$4+$M$4*$J$5+[48]FormattedData!J60^2*$J$6+$M$5*$J$7</f>
        <v>33.361474345689132</v>
      </c>
      <c r="R42" s="47">
        <f>$J$3+[48]FormattedData!K60*$J$4+$M$4*$J$5+[48]FormattedData!K60^2*$J$6+$M$5*$J$7</f>
        <v>33.457273725263434</v>
      </c>
      <c r="S42" s="47">
        <f>$J$3+[48]FormattedData!L60*$J$4+$M$4*$J$5+[48]FormattedData!L60^2*$J$6+$M$5*$J$7</f>
        <v>34.603569334196479</v>
      </c>
      <c r="T42" s="47">
        <f>$J$3+[48]FormattedData!M60*$J$4+$M$4*$J$5+[48]FormattedData!M60^2*$J$6+$M$5*$J$7</f>
        <v>34.984315277293689</v>
      </c>
      <c r="U42" s="47">
        <f>$J$3+[48]FormattedData!N60*$J$4+$M$4*$J$5+[48]FormattedData!N60^2*$J$6+$M$5*$J$7</f>
        <v>34.603569334196479</v>
      </c>
      <c r="V42" s="47">
        <f>$J$3+[48]FormattedData!O60*$J$4+$M$4*$J$5+[48]FormattedData!O60^2*$J$6+$M$5*$J$7</f>
        <v>34.412942751420289</v>
      </c>
      <c r="W42" s="49">
        <f>AVERAGE(K42:V42)</f>
        <v>34.197704116656261</v>
      </c>
      <c r="X42" s="48">
        <f>STDEV(K42:V42)/SQRT(COUNT(K42:V42))</f>
        <v>0.15104672810701927</v>
      </c>
      <c r="Y42" s="47">
        <f>MIN(K42:V42)</f>
        <v>33.361474345689132</v>
      </c>
      <c r="Z42" s="46">
        <f>QUARTILE(K42:V42,1)</f>
        <v>33.768294127710966</v>
      </c>
      <c r="AA42" s="47">
        <f>MEDIAN(K42:V42)</f>
        <v>34.365254404322783</v>
      </c>
      <c r="AB42" s="46">
        <f>QUARTILE(K42:V42,3)</f>
        <v>34.603569334196479</v>
      </c>
      <c r="AC42" s="46">
        <f>MAX(K42:V42)</f>
        <v>34.984315277293689</v>
      </c>
      <c r="AD42" s="46">
        <f>SKEW(K42:V42)</f>
        <v>-0.45340903343273148</v>
      </c>
      <c r="AE42" s="46">
        <f>KURT(K42:V42)</f>
        <v>-0.99053427204035849</v>
      </c>
    </row>
    <row r="43" spans="2:31" x14ac:dyDescent="0.2">
      <c r="B43" s="34">
        <f>[48]FormattedData!A58</f>
        <v>902</v>
      </c>
      <c r="C43" s="34" t="str">
        <f>VLOOKUP($B43,[48]TrtCodes!$B$11:I101,2)</f>
        <v>Late</v>
      </c>
      <c r="D43" s="34">
        <f>VLOOKUP($B43,[48]TrtCodes!$B$11:J101,3)</f>
        <v>22</v>
      </c>
      <c r="E43" s="34">
        <f>VLOOKUP($B43,[48]TrtCodes!$B$11:K101,4)</f>
        <v>4</v>
      </c>
      <c r="F43" s="34">
        <f>VLOOKUP($B43,[48]TrtCodes!$B$11:L101,5)</f>
        <v>2</v>
      </c>
      <c r="G43" s="34">
        <f>VLOOKUP($B43,[48]TrtCodes!$B$11:M101,6)</f>
        <v>2</v>
      </c>
      <c r="H43" s="34">
        <f>VLOOKUP($B43,[48]TrtCodes!$B$11:N101,7)</f>
        <v>1</v>
      </c>
      <c r="I43" s="34">
        <f>[48]FormattedData!B58</f>
        <v>1</v>
      </c>
      <c r="J43" s="37">
        <f>[48]FormattedData!C58</f>
        <v>13.275</v>
      </c>
      <c r="K43" s="39">
        <f>$J$3+[48]FormattedData!D58*$J$4+$M$4*$J$5+[48]FormattedData!D58^2*$J$6+$M$5*$J$7</f>
        <v>52.203646359580105</v>
      </c>
      <c r="L43" s="39">
        <f>$J$3+[48]FormattedData!E58*$J$4+$M$4*$J$5+[48]FormattedData!E58^2*$J$6+$M$5*$J$7</f>
        <v>53.332546203507853</v>
      </c>
      <c r="M43" s="39">
        <f>$J$3+[48]FormattedData!F58*$J$4+$M$4*$J$5+[48]FormattedData!F58^2*$J$6+$M$5*$J$7</f>
        <v>53.764836366965476</v>
      </c>
      <c r="N43" s="39">
        <f>$J$3+[48]FormattedData!G58*$J$4+$M$4*$J$5+[48]FormattedData!G58^2*$J$6+$M$5*$J$7</f>
        <v>52.464795736247773</v>
      </c>
      <c r="O43" s="39">
        <f>$J$3+[48]FormattedData!H58*$J$4+$M$4*$J$5+[48]FormattedData!H58^2*$J$6+$M$5*$J$7</f>
        <v>52.985953239058993</v>
      </c>
      <c r="P43" s="39">
        <f>$J$3+[48]FormattedData!I58*$J$4+$M$4*$J$5+[48]FormattedData!I58^2*$J$6+$M$5*$J$7</f>
        <v>51.767552027708682</v>
      </c>
      <c r="Q43" s="39">
        <f>$J$3+[48]FormattedData!J58*$J$4+$M$4*$J$5+[48]FormattedData!J58^2*$J$6+$M$5*$J$7</f>
        <v>54.023703242584858</v>
      </c>
      <c r="R43" s="39">
        <f>$J$3+[48]FormattedData!K58*$J$4+$M$4*$J$5+[48]FormattedData!K58^2*$J$6+$M$5*$J$7</f>
        <v>52.464795736247773</v>
      </c>
      <c r="S43" s="39">
        <f>$J$3+[48]FormattedData!L58*$J$4+$M$4*$J$5+[48]FormattedData!L58^2*$J$6+$M$5*$J$7</f>
        <v>52.638683978003243</v>
      </c>
      <c r="T43" s="39">
        <f>$J$3+[48]FormattedData!M58*$J$4+$M$4*$J$5+[48]FormattedData!M58^2*$J$6+$M$5*$J$7</f>
        <v>52.203646359580105</v>
      </c>
      <c r="U43" s="39">
        <f>$J$3+[48]FormattedData!N58*$J$4+$M$4*$J$5+[48]FormattedData!N58^2*$J$6+$M$5*$J$7</f>
        <v>53.419088773275234</v>
      </c>
      <c r="V43" s="39">
        <f>$J$3+[48]FormattedData!O58*$J$4+$M$4*$J$5+[48]FormattedData!O58^2*$J$6+$M$5*$J$7</f>
        <v>53.07266488297811</v>
      </c>
      <c r="W43" s="38">
        <f>AVERAGE(K43:V43)</f>
        <v>52.861826075478184</v>
      </c>
      <c r="X43" s="37">
        <f>STDEV(K43:V43)/SQRT(COUNT(K43:V43))</f>
        <v>0.19821669332003622</v>
      </c>
      <c r="Y43" s="36">
        <f>MIN(K43:V43)</f>
        <v>51.767552027708682</v>
      </c>
      <c r="Z43" s="35">
        <f>QUARTILE(K43:V43,1)</f>
        <v>52.399508392080854</v>
      </c>
      <c r="AA43" s="36">
        <f>MEDIAN(K43:V43)</f>
        <v>52.812318608531115</v>
      </c>
      <c r="AB43" s="35">
        <f>QUARTILE(K43:V43,3)</f>
        <v>53.354181845949697</v>
      </c>
      <c r="AC43" s="35">
        <f>MAX(K43:V43)</f>
        <v>54.023703242584858</v>
      </c>
      <c r="AD43" s="35">
        <f>SKEW(K43:V43)</f>
        <v>0.19430351042087193</v>
      </c>
      <c r="AE43" s="35">
        <f>KURT(K43:V43)</f>
        <v>-0.84596771768725532</v>
      </c>
    </row>
    <row r="44" spans="2:31" x14ac:dyDescent="0.2">
      <c r="B44" s="50">
        <f>[48]FormattedData!A56</f>
        <v>903</v>
      </c>
      <c r="C44" s="50" t="str">
        <f>VLOOKUP($B44,[48]TrtCodes!$B$11:I99,2)</f>
        <v>DS</v>
      </c>
      <c r="D44" s="50">
        <f>VLOOKUP($B44,[48]TrtCodes!$B$11:J99,3)</f>
        <v>31</v>
      </c>
      <c r="E44" s="50">
        <f>VLOOKUP($B44,[48]TrtCodes!$B$11:K99,4)</f>
        <v>8</v>
      </c>
      <c r="F44" s="50">
        <f>VLOOKUP($B44,[48]TrtCodes!$B$11:L99,5)</f>
        <v>0</v>
      </c>
      <c r="G44" s="50">
        <f>VLOOKUP($B44,[48]TrtCodes!$B$11:M99,6)</f>
        <v>1</v>
      </c>
      <c r="H44" s="50">
        <f>VLOOKUP($B44,[48]TrtCodes!$B$11:N99,7)</f>
        <v>1</v>
      </c>
      <c r="I44" s="50">
        <f>[48]FormattedData!B56</f>
        <v>1</v>
      </c>
      <c r="J44" s="48">
        <f>[48]FormattedData!C56</f>
        <v>13.266999999999999</v>
      </c>
      <c r="K44" s="47">
        <f>$J$3+[48]FormattedData!D56*$J$4+$M$4*$J$5+[48]FormattedData!D56^2*$J$6+$M$5*$J$7</f>
        <v>58.618255723857999</v>
      </c>
      <c r="L44" s="47">
        <f>$J$3+[48]FormattedData!E56*$J$4+$M$4*$J$5+[48]FormattedData!E56^2*$J$6+$M$5*$J$7</f>
        <v>58.534291534904419</v>
      </c>
      <c r="M44" s="47">
        <f>$J$3+[48]FormattedData!F56*$J$4+$M$4*$J$5+[48]FormattedData!F56^2*$J$6+$M$5*$J$7</f>
        <v>58.534291534904419</v>
      </c>
      <c r="N44" s="47">
        <f>$J$3+[48]FormattedData!G56*$J$4+$M$4*$J$5+[48]FormattedData!G56^2*$J$6+$M$5*$J$7</f>
        <v>58.113836562067519</v>
      </c>
      <c r="O44" s="47">
        <f>$J$3+[48]FormattedData!H56*$J$4+$M$4*$J$5+[48]FormattedData!H56^2*$J$6+$M$5*$J$7</f>
        <v>58.366236351383442</v>
      </c>
      <c r="P44" s="47">
        <f>$J$3+[48]FormattedData!I56*$J$4+$M$4*$J$5+[48]FormattedData!I56^2*$J$6+$M$5*$J$7</f>
        <v>58.366236351383442</v>
      </c>
      <c r="Q44" s="47">
        <f>$J$3+[48]FormattedData!J56*$J$4+$M$4*$J$5+[48]FormattedData!J56^2*$J$6+$M$5*$J$7</f>
        <v>58.786057296151377</v>
      </c>
      <c r="R44" s="47">
        <f>$J$3+[48]FormattedData!K56*$J$4+$M$4*$J$5+[48]FormattedData!K56^2*$J$6+$M$5*$J$7</f>
        <v>58.786057296151377</v>
      </c>
      <c r="S44" s="47">
        <f>$J$3+[48]FormattedData!L56*$J$4+$M$4*$J$5+[48]FormattedData!L56^2*$J$6+$M$5*$J$7</f>
        <v>59.121153218282963</v>
      </c>
      <c r="T44" s="47">
        <f>$J$3+[48]FormattedData!M56*$J$4+$M$4*$J$5+[48]FormattedData!M56^2*$J$6+$M$5*$J$7</f>
        <v>59.20482152747104</v>
      </c>
      <c r="U44" s="47">
        <f>$J$3+[48]FormattedData!N56*$J$4+$M$4*$J$5+[48]FormattedData!N56^2*$J$6+$M$5*$J$7</f>
        <v>58.869894679491182</v>
      </c>
      <c r="V44" s="47">
        <f>$J$3+[48]FormattedData!O56*$J$4+$M$4*$J$5+[48]FormattedData!O56^2*$J$6+$M$5*$J$7</f>
        <v>58.953689794293041</v>
      </c>
      <c r="W44" s="49">
        <f>AVERAGE(K44:V44)</f>
        <v>58.687901822528517</v>
      </c>
      <c r="X44" s="48">
        <f>STDEV(K44:V44)/SQRT(COUNT(K44:V44))</f>
        <v>9.4005056565941297E-2</v>
      </c>
      <c r="Y44" s="47">
        <f>MIN(K44:V44)</f>
        <v>58.113836562067519</v>
      </c>
      <c r="Z44" s="46">
        <f>QUARTILE(K44:V44,1)</f>
        <v>58.492277739024175</v>
      </c>
      <c r="AA44" s="47">
        <f>MEDIAN(K44:V44)</f>
        <v>58.702156510004684</v>
      </c>
      <c r="AB44" s="46">
        <f>QUARTILE(K44:V44,3)</f>
        <v>58.890843458191647</v>
      </c>
      <c r="AC44" s="46">
        <f>MAX(K44:V44)</f>
        <v>59.20482152747104</v>
      </c>
      <c r="AD44" s="46">
        <f>SKEW(K44:V44)</f>
        <v>-5.4310499107999809E-2</v>
      </c>
      <c r="AE44" s="46">
        <f>KURT(K44:V44)</f>
        <v>-0.61341387664057256</v>
      </c>
    </row>
    <row r="45" spans="2:31" x14ac:dyDescent="0.2">
      <c r="B45" s="34">
        <f>[48]FormattedData!A54</f>
        <v>904</v>
      </c>
      <c r="C45" s="34" t="str">
        <f>VLOOKUP($B45,[48]TrtCodes!$B$11:I97,2)</f>
        <v>Early</v>
      </c>
      <c r="D45" s="34">
        <f>VLOOKUP($B45,[48]TrtCodes!$B$11:J97,3)</f>
        <v>21</v>
      </c>
      <c r="E45" s="34">
        <f>VLOOKUP($B45,[48]TrtCodes!$B$11:K97,4)</f>
        <v>3</v>
      </c>
      <c r="F45" s="34">
        <f>VLOOKUP($B45,[48]TrtCodes!$B$11:L97,5)</f>
        <v>2</v>
      </c>
      <c r="G45" s="34">
        <f>VLOOKUP($B45,[48]TrtCodes!$B$11:M97,6)</f>
        <v>2</v>
      </c>
      <c r="H45" s="34">
        <f>VLOOKUP($B45,[48]TrtCodes!$B$11:N97,7)</f>
        <v>1</v>
      </c>
      <c r="I45" s="34">
        <f>[48]FormattedData!B54</f>
        <v>1</v>
      </c>
      <c r="J45" s="37">
        <f>[48]FormattedData!C54</f>
        <v>13.257999999999999</v>
      </c>
      <c r="K45" s="39">
        <f>$J$3+[48]FormattedData!D54*$J$4+$M$4*$J$5+[48]FormattedData!D54^2*$J$6+$M$5*$J$7</f>
        <v>52.725564696074073</v>
      </c>
      <c r="L45" s="39">
        <f>$J$3+[48]FormattedData!E54*$J$4+$M$4*$J$5+[48]FormattedData!E54^2*$J$6+$M$5*$J$7</f>
        <v>52.464795736247773</v>
      </c>
      <c r="M45" s="39">
        <f>$J$3+[48]FormattedData!F54*$J$4+$M$4*$J$5+[48]FormattedData!F54^2*$J$6+$M$5*$J$7</f>
        <v>52.985953239058993</v>
      </c>
      <c r="N45" s="39">
        <f>$J$3+[48]FormattedData!G54*$J$4+$M$4*$J$5+[48]FormattedData!G54^2*$J$6+$M$5*$J$7</f>
        <v>51.6802063557206</v>
      </c>
      <c r="O45" s="39">
        <f>$J$3+[48]FormattedData!H54*$J$4+$M$4*$J$5+[48]FormattedData!H54^2*$J$6+$M$5*$J$7</f>
        <v>53.851167594043197</v>
      </c>
      <c r="P45" s="39">
        <f>$J$3+[48]FormattedData!I54*$J$4+$M$4*$J$5+[48]FormattedData!I54^2*$J$6+$M$5*$J$7</f>
        <v>51.505388206130654</v>
      </c>
      <c r="Q45" s="39">
        <f>$J$3+[48]FormattedData!J54*$J$4+$M$4*$J$5+[48]FormattedData!J54^2*$J$6+$M$5*$J$7</f>
        <v>54.023703242584858</v>
      </c>
      <c r="R45" s="39">
        <f>$J$3+[48]FormattedData!K54*$J$4+$M$4*$J$5+[48]FormattedData!K54^2*$J$6+$M$5*$J$7</f>
        <v>53.332546203507853</v>
      </c>
      <c r="S45" s="39">
        <f>$J$3+[48]FormattedData!L54*$J$4+$M$4*$J$5+[48]FormattedData!L54^2*$J$6+$M$5*$J$7</f>
        <v>52.290738420340588</v>
      </c>
      <c r="T45" s="39">
        <f>$J$3+[48]FormattedData!M54*$J$4+$M$4*$J$5+[48]FormattedData!M54^2*$J$6+$M$5*$J$7</f>
        <v>51.505388206130654</v>
      </c>
      <c r="U45" s="39">
        <f>$J$3+[48]FormattedData!N54*$J$4+$M$4*$J$5+[48]FormattedData!N54^2*$J$6+$M$5*$J$7</f>
        <v>54.196069816974813</v>
      </c>
      <c r="V45" s="39">
        <f>$J$3+[48]FormattedData!O54*$J$4+$M$4*$J$5+[48]FormattedData!O54^2*$J$6+$M$5*$J$7</f>
        <v>51.242843967711245</v>
      </c>
      <c r="W45" s="38">
        <f>AVERAGE(K45:V45)</f>
        <v>52.650363807043782</v>
      </c>
      <c r="X45" s="37">
        <f>STDEV(K45:V45)/SQRT(COUNT(K45:V45))</f>
        <v>0.30162273283835367</v>
      </c>
      <c r="Y45" s="36">
        <f>MIN(K45:V45)</f>
        <v>51.242843967711245</v>
      </c>
      <c r="Z45" s="35">
        <f>QUARTILE(K45:V45,1)</f>
        <v>51.636501818323111</v>
      </c>
      <c r="AA45" s="36">
        <f>MEDIAN(K45:V45)</f>
        <v>52.595180216160927</v>
      </c>
      <c r="AB45" s="35">
        <f>QUARTILE(K45:V45,3)</f>
        <v>53.462201551141689</v>
      </c>
      <c r="AC45" s="35">
        <f>MAX(K45:V45)</f>
        <v>54.196069816974813</v>
      </c>
      <c r="AD45" s="35">
        <f>SKEW(K45:V45)</f>
        <v>0.1543431739772731</v>
      </c>
      <c r="AE45" s="35">
        <f>KURT(K45:V45)</f>
        <v>-1.4102684373914016</v>
      </c>
    </row>
    <row r="46" spans="2:31" x14ac:dyDescent="0.2">
      <c r="B46" s="50">
        <f>[48]FormattedData!A52</f>
        <v>905</v>
      </c>
      <c r="C46" s="50" t="str">
        <f>VLOOKUP($B46,[48]TrtCodes!$B$11:I95,2)</f>
        <v>WS</v>
      </c>
      <c r="D46" s="50">
        <f>VLOOKUP($B46,[48]TrtCodes!$B$11:J95,3)</f>
        <v>32</v>
      </c>
      <c r="E46" s="50">
        <f>VLOOKUP($B46,[48]TrtCodes!$B$11:K95,4)</f>
        <v>9</v>
      </c>
      <c r="F46" s="50">
        <f>VLOOKUP($B46,[48]TrtCodes!$B$11:L95,5)</f>
        <v>0</v>
      </c>
      <c r="G46" s="50">
        <f>VLOOKUP($B46,[48]TrtCodes!$B$11:M95,6)</f>
        <v>1</v>
      </c>
      <c r="H46" s="50">
        <f>VLOOKUP($B46,[48]TrtCodes!$B$11:N95,7)</f>
        <v>2</v>
      </c>
      <c r="I46" s="50">
        <f>[48]FormattedData!B52</f>
        <v>1</v>
      </c>
      <c r="J46" s="48">
        <f>[48]FormattedData!C52</f>
        <v>13.250999999999999</v>
      </c>
      <c r="K46" s="47">
        <f>$J$3+[48]FormattedData!D52*$J$4+$M$4*$J$5+[48]FormattedData!D52^2*$J$6+$M$5*$J$7</f>
        <v>33.744418252758763</v>
      </c>
      <c r="L46" s="47">
        <f>$J$3+[48]FormattedData!E52*$J$4+$M$4*$J$5+[48]FormattedData!E52^2*$J$6+$M$5*$J$7</f>
        <v>33.744418252758763</v>
      </c>
      <c r="M46" s="47">
        <f>$J$3+[48]FormattedData!F52*$J$4+$M$4*$J$5+[48]FormattedData!F52^2*$J$6+$M$5*$J$7</f>
        <v>33.457273725263434</v>
      </c>
      <c r="N46" s="47">
        <f>$J$3+[48]FormattedData!G52*$J$4+$M$4*$J$5+[48]FormattedData!G52^2*$J$6+$M$5*$J$7</f>
        <v>33.457273725263434</v>
      </c>
      <c r="O46" s="47">
        <f>$J$3+[48]FormattedData!H52*$J$4+$M$4*$J$5+[48]FormattedData!H52^2*$J$6+$M$5*$J$7</f>
        <v>33.744418252758763</v>
      </c>
      <c r="P46" s="47">
        <f>$J$3+[48]FormattedData!I52*$J$4+$M$4*$J$5+[48]FormattedData!I52^2*$J$6+$M$5*$J$7</f>
        <v>33.553030836299804</v>
      </c>
      <c r="Q46" s="47">
        <f>$J$3+[48]FormattedData!J52*$J$4+$M$4*$J$5+[48]FormattedData!J52^2*$J$6+$M$5*$J$7</f>
        <v>33.935636595066001</v>
      </c>
      <c r="R46" s="47">
        <f>$J$3+[48]FormattedData!K52*$J$4+$M$4*$J$5+[48]FormattedData!K52^2*$J$6+$M$5*$J$7</f>
        <v>34.222147094492357</v>
      </c>
      <c r="S46" s="47">
        <f>$J$3+[48]FormattedData!L52*$J$4+$M$4*$J$5+[48]FormattedData!L52^2*$J$6+$M$5*$J$7</f>
        <v>34.222147094492357</v>
      </c>
      <c r="T46" s="47">
        <f>$J$3+[48]FormattedData!M52*$J$4+$M$4*$J$5+[48]FormattedData!M52^2*$J$6+$M$5*$J$7</f>
        <v>34.031182363412711</v>
      </c>
      <c r="U46" s="47">
        <f>$J$3+[48]FormattedData!N52*$J$4+$M$4*$J$5+[48]FormattedData!N52^2*$J$6+$M$5*$J$7</f>
        <v>34.031182363412711</v>
      </c>
      <c r="V46" s="47">
        <f>$J$3+[48]FormattedData!O52*$J$4+$M$4*$J$5+[48]FormattedData!O52^2*$J$6+$M$5*$J$7</f>
        <v>33.744418252758763</v>
      </c>
      <c r="W46" s="49">
        <f>AVERAGE(K46:V46)</f>
        <v>33.82396223406149</v>
      </c>
      <c r="X46" s="48">
        <f>STDEV(K46:V46)/SQRT(COUNT(K46:V46))</f>
        <v>7.7022606883209471E-2</v>
      </c>
      <c r="Y46" s="47">
        <f>MIN(K46:V46)</f>
        <v>33.457273725263434</v>
      </c>
      <c r="Z46" s="46">
        <f>QUARTILE(K46:V46,1)</f>
        <v>33.696571398644025</v>
      </c>
      <c r="AA46" s="47">
        <f>MEDIAN(K46:V46)</f>
        <v>33.744418252758763</v>
      </c>
      <c r="AB46" s="46">
        <f>QUARTILE(K46:V46,3)</f>
        <v>34.031182363412711</v>
      </c>
      <c r="AC46" s="46">
        <f>MAX(K46:V46)</f>
        <v>34.222147094492357</v>
      </c>
      <c r="AD46" s="46">
        <f>SKEW(K46:V46)</f>
        <v>0.14325772831498571</v>
      </c>
      <c r="AE46" s="46">
        <f>KURT(K46:V46)</f>
        <v>-1.0538216702644618</v>
      </c>
    </row>
    <row r="47" spans="2:31" x14ac:dyDescent="0.2">
      <c r="B47" s="34">
        <f>[48]FormattedData!A50</f>
        <v>906</v>
      </c>
      <c r="C47" s="34" t="str">
        <f>VLOOKUP($B47,[48]TrtCodes!$B$11:I93,2)</f>
        <v>Late</v>
      </c>
      <c r="D47" s="34">
        <f>VLOOKUP($B47,[48]TrtCodes!$B$11:J93,3)</f>
        <v>22</v>
      </c>
      <c r="E47" s="34">
        <f>VLOOKUP($B47,[48]TrtCodes!$B$11:K93,4)</f>
        <v>4</v>
      </c>
      <c r="F47" s="34">
        <f>VLOOKUP($B47,[48]TrtCodes!$B$11:L93,5)</f>
        <v>2</v>
      </c>
      <c r="G47" s="34">
        <f>VLOOKUP($B47,[48]TrtCodes!$B$11:M93,6)</f>
        <v>2</v>
      </c>
      <c r="H47" s="34">
        <f>VLOOKUP($B47,[48]TrtCodes!$B$11:N93,7)</f>
        <v>2</v>
      </c>
      <c r="I47" s="34">
        <f>[48]FormattedData!B50</f>
        <v>1</v>
      </c>
      <c r="J47" s="37">
        <f>[48]FormattedData!C50</f>
        <v>13.242000000000001</v>
      </c>
      <c r="K47" s="39">
        <f>$J$3+[48]FormattedData!D50*$J$4+$M$4*$J$5+[48]FormattedData!D50^2*$J$6+$M$5*$J$7</f>
        <v>52.029335432445322</v>
      </c>
      <c r="L47" s="39">
        <f>$J$3+[48]FormattedData!E50*$J$4+$M$4*$J$5+[48]FormattedData!E50^2*$J$6+$M$5*$J$7</f>
        <v>53.332546203507853</v>
      </c>
      <c r="M47" s="39">
        <f>$J$3+[48]FormattedData!F50*$J$4+$M$4*$J$5+[48]FormattedData!F50^2*$J$6+$M$5*$J$7</f>
        <v>53.592047107196208</v>
      </c>
      <c r="N47" s="39">
        <f>$J$3+[48]FormattedData!G50*$J$4+$M$4*$J$5+[48]FormattedData!G50^2*$J$6+$M$5*$J$7</f>
        <v>53.505589074504698</v>
      </c>
      <c r="O47" s="39">
        <f>$J$3+[48]FormattedData!H50*$J$4+$M$4*$J$5+[48]FormattedData!H50^2*$J$6+$M$5*$J$7</f>
        <v>54.454302664525244</v>
      </c>
      <c r="P47" s="39">
        <f>$J$3+[48]FormattedData!I50*$J$4+$M$4*$J$5+[48]FormattedData!I50^2*$J$6+$M$5*$J$7</f>
        <v>54.454302664525244</v>
      </c>
      <c r="Q47" s="39">
        <f>$J$3+[48]FormattedData!J50*$J$4+$M$4*$J$5+[48]FormattedData!J50^2*$J$6+$M$5*$J$7</f>
        <v>55.739760649656688</v>
      </c>
      <c r="R47" s="39">
        <f>$J$3+[48]FormattedData!K50*$J$4+$M$4*$J$5+[48]FormattedData!K50^2*$J$6+$M$5*$J$7</f>
        <v>53.07266488297811</v>
      </c>
      <c r="S47" s="39">
        <f>$J$3+[48]FormattedData!L50*$J$4+$M$4*$J$5+[48]FormattedData!L50^2*$J$6+$M$5*$J$7</f>
        <v>54.712155095234294</v>
      </c>
      <c r="T47" s="39">
        <f>$J$3+[48]FormattedData!M50*$J$4+$M$4*$J$5+[48]FormattedData!M50^2*$J$6+$M$5*$J$7</f>
        <v>53.505589074504698</v>
      </c>
      <c r="U47" s="39">
        <f>$J$3+[48]FormattedData!N50*$J$4+$M$4*$J$5+[48]FormattedData!N50^2*$J$6+$M$5*$J$7</f>
        <v>53.592047107196208</v>
      </c>
      <c r="V47" s="39">
        <f>$J$3+[48]FormattedData!O50*$J$4+$M$4*$J$5+[48]FormattedData!O50^2*$J$6+$M$5*$J$7</f>
        <v>53.592047107196208</v>
      </c>
      <c r="W47" s="38">
        <f>AVERAGE(K47:V47)</f>
        <v>53.798532255289238</v>
      </c>
      <c r="X47" s="37">
        <f>STDEV(K47:V47)/SQRT(COUNT(K47:V47))</f>
        <v>0.2701958834347864</v>
      </c>
      <c r="Y47" s="36">
        <f>MIN(K47:V47)</f>
        <v>52.029335432445322</v>
      </c>
      <c r="Z47" s="35">
        <f>QUARTILE(K47:V47,1)</f>
        <v>53.462328356755485</v>
      </c>
      <c r="AA47" s="36">
        <f>MEDIAN(K47:V47)</f>
        <v>53.592047107196208</v>
      </c>
      <c r="AB47" s="35">
        <f>QUARTILE(K47:V47,3)</f>
        <v>54.454302664525244</v>
      </c>
      <c r="AC47" s="35">
        <f>MAX(K47:V47)</f>
        <v>55.739760649656688</v>
      </c>
      <c r="AD47" s="35">
        <f>SKEW(K47:V47)</f>
        <v>0.33843478940568666</v>
      </c>
      <c r="AE47" s="35">
        <f>KURT(K47:V47)</f>
        <v>1.1834910791184248</v>
      </c>
    </row>
    <row r="48" spans="2:31" x14ac:dyDescent="0.2">
      <c r="B48" s="50">
        <f>[48]FormattedData!A48</f>
        <v>907</v>
      </c>
      <c r="C48" s="50" t="str">
        <f>VLOOKUP($B48,[48]TrtCodes!$B$11:I91,2)</f>
        <v>DS</v>
      </c>
      <c r="D48" s="50">
        <f>VLOOKUP($B48,[48]TrtCodes!$B$11:J91,3)</f>
        <v>31</v>
      </c>
      <c r="E48" s="50">
        <f>VLOOKUP($B48,[48]TrtCodes!$B$11:K91,4)</f>
        <v>8</v>
      </c>
      <c r="F48" s="50">
        <f>VLOOKUP($B48,[48]TrtCodes!$B$11:L91,5)</f>
        <v>0</v>
      </c>
      <c r="G48" s="50">
        <f>VLOOKUP($B48,[48]TrtCodes!$B$11:M91,6)</f>
        <v>1</v>
      </c>
      <c r="H48" s="50">
        <f>VLOOKUP($B48,[48]TrtCodes!$B$11:N91,7)</f>
        <v>2</v>
      </c>
      <c r="I48" s="50">
        <f>[48]FormattedData!B48</f>
        <v>1</v>
      </c>
      <c r="J48" s="48">
        <f>[48]FormattedData!C48</f>
        <v>13.234</v>
      </c>
      <c r="K48" s="47">
        <f>$J$3+[48]FormattedData!D48*$J$4+$M$4*$J$5+[48]FormattedData!D48^2*$J$6+$M$5*$J$7</f>
        <v>59.037442640556968</v>
      </c>
      <c r="L48" s="47">
        <f>$J$3+[48]FormattedData!E48*$J$4+$M$4*$J$5+[48]FormattedData!E48^2*$J$6+$M$5*$J$7</f>
        <v>59.037442640556968</v>
      </c>
      <c r="M48" s="47">
        <f>$J$3+[48]FormattedData!F48*$J$4+$M$4*$J$5+[48]FormattedData!F48^2*$J$6+$M$5*$J$7</f>
        <v>59.121153218282963</v>
      </c>
      <c r="N48" s="47">
        <f>$J$3+[48]FormattedData!G48*$J$4+$M$4*$J$5+[48]FormattedData!G48^2*$J$6+$M$5*$J$7</f>
        <v>59.20482152747104</v>
      </c>
      <c r="O48" s="47">
        <f>$J$3+[48]FormattedData!H48*$J$4+$M$4*$J$5+[48]FormattedData!H48^2*$J$6+$M$5*$J$7</f>
        <v>59.20482152747104</v>
      </c>
      <c r="P48" s="47">
        <f>$J$3+[48]FormattedData!I48*$J$4+$M$4*$J$5+[48]FormattedData!I48^2*$J$6+$M$5*$J$7</f>
        <v>59.789316172725442</v>
      </c>
      <c r="Q48" s="47">
        <f>$J$3+[48]FormattedData!J48*$J$4+$M$4*$J$5+[48]FormattedData!J48^2*$J$6+$M$5*$J$7</f>
        <v>59.705943743302896</v>
      </c>
      <c r="R48" s="47">
        <f>$J$3+[48]FormattedData!K48*$J$4+$M$4*$J$5+[48]FormattedData!K48^2*$J$6+$M$5*$J$7</f>
        <v>58.953689794293041</v>
      </c>
      <c r="S48" s="47">
        <f>$J$3+[48]FormattedData!L48*$J$4+$M$4*$J$5+[48]FormattedData!L48^2*$J$6+$M$5*$J$7</f>
        <v>59.037442640556968</v>
      </c>
      <c r="T48" s="47">
        <f>$J$3+[48]FormattedData!M48*$J$4+$M$4*$J$5+[48]FormattedData!M48^2*$J$6+$M$5*$J$7</f>
        <v>59.705943743302896</v>
      </c>
      <c r="U48" s="47">
        <f>$J$3+[48]FormattedData!N48*$J$4+$M$4*$J$5+[48]FormattedData!N48^2*$J$6+$M$5*$J$7</f>
        <v>60.039179849765517</v>
      </c>
      <c r="V48" s="47">
        <f>$J$3+[48]FormattedData!O48*$J$4+$M$4*$J$5+[48]FormattedData!O48^2*$J$6+$M$5*$J$7</f>
        <v>60.039179849765517</v>
      </c>
      <c r="W48" s="49">
        <f>AVERAGE(K48:V48)</f>
        <v>59.406364779004271</v>
      </c>
      <c r="X48" s="48">
        <f>STDEV(K48:V48)/SQRT(COUNT(K48:V48))</f>
        <v>0.12006522793369787</v>
      </c>
      <c r="Y48" s="47">
        <f>MIN(K48:V48)</f>
        <v>58.953689794293041</v>
      </c>
      <c r="Z48" s="46">
        <f>QUARTILE(K48:V48,1)</f>
        <v>59.037442640556968</v>
      </c>
      <c r="AA48" s="47">
        <f>MEDIAN(K48:V48)</f>
        <v>59.20482152747104</v>
      </c>
      <c r="AB48" s="46">
        <f>QUARTILE(K48:V48,3)</f>
        <v>59.726786850658534</v>
      </c>
      <c r="AC48" s="46">
        <f>MAX(K48:V48)</f>
        <v>60.039179849765517</v>
      </c>
      <c r="AD48" s="46">
        <f>SKEW(K48:V48)</f>
        <v>0.50610640532058015</v>
      </c>
      <c r="AE48" s="46">
        <f>KURT(K48:V48)</f>
        <v>-1.5804346276271941</v>
      </c>
    </row>
    <row r="49" spans="2:31" ht="13.5" thickBot="1" x14ac:dyDescent="0.25">
      <c r="B49" s="45">
        <f>[48]FormattedData!A46</f>
        <v>908</v>
      </c>
      <c r="C49" s="45" t="str">
        <f>VLOOKUP($B49,[48]TrtCodes!$B$11:I89,2)</f>
        <v>Early</v>
      </c>
      <c r="D49" s="45">
        <f>VLOOKUP($B49,[48]TrtCodes!$B$11:J89,3)</f>
        <v>21</v>
      </c>
      <c r="E49" s="45">
        <f>VLOOKUP($B49,[48]TrtCodes!$B$11:K89,4)</f>
        <v>3</v>
      </c>
      <c r="F49" s="45">
        <f>VLOOKUP($B49,[48]TrtCodes!$B$11:L89,5)</f>
        <v>2</v>
      </c>
      <c r="G49" s="45">
        <f>VLOOKUP($B49,[48]TrtCodes!$B$11:M89,6)</f>
        <v>2</v>
      </c>
      <c r="H49" s="45">
        <f>VLOOKUP($B49,[48]TrtCodes!$B$11:N89,7)</f>
        <v>2</v>
      </c>
      <c r="I49" s="45">
        <f>[48]FormattedData!B46</f>
        <v>1</v>
      </c>
      <c r="J49" s="42">
        <f>[48]FormattedData!C46</f>
        <v>13.226000000000001</v>
      </c>
      <c r="K49" s="44">
        <f>$J$3+[48]FormattedData!D46*$J$4+$M$4*$J$5+[48]FormattedData!D46^2*$J$6+$M$5*$J$7</f>
        <v>53.245961365202533</v>
      </c>
      <c r="L49" s="44">
        <f>$J$3+[48]FormattedData!E46*$J$4+$M$4*$J$5+[48]FormattedData!E46^2*$J$6+$M$5*$J$7</f>
        <v>52.290738420340588</v>
      </c>
      <c r="M49" s="44">
        <f>$J$3+[48]FormattedData!F46*$J$4+$M$4*$J$5+[48]FormattedData!F46^2*$J$6+$M$5*$J$7</f>
        <v>53.419088773275234</v>
      </c>
      <c r="N49" s="44">
        <f>$J$3+[48]FormattedData!G46*$J$4+$M$4*$J$5+[48]FormattedData!G46^2*$J$6+$M$5*$J$7</f>
        <v>53.07266488297811</v>
      </c>
      <c r="O49" s="44">
        <f>$J$3+[48]FormattedData!H46*$J$4+$M$4*$J$5+[48]FormattedData!H46^2*$J$6+$M$5*$J$7</f>
        <v>54.798021368394785</v>
      </c>
      <c r="P49" s="44">
        <f>$J$3+[48]FormattedData!I46*$J$4+$M$4*$J$5+[48]FormattedData!I46^2*$J$6+$M$5*$J$7</f>
        <v>53.15933425835928</v>
      </c>
      <c r="Q49" s="44">
        <f>$J$3+[48]FormattedData!J46*$J$4+$M$4*$J$5+[48]FormattedData!J46^2*$J$6+$M$5*$J$7</f>
        <v>53.592047107196208</v>
      </c>
      <c r="R49" s="44">
        <f>$J$3+[48]FormattedData!K46*$J$4+$M$4*$J$5+[48]FormattedData!K46^2*$J$6+$M$5*$J$7</f>
        <v>52.985953239058993</v>
      </c>
      <c r="S49" s="44">
        <f>$J$3+[48]FormattedData!L46*$J$4+$M$4*$J$5+[48]FormattedData!L46^2*$J$6+$M$5*$J$7</f>
        <v>54.368267317213032</v>
      </c>
      <c r="T49" s="44">
        <f>$J$3+[48]FormattedData!M46*$J$4+$M$4*$J$5+[48]FormattedData!M46^2*$J$6+$M$5*$J$7</f>
        <v>53.937456552583001</v>
      </c>
      <c r="U49" s="44">
        <f>$J$3+[48]FormattedData!N46*$J$4+$M$4*$J$5+[48]FormattedData!N46^2*$J$6+$M$5*$J$7</f>
        <v>53.505589074504698</v>
      </c>
      <c r="V49" s="44">
        <f>$J$3+[48]FormattedData!O46*$J$4+$M$4*$J$5+[48]FormattedData!O46^2*$J$6+$M$5*$J$7</f>
        <v>53.419088773275234</v>
      </c>
      <c r="W49" s="43">
        <f>AVERAGE(K49:V49)</f>
        <v>53.482850927698479</v>
      </c>
      <c r="X49" s="42">
        <f>STDEV(K49:V49)/SQRT(COUNT(K49:V49))</f>
        <v>0.18945587223692209</v>
      </c>
      <c r="Y49" s="41">
        <f>MIN(K49:V49)</f>
        <v>52.290738420340588</v>
      </c>
      <c r="Z49" s="40">
        <f>QUARTILE(K49:V49,1)</f>
        <v>53.137666914513986</v>
      </c>
      <c r="AA49" s="41">
        <f>MEDIAN(K49:V49)</f>
        <v>53.419088773275234</v>
      </c>
      <c r="AB49" s="40">
        <f>QUARTILE(K49:V49,3)</f>
        <v>53.678399468542906</v>
      </c>
      <c r="AC49" s="40">
        <f>MAX(K49:V49)</f>
        <v>54.798021368394785</v>
      </c>
      <c r="AD49" s="40">
        <f>SKEW(K49:V49)</f>
        <v>0.43635081937223846</v>
      </c>
      <c r="AE49" s="40">
        <f>KURT(K49:V49)</f>
        <v>0.8694127621178902</v>
      </c>
    </row>
    <row r="50" spans="2:31" ht="13.5" thickTop="1" x14ac:dyDescent="0.2">
      <c r="B50" s="34">
        <f>[48]FormattedData!A29</f>
        <v>0</v>
      </c>
      <c r="C50" s="34" t="e">
        <f>VLOOKUP($B50,[48]TrtCodes!$B$11:I72,2)</f>
        <v>#N/A</v>
      </c>
      <c r="D50" s="34" t="e">
        <f>VLOOKUP($B50,[48]TrtCodes!$B$11:J72,3)</f>
        <v>#N/A</v>
      </c>
      <c r="E50" s="34" t="e">
        <f>VLOOKUP($B50,[48]TrtCodes!$B$11:K72,4)</f>
        <v>#N/A</v>
      </c>
      <c r="F50" s="34" t="e">
        <f>VLOOKUP($B50,[48]TrtCodes!$B$11:L72,5)</f>
        <v>#N/A</v>
      </c>
      <c r="G50" s="34" t="e">
        <f>VLOOKUP($B50,[48]TrtCodes!$B$11:M72,6)</f>
        <v>#N/A</v>
      </c>
      <c r="H50" s="34" t="e">
        <f>VLOOKUP($B50,[48]TrtCodes!$B$11:N72,7)</f>
        <v>#N/A</v>
      </c>
      <c r="I50" s="34">
        <f>[48]FormattedData!B29</f>
        <v>0</v>
      </c>
      <c r="J50" s="37">
        <f>[48]FormattedData!C29</f>
        <v>0</v>
      </c>
      <c r="K50" s="39">
        <f>$J$3+[48]FormattedData!D29*$J$4+$M$4*$J$5+[48]FormattedData!D29^2*$J$6+$M$5*$J$7</f>
        <v>-0.67060737857050878</v>
      </c>
      <c r="L50" s="39">
        <f>$J$3+[48]FormattedData!E29*$J$4+$M$4*$J$5+[48]FormattedData!E29^2*$J$6+$M$5*$J$7</f>
        <v>-0.67060737857050878</v>
      </c>
      <c r="M50" s="39">
        <f>$J$3+[48]FormattedData!F29*$J$4+$M$4*$J$5+[48]FormattedData!F29^2*$J$6+$M$5*$J$7</f>
        <v>-0.67060737857050878</v>
      </c>
      <c r="N50" s="39">
        <f>$J$3+[48]FormattedData!G29*$J$4+$M$4*$J$5+[48]FormattedData!G29^2*$J$6+$M$5*$J$7</f>
        <v>-0.67060737857050878</v>
      </c>
      <c r="O50" s="39">
        <f>$J$3+[48]FormattedData!H29*$J$4+$M$4*$J$5+[48]FormattedData!H29^2*$J$6+$M$5*$J$7</f>
        <v>-0.67060737857050878</v>
      </c>
      <c r="P50" s="39">
        <f>$J$3+[48]FormattedData!I29*$J$4+$M$4*$J$5+[48]FormattedData!I29^2*$J$6+$M$5*$J$7</f>
        <v>-0.67060737857050878</v>
      </c>
      <c r="Q50" s="39">
        <f>$J$3+[48]FormattedData!J29*$J$4+$M$4*$J$5+[48]FormattedData!J29^2*$J$6+$M$5*$J$7</f>
        <v>-0.67060737857050878</v>
      </c>
      <c r="R50" s="39">
        <f>$J$3+[48]FormattedData!K29*$J$4+$M$4*$J$5+[48]FormattedData!K29^2*$J$6+$M$5*$J$7</f>
        <v>-0.67060737857050878</v>
      </c>
      <c r="S50" s="39">
        <f>$J$3+[48]FormattedData!L29*$J$4+$M$4*$J$5+[48]FormattedData!L29^2*$J$6+$M$5*$J$7</f>
        <v>-0.67060737857050878</v>
      </c>
      <c r="T50" s="39">
        <f>$J$3+[48]FormattedData!M29*$J$4+$M$4*$J$5+[48]FormattedData!M29^2*$J$6+$M$5*$J$7</f>
        <v>-0.67060737857050878</v>
      </c>
      <c r="U50" s="39">
        <f>$J$3+[48]FormattedData!N29*$J$4+$M$4*$J$5+[48]FormattedData!N29^2*$J$6+$M$5*$J$7</f>
        <v>-0.67060737857050878</v>
      </c>
      <c r="V50" s="39">
        <f>$J$3+[48]FormattedData!O29*$J$4+$M$4*$J$5+[48]FormattedData!O29^2*$J$6+$M$5*$J$7</f>
        <v>-0.67060737857050878</v>
      </c>
      <c r="W50" s="38">
        <f>AVERAGE(K50:V50)</f>
        <v>-0.67060737857050878</v>
      </c>
      <c r="X50" s="37">
        <f>STDEV(K50:V50)/SQRT(COUNT(K50:V50))</f>
        <v>0</v>
      </c>
      <c r="Y50" s="36">
        <f>MIN(K50:V50)</f>
        <v>-0.67060737857050878</v>
      </c>
      <c r="Z50" s="35">
        <f>QUARTILE(K50:V50,1)</f>
        <v>-0.67060737857050878</v>
      </c>
      <c r="AA50" s="36">
        <f>MEDIAN(K50:V50)</f>
        <v>-0.67060737857050878</v>
      </c>
      <c r="AB50" s="35">
        <f>QUARTILE(K50:V50,3)</f>
        <v>-0.67060737857050878</v>
      </c>
      <c r="AC50" s="35">
        <f>MAX(K50:V50)</f>
        <v>-0.67060737857050878</v>
      </c>
      <c r="AD50" s="35" t="e">
        <f>SKEW(K50:V50)</f>
        <v>#DIV/0!</v>
      </c>
      <c r="AE50" s="35" t="e">
        <f>KURT(K50:V50)</f>
        <v>#DIV/0!</v>
      </c>
    </row>
    <row r="51" spans="2:31" x14ac:dyDescent="0.2">
      <c r="B51" s="34">
        <f>[48]FormattedData!A27</f>
        <v>0</v>
      </c>
      <c r="C51" s="34" t="e">
        <f>VLOOKUP($B51,[48]TrtCodes!$B$11:I70,2)</f>
        <v>#N/A</v>
      </c>
      <c r="D51" s="34" t="e">
        <f>VLOOKUP($B51,[48]TrtCodes!$B$11:J70,3)</f>
        <v>#N/A</v>
      </c>
      <c r="E51" s="34" t="e">
        <f>VLOOKUP($B51,[48]TrtCodes!$B$11:K70,4)</f>
        <v>#N/A</v>
      </c>
      <c r="F51" s="34" t="e">
        <f>VLOOKUP($B51,[48]TrtCodes!$B$11:L70,5)</f>
        <v>#N/A</v>
      </c>
      <c r="G51" s="34" t="e">
        <f>VLOOKUP($B51,[48]TrtCodes!$B$11:M70,6)</f>
        <v>#N/A</v>
      </c>
      <c r="H51" s="34" t="e">
        <f>VLOOKUP($B51,[48]TrtCodes!$B$11:N70,7)</f>
        <v>#N/A</v>
      </c>
      <c r="I51" s="34">
        <f>[48]FormattedData!B27</f>
        <v>0</v>
      </c>
      <c r="J51" s="37">
        <f>[48]FormattedData!C27</f>
        <v>0</v>
      </c>
      <c r="K51" s="39">
        <f>$J$3+[48]FormattedData!D27*$J$4+$M$4*$J$5+[48]FormattedData!D27^2*$J$6+$M$5*$J$7</f>
        <v>-0.67060737857050878</v>
      </c>
      <c r="L51" s="39">
        <f>$J$3+[48]FormattedData!E27*$J$4+$M$4*$J$5+[48]FormattedData!E27^2*$J$6+$M$5*$J$7</f>
        <v>-0.67060737857050878</v>
      </c>
      <c r="M51" s="39">
        <f>$J$3+[48]FormattedData!F27*$J$4+$M$4*$J$5+[48]FormattedData!F27^2*$J$6+$M$5*$J$7</f>
        <v>-0.67060737857050878</v>
      </c>
      <c r="N51" s="39">
        <f>$J$3+[48]FormattedData!G27*$J$4+$M$4*$J$5+[48]FormattedData!G27^2*$J$6+$M$5*$J$7</f>
        <v>-0.67060737857050878</v>
      </c>
      <c r="O51" s="39">
        <f>$J$3+[48]FormattedData!H27*$J$4+$M$4*$J$5+[48]FormattedData!H27^2*$J$6+$M$5*$J$7</f>
        <v>-0.67060737857050878</v>
      </c>
      <c r="P51" s="39">
        <f>$J$3+[48]FormattedData!I27*$J$4+$M$4*$J$5+[48]FormattedData!I27^2*$J$6+$M$5*$J$7</f>
        <v>-0.67060737857050878</v>
      </c>
      <c r="Q51" s="39">
        <f>$J$3+[48]FormattedData!J27*$J$4+$M$4*$J$5+[48]FormattedData!J27^2*$J$6+$M$5*$J$7</f>
        <v>-0.67060737857050878</v>
      </c>
      <c r="R51" s="39">
        <f>$J$3+[48]FormattedData!K27*$J$4+$M$4*$J$5+[48]FormattedData!K27^2*$J$6+$M$5*$J$7</f>
        <v>-0.67060737857050878</v>
      </c>
      <c r="S51" s="39">
        <f>$J$3+[48]FormattedData!L27*$J$4+$M$4*$J$5+[48]FormattedData!L27^2*$J$6+$M$5*$J$7</f>
        <v>-0.67060737857050878</v>
      </c>
      <c r="T51" s="39">
        <f>$J$3+[48]FormattedData!M27*$J$4+$M$4*$J$5+[48]FormattedData!M27^2*$J$6+$M$5*$J$7</f>
        <v>-0.67060737857050878</v>
      </c>
      <c r="U51" s="39">
        <f>$J$3+[48]FormattedData!N27*$J$4+$M$4*$J$5+[48]FormattedData!N27^2*$J$6+$M$5*$J$7</f>
        <v>-0.67060737857050878</v>
      </c>
      <c r="V51" s="39">
        <f>$J$3+[48]FormattedData!O27*$J$4+$M$4*$J$5+[48]FormattedData!O27^2*$J$6+$M$5*$J$7</f>
        <v>-0.67060737857050878</v>
      </c>
      <c r="W51" s="38">
        <f>AVERAGE(K51:V51)</f>
        <v>-0.67060737857050878</v>
      </c>
      <c r="X51" s="37">
        <f>STDEV(K51:V51)/SQRT(COUNT(K51:V51))</f>
        <v>0</v>
      </c>
      <c r="Y51" s="36">
        <f>MIN(K51:V51)</f>
        <v>-0.67060737857050878</v>
      </c>
      <c r="Z51" s="35">
        <f>QUARTILE(K51:V51,1)</f>
        <v>-0.67060737857050878</v>
      </c>
      <c r="AA51" s="36">
        <f>MEDIAN(K51:V51)</f>
        <v>-0.67060737857050878</v>
      </c>
      <c r="AB51" s="35">
        <f>QUARTILE(K51:V51,3)</f>
        <v>-0.67060737857050878</v>
      </c>
      <c r="AC51" s="35">
        <f>MAX(K51:V51)</f>
        <v>-0.67060737857050878</v>
      </c>
      <c r="AD51" s="35" t="e">
        <f>SKEW(K51:V51)</f>
        <v>#DIV/0!</v>
      </c>
      <c r="AE51" s="35" t="e">
        <f>KURT(K51:V51)</f>
        <v>#DIV/0!</v>
      </c>
    </row>
    <row r="52" spans="2:31" x14ac:dyDescent="0.2">
      <c r="B52" s="34">
        <f>[48]FormattedData!A25</f>
        <v>0</v>
      </c>
      <c r="C52" s="34" t="e">
        <f>VLOOKUP($B52,[48]TrtCodes!$B$11:I68,2)</f>
        <v>#N/A</v>
      </c>
      <c r="D52" s="34" t="e">
        <f>VLOOKUP($B52,[48]TrtCodes!$B$11:J68,3)</f>
        <v>#N/A</v>
      </c>
      <c r="E52" s="34" t="e">
        <f>VLOOKUP($B52,[48]TrtCodes!$B$11:K68,4)</f>
        <v>#N/A</v>
      </c>
      <c r="F52" s="34" t="e">
        <f>VLOOKUP($B52,[48]TrtCodes!$B$11:L68,5)</f>
        <v>#N/A</v>
      </c>
      <c r="G52" s="34" t="e">
        <f>VLOOKUP($B52,[48]TrtCodes!$B$11:M68,6)</f>
        <v>#N/A</v>
      </c>
      <c r="H52" s="34" t="e">
        <f>VLOOKUP($B52,[48]TrtCodes!$B$11:N68,7)</f>
        <v>#N/A</v>
      </c>
      <c r="I52" s="34">
        <f>[48]FormattedData!B25</f>
        <v>0</v>
      </c>
      <c r="J52" s="37">
        <f>[48]FormattedData!C25</f>
        <v>0</v>
      </c>
      <c r="K52" s="39">
        <f>$J$3+[48]FormattedData!D25*$J$4+$M$4*$J$5+[48]FormattedData!D25^2*$J$6+$M$5*$J$7</f>
        <v>-0.67060737857050878</v>
      </c>
      <c r="L52" s="39">
        <f>$J$3+[48]FormattedData!E25*$J$4+$M$4*$J$5+[48]FormattedData!E25^2*$J$6+$M$5*$J$7</f>
        <v>-0.67060737857050878</v>
      </c>
      <c r="M52" s="39">
        <f>$J$3+[48]FormattedData!F25*$J$4+$M$4*$J$5+[48]FormattedData!F25^2*$J$6+$M$5*$J$7</f>
        <v>-0.67060737857050878</v>
      </c>
      <c r="N52" s="39">
        <f>$J$3+[48]FormattedData!G25*$J$4+$M$4*$J$5+[48]FormattedData!G25^2*$J$6+$M$5*$J$7</f>
        <v>-0.67060737857050878</v>
      </c>
      <c r="O52" s="39">
        <f>$J$3+[48]FormattedData!H25*$J$4+$M$4*$J$5+[48]FormattedData!H25^2*$J$6+$M$5*$J$7</f>
        <v>-0.67060737857050878</v>
      </c>
      <c r="P52" s="39">
        <f>$J$3+[48]FormattedData!I25*$J$4+$M$4*$J$5+[48]FormattedData!I25^2*$J$6+$M$5*$J$7</f>
        <v>-0.67060737857050878</v>
      </c>
      <c r="Q52" s="39">
        <f>$J$3+[48]FormattedData!J25*$J$4+$M$4*$J$5+[48]FormattedData!J25^2*$J$6+$M$5*$J$7</f>
        <v>-0.67060737857050878</v>
      </c>
      <c r="R52" s="39">
        <f>$J$3+[48]FormattedData!K25*$J$4+$M$4*$J$5+[48]FormattedData!K25^2*$J$6+$M$5*$J$7</f>
        <v>-0.67060737857050878</v>
      </c>
      <c r="S52" s="39">
        <f>$J$3+[48]FormattedData!L25*$J$4+$M$4*$J$5+[48]FormattedData!L25^2*$J$6+$M$5*$J$7</f>
        <v>-0.67060737857050878</v>
      </c>
      <c r="T52" s="39">
        <f>$J$3+[48]FormattedData!M25*$J$4+$M$4*$J$5+[48]FormattedData!M25^2*$J$6+$M$5*$J$7</f>
        <v>-0.67060737857050878</v>
      </c>
      <c r="U52" s="39">
        <f>$J$3+[48]FormattedData!N25*$J$4+$M$4*$J$5+[48]FormattedData!N25^2*$J$6+$M$5*$J$7</f>
        <v>-0.67060737857050878</v>
      </c>
      <c r="V52" s="39">
        <f>$J$3+[48]FormattedData!O25*$J$4+$M$4*$J$5+[48]FormattedData!O25^2*$J$6+$M$5*$J$7</f>
        <v>-0.67060737857050878</v>
      </c>
      <c r="W52" s="38">
        <f>AVERAGE(K52:V52)</f>
        <v>-0.67060737857050878</v>
      </c>
      <c r="X52" s="37">
        <f>STDEV(K52:V52)/SQRT(COUNT(K52:V52))</f>
        <v>0</v>
      </c>
      <c r="Y52" s="36">
        <f>MIN(K52:V52)</f>
        <v>-0.67060737857050878</v>
      </c>
      <c r="Z52" s="35">
        <f>QUARTILE(K52:V52,1)</f>
        <v>-0.67060737857050878</v>
      </c>
      <c r="AA52" s="36">
        <f>MEDIAN(K52:V52)</f>
        <v>-0.67060737857050878</v>
      </c>
      <c r="AB52" s="35">
        <f>QUARTILE(K52:V52,3)</f>
        <v>-0.67060737857050878</v>
      </c>
      <c r="AC52" s="35">
        <f>MAX(K52:V52)</f>
        <v>-0.67060737857050878</v>
      </c>
      <c r="AD52" s="35" t="e">
        <f>SKEW(K52:V52)</f>
        <v>#DIV/0!</v>
      </c>
      <c r="AE52" s="35" t="e">
        <f>KURT(K52:V52)</f>
        <v>#DIV/0!</v>
      </c>
    </row>
    <row r="53" spans="2:31" x14ac:dyDescent="0.2">
      <c r="B53" s="34">
        <f>[48]FormattedData!A23</f>
        <v>0</v>
      </c>
      <c r="C53" s="34" t="e">
        <f>VLOOKUP($B53,[48]TrtCodes!$B$11:I66,2)</f>
        <v>#N/A</v>
      </c>
      <c r="D53" s="34" t="e">
        <f>VLOOKUP($B53,[48]TrtCodes!$B$11:J66,3)</f>
        <v>#N/A</v>
      </c>
      <c r="E53" s="34" t="e">
        <f>VLOOKUP($B53,[48]TrtCodes!$B$11:K66,4)</f>
        <v>#N/A</v>
      </c>
      <c r="F53" s="34" t="e">
        <f>VLOOKUP($B53,[48]TrtCodes!$B$11:L66,5)</f>
        <v>#N/A</v>
      </c>
      <c r="G53" s="34" t="e">
        <f>VLOOKUP($B53,[48]TrtCodes!$B$11:M66,6)</f>
        <v>#N/A</v>
      </c>
      <c r="H53" s="34" t="e">
        <f>VLOOKUP($B53,[48]TrtCodes!$B$11:N66,7)</f>
        <v>#N/A</v>
      </c>
      <c r="I53" s="34">
        <f>[48]FormattedData!B23</f>
        <v>0</v>
      </c>
      <c r="J53" s="37">
        <f>[48]FormattedData!C23</f>
        <v>0</v>
      </c>
      <c r="K53" s="39">
        <f>$J$3+[48]FormattedData!D23*$J$4+$M$4*$J$5+[48]FormattedData!D23^2*$J$6+$M$5*$J$7</f>
        <v>-0.67060737857050878</v>
      </c>
      <c r="L53" s="39">
        <f>$J$3+[48]FormattedData!E23*$J$4+$M$4*$J$5+[48]FormattedData!E23^2*$J$6+$M$5*$J$7</f>
        <v>-0.67060737857050878</v>
      </c>
      <c r="M53" s="39">
        <f>$J$3+[48]FormattedData!F23*$J$4+$M$4*$J$5+[48]FormattedData!F23^2*$J$6+$M$5*$J$7</f>
        <v>-0.67060737857050878</v>
      </c>
      <c r="N53" s="39">
        <f>$J$3+[48]FormattedData!G23*$J$4+$M$4*$J$5+[48]FormattedData!G23^2*$J$6+$M$5*$J$7</f>
        <v>-0.67060737857050878</v>
      </c>
      <c r="O53" s="39">
        <f>$J$3+[48]FormattedData!H23*$J$4+$M$4*$J$5+[48]FormattedData!H23^2*$J$6+$M$5*$J$7</f>
        <v>-0.67060737857050878</v>
      </c>
      <c r="P53" s="39">
        <f>$J$3+[48]FormattedData!I23*$J$4+$M$4*$J$5+[48]FormattedData!I23^2*$J$6+$M$5*$J$7</f>
        <v>-0.67060737857050878</v>
      </c>
      <c r="Q53" s="39">
        <f>$J$3+[48]FormattedData!J23*$J$4+$M$4*$J$5+[48]FormattedData!J23^2*$J$6+$M$5*$J$7</f>
        <v>-0.67060737857050878</v>
      </c>
      <c r="R53" s="39">
        <f>$J$3+[48]FormattedData!K23*$J$4+$M$4*$J$5+[48]FormattedData!K23^2*$J$6+$M$5*$J$7</f>
        <v>-0.67060737857050878</v>
      </c>
      <c r="S53" s="39">
        <f>$J$3+[48]FormattedData!L23*$J$4+$M$4*$J$5+[48]FormattedData!L23^2*$J$6+$M$5*$J$7</f>
        <v>-0.67060737857050878</v>
      </c>
      <c r="T53" s="39">
        <f>$J$3+[48]FormattedData!M23*$J$4+$M$4*$J$5+[48]FormattedData!M23^2*$J$6+$M$5*$J$7</f>
        <v>-0.67060737857050878</v>
      </c>
      <c r="U53" s="39">
        <f>$J$3+[48]FormattedData!N23*$J$4+$M$4*$J$5+[48]FormattedData!N23^2*$J$6+$M$5*$J$7</f>
        <v>-0.67060737857050878</v>
      </c>
      <c r="V53" s="39">
        <f>$J$3+[48]FormattedData!O23*$J$4+$M$4*$J$5+[48]FormattedData!O23^2*$J$6+$M$5*$J$7</f>
        <v>-0.67060737857050878</v>
      </c>
      <c r="W53" s="38">
        <f>AVERAGE(K53:V53)</f>
        <v>-0.67060737857050878</v>
      </c>
      <c r="X53" s="37">
        <f>STDEV(K53:V53)/SQRT(COUNT(K53:V53))</f>
        <v>0</v>
      </c>
      <c r="Y53" s="36">
        <f>MIN(K53:V53)</f>
        <v>-0.67060737857050878</v>
      </c>
      <c r="Z53" s="35">
        <f>QUARTILE(K53:V53,1)</f>
        <v>-0.67060737857050878</v>
      </c>
      <c r="AA53" s="36">
        <f>MEDIAN(K53:V53)</f>
        <v>-0.67060737857050878</v>
      </c>
      <c r="AB53" s="35">
        <f>QUARTILE(K53:V53,3)</f>
        <v>-0.67060737857050878</v>
      </c>
      <c r="AC53" s="35">
        <f>MAX(K53:V53)</f>
        <v>-0.67060737857050878</v>
      </c>
      <c r="AD53" s="35" t="e">
        <f>SKEW(K53:V53)</f>
        <v>#DIV/0!</v>
      </c>
      <c r="AE53" s="35" t="e">
        <f>KURT(K53:V53)</f>
        <v>#DIV/0!</v>
      </c>
    </row>
    <row r="54" spans="2:31" x14ac:dyDescent="0.2">
      <c r="B54" s="34">
        <f>[48]FormattedData!A21</f>
        <v>0</v>
      </c>
      <c r="C54" s="34" t="e">
        <f>VLOOKUP($B54,[48]TrtCodes!$B$11:I64,2)</f>
        <v>#N/A</v>
      </c>
      <c r="D54" s="34" t="e">
        <f>VLOOKUP($B54,[48]TrtCodes!$B$11:J64,3)</f>
        <v>#N/A</v>
      </c>
      <c r="E54" s="34" t="e">
        <f>VLOOKUP($B54,[48]TrtCodes!$B$11:K64,4)</f>
        <v>#N/A</v>
      </c>
      <c r="F54" s="34" t="e">
        <f>VLOOKUP($B54,[48]TrtCodes!$B$11:L64,5)</f>
        <v>#N/A</v>
      </c>
      <c r="G54" s="34" t="e">
        <f>VLOOKUP($B54,[48]TrtCodes!$B$11:M64,6)</f>
        <v>#N/A</v>
      </c>
      <c r="H54" s="34" t="e">
        <f>VLOOKUP($B54,[48]TrtCodes!$B$11:N64,7)</f>
        <v>#N/A</v>
      </c>
      <c r="I54" s="34">
        <f>[48]FormattedData!B21</f>
        <v>0</v>
      </c>
      <c r="J54" s="37">
        <f>[48]FormattedData!C21</f>
        <v>0</v>
      </c>
      <c r="K54" s="39">
        <f>$J$3+[48]FormattedData!D21*$J$4+$M$4*$J$5+[48]FormattedData!D21^2*$J$6+$M$5*$J$7</f>
        <v>-0.67060737857050878</v>
      </c>
      <c r="L54" s="39">
        <f>$J$3+[48]FormattedData!E21*$J$4+$M$4*$J$5+[48]FormattedData!E21^2*$J$6+$M$5*$J$7</f>
        <v>-0.67060737857050878</v>
      </c>
      <c r="M54" s="39">
        <f>$J$3+[48]FormattedData!F21*$J$4+$M$4*$J$5+[48]FormattedData!F21^2*$J$6+$M$5*$J$7</f>
        <v>-0.67060737857050878</v>
      </c>
      <c r="N54" s="39">
        <f>$J$3+[48]FormattedData!G21*$J$4+$M$4*$J$5+[48]FormattedData!G21^2*$J$6+$M$5*$J$7</f>
        <v>-0.67060737857050878</v>
      </c>
      <c r="O54" s="39">
        <f>$J$3+[48]FormattedData!H21*$J$4+$M$4*$J$5+[48]FormattedData!H21^2*$J$6+$M$5*$J$7</f>
        <v>-0.67060737857050878</v>
      </c>
      <c r="P54" s="39">
        <f>$J$3+[48]FormattedData!I21*$J$4+$M$4*$J$5+[48]FormattedData!I21^2*$J$6+$M$5*$J$7</f>
        <v>-0.67060737857050878</v>
      </c>
      <c r="Q54" s="39">
        <f>$J$3+[48]FormattedData!J21*$J$4+$M$4*$J$5+[48]FormattedData!J21^2*$J$6+$M$5*$J$7</f>
        <v>-0.67060737857050878</v>
      </c>
      <c r="R54" s="39">
        <f>$J$3+[48]FormattedData!K21*$J$4+$M$4*$J$5+[48]FormattedData!K21^2*$J$6+$M$5*$J$7</f>
        <v>-0.67060737857050878</v>
      </c>
      <c r="S54" s="39">
        <f>$J$3+[48]FormattedData!L21*$J$4+$M$4*$J$5+[48]FormattedData!L21^2*$J$6+$M$5*$J$7</f>
        <v>-0.67060737857050878</v>
      </c>
      <c r="T54" s="39">
        <f>$J$3+[48]FormattedData!M21*$J$4+$M$4*$J$5+[48]FormattedData!M21^2*$J$6+$M$5*$J$7</f>
        <v>-0.67060737857050878</v>
      </c>
      <c r="U54" s="39">
        <f>$J$3+[48]FormattedData!N21*$J$4+$M$4*$J$5+[48]FormattedData!N21^2*$J$6+$M$5*$J$7</f>
        <v>-0.67060737857050878</v>
      </c>
      <c r="V54" s="39">
        <f>$J$3+[48]FormattedData!O21*$J$4+$M$4*$J$5+[48]FormattedData!O21^2*$J$6+$M$5*$J$7</f>
        <v>-0.67060737857050878</v>
      </c>
      <c r="W54" s="38">
        <f>AVERAGE(K54:V54)</f>
        <v>-0.67060737857050878</v>
      </c>
      <c r="X54" s="37">
        <f>STDEV(K54:V54)/SQRT(COUNT(K54:V54))</f>
        <v>0</v>
      </c>
      <c r="Y54" s="36">
        <f>MIN(K54:V54)</f>
        <v>-0.67060737857050878</v>
      </c>
      <c r="Z54" s="35">
        <f>QUARTILE(K54:V54,1)</f>
        <v>-0.67060737857050878</v>
      </c>
      <c r="AA54" s="36">
        <f>MEDIAN(K54:V54)</f>
        <v>-0.67060737857050878</v>
      </c>
      <c r="AB54" s="35">
        <f>QUARTILE(K54:V54,3)</f>
        <v>-0.67060737857050878</v>
      </c>
      <c r="AC54" s="35">
        <f>MAX(K54:V54)</f>
        <v>-0.67060737857050878</v>
      </c>
      <c r="AD54" s="35" t="e">
        <f>SKEW(K54:V54)</f>
        <v>#DIV/0!</v>
      </c>
      <c r="AE54" s="35" t="e">
        <f>KURT(K54:V54)</f>
        <v>#DIV/0!</v>
      </c>
    </row>
    <row r="55" spans="2:31" x14ac:dyDescent="0.2">
      <c r="B55" s="34">
        <f>[48]FormattedData!A19</f>
        <v>0</v>
      </c>
      <c r="C55" s="34" t="e">
        <f>VLOOKUP($B55,[48]TrtCodes!$B$11:I62,2)</f>
        <v>#N/A</v>
      </c>
      <c r="D55" s="34" t="e">
        <f>VLOOKUP($B55,[48]TrtCodes!$B$11:J62,3)</f>
        <v>#N/A</v>
      </c>
      <c r="E55" s="34" t="e">
        <f>VLOOKUP($B55,[48]TrtCodes!$B$11:K62,4)</f>
        <v>#N/A</v>
      </c>
      <c r="F55" s="34" t="e">
        <f>VLOOKUP($B55,[48]TrtCodes!$B$11:L62,5)</f>
        <v>#N/A</v>
      </c>
      <c r="G55" s="34" t="e">
        <f>VLOOKUP($B55,[48]TrtCodes!$B$11:M62,6)</f>
        <v>#N/A</v>
      </c>
      <c r="H55" s="34" t="e">
        <f>VLOOKUP($B55,[48]TrtCodes!$B$11:N62,7)</f>
        <v>#N/A</v>
      </c>
      <c r="I55" s="34">
        <f>[48]FormattedData!B19</f>
        <v>0</v>
      </c>
      <c r="J55" s="37">
        <f>[48]FormattedData!C19</f>
        <v>0</v>
      </c>
      <c r="K55" s="39">
        <f>$J$3+[48]FormattedData!D19*$J$4+$M$4*$J$5+[48]FormattedData!D19^2*$J$6+$M$5*$J$7</f>
        <v>-0.67060737857050878</v>
      </c>
      <c r="L55" s="39">
        <f>$J$3+[48]FormattedData!E19*$J$4+$M$4*$J$5+[48]FormattedData!E19^2*$J$6+$M$5*$J$7</f>
        <v>-0.67060737857050878</v>
      </c>
      <c r="M55" s="39">
        <f>$J$3+[48]FormattedData!F19*$J$4+$M$4*$J$5+[48]FormattedData!F19^2*$J$6+$M$5*$J$7</f>
        <v>-0.67060737857050878</v>
      </c>
      <c r="N55" s="39">
        <f>$J$3+[48]FormattedData!G19*$J$4+$M$4*$J$5+[48]FormattedData!G19^2*$J$6+$M$5*$J$7</f>
        <v>-0.67060737857050878</v>
      </c>
      <c r="O55" s="39">
        <f>$J$3+[48]FormattedData!H19*$J$4+$M$4*$J$5+[48]FormattedData!H19^2*$J$6+$M$5*$J$7</f>
        <v>-0.67060737857050878</v>
      </c>
      <c r="P55" s="39">
        <f>$J$3+[48]FormattedData!I19*$J$4+$M$4*$J$5+[48]FormattedData!I19^2*$J$6+$M$5*$J$7</f>
        <v>-0.67060737857050878</v>
      </c>
      <c r="Q55" s="39">
        <f>$J$3+[48]FormattedData!J19*$J$4+$M$4*$J$5+[48]FormattedData!J19^2*$J$6+$M$5*$J$7</f>
        <v>-0.67060737857050878</v>
      </c>
      <c r="R55" s="39">
        <f>$J$3+[48]FormattedData!K19*$J$4+$M$4*$J$5+[48]FormattedData!K19^2*$J$6+$M$5*$J$7</f>
        <v>-0.67060737857050878</v>
      </c>
      <c r="S55" s="39">
        <f>$J$3+[48]FormattedData!L19*$J$4+$M$4*$J$5+[48]FormattedData!L19^2*$J$6+$M$5*$J$7</f>
        <v>-0.67060737857050878</v>
      </c>
      <c r="T55" s="39">
        <f>$J$3+[48]FormattedData!M19*$J$4+$M$4*$J$5+[48]FormattedData!M19^2*$J$6+$M$5*$J$7</f>
        <v>-0.67060737857050878</v>
      </c>
      <c r="U55" s="39">
        <f>$J$3+[48]FormattedData!N19*$J$4+$M$4*$J$5+[48]FormattedData!N19^2*$J$6+$M$5*$J$7</f>
        <v>-0.67060737857050878</v>
      </c>
      <c r="V55" s="39">
        <f>$J$3+[48]FormattedData!O19*$J$4+$M$4*$J$5+[48]FormattedData!O19^2*$J$6+$M$5*$J$7</f>
        <v>-0.67060737857050878</v>
      </c>
      <c r="W55" s="38">
        <f>AVERAGE(K55:V55)</f>
        <v>-0.67060737857050878</v>
      </c>
      <c r="X55" s="37">
        <f>STDEV(K55:V55)/SQRT(COUNT(K55:V55))</f>
        <v>0</v>
      </c>
      <c r="Y55" s="36">
        <f>MIN(K55:V55)</f>
        <v>-0.67060737857050878</v>
      </c>
      <c r="Z55" s="35">
        <f>QUARTILE(K55:V55,1)</f>
        <v>-0.67060737857050878</v>
      </c>
      <c r="AA55" s="36">
        <f>MEDIAN(K55:V55)</f>
        <v>-0.67060737857050878</v>
      </c>
      <c r="AB55" s="35">
        <f>QUARTILE(K55:V55,3)</f>
        <v>-0.67060737857050878</v>
      </c>
      <c r="AC55" s="35">
        <f>MAX(K55:V55)</f>
        <v>-0.67060737857050878</v>
      </c>
      <c r="AD55" s="35" t="e">
        <f>SKEW(K55:V55)</f>
        <v>#DIV/0!</v>
      </c>
      <c r="AE55" s="35" t="e">
        <f>KURT(K55:V55)</f>
        <v>#DIV/0!</v>
      </c>
    </row>
    <row r="56" spans="2:31" x14ac:dyDescent="0.2">
      <c r="B56" s="34">
        <f>[48]FormattedData!A17</f>
        <v>0</v>
      </c>
      <c r="C56" s="34" t="e">
        <f>VLOOKUP($B56,[48]TrtCodes!$B$11:I60,2)</f>
        <v>#N/A</v>
      </c>
      <c r="D56" s="34" t="e">
        <f>VLOOKUP($B56,[48]TrtCodes!$B$11:J60,3)</f>
        <v>#N/A</v>
      </c>
      <c r="E56" s="34" t="e">
        <f>VLOOKUP($B56,[48]TrtCodes!$B$11:K60,4)</f>
        <v>#N/A</v>
      </c>
      <c r="F56" s="34" t="e">
        <f>VLOOKUP($B56,[48]TrtCodes!$B$11:L60,5)</f>
        <v>#N/A</v>
      </c>
      <c r="G56" s="34" t="e">
        <f>VLOOKUP($B56,[48]TrtCodes!$B$11:M60,6)</f>
        <v>#N/A</v>
      </c>
      <c r="H56" s="34" t="e">
        <f>VLOOKUP($B56,[48]TrtCodes!$B$11:N60,7)</f>
        <v>#N/A</v>
      </c>
      <c r="I56" s="34">
        <f>[48]FormattedData!B17</f>
        <v>0</v>
      </c>
      <c r="J56" s="37">
        <f>[48]FormattedData!C17</f>
        <v>0</v>
      </c>
      <c r="K56" s="39">
        <f>$J$3+[48]FormattedData!D17*$J$4+$M$4*$J$5+[48]FormattedData!D17^2*$J$6+$M$5*$J$7</f>
        <v>-0.67060737857050878</v>
      </c>
      <c r="L56" s="39">
        <f>$J$3+[48]FormattedData!E17*$J$4+$M$4*$J$5+[48]FormattedData!E17^2*$J$6+$M$5*$J$7</f>
        <v>-0.67060737857050878</v>
      </c>
      <c r="M56" s="39">
        <f>$J$3+[48]FormattedData!F17*$J$4+$M$4*$J$5+[48]FormattedData!F17^2*$J$6+$M$5*$J$7</f>
        <v>-0.67060737857050878</v>
      </c>
      <c r="N56" s="39">
        <f>$J$3+[48]FormattedData!G17*$J$4+$M$4*$J$5+[48]FormattedData!G17^2*$J$6+$M$5*$J$7</f>
        <v>-0.67060737857050878</v>
      </c>
      <c r="O56" s="39">
        <f>$J$3+[48]FormattedData!H17*$J$4+$M$4*$J$5+[48]FormattedData!H17^2*$J$6+$M$5*$J$7</f>
        <v>-0.67060737857050878</v>
      </c>
      <c r="P56" s="39">
        <f>$J$3+[48]FormattedData!I17*$J$4+$M$4*$J$5+[48]FormattedData!I17^2*$J$6+$M$5*$J$7</f>
        <v>-0.67060737857050878</v>
      </c>
      <c r="Q56" s="39">
        <f>$J$3+[48]FormattedData!J17*$J$4+$M$4*$J$5+[48]FormattedData!J17^2*$J$6+$M$5*$J$7</f>
        <v>-0.67060737857050878</v>
      </c>
      <c r="R56" s="39">
        <f>$J$3+[48]FormattedData!K17*$J$4+$M$4*$J$5+[48]FormattedData!K17^2*$J$6+$M$5*$J$7</f>
        <v>-0.67060737857050878</v>
      </c>
      <c r="S56" s="39">
        <f>$J$3+[48]FormattedData!L17*$J$4+$M$4*$J$5+[48]FormattedData!L17^2*$J$6+$M$5*$J$7</f>
        <v>-0.67060737857050878</v>
      </c>
      <c r="T56" s="39">
        <f>$J$3+[48]FormattedData!M17*$J$4+$M$4*$J$5+[48]FormattedData!M17^2*$J$6+$M$5*$J$7</f>
        <v>-0.67060737857050878</v>
      </c>
      <c r="U56" s="39">
        <f>$J$3+[48]FormattedData!N17*$J$4+$M$4*$J$5+[48]FormattedData!N17^2*$J$6+$M$5*$J$7</f>
        <v>-0.67060737857050878</v>
      </c>
      <c r="V56" s="39">
        <f>$J$3+[48]FormattedData!O17*$J$4+$M$4*$J$5+[48]FormattedData!O17^2*$J$6+$M$5*$J$7</f>
        <v>-0.67060737857050878</v>
      </c>
      <c r="W56" s="38">
        <f>AVERAGE(K56:V56)</f>
        <v>-0.67060737857050878</v>
      </c>
      <c r="X56" s="37">
        <f>STDEV(K56:V56)/SQRT(COUNT(K56:V56))</f>
        <v>0</v>
      </c>
      <c r="Y56" s="36">
        <f>MIN(K56:V56)</f>
        <v>-0.67060737857050878</v>
      </c>
      <c r="Z56" s="35">
        <f>QUARTILE(K56:V56,1)</f>
        <v>-0.67060737857050878</v>
      </c>
      <c r="AA56" s="36">
        <f>MEDIAN(K56:V56)</f>
        <v>-0.67060737857050878</v>
      </c>
      <c r="AB56" s="35">
        <f>QUARTILE(K56:V56,3)</f>
        <v>-0.67060737857050878</v>
      </c>
      <c r="AC56" s="35">
        <f>MAX(K56:V56)</f>
        <v>-0.67060737857050878</v>
      </c>
      <c r="AD56" s="35" t="e">
        <f>SKEW(K56:V56)</f>
        <v>#DIV/0!</v>
      </c>
      <c r="AE56" s="35" t="e">
        <f>KURT(K56:V56)</f>
        <v>#DIV/0!</v>
      </c>
    </row>
    <row r="57" spans="2:31" x14ac:dyDescent="0.2">
      <c r="B57" s="34">
        <f>[48]FormattedData!A15</f>
        <v>0</v>
      </c>
      <c r="C57" s="34" t="e">
        <f>VLOOKUP($B57,[48]TrtCodes!$B$11:I58,2)</f>
        <v>#N/A</v>
      </c>
      <c r="D57" s="34" t="e">
        <f>VLOOKUP($B57,[48]TrtCodes!$B$11:J58,3)</f>
        <v>#N/A</v>
      </c>
      <c r="E57" s="34" t="e">
        <f>VLOOKUP($B57,[48]TrtCodes!$B$11:K58,4)</f>
        <v>#N/A</v>
      </c>
      <c r="F57" s="34" t="e">
        <f>VLOOKUP($B57,[48]TrtCodes!$B$11:L58,5)</f>
        <v>#N/A</v>
      </c>
      <c r="G57" s="34" t="e">
        <f>VLOOKUP($B57,[48]TrtCodes!$B$11:M58,6)</f>
        <v>#N/A</v>
      </c>
      <c r="H57" s="34" t="e">
        <f>VLOOKUP($B57,[48]TrtCodes!$B$11:N58,7)</f>
        <v>#N/A</v>
      </c>
      <c r="I57" s="34">
        <f>[48]FormattedData!B15</f>
        <v>0</v>
      </c>
      <c r="J57" s="37">
        <f>[48]FormattedData!C15</f>
        <v>0</v>
      </c>
      <c r="K57" s="39">
        <f>$J$3+[48]FormattedData!D15*$J$4+$M$4*$J$5+[48]FormattedData!D15^2*$J$6+$M$5*$J$7</f>
        <v>-0.67060737857050878</v>
      </c>
      <c r="L57" s="39">
        <f>$J$3+[48]FormattedData!E15*$J$4+$M$4*$J$5+[48]FormattedData!E15^2*$J$6+$M$5*$J$7</f>
        <v>-0.67060737857050878</v>
      </c>
      <c r="M57" s="39">
        <f>$J$3+[48]FormattedData!F15*$J$4+$M$4*$J$5+[48]FormattedData!F15^2*$J$6+$M$5*$J$7</f>
        <v>-0.67060737857050878</v>
      </c>
      <c r="N57" s="39">
        <f>$J$3+[48]FormattedData!G15*$J$4+$M$4*$J$5+[48]FormattedData!G15^2*$J$6+$M$5*$J$7</f>
        <v>-0.67060737857050878</v>
      </c>
      <c r="O57" s="39">
        <f>$J$3+[48]FormattedData!H15*$J$4+$M$4*$J$5+[48]FormattedData!H15^2*$J$6+$M$5*$J$7</f>
        <v>-0.67060737857050878</v>
      </c>
      <c r="P57" s="39">
        <f>$J$3+[48]FormattedData!I15*$J$4+$M$4*$J$5+[48]FormattedData!I15^2*$J$6+$M$5*$J$7</f>
        <v>-0.67060737857050878</v>
      </c>
      <c r="Q57" s="39">
        <f>$J$3+[48]FormattedData!J15*$J$4+$M$4*$J$5+[48]FormattedData!J15^2*$J$6+$M$5*$J$7</f>
        <v>-0.67060737857050878</v>
      </c>
      <c r="R57" s="39">
        <f>$J$3+[48]FormattedData!K15*$J$4+$M$4*$J$5+[48]FormattedData!K15^2*$J$6+$M$5*$J$7</f>
        <v>-0.67060737857050878</v>
      </c>
      <c r="S57" s="39">
        <f>$J$3+[48]FormattedData!L15*$J$4+$M$4*$J$5+[48]FormattedData!L15^2*$J$6+$M$5*$J$7</f>
        <v>-0.67060737857050878</v>
      </c>
      <c r="T57" s="39">
        <f>$J$3+[48]FormattedData!M15*$J$4+$M$4*$J$5+[48]FormattedData!M15^2*$J$6+$M$5*$J$7</f>
        <v>-0.67060737857050878</v>
      </c>
      <c r="U57" s="39">
        <f>$J$3+[48]FormattedData!N15*$J$4+$M$4*$J$5+[48]FormattedData!N15^2*$J$6+$M$5*$J$7</f>
        <v>-0.67060737857050878</v>
      </c>
      <c r="V57" s="39">
        <f>$J$3+[48]FormattedData!O15*$J$4+$M$4*$J$5+[48]FormattedData!O15^2*$J$6+$M$5*$J$7</f>
        <v>-0.67060737857050878</v>
      </c>
      <c r="W57" s="38">
        <f>AVERAGE(K57:V57)</f>
        <v>-0.67060737857050878</v>
      </c>
      <c r="X57" s="37">
        <f>STDEV(K57:V57)/SQRT(COUNT(K57:V57))</f>
        <v>0</v>
      </c>
      <c r="Y57" s="36">
        <f>MIN(K57:V57)</f>
        <v>-0.67060737857050878</v>
      </c>
      <c r="Z57" s="35">
        <f>QUARTILE(K57:V57,1)</f>
        <v>-0.67060737857050878</v>
      </c>
      <c r="AA57" s="36">
        <f>MEDIAN(K57:V57)</f>
        <v>-0.67060737857050878</v>
      </c>
      <c r="AB57" s="35">
        <f>QUARTILE(K57:V57,3)</f>
        <v>-0.67060737857050878</v>
      </c>
      <c r="AC57" s="35">
        <f>MAX(K57:V57)</f>
        <v>-0.67060737857050878</v>
      </c>
      <c r="AD57" s="35" t="e">
        <f>SKEW(K57:V57)</f>
        <v>#DIV/0!</v>
      </c>
      <c r="AE57" s="35" t="e">
        <f>KURT(K57:V57)</f>
        <v>#DIV/0!</v>
      </c>
    </row>
    <row r="58" spans="2:31" x14ac:dyDescent="0.2">
      <c r="B58" s="34">
        <f>[48]FormattedData!A31</f>
        <v>0</v>
      </c>
      <c r="C58" s="34" t="e">
        <f>VLOOKUP($B58,[48]TrtCodes!$B$11:I74,2)</f>
        <v>#N/A</v>
      </c>
      <c r="D58" s="34" t="e">
        <f>VLOOKUP($B58,[48]TrtCodes!$B$11:J74,3)</f>
        <v>#N/A</v>
      </c>
      <c r="E58" s="34" t="e">
        <f>VLOOKUP($B58,[48]TrtCodes!$B$11:K74,4)</f>
        <v>#N/A</v>
      </c>
      <c r="F58" s="34" t="e">
        <f>VLOOKUP($B58,[48]TrtCodes!$B$11:L74,5)</f>
        <v>#N/A</v>
      </c>
      <c r="G58" s="34" t="e">
        <f>VLOOKUP($B58,[48]TrtCodes!$B$11:M74,6)</f>
        <v>#N/A</v>
      </c>
      <c r="H58" s="34" t="e">
        <f>VLOOKUP($B58,[48]TrtCodes!$B$11:N74,7)</f>
        <v>#N/A</v>
      </c>
      <c r="I58" s="34">
        <f>[48]FormattedData!B31</f>
        <v>0</v>
      </c>
      <c r="J58" s="37">
        <f>[48]FormattedData!C31</f>
        <v>0</v>
      </c>
      <c r="K58" s="39">
        <f>$J$3+[48]FormattedData!D31*$J$4+$M$4*$J$5+[48]FormattedData!D31^2*$J$6+$M$5*$J$7</f>
        <v>-0.67060737857050878</v>
      </c>
      <c r="L58" s="39">
        <f>$J$3+[48]FormattedData!E31*$J$4+$M$4*$J$5+[48]FormattedData!E31^2*$J$6+$M$5*$J$7</f>
        <v>-0.67060737857050878</v>
      </c>
      <c r="M58" s="39">
        <f>$J$3+[48]FormattedData!F31*$J$4+$M$4*$J$5+[48]FormattedData!F31^2*$J$6+$M$5*$J$7</f>
        <v>-0.67060737857050878</v>
      </c>
      <c r="N58" s="39">
        <f>$J$3+[48]FormattedData!G31*$J$4+$M$4*$J$5+[48]FormattedData!G31^2*$J$6+$M$5*$J$7</f>
        <v>-0.67060737857050878</v>
      </c>
      <c r="O58" s="39">
        <f>$J$3+[48]FormattedData!H31*$J$4+$M$4*$J$5+[48]FormattedData!H31^2*$J$6+$M$5*$J$7</f>
        <v>-0.67060737857050878</v>
      </c>
      <c r="P58" s="39">
        <f>$J$3+[48]FormattedData!I31*$J$4+$M$4*$J$5+[48]FormattedData!I31^2*$J$6+$M$5*$J$7</f>
        <v>-0.67060737857050878</v>
      </c>
      <c r="Q58" s="39">
        <f>$J$3+[48]FormattedData!J31*$J$4+$M$4*$J$5+[48]FormattedData!J31^2*$J$6+$M$5*$J$7</f>
        <v>-0.67060737857050878</v>
      </c>
      <c r="R58" s="39">
        <f>$J$3+[48]FormattedData!K31*$J$4+$M$4*$J$5+[48]FormattedData!K31^2*$J$6+$M$5*$J$7</f>
        <v>-0.67060737857050878</v>
      </c>
      <c r="S58" s="39">
        <f>$J$3+[48]FormattedData!L31*$J$4+$M$4*$J$5+[48]FormattedData!L31^2*$J$6+$M$5*$J$7</f>
        <v>-0.67060737857050878</v>
      </c>
      <c r="T58" s="39">
        <f>$J$3+[48]FormattedData!M31*$J$4+$M$4*$J$5+[48]FormattedData!M31^2*$J$6+$M$5*$J$7</f>
        <v>-0.67060737857050878</v>
      </c>
      <c r="U58" s="39">
        <f>$J$3+[48]FormattedData!N31*$J$4+$M$4*$J$5+[48]FormattedData!N31^2*$J$6+$M$5*$J$7</f>
        <v>-0.67060737857050878</v>
      </c>
      <c r="V58" s="39">
        <f>$J$3+[48]FormattedData!O31*$J$4+$M$4*$J$5+[48]FormattedData!O31^2*$J$6+$M$5*$J$7</f>
        <v>-0.67060737857050878</v>
      </c>
      <c r="W58" s="38">
        <f>AVERAGE(K58:V58)</f>
        <v>-0.67060737857050878</v>
      </c>
      <c r="X58" s="37">
        <f>STDEV(K58:V58)/SQRT(COUNT(K58:V58))</f>
        <v>0</v>
      </c>
      <c r="Y58" s="36">
        <f>MIN(K58:V58)</f>
        <v>-0.67060737857050878</v>
      </c>
      <c r="Z58" s="35">
        <f>QUARTILE(K58:V58,1)</f>
        <v>-0.67060737857050878</v>
      </c>
      <c r="AA58" s="36">
        <f>MEDIAN(K58:V58)</f>
        <v>-0.67060737857050878</v>
      </c>
      <c r="AB58" s="35">
        <f>QUARTILE(K58:V58,3)</f>
        <v>-0.67060737857050878</v>
      </c>
      <c r="AC58" s="35">
        <f>MAX(K58:V58)</f>
        <v>-0.67060737857050878</v>
      </c>
      <c r="AD58" s="35" t="e">
        <f>SKEW(K58:V58)</f>
        <v>#DIV/0!</v>
      </c>
      <c r="AE58" s="35" t="e">
        <f>KURT(K58:V58)</f>
        <v>#DIV/0!</v>
      </c>
    </row>
    <row r="59" spans="2:31" x14ac:dyDescent="0.2">
      <c r="B59" s="34">
        <f>[48]FormattedData!A33</f>
        <v>0</v>
      </c>
      <c r="C59" s="34" t="e">
        <f>VLOOKUP($B59,[48]TrtCodes!$B$11:I76,2)</f>
        <v>#N/A</v>
      </c>
      <c r="D59" s="34" t="e">
        <f>VLOOKUP($B59,[48]TrtCodes!$B$11:J76,3)</f>
        <v>#N/A</v>
      </c>
      <c r="E59" s="34" t="e">
        <f>VLOOKUP($B59,[48]TrtCodes!$B$11:K76,4)</f>
        <v>#N/A</v>
      </c>
      <c r="F59" s="34" t="e">
        <f>VLOOKUP($B59,[48]TrtCodes!$B$11:L76,5)</f>
        <v>#N/A</v>
      </c>
      <c r="G59" s="34" t="e">
        <f>VLOOKUP($B59,[48]TrtCodes!$B$11:M76,6)</f>
        <v>#N/A</v>
      </c>
      <c r="H59" s="34" t="e">
        <f>VLOOKUP($B59,[48]TrtCodes!$B$11:N76,7)</f>
        <v>#N/A</v>
      </c>
      <c r="I59" s="34">
        <f>[48]FormattedData!B33</f>
        <v>0</v>
      </c>
      <c r="J59" s="37">
        <f>[48]FormattedData!C33</f>
        <v>0</v>
      </c>
      <c r="K59" s="39">
        <f>$J$3+[48]FormattedData!D33*$J$4+$M$4*$J$5+[48]FormattedData!D33^2*$J$6+$M$5*$J$7</f>
        <v>-0.67060737857050878</v>
      </c>
      <c r="L59" s="39">
        <f>$J$3+[48]FormattedData!E33*$J$4+$M$4*$J$5+[48]FormattedData!E33^2*$J$6+$M$5*$J$7</f>
        <v>-0.67060737857050878</v>
      </c>
      <c r="M59" s="39">
        <f>$J$3+[48]FormattedData!F33*$J$4+$M$4*$J$5+[48]FormattedData!F33^2*$J$6+$M$5*$J$7</f>
        <v>-0.67060737857050878</v>
      </c>
      <c r="N59" s="39">
        <f>$J$3+[48]FormattedData!G33*$J$4+$M$4*$J$5+[48]FormattedData!G33^2*$J$6+$M$5*$J$7</f>
        <v>-0.67060737857050878</v>
      </c>
      <c r="O59" s="39">
        <f>$J$3+[48]FormattedData!H33*$J$4+$M$4*$J$5+[48]FormattedData!H33^2*$J$6+$M$5*$J$7</f>
        <v>-0.67060737857050878</v>
      </c>
      <c r="P59" s="39">
        <f>$J$3+[48]FormattedData!I33*$J$4+$M$4*$J$5+[48]FormattedData!I33^2*$J$6+$M$5*$J$7</f>
        <v>-0.67060737857050878</v>
      </c>
      <c r="Q59" s="39">
        <f>$J$3+[48]FormattedData!J33*$J$4+$M$4*$J$5+[48]FormattedData!J33^2*$J$6+$M$5*$J$7</f>
        <v>-0.67060737857050878</v>
      </c>
      <c r="R59" s="39">
        <f>$J$3+[48]FormattedData!K33*$J$4+$M$4*$J$5+[48]FormattedData!K33^2*$J$6+$M$5*$J$7</f>
        <v>-0.67060737857050878</v>
      </c>
      <c r="S59" s="39">
        <f>$J$3+[48]FormattedData!L33*$J$4+$M$4*$J$5+[48]FormattedData!L33^2*$J$6+$M$5*$J$7</f>
        <v>-0.67060737857050878</v>
      </c>
      <c r="T59" s="39">
        <f>$J$3+[48]FormattedData!M33*$J$4+$M$4*$J$5+[48]FormattedData!M33^2*$J$6+$M$5*$J$7</f>
        <v>-0.67060737857050878</v>
      </c>
      <c r="U59" s="39">
        <f>$J$3+[48]FormattedData!N33*$J$4+$M$4*$J$5+[48]FormattedData!N33^2*$J$6+$M$5*$J$7</f>
        <v>-0.67060737857050878</v>
      </c>
      <c r="V59" s="39">
        <f>$J$3+[48]FormattedData!O33*$J$4+$M$4*$J$5+[48]FormattedData!O33^2*$J$6+$M$5*$J$7</f>
        <v>-0.67060737857050878</v>
      </c>
      <c r="W59" s="38">
        <f>AVERAGE(K59:V59)</f>
        <v>-0.67060737857050878</v>
      </c>
      <c r="X59" s="37">
        <f>STDEV(K59:V59)/SQRT(COUNT(K59:V59))</f>
        <v>0</v>
      </c>
      <c r="Y59" s="36">
        <f>MIN(K59:V59)</f>
        <v>-0.67060737857050878</v>
      </c>
      <c r="Z59" s="35">
        <f>QUARTILE(K59:V59,1)</f>
        <v>-0.67060737857050878</v>
      </c>
      <c r="AA59" s="36">
        <f>MEDIAN(K59:V59)</f>
        <v>-0.67060737857050878</v>
      </c>
      <c r="AB59" s="35">
        <f>QUARTILE(K59:V59,3)</f>
        <v>-0.67060737857050878</v>
      </c>
      <c r="AC59" s="35">
        <f>MAX(K59:V59)</f>
        <v>-0.67060737857050878</v>
      </c>
      <c r="AD59" s="35" t="e">
        <f>SKEW(K59:V59)</f>
        <v>#DIV/0!</v>
      </c>
      <c r="AE59" s="35" t="e">
        <f>KURT(K59:V59)</f>
        <v>#DIV/0!</v>
      </c>
    </row>
    <row r="60" spans="2:31" x14ac:dyDescent="0.2">
      <c r="B60" s="34">
        <f>[48]FormattedData!A35</f>
        <v>0</v>
      </c>
      <c r="C60" s="34" t="e">
        <f>VLOOKUP($B60,[48]TrtCodes!$B$11:I78,2)</f>
        <v>#N/A</v>
      </c>
      <c r="D60" s="34" t="e">
        <f>VLOOKUP($B60,[48]TrtCodes!$B$11:J78,3)</f>
        <v>#N/A</v>
      </c>
      <c r="E60" s="34" t="e">
        <f>VLOOKUP($B60,[48]TrtCodes!$B$11:K78,4)</f>
        <v>#N/A</v>
      </c>
      <c r="F60" s="34" t="e">
        <f>VLOOKUP($B60,[48]TrtCodes!$B$11:L78,5)</f>
        <v>#N/A</v>
      </c>
      <c r="G60" s="34" t="e">
        <f>VLOOKUP($B60,[48]TrtCodes!$B$11:M78,6)</f>
        <v>#N/A</v>
      </c>
      <c r="H60" s="34" t="e">
        <f>VLOOKUP($B60,[48]TrtCodes!$B$11:N78,7)</f>
        <v>#N/A</v>
      </c>
      <c r="I60" s="34">
        <f>[48]FormattedData!B35</f>
        <v>0</v>
      </c>
      <c r="J60" s="37">
        <f>[48]FormattedData!C35</f>
        <v>0</v>
      </c>
      <c r="K60" s="39">
        <f>$J$3+[48]FormattedData!D35*$J$4+$M$4*$J$5+[48]FormattedData!D35^2*$J$6+$M$5*$J$7</f>
        <v>-0.67060737857050878</v>
      </c>
      <c r="L60" s="39">
        <f>$J$3+[48]FormattedData!E35*$J$4+$M$4*$J$5+[48]FormattedData!E35^2*$J$6+$M$5*$J$7</f>
        <v>-0.67060737857050878</v>
      </c>
      <c r="M60" s="39">
        <f>$J$3+[48]FormattedData!F35*$J$4+$M$4*$J$5+[48]FormattedData!F35^2*$J$6+$M$5*$J$7</f>
        <v>-0.67060737857050878</v>
      </c>
      <c r="N60" s="39">
        <f>$J$3+[48]FormattedData!G35*$J$4+$M$4*$J$5+[48]FormattedData!G35^2*$J$6+$M$5*$J$7</f>
        <v>-0.67060737857050878</v>
      </c>
      <c r="O60" s="39">
        <f>$J$3+[48]FormattedData!H35*$J$4+$M$4*$J$5+[48]FormattedData!H35^2*$J$6+$M$5*$J$7</f>
        <v>-0.67060737857050878</v>
      </c>
      <c r="P60" s="39">
        <f>$J$3+[48]FormattedData!I35*$J$4+$M$4*$J$5+[48]FormattedData!I35^2*$J$6+$M$5*$J$7</f>
        <v>-0.67060737857050878</v>
      </c>
      <c r="Q60" s="39">
        <f>$J$3+[48]FormattedData!J35*$J$4+$M$4*$J$5+[48]FormattedData!J35^2*$J$6+$M$5*$J$7</f>
        <v>-0.67060737857050878</v>
      </c>
      <c r="R60" s="39">
        <f>$J$3+[48]FormattedData!K35*$J$4+$M$4*$J$5+[48]FormattedData!K35^2*$J$6+$M$5*$J$7</f>
        <v>-0.67060737857050878</v>
      </c>
      <c r="S60" s="39">
        <f>$J$3+[48]FormattedData!L35*$J$4+$M$4*$J$5+[48]FormattedData!L35^2*$J$6+$M$5*$J$7</f>
        <v>-0.67060737857050878</v>
      </c>
      <c r="T60" s="39">
        <f>$J$3+[48]FormattedData!M35*$J$4+$M$4*$J$5+[48]FormattedData!M35^2*$J$6+$M$5*$J$7</f>
        <v>-0.67060737857050878</v>
      </c>
      <c r="U60" s="39">
        <f>$J$3+[48]FormattedData!N35*$J$4+$M$4*$J$5+[48]FormattedData!N35^2*$J$6+$M$5*$J$7</f>
        <v>-0.67060737857050878</v>
      </c>
      <c r="V60" s="39">
        <f>$J$3+[48]FormattedData!O35*$J$4+$M$4*$J$5+[48]FormattedData!O35^2*$J$6+$M$5*$J$7</f>
        <v>-0.67060737857050878</v>
      </c>
      <c r="W60" s="38">
        <f>AVERAGE(K60:V60)</f>
        <v>-0.67060737857050878</v>
      </c>
      <c r="X60" s="37">
        <f>STDEV(K60:V60)/SQRT(COUNT(K60:V60))</f>
        <v>0</v>
      </c>
      <c r="Y60" s="36">
        <f>MIN(K60:V60)</f>
        <v>-0.67060737857050878</v>
      </c>
      <c r="Z60" s="35">
        <f>QUARTILE(K60:V60,1)</f>
        <v>-0.67060737857050878</v>
      </c>
      <c r="AA60" s="36">
        <f>MEDIAN(K60:V60)</f>
        <v>-0.67060737857050878</v>
      </c>
      <c r="AB60" s="35">
        <f>QUARTILE(K60:V60,3)</f>
        <v>-0.67060737857050878</v>
      </c>
      <c r="AC60" s="35">
        <f>MAX(K60:V60)</f>
        <v>-0.67060737857050878</v>
      </c>
      <c r="AD60" s="35" t="e">
        <f>SKEW(K60:V60)</f>
        <v>#DIV/0!</v>
      </c>
      <c r="AE60" s="35" t="e">
        <f>KURT(K60:V60)</f>
        <v>#DIV/0!</v>
      </c>
    </row>
    <row r="61" spans="2:31" x14ac:dyDescent="0.2">
      <c r="B61" s="34">
        <f>[48]FormattedData!A37</f>
        <v>0</v>
      </c>
      <c r="C61" s="34" t="e">
        <f>VLOOKUP($B61,[48]TrtCodes!$B$11:I80,2)</f>
        <v>#N/A</v>
      </c>
      <c r="D61" s="34" t="e">
        <f>VLOOKUP($B61,[48]TrtCodes!$B$11:J80,3)</f>
        <v>#N/A</v>
      </c>
      <c r="E61" s="34" t="e">
        <f>VLOOKUP($B61,[48]TrtCodes!$B$11:K80,4)</f>
        <v>#N/A</v>
      </c>
      <c r="F61" s="34" t="e">
        <f>VLOOKUP($B61,[48]TrtCodes!$B$11:L80,5)</f>
        <v>#N/A</v>
      </c>
      <c r="G61" s="34" t="e">
        <f>VLOOKUP($B61,[48]TrtCodes!$B$11:M80,6)</f>
        <v>#N/A</v>
      </c>
      <c r="H61" s="34" t="e">
        <f>VLOOKUP($B61,[48]TrtCodes!$B$11:N80,7)</f>
        <v>#N/A</v>
      </c>
      <c r="I61" s="34">
        <f>[48]FormattedData!B37</f>
        <v>0</v>
      </c>
      <c r="J61" s="37">
        <f>[48]FormattedData!C37</f>
        <v>0</v>
      </c>
      <c r="K61" s="39">
        <f>$J$3+[48]FormattedData!D37*$J$4+$M$4*$J$5+[48]FormattedData!D37^2*$J$6+$M$5*$J$7</f>
        <v>-0.67060737857050878</v>
      </c>
      <c r="L61" s="39">
        <f>$J$3+[48]FormattedData!E37*$J$4+$M$4*$J$5+[48]FormattedData!E37^2*$J$6+$M$5*$J$7</f>
        <v>-0.67060737857050878</v>
      </c>
      <c r="M61" s="39">
        <f>$J$3+[48]FormattedData!F37*$J$4+$M$4*$J$5+[48]FormattedData!F37^2*$J$6+$M$5*$J$7</f>
        <v>-0.67060737857050878</v>
      </c>
      <c r="N61" s="39">
        <f>$J$3+[48]FormattedData!G37*$J$4+$M$4*$J$5+[48]FormattedData!G37^2*$J$6+$M$5*$J$7</f>
        <v>-0.67060737857050878</v>
      </c>
      <c r="O61" s="39">
        <f>$J$3+[48]FormattedData!H37*$J$4+$M$4*$J$5+[48]FormattedData!H37^2*$J$6+$M$5*$J$7</f>
        <v>-0.67060737857050878</v>
      </c>
      <c r="P61" s="39">
        <f>$J$3+[48]FormattedData!I37*$J$4+$M$4*$J$5+[48]FormattedData!I37^2*$J$6+$M$5*$J$7</f>
        <v>-0.67060737857050878</v>
      </c>
      <c r="Q61" s="39">
        <f>$J$3+[48]FormattedData!J37*$J$4+$M$4*$J$5+[48]FormattedData!J37^2*$J$6+$M$5*$J$7</f>
        <v>-0.67060737857050878</v>
      </c>
      <c r="R61" s="39">
        <f>$J$3+[48]FormattedData!K37*$J$4+$M$4*$J$5+[48]FormattedData!K37^2*$J$6+$M$5*$J$7</f>
        <v>-0.67060737857050878</v>
      </c>
      <c r="S61" s="39">
        <f>$J$3+[48]FormattedData!L37*$J$4+$M$4*$J$5+[48]FormattedData!L37^2*$J$6+$M$5*$J$7</f>
        <v>-0.67060737857050878</v>
      </c>
      <c r="T61" s="39">
        <f>$J$3+[48]FormattedData!M37*$J$4+$M$4*$J$5+[48]FormattedData!M37^2*$J$6+$M$5*$J$7</f>
        <v>-0.67060737857050878</v>
      </c>
      <c r="U61" s="39">
        <f>$J$3+[48]FormattedData!N37*$J$4+$M$4*$J$5+[48]FormattedData!N37^2*$J$6+$M$5*$J$7</f>
        <v>-0.67060737857050878</v>
      </c>
      <c r="V61" s="39">
        <f>$J$3+[48]FormattedData!O37*$J$4+$M$4*$J$5+[48]FormattedData!O37^2*$J$6+$M$5*$J$7</f>
        <v>-0.67060737857050878</v>
      </c>
      <c r="W61" s="38">
        <f>AVERAGE(K61:V61)</f>
        <v>-0.67060737857050878</v>
      </c>
      <c r="X61" s="37">
        <f>STDEV(K61:V61)/SQRT(COUNT(K61:V61))</f>
        <v>0</v>
      </c>
      <c r="Y61" s="36">
        <f>MIN(K61:V61)</f>
        <v>-0.67060737857050878</v>
      </c>
      <c r="Z61" s="35">
        <f>QUARTILE(K61:V61,1)</f>
        <v>-0.67060737857050878</v>
      </c>
      <c r="AA61" s="36">
        <f>MEDIAN(K61:V61)</f>
        <v>-0.67060737857050878</v>
      </c>
      <c r="AB61" s="35">
        <f>QUARTILE(K61:V61,3)</f>
        <v>-0.67060737857050878</v>
      </c>
      <c r="AC61" s="35">
        <f>MAX(K61:V61)</f>
        <v>-0.67060737857050878</v>
      </c>
      <c r="AD61" s="35" t="e">
        <f>SKEW(K61:V61)</f>
        <v>#DIV/0!</v>
      </c>
      <c r="AE61" s="35" t="e">
        <f>KURT(K61:V61)</f>
        <v>#DIV/0!</v>
      </c>
    </row>
    <row r="62" spans="2:31" x14ac:dyDescent="0.2">
      <c r="B62" s="34">
        <f>[48]FormattedData!A39</f>
        <v>0</v>
      </c>
      <c r="C62" s="34" t="e">
        <f>VLOOKUP($B62,[48]TrtCodes!$B$11:I82,2)</f>
        <v>#N/A</v>
      </c>
      <c r="D62" s="34" t="e">
        <f>VLOOKUP($B62,[48]TrtCodes!$B$11:J82,3)</f>
        <v>#N/A</v>
      </c>
      <c r="E62" s="34" t="e">
        <f>VLOOKUP($B62,[48]TrtCodes!$B$11:K82,4)</f>
        <v>#N/A</v>
      </c>
      <c r="F62" s="34" t="e">
        <f>VLOOKUP($B62,[48]TrtCodes!$B$11:L82,5)</f>
        <v>#N/A</v>
      </c>
      <c r="G62" s="34" t="e">
        <f>VLOOKUP($B62,[48]TrtCodes!$B$11:M82,6)</f>
        <v>#N/A</v>
      </c>
      <c r="H62" s="34" t="e">
        <f>VLOOKUP($B62,[48]TrtCodes!$B$11:N82,7)</f>
        <v>#N/A</v>
      </c>
      <c r="I62" s="34">
        <f>[48]FormattedData!B39</f>
        <v>0</v>
      </c>
      <c r="J62" s="37">
        <f>[48]FormattedData!C39</f>
        <v>0</v>
      </c>
      <c r="K62" s="39">
        <f>$J$3+[48]FormattedData!D39*$J$4+$M$4*$J$5+[48]FormattedData!D39^2*$J$6+$M$5*$J$7</f>
        <v>-0.67060737857050878</v>
      </c>
      <c r="L62" s="39">
        <f>$J$3+[48]FormattedData!E39*$J$4+$M$4*$J$5+[48]FormattedData!E39^2*$J$6+$M$5*$J$7</f>
        <v>-0.67060737857050878</v>
      </c>
      <c r="M62" s="39">
        <f>$J$3+[48]FormattedData!F39*$J$4+$M$4*$J$5+[48]FormattedData!F39^2*$J$6+$M$5*$J$7</f>
        <v>-0.67060737857050878</v>
      </c>
      <c r="N62" s="39">
        <f>$J$3+[48]FormattedData!G39*$J$4+$M$4*$J$5+[48]FormattedData!G39^2*$J$6+$M$5*$J$7</f>
        <v>-0.67060737857050878</v>
      </c>
      <c r="O62" s="39">
        <f>$J$3+[48]FormattedData!H39*$J$4+$M$4*$J$5+[48]FormattedData!H39^2*$J$6+$M$5*$J$7</f>
        <v>-0.67060737857050878</v>
      </c>
      <c r="P62" s="39">
        <f>$J$3+[48]FormattedData!I39*$J$4+$M$4*$J$5+[48]FormattedData!I39^2*$J$6+$M$5*$J$7</f>
        <v>-0.67060737857050878</v>
      </c>
      <c r="Q62" s="39">
        <f>$J$3+[48]FormattedData!J39*$J$4+$M$4*$J$5+[48]FormattedData!J39^2*$J$6+$M$5*$J$7</f>
        <v>-0.67060737857050878</v>
      </c>
      <c r="R62" s="39">
        <f>$J$3+[48]FormattedData!K39*$J$4+$M$4*$J$5+[48]FormattedData!K39^2*$J$6+$M$5*$J$7</f>
        <v>-0.67060737857050878</v>
      </c>
      <c r="S62" s="39">
        <f>$J$3+[48]FormattedData!L39*$J$4+$M$4*$J$5+[48]FormattedData!L39^2*$J$6+$M$5*$J$7</f>
        <v>-0.67060737857050878</v>
      </c>
      <c r="T62" s="39">
        <f>$J$3+[48]FormattedData!M39*$J$4+$M$4*$J$5+[48]FormattedData!M39^2*$J$6+$M$5*$J$7</f>
        <v>-0.67060737857050878</v>
      </c>
      <c r="U62" s="39">
        <f>$J$3+[48]FormattedData!N39*$J$4+$M$4*$J$5+[48]FormattedData!N39^2*$J$6+$M$5*$J$7</f>
        <v>-0.67060737857050878</v>
      </c>
      <c r="V62" s="39">
        <f>$J$3+[48]FormattedData!O39*$J$4+$M$4*$J$5+[48]FormattedData!O39^2*$J$6+$M$5*$J$7</f>
        <v>-0.67060737857050878</v>
      </c>
      <c r="W62" s="38">
        <f>AVERAGE(K62:V62)</f>
        <v>-0.67060737857050878</v>
      </c>
      <c r="X62" s="37">
        <f>STDEV(K62:V62)/SQRT(COUNT(K62:V62))</f>
        <v>0</v>
      </c>
      <c r="Y62" s="36">
        <f>MIN(K62:V62)</f>
        <v>-0.67060737857050878</v>
      </c>
      <c r="Z62" s="35">
        <f>QUARTILE(K62:V62,1)</f>
        <v>-0.67060737857050878</v>
      </c>
      <c r="AA62" s="36">
        <f>MEDIAN(K62:V62)</f>
        <v>-0.67060737857050878</v>
      </c>
      <c r="AB62" s="35">
        <f>QUARTILE(K62:V62,3)</f>
        <v>-0.67060737857050878</v>
      </c>
      <c r="AC62" s="35">
        <f>MAX(K62:V62)</f>
        <v>-0.67060737857050878</v>
      </c>
      <c r="AD62" s="35" t="e">
        <f>SKEW(K62:V62)</f>
        <v>#DIV/0!</v>
      </c>
      <c r="AE62" s="35" t="e">
        <f>KURT(K62:V62)</f>
        <v>#DIV/0!</v>
      </c>
    </row>
    <row r="63" spans="2:31" x14ac:dyDescent="0.2">
      <c r="B63" s="34">
        <f>[48]FormattedData!A41</f>
        <v>0</v>
      </c>
      <c r="C63" s="34" t="e">
        <f>VLOOKUP($B63,[48]TrtCodes!$B$11:I84,2)</f>
        <v>#N/A</v>
      </c>
      <c r="D63" s="34" t="e">
        <f>VLOOKUP($B63,[48]TrtCodes!$B$11:J84,3)</f>
        <v>#N/A</v>
      </c>
      <c r="E63" s="34" t="e">
        <f>VLOOKUP($B63,[48]TrtCodes!$B$11:K84,4)</f>
        <v>#N/A</v>
      </c>
      <c r="F63" s="34" t="e">
        <f>VLOOKUP($B63,[48]TrtCodes!$B$11:L84,5)</f>
        <v>#N/A</v>
      </c>
      <c r="G63" s="34" t="e">
        <f>VLOOKUP($B63,[48]TrtCodes!$B$11:M84,6)</f>
        <v>#N/A</v>
      </c>
      <c r="H63" s="34" t="e">
        <f>VLOOKUP($B63,[48]TrtCodes!$B$11:N84,7)</f>
        <v>#N/A</v>
      </c>
      <c r="I63" s="34">
        <f>[48]FormattedData!B41</f>
        <v>0</v>
      </c>
      <c r="J63" s="37">
        <f>[48]FormattedData!C41</f>
        <v>0</v>
      </c>
      <c r="K63" s="39">
        <f>$J$3+[48]FormattedData!D41*$J$4+$M$4*$J$5+[48]FormattedData!D41^2*$J$6+$M$5*$J$7</f>
        <v>-0.67060737857050878</v>
      </c>
      <c r="L63" s="39">
        <f>$J$3+[48]FormattedData!E41*$J$4+$M$4*$J$5+[48]FormattedData!E41^2*$J$6+$M$5*$J$7</f>
        <v>-0.67060737857050878</v>
      </c>
      <c r="M63" s="39">
        <f>$J$3+[48]FormattedData!F41*$J$4+$M$4*$J$5+[48]FormattedData!F41^2*$J$6+$M$5*$J$7</f>
        <v>-0.67060737857050878</v>
      </c>
      <c r="N63" s="39">
        <f>$J$3+[48]FormattedData!G41*$J$4+$M$4*$J$5+[48]FormattedData!G41^2*$J$6+$M$5*$J$7</f>
        <v>-0.67060737857050878</v>
      </c>
      <c r="O63" s="39">
        <f>$J$3+[48]FormattedData!H41*$J$4+$M$4*$J$5+[48]FormattedData!H41^2*$J$6+$M$5*$J$7</f>
        <v>-0.67060737857050878</v>
      </c>
      <c r="P63" s="39">
        <f>$J$3+[48]FormattedData!I41*$J$4+$M$4*$J$5+[48]FormattedData!I41^2*$J$6+$M$5*$J$7</f>
        <v>-0.67060737857050878</v>
      </c>
      <c r="Q63" s="39">
        <f>$J$3+[48]FormattedData!J41*$J$4+$M$4*$J$5+[48]FormattedData!J41^2*$J$6+$M$5*$J$7</f>
        <v>-0.67060737857050878</v>
      </c>
      <c r="R63" s="39">
        <f>$J$3+[48]FormattedData!K41*$J$4+$M$4*$J$5+[48]FormattedData!K41^2*$J$6+$M$5*$J$7</f>
        <v>-0.67060737857050878</v>
      </c>
      <c r="S63" s="39">
        <f>$J$3+[48]FormattedData!L41*$J$4+$M$4*$J$5+[48]FormattedData!L41^2*$J$6+$M$5*$J$7</f>
        <v>-0.67060737857050878</v>
      </c>
      <c r="T63" s="39">
        <f>$J$3+[48]FormattedData!M41*$J$4+$M$4*$J$5+[48]FormattedData!M41^2*$J$6+$M$5*$J$7</f>
        <v>-0.67060737857050878</v>
      </c>
      <c r="U63" s="39">
        <f>$J$3+[48]FormattedData!N41*$J$4+$M$4*$J$5+[48]FormattedData!N41^2*$J$6+$M$5*$J$7</f>
        <v>-0.67060737857050878</v>
      </c>
      <c r="V63" s="39">
        <f>$J$3+[48]FormattedData!O41*$J$4+$M$4*$J$5+[48]FormattedData!O41^2*$J$6+$M$5*$J$7</f>
        <v>-0.67060737857050878</v>
      </c>
      <c r="W63" s="38">
        <f>AVERAGE(K63:V63)</f>
        <v>-0.67060737857050878</v>
      </c>
      <c r="X63" s="37">
        <f>STDEV(K63:V63)/SQRT(COUNT(K63:V63))</f>
        <v>0</v>
      </c>
      <c r="Y63" s="36">
        <f>MIN(K63:V63)</f>
        <v>-0.67060737857050878</v>
      </c>
      <c r="Z63" s="35">
        <f>QUARTILE(K63:V63,1)</f>
        <v>-0.67060737857050878</v>
      </c>
      <c r="AA63" s="36">
        <f>MEDIAN(K63:V63)</f>
        <v>-0.67060737857050878</v>
      </c>
      <c r="AB63" s="35">
        <f>QUARTILE(K63:V63,3)</f>
        <v>-0.67060737857050878</v>
      </c>
      <c r="AC63" s="35">
        <f>MAX(K63:V63)</f>
        <v>-0.67060737857050878</v>
      </c>
      <c r="AD63" s="35" t="e">
        <f>SKEW(K63:V63)</f>
        <v>#DIV/0!</v>
      </c>
      <c r="AE63" s="35" t="e">
        <f>KURT(K63:V63)</f>
        <v>#DIV/0!</v>
      </c>
    </row>
    <row r="64" spans="2:31" x14ac:dyDescent="0.2">
      <c r="B64" s="34">
        <f>[48]FormattedData!A43</f>
        <v>0</v>
      </c>
      <c r="C64" s="34" t="e">
        <f>VLOOKUP($B64,[48]TrtCodes!$B$11:I86,2)</f>
        <v>#N/A</v>
      </c>
      <c r="D64" s="34" t="e">
        <f>VLOOKUP($B64,[48]TrtCodes!$B$11:J86,3)</f>
        <v>#N/A</v>
      </c>
      <c r="E64" s="34" t="e">
        <f>VLOOKUP($B64,[48]TrtCodes!$B$11:K86,4)</f>
        <v>#N/A</v>
      </c>
      <c r="F64" s="34" t="e">
        <f>VLOOKUP($B64,[48]TrtCodes!$B$11:L86,5)</f>
        <v>#N/A</v>
      </c>
      <c r="G64" s="34" t="e">
        <f>VLOOKUP($B64,[48]TrtCodes!$B$11:M86,6)</f>
        <v>#N/A</v>
      </c>
      <c r="H64" s="34" t="e">
        <f>VLOOKUP($B64,[48]TrtCodes!$B$11:N86,7)</f>
        <v>#N/A</v>
      </c>
      <c r="I64" s="34">
        <f>[48]FormattedData!B43</f>
        <v>0</v>
      </c>
      <c r="J64" s="37">
        <f>[48]FormattedData!C43</f>
        <v>0</v>
      </c>
      <c r="K64" s="39">
        <f>$J$3+[48]FormattedData!D43*$J$4+$M$4*$J$5+[48]FormattedData!D43^2*$J$6+$M$5*$J$7</f>
        <v>-0.67060737857050878</v>
      </c>
      <c r="L64" s="39">
        <f>$J$3+[48]FormattedData!E43*$J$4+$M$4*$J$5+[48]FormattedData!E43^2*$J$6+$M$5*$J$7</f>
        <v>-0.67060737857050878</v>
      </c>
      <c r="M64" s="39">
        <f>$J$3+[48]FormattedData!F43*$J$4+$M$4*$J$5+[48]FormattedData!F43^2*$J$6+$M$5*$J$7</f>
        <v>-0.67060737857050878</v>
      </c>
      <c r="N64" s="39">
        <f>$J$3+[48]FormattedData!G43*$J$4+$M$4*$J$5+[48]FormattedData!G43^2*$J$6+$M$5*$J$7</f>
        <v>-0.67060737857050878</v>
      </c>
      <c r="O64" s="39">
        <f>$J$3+[48]FormattedData!H43*$J$4+$M$4*$J$5+[48]FormattedData!H43^2*$J$6+$M$5*$J$7</f>
        <v>-0.67060737857050878</v>
      </c>
      <c r="P64" s="39">
        <f>$J$3+[48]FormattedData!I43*$J$4+$M$4*$J$5+[48]FormattedData!I43^2*$J$6+$M$5*$J$7</f>
        <v>-0.67060737857050878</v>
      </c>
      <c r="Q64" s="39">
        <f>$J$3+[48]FormattedData!J43*$J$4+$M$4*$J$5+[48]FormattedData!J43^2*$J$6+$M$5*$J$7</f>
        <v>-0.67060737857050878</v>
      </c>
      <c r="R64" s="39">
        <f>$J$3+[48]FormattedData!K43*$J$4+$M$4*$J$5+[48]FormattedData!K43^2*$J$6+$M$5*$J$7</f>
        <v>-0.67060737857050878</v>
      </c>
      <c r="S64" s="39">
        <f>$J$3+[48]FormattedData!L43*$J$4+$M$4*$J$5+[48]FormattedData!L43^2*$J$6+$M$5*$J$7</f>
        <v>-0.67060737857050878</v>
      </c>
      <c r="T64" s="39">
        <f>$J$3+[48]FormattedData!M43*$J$4+$M$4*$J$5+[48]FormattedData!M43^2*$J$6+$M$5*$J$7</f>
        <v>-0.67060737857050878</v>
      </c>
      <c r="U64" s="39">
        <f>$J$3+[48]FormattedData!N43*$J$4+$M$4*$J$5+[48]FormattedData!N43^2*$J$6+$M$5*$J$7</f>
        <v>-0.67060737857050878</v>
      </c>
      <c r="V64" s="39">
        <f>$J$3+[48]FormattedData!O43*$J$4+$M$4*$J$5+[48]FormattedData!O43^2*$J$6+$M$5*$J$7</f>
        <v>-0.67060737857050878</v>
      </c>
      <c r="W64" s="38">
        <f>AVERAGE(K64:V64)</f>
        <v>-0.67060737857050878</v>
      </c>
      <c r="X64" s="37">
        <f>STDEV(K64:V64)/SQRT(COUNT(K64:V64))</f>
        <v>0</v>
      </c>
      <c r="Y64" s="36">
        <f>MIN(K64:V64)</f>
        <v>-0.67060737857050878</v>
      </c>
      <c r="Z64" s="35">
        <f>QUARTILE(K64:V64,1)</f>
        <v>-0.67060737857050878</v>
      </c>
      <c r="AA64" s="36">
        <f>MEDIAN(K64:V64)</f>
        <v>-0.67060737857050878</v>
      </c>
      <c r="AB64" s="35">
        <f>QUARTILE(K64:V64,3)</f>
        <v>-0.67060737857050878</v>
      </c>
      <c r="AC64" s="35">
        <f>MAX(K64:V64)</f>
        <v>-0.67060737857050878</v>
      </c>
      <c r="AD64" s="35" t="e">
        <f>SKEW(K64:V64)</f>
        <v>#DIV/0!</v>
      </c>
      <c r="AE64" s="35" t="e">
        <f>KURT(K64:V64)</f>
        <v>#DIV/0!</v>
      </c>
    </row>
    <row r="65" spans="2:31" x14ac:dyDescent="0.2">
      <c r="B65" s="34">
        <f>[48]FormattedData!A45</f>
        <v>0</v>
      </c>
      <c r="C65" s="34" t="e">
        <f>VLOOKUP($B65,[48]TrtCodes!$B$11:I88,2)</f>
        <v>#N/A</v>
      </c>
      <c r="D65" s="34" t="e">
        <f>VLOOKUP($B65,[48]TrtCodes!$B$11:J88,3)</f>
        <v>#N/A</v>
      </c>
      <c r="E65" s="34" t="e">
        <f>VLOOKUP($B65,[48]TrtCodes!$B$11:K88,4)</f>
        <v>#N/A</v>
      </c>
      <c r="F65" s="34" t="e">
        <f>VLOOKUP($B65,[48]TrtCodes!$B$11:L88,5)</f>
        <v>#N/A</v>
      </c>
      <c r="G65" s="34" t="e">
        <f>VLOOKUP($B65,[48]TrtCodes!$B$11:M88,6)</f>
        <v>#N/A</v>
      </c>
      <c r="H65" s="34" t="e">
        <f>VLOOKUP($B65,[48]TrtCodes!$B$11:N88,7)</f>
        <v>#N/A</v>
      </c>
      <c r="I65" s="34">
        <f>[48]FormattedData!B45</f>
        <v>0</v>
      </c>
      <c r="J65" s="37">
        <f>[48]FormattedData!C45</f>
        <v>0</v>
      </c>
      <c r="K65" s="39">
        <f>$J$3+[48]FormattedData!D45*$J$4+$M$4*$J$5+[48]FormattedData!D45^2*$J$6+$M$5*$J$7</f>
        <v>-0.67060737857050878</v>
      </c>
      <c r="L65" s="39">
        <f>$J$3+[48]FormattedData!E45*$J$4+$M$4*$J$5+[48]FormattedData!E45^2*$J$6+$M$5*$J$7</f>
        <v>-0.67060737857050878</v>
      </c>
      <c r="M65" s="39">
        <f>$J$3+[48]FormattedData!F45*$J$4+$M$4*$J$5+[48]FormattedData!F45^2*$J$6+$M$5*$J$7</f>
        <v>-0.67060737857050878</v>
      </c>
      <c r="N65" s="39">
        <f>$J$3+[48]FormattedData!G45*$J$4+$M$4*$J$5+[48]FormattedData!G45^2*$J$6+$M$5*$J$7</f>
        <v>-0.67060737857050878</v>
      </c>
      <c r="O65" s="39">
        <f>$J$3+[48]FormattedData!H45*$J$4+$M$4*$J$5+[48]FormattedData!H45^2*$J$6+$M$5*$J$7</f>
        <v>-0.67060737857050878</v>
      </c>
      <c r="P65" s="39">
        <f>$J$3+[48]FormattedData!I45*$J$4+$M$4*$J$5+[48]FormattedData!I45^2*$J$6+$M$5*$J$7</f>
        <v>-0.67060737857050878</v>
      </c>
      <c r="Q65" s="39">
        <f>$J$3+[48]FormattedData!J45*$J$4+$M$4*$J$5+[48]FormattedData!J45^2*$J$6+$M$5*$J$7</f>
        <v>-0.67060737857050878</v>
      </c>
      <c r="R65" s="39">
        <f>$J$3+[48]FormattedData!K45*$J$4+$M$4*$J$5+[48]FormattedData!K45^2*$J$6+$M$5*$J$7</f>
        <v>-0.67060737857050878</v>
      </c>
      <c r="S65" s="39">
        <f>$J$3+[48]FormattedData!L45*$J$4+$M$4*$J$5+[48]FormattedData!L45^2*$J$6+$M$5*$J$7</f>
        <v>-0.67060737857050878</v>
      </c>
      <c r="T65" s="39">
        <f>$J$3+[48]FormattedData!M45*$J$4+$M$4*$J$5+[48]FormattedData!M45^2*$J$6+$M$5*$J$7</f>
        <v>-0.67060737857050878</v>
      </c>
      <c r="U65" s="39">
        <f>$J$3+[48]FormattedData!N45*$J$4+$M$4*$J$5+[48]FormattedData!N45^2*$J$6+$M$5*$J$7</f>
        <v>-0.67060737857050878</v>
      </c>
      <c r="V65" s="39">
        <f>$J$3+[48]FormattedData!O45*$J$4+$M$4*$J$5+[48]FormattedData!O45^2*$J$6+$M$5*$J$7</f>
        <v>-0.67060737857050878</v>
      </c>
      <c r="W65" s="38">
        <f>AVERAGE(K65:V65)</f>
        <v>-0.67060737857050878</v>
      </c>
      <c r="X65" s="37">
        <f>STDEV(K65:V65)/SQRT(COUNT(K65:V65))</f>
        <v>0</v>
      </c>
      <c r="Y65" s="36">
        <f>MIN(K65:V65)</f>
        <v>-0.67060737857050878</v>
      </c>
      <c r="Z65" s="35">
        <f>QUARTILE(K65:V65,1)</f>
        <v>-0.67060737857050878</v>
      </c>
      <c r="AA65" s="36">
        <f>MEDIAN(K65:V65)</f>
        <v>-0.67060737857050878</v>
      </c>
      <c r="AB65" s="35">
        <f>QUARTILE(K65:V65,3)</f>
        <v>-0.67060737857050878</v>
      </c>
      <c r="AC65" s="35">
        <f>MAX(K65:V65)</f>
        <v>-0.67060737857050878</v>
      </c>
      <c r="AD65" s="35" t="e">
        <f>SKEW(K65:V65)</f>
        <v>#DIV/0!</v>
      </c>
      <c r="AE65" s="35" t="e">
        <f>KURT(K65:V65)</f>
        <v>#DIV/0!</v>
      </c>
    </row>
    <row r="66" spans="2:31" x14ac:dyDescent="0.2">
      <c r="B66" s="34">
        <f>[48]FormattedData!A63</f>
        <v>0</v>
      </c>
      <c r="C66" s="34" t="e">
        <f>VLOOKUP($B66,[48]TrtCodes!$B$11:I106,2)</f>
        <v>#N/A</v>
      </c>
      <c r="D66" s="34" t="e">
        <f>VLOOKUP($B66,[48]TrtCodes!$B$11:J106,3)</f>
        <v>#N/A</v>
      </c>
      <c r="E66" s="34" t="e">
        <f>VLOOKUP($B66,[48]TrtCodes!$B$11:K106,4)</f>
        <v>#N/A</v>
      </c>
      <c r="F66" s="34" t="e">
        <f>VLOOKUP($B66,[48]TrtCodes!$B$11:L106,5)</f>
        <v>#N/A</v>
      </c>
      <c r="G66" s="34" t="e">
        <f>VLOOKUP($B66,[48]TrtCodes!$B$11:M106,6)</f>
        <v>#N/A</v>
      </c>
      <c r="H66" s="34" t="e">
        <f>VLOOKUP($B66,[48]TrtCodes!$B$11:N106,7)</f>
        <v>#N/A</v>
      </c>
      <c r="I66" s="34">
        <f>[48]FormattedData!B63</f>
        <v>0</v>
      </c>
      <c r="J66" s="37">
        <f>[48]FormattedData!C63</f>
        <v>0</v>
      </c>
      <c r="K66" s="39">
        <f>$J$3+[48]FormattedData!D63*$J$4+$M$4*$J$5+[48]FormattedData!D63^2*$J$6+$M$5*$J$7</f>
        <v>-0.67060737857050878</v>
      </c>
      <c r="L66" s="39">
        <f>$J$3+[48]FormattedData!E63*$J$4+$M$4*$J$5+[48]FormattedData!E63^2*$J$6+$M$5*$J$7</f>
        <v>-0.67060737857050878</v>
      </c>
      <c r="M66" s="39">
        <f>$J$3+[48]FormattedData!F63*$J$4+$M$4*$J$5+[48]FormattedData!F63^2*$J$6+$M$5*$J$7</f>
        <v>-0.67060737857050878</v>
      </c>
      <c r="N66" s="39">
        <f>$J$3+[48]FormattedData!G63*$J$4+$M$4*$J$5+[48]FormattedData!G63^2*$J$6+$M$5*$J$7</f>
        <v>-0.67060737857050878</v>
      </c>
      <c r="O66" s="39">
        <f>$J$3+[48]FormattedData!H63*$J$4+$M$4*$J$5+[48]FormattedData!H63^2*$J$6+$M$5*$J$7</f>
        <v>-0.67060737857050878</v>
      </c>
      <c r="P66" s="39">
        <f>$J$3+[48]FormattedData!I63*$J$4+$M$4*$J$5+[48]FormattedData!I63^2*$J$6+$M$5*$J$7</f>
        <v>-0.67060737857050878</v>
      </c>
      <c r="Q66" s="39">
        <f>$J$3+[48]FormattedData!J63*$J$4+$M$4*$J$5+[48]FormattedData!J63^2*$J$6+$M$5*$J$7</f>
        <v>-0.67060737857050878</v>
      </c>
      <c r="R66" s="39">
        <f>$J$3+[48]FormattedData!K63*$J$4+$M$4*$J$5+[48]FormattedData!K63^2*$J$6+$M$5*$J$7</f>
        <v>-0.67060737857050878</v>
      </c>
      <c r="S66" s="39">
        <f>$J$3+[48]FormattedData!L63*$J$4+$M$4*$J$5+[48]FormattedData!L63^2*$J$6+$M$5*$J$7</f>
        <v>-0.67060737857050878</v>
      </c>
      <c r="T66" s="39">
        <f>$J$3+[48]FormattedData!M63*$J$4+$M$4*$J$5+[48]FormattedData!M63^2*$J$6+$M$5*$J$7</f>
        <v>-0.67060737857050878</v>
      </c>
      <c r="U66" s="39">
        <f>$J$3+[48]FormattedData!N63*$J$4+$M$4*$J$5+[48]FormattedData!N63^2*$J$6+$M$5*$J$7</f>
        <v>-0.67060737857050878</v>
      </c>
      <c r="V66" s="39">
        <f>$J$3+[48]FormattedData!O63*$J$4+$M$4*$J$5+[48]FormattedData!O63^2*$J$6+$M$5*$J$7</f>
        <v>-0.67060737857050878</v>
      </c>
      <c r="W66" s="38">
        <f>AVERAGE(K66:V66)</f>
        <v>-0.67060737857050878</v>
      </c>
      <c r="X66" s="37">
        <f>STDEV(K66:V66)/SQRT(COUNT(K66:V66))</f>
        <v>0</v>
      </c>
      <c r="Y66" s="36">
        <f>MIN(K66:V66)</f>
        <v>-0.67060737857050878</v>
      </c>
      <c r="Z66" s="35">
        <f>QUARTILE(K66:V66,1)</f>
        <v>-0.67060737857050878</v>
      </c>
      <c r="AA66" s="36">
        <f>MEDIAN(K66:V66)</f>
        <v>-0.67060737857050878</v>
      </c>
      <c r="AB66" s="35">
        <f>QUARTILE(K66:V66,3)</f>
        <v>-0.67060737857050878</v>
      </c>
      <c r="AC66" s="35">
        <f>MAX(K66:V66)</f>
        <v>-0.67060737857050878</v>
      </c>
      <c r="AD66" s="35" t="e">
        <f>SKEW(K66:V66)</f>
        <v>#DIV/0!</v>
      </c>
      <c r="AE66" s="35" t="e">
        <f>KURT(K66:V66)</f>
        <v>#DIV/0!</v>
      </c>
    </row>
    <row r="67" spans="2:31" x14ac:dyDescent="0.2">
      <c r="B67" s="34">
        <f>[48]FormattedData!A65</f>
        <v>0</v>
      </c>
      <c r="C67" s="34" t="e">
        <f>VLOOKUP($B67,[48]TrtCodes!$B$11:I108,2)</f>
        <v>#N/A</v>
      </c>
      <c r="D67" s="34" t="e">
        <f>VLOOKUP($B67,[48]TrtCodes!$B$11:J108,3)</f>
        <v>#N/A</v>
      </c>
      <c r="E67" s="34" t="e">
        <f>VLOOKUP($B67,[48]TrtCodes!$B$11:K108,4)</f>
        <v>#N/A</v>
      </c>
      <c r="F67" s="34" t="e">
        <f>VLOOKUP($B67,[48]TrtCodes!$B$11:L108,5)</f>
        <v>#N/A</v>
      </c>
      <c r="G67" s="34" t="e">
        <f>VLOOKUP($B67,[48]TrtCodes!$B$11:M108,6)</f>
        <v>#N/A</v>
      </c>
      <c r="H67" s="34" t="e">
        <f>VLOOKUP($B67,[48]TrtCodes!$B$11:N108,7)</f>
        <v>#N/A</v>
      </c>
      <c r="I67" s="34">
        <f>[48]FormattedData!B65</f>
        <v>0</v>
      </c>
      <c r="J67" s="37">
        <f>[48]FormattedData!C65</f>
        <v>0</v>
      </c>
      <c r="K67" s="39">
        <f>$J$3+[48]FormattedData!D65*$J$4+$M$4*$J$5+[48]FormattedData!D65^2*$J$6+$M$5*$J$7</f>
        <v>-0.67060737857050878</v>
      </c>
      <c r="L67" s="39">
        <f>$J$3+[48]FormattedData!E65*$J$4+$M$4*$J$5+[48]FormattedData!E65^2*$J$6+$M$5*$J$7</f>
        <v>-0.67060737857050878</v>
      </c>
      <c r="M67" s="39">
        <f>$J$3+[48]FormattedData!F65*$J$4+$M$4*$J$5+[48]FormattedData!F65^2*$J$6+$M$5*$J$7</f>
        <v>-0.67060737857050878</v>
      </c>
      <c r="N67" s="39">
        <f>$J$3+[48]FormattedData!G65*$J$4+$M$4*$J$5+[48]FormattedData!G65^2*$J$6+$M$5*$J$7</f>
        <v>-0.67060737857050878</v>
      </c>
      <c r="O67" s="39">
        <f>$J$3+[48]FormattedData!H65*$J$4+$M$4*$J$5+[48]FormattedData!H65^2*$J$6+$M$5*$J$7</f>
        <v>-0.67060737857050878</v>
      </c>
      <c r="P67" s="39">
        <f>$J$3+[48]FormattedData!I65*$J$4+$M$4*$J$5+[48]FormattedData!I65^2*$J$6+$M$5*$J$7</f>
        <v>-0.67060737857050878</v>
      </c>
      <c r="Q67" s="39">
        <f>$J$3+[48]FormattedData!J65*$J$4+$M$4*$J$5+[48]FormattedData!J65^2*$J$6+$M$5*$J$7</f>
        <v>-0.67060737857050878</v>
      </c>
      <c r="R67" s="39">
        <f>$J$3+[48]FormattedData!K65*$J$4+$M$4*$J$5+[48]FormattedData!K65^2*$J$6+$M$5*$J$7</f>
        <v>-0.67060737857050878</v>
      </c>
      <c r="S67" s="39">
        <f>$J$3+[48]FormattedData!L65*$J$4+$M$4*$J$5+[48]FormattedData!L65^2*$J$6+$M$5*$J$7</f>
        <v>-0.67060737857050878</v>
      </c>
      <c r="T67" s="39">
        <f>$J$3+[48]FormattedData!M65*$J$4+$M$4*$J$5+[48]FormattedData!M65^2*$J$6+$M$5*$J$7</f>
        <v>-0.67060737857050878</v>
      </c>
      <c r="U67" s="39">
        <f>$J$3+[48]FormattedData!N65*$J$4+$M$4*$J$5+[48]FormattedData!N65^2*$J$6+$M$5*$J$7</f>
        <v>-0.67060737857050878</v>
      </c>
      <c r="V67" s="39">
        <f>$J$3+[48]FormattedData!O65*$J$4+$M$4*$J$5+[48]FormattedData!O65^2*$J$6+$M$5*$J$7</f>
        <v>-0.67060737857050878</v>
      </c>
      <c r="W67" s="38">
        <f>AVERAGE(K67:V67)</f>
        <v>-0.67060737857050878</v>
      </c>
      <c r="X67" s="37">
        <f>STDEV(K67:V67)/SQRT(COUNT(K67:V67))</f>
        <v>0</v>
      </c>
      <c r="Y67" s="36">
        <f>MIN(K67:V67)</f>
        <v>-0.67060737857050878</v>
      </c>
      <c r="Z67" s="35">
        <f>QUARTILE(K67:V67,1)</f>
        <v>-0.67060737857050878</v>
      </c>
      <c r="AA67" s="36">
        <f>MEDIAN(K67:V67)</f>
        <v>-0.67060737857050878</v>
      </c>
      <c r="AB67" s="35">
        <f>QUARTILE(K67:V67,3)</f>
        <v>-0.67060737857050878</v>
      </c>
      <c r="AC67" s="35">
        <f>MAX(K67:V67)</f>
        <v>-0.67060737857050878</v>
      </c>
      <c r="AD67" s="35" t="e">
        <f>SKEW(K67:V67)</f>
        <v>#DIV/0!</v>
      </c>
      <c r="AE67" s="35" t="e">
        <f>KURT(K67:V67)</f>
        <v>#DIV/0!</v>
      </c>
    </row>
    <row r="68" spans="2:31" x14ac:dyDescent="0.2">
      <c r="B68" s="34">
        <f>[48]FormattedData!A67</f>
        <v>0</v>
      </c>
      <c r="C68" s="34" t="e">
        <f>VLOOKUP($B68,[48]TrtCodes!$B$11:I110,2)</f>
        <v>#N/A</v>
      </c>
      <c r="D68" s="34" t="e">
        <f>VLOOKUP($B68,[48]TrtCodes!$B$11:J110,3)</f>
        <v>#N/A</v>
      </c>
      <c r="E68" s="34" t="e">
        <f>VLOOKUP($B68,[48]TrtCodes!$B$11:K110,4)</f>
        <v>#N/A</v>
      </c>
      <c r="F68" s="34" t="e">
        <f>VLOOKUP($B68,[48]TrtCodes!$B$11:L110,5)</f>
        <v>#N/A</v>
      </c>
      <c r="G68" s="34" t="e">
        <f>VLOOKUP($B68,[48]TrtCodes!$B$11:M110,6)</f>
        <v>#N/A</v>
      </c>
      <c r="H68" s="34" t="e">
        <f>VLOOKUP($B68,[48]TrtCodes!$B$11:N110,7)</f>
        <v>#N/A</v>
      </c>
      <c r="I68" s="34">
        <f>[48]FormattedData!B67</f>
        <v>0</v>
      </c>
      <c r="J68" s="37">
        <f>[48]FormattedData!C67</f>
        <v>0</v>
      </c>
      <c r="K68" s="39">
        <f>$J$3+[48]FormattedData!D67*$J$4+$M$4*$J$5+[48]FormattedData!D67^2*$J$6+$M$5*$J$7</f>
        <v>-0.67060737857050878</v>
      </c>
      <c r="L68" s="39">
        <f>$J$3+[48]FormattedData!E67*$J$4+$M$4*$J$5+[48]FormattedData!E67^2*$J$6+$M$5*$J$7</f>
        <v>-0.67060737857050878</v>
      </c>
      <c r="M68" s="39">
        <f>$J$3+[48]FormattedData!F67*$J$4+$M$4*$J$5+[48]FormattedData!F67^2*$J$6+$M$5*$J$7</f>
        <v>-0.67060737857050878</v>
      </c>
      <c r="N68" s="39">
        <f>$J$3+[48]FormattedData!G67*$J$4+$M$4*$J$5+[48]FormattedData!G67^2*$J$6+$M$5*$J$7</f>
        <v>-0.67060737857050878</v>
      </c>
      <c r="O68" s="39">
        <f>$J$3+[48]FormattedData!H67*$J$4+$M$4*$J$5+[48]FormattedData!H67^2*$J$6+$M$5*$J$7</f>
        <v>-0.67060737857050878</v>
      </c>
      <c r="P68" s="39">
        <f>$J$3+[48]FormattedData!I67*$J$4+$M$4*$J$5+[48]FormattedData!I67^2*$J$6+$M$5*$J$7</f>
        <v>-0.67060737857050878</v>
      </c>
      <c r="Q68" s="39">
        <f>$J$3+[48]FormattedData!J67*$J$4+$M$4*$J$5+[48]FormattedData!J67^2*$J$6+$M$5*$J$7</f>
        <v>-0.67060737857050878</v>
      </c>
      <c r="R68" s="39">
        <f>$J$3+[48]FormattedData!K67*$J$4+$M$4*$J$5+[48]FormattedData!K67^2*$J$6+$M$5*$J$7</f>
        <v>-0.67060737857050878</v>
      </c>
      <c r="S68" s="39">
        <f>$J$3+[48]FormattedData!L67*$J$4+$M$4*$J$5+[48]FormattedData!L67^2*$J$6+$M$5*$J$7</f>
        <v>-0.67060737857050878</v>
      </c>
      <c r="T68" s="39">
        <f>$J$3+[48]FormattedData!M67*$J$4+$M$4*$J$5+[48]FormattedData!M67^2*$J$6+$M$5*$J$7</f>
        <v>-0.67060737857050878</v>
      </c>
      <c r="U68" s="39">
        <f>$J$3+[48]FormattedData!N67*$J$4+$M$4*$J$5+[48]FormattedData!N67^2*$J$6+$M$5*$J$7</f>
        <v>-0.67060737857050878</v>
      </c>
      <c r="V68" s="39">
        <f>$J$3+[48]FormattedData!O67*$J$4+$M$4*$J$5+[48]FormattedData!O67^2*$J$6+$M$5*$J$7</f>
        <v>-0.67060737857050878</v>
      </c>
      <c r="W68" s="38">
        <f>AVERAGE(K68:V68)</f>
        <v>-0.67060737857050878</v>
      </c>
      <c r="X68" s="37">
        <f>STDEV(K68:V68)/SQRT(COUNT(K68:V68))</f>
        <v>0</v>
      </c>
      <c r="Y68" s="36">
        <f>MIN(K68:V68)</f>
        <v>-0.67060737857050878</v>
      </c>
      <c r="Z68" s="35">
        <f>QUARTILE(K68:V68,1)</f>
        <v>-0.67060737857050878</v>
      </c>
      <c r="AA68" s="36">
        <f>MEDIAN(K68:V68)</f>
        <v>-0.67060737857050878</v>
      </c>
      <c r="AB68" s="35">
        <f>QUARTILE(K68:V68,3)</f>
        <v>-0.67060737857050878</v>
      </c>
      <c r="AC68" s="35">
        <f>MAX(K68:V68)</f>
        <v>-0.67060737857050878</v>
      </c>
      <c r="AD68" s="35" t="e">
        <f>SKEW(K68:V68)</f>
        <v>#DIV/0!</v>
      </c>
      <c r="AE68" s="35" t="e">
        <f>KURT(K68:V68)</f>
        <v>#DIV/0!</v>
      </c>
    </row>
    <row r="69" spans="2:31" x14ac:dyDescent="0.2">
      <c r="B69" s="34">
        <f>[48]FormattedData!A69</f>
        <v>0</v>
      </c>
      <c r="C69" s="34" t="e">
        <f>VLOOKUP($B69,[48]TrtCodes!$B$11:I112,2)</f>
        <v>#N/A</v>
      </c>
      <c r="D69" s="34" t="e">
        <f>VLOOKUP($B69,[48]TrtCodes!$B$11:J112,3)</f>
        <v>#N/A</v>
      </c>
      <c r="E69" s="34" t="e">
        <f>VLOOKUP($B69,[48]TrtCodes!$B$11:K112,4)</f>
        <v>#N/A</v>
      </c>
      <c r="F69" s="34" t="e">
        <f>VLOOKUP($B69,[48]TrtCodes!$B$11:L112,5)</f>
        <v>#N/A</v>
      </c>
      <c r="G69" s="34" t="e">
        <f>VLOOKUP($B69,[48]TrtCodes!$B$11:M112,6)</f>
        <v>#N/A</v>
      </c>
      <c r="H69" s="34" t="e">
        <f>VLOOKUP($B69,[48]TrtCodes!$B$11:N112,7)</f>
        <v>#N/A</v>
      </c>
      <c r="I69" s="34">
        <f>[48]FormattedData!B69</f>
        <v>0</v>
      </c>
      <c r="J69" s="37">
        <f>[48]FormattedData!C69</f>
        <v>0</v>
      </c>
      <c r="K69" s="39">
        <f>$J$3+[48]FormattedData!D69*$J$4+$M$4*$J$5+[48]FormattedData!D69^2*$J$6+$M$5*$J$7</f>
        <v>-0.67060737857050878</v>
      </c>
      <c r="L69" s="39">
        <f>$J$3+[48]FormattedData!E69*$J$4+$M$4*$J$5+[48]FormattedData!E69^2*$J$6+$M$5*$J$7</f>
        <v>-0.67060737857050878</v>
      </c>
      <c r="M69" s="39">
        <f>$J$3+[48]FormattedData!F69*$J$4+$M$4*$J$5+[48]FormattedData!F69^2*$J$6+$M$5*$J$7</f>
        <v>-0.67060737857050878</v>
      </c>
      <c r="N69" s="39">
        <f>$J$3+[48]FormattedData!G69*$J$4+$M$4*$J$5+[48]FormattedData!G69^2*$J$6+$M$5*$J$7</f>
        <v>-0.67060737857050878</v>
      </c>
      <c r="O69" s="39">
        <f>$J$3+[48]FormattedData!H69*$J$4+$M$4*$J$5+[48]FormattedData!H69^2*$J$6+$M$5*$J$7</f>
        <v>-0.67060737857050878</v>
      </c>
      <c r="P69" s="39">
        <f>$J$3+[48]FormattedData!I69*$J$4+$M$4*$J$5+[48]FormattedData!I69^2*$J$6+$M$5*$J$7</f>
        <v>-0.67060737857050878</v>
      </c>
      <c r="Q69" s="39">
        <f>$J$3+[48]FormattedData!J69*$J$4+$M$4*$J$5+[48]FormattedData!J69^2*$J$6+$M$5*$J$7</f>
        <v>-0.67060737857050878</v>
      </c>
      <c r="R69" s="39">
        <f>$J$3+[48]FormattedData!K69*$J$4+$M$4*$J$5+[48]FormattedData!K69^2*$J$6+$M$5*$J$7</f>
        <v>-0.67060737857050878</v>
      </c>
      <c r="S69" s="39">
        <f>$J$3+[48]FormattedData!L69*$J$4+$M$4*$J$5+[48]FormattedData!L69^2*$J$6+$M$5*$J$7</f>
        <v>-0.67060737857050878</v>
      </c>
      <c r="T69" s="39">
        <f>$J$3+[48]FormattedData!M69*$J$4+$M$4*$J$5+[48]FormattedData!M69^2*$J$6+$M$5*$J$7</f>
        <v>-0.67060737857050878</v>
      </c>
      <c r="U69" s="39">
        <f>$J$3+[48]FormattedData!N69*$J$4+$M$4*$J$5+[48]FormattedData!N69^2*$J$6+$M$5*$J$7</f>
        <v>-0.67060737857050878</v>
      </c>
      <c r="V69" s="39">
        <f>$J$3+[48]FormattedData!O69*$J$4+$M$4*$J$5+[48]FormattedData!O69^2*$J$6+$M$5*$J$7</f>
        <v>-0.67060737857050878</v>
      </c>
      <c r="W69" s="38">
        <f>AVERAGE(K69:V69)</f>
        <v>-0.67060737857050878</v>
      </c>
      <c r="X69" s="37">
        <f>STDEV(K69:V69)/SQRT(COUNT(K69:V69))</f>
        <v>0</v>
      </c>
      <c r="Y69" s="36">
        <f>MIN(K69:V69)</f>
        <v>-0.67060737857050878</v>
      </c>
      <c r="Z69" s="35">
        <f>QUARTILE(K69:V69,1)</f>
        <v>-0.67060737857050878</v>
      </c>
      <c r="AA69" s="36">
        <f>MEDIAN(K69:V69)</f>
        <v>-0.67060737857050878</v>
      </c>
      <c r="AB69" s="35">
        <f>QUARTILE(K69:V69,3)</f>
        <v>-0.67060737857050878</v>
      </c>
      <c r="AC69" s="35">
        <f>MAX(K69:V69)</f>
        <v>-0.67060737857050878</v>
      </c>
      <c r="AD69" s="35" t="e">
        <f>SKEW(K69:V69)</f>
        <v>#DIV/0!</v>
      </c>
      <c r="AE69" s="35" t="e">
        <f>KURT(K69:V69)</f>
        <v>#DIV/0!</v>
      </c>
    </row>
    <row r="70" spans="2:31" x14ac:dyDescent="0.2">
      <c r="B70" s="34">
        <f>[48]FormattedData!A71</f>
        <v>0</v>
      </c>
      <c r="C70" s="34" t="e">
        <f>VLOOKUP($B70,[48]TrtCodes!$B$11:I114,2)</f>
        <v>#N/A</v>
      </c>
      <c r="D70" s="34" t="e">
        <f>VLOOKUP($B70,[48]TrtCodes!$B$11:J114,3)</f>
        <v>#N/A</v>
      </c>
      <c r="E70" s="34" t="e">
        <f>VLOOKUP($B70,[48]TrtCodes!$B$11:K114,4)</f>
        <v>#N/A</v>
      </c>
      <c r="F70" s="34" t="e">
        <f>VLOOKUP($B70,[48]TrtCodes!$B$11:L114,5)</f>
        <v>#N/A</v>
      </c>
      <c r="G70" s="34" t="e">
        <f>VLOOKUP($B70,[48]TrtCodes!$B$11:M114,6)</f>
        <v>#N/A</v>
      </c>
      <c r="H70" s="34" t="e">
        <f>VLOOKUP($B70,[48]TrtCodes!$B$11:N114,7)</f>
        <v>#N/A</v>
      </c>
      <c r="I70" s="34">
        <f>[48]FormattedData!B71</f>
        <v>0</v>
      </c>
      <c r="J70" s="37">
        <f>[48]FormattedData!C71</f>
        <v>0</v>
      </c>
      <c r="K70" s="39">
        <f>$J$3+[48]FormattedData!D71*$J$4+$M$4*$J$5+[48]FormattedData!D71^2*$J$6+$M$5*$J$7</f>
        <v>-0.67060737857050878</v>
      </c>
      <c r="L70" s="39">
        <f>$J$3+[48]FormattedData!E71*$J$4+$M$4*$J$5+[48]FormattedData!E71^2*$J$6+$M$5*$J$7</f>
        <v>-0.67060737857050878</v>
      </c>
      <c r="M70" s="39">
        <f>$J$3+[48]FormattedData!F71*$J$4+$M$4*$J$5+[48]FormattedData!F71^2*$J$6+$M$5*$J$7</f>
        <v>-0.67060737857050878</v>
      </c>
      <c r="N70" s="39">
        <f>$J$3+[48]FormattedData!G71*$J$4+$M$4*$J$5+[48]FormattedData!G71^2*$J$6+$M$5*$J$7</f>
        <v>-0.67060737857050878</v>
      </c>
      <c r="O70" s="39">
        <f>$J$3+[48]FormattedData!H71*$J$4+$M$4*$J$5+[48]FormattedData!H71^2*$J$6+$M$5*$J$7</f>
        <v>-0.67060737857050878</v>
      </c>
      <c r="P70" s="39">
        <f>$J$3+[48]FormattedData!I71*$J$4+$M$4*$J$5+[48]FormattedData!I71^2*$J$6+$M$5*$J$7</f>
        <v>-0.67060737857050878</v>
      </c>
      <c r="Q70" s="39">
        <f>$J$3+[48]FormattedData!J71*$J$4+$M$4*$J$5+[48]FormattedData!J71^2*$J$6+$M$5*$J$7</f>
        <v>-0.67060737857050878</v>
      </c>
      <c r="R70" s="39">
        <f>$J$3+[48]FormattedData!K71*$J$4+$M$4*$J$5+[48]FormattedData!K71^2*$J$6+$M$5*$J$7</f>
        <v>-0.67060737857050878</v>
      </c>
      <c r="S70" s="39">
        <f>$J$3+[48]FormattedData!L71*$J$4+$M$4*$J$5+[48]FormattedData!L71^2*$J$6+$M$5*$J$7</f>
        <v>-0.67060737857050878</v>
      </c>
      <c r="T70" s="39">
        <f>$J$3+[48]FormattedData!M71*$J$4+$M$4*$J$5+[48]FormattedData!M71^2*$J$6+$M$5*$J$7</f>
        <v>-0.67060737857050878</v>
      </c>
      <c r="U70" s="39">
        <f>$J$3+[48]FormattedData!N71*$J$4+$M$4*$J$5+[48]FormattedData!N71^2*$J$6+$M$5*$J$7</f>
        <v>-0.67060737857050878</v>
      </c>
      <c r="V70" s="39">
        <f>$J$3+[48]FormattedData!O71*$J$4+$M$4*$J$5+[48]FormattedData!O71^2*$J$6+$M$5*$J$7</f>
        <v>-0.67060737857050878</v>
      </c>
      <c r="W70" s="38">
        <f>AVERAGE(K70:V70)</f>
        <v>-0.67060737857050878</v>
      </c>
      <c r="X70" s="37">
        <f>STDEV(K70:V70)/SQRT(COUNT(K70:V70))</f>
        <v>0</v>
      </c>
      <c r="Y70" s="36">
        <f>MIN(K70:V70)</f>
        <v>-0.67060737857050878</v>
      </c>
      <c r="Z70" s="35">
        <f>QUARTILE(K70:V70,1)</f>
        <v>-0.67060737857050878</v>
      </c>
      <c r="AA70" s="36">
        <f>MEDIAN(K70:V70)</f>
        <v>-0.67060737857050878</v>
      </c>
      <c r="AB70" s="35">
        <f>QUARTILE(K70:V70,3)</f>
        <v>-0.67060737857050878</v>
      </c>
      <c r="AC70" s="35">
        <f>MAX(K70:V70)</f>
        <v>-0.67060737857050878</v>
      </c>
      <c r="AD70" s="35" t="e">
        <f>SKEW(K70:V70)</f>
        <v>#DIV/0!</v>
      </c>
      <c r="AE70" s="35" t="e">
        <f>KURT(K70:V70)</f>
        <v>#DIV/0!</v>
      </c>
    </row>
    <row r="71" spans="2:31" x14ac:dyDescent="0.2">
      <c r="B71" s="34">
        <f>[48]FormattedData!A73</f>
        <v>0</v>
      </c>
      <c r="C71" s="34" t="e">
        <f>VLOOKUP($B71,[48]TrtCodes!$B$11:I116,2)</f>
        <v>#N/A</v>
      </c>
      <c r="D71" s="34" t="e">
        <f>VLOOKUP($B71,[48]TrtCodes!$B$11:J116,3)</f>
        <v>#N/A</v>
      </c>
      <c r="E71" s="34" t="e">
        <f>VLOOKUP($B71,[48]TrtCodes!$B$11:K116,4)</f>
        <v>#N/A</v>
      </c>
      <c r="F71" s="34" t="e">
        <f>VLOOKUP($B71,[48]TrtCodes!$B$11:L116,5)</f>
        <v>#N/A</v>
      </c>
      <c r="G71" s="34" t="e">
        <f>VLOOKUP($B71,[48]TrtCodes!$B$11:M116,6)</f>
        <v>#N/A</v>
      </c>
      <c r="H71" s="34" t="e">
        <f>VLOOKUP($B71,[48]TrtCodes!$B$11:N116,7)</f>
        <v>#N/A</v>
      </c>
      <c r="I71" s="34">
        <f>[48]FormattedData!B73</f>
        <v>0</v>
      </c>
      <c r="J71" s="37">
        <f>[48]FormattedData!C73</f>
        <v>0</v>
      </c>
      <c r="K71" s="39">
        <f>$J$3+[48]FormattedData!D73*$J$4+$M$4*$J$5+[48]FormattedData!D73^2*$J$6+$M$5*$J$7</f>
        <v>-0.67060737857050878</v>
      </c>
      <c r="L71" s="39">
        <f>$J$3+[48]FormattedData!E73*$J$4+$M$4*$J$5+[48]FormattedData!E73^2*$J$6+$M$5*$J$7</f>
        <v>-0.67060737857050878</v>
      </c>
      <c r="M71" s="39">
        <f>$J$3+[48]FormattedData!F73*$J$4+$M$4*$J$5+[48]FormattedData!F73^2*$J$6+$M$5*$J$7</f>
        <v>-0.67060737857050878</v>
      </c>
      <c r="N71" s="39">
        <f>$J$3+[48]FormattedData!G73*$J$4+$M$4*$J$5+[48]FormattedData!G73^2*$J$6+$M$5*$J$7</f>
        <v>-0.67060737857050878</v>
      </c>
      <c r="O71" s="39">
        <f>$J$3+[48]FormattedData!H73*$J$4+$M$4*$J$5+[48]FormattedData!H73^2*$J$6+$M$5*$J$7</f>
        <v>-0.67060737857050878</v>
      </c>
      <c r="P71" s="39">
        <f>$J$3+[48]FormattedData!I73*$J$4+$M$4*$J$5+[48]FormattedData!I73^2*$J$6+$M$5*$J$7</f>
        <v>-0.67060737857050878</v>
      </c>
      <c r="Q71" s="39">
        <f>$J$3+[48]FormattedData!J73*$J$4+$M$4*$J$5+[48]FormattedData!J73^2*$J$6+$M$5*$J$7</f>
        <v>-0.67060737857050878</v>
      </c>
      <c r="R71" s="39">
        <f>$J$3+[48]FormattedData!K73*$J$4+$M$4*$J$5+[48]FormattedData!K73^2*$J$6+$M$5*$J$7</f>
        <v>-0.67060737857050878</v>
      </c>
      <c r="S71" s="39">
        <f>$J$3+[48]FormattedData!L73*$J$4+$M$4*$J$5+[48]FormattedData!L73^2*$J$6+$M$5*$J$7</f>
        <v>-0.67060737857050878</v>
      </c>
      <c r="T71" s="39">
        <f>$J$3+[48]FormattedData!M73*$J$4+$M$4*$J$5+[48]FormattedData!M73^2*$J$6+$M$5*$J$7</f>
        <v>-0.67060737857050878</v>
      </c>
      <c r="U71" s="39">
        <f>$J$3+[48]FormattedData!N73*$J$4+$M$4*$J$5+[48]FormattedData!N73^2*$J$6+$M$5*$J$7</f>
        <v>-0.67060737857050878</v>
      </c>
      <c r="V71" s="39">
        <f>$J$3+[48]FormattedData!O73*$J$4+$M$4*$J$5+[48]FormattedData!O73^2*$J$6+$M$5*$J$7</f>
        <v>-0.67060737857050878</v>
      </c>
      <c r="W71" s="38">
        <f>AVERAGE(K71:V71)</f>
        <v>-0.67060737857050878</v>
      </c>
      <c r="X71" s="37">
        <f>STDEV(K71:V71)/SQRT(COUNT(K71:V71))</f>
        <v>0</v>
      </c>
      <c r="Y71" s="36">
        <f>MIN(K71:V71)</f>
        <v>-0.67060737857050878</v>
      </c>
      <c r="Z71" s="35">
        <f>QUARTILE(K71:V71,1)</f>
        <v>-0.67060737857050878</v>
      </c>
      <c r="AA71" s="36">
        <f>MEDIAN(K71:V71)</f>
        <v>-0.67060737857050878</v>
      </c>
      <c r="AB71" s="35">
        <f>QUARTILE(K71:V71,3)</f>
        <v>-0.67060737857050878</v>
      </c>
      <c r="AC71" s="35">
        <f>MAX(K71:V71)</f>
        <v>-0.67060737857050878</v>
      </c>
      <c r="AD71" s="35" t="e">
        <f>SKEW(K71:V71)</f>
        <v>#DIV/0!</v>
      </c>
      <c r="AE71" s="35" t="e">
        <f>KURT(K71:V71)</f>
        <v>#DIV/0!</v>
      </c>
    </row>
    <row r="72" spans="2:31" x14ac:dyDescent="0.2">
      <c r="B72" s="34">
        <f>[48]FormattedData!A75</f>
        <v>0</v>
      </c>
      <c r="C72" s="34" t="e">
        <f>VLOOKUP($B72,[48]TrtCodes!$B$11:I118,2)</f>
        <v>#N/A</v>
      </c>
      <c r="D72" s="34" t="e">
        <f>VLOOKUP($B72,[48]TrtCodes!$B$11:J118,3)</f>
        <v>#N/A</v>
      </c>
      <c r="E72" s="34" t="e">
        <f>VLOOKUP($B72,[48]TrtCodes!$B$11:K118,4)</f>
        <v>#N/A</v>
      </c>
      <c r="F72" s="34" t="e">
        <f>VLOOKUP($B72,[48]TrtCodes!$B$11:L118,5)</f>
        <v>#N/A</v>
      </c>
      <c r="G72" s="34" t="e">
        <f>VLOOKUP($B72,[48]TrtCodes!$B$11:M118,6)</f>
        <v>#N/A</v>
      </c>
      <c r="H72" s="34" t="e">
        <f>VLOOKUP($B72,[48]TrtCodes!$B$11:N118,7)</f>
        <v>#N/A</v>
      </c>
      <c r="I72" s="34">
        <f>[48]FormattedData!B75</f>
        <v>0</v>
      </c>
      <c r="J72" s="37">
        <f>[48]FormattedData!C75</f>
        <v>0</v>
      </c>
      <c r="K72" s="39">
        <f>$J$3+[48]FormattedData!D75*$J$4+$M$4*$J$5+[48]FormattedData!D75^2*$J$6+$M$5*$J$7</f>
        <v>-0.67060737857050878</v>
      </c>
      <c r="L72" s="39">
        <f>$J$3+[48]FormattedData!E75*$J$4+$M$4*$J$5+[48]FormattedData!E75^2*$J$6+$M$5*$J$7</f>
        <v>-0.67060737857050878</v>
      </c>
      <c r="M72" s="39">
        <f>$J$3+[48]FormattedData!F75*$J$4+$M$4*$J$5+[48]FormattedData!F75^2*$J$6+$M$5*$J$7</f>
        <v>-0.67060737857050878</v>
      </c>
      <c r="N72" s="39">
        <f>$J$3+[48]FormattedData!G75*$J$4+$M$4*$J$5+[48]FormattedData!G75^2*$J$6+$M$5*$J$7</f>
        <v>-0.67060737857050878</v>
      </c>
      <c r="O72" s="39">
        <f>$J$3+[48]FormattedData!H75*$J$4+$M$4*$J$5+[48]FormattedData!H75^2*$J$6+$M$5*$J$7</f>
        <v>-0.67060737857050878</v>
      </c>
      <c r="P72" s="39">
        <f>$J$3+[48]FormattedData!I75*$J$4+$M$4*$J$5+[48]FormattedData!I75^2*$J$6+$M$5*$J$7</f>
        <v>-0.67060737857050878</v>
      </c>
      <c r="Q72" s="39">
        <f>$J$3+[48]FormattedData!J75*$J$4+$M$4*$J$5+[48]FormattedData!J75^2*$J$6+$M$5*$J$7</f>
        <v>-0.67060737857050878</v>
      </c>
      <c r="R72" s="39">
        <f>$J$3+[48]FormattedData!K75*$J$4+$M$4*$J$5+[48]FormattedData!K75^2*$J$6+$M$5*$J$7</f>
        <v>-0.67060737857050878</v>
      </c>
      <c r="S72" s="39">
        <f>$J$3+[48]FormattedData!L75*$J$4+$M$4*$J$5+[48]FormattedData!L75^2*$J$6+$M$5*$J$7</f>
        <v>-0.67060737857050878</v>
      </c>
      <c r="T72" s="39">
        <f>$J$3+[48]FormattedData!M75*$J$4+$M$4*$J$5+[48]FormattedData!M75^2*$J$6+$M$5*$J$7</f>
        <v>-0.67060737857050878</v>
      </c>
      <c r="U72" s="39">
        <f>$J$3+[48]FormattedData!N75*$J$4+$M$4*$J$5+[48]FormattedData!N75^2*$J$6+$M$5*$J$7</f>
        <v>-0.67060737857050878</v>
      </c>
      <c r="V72" s="39">
        <f>$J$3+[48]FormattedData!O75*$J$4+$M$4*$J$5+[48]FormattedData!O75^2*$J$6+$M$5*$J$7</f>
        <v>-0.67060737857050878</v>
      </c>
      <c r="W72" s="38">
        <f>AVERAGE(K72:V72)</f>
        <v>-0.67060737857050878</v>
      </c>
      <c r="X72" s="37">
        <f>STDEV(K72:V72)/SQRT(COUNT(K72:V72))</f>
        <v>0</v>
      </c>
      <c r="Y72" s="36">
        <f>MIN(K72:V72)</f>
        <v>-0.67060737857050878</v>
      </c>
      <c r="Z72" s="35">
        <f>QUARTILE(K72:V72,1)</f>
        <v>-0.67060737857050878</v>
      </c>
      <c r="AA72" s="36">
        <f>MEDIAN(K72:V72)</f>
        <v>-0.67060737857050878</v>
      </c>
      <c r="AB72" s="35">
        <f>QUARTILE(K72:V72,3)</f>
        <v>-0.67060737857050878</v>
      </c>
      <c r="AC72" s="35">
        <f>MAX(K72:V72)</f>
        <v>-0.67060737857050878</v>
      </c>
      <c r="AD72" s="35" t="e">
        <f>SKEW(K72:V72)</f>
        <v>#DIV/0!</v>
      </c>
      <c r="AE72" s="35" t="e">
        <f>KURT(K72:V72)</f>
        <v>#DIV/0!</v>
      </c>
    </row>
    <row r="73" spans="2:31" x14ac:dyDescent="0.2">
      <c r="B73" s="34">
        <f>[48]FormattedData!A77</f>
        <v>0</v>
      </c>
      <c r="C73" s="34" t="e">
        <f>VLOOKUP($B73,[48]TrtCodes!$B$11:I120,2)</f>
        <v>#N/A</v>
      </c>
      <c r="D73" s="34" t="e">
        <f>VLOOKUP($B73,[48]TrtCodes!$B$11:J120,3)</f>
        <v>#N/A</v>
      </c>
      <c r="E73" s="34" t="e">
        <f>VLOOKUP($B73,[48]TrtCodes!$B$11:K120,4)</f>
        <v>#N/A</v>
      </c>
      <c r="F73" s="34" t="e">
        <f>VLOOKUP($B73,[48]TrtCodes!$B$11:L120,5)</f>
        <v>#N/A</v>
      </c>
      <c r="G73" s="34" t="e">
        <f>VLOOKUP($B73,[48]TrtCodes!$B$11:M120,6)</f>
        <v>#N/A</v>
      </c>
      <c r="H73" s="34" t="e">
        <f>VLOOKUP($B73,[48]TrtCodes!$B$11:N120,7)</f>
        <v>#N/A</v>
      </c>
      <c r="I73" s="34">
        <f>[48]FormattedData!B77</f>
        <v>0</v>
      </c>
      <c r="J73" s="37">
        <f>[48]FormattedData!C77</f>
        <v>0</v>
      </c>
      <c r="K73" s="39">
        <f>$J$3+[48]FormattedData!D77*$J$4+$M$4*$J$5+[48]FormattedData!D77^2*$J$6+$M$5*$J$7</f>
        <v>-0.67060737857050878</v>
      </c>
      <c r="L73" s="39">
        <f>$J$3+[48]FormattedData!E77*$J$4+$M$4*$J$5+[48]FormattedData!E77^2*$J$6+$M$5*$J$7</f>
        <v>-0.67060737857050878</v>
      </c>
      <c r="M73" s="39">
        <f>$J$3+[48]FormattedData!F77*$J$4+$M$4*$J$5+[48]FormattedData!F77^2*$J$6+$M$5*$J$7</f>
        <v>-0.67060737857050878</v>
      </c>
      <c r="N73" s="39">
        <f>$J$3+[48]FormattedData!G77*$J$4+$M$4*$J$5+[48]FormattedData!G77^2*$J$6+$M$5*$J$7</f>
        <v>-0.67060737857050878</v>
      </c>
      <c r="O73" s="39">
        <f>$J$3+[48]FormattedData!H77*$J$4+$M$4*$J$5+[48]FormattedData!H77^2*$J$6+$M$5*$J$7</f>
        <v>-0.67060737857050878</v>
      </c>
      <c r="P73" s="39">
        <f>$J$3+[48]FormattedData!I77*$J$4+$M$4*$J$5+[48]FormattedData!I77^2*$J$6+$M$5*$J$7</f>
        <v>-0.67060737857050878</v>
      </c>
      <c r="Q73" s="39">
        <f>$J$3+[48]FormattedData!J77*$J$4+$M$4*$J$5+[48]FormattedData!J77^2*$J$6+$M$5*$J$7</f>
        <v>-0.67060737857050878</v>
      </c>
      <c r="R73" s="39">
        <f>$J$3+[48]FormattedData!K77*$J$4+$M$4*$J$5+[48]FormattedData!K77^2*$J$6+$M$5*$J$7</f>
        <v>-0.67060737857050878</v>
      </c>
      <c r="S73" s="39">
        <f>$J$3+[48]FormattedData!L77*$J$4+$M$4*$J$5+[48]FormattedData!L77^2*$J$6+$M$5*$J$7</f>
        <v>-0.67060737857050878</v>
      </c>
      <c r="T73" s="39">
        <f>$J$3+[48]FormattedData!M77*$J$4+$M$4*$J$5+[48]FormattedData!M77^2*$J$6+$M$5*$J$7</f>
        <v>-0.67060737857050878</v>
      </c>
      <c r="U73" s="39">
        <f>$J$3+[48]FormattedData!N77*$J$4+$M$4*$J$5+[48]FormattedData!N77^2*$J$6+$M$5*$J$7</f>
        <v>-0.67060737857050878</v>
      </c>
      <c r="V73" s="39">
        <f>$J$3+[48]FormattedData!O77*$J$4+$M$4*$J$5+[48]FormattedData!O77^2*$J$6+$M$5*$J$7</f>
        <v>-0.67060737857050878</v>
      </c>
      <c r="W73" s="38">
        <f>AVERAGE(K73:V73)</f>
        <v>-0.67060737857050878</v>
      </c>
      <c r="X73" s="37">
        <f>STDEV(K73:V73)/SQRT(COUNT(K73:V73))</f>
        <v>0</v>
      </c>
      <c r="Y73" s="36">
        <f>MIN(K73:V73)</f>
        <v>-0.67060737857050878</v>
      </c>
      <c r="Z73" s="35">
        <f>QUARTILE(K73:V73,1)</f>
        <v>-0.67060737857050878</v>
      </c>
      <c r="AA73" s="36">
        <f>MEDIAN(K73:V73)</f>
        <v>-0.67060737857050878</v>
      </c>
      <c r="AB73" s="35">
        <f>QUARTILE(K73:V73,3)</f>
        <v>-0.67060737857050878</v>
      </c>
      <c r="AC73" s="35">
        <f>MAX(K73:V73)</f>
        <v>-0.67060737857050878</v>
      </c>
      <c r="AD73" s="35" t="e">
        <f>SKEW(K73:V73)</f>
        <v>#DIV/0!</v>
      </c>
      <c r="AE73" s="35" t="e">
        <f>KURT(K73:V73)</f>
        <v>#DIV/0!</v>
      </c>
    </row>
    <row r="74" spans="2:31" x14ac:dyDescent="0.2">
      <c r="B74" s="34">
        <f>[48]FormattedData!A93</f>
        <v>0</v>
      </c>
      <c r="C74" s="34" t="e">
        <f>VLOOKUP($B74,[48]TrtCodes!$B$11:I130,2)</f>
        <v>#N/A</v>
      </c>
      <c r="D74" s="34" t="e">
        <f>VLOOKUP($B74,[48]TrtCodes!$B$11:J130,3)</f>
        <v>#N/A</v>
      </c>
      <c r="E74" s="34" t="e">
        <f>VLOOKUP($B74,[48]TrtCodes!$B$11:K130,4)</f>
        <v>#N/A</v>
      </c>
      <c r="F74" s="34" t="e">
        <f>VLOOKUP($B74,[48]TrtCodes!$B$11:L130,5)</f>
        <v>#N/A</v>
      </c>
      <c r="G74" s="34" t="e">
        <f>VLOOKUP($B74,[48]TrtCodes!$B$11:M130,6)</f>
        <v>#N/A</v>
      </c>
      <c r="H74" s="34" t="e">
        <f>VLOOKUP($B74,[48]TrtCodes!$B$11:N130,7)</f>
        <v>#N/A</v>
      </c>
      <c r="I74" s="34">
        <f>[48]FormattedData!B93</f>
        <v>0</v>
      </c>
      <c r="J74" s="37">
        <f>[48]FormattedData!C93</f>
        <v>0</v>
      </c>
      <c r="K74" s="39">
        <f>$J$3+[48]FormattedData!D93*$J$4+$M$4*$J$5+[48]FormattedData!D93^2*$J$6+$M$5*$J$7</f>
        <v>-0.67060737857050878</v>
      </c>
      <c r="L74" s="39">
        <f>$J$3+[48]FormattedData!E93*$J$4+$M$4*$J$5+[48]FormattedData!E93^2*$J$6+$M$5*$J$7</f>
        <v>-0.67060737857050878</v>
      </c>
      <c r="M74" s="39">
        <f>$J$3+[48]FormattedData!F93*$J$4+$M$4*$J$5+[48]FormattedData!F93^2*$J$6+$M$5*$J$7</f>
        <v>-0.67060737857050878</v>
      </c>
      <c r="N74" s="39">
        <f>$J$3+[48]FormattedData!G93*$J$4+$M$4*$J$5+[48]FormattedData!G93^2*$J$6+$M$5*$J$7</f>
        <v>-0.67060737857050878</v>
      </c>
      <c r="O74" s="39">
        <f>$J$3+[48]FormattedData!H93*$J$4+$M$4*$J$5+[48]FormattedData!H93^2*$J$6+$M$5*$J$7</f>
        <v>-0.67060737857050878</v>
      </c>
      <c r="P74" s="39">
        <f>$J$3+[48]FormattedData!I93*$J$4+$M$4*$J$5+[48]FormattedData!I93^2*$J$6+$M$5*$J$7</f>
        <v>-0.67060737857050878</v>
      </c>
      <c r="Q74" s="39">
        <f>$J$3+[48]FormattedData!J93*$J$4+$M$4*$J$5+[48]FormattedData!J93^2*$J$6+$M$5*$J$7</f>
        <v>-0.67060737857050878</v>
      </c>
      <c r="R74" s="39">
        <f>$J$3+[48]FormattedData!K93*$J$4+$M$4*$J$5+[48]FormattedData!K93^2*$J$6+$M$5*$J$7</f>
        <v>-0.67060737857050878</v>
      </c>
      <c r="S74" s="39">
        <f>$J$3+[48]FormattedData!L93*$J$4+$M$4*$J$5+[48]FormattedData!L93^2*$J$6+$M$5*$J$7</f>
        <v>-0.67060737857050878</v>
      </c>
      <c r="T74" s="39">
        <f>$J$3+[48]FormattedData!M93*$J$4+$M$4*$J$5+[48]FormattedData!M93^2*$J$6+$M$5*$J$7</f>
        <v>-0.67060737857050878</v>
      </c>
      <c r="U74" s="39">
        <f>$J$3+[48]FormattedData!N93*$J$4+$M$4*$J$5+[48]FormattedData!N93^2*$J$6+$M$5*$J$7</f>
        <v>-0.67060737857050878</v>
      </c>
      <c r="V74" s="39">
        <f>$J$3+[48]FormattedData!O93*$J$4+$M$4*$J$5+[48]FormattedData!O93^2*$J$6+$M$5*$J$7</f>
        <v>-0.67060737857050878</v>
      </c>
      <c r="W74" s="38">
        <f>AVERAGE(K74:V74)</f>
        <v>-0.67060737857050878</v>
      </c>
      <c r="X74" s="37">
        <f>STDEV(K74:V74)/SQRT(COUNT(K74:V74))</f>
        <v>0</v>
      </c>
      <c r="Y74" s="36">
        <f>MIN(K74:V74)</f>
        <v>-0.67060737857050878</v>
      </c>
      <c r="Z74" s="35">
        <f>QUARTILE(K74:V74,1)</f>
        <v>-0.67060737857050878</v>
      </c>
      <c r="AA74" s="36">
        <f>MEDIAN(K74:V74)</f>
        <v>-0.67060737857050878</v>
      </c>
      <c r="AB74" s="35">
        <f>QUARTILE(K74:V74,3)</f>
        <v>-0.67060737857050878</v>
      </c>
      <c r="AC74" s="35">
        <f>MAX(K74:V74)</f>
        <v>-0.67060737857050878</v>
      </c>
      <c r="AD74" s="35" t="e">
        <f>SKEW(K74:V74)</f>
        <v>#DIV/0!</v>
      </c>
      <c r="AE74" s="35" t="e">
        <f>KURT(K74:V74)</f>
        <v>#DIV/0!</v>
      </c>
    </row>
    <row r="75" spans="2:31" x14ac:dyDescent="0.2">
      <c r="B75" s="34">
        <f>[48]FormattedData!A91</f>
        <v>0</v>
      </c>
      <c r="C75" s="34" t="e">
        <f>VLOOKUP($B75,[48]TrtCodes!$B$11:I131,2)</f>
        <v>#N/A</v>
      </c>
      <c r="D75" s="34" t="e">
        <f>VLOOKUP($B75,[48]TrtCodes!$B$11:J131,3)</f>
        <v>#N/A</v>
      </c>
      <c r="E75" s="34" t="e">
        <f>VLOOKUP($B75,[48]TrtCodes!$B$11:K131,4)</f>
        <v>#N/A</v>
      </c>
      <c r="F75" s="34" t="e">
        <f>VLOOKUP($B75,[48]TrtCodes!$B$11:L131,5)</f>
        <v>#N/A</v>
      </c>
      <c r="G75" s="34" t="e">
        <f>VLOOKUP($B75,[48]TrtCodes!$B$11:M131,6)</f>
        <v>#N/A</v>
      </c>
      <c r="H75" s="34" t="e">
        <f>VLOOKUP($B75,[48]TrtCodes!$B$11:N131,7)</f>
        <v>#N/A</v>
      </c>
      <c r="I75" s="34">
        <f>[48]FormattedData!B91</f>
        <v>0</v>
      </c>
      <c r="J75" s="37">
        <f>[48]FormattedData!C91</f>
        <v>0</v>
      </c>
      <c r="K75" s="39">
        <f>$J$3+[48]FormattedData!D91*$J$4+$M$4*$J$5+[48]FormattedData!D91^2*$J$6+$M$5*$J$7</f>
        <v>-0.67060737857050878</v>
      </c>
      <c r="L75" s="39">
        <f>$J$3+[48]FormattedData!E91*$J$4+$M$4*$J$5+[48]FormattedData!E91^2*$J$6+$M$5*$J$7</f>
        <v>-0.67060737857050878</v>
      </c>
      <c r="M75" s="39">
        <f>$J$3+[48]FormattedData!F91*$J$4+$M$4*$J$5+[48]FormattedData!F91^2*$J$6+$M$5*$J$7</f>
        <v>-0.67060737857050878</v>
      </c>
      <c r="N75" s="39">
        <f>$J$3+[48]FormattedData!G91*$J$4+$M$4*$J$5+[48]FormattedData!G91^2*$J$6+$M$5*$J$7</f>
        <v>-0.67060737857050878</v>
      </c>
      <c r="O75" s="39">
        <f>$J$3+[48]FormattedData!H91*$J$4+$M$4*$J$5+[48]FormattedData!H91^2*$J$6+$M$5*$J$7</f>
        <v>-0.67060737857050878</v>
      </c>
      <c r="P75" s="39">
        <f>$J$3+[48]FormattedData!I91*$J$4+$M$4*$J$5+[48]FormattedData!I91^2*$J$6+$M$5*$J$7</f>
        <v>-0.67060737857050878</v>
      </c>
      <c r="Q75" s="39">
        <f>$J$3+[48]FormattedData!J91*$J$4+$M$4*$J$5+[48]FormattedData!J91^2*$J$6+$M$5*$J$7</f>
        <v>-0.67060737857050878</v>
      </c>
      <c r="R75" s="39">
        <f>$J$3+[48]FormattedData!K91*$J$4+$M$4*$J$5+[48]FormattedData!K91^2*$J$6+$M$5*$J$7</f>
        <v>-0.67060737857050878</v>
      </c>
      <c r="S75" s="39">
        <f>$J$3+[48]FormattedData!L91*$J$4+$M$4*$J$5+[48]FormattedData!L91^2*$J$6+$M$5*$J$7</f>
        <v>-0.67060737857050878</v>
      </c>
      <c r="T75" s="39">
        <f>$J$3+[48]FormattedData!M91*$J$4+$M$4*$J$5+[48]FormattedData!M91^2*$J$6+$M$5*$J$7</f>
        <v>-0.67060737857050878</v>
      </c>
      <c r="U75" s="39">
        <f>$J$3+[48]FormattedData!N91*$J$4+$M$4*$J$5+[48]FormattedData!N91^2*$J$6+$M$5*$J$7</f>
        <v>-0.67060737857050878</v>
      </c>
      <c r="V75" s="39">
        <f>$J$3+[48]FormattedData!O91*$J$4+$M$4*$J$5+[48]FormattedData!O91^2*$J$6+$M$5*$J$7</f>
        <v>-0.67060737857050878</v>
      </c>
      <c r="W75" s="38">
        <f>AVERAGE(K75:V75)</f>
        <v>-0.67060737857050878</v>
      </c>
      <c r="X75" s="37">
        <f>STDEV(K75:V75)/SQRT(COUNT(K75:V75))</f>
        <v>0</v>
      </c>
      <c r="Y75" s="36">
        <f>MIN(K75:V75)</f>
        <v>-0.67060737857050878</v>
      </c>
      <c r="Z75" s="35">
        <f>QUARTILE(K75:V75,1)</f>
        <v>-0.67060737857050878</v>
      </c>
      <c r="AA75" s="36">
        <f>MEDIAN(K75:V75)</f>
        <v>-0.67060737857050878</v>
      </c>
      <c r="AB75" s="35">
        <f>QUARTILE(K75:V75,3)</f>
        <v>-0.67060737857050878</v>
      </c>
      <c r="AC75" s="35">
        <f>MAX(K75:V75)</f>
        <v>-0.67060737857050878</v>
      </c>
      <c r="AD75" s="35" t="e">
        <f>SKEW(K75:V75)</f>
        <v>#DIV/0!</v>
      </c>
      <c r="AE75" s="35" t="e">
        <f>KURT(K75:V75)</f>
        <v>#DIV/0!</v>
      </c>
    </row>
    <row r="76" spans="2:31" x14ac:dyDescent="0.2">
      <c r="B76" s="34">
        <f>[48]FormattedData!A89</f>
        <v>0</v>
      </c>
      <c r="C76" s="34" t="e">
        <f>VLOOKUP($B76,[48]TrtCodes!$B$11:I132,2)</f>
        <v>#N/A</v>
      </c>
      <c r="D76" s="34" t="e">
        <f>VLOOKUP($B76,[48]TrtCodes!$B$11:J132,3)</f>
        <v>#N/A</v>
      </c>
      <c r="E76" s="34" t="e">
        <f>VLOOKUP($B76,[48]TrtCodes!$B$11:K132,4)</f>
        <v>#N/A</v>
      </c>
      <c r="F76" s="34" t="e">
        <f>VLOOKUP($B76,[48]TrtCodes!$B$11:L132,5)</f>
        <v>#N/A</v>
      </c>
      <c r="G76" s="34" t="e">
        <f>VLOOKUP($B76,[48]TrtCodes!$B$11:M132,6)</f>
        <v>#N/A</v>
      </c>
      <c r="H76" s="34" t="e">
        <f>VLOOKUP($B76,[48]TrtCodes!$B$11:N132,7)</f>
        <v>#N/A</v>
      </c>
      <c r="I76" s="34">
        <f>[48]FormattedData!B89</f>
        <v>0</v>
      </c>
      <c r="J76" s="37">
        <f>[48]FormattedData!C89</f>
        <v>0</v>
      </c>
      <c r="K76" s="39">
        <f>$J$3+[48]FormattedData!D89*$J$4+$M$4*$J$5+[48]FormattedData!D89^2*$J$6+$M$5*$J$7</f>
        <v>-0.67060737857050878</v>
      </c>
      <c r="L76" s="39">
        <f>$J$3+[48]FormattedData!E89*$J$4+$M$4*$J$5+[48]FormattedData!E89^2*$J$6+$M$5*$J$7</f>
        <v>-0.67060737857050878</v>
      </c>
      <c r="M76" s="39">
        <f>$J$3+[48]FormattedData!F89*$J$4+$M$4*$J$5+[48]FormattedData!F89^2*$J$6+$M$5*$J$7</f>
        <v>-0.67060737857050878</v>
      </c>
      <c r="N76" s="39">
        <f>$J$3+[48]FormattedData!G89*$J$4+$M$4*$J$5+[48]FormattedData!G89^2*$J$6+$M$5*$J$7</f>
        <v>-0.67060737857050878</v>
      </c>
      <c r="O76" s="39">
        <f>$J$3+[48]FormattedData!H89*$J$4+$M$4*$J$5+[48]FormattedData!H89^2*$J$6+$M$5*$J$7</f>
        <v>-0.67060737857050878</v>
      </c>
      <c r="P76" s="39">
        <f>$J$3+[48]FormattedData!I89*$J$4+$M$4*$J$5+[48]FormattedData!I89^2*$J$6+$M$5*$J$7</f>
        <v>-0.67060737857050878</v>
      </c>
      <c r="Q76" s="39">
        <f>$J$3+[48]FormattedData!J89*$J$4+$M$4*$J$5+[48]FormattedData!J89^2*$J$6+$M$5*$J$7</f>
        <v>-0.67060737857050878</v>
      </c>
      <c r="R76" s="39">
        <f>$J$3+[48]FormattedData!K89*$J$4+$M$4*$J$5+[48]FormattedData!K89^2*$J$6+$M$5*$J$7</f>
        <v>-0.67060737857050878</v>
      </c>
      <c r="S76" s="39">
        <f>$J$3+[48]FormattedData!L89*$J$4+$M$4*$J$5+[48]FormattedData!L89^2*$J$6+$M$5*$J$7</f>
        <v>-0.67060737857050878</v>
      </c>
      <c r="T76" s="39">
        <f>$J$3+[48]FormattedData!M89*$J$4+$M$4*$J$5+[48]FormattedData!M89^2*$J$6+$M$5*$J$7</f>
        <v>-0.67060737857050878</v>
      </c>
      <c r="U76" s="39">
        <f>$J$3+[48]FormattedData!N89*$J$4+$M$4*$J$5+[48]FormattedData!N89^2*$J$6+$M$5*$J$7</f>
        <v>-0.67060737857050878</v>
      </c>
      <c r="V76" s="39">
        <f>$J$3+[48]FormattedData!O89*$J$4+$M$4*$J$5+[48]FormattedData!O89^2*$J$6+$M$5*$J$7</f>
        <v>-0.67060737857050878</v>
      </c>
      <c r="W76" s="38">
        <f>AVERAGE(K76:V76)</f>
        <v>-0.67060737857050878</v>
      </c>
      <c r="X76" s="37">
        <f>STDEV(K76:V76)/SQRT(COUNT(K76:V76))</f>
        <v>0</v>
      </c>
      <c r="Y76" s="36">
        <f>MIN(K76:V76)</f>
        <v>-0.67060737857050878</v>
      </c>
      <c r="Z76" s="35">
        <f>QUARTILE(K76:V76,1)</f>
        <v>-0.67060737857050878</v>
      </c>
      <c r="AA76" s="36">
        <f>MEDIAN(K76:V76)</f>
        <v>-0.67060737857050878</v>
      </c>
      <c r="AB76" s="35">
        <f>QUARTILE(K76:V76,3)</f>
        <v>-0.67060737857050878</v>
      </c>
      <c r="AC76" s="35">
        <f>MAX(K76:V76)</f>
        <v>-0.67060737857050878</v>
      </c>
      <c r="AD76" s="35" t="e">
        <f>SKEW(K76:V76)</f>
        <v>#DIV/0!</v>
      </c>
      <c r="AE76" s="35" t="e">
        <f>KURT(K76:V76)</f>
        <v>#DIV/0!</v>
      </c>
    </row>
    <row r="77" spans="2:31" x14ac:dyDescent="0.2">
      <c r="B77" s="34">
        <f>[48]FormattedData!A87</f>
        <v>0</v>
      </c>
      <c r="C77" s="34" t="e">
        <f>VLOOKUP($B77,[48]TrtCodes!$B$11:I130,2)</f>
        <v>#N/A</v>
      </c>
      <c r="D77" s="34" t="e">
        <f>VLOOKUP($B77,[48]TrtCodes!$B$11:J130,3)</f>
        <v>#N/A</v>
      </c>
      <c r="E77" s="34" t="e">
        <f>VLOOKUP($B77,[48]TrtCodes!$B$11:K130,4)</f>
        <v>#N/A</v>
      </c>
      <c r="F77" s="34" t="e">
        <f>VLOOKUP($B77,[48]TrtCodes!$B$11:L130,5)</f>
        <v>#N/A</v>
      </c>
      <c r="G77" s="34" t="e">
        <f>VLOOKUP($B77,[48]TrtCodes!$B$11:M130,6)</f>
        <v>#N/A</v>
      </c>
      <c r="H77" s="34" t="e">
        <f>VLOOKUP($B77,[48]TrtCodes!$B$11:N130,7)</f>
        <v>#N/A</v>
      </c>
      <c r="I77" s="34">
        <f>[48]FormattedData!B87</f>
        <v>0</v>
      </c>
      <c r="J77" s="37">
        <f>[48]FormattedData!C87</f>
        <v>0</v>
      </c>
      <c r="K77" s="39">
        <f>$J$3+[48]FormattedData!D87*$J$4+$M$4*$J$5+[48]FormattedData!D87^2*$J$6+$M$5*$J$7</f>
        <v>-0.67060737857050878</v>
      </c>
      <c r="L77" s="39">
        <f>$J$3+[48]FormattedData!E87*$J$4+$M$4*$J$5+[48]FormattedData!E87^2*$J$6+$M$5*$J$7</f>
        <v>-0.67060737857050878</v>
      </c>
      <c r="M77" s="39">
        <f>$J$3+[48]FormattedData!F87*$J$4+$M$4*$J$5+[48]FormattedData!F87^2*$J$6+$M$5*$J$7</f>
        <v>-0.67060737857050878</v>
      </c>
      <c r="N77" s="39">
        <f>$J$3+[48]FormattedData!G87*$J$4+$M$4*$J$5+[48]FormattedData!G87^2*$J$6+$M$5*$J$7</f>
        <v>-0.67060737857050878</v>
      </c>
      <c r="O77" s="39">
        <f>$J$3+[48]FormattedData!H87*$J$4+$M$4*$J$5+[48]FormattedData!H87^2*$J$6+$M$5*$J$7</f>
        <v>-0.67060737857050878</v>
      </c>
      <c r="P77" s="39">
        <f>$J$3+[48]FormattedData!I87*$J$4+$M$4*$J$5+[48]FormattedData!I87^2*$J$6+$M$5*$J$7</f>
        <v>-0.67060737857050878</v>
      </c>
      <c r="Q77" s="39">
        <f>$J$3+[48]FormattedData!J87*$J$4+$M$4*$J$5+[48]FormattedData!J87^2*$J$6+$M$5*$J$7</f>
        <v>-0.67060737857050878</v>
      </c>
      <c r="R77" s="39">
        <f>$J$3+[48]FormattedData!K87*$J$4+$M$4*$J$5+[48]FormattedData!K87^2*$J$6+$M$5*$J$7</f>
        <v>-0.67060737857050878</v>
      </c>
      <c r="S77" s="39">
        <f>$J$3+[48]FormattedData!L87*$J$4+$M$4*$J$5+[48]FormattedData!L87^2*$J$6+$M$5*$J$7</f>
        <v>-0.67060737857050878</v>
      </c>
      <c r="T77" s="39">
        <f>$J$3+[48]FormattedData!M87*$J$4+$M$4*$J$5+[48]FormattedData!M87^2*$J$6+$M$5*$J$7</f>
        <v>-0.67060737857050878</v>
      </c>
      <c r="U77" s="39">
        <f>$J$3+[48]FormattedData!N87*$J$4+$M$4*$J$5+[48]FormattedData!N87^2*$J$6+$M$5*$J$7</f>
        <v>-0.67060737857050878</v>
      </c>
      <c r="V77" s="39">
        <f>$J$3+[48]FormattedData!O87*$J$4+$M$4*$J$5+[48]FormattedData!O87^2*$J$6+$M$5*$J$7</f>
        <v>-0.67060737857050878</v>
      </c>
      <c r="W77" s="38">
        <f>AVERAGE(K77:V77)</f>
        <v>-0.67060737857050878</v>
      </c>
      <c r="X77" s="37">
        <f>STDEV(K77:V77)/SQRT(COUNT(K77:V77))</f>
        <v>0</v>
      </c>
      <c r="Y77" s="36">
        <f>MIN(K77:V77)</f>
        <v>-0.67060737857050878</v>
      </c>
      <c r="Z77" s="35">
        <f>QUARTILE(K77:V77,1)</f>
        <v>-0.67060737857050878</v>
      </c>
      <c r="AA77" s="36">
        <f>MEDIAN(K77:V77)</f>
        <v>-0.67060737857050878</v>
      </c>
      <c r="AB77" s="35">
        <f>QUARTILE(K77:V77,3)</f>
        <v>-0.67060737857050878</v>
      </c>
      <c r="AC77" s="35">
        <f>MAX(K77:V77)</f>
        <v>-0.67060737857050878</v>
      </c>
      <c r="AD77" s="35" t="e">
        <f>SKEW(K77:V77)</f>
        <v>#DIV/0!</v>
      </c>
      <c r="AE77" s="35" t="e">
        <f>KURT(K77:V77)</f>
        <v>#DIV/0!</v>
      </c>
    </row>
    <row r="78" spans="2:31" x14ac:dyDescent="0.2">
      <c r="B78" s="34">
        <f>[48]FormattedData!A85</f>
        <v>0</v>
      </c>
      <c r="C78" s="34" t="e">
        <f>VLOOKUP($B78,[48]TrtCodes!$B$11:I128,2)</f>
        <v>#N/A</v>
      </c>
      <c r="D78" s="34" t="e">
        <f>VLOOKUP($B78,[48]TrtCodes!$B$11:J128,3)</f>
        <v>#N/A</v>
      </c>
      <c r="E78" s="34" t="e">
        <f>VLOOKUP($B78,[48]TrtCodes!$B$11:K128,4)</f>
        <v>#N/A</v>
      </c>
      <c r="F78" s="34" t="e">
        <f>VLOOKUP($B78,[48]TrtCodes!$B$11:L128,5)</f>
        <v>#N/A</v>
      </c>
      <c r="G78" s="34" t="e">
        <f>VLOOKUP($B78,[48]TrtCodes!$B$11:M128,6)</f>
        <v>#N/A</v>
      </c>
      <c r="H78" s="34" t="e">
        <f>VLOOKUP($B78,[48]TrtCodes!$B$11:N128,7)</f>
        <v>#N/A</v>
      </c>
      <c r="I78" s="34">
        <f>[48]FormattedData!B85</f>
        <v>0</v>
      </c>
      <c r="J78" s="37">
        <f>[48]FormattedData!C85</f>
        <v>0</v>
      </c>
      <c r="K78" s="39">
        <f>$J$3+[48]FormattedData!D85*$J$4+$M$4*$J$5+[48]FormattedData!D85^2*$J$6+$M$5*$J$7</f>
        <v>-0.67060737857050878</v>
      </c>
      <c r="L78" s="39">
        <f>$J$3+[48]FormattedData!E85*$J$4+$M$4*$J$5+[48]FormattedData!E85^2*$J$6+$M$5*$J$7</f>
        <v>-0.67060737857050878</v>
      </c>
      <c r="M78" s="39">
        <f>$J$3+[48]FormattedData!F85*$J$4+$M$4*$J$5+[48]FormattedData!F85^2*$J$6+$M$5*$J$7</f>
        <v>-0.67060737857050878</v>
      </c>
      <c r="N78" s="39">
        <f>$J$3+[48]FormattedData!G85*$J$4+$M$4*$J$5+[48]FormattedData!G85^2*$J$6+$M$5*$J$7</f>
        <v>-0.67060737857050878</v>
      </c>
      <c r="O78" s="39">
        <f>$J$3+[48]FormattedData!H85*$J$4+$M$4*$J$5+[48]FormattedData!H85^2*$J$6+$M$5*$J$7</f>
        <v>-0.67060737857050878</v>
      </c>
      <c r="P78" s="39">
        <f>$J$3+[48]FormattedData!I85*$J$4+$M$4*$J$5+[48]FormattedData!I85^2*$J$6+$M$5*$J$7</f>
        <v>-0.67060737857050878</v>
      </c>
      <c r="Q78" s="39">
        <f>$J$3+[48]FormattedData!J85*$J$4+$M$4*$J$5+[48]FormattedData!J85^2*$J$6+$M$5*$J$7</f>
        <v>-0.67060737857050878</v>
      </c>
      <c r="R78" s="39">
        <f>$J$3+[48]FormattedData!K85*$J$4+$M$4*$J$5+[48]FormattedData!K85^2*$J$6+$M$5*$J$7</f>
        <v>-0.67060737857050878</v>
      </c>
      <c r="S78" s="39">
        <f>$J$3+[48]FormattedData!L85*$J$4+$M$4*$J$5+[48]FormattedData!L85^2*$J$6+$M$5*$J$7</f>
        <v>-0.67060737857050878</v>
      </c>
      <c r="T78" s="39">
        <f>$J$3+[48]FormattedData!M85*$J$4+$M$4*$J$5+[48]FormattedData!M85^2*$J$6+$M$5*$J$7</f>
        <v>-0.67060737857050878</v>
      </c>
      <c r="U78" s="39">
        <f>$J$3+[48]FormattedData!N85*$J$4+$M$4*$J$5+[48]FormattedData!N85^2*$J$6+$M$5*$J$7</f>
        <v>-0.67060737857050878</v>
      </c>
      <c r="V78" s="39">
        <f>$J$3+[48]FormattedData!O85*$J$4+$M$4*$J$5+[48]FormattedData!O85^2*$J$6+$M$5*$J$7</f>
        <v>-0.67060737857050878</v>
      </c>
      <c r="W78" s="38">
        <f>AVERAGE(K78:V78)</f>
        <v>-0.67060737857050878</v>
      </c>
      <c r="X78" s="37">
        <f>STDEV(K78:V78)/SQRT(COUNT(K78:V78))</f>
        <v>0</v>
      </c>
      <c r="Y78" s="36">
        <f>MIN(K78:V78)</f>
        <v>-0.67060737857050878</v>
      </c>
      <c r="Z78" s="35">
        <f>QUARTILE(K78:V78,1)</f>
        <v>-0.67060737857050878</v>
      </c>
      <c r="AA78" s="36">
        <f>MEDIAN(K78:V78)</f>
        <v>-0.67060737857050878</v>
      </c>
      <c r="AB78" s="35">
        <f>QUARTILE(K78:V78,3)</f>
        <v>-0.67060737857050878</v>
      </c>
      <c r="AC78" s="35">
        <f>MAX(K78:V78)</f>
        <v>-0.67060737857050878</v>
      </c>
      <c r="AD78" s="35" t="e">
        <f>SKEW(K78:V78)</f>
        <v>#DIV/0!</v>
      </c>
      <c r="AE78" s="35" t="e">
        <f>KURT(K78:V78)</f>
        <v>#DIV/0!</v>
      </c>
    </row>
    <row r="79" spans="2:31" x14ac:dyDescent="0.2">
      <c r="B79" s="34">
        <f>[48]FormattedData!A83</f>
        <v>0</v>
      </c>
      <c r="C79" s="34" t="e">
        <f>VLOOKUP($B79,[48]TrtCodes!$B$11:I126,2)</f>
        <v>#N/A</v>
      </c>
      <c r="D79" s="34" t="e">
        <f>VLOOKUP($B79,[48]TrtCodes!$B$11:J126,3)</f>
        <v>#N/A</v>
      </c>
      <c r="E79" s="34" t="e">
        <f>VLOOKUP($B79,[48]TrtCodes!$B$11:K126,4)</f>
        <v>#N/A</v>
      </c>
      <c r="F79" s="34" t="e">
        <f>VLOOKUP($B79,[48]TrtCodes!$B$11:L126,5)</f>
        <v>#N/A</v>
      </c>
      <c r="G79" s="34" t="e">
        <f>VLOOKUP($B79,[48]TrtCodes!$B$11:M126,6)</f>
        <v>#N/A</v>
      </c>
      <c r="H79" s="34" t="e">
        <f>VLOOKUP($B79,[48]TrtCodes!$B$11:N126,7)</f>
        <v>#N/A</v>
      </c>
      <c r="I79" s="34">
        <f>[48]FormattedData!B83</f>
        <v>0</v>
      </c>
      <c r="J79" s="37">
        <f>[48]FormattedData!C83</f>
        <v>0</v>
      </c>
      <c r="K79" s="39">
        <f>$J$3+[48]FormattedData!D83*$J$4+$M$4*$J$5+[48]FormattedData!D83^2*$J$6+$M$5*$J$7</f>
        <v>-0.67060737857050878</v>
      </c>
      <c r="L79" s="39">
        <f>$J$3+[48]FormattedData!E83*$J$4+$M$4*$J$5+[48]FormattedData!E83^2*$J$6+$M$5*$J$7</f>
        <v>-0.67060737857050878</v>
      </c>
      <c r="M79" s="39">
        <f>$J$3+[48]FormattedData!F83*$J$4+$M$4*$J$5+[48]FormattedData!F83^2*$J$6+$M$5*$J$7</f>
        <v>-0.67060737857050878</v>
      </c>
      <c r="N79" s="39">
        <f>$J$3+[48]FormattedData!G83*$J$4+$M$4*$J$5+[48]FormattedData!G83^2*$J$6+$M$5*$J$7</f>
        <v>-0.67060737857050878</v>
      </c>
      <c r="O79" s="39">
        <f>$J$3+[48]FormattedData!H83*$J$4+$M$4*$J$5+[48]FormattedData!H83^2*$J$6+$M$5*$J$7</f>
        <v>-0.67060737857050878</v>
      </c>
      <c r="P79" s="39">
        <f>$J$3+[48]FormattedData!I83*$J$4+$M$4*$J$5+[48]FormattedData!I83^2*$J$6+$M$5*$J$7</f>
        <v>-0.67060737857050878</v>
      </c>
      <c r="Q79" s="39">
        <f>$J$3+[48]FormattedData!J83*$J$4+$M$4*$J$5+[48]FormattedData!J83^2*$J$6+$M$5*$J$7</f>
        <v>-0.67060737857050878</v>
      </c>
      <c r="R79" s="39">
        <f>$J$3+[48]FormattedData!K83*$J$4+$M$4*$J$5+[48]FormattedData!K83^2*$J$6+$M$5*$J$7</f>
        <v>-0.67060737857050878</v>
      </c>
      <c r="S79" s="39">
        <f>$J$3+[48]FormattedData!L83*$J$4+$M$4*$J$5+[48]FormattedData!L83^2*$J$6+$M$5*$J$7</f>
        <v>-0.67060737857050878</v>
      </c>
      <c r="T79" s="39">
        <f>$J$3+[48]FormattedData!M83*$J$4+$M$4*$J$5+[48]FormattedData!M83^2*$J$6+$M$5*$J$7</f>
        <v>-0.67060737857050878</v>
      </c>
      <c r="U79" s="39">
        <f>$J$3+[48]FormattedData!N83*$J$4+$M$4*$J$5+[48]FormattedData!N83^2*$J$6+$M$5*$J$7</f>
        <v>-0.67060737857050878</v>
      </c>
      <c r="V79" s="39">
        <f>$J$3+[48]FormattedData!O83*$J$4+$M$4*$J$5+[48]FormattedData!O83^2*$J$6+$M$5*$J$7</f>
        <v>-0.67060737857050878</v>
      </c>
      <c r="W79" s="38">
        <f>AVERAGE(K79:V79)</f>
        <v>-0.67060737857050878</v>
      </c>
      <c r="X79" s="37">
        <f>STDEV(K79:V79)/SQRT(COUNT(K79:V79))</f>
        <v>0</v>
      </c>
      <c r="Y79" s="36">
        <f>MIN(K79:V79)</f>
        <v>-0.67060737857050878</v>
      </c>
      <c r="Z79" s="35">
        <f>QUARTILE(K79:V79,1)</f>
        <v>-0.67060737857050878</v>
      </c>
      <c r="AA79" s="36">
        <f>MEDIAN(K79:V79)</f>
        <v>-0.67060737857050878</v>
      </c>
      <c r="AB79" s="35">
        <f>QUARTILE(K79:V79,3)</f>
        <v>-0.67060737857050878</v>
      </c>
      <c r="AC79" s="35">
        <f>MAX(K79:V79)</f>
        <v>-0.67060737857050878</v>
      </c>
      <c r="AD79" s="35" t="e">
        <f>SKEW(K79:V79)</f>
        <v>#DIV/0!</v>
      </c>
      <c r="AE79" s="35" t="e">
        <f>KURT(K79:V79)</f>
        <v>#DIV/0!</v>
      </c>
    </row>
    <row r="80" spans="2:31" x14ac:dyDescent="0.2">
      <c r="B80" s="34">
        <f>[48]FormattedData!A81</f>
        <v>0</v>
      </c>
      <c r="C80" s="34" t="e">
        <f>VLOOKUP($B80,[48]TrtCodes!$B$11:I124,2)</f>
        <v>#N/A</v>
      </c>
      <c r="D80" s="34" t="e">
        <f>VLOOKUP($B80,[48]TrtCodes!$B$11:J124,3)</f>
        <v>#N/A</v>
      </c>
      <c r="E80" s="34" t="e">
        <f>VLOOKUP($B80,[48]TrtCodes!$B$11:K124,4)</f>
        <v>#N/A</v>
      </c>
      <c r="F80" s="34" t="e">
        <f>VLOOKUP($B80,[48]TrtCodes!$B$11:L124,5)</f>
        <v>#N/A</v>
      </c>
      <c r="G80" s="34" t="e">
        <f>VLOOKUP($B80,[48]TrtCodes!$B$11:M124,6)</f>
        <v>#N/A</v>
      </c>
      <c r="H80" s="34" t="e">
        <f>VLOOKUP($B80,[48]TrtCodes!$B$11:N124,7)</f>
        <v>#N/A</v>
      </c>
      <c r="I80" s="34">
        <f>[48]FormattedData!B81</f>
        <v>0</v>
      </c>
      <c r="J80" s="37">
        <f>[48]FormattedData!C81</f>
        <v>0</v>
      </c>
      <c r="K80" s="39">
        <f>$J$3+[48]FormattedData!D81*$J$4+$M$4*$J$5+[48]FormattedData!D81^2*$J$6+$M$5*$J$7</f>
        <v>-0.67060737857050878</v>
      </c>
      <c r="L80" s="39">
        <f>$J$3+[48]FormattedData!E81*$J$4+$M$4*$J$5+[48]FormattedData!E81^2*$J$6+$M$5*$J$7</f>
        <v>-0.67060737857050878</v>
      </c>
      <c r="M80" s="39">
        <f>$J$3+[48]FormattedData!F81*$J$4+$M$4*$J$5+[48]FormattedData!F81^2*$J$6+$M$5*$J$7</f>
        <v>-0.67060737857050878</v>
      </c>
      <c r="N80" s="39">
        <f>$J$3+[48]FormattedData!G81*$J$4+$M$4*$J$5+[48]FormattedData!G81^2*$J$6+$M$5*$J$7</f>
        <v>-0.67060737857050878</v>
      </c>
      <c r="O80" s="39">
        <f>$J$3+[48]FormattedData!H81*$J$4+$M$4*$J$5+[48]FormattedData!H81^2*$J$6+$M$5*$J$7</f>
        <v>-0.67060737857050878</v>
      </c>
      <c r="P80" s="39">
        <f>$J$3+[48]FormattedData!I81*$J$4+$M$4*$J$5+[48]FormattedData!I81^2*$J$6+$M$5*$J$7</f>
        <v>-0.67060737857050878</v>
      </c>
      <c r="Q80" s="39">
        <f>$J$3+[48]FormattedData!J81*$J$4+$M$4*$J$5+[48]FormattedData!J81^2*$J$6+$M$5*$J$7</f>
        <v>-0.67060737857050878</v>
      </c>
      <c r="R80" s="39">
        <f>$J$3+[48]FormattedData!K81*$J$4+$M$4*$J$5+[48]FormattedData!K81^2*$J$6+$M$5*$J$7</f>
        <v>-0.67060737857050878</v>
      </c>
      <c r="S80" s="39">
        <f>$J$3+[48]FormattedData!L81*$J$4+$M$4*$J$5+[48]FormattedData!L81^2*$J$6+$M$5*$J$7</f>
        <v>-0.67060737857050878</v>
      </c>
      <c r="T80" s="39">
        <f>$J$3+[48]FormattedData!M81*$J$4+$M$4*$J$5+[48]FormattedData!M81^2*$J$6+$M$5*$J$7</f>
        <v>-0.67060737857050878</v>
      </c>
      <c r="U80" s="39">
        <f>$J$3+[48]FormattedData!N81*$J$4+$M$4*$J$5+[48]FormattedData!N81^2*$J$6+$M$5*$J$7</f>
        <v>-0.67060737857050878</v>
      </c>
      <c r="V80" s="39">
        <f>$J$3+[48]FormattedData!O81*$J$4+$M$4*$J$5+[48]FormattedData!O81^2*$J$6+$M$5*$J$7</f>
        <v>-0.67060737857050878</v>
      </c>
      <c r="W80" s="38">
        <f>AVERAGE(K80:V80)</f>
        <v>-0.67060737857050878</v>
      </c>
      <c r="X80" s="37">
        <f>STDEV(K80:V80)/SQRT(COUNT(K80:V80))</f>
        <v>0</v>
      </c>
      <c r="Y80" s="36">
        <f>MIN(K80:V80)</f>
        <v>-0.67060737857050878</v>
      </c>
      <c r="Z80" s="35">
        <f>QUARTILE(K80:V80,1)</f>
        <v>-0.67060737857050878</v>
      </c>
      <c r="AA80" s="36">
        <f>MEDIAN(K80:V80)</f>
        <v>-0.67060737857050878</v>
      </c>
      <c r="AB80" s="35">
        <f>QUARTILE(K80:V80,3)</f>
        <v>-0.67060737857050878</v>
      </c>
      <c r="AC80" s="35">
        <f>MAX(K80:V80)</f>
        <v>-0.67060737857050878</v>
      </c>
      <c r="AD80" s="35" t="e">
        <f>SKEW(K80:V80)</f>
        <v>#DIV/0!</v>
      </c>
      <c r="AE80" s="35" t="e">
        <f>KURT(K80:V80)</f>
        <v>#DIV/0!</v>
      </c>
    </row>
    <row r="81" spans="2:31" x14ac:dyDescent="0.2">
      <c r="B81" s="34">
        <f>[48]FormattedData!A79</f>
        <v>0</v>
      </c>
      <c r="C81" s="34" t="e">
        <f>VLOOKUP($B81,[48]TrtCodes!$B$11:I122,2)</f>
        <v>#N/A</v>
      </c>
      <c r="D81" s="34" t="e">
        <f>VLOOKUP($B81,[48]TrtCodes!$B$11:J122,3)</f>
        <v>#N/A</v>
      </c>
      <c r="E81" s="34" t="e">
        <f>VLOOKUP($B81,[48]TrtCodes!$B$11:K122,4)</f>
        <v>#N/A</v>
      </c>
      <c r="F81" s="34" t="e">
        <f>VLOOKUP($B81,[48]TrtCodes!$B$11:L122,5)</f>
        <v>#N/A</v>
      </c>
      <c r="G81" s="34" t="e">
        <f>VLOOKUP($B81,[48]TrtCodes!$B$11:M122,6)</f>
        <v>#N/A</v>
      </c>
      <c r="H81" s="34" t="e">
        <f>VLOOKUP($B81,[48]TrtCodes!$B$11:N122,7)</f>
        <v>#N/A</v>
      </c>
      <c r="I81" s="34">
        <f>[48]FormattedData!B79</f>
        <v>0</v>
      </c>
      <c r="J81" s="37">
        <f>[48]FormattedData!C79</f>
        <v>0</v>
      </c>
      <c r="K81" s="39">
        <f>$J$3+[48]FormattedData!D79*$J$4+$M$4*$J$5+[48]FormattedData!D79^2*$J$6+$M$5*$J$7</f>
        <v>-0.67060737857050878</v>
      </c>
      <c r="L81" s="39">
        <f>$J$3+[48]FormattedData!E79*$J$4+$M$4*$J$5+[48]FormattedData!E79^2*$J$6+$M$5*$J$7</f>
        <v>-0.67060737857050878</v>
      </c>
      <c r="M81" s="39">
        <f>$J$3+[48]FormattedData!F79*$J$4+$M$4*$J$5+[48]FormattedData!F79^2*$J$6+$M$5*$J$7</f>
        <v>-0.67060737857050878</v>
      </c>
      <c r="N81" s="39">
        <f>$J$3+[48]FormattedData!G79*$J$4+$M$4*$J$5+[48]FormattedData!G79^2*$J$6+$M$5*$J$7</f>
        <v>-0.67060737857050878</v>
      </c>
      <c r="O81" s="39">
        <f>$J$3+[48]FormattedData!H79*$J$4+$M$4*$J$5+[48]FormattedData!H79^2*$J$6+$M$5*$J$7</f>
        <v>-0.67060737857050878</v>
      </c>
      <c r="P81" s="39">
        <f>$J$3+[48]FormattedData!I79*$J$4+$M$4*$J$5+[48]FormattedData!I79^2*$J$6+$M$5*$J$7</f>
        <v>-0.67060737857050878</v>
      </c>
      <c r="Q81" s="39">
        <f>$J$3+[48]FormattedData!J79*$J$4+$M$4*$J$5+[48]FormattedData!J79^2*$J$6+$M$5*$J$7</f>
        <v>-0.67060737857050878</v>
      </c>
      <c r="R81" s="39">
        <f>$J$3+[48]FormattedData!K79*$J$4+$M$4*$J$5+[48]FormattedData!K79^2*$J$6+$M$5*$J$7</f>
        <v>-0.67060737857050878</v>
      </c>
      <c r="S81" s="39">
        <f>$J$3+[48]FormattedData!L79*$J$4+$M$4*$J$5+[48]FormattedData!L79^2*$J$6+$M$5*$J$7</f>
        <v>-0.67060737857050878</v>
      </c>
      <c r="T81" s="39">
        <f>$J$3+[48]FormattedData!M79*$J$4+$M$4*$J$5+[48]FormattedData!M79^2*$J$6+$M$5*$J$7</f>
        <v>-0.67060737857050878</v>
      </c>
      <c r="U81" s="39">
        <f>$J$3+[48]FormattedData!N79*$J$4+$M$4*$J$5+[48]FormattedData!N79^2*$J$6+$M$5*$J$7</f>
        <v>-0.67060737857050878</v>
      </c>
      <c r="V81" s="39">
        <f>$J$3+[48]FormattedData!O79*$J$4+$M$4*$J$5+[48]FormattedData!O79^2*$J$6+$M$5*$J$7</f>
        <v>-0.67060737857050878</v>
      </c>
      <c r="W81" s="38">
        <f>AVERAGE(K81:V81)</f>
        <v>-0.67060737857050878</v>
      </c>
      <c r="X81" s="37">
        <f>STDEV(K81:V81)/SQRT(COUNT(K81:V81))</f>
        <v>0</v>
      </c>
      <c r="Y81" s="36">
        <f>MIN(K81:V81)</f>
        <v>-0.67060737857050878</v>
      </c>
      <c r="Z81" s="35">
        <f>QUARTILE(K81:V81,1)</f>
        <v>-0.67060737857050878</v>
      </c>
      <c r="AA81" s="36">
        <f>MEDIAN(K81:V81)</f>
        <v>-0.67060737857050878</v>
      </c>
      <c r="AB81" s="35">
        <f>QUARTILE(K81:V81,3)</f>
        <v>-0.67060737857050878</v>
      </c>
      <c r="AC81" s="35">
        <f>MAX(K81:V81)</f>
        <v>-0.67060737857050878</v>
      </c>
      <c r="AD81" s="35" t="e">
        <f>SKEW(K81:V81)</f>
        <v>#DIV/0!</v>
      </c>
      <c r="AE81" s="35" t="e">
        <f>KURT(K81:V81)</f>
        <v>#DIV/0!</v>
      </c>
    </row>
    <row r="82" spans="2:31" x14ac:dyDescent="0.2">
      <c r="B82" s="34">
        <f>[48]FormattedData!A59</f>
        <v>0</v>
      </c>
      <c r="C82" s="34" t="e">
        <f>VLOOKUP($B82,[48]TrtCodes!$B$11:I102,2)</f>
        <v>#N/A</v>
      </c>
      <c r="D82" s="34" t="e">
        <f>VLOOKUP($B82,[48]TrtCodes!$B$11:J102,3)</f>
        <v>#N/A</v>
      </c>
      <c r="E82" s="34" t="e">
        <f>VLOOKUP($B82,[48]TrtCodes!$B$11:K102,4)</f>
        <v>#N/A</v>
      </c>
      <c r="F82" s="34" t="e">
        <f>VLOOKUP($B82,[48]TrtCodes!$B$11:L102,5)</f>
        <v>#N/A</v>
      </c>
      <c r="G82" s="34" t="e">
        <f>VLOOKUP($B82,[48]TrtCodes!$B$11:M102,6)</f>
        <v>#N/A</v>
      </c>
      <c r="H82" s="34" t="e">
        <f>VLOOKUP($B82,[48]TrtCodes!$B$11:N102,7)</f>
        <v>#N/A</v>
      </c>
      <c r="I82" s="34">
        <f>[48]FormattedData!B59</f>
        <v>0</v>
      </c>
      <c r="J82" s="37">
        <f>[48]FormattedData!C59</f>
        <v>0</v>
      </c>
      <c r="K82" s="39">
        <f>$J$3+[48]FormattedData!D59*$J$4+$M$4*$J$5+[48]FormattedData!D59^2*$J$6+$M$5*$J$7</f>
        <v>-0.67060737857050878</v>
      </c>
      <c r="L82" s="39">
        <f>$J$3+[48]FormattedData!E59*$J$4+$M$4*$J$5+[48]FormattedData!E59^2*$J$6+$M$5*$J$7</f>
        <v>-0.67060737857050878</v>
      </c>
      <c r="M82" s="39">
        <f>$J$3+[48]FormattedData!F59*$J$4+$M$4*$J$5+[48]FormattedData!F59^2*$J$6+$M$5*$J$7</f>
        <v>-0.67060737857050878</v>
      </c>
      <c r="N82" s="39">
        <f>$J$3+[48]FormattedData!G59*$J$4+$M$4*$J$5+[48]FormattedData!G59^2*$J$6+$M$5*$J$7</f>
        <v>-0.67060737857050878</v>
      </c>
      <c r="O82" s="39">
        <f>$J$3+[48]FormattedData!H59*$J$4+$M$4*$J$5+[48]FormattedData!H59^2*$J$6+$M$5*$J$7</f>
        <v>-0.67060737857050878</v>
      </c>
      <c r="P82" s="39">
        <f>$J$3+[48]FormattedData!I59*$J$4+$M$4*$J$5+[48]FormattedData!I59^2*$J$6+$M$5*$J$7</f>
        <v>-0.67060737857050878</v>
      </c>
      <c r="Q82" s="39">
        <f>$J$3+[48]FormattedData!J59*$J$4+$M$4*$J$5+[48]FormattedData!J59^2*$J$6+$M$5*$J$7</f>
        <v>-0.67060737857050878</v>
      </c>
      <c r="R82" s="39">
        <f>$J$3+[48]FormattedData!K59*$J$4+$M$4*$J$5+[48]FormattedData!K59^2*$J$6+$M$5*$J$7</f>
        <v>-0.67060737857050878</v>
      </c>
      <c r="S82" s="39">
        <f>$J$3+[48]FormattedData!L59*$J$4+$M$4*$J$5+[48]FormattedData!L59^2*$J$6+$M$5*$J$7</f>
        <v>-0.67060737857050878</v>
      </c>
      <c r="T82" s="39">
        <f>$J$3+[48]FormattedData!M59*$J$4+$M$4*$J$5+[48]FormattedData!M59^2*$J$6+$M$5*$J$7</f>
        <v>-0.67060737857050878</v>
      </c>
      <c r="U82" s="39">
        <f>$J$3+[48]FormattedData!N59*$J$4+$M$4*$J$5+[48]FormattedData!N59^2*$J$6+$M$5*$J$7</f>
        <v>-0.67060737857050878</v>
      </c>
      <c r="V82" s="39">
        <f>$J$3+[48]FormattedData!O59*$J$4+$M$4*$J$5+[48]FormattedData!O59^2*$J$6+$M$5*$J$7</f>
        <v>-0.67060737857050878</v>
      </c>
      <c r="W82" s="38">
        <f>AVERAGE(K82:V82)</f>
        <v>-0.67060737857050878</v>
      </c>
      <c r="X82" s="37">
        <f>STDEV(K82:V82)/SQRT(COUNT(K82:V82))</f>
        <v>0</v>
      </c>
      <c r="Y82" s="36">
        <f>MIN(K82:V82)</f>
        <v>-0.67060737857050878</v>
      </c>
      <c r="Z82" s="35">
        <f>QUARTILE(K82:V82,1)</f>
        <v>-0.67060737857050878</v>
      </c>
      <c r="AA82" s="36">
        <f>MEDIAN(K82:V82)</f>
        <v>-0.67060737857050878</v>
      </c>
      <c r="AB82" s="35">
        <f>QUARTILE(K82:V82,3)</f>
        <v>-0.67060737857050878</v>
      </c>
      <c r="AC82" s="35">
        <f>MAX(K82:V82)</f>
        <v>-0.67060737857050878</v>
      </c>
      <c r="AD82" s="35" t="e">
        <f>SKEW(K82:V82)</f>
        <v>#DIV/0!</v>
      </c>
      <c r="AE82" s="35" t="e">
        <f>KURT(K82:V82)</f>
        <v>#DIV/0!</v>
      </c>
    </row>
    <row r="83" spans="2:31" x14ac:dyDescent="0.2">
      <c r="B83" s="34">
        <f>[48]FormattedData!A55</f>
        <v>0</v>
      </c>
      <c r="C83" s="34" t="e">
        <f>VLOOKUP($B83,[48]TrtCodes!$B$11:I98,2)</f>
        <v>#N/A</v>
      </c>
      <c r="D83" s="34" t="e">
        <f>VLOOKUP($B83,[48]TrtCodes!$B$11:J98,3)</f>
        <v>#N/A</v>
      </c>
      <c r="E83" s="34" t="e">
        <f>VLOOKUP($B83,[48]TrtCodes!$B$11:K98,4)</f>
        <v>#N/A</v>
      </c>
      <c r="F83" s="34" t="e">
        <f>VLOOKUP($B83,[48]TrtCodes!$B$11:L98,5)</f>
        <v>#N/A</v>
      </c>
      <c r="G83" s="34" t="e">
        <f>VLOOKUP($B83,[48]TrtCodes!$B$11:M98,6)</f>
        <v>#N/A</v>
      </c>
      <c r="H83" s="34" t="e">
        <f>VLOOKUP($B83,[48]TrtCodes!$B$11:N98,7)</f>
        <v>#N/A</v>
      </c>
      <c r="I83" s="34">
        <f>[48]FormattedData!B55</f>
        <v>0</v>
      </c>
      <c r="J83" s="37">
        <f>[48]FormattedData!C55</f>
        <v>0</v>
      </c>
      <c r="K83" s="39">
        <f>$J$3+[48]FormattedData!D55*$J$4+$M$4*$J$5+[48]FormattedData!D55^2*$J$6+$M$5*$J$7</f>
        <v>-0.67060737857050878</v>
      </c>
      <c r="L83" s="39">
        <f>$J$3+[48]FormattedData!E55*$J$4+$M$4*$J$5+[48]FormattedData!E55^2*$J$6+$M$5*$J$7</f>
        <v>-0.67060737857050878</v>
      </c>
      <c r="M83" s="39">
        <f>$J$3+[48]FormattedData!F55*$J$4+$M$4*$J$5+[48]FormattedData!F55^2*$J$6+$M$5*$J$7</f>
        <v>-0.67060737857050878</v>
      </c>
      <c r="N83" s="39">
        <f>$J$3+[48]FormattedData!G55*$J$4+$M$4*$J$5+[48]FormattedData!G55^2*$J$6+$M$5*$J$7</f>
        <v>-0.67060737857050878</v>
      </c>
      <c r="O83" s="39">
        <f>$J$3+[48]FormattedData!H55*$J$4+$M$4*$J$5+[48]FormattedData!H55^2*$J$6+$M$5*$J$7</f>
        <v>-0.67060737857050878</v>
      </c>
      <c r="P83" s="39">
        <f>$J$3+[48]FormattedData!I55*$J$4+$M$4*$J$5+[48]FormattedData!I55^2*$J$6+$M$5*$J$7</f>
        <v>-0.67060737857050878</v>
      </c>
      <c r="Q83" s="39">
        <f>$J$3+[48]FormattedData!J55*$J$4+$M$4*$J$5+[48]FormattedData!J55^2*$J$6+$M$5*$J$7</f>
        <v>-0.67060737857050878</v>
      </c>
      <c r="R83" s="39">
        <f>$J$3+[48]FormattedData!K55*$J$4+$M$4*$J$5+[48]FormattedData!K55^2*$J$6+$M$5*$J$7</f>
        <v>-0.67060737857050878</v>
      </c>
      <c r="S83" s="39">
        <f>$J$3+[48]FormattedData!L55*$J$4+$M$4*$J$5+[48]FormattedData!L55^2*$J$6+$M$5*$J$7</f>
        <v>-0.67060737857050878</v>
      </c>
      <c r="T83" s="39">
        <f>$J$3+[48]FormattedData!M55*$J$4+$M$4*$J$5+[48]FormattedData!M55^2*$J$6+$M$5*$J$7</f>
        <v>-0.67060737857050878</v>
      </c>
      <c r="U83" s="39">
        <f>$J$3+[48]FormattedData!N55*$J$4+$M$4*$J$5+[48]FormattedData!N55^2*$J$6+$M$5*$J$7</f>
        <v>-0.67060737857050878</v>
      </c>
      <c r="V83" s="39">
        <f>$J$3+[48]FormattedData!O55*$J$4+$M$4*$J$5+[48]FormattedData!O55^2*$J$6+$M$5*$J$7</f>
        <v>-0.67060737857050878</v>
      </c>
      <c r="W83" s="38">
        <f>AVERAGE(K83:V83)</f>
        <v>-0.67060737857050878</v>
      </c>
      <c r="X83" s="37">
        <f>STDEV(K83:V83)/SQRT(COUNT(K83:V83))</f>
        <v>0</v>
      </c>
      <c r="Y83" s="36">
        <f>MIN(K83:V83)</f>
        <v>-0.67060737857050878</v>
      </c>
      <c r="Z83" s="35">
        <f>QUARTILE(K83:V83,1)</f>
        <v>-0.67060737857050878</v>
      </c>
      <c r="AA83" s="36">
        <f>MEDIAN(K83:V83)</f>
        <v>-0.67060737857050878</v>
      </c>
      <c r="AB83" s="35">
        <f>QUARTILE(K83:V83,3)</f>
        <v>-0.67060737857050878</v>
      </c>
      <c r="AC83" s="35">
        <f>MAX(K83:V83)</f>
        <v>-0.67060737857050878</v>
      </c>
      <c r="AD83" s="35" t="e">
        <f>SKEW(K83:V83)</f>
        <v>#DIV/0!</v>
      </c>
      <c r="AE83" s="35" t="e">
        <f>KURT(K83:V83)</f>
        <v>#DIV/0!</v>
      </c>
    </row>
    <row r="84" spans="2:31" x14ac:dyDescent="0.2">
      <c r="B84" s="34">
        <f>[48]FormattedData!A51</f>
        <v>0</v>
      </c>
      <c r="C84" s="34" t="e">
        <f>VLOOKUP($B84,[48]TrtCodes!$B$11:I94,2)</f>
        <v>#N/A</v>
      </c>
      <c r="D84" s="34" t="e">
        <f>VLOOKUP($B84,[48]TrtCodes!$B$11:J94,3)</f>
        <v>#N/A</v>
      </c>
      <c r="E84" s="34" t="e">
        <f>VLOOKUP($B84,[48]TrtCodes!$B$11:K94,4)</f>
        <v>#N/A</v>
      </c>
      <c r="F84" s="34" t="e">
        <f>VLOOKUP($B84,[48]TrtCodes!$B$11:L94,5)</f>
        <v>#N/A</v>
      </c>
      <c r="G84" s="34" t="e">
        <f>VLOOKUP($B84,[48]TrtCodes!$B$11:M94,6)</f>
        <v>#N/A</v>
      </c>
      <c r="H84" s="34" t="e">
        <f>VLOOKUP($B84,[48]TrtCodes!$B$11:N94,7)</f>
        <v>#N/A</v>
      </c>
      <c r="I84" s="34">
        <f>[48]FormattedData!B51</f>
        <v>0</v>
      </c>
      <c r="J84" s="37">
        <f>[48]FormattedData!C51</f>
        <v>0</v>
      </c>
      <c r="K84" s="39">
        <f>$J$3+[48]FormattedData!D51*$J$4+$M$4*$J$5+[48]FormattedData!D51^2*$J$6+$M$5*$J$7</f>
        <v>-0.67060737857050878</v>
      </c>
      <c r="L84" s="39">
        <f>$J$3+[48]FormattedData!E51*$J$4+$M$4*$J$5+[48]FormattedData!E51^2*$J$6+$M$5*$J$7</f>
        <v>-0.67060737857050878</v>
      </c>
      <c r="M84" s="39">
        <f>$J$3+[48]FormattedData!F51*$J$4+$M$4*$J$5+[48]FormattedData!F51^2*$J$6+$M$5*$J$7</f>
        <v>-0.67060737857050878</v>
      </c>
      <c r="N84" s="39">
        <f>$J$3+[48]FormattedData!G51*$J$4+$M$4*$J$5+[48]FormattedData!G51^2*$J$6+$M$5*$J$7</f>
        <v>-0.67060737857050878</v>
      </c>
      <c r="O84" s="39">
        <f>$J$3+[48]FormattedData!H51*$J$4+$M$4*$J$5+[48]FormattedData!H51^2*$J$6+$M$5*$J$7</f>
        <v>-0.67060737857050878</v>
      </c>
      <c r="P84" s="39">
        <f>$J$3+[48]FormattedData!I51*$J$4+$M$4*$J$5+[48]FormattedData!I51^2*$J$6+$M$5*$J$7</f>
        <v>-0.67060737857050878</v>
      </c>
      <c r="Q84" s="39">
        <f>$J$3+[48]FormattedData!J51*$J$4+$M$4*$J$5+[48]FormattedData!J51^2*$J$6+$M$5*$J$7</f>
        <v>-0.67060737857050878</v>
      </c>
      <c r="R84" s="39">
        <f>$J$3+[48]FormattedData!K51*$J$4+$M$4*$J$5+[48]FormattedData!K51^2*$J$6+$M$5*$J$7</f>
        <v>-0.67060737857050878</v>
      </c>
      <c r="S84" s="39">
        <f>$J$3+[48]FormattedData!L51*$J$4+$M$4*$J$5+[48]FormattedData!L51^2*$J$6+$M$5*$J$7</f>
        <v>-0.67060737857050878</v>
      </c>
      <c r="T84" s="39">
        <f>$J$3+[48]FormattedData!M51*$J$4+$M$4*$J$5+[48]FormattedData!M51^2*$J$6+$M$5*$J$7</f>
        <v>-0.67060737857050878</v>
      </c>
      <c r="U84" s="39">
        <f>$J$3+[48]FormattedData!N51*$J$4+$M$4*$J$5+[48]FormattedData!N51^2*$J$6+$M$5*$J$7</f>
        <v>-0.67060737857050878</v>
      </c>
      <c r="V84" s="39">
        <f>$J$3+[48]FormattedData!O51*$J$4+$M$4*$J$5+[48]FormattedData!O51^2*$J$6+$M$5*$J$7</f>
        <v>-0.67060737857050878</v>
      </c>
      <c r="W84" s="38">
        <f>AVERAGE(K84:V84)</f>
        <v>-0.67060737857050878</v>
      </c>
      <c r="X84" s="37">
        <f>STDEV(K84:V84)/SQRT(COUNT(K84:V84))</f>
        <v>0</v>
      </c>
      <c r="Y84" s="36">
        <f>MIN(K84:V84)</f>
        <v>-0.67060737857050878</v>
      </c>
      <c r="Z84" s="35">
        <f>QUARTILE(K84:V84,1)</f>
        <v>-0.67060737857050878</v>
      </c>
      <c r="AA84" s="36">
        <f>MEDIAN(K84:V84)</f>
        <v>-0.67060737857050878</v>
      </c>
      <c r="AB84" s="35">
        <f>QUARTILE(K84:V84,3)</f>
        <v>-0.67060737857050878</v>
      </c>
      <c r="AC84" s="35">
        <f>MAX(K84:V84)</f>
        <v>-0.67060737857050878</v>
      </c>
      <c r="AD84" s="35" t="e">
        <f>SKEW(K84:V84)</f>
        <v>#DIV/0!</v>
      </c>
      <c r="AE84" s="35" t="e">
        <f>KURT(K84:V84)</f>
        <v>#DIV/0!</v>
      </c>
    </row>
    <row r="85" spans="2:31" x14ac:dyDescent="0.2">
      <c r="B85" s="34">
        <f>[48]FormattedData!A47</f>
        <v>0</v>
      </c>
      <c r="C85" s="34" t="e">
        <f>VLOOKUP($B85,[48]TrtCodes!$B$11:I90,2)</f>
        <v>#N/A</v>
      </c>
      <c r="D85" s="34" t="e">
        <f>VLOOKUP($B85,[48]TrtCodes!$B$11:J90,3)</f>
        <v>#N/A</v>
      </c>
      <c r="E85" s="34" t="e">
        <f>VLOOKUP($B85,[48]TrtCodes!$B$11:K90,4)</f>
        <v>#N/A</v>
      </c>
      <c r="F85" s="34" t="e">
        <f>VLOOKUP($B85,[48]TrtCodes!$B$11:L90,5)</f>
        <v>#N/A</v>
      </c>
      <c r="G85" s="34" t="e">
        <f>VLOOKUP($B85,[48]TrtCodes!$B$11:M90,6)</f>
        <v>#N/A</v>
      </c>
      <c r="H85" s="34" t="e">
        <f>VLOOKUP($B85,[48]TrtCodes!$B$11:N90,7)</f>
        <v>#N/A</v>
      </c>
      <c r="I85" s="34">
        <f>[48]FormattedData!B47</f>
        <v>0</v>
      </c>
      <c r="J85" s="37">
        <f>[48]FormattedData!C47</f>
        <v>0</v>
      </c>
      <c r="K85" s="39">
        <f>$J$3+[48]FormattedData!D47*$J$4+$M$4*$J$5+[48]FormattedData!D47^2*$J$6+$M$5*$J$7</f>
        <v>-0.67060737857050878</v>
      </c>
      <c r="L85" s="39">
        <f>$J$3+[48]FormattedData!E47*$J$4+$M$4*$J$5+[48]FormattedData!E47^2*$J$6+$M$5*$J$7</f>
        <v>-0.67060737857050878</v>
      </c>
      <c r="M85" s="39">
        <f>$J$3+[48]FormattedData!F47*$J$4+$M$4*$J$5+[48]FormattedData!F47^2*$J$6+$M$5*$J$7</f>
        <v>-0.67060737857050878</v>
      </c>
      <c r="N85" s="39">
        <f>$J$3+[48]FormattedData!G47*$J$4+$M$4*$J$5+[48]FormattedData!G47^2*$J$6+$M$5*$J$7</f>
        <v>-0.67060737857050878</v>
      </c>
      <c r="O85" s="39">
        <f>$J$3+[48]FormattedData!H47*$J$4+$M$4*$J$5+[48]FormattedData!H47^2*$J$6+$M$5*$J$7</f>
        <v>-0.67060737857050878</v>
      </c>
      <c r="P85" s="39">
        <f>$J$3+[48]FormattedData!I47*$J$4+$M$4*$J$5+[48]FormattedData!I47^2*$J$6+$M$5*$J$7</f>
        <v>-0.67060737857050878</v>
      </c>
      <c r="Q85" s="39">
        <f>$J$3+[48]FormattedData!J47*$J$4+$M$4*$J$5+[48]FormattedData!J47^2*$J$6+$M$5*$J$7</f>
        <v>-0.67060737857050878</v>
      </c>
      <c r="R85" s="39">
        <f>$J$3+[48]FormattedData!K47*$J$4+$M$4*$J$5+[48]FormattedData!K47^2*$J$6+$M$5*$J$7</f>
        <v>-0.67060737857050878</v>
      </c>
      <c r="S85" s="39">
        <f>$J$3+[48]FormattedData!L47*$J$4+$M$4*$J$5+[48]FormattedData!L47^2*$J$6+$M$5*$J$7</f>
        <v>-0.67060737857050878</v>
      </c>
      <c r="T85" s="39">
        <f>$J$3+[48]FormattedData!M47*$J$4+$M$4*$J$5+[48]FormattedData!M47^2*$J$6+$M$5*$J$7</f>
        <v>-0.67060737857050878</v>
      </c>
      <c r="U85" s="39">
        <f>$J$3+[48]FormattedData!N47*$J$4+$M$4*$J$5+[48]FormattedData!N47^2*$J$6+$M$5*$J$7</f>
        <v>-0.67060737857050878</v>
      </c>
      <c r="V85" s="39">
        <f>$J$3+[48]FormattedData!O47*$J$4+$M$4*$J$5+[48]FormattedData!O47^2*$J$6+$M$5*$J$7</f>
        <v>-0.67060737857050878</v>
      </c>
      <c r="W85" s="38">
        <f>AVERAGE(K85:V85)</f>
        <v>-0.67060737857050878</v>
      </c>
      <c r="X85" s="37">
        <f>STDEV(K85:V85)/SQRT(COUNT(K85:V85))</f>
        <v>0</v>
      </c>
      <c r="Y85" s="36">
        <f>MIN(K85:V85)</f>
        <v>-0.67060737857050878</v>
      </c>
      <c r="Z85" s="35">
        <f>QUARTILE(K85:V85,1)</f>
        <v>-0.67060737857050878</v>
      </c>
      <c r="AA85" s="36">
        <f>MEDIAN(K85:V85)</f>
        <v>-0.67060737857050878</v>
      </c>
      <c r="AB85" s="35">
        <f>QUARTILE(K85:V85,3)</f>
        <v>-0.67060737857050878</v>
      </c>
      <c r="AC85" s="35">
        <f>MAX(K85:V85)</f>
        <v>-0.67060737857050878</v>
      </c>
      <c r="AD85" s="35" t="e">
        <f>SKEW(K85:V85)</f>
        <v>#DIV/0!</v>
      </c>
      <c r="AE85" s="35" t="e">
        <f>KURT(K85:V85)</f>
        <v>#DIV/0!</v>
      </c>
    </row>
    <row r="88" spans="2:31" x14ac:dyDescent="0.2">
      <c r="W88" s="35"/>
    </row>
  </sheetData>
  <autoFilter ref="B9:AE85" xr:uid="{F0AEDA8F-449C-4FB7-8F55-9380938EB198}"/>
  <conditionalFormatting sqref="K10:V85">
    <cfRule type="cellIs" dxfId="187" priority="1" stopIfTrue="1" operator="lessThan">
      <formula>$W10-$V$5*$X10</formula>
    </cfRule>
    <cfRule type="cellIs" dxfId="186" priority="2" stopIfTrue="1" operator="greaterThan">
      <formula>$W10+$V$5*$X10</formula>
    </cfRule>
  </conditionalFormatting>
  <conditionalFormatting sqref="W10:W85">
    <cfRule type="cellIs" dxfId="185" priority="3" stopIfTrue="1" operator="lessThan">
      <formula>AVERAGE($W$10:$W$41)</formula>
    </cfRule>
    <cfRule type="cellIs" dxfId="18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7D82-A099-4A7D-A4B6-985AD69EA9B6}">
  <sheetPr codeName="Sheet18"/>
  <dimension ref="A1:AI88"/>
  <sheetViews>
    <sheetView topLeftCell="A8" workbookViewId="0">
      <pane xSplit="4" ySplit="2" topLeftCell="N2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[47]FormattedData!A1</f>
        <v>Raw data file name - 'IA147.03R'</v>
      </c>
    </row>
    <row r="2" spans="1:35" ht="15" x14ac:dyDescent="0.25">
      <c r="I2" s="65" t="s">
        <v>136</v>
      </c>
      <c r="J2" s="57"/>
      <c r="P2" s="64">
        <f>[47]AncillaryData!C10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[47]AncillaryData!E25</f>
        <v>40.6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"&amp;[47]AncillaryData!C7</f>
        <v>Time Sequence of Midday IRT Temps - FISE 2003 - DOY 147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"&amp;[47]AncillaryData!E25&amp;", VPD = "&amp;ROUND([47]AncillaryData!E29,1)&amp;", Quality = "&amp;[47]AncillaryData!C20&amp;")"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[47]FormattedData!A28</f>
        <v>101</v>
      </c>
      <c r="C10" s="34" t="str">
        <f>VLOOKUP($B10,[47]TrtCodes!$B$11:I71,2)</f>
        <v>FSH</v>
      </c>
      <c r="D10" s="34">
        <f>VLOOKUP($B10,[47]TrtCodes!$B$11:J71,3)</f>
        <v>1</v>
      </c>
      <c r="E10" s="34">
        <f>VLOOKUP($B10,[47]TrtCodes!$B$11:K71,4)</f>
        <v>1</v>
      </c>
      <c r="F10" s="34">
        <f>VLOOKUP($B10,[47]TrtCodes!$B$11:L71,5)</f>
        <v>1</v>
      </c>
      <c r="G10" s="34">
        <f>VLOOKUP($B10,[47]TrtCodes!$B$11:M71,6)</f>
        <v>2</v>
      </c>
      <c r="H10" s="34">
        <f>VLOOKUP($B10,[47]TrtCodes!$B$11:N71,7)</f>
        <v>1</v>
      </c>
      <c r="I10" s="34">
        <f>[47]FormattedData!B28</f>
        <v>1</v>
      </c>
      <c r="J10" s="37">
        <f>[47]FormattedData!C28</f>
        <v>13.016999999999999</v>
      </c>
      <c r="K10" s="39">
        <f>$J$3+[47]FormattedData!D28*$J$4+$M$4*$J$5+[47]FormattedData!D28^2*$J$6+$M$5*$J$7</f>
        <v>56.183872577784228</v>
      </c>
      <c r="L10" s="39">
        <f>$J$3+[47]FormattedData!E28*$J$4+$M$4*$J$5+[47]FormattedData!E28^2*$J$6+$M$5*$J$7</f>
        <v>57.457284029605297</v>
      </c>
      <c r="M10" s="39">
        <f>$J$3+[47]FormattedData!F28*$J$4+$M$4*$J$5+[47]FormattedData!F28^2*$J$6+$M$5*$J$7</f>
        <v>57.118637550287495</v>
      </c>
      <c r="N10" s="39">
        <f>$J$3+[47]FormattedData!G28*$J$4+$M$4*$J$5+[47]FormattedData!G28^2*$J$6+$M$5*$J$7</f>
        <v>56.864208871150872</v>
      </c>
      <c r="O10" s="39">
        <f>$J$3+[47]FormattedData!H28*$J$4+$M$4*$J$5+[47]FormattedData!H28^2*$J$6+$M$5*$J$7</f>
        <v>57.541839978089918</v>
      </c>
      <c r="P10" s="39">
        <f>$J$3+[47]FormattedData!I28*$J$4+$M$4*$J$5+[47]FormattedData!I28^2*$J$6+$M$5*$J$7</f>
        <v>56.183872577784228</v>
      </c>
      <c r="Q10" s="39">
        <f>$J$3+[47]FormattedData!J28*$J$4+$M$4*$J$5+[47]FormattedData!J28^2*$J$6+$M$5*$J$7</f>
        <v>57.626353658036606</v>
      </c>
      <c r="R10" s="39">
        <f>$J$3+[47]FormattedData!K28*$J$4+$M$4*$J$5+[47]FormattedData!K28^2*$J$6+$M$5*$J$7</f>
        <v>55.928049036895871</v>
      </c>
      <c r="S10" s="39">
        <f>$J$3+[47]FormattedData!L28*$J$4+$M$4*$J$5+[47]FormattedData!L28^2*$J$6+$M$5*$J$7</f>
        <v>58.30094143024462</v>
      </c>
      <c r="T10" s="39">
        <f>$J$3+[47]FormattedData!M28*$J$4+$M$4*$J$5+[47]FormattedData!M28^2*$J$6+$M$5*$J$7</f>
        <v>56.694378409036794</v>
      </c>
      <c r="U10" s="39">
        <f>$J$3+[47]FormattedData!N28*$J$4+$M$4*$J$5+[47]FormattedData!N28^2*$J$6+$M$5*$J$7</f>
        <v>57.28804532702226</v>
      </c>
      <c r="V10" s="39">
        <f>$J$3+[47]FormattedData!O28*$J$4+$M$4*$J$5+[47]FormattedData!O28^2*$J$6+$M$5*$J$7</f>
        <v>56.694378409036794</v>
      </c>
      <c r="W10" s="38">
        <f>AVERAGE(K10:V10)</f>
        <v>56.990155154581238</v>
      </c>
      <c r="X10" s="37">
        <f>STDEV(K10:V10)/SQRT(COUNT(K10:V10))</f>
        <v>0.20169365896340136</v>
      </c>
      <c r="Y10" s="36">
        <f>MIN(K10:V10)</f>
        <v>55.928049036895871</v>
      </c>
      <c r="Z10" s="35">
        <f>QUARTILE(K10:V10,1)</f>
        <v>56.566751951223651</v>
      </c>
      <c r="AA10" s="36">
        <f>MEDIAN(K10:V10)</f>
        <v>56.991423210719184</v>
      </c>
      <c r="AB10" s="35">
        <f>QUARTILE(K10:V10,3)</f>
        <v>57.478423016726452</v>
      </c>
      <c r="AC10" s="35">
        <f>MAX(K10:V10)</f>
        <v>58.30094143024462</v>
      </c>
      <c r="AD10" s="35">
        <f>SKEW(K10:V10)</f>
        <v>0.16243151395096328</v>
      </c>
      <c r="AE10" s="35">
        <f>KURT(K10:V10)</f>
        <v>-0.46421441051585388</v>
      </c>
    </row>
    <row r="11" spans="1:35" x14ac:dyDescent="0.2">
      <c r="B11" s="34">
        <f>[47]FormattedData!A26</f>
        <v>102</v>
      </c>
      <c r="C11" s="34" t="str">
        <f>VLOOKUP($B11,[47]TrtCodes!$B$11:I69,2)</f>
        <v>FTL</v>
      </c>
      <c r="D11" s="34">
        <f>VLOOKUP($B11,[47]TrtCodes!$B$11:J69,3)</f>
        <v>4</v>
      </c>
      <c r="E11" s="34">
        <f>VLOOKUP($B11,[47]TrtCodes!$B$11:K69,4)</f>
        <v>1</v>
      </c>
      <c r="F11" s="34">
        <f>VLOOKUP($B11,[47]TrtCodes!$B$11:L69,5)</f>
        <v>2</v>
      </c>
      <c r="G11" s="34">
        <f>VLOOKUP($B11,[47]TrtCodes!$B$11:M69,6)</f>
        <v>1</v>
      </c>
      <c r="H11" s="34">
        <f>VLOOKUP($B11,[47]TrtCodes!$B$11:N69,7)</f>
        <v>1</v>
      </c>
      <c r="I11" s="34">
        <f>[47]FormattedData!B26</f>
        <v>1</v>
      </c>
      <c r="J11" s="37">
        <f>[47]FormattedData!C26</f>
        <v>13.009</v>
      </c>
      <c r="K11" s="39">
        <f>$J$3+[47]FormattedData!D26*$J$4+$M$4*$J$5+[47]FormattedData!D26^2*$J$6+$M$5*$J$7</f>
        <v>55.67184507916614</v>
      </c>
      <c r="L11" s="39">
        <f>$J$3+[47]FormattedData!E26*$J$4+$M$4*$J$5+[47]FormattedData!E26^2*$J$6+$M$5*$J$7</f>
        <v>56.09864033269271</v>
      </c>
      <c r="M11" s="39">
        <f>$J$3+[47]FormattedData!F26*$J$4+$M$4*$J$5+[47]FormattedData!F26^2*$J$6+$M$5*$J$7</f>
        <v>56.949060699401009</v>
      </c>
      <c r="N11" s="39">
        <f>$J$3+[47]FormattedData!G26*$J$4+$M$4*$J$5+[47]FormattedData!G26^2*$J$6+$M$5*$J$7</f>
        <v>56.779314774362788</v>
      </c>
      <c r="O11" s="39">
        <f>$J$3+[47]FormattedData!H26*$J$4+$M$4*$J$5+[47]FormattedData!H26^2*$J$6+$M$5*$J$7</f>
        <v>57.118637550287495</v>
      </c>
      <c r="P11" s="39">
        <f>$J$3+[47]FormattedData!I26*$J$4+$M$4*$J$5+[47]FormattedData!I26^2*$J$6+$M$5*$J$7</f>
        <v>56.354210262353476</v>
      </c>
      <c r="Q11" s="39">
        <f>$J$3+[47]FormattedData!J26*$J$4+$M$4*$J$5+[47]FormattedData!J26^2*$J$6+$M$5*$J$7</f>
        <v>57.033870259113215</v>
      </c>
      <c r="R11" s="39">
        <f>$J$3+[47]FormattedData!K26*$J$4+$M$4*$J$5+[47]FormattedData!K26^2*$J$6+$M$5*$J$7</f>
        <v>56.354210262353476</v>
      </c>
      <c r="S11" s="39">
        <f>$J$3+[47]FormattedData!L26*$J$4+$M$4*$J$5+[47]FormattedData!L26^2*$J$6+$M$5*$J$7</f>
        <v>56.013365819063253</v>
      </c>
      <c r="T11" s="39">
        <f>$J$3+[47]FormattedData!M26*$J$4+$M$4*$J$5+[47]FormattedData!M26^2*$J$6+$M$5*$J$7</f>
        <v>55.928049036895871</v>
      </c>
      <c r="U11" s="39">
        <f>$J$3+[47]FormattedData!N26*$J$4+$M$4*$J$5+[47]FormattedData!N26^2*$J$6+$M$5*$J$7</f>
        <v>56.354210262353476</v>
      </c>
      <c r="V11" s="39">
        <f>$J$3+[47]FormattedData!O26*$J$4+$M$4*$J$5+[47]FormattedData!O26^2*$J$6+$M$5*$J$7</f>
        <v>54.471196653746901</v>
      </c>
      <c r="W11" s="38">
        <f>AVERAGE(K11:V11)</f>
        <v>56.260550915982492</v>
      </c>
      <c r="X11" s="37">
        <f>STDEV(K11:V11)/SQRT(COUNT(K11:V11))</f>
        <v>0.21051973216635936</v>
      </c>
      <c r="Y11" s="36">
        <f>MIN(K11:V11)</f>
        <v>54.471196653746901</v>
      </c>
      <c r="Z11" s="35">
        <f>QUARTILE(K11:V11,1)</f>
        <v>55.992036623521408</v>
      </c>
      <c r="AA11" s="36">
        <f>MEDIAN(K11:V11)</f>
        <v>56.354210262353476</v>
      </c>
      <c r="AB11" s="35">
        <f>QUARTILE(K11:V11,3)</f>
        <v>56.821751255622345</v>
      </c>
      <c r="AC11" s="35">
        <f>MAX(K11:V11)</f>
        <v>57.118637550287495</v>
      </c>
      <c r="AD11" s="35">
        <f>SKEW(K11:V11)</f>
        <v>-1.2450934344545508</v>
      </c>
      <c r="AE11" s="35">
        <f>KURT(K11:V11)</f>
        <v>2.4212105708701426</v>
      </c>
    </row>
    <row r="12" spans="1:35" x14ac:dyDescent="0.2">
      <c r="B12" s="34">
        <f>[47]FormattedData!A24</f>
        <v>103</v>
      </c>
      <c r="C12" s="34" t="str">
        <f>VLOOKUP($B12,[47]TrtCodes!$B$11:I67,2)</f>
        <v>FDH</v>
      </c>
      <c r="D12" s="34">
        <f>VLOOKUP($B12,[47]TrtCodes!$B$11:J67,3)</f>
        <v>5</v>
      </c>
      <c r="E12" s="34">
        <f>VLOOKUP($B12,[47]TrtCodes!$B$11:K67,4)</f>
        <v>1</v>
      </c>
      <c r="F12" s="34">
        <f>VLOOKUP($B12,[47]TrtCodes!$B$11:L67,5)</f>
        <v>3</v>
      </c>
      <c r="G12" s="34">
        <f>VLOOKUP($B12,[47]TrtCodes!$B$11:M67,6)</f>
        <v>2</v>
      </c>
      <c r="H12" s="34">
        <f>VLOOKUP($B12,[47]TrtCodes!$B$11:N67,7)</f>
        <v>1</v>
      </c>
      <c r="I12" s="34">
        <f>[47]FormattedData!B24</f>
        <v>1</v>
      </c>
      <c r="J12" s="37">
        <f>[47]FormattedData!C24</f>
        <v>13.000999999999999</v>
      </c>
      <c r="K12" s="39">
        <f>$J$3+[47]FormattedData!D24*$J$4+$M$4*$J$5+[47]FormattedData!D24^2*$J$6+$M$5*$J$7</f>
        <v>54.212837000582674</v>
      </c>
      <c r="L12" s="39">
        <f>$J$3+[47]FormattedData!E24*$J$4+$M$4*$J$5+[47]FormattedData!E24^2*$J$6+$M$5*$J$7</f>
        <v>54.986774709551206</v>
      </c>
      <c r="M12" s="39">
        <f>$J$3+[47]FormattedData!F24*$J$4+$M$4*$J$5+[47]FormattedData!F24^2*$J$6+$M$5*$J$7</f>
        <v>55.928049036895871</v>
      </c>
      <c r="N12" s="39">
        <f>$J$3+[47]FormattedData!G24*$J$4+$M$4*$J$5+[47]FormattedData!G24^2*$J$6+$M$5*$J$7</f>
        <v>56.864208871150872</v>
      </c>
      <c r="O12" s="39">
        <f>$J$3+[47]FormattedData!H24*$J$4+$M$4*$J$5+[47]FormattedData!H24^2*$J$6+$M$5*$J$7</f>
        <v>54.471196653746901</v>
      </c>
      <c r="P12" s="39">
        <f>$J$3+[47]FormattedData!I24*$J$4+$M$4*$J$5+[47]FormattedData!I24^2*$J$6+$M$5*$J$7</f>
        <v>55.243993112191291</v>
      </c>
      <c r="Q12" s="39">
        <f>$J$3+[47]FormattedData!J24*$J$4+$M$4*$J$5+[47]FormattedData!J24^2*$J$6+$M$5*$J$7</f>
        <v>55.072556445635826</v>
      </c>
      <c r="R12" s="39">
        <f>$J$3+[47]FormattedData!K24*$J$4+$M$4*$J$5+[47]FormattedData!K24^2*$J$6+$M$5*$J$7</f>
        <v>56.609399775172868</v>
      </c>
      <c r="S12" s="39">
        <f>$J$3+[47]FormattedData!L24*$J$4+$M$4*$J$5+[47]FormattedData!L24^2*$J$6+$M$5*$J$7</f>
        <v>54.557232001059113</v>
      </c>
      <c r="T12" s="39">
        <f>$J$3+[47]FormattedData!M24*$J$4+$M$4*$J$5+[47]FormattedData!M24^2*$J$6+$M$5*$J$7</f>
        <v>55.072556445635826</v>
      </c>
      <c r="U12" s="39">
        <f>$J$3+[47]FormattedData!N24*$J$4+$M$4*$J$5+[47]FormattedData!N24^2*$J$6+$M$5*$J$7</f>
        <v>56.09864033269271</v>
      </c>
      <c r="V12" s="39">
        <f>$J$3+[47]FormattedData!O24*$J$4+$M$4*$J$5+[47]FormattedData!O24^2*$J$6+$M$5*$J$7</f>
        <v>54.04038588911687</v>
      </c>
      <c r="W12" s="38">
        <f>AVERAGE(K12:V12)</f>
        <v>55.263152522786008</v>
      </c>
      <c r="X12" s="37">
        <f>STDEV(K12:V12)/SQRT(COUNT(K12:V12))</f>
        <v>0.26670172131601427</v>
      </c>
      <c r="Y12" s="36">
        <f>MIN(K12:V12)</f>
        <v>54.04038588911687</v>
      </c>
      <c r="Z12" s="35">
        <f>QUARTILE(K12:V12,1)</f>
        <v>54.535723164231058</v>
      </c>
      <c r="AA12" s="36">
        <f>MEDIAN(K12:V12)</f>
        <v>55.072556445635826</v>
      </c>
      <c r="AB12" s="35">
        <f>QUARTILE(K12:V12,3)</f>
        <v>55.970696860845081</v>
      </c>
      <c r="AC12" s="35">
        <f>MAX(K12:V12)</f>
        <v>56.864208871150872</v>
      </c>
      <c r="AD12" s="35">
        <f>SKEW(K12:V12)</f>
        <v>0.49121175099157521</v>
      </c>
      <c r="AE12" s="35">
        <f>KURT(K12:V12)</f>
        <v>-0.86672658657556489</v>
      </c>
    </row>
    <row r="13" spans="1:35" x14ac:dyDescent="0.2">
      <c r="B13" s="34">
        <f>[47]FormattedData!A22</f>
        <v>104</v>
      </c>
      <c r="C13" s="34" t="str">
        <f>VLOOKUP($B13,[47]TrtCodes!$B$11:I65,2)</f>
        <v>NTL</v>
      </c>
      <c r="D13" s="34">
        <f>VLOOKUP($B13,[47]TrtCodes!$B$11:J65,3)</f>
        <v>10</v>
      </c>
      <c r="E13" s="34">
        <f>VLOOKUP($B13,[47]TrtCodes!$B$11:K65,4)</f>
        <v>2</v>
      </c>
      <c r="F13" s="34">
        <f>VLOOKUP($B13,[47]TrtCodes!$B$11:L65,5)</f>
        <v>2</v>
      </c>
      <c r="G13" s="34">
        <f>VLOOKUP($B13,[47]TrtCodes!$B$11:M65,6)</f>
        <v>1</v>
      </c>
      <c r="H13" s="34">
        <f>VLOOKUP($B13,[47]TrtCodes!$B$11:N65,7)</f>
        <v>1</v>
      </c>
      <c r="I13" s="34">
        <f>[47]FormattedData!B22</f>
        <v>1</v>
      </c>
      <c r="J13" s="37">
        <f>[47]FormattedData!C22</f>
        <v>12.992000000000001</v>
      </c>
      <c r="K13" s="39">
        <f>$J$3+[47]FormattedData!D22*$J$4+$M$4*$J$5+[47]FormattedData!D22^2*$J$6+$M$5*$J$7</f>
        <v>55.500831097989987</v>
      </c>
      <c r="L13" s="39">
        <f>$J$3+[47]FormattedData!E22*$J$4+$M$4*$J$5+[47]FormattedData!E22^2*$J$6+$M$5*$J$7</f>
        <v>54.900950704928647</v>
      </c>
      <c r="M13" s="39">
        <f>$J$3+[47]FormattedData!F22*$J$4+$M$4*$J$5+[47]FormattedData!F22^2*$J$6+$M$5*$J$7</f>
        <v>55.58635922284703</v>
      </c>
      <c r="N13" s="39">
        <f>$J$3+[47]FormattedData!G22*$J$4+$M$4*$J$5+[47]FormattedData!G22^2*$J$6+$M$5*$J$7</f>
        <v>53.867765703499344</v>
      </c>
      <c r="O13" s="39">
        <f>$J$3+[47]FormattedData!H22*$J$4+$M$4*$J$5+[47]FormattedData!H22^2*$J$6+$M$5*$J$7</f>
        <v>55.072556445635826</v>
      </c>
      <c r="P13" s="39">
        <f>$J$3+[47]FormattedData!I22*$J$4+$M$4*$J$5+[47]FormattedData!I22^2*$J$6+$M$5*$J$7</f>
        <v>55.928049036895871</v>
      </c>
      <c r="Q13" s="39">
        <f>$J$3+[47]FormattedData!J22*$J$4+$M$4*$J$5+[47]FormattedData!J22^2*$J$6+$M$5*$J$7</f>
        <v>54.38511903789675</v>
      </c>
      <c r="R13" s="39">
        <f>$J$3+[47]FormattedData!K22*$J$4+$M$4*$J$5+[47]FormattedData!K22^2*$J$6+$M$5*$J$7</f>
        <v>55.329648042662122</v>
      </c>
      <c r="S13" s="39">
        <f>$J$3+[47]FormattedData!L22*$J$4+$M$4*$J$5+[47]FormattedData!L22^2*$J$6+$M$5*$J$7</f>
        <v>54.04038588911687</v>
      </c>
      <c r="T13" s="39">
        <f>$J$3+[47]FormattedData!M22*$J$4+$M$4*$J$5+[47]FormattedData!M22^2*$J$6+$M$5*$J$7</f>
        <v>54.38511903789675</v>
      </c>
      <c r="U13" s="39">
        <f>$J$3+[47]FormattedData!N22*$J$4+$M$4*$J$5+[47]FormattedData!N22^2*$J$6+$M$5*$J$7</f>
        <v>53.867765703499344</v>
      </c>
      <c r="V13" s="39">
        <f>$J$3+[47]FormattedData!O22*$J$4+$M$4*$J$5+[47]FormattedData!O22^2*$J$6+$M$5*$J$7</f>
        <v>56.183872577784228</v>
      </c>
      <c r="W13" s="38">
        <f>AVERAGE(K13:V13)</f>
        <v>54.920701875054391</v>
      </c>
      <c r="X13" s="37">
        <f>STDEV(K13:V13)/SQRT(COUNT(K13:V13))</f>
        <v>0.23268343016299231</v>
      </c>
      <c r="Y13" s="36">
        <f>MIN(K13:V13)</f>
        <v>53.867765703499344</v>
      </c>
      <c r="Z13" s="35">
        <f>QUARTILE(K13:V13,1)</f>
        <v>54.29893575070178</v>
      </c>
      <c r="AA13" s="36">
        <f>MEDIAN(K13:V13)</f>
        <v>54.986753575282236</v>
      </c>
      <c r="AB13" s="35">
        <f>QUARTILE(K13:V13,3)</f>
        <v>55.522213129204246</v>
      </c>
      <c r="AC13" s="35">
        <f>MAX(K13:V13)</f>
        <v>56.183872577784228</v>
      </c>
      <c r="AD13" s="35">
        <f>SKEW(K13:V13)</f>
        <v>5.7412202930167973E-2</v>
      </c>
      <c r="AE13" s="35">
        <f>KURT(K13:V13)</f>
        <v>-1.3689738146396353</v>
      </c>
    </row>
    <row r="14" spans="1:35" x14ac:dyDescent="0.2">
      <c r="B14" s="34">
        <f>[47]FormattedData!A20</f>
        <v>105</v>
      </c>
      <c r="C14" s="34" t="str">
        <f>VLOOKUP($B14,[47]TrtCodes!$B$11:I63,2)</f>
        <v>NDL</v>
      </c>
      <c r="D14" s="34">
        <f>VLOOKUP($B14,[47]TrtCodes!$B$11:J63,3)</f>
        <v>12</v>
      </c>
      <c r="E14" s="34">
        <f>VLOOKUP($B14,[47]TrtCodes!$B$11:K63,4)</f>
        <v>2</v>
      </c>
      <c r="F14" s="34">
        <f>VLOOKUP($B14,[47]TrtCodes!$B$11:L63,5)</f>
        <v>3</v>
      </c>
      <c r="G14" s="34">
        <f>VLOOKUP($B14,[47]TrtCodes!$B$11:M63,6)</f>
        <v>1</v>
      </c>
      <c r="H14" s="34">
        <f>VLOOKUP($B14,[47]TrtCodes!$B$11:N63,7)</f>
        <v>2</v>
      </c>
      <c r="I14" s="34">
        <f>[47]FormattedData!B20</f>
        <v>1</v>
      </c>
      <c r="J14" s="37">
        <f>[47]FormattedData!C20</f>
        <v>12.984</v>
      </c>
      <c r="K14" s="39">
        <f>$J$3+[47]FormattedData!D20*$J$4+$M$4*$J$5+[47]FormattedData!D20^2*$J$6+$M$5*$J$7</f>
        <v>49.054454665810212</v>
      </c>
      <c r="L14" s="39">
        <f>$J$3+[47]FormattedData!E20*$J$4+$M$4*$J$5+[47]FormattedData!E20^2*$J$6+$M$5*$J$7</f>
        <v>49.762519120059686</v>
      </c>
      <c r="M14" s="39">
        <f>$J$3+[47]FormattedData!F20*$J$4+$M$4*$J$5+[47]FormattedData!F20^2*$J$6+$M$5*$J$7</f>
        <v>51.520845065062645</v>
      </c>
      <c r="N14" s="39">
        <f>$J$3+[47]FormattedData!G20*$J$4+$M$4*$J$5+[47]FormattedData!G20^2*$J$6+$M$5*$J$7</f>
        <v>50.55585808793861</v>
      </c>
      <c r="O14" s="39">
        <f>$J$3+[47]FormattedData!H20*$J$4+$M$4*$J$5+[47]FormattedData!H20^2*$J$6+$M$5*$J$7</f>
        <v>49.320295850188245</v>
      </c>
      <c r="P14" s="39">
        <f>$J$3+[47]FormattedData!I20*$J$4+$M$4*$J$5+[47]FormattedData!I20^2*$J$6+$M$5*$J$7</f>
        <v>51.170532469275855</v>
      </c>
      <c r="Q14" s="39">
        <f>$J$3+[47]FormattedData!J20*$J$4+$M$4*$J$5+[47]FormattedData!J20^2*$J$6+$M$5*$J$7</f>
        <v>50.467878387881569</v>
      </c>
      <c r="R14" s="39">
        <f>$J$3+[47]FormattedData!K20*$J$4+$M$4*$J$5+[47]FormattedData!K20^2*$J$6+$M$5*$J$7</f>
        <v>50.995122560154869</v>
      </c>
      <c r="S14" s="39">
        <f>$J$3+[47]FormattedData!L20*$J$4+$M$4*$J$5+[47]FormattedData!L20^2*$J$6+$M$5*$J$7</f>
        <v>50.731690682438902</v>
      </c>
      <c r="T14" s="39">
        <f>$J$3+[47]FormattedData!M20*$J$4+$M$4*$J$5+[47]FormattedData!M20^2*$J$6+$M$5*$J$7</f>
        <v>51.957784767692687</v>
      </c>
      <c r="U14" s="39">
        <f>$J$3+[47]FormattedData!N20*$J$4+$M$4*$J$5+[47]FormattedData!N20^2*$J$6+$M$5*$J$7</f>
        <v>51.520845065062645</v>
      </c>
      <c r="V14" s="39">
        <f>$J$3+[47]FormattedData!O20*$J$4+$M$4*$J$5+[47]FormattedData!O20^2*$J$6+$M$5*$J$7</f>
        <v>51.608317542664523</v>
      </c>
      <c r="W14" s="38">
        <f>AVERAGE(K14:V14)</f>
        <v>50.722178688685865</v>
      </c>
      <c r="X14" s="37">
        <f>STDEV(K14:V14)/SQRT(COUNT(K14:V14))</f>
        <v>0.27000514785095892</v>
      </c>
      <c r="Y14" s="36">
        <f>MIN(K14:V14)</f>
        <v>49.054454665810212</v>
      </c>
      <c r="Z14" s="35">
        <f>QUARTILE(K14:V14,1)</f>
        <v>50.2915385709261</v>
      </c>
      <c r="AA14" s="36">
        <f>MEDIAN(K14:V14)</f>
        <v>50.863406621296889</v>
      </c>
      <c r="AB14" s="35">
        <f>QUARTILE(K14:V14,3)</f>
        <v>51.520845065062645</v>
      </c>
      <c r="AC14" s="35">
        <f>MAX(K14:V14)</f>
        <v>51.957784767692687</v>
      </c>
      <c r="AD14" s="35">
        <f>SKEW(K14:V14)</f>
        <v>-0.61151451216919828</v>
      </c>
      <c r="AE14" s="35">
        <f>KURT(K14:V14)</f>
        <v>-0.68589683427284287</v>
      </c>
    </row>
    <row r="15" spans="1:35" x14ac:dyDescent="0.2">
      <c r="B15" s="34">
        <f>[47]FormattedData!A18</f>
        <v>106</v>
      </c>
      <c r="C15" s="34" t="str">
        <f>VLOOKUP($B15,[47]TrtCodes!$B$11:I61,2)</f>
        <v>NTH</v>
      </c>
      <c r="D15" s="34">
        <f>VLOOKUP($B15,[47]TrtCodes!$B$11:J61,3)</f>
        <v>9</v>
      </c>
      <c r="E15" s="34">
        <f>VLOOKUP($B15,[47]TrtCodes!$B$11:K61,4)</f>
        <v>2</v>
      </c>
      <c r="F15" s="34">
        <f>VLOOKUP($B15,[47]TrtCodes!$B$11:L61,5)</f>
        <v>2</v>
      </c>
      <c r="G15" s="34">
        <f>VLOOKUP($B15,[47]TrtCodes!$B$11:M61,6)</f>
        <v>2</v>
      </c>
      <c r="H15" s="34">
        <f>VLOOKUP($B15,[47]TrtCodes!$B$11:N61,7)</f>
        <v>2</v>
      </c>
      <c r="I15" s="34">
        <f>[47]FormattedData!B18</f>
        <v>1</v>
      </c>
      <c r="J15" s="37">
        <f>[47]FormattedData!C18</f>
        <v>12.977</v>
      </c>
      <c r="K15" s="39">
        <f>$J$3+[47]FormattedData!D18*$J$4+$M$4*$J$5+[47]FormattedData!D18^2*$J$6+$M$5*$J$7</f>
        <v>54.471196653746901</v>
      </c>
      <c r="L15" s="39">
        <f>$J$3+[47]FormattedData!E18*$J$4+$M$4*$J$5+[47]FormattedData!E18^2*$J$6+$M$5*$J$7</f>
        <v>54.38511903789675</v>
      </c>
      <c r="M15" s="39">
        <f>$J$3+[47]FormattedData!F18*$J$4+$M$4*$J$5+[47]FormattedData!F18^2*$J$6+$M$5*$J$7</f>
        <v>56.779314774362788</v>
      </c>
      <c r="N15" s="39">
        <f>$J$3+[47]FormattedData!G18*$J$4+$M$4*$J$5+[47]FormattedData!G18^2*$J$6+$M$5*$J$7</f>
        <v>55.072556445635826</v>
      </c>
      <c r="O15" s="39">
        <f>$J$3+[47]FormattedData!H18*$J$4+$M$4*$J$5+[47]FormattedData!H18^2*$J$6+$M$5*$J$7</f>
        <v>57.710825069445377</v>
      </c>
      <c r="P15" s="39">
        <f>$J$3+[47]FormattedData!I18*$J$4+$M$4*$J$5+[47]FormattedData!I18^2*$J$6+$M$5*$J$7</f>
        <v>55.928049036895871</v>
      </c>
      <c r="Q15" s="39">
        <f>$J$3+[47]FormattedData!J18*$J$4+$M$4*$J$5+[47]FormattedData!J18^2*$J$6+$M$5*$J$7</f>
        <v>56.864208871150872</v>
      </c>
      <c r="R15" s="39">
        <f>$J$3+[47]FormattedData!K18*$J$4+$M$4*$J$5+[47]FormattedData!K18^2*$J$6+$M$5*$J$7</f>
        <v>55.329648042662122</v>
      </c>
      <c r="S15" s="39">
        <f>$J$3+[47]FormattedData!L18*$J$4+$M$4*$J$5+[47]FormattedData!L18^2*$J$6+$M$5*$J$7</f>
        <v>56.09864033269271</v>
      </c>
      <c r="T15" s="39">
        <f>$J$3+[47]FormattedData!M18*$J$4+$M$4*$J$5+[47]FormattedData!M18^2*$J$6+$M$5*$J$7</f>
        <v>56.09864033269271</v>
      </c>
      <c r="U15" s="39">
        <f>$J$3+[47]FormattedData!N18*$J$4+$M$4*$J$5+[47]FormattedData!N18^2*$J$6+$M$5*$J$7</f>
        <v>55.67184507916614</v>
      </c>
      <c r="V15" s="39">
        <f>$J$3+[47]FormattedData!O18*$J$4+$M$4*$J$5+[47]FormattedData!O18^2*$J$6+$M$5*$J$7</f>
        <v>55.67184507916614</v>
      </c>
      <c r="W15" s="38">
        <f>AVERAGE(K15:V15)</f>
        <v>55.840157396292852</v>
      </c>
      <c r="X15" s="37">
        <f>STDEV(K15:V15)/SQRT(COUNT(K15:V15))</f>
        <v>0.28162309025635007</v>
      </c>
      <c r="Y15" s="36">
        <f>MIN(K15:V15)</f>
        <v>54.38511903789675</v>
      </c>
      <c r="Z15" s="35">
        <f>QUARTILE(K15:V15,1)</f>
        <v>55.265375143405549</v>
      </c>
      <c r="AA15" s="36">
        <f>MEDIAN(K15:V15)</f>
        <v>55.799947058031009</v>
      </c>
      <c r="AB15" s="35">
        <f>QUARTILE(K15:V15,3)</f>
        <v>56.26880894311023</v>
      </c>
      <c r="AC15" s="35">
        <f>MAX(K15:V15)</f>
        <v>57.710825069445377</v>
      </c>
      <c r="AD15" s="35">
        <f>SKEW(K15:V15)</f>
        <v>0.26351329148764863</v>
      </c>
      <c r="AE15" s="35">
        <f>KURT(K15:V15)</f>
        <v>-0.11162592518712433</v>
      </c>
    </row>
    <row r="16" spans="1:35" x14ac:dyDescent="0.2">
      <c r="B16" s="34">
        <f>[47]FormattedData!A16</f>
        <v>107</v>
      </c>
      <c r="C16" s="34" t="str">
        <f>VLOOKUP($B16,[47]TrtCodes!$B$11:I59,2)</f>
        <v>NTL</v>
      </c>
      <c r="D16" s="34">
        <f>VLOOKUP($B16,[47]TrtCodes!$B$11:J59,3)</f>
        <v>10</v>
      </c>
      <c r="E16" s="34">
        <f>VLOOKUP($B16,[47]TrtCodes!$B$11:K59,4)</f>
        <v>2</v>
      </c>
      <c r="F16" s="34">
        <f>VLOOKUP($B16,[47]TrtCodes!$B$11:L59,5)</f>
        <v>2</v>
      </c>
      <c r="G16" s="34">
        <f>VLOOKUP($B16,[47]TrtCodes!$B$11:M59,6)</f>
        <v>1</v>
      </c>
      <c r="H16" s="34">
        <f>VLOOKUP($B16,[47]TrtCodes!$B$11:N59,7)</f>
        <v>2</v>
      </c>
      <c r="I16" s="34">
        <f>[47]FormattedData!B16</f>
        <v>1</v>
      </c>
      <c r="J16" s="37">
        <f>[47]FormattedData!C16</f>
        <v>12.968</v>
      </c>
      <c r="K16" s="39">
        <f>$J$3+[47]FormattedData!D16*$J$4+$M$4*$J$5+[47]FormattedData!D16^2*$J$6+$M$5*$J$7</f>
        <v>54.126632579118734</v>
      </c>
      <c r="L16" s="39">
        <f>$J$3+[47]FormattedData!E16*$J$4+$M$4*$J$5+[47]FormattedData!E16^2*$J$6+$M$5*$J$7</f>
        <v>56.779314774362788</v>
      </c>
      <c r="M16" s="39">
        <f>$J$3+[47]FormattedData!F16*$J$4+$M$4*$J$5+[47]FormattedData!F16^2*$J$6+$M$5*$J$7</f>
        <v>58.637220871438281</v>
      </c>
      <c r="N16" s="39">
        <f>$J$3+[47]FormattedData!G16*$J$4+$M$4*$J$5+[47]FormattedData!G16^2*$J$6+$M$5*$J$7</f>
        <v>55.329648042662122</v>
      </c>
      <c r="O16" s="39">
        <f>$J$3+[47]FormattedData!H16*$J$4+$M$4*$J$5+[47]FormattedData!H16^2*$J$6+$M$5*$J$7</f>
        <v>56.183872577784228</v>
      </c>
      <c r="P16" s="39">
        <f>$J$3+[47]FormattedData!I16*$J$4+$M$4*$J$5+[47]FormattedData!I16^2*$J$6+$M$5*$J$7</f>
        <v>55.158295913182528</v>
      </c>
      <c r="Q16" s="39">
        <f>$J$3+[47]FormattedData!J16*$J$4+$M$4*$J$5+[47]FormattedData!J16^2*$J$6+$M$5*$J$7</f>
        <v>58.637220871438281</v>
      </c>
      <c r="R16" s="39">
        <f>$J$3+[47]FormattedData!K16*$J$4+$M$4*$J$5+[47]FormattedData!K16^2*$J$6+$M$5*$J$7</f>
        <v>55.329648042662122</v>
      </c>
      <c r="S16" s="39">
        <f>$J$3+[47]FormattedData!L16*$J$4+$M$4*$J$5+[47]FormattedData!L16^2*$J$6+$M$5*$J$7</f>
        <v>57.795254212316202</v>
      </c>
      <c r="T16" s="39">
        <f>$J$3+[47]FormattedData!M16*$J$4+$M$4*$J$5+[47]FormattedData!M16^2*$J$6+$M$5*$J$7</f>
        <v>55.415260704595021</v>
      </c>
      <c r="U16" s="39">
        <f>$J$3+[47]FormattedData!N16*$J$4+$M$4*$J$5+[47]FormattedData!N16^2*$J$6+$M$5*$J$7</f>
        <v>58.469165687917304</v>
      </c>
      <c r="V16" s="39">
        <f>$J$3+[47]FormattedData!O16*$J$4+$M$4*$J$5+[47]FormattedData!O16^2*$J$6+$M$5*$J$7</f>
        <v>55.67184507916614</v>
      </c>
      <c r="W16" s="38">
        <f>AVERAGE(K16:V16)</f>
        <v>56.461114946386978</v>
      </c>
      <c r="X16" s="37">
        <f>STDEV(K16:V16)/SQRT(COUNT(K16:V16))</f>
        <v>0.45130720824476556</v>
      </c>
      <c r="Y16" s="36">
        <f>MIN(K16:V16)</f>
        <v>54.126632579118734</v>
      </c>
      <c r="Z16" s="35">
        <f>QUARTILE(K16:V16,1)</f>
        <v>55.329648042662122</v>
      </c>
      <c r="AA16" s="36">
        <f>MEDIAN(K16:V16)</f>
        <v>55.927858828475181</v>
      </c>
      <c r="AB16" s="35">
        <f>QUARTILE(K16:V16,3)</f>
        <v>57.963732081216477</v>
      </c>
      <c r="AC16" s="35">
        <f>MAX(K16:V16)</f>
        <v>58.637220871438281</v>
      </c>
      <c r="AD16" s="35">
        <f>SKEW(K16:V16)</f>
        <v>0.33190930296766702</v>
      </c>
      <c r="AE16" s="35">
        <f>KURT(K16:V16)</f>
        <v>-1.3497667873674932</v>
      </c>
    </row>
    <row r="17" spans="2:31" x14ac:dyDescent="0.2">
      <c r="B17" s="34">
        <f>[47]FormattedData!A14</f>
        <v>108</v>
      </c>
      <c r="C17" s="34" t="str">
        <f>VLOOKUP($B17,[47]TrtCodes!$B$11:I57,2)</f>
        <v>FTH</v>
      </c>
      <c r="D17" s="34">
        <f>VLOOKUP($B17,[47]TrtCodes!$B$11:J57,3)</f>
        <v>3</v>
      </c>
      <c r="E17" s="34">
        <f>VLOOKUP($B17,[47]TrtCodes!$B$11:K57,4)</f>
        <v>1</v>
      </c>
      <c r="F17" s="34">
        <f>VLOOKUP($B17,[47]TrtCodes!$B$11:L57,5)</f>
        <v>2</v>
      </c>
      <c r="G17" s="34">
        <f>VLOOKUP($B17,[47]TrtCodes!$B$11:M57,6)</f>
        <v>2</v>
      </c>
      <c r="H17" s="34">
        <f>VLOOKUP($B17,[47]TrtCodes!$B$11:N57,7)</f>
        <v>2</v>
      </c>
      <c r="I17" s="34">
        <f>[47]FormattedData!B14</f>
        <v>1</v>
      </c>
      <c r="J17" s="37">
        <f>[47]FormattedData!C14</f>
        <v>12.959</v>
      </c>
      <c r="K17" s="39">
        <f>$J$3+[47]FormattedData!D14*$J$4+$M$4*$J$5+[47]FormattedData!D14^2*$J$6+$M$5*$J$7</f>
        <v>54.643225079833385</v>
      </c>
      <c r="L17" s="39">
        <f>$J$3+[47]FormattedData!E14*$J$4+$M$4*$J$5+[47]FormattedData!E14^2*$J$6+$M$5*$J$7</f>
        <v>54.900950704928647</v>
      </c>
      <c r="M17" s="39">
        <f>$J$3+[47]FormattedData!F14*$J$4+$M$4*$J$5+[47]FormattedData!F14^2*$J$6+$M$5*$J$7</f>
        <v>55.243993112191291</v>
      </c>
      <c r="N17" s="39">
        <f>$J$3+[47]FormattedData!G14*$J$4+$M$4*$J$5+[47]FormattedData!G14^2*$J$6+$M$5*$J$7</f>
        <v>56.439315701831212</v>
      </c>
      <c r="O17" s="39">
        <f>$J$3+[47]FormattedData!H14*$J$4+$M$4*$J$5+[47]FormattedData!H14^2*$J$6+$M$5*$J$7</f>
        <v>56.269062554337815</v>
      </c>
      <c r="P17" s="39">
        <f>$J$3+[47]FormattedData!I14*$J$4+$M$4*$J$5+[47]FormattedData!I14^2*$J$6+$M$5*$J$7</f>
        <v>55.500831097989987</v>
      </c>
      <c r="Q17" s="39">
        <f>$J$3+[47]FormattedData!J14*$J$4+$M$4*$J$5+[47]FormattedData!J14^2*$J$6+$M$5*$J$7</f>
        <v>56.779314774362788</v>
      </c>
      <c r="R17" s="39">
        <f>$J$3+[47]FormattedData!K14*$J$4+$M$4*$J$5+[47]FormattedData!K14^2*$J$6+$M$5*$J$7</f>
        <v>56.864208871150872</v>
      </c>
      <c r="S17" s="39">
        <f>$J$3+[47]FormattedData!L14*$J$4+$M$4*$J$5+[47]FormattedData!L14^2*$J$6+$M$5*$J$7</f>
        <v>56.694378409036794</v>
      </c>
      <c r="T17" s="39">
        <f>$J$3+[47]FormattedData!M14*$J$4+$M$4*$J$5+[47]FormattedData!M14^2*$J$6+$M$5*$J$7</f>
        <v>56.183872577784228</v>
      </c>
      <c r="U17" s="39">
        <f>$J$3+[47]FormattedData!N14*$J$4+$M$4*$J$5+[47]FormattedData!N14^2*$J$6+$M$5*$J$7</f>
        <v>56.183872577784228</v>
      </c>
      <c r="V17" s="39">
        <f>$J$3+[47]FormattedData!O14*$J$4+$M$4*$J$5+[47]FormattedData!O14^2*$J$6+$M$5*$J$7</f>
        <v>54.557232001059113</v>
      </c>
      <c r="W17" s="38">
        <f>AVERAGE(K17:V17)</f>
        <v>55.855021455190865</v>
      </c>
      <c r="X17" s="37">
        <f>STDEV(K17:V17)/SQRT(COUNT(K17:V17))</f>
        <v>0.24414629805376106</v>
      </c>
      <c r="Y17" s="36">
        <f>MIN(K17:V17)</f>
        <v>54.557232001059113</v>
      </c>
      <c r="Z17" s="35">
        <f>QUARTILE(K17:V17,1)</f>
        <v>55.158232510375626</v>
      </c>
      <c r="AA17" s="36">
        <f>MEDIAN(K17:V17)</f>
        <v>56.183872577784228</v>
      </c>
      <c r="AB17" s="35">
        <f>QUARTILE(K17:V17,3)</f>
        <v>56.503081378632608</v>
      </c>
      <c r="AC17" s="35">
        <f>MAX(K17:V17)</f>
        <v>56.864208871150872</v>
      </c>
      <c r="AD17" s="35">
        <f>SKEW(K17:V17)</f>
        <v>-0.42483760784700164</v>
      </c>
      <c r="AE17" s="35">
        <f>KURT(K17:V17)</f>
        <v>-1.443334756689703</v>
      </c>
    </row>
    <row r="18" spans="2:31" x14ac:dyDescent="0.2">
      <c r="B18" s="34">
        <f>[47]FormattedData!A30</f>
        <v>201</v>
      </c>
      <c r="C18" s="34" t="str">
        <f>VLOOKUP($B18,[47]TrtCodes!$B$11:I73,2)</f>
        <v>NDL</v>
      </c>
      <c r="D18" s="34">
        <f>VLOOKUP($B18,[47]TrtCodes!$B$11:J73,3)</f>
        <v>12</v>
      </c>
      <c r="E18" s="34">
        <f>VLOOKUP($B18,[47]TrtCodes!$B$11:K73,4)</f>
        <v>2</v>
      </c>
      <c r="F18" s="34">
        <f>VLOOKUP($B18,[47]TrtCodes!$B$11:L73,5)</f>
        <v>3</v>
      </c>
      <c r="G18" s="34">
        <f>VLOOKUP($B18,[47]TrtCodes!$B$11:M73,6)</f>
        <v>1</v>
      </c>
      <c r="H18" s="34">
        <f>VLOOKUP($B18,[47]TrtCodes!$B$11:N73,7)</f>
        <v>1</v>
      </c>
      <c r="I18" s="34">
        <f>[47]FormattedData!B30</f>
        <v>1</v>
      </c>
      <c r="J18" s="37">
        <f>[47]FormattedData!C30</f>
        <v>13.03</v>
      </c>
      <c r="K18" s="39">
        <f>$J$3+[47]FormattedData!D30*$J$4+$M$4*$J$5+[47]FormattedData!D30^2*$J$6+$M$5*$J$7</f>
        <v>52.393667756874457</v>
      </c>
      <c r="L18" s="39">
        <f>$J$3+[47]FormattedData!E30*$J$4+$M$4*$J$5+[47]FormattedData!E30^2*$J$6+$M$5*$J$7</f>
        <v>52.567725072781641</v>
      </c>
      <c r="M18" s="39">
        <f>$J$3+[47]FormattedData!F30*$J$4+$M$4*$J$5+[47]FormattedData!F30^2*$J$6+$M$5*$J$7</f>
        <v>53.175594219511979</v>
      </c>
      <c r="N18" s="39">
        <f>$J$3+[47]FormattedData!G30*$J$4+$M$4*$J$5+[47]FormattedData!G30^2*$J$6+$M$5*$J$7</f>
        <v>51.783135692254469</v>
      </c>
      <c r="O18" s="39">
        <f>$J$3+[47]FormattedData!H30*$J$4+$M$4*$J$5+[47]FormattedData!H30^2*$J$6+$M$5*$J$7</f>
        <v>52.828494032607942</v>
      </c>
      <c r="P18" s="39">
        <f>$J$3+[47]FormattedData!I30*$J$4+$M$4*$J$5+[47]FormattedData!I30^2*$J$6+$M$5*$J$7</f>
        <v>53.348890701736401</v>
      </c>
      <c r="Q18" s="39">
        <f>$J$3+[47]FormattedData!J30*$J$4+$M$4*$J$5+[47]FormattedData!J30^2*$J$6+$M$5*$J$7</f>
        <v>53.088882575592862</v>
      </c>
      <c r="R18" s="39">
        <f>$J$3+[47]FormattedData!K30*$J$4+$M$4*$J$5+[47]FormattedData!K30^2*$J$6+$M$5*$J$7</f>
        <v>53.435475540041722</v>
      </c>
      <c r="S18" s="39">
        <f>$J$3+[47]FormattedData!L30*$J$4+$M$4*$J$5+[47]FormattedData!L30^2*$J$6+$M$5*$J$7</f>
        <v>52.306575696113974</v>
      </c>
      <c r="T18" s="39">
        <f>$J$3+[47]FormattedData!M30*$J$4+$M$4*$J$5+[47]FormattedData!M30^2*$J$6+$M$5*$J$7</f>
        <v>50.55585808793861</v>
      </c>
      <c r="U18" s="39">
        <f>$J$3+[47]FormattedData!N30*$J$4+$M$4*$J$5+[47]FormattedData!N30^2*$J$6+$M$5*$J$7</f>
        <v>50.995122560154869</v>
      </c>
      <c r="V18" s="39">
        <f>$J$3+[47]FormattedData!O30*$J$4+$M$4*$J$5+[47]FormattedData!O30^2*$J$6+$M$5*$J$7</f>
        <v>52.219441366815545</v>
      </c>
      <c r="W18" s="38">
        <f>AVERAGE(K18:V18)</f>
        <v>52.391571941868698</v>
      </c>
      <c r="X18" s="37">
        <f>STDEV(K18:V18)/SQRT(COUNT(K18:V18))</f>
        <v>0.2619279684851909</v>
      </c>
      <c r="Y18" s="36">
        <f>MIN(K18:V18)</f>
        <v>50.55585808793861</v>
      </c>
      <c r="Z18" s="35">
        <f>QUARTILE(K18:V18,1)</f>
        <v>52.110364948175274</v>
      </c>
      <c r="AA18" s="36">
        <f>MEDIAN(K18:V18)</f>
        <v>52.480696414828046</v>
      </c>
      <c r="AB18" s="35">
        <f>QUARTILE(K18:V18,3)</f>
        <v>53.110560486572638</v>
      </c>
      <c r="AC18" s="35">
        <f>MAX(K18:V18)</f>
        <v>53.435475540041722</v>
      </c>
      <c r="AD18" s="35">
        <f>SKEW(K18:V18)</f>
        <v>-0.90769709845954971</v>
      </c>
      <c r="AE18" s="35">
        <f>KURT(K18:V18)</f>
        <v>0.14579265184604751</v>
      </c>
    </row>
    <row r="19" spans="2:31" x14ac:dyDescent="0.2">
      <c r="B19" s="34">
        <f>[47]FormattedData!A32</f>
        <v>202</v>
      </c>
      <c r="C19" s="34" t="str">
        <f>VLOOKUP($B19,[47]TrtCodes!$B$11:I75,2)</f>
        <v>NTH</v>
      </c>
      <c r="D19" s="34">
        <f>VLOOKUP($B19,[47]TrtCodes!$B$11:J75,3)</f>
        <v>9</v>
      </c>
      <c r="E19" s="34">
        <f>VLOOKUP($B19,[47]TrtCodes!$B$11:K75,4)</f>
        <v>2</v>
      </c>
      <c r="F19" s="34">
        <f>VLOOKUP($B19,[47]TrtCodes!$B$11:L75,5)</f>
        <v>2</v>
      </c>
      <c r="G19" s="34">
        <f>VLOOKUP($B19,[47]TrtCodes!$B$11:M75,6)</f>
        <v>2</v>
      </c>
      <c r="H19" s="34">
        <f>VLOOKUP($B19,[47]TrtCodes!$B$11:N75,7)</f>
        <v>1</v>
      </c>
      <c r="I19" s="34">
        <f>[47]FormattedData!B32</f>
        <v>1</v>
      </c>
      <c r="J19" s="37">
        <f>[47]FormattedData!C32</f>
        <v>13.035</v>
      </c>
      <c r="K19" s="39">
        <f>$J$3+[47]FormattedData!D32*$J$4+$M$4*$J$5+[47]FormattedData!D32^2*$J$6+$M$5*$J$7</f>
        <v>56.609399775172868</v>
      </c>
      <c r="L19" s="39">
        <f>$J$3+[47]FormattedData!E32*$J$4+$M$4*$J$5+[47]FormattedData!E32^2*$J$6+$M$5*$J$7</f>
        <v>56.439315701831212</v>
      </c>
      <c r="M19" s="39">
        <f>$J$3+[47]FormattedData!F32*$J$4+$M$4*$J$5+[47]FormattedData!F32^2*$J$6+$M$5*$J$7</f>
        <v>57.879641086649094</v>
      </c>
      <c r="N19" s="39">
        <f>$J$3+[47]FormattedData!G32*$J$4+$M$4*$J$5+[47]FormattedData!G32^2*$J$6+$M$5*$J$7</f>
        <v>57.710825069445377</v>
      </c>
      <c r="O19" s="39">
        <f>$J$3+[47]FormattedData!H32*$J$4+$M$4*$J$5+[47]FormattedData!H32^2*$J$6+$M$5*$J$7</f>
        <v>57.372685812582745</v>
      </c>
      <c r="P19" s="39">
        <f>$J$3+[47]FormattedData!I32*$J$4+$M$4*$J$5+[47]FormattedData!I32^2*$J$6+$M$5*$J$7</f>
        <v>57.203362572923837</v>
      </c>
      <c r="Q19" s="39">
        <f>$J$3+[47]FormattedData!J32*$J$4+$M$4*$J$5+[47]FormattedData!J32^2*$J$6+$M$5*$J$7</f>
        <v>56.779314774362788</v>
      </c>
      <c r="R19" s="39">
        <f>$J$3+[47]FormattedData!K32*$J$4+$M$4*$J$5+[47]FormattedData!K32^2*$J$6+$M$5*$J$7</f>
        <v>56.949060699401009</v>
      </c>
      <c r="S19" s="39">
        <f>$J$3+[47]FormattedData!L32*$J$4+$M$4*$J$5+[47]FormattedData!L32^2*$J$6+$M$5*$J$7</f>
        <v>56.354210262353476</v>
      </c>
      <c r="T19" s="39">
        <f>$J$3+[47]FormattedData!M32*$J$4+$M$4*$J$5+[47]FormattedData!M32^2*$J$6+$M$5*$J$7</f>
        <v>56.779314774362788</v>
      </c>
      <c r="U19" s="39">
        <f>$J$3+[47]FormattedData!N32*$J$4+$M$4*$J$5+[47]FormattedData!N32^2*$J$6+$M$5*$J$7</f>
        <v>56.354210262353476</v>
      </c>
      <c r="V19" s="39">
        <f>$J$3+[47]FormattedData!O32*$J$4+$M$4*$J$5+[47]FormattedData!O32^2*$J$6+$M$5*$J$7</f>
        <v>55.329648042662122</v>
      </c>
      <c r="W19" s="38">
        <f>AVERAGE(K19:V19)</f>
        <v>56.813415736175067</v>
      </c>
      <c r="X19" s="37">
        <f>STDEV(K19:V19)/SQRT(COUNT(K19:V19))</f>
        <v>0.19910074580280981</v>
      </c>
      <c r="Y19" s="36">
        <f>MIN(K19:V19)</f>
        <v>55.329648042662122</v>
      </c>
      <c r="Z19" s="35">
        <f>QUARTILE(K19:V19,1)</f>
        <v>56.41803934196178</v>
      </c>
      <c r="AA19" s="36">
        <f>MEDIAN(K19:V19)</f>
        <v>56.779314774362788</v>
      </c>
      <c r="AB19" s="35">
        <f>QUARTILE(K19:V19,3)</f>
        <v>57.245693382838567</v>
      </c>
      <c r="AC19" s="35">
        <f>MAX(K19:V19)</f>
        <v>57.879641086649094</v>
      </c>
      <c r="AD19" s="35">
        <f>SKEW(K19:V19)</f>
        <v>-0.44876107224204242</v>
      </c>
      <c r="AE19" s="35">
        <f>KURT(K19:V19)</f>
        <v>0.85472580661781272</v>
      </c>
    </row>
    <row r="20" spans="2:31" x14ac:dyDescent="0.2">
      <c r="B20" s="34">
        <f>[47]FormattedData!A34</f>
        <v>203</v>
      </c>
      <c r="C20" s="34" t="str">
        <f>VLOOKUP($B20,[47]TrtCodes!$B$11:I77,2)</f>
        <v>FTH</v>
      </c>
      <c r="D20" s="34">
        <f>VLOOKUP($B20,[47]TrtCodes!$B$11:J77,3)</f>
        <v>3</v>
      </c>
      <c r="E20" s="34">
        <f>VLOOKUP($B20,[47]TrtCodes!$B$11:K77,4)</f>
        <v>1</v>
      </c>
      <c r="F20" s="34">
        <f>VLOOKUP($B20,[47]TrtCodes!$B$11:L77,5)</f>
        <v>2</v>
      </c>
      <c r="G20" s="34">
        <f>VLOOKUP($B20,[47]TrtCodes!$B$11:M77,6)</f>
        <v>2</v>
      </c>
      <c r="H20" s="34">
        <f>VLOOKUP($B20,[47]TrtCodes!$B$11:N77,7)</f>
        <v>1</v>
      </c>
      <c r="I20" s="34">
        <f>[47]FormattedData!B34</f>
        <v>1</v>
      </c>
      <c r="J20" s="37">
        <f>[47]FormattedData!C34</f>
        <v>13.04</v>
      </c>
      <c r="K20" s="39">
        <f>$J$3+[47]FormattedData!D34*$J$4+$M$4*$J$5+[47]FormattedData!D34^2*$J$6+$M$5*$J$7</f>
        <v>55.58635922284703</v>
      </c>
      <c r="L20" s="39">
        <f>$J$3+[47]FormattedData!E34*$J$4+$M$4*$J$5+[47]FormattedData!E34^2*$J$6+$M$5*$J$7</f>
        <v>56.013365819063253</v>
      </c>
      <c r="M20" s="39">
        <f>$J$3+[47]FormattedData!F34*$J$4+$M$4*$J$5+[47]FormattedData!F34^2*$J$6+$M$5*$J$7</f>
        <v>57.795254212316202</v>
      </c>
      <c r="N20" s="39">
        <f>$J$3+[47]FormattedData!G34*$J$4+$M$4*$J$5+[47]FormattedData!G34^2*$J$6+$M$5*$J$7</f>
        <v>57.033870259113215</v>
      </c>
      <c r="O20" s="39">
        <f>$J$3+[47]FormattedData!H34*$J$4+$M$4*$J$5+[47]FormattedData!H34^2*$J$6+$M$5*$J$7</f>
        <v>57.118637550287495</v>
      </c>
      <c r="P20" s="39">
        <f>$J$3+[47]FormattedData!I34*$J$4+$M$4*$J$5+[47]FormattedData!I34^2*$J$6+$M$5*$J$7</f>
        <v>56.524378872771003</v>
      </c>
      <c r="Q20" s="39">
        <f>$J$3+[47]FormattedData!J34*$J$4+$M$4*$J$5+[47]FormattedData!J34^2*$J$6+$M$5*$J$7</f>
        <v>57.541839978089918</v>
      </c>
      <c r="R20" s="39">
        <f>$J$3+[47]FormattedData!K34*$J$4+$M$4*$J$5+[47]FormattedData!K34^2*$J$6+$M$5*$J$7</f>
        <v>57.28804532702226</v>
      </c>
      <c r="S20" s="39">
        <f>$J$3+[47]FormattedData!L34*$J$4+$M$4*$J$5+[47]FormattedData!L34^2*$J$6+$M$5*$J$7</f>
        <v>57.879641086649094</v>
      </c>
      <c r="T20" s="39">
        <f>$J$3+[47]FormattedData!M34*$J$4+$M$4*$J$5+[47]FormattedData!M34^2*$J$6+$M$5*$J$7</f>
        <v>56.949060699401009</v>
      </c>
      <c r="U20" s="39">
        <f>$J$3+[47]FormattedData!N34*$J$4+$M$4*$J$5+[47]FormattedData!N34^2*$J$6+$M$5*$J$7</f>
        <v>56.183872577784228</v>
      </c>
      <c r="V20" s="39">
        <f>$J$3+[47]FormattedData!O34*$J$4+$M$4*$J$5+[47]FormattedData!O34^2*$J$6+$M$5*$J$7</f>
        <v>56.269062554337815</v>
      </c>
      <c r="W20" s="38">
        <f>AVERAGE(K20:V20)</f>
        <v>56.848615679973534</v>
      </c>
      <c r="X20" s="37">
        <f>STDEV(K20:V20)/SQRT(COUNT(K20:V20))</f>
        <v>0.21184515736009779</v>
      </c>
      <c r="Y20" s="36">
        <f>MIN(K20:V20)</f>
        <v>55.58635922284703</v>
      </c>
      <c r="Z20" s="35">
        <f>QUARTILE(K20:V20,1)</f>
        <v>56.24776506019942</v>
      </c>
      <c r="AA20" s="36">
        <f>MEDIAN(K20:V20)</f>
        <v>56.991465479257116</v>
      </c>
      <c r="AB20" s="35">
        <f>QUARTILE(K20:V20,3)</f>
        <v>57.351493989789176</v>
      </c>
      <c r="AC20" s="35">
        <f>MAX(K20:V20)</f>
        <v>57.879641086649094</v>
      </c>
      <c r="AD20" s="35">
        <f>SKEW(K20:V20)</f>
        <v>-0.20067252640686536</v>
      </c>
      <c r="AE20" s="35">
        <f>KURT(K20:V20)</f>
        <v>-1.0166949214288024</v>
      </c>
    </row>
    <row r="21" spans="2:31" x14ac:dyDescent="0.2">
      <c r="B21" s="34">
        <f>[47]FormattedData!A36</f>
        <v>204</v>
      </c>
      <c r="C21" s="34" t="str">
        <f>VLOOKUP($B21,[47]TrtCodes!$B$11:I79,2)</f>
        <v>NDH</v>
      </c>
      <c r="D21" s="34">
        <f>VLOOKUP($B21,[47]TrtCodes!$B$11:J79,3)</f>
        <v>11</v>
      </c>
      <c r="E21" s="34">
        <f>VLOOKUP($B21,[47]TrtCodes!$B$11:K79,4)</f>
        <v>2</v>
      </c>
      <c r="F21" s="34">
        <f>VLOOKUP($B21,[47]TrtCodes!$B$11:L79,5)</f>
        <v>3</v>
      </c>
      <c r="G21" s="34">
        <f>VLOOKUP($B21,[47]TrtCodes!$B$11:M79,6)</f>
        <v>2</v>
      </c>
      <c r="H21" s="34">
        <f>VLOOKUP($B21,[47]TrtCodes!$B$11:N79,7)</f>
        <v>1</v>
      </c>
      <c r="I21" s="34">
        <f>[47]FormattedData!B36</f>
        <v>1</v>
      </c>
      <c r="J21" s="37">
        <f>[47]FormattedData!C36</f>
        <v>13.044</v>
      </c>
      <c r="K21" s="39">
        <f>$J$3+[47]FormattedData!D36*$J$4+$M$4*$J$5+[47]FormattedData!D36^2*$J$6+$M$5*$J$7</f>
        <v>53.348890701736401</v>
      </c>
      <c r="L21" s="39">
        <f>$J$3+[47]FormattedData!E36*$J$4+$M$4*$J$5+[47]FormattedData!E36^2*$J$6+$M$5*$J$7</f>
        <v>50.907354202787481</v>
      </c>
      <c r="M21" s="39">
        <f>$J$3+[47]FormattedData!F36*$J$4+$M$4*$J$5+[47]FormattedData!F36^2*$J$6+$M$5*$J$7</f>
        <v>52.480717549097015</v>
      </c>
      <c r="N21" s="39">
        <f>$J$3+[47]FormattedData!G36*$J$4+$M$4*$J$5+[47]FormattedData!G36^2*$J$6+$M$5*$J$7</f>
        <v>52.219441366815545</v>
      </c>
      <c r="O21" s="39">
        <f>$J$3+[47]FormattedData!H36*$J$4+$M$4*$J$5+[47]FormattedData!H36^2*$J$6+$M$5*$J$7</f>
        <v>53.522018109809103</v>
      </c>
      <c r="P21" s="39">
        <f>$J$3+[47]FormattedData!I36*$J$4+$M$4*$J$5+[47]FormattedData!I36^2*$J$6+$M$5*$J$7</f>
        <v>53.175594219511979</v>
      </c>
      <c r="Q21" s="39">
        <f>$J$3+[47]FormattedData!J36*$J$4+$M$4*$J$5+[47]FormattedData!J36^2*$J$6+$M$5*$J$7</f>
        <v>53.435475540041722</v>
      </c>
      <c r="R21" s="39">
        <f>$J$3+[47]FormattedData!K36*$J$4+$M$4*$J$5+[47]FormattedData!K36^2*$J$6+$M$5*$J$7</f>
        <v>53.088882575592862</v>
      </c>
      <c r="S21" s="39">
        <f>$J$3+[47]FormattedData!L36*$J$4+$M$4*$J$5+[47]FormattedData!L36^2*$J$6+$M$5*$J$7</f>
        <v>51.520845065062645</v>
      </c>
      <c r="T21" s="39">
        <f>$J$3+[47]FormattedData!M36*$J$4+$M$4*$J$5+[47]FormattedData!M36^2*$J$6+$M$5*$J$7</f>
        <v>51.870481364242551</v>
      </c>
      <c r="U21" s="39">
        <f>$J$3+[47]FormattedData!N36*$J$4+$M$4*$J$5+[47]FormattedData!N36^2*$J$6+$M$5*$J$7</f>
        <v>52.828494032607942</v>
      </c>
      <c r="V21" s="39">
        <f>$J$3+[47]FormattedData!O36*$J$4+$M$4*$J$5+[47]FormattedData!O36^2*$J$6+$M$5*$J$7</f>
        <v>52.828494032607942</v>
      </c>
      <c r="W21" s="38">
        <f>AVERAGE(K21:V21)</f>
        <v>52.602224063326105</v>
      </c>
      <c r="X21" s="37">
        <f>STDEV(K21:V21)/SQRT(COUNT(K21:V21))</f>
        <v>0.23843753402368012</v>
      </c>
      <c r="Y21" s="36">
        <f>MIN(K21:V21)</f>
        <v>50.907354202787481</v>
      </c>
      <c r="Z21" s="35">
        <f>QUARTILE(K21:V21,1)</f>
        <v>52.132201366172296</v>
      </c>
      <c r="AA21" s="36">
        <f>MEDIAN(K21:V21)</f>
        <v>52.828494032607942</v>
      </c>
      <c r="AB21" s="35">
        <f>QUARTILE(K21:V21,3)</f>
        <v>53.218918340068086</v>
      </c>
      <c r="AC21" s="35">
        <f>MAX(K21:V21)</f>
        <v>53.522018109809103</v>
      </c>
      <c r="AD21" s="35">
        <f>SKEW(K21:V21)</f>
        <v>-0.86788201761577644</v>
      </c>
      <c r="AE21" s="35">
        <f>KURT(K21:V21)</f>
        <v>-0.10419785460496289</v>
      </c>
    </row>
    <row r="22" spans="2:31" x14ac:dyDescent="0.2">
      <c r="B22" s="34">
        <f>[47]FormattedData!A38</f>
        <v>205</v>
      </c>
      <c r="C22" s="34" t="str">
        <f>VLOOKUP($B22,[47]TrtCodes!$B$11:I81,2)</f>
        <v>FSH</v>
      </c>
      <c r="D22" s="34">
        <f>VLOOKUP($B22,[47]TrtCodes!$B$11:J81,3)</f>
        <v>1</v>
      </c>
      <c r="E22" s="34">
        <f>VLOOKUP($B22,[47]TrtCodes!$B$11:K81,4)</f>
        <v>1</v>
      </c>
      <c r="F22" s="34">
        <f>VLOOKUP($B22,[47]TrtCodes!$B$11:L81,5)</f>
        <v>1</v>
      </c>
      <c r="G22" s="34">
        <f>VLOOKUP($B22,[47]TrtCodes!$B$11:M81,6)</f>
        <v>2</v>
      </c>
      <c r="H22" s="34">
        <f>VLOOKUP($B22,[47]TrtCodes!$B$11:N81,7)</f>
        <v>2</v>
      </c>
      <c r="I22" s="34">
        <f>[47]FormattedData!B38</f>
        <v>1</v>
      </c>
      <c r="J22" s="37">
        <f>[47]FormattedData!C38</f>
        <v>13.048999999999999</v>
      </c>
      <c r="K22" s="39">
        <f>$J$3+[47]FormattedData!D38*$J$4+$M$4*$J$5+[47]FormattedData!D38^2*$J$6+$M$5*$J$7</f>
        <v>57.457284029605297</v>
      </c>
      <c r="L22" s="39">
        <f>$J$3+[47]FormattedData!E38*$J$4+$M$4*$J$5+[47]FormattedData!E38^2*$J$6+$M$5*$J$7</f>
        <v>54.900950704928647</v>
      </c>
      <c r="M22" s="39">
        <f>$J$3+[47]FormattedData!F38*$J$4+$M$4*$J$5+[47]FormattedData!F38^2*$J$6+$M$5*$J$7</f>
        <v>58.972824016025044</v>
      </c>
      <c r="N22" s="39">
        <f>$J$3+[47]FormattedData!G38*$J$4+$M$4*$J$5+[47]FormattedData!G38^2*$J$6+$M$5*$J$7</f>
        <v>56.524378872771003</v>
      </c>
      <c r="O22" s="39">
        <f>$J$3+[47]FormattedData!H38*$J$4+$M$4*$J$5+[47]FormattedData!H38^2*$J$6+$M$5*$J$7</f>
        <v>58.30094143024462</v>
      </c>
      <c r="P22" s="39">
        <f>$J$3+[47]FormattedData!I38*$J$4+$M$4*$J$5+[47]FormattedData!I38^2*$J$6+$M$5*$J$7</f>
        <v>54.900950704928647</v>
      </c>
      <c r="Q22" s="39">
        <f>$J$3+[47]FormattedData!J38*$J$4+$M$4*$J$5+[47]FormattedData!J38^2*$J$6+$M$5*$J$7</f>
        <v>58.216765898601381</v>
      </c>
      <c r="R22" s="39">
        <f>$J$3+[47]FormattedData!K38*$J$4+$M$4*$J$5+[47]FormattedData!K38^2*$J$6+$M$5*$J$7</f>
        <v>55.243993112191291</v>
      </c>
      <c r="S22" s="39">
        <f>$J$3+[47]FormattedData!L38*$J$4+$M$4*$J$5+[47]FormattedData!L38^2*$J$6+$M$5*$J$7</f>
        <v>58.805106980807516</v>
      </c>
      <c r="T22" s="39">
        <f>$J$3+[47]FormattedData!M38*$J$4+$M$4*$J$5+[47]FormattedData!M38^2*$J$6+$M$5*$J$7</f>
        <v>56.694378409036794</v>
      </c>
      <c r="U22" s="39">
        <f>$J$3+[47]FormattedData!N38*$J$4+$M$4*$J$5+[47]FormattedData!N38^2*$J$6+$M$5*$J$7</f>
        <v>57.118637550287495</v>
      </c>
      <c r="V22" s="39">
        <f>$J$3+[47]FormattedData!O38*$J$4+$M$4*$J$5+[47]FormattedData!O38^2*$J$6+$M$5*$J$7</f>
        <v>56.524378872771003</v>
      </c>
      <c r="W22" s="38">
        <f>AVERAGE(K22:V22)</f>
        <v>56.971715881849882</v>
      </c>
      <c r="X22" s="37">
        <f>STDEV(K22:V22)/SQRT(COUNT(K22:V22))</f>
        <v>0.41722758187132986</v>
      </c>
      <c r="Y22" s="36">
        <f>MIN(K22:V22)</f>
        <v>54.900950704928647</v>
      </c>
      <c r="Z22" s="35">
        <f>QUARTILE(K22:V22,1)</f>
        <v>56.204282432626073</v>
      </c>
      <c r="AA22" s="36">
        <f>MEDIAN(K22:V22)</f>
        <v>56.906507979662145</v>
      </c>
      <c r="AB22" s="35">
        <f>QUARTILE(K22:V22,3)</f>
        <v>58.23780978151219</v>
      </c>
      <c r="AC22" s="35">
        <f>MAX(K22:V22)</f>
        <v>58.972824016025044</v>
      </c>
      <c r="AD22" s="35">
        <f>SKEW(K22:V22)</f>
        <v>-0.1642113599852649</v>
      </c>
      <c r="AE22" s="35">
        <f>KURT(K22:V22)</f>
        <v>-1.1919273363736598</v>
      </c>
    </row>
    <row r="23" spans="2:31" x14ac:dyDescent="0.2">
      <c r="B23" s="34">
        <f>[47]FormattedData!A40</f>
        <v>206</v>
      </c>
      <c r="C23" s="34" t="str">
        <f>VLOOKUP($B23,[47]TrtCodes!$B$11:I83,2)</f>
        <v>NSL</v>
      </c>
      <c r="D23" s="34">
        <f>VLOOKUP($B23,[47]TrtCodes!$B$11:J83,3)</f>
        <v>8</v>
      </c>
      <c r="E23" s="34">
        <f>VLOOKUP($B23,[47]TrtCodes!$B$11:K83,4)</f>
        <v>2</v>
      </c>
      <c r="F23" s="34">
        <f>VLOOKUP($B23,[47]TrtCodes!$B$11:L83,5)</f>
        <v>1</v>
      </c>
      <c r="G23" s="34">
        <f>VLOOKUP($B23,[47]TrtCodes!$B$11:M83,6)</f>
        <v>1</v>
      </c>
      <c r="H23" s="34">
        <f>VLOOKUP($B23,[47]TrtCodes!$B$11:N83,7)</f>
        <v>2</v>
      </c>
      <c r="I23" s="34">
        <f>[47]FormattedData!B40</f>
        <v>1</v>
      </c>
      <c r="J23" s="37">
        <f>[47]FormattedData!C40</f>
        <v>13.054</v>
      </c>
      <c r="K23" s="39">
        <f>$J$3+[47]FormattedData!D40*$J$4+$M$4*$J$5+[47]FormattedData!D40^2*$J$6+$M$5*$J$7</f>
        <v>57.795254212316202</v>
      </c>
      <c r="L23" s="39">
        <f>$J$3+[47]FormattedData!E40*$J$4+$M$4*$J$5+[47]FormattedData!E40^2*$J$6+$M$5*$J$7</f>
        <v>55.500831097989987</v>
      </c>
      <c r="M23" s="39">
        <f>$J$3+[47]FormattedData!F40*$J$4+$M$4*$J$5+[47]FormattedData!F40^2*$J$6+$M$5*$J$7</f>
        <v>57.118637550287495</v>
      </c>
      <c r="N23" s="39">
        <f>$J$3+[47]FormattedData!G40*$J$4+$M$4*$J$5+[47]FormattedData!G40^2*$J$6+$M$5*$J$7</f>
        <v>56.439315701831212</v>
      </c>
      <c r="O23" s="39">
        <f>$J$3+[47]FormattedData!H40*$J$4+$M$4*$J$5+[47]FormattedData!H40^2*$J$6+$M$5*$J$7</f>
        <v>57.118637550287495</v>
      </c>
      <c r="P23" s="39">
        <f>$J$3+[47]FormattedData!I40*$J$4+$M$4*$J$5+[47]FormattedData!I40^2*$J$6+$M$5*$J$7</f>
        <v>56.013365819063253</v>
      </c>
      <c r="Q23" s="39">
        <f>$J$3+[47]FormattedData!J40*$J$4+$M$4*$J$5+[47]FormattedData!J40^2*$J$6+$M$5*$J$7</f>
        <v>57.28804532702226</v>
      </c>
      <c r="R23" s="39">
        <f>$J$3+[47]FormattedData!K40*$J$4+$M$4*$J$5+[47]FormattedData!K40^2*$J$6+$M$5*$J$7</f>
        <v>56.779314774362788</v>
      </c>
      <c r="S23" s="39">
        <f>$J$3+[47]FormattedData!L40*$J$4+$M$4*$J$5+[47]FormattedData!L40^2*$J$6+$M$5*$J$7</f>
        <v>57.626353658036606</v>
      </c>
      <c r="T23" s="39">
        <f>$J$3+[47]FormattedData!M40*$J$4+$M$4*$J$5+[47]FormattedData!M40^2*$J$6+$M$5*$J$7</f>
        <v>56.864208871150872</v>
      </c>
      <c r="U23" s="39">
        <f>$J$3+[47]FormattedData!N40*$J$4+$M$4*$J$5+[47]FormattedData!N40^2*$J$6+$M$5*$J$7</f>
        <v>57.710825069445377</v>
      </c>
      <c r="V23" s="39">
        <f>$J$3+[47]FormattedData!O40*$J$4+$M$4*$J$5+[47]FormattedData!O40^2*$J$6+$M$5*$J$7</f>
        <v>57.710825069445377</v>
      </c>
      <c r="W23" s="38">
        <f>AVERAGE(K23:V23)</f>
        <v>56.997134558436578</v>
      </c>
      <c r="X23" s="37">
        <f>STDEV(K23:V23)/SQRT(COUNT(K23:V23))</f>
        <v>0.20868957171689739</v>
      </c>
      <c r="Y23" s="36">
        <f>MIN(K23:V23)</f>
        <v>55.500831097989987</v>
      </c>
      <c r="Z23" s="35">
        <f>QUARTILE(K23:V23,1)</f>
        <v>56.694315006229893</v>
      </c>
      <c r="AA23" s="36">
        <f>MEDIAN(K23:V23)</f>
        <v>57.118637550287495</v>
      </c>
      <c r="AB23" s="35">
        <f>QUARTILE(K23:V23,3)</f>
        <v>57.647471510888799</v>
      </c>
      <c r="AC23" s="35">
        <f>MAX(K23:V23)</f>
        <v>57.795254212316202</v>
      </c>
      <c r="AD23" s="35">
        <f>SKEW(K23:V23)</f>
        <v>-0.85921594479769092</v>
      </c>
      <c r="AE23" s="35">
        <f>KURT(K23:V23)</f>
        <v>8.4684262793039977E-2</v>
      </c>
    </row>
    <row r="24" spans="2:31" x14ac:dyDescent="0.2">
      <c r="B24" s="34">
        <f>[47]FormattedData!A42</f>
        <v>207</v>
      </c>
      <c r="C24" s="34" t="str">
        <f>VLOOKUP($B24,[47]TrtCodes!$B$11:I85,2)</f>
        <v>FTL</v>
      </c>
      <c r="D24" s="34">
        <f>VLOOKUP($B24,[47]TrtCodes!$B$11:J85,3)</f>
        <v>4</v>
      </c>
      <c r="E24" s="34">
        <f>VLOOKUP($B24,[47]TrtCodes!$B$11:K85,4)</f>
        <v>1</v>
      </c>
      <c r="F24" s="34">
        <f>VLOOKUP($B24,[47]TrtCodes!$B$11:L85,5)</f>
        <v>2</v>
      </c>
      <c r="G24" s="34">
        <f>VLOOKUP($B24,[47]TrtCodes!$B$11:M85,6)</f>
        <v>1</v>
      </c>
      <c r="H24" s="34">
        <f>VLOOKUP($B24,[47]TrtCodes!$B$11:N85,7)</f>
        <v>2</v>
      </c>
      <c r="I24" s="34">
        <f>[47]FormattedData!B42</f>
        <v>1</v>
      </c>
      <c r="J24" s="37">
        <f>[47]FormattedData!C42</f>
        <v>13.058</v>
      </c>
      <c r="K24" s="39">
        <f>$J$3+[47]FormattedData!D42*$J$4+$M$4*$J$5+[47]FormattedData!D42^2*$J$6+$M$5*$J$7</f>
        <v>57.033870259113215</v>
      </c>
      <c r="L24" s="39">
        <f>$J$3+[47]FormattedData!E42*$J$4+$M$4*$J$5+[47]FormattedData!E42^2*$J$6+$M$5*$J$7</f>
        <v>54.72917589006974</v>
      </c>
      <c r="M24" s="39">
        <f>$J$3+[47]FormattedData!F42*$J$4+$M$4*$J$5+[47]FormattedData!F42^2*$J$6+$M$5*$J$7</f>
        <v>56.609399775172868</v>
      </c>
      <c r="N24" s="39">
        <f>$J$3+[47]FormattedData!G42*$J$4+$M$4*$J$5+[47]FormattedData!G42^2*$J$6+$M$5*$J$7</f>
        <v>57.626353658036606</v>
      </c>
      <c r="O24" s="39">
        <f>$J$3+[47]FormattedData!H42*$J$4+$M$4*$J$5+[47]FormattedData!H42^2*$J$6+$M$5*$J$7</f>
        <v>57.033870259113215</v>
      </c>
      <c r="P24" s="39">
        <f>$J$3+[47]FormattedData!I42*$J$4+$M$4*$J$5+[47]FormattedData!I42^2*$J$6+$M$5*$J$7</f>
        <v>56.864208871150872</v>
      </c>
      <c r="Q24" s="39">
        <f>$J$3+[47]FormattedData!J42*$J$4+$M$4*$J$5+[47]FormattedData!J42^2*$J$6+$M$5*$J$7</f>
        <v>57.28804532702226</v>
      </c>
      <c r="R24" s="39">
        <f>$J$3+[47]FormattedData!K42*$J$4+$M$4*$J$5+[47]FormattedData!K42^2*$J$6+$M$5*$J$7</f>
        <v>56.09864033269271</v>
      </c>
      <c r="S24" s="39">
        <f>$J$3+[47]FormattedData!L42*$J$4+$M$4*$J$5+[47]FormattedData!L42^2*$J$6+$M$5*$J$7</f>
        <v>56.609399775172868</v>
      </c>
      <c r="T24" s="39">
        <f>$J$3+[47]FormattedData!M42*$J$4+$M$4*$J$5+[47]FormattedData!M42^2*$J$6+$M$5*$J$7</f>
        <v>55.58635922284703</v>
      </c>
      <c r="U24" s="39">
        <f>$J$3+[47]FormattedData!N42*$J$4+$M$4*$J$5+[47]FormattedData!N42^2*$J$6+$M$5*$J$7</f>
        <v>56.183872577784228</v>
      </c>
      <c r="V24" s="39">
        <f>$J$3+[47]FormattedData!O42*$J$4+$M$4*$J$5+[47]FormattedData!O42^2*$J$6+$M$5*$J$7</f>
        <v>55.757288666947318</v>
      </c>
      <c r="W24" s="38">
        <f>AVERAGE(K24:V24)</f>
        <v>56.451707051260236</v>
      </c>
      <c r="X24" s="37">
        <f>STDEV(K24:V24)/SQRT(COUNT(K24:V24))</f>
        <v>0.23631522469933358</v>
      </c>
      <c r="Y24" s="36">
        <f>MIN(K24:V24)</f>
        <v>54.72917589006974</v>
      </c>
      <c r="Z24" s="35">
        <f>QUARTILE(K24:V24,1)</f>
        <v>56.013302416256366</v>
      </c>
      <c r="AA24" s="36">
        <f>MEDIAN(K24:V24)</f>
        <v>56.609399775172868</v>
      </c>
      <c r="AB24" s="35">
        <f>QUARTILE(K24:V24,3)</f>
        <v>57.033870259113215</v>
      </c>
      <c r="AC24" s="35">
        <f>MAX(K24:V24)</f>
        <v>57.626353658036606</v>
      </c>
      <c r="AD24" s="35">
        <f>SKEW(K24:V24)</f>
        <v>-0.69175092966425022</v>
      </c>
      <c r="AE24" s="35">
        <f>KURT(K24:V24)</f>
        <v>0.27223123414761297</v>
      </c>
    </row>
    <row r="25" spans="2:31" x14ac:dyDescent="0.2">
      <c r="B25" s="34">
        <f>[47]FormattedData!A44</f>
        <v>208</v>
      </c>
      <c r="C25" s="34" t="str">
        <f>VLOOKUP($B25,[47]TrtCodes!$B$11:I87,2)</f>
        <v>FSL</v>
      </c>
      <c r="D25" s="34">
        <f>VLOOKUP($B25,[47]TrtCodes!$B$11:J87,3)</f>
        <v>2</v>
      </c>
      <c r="E25" s="34">
        <f>VLOOKUP($B25,[47]TrtCodes!$B$11:K87,4)</f>
        <v>1</v>
      </c>
      <c r="F25" s="34">
        <f>VLOOKUP($B25,[47]TrtCodes!$B$11:L87,5)</f>
        <v>1</v>
      </c>
      <c r="G25" s="34">
        <f>VLOOKUP($B25,[47]TrtCodes!$B$11:M87,6)</f>
        <v>1</v>
      </c>
      <c r="H25" s="34">
        <f>VLOOKUP($B25,[47]TrtCodes!$B$11:N87,7)</f>
        <v>2</v>
      </c>
      <c r="I25" s="34">
        <f>[47]FormattedData!B44</f>
        <v>1</v>
      </c>
      <c r="J25" s="37">
        <f>[47]FormattedData!C44</f>
        <v>13.066000000000001</v>
      </c>
      <c r="K25" s="39">
        <f>$J$3+[47]FormattedData!D44*$J$4+$M$4*$J$5+[47]FormattedData!D44^2*$J$6+$M$5*$J$7</f>
        <v>58.385074693349928</v>
      </c>
      <c r="L25" s="39">
        <f>$J$3+[47]FormattedData!E44*$J$4+$M$4*$J$5+[47]FormattedData!E44^2*$J$6+$M$5*$J$7</f>
        <v>57.963985692444062</v>
      </c>
      <c r="M25" s="39">
        <f>$J$3+[47]FormattedData!F44*$J$4+$M$4*$J$5+[47]FormattedData!F44^2*$J$6+$M$5*$J$7</f>
        <v>56.949060699401009</v>
      </c>
      <c r="N25" s="39">
        <f>$J$3+[47]FormattedData!G44*$J$4+$M$4*$J$5+[47]FormattedData!G44^2*$J$6+$M$5*$J$7</f>
        <v>57.118637550287495</v>
      </c>
      <c r="O25" s="39">
        <f>$J$3+[47]FormattedData!H44*$J$4+$M$4*$J$5+[47]FormattedData!H44^2*$J$6+$M$5*$J$7</f>
        <v>57.457284029605297</v>
      </c>
      <c r="P25" s="39">
        <f>$J$3+[47]FormattedData!I44*$J$4+$M$4*$J$5+[47]FormattedData!I44^2*$J$6+$M$5*$J$7</f>
        <v>56.439315701831212</v>
      </c>
      <c r="Q25" s="39">
        <f>$J$3+[47]FormattedData!J44*$J$4+$M$4*$J$5+[47]FormattedData!J44^2*$J$6+$M$5*$J$7</f>
        <v>58.048288029701098</v>
      </c>
      <c r="R25" s="39">
        <f>$J$3+[47]FormattedData!K44*$J$4+$M$4*$J$5+[47]FormattedData!K44^2*$J$6+$M$5*$J$7</f>
        <v>57.626353658036606</v>
      </c>
      <c r="S25" s="39">
        <f>$J$3+[47]FormattedData!L44*$J$4+$M$4*$J$5+[47]FormattedData!L44^2*$J$6+$M$5*$J$7</f>
        <v>57.28804532702226</v>
      </c>
      <c r="T25" s="39">
        <f>$J$3+[47]FormattedData!M44*$J$4+$M$4*$J$5+[47]FormattedData!M44^2*$J$6+$M$5*$J$7</f>
        <v>56.864208871150872</v>
      </c>
      <c r="U25" s="39">
        <f>$J$3+[47]FormattedData!N44*$J$4+$M$4*$J$5+[47]FormattedData!N44^2*$J$6+$M$5*$J$7</f>
        <v>59.056619130826903</v>
      </c>
      <c r="V25" s="39">
        <f>$J$3+[47]FormattedData!O44*$J$4+$M$4*$J$5+[47]FormattedData!O44^2*$J$6+$M$5*$J$7</f>
        <v>58.385074693349928</v>
      </c>
      <c r="W25" s="38">
        <f>AVERAGE(K25:V25)</f>
        <v>57.631829006417213</v>
      </c>
      <c r="X25" s="37">
        <f>STDEV(K25:V25)/SQRT(COUNT(K25:V25))</f>
        <v>0.21912534538180023</v>
      </c>
      <c r="Y25" s="36">
        <f>MIN(K25:V25)</f>
        <v>56.439315701831212</v>
      </c>
      <c r="Z25" s="35">
        <f>QUARTILE(K25:V25,1)</f>
        <v>57.07624333756587</v>
      </c>
      <c r="AA25" s="36">
        <f>MEDIAN(K25:V25)</f>
        <v>57.541818843820948</v>
      </c>
      <c r="AB25" s="35">
        <f>QUARTILE(K25:V25,3)</f>
        <v>58.132484695613307</v>
      </c>
      <c r="AC25" s="35">
        <f>MAX(K25:V25)</f>
        <v>59.056619130826903</v>
      </c>
      <c r="AD25" s="35">
        <f>SKEW(K25:V25)</f>
        <v>0.30141055558336105</v>
      </c>
      <c r="AE25" s="35">
        <f>KURT(K25:V25)</f>
        <v>-0.48393837172628418</v>
      </c>
    </row>
    <row r="26" spans="2:31" x14ac:dyDescent="0.2">
      <c r="B26" s="34">
        <f>[47]FormattedData!A62</f>
        <v>301</v>
      </c>
      <c r="C26" s="34" t="str">
        <f>VLOOKUP($B26,[47]TrtCodes!$B$11:I105,2)</f>
        <v>NTL</v>
      </c>
      <c r="D26" s="34">
        <f>VLOOKUP($B26,[47]TrtCodes!$B$11:J105,3)</f>
        <v>10</v>
      </c>
      <c r="E26" s="34">
        <f>VLOOKUP($B26,[47]TrtCodes!$B$11:K105,4)</f>
        <v>2</v>
      </c>
      <c r="F26" s="34">
        <f>VLOOKUP($B26,[47]TrtCodes!$B$11:L105,5)</f>
        <v>2</v>
      </c>
      <c r="G26" s="34">
        <f>VLOOKUP($B26,[47]TrtCodes!$B$11:M105,6)</f>
        <v>1</v>
      </c>
      <c r="H26" s="34">
        <f>VLOOKUP($B26,[47]TrtCodes!$B$11:N105,7)</f>
        <v>3</v>
      </c>
      <c r="I26" s="34">
        <f>[47]FormattedData!B62</f>
        <v>1</v>
      </c>
      <c r="J26" s="37">
        <f>[47]FormattedData!C62</f>
        <v>13.141999999999999</v>
      </c>
      <c r="K26" s="39">
        <f>$J$3+[47]FormattedData!D62*$J$4+$M$4*$J$5+[47]FormattedData!D62^2*$J$6+$M$5*$J$7</f>
        <v>55.329648042662122</v>
      </c>
      <c r="L26" s="39">
        <f>$J$3+[47]FormattedData!E62*$J$4+$M$4*$J$5+[47]FormattedData!E62^2*$J$6+$M$5*$J$7</f>
        <v>55.072556445635826</v>
      </c>
      <c r="M26" s="39">
        <f>$J$3+[47]FormattedData!F62*$J$4+$M$4*$J$5+[47]FormattedData!F62^2*$J$6+$M$5*$J$7</f>
        <v>55.842689986190557</v>
      </c>
      <c r="N26" s="39">
        <f>$J$3+[47]FormattedData!G62*$J$4+$M$4*$J$5+[47]FormattedData!G62^2*$J$6+$M$5*$J$7</f>
        <v>55.58635922284703</v>
      </c>
      <c r="O26" s="39">
        <f>$J$3+[47]FormattedData!H62*$J$4+$M$4*$J$5+[47]FormattedData!H62^2*$J$6+$M$5*$J$7</f>
        <v>54.986774709551206</v>
      </c>
      <c r="P26" s="39">
        <f>$J$3+[47]FormattedData!I62*$J$4+$M$4*$J$5+[47]FormattedData!I62^2*$J$6+$M$5*$J$7</f>
        <v>54.72917589006974</v>
      </c>
      <c r="Q26" s="39">
        <f>$J$3+[47]FormattedData!J62*$J$4+$M$4*$J$5+[47]FormattedData!J62^2*$J$6+$M$5*$J$7</f>
        <v>55.329648042662122</v>
      </c>
      <c r="R26" s="39">
        <f>$J$3+[47]FormattedData!K62*$J$4+$M$4*$J$5+[47]FormattedData!K62^2*$J$6+$M$5*$J$7</f>
        <v>56.354210262353476</v>
      </c>
      <c r="S26" s="39">
        <f>$J$3+[47]FormattedData!L62*$J$4+$M$4*$J$5+[47]FormattedData!L62^2*$J$6+$M$5*$J$7</f>
        <v>56.013365819063253</v>
      </c>
      <c r="T26" s="39">
        <f>$J$3+[47]FormattedData!M62*$J$4+$M$4*$J$5+[47]FormattedData!M62^2*$J$6+$M$5*$J$7</f>
        <v>55.67184507916614</v>
      </c>
      <c r="U26" s="39">
        <f>$J$3+[47]FormattedData!N62*$J$4+$M$4*$J$5+[47]FormattedData!N62^2*$J$6+$M$5*$J$7</f>
        <v>55.757288666947318</v>
      </c>
      <c r="V26" s="39">
        <f>$J$3+[47]FormattedData!O62*$J$4+$M$4*$J$5+[47]FormattedData!O62^2*$J$6+$M$5*$J$7</f>
        <v>55.072556445635826</v>
      </c>
      <c r="W26" s="38">
        <f>AVERAGE(K26:V26)</f>
        <v>55.47884321773207</v>
      </c>
      <c r="X26" s="37">
        <f>STDEV(K26:V26)/SQRT(COUNT(K26:V26))</f>
        <v>0.13733106495218944</v>
      </c>
      <c r="Y26" s="36">
        <f>MIN(K26:V26)</f>
        <v>54.72917589006974</v>
      </c>
      <c r="Z26" s="35">
        <f>QUARTILE(K26:V26,1)</f>
        <v>55.072556445635826</v>
      </c>
      <c r="AA26" s="36">
        <f>MEDIAN(K26:V26)</f>
        <v>55.458003632754576</v>
      </c>
      <c r="AB26" s="35">
        <f>QUARTILE(K26:V26,3)</f>
        <v>55.778638996758126</v>
      </c>
      <c r="AC26" s="35">
        <f>MAX(K26:V26)</f>
        <v>56.354210262353476</v>
      </c>
      <c r="AD26" s="35">
        <f>SKEW(K26:V26)</f>
        <v>0.22336020688388322</v>
      </c>
      <c r="AE26" s="35">
        <f>KURT(K26:V26)</f>
        <v>-0.57595487360195818</v>
      </c>
    </row>
    <row r="27" spans="2:31" x14ac:dyDescent="0.2">
      <c r="B27" s="34">
        <f>[47]FormattedData!A64</f>
        <v>302</v>
      </c>
      <c r="C27" s="34" t="str">
        <f>VLOOKUP($B27,[47]TrtCodes!$B$11:I107,2)</f>
        <v>FTL</v>
      </c>
      <c r="D27" s="34">
        <f>VLOOKUP($B27,[47]TrtCodes!$B$11:J107,3)</f>
        <v>4</v>
      </c>
      <c r="E27" s="34">
        <f>VLOOKUP($B27,[47]TrtCodes!$B$11:K107,4)</f>
        <v>1</v>
      </c>
      <c r="F27" s="34">
        <f>VLOOKUP($B27,[47]TrtCodes!$B$11:L107,5)</f>
        <v>2</v>
      </c>
      <c r="G27" s="34">
        <f>VLOOKUP($B27,[47]TrtCodes!$B$11:M107,6)</f>
        <v>1</v>
      </c>
      <c r="H27" s="34">
        <f>VLOOKUP($B27,[47]TrtCodes!$B$11:N107,7)</f>
        <v>3</v>
      </c>
      <c r="I27" s="34">
        <f>[47]FormattedData!B64</f>
        <v>1</v>
      </c>
      <c r="J27" s="37">
        <f>[47]FormattedData!C64</f>
        <v>13.147</v>
      </c>
      <c r="K27" s="39">
        <f>$J$3+[47]FormattedData!D64*$J$4+$M$4*$J$5+[47]FormattedData!D64^2*$J$6+$M$5*$J$7</f>
        <v>55.928049036895871</v>
      </c>
      <c r="L27" s="39">
        <f>$J$3+[47]FormattedData!E64*$J$4+$M$4*$J$5+[47]FormattedData!E64^2*$J$6+$M$5*$J$7</f>
        <v>55.757288666947318</v>
      </c>
      <c r="M27" s="39">
        <f>$J$3+[47]FormattedData!F64*$J$4+$M$4*$J$5+[47]FormattedData!F64^2*$J$6+$M$5*$J$7</f>
        <v>55.928049036895871</v>
      </c>
      <c r="N27" s="39">
        <f>$J$3+[47]FormattedData!G64*$J$4+$M$4*$J$5+[47]FormattedData!G64^2*$J$6+$M$5*$J$7</f>
        <v>56.09864033269271</v>
      </c>
      <c r="O27" s="39">
        <f>$J$3+[47]FormattedData!H64*$J$4+$M$4*$J$5+[47]FormattedData!H64^2*$J$6+$M$5*$J$7</f>
        <v>55.158295913182528</v>
      </c>
      <c r="P27" s="39">
        <f>$J$3+[47]FormattedData!I64*$J$4+$M$4*$J$5+[47]FormattedData!I64^2*$J$6+$M$5*$J$7</f>
        <v>54.900950704928647</v>
      </c>
      <c r="Q27" s="39">
        <f>$J$3+[47]FormattedData!J64*$J$4+$M$4*$J$5+[47]FormattedData!J64^2*$J$6+$M$5*$J$7</f>
        <v>54.986774709551206</v>
      </c>
      <c r="R27" s="39">
        <f>$J$3+[47]FormattedData!K64*$J$4+$M$4*$J$5+[47]FormattedData!K64^2*$J$6+$M$5*$J$7</f>
        <v>55.072556445635826</v>
      </c>
      <c r="S27" s="39">
        <f>$J$3+[47]FormattedData!L64*$J$4+$M$4*$J$5+[47]FormattedData!L64^2*$J$6+$M$5*$J$7</f>
        <v>54.72917589006974</v>
      </c>
      <c r="T27" s="39">
        <f>$J$3+[47]FormattedData!M64*$J$4+$M$4*$J$5+[47]FormattedData!M64^2*$J$6+$M$5*$J$7</f>
        <v>55.67184507916614</v>
      </c>
      <c r="U27" s="39">
        <f>$J$3+[47]FormattedData!N64*$J$4+$M$4*$J$5+[47]FormattedData!N64^2*$J$6+$M$5*$J$7</f>
        <v>55.415260704595021</v>
      </c>
      <c r="V27" s="39">
        <f>$J$3+[47]FormattedData!O64*$J$4+$M$4*$J$5+[47]FormattedData!O64^2*$J$6+$M$5*$J$7</f>
        <v>54.471196653746901</v>
      </c>
      <c r="W27" s="38">
        <f>AVERAGE(K27:V27)</f>
        <v>55.343173597858986</v>
      </c>
      <c r="X27" s="37">
        <f>STDEV(K27:V27)/SQRT(COUNT(K27:V27))</f>
        <v>0.15341893926353212</v>
      </c>
      <c r="Y27" s="36">
        <f>MIN(K27:V27)</f>
        <v>54.471196653746901</v>
      </c>
      <c r="Z27" s="35">
        <f>QUARTILE(K27:V27,1)</f>
        <v>54.965318708395564</v>
      </c>
      <c r="AA27" s="36">
        <f>MEDIAN(K27:V27)</f>
        <v>55.286778308888771</v>
      </c>
      <c r="AB27" s="35">
        <f>QUARTILE(K27:V27,3)</f>
        <v>55.799978759434453</v>
      </c>
      <c r="AC27" s="35">
        <f>MAX(K27:V27)</f>
        <v>56.09864033269271</v>
      </c>
      <c r="AD27" s="35">
        <f>SKEW(K27:V27)</f>
        <v>-8.2959314702769224E-2</v>
      </c>
      <c r="AE27" s="35">
        <f>KURT(K27:V27)</f>
        <v>-1.3035459989551388</v>
      </c>
    </row>
    <row r="28" spans="2:31" x14ac:dyDescent="0.2">
      <c r="B28" s="34">
        <f>[47]FormattedData!A66</f>
        <v>303</v>
      </c>
      <c r="C28" s="34" t="str">
        <f>VLOOKUP($B28,[47]TrtCodes!$B$11:I109,2)</f>
        <v>NSL</v>
      </c>
      <c r="D28" s="34">
        <f>VLOOKUP($B28,[47]TrtCodes!$B$11:J109,3)</f>
        <v>8</v>
      </c>
      <c r="E28" s="34">
        <f>VLOOKUP($B28,[47]TrtCodes!$B$11:K109,4)</f>
        <v>2</v>
      </c>
      <c r="F28" s="34">
        <f>VLOOKUP($B28,[47]TrtCodes!$B$11:L109,5)</f>
        <v>1</v>
      </c>
      <c r="G28" s="34">
        <f>VLOOKUP($B28,[47]TrtCodes!$B$11:M109,6)</f>
        <v>1</v>
      </c>
      <c r="H28" s="34">
        <f>VLOOKUP($B28,[47]TrtCodes!$B$11:N109,7)</f>
        <v>3</v>
      </c>
      <c r="I28" s="34">
        <f>[47]FormattedData!B66</f>
        <v>1</v>
      </c>
      <c r="J28" s="37">
        <f>[47]FormattedData!C66</f>
        <v>13.151999999999999</v>
      </c>
      <c r="K28" s="39">
        <f>$J$3+[47]FormattedData!D66*$J$4+$M$4*$J$5+[47]FormattedData!D66^2*$J$6+$M$5*$J$7</f>
        <v>53.694976443730077</v>
      </c>
      <c r="L28" s="39">
        <f>$J$3+[47]FormattedData!E66*$J$4+$M$4*$J$5+[47]FormattedData!E66^2*$J$6+$M$5*$J$7</f>
        <v>54.38511903789675</v>
      </c>
      <c r="M28" s="39">
        <f>$J$3+[47]FormattedData!F66*$J$4+$M$4*$J$5+[47]FormattedData!F66^2*$J$6+$M$5*$J$7</f>
        <v>56.949060699401009</v>
      </c>
      <c r="N28" s="39">
        <f>$J$3+[47]FormattedData!G66*$J$4+$M$4*$J$5+[47]FormattedData!G66^2*$J$6+$M$5*$J$7</f>
        <v>54.643225079833385</v>
      </c>
      <c r="O28" s="39">
        <f>$J$3+[47]FormattedData!H66*$J$4+$M$4*$J$5+[47]FormattedData!H66^2*$J$6+$M$5*$J$7</f>
        <v>56.354210262353476</v>
      </c>
      <c r="P28" s="39">
        <f>$J$3+[47]FormattedData!I66*$J$4+$M$4*$J$5+[47]FormattedData!I66^2*$J$6+$M$5*$J$7</f>
        <v>53.954096930577066</v>
      </c>
      <c r="Q28" s="39">
        <f>$J$3+[47]FormattedData!J66*$J$4+$M$4*$J$5+[47]FormattedData!J66^2*$J$6+$M$5*$J$7</f>
        <v>56.694378409036794</v>
      </c>
      <c r="R28" s="39">
        <f>$J$3+[47]FormattedData!K66*$J$4+$M$4*$J$5+[47]FormattedData!K66^2*$J$6+$M$5*$J$7</f>
        <v>55.928049036895871</v>
      </c>
      <c r="S28" s="39">
        <f>$J$3+[47]FormattedData!L66*$J$4+$M$4*$J$5+[47]FormattedData!L66^2*$J$6+$M$5*$J$7</f>
        <v>57.372685812582745</v>
      </c>
      <c r="T28" s="39">
        <f>$J$3+[47]FormattedData!M66*$J$4+$M$4*$J$5+[47]FormattedData!M66^2*$J$6+$M$5*$J$7</f>
        <v>53.867765703499344</v>
      </c>
      <c r="U28" s="39">
        <f>$J$3+[47]FormattedData!N66*$J$4+$M$4*$J$5+[47]FormattedData!N66^2*$J$6+$M$5*$J$7</f>
        <v>56.354210262353476</v>
      </c>
      <c r="V28" s="39">
        <f>$J$3+[47]FormattedData!O66*$J$4+$M$4*$J$5+[47]FormattedData!O66^2*$J$6+$M$5*$J$7</f>
        <v>55.329648042662122</v>
      </c>
      <c r="W28" s="38">
        <f>AVERAGE(K28:V28)</f>
        <v>55.460618810068517</v>
      </c>
      <c r="X28" s="37">
        <f>STDEV(K28:V28)/SQRT(COUNT(K28:V28))</f>
        <v>0.37914769232512879</v>
      </c>
      <c r="Y28" s="36">
        <f>MIN(K28:V28)</f>
        <v>53.694976443730077</v>
      </c>
      <c r="Z28" s="35">
        <f>QUARTILE(K28:V28,1)</f>
        <v>54.277363511066831</v>
      </c>
      <c r="AA28" s="36">
        <f>MEDIAN(K28:V28)</f>
        <v>55.628848539779</v>
      </c>
      <c r="AB28" s="35">
        <f>QUARTILE(K28:V28,3)</f>
        <v>56.439252299024304</v>
      </c>
      <c r="AC28" s="35">
        <f>MAX(K28:V28)</f>
        <v>57.372685812582745</v>
      </c>
      <c r="AD28" s="35">
        <f>SKEW(K28:V28)</f>
        <v>-5.1137871698881766E-2</v>
      </c>
      <c r="AE28" s="35">
        <f>KURT(K28:V28)</f>
        <v>-1.650096955045226</v>
      </c>
    </row>
    <row r="29" spans="2:31" x14ac:dyDescent="0.2">
      <c r="B29" s="34">
        <f>[47]FormattedData!A68</f>
        <v>304</v>
      </c>
      <c r="C29" s="34" t="str">
        <f>VLOOKUP($B29,[47]TrtCodes!$B$11:I111,2)</f>
        <v>FSL</v>
      </c>
      <c r="D29" s="34">
        <f>VLOOKUP($B29,[47]TrtCodes!$B$11:J111,3)</f>
        <v>2</v>
      </c>
      <c r="E29" s="34">
        <f>VLOOKUP($B29,[47]TrtCodes!$B$11:K111,4)</f>
        <v>1</v>
      </c>
      <c r="F29" s="34">
        <f>VLOOKUP($B29,[47]TrtCodes!$B$11:L111,5)</f>
        <v>1</v>
      </c>
      <c r="G29" s="34">
        <f>VLOOKUP($B29,[47]TrtCodes!$B$11:M111,6)</f>
        <v>1</v>
      </c>
      <c r="H29" s="34">
        <f>VLOOKUP($B29,[47]TrtCodes!$B$11:N111,7)</f>
        <v>3</v>
      </c>
      <c r="I29" s="34">
        <f>[47]FormattedData!B68</f>
        <v>1</v>
      </c>
      <c r="J29" s="37">
        <f>[47]FormattedData!C68</f>
        <v>13.157</v>
      </c>
      <c r="K29" s="39">
        <f>$J$3+[47]FormattedData!D68*$J$4+$M$4*$J$5+[47]FormattedData!D68^2*$J$6+$M$5*$J$7</f>
        <v>57.541839978089918</v>
      </c>
      <c r="L29" s="39">
        <f>$J$3+[47]FormattedData!E68*$J$4+$M$4*$J$5+[47]FormattedData!E68^2*$J$6+$M$5*$J$7</f>
        <v>55.500831097989987</v>
      </c>
      <c r="M29" s="39">
        <f>$J$3+[47]FormattedData!F68*$J$4+$M$4*$J$5+[47]FormattedData!F68^2*$J$6+$M$5*$J$7</f>
        <v>56.269062554337815</v>
      </c>
      <c r="N29" s="39">
        <f>$J$3+[47]FormattedData!G68*$J$4+$M$4*$J$5+[47]FormattedData!G68^2*$J$6+$M$5*$J$7</f>
        <v>55.158295913182528</v>
      </c>
      <c r="O29" s="39">
        <f>$J$3+[47]FormattedData!H68*$J$4+$M$4*$J$5+[47]FormattedData!H68^2*$J$6+$M$5*$J$7</f>
        <v>57.795254212316202</v>
      </c>
      <c r="P29" s="39">
        <f>$J$3+[47]FormattedData!I68*$J$4+$M$4*$J$5+[47]FormattedData!I68^2*$J$6+$M$5*$J$7</f>
        <v>56.183872577784228</v>
      </c>
      <c r="Q29" s="39">
        <f>$J$3+[47]FormattedData!J68*$J$4+$M$4*$J$5+[47]FormattedData!J68^2*$J$6+$M$5*$J$7</f>
        <v>57.28804532702226</v>
      </c>
      <c r="R29" s="39">
        <f>$J$3+[47]FormattedData!K68*$J$4+$M$4*$J$5+[47]FormattedData!K68^2*$J$6+$M$5*$J$7</f>
        <v>54.72917589006974</v>
      </c>
      <c r="S29" s="39">
        <f>$J$3+[47]FormattedData!L68*$J$4+$M$4*$J$5+[47]FormattedData!L68^2*$J$6+$M$5*$J$7</f>
        <v>57.626353658036606</v>
      </c>
      <c r="T29" s="39">
        <f>$J$3+[47]FormattedData!M68*$J$4+$M$4*$J$5+[47]FormattedData!M68^2*$J$6+$M$5*$J$7</f>
        <v>54.900950704928647</v>
      </c>
      <c r="U29" s="39">
        <f>$J$3+[47]FormattedData!N68*$J$4+$M$4*$J$5+[47]FormattedData!N68^2*$J$6+$M$5*$J$7</f>
        <v>57.118637550287495</v>
      </c>
      <c r="V29" s="39">
        <f>$J$3+[47]FormattedData!O68*$J$4+$M$4*$J$5+[47]FormattedData!O68^2*$J$6+$M$5*$J$7</f>
        <v>55.500831097989987</v>
      </c>
      <c r="W29" s="38">
        <f>AVERAGE(K29:V29)</f>
        <v>56.301095880169612</v>
      </c>
      <c r="X29" s="37">
        <f>STDEV(K29:V29)/SQRT(COUNT(K29:V29))</f>
        <v>0.32802961364165345</v>
      </c>
      <c r="Y29" s="36">
        <f>MIN(K29:V29)</f>
        <v>54.72917589006974</v>
      </c>
      <c r="Z29" s="35">
        <f>QUARTILE(K29:V29,1)</f>
        <v>55.415197301788126</v>
      </c>
      <c r="AA29" s="36">
        <f>MEDIAN(K29:V29)</f>
        <v>56.226467566061018</v>
      </c>
      <c r="AB29" s="35">
        <f>QUARTILE(K29:V29,3)</f>
        <v>57.351493989789176</v>
      </c>
      <c r="AC29" s="35">
        <f>MAX(K29:V29)</f>
        <v>57.795254212316202</v>
      </c>
      <c r="AD29" s="35">
        <f>SKEW(K29:V29)</f>
        <v>-4.9804711960532806E-3</v>
      </c>
      <c r="AE29" s="35">
        <f>KURT(K29:V29)</f>
        <v>-1.7359121176710133</v>
      </c>
    </row>
    <row r="30" spans="2:31" x14ac:dyDescent="0.2">
      <c r="B30" s="34">
        <f>[47]FormattedData!A70</f>
        <v>305</v>
      </c>
      <c r="C30" s="34" t="str">
        <f>VLOOKUP($B30,[47]TrtCodes!$B$11:I113,2)</f>
        <v>NDH</v>
      </c>
      <c r="D30" s="34">
        <f>VLOOKUP($B30,[47]TrtCodes!$B$11:J113,3)</f>
        <v>11</v>
      </c>
      <c r="E30" s="34">
        <f>VLOOKUP($B30,[47]TrtCodes!$B$11:K113,4)</f>
        <v>2</v>
      </c>
      <c r="F30" s="34">
        <f>VLOOKUP($B30,[47]TrtCodes!$B$11:L113,5)</f>
        <v>3</v>
      </c>
      <c r="G30" s="34">
        <f>VLOOKUP($B30,[47]TrtCodes!$B$11:M113,6)</f>
        <v>2</v>
      </c>
      <c r="H30" s="34">
        <f>VLOOKUP($B30,[47]TrtCodes!$B$11:N113,7)</f>
        <v>4</v>
      </c>
      <c r="I30" s="34">
        <f>[47]FormattedData!B70</f>
        <v>1</v>
      </c>
      <c r="J30" s="37">
        <f>[47]FormattedData!C70</f>
        <v>13.162000000000001</v>
      </c>
      <c r="K30" s="39">
        <f>$J$3+[47]FormattedData!D70*$J$4+$M$4*$J$5+[47]FormattedData!D70^2*$J$6+$M$5*$J$7</f>
        <v>50.643795519457719</v>
      </c>
      <c r="L30" s="39">
        <f>$J$3+[47]FormattedData!E70*$J$4+$M$4*$J$5+[47]FormattedData!E70^2*$J$6+$M$5*$J$7</f>
        <v>49.231724390600171</v>
      </c>
      <c r="M30" s="39">
        <f>$J$3+[47]FormattedData!F70*$J$4+$M$4*$J$5+[47]FormattedData!F70^2*$J$6+$M$5*$J$7</f>
        <v>51.695747751728454</v>
      </c>
      <c r="N30" s="39">
        <f>$J$3+[47]FormattedData!G70*$J$4+$M$4*$J$5+[47]FormattedData!G70^2*$J$6+$M$5*$J$7</f>
        <v>50.995122560154869</v>
      </c>
      <c r="O30" s="39">
        <f>$J$3+[47]FormattedData!H70*$J$4+$M$4*$J$5+[47]FormattedData!H70^2*$J$6+$M$5*$J$7</f>
        <v>50.819543576882154</v>
      </c>
      <c r="P30" s="39">
        <f>$J$3+[47]FormattedData!I70*$J$4+$M$4*$J$5+[47]FormattedData!I70^2*$J$6+$M$5*$J$7</f>
        <v>51.783135692254469</v>
      </c>
      <c r="Q30" s="39">
        <f>$J$3+[47]FormattedData!J70*$J$4+$M$4*$J$5+[47]FormattedData!J70^2*$J$6+$M$5*$J$7</f>
        <v>49.762519120059686</v>
      </c>
      <c r="R30" s="39">
        <f>$J$3+[47]FormattedData!K70*$J$4+$M$4*$J$5+[47]FormattedData!K70^2*$J$6+$M$5*$J$7</f>
        <v>51.957784767692687</v>
      </c>
      <c r="S30" s="39">
        <f>$J$3+[47]FormattedData!L70*$J$4+$M$4*$J$5+[47]FormattedData!L70^2*$J$6+$M$5*$J$7</f>
        <v>51.608317542664523</v>
      </c>
      <c r="T30" s="39">
        <f>$J$3+[47]FormattedData!M70*$J$4+$M$4*$J$5+[47]FormattedData!M70^2*$J$6+$M$5*$J$7</f>
        <v>50.907354202787481</v>
      </c>
      <c r="U30" s="39">
        <f>$J$3+[47]FormattedData!N70*$J$4+$M$4*$J$5+[47]FormattedData!N70^2*$J$6+$M$5*$J$7</f>
        <v>49.14311066247415</v>
      </c>
      <c r="V30" s="39">
        <f>$J$3+[47]FormattedData!O70*$J$4+$M$4*$J$5+[47]FormattedData!O70^2*$J$6+$M$5*$J$7</f>
        <v>50.819543576882154</v>
      </c>
      <c r="W30" s="38">
        <f>AVERAGE(K30:V30)</f>
        <v>50.780641613636533</v>
      </c>
      <c r="X30" s="37">
        <f>STDEV(K30:V30)/SQRT(COUNT(K30:V30))</f>
        <v>0.27680761831674888</v>
      </c>
      <c r="Y30" s="36">
        <f>MIN(K30:V30)</f>
        <v>49.14311066247415</v>
      </c>
      <c r="Z30" s="35">
        <f>QUARTILE(K30:V30,1)</f>
        <v>50.423476419608207</v>
      </c>
      <c r="AA30" s="36">
        <f>MEDIAN(K30:V30)</f>
        <v>50.863448889834814</v>
      </c>
      <c r="AB30" s="35">
        <f>QUARTILE(K30:V30,3)</f>
        <v>51.630175094930507</v>
      </c>
      <c r="AC30" s="35">
        <f>MAX(K30:V30)</f>
        <v>51.957784767692687</v>
      </c>
      <c r="AD30" s="35">
        <f>SKEW(K30:V30)</f>
        <v>-0.64106590756913906</v>
      </c>
      <c r="AE30" s="35">
        <f>KURT(K30:V30)</f>
        <v>-0.65521798050489499</v>
      </c>
    </row>
    <row r="31" spans="2:31" x14ac:dyDescent="0.2">
      <c r="B31" s="34">
        <f>[47]FormattedData!A72</f>
        <v>306</v>
      </c>
      <c r="C31" s="34" t="str">
        <f>VLOOKUP($B31,[47]TrtCodes!$B$11:I115,2)</f>
        <v>FTL</v>
      </c>
      <c r="D31" s="34">
        <f>VLOOKUP($B31,[47]TrtCodes!$B$11:J115,3)</f>
        <v>4</v>
      </c>
      <c r="E31" s="34">
        <f>VLOOKUP($B31,[47]TrtCodes!$B$11:K115,4)</f>
        <v>1</v>
      </c>
      <c r="F31" s="34">
        <f>VLOOKUP($B31,[47]TrtCodes!$B$11:L115,5)</f>
        <v>2</v>
      </c>
      <c r="G31" s="34">
        <f>VLOOKUP($B31,[47]TrtCodes!$B$11:M115,6)</f>
        <v>1</v>
      </c>
      <c r="H31" s="34">
        <f>VLOOKUP($B31,[47]TrtCodes!$B$11:N115,7)</f>
        <v>4</v>
      </c>
      <c r="I31" s="34">
        <f>[47]FormattedData!B72</f>
        <v>1</v>
      </c>
      <c r="J31" s="37">
        <f>[47]FormattedData!C72</f>
        <v>13.167</v>
      </c>
      <c r="K31" s="39">
        <f>$J$3+[47]FormattedData!D72*$J$4+$M$4*$J$5+[47]FormattedData!D72^2*$J$6+$M$5*$J$7</f>
        <v>55.329648042662122</v>
      </c>
      <c r="L31" s="39">
        <f>$J$3+[47]FormattedData!E72*$J$4+$M$4*$J$5+[47]FormattedData!E72^2*$J$6+$M$5*$J$7</f>
        <v>54.298999153508682</v>
      </c>
      <c r="M31" s="39">
        <f>$J$3+[47]FormattedData!F72*$J$4+$M$4*$J$5+[47]FormattedData!F72^2*$J$6+$M$5*$J$7</f>
        <v>54.72917589006974</v>
      </c>
      <c r="N31" s="39">
        <f>$J$3+[47]FormattedData!G72*$J$4+$M$4*$J$5+[47]FormattedData!G72^2*$J$6+$M$5*$J$7</f>
        <v>55.67184507916614</v>
      </c>
      <c r="O31" s="39">
        <f>$J$3+[47]FormattedData!H72*$J$4+$M$4*$J$5+[47]FormattedData!H72^2*$J$6+$M$5*$J$7</f>
        <v>57.541839978089918</v>
      </c>
      <c r="P31" s="39">
        <f>$J$3+[47]FormattedData!I72*$J$4+$M$4*$J$5+[47]FormattedData!I72^2*$J$6+$M$5*$J$7</f>
        <v>55.500831097989987</v>
      </c>
      <c r="Q31" s="39">
        <f>$J$3+[47]FormattedData!J72*$J$4+$M$4*$J$5+[47]FormattedData!J72^2*$J$6+$M$5*$J$7</f>
        <v>57.203362572923837</v>
      </c>
      <c r="R31" s="39">
        <f>$J$3+[47]FormattedData!K72*$J$4+$M$4*$J$5+[47]FormattedData!K72^2*$J$6+$M$5*$J$7</f>
        <v>55.67184507916614</v>
      </c>
      <c r="S31" s="39">
        <f>$J$3+[47]FormattedData!L72*$J$4+$M$4*$J$5+[47]FormattedData!L72^2*$J$6+$M$5*$J$7</f>
        <v>56.354210262353476</v>
      </c>
      <c r="T31" s="39">
        <f>$J$3+[47]FormattedData!M72*$J$4+$M$4*$J$5+[47]FormattedData!M72^2*$J$6+$M$5*$J$7</f>
        <v>55.757288666947318</v>
      </c>
      <c r="U31" s="39">
        <f>$J$3+[47]FormattedData!N72*$J$4+$M$4*$J$5+[47]FormattedData!N72^2*$J$6+$M$5*$J$7</f>
        <v>56.524378872771003</v>
      </c>
      <c r="V31" s="39">
        <f>$J$3+[47]FormattedData!O72*$J$4+$M$4*$J$5+[47]FormattedData!O72^2*$J$6+$M$5*$J$7</f>
        <v>55.757288666947318</v>
      </c>
      <c r="W31" s="38">
        <f>AVERAGE(K31:V31)</f>
        <v>55.861726113549629</v>
      </c>
      <c r="X31" s="37">
        <f>STDEV(K31:V31)/SQRT(COUNT(K31:V31))</f>
        <v>0.26878630303264711</v>
      </c>
      <c r="Y31" s="36">
        <f>MIN(K31:V31)</f>
        <v>54.298999153508682</v>
      </c>
      <c r="Z31" s="35">
        <f>QUARTILE(K31:V31,1)</f>
        <v>55.458035334158019</v>
      </c>
      <c r="AA31" s="36">
        <f>MEDIAN(K31:V31)</f>
        <v>55.714566873056725</v>
      </c>
      <c r="AB31" s="35">
        <f>QUARTILE(K31:V31,3)</f>
        <v>56.396752414957859</v>
      </c>
      <c r="AC31" s="35">
        <f>MAX(K31:V31)</f>
        <v>57.541839978089918</v>
      </c>
      <c r="AD31" s="35">
        <f>SKEW(K31:V31)</f>
        <v>0.28181371674638689</v>
      </c>
      <c r="AE31" s="35">
        <f>KURT(K31:V31)</f>
        <v>-1.4556873320442421E-2</v>
      </c>
    </row>
    <row r="32" spans="2:31" x14ac:dyDescent="0.2">
      <c r="B32" s="34">
        <f>[47]FormattedData!A74</f>
        <v>307</v>
      </c>
      <c r="C32" s="34" t="str">
        <f>VLOOKUP($B32,[47]TrtCodes!$B$11:I117,2)</f>
        <v>NTH</v>
      </c>
      <c r="D32" s="34">
        <f>VLOOKUP($B32,[47]TrtCodes!$B$11:J117,3)</f>
        <v>9</v>
      </c>
      <c r="E32" s="34">
        <f>VLOOKUP($B32,[47]TrtCodes!$B$11:K117,4)</f>
        <v>2</v>
      </c>
      <c r="F32" s="34">
        <f>VLOOKUP($B32,[47]TrtCodes!$B$11:L117,5)</f>
        <v>2</v>
      </c>
      <c r="G32" s="34">
        <f>VLOOKUP($B32,[47]TrtCodes!$B$11:M117,6)</f>
        <v>2</v>
      </c>
      <c r="H32" s="34">
        <f>VLOOKUP($B32,[47]TrtCodes!$B$11:N117,7)</f>
        <v>4</v>
      </c>
      <c r="I32" s="34">
        <f>[47]FormattedData!B74</f>
        <v>1</v>
      </c>
      <c r="J32" s="37">
        <f>[47]FormattedData!C74</f>
        <v>13.170999999999999</v>
      </c>
      <c r="K32" s="39">
        <f>$J$3+[47]FormattedData!D74*$J$4+$M$4*$J$5+[47]FormattedData!D74^2*$J$6+$M$5*$J$7</f>
        <v>57.28804532702226</v>
      </c>
      <c r="L32" s="39">
        <f>$J$3+[47]FormattedData!E74*$J$4+$M$4*$J$5+[47]FormattedData!E74^2*$J$6+$M$5*$J$7</f>
        <v>54.557232001059113</v>
      </c>
      <c r="M32" s="39">
        <f>$J$3+[47]FormattedData!F74*$J$4+$M$4*$J$5+[47]FormattedData!F74^2*$J$6+$M$5*$J$7</f>
        <v>55.500831097989987</v>
      </c>
      <c r="N32" s="39">
        <f>$J$3+[47]FormattedData!G74*$J$4+$M$4*$J$5+[47]FormattedData!G74^2*$J$6+$M$5*$J$7</f>
        <v>55.67184507916614</v>
      </c>
      <c r="O32" s="39">
        <f>$J$3+[47]FormattedData!H74*$J$4+$M$4*$J$5+[47]FormattedData!H74^2*$J$6+$M$5*$J$7</f>
        <v>58.132548098420209</v>
      </c>
      <c r="P32" s="39">
        <f>$J$3+[47]FormattedData!I74*$J$4+$M$4*$J$5+[47]FormattedData!I74^2*$J$6+$M$5*$J$7</f>
        <v>55.928049036895871</v>
      </c>
      <c r="Q32" s="39">
        <f>$J$3+[47]FormattedData!J74*$J$4+$M$4*$J$5+[47]FormattedData!J74^2*$J$6+$M$5*$J$7</f>
        <v>57.879641086649094</v>
      </c>
      <c r="R32" s="39">
        <f>$J$3+[47]FormattedData!K74*$J$4+$M$4*$J$5+[47]FormattedData!K74^2*$J$6+$M$5*$J$7</f>
        <v>56.183872577784228</v>
      </c>
      <c r="S32" s="39">
        <f>$J$3+[47]FormattedData!L74*$J$4+$M$4*$J$5+[47]FormattedData!L74^2*$J$6+$M$5*$J$7</f>
        <v>56.779314774362788</v>
      </c>
      <c r="T32" s="39">
        <f>$J$3+[47]FormattedData!M74*$J$4+$M$4*$J$5+[47]FormattedData!M74^2*$J$6+$M$5*$J$7</f>
        <v>56.183872577784228</v>
      </c>
      <c r="U32" s="39">
        <f>$J$3+[47]FormattedData!N74*$J$4+$M$4*$J$5+[47]FormattedData!N74^2*$J$6+$M$5*$J$7</f>
        <v>57.28804532702226</v>
      </c>
      <c r="V32" s="39">
        <f>$J$3+[47]FormattedData!O74*$J$4+$M$4*$J$5+[47]FormattedData!O74^2*$J$6+$M$5*$J$7</f>
        <v>57.118637550287495</v>
      </c>
      <c r="W32" s="38">
        <f>AVERAGE(K32:V32)</f>
        <v>56.542661211203637</v>
      </c>
      <c r="X32" s="37">
        <f>STDEV(K32:V32)/SQRT(COUNT(K32:V32))</f>
        <v>0.30445020833287656</v>
      </c>
      <c r="Y32" s="36">
        <f>MIN(K32:V32)</f>
        <v>54.557232001059113</v>
      </c>
      <c r="Z32" s="35">
        <f>QUARTILE(K32:V32,1)</f>
        <v>55.86399804746344</v>
      </c>
      <c r="AA32" s="36">
        <f>MEDIAN(K32:V32)</f>
        <v>56.481593676073508</v>
      </c>
      <c r="AB32" s="35">
        <f>QUARTILE(K32:V32,3)</f>
        <v>57.28804532702226</v>
      </c>
      <c r="AC32" s="35">
        <f>MAX(K32:V32)</f>
        <v>58.132548098420209</v>
      </c>
      <c r="AD32" s="35">
        <f>SKEW(K32:V32)</f>
        <v>-0.23257009304808227</v>
      </c>
      <c r="AE32" s="35">
        <f>KURT(K32:V32)</f>
        <v>-0.4946485863553316</v>
      </c>
    </row>
    <row r="33" spans="2:31" x14ac:dyDescent="0.2">
      <c r="B33" s="34">
        <f>[47]FormattedData!A76</f>
        <v>308</v>
      </c>
      <c r="C33" s="34" t="str">
        <f>VLOOKUP($B33,[47]TrtCodes!$B$11:I119,2)</f>
        <v>FDH</v>
      </c>
      <c r="D33" s="34">
        <f>VLOOKUP($B33,[47]TrtCodes!$B$11:J119,3)</f>
        <v>5</v>
      </c>
      <c r="E33" s="34">
        <f>VLOOKUP($B33,[47]TrtCodes!$B$11:K119,4)</f>
        <v>1</v>
      </c>
      <c r="F33" s="34">
        <f>VLOOKUP($B33,[47]TrtCodes!$B$11:L119,5)</f>
        <v>3</v>
      </c>
      <c r="G33" s="34">
        <f>VLOOKUP($B33,[47]TrtCodes!$B$11:M119,6)</f>
        <v>2</v>
      </c>
      <c r="H33" s="34">
        <f>VLOOKUP($B33,[47]TrtCodes!$B$11:N119,7)</f>
        <v>4</v>
      </c>
      <c r="I33" s="34">
        <f>[47]FormattedData!B76</f>
        <v>1</v>
      </c>
      <c r="J33" s="37">
        <f>[47]FormattedData!C76</f>
        <v>13.176</v>
      </c>
      <c r="K33" s="39">
        <f>$J$3+[47]FormattedData!D76*$J$4+$M$4*$J$5+[47]FormattedData!D76^2*$J$6+$M$5*$J$7</f>
        <v>55.072556445635826</v>
      </c>
      <c r="L33" s="39">
        <f>$J$3+[47]FormattedData!E76*$J$4+$M$4*$J$5+[47]FormattedData!E76^2*$J$6+$M$5*$J$7</f>
        <v>55.757288666947318</v>
      </c>
      <c r="M33" s="39">
        <f>$J$3+[47]FormattedData!F76*$J$4+$M$4*$J$5+[47]FormattedData!F76^2*$J$6+$M$5*$J$7</f>
        <v>54.298999153508682</v>
      </c>
      <c r="N33" s="39">
        <f>$J$3+[47]FormattedData!G76*$J$4+$M$4*$J$5+[47]FormattedData!G76^2*$J$6+$M$5*$J$7</f>
        <v>56.013365819063253</v>
      </c>
      <c r="O33" s="39">
        <f>$J$3+[47]FormattedData!H76*$J$4+$M$4*$J$5+[47]FormattedData!H76^2*$J$6+$M$5*$J$7</f>
        <v>53.348890701736401</v>
      </c>
      <c r="P33" s="39">
        <f>$J$3+[47]FormattedData!I76*$J$4+$M$4*$J$5+[47]FormattedData!I76^2*$J$6+$M$5*$J$7</f>
        <v>55.500831097989987</v>
      </c>
      <c r="Q33" s="39">
        <f>$J$3+[47]FormattedData!J76*$J$4+$M$4*$J$5+[47]FormattedData!J76^2*$J$6+$M$5*$J$7</f>
        <v>56.694378409036794</v>
      </c>
      <c r="R33" s="39">
        <f>$J$3+[47]FormattedData!K76*$J$4+$M$4*$J$5+[47]FormattedData!K76^2*$J$6+$M$5*$J$7</f>
        <v>55.928049036895871</v>
      </c>
      <c r="S33" s="39">
        <f>$J$3+[47]FormattedData!L76*$J$4+$M$4*$J$5+[47]FormattedData!L76^2*$J$6+$M$5*$J$7</f>
        <v>56.09864033269271</v>
      </c>
      <c r="T33" s="39">
        <f>$J$3+[47]FormattedData!M76*$J$4+$M$4*$J$5+[47]FormattedData!M76^2*$J$6+$M$5*$J$7</f>
        <v>55.500831097989987</v>
      </c>
      <c r="U33" s="39">
        <f>$J$3+[47]FormattedData!N76*$J$4+$M$4*$J$5+[47]FormattedData!N76^2*$J$6+$M$5*$J$7</f>
        <v>55.329648042662122</v>
      </c>
      <c r="V33" s="39">
        <f>$J$3+[47]FormattedData!O76*$J$4+$M$4*$J$5+[47]FormattedData!O76^2*$J$6+$M$5*$J$7</f>
        <v>55.329648042662122</v>
      </c>
      <c r="W33" s="38">
        <f>AVERAGE(K33:V33)</f>
        <v>55.406093903901763</v>
      </c>
      <c r="X33" s="37">
        <f>STDEV(K33:V33)/SQRT(COUNT(K33:V33))</f>
        <v>0.25379663882929271</v>
      </c>
      <c r="Y33" s="36">
        <f>MIN(K33:V33)</f>
        <v>53.348890701736401</v>
      </c>
      <c r="Z33" s="35">
        <f>QUARTILE(K33:V33,1)</f>
        <v>55.265375143405549</v>
      </c>
      <c r="AA33" s="36">
        <f>MEDIAN(K33:V33)</f>
        <v>55.500831097989987</v>
      </c>
      <c r="AB33" s="35">
        <f>QUARTILE(K33:V33,3)</f>
        <v>55.949378232437716</v>
      </c>
      <c r="AC33" s="35">
        <f>MAX(K33:V33)</f>
        <v>56.694378409036794</v>
      </c>
      <c r="AD33" s="35">
        <f>SKEW(K33:V33)</f>
        <v>-1.1589888595761175</v>
      </c>
      <c r="AE33" s="35">
        <f>KURT(K33:V33)</f>
        <v>1.9366252354296947</v>
      </c>
    </row>
    <row r="34" spans="2:31" x14ac:dyDescent="0.2">
      <c r="B34" s="34">
        <f>[47]FormattedData!A92</f>
        <v>401</v>
      </c>
      <c r="C34" s="34" t="str">
        <f>VLOOKUP($B34,[47]TrtCodes!$B$11:I129,2)</f>
        <v>NSH</v>
      </c>
      <c r="D34" s="34">
        <f>VLOOKUP($B34,[47]TrtCodes!$B$11:J129,3)</f>
        <v>7</v>
      </c>
      <c r="E34" s="34">
        <f>VLOOKUP($B34,[47]TrtCodes!$B$11:K129,4)</f>
        <v>2</v>
      </c>
      <c r="F34" s="34">
        <f>VLOOKUP($B34,[47]TrtCodes!$B$11:L129,5)</f>
        <v>1</v>
      </c>
      <c r="G34" s="34">
        <f>VLOOKUP($B34,[47]TrtCodes!$B$11:M129,6)</f>
        <v>2</v>
      </c>
      <c r="H34" s="34">
        <f>VLOOKUP($B34,[47]TrtCodes!$B$11:N129,7)</f>
        <v>3</v>
      </c>
      <c r="I34" s="34">
        <f>[47]FormattedData!B92</f>
        <v>1</v>
      </c>
      <c r="J34" s="37">
        <f>[47]FormattedData!C92</f>
        <v>13.255000000000001</v>
      </c>
      <c r="K34" s="39">
        <f>$J$3+[47]FormattedData!D92*$J$4+$M$4*$J$5+[47]FormattedData!D92^2*$J$6+$M$5*$J$7</f>
        <v>57.541839978089918</v>
      </c>
      <c r="L34" s="39">
        <f>$J$3+[47]FormattedData!E92*$J$4+$M$4*$J$5+[47]FormattedData!E92^2*$J$6+$M$5*$J$7</f>
        <v>57.541839978089918</v>
      </c>
      <c r="M34" s="39">
        <f>$J$3+[47]FormattedData!F92*$J$4+$M$4*$J$5+[47]FormattedData!F92^2*$J$6+$M$5*$J$7</f>
        <v>56.354210262353476</v>
      </c>
      <c r="N34" s="39">
        <f>$J$3+[47]FormattedData!G92*$J$4+$M$4*$J$5+[47]FormattedData!G92^2*$J$6+$M$5*$J$7</f>
        <v>57.626353658036606</v>
      </c>
      <c r="O34" s="39">
        <f>$J$3+[47]FormattedData!H92*$J$4+$M$4*$J$5+[47]FormattedData!H92^2*$J$6+$M$5*$J$7</f>
        <v>57.033870259113215</v>
      </c>
      <c r="P34" s="39">
        <f>$J$3+[47]FormattedData!I92*$J$4+$M$4*$J$5+[47]FormattedData!I92^2*$J$6+$M$5*$J$7</f>
        <v>58.216765898601381</v>
      </c>
      <c r="Q34" s="39">
        <f>$J$3+[47]FormattedData!J92*$J$4+$M$4*$J$5+[47]FormattedData!J92^2*$J$6+$M$5*$J$7</f>
        <v>57.541839978089918</v>
      </c>
      <c r="R34" s="39">
        <f>$J$3+[47]FormattedData!K92*$J$4+$M$4*$J$5+[47]FormattedData!K92^2*$J$6+$M$5*$J$7</f>
        <v>57.626353658036606</v>
      </c>
      <c r="S34" s="39">
        <f>$J$3+[47]FormattedData!L92*$J$4+$M$4*$J$5+[47]FormattedData!L92^2*$J$6+$M$5*$J$7</f>
        <v>57.710825069445377</v>
      </c>
      <c r="T34" s="39">
        <f>$J$3+[47]FormattedData!M92*$J$4+$M$4*$J$5+[47]FormattedData!M92^2*$J$6+$M$5*$J$7</f>
        <v>56.864208871150872</v>
      </c>
      <c r="U34" s="39">
        <f>$J$3+[47]FormattedData!N92*$J$4+$M$4*$J$5+[47]FormattedData!N92^2*$J$6+$M$5*$J$7</f>
        <v>56.779314774362788</v>
      </c>
      <c r="V34" s="39">
        <f>$J$3+[47]FormattedData!O92*$J$4+$M$4*$J$5+[47]FormattedData!O92^2*$J$6+$M$5*$J$7</f>
        <v>56.524378872771003</v>
      </c>
      <c r="W34" s="38">
        <f>AVERAGE(K34:V34)</f>
        <v>57.280150104845085</v>
      </c>
      <c r="X34" s="37">
        <f>STDEV(K34:V34)/SQRT(COUNT(K34:V34))</f>
        <v>0.16098513689423671</v>
      </c>
      <c r="Y34" s="36">
        <f>MIN(K34:V34)</f>
        <v>56.354210262353476</v>
      </c>
      <c r="Z34" s="35">
        <f>QUARTILE(K34:V34,1)</f>
        <v>56.842985346953853</v>
      </c>
      <c r="AA34" s="36">
        <f>MEDIAN(K34:V34)</f>
        <v>57.541839978089918</v>
      </c>
      <c r="AB34" s="35">
        <f>QUARTILE(K34:V34,3)</f>
        <v>57.626353658036606</v>
      </c>
      <c r="AC34" s="35">
        <f>MAX(K34:V34)</f>
        <v>58.216765898601381</v>
      </c>
      <c r="AD34" s="35">
        <f>SKEW(K34:V34)</f>
        <v>-0.25148130071794328</v>
      </c>
      <c r="AE34" s="35">
        <f>KURT(K34:V34)</f>
        <v>-0.76731782667199111</v>
      </c>
    </row>
    <row r="35" spans="2:31" x14ac:dyDescent="0.2">
      <c r="B35" s="34">
        <f>[47]FormattedData!A90</f>
        <v>402</v>
      </c>
      <c r="C35" s="34" t="str">
        <f>VLOOKUP($B35,[47]TrtCodes!$B$11:I130,2)</f>
        <v>NTH</v>
      </c>
      <c r="D35" s="34">
        <f>VLOOKUP($B35,[47]TrtCodes!$B$11:J130,3)</f>
        <v>9</v>
      </c>
      <c r="E35" s="34">
        <f>VLOOKUP($B35,[47]TrtCodes!$B$11:K130,4)</f>
        <v>2</v>
      </c>
      <c r="F35" s="34">
        <f>VLOOKUP($B35,[47]TrtCodes!$B$11:L130,5)</f>
        <v>2</v>
      </c>
      <c r="G35" s="34">
        <f>VLOOKUP($B35,[47]TrtCodes!$B$11:M130,6)</f>
        <v>2</v>
      </c>
      <c r="H35" s="34">
        <f>VLOOKUP($B35,[47]TrtCodes!$B$11:N130,7)</f>
        <v>3</v>
      </c>
      <c r="I35" s="34">
        <f>[47]FormattedData!B90</f>
        <v>1</v>
      </c>
      <c r="J35" s="37">
        <f>[47]FormattedData!C90</f>
        <v>13.239000000000001</v>
      </c>
      <c r="K35" s="39">
        <f>$J$3+[47]FormattedData!D90*$J$4+$M$4*$J$5+[47]FormattedData!D90^2*$J$6+$M$5*$J$7</f>
        <v>54.38511903789675</v>
      </c>
      <c r="L35" s="39">
        <f>$J$3+[47]FormattedData!E90*$J$4+$M$4*$J$5+[47]FormattedData!E90^2*$J$6+$M$5*$J$7</f>
        <v>56.09864033269271</v>
      </c>
      <c r="M35" s="39">
        <f>$J$3+[47]FormattedData!F90*$J$4+$M$4*$J$5+[47]FormattedData!F90^2*$J$6+$M$5*$J$7</f>
        <v>57.879641086649094</v>
      </c>
      <c r="N35" s="39">
        <f>$J$3+[47]FormattedData!G90*$J$4+$M$4*$J$5+[47]FormattedData!G90^2*$J$6+$M$5*$J$7</f>
        <v>56.609399775172868</v>
      </c>
      <c r="O35" s="39">
        <f>$J$3+[47]FormattedData!H90*$J$4+$M$4*$J$5+[47]FormattedData!H90^2*$J$6+$M$5*$J$7</f>
        <v>57.541839978089918</v>
      </c>
      <c r="P35" s="39">
        <f>$J$3+[47]FormattedData!I90*$J$4+$M$4*$J$5+[47]FormattedData!I90^2*$J$6+$M$5*$J$7</f>
        <v>55.757288666947318</v>
      </c>
      <c r="Q35" s="39">
        <f>$J$3+[47]FormattedData!J90*$J$4+$M$4*$J$5+[47]FormattedData!J90^2*$J$6+$M$5*$J$7</f>
        <v>56.354210262353476</v>
      </c>
      <c r="R35" s="39">
        <f>$J$3+[47]FormattedData!K90*$J$4+$M$4*$J$5+[47]FormattedData!K90^2*$J$6+$M$5*$J$7</f>
        <v>55.415260704595021</v>
      </c>
      <c r="S35" s="39">
        <f>$J$3+[47]FormattedData!L90*$J$4+$M$4*$J$5+[47]FormattedData!L90^2*$J$6+$M$5*$J$7</f>
        <v>56.694378409036794</v>
      </c>
      <c r="T35" s="39">
        <f>$J$3+[47]FormattedData!M90*$J$4+$M$4*$J$5+[47]FormattedData!M90^2*$J$6+$M$5*$J$7</f>
        <v>54.471196653746901</v>
      </c>
      <c r="U35" s="39">
        <f>$J$3+[47]FormattedData!N90*$J$4+$M$4*$J$5+[47]FormattedData!N90^2*$J$6+$M$5*$J$7</f>
        <v>56.09864033269271</v>
      </c>
      <c r="V35" s="39">
        <f>$J$3+[47]FormattedData!O90*$J$4+$M$4*$J$5+[47]FormattedData!O90^2*$J$6+$M$5*$J$7</f>
        <v>55.500831097989987</v>
      </c>
      <c r="W35" s="38">
        <f>AVERAGE(K35:V35)</f>
        <v>56.067203861488643</v>
      </c>
      <c r="X35" s="37">
        <f>STDEV(K35:V35)/SQRT(COUNT(K35:V35))</f>
        <v>0.3071084307428964</v>
      </c>
      <c r="Y35" s="36">
        <f>MIN(K35:V35)</f>
        <v>54.38511903789675</v>
      </c>
      <c r="Z35" s="35">
        <f>QUARTILE(K35:V35,1)</f>
        <v>55.479438499641248</v>
      </c>
      <c r="AA35" s="36">
        <f>MEDIAN(K35:V35)</f>
        <v>56.09864033269271</v>
      </c>
      <c r="AB35" s="35">
        <f>QUARTILE(K35:V35,3)</f>
        <v>56.630644433638849</v>
      </c>
      <c r="AC35" s="35">
        <f>MAX(K35:V35)</f>
        <v>57.879641086649094</v>
      </c>
      <c r="AD35" s="35">
        <f>SKEW(K35:V35)</f>
        <v>2.5090942512645396E-2</v>
      </c>
      <c r="AE35" s="35">
        <f>KURT(K35:V35)</f>
        <v>-0.27470177348756541</v>
      </c>
    </row>
    <row r="36" spans="2:31" x14ac:dyDescent="0.2">
      <c r="B36" s="34">
        <f>[47]FormattedData!A88</f>
        <v>403</v>
      </c>
      <c r="C36" s="34" t="str">
        <f>VLOOKUP($B36,[47]TrtCodes!$B$11:I131,2)</f>
        <v>FDL</v>
      </c>
      <c r="D36" s="34">
        <f>VLOOKUP($B36,[47]TrtCodes!$B$11:J131,3)</f>
        <v>6</v>
      </c>
      <c r="E36" s="34">
        <f>VLOOKUP($B36,[47]TrtCodes!$B$11:K131,4)</f>
        <v>1</v>
      </c>
      <c r="F36" s="34">
        <f>VLOOKUP($B36,[47]TrtCodes!$B$11:L131,5)</f>
        <v>3</v>
      </c>
      <c r="G36" s="34">
        <f>VLOOKUP($B36,[47]TrtCodes!$B$11:M131,6)</f>
        <v>1</v>
      </c>
      <c r="H36" s="34">
        <f>VLOOKUP($B36,[47]TrtCodes!$B$11:N131,7)</f>
        <v>3</v>
      </c>
      <c r="I36" s="34">
        <f>[47]FormattedData!B88</f>
        <v>1</v>
      </c>
      <c r="J36" s="37">
        <f>[47]FormattedData!C88</f>
        <v>13.231</v>
      </c>
      <c r="K36" s="39">
        <f>$J$3+[47]FormattedData!D88*$J$4+$M$4*$J$5+[47]FormattedData!D88^2*$J$6+$M$5*$J$7</f>
        <v>55.329648042662122</v>
      </c>
      <c r="L36" s="39">
        <f>$J$3+[47]FormattedData!E88*$J$4+$M$4*$J$5+[47]FormattedData!E88^2*$J$6+$M$5*$J$7</f>
        <v>54.900950704928647</v>
      </c>
      <c r="M36" s="39">
        <f>$J$3+[47]FormattedData!F88*$J$4+$M$4*$J$5+[47]FormattedData!F88^2*$J$6+$M$5*$J$7</f>
        <v>57.28804532702226</v>
      </c>
      <c r="N36" s="39">
        <f>$J$3+[47]FormattedData!G88*$J$4+$M$4*$J$5+[47]FormattedData!G88^2*$J$6+$M$5*$J$7</f>
        <v>56.354210262353476</v>
      </c>
      <c r="O36" s="39">
        <f>$J$3+[47]FormattedData!H88*$J$4+$M$4*$J$5+[47]FormattedData!H88^2*$J$6+$M$5*$J$7</f>
        <v>55.500831097989987</v>
      </c>
      <c r="P36" s="39">
        <f>$J$3+[47]FormattedData!I88*$J$4+$M$4*$J$5+[47]FormattedData!I88^2*$J$6+$M$5*$J$7</f>
        <v>55.842689986190557</v>
      </c>
      <c r="Q36" s="39">
        <f>$J$3+[47]FormattedData!J88*$J$4+$M$4*$J$5+[47]FormattedData!J88^2*$J$6+$M$5*$J$7</f>
        <v>56.779314774362788</v>
      </c>
      <c r="R36" s="39">
        <f>$J$3+[47]FormattedData!K88*$J$4+$M$4*$J$5+[47]FormattedData!K88^2*$J$6+$M$5*$J$7</f>
        <v>56.354210262353476</v>
      </c>
      <c r="S36" s="39">
        <f>$J$3+[47]FormattedData!L88*$J$4+$M$4*$J$5+[47]FormattedData!L88^2*$J$6+$M$5*$J$7</f>
        <v>56.439315701831212</v>
      </c>
      <c r="T36" s="39">
        <f>$J$3+[47]FormattedData!M88*$J$4+$M$4*$J$5+[47]FormattedData!M88^2*$J$6+$M$5*$J$7</f>
        <v>55.757288666947318</v>
      </c>
      <c r="U36" s="39">
        <f>$J$3+[47]FormattedData!N88*$J$4+$M$4*$J$5+[47]FormattedData!N88^2*$J$6+$M$5*$J$7</f>
        <v>56.779314774362788</v>
      </c>
      <c r="V36" s="39">
        <f>$J$3+[47]FormattedData!O88*$J$4+$M$4*$J$5+[47]FormattedData!O88^2*$J$6+$M$5*$J$7</f>
        <v>55.072556445635826</v>
      </c>
      <c r="W36" s="38">
        <f>AVERAGE(K36:V36)</f>
        <v>56.033198003886717</v>
      </c>
      <c r="X36" s="37">
        <f>STDEV(K36:V36)/SQRT(COUNT(K36:V36))</f>
        <v>0.2159314580923615</v>
      </c>
      <c r="Y36" s="36">
        <f>MIN(K36:V36)</f>
        <v>54.900950704928647</v>
      </c>
      <c r="Z36" s="35">
        <f>QUARTILE(K36:V36,1)</f>
        <v>55.458035334158019</v>
      </c>
      <c r="AA36" s="36">
        <f>MEDIAN(K36:V36)</f>
        <v>56.09845012427202</v>
      </c>
      <c r="AB36" s="35">
        <f>QUARTILE(K36:V36,3)</f>
        <v>56.524315469964108</v>
      </c>
      <c r="AC36" s="35">
        <f>MAX(K36:V36)</f>
        <v>57.28804532702226</v>
      </c>
      <c r="AD36" s="35">
        <f>SKEW(K36:V36)</f>
        <v>1.9473953560860575E-2</v>
      </c>
      <c r="AE36" s="35">
        <f>KURT(K36:V36)</f>
        <v>-1.0257177082007414</v>
      </c>
    </row>
    <row r="37" spans="2:31" x14ac:dyDescent="0.2">
      <c r="B37" s="34">
        <f>[47]FormattedData!A86</f>
        <v>404</v>
      </c>
      <c r="C37" s="34" t="str">
        <f>VLOOKUP($B37,[47]TrtCodes!$B$11:I129,2)</f>
        <v>FTH</v>
      </c>
      <c r="D37" s="34">
        <f>VLOOKUP($B37,[47]TrtCodes!$B$11:J129,3)</f>
        <v>3</v>
      </c>
      <c r="E37" s="34">
        <f>VLOOKUP($B37,[47]TrtCodes!$B$11:K129,4)</f>
        <v>1</v>
      </c>
      <c r="F37" s="34">
        <f>VLOOKUP($B37,[47]TrtCodes!$B$11:L129,5)</f>
        <v>2</v>
      </c>
      <c r="G37" s="34">
        <f>VLOOKUP($B37,[47]TrtCodes!$B$11:M129,6)</f>
        <v>2</v>
      </c>
      <c r="H37" s="34">
        <f>VLOOKUP($B37,[47]TrtCodes!$B$11:N129,7)</f>
        <v>3</v>
      </c>
      <c r="I37" s="34">
        <f>[47]FormattedData!B86</f>
        <v>1</v>
      </c>
      <c r="J37" s="37">
        <f>[47]FormattedData!C86</f>
        <v>13.222</v>
      </c>
      <c r="K37" s="39">
        <f>$J$3+[47]FormattedData!D86*$J$4+$M$4*$J$5+[47]FormattedData!D86^2*$J$6+$M$5*$J$7</f>
        <v>54.04038588911687</v>
      </c>
      <c r="L37" s="39">
        <f>$J$3+[47]FormattedData!E86*$J$4+$M$4*$J$5+[47]FormattedData!E86^2*$J$6+$M$5*$J$7</f>
        <v>54.126632579118734</v>
      </c>
      <c r="M37" s="39">
        <f>$J$3+[47]FormattedData!F86*$J$4+$M$4*$J$5+[47]FormattedData!F86^2*$J$6+$M$5*$J$7</f>
        <v>55.072556445635826</v>
      </c>
      <c r="N37" s="39">
        <f>$J$3+[47]FormattedData!G86*$J$4+$M$4*$J$5+[47]FormattedData!G86^2*$J$6+$M$5*$J$7</f>
        <v>56.013365819063253</v>
      </c>
      <c r="O37" s="39">
        <f>$J$3+[47]FormattedData!H86*$J$4+$M$4*$J$5+[47]FormattedData!H86^2*$J$6+$M$5*$J$7</f>
        <v>56.439315701831212</v>
      </c>
      <c r="P37" s="39">
        <f>$J$3+[47]FormattedData!I86*$J$4+$M$4*$J$5+[47]FormattedData!I86^2*$J$6+$M$5*$J$7</f>
        <v>55.757288666947318</v>
      </c>
      <c r="Q37" s="39">
        <f>$J$3+[47]FormattedData!J86*$J$4+$M$4*$J$5+[47]FormattedData!J86^2*$J$6+$M$5*$J$7</f>
        <v>57.541839978089918</v>
      </c>
      <c r="R37" s="39">
        <f>$J$3+[47]FormattedData!K86*$J$4+$M$4*$J$5+[47]FormattedData!K86^2*$J$6+$M$5*$J$7</f>
        <v>55.072556445635826</v>
      </c>
      <c r="S37" s="39">
        <f>$J$3+[47]FormattedData!L86*$J$4+$M$4*$J$5+[47]FormattedData!L86^2*$J$6+$M$5*$J$7</f>
        <v>55.329648042662122</v>
      </c>
      <c r="T37" s="39">
        <f>$J$3+[47]FormattedData!M86*$J$4+$M$4*$J$5+[47]FormattedData!M86^2*$J$6+$M$5*$J$7</f>
        <v>53.694976443730077</v>
      </c>
      <c r="U37" s="39">
        <f>$J$3+[47]FormattedData!N86*$J$4+$M$4*$J$5+[47]FormattedData!N86^2*$J$6+$M$5*$J$7</f>
        <v>56.779314774362788</v>
      </c>
      <c r="V37" s="39">
        <f>$J$3+[47]FormattedData!O86*$J$4+$M$4*$J$5+[47]FormattedData!O86^2*$J$6+$M$5*$J$7</f>
        <v>56.779314774362788</v>
      </c>
      <c r="W37" s="38">
        <f>AVERAGE(K37:V37)</f>
        <v>55.553932963379729</v>
      </c>
      <c r="X37" s="37">
        <f>STDEV(K37:V37)/SQRT(COUNT(K37:V37))</f>
        <v>0.35128240229403757</v>
      </c>
      <c r="Y37" s="36">
        <f>MIN(K37:V37)</f>
        <v>53.694976443730077</v>
      </c>
      <c r="Z37" s="35">
        <f>QUARTILE(K37:V37,1)</f>
        <v>54.836075479006553</v>
      </c>
      <c r="AA37" s="36">
        <f>MEDIAN(K37:V37)</f>
        <v>55.543468354804716</v>
      </c>
      <c r="AB37" s="35">
        <f>QUARTILE(K37:V37,3)</f>
        <v>56.524315469964108</v>
      </c>
      <c r="AC37" s="35">
        <f>MAX(K37:V37)</f>
        <v>57.541839978089918</v>
      </c>
      <c r="AD37" s="35">
        <f>SKEW(K37:V37)</f>
        <v>-4.2268622053156804E-2</v>
      </c>
      <c r="AE37" s="35">
        <f>KURT(K37:V37)</f>
        <v>-0.99811396248238582</v>
      </c>
    </row>
    <row r="38" spans="2:31" x14ac:dyDescent="0.2">
      <c r="B38" s="34">
        <f>[47]FormattedData!A84</f>
        <v>405</v>
      </c>
      <c r="C38" s="34" t="str">
        <f>VLOOKUP($B38,[47]TrtCodes!$B$11:I127,2)</f>
        <v>FDL</v>
      </c>
      <c r="D38" s="34">
        <f>VLOOKUP($B38,[47]TrtCodes!$B$11:J127,3)</f>
        <v>6</v>
      </c>
      <c r="E38" s="34">
        <f>VLOOKUP($B38,[47]TrtCodes!$B$11:K127,4)</f>
        <v>1</v>
      </c>
      <c r="F38" s="34">
        <f>VLOOKUP($B38,[47]TrtCodes!$B$11:L127,5)</f>
        <v>3</v>
      </c>
      <c r="G38" s="34">
        <f>VLOOKUP($B38,[47]TrtCodes!$B$11:M127,6)</f>
        <v>1</v>
      </c>
      <c r="H38" s="34">
        <f>VLOOKUP($B38,[47]TrtCodes!$B$11:N127,7)</f>
        <v>4</v>
      </c>
      <c r="I38" s="34">
        <f>[47]FormattedData!B84</f>
        <v>1</v>
      </c>
      <c r="J38" s="37">
        <f>[47]FormattedData!C84</f>
        <v>13.214</v>
      </c>
      <c r="K38" s="39">
        <f>$J$3+[47]FormattedData!D84*$J$4+$M$4*$J$5+[47]FormattedData!D84^2*$J$6+$M$5*$J$7</f>
        <v>54.298999153508682</v>
      </c>
      <c r="L38" s="39">
        <f>$J$3+[47]FormattedData!E84*$J$4+$M$4*$J$5+[47]FormattedData!E84^2*$J$6+$M$5*$J$7</f>
        <v>54.126632579118734</v>
      </c>
      <c r="M38" s="39">
        <f>$J$3+[47]FormattedData!F84*$J$4+$M$4*$J$5+[47]FormattedData!F84^2*$J$6+$M$5*$J$7</f>
        <v>57.372685812582745</v>
      </c>
      <c r="N38" s="39">
        <f>$J$3+[47]FormattedData!G84*$J$4+$M$4*$J$5+[47]FormattedData!G84^2*$J$6+$M$5*$J$7</f>
        <v>55.842689986190557</v>
      </c>
      <c r="O38" s="39">
        <f>$J$3+[47]FormattedData!H84*$J$4+$M$4*$J$5+[47]FormattedData!H84^2*$J$6+$M$5*$J$7</f>
        <v>54.557232001059113</v>
      </c>
      <c r="P38" s="39">
        <f>$J$3+[47]FormattedData!I84*$J$4+$M$4*$J$5+[47]FormattedData!I84^2*$J$6+$M$5*$J$7</f>
        <v>55.58635922284703</v>
      </c>
      <c r="Q38" s="39">
        <f>$J$3+[47]FormattedData!J84*$J$4+$M$4*$J$5+[47]FormattedData!J84^2*$J$6+$M$5*$J$7</f>
        <v>54.557232001059113</v>
      </c>
      <c r="R38" s="39">
        <f>$J$3+[47]FormattedData!K84*$J$4+$M$4*$J$5+[47]FormattedData!K84^2*$J$6+$M$5*$J$7</f>
        <v>54.900950704928647</v>
      </c>
      <c r="S38" s="39">
        <f>$J$3+[47]FormattedData!L84*$J$4+$M$4*$J$5+[47]FormattedData!L84^2*$J$6+$M$5*$J$7</f>
        <v>54.557232001059113</v>
      </c>
      <c r="T38" s="39">
        <f>$J$3+[47]FormattedData!M84*$J$4+$M$4*$J$5+[47]FormattedData!M84^2*$J$6+$M$5*$J$7</f>
        <v>55.415260704595021</v>
      </c>
      <c r="U38" s="39">
        <f>$J$3+[47]FormattedData!N84*$J$4+$M$4*$J$5+[47]FormattedData!N84^2*$J$6+$M$5*$J$7</f>
        <v>54.72917589006974</v>
      </c>
      <c r="V38" s="39">
        <f>$J$3+[47]FormattedData!O84*$J$4+$M$4*$J$5+[47]FormattedData!O84^2*$J$6+$M$5*$J$7</f>
        <v>54.900950704928647</v>
      </c>
      <c r="W38" s="38">
        <f>AVERAGE(K38:V38)</f>
        <v>55.070450063495592</v>
      </c>
      <c r="X38" s="37">
        <f>STDEV(K38:V38)/SQRT(COUNT(K38:V38))</f>
        <v>0.25719546565736967</v>
      </c>
      <c r="Y38" s="36">
        <f>MIN(K38:V38)</f>
        <v>54.126632579118734</v>
      </c>
      <c r="Z38" s="35">
        <f>QUARTILE(K38:V38,1)</f>
        <v>54.557232001059113</v>
      </c>
      <c r="AA38" s="36">
        <f>MEDIAN(K38:V38)</f>
        <v>54.815063297499194</v>
      </c>
      <c r="AB38" s="35">
        <f>QUARTILE(K38:V38,3)</f>
        <v>55.458035334158026</v>
      </c>
      <c r="AC38" s="35">
        <f>MAX(K38:V38)</f>
        <v>57.372685812582745</v>
      </c>
      <c r="AD38" s="35">
        <f>SKEW(K38:V38)</f>
        <v>1.7100946310458307</v>
      </c>
      <c r="AE38" s="35">
        <f>KURT(K38:V38)</f>
        <v>3.4451493418293282</v>
      </c>
    </row>
    <row r="39" spans="2:31" x14ac:dyDescent="0.2">
      <c r="B39" s="34">
        <f>[47]FormattedData!A82</f>
        <v>406</v>
      </c>
      <c r="C39" s="34" t="str">
        <f>VLOOKUP($B39,[47]TrtCodes!$B$11:I125,2)</f>
        <v>FTH</v>
      </c>
      <c r="D39" s="34">
        <f>VLOOKUP($B39,[47]TrtCodes!$B$11:J125,3)</f>
        <v>3</v>
      </c>
      <c r="E39" s="34">
        <f>VLOOKUP($B39,[47]TrtCodes!$B$11:K125,4)</f>
        <v>1</v>
      </c>
      <c r="F39" s="34">
        <f>VLOOKUP($B39,[47]TrtCodes!$B$11:L125,5)</f>
        <v>2</v>
      </c>
      <c r="G39" s="34">
        <f>VLOOKUP($B39,[47]TrtCodes!$B$11:M125,6)</f>
        <v>2</v>
      </c>
      <c r="H39" s="34">
        <f>VLOOKUP($B39,[47]TrtCodes!$B$11:N125,7)</f>
        <v>4</v>
      </c>
      <c r="I39" s="34">
        <f>[47]FormattedData!B82</f>
        <v>1</v>
      </c>
      <c r="J39" s="37">
        <f>[47]FormattedData!C82</f>
        <v>13.205</v>
      </c>
      <c r="K39" s="39">
        <f>$J$3+[47]FormattedData!D82*$J$4+$M$4*$J$5+[47]FormattedData!D82^2*$J$6+$M$5*$J$7</f>
        <v>53.435475540041722</v>
      </c>
      <c r="L39" s="39">
        <f>$J$3+[47]FormattedData!E82*$J$4+$M$4*$J$5+[47]FormattedData!E82^2*$J$6+$M$5*$J$7</f>
        <v>54.471196653746901</v>
      </c>
      <c r="M39" s="39">
        <f>$J$3+[47]FormattedData!F82*$J$4+$M$4*$J$5+[47]FormattedData!F82^2*$J$6+$M$5*$J$7</f>
        <v>56.864208871150872</v>
      </c>
      <c r="N39" s="39">
        <f>$J$3+[47]FormattedData!G82*$J$4+$M$4*$J$5+[47]FormattedData!G82^2*$J$6+$M$5*$J$7</f>
        <v>56.013365819063253</v>
      </c>
      <c r="O39" s="39">
        <f>$J$3+[47]FormattedData!H82*$J$4+$M$4*$J$5+[47]FormattedData!H82^2*$J$6+$M$5*$J$7</f>
        <v>56.779314774362788</v>
      </c>
      <c r="P39" s="39">
        <f>$J$3+[47]FormattedData!I82*$J$4+$M$4*$J$5+[47]FormattedData!I82^2*$J$6+$M$5*$J$7</f>
        <v>54.557232001059113</v>
      </c>
      <c r="Q39" s="39">
        <f>$J$3+[47]FormattedData!J82*$J$4+$M$4*$J$5+[47]FormattedData!J82^2*$J$6+$M$5*$J$7</f>
        <v>57.033870259113215</v>
      </c>
      <c r="R39" s="39">
        <f>$J$3+[47]FormattedData!K82*$J$4+$M$4*$J$5+[47]FormattedData!K82^2*$J$6+$M$5*$J$7</f>
        <v>54.643225079833385</v>
      </c>
      <c r="S39" s="39">
        <f>$J$3+[47]FormattedData!L82*$J$4+$M$4*$J$5+[47]FormattedData!L82^2*$J$6+$M$5*$J$7</f>
        <v>54.986774709551206</v>
      </c>
      <c r="T39" s="39">
        <f>$J$3+[47]FormattedData!M82*$J$4+$M$4*$J$5+[47]FormattedData!M82^2*$J$6+$M$5*$J$7</f>
        <v>53.781392207883677</v>
      </c>
      <c r="U39" s="39">
        <f>$J$3+[47]FormattedData!N82*$J$4+$M$4*$J$5+[47]FormattedData!N82^2*$J$6+$M$5*$J$7</f>
        <v>56.949060699401009</v>
      </c>
      <c r="V39" s="39">
        <f>$J$3+[47]FormattedData!O82*$J$4+$M$4*$J$5+[47]FormattedData!O82^2*$J$6+$M$5*$J$7</f>
        <v>55.842689986190557</v>
      </c>
      <c r="W39" s="38">
        <f>AVERAGE(K39:V39)</f>
        <v>55.446483883449794</v>
      </c>
      <c r="X39" s="37">
        <f>STDEV(K39:V39)/SQRT(COUNT(K39:V39))</f>
        <v>0.37393733765469295</v>
      </c>
      <c r="Y39" s="36">
        <f>MIN(K39:V39)</f>
        <v>53.435475540041722</v>
      </c>
      <c r="Z39" s="35">
        <f>QUARTILE(K39:V39,1)</f>
        <v>54.535723164231058</v>
      </c>
      <c r="AA39" s="36">
        <f>MEDIAN(K39:V39)</f>
        <v>55.414732347870881</v>
      </c>
      <c r="AB39" s="35">
        <f>QUARTILE(K39:V39,3)</f>
        <v>56.800538298559808</v>
      </c>
      <c r="AC39" s="35">
        <f>MAX(K39:V39)</f>
        <v>57.033870259113215</v>
      </c>
      <c r="AD39" s="35">
        <f>SKEW(K39:V39)</f>
        <v>-0.10749428912730688</v>
      </c>
      <c r="AE39" s="35">
        <f>KURT(K39:V39)</f>
        <v>-1.5258228172301092</v>
      </c>
    </row>
    <row r="40" spans="2:31" x14ac:dyDescent="0.2">
      <c r="B40" s="34">
        <f>[47]FormattedData!A80</f>
        <v>407</v>
      </c>
      <c r="C40" s="34" t="str">
        <f>VLOOKUP($B40,[47]TrtCodes!$B$11:I123,2)</f>
        <v>NSH</v>
      </c>
      <c r="D40" s="34">
        <f>VLOOKUP($B40,[47]TrtCodes!$B$11:J123,3)</f>
        <v>7</v>
      </c>
      <c r="E40" s="34">
        <f>VLOOKUP($B40,[47]TrtCodes!$B$11:K123,4)</f>
        <v>2</v>
      </c>
      <c r="F40" s="34">
        <f>VLOOKUP($B40,[47]TrtCodes!$B$11:L123,5)</f>
        <v>1</v>
      </c>
      <c r="G40" s="34">
        <f>VLOOKUP($B40,[47]TrtCodes!$B$11:M123,6)</f>
        <v>2</v>
      </c>
      <c r="H40" s="34">
        <f>VLOOKUP($B40,[47]TrtCodes!$B$11:N123,7)</f>
        <v>4</v>
      </c>
      <c r="I40" s="34">
        <f>[47]FormattedData!B80</f>
        <v>1</v>
      </c>
      <c r="J40" s="37">
        <f>[47]FormattedData!C80</f>
        <v>13.196999999999999</v>
      </c>
      <c r="K40" s="39">
        <f>$J$3+[47]FormattedData!D80*$J$4+$M$4*$J$5+[47]FormattedData!D80^2*$J$6+$M$5*$J$7</f>
        <v>54.643225079833385</v>
      </c>
      <c r="L40" s="39">
        <f>$J$3+[47]FormattedData!E80*$J$4+$M$4*$J$5+[47]FormattedData!E80^2*$J$6+$M$5*$J$7</f>
        <v>55.757288666947318</v>
      </c>
      <c r="M40" s="39">
        <f>$J$3+[47]FormattedData!F80*$J$4+$M$4*$J$5+[47]FormattedData!F80^2*$J$6+$M$5*$J$7</f>
        <v>56.183872577784228</v>
      </c>
      <c r="N40" s="39">
        <f>$J$3+[47]FormattedData!G80*$J$4+$M$4*$J$5+[47]FormattedData!G80^2*$J$6+$M$5*$J$7</f>
        <v>56.524378872771003</v>
      </c>
      <c r="O40" s="39">
        <f>$J$3+[47]FormattedData!H80*$J$4+$M$4*$J$5+[47]FormattedData!H80^2*$J$6+$M$5*$J$7</f>
        <v>56.269062554337815</v>
      </c>
      <c r="P40" s="39">
        <f>$J$3+[47]FormattedData!I80*$J$4+$M$4*$J$5+[47]FormattedData!I80^2*$J$6+$M$5*$J$7</f>
        <v>56.013365819063253</v>
      </c>
      <c r="Q40" s="39">
        <f>$J$3+[47]FormattedData!J80*$J$4+$M$4*$J$5+[47]FormattedData!J80^2*$J$6+$M$5*$J$7</f>
        <v>56.269062554337815</v>
      </c>
      <c r="R40" s="39">
        <f>$J$3+[47]FormattedData!K80*$J$4+$M$4*$J$5+[47]FormattedData!K80^2*$J$6+$M$5*$J$7</f>
        <v>55.500831097989987</v>
      </c>
      <c r="S40" s="39">
        <f>$J$3+[47]FormattedData!L80*$J$4+$M$4*$J$5+[47]FormattedData!L80^2*$J$6+$M$5*$J$7</f>
        <v>55.928049036895871</v>
      </c>
      <c r="T40" s="39">
        <f>$J$3+[47]FormattedData!M80*$J$4+$M$4*$J$5+[47]FormattedData!M80^2*$J$6+$M$5*$J$7</f>
        <v>55.415260704595021</v>
      </c>
      <c r="U40" s="39">
        <f>$J$3+[47]FormattedData!N80*$J$4+$M$4*$J$5+[47]FormattedData!N80^2*$J$6+$M$5*$J$7</f>
        <v>56.864208871150872</v>
      </c>
      <c r="V40" s="39">
        <f>$J$3+[47]FormattedData!O80*$J$4+$M$4*$J$5+[47]FormattedData!O80^2*$J$6+$M$5*$J$7</f>
        <v>56.439315701831212</v>
      </c>
      <c r="W40" s="38">
        <f>AVERAGE(K40:V40)</f>
        <v>55.983993461461473</v>
      </c>
      <c r="X40" s="37">
        <f>STDEV(K40:V40)/SQRT(COUNT(K40:V40))</f>
        <v>0.17159114082837637</v>
      </c>
      <c r="Y40" s="36">
        <f>MIN(K40:V40)</f>
        <v>54.643225079833385</v>
      </c>
      <c r="Z40" s="35">
        <f>QUARTILE(K40:V40,1)</f>
        <v>55.693174274707985</v>
      </c>
      <c r="AA40" s="36">
        <f>MEDIAN(K40:V40)</f>
        <v>56.098619198423741</v>
      </c>
      <c r="AB40" s="35">
        <f>QUARTILE(K40:V40,3)</f>
        <v>56.311625841211168</v>
      </c>
      <c r="AC40" s="35">
        <f>MAX(K40:V40)</f>
        <v>56.864208871150872</v>
      </c>
      <c r="AD40" s="35">
        <f>SKEW(K40:V40)</f>
        <v>-0.89878622489375126</v>
      </c>
      <c r="AE40" s="35">
        <f>KURT(K40:V40)</f>
        <v>1.1882356063283845</v>
      </c>
    </row>
    <row r="41" spans="2:31" x14ac:dyDescent="0.2">
      <c r="B41" s="34">
        <f>[47]FormattedData!A78</f>
        <v>408</v>
      </c>
      <c r="C41" s="34" t="str">
        <f>VLOOKUP($B41,[47]TrtCodes!$B$11:I121,2)</f>
        <v>NTL</v>
      </c>
      <c r="D41" s="34">
        <f>VLOOKUP($B41,[47]TrtCodes!$B$11:J121,3)</f>
        <v>10</v>
      </c>
      <c r="E41" s="34">
        <f>VLOOKUP($B41,[47]TrtCodes!$B$11:K121,4)</f>
        <v>2</v>
      </c>
      <c r="F41" s="34">
        <f>VLOOKUP($B41,[47]TrtCodes!$B$11:L121,5)</f>
        <v>2</v>
      </c>
      <c r="G41" s="34">
        <f>VLOOKUP($B41,[47]TrtCodes!$B$11:M121,6)</f>
        <v>1</v>
      </c>
      <c r="H41" s="34">
        <f>VLOOKUP($B41,[47]TrtCodes!$B$11:N121,7)</f>
        <v>4</v>
      </c>
      <c r="I41" s="34">
        <f>[47]FormattedData!B78</f>
        <v>1</v>
      </c>
      <c r="J41" s="37">
        <f>[47]FormattedData!C78</f>
        <v>13.189</v>
      </c>
      <c r="K41" s="39">
        <f>$J$3+[47]FormattedData!D78*$J$4+$M$4*$J$5+[47]FormattedData!D78^2*$J$6+$M$5*$J$7</f>
        <v>53.522018109809103</v>
      </c>
      <c r="L41" s="39">
        <f>$J$3+[47]FormattedData!E78*$J$4+$M$4*$J$5+[47]FormattedData!E78^2*$J$6+$M$5*$J$7</f>
        <v>55.757288666947318</v>
      </c>
      <c r="M41" s="39">
        <f>$J$3+[47]FormattedData!F78*$J$4+$M$4*$J$5+[47]FormattedData!F78^2*$J$6+$M$5*$J$7</f>
        <v>55.243993112191291</v>
      </c>
      <c r="N41" s="39">
        <f>$J$3+[47]FormattedData!G78*$J$4+$M$4*$J$5+[47]FormattedData!G78^2*$J$6+$M$5*$J$7</f>
        <v>55.757288666947318</v>
      </c>
      <c r="O41" s="39">
        <f>$J$3+[47]FormattedData!H78*$J$4+$M$4*$J$5+[47]FormattedData!H78^2*$J$6+$M$5*$J$7</f>
        <v>55.415260704595021</v>
      </c>
      <c r="P41" s="39">
        <f>$J$3+[47]FormattedData!I78*$J$4+$M$4*$J$5+[47]FormattedData!I78^2*$J$6+$M$5*$J$7</f>
        <v>55.500831097989987</v>
      </c>
      <c r="Q41" s="39">
        <f>$J$3+[47]FormattedData!J78*$J$4+$M$4*$J$5+[47]FormattedData!J78^2*$J$6+$M$5*$J$7</f>
        <v>57.203362572923837</v>
      </c>
      <c r="R41" s="39">
        <f>$J$3+[47]FormattedData!K78*$J$4+$M$4*$J$5+[47]FormattedData!K78^2*$J$6+$M$5*$J$7</f>
        <v>54.900950704928647</v>
      </c>
      <c r="S41" s="39">
        <f>$J$3+[47]FormattedData!L78*$J$4+$M$4*$J$5+[47]FormattedData!L78^2*$J$6+$M$5*$J$7</f>
        <v>55.158295913182528</v>
      </c>
      <c r="T41" s="39">
        <f>$J$3+[47]FormattedData!M78*$J$4+$M$4*$J$5+[47]FormattedData!M78^2*$J$6+$M$5*$J$7</f>
        <v>55.842689986190557</v>
      </c>
      <c r="U41" s="39">
        <f>$J$3+[47]FormattedData!N78*$J$4+$M$4*$J$5+[47]FormattedData!N78^2*$J$6+$M$5*$J$7</f>
        <v>54.986774709551206</v>
      </c>
      <c r="V41" s="39">
        <f>$J$3+[47]FormattedData!O78*$J$4+$M$4*$J$5+[47]FormattedData!O78^2*$J$6+$M$5*$J$7</f>
        <v>54.212837000582674</v>
      </c>
      <c r="W41" s="38">
        <f>AVERAGE(K41:V41)</f>
        <v>55.291799270486621</v>
      </c>
      <c r="X41" s="37">
        <f>STDEV(K41:V41)/SQRT(COUNT(K41:V41))</f>
        <v>0.26129120992431421</v>
      </c>
      <c r="Y41" s="36">
        <f>MIN(K41:V41)</f>
        <v>53.522018109809103</v>
      </c>
      <c r="Z41" s="35">
        <f>QUARTILE(K41:V41,1)</f>
        <v>54.965318708395564</v>
      </c>
      <c r="AA41" s="36">
        <f>MEDIAN(K41:V41)</f>
        <v>55.329626908393152</v>
      </c>
      <c r="AB41" s="35">
        <f>QUARTILE(K41:V41,3)</f>
        <v>55.757288666947318</v>
      </c>
      <c r="AC41" s="35">
        <f>MAX(K41:V41)</f>
        <v>57.203362572923837</v>
      </c>
      <c r="AD41" s="35">
        <f>SKEW(K41:V41)</f>
        <v>6.9889501547106103E-2</v>
      </c>
      <c r="AE41" s="35">
        <f>KURT(K41:V41)</f>
        <v>1.7742533747581186</v>
      </c>
    </row>
    <row r="42" spans="2:31" x14ac:dyDescent="0.2">
      <c r="B42" s="50">
        <f>[47]FormattedData!A60</f>
        <v>901</v>
      </c>
      <c r="C42" s="50" t="str">
        <f>VLOOKUP($B42,[47]TrtCodes!$B$11:I103,2)</f>
        <v>WS</v>
      </c>
      <c r="D42" s="50">
        <f>VLOOKUP($B42,[47]TrtCodes!$B$11:J103,3)</f>
        <v>32</v>
      </c>
      <c r="E42" s="50">
        <f>VLOOKUP($B42,[47]TrtCodes!$B$11:K103,4)</f>
        <v>9</v>
      </c>
      <c r="F42" s="50">
        <f>VLOOKUP($B42,[47]TrtCodes!$B$11:L103,5)</f>
        <v>0</v>
      </c>
      <c r="G42" s="50">
        <f>VLOOKUP($B42,[47]TrtCodes!$B$11:M103,6)</f>
        <v>1</v>
      </c>
      <c r="H42" s="50">
        <f>VLOOKUP($B42,[47]TrtCodes!$B$11:N103,7)</f>
        <v>1</v>
      </c>
      <c r="I42" s="50">
        <f>[47]FormattedData!B60</f>
        <v>1</v>
      </c>
      <c r="J42" s="48">
        <f>[47]FormattedData!C60</f>
        <v>13.131</v>
      </c>
      <c r="K42" s="47">
        <f>$J$3+[47]FormattedData!D60*$J$4+$M$4*$J$5+[47]FormattedData!D60^2*$J$6+$M$5*$J$7</f>
        <v>36.50901863378693</v>
      </c>
      <c r="L42" s="47">
        <f>$J$3+[47]FormattedData!E60*$J$4+$M$4*$J$5+[47]FormattedData!E60^2*$J$6+$M$5*$J$7</f>
        <v>36.319998255452127</v>
      </c>
      <c r="M42" s="47">
        <f>$J$3+[47]FormattedData!F60*$J$4+$M$4*$J$5+[47]FormattedData!F60^2*$J$6+$M$5*$J$7</f>
        <v>37.169258499013949</v>
      </c>
      <c r="N42" s="47">
        <f>$J$3+[47]FormattedData!G60*$J$4+$M$4*$J$5+[47]FormattedData!G60^2*$J$6+$M$5*$J$7</f>
        <v>37.169258499013949</v>
      </c>
      <c r="O42" s="47">
        <f>$J$3+[47]FormattedData!H60*$J$4+$M$4*$J$5+[47]FormattedData!H60^2*$J$6+$M$5*$J$7</f>
        <v>37.075065323881027</v>
      </c>
      <c r="P42" s="47">
        <f>$J$3+[47]FormattedData!I60*$J$4+$M$4*$J$5+[47]FormattedData!I60^2*$J$6+$M$5*$J$7</f>
        <v>37.075065323881027</v>
      </c>
      <c r="Q42" s="47">
        <f>$J$3+[47]FormattedData!J60*$J$4+$M$4*$J$5+[47]FormattedData!J60^2*$J$6+$M$5*$J$7</f>
        <v>36.980829880210173</v>
      </c>
      <c r="R42" s="47">
        <f>$J$3+[47]FormattedData!K60*$J$4+$M$4*$J$5+[47]FormattedData!K60^2*$J$6+$M$5*$J$7</f>
        <v>34.896956179354817</v>
      </c>
      <c r="S42" s="47">
        <f>$J$3+[47]FormattedData!L60*$J$4+$M$4*$J$5+[47]FormattedData!L60^2*$J$6+$M$5*$J$7</f>
        <v>35.182325428257037</v>
      </c>
      <c r="T42" s="47">
        <f>$J$3+[47]FormattedData!M60*$J$4+$M$4*$J$5+[47]FormattedData!M60^2*$J$6+$M$5*$J$7</f>
        <v>34.99212153086016</v>
      </c>
      <c r="U42" s="47">
        <f>$J$3+[47]FormattedData!N60*$J$4+$M$4*$J$5+[47]FormattedData!N60^2*$J$6+$M$5*$J$7</f>
        <v>36.225424663477824</v>
      </c>
      <c r="V42" s="47">
        <f>$J$3+[47]FormattedData!O60*$J$4+$M$4*$J$5+[47]FormattedData!O60^2*$J$6+$M$5*$J$7</f>
        <v>36.130808802965589</v>
      </c>
      <c r="W42" s="49">
        <f>AVERAGE(K42:V42)</f>
        <v>36.310510918346225</v>
      </c>
      <c r="X42" s="48">
        <f>STDEV(K42:V42)/SQRT(COUNT(K42:V42))</f>
        <v>0.24895884904252563</v>
      </c>
      <c r="Y42" s="47">
        <f>MIN(K42:V42)</f>
        <v>34.896956179354817</v>
      </c>
      <c r="Z42" s="46">
        <f>QUARTILE(K42:V42,1)</f>
        <v>35.893687959288449</v>
      </c>
      <c r="AA42" s="47">
        <f>MEDIAN(K42:V42)</f>
        <v>36.414508444619528</v>
      </c>
      <c r="AB42" s="46">
        <f>QUARTILE(K42:V42,3)</f>
        <v>37.075065323881027</v>
      </c>
      <c r="AC42" s="46">
        <f>MAX(K42:V42)</f>
        <v>37.169258499013949</v>
      </c>
      <c r="AD42" s="46">
        <f>SKEW(K42:V42)</f>
        <v>-0.69542678581984008</v>
      </c>
      <c r="AE42" s="46">
        <f>KURT(K42:V42)</f>
        <v>-1.0112634127382316</v>
      </c>
    </row>
    <row r="43" spans="2:31" x14ac:dyDescent="0.2">
      <c r="B43" s="34">
        <f>[47]FormattedData!A58</f>
        <v>902</v>
      </c>
      <c r="C43" s="34" t="str">
        <f>VLOOKUP($B43,[47]TrtCodes!$B$11:I101,2)</f>
        <v>Late</v>
      </c>
      <c r="D43" s="34">
        <f>VLOOKUP($B43,[47]TrtCodes!$B$11:J101,3)</f>
        <v>22</v>
      </c>
      <c r="E43" s="34">
        <f>VLOOKUP($B43,[47]TrtCodes!$B$11:K101,4)</f>
        <v>4</v>
      </c>
      <c r="F43" s="34">
        <f>VLOOKUP($B43,[47]TrtCodes!$B$11:L101,5)</f>
        <v>2</v>
      </c>
      <c r="G43" s="34">
        <f>VLOOKUP($B43,[47]TrtCodes!$B$11:M101,6)</f>
        <v>2</v>
      </c>
      <c r="H43" s="34">
        <f>VLOOKUP($B43,[47]TrtCodes!$B$11:N101,7)</f>
        <v>1</v>
      </c>
      <c r="I43" s="34">
        <f>[47]FormattedData!B58</f>
        <v>1</v>
      </c>
      <c r="J43" s="37">
        <f>[47]FormattedData!C58</f>
        <v>13.122999999999999</v>
      </c>
      <c r="K43" s="39">
        <f>$J$3+[47]FormattedData!D58*$J$4+$M$4*$J$5+[47]FormattedData!D58^2*$J$6+$M$5*$J$7</f>
        <v>54.72917589006974</v>
      </c>
      <c r="L43" s="39">
        <f>$J$3+[47]FormattedData!E58*$J$4+$M$4*$J$5+[47]FormattedData!E58^2*$J$6+$M$5*$J$7</f>
        <v>55.842689986190557</v>
      </c>
      <c r="M43" s="39">
        <f>$J$3+[47]FormattedData!F58*$J$4+$M$4*$J$5+[47]FormattedData!F58^2*$J$6+$M$5*$J$7</f>
        <v>56.269062554337815</v>
      </c>
      <c r="N43" s="39">
        <f>$J$3+[47]FormattedData!G58*$J$4+$M$4*$J$5+[47]FormattedData!G58^2*$J$6+$M$5*$J$7</f>
        <v>54.298999153508682</v>
      </c>
      <c r="O43" s="39">
        <f>$J$3+[47]FormattedData!H58*$J$4+$M$4*$J$5+[47]FormattedData!H58^2*$J$6+$M$5*$J$7</f>
        <v>56.183872577784228</v>
      </c>
      <c r="P43" s="39">
        <f>$J$3+[47]FormattedData!I58*$J$4+$M$4*$J$5+[47]FormattedData!I58^2*$J$6+$M$5*$J$7</f>
        <v>56.694378409036794</v>
      </c>
      <c r="Q43" s="39">
        <f>$J$3+[47]FormattedData!J58*$J$4+$M$4*$J$5+[47]FormattedData!J58^2*$J$6+$M$5*$J$7</f>
        <v>56.183872577784228</v>
      </c>
      <c r="R43" s="39">
        <f>$J$3+[47]FormattedData!K58*$J$4+$M$4*$J$5+[47]FormattedData!K58^2*$J$6+$M$5*$J$7</f>
        <v>55.500831097989987</v>
      </c>
      <c r="S43" s="39">
        <f>$J$3+[47]FormattedData!L58*$J$4+$M$4*$J$5+[47]FormattedData!L58^2*$J$6+$M$5*$J$7</f>
        <v>56.183872577784228</v>
      </c>
      <c r="T43" s="39">
        <f>$J$3+[47]FormattedData!M58*$J$4+$M$4*$J$5+[47]FormattedData!M58^2*$J$6+$M$5*$J$7</f>
        <v>55.243993112191291</v>
      </c>
      <c r="U43" s="39">
        <f>$J$3+[47]FormattedData!N58*$J$4+$M$4*$J$5+[47]FormattedData!N58^2*$J$6+$M$5*$J$7</f>
        <v>55.842689986190557</v>
      </c>
      <c r="V43" s="39">
        <f>$J$3+[47]FormattedData!O58*$J$4+$M$4*$J$5+[47]FormattedData!O58^2*$J$6+$M$5*$J$7</f>
        <v>55.500831097989987</v>
      </c>
      <c r="W43" s="38">
        <f>AVERAGE(K43:V43)</f>
        <v>55.706189085071514</v>
      </c>
      <c r="X43" s="37">
        <f>STDEV(K43:V43)/SQRT(COUNT(K43:V43))</f>
        <v>0.19939038611303997</v>
      </c>
      <c r="Y43" s="36">
        <f>MIN(K43:V43)</f>
        <v>54.298999153508682</v>
      </c>
      <c r="Z43" s="35">
        <f>QUARTILE(K43:V43,1)</f>
        <v>55.43662160154031</v>
      </c>
      <c r="AA43" s="36">
        <f>MEDIAN(K43:V43)</f>
        <v>55.842689986190557</v>
      </c>
      <c r="AB43" s="35">
        <f>QUARTILE(K43:V43,3)</f>
        <v>56.183872577784228</v>
      </c>
      <c r="AC43" s="35">
        <f>MAX(K43:V43)</f>
        <v>56.694378409036794</v>
      </c>
      <c r="AD43" s="35">
        <f>SKEW(K43:V43)</f>
        <v>-0.78121863322303842</v>
      </c>
      <c r="AE43" s="35">
        <f>KURT(K43:V43)</f>
        <v>0.18455718866519177</v>
      </c>
    </row>
    <row r="44" spans="2:31" x14ac:dyDescent="0.2">
      <c r="B44" s="50">
        <f>[47]FormattedData!A56</f>
        <v>903</v>
      </c>
      <c r="C44" s="50" t="str">
        <f>VLOOKUP($B44,[47]TrtCodes!$B$11:I99,2)</f>
        <v>DS</v>
      </c>
      <c r="D44" s="50">
        <f>VLOOKUP($B44,[47]TrtCodes!$B$11:J99,3)</f>
        <v>31</v>
      </c>
      <c r="E44" s="50">
        <f>VLOOKUP($B44,[47]TrtCodes!$B$11:K99,4)</f>
        <v>8</v>
      </c>
      <c r="F44" s="50">
        <f>VLOOKUP($B44,[47]TrtCodes!$B$11:L99,5)</f>
        <v>0</v>
      </c>
      <c r="G44" s="50">
        <f>VLOOKUP($B44,[47]TrtCodes!$B$11:M99,6)</f>
        <v>1</v>
      </c>
      <c r="H44" s="50">
        <f>VLOOKUP($B44,[47]TrtCodes!$B$11:N99,7)</f>
        <v>1</v>
      </c>
      <c r="I44" s="50">
        <f>[47]FormattedData!B56</f>
        <v>1</v>
      </c>
      <c r="J44" s="48">
        <f>[47]FormattedData!C56</f>
        <v>13.117000000000001</v>
      </c>
      <c r="K44" s="47">
        <f>$J$3+[47]FormattedData!D56*$J$4+$M$4*$J$5+[47]FormattedData!D56^2*$J$6+$M$5*$J$7</f>
        <v>62.127323596330193</v>
      </c>
      <c r="L44" s="47">
        <f>$J$3+[47]FormattedData!E56*$J$4+$M$4*$J$5+[47]FormattedData!E56^2*$J$6+$M$5*$J$7</f>
        <v>62.209512506690679</v>
      </c>
      <c r="M44" s="47">
        <f>$J$3+[47]FormattedData!F56*$J$4+$M$4*$J$5+[47]FormattedData!F56^2*$J$6+$M$5*$J$7</f>
        <v>62.373763521797841</v>
      </c>
      <c r="N44" s="47">
        <f>$J$3+[47]FormattedData!G56*$J$4+$M$4*$J$5+[47]FormattedData!G56^2*$J$6+$M$5*$J$7</f>
        <v>62.291659148513226</v>
      </c>
      <c r="O44" s="47">
        <f>$J$3+[47]FormattedData!H56*$J$4+$M$4*$J$5+[47]FormattedData!H56^2*$J$6+$M$5*$J$7</f>
        <v>62.045092417431803</v>
      </c>
      <c r="P44" s="47">
        <f>$J$3+[47]FormattedData!I56*$J$4+$M$4*$J$5+[47]FormattedData!I56^2*$J$6+$M$5*$J$7</f>
        <v>61.385721318878993</v>
      </c>
      <c r="Q44" s="47">
        <f>$J$3+[47]FormattedData!J56*$J$4+$M$4*$J$5+[47]FormattedData!J56^2*$J$6+$M$5*$J$7</f>
        <v>62.209512506690679</v>
      </c>
      <c r="R44" s="47">
        <f>$J$3+[47]FormattedData!K56*$J$4+$M$4*$J$5+[47]FormattedData!K56^2*$J$6+$M$5*$J$7</f>
        <v>61.880503254021178</v>
      </c>
      <c r="S44" s="47">
        <f>$J$3+[47]FormattedData!L56*$J$4+$M$4*$J$5+[47]FormattedData!L56^2*$J$6+$M$5*$J$7</f>
        <v>62.045092417431803</v>
      </c>
      <c r="T44" s="47">
        <f>$J$3+[47]FormattedData!M56*$J$4+$M$4*$J$5+[47]FormattedData!M56^2*$J$6+$M$5*$J$7</f>
        <v>62.045092417431803</v>
      </c>
      <c r="U44" s="47">
        <f>$J$3+[47]FormattedData!N56*$J$4+$M$4*$J$5+[47]FormattedData!N56^2*$J$6+$M$5*$J$7</f>
        <v>62.209512506690679</v>
      </c>
      <c r="V44" s="47">
        <f>$J$3+[47]FormattedData!O56*$J$4+$M$4*$J$5+[47]FormattedData!O56^2*$J$6+$M$5*$J$7</f>
        <v>62.127323596330193</v>
      </c>
      <c r="W44" s="49">
        <f>AVERAGE(K44:V44)</f>
        <v>62.079175767353242</v>
      </c>
      <c r="X44" s="48">
        <f>STDEV(K44:V44)/SQRT(COUNT(K44:V44))</f>
        <v>7.3410707457367039E-2</v>
      </c>
      <c r="Y44" s="47">
        <f>MIN(K44:V44)</f>
        <v>61.385721318878993</v>
      </c>
      <c r="Z44" s="46">
        <f>QUARTILE(K44:V44,1)</f>
        <v>62.045092417431803</v>
      </c>
      <c r="AA44" s="47">
        <f>MEDIAN(K44:V44)</f>
        <v>62.127323596330193</v>
      </c>
      <c r="AB44" s="46">
        <f>QUARTILE(K44:V44,3)</f>
        <v>62.209512506690679</v>
      </c>
      <c r="AC44" s="46">
        <f>MAX(K44:V44)</f>
        <v>62.373763521797841</v>
      </c>
      <c r="AD44" s="46">
        <f>SKEW(K44:V44)</f>
        <v>-1.9860791272741127</v>
      </c>
      <c r="AE44" s="46">
        <f>KURT(K44:V44)</f>
        <v>5.1319727898051486</v>
      </c>
    </row>
    <row r="45" spans="2:31" x14ac:dyDescent="0.2">
      <c r="B45" s="34">
        <f>[47]FormattedData!A54</f>
        <v>904</v>
      </c>
      <c r="C45" s="34" t="str">
        <f>VLOOKUP($B45,[47]TrtCodes!$B$11:I97,2)</f>
        <v>Early</v>
      </c>
      <c r="D45" s="34">
        <f>VLOOKUP($B45,[47]TrtCodes!$B$11:J97,3)</f>
        <v>21</v>
      </c>
      <c r="E45" s="34">
        <f>VLOOKUP($B45,[47]TrtCodes!$B$11:K97,4)</f>
        <v>3</v>
      </c>
      <c r="F45" s="34">
        <f>VLOOKUP($B45,[47]TrtCodes!$B$11:L97,5)</f>
        <v>2</v>
      </c>
      <c r="G45" s="34">
        <f>VLOOKUP($B45,[47]TrtCodes!$B$11:M97,6)</f>
        <v>2</v>
      </c>
      <c r="H45" s="34">
        <f>VLOOKUP($B45,[47]TrtCodes!$B$11:N97,7)</f>
        <v>1</v>
      </c>
      <c r="I45" s="34">
        <f>[47]FormattedData!B54</f>
        <v>1</v>
      </c>
      <c r="J45" s="37">
        <f>[47]FormattedData!C54</f>
        <v>13.11</v>
      </c>
      <c r="K45" s="39">
        <f>$J$3+[47]FormattedData!D54*$J$4+$M$4*$J$5+[47]FormattedData!D54^2*$J$6+$M$5*$J$7</f>
        <v>54.900950704928647</v>
      </c>
      <c r="L45" s="39">
        <f>$J$3+[47]FormattedData!E54*$J$4+$M$4*$J$5+[47]FormattedData!E54^2*$J$6+$M$5*$J$7</f>
        <v>54.815084431768156</v>
      </c>
      <c r="M45" s="39">
        <f>$J$3+[47]FormattedData!F54*$J$4+$M$4*$J$5+[47]FormattedData!F54^2*$J$6+$M$5*$J$7</f>
        <v>54.126632579118734</v>
      </c>
      <c r="N45" s="39">
        <f>$J$3+[47]FormattedData!G54*$J$4+$M$4*$J$5+[47]FormattedData!G54^2*$J$6+$M$5*$J$7</f>
        <v>55.158295913182528</v>
      </c>
      <c r="O45" s="39">
        <f>$J$3+[47]FormattedData!H54*$J$4+$M$4*$J$5+[47]FormattedData!H54^2*$J$6+$M$5*$J$7</f>
        <v>54.471196653746901</v>
      </c>
      <c r="P45" s="39">
        <f>$J$3+[47]FormattedData!I54*$J$4+$M$4*$J$5+[47]FormattedData!I54^2*$J$6+$M$5*$J$7</f>
        <v>56.524378872771003</v>
      </c>
      <c r="Q45" s="39">
        <f>$J$3+[47]FormattedData!J54*$J$4+$M$4*$J$5+[47]FormattedData!J54^2*$J$6+$M$5*$J$7</f>
        <v>56.864208871150872</v>
      </c>
      <c r="R45" s="39">
        <f>$J$3+[47]FormattedData!K54*$J$4+$M$4*$J$5+[47]FormattedData!K54^2*$J$6+$M$5*$J$7</f>
        <v>55.329648042662122</v>
      </c>
      <c r="S45" s="39">
        <f>$J$3+[47]FormattedData!L54*$J$4+$M$4*$J$5+[47]FormattedData!L54^2*$J$6+$M$5*$J$7</f>
        <v>53.954096930577066</v>
      </c>
      <c r="T45" s="39">
        <f>$J$3+[47]FormattedData!M54*$J$4+$M$4*$J$5+[47]FormattedData!M54^2*$J$6+$M$5*$J$7</f>
        <v>56.524378872771003</v>
      </c>
      <c r="U45" s="39">
        <f>$J$3+[47]FormattedData!N54*$J$4+$M$4*$J$5+[47]FormattedData!N54^2*$J$6+$M$5*$J$7</f>
        <v>56.694378409036794</v>
      </c>
      <c r="V45" s="39">
        <f>$J$3+[47]FormattedData!O54*$J$4+$M$4*$J$5+[47]FormattedData!O54^2*$J$6+$M$5*$J$7</f>
        <v>56.949060699401009</v>
      </c>
      <c r="W45" s="38">
        <f>AVERAGE(K45:V45)</f>
        <v>55.526025915092902</v>
      </c>
      <c r="X45" s="37">
        <f>STDEV(K45:V45)/SQRT(COUNT(K45:V45))</f>
        <v>0.32317201622578523</v>
      </c>
      <c r="Y45" s="36">
        <f>MIN(K45:V45)</f>
        <v>53.954096930577066</v>
      </c>
      <c r="Z45" s="35">
        <f>QUARTILE(K45:V45,1)</f>
        <v>54.729112487262839</v>
      </c>
      <c r="AA45" s="36">
        <f>MEDIAN(K45:V45)</f>
        <v>55.243971977922328</v>
      </c>
      <c r="AB45" s="35">
        <f>QUARTILE(K45:V45,3)</f>
        <v>56.566878756837454</v>
      </c>
      <c r="AC45" s="35">
        <f>MAX(K45:V45)</f>
        <v>56.949060699401009</v>
      </c>
      <c r="AD45" s="35">
        <f>SKEW(K45:V45)</f>
        <v>3.1401175807323364E-2</v>
      </c>
      <c r="AE45" s="35">
        <f>KURT(K45:V45)</f>
        <v>-1.7496063169530776</v>
      </c>
    </row>
    <row r="46" spans="2:31" x14ac:dyDescent="0.2">
      <c r="B46" s="50">
        <f>[47]FormattedData!A52</f>
        <v>905</v>
      </c>
      <c r="C46" s="50" t="str">
        <f>VLOOKUP($B46,[47]TrtCodes!$B$11:I95,2)</f>
        <v>WS</v>
      </c>
      <c r="D46" s="50">
        <f>VLOOKUP($B46,[47]TrtCodes!$B$11:J95,3)</f>
        <v>32</v>
      </c>
      <c r="E46" s="50">
        <f>VLOOKUP($B46,[47]TrtCodes!$B$11:K95,4)</f>
        <v>9</v>
      </c>
      <c r="F46" s="50">
        <f>VLOOKUP($B46,[47]TrtCodes!$B$11:L95,5)</f>
        <v>0</v>
      </c>
      <c r="G46" s="50">
        <f>VLOOKUP($B46,[47]TrtCodes!$B$11:M95,6)</f>
        <v>1</v>
      </c>
      <c r="H46" s="50">
        <f>VLOOKUP($B46,[47]TrtCodes!$B$11:N95,7)</f>
        <v>2</v>
      </c>
      <c r="I46" s="50">
        <f>[47]FormattedData!B52</f>
        <v>1</v>
      </c>
      <c r="J46" s="48">
        <f>[47]FormattedData!C52</f>
        <v>13.103</v>
      </c>
      <c r="K46" s="47">
        <f>$J$3+[47]FormattedData!D52*$J$4+$M$4*$J$5+[47]FormattedData!D52^2*$J$6+$M$5*$J$7</f>
        <v>36.50901863378693</v>
      </c>
      <c r="L46" s="47">
        <f>$J$3+[47]FormattedData!E52*$J$4+$M$4*$J$5+[47]FormattedData!E52^2*$J$6+$M$5*$J$7</f>
        <v>36.50901863378693</v>
      </c>
      <c r="M46" s="47">
        <f>$J$3+[47]FormattedData!F52*$J$4+$M$4*$J$5+[47]FormattedData!F52^2*$J$6+$M$5*$J$7</f>
        <v>35.94145027632733</v>
      </c>
      <c r="N46" s="47">
        <f>$J$3+[47]FormattedData!G52*$J$4+$M$4*$J$5+[47]FormattedData!G52^2*$J$6+$M$5*$J$7</f>
        <v>36.697869937970026</v>
      </c>
      <c r="O46" s="47">
        <f>$J$3+[47]FormattedData!H52*$J$4+$M$4*$J$5+[47]FormattedData!H52^2*$J$6+$M$5*$J$7</f>
        <v>37.075065323881027</v>
      </c>
      <c r="P46" s="47">
        <f>$J$3+[47]FormattedData!I52*$J$4+$M$4*$J$5+[47]FormattedData!I52^2*$J$6+$M$5*$J$7</f>
        <v>36.603465420147444</v>
      </c>
      <c r="Q46" s="47">
        <f>$J$3+[47]FormattedData!J52*$J$4+$M$4*$J$5+[47]FormattedData!J52^2*$J$6+$M$5*$J$7</f>
        <v>36.886552168001394</v>
      </c>
      <c r="R46" s="47">
        <f>$J$3+[47]FormattedData!K52*$J$4+$M$4*$J$5+[47]FormattedData!K52^2*$J$6+$M$5*$J$7</f>
        <v>37.357518043666005</v>
      </c>
      <c r="S46" s="47">
        <f>$J$3+[47]FormattedData!L52*$J$4+$M$4*$J$5+[47]FormattedData!L52^2*$J$6+$M$5*$J$7</f>
        <v>37.169258499013949</v>
      </c>
      <c r="T46" s="47">
        <f>$J$3+[47]FormattedData!M52*$J$4+$M$4*$J$5+[47]FormattedData!M52^2*$J$6+$M$5*$J$7</f>
        <v>37.545608514166325</v>
      </c>
      <c r="U46" s="47">
        <f>$J$3+[47]FormattedData!N52*$J$4+$M$4*$J$5+[47]FormattedData!N52^2*$J$6+$M$5*$J$7</f>
        <v>36.792232187254669</v>
      </c>
      <c r="V46" s="47">
        <f>$J$3+[47]FormattedData!O52*$J$4+$M$4*$J$5+[47]FormattedData!O52^2*$J$6+$M$5*$J$7</f>
        <v>36.886552168001394</v>
      </c>
      <c r="W46" s="49">
        <f>AVERAGE(K46:V46)</f>
        <v>36.831134150500283</v>
      </c>
      <c r="X46" s="48">
        <f>STDEV(K46:V46)/SQRT(COUNT(K46:V46))</f>
        <v>0.12424579735277265</v>
      </c>
      <c r="Y46" s="47">
        <f>MIN(K46:V46)</f>
        <v>35.94145027632733</v>
      </c>
      <c r="Z46" s="46">
        <f>QUARTILE(K46:V46,1)</f>
        <v>36.579853723557314</v>
      </c>
      <c r="AA46" s="47">
        <f>MEDIAN(K46:V46)</f>
        <v>36.839392177628028</v>
      </c>
      <c r="AB46" s="46">
        <f>QUARTILE(K46:V46,3)</f>
        <v>37.098613617664256</v>
      </c>
      <c r="AC46" s="46">
        <f>MAX(K46:V46)</f>
        <v>37.545608514166325</v>
      </c>
      <c r="AD46" s="46">
        <f>SKEW(K46:V46)</f>
        <v>-0.30266937971399077</v>
      </c>
      <c r="AE46" s="46">
        <f>KURT(K46:V46)</f>
        <v>0.58185720202873359</v>
      </c>
    </row>
    <row r="47" spans="2:31" x14ac:dyDescent="0.2">
      <c r="B47" s="34">
        <f>[47]FormattedData!A50</f>
        <v>906</v>
      </c>
      <c r="C47" s="34" t="str">
        <f>VLOOKUP($B47,[47]TrtCodes!$B$11:I93,2)</f>
        <v>Late</v>
      </c>
      <c r="D47" s="34">
        <f>VLOOKUP($B47,[47]TrtCodes!$B$11:J93,3)</f>
        <v>22</v>
      </c>
      <c r="E47" s="34">
        <f>VLOOKUP($B47,[47]TrtCodes!$B$11:K93,4)</f>
        <v>4</v>
      </c>
      <c r="F47" s="34">
        <f>VLOOKUP($B47,[47]TrtCodes!$B$11:L93,5)</f>
        <v>2</v>
      </c>
      <c r="G47" s="34">
        <f>VLOOKUP($B47,[47]TrtCodes!$B$11:M93,6)</f>
        <v>2</v>
      </c>
      <c r="H47" s="34">
        <f>VLOOKUP($B47,[47]TrtCodes!$B$11:N93,7)</f>
        <v>2</v>
      </c>
      <c r="I47" s="34">
        <f>[47]FormattedData!B50</f>
        <v>1</v>
      </c>
      <c r="J47" s="37">
        <f>[47]FormattedData!C50</f>
        <v>13.097</v>
      </c>
      <c r="K47" s="39">
        <f>$J$3+[47]FormattedData!D50*$J$4+$M$4*$J$5+[47]FormattedData!D50^2*$J$6+$M$5*$J$7</f>
        <v>54.212837000582674</v>
      </c>
      <c r="L47" s="39">
        <f>$J$3+[47]FormattedData!E50*$J$4+$M$4*$J$5+[47]FormattedData!E50^2*$J$6+$M$5*$J$7</f>
        <v>56.269062554337815</v>
      </c>
      <c r="M47" s="39">
        <f>$J$3+[47]FormattedData!F50*$J$4+$M$4*$J$5+[47]FormattedData!F50^2*$J$6+$M$5*$J$7</f>
        <v>56.013365819063253</v>
      </c>
      <c r="N47" s="39">
        <f>$J$3+[47]FormattedData!G50*$J$4+$M$4*$J$5+[47]FormattedData!G50^2*$J$6+$M$5*$J$7</f>
        <v>56.013365819063253</v>
      </c>
      <c r="O47" s="39">
        <f>$J$3+[47]FormattedData!H50*$J$4+$M$4*$J$5+[47]FormattedData!H50^2*$J$6+$M$5*$J$7</f>
        <v>55.67184507916614</v>
      </c>
      <c r="P47" s="39">
        <f>$J$3+[47]FormattedData!I50*$J$4+$M$4*$J$5+[47]FormattedData!I50^2*$J$6+$M$5*$J$7</f>
        <v>57.457284029605297</v>
      </c>
      <c r="Q47" s="39">
        <f>$J$3+[47]FormattedData!J50*$J$4+$M$4*$J$5+[47]FormattedData!J50^2*$J$6+$M$5*$J$7</f>
        <v>57.879641086649094</v>
      </c>
      <c r="R47" s="39">
        <f>$J$3+[47]FormattedData!K50*$J$4+$M$4*$J$5+[47]FormattedData!K50^2*$J$6+$M$5*$J$7</f>
        <v>57.710825069445377</v>
      </c>
      <c r="S47" s="39">
        <f>$J$3+[47]FormattedData!L50*$J$4+$M$4*$J$5+[47]FormattedData!L50^2*$J$6+$M$5*$J$7</f>
        <v>56.013365819063253</v>
      </c>
      <c r="T47" s="39">
        <f>$J$3+[47]FormattedData!M50*$J$4+$M$4*$J$5+[47]FormattedData!M50^2*$J$6+$M$5*$J$7</f>
        <v>56.269062554337815</v>
      </c>
      <c r="U47" s="39">
        <f>$J$3+[47]FormattedData!N50*$J$4+$M$4*$J$5+[47]FormattedData!N50^2*$J$6+$M$5*$J$7</f>
        <v>55.158295913182528</v>
      </c>
      <c r="V47" s="39">
        <f>$J$3+[47]FormattedData!O50*$J$4+$M$4*$J$5+[47]FormattedData!O50^2*$J$6+$M$5*$J$7</f>
        <v>55.243993112191291</v>
      </c>
      <c r="W47" s="38">
        <f>AVERAGE(K47:V47)</f>
        <v>56.159411988057322</v>
      </c>
      <c r="X47" s="37">
        <f>STDEV(K47:V47)/SQRT(COUNT(K47:V47))</f>
        <v>0.31389148707592046</v>
      </c>
      <c r="Y47" s="36">
        <f>MIN(K47:V47)</f>
        <v>54.212837000582674</v>
      </c>
      <c r="Z47" s="35">
        <f>QUARTILE(K47:V47,1)</f>
        <v>55.564882087422426</v>
      </c>
      <c r="AA47" s="36">
        <f>MEDIAN(K47:V47)</f>
        <v>56.013365819063253</v>
      </c>
      <c r="AB47" s="35">
        <f>QUARTILE(K47:V47,3)</f>
        <v>56.566117923154685</v>
      </c>
      <c r="AC47" s="35">
        <f>MAX(K47:V47)</f>
        <v>57.879641086649094</v>
      </c>
      <c r="AD47" s="35">
        <f>SKEW(K47:V47)</f>
        <v>0.14780300753855091</v>
      </c>
      <c r="AE47" s="35">
        <f>KURT(K47:V47)</f>
        <v>-0.25603195095653808</v>
      </c>
    </row>
    <row r="48" spans="2:31" x14ac:dyDescent="0.2">
      <c r="B48" s="50">
        <f>[47]FormattedData!A48</f>
        <v>907</v>
      </c>
      <c r="C48" s="50" t="str">
        <f>VLOOKUP($B48,[47]TrtCodes!$B$11:I91,2)</f>
        <v>DS</v>
      </c>
      <c r="D48" s="50">
        <f>VLOOKUP($B48,[47]TrtCodes!$B$11:J91,3)</f>
        <v>31</v>
      </c>
      <c r="E48" s="50">
        <f>VLOOKUP($B48,[47]TrtCodes!$B$11:K91,4)</f>
        <v>8</v>
      </c>
      <c r="F48" s="50">
        <f>VLOOKUP($B48,[47]TrtCodes!$B$11:L91,5)</f>
        <v>0</v>
      </c>
      <c r="G48" s="50">
        <f>VLOOKUP($B48,[47]TrtCodes!$B$11:M91,6)</f>
        <v>1</v>
      </c>
      <c r="H48" s="50">
        <f>VLOOKUP($B48,[47]TrtCodes!$B$11:N91,7)</f>
        <v>2</v>
      </c>
      <c r="I48" s="50">
        <f>[47]FormattedData!B48</f>
        <v>1</v>
      </c>
      <c r="J48" s="48">
        <f>[47]FormattedData!C48</f>
        <v>13.083</v>
      </c>
      <c r="K48" s="47">
        <f>$J$3+[47]FormattedData!D48*$J$4+$M$4*$J$5+[47]FormattedData!D48^2*$J$6+$M$5*$J$7</f>
        <v>61.798145269508979</v>
      </c>
      <c r="L48" s="47">
        <f>$J$3+[47]FormattedData!E48*$J$4+$M$4*$J$5+[47]FormattedData!E48^2*$J$6+$M$5*$J$7</f>
        <v>61.798145269508979</v>
      </c>
      <c r="M48" s="47">
        <f>$J$3+[47]FormattedData!F48*$J$4+$M$4*$J$5+[47]FormattedData!F48^2*$J$6+$M$5*$J$7</f>
        <v>62.045092417431803</v>
      </c>
      <c r="N48" s="47">
        <f>$J$3+[47]FormattedData!G48*$J$4+$M$4*$J$5+[47]FormattedData!G48^2*$J$6+$M$5*$J$7</f>
        <v>62.127323596330193</v>
      </c>
      <c r="O48" s="47">
        <f>$J$3+[47]FormattedData!H48*$J$4+$M$4*$J$5+[47]FormattedData!H48^2*$J$6+$M$5*$J$7</f>
        <v>61.633302494870783</v>
      </c>
      <c r="P48" s="47">
        <f>$J$3+[47]FormattedData!I48*$J$4+$M$4*$J$5+[47]FormattedData!I48^2*$J$6+$M$5*$J$7</f>
        <v>61.962818969995453</v>
      </c>
      <c r="Q48" s="47">
        <f>$J$3+[47]FormattedData!J48*$J$4+$M$4*$J$5+[47]FormattedData!J48^2*$J$6+$M$5*$J$7</f>
        <v>61.962818969995453</v>
      </c>
      <c r="R48" s="47">
        <f>$J$3+[47]FormattedData!K48*$J$4+$M$4*$J$5+[47]FormattedData!K48^2*$J$6+$M$5*$J$7</f>
        <v>62.291659148513226</v>
      </c>
      <c r="S48" s="47">
        <f>$J$3+[47]FormattedData!L48*$J$4+$M$4*$J$5+[47]FormattedData!L48^2*$J$6+$M$5*$J$7</f>
        <v>62.291659148513226</v>
      </c>
      <c r="T48" s="47">
        <f>$J$3+[47]FormattedData!M48*$J$4+$M$4*$J$5+[47]FormattedData!M48^2*$J$6+$M$5*$J$7</f>
        <v>62.373763521797841</v>
      </c>
      <c r="U48" s="47">
        <f>$J$3+[47]FormattedData!N48*$J$4+$M$4*$J$5+[47]FormattedData!N48^2*$J$6+$M$5*$J$7</f>
        <v>62.045092417431803</v>
      </c>
      <c r="V48" s="47">
        <f>$J$3+[47]FormattedData!O48*$J$4+$M$4*$J$5+[47]FormattedData!O48^2*$J$6+$M$5*$J$7</f>
        <v>61.880503254021178</v>
      </c>
      <c r="W48" s="49">
        <f>AVERAGE(K48:V48)</f>
        <v>62.017527039826575</v>
      </c>
      <c r="X48" s="48">
        <f>STDEV(K48:V48)/SQRT(COUNT(K48:V48))</f>
        <v>6.5100326300555469E-2</v>
      </c>
      <c r="Y48" s="47">
        <f>MIN(K48:V48)</f>
        <v>61.633302494870783</v>
      </c>
      <c r="Z48" s="46">
        <f>QUARTILE(K48:V48,1)</f>
        <v>61.859913757893125</v>
      </c>
      <c r="AA48" s="47">
        <f>MEDIAN(K48:V48)</f>
        <v>62.003955693713628</v>
      </c>
      <c r="AB48" s="46">
        <f>QUARTILE(K48:V48,3)</f>
        <v>62.168407484375948</v>
      </c>
      <c r="AC48" s="46">
        <f>MAX(K48:V48)</f>
        <v>62.373763521797841</v>
      </c>
      <c r="AD48" s="46">
        <f>SKEW(K48:V48)</f>
        <v>6.6916754512789639E-2</v>
      </c>
      <c r="AE48" s="46">
        <f>KURT(K48:V48)</f>
        <v>-0.72249126742234004</v>
      </c>
    </row>
    <row r="49" spans="2:31" ht="13.5" thickBot="1" x14ac:dyDescent="0.25">
      <c r="B49" s="45">
        <f>[47]FormattedData!A46</f>
        <v>908</v>
      </c>
      <c r="C49" s="45" t="str">
        <f>VLOOKUP($B49,[47]TrtCodes!$B$11:I89,2)</f>
        <v>Early</v>
      </c>
      <c r="D49" s="45">
        <f>VLOOKUP($B49,[47]TrtCodes!$B$11:J89,3)</f>
        <v>21</v>
      </c>
      <c r="E49" s="45">
        <f>VLOOKUP($B49,[47]TrtCodes!$B$11:K89,4)</f>
        <v>3</v>
      </c>
      <c r="F49" s="45">
        <f>VLOOKUP($B49,[47]TrtCodes!$B$11:L89,5)</f>
        <v>2</v>
      </c>
      <c r="G49" s="45">
        <f>VLOOKUP($B49,[47]TrtCodes!$B$11:M89,6)</f>
        <v>2</v>
      </c>
      <c r="H49" s="45">
        <f>VLOOKUP($B49,[47]TrtCodes!$B$11:N89,7)</f>
        <v>2</v>
      </c>
      <c r="I49" s="45">
        <f>[47]FormattedData!B46</f>
        <v>1</v>
      </c>
      <c r="J49" s="42">
        <f>[47]FormattedData!C46</f>
        <v>13.076000000000001</v>
      </c>
      <c r="K49" s="44">
        <f>$J$3+[47]FormattedData!D46*$J$4+$M$4*$J$5+[47]FormattedData!D46^2*$J$6+$M$5*$J$7</f>
        <v>53.435475540041722</v>
      </c>
      <c r="L49" s="44">
        <f>$J$3+[47]FormattedData!E46*$J$4+$M$4*$J$5+[47]FormattedData!E46^2*$J$6+$M$5*$J$7</f>
        <v>55.243993112191291</v>
      </c>
      <c r="M49" s="44">
        <f>$J$3+[47]FormattedData!F46*$J$4+$M$4*$J$5+[47]FormattedData!F46^2*$J$6+$M$5*$J$7</f>
        <v>55.928049036895871</v>
      </c>
      <c r="N49" s="44">
        <f>$J$3+[47]FormattedData!G46*$J$4+$M$4*$J$5+[47]FormattedData!G46^2*$J$6+$M$5*$J$7</f>
        <v>55.928049036895871</v>
      </c>
      <c r="O49" s="44">
        <f>$J$3+[47]FormattedData!H46*$J$4+$M$4*$J$5+[47]FormattedData!H46^2*$J$6+$M$5*$J$7</f>
        <v>57.203362572923837</v>
      </c>
      <c r="P49" s="44">
        <f>$J$3+[47]FormattedData!I46*$J$4+$M$4*$J$5+[47]FormattedData!I46^2*$J$6+$M$5*$J$7</f>
        <v>55.072556445635826</v>
      </c>
      <c r="Q49" s="44">
        <f>$J$3+[47]FormattedData!J46*$J$4+$M$4*$J$5+[47]FormattedData!J46^2*$J$6+$M$5*$J$7</f>
        <v>57.118637550287495</v>
      </c>
      <c r="R49" s="44">
        <f>$J$3+[47]FormattedData!K46*$J$4+$M$4*$J$5+[47]FormattedData!K46^2*$J$6+$M$5*$J$7</f>
        <v>54.900950704928647</v>
      </c>
      <c r="S49" s="44">
        <f>$J$3+[47]FormattedData!L46*$J$4+$M$4*$J$5+[47]FormattedData!L46^2*$J$6+$M$5*$J$7</f>
        <v>56.524378872771003</v>
      </c>
      <c r="T49" s="44">
        <f>$J$3+[47]FormattedData!M46*$J$4+$M$4*$J$5+[47]FormattedData!M46^2*$J$6+$M$5*$J$7</f>
        <v>57.372685812582745</v>
      </c>
      <c r="U49" s="44">
        <f>$J$3+[47]FormattedData!N46*$J$4+$M$4*$J$5+[47]FormattedData!N46^2*$J$6+$M$5*$J$7</f>
        <v>57.118637550287495</v>
      </c>
      <c r="V49" s="44">
        <f>$J$3+[47]FormattedData!O46*$J$4+$M$4*$J$5+[47]FormattedData!O46^2*$J$6+$M$5*$J$7</f>
        <v>55.842689986190557</v>
      </c>
      <c r="W49" s="43">
        <f>AVERAGE(K49:V49)</f>
        <v>55.974122185136032</v>
      </c>
      <c r="X49" s="42">
        <f>STDEV(K49:V49)/SQRT(COUNT(K49:V49))</f>
        <v>0.34104872095609629</v>
      </c>
      <c r="Y49" s="41">
        <f>MIN(K49:V49)</f>
        <v>53.435475540041722</v>
      </c>
      <c r="Z49" s="40">
        <f>QUARTILE(K49:V49,1)</f>
        <v>55.201133945552428</v>
      </c>
      <c r="AA49" s="41">
        <f>MEDIAN(K49:V49)</f>
        <v>55.928049036895871</v>
      </c>
      <c r="AB49" s="40">
        <f>QUARTILE(K49:V49,3)</f>
        <v>57.118637550287495</v>
      </c>
      <c r="AC49" s="40">
        <f>MAX(K49:V49)</f>
        <v>57.372685812582745</v>
      </c>
      <c r="AD49" s="40">
        <f>SKEW(K49:V49)</f>
        <v>-0.72528663556707862</v>
      </c>
      <c r="AE49" s="40">
        <f>KURT(K49:V49)</f>
        <v>0.28897938424227743</v>
      </c>
    </row>
    <row r="50" spans="2:31" ht="13.5" thickTop="1" x14ac:dyDescent="0.2">
      <c r="B50" s="34">
        <f>[47]FormattedData!A29</f>
        <v>0</v>
      </c>
      <c r="C50" s="34" t="e">
        <f>VLOOKUP($B50,[47]TrtCodes!$B$11:I72,2)</f>
        <v>#N/A</v>
      </c>
      <c r="D50" s="34" t="e">
        <f>VLOOKUP($B50,[47]TrtCodes!$B$11:J72,3)</f>
        <v>#N/A</v>
      </c>
      <c r="E50" s="34" t="e">
        <f>VLOOKUP($B50,[47]TrtCodes!$B$11:K72,4)</f>
        <v>#N/A</v>
      </c>
      <c r="F50" s="34" t="e">
        <f>VLOOKUP($B50,[47]TrtCodes!$B$11:L72,5)</f>
        <v>#N/A</v>
      </c>
      <c r="G50" s="34" t="e">
        <f>VLOOKUP($B50,[47]TrtCodes!$B$11:M72,6)</f>
        <v>#N/A</v>
      </c>
      <c r="H50" s="34" t="e">
        <f>VLOOKUP($B50,[47]TrtCodes!$B$11:N72,7)</f>
        <v>#N/A</v>
      </c>
      <c r="I50" s="34">
        <f>[47]FormattedData!B29</f>
        <v>0</v>
      </c>
      <c r="J50" s="37">
        <f>[47]FormattedData!C29</f>
        <v>0</v>
      </c>
      <c r="K50" s="39">
        <f>$J$3+[47]FormattedData!D29*$J$4+$M$4*$J$5+[47]FormattedData!D29^2*$J$6+$M$5*$J$7</f>
        <v>-0.56767804203664096</v>
      </c>
      <c r="L50" s="39">
        <f>$J$3+[47]FormattedData!E29*$J$4+$M$4*$J$5+[47]FormattedData!E29^2*$J$6+$M$5*$J$7</f>
        <v>-0.56767804203664096</v>
      </c>
      <c r="M50" s="39">
        <f>$J$3+[47]FormattedData!F29*$J$4+$M$4*$J$5+[47]FormattedData!F29^2*$J$6+$M$5*$J$7</f>
        <v>-0.56767804203664096</v>
      </c>
      <c r="N50" s="39">
        <f>$J$3+[47]FormattedData!G29*$J$4+$M$4*$J$5+[47]FormattedData!G29^2*$J$6+$M$5*$J$7</f>
        <v>-0.56767804203664096</v>
      </c>
      <c r="O50" s="39">
        <f>$J$3+[47]FormattedData!H29*$J$4+$M$4*$J$5+[47]FormattedData!H29^2*$J$6+$M$5*$J$7</f>
        <v>-0.56767804203664096</v>
      </c>
      <c r="P50" s="39">
        <f>$J$3+[47]FormattedData!I29*$J$4+$M$4*$J$5+[47]FormattedData!I29^2*$J$6+$M$5*$J$7</f>
        <v>-0.56767804203664096</v>
      </c>
      <c r="Q50" s="39">
        <f>$J$3+[47]FormattedData!J29*$J$4+$M$4*$J$5+[47]FormattedData!J29^2*$J$6+$M$5*$J$7</f>
        <v>-0.56767804203664096</v>
      </c>
      <c r="R50" s="39">
        <f>$J$3+[47]FormattedData!K29*$J$4+$M$4*$J$5+[47]FormattedData!K29^2*$J$6+$M$5*$J$7</f>
        <v>-0.56767804203664096</v>
      </c>
      <c r="S50" s="39">
        <f>$J$3+[47]FormattedData!L29*$J$4+$M$4*$J$5+[47]FormattedData!L29^2*$J$6+$M$5*$J$7</f>
        <v>-0.56767804203664096</v>
      </c>
      <c r="T50" s="39">
        <f>$J$3+[47]FormattedData!M29*$J$4+$M$4*$J$5+[47]FormattedData!M29^2*$J$6+$M$5*$J$7</f>
        <v>-0.56767804203664096</v>
      </c>
      <c r="U50" s="39">
        <f>$J$3+[47]FormattedData!N29*$J$4+$M$4*$J$5+[47]FormattedData!N29^2*$J$6+$M$5*$J$7</f>
        <v>-0.56767804203664096</v>
      </c>
      <c r="V50" s="39">
        <f>$J$3+[47]FormattedData!O29*$J$4+$M$4*$J$5+[47]FormattedData!O29^2*$J$6+$M$5*$J$7</f>
        <v>-0.56767804203664096</v>
      </c>
      <c r="W50" s="38">
        <f>AVERAGE(K50:V50)</f>
        <v>-0.56767804203664085</v>
      </c>
      <c r="X50" s="37">
        <f>STDEV(K50:V50)/SQRT(COUNT(K50:V50))</f>
        <v>3.3474483693592253E-17</v>
      </c>
      <c r="Y50" s="36">
        <f>MIN(K50:V50)</f>
        <v>-0.56767804203664096</v>
      </c>
      <c r="Z50" s="35">
        <f>QUARTILE(K50:V50,1)</f>
        <v>-0.56767804203664096</v>
      </c>
      <c r="AA50" s="36">
        <f>MEDIAN(K50:V50)</f>
        <v>-0.56767804203664096</v>
      </c>
      <c r="AB50" s="35">
        <f>QUARTILE(K50:V50,3)</f>
        <v>-0.56767804203664096</v>
      </c>
      <c r="AC50" s="35">
        <f>MAX(K50:V50)</f>
        <v>-0.56767804203664096</v>
      </c>
      <c r="AD50" s="35">
        <f>SKEW(K50:V50)</f>
        <v>-1.1489125293076057</v>
      </c>
      <c r="AE50" s="35">
        <f>KURT(K50:V50)</f>
        <v>-2.4444444444444446</v>
      </c>
    </row>
    <row r="51" spans="2:31" x14ac:dyDescent="0.2">
      <c r="B51" s="34">
        <f>[47]FormattedData!A27</f>
        <v>0</v>
      </c>
      <c r="C51" s="34" t="e">
        <f>VLOOKUP($B51,[47]TrtCodes!$B$11:I70,2)</f>
        <v>#N/A</v>
      </c>
      <c r="D51" s="34" t="e">
        <f>VLOOKUP($B51,[47]TrtCodes!$B$11:J70,3)</f>
        <v>#N/A</v>
      </c>
      <c r="E51" s="34" t="e">
        <f>VLOOKUP($B51,[47]TrtCodes!$B$11:K70,4)</f>
        <v>#N/A</v>
      </c>
      <c r="F51" s="34" t="e">
        <f>VLOOKUP($B51,[47]TrtCodes!$B$11:L70,5)</f>
        <v>#N/A</v>
      </c>
      <c r="G51" s="34" t="e">
        <f>VLOOKUP($B51,[47]TrtCodes!$B$11:M70,6)</f>
        <v>#N/A</v>
      </c>
      <c r="H51" s="34" t="e">
        <f>VLOOKUP($B51,[47]TrtCodes!$B$11:N70,7)</f>
        <v>#N/A</v>
      </c>
      <c r="I51" s="34">
        <f>[47]FormattedData!B27</f>
        <v>0</v>
      </c>
      <c r="J51" s="37">
        <f>[47]FormattedData!C27</f>
        <v>0</v>
      </c>
      <c r="K51" s="39">
        <f>$J$3+[47]FormattedData!D27*$J$4+$M$4*$J$5+[47]FormattedData!D27^2*$J$6+$M$5*$J$7</f>
        <v>-0.56767804203664096</v>
      </c>
      <c r="L51" s="39">
        <f>$J$3+[47]FormattedData!E27*$J$4+$M$4*$J$5+[47]FormattedData!E27^2*$J$6+$M$5*$J$7</f>
        <v>-0.56767804203664096</v>
      </c>
      <c r="M51" s="39">
        <f>$J$3+[47]FormattedData!F27*$J$4+$M$4*$J$5+[47]FormattedData!F27^2*$J$6+$M$5*$J$7</f>
        <v>-0.56767804203664096</v>
      </c>
      <c r="N51" s="39">
        <f>$J$3+[47]FormattedData!G27*$J$4+$M$4*$J$5+[47]FormattedData!G27^2*$J$6+$M$5*$J$7</f>
        <v>-0.56767804203664096</v>
      </c>
      <c r="O51" s="39">
        <f>$J$3+[47]FormattedData!H27*$J$4+$M$4*$J$5+[47]FormattedData!H27^2*$J$6+$M$5*$J$7</f>
        <v>-0.56767804203664096</v>
      </c>
      <c r="P51" s="39">
        <f>$J$3+[47]FormattedData!I27*$J$4+$M$4*$J$5+[47]FormattedData!I27^2*$J$6+$M$5*$J$7</f>
        <v>-0.56767804203664096</v>
      </c>
      <c r="Q51" s="39">
        <f>$J$3+[47]FormattedData!J27*$J$4+$M$4*$J$5+[47]FormattedData!J27^2*$J$6+$M$5*$J$7</f>
        <v>-0.56767804203664096</v>
      </c>
      <c r="R51" s="39">
        <f>$J$3+[47]FormattedData!K27*$J$4+$M$4*$J$5+[47]FormattedData!K27^2*$J$6+$M$5*$J$7</f>
        <v>-0.56767804203664096</v>
      </c>
      <c r="S51" s="39">
        <f>$J$3+[47]FormattedData!L27*$J$4+$M$4*$J$5+[47]FormattedData!L27^2*$J$6+$M$5*$J$7</f>
        <v>-0.56767804203664096</v>
      </c>
      <c r="T51" s="39">
        <f>$J$3+[47]FormattedData!M27*$J$4+$M$4*$J$5+[47]FormattedData!M27^2*$J$6+$M$5*$J$7</f>
        <v>-0.56767804203664096</v>
      </c>
      <c r="U51" s="39">
        <f>$J$3+[47]FormattedData!N27*$J$4+$M$4*$J$5+[47]FormattedData!N27^2*$J$6+$M$5*$J$7</f>
        <v>-0.56767804203664096</v>
      </c>
      <c r="V51" s="39">
        <f>$J$3+[47]FormattedData!O27*$J$4+$M$4*$J$5+[47]FormattedData!O27^2*$J$6+$M$5*$J$7</f>
        <v>-0.56767804203664096</v>
      </c>
      <c r="W51" s="38">
        <f>AVERAGE(K51:V51)</f>
        <v>-0.56767804203664085</v>
      </c>
      <c r="X51" s="37">
        <f>STDEV(K51:V51)/SQRT(COUNT(K51:V51))</f>
        <v>3.3474483693592253E-17</v>
      </c>
      <c r="Y51" s="36">
        <f>MIN(K51:V51)</f>
        <v>-0.56767804203664096</v>
      </c>
      <c r="Z51" s="35">
        <f>QUARTILE(K51:V51,1)</f>
        <v>-0.56767804203664096</v>
      </c>
      <c r="AA51" s="36">
        <f>MEDIAN(K51:V51)</f>
        <v>-0.56767804203664096</v>
      </c>
      <c r="AB51" s="35">
        <f>QUARTILE(K51:V51,3)</f>
        <v>-0.56767804203664096</v>
      </c>
      <c r="AC51" s="35">
        <f>MAX(K51:V51)</f>
        <v>-0.56767804203664096</v>
      </c>
      <c r="AD51" s="35">
        <f>SKEW(K51:V51)</f>
        <v>-1.1489125293076057</v>
      </c>
      <c r="AE51" s="35">
        <f>KURT(K51:V51)</f>
        <v>-2.4444444444444446</v>
      </c>
    </row>
    <row r="52" spans="2:31" x14ac:dyDescent="0.2">
      <c r="B52" s="34">
        <f>[47]FormattedData!A25</f>
        <v>0</v>
      </c>
      <c r="C52" s="34" t="e">
        <f>VLOOKUP($B52,[47]TrtCodes!$B$11:I68,2)</f>
        <v>#N/A</v>
      </c>
      <c r="D52" s="34" t="e">
        <f>VLOOKUP($B52,[47]TrtCodes!$B$11:J68,3)</f>
        <v>#N/A</v>
      </c>
      <c r="E52" s="34" t="e">
        <f>VLOOKUP($B52,[47]TrtCodes!$B$11:K68,4)</f>
        <v>#N/A</v>
      </c>
      <c r="F52" s="34" t="e">
        <f>VLOOKUP($B52,[47]TrtCodes!$B$11:L68,5)</f>
        <v>#N/A</v>
      </c>
      <c r="G52" s="34" t="e">
        <f>VLOOKUP($B52,[47]TrtCodes!$B$11:M68,6)</f>
        <v>#N/A</v>
      </c>
      <c r="H52" s="34" t="e">
        <f>VLOOKUP($B52,[47]TrtCodes!$B$11:N68,7)</f>
        <v>#N/A</v>
      </c>
      <c r="I52" s="34">
        <f>[47]FormattedData!B25</f>
        <v>0</v>
      </c>
      <c r="J52" s="37">
        <f>[47]FormattedData!C25</f>
        <v>0</v>
      </c>
      <c r="K52" s="39">
        <f>$J$3+[47]FormattedData!D25*$J$4+$M$4*$J$5+[47]FormattedData!D25^2*$J$6+$M$5*$J$7</f>
        <v>-0.56767804203664096</v>
      </c>
      <c r="L52" s="39">
        <f>$J$3+[47]FormattedData!E25*$J$4+$M$4*$J$5+[47]FormattedData!E25^2*$J$6+$M$5*$J$7</f>
        <v>-0.56767804203664096</v>
      </c>
      <c r="M52" s="39">
        <f>$J$3+[47]FormattedData!F25*$J$4+$M$4*$J$5+[47]FormattedData!F25^2*$J$6+$M$5*$J$7</f>
        <v>-0.56767804203664096</v>
      </c>
      <c r="N52" s="39">
        <f>$J$3+[47]FormattedData!G25*$J$4+$M$4*$J$5+[47]FormattedData!G25^2*$J$6+$M$5*$J$7</f>
        <v>-0.56767804203664096</v>
      </c>
      <c r="O52" s="39">
        <f>$J$3+[47]FormattedData!H25*$J$4+$M$4*$J$5+[47]FormattedData!H25^2*$J$6+$M$5*$J$7</f>
        <v>-0.56767804203664096</v>
      </c>
      <c r="P52" s="39">
        <f>$J$3+[47]FormattedData!I25*$J$4+$M$4*$J$5+[47]FormattedData!I25^2*$J$6+$M$5*$J$7</f>
        <v>-0.56767804203664096</v>
      </c>
      <c r="Q52" s="39">
        <f>$J$3+[47]FormattedData!J25*$J$4+$M$4*$J$5+[47]FormattedData!J25^2*$J$6+$M$5*$J$7</f>
        <v>-0.56767804203664096</v>
      </c>
      <c r="R52" s="39">
        <f>$J$3+[47]FormattedData!K25*$J$4+$M$4*$J$5+[47]FormattedData!K25^2*$J$6+$M$5*$J$7</f>
        <v>-0.56767804203664096</v>
      </c>
      <c r="S52" s="39">
        <f>$J$3+[47]FormattedData!L25*$J$4+$M$4*$J$5+[47]FormattedData!L25^2*$J$6+$M$5*$J$7</f>
        <v>-0.56767804203664096</v>
      </c>
      <c r="T52" s="39">
        <f>$J$3+[47]FormattedData!M25*$J$4+$M$4*$J$5+[47]FormattedData!M25^2*$J$6+$M$5*$J$7</f>
        <v>-0.56767804203664096</v>
      </c>
      <c r="U52" s="39">
        <f>$J$3+[47]FormattedData!N25*$J$4+$M$4*$J$5+[47]FormattedData!N25^2*$J$6+$M$5*$J$7</f>
        <v>-0.56767804203664096</v>
      </c>
      <c r="V52" s="39">
        <f>$J$3+[47]FormattedData!O25*$J$4+$M$4*$J$5+[47]FormattedData!O25^2*$J$6+$M$5*$J$7</f>
        <v>-0.56767804203664096</v>
      </c>
      <c r="W52" s="38">
        <f>AVERAGE(K52:V52)</f>
        <v>-0.56767804203664085</v>
      </c>
      <c r="X52" s="37">
        <f>STDEV(K52:V52)/SQRT(COUNT(K52:V52))</f>
        <v>3.3474483693592253E-17</v>
      </c>
      <c r="Y52" s="36">
        <f>MIN(K52:V52)</f>
        <v>-0.56767804203664096</v>
      </c>
      <c r="Z52" s="35">
        <f>QUARTILE(K52:V52,1)</f>
        <v>-0.56767804203664096</v>
      </c>
      <c r="AA52" s="36">
        <f>MEDIAN(K52:V52)</f>
        <v>-0.56767804203664096</v>
      </c>
      <c r="AB52" s="35">
        <f>QUARTILE(K52:V52,3)</f>
        <v>-0.56767804203664096</v>
      </c>
      <c r="AC52" s="35">
        <f>MAX(K52:V52)</f>
        <v>-0.56767804203664096</v>
      </c>
      <c r="AD52" s="35">
        <f>SKEW(K52:V52)</f>
        <v>-1.1489125293076057</v>
      </c>
      <c r="AE52" s="35">
        <f>KURT(K52:V52)</f>
        <v>-2.4444444444444446</v>
      </c>
    </row>
    <row r="53" spans="2:31" x14ac:dyDescent="0.2">
      <c r="B53" s="34">
        <f>[47]FormattedData!A23</f>
        <v>0</v>
      </c>
      <c r="C53" s="34" t="e">
        <f>VLOOKUP($B53,[47]TrtCodes!$B$11:I66,2)</f>
        <v>#N/A</v>
      </c>
      <c r="D53" s="34" t="e">
        <f>VLOOKUP($B53,[47]TrtCodes!$B$11:J66,3)</f>
        <v>#N/A</v>
      </c>
      <c r="E53" s="34" t="e">
        <f>VLOOKUP($B53,[47]TrtCodes!$B$11:K66,4)</f>
        <v>#N/A</v>
      </c>
      <c r="F53" s="34" t="e">
        <f>VLOOKUP($B53,[47]TrtCodes!$B$11:L66,5)</f>
        <v>#N/A</v>
      </c>
      <c r="G53" s="34" t="e">
        <f>VLOOKUP($B53,[47]TrtCodes!$B$11:M66,6)</f>
        <v>#N/A</v>
      </c>
      <c r="H53" s="34" t="e">
        <f>VLOOKUP($B53,[47]TrtCodes!$B$11:N66,7)</f>
        <v>#N/A</v>
      </c>
      <c r="I53" s="34">
        <f>[47]FormattedData!B23</f>
        <v>0</v>
      </c>
      <c r="J53" s="37">
        <f>[47]FormattedData!C23</f>
        <v>0</v>
      </c>
      <c r="K53" s="39">
        <f>$J$3+[47]FormattedData!D23*$J$4+$M$4*$J$5+[47]FormattedData!D23^2*$J$6+$M$5*$J$7</f>
        <v>-0.56767804203664096</v>
      </c>
      <c r="L53" s="39">
        <f>$J$3+[47]FormattedData!E23*$J$4+$M$4*$J$5+[47]FormattedData!E23^2*$J$6+$M$5*$J$7</f>
        <v>-0.56767804203664096</v>
      </c>
      <c r="M53" s="39">
        <f>$J$3+[47]FormattedData!F23*$J$4+$M$4*$J$5+[47]FormattedData!F23^2*$J$6+$M$5*$J$7</f>
        <v>-0.56767804203664096</v>
      </c>
      <c r="N53" s="39">
        <f>$J$3+[47]FormattedData!G23*$J$4+$M$4*$J$5+[47]FormattedData!G23^2*$J$6+$M$5*$J$7</f>
        <v>-0.56767804203664096</v>
      </c>
      <c r="O53" s="39">
        <f>$J$3+[47]FormattedData!H23*$J$4+$M$4*$J$5+[47]FormattedData!H23^2*$J$6+$M$5*$J$7</f>
        <v>-0.56767804203664096</v>
      </c>
      <c r="P53" s="39">
        <f>$J$3+[47]FormattedData!I23*$J$4+$M$4*$J$5+[47]FormattedData!I23^2*$J$6+$M$5*$J$7</f>
        <v>-0.56767804203664096</v>
      </c>
      <c r="Q53" s="39">
        <f>$J$3+[47]FormattedData!J23*$J$4+$M$4*$J$5+[47]FormattedData!J23^2*$J$6+$M$5*$J$7</f>
        <v>-0.56767804203664096</v>
      </c>
      <c r="R53" s="39">
        <f>$J$3+[47]FormattedData!K23*$J$4+$M$4*$J$5+[47]FormattedData!K23^2*$J$6+$M$5*$J$7</f>
        <v>-0.56767804203664096</v>
      </c>
      <c r="S53" s="39">
        <f>$J$3+[47]FormattedData!L23*$J$4+$M$4*$J$5+[47]FormattedData!L23^2*$J$6+$M$5*$J$7</f>
        <v>-0.56767804203664096</v>
      </c>
      <c r="T53" s="39">
        <f>$J$3+[47]FormattedData!M23*$J$4+$M$4*$J$5+[47]FormattedData!M23^2*$J$6+$M$5*$J$7</f>
        <v>-0.56767804203664096</v>
      </c>
      <c r="U53" s="39">
        <f>$J$3+[47]FormattedData!N23*$J$4+$M$4*$J$5+[47]FormattedData!N23^2*$J$6+$M$5*$J$7</f>
        <v>-0.56767804203664096</v>
      </c>
      <c r="V53" s="39">
        <f>$J$3+[47]FormattedData!O23*$J$4+$M$4*$J$5+[47]FormattedData!O23^2*$J$6+$M$5*$J$7</f>
        <v>-0.56767804203664096</v>
      </c>
      <c r="W53" s="38">
        <f>AVERAGE(K53:V53)</f>
        <v>-0.56767804203664085</v>
      </c>
      <c r="X53" s="37">
        <f>STDEV(K53:V53)/SQRT(COUNT(K53:V53))</f>
        <v>3.3474483693592253E-17</v>
      </c>
      <c r="Y53" s="36">
        <f>MIN(K53:V53)</f>
        <v>-0.56767804203664096</v>
      </c>
      <c r="Z53" s="35">
        <f>QUARTILE(K53:V53,1)</f>
        <v>-0.56767804203664096</v>
      </c>
      <c r="AA53" s="36">
        <f>MEDIAN(K53:V53)</f>
        <v>-0.56767804203664096</v>
      </c>
      <c r="AB53" s="35">
        <f>QUARTILE(K53:V53,3)</f>
        <v>-0.56767804203664096</v>
      </c>
      <c r="AC53" s="35">
        <f>MAX(K53:V53)</f>
        <v>-0.56767804203664096</v>
      </c>
      <c r="AD53" s="35">
        <f>SKEW(K53:V53)</f>
        <v>-1.1489125293076057</v>
      </c>
      <c r="AE53" s="35">
        <f>KURT(K53:V53)</f>
        <v>-2.4444444444444446</v>
      </c>
    </row>
    <row r="54" spans="2:31" x14ac:dyDescent="0.2">
      <c r="B54" s="34">
        <f>[47]FormattedData!A21</f>
        <v>0</v>
      </c>
      <c r="C54" s="34" t="e">
        <f>VLOOKUP($B54,[47]TrtCodes!$B$11:I64,2)</f>
        <v>#N/A</v>
      </c>
      <c r="D54" s="34" t="e">
        <f>VLOOKUP($B54,[47]TrtCodes!$B$11:J64,3)</f>
        <v>#N/A</v>
      </c>
      <c r="E54" s="34" t="e">
        <f>VLOOKUP($B54,[47]TrtCodes!$B$11:K64,4)</f>
        <v>#N/A</v>
      </c>
      <c r="F54" s="34" t="e">
        <f>VLOOKUP($B54,[47]TrtCodes!$B$11:L64,5)</f>
        <v>#N/A</v>
      </c>
      <c r="G54" s="34" t="e">
        <f>VLOOKUP($B54,[47]TrtCodes!$B$11:M64,6)</f>
        <v>#N/A</v>
      </c>
      <c r="H54" s="34" t="e">
        <f>VLOOKUP($B54,[47]TrtCodes!$B$11:N64,7)</f>
        <v>#N/A</v>
      </c>
      <c r="I54" s="34">
        <f>[47]FormattedData!B21</f>
        <v>0</v>
      </c>
      <c r="J54" s="37">
        <f>[47]FormattedData!C21</f>
        <v>0</v>
      </c>
      <c r="K54" s="39">
        <f>$J$3+[47]FormattedData!D21*$J$4+$M$4*$J$5+[47]FormattedData!D21^2*$J$6+$M$5*$J$7</f>
        <v>-0.56767804203664096</v>
      </c>
      <c r="L54" s="39">
        <f>$J$3+[47]FormattedData!E21*$J$4+$M$4*$J$5+[47]FormattedData!E21^2*$J$6+$M$5*$J$7</f>
        <v>-0.56767804203664096</v>
      </c>
      <c r="M54" s="39">
        <f>$J$3+[47]FormattedData!F21*$J$4+$M$4*$J$5+[47]FormattedData!F21^2*$J$6+$M$5*$J$7</f>
        <v>-0.56767804203664096</v>
      </c>
      <c r="N54" s="39">
        <f>$J$3+[47]FormattedData!G21*$J$4+$M$4*$J$5+[47]FormattedData!G21^2*$J$6+$M$5*$J$7</f>
        <v>-0.56767804203664096</v>
      </c>
      <c r="O54" s="39">
        <f>$J$3+[47]FormattedData!H21*$J$4+$M$4*$J$5+[47]FormattedData!H21^2*$J$6+$M$5*$J$7</f>
        <v>-0.56767804203664096</v>
      </c>
      <c r="P54" s="39">
        <f>$J$3+[47]FormattedData!I21*$J$4+$M$4*$J$5+[47]FormattedData!I21^2*$J$6+$M$5*$J$7</f>
        <v>-0.56767804203664096</v>
      </c>
      <c r="Q54" s="39">
        <f>$J$3+[47]FormattedData!J21*$J$4+$M$4*$J$5+[47]FormattedData!J21^2*$J$6+$M$5*$J$7</f>
        <v>-0.56767804203664096</v>
      </c>
      <c r="R54" s="39">
        <f>$J$3+[47]FormattedData!K21*$J$4+$M$4*$J$5+[47]FormattedData!K21^2*$J$6+$M$5*$J$7</f>
        <v>-0.56767804203664096</v>
      </c>
      <c r="S54" s="39">
        <f>$J$3+[47]FormattedData!L21*$J$4+$M$4*$J$5+[47]FormattedData!L21^2*$J$6+$M$5*$J$7</f>
        <v>-0.56767804203664096</v>
      </c>
      <c r="T54" s="39">
        <f>$J$3+[47]FormattedData!M21*$J$4+$M$4*$J$5+[47]FormattedData!M21^2*$J$6+$M$5*$J$7</f>
        <v>-0.56767804203664096</v>
      </c>
      <c r="U54" s="39">
        <f>$J$3+[47]FormattedData!N21*$J$4+$M$4*$J$5+[47]FormattedData!N21^2*$J$6+$M$5*$J$7</f>
        <v>-0.56767804203664096</v>
      </c>
      <c r="V54" s="39">
        <f>$J$3+[47]FormattedData!O21*$J$4+$M$4*$J$5+[47]FormattedData!O21^2*$J$6+$M$5*$J$7</f>
        <v>-0.56767804203664096</v>
      </c>
      <c r="W54" s="38">
        <f>AVERAGE(K54:V54)</f>
        <v>-0.56767804203664085</v>
      </c>
      <c r="X54" s="37">
        <f>STDEV(K54:V54)/SQRT(COUNT(K54:V54))</f>
        <v>3.3474483693592253E-17</v>
      </c>
      <c r="Y54" s="36">
        <f>MIN(K54:V54)</f>
        <v>-0.56767804203664096</v>
      </c>
      <c r="Z54" s="35">
        <f>QUARTILE(K54:V54,1)</f>
        <v>-0.56767804203664096</v>
      </c>
      <c r="AA54" s="36">
        <f>MEDIAN(K54:V54)</f>
        <v>-0.56767804203664096</v>
      </c>
      <c r="AB54" s="35">
        <f>QUARTILE(K54:V54,3)</f>
        <v>-0.56767804203664096</v>
      </c>
      <c r="AC54" s="35">
        <f>MAX(K54:V54)</f>
        <v>-0.56767804203664096</v>
      </c>
      <c r="AD54" s="35">
        <f>SKEW(K54:V54)</f>
        <v>-1.1489125293076057</v>
      </c>
      <c r="AE54" s="35">
        <f>KURT(K54:V54)</f>
        <v>-2.4444444444444446</v>
      </c>
    </row>
    <row r="55" spans="2:31" x14ac:dyDescent="0.2">
      <c r="B55" s="34">
        <f>[47]FormattedData!A19</f>
        <v>0</v>
      </c>
      <c r="C55" s="34" t="e">
        <f>VLOOKUP($B55,[47]TrtCodes!$B$11:I62,2)</f>
        <v>#N/A</v>
      </c>
      <c r="D55" s="34" t="e">
        <f>VLOOKUP($B55,[47]TrtCodes!$B$11:J62,3)</f>
        <v>#N/A</v>
      </c>
      <c r="E55" s="34" t="e">
        <f>VLOOKUP($B55,[47]TrtCodes!$B$11:K62,4)</f>
        <v>#N/A</v>
      </c>
      <c r="F55" s="34" t="e">
        <f>VLOOKUP($B55,[47]TrtCodes!$B$11:L62,5)</f>
        <v>#N/A</v>
      </c>
      <c r="G55" s="34" t="e">
        <f>VLOOKUP($B55,[47]TrtCodes!$B$11:M62,6)</f>
        <v>#N/A</v>
      </c>
      <c r="H55" s="34" t="e">
        <f>VLOOKUP($B55,[47]TrtCodes!$B$11:N62,7)</f>
        <v>#N/A</v>
      </c>
      <c r="I55" s="34">
        <f>[47]FormattedData!B19</f>
        <v>0</v>
      </c>
      <c r="J55" s="37">
        <f>[47]FormattedData!C19</f>
        <v>0</v>
      </c>
      <c r="K55" s="39">
        <f>$J$3+[47]FormattedData!D19*$J$4+$M$4*$J$5+[47]FormattedData!D19^2*$J$6+$M$5*$J$7</f>
        <v>-0.56767804203664096</v>
      </c>
      <c r="L55" s="39">
        <f>$J$3+[47]FormattedData!E19*$J$4+$M$4*$J$5+[47]FormattedData!E19^2*$J$6+$M$5*$J$7</f>
        <v>-0.56767804203664096</v>
      </c>
      <c r="M55" s="39">
        <f>$J$3+[47]FormattedData!F19*$J$4+$M$4*$J$5+[47]FormattedData!F19^2*$J$6+$M$5*$J$7</f>
        <v>-0.56767804203664096</v>
      </c>
      <c r="N55" s="39">
        <f>$J$3+[47]FormattedData!G19*$J$4+$M$4*$J$5+[47]FormattedData!G19^2*$J$6+$M$5*$J$7</f>
        <v>-0.56767804203664096</v>
      </c>
      <c r="O55" s="39">
        <f>$J$3+[47]FormattedData!H19*$J$4+$M$4*$J$5+[47]FormattedData!H19^2*$J$6+$M$5*$J$7</f>
        <v>-0.56767804203664096</v>
      </c>
      <c r="P55" s="39">
        <f>$J$3+[47]FormattedData!I19*$J$4+$M$4*$J$5+[47]FormattedData!I19^2*$J$6+$M$5*$J$7</f>
        <v>-0.56767804203664096</v>
      </c>
      <c r="Q55" s="39">
        <f>$J$3+[47]FormattedData!J19*$J$4+$M$4*$J$5+[47]FormattedData!J19^2*$J$6+$M$5*$J$7</f>
        <v>-0.56767804203664096</v>
      </c>
      <c r="R55" s="39">
        <f>$J$3+[47]FormattedData!K19*$J$4+$M$4*$J$5+[47]FormattedData!K19^2*$J$6+$M$5*$J$7</f>
        <v>-0.56767804203664096</v>
      </c>
      <c r="S55" s="39">
        <f>$J$3+[47]FormattedData!L19*$J$4+$M$4*$J$5+[47]FormattedData!L19^2*$J$6+$M$5*$J$7</f>
        <v>-0.56767804203664096</v>
      </c>
      <c r="T55" s="39">
        <f>$J$3+[47]FormattedData!M19*$J$4+$M$4*$J$5+[47]FormattedData!M19^2*$J$6+$M$5*$J$7</f>
        <v>-0.56767804203664096</v>
      </c>
      <c r="U55" s="39">
        <f>$J$3+[47]FormattedData!N19*$J$4+$M$4*$J$5+[47]FormattedData!N19^2*$J$6+$M$5*$J$7</f>
        <v>-0.56767804203664096</v>
      </c>
      <c r="V55" s="39">
        <f>$J$3+[47]FormattedData!O19*$J$4+$M$4*$J$5+[47]FormattedData!O19^2*$J$6+$M$5*$J$7</f>
        <v>-0.56767804203664096</v>
      </c>
      <c r="W55" s="38">
        <f>AVERAGE(K55:V55)</f>
        <v>-0.56767804203664085</v>
      </c>
      <c r="X55" s="37">
        <f>STDEV(K55:V55)/SQRT(COUNT(K55:V55))</f>
        <v>3.3474483693592253E-17</v>
      </c>
      <c r="Y55" s="36">
        <f>MIN(K55:V55)</f>
        <v>-0.56767804203664096</v>
      </c>
      <c r="Z55" s="35">
        <f>QUARTILE(K55:V55,1)</f>
        <v>-0.56767804203664096</v>
      </c>
      <c r="AA55" s="36">
        <f>MEDIAN(K55:V55)</f>
        <v>-0.56767804203664096</v>
      </c>
      <c r="AB55" s="35">
        <f>QUARTILE(K55:V55,3)</f>
        <v>-0.56767804203664096</v>
      </c>
      <c r="AC55" s="35">
        <f>MAX(K55:V55)</f>
        <v>-0.56767804203664096</v>
      </c>
      <c r="AD55" s="35">
        <f>SKEW(K55:V55)</f>
        <v>-1.1489125293076057</v>
      </c>
      <c r="AE55" s="35">
        <f>KURT(K55:V55)</f>
        <v>-2.4444444444444446</v>
      </c>
    </row>
    <row r="56" spans="2:31" x14ac:dyDescent="0.2">
      <c r="B56" s="34">
        <f>[47]FormattedData!A17</f>
        <v>0</v>
      </c>
      <c r="C56" s="34" t="e">
        <f>VLOOKUP($B56,[47]TrtCodes!$B$11:I60,2)</f>
        <v>#N/A</v>
      </c>
      <c r="D56" s="34" t="e">
        <f>VLOOKUP($B56,[47]TrtCodes!$B$11:J60,3)</f>
        <v>#N/A</v>
      </c>
      <c r="E56" s="34" t="e">
        <f>VLOOKUP($B56,[47]TrtCodes!$B$11:K60,4)</f>
        <v>#N/A</v>
      </c>
      <c r="F56" s="34" t="e">
        <f>VLOOKUP($B56,[47]TrtCodes!$B$11:L60,5)</f>
        <v>#N/A</v>
      </c>
      <c r="G56" s="34" t="e">
        <f>VLOOKUP($B56,[47]TrtCodes!$B$11:M60,6)</f>
        <v>#N/A</v>
      </c>
      <c r="H56" s="34" t="e">
        <f>VLOOKUP($B56,[47]TrtCodes!$B$11:N60,7)</f>
        <v>#N/A</v>
      </c>
      <c r="I56" s="34">
        <f>[47]FormattedData!B17</f>
        <v>0</v>
      </c>
      <c r="J56" s="37">
        <f>[47]FormattedData!C17</f>
        <v>0</v>
      </c>
      <c r="K56" s="39">
        <f>$J$3+[47]FormattedData!D17*$J$4+$M$4*$J$5+[47]FormattedData!D17^2*$J$6+$M$5*$J$7</f>
        <v>-0.56767804203664096</v>
      </c>
      <c r="L56" s="39">
        <f>$J$3+[47]FormattedData!E17*$J$4+$M$4*$J$5+[47]FormattedData!E17^2*$J$6+$M$5*$J$7</f>
        <v>-0.56767804203664096</v>
      </c>
      <c r="M56" s="39">
        <f>$J$3+[47]FormattedData!F17*$J$4+$M$4*$J$5+[47]FormattedData!F17^2*$J$6+$M$5*$J$7</f>
        <v>-0.56767804203664096</v>
      </c>
      <c r="N56" s="39">
        <f>$J$3+[47]FormattedData!G17*$J$4+$M$4*$J$5+[47]FormattedData!G17^2*$J$6+$M$5*$J$7</f>
        <v>-0.56767804203664096</v>
      </c>
      <c r="O56" s="39">
        <f>$J$3+[47]FormattedData!H17*$J$4+$M$4*$J$5+[47]FormattedData!H17^2*$J$6+$M$5*$J$7</f>
        <v>-0.56767804203664096</v>
      </c>
      <c r="P56" s="39">
        <f>$J$3+[47]FormattedData!I17*$J$4+$M$4*$J$5+[47]FormattedData!I17^2*$J$6+$M$5*$J$7</f>
        <v>-0.56767804203664096</v>
      </c>
      <c r="Q56" s="39">
        <f>$J$3+[47]FormattedData!J17*$J$4+$M$4*$J$5+[47]FormattedData!J17^2*$J$6+$M$5*$J$7</f>
        <v>-0.56767804203664096</v>
      </c>
      <c r="R56" s="39">
        <f>$J$3+[47]FormattedData!K17*$J$4+$M$4*$J$5+[47]FormattedData!K17^2*$J$6+$M$5*$J$7</f>
        <v>-0.56767804203664096</v>
      </c>
      <c r="S56" s="39">
        <f>$J$3+[47]FormattedData!L17*$J$4+$M$4*$J$5+[47]FormattedData!L17^2*$J$6+$M$5*$J$7</f>
        <v>-0.56767804203664096</v>
      </c>
      <c r="T56" s="39">
        <f>$J$3+[47]FormattedData!M17*$J$4+$M$4*$J$5+[47]FormattedData!M17^2*$J$6+$M$5*$J$7</f>
        <v>-0.56767804203664096</v>
      </c>
      <c r="U56" s="39">
        <f>$J$3+[47]FormattedData!N17*$J$4+$M$4*$J$5+[47]FormattedData!N17^2*$J$6+$M$5*$J$7</f>
        <v>-0.56767804203664096</v>
      </c>
      <c r="V56" s="39">
        <f>$J$3+[47]FormattedData!O17*$J$4+$M$4*$J$5+[47]FormattedData!O17^2*$J$6+$M$5*$J$7</f>
        <v>-0.56767804203664096</v>
      </c>
      <c r="W56" s="38">
        <f>AVERAGE(K56:V56)</f>
        <v>-0.56767804203664085</v>
      </c>
      <c r="X56" s="37">
        <f>STDEV(K56:V56)/SQRT(COUNT(K56:V56))</f>
        <v>3.3474483693592253E-17</v>
      </c>
      <c r="Y56" s="36">
        <f>MIN(K56:V56)</f>
        <v>-0.56767804203664096</v>
      </c>
      <c r="Z56" s="35">
        <f>QUARTILE(K56:V56,1)</f>
        <v>-0.56767804203664096</v>
      </c>
      <c r="AA56" s="36">
        <f>MEDIAN(K56:V56)</f>
        <v>-0.56767804203664096</v>
      </c>
      <c r="AB56" s="35">
        <f>QUARTILE(K56:V56,3)</f>
        <v>-0.56767804203664096</v>
      </c>
      <c r="AC56" s="35">
        <f>MAX(K56:V56)</f>
        <v>-0.56767804203664096</v>
      </c>
      <c r="AD56" s="35">
        <f>SKEW(K56:V56)</f>
        <v>-1.1489125293076057</v>
      </c>
      <c r="AE56" s="35">
        <f>KURT(K56:V56)</f>
        <v>-2.4444444444444446</v>
      </c>
    </row>
    <row r="57" spans="2:31" x14ac:dyDescent="0.2">
      <c r="B57" s="34">
        <f>[47]FormattedData!A15</f>
        <v>0</v>
      </c>
      <c r="C57" s="34" t="e">
        <f>VLOOKUP($B57,[47]TrtCodes!$B$11:I58,2)</f>
        <v>#N/A</v>
      </c>
      <c r="D57" s="34" t="e">
        <f>VLOOKUP($B57,[47]TrtCodes!$B$11:J58,3)</f>
        <v>#N/A</v>
      </c>
      <c r="E57" s="34" t="e">
        <f>VLOOKUP($B57,[47]TrtCodes!$B$11:K58,4)</f>
        <v>#N/A</v>
      </c>
      <c r="F57" s="34" t="e">
        <f>VLOOKUP($B57,[47]TrtCodes!$B$11:L58,5)</f>
        <v>#N/A</v>
      </c>
      <c r="G57" s="34" t="e">
        <f>VLOOKUP($B57,[47]TrtCodes!$B$11:M58,6)</f>
        <v>#N/A</v>
      </c>
      <c r="H57" s="34" t="e">
        <f>VLOOKUP($B57,[47]TrtCodes!$B$11:N58,7)</f>
        <v>#N/A</v>
      </c>
      <c r="I57" s="34">
        <f>[47]FormattedData!B15</f>
        <v>0</v>
      </c>
      <c r="J57" s="37">
        <f>[47]FormattedData!C15</f>
        <v>0</v>
      </c>
      <c r="K57" s="39">
        <f>$J$3+[47]FormattedData!D15*$J$4+$M$4*$J$5+[47]FormattedData!D15^2*$J$6+$M$5*$J$7</f>
        <v>-0.56767804203664096</v>
      </c>
      <c r="L57" s="39">
        <f>$J$3+[47]FormattedData!E15*$J$4+$M$4*$J$5+[47]FormattedData!E15^2*$J$6+$M$5*$J$7</f>
        <v>-0.56767804203664096</v>
      </c>
      <c r="M57" s="39">
        <f>$J$3+[47]FormattedData!F15*$J$4+$M$4*$J$5+[47]FormattedData!F15^2*$J$6+$M$5*$J$7</f>
        <v>-0.56767804203664096</v>
      </c>
      <c r="N57" s="39">
        <f>$J$3+[47]FormattedData!G15*$J$4+$M$4*$J$5+[47]FormattedData!G15^2*$J$6+$M$5*$J$7</f>
        <v>-0.56767804203664096</v>
      </c>
      <c r="O57" s="39">
        <f>$J$3+[47]FormattedData!H15*$J$4+$M$4*$J$5+[47]FormattedData!H15^2*$J$6+$M$5*$J$7</f>
        <v>-0.56767804203664096</v>
      </c>
      <c r="P57" s="39">
        <f>$J$3+[47]FormattedData!I15*$J$4+$M$4*$J$5+[47]FormattedData!I15^2*$J$6+$M$5*$J$7</f>
        <v>-0.56767804203664096</v>
      </c>
      <c r="Q57" s="39">
        <f>$J$3+[47]FormattedData!J15*$J$4+$M$4*$J$5+[47]FormattedData!J15^2*$J$6+$M$5*$J$7</f>
        <v>-0.56767804203664096</v>
      </c>
      <c r="R57" s="39">
        <f>$J$3+[47]FormattedData!K15*$J$4+$M$4*$J$5+[47]FormattedData!K15^2*$J$6+$M$5*$J$7</f>
        <v>-0.56767804203664096</v>
      </c>
      <c r="S57" s="39">
        <f>$J$3+[47]FormattedData!L15*$J$4+$M$4*$J$5+[47]FormattedData!L15^2*$J$6+$M$5*$J$7</f>
        <v>-0.56767804203664096</v>
      </c>
      <c r="T57" s="39">
        <f>$J$3+[47]FormattedData!M15*$J$4+$M$4*$J$5+[47]FormattedData!M15^2*$J$6+$M$5*$J$7</f>
        <v>-0.56767804203664096</v>
      </c>
      <c r="U57" s="39">
        <f>$J$3+[47]FormattedData!N15*$J$4+$M$4*$J$5+[47]FormattedData!N15^2*$J$6+$M$5*$J$7</f>
        <v>-0.56767804203664096</v>
      </c>
      <c r="V57" s="39">
        <f>$J$3+[47]FormattedData!O15*$J$4+$M$4*$J$5+[47]FormattedData!O15^2*$J$6+$M$5*$J$7</f>
        <v>-0.56767804203664096</v>
      </c>
      <c r="W57" s="38">
        <f>AVERAGE(K57:V57)</f>
        <v>-0.56767804203664085</v>
      </c>
      <c r="X57" s="37">
        <f>STDEV(K57:V57)/SQRT(COUNT(K57:V57))</f>
        <v>3.3474483693592253E-17</v>
      </c>
      <c r="Y57" s="36">
        <f>MIN(K57:V57)</f>
        <v>-0.56767804203664096</v>
      </c>
      <c r="Z57" s="35">
        <f>QUARTILE(K57:V57,1)</f>
        <v>-0.56767804203664096</v>
      </c>
      <c r="AA57" s="36">
        <f>MEDIAN(K57:V57)</f>
        <v>-0.56767804203664096</v>
      </c>
      <c r="AB57" s="35">
        <f>QUARTILE(K57:V57,3)</f>
        <v>-0.56767804203664096</v>
      </c>
      <c r="AC57" s="35">
        <f>MAX(K57:V57)</f>
        <v>-0.56767804203664096</v>
      </c>
      <c r="AD57" s="35">
        <f>SKEW(K57:V57)</f>
        <v>-1.1489125293076057</v>
      </c>
      <c r="AE57" s="35">
        <f>KURT(K57:V57)</f>
        <v>-2.4444444444444446</v>
      </c>
    </row>
    <row r="58" spans="2:31" x14ac:dyDescent="0.2">
      <c r="B58" s="34">
        <f>[47]FormattedData!A31</f>
        <v>0</v>
      </c>
      <c r="C58" s="34" t="e">
        <f>VLOOKUP($B58,[47]TrtCodes!$B$11:I74,2)</f>
        <v>#N/A</v>
      </c>
      <c r="D58" s="34" t="e">
        <f>VLOOKUP($B58,[47]TrtCodes!$B$11:J74,3)</f>
        <v>#N/A</v>
      </c>
      <c r="E58" s="34" t="e">
        <f>VLOOKUP($B58,[47]TrtCodes!$B$11:K74,4)</f>
        <v>#N/A</v>
      </c>
      <c r="F58" s="34" t="e">
        <f>VLOOKUP($B58,[47]TrtCodes!$B$11:L74,5)</f>
        <v>#N/A</v>
      </c>
      <c r="G58" s="34" t="e">
        <f>VLOOKUP($B58,[47]TrtCodes!$B$11:M74,6)</f>
        <v>#N/A</v>
      </c>
      <c r="H58" s="34" t="e">
        <f>VLOOKUP($B58,[47]TrtCodes!$B$11:N74,7)</f>
        <v>#N/A</v>
      </c>
      <c r="I58" s="34">
        <f>[47]FormattedData!B31</f>
        <v>0</v>
      </c>
      <c r="J58" s="37">
        <f>[47]FormattedData!C31</f>
        <v>0</v>
      </c>
      <c r="K58" s="39">
        <f>$J$3+[47]FormattedData!D31*$J$4+$M$4*$J$5+[47]FormattedData!D31^2*$J$6+$M$5*$J$7</f>
        <v>-0.56767804203664096</v>
      </c>
      <c r="L58" s="39">
        <f>$J$3+[47]FormattedData!E31*$J$4+$M$4*$J$5+[47]FormattedData!E31^2*$J$6+$M$5*$J$7</f>
        <v>-0.56767804203664096</v>
      </c>
      <c r="M58" s="39">
        <f>$J$3+[47]FormattedData!F31*$J$4+$M$4*$J$5+[47]FormattedData!F31^2*$J$6+$M$5*$J$7</f>
        <v>-0.56767804203664096</v>
      </c>
      <c r="N58" s="39">
        <f>$J$3+[47]FormattedData!G31*$J$4+$M$4*$J$5+[47]FormattedData!G31^2*$J$6+$M$5*$J$7</f>
        <v>-0.56767804203664096</v>
      </c>
      <c r="O58" s="39">
        <f>$J$3+[47]FormattedData!H31*$J$4+$M$4*$J$5+[47]FormattedData!H31^2*$J$6+$M$5*$J$7</f>
        <v>-0.56767804203664096</v>
      </c>
      <c r="P58" s="39">
        <f>$J$3+[47]FormattedData!I31*$J$4+$M$4*$J$5+[47]FormattedData!I31^2*$J$6+$M$5*$J$7</f>
        <v>-0.56767804203664096</v>
      </c>
      <c r="Q58" s="39">
        <f>$J$3+[47]FormattedData!J31*$J$4+$M$4*$J$5+[47]FormattedData!J31^2*$J$6+$M$5*$J$7</f>
        <v>-0.56767804203664096</v>
      </c>
      <c r="R58" s="39">
        <f>$J$3+[47]FormattedData!K31*$J$4+$M$4*$J$5+[47]FormattedData!K31^2*$J$6+$M$5*$J$7</f>
        <v>-0.56767804203664096</v>
      </c>
      <c r="S58" s="39">
        <f>$J$3+[47]FormattedData!L31*$J$4+$M$4*$J$5+[47]FormattedData!L31^2*$J$6+$M$5*$J$7</f>
        <v>-0.56767804203664096</v>
      </c>
      <c r="T58" s="39">
        <f>$J$3+[47]FormattedData!M31*$J$4+$M$4*$J$5+[47]FormattedData!M31^2*$J$6+$M$5*$J$7</f>
        <v>-0.56767804203664096</v>
      </c>
      <c r="U58" s="39">
        <f>$J$3+[47]FormattedData!N31*$J$4+$M$4*$J$5+[47]FormattedData!N31^2*$J$6+$M$5*$J$7</f>
        <v>-0.56767804203664096</v>
      </c>
      <c r="V58" s="39">
        <f>$J$3+[47]FormattedData!O31*$J$4+$M$4*$J$5+[47]FormattedData!O31^2*$J$6+$M$5*$J$7</f>
        <v>-0.56767804203664096</v>
      </c>
      <c r="W58" s="38">
        <f>AVERAGE(K58:V58)</f>
        <v>-0.56767804203664085</v>
      </c>
      <c r="X58" s="37">
        <f>STDEV(K58:V58)/SQRT(COUNT(K58:V58))</f>
        <v>3.3474483693592253E-17</v>
      </c>
      <c r="Y58" s="36">
        <f>MIN(K58:V58)</f>
        <v>-0.56767804203664096</v>
      </c>
      <c r="Z58" s="35">
        <f>QUARTILE(K58:V58,1)</f>
        <v>-0.56767804203664096</v>
      </c>
      <c r="AA58" s="36">
        <f>MEDIAN(K58:V58)</f>
        <v>-0.56767804203664096</v>
      </c>
      <c r="AB58" s="35">
        <f>QUARTILE(K58:V58,3)</f>
        <v>-0.56767804203664096</v>
      </c>
      <c r="AC58" s="35">
        <f>MAX(K58:V58)</f>
        <v>-0.56767804203664096</v>
      </c>
      <c r="AD58" s="35">
        <f>SKEW(K58:V58)</f>
        <v>-1.1489125293076057</v>
      </c>
      <c r="AE58" s="35">
        <f>KURT(K58:V58)</f>
        <v>-2.4444444444444446</v>
      </c>
    </row>
    <row r="59" spans="2:31" x14ac:dyDescent="0.2">
      <c r="B59" s="34">
        <f>[47]FormattedData!A33</f>
        <v>0</v>
      </c>
      <c r="C59" s="34" t="e">
        <f>VLOOKUP($B59,[47]TrtCodes!$B$11:I76,2)</f>
        <v>#N/A</v>
      </c>
      <c r="D59" s="34" t="e">
        <f>VLOOKUP($B59,[47]TrtCodes!$B$11:J76,3)</f>
        <v>#N/A</v>
      </c>
      <c r="E59" s="34" t="e">
        <f>VLOOKUP($B59,[47]TrtCodes!$B$11:K76,4)</f>
        <v>#N/A</v>
      </c>
      <c r="F59" s="34" t="e">
        <f>VLOOKUP($B59,[47]TrtCodes!$B$11:L76,5)</f>
        <v>#N/A</v>
      </c>
      <c r="G59" s="34" t="e">
        <f>VLOOKUP($B59,[47]TrtCodes!$B$11:M76,6)</f>
        <v>#N/A</v>
      </c>
      <c r="H59" s="34" t="e">
        <f>VLOOKUP($B59,[47]TrtCodes!$B$11:N76,7)</f>
        <v>#N/A</v>
      </c>
      <c r="I59" s="34">
        <f>[47]FormattedData!B33</f>
        <v>0</v>
      </c>
      <c r="J59" s="37">
        <f>[47]FormattedData!C33</f>
        <v>0</v>
      </c>
      <c r="K59" s="39">
        <f>$J$3+[47]FormattedData!D33*$J$4+$M$4*$J$5+[47]FormattedData!D33^2*$J$6+$M$5*$J$7</f>
        <v>-0.56767804203664096</v>
      </c>
      <c r="L59" s="39">
        <f>$J$3+[47]FormattedData!E33*$J$4+$M$4*$J$5+[47]FormattedData!E33^2*$J$6+$M$5*$J$7</f>
        <v>-0.56767804203664096</v>
      </c>
      <c r="M59" s="39">
        <f>$J$3+[47]FormattedData!F33*$J$4+$M$4*$J$5+[47]FormattedData!F33^2*$J$6+$M$5*$J$7</f>
        <v>-0.56767804203664096</v>
      </c>
      <c r="N59" s="39">
        <f>$J$3+[47]FormattedData!G33*$J$4+$M$4*$J$5+[47]FormattedData!G33^2*$J$6+$M$5*$J$7</f>
        <v>-0.56767804203664096</v>
      </c>
      <c r="O59" s="39">
        <f>$J$3+[47]FormattedData!H33*$J$4+$M$4*$J$5+[47]FormattedData!H33^2*$J$6+$M$5*$J$7</f>
        <v>-0.56767804203664096</v>
      </c>
      <c r="P59" s="39">
        <f>$J$3+[47]FormattedData!I33*$J$4+$M$4*$J$5+[47]FormattedData!I33^2*$J$6+$M$5*$J$7</f>
        <v>-0.56767804203664096</v>
      </c>
      <c r="Q59" s="39">
        <f>$J$3+[47]FormattedData!J33*$J$4+$M$4*$J$5+[47]FormattedData!J33^2*$J$6+$M$5*$J$7</f>
        <v>-0.56767804203664096</v>
      </c>
      <c r="R59" s="39">
        <f>$J$3+[47]FormattedData!K33*$J$4+$M$4*$J$5+[47]FormattedData!K33^2*$J$6+$M$5*$J$7</f>
        <v>-0.56767804203664096</v>
      </c>
      <c r="S59" s="39">
        <f>$J$3+[47]FormattedData!L33*$J$4+$M$4*$J$5+[47]FormattedData!L33^2*$J$6+$M$5*$J$7</f>
        <v>-0.56767804203664096</v>
      </c>
      <c r="T59" s="39">
        <f>$J$3+[47]FormattedData!M33*$J$4+$M$4*$J$5+[47]FormattedData!M33^2*$J$6+$M$5*$J$7</f>
        <v>-0.56767804203664096</v>
      </c>
      <c r="U59" s="39">
        <f>$J$3+[47]FormattedData!N33*$J$4+$M$4*$J$5+[47]FormattedData!N33^2*$J$6+$M$5*$J$7</f>
        <v>-0.56767804203664096</v>
      </c>
      <c r="V59" s="39">
        <f>$J$3+[47]FormattedData!O33*$J$4+$M$4*$J$5+[47]FormattedData!O33^2*$J$6+$M$5*$J$7</f>
        <v>-0.56767804203664096</v>
      </c>
      <c r="W59" s="38">
        <f>AVERAGE(K59:V59)</f>
        <v>-0.56767804203664085</v>
      </c>
      <c r="X59" s="37">
        <f>STDEV(K59:V59)/SQRT(COUNT(K59:V59))</f>
        <v>3.3474483693592253E-17</v>
      </c>
      <c r="Y59" s="36">
        <f>MIN(K59:V59)</f>
        <v>-0.56767804203664096</v>
      </c>
      <c r="Z59" s="35">
        <f>QUARTILE(K59:V59,1)</f>
        <v>-0.56767804203664096</v>
      </c>
      <c r="AA59" s="36">
        <f>MEDIAN(K59:V59)</f>
        <v>-0.56767804203664096</v>
      </c>
      <c r="AB59" s="35">
        <f>QUARTILE(K59:V59,3)</f>
        <v>-0.56767804203664096</v>
      </c>
      <c r="AC59" s="35">
        <f>MAX(K59:V59)</f>
        <v>-0.56767804203664096</v>
      </c>
      <c r="AD59" s="35">
        <f>SKEW(K59:V59)</f>
        <v>-1.1489125293076057</v>
      </c>
      <c r="AE59" s="35">
        <f>KURT(K59:V59)</f>
        <v>-2.4444444444444446</v>
      </c>
    </row>
    <row r="60" spans="2:31" x14ac:dyDescent="0.2">
      <c r="B60" s="34">
        <f>[47]FormattedData!A35</f>
        <v>0</v>
      </c>
      <c r="C60" s="34" t="e">
        <f>VLOOKUP($B60,[47]TrtCodes!$B$11:I78,2)</f>
        <v>#N/A</v>
      </c>
      <c r="D60" s="34" t="e">
        <f>VLOOKUP($B60,[47]TrtCodes!$B$11:J78,3)</f>
        <v>#N/A</v>
      </c>
      <c r="E60" s="34" t="e">
        <f>VLOOKUP($B60,[47]TrtCodes!$B$11:K78,4)</f>
        <v>#N/A</v>
      </c>
      <c r="F60" s="34" t="e">
        <f>VLOOKUP($B60,[47]TrtCodes!$B$11:L78,5)</f>
        <v>#N/A</v>
      </c>
      <c r="G60" s="34" t="e">
        <f>VLOOKUP($B60,[47]TrtCodes!$B$11:M78,6)</f>
        <v>#N/A</v>
      </c>
      <c r="H60" s="34" t="e">
        <f>VLOOKUP($B60,[47]TrtCodes!$B$11:N78,7)</f>
        <v>#N/A</v>
      </c>
      <c r="I60" s="34">
        <f>[47]FormattedData!B35</f>
        <v>0</v>
      </c>
      <c r="J60" s="37">
        <f>[47]FormattedData!C35</f>
        <v>0</v>
      </c>
      <c r="K60" s="39">
        <f>$J$3+[47]FormattedData!D35*$J$4+$M$4*$J$5+[47]FormattedData!D35^2*$J$6+$M$5*$J$7</f>
        <v>-0.56767804203664096</v>
      </c>
      <c r="L60" s="39">
        <f>$J$3+[47]FormattedData!E35*$J$4+$M$4*$J$5+[47]FormattedData!E35^2*$J$6+$M$5*$J$7</f>
        <v>-0.56767804203664096</v>
      </c>
      <c r="M60" s="39">
        <f>$J$3+[47]FormattedData!F35*$J$4+$M$4*$J$5+[47]FormattedData!F35^2*$J$6+$M$5*$J$7</f>
        <v>-0.56767804203664096</v>
      </c>
      <c r="N60" s="39">
        <f>$J$3+[47]FormattedData!G35*$J$4+$M$4*$J$5+[47]FormattedData!G35^2*$J$6+$M$5*$J$7</f>
        <v>-0.56767804203664096</v>
      </c>
      <c r="O60" s="39">
        <f>$J$3+[47]FormattedData!H35*$J$4+$M$4*$J$5+[47]FormattedData!H35^2*$J$6+$M$5*$J$7</f>
        <v>-0.56767804203664096</v>
      </c>
      <c r="P60" s="39">
        <f>$J$3+[47]FormattedData!I35*$J$4+$M$4*$J$5+[47]FormattedData!I35^2*$J$6+$M$5*$J$7</f>
        <v>-0.56767804203664096</v>
      </c>
      <c r="Q60" s="39">
        <f>$J$3+[47]FormattedData!J35*$J$4+$M$4*$J$5+[47]FormattedData!J35^2*$J$6+$M$5*$J$7</f>
        <v>-0.56767804203664096</v>
      </c>
      <c r="R60" s="39">
        <f>$J$3+[47]FormattedData!K35*$J$4+$M$4*$J$5+[47]FormattedData!K35^2*$J$6+$M$5*$J$7</f>
        <v>-0.56767804203664096</v>
      </c>
      <c r="S60" s="39">
        <f>$J$3+[47]FormattedData!L35*$J$4+$M$4*$J$5+[47]FormattedData!L35^2*$J$6+$M$5*$J$7</f>
        <v>-0.56767804203664096</v>
      </c>
      <c r="T60" s="39">
        <f>$J$3+[47]FormattedData!M35*$J$4+$M$4*$J$5+[47]FormattedData!M35^2*$J$6+$M$5*$J$7</f>
        <v>-0.56767804203664096</v>
      </c>
      <c r="U60" s="39">
        <f>$J$3+[47]FormattedData!N35*$J$4+$M$4*$J$5+[47]FormattedData!N35^2*$J$6+$M$5*$J$7</f>
        <v>-0.56767804203664096</v>
      </c>
      <c r="V60" s="39">
        <f>$J$3+[47]FormattedData!O35*$J$4+$M$4*$J$5+[47]FormattedData!O35^2*$J$6+$M$5*$J$7</f>
        <v>-0.56767804203664096</v>
      </c>
      <c r="W60" s="38">
        <f>AVERAGE(K60:V60)</f>
        <v>-0.56767804203664085</v>
      </c>
      <c r="X60" s="37">
        <f>STDEV(K60:V60)/SQRT(COUNT(K60:V60))</f>
        <v>3.3474483693592253E-17</v>
      </c>
      <c r="Y60" s="36">
        <f>MIN(K60:V60)</f>
        <v>-0.56767804203664096</v>
      </c>
      <c r="Z60" s="35">
        <f>QUARTILE(K60:V60,1)</f>
        <v>-0.56767804203664096</v>
      </c>
      <c r="AA60" s="36">
        <f>MEDIAN(K60:V60)</f>
        <v>-0.56767804203664096</v>
      </c>
      <c r="AB60" s="35">
        <f>QUARTILE(K60:V60,3)</f>
        <v>-0.56767804203664096</v>
      </c>
      <c r="AC60" s="35">
        <f>MAX(K60:V60)</f>
        <v>-0.56767804203664096</v>
      </c>
      <c r="AD60" s="35">
        <f>SKEW(K60:V60)</f>
        <v>-1.1489125293076057</v>
      </c>
      <c r="AE60" s="35">
        <f>KURT(K60:V60)</f>
        <v>-2.4444444444444446</v>
      </c>
    </row>
    <row r="61" spans="2:31" x14ac:dyDescent="0.2">
      <c r="B61" s="34">
        <f>[47]FormattedData!A37</f>
        <v>0</v>
      </c>
      <c r="C61" s="34" t="e">
        <f>VLOOKUP($B61,[47]TrtCodes!$B$11:I80,2)</f>
        <v>#N/A</v>
      </c>
      <c r="D61" s="34" t="e">
        <f>VLOOKUP($B61,[47]TrtCodes!$B$11:J80,3)</f>
        <v>#N/A</v>
      </c>
      <c r="E61" s="34" t="e">
        <f>VLOOKUP($B61,[47]TrtCodes!$B$11:K80,4)</f>
        <v>#N/A</v>
      </c>
      <c r="F61" s="34" t="e">
        <f>VLOOKUP($B61,[47]TrtCodes!$B$11:L80,5)</f>
        <v>#N/A</v>
      </c>
      <c r="G61" s="34" t="e">
        <f>VLOOKUP($B61,[47]TrtCodes!$B$11:M80,6)</f>
        <v>#N/A</v>
      </c>
      <c r="H61" s="34" t="e">
        <f>VLOOKUP($B61,[47]TrtCodes!$B$11:N80,7)</f>
        <v>#N/A</v>
      </c>
      <c r="I61" s="34">
        <f>[47]FormattedData!B37</f>
        <v>0</v>
      </c>
      <c r="J61" s="37">
        <f>[47]FormattedData!C37</f>
        <v>0</v>
      </c>
      <c r="K61" s="39">
        <f>$J$3+[47]FormattedData!D37*$J$4+$M$4*$J$5+[47]FormattedData!D37^2*$J$6+$M$5*$J$7</f>
        <v>-0.56767804203664096</v>
      </c>
      <c r="L61" s="39">
        <f>$J$3+[47]FormattedData!E37*$J$4+$M$4*$J$5+[47]FormattedData!E37^2*$J$6+$M$5*$J$7</f>
        <v>-0.56767804203664096</v>
      </c>
      <c r="M61" s="39">
        <f>$J$3+[47]FormattedData!F37*$J$4+$M$4*$J$5+[47]FormattedData!F37^2*$J$6+$M$5*$J$7</f>
        <v>-0.56767804203664096</v>
      </c>
      <c r="N61" s="39">
        <f>$J$3+[47]FormattedData!G37*$J$4+$M$4*$J$5+[47]FormattedData!G37^2*$J$6+$M$5*$J$7</f>
        <v>-0.56767804203664096</v>
      </c>
      <c r="O61" s="39">
        <f>$J$3+[47]FormattedData!H37*$J$4+$M$4*$J$5+[47]FormattedData!H37^2*$J$6+$M$5*$J$7</f>
        <v>-0.56767804203664096</v>
      </c>
      <c r="P61" s="39">
        <f>$J$3+[47]FormattedData!I37*$J$4+$M$4*$J$5+[47]FormattedData!I37^2*$J$6+$M$5*$J$7</f>
        <v>-0.56767804203664096</v>
      </c>
      <c r="Q61" s="39">
        <f>$J$3+[47]FormattedData!J37*$J$4+$M$4*$J$5+[47]FormattedData!J37^2*$J$6+$M$5*$J$7</f>
        <v>-0.56767804203664096</v>
      </c>
      <c r="R61" s="39">
        <f>$J$3+[47]FormattedData!K37*$J$4+$M$4*$J$5+[47]FormattedData!K37^2*$J$6+$M$5*$J$7</f>
        <v>-0.56767804203664096</v>
      </c>
      <c r="S61" s="39">
        <f>$J$3+[47]FormattedData!L37*$J$4+$M$4*$J$5+[47]FormattedData!L37^2*$J$6+$M$5*$J$7</f>
        <v>-0.56767804203664096</v>
      </c>
      <c r="T61" s="39">
        <f>$J$3+[47]FormattedData!M37*$J$4+$M$4*$J$5+[47]FormattedData!M37^2*$J$6+$M$5*$J$7</f>
        <v>-0.56767804203664096</v>
      </c>
      <c r="U61" s="39">
        <f>$J$3+[47]FormattedData!N37*$J$4+$M$4*$J$5+[47]FormattedData!N37^2*$J$6+$M$5*$J$7</f>
        <v>-0.56767804203664096</v>
      </c>
      <c r="V61" s="39">
        <f>$J$3+[47]FormattedData!O37*$J$4+$M$4*$J$5+[47]FormattedData!O37^2*$J$6+$M$5*$J$7</f>
        <v>-0.56767804203664096</v>
      </c>
      <c r="W61" s="38">
        <f>AVERAGE(K61:V61)</f>
        <v>-0.56767804203664085</v>
      </c>
      <c r="X61" s="37">
        <f>STDEV(K61:V61)/SQRT(COUNT(K61:V61))</f>
        <v>3.3474483693592253E-17</v>
      </c>
      <c r="Y61" s="36">
        <f>MIN(K61:V61)</f>
        <v>-0.56767804203664096</v>
      </c>
      <c r="Z61" s="35">
        <f>QUARTILE(K61:V61,1)</f>
        <v>-0.56767804203664096</v>
      </c>
      <c r="AA61" s="36">
        <f>MEDIAN(K61:V61)</f>
        <v>-0.56767804203664096</v>
      </c>
      <c r="AB61" s="35">
        <f>QUARTILE(K61:V61,3)</f>
        <v>-0.56767804203664096</v>
      </c>
      <c r="AC61" s="35">
        <f>MAX(K61:V61)</f>
        <v>-0.56767804203664096</v>
      </c>
      <c r="AD61" s="35">
        <f>SKEW(K61:V61)</f>
        <v>-1.1489125293076057</v>
      </c>
      <c r="AE61" s="35">
        <f>KURT(K61:V61)</f>
        <v>-2.4444444444444446</v>
      </c>
    </row>
    <row r="62" spans="2:31" x14ac:dyDescent="0.2">
      <c r="B62" s="34">
        <f>[47]FormattedData!A39</f>
        <v>0</v>
      </c>
      <c r="C62" s="34" t="e">
        <f>VLOOKUP($B62,[47]TrtCodes!$B$11:I82,2)</f>
        <v>#N/A</v>
      </c>
      <c r="D62" s="34" t="e">
        <f>VLOOKUP($B62,[47]TrtCodes!$B$11:J82,3)</f>
        <v>#N/A</v>
      </c>
      <c r="E62" s="34" t="e">
        <f>VLOOKUP($B62,[47]TrtCodes!$B$11:K82,4)</f>
        <v>#N/A</v>
      </c>
      <c r="F62" s="34" t="e">
        <f>VLOOKUP($B62,[47]TrtCodes!$B$11:L82,5)</f>
        <v>#N/A</v>
      </c>
      <c r="G62" s="34" t="e">
        <f>VLOOKUP($B62,[47]TrtCodes!$B$11:M82,6)</f>
        <v>#N/A</v>
      </c>
      <c r="H62" s="34" t="e">
        <f>VLOOKUP($B62,[47]TrtCodes!$B$11:N82,7)</f>
        <v>#N/A</v>
      </c>
      <c r="I62" s="34">
        <f>[47]FormattedData!B39</f>
        <v>0</v>
      </c>
      <c r="J62" s="37">
        <f>[47]FormattedData!C39</f>
        <v>0</v>
      </c>
      <c r="K62" s="39">
        <f>$J$3+[47]FormattedData!D39*$J$4+$M$4*$J$5+[47]FormattedData!D39^2*$J$6+$M$5*$J$7</f>
        <v>-0.56767804203664096</v>
      </c>
      <c r="L62" s="39">
        <f>$J$3+[47]FormattedData!E39*$J$4+$M$4*$J$5+[47]FormattedData!E39^2*$J$6+$M$5*$J$7</f>
        <v>-0.56767804203664096</v>
      </c>
      <c r="M62" s="39">
        <f>$J$3+[47]FormattedData!F39*$J$4+$M$4*$J$5+[47]FormattedData!F39^2*$J$6+$M$5*$J$7</f>
        <v>-0.56767804203664096</v>
      </c>
      <c r="N62" s="39">
        <f>$J$3+[47]FormattedData!G39*$J$4+$M$4*$J$5+[47]FormattedData!G39^2*$J$6+$M$5*$J$7</f>
        <v>-0.56767804203664096</v>
      </c>
      <c r="O62" s="39">
        <f>$J$3+[47]FormattedData!H39*$J$4+$M$4*$J$5+[47]FormattedData!H39^2*$J$6+$M$5*$J$7</f>
        <v>-0.56767804203664096</v>
      </c>
      <c r="P62" s="39">
        <f>$J$3+[47]FormattedData!I39*$J$4+$M$4*$J$5+[47]FormattedData!I39^2*$J$6+$M$5*$J$7</f>
        <v>-0.56767804203664096</v>
      </c>
      <c r="Q62" s="39">
        <f>$J$3+[47]FormattedData!J39*$J$4+$M$4*$J$5+[47]FormattedData!J39^2*$J$6+$M$5*$J$7</f>
        <v>-0.56767804203664096</v>
      </c>
      <c r="R62" s="39">
        <f>$J$3+[47]FormattedData!K39*$J$4+$M$4*$J$5+[47]FormattedData!K39^2*$J$6+$M$5*$J$7</f>
        <v>-0.56767804203664096</v>
      </c>
      <c r="S62" s="39">
        <f>$J$3+[47]FormattedData!L39*$J$4+$M$4*$J$5+[47]FormattedData!L39^2*$J$6+$M$5*$J$7</f>
        <v>-0.56767804203664096</v>
      </c>
      <c r="T62" s="39">
        <f>$J$3+[47]FormattedData!M39*$J$4+$M$4*$J$5+[47]FormattedData!M39^2*$J$6+$M$5*$J$7</f>
        <v>-0.56767804203664096</v>
      </c>
      <c r="U62" s="39">
        <f>$J$3+[47]FormattedData!N39*$J$4+$M$4*$J$5+[47]FormattedData!N39^2*$J$6+$M$5*$J$7</f>
        <v>-0.56767804203664096</v>
      </c>
      <c r="V62" s="39">
        <f>$J$3+[47]FormattedData!O39*$J$4+$M$4*$J$5+[47]FormattedData!O39^2*$J$6+$M$5*$J$7</f>
        <v>-0.56767804203664096</v>
      </c>
      <c r="W62" s="38">
        <f>AVERAGE(K62:V62)</f>
        <v>-0.56767804203664085</v>
      </c>
      <c r="X62" s="37">
        <f>STDEV(K62:V62)/SQRT(COUNT(K62:V62))</f>
        <v>3.3474483693592253E-17</v>
      </c>
      <c r="Y62" s="36">
        <f>MIN(K62:V62)</f>
        <v>-0.56767804203664096</v>
      </c>
      <c r="Z62" s="35">
        <f>QUARTILE(K62:V62,1)</f>
        <v>-0.56767804203664096</v>
      </c>
      <c r="AA62" s="36">
        <f>MEDIAN(K62:V62)</f>
        <v>-0.56767804203664096</v>
      </c>
      <c r="AB62" s="35">
        <f>QUARTILE(K62:V62,3)</f>
        <v>-0.56767804203664096</v>
      </c>
      <c r="AC62" s="35">
        <f>MAX(K62:V62)</f>
        <v>-0.56767804203664096</v>
      </c>
      <c r="AD62" s="35">
        <f>SKEW(K62:V62)</f>
        <v>-1.1489125293076057</v>
      </c>
      <c r="AE62" s="35">
        <f>KURT(K62:V62)</f>
        <v>-2.4444444444444446</v>
      </c>
    </row>
    <row r="63" spans="2:31" x14ac:dyDescent="0.2">
      <c r="B63" s="34">
        <f>[47]FormattedData!A41</f>
        <v>0</v>
      </c>
      <c r="C63" s="34" t="e">
        <f>VLOOKUP($B63,[47]TrtCodes!$B$11:I84,2)</f>
        <v>#N/A</v>
      </c>
      <c r="D63" s="34" t="e">
        <f>VLOOKUP($B63,[47]TrtCodes!$B$11:J84,3)</f>
        <v>#N/A</v>
      </c>
      <c r="E63" s="34" t="e">
        <f>VLOOKUP($B63,[47]TrtCodes!$B$11:K84,4)</f>
        <v>#N/A</v>
      </c>
      <c r="F63" s="34" t="e">
        <f>VLOOKUP($B63,[47]TrtCodes!$B$11:L84,5)</f>
        <v>#N/A</v>
      </c>
      <c r="G63" s="34" t="e">
        <f>VLOOKUP($B63,[47]TrtCodes!$B$11:M84,6)</f>
        <v>#N/A</v>
      </c>
      <c r="H63" s="34" t="e">
        <f>VLOOKUP($B63,[47]TrtCodes!$B$11:N84,7)</f>
        <v>#N/A</v>
      </c>
      <c r="I63" s="34">
        <f>[47]FormattedData!B41</f>
        <v>0</v>
      </c>
      <c r="J63" s="37">
        <f>[47]FormattedData!C41</f>
        <v>0</v>
      </c>
      <c r="K63" s="39">
        <f>$J$3+[47]FormattedData!D41*$J$4+$M$4*$J$5+[47]FormattedData!D41^2*$J$6+$M$5*$J$7</f>
        <v>-0.56767804203664096</v>
      </c>
      <c r="L63" s="39">
        <f>$J$3+[47]FormattedData!E41*$J$4+$M$4*$J$5+[47]FormattedData!E41^2*$J$6+$M$5*$J$7</f>
        <v>-0.56767804203664096</v>
      </c>
      <c r="M63" s="39">
        <f>$J$3+[47]FormattedData!F41*$J$4+$M$4*$J$5+[47]FormattedData!F41^2*$J$6+$M$5*$J$7</f>
        <v>-0.56767804203664096</v>
      </c>
      <c r="N63" s="39">
        <f>$J$3+[47]FormattedData!G41*$J$4+$M$4*$J$5+[47]FormattedData!G41^2*$J$6+$M$5*$J$7</f>
        <v>-0.56767804203664096</v>
      </c>
      <c r="O63" s="39">
        <f>$J$3+[47]FormattedData!H41*$J$4+$M$4*$J$5+[47]FormattedData!H41^2*$J$6+$M$5*$J$7</f>
        <v>-0.56767804203664096</v>
      </c>
      <c r="P63" s="39">
        <f>$J$3+[47]FormattedData!I41*$J$4+$M$4*$J$5+[47]FormattedData!I41^2*$J$6+$M$5*$J$7</f>
        <v>-0.56767804203664096</v>
      </c>
      <c r="Q63" s="39">
        <f>$J$3+[47]FormattedData!J41*$J$4+$M$4*$J$5+[47]FormattedData!J41^2*$J$6+$M$5*$J$7</f>
        <v>-0.56767804203664096</v>
      </c>
      <c r="R63" s="39">
        <f>$J$3+[47]FormattedData!K41*$J$4+$M$4*$J$5+[47]FormattedData!K41^2*$J$6+$M$5*$J$7</f>
        <v>-0.56767804203664096</v>
      </c>
      <c r="S63" s="39">
        <f>$J$3+[47]FormattedData!L41*$J$4+$M$4*$J$5+[47]FormattedData!L41^2*$J$6+$M$5*$J$7</f>
        <v>-0.56767804203664096</v>
      </c>
      <c r="T63" s="39">
        <f>$J$3+[47]FormattedData!M41*$J$4+$M$4*$J$5+[47]FormattedData!M41^2*$J$6+$M$5*$J$7</f>
        <v>-0.56767804203664096</v>
      </c>
      <c r="U63" s="39">
        <f>$J$3+[47]FormattedData!N41*$J$4+$M$4*$J$5+[47]FormattedData!N41^2*$J$6+$M$5*$J$7</f>
        <v>-0.56767804203664096</v>
      </c>
      <c r="V63" s="39">
        <f>$J$3+[47]FormattedData!O41*$J$4+$M$4*$J$5+[47]FormattedData!O41^2*$J$6+$M$5*$J$7</f>
        <v>-0.56767804203664096</v>
      </c>
      <c r="W63" s="38">
        <f>AVERAGE(K63:V63)</f>
        <v>-0.56767804203664085</v>
      </c>
      <c r="X63" s="37">
        <f>STDEV(K63:V63)/SQRT(COUNT(K63:V63))</f>
        <v>3.3474483693592253E-17</v>
      </c>
      <c r="Y63" s="36">
        <f>MIN(K63:V63)</f>
        <v>-0.56767804203664096</v>
      </c>
      <c r="Z63" s="35">
        <f>QUARTILE(K63:V63,1)</f>
        <v>-0.56767804203664096</v>
      </c>
      <c r="AA63" s="36">
        <f>MEDIAN(K63:V63)</f>
        <v>-0.56767804203664096</v>
      </c>
      <c r="AB63" s="35">
        <f>QUARTILE(K63:V63,3)</f>
        <v>-0.56767804203664096</v>
      </c>
      <c r="AC63" s="35">
        <f>MAX(K63:V63)</f>
        <v>-0.56767804203664096</v>
      </c>
      <c r="AD63" s="35">
        <f>SKEW(K63:V63)</f>
        <v>-1.1489125293076057</v>
      </c>
      <c r="AE63" s="35">
        <f>KURT(K63:V63)</f>
        <v>-2.4444444444444446</v>
      </c>
    </row>
    <row r="64" spans="2:31" x14ac:dyDescent="0.2">
      <c r="B64" s="34">
        <f>[47]FormattedData!A43</f>
        <v>0</v>
      </c>
      <c r="C64" s="34" t="e">
        <f>VLOOKUP($B64,[47]TrtCodes!$B$11:I86,2)</f>
        <v>#N/A</v>
      </c>
      <c r="D64" s="34" t="e">
        <f>VLOOKUP($B64,[47]TrtCodes!$B$11:J86,3)</f>
        <v>#N/A</v>
      </c>
      <c r="E64" s="34" t="e">
        <f>VLOOKUP($B64,[47]TrtCodes!$B$11:K86,4)</f>
        <v>#N/A</v>
      </c>
      <c r="F64" s="34" t="e">
        <f>VLOOKUP($B64,[47]TrtCodes!$B$11:L86,5)</f>
        <v>#N/A</v>
      </c>
      <c r="G64" s="34" t="e">
        <f>VLOOKUP($B64,[47]TrtCodes!$B$11:M86,6)</f>
        <v>#N/A</v>
      </c>
      <c r="H64" s="34" t="e">
        <f>VLOOKUP($B64,[47]TrtCodes!$B$11:N86,7)</f>
        <v>#N/A</v>
      </c>
      <c r="I64" s="34">
        <f>[47]FormattedData!B43</f>
        <v>0</v>
      </c>
      <c r="J64" s="37">
        <f>[47]FormattedData!C43</f>
        <v>0</v>
      </c>
      <c r="K64" s="39">
        <f>$J$3+[47]FormattedData!D43*$J$4+$M$4*$J$5+[47]FormattedData!D43^2*$J$6+$M$5*$J$7</f>
        <v>-0.56767804203664096</v>
      </c>
      <c r="L64" s="39">
        <f>$J$3+[47]FormattedData!E43*$J$4+$M$4*$J$5+[47]FormattedData!E43^2*$J$6+$M$5*$J$7</f>
        <v>-0.56767804203664096</v>
      </c>
      <c r="M64" s="39">
        <f>$J$3+[47]FormattedData!F43*$J$4+$M$4*$J$5+[47]FormattedData!F43^2*$J$6+$M$5*$J$7</f>
        <v>-0.56767804203664096</v>
      </c>
      <c r="N64" s="39">
        <f>$J$3+[47]FormattedData!G43*$J$4+$M$4*$J$5+[47]FormattedData!G43^2*$J$6+$M$5*$J$7</f>
        <v>-0.56767804203664096</v>
      </c>
      <c r="O64" s="39">
        <f>$J$3+[47]FormattedData!H43*$J$4+$M$4*$J$5+[47]FormattedData!H43^2*$J$6+$M$5*$J$7</f>
        <v>-0.56767804203664096</v>
      </c>
      <c r="P64" s="39">
        <f>$J$3+[47]FormattedData!I43*$J$4+$M$4*$J$5+[47]FormattedData!I43^2*$J$6+$M$5*$J$7</f>
        <v>-0.56767804203664096</v>
      </c>
      <c r="Q64" s="39">
        <f>$J$3+[47]FormattedData!J43*$J$4+$M$4*$J$5+[47]FormattedData!J43^2*$J$6+$M$5*$J$7</f>
        <v>-0.56767804203664096</v>
      </c>
      <c r="R64" s="39">
        <f>$J$3+[47]FormattedData!K43*$J$4+$M$4*$J$5+[47]FormattedData!K43^2*$J$6+$M$5*$J$7</f>
        <v>-0.56767804203664096</v>
      </c>
      <c r="S64" s="39">
        <f>$J$3+[47]FormattedData!L43*$J$4+$M$4*$J$5+[47]FormattedData!L43^2*$J$6+$M$5*$J$7</f>
        <v>-0.56767804203664096</v>
      </c>
      <c r="T64" s="39">
        <f>$J$3+[47]FormattedData!M43*$J$4+$M$4*$J$5+[47]FormattedData!M43^2*$J$6+$M$5*$J$7</f>
        <v>-0.56767804203664096</v>
      </c>
      <c r="U64" s="39">
        <f>$J$3+[47]FormattedData!N43*$J$4+$M$4*$J$5+[47]FormattedData!N43^2*$J$6+$M$5*$J$7</f>
        <v>-0.56767804203664096</v>
      </c>
      <c r="V64" s="39">
        <f>$J$3+[47]FormattedData!O43*$J$4+$M$4*$J$5+[47]FormattedData!O43^2*$J$6+$M$5*$J$7</f>
        <v>-0.56767804203664096</v>
      </c>
      <c r="W64" s="38">
        <f>AVERAGE(K64:V64)</f>
        <v>-0.56767804203664085</v>
      </c>
      <c r="X64" s="37">
        <f>STDEV(K64:V64)/SQRT(COUNT(K64:V64))</f>
        <v>3.3474483693592253E-17</v>
      </c>
      <c r="Y64" s="36">
        <f>MIN(K64:V64)</f>
        <v>-0.56767804203664096</v>
      </c>
      <c r="Z64" s="35">
        <f>QUARTILE(K64:V64,1)</f>
        <v>-0.56767804203664096</v>
      </c>
      <c r="AA64" s="36">
        <f>MEDIAN(K64:V64)</f>
        <v>-0.56767804203664096</v>
      </c>
      <c r="AB64" s="35">
        <f>QUARTILE(K64:V64,3)</f>
        <v>-0.56767804203664096</v>
      </c>
      <c r="AC64" s="35">
        <f>MAX(K64:V64)</f>
        <v>-0.56767804203664096</v>
      </c>
      <c r="AD64" s="35">
        <f>SKEW(K64:V64)</f>
        <v>-1.1489125293076057</v>
      </c>
      <c r="AE64" s="35">
        <f>KURT(K64:V64)</f>
        <v>-2.4444444444444446</v>
      </c>
    </row>
    <row r="65" spans="2:31" x14ac:dyDescent="0.2">
      <c r="B65" s="34">
        <f>[47]FormattedData!A45</f>
        <v>0</v>
      </c>
      <c r="C65" s="34" t="e">
        <f>VLOOKUP($B65,[47]TrtCodes!$B$11:I88,2)</f>
        <v>#N/A</v>
      </c>
      <c r="D65" s="34" t="e">
        <f>VLOOKUP($B65,[47]TrtCodes!$B$11:J88,3)</f>
        <v>#N/A</v>
      </c>
      <c r="E65" s="34" t="e">
        <f>VLOOKUP($B65,[47]TrtCodes!$B$11:K88,4)</f>
        <v>#N/A</v>
      </c>
      <c r="F65" s="34" t="e">
        <f>VLOOKUP($B65,[47]TrtCodes!$B$11:L88,5)</f>
        <v>#N/A</v>
      </c>
      <c r="G65" s="34" t="e">
        <f>VLOOKUP($B65,[47]TrtCodes!$B$11:M88,6)</f>
        <v>#N/A</v>
      </c>
      <c r="H65" s="34" t="e">
        <f>VLOOKUP($B65,[47]TrtCodes!$B$11:N88,7)</f>
        <v>#N/A</v>
      </c>
      <c r="I65" s="34">
        <f>[47]FormattedData!B45</f>
        <v>0</v>
      </c>
      <c r="J65" s="37">
        <f>[47]FormattedData!C45</f>
        <v>0</v>
      </c>
      <c r="K65" s="39">
        <f>$J$3+[47]FormattedData!D45*$J$4+$M$4*$J$5+[47]FormattedData!D45^2*$J$6+$M$5*$J$7</f>
        <v>-0.56767804203664096</v>
      </c>
      <c r="L65" s="39">
        <f>$J$3+[47]FormattedData!E45*$J$4+$M$4*$J$5+[47]FormattedData!E45^2*$J$6+$M$5*$J$7</f>
        <v>-0.56767804203664096</v>
      </c>
      <c r="M65" s="39">
        <f>$J$3+[47]FormattedData!F45*$J$4+$M$4*$J$5+[47]FormattedData!F45^2*$J$6+$M$5*$J$7</f>
        <v>-0.56767804203664096</v>
      </c>
      <c r="N65" s="39">
        <f>$J$3+[47]FormattedData!G45*$J$4+$M$4*$J$5+[47]FormattedData!G45^2*$J$6+$M$5*$J$7</f>
        <v>-0.56767804203664096</v>
      </c>
      <c r="O65" s="39">
        <f>$J$3+[47]FormattedData!H45*$J$4+$M$4*$J$5+[47]FormattedData!H45^2*$J$6+$M$5*$J$7</f>
        <v>-0.56767804203664096</v>
      </c>
      <c r="P65" s="39">
        <f>$J$3+[47]FormattedData!I45*$J$4+$M$4*$J$5+[47]FormattedData!I45^2*$J$6+$M$5*$J$7</f>
        <v>-0.56767804203664096</v>
      </c>
      <c r="Q65" s="39">
        <f>$J$3+[47]FormattedData!J45*$J$4+$M$4*$J$5+[47]FormattedData!J45^2*$J$6+$M$5*$J$7</f>
        <v>-0.56767804203664096</v>
      </c>
      <c r="R65" s="39">
        <f>$J$3+[47]FormattedData!K45*$J$4+$M$4*$J$5+[47]FormattedData!K45^2*$J$6+$M$5*$J$7</f>
        <v>-0.56767804203664096</v>
      </c>
      <c r="S65" s="39">
        <f>$J$3+[47]FormattedData!L45*$J$4+$M$4*$J$5+[47]FormattedData!L45^2*$J$6+$M$5*$J$7</f>
        <v>-0.56767804203664096</v>
      </c>
      <c r="T65" s="39">
        <f>$J$3+[47]FormattedData!M45*$J$4+$M$4*$J$5+[47]FormattedData!M45^2*$J$6+$M$5*$J$7</f>
        <v>-0.56767804203664096</v>
      </c>
      <c r="U65" s="39">
        <f>$J$3+[47]FormattedData!N45*$J$4+$M$4*$J$5+[47]FormattedData!N45^2*$J$6+$M$5*$J$7</f>
        <v>-0.56767804203664096</v>
      </c>
      <c r="V65" s="39">
        <f>$J$3+[47]FormattedData!O45*$J$4+$M$4*$J$5+[47]FormattedData!O45^2*$J$6+$M$5*$J$7</f>
        <v>-0.56767804203664096</v>
      </c>
      <c r="W65" s="38">
        <f>AVERAGE(K65:V65)</f>
        <v>-0.56767804203664085</v>
      </c>
      <c r="X65" s="37">
        <f>STDEV(K65:V65)/SQRT(COUNT(K65:V65))</f>
        <v>3.3474483693592253E-17</v>
      </c>
      <c r="Y65" s="36">
        <f>MIN(K65:V65)</f>
        <v>-0.56767804203664096</v>
      </c>
      <c r="Z65" s="35">
        <f>QUARTILE(K65:V65,1)</f>
        <v>-0.56767804203664096</v>
      </c>
      <c r="AA65" s="36">
        <f>MEDIAN(K65:V65)</f>
        <v>-0.56767804203664096</v>
      </c>
      <c r="AB65" s="35">
        <f>QUARTILE(K65:V65,3)</f>
        <v>-0.56767804203664096</v>
      </c>
      <c r="AC65" s="35">
        <f>MAX(K65:V65)</f>
        <v>-0.56767804203664096</v>
      </c>
      <c r="AD65" s="35">
        <f>SKEW(K65:V65)</f>
        <v>-1.1489125293076057</v>
      </c>
      <c r="AE65" s="35">
        <f>KURT(K65:V65)</f>
        <v>-2.4444444444444446</v>
      </c>
    </row>
    <row r="66" spans="2:31" x14ac:dyDescent="0.2">
      <c r="B66" s="34">
        <f>[47]FormattedData!A63</f>
        <v>0</v>
      </c>
      <c r="C66" s="34" t="e">
        <f>VLOOKUP($B66,[47]TrtCodes!$B$11:I106,2)</f>
        <v>#N/A</v>
      </c>
      <c r="D66" s="34" t="e">
        <f>VLOOKUP($B66,[47]TrtCodes!$B$11:J106,3)</f>
        <v>#N/A</v>
      </c>
      <c r="E66" s="34" t="e">
        <f>VLOOKUP($B66,[47]TrtCodes!$B$11:K106,4)</f>
        <v>#N/A</v>
      </c>
      <c r="F66" s="34" t="e">
        <f>VLOOKUP($B66,[47]TrtCodes!$B$11:L106,5)</f>
        <v>#N/A</v>
      </c>
      <c r="G66" s="34" t="e">
        <f>VLOOKUP($B66,[47]TrtCodes!$B$11:M106,6)</f>
        <v>#N/A</v>
      </c>
      <c r="H66" s="34" t="e">
        <f>VLOOKUP($B66,[47]TrtCodes!$B$11:N106,7)</f>
        <v>#N/A</v>
      </c>
      <c r="I66" s="34">
        <f>[47]FormattedData!B63</f>
        <v>0</v>
      </c>
      <c r="J66" s="37">
        <f>[47]FormattedData!C63</f>
        <v>0</v>
      </c>
      <c r="K66" s="39">
        <f>$J$3+[47]FormattedData!D63*$J$4+$M$4*$J$5+[47]FormattedData!D63^2*$J$6+$M$5*$J$7</f>
        <v>-0.56767804203664096</v>
      </c>
      <c r="L66" s="39">
        <f>$J$3+[47]FormattedData!E63*$J$4+$M$4*$J$5+[47]FormattedData!E63^2*$J$6+$M$5*$J$7</f>
        <v>-0.56767804203664096</v>
      </c>
      <c r="M66" s="39">
        <f>$J$3+[47]FormattedData!F63*$J$4+$M$4*$J$5+[47]FormattedData!F63^2*$J$6+$M$5*$J$7</f>
        <v>-0.56767804203664096</v>
      </c>
      <c r="N66" s="39">
        <f>$J$3+[47]FormattedData!G63*$J$4+$M$4*$J$5+[47]FormattedData!G63^2*$J$6+$M$5*$J$7</f>
        <v>-0.56767804203664096</v>
      </c>
      <c r="O66" s="39">
        <f>$J$3+[47]FormattedData!H63*$J$4+$M$4*$J$5+[47]FormattedData!H63^2*$J$6+$M$5*$J$7</f>
        <v>-0.56767804203664096</v>
      </c>
      <c r="P66" s="39">
        <f>$J$3+[47]FormattedData!I63*$J$4+$M$4*$J$5+[47]FormattedData!I63^2*$J$6+$M$5*$J$7</f>
        <v>-0.56767804203664096</v>
      </c>
      <c r="Q66" s="39">
        <f>$J$3+[47]FormattedData!J63*$J$4+$M$4*$J$5+[47]FormattedData!J63^2*$J$6+$M$5*$J$7</f>
        <v>-0.56767804203664096</v>
      </c>
      <c r="R66" s="39">
        <f>$J$3+[47]FormattedData!K63*$J$4+$M$4*$J$5+[47]FormattedData!K63^2*$J$6+$M$5*$J$7</f>
        <v>-0.56767804203664096</v>
      </c>
      <c r="S66" s="39">
        <f>$J$3+[47]FormattedData!L63*$J$4+$M$4*$J$5+[47]FormattedData!L63^2*$J$6+$M$5*$J$7</f>
        <v>-0.56767804203664096</v>
      </c>
      <c r="T66" s="39">
        <f>$J$3+[47]FormattedData!M63*$J$4+$M$4*$J$5+[47]FormattedData!M63^2*$J$6+$M$5*$J$7</f>
        <v>-0.56767804203664096</v>
      </c>
      <c r="U66" s="39">
        <f>$J$3+[47]FormattedData!N63*$J$4+$M$4*$J$5+[47]FormattedData!N63^2*$J$6+$M$5*$J$7</f>
        <v>-0.56767804203664096</v>
      </c>
      <c r="V66" s="39">
        <f>$J$3+[47]FormattedData!O63*$J$4+$M$4*$J$5+[47]FormattedData!O63^2*$J$6+$M$5*$J$7</f>
        <v>-0.56767804203664096</v>
      </c>
      <c r="W66" s="38">
        <f>AVERAGE(K66:V66)</f>
        <v>-0.56767804203664085</v>
      </c>
      <c r="X66" s="37">
        <f>STDEV(K66:V66)/SQRT(COUNT(K66:V66))</f>
        <v>3.3474483693592253E-17</v>
      </c>
      <c r="Y66" s="36">
        <f>MIN(K66:V66)</f>
        <v>-0.56767804203664096</v>
      </c>
      <c r="Z66" s="35">
        <f>QUARTILE(K66:V66,1)</f>
        <v>-0.56767804203664096</v>
      </c>
      <c r="AA66" s="36">
        <f>MEDIAN(K66:V66)</f>
        <v>-0.56767804203664096</v>
      </c>
      <c r="AB66" s="35">
        <f>QUARTILE(K66:V66,3)</f>
        <v>-0.56767804203664096</v>
      </c>
      <c r="AC66" s="35">
        <f>MAX(K66:V66)</f>
        <v>-0.56767804203664096</v>
      </c>
      <c r="AD66" s="35">
        <f>SKEW(K66:V66)</f>
        <v>-1.1489125293076057</v>
      </c>
      <c r="AE66" s="35">
        <f>KURT(K66:V66)</f>
        <v>-2.4444444444444446</v>
      </c>
    </row>
    <row r="67" spans="2:31" x14ac:dyDescent="0.2">
      <c r="B67" s="34">
        <f>[47]FormattedData!A65</f>
        <v>0</v>
      </c>
      <c r="C67" s="34" t="e">
        <f>VLOOKUP($B67,[47]TrtCodes!$B$11:I108,2)</f>
        <v>#N/A</v>
      </c>
      <c r="D67" s="34" t="e">
        <f>VLOOKUP($B67,[47]TrtCodes!$B$11:J108,3)</f>
        <v>#N/A</v>
      </c>
      <c r="E67" s="34" t="e">
        <f>VLOOKUP($B67,[47]TrtCodes!$B$11:K108,4)</f>
        <v>#N/A</v>
      </c>
      <c r="F67" s="34" t="e">
        <f>VLOOKUP($B67,[47]TrtCodes!$B$11:L108,5)</f>
        <v>#N/A</v>
      </c>
      <c r="G67" s="34" t="e">
        <f>VLOOKUP($B67,[47]TrtCodes!$B$11:M108,6)</f>
        <v>#N/A</v>
      </c>
      <c r="H67" s="34" t="e">
        <f>VLOOKUP($B67,[47]TrtCodes!$B$11:N108,7)</f>
        <v>#N/A</v>
      </c>
      <c r="I67" s="34">
        <f>[47]FormattedData!B65</f>
        <v>0</v>
      </c>
      <c r="J67" s="37">
        <f>[47]FormattedData!C65</f>
        <v>0</v>
      </c>
      <c r="K67" s="39">
        <f>$J$3+[47]FormattedData!D65*$J$4+$M$4*$J$5+[47]FormattedData!D65^2*$J$6+$M$5*$J$7</f>
        <v>-0.56767804203664096</v>
      </c>
      <c r="L67" s="39">
        <f>$J$3+[47]FormattedData!E65*$J$4+$M$4*$J$5+[47]FormattedData!E65^2*$J$6+$M$5*$J$7</f>
        <v>-0.56767804203664096</v>
      </c>
      <c r="M67" s="39">
        <f>$J$3+[47]FormattedData!F65*$J$4+$M$4*$J$5+[47]FormattedData!F65^2*$J$6+$M$5*$J$7</f>
        <v>-0.56767804203664096</v>
      </c>
      <c r="N67" s="39">
        <f>$J$3+[47]FormattedData!G65*$J$4+$M$4*$J$5+[47]FormattedData!G65^2*$J$6+$M$5*$J$7</f>
        <v>-0.56767804203664096</v>
      </c>
      <c r="O67" s="39">
        <f>$J$3+[47]FormattedData!H65*$J$4+$M$4*$J$5+[47]FormattedData!H65^2*$J$6+$M$5*$J$7</f>
        <v>-0.56767804203664096</v>
      </c>
      <c r="P67" s="39">
        <f>$J$3+[47]FormattedData!I65*$J$4+$M$4*$J$5+[47]FormattedData!I65^2*$J$6+$M$5*$J$7</f>
        <v>-0.56767804203664096</v>
      </c>
      <c r="Q67" s="39">
        <f>$J$3+[47]FormattedData!J65*$J$4+$M$4*$J$5+[47]FormattedData!J65^2*$J$6+$M$5*$J$7</f>
        <v>-0.56767804203664096</v>
      </c>
      <c r="R67" s="39">
        <f>$J$3+[47]FormattedData!K65*$J$4+$M$4*$J$5+[47]FormattedData!K65^2*$J$6+$M$5*$J$7</f>
        <v>-0.56767804203664096</v>
      </c>
      <c r="S67" s="39">
        <f>$J$3+[47]FormattedData!L65*$J$4+$M$4*$J$5+[47]FormattedData!L65^2*$J$6+$M$5*$J$7</f>
        <v>-0.56767804203664096</v>
      </c>
      <c r="T67" s="39">
        <f>$J$3+[47]FormattedData!M65*$J$4+$M$4*$J$5+[47]FormattedData!M65^2*$J$6+$M$5*$J$7</f>
        <v>-0.56767804203664096</v>
      </c>
      <c r="U67" s="39">
        <f>$J$3+[47]FormattedData!N65*$J$4+$M$4*$J$5+[47]FormattedData!N65^2*$J$6+$M$5*$J$7</f>
        <v>-0.56767804203664096</v>
      </c>
      <c r="V67" s="39">
        <f>$J$3+[47]FormattedData!O65*$J$4+$M$4*$J$5+[47]FormattedData!O65^2*$J$6+$M$5*$J$7</f>
        <v>-0.56767804203664096</v>
      </c>
      <c r="W67" s="38">
        <f>AVERAGE(K67:V67)</f>
        <v>-0.56767804203664085</v>
      </c>
      <c r="X67" s="37">
        <f>STDEV(K67:V67)/SQRT(COUNT(K67:V67))</f>
        <v>3.3474483693592253E-17</v>
      </c>
      <c r="Y67" s="36">
        <f>MIN(K67:V67)</f>
        <v>-0.56767804203664096</v>
      </c>
      <c r="Z67" s="35">
        <f>QUARTILE(K67:V67,1)</f>
        <v>-0.56767804203664096</v>
      </c>
      <c r="AA67" s="36">
        <f>MEDIAN(K67:V67)</f>
        <v>-0.56767804203664096</v>
      </c>
      <c r="AB67" s="35">
        <f>QUARTILE(K67:V67,3)</f>
        <v>-0.56767804203664096</v>
      </c>
      <c r="AC67" s="35">
        <f>MAX(K67:V67)</f>
        <v>-0.56767804203664096</v>
      </c>
      <c r="AD67" s="35">
        <f>SKEW(K67:V67)</f>
        <v>-1.1489125293076057</v>
      </c>
      <c r="AE67" s="35">
        <f>KURT(K67:V67)</f>
        <v>-2.4444444444444446</v>
      </c>
    </row>
    <row r="68" spans="2:31" x14ac:dyDescent="0.2">
      <c r="B68" s="34">
        <f>[47]FormattedData!A67</f>
        <v>0</v>
      </c>
      <c r="C68" s="34" t="e">
        <f>VLOOKUP($B68,[47]TrtCodes!$B$11:I110,2)</f>
        <v>#N/A</v>
      </c>
      <c r="D68" s="34" t="e">
        <f>VLOOKUP($B68,[47]TrtCodes!$B$11:J110,3)</f>
        <v>#N/A</v>
      </c>
      <c r="E68" s="34" t="e">
        <f>VLOOKUP($B68,[47]TrtCodes!$B$11:K110,4)</f>
        <v>#N/A</v>
      </c>
      <c r="F68" s="34" t="e">
        <f>VLOOKUP($B68,[47]TrtCodes!$B$11:L110,5)</f>
        <v>#N/A</v>
      </c>
      <c r="G68" s="34" t="e">
        <f>VLOOKUP($B68,[47]TrtCodes!$B$11:M110,6)</f>
        <v>#N/A</v>
      </c>
      <c r="H68" s="34" t="e">
        <f>VLOOKUP($B68,[47]TrtCodes!$B$11:N110,7)</f>
        <v>#N/A</v>
      </c>
      <c r="I68" s="34">
        <f>[47]FormattedData!B67</f>
        <v>0</v>
      </c>
      <c r="J68" s="37">
        <f>[47]FormattedData!C67</f>
        <v>0</v>
      </c>
      <c r="K68" s="39">
        <f>$J$3+[47]FormattedData!D67*$J$4+$M$4*$J$5+[47]FormattedData!D67^2*$J$6+$M$5*$J$7</f>
        <v>-0.56767804203664096</v>
      </c>
      <c r="L68" s="39">
        <f>$J$3+[47]FormattedData!E67*$J$4+$M$4*$J$5+[47]FormattedData!E67^2*$J$6+$M$5*$J$7</f>
        <v>-0.56767804203664096</v>
      </c>
      <c r="M68" s="39">
        <f>$J$3+[47]FormattedData!F67*$J$4+$M$4*$J$5+[47]FormattedData!F67^2*$J$6+$M$5*$J$7</f>
        <v>-0.56767804203664096</v>
      </c>
      <c r="N68" s="39">
        <f>$J$3+[47]FormattedData!G67*$J$4+$M$4*$J$5+[47]FormattedData!G67^2*$J$6+$M$5*$J$7</f>
        <v>-0.56767804203664096</v>
      </c>
      <c r="O68" s="39">
        <f>$J$3+[47]FormattedData!H67*$J$4+$M$4*$J$5+[47]FormattedData!H67^2*$J$6+$M$5*$J$7</f>
        <v>-0.56767804203664096</v>
      </c>
      <c r="P68" s="39">
        <f>$J$3+[47]FormattedData!I67*$J$4+$M$4*$J$5+[47]FormattedData!I67^2*$J$6+$M$5*$J$7</f>
        <v>-0.56767804203664096</v>
      </c>
      <c r="Q68" s="39">
        <f>$J$3+[47]FormattedData!J67*$J$4+$M$4*$J$5+[47]FormattedData!J67^2*$J$6+$M$5*$J$7</f>
        <v>-0.56767804203664096</v>
      </c>
      <c r="R68" s="39">
        <f>$J$3+[47]FormattedData!K67*$J$4+$M$4*$J$5+[47]FormattedData!K67^2*$J$6+$M$5*$J$7</f>
        <v>-0.56767804203664096</v>
      </c>
      <c r="S68" s="39">
        <f>$J$3+[47]FormattedData!L67*$J$4+$M$4*$J$5+[47]FormattedData!L67^2*$J$6+$M$5*$J$7</f>
        <v>-0.56767804203664096</v>
      </c>
      <c r="T68" s="39">
        <f>$J$3+[47]FormattedData!M67*$J$4+$M$4*$J$5+[47]FormattedData!M67^2*$J$6+$M$5*$J$7</f>
        <v>-0.56767804203664096</v>
      </c>
      <c r="U68" s="39">
        <f>$J$3+[47]FormattedData!N67*$J$4+$M$4*$J$5+[47]FormattedData!N67^2*$J$6+$M$5*$J$7</f>
        <v>-0.56767804203664096</v>
      </c>
      <c r="V68" s="39">
        <f>$J$3+[47]FormattedData!O67*$J$4+$M$4*$J$5+[47]FormattedData!O67^2*$J$6+$M$5*$J$7</f>
        <v>-0.56767804203664096</v>
      </c>
      <c r="W68" s="38">
        <f>AVERAGE(K68:V68)</f>
        <v>-0.56767804203664085</v>
      </c>
      <c r="X68" s="37">
        <f>STDEV(K68:V68)/SQRT(COUNT(K68:V68))</f>
        <v>3.3474483693592253E-17</v>
      </c>
      <c r="Y68" s="36">
        <f>MIN(K68:V68)</f>
        <v>-0.56767804203664096</v>
      </c>
      <c r="Z68" s="35">
        <f>QUARTILE(K68:V68,1)</f>
        <v>-0.56767804203664096</v>
      </c>
      <c r="AA68" s="36">
        <f>MEDIAN(K68:V68)</f>
        <v>-0.56767804203664096</v>
      </c>
      <c r="AB68" s="35">
        <f>QUARTILE(K68:V68,3)</f>
        <v>-0.56767804203664096</v>
      </c>
      <c r="AC68" s="35">
        <f>MAX(K68:V68)</f>
        <v>-0.56767804203664096</v>
      </c>
      <c r="AD68" s="35">
        <f>SKEW(K68:V68)</f>
        <v>-1.1489125293076057</v>
      </c>
      <c r="AE68" s="35">
        <f>KURT(K68:V68)</f>
        <v>-2.4444444444444446</v>
      </c>
    </row>
    <row r="69" spans="2:31" x14ac:dyDescent="0.2">
      <c r="B69" s="34">
        <f>[47]FormattedData!A69</f>
        <v>0</v>
      </c>
      <c r="C69" s="34" t="e">
        <f>VLOOKUP($B69,[47]TrtCodes!$B$11:I112,2)</f>
        <v>#N/A</v>
      </c>
      <c r="D69" s="34" t="e">
        <f>VLOOKUP($B69,[47]TrtCodes!$B$11:J112,3)</f>
        <v>#N/A</v>
      </c>
      <c r="E69" s="34" t="e">
        <f>VLOOKUP($B69,[47]TrtCodes!$B$11:K112,4)</f>
        <v>#N/A</v>
      </c>
      <c r="F69" s="34" t="e">
        <f>VLOOKUP($B69,[47]TrtCodes!$B$11:L112,5)</f>
        <v>#N/A</v>
      </c>
      <c r="G69" s="34" t="e">
        <f>VLOOKUP($B69,[47]TrtCodes!$B$11:M112,6)</f>
        <v>#N/A</v>
      </c>
      <c r="H69" s="34" t="e">
        <f>VLOOKUP($B69,[47]TrtCodes!$B$11:N112,7)</f>
        <v>#N/A</v>
      </c>
      <c r="I69" s="34">
        <f>[47]FormattedData!B69</f>
        <v>0</v>
      </c>
      <c r="J69" s="37">
        <f>[47]FormattedData!C69</f>
        <v>0</v>
      </c>
      <c r="K69" s="39">
        <f>$J$3+[47]FormattedData!D69*$J$4+$M$4*$J$5+[47]FormattedData!D69^2*$J$6+$M$5*$J$7</f>
        <v>-0.56767804203664096</v>
      </c>
      <c r="L69" s="39">
        <f>$J$3+[47]FormattedData!E69*$J$4+$M$4*$J$5+[47]FormattedData!E69^2*$J$6+$M$5*$J$7</f>
        <v>-0.56767804203664096</v>
      </c>
      <c r="M69" s="39">
        <f>$J$3+[47]FormattedData!F69*$J$4+$M$4*$J$5+[47]FormattedData!F69^2*$J$6+$M$5*$J$7</f>
        <v>-0.56767804203664096</v>
      </c>
      <c r="N69" s="39">
        <f>$J$3+[47]FormattedData!G69*$J$4+$M$4*$J$5+[47]FormattedData!G69^2*$J$6+$M$5*$J$7</f>
        <v>-0.56767804203664096</v>
      </c>
      <c r="O69" s="39">
        <f>$J$3+[47]FormattedData!H69*$J$4+$M$4*$J$5+[47]FormattedData!H69^2*$J$6+$M$5*$J$7</f>
        <v>-0.56767804203664096</v>
      </c>
      <c r="P69" s="39">
        <f>$J$3+[47]FormattedData!I69*$J$4+$M$4*$J$5+[47]FormattedData!I69^2*$J$6+$M$5*$J$7</f>
        <v>-0.56767804203664096</v>
      </c>
      <c r="Q69" s="39">
        <f>$J$3+[47]FormattedData!J69*$J$4+$M$4*$J$5+[47]FormattedData!J69^2*$J$6+$M$5*$J$7</f>
        <v>-0.56767804203664096</v>
      </c>
      <c r="R69" s="39">
        <f>$J$3+[47]FormattedData!K69*$J$4+$M$4*$J$5+[47]FormattedData!K69^2*$J$6+$M$5*$J$7</f>
        <v>-0.56767804203664096</v>
      </c>
      <c r="S69" s="39">
        <f>$J$3+[47]FormattedData!L69*$J$4+$M$4*$J$5+[47]FormattedData!L69^2*$J$6+$M$5*$J$7</f>
        <v>-0.56767804203664096</v>
      </c>
      <c r="T69" s="39">
        <f>$J$3+[47]FormattedData!M69*$J$4+$M$4*$J$5+[47]FormattedData!M69^2*$J$6+$M$5*$J$7</f>
        <v>-0.56767804203664096</v>
      </c>
      <c r="U69" s="39">
        <f>$J$3+[47]FormattedData!N69*$J$4+$M$4*$J$5+[47]FormattedData!N69^2*$J$6+$M$5*$J$7</f>
        <v>-0.56767804203664096</v>
      </c>
      <c r="V69" s="39">
        <f>$J$3+[47]FormattedData!O69*$J$4+$M$4*$J$5+[47]FormattedData!O69^2*$J$6+$M$5*$J$7</f>
        <v>-0.56767804203664096</v>
      </c>
      <c r="W69" s="38">
        <f>AVERAGE(K69:V69)</f>
        <v>-0.56767804203664085</v>
      </c>
      <c r="X69" s="37">
        <f>STDEV(K69:V69)/SQRT(COUNT(K69:V69))</f>
        <v>3.3474483693592253E-17</v>
      </c>
      <c r="Y69" s="36">
        <f>MIN(K69:V69)</f>
        <v>-0.56767804203664096</v>
      </c>
      <c r="Z69" s="35">
        <f>QUARTILE(K69:V69,1)</f>
        <v>-0.56767804203664096</v>
      </c>
      <c r="AA69" s="36">
        <f>MEDIAN(K69:V69)</f>
        <v>-0.56767804203664096</v>
      </c>
      <c r="AB69" s="35">
        <f>QUARTILE(K69:V69,3)</f>
        <v>-0.56767804203664096</v>
      </c>
      <c r="AC69" s="35">
        <f>MAX(K69:V69)</f>
        <v>-0.56767804203664096</v>
      </c>
      <c r="AD69" s="35">
        <f>SKEW(K69:V69)</f>
        <v>-1.1489125293076057</v>
      </c>
      <c r="AE69" s="35">
        <f>KURT(K69:V69)</f>
        <v>-2.4444444444444446</v>
      </c>
    </row>
    <row r="70" spans="2:31" x14ac:dyDescent="0.2">
      <c r="B70" s="34">
        <f>[47]FormattedData!A71</f>
        <v>0</v>
      </c>
      <c r="C70" s="34" t="e">
        <f>VLOOKUP($B70,[47]TrtCodes!$B$11:I114,2)</f>
        <v>#N/A</v>
      </c>
      <c r="D70" s="34" t="e">
        <f>VLOOKUP($B70,[47]TrtCodes!$B$11:J114,3)</f>
        <v>#N/A</v>
      </c>
      <c r="E70" s="34" t="e">
        <f>VLOOKUP($B70,[47]TrtCodes!$B$11:K114,4)</f>
        <v>#N/A</v>
      </c>
      <c r="F70" s="34" t="e">
        <f>VLOOKUP($B70,[47]TrtCodes!$B$11:L114,5)</f>
        <v>#N/A</v>
      </c>
      <c r="G70" s="34" t="e">
        <f>VLOOKUP($B70,[47]TrtCodes!$B$11:M114,6)</f>
        <v>#N/A</v>
      </c>
      <c r="H70" s="34" t="e">
        <f>VLOOKUP($B70,[47]TrtCodes!$B$11:N114,7)</f>
        <v>#N/A</v>
      </c>
      <c r="I70" s="34">
        <f>[47]FormattedData!B71</f>
        <v>0</v>
      </c>
      <c r="J70" s="37">
        <f>[47]FormattedData!C71</f>
        <v>0</v>
      </c>
      <c r="K70" s="39">
        <f>$J$3+[47]FormattedData!D71*$J$4+$M$4*$J$5+[47]FormattedData!D71^2*$J$6+$M$5*$J$7</f>
        <v>-0.56767804203664096</v>
      </c>
      <c r="L70" s="39">
        <f>$J$3+[47]FormattedData!E71*$J$4+$M$4*$J$5+[47]FormattedData!E71^2*$J$6+$M$5*$J$7</f>
        <v>-0.56767804203664096</v>
      </c>
      <c r="M70" s="39">
        <f>$J$3+[47]FormattedData!F71*$J$4+$M$4*$J$5+[47]FormattedData!F71^2*$J$6+$M$5*$J$7</f>
        <v>-0.56767804203664096</v>
      </c>
      <c r="N70" s="39">
        <f>$J$3+[47]FormattedData!G71*$J$4+$M$4*$J$5+[47]FormattedData!G71^2*$J$6+$M$5*$J$7</f>
        <v>-0.56767804203664096</v>
      </c>
      <c r="O70" s="39">
        <f>$J$3+[47]FormattedData!H71*$J$4+$M$4*$J$5+[47]FormattedData!H71^2*$J$6+$M$5*$J$7</f>
        <v>-0.56767804203664096</v>
      </c>
      <c r="P70" s="39">
        <f>$J$3+[47]FormattedData!I71*$J$4+$M$4*$J$5+[47]FormattedData!I71^2*$J$6+$M$5*$J$7</f>
        <v>-0.56767804203664096</v>
      </c>
      <c r="Q70" s="39">
        <f>$J$3+[47]FormattedData!J71*$J$4+$M$4*$J$5+[47]FormattedData!J71^2*$J$6+$M$5*$J$7</f>
        <v>-0.56767804203664096</v>
      </c>
      <c r="R70" s="39">
        <f>$J$3+[47]FormattedData!K71*$J$4+$M$4*$J$5+[47]FormattedData!K71^2*$J$6+$M$5*$J$7</f>
        <v>-0.56767804203664096</v>
      </c>
      <c r="S70" s="39">
        <f>$J$3+[47]FormattedData!L71*$J$4+$M$4*$J$5+[47]FormattedData!L71^2*$J$6+$M$5*$J$7</f>
        <v>-0.56767804203664096</v>
      </c>
      <c r="T70" s="39">
        <f>$J$3+[47]FormattedData!M71*$J$4+$M$4*$J$5+[47]FormattedData!M71^2*$J$6+$M$5*$J$7</f>
        <v>-0.56767804203664096</v>
      </c>
      <c r="U70" s="39">
        <f>$J$3+[47]FormattedData!N71*$J$4+$M$4*$J$5+[47]FormattedData!N71^2*$J$6+$M$5*$J$7</f>
        <v>-0.56767804203664096</v>
      </c>
      <c r="V70" s="39">
        <f>$J$3+[47]FormattedData!O71*$J$4+$M$4*$J$5+[47]FormattedData!O71^2*$J$6+$M$5*$J$7</f>
        <v>-0.56767804203664096</v>
      </c>
      <c r="W70" s="38">
        <f>AVERAGE(K70:V70)</f>
        <v>-0.56767804203664085</v>
      </c>
      <c r="X70" s="37">
        <f>STDEV(K70:V70)/SQRT(COUNT(K70:V70))</f>
        <v>3.3474483693592253E-17</v>
      </c>
      <c r="Y70" s="36">
        <f>MIN(K70:V70)</f>
        <v>-0.56767804203664096</v>
      </c>
      <c r="Z70" s="35">
        <f>QUARTILE(K70:V70,1)</f>
        <v>-0.56767804203664096</v>
      </c>
      <c r="AA70" s="36">
        <f>MEDIAN(K70:V70)</f>
        <v>-0.56767804203664096</v>
      </c>
      <c r="AB70" s="35">
        <f>QUARTILE(K70:V70,3)</f>
        <v>-0.56767804203664096</v>
      </c>
      <c r="AC70" s="35">
        <f>MAX(K70:V70)</f>
        <v>-0.56767804203664096</v>
      </c>
      <c r="AD70" s="35">
        <f>SKEW(K70:V70)</f>
        <v>-1.1489125293076057</v>
      </c>
      <c r="AE70" s="35">
        <f>KURT(K70:V70)</f>
        <v>-2.4444444444444446</v>
      </c>
    </row>
    <row r="71" spans="2:31" x14ac:dyDescent="0.2">
      <c r="B71" s="34">
        <f>[47]FormattedData!A73</f>
        <v>0</v>
      </c>
      <c r="C71" s="34" t="e">
        <f>VLOOKUP($B71,[47]TrtCodes!$B$11:I116,2)</f>
        <v>#N/A</v>
      </c>
      <c r="D71" s="34" t="e">
        <f>VLOOKUP($B71,[47]TrtCodes!$B$11:J116,3)</f>
        <v>#N/A</v>
      </c>
      <c r="E71" s="34" t="e">
        <f>VLOOKUP($B71,[47]TrtCodes!$B$11:K116,4)</f>
        <v>#N/A</v>
      </c>
      <c r="F71" s="34" t="e">
        <f>VLOOKUP($B71,[47]TrtCodes!$B$11:L116,5)</f>
        <v>#N/A</v>
      </c>
      <c r="G71" s="34" t="e">
        <f>VLOOKUP($B71,[47]TrtCodes!$B$11:M116,6)</f>
        <v>#N/A</v>
      </c>
      <c r="H71" s="34" t="e">
        <f>VLOOKUP($B71,[47]TrtCodes!$B$11:N116,7)</f>
        <v>#N/A</v>
      </c>
      <c r="I71" s="34">
        <f>[47]FormattedData!B73</f>
        <v>0</v>
      </c>
      <c r="J71" s="37">
        <f>[47]FormattedData!C73</f>
        <v>0</v>
      </c>
      <c r="K71" s="39">
        <f>$J$3+[47]FormattedData!D73*$J$4+$M$4*$J$5+[47]FormattedData!D73^2*$J$6+$M$5*$J$7</f>
        <v>-0.56767804203664096</v>
      </c>
      <c r="L71" s="39">
        <f>$J$3+[47]FormattedData!E73*$J$4+$M$4*$J$5+[47]FormattedData!E73^2*$J$6+$M$5*$J$7</f>
        <v>-0.56767804203664096</v>
      </c>
      <c r="M71" s="39">
        <f>$J$3+[47]FormattedData!F73*$J$4+$M$4*$J$5+[47]FormattedData!F73^2*$J$6+$M$5*$J$7</f>
        <v>-0.56767804203664096</v>
      </c>
      <c r="N71" s="39">
        <f>$J$3+[47]FormattedData!G73*$J$4+$M$4*$J$5+[47]FormattedData!G73^2*$J$6+$M$5*$J$7</f>
        <v>-0.56767804203664096</v>
      </c>
      <c r="O71" s="39">
        <f>$J$3+[47]FormattedData!H73*$J$4+$M$4*$J$5+[47]FormattedData!H73^2*$J$6+$M$5*$J$7</f>
        <v>-0.56767804203664096</v>
      </c>
      <c r="P71" s="39">
        <f>$J$3+[47]FormattedData!I73*$J$4+$M$4*$J$5+[47]FormattedData!I73^2*$J$6+$M$5*$J$7</f>
        <v>-0.56767804203664096</v>
      </c>
      <c r="Q71" s="39">
        <f>$J$3+[47]FormattedData!J73*$J$4+$M$4*$J$5+[47]FormattedData!J73^2*$J$6+$M$5*$J$7</f>
        <v>-0.56767804203664096</v>
      </c>
      <c r="R71" s="39">
        <f>$J$3+[47]FormattedData!K73*$J$4+$M$4*$J$5+[47]FormattedData!K73^2*$J$6+$M$5*$J$7</f>
        <v>-0.56767804203664096</v>
      </c>
      <c r="S71" s="39">
        <f>$J$3+[47]FormattedData!L73*$J$4+$M$4*$J$5+[47]FormattedData!L73^2*$J$6+$M$5*$J$7</f>
        <v>-0.56767804203664096</v>
      </c>
      <c r="T71" s="39">
        <f>$J$3+[47]FormattedData!M73*$J$4+$M$4*$J$5+[47]FormattedData!M73^2*$J$6+$M$5*$J$7</f>
        <v>-0.56767804203664096</v>
      </c>
      <c r="U71" s="39">
        <f>$J$3+[47]FormattedData!N73*$J$4+$M$4*$J$5+[47]FormattedData!N73^2*$J$6+$M$5*$J$7</f>
        <v>-0.56767804203664096</v>
      </c>
      <c r="V71" s="39">
        <f>$J$3+[47]FormattedData!O73*$J$4+$M$4*$J$5+[47]FormattedData!O73^2*$J$6+$M$5*$J$7</f>
        <v>-0.56767804203664096</v>
      </c>
      <c r="W71" s="38">
        <f>AVERAGE(K71:V71)</f>
        <v>-0.56767804203664085</v>
      </c>
      <c r="X71" s="37">
        <f>STDEV(K71:V71)/SQRT(COUNT(K71:V71))</f>
        <v>3.3474483693592253E-17</v>
      </c>
      <c r="Y71" s="36">
        <f>MIN(K71:V71)</f>
        <v>-0.56767804203664096</v>
      </c>
      <c r="Z71" s="35">
        <f>QUARTILE(K71:V71,1)</f>
        <v>-0.56767804203664096</v>
      </c>
      <c r="AA71" s="36">
        <f>MEDIAN(K71:V71)</f>
        <v>-0.56767804203664096</v>
      </c>
      <c r="AB71" s="35">
        <f>QUARTILE(K71:V71,3)</f>
        <v>-0.56767804203664096</v>
      </c>
      <c r="AC71" s="35">
        <f>MAX(K71:V71)</f>
        <v>-0.56767804203664096</v>
      </c>
      <c r="AD71" s="35">
        <f>SKEW(K71:V71)</f>
        <v>-1.1489125293076057</v>
      </c>
      <c r="AE71" s="35">
        <f>KURT(K71:V71)</f>
        <v>-2.4444444444444446</v>
      </c>
    </row>
    <row r="72" spans="2:31" x14ac:dyDescent="0.2">
      <c r="B72" s="34">
        <f>[47]FormattedData!A75</f>
        <v>0</v>
      </c>
      <c r="C72" s="34" t="e">
        <f>VLOOKUP($B72,[47]TrtCodes!$B$11:I118,2)</f>
        <v>#N/A</v>
      </c>
      <c r="D72" s="34" t="e">
        <f>VLOOKUP($B72,[47]TrtCodes!$B$11:J118,3)</f>
        <v>#N/A</v>
      </c>
      <c r="E72" s="34" t="e">
        <f>VLOOKUP($B72,[47]TrtCodes!$B$11:K118,4)</f>
        <v>#N/A</v>
      </c>
      <c r="F72" s="34" t="e">
        <f>VLOOKUP($B72,[47]TrtCodes!$B$11:L118,5)</f>
        <v>#N/A</v>
      </c>
      <c r="G72" s="34" t="e">
        <f>VLOOKUP($B72,[47]TrtCodes!$B$11:M118,6)</f>
        <v>#N/A</v>
      </c>
      <c r="H72" s="34" t="e">
        <f>VLOOKUP($B72,[47]TrtCodes!$B$11:N118,7)</f>
        <v>#N/A</v>
      </c>
      <c r="I72" s="34">
        <f>[47]FormattedData!B75</f>
        <v>0</v>
      </c>
      <c r="J72" s="37">
        <f>[47]FormattedData!C75</f>
        <v>0</v>
      </c>
      <c r="K72" s="39">
        <f>$J$3+[47]FormattedData!D75*$J$4+$M$4*$J$5+[47]FormattedData!D75^2*$J$6+$M$5*$J$7</f>
        <v>-0.56767804203664096</v>
      </c>
      <c r="L72" s="39">
        <f>$J$3+[47]FormattedData!E75*$J$4+$M$4*$J$5+[47]FormattedData!E75^2*$J$6+$M$5*$J$7</f>
        <v>-0.56767804203664096</v>
      </c>
      <c r="M72" s="39">
        <f>$J$3+[47]FormattedData!F75*$J$4+$M$4*$J$5+[47]FormattedData!F75^2*$J$6+$M$5*$J$7</f>
        <v>-0.56767804203664096</v>
      </c>
      <c r="N72" s="39">
        <f>$J$3+[47]FormattedData!G75*$J$4+$M$4*$J$5+[47]FormattedData!G75^2*$J$6+$M$5*$J$7</f>
        <v>-0.56767804203664096</v>
      </c>
      <c r="O72" s="39">
        <f>$J$3+[47]FormattedData!H75*$J$4+$M$4*$J$5+[47]FormattedData!H75^2*$J$6+$M$5*$J$7</f>
        <v>-0.56767804203664096</v>
      </c>
      <c r="P72" s="39">
        <f>$J$3+[47]FormattedData!I75*$J$4+$M$4*$J$5+[47]FormattedData!I75^2*$J$6+$M$5*$J$7</f>
        <v>-0.56767804203664096</v>
      </c>
      <c r="Q72" s="39">
        <f>$J$3+[47]FormattedData!J75*$J$4+$M$4*$J$5+[47]FormattedData!J75^2*$J$6+$M$5*$J$7</f>
        <v>-0.56767804203664096</v>
      </c>
      <c r="R72" s="39">
        <f>$J$3+[47]FormattedData!K75*$J$4+$M$4*$J$5+[47]FormattedData!K75^2*$J$6+$M$5*$J$7</f>
        <v>-0.56767804203664096</v>
      </c>
      <c r="S72" s="39">
        <f>$J$3+[47]FormattedData!L75*$J$4+$M$4*$J$5+[47]FormattedData!L75^2*$J$6+$M$5*$J$7</f>
        <v>-0.56767804203664096</v>
      </c>
      <c r="T72" s="39">
        <f>$J$3+[47]FormattedData!M75*$J$4+$M$4*$J$5+[47]FormattedData!M75^2*$J$6+$M$5*$J$7</f>
        <v>-0.56767804203664096</v>
      </c>
      <c r="U72" s="39">
        <f>$J$3+[47]FormattedData!N75*$J$4+$M$4*$J$5+[47]FormattedData!N75^2*$J$6+$M$5*$J$7</f>
        <v>-0.56767804203664096</v>
      </c>
      <c r="V72" s="39">
        <f>$J$3+[47]FormattedData!O75*$J$4+$M$4*$J$5+[47]FormattedData!O75^2*$J$6+$M$5*$J$7</f>
        <v>-0.56767804203664096</v>
      </c>
      <c r="W72" s="38">
        <f>AVERAGE(K72:V72)</f>
        <v>-0.56767804203664085</v>
      </c>
      <c r="X72" s="37">
        <f>STDEV(K72:V72)/SQRT(COUNT(K72:V72))</f>
        <v>3.3474483693592253E-17</v>
      </c>
      <c r="Y72" s="36">
        <f>MIN(K72:V72)</f>
        <v>-0.56767804203664096</v>
      </c>
      <c r="Z72" s="35">
        <f>QUARTILE(K72:V72,1)</f>
        <v>-0.56767804203664096</v>
      </c>
      <c r="AA72" s="36">
        <f>MEDIAN(K72:V72)</f>
        <v>-0.56767804203664096</v>
      </c>
      <c r="AB72" s="35">
        <f>QUARTILE(K72:V72,3)</f>
        <v>-0.56767804203664096</v>
      </c>
      <c r="AC72" s="35">
        <f>MAX(K72:V72)</f>
        <v>-0.56767804203664096</v>
      </c>
      <c r="AD72" s="35">
        <f>SKEW(K72:V72)</f>
        <v>-1.1489125293076057</v>
      </c>
      <c r="AE72" s="35">
        <f>KURT(K72:V72)</f>
        <v>-2.4444444444444446</v>
      </c>
    </row>
    <row r="73" spans="2:31" x14ac:dyDescent="0.2">
      <c r="B73" s="34">
        <f>[47]FormattedData!A77</f>
        <v>0</v>
      </c>
      <c r="C73" s="34" t="e">
        <f>VLOOKUP($B73,[47]TrtCodes!$B$11:I120,2)</f>
        <v>#N/A</v>
      </c>
      <c r="D73" s="34" t="e">
        <f>VLOOKUP($B73,[47]TrtCodes!$B$11:J120,3)</f>
        <v>#N/A</v>
      </c>
      <c r="E73" s="34" t="e">
        <f>VLOOKUP($B73,[47]TrtCodes!$B$11:K120,4)</f>
        <v>#N/A</v>
      </c>
      <c r="F73" s="34" t="e">
        <f>VLOOKUP($B73,[47]TrtCodes!$B$11:L120,5)</f>
        <v>#N/A</v>
      </c>
      <c r="G73" s="34" t="e">
        <f>VLOOKUP($B73,[47]TrtCodes!$B$11:M120,6)</f>
        <v>#N/A</v>
      </c>
      <c r="H73" s="34" t="e">
        <f>VLOOKUP($B73,[47]TrtCodes!$B$11:N120,7)</f>
        <v>#N/A</v>
      </c>
      <c r="I73" s="34">
        <f>[47]FormattedData!B77</f>
        <v>0</v>
      </c>
      <c r="J73" s="37">
        <f>[47]FormattedData!C77</f>
        <v>0</v>
      </c>
      <c r="K73" s="39">
        <f>$J$3+[47]FormattedData!D77*$J$4+$M$4*$J$5+[47]FormattedData!D77^2*$J$6+$M$5*$J$7</f>
        <v>-0.56767804203664096</v>
      </c>
      <c r="L73" s="39">
        <f>$J$3+[47]FormattedData!E77*$J$4+$M$4*$J$5+[47]FormattedData!E77^2*$J$6+$M$5*$J$7</f>
        <v>-0.56767804203664096</v>
      </c>
      <c r="M73" s="39">
        <f>$J$3+[47]FormattedData!F77*$J$4+$M$4*$J$5+[47]FormattedData!F77^2*$J$6+$M$5*$J$7</f>
        <v>-0.56767804203664096</v>
      </c>
      <c r="N73" s="39">
        <f>$J$3+[47]FormattedData!G77*$J$4+$M$4*$J$5+[47]FormattedData!G77^2*$J$6+$M$5*$J$7</f>
        <v>-0.56767804203664096</v>
      </c>
      <c r="O73" s="39">
        <f>$J$3+[47]FormattedData!H77*$J$4+$M$4*$J$5+[47]FormattedData!H77^2*$J$6+$M$5*$J$7</f>
        <v>-0.56767804203664096</v>
      </c>
      <c r="P73" s="39">
        <f>$J$3+[47]FormattedData!I77*$J$4+$M$4*$J$5+[47]FormattedData!I77^2*$J$6+$M$5*$J$7</f>
        <v>-0.56767804203664096</v>
      </c>
      <c r="Q73" s="39">
        <f>$J$3+[47]FormattedData!J77*$J$4+$M$4*$J$5+[47]FormattedData!J77^2*$J$6+$M$5*$J$7</f>
        <v>-0.56767804203664096</v>
      </c>
      <c r="R73" s="39">
        <f>$J$3+[47]FormattedData!K77*$J$4+$M$4*$J$5+[47]FormattedData!K77^2*$J$6+$M$5*$J$7</f>
        <v>-0.56767804203664096</v>
      </c>
      <c r="S73" s="39">
        <f>$J$3+[47]FormattedData!L77*$J$4+$M$4*$J$5+[47]FormattedData!L77^2*$J$6+$M$5*$J$7</f>
        <v>-0.56767804203664096</v>
      </c>
      <c r="T73" s="39">
        <f>$J$3+[47]FormattedData!M77*$J$4+$M$4*$J$5+[47]FormattedData!M77^2*$J$6+$M$5*$J$7</f>
        <v>-0.56767804203664096</v>
      </c>
      <c r="U73" s="39">
        <f>$J$3+[47]FormattedData!N77*$J$4+$M$4*$J$5+[47]FormattedData!N77^2*$J$6+$M$5*$J$7</f>
        <v>-0.56767804203664096</v>
      </c>
      <c r="V73" s="39">
        <f>$J$3+[47]FormattedData!O77*$J$4+$M$4*$J$5+[47]FormattedData!O77^2*$J$6+$M$5*$J$7</f>
        <v>-0.56767804203664096</v>
      </c>
      <c r="W73" s="38">
        <f>AVERAGE(K73:V73)</f>
        <v>-0.56767804203664085</v>
      </c>
      <c r="X73" s="37">
        <f>STDEV(K73:V73)/SQRT(COUNT(K73:V73))</f>
        <v>3.3474483693592253E-17</v>
      </c>
      <c r="Y73" s="36">
        <f>MIN(K73:V73)</f>
        <v>-0.56767804203664096</v>
      </c>
      <c r="Z73" s="35">
        <f>QUARTILE(K73:V73,1)</f>
        <v>-0.56767804203664096</v>
      </c>
      <c r="AA73" s="36">
        <f>MEDIAN(K73:V73)</f>
        <v>-0.56767804203664096</v>
      </c>
      <c r="AB73" s="35">
        <f>QUARTILE(K73:V73,3)</f>
        <v>-0.56767804203664096</v>
      </c>
      <c r="AC73" s="35">
        <f>MAX(K73:V73)</f>
        <v>-0.56767804203664096</v>
      </c>
      <c r="AD73" s="35">
        <f>SKEW(K73:V73)</f>
        <v>-1.1489125293076057</v>
      </c>
      <c r="AE73" s="35">
        <f>KURT(K73:V73)</f>
        <v>-2.4444444444444446</v>
      </c>
    </row>
    <row r="74" spans="2:31" x14ac:dyDescent="0.2">
      <c r="B74" s="34">
        <f>[47]FormattedData!A93</f>
        <v>0</v>
      </c>
      <c r="C74" s="34" t="e">
        <f>VLOOKUP($B74,[47]TrtCodes!$B$11:I130,2)</f>
        <v>#N/A</v>
      </c>
      <c r="D74" s="34" t="e">
        <f>VLOOKUP($B74,[47]TrtCodes!$B$11:J130,3)</f>
        <v>#N/A</v>
      </c>
      <c r="E74" s="34" t="e">
        <f>VLOOKUP($B74,[47]TrtCodes!$B$11:K130,4)</f>
        <v>#N/A</v>
      </c>
      <c r="F74" s="34" t="e">
        <f>VLOOKUP($B74,[47]TrtCodes!$B$11:L130,5)</f>
        <v>#N/A</v>
      </c>
      <c r="G74" s="34" t="e">
        <f>VLOOKUP($B74,[47]TrtCodes!$B$11:M130,6)</f>
        <v>#N/A</v>
      </c>
      <c r="H74" s="34" t="e">
        <f>VLOOKUP($B74,[47]TrtCodes!$B$11:N130,7)</f>
        <v>#N/A</v>
      </c>
      <c r="I74" s="34">
        <f>[47]FormattedData!B93</f>
        <v>0</v>
      </c>
      <c r="J74" s="37">
        <f>[47]FormattedData!C93</f>
        <v>0</v>
      </c>
      <c r="K74" s="39">
        <f>$J$3+[47]FormattedData!D93*$J$4+$M$4*$J$5+[47]FormattedData!D93^2*$J$6+$M$5*$J$7</f>
        <v>-0.56767804203664096</v>
      </c>
      <c r="L74" s="39">
        <f>$J$3+[47]FormattedData!E93*$J$4+$M$4*$J$5+[47]FormattedData!E93^2*$J$6+$M$5*$J$7</f>
        <v>-0.56767804203664096</v>
      </c>
      <c r="M74" s="39">
        <f>$J$3+[47]FormattedData!F93*$J$4+$M$4*$J$5+[47]FormattedData!F93^2*$J$6+$M$5*$J$7</f>
        <v>-0.56767804203664096</v>
      </c>
      <c r="N74" s="39">
        <f>$J$3+[47]FormattedData!G93*$J$4+$M$4*$J$5+[47]FormattedData!G93^2*$J$6+$M$5*$J$7</f>
        <v>-0.56767804203664096</v>
      </c>
      <c r="O74" s="39">
        <f>$J$3+[47]FormattedData!H93*$J$4+$M$4*$J$5+[47]FormattedData!H93^2*$J$6+$M$5*$J$7</f>
        <v>-0.56767804203664096</v>
      </c>
      <c r="P74" s="39">
        <f>$J$3+[47]FormattedData!I93*$J$4+$M$4*$J$5+[47]FormattedData!I93^2*$J$6+$M$5*$J$7</f>
        <v>-0.56767804203664096</v>
      </c>
      <c r="Q74" s="39">
        <f>$J$3+[47]FormattedData!J93*$J$4+$M$4*$J$5+[47]FormattedData!J93^2*$J$6+$M$5*$J$7</f>
        <v>-0.56767804203664096</v>
      </c>
      <c r="R74" s="39">
        <f>$J$3+[47]FormattedData!K93*$J$4+$M$4*$J$5+[47]FormattedData!K93^2*$J$6+$M$5*$J$7</f>
        <v>-0.56767804203664096</v>
      </c>
      <c r="S74" s="39">
        <f>$J$3+[47]FormattedData!L93*$J$4+$M$4*$J$5+[47]FormattedData!L93^2*$J$6+$M$5*$J$7</f>
        <v>-0.56767804203664096</v>
      </c>
      <c r="T74" s="39">
        <f>$J$3+[47]FormattedData!M93*$J$4+$M$4*$J$5+[47]FormattedData!M93^2*$J$6+$M$5*$J$7</f>
        <v>-0.56767804203664096</v>
      </c>
      <c r="U74" s="39">
        <f>$J$3+[47]FormattedData!N93*$J$4+$M$4*$J$5+[47]FormattedData!N93^2*$J$6+$M$5*$J$7</f>
        <v>-0.56767804203664096</v>
      </c>
      <c r="V74" s="39">
        <f>$J$3+[47]FormattedData!O93*$J$4+$M$4*$J$5+[47]FormattedData!O93^2*$J$6+$M$5*$J$7</f>
        <v>-0.56767804203664096</v>
      </c>
      <c r="W74" s="38">
        <f>AVERAGE(K74:V74)</f>
        <v>-0.56767804203664085</v>
      </c>
      <c r="X74" s="37">
        <f>STDEV(K74:V74)/SQRT(COUNT(K74:V74))</f>
        <v>3.3474483693592253E-17</v>
      </c>
      <c r="Y74" s="36">
        <f>MIN(K74:V74)</f>
        <v>-0.56767804203664096</v>
      </c>
      <c r="Z74" s="35">
        <f>QUARTILE(K74:V74,1)</f>
        <v>-0.56767804203664096</v>
      </c>
      <c r="AA74" s="36">
        <f>MEDIAN(K74:V74)</f>
        <v>-0.56767804203664096</v>
      </c>
      <c r="AB74" s="35">
        <f>QUARTILE(K74:V74,3)</f>
        <v>-0.56767804203664096</v>
      </c>
      <c r="AC74" s="35">
        <f>MAX(K74:V74)</f>
        <v>-0.56767804203664096</v>
      </c>
      <c r="AD74" s="35">
        <f>SKEW(K74:V74)</f>
        <v>-1.1489125293076057</v>
      </c>
      <c r="AE74" s="35">
        <f>KURT(K74:V74)</f>
        <v>-2.4444444444444446</v>
      </c>
    </row>
    <row r="75" spans="2:31" x14ac:dyDescent="0.2">
      <c r="B75" s="34">
        <f>[47]FormattedData!A91</f>
        <v>0</v>
      </c>
      <c r="C75" s="34" t="e">
        <f>VLOOKUP($B75,[47]TrtCodes!$B$11:I131,2)</f>
        <v>#N/A</v>
      </c>
      <c r="D75" s="34" t="e">
        <f>VLOOKUP($B75,[47]TrtCodes!$B$11:J131,3)</f>
        <v>#N/A</v>
      </c>
      <c r="E75" s="34" t="e">
        <f>VLOOKUP($B75,[47]TrtCodes!$B$11:K131,4)</f>
        <v>#N/A</v>
      </c>
      <c r="F75" s="34" t="e">
        <f>VLOOKUP($B75,[47]TrtCodes!$B$11:L131,5)</f>
        <v>#N/A</v>
      </c>
      <c r="G75" s="34" t="e">
        <f>VLOOKUP($B75,[47]TrtCodes!$B$11:M131,6)</f>
        <v>#N/A</v>
      </c>
      <c r="H75" s="34" t="e">
        <f>VLOOKUP($B75,[47]TrtCodes!$B$11:N131,7)</f>
        <v>#N/A</v>
      </c>
      <c r="I75" s="34">
        <f>[47]FormattedData!B91</f>
        <v>0</v>
      </c>
      <c r="J75" s="37">
        <f>[47]FormattedData!C91</f>
        <v>0</v>
      </c>
      <c r="K75" s="39">
        <f>$J$3+[47]FormattedData!D91*$J$4+$M$4*$J$5+[47]FormattedData!D91^2*$J$6+$M$5*$J$7</f>
        <v>-0.56767804203664096</v>
      </c>
      <c r="L75" s="39">
        <f>$J$3+[47]FormattedData!E91*$J$4+$M$4*$J$5+[47]FormattedData!E91^2*$J$6+$M$5*$J$7</f>
        <v>-0.56767804203664096</v>
      </c>
      <c r="M75" s="39">
        <f>$J$3+[47]FormattedData!F91*$J$4+$M$4*$J$5+[47]FormattedData!F91^2*$J$6+$M$5*$J$7</f>
        <v>-0.56767804203664096</v>
      </c>
      <c r="N75" s="39">
        <f>$J$3+[47]FormattedData!G91*$J$4+$M$4*$J$5+[47]FormattedData!G91^2*$J$6+$M$5*$J$7</f>
        <v>-0.56767804203664096</v>
      </c>
      <c r="O75" s="39">
        <f>$J$3+[47]FormattedData!H91*$J$4+$M$4*$J$5+[47]FormattedData!H91^2*$J$6+$M$5*$J$7</f>
        <v>-0.56767804203664096</v>
      </c>
      <c r="P75" s="39">
        <f>$J$3+[47]FormattedData!I91*$J$4+$M$4*$J$5+[47]FormattedData!I91^2*$J$6+$M$5*$J$7</f>
        <v>-0.56767804203664096</v>
      </c>
      <c r="Q75" s="39">
        <f>$J$3+[47]FormattedData!J91*$J$4+$M$4*$J$5+[47]FormattedData!J91^2*$J$6+$M$5*$J$7</f>
        <v>-0.56767804203664096</v>
      </c>
      <c r="R75" s="39">
        <f>$J$3+[47]FormattedData!K91*$J$4+$M$4*$J$5+[47]FormattedData!K91^2*$J$6+$M$5*$J$7</f>
        <v>-0.56767804203664096</v>
      </c>
      <c r="S75" s="39">
        <f>$J$3+[47]FormattedData!L91*$J$4+$M$4*$J$5+[47]FormattedData!L91^2*$J$6+$M$5*$J$7</f>
        <v>-0.56767804203664096</v>
      </c>
      <c r="T75" s="39">
        <f>$J$3+[47]FormattedData!M91*$J$4+$M$4*$J$5+[47]FormattedData!M91^2*$J$6+$M$5*$J$7</f>
        <v>-0.56767804203664096</v>
      </c>
      <c r="U75" s="39">
        <f>$J$3+[47]FormattedData!N91*$J$4+$M$4*$J$5+[47]FormattedData!N91^2*$J$6+$M$5*$J$7</f>
        <v>-0.56767804203664096</v>
      </c>
      <c r="V75" s="39">
        <f>$J$3+[47]FormattedData!O91*$J$4+$M$4*$J$5+[47]FormattedData!O91^2*$J$6+$M$5*$J$7</f>
        <v>-0.56767804203664096</v>
      </c>
      <c r="W75" s="38">
        <f>AVERAGE(K75:V75)</f>
        <v>-0.56767804203664085</v>
      </c>
      <c r="X75" s="37">
        <f>STDEV(K75:V75)/SQRT(COUNT(K75:V75))</f>
        <v>3.3474483693592253E-17</v>
      </c>
      <c r="Y75" s="36">
        <f>MIN(K75:V75)</f>
        <v>-0.56767804203664096</v>
      </c>
      <c r="Z75" s="35">
        <f>QUARTILE(K75:V75,1)</f>
        <v>-0.56767804203664096</v>
      </c>
      <c r="AA75" s="36">
        <f>MEDIAN(K75:V75)</f>
        <v>-0.56767804203664096</v>
      </c>
      <c r="AB75" s="35">
        <f>QUARTILE(K75:V75,3)</f>
        <v>-0.56767804203664096</v>
      </c>
      <c r="AC75" s="35">
        <f>MAX(K75:V75)</f>
        <v>-0.56767804203664096</v>
      </c>
      <c r="AD75" s="35">
        <f>SKEW(K75:V75)</f>
        <v>-1.1489125293076057</v>
      </c>
      <c r="AE75" s="35">
        <f>KURT(K75:V75)</f>
        <v>-2.4444444444444446</v>
      </c>
    </row>
    <row r="76" spans="2:31" x14ac:dyDescent="0.2">
      <c r="B76" s="34">
        <f>[47]FormattedData!A89</f>
        <v>0</v>
      </c>
      <c r="C76" s="34" t="e">
        <f>VLOOKUP($B76,[47]TrtCodes!$B$11:I132,2)</f>
        <v>#N/A</v>
      </c>
      <c r="D76" s="34" t="e">
        <f>VLOOKUP($B76,[47]TrtCodes!$B$11:J132,3)</f>
        <v>#N/A</v>
      </c>
      <c r="E76" s="34" t="e">
        <f>VLOOKUP($B76,[47]TrtCodes!$B$11:K132,4)</f>
        <v>#N/A</v>
      </c>
      <c r="F76" s="34" t="e">
        <f>VLOOKUP($B76,[47]TrtCodes!$B$11:L132,5)</f>
        <v>#N/A</v>
      </c>
      <c r="G76" s="34" t="e">
        <f>VLOOKUP($B76,[47]TrtCodes!$B$11:M132,6)</f>
        <v>#N/A</v>
      </c>
      <c r="H76" s="34" t="e">
        <f>VLOOKUP($B76,[47]TrtCodes!$B$11:N132,7)</f>
        <v>#N/A</v>
      </c>
      <c r="I76" s="34">
        <f>[47]FormattedData!B89</f>
        <v>0</v>
      </c>
      <c r="J76" s="37">
        <f>[47]FormattedData!C89</f>
        <v>0</v>
      </c>
      <c r="K76" s="39">
        <f>$J$3+[47]FormattedData!D89*$J$4+$M$4*$J$5+[47]FormattedData!D89^2*$J$6+$M$5*$J$7</f>
        <v>-0.56767804203664096</v>
      </c>
      <c r="L76" s="39">
        <f>$J$3+[47]FormattedData!E89*$J$4+$M$4*$J$5+[47]FormattedData!E89^2*$J$6+$M$5*$J$7</f>
        <v>-0.56767804203664096</v>
      </c>
      <c r="M76" s="39">
        <f>$J$3+[47]FormattedData!F89*$J$4+$M$4*$J$5+[47]FormattedData!F89^2*$J$6+$M$5*$J$7</f>
        <v>-0.56767804203664096</v>
      </c>
      <c r="N76" s="39">
        <f>$J$3+[47]FormattedData!G89*$J$4+$M$4*$J$5+[47]FormattedData!G89^2*$J$6+$M$5*$J$7</f>
        <v>-0.56767804203664096</v>
      </c>
      <c r="O76" s="39">
        <f>$J$3+[47]FormattedData!H89*$J$4+$M$4*$J$5+[47]FormattedData!H89^2*$J$6+$M$5*$J$7</f>
        <v>-0.56767804203664096</v>
      </c>
      <c r="P76" s="39">
        <f>$J$3+[47]FormattedData!I89*$J$4+$M$4*$J$5+[47]FormattedData!I89^2*$J$6+$M$5*$J$7</f>
        <v>-0.56767804203664096</v>
      </c>
      <c r="Q76" s="39">
        <f>$J$3+[47]FormattedData!J89*$J$4+$M$4*$J$5+[47]FormattedData!J89^2*$J$6+$M$5*$J$7</f>
        <v>-0.56767804203664096</v>
      </c>
      <c r="R76" s="39">
        <f>$J$3+[47]FormattedData!K89*$J$4+$M$4*$J$5+[47]FormattedData!K89^2*$J$6+$M$5*$J$7</f>
        <v>-0.56767804203664096</v>
      </c>
      <c r="S76" s="39">
        <f>$J$3+[47]FormattedData!L89*$J$4+$M$4*$J$5+[47]FormattedData!L89^2*$J$6+$M$5*$J$7</f>
        <v>-0.56767804203664096</v>
      </c>
      <c r="T76" s="39">
        <f>$J$3+[47]FormattedData!M89*$J$4+$M$4*$J$5+[47]FormattedData!M89^2*$J$6+$M$5*$J$7</f>
        <v>-0.56767804203664096</v>
      </c>
      <c r="U76" s="39">
        <f>$J$3+[47]FormattedData!N89*$J$4+$M$4*$J$5+[47]FormattedData!N89^2*$J$6+$M$5*$J$7</f>
        <v>-0.56767804203664096</v>
      </c>
      <c r="V76" s="39">
        <f>$J$3+[47]FormattedData!O89*$J$4+$M$4*$J$5+[47]FormattedData!O89^2*$J$6+$M$5*$J$7</f>
        <v>-0.56767804203664096</v>
      </c>
      <c r="W76" s="38">
        <f>AVERAGE(K76:V76)</f>
        <v>-0.56767804203664085</v>
      </c>
      <c r="X76" s="37">
        <f>STDEV(K76:V76)/SQRT(COUNT(K76:V76))</f>
        <v>3.3474483693592253E-17</v>
      </c>
      <c r="Y76" s="36">
        <f>MIN(K76:V76)</f>
        <v>-0.56767804203664096</v>
      </c>
      <c r="Z76" s="35">
        <f>QUARTILE(K76:V76,1)</f>
        <v>-0.56767804203664096</v>
      </c>
      <c r="AA76" s="36">
        <f>MEDIAN(K76:V76)</f>
        <v>-0.56767804203664096</v>
      </c>
      <c r="AB76" s="35">
        <f>QUARTILE(K76:V76,3)</f>
        <v>-0.56767804203664096</v>
      </c>
      <c r="AC76" s="35">
        <f>MAX(K76:V76)</f>
        <v>-0.56767804203664096</v>
      </c>
      <c r="AD76" s="35">
        <f>SKEW(K76:V76)</f>
        <v>-1.1489125293076057</v>
      </c>
      <c r="AE76" s="35">
        <f>KURT(K76:V76)</f>
        <v>-2.4444444444444446</v>
      </c>
    </row>
    <row r="77" spans="2:31" x14ac:dyDescent="0.2">
      <c r="B77" s="34">
        <f>[47]FormattedData!A87</f>
        <v>0</v>
      </c>
      <c r="C77" s="34" t="e">
        <f>VLOOKUP($B77,[47]TrtCodes!$B$11:I130,2)</f>
        <v>#N/A</v>
      </c>
      <c r="D77" s="34" t="e">
        <f>VLOOKUP($B77,[47]TrtCodes!$B$11:J130,3)</f>
        <v>#N/A</v>
      </c>
      <c r="E77" s="34" t="e">
        <f>VLOOKUP($B77,[47]TrtCodes!$B$11:K130,4)</f>
        <v>#N/A</v>
      </c>
      <c r="F77" s="34" t="e">
        <f>VLOOKUP($B77,[47]TrtCodes!$B$11:L130,5)</f>
        <v>#N/A</v>
      </c>
      <c r="G77" s="34" t="e">
        <f>VLOOKUP($B77,[47]TrtCodes!$B$11:M130,6)</f>
        <v>#N/A</v>
      </c>
      <c r="H77" s="34" t="e">
        <f>VLOOKUP($B77,[47]TrtCodes!$B$11:N130,7)</f>
        <v>#N/A</v>
      </c>
      <c r="I77" s="34">
        <f>[47]FormattedData!B87</f>
        <v>0</v>
      </c>
      <c r="J77" s="37">
        <f>[47]FormattedData!C87</f>
        <v>0</v>
      </c>
      <c r="K77" s="39">
        <f>$J$3+[47]FormattedData!D87*$J$4+$M$4*$J$5+[47]FormattedData!D87^2*$J$6+$M$5*$J$7</f>
        <v>-0.56767804203664096</v>
      </c>
      <c r="L77" s="39">
        <f>$J$3+[47]FormattedData!E87*$J$4+$M$4*$J$5+[47]FormattedData!E87^2*$J$6+$M$5*$J$7</f>
        <v>-0.56767804203664096</v>
      </c>
      <c r="M77" s="39">
        <f>$J$3+[47]FormattedData!F87*$J$4+$M$4*$J$5+[47]FormattedData!F87^2*$J$6+$M$5*$J$7</f>
        <v>-0.56767804203664096</v>
      </c>
      <c r="N77" s="39">
        <f>$J$3+[47]FormattedData!G87*$J$4+$M$4*$J$5+[47]FormattedData!G87^2*$J$6+$M$5*$J$7</f>
        <v>-0.56767804203664096</v>
      </c>
      <c r="O77" s="39">
        <f>$J$3+[47]FormattedData!H87*$J$4+$M$4*$J$5+[47]FormattedData!H87^2*$J$6+$M$5*$J$7</f>
        <v>-0.56767804203664096</v>
      </c>
      <c r="P77" s="39">
        <f>$J$3+[47]FormattedData!I87*$J$4+$M$4*$J$5+[47]FormattedData!I87^2*$J$6+$M$5*$J$7</f>
        <v>-0.56767804203664096</v>
      </c>
      <c r="Q77" s="39">
        <f>$J$3+[47]FormattedData!J87*$J$4+$M$4*$J$5+[47]FormattedData!J87^2*$J$6+$M$5*$J$7</f>
        <v>-0.56767804203664096</v>
      </c>
      <c r="R77" s="39">
        <f>$J$3+[47]FormattedData!K87*$J$4+$M$4*$J$5+[47]FormattedData!K87^2*$J$6+$M$5*$J$7</f>
        <v>-0.56767804203664096</v>
      </c>
      <c r="S77" s="39">
        <f>$J$3+[47]FormattedData!L87*$J$4+$M$4*$J$5+[47]FormattedData!L87^2*$J$6+$M$5*$J$7</f>
        <v>-0.56767804203664096</v>
      </c>
      <c r="T77" s="39">
        <f>$J$3+[47]FormattedData!M87*$J$4+$M$4*$J$5+[47]FormattedData!M87^2*$J$6+$M$5*$J$7</f>
        <v>-0.56767804203664096</v>
      </c>
      <c r="U77" s="39">
        <f>$J$3+[47]FormattedData!N87*$J$4+$M$4*$J$5+[47]FormattedData!N87^2*$J$6+$M$5*$J$7</f>
        <v>-0.56767804203664096</v>
      </c>
      <c r="V77" s="39">
        <f>$J$3+[47]FormattedData!O87*$J$4+$M$4*$J$5+[47]FormattedData!O87^2*$J$6+$M$5*$J$7</f>
        <v>-0.56767804203664096</v>
      </c>
      <c r="W77" s="38">
        <f>AVERAGE(K77:V77)</f>
        <v>-0.56767804203664085</v>
      </c>
      <c r="X77" s="37">
        <f>STDEV(K77:V77)/SQRT(COUNT(K77:V77))</f>
        <v>3.3474483693592253E-17</v>
      </c>
      <c r="Y77" s="36">
        <f>MIN(K77:V77)</f>
        <v>-0.56767804203664096</v>
      </c>
      <c r="Z77" s="35">
        <f>QUARTILE(K77:V77,1)</f>
        <v>-0.56767804203664096</v>
      </c>
      <c r="AA77" s="36">
        <f>MEDIAN(K77:V77)</f>
        <v>-0.56767804203664096</v>
      </c>
      <c r="AB77" s="35">
        <f>QUARTILE(K77:V77,3)</f>
        <v>-0.56767804203664096</v>
      </c>
      <c r="AC77" s="35">
        <f>MAX(K77:V77)</f>
        <v>-0.56767804203664096</v>
      </c>
      <c r="AD77" s="35">
        <f>SKEW(K77:V77)</f>
        <v>-1.1489125293076057</v>
      </c>
      <c r="AE77" s="35">
        <f>KURT(K77:V77)</f>
        <v>-2.4444444444444446</v>
      </c>
    </row>
    <row r="78" spans="2:31" x14ac:dyDescent="0.2">
      <c r="B78" s="34">
        <f>[47]FormattedData!A85</f>
        <v>0</v>
      </c>
      <c r="C78" s="34" t="e">
        <f>VLOOKUP($B78,[47]TrtCodes!$B$11:I128,2)</f>
        <v>#N/A</v>
      </c>
      <c r="D78" s="34" t="e">
        <f>VLOOKUP($B78,[47]TrtCodes!$B$11:J128,3)</f>
        <v>#N/A</v>
      </c>
      <c r="E78" s="34" t="e">
        <f>VLOOKUP($B78,[47]TrtCodes!$B$11:K128,4)</f>
        <v>#N/A</v>
      </c>
      <c r="F78" s="34" t="e">
        <f>VLOOKUP($B78,[47]TrtCodes!$B$11:L128,5)</f>
        <v>#N/A</v>
      </c>
      <c r="G78" s="34" t="e">
        <f>VLOOKUP($B78,[47]TrtCodes!$B$11:M128,6)</f>
        <v>#N/A</v>
      </c>
      <c r="H78" s="34" t="e">
        <f>VLOOKUP($B78,[47]TrtCodes!$B$11:N128,7)</f>
        <v>#N/A</v>
      </c>
      <c r="I78" s="34">
        <f>[47]FormattedData!B85</f>
        <v>0</v>
      </c>
      <c r="J78" s="37">
        <f>[47]FormattedData!C85</f>
        <v>0</v>
      </c>
      <c r="K78" s="39">
        <f>$J$3+[47]FormattedData!D85*$J$4+$M$4*$J$5+[47]FormattedData!D85^2*$J$6+$M$5*$J$7</f>
        <v>-0.56767804203664096</v>
      </c>
      <c r="L78" s="39">
        <f>$J$3+[47]FormattedData!E85*$J$4+$M$4*$J$5+[47]FormattedData!E85^2*$J$6+$M$5*$J$7</f>
        <v>-0.56767804203664096</v>
      </c>
      <c r="M78" s="39">
        <f>$J$3+[47]FormattedData!F85*$J$4+$M$4*$J$5+[47]FormattedData!F85^2*$J$6+$M$5*$J$7</f>
        <v>-0.56767804203664096</v>
      </c>
      <c r="N78" s="39">
        <f>$J$3+[47]FormattedData!G85*$J$4+$M$4*$J$5+[47]FormattedData!G85^2*$J$6+$M$5*$J$7</f>
        <v>-0.56767804203664096</v>
      </c>
      <c r="O78" s="39">
        <f>$J$3+[47]FormattedData!H85*$J$4+$M$4*$J$5+[47]FormattedData!H85^2*$J$6+$M$5*$J$7</f>
        <v>-0.56767804203664096</v>
      </c>
      <c r="P78" s="39">
        <f>$J$3+[47]FormattedData!I85*$J$4+$M$4*$J$5+[47]FormattedData!I85^2*$J$6+$M$5*$J$7</f>
        <v>-0.56767804203664096</v>
      </c>
      <c r="Q78" s="39">
        <f>$J$3+[47]FormattedData!J85*$J$4+$M$4*$J$5+[47]FormattedData!J85^2*$J$6+$M$5*$J$7</f>
        <v>-0.56767804203664096</v>
      </c>
      <c r="R78" s="39">
        <f>$J$3+[47]FormattedData!K85*$J$4+$M$4*$J$5+[47]FormattedData!K85^2*$J$6+$M$5*$J$7</f>
        <v>-0.56767804203664096</v>
      </c>
      <c r="S78" s="39">
        <f>$J$3+[47]FormattedData!L85*$J$4+$M$4*$J$5+[47]FormattedData!L85^2*$J$6+$M$5*$J$7</f>
        <v>-0.56767804203664096</v>
      </c>
      <c r="T78" s="39">
        <f>$J$3+[47]FormattedData!M85*$J$4+$M$4*$J$5+[47]FormattedData!M85^2*$J$6+$M$5*$J$7</f>
        <v>-0.56767804203664096</v>
      </c>
      <c r="U78" s="39">
        <f>$J$3+[47]FormattedData!N85*$J$4+$M$4*$J$5+[47]FormattedData!N85^2*$J$6+$M$5*$J$7</f>
        <v>-0.56767804203664096</v>
      </c>
      <c r="V78" s="39">
        <f>$J$3+[47]FormattedData!O85*$J$4+$M$4*$J$5+[47]FormattedData!O85^2*$J$6+$M$5*$J$7</f>
        <v>-0.56767804203664096</v>
      </c>
      <c r="W78" s="38">
        <f>AVERAGE(K78:V78)</f>
        <v>-0.56767804203664085</v>
      </c>
      <c r="X78" s="37">
        <f>STDEV(K78:V78)/SQRT(COUNT(K78:V78))</f>
        <v>3.3474483693592253E-17</v>
      </c>
      <c r="Y78" s="36">
        <f>MIN(K78:V78)</f>
        <v>-0.56767804203664096</v>
      </c>
      <c r="Z78" s="35">
        <f>QUARTILE(K78:V78,1)</f>
        <v>-0.56767804203664096</v>
      </c>
      <c r="AA78" s="36">
        <f>MEDIAN(K78:V78)</f>
        <v>-0.56767804203664096</v>
      </c>
      <c r="AB78" s="35">
        <f>QUARTILE(K78:V78,3)</f>
        <v>-0.56767804203664096</v>
      </c>
      <c r="AC78" s="35">
        <f>MAX(K78:V78)</f>
        <v>-0.56767804203664096</v>
      </c>
      <c r="AD78" s="35">
        <f>SKEW(K78:V78)</f>
        <v>-1.1489125293076057</v>
      </c>
      <c r="AE78" s="35">
        <f>KURT(K78:V78)</f>
        <v>-2.4444444444444446</v>
      </c>
    </row>
    <row r="79" spans="2:31" x14ac:dyDescent="0.2">
      <c r="B79" s="34">
        <f>[47]FormattedData!A83</f>
        <v>0</v>
      </c>
      <c r="C79" s="34" t="e">
        <f>VLOOKUP($B79,[47]TrtCodes!$B$11:I126,2)</f>
        <v>#N/A</v>
      </c>
      <c r="D79" s="34" t="e">
        <f>VLOOKUP($B79,[47]TrtCodes!$B$11:J126,3)</f>
        <v>#N/A</v>
      </c>
      <c r="E79" s="34" t="e">
        <f>VLOOKUP($B79,[47]TrtCodes!$B$11:K126,4)</f>
        <v>#N/A</v>
      </c>
      <c r="F79" s="34" t="e">
        <f>VLOOKUP($B79,[47]TrtCodes!$B$11:L126,5)</f>
        <v>#N/A</v>
      </c>
      <c r="G79" s="34" t="e">
        <f>VLOOKUP($B79,[47]TrtCodes!$B$11:M126,6)</f>
        <v>#N/A</v>
      </c>
      <c r="H79" s="34" t="e">
        <f>VLOOKUP($B79,[47]TrtCodes!$B$11:N126,7)</f>
        <v>#N/A</v>
      </c>
      <c r="I79" s="34">
        <f>[47]FormattedData!B83</f>
        <v>0</v>
      </c>
      <c r="J79" s="37">
        <f>[47]FormattedData!C83</f>
        <v>0</v>
      </c>
      <c r="K79" s="39">
        <f>$J$3+[47]FormattedData!D83*$J$4+$M$4*$J$5+[47]FormattedData!D83^2*$J$6+$M$5*$J$7</f>
        <v>-0.56767804203664096</v>
      </c>
      <c r="L79" s="39">
        <f>$J$3+[47]FormattedData!E83*$J$4+$M$4*$J$5+[47]FormattedData!E83^2*$J$6+$M$5*$J$7</f>
        <v>-0.56767804203664096</v>
      </c>
      <c r="M79" s="39">
        <f>$J$3+[47]FormattedData!F83*$J$4+$M$4*$J$5+[47]FormattedData!F83^2*$J$6+$M$5*$J$7</f>
        <v>-0.56767804203664096</v>
      </c>
      <c r="N79" s="39">
        <f>$J$3+[47]FormattedData!G83*$J$4+$M$4*$J$5+[47]FormattedData!G83^2*$J$6+$M$5*$J$7</f>
        <v>-0.56767804203664096</v>
      </c>
      <c r="O79" s="39">
        <f>$J$3+[47]FormattedData!H83*$J$4+$M$4*$J$5+[47]FormattedData!H83^2*$J$6+$M$5*$J$7</f>
        <v>-0.56767804203664096</v>
      </c>
      <c r="P79" s="39">
        <f>$J$3+[47]FormattedData!I83*$J$4+$M$4*$J$5+[47]FormattedData!I83^2*$J$6+$M$5*$J$7</f>
        <v>-0.56767804203664096</v>
      </c>
      <c r="Q79" s="39">
        <f>$J$3+[47]FormattedData!J83*$J$4+$M$4*$J$5+[47]FormattedData!J83^2*$J$6+$M$5*$J$7</f>
        <v>-0.56767804203664096</v>
      </c>
      <c r="R79" s="39">
        <f>$J$3+[47]FormattedData!K83*$J$4+$M$4*$J$5+[47]FormattedData!K83^2*$J$6+$M$5*$J$7</f>
        <v>-0.56767804203664096</v>
      </c>
      <c r="S79" s="39">
        <f>$J$3+[47]FormattedData!L83*$J$4+$M$4*$J$5+[47]FormattedData!L83^2*$J$6+$M$5*$J$7</f>
        <v>-0.56767804203664096</v>
      </c>
      <c r="T79" s="39">
        <f>$J$3+[47]FormattedData!M83*$J$4+$M$4*$J$5+[47]FormattedData!M83^2*$J$6+$M$5*$J$7</f>
        <v>-0.56767804203664096</v>
      </c>
      <c r="U79" s="39">
        <f>$J$3+[47]FormattedData!N83*$J$4+$M$4*$J$5+[47]FormattedData!N83^2*$J$6+$M$5*$J$7</f>
        <v>-0.56767804203664096</v>
      </c>
      <c r="V79" s="39">
        <f>$J$3+[47]FormattedData!O83*$J$4+$M$4*$J$5+[47]FormattedData!O83^2*$J$6+$M$5*$J$7</f>
        <v>-0.56767804203664096</v>
      </c>
      <c r="W79" s="38">
        <f>AVERAGE(K79:V79)</f>
        <v>-0.56767804203664085</v>
      </c>
      <c r="X79" s="37">
        <f>STDEV(K79:V79)/SQRT(COUNT(K79:V79))</f>
        <v>3.3474483693592253E-17</v>
      </c>
      <c r="Y79" s="36">
        <f>MIN(K79:V79)</f>
        <v>-0.56767804203664096</v>
      </c>
      <c r="Z79" s="35">
        <f>QUARTILE(K79:V79,1)</f>
        <v>-0.56767804203664096</v>
      </c>
      <c r="AA79" s="36">
        <f>MEDIAN(K79:V79)</f>
        <v>-0.56767804203664096</v>
      </c>
      <c r="AB79" s="35">
        <f>QUARTILE(K79:V79,3)</f>
        <v>-0.56767804203664096</v>
      </c>
      <c r="AC79" s="35">
        <f>MAX(K79:V79)</f>
        <v>-0.56767804203664096</v>
      </c>
      <c r="AD79" s="35">
        <f>SKEW(K79:V79)</f>
        <v>-1.1489125293076057</v>
      </c>
      <c r="AE79" s="35">
        <f>KURT(K79:V79)</f>
        <v>-2.4444444444444446</v>
      </c>
    </row>
    <row r="80" spans="2:31" x14ac:dyDescent="0.2">
      <c r="B80" s="34">
        <f>[47]FormattedData!A81</f>
        <v>0</v>
      </c>
      <c r="C80" s="34" t="e">
        <f>VLOOKUP($B80,[47]TrtCodes!$B$11:I124,2)</f>
        <v>#N/A</v>
      </c>
      <c r="D80" s="34" t="e">
        <f>VLOOKUP($B80,[47]TrtCodes!$B$11:J124,3)</f>
        <v>#N/A</v>
      </c>
      <c r="E80" s="34" t="e">
        <f>VLOOKUP($B80,[47]TrtCodes!$B$11:K124,4)</f>
        <v>#N/A</v>
      </c>
      <c r="F80" s="34" t="e">
        <f>VLOOKUP($B80,[47]TrtCodes!$B$11:L124,5)</f>
        <v>#N/A</v>
      </c>
      <c r="G80" s="34" t="e">
        <f>VLOOKUP($B80,[47]TrtCodes!$B$11:M124,6)</f>
        <v>#N/A</v>
      </c>
      <c r="H80" s="34" t="e">
        <f>VLOOKUP($B80,[47]TrtCodes!$B$11:N124,7)</f>
        <v>#N/A</v>
      </c>
      <c r="I80" s="34">
        <f>[47]FormattedData!B81</f>
        <v>0</v>
      </c>
      <c r="J80" s="37">
        <f>[47]FormattedData!C81</f>
        <v>0</v>
      </c>
      <c r="K80" s="39">
        <f>$J$3+[47]FormattedData!D81*$J$4+$M$4*$J$5+[47]FormattedData!D81^2*$J$6+$M$5*$J$7</f>
        <v>-0.56767804203664096</v>
      </c>
      <c r="L80" s="39">
        <f>$J$3+[47]FormattedData!E81*$J$4+$M$4*$J$5+[47]FormattedData!E81^2*$J$6+$M$5*$J$7</f>
        <v>-0.56767804203664096</v>
      </c>
      <c r="M80" s="39">
        <f>$J$3+[47]FormattedData!F81*$J$4+$M$4*$J$5+[47]FormattedData!F81^2*$J$6+$M$5*$J$7</f>
        <v>-0.56767804203664096</v>
      </c>
      <c r="N80" s="39">
        <f>$J$3+[47]FormattedData!G81*$J$4+$M$4*$J$5+[47]FormattedData!G81^2*$J$6+$M$5*$J$7</f>
        <v>-0.56767804203664096</v>
      </c>
      <c r="O80" s="39">
        <f>$J$3+[47]FormattedData!H81*$J$4+$M$4*$J$5+[47]FormattedData!H81^2*$J$6+$M$5*$J$7</f>
        <v>-0.56767804203664096</v>
      </c>
      <c r="P80" s="39">
        <f>$J$3+[47]FormattedData!I81*$J$4+$M$4*$J$5+[47]FormattedData!I81^2*$J$6+$M$5*$J$7</f>
        <v>-0.56767804203664096</v>
      </c>
      <c r="Q80" s="39">
        <f>$J$3+[47]FormattedData!J81*$J$4+$M$4*$J$5+[47]FormattedData!J81^2*$J$6+$M$5*$J$7</f>
        <v>-0.56767804203664096</v>
      </c>
      <c r="R80" s="39">
        <f>$J$3+[47]FormattedData!K81*$J$4+$M$4*$J$5+[47]FormattedData!K81^2*$J$6+$M$5*$J$7</f>
        <v>-0.56767804203664096</v>
      </c>
      <c r="S80" s="39">
        <f>$J$3+[47]FormattedData!L81*$J$4+$M$4*$J$5+[47]FormattedData!L81^2*$J$6+$M$5*$J$7</f>
        <v>-0.56767804203664096</v>
      </c>
      <c r="T80" s="39">
        <f>$J$3+[47]FormattedData!M81*$J$4+$M$4*$J$5+[47]FormattedData!M81^2*$J$6+$M$5*$J$7</f>
        <v>-0.56767804203664096</v>
      </c>
      <c r="U80" s="39">
        <f>$J$3+[47]FormattedData!N81*$J$4+$M$4*$J$5+[47]FormattedData!N81^2*$J$6+$M$5*$J$7</f>
        <v>-0.56767804203664096</v>
      </c>
      <c r="V80" s="39">
        <f>$J$3+[47]FormattedData!O81*$J$4+$M$4*$J$5+[47]FormattedData!O81^2*$J$6+$M$5*$J$7</f>
        <v>-0.56767804203664096</v>
      </c>
      <c r="W80" s="38">
        <f>AVERAGE(K80:V80)</f>
        <v>-0.56767804203664085</v>
      </c>
      <c r="X80" s="37">
        <f>STDEV(K80:V80)/SQRT(COUNT(K80:V80))</f>
        <v>3.3474483693592253E-17</v>
      </c>
      <c r="Y80" s="36">
        <f>MIN(K80:V80)</f>
        <v>-0.56767804203664096</v>
      </c>
      <c r="Z80" s="35">
        <f>QUARTILE(K80:V80,1)</f>
        <v>-0.56767804203664096</v>
      </c>
      <c r="AA80" s="36">
        <f>MEDIAN(K80:V80)</f>
        <v>-0.56767804203664096</v>
      </c>
      <c r="AB80" s="35">
        <f>QUARTILE(K80:V80,3)</f>
        <v>-0.56767804203664096</v>
      </c>
      <c r="AC80" s="35">
        <f>MAX(K80:V80)</f>
        <v>-0.56767804203664096</v>
      </c>
      <c r="AD80" s="35">
        <f>SKEW(K80:V80)</f>
        <v>-1.1489125293076057</v>
      </c>
      <c r="AE80" s="35">
        <f>KURT(K80:V80)</f>
        <v>-2.4444444444444446</v>
      </c>
    </row>
    <row r="81" spans="2:31" x14ac:dyDescent="0.2">
      <c r="B81" s="34">
        <f>[47]FormattedData!A79</f>
        <v>0</v>
      </c>
      <c r="C81" s="34" t="e">
        <f>VLOOKUP($B81,[47]TrtCodes!$B$11:I122,2)</f>
        <v>#N/A</v>
      </c>
      <c r="D81" s="34" t="e">
        <f>VLOOKUP($B81,[47]TrtCodes!$B$11:J122,3)</f>
        <v>#N/A</v>
      </c>
      <c r="E81" s="34" t="e">
        <f>VLOOKUP($B81,[47]TrtCodes!$B$11:K122,4)</f>
        <v>#N/A</v>
      </c>
      <c r="F81" s="34" t="e">
        <f>VLOOKUP($B81,[47]TrtCodes!$B$11:L122,5)</f>
        <v>#N/A</v>
      </c>
      <c r="G81" s="34" t="e">
        <f>VLOOKUP($B81,[47]TrtCodes!$B$11:M122,6)</f>
        <v>#N/A</v>
      </c>
      <c r="H81" s="34" t="e">
        <f>VLOOKUP($B81,[47]TrtCodes!$B$11:N122,7)</f>
        <v>#N/A</v>
      </c>
      <c r="I81" s="34">
        <f>[47]FormattedData!B79</f>
        <v>0</v>
      </c>
      <c r="J81" s="37">
        <f>[47]FormattedData!C79</f>
        <v>0</v>
      </c>
      <c r="K81" s="39">
        <f>$J$3+[47]FormattedData!D79*$J$4+$M$4*$J$5+[47]FormattedData!D79^2*$J$6+$M$5*$J$7</f>
        <v>-0.56767804203664096</v>
      </c>
      <c r="L81" s="39">
        <f>$J$3+[47]FormattedData!E79*$J$4+$M$4*$J$5+[47]FormattedData!E79^2*$J$6+$M$5*$J$7</f>
        <v>-0.56767804203664096</v>
      </c>
      <c r="M81" s="39">
        <f>$J$3+[47]FormattedData!F79*$J$4+$M$4*$J$5+[47]FormattedData!F79^2*$J$6+$M$5*$J$7</f>
        <v>-0.56767804203664096</v>
      </c>
      <c r="N81" s="39">
        <f>$J$3+[47]FormattedData!G79*$J$4+$M$4*$J$5+[47]FormattedData!G79^2*$J$6+$M$5*$J$7</f>
        <v>-0.56767804203664096</v>
      </c>
      <c r="O81" s="39">
        <f>$J$3+[47]FormattedData!H79*$J$4+$M$4*$J$5+[47]FormattedData!H79^2*$J$6+$M$5*$J$7</f>
        <v>-0.56767804203664096</v>
      </c>
      <c r="P81" s="39">
        <f>$J$3+[47]FormattedData!I79*$J$4+$M$4*$J$5+[47]FormattedData!I79^2*$J$6+$M$5*$J$7</f>
        <v>-0.56767804203664096</v>
      </c>
      <c r="Q81" s="39">
        <f>$J$3+[47]FormattedData!J79*$J$4+$M$4*$J$5+[47]FormattedData!J79^2*$J$6+$M$5*$J$7</f>
        <v>-0.56767804203664096</v>
      </c>
      <c r="R81" s="39">
        <f>$J$3+[47]FormattedData!K79*$J$4+$M$4*$J$5+[47]FormattedData!K79^2*$J$6+$M$5*$J$7</f>
        <v>-0.56767804203664096</v>
      </c>
      <c r="S81" s="39">
        <f>$J$3+[47]FormattedData!L79*$J$4+$M$4*$J$5+[47]FormattedData!L79^2*$J$6+$M$5*$J$7</f>
        <v>-0.56767804203664096</v>
      </c>
      <c r="T81" s="39">
        <f>$J$3+[47]FormattedData!M79*$J$4+$M$4*$J$5+[47]FormattedData!M79^2*$J$6+$M$5*$J$7</f>
        <v>-0.56767804203664096</v>
      </c>
      <c r="U81" s="39">
        <f>$J$3+[47]FormattedData!N79*$J$4+$M$4*$J$5+[47]FormattedData!N79^2*$J$6+$M$5*$J$7</f>
        <v>-0.56767804203664096</v>
      </c>
      <c r="V81" s="39">
        <f>$J$3+[47]FormattedData!O79*$J$4+$M$4*$J$5+[47]FormattedData!O79^2*$J$6+$M$5*$J$7</f>
        <v>-0.56767804203664096</v>
      </c>
      <c r="W81" s="38">
        <f>AVERAGE(K81:V81)</f>
        <v>-0.56767804203664085</v>
      </c>
      <c r="X81" s="37">
        <f>STDEV(K81:V81)/SQRT(COUNT(K81:V81))</f>
        <v>3.3474483693592253E-17</v>
      </c>
      <c r="Y81" s="36">
        <f>MIN(K81:V81)</f>
        <v>-0.56767804203664096</v>
      </c>
      <c r="Z81" s="35">
        <f>QUARTILE(K81:V81,1)</f>
        <v>-0.56767804203664096</v>
      </c>
      <c r="AA81" s="36">
        <f>MEDIAN(K81:V81)</f>
        <v>-0.56767804203664096</v>
      </c>
      <c r="AB81" s="35">
        <f>QUARTILE(K81:V81,3)</f>
        <v>-0.56767804203664096</v>
      </c>
      <c r="AC81" s="35">
        <f>MAX(K81:V81)</f>
        <v>-0.56767804203664096</v>
      </c>
      <c r="AD81" s="35">
        <f>SKEW(K81:V81)</f>
        <v>-1.1489125293076057</v>
      </c>
      <c r="AE81" s="35">
        <f>KURT(K81:V81)</f>
        <v>-2.4444444444444446</v>
      </c>
    </row>
    <row r="82" spans="2:31" x14ac:dyDescent="0.2">
      <c r="B82" s="34">
        <f>[47]FormattedData!A59</f>
        <v>0</v>
      </c>
      <c r="C82" s="34" t="e">
        <f>VLOOKUP($B82,[47]TrtCodes!$B$11:I102,2)</f>
        <v>#N/A</v>
      </c>
      <c r="D82" s="34" t="e">
        <f>VLOOKUP($B82,[47]TrtCodes!$B$11:J102,3)</f>
        <v>#N/A</v>
      </c>
      <c r="E82" s="34" t="e">
        <f>VLOOKUP($B82,[47]TrtCodes!$B$11:K102,4)</f>
        <v>#N/A</v>
      </c>
      <c r="F82" s="34" t="e">
        <f>VLOOKUP($B82,[47]TrtCodes!$B$11:L102,5)</f>
        <v>#N/A</v>
      </c>
      <c r="G82" s="34" t="e">
        <f>VLOOKUP($B82,[47]TrtCodes!$B$11:M102,6)</f>
        <v>#N/A</v>
      </c>
      <c r="H82" s="34" t="e">
        <f>VLOOKUP($B82,[47]TrtCodes!$B$11:N102,7)</f>
        <v>#N/A</v>
      </c>
      <c r="I82" s="34">
        <f>[47]FormattedData!B59</f>
        <v>0</v>
      </c>
      <c r="J82" s="37">
        <f>[47]FormattedData!C59</f>
        <v>0</v>
      </c>
      <c r="K82" s="39">
        <f>$J$3+[47]FormattedData!D59*$J$4+$M$4*$J$5+[47]FormattedData!D59^2*$J$6+$M$5*$J$7</f>
        <v>-0.56767804203664096</v>
      </c>
      <c r="L82" s="39">
        <f>$J$3+[47]FormattedData!E59*$J$4+$M$4*$J$5+[47]FormattedData!E59^2*$J$6+$M$5*$J$7</f>
        <v>-0.56767804203664096</v>
      </c>
      <c r="M82" s="39">
        <f>$J$3+[47]FormattedData!F59*$J$4+$M$4*$J$5+[47]FormattedData!F59^2*$J$6+$M$5*$J$7</f>
        <v>-0.56767804203664096</v>
      </c>
      <c r="N82" s="39">
        <f>$J$3+[47]FormattedData!G59*$J$4+$M$4*$J$5+[47]FormattedData!G59^2*$J$6+$M$5*$J$7</f>
        <v>-0.56767804203664096</v>
      </c>
      <c r="O82" s="39">
        <f>$J$3+[47]FormattedData!H59*$J$4+$M$4*$J$5+[47]FormattedData!H59^2*$J$6+$M$5*$J$7</f>
        <v>-0.56767804203664096</v>
      </c>
      <c r="P82" s="39">
        <f>$J$3+[47]FormattedData!I59*$J$4+$M$4*$J$5+[47]FormattedData!I59^2*$J$6+$M$5*$J$7</f>
        <v>-0.56767804203664096</v>
      </c>
      <c r="Q82" s="39">
        <f>$J$3+[47]FormattedData!J59*$J$4+$M$4*$J$5+[47]FormattedData!J59^2*$J$6+$M$5*$J$7</f>
        <v>-0.56767804203664096</v>
      </c>
      <c r="R82" s="39">
        <f>$J$3+[47]FormattedData!K59*$J$4+$M$4*$J$5+[47]FormattedData!K59^2*$J$6+$M$5*$J$7</f>
        <v>-0.56767804203664096</v>
      </c>
      <c r="S82" s="39">
        <f>$J$3+[47]FormattedData!L59*$J$4+$M$4*$J$5+[47]FormattedData!L59^2*$J$6+$M$5*$J$7</f>
        <v>-0.56767804203664096</v>
      </c>
      <c r="T82" s="39">
        <f>$J$3+[47]FormattedData!M59*$J$4+$M$4*$J$5+[47]FormattedData!M59^2*$J$6+$M$5*$J$7</f>
        <v>-0.56767804203664096</v>
      </c>
      <c r="U82" s="39">
        <f>$J$3+[47]FormattedData!N59*$J$4+$M$4*$J$5+[47]FormattedData!N59^2*$J$6+$M$5*$J$7</f>
        <v>-0.56767804203664096</v>
      </c>
      <c r="V82" s="39">
        <f>$J$3+[47]FormattedData!O59*$J$4+$M$4*$J$5+[47]FormattedData!O59^2*$J$6+$M$5*$J$7</f>
        <v>-0.56767804203664096</v>
      </c>
      <c r="W82" s="38">
        <f>AVERAGE(K82:V82)</f>
        <v>-0.56767804203664085</v>
      </c>
      <c r="X82" s="37">
        <f>STDEV(K82:V82)/SQRT(COUNT(K82:V82))</f>
        <v>3.3474483693592253E-17</v>
      </c>
      <c r="Y82" s="36">
        <f>MIN(K82:V82)</f>
        <v>-0.56767804203664096</v>
      </c>
      <c r="Z82" s="35">
        <f>QUARTILE(K82:V82,1)</f>
        <v>-0.56767804203664096</v>
      </c>
      <c r="AA82" s="36">
        <f>MEDIAN(K82:V82)</f>
        <v>-0.56767804203664096</v>
      </c>
      <c r="AB82" s="35">
        <f>QUARTILE(K82:V82,3)</f>
        <v>-0.56767804203664096</v>
      </c>
      <c r="AC82" s="35">
        <f>MAX(K82:V82)</f>
        <v>-0.56767804203664096</v>
      </c>
      <c r="AD82" s="35">
        <f>SKEW(K82:V82)</f>
        <v>-1.1489125293076057</v>
      </c>
      <c r="AE82" s="35">
        <f>KURT(K82:V82)</f>
        <v>-2.4444444444444446</v>
      </c>
    </row>
    <row r="83" spans="2:31" x14ac:dyDescent="0.2">
      <c r="B83" s="34">
        <f>[47]FormattedData!A55</f>
        <v>0</v>
      </c>
      <c r="C83" s="34" t="e">
        <f>VLOOKUP($B83,[47]TrtCodes!$B$11:I98,2)</f>
        <v>#N/A</v>
      </c>
      <c r="D83" s="34" t="e">
        <f>VLOOKUP($B83,[47]TrtCodes!$B$11:J98,3)</f>
        <v>#N/A</v>
      </c>
      <c r="E83" s="34" t="e">
        <f>VLOOKUP($B83,[47]TrtCodes!$B$11:K98,4)</f>
        <v>#N/A</v>
      </c>
      <c r="F83" s="34" t="e">
        <f>VLOOKUP($B83,[47]TrtCodes!$B$11:L98,5)</f>
        <v>#N/A</v>
      </c>
      <c r="G83" s="34" t="e">
        <f>VLOOKUP($B83,[47]TrtCodes!$B$11:M98,6)</f>
        <v>#N/A</v>
      </c>
      <c r="H83" s="34" t="e">
        <f>VLOOKUP($B83,[47]TrtCodes!$B$11:N98,7)</f>
        <v>#N/A</v>
      </c>
      <c r="I83" s="34">
        <f>[47]FormattedData!B55</f>
        <v>0</v>
      </c>
      <c r="J83" s="37">
        <f>[47]FormattedData!C55</f>
        <v>0</v>
      </c>
      <c r="K83" s="39">
        <f>$J$3+[47]FormattedData!D55*$J$4+$M$4*$J$5+[47]FormattedData!D55^2*$J$6+$M$5*$J$7</f>
        <v>-0.56767804203664096</v>
      </c>
      <c r="L83" s="39">
        <f>$J$3+[47]FormattedData!E55*$J$4+$M$4*$J$5+[47]FormattedData!E55^2*$J$6+$M$5*$J$7</f>
        <v>-0.56767804203664096</v>
      </c>
      <c r="M83" s="39">
        <f>$J$3+[47]FormattedData!F55*$J$4+$M$4*$J$5+[47]FormattedData!F55^2*$J$6+$M$5*$J$7</f>
        <v>-0.56767804203664096</v>
      </c>
      <c r="N83" s="39">
        <f>$J$3+[47]FormattedData!G55*$J$4+$M$4*$J$5+[47]FormattedData!G55^2*$J$6+$M$5*$J$7</f>
        <v>-0.56767804203664096</v>
      </c>
      <c r="O83" s="39">
        <f>$J$3+[47]FormattedData!H55*$J$4+$M$4*$J$5+[47]FormattedData!H55^2*$J$6+$M$5*$J$7</f>
        <v>-0.56767804203664096</v>
      </c>
      <c r="P83" s="39">
        <f>$J$3+[47]FormattedData!I55*$J$4+$M$4*$J$5+[47]FormattedData!I55^2*$J$6+$M$5*$J$7</f>
        <v>-0.56767804203664096</v>
      </c>
      <c r="Q83" s="39">
        <f>$J$3+[47]FormattedData!J55*$J$4+$M$4*$J$5+[47]FormattedData!J55^2*$J$6+$M$5*$J$7</f>
        <v>-0.56767804203664096</v>
      </c>
      <c r="R83" s="39">
        <f>$J$3+[47]FormattedData!K55*$J$4+$M$4*$J$5+[47]FormattedData!K55^2*$J$6+$M$5*$J$7</f>
        <v>-0.56767804203664096</v>
      </c>
      <c r="S83" s="39">
        <f>$J$3+[47]FormattedData!L55*$J$4+$M$4*$J$5+[47]FormattedData!L55^2*$J$6+$M$5*$J$7</f>
        <v>-0.56767804203664096</v>
      </c>
      <c r="T83" s="39">
        <f>$J$3+[47]FormattedData!M55*$J$4+$M$4*$J$5+[47]FormattedData!M55^2*$J$6+$M$5*$J$7</f>
        <v>-0.56767804203664096</v>
      </c>
      <c r="U83" s="39">
        <f>$J$3+[47]FormattedData!N55*$J$4+$M$4*$J$5+[47]FormattedData!N55^2*$J$6+$M$5*$J$7</f>
        <v>-0.56767804203664096</v>
      </c>
      <c r="V83" s="39">
        <f>$J$3+[47]FormattedData!O55*$J$4+$M$4*$J$5+[47]FormattedData!O55^2*$J$6+$M$5*$J$7</f>
        <v>-0.56767804203664096</v>
      </c>
      <c r="W83" s="38">
        <f>AVERAGE(K83:V83)</f>
        <v>-0.56767804203664085</v>
      </c>
      <c r="X83" s="37">
        <f>STDEV(K83:V83)/SQRT(COUNT(K83:V83))</f>
        <v>3.3474483693592253E-17</v>
      </c>
      <c r="Y83" s="36">
        <f>MIN(K83:V83)</f>
        <v>-0.56767804203664096</v>
      </c>
      <c r="Z83" s="35">
        <f>QUARTILE(K83:V83,1)</f>
        <v>-0.56767804203664096</v>
      </c>
      <c r="AA83" s="36">
        <f>MEDIAN(K83:V83)</f>
        <v>-0.56767804203664096</v>
      </c>
      <c r="AB83" s="35">
        <f>QUARTILE(K83:V83,3)</f>
        <v>-0.56767804203664096</v>
      </c>
      <c r="AC83" s="35">
        <f>MAX(K83:V83)</f>
        <v>-0.56767804203664096</v>
      </c>
      <c r="AD83" s="35">
        <f>SKEW(K83:V83)</f>
        <v>-1.1489125293076057</v>
      </c>
      <c r="AE83" s="35">
        <f>KURT(K83:V83)</f>
        <v>-2.4444444444444446</v>
      </c>
    </row>
    <row r="84" spans="2:31" x14ac:dyDescent="0.2">
      <c r="B84" s="34">
        <f>[47]FormattedData!A51</f>
        <v>0</v>
      </c>
      <c r="C84" s="34" t="e">
        <f>VLOOKUP($B84,[47]TrtCodes!$B$11:I94,2)</f>
        <v>#N/A</v>
      </c>
      <c r="D84" s="34" t="e">
        <f>VLOOKUP($B84,[47]TrtCodes!$B$11:J94,3)</f>
        <v>#N/A</v>
      </c>
      <c r="E84" s="34" t="e">
        <f>VLOOKUP($B84,[47]TrtCodes!$B$11:K94,4)</f>
        <v>#N/A</v>
      </c>
      <c r="F84" s="34" t="e">
        <f>VLOOKUP($B84,[47]TrtCodes!$B$11:L94,5)</f>
        <v>#N/A</v>
      </c>
      <c r="G84" s="34" t="e">
        <f>VLOOKUP($B84,[47]TrtCodes!$B$11:M94,6)</f>
        <v>#N/A</v>
      </c>
      <c r="H84" s="34" t="e">
        <f>VLOOKUP($B84,[47]TrtCodes!$B$11:N94,7)</f>
        <v>#N/A</v>
      </c>
      <c r="I84" s="34">
        <f>[47]FormattedData!B51</f>
        <v>0</v>
      </c>
      <c r="J84" s="37">
        <f>[47]FormattedData!C51</f>
        <v>0</v>
      </c>
      <c r="K84" s="39">
        <f>$J$3+[47]FormattedData!D51*$J$4+$M$4*$J$5+[47]FormattedData!D51^2*$J$6+$M$5*$J$7</f>
        <v>-0.56767804203664096</v>
      </c>
      <c r="L84" s="39">
        <f>$J$3+[47]FormattedData!E51*$J$4+$M$4*$J$5+[47]FormattedData!E51^2*$J$6+$M$5*$J$7</f>
        <v>-0.56767804203664096</v>
      </c>
      <c r="M84" s="39">
        <f>$J$3+[47]FormattedData!F51*$J$4+$M$4*$J$5+[47]FormattedData!F51^2*$J$6+$M$5*$J$7</f>
        <v>-0.56767804203664096</v>
      </c>
      <c r="N84" s="39">
        <f>$J$3+[47]FormattedData!G51*$J$4+$M$4*$J$5+[47]FormattedData!G51^2*$J$6+$M$5*$J$7</f>
        <v>-0.56767804203664096</v>
      </c>
      <c r="O84" s="39">
        <f>$J$3+[47]FormattedData!H51*$J$4+$M$4*$J$5+[47]FormattedData!H51^2*$J$6+$M$5*$J$7</f>
        <v>-0.56767804203664096</v>
      </c>
      <c r="P84" s="39">
        <f>$J$3+[47]FormattedData!I51*$J$4+$M$4*$J$5+[47]FormattedData!I51^2*$J$6+$M$5*$J$7</f>
        <v>-0.56767804203664096</v>
      </c>
      <c r="Q84" s="39">
        <f>$J$3+[47]FormattedData!J51*$J$4+$M$4*$J$5+[47]FormattedData!J51^2*$J$6+$M$5*$J$7</f>
        <v>-0.56767804203664096</v>
      </c>
      <c r="R84" s="39">
        <f>$J$3+[47]FormattedData!K51*$J$4+$M$4*$J$5+[47]FormattedData!K51^2*$J$6+$M$5*$J$7</f>
        <v>-0.56767804203664096</v>
      </c>
      <c r="S84" s="39">
        <f>$J$3+[47]FormattedData!L51*$J$4+$M$4*$J$5+[47]FormattedData!L51^2*$J$6+$M$5*$J$7</f>
        <v>-0.56767804203664096</v>
      </c>
      <c r="T84" s="39">
        <f>$J$3+[47]FormattedData!M51*$J$4+$M$4*$J$5+[47]FormattedData!M51^2*$J$6+$M$5*$J$7</f>
        <v>-0.56767804203664096</v>
      </c>
      <c r="U84" s="39">
        <f>$J$3+[47]FormattedData!N51*$J$4+$M$4*$J$5+[47]FormattedData!N51^2*$J$6+$M$5*$J$7</f>
        <v>-0.56767804203664096</v>
      </c>
      <c r="V84" s="39">
        <f>$J$3+[47]FormattedData!O51*$J$4+$M$4*$J$5+[47]FormattedData!O51^2*$J$6+$M$5*$J$7</f>
        <v>-0.56767804203664096</v>
      </c>
      <c r="W84" s="38">
        <f>AVERAGE(K84:V84)</f>
        <v>-0.56767804203664085</v>
      </c>
      <c r="X84" s="37">
        <f>STDEV(K84:V84)/SQRT(COUNT(K84:V84))</f>
        <v>3.3474483693592253E-17</v>
      </c>
      <c r="Y84" s="36">
        <f>MIN(K84:V84)</f>
        <v>-0.56767804203664096</v>
      </c>
      <c r="Z84" s="35">
        <f>QUARTILE(K84:V84,1)</f>
        <v>-0.56767804203664096</v>
      </c>
      <c r="AA84" s="36">
        <f>MEDIAN(K84:V84)</f>
        <v>-0.56767804203664096</v>
      </c>
      <c r="AB84" s="35">
        <f>QUARTILE(K84:V84,3)</f>
        <v>-0.56767804203664096</v>
      </c>
      <c r="AC84" s="35">
        <f>MAX(K84:V84)</f>
        <v>-0.56767804203664096</v>
      </c>
      <c r="AD84" s="35">
        <f>SKEW(K84:V84)</f>
        <v>-1.1489125293076057</v>
      </c>
      <c r="AE84" s="35">
        <f>KURT(K84:V84)</f>
        <v>-2.4444444444444446</v>
      </c>
    </row>
    <row r="85" spans="2:31" x14ac:dyDescent="0.2">
      <c r="B85" s="34">
        <f>[47]FormattedData!A47</f>
        <v>0</v>
      </c>
      <c r="C85" s="34" t="e">
        <f>VLOOKUP($B85,[47]TrtCodes!$B$11:I90,2)</f>
        <v>#N/A</v>
      </c>
      <c r="D85" s="34" t="e">
        <f>VLOOKUP($B85,[47]TrtCodes!$B$11:J90,3)</f>
        <v>#N/A</v>
      </c>
      <c r="E85" s="34" t="e">
        <f>VLOOKUP($B85,[47]TrtCodes!$B$11:K90,4)</f>
        <v>#N/A</v>
      </c>
      <c r="F85" s="34" t="e">
        <f>VLOOKUP($B85,[47]TrtCodes!$B$11:L90,5)</f>
        <v>#N/A</v>
      </c>
      <c r="G85" s="34" t="e">
        <f>VLOOKUP($B85,[47]TrtCodes!$B$11:M90,6)</f>
        <v>#N/A</v>
      </c>
      <c r="H85" s="34" t="e">
        <f>VLOOKUP($B85,[47]TrtCodes!$B$11:N90,7)</f>
        <v>#N/A</v>
      </c>
      <c r="I85" s="34">
        <f>[47]FormattedData!B47</f>
        <v>0</v>
      </c>
      <c r="J85" s="37">
        <f>[47]FormattedData!C47</f>
        <v>0</v>
      </c>
      <c r="K85" s="39">
        <f>$J$3+[47]FormattedData!D47*$J$4+$M$4*$J$5+[47]FormattedData!D47^2*$J$6+$M$5*$J$7</f>
        <v>-0.56767804203664096</v>
      </c>
      <c r="L85" s="39">
        <f>$J$3+[47]FormattedData!E47*$J$4+$M$4*$J$5+[47]FormattedData!E47^2*$J$6+$M$5*$J$7</f>
        <v>-0.56767804203664096</v>
      </c>
      <c r="M85" s="39">
        <f>$J$3+[47]FormattedData!F47*$J$4+$M$4*$J$5+[47]FormattedData!F47^2*$J$6+$M$5*$J$7</f>
        <v>-0.56767804203664096</v>
      </c>
      <c r="N85" s="39">
        <f>$J$3+[47]FormattedData!G47*$J$4+$M$4*$J$5+[47]FormattedData!G47^2*$J$6+$M$5*$J$7</f>
        <v>-0.56767804203664096</v>
      </c>
      <c r="O85" s="39">
        <f>$J$3+[47]FormattedData!H47*$J$4+$M$4*$J$5+[47]FormattedData!H47^2*$J$6+$M$5*$J$7</f>
        <v>-0.56767804203664096</v>
      </c>
      <c r="P85" s="39">
        <f>$J$3+[47]FormattedData!I47*$J$4+$M$4*$J$5+[47]FormattedData!I47^2*$J$6+$M$5*$J$7</f>
        <v>-0.56767804203664096</v>
      </c>
      <c r="Q85" s="39">
        <f>$J$3+[47]FormattedData!J47*$J$4+$M$4*$J$5+[47]FormattedData!J47^2*$J$6+$M$5*$J$7</f>
        <v>-0.56767804203664096</v>
      </c>
      <c r="R85" s="39">
        <f>$J$3+[47]FormattedData!K47*$J$4+$M$4*$J$5+[47]FormattedData!K47^2*$J$6+$M$5*$J$7</f>
        <v>-0.56767804203664096</v>
      </c>
      <c r="S85" s="39">
        <f>$J$3+[47]FormattedData!L47*$J$4+$M$4*$J$5+[47]FormattedData!L47^2*$J$6+$M$5*$J$7</f>
        <v>-0.56767804203664096</v>
      </c>
      <c r="T85" s="39">
        <f>$J$3+[47]FormattedData!M47*$J$4+$M$4*$J$5+[47]FormattedData!M47^2*$J$6+$M$5*$J$7</f>
        <v>-0.56767804203664096</v>
      </c>
      <c r="U85" s="39">
        <f>$J$3+[47]FormattedData!N47*$J$4+$M$4*$J$5+[47]FormattedData!N47^2*$J$6+$M$5*$J$7</f>
        <v>-0.56767804203664096</v>
      </c>
      <c r="V85" s="39">
        <f>$J$3+[47]FormattedData!O47*$J$4+$M$4*$J$5+[47]FormattedData!O47^2*$J$6+$M$5*$J$7</f>
        <v>-0.56767804203664096</v>
      </c>
      <c r="W85" s="38">
        <f>AVERAGE(K85:V85)</f>
        <v>-0.56767804203664085</v>
      </c>
      <c r="X85" s="37">
        <f>STDEV(K85:V85)/SQRT(COUNT(K85:V85))</f>
        <v>3.3474483693592253E-17</v>
      </c>
      <c r="Y85" s="36">
        <f>MIN(K85:V85)</f>
        <v>-0.56767804203664096</v>
      </c>
      <c r="Z85" s="35">
        <f>QUARTILE(K85:V85,1)</f>
        <v>-0.56767804203664096</v>
      </c>
      <c r="AA85" s="36">
        <f>MEDIAN(K85:V85)</f>
        <v>-0.56767804203664096</v>
      </c>
      <c r="AB85" s="35">
        <f>QUARTILE(K85:V85,3)</f>
        <v>-0.56767804203664096</v>
      </c>
      <c r="AC85" s="35">
        <f>MAX(K85:V85)</f>
        <v>-0.56767804203664096</v>
      </c>
      <c r="AD85" s="35">
        <f>SKEW(K85:V85)</f>
        <v>-1.1489125293076057</v>
      </c>
      <c r="AE85" s="35">
        <f>KURT(K85:V85)</f>
        <v>-2.4444444444444446</v>
      </c>
    </row>
    <row r="88" spans="2:31" x14ac:dyDescent="0.2">
      <c r="W88" s="35"/>
    </row>
  </sheetData>
  <autoFilter ref="B9:AE85" xr:uid="{83A4ABA3-6473-478C-97DA-72872ECF23B4}"/>
  <conditionalFormatting sqref="K10:V85">
    <cfRule type="cellIs" dxfId="183" priority="1" stopIfTrue="1" operator="lessThan">
      <formula>$W10-$V$5*$X10</formula>
    </cfRule>
    <cfRule type="cellIs" dxfId="182" priority="2" stopIfTrue="1" operator="greaterThan">
      <formula>$W10+$V$5*$X10</formula>
    </cfRule>
  </conditionalFormatting>
  <conditionalFormatting sqref="W10:W85">
    <cfRule type="cellIs" dxfId="181" priority="3" stopIfTrue="1" operator="lessThan">
      <formula>AVERAGE($W$10:$W$41)</formula>
    </cfRule>
    <cfRule type="cellIs" dxfId="18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B016-ED91-4FBD-BA94-AA063AF0FCF9}">
  <sheetPr codeName="Sheet17"/>
  <dimension ref="A1:AI88"/>
  <sheetViews>
    <sheetView topLeftCell="A8" workbookViewId="0">
      <pane xSplit="4" ySplit="2" topLeftCell="K27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[46]FormattedData!A1</f>
        <v>Raw data file name - 'IA148.03R'</v>
      </c>
    </row>
    <row r="2" spans="1:35" ht="15" x14ac:dyDescent="0.25">
      <c r="I2" s="65" t="s">
        <v>136</v>
      </c>
      <c r="J2" s="57"/>
      <c r="P2" s="64">
        <f>[46]AncillaryData!C10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[46]AncillaryData!E25</f>
        <v>37.5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"&amp;[46]AncillaryData!C7</f>
        <v>Time Sequence of Midday IRT Temps - FISE 2003 - DOY 148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"&amp;[46]AncillaryData!E25&amp;", VPD = "&amp;ROUND([46]AncillaryData!E29,1)&amp;", Quality = "&amp;[46]AncillaryData!C20&amp;")"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[46]FormattedData!A28</f>
        <v>101</v>
      </c>
      <c r="C10" s="34" t="str">
        <f>VLOOKUP($B10,[46]TrtCodes!$B$11:I71,2)</f>
        <v>FSH</v>
      </c>
      <c r="D10" s="34">
        <f>VLOOKUP($B10,[46]TrtCodes!$B$11:J71,3)</f>
        <v>1</v>
      </c>
      <c r="E10" s="34">
        <f>VLOOKUP($B10,[46]TrtCodes!$B$11:K71,4)</f>
        <v>1</v>
      </c>
      <c r="F10" s="34">
        <f>VLOOKUP($B10,[46]TrtCodes!$B$11:L71,5)</f>
        <v>1</v>
      </c>
      <c r="G10" s="34">
        <f>VLOOKUP($B10,[46]TrtCodes!$B$11:M71,6)</f>
        <v>2</v>
      </c>
      <c r="H10" s="34">
        <f>VLOOKUP($B10,[46]TrtCodes!$B$11:N71,7)</f>
        <v>1</v>
      </c>
      <c r="I10" s="34">
        <f>[46]FormattedData!B28</f>
        <v>1</v>
      </c>
      <c r="J10" s="37">
        <f>[46]FormattedData!C28</f>
        <v>12.895</v>
      </c>
      <c r="K10" s="39">
        <f>$J$3+[46]FormattedData!D28*$J$4+$M$4*$J$5+[46]FormattedData!D28^2*$J$6+$M$5*$J$7</f>
        <v>33.381525515143785</v>
      </c>
      <c r="L10" s="39">
        <f>$J$3+[46]FormattedData!E28*$J$4+$M$4*$J$5+[46]FormattedData!E28^2*$J$6+$M$5*$J$7</f>
        <v>34.814078012275601</v>
      </c>
      <c r="M10" s="39">
        <f>$J$3+[46]FormattedData!F28*$J$4+$M$4*$J$5+[46]FormattedData!F28^2*$J$6+$M$5*$J$7</f>
        <v>32.324942616322964</v>
      </c>
      <c r="N10" s="39">
        <f>$J$3+[46]FormattedData!G28*$J$4+$M$4*$J$5+[46]FormattedData!G28^2*$J$6+$M$5*$J$7</f>
        <v>33.860099727636005</v>
      </c>
      <c r="O10" s="39">
        <f>$J$3+[46]FormattedData!H28*$J$4+$M$4*$J$5+[46]FormattedData!H28^2*$J$6+$M$5*$J$7</f>
        <v>32.132287143726074</v>
      </c>
      <c r="P10" s="39">
        <f>$J$3+[46]FormattedData!I28*$J$4+$M$4*$J$5+[46]FormattedData!I28^2*$J$6+$M$5*$J$7</f>
        <v>35.289482084422986</v>
      </c>
      <c r="Q10" s="39">
        <f>$J$3+[46]FormattedData!J28*$J$4+$M$4*$J$5+[46]FormattedData!J28^2*$J$6+$M$5*$J$7</f>
        <v>31.939462596977464</v>
      </c>
      <c r="R10" s="39">
        <f>$J$3+[46]FormattedData!K28*$J$4+$M$4*$J$5+[46]FormattedData!K28^2*$J$6+$M$5*$J$7</f>
        <v>35.479347833516414</v>
      </c>
      <c r="S10" s="39">
        <f>$J$3+[46]FormattedData!L28*$J$4+$M$4*$J$5+[46]FormattedData!L28^2*$J$6+$M$5*$J$7</f>
        <v>32.99790531146725</v>
      </c>
      <c r="T10" s="39">
        <f>$J$3+[46]FormattedData!M28*$J$4+$M$4*$J$5+[46]FormattedData!M28^2*$J$6+$M$5*$J$7</f>
        <v>35.574217305256234</v>
      </c>
      <c r="U10" s="39">
        <f>$J$3+[46]FormattedData!N28*$J$4+$M$4*$J$5+[46]FormattedData!N28^2*$J$6+$M$5*$J$7</f>
        <v>31.842986920796257</v>
      </c>
      <c r="V10" s="39">
        <f>$J$3+[46]FormattedData!O28*$J$4+$M$4*$J$5+[46]FormattedData!O28^2*$J$6+$M$5*$J$7</f>
        <v>35.9532725068362</v>
      </c>
      <c r="W10" s="38">
        <f>AVERAGE(K10:V10)</f>
        <v>33.799133964531443</v>
      </c>
      <c r="X10" s="37">
        <f>STDEV(K10:V10)/SQRT(COUNT(K10:V10))</f>
        <v>0.45161486015879043</v>
      </c>
      <c r="Y10" s="36">
        <f>MIN(K10:V10)</f>
        <v>31.842986920796257</v>
      </c>
      <c r="Z10" s="35">
        <f>QUARTILE(K10:V10,1)</f>
        <v>32.27677874817374</v>
      </c>
      <c r="AA10" s="36">
        <f>MEDIAN(K10:V10)</f>
        <v>33.620812621389895</v>
      </c>
      <c r="AB10" s="35">
        <f>QUARTILE(K10:V10,3)</f>
        <v>35.336948521696343</v>
      </c>
      <c r="AC10" s="35">
        <f>MAX(K10:V10)</f>
        <v>35.9532725068362</v>
      </c>
      <c r="AD10" s="35">
        <f>SKEW(K10:V10)</f>
        <v>6.6946187050141284E-2</v>
      </c>
      <c r="AE10" s="35">
        <f>KURT(K10:V10)</f>
        <v>-1.799619775252931</v>
      </c>
    </row>
    <row r="11" spans="1:35" x14ac:dyDescent="0.2">
      <c r="B11" s="34">
        <f>[46]FormattedData!A26</f>
        <v>102</v>
      </c>
      <c r="C11" s="34" t="str">
        <f>VLOOKUP($B11,[46]TrtCodes!$B$11:I69,2)</f>
        <v>FTL</v>
      </c>
      <c r="D11" s="34">
        <f>VLOOKUP($B11,[46]TrtCodes!$B$11:J69,3)</f>
        <v>4</v>
      </c>
      <c r="E11" s="34">
        <f>VLOOKUP($B11,[46]TrtCodes!$B$11:K69,4)</f>
        <v>1</v>
      </c>
      <c r="F11" s="34">
        <f>VLOOKUP($B11,[46]TrtCodes!$B$11:L69,5)</f>
        <v>2</v>
      </c>
      <c r="G11" s="34">
        <f>VLOOKUP($B11,[46]TrtCodes!$B$11:M69,6)</f>
        <v>1</v>
      </c>
      <c r="H11" s="34">
        <f>VLOOKUP($B11,[46]TrtCodes!$B$11:N69,7)</f>
        <v>1</v>
      </c>
      <c r="I11" s="34">
        <f>[46]FormattedData!B26</f>
        <v>1</v>
      </c>
      <c r="J11" s="37">
        <f>[46]FormattedData!C26</f>
        <v>12.887</v>
      </c>
      <c r="K11" s="39">
        <f>$J$3+[46]FormattedData!D26*$J$4+$M$4*$J$5+[46]FormattedData!D26^2*$J$6+$M$5*$J$7</f>
        <v>33.764469422213416</v>
      </c>
      <c r="L11" s="39">
        <f>$J$3+[46]FormattedData!E26*$J$4+$M$4*$J$5+[46]FormattedData!E26^2*$J$6+$M$5*$J$7</f>
        <v>35.669044508458128</v>
      </c>
      <c r="M11" s="39">
        <f>$J$3+[46]FormattedData!F26*$J$4+$M$4*$J$5+[46]FormattedData!F26^2*$J$6+$M$5*$J$7</f>
        <v>34.146737032676157</v>
      </c>
      <c r="N11" s="39">
        <f>$J$3+[46]FormattedData!G26*$J$4+$M$4*$J$5+[46]FormattedData!G26^2*$J$6+$M$5*$J$7</f>
        <v>33.764469422213416</v>
      </c>
      <c r="O11" s="39">
        <f>$J$3+[46]FormattedData!H26*$J$4+$M$4*$J$5+[46]FormattedData!H26^2*$J$6+$M$5*$J$7</f>
        <v>32.517429014768133</v>
      </c>
      <c r="P11" s="39">
        <f>$J$3+[46]FormattedData!I26*$J$4+$M$4*$J$5+[46]FormattedData!I26^2*$J$6+$M$5*$J$7</f>
        <v>34.337617226679939</v>
      </c>
      <c r="Q11" s="39">
        <f>$J$3+[46]FormattedData!J26*$J$4+$M$4*$J$5+[46]FormattedData!J26^2*$J$6+$M$5*$J$7</f>
        <v>31.456661530692127</v>
      </c>
      <c r="R11" s="39">
        <f>$J$3+[46]FormattedData!K26*$J$4+$M$4*$J$5+[46]FormattedData!K26^2*$J$6+$M$5*$J$7</f>
        <v>34.814078012275601</v>
      </c>
      <c r="S11" s="39">
        <f>$J$3+[46]FormattedData!L26*$J$4+$M$4*$J$5+[46]FormattedData!L26^2*$J$6+$M$5*$J$7</f>
        <v>32.805841598401393</v>
      </c>
      <c r="T11" s="39">
        <f>$J$3+[46]FormattedData!M26*$J$4+$M$4*$J$5+[46]FormattedData!M26^2*$J$6+$M$5*$J$7</f>
        <v>34.432993920874942</v>
      </c>
      <c r="U11" s="39">
        <f>$J$3+[46]FormattedData!N26*$J$4+$M$4*$J$5+[46]FormattedData!N26^2*$J$6+$M$5*$J$7</f>
        <v>32.99790531146725</v>
      </c>
      <c r="V11" s="39">
        <f>$J$3+[46]FormattedData!O26*$J$4+$M$4*$J$5+[46]FormattedData!O26^2*$J$6+$M$5*$J$7</f>
        <v>35.384436093238669</v>
      </c>
      <c r="W11" s="38">
        <f>AVERAGE(K11:V11)</f>
        <v>33.840973591163262</v>
      </c>
      <c r="X11" s="37">
        <f>STDEV(K11:V11)/SQRT(COUNT(K11:V11))</f>
        <v>0.35454162289126123</v>
      </c>
      <c r="Y11" s="36">
        <f>MIN(K11:V11)</f>
        <v>31.456661530692127</v>
      </c>
      <c r="Z11" s="35">
        <f>QUARTILE(K11:V11,1)</f>
        <v>32.949889383200784</v>
      </c>
      <c r="AA11" s="36">
        <f>MEDIAN(K11:V11)</f>
        <v>33.955603227444783</v>
      </c>
      <c r="AB11" s="35">
        <f>QUARTILE(K11:V11,3)</f>
        <v>34.528264943725105</v>
      </c>
      <c r="AC11" s="35">
        <f>MAX(K11:V11)</f>
        <v>35.669044508458128</v>
      </c>
      <c r="AD11" s="35">
        <f>SKEW(K11:V11)</f>
        <v>-0.38372499253958681</v>
      </c>
      <c r="AE11" s="35">
        <f>KURT(K11:V11)</f>
        <v>-0.22612430708150999</v>
      </c>
    </row>
    <row r="12" spans="1:35" x14ac:dyDescent="0.2">
      <c r="B12" s="34">
        <f>[46]FormattedData!A24</f>
        <v>103</v>
      </c>
      <c r="C12" s="34" t="str">
        <f>VLOOKUP($B12,[46]TrtCodes!$B$11:I67,2)</f>
        <v>FDH</v>
      </c>
      <c r="D12" s="34">
        <f>VLOOKUP($B12,[46]TrtCodes!$B$11:J67,3)</f>
        <v>5</v>
      </c>
      <c r="E12" s="34">
        <f>VLOOKUP($B12,[46]TrtCodes!$B$11:K67,4)</f>
        <v>1</v>
      </c>
      <c r="F12" s="34">
        <f>VLOOKUP($B12,[46]TrtCodes!$B$11:L67,5)</f>
        <v>3</v>
      </c>
      <c r="G12" s="34">
        <f>VLOOKUP($B12,[46]TrtCodes!$B$11:M67,6)</f>
        <v>2</v>
      </c>
      <c r="H12" s="34">
        <f>VLOOKUP($B12,[46]TrtCodes!$B$11:N67,7)</f>
        <v>1</v>
      </c>
      <c r="I12" s="34">
        <f>[46]FormattedData!B24</f>
        <v>1</v>
      </c>
      <c r="J12" s="37">
        <f>[46]FormattedData!C24</f>
        <v>12.878</v>
      </c>
      <c r="K12" s="39">
        <f>$J$3+[46]FormattedData!D24*$J$4+$M$4*$J$5+[46]FormattedData!D24^2*$J$6+$M$5*$J$7</f>
        <v>34.051233532867364</v>
      </c>
      <c r="L12" s="39">
        <f>$J$3+[46]FormattedData!E24*$J$4+$M$4*$J$5+[46]FormattedData!E24^2*$J$6+$M$5*$J$7</f>
        <v>36.142546496398609</v>
      </c>
      <c r="M12" s="39">
        <f>$J$3+[46]FormattedData!F24*$J$4+$M$4*$J$5+[46]FormattedData!F24^2*$J$6+$M$5*$J$7</f>
        <v>34.24219826394701</v>
      </c>
      <c r="N12" s="39">
        <f>$J$3+[46]FormattedData!G24*$J$4+$M$4*$J$5+[46]FormattedData!G24^2*$J$6+$M$5*$J$7</f>
        <v>36.142546496398609</v>
      </c>
      <c r="O12" s="39">
        <f>$J$3+[46]FormattedData!H24*$J$4+$M$4*$J$5+[46]FormattedData!H24^2*$J$6+$M$5*$J$7</f>
        <v>35.099447261177822</v>
      </c>
      <c r="P12" s="39">
        <f>$J$3+[46]FormattedData!I24*$J$4+$M$4*$J$5+[46]FormattedData!I24^2*$J$6+$M$5*$J$7</f>
        <v>35.9532725068362</v>
      </c>
      <c r="Q12" s="39">
        <f>$J$3+[46]FormattedData!J24*$J$4+$M$4*$J$5+[46]FormattedData!J24^2*$J$6+$M$5*$J$7</f>
        <v>35.099447261177822</v>
      </c>
      <c r="R12" s="39">
        <f>$J$3+[46]FormattedData!K24*$J$4+$M$4*$J$5+[46]FormattedData!K24^2*$J$6+$M$5*$J$7</f>
        <v>37.274639876586789</v>
      </c>
      <c r="S12" s="39">
        <f>$J$3+[46]FormattedData!L24*$J$4+$M$4*$J$5+[46]FormattedData!L24^2*$J$6+$M$5*$J$7</f>
        <v>35.763829443122084</v>
      </c>
      <c r="T12" s="39">
        <f>$J$3+[46]FormattedData!M24*$J$4+$M$4*$J$5+[46]FormattedData!M24^2*$J$6+$M$5*$J$7</f>
        <v>34.909243363780945</v>
      </c>
      <c r="U12" s="39">
        <f>$J$3+[46]FormattedData!N24*$J$4+$M$4*$J$5+[46]FormattedData!N24^2*$J$6+$M$5*$J$7</f>
        <v>33.573082005754458</v>
      </c>
      <c r="V12" s="39">
        <f>$J$3+[46]FormattedData!O24*$J$4+$M$4*$J$5+[46]FormattedData!O24^2*$J$6+$M$5*$J$7</f>
        <v>35.099447261177822</v>
      </c>
      <c r="W12" s="38">
        <f>AVERAGE(K12:V12)</f>
        <v>35.279244480768796</v>
      </c>
      <c r="X12" s="37">
        <f>STDEV(K12:V12)/SQRT(COUNT(K12:V12))</f>
        <v>0.30012204555262456</v>
      </c>
      <c r="Y12" s="36">
        <f>MIN(K12:V12)</f>
        <v>33.573082005754458</v>
      </c>
      <c r="Z12" s="35">
        <f>QUARTILE(K12:V12,1)</f>
        <v>34.742482088822463</v>
      </c>
      <c r="AA12" s="36">
        <f>MEDIAN(K12:V12)</f>
        <v>35.099447261177822</v>
      </c>
      <c r="AB12" s="35">
        <f>QUARTILE(K12:V12,3)</f>
        <v>36.000591004226806</v>
      </c>
      <c r="AC12" s="35">
        <f>MAX(K12:V12)</f>
        <v>37.274639876586789</v>
      </c>
      <c r="AD12" s="35">
        <f>SKEW(K12:V12)</f>
        <v>0.16016312932859078</v>
      </c>
      <c r="AE12" s="35">
        <f>KURT(K12:V12)</f>
        <v>-0.10141125239030435</v>
      </c>
    </row>
    <row r="13" spans="1:35" x14ac:dyDescent="0.2">
      <c r="B13" s="34">
        <f>[46]FormattedData!A22</f>
        <v>104</v>
      </c>
      <c r="C13" s="34" t="str">
        <f>VLOOKUP($B13,[46]TrtCodes!$B$11:I65,2)</f>
        <v>NTL</v>
      </c>
      <c r="D13" s="34">
        <f>VLOOKUP($B13,[46]TrtCodes!$B$11:J65,3)</f>
        <v>10</v>
      </c>
      <c r="E13" s="34">
        <f>VLOOKUP($B13,[46]TrtCodes!$B$11:K65,4)</f>
        <v>2</v>
      </c>
      <c r="F13" s="34">
        <f>VLOOKUP($B13,[46]TrtCodes!$B$11:L65,5)</f>
        <v>2</v>
      </c>
      <c r="G13" s="34">
        <f>VLOOKUP($B13,[46]TrtCodes!$B$11:M65,6)</f>
        <v>1</v>
      </c>
      <c r="H13" s="34">
        <f>VLOOKUP($B13,[46]TrtCodes!$B$11:N65,7)</f>
        <v>1</v>
      </c>
      <c r="I13" s="34">
        <f>[46]FormattedData!B22</f>
        <v>1</v>
      </c>
      <c r="J13" s="37">
        <f>[46]FormattedData!C22</f>
        <v>12.869</v>
      </c>
      <c r="K13" s="39">
        <f>$J$3+[46]FormattedData!D22*$J$4+$M$4*$J$5+[46]FormattedData!D22^2*$J$6+$M$5*$J$7</f>
        <v>33.285683867031544</v>
      </c>
      <c r="L13" s="39">
        <f>$J$3+[46]FormattedData!E22*$J$4+$M$4*$J$5+[46]FormattedData!E22^2*$J$6+$M$5*$J$7</f>
        <v>35.194485807069363</v>
      </c>
      <c r="M13" s="39">
        <f>$J$3+[46]FormattedData!F22*$J$4+$M$4*$J$5+[46]FormattedData!F22^2*$J$6+$M$5*$J$7</f>
        <v>34.814078012275601</v>
      </c>
      <c r="N13" s="39">
        <f>$J$3+[46]FormattedData!G22*$J$4+$M$4*$J$5+[46]FormattedData!G22^2*$J$6+$M$5*$J$7</f>
        <v>35.858572109248115</v>
      </c>
      <c r="O13" s="39">
        <f>$J$3+[46]FormattedData!H22*$J$4+$M$4*$J$5+[46]FormattedData!H22^2*$J$6+$M$5*$J$7</f>
        <v>37.368706246105916</v>
      </c>
      <c r="P13" s="39">
        <f>$J$3+[46]FormattedData!I22*$J$4+$M$4*$J$5+[46]FormattedData!I22^2*$J$6+$M$5*$J$7</f>
        <v>34.146737032676157</v>
      </c>
      <c r="Q13" s="39">
        <f>$J$3+[46]FormattedData!J22*$J$4+$M$4*$J$5+[46]FormattedData!J22^2*$J$6+$M$5*$J$7</f>
        <v>34.051233532867364</v>
      </c>
      <c r="R13" s="39">
        <f>$J$3+[46]FormattedData!K22*$J$4+$M$4*$J$5+[46]FormattedData!K22^2*$J$6+$M$5*$J$7</f>
        <v>33.381525515143785</v>
      </c>
      <c r="S13" s="39">
        <f>$J$3+[46]FormattedData!L22*$J$4+$M$4*$J$5+[46]FormattedData!L22^2*$J$6+$M$5*$J$7</f>
        <v>32.517429014768133</v>
      </c>
      <c r="T13" s="39">
        <f>$J$3+[46]FormattedData!M22*$J$4+$M$4*$J$5+[46]FormattedData!M22^2*$J$6+$M$5*$J$7</f>
        <v>34.146737032676157</v>
      </c>
      <c r="U13" s="39">
        <f>$J$3+[46]FormattedData!N22*$J$4+$M$4*$J$5+[46]FormattedData!N22^2*$J$6+$M$5*$J$7</f>
        <v>33.285683867031544</v>
      </c>
      <c r="V13" s="39">
        <f>$J$3+[46]FormattedData!O22*$J$4+$M$4*$J$5+[46]FormattedData!O22^2*$J$6+$M$5*$J$7</f>
        <v>34.432993920874942</v>
      </c>
      <c r="W13" s="38">
        <f>AVERAGE(K13:V13)</f>
        <v>34.373655496480723</v>
      </c>
      <c r="X13" s="37">
        <f>STDEV(K13:V13)/SQRT(COUNT(K13:V13))</f>
        <v>0.37989995557857087</v>
      </c>
      <c r="Y13" s="36">
        <f>MIN(K13:V13)</f>
        <v>32.517429014768133</v>
      </c>
      <c r="Z13" s="35">
        <f>QUARTILE(K13:V13,1)</f>
        <v>33.357565103115725</v>
      </c>
      <c r="AA13" s="36">
        <f>MEDIAN(K13:V13)</f>
        <v>34.146737032676157</v>
      </c>
      <c r="AB13" s="35">
        <f>QUARTILE(K13:V13,3)</f>
        <v>34.909179960974043</v>
      </c>
      <c r="AC13" s="35">
        <f>MAX(K13:V13)</f>
        <v>37.368706246105916</v>
      </c>
      <c r="AD13" s="35">
        <f>SKEW(K13:V13)</f>
        <v>0.99435649816945926</v>
      </c>
      <c r="AE13" s="35">
        <f>KURT(K13:V13)</f>
        <v>1.2979083705650218</v>
      </c>
    </row>
    <row r="14" spans="1:35" x14ac:dyDescent="0.2">
      <c r="B14" s="34">
        <f>[46]FormattedData!A20</f>
        <v>105</v>
      </c>
      <c r="C14" s="34" t="str">
        <f>VLOOKUP($B14,[46]TrtCodes!$B$11:I63,2)</f>
        <v>NDL</v>
      </c>
      <c r="D14" s="34">
        <f>VLOOKUP($B14,[46]TrtCodes!$B$11:J63,3)</f>
        <v>12</v>
      </c>
      <c r="E14" s="34">
        <f>VLOOKUP($B14,[46]TrtCodes!$B$11:K63,4)</f>
        <v>2</v>
      </c>
      <c r="F14" s="34">
        <f>VLOOKUP($B14,[46]TrtCodes!$B$11:L63,5)</f>
        <v>3</v>
      </c>
      <c r="G14" s="34">
        <f>VLOOKUP($B14,[46]TrtCodes!$B$11:M63,6)</f>
        <v>1</v>
      </c>
      <c r="H14" s="34">
        <f>VLOOKUP($B14,[46]TrtCodes!$B$11:N63,7)</f>
        <v>2</v>
      </c>
      <c r="I14" s="34">
        <f>[46]FormattedData!B20</f>
        <v>1</v>
      </c>
      <c r="J14" s="37">
        <f>[46]FormattedData!C20</f>
        <v>12.862</v>
      </c>
      <c r="K14" s="39">
        <f>$J$3+[46]FormattedData!D20*$J$4+$M$4*$J$5+[46]FormattedData!D20^2*$J$6+$M$5*$J$7</f>
        <v>51.962167735525696</v>
      </c>
      <c r="L14" s="39">
        <f>$J$3+[46]FormattedData!E20*$J$4+$M$4*$J$5+[46]FormattedData!E20^2*$J$6+$M$5*$J$7</f>
        <v>52.136563199736329</v>
      </c>
      <c r="M14" s="39">
        <f>$J$3+[46]FormattedData!F20*$J$4+$M$4*$J$5+[46]FormattedData!F20^2*$J$6+$M$5*$J$7</f>
        <v>48.61652982669591</v>
      </c>
      <c r="N14" s="39">
        <f>$J$3+[46]FormattedData!G20*$J$4+$M$4*$J$5+[46]FormattedData!G20^2*$J$6+$M$5*$J$7</f>
        <v>51.08765430219664</v>
      </c>
      <c r="O14" s="39">
        <f>$J$3+[46]FormattedData!H20*$J$4+$M$4*$J$5+[46]FormattedData!H20^2*$J$6+$M$5*$J$7</f>
        <v>49.325946874159179</v>
      </c>
      <c r="P14" s="39">
        <f>$J$3+[46]FormattedData!I20*$J$4+$M$4*$J$5+[46]FormattedData!I20^2*$J$6+$M$5*$J$7</f>
        <v>52.310789589795242</v>
      </c>
      <c r="Q14" s="39">
        <f>$J$3+[46]FormattedData!J20*$J$4+$M$4*$J$5+[46]FormattedData!J20^2*$J$6+$M$5*$J$7</f>
        <v>48.794137699789317</v>
      </c>
      <c r="R14" s="39">
        <f>$J$3+[46]FormattedData!K20*$J$4+$M$4*$J$5+[46]FormattedData!K20^2*$J$6+$M$5*$J$7</f>
        <v>51.700257525175253</v>
      </c>
      <c r="S14" s="39">
        <f>$J$3+[46]FormattedData!L20*$J$4+$M$4*$J$5+[46]FormattedData!L20^2*$J$6+$M$5*$J$7</f>
        <v>48.61652982669591</v>
      </c>
      <c r="T14" s="39">
        <f>$J$3+[46]FormattedData!M20*$J$4+$M$4*$J$5+[46]FormattedData!M20^2*$J$6+$M$5*$J$7</f>
        <v>51.175295853950232</v>
      </c>
      <c r="U14" s="39">
        <f>$J$3+[46]FormattedData!N20*$J$4+$M$4*$J$5+[46]FormattedData!N20^2*$J$6+$M$5*$J$7</f>
        <v>50.208914015074463</v>
      </c>
      <c r="V14" s="39">
        <f>$J$3+[46]FormattedData!O20*$J$4+$M$4*$J$5+[46]FormattedData!O20^2*$J$6+$M$5*$J$7</f>
        <v>51.437966897983429</v>
      </c>
      <c r="W14" s="38">
        <f>AVERAGE(K14:V14)</f>
        <v>50.614396112231468</v>
      </c>
      <c r="X14" s="37">
        <f>STDEV(K14:V14)/SQRT(COUNT(K14:V14))</f>
        <v>0.41311799209188804</v>
      </c>
      <c r="Y14" s="36">
        <f>MIN(K14:V14)</f>
        <v>48.61652982669591</v>
      </c>
      <c r="Z14" s="35">
        <f>QUARTILE(K14:V14,1)</f>
        <v>49.192994580566712</v>
      </c>
      <c r="AA14" s="36">
        <f>MEDIAN(K14:V14)</f>
        <v>51.131475078073436</v>
      </c>
      <c r="AB14" s="35">
        <f>QUARTILE(K14:V14,3)</f>
        <v>51.765735077762862</v>
      </c>
      <c r="AC14" s="35">
        <f>MAX(K14:V14)</f>
        <v>52.310789589795242</v>
      </c>
      <c r="AD14" s="35">
        <f>SKEW(K14:V14)</f>
        <v>-0.41715482977985024</v>
      </c>
      <c r="AE14" s="35">
        <f>KURT(K14:V14)</f>
        <v>-1.6073537838635281</v>
      </c>
    </row>
    <row r="15" spans="1:35" x14ac:dyDescent="0.2">
      <c r="B15" s="34">
        <f>[46]FormattedData!A18</f>
        <v>106</v>
      </c>
      <c r="C15" s="34" t="str">
        <f>VLOOKUP($B15,[46]TrtCodes!$B$11:I61,2)</f>
        <v>NTH</v>
      </c>
      <c r="D15" s="34">
        <f>VLOOKUP($B15,[46]TrtCodes!$B$11:J61,3)</f>
        <v>9</v>
      </c>
      <c r="E15" s="34">
        <f>VLOOKUP($B15,[46]TrtCodes!$B$11:K61,4)</f>
        <v>2</v>
      </c>
      <c r="F15" s="34">
        <f>VLOOKUP($B15,[46]TrtCodes!$B$11:L61,5)</f>
        <v>2</v>
      </c>
      <c r="G15" s="34">
        <f>VLOOKUP($B15,[46]TrtCodes!$B$11:M61,6)</f>
        <v>2</v>
      </c>
      <c r="H15" s="34">
        <f>VLOOKUP($B15,[46]TrtCodes!$B$11:N61,7)</f>
        <v>2</v>
      </c>
      <c r="I15" s="34">
        <f>[46]FormattedData!B18</f>
        <v>1</v>
      </c>
      <c r="J15" s="37">
        <f>[46]FormattedData!C18</f>
        <v>12.853</v>
      </c>
      <c r="K15" s="39">
        <f>$J$3+[46]FormattedData!D18*$J$4+$M$4*$J$5+[46]FormattedData!D18^2*$J$6+$M$5*$J$7</f>
        <v>34.24219826394701</v>
      </c>
      <c r="L15" s="39">
        <f>$J$3+[46]FormattedData!E18*$J$4+$M$4*$J$5+[46]FormattedData!E18^2*$J$6+$M$5*$J$7</f>
        <v>35.099447261177822</v>
      </c>
      <c r="M15" s="39">
        <f>$J$3+[46]FormattedData!F18*$J$4+$M$4*$J$5+[46]FormattedData!F18^2*$J$6+$M$5*$J$7</f>
        <v>34.528328346531993</v>
      </c>
      <c r="N15" s="39">
        <f>$J$3+[46]FormattedData!G18*$J$4+$M$4*$J$5+[46]FormattedData!G18^2*$J$6+$M$5*$J$7</f>
        <v>34.718870392232326</v>
      </c>
      <c r="O15" s="39">
        <f>$J$3+[46]FormattedData!H18*$J$4+$M$4*$J$5+[46]FormattedData!H18^2*$J$6+$M$5*$J$7</f>
        <v>35.669044508458128</v>
      </c>
      <c r="P15" s="39">
        <f>$J$3+[46]FormattedData!I18*$J$4+$M$4*$J$5+[46]FormattedData!I18^2*$J$6+$M$5*$J$7</f>
        <v>34.528328346531993</v>
      </c>
      <c r="Q15" s="39">
        <f>$J$3+[46]FormattedData!J18*$J$4+$M$4*$J$5+[46]FormattedData!J18^2*$J$6+$M$5*$J$7</f>
        <v>35.194485807069363</v>
      </c>
      <c r="R15" s="39">
        <f>$J$3+[46]FormattedData!K18*$J$4+$M$4*$J$5+[46]FormattedData!K18^2*$J$6+$M$5*$J$7</f>
        <v>34.718870392232326</v>
      </c>
      <c r="S15" s="39">
        <f>$J$3+[46]FormattedData!L18*$J$4+$M$4*$J$5+[46]FormattedData!L18^2*$J$6+$M$5*$J$7</f>
        <v>34.146737032676157</v>
      </c>
      <c r="T15" s="39">
        <f>$J$3+[46]FormattedData!M18*$J$4+$M$4*$J$5+[46]FormattedData!M18^2*$J$6+$M$5*$J$7</f>
        <v>33.189799950381378</v>
      </c>
      <c r="U15" s="39">
        <f>$J$3+[46]FormattedData!N18*$J$4+$M$4*$J$5+[46]FormattedData!N18^2*$J$6+$M$5*$J$7</f>
        <v>34.528328346531993</v>
      </c>
      <c r="V15" s="39">
        <f>$J$3+[46]FormattedData!O18*$J$4+$M$4*$J$5+[46]FormattedData!O18^2*$J$6+$M$5*$J$7</f>
        <v>33.860099727636005</v>
      </c>
      <c r="W15" s="38">
        <f>AVERAGE(K15:V15)</f>
        <v>34.535378197950536</v>
      </c>
      <c r="X15" s="37">
        <f>STDEV(K15:V15)/SQRT(COUNT(K15:V15))</f>
        <v>0.18685722522860959</v>
      </c>
      <c r="Y15" s="36">
        <f>MIN(K15:V15)</f>
        <v>33.189799950381378</v>
      </c>
      <c r="Z15" s="35">
        <f>QUARTILE(K15:V15,1)</f>
        <v>34.218332956129295</v>
      </c>
      <c r="AA15" s="36">
        <f>MEDIAN(K15:V15)</f>
        <v>34.528328346531993</v>
      </c>
      <c r="AB15" s="35">
        <f>QUARTILE(K15:V15,3)</f>
        <v>34.8140146094687</v>
      </c>
      <c r="AC15" s="35">
        <f>MAX(K15:V15)</f>
        <v>35.669044508458128</v>
      </c>
      <c r="AD15" s="35">
        <f>SKEW(K15:V15)</f>
        <v>-0.35918623388907217</v>
      </c>
      <c r="AE15" s="35">
        <f>KURT(K15:V15)</f>
        <v>0.86788618796557859</v>
      </c>
    </row>
    <row r="16" spans="1:35" x14ac:dyDescent="0.2">
      <c r="B16" s="34">
        <f>[46]FormattedData!A16</f>
        <v>107</v>
      </c>
      <c r="C16" s="34" t="str">
        <f>VLOOKUP($B16,[46]TrtCodes!$B$11:I59,2)</f>
        <v>NTL</v>
      </c>
      <c r="D16" s="34">
        <f>VLOOKUP($B16,[46]TrtCodes!$B$11:J59,3)</f>
        <v>10</v>
      </c>
      <c r="E16" s="34">
        <f>VLOOKUP($B16,[46]TrtCodes!$B$11:K59,4)</f>
        <v>2</v>
      </c>
      <c r="F16" s="34">
        <f>VLOOKUP($B16,[46]TrtCodes!$B$11:L59,5)</f>
        <v>2</v>
      </c>
      <c r="G16" s="34">
        <f>VLOOKUP($B16,[46]TrtCodes!$B$11:M59,6)</f>
        <v>1</v>
      </c>
      <c r="H16" s="34">
        <f>VLOOKUP($B16,[46]TrtCodes!$B$11:N59,7)</f>
        <v>2</v>
      </c>
      <c r="I16" s="34">
        <f>[46]FormattedData!B16</f>
        <v>1</v>
      </c>
      <c r="J16" s="37">
        <f>[46]FormattedData!C16</f>
        <v>12.843999999999999</v>
      </c>
      <c r="K16" s="39">
        <f>$J$3+[46]FormattedData!D16*$J$4+$M$4*$J$5+[46]FormattedData!D16^2*$J$6+$M$5*$J$7</f>
        <v>33.285683867031544</v>
      </c>
      <c r="L16" s="39">
        <f>$J$3+[46]FormattedData!E16*$J$4+$M$4*$J$5+[46]FormattedData!E16^2*$J$6+$M$5*$J$7</f>
        <v>36.803674000922179</v>
      </c>
      <c r="M16" s="39">
        <f>$J$3+[46]FormattedData!F16*$J$4+$M$4*$J$5+[46]FormattedData!F16^2*$J$6+$M$5*$J$7</f>
        <v>33.09387376519328</v>
      </c>
      <c r="N16" s="39">
        <f>$J$3+[46]FormattedData!G16*$J$4+$M$4*$J$5+[46]FormattedData!G16^2*$J$6+$M$5*$J$7</f>
        <v>36.047930635886374</v>
      </c>
      <c r="O16" s="39">
        <f>$J$3+[46]FormattedData!H16*$J$4+$M$4*$J$5+[46]FormattedData!H16^2*$J$6+$M$5*$J$7</f>
        <v>33.381525515143785</v>
      </c>
      <c r="P16" s="39">
        <f>$J$3+[46]FormattedData!I16*$J$4+$M$4*$J$5+[46]FormattedData!I16^2*$J$6+$M$5*$J$7</f>
        <v>34.528328346531993</v>
      </c>
      <c r="Q16" s="39">
        <f>$J$3+[46]FormattedData!J16*$J$4+$M$4*$J$5+[46]FormattedData!J16^2*$J$6+$M$5*$J$7</f>
        <v>33.573082005754458</v>
      </c>
      <c r="R16" s="39">
        <f>$J$3+[46]FormattedData!K16*$J$4+$M$4*$J$5+[46]FormattedData!K16^2*$J$6+$M$5*$J$7</f>
        <v>34.623620503651132</v>
      </c>
      <c r="S16" s="39">
        <f>$J$3+[46]FormattedData!L16*$J$4+$M$4*$J$5+[46]FormattedData!L16^2*$J$6+$M$5*$J$7</f>
        <v>32.99790531146725</v>
      </c>
      <c r="T16" s="39">
        <f>$J$3+[46]FormattedData!M16*$J$4+$M$4*$J$5+[46]FormattedData!M16^2*$J$6+$M$5*$J$7</f>
        <v>34.909243363780945</v>
      </c>
      <c r="U16" s="39">
        <f>$J$3+[46]FormattedData!N16*$J$4+$M$4*$J$5+[46]FormattedData!N16^2*$J$6+$M$5*$J$7</f>
        <v>33.477324894718087</v>
      </c>
      <c r="V16" s="39">
        <f>$J$3+[46]FormattedData!O16*$J$4+$M$4*$J$5+[46]FormattedData!O16^2*$J$6+$M$5*$J$7</f>
        <v>34.528328346531993</v>
      </c>
      <c r="W16" s="38">
        <f>AVERAGE(K16:V16)</f>
        <v>34.270876713051088</v>
      </c>
      <c r="X16" s="37">
        <f>STDEV(K16:V16)/SQRT(COUNT(K16:V16))</f>
        <v>0.34947439065298891</v>
      </c>
      <c r="Y16" s="36">
        <f>MIN(K16:V16)</f>
        <v>32.99790531146725</v>
      </c>
      <c r="Z16" s="35">
        <f>QUARTILE(K16:V16,1)</f>
        <v>33.357565103115725</v>
      </c>
      <c r="AA16" s="36">
        <f>MEDIAN(K16:V16)</f>
        <v>34.050705176143225</v>
      </c>
      <c r="AB16" s="35">
        <f>QUARTILE(K16:V16,3)</f>
        <v>34.695026218683587</v>
      </c>
      <c r="AC16" s="35">
        <f>MAX(K16:V16)</f>
        <v>36.803674000922179</v>
      </c>
      <c r="AD16" s="35">
        <f>SKEW(K16:V16)</f>
        <v>0.98410274896331917</v>
      </c>
      <c r="AE16" s="35">
        <f>KURT(K16:V16)</f>
        <v>0.22616744624896779</v>
      </c>
    </row>
    <row r="17" spans="2:31" x14ac:dyDescent="0.2">
      <c r="B17" s="34">
        <f>[46]FormattedData!A14</f>
        <v>108</v>
      </c>
      <c r="C17" s="34" t="str">
        <f>VLOOKUP($B17,[46]TrtCodes!$B$11:I57,2)</f>
        <v>FTH</v>
      </c>
      <c r="D17" s="34">
        <f>VLOOKUP($B17,[46]TrtCodes!$B$11:J57,3)</f>
        <v>3</v>
      </c>
      <c r="E17" s="34">
        <f>VLOOKUP($B17,[46]TrtCodes!$B$11:K57,4)</f>
        <v>1</v>
      </c>
      <c r="F17" s="34">
        <f>VLOOKUP($B17,[46]TrtCodes!$B$11:L57,5)</f>
        <v>2</v>
      </c>
      <c r="G17" s="34">
        <f>VLOOKUP($B17,[46]TrtCodes!$B$11:M57,6)</f>
        <v>2</v>
      </c>
      <c r="H17" s="34">
        <f>VLOOKUP($B17,[46]TrtCodes!$B$11:N57,7)</f>
        <v>2</v>
      </c>
      <c r="I17" s="34">
        <f>[46]FormattedData!B14</f>
        <v>1</v>
      </c>
      <c r="J17" s="37">
        <f>[46]FormattedData!C14</f>
        <v>12.836</v>
      </c>
      <c r="K17" s="39">
        <f>$J$3+[46]FormattedData!D14*$J$4+$M$4*$J$5+[46]FormattedData!D14^2*$J$6+$M$5*$J$7</f>
        <v>33.285683867031544</v>
      </c>
      <c r="L17" s="39">
        <f>$J$3+[46]FormattedData!E14*$J$4+$M$4*$J$5+[46]FormattedData!E14^2*$J$6+$M$5*$J$7</f>
        <v>34.623620503651132</v>
      </c>
      <c r="M17" s="39">
        <f>$J$3+[46]FormattedData!F14*$J$4+$M$4*$J$5+[46]FormattedData!F14^2*$J$6+$M$5*$J$7</f>
        <v>33.189799950381378</v>
      </c>
      <c r="N17" s="39">
        <f>$J$3+[46]FormattedData!G14*$J$4+$M$4*$J$5+[46]FormattedData!G14^2*$J$6+$M$5*$J$7</f>
        <v>35.289482084422986</v>
      </c>
      <c r="O17" s="39">
        <f>$J$3+[46]FormattedData!H14*$J$4+$M$4*$J$5+[46]FormattedData!H14^2*$J$6+$M$5*$J$7</f>
        <v>34.718870392232326</v>
      </c>
      <c r="P17" s="39">
        <f>$J$3+[46]FormattedData!I14*$J$4+$M$4*$J$5+[46]FormattedData!I14^2*$J$6+$M$5*$J$7</f>
        <v>35.004366446748342</v>
      </c>
      <c r="Q17" s="39">
        <f>$J$3+[46]FormattedData!J14*$J$4+$M$4*$J$5+[46]FormattedData!J14^2*$J$6+$M$5*$J$7</f>
        <v>35.004366446748342</v>
      </c>
      <c r="R17" s="39">
        <f>$J$3+[46]FormattedData!K14*$J$4+$M$4*$J$5+[46]FormattedData!K14^2*$J$6+$M$5*$J$7</f>
        <v>35.669044508458128</v>
      </c>
      <c r="S17" s="39">
        <f>$J$3+[46]FormattedData!L14*$J$4+$M$4*$J$5+[46]FormattedData!L14^2*$J$6+$M$5*$J$7</f>
        <v>32.517429014768133</v>
      </c>
      <c r="T17" s="39">
        <f>$J$3+[46]FormattedData!M14*$J$4+$M$4*$J$5+[46]FormattedData!M14^2*$J$6+$M$5*$J$7</f>
        <v>35.099447261177822</v>
      </c>
      <c r="U17" s="39">
        <f>$J$3+[46]FormattedData!N14*$J$4+$M$4*$J$5+[46]FormattedData!N14^2*$J$6+$M$5*$J$7</f>
        <v>32.517429014768133</v>
      </c>
      <c r="V17" s="39">
        <f>$J$3+[46]FormattedData!O14*$J$4+$M$4*$J$5+[46]FormattedData!O14^2*$J$6+$M$5*$J$7</f>
        <v>33.381525515143785</v>
      </c>
      <c r="W17" s="38">
        <f>AVERAGE(K17:V17)</f>
        <v>34.191755417127673</v>
      </c>
      <c r="X17" s="37">
        <f>STDEV(K17:V17)/SQRT(COUNT(K17:V17))</f>
        <v>0.32664981143109356</v>
      </c>
      <c r="Y17" s="36">
        <f>MIN(K17:V17)</f>
        <v>32.517429014768133</v>
      </c>
      <c r="Z17" s="35">
        <f>QUARTILE(K17:V17,1)</f>
        <v>33.261712887869002</v>
      </c>
      <c r="AA17" s="36">
        <f>MEDIAN(K17:V17)</f>
        <v>34.671245447941729</v>
      </c>
      <c r="AB17" s="35">
        <f>QUARTILE(K17:V17,3)</f>
        <v>35.028136650355712</v>
      </c>
      <c r="AC17" s="35">
        <f>MAX(K17:V17)</f>
        <v>35.669044508458128</v>
      </c>
      <c r="AD17" s="35">
        <f>SKEW(K17:V17)</f>
        <v>-0.38207298306211923</v>
      </c>
      <c r="AE17" s="35">
        <f>KURT(K17:V17)</f>
        <v>-1.5623489160510897</v>
      </c>
    </row>
    <row r="18" spans="2:31" x14ac:dyDescent="0.2">
      <c r="B18" s="34">
        <f>[46]FormattedData!A30</f>
        <v>201</v>
      </c>
      <c r="C18" s="34" t="str">
        <f>VLOOKUP($B18,[46]TrtCodes!$B$11:I73,2)</f>
        <v>NDL</v>
      </c>
      <c r="D18" s="34">
        <f>VLOOKUP($B18,[46]TrtCodes!$B$11:J73,3)</f>
        <v>12</v>
      </c>
      <c r="E18" s="34">
        <f>VLOOKUP($B18,[46]TrtCodes!$B$11:K73,4)</f>
        <v>2</v>
      </c>
      <c r="F18" s="34">
        <f>VLOOKUP($B18,[46]TrtCodes!$B$11:L73,5)</f>
        <v>3</v>
      </c>
      <c r="G18" s="34">
        <f>VLOOKUP($B18,[46]TrtCodes!$B$11:M73,6)</f>
        <v>1</v>
      </c>
      <c r="H18" s="34">
        <f>VLOOKUP($B18,[46]TrtCodes!$B$11:N73,7)</f>
        <v>1</v>
      </c>
      <c r="I18" s="34">
        <f>[46]FormattedData!B30</f>
        <v>1</v>
      </c>
      <c r="J18" s="37">
        <f>[46]FormattedData!C30</f>
        <v>12.907999999999999</v>
      </c>
      <c r="K18" s="39">
        <f>$J$3+[46]FormattedData!D30*$J$4+$M$4*$J$5+[46]FormattedData!D30^2*$J$6+$M$5*$J$7</f>
        <v>50.736665409802939</v>
      </c>
      <c r="L18" s="39">
        <f>$J$3+[46]FormattedData!E30*$J$4+$M$4*$J$5+[46]FormattedData!E30^2*$J$6+$M$5*$J$7</f>
        <v>52.310789589795242</v>
      </c>
      <c r="M18" s="39">
        <f>$J$3+[46]FormattedData!F30*$J$4+$M$4*$J$5+[46]FormattedData!F30^2*$J$6+$M$5*$J$7</f>
        <v>50.912244393075653</v>
      </c>
      <c r="N18" s="39">
        <f>$J$3+[46]FormattedData!G30*$J$4+$M$4*$J$5+[46]FormattedData!G30^2*$J$6+$M$5*$J$7</f>
        <v>51.612869584649239</v>
      </c>
      <c r="O18" s="39">
        <f>$J$3+[46]FormattedData!H30*$J$4+$M$4*$J$5+[46]FormattedData!H30^2*$J$6+$M$5*$J$7</f>
        <v>50.296978252207374</v>
      </c>
      <c r="P18" s="39">
        <f>$J$3+[46]FormattedData!I30*$J$4+$M$4*$J$5+[46]FormattedData!I30^2*$J$6+$M$5*$J$7</f>
        <v>52.571812160849127</v>
      </c>
      <c r="Q18" s="39">
        <f>$J$3+[46]FormattedData!J30*$J$4+$M$4*$J$5+[46]FormattedData!J30^2*$J$6+$M$5*$J$7</f>
        <v>50.999970481905109</v>
      </c>
      <c r="R18" s="39">
        <f>$J$3+[46]FormattedData!K30*$J$4+$M$4*$J$5+[46]FormattedData!K30^2*$J$6+$M$5*$J$7</f>
        <v>51.874906600613471</v>
      </c>
      <c r="S18" s="39">
        <f>$J$3+[46]FormattedData!L30*$J$4+$M$4*$J$5+[46]FormattedData!L30^2*$J$6+$M$5*$J$7</f>
        <v>50.208914015074463</v>
      </c>
      <c r="T18" s="39">
        <f>$J$3+[46]FormattedData!M30*$J$4+$M$4*$J$5+[46]FormattedData!M30^2*$J$6+$M$5*$J$7</f>
        <v>50.736665409802939</v>
      </c>
      <c r="U18" s="39">
        <f>$J$3+[46]FormattedData!N30*$J$4+$M$4*$J$5+[46]FormattedData!N30^2*$J$6+$M$5*$J$7</f>
        <v>50.120807509403626</v>
      </c>
      <c r="V18" s="39">
        <f>$J$3+[46]FormattedData!O30*$J$4+$M$4*$J$5+[46]FormattedData!O30^2*$J$6+$M$5*$J$7</f>
        <v>52.136563199736329</v>
      </c>
      <c r="W18" s="38">
        <f>AVERAGE(K18:V18)</f>
        <v>51.209932217242965</v>
      </c>
      <c r="X18" s="37">
        <f>STDEV(K18:V18)/SQRT(COUNT(K18:V18))</f>
        <v>0.24820840295693147</v>
      </c>
      <c r="Y18" s="36">
        <f>MIN(K18:V18)</f>
        <v>50.120807509403626</v>
      </c>
      <c r="Z18" s="35">
        <f>QUARTILE(K18:V18,1)</f>
        <v>50.626743620404049</v>
      </c>
      <c r="AA18" s="36">
        <f>MEDIAN(K18:V18)</f>
        <v>50.956107437490381</v>
      </c>
      <c r="AB18" s="35">
        <f>QUARTILE(K18:V18,3)</f>
        <v>51.940320750394186</v>
      </c>
      <c r="AC18" s="35">
        <f>MAX(K18:V18)</f>
        <v>52.571812160849127</v>
      </c>
      <c r="AD18" s="35">
        <f>SKEW(K18:V18)</f>
        <v>0.29374166018242343</v>
      </c>
      <c r="AE18" s="35">
        <f>KURT(K18:V18)</f>
        <v>-1.4143837243993871</v>
      </c>
    </row>
    <row r="19" spans="2:31" x14ac:dyDescent="0.2">
      <c r="B19" s="34">
        <f>[46]FormattedData!A32</f>
        <v>202</v>
      </c>
      <c r="C19" s="34" t="str">
        <f>VLOOKUP($B19,[46]TrtCodes!$B$11:I75,2)</f>
        <v>NTH</v>
      </c>
      <c r="D19" s="34">
        <f>VLOOKUP($B19,[46]TrtCodes!$B$11:J75,3)</f>
        <v>9</v>
      </c>
      <c r="E19" s="34">
        <f>VLOOKUP($B19,[46]TrtCodes!$B$11:K75,4)</f>
        <v>2</v>
      </c>
      <c r="F19" s="34">
        <f>VLOOKUP($B19,[46]TrtCodes!$B$11:L75,5)</f>
        <v>2</v>
      </c>
      <c r="G19" s="34">
        <f>VLOOKUP($B19,[46]TrtCodes!$B$11:M75,6)</f>
        <v>2</v>
      </c>
      <c r="H19" s="34">
        <f>VLOOKUP($B19,[46]TrtCodes!$B$11:N75,7)</f>
        <v>1</v>
      </c>
      <c r="I19" s="34">
        <f>[46]FormattedData!B32</f>
        <v>1</v>
      </c>
      <c r="J19" s="37">
        <f>[46]FormattedData!C32</f>
        <v>12.914</v>
      </c>
      <c r="K19" s="39">
        <f>$J$3+[46]FormattedData!D32*$J$4+$M$4*$J$5+[46]FormattedData!D32^2*$J$6+$M$5*$J$7</f>
        <v>37.556712179530379</v>
      </c>
      <c r="L19" s="39">
        <f>$J$3+[46]FormattedData!E32*$J$4+$M$4*$J$5+[46]FormattedData!E32^2*$J$6+$M$5*$J$7</f>
        <v>36.520587253068229</v>
      </c>
      <c r="M19" s="39">
        <f>$J$3+[46]FormattedData!F32*$J$4+$M$4*$J$5+[46]FormattedData!F32^2*$J$6+$M$5*$J$7</f>
        <v>33.477324894718087</v>
      </c>
      <c r="N19" s="39">
        <f>$J$3+[46]FormattedData!G32*$J$4+$M$4*$J$5+[46]FormattedData!G32^2*$J$6+$M$5*$J$7</f>
        <v>36.047930635886374</v>
      </c>
      <c r="O19" s="39">
        <f>$J$3+[46]FormattedData!H32*$J$4+$M$4*$J$5+[46]FormattedData!H32^2*$J$6+$M$5*$J$7</f>
        <v>33.477324894718087</v>
      </c>
      <c r="P19" s="39">
        <f>$J$3+[46]FormattedData!I32*$J$4+$M$4*$J$5+[46]FormattedData!I32^2*$J$6+$M$5*$J$7</f>
        <v>36.047930635886374</v>
      </c>
      <c r="Q19" s="39">
        <f>$J$3+[46]FormattedData!J32*$J$4+$M$4*$J$5+[46]FormattedData!J32^2*$J$6+$M$5*$J$7</f>
        <v>32.709746339061567</v>
      </c>
      <c r="R19" s="39">
        <f>$J$3+[46]FormattedData!K32*$J$4+$M$4*$J$5+[46]FormattedData!K32^2*$J$6+$M$5*$J$7</f>
        <v>34.24219826394701</v>
      </c>
      <c r="S19" s="39">
        <f>$J$3+[46]FormattedData!L32*$J$4+$M$4*$J$5+[46]FormattedData!L32^2*$J$6+$M$5*$J$7</f>
        <v>32.517429014768133</v>
      </c>
      <c r="T19" s="39">
        <f>$J$3+[46]FormattedData!M32*$J$4+$M$4*$J$5+[46]FormattedData!M32^2*$J$6+$M$5*$J$7</f>
        <v>34.909243363780945</v>
      </c>
      <c r="U19" s="39">
        <f>$J$3+[46]FormattedData!N32*$J$4+$M$4*$J$5+[46]FormattedData!N32^2*$J$6+$M$5*$J$7</f>
        <v>32.901894589203287</v>
      </c>
      <c r="V19" s="39">
        <f>$J$3+[46]FormattedData!O32*$J$4+$M$4*$J$5+[46]FormattedData!O32^2*$J$6+$M$5*$J$7</f>
        <v>35.384436093238669</v>
      </c>
      <c r="W19" s="38">
        <f>AVERAGE(K19:V19)</f>
        <v>34.649396513150592</v>
      </c>
      <c r="X19" s="37">
        <f>STDEV(K19:V19)/SQRT(COUNT(K19:V19))</f>
        <v>0.48263829453131585</v>
      </c>
      <c r="Y19" s="36">
        <f>MIN(K19:V19)</f>
        <v>32.517429014768133</v>
      </c>
      <c r="Z19" s="35">
        <f>QUARTILE(K19:V19,1)</f>
        <v>33.333467318339387</v>
      </c>
      <c r="AA19" s="36">
        <f>MEDIAN(K19:V19)</f>
        <v>34.575720813863981</v>
      </c>
      <c r="AB19" s="35">
        <f>QUARTILE(K19:V19,3)</f>
        <v>36.047930635886374</v>
      </c>
      <c r="AC19" s="35">
        <f>MAX(K19:V19)</f>
        <v>37.556712179530379</v>
      </c>
      <c r="AD19" s="35">
        <f>SKEW(K19:V19)</f>
        <v>0.26608629901474268</v>
      </c>
      <c r="AE19" s="35">
        <f>KURT(K19:V19)</f>
        <v>-1.2181719299949698</v>
      </c>
    </row>
    <row r="20" spans="2:31" x14ac:dyDescent="0.2">
      <c r="B20" s="34">
        <f>[46]FormattedData!A34</f>
        <v>203</v>
      </c>
      <c r="C20" s="34" t="str">
        <f>VLOOKUP($B20,[46]TrtCodes!$B$11:I77,2)</f>
        <v>FTH</v>
      </c>
      <c r="D20" s="34">
        <f>VLOOKUP($B20,[46]TrtCodes!$B$11:J77,3)</f>
        <v>3</v>
      </c>
      <c r="E20" s="34">
        <f>VLOOKUP($B20,[46]TrtCodes!$B$11:K77,4)</f>
        <v>1</v>
      </c>
      <c r="F20" s="34">
        <f>VLOOKUP($B20,[46]TrtCodes!$B$11:L77,5)</f>
        <v>2</v>
      </c>
      <c r="G20" s="34">
        <f>VLOOKUP($B20,[46]TrtCodes!$B$11:M77,6)</f>
        <v>2</v>
      </c>
      <c r="H20" s="34">
        <f>VLOOKUP($B20,[46]TrtCodes!$B$11:N77,7)</f>
        <v>1</v>
      </c>
      <c r="I20" s="34">
        <f>[46]FormattedData!B34</f>
        <v>1</v>
      </c>
      <c r="J20" s="37">
        <f>[46]FormattedData!C34</f>
        <v>12.917999999999999</v>
      </c>
      <c r="K20" s="39">
        <f>$J$3+[46]FormattedData!D34*$J$4+$M$4*$J$5+[46]FormattedData!D34^2*$J$6+$M$5*$J$7</f>
        <v>33.66879684825291</v>
      </c>
      <c r="L20" s="39">
        <f>$J$3+[46]FormattedData!E34*$J$4+$M$4*$J$5+[46]FormattedData!E34^2*$J$6+$M$5*$J$7</f>
        <v>34.051233532867364</v>
      </c>
      <c r="M20" s="39">
        <f>$J$3+[46]FormattedData!F34*$J$4+$M$4*$J$5+[46]FormattedData!F34^2*$J$6+$M$5*$J$7</f>
        <v>33.955687764520654</v>
      </c>
      <c r="N20" s="39">
        <f>$J$3+[46]FormattedData!G34*$J$4+$M$4*$J$5+[46]FormattedData!G34^2*$J$6+$M$5*$J$7</f>
        <v>35.574217305256234</v>
      </c>
      <c r="O20" s="39">
        <f>$J$3+[46]FormattedData!H34*$J$4+$M$4*$J$5+[46]FormattedData!H34^2*$J$6+$M$5*$J$7</f>
        <v>33.189799950381378</v>
      </c>
      <c r="P20" s="39">
        <f>$J$3+[46]FormattedData!I34*$J$4+$M$4*$J$5+[46]FormattedData!I34^2*$J$6+$M$5*$J$7</f>
        <v>34.718870392232326</v>
      </c>
      <c r="Q20" s="39">
        <f>$J$3+[46]FormattedData!J34*$J$4+$M$4*$J$5+[46]FormattedData!J34^2*$J$6+$M$5*$J$7</f>
        <v>33.189799950381378</v>
      </c>
      <c r="R20" s="39">
        <f>$J$3+[46]FormattedData!K34*$J$4+$M$4*$J$5+[46]FormattedData!K34^2*$J$6+$M$5*$J$7</f>
        <v>37.744549038803122</v>
      </c>
      <c r="S20" s="39">
        <f>$J$3+[46]FormattedData!L34*$J$4+$M$4*$J$5+[46]FormattedData!L34^2*$J$6+$M$5*$J$7</f>
        <v>33.381525515143785</v>
      </c>
      <c r="T20" s="39">
        <f>$J$3+[46]FormattedData!M34*$J$4+$M$4*$J$5+[46]FormattedData!M34^2*$J$6+$M$5*$J$7</f>
        <v>37.274639876586789</v>
      </c>
      <c r="U20" s="39">
        <f>$J$3+[46]FormattedData!N34*$J$4+$M$4*$J$5+[46]FormattedData!N34^2*$J$6+$M$5*$J$7</f>
        <v>32.421206949814518</v>
      </c>
      <c r="V20" s="39">
        <f>$J$3+[46]FormattedData!O34*$J$4+$M$4*$J$5+[46]FormattedData!O34^2*$J$6+$M$5*$J$7</f>
        <v>36.897951713130958</v>
      </c>
      <c r="W20" s="38">
        <f>AVERAGE(K20:V20)</f>
        <v>34.672356569780952</v>
      </c>
      <c r="X20" s="37">
        <f>STDEV(K20:V20)/SQRT(COUNT(K20:V20))</f>
        <v>0.5150422374574567</v>
      </c>
      <c r="Y20" s="36">
        <f>MIN(K20:V20)</f>
        <v>32.421206949814518</v>
      </c>
      <c r="Z20" s="35">
        <f>QUARTILE(K20:V20,1)</f>
        <v>33.333594123953183</v>
      </c>
      <c r="AA20" s="36">
        <f>MEDIAN(K20:V20)</f>
        <v>34.003460648694009</v>
      </c>
      <c r="AB20" s="35">
        <f>QUARTILE(K20:V20,3)</f>
        <v>35.905150907224915</v>
      </c>
      <c r="AC20" s="35">
        <f>MAX(K20:V20)</f>
        <v>37.744549038803122</v>
      </c>
      <c r="AD20" s="35">
        <f>SKEW(K20:V20)</f>
        <v>0.70459429653509531</v>
      </c>
      <c r="AE20" s="35">
        <f>KURT(K20:V20)</f>
        <v>-0.92806122642421096</v>
      </c>
    </row>
    <row r="21" spans="2:31" x14ac:dyDescent="0.2">
      <c r="B21" s="34">
        <f>[46]FormattedData!A36</f>
        <v>204</v>
      </c>
      <c r="C21" s="34" t="str">
        <f>VLOOKUP($B21,[46]TrtCodes!$B$11:I79,2)</f>
        <v>NDH</v>
      </c>
      <c r="D21" s="34">
        <f>VLOOKUP($B21,[46]TrtCodes!$B$11:J79,3)</f>
        <v>11</v>
      </c>
      <c r="E21" s="34">
        <f>VLOOKUP($B21,[46]TrtCodes!$B$11:K79,4)</f>
        <v>2</v>
      </c>
      <c r="F21" s="34">
        <f>VLOOKUP($B21,[46]TrtCodes!$B$11:L79,5)</f>
        <v>3</v>
      </c>
      <c r="G21" s="34">
        <f>VLOOKUP($B21,[46]TrtCodes!$B$11:M79,6)</f>
        <v>2</v>
      </c>
      <c r="H21" s="34">
        <f>VLOOKUP($B21,[46]TrtCodes!$B$11:N79,7)</f>
        <v>1</v>
      </c>
      <c r="I21" s="34">
        <f>[46]FormattedData!B36</f>
        <v>1</v>
      </c>
      <c r="J21" s="37">
        <f>[46]FormattedData!C36</f>
        <v>12.923</v>
      </c>
      <c r="K21" s="39">
        <f>$J$3+[46]FormattedData!D36*$J$4+$M$4*$J$5+[46]FormattedData!D36^2*$J$6+$M$5*$J$7</f>
        <v>51.08765430219664</v>
      </c>
      <c r="L21" s="39">
        <f>$J$3+[46]FormattedData!E36*$J$4+$M$4*$J$5+[46]FormattedData!E36^2*$J$6+$M$5*$J$7</f>
        <v>51.175295853950232</v>
      </c>
      <c r="M21" s="39">
        <f>$J$3+[46]FormattedData!F36*$J$4+$M$4*$J$5+[46]FormattedData!F36^2*$J$6+$M$5*$J$7</f>
        <v>50.385000220802354</v>
      </c>
      <c r="N21" s="39">
        <f>$J$3+[46]FormattedData!G36*$J$4+$M$4*$J$5+[46]FormattedData!G36^2*$J$6+$M$5*$J$7</f>
        <v>52.658735147457897</v>
      </c>
      <c r="O21" s="39">
        <f>$J$3+[46]FormattedData!H36*$J$4+$M$4*$J$5+[46]FormattedData!H36^2*$J$6+$M$5*$J$7</f>
        <v>50.824476035708265</v>
      </c>
      <c r="P21" s="39">
        <f>$J$3+[46]FormattedData!I36*$J$4+$M$4*$J$5+[46]FormattedData!I36^2*$J$6+$M$5*$J$7</f>
        <v>52.310789589795242</v>
      </c>
      <c r="Q21" s="39">
        <f>$J$3+[46]FormattedData!J36*$J$4+$M$4*$J$5+[46]FormattedData!J36^2*$J$6+$M$5*$J$7</f>
        <v>50.999970481905109</v>
      </c>
      <c r="R21" s="39">
        <f>$J$3+[46]FormattedData!K36*$J$4+$M$4*$J$5+[46]FormattedData!K36^2*$J$6+$M$5*$J$7</f>
        <v>50.824476035708265</v>
      </c>
      <c r="S21" s="39">
        <f>$J$3+[46]FormattedData!L36*$J$4+$M$4*$J$5+[46]FormattedData!L36^2*$J$6+$M$5*$J$7</f>
        <v>49.944467692448164</v>
      </c>
      <c r="T21" s="39">
        <f>$J$3+[46]FormattedData!M36*$J$4+$M$4*$J$5+[46]FormattedData!M36^2*$J$6+$M$5*$J$7</f>
        <v>48.61652982669591</v>
      </c>
      <c r="U21" s="39">
        <f>$J$3+[46]FormattedData!N36*$J$4+$M$4*$J$5+[46]FormattedData!N36^2*$J$6+$M$5*$J$7</f>
        <v>51.175295853950232</v>
      </c>
      <c r="V21" s="39">
        <f>$J$3+[46]FormattedData!O36*$J$4+$M$4*$J$5+[46]FormattedData!O36^2*$J$6+$M$5*$J$7</f>
        <v>49.325946874159179</v>
      </c>
      <c r="W21" s="38">
        <f>AVERAGE(K21:V21)</f>
        <v>50.777386492898124</v>
      </c>
      <c r="X21" s="37">
        <f>STDEV(K21:V21)/SQRT(COUNT(K21:V21))</f>
        <v>0.32545312637797841</v>
      </c>
      <c r="Y21" s="36">
        <f>MIN(K21:V21)</f>
        <v>48.61652982669591</v>
      </c>
      <c r="Z21" s="35">
        <f>QUARTILE(K21:V21,1)</f>
        <v>50.274867088713805</v>
      </c>
      <c r="AA21" s="36">
        <f>MEDIAN(K21:V21)</f>
        <v>50.912223258806691</v>
      </c>
      <c r="AB21" s="35">
        <f>QUARTILE(K21:V21,3)</f>
        <v>51.175295853950232</v>
      </c>
      <c r="AC21" s="35">
        <f>MAX(K21:V21)</f>
        <v>52.658735147457897</v>
      </c>
      <c r="AD21" s="35">
        <f>SKEW(K21:V21)</f>
        <v>-0.25534052028246346</v>
      </c>
      <c r="AE21" s="35">
        <f>KURT(K21:V21)</f>
        <v>0.34259747193742474</v>
      </c>
    </row>
    <row r="22" spans="2:31" x14ac:dyDescent="0.2">
      <c r="B22" s="34">
        <f>[46]FormattedData!A38</f>
        <v>205</v>
      </c>
      <c r="C22" s="34" t="str">
        <f>VLOOKUP($B22,[46]TrtCodes!$B$11:I81,2)</f>
        <v>FSH</v>
      </c>
      <c r="D22" s="34">
        <f>VLOOKUP($B22,[46]TrtCodes!$B$11:J81,3)</f>
        <v>1</v>
      </c>
      <c r="E22" s="34">
        <f>VLOOKUP($B22,[46]TrtCodes!$B$11:K81,4)</f>
        <v>1</v>
      </c>
      <c r="F22" s="34">
        <f>VLOOKUP($B22,[46]TrtCodes!$B$11:L81,5)</f>
        <v>1</v>
      </c>
      <c r="G22" s="34">
        <f>VLOOKUP($B22,[46]TrtCodes!$B$11:M81,6)</f>
        <v>2</v>
      </c>
      <c r="H22" s="34">
        <f>VLOOKUP($B22,[46]TrtCodes!$B$11:N81,7)</f>
        <v>2</v>
      </c>
      <c r="I22" s="34">
        <f>[46]FormattedData!B38</f>
        <v>1</v>
      </c>
      <c r="J22" s="37">
        <f>[46]FormattedData!C38</f>
        <v>12.928000000000001</v>
      </c>
      <c r="K22" s="39">
        <f>$J$3+[46]FormattedData!D38*$J$4+$M$4*$J$5+[46]FormattedData!D38^2*$J$6+$M$5*$J$7</f>
        <v>31.842986920796257</v>
      </c>
      <c r="L22" s="39">
        <f>$J$3+[46]FormattedData!E38*$J$4+$M$4*$J$5+[46]FormattedData!E38^2*$J$6+$M$5*$J$7</f>
        <v>33.764469422213416</v>
      </c>
      <c r="M22" s="39">
        <f>$J$3+[46]FormattedData!F38*$J$4+$M$4*$J$5+[46]FormattedData!F38^2*$J$6+$M$5*$J$7</f>
        <v>33.66879684825291</v>
      </c>
      <c r="N22" s="39">
        <f>$J$3+[46]FormattedData!G38*$J$4+$M$4*$J$5+[46]FormattedData!G38^2*$J$6+$M$5*$J$7</f>
        <v>34.718870392232326</v>
      </c>
      <c r="O22" s="39">
        <f>$J$3+[46]FormattedData!H38*$J$4+$M$4*$J$5+[46]FormattedData!H38^2*$J$6+$M$5*$J$7</f>
        <v>31.939462596977464</v>
      </c>
      <c r="P22" s="39">
        <f>$J$3+[46]FormattedData!I38*$J$4+$M$4*$J$5+[46]FormattedData!I38^2*$J$6+$M$5*$J$7</f>
        <v>34.432993920874942</v>
      </c>
      <c r="Q22" s="39">
        <f>$J$3+[46]FormattedData!J38*$J$4+$M$4*$J$5+[46]FormattedData!J38^2*$J$6+$M$5*$J$7</f>
        <v>31.456661530692127</v>
      </c>
      <c r="R22" s="39">
        <f>$J$3+[46]FormattedData!K38*$J$4+$M$4*$J$5+[46]FormattedData!K38^2*$J$6+$M$5*$J$7</f>
        <v>34.051233532867364</v>
      </c>
      <c r="S22" s="39">
        <f>$J$3+[46]FormattedData!L38*$J$4+$M$4*$J$5+[46]FormattedData!L38^2*$J$6+$M$5*$J$7</f>
        <v>32.228636014293478</v>
      </c>
      <c r="T22" s="39">
        <f>$J$3+[46]FormattedData!M38*$J$4+$M$4*$J$5+[46]FormattedData!M38^2*$J$6+$M$5*$J$7</f>
        <v>36.614991770890811</v>
      </c>
      <c r="U22" s="39">
        <f>$J$3+[46]FormattedData!N38*$J$4+$M$4*$J$5+[46]FormattedData!N38^2*$J$6+$M$5*$J$7</f>
        <v>32.035896004620732</v>
      </c>
      <c r="V22" s="39">
        <f>$J$3+[46]FormattedData!O38*$J$4+$M$4*$J$5+[46]FormattedData!O38^2*$J$6+$M$5*$J$7</f>
        <v>35.669044508458128</v>
      </c>
      <c r="W22" s="38">
        <f>AVERAGE(K22:V22)</f>
        <v>33.535336955264164</v>
      </c>
      <c r="X22" s="37">
        <f>STDEV(K22:V22)/SQRT(COUNT(K22:V22))</f>
        <v>0.4788522363379305</v>
      </c>
      <c r="Y22" s="36">
        <f>MIN(K22:V22)</f>
        <v>31.456661530692127</v>
      </c>
      <c r="Z22" s="35">
        <f>QUARTILE(K22:V22,1)</f>
        <v>32.011787652709913</v>
      </c>
      <c r="AA22" s="36">
        <f>MEDIAN(K22:V22)</f>
        <v>33.716633135233167</v>
      </c>
      <c r="AB22" s="35">
        <f>QUARTILE(K22:V22,3)</f>
        <v>34.504463038714292</v>
      </c>
      <c r="AC22" s="35">
        <f>MAX(K22:V22)</f>
        <v>36.614991770890811</v>
      </c>
      <c r="AD22" s="35">
        <f>SKEW(K22:V22)</f>
        <v>0.42925397821999328</v>
      </c>
      <c r="AE22" s="35">
        <f>KURT(K22:V22)</f>
        <v>-0.81380119063523004</v>
      </c>
    </row>
    <row r="23" spans="2:31" x14ac:dyDescent="0.2">
      <c r="B23" s="34">
        <f>[46]FormattedData!A40</f>
        <v>206</v>
      </c>
      <c r="C23" s="34" t="str">
        <f>VLOOKUP($B23,[46]TrtCodes!$B$11:I83,2)</f>
        <v>NSL</v>
      </c>
      <c r="D23" s="34">
        <f>VLOOKUP($B23,[46]TrtCodes!$B$11:J83,3)</f>
        <v>8</v>
      </c>
      <c r="E23" s="34">
        <f>VLOOKUP($B23,[46]TrtCodes!$B$11:K83,4)</f>
        <v>2</v>
      </c>
      <c r="F23" s="34">
        <f>VLOOKUP($B23,[46]TrtCodes!$B$11:L83,5)</f>
        <v>1</v>
      </c>
      <c r="G23" s="34">
        <f>VLOOKUP($B23,[46]TrtCodes!$B$11:M83,6)</f>
        <v>1</v>
      </c>
      <c r="H23" s="34">
        <f>VLOOKUP($B23,[46]TrtCodes!$B$11:N83,7)</f>
        <v>2</v>
      </c>
      <c r="I23" s="34">
        <f>[46]FormattedData!B40</f>
        <v>1</v>
      </c>
      <c r="J23" s="37">
        <f>[46]FormattedData!C40</f>
        <v>12.933999999999999</v>
      </c>
      <c r="K23" s="39">
        <f>$J$3+[46]FormattedData!D40*$J$4+$M$4*$J$5+[46]FormattedData!D40^2*$J$6+$M$5*$J$7</f>
        <v>54.56034691275417</v>
      </c>
      <c r="L23" s="39">
        <f>$J$3+[46]FormattedData!E40*$J$4+$M$4*$J$5+[46]FormattedData!E40^2*$J$6+$M$5*$J$7</f>
        <v>53.439139942729888</v>
      </c>
      <c r="M23" s="39">
        <f>$J$3+[46]FormattedData!F40*$J$4+$M$4*$J$5+[46]FormattedData!F40^2*$J$6+$M$5*$J$7</f>
        <v>52.310789589795242</v>
      </c>
      <c r="N23" s="39">
        <f>$J$3+[46]FormattedData!G40*$J$4+$M$4*$J$5+[46]FormattedData!G40^2*$J$6+$M$5*$J$7</f>
        <v>54.56034691275417</v>
      </c>
      <c r="O23" s="39">
        <f>$J$3+[46]FormattedData!H40*$J$4+$M$4*$J$5+[46]FormattedData!H40^2*$J$6+$M$5*$J$7</f>
        <v>52.049386601899975</v>
      </c>
      <c r="P23" s="39">
        <f>$J$3+[46]FormattedData!I40*$J$4+$M$4*$J$5+[46]FormattedData!I40^2*$J$6+$M$5*$J$7</f>
        <v>54.129958833503458</v>
      </c>
      <c r="Q23" s="39">
        <f>$J$3+[46]FormattedData!J40*$J$4+$M$4*$J$5+[46]FormattedData!J40^2*$J$6+$M$5*$J$7</f>
        <v>51.612869584649239</v>
      </c>
      <c r="R23" s="39">
        <f>$J$3+[46]FormattedData!K40*$J$4+$M$4*$J$5+[46]FormattedData!K40^2*$J$6+$M$5*$J$7</f>
        <v>52.049386601899975</v>
      </c>
      <c r="S23" s="39">
        <f>$J$3+[46]FormattedData!L40*$J$4+$M$4*$J$5+[46]FormattedData!L40^2*$J$6+$M$5*$J$7</f>
        <v>51.700257525175253</v>
      </c>
      <c r="T23" s="39">
        <f>$J$3+[46]FormattedData!M40*$J$4+$M$4*$J$5+[46]FormattedData!M40^2*$J$6+$M$5*$J$7</f>
        <v>53.006004408513647</v>
      </c>
      <c r="U23" s="39">
        <f>$J$3+[46]FormattedData!N40*$J$4+$M$4*$J$5+[46]FormattedData!N40^2*$J$6+$M$5*$J$7</f>
        <v>51.962167735525696</v>
      </c>
      <c r="V23" s="39">
        <f>$J$3+[46]FormattedData!O40*$J$4+$M$4*$J$5+[46]FormattedData!O40^2*$J$6+$M$5*$J$7</f>
        <v>52.571812160849127</v>
      </c>
      <c r="W23" s="38">
        <f>AVERAGE(K23:V23)</f>
        <v>52.829372234170819</v>
      </c>
      <c r="X23" s="37">
        <f>STDEV(K23:V23)/SQRT(COUNT(K23:V23))</f>
        <v>0.3155794388048177</v>
      </c>
      <c r="Y23" s="36">
        <f>MIN(K23:V23)</f>
        <v>51.612869584649239</v>
      </c>
      <c r="Z23" s="35">
        <f>QUARTILE(K23:V23,1)</f>
        <v>52.027581885306404</v>
      </c>
      <c r="AA23" s="36">
        <f>MEDIAN(K23:V23)</f>
        <v>52.441300875322185</v>
      </c>
      <c r="AB23" s="35">
        <f>QUARTILE(K23:V23,3)</f>
        <v>53.611844665423277</v>
      </c>
      <c r="AC23" s="35">
        <f>MAX(K23:V23)</f>
        <v>54.56034691275417</v>
      </c>
      <c r="AD23" s="35">
        <f>SKEW(K23:V23)</f>
        <v>0.65194039627321676</v>
      </c>
      <c r="AE23" s="35">
        <f>KURT(K23:V23)</f>
        <v>-1.1478014748622396</v>
      </c>
    </row>
    <row r="24" spans="2:31" x14ac:dyDescent="0.2">
      <c r="B24" s="34">
        <f>[46]FormattedData!A42</f>
        <v>207</v>
      </c>
      <c r="C24" s="34" t="str">
        <f>VLOOKUP($B24,[46]TrtCodes!$B$11:I85,2)</f>
        <v>FTL</v>
      </c>
      <c r="D24" s="34">
        <f>VLOOKUP($B24,[46]TrtCodes!$B$11:J85,3)</f>
        <v>4</v>
      </c>
      <c r="E24" s="34">
        <f>VLOOKUP($B24,[46]TrtCodes!$B$11:K85,4)</f>
        <v>1</v>
      </c>
      <c r="F24" s="34">
        <f>VLOOKUP($B24,[46]TrtCodes!$B$11:L85,5)</f>
        <v>2</v>
      </c>
      <c r="G24" s="34">
        <f>VLOOKUP($B24,[46]TrtCodes!$B$11:M85,6)</f>
        <v>1</v>
      </c>
      <c r="H24" s="34">
        <f>VLOOKUP($B24,[46]TrtCodes!$B$11:N85,7)</f>
        <v>2</v>
      </c>
      <c r="I24" s="34">
        <f>[46]FormattedData!B42</f>
        <v>1</v>
      </c>
      <c r="J24" s="37">
        <f>[46]FormattedData!C42</f>
        <v>12.938000000000001</v>
      </c>
      <c r="K24" s="39">
        <f>$J$3+[46]FormattedData!D42*$J$4+$M$4*$J$5+[46]FormattedData!D42^2*$J$6+$M$5*$J$7</f>
        <v>33.477324894718087</v>
      </c>
      <c r="L24" s="39">
        <f>$J$3+[46]FormattedData!E42*$J$4+$M$4*$J$5+[46]FormattedData!E42^2*$J$6+$M$5*$J$7</f>
        <v>34.146737032676157</v>
      </c>
      <c r="M24" s="39">
        <f>$J$3+[46]FormattedData!F42*$J$4+$M$4*$J$5+[46]FormattedData!F42^2*$J$6+$M$5*$J$7</f>
        <v>35.479347833516414</v>
      </c>
      <c r="N24" s="39">
        <f>$J$3+[46]FormattedData!G42*$J$4+$M$4*$J$5+[46]FormattedData!G42^2*$J$6+$M$5*$J$7</f>
        <v>33.285683867031544</v>
      </c>
      <c r="O24" s="39">
        <f>$J$3+[46]FormattedData!H42*$J$4+$M$4*$J$5+[46]FormattedData!H42^2*$J$6+$M$5*$J$7</f>
        <v>34.051233532867364</v>
      </c>
      <c r="P24" s="39">
        <f>$J$3+[46]FormattedData!I42*$J$4+$M$4*$J$5+[46]FormattedData!I42^2*$J$6+$M$5*$J$7</f>
        <v>33.860099727636005</v>
      </c>
      <c r="Q24" s="39">
        <f>$J$3+[46]FormattedData!J42*$J$4+$M$4*$J$5+[46]FormattedData!J42^2*$J$6+$M$5*$J$7</f>
        <v>33.860099727636005</v>
      </c>
      <c r="R24" s="39">
        <f>$J$3+[46]FormattedData!K42*$J$4+$M$4*$J$5+[46]FormattedData!K42^2*$J$6+$M$5*$J$7</f>
        <v>34.24219826394701</v>
      </c>
      <c r="S24" s="39">
        <f>$J$3+[46]FormattedData!L42*$J$4+$M$4*$J$5+[46]FormattedData!L42^2*$J$6+$M$5*$J$7</f>
        <v>32.805841598401393</v>
      </c>
      <c r="T24" s="39">
        <f>$J$3+[46]FormattedData!M42*$J$4+$M$4*$J$5+[46]FormattedData!M42^2*$J$6+$M$5*$J$7</f>
        <v>33.955687764520654</v>
      </c>
      <c r="U24" s="39">
        <f>$J$3+[46]FormattedData!N42*$J$4+$M$4*$J$5+[46]FormattedData!N42^2*$J$6+$M$5*$J$7</f>
        <v>31.746468976077118</v>
      </c>
      <c r="V24" s="39">
        <f>$J$3+[46]FormattedData!O42*$J$4+$M$4*$J$5+[46]FormattedData!O42^2*$J$6+$M$5*$J$7</f>
        <v>34.718870392232326</v>
      </c>
      <c r="W24" s="38">
        <f>AVERAGE(K24:V24)</f>
        <v>33.802466134271668</v>
      </c>
      <c r="X24" s="37">
        <f>STDEV(K24:V24)/SQRT(COUNT(K24:V24))</f>
        <v>0.27036432575730668</v>
      </c>
      <c r="Y24" s="36">
        <f>MIN(K24:V24)</f>
        <v>31.746468976077118</v>
      </c>
      <c r="Z24" s="35">
        <f>QUARTILE(K24:V24,1)</f>
        <v>33.429414637796455</v>
      </c>
      <c r="AA24" s="36">
        <f>MEDIAN(K24:V24)</f>
        <v>33.907893746078329</v>
      </c>
      <c r="AB24" s="35">
        <f>QUARTILE(K24:V24,3)</f>
        <v>34.170602340493872</v>
      </c>
      <c r="AC24" s="35">
        <f>MAX(K24:V24)</f>
        <v>35.479347833516414</v>
      </c>
      <c r="AD24" s="35">
        <f>SKEW(K24:V24)</f>
        <v>-0.56079904992877005</v>
      </c>
      <c r="AE24" s="35">
        <f>KURT(K24:V24)</f>
        <v>1.6203078977886012</v>
      </c>
    </row>
    <row r="25" spans="2:31" x14ac:dyDescent="0.2">
      <c r="B25" s="34">
        <f>[46]FormattedData!A44</f>
        <v>208</v>
      </c>
      <c r="C25" s="34" t="str">
        <f>VLOOKUP($B25,[46]TrtCodes!$B$11:I87,2)</f>
        <v>FSL</v>
      </c>
      <c r="D25" s="34">
        <f>VLOOKUP($B25,[46]TrtCodes!$B$11:J87,3)</f>
        <v>2</v>
      </c>
      <c r="E25" s="34">
        <f>VLOOKUP($B25,[46]TrtCodes!$B$11:K87,4)</f>
        <v>1</v>
      </c>
      <c r="F25" s="34">
        <f>VLOOKUP($B25,[46]TrtCodes!$B$11:L87,5)</f>
        <v>1</v>
      </c>
      <c r="G25" s="34">
        <f>VLOOKUP($B25,[46]TrtCodes!$B$11:M87,6)</f>
        <v>1</v>
      </c>
      <c r="H25" s="34">
        <f>VLOOKUP($B25,[46]TrtCodes!$B$11:N87,7)</f>
        <v>2</v>
      </c>
      <c r="I25" s="34">
        <f>[46]FormattedData!B44</f>
        <v>1</v>
      </c>
      <c r="J25" s="37">
        <f>[46]FormattedData!C44</f>
        <v>12.943</v>
      </c>
      <c r="K25" s="39">
        <f>$J$3+[46]FormattedData!D44*$J$4+$M$4*$J$5+[46]FormattedData!D44^2*$J$6+$M$5*$J$7</f>
        <v>36.237120088372912</v>
      </c>
      <c r="L25" s="39">
        <f>$J$3+[46]FormattedData!E44*$J$4+$M$4*$J$5+[46]FormattedData!E44^2*$J$6+$M$5*$J$7</f>
        <v>33.764469422213416</v>
      </c>
      <c r="M25" s="39">
        <f>$J$3+[46]FormattedData!F44*$J$4+$M$4*$J$5+[46]FormattedData!F44^2*$J$6+$M$5*$J$7</f>
        <v>32.228636014293478</v>
      </c>
      <c r="N25" s="39">
        <f>$J$3+[46]FormattedData!G44*$J$4+$M$4*$J$5+[46]FormattedData!G44^2*$J$6+$M$5*$J$7</f>
        <v>33.381525515143785</v>
      </c>
      <c r="O25" s="39">
        <f>$J$3+[46]FormattedData!H44*$J$4+$M$4*$J$5+[46]FormattedData!H44^2*$J$6+$M$5*$J$7</f>
        <v>31.939462596977464</v>
      </c>
      <c r="P25" s="39">
        <f>$J$3+[46]FormattedData!I44*$J$4+$M$4*$J$5+[46]FormattedData!I44^2*$J$6+$M$5*$J$7</f>
        <v>35.194485807069363</v>
      </c>
      <c r="Q25" s="39">
        <f>$J$3+[46]FormattedData!J44*$J$4+$M$4*$J$5+[46]FormattedData!J44^2*$J$6+$M$5*$J$7</f>
        <v>31.842986920796257</v>
      </c>
      <c r="R25" s="39">
        <f>$J$3+[46]FormattedData!K44*$J$4+$M$4*$J$5+[46]FormattedData!K44^2*$J$6+$M$5*$J$7</f>
        <v>35.384436093238669</v>
      </c>
      <c r="S25" s="39">
        <f>$J$3+[46]FormattedData!L44*$J$4+$M$4*$J$5+[46]FormattedData!L44^2*$J$6+$M$5*$J$7</f>
        <v>31.842986920796257</v>
      </c>
      <c r="T25" s="39">
        <f>$J$3+[46]FormattedData!M44*$J$4+$M$4*$J$5+[46]FormattedData!M44^2*$J$6+$M$5*$J$7</f>
        <v>35.099447261177822</v>
      </c>
      <c r="U25" s="39">
        <f>$J$3+[46]FormattedData!N44*$J$4+$M$4*$J$5+[46]FormattedData!N44^2*$J$6+$M$5*$J$7</f>
        <v>31.842986920796257</v>
      </c>
      <c r="V25" s="39">
        <f>$J$3+[46]FormattedData!O44*$J$4+$M$4*$J$5+[46]FormattedData!O44^2*$J$6+$M$5*$J$7</f>
        <v>35.9532725068362</v>
      </c>
      <c r="W25" s="38">
        <f>AVERAGE(K25:V25)</f>
        <v>33.725984672309323</v>
      </c>
      <c r="X25" s="37">
        <f>STDEV(K25:V25)/SQRT(COUNT(K25:V25))</f>
        <v>0.50938805584596192</v>
      </c>
      <c r="Y25" s="36">
        <f>MIN(K25:V25)</f>
        <v>31.842986920796257</v>
      </c>
      <c r="Z25" s="35">
        <f>QUARTILE(K25:V25,1)</f>
        <v>31.915343677932164</v>
      </c>
      <c r="AA25" s="36">
        <f>MEDIAN(K25:V25)</f>
        <v>33.572997468678601</v>
      </c>
      <c r="AB25" s="35">
        <f>QUARTILE(K25:V25,3)</f>
        <v>35.241973378611689</v>
      </c>
      <c r="AC25" s="35">
        <f>MAX(K25:V25)</f>
        <v>36.237120088372912</v>
      </c>
      <c r="AD25" s="35">
        <f>SKEW(K25:V25)</f>
        <v>0.16030249117941756</v>
      </c>
      <c r="AE25" s="35">
        <f>KURT(K25:V25)</f>
        <v>-1.8702310853973261</v>
      </c>
    </row>
    <row r="26" spans="2:31" x14ac:dyDescent="0.2">
      <c r="B26" s="34">
        <f>[46]FormattedData!A62</f>
        <v>301</v>
      </c>
      <c r="C26" s="34" t="str">
        <f>VLOOKUP($B26,[46]TrtCodes!$B$11:I105,2)</f>
        <v>NTL</v>
      </c>
      <c r="D26" s="34">
        <f>VLOOKUP($B26,[46]TrtCodes!$B$11:J105,3)</f>
        <v>10</v>
      </c>
      <c r="E26" s="34">
        <f>VLOOKUP($B26,[46]TrtCodes!$B$11:K105,4)</f>
        <v>2</v>
      </c>
      <c r="F26" s="34">
        <f>VLOOKUP($B26,[46]TrtCodes!$B$11:L105,5)</f>
        <v>2</v>
      </c>
      <c r="G26" s="34">
        <f>VLOOKUP($B26,[46]TrtCodes!$B$11:M105,6)</f>
        <v>1</v>
      </c>
      <c r="H26" s="34">
        <f>VLOOKUP($B26,[46]TrtCodes!$B$11:N105,7)</f>
        <v>3</v>
      </c>
      <c r="I26" s="34">
        <f>[46]FormattedData!B62</f>
        <v>1</v>
      </c>
      <c r="J26" s="37">
        <f>[46]FormattedData!C62</f>
        <v>13.007999999999999</v>
      </c>
      <c r="K26" s="39">
        <f>$J$3+[46]FormattedData!D62*$J$4+$M$4*$J$5+[46]FormattedData!D62^2*$J$6+$M$5*$J$7</f>
        <v>32.324942616322964</v>
      </c>
      <c r="L26" s="39">
        <f>$J$3+[46]FormattedData!E62*$J$4+$M$4*$J$5+[46]FormattedData!E62^2*$J$6+$M$5*$J$7</f>
        <v>32.99790531146725</v>
      </c>
      <c r="M26" s="39">
        <f>$J$3+[46]FormattedData!F62*$J$4+$M$4*$J$5+[46]FormattedData!F62^2*$J$6+$M$5*$J$7</f>
        <v>32.517429014768133</v>
      </c>
      <c r="N26" s="39">
        <f>$J$3+[46]FormattedData!G62*$J$4+$M$4*$J$5+[46]FormattedData!G62^2*$J$6+$M$5*$J$7</f>
        <v>35.763829443122084</v>
      </c>
      <c r="O26" s="39">
        <f>$J$3+[46]FormattedData!H62*$J$4+$M$4*$J$5+[46]FormattedData!H62^2*$J$6+$M$5*$J$7</f>
        <v>32.805841598401393</v>
      </c>
      <c r="P26" s="39">
        <f>$J$3+[46]FormattedData!I62*$J$4+$M$4*$J$5+[46]FormattedData!I62^2*$J$6+$M$5*$J$7</f>
        <v>35.858572109248115</v>
      </c>
      <c r="Q26" s="39">
        <f>$J$3+[46]FormattedData!J62*$J$4+$M$4*$J$5+[46]FormattedData!J62^2*$J$6+$M$5*$J$7</f>
        <v>33.573082005754458</v>
      </c>
      <c r="R26" s="39">
        <f>$J$3+[46]FormattedData!K62*$J$4+$M$4*$J$5+[46]FormattedData!K62^2*$J$6+$M$5*$J$7</f>
        <v>35.194485807069363</v>
      </c>
      <c r="S26" s="39">
        <f>$J$3+[46]FormattedData!L62*$J$4+$M$4*$J$5+[46]FormattedData!L62^2*$J$6+$M$5*$J$7</f>
        <v>33.381525515143785</v>
      </c>
      <c r="T26" s="39">
        <f>$J$3+[46]FormattedData!M62*$J$4+$M$4*$J$5+[46]FormattedData!M62^2*$J$6+$M$5*$J$7</f>
        <v>34.909243363780945</v>
      </c>
      <c r="U26" s="39">
        <f>$J$3+[46]FormattedData!N62*$J$4+$M$4*$J$5+[46]FormattedData!N62^2*$J$6+$M$5*$J$7</f>
        <v>32.035896004620732</v>
      </c>
      <c r="V26" s="39">
        <f>$J$3+[46]FormattedData!O62*$J$4+$M$4*$J$5+[46]FormattedData!O62^2*$J$6+$M$5*$J$7</f>
        <v>34.432993920874942</v>
      </c>
      <c r="W26" s="38">
        <f>AVERAGE(K26:V26)</f>
        <v>33.816312225881184</v>
      </c>
      <c r="X26" s="37">
        <f>STDEV(K26:V26)/SQRT(COUNT(K26:V26))</f>
        <v>0.39368124669012827</v>
      </c>
      <c r="Y26" s="36">
        <f>MIN(K26:V26)</f>
        <v>32.035896004620732</v>
      </c>
      <c r="Z26" s="35">
        <f>QUARTILE(K26:V26,1)</f>
        <v>32.733738452493078</v>
      </c>
      <c r="AA26" s="36">
        <f>MEDIAN(K26:V26)</f>
        <v>33.477303760449118</v>
      </c>
      <c r="AB26" s="35">
        <f>QUARTILE(K26:V26,3)</f>
        <v>34.980553974603048</v>
      </c>
      <c r="AC26" s="35">
        <f>MAX(K26:V26)</f>
        <v>35.858572109248115</v>
      </c>
      <c r="AD26" s="35">
        <f>SKEW(K26:V26)</f>
        <v>0.31112478109113267</v>
      </c>
      <c r="AE26" s="35">
        <f>KURT(K26:V26)</f>
        <v>-1.4670510100550693</v>
      </c>
    </row>
    <row r="27" spans="2:31" x14ac:dyDescent="0.2">
      <c r="B27" s="34">
        <f>[46]FormattedData!A64</f>
        <v>302</v>
      </c>
      <c r="C27" s="34" t="str">
        <f>VLOOKUP($B27,[46]TrtCodes!$B$11:I107,2)</f>
        <v>FTL</v>
      </c>
      <c r="D27" s="34">
        <f>VLOOKUP($B27,[46]TrtCodes!$B$11:J107,3)</f>
        <v>4</v>
      </c>
      <c r="E27" s="34">
        <f>VLOOKUP($B27,[46]TrtCodes!$B$11:K107,4)</f>
        <v>1</v>
      </c>
      <c r="F27" s="34">
        <f>VLOOKUP($B27,[46]TrtCodes!$B$11:L107,5)</f>
        <v>2</v>
      </c>
      <c r="G27" s="34">
        <f>VLOOKUP($B27,[46]TrtCodes!$B$11:M107,6)</f>
        <v>1</v>
      </c>
      <c r="H27" s="34">
        <f>VLOOKUP($B27,[46]TrtCodes!$B$11:N107,7)</f>
        <v>3</v>
      </c>
      <c r="I27" s="34">
        <f>[46]FormattedData!B64</f>
        <v>1</v>
      </c>
      <c r="J27" s="37">
        <f>[46]FormattedData!C64</f>
        <v>13.013</v>
      </c>
      <c r="K27" s="39">
        <f>$J$3+[46]FormattedData!D64*$J$4+$M$4*$J$5+[46]FormattedData!D64^2*$J$6+$M$5*$J$7</f>
        <v>33.764469422213416</v>
      </c>
      <c r="L27" s="39">
        <f>$J$3+[46]FormattedData!E64*$J$4+$M$4*$J$5+[46]FormattedData!E64^2*$J$6+$M$5*$J$7</f>
        <v>39.241157243522956</v>
      </c>
      <c r="M27" s="39">
        <f>$J$3+[46]FormattedData!F64*$J$4+$M$4*$J$5+[46]FormattedData!F64^2*$J$6+$M$5*$J$7</f>
        <v>32.613608811183816</v>
      </c>
      <c r="N27" s="39">
        <f>$J$3+[46]FormattedData!G64*$J$4+$M$4*$J$5+[46]FormattedData!G64^2*$J$6+$M$5*$J$7</f>
        <v>37.274639876586789</v>
      </c>
      <c r="O27" s="39">
        <f>$J$3+[46]FormattedData!H64*$J$4+$M$4*$J$5+[46]FormattedData!H64^2*$J$6+$M$5*$J$7</f>
        <v>32.035896004620732</v>
      </c>
      <c r="P27" s="39">
        <f>$J$3+[46]FormattedData!I64*$J$4+$M$4*$J$5+[46]FormattedData!I64^2*$J$6+$M$5*$J$7</f>
        <v>35.9532725068362</v>
      </c>
      <c r="Q27" s="39">
        <f>$J$3+[46]FormattedData!J64*$J$4+$M$4*$J$5+[46]FormattedData!J64^2*$J$6+$M$5*$J$7</f>
        <v>32.035896004620732</v>
      </c>
      <c r="R27" s="39">
        <f>$J$3+[46]FormattedData!K64*$J$4+$M$4*$J$5+[46]FormattedData!K64^2*$J$6+$M$5*$J$7</f>
        <v>34.909243363780945</v>
      </c>
      <c r="S27" s="39">
        <f>$J$3+[46]FormattedData!L64*$J$4+$M$4*$J$5+[46]FormattedData!L64^2*$J$6+$M$5*$J$7</f>
        <v>31.842986920796257</v>
      </c>
      <c r="T27" s="39">
        <f>$J$3+[46]FormattedData!M64*$J$4+$M$4*$J$5+[46]FormattedData!M64^2*$J$6+$M$5*$J$7</f>
        <v>34.909243363780945</v>
      </c>
      <c r="U27" s="39">
        <f>$J$3+[46]FormattedData!N64*$J$4+$M$4*$J$5+[46]FormattedData!N64^2*$J$6+$M$5*$J$7</f>
        <v>31.553306281025058</v>
      </c>
      <c r="V27" s="39">
        <f>$J$3+[46]FormattedData!O64*$J$4+$M$4*$J$5+[46]FormattedData!O64^2*$J$6+$M$5*$J$7</f>
        <v>39.613618553185667</v>
      </c>
      <c r="W27" s="38">
        <f>AVERAGE(K27:V27)</f>
        <v>34.645611529346127</v>
      </c>
      <c r="X27" s="37">
        <f>STDEV(K27:V27)/SQRT(COUNT(K27:V27))</f>
        <v>0.82803453904191171</v>
      </c>
      <c r="Y27" s="36">
        <f>MIN(K27:V27)</f>
        <v>31.553306281025058</v>
      </c>
      <c r="Z27" s="35">
        <f>QUARTILE(K27:V27,1)</f>
        <v>32.035896004620732</v>
      </c>
      <c r="AA27" s="36">
        <f>MEDIAN(K27:V27)</f>
        <v>34.336856392997177</v>
      </c>
      <c r="AB27" s="35">
        <f>QUARTILE(K27:V27,3)</f>
        <v>36.283614349273847</v>
      </c>
      <c r="AC27" s="35">
        <f>MAX(K27:V27)</f>
        <v>39.613618553185667</v>
      </c>
      <c r="AD27" s="35">
        <f>SKEW(K27:V27)</f>
        <v>0.66520615963653129</v>
      </c>
      <c r="AE27" s="35">
        <f>KURT(K27:V27)</f>
        <v>-0.8456607011725974</v>
      </c>
    </row>
    <row r="28" spans="2:31" x14ac:dyDescent="0.2">
      <c r="B28" s="34">
        <f>[46]FormattedData!A66</f>
        <v>303</v>
      </c>
      <c r="C28" s="34" t="str">
        <f>VLOOKUP($B28,[46]TrtCodes!$B$11:I109,2)</f>
        <v>NSL</v>
      </c>
      <c r="D28" s="34">
        <f>VLOOKUP($B28,[46]TrtCodes!$B$11:J109,3)</f>
        <v>8</v>
      </c>
      <c r="E28" s="34">
        <f>VLOOKUP($B28,[46]TrtCodes!$B$11:K109,4)</f>
        <v>2</v>
      </c>
      <c r="F28" s="34">
        <f>VLOOKUP($B28,[46]TrtCodes!$B$11:L109,5)</f>
        <v>1</v>
      </c>
      <c r="G28" s="34">
        <f>VLOOKUP($B28,[46]TrtCodes!$B$11:M109,6)</f>
        <v>1</v>
      </c>
      <c r="H28" s="34">
        <f>VLOOKUP($B28,[46]TrtCodes!$B$11:N109,7)</f>
        <v>3</v>
      </c>
      <c r="I28" s="34">
        <f>[46]FormattedData!B66</f>
        <v>1</v>
      </c>
      <c r="J28" s="37">
        <f>[46]FormattedData!C66</f>
        <v>13.018000000000001</v>
      </c>
      <c r="K28" s="39">
        <f>$J$3+[46]FormattedData!D66*$J$4+$M$4*$J$5+[46]FormattedData!D66^2*$J$6+$M$5*$J$7</f>
        <v>51.262895137165899</v>
      </c>
      <c r="L28" s="39">
        <f>$J$3+[46]FormattedData!E66*$J$4+$M$4*$J$5+[46]FormattedData!E66^2*$J$6+$M$5*$J$7</f>
        <v>53.784887536420129</v>
      </c>
      <c r="M28" s="39">
        <f>$J$3+[46]FormattedData!F66*$J$4+$M$4*$J$5+[46]FormattedData!F66^2*$J$6+$M$5*$J$7</f>
        <v>51.437966897983429</v>
      </c>
      <c r="N28" s="39">
        <f>$J$3+[46]FormattedData!G66*$J$4+$M$4*$J$5+[46]FormattedData!G66^2*$J$6+$M$5*$J$7</f>
        <v>53.179385427813934</v>
      </c>
      <c r="O28" s="39">
        <f>$J$3+[46]FormattedData!H66*$J$4+$M$4*$J$5+[46]FormattedData!H66^2*$J$6+$M$5*$J$7</f>
        <v>51.787603197163335</v>
      </c>
      <c r="P28" s="39">
        <f>$J$3+[46]FormattedData!I66*$J$4+$M$4*$J$5+[46]FormattedData!I66^2*$J$6+$M$5*$J$7</f>
        <v>53.352597372962506</v>
      </c>
      <c r="Q28" s="39">
        <f>$J$3+[46]FormattedData!J66*$J$4+$M$4*$J$5+[46]FormattedData!J66^2*$J$6+$M$5*$J$7</f>
        <v>51.787603197163335</v>
      </c>
      <c r="R28" s="39">
        <f>$J$3+[46]FormattedData!K66*$J$4+$M$4*$J$5+[46]FormattedData!K66^2*$J$6+$M$5*$J$7</f>
        <v>53.698514040804461</v>
      </c>
      <c r="S28" s="39">
        <f>$J$3+[46]FormattedData!L66*$J$4+$M$4*$J$5+[46]FormattedData!L66^2*$J$6+$M$5*$J$7</f>
        <v>51.525439375585307</v>
      </c>
      <c r="T28" s="39">
        <f>$J$3+[46]FormattedData!M66*$J$4+$M$4*$J$5+[46]FormattedData!M66^2*$J$6+$M$5*$J$7</f>
        <v>53.439139942729888</v>
      </c>
      <c r="U28" s="39">
        <f>$J$3+[46]FormattedData!N66*$J$4+$M$4*$J$5+[46]FormattedData!N66^2*$J$6+$M$5*$J$7</f>
        <v>50.560917352378503</v>
      </c>
      <c r="V28" s="39">
        <f>$J$3+[46]FormattedData!O66*$J$4+$M$4*$J$5+[46]FormattedData!O66^2*$J$6+$M$5*$J$7</f>
        <v>53.352597372962506</v>
      </c>
      <c r="W28" s="38">
        <f>AVERAGE(K28:V28)</f>
        <v>52.430795570927764</v>
      </c>
      <c r="X28" s="37">
        <f>STDEV(K28:V28)/SQRT(COUNT(K28:V28))</f>
        <v>0.32810827030151535</v>
      </c>
      <c r="Y28" s="36">
        <f>MIN(K28:V28)</f>
        <v>50.560917352378503</v>
      </c>
      <c r="Z28" s="35">
        <f>QUARTILE(K28:V28,1)</f>
        <v>51.503571256184841</v>
      </c>
      <c r="AA28" s="36">
        <f>MEDIAN(K28:V28)</f>
        <v>52.483494312488631</v>
      </c>
      <c r="AB28" s="35">
        <f>QUARTILE(K28:V28,3)</f>
        <v>53.37423301540435</v>
      </c>
      <c r="AC28" s="35">
        <f>MAX(K28:V28)</f>
        <v>53.784887536420129</v>
      </c>
      <c r="AD28" s="35">
        <f>SKEW(K28:V28)</f>
        <v>-0.21191969992065202</v>
      </c>
      <c r="AE28" s="35">
        <f>KURT(K28:V28)</f>
        <v>-1.6909927560107434</v>
      </c>
    </row>
    <row r="29" spans="2:31" x14ac:dyDescent="0.2">
      <c r="B29" s="34">
        <f>[46]FormattedData!A68</f>
        <v>304</v>
      </c>
      <c r="C29" s="34" t="str">
        <f>VLOOKUP($B29,[46]TrtCodes!$B$11:I111,2)</f>
        <v>FSL</v>
      </c>
      <c r="D29" s="34">
        <f>VLOOKUP($B29,[46]TrtCodes!$B$11:J111,3)</f>
        <v>2</v>
      </c>
      <c r="E29" s="34">
        <f>VLOOKUP($B29,[46]TrtCodes!$B$11:K111,4)</f>
        <v>1</v>
      </c>
      <c r="F29" s="34">
        <f>VLOOKUP($B29,[46]TrtCodes!$B$11:L111,5)</f>
        <v>1</v>
      </c>
      <c r="G29" s="34">
        <f>VLOOKUP($B29,[46]TrtCodes!$B$11:M111,6)</f>
        <v>1</v>
      </c>
      <c r="H29" s="34">
        <f>VLOOKUP($B29,[46]TrtCodes!$B$11:N111,7)</f>
        <v>3</v>
      </c>
      <c r="I29" s="34">
        <f>[46]FormattedData!B68</f>
        <v>1</v>
      </c>
      <c r="J29" s="37">
        <f>[46]FormattedData!C68</f>
        <v>13.023</v>
      </c>
      <c r="K29" s="39">
        <f>$J$3+[46]FormattedData!D68*$J$4+$M$4*$J$5+[46]FormattedData!D68^2*$J$6+$M$5*$J$7</f>
        <v>30.681981860663178</v>
      </c>
      <c r="L29" s="39">
        <f>$J$3+[46]FormattedData!E68*$J$4+$M$4*$J$5+[46]FormattedData!E68^2*$J$6+$M$5*$J$7</f>
        <v>32.517429014768133</v>
      </c>
      <c r="M29" s="39">
        <f>$J$3+[46]FormattedData!F68*$J$4+$M$4*$J$5+[46]FormattedData!F68^2*$J$6+$M$5*$J$7</f>
        <v>31.456661530692127</v>
      </c>
      <c r="N29" s="39">
        <f>$J$3+[46]FormattedData!G68*$J$4+$M$4*$J$5+[46]FormattedData!G68^2*$J$6+$M$5*$J$7</f>
        <v>33.381525515143785</v>
      </c>
      <c r="O29" s="39">
        <f>$J$3+[46]FormattedData!H68*$J$4+$M$4*$J$5+[46]FormattedData!H68^2*$J$6+$M$5*$J$7</f>
        <v>34.051233532867364</v>
      </c>
      <c r="P29" s="39">
        <f>$J$3+[46]FormattedData!I68*$J$4+$M$4*$J$5+[46]FormattedData!I68^2*$J$6+$M$5*$J$7</f>
        <v>33.285683867031544</v>
      </c>
      <c r="Q29" s="39">
        <f>$J$3+[46]FormattedData!J68*$J$4+$M$4*$J$5+[46]FormattedData!J68^2*$J$6+$M$5*$J$7</f>
        <v>32.228636014293478</v>
      </c>
      <c r="R29" s="39">
        <f>$J$3+[46]FormattedData!K68*$J$4+$M$4*$J$5+[46]FormattedData!K68^2*$J$6+$M$5*$J$7</f>
        <v>35.099447261177822</v>
      </c>
      <c r="S29" s="39">
        <f>$J$3+[46]FormattedData!L68*$J$4+$M$4*$J$5+[46]FormattedData!L68^2*$J$6+$M$5*$J$7</f>
        <v>32.517429014768133</v>
      </c>
      <c r="T29" s="39">
        <f>$J$3+[46]FormattedData!M68*$J$4+$M$4*$J$5+[46]FormattedData!M68^2*$J$6+$M$5*$J$7</f>
        <v>33.285683867031544</v>
      </c>
      <c r="U29" s="39">
        <f>$J$3+[46]FormattedData!N68*$J$4+$M$4*$J$5+[46]FormattedData!N68^2*$J$6+$M$5*$J$7</f>
        <v>36.047930635886374</v>
      </c>
      <c r="V29" s="39">
        <f>$J$3+[46]FormattedData!O68*$J$4+$M$4*$J$5+[46]FormattedData!O68^2*$J$6+$M$5*$J$7</f>
        <v>37.274639876586789</v>
      </c>
      <c r="W29" s="38">
        <f>AVERAGE(K29:V29)</f>
        <v>33.485690165909183</v>
      </c>
      <c r="X29" s="37">
        <f>STDEV(K29:V29)/SQRT(COUNT(K29:V29))</f>
        <v>0.54612342253926549</v>
      </c>
      <c r="Y29" s="36">
        <f>MIN(K29:V29)</f>
        <v>30.681981860663178</v>
      </c>
      <c r="Z29" s="35">
        <f>QUARTILE(K29:V29,1)</f>
        <v>32.445230764649466</v>
      </c>
      <c r="AA29" s="36">
        <f>MEDIAN(K29:V29)</f>
        <v>33.285683867031544</v>
      </c>
      <c r="AB29" s="35">
        <f>QUARTILE(K29:V29,3)</f>
        <v>34.313286964944979</v>
      </c>
      <c r="AC29" s="35">
        <f>MAX(K29:V29)</f>
        <v>37.274639876586789</v>
      </c>
      <c r="AD29" s="35">
        <f>SKEW(K29:V29)</f>
        <v>0.66682953217074126</v>
      </c>
      <c r="AE29" s="35">
        <f>KURT(K29:V29)</f>
        <v>0.13794564096224082</v>
      </c>
    </row>
    <row r="30" spans="2:31" x14ac:dyDescent="0.2">
      <c r="B30" s="34">
        <f>[46]FormattedData!A70</f>
        <v>305</v>
      </c>
      <c r="C30" s="34" t="str">
        <f>VLOOKUP($B30,[46]TrtCodes!$B$11:I113,2)</f>
        <v>NDH</v>
      </c>
      <c r="D30" s="34">
        <f>VLOOKUP($B30,[46]TrtCodes!$B$11:J113,3)</f>
        <v>11</v>
      </c>
      <c r="E30" s="34">
        <f>VLOOKUP($B30,[46]TrtCodes!$B$11:K113,4)</f>
        <v>2</v>
      </c>
      <c r="F30" s="34">
        <f>VLOOKUP($B30,[46]TrtCodes!$B$11:L113,5)</f>
        <v>3</v>
      </c>
      <c r="G30" s="34">
        <f>VLOOKUP($B30,[46]TrtCodes!$B$11:M113,6)</f>
        <v>2</v>
      </c>
      <c r="H30" s="34">
        <f>VLOOKUP($B30,[46]TrtCodes!$B$11:N113,7)</f>
        <v>4</v>
      </c>
      <c r="I30" s="34">
        <f>[46]FormattedData!B70</f>
        <v>1</v>
      </c>
      <c r="J30" s="37">
        <f>[46]FormattedData!C70</f>
        <v>13.026999999999999</v>
      </c>
      <c r="K30" s="39">
        <f>$J$3+[46]FormattedData!D70*$J$4+$M$4*$J$5+[46]FormattedData!D70^2*$J$6+$M$5*$J$7</f>
        <v>48.794137699789317</v>
      </c>
      <c r="L30" s="39">
        <f>$J$3+[46]FormattedData!E70*$J$4+$M$4*$J$5+[46]FormattedData!E70^2*$J$6+$M$5*$J$7</f>
        <v>49.679640952980471</v>
      </c>
      <c r="M30" s="39">
        <f>$J$3+[46]FormattedData!F70*$J$4+$M$4*$J$5+[46]FormattedData!F70^2*$J$6+$M$5*$J$7</f>
        <v>49.679640952980471</v>
      </c>
      <c r="N30" s="39">
        <f>$J$3+[46]FormattedData!G70*$J$4+$M$4*$J$5+[46]FormattedData!G70^2*$J$6+$M$5*$J$7</f>
        <v>51.525439375585307</v>
      </c>
      <c r="O30" s="39">
        <f>$J$3+[46]FormattedData!H70*$J$4+$M$4*$J$5+[46]FormattedData!H70^2*$J$6+$M$5*$J$7</f>
        <v>48.705354897511583</v>
      </c>
      <c r="P30" s="39">
        <f>$J$3+[46]FormattedData!I70*$J$4+$M$4*$J$5+[46]FormattedData!I70^2*$J$6+$M$5*$J$7</f>
        <v>51.437966897983429</v>
      </c>
      <c r="Q30" s="39">
        <f>$J$3+[46]FormattedData!J70*$J$4+$M$4*$J$5+[46]FormattedData!J70^2*$J$6+$M$5*$J$7</f>
        <v>50.296978252207374</v>
      </c>
      <c r="R30" s="39">
        <f>$J$3+[46]FormattedData!K70*$J$4+$M$4*$J$5+[46]FormattedData!K70^2*$J$6+$M$5*$J$7</f>
        <v>51.962167735525696</v>
      </c>
      <c r="S30" s="39">
        <f>$J$3+[46]FormattedData!L70*$J$4+$M$4*$J$5+[46]FormattedData!L70^2*$J$6+$M$5*$J$7</f>
        <v>50.120807509403626</v>
      </c>
      <c r="T30" s="39">
        <f>$J$3+[46]FormattedData!M70*$J$4+$M$4*$J$5+[46]FormattedData!M70^2*$J$6+$M$5*$J$7</f>
        <v>48.971576498730997</v>
      </c>
      <c r="U30" s="39">
        <f>$J$3+[46]FormattedData!N70*$J$4+$M$4*$J$5+[46]FormattedData!N70^2*$J$6+$M$5*$J$7</f>
        <v>49.325946874159179</v>
      </c>
      <c r="V30" s="39">
        <f>$J$3+[46]FormattedData!O70*$J$4+$M$4*$J$5+[46]FormattedData!O70^2*$J$6+$M$5*$J$7</f>
        <v>50.032658735194858</v>
      </c>
      <c r="W30" s="38">
        <f>AVERAGE(K30:V30)</f>
        <v>50.044359698504365</v>
      </c>
      <c r="X30" s="37">
        <f>STDEV(K30:V30)/SQRT(COUNT(K30:V30))</f>
        <v>0.3158985767771782</v>
      </c>
      <c r="Y30" s="36">
        <f>MIN(K30:V30)</f>
        <v>48.705354897511583</v>
      </c>
      <c r="Z30" s="35">
        <f>QUARTILE(K30:V30,1)</f>
        <v>49.237354280302135</v>
      </c>
      <c r="AA30" s="36">
        <f>MEDIAN(K30:V30)</f>
        <v>49.856149844087668</v>
      </c>
      <c r="AB30" s="35">
        <f>QUARTILE(K30:V30,3)</f>
        <v>50.582225413651386</v>
      </c>
      <c r="AC30" s="35">
        <f>MAX(K30:V30)</f>
        <v>51.962167735525696</v>
      </c>
      <c r="AD30" s="35">
        <f>SKEW(K30:V30)</f>
        <v>0.580101820339745</v>
      </c>
      <c r="AE30" s="35">
        <f>KURT(K30:V30)</f>
        <v>-0.80278710513273044</v>
      </c>
    </row>
    <row r="31" spans="2:31" x14ac:dyDescent="0.2">
      <c r="B31" s="34">
        <f>[46]FormattedData!A72</f>
        <v>306</v>
      </c>
      <c r="C31" s="34" t="str">
        <f>VLOOKUP($B31,[46]TrtCodes!$B$11:I115,2)</f>
        <v>FTL</v>
      </c>
      <c r="D31" s="34">
        <f>VLOOKUP($B31,[46]TrtCodes!$B$11:J115,3)</f>
        <v>4</v>
      </c>
      <c r="E31" s="34">
        <f>VLOOKUP($B31,[46]TrtCodes!$B$11:K115,4)</f>
        <v>1</v>
      </c>
      <c r="F31" s="34">
        <f>VLOOKUP($B31,[46]TrtCodes!$B$11:L115,5)</f>
        <v>2</v>
      </c>
      <c r="G31" s="34">
        <f>VLOOKUP($B31,[46]TrtCodes!$B$11:M115,6)</f>
        <v>1</v>
      </c>
      <c r="H31" s="34">
        <f>VLOOKUP($B31,[46]TrtCodes!$B$11:N115,7)</f>
        <v>4</v>
      </c>
      <c r="I31" s="34">
        <f>[46]FormattedData!B72</f>
        <v>1</v>
      </c>
      <c r="J31" s="37">
        <f>[46]FormattedData!C72</f>
        <v>13.032</v>
      </c>
      <c r="K31" s="39">
        <f>$J$3+[46]FormattedData!D72*$J$4+$M$4*$J$5+[46]FormattedData!D72^2*$J$6+$M$5*$J$7</f>
        <v>32.901894589203287</v>
      </c>
      <c r="L31" s="39">
        <f>$J$3+[46]FormattedData!E72*$J$4+$M$4*$J$5+[46]FormattedData!E72^2*$J$6+$M$5*$J$7</f>
        <v>35.099447261177822</v>
      </c>
      <c r="M31" s="39">
        <f>$J$3+[46]FormattedData!F72*$J$4+$M$4*$J$5+[46]FormattedData!F72^2*$J$6+$M$5*$J$7</f>
        <v>33.189799950381378</v>
      </c>
      <c r="N31" s="39">
        <f>$J$3+[46]FormattedData!G72*$J$4+$M$4*$J$5+[46]FormattedData!G72^2*$J$6+$M$5*$J$7</f>
        <v>35.384436093238669</v>
      </c>
      <c r="O31" s="39">
        <f>$J$3+[46]FormattedData!H72*$J$4+$M$4*$J$5+[46]FormattedData!H72^2*$J$6+$M$5*$J$7</f>
        <v>33.189799950381378</v>
      </c>
      <c r="P31" s="39">
        <f>$J$3+[46]FormattedData!I72*$J$4+$M$4*$J$5+[46]FormattedData!I72^2*$J$6+$M$5*$J$7</f>
        <v>36.614991770890811</v>
      </c>
      <c r="Q31" s="39">
        <f>$J$3+[46]FormattedData!J72*$J$4+$M$4*$J$5+[46]FormattedData!J72^2*$J$6+$M$5*$J$7</f>
        <v>31.939462596977464</v>
      </c>
      <c r="R31" s="39">
        <f>$J$3+[46]FormattedData!K72*$J$4+$M$4*$J$5+[46]FormattedData!K72^2*$J$6+$M$5*$J$7</f>
        <v>35.479347833516414</v>
      </c>
      <c r="S31" s="39">
        <f>$J$3+[46]FormattedData!L72*$J$4+$M$4*$J$5+[46]FormattedData!L72^2*$J$6+$M$5*$J$7</f>
        <v>32.805841598401393</v>
      </c>
      <c r="T31" s="39">
        <f>$J$3+[46]FormattedData!M72*$J$4+$M$4*$J$5+[46]FormattedData!M72^2*$J$6+$M$5*$J$7</f>
        <v>35.194485807069363</v>
      </c>
      <c r="U31" s="39">
        <f>$J$3+[46]FormattedData!N72*$J$4+$M$4*$J$5+[46]FormattedData!N72^2*$J$6+$M$5*$J$7</f>
        <v>32.228636014293478</v>
      </c>
      <c r="V31" s="39">
        <f>$J$3+[46]FormattedData!O72*$J$4+$M$4*$J$5+[46]FormattedData!O72^2*$J$6+$M$5*$J$7</f>
        <v>35.194485807069363</v>
      </c>
      <c r="W31" s="38">
        <f>AVERAGE(K31:V31)</f>
        <v>34.101885772716741</v>
      </c>
      <c r="X31" s="37">
        <f>STDEV(K31:V31)/SQRT(COUNT(K31:V31))</f>
        <v>0.44559601293687412</v>
      </c>
      <c r="Y31" s="36">
        <f>MIN(K31:V31)</f>
        <v>31.939462596977464</v>
      </c>
      <c r="Z31" s="35">
        <f>QUARTILE(K31:V31,1)</f>
        <v>32.877881341502814</v>
      </c>
      <c r="AA31" s="36">
        <f>MEDIAN(K31:V31)</f>
        <v>34.1446236057796</v>
      </c>
      <c r="AB31" s="35">
        <f>QUARTILE(K31:V31,3)</f>
        <v>35.241973378611689</v>
      </c>
      <c r="AC31" s="35">
        <f>MAX(K31:V31)</f>
        <v>36.614991770890811</v>
      </c>
      <c r="AD31" s="35">
        <f>SKEW(K31:V31)</f>
        <v>6.1968074209648095E-2</v>
      </c>
      <c r="AE31" s="35">
        <f>KURT(K31:V31)</f>
        <v>-1.5215853090638833</v>
      </c>
    </row>
    <row r="32" spans="2:31" x14ac:dyDescent="0.2">
      <c r="B32" s="34">
        <f>[46]FormattedData!A74</f>
        <v>307</v>
      </c>
      <c r="C32" s="34" t="str">
        <f>VLOOKUP($B32,[46]TrtCodes!$B$11:I117,2)</f>
        <v>NTH</v>
      </c>
      <c r="D32" s="34">
        <f>VLOOKUP($B32,[46]TrtCodes!$B$11:J117,3)</f>
        <v>9</v>
      </c>
      <c r="E32" s="34">
        <f>VLOOKUP($B32,[46]TrtCodes!$B$11:K117,4)</f>
        <v>2</v>
      </c>
      <c r="F32" s="34">
        <f>VLOOKUP($B32,[46]TrtCodes!$B$11:L117,5)</f>
        <v>2</v>
      </c>
      <c r="G32" s="34">
        <f>VLOOKUP($B32,[46]TrtCodes!$B$11:M117,6)</f>
        <v>2</v>
      </c>
      <c r="H32" s="34">
        <f>VLOOKUP($B32,[46]TrtCodes!$B$11:N117,7)</f>
        <v>4</v>
      </c>
      <c r="I32" s="34">
        <f>[46]FormattedData!B74</f>
        <v>1</v>
      </c>
      <c r="J32" s="37">
        <f>[46]FormattedData!C74</f>
        <v>13.037000000000001</v>
      </c>
      <c r="K32" s="39">
        <f>$J$3+[46]FormattedData!D74*$J$4+$M$4*$J$5+[46]FormattedData!D74^2*$J$6+$M$5*$J$7</f>
        <v>33.66879684825291</v>
      </c>
      <c r="L32" s="39">
        <f>$J$3+[46]FormattedData!E74*$J$4+$M$4*$J$5+[46]FormattedData!E74^2*$J$6+$M$5*$J$7</f>
        <v>37.368706246105916</v>
      </c>
      <c r="M32" s="39">
        <f>$J$3+[46]FormattedData!F74*$J$4+$M$4*$J$5+[46]FormattedData!F74^2*$J$6+$M$5*$J$7</f>
        <v>33.477324894718087</v>
      </c>
      <c r="N32" s="39">
        <f>$J$3+[46]FormattedData!G74*$J$4+$M$4*$J$5+[46]FormattedData!G74^2*$J$6+$M$5*$J$7</f>
        <v>38.400646587312878</v>
      </c>
      <c r="O32" s="39">
        <f>$J$3+[46]FormattedData!H74*$J$4+$M$4*$J$5+[46]FormattedData!H74^2*$J$6+$M$5*$J$7</f>
        <v>33.66879684825291</v>
      </c>
      <c r="P32" s="39">
        <f>$J$3+[46]FormattedData!I74*$J$4+$M$4*$J$5+[46]FormattedData!I74^2*$J$6+$M$5*$J$7</f>
        <v>36.331651411809283</v>
      </c>
      <c r="Q32" s="39">
        <f>$J$3+[46]FormattedData!J74*$J$4+$M$4*$J$5+[46]FormattedData!J74^2*$J$6+$M$5*$J$7</f>
        <v>34.528328346531993</v>
      </c>
      <c r="R32" s="39">
        <f>$J$3+[46]FormattedData!K74*$J$4+$M$4*$J$5+[46]FormattedData!K74^2*$J$6+$M$5*$J$7</f>
        <v>35.384436093238669</v>
      </c>
      <c r="S32" s="39">
        <f>$J$3+[46]FormattedData!L74*$J$4+$M$4*$J$5+[46]FormattedData!L74^2*$J$6+$M$5*$J$7</f>
        <v>32.517429014768133</v>
      </c>
      <c r="T32" s="39">
        <f>$J$3+[46]FormattedData!M74*$J$4+$M$4*$J$5+[46]FormattedData!M74^2*$J$6+$M$5*$J$7</f>
        <v>34.051233532867364</v>
      </c>
      <c r="U32" s="39">
        <f>$J$3+[46]FormattedData!N74*$J$4+$M$4*$J$5+[46]FormattedData!N74^2*$J$6+$M$5*$J$7</f>
        <v>32.421206949814518</v>
      </c>
      <c r="V32" s="39">
        <f>$J$3+[46]FormattedData!O74*$J$4+$M$4*$J$5+[46]FormattedData!O74^2*$J$6+$M$5*$J$7</f>
        <v>32.613608811183816</v>
      </c>
      <c r="W32" s="38">
        <f>AVERAGE(K32:V32)</f>
        <v>34.53601379873804</v>
      </c>
      <c r="X32" s="37">
        <f>STDEV(K32:V32)/SQRT(COUNT(K32:V32))</f>
        <v>0.56411921854064828</v>
      </c>
      <c r="Y32" s="36">
        <f>MIN(K32:V32)</f>
        <v>32.421206949814518</v>
      </c>
      <c r="Z32" s="35">
        <f>QUARTILE(K32:V32,1)</f>
        <v>33.261395873834516</v>
      </c>
      <c r="AA32" s="36">
        <f>MEDIAN(K32:V32)</f>
        <v>33.860015190560134</v>
      </c>
      <c r="AB32" s="35">
        <f>QUARTILE(K32:V32,3)</f>
        <v>35.621239922881323</v>
      </c>
      <c r="AC32" s="35">
        <f>MAX(K32:V32)</f>
        <v>38.400646587312878</v>
      </c>
      <c r="AD32" s="35">
        <f>SKEW(K32:V32)</f>
        <v>0.8691789707331018</v>
      </c>
      <c r="AE32" s="35">
        <f>KURT(K32:V32)</f>
        <v>-0.23982778103278202</v>
      </c>
    </row>
    <row r="33" spans="2:31" x14ac:dyDescent="0.2">
      <c r="B33" s="34">
        <f>[46]FormattedData!A76</f>
        <v>308</v>
      </c>
      <c r="C33" s="34" t="str">
        <f>VLOOKUP($B33,[46]TrtCodes!$B$11:I119,2)</f>
        <v>FDH</v>
      </c>
      <c r="D33" s="34">
        <f>VLOOKUP($B33,[46]TrtCodes!$B$11:J119,3)</f>
        <v>5</v>
      </c>
      <c r="E33" s="34">
        <f>VLOOKUP($B33,[46]TrtCodes!$B$11:K119,4)</f>
        <v>1</v>
      </c>
      <c r="F33" s="34">
        <f>VLOOKUP($B33,[46]TrtCodes!$B$11:L119,5)</f>
        <v>3</v>
      </c>
      <c r="G33" s="34">
        <f>VLOOKUP($B33,[46]TrtCodes!$B$11:M119,6)</f>
        <v>2</v>
      </c>
      <c r="H33" s="34">
        <f>VLOOKUP($B33,[46]TrtCodes!$B$11:N119,7)</f>
        <v>4</v>
      </c>
      <c r="I33" s="34">
        <f>[46]FormattedData!B76</f>
        <v>1</v>
      </c>
      <c r="J33" s="37">
        <f>[46]FormattedData!C76</f>
        <v>13.042</v>
      </c>
      <c r="K33" s="39">
        <f>$J$3+[46]FormattedData!D76*$J$4+$M$4*$J$5+[46]FormattedData!D76^2*$J$6+$M$5*$J$7</f>
        <v>35.574217305256234</v>
      </c>
      <c r="L33" s="39">
        <f>$J$3+[46]FormattedData!E76*$J$4+$M$4*$J$5+[46]FormattedData!E76^2*$J$6+$M$5*$J$7</f>
        <v>35.004366446748342</v>
      </c>
      <c r="M33" s="39">
        <f>$J$3+[46]FormattedData!F76*$J$4+$M$4*$J$5+[46]FormattedData!F76^2*$J$6+$M$5*$J$7</f>
        <v>33.285683867031544</v>
      </c>
      <c r="N33" s="39">
        <f>$J$3+[46]FormattedData!G76*$J$4+$M$4*$J$5+[46]FormattedData!G76^2*$J$6+$M$5*$J$7</f>
        <v>34.528328346531993</v>
      </c>
      <c r="O33" s="39">
        <f>$J$3+[46]FormattedData!H76*$J$4+$M$4*$J$5+[46]FormattedData!H76^2*$J$6+$M$5*$J$7</f>
        <v>32.613608811183816</v>
      </c>
      <c r="P33" s="39">
        <f>$J$3+[46]FormattedData!I76*$J$4+$M$4*$J$5+[46]FormattedData!I76^2*$J$6+$M$5*$J$7</f>
        <v>36.237120088372912</v>
      </c>
      <c r="Q33" s="39">
        <f>$J$3+[46]FormattedData!J76*$J$4+$M$4*$J$5+[46]FormattedData!J76^2*$J$6+$M$5*$J$7</f>
        <v>33.285683867031544</v>
      </c>
      <c r="R33" s="39">
        <f>$J$3+[46]FormattedData!K76*$J$4+$M$4*$J$5+[46]FormattedData!K76^2*$J$6+$M$5*$J$7</f>
        <v>36.709354020175454</v>
      </c>
      <c r="S33" s="39">
        <f>$J$3+[46]FormattedData!L76*$J$4+$M$4*$J$5+[46]FormattedData!L76^2*$J$6+$M$5*$J$7</f>
        <v>33.66879684825291</v>
      </c>
      <c r="T33" s="39">
        <f>$J$3+[46]FormattedData!M76*$J$4+$M$4*$J$5+[46]FormattedData!M76^2*$J$6+$M$5*$J$7</f>
        <v>36.142546496398609</v>
      </c>
      <c r="U33" s="39">
        <f>$J$3+[46]FormattedData!N76*$J$4+$M$4*$J$5+[46]FormattedData!N76^2*$J$6+$M$5*$J$7</f>
        <v>33.573082005754458</v>
      </c>
      <c r="V33" s="39">
        <f>$J$3+[46]FormattedData!O76*$J$4+$M$4*$J$5+[46]FormattedData!O76^2*$J$6+$M$5*$J$7</f>
        <v>32.901894589203287</v>
      </c>
      <c r="W33" s="38">
        <f>AVERAGE(K33:V33)</f>
        <v>34.460390224328421</v>
      </c>
      <c r="X33" s="37">
        <f>STDEV(K33:V33)/SQRT(COUNT(K33:V33))</f>
        <v>0.41376605165129682</v>
      </c>
      <c r="Y33" s="36">
        <f>MIN(K33:V33)</f>
        <v>32.613608811183816</v>
      </c>
      <c r="Z33" s="35">
        <f>QUARTILE(K33:V33,1)</f>
        <v>33.285683867031544</v>
      </c>
      <c r="AA33" s="36">
        <f>MEDIAN(K33:V33)</f>
        <v>34.098562597392451</v>
      </c>
      <c r="AB33" s="35">
        <f>QUARTILE(K33:V33,3)</f>
        <v>35.716299603041826</v>
      </c>
      <c r="AC33" s="35">
        <f>MAX(K33:V33)</f>
        <v>36.709354020175454</v>
      </c>
      <c r="AD33" s="35">
        <f>SKEW(K33:V33)</f>
        <v>0.3247497967050717</v>
      </c>
      <c r="AE33" s="35">
        <f>KURT(K33:V33)</f>
        <v>-1.5120280720475492</v>
      </c>
    </row>
    <row r="34" spans="2:31" x14ac:dyDescent="0.2">
      <c r="B34" s="34">
        <f>[46]FormattedData!A92</f>
        <v>401</v>
      </c>
      <c r="C34" s="34" t="str">
        <f>VLOOKUP($B34,[46]TrtCodes!$B$11:I129,2)</f>
        <v>NSH</v>
      </c>
      <c r="D34" s="34">
        <f>VLOOKUP($B34,[46]TrtCodes!$B$11:J129,3)</f>
        <v>7</v>
      </c>
      <c r="E34" s="34">
        <f>VLOOKUP($B34,[46]TrtCodes!$B$11:K129,4)</f>
        <v>2</v>
      </c>
      <c r="F34" s="34">
        <f>VLOOKUP($B34,[46]TrtCodes!$B$11:L129,5)</f>
        <v>1</v>
      </c>
      <c r="G34" s="34">
        <f>VLOOKUP($B34,[46]TrtCodes!$B$11:M129,6)</f>
        <v>2</v>
      </c>
      <c r="H34" s="34">
        <f>VLOOKUP($B34,[46]TrtCodes!$B$11:N129,7)</f>
        <v>3</v>
      </c>
      <c r="I34" s="34">
        <f>[46]FormattedData!B92</f>
        <v>1</v>
      </c>
      <c r="J34" s="37">
        <f>[46]FormattedData!C92</f>
        <v>13.114000000000001</v>
      </c>
      <c r="K34" s="39">
        <f>$J$3+[46]FormattedData!D92*$J$4+$M$4*$J$5+[46]FormattedData!D92^2*$J$6+$M$5*$J$7</f>
        <v>52.484846905702426</v>
      </c>
      <c r="L34" s="39">
        <f>$J$3+[46]FormattedData!E92*$J$4+$M$4*$J$5+[46]FormattedData!E92^2*$J$6+$M$5*$J$7</f>
        <v>53.179385427813934</v>
      </c>
      <c r="M34" s="39">
        <f>$J$3+[46]FormattedData!F92*$J$4+$M$4*$J$5+[46]FormattedData!F92^2*$J$6+$M$5*$J$7</f>
        <v>51.437966897983429</v>
      </c>
      <c r="N34" s="39">
        <f>$J$3+[46]FormattedData!G92*$J$4+$M$4*$J$5+[46]FormattedData!G92^2*$J$6+$M$5*$J$7</f>
        <v>52.832454315061632</v>
      </c>
      <c r="O34" s="39">
        <f>$J$3+[46]FormattedData!H92*$J$4+$M$4*$J$5+[46]FormattedData!H92^2*$J$6+$M$5*$J$7</f>
        <v>50.999970481905109</v>
      </c>
      <c r="P34" s="39">
        <f>$J$3+[46]FormattedData!I92*$J$4+$M$4*$J$5+[46]FormattedData!I92^2*$J$6+$M$5*$J$7</f>
        <v>53.525640243959351</v>
      </c>
      <c r="Q34" s="39">
        <f>$J$3+[46]FormattedData!J92*$J$4+$M$4*$J$5+[46]FormattedData!J92^2*$J$6+$M$5*$J$7</f>
        <v>51.262895137165899</v>
      </c>
      <c r="R34" s="39">
        <f>$J$3+[46]FormattedData!K92*$J$4+$M$4*$J$5+[46]FormattedData!K92^2*$J$6+$M$5*$J$7</f>
        <v>53.871218763497851</v>
      </c>
      <c r="S34" s="39">
        <f>$J$3+[46]FormattedData!L92*$J$4+$M$4*$J$5+[46]FormattedData!L92^2*$J$6+$M$5*$J$7</f>
        <v>51.437966897983429</v>
      </c>
      <c r="T34" s="39">
        <f>$J$3+[46]FormattedData!M92*$J$4+$M$4*$J$5+[46]FormattedData!M92^2*$J$6+$M$5*$J$7</f>
        <v>53.871218763497851</v>
      </c>
      <c r="U34" s="39">
        <f>$J$3+[46]FormattedData!N92*$J$4+$M$4*$J$5+[46]FormattedData!N92^2*$J$6+$M$5*$J$7</f>
        <v>50.472979920859395</v>
      </c>
      <c r="V34" s="39">
        <f>$J$3+[46]FormattedData!O92*$J$4+$M$4*$J$5+[46]FormattedData!O92^2*$J$6+$M$5*$J$7</f>
        <v>53.698514040804461</v>
      </c>
      <c r="W34" s="38">
        <f>AVERAGE(K34:V34)</f>
        <v>52.422921483019564</v>
      </c>
      <c r="X34" s="37">
        <f>STDEV(K34:V34)/SQRT(COUNT(K34:V34))</f>
        <v>0.35776069645412967</v>
      </c>
      <c r="Y34" s="36">
        <f>MIN(K34:V34)</f>
        <v>50.472979920859395</v>
      </c>
      <c r="Z34" s="35">
        <f>QUARTILE(K34:V34,1)</f>
        <v>51.394198957779047</v>
      </c>
      <c r="AA34" s="36">
        <f>MEDIAN(K34:V34)</f>
        <v>52.658650610382026</v>
      </c>
      <c r="AB34" s="35">
        <f>QUARTILE(K34:V34,3)</f>
        <v>53.568858693170625</v>
      </c>
      <c r="AC34" s="35">
        <f>MAX(K34:V34)</f>
        <v>53.871218763497851</v>
      </c>
      <c r="AD34" s="35">
        <f>SKEW(K34:V34)</f>
        <v>-0.21625851967089366</v>
      </c>
      <c r="AE34" s="35">
        <f>KURT(K34:V34)</f>
        <v>-1.6599364588238137</v>
      </c>
    </row>
    <row r="35" spans="2:31" x14ac:dyDescent="0.2">
      <c r="B35" s="34">
        <f>[46]FormattedData!A90</f>
        <v>402</v>
      </c>
      <c r="C35" s="34" t="str">
        <f>VLOOKUP($B35,[46]TrtCodes!$B$11:I130,2)</f>
        <v>NTH</v>
      </c>
      <c r="D35" s="34">
        <f>VLOOKUP($B35,[46]TrtCodes!$B$11:J130,3)</f>
        <v>9</v>
      </c>
      <c r="E35" s="34">
        <f>VLOOKUP($B35,[46]TrtCodes!$B$11:K130,4)</f>
        <v>2</v>
      </c>
      <c r="F35" s="34">
        <f>VLOOKUP($B35,[46]TrtCodes!$B$11:L130,5)</f>
        <v>2</v>
      </c>
      <c r="G35" s="34">
        <f>VLOOKUP($B35,[46]TrtCodes!$B$11:M130,6)</f>
        <v>2</v>
      </c>
      <c r="H35" s="34">
        <f>VLOOKUP($B35,[46]TrtCodes!$B$11:N130,7)</f>
        <v>3</v>
      </c>
      <c r="I35" s="34">
        <f>[46]FormattedData!B90</f>
        <v>1</v>
      </c>
      <c r="J35" s="37">
        <f>[46]FormattedData!C90</f>
        <v>13.105</v>
      </c>
      <c r="K35" s="39">
        <f>$J$3+[46]FormattedData!D90*$J$4+$M$4*$J$5+[46]FormattedData!D90^2*$J$6+$M$5*$J$7</f>
        <v>34.146737032676157</v>
      </c>
      <c r="L35" s="39">
        <f>$J$3+[46]FormattedData!E90*$J$4+$M$4*$J$5+[46]FormattedData!E90^2*$J$6+$M$5*$J$7</f>
        <v>36.709354020175454</v>
      </c>
      <c r="M35" s="39">
        <f>$J$3+[46]FormattedData!F90*$J$4+$M$4*$J$5+[46]FormattedData!F90^2*$J$6+$M$5*$J$7</f>
        <v>32.324942616322964</v>
      </c>
      <c r="N35" s="39">
        <f>$J$3+[46]FormattedData!G90*$J$4+$M$4*$J$5+[46]FormattedData!G90^2*$J$6+$M$5*$J$7</f>
        <v>35.9532725068362</v>
      </c>
      <c r="O35" s="39">
        <f>$J$3+[46]FormattedData!H90*$J$4+$M$4*$J$5+[46]FormattedData!H90^2*$J$6+$M$5*$J$7</f>
        <v>31.746468976077118</v>
      </c>
      <c r="P35" s="39">
        <f>$J$3+[46]FormattedData!I90*$J$4+$M$4*$J$5+[46]FormattedData!I90^2*$J$6+$M$5*$J$7</f>
        <v>35.099447261177822</v>
      </c>
      <c r="Q35" s="39">
        <f>$J$3+[46]FormattedData!J90*$J$4+$M$4*$J$5+[46]FormattedData!J90^2*$J$6+$M$5*$J$7</f>
        <v>31.746468976077118</v>
      </c>
      <c r="R35" s="39">
        <f>$J$3+[46]FormattedData!K90*$J$4+$M$4*$J$5+[46]FormattedData!K90^2*$J$6+$M$5*$J$7</f>
        <v>33.573082005754458</v>
      </c>
      <c r="S35" s="39">
        <f>$J$3+[46]FormattedData!L90*$J$4+$M$4*$J$5+[46]FormattedData!L90^2*$J$6+$M$5*$J$7</f>
        <v>31.553306281025058</v>
      </c>
      <c r="T35" s="39">
        <f>$J$3+[46]FormattedData!M90*$J$4+$M$4*$J$5+[46]FormattedData!M90^2*$J$6+$M$5*$J$7</f>
        <v>33.09387376519328</v>
      </c>
      <c r="U35" s="39">
        <f>$J$3+[46]FormattedData!N90*$J$4+$M$4*$J$5+[46]FormattedData!N90^2*$J$6+$M$5*$J$7</f>
        <v>32.035896004620732</v>
      </c>
      <c r="V35" s="39">
        <f>$J$3+[46]FormattedData!O90*$J$4+$M$4*$J$5+[46]FormattedData!O90^2*$J$6+$M$5*$J$7</f>
        <v>33.764469422213416</v>
      </c>
      <c r="W35" s="38">
        <f>AVERAGE(K35:V35)</f>
        <v>33.478943239012487</v>
      </c>
      <c r="X35" s="37">
        <f>STDEV(K35:V35)/SQRT(COUNT(K35:V35))</f>
        <v>0.49995167479364855</v>
      </c>
      <c r="Y35" s="36">
        <f>MIN(K35:V35)</f>
        <v>31.553306281025058</v>
      </c>
      <c r="Z35" s="35">
        <f>QUARTILE(K35:V35,1)</f>
        <v>31.963539247484828</v>
      </c>
      <c r="AA35" s="36">
        <f>MEDIAN(K35:V35)</f>
        <v>33.333477885473869</v>
      </c>
      <c r="AB35" s="35">
        <f>QUARTILE(K35:V35,3)</f>
        <v>34.384914589801575</v>
      </c>
      <c r="AC35" s="35">
        <f>MAX(K35:V35)</f>
        <v>36.709354020175454</v>
      </c>
      <c r="AD35" s="35">
        <f>SKEW(K35:V35)</f>
        <v>0.65727636135324097</v>
      </c>
      <c r="AE35" s="35">
        <f>KURT(K35:V35)</f>
        <v>-0.68120157019551231</v>
      </c>
    </row>
    <row r="36" spans="2:31" x14ac:dyDescent="0.2">
      <c r="B36" s="34">
        <f>[46]FormattedData!A88</f>
        <v>403</v>
      </c>
      <c r="C36" s="34" t="str">
        <f>VLOOKUP($B36,[46]TrtCodes!$B$11:I131,2)</f>
        <v>FDL</v>
      </c>
      <c r="D36" s="34">
        <f>VLOOKUP($B36,[46]TrtCodes!$B$11:J131,3)</f>
        <v>6</v>
      </c>
      <c r="E36" s="34">
        <f>VLOOKUP($B36,[46]TrtCodes!$B$11:K131,4)</f>
        <v>1</v>
      </c>
      <c r="F36" s="34">
        <f>VLOOKUP($B36,[46]TrtCodes!$B$11:L131,5)</f>
        <v>3</v>
      </c>
      <c r="G36" s="34">
        <f>VLOOKUP($B36,[46]TrtCodes!$B$11:M131,6)</f>
        <v>1</v>
      </c>
      <c r="H36" s="34">
        <f>VLOOKUP($B36,[46]TrtCodes!$B$11:N131,7)</f>
        <v>3</v>
      </c>
      <c r="I36" s="34">
        <f>[46]FormattedData!B88</f>
        <v>1</v>
      </c>
      <c r="J36" s="37">
        <f>[46]FormattedData!C88</f>
        <v>13.097</v>
      </c>
      <c r="K36" s="39">
        <f>$J$3+[46]FormattedData!D88*$J$4+$M$4*$J$5+[46]FormattedData!D88^2*$J$6+$M$5*$J$7</f>
        <v>33.860099727636005</v>
      </c>
      <c r="L36" s="39">
        <f>$J$3+[46]FormattedData!E88*$J$4+$M$4*$J$5+[46]FormattedData!E88^2*$J$6+$M$5*$J$7</f>
        <v>35.858572109248115</v>
      </c>
      <c r="M36" s="39">
        <f>$J$3+[46]FormattedData!F88*$J$4+$M$4*$J$5+[46]FormattedData!F88^2*$J$6+$M$5*$J$7</f>
        <v>31.939462596977464</v>
      </c>
      <c r="N36" s="39">
        <f>$J$3+[46]FormattedData!G88*$J$4+$M$4*$J$5+[46]FormattedData!G88^2*$J$6+$M$5*$J$7</f>
        <v>33.764469422213416</v>
      </c>
      <c r="O36" s="39">
        <f>$J$3+[46]FormattedData!H88*$J$4+$M$4*$J$5+[46]FormattedData!H88^2*$J$6+$M$5*$J$7</f>
        <v>33.189799950381378</v>
      </c>
      <c r="P36" s="39">
        <f>$J$3+[46]FormattedData!I88*$J$4+$M$4*$J$5+[46]FormattedData!I88^2*$J$6+$M$5*$J$7</f>
        <v>30.39077955352646</v>
      </c>
      <c r="Q36" s="39">
        <f>$J$3+[46]FormattedData!J88*$J$4+$M$4*$J$5+[46]FormattedData!J88^2*$J$6+$M$5*$J$7</f>
        <v>32.99790531146725</v>
      </c>
      <c r="R36" s="39">
        <f>$J$3+[46]FormattedData!K88*$J$4+$M$4*$J$5+[46]FormattedData!K88^2*$J$6+$M$5*$J$7</f>
        <v>31.069659843981096</v>
      </c>
      <c r="S36" s="39">
        <f>$J$3+[46]FormattedData!L88*$J$4+$M$4*$J$5+[46]FormattedData!L88^2*$J$6+$M$5*$J$7</f>
        <v>32.517429014768133</v>
      </c>
      <c r="T36" s="39">
        <f>$J$3+[46]FormattedData!M88*$J$4+$M$4*$J$5+[46]FormattedData!M88^2*$J$6+$M$5*$J$7</f>
        <v>32.709746339061567</v>
      </c>
      <c r="U36" s="39">
        <f>$J$3+[46]FormattedData!N88*$J$4+$M$4*$J$5+[46]FormattedData!N88^2*$J$6+$M$5*$J$7</f>
        <v>34.146737032676157</v>
      </c>
      <c r="V36" s="39">
        <f>$J$3+[46]FormattedData!O88*$J$4+$M$4*$J$5+[46]FormattedData!O88^2*$J$6+$M$5*$J$7</f>
        <v>31.649908762820054</v>
      </c>
      <c r="W36" s="38">
        <f>AVERAGE(K36:V36)</f>
        <v>32.841214138729761</v>
      </c>
      <c r="X36" s="37">
        <f>STDEV(K36:V36)/SQRT(COUNT(K36:V36))</f>
        <v>0.4294371819559219</v>
      </c>
      <c r="Y36" s="36">
        <f>MIN(K36:V36)</f>
        <v>30.39077955352646</v>
      </c>
      <c r="Z36" s="35">
        <f>QUARTILE(K36:V36,1)</f>
        <v>31.867074138438113</v>
      </c>
      <c r="AA36" s="36">
        <f>MEDIAN(K36:V36)</f>
        <v>32.853825825264408</v>
      </c>
      <c r="AB36" s="35">
        <f>QUARTILE(K36:V36,3)</f>
        <v>33.788376998569063</v>
      </c>
      <c r="AC36" s="35">
        <f>MAX(K36:V36)</f>
        <v>35.858572109248115</v>
      </c>
      <c r="AD36" s="35">
        <f>SKEW(K36:V36)</f>
        <v>0.29337903011931371</v>
      </c>
      <c r="AE36" s="35">
        <f>KURT(K36:V36)</f>
        <v>0.34923935873650525</v>
      </c>
    </row>
    <row r="37" spans="2:31" x14ac:dyDescent="0.2">
      <c r="B37" s="34">
        <f>[46]FormattedData!A86</f>
        <v>404</v>
      </c>
      <c r="C37" s="34" t="str">
        <f>VLOOKUP($B37,[46]TrtCodes!$B$11:I129,2)</f>
        <v>FTH</v>
      </c>
      <c r="D37" s="34">
        <f>VLOOKUP($B37,[46]TrtCodes!$B$11:J129,3)</f>
        <v>3</v>
      </c>
      <c r="E37" s="34">
        <f>VLOOKUP($B37,[46]TrtCodes!$B$11:K129,4)</f>
        <v>1</v>
      </c>
      <c r="F37" s="34">
        <f>VLOOKUP($B37,[46]TrtCodes!$B$11:L129,5)</f>
        <v>2</v>
      </c>
      <c r="G37" s="34">
        <f>VLOOKUP($B37,[46]TrtCodes!$B$11:M129,6)</f>
        <v>2</v>
      </c>
      <c r="H37" s="34">
        <f>VLOOKUP($B37,[46]TrtCodes!$B$11:N129,7)</f>
        <v>3</v>
      </c>
      <c r="I37" s="34">
        <f>[46]FormattedData!B86</f>
        <v>1</v>
      </c>
      <c r="J37" s="37">
        <f>[46]FormattedData!C86</f>
        <v>13.089</v>
      </c>
      <c r="K37" s="39">
        <f>$J$3+[46]FormattedData!D86*$J$4+$M$4*$J$5+[46]FormattedData!D86^2*$J$6+$M$5*$J$7</f>
        <v>34.432993920874942</v>
      </c>
      <c r="L37" s="39">
        <f>$J$3+[46]FormattedData!E86*$J$4+$M$4*$J$5+[46]FormattedData!E86^2*$J$6+$M$5*$J$7</f>
        <v>35.763829443122084</v>
      </c>
      <c r="M37" s="39">
        <f>$J$3+[46]FormattedData!F86*$J$4+$M$4*$J$5+[46]FormattedData!F86^2*$J$6+$M$5*$J$7</f>
        <v>32.324942616322964</v>
      </c>
      <c r="N37" s="39">
        <f>$J$3+[46]FormattedData!G86*$J$4+$M$4*$J$5+[46]FormattedData!G86^2*$J$6+$M$5*$J$7</f>
        <v>35.289482084422986</v>
      </c>
      <c r="O37" s="39">
        <f>$J$3+[46]FormattedData!H86*$J$4+$M$4*$J$5+[46]FormattedData!H86^2*$J$6+$M$5*$J$7</f>
        <v>32.132287143726074</v>
      </c>
      <c r="P37" s="39">
        <f>$J$3+[46]FormattedData!I86*$J$4+$M$4*$J$5+[46]FormattedData!I86^2*$J$6+$M$5*$J$7</f>
        <v>35.669044508458128</v>
      </c>
      <c r="Q37" s="39">
        <f>$J$3+[46]FormattedData!J86*$J$4+$M$4*$J$5+[46]FormattedData!J86^2*$J$6+$M$5*$J$7</f>
        <v>32.228636014293478</v>
      </c>
      <c r="R37" s="39">
        <f>$J$3+[46]FormattedData!K86*$J$4+$M$4*$J$5+[46]FormattedData!K86^2*$J$6+$M$5*$J$7</f>
        <v>35.099447261177822</v>
      </c>
      <c r="S37" s="39">
        <f>$J$3+[46]FormattedData!L86*$J$4+$M$4*$J$5+[46]FormattedData!L86^2*$J$6+$M$5*$J$7</f>
        <v>32.324942616322964</v>
      </c>
      <c r="T37" s="39">
        <f>$J$3+[46]FormattedData!M86*$J$4+$M$4*$J$5+[46]FormattedData!M86^2*$J$6+$M$5*$J$7</f>
        <v>36.426140466707714</v>
      </c>
      <c r="U37" s="39">
        <f>$J$3+[46]FormattedData!N86*$J$4+$M$4*$J$5+[46]FormattedData!N86^2*$J$6+$M$5*$J$7</f>
        <v>31.842986920796257</v>
      </c>
      <c r="V37" s="39">
        <f>$J$3+[46]FormattedData!O86*$J$4+$M$4*$J$5+[46]FormattedData!O86^2*$J$6+$M$5*$J$7</f>
        <v>37.180531238529724</v>
      </c>
      <c r="W37" s="38">
        <f>AVERAGE(K37:V37)</f>
        <v>34.226272019562927</v>
      </c>
      <c r="X37" s="37">
        <f>STDEV(K37:V37)/SQRT(COUNT(K37:V37))</f>
        <v>0.55890725177305056</v>
      </c>
      <c r="Y37" s="36">
        <f>MIN(K37:V37)</f>
        <v>31.842986920796257</v>
      </c>
      <c r="Z37" s="35">
        <f>QUARTILE(K37:V37,1)</f>
        <v>32.300865965815589</v>
      </c>
      <c r="AA37" s="36">
        <f>MEDIAN(K37:V37)</f>
        <v>34.766220591026382</v>
      </c>
      <c r="AB37" s="35">
        <f>QUARTILE(K37:V37,3)</f>
        <v>35.692740742124116</v>
      </c>
      <c r="AC37" s="35">
        <f>MAX(K37:V37)</f>
        <v>37.180531238529724</v>
      </c>
      <c r="AD37" s="35">
        <f>SKEW(K37:V37)</f>
        <v>7.6230137518584189E-3</v>
      </c>
      <c r="AE37" s="35">
        <f>KURT(K37:V37)</f>
        <v>-1.7352585813204979</v>
      </c>
    </row>
    <row r="38" spans="2:31" x14ac:dyDescent="0.2">
      <c r="B38" s="34">
        <f>[46]FormattedData!A84</f>
        <v>405</v>
      </c>
      <c r="C38" s="34" t="str">
        <f>VLOOKUP($B38,[46]TrtCodes!$B$11:I127,2)</f>
        <v>FDL</v>
      </c>
      <c r="D38" s="34">
        <f>VLOOKUP($B38,[46]TrtCodes!$B$11:J127,3)</f>
        <v>6</v>
      </c>
      <c r="E38" s="34">
        <f>VLOOKUP($B38,[46]TrtCodes!$B$11:K127,4)</f>
        <v>1</v>
      </c>
      <c r="F38" s="34">
        <f>VLOOKUP($B38,[46]TrtCodes!$B$11:L127,5)</f>
        <v>3</v>
      </c>
      <c r="G38" s="34">
        <f>VLOOKUP($B38,[46]TrtCodes!$B$11:M127,6)</f>
        <v>1</v>
      </c>
      <c r="H38" s="34">
        <f>VLOOKUP($B38,[46]TrtCodes!$B$11:N127,7)</f>
        <v>4</v>
      </c>
      <c r="I38" s="34">
        <f>[46]FormattedData!B84</f>
        <v>1</v>
      </c>
      <c r="J38" s="37">
        <f>[46]FormattedData!C84</f>
        <v>13.08</v>
      </c>
      <c r="K38" s="39">
        <f>$J$3+[46]FormattedData!D84*$J$4+$M$4*$J$5+[46]FormattedData!D84^2*$J$6+$M$5*$J$7</f>
        <v>34.528328346531993</v>
      </c>
      <c r="L38" s="39">
        <f>$J$3+[46]FormattedData!E84*$J$4+$M$4*$J$5+[46]FormattedData!E84^2*$J$6+$M$5*$J$7</f>
        <v>39.147936244762448</v>
      </c>
      <c r="M38" s="39">
        <f>$J$3+[46]FormattedData!F84*$J$4+$M$4*$J$5+[46]FormattedData!F84^2*$J$6+$M$5*$J$7</f>
        <v>32.805841598401393</v>
      </c>
      <c r="N38" s="39">
        <f>$J$3+[46]FormattedData!G84*$J$4+$M$4*$J$5+[46]FormattedData!G84^2*$J$6+$M$5*$J$7</f>
        <v>39.334335973745532</v>
      </c>
      <c r="O38" s="39">
        <f>$J$3+[46]FormattedData!H84*$J$4+$M$4*$J$5+[46]FormattedData!H84^2*$J$6+$M$5*$J$7</f>
        <v>32.421206949814518</v>
      </c>
      <c r="P38" s="39">
        <f>$J$3+[46]FormattedData!I84*$J$4+$M$4*$J$5+[46]FormattedData!I84^2*$J$6+$M$5*$J$7</f>
        <v>35.384436093238669</v>
      </c>
      <c r="Q38" s="39">
        <f>$J$3+[46]FormattedData!J84*$J$4+$M$4*$J$5+[46]FormattedData!J84^2*$J$6+$M$5*$J$7</f>
        <v>31.746468976077118</v>
      </c>
      <c r="R38" s="39">
        <f>$J$3+[46]FormattedData!K84*$J$4+$M$4*$J$5+[46]FormattedData!K84^2*$J$6+$M$5*$J$7</f>
        <v>36.331651411809283</v>
      </c>
      <c r="S38" s="39">
        <f>$J$3+[46]FormattedData!L84*$J$4+$M$4*$J$5+[46]FormattedData!L84^2*$J$6+$M$5*$J$7</f>
        <v>32.901894589203287</v>
      </c>
      <c r="T38" s="39">
        <f>$J$3+[46]FormattedData!M84*$J$4+$M$4*$J$5+[46]FormattedData!M84^2*$J$6+$M$5*$J$7</f>
        <v>36.426140466707714</v>
      </c>
      <c r="U38" s="39">
        <f>$J$3+[46]FormattedData!N84*$J$4+$M$4*$J$5+[46]FormattedData!N84^2*$J$6+$M$5*$J$7</f>
        <v>32.324942616322964</v>
      </c>
      <c r="V38" s="39">
        <f>$J$3+[46]FormattedData!O84*$J$4+$M$4*$J$5+[46]FormattedData!O84^2*$J$6+$M$5*$J$7</f>
        <v>34.718870392232326</v>
      </c>
      <c r="W38" s="38">
        <f>AVERAGE(K38:V38)</f>
        <v>34.839337804903934</v>
      </c>
      <c r="X38" s="37">
        <f>STDEV(K38:V38)/SQRT(COUNT(K38:V38))</f>
        <v>0.74643858305627997</v>
      </c>
      <c r="Y38" s="36">
        <f>MIN(K38:V38)</f>
        <v>31.746468976077118</v>
      </c>
      <c r="Z38" s="35">
        <f>QUARTILE(K38:V38,1)</f>
        <v>32.709682936254673</v>
      </c>
      <c r="AA38" s="36">
        <f>MEDIAN(K38:V38)</f>
        <v>34.623599369382163</v>
      </c>
      <c r="AB38" s="35">
        <f>QUARTILE(K38:V38,3)</f>
        <v>36.355273675533894</v>
      </c>
      <c r="AC38" s="35">
        <f>MAX(K38:V38)</f>
        <v>39.334335973745532</v>
      </c>
      <c r="AD38" s="35">
        <f>SKEW(K38:V38)</f>
        <v>0.64963525509080577</v>
      </c>
      <c r="AE38" s="35">
        <f>KURT(K38:V38)</f>
        <v>-0.64545628947685874</v>
      </c>
    </row>
    <row r="39" spans="2:31" x14ac:dyDescent="0.2">
      <c r="B39" s="34">
        <f>[46]FormattedData!A82</f>
        <v>406</v>
      </c>
      <c r="C39" s="34" t="str">
        <f>VLOOKUP($B39,[46]TrtCodes!$B$11:I125,2)</f>
        <v>FTH</v>
      </c>
      <c r="D39" s="34">
        <f>VLOOKUP($B39,[46]TrtCodes!$B$11:J125,3)</f>
        <v>3</v>
      </c>
      <c r="E39" s="34">
        <f>VLOOKUP($B39,[46]TrtCodes!$B$11:K125,4)</f>
        <v>1</v>
      </c>
      <c r="F39" s="34">
        <f>VLOOKUP($B39,[46]TrtCodes!$B$11:L125,5)</f>
        <v>2</v>
      </c>
      <c r="G39" s="34">
        <f>VLOOKUP($B39,[46]TrtCodes!$B$11:M125,6)</f>
        <v>2</v>
      </c>
      <c r="H39" s="34">
        <f>VLOOKUP($B39,[46]TrtCodes!$B$11:N125,7)</f>
        <v>4</v>
      </c>
      <c r="I39" s="34">
        <f>[46]FormattedData!B82</f>
        <v>1</v>
      </c>
      <c r="J39" s="37">
        <f>[46]FormattedData!C82</f>
        <v>13.071</v>
      </c>
      <c r="K39" s="39">
        <f>$J$3+[46]FormattedData!D82*$J$4+$M$4*$J$5+[46]FormattedData!D82^2*$J$6+$M$5*$J$7</f>
        <v>33.955687764520654</v>
      </c>
      <c r="L39" s="39">
        <f>$J$3+[46]FormattedData!E82*$J$4+$M$4*$J$5+[46]FormattedData!E82^2*$J$6+$M$5*$J$7</f>
        <v>34.814078012275601</v>
      </c>
      <c r="M39" s="39">
        <f>$J$3+[46]FormattedData!F82*$J$4+$M$4*$J$5+[46]FormattedData!F82^2*$J$6+$M$5*$J$7</f>
        <v>32.421206949814518</v>
      </c>
      <c r="N39" s="39">
        <f>$J$3+[46]FormattedData!G82*$J$4+$M$4*$J$5+[46]FormattedData!G82^2*$J$6+$M$5*$J$7</f>
        <v>35.763829443122084</v>
      </c>
      <c r="O39" s="39">
        <f>$J$3+[46]FormattedData!H82*$J$4+$M$4*$J$5+[46]FormattedData!H82^2*$J$6+$M$5*$J$7</f>
        <v>32.421206949814518</v>
      </c>
      <c r="P39" s="39">
        <f>$J$3+[46]FormattedData!I82*$J$4+$M$4*$J$5+[46]FormattedData!I82^2*$J$6+$M$5*$J$7</f>
        <v>36.709354020175454</v>
      </c>
      <c r="Q39" s="39">
        <f>$J$3+[46]FormattedData!J82*$J$4+$M$4*$J$5+[46]FormattedData!J82^2*$J$6+$M$5*$J$7</f>
        <v>31.553306281025058</v>
      </c>
      <c r="R39" s="39">
        <f>$J$3+[46]FormattedData!K82*$J$4+$M$4*$J$5+[46]FormattedData!K82^2*$J$6+$M$5*$J$7</f>
        <v>32.709746339061567</v>
      </c>
      <c r="S39" s="39">
        <f>$J$3+[46]FormattedData!L82*$J$4+$M$4*$J$5+[46]FormattedData!L82^2*$J$6+$M$5*$J$7</f>
        <v>31.069659843981096</v>
      </c>
      <c r="T39" s="39">
        <f>$J$3+[46]FormattedData!M82*$J$4+$M$4*$J$5+[46]FormattedData!M82^2*$J$6+$M$5*$J$7</f>
        <v>33.477324894718087</v>
      </c>
      <c r="U39" s="39">
        <f>$J$3+[46]FormattedData!N82*$J$4+$M$4*$J$5+[46]FormattedData!N82^2*$J$6+$M$5*$J$7</f>
        <v>31.069659843981096</v>
      </c>
      <c r="V39" s="39">
        <f>$J$3+[46]FormattedData!O82*$J$4+$M$4*$J$5+[46]FormattedData!O82^2*$J$6+$M$5*$J$7</f>
        <v>35.194485807069363</v>
      </c>
      <c r="W39" s="38">
        <f>AVERAGE(K39:V39)</f>
        <v>33.429962179129923</v>
      </c>
      <c r="X39" s="37">
        <f>STDEV(K39:V39)/SQRT(COUNT(K39:V39))</f>
        <v>0.54165203811671736</v>
      </c>
      <c r="Y39" s="36">
        <f>MIN(K39:V39)</f>
        <v>31.069659843981096</v>
      </c>
      <c r="Z39" s="35">
        <f>QUARTILE(K39:V39,1)</f>
        <v>32.204231782617157</v>
      </c>
      <c r="AA39" s="36">
        <f>MEDIAN(K39:V39)</f>
        <v>33.093535616889824</v>
      </c>
      <c r="AB39" s="35">
        <f>QUARTILE(K39:V39,3)</f>
        <v>34.909179960974043</v>
      </c>
      <c r="AC39" s="35">
        <f>MAX(K39:V39)</f>
        <v>36.709354020175454</v>
      </c>
      <c r="AD39" s="35">
        <f>SKEW(K39:V39)</f>
        <v>0.3457541070012074</v>
      </c>
      <c r="AE39" s="35">
        <f>KURT(K39:V39)</f>
        <v>-1.0383815710787219</v>
      </c>
    </row>
    <row r="40" spans="2:31" x14ac:dyDescent="0.2">
      <c r="B40" s="34">
        <f>[46]FormattedData!A80</f>
        <v>407</v>
      </c>
      <c r="C40" s="34" t="str">
        <f>VLOOKUP($B40,[46]TrtCodes!$B$11:I123,2)</f>
        <v>NSH</v>
      </c>
      <c r="D40" s="34">
        <f>VLOOKUP($B40,[46]TrtCodes!$B$11:J123,3)</f>
        <v>7</v>
      </c>
      <c r="E40" s="34">
        <f>VLOOKUP($B40,[46]TrtCodes!$B$11:K123,4)</f>
        <v>2</v>
      </c>
      <c r="F40" s="34">
        <f>VLOOKUP($B40,[46]TrtCodes!$B$11:L123,5)</f>
        <v>1</v>
      </c>
      <c r="G40" s="34">
        <f>VLOOKUP($B40,[46]TrtCodes!$B$11:M123,6)</f>
        <v>2</v>
      </c>
      <c r="H40" s="34">
        <f>VLOOKUP($B40,[46]TrtCodes!$B$11:N123,7)</f>
        <v>4</v>
      </c>
      <c r="I40" s="34">
        <f>[46]FormattedData!B80</f>
        <v>1</v>
      </c>
      <c r="J40" s="37">
        <f>[46]FormattedData!C80</f>
        <v>13.064</v>
      </c>
      <c r="K40" s="39">
        <f>$J$3+[46]FormattedData!D80*$J$4+$M$4*$J$5+[46]FormattedData!D80^2*$J$6+$M$5*$J$7</f>
        <v>54.302240870817535</v>
      </c>
      <c r="L40" s="39">
        <f>$J$3+[46]FormattedData!E80*$J$4+$M$4*$J$5+[46]FormattedData!E80^2*$J$6+$M$5*$J$7</f>
        <v>54.474353833979897</v>
      </c>
      <c r="M40" s="39">
        <f>$J$3+[46]FormattedData!F80*$J$4+$M$4*$J$5+[46]FormattedData!F80^2*$J$6+$M$5*$J$7</f>
        <v>51.874906600613471</v>
      </c>
      <c r="N40" s="39">
        <f>$J$3+[46]FormattedData!G80*$J$4+$M$4*$J$5+[46]FormattedData!G80^2*$J$6+$M$5*$J$7</f>
        <v>54.474353833979897</v>
      </c>
      <c r="O40" s="39">
        <f>$J$3+[46]FormattedData!H80*$J$4+$M$4*$J$5+[46]FormattedData!H80^2*$J$6+$M$5*$J$7</f>
        <v>51.175295853950232</v>
      </c>
      <c r="P40" s="39">
        <f>$J$3+[46]FormattedData!I80*$J$4+$M$4*$J$5+[46]FormattedData!I80^2*$J$6+$M$5*$J$7</f>
        <v>53.957507722037654</v>
      </c>
      <c r="Q40" s="39">
        <f>$J$3+[46]FormattedData!J80*$J$4+$M$4*$J$5+[46]FormattedData!J80^2*$J$6+$M$5*$J$7</f>
        <v>51.437966897983429</v>
      </c>
      <c r="R40" s="39">
        <f>$J$3+[46]FormattedData!K80*$J$4+$M$4*$J$5+[46]FormattedData!K80^2*$J$6+$M$5*$J$7</f>
        <v>53.612098276650862</v>
      </c>
      <c r="S40" s="39">
        <f>$J$3+[46]FormattedData!L80*$J$4+$M$4*$J$5+[46]FormattedData!L80^2*$J$6+$M$5*$J$7</f>
        <v>51.612869584649239</v>
      </c>
      <c r="T40" s="39">
        <f>$J$3+[46]FormattedData!M80*$J$4+$M$4*$J$5+[46]FormattedData!M80^2*$J$6+$M$5*$J$7</f>
        <v>54.043754412039519</v>
      </c>
      <c r="U40" s="39">
        <f>$J$3+[46]FormattedData!N80*$J$4+$M$4*$J$5+[46]FormattedData!N80^2*$J$6+$M$5*$J$7</f>
        <v>52.136563199736329</v>
      </c>
      <c r="V40" s="39">
        <f>$J$3+[46]FormattedData!O80*$J$4+$M$4*$J$5+[46]FormattedData!O80^2*$J$6+$M$5*$J$7</f>
        <v>53.179385427813934</v>
      </c>
      <c r="W40" s="38">
        <f>AVERAGE(K40:V40)</f>
        <v>53.023441376187662</v>
      </c>
      <c r="X40" s="37">
        <f>STDEV(K40:V40)/SQRT(COUNT(K40:V40))</f>
        <v>0.37085839404412596</v>
      </c>
      <c r="Y40" s="36">
        <f>MIN(K40:V40)</f>
        <v>51.175295853950232</v>
      </c>
      <c r="Z40" s="35">
        <f>QUARTILE(K40:V40,1)</f>
        <v>51.809397346622411</v>
      </c>
      <c r="AA40" s="36">
        <f>MEDIAN(K40:V40)</f>
        <v>53.395741852232398</v>
      </c>
      <c r="AB40" s="35">
        <f>QUARTILE(K40:V40,3)</f>
        <v>54.108376026734021</v>
      </c>
      <c r="AC40" s="35">
        <f>MAX(K40:V40)</f>
        <v>54.474353833979897</v>
      </c>
      <c r="AD40" s="35">
        <f>SKEW(K40:V40)</f>
        <v>-0.25892109752905595</v>
      </c>
      <c r="AE40" s="35">
        <f>KURT(K40:V40)</f>
        <v>-1.8462773442423415</v>
      </c>
    </row>
    <row r="41" spans="2:31" x14ac:dyDescent="0.2">
      <c r="B41" s="34">
        <f>[46]FormattedData!A78</f>
        <v>408</v>
      </c>
      <c r="C41" s="34" t="str">
        <f>VLOOKUP($B41,[46]TrtCodes!$B$11:I121,2)</f>
        <v>NTL</v>
      </c>
      <c r="D41" s="34">
        <f>VLOOKUP($B41,[46]TrtCodes!$B$11:J121,3)</f>
        <v>10</v>
      </c>
      <c r="E41" s="34">
        <f>VLOOKUP($B41,[46]TrtCodes!$B$11:K121,4)</f>
        <v>2</v>
      </c>
      <c r="F41" s="34">
        <f>VLOOKUP($B41,[46]TrtCodes!$B$11:L121,5)</f>
        <v>2</v>
      </c>
      <c r="G41" s="34">
        <f>VLOOKUP($B41,[46]TrtCodes!$B$11:M121,6)</f>
        <v>1</v>
      </c>
      <c r="H41" s="34">
        <f>VLOOKUP($B41,[46]TrtCodes!$B$11:N121,7)</f>
        <v>4</v>
      </c>
      <c r="I41" s="34">
        <f>[46]FormattedData!B78</f>
        <v>1</v>
      </c>
      <c r="J41" s="37">
        <f>[46]FormattedData!C78</f>
        <v>13.055</v>
      </c>
      <c r="K41" s="39">
        <f>$J$3+[46]FormattedData!D78*$J$4+$M$4*$J$5+[46]FormattedData!D78^2*$J$6+$M$5*$J$7</f>
        <v>34.051233532867364</v>
      </c>
      <c r="L41" s="39">
        <f>$J$3+[46]FormattedData!E78*$J$4+$M$4*$J$5+[46]FormattedData!E78^2*$J$6+$M$5*$J$7</f>
        <v>35.289482084422986</v>
      </c>
      <c r="M41" s="39">
        <f>$J$3+[46]FormattedData!F78*$J$4+$M$4*$J$5+[46]FormattedData!F78^2*$J$6+$M$5*$J$7</f>
        <v>31.842986920796257</v>
      </c>
      <c r="N41" s="39">
        <f>$J$3+[46]FormattedData!G78*$J$4+$M$4*$J$5+[46]FormattedData!G78^2*$J$6+$M$5*$J$7</f>
        <v>34.432993920874942</v>
      </c>
      <c r="O41" s="39">
        <f>$J$3+[46]FormattedData!H78*$J$4+$M$4*$J$5+[46]FormattedData!H78^2*$J$6+$M$5*$J$7</f>
        <v>32.035896004620732</v>
      </c>
      <c r="P41" s="39">
        <f>$J$3+[46]FormattedData!I78*$J$4+$M$4*$J$5+[46]FormattedData!I78^2*$J$6+$M$5*$J$7</f>
        <v>35.289482084422986</v>
      </c>
      <c r="Q41" s="39">
        <f>$J$3+[46]FormattedData!J78*$J$4+$M$4*$J$5+[46]FormattedData!J78^2*$J$6+$M$5*$J$7</f>
        <v>32.805841598401393</v>
      </c>
      <c r="R41" s="39">
        <f>$J$3+[46]FormattedData!K78*$J$4+$M$4*$J$5+[46]FormattedData!K78^2*$J$6+$M$5*$J$7</f>
        <v>35.194485807069363</v>
      </c>
      <c r="S41" s="39">
        <f>$J$3+[46]FormattedData!L78*$J$4+$M$4*$J$5+[46]FormattedData!L78^2*$J$6+$M$5*$J$7</f>
        <v>32.517429014768133</v>
      </c>
      <c r="T41" s="39">
        <f>$J$3+[46]FormattedData!M78*$J$4+$M$4*$J$5+[46]FormattedData!M78^2*$J$6+$M$5*$J$7</f>
        <v>34.814078012275601</v>
      </c>
      <c r="U41" s="39">
        <f>$J$3+[46]FormattedData!N78*$J$4+$M$4*$J$5+[46]FormattedData!N78^2*$J$6+$M$5*$J$7</f>
        <v>32.035896004620732</v>
      </c>
      <c r="V41" s="39">
        <f>$J$3+[46]FormattedData!O78*$J$4+$M$4*$J$5+[46]FormattedData!O78^2*$J$6+$M$5*$J$7</f>
        <v>31.746468976077118</v>
      </c>
      <c r="W41" s="38">
        <f>AVERAGE(K41:V41)</f>
        <v>33.50468949676813</v>
      </c>
      <c r="X41" s="37">
        <f>STDEV(K41:V41)/SQRT(COUNT(K41:V41))</f>
        <v>0.42401144963678833</v>
      </c>
      <c r="Y41" s="36">
        <f>MIN(K41:V41)</f>
        <v>31.746468976077118</v>
      </c>
      <c r="Z41" s="35">
        <f>QUARTILE(K41:V41,1)</f>
        <v>32.035896004620732</v>
      </c>
      <c r="AA41" s="36">
        <f>MEDIAN(K41:V41)</f>
        <v>33.428537565634379</v>
      </c>
      <c r="AB41" s="35">
        <f>QUARTILE(K41:V41,3)</f>
        <v>34.909179960974043</v>
      </c>
      <c r="AC41" s="35">
        <f>MAX(K41:V41)</f>
        <v>35.289482084422986</v>
      </c>
      <c r="AD41" s="35">
        <f>SKEW(K41:V41)</f>
        <v>5.9882205984039746E-2</v>
      </c>
      <c r="AE41" s="35">
        <f>KURT(K41:V41)</f>
        <v>-2.0055448067254016</v>
      </c>
    </row>
    <row r="42" spans="2:31" x14ac:dyDescent="0.2">
      <c r="B42" s="50">
        <f>[46]FormattedData!A60</f>
        <v>901</v>
      </c>
      <c r="C42" s="50" t="str">
        <f>VLOOKUP($B42,[46]TrtCodes!$B$11:I103,2)</f>
        <v>WS</v>
      </c>
      <c r="D42" s="50">
        <f>VLOOKUP($B42,[46]TrtCodes!$B$11:J103,3)</f>
        <v>32</v>
      </c>
      <c r="E42" s="50">
        <f>VLOOKUP($B42,[46]TrtCodes!$B$11:K103,4)</f>
        <v>9</v>
      </c>
      <c r="F42" s="50">
        <f>VLOOKUP($B42,[46]TrtCodes!$B$11:L103,5)</f>
        <v>0</v>
      </c>
      <c r="G42" s="50">
        <f>VLOOKUP($B42,[46]TrtCodes!$B$11:M103,6)</f>
        <v>1</v>
      </c>
      <c r="H42" s="50">
        <f>VLOOKUP($B42,[46]TrtCodes!$B$11:N103,7)</f>
        <v>1</v>
      </c>
      <c r="I42" s="50">
        <f>[46]FormattedData!B60</f>
        <v>1</v>
      </c>
      <c r="J42" s="48">
        <f>[46]FormattedData!C60</f>
        <v>12.997999999999999</v>
      </c>
      <c r="K42" s="47">
        <f>$J$3+[46]FormattedData!D60*$J$4+$M$4*$J$5+[46]FormattedData!D60^2*$J$6+$M$5*$J$7</f>
        <v>32.613608811183816</v>
      </c>
      <c r="L42" s="47">
        <f>$J$3+[46]FormattedData!E60*$J$4+$M$4*$J$5+[46]FormattedData!E60^2*$J$6+$M$5*$J$7</f>
        <v>32.035896004620732</v>
      </c>
      <c r="M42" s="47">
        <f>$J$3+[46]FormattedData!F60*$J$4+$M$4*$J$5+[46]FormattedData!F60^2*$J$6+$M$5*$J$7</f>
        <v>31.553306281025058</v>
      </c>
      <c r="N42" s="47">
        <f>$J$3+[46]FormattedData!G60*$J$4+$M$4*$J$5+[46]FormattedData!G60^2*$J$6+$M$5*$J$7</f>
        <v>31.649908762820054</v>
      </c>
      <c r="O42" s="47">
        <f>$J$3+[46]FormattedData!H60*$J$4+$M$4*$J$5+[46]FormattedData!H60^2*$J$6+$M$5*$J$7</f>
        <v>32.805841598401393</v>
      </c>
      <c r="P42" s="47">
        <f>$J$3+[46]FormattedData!I60*$J$4+$M$4*$J$5+[46]FormattedData!I60^2*$J$6+$M$5*$J$7</f>
        <v>32.901894589203287</v>
      </c>
      <c r="Q42" s="47">
        <f>$J$3+[46]FormattedData!J60*$J$4+$M$4*$J$5+[46]FormattedData!J60^2*$J$6+$M$5*$J$7</f>
        <v>32.99790531146725</v>
      </c>
      <c r="R42" s="47">
        <f>$J$3+[46]FormattedData!K60*$J$4+$M$4*$J$5+[46]FormattedData!K60^2*$J$6+$M$5*$J$7</f>
        <v>31.939462596977464</v>
      </c>
      <c r="S42" s="47">
        <f>$J$3+[46]FormattedData!L60*$J$4+$M$4*$J$5+[46]FormattedData!L60^2*$J$6+$M$5*$J$7</f>
        <v>31.456661530692127</v>
      </c>
      <c r="T42" s="47">
        <f>$J$3+[46]FormattedData!M60*$J$4+$M$4*$J$5+[46]FormattedData!M60^2*$J$6+$M$5*$J$7</f>
        <v>32.613608811183816</v>
      </c>
      <c r="U42" s="47">
        <f>$J$3+[46]FormattedData!N60*$J$4+$M$4*$J$5+[46]FormattedData!N60^2*$J$6+$M$5*$J$7</f>
        <v>32.901894589203287</v>
      </c>
      <c r="V42" s="47">
        <f>$J$3+[46]FormattedData!O60*$J$4+$M$4*$J$5+[46]FormattedData!O60^2*$J$6+$M$5*$J$7</f>
        <v>34.24219826394701</v>
      </c>
      <c r="W42" s="49">
        <f>AVERAGE(K42:V42)</f>
        <v>32.476015595893777</v>
      </c>
      <c r="X42" s="48">
        <f>STDEV(K42:V42)/SQRT(COUNT(K42:V42))</f>
        <v>0.2295530401616411</v>
      </c>
      <c r="Y42" s="47">
        <f>MIN(K42:V42)</f>
        <v>31.456661530692127</v>
      </c>
      <c r="Z42" s="46">
        <f>QUARTILE(K42:V42,1)</f>
        <v>31.867074138438113</v>
      </c>
      <c r="AA42" s="47">
        <f>MEDIAN(K42:V42)</f>
        <v>32.613608811183816</v>
      </c>
      <c r="AB42" s="46">
        <f>QUARTILE(K42:V42,3)</f>
        <v>32.901894589203287</v>
      </c>
      <c r="AC42" s="46">
        <f>MAX(K42:V42)</f>
        <v>34.24219826394701</v>
      </c>
      <c r="AD42" s="46">
        <f>SKEW(K42:V42)</f>
        <v>0.69400828387019486</v>
      </c>
      <c r="AE42" s="46">
        <f>KURT(K42:V42)</f>
        <v>0.80367911080220811</v>
      </c>
    </row>
    <row r="43" spans="2:31" x14ac:dyDescent="0.2">
      <c r="B43" s="34">
        <f>[46]FormattedData!A58</f>
        <v>902</v>
      </c>
      <c r="C43" s="34" t="str">
        <f>VLOOKUP($B43,[46]TrtCodes!$B$11:I101,2)</f>
        <v>Late</v>
      </c>
      <c r="D43" s="34">
        <f>VLOOKUP($B43,[46]TrtCodes!$B$11:J101,3)</f>
        <v>22</v>
      </c>
      <c r="E43" s="34">
        <f>VLOOKUP($B43,[46]TrtCodes!$B$11:K101,4)</f>
        <v>4</v>
      </c>
      <c r="F43" s="34">
        <f>VLOOKUP($B43,[46]TrtCodes!$B$11:L101,5)</f>
        <v>2</v>
      </c>
      <c r="G43" s="34">
        <f>VLOOKUP($B43,[46]TrtCodes!$B$11:M101,6)</f>
        <v>2</v>
      </c>
      <c r="H43" s="34">
        <f>VLOOKUP($B43,[46]TrtCodes!$B$11:N101,7)</f>
        <v>1</v>
      </c>
      <c r="I43" s="34">
        <f>[46]FormattedData!B58</f>
        <v>1</v>
      </c>
      <c r="J43" s="37">
        <f>[46]FormattedData!C58</f>
        <v>12.992000000000001</v>
      </c>
      <c r="K43" s="39">
        <f>$J$3+[46]FormattedData!D58*$J$4+$M$4*$J$5+[46]FormattedData!D58^2*$J$6+$M$5*$J$7</f>
        <v>34.051233532867364</v>
      </c>
      <c r="L43" s="39">
        <f>$J$3+[46]FormattedData!E58*$J$4+$M$4*$J$5+[46]FormattedData!E58^2*$J$6+$M$5*$J$7</f>
        <v>35.763829443122084</v>
      </c>
      <c r="M43" s="39">
        <f>$J$3+[46]FormattedData!F58*$J$4+$M$4*$J$5+[46]FormattedData!F58^2*$J$6+$M$5*$J$7</f>
        <v>33.66879684825291</v>
      </c>
      <c r="N43" s="39">
        <f>$J$3+[46]FormattedData!G58*$J$4+$M$4*$J$5+[46]FormattedData!G58^2*$J$6+$M$5*$J$7</f>
        <v>35.9532725068362</v>
      </c>
      <c r="O43" s="39">
        <f>$J$3+[46]FormattedData!H58*$J$4+$M$4*$J$5+[46]FormattedData!H58^2*$J$6+$M$5*$J$7</f>
        <v>33.285683867031544</v>
      </c>
      <c r="P43" s="39">
        <f>$J$3+[46]FormattedData!I58*$J$4+$M$4*$J$5+[46]FormattedData!I58^2*$J$6+$M$5*$J$7</f>
        <v>39.706628209256515</v>
      </c>
      <c r="Q43" s="39">
        <f>$J$3+[46]FormattedData!J58*$J$4+$M$4*$J$5+[46]FormattedData!J58^2*$J$6+$M$5*$J$7</f>
        <v>33.860099727636005</v>
      </c>
      <c r="R43" s="39">
        <f>$J$3+[46]FormattedData!K58*$J$4+$M$4*$J$5+[46]FormattedData!K58^2*$J$6+$M$5*$J$7</f>
        <v>34.528328346531993</v>
      </c>
      <c r="S43" s="39">
        <f>$J$3+[46]FormattedData!L58*$J$4+$M$4*$J$5+[46]FormattedData!L58^2*$J$6+$M$5*$J$7</f>
        <v>33.477324894718087</v>
      </c>
      <c r="T43" s="39">
        <f>$J$3+[46]FormattedData!M58*$J$4+$M$4*$J$5+[46]FormattedData!M58^2*$J$6+$M$5*$J$7</f>
        <v>34.432993920874942</v>
      </c>
      <c r="U43" s="39">
        <f>$J$3+[46]FormattedData!N58*$J$4+$M$4*$J$5+[46]FormattedData!N58^2*$J$6+$M$5*$J$7</f>
        <v>33.860099727636005</v>
      </c>
      <c r="V43" s="39">
        <f>$J$3+[46]FormattedData!O58*$J$4+$M$4*$J$5+[46]FormattedData!O58^2*$J$6+$M$5*$J$7</f>
        <v>39.613618553185667</v>
      </c>
      <c r="W43" s="38">
        <f>AVERAGE(K43:V43)</f>
        <v>35.183492464829108</v>
      </c>
      <c r="X43" s="37">
        <f>STDEV(K43:V43)/SQRT(COUNT(K43:V43))</f>
        <v>0.64899893515489282</v>
      </c>
      <c r="Y43" s="36">
        <f>MIN(K43:V43)</f>
        <v>33.285683867031544</v>
      </c>
      <c r="Z43" s="35">
        <f>QUARTILE(K43:V43,1)</f>
        <v>33.812274007790229</v>
      </c>
      <c r="AA43" s="36">
        <f>MEDIAN(K43:V43)</f>
        <v>34.242113726871153</v>
      </c>
      <c r="AB43" s="35">
        <f>QUARTILE(K43:V43,3)</f>
        <v>35.811190209050615</v>
      </c>
      <c r="AC43" s="35">
        <f>MAX(K43:V43)</f>
        <v>39.706628209256515</v>
      </c>
      <c r="AD43" s="35">
        <f>SKEW(K43:V43)</f>
        <v>1.5174896651645076</v>
      </c>
      <c r="AE43" s="35">
        <f>KURT(K43:V43)</f>
        <v>1.14290232208144</v>
      </c>
    </row>
    <row r="44" spans="2:31" x14ac:dyDescent="0.2">
      <c r="B44" s="50">
        <f>[46]FormattedData!A56</f>
        <v>903</v>
      </c>
      <c r="C44" s="50" t="str">
        <f>VLOOKUP($B44,[46]TrtCodes!$B$11:I99,2)</f>
        <v>DS</v>
      </c>
      <c r="D44" s="50">
        <f>VLOOKUP($B44,[46]TrtCodes!$B$11:J99,3)</f>
        <v>31</v>
      </c>
      <c r="E44" s="50">
        <f>VLOOKUP($B44,[46]TrtCodes!$B$11:K99,4)</f>
        <v>8</v>
      </c>
      <c r="F44" s="50">
        <f>VLOOKUP($B44,[46]TrtCodes!$B$11:L99,5)</f>
        <v>0</v>
      </c>
      <c r="G44" s="50">
        <f>VLOOKUP($B44,[46]TrtCodes!$B$11:M99,6)</f>
        <v>1</v>
      </c>
      <c r="H44" s="50">
        <f>VLOOKUP($B44,[46]TrtCodes!$B$11:N99,7)</f>
        <v>1</v>
      </c>
      <c r="I44" s="50">
        <f>[46]FormattedData!B56</f>
        <v>1</v>
      </c>
      <c r="J44" s="48">
        <f>[46]FormattedData!C56</f>
        <v>12.984999999999999</v>
      </c>
      <c r="K44" s="47">
        <f>$J$3+[46]FormattedData!D56*$J$4+$M$4*$J$5+[46]FormattedData!D56^2*$J$6+$M$5*$J$7</f>
        <v>56.696436607283573</v>
      </c>
      <c r="L44" s="47">
        <f>$J$3+[46]FormattedData!E56*$J$4+$M$4*$J$5+[46]FormattedData!E56^2*$J$6+$M$5*$J$7</f>
        <v>56.526521608093653</v>
      </c>
      <c r="M44" s="47">
        <f>$J$3+[46]FormattedData!F56*$J$4+$M$4*$J$5+[46]FormattedData!F56^2*$J$6+$M$5*$J$7</f>
        <v>56.271332095274261</v>
      </c>
      <c r="N44" s="47">
        <f>$J$3+[46]FormattedData!G56*$J$4+$M$4*$J$5+[46]FormattedData!G56^2*$J$6+$M$5*$J$7</f>
        <v>56.611500241957586</v>
      </c>
      <c r="O44" s="47">
        <f>$J$3+[46]FormattedData!H56*$J$4+$M$4*$J$5+[46]FormattedData!H56^2*$J$6+$M$5*$J$7</f>
        <v>56.950992092033999</v>
      </c>
      <c r="P44" s="47">
        <f>$J$3+[46]FormattedData!I56*$J$4+$M$4*$J$5+[46]FormattedData!I56^2*$J$6+$M$5*$J$7</f>
        <v>57.289807645503529</v>
      </c>
      <c r="Q44" s="47">
        <f>$J$3+[46]FormattedData!J56*$J$4+$M$4*$J$5+[46]FormattedData!J56^2*$J$6+$M$5*$J$7</f>
        <v>57.289807645503529</v>
      </c>
      <c r="R44" s="47">
        <f>$J$3+[46]FormattedData!K56*$J$4+$M$4*$J$5+[46]FormattedData!K56^2*$J$6+$M$5*$J$7</f>
        <v>57.120484405844621</v>
      </c>
      <c r="S44" s="47">
        <f>$J$3+[46]FormattedData!L56*$J$4+$M$4*$J$5+[46]FormattedData!L56^2*$J$6+$M$5*$J$7</f>
        <v>58.133887731522165</v>
      </c>
      <c r="T44" s="47">
        <f>$J$3+[46]FormattedData!M56*$J$4+$M$4*$J$5+[46]FormattedData!M56^2*$J$6+$M$5*$J$7</f>
        <v>57.881107525364847</v>
      </c>
      <c r="U44" s="47">
        <f>$J$3+[46]FormattedData!N56*$J$4+$M$4*$J$5+[46]FormattedData!N56^2*$J$6+$M$5*$J$7</f>
        <v>57.881107525364847</v>
      </c>
      <c r="V44" s="47">
        <f>$J$3+[46]FormattedData!O56*$J$4+$M$4*$J$5+[46]FormattedData!O56^2*$J$6+$M$5*$J$7</f>
        <v>57.796762919569879</v>
      </c>
      <c r="W44" s="49">
        <f>AVERAGE(K44:V44)</f>
        <v>57.204145670276375</v>
      </c>
      <c r="X44" s="48">
        <f>STDEV(K44:V44)/SQRT(COUNT(K44:V44))</f>
        <v>0.17744492812222315</v>
      </c>
      <c r="Y44" s="47">
        <f>MIN(K44:V44)</f>
        <v>56.271332095274261</v>
      </c>
      <c r="Z44" s="46">
        <f>QUARTILE(K44:V44,1)</f>
        <v>56.67520251595208</v>
      </c>
      <c r="AA44" s="47">
        <f>MEDIAN(K44:V44)</f>
        <v>57.205146025674075</v>
      </c>
      <c r="AB44" s="46">
        <f>QUARTILE(K44:V44,3)</f>
        <v>57.817849071018621</v>
      </c>
      <c r="AC44" s="46">
        <f>MAX(K44:V44)</f>
        <v>58.133887731522165</v>
      </c>
      <c r="AD44" s="46">
        <f>SKEW(K44:V44)</f>
        <v>7.2748092561627023E-2</v>
      </c>
      <c r="AE44" s="46">
        <f>KURT(K44:V44)</f>
        <v>-1.3262056502582169</v>
      </c>
    </row>
    <row r="45" spans="2:31" x14ac:dyDescent="0.2">
      <c r="B45" s="34">
        <f>[46]FormattedData!A54</f>
        <v>904</v>
      </c>
      <c r="C45" s="34" t="str">
        <f>VLOOKUP($B45,[46]TrtCodes!$B$11:I97,2)</f>
        <v>Early</v>
      </c>
      <c r="D45" s="34">
        <f>VLOOKUP($B45,[46]TrtCodes!$B$11:J97,3)</f>
        <v>21</v>
      </c>
      <c r="E45" s="34">
        <f>VLOOKUP($B45,[46]TrtCodes!$B$11:K97,4)</f>
        <v>3</v>
      </c>
      <c r="F45" s="34">
        <f>VLOOKUP($B45,[46]TrtCodes!$B$11:L97,5)</f>
        <v>2</v>
      </c>
      <c r="G45" s="34">
        <f>VLOOKUP($B45,[46]TrtCodes!$B$11:M97,6)</f>
        <v>2</v>
      </c>
      <c r="H45" s="34">
        <f>VLOOKUP($B45,[46]TrtCodes!$B$11:N97,7)</f>
        <v>1</v>
      </c>
      <c r="I45" s="34">
        <f>[46]FormattedData!B54</f>
        <v>1</v>
      </c>
      <c r="J45" s="37">
        <f>[46]FormattedData!C54</f>
        <v>12.978</v>
      </c>
      <c r="K45" s="39">
        <f>$J$3+[46]FormattedData!D54*$J$4+$M$4*$J$5+[46]FormattedData!D54^2*$J$6+$M$5*$J$7</f>
        <v>34.528328346531993</v>
      </c>
      <c r="L45" s="39">
        <f>$J$3+[46]FormattedData!E54*$J$4+$M$4*$J$5+[46]FormattedData!E54^2*$J$6+$M$5*$J$7</f>
        <v>34.528328346531993</v>
      </c>
      <c r="M45" s="39">
        <f>$J$3+[46]FormattedData!F54*$J$4+$M$4*$J$5+[46]FormattedData!F54^2*$J$6+$M$5*$J$7</f>
        <v>33.189799950381378</v>
      </c>
      <c r="N45" s="39">
        <f>$J$3+[46]FormattedData!G54*$J$4+$M$4*$J$5+[46]FormattedData!G54^2*$J$6+$M$5*$J$7</f>
        <v>36.237120088372912</v>
      </c>
      <c r="O45" s="39">
        <f>$J$3+[46]FormattedData!H54*$J$4+$M$4*$J$5+[46]FormattedData!H54^2*$J$6+$M$5*$J$7</f>
        <v>32.421206949814518</v>
      </c>
      <c r="P45" s="39">
        <f>$J$3+[46]FormattedData!I54*$J$4+$M$4*$J$5+[46]FormattedData!I54^2*$J$6+$M$5*$J$7</f>
        <v>34.528328346531993</v>
      </c>
      <c r="Q45" s="39">
        <f>$J$3+[46]FormattedData!J54*$J$4+$M$4*$J$5+[46]FormattedData!J54^2*$J$6+$M$5*$J$7</f>
        <v>32.324942616322964</v>
      </c>
      <c r="R45" s="39">
        <f>$J$3+[46]FormattedData!K54*$J$4+$M$4*$J$5+[46]FormattedData!K54^2*$J$6+$M$5*$J$7</f>
        <v>33.285683867031544</v>
      </c>
      <c r="S45" s="39">
        <f>$J$3+[46]FormattedData!L54*$J$4+$M$4*$J$5+[46]FormattedData!L54^2*$J$6+$M$5*$J$7</f>
        <v>32.421206949814518</v>
      </c>
      <c r="T45" s="39">
        <f>$J$3+[46]FormattedData!M54*$J$4+$M$4*$J$5+[46]FormattedData!M54^2*$J$6+$M$5*$J$7</f>
        <v>37.180531238529724</v>
      </c>
      <c r="U45" s="39">
        <f>$J$3+[46]FormattedData!N54*$J$4+$M$4*$J$5+[46]FormattedData!N54^2*$J$6+$M$5*$J$7</f>
        <v>32.421206949814518</v>
      </c>
      <c r="V45" s="39">
        <f>$J$3+[46]FormattedData!O54*$J$4+$M$4*$J$5+[46]FormattedData!O54^2*$J$6+$M$5*$J$7</f>
        <v>40.634400000378811</v>
      </c>
      <c r="W45" s="38">
        <f>AVERAGE(K45:V45)</f>
        <v>34.47509030417141</v>
      </c>
      <c r="X45" s="37">
        <f>STDEV(K45:V45)/SQRT(COUNT(K45:V45))</f>
        <v>0.72150339126810092</v>
      </c>
      <c r="Y45" s="36">
        <f>MIN(K45:V45)</f>
        <v>32.324942616322964</v>
      </c>
      <c r="Z45" s="35">
        <f>QUARTILE(K45:V45,1)</f>
        <v>32.421206949814518</v>
      </c>
      <c r="AA45" s="36">
        <f>MEDIAN(K45:V45)</f>
        <v>33.907006106781765</v>
      </c>
      <c r="AB45" s="35">
        <f>QUARTILE(K45:V45,3)</f>
        <v>34.955526281992221</v>
      </c>
      <c r="AC45" s="35">
        <f>MAX(K45:V45)</f>
        <v>40.634400000378811</v>
      </c>
      <c r="AD45" s="35">
        <f>SKEW(K45:V45)</f>
        <v>1.5315942298248733</v>
      </c>
      <c r="AE45" s="35">
        <f>KURT(K45:V45)</f>
        <v>2.3545876015510228</v>
      </c>
    </row>
    <row r="46" spans="2:31" x14ac:dyDescent="0.2">
      <c r="B46" s="50">
        <f>[46]FormattedData!A52</f>
        <v>905</v>
      </c>
      <c r="C46" s="50" t="str">
        <f>VLOOKUP($B46,[46]TrtCodes!$B$11:I95,2)</f>
        <v>WS</v>
      </c>
      <c r="D46" s="50">
        <f>VLOOKUP($B46,[46]TrtCodes!$B$11:J95,3)</f>
        <v>32</v>
      </c>
      <c r="E46" s="50">
        <f>VLOOKUP($B46,[46]TrtCodes!$B$11:K95,4)</f>
        <v>9</v>
      </c>
      <c r="F46" s="50">
        <f>VLOOKUP($B46,[46]TrtCodes!$B$11:L95,5)</f>
        <v>0</v>
      </c>
      <c r="G46" s="50">
        <f>VLOOKUP($B46,[46]TrtCodes!$B$11:M95,6)</f>
        <v>1</v>
      </c>
      <c r="H46" s="50">
        <f>VLOOKUP($B46,[46]TrtCodes!$B$11:N95,7)</f>
        <v>2</v>
      </c>
      <c r="I46" s="50">
        <f>[46]FormattedData!B52</f>
        <v>1</v>
      </c>
      <c r="J46" s="48">
        <f>[46]FormattedData!C52</f>
        <v>12.972</v>
      </c>
      <c r="K46" s="47">
        <f>$J$3+[46]FormattedData!D52*$J$4+$M$4*$J$5+[46]FormattedData!D52^2*$J$6+$M$5*$J$7</f>
        <v>30.972803750958516</v>
      </c>
      <c r="L46" s="47">
        <f>$J$3+[46]FormattedData!E52*$J$4+$M$4*$J$5+[46]FormattedData!E52^2*$J$6+$M$5*$J$7</f>
        <v>30.972803750958516</v>
      </c>
      <c r="M46" s="47">
        <f>$J$3+[46]FormattedData!F52*$J$4+$M$4*$J$5+[46]FormattedData!F52^2*$J$6+$M$5*$J$7</f>
        <v>30.972803750958516</v>
      </c>
      <c r="N46" s="47">
        <f>$J$3+[46]FormattedData!G52*$J$4+$M$4*$J$5+[46]FormattedData!G52^2*$J$6+$M$5*$J$7</f>
        <v>31.553306281025058</v>
      </c>
      <c r="O46" s="47">
        <f>$J$3+[46]FormattedData!H52*$J$4+$M$4*$J$5+[46]FormattedData!H52^2*$J$6+$M$5*$J$7</f>
        <v>32.035896004620732</v>
      </c>
      <c r="P46" s="47">
        <f>$J$3+[46]FormattedData!I52*$J$4+$M$4*$J$5+[46]FormattedData!I52^2*$J$6+$M$5*$J$7</f>
        <v>32.132287143726074</v>
      </c>
      <c r="Q46" s="47">
        <f>$J$3+[46]FormattedData!J52*$J$4+$M$4*$J$5+[46]FormattedData!J52^2*$J$6+$M$5*$J$7</f>
        <v>32.132287143726074</v>
      </c>
      <c r="R46" s="47">
        <f>$J$3+[46]FormattedData!K52*$J$4+$M$4*$J$5+[46]FormattedData!K52^2*$J$6+$M$5*$J$7</f>
        <v>31.746468976077118</v>
      </c>
      <c r="S46" s="47">
        <f>$J$3+[46]FormattedData!L52*$J$4+$M$4*$J$5+[46]FormattedData!L52^2*$J$6+$M$5*$J$7</f>
        <v>31.746468976077118</v>
      </c>
      <c r="T46" s="47">
        <f>$J$3+[46]FormattedData!M52*$J$4+$M$4*$J$5+[46]FormattedData!M52^2*$J$6+$M$5*$J$7</f>
        <v>31.746468976077118</v>
      </c>
      <c r="U46" s="47">
        <f>$J$3+[46]FormattedData!N52*$J$4+$M$4*$J$5+[46]FormattedData!N52^2*$J$6+$M$5*$J$7</f>
        <v>31.649908762820054</v>
      </c>
      <c r="V46" s="47">
        <f>$J$3+[46]FormattedData!O52*$J$4+$M$4*$J$5+[46]FormattedData!O52^2*$J$6+$M$5*$J$7</f>
        <v>31.939462596977464</v>
      </c>
      <c r="W46" s="49">
        <f>AVERAGE(K46:V46)</f>
        <v>31.63341384283353</v>
      </c>
      <c r="X46" s="48">
        <f>STDEV(K46:V46)/SQRT(COUNT(K46:V46))</f>
        <v>0.12636100415322149</v>
      </c>
      <c r="Y46" s="47">
        <f>MIN(K46:V46)</f>
        <v>30.972803750958516</v>
      </c>
      <c r="Z46" s="46">
        <f>QUARTILE(K46:V46,1)</f>
        <v>31.408180648508424</v>
      </c>
      <c r="AA46" s="47">
        <f>MEDIAN(K46:V46)</f>
        <v>31.746468976077118</v>
      </c>
      <c r="AB46" s="46">
        <f>QUARTILE(K46:V46,3)</f>
        <v>31.963570948888282</v>
      </c>
      <c r="AC46" s="46">
        <f>MAX(K46:V46)</f>
        <v>32.132287143726074</v>
      </c>
      <c r="AD46" s="46">
        <f>SKEW(K46:V46)</f>
        <v>-0.67490469605604708</v>
      </c>
      <c r="AE46" s="46">
        <f>KURT(K46:V46)</f>
        <v>-0.89674823469660847</v>
      </c>
    </row>
    <row r="47" spans="2:31" x14ac:dyDescent="0.2">
      <c r="B47" s="34">
        <f>[46]FormattedData!A50</f>
        <v>906</v>
      </c>
      <c r="C47" s="34" t="str">
        <f>VLOOKUP($B47,[46]TrtCodes!$B$11:I93,2)</f>
        <v>Late</v>
      </c>
      <c r="D47" s="34">
        <f>VLOOKUP($B47,[46]TrtCodes!$B$11:J93,3)</f>
        <v>22</v>
      </c>
      <c r="E47" s="34">
        <f>VLOOKUP($B47,[46]TrtCodes!$B$11:K93,4)</f>
        <v>4</v>
      </c>
      <c r="F47" s="34">
        <f>VLOOKUP($B47,[46]TrtCodes!$B$11:L93,5)</f>
        <v>2</v>
      </c>
      <c r="G47" s="34">
        <f>VLOOKUP($B47,[46]TrtCodes!$B$11:M93,6)</f>
        <v>2</v>
      </c>
      <c r="H47" s="34">
        <f>VLOOKUP($B47,[46]TrtCodes!$B$11:N93,7)</f>
        <v>2</v>
      </c>
      <c r="I47" s="34">
        <f>[46]FormattedData!B50</f>
        <v>1</v>
      </c>
      <c r="J47" s="37">
        <f>[46]FormattedData!C50</f>
        <v>12.965999999999999</v>
      </c>
      <c r="K47" s="39">
        <f>$J$3+[46]FormattedData!D50*$J$4+$M$4*$J$5+[46]FormattedData!D50^2*$J$6+$M$5*$J$7</f>
        <v>34.337617226679939</v>
      </c>
      <c r="L47" s="39">
        <f>$J$3+[46]FormattedData!E50*$J$4+$M$4*$J$5+[46]FormattedData!E50^2*$J$6+$M$5*$J$7</f>
        <v>36.897951713130958</v>
      </c>
      <c r="M47" s="39">
        <f>$J$3+[46]FormattedData!F50*$J$4+$M$4*$J$5+[46]FormattedData!F50^2*$J$6+$M$5*$J$7</f>
        <v>32.709746339061567</v>
      </c>
      <c r="N47" s="39">
        <f>$J$3+[46]FormattedData!G50*$J$4+$M$4*$J$5+[46]FormattedData!G50^2*$J$6+$M$5*$J$7</f>
        <v>36.709354020175454</v>
      </c>
      <c r="O47" s="39">
        <f>$J$3+[46]FormattedData!H50*$J$4+$M$4*$J$5+[46]FormattedData!H50^2*$J$6+$M$5*$J$7</f>
        <v>34.718870392232326</v>
      </c>
      <c r="P47" s="39">
        <f>$J$3+[46]FormattedData!I50*$J$4+$M$4*$J$5+[46]FormattedData!I50^2*$J$6+$M$5*$J$7</f>
        <v>37.650651743435709</v>
      </c>
      <c r="Q47" s="39">
        <f>$J$3+[46]FormattedData!J50*$J$4+$M$4*$J$5+[46]FormattedData!J50^2*$J$6+$M$5*$J$7</f>
        <v>33.09387376519328</v>
      </c>
      <c r="R47" s="39">
        <f>$J$3+[46]FormattedData!K50*$J$4+$M$4*$J$5+[46]FormattedData!K50^2*$J$6+$M$5*$J$7</f>
        <v>35.574217305256234</v>
      </c>
      <c r="S47" s="39">
        <f>$J$3+[46]FormattedData!L50*$J$4+$M$4*$J$5+[46]FormattedData!L50^2*$J$6+$M$5*$J$7</f>
        <v>32.035896004620732</v>
      </c>
      <c r="T47" s="39">
        <f>$J$3+[46]FormattedData!M50*$J$4+$M$4*$J$5+[46]FormattedData!M50^2*$J$6+$M$5*$J$7</f>
        <v>34.814078012275601</v>
      </c>
      <c r="U47" s="39">
        <f>$J$3+[46]FormattedData!N50*$J$4+$M$4*$J$5+[46]FormattedData!N50^2*$J$6+$M$5*$J$7</f>
        <v>31.939462596977464</v>
      </c>
      <c r="V47" s="39">
        <f>$J$3+[46]FormattedData!O50*$J$4+$M$4*$J$5+[46]FormattedData!O50^2*$J$6+$M$5*$J$7</f>
        <v>34.146737032676157</v>
      </c>
      <c r="W47" s="38">
        <f>AVERAGE(K47:V47)</f>
        <v>34.55237134597629</v>
      </c>
      <c r="X47" s="37">
        <f>STDEV(K47:V47)/SQRT(COUNT(K47:V47))</f>
        <v>0.54901513284553116</v>
      </c>
      <c r="Y47" s="36">
        <f>MIN(K47:V47)</f>
        <v>31.939462596977464</v>
      </c>
      <c r="Z47" s="35">
        <f>QUARTILE(K47:V47,1)</f>
        <v>32.997841908660348</v>
      </c>
      <c r="AA47" s="36">
        <f>MEDIAN(K47:V47)</f>
        <v>34.528243809456129</v>
      </c>
      <c r="AB47" s="35">
        <f>QUARTILE(K47:V47,3)</f>
        <v>35.858001483986037</v>
      </c>
      <c r="AC47" s="35">
        <f>MAX(K47:V47)</f>
        <v>37.650651743435709</v>
      </c>
      <c r="AD47" s="35">
        <f>SKEW(K47:V47)</f>
        <v>0.16747988203464098</v>
      </c>
      <c r="AE47" s="35">
        <f>KURT(K47:V47)</f>
        <v>-1.0468308312002454</v>
      </c>
    </row>
    <row r="48" spans="2:31" x14ac:dyDescent="0.2">
      <c r="B48" s="50">
        <f>[46]FormattedData!A48</f>
        <v>907</v>
      </c>
      <c r="C48" s="50" t="str">
        <f>VLOOKUP($B48,[46]TrtCodes!$B$11:I91,2)</f>
        <v>DS</v>
      </c>
      <c r="D48" s="50">
        <f>VLOOKUP($B48,[46]TrtCodes!$B$11:J91,3)</f>
        <v>31</v>
      </c>
      <c r="E48" s="50">
        <f>VLOOKUP($B48,[46]TrtCodes!$B$11:K91,4)</f>
        <v>8</v>
      </c>
      <c r="F48" s="50">
        <f>VLOOKUP($B48,[46]TrtCodes!$B$11:L91,5)</f>
        <v>0</v>
      </c>
      <c r="G48" s="50">
        <f>VLOOKUP($B48,[46]TrtCodes!$B$11:M91,6)</f>
        <v>1</v>
      </c>
      <c r="H48" s="50">
        <f>VLOOKUP($B48,[46]TrtCodes!$B$11:N91,7)</f>
        <v>2</v>
      </c>
      <c r="I48" s="50">
        <f>[46]FormattedData!B48</f>
        <v>1</v>
      </c>
      <c r="J48" s="48">
        <f>[46]FormattedData!C48</f>
        <v>12.959</v>
      </c>
      <c r="K48" s="47">
        <f>$J$3+[46]FormattedData!D48*$J$4+$M$4*$J$5+[46]FormattedData!D48^2*$J$6+$M$5*$J$7</f>
        <v>55.930487651984038</v>
      </c>
      <c r="L48" s="47">
        <f>$J$3+[46]FormattedData!E48*$J$4+$M$4*$J$5+[46]FormattedData!E48^2*$J$6+$M$5*$J$7</f>
        <v>55.930487651984038</v>
      </c>
      <c r="M48" s="47">
        <f>$J$3+[46]FormattedData!F48*$J$4+$M$4*$J$5+[46]FormattedData!F48^2*$J$6+$M$5*$J$7</f>
        <v>55.930487651984038</v>
      </c>
      <c r="N48" s="47">
        <f>$J$3+[46]FormattedData!G48*$J$4+$M$4*$J$5+[46]FormattedData!G48^2*$J$6+$M$5*$J$7</f>
        <v>55.930487651984038</v>
      </c>
      <c r="O48" s="47">
        <f>$J$3+[46]FormattedData!H48*$J$4+$M$4*$J$5+[46]FormattedData!H48^2*$J$6+$M$5*$J$7</f>
        <v>56.186184387258599</v>
      </c>
      <c r="P48" s="47">
        <f>$J$3+[46]FormattedData!I48*$J$4+$M$4*$J$5+[46]FormattedData!I48^2*$J$6+$M$5*$J$7</f>
        <v>55.503481055767814</v>
      </c>
      <c r="Q48" s="47">
        <f>$J$3+[46]FormattedData!J48*$J$4+$M$4*$J$5+[46]FormattedData!J48^2*$J$6+$M$5*$J$7</f>
        <v>55.674410499868102</v>
      </c>
      <c r="R48" s="47">
        <f>$J$3+[46]FormattedData!K48*$J$4+$M$4*$J$5+[46]FormattedData!K48^2*$J$6+$M$5*$J$7</f>
        <v>56.186184387258599</v>
      </c>
      <c r="S48" s="47">
        <f>$J$3+[46]FormattedData!L48*$J$4+$M$4*$J$5+[46]FormattedData!L48^2*$J$6+$M$5*$J$7</f>
        <v>56.271332095274261</v>
      </c>
      <c r="T48" s="47">
        <f>$J$3+[46]FormattedData!M48*$J$4+$M$4*$J$5+[46]FormattedData!M48^2*$J$6+$M$5*$J$7</f>
        <v>56.526521608093653</v>
      </c>
      <c r="U48" s="47">
        <f>$J$3+[46]FormattedData!N48*$J$4+$M$4*$J$5+[46]FormattedData!N48^2*$J$6+$M$5*$J$7</f>
        <v>56.866182532321794</v>
      </c>
      <c r="V48" s="47">
        <f>$J$3+[46]FormattedData!O48*$J$4+$M$4*$J$5+[46]FormattedData!O48^2*$J$6+$M$5*$J$7</f>
        <v>57.03575938320828</v>
      </c>
      <c r="W48" s="49">
        <f>AVERAGE(K48:V48)</f>
        <v>56.164333879748938</v>
      </c>
      <c r="X48" s="48">
        <f>STDEV(K48:V48)/SQRT(COUNT(K48:V48))</f>
        <v>0.13174369639686553</v>
      </c>
      <c r="Y48" s="47">
        <f>MIN(K48:V48)</f>
        <v>55.503481055767814</v>
      </c>
      <c r="Z48" s="46">
        <f>QUARTILE(K48:V48,1)</f>
        <v>55.930487651984038</v>
      </c>
      <c r="AA48" s="47">
        <f>MEDIAN(K48:V48)</f>
        <v>56.058336019621322</v>
      </c>
      <c r="AB48" s="46">
        <f>QUARTILE(K48:V48,3)</f>
        <v>56.335129473479107</v>
      </c>
      <c r="AC48" s="46">
        <f>MAX(K48:V48)</f>
        <v>57.03575938320828</v>
      </c>
      <c r="AD48" s="46">
        <f>SKEW(K48:V48)</f>
        <v>0.6873224728815055</v>
      </c>
      <c r="AE48" s="46">
        <f>KURT(K48:V48)</f>
        <v>-4.8640905508486654E-2</v>
      </c>
    </row>
    <row r="49" spans="2:31" ht="13.5" thickBot="1" x14ac:dyDescent="0.25">
      <c r="B49" s="45">
        <f>[46]FormattedData!A46</f>
        <v>908</v>
      </c>
      <c r="C49" s="45" t="str">
        <f>VLOOKUP($B49,[46]TrtCodes!$B$11:I89,2)</f>
        <v>Early</v>
      </c>
      <c r="D49" s="45">
        <f>VLOOKUP($B49,[46]TrtCodes!$B$11:J89,3)</f>
        <v>21</v>
      </c>
      <c r="E49" s="45">
        <f>VLOOKUP($B49,[46]TrtCodes!$B$11:K89,4)</f>
        <v>3</v>
      </c>
      <c r="F49" s="45">
        <f>VLOOKUP($B49,[46]TrtCodes!$B$11:L89,5)</f>
        <v>2</v>
      </c>
      <c r="G49" s="45">
        <f>VLOOKUP($B49,[46]TrtCodes!$B$11:M89,6)</f>
        <v>2</v>
      </c>
      <c r="H49" s="45">
        <f>VLOOKUP($B49,[46]TrtCodes!$B$11:N89,7)</f>
        <v>2</v>
      </c>
      <c r="I49" s="45">
        <f>[46]FormattedData!B46</f>
        <v>1</v>
      </c>
      <c r="J49" s="42">
        <f>[46]FormattedData!C46</f>
        <v>12.952999999999999</v>
      </c>
      <c r="K49" s="44">
        <f>$J$3+[46]FormattedData!D46*$J$4+$M$4*$J$5+[46]FormattedData!D46^2*$J$6+$M$5*$J$7</f>
        <v>34.432993920874942</v>
      </c>
      <c r="L49" s="44">
        <f>$J$3+[46]FormattedData!E46*$J$4+$M$4*$J$5+[46]FormattedData!E46^2*$J$6+$M$5*$J$7</f>
        <v>36.237120088372912</v>
      </c>
      <c r="M49" s="44">
        <f>$J$3+[46]FormattedData!F46*$J$4+$M$4*$J$5+[46]FormattedData!F46^2*$J$6+$M$5*$J$7</f>
        <v>32.805841598401393</v>
      </c>
      <c r="N49" s="44">
        <f>$J$3+[46]FormattedData!G46*$J$4+$M$4*$J$5+[46]FormattedData!G46^2*$J$6+$M$5*$J$7</f>
        <v>39.799595596789437</v>
      </c>
      <c r="O49" s="44">
        <f>$J$3+[46]FormattedData!H46*$J$4+$M$4*$J$5+[46]FormattedData!H46^2*$J$6+$M$5*$J$7</f>
        <v>33.860099727636005</v>
      </c>
      <c r="P49" s="44">
        <f>$J$3+[46]FormattedData!I46*$J$4+$M$4*$J$5+[46]FormattedData!I46^2*$J$6+$M$5*$J$7</f>
        <v>40.356512282690396</v>
      </c>
      <c r="Q49" s="44">
        <f>$J$3+[46]FormattedData!J46*$J$4+$M$4*$J$5+[46]FormattedData!J46^2*$J$6+$M$5*$J$7</f>
        <v>33.573082005754458</v>
      </c>
      <c r="R49" s="44">
        <f>$J$3+[46]FormattedData!K46*$J$4+$M$4*$J$5+[46]FormattedData!K46^2*$J$6+$M$5*$J$7</f>
        <v>41.00432519776566</v>
      </c>
      <c r="S49" s="44">
        <f>$J$3+[46]FormattedData!L46*$J$4+$M$4*$J$5+[46]FormattedData!L46^2*$J$6+$M$5*$J$7</f>
        <v>33.381525515143785</v>
      </c>
      <c r="T49" s="44">
        <f>$J$3+[46]FormattedData!M46*$J$4+$M$4*$J$5+[46]FormattedData!M46^2*$J$6+$M$5*$J$7</f>
        <v>42.018132336200161</v>
      </c>
      <c r="U49" s="44">
        <f>$J$3+[46]FormattedData!N46*$J$4+$M$4*$J$5+[46]FormattedData!N46^2*$J$6+$M$5*$J$7</f>
        <v>33.477324894718087</v>
      </c>
      <c r="V49" s="44">
        <f>$J$3+[46]FormattedData!O46*$J$4+$M$4*$J$5+[46]FormattedData!O46^2*$J$6+$M$5*$J$7</f>
        <v>33.955687764520654</v>
      </c>
      <c r="W49" s="43">
        <f>AVERAGE(K49:V49)</f>
        <v>36.24185341073899</v>
      </c>
      <c r="X49" s="42">
        <f>STDEV(K49:V49)/SQRT(COUNT(K49:V49))</f>
        <v>1.0096443772438577</v>
      </c>
      <c r="Y49" s="41">
        <f>MIN(K49:V49)</f>
        <v>32.805841598401393</v>
      </c>
      <c r="Z49" s="40">
        <f>QUARTILE(K49:V49,1)</f>
        <v>33.549142727995367</v>
      </c>
      <c r="AA49" s="41">
        <f>MEDIAN(K49:V49)</f>
        <v>34.194340842697798</v>
      </c>
      <c r="AB49" s="40">
        <f>QUARTILE(K49:V49,3)</f>
        <v>39.938824768264681</v>
      </c>
      <c r="AC49" s="40">
        <f>MAX(K49:V49)</f>
        <v>42.018132336200161</v>
      </c>
      <c r="AD49" s="40">
        <f>SKEW(K49:V49)</f>
        <v>0.71384773610027141</v>
      </c>
      <c r="AE49" s="40">
        <f>KURT(K49:V49)</f>
        <v>-1.4425964177115427</v>
      </c>
    </row>
    <row r="50" spans="2:31" ht="13.5" thickTop="1" x14ac:dyDescent="0.2">
      <c r="B50" s="34">
        <f>[46]FormattedData!A29</f>
        <v>0</v>
      </c>
      <c r="C50" s="34" t="e">
        <f>VLOOKUP($B50,[46]TrtCodes!$B$11:I72,2)</f>
        <v>#N/A</v>
      </c>
      <c r="D50" s="34" t="e">
        <f>VLOOKUP($B50,[46]TrtCodes!$B$11:J72,3)</f>
        <v>#N/A</v>
      </c>
      <c r="E50" s="34" t="e">
        <f>VLOOKUP($B50,[46]TrtCodes!$B$11:K72,4)</f>
        <v>#N/A</v>
      </c>
      <c r="F50" s="34" t="e">
        <f>VLOOKUP($B50,[46]TrtCodes!$B$11:L72,5)</f>
        <v>#N/A</v>
      </c>
      <c r="G50" s="34" t="e">
        <f>VLOOKUP($B50,[46]TrtCodes!$B$11:M72,6)</f>
        <v>#N/A</v>
      </c>
      <c r="H50" s="34" t="e">
        <f>VLOOKUP($B50,[46]TrtCodes!$B$11:N72,7)</f>
        <v>#N/A</v>
      </c>
      <c r="I50" s="34">
        <f>[46]FormattedData!B29</f>
        <v>0</v>
      </c>
      <c r="J50" s="37">
        <f>[46]FormattedData!C29</f>
        <v>0</v>
      </c>
      <c r="K50" s="39">
        <f>$J$3+[46]FormattedData!D29*$J$4+$M$4*$J$5+[46]FormattedData!D29^2*$J$6+$M$5*$J$7</f>
        <v>-0.65055620911585921</v>
      </c>
      <c r="L50" s="39">
        <f>$J$3+[46]FormattedData!E29*$J$4+$M$4*$J$5+[46]FormattedData!E29^2*$J$6+$M$5*$J$7</f>
        <v>-0.65055620911585921</v>
      </c>
      <c r="M50" s="39">
        <f>$J$3+[46]FormattedData!F29*$J$4+$M$4*$J$5+[46]FormattedData!F29^2*$J$6+$M$5*$J$7</f>
        <v>-0.65055620911585921</v>
      </c>
      <c r="N50" s="39">
        <f>$J$3+[46]FormattedData!G29*$J$4+$M$4*$J$5+[46]FormattedData!G29^2*$J$6+$M$5*$J$7</f>
        <v>-0.65055620911585921</v>
      </c>
      <c r="O50" s="39">
        <f>$J$3+[46]FormattedData!H29*$J$4+$M$4*$J$5+[46]FormattedData!H29^2*$J$6+$M$5*$J$7</f>
        <v>-0.65055620911585921</v>
      </c>
      <c r="P50" s="39">
        <f>$J$3+[46]FormattedData!I29*$J$4+$M$4*$J$5+[46]FormattedData!I29^2*$J$6+$M$5*$J$7</f>
        <v>-0.65055620911585921</v>
      </c>
      <c r="Q50" s="39">
        <f>$J$3+[46]FormattedData!J29*$J$4+$M$4*$J$5+[46]FormattedData!J29^2*$J$6+$M$5*$J$7</f>
        <v>-0.65055620911585921</v>
      </c>
      <c r="R50" s="39">
        <f>$J$3+[46]FormattedData!K29*$J$4+$M$4*$J$5+[46]FormattedData!K29^2*$J$6+$M$5*$J$7</f>
        <v>-0.65055620911585921</v>
      </c>
      <c r="S50" s="39">
        <f>$J$3+[46]FormattedData!L29*$J$4+$M$4*$J$5+[46]FormattedData!L29^2*$J$6+$M$5*$J$7</f>
        <v>-0.65055620911585921</v>
      </c>
      <c r="T50" s="39">
        <f>$J$3+[46]FormattedData!M29*$J$4+$M$4*$J$5+[46]FormattedData!M29^2*$J$6+$M$5*$J$7</f>
        <v>-0.65055620911585921</v>
      </c>
      <c r="U50" s="39">
        <f>$J$3+[46]FormattedData!N29*$J$4+$M$4*$J$5+[46]FormattedData!N29^2*$J$6+$M$5*$J$7</f>
        <v>-0.65055620911585921</v>
      </c>
      <c r="V50" s="39">
        <f>$J$3+[46]FormattedData!O29*$J$4+$M$4*$J$5+[46]FormattedData!O29^2*$J$6+$M$5*$J$7</f>
        <v>-0.65055620911585921</v>
      </c>
      <c r="W50" s="38">
        <f>AVERAGE(K50:V50)</f>
        <v>-0.6505562091158591</v>
      </c>
      <c r="X50" s="37">
        <f>STDEV(K50:V50)/SQRT(COUNT(K50:V50))</f>
        <v>3.3474483693592253E-17</v>
      </c>
      <c r="Y50" s="36">
        <f>MIN(K50:V50)</f>
        <v>-0.65055620911585921</v>
      </c>
      <c r="Z50" s="35">
        <f>QUARTILE(K50:V50,1)</f>
        <v>-0.65055620911585921</v>
      </c>
      <c r="AA50" s="36">
        <f>MEDIAN(K50:V50)</f>
        <v>-0.65055620911585921</v>
      </c>
      <c r="AB50" s="35">
        <f>QUARTILE(K50:V50,3)</f>
        <v>-0.65055620911585921</v>
      </c>
      <c r="AC50" s="35">
        <f>MAX(K50:V50)</f>
        <v>-0.65055620911585921</v>
      </c>
      <c r="AD50" s="35">
        <f>SKEW(K50:V50)</f>
        <v>-1.1489125293076057</v>
      </c>
      <c r="AE50" s="35">
        <f>KURT(K50:V50)</f>
        <v>-2.4444444444444446</v>
      </c>
    </row>
    <row r="51" spans="2:31" x14ac:dyDescent="0.2">
      <c r="B51" s="34">
        <f>[46]FormattedData!A27</f>
        <v>0</v>
      </c>
      <c r="C51" s="34" t="e">
        <f>VLOOKUP($B51,[46]TrtCodes!$B$11:I70,2)</f>
        <v>#N/A</v>
      </c>
      <c r="D51" s="34" t="e">
        <f>VLOOKUP($B51,[46]TrtCodes!$B$11:J70,3)</f>
        <v>#N/A</v>
      </c>
      <c r="E51" s="34" t="e">
        <f>VLOOKUP($B51,[46]TrtCodes!$B$11:K70,4)</f>
        <v>#N/A</v>
      </c>
      <c r="F51" s="34" t="e">
        <f>VLOOKUP($B51,[46]TrtCodes!$B$11:L70,5)</f>
        <v>#N/A</v>
      </c>
      <c r="G51" s="34" t="e">
        <f>VLOOKUP($B51,[46]TrtCodes!$B$11:M70,6)</f>
        <v>#N/A</v>
      </c>
      <c r="H51" s="34" t="e">
        <f>VLOOKUP($B51,[46]TrtCodes!$B$11:N70,7)</f>
        <v>#N/A</v>
      </c>
      <c r="I51" s="34">
        <f>[46]FormattedData!B27</f>
        <v>0</v>
      </c>
      <c r="J51" s="37">
        <f>[46]FormattedData!C27</f>
        <v>0</v>
      </c>
      <c r="K51" s="39">
        <f>$J$3+[46]FormattedData!D27*$J$4+$M$4*$J$5+[46]FormattedData!D27^2*$J$6+$M$5*$J$7</f>
        <v>-0.65055620911585921</v>
      </c>
      <c r="L51" s="39">
        <f>$J$3+[46]FormattedData!E27*$J$4+$M$4*$J$5+[46]FormattedData!E27^2*$J$6+$M$5*$J$7</f>
        <v>-0.65055620911585921</v>
      </c>
      <c r="M51" s="39">
        <f>$J$3+[46]FormattedData!F27*$J$4+$M$4*$J$5+[46]FormattedData!F27^2*$J$6+$M$5*$J$7</f>
        <v>-0.65055620911585921</v>
      </c>
      <c r="N51" s="39">
        <f>$J$3+[46]FormattedData!G27*$J$4+$M$4*$J$5+[46]FormattedData!G27^2*$J$6+$M$5*$J$7</f>
        <v>-0.65055620911585921</v>
      </c>
      <c r="O51" s="39">
        <f>$J$3+[46]FormattedData!H27*$J$4+$M$4*$J$5+[46]FormattedData!H27^2*$J$6+$M$5*$J$7</f>
        <v>-0.65055620911585921</v>
      </c>
      <c r="P51" s="39">
        <f>$J$3+[46]FormattedData!I27*$J$4+$M$4*$J$5+[46]FormattedData!I27^2*$J$6+$M$5*$J$7</f>
        <v>-0.65055620911585921</v>
      </c>
      <c r="Q51" s="39">
        <f>$J$3+[46]FormattedData!J27*$J$4+$M$4*$J$5+[46]FormattedData!J27^2*$J$6+$M$5*$J$7</f>
        <v>-0.65055620911585921</v>
      </c>
      <c r="R51" s="39">
        <f>$J$3+[46]FormattedData!K27*$J$4+$M$4*$J$5+[46]FormattedData!K27^2*$J$6+$M$5*$J$7</f>
        <v>-0.65055620911585921</v>
      </c>
      <c r="S51" s="39">
        <f>$J$3+[46]FormattedData!L27*$J$4+$M$4*$J$5+[46]FormattedData!L27^2*$J$6+$M$5*$J$7</f>
        <v>-0.65055620911585921</v>
      </c>
      <c r="T51" s="39">
        <f>$J$3+[46]FormattedData!M27*$J$4+$M$4*$J$5+[46]FormattedData!M27^2*$J$6+$M$5*$J$7</f>
        <v>-0.65055620911585921</v>
      </c>
      <c r="U51" s="39">
        <f>$J$3+[46]FormattedData!N27*$J$4+$M$4*$J$5+[46]FormattedData!N27^2*$J$6+$M$5*$J$7</f>
        <v>-0.65055620911585921</v>
      </c>
      <c r="V51" s="39">
        <f>$J$3+[46]FormattedData!O27*$J$4+$M$4*$J$5+[46]FormattedData!O27^2*$J$6+$M$5*$J$7</f>
        <v>-0.65055620911585921</v>
      </c>
      <c r="W51" s="38">
        <f>AVERAGE(K51:V51)</f>
        <v>-0.6505562091158591</v>
      </c>
      <c r="X51" s="37">
        <f>STDEV(K51:V51)/SQRT(COUNT(K51:V51))</f>
        <v>3.3474483693592253E-17</v>
      </c>
      <c r="Y51" s="36">
        <f>MIN(K51:V51)</f>
        <v>-0.65055620911585921</v>
      </c>
      <c r="Z51" s="35">
        <f>QUARTILE(K51:V51,1)</f>
        <v>-0.65055620911585921</v>
      </c>
      <c r="AA51" s="36">
        <f>MEDIAN(K51:V51)</f>
        <v>-0.65055620911585921</v>
      </c>
      <c r="AB51" s="35">
        <f>QUARTILE(K51:V51,3)</f>
        <v>-0.65055620911585921</v>
      </c>
      <c r="AC51" s="35">
        <f>MAX(K51:V51)</f>
        <v>-0.65055620911585921</v>
      </c>
      <c r="AD51" s="35">
        <f>SKEW(K51:V51)</f>
        <v>-1.1489125293076057</v>
      </c>
      <c r="AE51" s="35">
        <f>KURT(K51:V51)</f>
        <v>-2.4444444444444446</v>
      </c>
    </row>
    <row r="52" spans="2:31" x14ac:dyDescent="0.2">
      <c r="B52" s="34">
        <f>[46]FormattedData!A25</f>
        <v>0</v>
      </c>
      <c r="C52" s="34" t="e">
        <f>VLOOKUP($B52,[46]TrtCodes!$B$11:I68,2)</f>
        <v>#N/A</v>
      </c>
      <c r="D52" s="34" t="e">
        <f>VLOOKUP($B52,[46]TrtCodes!$B$11:J68,3)</f>
        <v>#N/A</v>
      </c>
      <c r="E52" s="34" t="e">
        <f>VLOOKUP($B52,[46]TrtCodes!$B$11:K68,4)</f>
        <v>#N/A</v>
      </c>
      <c r="F52" s="34" t="e">
        <f>VLOOKUP($B52,[46]TrtCodes!$B$11:L68,5)</f>
        <v>#N/A</v>
      </c>
      <c r="G52" s="34" t="e">
        <f>VLOOKUP($B52,[46]TrtCodes!$B$11:M68,6)</f>
        <v>#N/A</v>
      </c>
      <c r="H52" s="34" t="e">
        <f>VLOOKUP($B52,[46]TrtCodes!$B$11:N68,7)</f>
        <v>#N/A</v>
      </c>
      <c r="I52" s="34">
        <f>[46]FormattedData!B25</f>
        <v>0</v>
      </c>
      <c r="J52" s="37">
        <f>[46]FormattedData!C25</f>
        <v>0</v>
      </c>
      <c r="K52" s="39">
        <f>$J$3+[46]FormattedData!D25*$J$4+$M$4*$J$5+[46]FormattedData!D25^2*$J$6+$M$5*$J$7</f>
        <v>-0.65055620911585921</v>
      </c>
      <c r="L52" s="39">
        <f>$J$3+[46]FormattedData!E25*$J$4+$M$4*$J$5+[46]FormattedData!E25^2*$J$6+$M$5*$J$7</f>
        <v>-0.65055620911585921</v>
      </c>
      <c r="M52" s="39">
        <f>$J$3+[46]FormattedData!F25*$J$4+$M$4*$J$5+[46]FormattedData!F25^2*$J$6+$M$5*$J$7</f>
        <v>-0.65055620911585921</v>
      </c>
      <c r="N52" s="39">
        <f>$J$3+[46]FormattedData!G25*$J$4+$M$4*$J$5+[46]FormattedData!G25^2*$J$6+$M$5*$J$7</f>
        <v>-0.65055620911585921</v>
      </c>
      <c r="O52" s="39">
        <f>$J$3+[46]FormattedData!H25*$J$4+$M$4*$J$5+[46]FormattedData!H25^2*$J$6+$M$5*$J$7</f>
        <v>-0.65055620911585921</v>
      </c>
      <c r="P52" s="39">
        <f>$J$3+[46]FormattedData!I25*$J$4+$M$4*$J$5+[46]FormattedData!I25^2*$J$6+$M$5*$J$7</f>
        <v>-0.65055620911585921</v>
      </c>
      <c r="Q52" s="39">
        <f>$J$3+[46]FormattedData!J25*$J$4+$M$4*$J$5+[46]FormattedData!J25^2*$J$6+$M$5*$J$7</f>
        <v>-0.65055620911585921</v>
      </c>
      <c r="R52" s="39">
        <f>$J$3+[46]FormattedData!K25*$J$4+$M$4*$J$5+[46]FormattedData!K25^2*$J$6+$M$5*$J$7</f>
        <v>-0.65055620911585921</v>
      </c>
      <c r="S52" s="39">
        <f>$J$3+[46]FormattedData!L25*$J$4+$M$4*$J$5+[46]FormattedData!L25^2*$J$6+$M$5*$J$7</f>
        <v>-0.65055620911585921</v>
      </c>
      <c r="T52" s="39">
        <f>$J$3+[46]FormattedData!M25*$J$4+$M$4*$J$5+[46]FormattedData!M25^2*$J$6+$M$5*$J$7</f>
        <v>-0.65055620911585921</v>
      </c>
      <c r="U52" s="39">
        <f>$J$3+[46]FormattedData!N25*$J$4+$M$4*$J$5+[46]FormattedData!N25^2*$J$6+$M$5*$J$7</f>
        <v>-0.65055620911585921</v>
      </c>
      <c r="V52" s="39">
        <f>$J$3+[46]FormattedData!O25*$J$4+$M$4*$J$5+[46]FormattedData!O25^2*$J$6+$M$5*$J$7</f>
        <v>-0.65055620911585921</v>
      </c>
      <c r="W52" s="38">
        <f>AVERAGE(K52:V52)</f>
        <v>-0.6505562091158591</v>
      </c>
      <c r="X52" s="37">
        <f>STDEV(K52:V52)/SQRT(COUNT(K52:V52))</f>
        <v>3.3474483693592253E-17</v>
      </c>
      <c r="Y52" s="36">
        <f>MIN(K52:V52)</f>
        <v>-0.65055620911585921</v>
      </c>
      <c r="Z52" s="35">
        <f>QUARTILE(K52:V52,1)</f>
        <v>-0.65055620911585921</v>
      </c>
      <c r="AA52" s="36">
        <f>MEDIAN(K52:V52)</f>
        <v>-0.65055620911585921</v>
      </c>
      <c r="AB52" s="35">
        <f>QUARTILE(K52:V52,3)</f>
        <v>-0.65055620911585921</v>
      </c>
      <c r="AC52" s="35">
        <f>MAX(K52:V52)</f>
        <v>-0.65055620911585921</v>
      </c>
      <c r="AD52" s="35">
        <f>SKEW(K52:V52)</f>
        <v>-1.1489125293076057</v>
      </c>
      <c r="AE52" s="35">
        <f>KURT(K52:V52)</f>
        <v>-2.4444444444444446</v>
      </c>
    </row>
    <row r="53" spans="2:31" x14ac:dyDescent="0.2">
      <c r="B53" s="34">
        <f>[46]FormattedData!A23</f>
        <v>0</v>
      </c>
      <c r="C53" s="34" t="e">
        <f>VLOOKUP($B53,[46]TrtCodes!$B$11:I66,2)</f>
        <v>#N/A</v>
      </c>
      <c r="D53" s="34" t="e">
        <f>VLOOKUP($B53,[46]TrtCodes!$B$11:J66,3)</f>
        <v>#N/A</v>
      </c>
      <c r="E53" s="34" t="e">
        <f>VLOOKUP($B53,[46]TrtCodes!$B$11:K66,4)</f>
        <v>#N/A</v>
      </c>
      <c r="F53" s="34" t="e">
        <f>VLOOKUP($B53,[46]TrtCodes!$B$11:L66,5)</f>
        <v>#N/A</v>
      </c>
      <c r="G53" s="34" t="e">
        <f>VLOOKUP($B53,[46]TrtCodes!$B$11:M66,6)</f>
        <v>#N/A</v>
      </c>
      <c r="H53" s="34" t="e">
        <f>VLOOKUP($B53,[46]TrtCodes!$B$11:N66,7)</f>
        <v>#N/A</v>
      </c>
      <c r="I53" s="34">
        <f>[46]FormattedData!B23</f>
        <v>0</v>
      </c>
      <c r="J53" s="37">
        <f>[46]FormattedData!C23</f>
        <v>0</v>
      </c>
      <c r="K53" s="39">
        <f>$J$3+[46]FormattedData!D23*$J$4+$M$4*$J$5+[46]FormattedData!D23^2*$J$6+$M$5*$J$7</f>
        <v>-0.65055620911585921</v>
      </c>
      <c r="L53" s="39">
        <f>$J$3+[46]FormattedData!E23*$J$4+$M$4*$J$5+[46]FormattedData!E23^2*$J$6+$M$5*$J$7</f>
        <v>-0.65055620911585921</v>
      </c>
      <c r="M53" s="39">
        <f>$J$3+[46]FormattedData!F23*$J$4+$M$4*$J$5+[46]FormattedData!F23^2*$J$6+$M$5*$J$7</f>
        <v>-0.65055620911585921</v>
      </c>
      <c r="N53" s="39">
        <f>$J$3+[46]FormattedData!G23*$J$4+$M$4*$J$5+[46]FormattedData!G23^2*$J$6+$M$5*$J$7</f>
        <v>-0.65055620911585921</v>
      </c>
      <c r="O53" s="39">
        <f>$J$3+[46]FormattedData!H23*$J$4+$M$4*$J$5+[46]FormattedData!H23^2*$J$6+$M$5*$J$7</f>
        <v>-0.65055620911585921</v>
      </c>
      <c r="P53" s="39">
        <f>$J$3+[46]FormattedData!I23*$J$4+$M$4*$J$5+[46]FormattedData!I23^2*$J$6+$M$5*$J$7</f>
        <v>-0.65055620911585921</v>
      </c>
      <c r="Q53" s="39">
        <f>$J$3+[46]FormattedData!J23*$J$4+$M$4*$J$5+[46]FormattedData!J23^2*$J$6+$M$5*$J$7</f>
        <v>-0.65055620911585921</v>
      </c>
      <c r="R53" s="39">
        <f>$J$3+[46]FormattedData!K23*$J$4+$M$4*$J$5+[46]FormattedData!K23^2*$J$6+$M$5*$J$7</f>
        <v>-0.65055620911585921</v>
      </c>
      <c r="S53" s="39">
        <f>$J$3+[46]FormattedData!L23*$J$4+$M$4*$J$5+[46]FormattedData!L23^2*$J$6+$M$5*$J$7</f>
        <v>-0.65055620911585921</v>
      </c>
      <c r="T53" s="39">
        <f>$J$3+[46]FormattedData!M23*$J$4+$M$4*$J$5+[46]FormattedData!M23^2*$J$6+$M$5*$J$7</f>
        <v>-0.65055620911585921</v>
      </c>
      <c r="U53" s="39">
        <f>$J$3+[46]FormattedData!N23*$J$4+$M$4*$J$5+[46]FormattedData!N23^2*$J$6+$M$5*$J$7</f>
        <v>-0.65055620911585921</v>
      </c>
      <c r="V53" s="39">
        <f>$J$3+[46]FormattedData!O23*$J$4+$M$4*$J$5+[46]FormattedData!O23^2*$J$6+$M$5*$J$7</f>
        <v>-0.65055620911585921</v>
      </c>
      <c r="W53" s="38">
        <f>AVERAGE(K53:V53)</f>
        <v>-0.6505562091158591</v>
      </c>
      <c r="X53" s="37">
        <f>STDEV(K53:V53)/SQRT(COUNT(K53:V53))</f>
        <v>3.3474483693592253E-17</v>
      </c>
      <c r="Y53" s="36">
        <f>MIN(K53:V53)</f>
        <v>-0.65055620911585921</v>
      </c>
      <c r="Z53" s="35">
        <f>QUARTILE(K53:V53,1)</f>
        <v>-0.65055620911585921</v>
      </c>
      <c r="AA53" s="36">
        <f>MEDIAN(K53:V53)</f>
        <v>-0.65055620911585921</v>
      </c>
      <c r="AB53" s="35">
        <f>QUARTILE(K53:V53,3)</f>
        <v>-0.65055620911585921</v>
      </c>
      <c r="AC53" s="35">
        <f>MAX(K53:V53)</f>
        <v>-0.65055620911585921</v>
      </c>
      <c r="AD53" s="35">
        <f>SKEW(K53:V53)</f>
        <v>-1.1489125293076057</v>
      </c>
      <c r="AE53" s="35">
        <f>KURT(K53:V53)</f>
        <v>-2.4444444444444446</v>
      </c>
    </row>
    <row r="54" spans="2:31" x14ac:dyDescent="0.2">
      <c r="B54" s="34">
        <f>[46]FormattedData!A21</f>
        <v>0</v>
      </c>
      <c r="C54" s="34" t="e">
        <f>VLOOKUP($B54,[46]TrtCodes!$B$11:I64,2)</f>
        <v>#N/A</v>
      </c>
      <c r="D54" s="34" t="e">
        <f>VLOOKUP($B54,[46]TrtCodes!$B$11:J64,3)</f>
        <v>#N/A</v>
      </c>
      <c r="E54" s="34" t="e">
        <f>VLOOKUP($B54,[46]TrtCodes!$B$11:K64,4)</f>
        <v>#N/A</v>
      </c>
      <c r="F54" s="34" t="e">
        <f>VLOOKUP($B54,[46]TrtCodes!$B$11:L64,5)</f>
        <v>#N/A</v>
      </c>
      <c r="G54" s="34" t="e">
        <f>VLOOKUP($B54,[46]TrtCodes!$B$11:M64,6)</f>
        <v>#N/A</v>
      </c>
      <c r="H54" s="34" t="e">
        <f>VLOOKUP($B54,[46]TrtCodes!$B$11:N64,7)</f>
        <v>#N/A</v>
      </c>
      <c r="I54" s="34">
        <f>[46]FormattedData!B21</f>
        <v>0</v>
      </c>
      <c r="J54" s="37">
        <f>[46]FormattedData!C21</f>
        <v>0</v>
      </c>
      <c r="K54" s="39">
        <f>$J$3+[46]FormattedData!D21*$J$4+$M$4*$J$5+[46]FormattedData!D21^2*$J$6+$M$5*$J$7</f>
        <v>-0.65055620911585921</v>
      </c>
      <c r="L54" s="39">
        <f>$J$3+[46]FormattedData!E21*$J$4+$M$4*$J$5+[46]FormattedData!E21^2*$J$6+$M$5*$J$7</f>
        <v>-0.65055620911585921</v>
      </c>
      <c r="M54" s="39">
        <f>$J$3+[46]FormattedData!F21*$J$4+$M$4*$J$5+[46]FormattedData!F21^2*$J$6+$M$5*$J$7</f>
        <v>-0.65055620911585921</v>
      </c>
      <c r="N54" s="39">
        <f>$J$3+[46]FormattedData!G21*$J$4+$M$4*$J$5+[46]FormattedData!G21^2*$J$6+$M$5*$J$7</f>
        <v>-0.65055620911585921</v>
      </c>
      <c r="O54" s="39">
        <f>$J$3+[46]FormattedData!H21*$J$4+$M$4*$J$5+[46]FormattedData!H21^2*$J$6+$M$5*$J$7</f>
        <v>-0.65055620911585921</v>
      </c>
      <c r="P54" s="39">
        <f>$J$3+[46]FormattedData!I21*$J$4+$M$4*$J$5+[46]FormattedData!I21^2*$J$6+$M$5*$J$7</f>
        <v>-0.65055620911585921</v>
      </c>
      <c r="Q54" s="39">
        <f>$J$3+[46]FormattedData!J21*$J$4+$M$4*$J$5+[46]FormattedData!J21^2*$J$6+$M$5*$J$7</f>
        <v>-0.65055620911585921</v>
      </c>
      <c r="R54" s="39">
        <f>$J$3+[46]FormattedData!K21*$J$4+$M$4*$J$5+[46]FormattedData!K21^2*$J$6+$M$5*$J$7</f>
        <v>-0.65055620911585921</v>
      </c>
      <c r="S54" s="39">
        <f>$J$3+[46]FormattedData!L21*$J$4+$M$4*$J$5+[46]FormattedData!L21^2*$J$6+$M$5*$J$7</f>
        <v>-0.65055620911585921</v>
      </c>
      <c r="T54" s="39">
        <f>$J$3+[46]FormattedData!M21*$J$4+$M$4*$J$5+[46]FormattedData!M21^2*$J$6+$M$5*$J$7</f>
        <v>-0.65055620911585921</v>
      </c>
      <c r="U54" s="39">
        <f>$J$3+[46]FormattedData!N21*$J$4+$M$4*$J$5+[46]FormattedData!N21^2*$J$6+$M$5*$J$7</f>
        <v>-0.65055620911585921</v>
      </c>
      <c r="V54" s="39">
        <f>$J$3+[46]FormattedData!O21*$J$4+$M$4*$J$5+[46]FormattedData!O21^2*$J$6+$M$5*$J$7</f>
        <v>-0.65055620911585921</v>
      </c>
      <c r="W54" s="38">
        <f>AVERAGE(K54:V54)</f>
        <v>-0.6505562091158591</v>
      </c>
      <c r="X54" s="37">
        <f>STDEV(K54:V54)/SQRT(COUNT(K54:V54))</f>
        <v>3.3474483693592253E-17</v>
      </c>
      <c r="Y54" s="36">
        <f>MIN(K54:V54)</f>
        <v>-0.65055620911585921</v>
      </c>
      <c r="Z54" s="35">
        <f>QUARTILE(K54:V54,1)</f>
        <v>-0.65055620911585921</v>
      </c>
      <c r="AA54" s="36">
        <f>MEDIAN(K54:V54)</f>
        <v>-0.65055620911585921</v>
      </c>
      <c r="AB54" s="35">
        <f>QUARTILE(K54:V54,3)</f>
        <v>-0.65055620911585921</v>
      </c>
      <c r="AC54" s="35">
        <f>MAX(K54:V54)</f>
        <v>-0.65055620911585921</v>
      </c>
      <c r="AD54" s="35">
        <f>SKEW(K54:V54)</f>
        <v>-1.1489125293076057</v>
      </c>
      <c r="AE54" s="35">
        <f>KURT(K54:V54)</f>
        <v>-2.4444444444444446</v>
      </c>
    </row>
    <row r="55" spans="2:31" x14ac:dyDescent="0.2">
      <c r="B55" s="34">
        <f>[46]FormattedData!A19</f>
        <v>0</v>
      </c>
      <c r="C55" s="34" t="e">
        <f>VLOOKUP($B55,[46]TrtCodes!$B$11:I62,2)</f>
        <v>#N/A</v>
      </c>
      <c r="D55" s="34" t="e">
        <f>VLOOKUP($B55,[46]TrtCodes!$B$11:J62,3)</f>
        <v>#N/A</v>
      </c>
      <c r="E55" s="34" t="e">
        <f>VLOOKUP($B55,[46]TrtCodes!$B$11:K62,4)</f>
        <v>#N/A</v>
      </c>
      <c r="F55" s="34" t="e">
        <f>VLOOKUP($B55,[46]TrtCodes!$B$11:L62,5)</f>
        <v>#N/A</v>
      </c>
      <c r="G55" s="34" t="e">
        <f>VLOOKUP($B55,[46]TrtCodes!$B$11:M62,6)</f>
        <v>#N/A</v>
      </c>
      <c r="H55" s="34" t="e">
        <f>VLOOKUP($B55,[46]TrtCodes!$B$11:N62,7)</f>
        <v>#N/A</v>
      </c>
      <c r="I55" s="34">
        <f>[46]FormattedData!B19</f>
        <v>0</v>
      </c>
      <c r="J55" s="37">
        <f>[46]FormattedData!C19</f>
        <v>0</v>
      </c>
      <c r="K55" s="39">
        <f>$J$3+[46]FormattedData!D19*$J$4+$M$4*$J$5+[46]FormattedData!D19^2*$J$6+$M$5*$J$7</f>
        <v>-0.65055620911585921</v>
      </c>
      <c r="L55" s="39">
        <f>$J$3+[46]FormattedData!E19*$J$4+$M$4*$J$5+[46]FormattedData!E19^2*$J$6+$M$5*$J$7</f>
        <v>-0.65055620911585921</v>
      </c>
      <c r="M55" s="39">
        <f>$J$3+[46]FormattedData!F19*$J$4+$M$4*$J$5+[46]FormattedData!F19^2*$J$6+$M$5*$J$7</f>
        <v>-0.65055620911585921</v>
      </c>
      <c r="N55" s="39">
        <f>$J$3+[46]FormattedData!G19*$J$4+$M$4*$J$5+[46]FormattedData!G19^2*$J$6+$M$5*$J$7</f>
        <v>-0.65055620911585921</v>
      </c>
      <c r="O55" s="39">
        <f>$J$3+[46]FormattedData!H19*$J$4+$M$4*$J$5+[46]FormattedData!H19^2*$J$6+$M$5*$J$7</f>
        <v>-0.65055620911585921</v>
      </c>
      <c r="P55" s="39">
        <f>$J$3+[46]FormattedData!I19*$J$4+$M$4*$J$5+[46]FormattedData!I19^2*$J$6+$M$5*$J$7</f>
        <v>-0.65055620911585921</v>
      </c>
      <c r="Q55" s="39">
        <f>$J$3+[46]FormattedData!J19*$J$4+$M$4*$J$5+[46]FormattedData!J19^2*$J$6+$M$5*$J$7</f>
        <v>-0.65055620911585921</v>
      </c>
      <c r="R55" s="39">
        <f>$J$3+[46]FormattedData!K19*$J$4+$M$4*$J$5+[46]FormattedData!K19^2*$J$6+$M$5*$J$7</f>
        <v>-0.65055620911585921</v>
      </c>
      <c r="S55" s="39">
        <f>$J$3+[46]FormattedData!L19*$J$4+$M$4*$J$5+[46]FormattedData!L19^2*$J$6+$M$5*$J$7</f>
        <v>-0.65055620911585921</v>
      </c>
      <c r="T55" s="39">
        <f>$J$3+[46]FormattedData!M19*$J$4+$M$4*$J$5+[46]FormattedData!M19^2*$J$6+$M$5*$J$7</f>
        <v>-0.65055620911585921</v>
      </c>
      <c r="U55" s="39">
        <f>$J$3+[46]FormattedData!N19*$J$4+$M$4*$J$5+[46]FormattedData!N19^2*$J$6+$M$5*$J$7</f>
        <v>-0.65055620911585921</v>
      </c>
      <c r="V55" s="39">
        <f>$J$3+[46]FormattedData!O19*$J$4+$M$4*$J$5+[46]FormattedData!O19^2*$J$6+$M$5*$J$7</f>
        <v>-0.65055620911585921</v>
      </c>
      <c r="W55" s="38">
        <f>AVERAGE(K55:V55)</f>
        <v>-0.6505562091158591</v>
      </c>
      <c r="X55" s="37">
        <f>STDEV(K55:V55)/SQRT(COUNT(K55:V55))</f>
        <v>3.3474483693592253E-17</v>
      </c>
      <c r="Y55" s="36">
        <f>MIN(K55:V55)</f>
        <v>-0.65055620911585921</v>
      </c>
      <c r="Z55" s="35">
        <f>QUARTILE(K55:V55,1)</f>
        <v>-0.65055620911585921</v>
      </c>
      <c r="AA55" s="36">
        <f>MEDIAN(K55:V55)</f>
        <v>-0.65055620911585921</v>
      </c>
      <c r="AB55" s="35">
        <f>QUARTILE(K55:V55,3)</f>
        <v>-0.65055620911585921</v>
      </c>
      <c r="AC55" s="35">
        <f>MAX(K55:V55)</f>
        <v>-0.65055620911585921</v>
      </c>
      <c r="AD55" s="35">
        <f>SKEW(K55:V55)</f>
        <v>-1.1489125293076057</v>
      </c>
      <c r="AE55" s="35">
        <f>KURT(K55:V55)</f>
        <v>-2.4444444444444446</v>
      </c>
    </row>
    <row r="56" spans="2:31" x14ac:dyDescent="0.2">
      <c r="B56" s="34">
        <f>[46]FormattedData!A17</f>
        <v>0</v>
      </c>
      <c r="C56" s="34" t="e">
        <f>VLOOKUP($B56,[46]TrtCodes!$B$11:I60,2)</f>
        <v>#N/A</v>
      </c>
      <c r="D56" s="34" t="e">
        <f>VLOOKUP($B56,[46]TrtCodes!$B$11:J60,3)</f>
        <v>#N/A</v>
      </c>
      <c r="E56" s="34" t="e">
        <f>VLOOKUP($B56,[46]TrtCodes!$B$11:K60,4)</f>
        <v>#N/A</v>
      </c>
      <c r="F56" s="34" t="e">
        <f>VLOOKUP($B56,[46]TrtCodes!$B$11:L60,5)</f>
        <v>#N/A</v>
      </c>
      <c r="G56" s="34" t="e">
        <f>VLOOKUP($B56,[46]TrtCodes!$B$11:M60,6)</f>
        <v>#N/A</v>
      </c>
      <c r="H56" s="34" t="e">
        <f>VLOOKUP($B56,[46]TrtCodes!$B$11:N60,7)</f>
        <v>#N/A</v>
      </c>
      <c r="I56" s="34">
        <f>[46]FormattedData!B17</f>
        <v>0</v>
      </c>
      <c r="J56" s="37">
        <f>[46]FormattedData!C17</f>
        <v>0</v>
      </c>
      <c r="K56" s="39">
        <f>$J$3+[46]FormattedData!D17*$J$4+$M$4*$J$5+[46]FormattedData!D17^2*$J$6+$M$5*$J$7</f>
        <v>-0.65055620911585921</v>
      </c>
      <c r="L56" s="39">
        <f>$J$3+[46]FormattedData!E17*$J$4+$M$4*$J$5+[46]FormattedData!E17^2*$J$6+$M$5*$J$7</f>
        <v>-0.65055620911585921</v>
      </c>
      <c r="M56" s="39">
        <f>$J$3+[46]FormattedData!F17*$J$4+$M$4*$J$5+[46]FormattedData!F17^2*$J$6+$M$5*$J$7</f>
        <v>-0.65055620911585921</v>
      </c>
      <c r="N56" s="39">
        <f>$J$3+[46]FormattedData!G17*$J$4+$M$4*$J$5+[46]FormattedData!G17^2*$J$6+$M$5*$J$7</f>
        <v>-0.65055620911585921</v>
      </c>
      <c r="O56" s="39">
        <f>$J$3+[46]FormattedData!H17*$J$4+$M$4*$J$5+[46]FormattedData!H17^2*$J$6+$M$5*$J$7</f>
        <v>-0.65055620911585921</v>
      </c>
      <c r="P56" s="39">
        <f>$J$3+[46]FormattedData!I17*$J$4+$M$4*$J$5+[46]FormattedData!I17^2*$J$6+$M$5*$J$7</f>
        <v>-0.65055620911585921</v>
      </c>
      <c r="Q56" s="39">
        <f>$J$3+[46]FormattedData!J17*$J$4+$M$4*$J$5+[46]FormattedData!J17^2*$J$6+$M$5*$J$7</f>
        <v>-0.65055620911585921</v>
      </c>
      <c r="R56" s="39">
        <f>$J$3+[46]FormattedData!K17*$J$4+$M$4*$J$5+[46]FormattedData!K17^2*$J$6+$M$5*$J$7</f>
        <v>-0.65055620911585921</v>
      </c>
      <c r="S56" s="39">
        <f>$J$3+[46]FormattedData!L17*$J$4+$M$4*$J$5+[46]FormattedData!L17^2*$J$6+$M$5*$J$7</f>
        <v>-0.65055620911585921</v>
      </c>
      <c r="T56" s="39">
        <f>$J$3+[46]FormattedData!M17*$J$4+$M$4*$J$5+[46]FormattedData!M17^2*$J$6+$M$5*$J$7</f>
        <v>-0.65055620911585921</v>
      </c>
      <c r="U56" s="39">
        <f>$J$3+[46]FormattedData!N17*$J$4+$M$4*$J$5+[46]FormattedData!N17^2*$J$6+$M$5*$J$7</f>
        <v>-0.65055620911585921</v>
      </c>
      <c r="V56" s="39">
        <f>$J$3+[46]FormattedData!O17*$J$4+$M$4*$J$5+[46]FormattedData!O17^2*$J$6+$M$5*$J$7</f>
        <v>-0.65055620911585921</v>
      </c>
      <c r="W56" s="38">
        <f>AVERAGE(K56:V56)</f>
        <v>-0.6505562091158591</v>
      </c>
      <c r="X56" s="37">
        <f>STDEV(K56:V56)/SQRT(COUNT(K56:V56))</f>
        <v>3.3474483693592253E-17</v>
      </c>
      <c r="Y56" s="36">
        <f>MIN(K56:V56)</f>
        <v>-0.65055620911585921</v>
      </c>
      <c r="Z56" s="35">
        <f>QUARTILE(K56:V56,1)</f>
        <v>-0.65055620911585921</v>
      </c>
      <c r="AA56" s="36">
        <f>MEDIAN(K56:V56)</f>
        <v>-0.65055620911585921</v>
      </c>
      <c r="AB56" s="35">
        <f>QUARTILE(K56:V56,3)</f>
        <v>-0.65055620911585921</v>
      </c>
      <c r="AC56" s="35">
        <f>MAX(K56:V56)</f>
        <v>-0.65055620911585921</v>
      </c>
      <c r="AD56" s="35">
        <f>SKEW(K56:V56)</f>
        <v>-1.1489125293076057</v>
      </c>
      <c r="AE56" s="35">
        <f>KURT(K56:V56)</f>
        <v>-2.4444444444444446</v>
      </c>
    </row>
    <row r="57" spans="2:31" x14ac:dyDescent="0.2">
      <c r="B57" s="34">
        <f>[46]FormattedData!A15</f>
        <v>0</v>
      </c>
      <c r="C57" s="34" t="e">
        <f>VLOOKUP($B57,[46]TrtCodes!$B$11:I58,2)</f>
        <v>#N/A</v>
      </c>
      <c r="D57" s="34" t="e">
        <f>VLOOKUP($B57,[46]TrtCodes!$B$11:J58,3)</f>
        <v>#N/A</v>
      </c>
      <c r="E57" s="34" t="e">
        <f>VLOOKUP($B57,[46]TrtCodes!$B$11:K58,4)</f>
        <v>#N/A</v>
      </c>
      <c r="F57" s="34" t="e">
        <f>VLOOKUP($B57,[46]TrtCodes!$B$11:L58,5)</f>
        <v>#N/A</v>
      </c>
      <c r="G57" s="34" t="e">
        <f>VLOOKUP($B57,[46]TrtCodes!$B$11:M58,6)</f>
        <v>#N/A</v>
      </c>
      <c r="H57" s="34" t="e">
        <f>VLOOKUP($B57,[46]TrtCodes!$B$11:N58,7)</f>
        <v>#N/A</v>
      </c>
      <c r="I57" s="34">
        <f>[46]FormattedData!B15</f>
        <v>0</v>
      </c>
      <c r="J57" s="37">
        <f>[46]FormattedData!C15</f>
        <v>0</v>
      </c>
      <c r="K57" s="39">
        <f>$J$3+[46]FormattedData!D15*$J$4+$M$4*$J$5+[46]FormattedData!D15^2*$J$6+$M$5*$J$7</f>
        <v>-0.65055620911585921</v>
      </c>
      <c r="L57" s="39">
        <f>$J$3+[46]FormattedData!E15*$J$4+$M$4*$J$5+[46]FormattedData!E15^2*$J$6+$M$5*$J$7</f>
        <v>-0.65055620911585921</v>
      </c>
      <c r="M57" s="39">
        <f>$J$3+[46]FormattedData!F15*$J$4+$M$4*$J$5+[46]FormattedData!F15^2*$J$6+$M$5*$J$7</f>
        <v>-0.65055620911585921</v>
      </c>
      <c r="N57" s="39">
        <f>$J$3+[46]FormattedData!G15*$J$4+$M$4*$J$5+[46]FormattedData!G15^2*$J$6+$M$5*$J$7</f>
        <v>-0.65055620911585921</v>
      </c>
      <c r="O57" s="39">
        <f>$J$3+[46]FormattedData!H15*$J$4+$M$4*$J$5+[46]FormattedData!H15^2*$J$6+$M$5*$J$7</f>
        <v>-0.65055620911585921</v>
      </c>
      <c r="P57" s="39">
        <f>$J$3+[46]FormattedData!I15*$J$4+$M$4*$J$5+[46]FormattedData!I15^2*$J$6+$M$5*$J$7</f>
        <v>-0.65055620911585921</v>
      </c>
      <c r="Q57" s="39">
        <f>$J$3+[46]FormattedData!J15*$J$4+$M$4*$J$5+[46]FormattedData!J15^2*$J$6+$M$5*$J$7</f>
        <v>-0.65055620911585921</v>
      </c>
      <c r="R57" s="39">
        <f>$J$3+[46]FormattedData!K15*$J$4+$M$4*$J$5+[46]FormattedData!K15^2*$J$6+$M$5*$J$7</f>
        <v>-0.65055620911585921</v>
      </c>
      <c r="S57" s="39">
        <f>$J$3+[46]FormattedData!L15*$J$4+$M$4*$J$5+[46]FormattedData!L15^2*$J$6+$M$5*$J$7</f>
        <v>-0.65055620911585921</v>
      </c>
      <c r="T57" s="39">
        <f>$J$3+[46]FormattedData!M15*$J$4+$M$4*$J$5+[46]FormattedData!M15^2*$J$6+$M$5*$J$7</f>
        <v>-0.65055620911585921</v>
      </c>
      <c r="U57" s="39">
        <f>$J$3+[46]FormattedData!N15*$J$4+$M$4*$J$5+[46]FormattedData!N15^2*$J$6+$M$5*$J$7</f>
        <v>-0.65055620911585921</v>
      </c>
      <c r="V57" s="39">
        <f>$J$3+[46]FormattedData!O15*$J$4+$M$4*$J$5+[46]FormattedData!O15^2*$J$6+$M$5*$J$7</f>
        <v>-0.65055620911585921</v>
      </c>
      <c r="W57" s="38">
        <f>AVERAGE(K57:V57)</f>
        <v>-0.6505562091158591</v>
      </c>
      <c r="X57" s="37">
        <f>STDEV(K57:V57)/SQRT(COUNT(K57:V57))</f>
        <v>3.3474483693592253E-17</v>
      </c>
      <c r="Y57" s="36">
        <f>MIN(K57:V57)</f>
        <v>-0.65055620911585921</v>
      </c>
      <c r="Z57" s="35">
        <f>QUARTILE(K57:V57,1)</f>
        <v>-0.65055620911585921</v>
      </c>
      <c r="AA57" s="36">
        <f>MEDIAN(K57:V57)</f>
        <v>-0.65055620911585921</v>
      </c>
      <c r="AB57" s="35">
        <f>QUARTILE(K57:V57,3)</f>
        <v>-0.65055620911585921</v>
      </c>
      <c r="AC57" s="35">
        <f>MAX(K57:V57)</f>
        <v>-0.65055620911585921</v>
      </c>
      <c r="AD57" s="35">
        <f>SKEW(K57:V57)</f>
        <v>-1.1489125293076057</v>
      </c>
      <c r="AE57" s="35">
        <f>KURT(K57:V57)</f>
        <v>-2.4444444444444446</v>
      </c>
    </row>
    <row r="58" spans="2:31" x14ac:dyDescent="0.2">
      <c r="B58" s="34">
        <f>[46]FormattedData!A31</f>
        <v>0</v>
      </c>
      <c r="C58" s="34" t="e">
        <f>VLOOKUP($B58,[46]TrtCodes!$B$11:I74,2)</f>
        <v>#N/A</v>
      </c>
      <c r="D58" s="34" t="e">
        <f>VLOOKUP($B58,[46]TrtCodes!$B$11:J74,3)</f>
        <v>#N/A</v>
      </c>
      <c r="E58" s="34" t="e">
        <f>VLOOKUP($B58,[46]TrtCodes!$B$11:K74,4)</f>
        <v>#N/A</v>
      </c>
      <c r="F58" s="34" t="e">
        <f>VLOOKUP($B58,[46]TrtCodes!$B$11:L74,5)</f>
        <v>#N/A</v>
      </c>
      <c r="G58" s="34" t="e">
        <f>VLOOKUP($B58,[46]TrtCodes!$B$11:M74,6)</f>
        <v>#N/A</v>
      </c>
      <c r="H58" s="34" t="e">
        <f>VLOOKUP($B58,[46]TrtCodes!$B$11:N74,7)</f>
        <v>#N/A</v>
      </c>
      <c r="I58" s="34">
        <f>[46]FormattedData!B31</f>
        <v>0</v>
      </c>
      <c r="J58" s="37">
        <f>[46]FormattedData!C31</f>
        <v>0</v>
      </c>
      <c r="K58" s="39">
        <f>$J$3+[46]FormattedData!D31*$J$4+$M$4*$J$5+[46]FormattedData!D31^2*$J$6+$M$5*$J$7</f>
        <v>-0.65055620911585921</v>
      </c>
      <c r="L58" s="39">
        <f>$J$3+[46]FormattedData!E31*$J$4+$M$4*$J$5+[46]FormattedData!E31^2*$J$6+$M$5*$J$7</f>
        <v>-0.65055620911585921</v>
      </c>
      <c r="M58" s="39">
        <f>$J$3+[46]FormattedData!F31*$J$4+$M$4*$J$5+[46]FormattedData!F31^2*$J$6+$M$5*$J$7</f>
        <v>-0.65055620911585921</v>
      </c>
      <c r="N58" s="39">
        <f>$J$3+[46]FormattedData!G31*$J$4+$M$4*$J$5+[46]FormattedData!G31^2*$J$6+$M$5*$J$7</f>
        <v>-0.65055620911585921</v>
      </c>
      <c r="O58" s="39">
        <f>$J$3+[46]FormattedData!H31*$J$4+$M$4*$J$5+[46]FormattedData!H31^2*$J$6+$M$5*$J$7</f>
        <v>-0.65055620911585921</v>
      </c>
      <c r="P58" s="39">
        <f>$J$3+[46]FormattedData!I31*$J$4+$M$4*$J$5+[46]FormattedData!I31^2*$J$6+$M$5*$J$7</f>
        <v>-0.65055620911585921</v>
      </c>
      <c r="Q58" s="39">
        <f>$J$3+[46]FormattedData!J31*$J$4+$M$4*$J$5+[46]FormattedData!J31^2*$J$6+$M$5*$J$7</f>
        <v>-0.65055620911585921</v>
      </c>
      <c r="R58" s="39">
        <f>$J$3+[46]FormattedData!K31*$J$4+$M$4*$J$5+[46]FormattedData!K31^2*$J$6+$M$5*$J$7</f>
        <v>-0.65055620911585921</v>
      </c>
      <c r="S58" s="39">
        <f>$J$3+[46]FormattedData!L31*$J$4+$M$4*$J$5+[46]FormattedData!L31^2*$J$6+$M$5*$J$7</f>
        <v>-0.65055620911585921</v>
      </c>
      <c r="T58" s="39">
        <f>$J$3+[46]FormattedData!M31*$J$4+$M$4*$J$5+[46]FormattedData!M31^2*$J$6+$M$5*$J$7</f>
        <v>-0.65055620911585921</v>
      </c>
      <c r="U58" s="39">
        <f>$J$3+[46]FormattedData!N31*$J$4+$M$4*$J$5+[46]FormattedData!N31^2*$J$6+$M$5*$J$7</f>
        <v>-0.65055620911585921</v>
      </c>
      <c r="V58" s="39">
        <f>$J$3+[46]FormattedData!O31*$J$4+$M$4*$J$5+[46]FormattedData!O31^2*$J$6+$M$5*$J$7</f>
        <v>-0.65055620911585921</v>
      </c>
      <c r="W58" s="38">
        <f>AVERAGE(K58:V58)</f>
        <v>-0.6505562091158591</v>
      </c>
      <c r="X58" s="37">
        <f>STDEV(K58:V58)/SQRT(COUNT(K58:V58))</f>
        <v>3.3474483693592253E-17</v>
      </c>
      <c r="Y58" s="36">
        <f>MIN(K58:V58)</f>
        <v>-0.65055620911585921</v>
      </c>
      <c r="Z58" s="35">
        <f>QUARTILE(K58:V58,1)</f>
        <v>-0.65055620911585921</v>
      </c>
      <c r="AA58" s="36">
        <f>MEDIAN(K58:V58)</f>
        <v>-0.65055620911585921</v>
      </c>
      <c r="AB58" s="35">
        <f>QUARTILE(K58:V58,3)</f>
        <v>-0.65055620911585921</v>
      </c>
      <c r="AC58" s="35">
        <f>MAX(K58:V58)</f>
        <v>-0.65055620911585921</v>
      </c>
      <c r="AD58" s="35">
        <f>SKEW(K58:V58)</f>
        <v>-1.1489125293076057</v>
      </c>
      <c r="AE58" s="35">
        <f>KURT(K58:V58)</f>
        <v>-2.4444444444444446</v>
      </c>
    </row>
    <row r="59" spans="2:31" x14ac:dyDescent="0.2">
      <c r="B59" s="34">
        <f>[46]FormattedData!A33</f>
        <v>0</v>
      </c>
      <c r="C59" s="34" t="e">
        <f>VLOOKUP($B59,[46]TrtCodes!$B$11:I76,2)</f>
        <v>#N/A</v>
      </c>
      <c r="D59" s="34" t="e">
        <f>VLOOKUP($B59,[46]TrtCodes!$B$11:J76,3)</f>
        <v>#N/A</v>
      </c>
      <c r="E59" s="34" t="e">
        <f>VLOOKUP($B59,[46]TrtCodes!$B$11:K76,4)</f>
        <v>#N/A</v>
      </c>
      <c r="F59" s="34" t="e">
        <f>VLOOKUP($B59,[46]TrtCodes!$B$11:L76,5)</f>
        <v>#N/A</v>
      </c>
      <c r="G59" s="34" t="e">
        <f>VLOOKUP($B59,[46]TrtCodes!$B$11:M76,6)</f>
        <v>#N/A</v>
      </c>
      <c r="H59" s="34" t="e">
        <f>VLOOKUP($B59,[46]TrtCodes!$B$11:N76,7)</f>
        <v>#N/A</v>
      </c>
      <c r="I59" s="34">
        <f>[46]FormattedData!B33</f>
        <v>0</v>
      </c>
      <c r="J59" s="37">
        <f>[46]FormattedData!C33</f>
        <v>0</v>
      </c>
      <c r="K59" s="39">
        <f>$J$3+[46]FormattedData!D33*$J$4+$M$4*$J$5+[46]FormattedData!D33^2*$J$6+$M$5*$J$7</f>
        <v>-0.65055620911585921</v>
      </c>
      <c r="L59" s="39">
        <f>$J$3+[46]FormattedData!E33*$J$4+$M$4*$J$5+[46]FormattedData!E33^2*$J$6+$M$5*$J$7</f>
        <v>-0.65055620911585921</v>
      </c>
      <c r="M59" s="39">
        <f>$J$3+[46]FormattedData!F33*$J$4+$M$4*$J$5+[46]FormattedData!F33^2*$J$6+$M$5*$J$7</f>
        <v>-0.65055620911585921</v>
      </c>
      <c r="N59" s="39">
        <f>$J$3+[46]FormattedData!G33*$J$4+$M$4*$J$5+[46]FormattedData!G33^2*$J$6+$M$5*$J$7</f>
        <v>-0.65055620911585921</v>
      </c>
      <c r="O59" s="39">
        <f>$J$3+[46]FormattedData!H33*$J$4+$M$4*$J$5+[46]FormattedData!H33^2*$J$6+$M$5*$J$7</f>
        <v>-0.65055620911585921</v>
      </c>
      <c r="P59" s="39">
        <f>$J$3+[46]FormattedData!I33*$J$4+$M$4*$J$5+[46]FormattedData!I33^2*$J$6+$M$5*$J$7</f>
        <v>-0.65055620911585921</v>
      </c>
      <c r="Q59" s="39">
        <f>$J$3+[46]FormattedData!J33*$J$4+$M$4*$J$5+[46]FormattedData!J33^2*$J$6+$M$5*$J$7</f>
        <v>-0.65055620911585921</v>
      </c>
      <c r="R59" s="39">
        <f>$J$3+[46]FormattedData!K33*$J$4+$M$4*$J$5+[46]FormattedData!K33^2*$J$6+$M$5*$J$7</f>
        <v>-0.65055620911585921</v>
      </c>
      <c r="S59" s="39">
        <f>$J$3+[46]FormattedData!L33*$J$4+$M$4*$J$5+[46]FormattedData!L33^2*$J$6+$M$5*$J$7</f>
        <v>-0.65055620911585921</v>
      </c>
      <c r="T59" s="39">
        <f>$J$3+[46]FormattedData!M33*$J$4+$M$4*$J$5+[46]FormattedData!M33^2*$J$6+$M$5*$J$7</f>
        <v>-0.65055620911585921</v>
      </c>
      <c r="U59" s="39">
        <f>$J$3+[46]FormattedData!N33*$J$4+$M$4*$J$5+[46]FormattedData!N33^2*$J$6+$M$5*$J$7</f>
        <v>-0.65055620911585921</v>
      </c>
      <c r="V59" s="39">
        <f>$J$3+[46]FormattedData!O33*$J$4+$M$4*$J$5+[46]FormattedData!O33^2*$J$6+$M$5*$J$7</f>
        <v>-0.65055620911585921</v>
      </c>
      <c r="W59" s="38">
        <f>AVERAGE(K59:V59)</f>
        <v>-0.6505562091158591</v>
      </c>
      <c r="X59" s="37">
        <f>STDEV(K59:V59)/SQRT(COUNT(K59:V59))</f>
        <v>3.3474483693592253E-17</v>
      </c>
      <c r="Y59" s="36">
        <f>MIN(K59:V59)</f>
        <v>-0.65055620911585921</v>
      </c>
      <c r="Z59" s="35">
        <f>QUARTILE(K59:V59,1)</f>
        <v>-0.65055620911585921</v>
      </c>
      <c r="AA59" s="36">
        <f>MEDIAN(K59:V59)</f>
        <v>-0.65055620911585921</v>
      </c>
      <c r="AB59" s="35">
        <f>QUARTILE(K59:V59,3)</f>
        <v>-0.65055620911585921</v>
      </c>
      <c r="AC59" s="35">
        <f>MAX(K59:V59)</f>
        <v>-0.65055620911585921</v>
      </c>
      <c r="AD59" s="35">
        <f>SKEW(K59:V59)</f>
        <v>-1.1489125293076057</v>
      </c>
      <c r="AE59" s="35">
        <f>KURT(K59:V59)</f>
        <v>-2.4444444444444446</v>
      </c>
    </row>
    <row r="60" spans="2:31" x14ac:dyDescent="0.2">
      <c r="B60" s="34">
        <f>[46]FormattedData!A35</f>
        <v>0</v>
      </c>
      <c r="C60" s="34" t="e">
        <f>VLOOKUP($B60,[46]TrtCodes!$B$11:I78,2)</f>
        <v>#N/A</v>
      </c>
      <c r="D60" s="34" t="e">
        <f>VLOOKUP($B60,[46]TrtCodes!$B$11:J78,3)</f>
        <v>#N/A</v>
      </c>
      <c r="E60" s="34" t="e">
        <f>VLOOKUP($B60,[46]TrtCodes!$B$11:K78,4)</f>
        <v>#N/A</v>
      </c>
      <c r="F60" s="34" t="e">
        <f>VLOOKUP($B60,[46]TrtCodes!$B$11:L78,5)</f>
        <v>#N/A</v>
      </c>
      <c r="G60" s="34" t="e">
        <f>VLOOKUP($B60,[46]TrtCodes!$B$11:M78,6)</f>
        <v>#N/A</v>
      </c>
      <c r="H60" s="34" t="e">
        <f>VLOOKUP($B60,[46]TrtCodes!$B$11:N78,7)</f>
        <v>#N/A</v>
      </c>
      <c r="I60" s="34">
        <f>[46]FormattedData!B35</f>
        <v>0</v>
      </c>
      <c r="J60" s="37">
        <f>[46]FormattedData!C35</f>
        <v>0</v>
      </c>
      <c r="K60" s="39">
        <f>$J$3+[46]FormattedData!D35*$J$4+$M$4*$J$5+[46]FormattedData!D35^2*$J$6+$M$5*$J$7</f>
        <v>-0.65055620911585921</v>
      </c>
      <c r="L60" s="39">
        <f>$J$3+[46]FormattedData!E35*$J$4+$M$4*$J$5+[46]FormattedData!E35^2*$J$6+$M$5*$J$7</f>
        <v>-0.65055620911585921</v>
      </c>
      <c r="M60" s="39">
        <f>$J$3+[46]FormattedData!F35*$J$4+$M$4*$J$5+[46]FormattedData!F35^2*$J$6+$M$5*$J$7</f>
        <v>-0.65055620911585921</v>
      </c>
      <c r="N60" s="39">
        <f>$J$3+[46]FormattedData!G35*$J$4+$M$4*$J$5+[46]FormattedData!G35^2*$J$6+$M$5*$J$7</f>
        <v>-0.65055620911585921</v>
      </c>
      <c r="O60" s="39">
        <f>$J$3+[46]FormattedData!H35*$J$4+$M$4*$J$5+[46]FormattedData!H35^2*$J$6+$M$5*$J$7</f>
        <v>-0.65055620911585921</v>
      </c>
      <c r="P60" s="39">
        <f>$J$3+[46]FormattedData!I35*$J$4+$M$4*$J$5+[46]FormattedData!I35^2*$J$6+$M$5*$J$7</f>
        <v>-0.65055620911585921</v>
      </c>
      <c r="Q60" s="39">
        <f>$J$3+[46]FormattedData!J35*$J$4+$M$4*$J$5+[46]FormattedData!J35^2*$J$6+$M$5*$J$7</f>
        <v>-0.65055620911585921</v>
      </c>
      <c r="R60" s="39">
        <f>$J$3+[46]FormattedData!K35*$J$4+$M$4*$J$5+[46]FormattedData!K35^2*$J$6+$M$5*$J$7</f>
        <v>-0.65055620911585921</v>
      </c>
      <c r="S60" s="39">
        <f>$J$3+[46]FormattedData!L35*$J$4+$M$4*$J$5+[46]FormattedData!L35^2*$J$6+$M$5*$J$7</f>
        <v>-0.65055620911585921</v>
      </c>
      <c r="T60" s="39">
        <f>$J$3+[46]FormattedData!M35*$J$4+$M$4*$J$5+[46]FormattedData!M35^2*$J$6+$M$5*$J$7</f>
        <v>-0.65055620911585921</v>
      </c>
      <c r="U60" s="39">
        <f>$J$3+[46]FormattedData!N35*$J$4+$M$4*$J$5+[46]FormattedData!N35^2*$J$6+$M$5*$J$7</f>
        <v>-0.65055620911585921</v>
      </c>
      <c r="V60" s="39">
        <f>$J$3+[46]FormattedData!O35*$J$4+$M$4*$J$5+[46]FormattedData!O35^2*$J$6+$M$5*$J$7</f>
        <v>-0.65055620911585921</v>
      </c>
      <c r="W60" s="38">
        <f>AVERAGE(K60:V60)</f>
        <v>-0.6505562091158591</v>
      </c>
      <c r="X60" s="37">
        <f>STDEV(K60:V60)/SQRT(COUNT(K60:V60))</f>
        <v>3.3474483693592253E-17</v>
      </c>
      <c r="Y60" s="36">
        <f>MIN(K60:V60)</f>
        <v>-0.65055620911585921</v>
      </c>
      <c r="Z60" s="35">
        <f>QUARTILE(K60:V60,1)</f>
        <v>-0.65055620911585921</v>
      </c>
      <c r="AA60" s="36">
        <f>MEDIAN(K60:V60)</f>
        <v>-0.65055620911585921</v>
      </c>
      <c r="AB60" s="35">
        <f>QUARTILE(K60:V60,3)</f>
        <v>-0.65055620911585921</v>
      </c>
      <c r="AC60" s="35">
        <f>MAX(K60:V60)</f>
        <v>-0.65055620911585921</v>
      </c>
      <c r="AD60" s="35">
        <f>SKEW(K60:V60)</f>
        <v>-1.1489125293076057</v>
      </c>
      <c r="AE60" s="35">
        <f>KURT(K60:V60)</f>
        <v>-2.4444444444444446</v>
      </c>
    </row>
    <row r="61" spans="2:31" x14ac:dyDescent="0.2">
      <c r="B61" s="34">
        <f>[46]FormattedData!A37</f>
        <v>0</v>
      </c>
      <c r="C61" s="34" t="e">
        <f>VLOOKUP($B61,[46]TrtCodes!$B$11:I80,2)</f>
        <v>#N/A</v>
      </c>
      <c r="D61" s="34" t="e">
        <f>VLOOKUP($B61,[46]TrtCodes!$B$11:J80,3)</f>
        <v>#N/A</v>
      </c>
      <c r="E61" s="34" t="e">
        <f>VLOOKUP($B61,[46]TrtCodes!$B$11:K80,4)</f>
        <v>#N/A</v>
      </c>
      <c r="F61" s="34" t="e">
        <f>VLOOKUP($B61,[46]TrtCodes!$B$11:L80,5)</f>
        <v>#N/A</v>
      </c>
      <c r="G61" s="34" t="e">
        <f>VLOOKUP($B61,[46]TrtCodes!$B$11:M80,6)</f>
        <v>#N/A</v>
      </c>
      <c r="H61" s="34" t="e">
        <f>VLOOKUP($B61,[46]TrtCodes!$B$11:N80,7)</f>
        <v>#N/A</v>
      </c>
      <c r="I61" s="34">
        <f>[46]FormattedData!B37</f>
        <v>0</v>
      </c>
      <c r="J61" s="37">
        <f>[46]FormattedData!C37</f>
        <v>0</v>
      </c>
      <c r="K61" s="39">
        <f>$J$3+[46]FormattedData!D37*$J$4+$M$4*$J$5+[46]FormattedData!D37^2*$J$6+$M$5*$J$7</f>
        <v>-0.65055620911585921</v>
      </c>
      <c r="L61" s="39">
        <f>$J$3+[46]FormattedData!E37*$J$4+$M$4*$J$5+[46]FormattedData!E37^2*$J$6+$M$5*$J$7</f>
        <v>-0.65055620911585921</v>
      </c>
      <c r="M61" s="39">
        <f>$J$3+[46]FormattedData!F37*$J$4+$M$4*$J$5+[46]FormattedData!F37^2*$J$6+$M$5*$J$7</f>
        <v>-0.65055620911585921</v>
      </c>
      <c r="N61" s="39">
        <f>$J$3+[46]FormattedData!G37*$J$4+$M$4*$J$5+[46]FormattedData!G37^2*$J$6+$M$5*$J$7</f>
        <v>-0.65055620911585921</v>
      </c>
      <c r="O61" s="39">
        <f>$J$3+[46]FormattedData!H37*$J$4+$M$4*$J$5+[46]FormattedData!H37^2*$J$6+$M$5*$J$7</f>
        <v>-0.65055620911585921</v>
      </c>
      <c r="P61" s="39">
        <f>$J$3+[46]FormattedData!I37*$J$4+$M$4*$J$5+[46]FormattedData!I37^2*$J$6+$M$5*$J$7</f>
        <v>-0.65055620911585921</v>
      </c>
      <c r="Q61" s="39">
        <f>$J$3+[46]FormattedData!J37*$J$4+$M$4*$J$5+[46]FormattedData!J37^2*$J$6+$M$5*$J$7</f>
        <v>-0.65055620911585921</v>
      </c>
      <c r="R61" s="39">
        <f>$J$3+[46]FormattedData!K37*$J$4+$M$4*$J$5+[46]FormattedData!K37^2*$J$6+$M$5*$J$7</f>
        <v>-0.65055620911585921</v>
      </c>
      <c r="S61" s="39">
        <f>$J$3+[46]FormattedData!L37*$J$4+$M$4*$J$5+[46]FormattedData!L37^2*$J$6+$M$5*$J$7</f>
        <v>-0.65055620911585921</v>
      </c>
      <c r="T61" s="39">
        <f>$J$3+[46]FormattedData!M37*$J$4+$M$4*$J$5+[46]FormattedData!M37^2*$J$6+$M$5*$J$7</f>
        <v>-0.65055620911585921</v>
      </c>
      <c r="U61" s="39">
        <f>$J$3+[46]FormattedData!N37*$J$4+$M$4*$J$5+[46]FormattedData!N37^2*$J$6+$M$5*$J$7</f>
        <v>-0.65055620911585921</v>
      </c>
      <c r="V61" s="39">
        <f>$J$3+[46]FormattedData!O37*$J$4+$M$4*$J$5+[46]FormattedData!O37^2*$J$6+$M$5*$J$7</f>
        <v>-0.65055620911585921</v>
      </c>
      <c r="W61" s="38">
        <f>AVERAGE(K61:V61)</f>
        <v>-0.6505562091158591</v>
      </c>
      <c r="X61" s="37">
        <f>STDEV(K61:V61)/SQRT(COUNT(K61:V61))</f>
        <v>3.3474483693592253E-17</v>
      </c>
      <c r="Y61" s="36">
        <f>MIN(K61:V61)</f>
        <v>-0.65055620911585921</v>
      </c>
      <c r="Z61" s="35">
        <f>QUARTILE(K61:V61,1)</f>
        <v>-0.65055620911585921</v>
      </c>
      <c r="AA61" s="36">
        <f>MEDIAN(K61:V61)</f>
        <v>-0.65055620911585921</v>
      </c>
      <c r="AB61" s="35">
        <f>QUARTILE(K61:V61,3)</f>
        <v>-0.65055620911585921</v>
      </c>
      <c r="AC61" s="35">
        <f>MAX(K61:V61)</f>
        <v>-0.65055620911585921</v>
      </c>
      <c r="AD61" s="35">
        <f>SKEW(K61:V61)</f>
        <v>-1.1489125293076057</v>
      </c>
      <c r="AE61" s="35">
        <f>KURT(K61:V61)</f>
        <v>-2.4444444444444446</v>
      </c>
    </row>
    <row r="62" spans="2:31" x14ac:dyDescent="0.2">
      <c r="B62" s="34">
        <f>[46]FormattedData!A39</f>
        <v>0</v>
      </c>
      <c r="C62" s="34" t="e">
        <f>VLOOKUP($B62,[46]TrtCodes!$B$11:I82,2)</f>
        <v>#N/A</v>
      </c>
      <c r="D62" s="34" t="e">
        <f>VLOOKUP($B62,[46]TrtCodes!$B$11:J82,3)</f>
        <v>#N/A</v>
      </c>
      <c r="E62" s="34" t="e">
        <f>VLOOKUP($B62,[46]TrtCodes!$B$11:K82,4)</f>
        <v>#N/A</v>
      </c>
      <c r="F62" s="34" t="e">
        <f>VLOOKUP($B62,[46]TrtCodes!$B$11:L82,5)</f>
        <v>#N/A</v>
      </c>
      <c r="G62" s="34" t="e">
        <f>VLOOKUP($B62,[46]TrtCodes!$B$11:M82,6)</f>
        <v>#N/A</v>
      </c>
      <c r="H62" s="34" t="e">
        <f>VLOOKUP($B62,[46]TrtCodes!$B$11:N82,7)</f>
        <v>#N/A</v>
      </c>
      <c r="I62" s="34">
        <f>[46]FormattedData!B39</f>
        <v>0</v>
      </c>
      <c r="J62" s="37">
        <f>[46]FormattedData!C39</f>
        <v>0</v>
      </c>
      <c r="K62" s="39">
        <f>$J$3+[46]FormattedData!D39*$J$4+$M$4*$J$5+[46]FormattedData!D39^2*$J$6+$M$5*$J$7</f>
        <v>-0.65055620911585921</v>
      </c>
      <c r="L62" s="39">
        <f>$J$3+[46]FormattedData!E39*$J$4+$M$4*$J$5+[46]FormattedData!E39^2*$J$6+$M$5*$J$7</f>
        <v>-0.65055620911585921</v>
      </c>
      <c r="M62" s="39">
        <f>$J$3+[46]FormattedData!F39*$J$4+$M$4*$J$5+[46]FormattedData!F39^2*$J$6+$M$5*$J$7</f>
        <v>-0.65055620911585921</v>
      </c>
      <c r="N62" s="39">
        <f>$J$3+[46]FormattedData!G39*$J$4+$M$4*$J$5+[46]FormattedData!G39^2*$J$6+$M$5*$J$7</f>
        <v>-0.65055620911585921</v>
      </c>
      <c r="O62" s="39">
        <f>$J$3+[46]FormattedData!H39*$J$4+$M$4*$J$5+[46]FormattedData!H39^2*$J$6+$M$5*$J$7</f>
        <v>-0.65055620911585921</v>
      </c>
      <c r="P62" s="39">
        <f>$J$3+[46]FormattedData!I39*$J$4+$M$4*$J$5+[46]FormattedData!I39^2*$J$6+$M$5*$J$7</f>
        <v>-0.65055620911585921</v>
      </c>
      <c r="Q62" s="39">
        <f>$J$3+[46]FormattedData!J39*$J$4+$M$4*$J$5+[46]FormattedData!J39^2*$J$6+$M$5*$J$7</f>
        <v>-0.65055620911585921</v>
      </c>
      <c r="R62" s="39">
        <f>$J$3+[46]FormattedData!K39*$J$4+$M$4*$J$5+[46]FormattedData!K39^2*$J$6+$M$5*$J$7</f>
        <v>-0.65055620911585921</v>
      </c>
      <c r="S62" s="39">
        <f>$J$3+[46]FormattedData!L39*$J$4+$M$4*$J$5+[46]FormattedData!L39^2*$J$6+$M$5*$J$7</f>
        <v>-0.65055620911585921</v>
      </c>
      <c r="T62" s="39">
        <f>$J$3+[46]FormattedData!M39*$J$4+$M$4*$J$5+[46]FormattedData!M39^2*$J$6+$M$5*$J$7</f>
        <v>-0.65055620911585921</v>
      </c>
      <c r="U62" s="39">
        <f>$J$3+[46]FormattedData!N39*$J$4+$M$4*$J$5+[46]FormattedData!N39^2*$J$6+$M$5*$J$7</f>
        <v>-0.65055620911585921</v>
      </c>
      <c r="V62" s="39">
        <f>$J$3+[46]FormattedData!O39*$J$4+$M$4*$J$5+[46]FormattedData!O39^2*$J$6+$M$5*$J$7</f>
        <v>-0.65055620911585921</v>
      </c>
      <c r="W62" s="38">
        <f>AVERAGE(K62:V62)</f>
        <v>-0.6505562091158591</v>
      </c>
      <c r="X62" s="37">
        <f>STDEV(K62:V62)/SQRT(COUNT(K62:V62))</f>
        <v>3.3474483693592253E-17</v>
      </c>
      <c r="Y62" s="36">
        <f>MIN(K62:V62)</f>
        <v>-0.65055620911585921</v>
      </c>
      <c r="Z62" s="35">
        <f>QUARTILE(K62:V62,1)</f>
        <v>-0.65055620911585921</v>
      </c>
      <c r="AA62" s="36">
        <f>MEDIAN(K62:V62)</f>
        <v>-0.65055620911585921</v>
      </c>
      <c r="AB62" s="35">
        <f>QUARTILE(K62:V62,3)</f>
        <v>-0.65055620911585921</v>
      </c>
      <c r="AC62" s="35">
        <f>MAX(K62:V62)</f>
        <v>-0.65055620911585921</v>
      </c>
      <c r="AD62" s="35">
        <f>SKEW(K62:V62)</f>
        <v>-1.1489125293076057</v>
      </c>
      <c r="AE62" s="35">
        <f>KURT(K62:V62)</f>
        <v>-2.4444444444444446</v>
      </c>
    </row>
    <row r="63" spans="2:31" x14ac:dyDescent="0.2">
      <c r="B63" s="34">
        <f>[46]FormattedData!A41</f>
        <v>0</v>
      </c>
      <c r="C63" s="34" t="e">
        <f>VLOOKUP($B63,[46]TrtCodes!$B$11:I84,2)</f>
        <v>#N/A</v>
      </c>
      <c r="D63" s="34" t="e">
        <f>VLOOKUP($B63,[46]TrtCodes!$B$11:J84,3)</f>
        <v>#N/A</v>
      </c>
      <c r="E63" s="34" t="e">
        <f>VLOOKUP($B63,[46]TrtCodes!$B$11:K84,4)</f>
        <v>#N/A</v>
      </c>
      <c r="F63" s="34" t="e">
        <f>VLOOKUP($B63,[46]TrtCodes!$B$11:L84,5)</f>
        <v>#N/A</v>
      </c>
      <c r="G63" s="34" t="e">
        <f>VLOOKUP($B63,[46]TrtCodes!$B$11:M84,6)</f>
        <v>#N/A</v>
      </c>
      <c r="H63" s="34" t="e">
        <f>VLOOKUP($B63,[46]TrtCodes!$B$11:N84,7)</f>
        <v>#N/A</v>
      </c>
      <c r="I63" s="34">
        <f>[46]FormattedData!B41</f>
        <v>0</v>
      </c>
      <c r="J63" s="37">
        <f>[46]FormattedData!C41</f>
        <v>0</v>
      </c>
      <c r="K63" s="39">
        <f>$J$3+[46]FormattedData!D41*$J$4+$M$4*$J$5+[46]FormattedData!D41^2*$J$6+$M$5*$J$7</f>
        <v>-0.65055620911585921</v>
      </c>
      <c r="L63" s="39">
        <f>$J$3+[46]FormattedData!E41*$J$4+$M$4*$J$5+[46]FormattedData!E41^2*$J$6+$M$5*$J$7</f>
        <v>-0.65055620911585921</v>
      </c>
      <c r="M63" s="39">
        <f>$J$3+[46]FormattedData!F41*$J$4+$M$4*$J$5+[46]FormattedData!F41^2*$J$6+$M$5*$J$7</f>
        <v>-0.65055620911585921</v>
      </c>
      <c r="N63" s="39">
        <f>$J$3+[46]FormattedData!G41*$J$4+$M$4*$J$5+[46]FormattedData!G41^2*$J$6+$M$5*$J$7</f>
        <v>-0.65055620911585921</v>
      </c>
      <c r="O63" s="39">
        <f>$J$3+[46]FormattedData!H41*$J$4+$M$4*$J$5+[46]FormattedData!H41^2*$J$6+$M$5*$J$7</f>
        <v>-0.65055620911585921</v>
      </c>
      <c r="P63" s="39">
        <f>$J$3+[46]FormattedData!I41*$J$4+$M$4*$J$5+[46]FormattedData!I41^2*$J$6+$M$5*$J$7</f>
        <v>-0.65055620911585921</v>
      </c>
      <c r="Q63" s="39">
        <f>$J$3+[46]FormattedData!J41*$J$4+$M$4*$J$5+[46]FormattedData!J41^2*$J$6+$M$5*$J$7</f>
        <v>-0.65055620911585921</v>
      </c>
      <c r="R63" s="39">
        <f>$J$3+[46]FormattedData!K41*$J$4+$M$4*$J$5+[46]FormattedData!K41^2*$J$6+$M$5*$J$7</f>
        <v>-0.65055620911585921</v>
      </c>
      <c r="S63" s="39">
        <f>$J$3+[46]FormattedData!L41*$J$4+$M$4*$J$5+[46]FormattedData!L41^2*$J$6+$M$5*$J$7</f>
        <v>-0.65055620911585921</v>
      </c>
      <c r="T63" s="39">
        <f>$J$3+[46]FormattedData!M41*$J$4+$M$4*$J$5+[46]FormattedData!M41^2*$J$6+$M$5*$J$7</f>
        <v>-0.65055620911585921</v>
      </c>
      <c r="U63" s="39">
        <f>$J$3+[46]FormattedData!N41*$J$4+$M$4*$J$5+[46]FormattedData!N41^2*$J$6+$M$5*$J$7</f>
        <v>-0.65055620911585921</v>
      </c>
      <c r="V63" s="39">
        <f>$J$3+[46]FormattedData!O41*$J$4+$M$4*$J$5+[46]FormattedData!O41^2*$J$6+$M$5*$J$7</f>
        <v>-0.65055620911585921</v>
      </c>
      <c r="W63" s="38">
        <f>AVERAGE(K63:V63)</f>
        <v>-0.6505562091158591</v>
      </c>
      <c r="X63" s="37">
        <f>STDEV(K63:V63)/SQRT(COUNT(K63:V63))</f>
        <v>3.3474483693592253E-17</v>
      </c>
      <c r="Y63" s="36">
        <f>MIN(K63:V63)</f>
        <v>-0.65055620911585921</v>
      </c>
      <c r="Z63" s="35">
        <f>QUARTILE(K63:V63,1)</f>
        <v>-0.65055620911585921</v>
      </c>
      <c r="AA63" s="36">
        <f>MEDIAN(K63:V63)</f>
        <v>-0.65055620911585921</v>
      </c>
      <c r="AB63" s="35">
        <f>QUARTILE(K63:V63,3)</f>
        <v>-0.65055620911585921</v>
      </c>
      <c r="AC63" s="35">
        <f>MAX(K63:V63)</f>
        <v>-0.65055620911585921</v>
      </c>
      <c r="AD63" s="35">
        <f>SKEW(K63:V63)</f>
        <v>-1.1489125293076057</v>
      </c>
      <c r="AE63" s="35">
        <f>KURT(K63:V63)</f>
        <v>-2.4444444444444446</v>
      </c>
    </row>
    <row r="64" spans="2:31" x14ac:dyDescent="0.2">
      <c r="B64" s="34">
        <f>[46]FormattedData!A43</f>
        <v>0</v>
      </c>
      <c r="C64" s="34" t="e">
        <f>VLOOKUP($B64,[46]TrtCodes!$B$11:I86,2)</f>
        <v>#N/A</v>
      </c>
      <c r="D64" s="34" t="e">
        <f>VLOOKUP($B64,[46]TrtCodes!$B$11:J86,3)</f>
        <v>#N/A</v>
      </c>
      <c r="E64" s="34" t="e">
        <f>VLOOKUP($B64,[46]TrtCodes!$B$11:K86,4)</f>
        <v>#N/A</v>
      </c>
      <c r="F64" s="34" t="e">
        <f>VLOOKUP($B64,[46]TrtCodes!$B$11:L86,5)</f>
        <v>#N/A</v>
      </c>
      <c r="G64" s="34" t="e">
        <f>VLOOKUP($B64,[46]TrtCodes!$B$11:M86,6)</f>
        <v>#N/A</v>
      </c>
      <c r="H64" s="34" t="e">
        <f>VLOOKUP($B64,[46]TrtCodes!$B$11:N86,7)</f>
        <v>#N/A</v>
      </c>
      <c r="I64" s="34">
        <f>[46]FormattedData!B43</f>
        <v>0</v>
      </c>
      <c r="J64" s="37">
        <f>[46]FormattedData!C43</f>
        <v>0</v>
      </c>
      <c r="K64" s="39">
        <f>$J$3+[46]FormattedData!D43*$J$4+$M$4*$J$5+[46]FormattedData!D43^2*$J$6+$M$5*$J$7</f>
        <v>-0.65055620911585921</v>
      </c>
      <c r="L64" s="39">
        <f>$J$3+[46]FormattedData!E43*$J$4+$M$4*$J$5+[46]FormattedData!E43^2*$J$6+$M$5*$J$7</f>
        <v>-0.65055620911585921</v>
      </c>
      <c r="M64" s="39">
        <f>$J$3+[46]FormattedData!F43*$J$4+$M$4*$J$5+[46]FormattedData!F43^2*$J$6+$M$5*$J$7</f>
        <v>-0.65055620911585921</v>
      </c>
      <c r="N64" s="39">
        <f>$J$3+[46]FormattedData!G43*$J$4+$M$4*$J$5+[46]FormattedData!G43^2*$J$6+$M$5*$J$7</f>
        <v>-0.65055620911585921</v>
      </c>
      <c r="O64" s="39">
        <f>$J$3+[46]FormattedData!H43*$J$4+$M$4*$J$5+[46]FormattedData!H43^2*$J$6+$M$5*$J$7</f>
        <v>-0.65055620911585921</v>
      </c>
      <c r="P64" s="39">
        <f>$J$3+[46]FormattedData!I43*$J$4+$M$4*$J$5+[46]FormattedData!I43^2*$J$6+$M$5*$J$7</f>
        <v>-0.65055620911585921</v>
      </c>
      <c r="Q64" s="39">
        <f>$J$3+[46]FormattedData!J43*$J$4+$M$4*$J$5+[46]FormattedData!J43^2*$J$6+$M$5*$J$7</f>
        <v>-0.65055620911585921</v>
      </c>
      <c r="R64" s="39">
        <f>$J$3+[46]FormattedData!K43*$J$4+$M$4*$J$5+[46]FormattedData!K43^2*$J$6+$M$5*$J$7</f>
        <v>-0.65055620911585921</v>
      </c>
      <c r="S64" s="39">
        <f>$J$3+[46]FormattedData!L43*$J$4+$M$4*$J$5+[46]FormattedData!L43^2*$J$6+$M$5*$J$7</f>
        <v>-0.65055620911585921</v>
      </c>
      <c r="T64" s="39">
        <f>$J$3+[46]FormattedData!M43*$J$4+$M$4*$J$5+[46]FormattedData!M43^2*$J$6+$M$5*$J$7</f>
        <v>-0.65055620911585921</v>
      </c>
      <c r="U64" s="39">
        <f>$J$3+[46]FormattedData!N43*$J$4+$M$4*$J$5+[46]FormattedData!N43^2*$J$6+$M$5*$J$7</f>
        <v>-0.65055620911585921</v>
      </c>
      <c r="V64" s="39">
        <f>$J$3+[46]FormattedData!O43*$J$4+$M$4*$J$5+[46]FormattedData!O43^2*$J$6+$M$5*$J$7</f>
        <v>-0.65055620911585921</v>
      </c>
      <c r="W64" s="38">
        <f>AVERAGE(K64:V64)</f>
        <v>-0.6505562091158591</v>
      </c>
      <c r="X64" s="37">
        <f>STDEV(K64:V64)/SQRT(COUNT(K64:V64))</f>
        <v>3.3474483693592253E-17</v>
      </c>
      <c r="Y64" s="36">
        <f>MIN(K64:V64)</f>
        <v>-0.65055620911585921</v>
      </c>
      <c r="Z64" s="35">
        <f>QUARTILE(K64:V64,1)</f>
        <v>-0.65055620911585921</v>
      </c>
      <c r="AA64" s="36">
        <f>MEDIAN(K64:V64)</f>
        <v>-0.65055620911585921</v>
      </c>
      <c r="AB64" s="35">
        <f>QUARTILE(K64:V64,3)</f>
        <v>-0.65055620911585921</v>
      </c>
      <c r="AC64" s="35">
        <f>MAX(K64:V64)</f>
        <v>-0.65055620911585921</v>
      </c>
      <c r="AD64" s="35">
        <f>SKEW(K64:V64)</f>
        <v>-1.1489125293076057</v>
      </c>
      <c r="AE64" s="35">
        <f>KURT(K64:V64)</f>
        <v>-2.4444444444444446</v>
      </c>
    </row>
    <row r="65" spans="2:31" x14ac:dyDescent="0.2">
      <c r="B65" s="34">
        <f>[46]FormattedData!A45</f>
        <v>0</v>
      </c>
      <c r="C65" s="34" t="e">
        <f>VLOOKUP($B65,[46]TrtCodes!$B$11:I88,2)</f>
        <v>#N/A</v>
      </c>
      <c r="D65" s="34" t="e">
        <f>VLOOKUP($B65,[46]TrtCodes!$B$11:J88,3)</f>
        <v>#N/A</v>
      </c>
      <c r="E65" s="34" t="e">
        <f>VLOOKUP($B65,[46]TrtCodes!$B$11:K88,4)</f>
        <v>#N/A</v>
      </c>
      <c r="F65" s="34" t="e">
        <f>VLOOKUP($B65,[46]TrtCodes!$B$11:L88,5)</f>
        <v>#N/A</v>
      </c>
      <c r="G65" s="34" t="e">
        <f>VLOOKUP($B65,[46]TrtCodes!$B$11:M88,6)</f>
        <v>#N/A</v>
      </c>
      <c r="H65" s="34" t="e">
        <f>VLOOKUP($B65,[46]TrtCodes!$B$11:N88,7)</f>
        <v>#N/A</v>
      </c>
      <c r="I65" s="34">
        <f>[46]FormattedData!B45</f>
        <v>0</v>
      </c>
      <c r="J65" s="37">
        <f>[46]FormattedData!C45</f>
        <v>0</v>
      </c>
      <c r="K65" s="39">
        <f>$J$3+[46]FormattedData!D45*$J$4+$M$4*$J$5+[46]FormattedData!D45^2*$J$6+$M$5*$J$7</f>
        <v>-0.65055620911585921</v>
      </c>
      <c r="L65" s="39">
        <f>$J$3+[46]FormattedData!E45*$J$4+$M$4*$J$5+[46]FormattedData!E45^2*$J$6+$M$5*$J$7</f>
        <v>-0.65055620911585921</v>
      </c>
      <c r="M65" s="39">
        <f>$J$3+[46]FormattedData!F45*$J$4+$M$4*$J$5+[46]FormattedData!F45^2*$J$6+$M$5*$J$7</f>
        <v>-0.65055620911585921</v>
      </c>
      <c r="N65" s="39">
        <f>$J$3+[46]FormattedData!G45*$J$4+$M$4*$J$5+[46]FormattedData!G45^2*$J$6+$M$5*$J$7</f>
        <v>-0.65055620911585921</v>
      </c>
      <c r="O65" s="39">
        <f>$J$3+[46]FormattedData!H45*$J$4+$M$4*$J$5+[46]FormattedData!H45^2*$J$6+$M$5*$J$7</f>
        <v>-0.65055620911585921</v>
      </c>
      <c r="P65" s="39">
        <f>$J$3+[46]FormattedData!I45*$J$4+$M$4*$J$5+[46]FormattedData!I45^2*$J$6+$M$5*$J$7</f>
        <v>-0.65055620911585921</v>
      </c>
      <c r="Q65" s="39">
        <f>$J$3+[46]FormattedData!J45*$J$4+$M$4*$J$5+[46]FormattedData!J45^2*$J$6+$M$5*$J$7</f>
        <v>-0.65055620911585921</v>
      </c>
      <c r="R65" s="39">
        <f>$J$3+[46]FormattedData!K45*$J$4+$M$4*$J$5+[46]FormattedData!K45^2*$J$6+$M$5*$J$7</f>
        <v>-0.65055620911585921</v>
      </c>
      <c r="S65" s="39">
        <f>$J$3+[46]FormattedData!L45*$J$4+$M$4*$J$5+[46]FormattedData!L45^2*$J$6+$M$5*$J$7</f>
        <v>-0.65055620911585921</v>
      </c>
      <c r="T65" s="39">
        <f>$J$3+[46]FormattedData!M45*$J$4+$M$4*$J$5+[46]FormattedData!M45^2*$J$6+$M$5*$J$7</f>
        <v>-0.65055620911585921</v>
      </c>
      <c r="U65" s="39">
        <f>$J$3+[46]FormattedData!N45*$J$4+$M$4*$J$5+[46]FormattedData!N45^2*$J$6+$M$5*$J$7</f>
        <v>-0.65055620911585921</v>
      </c>
      <c r="V65" s="39">
        <f>$J$3+[46]FormattedData!O45*$J$4+$M$4*$J$5+[46]FormattedData!O45^2*$J$6+$M$5*$J$7</f>
        <v>-0.65055620911585921</v>
      </c>
      <c r="W65" s="38">
        <f>AVERAGE(K65:V65)</f>
        <v>-0.6505562091158591</v>
      </c>
      <c r="X65" s="37">
        <f>STDEV(K65:V65)/SQRT(COUNT(K65:V65))</f>
        <v>3.3474483693592253E-17</v>
      </c>
      <c r="Y65" s="36">
        <f>MIN(K65:V65)</f>
        <v>-0.65055620911585921</v>
      </c>
      <c r="Z65" s="35">
        <f>QUARTILE(K65:V65,1)</f>
        <v>-0.65055620911585921</v>
      </c>
      <c r="AA65" s="36">
        <f>MEDIAN(K65:V65)</f>
        <v>-0.65055620911585921</v>
      </c>
      <c r="AB65" s="35">
        <f>QUARTILE(K65:V65,3)</f>
        <v>-0.65055620911585921</v>
      </c>
      <c r="AC65" s="35">
        <f>MAX(K65:V65)</f>
        <v>-0.65055620911585921</v>
      </c>
      <c r="AD65" s="35">
        <f>SKEW(K65:V65)</f>
        <v>-1.1489125293076057</v>
      </c>
      <c r="AE65" s="35">
        <f>KURT(K65:V65)</f>
        <v>-2.4444444444444446</v>
      </c>
    </row>
    <row r="66" spans="2:31" x14ac:dyDescent="0.2">
      <c r="B66" s="34">
        <f>[46]FormattedData!A63</f>
        <v>0</v>
      </c>
      <c r="C66" s="34" t="e">
        <f>VLOOKUP($B66,[46]TrtCodes!$B$11:I106,2)</f>
        <v>#N/A</v>
      </c>
      <c r="D66" s="34" t="e">
        <f>VLOOKUP($B66,[46]TrtCodes!$B$11:J106,3)</f>
        <v>#N/A</v>
      </c>
      <c r="E66" s="34" t="e">
        <f>VLOOKUP($B66,[46]TrtCodes!$B$11:K106,4)</f>
        <v>#N/A</v>
      </c>
      <c r="F66" s="34" t="e">
        <f>VLOOKUP($B66,[46]TrtCodes!$B$11:L106,5)</f>
        <v>#N/A</v>
      </c>
      <c r="G66" s="34" t="e">
        <f>VLOOKUP($B66,[46]TrtCodes!$B$11:M106,6)</f>
        <v>#N/A</v>
      </c>
      <c r="H66" s="34" t="e">
        <f>VLOOKUP($B66,[46]TrtCodes!$B$11:N106,7)</f>
        <v>#N/A</v>
      </c>
      <c r="I66" s="34">
        <f>[46]FormattedData!B63</f>
        <v>0</v>
      </c>
      <c r="J66" s="37">
        <f>[46]FormattedData!C63</f>
        <v>0</v>
      </c>
      <c r="K66" s="39">
        <f>$J$3+[46]FormattedData!D63*$J$4+$M$4*$J$5+[46]FormattedData!D63^2*$J$6+$M$5*$J$7</f>
        <v>-0.65055620911585921</v>
      </c>
      <c r="L66" s="39">
        <f>$J$3+[46]FormattedData!E63*$J$4+$M$4*$J$5+[46]FormattedData!E63^2*$J$6+$M$5*$J$7</f>
        <v>-0.65055620911585921</v>
      </c>
      <c r="M66" s="39">
        <f>$J$3+[46]FormattedData!F63*$J$4+$M$4*$J$5+[46]FormattedData!F63^2*$J$6+$M$5*$J$7</f>
        <v>-0.65055620911585921</v>
      </c>
      <c r="N66" s="39">
        <f>$J$3+[46]FormattedData!G63*$J$4+$M$4*$J$5+[46]FormattedData!G63^2*$J$6+$M$5*$J$7</f>
        <v>-0.65055620911585921</v>
      </c>
      <c r="O66" s="39">
        <f>$J$3+[46]FormattedData!H63*$J$4+$M$4*$J$5+[46]FormattedData!H63^2*$J$6+$M$5*$J$7</f>
        <v>-0.65055620911585921</v>
      </c>
      <c r="P66" s="39">
        <f>$J$3+[46]FormattedData!I63*$J$4+$M$4*$J$5+[46]FormattedData!I63^2*$J$6+$M$5*$J$7</f>
        <v>-0.65055620911585921</v>
      </c>
      <c r="Q66" s="39">
        <f>$J$3+[46]FormattedData!J63*$J$4+$M$4*$J$5+[46]FormattedData!J63^2*$J$6+$M$5*$J$7</f>
        <v>-0.65055620911585921</v>
      </c>
      <c r="R66" s="39">
        <f>$J$3+[46]FormattedData!K63*$J$4+$M$4*$J$5+[46]FormattedData!K63^2*$J$6+$M$5*$J$7</f>
        <v>-0.65055620911585921</v>
      </c>
      <c r="S66" s="39">
        <f>$J$3+[46]FormattedData!L63*$J$4+$M$4*$J$5+[46]FormattedData!L63^2*$J$6+$M$5*$J$7</f>
        <v>-0.65055620911585921</v>
      </c>
      <c r="T66" s="39">
        <f>$J$3+[46]FormattedData!M63*$J$4+$M$4*$J$5+[46]FormattedData!M63^2*$J$6+$M$5*$J$7</f>
        <v>-0.65055620911585921</v>
      </c>
      <c r="U66" s="39">
        <f>$J$3+[46]FormattedData!N63*$J$4+$M$4*$J$5+[46]FormattedData!N63^2*$J$6+$M$5*$J$7</f>
        <v>-0.65055620911585921</v>
      </c>
      <c r="V66" s="39">
        <f>$J$3+[46]FormattedData!O63*$J$4+$M$4*$J$5+[46]FormattedData!O63^2*$J$6+$M$5*$J$7</f>
        <v>-0.65055620911585921</v>
      </c>
      <c r="W66" s="38">
        <f>AVERAGE(K66:V66)</f>
        <v>-0.6505562091158591</v>
      </c>
      <c r="X66" s="37">
        <f>STDEV(K66:V66)/SQRT(COUNT(K66:V66))</f>
        <v>3.3474483693592253E-17</v>
      </c>
      <c r="Y66" s="36">
        <f>MIN(K66:V66)</f>
        <v>-0.65055620911585921</v>
      </c>
      <c r="Z66" s="35">
        <f>QUARTILE(K66:V66,1)</f>
        <v>-0.65055620911585921</v>
      </c>
      <c r="AA66" s="36">
        <f>MEDIAN(K66:V66)</f>
        <v>-0.65055620911585921</v>
      </c>
      <c r="AB66" s="35">
        <f>QUARTILE(K66:V66,3)</f>
        <v>-0.65055620911585921</v>
      </c>
      <c r="AC66" s="35">
        <f>MAX(K66:V66)</f>
        <v>-0.65055620911585921</v>
      </c>
      <c r="AD66" s="35">
        <f>SKEW(K66:V66)</f>
        <v>-1.1489125293076057</v>
      </c>
      <c r="AE66" s="35">
        <f>KURT(K66:V66)</f>
        <v>-2.4444444444444446</v>
      </c>
    </row>
    <row r="67" spans="2:31" x14ac:dyDescent="0.2">
      <c r="B67" s="34">
        <f>[46]FormattedData!A65</f>
        <v>0</v>
      </c>
      <c r="C67" s="34" t="e">
        <f>VLOOKUP($B67,[46]TrtCodes!$B$11:I108,2)</f>
        <v>#N/A</v>
      </c>
      <c r="D67" s="34" t="e">
        <f>VLOOKUP($B67,[46]TrtCodes!$B$11:J108,3)</f>
        <v>#N/A</v>
      </c>
      <c r="E67" s="34" t="e">
        <f>VLOOKUP($B67,[46]TrtCodes!$B$11:K108,4)</f>
        <v>#N/A</v>
      </c>
      <c r="F67" s="34" t="e">
        <f>VLOOKUP($B67,[46]TrtCodes!$B$11:L108,5)</f>
        <v>#N/A</v>
      </c>
      <c r="G67" s="34" t="e">
        <f>VLOOKUP($B67,[46]TrtCodes!$B$11:M108,6)</f>
        <v>#N/A</v>
      </c>
      <c r="H67" s="34" t="e">
        <f>VLOOKUP($B67,[46]TrtCodes!$B$11:N108,7)</f>
        <v>#N/A</v>
      </c>
      <c r="I67" s="34">
        <f>[46]FormattedData!B65</f>
        <v>0</v>
      </c>
      <c r="J67" s="37">
        <f>[46]FormattedData!C65</f>
        <v>0</v>
      </c>
      <c r="K67" s="39">
        <f>$J$3+[46]FormattedData!D65*$J$4+$M$4*$J$5+[46]FormattedData!D65^2*$J$6+$M$5*$J$7</f>
        <v>-0.65055620911585921</v>
      </c>
      <c r="L67" s="39">
        <f>$J$3+[46]FormattedData!E65*$J$4+$M$4*$J$5+[46]FormattedData!E65^2*$J$6+$M$5*$J$7</f>
        <v>-0.65055620911585921</v>
      </c>
      <c r="M67" s="39">
        <f>$J$3+[46]FormattedData!F65*$J$4+$M$4*$J$5+[46]FormattedData!F65^2*$J$6+$M$5*$J$7</f>
        <v>-0.65055620911585921</v>
      </c>
      <c r="N67" s="39">
        <f>$J$3+[46]FormattedData!G65*$J$4+$M$4*$J$5+[46]FormattedData!G65^2*$J$6+$M$5*$J$7</f>
        <v>-0.65055620911585921</v>
      </c>
      <c r="O67" s="39">
        <f>$J$3+[46]FormattedData!H65*$J$4+$M$4*$J$5+[46]FormattedData!H65^2*$J$6+$M$5*$J$7</f>
        <v>-0.65055620911585921</v>
      </c>
      <c r="P67" s="39">
        <f>$J$3+[46]FormattedData!I65*$J$4+$M$4*$J$5+[46]FormattedData!I65^2*$J$6+$M$5*$J$7</f>
        <v>-0.65055620911585921</v>
      </c>
      <c r="Q67" s="39">
        <f>$J$3+[46]FormattedData!J65*$J$4+$M$4*$J$5+[46]FormattedData!J65^2*$J$6+$M$5*$J$7</f>
        <v>-0.65055620911585921</v>
      </c>
      <c r="R67" s="39">
        <f>$J$3+[46]FormattedData!K65*$J$4+$M$4*$J$5+[46]FormattedData!K65^2*$J$6+$M$5*$J$7</f>
        <v>-0.65055620911585921</v>
      </c>
      <c r="S67" s="39">
        <f>$J$3+[46]FormattedData!L65*$J$4+$M$4*$J$5+[46]FormattedData!L65^2*$J$6+$M$5*$J$7</f>
        <v>-0.65055620911585921</v>
      </c>
      <c r="T67" s="39">
        <f>$J$3+[46]FormattedData!M65*$J$4+$M$4*$J$5+[46]FormattedData!M65^2*$J$6+$M$5*$J$7</f>
        <v>-0.65055620911585921</v>
      </c>
      <c r="U67" s="39">
        <f>$J$3+[46]FormattedData!N65*$J$4+$M$4*$J$5+[46]FormattedData!N65^2*$J$6+$M$5*$J$7</f>
        <v>-0.65055620911585921</v>
      </c>
      <c r="V67" s="39">
        <f>$J$3+[46]FormattedData!O65*$J$4+$M$4*$J$5+[46]FormattedData!O65^2*$J$6+$M$5*$J$7</f>
        <v>-0.65055620911585921</v>
      </c>
      <c r="W67" s="38">
        <f>AVERAGE(K67:V67)</f>
        <v>-0.6505562091158591</v>
      </c>
      <c r="X67" s="37">
        <f>STDEV(K67:V67)/SQRT(COUNT(K67:V67))</f>
        <v>3.3474483693592253E-17</v>
      </c>
      <c r="Y67" s="36">
        <f>MIN(K67:V67)</f>
        <v>-0.65055620911585921</v>
      </c>
      <c r="Z67" s="35">
        <f>QUARTILE(K67:V67,1)</f>
        <v>-0.65055620911585921</v>
      </c>
      <c r="AA67" s="36">
        <f>MEDIAN(K67:V67)</f>
        <v>-0.65055620911585921</v>
      </c>
      <c r="AB67" s="35">
        <f>QUARTILE(K67:V67,3)</f>
        <v>-0.65055620911585921</v>
      </c>
      <c r="AC67" s="35">
        <f>MAX(K67:V67)</f>
        <v>-0.65055620911585921</v>
      </c>
      <c r="AD67" s="35">
        <f>SKEW(K67:V67)</f>
        <v>-1.1489125293076057</v>
      </c>
      <c r="AE67" s="35">
        <f>KURT(K67:V67)</f>
        <v>-2.4444444444444446</v>
      </c>
    </row>
    <row r="68" spans="2:31" x14ac:dyDescent="0.2">
      <c r="B68" s="34">
        <f>[46]FormattedData!A67</f>
        <v>0</v>
      </c>
      <c r="C68" s="34" t="e">
        <f>VLOOKUP($B68,[46]TrtCodes!$B$11:I110,2)</f>
        <v>#N/A</v>
      </c>
      <c r="D68" s="34" t="e">
        <f>VLOOKUP($B68,[46]TrtCodes!$B$11:J110,3)</f>
        <v>#N/A</v>
      </c>
      <c r="E68" s="34" t="e">
        <f>VLOOKUP($B68,[46]TrtCodes!$B$11:K110,4)</f>
        <v>#N/A</v>
      </c>
      <c r="F68" s="34" t="e">
        <f>VLOOKUP($B68,[46]TrtCodes!$B$11:L110,5)</f>
        <v>#N/A</v>
      </c>
      <c r="G68" s="34" t="e">
        <f>VLOOKUP($B68,[46]TrtCodes!$B$11:M110,6)</f>
        <v>#N/A</v>
      </c>
      <c r="H68" s="34" t="e">
        <f>VLOOKUP($B68,[46]TrtCodes!$B$11:N110,7)</f>
        <v>#N/A</v>
      </c>
      <c r="I68" s="34">
        <f>[46]FormattedData!B67</f>
        <v>0</v>
      </c>
      <c r="J68" s="37">
        <f>[46]FormattedData!C67</f>
        <v>0</v>
      </c>
      <c r="K68" s="39">
        <f>$J$3+[46]FormattedData!D67*$J$4+$M$4*$J$5+[46]FormattedData!D67^2*$J$6+$M$5*$J$7</f>
        <v>-0.65055620911585921</v>
      </c>
      <c r="L68" s="39">
        <f>$J$3+[46]FormattedData!E67*$J$4+$M$4*$J$5+[46]FormattedData!E67^2*$J$6+$M$5*$J$7</f>
        <v>-0.65055620911585921</v>
      </c>
      <c r="M68" s="39">
        <f>$J$3+[46]FormattedData!F67*$J$4+$M$4*$J$5+[46]FormattedData!F67^2*$J$6+$M$5*$J$7</f>
        <v>-0.65055620911585921</v>
      </c>
      <c r="N68" s="39">
        <f>$J$3+[46]FormattedData!G67*$J$4+$M$4*$J$5+[46]FormattedData!G67^2*$J$6+$M$5*$J$7</f>
        <v>-0.65055620911585921</v>
      </c>
      <c r="O68" s="39">
        <f>$J$3+[46]FormattedData!H67*$J$4+$M$4*$J$5+[46]FormattedData!H67^2*$J$6+$M$5*$J$7</f>
        <v>-0.65055620911585921</v>
      </c>
      <c r="P68" s="39">
        <f>$J$3+[46]FormattedData!I67*$J$4+$M$4*$J$5+[46]FormattedData!I67^2*$J$6+$M$5*$J$7</f>
        <v>-0.65055620911585921</v>
      </c>
      <c r="Q68" s="39">
        <f>$J$3+[46]FormattedData!J67*$J$4+$M$4*$J$5+[46]FormattedData!J67^2*$J$6+$M$5*$J$7</f>
        <v>-0.65055620911585921</v>
      </c>
      <c r="R68" s="39">
        <f>$J$3+[46]FormattedData!K67*$J$4+$M$4*$J$5+[46]FormattedData!K67^2*$J$6+$M$5*$J$7</f>
        <v>-0.65055620911585921</v>
      </c>
      <c r="S68" s="39">
        <f>$J$3+[46]FormattedData!L67*$J$4+$M$4*$J$5+[46]FormattedData!L67^2*$J$6+$M$5*$J$7</f>
        <v>-0.65055620911585921</v>
      </c>
      <c r="T68" s="39">
        <f>$J$3+[46]FormattedData!M67*$J$4+$M$4*$J$5+[46]FormattedData!M67^2*$J$6+$M$5*$J$7</f>
        <v>-0.65055620911585921</v>
      </c>
      <c r="U68" s="39">
        <f>$J$3+[46]FormattedData!N67*$J$4+$M$4*$J$5+[46]FormattedData!N67^2*$J$6+$M$5*$J$7</f>
        <v>-0.65055620911585921</v>
      </c>
      <c r="V68" s="39">
        <f>$J$3+[46]FormattedData!O67*$J$4+$M$4*$J$5+[46]FormattedData!O67^2*$J$6+$M$5*$J$7</f>
        <v>-0.65055620911585921</v>
      </c>
      <c r="W68" s="38">
        <f>AVERAGE(K68:V68)</f>
        <v>-0.6505562091158591</v>
      </c>
      <c r="X68" s="37">
        <f>STDEV(K68:V68)/SQRT(COUNT(K68:V68))</f>
        <v>3.3474483693592253E-17</v>
      </c>
      <c r="Y68" s="36">
        <f>MIN(K68:V68)</f>
        <v>-0.65055620911585921</v>
      </c>
      <c r="Z68" s="35">
        <f>QUARTILE(K68:V68,1)</f>
        <v>-0.65055620911585921</v>
      </c>
      <c r="AA68" s="36">
        <f>MEDIAN(K68:V68)</f>
        <v>-0.65055620911585921</v>
      </c>
      <c r="AB68" s="35">
        <f>QUARTILE(K68:V68,3)</f>
        <v>-0.65055620911585921</v>
      </c>
      <c r="AC68" s="35">
        <f>MAX(K68:V68)</f>
        <v>-0.65055620911585921</v>
      </c>
      <c r="AD68" s="35">
        <f>SKEW(K68:V68)</f>
        <v>-1.1489125293076057</v>
      </c>
      <c r="AE68" s="35">
        <f>KURT(K68:V68)</f>
        <v>-2.4444444444444446</v>
      </c>
    </row>
    <row r="69" spans="2:31" x14ac:dyDescent="0.2">
      <c r="B69" s="34">
        <f>[46]FormattedData!A69</f>
        <v>0</v>
      </c>
      <c r="C69" s="34" t="e">
        <f>VLOOKUP($B69,[46]TrtCodes!$B$11:I112,2)</f>
        <v>#N/A</v>
      </c>
      <c r="D69" s="34" t="e">
        <f>VLOOKUP($B69,[46]TrtCodes!$B$11:J112,3)</f>
        <v>#N/A</v>
      </c>
      <c r="E69" s="34" t="e">
        <f>VLOOKUP($B69,[46]TrtCodes!$B$11:K112,4)</f>
        <v>#N/A</v>
      </c>
      <c r="F69" s="34" t="e">
        <f>VLOOKUP($B69,[46]TrtCodes!$B$11:L112,5)</f>
        <v>#N/A</v>
      </c>
      <c r="G69" s="34" t="e">
        <f>VLOOKUP($B69,[46]TrtCodes!$B$11:M112,6)</f>
        <v>#N/A</v>
      </c>
      <c r="H69" s="34" t="e">
        <f>VLOOKUP($B69,[46]TrtCodes!$B$11:N112,7)</f>
        <v>#N/A</v>
      </c>
      <c r="I69" s="34">
        <f>[46]FormattedData!B69</f>
        <v>0</v>
      </c>
      <c r="J69" s="37">
        <f>[46]FormattedData!C69</f>
        <v>0</v>
      </c>
      <c r="K69" s="39">
        <f>$J$3+[46]FormattedData!D69*$J$4+$M$4*$J$5+[46]FormattedData!D69^2*$J$6+$M$5*$J$7</f>
        <v>-0.65055620911585921</v>
      </c>
      <c r="L69" s="39">
        <f>$J$3+[46]FormattedData!E69*$J$4+$M$4*$J$5+[46]FormattedData!E69^2*$J$6+$M$5*$J$7</f>
        <v>-0.65055620911585921</v>
      </c>
      <c r="M69" s="39">
        <f>$J$3+[46]FormattedData!F69*$J$4+$M$4*$J$5+[46]FormattedData!F69^2*$J$6+$M$5*$J$7</f>
        <v>-0.65055620911585921</v>
      </c>
      <c r="N69" s="39">
        <f>$J$3+[46]FormattedData!G69*$J$4+$M$4*$J$5+[46]FormattedData!G69^2*$J$6+$M$5*$J$7</f>
        <v>-0.65055620911585921</v>
      </c>
      <c r="O69" s="39">
        <f>$J$3+[46]FormattedData!H69*$J$4+$M$4*$J$5+[46]FormattedData!H69^2*$J$6+$M$5*$J$7</f>
        <v>-0.65055620911585921</v>
      </c>
      <c r="P69" s="39">
        <f>$J$3+[46]FormattedData!I69*$J$4+$M$4*$J$5+[46]FormattedData!I69^2*$J$6+$M$5*$J$7</f>
        <v>-0.65055620911585921</v>
      </c>
      <c r="Q69" s="39">
        <f>$J$3+[46]FormattedData!J69*$J$4+$M$4*$J$5+[46]FormattedData!J69^2*$J$6+$M$5*$J$7</f>
        <v>-0.65055620911585921</v>
      </c>
      <c r="R69" s="39">
        <f>$J$3+[46]FormattedData!K69*$J$4+$M$4*$J$5+[46]FormattedData!K69^2*$J$6+$M$5*$J$7</f>
        <v>-0.65055620911585921</v>
      </c>
      <c r="S69" s="39">
        <f>$J$3+[46]FormattedData!L69*$J$4+$M$4*$J$5+[46]FormattedData!L69^2*$J$6+$M$5*$J$7</f>
        <v>-0.65055620911585921</v>
      </c>
      <c r="T69" s="39">
        <f>$J$3+[46]FormattedData!M69*$J$4+$M$4*$J$5+[46]FormattedData!M69^2*$J$6+$M$5*$J$7</f>
        <v>-0.65055620911585921</v>
      </c>
      <c r="U69" s="39">
        <f>$J$3+[46]FormattedData!N69*$J$4+$M$4*$J$5+[46]FormattedData!N69^2*$J$6+$M$5*$J$7</f>
        <v>-0.65055620911585921</v>
      </c>
      <c r="V69" s="39">
        <f>$J$3+[46]FormattedData!O69*$J$4+$M$4*$J$5+[46]FormattedData!O69^2*$J$6+$M$5*$J$7</f>
        <v>-0.65055620911585921</v>
      </c>
      <c r="W69" s="38">
        <f>AVERAGE(K69:V69)</f>
        <v>-0.6505562091158591</v>
      </c>
      <c r="X69" s="37">
        <f>STDEV(K69:V69)/SQRT(COUNT(K69:V69))</f>
        <v>3.3474483693592253E-17</v>
      </c>
      <c r="Y69" s="36">
        <f>MIN(K69:V69)</f>
        <v>-0.65055620911585921</v>
      </c>
      <c r="Z69" s="35">
        <f>QUARTILE(K69:V69,1)</f>
        <v>-0.65055620911585921</v>
      </c>
      <c r="AA69" s="36">
        <f>MEDIAN(K69:V69)</f>
        <v>-0.65055620911585921</v>
      </c>
      <c r="AB69" s="35">
        <f>QUARTILE(K69:V69,3)</f>
        <v>-0.65055620911585921</v>
      </c>
      <c r="AC69" s="35">
        <f>MAX(K69:V69)</f>
        <v>-0.65055620911585921</v>
      </c>
      <c r="AD69" s="35">
        <f>SKEW(K69:V69)</f>
        <v>-1.1489125293076057</v>
      </c>
      <c r="AE69" s="35">
        <f>KURT(K69:V69)</f>
        <v>-2.4444444444444446</v>
      </c>
    </row>
    <row r="70" spans="2:31" x14ac:dyDescent="0.2">
      <c r="B70" s="34">
        <f>[46]FormattedData!A71</f>
        <v>0</v>
      </c>
      <c r="C70" s="34" t="e">
        <f>VLOOKUP($B70,[46]TrtCodes!$B$11:I114,2)</f>
        <v>#N/A</v>
      </c>
      <c r="D70" s="34" t="e">
        <f>VLOOKUP($B70,[46]TrtCodes!$B$11:J114,3)</f>
        <v>#N/A</v>
      </c>
      <c r="E70" s="34" t="e">
        <f>VLOOKUP($B70,[46]TrtCodes!$B$11:K114,4)</f>
        <v>#N/A</v>
      </c>
      <c r="F70" s="34" t="e">
        <f>VLOOKUP($B70,[46]TrtCodes!$B$11:L114,5)</f>
        <v>#N/A</v>
      </c>
      <c r="G70" s="34" t="e">
        <f>VLOOKUP($B70,[46]TrtCodes!$B$11:M114,6)</f>
        <v>#N/A</v>
      </c>
      <c r="H70" s="34" t="e">
        <f>VLOOKUP($B70,[46]TrtCodes!$B$11:N114,7)</f>
        <v>#N/A</v>
      </c>
      <c r="I70" s="34">
        <f>[46]FormattedData!B71</f>
        <v>0</v>
      </c>
      <c r="J70" s="37">
        <f>[46]FormattedData!C71</f>
        <v>0</v>
      </c>
      <c r="K70" s="39">
        <f>$J$3+[46]FormattedData!D71*$J$4+$M$4*$J$5+[46]FormattedData!D71^2*$J$6+$M$5*$J$7</f>
        <v>-0.65055620911585921</v>
      </c>
      <c r="L70" s="39">
        <f>$J$3+[46]FormattedData!E71*$J$4+$M$4*$J$5+[46]FormattedData!E71^2*$J$6+$M$5*$J$7</f>
        <v>-0.65055620911585921</v>
      </c>
      <c r="M70" s="39">
        <f>$J$3+[46]FormattedData!F71*$J$4+$M$4*$J$5+[46]FormattedData!F71^2*$J$6+$M$5*$J$7</f>
        <v>-0.65055620911585921</v>
      </c>
      <c r="N70" s="39">
        <f>$J$3+[46]FormattedData!G71*$J$4+$M$4*$J$5+[46]FormattedData!G71^2*$J$6+$M$5*$J$7</f>
        <v>-0.65055620911585921</v>
      </c>
      <c r="O70" s="39">
        <f>$J$3+[46]FormattedData!H71*$J$4+$M$4*$J$5+[46]FormattedData!H71^2*$J$6+$M$5*$J$7</f>
        <v>-0.65055620911585921</v>
      </c>
      <c r="P70" s="39">
        <f>$J$3+[46]FormattedData!I71*$J$4+$M$4*$J$5+[46]FormattedData!I71^2*$J$6+$M$5*$J$7</f>
        <v>-0.65055620911585921</v>
      </c>
      <c r="Q70" s="39">
        <f>$J$3+[46]FormattedData!J71*$J$4+$M$4*$J$5+[46]FormattedData!J71^2*$J$6+$M$5*$J$7</f>
        <v>-0.65055620911585921</v>
      </c>
      <c r="R70" s="39">
        <f>$J$3+[46]FormattedData!K71*$J$4+$M$4*$J$5+[46]FormattedData!K71^2*$J$6+$M$5*$J$7</f>
        <v>-0.65055620911585921</v>
      </c>
      <c r="S70" s="39">
        <f>$J$3+[46]FormattedData!L71*$J$4+$M$4*$J$5+[46]FormattedData!L71^2*$J$6+$M$5*$J$7</f>
        <v>-0.65055620911585921</v>
      </c>
      <c r="T70" s="39">
        <f>$J$3+[46]FormattedData!M71*$J$4+$M$4*$J$5+[46]FormattedData!M71^2*$J$6+$M$5*$J$7</f>
        <v>-0.65055620911585921</v>
      </c>
      <c r="U70" s="39">
        <f>$J$3+[46]FormattedData!N71*$J$4+$M$4*$J$5+[46]FormattedData!N71^2*$J$6+$M$5*$J$7</f>
        <v>-0.65055620911585921</v>
      </c>
      <c r="V70" s="39">
        <f>$J$3+[46]FormattedData!O71*$J$4+$M$4*$J$5+[46]FormattedData!O71^2*$J$6+$M$5*$J$7</f>
        <v>-0.65055620911585921</v>
      </c>
      <c r="W70" s="38">
        <f>AVERAGE(K70:V70)</f>
        <v>-0.6505562091158591</v>
      </c>
      <c r="X70" s="37">
        <f>STDEV(K70:V70)/SQRT(COUNT(K70:V70))</f>
        <v>3.3474483693592253E-17</v>
      </c>
      <c r="Y70" s="36">
        <f>MIN(K70:V70)</f>
        <v>-0.65055620911585921</v>
      </c>
      <c r="Z70" s="35">
        <f>QUARTILE(K70:V70,1)</f>
        <v>-0.65055620911585921</v>
      </c>
      <c r="AA70" s="36">
        <f>MEDIAN(K70:V70)</f>
        <v>-0.65055620911585921</v>
      </c>
      <c r="AB70" s="35">
        <f>QUARTILE(K70:V70,3)</f>
        <v>-0.65055620911585921</v>
      </c>
      <c r="AC70" s="35">
        <f>MAX(K70:V70)</f>
        <v>-0.65055620911585921</v>
      </c>
      <c r="AD70" s="35">
        <f>SKEW(K70:V70)</f>
        <v>-1.1489125293076057</v>
      </c>
      <c r="AE70" s="35">
        <f>KURT(K70:V70)</f>
        <v>-2.4444444444444446</v>
      </c>
    </row>
    <row r="71" spans="2:31" x14ac:dyDescent="0.2">
      <c r="B71" s="34">
        <f>[46]FormattedData!A73</f>
        <v>0</v>
      </c>
      <c r="C71" s="34" t="e">
        <f>VLOOKUP($B71,[46]TrtCodes!$B$11:I116,2)</f>
        <v>#N/A</v>
      </c>
      <c r="D71" s="34" t="e">
        <f>VLOOKUP($B71,[46]TrtCodes!$B$11:J116,3)</f>
        <v>#N/A</v>
      </c>
      <c r="E71" s="34" t="e">
        <f>VLOOKUP($B71,[46]TrtCodes!$B$11:K116,4)</f>
        <v>#N/A</v>
      </c>
      <c r="F71" s="34" t="e">
        <f>VLOOKUP($B71,[46]TrtCodes!$B$11:L116,5)</f>
        <v>#N/A</v>
      </c>
      <c r="G71" s="34" t="e">
        <f>VLOOKUP($B71,[46]TrtCodes!$B$11:M116,6)</f>
        <v>#N/A</v>
      </c>
      <c r="H71" s="34" t="e">
        <f>VLOOKUP($B71,[46]TrtCodes!$B$11:N116,7)</f>
        <v>#N/A</v>
      </c>
      <c r="I71" s="34">
        <f>[46]FormattedData!B73</f>
        <v>0</v>
      </c>
      <c r="J71" s="37">
        <f>[46]FormattedData!C73</f>
        <v>0</v>
      </c>
      <c r="K71" s="39">
        <f>$J$3+[46]FormattedData!D73*$J$4+$M$4*$J$5+[46]FormattedData!D73^2*$J$6+$M$5*$J$7</f>
        <v>-0.65055620911585921</v>
      </c>
      <c r="L71" s="39">
        <f>$J$3+[46]FormattedData!E73*$J$4+$M$4*$J$5+[46]FormattedData!E73^2*$J$6+$M$5*$J$7</f>
        <v>-0.65055620911585921</v>
      </c>
      <c r="M71" s="39">
        <f>$J$3+[46]FormattedData!F73*$J$4+$M$4*$J$5+[46]FormattedData!F73^2*$J$6+$M$5*$J$7</f>
        <v>-0.65055620911585921</v>
      </c>
      <c r="N71" s="39">
        <f>$J$3+[46]FormattedData!G73*$J$4+$M$4*$J$5+[46]FormattedData!G73^2*$J$6+$M$5*$J$7</f>
        <v>-0.65055620911585921</v>
      </c>
      <c r="O71" s="39">
        <f>$J$3+[46]FormattedData!H73*$J$4+$M$4*$J$5+[46]FormattedData!H73^2*$J$6+$M$5*$J$7</f>
        <v>-0.65055620911585921</v>
      </c>
      <c r="P71" s="39">
        <f>$J$3+[46]FormattedData!I73*$J$4+$M$4*$J$5+[46]FormattedData!I73^2*$J$6+$M$5*$J$7</f>
        <v>-0.65055620911585921</v>
      </c>
      <c r="Q71" s="39">
        <f>$J$3+[46]FormattedData!J73*$J$4+$M$4*$J$5+[46]FormattedData!J73^2*$J$6+$M$5*$J$7</f>
        <v>-0.65055620911585921</v>
      </c>
      <c r="R71" s="39">
        <f>$J$3+[46]FormattedData!K73*$J$4+$M$4*$J$5+[46]FormattedData!K73^2*$J$6+$M$5*$J$7</f>
        <v>-0.65055620911585921</v>
      </c>
      <c r="S71" s="39">
        <f>$J$3+[46]FormattedData!L73*$J$4+$M$4*$J$5+[46]FormattedData!L73^2*$J$6+$M$5*$J$7</f>
        <v>-0.65055620911585921</v>
      </c>
      <c r="T71" s="39">
        <f>$J$3+[46]FormattedData!M73*$J$4+$M$4*$J$5+[46]FormattedData!M73^2*$J$6+$M$5*$J$7</f>
        <v>-0.65055620911585921</v>
      </c>
      <c r="U71" s="39">
        <f>$J$3+[46]FormattedData!N73*$J$4+$M$4*$J$5+[46]FormattedData!N73^2*$J$6+$M$5*$J$7</f>
        <v>-0.65055620911585921</v>
      </c>
      <c r="V71" s="39">
        <f>$J$3+[46]FormattedData!O73*$J$4+$M$4*$J$5+[46]FormattedData!O73^2*$J$6+$M$5*$J$7</f>
        <v>-0.65055620911585921</v>
      </c>
      <c r="W71" s="38">
        <f>AVERAGE(K71:V71)</f>
        <v>-0.6505562091158591</v>
      </c>
      <c r="X71" s="37">
        <f>STDEV(K71:V71)/SQRT(COUNT(K71:V71))</f>
        <v>3.3474483693592253E-17</v>
      </c>
      <c r="Y71" s="36">
        <f>MIN(K71:V71)</f>
        <v>-0.65055620911585921</v>
      </c>
      <c r="Z71" s="35">
        <f>QUARTILE(K71:V71,1)</f>
        <v>-0.65055620911585921</v>
      </c>
      <c r="AA71" s="36">
        <f>MEDIAN(K71:V71)</f>
        <v>-0.65055620911585921</v>
      </c>
      <c r="AB71" s="35">
        <f>QUARTILE(K71:V71,3)</f>
        <v>-0.65055620911585921</v>
      </c>
      <c r="AC71" s="35">
        <f>MAX(K71:V71)</f>
        <v>-0.65055620911585921</v>
      </c>
      <c r="AD71" s="35">
        <f>SKEW(K71:V71)</f>
        <v>-1.1489125293076057</v>
      </c>
      <c r="AE71" s="35">
        <f>KURT(K71:V71)</f>
        <v>-2.4444444444444446</v>
      </c>
    </row>
    <row r="72" spans="2:31" x14ac:dyDescent="0.2">
      <c r="B72" s="34">
        <f>[46]FormattedData!A75</f>
        <v>0</v>
      </c>
      <c r="C72" s="34" t="e">
        <f>VLOOKUP($B72,[46]TrtCodes!$B$11:I118,2)</f>
        <v>#N/A</v>
      </c>
      <c r="D72" s="34" t="e">
        <f>VLOOKUP($B72,[46]TrtCodes!$B$11:J118,3)</f>
        <v>#N/A</v>
      </c>
      <c r="E72" s="34" t="e">
        <f>VLOOKUP($B72,[46]TrtCodes!$B$11:K118,4)</f>
        <v>#N/A</v>
      </c>
      <c r="F72" s="34" t="e">
        <f>VLOOKUP($B72,[46]TrtCodes!$B$11:L118,5)</f>
        <v>#N/A</v>
      </c>
      <c r="G72" s="34" t="e">
        <f>VLOOKUP($B72,[46]TrtCodes!$B$11:M118,6)</f>
        <v>#N/A</v>
      </c>
      <c r="H72" s="34" t="e">
        <f>VLOOKUP($B72,[46]TrtCodes!$B$11:N118,7)</f>
        <v>#N/A</v>
      </c>
      <c r="I72" s="34">
        <f>[46]FormattedData!B75</f>
        <v>0</v>
      </c>
      <c r="J72" s="37">
        <f>[46]FormattedData!C75</f>
        <v>0</v>
      </c>
      <c r="K72" s="39">
        <f>$J$3+[46]FormattedData!D75*$J$4+$M$4*$J$5+[46]FormattedData!D75^2*$J$6+$M$5*$J$7</f>
        <v>-0.65055620911585921</v>
      </c>
      <c r="L72" s="39">
        <f>$J$3+[46]FormattedData!E75*$J$4+$M$4*$J$5+[46]FormattedData!E75^2*$J$6+$M$5*$J$7</f>
        <v>-0.65055620911585921</v>
      </c>
      <c r="M72" s="39">
        <f>$J$3+[46]FormattedData!F75*$J$4+$M$4*$J$5+[46]FormattedData!F75^2*$J$6+$M$5*$J$7</f>
        <v>-0.65055620911585921</v>
      </c>
      <c r="N72" s="39">
        <f>$J$3+[46]FormattedData!G75*$J$4+$M$4*$J$5+[46]FormattedData!G75^2*$J$6+$M$5*$J$7</f>
        <v>-0.65055620911585921</v>
      </c>
      <c r="O72" s="39">
        <f>$J$3+[46]FormattedData!H75*$J$4+$M$4*$J$5+[46]FormattedData!H75^2*$J$6+$M$5*$J$7</f>
        <v>-0.65055620911585921</v>
      </c>
      <c r="P72" s="39">
        <f>$J$3+[46]FormattedData!I75*$J$4+$M$4*$J$5+[46]FormattedData!I75^2*$J$6+$M$5*$J$7</f>
        <v>-0.65055620911585921</v>
      </c>
      <c r="Q72" s="39">
        <f>$J$3+[46]FormattedData!J75*$J$4+$M$4*$J$5+[46]FormattedData!J75^2*$J$6+$M$5*$J$7</f>
        <v>-0.65055620911585921</v>
      </c>
      <c r="R72" s="39">
        <f>$J$3+[46]FormattedData!K75*$J$4+$M$4*$J$5+[46]FormattedData!K75^2*$J$6+$M$5*$J$7</f>
        <v>-0.65055620911585921</v>
      </c>
      <c r="S72" s="39">
        <f>$J$3+[46]FormattedData!L75*$J$4+$M$4*$J$5+[46]FormattedData!L75^2*$J$6+$M$5*$J$7</f>
        <v>-0.65055620911585921</v>
      </c>
      <c r="T72" s="39">
        <f>$J$3+[46]FormattedData!M75*$J$4+$M$4*$J$5+[46]FormattedData!M75^2*$J$6+$M$5*$J$7</f>
        <v>-0.65055620911585921</v>
      </c>
      <c r="U72" s="39">
        <f>$J$3+[46]FormattedData!N75*$J$4+$M$4*$J$5+[46]FormattedData!N75^2*$J$6+$M$5*$J$7</f>
        <v>-0.65055620911585921</v>
      </c>
      <c r="V72" s="39">
        <f>$J$3+[46]FormattedData!O75*$J$4+$M$4*$J$5+[46]FormattedData!O75^2*$J$6+$M$5*$J$7</f>
        <v>-0.65055620911585921</v>
      </c>
      <c r="W72" s="38">
        <f>AVERAGE(K72:V72)</f>
        <v>-0.6505562091158591</v>
      </c>
      <c r="X72" s="37">
        <f>STDEV(K72:V72)/SQRT(COUNT(K72:V72))</f>
        <v>3.3474483693592253E-17</v>
      </c>
      <c r="Y72" s="36">
        <f>MIN(K72:V72)</f>
        <v>-0.65055620911585921</v>
      </c>
      <c r="Z72" s="35">
        <f>QUARTILE(K72:V72,1)</f>
        <v>-0.65055620911585921</v>
      </c>
      <c r="AA72" s="36">
        <f>MEDIAN(K72:V72)</f>
        <v>-0.65055620911585921</v>
      </c>
      <c r="AB72" s="35">
        <f>QUARTILE(K72:V72,3)</f>
        <v>-0.65055620911585921</v>
      </c>
      <c r="AC72" s="35">
        <f>MAX(K72:V72)</f>
        <v>-0.65055620911585921</v>
      </c>
      <c r="AD72" s="35">
        <f>SKEW(K72:V72)</f>
        <v>-1.1489125293076057</v>
      </c>
      <c r="AE72" s="35">
        <f>KURT(K72:V72)</f>
        <v>-2.4444444444444446</v>
      </c>
    </row>
    <row r="73" spans="2:31" x14ac:dyDescent="0.2">
      <c r="B73" s="34">
        <f>[46]FormattedData!A77</f>
        <v>0</v>
      </c>
      <c r="C73" s="34" t="e">
        <f>VLOOKUP($B73,[46]TrtCodes!$B$11:I120,2)</f>
        <v>#N/A</v>
      </c>
      <c r="D73" s="34" t="e">
        <f>VLOOKUP($B73,[46]TrtCodes!$B$11:J120,3)</f>
        <v>#N/A</v>
      </c>
      <c r="E73" s="34" t="e">
        <f>VLOOKUP($B73,[46]TrtCodes!$B$11:K120,4)</f>
        <v>#N/A</v>
      </c>
      <c r="F73" s="34" t="e">
        <f>VLOOKUP($B73,[46]TrtCodes!$B$11:L120,5)</f>
        <v>#N/A</v>
      </c>
      <c r="G73" s="34" t="e">
        <f>VLOOKUP($B73,[46]TrtCodes!$B$11:M120,6)</f>
        <v>#N/A</v>
      </c>
      <c r="H73" s="34" t="e">
        <f>VLOOKUP($B73,[46]TrtCodes!$B$11:N120,7)</f>
        <v>#N/A</v>
      </c>
      <c r="I73" s="34">
        <f>[46]FormattedData!B77</f>
        <v>0</v>
      </c>
      <c r="J73" s="37">
        <f>[46]FormattedData!C77</f>
        <v>0</v>
      </c>
      <c r="K73" s="39">
        <f>$J$3+[46]FormattedData!D77*$J$4+$M$4*$J$5+[46]FormattedData!D77^2*$J$6+$M$5*$J$7</f>
        <v>-0.65055620911585921</v>
      </c>
      <c r="L73" s="39">
        <f>$J$3+[46]FormattedData!E77*$J$4+$M$4*$J$5+[46]FormattedData!E77^2*$J$6+$M$5*$J$7</f>
        <v>-0.65055620911585921</v>
      </c>
      <c r="M73" s="39">
        <f>$J$3+[46]FormattedData!F77*$J$4+$M$4*$J$5+[46]FormattedData!F77^2*$J$6+$M$5*$J$7</f>
        <v>-0.65055620911585921</v>
      </c>
      <c r="N73" s="39">
        <f>$J$3+[46]FormattedData!G77*$J$4+$M$4*$J$5+[46]FormattedData!G77^2*$J$6+$M$5*$J$7</f>
        <v>-0.65055620911585921</v>
      </c>
      <c r="O73" s="39">
        <f>$J$3+[46]FormattedData!H77*$J$4+$M$4*$J$5+[46]FormattedData!H77^2*$J$6+$M$5*$J$7</f>
        <v>-0.65055620911585921</v>
      </c>
      <c r="P73" s="39">
        <f>$J$3+[46]FormattedData!I77*$J$4+$M$4*$J$5+[46]FormattedData!I77^2*$J$6+$M$5*$J$7</f>
        <v>-0.65055620911585921</v>
      </c>
      <c r="Q73" s="39">
        <f>$J$3+[46]FormattedData!J77*$J$4+$M$4*$J$5+[46]FormattedData!J77^2*$J$6+$M$5*$J$7</f>
        <v>-0.65055620911585921</v>
      </c>
      <c r="R73" s="39">
        <f>$J$3+[46]FormattedData!K77*$J$4+$M$4*$J$5+[46]FormattedData!K77^2*$J$6+$M$5*$J$7</f>
        <v>-0.65055620911585921</v>
      </c>
      <c r="S73" s="39">
        <f>$J$3+[46]FormattedData!L77*$J$4+$M$4*$J$5+[46]FormattedData!L77^2*$J$6+$M$5*$J$7</f>
        <v>-0.65055620911585921</v>
      </c>
      <c r="T73" s="39">
        <f>$J$3+[46]FormattedData!M77*$J$4+$M$4*$J$5+[46]FormattedData!M77^2*$J$6+$M$5*$J$7</f>
        <v>-0.65055620911585921</v>
      </c>
      <c r="U73" s="39">
        <f>$J$3+[46]FormattedData!N77*$J$4+$M$4*$J$5+[46]FormattedData!N77^2*$J$6+$M$5*$J$7</f>
        <v>-0.65055620911585921</v>
      </c>
      <c r="V73" s="39">
        <f>$J$3+[46]FormattedData!O77*$J$4+$M$4*$J$5+[46]FormattedData!O77^2*$J$6+$M$5*$J$7</f>
        <v>-0.65055620911585921</v>
      </c>
      <c r="W73" s="38">
        <f>AVERAGE(K73:V73)</f>
        <v>-0.6505562091158591</v>
      </c>
      <c r="X73" s="37">
        <f>STDEV(K73:V73)/SQRT(COUNT(K73:V73))</f>
        <v>3.3474483693592253E-17</v>
      </c>
      <c r="Y73" s="36">
        <f>MIN(K73:V73)</f>
        <v>-0.65055620911585921</v>
      </c>
      <c r="Z73" s="35">
        <f>QUARTILE(K73:V73,1)</f>
        <v>-0.65055620911585921</v>
      </c>
      <c r="AA73" s="36">
        <f>MEDIAN(K73:V73)</f>
        <v>-0.65055620911585921</v>
      </c>
      <c r="AB73" s="35">
        <f>QUARTILE(K73:V73,3)</f>
        <v>-0.65055620911585921</v>
      </c>
      <c r="AC73" s="35">
        <f>MAX(K73:V73)</f>
        <v>-0.65055620911585921</v>
      </c>
      <c r="AD73" s="35">
        <f>SKEW(K73:V73)</f>
        <v>-1.1489125293076057</v>
      </c>
      <c r="AE73" s="35">
        <f>KURT(K73:V73)</f>
        <v>-2.4444444444444446</v>
      </c>
    </row>
    <row r="74" spans="2:31" x14ac:dyDescent="0.2">
      <c r="B74" s="34">
        <f>[46]FormattedData!A93</f>
        <v>0</v>
      </c>
      <c r="C74" s="34" t="e">
        <f>VLOOKUP($B74,[46]TrtCodes!$B$11:I130,2)</f>
        <v>#N/A</v>
      </c>
      <c r="D74" s="34" t="e">
        <f>VLOOKUP($B74,[46]TrtCodes!$B$11:J130,3)</f>
        <v>#N/A</v>
      </c>
      <c r="E74" s="34" t="e">
        <f>VLOOKUP($B74,[46]TrtCodes!$B$11:K130,4)</f>
        <v>#N/A</v>
      </c>
      <c r="F74" s="34" t="e">
        <f>VLOOKUP($B74,[46]TrtCodes!$B$11:L130,5)</f>
        <v>#N/A</v>
      </c>
      <c r="G74" s="34" t="e">
        <f>VLOOKUP($B74,[46]TrtCodes!$B$11:M130,6)</f>
        <v>#N/A</v>
      </c>
      <c r="H74" s="34" t="e">
        <f>VLOOKUP($B74,[46]TrtCodes!$B$11:N130,7)</f>
        <v>#N/A</v>
      </c>
      <c r="I74" s="34">
        <f>[46]FormattedData!B93</f>
        <v>0</v>
      </c>
      <c r="J74" s="37">
        <f>[46]FormattedData!C93</f>
        <v>0</v>
      </c>
      <c r="K74" s="39">
        <f>$J$3+[46]FormattedData!D93*$J$4+$M$4*$J$5+[46]FormattedData!D93^2*$J$6+$M$5*$J$7</f>
        <v>-0.65055620911585921</v>
      </c>
      <c r="L74" s="39">
        <f>$J$3+[46]FormattedData!E93*$J$4+$M$4*$J$5+[46]FormattedData!E93^2*$J$6+$M$5*$J$7</f>
        <v>-0.65055620911585921</v>
      </c>
      <c r="M74" s="39">
        <f>$J$3+[46]FormattedData!F93*$J$4+$M$4*$J$5+[46]FormattedData!F93^2*$J$6+$M$5*$J$7</f>
        <v>-0.65055620911585921</v>
      </c>
      <c r="N74" s="39">
        <f>$J$3+[46]FormattedData!G93*$J$4+$M$4*$J$5+[46]FormattedData!G93^2*$J$6+$M$5*$J$7</f>
        <v>-0.65055620911585921</v>
      </c>
      <c r="O74" s="39">
        <f>$J$3+[46]FormattedData!H93*$J$4+$M$4*$J$5+[46]FormattedData!H93^2*$J$6+$M$5*$J$7</f>
        <v>-0.65055620911585921</v>
      </c>
      <c r="P74" s="39">
        <f>$J$3+[46]FormattedData!I93*$J$4+$M$4*$J$5+[46]FormattedData!I93^2*$J$6+$M$5*$J$7</f>
        <v>-0.65055620911585921</v>
      </c>
      <c r="Q74" s="39">
        <f>$J$3+[46]FormattedData!J93*$J$4+$M$4*$J$5+[46]FormattedData!J93^2*$J$6+$M$5*$J$7</f>
        <v>-0.65055620911585921</v>
      </c>
      <c r="R74" s="39">
        <f>$J$3+[46]FormattedData!K93*$J$4+$M$4*$J$5+[46]FormattedData!K93^2*$J$6+$M$5*$J$7</f>
        <v>-0.65055620911585921</v>
      </c>
      <c r="S74" s="39">
        <f>$J$3+[46]FormattedData!L93*$J$4+$M$4*$J$5+[46]FormattedData!L93^2*$J$6+$M$5*$J$7</f>
        <v>-0.65055620911585921</v>
      </c>
      <c r="T74" s="39">
        <f>$J$3+[46]FormattedData!M93*$J$4+$M$4*$J$5+[46]FormattedData!M93^2*$J$6+$M$5*$J$7</f>
        <v>-0.65055620911585921</v>
      </c>
      <c r="U74" s="39">
        <f>$J$3+[46]FormattedData!N93*$J$4+$M$4*$J$5+[46]FormattedData!N93^2*$J$6+$M$5*$J$7</f>
        <v>-0.65055620911585921</v>
      </c>
      <c r="V74" s="39">
        <f>$J$3+[46]FormattedData!O93*$J$4+$M$4*$J$5+[46]FormattedData!O93^2*$J$6+$M$5*$J$7</f>
        <v>-0.65055620911585921</v>
      </c>
      <c r="W74" s="38">
        <f>AVERAGE(K74:V74)</f>
        <v>-0.6505562091158591</v>
      </c>
      <c r="X74" s="37">
        <f>STDEV(K74:V74)/SQRT(COUNT(K74:V74))</f>
        <v>3.3474483693592253E-17</v>
      </c>
      <c r="Y74" s="36">
        <f>MIN(K74:V74)</f>
        <v>-0.65055620911585921</v>
      </c>
      <c r="Z74" s="35">
        <f>QUARTILE(K74:V74,1)</f>
        <v>-0.65055620911585921</v>
      </c>
      <c r="AA74" s="36">
        <f>MEDIAN(K74:V74)</f>
        <v>-0.65055620911585921</v>
      </c>
      <c r="AB74" s="35">
        <f>QUARTILE(K74:V74,3)</f>
        <v>-0.65055620911585921</v>
      </c>
      <c r="AC74" s="35">
        <f>MAX(K74:V74)</f>
        <v>-0.65055620911585921</v>
      </c>
      <c r="AD74" s="35">
        <f>SKEW(K74:V74)</f>
        <v>-1.1489125293076057</v>
      </c>
      <c r="AE74" s="35">
        <f>KURT(K74:V74)</f>
        <v>-2.4444444444444446</v>
      </c>
    </row>
    <row r="75" spans="2:31" x14ac:dyDescent="0.2">
      <c r="B75" s="34">
        <f>[46]FormattedData!A91</f>
        <v>0</v>
      </c>
      <c r="C75" s="34" t="e">
        <f>VLOOKUP($B75,[46]TrtCodes!$B$11:I131,2)</f>
        <v>#N/A</v>
      </c>
      <c r="D75" s="34" t="e">
        <f>VLOOKUP($B75,[46]TrtCodes!$B$11:J131,3)</f>
        <v>#N/A</v>
      </c>
      <c r="E75" s="34" t="e">
        <f>VLOOKUP($B75,[46]TrtCodes!$B$11:K131,4)</f>
        <v>#N/A</v>
      </c>
      <c r="F75" s="34" t="e">
        <f>VLOOKUP($B75,[46]TrtCodes!$B$11:L131,5)</f>
        <v>#N/A</v>
      </c>
      <c r="G75" s="34" t="e">
        <f>VLOOKUP($B75,[46]TrtCodes!$B$11:M131,6)</f>
        <v>#N/A</v>
      </c>
      <c r="H75" s="34" t="e">
        <f>VLOOKUP($B75,[46]TrtCodes!$B$11:N131,7)</f>
        <v>#N/A</v>
      </c>
      <c r="I75" s="34">
        <f>[46]FormattedData!B91</f>
        <v>0</v>
      </c>
      <c r="J75" s="37">
        <f>[46]FormattedData!C91</f>
        <v>0</v>
      </c>
      <c r="K75" s="39">
        <f>$J$3+[46]FormattedData!D91*$J$4+$M$4*$J$5+[46]FormattedData!D91^2*$J$6+$M$5*$J$7</f>
        <v>-0.65055620911585921</v>
      </c>
      <c r="L75" s="39">
        <f>$J$3+[46]FormattedData!E91*$J$4+$M$4*$J$5+[46]FormattedData!E91^2*$J$6+$M$5*$J$7</f>
        <v>-0.65055620911585921</v>
      </c>
      <c r="M75" s="39">
        <f>$J$3+[46]FormattedData!F91*$J$4+$M$4*$J$5+[46]FormattedData!F91^2*$J$6+$M$5*$J$7</f>
        <v>-0.65055620911585921</v>
      </c>
      <c r="N75" s="39">
        <f>$J$3+[46]FormattedData!G91*$J$4+$M$4*$J$5+[46]FormattedData!G91^2*$J$6+$M$5*$J$7</f>
        <v>-0.65055620911585921</v>
      </c>
      <c r="O75" s="39">
        <f>$J$3+[46]FormattedData!H91*$J$4+$M$4*$J$5+[46]FormattedData!H91^2*$J$6+$M$5*$J$7</f>
        <v>-0.65055620911585921</v>
      </c>
      <c r="P75" s="39">
        <f>$J$3+[46]FormattedData!I91*$J$4+$M$4*$J$5+[46]FormattedData!I91^2*$J$6+$M$5*$J$7</f>
        <v>-0.65055620911585921</v>
      </c>
      <c r="Q75" s="39">
        <f>$J$3+[46]FormattedData!J91*$J$4+$M$4*$J$5+[46]FormattedData!J91^2*$J$6+$M$5*$J$7</f>
        <v>-0.65055620911585921</v>
      </c>
      <c r="R75" s="39">
        <f>$J$3+[46]FormattedData!K91*$J$4+$M$4*$J$5+[46]FormattedData!K91^2*$J$6+$M$5*$J$7</f>
        <v>-0.65055620911585921</v>
      </c>
      <c r="S75" s="39">
        <f>$J$3+[46]FormattedData!L91*$J$4+$M$4*$J$5+[46]FormattedData!L91^2*$J$6+$M$5*$J$7</f>
        <v>-0.65055620911585921</v>
      </c>
      <c r="T75" s="39">
        <f>$J$3+[46]FormattedData!M91*$J$4+$M$4*$J$5+[46]FormattedData!M91^2*$J$6+$M$5*$J$7</f>
        <v>-0.65055620911585921</v>
      </c>
      <c r="U75" s="39">
        <f>$J$3+[46]FormattedData!N91*$J$4+$M$4*$J$5+[46]FormattedData!N91^2*$J$6+$M$5*$J$7</f>
        <v>-0.65055620911585921</v>
      </c>
      <c r="V75" s="39">
        <f>$J$3+[46]FormattedData!O91*$J$4+$M$4*$J$5+[46]FormattedData!O91^2*$J$6+$M$5*$J$7</f>
        <v>-0.65055620911585921</v>
      </c>
      <c r="W75" s="38">
        <f>AVERAGE(K75:V75)</f>
        <v>-0.6505562091158591</v>
      </c>
      <c r="X75" s="37">
        <f>STDEV(K75:V75)/SQRT(COUNT(K75:V75))</f>
        <v>3.3474483693592253E-17</v>
      </c>
      <c r="Y75" s="36">
        <f>MIN(K75:V75)</f>
        <v>-0.65055620911585921</v>
      </c>
      <c r="Z75" s="35">
        <f>QUARTILE(K75:V75,1)</f>
        <v>-0.65055620911585921</v>
      </c>
      <c r="AA75" s="36">
        <f>MEDIAN(K75:V75)</f>
        <v>-0.65055620911585921</v>
      </c>
      <c r="AB75" s="35">
        <f>QUARTILE(K75:V75,3)</f>
        <v>-0.65055620911585921</v>
      </c>
      <c r="AC75" s="35">
        <f>MAX(K75:V75)</f>
        <v>-0.65055620911585921</v>
      </c>
      <c r="AD75" s="35">
        <f>SKEW(K75:V75)</f>
        <v>-1.1489125293076057</v>
      </c>
      <c r="AE75" s="35">
        <f>KURT(K75:V75)</f>
        <v>-2.4444444444444446</v>
      </c>
    </row>
    <row r="76" spans="2:31" x14ac:dyDescent="0.2">
      <c r="B76" s="34">
        <f>[46]FormattedData!A89</f>
        <v>0</v>
      </c>
      <c r="C76" s="34" t="e">
        <f>VLOOKUP($B76,[46]TrtCodes!$B$11:I132,2)</f>
        <v>#N/A</v>
      </c>
      <c r="D76" s="34" t="e">
        <f>VLOOKUP($B76,[46]TrtCodes!$B$11:J132,3)</f>
        <v>#N/A</v>
      </c>
      <c r="E76" s="34" t="e">
        <f>VLOOKUP($B76,[46]TrtCodes!$B$11:K132,4)</f>
        <v>#N/A</v>
      </c>
      <c r="F76" s="34" t="e">
        <f>VLOOKUP($B76,[46]TrtCodes!$B$11:L132,5)</f>
        <v>#N/A</v>
      </c>
      <c r="G76" s="34" t="e">
        <f>VLOOKUP($B76,[46]TrtCodes!$B$11:M132,6)</f>
        <v>#N/A</v>
      </c>
      <c r="H76" s="34" t="e">
        <f>VLOOKUP($B76,[46]TrtCodes!$B$11:N132,7)</f>
        <v>#N/A</v>
      </c>
      <c r="I76" s="34">
        <f>[46]FormattedData!B89</f>
        <v>0</v>
      </c>
      <c r="J76" s="37">
        <f>[46]FormattedData!C89</f>
        <v>0</v>
      </c>
      <c r="K76" s="39">
        <f>$J$3+[46]FormattedData!D89*$J$4+$M$4*$J$5+[46]FormattedData!D89^2*$J$6+$M$5*$J$7</f>
        <v>-0.65055620911585921</v>
      </c>
      <c r="L76" s="39">
        <f>$J$3+[46]FormattedData!E89*$J$4+$M$4*$J$5+[46]FormattedData!E89^2*$J$6+$M$5*$J$7</f>
        <v>-0.65055620911585921</v>
      </c>
      <c r="M76" s="39">
        <f>$J$3+[46]FormattedData!F89*$J$4+$M$4*$J$5+[46]FormattedData!F89^2*$J$6+$M$5*$J$7</f>
        <v>-0.65055620911585921</v>
      </c>
      <c r="N76" s="39">
        <f>$J$3+[46]FormattedData!G89*$J$4+$M$4*$J$5+[46]FormattedData!G89^2*$J$6+$M$5*$J$7</f>
        <v>-0.65055620911585921</v>
      </c>
      <c r="O76" s="39">
        <f>$J$3+[46]FormattedData!H89*$J$4+$M$4*$J$5+[46]FormattedData!H89^2*$J$6+$M$5*$J$7</f>
        <v>-0.65055620911585921</v>
      </c>
      <c r="P76" s="39">
        <f>$J$3+[46]FormattedData!I89*$J$4+$M$4*$J$5+[46]FormattedData!I89^2*$J$6+$M$5*$J$7</f>
        <v>-0.65055620911585921</v>
      </c>
      <c r="Q76" s="39">
        <f>$J$3+[46]FormattedData!J89*$J$4+$M$4*$J$5+[46]FormattedData!J89^2*$J$6+$M$5*$J$7</f>
        <v>-0.65055620911585921</v>
      </c>
      <c r="R76" s="39">
        <f>$J$3+[46]FormattedData!K89*$J$4+$M$4*$J$5+[46]FormattedData!K89^2*$J$6+$M$5*$J$7</f>
        <v>-0.65055620911585921</v>
      </c>
      <c r="S76" s="39">
        <f>$J$3+[46]FormattedData!L89*$J$4+$M$4*$J$5+[46]FormattedData!L89^2*$J$6+$M$5*$J$7</f>
        <v>-0.65055620911585921</v>
      </c>
      <c r="T76" s="39">
        <f>$J$3+[46]FormattedData!M89*$J$4+$M$4*$J$5+[46]FormattedData!M89^2*$J$6+$M$5*$J$7</f>
        <v>-0.65055620911585921</v>
      </c>
      <c r="U76" s="39">
        <f>$J$3+[46]FormattedData!N89*$J$4+$M$4*$J$5+[46]FormattedData!N89^2*$J$6+$M$5*$J$7</f>
        <v>-0.65055620911585921</v>
      </c>
      <c r="V76" s="39">
        <f>$J$3+[46]FormattedData!O89*$J$4+$M$4*$J$5+[46]FormattedData!O89^2*$J$6+$M$5*$J$7</f>
        <v>-0.65055620911585921</v>
      </c>
      <c r="W76" s="38">
        <f>AVERAGE(K76:V76)</f>
        <v>-0.6505562091158591</v>
      </c>
      <c r="X76" s="37">
        <f>STDEV(K76:V76)/SQRT(COUNT(K76:V76))</f>
        <v>3.3474483693592253E-17</v>
      </c>
      <c r="Y76" s="36">
        <f>MIN(K76:V76)</f>
        <v>-0.65055620911585921</v>
      </c>
      <c r="Z76" s="35">
        <f>QUARTILE(K76:V76,1)</f>
        <v>-0.65055620911585921</v>
      </c>
      <c r="AA76" s="36">
        <f>MEDIAN(K76:V76)</f>
        <v>-0.65055620911585921</v>
      </c>
      <c r="AB76" s="35">
        <f>QUARTILE(K76:V76,3)</f>
        <v>-0.65055620911585921</v>
      </c>
      <c r="AC76" s="35">
        <f>MAX(K76:V76)</f>
        <v>-0.65055620911585921</v>
      </c>
      <c r="AD76" s="35">
        <f>SKEW(K76:V76)</f>
        <v>-1.1489125293076057</v>
      </c>
      <c r="AE76" s="35">
        <f>KURT(K76:V76)</f>
        <v>-2.4444444444444446</v>
      </c>
    </row>
    <row r="77" spans="2:31" x14ac:dyDescent="0.2">
      <c r="B77" s="34">
        <f>[46]FormattedData!A87</f>
        <v>0</v>
      </c>
      <c r="C77" s="34" t="e">
        <f>VLOOKUP($B77,[46]TrtCodes!$B$11:I130,2)</f>
        <v>#N/A</v>
      </c>
      <c r="D77" s="34" t="e">
        <f>VLOOKUP($B77,[46]TrtCodes!$B$11:J130,3)</f>
        <v>#N/A</v>
      </c>
      <c r="E77" s="34" t="e">
        <f>VLOOKUP($B77,[46]TrtCodes!$B$11:K130,4)</f>
        <v>#N/A</v>
      </c>
      <c r="F77" s="34" t="e">
        <f>VLOOKUP($B77,[46]TrtCodes!$B$11:L130,5)</f>
        <v>#N/A</v>
      </c>
      <c r="G77" s="34" t="e">
        <f>VLOOKUP($B77,[46]TrtCodes!$B$11:M130,6)</f>
        <v>#N/A</v>
      </c>
      <c r="H77" s="34" t="e">
        <f>VLOOKUP($B77,[46]TrtCodes!$B$11:N130,7)</f>
        <v>#N/A</v>
      </c>
      <c r="I77" s="34">
        <f>[46]FormattedData!B87</f>
        <v>0</v>
      </c>
      <c r="J77" s="37">
        <f>[46]FormattedData!C87</f>
        <v>0</v>
      </c>
      <c r="K77" s="39">
        <f>$J$3+[46]FormattedData!D87*$J$4+$M$4*$J$5+[46]FormattedData!D87^2*$J$6+$M$5*$J$7</f>
        <v>-0.65055620911585921</v>
      </c>
      <c r="L77" s="39">
        <f>$J$3+[46]FormattedData!E87*$J$4+$M$4*$J$5+[46]FormattedData!E87^2*$J$6+$M$5*$J$7</f>
        <v>-0.65055620911585921</v>
      </c>
      <c r="M77" s="39">
        <f>$J$3+[46]FormattedData!F87*$J$4+$M$4*$J$5+[46]FormattedData!F87^2*$J$6+$M$5*$J$7</f>
        <v>-0.65055620911585921</v>
      </c>
      <c r="N77" s="39">
        <f>$J$3+[46]FormattedData!G87*$J$4+$M$4*$J$5+[46]FormattedData!G87^2*$J$6+$M$5*$J$7</f>
        <v>-0.65055620911585921</v>
      </c>
      <c r="O77" s="39">
        <f>$J$3+[46]FormattedData!H87*$J$4+$M$4*$J$5+[46]FormattedData!H87^2*$J$6+$M$5*$J$7</f>
        <v>-0.65055620911585921</v>
      </c>
      <c r="P77" s="39">
        <f>$J$3+[46]FormattedData!I87*$J$4+$M$4*$J$5+[46]FormattedData!I87^2*$J$6+$M$5*$J$7</f>
        <v>-0.65055620911585921</v>
      </c>
      <c r="Q77" s="39">
        <f>$J$3+[46]FormattedData!J87*$J$4+$M$4*$J$5+[46]FormattedData!J87^2*$J$6+$M$5*$J$7</f>
        <v>-0.65055620911585921</v>
      </c>
      <c r="R77" s="39">
        <f>$J$3+[46]FormattedData!K87*$J$4+$M$4*$J$5+[46]FormattedData!K87^2*$J$6+$M$5*$J$7</f>
        <v>-0.65055620911585921</v>
      </c>
      <c r="S77" s="39">
        <f>$J$3+[46]FormattedData!L87*$J$4+$M$4*$J$5+[46]FormattedData!L87^2*$J$6+$M$5*$J$7</f>
        <v>-0.65055620911585921</v>
      </c>
      <c r="T77" s="39">
        <f>$J$3+[46]FormattedData!M87*$J$4+$M$4*$J$5+[46]FormattedData!M87^2*$J$6+$M$5*$J$7</f>
        <v>-0.65055620911585921</v>
      </c>
      <c r="U77" s="39">
        <f>$J$3+[46]FormattedData!N87*$J$4+$M$4*$J$5+[46]FormattedData!N87^2*$J$6+$M$5*$J$7</f>
        <v>-0.65055620911585921</v>
      </c>
      <c r="V77" s="39">
        <f>$J$3+[46]FormattedData!O87*$J$4+$M$4*$J$5+[46]FormattedData!O87^2*$J$6+$M$5*$J$7</f>
        <v>-0.65055620911585921</v>
      </c>
      <c r="W77" s="38">
        <f>AVERAGE(K77:V77)</f>
        <v>-0.6505562091158591</v>
      </c>
      <c r="X77" s="37">
        <f>STDEV(K77:V77)/SQRT(COUNT(K77:V77))</f>
        <v>3.3474483693592253E-17</v>
      </c>
      <c r="Y77" s="36">
        <f>MIN(K77:V77)</f>
        <v>-0.65055620911585921</v>
      </c>
      <c r="Z77" s="35">
        <f>QUARTILE(K77:V77,1)</f>
        <v>-0.65055620911585921</v>
      </c>
      <c r="AA77" s="36">
        <f>MEDIAN(K77:V77)</f>
        <v>-0.65055620911585921</v>
      </c>
      <c r="AB77" s="35">
        <f>QUARTILE(K77:V77,3)</f>
        <v>-0.65055620911585921</v>
      </c>
      <c r="AC77" s="35">
        <f>MAX(K77:V77)</f>
        <v>-0.65055620911585921</v>
      </c>
      <c r="AD77" s="35">
        <f>SKEW(K77:V77)</f>
        <v>-1.1489125293076057</v>
      </c>
      <c r="AE77" s="35">
        <f>KURT(K77:V77)</f>
        <v>-2.4444444444444446</v>
      </c>
    </row>
    <row r="78" spans="2:31" x14ac:dyDescent="0.2">
      <c r="B78" s="34">
        <f>[46]FormattedData!A85</f>
        <v>0</v>
      </c>
      <c r="C78" s="34" t="e">
        <f>VLOOKUP($B78,[46]TrtCodes!$B$11:I128,2)</f>
        <v>#N/A</v>
      </c>
      <c r="D78" s="34" t="e">
        <f>VLOOKUP($B78,[46]TrtCodes!$B$11:J128,3)</f>
        <v>#N/A</v>
      </c>
      <c r="E78" s="34" t="e">
        <f>VLOOKUP($B78,[46]TrtCodes!$B$11:K128,4)</f>
        <v>#N/A</v>
      </c>
      <c r="F78" s="34" t="e">
        <f>VLOOKUP($B78,[46]TrtCodes!$B$11:L128,5)</f>
        <v>#N/A</v>
      </c>
      <c r="G78" s="34" t="e">
        <f>VLOOKUP($B78,[46]TrtCodes!$B$11:M128,6)</f>
        <v>#N/A</v>
      </c>
      <c r="H78" s="34" t="e">
        <f>VLOOKUP($B78,[46]TrtCodes!$B$11:N128,7)</f>
        <v>#N/A</v>
      </c>
      <c r="I78" s="34">
        <f>[46]FormattedData!B85</f>
        <v>0</v>
      </c>
      <c r="J78" s="37">
        <f>[46]FormattedData!C85</f>
        <v>0</v>
      </c>
      <c r="K78" s="39">
        <f>$J$3+[46]FormattedData!D85*$J$4+$M$4*$J$5+[46]FormattedData!D85^2*$J$6+$M$5*$J$7</f>
        <v>-0.65055620911585921</v>
      </c>
      <c r="L78" s="39">
        <f>$J$3+[46]FormattedData!E85*$J$4+$M$4*$J$5+[46]FormattedData!E85^2*$J$6+$M$5*$J$7</f>
        <v>-0.65055620911585921</v>
      </c>
      <c r="M78" s="39">
        <f>$J$3+[46]FormattedData!F85*$J$4+$M$4*$J$5+[46]FormattedData!F85^2*$J$6+$M$5*$J$7</f>
        <v>-0.65055620911585921</v>
      </c>
      <c r="N78" s="39">
        <f>$J$3+[46]FormattedData!G85*$J$4+$M$4*$J$5+[46]FormattedData!G85^2*$J$6+$M$5*$J$7</f>
        <v>-0.65055620911585921</v>
      </c>
      <c r="O78" s="39">
        <f>$J$3+[46]FormattedData!H85*$J$4+$M$4*$J$5+[46]FormattedData!H85^2*$J$6+$M$5*$J$7</f>
        <v>-0.65055620911585921</v>
      </c>
      <c r="P78" s="39">
        <f>$J$3+[46]FormattedData!I85*$J$4+$M$4*$J$5+[46]FormattedData!I85^2*$J$6+$M$5*$J$7</f>
        <v>-0.65055620911585921</v>
      </c>
      <c r="Q78" s="39">
        <f>$J$3+[46]FormattedData!J85*$J$4+$M$4*$J$5+[46]FormattedData!J85^2*$J$6+$M$5*$J$7</f>
        <v>-0.65055620911585921</v>
      </c>
      <c r="R78" s="39">
        <f>$J$3+[46]FormattedData!K85*$J$4+$M$4*$J$5+[46]FormattedData!K85^2*$J$6+$M$5*$J$7</f>
        <v>-0.65055620911585921</v>
      </c>
      <c r="S78" s="39">
        <f>$J$3+[46]FormattedData!L85*$J$4+$M$4*$J$5+[46]FormattedData!L85^2*$J$6+$M$5*$J$7</f>
        <v>-0.65055620911585921</v>
      </c>
      <c r="T78" s="39">
        <f>$J$3+[46]FormattedData!M85*$J$4+$M$4*$J$5+[46]FormattedData!M85^2*$J$6+$M$5*$J$7</f>
        <v>-0.65055620911585921</v>
      </c>
      <c r="U78" s="39">
        <f>$J$3+[46]FormattedData!N85*$J$4+$M$4*$J$5+[46]FormattedData!N85^2*$J$6+$M$5*$J$7</f>
        <v>-0.65055620911585921</v>
      </c>
      <c r="V78" s="39">
        <f>$J$3+[46]FormattedData!O85*$J$4+$M$4*$J$5+[46]FormattedData!O85^2*$J$6+$M$5*$J$7</f>
        <v>-0.65055620911585921</v>
      </c>
      <c r="W78" s="38">
        <f>AVERAGE(K78:V78)</f>
        <v>-0.6505562091158591</v>
      </c>
      <c r="X78" s="37">
        <f>STDEV(K78:V78)/SQRT(COUNT(K78:V78))</f>
        <v>3.3474483693592253E-17</v>
      </c>
      <c r="Y78" s="36">
        <f>MIN(K78:V78)</f>
        <v>-0.65055620911585921</v>
      </c>
      <c r="Z78" s="35">
        <f>QUARTILE(K78:V78,1)</f>
        <v>-0.65055620911585921</v>
      </c>
      <c r="AA78" s="36">
        <f>MEDIAN(K78:V78)</f>
        <v>-0.65055620911585921</v>
      </c>
      <c r="AB78" s="35">
        <f>QUARTILE(K78:V78,3)</f>
        <v>-0.65055620911585921</v>
      </c>
      <c r="AC78" s="35">
        <f>MAX(K78:V78)</f>
        <v>-0.65055620911585921</v>
      </c>
      <c r="AD78" s="35">
        <f>SKEW(K78:V78)</f>
        <v>-1.1489125293076057</v>
      </c>
      <c r="AE78" s="35">
        <f>KURT(K78:V78)</f>
        <v>-2.4444444444444446</v>
      </c>
    </row>
    <row r="79" spans="2:31" x14ac:dyDescent="0.2">
      <c r="B79" s="34">
        <f>[46]FormattedData!A83</f>
        <v>0</v>
      </c>
      <c r="C79" s="34" t="e">
        <f>VLOOKUP($B79,[46]TrtCodes!$B$11:I126,2)</f>
        <v>#N/A</v>
      </c>
      <c r="D79" s="34" t="e">
        <f>VLOOKUP($B79,[46]TrtCodes!$B$11:J126,3)</f>
        <v>#N/A</v>
      </c>
      <c r="E79" s="34" t="e">
        <f>VLOOKUP($B79,[46]TrtCodes!$B$11:K126,4)</f>
        <v>#N/A</v>
      </c>
      <c r="F79" s="34" t="e">
        <f>VLOOKUP($B79,[46]TrtCodes!$B$11:L126,5)</f>
        <v>#N/A</v>
      </c>
      <c r="G79" s="34" t="e">
        <f>VLOOKUP($B79,[46]TrtCodes!$B$11:M126,6)</f>
        <v>#N/A</v>
      </c>
      <c r="H79" s="34" t="e">
        <f>VLOOKUP($B79,[46]TrtCodes!$B$11:N126,7)</f>
        <v>#N/A</v>
      </c>
      <c r="I79" s="34">
        <f>[46]FormattedData!B83</f>
        <v>0</v>
      </c>
      <c r="J79" s="37">
        <f>[46]FormattedData!C83</f>
        <v>0</v>
      </c>
      <c r="K79" s="39">
        <f>$J$3+[46]FormattedData!D83*$J$4+$M$4*$J$5+[46]FormattedData!D83^2*$J$6+$M$5*$J$7</f>
        <v>-0.65055620911585921</v>
      </c>
      <c r="L79" s="39">
        <f>$J$3+[46]FormattedData!E83*$J$4+$M$4*$J$5+[46]FormattedData!E83^2*$J$6+$M$5*$J$7</f>
        <v>-0.65055620911585921</v>
      </c>
      <c r="M79" s="39">
        <f>$J$3+[46]FormattedData!F83*$J$4+$M$4*$J$5+[46]FormattedData!F83^2*$J$6+$M$5*$J$7</f>
        <v>-0.65055620911585921</v>
      </c>
      <c r="N79" s="39">
        <f>$J$3+[46]FormattedData!G83*$J$4+$M$4*$J$5+[46]FormattedData!G83^2*$J$6+$M$5*$J$7</f>
        <v>-0.65055620911585921</v>
      </c>
      <c r="O79" s="39">
        <f>$J$3+[46]FormattedData!H83*$J$4+$M$4*$J$5+[46]FormattedData!H83^2*$J$6+$M$5*$J$7</f>
        <v>-0.65055620911585921</v>
      </c>
      <c r="P79" s="39">
        <f>$J$3+[46]FormattedData!I83*$J$4+$M$4*$J$5+[46]FormattedData!I83^2*$J$6+$M$5*$J$7</f>
        <v>-0.65055620911585921</v>
      </c>
      <c r="Q79" s="39">
        <f>$J$3+[46]FormattedData!J83*$J$4+$M$4*$J$5+[46]FormattedData!J83^2*$J$6+$M$5*$J$7</f>
        <v>-0.65055620911585921</v>
      </c>
      <c r="R79" s="39">
        <f>$J$3+[46]FormattedData!K83*$J$4+$M$4*$J$5+[46]FormattedData!K83^2*$J$6+$M$5*$J$7</f>
        <v>-0.65055620911585921</v>
      </c>
      <c r="S79" s="39">
        <f>$J$3+[46]FormattedData!L83*$J$4+$M$4*$J$5+[46]FormattedData!L83^2*$J$6+$M$5*$J$7</f>
        <v>-0.65055620911585921</v>
      </c>
      <c r="T79" s="39">
        <f>$J$3+[46]FormattedData!M83*$J$4+$M$4*$J$5+[46]FormattedData!M83^2*$J$6+$M$5*$J$7</f>
        <v>-0.65055620911585921</v>
      </c>
      <c r="U79" s="39">
        <f>$J$3+[46]FormattedData!N83*$J$4+$M$4*$J$5+[46]FormattedData!N83^2*$J$6+$M$5*$J$7</f>
        <v>-0.65055620911585921</v>
      </c>
      <c r="V79" s="39">
        <f>$J$3+[46]FormattedData!O83*$J$4+$M$4*$J$5+[46]FormattedData!O83^2*$J$6+$M$5*$J$7</f>
        <v>-0.65055620911585921</v>
      </c>
      <c r="W79" s="38">
        <f>AVERAGE(K79:V79)</f>
        <v>-0.6505562091158591</v>
      </c>
      <c r="X79" s="37">
        <f>STDEV(K79:V79)/SQRT(COUNT(K79:V79))</f>
        <v>3.3474483693592253E-17</v>
      </c>
      <c r="Y79" s="36">
        <f>MIN(K79:V79)</f>
        <v>-0.65055620911585921</v>
      </c>
      <c r="Z79" s="35">
        <f>QUARTILE(K79:V79,1)</f>
        <v>-0.65055620911585921</v>
      </c>
      <c r="AA79" s="36">
        <f>MEDIAN(K79:V79)</f>
        <v>-0.65055620911585921</v>
      </c>
      <c r="AB79" s="35">
        <f>QUARTILE(K79:V79,3)</f>
        <v>-0.65055620911585921</v>
      </c>
      <c r="AC79" s="35">
        <f>MAX(K79:V79)</f>
        <v>-0.65055620911585921</v>
      </c>
      <c r="AD79" s="35">
        <f>SKEW(K79:V79)</f>
        <v>-1.1489125293076057</v>
      </c>
      <c r="AE79" s="35">
        <f>KURT(K79:V79)</f>
        <v>-2.4444444444444446</v>
      </c>
    </row>
    <row r="80" spans="2:31" x14ac:dyDescent="0.2">
      <c r="B80" s="34">
        <f>[46]FormattedData!A81</f>
        <v>0</v>
      </c>
      <c r="C80" s="34" t="e">
        <f>VLOOKUP($B80,[46]TrtCodes!$B$11:I124,2)</f>
        <v>#N/A</v>
      </c>
      <c r="D80" s="34" t="e">
        <f>VLOOKUP($B80,[46]TrtCodes!$B$11:J124,3)</f>
        <v>#N/A</v>
      </c>
      <c r="E80" s="34" t="e">
        <f>VLOOKUP($B80,[46]TrtCodes!$B$11:K124,4)</f>
        <v>#N/A</v>
      </c>
      <c r="F80" s="34" t="e">
        <f>VLOOKUP($B80,[46]TrtCodes!$B$11:L124,5)</f>
        <v>#N/A</v>
      </c>
      <c r="G80" s="34" t="e">
        <f>VLOOKUP($B80,[46]TrtCodes!$B$11:M124,6)</f>
        <v>#N/A</v>
      </c>
      <c r="H80" s="34" t="e">
        <f>VLOOKUP($B80,[46]TrtCodes!$B$11:N124,7)</f>
        <v>#N/A</v>
      </c>
      <c r="I80" s="34">
        <f>[46]FormattedData!B81</f>
        <v>0</v>
      </c>
      <c r="J80" s="37">
        <f>[46]FormattedData!C81</f>
        <v>0</v>
      </c>
      <c r="K80" s="39">
        <f>$J$3+[46]FormattedData!D81*$J$4+$M$4*$J$5+[46]FormattedData!D81^2*$J$6+$M$5*$J$7</f>
        <v>-0.65055620911585921</v>
      </c>
      <c r="L80" s="39">
        <f>$J$3+[46]FormattedData!E81*$J$4+$M$4*$J$5+[46]FormattedData!E81^2*$J$6+$M$5*$J$7</f>
        <v>-0.65055620911585921</v>
      </c>
      <c r="M80" s="39">
        <f>$J$3+[46]FormattedData!F81*$J$4+$M$4*$J$5+[46]FormattedData!F81^2*$J$6+$M$5*$J$7</f>
        <v>-0.65055620911585921</v>
      </c>
      <c r="N80" s="39">
        <f>$J$3+[46]FormattedData!G81*$J$4+$M$4*$J$5+[46]FormattedData!G81^2*$J$6+$M$5*$J$7</f>
        <v>-0.65055620911585921</v>
      </c>
      <c r="O80" s="39">
        <f>$J$3+[46]FormattedData!H81*$J$4+$M$4*$J$5+[46]FormattedData!H81^2*$J$6+$M$5*$J$7</f>
        <v>-0.65055620911585921</v>
      </c>
      <c r="P80" s="39">
        <f>$J$3+[46]FormattedData!I81*$J$4+$M$4*$J$5+[46]FormattedData!I81^2*$J$6+$M$5*$J$7</f>
        <v>-0.65055620911585921</v>
      </c>
      <c r="Q80" s="39">
        <f>$J$3+[46]FormattedData!J81*$J$4+$M$4*$J$5+[46]FormattedData!J81^2*$J$6+$M$5*$J$7</f>
        <v>-0.65055620911585921</v>
      </c>
      <c r="R80" s="39">
        <f>$J$3+[46]FormattedData!K81*$J$4+$M$4*$J$5+[46]FormattedData!K81^2*$J$6+$M$5*$J$7</f>
        <v>-0.65055620911585921</v>
      </c>
      <c r="S80" s="39">
        <f>$J$3+[46]FormattedData!L81*$J$4+$M$4*$J$5+[46]FormattedData!L81^2*$J$6+$M$5*$J$7</f>
        <v>-0.65055620911585921</v>
      </c>
      <c r="T80" s="39">
        <f>$J$3+[46]FormattedData!M81*$J$4+$M$4*$J$5+[46]FormattedData!M81^2*$J$6+$M$5*$J$7</f>
        <v>-0.65055620911585921</v>
      </c>
      <c r="U80" s="39">
        <f>$J$3+[46]FormattedData!N81*$J$4+$M$4*$J$5+[46]FormattedData!N81^2*$J$6+$M$5*$J$7</f>
        <v>-0.65055620911585921</v>
      </c>
      <c r="V80" s="39">
        <f>$J$3+[46]FormattedData!O81*$J$4+$M$4*$J$5+[46]FormattedData!O81^2*$J$6+$M$5*$J$7</f>
        <v>-0.65055620911585921</v>
      </c>
      <c r="W80" s="38">
        <f>AVERAGE(K80:V80)</f>
        <v>-0.6505562091158591</v>
      </c>
      <c r="X80" s="37">
        <f>STDEV(K80:V80)/SQRT(COUNT(K80:V80))</f>
        <v>3.3474483693592253E-17</v>
      </c>
      <c r="Y80" s="36">
        <f>MIN(K80:V80)</f>
        <v>-0.65055620911585921</v>
      </c>
      <c r="Z80" s="35">
        <f>QUARTILE(K80:V80,1)</f>
        <v>-0.65055620911585921</v>
      </c>
      <c r="AA80" s="36">
        <f>MEDIAN(K80:V80)</f>
        <v>-0.65055620911585921</v>
      </c>
      <c r="AB80" s="35">
        <f>QUARTILE(K80:V80,3)</f>
        <v>-0.65055620911585921</v>
      </c>
      <c r="AC80" s="35">
        <f>MAX(K80:V80)</f>
        <v>-0.65055620911585921</v>
      </c>
      <c r="AD80" s="35">
        <f>SKEW(K80:V80)</f>
        <v>-1.1489125293076057</v>
      </c>
      <c r="AE80" s="35">
        <f>KURT(K80:V80)</f>
        <v>-2.4444444444444446</v>
      </c>
    </row>
    <row r="81" spans="2:31" x14ac:dyDescent="0.2">
      <c r="B81" s="34">
        <f>[46]FormattedData!A79</f>
        <v>0</v>
      </c>
      <c r="C81" s="34" t="e">
        <f>VLOOKUP($B81,[46]TrtCodes!$B$11:I122,2)</f>
        <v>#N/A</v>
      </c>
      <c r="D81" s="34" t="e">
        <f>VLOOKUP($B81,[46]TrtCodes!$B$11:J122,3)</f>
        <v>#N/A</v>
      </c>
      <c r="E81" s="34" t="e">
        <f>VLOOKUP($B81,[46]TrtCodes!$B$11:K122,4)</f>
        <v>#N/A</v>
      </c>
      <c r="F81" s="34" t="e">
        <f>VLOOKUP($B81,[46]TrtCodes!$B$11:L122,5)</f>
        <v>#N/A</v>
      </c>
      <c r="G81" s="34" t="e">
        <f>VLOOKUP($B81,[46]TrtCodes!$B$11:M122,6)</f>
        <v>#N/A</v>
      </c>
      <c r="H81" s="34" t="e">
        <f>VLOOKUP($B81,[46]TrtCodes!$B$11:N122,7)</f>
        <v>#N/A</v>
      </c>
      <c r="I81" s="34">
        <f>[46]FormattedData!B79</f>
        <v>0</v>
      </c>
      <c r="J81" s="37">
        <f>[46]FormattedData!C79</f>
        <v>0</v>
      </c>
      <c r="K81" s="39">
        <f>$J$3+[46]FormattedData!D79*$J$4+$M$4*$J$5+[46]FormattedData!D79^2*$J$6+$M$5*$J$7</f>
        <v>-0.65055620911585921</v>
      </c>
      <c r="L81" s="39">
        <f>$J$3+[46]FormattedData!E79*$J$4+$M$4*$J$5+[46]FormattedData!E79^2*$J$6+$M$5*$J$7</f>
        <v>-0.65055620911585921</v>
      </c>
      <c r="M81" s="39">
        <f>$J$3+[46]FormattedData!F79*$J$4+$M$4*$J$5+[46]FormattedData!F79^2*$J$6+$M$5*$J$7</f>
        <v>-0.65055620911585921</v>
      </c>
      <c r="N81" s="39">
        <f>$J$3+[46]FormattedData!G79*$J$4+$M$4*$J$5+[46]FormattedData!G79^2*$J$6+$M$5*$J$7</f>
        <v>-0.65055620911585921</v>
      </c>
      <c r="O81" s="39">
        <f>$J$3+[46]FormattedData!H79*$J$4+$M$4*$J$5+[46]FormattedData!H79^2*$J$6+$M$5*$J$7</f>
        <v>-0.65055620911585921</v>
      </c>
      <c r="P81" s="39">
        <f>$J$3+[46]FormattedData!I79*$J$4+$M$4*$J$5+[46]FormattedData!I79^2*$J$6+$M$5*$J$7</f>
        <v>-0.65055620911585921</v>
      </c>
      <c r="Q81" s="39">
        <f>$J$3+[46]FormattedData!J79*$J$4+$M$4*$J$5+[46]FormattedData!J79^2*$J$6+$M$5*$J$7</f>
        <v>-0.65055620911585921</v>
      </c>
      <c r="R81" s="39">
        <f>$J$3+[46]FormattedData!K79*$J$4+$M$4*$J$5+[46]FormattedData!K79^2*$J$6+$M$5*$J$7</f>
        <v>-0.65055620911585921</v>
      </c>
      <c r="S81" s="39">
        <f>$J$3+[46]FormattedData!L79*$J$4+$M$4*$J$5+[46]FormattedData!L79^2*$J$6+$M$5*$J$7</f>
        <v>-0.65055620911585921</v>
      </c>
      <c r="T81" s="39">
        <f>$J$3+[46]FormattedData!M79*$J$4+$M$4*$J$5+[46]FormattedData!M79^2*$J$6+$M$5*$J$7</f>
        <v>-0.65055620911585921</v>
      </c>
      <c r="U81" s="39">
        <f>$J$3+[46]FormattedData!N79*$J$4+$M$4*$J$5+[46]FormattedData!N79^2*$J$6+$M$5*$J$7</f>
        <v>-0.65055620911585921</v>
      </c>
      <c r="V81" s="39">
        <f>$J$3+[46]FormattedData!O79*$J$4+$M$4*$J$5+[46]FormattedData!O79^2*$J$6+$M$5*$J$7</f>
        <v>-0.65055620911585921</v>
      </c>
      <c r="W81" s="38">
        <f>AVERAGE(K81:V81)</f>
        <v>-0.6505562091158591</v>
      </c>
      <c r="X81" s="37">
        <f>STDEV(K81:V81)/SQRT(COUNT(K81:V81))</f>
        <v>3.3474483693592253E-17</v>
      </c>
      <c r="Y81" s="36">
        <f>MIN(K81:V81)</f>
        <v>-0.65055620911585921</v>
      </c>
      <c r="Z81" s="35">
        <f>QUARTILE(K81:V81,1)</f>
        <v>-0.65055620911585921</v>
      </c>
      <c r="AA81" s="36">
        <f>MEDIAN(K81:V81)</f>
        <v>-0.65055620911585921</v>
      </c>
      <c r="AB81" s="35">
        <f>QUARTILE(K81:V81,3)</f>
        <v>-0.65055620911585921</v>
      </c>
      <c r="AC81" s="35">
        <f>MAX(K81:V81)</f>
        <v>-0.65055620911585921</v>
      </c>
      <c r="AD81" s="35">
        <f>SKEW(K81:V81)</f>
        <v>-1.1489125293076057</v>
      </c>
      <c r="AE81" s="35">
        <f>KURT(K81:V81)</f>
        <v>-2.4444444444444446</v>
      </c>
    </row>
    <row r="82" spans="2:31" x14ac:dyDescent="0.2">
      <c r="B82" s="34">
        <f>[46]FormattedData!A59</f>
        <v>0</v>
      </c>
      <c r="C82" s="34" t="e">
        <f>VLOOKUP($B82,[46]TrtCodes!$B$11:I102,2)</f>
        <v>#N/A</v>
      </c>
      <c r="D82" s="34" t="e">
        <f>VLOOKUP($B82,[46]TrtCodes!$B$11:J102,3)</f>
        <v>#N/A</v>
      </c>
      <c r="E82" s="34" t="e">
        <f>VLOOKUP($B82,[46]TrtCodes!$B$11:K102,4)</f>
        <v>#N/A</v>
      </c>
      <c r="F82" s="34" t="e">
        <f>VLOOKUP($B82,[46]TrtCodes!$B$11:L102,5)</f>
        <v>#N/A</v>
      </c>
      <c r="G82" s="34" t="e">
        <f>VLOOKUP($B82,[46]TrtCodes!$B$11:M102,6)</f>
        <v>#N/A</v>
      </c>
      <c r="H82" s="34" t="e">
        <f>VLOOKUP($B82,[46]TrtCodes!$B$11:N102,7)</f>
        <v>#N/A</v>
      </c>
      <c r="I82" s="34">
        <f>[46]FormattedData!B59</f>
        <v>0</v>
      </c>
      <c r="J82" s="37">
        <f>[46]FormattedData!C59</f>
        <v>0</v>
      </c>
      <c r="K82" s="39">
        <f>$J$3+[46]FormattedData!D59*$J$4+$M$4*$J$5+[46]FormattedData!D59^2*$J$6+$M$5*$J$7</f>
        <v>-0.65055620911585921</v>
      </c>
      <c r="L82" s="39">
        <f>$J$3+[46]FormattedData!E59*$J$4+$M$4*$J$5+[46]FormattedData!E59^2*$J$6+$M$5*$J$7</f>
        <v>-0.65055620911585921</v>
      </c>
      <c r="M82" s="39">
        <f>$J$3+[46]FormattedData!F59*$J$4+$M$4*$J$5+[46]FormattedData!F59^2*$J$6+$M$5*$J$7</f>
        <v>-0.65055620911585921</v>
      </c>
      <c r="N82" s="39">
        <f>$J$3+[46]FormattedData!G59*$J$4+$M$4*$J$5+[46]FormattedData!G59^2*$J$6+$M$5*$J$7</f>
        <v>-0.65055620911585921</v>
      </c>
      <c r="O82" s="39">
        <f>$J$3+[46]FormattedData!H59*$J$4+$M$4*$J$5+[46]FormattedData!H59^2*$J$6+$M$5*$J$7</f>
        <v>-0.65055620911585921</v>
      </c>
      <c r="P82" s="39">
        <f>$J$3+[46]FormattedData!I59*$J$4+$M$4*$J$5+[46]FormattedData!I59^2*$J$6+$M$5*$J$7</f>
        <v>-0.65055620911585921</v>
      </c>
      <c r="Q82" s="39">
        <f>$J$3+[46]FormattedData!J59*$J$4+$M$4*$J$5+[46]FormattedData!J59^2*$J$6+$M$5*$J$7</f>
        <v>-0.65055620911585921</v>
      </c>
      <c r="R82" s="39">
        <f>$J$3+[46]FormattedData!K59*$J$4+$M$4*$J$5+[46]FormattedData!K59^2*$J$6+$M$5*$J$7</f>
        <v>-0.65055620911585921</v>
      </c>
      <c r="S82" s="39">
        <f>$J$3+[46]FormattedData!L59*$J$4+$M$4*$J$5+[46]FormattedData!L59^2*$J$6+$M$5*$J$7</f>
        <v>-0.65055620911585921</v>
      </c>
      <c r="T82" s="39">
        <f>$J$3+[46]FormattedData!M59*$J$4+$M$4*$J$5+[46]FormattedData!M59^2*$J$6+$M$5*$J$7</f>
        <v>-0.65055620911585921</v>
      </c>
      <c r="U82" s="39">
        <f>$J$3+[46]FormattedData!N59*$J$4+$M$4*$J$5+[46]FormattedData!N59^2*$J$6+$M$5*$J$7</f>
        <v>-0.65055620911585921</v>
      </c>
      <c r="V82" s="39">
        <f>$J$3+[46]FormattedData!O59*$J$4+$M$4*$J$5+[46]FormattedData!O59^2*$J$6+$M$5*$J$7</f>
        <v>-0.65055620911585921</v>
      </c>
      <c r="W82" s="38">
        <f>AVERAGE(K82:V82)</f>
        <v>-0.6505562091158591</v>
      </c>
      <c r="X82" s="37">
        <f>STDEV(K82:V82)/SQRT(COUNT(K82:V82))</f>
        <v>3.3474483693592253E-17</v>
      </c>
      <c r="Y82" s="36">
        <f>MIN(K82:V82)</f>
        <v>-0.65055620911585921</v>
      </c>
      <c r="Z82" s="35">
        <f>QUARTILE(K82:V82,1)</f>
        <v>-0.65055620911585921</v>
      </c>
      <c r="AA82" s="36">
        <f>MEDIAN(K82:V82)</f>
        <v>-0.65055620911585921</v>
      </c>
      <c r="AB82" s="35">
        <f>QUARTILE(K82:V82,3)</f>
        <v>-0.65055620911585921</v>
      </c>
      <c r="AC82" s="35">
        <f>MAX(K82:V82)</f>
        <v>-0.65055620911585921</v>
      </c>
      <c r="AD82" s="35">
        <f>SKEW(K82:V82)</f>
        <v>-1.1489125293076057</v>
      </c>
      <c r="AE82" s="35">
        <f>KURT(K82:V82)</f>
        <v>-2.4444444444444446</v>
      </c>
    </row>
    <row r="83" spans="2:31" x14ac:dyDescent="0.2">
      <c r="B83" s="34">
        <f>[46]FormattedData!A55</f>
        <v>0</v>
      </c>
      <c r="C83" s="34" t="e">
        <f>VLOOKUP($B83,[46]TrtCodes!$B$11:I98,2)</f>
        <v>#N/A</v>
      </c>
      <c r="D83" s="34" t="e">
        <f>VLOOKUP($B83,[46]TrtCodes!$B$11:J98,3)</f>
        <v>#N/A</v>
      </c>
      <c r="E83" s="34" t="e">
        <f>VLOOKUP($B83,[46]TrtCodes!$B$11:K98,4)</f>
        <v>#N/A</v>
      </c>
      <c r="F83" s="34" t="e">
        <f>VLOOKUP($B83,[46]TrtCodes!$B$11:L98,5)</f>
        <v>#N/A</v>
      </c>
      <c r="G83" s="34" t="e">
        <f>VLOOKUP($B83,[46]TrtCodes!$B$11:M98,6)</f>
        <v>#N/A</v>
      </c>
      <c r="H83" s="34" t="e">
        <f>VLOOKUP($B83,[46]TrtCodes!$B$11:N98,7)</f>
        <v>#N/A</v>
      </c>
      <c r="I83" s="34">
        <f>[46]FormattedData!B55</f>
        <v>0</v>
      </c>
      <c r="J83" s="37">
        <f>[46]FormattedData!C55</f>
        <v>0</v>
      </c>
      <c r="K83" s="39">
        <f>$J$3+[46]FormattedData!D55*$J$4+$M$4*$J$5+[46]FormattedData!D55^2*$J$6+$M$5*$J$7</f>
        <v>-0.65055620911585921</v>
      </c>
      <c r="L83" s="39">
        <f>$J$3+[46]FormattedData!E55*$J$4+$M$4*$J$5+[46]FormattedData!E55^2*$J$6+$M$5*$J$7</f>
        <v>-0.65055620911585921</v>
      </c>
      <c r="M83" s="39">
        <f>$J$3+[46]FormattedData!F55*$J$4+$M$4*$J$5+[46]FormattedData!F55^2*$J$6+$M$5*$J$7</f>
        <v>-0.65055620911585921</v>
      </c>
      <c r="N83" s="39">
        <f>$J$3+[46]FormattedData!G55*$J$4+$M$4*$J$5+[46]FormattedData!G55^2*$J$6+$M$5*$J$7</f>
        <v>-0.65055620911585921</v>
      </c>
      <c r="O83" s="39">
        <f>$J$3+[46]FormattedData!H55*$J$4+$M$4*$J$5+[46]FormattedData!H55^2*$J$6+$M$5*$J$7</f>
        <v>-0.65055620911585921</v>
      </c>
      <c r="P83" s="39">
        <f>$J$3+[46]FormattedData!I55*$J$4+$M$4*$J$5+[46]FormattedData!I55^2*$J$6+$M$5*$J$7</f>
        <v>-0.65055620911585921</v>
      </c>
      <c r="Q83" s="39">
        <f>$J$3+[46]FormattedData!J55*$J$4+$M$4*$J$5+[46]FormattedData!J55^2*$J$6+$M$5*$J$7</f>
        <v>-0.65055620911585921</v>
      </c>
      <c r="R83" s="39">
        <f>$J$3+[46]FormattedData!K55*$J$4+$M$4*$J$5+[46]FormattedData!K55^2*$J$6+$M$5*$J$7</f>
        <v>-0.65055620911585921</v>
      </c>
      <c r="S83" s="39">
        <f>$J$3+[46]FormattedData!L55*$J$4+$M$4*$J$5+[46]FormattedData!L55^2*$J$6+$M$5*$J$7</f>
        <v>-0.65055620911585921</v>
      </c>
      <c r="T83" s="39">
        <f>$J$3+[46]FormattedData!M55*$J$4+$M$4*$J$5+[46]FormattedData!M55^2*$J$6+$M$5*$J$7</f>
        <v>-0.65055620911585921</v>
      </c>
      <c r="U83" s="39">
        <f>$J$3+[46]FormattedData!N55*$J$4+$M$4*$J$5+[46]FormattedData!N55^2*$J$6+$M$5*$J$7</f>
        <v>-0.65055620911585921</v>
      </c>
      <c r="V83" s="39">
        <f>$J$3+[46]FormattedData!O55*$J$4+$M$4*$J$5+[46]FormattedData!O55^2*$J$6+$M$5*$J$7</f>
        <v>-0.65055620911585921</v>
      </c>
      <c r="W83" s="38">
        <f>AVERAGE(K83:V83)</f>
        <v>-0.6505562091158591</v>
      </c>
      <c r="X83" s="37">
        <f>STDEV(K83:V83)/SQRT(COUNT(K83:V83))</f>
        <v>3.3474483693592253E-17</v>
      </c>
      <c r="Y83" s="36">
        <f>MIN(K83:V83)</f>
        <v>-0.65055620911585921</v>
      </c>
      <c r="Z83" s="35">
        <f>QUARTILE(K83:V83,1)</f>
        <v>-0.65055620911585921</v>
      </c>
      <c r="AA83" s="36">
        <f>MEDIAN(K83:V83)</f>
        <v>-0.65055620911585921</v>
      </c>
      <c r="AB83" s="35">
        <f>QUARTILE(K83:V83,3)</f>
        <v>-0.65055620911585921</v>
      </c>
      <c r="AC83" s="35">
        <f>MAX(K83:V83)</f>
        <v>-0.65055620911585921</v>
      </c>
      <c r="AD83" s="35">
        <f>SKEW(K83:V83)</f>
        <v>-1.1489125293076057</v>
      </c>
      <c r="AE83" s="35">
        <f>KURT(K83:V83)</f>
        <v>-2.4444444444444446</v>
      </c>
    </row>
    <row r="84" spans="2:31" x14ac:dyDescent="0.2">
      <c r="B84" s="34">
        <f>[46]FormattedData!A51</f>
        <v>0</v>
      </c>
      <c r="C84" s="34" t="e">
        <f>VLOOKUP($B84,[46]TrtCodes!$B$11:I94,2)</f>
        <v>#N/A</v>
      </c>
      <c r="D84" s="34" t="e">
        <f>VLOOKUP($B84,[46]TrtCodes!$B$11:J94,3)</f>
        <v>#N/A</v>
      </c>
      <c r="E84" s="34" t="e">
        <f>VLOOKUP($B84,[46]TrtCodes!$B$11:K94,4)</f>
        <v>#N/A</v>
      </c>
      <c r="F84" s="34" t="e">
        <f>VLOOKUP($B84,[46]TrtCodes!$B$11:L94,5)</f>
        <v>#N/A</v>
      </c>
      <c r="G84" s="34" t="e">
        <f>VLOOKUP($B84,[46]TrtCodes!$B$11:M94,6)</f>
        <v>#N/A</v>
      </c>
      <c r="H84" s="34" t="e">
        <f>VLOOKUP($B84,[46]TrtCodes!$B$11:N94,7)</f>
        <v>#N/A</v>
      </c>
      <c r="I84" s="34">
        <f>[46]FormattedData!B51</f>
        <v>0</v>
      </c>
      <c r="J84" s="37">
        <f>[46]FormattedData!C51</f>
        <v>0</v>
      </c>
      <c r="K84" s="39">
        <f>$J$3+[46]FormattedData!D51*$J$4+$M$4*$J$5+[46]FormattedData!D51^2*$J$6+$M$5*$J$7</f>
        <v>-0.65055620911585921</v>
      </c>
      <c r="L84" s="39">
        <f>$J$3+[46]FormattedData!E51*$J$4+$M$4*$J$5+[46]FormattedData!E51^2*$J$6+$M$5*$J$7</f>
        <v>-0.65055620911585921</v>
      </c>
      <c r="M84" s="39">
        <f>$J$3+[46]FormattedData!F51*$J$4+$M$4*$J$5+[46]FormattedData!F51^2*$J$6+$M$5*$J$7</f>
        <v>-0.65055620911585921</v>
      </c>
      <c r="N84" s="39">
        <f>$J$3+[46]FormattedData!G51*$J$4+$M$4*$J$5+[46]FormattedData!G51^2*$J$6+$M$5*$J$7</f>
        <v>-0.65055620911585921</v>
      </c>
      <c r="O84" s="39">
        <f>$J$3+[46]FormattedData!H51*$J$4+$M$4*$J$5+[46]FormattedData!H51^2*$J$6+$M$5*$J$7</f>
        <v>-0.65055620911585921</v>
      </c>
      <c r="P84" s="39">
        <f>$J$3+[46]FormattedData!I51*$J$4+$M$4*$J$5+[46]FormattedData!I51^2*$J$6+$M$5*$J$7</f>
        <v>-0.65055620911585921</v>
      </c>
      <c r="Q84" s="39">
        <f>$J$3+[46]FormattedData!J51*$J$4+$M$4*$J$5+[46]FormattedData!J51^2*$J$6+$M$5*$J$7</f>
        <v>-0.65055620911585921</v>
      </c>
      <c r="R84" s="39">
        <f>$J$3+[46]FormattedData!K51*$J$4+$M$4*$J$5+[46]FormattedData!K51^2*$J$6+$M$5*$J$7</f>
        <v>-0.65055620911585921</v>
      </c>
      <c r="S84" s="39">
        <f>$J$3+[46]FormattedData!L51*$J$4+$M$4*$J$5+[46]FormattedData!L51^2*$J$6+$M$5*$J$7</f>
        <v>-0.65055620911585921</v>
      </c>
      <c r="T84" s="39">
        <f>$J$3+[46]FormattedData!M51*$J$4+$M$4*$J$5+[46]FormattedData!M51^2*$J$6+$M$5*$J$7</f>
        <v>-0.65055620911585921</v>
      </c>
      <c r="U84" s="39">
        <f>$J$3+[46]FormattedData!N51*$J$4+$M$4*$J$5+[46]FormattedData!N51^2*$J$6+$M$5*$J$7</f>
        <v>-0.65055620911585921</v>
      </c>
      <c r="V84" s="39">
        <f>$J$3+[46]FormattedData!O51*$J$4+$M$4*$J$5+[46]FormattedData!O51^2*$J$6+$M$5*$J$7</f>
        <v>-0.65055620911585921</v>
      </c>
      <c r="W84" s="38">
        <f>AVERAGE(K84:V84)</f>
        <v>-0.6505562091158591</v>
      </c>
      <c r="X84" s="37">
        <f>STDEV(K84:V84)/SQRT(COUNT(K84:V84))</f>
        <v>3.3474483693592253E-17</v>
      </c>
      <c r="Y84" s="36">
        <f>MIN(K84:V84)</f>
        <v>-0.65055620911585921</v>
      </c>
      <c r="Z84" s="35">
        <f>QUARTILE(K84:V84,1)</f>
        <v>-0.65055620911585921</v>
      </c>
      <c r="AA84" s="36">
        <f>MEDIAN(K84:V84)</f>
        <v>-0.65055620911585921</v>
      </c>
      <c r="AB84" s="35">
        <f>QUARTILE(K84:V84,3)</f>
        <v>-0.65055620911585921</v>
      </c>
      <c r="AC84" s="35">
        <f>MAX(K84:V84)</f>
        <v>-0.65055620911585921</v>
      </c>
      <c r="AD84" s="35">
        <f>SKEW(K84:V84)</f>
        <v>-1.1489125293076057</v>
      </c>
      <c r="AE84" s="35">
        <f>KURT(K84:V84)</f>
        <v>-2.4444444444444446</v>
      </c>
    </row>
    <row r="85" spans="2:31" x14ac:dyDescent="0.2">
      <c r="B85" s="34">
        <f>[46]FormattedData!A47</f>
        <v>0</v>
      </c>
      <c r="C85" s="34" t="e">
        <f>VLOOKUP($B85,[46]TrtCodes!$B$11:I90,2)</f>
        <v>#N/A</v>
      </c>
      <c r="D85" s="34" t="e">
        <f>VLOOKUP($B85,[46]TrtCodes!$B$11:J90,3)</f>
        <v>#N/A</v>
      </c>
      <c r="E85" s="34" t="e">
        <f>VLOOKUP($B85,[46]TrtCodes!$B$11:K90,4)</f>
        <v>#N/A</v>
      </c>
      <c r="F85" s="34" t="e">
        <f>VLOOKUP($B85,[46]TrtCodes!$B$11:L90,5)</f>
        <v>#N/A</v>
      </c>
      <c r="G85" s="34" t="e">
        <f>VLOOKUP($B85,[46]TrtCodes!$B$11:M90,6)</f>
        <v>#N/A</v>
      </c>
      <c r="H85" s="34" t="e">
        <f>VLOOKUP($B85,[46]TrtCodes!$B$11:N90,7)</f>
        <v>#N/A</v>
      </c>
      <c r="I85" s="34">
        <f>[46]FormattedData!B47</f>
        <v>0</v>
      </c>
      <c r="J85" s="37">
        <f>[46]FormattedData!C47</f>
        <v>0</v>
      </c>
      <c r="K85" s="39">
        <f>$J$3+[46]FormattedData!D47*$J$4+$M$4*$J$5+[46]FormattedData!D47^2*$J$6+$M$5*$J$7</f>
        <v>-0.65055620911585921</v>
      </c>
      <c r="L85" s="39">
        <f>$J$3+[46]FormattedData!E47*$J$4+$M$4*$J$5+[46]FormattedData!E47^2*$J$6+$M$5*$J$7</f>
        <v>-0.65055620911585921</v>
      </c>
      <c r="M85" s="39">
        <f>$J$3+[46]FormattedData!F47*$J$4+$M$4*$J$5+[46]FormattedData!F47^2*$J$6+$M$5*$J$7</f>
        <v>-0.65055620911585921</v>
      </c>
      <c r="N85" s="39">
        <f>$J$3+[46]FormattedData!G47*$J$4+$M$4*$J$5+[46]FormattedData!G47^2*$J$6+$M$5*$J$7</f>
        <v>-0.65055620911585921</v>
      </c>
      <c r="O85" s="39">
        <f>$J$3+[46]FormattedData!H47*$J$4+$M$4*$J$5+[46]FormattedData!H47^2*$J$6+$M$5*$J$7</f>
        <v>-0.65055620911585921</v>
      </c>
      <c r="P85" s="39">
        <f>$J$3+[46]FormattedData!I47*$J$4+$M$4*$J$5+[46]FormattedData!I47^2*$J$6+$M$5*$J$7</f>
        <v>-0.65055620911585921</v>
      </c>
      <c r="Q85" s="39">
        <f>$J$3+[46]FormattedData!J47*$J$4+$M$4*$J$5+[46]FormattedData!J47^2*$J$6+$M$5*$J$7</f>
        <v>-0.65055620911585921</v>
      </c>
      <c r="R85" s="39">
        <f>$J$3+[46]FormattedData!K47*$J$4+$M$4*$J$5+[46]FormattedData!K47^2*$J$6+$M$5*$J$7</f>
        <v>-0.65055620911585921</v>
      </c>
      <c r="S85" s="39">
        <f>$J$3+[46]FormattedData!L47*$J$4+$M$4*$J$5+[46]FormattedData!L47^2*$J$6+$M$5*$J$7</f>
        <v>-0.65055620911585921</v>
      </c>
      <c r="T85" s="39">
        <f>$J$3+[46]FormattedData!M47*$J$4+$M$4*$J$5+[46]FormattedData!M47^2*$J$6+$M$5*$J$7</f>
        <v>-0.65055620911585921</v>
      </c>
      <c r="U85" s="39">
        <f>$J$3+[46]FormattedData!N47*$J$4+$M$4*$J$5+[46]FormattedData!N47^2*$J$6+$M$5*$J$7</f>
        <v>-0.65055620911585921</v>
      </c>
      <c r="V85" s="39">
        <f>$J$3+[46]FormattedData!O47*$J$4+$M$4*$J$5+[46]FormattedData!O47^2*$J$6+$M$5*$J$7</f>
        <v>-0.65055620911585921</v>
      </c>
      <c r="W85" s="38">
        <f>AVERAGE(K85:V85)</f>
        <v>-0.6505562091158591</v>
      </c>
      <c r="X85" s="37">
        <f>STDEV(K85:V85)/SQRT(COUNT(K85:V85))</f>
        <v>3.3474483693592253E-17</v>
      </c>
      <c r="Y85" s="36">
        <f>MIN(K85:V85)</f>
        <v>-0.65055620911585921</v>
      </c>
      <c r="Z85" s="35">
        <f>QUARTILE(K85:V85,1)</f>
        <v>-0.65055620911585921</v>
      </c>
      <c r="AA85" s="36">
        <f>MEDIAN(K85:V85)</f>
        <v>-0.65055620911585921</v>
      </c>
      <c r="AB85" s="35">
        <f>QUARTILE(K85:V85,3)</f>
        <v>-0.65055620911585921</v>
      </c>
      <c r="AC85" s="35">
        <f>MAX(K85:V85)</f>
        <v>-0.65055620911585921</v>
      </c>
      <c r="AD85" s="35">
        <f>SKEW(K85:V85)</f>
        <v>-1.1489125293076057</v>
      </c>
      <c r="AE85" s="35">
        <f>KURT(K85:V85)</f>
        <v>-2.4444444444444446</v>
      </c>
    </row>
    <row r="88" spans="2:31" x14ac:dyDescent="0.2">
      <c r="W88" s="35"/>
    </row>
  </sheetData>
  <autoFilter ref="B9:AE85" xr:uid="{F5F4DA7D-B9CF-416F-8672-4B846C1FF233}"/>
  <conditionalFormatting sqref="K10:V85">
    <cfRule type="cellIs" dxfId="179" priority="1" stopIfTrue="1" operator="lessThan">
      <formula>$W10-$V$5*$X10</formula>
    </cfRule>
    <cfRule type="cellIs" dxfId="178" priority="2" stopIfTrue="1" operator="greaterThan">
      <formula>$W10+$V$5*$X10</formula>
    </cfRule>
  </conditionalFormatting>
  <conditionalFormatting sqref="W10:W85">
    <cfRule type="cellIs" dxfId="177" priority="3" stopIfTrue="1" operator="lessThan">
      <formula>AVERAGE($W$10:$W$41)</formula>
    </cfRule>
    <cfRule type="cellIs" dxfId="17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AB4E-1014-403F-AE04-8D40562EC9F3}">
  <sheetPr codeName="Sheet16"/>
  <dimension ref="A1:AI88"/>
  <sheetViews>
    <sheetView topLeftCell="A8" workbookViewId="0">
      <pane xSplit="4" ySplit="2" topLeftCell="J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[45]FormattedData!A1</f>
        <v>Raw data file name - 'IA149.03R'</v>
      </c>
    </row>
    <row r="2" spans="1:35" ht="15" x14ac:dyDescent="0.25">
      <c r="I2" s="65" t="s">
        <v>136</v>
      </c>
      <c r="J2" s="57"/>
      <c r="P2" s="64">
        <f>[45]AncillaryData!C10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[45]AncillaryData!E25</f>
        <v>39.6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"&amp;[45]AncillaryData!C7</f>
        <v>Time Sequence of Midday IRT Temps - FISE 2003 - DOY 149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"&amp;[45]AncillaryData!E25&amp;", VPD = "&amp;ROUND([45]AncillaryData!E29,1)&amp;", Quality = "&amp;[45]AncillaryData!C20&amp;")"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[45]FormattedData!A28</f>
        <v>101</v>
      </c>
      <c r="C10" s="34" t="str">
        <f>VLOOKUP($B10,[45]TrtCodes!$B$11:I71,2)</f>
        <v>FSH</v>
      </c>
      <c r="D10" s="34">
        <f>VLOOKUP($B10,[45]TrtCodes!$B$11:J71,3)</f>
        <v>1</v>
      </c>
      <c r="E10" s="34">
        <f>VLOOKUP($B10,[45]TrtCodes!$B$11:K71,4)</f>
        <v>1</v>
      </c>
      <c r="F10" s="34">
        <f>VLOOKUP($B10,[45]TrtCodes!$B$11:L71,5)</f>
        <v>1</v>
      </c>
      <c r="G10" s="34">
        <f>VLOOKUP($B10,[45]TrtCodes!$B$11:M71,6)</f>
        <v>2</v>
      </c>
      <c r="H10" s="34">
        <f>VLOOKUP($B10,[45]TrtCodes!$B$11:N71,7)</f>
        <v>1</v>
      </c>
      <c r="I10" s="34">
        <f>[45]FormattedData!B28</f>
        <v>1</v>
      </c>
      <c r="J10" s="37">
        <f>[45]FormattedData!C28</f>
        <v>13.183999999999999</v>
      </c>
      <c r="K10" s="39">
        <f>$J$3+[45]FormattedData!D28*$J$4+$M$4*$J$5+[45]FormattedData!D28^2*$J$6+$M$5*$J$7</f>
        <v>34.96538663825396</v>
      </c>
      <c r="L10" s="39">
        <f>$J$3+[45]FormattedData!E28*$J$4+$M$4*$J$5+[45]FormattedData!E28^2*$J$6+$M$5*$J$7</f>
        <v>38.456789861785893</v>
      </c>
      <c r="M10" s="39">
        <f>$J$3+[45]FormattedData!F28*$J$4+$M$4*$J$5+[45]FormattedData!F28^2*$J$6+$M$5*$J$7</f>
        <v>37.612855454003395</v>
      </c>
      <c r="N10" s="39">
        <f>$J$3+[45]FormattedData!G28*$J$4+$M$4*$J$5+[45]FormattedData!G28^2*$J$6+$M$5*$J$7</f>
        <v>36.48228374118073</v>
      </c>
      <c r="O10" s="39">
        <f>$J$3+[45]FormattedData!H28*$J$4+$M$4*$J$5+[45]FormattedData!H28^2*$J$6+$M$5*$J$7</f>
        <v>36.671135045363826</v>
      </c>
      <c r="P10" s="39">
        <f>$J$3+[45]FormattedData!I28*$J$4+$M$4*$J$5+[45]FormattedData!I28^2*$J$6+$M$5*$J$7</f>
        <v>36.198689770871624</v>
      </c>
      <c r="Q10" s="39">
        <f>$J$3+[45]FormattedData!J28*$J$4+$M$4*$J$5+[45]FormattedData!J28^2*$J$6+$M$5*$J$7</f>
        <v>36.954094987603973</v>
      </c>
      <c r="R10" s="39">
        <f>$J$3+[45]FormattedData!K28*$J$4+$M$4*$J$5+[45]FormattedData!K28^2*$J$6+$M$5*$J$7</f>
        <v>37.14252360640775</v>
      </c>
      <c r="S10" s="39">
        <f>$J$3+[45]FormattedData!L28*$J$4+$M$4*$J$5+[45]FormattedData!L28^2*$J$6+$M$5*$J$7</f>
        <v>38.643865887375874</v>
      </c>
      <c r="T10" s="39">
        <f>$J$3+[45]FormattedData!M28*$J$4+$M$4*$J$5+[45]FormattedData!M28^2*$J$6+$M$5*$J$7</f>
        <v>38.456789861785893</v>
      </c>
      <c r="U10" s="39">
        <f>$J$3+[45]FormattedData!N28*$J$4+$M$4*$J$5+[45]FormattedData!N28^2*$J$6+$M$5*$J$7</f>
        <v>36.104073910359389</v>
      </c>
      <c r="V10" s="39">
        <f>$J$3+[45]FormattedData!O28*$J$4+$M$4*$J$5+[45]FormattedData!O28^2*$J$6+$M$5*$J$7</f>
        <v>39.390479248218547</v>
      </c>
      <c r="W10" s="38">
        <f>AVERAGE(K10:V10)</f>
        <v>37.256580667767565</v>
      </c>
      <c r="X10" s="37">
        <f>STDEV(K10:V10)/SQRT(COUNT(K10:V10))</f>
        <v>0.37162402940034917</v>
      </c>
      <c r="Y10" s="36">
        <f>MIN(K10:V10)</f>
        <v>34.96538663825396</v>
      </c>
      <c r="Z10" s="35">
        <f>QUARTILE(K10:V10,1)</f>
        <v>36.411385248603452</v>
      </c>
      <c r="AA10" s="36">
        <f>MEDIAN(K10:V10)</f>
        <v>37.048309297005858</v>
      </c>
      <c r="AB10" s="35">
        <f>QUARTILE(K10:V10,3)</f>
        <v>38.456789861785893</v>
      </c>
      <c r="AC10" s="35">
        <f>MAX(K10:V10)</f>
        <v>39.390479248218547</v>
      </c>
      <c r="AD10" s="35">
        <f>SKEW(K10:V10)</f>
        <v>2.3169379099635696E-2</v>
      </c>
      <c r="AE10" s="35">
        <f>KURT(K10:V10)</f>
        <v>-0.61014476283277874</v>
      </c>
    </row>
    <row r="11" spans="1:35" x14ac:dyDescent="0.2">
      <c r="B11" s="34">
        <f>[45]FormattedData!A26</f>
        <v>102</v>
      </c>
      <c r="C11" s="34" t="str">
        <f>VLOOKUP($B11,[45]TrtCodes!$B$11:I69,2)</f>
        <v>FTL</v>
      </c>
      <c r="D11" s="34">
        <f>VLOOKUP($B11,[45]TrtCodes!$B$11:J69,3)</f>
        <v>4</v>
      </c>
      <c r="E11" s="34">
        <f>VLOOKUP($B11,[45]TrtCodes!$B$11:K69,4)</f>
        <v>1</v>
      </c>
      <c r="F11" s="34">
        <f>VLOOKUP($B11,[45]TrtCodes!$B$11:L69,5)</f>
        <v>2</v>
      </c>
      <c r="G11" s="34">
        <f>VLOOKUP($B11,[45]TrtCodes!$B$11:M69,6)</f>
        <v>1</v>
      </c>
      <c r="H11" s="34">
        <f>VLOOKUP($B11,[45]TrtCodes!$B$11:N69,7)</f>
        <v>1</v>
      </c>
      <c r="I11" s="34">
        <f>[45]FormattedData!B26</f>
        <v>1</v>
      </c>
      <c r="J11" s="37">
        <f>[45]FormattedData!C26</f>
        <v>13.176</v>
      </c>
      <c r="K11" s="39">
        <f>$J$3+[45]FormattedData!D26*$J$4+$M$4*$J$5+[45]FormattedData!D26^2*$J$6+$M$5*$J$7</f>
        <v>36.104073910359389</v>
      </c>
      <c r="L11" s="39">
        <f>$J$3+[45]FormattedData!E26*$J$4+$M$4*$J$5+[45]FormattedData!E26^2*$J$6+$M$5*$J$7</f>
        <v>43.082968256018013</v>
      </c>
      <c r="M11" s="39">
        <f>$J$3+[45]FormattedData!F26*$J$4+$M$4*$J$5+[45]FormattedData!F26^2*$J$6+$M$5*$J$7</f>
        <v>35.630360579729249</v>
      </c>
      <c r="N11" s="39">
        <f>$J$3+[45]FormattedData!G26*$J$4+$M$4*$J$5+[45]FormattedData!G26^2*$J$6+$M$5*$J$7</f>
        <v>38.175858809366446</v>
      </c>
      <c r="O11" s="39">
        <f>$J$3+[45]FormattedData!H26*$J$4+$M$4*$J$5+[45]FormattedData!H26^2*$J$6+$M$5*$J$7</f>
        <v>37.424849520578931</v>
      </c>
      <c r="P11" s="39">
        <f>$J$3+[45]FormattedData!I26*$J$4+$M$4*$J$5+[45]FormattedData!I26^2*$J$6+$M$5*$J$7</f>
        <v>36.859817275395194</v>
      </c>
      <c r="Q11" s="39">
        <f>$J$3+[45]FormattedData!J26*$J$4+$M$4*$J$5+[45]FormattedData!J26^2*$J$6+$M$5*$J$7</f>
        <v>37.800692313276137</v>
      </c>
      <c r="R11" s="39">
        <f>$J$3+[45]FormattedData!K26*$J$4+$M$4*$J$5+[45]FormattedData!K26^2*$J$6+$M$5*$J$7</f>
        <v>36.104073910359389</v>
      </c>
      <c r="S11" s="39">
        <f>$J$3+[45]FormattedData!L26*$J$4+$M$4*$J$5+[45]FormattedData!L26^2*$J$6+$M$5*$J$7</f>
        <v>35.630360579729249</v>
      </c>
      <c r="T11" s="39">
        <f>$J$3+[45]FormattedData!M26*$J$4+$M$4*$J$5+[45]FormattedData!M26^2*$J$6+$M$5*$J$7</f>
        <v>39.297300517995971</v>
      </c>
      <c r="U11" s="39">
        <f>$J$3+[45]FormattedData!N26*$J$4+$M$4*$J$5+[45]FormattedData!N26^2*$J$6+$M$5*$J$7</f>
        <v>35.630360579729249</v>
      </c>
      <c r="V11" s="39">
        <f>$J$3+[45]FormattedData!O26*$J$4+$M$4*$J$5+[45]FormattedData!O26^2*$J$6+$M$5*$J$7</f>
        <v>39.017510716100659</v>
      </c>
      <c r="W11" s="38">
        <f>AVERAGE(K11:V11)</f>
        <v>37.563185580719825</v>
      </c>
      <c r="X11" s="37">
        <f>STDEV(K11:V11)/SQRT(COUNT(K11:V11))</f>
        <v>0.62765382006828985</v>
      </c>
      <c r="Y11" s="36">
        <f>MIN(K11:V11)</f>
        <v>35.630360579729249</v>
      </c>
      <c r="Z11" s="35">
        <f>QUARTILE(K11:V11,1)</f>
        <v>35.985645577701852</v>
      </c>
      <c r="AA11" s="36">
        <f>MEDIAN(K11:V11)</f>
        <v>37.142333397987059</v>
      </c>
      <c r="AB11" s="35">
        <f>QUARTILE(K11:V11,3)</f>
        <v>38.386271786050003</v>
      </c>
      <c r="AC11" s="35">
        <f>MAX(K11:V11)</f>
        <v>43.082968256018013</v>
      </c>
      <c r="AD11" s="35">
        <f>SKEW(K11:V11)</f>
        <v>1.5759398230394752</v>
      </c>
      <c r="AE11" s="35">
        <f>KURT(K11:V11)</f>
        <v>2.9692168179729013</v>
      </c>
    </row>
    <row r="12" spans="1:35" x14ac:dyDescent="0.2">
      <c r="B12" s="34">
        <f>[45]FormattedData!A24</f>
        <v>103</v>
      </c>
      <c r="C12" s="34" t="str">
        <f>VLOOKUP($B12,[45]TrtCodes!$B$11:I67,2)</f>
        <v>FDH</v>
      </c>
      <c r="D12" s="34">
        <f>VLOOKUP($B12,[45]TrtCodes!$B$11:J67,3)</f>
        <v>5</v>
      </c>
      <c r="E12" s="34">
        <f>VLOOKUP($B12,[45]TrtCodes!$B$11:K67,4)</f>
        <v>1</v>
      </c>
      <c r="F12" s="34">
        <f>VLOOKUP($B12,[45]TrtCodes!$B$11:L67,5)</f>
        <v>3</v>
      </c>
      <c r="G12" s="34">
        <f>VLOOKUP($B12,[45]TrtCodes!$B$11:M67,6)</f>
        <v>2</v>
      </c>
      <c r="H12" s="34">
        <f>VLOOKUP($B12,[45]TrtCodes!$B$11:N67,7)</f>
        <v>1</v>
      </c>
      <c r="I12" s="34">
        <f>[45]FormattedData!B24</f>
        <v>1</v>
      </c>
      <c r="J12" s="37">
        <f>[45]FormattedData!C24</f>
        <v>13.167</v>
      </c>
      <c r="K12" s="39">
        <f>$J$3+[45]FormattedData!D24*$J$4+$M$4*$J$5+[45]FormattedData!D24^2*$J$6+$M$5*$J$7</f>
        <v>35.725187782931144</v>
      </c>
      <c r="L12" s="39">
        <f>$J$3+[45]FormattedData!E24*$J$4+$M$4*$J$5+[45]FormattedData!E24^2*$J$6+$M$5*$J$7</f>
        <v>40.968050575698861</v>
      </c>
      <c r="M12" s="39">
        <f>$J$3+[45]FormattedData!F24*$J$4+$M$4*$J$5+[45]FormattedData!F24^2*$J$6+$M$5*$J$7</f>
        <v>35.630360579729249</v>
      </c>
      <c r="N12" s="39">
        <f>$J$3+[45]FormattedData!G24*$J$4+$M$4*$J$5+[45]FormattedData!G24^2*$J$6+$M$5*$J$7</f>
        <v>37.330783151059805</v>
      </c>
      <c r="O12" s="39">
        <f>$J$3+[45]FormattedData!H24*$J$4+$M$4*$J$5+[45]FormattedData!H24^2*$J$6+$M$5*$J$7</f>
        <v>39.297300517995971</v>
      </c>
      <c r="P12" s="39">
        <f>$J$3+[45]FormattedData!I24*$J$4+$M$4*$J$5+[45]FormattedData!I24^2*$J$6+$M$5*$J$7</f>
        <v>36.198689770871624</v>
      </c>
      <c r="Q12" s="39">
        <f>$J$3+[45]FormattedData!J24*$J$4+$M$4*$J$5+[45]FormattedData!J24^2*$J$6+$M$5*$J$7</f>
        <v>38.737340497363967</v>
      </c>
      <c r="R12" s="39">
        <f>$J$3+[45]FormattedData!K24*$J$4+$M$4*$J$5+[45]FormattedData!K24^2*$J$6+$M$5*$J$7</f>
        <v>38.456789861785893</v>
      </c>
      <c r="S12" s="39">
        <f>$J$3+[45]FormattedData!L24*$J$4+$M$4*$J$5+[45]FormattedData!L24^2*$J$6+$M$5*$J$7</f>
        <v>45.356430698823637</v>
      </c>
      <c r="T12" s="39">
        <f>$J$3+[45]FormattedData!M24*$J$4+$M$4*$J$5+[45]FormattedData!M24^2*$J$6+$M$5*$J$7</f>
        <v>37.518873621560125</v>
      </c>
      <c r="U12" s="39">
        <f>$J$3+[45]FormattedData!N24*$J$4+$M$4*$J$5+[45]FormattedData!N24^2*$J$6+$M$5*$J$7</f>
        <v>35.8199727175951</v>
      </c>
      <c r="V12" s="39">
        <f>$J$3+[45]FormattedData!O24*$J$4+$M$4*$J$5+[45]FormattedData!O24^2*$J$6+$M$5*$J$7</f>
        <v>38.269544762044191</v>
      </c>
      <c r="W12" s="38">
        <f>AVERAGE(K12:V12)</f>
        <v>38.275777044788299</v>
      </c>
      <c r="X12" s="37">
        <f>STDEV(K12:V12)/SQRT(COUNT(K12:V12))</f>
        <v>0.79766831123352855</v>
      </c>
      <c r="Y12" s="36">
        <f>MIN(K12:V12)</f>
        <v>35.630360579729249</v>
      </c>
      <c r="Z12" s="35">
        <f>QUARTILE(K12:V12,1)</f>
        <v>36.104010507552495</v>
      </c>
      <c r="AA12" s="36">
        <f>MEDIAN(K12:V12)</f>
        <v>37.894209191802162</v>
      </c>
      <c r="AB12" s="35">
        <f>QUARTILE(K12:V12,3)</f>
        <v>38.877330502521971</v>
      </c>
      <c r="AC12" s="35">
        <f>MAX(K12:V12)</f>
        <v>45.356430698823637</v>
      </c>
      <c r="AD12" s="35">
        <f>SKEW(K12:V12)</f>
        <v>1.6314722799815831</v>
      </c>
      <c r="AE12" s="35">
        <f>KURT(K12:V12)</f>
        <v>3.3042655117653865</v>
      </c>
    </row>
    <row r="13" spans="1:35" x14ac:dyDescent="0.2">
      <c r="B13" s="34">
        <f>[45]FormattedData!A22</f>
        <v>104</v>
      </c>
      <c r="C13" s="34" t="str">
        <f>VLOOKUP($B13,[45]TrtCodes!$B$11:I65,2)</f>
        <v>NTL</v>
      </c>
      <c r="D13" s="34">
        <f>VLOOKUP($B13,[45]TrtCodes!$B$11:J65,3)</f>
        <v>10</v>
      </c>
      <c r="E13" s="34">
        <f>VLOOKUP($B13,[45]TrtCodes!$B$11:K65,4)</f>
        <v>2</v>
      </c>
      <c r="F13" s="34">
        <f>VLOOKUP($B13,[45]TrtCodes!$B$11:L65,5)</f>
        <v>2</v>
      </c>
      <c r="G13" s="34">
        <f>VLOOKUP($B13,[45]TrtCodes!$B$11:M65,6)</f>
        <v>1</v>
      </c>
      <c r="H13" s="34">
        <f>VLOOKUP($B13,[45]TrtCodes!$B$11:N65,7)</f>
        <v>1</v>
      </c>
      <c r="I13" s="34">
        <f>[45]FormattedData!B22</f>
        <v>1</v>
      </c>
      <c r="J13" s="37">
        <f>[45]FormattedData!C22</f>
        <v>13.159000000000001</v>
      </c>
      <c r="K13" s="39">
        <f>$J$3+[45]FormattedData!D22*$J$4+$M$4*$J$5+[45]FormattedData!D22^2*$J$6+$M$5*$J$7</f>
        <v>34.96538663825396</v>
      </c>
      <c r="L13" s="39">
        <f>$J$3+[45]FormattedData!E22*$J$4+$M$4*$J$5+[45]FormattedData!E22^2*$J$6+$M$5*$J$7</f>
        <v>38.550349008849849</v>
      </c>
      <c r="M13" s="39">
        <f>$J$3+[45]FormattedData!F22*$J$4+$M$4*$J$5+[45]FormattedData!F22^2*$J$6+$M$5*$J$7</f>
        <v>36.48228374118073</v>
      </c>
      <c r="N13" s="39">
        <f>$J$3+[45]FormattedData!G22*$J$4+$M$4*$J$5+[45]FormattedData!G22^2*$J$6+$M$5*$J$7</f>
        <v>37.518873621560125</v>
      </c>
      <c r="O13" s="39">
        <f>$J$3+[45]FormattedData!H22*$J$4+$M$4*$J$5+[45]FormattedData!H22^2*$J$6+$M$5*$J$7</f>
        <v>39.669761827658682</v>
      </c>
      <c r="P13" s="39">
        <f>$J$3+[45]FormattedData!I22*$J$4+$M$4*$J$5+[45]FormattedData!I22^2*$J$6+$M$5*$J$7</f>
        <v>37.518873621560125</v>
      </c>
      <c r="Q13" s="39">
        <f>$J$3+[45]FormattedData!J22*$J$4+$M$4*$J$5+[45]FormattedData!J22^2*$J$6+$M$5*$J$7</f>
        <v>35.630360579729249</v>
      </c>
      <c r="R13" s="39">
        <f>$J$3+[45]FormattedData!K22*$J$4+$M$4*$J$5+[45]FormattedData!K22^2*$J$6+$M$5*$J$7</f>
        <v>36.954094987603973</v>
      </c>
      <c r="S13" s="39">
        <f>$J$3+[45]FormattedData!L22*$J$4+$M$4*$J$5+[45]FormattedData!L22^2*$J$6+$M$5*$J$7</f>
        <v>34.202880307149172</v>
      </c>
      <c r="T13" s="39">
        <f>$J$3+[45]FormattedData!M22*$J$4+$M$4*$J$5+[45]FormattedData!M22^2*$J$6+$M$5*$J$7</f>
        <v>37.800692313276137</v>
      </c>
      <c r="U13" s="39">
        <f>$J$3+[45]FormattedData!N22*$J$4+$M$4*$J$5+[45]FormattedData!N22^2*$J$6+$M$5*$J$7</f>
        <v>35.155590535650838</v>
      </c>
      <c r="V13" s="39">
        <f>$J$3+[45]FormattedData!O22*$J$4+$M$4*$J$5+[45]FormattedData!O22^2*$J$6+$M$5*$J$7</f>
        <v>37.706795017908725</v>
      </c>
      <c r="W13" s="38">
        <f>AVERAGE(K13:V13)</f>
        <v>36.84632851669847</v>
      </c>
      <c r="X13" s="37">
        <f>STDEV(K13:V13)/SQRT(COUNT(K13:V13))</f>
        <v>0.46415762843845504</v>
      </c>
      <c r="Y13" s="36">
        <f>MIN(K13:V13)</f>
        <v>34.202880307149172</v>
      </c>
      <c r="Z13" s="35">
        <f>QUARTILE(K13:V13,1)</f>
        <v>35.511668068709646</v>
      </c>
      <c r="AA13" s="36">
        <f>MEDIAN(K13:V13)</f>
        <v>37.236484304582049</v>
      </c>
      <c r="AB13" s="35">
        <f>QUARTILE(K13:V13,3)</f>
        <v>37.730269341750578</v>
      </c>
      <c r="AC13" s="35">
        <f>MAX(K13:V13)</f>
        <v>39.669761827658682</v>
      </c>
      <c r="AD13" s="35">
        <f>SKEW(K13:V13)</f>
        <v>-5.8632315807234187E-2</v>
      </c>
      <c r="AE13" s="35">
        <f>KURT(K13:V13)</f>
        <v>-0.60331025738009192</v>
      </c>
    </row>
    <row r="14" spans="1:35" x14ac:dyDescent="0.2">
      <c r="B14" s="34">
        <f>[45]FormattedData!A20</f>
        <v>105</v>
      </c>
      <c r="C14" s="34" t="str">
        <f>VLOOKUP($B14,[45]TrtCodes!$B$11:I63,2)</f>
        <v>NDL</v>
      </c>
      <c r="D14" s="34">
        <f>VLOOKUP($B14,[45]TrtCodes!$B$11:J63,3)</f>
        <v>12</v>
      </c>
      <c r="E14" s="34">
        <f>VLOOKUP($B14,[45]TrtCodes!$B$11:K63,4)</f>
        <v>2</v>
      </c>
      <c r="F14" s="34">
        <f>VLOOKUP($B14,[45]TrtCodes!$B$11:L63,5)</f>
        <v>3</v>
      </c>
      <c r="G14" s="34">
        <f>VLOOKUP($B14,[45]TrtCodes!$B$11:M63,6)</f>
        <v>1</v>
      </c>
      <c r="H14" s="34">
        <f>VLOOKUP($B14,[45]TrtCodes!$B$11:N63,7)</f>
        <v>2</v>
      </c>
      <c r="I14" s="34">
        <f>[45]FormattedData!B20</f>
        <v>1</v>
      </c>
      <c r="J14" s="37">
        <f>[45]FormattedData!C20</f>
        <v>13.148999999999999</v>
      </c>
      <c r="K14" s="39">
        <f>$J$3+[45]FormattedData!D20*$J$4+$M$4*$J$5+[45]FormattedData!D20^2*$J$6+$M$5*$J$7</f>
        <v>54.272264260902482</v>
      </c>
      <c r="L14" s="39">
        <f>$J$3+[45]FormattedData!E20*$J$4+$M$4*$J$5+[45]FormattedData!E20^2*$J$6+$M$5*$J$7</f>
        <v>52.453982656490815</v>
      </c>
      <c r="M14" s="39">
        <f>$J$3+[45]FormattedData!F20*$J$4+$M$4*$J$5+[45]FormattedData!F20^2*$J$6+$M$5*$J$7</f>
        <v>54.186102107976474</v>
      </c>
      <c r="N14" s="39">
        <f>$J$3+[45]FormattedData!G20*$J$4+$M$4*$J$5+[45]FormattedData!G20^2*$J$6+$M$5*$J$7</f>
        <v>52.975393770529628</v>
      </c>
      <c r="O14" s="39">
        <f>$J$3+[45]FormattedData!H20*$J$4+$M$4*$J$5+[45]FormattedData!H20^2*$J$6+$M$5*$J$7</f>
        <v>53.841030810893145</v>
      </c>
      <c r="P14" s="39">
        <f>$J$3+[45]FormattedData!I20*$J$4+$M$4*$J$5+[45]FormattedData!I20^2*$J$6+$M$5*$J$7</f>
        <v>55.131561020576328</v>
      </c>
      <c r="Q14" s="39">
        <f>$J$3+[45]FormattedData!J20*$J$4+$M$4*$J$5+[45]FormattedData!J20^2*$J$6+$M$5*$J$7</f>
        <v>50.880619310181281</v>
      </c>
      <c r="R14" s="39">
        <f>$J$3+[45]FormattedData!K20*$J$4+$M$4*$J$5+[45]FormattedData!K20^2*$J$6+$M$5*$J$7</f>
        <v>54.186102107976474</v>
      </c>
      <c r="S14" s="39">
        <f>$J$3+[45]FormattedData!L20*$J$4+$M$4*$J$5+[45]FormattedData!L20^2*$J$6+$M$5*$J$7</f>
        <v>50.35312152668039</v>
      </c>
      <c r="T14" s="39">
        <f>$J$3+[45]FormattedData!M20*$J$4+$M$4*$J$5+[45]FormattedData!M20^2*$J$6+$M$5*$J$7</f>
        <v>54.70244099746354</v>
      </c>
      <c r="U14" s="39">
        <f>$J$3+[45]FormattedData!N20*$J$4+$M$4*$J$5+[45]FormattedData!N20^2*$J$6+$M$5*$J$7</f>
        <v>52.627955435322143</v>
      </c>
      <c r="V14" s="39">
        <f>$J$3+[45]FormattedData!O20*$J$4+$M$4*$J$5+[45]FormattedData!O20^2*$J$6+$M$5*$J$7</f>
        <v>53.841030810893145</v>
      </c>
      <c r="W14" s="38">
        <f>AVERAGE(K14:V14)</f>
        <v>53.287633734657156</v>
      </c>
      <c r="X14" s="37">
        <f>STDEV(K14:V14)/SQRT(COUNT(K14:V14))</f>
        <v>0.42844818554416658</v>
      </c>
      <c r="Y14" s="36">
        <f>MIN(K14:V14)</f>
        <v>50.35312152668039</v>
      </c>
      <c r="Z14" s="35">
        <f>QUARTILE(K14:V14,1)</f>
        <v>52.584462240614315</v>
      </c>
      <c r="AA14" s="36">
        <f>MEDIAN(K14:V14)</f>
        <v>53.841030810893145</v>
      </c>
      <c r="AB14" s="35">
        <f>QUARTILE(K14:V14,3)</f>
        <v>54.207642646207972</v>
      </c>
      <c r="AC14" s="35">
        <f>MAX(K14:V14)</f>
        <v>55.131561020576328</v>
      </c>
      <c r="AD14" s="35">
        <f>SKEW(K14:V14)</f>
        <v>-0.94319517923924867</v>
      </c>
      <c r="AE14" s="35">
        <f>KURT(K14:V14)</f>
        <v>7.1443902387485103E-2</v>
      </c>
    </row>
    <row r="15" spans="1:35" x14ac:dyDescent="0.2">
      <c r="B15" s="34">
        <f>[45]FormattedData!A18</f>
        <v>106</v>
      </c>
      <c r="C15" s="34" t="str">
        <f>VLOOKUP($B15,[45]TrtCodes!$B$11:I61,2)</f>
        <v>NTH</v>
      </c>
      <c r="D15" s="34">
        <f>VLOOKUP($B15,[45]TrtCodes!$B$11:J61,3)</f>
        <v>9</v>
      </c>
      <c r="E15" s="34">
        <f>VLOOKUP($B15,[45]TrtCodes!$B$11:K61,4)</f>
        <v>2</v>
      </c>
      <c r="F15" s="34">
        <f>VLOOKUP($B15,[45]TrtCodes!$B$11:L61,5)</f>
        <v>2</v>
      </c>
      <c r="G15" s="34">
        <f>VLOOKUP($B15,[45]TrtCodes!$B$11:M61,6)</f>
        <v>2</v>
      </c>
      <c r="H15" s="34">
        <f>VLOOKUP($B15,[45]TrtCodes!$B$11:N61,7)</f>
        <v>2</v>
      </c>
      <c r="I15" s="34">
        <f>[45]FormattedData!B18</f>
        <v>1</v>
      </c>
      <c r="J15" s="37">
        <f>[45]FormattedData!C18</f>
        <v>13.14</v>
      </c>
      <c r="K15" s="39">
        <f>$J$3+[45]FormattedData!D18*$J$4+$M$4*$J$5+[45]FormattedData!D18^2*$J$6+$M$5*$J$7</f>
        <v>35.250629081542378</v>
      </c>
      <c r="L15" s="39">
        <f>$J$3+[45]FormattedData!E18*$J$4+$M$4*$J$5+[45]FormattedData!E18^2*$J$6+$M$5*$J$7</f>
        <v>36.765497294648469</v>
      </c>
      <c r="M15" s="39">
        <f>$J$3+[45]FormattedData!F18*$J$4+$M$4*$J$5+[45]FormattedData!F18^2*$J$6+$M$5*$J$7</f>
        <v>34.10737680734038</v>
      </c>
      <c r="N15" s="39">
        <f>$J$3+[45]FormattedData!G18*$J$4+$M$4*$J$5+[45]FormattedData!G18^2*$J$6+$M$5*$J$7</f>
        <v>36.198689770871624</v>
      </c>
      <c r="O15" s="39">
        <f>$J$3+[45]FormattedData!H18*$J$4+$M$4*$J$5+[45]FormattedData!H18^2*$J$6+$M$5*$J$7</f>
        <v>34.96538663825396</v>
      </c>
      <c r="P15" s="39">
        <f>$J$3+[45]FormattedData!I18*$J$4+$M$4*$J$5+[45]FormattedData!I18^2*$J$6+$M$5*$J$7</f>
        <v>37.706795017908725</v>
      </c>
      <c r="Q15" s="39">
        <f>$J$3+[45]FormattedData!J18*$J$4+$M$4*$J$5+[45]FormattedData!J18^2*$J$6+$M$5*$J$7</f>
        <v>37.894547340105611</v>
      </c>
      <c r="R15" s="39">
        <f>$J$3+[45]FormattedData!K18*$J$4+$M$4*$J$5+[45]FormattedData!K18^2*$J$6+$M$5*$J$7</f>
        <v>36.765497294648469</v>
      </c>
      <c r="S15" s="39">
        <f>$J$3+[45]FormattedData!L18*$J$4+$M$4*$J$5+[45]FormattedData!L18^2*$J$6+$M$5*$J$7</f>
        <v>34.870221286748617</v>
      </c>
      <c r="T15" s="39">
        <f>$J$3+[45]FormattedData!M18*$J$4+$M$4*$J$5+[45]FormattedData!M18^2*$J$6+$M$5*$J$7</f>
        <v>37.330783151059805</v>
      </c>
      <c r="U15" s="39">
        <f>$J$3+[45]FormattedData!N18*$J$4+$M$4*$J$5+[45]FormattedData!N18^2*$J$6+$M$5*$J$7</f>
        <v>36.009415781309215</v>
      </c>
      <c r="V15" s="39">
        <f>$J$3+[45]FormattedData!O18*$J$4+$M$4*$J$5+[45]FormattedData!O18^2*$J$6+$M$5*$J$7</f>
        <v>42.074275610673176</v>
      </c>
      <c r="W15" s="38">
        <f>AVERAGE(K15:V15)</f>
        <v>36.66159292292587</v>
      </c>
      <c r="X15" s="37">
        <f>STDEV(K15:V15)/SQRT(COUNT(K15:V15))</f>
        <v>0.60062938623815909</v>
      </c>
      <c r="Y15" s="36">
        <f>MIN(K15:V15)</f>
        <v>34.10737680734038</v>
      </c>
      <c r="Z15" s="35">
        <f>QUARTILE(K15:V15,1)</f>
        <v>35.179318470720276</v>
      </c>
      <c r="AA15" s="36">
        <f>MEDIAN(K15:V15)</f>
        <v>36.482093532760047</v>
      </c>
      <c r="AB15" s="35">
        <f>QUARTILE(K15:V15,3)</f>
        <v>37.424786117772037</v>
      </c>
      <c r="AC15" s="35">
        <f>MAX(K15:V15)</f>
        <v>42.074275610673176</v>
      </c>
      <c r="AD15" s="35">
        <f>SKEW(K15:V15)</f>
        <v>1.5916426934311634</v>
      </c>
      <c r="AE15" s="35">
        <f>KURT(K15:V15)</f>
        <v>3.7640159525300563</v>
      </c>
    </row>
    <row r="16" spans="1:35" x14ac:dyDescent="0.2">
      <c r="B16" s="34">
        <f>[45]FormattedData!A16</f>
        <v>107</v>
      </c>
      <c r="C16" s="34" t="str">
        <f>VLOOKUP($B16,[45]TrtCodes!$B$11:I59,2)</f>
        <v>NTL</v>
      </c>
      <c r="D16" s="34">
        <f>VLOOKUP($B16,[45]TrtCodes!$B$11:J59,3)</f>
        <v>10</v>
      </c>
      <c r="E16" s="34">
        <f>VLOOKUP($B16,[45]TrtCodes!$B$11:K59,4)</f>
        <v>2</v>
      </c>
      <c r="F16" s="34">
        <f>VLOOKUP($B16,[45]TrtCodes!$B$11:L59,5)</f>
        <v>2</v>
      </c>
      <c r="G16" s="34">
        <f>VLOOKUP($B16,[45]TrtCodes!$B$11:M59,6)</f>
        <v>1</v>
      </c>
      <c r="H16" s="34">
        <f>VLOOKUP($B16,[45]TrtCodes!$B$11:N59,7)</f>
        <v>2</v>
      </c>
      <c r="I16" s="34">
        <f>[45]FormattedData!B16</f>
        <v>1</v>
      </c>
      <c r="J16" s="37">
        <f>[45]FormattedData!C16</f>
        <v>13.132</v>
      </c>
      <c r="K16" s="39">
        <f>$J$3+[45]FormattedData!D16*$J$4+$M$4*$J$5+[45]FormattedData!D16^2*$J$6+$M$5*$J$7</f>
        <v>35.630360579729249</v>
      </c>
      <c r="L16" s="39">
        <f>$J$3+[45]FormattedData!E16*$J$4+$M$4*$J$5+[45]FormattedData!E16^2*$J$6+$M$5*$J$7</f>
        <v>43.90445807015908</v>
      </c>
      <c r="M16" s="39">
        <f>$J$3+[45]FormattedData!F16*$J$4+$M$4*$J$5+[45]FormattedData!F16^2*$J$6+$M$5*$J$7</f>
        <v>40.412655557163411</v>
      </c>
      <c r="N16" s="39">
        <f>$J$3+[45]FormattedData!G16*$J$4+$M$4*$J$5+[45]FormattedData!G16^2*$J$6+$M$5*$J$7</f>
        <v>41.798289977191672</v>
      </c>
      <c r="O16" s="39">
        <f>$J$3+[45]FormattedData!H16*$J$4+$M$4*$J$5+[45]FormattedData!H16^2*$J$6+$M$5*$J$7</f>
        <v>40.227185736014818</v>
      </c>
      <c r="P16" s="39">
        <f>$J$3+[45]FormattedData!I16*$J$4+$M$4*$J$5+[45]FormattedData!I16^2*$J$6+$M$5*$J$7</f>
        <v>42.166186284757821</v>
      </c>
      <c r="Q16" s="39">
        <f>$J$3+[45]FormattedData!J16*$J$4+$M$4*$J$5+[45]FormattedData!J16^2*$J$6+$M$5*$J$7</f>
        <v>37.612855454003395</v>
      </c>
      <c r="R16" s="39">
        <f>$J$3+[45]FormattedData!K16*$J$4+$M$4*$J$5+[45]FormattedData!K16^2*$J$6+$M$5*$J$7</f>
        <v>40.041546840714503</v>
      </c>
      <c r="S16" s="39">
        <f>$J$3+[45]FormattedData!L16*$J$4+$M$4*$J$5+[45]FormattedData!L16^2*$J$6+$M$5*$J$7</f>
        <v>40.597956304160292</v>
      </c>
      <c r="T16" s="39">
        <f>$J$3+[45]FormattedData!M16*$J$4+$M$4*$J$5+[45]FormattedData!M16^2*$J$6+$M$5*$J$7</f>
        <v>40.412655557163411</v>
      </c>
      <c r="U16" s="39">
        <f>$J$3+[45]FormattedData!N16*$J$4+$M$4*$J$5+[45]FormattedData!N16^2*$J$6+$M$5*$J$7</f>
        <v>40.319941780858088</v>
      </c>
      <c r="V16" s="39">
        <f>$J$3+[45]FormattedData!O16*$J$4+$M$4*$J$5+[45]FormattedData!O16^2*$J$6+$M$5*$J$7</f>
        <v>37.988360098397145</v>
      </c>
      <c r="W16" s="38">
        <f>AVERAGE(K16:V16)</f>
        <v>40.092704353359409</v>
      </c>
      <c r="X16" s="37">
        <f>STDEV(K16:V16)/SQRT(COUNT(K16:V16))</f>
        <v>0.63221951236711083</v>
      </c>
      <c r="Y16" s="36">
        <f>MIN(K16:V16)</f>
        <v>35.630360579729249</v>
      </c>
      <c r="Z16" s="35">
        <f>QUARTILE(K16:V16,1)</f>
        <v>39.528250155135161</v>
      </c>
      <c r="AA16" s="36">
        <f>MEDIAN(K16:V16)</f>
        <v>40.366298669010746</v>
      </c>
      <c r="AB16" s="35">
        <f>QUARTILE(K16:V16,3)</f>
        <v>40.898039722418133</v>
      </c>
      <c r="AC16" s="35">
        <f>MAX(K16:V16)</f>
        <v>43.90445807015908</v>
      </c>
      <c r="AD16" s="35">
        <f>SKEW(K16:V16)</f>
        <v>-0.45650901710978331</v>
      </c>
      <c r="AE16" s="35">
        <f>KURT(K16:V16)</f>
        <v>0.70700950329877443</v>
      </c>
    </row>
    <row r="17" spans="2:31" x14ac:dyDescent="0.2">
      <c r="B17" s="34">
        <f>[45]FormattedData!A14</f>
        <v>108</v>
      </c>
      <c r="C17" s="34" t="str">
        <f>VLOOKUP($B17,[45]TrtCodes!$B$11:I57,2)</f>
        <v>FTH</v>
      </c>
      <c r="D17" s="34">
        <f>VLOOKUP($B17,[45]TrtCodes!$B$11:J57,3)</f>
        <v>3</v>
      </c>
      <c r="E17" s="34">
        <f>VLOOKUP($B17,[45]TrtCodes!$B$11:K57,4)</f>
        <v>1</v>
      </c>
      <c r="F17" s="34">
        <f>VLOOKUP($B17,[45]TrtCodes!$B$11:L57,5)</f>
        <v>2</v>
      </c>
      <c r="G17" s="34">
        <f>VLOOKUP($B17,[45]TrtCodes!$B$11:M57,6)</f>
        <v>2</v>
      </c>
      <c r="H17" s="34">
        <f>VLOOKUP($B17,[45]TrtCodes!$B$11:N57,7)</f>
        <v>2</v>
      </c>
      <c r="I17" s="34">
        <f>[45]FormattedData!B14</f>
        <v>1</v>
      </c>
      <c r="J17" s="37">
        <f>[45]FormattedData!C14</f>
        <v>13.122999999999999</v>
      </c>
      <c r="K17" s="39">
        <f>$J$3+[45]FormattedData!D14*$J$4+$M$4*$J$5+[45]FormattedData!D14^2*$J$6+$M$5*$J$7</f>
        <v>35.155590535650838</v>
      </c>
      <c r="L17" s="39">
        <f>$J$3+[45]FormattedData!E14*$J$4+$M$4*$J$5+[45]FormattedData!E14^2*$J$6+$M$5*$J$7</f>
        <v>36.198689770871624</v>
      </c>
      <c r="M17" s="39">
        <f>$J$3+[45]FormattedData!F14*$J$4+$M$4*$J$5+[45]FormattedData!F14^2*$J$6+$M$5*$J$7</f>
        <v>39.669761827658682</v>
      </c>
      <c r="N17" s="39">
        <f>$J$3+[45]FormattedData!G14*$J$4+$M$4*$J$5+[45]FormattedData!G14^2*$J$6+$M$5*$J$7</f>
        <v>38.082130588150761</v>
      </c>
      <c r="O17" s="39">
        <f>$J$3+[45]FormattedData!H14*$J$4+$M$4*$J$5+[45]FormattedData!H14^2*$J$6+$M$5*$J$7</f>
        <v>43.082968256018013</v>
      </c>
      <c r="P17" s="39">
        <f>$J$3+[45]FormattedData!I14*$J$4+$M$4*$J$5+[45]FormattedData!I14^2*$J$6+$M$5*$J$7</f>
        <v>36.387794686282298</v>
      </c>
      <c r="Q17" s="39">
        <f>$J$3+[45]FormattedData!J14*$J$4+$M$4*$J$5+[45]FormattedData!J14^2*$J$6+$M$5*$J$7</f>
        <v>43.082968256018013</v>
      </c>
      <c r="R17" s="39">
        <f>$J$3+[45]FormattedData!K14*$J$4+$M$4*$J$5+[45]FormattedData!K14^2*$J$6+$M$5*$J$7</f>
        <v>39.110816251937031</v>
      </c>
      <c r="S17" s="39">
        <f>$J$3+[45]FormattedData!L14*$J$4+$M$4*$J$5+[45]FormattedData!L14^2*$J$6+$M$5*$J$7</f>
        <v>40.597956304160292</v>
      </c>
      <c r="T17" s="39">
        <f>$J$3+[45]FormattedData!M14*$J$4+$M$4*$J$5+[45]FormattedData!M14^2*$J$6+$M$5*$J$7</f>
        <v>38.269544762044191</v>
      </c>
      <c r="U17" s="39">
        <f>$J$3+[45]FormattedData!N14*$J$4+$M$4*$J$5+[45]FormattedData!N14^2*$J$6+$M$5*$J$7</f>
        <v>36.104073910359389</v>
      </c>
      <c r="V17" s="39">
        <f>$J$3+[45]FormattedData!O14*$J$4+$M$4*$J$5+[45]FormattedData!O14^2*$J$6+$M$5*$J$7</f>
        <v>35.250629081542378</v>
      </c>
      <c r="W17" s="38">
        <f>AVERAGE(K17:V17)</f>
        <v>38.416077019224453</v>
      </c>
      <c r="X17" s="37">
        <f>STDEV(K17:V17)/SQRT(COUNT(K17:V17))</f>
        <v>0.80497812660933132</v>
      </c>
      <c r="Y17" s="36">
        <f>MIN(K17:V17)</f>
        <v>35.155590535650838</v>
      </c>
      <c r="Z17" s="35">
        <f>QUARTILE(K17:V17,1)</f>
        <v>36.175035805743562</v>
      </c>
      <c r="AA17" s="36">
        <f>MEDIAN(K17:V17)</f>
        <v>38.175837675097476</v>
      </c>
      <c r="AB17" s="35">
        <f>QUARTILE(K17:V17,3)</f>
        <v>39.901810446784083</v>
      </c>
      <c r="AC17" s="35">
        <f>MAX(K17:V17)</f>
        <v>43.082968256018013</v>
      </c>
      <c r="AD17" s="35">
        <f>SKEW(K17:V17)</f>
        <v>0.59345255079117165</v>
      </c>
      <c r="AE17" s="35">
        <f>KURT(K17:V17)</f>
        <v>-0.75696770895570298</v>
      </c>
    </row>
    <row r="18" spans="2:31" x14ac:dyDescent="0.2">
      <c r="B18" s="34">
        <f>[45]FormattedData!A30</f>
        <v>201</v>
      </c>
      <c r="C18" s="34" t="str">
        <f>VLOOKUP($B18,[45]TrtCodes!$B$11:I73,2)</f>
        <v>NDL</v>
      </c>
      <c r="D18" s="34">
        <f>VLOOKUP($B18,[45]TrtCodes!$B$11:J73,3)</f>
        <v>12</v>
      </c>
      <c r="E18" s="34">
        <f>VLOOKUP($B18,[45]TrtCodes!$B$11:K73,4)</f>
        <v>2</v>
      </c>
      <c r="F18" s="34">
        <f>VLOOKUP($B18,[45]TrtCodes!$B$11:L73,5)</f>
        <v>3</v>
      </c>
      <c r="G18" s="34">
        <f>VLOOKUP($B18,[45]TrtCodes!$B$11:M73,6)</f>
        <v>1</v>
      </c>
      <c r="H18" s="34">
        <f>VLOOKUP($B18,[45]TrtCodes!$B$11:N73,7)</f>
        <v>1</v>
      </c>
      <c r="I18" s="34">
        <f>[45]FormattedData!B30</f>
        <v>1</v>
      </c>
      <c r="J18" s="37">
        <f>[45]FormattedData!C30</f>
        <v>13.2</v>
      </c>
      <c r="K18" s="39">
        <f>$J$3+[45]FormattedData!D30*$J$4+$M$4*$J$5+[45]FormattedData!D30^2*$J$6+$M$5*$J$7</f>
        <v>53.927362037970866</v>
      </c>
      <c r="L18" s="39">
        <f>$J$3+[45]FormattedData!E30*$J$4+$M$4*$J$5+[45]FormattedData!E30^2*$J$6+$M$5*$J$7</f>
        <v>56.582664882566668</v>
      </c>
      <c r="M18" s="39">
        <f>$J$3+[45]FormattedData!F30*$J$4+$M$4*$J$5+[45]FormattedData!F30^2*$J$6+$M$5*$J$7</f>
        <v>54.35838414529055</v>
      </c>
      <c r="N18" s="39">
        <f>$J$3+[45]FormattedData!G30*$J$4+$M$4*$J$5+[45]FormattedData!G30^2*$J$6+$M$5*$J$7</f>
        <v>55.388525811988821</v>
      </c>
      <c r="O18" s="39">
        <f>$J$3+[45]FormattedData!H30*$J$4+$M$4*$J$5+[45]FormattedData!H30^2*$J$6+$M$5*$J$7</f>
        <v>51.756400799648269</v>
      </c>
      <c r="P18" s="39">
        <f>$J$3+[45]FormattedData!I30*$J$4+$M$4*$J$5+[45]FormattedData!I30^2*$J$6+$M$5*$J$7</f>
        <v>55.815955093584357</v>
      </c>
      <c r="Q18" s="39">
        <f>$J$3+[45]FormattedData!J30*$J$4+$M$4*$J$5+[45]FormattedData!J30^2*$J$6+$M$5*$J$7</f>
        <v>54.01365099651067</v>
      </c>
      <c r="R18" s="39">
        <f>$J$3+[45]FormattedData!K30*$J$4+$M$4*$J$5+[45]FormattedData!K30^2*$J$6+$M$5*$J$7</f>
        <v>55.131561020576328</v>
      </c>
      <c r="S18" s="39">
        <f>$J$3+[45]FormattedData!L30*$J$4+$M$4*$J$5+[45]FormattedData!L30^2*$J$6+$M$5*$J$7</f>
        <v>53.754657315277477</v>
      </c>
      <c r="T18" s="39">
        <f>$J$3+[45]FormattedData!M30*$J$4+$M$4*$J$5+[45]FormattedData!M30^2*$J$6+$M$5*$J$7</f>
        <v>52.366932864268257</v>
      </c>
      <c r="U18" s="39">
        <f>$J$3+[45]FormattedData!N30*$J$4+$M$4*$J$5+[45]FormattedData!N30^2*$J$6+$M$5*$J$7</f>
        <v>53.581783518432367</v>
      </c>
      <c r="V18" s="39">
        <f>$J$3+[45]FormattedData!O30*$J$4+$M$4*$J$5+[45]FormattedData!O30^2*$J$6+$M$5*$J$7</f>
        <v>55.131561020576328</v>
      </c>
      <c r="W18" s="38">
        <f>AVERAGE(K18:V18)</f>
        <v>54.317453292224251</v>
      </c>
      <c r="X18" s="37">
        <f>STDEV(K18:V18)/SQRT(COUNT(K18:V18))</f>
        <v>0.40186159441443725</v>
      </c>
      <c r="Y18" s="36">
        <f>MIN(K18:V18)</f>
        <v>51.756400799648269</v>
      </c>
      <c r="Z18" s="35">
        <f>QUARTILE(K18:V18,1)</f>
        <v>53.711438866066203</v>
      </c>
      <c r="AA18" s="36">
        <f>MEDIAN(K18:V18)</f>
        <v>54.18601757090061</v>
      </c>
      <c r="AB18" s="35">
        <f>QUARTILE(K18:V18,3)</f>
        <v>55.195802218429449</v>
      </c>
      <c r="AC18" s="35">
        <f>MAX(K18:V18)</f>
        <v>56.582664882566668</v>
      </c>
      <c r="AD18" s="35">
        <f>SKEW(K18:V18)</f>
        <v>-0.30678093484382285</v>
      </c>
      <c r="AE18" s="35">
        <f>KURT(K18:V18)</f>
        <v>-0.19472449066108011</v>
      </c>
    </row>
    <row r="19" spans="2:31" x14ac:dyDescent="0.2">
      <c r="B19" s="34">
        <f>[45]FormattedData!A32</f>
        <v>202</v>
      </c>
      <c r="C19" s="34" t="str">
        <f>VLOOKUP($B19,[45]TrtCodes!$B$11:I75,2)</f>
        <v>NTH</v>
      </c>
      <c r="D19" s="34">
        <f>VLOOKUP($B19,[45]TrtCodes!$B$11:J75,3)</f>
        <v>9</v>
      </c>
      <c r="E19" s="34">
        <f>VLOOKUP($B19,[45]TrtCodes!$B$11:K75,4)</f>
        <v>2</v>
      </c>
      <c r="F19" s="34">
        <f>VLOOKUP($B19,[45]TrtCodes!$B$11:L75,5)</f>
        <v>2</v>
      </c>
      <c r="G19" s="34">
        <f>VLOOKUP($B19,[45]TrtCodes!$B$11:M75,6)</f>
        <v>2</v>
      </c>
      <c r="H19" s="34">
        <f>VLOOKUP($B19,[45]TrtCodes!$B$11:N75,7)</f>
        <v>1</v>
      </c>
      <c r="I19" s="34">
        <f>[45]FormattedData!B32</f>
        <v>1</v>
      </c>
      <c r="J19" s="37">
        <f>[45]FormattedData!C32</f>
        <v>13.205</v>
      </c>
      <c r="K19" s="39">
        <f>$J$3+[45]FormattedData!D32*$J$4+$M$4*$J$5+[45]FormattedData!D32^2*$J$6+$M$5*$J$7</f>
        <v>36.765497294648469</v>
      </c>
      <c r="L19" s="39">
        <f>$J$3+[45]FormattedData!E32*$J$4+$M$4*$J$5+[45]FormattedData!E32^2*$J$6+$M$5*$J$7</f>
        <v>42.625105627112056</v>
      </c>
      <c r="M19" s="39">
        <f>$J$3+[45]FormattedData!F32*$J$4+$M$4*$J$5+[45]FormattedData!F32^2*$J$6+$M$5*$J$7</f>
        <v>35.914715383721131</v>
      </c>
      <c r="N19" s="39">
        <f>$J$3+[45]FormattedData!G32*$J$4+$M$4*$J$5+[45]FormattedData!G32^2*$J$6+$M$5*$J$7</f>
        <v>37.706795017908725</v>
      </c>
      <c r="O19" s="39">
        <f>$J$3+[45]FormattedData!H32*$J$4+$M$4*$J$5+[45]FormattedData!H32^2*$J$6+$M$5*$J$7</f>
        <v>35.725187782931144</v>
      </c>
      <c r="P19" s="39">
        <f>$J$3+[45]FormattedData!I32*$J$4+$M$4*$J$5+[45]FormattedData!I32^2*$J$6+$M$5*$J$7</f>
        <v>37.14252360640775</v>
      </c>
      <c r="Q19" s="39">
        <f>$J$3+[45]FormattedData!J32*$J$4+$M$4*$J$5+[45]FormattedData!J32^2*$J$6+$M$5*$J$7</f>
        <v>35.535491107989429</v>
      </c>
      <c r="R19" s="39">
        <f>$J$3+[45]FormattedData!K32*$J$4+$M$4*$J$5+[45]FormattedData!K32^2*$J$6+$M$5*$J$7</f>
        <v>37.048330431274827</v>
      </c>
      <c r="S19" s="39">
        <f>$J$3+[45]FormattedData!L32*$J$4+$M$4*$J$5+[45]FormattedData!L32^2*$J$6+$M$5*$J$7</f>
        <v>35.155590535650838</v>
      </c>
      <c r="T19" s="39">
        <f>$J$3+[45]FormattedData!M32*$J$4+$M$4*$J$5+[45]FormattedData!M32^2*$J$6+$M$5*$J$7</f>
        <v>37.048330431274827</v>
      </c>
      <c r="U19" s="39">
        <f>$J$3+[45]FormattedData!N32*$J$4+$M$4*$J$5+[45]FormattedData!N32^2*$J$6+$M$5*$J$7</f>
        <v>34.96538663825396</v>
      </c>
      <c r="V19" s="39">
        <f>$J$3+[45]FormattedData!O32*$J$4+$M$4*$J$5+[45]FormattedData!O32^2*$J$6+$M$5*$J$7</f>
        <v>36.293263362845927</v>
      </c>
      <c r="W19" s="38">
        <f>AVERAGE(K19:V19)</f>
        <v>36.827184768334924</v>
      </c>
      <c r="X19" s="37">
        <f>STDEV(K19:V19)/SQRT(COUNT(K19:V19))</f>
        <v>0.58291143020049951</v>
      </c>
      <c r="Y19" s="36">
        <f>MIN(K19:V19)</f>
        <v>34.96538663825396</v>
      </c>
      <c r="Z19" s="35">
        <f>QUARTILE(K19:V19,1)</f>
        <v>35.677763614195712</v>
      </c>
      <c r="AA19" s="36">
        <f>MEDIAN(K19:V19)</f>
        <v>36.529380328747195</v>
      </c>
      <c r="AB19" s="35">
        <f>QUARTILE(K19:V19,3)</f>
        <v>37.071878725058056</v>
      </c>
      <c r="AC19" s="35">
        <f>MAX(K19:V19)</f>
        <v>42.625105627112056</v>
      </c>
      <c r="AD19" s="35">
        <f>SKEW(K19:V19)</f>
        <v>2.3863648731917189</v>
      </c>
      <c r="AE19" s="35">
        <f>KURT(K19:V19)</f>
        <v>6.9184659167594766</v>
      </c>
    </row>
    <row r="20" spans="2:31" x14ac:dyDescent="0.2">
      <c r="B20" s="34">
        <f>[45]FormattedData!A34</f>
        <v>203</v>
      </c>
      <c r="C20" s="34" t="str">
        <f>VLOOKUP($B20,[45]TrtCodes!$B$11:I77,2)</f>
        <v>FTH</v>
      </c>
      <c r="D20" s="34">
        <f>VLOOKUP($B20,[45]TrtCodes!$B$11:J77,3)</f>
        <v>3</v>
      </c>
      <c r="E20" s="34">
        <f>VLOOKUP($B20,[45]TrtCodes!$B$11:K77,4)</f>
        <v>1</v>
      </c>
      <c r="F20" s="34">
        <f>VLOOKUP($B20,[45]TrtCodes!$B$11:L77,5)</f>
        <v>2</v>
      </c>
      <c r="G20" s="34">
        <f>VLOOKUP($B20,[45]TrtCodes!$B$11:M77,6)</f>
        <v>2</v>
      </c>
      <c r="H20" s="34">
        <f>VLOOKUP($B20,[45]TrtCodes!$B$11:N77,7)</f>
        <v>1</v>
      </c>
      <c r="I20" s="34">
        <f>[45]FormattedData!B34</f>
        <v>1</v>
      </c>
      <c r="J20" s="37">
        <f>[45]FormattedData!C34</f>
        <v>13.211</v>
      </c>
      <c r="K20" s="39">
        <f>$J$3+[45]FormattedData!D34*$J$4+$M$4*$J$5+[45]FormattedData!D34^2*$J$6+$M$5*$J$7</f>
        <v>35.345625358896001</v>
      </c>
      <c r="L20" s="39">
        <f>$J$3+[45]FormattedData!E34*$J$4+$M$4*$J$5+[45]FormattedData!E34^2*$J$6+$M$5*$J$7</f>
        <v>40.041546840714503</v>
      </c>
      <c r="M20" s="39">
        <f>$J$3+[45]FormattedData!F34*$J$4+$M$4*$J$5+[45]FormattedData!F34^2*$J$6+$M$5*$J$7</f>
        <v>37.330783151059805</v>
      </c>
      <c r="N20" s="39">
        <f>$J$3+[45]FormattedData!G34*$J$4+$M$4*$J$5+[45]FormattedData!G34^2*$J$6+$M$5*$J$7</f>
        <v>39.297300517995971</v>
      </c>
      <c r="O20" s="39">
        <f>$J$3+[45]FormattedData!H34*$J$4+$M$4*$J$5+[45]FormattedData!H34^2*$J$6+$M$5*$J$7</f>
        <v>39.669761827658682</v>
      </c>
      <c r="P20" s="39">
        <f>$J$3+[45]FormattedData!I34*$J$4+$M$4*$J$5+[45]FormattedData!I34^2*$J$6+$M$5*$J$7</f>
        <v>37.424849520578931</v>
      </c>
      <c r="Q20" s="39">
        <f>$J$3+[45]FormattedData!J34*$J$4+$M$4*$J$5+[45]FormattedData!J34^2*$J$6+$M$5*$J$7</f>
        <v>40.227185736014818</v>
      </c>
      <c r="R20" s="39">
        <f>$J$3+[45]FormattedData!K34*$J$4+$M$4*$J$5+[45]FormattedData!K34^2*$J$6+$M$5*$J$7</f>
        <v>46.078359233514526</v>
      </c>
      <c r="S20" s="39">
        <f>$J$3+[45]FormattedData!L34*$J$4+$M$4*$J$5+[45]FormattedData!L34^2*$J$6+$M$5*$J$7</f>
        <v>37.988360098397145</v>
      </c>
      <c r="T20" s="39">
        <f>$J$3+[45]FormattedData!M34*$J$4+$M$4*$J$5+[45]FormattedData!M34^2*$J$6+$M$5*$J$7</f>
        <v>40.690543274851827</v>
      </c>
      <c r="U20" s="39">
        <f>$J$3+[45]FormattedData!N34*$J$4+$M$4*$J$5+[45]FormattedData!N34^2*$J$6+$M$5*$J$7</f>
        <v>40.319941780858088</v>
      </c>
      <c r="V20" s="39">
        <f>$J$3+[45]FormattedData!O34*$J$4+$M$4*$J$5+[45]FormattedData!O34^2*$J$6+$M$5*$J$7</f>
        <v>39.204079519235464</v>
      </c>
      <c r="W20" s="38">
        <f>AVERAGE(K20:V20)</f>
        <v>39.468194738314644</v>
      </c>
      <c r="X20" s="37">
        <f>STDEV(K20:V20)/SQRT(COUNT(K20:V20))</f>
        <v>0.75321307394007686</v>
      </c>
      <c r="Y20" s="36">
        <f>MIN(K20:V20)</f>
        <v>35.345625358896001</v>
      </c>
      <c r="Z20" s="35">
        <f>QUARTILE(K20:V20,1)</f>
        <v>37.84748245394259</v>
      </c>
      <c r="AA20" s="36">
        <f>MEDIAN(K20:V20)</f>
        <v>39.483531172827327</v>
      </c>
      <c r="AB20" s="35">
        <f>QUARTILE(K20:V20,3)</f>
        <v>40.250374747225635</v>
      </c>
      <c r="AC20" s="35">
        <f>MAX(K20:V20)</f>
        <v>46.078359233514526</v>
      </c>
      <c r="AD20" s="35">
        <f>SKEW(K20:V20)</f>
        <v>1.2299791227742845</v>
      </c>
      <c r="AE20" s="35">
        <f>KURT(K20:V20)</f>
        <v>3.5970295185005225</v>
      </c>
    </row>
    <row r="21" spans="2:31" x14ac:dyDescent="0.2">
      <c r="B21" s="34">
        <f>[45]FormattedData!A36</f>
        <v>204</v>
      </c>
      <c r="C21" s="34" t="str">
        <f>VLOOKUP($B21,[45]TrtCodes!$B$11:I79,2)</f>
        <v>NDH</v>
      </c>
      <c r="D21" s="34">
        <f>VLOOKUP($B21,[45]TrtCodes!$B$11:J79,3)</f>
        <v>11</v>
      </c>
      <c r="E21" s="34">
        <f>VLOOKUP($B21,[45]TrtCodes!$B$11:K79,4)</f>
        <v>2</v>
      </c>
      <c r="F21" s="34">
        <f>VLOOKUP($B21,[45]TrtCodes!$B$11:L79,5)</f>
        <v>3</v>
      </c>
      <c r="G21" s="34">
        <f>VLOOKUP($B21,[45]TrtCodes!$B$11:M79,6)</f>
        <v>2</v>
      </c>
      <c r="H21" s="34">
        <f>VLOOKUP($B21,[45]TrtCodes!$B$11:N79,7)</f>
        <v>1</v>
      </c>
      <c r="I21" s="34">
        <f>[45]FormattedData!B36</f>
        <v>1</v>
      </c>
      <c r="J21" s="37">
        <f>[45]FormattedData!C36</f>
        <v>13.215999999999999</v>
      </c>
      <c r="K21" s="39">
        <f>$J$3+[45]FormattedData!D36*$J$4+$M$4*$J$5+[45]FormattedData!D36^2*$J$6+$M$5*$J$7</f>
        <v>52.801759140001742</v>
      </c>
      <c r="L21" s="39">
        <f>$J$3+[45]FormattedData!E36*$J$4+$M$4*$J$5+[45]FormattedData!E36^2*$J$6+$M$5*$J$7</f>
        <v>54.70244099746354</v>
      </c>
      <c r="M21" s="39">
        <f>$J$3+[45]FormattedData!F36*$J$4+$M$4*$J$5+[45]FormattedData!F36^2*$J$6+$M$5*$J$7</f>
        <v>52.888597589534648</v>
      </c>
      <c r="N21" s="39">
        <f>$J$3+[45]FormattedData!G36*$J$4+$M$4*$J$5+[45]FormattedData!G36^2*$J$6+$M$5*$J$7</f>
        <v>55.131561020576328</v>
      </c>
      <c r="O21" s="39">
        <f>$J$3+[45]FormattedData!H36*$J$4+$M$4*$J$5+[45]FormattedData!H36^2*$J$6+$M$5*$J$7</f>
        <v>54.70244099746354</v>
      </c>
      <c r="P21" s="39">
        <f>$J$3+[45]FormattedData!I36*$J$4+$M$4*$J$5+[45]FormattedData!I36^2*$J$6+$M$5*$J$7</f>
        <v>55.55962433024083</v>
      </c>
      <c r="Q21" s="39">
        <f>$J$3+[45]FormattedData!J36*$J$4+$M$4*$J$5+[45]FormattedData!J36^2*$J$6+$M$5*$J$7</f>
        <v>54.960039816945006</v>
      </c>
      <c r="R21" s="39">
        <f>$J$3+[45]FormattedData!K36*$J$4+$M$4*$J$5+[45]FormattedData!K36^2*$J$6+$M$5*$J$7</f>
        <v>54.788349539161956</v>
      </c>
      <c r="S21" s="39">
        <f>$J$3+[45]FormattedData!L36*$J$4+$M$4*$J$5+[45]FormattedData!L36^2*$J$6+$M$5*$J$7</f>
        <v>51.143797576669655</v>
      </c>
      <c r="T21" s="39">
        <f>$J$3+[45]FormattedData!M36*$J$4+$M$4*$J$5+[45]FormattedData!M36^2*$J$6+$M$5*$J$7</f>
        <v>54.099897686512534</v>
      </c>
      <c r="U21" s="39">
        <f>$J$3+[45]FormattedData!N36*$J$4+$M$4*$J$5+[45]FormattedData!N36^2*$J$6+$M$5*$J$7</f>
        <v>53.235528702286949</v>
      </c>
      <c r="V21" s="39">
        <f>$J$3+[45]FormattedData!O36*$J$4+$M$4*$J$5+[45]FormattedData!O36^2*$J$6+$M$5*$J$7</f>
        <v>54.874215812322447</v>
      </c>
      <c r="W21" s="38">
        <f>AVERAGE(K21:V21)</f>
        <v>54.074021100764931</v>
      </c>
      <c r="X21" s="37">
        <f>STDEV(K21:V21)/SQRT(COUNT(K21:V21))</f>
        <v>0.37299631395149618</v>
      </c>
      <c r="Y21" s="36">
        <f>MIN(K21:V21)</f>
        <v>51.143797576669655</v>
      </c>
      <c r="Z21" s="35">
        <f>QUARTILE(K21:V21,1)</f>
        <v>53.148795924098877</v>
      </c>
      <c r="AA21" s="36">
        <f>MEDIAN(K21:V21)</f>
        <v>54.70244099746354</v>
      </c>
      <c r="AB21" s="35">
        <f>QUARTILE(K21:V21,3)</f>
        <v>54.895671813478089</v>
      </c>
      <c r="AC21" s="35">
        <f>MAX(K21:V21)</f>
        <v>55.55962433024083</v>
      </c>
      <c r="AD21" s="35">
        <f>SKEW(K21:V21)</f>
        <v>-1.1602999509551584</v>
      </c>
      <c r="AE21" s="35">
        <f>KURT(K21:V21)</f>
        <v>0.85867158894352258</v>
      </c>
    </row>
    <row r="22" spans="2:31" x14ac:dyDescent="0.2">
      <c r="B22" s="34">
        <f>[45]FormattedData!A38</f>
        <v>205</v>
      </c>
      <c r="C22" s="34" t="str">
        <f>VLOOKUP($B22,[45]TrtCodes!$B$11:I81,2)</f>
        <v>FSH</v>
      </c>
      <c r="D22" s="34">
        <f>VLOOKUP($B22,[45]TrtCodes!$B$11:J81,3)</f>
        <v>1</v>
      </c>
      <c r="E22" s="34">
        <f>VLOOKUP($B22,[45]TrtCodes!$B$11:K81,4)</f>
        <v>1</v>
      </c>
      <c r="F22" s="34">
        <f>VLOOKUP($B22,[45]TrtCodes!$B$11:L81,5)</f>
        <v>1</v>
      </c>
      <c r="G22" s="34">
        <f>VLOOKUP($B22,[45]TrtCodes!$B$11:M81,6)</f>
        <v>2</v>
      </c>
      <c r="H22" s="34">
        <f>VLOOKUP($B22,[45]TrtCodes!$B$11:N81,7)</f>
        <v>2</v>
      </c>
      <c r="I22" s="34">
        <f>[45]FormattedData!B38</f>
        <v>1</v>
      </c>
      <c r="J22" s="37">
        <f>[45]FormattedData!C38</f>
        <v>13.221</v>
      </c>
      <c r="K22" s="39">
        <f>$J$3+[45]FormattedData!D38*$J$4+$M$4*$J$5+[45]FormattedData!D38^2*$J$6+$M$5*$J$7</f>
        <v>35.155590535650838</v>
      </c>
      <c r="L22" s="39">
        <f>$J$3+[45]FormattedData!E38*$J$4+$M$4*$J$5+[45]FormattedData!E38^2*$J$6+$M$5*$J$7</f>
        <v>41.7062102289553</v>
      </c>
      <c r="M22" s="39">
        <f>$J$3+[45]FormattedData!F38*$J$4+$M$4*$J$5+[45]FormattedData!F38^2*$J$6+$M$5*$J$7</f>
        <v>35.725187782931144</v>
      </c>
      <c r="N22" s="39">
        <f>$J$3+[45]FormattedData!G38*$J$4+$M$4*$J$5+[45]FormattedData!G38^2*$J$6+$M$5*$J$7</f>
        <v>39.297300517995971</v>
      </c>
      <c r="O22" s="39">
        <f>$J$3+[45]FormattedData!H38*$J$4+$M$4*$J$5+[45]FormattedData!H38^2*$J$6+$M$5*$J$7</f>
        <v>36.104073910359389</v>
      </c>
      <c r="P22" s="39">
        <f>$J$3+[45]FormattedData!I38*$J$4+$M$4*$J$5+[45]FormattedData!I38^2*$J$6+$M$5*$J$7</f>
        <v>37.800692313276137</v>
      </c>
      <c r="Q22" s="39">
        <f>$J$3+[45]FormattedData!J38*$J$4+$M$4*$J$5+[45]FormattedData!J38^2*$J$6+$M$5*$J$7</f>
        <v>36.198689770871624</v>
      </c>
      <c r="R22" s="39">
        <f>$J$3+[45]FormattedData!K38*$J$4+$M$4*$J$5+[45]FormattedData!K38^2*$J$6+$M$5*$J$7</f>
        <v>37.14252360640775</v>
      </c>
      <c r="S22" s="39">
        <f>$J$3+[45]FormattedData!L38*$J$4+$M$4*$J$5+[45]FormattedData!L38^2*$J$6+$M$5*$J$7</f>
        <v>38.924162911726356</v>
      </c>
      <c r="T22" s="39">
        <f>$J$3+[45]FormattedData!M38*$J$4+$M$4*$J$5+[45]FormattedData!M38^2*$J$6+$M$5*$J$7</f>
        <v>37.518873621560125</v>
      </c>
      <c r="U22" s="39">
        <f>$J$3+[45]FormattedData!N38*$J$4+$M$4*$J$5+[45]FormattedData!N38^2*$J$6+$M$5*$J$7</f>
        <v>39.483615709903191</v>
      </c>
      <c r="V22" s="39">
        <f>$J$3+[45]FormattedData!O38*$J$4+$M$4*$J$5+[45]FormattedData!O38^2*$J$6+$M$5*$J$7</f>
        <v>42.533406295717064</v>
      </c>
      <c r="W22" s="38">
        <f>AVERAGE(K22:V22)</f>
        <v>38.132527267112906</v>
      </c>
      <c r="X22" s="37">
        <f>STDEV(K22:V22)/SQRT(COUNT(K22:V22))</f>
        <v>0.67378593677885634</v>
      </c>
      <c r="Y22" s="36">
        <f>MIN(K22:V22)</f>
        <v>35.155590535650838</v>
      </c>
      <c r="Z22" s="35">
        <f>QUARTILE(K22:V22,1)</f>
        <v>36.175035805743562</v>
      </c>
      <c r="AA22" s="36">
        <f>MEDIAN(K22:V22)</f>
        <v>37.659782967418131</v>
      </c>
      <c r="AB22" s="35">
        <f>QUARTILE(K22:V22,3)</f>
        <v>39.343879315972778</v>
      </c>
      <c r="AC22" s="35">
        <f>MAX(K22:V22)</f>
        <v>42.533406295717064</v>
      </c>
      <c r="AD22" s="35">
        <f>SKEW(K22:V22)</f>
        <v>0.67148690810119338</v>
      </c>
      <c r="AE22" s="35">
        <f>KURT(K22:V22)</f>
        <v>-0.38088080994068907</v>
      </c>
    </row>
    <row r="23" spans="2:31" x14ac:dyDescent="0.2">
      <c r="B23" s="34">
        <f>[45]FormattedData!A40</f>
        <v>206</v>
      </c>
      <c r="C23" s="34" t="str">
        <f>VLOOKUP($B23,[45]TrtCodes!$B$11:I83,2)</f>
        <v>NSL</v>
      </c>
      <c r="D23" s="34">
        <f>VLOOKUP($B23,[45]TrtCodes!$B$11:J83,3)</f>
        <v>8</v>
      </c>
      <c r="E23" s="34">
        <f>VLOOKUP($B23,[45]TrtCodes!$B$11:K83,4)</f>
        <v>2</v>
      </c>
      <c r="F23" s="34">
        <f>VLOOKUP($B23,[45]TrtCodes!$B$11:L83,5)</f>
        <v>1</v>
      </c>
      <c r="G23" s="34">
        <f>VLOOKUP($B23,[45]TrtCodes!$B$11:M83,6)</f>
        <v>1</v>
      </c>
      <c r="H23" s="34">
        <f>VLOOKUP($B23,[45]TrtCodes!$B$11:N83,7)</f>
        <v>2</v>
      </c>
      <c r="I23" s="34">
        <f>[45]FormattedData!B40</f>
        <v>1</v>
      </c>
      <c r="J23" s="37">
        <f>[45]FormattedData!C40</f>
        <v>13.227</v>
      </c>
      <c r="K23" s="39">
        <f>$J$3+[45]FormattedData!D40*$J$4+$M$4*$J$5+[45]FormattedData!D40^2*$J$6+$M$5*$J$7</f>
        <v>35.440579367711685</v>
      </c>
      <c r="L23" s="39">
        <f>$J$3+[45]FormattedData!E40*$J$4+$M$4*$J$5+[45]FormattedData!E40^2*$J$6+$M$5*$J$7</f>
        <v>38.737340497363967</v>
      </c>
      <c r="M23" s="39">
        <f>$J$3+[45]FormattedData!F40*$J$4+$M$4*$J$5+[45]FormattedData!F40^2*$J$6+$M$5*$J$7</f>
        <v>36.765497294648469</v>
      </c>
      <c r="N23" s="39">
        <f>$J$3+[45]FormattedData!G40*$J$4+$M$4*$J$5+[45]FormattedData!G40^2*$J$6+$M$5*$J$7</f>
        <v>39.297300517995971</v>
      </c>
      <c r="O23" s="39">
        <f>$J$3+[45]FormattedData!H40*$J$4+$M$4*$J$5+[45]FormattedData!H40^2*$J$6+$M$5*$J$7</f>
        <v>36.48228374118073</v>
      </c>
      <c r="P23" s="39">
        <f>$J$3+[45]FormattedData!I40*$J$4+$M$4*$J$5+[45]FormattedData!I40^2*$J$6+$M$5*$J$7</f>
        <v>41.982322668050607</v>
      </c>
      <c r="Q23" s="39">
        <f>$J$3+[45]FormattedData!J40*$J$4+$M$4*$J$5+[45]FormattedData!J40^2*$J$6+$M$5*$J$7</f>
        <v>41.429717373018619</v>
      </c>
      <c r="R23" s="39">
        <f>$J$3+[45]FormattedData!K40*$J$4+$M$4*$J$5+[45]FormattedData!K40^2*$J$6+$M$5*$J$7</f>
        <v>40.13438742263363</v>
      </c>
      <c r="S23" s="39">
        <f>$J$3+[45]FormattedData!L40*$J$4+$M$4*$J$5+[45]FormattedData!L40^2*$J$6+$M$5*$J$7</f>
        <v>37.048330431274827</v>
      </c>
      <c r="T23" s="39">
        <f>$J$3+[45]FormattedData!M40*$J$4+$M$4*$J$5+[45]FormattedData!M40^2*$J$6+$M$5*$J$7</f>
        <v>39.669761827658682</v>
      </c>
      <c r="U23" s="39">
        <f>$J$3+[45]FormattedData!N40*$J$4+$M$4*$J$5+[45]FormattedData!N40^2*$J$6+$M$5*$J$7</f>
        <v>36.859817275395194</v>
      </c>
      <c r="V23" s="39">
        <f>$J$3+[45]FormattedData!O40*$J$4+$M$4*$J$5+[45]FormattedData!O40^2*$J$6+$M$5*$J$7</f>
        <v>39.855738871262453</v>
      </c>
      <c r="W23" s="38">
        <f>AVERAGE(K23:V23)</f>
        <v>38.641923107349577</v>
      </c>
      <c r="X23" s="37">
        <f>STDEV(K23:V23)/SQRT(COUNT(K23:V23))</f>
        <v>0.60474761560742774</v>
      </c>
      <c r="Y23" s="36">
        <f>MIN(K23:V23)</f>
        <v>35.440579367711685</v>
      </c>
      <c r="Z23" s="35">
        <f>QUARTILE(K23:V23,1)</f>
        <v>36.836237280208515</v>
      </c>
      <c r="AA23" s="36">
        <f>MEDIAN(K23:V23)</f>
        <v>39.017320507679969</v>
      </c>
      <c r="AB23" s="35">
        <f>QUARTILE(K23:V23,3)</f>
        <v>39.925401009105244</v>
      </c>
      <c r="AC23" s="35">
        <f>MAX(K23:V23)</f>
        <v>41.982322668050607</v>
      </c>
      <c r="AD23" s="35">
        <f>SKEW(K23:V23)</f>
        <v>7.3860178115695244E-2</v>
      </c>
      <c r="AE23" s="35">
        <f>KURT(K23:V23)</f>
        <v>-1.1775105844547356</v>
      </c>
    </row>
    <row r="24" spans="2:31" x14ac:dyDescent="0.2">
      <c r="B24" s="34">
        <f>[45]FormattedData!A42</f>
        <v>207</v>
      </c>
      <c r="C24" s="34" t="str">
        <f>VLOOKUP($B24,[45]TrtCodes!$B$11:I85,2)</f>
        <v>FTL</v>
      </c>
      <c r="D24" s="34">
        <f>VLOOKUP($B24,[45]TrtCodes!$B$11:J85,3)</f>
        <v>4</v>
      </c>
      <c r="E24" s="34">
        <f>VLOOKUP($B24,[45]TrtCodes!$B$11:K85,4)</f>
        <v>1</v>
      </c>
      <c r="F24" s="34">
        <f>VLOOKUP($B24,[45]TrtCodes!$B$11:L85,5)</f>
        <v>2</v>
      </c>
      <c r="G24" s="34">
        <f>VLOOKUP($B24,[45]TrtCodes!$B$11:M85,6)</f>
        <v>1</v>
      </c>
      <c r="H24" s="34">
        <f>VLOOKUP($B24,[45]TrtCodes!$B$11:N85,7)</f>
        <v>2</v>
      </c>
      <c r="I24" s="34">
        <f>[45]FormattedData!B42</f>
        <v>1</v>
      </c>
      <c r="J24" s="37">
        <f>[45]FormattedData!C42</f>
        <v>13.231999999999999</v>
      </c>
      <c r="K24" s="39">
        <f>$J$3+[45]FormattedData!D42*$J$4+$M$4*$J$5+[45]FormattedData!D42^2*$J$6+$M$5*$J$7</f>
        <v>36.293263362845927</v>
      </c>
      <c r="L24" s="39">
        <f>$J$3+[45]FormattedData!E42*$J$4+$M$4*$J$5+[45]FormattedData!E42^2*$J$6+$M$5*$J$7</f>
        <v>45.175525879771598</v>
      </c>
      <c r="M24" s="39">
        <f>$J$3+[45]FormattedData!F42*$J$4+$M$4*$J$5+[45]FormattedData!F42^2*$J$6+$M$5*$J$7</f>
        <v>40.690543274851827</v>
      </c>
      <c r="N24" s="39">
        <f>$J$3+[45]FormattedData!G42*$J$4+$M$4*$J$5+[45]FormattedData!G42^2*$J$6+$M$5*$J$7</f>
        <v>39.017510716100659</v>
      </c>
      <c r="O24" s="39">
        <f>$J$3+[45]FormattedData!H42*$J$4+$M$4*$J$5+[45]FormattedData!H42^2*$J$6+$M$5*$J$7</f>
        <v>40.227185736014818</v>
      </c>
      <c r="P24" s="39">
        <f>$J$3+[45]FormattedData!I42*$J$4+$M$4*$J$5+[45]FormattedData!I42^2*$J$6+$M$5*$J$7</f>
        <v>40.319941780858088</v>
      </c>
      <c r="Q24" s="39">
        <f>$J$3+[45]FormattedData!J42*$J$4+$M$4*$J$5+[45]FormattedData!J42^2*$J$6+$M$5*$J$7</f>
        <v>38.269544762044191</v>
      </c>
      <c r="R24" s="39">
        <f>$J$3+[45]FormattedData!K42*$J$4+$M$4*$J$5+[45]FormattedData!K42^2*$J$6+$M$5*$J$7</f>
        <v>38.550349008849849</v>
      </c>
      <c r="S24" s="39">
        <f>$J$3+[45]FormattedData!L42*$J$4+$M$4*$J$5+[45]FormattedData!L42^2*$J$6+$M$5*$J$7</f>
        <v>39.110816251937031</v>
      </c>
      <c r="T24" s="39">
        <f>$J$3+[45]FormattedData!M42*$J$4+$M$4*$J$5+[45]FormattedData!M42^2*$J$6+$M$5*$J$7</f>
        <v>38.082130588150761</v>
      </c>
      <c r="U24" s="39">
        <f>$J$3+[45]FormattedData!N42*$J$4+$M$4*$J$5+[45]FormattedData!N42^2*$J$6+$M$5*$J$7</f>
        <v>36.954094987603973</v>
      </c>
      <c r="V24" s="39">
        <f>$J$3+[45]FormattedData!O42*$J$4+$M$4*$J$5+[45]FormattedData!O42^2*$J$6+$M$5*$J$7</f>
        <v>38.550349008849849</v>
      </c>
      <c r="W24" s="38">
        <f>AVERAGE(K24:V24)</f>
        <v>39.270104613156541</v>
      </c>
      <c r="X24" s="37">
        <f>STDEV(K24:V24)/SQRT(COUNT(K24:V24))</f>
        <v>0.65524092328300176</v>
      </c>
      <c r="Y24" s="36">
        <f>MIN(K24:V24)</f>
        <v>36.293263362845927</v>
      </c>
      <c r="Z24" s="35">
        <f>QUARTILE(K24:V24,1)</f>
        <v>38.22269121857083</v>
      </c>
      <c r="AA24" s="36">
        <f>MEDIAN(K24:V24)</f>
        <v>38.783929862475254</v>
      </c>
      <c r="AB24" s="35">
        <f>QUARTILE(K24:V24,3)</f>
        <v>40.250374747225635</v>
      </c>
      <c r="AC24" s="35">
        <f>MAX(K24:V24)</f>
        <v>45.175525879771598</v>
      </c>
      <c r="AD24" s="35">
        <f>SKEW(K24:V24)</f>
        <v>1.5727811819746815</v>
      </c>
      <c r="AE24" s="35">
        <f>KURT(K24:V24)</f>
        <v>3.8808033283611616</v>
      </c>
    </row>
    <row r="25" spans="2:31" x14ac:dyDescent="0.2">
      <c r="B25" s="34">
        <f>[45]FormattedData!A44</f>
        <v>208</v>
      </c>
      <c r="C25" s="34" t="str">
        <f>VLOOKUP($B25,[45]TrtCodes!$B$11:I87,2)</f>
        <v>FSL</v>
      </c>
      <c r="D25" s="34">
        <f>VLOOKUP($B25,[45]TrtCodes!$B$11:J87,3)</f>
        <v>2</v>
      </c>
      <c r="E25" s="34">
        <f>VLOOKUP($B25,[45]TrtCodes!$B$11:K87,4)</f>
        <v>1</v>
      </c>
      <c r="F25" s="34">
        <f>VLOOKUP($B25,[45]TrtCodes!$B$11:L87,5)</f>
        <v>1</v>
      </c>
      <c r="G25" s="34">
        <f>VLOOKUP($B25,[45]TrtCodes!$B$11:M87,6)</f>
        <v>1</v>
      </c>
      <c r="H25" s="34">
        <f>VLOOKUP($B25,[45]TrtCodes!$B$11:N87,7)</f>
        <v>2</v>
      </c>
      <c r="I25" s="34">
        <f>[45]FormattedData!B44</f>
        <v>1</v>
      </c>
      <c r="J25" s="37">
        <f>[45]FormattedData!C44</f>
        <v>13.237</v>
      </c>
      <c r="K25" s="39">
        <f>$J$3+[45]FormattedData!D44*$J$4+$M$4*$J$5+[45]FormattedData!D44^2*$J$6+$M$5*$J$7</f>
        <v>36.387794686282298</v>
      </c>
      <c r="L25" s="39">
        <f>$J$3+[45]FormattedData!E44*$J$4+$M$4*$J$5+[45]FormattedData!E44^2*$J$6+$M$5*$J$7</f>
        <v>47.156179810999113</v>
      </c>
      <c r="M25" s="39">
        <f>$J$3+[45]FormattedData!F44*$J$4+$M$4*$J$5+[45]FormattedData!F44^2*$J$6+$M$5*$J$7</f>
        <v>38.643865887375874</v>
      </c>
      <c r="N25" s="39">
        <f>$J$3+[45]FormattedData!G44*$J$4+$M$4*$J$5+[45]FormattedData!G44^2*$J$6+$M$5*$J$7</f>
        <v>42.258054690304533</v>
      </c>
      <c r="O25" s="39">
        <f>$J$3+[45]FormattedData!H44*$J$4+$M$4*$J$5+[45]FormattedData!H44^2*$J$6+$M$5*$J$7</f>
        <v>45.356430698823637</v>
      </c>
      <c r="P25" s="39">
        <f>$J$3+[45]FormattedData!I44*$J$4+$M$4*$J$5+[45]FormattedData!I44^2*$J$6+$M$5*$J$7</f>
        <v>37.706795017908725</v>
      </c>
      <c r="Q25" s="39">
        <f>$J$3+[45]FormattedData!J44*$J$4+$M$4*$J$5+[45]FormattedData!J44^2*$J$6+$M$5*$J$7</f>
        <v>45.627470913367198</v>
      </c>
      <c r="R25" s="39">
        <f>$J$3+[45]FormattedData!K44*$J$4+$M$4*$J$5+[45]FormattedData!K44^2*$J$6+$M$5*$J$7</f>
        <v>41.52192392686878</v>
      </c>
      <c r="S25" s="39">
        <f>$J$3+[45]FormattedData!L44*$J$4+$M$4*$J$5+[45]FormattedData!L44^2*$J$6+$M$5*$J$7</f>
        <v>44.813209019212358</v>
      </c>
      <c r="T25" s="39">
        <f>$J$3+[45]FormattedData!M44*$J$4+$M$4*$J$5+[45]FormattedData!M44^2*$J$6+$M$5*$J$7</f>
        <v>42.074275610673176</v>
      </c>
      <c r="U25" s="39">
        <f>$J$3+[45]FormattedData!N44*$J$4+$M$4*$J$5+[45]FormattedData!N44^2*$J$6+$M$5*$J$7</f>
        <v>41.890327456890105</v>
      </c>
      <c r="V25" s="39">
        <f>$J$3+[45]FormattedData!O44*$J$4+$M$4*$J$5+[45]FormattedData!O44^2*$J$6+$M$5*$J$7</f>
        <v>43.90445807015908</v>
      </c>
      <c r="W25" s="38">
        <f>AVERAGE(K25:V25)</f>
        <v>42.27839881573874</v>
      </c>
      <c r="X25" s="37">
        <f>STDEV(K25:V25)/SQRT(COUNT(K25:V25))</f>
        <v>0.96580232307383718</v>
      </c>
      <c r="Y25" s="36">
        <f>MIN(K25:V25)</f>
        <v>36.387794686282298</v>
      </c>
      <c r="Z25" s="35">
        <f>QUARTILE(K25:V25,1)</f>
        <v>40.802409416995552</v>
      </c>
      <c r="AA25" s="36">
        <f>MEDIAN(K25:V25)</f>
        <v>42.166165150488851</v>
      </c>
      <c r="AB25" s="35">
        <f>QUARTILE(K25:V25,3)</f>
        <v>44.949014439115174</v>
      </c>
      <c r="AC25" s="35">
        <f>MAX(K25:V25)</f>
        <v>47.156179810999113</v>
      </c>
      <c r="AD25" s="35">
        <f>SKEW(K25:V25)</f>
        <v>-0.42264945553577088</v>
      </c>
      <c r="AE25" s="35">
        <f>KURT(K25:V25)</f>
        <v>-0.70596639345770962</v>
      </c>
    </row>
    <row r="26" spans="2:31" x14ac:dyDescent="0.2">
      <c r="B26" s="34">
        <f>[45]FormattedData!A62</f>
        <v>301</v>
      </c>
      <c r="C26" s="34" t="str">
        <f>VLOOKUP($B26,[45]TrtCodes!$B$11:I105,2)</f>
        <v>NTL</v>
      </c>
      <c r="D26" s="34">
        <f>VLOOKUP($B26,[45]TrtCodes!$B$11:J105,3)</f>
        <v>10</v>
      </c>
      <c r="E26" s="34">
        <f>VLOOKUP($B26,[45]TrtCodes!$B$11:K105,4)</f>
        <v>2</v>
      </c>
      <c r="F26" s="34">
        <f>VLOOKUP($B26,[45]TrtCodes!$B$11:L105,5)</f>
        <v>2</v>
      </c>
      <c r="G26" s="34">
        <f>VLOOKUP($B26,[45]TrtCodes!$B$11:M105,6)</f>
        <v>1</v>
      </c>
      <c r="H26" s="34">
        <f>VLOOKUP($B26,[45]TrtCodes!$B$11:N105,7)</f>
        <v>3</v>
      </c>
      <c r="I26" s="34">
        <f>[45]FormattedData!B62</f>
        <v>1</v>
      </c>
      <c r="J26" s="37">
        <f>[45]FormattedData!C62</f>
        <v>13.321</v>
      </c>
      <c r="K26" s="39">
        <f>$J$3+[45]FormattedData!D62*$J$4+$M$4*$J$5+[45]FormattedData!D62^2*$J$6+$M$5*$J$7</f>
        <v>35.630360579729249</v>
      </c>
      <c r="L26" s="39">
        <f>$J$3+[45]FormattedData!E62*$J$4+$M$4*$J$5+[45]FormattedData!E62^2*$J$6+$M$5*$J$7</f>
        <v>35.8199727175951</v>
      </c>
      <c r="M26" s="39">
        <f>$J$3+[45]FormattedData!F62*$J$4+$M$4*$J$5+[45]FormattedData!F62^2*$J$6+$M$5*$J$7</f>
        <v>35.535491107989429</v>
      </c>
      <c r="N26" s="39">
        <f>$J$3+[45]FormattedData!G62*$J$4+$M$4*$J$5+[45]FormattedData!G62^2*$J$6+$M$5*$J$7</f>
        <v>36.104073910359389</v>
      </c>
      <c r="O26" s="39">
        <f>$J$3+[45]FormattedData!H62*$J$4+$M$4*$J$5+[45]FormattedData!H62^2*$J$6+$M$5*$J$7</f>
        <v>39.297300517995971</v>
      </c>
      <c r="P26" s="39">
        <f>$J$3+[45]FormattedData!I62*$J$4+$M$4*$J$5+[45]FormattedData!I62^2*$J$6+$M$5*$J$7</f>
        <v>36.009415781309215</v>
      </c>
      <c r="Q26" s="39">
        <f>$J$3+[45]FormattedData!J62*$J$4+$M$4*$J$5+[45]FormattedData!J62^2*$J$6+$M$5*$J$7</f>
        <v>38.643865887375874</v>
      </c>
      <c r="R26" s="39">
        <f>$J$3+[45]FormattedData!K62*$J$4+$M$4*$J$5+[45]FormattedData!K62^2*$J$6+$M$5*$J$7</f>
        <v>36.671135045363826</v>
      </c>
      <c r="S26" s="39">
        <f>$J$3+[45]FormattedData!L62*$J$4+$M$4*$J$5+[45]FormattedData!L62^2*$J$6+$M$5*$J$7</f>
        <v>37.988360098397145</v>
      </c>
      <c r="T26" s="39">
        <f>$J$3+[45]FormattedData!M62*$J$4+$M$4*$J$5+[45]FormattedData!M62^2*$J$6+$M$5*$J$7</f>
        <v>37.706795017908725</v>
      </c>
      <c r="U26" s="39">
        <f>$J$3+[45]FormattedData!N62*$J$4+$M$4*$J$5+[45]FormattedData!N62^2*$J$6+$M$5*$J$7</f>
        <v>36.48228374118073</v>
      </c>
      <c r="V26" s="39">
        <f>$J$3+[45]FormattedData!O62*$J$4+$M$4*$J$5+[45]FormattedData!O62^2*$J$6+$M$5*$J$7</f>
        <v>36.671135045363826</v>
      </c>
      <c r="W26" s="38">
        <f>AVERAGE(K26:V26)</f>
        <v>36.880015787547372</v>
      </c>
      <c r="X26" s="37">
        <f>STDEV(K26:V26)/SQRT(COUNT(K26:V26))</f>
        <v>0.35850048592217304</v>
      </c>
      <c r="Y26" s="36">
        <f>MIN(K26:V26)</f>
        <v>35.535491107989429</v>
      </c>
      <c r="Z26" s="35">
        <f>QUARTILE(K26:V26,1)</f>
        <v>35.962055015380685</v>
      </c>
      <c r="AA26" s="36">
        <f>MEDIAN(K26:V26)</f>
        <v>36.576709393272282</v>
      </c>
      <c r="AB26" s="35">
        <f>QUARTILE(K26:V26,3)</f>
        <v>37.777186288030833</v>
      </c>
      <c r="AC26" s="35">
        <f>MAX(K26:V26)</f>
        <v>39.297300517995971</v>
      </c>
      <c r="AD26" s="35">
        <f>SKEW(K26:V26)</f>
        <v>0.84055613099418802</v>
      </c>
      <c r="AE26" s="35">
        <f>KURT(K26:V26)</f>
        <v>-0.4735654909153455</v>
      </c>
    </row>
    <row r="27" spans="2:31" x14ac:dyDescent="0.2">
      <c r="B27" s="34">
        <f>[45]FormattedData!A64</f>
        <v>302</v>
      </c>
      <c r="C27" s="34" t="str">
        <f>VLOOKUP($B27,[45]TrtCodes!$B$11:I107,2)</f>
        <v>FTL</v>
      </c>
      <c r="D27" s="34">
        <f>VLOOKUP($B27,[45]TrtCodes!$B$11:J107,3)</f>
        <v>4</v>
      </c>
      <c r="E27" s="34">
        <f>VLOOKUP($B27,[45]TrtCodes!$B$11:K107,4)</f>
        <v>1</v>
      </c>
      <c r="F27" s="34">
        <f>VLOOKUP($B27,[45]TrtCodes!$B$11:L107,5)</f>
        <v>2</v>
      </c>
      <c r="G27" s="34">
        <f>VLOOKUP($B27,[45]TrtCodes!$B$11:M107,6)</f>
        <v>1</v>
      </c>
      <c r="H27" s="34">
        <f>VLOOKUP($B27,[45]TrtCodes!$B$11:N107,7)</f>
        <v>3</v>
      </c>
      <c r="I27" s="34">
        <f>[45]FormattedData!B64</f>
        <v>1</v>
      </c>
      <c r="J27" s="37">
        <f>[45]FormattedData!C64</f>
        <v>13.327999999999999</v>
      </c>
      <c r="K27" s="39">
        <f>$J$3+[45]FormattedData!D64*$J$4+$M$4*$J$5+[45]FormattedData!D64^2*$J$6+$M$5*$J$7</f>
        <v>36.48228374118073</v>
      </c>
      <c r="L27" s="39">
        <f>$J$3+[45]FormattedData!E64*$J$4+$M$4*$J$5+[45]FormattedData!E64^2*$J$6+$M$5*$J$7</f>
        <v>43.631008548953439</v>
      </c>
      <c r="M27" s="39">
        <f>$J$3+[45]FormattedData!F64*$J$4+$M$4*$J$5+[45]FormattedData!F64^2*$J$6+$M$5*$J$7</f>
        <v>38.550349008849849</v>
      </c>
      <c r="N27" s="39">
        <f>$J$3+[45]FormattedData!G64*$J$4+$M$4*$J$5+[45]FormattedData!G64^2*$J$6+$M$5*$J$7</f>
        <v>38.643865887375874</v>
      </c>
      <c r="O27" s="39">
        <f>$J$3+[45]FormattedData!H64*$J$4+$M$4*$J$5+[45]FormattedData!H64^2*$J$6+$M$5*$J$7</f>
        <v>36.954094987603973</v>
      </c>
      <c r="P27" s="39">
        <f>$J$3+[45]FormattedData!I64*$J$4+$M$4*$J$5+[45]FormattedData!I64^2*$J$6+$M$5*$J$7</f>
        <v>37.424849520578931</v>
      </c>
      <c r="Q27" s="39">
        <f>$J$3+[45]FormattedData!J64*$J$4+$M$4*$J$5+[45]FormattedData!J64^2*$J$6+$M$5*$J$7</f>
        <v>37.612855454003395</v>
      </c>
      <c r="R27" s="39">
        <f>$J$3+[45]FormattedData!K64*$J$4+$M$4*$J$5+[45]FormattedData!K64^2*$J$6+$M$5*$J$7</f>
        <v>36.954094987603973</v>
      </c>
      <c r="S27" s="39">
        <f>$J$3+[45]FormattedData!L64*$J$4+$M$4*$J$5+[45]FormattedData!L64^2*$J$6+$M$5*$J$7</f>
        <v>37.894547340105611</v>
      </c>
      <c r="T27" s="39">
        <f>$J$3+[45]FormattedData!M64*$J$4+$M$4*$J$5+[45]FormattedData!M64^2*$J$6+$M$5*$J$7</f>
        <v>37.14252360640775</v>
      </c>
      <c r="U27" s="39">
        <f>$J$3+[45]FormattedData!N64*$J$4+$M$4*$J$5+[45]FormattedData!N64^2*$J$6+$M$5*$J$7</f>
        <v>37.706795017908725</v>
      </c>
      <c r="V27" s="39">
        <f>$J$3+[45]FormattedData!O64*$J$4+$M$4*$J$5+[45]FormattedData!O64^2*$J$6+$M$5*$J$7</f>
        <v>38.924162911726356</v>
      </c>
      <c r="W27" s="38">
        <f>AVERAGE(K27:V27)</f>
        <v>38.160119251024881</v>
      </c>
      <c r="X27" s="37">
        <f>STDEV(K27:V27)/SQRT(COUNT(K27:V27))</f>
        <v>0.54199725329113713</v>
      </c>
      <c r="Y27" s="36">
        <f>MIN(K27:V27)</f>
        <v>36.48228374118073</v>
      </c>
      <c r="Z27" s="35">
        <f>QUARTILE(K27:V27,1)</f>
        <v>37.095416451706804</v>
      </c>
      <c r="AA27" s="36">
        <f>MEDIAN(K27:V27)</f>
        <v>37.659825235956063</v>
      </c>
      <c r="AB27" s="35">
        <f>QUARTILE(K27:V27,3)</f>
        <v>38.573728228481357</v>
      </c>
      <c r="AC27" s="35">
        <f>MAX(K27:V27)</f>
        <v>43.631008548953439</v>
      </c>
      <c r="AD27" s="35">
        <f>SKEW(K27:V27)</f>
        <v>2.5450296253847844</v>
      </c>
      <c r="AE27" s="35">
        <f>KURT(K27:V27)</f>
        <v>7.5049507055776239</v>
      </c>
    </row>
    <row r="28" spans="2:31" x14ac:dyDescent="0.2">
      <c r="B28" s="34">
        <f>[45]FormattedData!A66</f>
        <v>303</v>
      </c>
      <c r="C28" s="34" t="str">
        <f>VLOOKUP($B28,[45]TrtCodes!$B$11:I109,2)</f>
        <v>NSL</v>
      </c>
      <c r="D28" s="34">
        <f>VLOOKUP($B28,[45]TrtCodes!$B$11:J109,3)</f>
        <v>8</v>
      </c>
      <c r="E28" s="34">
        <f>VLOOKUP($B28,[45]TrtCodes!$B$11:K109,4)</f>
        <v>2</v>
      </c>
      <c r="F28" s="34">
        <f>VLOOKUP($B28,[45]TrtCodes!$B$11:L109,5)</f>
        <v>1</v>
      </c>
      <c r="G28" s="34">
        <f>VLOOKUP($B28,[45]TrtCodes!$B$11:M109,6)</f>
        <v>1</v>
      </c>
      <c r="H28" s="34">
        <f>VLOOKUP($B28,[45]TrtCodes!$B$11:N109,7)</f>
        <v>3</v>
      </c>
      <c r="I28" s="34">
        <f>[45]FormattedData!B66</f>
        <v>1</v>
      </c>
      <c r="J28" s="37">
        <f>[45]FormattedData!C66</f>
        <v>13.333</v>
      </c>
      <c r="K28" s="39">
        <f>$J$3+[45]FormattedData!D66*$J$4+$M$4*$J$5+[45]FormattedData!D66^2*$J$6+$M$5*$J$7</f>
        <v>37.800692313276137</v>
      </c>
      <c r="L28" s="39">
        <f>$J$3+[45]FormattedData!E66*$J$4+$M$4*$J$5+[45]FormattedData!E66^2*$J$6+$M$5*$J$7</f>
        <v>39.576709903049903</v>
      </c>
      <c r="M28" s="39">
        <f>$J$3+[45]FormattedData!F66*$J$4+$M$4*$J$5+[45]FormattedData!F66^2*$J$6+$M$5*$J$7</f>
        <v>37.330783151059805</v>
      </c>
      <c r="N28" s="39">
        <f>$J$3+[45]FormattedData!G66*$J$4+$M$4*$J$5+[45]FormattedData!G66^2*$J$6+$M$5*$J$7</f>
        <v>36.765497294648469</v>
      </c>
      <c r="O28" s="39">
        <f>$J$3+[45]FormattedData!H66*$J$4+$M$4*$J$5+[45]FormattedData!H66^2*$J$6+$M$5*$J$7</f>
        <v>36.387794686282298</v>
      </c>
      <c r="P28" s="39">
        <f>$J$3+[45]FormattedData!I66*$J$4+$M$4*$J$5+[45]FormattedData!I66^2*$J$6+$M$5*$J$7</f>
        <v>37.894547340105611</v>
      </c>
      <c r="Q28" s="39">
        <f>$J$3+[45]FormattedData!J66*$J$4+$M$4*$J$5+[45]FormattedData!J66^2*$J$6+$M$5*$J$7</f>
        <v>36.293263362845927</v>
      </c>
      <c r="R28" s="39">
        <f>$J$3+[45]FormattedData!K66*$J$4+$M$4*$J$5+[45]FormattedData!K66^2*$J$6+$M$5*$J$7</f>
        <v>36.576730527541244</v>
      </c>
      <c r="S28" s="39">
        <f>$J$3+[45]FormattedData!L66*$J$4+$M$4*$J$5+[45]FormattedData!L66^2*$J$6+$M$5*$J$7</f>
        <v>36.387794686282298</v>
      </c>
      <c r="T28" s="39">
        <f>$J$3+[45]FormattedData!M66*$J$4+$M$4*$J$5+[45]FormattedData!M66^2*$J$6+$M$5*$J$7</f>
        <v>37.800692313276137</v>
      </c>
      <c r="U28" s="39">
        <f>$J$3+[45]FormattedData!N66*$J$4+$M$4*$J$5+[45]FormattedData!N66^2*$J$6+$M$5*$J$7</f>
        <v>36.104073910359389</v>
      </c>
      <c r="V28" s="39">
        <f>$J$3+[45]FormattedData!O66*$J$4+$M$4*$J$5+[45]FormattedData!O66^2*$J$6+$M$5*$J$7</f>
        <v>37.330783151059805</v>
      </c>
      <c r="W28" s="38">
        <f>AVERAGE(K28:V28)</f>
        <v>37.187446886648921</v>
      </c>
      <c r="X28" s="37">
        <f>STDEV(K28:V28)/SQRT(COUNT(K28:V28))</f>
        <v>0.28610450095145262</v>
      </c>
      <c r="Y28" s="36">
        <f>MIN(K28:V28)</f>
        <v>36.104073910359389</v>
      </c>
      <c r="Z28" s="35">
        <f>QUARTILE(K28:V28,1)</f>
        <v>36.387794686282298</v>
      </c>
      <c r="AA28" s="36">
        <f>MEDIAN(K28:V28)</f>
        <v>37.048140222854137</v>
      </c>
      <c r="AB28" s="35">
        <f>QUARTILE(K28:V28,3)</f>
        <v>37.800692313276137</v>
      </c>
      <c r="AC28" s="35">
        <f>MAX(K28:V28)</f>
        <v>39.576709903049903</v>
      </c>
      <c r="AD28" s="35">
        <f>SKEW(K28:V28)</f>
        <v>1.2492099836997708</v>
      </c>
      <c r="AE28" s="35">
        <f>KURT(K28:V28)</f>
        <v>1.8667767136944233</v>
      </c>
    </row>
    <row r="29" spans="2:31" x14ac:dyDescent="0.2">
      <c r="B29" s="34">
        <f>[45]FormattedData!A68</f>
        <v>304</v>
      </c>
      <c r="C29" s="34" t="str">
        <f>VLOOKUP($B29,[45]TrtCodes!$B$11:I111,2)</f>
        <v>FSL</v>
      </c>
      <c r="D29" s="34">
        <f>VLOOKUP($B29,[45]TrtCodes!$B$11:J111,3)</f>
        <v>2</v>
      </c>
      <c r="E29" s="34">
        <f>VLOOKUP($B29,[45]TrtCodes!$B$11:K111,4)</f>
        <v>1</v>
      </c>
      <c r="F29" s="34">
        <f>VLOOKUP($B29,[45]TrtCodes!$B$11:L111,5)</f>
        <v>1</v>
      </c>
      <c r="G29" s="34">
        <f>VLOOKUP($B29,[45]TrtCodes!$B$11:M111,6)</f>
        <v>1</v>
      </c>
      <c r="H29" s="34">
        <f>VLOOKUP($B29,[45]TrtCodes!$B$11:N111,7)</f>
        <v>3</v>
      </c>
      <c r="I29" s="34">
        <f>[45]FormattedData!B68</f>
        <v>1</v>
      </c>
      <c r="J29" s="37">
        <f>[45]FormattedData!C68</f>
        <v>13.337999999999999</v>
      </c>
      <c r="K29" s="39">
        <f>$J$3+[45]FormattedData!D68*$J$4+$M$4*$J$5+[45]FormattedData!D68^2*$J$6+$M$5*$J$7</f>
        <v>36.198689770871624</v>
      </c>
      <c r="L29" s="39">
        <f>$J$3+[45]FormattedData!E68*$J$4+$M$4*$J$5+[45]FormattedData!E68^2*$J$6+$M$5*$J$7</f>
        <v>37.23667451300274</v>
      </c>
      <c r="M29" s="39">
        <f>$J$3+[45]FormattedData!F68*$J$4+$M$4*$J$5+[45]FormattedData!F68^2*$J$6+$M$5*$J$7</f>
        <v>38.550349008849849</v>
      </c>
      <c r="N29" s="39">
        <f>$J$3+[45]FormattedData!G68*$J$4+$M$4*$J$5+[45]FormattedData!G68^2*$J$6+$M$5*$J$7</f>
        <v>38.924162911726356</v>
      </c>
      <c r="O29" s="39">
        <f>$J$3+[45]FormattedData!H68*$J$4+$M$4*$J$5+[45]FormattedData!H68^2*$J$6+$M$5*$J$7</f>
        <v>41.7062102289553</v>
      </c>
      <c r="P29" s="39">
        <f>$J$3+[45]FormattedData!I68*$J$4+$M$4*$J$5+[45]FormattedData!I68^2*$J$6+$M$5*$J$7</f>
        <v>39.017510716100659</v>
      </c>
      <c r="Q29" s="39">
        <f>$J$3+[45]FormattedData!J68*$J$4+$M$4*$J$5+[45]FormattedData!J68^2*$J$6+$M$5*$J$7</f>
        <v>39.948663990257444</v>
      </c>
      <c r="R29" s="39">
        <f>$J$3+[45]FormattedData!K68*$J$4+$M$4*$J$5+[45]FormattedData!K68^2*$J$6+$M$5*$J$7</f>
        <v>39.76277148372953</v>
      </c>
      <c r="S29" s="39">
        <f>$J$3+[45]FormattedData!L68*$J$4+$M$4*$J$5+[45]FormattedData!L68^2*$J$6+$M$5*$J$7</f>
        <v>37.048330431274827</v>
      </c>
      <c r="T29" s="39">
        <f>$J$3+[45]FormattedData!M68*$J$4+$M$4*$J$5+[45]FormattedData!M68^2*$J$6+$M$5*$J$7</f>
        <v>41.337468550630525</v>
      </c>
      <c r="U29" s="39">
        <f>$J$3+[45]FormattedData!N68*$J$4+$M$4*$J$5+[45]FormattedData!N68^2*$J$6+$M$5*$J$7</f>
        <v>37.424849520578931</v>
      </c>
      <c r="V29" s="39">
        <f>$J$3+[45]FormattedData!O68*$J$4+$M$4*$J$5+[45]FormattedData!O68^2*$J$6+$M$5*$J$7</f>
        <v>42.625105627112056</v>
      </c>
      <c r="W29" s="38">
        <f>AVERAGE(K29:V29)</f>
        <v>39.148398896090825</v>
      </c>
      <c r="X29" s="37">
        <f>STDEV(K29:V29)/SQRT(COUNT(K29:V29))</f>
        <v>0.58128158802977603</v>
      </c>
      <c r="Y29" s="36">
        <f>MIN(K29:V29)</f>
        <v>36.198689770871624</v>
      </c>
      <c r="Z29" s="35">
        <f>QUARTILE(K29:V29,1)</f>
        <v>37.37780576868488</v>
      </c>
      <c r="AA29" s="36">
        <f>MEDIAN(K29:V29)</f>
        <v>38.970836813913508</v>
      </c>
      <c r="AB29" s="35">
        <f>QUARTILE(K29:V29,3)</f>
        <v>40.295865130350712</v>
      </c>
      <c r="AC29" s="35">
        <f>MAX(K29:V29)</f>
        <v>42.625105627112056</v>
      </c>
      <c r="AD29" s="35">
        <f>SKEW(K29:V29)</f>
        <v>0.30374131661493181</v>
      </c>
      <c r="AE29" s="35">
        <f>KURT(K29:V29)</f>
        <v>-0.8713934570073647</v>
      </c>
    </row>
    <row r="30" spans="2:31" x14ac:dyDescent="0.2">
      <c r="B30" s="34">
        <f>[45]FormattedData!A70</f>
        <v>305</v>
      </c>
      <c r="C30" s="34" t="str">
        <f>VLOOKUP($B30,[45]TrtCodes!$B$11:I113,2)</f>
        <v>NDH</v>
      </c>
      <c r="D30" s="34">
        <f>VLOOKUP($B30,[45]TrtCodes!$B$11:J113,3)</f>
        <v>11</v>
      </c>
      <c r="E30" s="34">
        <f>VLOOKUP($B30,[45]TrtCodes!$B$11:K113,4)</f>
        <v>2</v>
      </c>
      <c r="F30" s="34">
        <f>VLOOKUP($B30,[45]TrtCodes!$B$11:L113,5)</f>
        <v>3</v>
      </c>
      <c r="G30" s="34">
        <f>VLOOKUP($B30,[45]TrtCodes!$B$11:M113,6)</f>
        <v>2</v>
      </c>
      <c r="H30" s="34">
        <f>VLOOKUP($B30,[45]TrtCodes!$B$11:N113,7)</f>
        <v>4</v>
      </c>
      <c r="I30" s="34">
        <f>[45]FormattedData!B70</f>
        <v>1</v>
      </c>
      <c r="J30" s="37">
        <f>[45]FormattedData!C70</f>
        <v>13.343</v>
      </c>
      <c r="K30" s="39">
        <f>$J$3+[45]FormattedData!D70*$J$4+$M$4*$J$5+[45]FormattedData!D70^2*$J$6+$M$5*$J$7</f>
        <v>53.408740647435522</v>
      </c>
      <c r="L30" s="39">
        <f>$J$3+[45]FormattedData!E70*$J$4+$M$4*$J$5+[45]FormattedData!E70^2*$J$6+$M$5*$J$7</f>
        <v>53.754657315277477</v>
      </c>
      <c r="M30" s="39">
        <f>$J$3+[45]FormattedData!F70*$J$4+$M$4*$J$5+[45]FormattedData!F70^2*$J$6+$M$5*$J$7</f>
        <v>53.581783518432367</v>
      </c>
      <c r="N30" s="39">
        <f>$J$3+[45]FormattedData!G70*$J$4+$M$4*$J$5+[45]FormattedData!G70^2*$J$6+$M$5*$J$7</f>
        <v>54.530497108452913</v>
      </c>
      <c r="O30" s="39">
        <f>$J$3+[45]FormattedData!H70*$J$4+$M$4*$J$5+[45]FormattedData!H70^2*$J$6+$M$5*$J$7</f>
        <v>52.366932864268257</v>
      </c>
      <c r="P30" s="39">
        <f>$J$3+[45]FormattedData!I70*$J$4+$M$4*$J$5+[45]FormattedData!I70^2*$J$6+$M$5*$J$7</f>
        <v>54.35838414529055</v>
      </c>
      <c r="Q30" s="39">
        <f>$J$3+[45]FormattedData!J70*$J$4+$M$4*$J$5+[45]FormattedData!J70^2*$J$6+$M$5*$J$7</f>
        <v>54.35838414529055</v>
      </c>
      <c r="R30" s="39">
        <f>$J$3+[45]FormattedData!K70*$J$4+$M$4*$J$5+[45]FormattedData!K70^2*$J$6+$M$5*$J$7</f>
        <v>55.045821553029626</v>
      </c>
      <c r="S30" s="39">
        <f>$J$3+[45]FormattedData!L70*$J$4+$M$4*$J$5+[45]FormattedData!L70^2*$J$6+$M$5*$J$7</f>
        <v>53.754657315277477</v>
      </c>
      <c r="T30" s="39">
        <f>$J$3+[45]FormattedData!M70*$J$4+$M$4*$J$5+[45]FormattedData!M70^2*$J$6+$M$5*$J$7</f>
        <v>53.235528702286949</v>
      </c>
      <c r="U30" s="39">
        <f>$J$3+[45]FormattedData!N70*$J$4+$M$4*$J$5+[45]FormattedData!N70^2*$J$6+$M$5*$J$7</f>
        <v>52.279840803507774</v>
      </c>
      <c r="V30" s="39">
        <f>$J$3+[45]FormattedData!O70*$J$4+$M$4*$J$5+[45]FormattedData!O70^2*$J$6+$M$5*$J$7</f>
        <v>53.235528702286949</v>
      </c>
      <c r="W30" s="38">
        <f>AVERAGE(K30:V30)</f>
        <v>53.659229735069694</v>
      </c>
      <c r="X30" s="37">
        <f>STDEV(K30:V30)/SQRT(COUNT(K30:V30))</f>
        <v>0.24117960092333207</v>
      </c>
      <c r="Y30" s="36">
        <f>MIN(K30:V30)</f>
        <v>52.279840803507774</v>
      </c>
      <c r="Z30" s="35">
        <f>QUARTILE(K30:V30,1)</f>
        <v>53.235528702286949</v>
      </c>
      <c r="AA30" s="36">
        <f>MEDIAN(K30:V30)</f>
        <v>53.668220416854922</v>
      </c>
      <c r="AB30" s="35">
        <f>QUARTILE(K30:V30,3)</f>
        <v>54.35838414529055</v>
      </c>
      <c r="AC30" s="35">
        <f>MAX(K30:V30)</f>
        <v>55.045821553029626</v>
      </c>
      <c r="AD30" s="35">
        <f>SKEW(K30:V30)</f>
        <v>-0.17556431812826859</v>
      </c>
      <c r="AE30" s="35">
        <f>KURT(K30:V30)</f>
        <v>-0.40180506948637351</v>
      </c>
    </row>
    <row r="31" spans="2:31" x14ac:dyDescent="0.2">
      <c r="B31" s="34">
        <f>[45]FormattedData!A72</f>
        <v>306</v>
      </c>
      <c r="C31" s="34" t="str">
        <f>VLOOKUP($B31,[45]TrtCodes!$B$11:I115,2)</f>
        <v>FTL</v>
      </c>
      <c r="D31" s="34">
        <f>VLOOKUP($B31,[45]TrtCodes!$B$11:J115,3)</f>
        <v>4</v>
      </c>
      <c r="E31" s="34">
        <f>VLOOKUP($B31,[45]TrtCodes!$B$11:K115,4)</f>
        <v>1</v>
      </c>
      <c r="F31" s="34">
        <f>VLOOKUP($B31,[45]TrtCodes!$B$11:L115,5)</f>
        <v>2</v>
      </c>
      <c r="G31" s="34">
        <f>VLOOKUP($B31,[45]TrtCodes!$B$11:M115,6)</f>
        <v>1</v>
      </c>
      <c r="H31" s="34">
        <f>VLOOKUP($B31,[45]TrtCodes!$B$11:N115,7)</f>
        <v>4</v>
      </c>
      <c r="I31" s="34">
        <f>[45]FormattedData!B72</f>
        <v>1</v>
      </c>
      <c r="J31" s="37">
        <f>[45]FormattedData!C72</f>
        <v>13.349</v>
      </c>
      <c r="K31" s="39">
        <f>$J$3+[45]FormattedData!D72*$J$4+$M$4*$J$5+[45]FormattedData!D72^2*$J$6+$M$5*$J$7</f>
        <v>36.387794686282298</v>
      </c>
      <c r="L31" s="39">
        <f>$J$3+[45]FormattedData!E72*$J$4+$M$4*$J$5+[45]FormattedData!E72^2*$J$6+$M$5*$J$7</f>
        <v>37.612855454003395</v>
      </c>
      <c r="M31" s="39">
        <f>$J$3+[45]FormattedData!F72*$J$4+$M$4*$J$5+[45]FormattedData!F72^2*$J$6+$M$5*$J$7</f>
        <v>38.737340497363967</v>
      </c>
      <c r="N31" s="39">
        <f>$J$3+[45]FormattedData!G72*$J$4+$M$4*$J$5+[45]FormattedData!G72^2*$J$6+$M$5*$J$7</f>
        <v>39.390479248218547</v>
      </c>
      <c r="O31" s="39">
        <f>$J$3+[45]FormattedData!H72*$J$4+$M$4*$J$5+[45]FormattedData!H72^2*$J$6+$M$5*$J$7</f>
        <v>40.13438742263363</v>
      </c>
      <c r="P31" s="39">
        <f>$J$3+[45]FormattedData!I72*$J$4+$M$4*$J$5+[45]FormattedData!I72^2*$J$6+$M$5*$J$7</f>
        <v>39.76277148372953</v>
      </c>
      <c r="Q31" s="39">
        <f>$J$3+[45]FormattedData!J72*$J$4+$M$4*$J$5+[45]FormattedData!J72^2*$J$6+$M$5*$J$7</f>
        <v>38.550349008849849</v>
      </c>
      <c r="R31" s="39">
        <f>$J$3+[45]FormattedData!K72*$J$4+$M$4*$J$5+[45]FormattedData!K72^2*$J$6+$M$5*$J$7</f>
        <v>37.424849520578931</v>
      </c>
      <c r="S31" s="39">
        <f>$J$3+[45]FormattedData!L72*$J$4+$M$4*$J$5+[45]FormattedData!L72^2*$J$6+$M$5*$J$7</f>
        <v>39.110816251937031</v>
      </c>
      <c r="T31" s="39">
        <f>$J$3+[45]FormattedData!M72*$J$4+$M$4*$J$5+[45]FormattedData!M72^2*$J$6+$M$5*$J$7</f>
        <v>37.518873621560125</v>
      </c>
      <c r="U31" s="39">
        <f>$J$3+[45]FormattedData!N72*$J$4+$M$4*$J$5+[45]FormattedData!N72^2*$J$6+$M$5*$J$7</f>
        <v>37.894547340105611</v>
      </c>
      <c r="V31" s="39">
        <f>$J$3+[45]FormattedData!O72*$J$4+$M$4*$J$5+[45]FormattedData!O72^2*$J$6+$M$5*$J$7</f>
        <v>37.048330431274827</v>
      </c>
      <c r="W31" s="38">
        <f>AVERAGE(K31:V31)</f>
        <v>38.297782913878144</v>
      </c>
      <c r="X31" s="37">
        <f>STDEV(K31:V31)/SQRT(COUNT(K31:V31))</f>
        <v>0.33530786514673172</v>
      </c>
      <c r="Y31" s="36">
        <f>MIN(K31:V31)</f>
        <v>36.387794686282298</v>
      </c>
      <c r="Z31" s="35">
        <f>QUARTILE(K31:V31,1)</f>
        <v>37.495367596314829</v>
      </c>
      <c r="AA31" s="36">
        <f>MEDIAN(K31:V31)</f>
        <v>38.222448174477734</v>
      </c>
      <c r="AB31" s="35">
        <f>QUARTILE(K31:V31,3)</f>
        <v>39.180732001007414</v>
      </c>
      <c r="AC31" s="35">
        <f>MAX(K31:V31)</f>
        <v>40.13438742263363</v>
      </c>
      <c r="AD31" s="35">
        <f>SKEW(K31:V31)</f>
        <v>5.8434382006218887E-2</v>
      </c>
      <c r="AE31" s="35">
        <f>KURT(K31:V31)</f>
        <v>-1.018319756687037</v>
      </c>
    </row>
    <row r="32" spans="2:31" x14ac:dyDescent="0.2">
      <c r="B32" s="34">
        <f>[45]FormattedData!A74</f>
        <v>307</v>
      </c>
      <c r="C32" s="34" t="str">
        <f>VLOOKUP($B32,[45]TrtCodes!$B$11:I117,2)</f>
        <v>NTH</v>
      </c>
      <c r="D32" s="34">
        <f>VLOOKUP($B32,[45]TrtCodes!$B$11:J117,3)</f>
        <v>9</v>
      </c>
      <c r="E32" s="34">
        <f>VLOOKUP($B32,[45]TrtCodes!$B$11:K117,4)</f>
        <v>2</v>
      </c>
      <c r="F32" s="34">
        <f>VLOOKUP($B32,[45]TrtCodes!$B$11:L117,5)</f>
        <v>2</v>
      </c>
      <c r="G32" s="34">
        <f>VLOOKUP($B32,[45]TrtCodes!$B$11:M117,6)</f>
        <v>2</v>
      </c>
      <c r="H32" s="34">
        <f>VLOOKUP($B32,[45]TrtCodes!$B$11:N117,7)</f>
        <v>4</v>
      </c>
      <c r="I32" s="34">
        <f>[45]FormattedData!B74</f>
        <v>1</v>
      </c>
      <c r="J32" s="37">
        <f>[45]FormattedData!C74</f>
        <v>13.355</v>
      </c>
      <c r="K32" s="39">
        <f>$J$3+[45]FormattedData!D74*$J$4+$M$4*$J$5+[45]FormattedData!D74^2*$J$6+$M$5*$J$7</f>
        <v>36.48228374118073</v>
      </c>
      <c r="L32" s="39">
        <f>$J$3+[45]FormattedData!E74*$J$4+$M$4*$J$5+[45]FormattedData!E74^2*$J$6+$M$5*$J$7</f>
        <v>41.614088212181002</v>
      </c>
      <c r="M32" s="39">
        <f>$J$3+[45]FormattedData!F74*$J$4+$M$4*$J$5+[45]FormattedData!F74^2*$J$6+$M$5*$J$7</f>
        <v>37.14252360640775</v>
      </c>
      <c r="N32" s="39">
        <f>$J$3+[45]FormattedData!G74*$J$4+$M$4*$J$5+[45]FormattedData!G74^2*$J$6+$M$5*$J$7</f>
        <v>39.017510716100659</v>
      </c>
      <c r="O32" s="39">
        <f>$J$3+[45]FormattedData!H74*$J$4+$M$4*$J$5+[45]FormattedData!H74^2*$J$6+$M$5*$J$7</f>
        <v>37.894547340105611</v>
      </c>
      <c r="P32" s="39">
        <f>$J$3+[45]FormattedData!I74*$J$4+$M$4*$J$5+[45]FormattedData!I74^2*$J$6+$M$5*$J$7</f>
        <v>39.204079519235464</v>
      </c>
      <c r="Q32" s="39">
        <f>$J$3+[45]FormattedData!J74*$J$4+$M$4*$J$5+[45]FormattedData!J74^2*$J$6+$M$5*$J$7</f>
        <v>40.597956304160292</v>
      </c>
      <c r="R32" s="39">
        <f>$J$3+[45]FormattedData!K74*$J$4+$M$4*$J$5+[45]FormattedData!K74^2*$J$6+$M$5*$J$7</f>
        <v>40.783087977005437</v>
      </c>
      <c r="S32" s="39">
        <f>$J$3+[45]FormattedData!L74*$J$4+$M$4*$J$5+[45]FormattedData!L74^2*$J$6+$M$5*$J$7</f>
        <v>39.297300517995971</v>
      </c>
      <c r="T32" s="39">
        <f>$J$3+[45]FormattedData!M74*$J$4+$M$4*$J$5+[45]FormattedData!M74^2*$J$6+$M$5*$J$7</f>
        <v>37.988360098397145</v>
      </c>
      <c r="U32" s="39">
        <f>$J$3+[45]FormattedData!N74*$J$4+$M$4*$J$5+[45]FormattedData!N74^2*$J$6+$M$5*$J$7</f>
        <v>36.387794686282298</v>
      </c>
      <c r="V32" s="39">
        <f>$J$3+[45]FormattedData!O74*$J$4+$M$4*$J$5+[45]FormattedData!O74^2*$J$6+$M$5*$J$7</f>
        <v>36.576730527541244</v>
      </c>
      <c r="W32" s="38">
        <f>AVERAGE(K32:V32)</f>
        <v>38.582188603882798</v>
      </c>
      <c r="X32" s="37">
        <f>STDEV(K32:V32)/SQRT(COUNT(K32:V32))</f>
        <v>0.51736714521466631</v>
      </c>
      <c r="Y32" s="36">
        <f>MIN(K32:V32)</f>
        <v>36.387794686282298</v>
      </c>
      <c r="Z32" s="35">
        <f>QUARTILE(K32:V32,1)</f>
        <v>37.001075336691123</v>
      </c>
      <c r="AA32" s="36">
        <f>MEDIAN(K32:V32)</f>
        <v>38.502935407248899</v>
      </c>
      <c r="AB32" s="35">
        <f>QUARTILE(K32:V32,3)</f>
        <v>39.622464464537053</v>
      </c>
      <c r="AC32" s="35">
        <f>MAX(K32:V32)</f>
        <v>41.614088212181002</v>
      </c>
      <c r="AD32" s="35">
        <f>SKEW(K32:V32)</f>
        <v>0.30321297836843958</v>
      </c>
      <c r="AE32" s="35">
        <f>KURT(K32:V32)</f>
        <v>-1.1562583175543444</v>
      </c>
    </row>
    <row r="33" spans="2:31" x14ac:dyDescent="0.2">
      <c r="B33" s="34">
        <f>[45]FormattedData!A76</f>
        <v>308</v>
      </c>
      <c r="C33" s="34" t="str">
        <f>VLOOKUP($B33,[45]TrtCodes!$B$11:I119,2)</f>
        <v>FDH</v>
      </c>
      <c r="D33" s="34">
        <f>VLOOKUP($B33,[45]TrtCodes!$B$11:J119,3)</f>
        <v>5</v>
      </c>
      <c r="E33" s="34">
        <f>VLOOKUP($B33,[45]TrtCodes!$B$11:K119,4)</f>
        <v>1</v>
      </c>
      <c r="F33" s="34">
        <f>VLOOKUP($B33,[45]TrtCodes!$B$11:L119,5)</f>
        <v>3</v>
      </c>
      <c r="G33" s="34">
        <f>VLOOKUP($B33,[45]TrtCodes!$B$11:M119,6)</f>
        <v>2</v>
      </c>
      <c r="H33" s="34">
        <f>VLOOKUP($B33,[45]TrtCodes!$B$11:N119,7)</f>
        <v>4</v>
      </c>
      <c r="I33" s="34">
        <f>[45]FormattedData!B76</f>
        <v>1</v>
      </c>
      <c r="J33" s="37">
        <f>[45]FormattedData!C76</f>
        <v>13.36</v>
      </c>
      <c r="K33" s="39">
        <f>$J$3+[45]FormattedData!D76*$J$4+$M$4*$J$5+[45]FormattedData!D76^2*$J$6+$M$5*$J$7</f>
        <v>38.082130588150761</v>
      </c>
      <c r="L33" s="39">
        <f>$J$3+[45]FormattedData!E76*$J$4+$M$4*$J$5+[45]FormattedData!E76^2*$J$6+$M$5*$J$7</f>
        <v>37.518873621560125</v>
      </c>
      <c r="M33" s="39">
        <f>$J$3+[45]FormattedData!F76*$J$4+$M$4*$J$5+[45]FormattedData!F76^2*$J$6+$M$5*$J$7</f>
        <v>39.483615709903191</v>
      </c>
      <c r="N33" s="39">
        <f>$J$3+[45]FormattedData!G76*$J$4+$M$4*$J$5+[45]FormattedData!G76^2*$J$6+$M$5*$J$7</f>
        <v>37.14252360640775</v>
      </c>
      <c r="O33" s="39">
        <f>$J$3+[45]FormattedData!H76*$J$4+$M$4*$J$5+[45]FormattedData!H76^2*$J$6+$M$5*$J$7</f>
        <v>40.227185736014818</v>
      </c>
      <c r="P33" s="39">
        <f>$J$3+[45]FormattedData!I76*$J$4+$M$4*$J$5+[45]FormattedData!I76^2*$J$6+$M$5*$J$7</f>
        <v>37.612855454003395</v>
      </c>
      <c r="Q33" s="39">
        <f>$J$3+[45]FormattedData!J76*$J$4+$M$4*$J$5+[45]FormattedData!J76^2*$J$6+$M$5*$J$7</f>
        <v>44.72252413272772</v>
      </c>
      <c r="R33" s="39">
        <f>$J$3+[45]FormattedData!K76*$J$4+$M$4*$J$5+[45]FormattedData!K76^2*$J$6+$M$5*$J$7</f>
        <v>38.082130588150761</v>
      </c>
      <c r="S33" s="39">
        <f>$J$3+[45]FormattedData!L76*$J$4+$M$4*$J$5+[45]FormattedData!L76^2*$J$6+$M$5*$J$7</f>
        <v>45.53716644372394</v>
      </c>
      <c r="T33" s="39">
        <f>$J$3+[45]FormattedData!M76*$J$4+$M$4*$J$5+[45]FormattedData!M76^2*$J$6+$M$5*$J$7</f>
        <v>37.706795017908725</v>
      </c>
      <c r="U33" s="39">
        <f>$J$3+[45]FormattedData!N76*$J$4+$M$4*$J$5+[45]FormattedData!N76^2*$J$6+$M$5*$J$7</f>
        <v>40.13438742263363</v>
      </c>
      <c r="V33" s="39">
        <f>$J$3+[45]FormattedData!O76*$J$4+$M$4*$J$5+[45]FormattedData!O76^2*$J$6+$M$5*$J$7</f>
        <v>36.859817275395194</v>
      </c>
      <c r="W33" s="38">
        <f>AVERAGE(K33:V33)</f>
        <v>39.425833799715001</v>
      </c>
      <c r="X33" s="37">
        <f>STDEV(K33:V33)/SQRT(COUNT(K33:V33))</f>
        <v>0.83411344652520292</v>
      </c>
      <c r="Y33" s="36">
        <f>MIN(K33:V33)</f>
        <v>36.859817275395194</v>
      </c>
      <c r="Z33" s="35">
        <f>QUARTILE(K33:V33,1)</f>
        <v>37.589359995892579</v>
      </c>
      <c r="AA33" s="36">
        <f>MEDIAN(K33:V33)</f>
        <v>38.082130588150761</v>
      </c>
      <c r="AB33" s="35">
        <f>QUARTILE(K33:V33,3)</f>
        <v>40.157587000978928</v>
      </c>
      <c r="AC33" s="35">
        <f>MAX(K33:V33)</f>
        <v>45.53716644372394</v>
      </c>
      <c r="AD33" s="35">
        <f>SKEW(K33:V33)</f>
        <v>1.4746223961368707</v>
      </c>
      <c r="AE33" s="35">
        <f>KURT(K33:V33)</f>
        <v>1.149036703520987</v>
      </c>
    </row>
    <row r="34" spans="2:31" x14ac:dyDescent="0.2">
      <c r="B34" s="34">
        <f>[45]FormattedData!A92</f>
        <v>401</v>
      </c>
      <c r="C34" s="34" t="str">
        <f>VLOOKUP($B34,[45]TrtCodes!$B$11:I129,2)</f>
        <v>NSH</v>
      </c>
      <c r="D34" s="34">
        <f>VLOOKUP($B34,[45]TrtCodes!$B$11:J129,3)</f>
        <v>7</v>
      </c>
      <c r="E34" s="34">
        <f>VLOOKUP($B34,[45]TrtCodes!$B$11:K129,4)</f>
        <v>2</v>
      </c>
      <c r="F34" s="34">
        <f>VLOOKUP($B34,[45]TrtCodes!$B$11:L129,5)</f>
        <v>1</v>
      </c>
      <c r="G34" s="34">
        <f>VLOOKUP($B34,[45]TrtCodes!$B$11:M129,6)</f>
        <v>2</v>
      </c>
      <c r="H34" s="34">
        <f>VLOOKUP($B34,[45]TrtCodes!$B$11:N129,7)</f>
        <v>3</v>
      </c>
      <c r="I34" s="34">
        <f>[45]FormattedData!B92</f>
        <v>1</v>
      </c>
      <c r="J34" s="37">
        <f>[45]FormattedData!C92</f>
        <v>13.435</v>
      </c>
      <c r="K34" s="39">
        <f>$J$3+[45]FormattedData!D92*$J$4+$M$4*$J$5+[45]FormattedData!D92^2*$J$6+$M$5*$J$7</f>
        <v>35.8199727175951</v>
      </c>
      <c r="L34" s="39">
        <f>$J$3+[45]FormattedData!E92*$J$4+$M$4*$J$5+[45]FormattedData!E92^2*$J$6+$M$5*$J$7</f>
        <v>35.725187782931144</v>
      </c>
      <c r="M34" s="39">
        <f>$J$3+[45]FormattedData!F92*$J$4+$M$4*$J$5+[45]FormattedData!F92^2*$J$6+$M$5*$J$7</f>
        <v>35.630360579729249</v>
      </c>
      <c r="N34" s="39">
        <f>$J$3+[45]FormattedData!G92*$J$4+$M$4*$J$5+[45]FormattedData!G92^2*$J$6+$M$5*$J$7</f>
        <v>35.630360579729249</v>
      </c>
      <c r="O34" s="39">
        <f>$J$3+[45]FormattedData!H92*$J$4+$M$4*$J$5+[45]FormattedData!H92^2*$J$6+$M$5*$J$7</f>
        <v>35.725187782931144</v>
      </c>
      <c r="P34" s="39">
        <f>$J$3+[45]FormattedData!I92*$J$4+$M$4*$J$5+[45]FormattedData!I92^2*$J$6+$M$5*$J$7</f>
        <v>35.630360579729249</v>
      </c>
      <c r="Q34" s="39">
        <f>$J$3+[45]FormattedData!J92*$J$4+$M$4*$J$5+[45]FormattedData!J92^2*$J$6+$M$5*$J$7</f>
        <v>36.387794686282298</v>
      </c>
      <c r="R34" s="39">
        <f>$J$3+[45]FormattedData!K92*$J$4+$M$4*$J$5+[45]FormattedData!K92^2*$J$6+$M$5*$J$7</f>
        <v>37.14252360640775</v>
      </c>
      <c r="S34" s="39">
        <f>$J$3+[45]FormattedData!L92*$J$4+$M$4*$J$5+[45]FormattedData!L92^2*$J$6+$M$5*$J$7</f>
        <v>36.009415781309215</v>
      </c>
      <c r="T34" s="39">
        <f>$J$3+[45]FormattedData!M92*$J$4+$M$4*$J$5+[45]FormattedData!M92^2*$J$6+$M$5*$J$7</f>
        <v>36.104073910359389</v>
      </c>
      <c r="U34" s="39">
        <f>$J$3+[45]FormattedData!N92*$J$4+$M$4*$J$5+[45]FormattedData!N92^2*$J$6+$M$5*$J$7</f>
        <v>36.198689770871624</v>
      </c>
      <c r="V34" s="39">
        <f>$J$3+[45]FormattedData!O92*$J$4+$M$4*$J$5+[45]FormattedData!O92^2*$J$6+$M$5*$J$7</f>
        <v>35.630360579729249</v>
      </c>
      <c r="W34" s="38">
        <f>AVERAGE(K34:V34)</f>
        <v>35.96952402980039</v>
      </c>
      <c r="X34" s="37">
        <f>STDEV(K34:V34)/SQRT(COUNT(K34:V34))</f>
        <v>0.12983041646992999</v>
      </c>
      <c r="Y34" s="36">
        <f>MIN(K34:V34)</f>
        <v>35.630360579729249</v>
      </c>
      <c r="Z34" s="35">
        <f>QUARTILE(K34:V34,1)</f>
        <v>35.630360579729249</v>
      </c>
      <c r="AA34" s="36">
        <f>MEDIAN(K34:V34)</f>
        <v>35.772580250263118</v>
      </c>
      <c r="AB34" s="35">
        <f>QUARTILE(K34:V34,3)</f>
        <v>36.127727875487452</v>
      </c>
      <c r="AC34" s="35">
        <f>MAX(K34:V34)</f>
        <v>37.14252360640775</v>
      </c>
      <c r="AD34" s="35">
        <f>SKEW(K34:V34)</f>
        <v>1.8144879663657094</v>
      </c>
      <c r="AE34" s="35">
        <f>KURT(K34:V34)</f>
        <v>3.6211043540219112</v>
      </c>
    </row>
    <row r="35" spans="2:31" x14ac:dyDescent="0.2">
      <c r="B35" s="34">
        <f>[45]FormattedData!A90</f>
        <v>402</v>
      </c>
      <c r="C35" s="34" t="str">
        <f>VLOOKUP($B35,[45]TrtCodes!$B$11:I130,2)</f>
        <v>NTH</v>
      </c>
      <c r="D35" s="34">
        <f>VLOOKUP($B35,[45]TrtCodes!$B$11:J130,3)</f>
        <v>9</v>
      </c>
      <c r="E35" s="34">
        <f>VLOOKUP($B35,[45]TrtCodes!$B$11:K130,4)</f>
        <v>2</v>
      </c>
      <c r="F35" s="34">
        <f>VLOOKUP($B35,[45]TrtCodes!$B$11:L130,5)</f>
        <v>2</v>
      </c>
      <c r="G35" s="34">
        <f>VLOOKUP($B35,[45]TrtCodes!$B$11:M130,6)</f>
        <v>2</v>
      </c>
      <c r="H35" s="34">
        <f>VLOOKUP($B35,[45]TrtCodes!$B$11:N130,7)</f>
        <v>3</v>
      </c>
      <c r="I35" s="34">
        <f>[45]FormattedData!B90</f>
        <v>1</v>
      </c>
      <c r="J35" s="37">
        <f>[45]FormattedData!C90</f>
        <v>13.426</v>
      </c>
      <c r="K35" s="39">
        <f>$J$3+[45]FormattedData!D90*$J$4+$M$4*$J$5+[45]FormattedData!D90^2*$J$6+$M$5*$J$7</f>
        <v>36.859817275395194</v>
      </c>
      <c r="L35" s="39">
        <f>$J$3+[45]FormattedData!E90*$J$4+$M$4*$J$5+[45]FormattedData!E90^2*$J$6+$M$5*$J$7</f>
        <v>40.690543274851827</v>
      </c>
      <c r="M35" s="39">
        <f>$J$3+[45]FormattedData!F90*$J$4+$M$4*$J$5+[45]FormattedData!F90^2*$J$6+$M$5*$J$7</f>
        <v>37.706795017908725</v>
      </c>
      <c r="N35" s="39">
        <f>$J$3+[45]FormattedData!G90*$J$4+$M$4*$J$5+[45]FormattedData!G90^2*$J$6+$M$5*$J$7</f>
        <v>37.612855454003395</v>
      </c>
      <c r="O35" s="39">
        <f>$J$3+[45]FormattedData!H90*$J$4+$M$4*$J$5+[45]FormattedData!H90^2*$J$6+$M$5*$J$7</f>
        <v>37.612855454003395</v>
      </c>
      <c r="P35" s="39">
        <f>$J$3+[45]FormattedData!I90*$J$4+$M$4*$J$5+[45]FormattedData!I90^2*$J$6+$M$5*$J$7</f>
        <v>37.048330431274827</v>
      </c>
      <c r="Q35" s="39">
        <f>$J$3+[45]FormattedData!J90*$J$4+$M$4*$J$5+[45]FormattedData!J90^2*$J$6+$M$5*$J$7</f>
        <v>37.424849520578931</v>
      </c>
      <c r="R35" s="39">
        <f>$J$3+[45]FormattedData!K90*$J$4+$M$4*$J$5+[45]FormattedData!K90^2*$J$6+$M$5*$J$7</f>
        <v>36.576730527541244</v>
      </c>
      <c r="S35" s="39">
        <f>$J$3+[45]FormattedData!L90*$J$4+$M$4*$J$5+[45]FormattedData!L90^2*$J$6+$M$5*$J$7</f>
        <v>36.671135045363826</v>
      </c>
      <c r="T35" s="39">
        <f>$J$3+[45]FormattedData!M90*$J$4+$M$4*$J$5+[45]FormattedData!M90^2*$J$6+$M$5*$J$7</f>
        <v>37.14252360640775</v>
      </c>
      <c r="U35" s="39">
        <f>$J$3+[45]FormattedData!N90*$J$4+$M$4*$J$5+[45]FormattedData!N90^2*$J$6+$M$5*$J$7</f>
        <v>36.954094987603973</v>
      </c>
      <c r="V35" s="39">
        <f>$J$3+[45]FormattedData!O90*$J$4+$M$4*$J$5+[45]FormattedData!O90^2*$J$6+$M$5*$J$7</f>
        <v>36.671135045363826</v>
      </c>
      <c r="W35" s="38">
        <f>AVERAGE(K35:V35)</f>
        <v>37.414305470024743</v>
      </c>
      <c r="X35" s="37">
        <f>STDEV(K35:V35)/SQRT(COUNT(K35:V35))</f>
        <v>0.31898786382855859</v>
      </c>
      <c r="Y35" s="36">
        <f>MIN(K35:V35)</f>
        <v>36.576730527541244</v>
      </c>
      <c r="Z35" s="35">
        <f>QUARTILE(K35:V35,1)</f>
        <v>36.812646717887354</v>
      </c>
      <c r="AA35" s="36">
        <f>MEDIAN(K35:V35)</f>
        <v>37.095427018841292</v>
      </c>
      <c r="AB35" s="35">
        <f>QUARTILE(K35:V35,3)</f>
        <v>37.612855454003395</v>
      </c>
      <c r="AC35" s="35">
        <f>MAX(K35:V35)</f>
        <v>40.690543274851827</v>
      </c>
      <c r="AD35" s="35">
        <f>SKEW(K35:V35)</f>
        <v>2.7054429508113449</v>
      </c>
      <c r="AE35" s="35">
        <f>KURT(K35:V35)</f>
        <v>8.2782313180967737</v>
      </c>
    </row>
    <row r="36" spans="2:31" x14ac:dyDescent="0.2">
      <c r="B36" s="34">
        <f>[45]FormattedData!A88</f>
        <v>403</v>
      </c>
      <c r="C36" s="34" t="str">
        <f>VLOOKUP($B36,[45]TrtCodes!$B$11:I131,2)</f>
        <v>FDL</v>
      </c>
      <c r="D36" s="34">
        <f>VLOOKUP($B36,[45]TrtCodes!$B$11:J131,3)</f>
        <v>6</v>
      </c>
      <c r="E36" s="34">
        <f>VLOOKUP($B36,[45]TrtCodes!$B$11:K131,4)</f>
        <v>1</v>
      </c>
      <c r="F36" s="34">
        <f>VLOOKUP($B36,[45]TrtCodes!$B$11:L131,5)</f>
        <v>3</v>
      </c>
      <c r="G36" s="34">
        <f>VLOOKUP($B36,[45]TrtCodes!$B$11:M131,6)</f>
        <v>1</v>
      </c>
      <c r="H36" s="34">
        <f>VLOOKUP($B36,[45]TrtCodes!$B$11:N131,7)</f>
        <v>3</v>
      </c>
      <c r="I36" s="34">
        <f>[45]FormattedData!B88</f>
        <v>1</v>
      </c>
      <c r="J36" s="37">
        <f>[45]FormattedData!C88</f>
        <v>13.417999999999999</v>
      </c>
      <c r="K36" s="39">
        <f>$J$3+[45]FormattedData!D88*$J$4+$M$4*$J$5+[45]FormattedData!D88^2*$J$6+$M$5*$J$7</f>
        <v>36.859817275395194</v>
      </c>
      <c r="L36" s="39">
        <f>$J$3+[45]FormattedData!E88*$J$4+$M$4*$J$5+[45]FormattedData!E88^2*$J$6+$M$5*$J$7</f>
        <v>37.048330431274827</v>
      </c>
      <c r="M36" s="39">
        <f>$J$3+[45]FormattedData!F88*$J$4+$M$4*$J$5+[45]FormattedData!F88^2*$J$6+$M$5*$J$7</f>
        <v>41.982322668050607</v>
      </c>
      <c r="N36" s="39">
        <f>$J$3+[45]FormattedData!G88*$J$4+$M$4*$J$5+[45]FormattedData!G88^2*$J$6+$M$5*$J$7</f>
        <v>37.706795017908725</v>
      </c>
      <c r="O36" s="39">
        <f>$J$3+[45]FormattedData!H88*$J$4+$M$4*$J$5+[45]FormattedData!H88^2*$J$6+$M$5*$J$7</f>
        <v>37.800692313276137</v>
      </c>
      <c r="P36" s="39">
        <f>$J$3+[45]FormattedData!I88*$J$4+$M$4*$J$5+[45]FormattedData!I88^2*$J$6+$M$5*$J$7</f>
        <v>38.363188446184004</v>
      </c>
      <c r="Q36" s="39">
        <f>$J$3+[45]FormattedData!J88*$J$4+$M$4*$J$5+[45]FormattedData!J88^2*$J$6+$M$5*$J$7</f>
        <v>39.110816251937031</v>
      </c>
      <c r="R36" s="39">
        <f>$J$3+[45]FormattedData!K88*$J$4+$M$4*$J$5+[45]FormattedData!K88^2*$J$6+$M$5*$J$7</f>
        <v>36.48228374118073</v>
      </c>
      <c r="S36" s="39">
        <f>$J$3+[45]FormattedData!L88*$J$4+$M$4*$J$5+[45]FormattedData!L88^2*$J$6+$M$5*$J$7</f>
        <v>38.175858809366446</v>
      </c>
      <c r="T36" s="39">
        <f>$J$3+[45]FormattedData!M88*$J$4+$M$4*$J$5+[45]FormattedData!M88^2*$J$6+$M$5*$J$7</f>
        <v>36.387794686282298</v>
      </c>
      <c r="U36" s="39">
        <f>$J$3+[45]FormattedData!N88*$J$4+$M$4*$J$5+[45]FormattedData!N88^2*$J$6+$M$5*$J$7</f>
        <v>36.576730527541244</v>
      </c>
      <c r="V36" s="39">
        <f>$J$3+[45]FormattedData!O88*$J$4+$M$4*$J$5+[45]FormattedData!O88^2*$J$6+$M$5*$J$7</f>
        <v>36.48228374118073</v>
      </c>
      <c r="W36" s="38">
        <f>AVERAGE(K36:V36)</f>
        <v>37.748076159131493</v>
      </c>
      <c r="X36" s="37">
        <f>STDEV(K36:V36)/SQRT(COUNT(K36:V36))</f>
        <v>0.4610368984243291</v>
      </c>
      <c r="Y36" s="36">
        <f>MIN(K36:V36)</f>
        <v>36.387794686282298</v>
      </c>
      <c r="Z36" s="35">
        <f>QUARTILE(K36:V36,1)</f>
        <v>36.553118830951114</v>
      </c>
      <c r="AA36" s="36">
        <f>MEDIAN(K36:V36)</f>
        <v>37.377562724591776</v>
      </c>
      <c r="AB36" s="35">
        <f>QUARTILE(K36:V36,3)</f>
        <v>38.222691218570837</v>
      </c>
      <c r="AC36" s="35">
        <f>MAX(K36:V36)</f>
        <v>41.982322668050607</v>
      </c>
      <c r="AD36" s="35">
        <f>SKEW(K36:V36)</f>
        <v>1.8620928460161832</v>
      </c>
      <c r="AE36" s="35">
        <f>KURT(K36:V36)</f>
        <v>4.1137774502027913</v>
      </c>
    </row>
    <row r="37" spans="2:31" x14ac:dyDescent="0.2">
      <c r="B37" s="34">
        <f>[45]FormattedData!A86</f>
        <v>404</v>
      </c>
      <c r="C37" s="34" t="str">
        <f>VLOOKUP($B37,[45]TrtCodes!$B$11:I129,2)</f>
        <v>FTH</v>
      </c>
      <c r="D37" s="34">
        <f>VLOOKUP($B37,[45]TrtCodes!$B$11:J129,3)</f>
        <v>3</v>
      </c>
      <c r="E37" s="34">
        <f>VLOOKUP($B37,[45]TrtCodes!$B$11:K129,4)</f>
        <v>1</v>
      </c>
      <c r="F37" s="34">
        <f>VLOOKUP($B37,[45]TrtCodes!$B$11:L129,5)</f>
        <v>2</v>
      </c>
      <c r="G37" s="34">
        <f>VLOOKUP($B37,[45]TrtCodes!$B$11:M129,6)</f>
        <v>2</v>
      </c>
      <c r="H37" s="34">
        <f>VLOOKUP($B37,[45]TrtCodes!$B$11:N129,7)</f>
        <v>3</v>
      </c>
      <c r="I37" s="34">
        <f>[45]FormattedData!B86</f>
        <v>1</v>
      </c>
      <c r="J37" s="37">
        <f>[45]FormattedData!C86</f>
        <v>13.41</v>
      </c>
      <c r="K37" s="39">
        <f>$J$3+[45]FormattedData!D86*$J$4+$M$4*$J$5+[45]FormattedData!D86^2*$J$6+$M$5*$J$7</f>
        <v>36.48228374118073</v>
      </c>
      <c r="L37" s="39">
        <f>$J$3+[45]FormattedData!E86*$J$4+$M$4*$J$5+[45]FormattedData!E86^2*$J$6+$M$5*$J$7</f>
        <v>39.297300517995971</v>
      </c>
      <c r="M37" s="39">
        <f>$J$3+[45]FormattedData!F86*$J$4+$M$4*$J$5+[45]FormattedData!F86^2*$J$6+$M$5*$J$7</f>
        <v>38.737340497363967</v>
      </c>
      <c r="N37" s="39">
        <f>$J$3+[45]FormattedData!G86*$J$4+$M$4*$J$5+[45]FormattedData!G86^2*$J$6+$M$5*$J$7</f>
        <v>39.297300517995971</v>
      </c>
      <c r="O37" s="39">
        <f>$J$3+[45]FormattedData!H86*$J$4+$M$4*$J$5+[45]FormattedData!H86^2*$J$6+$M$5*$J$7</f>
        <v>41.245177459704507</v>
      </c>
      <c r="P37" s="39">
        <f>$J$3+[45]FormattedData!I86*$J$4+$M$4*$J$5+[45]FormattedData!I86^2*$J$6+$M$5*$J$7</f>
        <v>36.765497294648469</v>
      </c>
      <c r="Q37" s="39">
        <f>$J$3+[45]FormattedData!J86*$J$4+$M$4*$J$5+[45]FormattedData!J86^2*$J$6+$M$5*$J$7</f>
        <v>41.15284410024055</v>
      </c>
      <c r="R37" s="39">
        <f>$J$3+[45]FormattedData!K86*$J$4+$M$4*$J$5+[45]FormattedData!K86^2*$J$6+$M$5*$J$7</f>
        <v>36.671135045363826</v>
      </c>
      <c r="S37" s="39">
        <f>$J$3+[45]FormattedData!L86*$J$4+$M$4*$J$5+[45]FormattedData!L86^2*$J$6+$M$5*$J$7</f>
        <v>40.783087977005437</v>
      </c>
      <c r="T37" s="39">
        <f>$J$3+[45]FormattedData!M86*$J$4+$M$4*$J$5+[45]FormattedData!M86^2*$J$6+$M$5*$J$7</f>
        <v>37.330783151059805</v>
      </c>
      <c r="U37" s="39">
        <f>$J$3+[45]FormattedData!N86*$J$4+$M$4*$J$5+[45]FormattedData!N86^2*$J$6+$M$5*$J$7</f>
        <v>38.924162911726356</v>
      </c>
      <c r="V37" s="39">
        <f>$J$3+[45]FormattedData!O86*$J$4+$M$4*$J$5+[45]FormattedData!O86^2*$J$6+$M$5*$J$7</f>
        <v>42.899950010069425</v>
      </c>
      <c r="W37" s="38">
        <f>AVERAGE(K37:V37)</f>
        <v>39.132238602029581</v>
      </c>
      <c r="X37" s="37">
        <f>STDEV(K37:V37)/SQRT(COUNT(K37:V37))</f>
        <v>0.60080778090099496</v>
      </c>
      <c r="Y37" s="36">
        <f>MIN(K37:V37)</f>
        <v>36.48228374118073</v>
      </c>
      <c r="Z37" s="35">
        <f>QUARTILE(K37:V37,1)</f>
        <v>37.189461686956975</v>
      </c>
      <c r="AA37" s="36">
        <f>MEDIAN(K37:V37)</f>
        <v>39.11073171486116</v>
      </c>
      <c r="AB37" s="35">
        <f>QUARTILE(K37:V37,3)</f>
        <v>40.875527007814213</v>
      </c>
      <c r="AC37" s="35">
        <f>MAX(K37:V37)</f>
        <v>42.899950010069425</v>
      </c>
      <c r="AD37" s="35">
        <f>SKEW(K37:V37)</f>
        <v>0.27815378006244518</v>
      </c>
      <c r="AE37" s="35">
        <f>KURT(K37:V37)</f>
        <v>-0.89677875433592025</v>
      </c>
    </row>
    <row r="38" spans="2:31" x14ac:dyDescent="0.2">
      <c r="B38" s="34">
        <f>[45]FormattedData!A84</f>
        <v>405</v>
      </c>
      <c r="C38" s="34" t="str">
        <f>VLOOKUP($B38,[45]TrtCodes!$B$11:I127,2)</f>
        <v>FDL</v>
      </c>
      <c r="D38" s="34">
        <f>VLOOKUP($B38,[45]TrtCodes!$B$11:J127,3)</f>
        <v>6</v>
      </c>
      <c r="E38" s="34">
        <f>VLOOKUP($B38,[45]TrtCodes!$B$11:K127,4)</f>
        <v>1</v>
      </c>
      <c r="F38" s="34">
        <f>VLOOKUP($B38,[45]TrtCodes!$B$11:L127,5)</f>
        <v>3</v>
      </c>
      <c r="G38" s="34">
        <f>VLOOKUP($B38,[45]TrtCodes!$B$11:M127,6)</f>
        <v>1</v>
      </c>
      <c r="H38" s="34">
        <f>VLOOKUP($B38,[45]TrtCodes!$B$11:N127,7)</f>
        <v>4</v>
      </c>
      <c r="I38" s="34">
        <f>[45]FormattedData!B84</f>
        <v>1</v>
      </c>
      <c r="J38" s="37">
        <f>[45]FormattedData!C84</f>
        <v>13.401</v>
      </c>
      <c r="K38" s="39">
        <f>$J$3+[45]FormattedData!D84*$J$4+$M$4*$J$5+[45]FormattedData!D84^2*$J$6+$M$5*$J$7</f>
        <v>36.765497294648469</v>
      </c>
      <c r="L38" s="39">
        <f>$J$3+[45]FormattedData!E84*$J$4+$M$4*$J$5+[45]FormattedData!E84^2*$J$6+$M$5*$J$7</f>
        <v>43.631008548953439</v>
      </c>
      <c r="M38" s="39">
        <f>$J$3+[45]FormattedData!F84*$J$4+$M$4*$J$5+[45]FormattedData!F84^2*$J$6+$M$5*$J$7</f>
        <v>42.625105627112056</v>
      </c>
      <c r="N38" s="39">
        <f>$J$3+[45]FormattedData!G84*$J$4+$M$4*$J$5+[45]FormattedData!G84^2*$J$6+$M$5*$J$7</f>
        <v>41.798289977191672</v>
      </c>
      <c r="O38" s="39">
        <f>$J$3+[45]FormattedData!H84*$J$4+$M$4*$J$5+[45]FormattedData!H84^2*$J$6+$M$5*$J$7</f>
        <v>38.269544762044191</v>
      </c>
      <c r="P38" s="39">
        <f>$J$3+[45]FormattedData!I84*$J$4+$M$4*$J$5+[45]FormattedData!I84^2*$J$6+$M$5*$J$7</f>
        <v>38.269544762044191</v>
      </c>
      <c r="Q38" s="39">
        <f>$J$3+[45]FormattedData!J84*$J$4+$M$4*$J$5+[45]FormattedData!J84^2*$J$6+$M$5*$J$7</f>
        <v>37.048330431274827</v>
      </c>
      <c r="R38" s="39">
        <f>$J$3+[45]FormattedData!K84*$J$4+$M$4*$J$5+[45]FormattedData!K84^2*$J$6+$M$5*$J$7</f>
        <v>39.576709903049903</v>
      </c>
      <c r="S38" s="39">
        <f>$J$3+[45]FormattedData!L84*$J$4+$M$4*$J$5+[45]FormattedData!L84^2*$J$6+$M$5*$J$7</f>
        <v>37.424849520578931</v>
      </c>
      <c r="T38" s="39">
        <f>$J$3+[45]FormattedData!M84*$J$4+$M$4*$J$5+[45]FormattedData!M84^2*$J$6+$M$5*$J$7</f>
        <v>38.363188446184004</v>
      </c>
      <c r="U38" s="39">
        <f>$J$3+[45]FormattedData!N84*$J$4+$M$4*$J$5+[45]FormattedData!N84^2*$J$6+$M$5*$J$7</f>
        <v>37.424849520578931</v>
      </c>
      <c r="V38" s="39">
        <f>$J$3+[45]FormattedData!O84*$J$4+$M$4*$J$5+[45]FormattedData!O84^2*$J$6+$M$5*$J$7</f>
        <v>38.363188446184004</v>
      </c>
      <c r="W38" s="38">
        <f>AVERAGE(K38:V38)</f>
        <v>39.130008936653709</v>
      </c>
      <c r="X38" s="37">
        <f>STDEV(K38:V38)/SQRT(COUNT(K38:V38))</f>
        <v>0.66395410087128903</v>
      </c>
      <c r="Y38" s="36">
        <f>MIN(K38:V38)</f>
        <v>36.765497294648469</v>
      </c>
      <c r="Z38" s="35">
        <f>QUARTILE(K38:V38,1)</f>
        <v>37.424849520578931</v>
      </c>
      <c r="AA38" s="36">
        <f>MEDIAN(K38:V38)</f>
        <v>38.316366604114094</v>
      </c>
      <c r="AB38" s="35">
        <f>QUARTILE(K38:V38,3)</f>
        <v>40.132104921585345</v>
      </c>
      <c r="AC38" s="35">
        <f>MAX(K38:V38)</f>
        <v>43.631008548953439</v>
      </c>
      <c r="AD38" s="35">
        <f>SKEW(K38:V38)</f>
        <v>1.0636919743784243</v>
      </c>
      <c r="AE38" s="35">
        <f>KURT(K38:V38)</f>
        <v>-0.20934361990949801</v>
      </c>
    </row>
    <row r="39" spans="2:31" x14ac:dyDescent="0.2">
      <c r="B39" s="34">
        <f>[45]FormattedData!A82</f>
        <v>406</v>
      </c>
      <c r="C39" s="34" t="str">
        <f>VLOOKUP($B39,[45]TrtCodes!$B$11:I125,2)</f>
        <v>FTH</v>
      </c>
      <c r="D39" s="34">
        <f>VLOOKUP($B39,[45]TrtCodes!$B$11:J125,3)</f>
        <v>3</v>
      </c>
      <c r="E39" s="34">
        <f>VLOOKUP($B39,[45]TrtCodes!$B$11:K125,4)</f>
        <v>1</v>
      </c>
      <c r="F39" s="34">
        <f>VLOOKUP($B39,[45]TrtCodes!$B$11:L125,5)</f>
        <v>2</v>
      </c>
      <c r="G39" s="34">
        <f>VLOOKUP($B39,[45]TrtCodes!$B$11:M125,6)</f>
        <v>2</v>
      </c>
      <c r="H39" s="34">
        <f>VLOOKUP($B39,[45]TrtCodes!$B$11:N125,7)</f>
        <v>4</v>
      </c>
      <c r="I39" s="34">
        <f>[45]FormattedData!B82</f>
        <v>1</v>
      </c>
      <c r="J39" s="37">
        <f>[45]FormattedData!C82</f>
        <v>13.391999999999999</v>
      </c>
      <c r="K39" s="39">
        <f>$J$3+[45]FormattedData!D82*$J$4+$M$4*$J$5+[45]FormattedData!D82^2*$J$6+$M$5*$J$7</f>
        <v>36.387794686282298</v>
      </c>
      <c r="L39" s="39">
        <f>$J$3+[45]FormattedData!E82*$J$4+$M$4*$J$5+[45]FormattedData!E82^2*$J$6+$M$5*$J$7</f>
        <v>38.550349008849849</v>
      </c>
      <c r="M39" s="39">
        <f>$J$3+[45]FormattedData!F82*$J$4+$M$4*$J$5+[45]FormattedData!F82^2*$J$6+$M$5*$J$7</f>
        <v>38.737340497363967</v>
      </c>
      <c r="N39" s="39">
        <f>$J$3+[45]FormattedData!G82*$J$4+$M$4*$J$5+[45]FormattedData!G82^2*$J$6+$M$5*$J$7</f>
        <v>37.23667451300274</v>
      </c>
      <c r="O39" s="39">
        <f>$J$3+[45]FormattedData!H82*$J$4+$M$4*$J$5+[45]FormattedData!H82^2*$J$6+$M$5*$J$7</f>
        <v>44.086546408273186</v>
      </c>
      <c r="P39" s="39">
        <f>$J$3+[45]FormattedData!I82*$J$4+$M$4*$J$5+[45]FormattedData!I82^2*$J$6+$M$5*$J$7</f>
        <v>37.800692313276137</v>
      </c>
      <c r="Q39" s="39">
        <f>$J$3+[45]FormattedData!J82*$J$4+$M$4*$J$5+[45]FormattedData!J82^2*$J$6+$M$5*$J$7</f>
        <v>38.550349008849849</v>
      </c>
      <c r="R39" s="39">
        <f>$J$3+[45]FormattedData!K82*$J$4+$M$4*$J$5+[45]FormattedData!K82^2*$J$6+$M$5*$J$7</f>
        <v>36.576730527541244</v>
      </c>
      <c r="S39" s="39">
        <f>$J$3+[45]FormattedData!L82*$J$4+$M$4*$J$5+[45]FormattedData!L82^2*$J$6+$M$5*$J$7</f>
        <v>36.198689770871624</v>
      </c>
      <c r="T39" s="39">
        <f>$J$3+[45]FormattedData!M82*$J$4+$M$4*$J$5+[45]FormattedData!M82^2*$J$6+$M$5*$J$7</f>
        <v>36.104073910359389</v>
      </c>
      <c r="U39" s="39">
        <f>$J$3+[45]FormattedData!N82*$J$4+$M$4*$J$5+[45]FormattedData!N82^2*$J$6+$M$5*$J$7</f>
        <v>37.424849520578931</v>
      </c>
      <c r="V39" s="39">
        <f>$J$3+[45]FormattedData!O82*$J$4+$M$4*$J$5+[45]FormattedData!O82^2*$J$6+$M$5*$J$7</f>
        <v>38.550349008849849</v>
      </c>
      <c r="W39" s="38">
        <f>AVERAGE(K39:V39)</f>
        <v>38.017036597841582</v>
      </c>
      <c r="X39" s="37">
        <f>STDEV(K39:V39)/SQRT(COUNT(K39:V39))</f>
        <v>0.62104647148723413</v>
      </c>
      <c r="Y39" s="36">
        <f>MIN(K39:V39)</f>
        <v>36.104073910359389</v>
      </c>
      <c r="Z39" s="35">
        <f>QUARTILE(K39:V39,1)</f>
        <v>36.529496567226509</v>
      </c>
      <c r="AA39" s="36">
        <f>MEDIAN(K39:V39)</f>
        <v>37.612770916927531</v>
      </c>
      <c r="AB39" s="35">
        <f>QUARTILE(K39:V39,3)</f>
        <v>38.550349008849849</v>
      </c>
      <c r="AC39" s="35">
        <f>MAX(K39:V39)</f>
        <v>44.086546408273186</v>
      </c>
      <c r="AD39" s="35">
        <f>SKEW(K39:V39)</f>
        <v>2.2284664302195023</v>
      </c>
      <c r="AE39" s="35">
        <f>KURT(K39:V39)</f>
        <v>6.2191150191070346</v>
      </c>
    </row>
    <row r="40" spans="2:31" x14ac:dyDescent="0.2">
      <c r="B40" s="34">
        <f>[45]FormattedData!A80</f>
        <v>407</v>
      </c>
      <c r="C40" s="34" t="str">
        <f>VLOOKUP($B40,[45]TrtCodes!$B$11:I123,2)</f>
        <v>NSH</v>
      </c>
      <c r="D40" s="34">
        <f>VLOOKUP($B40,[45]TrtCodes!$B$11:J123,3)</f>
        <v>7</v>
      </c>
      <c r="E40" s="34">
        <f>VLOOKUP($B40,[45]TrtCodes!$B$11:K123,4)</f>
        <v>2</v>
      </c>
      <c r="F40" s="34">
        <f>VLOOKUP($B40,[45]TrtCodes!$B$11:L123,5)</f>
        <v>1</v>
      </c>
      <c r="G40" s="34">
        <f>VLOOKUP($B40,[45]TrtCodes!$B$11:M123,6)</f>
        <v>2</v>
      </c>
      <c r="H40" s="34">
        <f>VLOOKUP($B40,[45]TrtCodes!$B$11:N123,7)</f>
        <v>4</v>
      </c>
      <c r="I40" s="34">
        <f>[45]FormattedData!B80</f>
        <v>1</v>
      </c>
      <c r="J40" s="37">
        <f>[45]FormattedData!C80</f>
        <v>13.384</v>
      </c>
      <c r="K40" s="39">
        <f>$J$3+[45]FormattedData!D80*$J$4+$M$4*$J$5+[45]FormattedData!D80^2*$J$6+$M$5*$J$7</f>
        <v>36.765497294648469</v>
      </c>
      <c r="L40" s="39">
        <f>$J$3+[45]FormattedData!E80*$J$4+$M$4*$J$5+[45]FormattedData!E80^2*$J$6+$M$5*$J$7</f>
        <v>40.412655557163411</v>
      </c>
      <c r="M40" s="39">
        <f>$J$3+[45]FormattedData!F80*$J$4+$M$4*$J$5+[45]FormattedData!F80^2*$J$6+$M$5*$J$7</f>
        <v>40.041546840714503</v>
      </c>
      <c r="N40" s="39">
        <f>$J$3+[45]FormattedData!G80*$J$4+$M$4*$J$5+[45]FormattedData!G80^2*$J$6+$M$5*$J$7</f>
        <v>37.424849520578931</v>
      </c>
      <c r="O40" s="39">
        <f>$J$3+[45]FormattedData!H80*$J$4+$M$4*$J$5+[45]FormattedData!H80^2*$J$6+$M$5*$J$7</f>
        <v>37.048330431274827</v>
      </c>
      <c r="P40" s="39">
        <f>$J$3+[45]FormattedData!I80*$J$4+$M$4*$J$5+[45]FormattedData!I80^2*$J$6+$M$5*$J$7</f>
        <v>38.737340497363967</v>
      </c>
      <c r="Q40" s="39">
        <f>$J$3+[45]FormattedData!J80*$J$4+$M$4*$J$5+[45]FormattedData!J80^2*$J$6+$M$5*$J$7</f>
        <v>38.082130588150761</v>
      </c>
      <c r="R40" s="39">
        <f>$J$3+[45]FormattedData!K80*$J$4+$M$4*$J$5+[45]FormattedData!K80^2*$J$6+$M$5*$J$7</f>
        <v>37.424849520578931</v>
      </c>
      <c r="S40" s="39">
        <f>$J$3+[45]FormattedData!L80*$J$4+$M$4*$J$5+[45]FormattedData!L80^2*$J$6+$M$5*$J$7</f>
        <v>37.706795017908725</v>
      </c>
      <c r="T40" s="39">
        <f>$J$3+[45]FormattedData!M80*$J$4+$M$4*$J$5+[45]FormattedData!M80^2*$J$6+$M$5*$J$7</f>
        <v>37.048330431274827</v>
      </c>
      <c r="U40" s="39">
        <f>$J$3+[45]FormattedData!N80*$J$4+$M$4*$J$5+[45]FormattedData!N80^2*$J$6+$M$5*$J$7</f>
        <v>36.954094987603973</v>
      </c>
      <c r="V40" s="39">
        <f>$J$3+[45]FormattedData!O80*$J$4+$M$4*$J$5+[45]FormattedData!O80^2*$J$6+$M$5*$J$7</f>
        <v>37.048330431274827</v>
      </c>
      <c r="W40" s="38">
        <f>AVERAGE(K40:V40)</f>
        <v>37.891229259878017</v>
      </c>
      <c r="X40" s="37">
        <f>STDEV(K40:V40)/SQRT(COUNT(K40:V40))</f>
        <v>0.35333656731753282</v>
      </c>
      <c r="Y40" s="36">
        <f>MIN(K40:V40)</f>
        <v>36.765497294648469</v>
      </c>
      <c r="Z40" s="35">
        <f>QUARTILE(K40:V40,1)</f>
        <v>37.048330431274827</v>
      </c>
      <c r="AA40" s="36">
        <f>MEDIAN(K40:V40)</f>
        <v>37.424849520578931</v>
      </c>
      <c r="AB40" s="35">
        <f>QUARTILE(K40:V40,3)</f>
        <v>38.245933065454061</v>
      </c>
      <c r="AC40" s="35">
        <f>MAX(K40:V40)</f>
        <v>40.412655557163411</v>
      </c>
      <c r="AD40" s="35">
        <f>SKEW(K40:V40)</f>
        <v>1.328451157040216</v>
      </c>
      <c r="AE40" s="35">
        <f>KURT(K40:V40)</f>
        <v>0.62132822680741295</v>
      </c>
    </row>
    <row r="41" spans="2:31" x14ac:dyDescent="0.2">
      <c r="B41" s="34">
        <f>[45]FormattedData!A78</f>
        <v>408</v>
      </c>
      <c r="C41" s="34" t="str">
        <f>VLOOKUP($B41,[45]TrtCodes!$B$11:I121,2)</f>
        <v>NTL</v>
      </c>
      <c r="D41" s="34">
        <f>VLOOKUP($B41,[45]TrtCodes!$B$11:J121,3)</f>
        <v>10</v>
      </c>
      <c r="E41" s="34">
        <f>VLOOKUP($B41,[45]TrtCodes!$B$11:K121,4)</f>
        <v>2</v>
      </c>
      <c r="F41" s="34">
        <f>VLOOKUP($B41,[45]TrtCodes!$B$11:L121,5)</f>
        <v>2</v>
      </c>
      <c r="G41" s="34">
        <f>VLOOKUP($B41,[45]TrtCodes!$B$11:M121,6)</f>
        <v>1</v>
      </c>
      <c r="H41" s="34">
        <f>VLOOKUP($B41,[45]TrtCodes!$B$11:N121,7)</f>
        <v>4</v>
      </c>
      <c r="I41" s="34">
        <f>[45]FormattedData!B78</f>
        <v>1</v>
      </c>
      <c r="J41" s="37">
        <f>[45]FormattedData!C78</f>
        <v>13.375999999999999</v>
      </c>
      <c r="K41" s="39">
        <f>$J$3+[45]FormattedData!D78*$J$4+$M$4*$J$5+[45]FormattedData!D78^2*$J$6+$M$5*$J$7</f>
        <v>36.671135045363826</v>
      </c>
      <c r="L41" s="39">
        <f>$J$3+[45]FormattedData!E78*$J$4+$M$4*$J$5+[45]FormattedData!E78^2*$J$6+$M$5*$J$7</f>
        <v>39.017510716100659</v>
      </c>
      <c r="M41" s="39">
        <f>$J$3+[45]FormattedData!F78*$J$4+$M$4*$J$5+[45]FormattedData!F78^2*$J$6+$M$5*$J$7</f>
        <v>39.204079519235464</v>
      </c>
      <c r="N41" s="39">
        <f>$J$3+[45]FormattedData!G78*$J$4+$M$4*$J$5+[45]FormattedData!G78^2*$J$6+$M$5*$J$7</f>
        <v>36.48228374118073</v>
      </c>
      <c r="O41" s="39">
        <f>$J$3+[45]FormattedData!H78*$J$4+$M$4*$J$5+[45]FormattedData!H78^2*$J$6+$M$5*$J$7</f>
        <v>39.297300517995971</v>
      </c>
      <c r="P41" s="39">
        <f>$J$3+[45]FormattedData!I78*$J$4+$M$4*$J$5+[45]FormattedData!I78^2*$J$6+$M$5*$J$7</f>
        <v>38.924162911726356</v>
      </c>
      <c r="Q41" s="39">
        <f>$J$3+[45]FormattedData!J78*$J$4+$M$4*$J$5+[45]FormattedData!J78^2*$J$6+$M$5*$J$7</f>
        <v>41.614088212181002</v>
      </c>
      <c r="R41" s="39">
        <f>$J$3+[45]FormattedData!K78*$J$4+$M$4*$J$5+[45]FormattedData!K78^2*$J$6+$M$5*$J$7</f>
        <v>39.110816251937031</v>
      </c>
      <c r="S41" s="39">
        <f>$J$3+[45]FormattedData!L78*$J$4+$M$4*$J$5+[45]FormattedData!L78^2*$J$6+$M$5*$J$7</f>
        <v>43.44849752546002</v>
      </c>
      <c r="T41" s="39">
        <f>$J$3+[45]FormattedData!M78*$J$4+$M$4*$J$5+[45]FormattedData!M78^2*$J$6+$M$5*$J$7</f>
        <v>38.363188446184004</v>
      </c>
      <c r="U41" s="39">
        <f>$J$3+[45]FormattedData!N78*$J$4+$M$4*$J$5+[45]FormattedData!N78^2*$J$6+$M$5*$J$7</f>
        <v>39.76277148372953</v>
      </c>
      <c r="V41" s="39">
        <f>$J$3+[45]FormattedData!O78*$J$4+$M$4*$J$5+[45]FormattedData!O78^2*$J$6+$M$5*$J$7</f>
        <v>36.104073910359389</v>
      </c>
      <c r="W41" s="38">
        <f>AVERAGE(K41:V41)</f>
        <v>38.999992356787828</v>
      </c>
      <c r="X41" s="37">
        <f>STDEV(K41:V41)/SQRT(COUNT(K41:V41))</f>
        <v>0.6024395225422875</v>
      </c>
      <c r="Y41" s="36">
        <f>MIN(K41:V41)</f>
        <v>36.104073910359389</v>
      </c>
      <c r="Z41" s="35">
        <f>QUARTILE(K41:V41,1)</f>
        <v>37.940175095978958</v>
      </c>
      <c r="AA41" s="36">
        <f>MEDIAN(K41:V41)</f>
        <v>39.064163484018849</v>
      </c>
      <c r="AB41" s="35">
        <f>QUARTILE(K41:V41,3)</f>
        <v>39.413668259429357</v>
      </c>
      <c r="AC41" s="35">
        <f>MAX(K41:V41)</f>
        <v>43.44849752546002</v>
      </c>
      <c r="AD41" s="35">
        <f>SKEW(K41:V41)</f>
        <v>0.63902893551489526</v>
      </c>
      <c r="AE41" s="35">
        <f>KURT(K41:V41)</f>
        <v>0.77465265279855799</v>
      </c>
    </row>
    <row r="42" spans="2:31" x14ac:dyDescent="0.2">
      <c r="B42" s="50">
        <f>[45]FormattedData!A60</f>
        <v>901</v>
      </c>
      <c r="C42" s="50" t="str">
        <f>VLOOKUP($B42,[45]TrtCodes!$B$11:I103,2)</f>
        <v>WS</v>
      </c>
      <c r="D42" s="50">
        <f>VLOOKUP($B42,[45]TrtCodes!$B$11:J103,3)</f>
        <v>32</v>
      </c>
      <c r="E42" s="50">
        <f>VLOOKUP($B42,[45]TrtCodes!$B$11:K103,4)</f>
        <v>9</v>
      </c>
      <c r="F42" s="50">
        <f>VLOOKUP($B42,[45]TrtCodes!$B$11:L103,5)</f>
        <v>0</v>
      </c>
      <c r="G42" s="50">
        <f>VLOOKUP($B42,[45]TrtCodes!$B$11:M103,6)</f>
        <v>1</v>
      </c>
      <c r="H42" s="50">
        <f>VLOOKUP($B42,[45]TrtCodes!$B$11:N103,7)</f>
        <v>1</v>
      </c>
      <c r="I42" s="50">
        <f>[45]FormattedData!B60</f>
        <v>1</v>
      </c>
      <c r="J42" s="48">
        <f>[45]FormattedData!C60</f>
        <v>13.308</v>
      </c>
      <c r="K42" s="47">
        <f>$J$3+[45]FormattedData!D60*$J$4+$M$4*$J$5+[45]FormattedData!D60^2*$J$6+$M$5*$J$7</f>
        <v>36.765497294648469</v>
      </c>
      <c r="L42" s="47">
        <f>$J$3+[45]FormattedData!E60*$J$4+$M$4*$J$5+[45]FormattedData!E60^2*$J$6+$M$5*$J$7</f>
        <v>36.104073910359389</v>
      </c>
      <c r="M42" s="47">
        <f>$J$3+[45]FormattedData!F60*$J$4+$M$4*$J$5+[45]FormattedData!F60^2*$J$6+$M$5*$J$7</f>
        <v>36.104073910359389</v>
      </c>
      <c r="N42" s="47">
        <f>$J$3+[45]FormattedData!G60*$J$4+$M$4*$J$5+[45]FormattedData!G60^2*$J$6+$M$5*$J$7</f>
        <v>35.8199727175951</v>
      </c>
      <c r="O42" s="47">
        <f>$J$3+[45]FormattedData!H60*$J$4+$M$4*$J$5+[45]FormattedData!H60^2*$J$6+$M$5*$J$7</f>
        <v>35.725187782931144</v>
      </c>
      <c r="P42" s="47">
        <f>$J$3+[45]FormattedData!I60*$J$4+$M$4*$J$5+[45]FormattedData!I60^2*$J$6+$M$5*$J$7</f>
        <v>35.535491107989429</v>
      </c>
      <c r="Q42" s="47">
        <f>$J$3+[45]FormattedData!J60*$J$4+$M$4*$J$5+[45]FormattedData!J60^2*$J$6+$M$5*$J$7</f>
        <v>35.060509721221358</v>
      </c>
      <c r="R42" s="47">
        <f>$J$3+[45]FormattedData!K60*$J$4+$M$4*$J$5+[45]FormattedData!K60^2*$J$6+$M$5*$J$7</f>
        <v>36.387794686282298</v>
      </c>
      <c r="S42" s="47">
        <f>$J$3+[45]FormattedData!L60*$J$4+$M$4*$J$5+[45]FormattedData!L60^2*$J$6+$M$5*$J$7</f>
        <v>36.48228374118073</v>
      </c>
      <c r="T42" s="47">
        <f>$J$3+[45]FormattedData!M60*$J$4+$M$4*$J$5+[45]FormattedData!M60^2*$J$6+$M$5*$J$7</f>
        <v>36.48228374118073</v>
      </c>
      <c r="U42" s="47">
        <f>$J$3+[45]FormattedData!N60*$J$4+$M$4*$J$5+[45]FormattedData!N60^2*$J$6+$M$5*$J$7</f>
        <v>35.914715383721131</v>
      </c>
      <c r="V42" s="47">
        <f>$J$3+[45]FormattedData!O60*$J$4+$M$4*$J$5+[45]FormattedData!O60^2*$J$6+$M$5*$J$7</f>
        <v>35.630360579729249</v>
      </c>
      <c r="W42" s="49">
        <f>AVERAGE(K42:V42)</f>
        <v>36.0010203814332</v>
      </c>
      <c r="X42" s="48">
        <f>STDEV(K42:V42)/SQRT(COUNT(K42:V42))</f>
        <v>0.13962789138272111</v>
      </c>
      <c r="Y42" s="47">
        <f>MIN(K42:V42)</f>
        <v>35.060509721221358</v>
      </c>
      <c r="Z42" s="46">
        <f>QUARTILE(K42:V42,1)</f>
        <v>35.701480982130668</v>
      </c>
      <c r="AA42" s="47">
        <f>MEDIAN(K42:V42)</f>
        <v>36.00939464704026</v>
      </c>
      <c r="AB42" s="46">
        <f>QUARTILE(K42:V42,3)</f>
        <v>36.41141695000691</v>
      </c>
      <c r="AC42" s="46">
        <f>MAX(K42:V42)</f>
        <v>36.765497294648469</v>
      </c>
      <c r="AD42" s="46">
        <f>SKEW(K42:V42)</f>
        <v>-0.27143081514040224</v>
      </c>
      <c r="AE42" s="46">
        <f>KURT(K42:V42)</f>
        <v>-0.21392493328966911</v>
      </c>
    </row>
    <row r="43" spans="2:31" x14ac:dyDescent="0.2">
      <c r="B43" s="34">
        <f>[45]FormattedData!A58</f>
        <v>902</v>
      </c>
      <c r="C43" s="34" t="str">
        <f>VLOOKUP($B43,[45]TrtCodes!$B$11:I101,2)</f>
        <v>Late</v>
      </c>
      <c r="D43" s="34">
        <f>VLOOKUP($B43,[45]TrtCodes!$B$11:J101,3)</f>
        <v>22</v>
      </c>
      <c r="E43" s="34">
        <f>VLOOKUP($B43,[45]TrtCodes!$B$11:K101,4)</f>
        <v>4</v>
      </c>
      <c r="F43" s="34">
        <f>VLOOKUP($B43,[45]TrtCodes!$B$11:L101,5)</f>
        <v>2</v>
      </c>
      <c r="G43" s="34">
        <f>VLOOKUP($B43,[45]TrtCodes!$B$11:M101,6)</f>
        <v>2</v>
      </c>
      <c r="H43" s="34">
        <f>VLOOKUP($B43,[45]TrtCodes!$B$11:N101,7)</f>
        <v>1</v>
      </c>
      <c r="I43" s="34">
        <f>[45]FormattedData!B58</f>
        <v>1</v>
      </c>
      <c r="J43" s="37">
        <f>[45]FormattedData!C58</f>
        <v>13.298999999999999</v>
      </c>
      <c r="K43" s="39">
        <f>$J$3+[45]FormattedData!D58*$J$4+$M$4*$J$5+[45]FormattedData!D58^2*$J$6+$M$5*$J$7</f>
        <v>37.048330431274827</v>
      </c>
      <c r="L43" s="39">
        <f>$J$3+[45]FormattedData!E58*$J$4+$M$4*$J$5+[45]FormattedData!E58^2*$J$6+$M$5*$J$7</f>
        <v>41.798289977191672</v>
      </c>
      <c r="M43" s="39">
        <f>$J$3+[45]FormattedData!F58*$J$4+$M$4*$J$5+[45]FormattedData!F58^2*$J$6+$M$5*$J$7</f>
        <v>39.390479248218547</v>
      </c>
      <c r="N43" s="39">
        <f>$J$3+[45]FormattedData!G58*$J$4+$M$4*$J$5+[45]FormattedData!G58^2*$J$6+$M$5*$J$7</f>
        <v>37.706795017908725</v>
      </c>
      <c r="O43" s="39">
        <f>$J$3+[45]FormattedData!H58*$J$4+$M$4*$J$5+[45]FormattedData!H58^2*$J$6+$M$5*$J$7</f>
        <v>38.550349008849849</v>
      </c>
      <c r="P43" s="39">
        <f>$J$3+[45]FormattedData!I58*$J$4+$M$4*$J$5+[45]FormattedData!I58^2*$J$6+$M$5*$J$7</f>
        <v>38.830772838814127</v>
      </c>
      <c r="Q43" s="39">
        <f>$J$3+[45]FormattedData!J58*$J$4+$M$4*$J$5+[45]FormattedData!J58^2*$J$6+$M$5*$J$7</f>
        <v>37.894547340105611</v>
      </c>
      <c r="R43" s="39">
        <f>$J$3+[45]FormattedData!K58*$J$4+$M$4*$J$5+[45]FormattedData!K58^2*$J$6+$M$5*$J$7</f>
        <v>37.424849520578931</v>
      </c>
      <c r="S43" s="39">
        <f>$J$3+[45]FormattedData!L58*$J$4+$M$4*$J$5+[45]FormattedData!L58^2*$J$6+$M$5*$J$7</f>
        <v>37.518873621560125</v>
      </c>
      <c r="T43" s="39">
        <f>$J$3+[45]FormattedData!M58*$J$4+$M$4*$J$5+[45]FormattedData!M58^2*$J$6+$M$5*$J$7</f>
        <v>36.859817275395194</v>
      </c>
      <c r="U43" s="39">
        <f>$J$3+[45]FormattedData!N58*$J$4+$M$4*$J$5+[45]FormattedData!N58^2*$J$6+$M$5*$J$7</f>
        <v>36.765497294648469</v>
      </c>
      <c r="V43" s="39">
        <f>$J$3+[45]FormattedData!O58*$J$4+$M$4*$J$5+[45]FormattedData!O58^2*$J$6+$M$5*$J$7</f>
        <v>41.52192392686878</v>
      </c>
      <c r="W43" s="38">
        <f>AVERAGE(K43:V43)</f>
        <v>38.442543791784573</v>
      </c>
      <c r="X43" s="37">
        <f>STDEV(K43:V43)/SQRT(COUNT(K43:V43))</f>
        <v>0.49079692091687754</v>
      </c>
      <c r="Y43" s="36">
        <f>MIN(K43:V43)</f>
        <v>36.765497294648469</v>
      </c>
      <c r="Z43" s="35">
        <f>QUARTILE(K43:V43,1)</f>
        <v>37.330719748252903</v>
      </c>
      <c r="AA43" s="36">
        <f>MEDIAN(K43:V43)</f>
        <v>37.800671179007168</v>
      </c>
      <c r="AB43" s="35">
        <f>QUARTILE(K43:V43,3)</f>
        <v>38.97069944116523</v>
      </c>
      <c r="AC43" s="35">
        <f>MAX(K43:V43)</f>
        <v>41.798289977191672</v>
      </c>
      <c r="AD43" s="35">
        <f>SKEW(K43:V43)</f>
        <v>1.2010097276977065</v>
      </c>
      <c r="AE43" s="35">
        <f>KURT(K43:V43)</f>
        <v>0.44961131693516609</v>
      </c>
    </row>
    <row r="44" spans="2:31" x14ac:dyDescent="0.2">
      <c r="B44" s="50">
        <f>[45]FormattedData!A56</f>
        <v>903</v>
      </c>
      <c r="C44" s="50" t="str">
        <f>VLOOKUP($B44,[45]TrtCodes!$B$11:I99,2)</f>
        <v>DS</v>
      </c>
      <c r="D44" s="50">
        <f>VLOOKUP($B44,[45]TrtCodes!$B$11:J99,3)</f>
        <v>31</v>
      </c>
      <c r="E44" s="50">
        <f>VLOOKUP($B44,[45]TrtCodes!$B$11:K99,4)</f>
        <v>8</v>
      </c>
      <c r="F44" s="50">
        <f>VLOOKUP($B44,[45]TrtCodes!$B$11:L99,5)</f>
        <v>0</v>
      </c>
      <c r="G44" s="50">
        <f>VLOOKUP($B44,[45]TrtCodes!$B$11:M99,6)</f>
        <v>1</v>
      </c>
      <c r="H44" s="50">
        <f>VLOOKUP($B44,[45]TrtCodes!$B$11:N99,7)</f>
        <v>1</v>
      </c>
      <c r="I44" s="50">
        <f>[45]FormattedData!B56</f>
        <v>1</v>
      </c>
      <c r="J44" s="48">
        <f>[45]FormattedData!C56</f>
        <v>13.291</v>
      </c>
      <c r="K44" s="47">
        <f>$J$3+[45]FormattedData!D56*$J$4+$M$4*$J$5+[45]FormattedData!D56^2*$J$6+$M$5*$J$7</f>
        <v>62.018357524825618</v>
      </c>
      <c r="L44" s="47">
        <f>$J$3+[45]FormattedData!E56*$J$4+$M$4*$J$5+[45]FormattedData!E56^2*$J$6+$M$5*$J$7</f>
        <v>62.429090733938352</v>
      </c>
      <c r="M44" s="47">
        <f>$J$3+[45]FormattedData!F56*$J$4+$M$4*$J$5+[45]FormattedData!F56^2*$J$6+$M$5*$J$7</f>
        <v>62.347028629191655</v>
      </c>
      <c r="N44" s="47">
        <f>$J$3+[45]FormattedData!G56*$J$4+$M$4*$J$5+[45]FormattedData!G56^2*$J$6+$M$5*$J$7</f>
        <v>62.347028629191655</v>
      </c>
      <c r="O44" s="47">
        <f>$J$3+[45]FormattedData!H56*$J$4+$M$4*$J$5+[45]FormattedData!H56^2*$J$6+$M$5*$J$7</f>
        <v>62.429090733938352</v>
      </c>
      <c r="P44" s="47">
        <f>$J$3+[45]FormattedData!I56*$J$4+$M$4*$J$5+[45]FormattedData!I56^2*$J$6+$M$5*$J$7</f>
        <v>62.100588703724007</v>
      </c>
      <c r="Q44" s="47">
        <f>$J$3+[45]FormattedData!J56*$J$4+$M$4*$J$5+[45]FormattedData!J56^2*$J$6+$M$5*$J$7</f>
        <v>62.018357524825618</v>
      </c>
      <c r="R44" s="47">
        <f>$J$3+[45]FormattedData!K56*$J$4+$M$4*$J$5+[45]FormattedData!K56^2*$J$6+$M$5*$J$7</f>
        <v>62.675023436950795</v>
      </c>
      <c r="S44" s="47">
        <f>$J$3+[45]FormattedData!L56*$J$4+$M$4*$J$5+[45]FormattedData!L56^2*$J$6+$M$5*$J$7</f>
        <v>62.429090733938352</v>
      </c>
      <c r="T44" s="47">
        <f>$J$3+[45]FormattedData!M56*$J$4+$M$4*$J$5+[45]FormattedData!M56^2*$J$6+$M$5*$J$7</f>
        <v>62.264924255907026</v>
      </c>
      <c r="U44" s="47">
        <f>$J$3+[45]FormattedData!N56*$J$4+$M$4*$J$5+[45]FormattedData!N56^2*$J$6+$M$5*$J$7</f>
        <v>62.347028629191655</v>
      </c>
      <c r="V44" s="47">
        <f>$J$3+[45]FormattedData!O56*$J$4+$M$4*$J$5+[45]FormattedData!O56^2*$J$6+$M$5*$J$7</f>
        <v>62.182777614084493</v>
      </c>
      <c r="W44" s="49">
        <f>AVERAGE(K44:V44)</f>
        <v>62.299032262475613</v>
      </c>
      <c r="X44" s="48">
        <f>STDEV(K44:V44)/SQRT(COUNT(K44:V44))</f>
        <v>5.5775585040948955E-2</v>
      </c>
      <c r="Y44" s="47">
        <f>MIN(K44:V44)</f>
        <v>62.018357524825618</v>
      </c>
      <c r="Z44" s="46">
        <f>QUARTILE(K44:V44,1)</f>
        <v>62.162230386494372</v>
      </c>
      <c r="AA44" s="47">
        <f>MEDIAN(K44:V44)</f>
        <v>62.347028629191655</v>
      </c>
      <c r="AB44" s="46">
        <f>QUARTILE(K44:V44,3)</f>
        <v>62.429090733938352</v>
      </c>
      <c r="AC44" s="46">
        <f>MAX(K44:V44)</f>
        <v>62.675023436950795</v>
      </c>
      <c r="AD44" s="46">
        <f>SKEW(K44:V44)</f>
        <v>9.7364916125368517E-2</v>
      </c>
      <c r="AE44" s="46">
        <f>KURT(K44:V44)</f>
        <v>-7.5130428571120511E-2</v>
      </c>
    </row>
    <row r="45" spans="2:31" x14ac:dyDescent="0.2">
      <c r="B45" s="34">
        <f>[45]FormattedData!A54</f>
        <v>904</v>
      </c>
      <c r="C45" s="34" t="str">
        <f>VLOOKUP($B45,[45]TrtCodes!$B$11:I97,2)</f>
        <v>Early</v>
      </c>
      <c r="D45" s="34">
        <f>VLOOKUP($B45,[45]TrtCodes!$B$11:J97,3)</f>
        <v>21</v>
      </c>
      <c r="E45" s="34">
        <f>VLOOKUP($B45,[45]TrtCodes!$B$11:K97,4)</f>
        <v>3</v>
      </c>
      <c r="F45" s="34">
        <f>VLOOKUP($B45,[45]TrtCodes!$B$11:L97,5)</f>
        <v>2</v>
      </c>
      <c r="G45" s="34">
        <f>VLOOKUP($B45,[45]TrtCodes!$B$11:M97,6)</f>
        <v>2</v>
      </c>
      <c r="H45" s="34">
        <f>VLOOKUP($B45,[45]TrtCodes!$B$11:N97,7)</f>
        <v>1</v>
      </c>
      <c r="I45" s="34">
        <f>[45]FormattedData!B54</f>
        <v>1</v>
      </c>
      <c r="J45" s="37">
        <f>[45]FormattedData!C54</f>
        <v>13.282</v>
      </c>
      <c r="K45" s="39">
        <f>$J$3+[45]FormattedData!D54*$J$4+$M$4*$J$5+[45]FormattedData!D54^2*$J$6+$M$5*$J$7</f>
        <v>38.830772838814127</v>
      </c>
      <c r="L45" s="39">
        <f>$J$3+[45]FormattedData!E54*$J$4+$M$4*$J$5+[45]FormattedData!E54^2*$J$6+$M$5*$J$7</f>
        <v>38.643865887375874</v>
      </c>
      <c r="M45" s="39">
        <f>$J$3+[45]FormattedData!F54*$J$4+$M$4*$J$5+[45]FormattedData!F54^2*$J$6+$M$5*$J$7</f>
        <v>36.198689770871624</v>
      </c>
      <c r="N45" s="39">
        <f>$J$3+[45]FormattedData!G54*$J$4+$M$4*$J$5+[45]FormattedData!G54^2*$J$6+$M$5*$J$7</f>
        <v>38.363188446184004</v>
      </c>
      <c r="O45" s="39">
        <f>$J$3+[45]FormattedData!H54*$J$4+$M$4*$J$5+[45]FormattedData!H54^2*$J$6+$M$5*$J$7</f>
        <v>37.800692313276137</v>
      </c>
      <c r="P45" s="39">
        <f>$J$3+[45]FormattedData!I54*$J$4+$M$4*$J$5+[45]FormattedData!I54^2*$J$6+$M$5*$J$7</f>
        <v>39.110816251937031</v>
      </c>
      <c r="Q45" s="39">
        <f>$J$3+[45]FormattedData!J54*$J$4+$M$4*$J$5+[45]FormattedData!J54^2*$J$6+$M$5*$J$7</f>
        <v>37.894547340105611</v>
      </c>
      <c r="R45" s="39">
        <f>$J$3+[45]FormattedData!K54*$J$4+$M$4*$J$5+[45]FormattedData!K54^2*$J$6+$M$5*$J$7</f>
        <v>37.330783151059805</v>
      </c>
      <c r="S45" s="39">
        <f>$J$3+[45]FormattedData!L54*$J$4+$M$4*$J$5+[45]FormattedData!L54^2*$J$6+$M$5*$J$7</f>
        <v>36.293263362845927</v>
      </c>
      <c r="T45" s="39">
        <f>$J$3+[45]FormattedData!M54*$J$4+$M$4*$J$5+[45]FormattedData!M54^2*$J$6+$M$5*$J$7</f>
        <v>44.086546408273186</v>
      </c>
      <c r="U45" s="39">
        <f>$J$3+[45]FormattedData!N54*$J$4+$M$4*$J$5+[45]FormattedData!N54^2*$J$6+$M$5*$J$7</f>
        <v>37.330783151059805</v>
      </c>
      <c r="V45" s="39">
        <f>$J$3+[45]FormattedData!O54*$J$4+$M$4*$J$5+[45]FormattedData!O54^2*$J$6+$M$5*$J$7</f>
        <v>45.265999423566576</v>
      </c>
      <c r="W45" s="38">
        <f>AVERAGE(K45:V45)</f>
        <v>38.929162362114141</v>
      </c>
      <c r="X45" s="37">
        <f>STDEV(K45:V45)/SQRT(COUNT(K45:V45))</f>
        <v>0.82137847242150797</v>
      </c>
      <c r="Y45" s="36">
        <f>MIN(K45:V45)</f>
        <v>36.198689770871624</v>
      </c>
      <c r="Z45" s="35">
        <f>QUARTILE(K45:V45,1)</f>
        <v>37.330783151059805</v>
      </c>
      <c r="AA45" s="36">
        <f>MEDIAN(K45:V45)</f>
        <v>38.128867893144808</v>
      </c>
      <c r="AB45" s="35">
        <f>QUARTILE(K45:V45,3)</f>
        <v>38.900783692094855</v>
      </c>
      <c r="AC45" s="35">
        <f>MAX(K45:V45)</f>
        <v>45.265999423566576</v>
      </c>
      <c r="AD45" s="35">
        <f>SKEW(K45:V45)</f>
        <v>1.619883613548261</v>
      </c>
      <c r="AE45" s="35">
        <f>KURT(K45:V45)</f>
        <v>1.8320631440962298</v>
      </c>
    </row>
    <row r="46" spans="2:31" x14ac:dyDescent="0.2">
      <c r="B46" s="50">
        <f>[45]FormattedData!A52</f>
        <v>905</v>
      </c>
      <c r="C46" s="50" t="str">
        <f>VLOOKUP($B46,[45]TrtCodes!$B$11:I95,2)</f>
        <v>WS</v>
      </c>
      <c r="D46" s="50">
        <f>VLOOKUP($B46,[45]TrtCodes!$B$11:J95,3)</f>
        <v>32</v>
      </c>
      <c r="E46" s="50">
        <f>VLOOKUP($B46,[45]TrtCodes!$B$11:K95,4)</f>
        <v>9</v>
      </c>
      <c r="F46" s="50">
        <f>VLOOKUP($B46,[45]TrtCodes!$B$11:L95,5)</f>
        <v>0</v>
      </c>
      <c r="G46" s="50">
        <f>VLOOKUP($B46,[45]TrtCodes!$B$11:M95,6)</f>
        <v>1</v>
      </c>
      <c r="H46" s="50">
        <f>VLOOKUP($B46,[45]TrtCodes!$B$11:N95,7)</f>
        <v>2</v>
      </c>
      <c r="I46" s="50">
        <f>[45]FormattedData!B52</f>
        <v>1</v>
      </c>
      <c r="J46" s="48">
        <f>[45]FormattedData!C52</f>
        <v>13.273</v>
      </c>
      <c r="K46" s="47">
        <f>$J$3+[45]FormattedData!D52*$J$4+$M$4*$J$5+[45]FormattedData!D52^2*$J$6+$M$5*$J$7</f>
        <v>36.576730527541244</v>
      </c>
      <c r="L46" s="47">
        <f>$J$3+[45]FormattedData!E52*$J$4+$M$4*$J$5+[45]FormattedData!E52^2*$J$6+$M$5*$J$7</f>
        <v>35.914715383721131</v>
      </c>
      <c r="M46" s="47">
        <f>$J$3+[45]FormattedData!F52*$J$4+$M$4*$J$5+[45]FormattedData!F52^2*$J$6+$M$5*$J$7</f>
        <v>36.293263362845927</v>
      </c>
      <c r="N46" s="47">
        <f>$J$3+[45]FormattedData!G52*$J$4+$M$4*$J$5+[45]FormattedData!G52^2*$J$6+$M$5*$J$7</f>
        <v>36.198689770871624</v>
      </c>
      <c r="O46" s="47">
        <f>$J$3+[45]FormattedData!H52*$J$4+$M$4*$J$5+[45]FormattedData!H52^2*$J$6+$M$5*$J$7</f>
        <v>36.576730527541244</v>
      </c>
      <c r="P46" s="47">
        <f>$J$3+[45]FormattedData!I52*$J$4+$M$4*$J$5+[45]FormattedData!I52^2*$J$6+$M$5*$J$7</f>
        <v>36.765497294648469</v>
      </c>
      <c r="Q46" s="47">
        <f>$J$3+[45]FormattedData!J52*$J$4+$M$4*$J$5+[45]FormattedData!J52^2*$J$6+$M$5*$J$7</f>
        <v>37.518873621560125</v>
      </c>
      <c r="R46" s="47">
        <f>$J$3+[45]FormattedData!K52*$J$4+$M$4*$J$5+[45]FormattedData!K52^2*$J$6+$M$5*$J$7</f>
        <v>37.988360098397145</v>
      </c>
      <c r="S46" s="47">
        <f>$J$3+[45]FormattedData!L52*$J$4+$M$4*$J$5+[45]FormattedData!L52^2*$J$6+$M$5*$J$7</f>
        <v>36.48228374118073</v>
      </c>
      <c r="T46" s="47">
        <f>$J$3+[45]FormattedData!M52*$J$4+$M$4*$J$5+[45]FormattedData!M52^2*$J$6+$M$5*$J$7</f>
        <v>36.671135045363826</v>
      </c>
      <c r="U46" s="47">
        <f>$J$3+[45]FormattedData!N52*$J$4+$M$4*$J$5+[45]FormattedData!N52^2*$J$6+$M$5*$J$7</f>
        <v>36.576730527541244</v>
      </c>
      <c r="V46" s="47">
        <f>$J$3+[45]FormattedData!O52*$J$4+$M$4*$J$5+[45]FormattedData!O52^2*$J$6+$M$5*$J$7</f>
        <v>36.293263362845927</v>
      </c>
      <c r="W46" s="49">
        <f>AVERAGE(K46:V46)</f>
        <v>36.654689438671554</v>
      </c>
      <c r="X46" s="48">
        <f>STDEV(K46:V46)/SQRT(COUNT(K46:V46))</f>
        <v>0.16520767429120034</v>
      </c>
      <c r="Y46" s="47">
        <f>MIN(K46:V46)</f>
        <v>35.914715383721131</v>
      </c>
      <c r="Z46" s="46">
        <f>QUARTILE(K46:V46,1)</f>
        <v>36.293263362845927</v>
      </c>
      <c r="AA46" s="47">
        <f>MEDIAN(K46:V46)</f>
        <v>36.576730527541244</v>
      </c>
      <c r="AB46" s="46">
        <f>QUARTILE(K46:V46,3)</f>
        <v>36.694725607684987</v>
      </c>
      <c r="AC46" s="46">
        <f>MAX(K46:V46)</f>
        <v>37.988360098397145</v>
      </c>
      <c r="AD46" s="46">
        <f>SKEW(K46:V46)</f>
        <v>1.407256068684954</v>
      </c>
      <c r="AE46" s="46">
        <f>KURT(K46:V46)</f>
        <v>1.9889939873053422</v>
      </c>
    </row>
    <row r="47" spans="2:31" x14ac:dyDescent="0.2">
      <c r="B47" s="34">
        <f>[45]FormattedData!A50</f>
        <v>906</v>
      </c>
      <c r="C47" s="34" t="str">
        <f>VLOOKUP($B47,[45]TrtCodes!$B$11:I93,2)</f>
        <v>Late</v>
      </c>
      <c r="D47" s="34">
        <f>VLOOKUP($B47,[45]TrtCodes!$B$11:J93,3)</f>
        <v>22</v>
      </c>
      <c r="E47" s="34">
        <f>VLOOKUP($B47,[45]TrtCodes!$B$11:K93,4)</f>
        <v>4</v>
      </c>
      <c r="F47" s="34">
        <f>VLOOKUP($B47,[45]TrtCodes!$B$11:L93,5)</f>
        <v>2</v>
      </c>
      <c r="G47" s="34">
        <f>VLOOKUP($B47,[45]TrtCodes!$B$11:M93,6)</f>
        <v>2</v>
      </c>
      <c r="H47" s="34">
        <f>VLOOKUP($B47,[45]TrtCodes!$B$11:N93,7)</f>
        <v>2</v>
      </c>
      <c r="I47" s="34">
        <f>[45]FormattedData!B50</f>
        <v>1</v>
      </c>
      <c r="J47" s="37">
        <f>[45]FormattedData!C50</f>
        <v>13.265000000000001</v>
      </c>
      <c r="K47" s="39">
        <f>$J$3+[45]FormattedData!D50*$J$4+$M$4*$J$5+[45]FormattedData!D50^2*$J$6+$M$5*$J$7</f>
        <v>36.387794686282298</v>
      </c>
      <c r="L47" s="39">
        <f>$J$3+[45]FormattedData!E50*$J$4+$M$4*$J$5+[45]FormattedData!E50^2*$J$6+$M$5*$J$7</f>
        <v>38.737340497363967</v>
      </c>
      <c r="M47" s="39">
        <f>$J$3+[45]FormattedData!F50*$J$4+$M$4*$J$5+[45]FormattedData!F50^2*$J$6+$M$5*$J$7</f>
        <v>38.175858809366446</v>
      </c>
      <c r="N47" s="39">
        <f>$J$3+[45]FormattedData!G50*$J$4+$M$4*$J$5+[45]FormattedData!G50^2*$J$6+$M$5*$J$7</f>
        <v>36.671135045363826</v>
      </c>
      <c r="O47" s="39">
        <f>$J$3+[45]FormattedData!H50*$J$4+$M$4*$J$5+[45]FormattedData!H50^2*$J$6+$M$5*$J$7</f>
        <v>45.265999423566576</v>
      </c>
      <c r="P47" s="39">
        <f>$J$3+[45]FormattedData!I50*$J$4+$M$4*$J$5+[45]FormattedData!I50^2*$J$6+$M$5*$J$7</f>
        <v>40.227185736014818</v>
      </c>
      <c r="Q47" s="39">
        <f>$J$3+[45]FormattedData!J50*$J$4+$M$4*$J$5+[45]FormattedData!J50^2*$J$6+$M$5*$J$7</f>
        <v>44.268465672235564</v>
      </c>
      <c r="R47" s="39">
        <f>$J$3+[45]FormattedData!K50*$J$4+$M$4*$J$5+[45]FormattedData!K50^2*$J$6+$M$5*$J$7</f>
        <v>37.14252360640775</v>
      </c>
      <c r="S47" s="39">
        <f>$J$3+[45]FormattedData!L50*$J$4+$M$4*$J$5+[45]FormattedData!L50^2*$J$6+$M$5*$J$7</f>
        <v>41.982322668050607</v>
      </c>
      <c r="T47" s="39">
        <f>$J$3+[45]FormattedData!M50*$J$4+$M$4*$J$5+[45]FormattedData!M50^2*$J$6+$M$5*$J$7</f>
        <v>37.14252360640775</v>
      </c>
      <c r="U47" s="39">
        <f>$J$3+[45]FormattedData!N50*$J$4+$M$4*$J$5+[45]FormattedData!N50^2*$J$6+$M$5*$J$7</f>
        <v>36.671135045363826</v>
      </c>
      <c r="V47" s="39">
        <f>$J$3+[45]FormattedData!O50*$J$4+$M$4*$J$5+[45]FormattedData!O50^2*$J$6+$M$5*$J$7</f>
        <v>36.859817275395194</v>
      </c>
      <c r="W47" s="38">
        <f>AVERAGE(K47:V47)</f>
        <v>39.127675172651543</v>
      </c>
      <c r="X47" s="37">
        <f>STDEV(K47:V47)/SQRT(COUNT(K47:V47))</f>
        <v>0.90085800733318777</v>
      </c>
      <c r="Y47" s="36">
        <f>MIN(K47:V47)</f>
        <v>36.387794686282298</v>
      </c>
      <c r="Z47" s="35">
        <f>QUARTILE(K47:V47,1)</f>
        <v>36.812646717887354</v>
      </c>
      <c r="AA47" s="36">
        <f>MEDIAN(K47:V47)</f>
        <v>37.659191207887098</v>
      </c>
      <c r="AB47" s="35">
        <f>QUARTILE(K47:V47,3)</f>
        <v>40.665969969023763</v>
      </c>
      <c r="AC47" s="35">
        <f>MAX(K47:V47)</f>
        <v>45.265999423566576</v>
      </c>
      <c r="AD47" s="35">
        <f>SKEW(K47:V47)</f>
        <v>1.1245851130532185</v>
      </c>
      <c r="AE47" s="35">
        <f>KURT(K47:V47)</f>
        <v>-8.9677808875052278E-2</v>
      </c>
    </row>
    <row r="48" spans="2:31" x14ac:dyDescent="0.2">
      <c r="B48" s="50">
        <f>[45]FormattedData!A48</f>
        <v>907</v>
      </c>
      <c r="C48" s="50" t="str">
        <f>VLOOKUP($B48,[45]TrtCodes!$B$11:I91,2)</f>
        <v>DS</v>
      </c>
      <c r="D48" s="50">
        <f>VLOOKUP($B48,[45]TrtCodes!$B$11:J91,3)</f>
        <v>31</v>
      </c>
      <c r="E48" s="50">
        <f>VLOOKUP($B48,[45]TrtCodes!$B$11:K91,4)</f>
        <v>8</v>
      </c>
      <c r="F48" s="50">
        <f>VLOOKUP($B48,[45]TrtCodes!$B$11:L91,5)</f>
        <v>0</v>
      </c>
      <c r="G48" s="50">
        <f>VLOOKUP($B48,[45]TrtCodes!$B$11:M91,6)</f>
        <v>1</v>
      </c>
      <c r="H48" s="50">
        <f>VLOOKUP($B48,[45]TrtCodes!$B$11:N91,7)</f>
        <v>2</v>
      </c>
      <c r="I48" s="50">
        <f>[45]FormattedData!B48</f>
        <v>1</v>
      </c>
      <c r="J48" s="48">
        <f>[45]FormattedData!C48</f>
        <v>13.257</v>
      </c>
      <c r="K48" s="47">
        <f>$J$3+[45]FormattedData!D48*$J$4+$M$4*$J$5+[45]FormattedData!D48^2*$J$6+$M$5*$J$7</f>
        <v>61.853768361414978</v>
      </c>
      <c r="L48" s="47">
        <f>$J$3+[45]FormattedData!E48*$J$4+$M$4*$J$5+[45]FormattedData!E48^2*$J$6+$M$5*$J$7</f>
        <v>62.182777614084493</v>
      </c>
      <c r="M48" s="47">
        <f>$J$3+[45]FormattedData!F48*$J$4+$M$4*$J$5+[45]FormattedData!F48^2*$J$6+$M$5*$J$7</f>
        <v>62.100588703724007</v>
      </c>
      <c r="N48" s="47">
        <f>$J$3+[45]FormattedData!G48*$J$4+$M$4*$J$5+[45]FormattedData!G48^2*$J$6+$M$5*$J$7</f>
        <v>61.771410376902793</v>
      </c>
      <c r="O48" s="47">
        <f>$J$3+[45]FormattedData!H48*$J$4+$M$4*$J$5+[45]FormattedData!H48^2*$J$6+$M$5*$J$7</f>
        <v>61.936084077389268</v>
      </c>
      <c r="P48" s="47">
        <f>$J$3+[45]FormattedData!I48*$J$4+$M$4*$J$5+[45]FormattedData!I48^2*$J$6+$M$5*$J$7</f>
        <v>61.689010123852647</v>
      </c>
      <c r="Q48" s="47">
        <f>$J$3+[45]FormattedData!J48*$J$4+$M$4*$J$5+[45]FormattedData!J48^2*$J$6+$M$5*$J$7</f>
        <v>61.771410376902793</v>
      </c>
      <c r="R48" s="47">
        <f>$J$3+[45]FormattedData!K48*$J$4+$M$4*$J$5+[45]FormattedData!K48^2*$J$6+$M$5*$J$7</f>
        <v>61.028286432086048</v>
      </c>
      <c r="S48" s="47">
        <f>$J$3+[45]FormattedData!L48*$J$4+$M$4*$J$5+[45]FormattedData!L48^2*$J$6+$M$5*$J$7</f>
        <v>61.028286432086048</v>
      </c>
      <c r="T48" s="47">
        <f>$J$3+[45]FormattedData!M48*$J$4+$M$4*$J$5+[45]FormattedData!M48^2*$J$6+$M$5*$J$7</f>
        <v>62.018357524825618</v>
      </c>
      <c r="U48" s="47">
        <f>$J$3+[45]FormattedData!N48*$J$4+$M$4*$J$5+[45]FormattedData!N48^2*$J$6+$M$5*$J$7</f>
        <v>61.524082812138595</v>
      </c>
      <c r="V48" s="47">
        <f>$J$3+[45]FormattedData!O48*$J$4+$M$4*$J$5+[45]FormattedData!O48^2*$J$6+$M$5*$J$7</f>
        <v>61.441555753474653</v>
      </c>
      <c r="W48" s="49">
        <f>AVERAGE(K48:V48)</f>
        <v>61.695468215740163</v>
      </c>
      <c r="X48" s="48">
        <f>STDEV(K48:V48)/SQRT(COUNT(K48:V48))</f>
        <v>0.10956142545133592</v>
      </c>
      <c r="Y48" s="47">
        <f>MIN(K48:V48)</f>
        <v>61.028286432086048</v>
      </c>
      <c r="Z48" s="46">
        <f>QUARTILE(K48:V48,1)</f>
        <v>61.503451047472609</v>
      </c>
      <c r="AA48" s="47">
        <f>MEDIAN(K48:V48)</f>
        <v>61.771410376902793</v>
      </c>
      <c r="AB48" s="46">
        <f>QUARTILE(K48:V48,3)</f>
        <v>61.956652439248359</v>
      </c>
      <c r="AC48" s="46">
        <f>MAX(K48:V48)</f>
        <v>62.182777614084493</v>
      </c>
      <c r="AD48" s="46">
        <f>SKEW(K48:V48)</f>
        <v>-0.75971997511122613</v>
      </c>
      <c r="AE48" s="46">
        <f>KURT(K48:V48)</f>
        <v>-0.23954196331117172</v>
      </c>
    </row>
    <row r="49" spans="2:31" ht="13.5" thickBot="1" x14ac:dyDescent="0.25">
      <c r="B49" s="45">
        <f>[45]FormattedData!A46</f>
        <v>908</v>
      </c>
      <c r="C49" s="45" t="str">
        <f>VLOOKUP($B49,[45]TrtCodes!$B$11:I89,2)</f>
        <v>Early</v>
      </c>
      <c r="D49" s="45">
        <f>VLOOKUP($B49,[45]TrtCodes!$B$11:J89,3)</f>
        <v>21</v>
      </c>
      <c r="E49" s="45">
        <f>VLOOKUP($B49,[45]TrtCodes!$B$11:K89,4)</f>
        <v>3</v>
      </c>
      <c r="F49" s="45">
        <f>VLOOKUP($B49,[45]TrtCodes!$B$11:L89,5)</f>
        <v>2</v>
      </c>
      <c r="G49" s="45">
        <f>VLOOKUP($B49,[45]TrtCodes!$B$11:M89,6)</f>
        <v>2</v>
      </c>
      <c r="H49" s="45">
        <f>VLOOKUP($B49,[45]TrtCodes!$B$11:N89,7)</f>
        <v>2</v>
      </c>
      <c r="I49" s="45">
        <f>[45]FormattedData!B46</f>
        <v>1</v>
      </c>
      <c r="J49" s="42">
        <f>[45]FormattedData!C46</f>
        <v>13.247999999999999</v>
      </c>
      <c r="K49" s="44">
        <f>$J$3+[45]FormattedData!D46*$J$4+$M$4*$J$5+[45]FormattedData!D46^2*$J$6+$M$5*$J$7</f>
        <v>36.671135045363826</v>
      </c>
      <c r="L49" s="44">
        <f>$J$3+[45]FormattedData!E46*$J$4+$M$4*$J$5+[45]FormattedData!E46^2*$J$6+$M$5*$J$7</f>
        <v>43.357178610906416</v>
      </c>
      <c r="M49" s="44">
        <f>$J$3+[45]FormattedData!F46*$J$4+$M$4*$J$5+[45]FormattedData!F46^2*$J$6+$M$5*$J$7</f>
        <v>40.505327064930817</v>
      </c>
      <c r="N49" s="44">
        <f>$J$3+[45]FormattedData!G46*$J$4+$M$4*$J$5+[45]FormattedData!G46^2*$J$6+$M$5*$J$7</f>
        <v>39.297300517995971</v>
      </c>
      <c r="O49" s="44">
        <f>$J$3+[45]FormattedData!H46*$J$4+$M$4*$J$5+[45]FormattedData!H46^2*$J$6+$M$5*$J$7</f>
        <v>43.44849752546002</v>
      </c>
      <c r="P49" s="44">
        <f>$J$3+[45]FormattedData!I46*$J$4+$M$4*$J$5+[45]FormattedData!I46^2*$J$6+$M$5*$J$7</f>
        <v>43.44849752546002</v>
      </c>
      <c r="Q49" s="44">
        <f>$J$3+[45]FormattedData!J46*$J$4+$M$4*$J$5+[45]FormattedData!J46^2*$J$6+$M$5*$J$7</f>
        <v>39.76277148372953</v>
      </c>
      <c r="R49" s="44">
        <f>$J$3+[45]FormattedData!K46*$J$4+$M$4*$J$5+[45]FormattedData!K46^2*$J$6+$M$5*$J$7</f>
        <v>44.359361901409855</v>
      </c>
      <c r="S49" s="44">
        <f>$J$3+[45]FormattedData!L46*$J$4+$M$4*$J$5+[45]FormattedData!L46^2*$J$6+$M$5*$J$7</f>
        <v>38.643865887375874</v>
      </c>
      <c r="T49" s="44">
        <f>$J$3+[45]FormattedData!M46*$J$4+$M$4*$J$5+[45]FormattedData!M46^2*$J$6+$M$5*$J$7</f>
        <v>47.335224814382173</v>
      </c>
      <c r="U49" s="44">
        <f>$J$3+[45]FormattedData!N46*$J$4+$M$4*$J$5+[45]FormattedData!N46^2*$J$6+$M$5*$J$7</f>
        <v>37.518873621560125</v>
      </c>
      <c r="V49" s="44">
        <f>$J$3+[45]FormattedData!O46*$J$4+$M$4*$J$5+[45]FormattedData!O46^2*$J$6+$M$5*$J$7</f>
        <v>37.14252360640775</v>
      </c>
      <c r="W49" s="43">
        <f>AVERAGE(K49:V49)</f>
        <v>40.957546467081862</v>
      </c>
      <c r="X49" s="42">
        <f>STDEV(K49:V49)/SQRT(COUNT(K49:V49))</f>
        <v>0.9727684464506543</v>
      </c>
      <c r="Y49" s="41">
        <f>MIN(K49:V49)</f>
        <v>36.671135045363826</v>
      </c>
      <c r="Z49" s="40">
        <f>QUARTILE(K49:V49,1)</f>
        <v>38.36261782092194</v>
      </c>
      <c r="AA49" s="41">
        <f>MEDIAN(K49:V49)</f>
        <v>40.134049274330174</v>
      </c>
      <c r="AB49" s="40">
        <f>QUARTILE(K49:V49,3)</f>
        <v>43.44849752546002</v>
      </c>
      <c r="AC49" s="40">
        <f>MAX(K49:V49)</f>
        <v>47.335224814382173</v>
      </c>
      <c r="AD49" s="40">
        <f>SKEW(K49:V49)</f>
        <v>0.42708805970172065</v>
      </c>
      <c r="AE49" s="40">
        <f>KURT(K49:V49)</f>
        <v>-0.82413783379725514</v>
      </c>
    </row>
    <row r="50" spans="2:31" ht="13.5" thickTop="1" x14ac:dyDescent="0.2">
      <c r="B50" s="34">
        <f>[45]FormattedData!A29</f>
        <v>0</v>
      </c>
      <c r="C50" s="34" t="e">
        <f>VLOOKUP($B50,[45]TrtCodes!$B$11:I72,2)</f>
        <v>#N/A</v>
      </c>
      <c r="D50" s="34" t="e">
        <f>VLOOKUP($B50,[45]TrtCodes!$B$11:J72,3)</f>
        <v>#N/A</v>
      </c>
      <c r="E50" s="34" t="e">
        <f>VLOOKUP($B50,[45]TrtCodes!$B$11:K72,4)</f>
        <v>#N/A</v>
      </c>
      <c r="F50" s="34" t="e">
        <f>VLOOKUP($B50,[45]TrtCodes!$B$11:L72,5)</f>
        <v>#N/A</v>
      </c>
      <c r="G50" s="34" t="e">
        <f>VLOOKUP($B50,[45]TrtCodes!$B$11:M72,6)</f>
        <v>#N/A</v>
      </c>
      <c r="H50" s="34" t="e">
        <f>VLOOKUP($B50,[45]TrtCodes!$B$11:N72,7)</f>
        <v>#N/A</v>
      </c>
      <c r="I50" s="34">
        <f>[45]FormattedData!B29</f>
        <v>0</v>
      </c>
      <c r="J50" s="37">
        <f>[45]FormattedData!C29</f>
        <v>0</v>
      </c>
      <c r="K50" s="39">
        <f>$J$3+[45]FormattedData!D29*$J$4+$M$4*$J$5+[45]FormattedData!D29^2*$J$6+$M$5*$J$7</f>
        <v>-0.5944129346428404</v>
      </c>
      <c r="L50" s="39">
        <f>$J$3+[45]FormattedData!E29*$J$4+$M$4*$J$5+[45]FormattedData!E29^2*$J$6+$M$5*$J$7</f>
        <v>-0.5944129346428404</v>
      </c>
      <c r="M50" s="39">
        <f>$J$3+[45]FormattedData!F29*$J$4+$M$4*$J$5+[45]FormattedData!F29^2*$J$6+$M$5*$J$7</f>
        <v>-0.5944129346428404</v>
      </c>
      <c r="N50" s="39">
        <f>$J$3+[45]FormattedData!G29*$J$4+$M$4*$J$5+[45]FormattedData!G29^2*$J$6+$M$5*$J$7</f>
        <v>-0.5944129346428404</v>
      </c>
      <c r="O50" s="39">
        <f>$J$3+[45]FormattedData!H29*$J$4+$M$4*$J$5+[45]FormattedData!H29^2*$J$6+$M$5*$J$7</f>
        <v>-0.5944129346428404</v>
      </c>
      <c r="P50" s="39">
        <f>$J$3+[45]FormattedData!I29*$J$4+$M$4*$J$5+[45]FormattedData!I29^2*$J$6+$M$5*$J$7</f>
        <v>-0.5944129346428404</v>
      </c>
      <c r="Q50" s="39">
        <f>$J$3+[45]FormattedData!J29*$J$4+$M$4*$J$5+[45]FormattedData!J29^2*$J$6+$M$5*$J$7</f>
        <v>-0.5944129346428404</v>
      </c>
      <c r="R50" s="39">
        <f>$J$3+[45]FormattedData!K29*$J$4+$M$4*$J$5+[45]FormattedData!K29^2*$J$6+$M$5*$J$7</f>
        <v>-0.5944129346428404</v>
      </c>
      <c r="S50" s="39">
        <f>$J$3+[45]FormattedData!L29*$J$4+$M$4*$J$5+[45]FormattedData!L29^2*$J$6+$M$5*$J$7</f>
        <v>-0.5944129346428404</v>
      </c>
      <c r="T50" s="39">
        <f>$J$3+[45]FormattedData!M29*$J$4+$M$4*$J$5+[45]FormattedData!M29^2*$J$6+$M$5*$J$7</f>
        <v>-0.5944129346428404</v>
      </c>
      <c r="U50" s="39">
        <f>$J$3+[45]FormattedData!N29*$J$4+$M$4*$J$5+[45]FormattedData!N29^2*$J$6+$M$5*$J$7</f>
        <v>-0.5944129346428404</v>
      </c>
      <c r="V50" s="39">
        <f>$J$3+[45]FormattedData!O29*$J$4+$M$4*$J$5+[45]FormattedData!O29^2*$J$6+$M$5*$J$7</f>
        <v>-0.5944129346428404</v>
      </c>
      <c r="W50" s="38">
        <f>AVERAGE(K50:V50)</f>
        <v>-0.59441293464284051</v>
      </c>
      <c r="X50" s="37">
        <f>STDEV(K50:V50)/SQRT(COUNT(K50:V50))</f>
        <v>3.3474483693592253E-17</v>
      </c>
      <c r="Y50" s="36">
        <f>MIN(K50:V50)</f>
        <v>-0.5944129346428404</v>
      </c>
      <c r="Z50" s="35">
        <f>QUARTILE(K50:V50,1)</f>
        <v>-0.5944129346428404</v>
      </c>
      <c r="AA50" s="36">
        <f>MEDIAN(K50:V50)</f>
        <v>-0.5944129346428404</v>
      </c>
      <c r="AB50" s="35">
        <f>QUARTILE(K50:V50,3)</f>
        <v>-0.5944129346428404</v>
      </c>
      <c r="AC50" s="35">
        <f>MAX(K50:V50)</f>
        <v>-0.5944129346428404</v>
      </c>
      <c r="AD50" s="35">
        <f>SKEW(K50:V50)</f>
        <v>1.1489125293076057</v>
      </c>
      <c r="AE50" s="35">
        <f>KURT(K50:V50)</f>
        <v>-2.4444444444444446</v>
      </c>
    </row>
    <row r="51" spans="2:31" x14ac:dyDescent="0.2">
      <c r="B51" s="34">
        <f>[45]FormattedData!A27</f>
        <v>0</v>
      </c>
      <c r="C51" s="34" t="e">
        <f>VLOOKUP($B51,[45]TrtCodes!$B$11:I70,2)</f>
        <v>#N/A</v>
      </c>
      <c r="D51" s="34" t="e">
        <f>VLOOKUP($B51,[45]TrtCodes!$B$11:J70,3)</f>
        <v>#N/A</v>
      </c>
      <c r="E51" s="34" t="e">
        <f>VLOOKUP($B51,[45]TrtCodes!$B$11:K70,4)</f>
        <v>#N/A</v>
      </c>
      <c r="F51" s="34" t="e">
        <f>VLOOKUP($B51,[45]TrtCodes!$B$11:L70,5)</f>
        <v>#N/A</v>
      </c>
      <c r="G51" s="34" t="e">
        <f>VLOOKUP($B51,[45]TrtCodes!$B$11:M70,6)</f>
        <v>#N/A</v>
      </c>
      <c r="H51" s="34" t="e">
        <f>VLOOKUP($B51,[45]TrtCodes!$B$11:N70,7)</f>
        <v>#N/A</v>
      </c>
      <c r="I51" s="34">
        <f>[45]FormattedData!B27</f>
        <v>0</v>
      </c>
      <c r="J51" s="37">
        <f>[45]FormattedData!C27</f>
        <v>0</v>
      </c>
      <c r="K51" s="39">
        <f>$J$3+[45]FormattedData!D27*$J$4+$M$4*$J$5+[45]FormattedData!D27^2*$J$6+$M$5*$J$7</f>
        <v>-0.5944129346428404</v>
      </c>
      <c r="L51" s="39">
        <f>$J$3+[45]FormattedData!E27*$J$4+$M$4*$J$5+[45]FormattedData!E27^2*$J$6+$M$5*$J$7</f>
        <v>-0.5944129346428404</v>
      </c>
      <c r="M51" s="39">
        <f>$J$3+[45]FormattedData!F27*$J$4+$M$4*$J$5+[45]FormattedData!F27^2*$J$6+$M$5*$J$7</f>
        <v>-0.5944129346428404</v>
      </c>
      <c r="N51" s="39">
        <f>$J$3+[45]FormattedData!G27*$J$4+$M$4*$J$5+[45]FormattedData!G27^2*$J$6+$M$5*$J$7</f>
        <v>-0.5944129346428404</v>
      </c>
      <c r="O51" s="39">
        <f>$J$3+[45]FormattedData!H27*$J$4+$M$4*$J$5+[45]FormattedData!H27^2*$J$6+$M$5*$J$7</f>
        <v>-0.5944129346428404</v>
      </c>
      <c r="P51" s="39">
        <f>$J$3+[45]FormattedData!I27*$J$4+$M$4*$J$5+[45]FormattedData!I27^2*$J$6+$M$5*$J$7</f>
        <v>-0.5944129346428404</v>
      </c>
      <c r="Q51" s="39">
        <f>$J$3+[45]FormattedData!J27*$J$4+$M$4*$J$5+[45]FormattedData!J27^2*$J$6+$M$5*$J$7</f>
        <v>-0.5944129346428404</v>
      </c>
      <c r="R51" s="39">
        <f>$J$3+[45]FormattedData!K27*$J$4+$M$4*$J$5+[45]FormattedData!K27^2*$J$6+$M$5*$J$7</f>
        <v>-0.5944129346428404</v>
      </c>
      <c r="S51" s="39">
        <f>$J$3+[45]FormattedData!L27*$J$4+$M$4*$J$5+[45]FormattedData!L27^2*$J$6+$M$5*$J$7</f>
        <v>-0.5944129346428404</v>
      </c>
      <c r="T51" s="39">
        <f>$J$3+[45]FormattedData!M27*$J$4+$M$4*$J$5+[45]FormattedData!M27^2*$J$6+$M$5*$J$7</f>
        <v>-0.5944129346428404</v>
      </c>
      <c r="U51" s="39">
        <f>$J$3+[45]FormattedData!N27*$J$4+$M$4*$J$5+[45]FormattedData!N27^2*$J$6+$M$5*$J$7</f>
        <v>-0.5944129346428404</v>
      </c>
      <c r="V51" s="39">
        <f>$J$3+[45]FormattedData!O27*$J$4+$M$4*$J$5+[45]FormattedData!O27^2*$J$6+$M$5*$J$7</f>
        <v>-0.5944129346428404</v>
      </c>
      <c r="W51" s="38">
        <f>AVERAGE(K51:V51)</f>
        <v>-0.59441293464284051</v>
      </c>
      <c r="X51" s="37">
        <f>STDEV(K51:V51)/SQRT(COUNT(K51:V51))</f>
        <v>3.3474483693592253E-17</v>
      </c>
      <c r="Y51" s="36">
        <f>MIN(K51:V51)</f>
        <v>-0.5944129346428404</v>
      </c>
      <c r="Z51" s="35">
        <f>QUARTILE(K51:V51,1)</f>
        <v>-0.5944129346428404</v>
      </c>
      <c r="AA51" s="36">
        <f>MEDIAN(K51:V51)</f>
        <v>-0.5944129346428404</v>
      </c>
      <c r="AB51" s="35">
        <f>QUARTILE(K51:V51,3)</f>
        <v>-0.5944129346428404</v>
      </c>
      <c r="AC51" s="35">
        <f>MAX(K51:V51)</f>
        <v>-0.5944129346428404</v>
      </c>
      <c r="AD51" s="35">
        <f>SKEW(K51:V51)</f>
        <v>1.1489125293076057</v>
      </c>
      <c r="AE51" s="35">
        <f>KURT(K51:V51)</f>
        <v>-2.4444444444444446</v>
      </c>
    </row>
    <row r="52" spans="2:31" x14ac:dyDescent="0.2">
      <c r="B52" s="34">
        <f>[45]FormattedData!A25</f>
        <v>0</v>
      </c>
      <c r="C52" s="34" t="e">
        <f>VLOOKUP($B52,[45]TrtCodes!$B$11:I68,2)</f>
        <v>#N/A</v>
      </c>
      <c r="D52" s="34" t="e">
        <f>VLOOKUP($B52,[45]TrtCodes!$B$11:J68,3)</f>
        <v>#N/A</v>
      </c>
      <c r="E52" s="34" t="e">
        <f>VLOOKUP($B52,[45]TrtCodes!$B$11:K68,4)</f>
        <v>#N/A</v>
      </c>
      <c r="F52" s="34" t="e">
        <f>VLOOKUP($B52,[45]TrtCodes!$B$11:L68,5)</f>
        <v>#N/A</v>
      </c>
      <c r="G52" s="34" t="e">
        <f>VLOOKUP($B52,[45]TrtCodes!$B$11:M68,6)</f>
        <v>#N/A</v>
      </c>
      <c r="H52" s="34" t="e">
        <f>VLOOKUP($B52,[45]TrtCodes!$B$11:N68,7)</f>
        <v>#N/A</v>
      </c>
      <c r="I52" s="34">
        <f>[45]FormattedData!B25</f>
        <v>0</v>
      </c>
      <c r="J52" s="37">
        <f>[45]FormattedData!C25</f>
        <v>0</v>
      </c>
      <c r="K52" s="39">
        <f>$J$3+[45]FormattedData!D25*$J$4+$M$4*$J$5+[45]FormattedData!D25^2*$J$6+$M$5*$J$7</f>
        <v>-0.5944129346428404</v>
      </c>
      <c r="L52" s="39">
        <f>$J$3+[45]FormattedData!E25*$J$4+$M$4*$J$5+[45]FormattedData!E25^2*$J$6+$M$5*$J$7</f>
        <v>-0.5944129346428404</v>
      </c>
      <c r="M52" s="39">
        <f>$J$3+[45]FormattedData!F25*$J$4+$M$4*$J$5+[45]FormattedData!F25^2*$J$6+$M$5*$J$7</f>
        <v>-0.5944129346428404</v>
      </c>
      <c r="N52" s="39">
        <f>$J$3+[45]FormattedData!G25*$J$4+$M$4*$J$5+[45]FormattedData!G25^2*$J$6+$M$5*$J$7</f>
        <v>-0.5944129346428404</v>
      </c>
      <c r="O52" s="39">
        <f>$J$3+[45]FormattedData!H25*$J$4+$M$4*$J$5+[45]FormattedData!H25^2*$J$6+$M$5*$J$7</f>
        <v>-0.5944129346428404</v>
      </c>
      <c r="P52" s="39">
        <f>$J$3+[45]FormattedData!I25*$J$4+$M$4*$J$5+[45]FormattedData!I25^2*$J$6+$M$5*$J$7</f>
        <v>-0.5944129346428404</v>
      </c>
      <c r="Q52" s="39">
        <f>$J$3+[45]FormattedData!J25*$J$4+$M$4*$J$5+[45]FormattedData!J25^2*$J$6+$M$5*$J$7</f>
        <v>-0.5944129346428404</v>
      </c>
      <c r="R52" s="39">
        <f>$J$3+[45]FormattedData!K25*$J$4+$M$4*$J$5+[45]FormattedData!K25^2*$J$6+$M$5*$J$7</f>
        <v>-0.5944129346428404</v>
      </c>
      <c r="S52" s="39">
        <f>$J$3+[45]FormattedData!L25*$J$4+$M$4*$J$5+[45]FormattedData!L25^2*$J$6+$M$5*$J$7</f>
        <v>-0.5944129346428404</v>
      </c>
      <c r="T52" s="39">
        <f>$J$3+[45]FormattedData!M25*$J$4+$M$4*$J$5+[45]FormattedData!M25^2*$J$6+$M$5*$J$7</f>
        <v>-0.5944129346428404</v>
      </c>
      <c r="U52" s="39">
        <f>$J$3+[45]FormattedData!N25*$J$4+$M$4*$J$5+[45]FormattedData!N25^2*$J$6+$M$5*$J$7</f>
        <v>-0.5944129346428404</v>
      </c>
      <c r="V52" s="39">
        <f>$J$3+[45]FormattedData!O25*$J$4+$M$4*$J$5+[45]FormattedData!O25^2*$J$6+$M$5*$J$7</f>
        <v>-0.5944129346428404</v>
      </c>
      <c r="W52" s="38">
        <f>AVERAGE(K52:V52)</f>
        <v>-0.59441293464284051</v>
      </c>
      <c r="X52" s="37">
        <f>STDEV(K52:V52)/SQRT(COUNT(K52:V52))</f>
        <v>3.3474483693592253E-17</v>
      </c>
      <c r="Y52" s="36">
        <f>MIN(K52:V52)</f>
        <v>-0.5944129346428404</v>
      </c>
      <c r="Z52" s="35">
        <f>QUARTILE(K52:V52,1)</f>
        <v>-0.5944129346428404</v>
      </c>
      <c r="AA52" s="36">
        <f>MEDIAN(K52:V52)</f>
        <v>-0.5944129346428404</v>
      </c>
      <c r="AB52" s="35">
        <f>QUARTILE(K52:V52,3)</f>
        <v>-0.5944129346428404</v>
      </c>
      <c r="AC52" s="35">
        <f>MAX(K52:V52)</f>
        <v>-0.5944129346428404</v>
      </c>
      <c r="AD52" s="35">
        <f>SKEW(K52:V52)</f>
        <v>1.1489125293076057</v>
      </c>
      <c r="AE52" s="35">
        <f>KURT(K52:V52)</f>
        <v>-2.4444444444444446</v>
      </c>
    </row>
    <row r="53" spans="2:31" x14ac:dyDescent="0.2">
      <c r="B53" s="34">
        <f>[45]FormattedData!A23</f>
        <v>0</v>
      </c>
      <c r="C53" s="34" t="e">
        <f>VLOOKUP($B53,[45]TrtCodes!$B$11:I66,2)</f>
        <v>#N/A</v>
      </c>
      <c r="D53" s="34" t="e">
        <f>VLOOKUP($B53,[45]TrtCodes!$B$11:J66,3)</f>
        <v>#N/A</v>
      </c>
      <c r="E53" s="34" t="e">
        <f>VLOOKUP($B53,[45]TrtCodes!$B$11:K66,4)</f>
        <v>#N/A</v>
      </c>
      <c r="F53" s="34" t="e">
        <f>VLOOKUP($B53,[45]TrtCodes!$B$11:L66,5)</f>
        <v>#N/A</v>
      </c>
      <c r="G53" s="34" t="e">
        <f>VLOOKUP($B53,[45]TrtCodes!$B$11:M66,6)</f>
        <v>#N/A</v>
      </c>
      <c r="H53" s="34" t="e">
        <f>VLOOKUP($B53,[45]TrtCodes!$B$11:N66,7)</f>
        <v>#N/A</v>
      </c>
      <c r="I53" s="34">
        <f>[45]FormattedData!B23</f>
        <v>0</v>
      </c>
      <c r="J53" s="37">
        <f>[45]FormattedData!C23</f>
        <v>0</v>
      </c>
      <c r="K53" s="39">
        <f>$J$3+[45]FormattedData!D23*$J$4+$M$4*$J$5+[45]FormattedData!D23^2*$J$6+$M$5*$J$7</f>
        <v>-0.5944129346428404</v>
      </c>
      <c r="L53" s="39">
        <f>$J$3+[45]FormattedData!E23*$J$4+$M$4*$J$5+[45]FormattedData!E23^2*$J$6+$M$5*$J$7</f>
        <v>-0.5944129346428404</v>
      </c>
      <c r="M53" s="39">
        <f>$J$3+[45]FormattedData!F23*$J$4+$M$4*$J$5+[45]FormattedData!F23^2*$J$6+$M$5*$J$7</f>
        <v>-0.5944129346428404</v>
      </c>
      <c r="N53" s="39">
        <f>$J$3+[45]FormattedData!G23*$J$4+$M$4*$J$5+[45]FormattedData!G23^2*$J$6+$M$5*$J$7</f>
        <v>-0.5944129346428404</v>
      </c>
      <c r="O53" s="39">
        <f>$J$3+[45]FormattedData!H23*$J$4+$M$4*$J$5+[45]FormattedData!H23^2*$J$6+$M$5*$J$7</f>
        <v>-0.5944129346428404</v>
      </c>
      <c r="P53" s="39">
        <f>$J$3+[45]FormattedData!I23*$J$4+$M$4*$J$5+[45]FormattedData!I23^2*$J$6+$M$5*$J$7</f>
        <v>-0.5944129346428404</v>
      </c>
      <c r="Q53" s="39">
        <f>$J$3+[45]FormattedData!J23*$J$4+$M$4*$J$5+[45]FormattedData!J23^2*$J$6+$M$5*$J$7</f>
        <v>-0.5944129346428404</v>
      </c>
      <c r="R53" s="39">
        <f>$J$3+[45]FormattedData!K23*$J$4+$M$4*$J$5+[45]FormattedData!K23^2*$J$6+$M$5*$J$7</f>
        <v>-0.5944129346428404</v>
      </c>
      <c r="S53" s="39">
        <f>$J$3+[45]FormattedData!L23*$J$4+$M$4*$J$5+[45]FormattedData!L23^2*$J$6+$M$5*$J$7</f>
        <v>-0.5944129346428404</v>
      </c>
      <c r="T53" s="39">
        <f>$J$3+[45]FormattedData!M23*$J$4+$M$4*$J$5+[45]FormattedData!M23^2*$J$6+$M$5*$J$7</f>
        <v>-0.5944129346428404</v>
      </c>
      <c r="U53" s="39">
        <f>$J$3+[45]FormattedData!N23*$J$4+$M$4*$J$5+[45]FormattedData!N23^2*$J$6+$M$5*$J$7</f>
        <v>-0.5944129346428404</v>
      </c>
      <c r="V53" s="39">
        <f>$J$3+[45]FormattedData!O23*$J$4+$M$4*$J$5+[45]FormattedData!O23^2*$J$6+$M$5*$J$7</f>
        <v>-0.5944129346428404</v>
      </c>
      <c r="W53" s="38">
        <f>AVERAGE(K53:V53)</f>
        <v>-0.59441293464284051</v>
      </c>
      <c r="X53" s="37">
        <f>STDEV(K53:V53)/SQRT(COUNT(K53:V53))</f>
        <v>3.3474483693592253E-17</v>
      </c>
      <c r="Y53" s="36">
        <f>MIN(K53:V53)</f>
        <v>-0.5944129346428404</v>
      </c>
      <c r="Z53" s="35">
        <f>QUARTILE(K53:V53,1)</f>
        <v>-0.5944129346428404</v>
      </c>
      <c r="AA53" s="36">
        <f>MEDIAN(K53:V53)</f>
        <v>-0.5944129346428404</v>
      </c>
      <c r="AB53" s="35">
        <f>QUARTILE(K53:V53,3)</f>
        <v>-0.5944129346428404</v>
      </c>
      <c r="AC53" s="35">
        <f>MAX(K53:V53)</f>
        <v>-0.5944129346428404</v>
      </c>
      <c r="AD53" s="35">
        <f>SKEW(K53:V53)</f>
        <v>1.1489125293076057</v>
      </c>
      <c r="AE53" s="35">
        <f>KURT(K53:V53)</f>
        <v>-2.4444444444444446</v>
      </c>
    </row>
    <row r="54" spans="2:31" x14ac:dyDescent="0.2">
      <c r="B54" s="34">
        <f>[45]FormattedData!A21</f>
        <v>0</v>
      </c>
      <c r="C54" s="34" t="e">
        <f>VLOOKUP($B54,[45]TrtCodes!$B$11:I64,2)</f>
        <v>#N/A</v>
      </c>
      <c r="D54" s="34" t="e">
        <f>VLOOKUP($B54,[45]TrtCodes!$B$11:J64,3)</f>
        <v>#N/A</v>
      </c>
      <c r="E54" s="34" t="e">
        <f>VLOOKUP($B54,[45]TrtCodes!$B$11:K64,4)</f>
        <v>#N/A</v>
      </c>
      <c r="F54" s="34" t="e">
        <f>VLOOKUP($B54,[45]TrtCodes!$B$11:L64,5)</f>
        <v>#N/A</v>
      </c>
      <c r="G54" s="34" t="e">
        <f>VLOOKUP($B54,[45]TrtCodes!$B$11:M64,6)</f>
        <v>#N/A</v>
      </c>
      <c r="H54" s="34" t="e">
        <f>VLOOKUP($B54,[45]TrtCodes!$B$11:N64,7)</f>
        <v>#N/A</v>
      </c>
      <c r="I54" s="34">
        <f>[45]FormattedData!B21</f>
        <v>0</v>
      </c>
      <c r="J54" s="37">
        <f>[45]FormattedData!C21</f>
        <v>0</v>
      </c>
      <c r="K54" s="39">
        <f>$J$3+[45]FormattedData!D21*$J$4+$M$4*$J$5+[45]FormattedData!D21^2*$J$6+$M$5*$J$7</f>
        <v>-0.5944129346428404</v>
      </c>
      <c r="L54" s="39">
        <f>$J$3+[45]FormattedData!E21*$J$4+$M$4*$J$5+[45]FormattedData!E21^2*$J$6+$M$5*$J$7</f>
        <v>-0.5944129346428404</v>
      </c>
      <c r="M54" s="39">
        <f>$J$3+[45]FormattedData!F21*$J$4+$M$4*$J$5+[45]FormattedData!F21^2*$J$6+$M$5*$J$7</f>
        <v>-0.5944129346428404</v>
      </c>
      <c r="N54" s="39">
        <f>$J$3+[45]FormattedData!G21*$J$4+$M$4*$J$5+[45]FormattedData!G21^2*$J$6+$M$5*$J$7</f>
        <v>-0.5944129346428404</v>
      </c>
      <c r="O54" s="39">
        <f>$J$3+[45]FormattedData!H21*$J$4+$M$4*$J$5+[45]FormattedData!H21^2*$J$6+$M$5*$J$7</f>
        <v>-0.5944129346428404</v>
      </c>
      <c r="P54" s="39">
        <f>$J$3+[45]FormattedData!I21*$J$4+$M$4*$J$5+[45]FormattedData!I21^2*$J$6+$M$5*$J$7</f>
        <v>-0.5944129346428404</v>
      </c>
      <c r="Q54" s="39">
        <f>$J$3+[45]FormattedData!J21*$J$4+$M$4*$J$5+[45]FormattedData!J21^2*$J$6+$M$5*$J$7</f>
        <v>-0.5944129346428404</v>
      </c>
      <c r="R54" s="39">
        <f>$J$3+[45]FormattedData!K21*$J$4+$M$4*$J$5+[45]FormattedData!K21^2*$J$6+$M$5*$J$7</f>
        <v>-0.5944129346428404</v>
      </c>
      <c r="S54" s="39">
        <f>$J$3+[45]FormattedData!L21*$J$4+$M$4*$J$5+[45]FormattedData!L21^2*$J$6+$M$5*$J$7</f>
        <v>-0.5944129346428404</v>
      </c>
      <c r="T54" s="39">
        <f>$J$3+[45]FormattedData!M21*$J$4+$M$4*$J$5+[45]FormattedData!M21^2*$J$6+$M$5*$J$7</f>
        <v>-0.5944129346428404</v>
      </c>
      <c r="U54" s="39">
        <f>$J$3+[45]FormattedData!N21*$J$4+$M$4*$J$5+[45]FormattedData!N21^2*$J$6+$M$5*$J$7</f>
        <v>-0.5944129346428404</v>
      </c>
      <c r="V54" s="39">
        <f>$J$3+[45]FormattedData!O21*$J$4+$M$4*$J$5+[45]FormattedData!O21^2*$J$6+$M$5*$J$7</f>
        <v>-0.5944129346428404</v>
      </c>
      <c r="W54" s="38">
        <f>AVERAGE(K54:V54)</f>
        <v>-0.59441293464284051</v>
      </c>
      <c r="X54" s="37">
        <f>STDEV(K54:V54)/SQRT(COUNT(K54:V54))</f>
        <v>3.3474483693592253E-17</v>
      </c>
      <c r="Y54" s="36">
        <f>MIN(K54:V54)</f>
        <v>-0.5944129346428404</v>
      </c>
      <c r="Z54" s="35">
        <f>QUARTILE(K54:V54,1)</f>
        <v>-0.5944129346428404</v>
      </c>
      <c r="AA54" s="36">
        <f>MEDIAN(K54:V54)</f>
        <v>-0.5944129346428404</v>
      </c>
      <c r="AB54" s="35">
        <f>QUARTILE(K54:V54,3)</f>
        <v>-0.5944129346428404</v>
      </c>
      <c r="AC54" s="35">
        <f>MAX(K54:V54)</f>
        <v>-0.5944129346428404</v>
      </c>
      <c r="AD54" s="35">
        <f>SKEW(K54:V54)</f>
        <v>1.1489125293076057</v>
      </c>
      <c r="AE54" s="35">
        <f>KURT(K54:V54)</f>
        <v>-2.4444444444444446</v>
      </c>
    </row>
    <row r="55" spans="2:31" x14ac:dyDescent="0.2">
      <c r="B55" s="34">
        <f>[45]FormattedData!A19</f>
        <v>0</v>
      </c>
      <c r="C55" s="34" t="e">
        <f>VLOOKUP($B55,[45]TrtCodes!$B$11:I62,2)</f>
        <v>#N/A</v>
      </c>
      <c r="D55" s="34" t="e">
        <f>VLOOKUP($B55,[45]TrtCodes!$B$11:J62,3)</f>
        <v>#N/A</v>
      </c>
      <c r="E55" s="34" t="e">
        <f>VLOOKUP($B55,[45]TrtCodes!$B$11:K62,4)</f>
        <v>#N/A</v>
      </c>
      <c r="F55" s="34" t="e">
        <f>VLOOKUP($B55,[45]TrtCodes!$B$11:L62,5)</f>
        <v>#N/A</v>
      </c>
      <c r="G55" s="34" t="e">
        <f>VLOOKUP($B55,[45]TrtCodes!$B$11:M62,6)</f>
        <v>#N/A</v>
      </c>
      <c r="H55" s="34" t="e">
        <f>VLOOKUP($B55,[45]TrtCodes!$B$11:N62,7)</f>
        <v>#N/A</v>
      </c>
      <c r="I55" s="34">
        <f>[45]FormattedData!B19</f>
        <v>0</v>
      </c>
      <c r="J55" s="37">
        <f>[45]FormattedData!C19</f>
        <v>0</v>
      </c>
      <c r="K55" s="39">
        <f>$J$3+[45]FormattedData!D19*$J$4+$M$4*$J$5+[45]FormattedData!D19^2*$J$6+$M$5*$J$7</f>
        <v>-0.5944129346428404</v>
      </c>
      <c r="L55" s="39">
        <f>$J$3+[45]FormattedData!E19*$J$4+$M$4*$J$5+[45]FormattedData!E19^2*$J$6+$M$5*$J$7</f>
        <v>-0.5944129346428404</v>
      </c>
      <c r="M55" s="39">
        <f>$J$3+[45]FormattedData!F19*$J$4+$M$4*$J$5+[45]FormattedData!F19^2*$J$6+$M$5*$J$7</f>
        <v>-0.5944129346428404</v>
      </c>
      <c r="N55" s="39">
        <f>$J$3+[45]FormattedData!G19*$J$4+$M$4*$J$5+[45]FormattedData!G19^2*$J$6+$M$5*$J$7</f>
        <v>-0.5944129346428404</v>
      </c>
      <c r="O55" s="39">
        <f>$J$3+[45]FormattedData!H19*$J$4+$M$4*$J$5+[45]FormattedData!H19^2*$J$6+$M$5*$J$7</f>
        <v>-0.5944129346428404</v>
      </c>
      <c r="P55" s="39">
        <f>$J$3+[45]FormattedData!I19*$J$4+$M$4*$J$5+[45]FormattedData!I19^2*$J$6+$M$5*$J$7</f>
        <v>-0.5944129346428404</v>
      </c>
      <c r="Q55" s="39">
        <f>$J$3+[45]FormattedData!J19*$J$4+$M$4*$J$5+[45]FormattedData!J19^2*$J$6+$M$5*$J$7</f>
        <v>-0.5944129346428404</v>
      </c>
      <c r="R55" s="39">
        <f>$J$3+[45]FormattedData!K19*$J$4+$M$4*$J$5+[45]FormattedData!K19^2*$J$6+$M$5*$J$7</f>
        <v>-0.5944129346428404</v>
      </c>
      <c r="S55" s="39">
        <f>$J$3+[45]FormattedData!L19*$J$4+$M$4*$J$5+[45]FormattedData!L19^2*$J$6+$M$5*$J$7</f>
        <v>-0.5944129346428404</v>
      </c>
      <c r="T55" s="39">
        <f>$J$3+[45]FormattedData!M19*$J$4+$M$4*$J$5+[45]FormattedData!M19^2*$J$6+$M$5*$J$7</f>
        <v>-0.5944129346428404</v>
      </c>
      <c r="U55" s="39">
        <f>$J$3+[45]FormattedData!N19*$J$4+$M$4*$J$5+[45]FormattedData!N19^2*$J$6+$M$5*$J$7</f>
        <v>-0.5944129346428404</v>
      </c>
      <c r="V55" s="39">
        <f>$J$3+[45]FormattedData!O19*$J$4+$M$4*$J$5+[45]FormattedData!O19^2*$J$6+$M$5*$J$7</f>
        <v>-0.5944129346428404</v>
      </c>
      <c r="W55" s="38">
        <f>AVERAGE(K55:V55)</f>
        <v>-0.59441293464284051</v>
      </c>
      <c r="X55" s="37">
        <f>STDEV(K55:V55)/SQRT(COUNT(K55:V55))</f>
        <v>3.3474483693592253E-17</v>
      </c>
      <c r="Y55" s="36">
        <f>MIN(K55:V55)</f>
        <v>-0.5944129346428404</v>
      </c>
      <c r="Z55" s="35">
        <f>QUARTILE(K55:V55,1)</f>
        <v>-0.5944129346428404</v>
      </c>
      <c r="AA55" s="36">
        <f>MEDIAN(K55:V55)</f>
        <v>-0.5944129346428404</v>
      </c>
      <c r="AB55" s="35">
        <f>QUARTILE(K55:V55,3)</f>
        <v>-0.5944129346428404</v>
      </c>
      <c r="AC55" s="35">
        <f>MAX(K55:V55)</f>
        <v>-0.5944129346428404</v>
      </c>
      <c r="AD55" s="35">
        <f>SKEW(K55:V55)</f>
        <v>1.1489125293076057</v>
      </c>
      <c r="AE55" s="35">
        <f>KURT(K55:V55)</f>
        <v>-2.4444444444444446</v>
      </c>
    </row>
    <row r="56" spans="2:31" x14ac:dyDescent="0.2">
      <c r="B56" s="34">
        <f>[45]FormattedData!A17</f>
        <v>0</v>
      </c>
      <c r="C56" s="34" t="e">
        <f>VLOOKUP($B56,[45]TrtCodes!$B$11:I60,2)</f>
        <v>#N/A</v>
      </c>
      <c r="D56" s="34" t="e">
        <f>VLOOKUP($B56,[45]TrtCodes!$B$11:J60,3)</f>
        <v>#N/A</v>
      </c>
      <c r="E56" s="34" t="e">
        <f>VLOOKUP($B56,[45]TrtCodes!$B$11:K60,4)</f>
        <v>#N/A</v>
      </c>
      <c r="F56" s="34" t="e">
        <f>VLOOKUP($B56,[45]TrtCodes!$B$11:L60,5)</f>
        <v>#N/A</v>
      </c>
      <c r="G56" s="34" t="e">
        <f>VLOOKUP($B56,[45]TrtCodes!$B$11:M60,6)</f>
        <v>#N/A</v>
      </c>
      <c r="H56" s="34" t="e">
        <f>VLOOKUP($B56,[45]TrtCodes!$B$11:N60,7)</f>
        <v>#N/A</v>
      </c>
      <c r="I56" s="34">
        <f>[45]FormattedData!B17</f>
        <v>0</v>
      </c>
      <c r="J56" s="37">
        <f>[45]FormattedData!C17</f>
        <v>0</v>
      </c>
      <c r="K56" s="39">
        <f>$J$3+[45]FormattedData!D17*$J$4+$M$4*$J$5+[45]FormattedData!D17^2*$J$6+$M$5*$J$7</f>
        <v>-0.5944129346428404</v>
      </c>
      <c r="L56" s="39">
        <f>$J$3+[45]FormattedData!E17*$J$4+$M$4*$J$5+[45]FormattedData!E17^2*$J$6+$M$5*$J$7</f>
        <v>-0.5944129346428404</v>
      </c>
      <c r="M56" s="39">
        <f>$J$3+[45]FormattedData!F17*$J$4+$M$4*$J$5+[45]FormattedData!F17^2*$J$6+$M$5*$J$7</f>
        <v>-0.5944129346428404</v>
      </c>
      <c r="N56" s="39">
        <f>$J$3+[45]FormattedData!G17*$J$4+$M$4*$J$5+[45]FormattedData!G17^2*$J$6+$M$5*$J$7</f>
        <v>-0.5944129346428404</v>
      </c>
      <c r="O56" s="39">
        <f>$J$3+[45]FormattedData!H17*$J$4+$M$4*$J$5+[45]FormattedData!H17^2*$J$6+$M$5*$J$7</f>
        <v>-0.5944129346428404</v>
      </c>
      <c r="P56" s="39">
        <f>$J$3+[45]FormattedData!I17*$J$4+$M$4*$J$5+[45]FormattedData!I17^2*$J$6+$M$5*$J$7</f>
        <v>-0.5944129346428404</v>
      </c>
      <c r="Q56" s="39">
        <f>$J$3+[45]FormattedData!J17*$J$4+$M$4*$J$5+[45]FormattedData!J17^2*$J$6+$M$5*$J$7</f>
        <v>-0.5944129346428404</v>
      </c>
      <c r="R56" s="39">
        <f>$J$3+[45]FormattedData!K17*$J$4+$M$4*$J$5+[45]FormattedData!K17^2*$J$6+$M$5*$J$7</f>
        <v>-0.5944129346428404</v>
      </c>
      <c r="S56" s="39">
        <f>$J$3+[45]FormattedData!L17*$J$4+$M$4*$J$5+[45]FormattedData!L17^2*$J$6+$M$5*$J$7</f>
        <v>-0.5944129346428404</v>
      </c>
      <c r="T56" s="39">
        <f>$J$3+[45]FormattedData!M17*$J$4+$M$4*$J$5+[45]FormattedData!M17^2*$J$6+$M$5*$J$7</f>
        <v>-0.5944129346428404</v>
      </c>
      <c r="U56" s="39">
        <f>$J$3+[45]FormattedData!N17*$J$4+$M$4*$J$5+[45]FormattedData!N17^2*$J$6+$M$5*$J$7</f>
        <v>-0.5944129346428404</v>
      </c>
      <c r="V56" s="39">
        <f>$J$3+[45]FormattedData!O17*$J$4+$M$4*$J$5+[45]FormattedData!O17^2*$J$6+$M$5*$J$7</f>
        <v>-0.5944129346428404</v>
      </c>
      <c r="W56" s="38">
        <f>AVERAGE(K56:V56)</f>
        <v>-0.59441293464284051</v>
      </c>
      <c r="X56" s="37">
        <f>STDEV(K56:V56)/SQRT(COUNT(K56:V56))</f>
        <v>3.3474483693592253E-17</v>
      </c>
      <c r="Y56" s="36">
        <f>MIN(K56:V56)</f>
        <v>-0.5944129346428404</v>
      </c>
      <c r="Z56" s="35">
        <f>QUARTILE(K56:V56,1)</f>
        <v>-0.5944129346428404</v>
      </c>
      <c r="AA56" s="36">
        <f>MEDIAN(K56:V56)</f>
        <v>-0.5944129346428404</v>
      </c>
      <c r="AB56" s="35">
        <f>QUARTILE(K56:V56,3)</f>
        <v>-0.5944129346428404</v>
      </c>
      <c r="AC56" s="35">
        <f>MAX(K56:V56)</f>
        <v>-0.5944129346428404</v>
      </c>
      <c r="AD56" s="35">
        <f>SKEW(K56:V56)</f>
        <v>1.1489125293076057</v>
      </c>
      <c r="AE56" s="35">
        <f>KURT(K56:V56)</f>
        <v>-2.4444444444444446</v>
      </c>
    </row>
    <row r="57" spans="2:31" x14ac:dyDescent="0.2">
      <c r="B57" s="34">
        <f>[45]FormattedData!A15</f>
        <v>0</v>
      </c>
      <c r="C57" s="34" t="e">
        <f>VLOOKUP($B57,[45]TrtCodes!$B$11:I58,2)</f>
        <v>#N/A</v>
      </c>
      <c r="D57" s="34" t="e">
        <f>VLOOKUP($B57,[45]TrtCodes!$B$11:J58,3)</f>
        <v>#N/A</v>
      </c>
      <c r="E57" s="34" t="e">
        <f>VLOOKUP($B57,[45]TrtCodes!$B$11:K58,4)</f>
        <v>#N/A</v>
      </c>
      <c r="F57" s="34" t="e">
        <f>VLOOKUP($B57,[45]TrtCodes!$B$11:L58,5)</f>
        <v>#N/A</v>
      </c>
      <c r="G57" s="34" t="e">
        <f>VLOOKUP($B57,[45]TrtCodes!$B$11:M58,6)</f>
        <v>#N/A</v>
      </c>
      <c r="H57" s="34" t="e">
        <f>VLOOKUP($B57,[45]TrtCodes!$B$11:N58,7)</f>
        <v>#N/A</v>
      </c>
      <c r="I57" s="34">
        <f>[45]FormattedData!B15</f>
        <v>0</v>
      </c>
      <c r="J57" s="37">
        <f>[45]FormattedData!C15</f>
        <v>0</v>
      </c>
      <c r="K57" s="39">
        <f>$J$3+[45]FormattedData!D15*$J$4+$M$4*$J$5+[45]FormattedData!D15^2*$J$6+$M$5*$J$7</f>
        <v>-0.5944129346428404</v>
      </c>
      <c r="L57" s="39">
        <f>$J$3+[45]FormattedData!E15*$J$4+$M$4*$J$5+[45]FormattedData!E15^2*$J$6+$M$5*$J$7</f>
        <v>-0.5944129346428404</v>
      </c>
      <c r="M57" s="39">
        <f>$J$3+[45]FormattedData!F15*$J$4+$M$4*$J$5+[45]FormattedData!F15^2*$J$6+$M$5*$J$7</f>
        <v>-0.5944129346428404</v>
      </c>
      <c r="N57" s="39">
        <f>$J$3+[45]FormattedData!G15*$J$4+$M$4*$J$5+[45]FormattedData!G15^2*$J$6+$M$5*$J$7</f>
        <v>-0.5944129346428404</v>
      </c>
      <c r="O57" s="39">
        <f>$J$3+[45]FormattedData!H15*$J$4+$M$4*$J$5+[45]FormattedData!H15^2*$J$6+$M$5*$J$7</f>
        <v>-0.5944129346428404</v>
      </c>
      <c r="P57" s="39">
        <f>$J$3+[45]FormattedData!I15*$J$4+$M$4*$J$5+[45]FormattedData!I15^2*$J$6+$M$5*$J$7</f>
        <v>-0.5944129346428404</v>
      </c>
      <c r="Q57" s="39">
        <f>$J$3+[45]FormattedData!J15*$J$4+$M$4*$J$5+[45]FormattedData!J15^2*$J$6+$M$5*$J$7</f>
        <v>-0.5944129346428404</v>
      </c>
      <c r="R57" s="39">
        <f>$J$3+[45]FormattedData!K15*$J$4+$M$4*$J$5+[45]FormattedData!K15^2*$J$6+$M$5*$J$7</f>
        <v>-0.5944129346428404</v>
      </c>
      <c r="S57" s="39">
        <f>$J$3+[45]FormattedData!L15*$J$4+$M$4*$J$5+[45]FormattedData!L15^2*$J$6+$M$5*$J$7</f>
        <v>-0.5944129346428404</v>
      </c>
      <c r="T57" s="39">
        <f>$J$3+[45]FormattedData!M15*$J$4+$M$4*$J$5+[45]FormattedData!M15^2*$J$6+$M$5*$J$7</f>
        <v>-0.5944129346428404</v>
      </c>
      <c r="U57" s="39">
        <f>$J$3+[45]FormattedData!N15*$J$4+$M$4*$J$5+[45]FormattedData!N15^2*$J$6+$M$5*$J$7</f>
        <v>-0.5944129346428404</v>
      </c>
      <c r="V57" s="39">
        <f>$J$3+[45]FormattedData!O15*$J$4+$M$4*$J$5+[45]FormattedData!O15^2*$J$6+$M$5*$J$7</f>
        <v>-0.5944129346428404</v>
      </c>
      <c r="W57" s="38">
        <f>AVERAGE(K57:V57)</f>
        <v>-0.59441293464284051</v>
      </c>
      <c r="X57" s="37">
        <f>STDEV(K57:V57)/SQRT(COUNT(K57:V57))</f>
        <v>3.3474483693592253E-17</v>
      </c>
      <c r="Y57" s="36">
        <f>MIN(K57:V57)</f>
        <v>-0.5944129346428404</v>
      </c>
      <c r="Z57" s="35">
        <f>QUARTILE(K57:V57,1)</f>
        <v>-0.5944129346428404</v>
      </c>
      <c r="AA57" s="36">
        <f>MEDIAN(K57:V57)</f>
        <v>-0.5944129346428404</v>
      </c>
      <c r="AB57" s="35">
        <f>QUARTILE(K57:V57,3)</f>
        <v>-0.5944129346428404</v>
      </c>
      <c r="AC57" s="35">
        <f>MAX(K57:V57)</f>
        <v>-0.5944129346428404</v>
      </c>
      <c r="AD57" s="35">
        <f>SKEW(K57:V57)</f>
        <v>1.1489125293076057</v>
      </c>
      <c r="AE57" s="35">
        <f>KURT(K57:V57)</f>
        <v>-2.4444444444444446</v>
      </c>
    </row>
    <row r="58" spans="2:31" x14ac:dyDescent="0.2">
      <c r="B58" s="34">
        <f>[45]FormattedData!A31</f>
        <v>0</v>
      </c>
      <c r="C58" s="34" t="e">
        <f>VLOOKUP($B58,[45]TrtCodes!$B$11:I74,2)</f>
        <v>#N/A</v>
      </c>
      <c r="D58" s="34" t="e">
        <f>VLOOKUP($B58,[45]TrtCodes!$B$11:J74,3)</f>
        <v>#N/A</v>
      </c>
      <c r="E58" s="34" t="e">
        <f>VLOOKUP($B58,[45]TrtCodes!$B$11:K74,4)</f>
        <v>#N/A</v>
      </c>
      <c r="F58" s="34" t="e">
        <f>VLOOKUP($B58,[45]TrtCodes!$B$11:L74,5)</f>
        <v>#N/A</v>
      </c>
      <c r="G58" s="34" t="e">
        <f>VLOOKUP($B58,[45]TrtCodes!$B$11:M74,6)</f>
        <v>#N/A</v>
      </c>
      <c r="H58" s="34" t="e">
        <f>VLOOKUP($B58,[45]TrtCodes!$B$11:N74,7)</f>
        <v>#N/A</v>
      </c>
      <c r="I58" s="34">
        <f>[45]FormattedData!B31</f>
        <v>0</v>
      </c>
      <c r="J58" s="37">
        <f>[45]FormattedData!C31</f>
        <v>0</v>
      </c>
      <c r="K58" s="39">
        <f>$J$3+[45]FormattedData!D31*$J$4+$M$4*$J$5+[45]FormattedData!D31^2*$J$6+$M$5*$J$7</f>
        <v>-0.5944129346428404</v>
      </c>
      <c r="L58" s="39">
        <f>$J$3+[45]FormattedData!E31*$J$4+$M$4*$J$5+[45]FormattedData!E31^2*$J$6+$M$5*$J$7</f>
        <v>-0.5944129346428404</v>
      </c>
      <c r="M58" s="39">
        <f>$J$3+[45]FormattedData!F31*$J$4+$M$4*$J$5+[45]FormattedData!F31^2*$J$6+$M$5*$J$7</f>
        <v>-0.5944129346428404</v>
      </c>
      <c r="N58" s="39">
        <f>$J$3+[45]FormattedData!G31*$J$4+$M$4*$J$5+[45]FormattedData!G31^2*$J$6+$M$5*$J$7</f>
        <v>-0.5944129346428404</v>
      </c>
      <c r="O58" s="39">
        <f>$J$3+[45]FormattedData!H31*$J$4+$M$4*$J$5+[45]FormattedData!H31^2*$J$6+$M$5*$J$7</f>
        <v>-0.5944129346428404</v>
      </c>
      <c r="P58" s="39">
        <f>$J$3+[45]FormattedData!I31*$J$4+$M$4*$J$5+[45]FormattedData!I31^2*$J$6+$M$5*$J$7</f>
        <v>-0.5944129346428404</v>
      </c>
      <c r="Q58" s="39">
        <f>$J$3+[45]FormattedData!J31*$J$4+$M$4*$J$5+[45]FormattedData!J31^2*$J$6+$M$5*$J$7</f>
        <v>-0.5944129346428404</v>
      </c>
      <c r="R58" s="39">
        <f>$J$3+[45]FormattedData!K31*$J$4+$M$4*$J$5+[45]FormattedData!K31^2*$J$6+$M$5*$J$7</f>
        <v>-0.5944129346428404</v>
      </c>
      <c r="S58" s="39">
        <f>$J$3+[45]FormattedData!L31*$J$4+$M$4*$J$5+[45]FormattedData!L31^2*$J$6+$M$5*$J$7</f>
        <v>-0.5944129346428404</v>
      </c>
      <c r="T58" s="39">
        <f>$J$3+[45]FormattedData!M31*$J$4+$M$4*$J$5+[45]FormattedData!M31^2*$J$6+$M$5*$J$7</f>
        <v>-0.5944129346428404</v>
      </c>
      <c r="U58" s="39">
        <f>$J$3+[45]FormattedData!N31*$J$4+$M$4*$J$5+[45]FormattedData!N31^2*$J$6+$M$5*$J$7</f>
        <v>-0.5944129346428404</v>
      </c>
      <c r="V58" s="39">
        <f>$J$3+[45]FormattedData!O31*$J$4+$M$4*$J$5+[45]FormattedData!O31^2*$J$6+$M$5*$J$7</f>
        <v>-0.5944129346428404</v>
      </c>
      <c r="W58" s="38">
        <f>AVERAGE(K58:V58)</f>
        <v>-0.59441293464284051</v>
      </c>
      <c r="X58" s="37">
        <f>STDEV(K58:V58)/SQRT(COUNT(K58:V58))</f>
        <v>3.3474483693592253E-17</v>
      </c>
      <c r="Y58" s="36">
        <f>MIN(K58:V58)</f>
        <v>-0.5944129346428404</v>
      </c>
      <c r="Z58" s="35">
        <f>QUARTILE(K58:V58,1)</f>
        <v>-0.5944129346428404</v>
      </c>
      <c r="AA58" s="36">
        <f>MEDIAN(K58:V58)</f>
        <v>-0.5944129346428404</v>
      </c>
      <c r="AB58" s="35">
        <f>QUARTILE(K58:V58,3)</f>
        <v>-0.5944129346428404</v>
      </c>
      <c r="AC58" s="35">
        <f>MAX(K58:V58)</f>
        <v>-0.5944129346428404</v>
      </c>
      <c r="AD58" s="35">
        <f>SKEW(K58:V58)</f>
        <v>1.1489125293076057</v>
      </c>
      <c r="AE58" s="35">
        <f>KURT(K58:V58)</f>
        <v>-2.4444444444444446</v>
      </c>
    </row>
    <row r="59" spans="2:31" x14ac:dyDescent="0.2">
      <c r="B59" s="34">
        <f>[45]FormattedData!A33</f>
        <v>0</v>
      </c>
      <c r="C59" s="34" t="e">
        <f>VLOOKUP($B59,[45]TrtCodes!$B$11:I76,2)</f>
        <v>#N/A</v>
      </c>
      <c r="D59" s="34" t="e">
        <f>VLOOKUP($B59,[45]TrtCodes!$B$11:J76,3)</f>
        <v>#N/A</v>
      </c>
      <c r="E59" s="34" t="e">
        <f>VLOOKUP($B59,[45]TrtCodes!$B$11:K76,4)</f>
        <v>#N/A</v>
      </c>
      <c r="F59" s="34" t="e">
        <f>VLOOKUP($B59,[45]TrtCodes!$B$11:L76,5)</f>
        <v>#N/A</v>
      </c>
      <c r="G59" s="34" t="e">
        <f>VLOOKUP($B59,[45]TrtCodes!$B$11:M76,6)</f>
        <v>#N/A</v>
      </c>
      <c r="H59" s="34" t="e">
        <f>VLOOKUP($B59,[45]TrtCodes!$B$11:N76,7)</f>
        <v>#N/A</v>
      </c>
      <c r="I59" s="34">
        <f>[45]FormattedData!B33</f>
        <v>0</v>
      </c>
      <c r="J59" s="37">
        <f>[45]FormattedData!C33</f>
        <v>0</v>
      </c>
      <c r="K59" s="39">
        <f>$J$3+[45]FormattedData!D33*$J$4+$M$4*$J$5+[45]FormattedData!D33^2*$J$6+$M$5*$J$7</f>
        <v>-0.5944129346428404</v>
      </c>
      <c r="L59" s="39">
        <f>$J$3+[45]FormattedData!E33*$J$4+$M$4*$J$5+[45]FormattedData!E33^2*$J$6+$M$5*$J$7</f>
        <v>-0.5944129346428404</v>
      </c>
      <c r="M59" s="39">
        <f>$J$3+[45]FormattedData!F33*$J$4+$M$4*$J$5+[45]FormattedData!F33^2*$J$6+$M$5*$J$7</f>
        <v>-0.5944129346428404</v>
      </c>
      <c r="N59" s="39">
        <f>$J$3+[45]FormattedData!G33*$J$4+$M$4*$J$5+[45]FormattedData!G33^2*$J$6+$M$5*$J$7</f>
        <v>-0.5944129346428404</v>
      </c>
      <c r="O59" s="39">
        <f>$J$3+[45]FormattedData!H33*$J$4+$M$4*$J$5+[45]FormattedData!H33^2*$J$6+$M$5*$J$7</f>
        <v>-0.5944129346428404</v>
      </c>
      <c r="P59" s="39">
        <f>$J$3+[45]FormattedData!I33*$J$4+$M$4*$J$5+[45]FormattedData!I33^2*$J$6+$M$5*$J$7</f>
        <v>-0.5944129346428404</v>
      </c>
      <c r="Q59" s="39">
        <f>$J$3+[45]FormattedData!J33*$J$4+$M$4*$J$5+[45]FormattedData!J33^2*$J$6+$M$5*$J$7</f>
        <v>-0.5944129346428404</v>
      </c>
      <c r="R59" s="39">
        <f>$J$3+[45]FormattedData!K33*$J$4+$M$4*$J$5+[45]FormattedData!K33^2*$J$6+$M$5*$J$7</f>
        <v>-0.5944129346428404</v>
      </c>
      <c r="S59" s="39">
        <f>$J$3+[45]FormattedData!L33*$J$4+$M$4*$J$5+[45]FormattedData!L33^2*$J$6+$M$5*$J$7</f>
        <v>-0.5944129346428404</v>
      </c>
      <c r="T59" s="39">
        <f>$J$3+[45]FormattedData!M33*$J$4+$M$4*$J$5+[45]FormattedData!M33^2*$J$6+$M$5*$J$7</f>
        <v>-0.5944129346428404</v>
      </c>
      <c r="U59" s="39">
        <f>$J$3+[45]FormattedData!N33*$J$4+$M$4*$J$5+[45]FormattedData!N33^2*$J$6+$M$5*$J$7</f>
        <v>-0.5944129346428404</v>
      </c>
      <c r="V59" s="39">
        <f>$J$3+[45]FormattedData!O33*$J$4+$M$4*$J$5+[45]FormattedData!O33^2*$J$6+$M$5*$J$7</f>
        <v>-0.5944129346428404</v>
      </c>
      <c r="W59" s="38">
        <f>AVERAGE(K59:V59)</f>
        <v>-0.59441293464284051</v>
      </c>
      <c r="X59" s="37">
        <f>STDEV(K59:V59)/SQRT(COUNT(K59:V59))</f>
        <v>3.3474483693592253E-17</v>
      </c>
      <c r="Y59" s="36">
        <f>MIN(K59:V59)</f>
        <v>-0.5944129346428404</v>
      </c>
      <c r="Z59" s="35">
        <f>QUARTILE(K59:V59,1)</f>
        <v>-0.5944129346428404</v>
      </c>
      <c r="AA59" s="36">
        <f>MEDIAN(K59:V59)</f>
        <v>-0.5944129346428404</v>
      </c>
      <c r="AB59" s="35">
        <f>QUARTILE(K59:V59,3)</f>
        <v>-0.5944129346428404</v>
      </c>
      <c r="AC59" s="35">
        <f>MAX(K59:V59)</f>
        <v>-0.5944129346428404</v>
      </c>
      <c r="AD59" s="35">
        <f>SKEW(K59:V59)</f>
        <v>1.1489125293076057</v>
      </c>
      <c r="AE59" s="35">
        <f>KURT(K59:V59)</f>
        <v>-2.4444444444444446</v>
      </c>
    </row>
    <row r="60" spans="2:31" x14ac:dyDescent="0.2">
      <c r="B60" s="34">
        <f>[45]FormattedData!A35</f>
        <v>0</v>
      </c>
      <c r="C60" s="34" t="e">
        <f>VLOOKUP($B60,[45]TrtCodes!$B$11:I78,2)</f>
        <v>#N/A</v>
      </c>
      <c r="D60" s="34" t="e">
        <f>VLOOKUP($B60,[45]TrtCodes!$B$11:J78,3)</f>
        <v>#N/A</v>
      </c>
      <c r="E60" s="34" t="e">
        <f>VLOOKUP($B60,[45]TrtCodes!$B$11:K78,4)</f>
        <v>#N/A</v>
      </c>
      <c r="F60" s="34" t="e">
        <f>VLOOKUP($B60,[45]TrtCodes!$B$11:L78,5)</f>
        <v>#N/A</v>
      </c>
      <c r="G60" s="34" t="e">
        <f>VLOOKUP($B60,[45]TrtCodes!$B$11:M78,6)</f>
        <v>#N/A</v>
      </c>
      <c r="H60" s="34" t="e">
        <f>VLOOKUP($B60,[45]TrtCodes!$B$11:N78,7)</f>
        <v>#N/A</v>
      </c>
      <c r="I60" s="34">
        <f>[45]FormattedData!B35</f>
        <v>0</v>
      </c>
      <c r="J60" s="37">
        <f>[45]FormattedData!C35</f>
        <v>0</v>
      </c>
      <c r="K60" s="39">
        <f>$J$3+[45]FormattedData!D35*$J$4+$M$4*$J$5+[45]FormattedData!D35^2*$J$6+$M$5*$J$7</f>
        <v>-0.5944129346428404</v>
      </c>
      <c r="L60" s="39">
        <f>$J$3+[45]FormattedData!E35*$J$4+$M$4*$J$5+[45]FormattedData!E35^2*$J$6+$M$5*$J$7</f>
        <v>-0.5944129346428404</v>
      </c>
      <c r="M60" s="39">
        <f>$J$3+[45]FormattedData!F35*$J$4+$M$4*$J$5+[45]FormattedData!F35^2*$J$6+$M$5*$J$7</f>
        <v>-0.5944129346428404</v>
      </c>
      <c r="N60" s="39">
        <f>$J$3+[45]FormattedData!G35*$J$4+$M$4*$J$5+[45]FormattedData!G35^2*$J$6+$M$5*$J$7</f>
        <v>-0.5944129346428404</v>
      </c>
      <c r="O60" s="39">
        <f>$J$3+[45]FormattedData!H35*$J$4+$M$4*$J$5+[45]FormattedData!H35^2*$J$6+$M$5*$J$7</f>
        <v>-0.5944129346428404</v>
      </c>
      <c r="P60" s="39">
        <f>$J$3+[45]FormattedData!I35*$J$4+$M$4*$J$5+[45]FormattedData!I35^2*$J$6+$M$5*$J$7</f>
        <v>-0.5944129346428404</v>
      </c>
      <c r="Q60" s="39">
        <f>$J$3+[45]FormattedData!J35*$J$4+$M$4*$J$5+[45]FormattedData!J35^2*$J$6+$M$5*$J$7</f>
        <v>-0.5944129346428404</v>
      </c>
      <c r="R60" s="39">
        <f>$J$3+[45]FormattedData!K35*$J$4+$M$4*$J$5+[45]FormattedData!K35^2*$J$6+$M$5*$J$7</f>
        <v>-0.5944129346428404</v>
      </c>
      <c r="S60" s="39">
        <f>$J$3+[45]FormattedData!L35*$J$4+$M$4*$J$5+[45]FormattedData!L35^2*$J$6+$M$5*$J$7</f>
        <v>-0.5944129346428404</v>
      </c>
      <c r="T60" s="39">
        <f>$J$3+[45]FormattedData!M35*$J$4+$M$4*$J$5+[45]FormattedData!M35^2*$J$6+$M$5*$J$7</f>
        <v>-0.5944129346428404</v>
      </c>
      <c r="U60" s="39">
        <f>$J$3+[45]FormattedData!N35*$J$4+$M$4*$J$5+[45]FormattedData!N35^2*$J$6+$M$5*$J$7</f>
        <v>-0.5944129346428404</v>
      </c>
      <c r="V60" s="39">
        <f>$J$3+[45]FormattedData!O35*$J$4+$M$4*$J$5+[45]FormattedData!O35^2*$J$6+$M$5*$J$7</f>
        <v>-0.5944129346428404</v>
      </c>
      <c r="W60" s="38">
        <f>AVERAGE(K60:V60)</f>
        <v>-0.59441293464284051</v>
      </c>
      <c r="X60" s="37">
        <f>STDEV(K60:V60)/SQRT(COUNT(K60:V60))</f>
        <v>3.3474483693592253E-17</v>
      </c>
      <c r="Y60" s="36">
        <f>MIN(K60:V60)</f>
        <v>-0.5944129346428404</v>
      </c>
      <c r="Z60" s="35">
        <f>QUARTILE(K60:V60,1)</f>
        <v>-0.5944129346428404</v>
      </c>
      <c r="AA60" s="36">
        <f>MEDIAN(K60:V60)</f>
        <v>-0.5944129346428404</v>
      </c>
      <c r="AB60" s="35">
        <f>QUARTILE(K60:V60,3)</f>
        <v>-0.5944129346428404</v>
      </c>
      <c r="AC60" s="35">
        <f>MAX(K60:V60)</f>
        <v>-0.5944129346428404</v>
      </c>
      <c r="AD60" s="35">
        <f>SKEW(K60:V60)</f>
        <v>1.1489125293076057</v>
      </c>
      <c r="AE60" s="35">
        <f>KURT(K60:V60)</f>
        <v>-2.4444444444444446</v>
      </c>
    </row>
    <row r="61" spans="2:31" x14ac:dyDescent="0.2">
      <c r="B61" s="34">
        <f>[45]FormattedData!A37</f>
        <v>0</v>
      </c>
      <c r="C61" s="34" t="e">
        <f>VLOOKUP($B61,[45]TrtCodes!$B$11:I80,2)</f>
        <v>#N/A</v>
      </c>
      <c r="D61" s="34" t="e">
        <f>VLOOKUP($B61,[45]TrtCodes!$B$11:J80,3)</f>
        <v>#N/A</v>
      </c>
      <c r="E61" s="34" t="e">
        <f>VLOOKUP($B61,[45]TrtCodes!$B$11:K80,4)</f>
        <v>#N/A</v>
      </c>
      <c r="F61" s="34" t="e">
        <f>VLOOKUP($B61,[45]TrtCodes!$B$11:L80,5)</f>
        <v>#N/A</v>
      </c>
      <c r="G61" s="34" t="e">
        <f>VLOOKUP($B61,[45]TrtCodes!$B$11:M80,6)</f>
        <v>#N/A</v>
      </c>
      <c r="H61" s="34" t="e">
        <f>VLOOKUP($B61,[45]TrtCodes!$B$11:N80,7)</f>
        <v>#N/A</v>
      </c>
      <c r="I61" s="34">
        <f>[45]FormattedData!B37</f>
        <v>0</v>
      </c>
      <c r="J61" s="37">
        <f>[45]FormattedData!C37</f>
        <v>0</v>
      </c>
      <c r="K61" s="39">
        <f>$J$3+[45]FormattedData!D37*$J$4+$M$4*$J$5+[45]FormattedData!D37^2*$J$6+$M$5*$J$7</f>
        <v>-0.5944129346428404</v>
      </c>
      <c r="L61" s="39">
        <f>$J$3+[45]FormattedData!E37*$J$4+$M$4*$J$5+[45]FormattedData!E37^2*$J$6+$M$5*$J$7</f>
        <v>-0.5944129346428404</v>
      </c>
      <c r="M61" s="39">
        <f>$J$3+[45]FormattedData!F37*$J$4+$M$4*$J$5+[45]FormattedData!F37^2*$J$6+$M$5*$J$7</f>
        <v>-0.5944129346428404</v>
      </c>
      <c r="N61" s="39">
        <f>$J$3+[45]FormattedData!G37*$J$4+$M$4*$J$5+[45]FormattedData!G37^2*$J$6+$M$5*$J$7</f>
        <v>-0.5944129346428404</v>
      </c>
      <c r="O61" s="39">
        <f>$J$3+[45]FormattedData!H37*$J$4+$M$4*$J$5+[45]FormattedData!H37^2*$J$6+$M$5*$J$7</f>
        <v>-0.5944129346428404</v>
      </c>
      <c r="P61" s="39">
        <f>$J$3+[45]FormattedData!I37*$J$4+$M$4*$J$5+[45]FormattedData!I37^2*$J$6+$M$5*$J$7</f>
        <v>-0.5944129346428404</v>
      </c>
      <c r="Q61" s="39">
        <f>$J$3+[45]FormattedData!J37*$J$4+$M$4*$J$5+[45]FormattedData!J37^2*$J$6+$M$5*$J$7</f>
        <v>-0.5944129346428404</v>
      </c>
      <c r="R61" s="39">
        <f>$J$3+[45]FormattedData!K37*$J$4+$M$4*$J$5+[45]FormattedData!K37^2*$J$6+$M$5*$J$7</f>
        <v>-0.5944129346428404</v>
      </c>
      <c r="S61" s="39">
        <f>$J$3+[45]FormattedData!L37*$J$4+$M$4*$J$5+[45]FormattedData!L37^2*$J$6+$M$5*$J$7</f>
        <v>-0.5944129346428404</v>
      </c>
      <c r="T61" s="39">
        <f>$J$3+[45]FormattedData!M37*$J$4+$M$4*$J$5+[45]FormattedData!M37^2*$J$6+$M$5*$J$7</f>
        <v>-0.5944129346428404</v>
      </c>
      <c r="U61" s="39">
        <f>$J$3+[45]FormattedData!N37*$J$4+$M$4*$J$5+[45]FormattedData!N37^2*$J$6+$M$5*$J$7</f>
        <v>-0.5944129346428404</v>
      </c>
      <c r="V61" s="39">
        <f>$J$3+[45]FormattedData!O37*$J$4+$M$4*$J$5+[45]FormattedData!O37^2*$J$6+$M$5*$J$7</f>
        <v>-0.5944129346428404</v>
      </c>
      <c r="W61" s="38">
        <f>AVERAGE(K61:V61)</f>
        <v>-0.59441293464284051</v>
      </c>
      <c r="X61" s="37">
        <f>STDEV(K61:V61)/SQRT(COUNT(K61:V61))</f>
        <v>3.3474483693592253E-17</v>
      </c>
      <c r="Y61" s="36">
        <f>MIN(K61:V61)</f>
        <v>-0.5944129346428404</v>
      </c>
      <c r="Z61" s="35">
        <f>QUARTILE(K61:V61,1)</f>
        <v>-0.5944129346428404</v>
      </c>
      <c r="AA61" s="36">
        <f>MEDIAN(K61:V61)</f>
        <v>-0.5944129346428404</v>
      </c>
      <c r="AB61" s="35">
        <f>QUARTILE(K61:V61,3)</f>
        <v>-0.5944129346428404</v>
      </c>
      <c r="AC61" s="35">
        <f>MAX(K61:V61)</f>
        <v>-0.5944129346428404</v>
      </c>
      <c r="AD61" s="35">
        <f>SKEW(K61:V61)</f>
        <v>1.1489125293076057</v>
      </c>
      <c r="AE61" s="35">
        <f>KURT(K61:V61)</f>
        <v>-2.4444444444444446</v>
      </c>
    </row>
    <row r="62" spans="2:31" x14ac:dyDescent="0.2">
      <c r="B62" s="34">
        <f>[45]FormattedData!A39</f>
        <v>0</v>
      </c>
      <c r="C62" s="34" t="e">
        <f>VLOOKUP($B62,[45]TrtCodes!$B$11:I82,2)</f>
        <v>#N/A</v>
      </c>
      <c r="D62" s="34" t="e">
        <f>VLOOKUP($B62,[45]TrtCodes!$B$11:J82,3)</f>
        <v>#N/A</v>
      </c>
      <c r="E62" s="34" t="e">
        <f>VLOOKUP($B62,[45]TrtCodes!$B$11:K82,4)</f>
        <v>#N/A</v>
      </c>
      <c r="F62" s="34" t="e">
        <f>VLOOKUP($B62,[45]TrtCodes!$B$11:L82,5)</f>
        <v>#N/A</v>
      </c>
      <c r="G62" s="34" t="e">
        <f>VLOOKUP($B62,[45]TrtCodes!$B$11:M82,6)</f>
        <v>#N/A</v>
      </c>
      <c r="H62" s="34" t="e">
        <f>VLOOKUP($B62,[45]TrtCodes!$B$11:N82,7)</f>
        <v>#N/A</v>
      </c>
      <c r="I62" s="34">
        <f>[45]FormattedData!B39</f>
        <v>0</v>
      </c>
      <c r="J62" s="37">
        <f>[45]FormattedData!C39</f>
        <v>0</v>
      </c>
      <c r="K62" s="39">
        <f>$J$3+[45]FormattedData!D39*$J$4+$M$4*$J$5+[45]FormattedData!D39^2*$J$6+$M$5*$J$7</f>
        <v>-0.5944129346428404</v>
      </c>
      <c r="L62" s="39">
        <f>$J$3+[45]FormattedData!E39*$J$4+$M$4*$J$5+[45]FormattedData!E39^2*$J$6+$M$5*$J$7</f>
        <v>-0.5944129346428404</v>
      </c>
      <c r="M62" s="39">
        <f>$J$3+[45]FormattedData!F39*$J$4+$M$4*$J$5+[45]FormattedData!F39^2*$J$6+$M$5*$J$7</f>
        <v>-0.5944129346428404</v>
      </c>
      <c r="N62" s="39">
        <f>$J$3+[45]FormattedData!G39*$J$4+$M$4*$J$5+[45]FormattedData!G39^2*$J$6+$M$5*$J$7</f>
        <v>-0.5944129346428404</v>
      </c>
      <c r="O62" s="39">
        <f>$J$3+[45]FormattedData!H39*$J$4+$M$4*$J$5+[45]FormattedData!H39^2*$J$6+$M$5*$J$7</f>
        <v>-0.5944129346428404</v>
      </c>
      <c r="P62" s="39">
        <f>$J$3+[45]FormattedData!I39*$J$4+$M$4*$J$5+[45]FormattedData!I39^2*$J$6+$M$5*$J$7</f>
        <v>-0.5944129346428404</v>
      </c>
      <c r="Q62" s="39">
        <f>$J$3+[45]FormattedData!J39*$J$4+$M$4*$J$5+[45]FormattedData!J39^2*$J$6+$M$5*$J$7</f>
        <v>-0.5944129346428404</v>
      </c>
      <c r="R62" s="39">
        <f>$J$3+[45]FormattedData!K39*$J$4+$M$4*$J$5+[45]FormattedData!K39^2*$J$6+$M$5*$J$7</f>
        <v>-0.5944129346428404</v>
      </c>
      <c r="S62" s="39">
        <f>$J$3+[45]FormattedData!L39*$J$4+$M$4*$J$5+[45]FormattedData!L39^2*$J$6+$M$5*$J$7</f>
        <v>-0.5944129346428404</v>
      </c>
      <c r="T62" s="39">
        <f>$J$3+[45]FormattedData!M39*$J$4+$M$4*$J$5+[45]FormattedData!M39^2*$J$6+$M$5*$J$7</f>
        <v>-0.5944129346428404</v>
      </c>
      <c r="U62" s="39">
        <f>$J$3+[45]FormattedData!N39*$J$4+$M$4*$J$5+[45]FormattedData!N39^2*$J$6+$M$5*$J$7</f>
        <v>-0.5944129346428404</v>
      </c>
      <c r="V62" s="39">
        <f>$J$3+[45]FormattedData!O39*$J$4+$M$4*$J$5+[45]FormattedData!O39^2*$J$6+$M$5*$J$7</f>
        <v>-0.5944129346428404</v>
      </c>
      <c r="W62" s="38">
        <f>AVERAGE(K62:V62)</f>
        <v>-0.59441293464284051</v>
      </c>
      <c r="X62" s="37">
        <f>STDEV(K62:V62)/SQRT(COUNT(K62:V62))</f>
        <v>3.3474483693592253E-17</v>
      </c>
      <c r="Y62" s="36">
        <f>MIN(K62:V62)</f>
        <v>-0.5944129346428404</v>
      </c>
      <c r="Z62" s="35">
        <f>QUARTILE(K62:V62,1)</f>
        <v>-0.5944129346428404</v>
      </c>
      <c r="AA62" s="36">
        <f>MEDIAN(K62:V62)</f>
        <v>-0.5944129346428404</v>
      </c>
      <c r="AB62" s="35">
        <f>QUARTILE(K62:V62,3)</f>
        <v>-0.5944129346428404</v>
      </c>
      <c r="AC62" s="35">
        <f>MAX(K62:V62)</f>
        <v>-0.5944129346428404</v>
      </c>
      <c r="AD62" s="35">
        <f>SKEW(K62:V62)</f>
        <v>1.1489125293076057</v>
      </c>
      <c r="AE62" s="35">
        <f>KURT(K62:V62)</f>
        <v>-2.4444444444444446</v>
      </c>
    </row>
    <row r="63" spans="2:31" x14ac:dyDescent="0.2">
      <c r="B63" s="34">
        <f>[45]FormattedData!A41</f>
        <v>0</v>
      </c>
      <c r="C63" s="34" t="e">
        <f>VLOOKUP($B63,[45]TrtCodes!$B$11:I84,2)</f>
        <v>#N/A</v>
      </c>
      <c r="D63" s="34" t="e">
        <f>VLOOKUP($B63,[45]TrtCodes!$B$11:J84,3)</f>
        <v>#N/A</v>
      </c>
      <c r="E63" s="34" t="e">
        <f>VLOOKUP($B63,[45]TrtCodes!$B$11:K84,4)</f>
        <v>#N/A</v>
      </c>
      <c r="F63" s="34" t="e">
        <f>VLOOKUP($B63,[45]TrtCodes!$B$11:L84,5)</f>
        <v>#N/A</v>
      </c>
      <c r="G63" s="34" t="e">
        <f>VLOOKUP($B63,[45]TrtCodes!$B$11:M84,6)</f>
        <v>#N/A</v>
      </c>
      <c r="H63" s="34" t="e">
        <f>VLOOKUP($B63,[45]TrtCodes!$B$11:N84,7)</f>
        <v>#N/A</v>
      </c>
      <c r="I63" s="34">
        <f>[45]FormattedData!B41</f>
        <v>0</v>
      </c>
      <c r="J63" s="37">
        <f>[45]FormattedData!C41</f>
        <v>0</v>
      </c>
      <c r="K63" s="39">
        <f>$J$3+[45]FormattedData!D41*$J$4+$M$4*$J$5+[45]FormattedData!D41^2*$J$6+$M$5*$J$7</f>
        <v>-0.5944129346428404</v>
      </c>
      <c r="L63" s="39">
        <f>$J$3+[45]FormattedData!E41*$J$4+$M$4*$J$5+[45]FormattedData!E41^2*$J$6+$M$5*$J$7</f>
        <v>-0.5944129346428404</v>
      </c>
      <c r="M63" s="39">
        <f>$J$3+[45]FormattedData!F41*$J$4+$M$4*$J$5+[45]FormattedData!F41^2*$J$6+$M$5*$J$7</f>
        <v>-0.5944129346428404</v>
      </c>
      <c r="N63" s="39">
        <f>$J$3+[45]FormattedData!G41*$J$4+$M$4*$J$5+[45]FormattedData!G41^2*$J$6+$M$5*$J$7</f>
        <v>-0.5944129346428404</v>
      </c>
      <c r="O63" s="39">
        <f>$J$3+[45]FormattedData!H41*$J$4+$M$4*$J$5+[45]FormattedData!H41^2*$J$6+$M$5*$J$7</f>
        <v>-0.5944129346428404</v>
      </c>
      <c r="P63" s="39">
        <f>$J$3+[45]FormattedData!I41*$J$4+$M$4*$J$5+[45]FormattedData!I41^2*$J$6+$M$5*$J$7</f>
        <v>-0.5944129346428404</v>
      </c>
      <c r="Q63" s="39">
        <f>$J$3+[45]FormattedData!J41*$J$4+$M$4*$J$5+[45]FormattedData!J41^2*$J$6+$M$5*$J$7</f>
        <v>-0.5944129346428404</v>
      </c>
      <c r="R63" s="39">
        <f>$J$3+[45]FormattedData!K41*$J$4+$M$4*$J$5+[45]FormattedData!K41^2*$J$6+$M$5*$J$7</f>
        <v>-0.5944129346428404</v>
      </c>
      <c r="S63" s="39">
        <f>$J$3+[45]FormattedData!L41*$J$4+$M$4*$J$5+[45]FormattedData!L41^2*$J$6+$M$5*$J$7</f>
        <v>-0.5944129346428404</v>
      </c>
      <c r="T63" s="39">
        <f>$J$3+[45]FormattedData!M41*$J$4+$M$4*$J$5+[45]FormattedData!M41^2*$J$6+$M$5*$J$7</f>
        <v>-0.5944129346428404</v>
      </c>
      <c r="U63" s="39">
        <f>$J$3+[45]FormattedData!N41*$J$4+$M$4*$J$5+[45]FormattedData!N41^2*$J$6+$M$5*$J$7</f>
        <v>-0.5944129346428404</v>
      </c>
      <c r="V63" s="39">
        <f>$J$3+[45]FormattedData!O41*$J$4+$M$4*$J$5+[45]FormattedData!O41^2*$J$6+$M$5*$J$7</f>
        <v>-0.5944129346428404</v>
      </c>
      <c r="W63" s="38">
        <f>AVERAGE(K63:V63)</f>
        <v>-0.59441293464284051</v>
      </c>
      <c r="X63" s="37">
        <f>STDEV(K63:V63)/SQRT(COUNT(K63:V63))</f>
        <v>3.3474483693592253E-17</v>
      </c>
      <c r="Y63" s="36">
        <f>MIN(K63:V63)</f>
        <v>-0.5944129346428404</v>
      </c>
      <c r="Z63" s="35">
        <f>QUARTILE(K63:V63,1)</f>
        <v>-0.5944129346428404</v>
      </c>
      <c r="AA63" s="36">
        <f>MEDIAN(K63:V63)</f>
        <v>-0.5944129346428404</v>
      </c>
      <c r="AB63" s="35">
        <f>QUARTILE(K63:V63,3)</f>
        <v>-0.5944129346428404</v>
      </c>
      <c r="AC63" s="35">
        <f>MAX(K63:V63)</f>
        <v>-0.5944129346428404</v>
      </c>
      <c r="AD63" s="35">
        <f>SKEW(K63:V63)</f>
        <v>1.1489125293076057</v>
      </c>
      <c r="AE63" s="35">
        <f>KURT(K63:V63)</f>
        <v>-2.4444444444444446</v>
      </c>
    </row>
    <row r="64" spans="2:31" x14ac:dyDescent="0.2">
      <c r="B64" s="34">
        <f>[45]FormattedData!A43</f>
        <v>0</v>
      </c>
      <c r="C64" s="34" t="e">
        <f>VLOOKUP($B64,[45]TrtCodes!$B$11:I86,2)</f>
        <v>#N/A</v>
      </c>
      <c r="D64" s="34" t="e">
        <f>VLOOKUP($B64,[45]TrtCodes!$B$11:J86,3)</f>
        <v>#N/A</v>
      </c>
      <c r="E64" s="34" t="e">
        <f>VLOOKUP($B64,[45]TrtCodes!$B$11:K86,4)</f>
        <v>#N/A</v>
      </c>
      <c r="F64" s="34" t="e">
        <f>VLOOKUP($B64,[45]TrtCodes!$B$11:L86,5)</f>
        <v>#N/A</v>
      </c>
      <c r="G64" s="34" t="e">
        <f>VLOOKUP($B64,[45]TrtCodes!$B$11:M86,6)</f>
        <v>#N/A</v>
      </c>
      <c r="H64" s="34" t="e">
        <f>VLOOKUP($B64,[45]TrtCodes!$B$11:N86,7)</f>
        <v>#N/A</v>
      </c>
      <c r="I64" s="34">
        <f>[45]FormattedData!B43</f>
        <v>0</v>
      </c>
      <c r="J64" s="37">
        <f>[45]FormattedData!C43</f>
        <v>0</v>
      </c>
      <c r="K64" s="39">
        <f>$J$3+[45]FormattedData!D43*$J$4+$M$4*$J$5+[45]FormattedData!D43^2*$J$6+$M$5*$J$7</f>
        <v>-0.5944129346428404</v>
      </c>
      <c r="L64" s="39">
        <f>$J$3+[45]FormattedData!E43*$J$4+$M$4*$J$5+[45]FormattedData!E43^2*$J$6+$M$5*$J$7</f>
        <v>-0.5944129346428404</v>
      </c>
      <c r="M64" s="39">
        <f>$J$3+[45]FormattedData!F43*$J$4+$M$4*$J$5+[45]FormattedData!F43^2*$J$6+$M$5*$J$7</f>
        <v>-0.5944129346428404</v>
      </c>
      <c r="N64" s="39">
        <f>$J$3+[45]FormattedData!G43*$J$4+$M$4*$J$5+[45]FormattedData!G43^2*$J$6+$M$5*$J$7</f>
        <v>-0.5944129346428404</v>
      </c>
      <c r="O64" s="39">
        <f>$J$3+[45]FormattedData!H43*$J$4+$M$4*$J$5+[45]FormattedData!H43^2*$J$6+$M$5*$J$7</f>
        <v>-0.5944129346428404</v>
      </c>
      <c r="P64" s="39">
        <f>$J$3+[45]FormattedData!I43*$J$4+$M$4*$J$5+[45]FormattedData!I43^2*$J$6+$M$5*$J$7</f>
        <v>-0.5944129346428404</v>
      </c>
      <c r="Q64" s="39">
        <f>$J$3+[45]FormattedData!J43*$J$4+$M$4*$J$5+[45]FormattedData!J43^2*$J$6+$M$5*$J$7</f>
        <v>-0.5944129346428404</v>
      </c>
      <c r="R64" s="39">
        <f>$J$3+[45]FormattedData!K43*$J$4+$M$4*$J$5+[45]FormattedData!K43^2*$J$6+$M$5*$J$7</f>
        <v>-0.5944129346428404</v>
      </c>
      <c r="S64" s="39">
        <f>$J$3+[45]FormattedData!L43*$J$4+$M$4*$J$5+[45]FormattedData!L43^2*$J$6+$M$5*$J$7</f>
        <v>-0.5944129346428404</v>
      </c>
      <c r="T64" s="39">
        <f>$J$3+[45]FormattedData!M43*$J$4+$M$4*$J$5+[45]FormattedData!M43^2*$J$6+$M$5*$J$7</f>
        <v>-0.5944129346428404</v>
      </c>
      <c r="U64" s="39">
        <f>$J$3+[45]FormattedData!N43*$J$4+$M$4*$J$5+[45]FormattedData!N43^2*$J$6+$M$5*$J$7</f>
        <v>-0.5944129346428404</v>
      </c>
      <c r="V64" s="39">
        <f>$J$3+[45]FormattedData!O43*$J$4+$M$4*$J$5+[45]FormattedData!O43^2*$J$6+$M$5*$J$7</f>
        <v>-0.5944129346428404</v>
      </c>
      <c r="W64" s="38">
        <f>AVERAGE(K64:V64)</f>
        <v>-0.59441293464284051</v>
      </c>
      <c r="X64" s="37">
        <f>STDEV(K64:V64)/SQRT(COUNT(K64:V64))</f>
        <v>3.3474483693592253E-17</v>
      </c>
      <c r="Y64" s="36">
        <f>MIN(K64:V64)</f>
        <v>-0.5944129346428404</v>
      </c>
      <c r="Z64" s="35">
        <f>QUARTILE(K64:V64,1)</f>
        <v>-0.5944129346428404</v>
      </c>
      <c r="AA64" s="36">
        <f>MEDIAN(K64:V64)</f>
        <v>-0.5944129346428404</v>
      </c>
      <c r="AB64" s="35">
        <f>QUARTILE(K64:V64,3)</f>
        <v>-0.5944129346428404</v>
      </c>
      <c r="AC64" s="35">
        <f>MAX(K64:V64)</f>
        <v>-0.5944129346428404</v>
      </c>
      <c r="AD64" s="35">
        <f>SKEW(K64:V64)</f>
        <v>1.1489125293076057</v>
      </c>
      <c r="AE64" s="35">
        <f>KURT(K64:V64)</f>
        <v>-2.4444444444444446</v>
      </c>
    </row>
    <row r="65" spans="2:31" x14ac:dyDescent="0.2">
      <c r="B65" s="34">
        <f>[45]FormattedData!A45</f>
        <v>0</v>
      </c>
      <c r="C65" s="34" t="e">
        <f>VLOOKUP($B65,[45]TrtCodes!$B$11:I88,2)</f>
        <v>#N/A</v>
      </c>
      <c r="D65" s="34" t="e">
        <f>VLOOKUP($B65,[45]TrtCodes!$B$11:J88,3)</f>
        <v>#N/A</v>
      </c>
      <c r="E65" s="34" t="e">
        <f>VLOOKUP($B65,[45]TrtCodes!$B$11:K88,4)</f>
        <v>#N/A</v>
      </c>
      <c r="F65" s="34" t="e">
        <f>VLOOKUP($B65,[45]TrtCodes!$B$11:L88,5)</f>
        <v>#N/A</v>
      </c>
      <c r="G65" s="34" t="e">
        <f>VLOOKUP($B65,[45]TrtCodes!$B$11:M88,6)</f>
        <v>#N/A</v>
      </c>
      <c r="H65" s="34" t="e">
        <f>VLOOKUP($B65,[45]TrtCodes!$B$11:N88,7)</f>
        <v>#N/A</v>
      </c>
      <c r="I65" s="34">
        <f>[45]FormattedData!B45</f>
        <v>0</v>
      </c>
      <c r="J65" s="37">
        <f>[45]FormattedData!C45</f>
        <v>0</v>
      </c>
      <c r="K65" s="39">
        <f>$J$3+[45]FormattedData!D45*$J$4+$M$4*$J$5+[45]FormattedData!D45^2*$J$6+$M$5*$J$7</f>
        <v>-0.5944129346428404</v>
      </c>
      <c r="L65" s="39">
        <f>$J$3+[45]FormattedData!E45*$J$4+$M$4*$J$5+[45]FormattedData!E45^2*$J$6+$M$5*$J$7</f>
        <v>-0.5944129346428404</v>
      </c>
      <c r="M65" s="39">
        <f>$J$3+[45]FormattedData!F45*$J$4+$M$4*$J$5+[45]FormattedData!F45^2*$J$6+$M$5*$J$7</f>
        <v>-0.5944129346428404</v>
      </c>
      <c r="N65" s="39">
        <f>$J$3+[45]FormattedData!G45*$J$4+$M$4*$J$5+[45]FormattedData!G45^2*$J$6+$M$5*$J$7</f>
        <v>-0.5944129346428404</v>
      </c>
      <c r="O65" s="39">
        <f>$J$3+[45]FormattedData!H45*$J$4+$M$4*$J$5+[45]FormattedData!H45^2*$J$6+$M$5*$J$7</f>
        <v>-0.5944129346428404</v>
      </c>
      <c r="P65" s="39">
        <f>$J$3+[45]FormattedData!I45*$J$4+$M$4*$J$5+[45]FormattedData!I45^2*$J$6+$M$5*$J$7</f>
        <v>-0.5944129346428404</v>
      </c>
      <c r="Q65" s="39">
        <f>$J$3+[45]FormattedData!J45*$J$4+$M$4*$J$5+[45]FormattedData!J45^2*$J$6+$M$5*$J$7</f>
        <v>-0.5944129346428404</v>
      </c>
      <c r="R65" s="39">
        <f>$J$3+[45]FormattedData!K45*$J$4+$M$4*$J$5+[45]FormattedData!K45^2*$J$6+$M$5*$J$7</f>
        <v>-0.5944129346428404</v>
      </c>
      <c r="S65" s="39">
        <f>$J$3+[45]FormattedData!L45*$J$4+$M$4*$J$5+[45]FormattedData!L45^2*$J$6+$M$5*$J$7</f>
        <v>-0.5944129346428404</v>
      </c>
      <c r="T65" s="39">
        <f>$J$3+[45]FormattedData!M45*$J$4+$M$4*$J$5+[45]FormattedData!M45^2*$J$6+$M$5*$J$7</f>
        <v>-0.5944129346428404</v>
      </c>
      <c r="U65" s="39">
        <f>$J$3+[45]FormattedData!N45*$J$4+$M$4*$J$5+[45]FormattedData!N45^2*$J$6+$M$5*$J$7</f>
        <v>-0.5944129346428404</v>
      </c>
      <c r="V65" s="39">
        <f>$J$3+[45]FormattedData!O45*$J$4+$M$4*$J$5+[45]FormattedData!O45^2*$J$6+$M$5*$J$7</f>
        <v>-0.5944129346428404</v>
      </c>
      <c r="W65" s="38">
        <f>AVERAGE(K65:V65)</f>
        <v>-0.59441293464284051</v>
      </c>
      <c r="X65" s="37">
        <f>STDEV(K65:V65)/SQRT(COUNT(K65:V65))</f>
        <v>3.3474483693592253E-17</v>
      </c>
      <c r="Y65" s="36">
        <f>MIN(K65:V65)</f>
        <v>-0.5944129346428404</v>
      </c>
      <c r="Z65" s="35">
        <f>QUARTILE(K65:V65,1)</f>
        <v>-0.5944129346428404</v>
      </c>
      <c r="AA65" s="36">
        <f>MEDIAN(K65:V65)</f>
        <v>-0.5944129346428404</v>
      </c>
      <c r="AB65" s="35">
        <f>QUARTILE(K65:V65,3)</f>
        <v>-0.5944129346428404</v>
      </c>
      <c r="AC65" s="35">
        <f>MAX(K65:V65)</f>
        <v>-0.5944129346428404</v>
      </c>
      <c r="AD65" s="35">
        <f>SKEW(K65:V65)</f>
        <v>1.1489125293076057</v>
      </c>
      <c r="AE65" s="35">
        <f>KURT(K65:V65)</f>
        <v>-2.4444444444444446</v>
      </c>
    </row>
    <row r="66" spans="2:31" x14ac:dyDescent="0.2">
      <c r="B66" s="34">
        <f>[45]FormattedData!A63</f>
        <v>0</v>
      </c>
      <c r="C66" s="34" t="e">
        <f>VLOOKUP($B66,[45]TrtCodes!$B$11:I106,2)</f>
        <v>#N/A</v>
      </c>
      <c r="D66" s="34" t="e">
        <f>VLOOKUP($B66,[45]TrtCodes!$B$11:J106,3)</f>
        <v>#N/A</v>
      </c>
      <c r="E66" s="34" t="e">
        <f>VLOOKUP($B66,[45]TrtCodes!$B$11:K106,4)</f>
        <v>#N/A</v>
      </c>
      <c r="F66" s="34" t="e">
        <f>VLOOKUP($B66,[45]TrtCodes!$B$11:L106,5)</f>
        <v>#N/A</v>
      </c>
      <c r="G66" s="34" t="e">
        <f>VLOOKUP($B66,[45]TrtCodes!$B$11:M106,6)</f>
        <v>#N/A</v>
      </c>
      <c r="H66" s="34" t="e">
        <f>VLOOKUP($B66,[45]TrtCodes!$B$11:N106,7)</f>
        <v>#N/A</v>
      </c>
      <c r="I66" s="34">
        <f>[45]FormattedData!B63</f>
        <v>0</v>
      </c>
      <c r="J66" s="37">
        <f>[45]FormattedData!C63</f>
        <v>0</v>
      </c>
      <c r="K66" s="39">
        <f>$J$3+[45]FormattedData!D63*$J$4+$M$4*$J$5+[45]FormattedData!D63^2*$J$6+$M$5*$J$7</f>
        <v>-0.5944129346428404</v>
      </c>
      <c r="L66" s="39">
        <f>$J$3+[45]FormattedData!E63*$J$4+$M$4*$J$5+[45]FormattedData!E63^2*$J$6+$M$5*$J$7</f>
        <v>-0.5944129346428404</v>
      </c>
      <c r="M66" s="39">
        <f>$J$3+[45]FormattedData!F63*$J$4+$M$4*$J$5+[45]FormattedData!F63^2*$J$6+$M$5*$J$7</f>
        <v>-0.5944129346428404</v>
      </c>
      <c r="N66" s="39">
        <f>$J$3+[45]FormattedData!G63*$J$4+$M$4*$J$5+[45]FormattedData!G63^2*$J$6+$M$5*$J$7</f>
        <v>-0.5944129346428404</v>
      </c>
      <c r="O66" s="39">
        <f>$J$3+[45]FormattedData!H63*$J$4+$M$4*$J$5+[45]FormattedData!H63^2*$J$6+$M$5*$J$7</f>
        <v>-0.5944129346428404</v>
      </c>
      <c r="P66" s="39">
        <f>$J$3+[45]FormattedData!I63*$J$4+$M$4*$J$5+[45]FormattedData!I63^2*$J$6+$M$5*$J$7</f>
        <v>-0.5944129346428404</v>
      </c>
      <c r="Q66" s="39">
        <f>$J$3+[45]FormattedData!J63*$J$4+$M$4*$J$5+[45]FormattedData!J63^2*$J$6+$M$5*$J$7</f>
        <v>-0.5944129346428404</v>
      </c>
      <c r="R66" s="39">
        <f>$J$3+[45]FormattedData!K63*$J$4+$M$4*$J$5+[45]FormattedData!K63^2*$J$6+$M$5*$J$7</f>
        <v>-0.5944129346428404</v>
      </c>
      <c r="S66" s="39">
        <f>$J$3+[45]FormattedData!L63*$J$4+$M$4*$J$5+[45]FormattedData!L63^2*$J$6+$M$5*$J$7</f>
        <v>-0.5944129346428404</v>
      </c>
      <c r="T66" s="39">
        <f>$J$3+[45]FormattedData!M63*$J$4+$M$4*$J$5+[45]FormattedData!M63^2*$J$6+$M$5*$J$7</f>
        <v>-0.5944129346428404</v>
      </c>
      <c r="U66" s="39">
        <f>$J$3+[45]FormattedData!N63*$J$4+$M$4*$J$5+[45]FormattedData!N63^2*$J$6+$M$5*$J$7</f>
        <v>-0.5944129346428404</v>
      </c>
      <c r="V66" s="39">
        <f>$J$3+[45]FormattedData!O63*$J$4+$M$4*$J$5+[45]FormattedData!O63^2*$J$6+$M$5*$J$7</f>
        <v>-0.5944129346428404</v>
      </c>
      <c r="W66" s="38">
        <f>AVERAGE(K66:V66)</f>
        <v>-0.59441293464284051</v>
      </c>
      <c r="X66" s="37">
        <f>STDEV(K66:V66)/SQRT(COUNT(K66:V66))</f>
        <v>3.3474483693592253E-17</v>
      </c>
      <c r="Y66" s="36">
        <f>MIN(K66:V66)</f>
        <v>-0.5944129346428404</v>
      </c>
      <c r="Z66" s="35">
        <f>QUARTILE(K66:V66,1)</f>
        <v>-0.5944129346428404</v>
      </c>
      <c r="AA66" s="36">
        <f>MEDIAN(K66:V66)</f>
        <v>-0.5944129346428404</v>
      </c>
      <c r="AB66" s="35">
        <f>QUARTILE(K66:V66,3)</f>
        <v>-0.5944129346428404</v>
      </c>
      <c r="AC66" s="35">
        <f>MAX(K66:V66)</f>
        <v>-0.5944129346428404</v>
      </c>
      <c r="AD66" s="35">
        <f>SKEW(K66:V66)</f>
        <v>1.1489125293076057</v>
      </c>
      <c r="AE66" s="35">
        <f>KURT(K66:V66)</f>
        <v>-2.4444444444444446</v>
      </c>
    </row>
    <row r="67" spans="2:31" x14ac:dyDescent="0.2">
      <c r="B67" s="34">
        <f>[45]FormattedData!A65</f>
        <v>0</v>
      </c>
      <c r="C67" s="34" t="e">
        <f>VLOOKUP($B67,[45]TrtCodes!$B$11:I108,2)</f>
        <v>#N/A</v>
      </c>
      <c r="D67" s="34" t="e">
        <f>VLOOKUP($B67,[45]TrtCodes!$B$11:J108,3)</f>
        <v>#N/A</v>
      </c>
      <c r="E67" s="34" t="e">
        <f>VLOOKUP($B67,[45]TrtCodes!$B$11:K108,4)</f>
        <v>#N/A</v>
      </c>
      <c r="F67" s="34" t="e">
        <f>VLOOKUP($B67,[45]TrtCodes!$B$11:L108,5)</f>
        <v>#N/A</v>
      </c>
      <c r="G67" s="34" t="e">
        <f>VLOOKUP($B67,[45]TrtCodes!$B$11:M108,6)</f>
        <v>#N/A</v>
      </c>
      <c r="H67" s="34" t="e">
        <f>VLOOKUP($B67,[45]TrtCodes!$B$11:N108,7)</f>
        <v>#N/A</v>
      </c>
      <c r="I67" s="34">
        <f>[45]FormattedData!B65</f>
        <v>0</v>
      </c>
      <c r="J67" s="37">
        <f>[45]FormattedData!C65</f>
        <v>0</v>
      </c>
      <c r="K67" s="39">
        <f>$J$3+[45]FormattedData!D65*$J$4+$M$4*$J$5+[45]FormattedData!D65^2*$J$6+$M$5*$J$7</f>
        <v>-0.5944129346428404</v>
      </c>
      <c r="L67" s="39">
        <f>$J$3+[45]FormattedData!E65*$J$4+$M$4*$J$5+[45]FormattedData!E65^2*$J$6+$M$5*$J$7</f>
        <v>-0.5944129346428404</v>
      </c>
      <c r="M67" s="39">
        <f>$J$3+[45]FormattedData!F65*$J$4+$M$4*$J$5+[45]FormattedData!F65^2*$J$6+$M$5*$J$7</f>
        <v>-0.5944129346428404</v>
      </c>
      <c r="N67" s="39">
        <f>$J$3+[45]FormattedData!G65*$J$4+$M$4*$J$5+[45]FormattedData!G65^2*$J$6+$M$5*$J$7</f>
        <v>-0.5944129346428404</v>
      </c>
      <c r="O67" s="39">
        <f>$J$3+[45]FormattedData!H65*$J$4+$M$4*$J$5+[45]FormattedData!H65^2*$J$6+$M$5*$J$7</f>
        <v>-0.5944129346428404</v>
      </c>
      <c r="P67" s="39">
        <f>$J$3+[45]FormattedData!I65*$J$4+$M$4*$J$5+[45]FormattedData!I65^2*$J$6+$M$5*$J$7</f>
        <v>-0.5944129346428404</v>
      </c>
      <c r="Q67" s="39">
        <f>$J$3+[45]FormattedData!J65*$J$4+$M$4*$J$5+[45]FormattedData!J65^2*$J$6+$M$5*$J$7</f>
        <v>-0.5944129346428404</v>
      </c>
      <c r="R67" s="39">
        <f>$J$3+[45]FormattedData!K65*$J$4+$M$4*$J$5+[45]FormattedData!K65^2*$J$6+$M$5*$J$7</f>
        <v>-0.5944129346428404</v>
      </c>
      <c r="S67" s="39">
        <f>$J$3+[45]FormattedData!L65*$J$4+$M$4*$J$5+[45]FormattedData!L65^2*$J$6+$M$5*$J$7</f>
        <v>-0.5944129346428404</v>
      </c>
      <c r="T67" s="39">
        <f>$J$3+[45]FormattedData!M65*$J$4+$M$4*$J$5+[45]FormattedData!M65^2*$J$6+$M$5*$J$7</f>
        <v>-0.5944129346428404</v>
      </c>
      <c r="U67" s="39">
        <f>$J$3+[45]FormattedData!N65*$J$4+$M$4*$J$5+[45]FormattedData!N65^2*$J$6+$M$5*$J$7</f>
        <v>-0.5944129346428404</v>
      </c>
      <c r="V67" s="39">
        <f>$J$3+[45]FormattedData!O65*$J$4+$M$4*$J$5+[45]FormattedData!O65^2*$J$6+$M$5*$J$7</f>
        <v>-0.5944129346428404</v>
      </c>
      <c r="W67" s="38">
        <f>AVERAGE(K67:V67)</f>
        <v>-0.59441293464284051</v>
      </c>
      <c r="X67" s="37">
        <f>STDEV(K67:V67)/SQRT(COUNT(K67:V67))</f>
        <v>3.3474483693592253E-17</v>
      </c>
      <c r="Y67" s="36">
        <f>MIN(K67:V67)</f>
        <v>-0.5944129346428404</v>
      </c>
      <c r="Z67" s="35">
        <f>QUARTILE(K67:V67,1)</f>
        <v>-0.5944129346428404</v>
      </c>
      <c r="AA67" s="36">
        <f>MEDIAN(K67:V67)</f>
        <v>-0.5944129346428404</v>
      </c>
      <c r="AB67" s="35">
        <f>QUARTILE(K67:V67,3)</f>
        <v>-0.5944129346428404</v>
      </c>
      <c r="AC67" s="35">
        <f>MAX(K67:V67)</f>
        <v>-0.5944129346428404</v>
      </c>
      <c r="AD67" s="35">
        <f>SKEW(K67:V67)</f>
        <v>1.1489125293076057</v>
      </c>
      <c r="AE67" s="35">
        <f>KURT(K67:V67)</f>
        <v>-2.4444444444444446</v>
      </c>
    </row>
    <row r="68" spans="2:31" x14ac:dyDescent="0.2">
      <c r="B68" s="34">
        <f>[45]FormattedData!A67</f>
        <v>0</v>
      </c>
      <c r="C68" s="34" t="e">
        <f>VLOOKUP($B68,[45]TrtCodes!$B$11:I110,2)</f>
        <v>#N/A</v>
      </c>
      <c r="D68" s="34" t="e">
        <f>VLOOKUP($B68,[45]TrtCodes!$B$11:J110,3)</f>
        <v>#N/A</v>
      </c>
      <c r="E68" s="34" t="e">
        <f>VLOOKUP($B68,[45]TrtCodes!$B$11:K110,4)</f>
        <v>#N/A</v>
      </c>
      <c r="F68" s="34" t="e">
        <f>VLOOKUP($B68,[45]TrtCodes!$B$11:L110,5)</f>
        <v>#N/A</v>
      </c>
      <c r="G68" s="34" t="e">
        <f>VLOOKUP($B68,[45]TrtCodes!$B$11:M110,6)</f>
        <v>#N/A</v>
      </c>
      <c r="H68" s="34" t="e">
        <f>VLOOKUP($B68,[45]TrtCodes!$B$11:N110,7)</f>
        <v>#N/A</v>
      </c>
      <c r="I68" s="34">
        <f>[45]FormattedData!B67</f>
        <v>0</v>
      </c>
      <c r="J68" s="37">
        <f>[45]FormattedData!C67</f>
        <v>0</v>
      </c>
      <c r="K68" s="39">
        <f>$J$3+[45]FormattedData!D67*$J$4+$M$4*$J$5+[45]FormattedData!D67^2*$J$6+$M$5*$J$7</f>
        <v>-0.5944129346428404</v>
      </c>
      <c r="L68" s="39">
        <f>$J$3+[45]FormattedData!E67*$J$4+$M$4*$J$5+[45]FormattedData!E67^2*$J$6+$M$5*$J$7</f>
        <v>-0.5944129346428404</v>
      </c>
      <c r="M68" s="39">
        <f>$J$3+[45]FormattedData!F67*$J$4+$M$4*$J$5+[45]FormattedData!F67^2*$J$6+$M$5*$J$7</f>
        <v>-0.5944129346428404</v>
      </c>
      <c r="N68" s="39">
        <f>$J$3+[45]FormattedData!G67*$J$4+$M$4*$J$5+[45]FormattedData!G67^2*$J$6+$M$5*$J$7</f>
        <v>-0.5944129346428404</v>
      </c>
      <c r="O68" s="39">
        <f>$J$3+[45]FormattedData!H67*$J$4+$M$4*$J$5+[45]FormattedData!H67^2*$J$6+$M$5*$J$7</f>
        <v>-0.5944129346428404</v>
      </c>
      <c r="P68" s="39">
        <f>$J$3+[45]FormattedData!I67*$J$4+$M$4*$J$5+[45]FormattedData!I67^2*$J$6+$M$5*$J$7</f>
        <v>-0.5944129346428404</v>
      </c>
      <c r="Q68" s="39">
        <f>$J$3+[45]FormattedData!J67*$J$4+$M$4*$J$5+[45]FormattedData!J67^2*$J$6+$M$5*$J$7</f>
        <v>-0.5944129346428404</v>
      </c>
      <c r="R68" s="39">
        <f>$J$3+[45]FormattedData!K67*$J$4+$M$4*$J$5+[45]FormattedData!K67^2*$J$6+$M$5*$J$7</f>
        <v>-0.5944129346428404</v>
      </c>
      <c r="S68" s="39">
        <f>$J$3+[45]FormattedData!L67*$J$4+$M$4*$J$5+[45]FormattedData!L67^2*$J$6+$M$5*$J$7</f>
        <v>-0.5944129346428404</v>
      </c>
      <c r="T68" s="39">
        <f>$J$3+[45]FormattedData!M67*$J$4+$M$4*$J$5+[45]FormattedData!M67^2*$J$6+$M$5*$J$7</f>
        <v>-0.5944129346428404</v>
      </c>
      <c r="U68" s="39">
        <f>$J$3+[45]FormattedData!N67*$J$4+$M$4*$J$5+[45]FormattedData!N67^2*$J$6+$M$5*$J$7</f>
        <v>-0.5944129346428404</v>
      </c>
      <c r="V68" s="39">
        <f>$J$3+[45]FormattedData!O67*$J$4+$M$4*$J$5+[45]FormattedData!O67^2*$J$6+$M$5*$J$7</f>
        <v>-0.5944129346428404</v>
      </c>
      <c r="W68" s="38">
        <f>AVERAGE(K68:V68)</f>
        <v>-0.59441293464284051</v>
      </c>
      <c r="X68" s="37">
        <f>STDEV(K68:V68)/SQRT(COUNT(K68:V68))</f>
        <v>3.3474483693592253E-17</v>
      </c>
      <c r="Y68" s="36">
        <f>MIN(K68:V68)</f>
        <v>-0.5944129346428404</v>
      </c>
      <c r="Z68" s="35">
        <f>QUARTILE(K68:V68,1)</f>
        <v>-0.5944129346428404</v>
      </c>
      <c r="AA68" s="36">
        <f>MEDIAN(K68:V68)</f>
        <v>-0.5944129346428404</v>
      </c>
      <c r="AB68" s="35">
        <f>QUARTILE(K68:V68,3)</f>
        <v>-0.5944129346428404</v>
      </c>
      <c r="AC68" s="35">
        <f>MAX(K68:V68)</f>
        <v>-0.5944129346428404</v>
      </c>
      <c r="AD68" s="35">
        <f>SKEW(K68:V68)</f>
        <v>1.1489125293076057</v>
      </c>
      <c r="AE68" s="35">
        <f>KURT(K68:V68)</f>
        <v>-2.4444444444444446</v>
      </c>
    </row>
    <row r="69" spans="2:31" x14ac:dyDescent="0.2">
      <c r="B69" s="34">
        <f>[45]FormattedData!A69</f>
        <v>0</v>
      </c>
      <c r="C69" s="34" t="e">
        <f>VLOOKUP($B69,[45]TrtCodes!$B$11:I112,2)</f>
        <v>#N/A</v>
      </c>
      <c r="D69" s="34" t="e">
        <f>VLOOKUP($B69,[45]TrtCodes!$B$11:J112,3)</f>
        <v>#N/A</v>
      </c>
      <c r="E69" s="34" t="e">
        <f>VLOOKUP($B69,[45]TrtCodes!$B$11:K112,4)</f>
        <v>#N/A</v>
      </c>
      <c r="F69" s="34" t="e">
        <f>VLOOKUP($B69,[45]TrtCodes!$B$11:L112,5)</f>
        <v>#N/A</v>
      </c>
      <c r="G69" s="34" t="e">
        <f>VLOOKUP($B69,[45]TrtCodes!$B$11:M112,6)</f>
        <v>#N/A</v>
      </c>
      <c r="H69" s="34" t="e">
        <f>VLOOKUP($B69,[45]TrtCodes!$B$11:N112,7)</f>
        <v>#N/A</v>
      </c>
      <c r="I69" s="34">
        <f>[45]FormattedData!B69</f>
        <v>0</v>
      </c>
      <c r="J69" s="37">
        <f>[45]FormattedData!C69</f>
        <v>0</v>
      </c>
      <c r="K69" s="39">
        <f>$J$3+[45]FormattedData!D69*$J$4+$M$4*$J$5+[45]FormattedData!D69^2*$J$6+$M$5*$J$7</f>
        <v>-0.5944129346428404</v>
      </c>
      <c r="L69" s="39">
        <f>$J$3+[45]FormattedData!E69*$J$4+$M$4*$J$5+[45]FormattedData!E69^2*$J$6+$M$5*$J$7</f>
        <v>-0.5944129346428404</v>
      </c>
      <c r="M69" s="39">
        <f>$J$3+[45]FormattedData!F69*$J$4+$M$4*$J$5+[45]FormattedData!F69^2*$J$6+$M$5*$J$7</f>
        <v>-0.5944129346428404</v>
      </c>
      <c r="N69" s="39">
        <f>$J$3+[45]FormattedData!G69*$J$4+$M$4*$J$5+[45]FormattedData!G69^2*$J$6+$M$5*$J$7</f>
        <v>-0.5944129346428404</v>
      </c>
      <c r="O69" s="39">
        <f>$J$3+[45]FormattedData!H69*$J$4+$M$4*$J$5+[45]FormattedData!H69^2*$J$6+$M$5*$J$7</f>
        <v>-0.5944129346428404</v>
      </c>
      <c r="P69" s="39">
        <f>$J$3+[45]FormattedData!I69*$J$4+$M$4*$J$5+[45]FormattedData!I69^2*$J$6+$M$5*$J$7</f>
        <v>-0.5944129346428404</v>
      </c>
      <c r="Q69" s="39">
        <f>$J$3+[45]FormattedData!J69*$J$4+$M$4*$J$5+[45]FormattedData!J69^2*$J$6+$M$5*$J$7</f>
        <v>-0.5944129346428404</v>
      </c>
      <c r="R69" s="39">
        <f>$J$3+[45]FormattedData!K69*$J$4+$M$4*$J$5+[45]FormattedData!K69^2*$J$6+$M$5*$J$7</f>
        <v>-0.5944129346428404</v>
      </c>
      <c r="S69" s="39">
        <f>$J$3+[45]FormattedData!L69*$J$4+$M$4*$J$5+[45]FormattedData!L69^2*$J$6+$M$5*$J$7</f>
        <v>-0.5944129346428404</v>
      </c>
      <c r="T69" s="39">
        <f>$J$3+[45]FormattedData!M69*$J$4+$M$4*$J$5+[45]FormattedData!M69^2*$J$6+$M$5*$J$7</f>
        <v>-0.5944129346428404</v>
      </c>
      <c r="U69" s="39">
        <f>$J$3+[45]FormattedData!N69*$J$4+$M$4*$J$5+[45]FormattedData!N69^2*$J$6+$M$5*$J$7</f>
        <v>-0.5944129346428404</v>
      </c>
      <c r="V69" s="39">
        <f>$J$3+[45]FormattedData!O69*$J$4+$M$4*$J$5+[45]FormattedData!O69^2*$J$6+$M$5*$J$7</f>
        <v>-0.5944129346428404</v>
      </c>
      <c r="W69" s="38">
        <f>AVERAGE(K69:V69)</f>
        <v>-0.59441293464284051</v>
      </c>
      <c r="X69" s="37">
        <f>STDEV(K69:V69)/SQRT(COUNT(K69:V69))</f>
        <v>3.3474483693592253E-17</v>
      </c>
      <c r="Y69" s="36">
        <f>MIN(K69:V69)</f>
        <v>-0.5944129346428404</v>
      </c>
      <c r="Z69" s="35">
        <f>QUARTILE(K69:V69,1)</f>
        <v>-0.5944129346428404</v>
      </c>
      <c r="AA69" s="36">
        <f>MEDIAN(K69:V69)</f>
        <v>-0.5944129346428404</v>
      </c>
      <c r="AB69" s="35">
        <f>QUARTILE(K69:V69,3)</f>
        <v>-0.5944129346428404</v>
      </c>
      <c r="AC69" s="35">
        <f>MAX(K69:V69)</f>
        <v>-0.5944129346428404</v>
      </c>
      <c r="AD69" s="35">
        <f>SKEW(K69:V69)</f>
        <v>1.1489125293076057</v>
      </c>
      <c r="AE69" s="35">
        <f>KURT(K69:V69)</f>
        <v>-2.4444444444444446</v>
      </c>
    </row>
    <row r="70" spans="2:31" x14ac:dyDescent="0.2">
      <c r="B70" s="34">
        <f>[45]FormattedData!A71</f>
        <v>0</v>
      </c>
      <c r="C70" s="34" t="e">
        <f>VLOOKUP($B70,[45]TrtCodes!$B$11:I114,2)</f>
        <v>#N/A</v>
      </c>
      <c r="D70" s="34" t="e">
        <f>VLOOKUP($B70,[45]TrtCodes!$B$11:J114,3)</f>
        <v>#N/A</v>
      </c>
      <c r="E70" s="34" t="e">
        <f>VLOOKUP($B70,[45]TrtCodes!$B$11:K114,4)</f>
        <v>#N/A</v>
      </c>
      <c r="F70" s="34" t="e">
        <f>VLOOKUP($B70,[45]TrtCodes!$B$11:L114,5)</f>
        <v>#N/A</v>
      </c>
      <c r="G70" s="34" t="e">
        <f>VLOOKUP($B70,[45]TrtCodes!$B$11:M114,6)</f>
        <v>#N/A</v>
      </c>
      <c r="H70" s="34" t="e">
        <f>VLOOKUP($B70,[45]TrtCodes!$B$11:N114,7)</f>
        <v>#N/A</v>
      </c>
      <c r="I70" s="34">
        <f>[45]FormattedData!B71</f>
        <v>0</v>
      </c>
      <c r="J70" s="37">
        <f>[45]FormattedData!C71</f>
        <v>0</v>
      </c>
      <c r="K70" s="39">
        <f>$J$3+[45]FormattedData!D71*$J$4+$M$4*$J$5+[45]FormattedData!D71^2*$J$6+$M$5*$J$7</f>
        <v>-0.5944129346428404</v>
      </c>
      <c r="L70" s="39">
        <f>$J$3+[45]FormattedData!E71*$J$4+$M$4*$J$5+[45]FormattedData!E71^2*$J$6+$M$5*$J$7</f>
        <v>-0.5944129346428404</v>
      </c>
      <c r="M70" s="39">
        <f>$J$3+[45]FormattedData!F71*$J$4+$M$4*$J$5+[45]FormattedData!F71^2*$J$6+$M$5*$J$7</f>
        <v>-0.5944129346428404</v>
      </c>
      <c r="N70" s="39">
        <f>$J$3+[45]FormattedData!G71*$J$4+$M$4*$J$5+[45]FormattedData!G71^2*$J$6+$M$5*$J$7</f>
        <v>-0.5944129346428404</v>
      </c>
      <c r="O70" s="39">
        <f>$J$3+[45]FormattedData!H71*$J$4+$M$4*$J$5+[45]FormattedData!H71^2*$J$6+$M$5*$J$7</f>
        <v>-0.5944129346428404</v>
      </c>
      <c r="P70" s="39">
        <f>$J$3+[45]FormattedData!I71*$J$4+$M$4*$J$5+[45]FormattedData!I71^2*$J$6+$M$5*$J$7</f>
        <v>-0.5944129346428404</v>
      </c>
      <c r="Q70" s="39">
        <f>$J$3+[45]FormattedData!J71*$J$4+$M$4*$J$5+[45]FormattedData!J71^2*$J$6+$M$5*$J$7</f>
        <v>-0.5944129346428404</v>
      </c>
      <c r="R70" s="39">
        <f>$J$3+[45]FormattedData!K71*$J$4+$M$4*$J$5+[45]FormattedData!K71^2*$J$6+$M$5*$J$7</f>
        <v>-0.5944129346428404</v>
      </c>
      <c r="S70" s="39">
        <f>$J$3+[45]FormattedData!L71*$J$4+$M$4*$J$5+[45]FormattedData!L71^2*$J$6+$M$5*$J$7</f>
        <v>-0.5944129346428404</v>
      </c>
      <c r="T70" s="39">
        <f>$J$3+[45]FormattedData!M71*$J$4+$M$4*$J$5+[45]FormattedData!M71^2*$J$6+$M$5*$J$7</f>
        <v>-0.5944129346428404</v>
      </c>
      <c r="U70" s="39">
        <f>$J$3+[45]FormattedData!N71*$J$4+$M$4*$J$5+[45]FormattedData!N71^2*$J$6+$M$5*$J$7</f>
        <v>-0.5944129346428404</v>
      </c>
      <c r="V70" s="39">
        <f>$J$3+[45]FormattedData!O71*$J$4+$M$4*$J$5+[45]FormattedData!O71^2*$J$6+$M$5*$J$7</f>
        <v>-0.5944129346428404</v>
      </c>
      <c r="W70" s="38">
        <f>AVERAGE(K70:V70)</f>
        <v>-0.59441293464284051</v>
      </c>
      <c r="X70" s="37">
        <f>STDEV(K70:V70)/SQRT(COUNT(K70:V70))</f>
        <v>3.3474483693592253E-17</v>
      </c>
      <c r="Y70" s="36">
        <f>MIN(K70:V70)</f>
        <v>-0.5944129346428404</v>
      </c>
      <c r="Z70" s="35">
        <f>QUARTILE(K70:V70,1)</f>
        <v>-0.5944129346428404</v>
      </c>
      <c r="AA70" s="36">
        <f>MEDIAN(K70:V70)</f>
        <v>-0.5944129346428404</v>
      </c>
      <c r="AB70" s="35">
        <f>QUARTILE(K70:V70,3)</f>
        <v>-0.5944129346428404</v>
      </c>
      <c r="AC70" s="35">
        <f>MAX(K70:V70)</f>
        <v>-0.5944129346428404</v>
      </c>
      <c r="AD70" s="35">
        <f>SKEW(K70:V70)</f>
        <v>1.1489125293076057</v>
      </c>
      <c r="AE70" s="35">
        <f>KURT(K70:V70)</f>
        <v>-2.4444444444444446</v>
      </c>
    </row>
    <row r="71" spans="2:31" x14ac:dyDescent="0.2">
      <c r="B71" s="34">
        <f>[45]FormattedData!A73</f>
        <v>0</v>
      </c>
      <c r="C71" s="34" t="e">
        <f>VLOOKUP($B71,[45]TrtCodes!$B$11:I116,2)</f>
        <v>#N/A</v>
      </c>
      <c r="D71" s="34" t="e">
        <f>VLOOKUP($B71,[45]TrtCodes!$B$11:J116,3)</f>
        <v>#N/A</v>
      </c>
      <c r="E71" s="34" t="e">
        <f>VLOOKUP($B71,[45]TrtCodes!$B$11:K116,4)</f>
        <v>#N/A</v>
      </c>
      <c r="F71" s="34" t="e">
        <f>VLOOKUP($B71,[45]TrtCodes!$B$11:L116,5)</f>
        <v>#N/A</v>
      </c>
      <c r="G71" s="34" t="e">
        <f>VLOOKUP($B71,[45]TrtCodes!$B$11:M116,6)</f>
        <v>#N/A</v>
      </c>
      <c r="H71" s="34" t="e">
        <f>VLOOKUP($B71,[45]TrtCodes!$B$11:N116,7)</f>
        <v>#N/A</v>
      </c>
      <c r="I71" s="34">
        <f>[45]FormattedData!B73</f>
        <v>0</v>
      </c>
      <c r="J71" s="37">
        <f>[45]FormattedData!C73</f>
        <v>0</v>
      </c>
      <c r="K71" s="39">
        <f>$J$3+[45]FormattedData!D73*$J$4+$M$4*$J$5+[45]FormattedData!D73^2*$J$6+$M$5*$J$7</f>
        <v>-0.5944129346428404</v>
      </c>
      <c r="L71" s="39">
        <f>$J$3+[45]FormattedData!E73*$J$4+$M$4*$J$5+[45]FormattedData!E73^2*$J$6+$M$5*$J$7</f>
        <v>-0.5944129346428404</v>
      </c>
      <c r="M71" s="39">
        <f>$J$3+[45]FormattedData!F73*$J$4+$M$4*$J$5+[45]FormattedData!F73^2*$J$6+$M$5*$J$7</f>
        <v>-0.5944129346428404</v>
      </c>
      <c r="N71" s="39">
        <f>$J$3+[45]FormattedData!G73*$J$4+$M$4*$J$5+[45]FormattedData!G73^2*$J$6+$M$5*$J$7</f>
        <v>-0.5944129346428404</v>
      </c>
      <c r="O71" s="39">
        <f>$J$3+[45]FormattedData!H73*$J$4+$M$4*$J$5+[45]FormattedData!H73^2*$J$6+$M$5*$J$7</f>
        <v>-0.5944129346428404</v>
      </c>
      <c r="P71" s="39">
        <f>$J$3+[45]FormattedData!I73*$J$4+$M$4*$J$5+[45]FormattedData!I73^2*$J$6+$M$5*$J$7</f>
        <v>-0.5944129346428404</v>
      </c>
      <c r="Q71" s="39">
        <f>$J$3+[45]FormattedData!J73*$J$4+$M$4*$J$5+[45]FormattedData!J73^2*$J$6+$M$5*$J$7</f>
        <v>-0.5944129346428404</v>
      </c>
      <c r="R71" s="39">
        <f>$J$3+[45]FormattedData!K73*$J$4+$M$4*$J$5+[45]FormattedData!K73^2*$J$6+$M$5*$J$7</f>
        <v>-0.5944129346428404</v>
      </c>
      <c r="S71" s="39">
        <f>$J$3+[45]FormattedData!L73*$J$4+$M$4*$J$5+[45]FormattedData!L73^2*$J$6+$M$5*$J$7</f>
        <v>-0.5944129346428404</v>
      </c>
      <c r="T71" s="39">
        <f>$J$3+[45]FormattedData!M73*$J$4+$M$4*$J$5+[45]FormattedData!M73^2*$J$6+$M$5*$J$7</f>
        <v>-0.5944129346428404</v>
      </c>
      <c r="U71" s="39">
        <f>$J$3+[45]FormattedData!N73*$J$4+$M$4*$J$5+[45]FormattedData!N73^2*$J$6+$M$5*$J$7</f>
        <v>-0.5944129346428404</v>
      </c>
      <c r="V71" s="39">
        <f>$J$3+[45]FormattedData!O73*$J$4+$M$4*$J$5+[45]FormattedData!O73^2*$J$6+$M$5*$J$7</f>
        <v>-0.5944129346428404</v>
      </c>
      <c r="W71" s="38">
        <f>AVERAGE(K71:V71)</f>
        <v>-0.59441293464284051</v>
      </c>
      <c r="X71" s="37">
        <f>STDEV(K71:V71)/SQRT(COUNT(K71:V71))</f>
        <v>3.3474483693592253E-17</v>
      </c>
      <c r="Y71" s="36">
        <f>MIN(K71:V71)</f>
        <v>-0.5944129346428404</v>
      </c>
      <c r="Z71" s="35">
        <f>QUARTILE(K71:V71,1)</f>
        <v>-0.5944129346428404</v>
      </c>
      <c r="AA71" s="36">
        <f>MEDIAN(K71:V71)</f>
        <v>-0.5944129346428404</v>
      </c>
      <c r="AB71" s="35">
        <f>QUARTILE(K71:V71,3)</f>
        <v>-0.5944129346428404</v>
      </c>
      <c r="AC71" s="35">
        <f>MAX(K71:V71)</f>
        <v>-0.5944129346428404</v>
      </c>
      <c r="AD71" s="35">
        <f>SKEW(K71:V71)</f>
        <v>1.1489125293076057</v>
      </c>
      <c r="AE71" s="35">
        <f>KURT(K71:V71)</f>
        <v>-2.4444444444444446</v>
      </c>
    </row>
    <row r="72" spans="2:31" x14ac:dyDescent="0.2">
      <c r="B72" s="34">
        <f>[45]FormattedData!A75</f>
        <v>0</v>
      </c>
      <c r="C72" s="34" t="e">
        <f>VLOOKUP($B72,[45]TrtCodes!$B$11:I118,2)</f>
        <v>#N/A</v>
      </c>
      <c r="D72" s="34" t="e">
        <f>VLOOKUP($B72,[45]TrtCodes!$B$11:J118,3)</f>
        <v>#N/A</v>
      </c>
      <c r="E72" s="34" t="e">
        <f>VLOOKUP($B72,[45]TrtCodes!$B$11:K118,4)</f>
        <v>#N/A</v>
      </c>
      <c r="F72" s="34" t="e">
        <f>VLOOKUP($B72,[45]TrtCodes!$B$11:L118,5)</f>
        <v>#N/A</v>
      </c>
      <c r="G72" s="34" t="e">
        <f>VLOOKUP($B72,[45]TrtCodes!$B$11:M118,6)</f>
        <v>#N/A</v>
      </c>
      <c r="H72" s="34" t="e">
        <f>VLOOKUP($B72,[45]TrtCodes!$B$11:N118,7)</f>
        <v>#N/A</v>
      </c>
      <c r="I72" s="34">
        <f>[45]FormattedData!B75</f>
        <v>0</v>
      </c>
      <c r="J72" s="37">
        <f>[45]FormattedData!C75</f>
        <v>0</v>
      </c>
      <c r="K72" s="39">
        <f>$J$3+[45]FormattedData!D75*$J$4+$M$4*$J$5+[45]FormattedData!D75^2*$J$6+$M$5*$J$7</f>
        <v>-0.5944129346428404</v>
      </c>
      <c r="L72" s="39">
        <f>$J$3+[45]FormattedData!E75*$J$4+$M$4*$J$5+[45]FormattedData!E75^2*$J$6+$M$5*$J$7</f>
        <v>-0.5944129346428404</v>
      </c>
      <c r="M72" s="39">
        <f>$J$3+[45]FormattedData!F75*$J$4+$M$4*$J$5+[45]FormattedData!F75^2*$J$6+$M$5*$J$7</f>
        <v>-0.5944129346428404</v>
      </c>
      <c r="N72" s="39">
        <f>$J$3+[45]FormattedData!G75*$J$4+$M$4*$J$5+[45]FormattedData!G75^2*$J$6+$M$5*$J$7</f>
        <v>-0.5944129346428404</v>
      </c>
      <c r="O72" s="39">
        <f>$J$3+[45]FormattedData!H75*$J$4+$M$4*$J$5+[45]FormattedData!H75^2*$J$6+$M$5*$J$7</f>
        <v>-0.5944129346428404</v>
      </c>
      <c r="P72" s="39">
        <f>$J$3+[45]FormattedData!I75*$J$4+$M$4*$J$5+[45]FormattedData!I75^2*$J$6+$M$5*$J$7</f>
        <v>-0.5944129346428404</v>
      </c>
      <c r="Q72" s="39">
        <f>$J$3+[45]FormattedData!J75*$J$4+$M$4*$J$5+[45]FormattedData!J75^2*$J$6+$M$5*$J$7</f>
        <v>-0.5944129346428404</v>
      </c>
      <c r="R72" s="39">
        <f>$J$3+[45]FormattedData!K75*$J$4+$M$4*$J$5+[45]FormattedData!K75^2*$J$6+$M$5*$J$7</f>
        <v>-0.5944129346428404</v>
      </c>
      <c r="S72" s="39">
        <f>$J$3+[45]FormattedData!L75*$J$4+$M$4*$J$5+[45]FormattedData!L75^2*$J$6+$M$5*$J$7</f>
        <v>-0.5944129346428404</v>
      </c>
      <c r="T72" s="39">
        <f>$J$3+[45]FormattedData!M75*$J$4+$M$4*$J$5+[45]FormattedData!M75^2*$J$6+$M$5*$J$7</f>
        <v>-0.5944129346428404</v>
      </c>
      <c r="U72" s="39">
        <f>$J$3+[45]FormattedData!N75*$J$4+$M$4*$J$5+[45]FormattedData!N75^2*$J$6+$M$5*$J$7</f>
        <v>-0.5944129346428404</v>
      </c>
      <c r="V72" s="39">
        <f>$J$3+[45]FormattedData!O75*$J$4+$M$4*$J$5+[45]FormattedData!O75^2*$J$6+$M$5*$J$7</f>
        <v>-0.5944129346428404</v>
      </c>
      <c r="W72" s="38">
        <f>AVERAGE(K72:V72)</f>
        <v>-0.59441293464284051</v>
      </c>
      <c r="X72" s="37">
        <f>STDEV(K72:V72)/SQRT(COUNT(K72:V72))</f>
        <v>3.3474483693592253E-17</v>
      </c>
      <c r="Y72" s="36">
        <f>MIN(K72:V72)</f>
        <v>-0.5944129346428404</v>
      </c>
      <c r="Z72" s="35">
        <f>QUARTILE(K72:V72,1)</f>
        <v>-0.5944129346428404</v>
      </c>
      <c r="AA72" s="36">
        <f>MEDIAN(K72:V72)</f>
        <v>-0.5944129346428404</v>
      </c>
      <c r="AB72" s="35">
        <f>QUARTILE(K72:V72,3)</f>
        <v>-0.5944129346428404</v>
      </c>
      <c r="AC72" s="35">
        <f>MAX(K72:V72)</f>
        <v>-0.5944129346428404</v>
      </c>
      <c r="AD72" s="35">
        <f>SKEW(K72:V72)</f>
        <v>1.1489125293076057</v>
      </c>
      <c r="AE72" s="35">
        <f>KURT(K72:V72)</f>
        <v>-2.4444444444444446</v>
      </c>
    </row>
    <row r="73" spans="2:31" x14ac:dyDescent="0.2">
      <c r="B73" s="34">
        <f>[45]FormattedData!A77</f>
        <v>0</v>
      </c>
      <c r="C73" s="34" t="e">
        <f>VLOOKUP($B73,[45]TrtCodes!$B$11:I120,2)</f>
        <v>#N/A</v>
      </c>
      <c r="D73" s="34" t="e">
        <f>VLOOKUP($B73,[45]TrtCodes!$B$11:J120,3)</f>
        <v>#N/A</v>
      </c>
      <c r="E73" s="34" t="e">
        <f>VLOOKUP($B73,[45]TrtCodes!$B$11:K120,4)</f>
        <v>#N/A</v>
      </c>
      <c r="F73" s="34" t="e">
        <f>VLOOKUP($B73,[45]TrtCodes!$B$11:L120,5)</f>
        <v>#N/A</v>
      </c>
      <c r="G73" s="34" t="e">
        <f>VLOOKUP($B73,[45]TrtCodes!$B$11:M120,6)</f>
        <v>#N/A</v>
      </c>
      <c r="H73" s="34" t="e">
        <f>VLOOKUP($B73,[45]TrtCodes!$B$11:N120,7)</f>
        <v>#N/A</v>
      </c>
      <c r="I73" s="34">
        <f>[45]FormattedData!B77</f>
        <v>0</v>
      </c>
      <c r="J73" s="37">
        <f>[45]FormattedData!C77</f>
        <v>0</v>
      </c>
      <c r="K73" s="39">
        <f>$J$3+[45]FormattedData!D77*$J$4+$M$4*$J$5+[45]FormattedData!D77^2*$J$6+$M$5*$J$7</f>
        <v>-0.5944129346428404</v>
      </c>
      <c r="L73" s="39">
        <f>$J$3+[45]FormattedData!E77*$J$4+$M$4*$J$5+[45]FormattedData!E77^2*$J$6+$M$5*$J$7</f>
        <v>-0.5944129346428404</v>
      </c>
      <c r="M73" s="39">
        <f>$J$3+[45]FormattedData!F77*$J$4+$M$4*$J$5+[45]FormattedData!F77^2*$J$6+$M$5*$J$7</f>
        <v>-0.5944129346428404</v>
      </c>
      <c r="N73" s="39">
        <f>$J$3+[45]FormattedData!G77*$J$4+$M$4*$J$5+[45]FormattedData!G77^2*$J$6+$M$5*$J$7</f>
        <v>-0.5944129346428404</v>
      </c>
      <c r="O73" s="39">
        <f>$J$3+[45]FormattedData!H77*$J$4+$M$4*$J$5+[45]FormattedData!H77^2*$J$6+$M$5*$J$7</f>
        <v>-0.5944129346428404</v>
      </c>
      <c r="P73" s="39">
        <f>$J$3+[45]FormattedData!I77*$J$4+$M$4*$J$5+[45]FormattedData!I77^2*$J$6+$M$5*$J$7</f>
        <v>-0.5944129346428404</v>
      </c>
      <c r="Q73" s="39">
        <f>$J$3+[45]FormattedData!J77*$J$4+$M$4*$J$5+[45]FormattedData!J77^2*$J$6+$M$5*$J$7</f>
        <v>-0.5944129346428404</v>
      </c>
      <c r="R73" s="39">
        <f>$J$3+[45]FormattedData!K77*$J$4+$M$4*$J$5+[45]FormattedData!K77^2*$J$6+$M$5*$J$7</f>
        <v>-0.5944129346428404</v>
      </c>
      <c r="S73" s="39">
        <f>$J$3+[45]FormattedData!L77*$J$4+$M$4*$J$5+[45]FormattedData!L77^2*$J$6+$M$5*$J$7</f>
        <v>-0.5944129346428404</v>
      </c>
      <c r="T73" s="39">
        <f>$J$3+[45]FormattedData!M77*$J$4+$M$4*$J$5+[45]FormattedData!M77^2*$J$6+$M$5*$J$7</f>
        <v>-0.5944129346428404</v>
      </c>
      <c r="U73" s="39">
        <f>$J$3+[45]FormattedData!N77*$J$4+$M$4*$J$5+[45]FormattedData!N77^2*$J$6+$M$5*$J$7</f>
        <v>-0.5944129346428404</v>
      </c>
      <c r="V73" s="39">
        <f>$J$3+[45]FormattedData!O77*$J$4+$M$4*$J$5+[45]FormattedData!O77^2*$J$6+$M$5*$J$7</f>
        <v>-0.5944129346428404</v>
      </c>
      <c r="W73" s="38">
        <f>AVERAGE(K73:V73)</f>
        <v>-0.59441293464284051</v>
      </c>
      <c r="X73" s="37">
        <f>STDEV(K73:V73)/SQRT(COUNT(K73:V73))</f>
        <v>3.3474483693592253E-17</v>
      </c>
      <c r="Y73" s="36">
        <f>MIN(K73:V73)</f>
        <v>-0.5944129346428404</v>
      </c>
      <c r="Z73" s="35">
        <f>QUARTILE(K73:V73,1)</f>
        <v>-0.5944129346428404</v>
      </c>
      <c r="AA73" s="36">
        <f>MEDIAN(K73:V73)</f>
        <v>-0.5944129346428404</v>
      </c>
      <c r="AB73" s="35">
        <f>QUARTILE(K73:V73,3)</f>
        <v>-0.5944129346428404</v>
      </c>
      <c r="AC73" s="35">
        <f>MAX(K73:V73)</f>
        <v>-0.5944129346428404</v>
      </c>
      <c r="AD73" s="35">
        <f>SKEW(K73:V73)</f>
        <v>1.1489125293076057</v>
      </c>
      <c r="AE73" s="35">
        <f>KURT(K73:V73)</f>
        <v>-2.4444444444444446</v>
      </c>
    </row>
    <row r="74" spans="2:31" x14ac:dyDescent="0.2">
      <c r="B74" s="34">
        <f>[45]FormattedData!A93</f>
        <v>0</v>
      </c>
      <c r="C74" s="34" t="e">
        <f>VLOOKUP($B74,[45]TrtCodes!$B$11:I130,2)</f>
        <v>#N/A</v>
      </c>
      <c r="D74" s="34" t="e">
        <f>VLOOKUP($B74,[45]TrtCodes!$B$11:J130,3)</f>
        <v>#N/A</v>
      </c>
      <c r="E74" s="34" t="e">
        <f>VLOOKUP($B74,[45]TrtCodes!$B$11:K130,4)</f>
        <v>#N/A</v>
      </c>
      <c r="F74" s="34" t="e">
        <f>VLOOKUP($B74,[45]TrtCodes!$B$11:L130,5)</f>
        <v>#N/A</v>
      </c>
      <c r="G74" s="34" t="e">
        <f>VLOOKUP($B74,[45]TrtCodes!$B$11:M130,6)</f>
        <v>#N/A</v>
      </c>
      <c r="H74" s="34" t="e">
        <f>VLOOKUP($B74,[45]TrtCodes!$B$11:N130,7)</f>
        <v>#N/A</v>
      </c>
      <c r="I74" s="34">
        <f>[45]FormattedData!B93</f>
        <v>0</v>
      </c>
      <c r="J74" s="37">
        <f>[45]FormattedData!C93</f>
        <v>0</v>
      </c>
      <c r="K74" s="39">
        <f>$J$3+[45]FormattedData!D93*$J$4+$M$4*$J$5+[45]FormattedData!D93^2*$J$6+$M$5*$J$7</f>
        <v>-0.5944129346428404</v>
      </c>
      <c r="L74" s="39">
        <f>$J$3+[45]FormattedData!E93*$J$4+$M$4*$J$5+[45]FormattedData!E93^2*$J$6+$M$5*$J$7</f>
        <v>-0.5944129346428404</v>
      </c>
      <c r="M74" s="39">
        <f>$J$3+[45]FormattedData!F93*$J$4+$M$4*$J$5+[45]FormattedData!F93^2*$J$6+$M$5*$J$7</f>
        <v>-0.5944129346428404</v>
      </c>
      <c r="N74" s="39">
        <f>$J$3+[45]FormattedData!G93*$J$4+$M$4*$J$5+[45]FormattedData!G93^2*$J$6+$M$5*$J$7</f>
        <v>-0.5944129346428404</v>
      </c>
      <c r="O74" s="39">
        <f>$J$3+[45]FormattedData!H93*$J$4+$M$4*$J$5+[45]FormattedData!H93^2*$J$6+$M$5*$J$7</f>
        <v>-0.5944129346428404</v>
      </c>
      <c r="P74" s="39">
        <f>$J$3+[45]FormattedData!I93*$J$4+$M$4*$J$5+[45]FormattedData!I93^2*$J$6+$M$5*$J$7</f>
        <v>-0.5944129346428404</v>
      </c>
      <c r="Q74" s="39">
        <f>$J$3+[45]FormattedData!J93*$J$4+$M$4*$J$5+[45]FormattedData!J93^2*$J$6+$M$5*$J$7</f>
        <v>-0.5944129346428404</v>
      </c>
      <c r="R74" s="39">
        <f>$J$3+[45]FormattedData!K93*$J$4+$M$4*$J$5+[45]FormattedData!K93^2*$J$6+$M$5*$J$7</f>
        <v>-0.5944129346428404</v>
      </c>
      <c r="S74" s="39">
        <f>$J$3+[45]FormattedData!L93*$J$4+$M$4*$J$5+[45]FormattedData!L93^2*$J$6+$M$5*$J$7</f>
        <v>-0.5944129346428404</v>
      </c>
      <c r="T74" s="39">
        <f>$J$3+[45]FormattedData!M93*$J$4+$M$4*$J$5+[45]FormattedData!M93^2*$J$6+$M$5*$J$7</f>
        <v>-0.5944129346428404</v>
      </c>
      <c r="U74" s="39">
        <f>$J$3+[45]FormattedData!N93*$J$4+$M$4*$J$5+[45]FormattedData!N93^2*$J$6+$M$5*$J$7</f>
        <v>-0.5944129346428404</v>
      </c>
      <c r="V74" s="39">
        <f>$J$3+[45]FormattedData!O93*$J$4+$M$4*$J$5+[45]FormattedData!O93^2*$J$6+$M$5*$J$7</f>
        <v>-0.5944129346428404</v>
      </c>
      <c r="W74" s="38">
        <f>AVERAGE(K74:V74)</f>
        <v>-0.59441293464284051</v>
      </c>
      <c r="X74" s="37">
        <f>STDEV(K74:V74)/SQRT(COUNT(K74:V74))</f>
        <v>3.3474483693592253E-17</v>
      </c>
      <c r="Y74" s="36">
        <f>MIN(K74:V74)</f>
        <v>-0.5944129346428404</v>
      </c>
      <c r="Z74" s="35">
        <f>QUARTILE(K74:V74,1)</f>
        <v>-0.5944129346428404</v>
      </c>
      <c r="AA74" s="36">
        <f>MEDIAN(K74:V74)</f>
        <v>-0.5944129346428404</v>
      </c>
      <c r="AB74" s="35">
        <f>QUARTILE(K74:V74,3)</f>
        <v>-0.5944129346428404</v>
      </c>
      <c r="AC74" s="35">
        <f>MAX(K74:V74)</f>
        <v>-0.5944129346428404</v>
      </c>
      <c r="AD74" s="35">
        <f>SKEW(K74:V74)</f>
        <v>1.1489125293076057</v>
      </c>
      <c r="AE74" s="35">
        <f>KURT(K74:V74)</f>
        <v>-2.4444444444444446</v>
      </c>
    </row>
    <row r="75" spans="2:31" x14ac:dyDescent="0.2">
      <c r="B75" s="34">
        <f>[45]FormattedData!A91</f>
        <v>0</v>
      </c>
      <c r="C75" s="34" t="e">
        <f>VLOOKUP($B75,[45]TrtCodes!$B$11:I131,2)</f>
        <v>#N/A</v>
      </c>
      <c r="D75" s="34" t="e">
        <f>VLOOKUP($B75,[45]TrtCodes!$B$11:J131,3)</f>
        <v>#N/A</v>
      </c>
      <c r="E75" s="34" t="e">
        <f>VLOOKUP($B75,[45]TrtCodes!$B$11:K131,4)</f>
        <v>#N/A</v>
      </c>
      <c r="F75" s="34" t="e">
        <f>VLOOKUP($B75,[45]TrtCodes!$B$11:L131,5)</f>
        <v>#N/A</v>
      </c>
      <c r="G75" s="34" t="e">
        <f>VLOOKUP($B75,[45]TrtCodes!$B$11:M131,6)</f>
        <v>#N/A</v>
      </c>
      <c r="H75" s="34" t="e">
        <f>VLOOKUP($B75,[45]TrtCodes!$B$11:N131,7)</f>
        <v>#N/A</v>
      </c>
      <c r="I75" s="34">
        <f>[45]FormattedData!B91</f>
        <v>0</v>
      </c>
      <c r="J75" s="37">
        <f>[45]FormattedData!C91</f>
        <v>0</v>
      </c>
      <c r="K75" s="39">
        <f>$J$3+[45]FormattedData!D91*$J$4+$M$4*$J$5+[45]FormattedData!D91^2*$J$6+$M$5*$J$7</f>
        <v>-0.5944129346428404</v>
      </c>
      <c r="L75" s="39">
        <f>$J$3+[45]FormattedData!E91*$J$4+$M$4*$J$5+[45]FormattedData!E91^2*$J$6+$M$5*$J$7</f>
        <v>-0.5944129346428404</v>
      </c>
      <c r="M75" s="39">
        <f>$J$3+[45]FormattedData!F91*$J$4+$M$4*$J$5+[45]FormattedData!F91^2*$J$6+$M$5*$J$7</f>
        <v>-0.5944129346428404</v>
      </c>
      <c r="N75" s="39">
        <f>$J$3+[45]FormattedData!G91*$J$4+$M$4*$J$5+[45]FormattedData!G91^2*$J$6+$M$5*$J$7</f>
        <v>-0.5944129346428404</v>
      </c>
      <c r="O75" s="39">
        <f>$J$3+[45]FormattedData!H91*$J$4+$M$4*$J$5+[45]FormattedData!H91^2*$J$6+$M$5*$J$7</f>
        <v>-0.5944129346428404</v>
      </c>
      <c r="P75" s="39">
        <f>$J$3+[45]FormattedData!I91*$J$4+$M$4*$J$5+[45]FormattedData!I91^2*$J$6+$M$5*$J$7</f>
        <v>-0.5944129346428404</v>
      </c>
      <c r="Q75" s="39">
        <f>$J$3+[45]FormattedData!J91*$J$4+$M$4*$J$5+[45]FormattedData!J91^2*$J$6+$M$5*$J$7</f>
        <v>-0.5944129346428404</v>
      </c>
      <c r="R75" s="39">
        <f>$J$3+[45]FormattedData!K91*$J$4+$M$4*$J$5+[45]FormattedData!K91^2*$J$6+$M$5*$J$7</f>
        <v>-0.5944129346428404</v>
      </c>
      <c r="S75" s="39">
        <f>$J$3+[45]FormattedData!L91*$J$4+$M$4*$J$5+[45]FormattedData!L91^2*$J$6+$M$5*$J$7</f>
        <v>-0.5944129346428404</v>
      </c>
      <c r="T75" s="39">
        <f>$J$3+[45]FormattedData!M91*$J$4+$M$4*$J$5+[45]FormattedData!M91^2*$J$6+$M$5*$J$7</f>
        <v>-0.5944129346428404</v>
      </c>
      <c r="U75" s="39">
        <f>$J$3+[45]FormattedData!N91*$J$4+$M$4*$J$5+[45]FormattedData!N91^2*$J$6+$M$5*$J$7</f>
        <v>-0.5944129346428404</v>
      </c>
      <c r="V75" s="39">
        <f>$J$3+[45]FormattedData!O91*$J$4+$M$4*$J$5+[45]FormattedData!O91^2*$J$6+$M$5*$J$7</f>
        <v>-0.5944129346428404</v>
      </c>
      <c r="W75" s="38">
        <f>AVERAGE(K75:V75)</f>
        <v>-0.59441293464284051</v>
      </c>
      <c r="X75" s="37">
        <f>STDEV(K75:V75)/SQRT(COUNT(K75:V75))</f>
        <v>3.3474483693592253E-17</v>
      </c>
      <c r="Y75" s="36">
        <f>MIN(K75:V75)</f>
        <v>-0.5944129346428404</v>
      </c>
      <c r="Z75" s="35">
        <f>QUARTILE(K75:V75,1)</f>
        <v>-0.5944129346428404</v>
      </c>
      <c r="AA75" s="36">
        <f>MEDIAN(K75:V75)</f>
        <v>-0.5944129346428404</v>
      </c>
      <c r="AB75" s="35">
        <f>QUARTILE(K75:V75,3)</f>
        <v>-0.5944129346428404</v>
      </c>
      <c r="AC75" s="35">
        <f>MAX(K75:V75)</f>
        <v>-0.5944129346428404</v>
      </c>
      <c r="AD75" s="35">
        <f>SKEW(K75:V75)</f>
        <v>1.1489125293076057</v>
      </c>
      <c r="AE75" s="35">
        <f>KURT(K75:V75)</f>
        <v>-2.4444444444444446</v>
      </c>
    </row>
    <row r="76" spans="2:31" x14ac:dyDescent="0.2">
      <c r="B76" s="34">
        <f>[45]FormattedData!A89</f>
        <v>0</v>
      </c>
      <c r="C76" s="34" t="e">
        <f>VLOOKUP($B76,[45]TrtCodes!$B$11:I132,2)</f>
        <v>#N/A</v>
      </c>
      <c r="D76" s="34" t="e">
        <f>VLOOKUP($B76,[45]TrtCodes!$B$11:J132,3)</f>
        <v>#N/A</v>
      </c>
      <c r="E76" s="34" t="e">
        <f>VLOOKUP($B76,[45]TrtCodes!$B$11:K132,4)</f>
        <v>#N/A</v>
      </c>
      <c r="F76" s="34" t="e">
        <f>VLOOKUP($B76,[45]TrtCodes!$B$11:L132,5)</f>
        <v>#N/A</v>
      </c>
      <c r="G76" s="34" t="e">
        <f>VLOOKUP($B76,[45]TrtCodes!$B$11:M132,6)</f>
        <v>#N/A</v>
      </c>
      <c r="H76" s="34" t="e">
        <f>VLOOKUP($B76,[45]TrtCodes!$B$11:N132,7)</f>
        <v>#N/A</v>
      </c>
      <c r="I76" s="34">
        <f>[45]FormattedData!B89</f>
        <v>0</v>
      </c>
      <c r="J76" s="37">
        <f>[45]FormattedData!C89</f>
        <v>0</v>
      </c>
      <c r="K76" s="39">
        <f>$J$3+[45]FormattedData!D89*$J$4+$M$4*$J$5+[45]FormattedData!D89^2*$J$6+$M$5*$J$7</f>
        <v>-0.5944129346428404</v>
      </c>
      <c r="L76" s="39">
        <f>$J$3+[45]FormattedData!E89*$J$4+$M$4*$J$5+[45]FormattedData!E89^2*$J$6+$M$5*$J$7</f>
        <v>-0.5944129346428404</v>
      </c>
      <c r="M76" s="39">
        <f>$J$3+[45]FormattedData!F89*$J$4+$M$4*$J$5+[45]FormattedData!F89^2*$J$6+$M$5*$J$7</f>
        <v>-0.5944129346428404</v>
      </c>
      <c r="N76" s="39">
        <f>$J$3+[45]FormattedData!G89*$J$4+$M$4*$J$5+[45]FormattedData!G89^2*$J$6+$M$5*$J$7</f>
        <v>-0.5944129346428404</v>
      </c>
      <c r="O76" s="39">
        <f>$J$3+[45]FormattedData!H89*$J$4+$M$4*$J$5+[45]FormattedData!H89^2*$J$6+$M$5*$J$7</f>
        <v>-0.5944129346428404</v>
      </c>
      <c r="P76" s="39">
        <f>$J$3+[45]FormattedData!I89*$J$4+$M$4*$J$5+[45]FormattedData!I89^2*$J$6+$M$5*$J$7</f>
        <v>-0.5944129346428404</v>
      </c>
      <c r="Q76" s="39">
        <f>$J$3+[45]FormattedData!J89*$J$4+$M$4*$J$5+[45]FormattedData!J89^2*$J$6+$M$5*$J$7</f>
        <v>-0.5944129346428404</v>
      </c>
      <c r="R76" s="39">
        <f>$J$3+[45]FormattedData!K89*$J$4+$M$4*$J$5+[45]FormattedData!K89^2*$J$6+$M$5*$J$7</f>
        <v>-0.5944129346428404</v>
      </c>
      <c r="S76" s="39">
        <f>$J$3+[45]FormattedData!L89*$J$4+$M$4*$J$5+[45]FormattedData!L89^2*$J$6+$M$5*$J$7</f>
        <v>-0.5944129346428404</v>
      </c>
      <c r="T76" s="39">
        <f>$J$3+[45]FormattedData!M89*$J$4+$M$4*$J$5+[45]FormattedData!M89^2*$J$6+$M$5*$J$7</f>
        <v>-0.5944129346428404</v>
      </c>
      <c r="U76" s="39">
        <f>$J$3+[45]FormattedData!N89*$J$4+$M$4*$J$5+[45]FormattedData!N89^2*$J$6+$M$5*$J$7</f>
        <v>-0.5944129346428404</v>
      </c>
      <c r="V76" s="39">
        <f>$J$3+[45]FormattedData!O89*$J$4+$M$4*$J$5+[45]FormattedData!O89^2*$J$6+$M$5*$J$7</f>
        <v>-0.5944129346428404</v>
      </c>
      <c r="W76" s="38">
        <f>AVERAGE(K76:V76)</f>
        <v>-0.59441293464284051</v>
      </c>
      <c r="X76" s="37">
        <f>STDEV(K76:V76)/SQRT(COUNT(K76:V76))</f>
        <v>3.3474483693592253E-17</v>
      </c>
      <c r="Y76" s="36">
        <f>MIN(K76:V76)</f>
        <v>-0.5944129346428404</v>
      </c>
      <c r="Z76" s="35">
        <f>QUARTILE(K76:V76,1)</f>
        <v>-0.5944129346428404</v>
      </c>
      <c r="AA76" s="36">
        <f>MEDIAN(K76:V76)</f>
        <v>-0.5944129346428404</v>
      </c>
      <c r="AB76" s="35">
        <f>QUARTILE(K76:V76,3)</f>
        <v>-0.5944129346428404</v>
      </c>
      <c r="AC76" s="35">
        <f>MAX(K76:V76)</f>
        <v>-0.5944129346428404</v>
      </c>
      <c r="AD76" s="35">
        <f>SKEW(K76:V76)</f>
        <v>1.1489125293076057</v>
      </c>
      <c r="AE76" s="35">
        <f>KURT(K76:V76)</f>
        <v>-2.4444444444444446</v>
      </c>
    </row>
    <row r="77" spans="2:31" x14ac:dyDescent="0.2">
      <c r="B77" s="34">
        <f>[45]FormattedData!A87</f>
        <v>0</v>
      </c>
      <c r="C77" s="34" t="e">
        <f>VLOOKUP($B77,[45]TrtCodes!$B$11:I130,2)</f>
        <v>#N/A</v>
      </c>
      <c r="D77" s="34" t="e">
        <f>VLOOKUP($B77,[45]TrtCodes!$B$11:J130,3)</f>
        <v>#N/A</v>
      </c>
      <c r="E77" s="34" t="e">
        <f>VLOOKUP($B77,[45]TrtCodes!$B$11:K130,4)</f>
        <v>#N/A</v>
      </c>
      <c r="F77" s="34" t="e">
        <f>VLOOKUP($B77,[45]TrtCodes!$B$11:L130,5)</f>
        <v>#N/A</v>
      </c>
      <c r="G77" s="34" t="e">
        <f>VLOOKUP($B77,[45]TrtCodes!$B$11:M130,6)</f>
        <v>#N/A</v>
      </c>
      <c r="H77" s="34" t="e">
        <f>VLOOKUP($B77,[45]TrtCodes!$B$11:N130,7)</f>
        <v>#N/A</v>
      </c>
      <c r="I77" s="34">
        <f>[45]FormattedData!B87</f>
        <v>0</v>
      </c>
      <c r="J77" s="37">
        <f>[45]FormattedData!C87</f>
        <v>0</v>
      </c>
      <c r="K77" s="39">
        <f>$J$3+[45]FormattedData!D87*$J$4+$M$4*$J$5+[45]FormattedData!D87^2*$J$6+$M$5*$J$7</f>
        <v>-0.5944129346428404</v>
      </c>
      <c r="L77" s="39">
        <f>$J$3+[45]FormattedData!E87*$J$4+$M$4*$J$5+[45]FormattedData!E87^2*$J$6+$M$5*$J$7</f>
        <v>-0.5944129346428404</v>
      </c>
      <c r="M77" s="39">
        <f>$J$3+[45]FormattedData!F87*$J$4+$M$4*$J$5+[45]FormattedData!F87^2*$J$6+$M$5*$J$7</f>
        <v>-0.5944129346428404</v>
      </c>
      <c r="N77" s="39">
        <f>$J$3+[45]FormattedData!G87*$J$4+$M$4*$J$5+[45]FormattedData!G87^2*$J$6+$M$5*$J$7</f>
        <v>-0.5944129346428404</v>
      </c>
      <c r="O77" s="39">
        <f>$J$3+[45]FormattedData!H87*$J$4+$M$4*$J$5+[45]FormattedData!H87^2*$J$6+$M$5*$J$7</f>
        <v>-0.5944129346428404</v>
      </c>
      <c r="P77" s="39">
        <f>$J$3+[45]FormattedData!I87*$J$4+$M$4*$J$5+[45]FormattedData!I87^2*$J$6+$M$5*$J$7</f>
        <v>-0.5944129346428404</v>
      </c>
      <c r="Q77" s="39">
        <f>$J$3+[45]FormattedData!J87*$J$4+$M$4*$J$5+[45]FormattedData!J87^2*$J$6+$M$5*$J$7</f>
        <v>-0.5944129346428404</v>
      </c>
      <c r="R77" s="39">
        <f>$J$3+[45]FormattedData!K87*$J$4+$M$4*$J$5+[45]FormattedData!K87^2*$J$6+$M$5*$J$7</f>
        <v>-0.5944129346428404</v>
      </c>
      <c r="S77" s="39">
        <f>$J$3+[45]FormattedData!L87*$J$4+$M$4*$J$5+[45]FormattedData!L87^2*$J$6+$M$5*$J$7</f>
        <v>-0.5944129346428404</v>
      </c>
      <c r="T77" s="39">
        <f>$J$3+[45]FormattedData!M87*$J$4+$M$4*$J$5+[45]FormattedData!M87^2*$J$6+$M$5*$J$7</f>
        <v>-0.5944129346428404</v>
      </c>
      <c r="U77" s="39">
        <f>$J$3+[45]FormattedData!N87*$J$4+$M$4*$J$5+[45]FormattedData!N87^2*$J$6+$M$5*$J$7</f>
        <v>-0.5944129346428404</v>
      </c>
      <c r="V77" s="39">
        <f>$J$3+[45]FormattedData!O87*$J$4+$M$4*$J$5+[45]FormattedData!O87^2*$J$6+$M$5*$J$7</f>
        <v>-0.5944129346428404</v>
      </c>
      <c r="W77" s="38">
        <f>AVERAGE(K77:V77)</f>
        <v>-0.59441293464284051</v>
      </c>
      <c r="X77" s="37">
        <f>STDEV(K77:V77)/SQRT(COUNT(K77:V77))</f>
        <v>3.3474483693592253E-17</v>
      </c>
      <c r="Y77" s="36">
        <f>MIN(K77:V77)</f>
        <v>-0.5944129346428404</v>
      </c>
      <c r="Z77" s="35">
        <f>QUARTILE(K77:V77,1)</f>
        <v>-0.5944129346428404</v>
      </c>
      <c r="AA77" s="36">
        <f>MEDIAN(K77:V77)</f>
        <v>-0.5944129346428404</v>
      </c>
      <c r="AB77" s="35">
        <f>QUARTILE(K77:V77,3)</f>
        <v>-0.5944129346428404</v>
      </c>
      <c r="AC77" s="35">
        <f>MAX(K77:V77)</f>
        <v>-0.5944129346428404</v>
      </c>
      <c r="AD77" s="35">
        <f>SKEW(K77:V77)</f>
        <v>1.1489125293076057</v>
      </c>
      <c r="AE77" s="35">
        <f>KURT(K77:V77)</f>
        <v>-2.4444444444444446</v>
      </c>
    </row>
    <row r="78" spans="2:31" x14ac:dyDescent="0.2">
      <c r="B78" s="34">
        <f>[45]FormattedData!A85</f>
        <v>0</v>
      </c>
      <c r="C78" s="34" t="e">
        <f>VLOOKUP($B78,[45]TrtCodes!$B$11:I128,2)</f>
        <v>#N/A</v>
      </c>
      <c r="D78" s="34" t="e">
        <f>VLOOKUP($B78,[45]TrtCodes!$B$11:J128,3)</f>
        <v>#N/A</v>
      </c>
      <c r="E78" s="34" t="e">
        <f>VLOOKUP($B78,[45]TrtCodes!$B$11:K128,4)</f>
        <v>#N/A</v>
      </c>
      <c r="F78" s="34" t="e">
        <f>VLOOKUP($B78,[45]TrtCodes!$B$11:L128,5)</f>
        <v>#N/A</v>
      </c>
      <c r="G78" s="34" t="e">
        <f>VLOOKUP($B78,[45]TrtCodes!$B$11:M128,6)</f>
        <v>#N/A</v>
      </c>
      <c r="H78" s="34" t="e">
        <f>VLOOKUP($B78,[45]TrtCodes!$B$11:N128,7)</f>
        <v>#N/A</v>
      </c>
      <c r="I78" s="34">
        <f>[45]FormattedData!B85</f>
        <v>0</v>
      </c>
      <c r="J78" s="37">
        <f>[45]FormattedData!C85</f>
        <v>0</v>
      </c>
      <c r="K78" s="39">
        <f>$J$3+[45]FormattedData!D85*$J$4+$M$4*$J$5+[45]FormattedData!D85^2*$J$6+$M$5*$J$7</f>
        <v>-0.5944129346428404</v>
      </c>
      <c r="L78" s="39">
        <f>$J$3+[45]FormattedData!E85*$J$4+$M$4*$J$5+[45]FormattedData!E85^2*$J$6+$M$5*$J$7</f>
        <v>-0.5944129346428404</v>
      </c>
      <c r="M78" s="39">
        <f>$J$3+[45]FormattedData!F85*$J$4+$M$4*$J$5+[45]FormattedData!F85^2*$J$6+$M$5*$J$7</f>
        <v>-0.5944129346428404</v>
      </c>
      <c r="N78" s="39">
        <f>$J$3+[45]FormattedData!G85*$J$4+$M$4*$J$5+[45]FormattedData!G85^2*$J$6+$M$5*$J$7</f>
        <v>-0.5944129346428404</v>
      </c>
      <c r="O78" s="39">
        <f>$J$3+[45]FormattedData!H85*$J$4+$M$4*$J$5+[45]FormattedData!H85^2*$J$6+$M$5*$J$7</f>
        <v>-0.5944129346428404</v>
      </c>
      <c r="P78" s="39">
        <f>$J$3+[45]FormattedData!I85*$J$4+$M$4*$J$5+[45]FormattedData!I85^2*$J$6+$M$5*$J$7</f>
        <v>-0.5944129346428404</v>
      </c>
      <c r="Q78" s="39">
        <f>$J$3+[45]FormattedData!J85*$J$4+$M$4*$J$5+[45]FormattedData!J85^2*$J$6+$M$5*$J$7</f>
        <v>-0.5944129346428404</v>
      </c>
      <c r="R78" s="39">
        <f>$J$3+[45]FormattedData!K85*$J$4+$M$4*$J$5+[45]FormattedData!K85^2*$J$6+$M$5*$J$7</f>
        <v>-0.5944129346428404</v>
      </c>
      <c r="S78" s="39">
        <f>$J$3+[45]FormattedData!L85*$J$4+$M$4*$J$5+[45]FormattedData!L85^2*$J$6+$M$5*$J$7</f>
        <v>-0.5944129346428404</v>
      </c>
      <c r="T78" s="39">
        <f>$J$3+[45]FormattedData!M85*$J$4+$M$4*$J$5+[45]FormattedData!M85^2*$J$6+$M$5*$J$7</f>
        <v>-0.5944129346428404</v>
      </c>
      <c r="U78" s="39">
        <f>$J$3+[45]FormattedData!N85*$J$4+$M$4*$J$5+[45]FormattedData!N85^2*$J$6+$M$5*$J$7</f>
        <v>-0.5944129346428404</v>
      </c>
      <c r="V78" s="39">
        <f>$J$3+[45]FormattedData!O85*$J$4+$M$4*$J$5+[45]FormattedData!O85^2*$J$6+$M$5*$J$7</f>
        <v>-0.5944129346428404</v>
      </c>
      <c r="W78" s="38">
        <f>AVERAGE(K78:V78)</f>
        <v>-0.59441293464284051</v>
      </c>
      <c r="X78" s="37">
        <f>STDEV(K78:V78)/SQRT(COUNT(K78:V78))</f>
        <v>3.3474483693592253E-17</v>
      </c>
      <c r="Y78" s="36">
        <f>MIN(K78:V78)</f>
        <v>-0.5944129346428404</v>
      </c>
      <c r="Z78" s="35">
        <f>QUARTILE(K78:V78,1)</f>
        <v>-0.5944129346428404</v>
      </c>
      <c r="AA78" s="36">
        <f>MEDIAN(K78:V78)</f>
        <v>-0.5944129346428404</v>
      </c>
      <c r="AB78" s="35">
        <f>QUARTILE(K78:V78,3)</f>
        <v>-0.5944129346428404</v>
      </c>
      <c r="AC78" s="35">
        <f>MAX(K78:V78)</f>
        <v>-0.5944129346428404</v>
      </c>
      <c r="AD78" s="35">
        <f>SKEW(K78:V78)</f>
        <v>1.1489125293076057</v>
      </c>
      <c r="AE78" s="35">
        <f>KURT(K78:V78)</f>
        <v>-2.4444444444444446</v>
      </c>
    </row>
    <row r="79" spans="2:31" x14ac:dyDescent="0.2">
      <c r="B79" s="34">
        <f>[45]FormattedData!A83</f>
        <v>0</v>
      </c>
      <c r="C79" s="34" t="e">
        <f>VLOOKUP($B79,[45]TrtCodes!$B$11:I126,2)</f>
        <v>#N/A</v>
      </c>
      <c r="D79" s="34" t="e">
        <f>VLOOKUP($B79,[45]TrtCodes!$B$11:J126,3)</f>
        <v>#N/A</v>
      </c>
      <c r="E79" s="34" t="e">
        <f>VLOOKUP($B79,[45]TrtCodes!$B$11:K126,4)</f>
        <v>#N/A</v>
      </c>
      <c r="F79" s="34" t="e">
        <f>VLOOKUP($B79,[45]TrtCodes!$B$11:L126,5)</f>
        <v>#N/A</v>
      </c>
      <c r="G79" s="34" t="e">
        <f>VLOOKUP($B79,[45]TrtCodes!$B$11:M126,6)</f>
        <v>#N/A</v>
      </c>
      <c r="H79" s="34" t="e">
        <f>VLOOKUP($B79,[45]TrtCodes!$B$11:N126,7)</f>
        <v>#N/A</v>
      </c>
      <c r="I79" s="34">
        <f>[45]FormattedData!B83</f>
        <v>0</v>
      </c>
      <c r="J79" s="37">
        <f>[45]FormattedData!C83</f>
        <v>0</v>
      </c>
      <c r="K79" s="39">
        <f>$J$3+[45]FormattedData!D83*$J$4+$M$4*$J$5+[45]FormattedData!D83^2*$J$6+$M$5*$J$7</f>
        <v>-0.5944129346428404</v>
      </c>
      <c r="L79" s="39">
        <f>$J$3+[45]FormattedData!E83*$J$4+$M$4*$J$5+[45]FormattedData!E83^2*$J$6+$M$5*$J$7</f>
        <v>-0.5944129346428404</v>
      </c>
      <c r="M79" s="39">
        <f>$J$3+[45]FormattedData!F83*$J$4+$M$4*$J$5+[45]FormattedData!F83^2*$J$6+$M$5*$J$7</f>
        <v>-0.5944129346428404</v>
      </c>
      <c r="N79" s="39">
        <f>$J$3+[45]FormattedData!G83*$J$4+$M$4*$J$5+[45]FormattedData!G83^2*$J$6+$M$5*$J$7</f>
        <v>-0.5944129346428404</v>
      </c>
      <c r="O79" s="39">
        <f>$J$3+[45]FormattedData!H83*$J$4+$M$4*$J$5+[45]FormattedData!H83^2*$J$6+$M$5*$J$7</f>
        <v>-0.5944129346428404</v>
      </c>
      <c r="P79" s="39">
        <f>$J$3+[45]FormattedData!I83*$J$4+$M$4*$J$5+[45]FormattedData!I83^2*$J$6+$M$5*$J$7</f>
        <v>-0.5944129346428404</v>
      </c>
      <c r="Q79" s="39">
        <f>$J$3+[45]FormattedData!J83*$J$4+$M$4*$J$5+[45]FormattedData!J83^2*$J$6+$M$5*$J$7</f>
        <v>-0.5944129346428404</v>
      </c>
      <c r="R79" s="39">
        <f>$J$3+[45]FormattedData!K83*$J$4+$M$4*$J$5+[45]FormattedData!K83^2*$J$6+$M$5*$J$7</f>
        <v>-0.5944129346428404</v>
      </c>
      <c r="S79" s="39">
        <f>$J$3+[45]FormattedData!L83*$J$4+$M$4*$J$5+[45]FormattedData!L83^2*$J$6+$M$5*$J$7</f>
        <v>-0.5944129346428404</v>
      </c>
      <c r="T79" s="39">
        <f>$J$3+[45]FormattedData!M83*$J$4+$M$4*$J$5+[45]FormattedData!M83^2*$J$6+$M$5*$J$7</f>
        <v>-0.5944129346428404</v>
      </c>
      <c r="U79" s="39">
        <f>$J$3+[45]FormattedData!N83*$J$4+$M$4*$J$5+[45]FormattedData!N83^2*$J$6+$M$5*$J$7</f>
        <v>-0.5944129346428404</v>
      </c>
      <c r="V79" s="39">
        <f>$J$3+[45]FormattedData!O83*$J$4+$M$4*$J$5+[45]FormattedData!O83^2*$J$6+$M$5*$J$7</f>
        <v>-0.5944129346428404</v>
      </c>
      <c r="W79" s="38">
        <f>AVERAGE(K79:V79)</f>
        <v>-0.59441293464284051</v>
      </c>
      <c r="X79" s="37">
        <f>STDEV(K79:V79)/SQRT(COUNT(K79:V79))</f>
        <v>3.3474483693592253E-17</v>
      </c>
      <c r="Y79" s="36">
        <f>MIN(K79:V79)</f>
        <v>-0.5944129346428404</v>
      </c>
      <c r="Z79" s="35">
        <f>QUARTILE(K79:V79,1)</f>
        <v>-0.5944129346428404</v>
      </c>
      <c r="AA79" s="36">
        <f>MEDIAN(K79:V79)</f>
        <v>-0.5944129346428404</v>
      </c>
      <c r="AB79" s="35">
        <f>QUARTILE(K79:V79,3)</f>
        <v>-0.5944129346428404</v>
      </c>
      <c r="AC79" s="35">
        <f>MAX(K79:V79)</f>
        <v>-0.5944129346428404</v>
      </c>
      <c r="AD79" s="35">
        <f>SKEW(K79:V79)</f>
        <v>1.1489125293076057</v>
      </c>
      <c r="AE79" s="35">
        <f>KURT(K79:V79)</f>
        <v>-2.4444444444444446</v>
      </c>
    </row>
    <row r="80" spans="2:31" x14ac:dyDescent="0.2">
      <c r="B80" s="34">
        <f>[45]FormattedData!A81</f>
        <v>0</v>
      </c>
      <c r="C80" s="34" t="e">
        <f>VLOOKUP($B80,[45]TrtCodes!$B$11:I124,2)</f>
        <v>#N/A</v>
      </c>
      <c r="D80" s="34" t="e">
        <f>VLOOKUP($B80,[45]TrtCodes!$B$11:J124,3)</f>
        <v>#N/A</v>
      </c>
      <c r="E80" s="34" t="e">
        <f>VLOOKUP($B80,[45]TrtCodes!$B$11:K124,4)</f>
        <v>#N/A</v>
      </c>
      <c r="F80" s="34" t="e">
        <f>VLOOKUP($B80,[45]TrtCodes!$B$11:L124,5)</f>
        <v>#N/A</v>
      </c>
      <c r="G80" s="34" t="e">
        <f>VLOOKUP($B80,[45]TrtCodes!$B$11:M124,6)</f>
        <v>#N/A</v>
      </c>
      <c r="H80" s="34" t="e">
        <f>VLOOKUP($B80,[45]TrtCodes!$B$11:N124,7)</f>
        <v>#N/A</v>
      </c>
      <c r="I80" s="34">
        <f>[45]FormattedData!B81</f>
        <v>0</v>
      </c>
      <c r="J80" s="37">
        <f>[45]FormattedData!C81</f>
        <v>0</v>
      </c>
      <c r="K80" s="39">
        <f>$J$3+[45]FormattedData!D81*$J$4+$M$4*$J$5+[45]FormattedData!D81^2*$J$6+$M$5*$J$7</f>
        <v>-0.5944129346428404</v>
      </c>
      <c r="L80" s="39">
        <f>$J$3+[45]FormattedData!E81*$J$4+$M$4*$J$5+[45]FormattedData!E81^2*$J$6+$M$5*$J$7</f>
        <v>-0.5944129346428404</v>
      </c>
      <c r="M80" s="39">
        <f>$J$3+[45]FormattedData!F81*$J$4+$M$4*$J$5+[45]FormattedData!F81^2*$J$6+$M$5*$J$7</f>
        <v>-0.5944129346428404</v>
      </c>
      <c r="N80" s="39">
        <f>$J$3+[45]FormattedData!G81*$J$4+$M$4*$J$5+[45]FormattedData!G81^2*$J$6+$M$5*$J$7</f>
        <v>-0.5944129346428404</v>
      </c>
      <c r="O80" s="39">
        <f>$J$3+[45]FormattedData!H81*$J$4+$M$4*$J$5+[45]FormattedData!H81^2*$J$6+$M$5*$J$7</f>
        <v>-0.5944129346428404</v>
      </c>
      <c r="P80" s="39">
        <f>$J$3+[45]FormattedData!I81*$J$4+$M$4*$J$5+[45]FormattedData!I81^2*$J$6+$M$5*$J$7</f>
        <v>-0.5944129346428404</v>
      </c>
      <c r="Q80" s="39">
        <f>$J$3+[45]FormattedData!J81*$J$4+$M$4*$J$5+[45]FormattedData!J81^2*$J$6+$M$5*$J$7</f>
        <v>-0.5944129346428404</v>
      </c>
      <c r="R80" s="39">
        <f>$J$3+[45]FormattedData!K81*$J$4+$M$4*$J$5+[45]FormattedData!K81^2*$J$6+$M$5*$J$7</f>
        <v>-0.5944129346428404</v>
      </c>
      <c r="S80" s="39">
        <f>$J$3+[45]FormattedData!L81*$J$4+$M$4*$J$5+[45]FormattedData!L81^2*$J$6+$M$5*$J$7</f>
        <v>-0.5944129346428404</v>
      </c>
      <c r="T80" s="39">
        <f>$J$3+[45]FormattedData!M81*$J$4+$M$4*$J$5+[45]FormattedData!M81^2*$J$6+$M$5*$J$7</f>
        <v>-0.5944129346428404</v>
      </c>
      <c r="U80" s="39">
        <f>$J$3+[45]FormattedData!N81*$J$4+$M$4*$J$5+[45]FormattedData!N81^2*$J$6+$M$5*$J$7</f>
        <v>-0.5944129346428404</v>
      </c>
      <c r="V80" s="39">
        <f>$J$3+[45]FormattedData!O81*$J$4+$M$4*$J$5+[45]FormattedData!O81^2*$J$6+$M$5*$J$7</f>
        <v>-0.5944129346428404</v>
      </c>
      <c r="W80" s="38">
        <f>AVERAGE(K80:V80)</f>
        <v>-0.59441293464284051</v>
      </c>
      <c r="X80" s="37">
        <f>STDEV(K80:V80)/SQRT(COUNT(K80:V80))</f>
        <v>3.3474483693592253E-17</v>
      </c>
      <c r="Y80" s="36">
        <f>MIN(K80:V80)</f>
        <v>-0.5944129346428404</v>
      </c>
      <c r="Z80" s="35">
        <f>QUARTILE(K80:V80,1)</f>
        <v>-0.5944129346428404</v>
      </c>
      <c r="AA80" s="36">
        <f>MEDIAN(K80:V80)</f>
        <v>-0.5944129346428404</v>
      </c>
      <c r="AB80" s="35">
        <f>QUARTILE(K80:V80,3)</f>
        <v>-0.5944129346428404</v>
      </c>
      <c r="AC80" s="35">
        <f>MAX(K80:V80)</f>
        <v>-0.5944129346428404</v>
      </c>
      <c r="AD80" s="35">
        <f>SKEW(K80:V80)</f>
        <v>1.1489125293076057</v>
      </c>
      <c r="AE80" s="35">
        <f>KURT(K80:V80)</f>
        <v>-2.4444444444444446</v>
      </c>
    </row>
    <row r="81" spans="2:31" x14ac:dyDescent="0.2">
      <c r="B81" s="34">
        <f>[45]FormattedData!A79</f>
        <v>0</v>
      </c>
      <c r="C81" s="34" t="e">
        <f>VLOOKUP($B81,[45]TrtCodes!$B$11:I122,2)</f>
        <v>#N/A</v>
      </c>
      <c r="D81" s="34" t="e">
        <f>VLOOKUP($B81,[45]TrtCodes!$B$11:J122,3)</f>
        <v>#N/A</v>
      </c>
      <c r="E81" s="34" t="e">
        <f>VLOOKUP($B81,[45]TrtCodes!$B$11:K122,4)</f>
        <v>#N/A</v>
      </c>
      <c r="F81" s="34" t="e">
        <f>VLOOKUP($B81,[45]TrtCodes!$B$11:L122,5)</f>
        <v>#N/A</v>
      </c>
      <c r="G81" s="34" t="e">
        <f>VLOOKUP($B81,[45]TrtCodes!$B$11:M122,6)</f>
        <v>#N/A</v>
      </c>
      <c r="H81" s="34" t="e">
        <f>VLOOKUP($B81,[45]TrtCodes!$B$11:N122,7)</f>
        <v>#N/A</v>
      </c>
      <c r="I81" s="34">
        <f>[45]FormattedData!B79</f>
        <v>0</v>
      </c>
      <c r="J81" s="37">
        <f>[45]FormattedData!C79</f>
        <v>0</v>
      </c>
      <c r="K81" s="39">
        <f>$J$3+[45]FormattedData!D79*$J$4+$M$4*$J$5+[45]FormattedData!D79^2*$J$6+$M$5*$J$7</f>
        <v>-0.5944129346428404</v>
      </c>
      <c r="L81" s="39">
        <f>$J$3+[45]FormattedData!E79*$J$4+$M$4*$J$5+[45]FormattedData!E79^2*$J$6+$M$5*$J$7</f>
        <v>-0.5944129346428404</v>
      </c>
      <c r="M81" s="39">
        <f>$J$3+[45]FormattedData!F79*$J$4+$M$4*$J$5+[45]FormattedData!F79^2*$J$6+$M$5*$J$7</f>
        <v>-0.5944129346428404</v>
      </c>
      <c r="N81" s="39">
        <f>$J$3+[45]FormattedData!G79*$J$4+$M$4*$J$5+[45]FormattedData!G79^2*$J$6+$M$5*$J$7</f>
        <v>-0.5944129346428404</v>
      </c>
      <c r="O81" s="39">
        <f>$J$3+[45]FormattedData!H79*$J$4+$M$4*$J$5+[45]FormattedData!H79^2*$J$6+$M$5*$J$7</f>
        <v>-0.5944129346428404</v>
      </c>
      <c r="P81" s="39">
        <f>$J$3+[45]FormattedData!I79*$J$4+$M$4*$J$5+[45]FormattedData!I79^2*$J$6+$M$5*$J$7</f>
        <v>-0.5944129346428404</v>
      </c>
      <c r="Q81" s="39">
        <f>$J$3+[45]FormattedData!J79*$J$4+$M$4*$J$5+[45]FormattedData!J79^2*$J$6+$M$5*$J$7</f>
        <v>-0.5944129346428404</v>
      </c>
      <c r="R81" s="39">
        <f>$J$3+[45]FormattedData!K79*$J$4+$M$4*$J$5+[45]FormattedData!K79^2*$J$6+$M$5*$J$7</f>
        <v>-0.5944129346428404</v>
      </c>
      <c r="S81" s="39">
        <f>$J$3+[45]FormattedData!L79*$J$4+$M$4*$J$5+[45]FormattedData!L79^2*$J$6+$M$5*$J$7</f>
        <v>-0.5944129346428404</v>
      </c>
      <c r="T81" s="39">
        <f>$J$3+[45]FormattedData!M79*$J$4+$M$4*$J$5+[45]FormattedData!M79^2*$J$6+$M$5*$J$7</f>
        <v>-0.5944129346428404</v>
      </c>
      <c r="U81" s="39">
        <f>$J$3+[45]FormattedData!N79*$J$4+$M$4*$J$5+[45]FormattedData!N79^2*$J$6+$M$5*$J$7</f>
        <v>-0.5944129346428404</v>
      </c>
      <c r="V81" s="39">
        <f>$J$3+[45]FormattedData!O79*$J$4+$M$4*$J$5+[45]FormattedData!O79^2*$J$6+$M$5*$J$7</f>
        <v>-0.5944129346428404</v>
      </c>
      <c r="W81" s="38">
        <f>AVERAGE(K81:V81)</f>
        <v>-0.59441293464284051</v>
      </c>
      <c r="X81" s="37">
        <f>STDEV(K81:V81)/SQRT(COUNT(K81:V81))</f>
        <v>3.3474483693592253E-17</v>
      </c>
      <c r="Y81" s="36">
        <f>MIN(K81:V81)</f>
        <v>-0.5944129346428404</v>
      </c>
      <c r="Z81" s="35">
        <f>QUARTILE(K81:V81,1)</f>
        <v>-0.5944129346428404</v>
      </c>
      <c r="AA81" s="36">
        <f>MEDIAN(K81:V81)</f>
        <v>-0.5944129346428404</v>
      </c>
      <c r="AB81" s="35">
        <f>QUARTILE(K81:V81,3)</f>
        <v>-0.5944129346428404</v>
      </c>
      <c r="AC81" s="35">
        <f>MAX(K81:V81)</f>
        <v>-0.5944129346428404</v>
      </c>
      <c r="AD81" s="35">
        <f>SKEW(K81:V81)</f>
        <v>1.1489125293076057</v>
      </c>
      <c r="AE81" s="35">
        <f>KURT(K81:V81)</f>
        <v>-2.4444444444444446</v>
      </c>
    </row>
    <row r="82" spans="2:31" x14ac:dyDescent="0.2">
      <c r="B82" s="34">
        <f>[45]FormattedData!A59</f>
        <v>0</v>
      </c>
      <c r="C82" s="34" t="e">
        <f>VLOOKUP($B82,[45]TrtCodes!$B$11:I102,2)</f>
        <v>#N/A</v>
      </c>
      <c r="D82" s="34" t="e">
        <f>VLOOKUP($B82,[45]TrtCodes!$B$11:J102,3)</f>
        <v>#N/A</v>
      </c>
      <c r="E82" s="34" t="e">
        <f>VLOOKUP($B82,[45]TrtCodes!$B$11:K102,4)</f>
        <v>#N/A</v>
      </c>
      <c r="F82" s="34" t="e">
        <f>VLOOKUP($B82,[45]TrtCodes!$B$11:L102,5)</f>
        <v>#N/A</v>
      </c>
      <c r="G82" s="34" t="e">
        <f>VLOOKUP($B82,[45]TrtCodes!$B$11:M102,6)</f>
        <v>#N/A</v>
      </c>
      <c r="H82" s="34" t="e">
        <f>VLOOKUP($B82,[45]TrtCodes!$B$11:N102,7)</f>
        <v>#N/A</v>
      </c>
      <c r="I82" s="34">
        <f>[45]FormattedData!B59</f>
        <v>0</v>
      </c>
      <c r="J82" s="37">
        <f>[45]FormattedData!C59</f>
        <v>0</v>
      </c>
      <c r="K82" s="39">
        <f>$J$3+[45]FormattedData!D59*$J$4+$M$4*$J$5+[45]FormattedData!D59^2*$J$6+$M$5*$J$7</f>
        <v>-0.5944129346428404</v>
      </c>
      <c r="L82" s="39">
        <f>$J$3+[45]FormattedData!E59*$J$4+$M$4*$J$5+[45]FormattedData!E59^2*$J$6+$M$5*$J$7</f>
        <v>-0.5944129346428404</v>
      </c>
      <c r="M82" s="39">
        <f>$J$3+[45]FormattedData!F59*$J$4+$M$4*$J$5+[45]FormattedData!F59^2*$J$6+$M$5*$J$7</f>
        <v>-0.5944129346428404</v>
      </c>
      <c r="N82" s="39">
        <f>$J$3+[45]FormattedData!G59*$J$4+$M$4*$J$5+[45]FormattedData!G59^2*$J$6+$M$5*$J$7</f>
        <v>-0.5944129346428404</v>
      </c>
      <c r="O82" s="39">
        <f>$J$3+[45]FormattedData!H59*$J$4+$M$4*$J$5+[45]FormattedData!H59^2*$J$6+$M$5*$J$7</f>
        <v>-0.5944129346428404</v>
      </c>
      <c r="P82" s="39">
        <f>$J$3+[45]FormattedData!I59*$J$4+$M$4*$J$5+[45]FormattedData!I59^2*$J$6+$M$5*$J$7</f>
        <v>-0.5944129346428404</v>
      </c>
      <c r="Q82" s="39">
        <f>$J$3+[45]FormattedData!J59*$J$4+$M$4*$J$5+[45]FormattedData!J59^2*$J$6+$M$5*$J$7</f>
        <v>-0.5944129346428404</v>
      </c>
      <c r="R82" s="39">
        <f>$J$3+[45]FormattedData!K59*$J$4+$M$4*$J$5+[45]FormattedData!K59^2*$J$6+$M$5*$J$7</f>
        <v>-0.5944129346428404</v>
      </c>
      <c r="S82" s="39">
        <f>$J$3+[45]FormattedData!L59*$J$4+$M$4*$J$5+[45]FormattedData!L59^2*$J$6+$M$5*$J$7</f>
        <v>-0.5944129346428404</v>
      </c>
      <c r="T82" s="39">
        <f>$J$3+[45]FormattedData!M59*$J$4+$M$4*$J$5+[45]FormattedData!M59^2*$J$6+$M$5*$J$7</f>
        <v>-0.5944129346428404</v>
      </c>
      <c r="U82" s="39">
        <f>$J$3+[45]FormattedData!N59*$J$4+$M$4*$J$5+[45]FormattedData!N59^2*$J$6+$M$5*$J$7</f>
        <v>-0.5944129346428404</v>
      </c>
      <c r="V82" s="39">
        <f>$J$3+[45]FormattedData!O59*$J$4+$M$4*$J$5+[45]FormattedData!O59^2*$J$6+$M$5*$J$7</f>
        <v>-0.5944129346428404</v>
      </c>
      <c r="W82" s="38">
        <f>AVERAGE(K82:V82)</f>
        <v>-0.59441293464284051</v>
      </c>
      <c r="X82" s="37">
        <f>STDEV(K82:V82)/SQRT(COUNT(K82:V82))</f>
        <v>3.3474483693592253E-17</v>
      </c>
      <c r="Y82" s="36">
        <f>MIN(K82:V82)</f>
        <v>-0.5944129346428404</v>
      </c>
      <c r="Z82" s="35">
        <f>QUARTILE(K82:V82,1)</f>
        <v>-0.5944129346428404</v>
      </c>
      <c r="AA82" s="36">
        <f>MEDIAN(K82:V82)</f>
        <v>-0.5944129346428404</v>
      </c>
      <c r="AB82" s="35">
        <f>QUARTILE(K82:V82,3)</f>
        <v>-0.5944129346428404</v>
      </c>
      <c r="AC82" s="35">
        <f>MAX(K82:V82)</f>
        <v>-0.5944129346428404</v>
      </c>
      <c r="AD82" s="35">
        <f>SKEW(K82:V82)</f>
        <v>1.1489125293076057</v>
      </c>
      <c r="AE82" s="35">
        <f>KURT(K82:V82)</f>
        <v>-2.4444444444444446</v>
      </c>
    </row>
    <row r="83" spans="2:31" x14ac:dyDescent="0.2">
      <c r="B83" s="34">
        <f>[45]FormattedData!A55</f>
        <v>0</v>
      </c>
      <c r="C83" s="34" t="e">
        <f>VLOOKUP($B83,[45]TrtCodes!$B$11:I98,2)</f>
        <v>#N/A</v>
      </c>
      <c r="D83" s="34" t="e">
        <f>VLOOKUP($B83,[45]TrtCodes!$B$11:J98,3)</f>
        <v>#N/A</v>
      </c>
      <c r="E83" s="34" t="e">
        <f>VLOOKUP($B83,[45]TrtCodes!$B$11:K98,4)</f>
        <v>#N/A</v>
      </c>
      <c r="F83" s="34" t="e">
        <f>VLOOKUP($B83,[45]TrtCodes!$B$11:L98,5)</f>
        <v>#N/A</v>
      </c>
      <c r="G83" s="34" t="e">
        <f>VLOOKUP($B83,[45]TrtCodes!$B$11:M98,6)</f>
        <v>#N/A</v>
      </c>
      <c r="H83" s="34" t="e">
        <f>VLOOKUP($B83,[45]TrtCodes!$B$11:N98,7)</f>
        <v>#N/A</v>
      </c>
      <c r="I83" s="34">
        <f>[45]FormattedData!B55</f>
        <v>0</v>
      </c>
      <c r="J83" s="37">
        <f>[45]FormattedData!C55</f>
        <v>0</v>
      </c>
      <c r="K83" s="39">
        <f>$J$3+[45]FormattedData!D55*$J$4+$M$4*$J$5+[45]FormattedData!D55^2*$J$6+$M$5*$J$7</f>
        <v>-0.5944129346428404</v>
      </c>
      <c r="L83" s="39">
        <f>$J$3+[45]FormattedData!E55*$J$4+$M$4*$J$5+[45]FormattedData!E55^2*$J$6+$M$5*$J$7</f>
        <v>-0.5944129346428404</v>
      </c>
      <c r="M83" s="39">
        <f>$J$3+[45]FormattedData!F55*$J$4+$M$4*$J$5+[45]FormattedData!F55^2*$J$6+$M$5*$J$7</f>
        <v>-0.5944129346428404</v>
      </c>
      <c r="N83" s="39">
        <f>$J$3+[45]FormattedData!G55*$J$4+$M$4*$J$5+[45]FormattedData!G55^2*$J$6+$M$5*$J$7</f>
        <v>-0.5944129346428404</v>
      </c>
      <c r="O83" s="39">
        <f>$J$3+[45]FormattedData!H55*$J$4+$M$4*$J$5+[45]FormattedData!H55^2*$J$6+$M$5*$J$7</f>
        <v>-0.5944129346428404</v>
      </c>
      <c r="P83" s="39">
        <f>$J$3+[45]FormattedData!I55*$J$4+$M$4*$J$5+[45]FormattedData!I55^2*$J$6+$M$5*$J$7</f>
        <v>-0.5944129346428404</v>
      </c>
      <c r="Q83" s="39">
        <f>$J$3+[45]FormattedData!J55*$J$4+$M$4*$J$5+[45]FormattedData!J55^2*$J$6+$M$5*$J$7</f>
        <v>-0.5944129346428404</v>
      </c>
      <c r="R83" s="39">
        <f>$J$3+[45]FormattedData!K55*$J$4+$M$4*$J$5+[45]FormattedData!K55^2*$J$6+$M$5*$J$7</f>
        <v>-0.5944129346428404</v>
      </c>
      <c r="S83" s="39">
        <f>$J$3+[45]FormattedData!L55*$J$4+$M$4*$J$5+[45]FormattedData!L55^2*$J$6+$M$5*$J$7</f>
        <v>-0.5944129346428404</v>
      </c>
      <c r="T83" s="39">
        <f>$J$3+[45]FormattedData!M55*$J$4+$M$4*$J$5+[45]FormattedData!M55^2*$J$6+$M$5*$J$7</f>
        <v>-0.5944129346428404</v>
      </c>
      <c r="U83" s="39">
        <f>$J$3+[45]FormattedData!N55*$J$4+$M$4*$J$5+[45]FormattedData!N55^2*$J$6+$M$5*$J$7</f>
        <v>-0.5944129346428404</v>
      </c>
      <c r="V83" s="39">
        <f>$J$3+[45]FormattedData!O55*$J$4+$M$4*$J$5+[45]FormattedData!O55^2*$J$6+$M$5*$J$7</f>
        <v>-0.5944129346428404</v>
      </c>
      <c r="W83" s="38">
        <f>AVERAGE(K83:V83)</f>
        <v>-0.59441293464284051</v>
      </c>
      <c r="X83" s="37">
        <f>STDEV(K83:V83)/SQRT(COUNT(K83:V83))</f>
        <v>3.3474483693592253E-17</v>
      </c>
      <c r="Y83" s="36">
        <f>MIN(K83:V83)</f>
        <v>-0.5944129346428404</v>
      </c>
      <c r="Z83" s="35">
        <f>QUARTILE(K83:V83,1)</f>
        <v>-0.5944129346428404</v>
      </c>
      <c r="AA83" s="36">
        <f>MEDIAN(K83:V83)</f>
        <v>-0.5944129346428404</v>
      </c>
      <c r="AB83" s="35">
        <f>QUARTILE(K83:V83,3)</f>
        <v>-0.5944129346428404</v>
      </c>
      <c r="AC83" s="35">
        <f>MAX(K83:V83)</f>
        <v>-0.5944129346428404</v>
      </c>
      <c r="AD83" s="35">
        <f>SKEW(K83:V83)</f>
        <v>1.1489125293076057</v>
      </c>
      <c r="AE83" s="35">
        <f>KURT(K83:V83)</f>
        <v>-2.4444444444444446</v>
      </c>
    </row>
    <row r="84" spans="2:31" x14ac:dyDescent="0.2">
      <c r="B84" s="34">
        <f>[45]FormattedData!A51</f>
        <v>0</v>
      </c>
      <c r="C84" s="34" t="e">
        <f>VLOOKUP($B84,[45]TrtCodes!$B$11:I94,2)</f>
        <v>#N/A</v>
      </c>
      <c r="D84" s="34" t="e">
        <f>VLOOKUP($B84,[45]TrtCodes!$B$11:J94,3)</f>
        <v>#N/A</v>
      </c>
      <c r="E84" s="34" t="e">
        <f>VLOOKUP($B84,[45]TrtCodes!$B$11:K94,4)</f>
        <v>#N/A</v>
      </c>
      <c r="F84" s="34" t="e">
        <f>VLOOKUP($B84,[45]TrtCodes!$B$11:L94,5)</f>
        <v>#N/A</v>
      </c>
      <c r="G84" s="34" t="e">
        <f>VLOOKUP($B84,[45]TrtCodes!$B$11:M94,6)</f>
        <v>#N/A</v>
      </c>
      <c r="H84" s="34" t="e">
        <f>VLOOKUP($B84,[45]TrtCodes!$B$11:N94,7)</f>
        <v>#N/A</v>
      </c>
      <c r="I84" s="34">
        <f>[45]FormattedData!B51</f>
        <v>0</v>
      </c>
      <c r="J84" s="37">
        <f>[45]FormattedData!C51</f>
        <v>0</v>
      </c>
      <c r="K84" s="39">
        <f>$J$3+[45]FormattedData!D51*$J$4+$M$4*$J$5+[45]FormattedData!D51^2*$J$6+$M$5*$J$7</f>
        <v>-0.5944129346428404</v>
      </c>
      <c r="L84" s="39">
        <f>$J$3+[45]FormattedData!E51*$J$4+$M$4*$J$5+[45]FormattedData!E51^2*$J$6+$M$5*$J$7</f>
        <v>-0.5944129346428404</v>
      </c>
      <c r="M84" s="39">
        <f>$J$3+[45]FormattedData!F51*$J$4+$M$4*$J$5+[45]FormattedData!F51^2*$J$6+$M$5*$J$7</f>
        <v>-0.5944129346428404</v>
      </c>
      <c r="N84" s="39">
        <f>$J$3+[45]FormattedData!G51*$J$4+$M$4*$J$5+[45]FormattedData!G51^2*$J$6+$M$5*$J$7</f>
        <v>-0.5944129346428404</v>
      </c>
      <c r="O84" s="39">
        <f>$J$3+[45]FormattedData!H51*$J$4+$M$4*$J$5+[45]FormattedData!H51^2*$J$6+$M$5*$J$7</f>
        <v>-0.5944129346428404</v>
      </c>
      <c r="P84" s="39">
        <f>$J$3+[45]FormattedData!I51*$J$4+$M$4*$J$5+[45]FormattedData!I51^2*$J$6+$M$5*$J$7</f>
        <v>-0.5944129346428404</v>
      </c>
      <c r="Q84" s="39">
        <f>$J$3+[45]FormattedData!J51*$J$4+$M$4*$J$5+[45]FormattedData!J51^2*$J$6+$M$5*$J$7</f>
        <v>-0.5944129346428404</v>
      </c>
      <c r="R84" s="39">
        <f>$J$3+[45]FormattedData!K51*$J$4+$M$4*$J$5+[45]FormattedData!K51^2*$J$6+$M$5*$J$7</f>
        <v>-0.5944129346428404</v>
      </c>
      <c r="S84" s="39">
        <f>$J$3+[45]FormattedData!L51*$J$4+$M$4*$J$5+[45]FormattedData!L51^2*$J$6+$M$5*$J$7</f>
        <v>-0.5944129346428404</v>
      </c>
      <c r="T84" s="39">
        <f>$J$3+[45]FormattedData!M51*$J$4+$M$4*$J$5+[45]FormattedData!M51^2*$J$6+$M$5*$J$7</f>
        <v>-0.5944129346428404</v>
      </c>
      <c r="U84" s="39">
        <f>$J$3+[45]FormattedData!N51*$J$4+$M$4*$J$5+[45]FormattedData!N51^2*$J$6+$M$5*$J$7</f>
        <v>-0.5944129346428404</v>
      </c>
      <c r="V84" s="39">
        <f>$J$3+[45]FormattedData!O51*$J$4+$M$4*$J$5+[45]FormattedData!O51^2*$J$6+$M$5*$J$7</f>
        <v>-0.5944129346428404</v>
      </c>
      <c r="W84" s="38">
        <f>AVERAGE(K84:V84)</f>
        <v>-0.59441293464284051</v>
      </c>
      <c r="X84" s="37">
        <f>STDEV(K84:V84)/SQRT(COUNT(K84:V84))</f>
        <v>3.3474483693592253E-17</v>
      </c>
      <c r="Y84" s="36">
        <f>MIN(K84:V84)</f>
        <v>-0.5944129346428404</v>
      </c>
      <c r="Z84" s="35">
        <f>QUARTILE(K84:V84,1)</f>
        <v>-0.5944129346428404</v>
      </c>
      <c r="AA84" s="36">
        <f>MEDIAN(K84:V84)</f>
        <v>-0.5944129346428404</v>
      </c>
      <c r="AB84" s="35">
        <f>QUARTILE(K84:V84,3)</f>
        <v>-0.5944129346428404</v>
      </c>
      <c r="AC84" s="35">
        <f>MAX(K84:V84)</f>
        <v>-0.5944129346428404</v>
      </c>
      <c r="AD84" s="35">
        <f>SKEW(K84:V84)</f>
        <v>1.1489125293076057</v>
      </c>
      <c r="AE84" s="35">
        <f>KURT(K84:V84)</f>
        <v>-2.4444444444444446</v>
      </c>
    </row>
    <row r="85" spans="2:31" x14ac:dyDescent="0.2">
      <c r="B85" s="34">
        <f>[45]FormattedData!A47</f>
        <v>0</v>
      </c>
      <c r="C85" s="34" t="e">
        <f>VLOOKUP($B85,[45]TrtCodes!$B$11:I90,2)</f>
        <v>#N/A</v>
      </c>
      <c r="D85" s="34" t="e">
        <f>VLOOKUP($B85,[45]TrtCodes!$B$11:J90,3)</f>
        <v>#N/A</v>
      </c>
      <c r="E85" s="34" t="e">
        <f>VLOOKUP($B85,[45]TrtCodes!$B$11:K90,4)</f>
        <v>#N/A</v>
      </c>
      <c r="F85" s="34" t="e">
        <f>VLOOKUP($B85,[45]TrtCodes!$B$11:L90,5)</f>
        <v>#N/A</v>
      </c>
      <c r="G85" s="34" t="e">
        <f>VLOOKUP($B85,[45]TrtCodes!$B$11:M90,6)</f>
        <v>#N/A</v>
      </c>
      <c r="H85" s="34" t="e">
        <f>VLOOKUP($B85,[45]TrtCodes!$B$11:N90,7)</f>
        <v>#N/A</v>
      </c>
      <c r="I85" s="34">
        <f>[45]FormattedData!B47</f>
        <v>0</v>
      </c>
      <c r="J85" s="37">
        <f>[45]FormattedData!C47</f>
        <v>0</v>
      </c>
      <c r="K85" s="39">
        <f>$J$3+[45]FormattedData!D47*$J$4+$M$4*$J$5+[45]FormattedData!D47^2*$J$6+$M$5*$J$7</f>
        <v>-0.5944129346428404</v>
      </c>
      <c r="L85" s="39">
        <f>$J$3+[45]FormattedData!E47*$J$4+$M$4*$J$5+[45]FormattedData!E47^2*$J$6+$M$5*$J$7</f>
        <v>-0.5944129346428404</v>
      </c>
      <c r="M85" s="39">
        <f>$J$3+[45]FormattedData!F47*$J$4+$M$4*$J$5+[45]FormattedData!F47^2*$J$6+$M$5*$J$7</f>
        <v>-0.5944129346428404</v>
      </c>
      <c r="N85" s="39">
        <f>$J$3+[45]FormattedData!G47*$J$4+$M$4*$J$5+[45]FormattedData!G47^2*$J$6+$M$5*$J$7</f>
        <v>-0.5944129346428404</v>
      </c>
      <c r="O85" s="39">
        <f>$J$3+[45]FormattedData!H47*$J$4+$M$4*$J$5+[45]FormattedData!H47^2*$J$6+$M$5*$J$7</f>
        <v>-0.5944129346428404</v>
      </c>
      <c r="P85" s="39">
        <f>$J$3+[45]FormattedData!I47*$J$4+$M$4*$J$5+[45]FormattedData!I47^2*$J$6+$M$5*$J$7</f>
        <v>-0.5944129346428404</v>
      </c>
      <c r="Q85" s="39">
        <f>$J$3+[45]FormattedData!J47*$J$4+$M$4*$J$5+[45]FormattedData!J47^2*$J$6+$M$5*$J$7</f>
        <v>-0.5944129346428404</v>
      </c>
      <c r="R85" s="39">
        <f>$J$3+[45]FormattedData!K47*$J$4+$M$4*$J$5+[45]FormattedData!K47^2*$J$6+$M$5*$J$7</f>
        <v>-0.5944129346428404</v>
      </c>
      <c r="S85" s="39">
        <f>$J$3+[45]FormattedData!L47*$J$4+$M$4*$J$5+[45]FormattedData!L47^2*$J$6+$M$5*$J$7</f>
        <v>-0.5944129346428404</v>
      </c>
      <c r="T85" s="39">
        <f>$J$3+[45]FormattedData!M47*$J$4+$M$4*$J$5+[45]FormattedData!M47^2*$J$6+$M$5*$J$7</f>
        <v>-0.5944129346428404</v>
      </c>
      <c r="U85" s="39">
        <f>$J$3+[45]FormattedData!N47*$J$4+$M$4*$J$5+[45]FormattedData!N47^2*$J$6+$M$5*$J$7</f>
        <v>-0.5944129346428404</v>
      </c>
      <c r="V85" s="39">
        <f>$J$3+[45]FormattedData!O47*$J$4+$M$4*$J$5+[45]FormattedData!O47^2*$J$6+$M$5*$J$7</f>
        <v>-0.5944129346428404</v>
      </c>
      <c r="W85" s="38">
        <f>AVERAGE(K85:V85)</f>
        <v>-0.59441293464284051</v>
      </c>
      <c r="X85" s="37">
        <f>STDEV(K85:V85)/SQRT(COUNT(K85:V85))</f>
        <v>3.3474483693592253E-17</v>
      </c>
      <c r="Y85" s="36">
        <f>MIN(K85:V85)</f>
        <v>-0.5944129346428404</v>
      </c>
      <c r="Z85" s="35">
        <f>QUARTILE(K85:V85,1)</f>
        <v>-0.5944129346428404</v>
      </c>
      <c r="AA85" s="36">
        <f>MEDIAN(K85:V85)</f>
        <v>-0.5944129346428404</v>
      </c>
      <c r="AB85" s="35">
        <f>QUARTILE(K85:V85,3)</f>
        <v>-0.5944129346428404</v>
      </c>
      <c r="AC85" s="35">
        <f>MAX(K85:V85)</f>
        <v>-0.5944129346428404</v>
      </c>
      <c r="AD85" s="35">
        <f>SKEW(K85:V85)</f>
        <v>1.1489125293076057</v>
      </c>
      <c r="AE85" s="35">
        <f>KURT(K85:V85)</f>
        <v>-2.4444444444444446</v>
      </c>
    </row>
    <row r="88" spans="2:31" x14ac:dyDescent="0.2">
      <c r="W88" s="35"/>
    </row>
  </sheetData>
  <autoFilter ref="B9:AE85" xr:uid="{92498A85-A2EA-42F2-AE6F-8C53A1B6734B}"/>
  <conditionalFormatting sqref="K10:V85">
    <cfRule type="cellIs" dxfId="175" priority="1" stopIfTrue="1" operator="lessThan">
      <formula>$W10-$V$5*$X10</formula>
    </cfRule>
    <cfRule type="cellIs" dxfId="174" priority="2" stopIfTrue="1" operator="greaterThan">
      <formula>$W10+$V$5*$X10</formula>
    </cfRule>
  </conditionalFormatting>
  <conditionalFormatting sqref="W10:W85">
    <cfRule type="cellIs" dxfId="173" priority="3" stopIfTrue="1" operator="lessThan">
      <formula>AVERAGE($W$10:$W$41)</formula>
    </cfRule>
    <cfRule type="cellIs" dxfId="17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2206-9A48-43F9-8835-5FAE02C6F571}">
  <sheetPr codeName="Sheet15"/>
  <dimension ref="A1:AI88"/>
  <sheetViews>
    <sheetView topLeftCell="A8" workbookViewId="0">
      <pane xSplit="4" ySplit="2" topLeftCell="L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[44]FormattedData!A1</f>
        <v>Raw data file name - 'IA150.03R'</v>
      </c>
    </row>
    <row r="2" spans="1:35" ht="15" x14ac:dyDescent="0.25">
      <c r="I2" s="65" t="s">
        <v>136</v>
      </c>
      <c r="J2" s="57"/>
      <c r="P2" s="64">
        <f>[44]AncillaryData!C10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[44]AncillaryData!E25</f>
        <v>36.950000000000003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"&amp;[44]AncillaryData!C7</f>
        <v>Time Sequence of Midday IRT Temps - FISE 2003 - DOY 150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"&amp;[44]AncillaryData!E25&amp;", VPD = "&amp;ROUND([44]AncillaryData!E29,1)&amp;", Quality = "&amp;[44]AncillaryData!C20&amp;")"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[44]FormattedData!A28</f>
        <v>101</v>
      </c>
      <c r="C10" s="34" t="str">
        <f>VLOOKUP($B10,[44]TrtCodes!$B$11:I71,2)</f>
        <v>FSH</v>
      </c>
      <c r="D10" s="34">
        <f>VLOOKUP($B10,[44]TrtCodes!$B$11:J71,3)</f>
        <v>1</v>
      </c>
      <c r="E10" s="34">
        <f>VLOOKUP($B10,[44]TrtCodes!$B$11:K71,4)</f>
        <v>1</v>
      </c>
      <c r="F10" s="34">
        <f>VLOOKUP($B10,[44]TrtCodes!$B$11:L71,5)</f>
        <v>1</v>
      </c>
      <c r="G10" s="34">
        <f>VLOOKUP($B10,[44]TrtCodes!$B$11:M71,6)</f>
        <v>2</v>
      </c>
      <c r="H10" s="34">
        <f>VLOOKUP($B10,[44]TrtCodes!$B$11:N71,7)</f>
        <v>1</v>
      </c>
      <c r="I10" s="34">
        <f>[44]FormattedData!B28</f>
        <v>1</v>
      </c>
      <c r="J10" s="37">
        <f>[44]FormattedData!C28</f>
        <v>13.183999999999999</v>
      </c>
      <c r="K10" s="39">
        <f>$J$3+[44]FormattedData!D28*$J$4+$M$4*$J$5+[44]FormattedData!D28^2*$J$6+$M$5*$J$7</f>
        <v>36.977482965868397</v>
      </c>
      <c r="L10" s="39">
        <f>$J$3+[44]FormattedData!E28*$J$4+$M$4*$J$5+[44]FormattedData!E28^2*$J$6+$M$5*$J$7</f>
        <v>44.560949512298727</v>
      </c>
      <c r="M10" s="39">
        <f>$J$3+[44]FormattedData!F28*$J$4+$M$4*$J$5+[44]FormattedData!F28^2*$J$6+$M$5*$J$7</f>
        <v>44.379368396639784</v>
      </c>
      <c r="N10" s="39">
        <f>$J$3+[44]FormattedData!G28*$J$4+$M$4*$J$5+[44]FormattedData!G28^2*$J$6+$M$5*$J$7</f>
        <v>44.379368396639784</v>
      </c>
      <c r="O10" s="39">
        <f>$J$3+[44]FormattedData!H28*$J$4+$M$4*$J$5+[44]FormattedData!H28^2*$J$6+$M$5*$J$7</f>
        <v>42.09533881935139</v>
      </c>
      <c r="P10" s="39">
        <f>$J$3+[44]FormattedData!I28*$J$4+$M$4*$J$5+[44]FormattedData!I28^2*$J$6+$M$5*$J$7</f>
        <v>39.133232053829033</v>
      </c>
      <c r="Q10" s="39">
        <f>$J$3+[44]FormattedData!J28*$J$4+$M$4*$J$5+[44]FormattedData!J28^2*$J$6+$M$5*$J$7</f>
        <v>45.285583233417206</v>
      </c>
      <c r="R10" s="39">
        <f>$J$3+[44]FormattedData!K28*$J$4+$M$4*$J$5+[44]FormattedData!K28^2*$J$6+$M$5*$J$7</f>
        <v>37.917512632990714</v>
      </c>
      <c r="S10" s="39">
        <f>$J$3+[44]FormattedData!L28*$J$4+$M$4*$J$5+[44]FormattedData!L28^2*$J$6+$M$5*$J$7</f>
        <v>47.174875981553186</v>
      </c>
      <c r="T10" s="39">
        <f>$J$3+[44]FormattedData!M28*$J$4+$M$4*$J$5+[44]FormattedData!M28^2*$J$6+$M$5*$J$7</f>
        <v>41.174329994298077</v>
      </c>
      <c r="U10" s="39">
        <f>$J$3+[44]FormattedData!N28*$J$4+$M$4*$J$5+[44]FormattedData!N28^2*$J$6+$M$5*$J$7</f>
        <v>44.65167666732129</v>
      </c>
      <c r="V10" s="39">
        <f>$J$3+[44]FormattedData!O28*$J$4+$M$4*$J$5+[44]FormattedData!O28^2*$J$6+$M$5*$J$7</f>
        <v>46.007511768108095</v>
      </c>
      <c r="W10" s="38">
        <f>AVERAGE(K10:V10)</f>
        <v>42.81143586852631</v>
      </c>
      <c r="X10" s="37">
        <f>STDEV(K10:V10)/SQRT(COUNT(K10:V10))</f>
        <v>0.95919635715014062</v>
      </c>
      <c r="Y10" s="36">
        <f>MIN(K10:V10)</f>
        <v>36.977482965868397</v>
      </c>
      <c r="Z10" s="35">
        <f>QUARTILE(K10:V10,1)</f>
        <v>40.664055509180812</v>
      </c>
      <c r="AA10" s="36">
        <f>MEDIAN(K10:V10)</f>
        <v>44.379368396639784</v>
      </c>
      <c r="AB10" s="35">
        <f>QUARTILE(K10:V10,3)</f>
        <v>44.810153308845273</v>
      </c>
      <c r="AC10" s="35">
        <f>MAX(K10:V10)</f>
        <v>47.174875981553186</v>
      </c>
      <c r="AD10" s="35">
        <f>SKEW(K10:V10)</f>
        <v>-0.65456995687714181</v>
      </c>
      <c r="AE10" s="35">
        <f>KURT(K10:V10)</f>
        <v>-0.8536353905970655</v>
      </c>
    </row>
    <row r="11" spans="1:35" x14ac:dyDescent="0.2">
      <c r="B11" s="34">
        <f>[44]FormattedData!A26</f>
        <v>102</v>
      </c>
      <c r="C11" s="34" t="str">
        <f>VLOOKUP($B11,[44]TrtCodes!$B$11:I69,2)</f>
        <v>FTL</v>
      </c>
      <c r="D11" s="34">
        <f>VLOOKUP($B11,[44]TrtCodes!$B$11:J69,3)</f>
        <v>4</v>
      </c>
      <c r="E11" s="34">
        <f>VLOOKUP($B11,[44]TrtCodes!$B$11:K69,4)</f>
        <v>1</v>
      </c>
      <c r="F11" s="34">
        <f>VLOOKUP($B11,[44]TrtCodes!$B$11:L69,5)</f>
        <v>2</v>
      </c>
      <c r="G11" s="34">
        <f>VLOOKUP($B11,[44]TrtCodes!$B$11:M69,6)</f>
        <v>1</v>
      </c>
      <c r="H11" s="34">
        <f>VLOOKUP($B11,[44]TrtCodes!$B$11:N69,7)</f>
        <v>1</v>
      </c>
      <c r="I11" s="34">
        <f>[44]FormattedData!B26</f>
        <v>1</v>
      </c>
      <c r="J11" s="37">
        <f>[44]FormattedData!C26</f>
        <v>13.176</v>
      </c>
      <c r="K11" s="39">
        <f>$J$3+[44]FormattedData!D26*$J$4+$M$4*$J$5+[44]FormattedData!D26^2*$J$6+$M$5*$J$7</f>
        <v>45.46631897831751</v>
      </c>
      <c r="L11" s="39">
        <f>$J$3+[44]FormattedData!E26*$J$4+$M$4*$J$5+[44]FormattedData!E26^2*$J$6+$M$5*$J$7</f>
        <v>47.085332345592683</v>
      </c>
      <c r="M11" s="39">
        <f>$J$3+[44]FormattedData!F26*$J$4+$M$4*$J$5+[44]FormattedData!F26^2*$J$6+$M$5*$J$7</f>
        <v>46.097562626523754</v>
      </c>
      <c r="N11" s="39">
        <f>$J$3+[44]FormattedData!G26*$J$4+$M$4*$J$5+[44]FormattedData!G26^2*$J$6+$M$5*$J$7</f>
        <v>45.014162602032258</v>
      </c>
      <c r="O11" s="39">
        <f>$J$3+[44]FormattedData!H26*$J$4+$M$4*$J$5+[44]FormattedData!H26^2*$J$6+$M$5*$J$7</f>
        <v>41.174329994298077</v>
      </c>
      <c r="P11" s="39">
        <f>$J$3+[44]FormattedData!I26*$J$4+$M$4*$J$5+[44]FormattedData!I26^2*$J$6+$M$5*$J$7</f>
        <v>45.737105581633493</v>
      </c>
      <c r="Q11" s="39">
        <f>$J$3+[44]FormattedData!J26*$J$4+$M$4*$J$5+[44]FormattedData!J26^2*$J$6+$M$5*$J$7</f>
        <v>40.249094315451657</v>
      </c>
      <c r="R11" s="39">
        <f>$J$3+[44]FormattedData!K26*$J$4+$M$4*$J$5+[44]FormattedData!K26^2*$J$6+$M$5*$J$7</f>
        <v>44.015698942866756</v>
      </c>
      <c r="S11" s="39">
        <f>$J$3+[44]FormattedData!L26*$J$4+$M$4*$J$5+[44]FormattedData!L26^2*$J$6+$M$5*$J$7</f>
        <v>40.89720311029243</v>
      </c>
      <c r="T11" s="39">
        <f>$J$3+[44]FormattedData!M26*$J$4+$M$4*$J$5+[44]FormattedData!M26^2*$J$6+$M$5*$J$7</f>
        <v>44.015698942866756</v>
      </c>
      <c r="U11" s="39">
        <f>$J$3+[44]FormattedData!N26*$J$4+$M$4*$J$5+[44]FormattedData!N26^2*$J$6+$M$5*$J$7</f>
        <v>42.737530018881799</v>
      </c>
      <c r="V11" s="39">
        <f>$J$3+[44]FormattedData!O26*$J$4+$M$4*$J$5+[44]FormattedData!O26^2*$J$6+$M$5*$J$7</f>
        <v>43.83361060475265</v>
      </c>
      <c r="W11" s="38">
        <f>AVERAGE(K11:V11)</f>
        <v>43.860304005292484</v>
      </c>
      <c r="X11" s="37">
        <f>STDEV(K11:V11)/SQRT(COUNT(K11:V11))</f>
        <v>0.63475167959573564</v>
      </c>
      <c r="Y11" s="36">
        <f>MIN(K11:V11)</f>
        <v>40.249094315451657</v>
      </c>
      <c r="Z11" s="35">
        <f>QUARTILE(K11:V11,1)</f>
        <v>42.346730012735868</v>
      </c>
      <c r="AA11" s="36">
        <f>MEDIAN(K11:V11)</f>
        <v>44.015698942866756</v>
      </c>
      <c r="AB11" s="35">
        <f>QUARTILE(K11:V11,3)</f>
        <v>45.534015629146509</v>
      </c>
      <c r="AC11" s="35">
        <f>MAX(K11:V11)</f>
        <v>47.085332345592683</v>
      </c>
      <c r="AD11" s="35">
        <f>SKEW(K11:V11)</f>
        <v>-0.37827842228772929</v>
      </c>
      <c r="AE11" s="35">
        <f>KURT(K11:V11)</f>
        <v>-0.96726329221451879</v>
      </c>
    </row>
    <row r="12" spans="1:35" x14ac:dyDescent="0.2">
      <c r="B12" s="34">
        <f>[44]FormattedData!A24</f>
        <v>103</v>
      </c>
      <c r="C12" s="34" t="str">
        <f>VLOOKUP($B12,[44]TrtCodes!$B$11:I67,2)</f>
        <v>FDH</v>
      </c>
      <c r="D12" s="34">
        <f>VLOOKUP($B12,[44]TrtCodes!$B$11:J67,3)</f>
        <v>5</v>
      </c>
      <c r="E12" s="34">
        <f>VLOOKUP($B12,[44]TrtCodes!$B$11:K67,4)</f>
        <v>1</v>
      </c>
      <c r="F12" s="34">
        <f>VLOOKUP($B12,[44]TrtCodes!$B$11:L67,5)</f>
        <v>3</v>
      </c>
      <c r="G12" s="34">
        <f>VLOOKUP($B12,[44]TrtCodes!$B$11:M67,6)</f>
        <v>2</v>
      </c>
      <c r="H12" s="34">
        <f>VLOOKUP($B12,[44]TrtCodes!$B$11:N67,7)</f>
        <v>1</v>
      </c>
      <c r="I12" s="34">
        <f>[44]FormattedData!B24</f>
        <v>1</v>
      </c>
      <c r="J12" s="37">
        <f>[44]FormattedData!C24</f>
        <v>13.167</v>
      </c>
      <c r="K12" s="39">
        <f>$J$3+[44]FormattedData!D24*$J$4+$M$4*$J$5+[44]FormattedData!D24^2*$J$6+$M$5*$J$7</f>
        <v>43.560161083547008</v>
      </c>
      <c r="L12" s="39">
        <f>$J$3+[44]FormattedData!E24*$J$4+$M$4*$J$5+[44]FormattedData!E24^2*$J$6+$M$5*$J$7</f>
        <v>46.097562626523754</v>
      </c>
      <c r="M12" s="39">
        <f>$J$3+[44]FormattedData!F24*$J$4+$M$4*$J$5+[44]FormattedData!F24^2*$J$6+$M$5*$J$7</f>
        <v>43.286331145499986</v>
      </c>
      <c r="N12" s="39">
        <f>$J$3+[44]FormattedData!G24*$J$4+$M$4*$J$5+[44]FormattedData!G24^2*$J$6+$M$5*$J$7</f>
        <v>44.560949512298727</v>
      </c>
      <c r="O12" s="39">
        <f>$J$3+[44]FormattedData!H24*$J$4+$M$4*$J$5+[44]FormattedData!H24^2*$J$6+$M$5*$J$7</f>
        <v>40.804742945214677</v>
      </c>
      <c r="P12" s="39">
        <f>$J$3+[44]FormattedData!I24*$J$4+$M$4*$J$5+[44]FormattedData!I24^2*$J$6+$M$5*$J$7</f>
        <v>43.560161083547008</v>
      </c>
      <c r="Q12" s="39">
        <f>$J$3+[44]FormattedData!J24*$J$4+$M$4*$J$5+[44]FormattedData!J24^2*$J$6+$M$5*$J$7</f>
        <v>44.742361553805928</v>
      </c>
      <c r="R12" s="39">
        <f>$J$3+[44]FormattedData!K24*$J$4+$M$4*$J$5+[44]FormattedData!K24^2*$J$6+$M$5*$J$7</f>
        <v>47.889703401871628</v>
      </c>
      <c r="S12" s="39">
        <f>$J$3+[44]FormattedData!L24*$J$4+$M$4*$J$5+[44]FormattedData!L24^2*$J$6+$M$5*$J$7</f>
        <v>42.829102544662994</v>
      </c>
      <c r="T12" s="39">
        <f>$J$3+[44]FormattedData!M24*$J$4+$M$4*$J$5+[44]FormattedData!M24^2*$J$6+$M$5*$J$7</f>
        <v>46.277537537741303</v>
      </c>
      <c r="U12" s="39">
        <f>$J$3+[44]FormattedData!N24*$J$4+$M$4*$J$5+[44]FormattedData!N24^2*$J$6+$M$5*$J$7</f>
        <v>41.45107646146235</v>
      </c>
      <c r="V12" s="39">
        <f>$J$3+[44]FormattedData!O24*$J$4+$M$4*$J$5+[44]FormattedData!O24^2*$J$6+$M$5*$J$7</f>
        <v>44.470180088738218</v>
      </c>
      <c r="W12" s="38">
        <f>AVERAGE(K12:V12)</f>
        <v>44.127489165409457</v>
      </c>
      <c r="X12" s="37">
        <f>STDEV(K12:V12)/SQRT(COUNT(K12:V12))</f>
        <v>0.58115904791084894</v>
      </c>
      <c r="Y12" s="36">
        <f>MIN(K12:V12)</f>
        <v>40.804742945214677</v>
      </c>
      <c r="Z12" s="35">
        <f>QUARTILE(K12:V12,1)</f>
        <v>43.172023995290736</v>
      </c>
      <c r="AA12" s="36">
        <f>MEDIAN(K12:V12)</f>
        <v>44.015170586142617</v>
      </c>
      <c r="AB12" s="35">
        <f>QUARTILE(K12:V12,3)</f>
        <v>45.081161821985383</v>
      </c>
      <c r="AC12" s="35">
        <f>MAX(K12:V12)</f>
        <v>47.889703401871628</v>
      </c>
      <c r="AD12" s="35">
        <f>SKEW(K12:V12)</f>
        <v>0.16290933675127184</v>
      </c>
      <c r="AE12" s="35">
        <f>KURT(K12:V12)</f>
        <v>-6.4540149980538253E-2</v>
      </c>
    </row>
    <row r="13" spans="1:35" x14ac:dyDescent="0.2">
      <c r="B13" s="34">
        <f>[44]FormattedData!A22</f>
        <v>104</v>
      </c>
      <c r="C13" s="34" t="str">
        <f>VLOOKUP($B13,[44]TrtCodes!$B$11:I65,2)</f>
        <v>NTL</v>
      </c>
      <c r="D13" s="34">
        <f>VLOOKUP($B13,[44]TrtCodes!$B$11:J65,3)</f>
        <v>10</v>
      </c>
      <c r="E13" s="34">
        <f>VLOOKUP($B13,[44]TrtCodes!$B$11:K65,4)</f>
        <v>2</v>
      </c>
      <c r="F13" s="34">
        <f>VLOOKUP($B13,[44]TrtCodes!$B$11:L65,5)</f>
        <v>2</v>
      </c>
      <c r="G13" s="34">
        <f>VLOOKUP($B13,[44]TrtCodes!$B$11:M65,6)</f>
        <v>1</v>
      </c>
      <c r="H13" s="34">
        <f>VLOOKUP($B13,[44]TrtCodes!$B$11:N65,7)</f>
        <v>1</v>
      </c>
      <c r="I13" s="34">
        <f>[44]FormattedData!B22</f>
        <v>1</v>
      </c>
      <c r="J13" s="37">
        <f>[44]FormattedData!C22</f>
        <v>13.159000000000001</v>
      </c>
      <c r="K13" s="39">
        <f>$J$3+[44]FormattedData!D22*$J$4+$M$4*$J$5+[44]FormattedData!D22^2*$J$6+$M$5*$J$7</f>
        <v>36.977482965868397</v>
      </c>
      <c r="L13" s="39">
        <f>$J$3+[44]FormattedData!E22*$J$4+$M$4*$J$5+[44]FormattedData!E22^2*$J$6+$M$5*$J$7</f>
        <v>42.554258161705626</v>
      </c>
      <c r="M13" s="39">
        <f>$J$3+[44]FormattedData!F22*$J$4+$M$4*$J$5+[44]FormattedData!F22^2*$J$6+$M$5*$J$7</f>
        <v>42.279033361906876</v>
      </c>
      <c r="N13" s="39">
        <f>$J$3+[44]FormattedData!G22*$J$4+$M$4*$J$5+[44]FormattedData!G22^2*$J$6+$M$5*$J$7</f>
        <v>43.560161083547008</v>
      </c>
      <c r="O13" s="39">
        <f>$J$3+[44]FormattedData!H22*$J$4+$M$4*$J$5+[44]FormattedData!H22^2*$J$6+$M$5*$J$7</f>
        <v>42.279033361906876</v>
      </c>
      <c r="P13" s="39">
        <f>$J$3+[44]FormattedData!I22*$J$4+$M$4*$J$5+[44]FormattedData!I22^2*$J$6+$M$5*$J$7</f>
        <v>43.286331145499986</v>
      </c>
      <c r="Q13" s="39">
        <f>$J$3+[44]FormattedData!J22*$J$4+$M$4*$J$5+[44]FormattedData!J22^2*$J$6+$M$5*$J$7</f>
        <v>40.063539957227199</v>
      </c>
      <c r="R13" s="39">
        <f>$J$3+[44]FormattedData!K22*$J$4+$M$4*$J$5+[44]FormattedData!K22^2*$J$6+$M$5*$J$7</f>
        <v>43.560161083547008</v>
      </c>
      <c r="S13" s="39">
        <f>$J$3+[44]FormattedData!L22*$J$4+$M$4*$J$5+[44]FormattedData!L22^2*$J$6+$M$5*$J$7</f>
        <v>42.003428145266746</v>
      </c>
      <c r="T13" s="39">
        <f>$J$3+[44]FormattedData!M22*$J$4+$M$4*$J$5+[44]FormattedData!M22^2*$J$6+$M$5*$J$7</f>
        <v>43.742503032888699</v>
      </c>
      <c r="U13" s="39">
        <f>$J$3+[44]FormattedData!N22*$J$4+$M$4*$J$5+[44]FormattedData!N22^2*$J$6+$M$5*$J$7</f>
        <v>43.37765006005359</v>
      </c>
      <c r="V13" s="39">
        <f>$J$3+[44]FormattedData!O22*$J$4+$M$4*$J$5+[44]FormattedData!O22^2*$J$6+$M$5*$J$7</f>
        <v>46.097562626523754</v>
      </c>
      <c r="W13" s="38">
        <f>AVERAGE(K13:V13)</f>
        <v>42.481762082161815</v>
      </c>
      <c r="X13" s="37">
        <f>STDEV(K13:V13)/SQRT(COUNT(K13:V13))</f>
        <v>0.64491284659476544</v>
      </c>
      <c r="Y13" s="36">
        <f>MIN(K13:V13)</f>
        <v>36.977482965868397</v>
      </c>
      <c r="Z13" s="35">
        <f>QUARTILE(K13:V13,1)</f>
        <v>42.210132057746847</v>
      </c>
      <c r="AA13" s="36">
        <f>MEDIAN(K13:V13)</f>
        <v>42.920294653602809</v>
      </c>
      <c r="AB13" s="35">
        <f>QUARTILE(K13:V13,3)</f>
        <v>43.560161083547008</v>
      </c>
      <c r="AC13" s="35">
        <f>MAX(K13:V13)</f>
        <v>46.097562626523754</v>
      </c>
      <c r="AD13" s="35">
        <f>SKEW(K13:V13)</f>
        <v>-1.2523985080940474</v>
      </c>
      <c r="AE13" s="35">
        <f>KURT(K13:V13)</f>
        <v>3.1110854040714386</v>
      </c>
    </row>
    <row r="14" spans="1:35" x14ac:dyDescent="0.2">
      <c r="B14" s="34">
        <f>[44]FormattedData!A20</f>
        <v>105</v>
      </c>
      <c r="C14" s="34" t="str">
        <f>VLOOKUP($B14,[44]TrtCodes!$B$11:I63,2)</f>
        <v>NDL</v>
      </c>
      <c r="D14" s="34">
        <f>VLOOKUP($B14,[44]TrtCodes!$B$11:J63,3)</f>
        <v>12</v>
      </c>
      <c r="E14" s="34">
        <f>VLOOKUP($B14,[44]TrtCodes!$B$11:K63,4)</f>
        <v>2</v>
      </c>
      <c r="F14" s="34">
        <f>VLOOKUP($B14,[44]TrtCodes!$B$11:L63,5)</f>
        <v>3</v>
      </c>
      <c r="G14" s="34">
        <f>VLOOKUP($B14,[44]TrtCodes!$B$11:M63,6)</f>
        <v>1</v>
      </c>
      <c r="H14" s="34">
        <f>VLOOKUP($B14,[44]TrtCodes!$B$11:N63,7)</f>
        <v>2</v>
      </c>
      <c r="I14" s="34">
        <f>[44]FormattedData!B20</f>
        <v>1</v>
      </c>
      <c r="J14" s="37">
        <f>[44]FormattedData!C20</f>
        <v>13.151999999999999</v>
      </c>
      <c r="K14" s="39">
        <f>$J$3+[44]FormattedData!D20*$J$4+$M$4*$J$5+[44]FormattedData!D20^2*$J$6+$M$5*$J$7</f>
        <v>52.817750124128217</v>
      </c>
      <c r="L14" s="39">
        <f>$J$3+[44]FormattedData!E20*$J$4+$M$4*$J$5+[44]FormattedData!E20^2*$J$6+$M$5*$J$7</f>
        <v>50.721961218869524</v>
      </c>
      <c r="M14" s="39">
        <f>$J$3+[44]FormattedData!F20*$J$4+$M$4*$J$5+[44]FormattedData!F20^2*$J$6+$M$5*$J$7</f>
        <v>53.251308343723771</v>
      </c>
      <c r="N14" s="39">
        <f>$J$3+[44]FormattedData!G20*$J$4+$M$4*$J$5+[44]FormattedData!G20^2*$J$6+$M$5*$J$7</f>
        <v>51.335747960910211</v>
      </c>
      <c r="O14" s="39">
        <f>$J$3+[44]FormattedData!H20*$J$4+$M$4*$J$5+[44]FormattedData!H20^2*$J$6+$M$5*$J$7</f>
        <v>53.510936053025937</v>
      </c>
      <c r="P14" s="39">
        <f>$J$3+[44]FormattedData!I20*$J$4+$M$4*$J$5+[44]FormattedData!I20^2*$J$6+$M$5*$J$7</f>
        <v>52.03468241096656</v>
      </c>
      <c r="Q14" s="39">
        <f>$J$3+[44]FormattedData!J20*$J$4+$M$4*$J$5+[44]FormattedData!J20^2*$J$6+$M$5*$J$7</f>
        <v>52.03468241096656</v>
      </c>
      <c r="R14" s="39">
        <f>$J$3+[44]FormattedData!K20*$J$4+$M$4*$J$5+[44]FormattedData!K20^2*$J$6+$M$5*$J$7</f>
        <v>52.644030956524482</v>
      </c>
      <c r="S14" s="39">
        <f>$J$3+[44]FormattedData!L20*$J$4+$M$4*$J$5+[44]FormattedData!L20^2*$J$6+$M$5*$J$7</f>
        <v>51.860202409680056</v>
      </c>
      <c r="T14" s="39">
        <f>$J$3+[44]FormattedData!M20*$J$4+$M$4*$J$5+[44]FormattedData!M20^2*$J$6+$M$5*$J$7</f>
        <v>52.730911674595312</v>
      </c>
      <c r="U14" s="39">
        <f>$J$3+[44]FormattedData!N20*$J$4+$M$4*$J$5+[44]FormattedData!N20^2*$J$6+$M$5*$J$7</f>
        <v>52.817750124128217</v>
      </c>
      <c r="V14" s="39">
        <f>$J$3+[44]FormattedData!O20*$J$4+$M$4*$J$5+[44]FormattedData!O20^2*$J$6+$M$5*$J$7</f>
        <v>52.470142714769011</v>
      </c>
      <c r="W14" s="38">
        <f>AVERAGE(K14:V14)</f>
        <v>52.352508866857328</v>
      </c>
      <c r="X14" s="37">
        <f>STDEV(K14:V14)/SQRT(COUNT(K14:V14))</f>
        <v>0.22965035624298388</v>
      </c>
      <c r="Y14" s="36">
        <f>MIN(K14:V14)</f>
        <v>50.721961218869524</v>
      </c>
      <c r="Z14" s="35">
        <f>QUARTILE(K14:V14,1)</f>
        <v>51.991062410644936</v>
      </c>
      <c r="AA14" s="36">
        <f>MEDIAN(K14:V14)</f>
        <v>52.557086835646743</v>
      </c>
      <c r="AB14" s="35">
        <f>QUARTILE(K14:V14,3)</f>
        <v>52.817750124128217</v>
      </c>
      <c r="AC14" s="35">
        <f>MAX(K14:V14)</f>
        <v>53.510936053025937</v>
      </c>
      <c r="AD14" s="35">
        <f>SKEW(K14:V14)</f>
        <v>-0.65158211536165189</v>
      </c>
      <c r="AE14" s="35">
        <f>KURT(K14:V14)</f>
        <v>0.2123052449320717</v>
      </c>
    </row>
    <row r="15" spans="1:35" x14ac:dyDescent="0.2">
      <c r="B15" s="34">
        <f>[44]FormattedData!A18</f>
        <v>106</v>
      </c>
      <c r="C15" s="34" t="str">
        <f>VLOOKUP($B15,[44]TrtCodes!$B$11:I61,2)</f>
        <v>NTH</v>
      </c>
      <c r="D15" s="34">
        <f>VLOOKUP($B15,[44]TrtCodes!$B$11:J61,3)</f>
        <v>9</v>
      </c>
      <c r="E15" s="34">
        <f>VLOOKUP($B15,[44]TrtCodes!$B$11:K61,4)</f>
        <v>2</v>
      </c>
      <c r="F15" s="34">
        <f>VLOOKUP($B15,[44]TrtCodes!$B$11:L61,5)</f>
        <v>2</v>
      </c>
      <c r="G15" s="34">
        <f>VLOOKUP($B15,[44]TrtCodes!$B$11:M61,6)</f>
        <v>2</v>
      </c>
      <c r="H15" s="34">
        <f>VLOOKUP($B15,[44]TrtCodes!$B$11:N61,7)</f>
        <v>2</v>
      </c>
      <c r="I15" s="34">
        <f>[44]FormattedData!B18</f>
        <v>1</v>
      </c>
      <c r="J15" s="37">
        <f>[44]FormattedData!C18</f>
        <v>13.137</v>
      </c>
      <c r="K15" s="39">
        <f>$J$3+[44]FormattedData!D18*$J$4+$M$4*$J$5+[44]FormattedData!D18^2*$J$6+$M$5*$J$7</f>
        <v>36.883247522197543</v>
      </c>
      <c r="L15" s="39">
        <f>$J$3+[44]FormattedData!E18*$J$4+$M$4*$J$5+[44]FormattedData!E18^2*$J$6+$M$5*$J$7</f>
        <v>43.468926706069261</v>
      </c>
      <c r="M15" s="39">
        <f>$J$3+[44]FormattedData!F18*$J$4+$M$4*$J$5+[44]FormattedData!F18^2*$J$6+$M$5*$J$7</f>
        <v>38.292340980777574</v>
      </c>
      <c r="N15" s="39">
        <f>$J$3+[44]FormattedData!G18*$J$4+$M$4*$J$5+[44]FormattedData!G18^2*$J$6+$M$5*$J$7</f>
        <v>42.645915224562685</v>
      </c>
      <c r="O15" s="39">
        <f>$J$3+[44]FormattedData!H18*$J$4+$M$4*$J$5+[44]FormattedData!H18^2*$J$6+$M$5*$J$7</f>
        <v>40.619695809445396</v>
      </c>
      <c r="P15" s="39">
        <f>$J$3+[44]FormattedData!I18*$J$4+$M$4*$J$5+[44]FormattedData!I18^2*$J$6+$M$5*$J$7</f>
        <v>44.833004171752634</v>
      </c>
      <c r="Q15" s="39">
        <f>$J$3+[44]FormattedData!J18*$J$4+$M$4*$J$5+[44]FormattedData!J18^2*$J$6+$M$5*$J$7</f>
        <v>42.187207224898103</v>
      </c>
      <c r="R15" s="39">
        <f>$J$3+[44]FormattedData!K18*$J$4+$M$4*$J$5+[44]FormattedData!K18^2*$J$6+$M$5*$J$7</f>
        <v>46.187571216401501</v>
      </c>
      <c r="S15" s="39">
        <f>$J$3+[44]FormattedData!L18*$J$4+$M$4*$J$5+[44]FormattedData!L18^2*$J$6+$M$5*$J$7</f>
        <v>39.319631782812117</v>
      </c>
      <c r="T15" s="39">
        <f>$J$3+[44]FormattedData!M18*$J$4+$M$4*$J$5+[44]FormattedData!M18^2*$J$6+$M$5*$J$7</f>
        <v>45.014162602032258</v>
      </c>
      <c r="U15" s="39">
        <f>$J$3+[44]FormattedData!N18*$J$4+$M$4*$J$5+[44]FormattedData!N18^2*$J$6+$M$5*$J$7</f>
        <v>40.619695809445396</v>
      </c>
      <c r="V15" s="39">
        <f>$J$3+[44]FormattedData!O18*$J$4+$M$4*$J$5+[44]FormattedData!O18^2*$J$6+$M$5*$J$7</f>
        <v>46.636980137721231</v>
      </c>
      <c r="W15" s="38">
        <f>AVERAGE(K15:V15)</f>
        <v>42.225698265676307</v>
      </c>
      <c r="X15" s="37">
        <f>STDEV(K15:V15)/SQRT(COUNT(K15:V15))</f>
        <v>0.90900333758553298</v>
      </c>
      <c r="Y15" s="36">
        <f>MIN(K15:V15)</f>
        <v>36.883247522197543</v>
      </c>
      <c r="Z15" s="35">
        <f>QUARTILE(K15:V15,1)</f>
        <v>40.294679802787073</v>
      </c>
      <c r="AA15" s="36">
        <f>MEDIAN(K15:V15)</f>
        <v>42.416561224730394</v>
      </c>
      <c r="AB15" s="35">
        <f>QUARTILE(K15:V15,3)</f>
        <v>44.87829377932254</v>
      </c>
      <c r="AC15" s="35">
        <f>MAX(K15:V15)</f>
        <v>46.636980137721231</v>
      </c>
      <c r="AD15" s="35">
        <f>SKEW(K15:V15)</f>
        <v>-0.19822676913764548</v>
      </c>
      <c r="AE15" s="35">
        <f>KURT(K15:V15)</f>
        <v>-1.0317723138693835</v>
      </c>
    </row>
    <row r="16" spans="1:35" x14ac:dyDescent="0.2">
      <c r="B16" s="34">
        <f>[44]FormattedData!A16</f>
        <v>107</v>
      </c>
      <c r="C16" s="34" t="str">
        <f>VLOOKUP($B16,[44]TrtCodes!$B$11:I59,2)</f>
        <v>NTL</v>
      </c>
      <c r="D16" s="34">
        <f>VLOOKUP($B16,[44]TrtCodes!$B$11:J59,3)</f>
        <v>10</v>
      </c>
      <c r="E16" s="34">
        <f>VLOOKUP($B16,[44]TrtCodes!$B$11:K59,4)</f>
        <v>2</v>
      </c>
      <c r="F16" s="34">
        <f>VLOOKUP($B16,[44]TrtCodes!$B$11:L59,5)</f>
        <v>2</v>
      </c>
      <c r="G16" s="34">
        <f>VLOOKUP($B16,[44]TrtCodes!$B$11:M59,6)</f>
        <v>1</v>
      </c>
      <c r="H16" s="34">
        <f>VLOOKUP($B16,[44]TrtCodes!$B$11:N59,7)</f>
        <v>2</v>
      </c>
      <c r="I16" s="34">
        <f>[44]FormattedData!B16</f>
        <v>1</v>
      </c>
      <c r="J16" s="37">
        <f>[44]FormattedData!C16</f>
        <v>13.128</v>
      </c>
      <c r="K16" s="39">
        <f>$J$3+[44]FormattedData!D16*$J$4+$M$4*$J$5+[44]FormattedData!D16^2*$J$6+$M$5*$J$7</f>
        <v>46.457343374807138</v>
      </c>
      <c r="L16" s="39">
        <f>$J$3+[44]FormattedData!E16*$J$4+$M$4*$J$5+[44]FormattedData!E16^2*$J$6+$M$5*$J$7</f>
        <v>46.367461590543186</v>
      </c>
      <c r="M16" s="39">
        <f>$J$3+[44]FormattedData!F16*$J$4+$M$4*$J$5+[44]FormattedData!F16^2*$J$6+$M$5*$J$7</f>
        <v>49.311242683225764</v>
      </c>
      <c r="N16" s="39">
        <f>$J$3+[44]FormattedData!G16*$J$4+$M$4*$J$5+[44]FormattedData!G16^2*$J$6+$M$5*$J$7</f>
        <v>46.097562626523754</v>
      </c>
      <c r="O16" s="39">
        <f>$J$3+[44]FormattedData!H16*$J$4+$M$4*$J$5+[44]FormattedData!H16^2*$J$6+$M$5*$J$7</f>
        <v>47.174875981553186</v>
      </c>
      <c r="P16" s="39">
        <f>$J$3+[44]FormattedData!I16*$J$4+$M$4*$J$5+[44]FormattedData!I16^2*$J$6+$M$5*$J$7</f>
        <v>48.512958296408897</v>
      </c>
      <c r="Q16" s="39">
        <f>$J$3+[44]FormattedData!J16*$J$4+$M$4*$J$5+[44]FormattedData!J16^2*$J$6+$M$5*$J$7</f>
        <v>44.65167666732129</v>
      </c>
      <c r="R16" s="39">
        <f>$J$3+[44]FormattedData!K16*$J$4+$M$4*$J$5+[44]FormattedData!K16^2*$J$6+$M$5*$J$7</f>
        <v>46.007511768108095</v>
      </c>
      <c r="S16" s="39">
        <f>$J$3+[44]FormattedData!L16*$J$4+$M$4*$J$5+[44]FormattedData!L16^2*$J$6+$M$5*$J$7</f>
        <v>44.742361553805928</v>
      </c>
      <c r="T16" s="39">
        <f>$J$3+[44]FormattedData!M16*$J$4+$M$4*$J$5+[44]FormattedData!M16^2*$J$6+$M$5*$J$7</f>
        <v>47.621960133286699</v>
      </c>
      <c r="U16" s="39">
        <f>$J$3+[44]FormattedData!N16*$J$4+$M$4*$J$5+[44]FormattedData!N16^2*$J$6+$M$5*$J$7</f>
        <v>44.742361553805928</v>
      </c>
      <c r="V16" s="39">
        <f>$J$3+[44]FormattedData!O16*$J$4+$M$4*$J$5+[44]FormattedData!O16^2*$J$6+$M$5*$J$7</f>
        <v>46.097562626523754</v>
      </c>
      <c r="W16" s="38">
        <f>AVERAGE(K16:V16)</f>
        <v>46.482073237992807</v>
      </c>
      <c r="X16" s="37">
        <f>STDEV(K16:V16)/SQRT(COUNT(K16:V16))</f>
        <v>0.42503306061457441</v>
      </c>
      <c r="Y16" s="36">
        <f>MIN(K16:V16)</f>
        <v>44.65167666732129</v>
      </c>
      <c r="Z16" s="35">
        <f>QUARTILE(K16:V16,1)</f>
        <v>45.691224214532554</v>
      </c>
      <c r="AA16" s="36">
        <f>MEDIAN(K16:V16)</f>
        <v>46.23251210853347</v>
      </c>
      <c r="AB16" s="35">
        <f>QUARTILE(K16:V16,3)</f>
        <v>47.286647019486566</v>
      </c>
      <c r="AC16" s="35">
        <f>MAX(K16:V16)</f>
        <v>49.311242683225764</v>
      </c>
      <c r="AD16" s="35">
        <f>SKEW(K16:V16)</f>
        <v>0.54513685880704443</v>
      </c>
      <c r="AE16" s="35">
        <f>KURT(K16:V16)</f>
        <v>-0.25658037601259887</v>
      </c>
    </row>
    <row r="17" spans="2:31" x14ac:dyDescent="0.2">
      <c r="B17" s="34">
        <f>[44]FormattedData!A14</f>
        <v>108</v>
      </c>
      <c r="C17" s="34" t="str">
        <f>VLOOKUP($B17,[44]TrtCodes!$B$11:I57,2)</f>
        <v>FTH</v>
      </c>
      <c r="D17" s="34">
        <f>VLOOKUP($B17,[44]TrtCodes!$B$11:J57,3)</f>
        <v>3</v>
      </c>
      <c r="E17" s="34">
        <f>VLOOKUP($B17,[44]TrtCodes!$B$11:K57,4)</f>
        <v>1</v>
      </c>
      <c r="F17" s="34">
        <f>VLOOKUP($B17,[44]TrtCodes!$B$11:L57,5)</f>
        <v>2</v>
      </c>
      <c r="G17" s="34">
        <f>VLOOKUP($B17,[44]TrtCodes!$B$11:M57,6)</f>
        <v>2</v>
      </c>
      <c r="H17" s="34">
        <f>VLOOKUP($B17,[44]TrtCodes!$B$11:N57,7)</f>
        <v>2</v>
      </c>
      <c r="I17" s="34">
        <f>[44]FormattedData!B14</f>
        <v>1</v>
      </c>
      <c r="J17" s="37">
        <f>[44]FormattedData!C14</f>
        <v>13.12</v>
      </c>
      <c r="K17" s="39">
        <f>$J$3+[44]FormattedData!D14*$J$4+$M$4*$J$5+[44]FormattedData!D14^2*$J$6+$M$5*$J$7</f>
        <v>40.619695809445396</v>
      </c>
      <c r="L17" s="39">
        <f>$J$3+[44]FormattedData!E14*$J$4+$M$4*$J$5+[44]FormattedData!E14^2*$J$6+$M$5*$J$7</f>
        <v>44.923604521161408</v>
      </c>
      <c r="M17" s="39">
        <f>$J$3+[44]FormattedData!F14*$J$4+$M$4*$J$5+[44]FormattedData!F14^2*$J$6+$M$5*$J$7</f>
        <v>45.375972240136321</v>
      </c>
      <c r="N17" s="39">
        <f>$J$3+[44]FormattedData!G14*$J$4+$M$4*$J$5+[44]FormattedData!G14^2*$J$6+$M$5*$J$7</f>
        <v>44.923604521161408</v>
      </c>
      <c r="O17" s="39">
        <f>$J$3+[44]FormattedData!H14*$J$4+$M$4*$J$5+[44]FormattedData!H14^2*$J$6+$M$5*$J$7</f>
        <v>45.104678414365168</v>
      </c>
      <c r="P17" s="39">
        <f>$J$3+[44]FormattedData!I14*$J$4+$M$4*$J$5+[44]FormattedData!I14^2*$J$6+$M$5*$J$7</f>
        <v>47.085332345592683</v>
      </c>
      <c r="Q17" s="39">
        <f>$J$3+[44]FormattedData!J14*$J$4+$M$4*$J$5+[44]FormattedData!J14^2*$J$6+$M$5*$J$7</f>
        <v>43.83361060475265</v>
      </c>
      <c r="R17" s="39">
        <f>$J$3+[44]FormattedData!K14*$J$4+$M$4*$J$5+[44]FormattedData!K14^2*$J$6+$M$5*$J$7</f>
        <v>46.995746441094248</v>
      </c>
      <c r="S17" s="39">
        <f>$J$3+[44]FormattedData!L14*$J$4+$M$4*$J$5+[44]FormattedData!L14^2*$J$6+$M$5*$J$7</f>
        <v>42.645915224562685</v>
      </c>
      <c r="T17" s="39">
        <f>$J$3+[44]FormattedData!M14*$J$4+$M$4*$J$5+[44]FormattedData!M14^2*$J$6+$M$5*$J$7</f>
        <v>45.827283245662954</v>
      </c>
      <c r="U17" s="39">
        <f>$J$3+[44]FormattedData!N14*$J$4+$M$4*$J$5+[44]FormattedData!N14^2*$J$6+$M$5*$J$7</f>
        <v>39.598914362252252</v>
      </c>
      <c r="V17" s="39">
        <f>$J$3+[44]FormattedData!O14*$J$4+$M$4*$J$5+[44]FormattedData!O14^2*$J$6+$M$5*$J$7</f>
        <v>42.737530018881799</v>
      </c>
      <c r="W17" s="38">
        <f>AVERAGE(K17:V17)</f>
        <v>44.139323979089085</v>
      </c>
      <c r="X17" s="37">
        <f>STDEV(K17:V17)/SQRT(COUNT(K17:V17))</f>
        <v>0.67795693375002974</v>
      </c>
      <c r="Y17" s="36">
        <f>MIN(K17:V17)</f>
        <v>39.598914362252252</v>
      </c>
      <c r="Z17" s="35">
        <f>QUARTILE(K17:V17,1)</f>
        <v>42.714626320302017</v>
      </c>
      <c r="AA17" s="36">
        <f>MEDIAN(K17:V17)</f>
        <v>44.923604521161408</v>
      </c>
      <c r="AB17" s="35">
        <f>QUARTILE(K17:V17,3)</f>
        <v>45.488799991517979</v>
      </c>
      <c r="AC17" s="35">
        <f>MAX(K17:V17)</f>
        <v>47.085332345592683</v>
      </c>
      <c r="AD17" s="35">
        <f>SKEW(K17:V17)</f>
        <v>-0.7232475881517878</v>
      </c>
      <c r="AE17" s="35">
        <f>KURT(K17:V17)</f>
        <v>-0.19365055135263942</v>
      </c>
    </row>
    <row r="18" spans="2:31" x14ac:dyDescent="0.2">
      <c r="B18" s="34">
        <f>[44]FormattedData!A30</f>
        <v>201</v>
      </c>
      <c r="C18" s="34" t="str">
        <f>VLOOKUP($B18,[44]TrtCodes!$B$11:I73,2)</f>
        <v>NDL</v>
      </c>
      <c r="D18" s="34">
        <f>VLOOKUP($B18,[44]TrtCodes!$B$11:J73,3)</f>
        <v>12</v>
      </c>
      <c r="E18" s="34">
        <f>VLOOKUP($B18,[44]TrtCodes!$B$11:K73,4)</f>
        <v>2</v>
      </c>
      <c r="F18" s="34">
        <f>VLOOKUP($B18,[44]TrtCodes!$B$11:L73,5)</f>
        <v>3</v>
      </c>
      <c r="G18" s="34">
        <f>VLOOKUP($B18,[44]TrtCodes!$B$11:M73,6)</f>
        <v>1</v>
      </c>
      <c r="H18" s="34">
        <f>VLOOKUP($B18,[44]TrtCodes!$B$11:N73,7)</f>
        <v>1</v>
      </c>
      <c r="I18" s="34">
        <f>[44]FormattedData!B30</f>
        <v>1</v>
      </c>
      <c r="J18" s="37">
        <f>[44]FormattedData!C30</f>
        <v>13.201000000000001</v>
      </c>
      <c r="K18" s="39">
        <f>$J$3+[44]FormattedData!D30*$J$4+$M$4*$J$5+[44]FormattedData!D30^2*$J$6+$M$5*$J$7</f>
        <v>53.597394085717447</v>
      </c>
      <c r="L18" s="39">
        <f>$J$3+[44]FormattedData!E30*$J$4+$M$4*$J$5+[44]FormattedData!E30^2*$J$6+$M$5*$J$7</f>
        <v>52.03468241096656</v>
      </c>
      <c r="M18" s="39">
        <f>$J$3+[44]FormattedData!F30*$J$4+$M$4*$J$5+[44]FormattedData!F30^2*$J$6+$M$5*$J$7</f>
        <v>53.424435751796473</v>
      </c>
      <c r="N18" s="39">
        <f>$J$3+[44]FormattedData!G30*$J$4+$M$4*$J$5+[44]FormattedData!G30^2*$J$6+$M$5*$J$7</f>
        <v>52.470142714769011</v>
      </c>
      <c r="O18" s="39">
        <f>$J$3+[44]FormattedData!H30*$J$4+$M$4*$J$5+[44]FormattedData!H30^2*$J$6+$M$5*$J$7</f>
        <v>51.947463544592281</v>
      </c>
      <c r="P18" s="39">
        <f>$J$3+[44]FormattedData!I30*$J$4+$M$4*$J$5+[44]FormattedData!I30^2*$J$6+$M$5*$J$7</f>
        <v>53.770183345486714</v>
      </c>
      <c r="Q18" s="39">
        <f>$J$3+[44]FormattedData!J30*$J$4+$M$4*$J$5+[44]FormattedData!J30^2*$J$6+$M$5*$J$7</f>
        <v>53.251308343723771</v>
      </c>
      <c r="R18" s="39">
        <f>$J$3+[44]FormattedData!K30*$J$4+$M$4*$J$5+[44]FormattedData!K30^2*$J$6+$M$5*$J$7</f>
        <v>52.730911674595312</v>
      </c>
      <c r="S18" s="39">
        <f>$J$3+[44]FormattedData!L30*$J$4+$M$4*$J$5+[44]FormattedData!L30^2*$J$6+$M$5*$J$7</f>
        <v>53.683809849871047</v>
      </c>
      <c r="T18" s="39">
        <f>$J$3+[44]FormattedData!M30*$J$4+$M$4*$J$5+[44]FormattedData!M30^2*$J$6+$M$5*$J$7</f>
        <v>51.685553334241838</v>
      </c>
      <c r="U18" s="39">
        <f>$J$3+[44]FormattedData!N30*$J$4+$M$4*$J$5+[44]FormattedData!N30^2*$J$6+$M$5*$J$7</f>
        <v>53.683809849871047</v>
      </c>
      <c r="V18" s="39">
        <f>$J$3+[44]FormattedData!O30*$J$4+$M$4*$J$5+[44]FormattedData!O30^2*$J$6+$M$5*$J$7</f>
        <v>52.470142714769011</v>
      </c>
      <c r="W18" s="38">
        <f>AVERAGE(K18:V18)</f>
        <v>52.89581980170005</v>
      </c>
      <c r="X18" s="37">
        <f>STDEV(K18:V18)/SQRT(COUNT(K18:V18))</f>
        <v>0.22018691120595205</v>
      </c>
      <c r="Y18" s="36">
        <f>MIN(K18:V18)</f>
        <v>51.685553334241838</v>
      </c>
      <c r="Z18" s="35">
        <f>QUARTILE(K18:V18,1)</f>
        <v>52.3612776388184</v>
      </c>
      <c r="AA18" s="36">
        <f>MEDIAN(K18:V18)</f>
        <v>52.991110009159542</v>
      </c>
      <c r="AB18" s="35">
        <f>QUARTILE(K18:V18,3)</f>
        <v>53.618998026755847</v>
      </c>
      <c r="AC18" s="35">
        <f>MAX(K18:V18)</f>
        <v>53.770183345486714</v>
      </c>
      <c r="AD18" s="35">
        <f>SKEW(K18:V18)</f>
        <v>-0.304344890683446</v>
      </c>
      <c r="AE18" s="35">
        <f>KURT(K18:V18)</f>
        <v>-1.5833702111243912</v>
      </c>
    </row>
    <row r="19" spans="2:31" x14ac:dyDescent="0.2">
      <c r="B19" s="34">
        <f>[44]FormattedData!A32</f>
        <v>202</v>
      </c>
      <c r="C19" s="34" t="str">
        <f>VLOOKUP($B19,[44]TrtCodes!$B$11:I75,2)</f>
        <v>NTH</v>
      </c>
      <c r="D19" s="34">
        <f>VLOOKUP($B19,[44]TrtCodes!$B$11:J75,3)</f>
        <v>9</v>
      </c>
      <c r="E19" s="34">
        <f>VLOOKUP($B19,[44]TrtCodes!$B$11:K75,4)</f>
        <v>2</v>
      </c>
      <c r="F19" s="34">
        <f>VLOOKUP($B19,[44]TrtCodes!$B$11:L75,5)</f>
        <v>2</v>
      </c>
      <c r="G19" s="34">
        <f>VLOOKUP($B19,[44]TrtCodes!$B$11:M75,6)</f>
        <v>2</v>
      </c>
      <c r="H19" s="34">
        <f>VLOOKUP($B19,[44]TrtCodes!$B$11:N75,7)</f>
        <v>1</v>
      </c>
      <c r="I19" s="34">
        <f>[44]FormattedData!B32</f>
        <v>1</v>
      </c>
      <c r="J19" s="37">
        <f>[44]FormattedData!C32</f>
        <v>13.206</v>
      </c>
      <c r="K19" s="39">
        <f>$J$3+[44]FormattedData!D32*$J$4+$M$4*$J$5+[44]FormattedData!D32^2*$J$6+$M$5*$J$7</f>
        <v>41.358869907612188</v>
      </c>
      <c r="L19" s="39">
        <f>$J$3+[44]FormattedData!E32*$J$4+$M$4*$J$5+[44]FormattedData!E32^2*$J$6+$M$5*$J$7</f>
        <v>46.72673511637138</v>
      </c>
      <c r="M19" s="39">
        <f>$J$3+[44]FormattedData!F32*$J$4+$M$4*$J$5+[44]FormattedData!F32^2*$J$6+$M$5*$J$7</f>
        <v>43.19496996240845</v>
      </c>
      <c r="N19" s="39">
        <f>$J$3+[44]FormattedData!G32*$J$4+$M$4*$J$5+[44]FormattedData!G32^2*$J$6+$M$5*$J$7</f>
        <v>43.560161083547008</v>
      </c>
      <c r="O19" s="39">
        <f>$J$3+[44]FormattedData!H32*$J$4+$M$4*$J$5+[44]FormattedData!H32^2*$J$6+$M$5*$J$7</f>
        <v>39.41276824449676</v>
      </c>
      <c r="P19" s="39">
        <f>$J$3+[44]FormattedData!I32*$J$4+$M$4*$J$5+[44]FormattedData!I32^2*$J$6+$M$5*$J$7</f>
        <v>41.266621085224095</v>
      </c>
      <c r="Q19" s="39">
        <f>$J$3+[44]FormattedData!J32*$J$4+$M$4*$J$5+[44]FormattedData!J32^2*$J$6+$M$5*$J$7</f>
        <v>42.370817230377725</v>
      </c>
      <c r="R19" s="39">
        <f>$J$3+[44]FormattedData!K32*$J$4+$M$4*$J$5+[44]FormattedData!K32^2*$J$6+$M$5*$J$7</f>
        <v>39.319631782812117</v>
      </c>
      <c r="S19" s="39">
        <f>$J$3+[44]FormattedData!L32*$J$4+$M$4*$J$5+[44]FormattedData!L32^2*$J$6+$M$5*$J$7</f>
        <v>41.635362763548869</v>
      </c>
      <c r="T19" s="39">
        <f>$J$3+[44]FormattedData!M32*$J$4+$M$4*$J$5+[44]FormattedData!M32^2*$J$6+$M$5*$J$7</f>
        <v>38.011283122744331</v>
      </c>
      <c r="U19" s="39">
        <f>$J$3+[44]FormattedData!N32*$J$4+$M$4*$J$5+[44]FormattedData!N32^2*$J$6+$M$5*$J$7</f>
        <v>41.635362763548869</v>
      </c>
      <c r="V19" s="39">
        <f>$J$3+[44]FormattedData!O32*$J$4+$M$4*$J$5+[44]FormattedData!O32^2*$J$6+$M$5*$J$7</f>
        <v>40.156338270608387</v>
      </c>
      <c r="W19" s="38">
        <f>AVERAGE(K19:V19)</f>
        <v>41.554076777775016</v>
      </c>
      <c r="X19" s="37">
        <f>STDEV(K19:V19)/SQRT(COUNT(K19:V19))</f>
        <v>0.66490670197120449</v>
      </c>
      <c r="Y19" s="36">
        <f>MIN(K19:V19)</f>
        <v>38.011283122744331</v>
      </c>
      <c r="Z19" s="35">
        <f>QUARTILE(K19:V19,1)</f>
        <v>39.97044576408048</v>
      </c>
      <c r="AA19" s="36">
        <f>MEDIAN(K19:V19)</f>
        <v>41.497116335580529</v>
      </c>
      <c r="AB19" s="35">
        <f>QUARTILE(K19:V19,3)</f>
        <v>42.576855413385402</v>
      </c>
      <c r="AC19" s="35">
        <f>MAX(K19:V19)</f>
        <v>46.72673511637138</v>
      </c>
      <c r="AD19" s="35">
        <f>SKEW(K19:V19)</f>
        <v>0.74309505650661023</v>
      </c>
      <c r="AE19" s="35">
        <f>KURT(K19:V19)</f>
        <v>1.2692077191562072</v>
      </c>
    </row>
    <row r="20" spans="2:31" x14ac:dyDescent="0.2">
      <c r="B20" s="34">
        <f>[44]FormattedData!A34</f>
        <v>203</v>
      </c>
      <c r="C20" s="34" t="str">
        <f>VLOOKUP($B20,[44]TrtCodes!$B$11:I77,2)</f>
        <v>FTH</v>
      </c>
      <c r="D20" s="34">
        <f>VLOOKUP($B20,[44]TrtCodes!$B$11:J77,3)</f>
        <v>3</v>
      </c>
      <c r="E20" s="34">
        <f>VLOOKUP($B20,[44]TrtCodes!$B$11:K77,4)</f>
        <v>1</v>
      </c>
      <c r="F20" s="34">
        <f>VLOOKUP($B20,[44]TrtCodes!$B$11:L77,5)</f>
        <v>2</v>
      </c>
      <c r="G20" s="34">
        <f>VLOOKUP($B20,[44]TrtCodes!$B$11:M77,6)</f>
        <v>2</v>
      </c>
      <c r="H20" s="34">
        <f>VLOOKUP($B20,[44]TrtCodes!$B$11:N77,7)</f>
        <v>1</v>
      </c>
      <c r="I20" s="34">
        <f>[44]FormattedData!B34</f>
        <v>1</v>
      </c>
      <c r="J20" s="37">
        <f>[44]FormattedData!C34</f>
        <v>13.211</v>
      </c>
      <c r="K20" s="39">
        <f>$J$3+[44]FormattedData!D34*$J$4+$M$4*$J$5+[44]FormattedData!D34^2*$J$6+$M$5*$J$7</f>
        <v>40.341808091756981</v>
      </c>
      <c r="L20" s="39">
        <f>$J$3+[44]FormattedData!E34*$J$4+$M$4*$J$5+[44]FormattedData!E34^2*$J$6+$M$5*$J$7</f>
        <v>46.72673511637138</v>
      </c>
      <c r="M20" s="39">
        <f>$J$3+[44]FormattedData!F34*$J$4+$M$4*$J$5+[44]FormattedData!F34^2*$J$6+$M$5*$J$7</f>
        <v>41.727442511785242</v>
      </c>
      <c r="N20" s="39">
        <f>$J$3+[44]FormattedData!G34*$J$4+$M$4*$J$5+[44]FormattedData!G34^2*$J$6+$M$5*$J$7</f>
        <v>44.288514436003425</v>
      </c>
      <c r="O20" s="39">
        <f>$J$3+[44]FormattedData!H34*$J$4+$M$4*$J$5+[44]FormattedData!H34^2*$J$6+$M$5*$J$7</f>
        <v>41.174329994298077</v>
      </c>
      <c r="P20" s="39">
        <f>$J$3+[44]FormattedData!I34*$J$4+$M$4*$J$5+[44]FormattedData!I34^2*$J$6+$M$5*$J$7</f>
        <v>44.833004171752634</v>
      </c>
      <c r="Q20" s="39">
        <f>$J$3+[44]FormattedData!J34*$J$4+$M$4*$J$5+[44]FormattedData!J34^2*$J$6+$M$5*$J$7</f>
        <v>44.197618206829134</v>
      </c>
      <c r="R20" s="39">
        <f>$J$3+[44]FormattedData!K34*$J$4+$M$4*$J$5+[44]FormattedData!K34^2*$J$6+$M$5*$J$7</f>
        <v>48.956872307797582</v>
      </c>
      <c r="S20" s="39">
        <f>$J$3+[44]FormattedData!L34*$J$4+$M$4*$J$5+[44]FormattedData!L34^2*$J$6+$M$5*$J$7</f>
        <v>46.187571216401501</v>
      </c>
      <c r="T20" s="39">
        <f>$J$3+[44]FormattedData!M34*$J$4+$M$4*$J$5+[44]FormattedData!M34^2*$J$6+$M$5*$J$7</f>
        <v>45.556623447960767</v>
      </c>
      <c r="U20" s="39">
        <f>$J$3+[44]FormattedData!N34*$J$4+$M$4*$J$5+[44]FormattedData!N34^2*$J$6+$M$5*$J$7</f>
        <v>44.197618206829134</v>
      </c>
      <c r="V20" s="39">
        <f>$J$3+[44]FormattedData!O34*$J$4+$M$4*$J$5+[44]FormattedData!O34^2*$J$6+$M$5*$J$7</f>
        <v>46.906118268057895</v>
      </c>
      <c r="W20" s="38">
        <f>AVERAGE(K20:V20)</f>
        <v>44.591187997986985</v>
      </c>
      <c r="X20" s="37">
        <f>STDEV(K20:V20)/SQRT(COUNT(K20:V20))</f>
        <v>0.73263862714385219</v>
      </c>
      <c r="Y20" s="36">
        <f>MIN(K20:V20)</f>
        <v>40.341808091756981</v>
      </c>
      <c r="Z20" s="35">
        <f>QUARTILE(K20:V20,1)</f>
        <v>43.580074283068157</v>
      </c>
      <c r="AA20" s="36">
        <f>MEDIAN(K20:V20)</f>
        <v>44.560759303878029</v>
      </c>
      <c r="AB20" s="35">
        <f>QUARTILE(K20:V20,3)</f>
        <v>46.322362191393971</v>
      </c>
      <c r="AC20" s="35">
        <f>MAX(K20:V20)</f>
        <v>48.956872307797582</v>
      </c>
      <c r="AD20" s="35">
        <f>SKEW(K20:V20)</f>
        <v>-0.19970424698738223</v>
      </c>
      <c r="AE20" s="35">
        <f>KURT(K20:V20)</f>
        <v>-0.42582278698895459</v>
      </c>
    </row>
    <row r="21" spans="2:31" x14ac:dyDescent="0.2">
      <c r="B21" s="34">
        <f>[44]FormattedData!A36</f>
        <v>204</v>
      </c>
      <c r="C21" s="34" t="str">
        <f>VLOOKUP($B21,[44]TrtCodes!$B$11:I79,2)</f>
        <v>NDH</v>
      </c>
      <c r="D21" s="34">
        <f>VLOOKUP($B21,[44]TrtCodes!$B$11:J79,3)</f>
        <v>11</v>
      </c>
      <c r="E21" s="34">
        <f>VLOOKUP($B21,[44]TrtCodes!$B$11:K79,4)</f>
        <v>2</v>
      </c>
      <c r="F21" s="34">
        <f>VLOOKUP($B21,[44]TrtCodes!$B$11:L79,5)</f>
        <v>3</v>
      </c>
      <c r="G21" s="34">
        <f>VLOOKUP($B21,[44]TrtCodes!$B$11:M79,6)</f>
        <v>2</v>
      </c>
      <c r="H21" s="34">
        <f>VLOOKUP($B21,[44]TrtCodes!$B$11:N79,7)</f>
        <v>1</v>
      </c>
      <c r="I21" s="34">
        <f>[44]FormattedData!B36</f>
        <v>1</v>
      </c>
      <c r="J21" s="37">
        <f>[44]FormattedData!C36</f>
        <v>13.217000000000001</v>
      </c>
      <c r="K21" s="39">
        <f>$J$3+[44]FormattedData!D36*$J$4+$M$4*$J$5+[44]FormattedData!D36^2*$J$6+$M$5*$J$7</f>
        <v>52.904546305123198</v>
      </c>
      <c r="L21" s="39">
        <f>$J$3+[44]FormattedData!E36*$J$4+$M$4*$J$5+[44]FormattedData!E36^2*$J$6+$M$5*$J$7</f>
        <v>51.072950111263225</v>
      </c>
      <c r="M21" s="39">
        <f>$J$3+[44]FormattedData!F36*$J$4+$M$4*$J$5+[44]FormattedData!F36^2*$J$6+$M$5*$J$7</f>
        <v>53.164681236880519</v>
      </c>
      <c r="N21" s="39">
        <f>$J$3+[44]FormattedData!G36*$J$4+$M$4*$J$5+[44]FormattedData!G36^2*$J$6+$M$5*$J$7</f>
        <v>52.121859008802915</v>
      </c>
      <c r="O21" s="39">
        <f>$J$3+[44]FormattedData!H36*$J$4+$M$4*$J$5+[44]FormattedData!H36^2*$J$6+$M$5*$J$7</f>
        <v>54.545642721820755</v>
      </c>
      <c r="P21" s="39">
        <f>$J$3+[44]FormattedData!I36*$J$4+$M$4*$J$5+[44]FormattedData!I36^2*$J$6+$M$5*$J$7</f>
        <v>52.644030956524482</v>
      </c>
      <c r="Q21" s="39">
        <f>$J$3+[44]FormattedData!J36*$J$4+$M$4*$J$5+[44]FormattedData!J36^2*$J$6+$M$5*$J$7</f>
        <v>53.770183345486714</v>
      </c>
      <c r="R21" s="39">
        <f>$J$3+[44]FormattedData!K36*$J$4+$M$4*$J$5+[44]FormattedData!K36^2*$J$6+$M$5*$J$7</f>
        <v>53.424435751796473</v>
      </c>
      <c r="S21" s="39">
        <f>$J$3+[44]FormattedData!L36*$J$4+$M$4*$J$5+[44]FormattedData!L36^2*$J$6+$M$5*$J$7</f>
        <v>52.296085398861827</v>
      </c>
      <c r="T21" s="39">
        <f>$J$3+[44]FormattedData!M36*$J$4+$M$4*$J$5+[44]FormattedData!M36^2*$J$6+$M$5*$J$7</f>
        <v>51.947463544592281</v>
      </c>
      <c r="U21" s="39">
        <f>$J$3+[44]FormattedData!N36*$J$4+$M$4*$J$5+[44]FormattedData!N36^2*$J$6+$M$5*$J$7</f>
        <v>53.770183345486714</v>
      </c>
      <c r="V21" s="39">
        <f>$J$3+[44]FormattedData!O36*$J$4+$M$4*$J$5+[44]FormattedData!O36^2*$J$6+$M$5*$J$7</f>
        <v>52.470142714769011</v>
      </c>
      <c r="W21" s="38">
        <f>AVERAGE(K21:V21)</f>
        <v>52.844350370117354</v>
      </c>
      <c r="X21" s="37">
        <f>STDEV(K21:V21)/SQRT(COUNT(K21:V21))</f>
        <v>0.27519243769463375</v>
      </c>
      <c r="Y21" s="36">
        <f>MIN(K21:V21)</f>
        <v>51.072950111263225</v>
      </c>
      <c r="Z21" s="35">
        <f>QUARTILE(K21:V21,1)</f>
        <v>52.252528801347097</v>
      </c>
      <c r="AA21" s="36">
        <f>MEDIAN(K21:V21)</f>
        <v>52.77428863082384</v>
      </c>
      <c r="AB21" s="35">
        <f>QUARTILE(K21:V21,3)</f>
        <v>53.510872650219035</v>
      </c>
      <c r="AC21" s="35">
        <f>MAX(K21:V21)</f>
        <v>54.545642721820755</v>
      </c>
      <c r="AD21" s="35">
        <f>SKEW(K21:V21)</f>
        <v>-1.7951685860550473E-2</v>
      </c>
      <c r="AE21" s="35">
        <f>KURT(K21:V21)</f>
        <v>-5.5501834185113008E-2</v>
      </c>
    </row>
    <row r="22" spans="2:31" x14ac:dyDescent="0.2">
      <c r="B22" s="34">
        <f>[44]FormattedData!A38</f>
        <v>205</v>
      </c>
      <c r="C22" s="34" t="str">
        <f>VLOOKUP($B22,[44]TrtCodes!$B$11:I81,2)</f>
        <v>FSH</v>
      </c>
      <c r="D22" s="34">
        <f>VLOOKUP($B22,[44]TrtCodes!$B$11:J81,3)</f>
        <v>1</v>
      </c>
      <c r="E22" s="34">
        <f>VLOOKUP($B22,[44]TrtCodes!$B$11:K81,4)</f>
        <v>1</v>
      </c>
      <c r="F22" s="34">
        <f>VLOOKUP($B22,[44]TrtCodes!$B$11:L81,5)</f>
        <v>1</v>
      </c>
      <c r="G22" s="34">
        <f>VLOOKUP($B22,[44]TrtCodes!$B$11:M81,6)</f>
        <v>2</v>
      </c>
      <c r="H22" s="34">
        <f>VLOOKUP($B22,[44]TrtCodes!$B$11:N81,7)</f>
        <v>2</v>
      </c>
      <c r="I22" s="34">
        <f>[44]FormattedData!B38</f>
        <v>1</v>
      </c>
      <c r="J22" s="37">
        <f>[44]FormattedData!C38</f>
        <v>13.222</v>
      </c>
      <c r="K22" s="39">
        <f>$J$3+[44]FormattedData!D38*$J$4+$M$4*$J$5+[44]FormattedData!D38^2*$J$6+$M$5*$J$7</f>
        <v>38.105011343960015</v>
      </c>
      <c r="L22" s="39">
        <f>$J$3+[44]FormattedData!E38*$J$4+$M$4*$J$5+[44]FormattedData!E38^2*$J$6+$M$5*$J$7</f>
        <v>40.619695809445396</v>
      </c>
      <c r="M22" s="39">
        <f>$J$3+[44]FormattedData!F38*$J$4+$M$4*$J$5+[44]FormattedData!F38^2*$J$6+$M$5*$J$7</f>
        <v>41.819479991483675</v>
      </c>
      <c r="N22" s="39">
        <f>$J$3+[44]FormattedData!G38*$J$4+$M$4*$J$5+[44]FormattedData!G38^2*$J$6+$M$5*$J$7</f>
        <v>39.877816524851013</v>
      </c>
      <c r="O22" s="39">
        <f>$J$3+[44]FormattedData!H38*$J$4+$M$4*$J$5+[44]FormattedData!H38^2*$J$6+$M$5*$J$7</f>
        <v>42.645915224562685</v>
      </c>
      <c r="P22" s="39">
        <f>$J$3+[44]FormattedData!I38*$J$4+$M$4*$J$5+[44]FormattedData!I38^2*$J$6+$M$5*$J$7</f>
        <v>37.448026156153695</v>
      </c>
      <c r="Q22" s="39">
        <f>$J$3+[44]FormattedData!J38*$J$4+$M$4*$J$5+[44]FormattedData!J38^2*$J$6+$M$5*$J$7</f>
        <v>44.470180088738218</v>
      </c>
      <c r="R22" s="39">
        <f>$J$3+[44]FormattedData!K38*$J$4+$M$4*$J$5+[44]FormattedData!K38^2*$J$6+$M$5*$J$7</f>
        <v>35.464643642582999</v>
      </c>
      <c r="S22" s="39">
        <f>$J$3+[44]FormattedData!L38*$J$4+$M$4*$J$5+[44]FormattedData!L38^2*$J$6+$M$5*$J$7</f>
        <v>43.83361060475265</v>
      </c>
      <c r="T22" s="39">
        <f>$J$3+[44]FormattedData!M38*$J$4+$M$4*$J$5+[44]FormattedData!M38^2*$J$6+$M$5*$J$7</f>
        <v>41.174329994298077</v>
      </c>
      <c r="U22" s="39">
        <f>$J$3+[44]FormattedData!N38*$J$4+$M$4*$J$5+[44]FormattedData!N38^2*$J$6+$M$5*$J$7</f>
        <v>43.286331145499986</v>
      </c>
      <c r="V22" s="39">
        <f>$J$3+[44]FormattedData!O38*$J$4+$M$4*$J$5+[44]FormattedData!O38^2*$J$6+$M$5*$J$7</f>
        <v>41.635362763548869</v>
      </c>
      <c r="W22" s="38">
        <f>AVERAGE(K22:V22)</f>
        <v>40.865033607489778</v>
      </c>
      <c r="X22" s="37">
        <f>STDEV(K22:V22)/SQRT(COUNT(K22:V22))</f>
        <v>0.78786465150084506</v>
      </c>
      <c r="Y22" s="36">
        <f>MIN(K22:V22)</f>
        <v>35.464643642582999</v>
      </c>
      <c r="Z22" s="35">
        <f>QUARTILE(K22:V22,1)</f>
        <v>39.434615229628264</v>
      </c>
      <c r="AA22" s="36">
        <f>MEDIAN(K22:V22)</f>
        <v>41.404846378923473</v>
      </c>
      <c r="AB22" s="35">
        <f>QUARTILE(K22:V22,3)</f>
        <v>42.806019204797011</v>
      </c>
      <c r="AC22" s="35">
        <f>MAX(K22:V22)</f>
        <v>44.470180088738218</v>
      </c>
      <c r="AD22" s="35">
        <f>SKEW(K22:V22)</f>
        <v>-0.67173560891689277</v>
      </c>
      <c r="AE22" s="35">
        <f>KURT(K22:V22)</f>
        <v>-0.23320683332143988</v>
      </c>
    </row>
    <row r="23" spans="2:31" x14ac:dyDescent="0.2">
      <c r="B23" s="34">
        <f>[44]FormattedData!A40</f>
        <v>206</v>
      </c>
      <c r="C23" s="34" t="str">
        <f>VLOOKUP($B23,[44]TrtCodes!$B$11:I83,2)</f>
        <v>NSL</v>
      </c>
      <c r="D23" s="34">
        <f>VLOOKUP($B23,[44]TrtCodes!$B$11:J83,3)</f>
        <v>8</v>
      </c>
      <c r="E23" s="34">
        <f>VLOOKUP($B23,[44]TrtCodes!$B$11:K83,4)</f>
        <v>2</v>
      </c>
      <c r="F23" s="34">
        <f>VLOOKUP($B23,[44]TrtCodes!$B$11:L83,5)</f>
        <v>1</v>
      </c>
      <c r="G23" s="34">
        <f>VLOOKUP($B23,[44]TrtCodes!$B$11:M83,6)</f>
        <v>1</v>
      </c>
      <c r="H23" s="34">
        <f>VLOOKUP($B23,[44]TrtCodes!$B$11:N83,7)</f>
        <v>2</v>
      </c>
      <c r="I23" s="34">
        <f>[44]FormattedData!B40</f>
        <v>1</v>
      </c>
      <c r="J23" s="37">
        <f>[44]FormattedData!C40</f>
        <v>13.227</v>
      </c>
      <c r="K23" s="39">
        <f>$J$3+[44]FormattedData!D40*$J$4+$M$4*$J$5+[44]FormattedData!D40^2*$J$6+$M$5*$J$7</f>
        <v>34.036529341933949</v>
      </c>
      <c r="L23" s="39">
        <f>$J$3+[44]FormattedData!E40*$J$4+$M$4*$J$5+[44]FormattedData!E40^2*$J$6+$M$5*$J$7</f>
        <v>36.4114362757743</v>
      </c>
      <c r="M23" s="39">
        <f>$J$3+[44]FormattedData!F40*$J$4+$M$4*$J$5+[44]FormattedData!F40^2*$J$6+$M$5*$J$7</f>
        <v>35.938568315902785</v>
      </c>
      <c r="N23" s="39">
        <f>$J$3+[44]FormattedData!G40*$J$4+$M$4*$J$5+[44]FormattedData!G40^2*$J$6+$M$5*$J$7</f>
        <v>33.654092657319495</v>
      </c>
      <c r="O23" s="39">
        <f>$J$3+[44]FormattedData!H40*$J$4+$M$4*$J$5+[44]FormattedData!H40^2*$J$6+$M$5*$J$7</f>
        <v>39.133232053829033</v>
      </c>
      <c r="P23" s="39">
        <f>$J$3+[44]FormattedData!I40*$J$4+$M$4*$J$5+[44]FormattedData!I40^2*$J$6+$M$5*$J$7</f>
        <v>34.036529341933949</v>
      </c>
      <c r="Q23" s="39">
        <f>$J$3+[44]FormattedData!J40*$J$4+$M$4*$J$5+[44]FormattedData!J40^2*$J$6+$M$5*$J$7</f>
        <v>41.727442511785242</v>
      </c>
      <c r="R23" s="39">
        <f>$J$3+[44]FormattedData!K40*$J$4+$M$4*$J$5+[44]FormattedData!K40^2*$J$6+$M$5*$J$7</f>
        <v>33.749765231280001</v>
      </c>
      <c r="S23" s="39">
        <f>$J$3+[44]FormattedData!L40*$J$4+$M$4*$J$5+[44]FormattedData!L40^2*$J$6+$M$5*$J$7</f>
        <v>40.619695809445396</v>
      </c>
      <c r="T23" s="39">
        <f>$J$3+[44]FormattedData!M40*$J$4+$M$4*$J$5+[44]FormattedData!M40^2*$J$6+$M$5*$J$7</f>
        <v>34.227494073013595</v>
      </c>
      <c r="U23" s="39">
        <f>$J$3+[44]FormattedData!N40*$J$4+$M$4*$J$5+[44]FormattedData!N40^2*$J$6+$M$5*$J$7</f>
        <v>40.434479599524387</v>
      </c>
      <c r="V23" s="39">
        <f>$J$3+[44]FormattedData!O40*$J$4+$M$4*$J$5+[44]FormattedData!O40^2*$J$6+$M$5*$J$7</f>
        <v>34.704166201298911</v>
      </c>
      <c r="W23" s="38">
        <f>AVERAGE(K23:V23)</f>
        <v>36.556119284420078</v>
      </c>
      <c r="X23" s="37">
        <f>STDEV(K23:V23)/SQRT(COUNT(K23:V23))</f>
        <v>0.8841491527047618</v>
      </c>
      <c r="Y23" s="36">
        <f>MIN(K23:V23)</f>
        <v>33.654092657319495</v>
      </c>
      <c r="Z23" s="35">
        <f>QUARTILE(K23:V23,1)</f>
        <v>34.036529341933949</v>
      </c>
      <c r="AA23" s="36">
        <f>MEDIAN(K23:V23)</f>
        <v>35.321367258600844</v>
      </c>
      <c r="AB23" s="35">
        <f>QUARTILE(K23:V23,3)</f>
        <v>39.458543940252873</v>
      </c>
      <c r="AC23" s="35">
        <f>MAX(K23:V23)</f>
        <v>41.727442511785242</v>
      </c>
      <c r="AD23" s="35">
        <f>SKEW(K23:V23)</f>
        <v>0.69522380305128406</v>
      </c>
      <c r="AE23" s="35">
        <f>KURT(K23:V23)</f>
        <v>-1.3238814471602227</v>
      </c>
    </row>
    <row r="24" spans="2:31" x14ac:dyDescent="0.2">
      <c r="B24" s="34">
        <f>[44]FormattedData!A42</f>
        <v>207</v>
      </c>
      <c r="C24" s="34" t="str">
        <f>VLOOKUP($B24,[44]TrtCodes!$B$11:I85,2)</f>
        <v>FTL</v>
      </c>
      <c r="D24" s="34">
        <f>VLOOKUP($B24,[44]TrtCodes!$B$11:J85,3)</f>
        <v>4</v>
      </c>
      <c r="E24" s="34">
        <f>VLOOKUP($B24,[44]TrtCodes!$B$11:K85,4)</f>
        <v>1</v>
      </c>
      <c r="F24" s="34">
        <f>VLOOKUP($B24,[44]TrtCodes!$B$11:L85,5)</f>
        <v>2</v>
      </c>
      <c r="G24" s="34">
        <f>VLOOKUP($B24,[44]TrtCodes!$B$11:M85,6)</f>
        <v>1</v>
      </c>
      <c r="H24" s="34">
        <f>VLOOKUP($B24,[44]TrtCodes!$B$11:N85,7)</f>
        <v>2</v>
      </c>
      <c r="I24" s="34">
        <f>[44]FormattedData!B42</f>
        <v>1</v>
      </c>
      <c r="J24" s="37">
        <f>[44]FormattedData!C42</f>
        <v>13.233000000000001</v>
      </c>
      <c r="K24" s="39">
        <f>$J$3+[44]FormattedData!D42*$J$4+$M$4*$J$5+[44]FormattedData!D42^2*$J$6+$M$5*$J$7</f>
        <v>43.924675908078662</v>
      </c>
      <c r="L24" s="39">
        <f>$J$3+[44]FormattedData!E42*$J$4+$M$4*$J$5+[44]FormattedData!E42^2*$J$6+$M$5*$J$7</f>
        <v>45.014162602032258</v>
      </c>
      <c r="M24" s="39">
        <f>$J$3+[44]FormattedData!F42*$J$4+$M$4*$J$5+[44]FormattedData!F42^2*$J$6+$M$5*$J$7</f>
        <v>46.547182890533144</v>
      </c>
      <c r="N24" s="39">
        <f>$J$3+[44]FormattedData!G42*$J$4+$M$4*$J$5+[44]FormattedData!G42^2*$J$6+$M$5*$J$7</f>
        <v>46.097562626523754</v>
      </c>
      <c r="O24" s="39">
        <f>$J$3+[44]FormattedData!H42*$J$4+$M$4*$J$5+[44]FormattedData!H42^2*$J$6+$M$5*$J$7</f>
        <v>46.636980137721231</v>
      </c>
      <c r="P24" s="39">
        <f>$J$3+[44]FormattedData!I42*$J$4+$M$4*$J$5+[44]FormattedData!I42^2*$J$6+$M$5*$J$7</f>
        <v>44.65167666732129</v>
      </c>
      <c r="Q24" s="39">
        <f>$J$3+[44]FormattedData!J42*$J$4+$M$4*$J$5+[44]FormattedData!J42^2*$J$6+$M$5*$J$7</f>
        <v>45.46631897831751</v>
      </c>
      <c r="R24" s="39">
        <f>$J$3+[44]FormattedData!K42*$J$4+$M$4*$J$5+[44]FormattedData!K42^2*$J$6+$M$5*$J$7</f>
        <v>43.924675908078662</v>
      </c>
      <c r="S24" s="39">
        <f>$J$3+[44]FormattedData!L42*$J$4+$M$4*$J$5+[44]FormattedData!L42^2*$J$6+$M$5*$J$7</f>
        <v>45.737105581633493</v>
      </c>
      <c r="T24" s="39">
        <f>$J$3+[44]FormattedData!M42*$J$4+$M$4*$J$5+[44]FormattedData!M42^2*$J$6+$M$5*$J$7</f>
        <v>44.833004171752634</v>
      </c>
      <c r="U24" s="39">
        <f>$J$3+[44]FormattedData!N42*$J$4+$M$4*$J$5+[44]FormattedData!N42^2*$J$6+$M$5*$J$7</f>
        <v>44.379368396639784</v>
      </c>
      <c r="V24" s="39">
        <f>$J$3+[44]FormattedData!O42*$J$4+$M$4*$J$5+[44]FormattedData!O42^2*$J$6+$M$5*$J$7</f>
        <v>43.742503032888699</v>
      </c>
      <c r="W24" s="38">
        <f>AVERAGE(K24:V24)</f>
        <v>45.0796014084601</v>
      </c>
      <c r="X24" s="37">
        <f>STDEV(K24:V24)/SQRT(COUNT(K24:V24))</f>
        <v>0.29376613236443883</v>
      </c>
      <c r="Y24" s="36">
        <f>MIN(K24:V24)</f>
        <v>43.742503032888699</v>
      </c>
      <c r="Z24" s="35">
        <f>QUARTILE(K24:V24,1)</f>
        <v>44.265695274499507</v>
      </c>
      <c r="AA24" s="36">
        <f>MEDIAN(K24:V24)</f>
        <v>44.923583386892446</v>
      </c>
      <c r="AB24" s="35">
        <f>QUARTILE(K24:V24,3)</f>
        <v>45.82721984285606</v>
      </c>
      <c r="AC24" s="35">
        <f>MAX(K24:V24)</f>
        <v>46.636980137721231</v>
      </c>
      <c r="AD24" s="35">
        <f>SKEW(K24:V24)</f>
        <v>0.25119737717307938</v>
      </c>
      <c r="AE24" s="35">
        <f>KURT(K24:V24)</f>
        <v>-1.2655609704203079</v>
      </c>
    </row>
    <row r="25" spans="2:31" x14ac:dyDescent="0.2">
      <c r="B25" s="34">
        <f>[44]FormattedData!A44</f>
        <v>208</v>
      </c>
      <c r="C25" s="34" t="str">
        <f>VLOOKUP($B25,[44]TrtCodes!$B$11:I87,2)</f>
        <v>FSL</v>
      </c>
      <c r="D25" s="34">
        <f>VLOOKUP($B25,[44]TrtCodes!$B$11:J87,3)</f>
        <v>2</v>
      </c>
      <c r="E25" s="34">
        <f>VLOOKUP($B25,[44]TrtCodes!$B$11:K87,4)</f>
        <v>1</v>
      </c>
      <c r="F25" s="34">
        <f>VLOOKUP($B25,[44]TrtCodes!$B$11:L87,5)</f>
        <v>1</v>
      </c>
      <c r="G25" s="34">
        <f>VLOOKUP($B25,[44]TrtCodes!$B$11:M87,6)</f>
        <v>1</v>
      </c>
      <c r="H25" s="34">
        <f>VLOOKUP($B25,[44]TrtCodes!$B$11:N87,7)</f>
        <v>2</v>
      </c>
      <c r="I25" s="34">
        <f>[44]FormattedData!B44</f>
        <v>1</v>
      </c>
      <c r="J25" s="37">
        <f>[44]FormattedData!C44</f>
        <v>13.238</v>
      </c>
      <c r="K25" s="39">
        <f>$J$3+[44]FormattedData!D44*$J$4+$M$4*$J$5+[44]FormattedData!D44^2*$J$6+$M$5*$J$7</f>
        <v>42.645915224562685</v>
      </c>
      <c r="L25" s="39">
        <f>$J$3+[44]FormattedData!E44*$J$4+$M$4*$J$5+[44]FormattedData!E44^2*$J$6+$M$5*$J$7</f>
        <v>47.532627840015856</v>
      </c>
      <c r="M25" s="39">
        <f>$J$3+[44]FormattedData!F44*$J$4+$M$4*$J$5+[44]FormattedData!F44^2*$J$6+$M$5*$J$7</f>
        <v>45.556623447960767</v>
      </c>
      <c r="N25" s="39">
        <f>$J$3+[44]FormattedData!G44*$J$4+$M$4*$J$5+[44]FormattedData!G44^2*$J$6+$M$5*$J$7</f>
        <v>46.367461590543186</v>
      </c>
      <c r="O25" s="39">
        <f>$J$3+[44]FormattedData!H44*$J$4+$M$4*$J$5+[44]FormattedData!H44^2*$J$6+$M$5*$J$7</f>
        <v>47.532627840015856</v>
      </c>
      <c r="P25" s="39">
        <f>$J$3+[44]FormattedData!I44*$J$4+$M$4*$J$5+[44]FormattedData!I44^2*$J$6+$M$5*$J$7</f>
        <v>44.833004171752634</v>
      </c>
      <c r="Q25" s="39">
        <f>$J$3+[44]FormattedData!J44*$J$4+$M$4*$J$5+[44]FormattedData!J44^2*$J$6+$M$5*$J$7</f>
        <v>47.174875981553186</v>
      </c>
      <c r="R25" s="39">
        <f>$J$3+[44]FormattedData!K44*$J$4+$M$4*$J$5+[44]FormattedData!K44^2*$J$6+$M$5*$J$7</f>
        <v>47.71125015801961</v>
      </c>
      <c r="S25" s="39">
        <f>$J$3+[44]FormattedData!L44*$J$4+$M$4*$J$5+[44]FormattedData!L44^2*$J$6+$M$5*$J$7</f>
        <v>46.277537537741303</v>
      </c>
      <c r="T25" s="39">
        <f>$J$3+[44]FormattedData!M44*$J$4+$M$4*$J$5+[44]FormattedData!M44^2*$J$6+$M$5*$J$7</f>
        <v>48.868174042595705</v>
      </c>
      <c r="U25" s="39">
        <f>$J$3+[44]FormattedData!N44*$J$4+$M$4*$J$5+[44]FormattedData!N44^2*$J$6+$M$5*$J$7</f>
        <v>46.636980137721231</v>
      </c>
      <c r="V25" s="39">
        <f>$J$3+[44]FormattedData!O44*$J$4+$M$4*$J$5+[44]FormattedData!O44^2*$J$6+$M$5*$J$7</f>
        <v>47.800497914214588</v>
      </c>
      <c r="W25" s="38">
        <f>AVERAGE(K25:V25)</f>
        <v>46.578131323891377</v>
      </c>
      <c r="X25" s="37">
        <f>STDEV(K25:V25)/SQRT(COUNT(K25:V25))</f>
        <v>0.47585757932048156</v>
      </c>
      <c r="Y25" s="36">
        <f>MIN(K25:V25)</f>
        <v>42.645915224562685</v>
      </c>
      <c r="Z25" s="35">
        <f>QUARTILE(K25:V25,1)</f>
        <v>46.097309015296169</v>
      </c>
      <c r="AA25" s="36">
        <f>MEDIAN(K25:V25)</f>
        <v>46.905928059637205</v>
      </c>
      <c r="AB25" s="35">
        <f>QUARTILE(K25:V25,3)</f>
        <v>47.577283419516796</v>
      </c>
      <c r="AC25" s="35">
        <f>MAX(K25:V25)</f>
        <v>48.868174042595705</v>
      </c>
      <c r="AD25" s="35">
        <f>SKEW(K25:V25)</f>
        <v>-1.2171456567597456</v>
      </c>
      <c r="AE25" s="35">
        <f>KURT(K25:V25)</f>
        <v>1.9982881148432554</v>
      </c>
    </row>
    <row r="26" spans="2:31" x14ac:dyDescent="0.2">
      <c r="B26" s="34">
        <f>[44]FormattedData!A62</f>
        <v>301</v>
      </c>
      <c r="C26" s="34" t="str">
        <f>VLOOKUP($B26,[44]TrtCodes!$B$11:I105,2)</f>
        <v>NTL</v>
      </c>
      <c r="D26" s="34">
        <f>VLOOKUP($B26,[44]TrtCodes!$B$11:J105,3)</f>
        <v>10</v>
      </c>
      <c r="E26" s="34">
        <f>VLOOKUP($B26,[44]TrtCodes!$B$11:K105,4)</f>
        <v>2</v>
      </c>
      <c r="F26" s="34">
        <f>VLOOKUP($B26,[44]TrtCodes!$B$11:L105,5)</f>
        <v>2</v>
      </c>
      <c r="G26" s="34">
        <f>VLOOKUP($B26,[44]TrtCodes!$B$11:M105,6)</f>
        <v>1</v>
      </c>
      <c r="H26" s="34">
        <f>VLOOKUP($B26,[44]TrtCodes!$B$11:N105,7)</f>
        <v>3</v>
      </c>
      <c r="I26" s="34">
        <f>[44]FormattedData!B62</f>
        <v>1</v>
      </c>
      <c r="J26" s="37">
        <f>[44]FormattedData!C62</f>
        <v>13.323</v>
      </c>
      <c r="K26" s="39">
        <f>$J$3+[44]FormattedData!D62*$J$4+$M$4*$J$5+[44]FormattedData!D62^2*$J$6+$M$5*$J$7</f>
        <v>36.694649829242039</v>
      </c>
      <c r="L26" s="39">
        <f>$J$3+[44]FormattedData!E62*$J$4+$M$4*$J$5+[44]FormattedData!E62^2*$J$6+$M$5*$J$7</f>
        <v>41.45107646146235</v>
      </c>
      <c r="M26" s="39">
        <f>$J$3+[44]FormattedData!F62*$J$4+$M$4*$J$5+[44]FormattedData!F62^2*$J$6+$M$5*$J$7</f>
        <v>36.316947220875868</v>
      </c>
      <c r="N26" s="39">
        <f>$J$3+[44]FormattedData!G62*$J$4+$M$4*$J$5+[44]FormattedData!G62^2*$J$6+$M$5*$J$7</f>
        <v>43.103566510778982</v>
      </c>
      <c r="O26" s="39">
        <f>$J$3+[44]FormattedData!H62*$J$4+$M$4*$J$5+[44]FormattedData!H62^2*$J$6+$M$5*$J$7</f>
        <v>40.712240511599006</v>
      </c>
      <c r="P26" s="39">
        <f>$J$3+[44]FormattedData!I62*$J$4+$M$4*$J$5+[44]FormattedData!I62^2*$J$6+$M$5*$J$7</f>
        <v>42.09533881935139</v>
      </c>
      <c r="Q26" s="39">
        <f>$J$3+[44]FormattedData!J62*$J$4+$M$4*$J$5+[44]FormattedData!J62^2*$J$6+$M$5*$J$7</f>
        <v>40.249094315451657</v>
      </c>
      <c r="R26" s="39">
        <f>$J$3+[44]FormattedData!K62*$J$4+$M$4*$J$5+[44]FormattedData!K62^2*$J$6+$M$5*$J$7</f>
        <v>42.462558830310634</v>
      </c>
      <c r="S26" s="39">
        <f>$J$3+[44]FormattedData!L62*$J$4+$M$4*$J$5+[44]FormattedData!L62^2*$J$6+$M$5*$J$7</f>
        <v>39.41276824449676</v>
      </c>
      <c r="T26" s="39">
        <f>$J$3+[44]FormattedData!M62*$J$4+$M$4*$J$5+[44]FormattedData!M62^2*$J$6+$M$5*$J$7</f>
        <v>40.341808091756981</v>
      </c>
      <c r="U26" s="39">
        <f>$J$3+[44]FormattedData!N62*$J$4+$M$4*$J$5+[44]FormattedData!N62^2*$J$6+$M$5*$J$7</f>
        <v>41.45107646146235</v>
      </c>
      <c r="V26" s="39">
        <f>$J$3+[44]FormattedData!O62*$J$4+$M$4*$J$5+[44]FormattedData!O62^2*$J$6+$M$5*$J$7</f>
        <v>40.249094315451657</v>
      </c>
      <c r="W26" s="38">
        <f>AVERAGE(K26:V26)</f>
        <v>40.378351634353301</v>
      </c>
      <c r="X26" s="37">
        <f>STDEV(K26:V26)/SQRT(COUNT(K26:V26))</f>
        <v>0.60404875169876304</v>
      </c>
      <c r="Y26" s="36">
        <f>MIN(K26:V26)</f>
        <v>36.316947220875868</v>
      </c>
      <c r="Z26" s="35">
        <f>QUARTILE(K26:V26,1)</f>
        <v>40.040012797712933</v>
      </c>
      <c r="AA26" s="36">
        <f>MEDIAN(K26:V26)</f>
        <v>40.527024301677997</v>
      </c>
      <c r="AB26" s="35">
        <f>QUARTILE(K26:V26,3)</f>
        <v>41.612142050934608</v>
      </c>
      <c r="AC26" s="35">
        <f>MAX(K26:V26)</f>
        <v>43.103566510778982</v>
      </c>
      <c r="AD26" s="35">
        <f>SKEW(K26:V26)</f>
        <v>-0.96473751487701187</v>
      </c>
      <c r="AE26" s="35">
        <f>KURT(K26:V26)</f>
        <v>0.42542793886749042</v>
      </c>
    </row>
    <row r="27" spans="2:31" x14ac:dyDescent="0.2">
      <c r="B27" s="34">
        <f>[44]FormattedData!A64</f>
        <v>302</v>
      </c>
      <c r="C27" s="34" t="str">
        <f>VLOOKUP($B27,[44]TrtCodes!$B$11:I107,2)</f>
        <v>FTL</v>
      </c>
      <c r="D27" s="34">
        <f>VLOOKUP($B27,[44]TrtCodes!$B$11:J107,3)</f>
        <v>4</v>
      </c>
      <c r="E27" s="34">
        <f>VLOOKUP($B27,[44]TrtCodes!$B$11:K107,4)</f>
        <v>1</v>
      </c>
      <c r="F27" s="34">
        <f>VLOOKUP($B27,[44]TrtCodes!$B$11:L107,5)</f>
        <v>2</v>
      </c>
      <c r="G27" s="34">
        <f>VLOOKUP($B27,[44]TrtCodes!$B$11:M107,6)</f>
        <v>1</v>
      </c>
      <c r="H27" s="34">
        <f>VLOOKUP($B27,[44]TrtCodes!$B$11:N107,7)</f>
        <v>3</v>
      </c>
      <c r="I27" s="34">
        <f>[44]FormattedData!B64</f>
        <v>1</v>
      </c>
      <c r="J27" s="37">
        <f>[44]FormattedData!C64</f>
        <v>13.327999999999999</v>
      </c>
      <c r="K27" s="39">
        <f>$J$3+[44]FormattedData!D64*$J$4+$M$4*$J$5+[44]FormattedData!D64^2*$J$6+$M$5*$J$7</f>
        <v>39.505862437643472</v>
      </c>
      <c r="L27" s="39">
        <f>$J$3+[44]FormattedData!E64*$J$4+$M$4*$J$5+[44]FormattedData!E64^2*$J$6+$M$5*$J$7</f>
        <v>49.576576645148627</v>
      </c>
      <c r="M27" s="39">
        <f>$J$3+[44]FormattedData!F64*$J$4+$M$4*$J$5+[44]FormattedData!F64^2*$J$6+$M$5*$J$7</f>
        <v>42.737530018881799</v>
      </c>
      <c r="N27" s="39">
        <f>$J$3+[44]FormattedData!G64*$J$4+$M$4*$J$5+[44]FormattedData!G64^2*$J$6+$M$5*$J$7</f>
        <v>44.923604521161408</v>
      </c>
      <c r="O27" s="39">
        <f>$J$3+[44]FormattedData!H64*$J$4+$M$4*$J$5+[44]FormattedData!H64^2*$J$6+$M$5*$J$7</f>
        <v>43.83361060475265</v>
      </c>
      <c r="P27" s="39">
        <f>$J$3+[44]FormattedData!I64*$J$4+$M$4*$J$5+[44]FormattedData!I64^2*$J$6+$M$5*$J$7</f>
        <v>43.103566510778982</v>
      </c>
      <c r="Q27" s="39">
        <f>$J$3+[44]FormattedData!J64*$J$4+$M$4*$J$5+[44]FormattedData!J64^2*$J$6+$M$5*$J$7</f>
        <v>42.554258161705626</v>
      </c>
      <c r="R27" s="39">
        <f>$J$3+[44]FormattedData!K64*$J$4+$M$4*$J$5+[44]FormattedData!K64^2*$J$6+$M$5*$J$7</f>
        <v>39.784891405856023</v>
      </c>
      <c r="S27" s="39">
        <f>$J$3+[44]FormattedData!L64*$J$4+$M$4*$J$5+[44]FormattedData!L64^2*$J$6+$M$5*$J$7</f>
        <v>39.784891405856023</v>
      </c>
      <c r="T27" s="39">
        <f>$J$3+[44]FormattedData!M64*$J$4+$M$4*$J$5+[44]FormattedData!M64^2*$J$6+$M$5*$J$7</f>
        <v>40.89720311029243</v>
      </c>
      <c r="U27" s="39">
        <f>$J$3+[44]FormattedData!N64*$J$4+$M$4*$J$5+[44]FormattedData!N64^2*$J$6+$M$5*$J$7</f>
        <v>39.784891405856023</v>
      </c>
      <c r="V27" s="39">
        <f>$J$3+[44]FormattedData!O64*$J$4+$M$4*$J$5+[44]FormattedData!O64^2*$J$6+$M$5*$J$7</f>
        <v>42.829102544662994</v>
      </c>
      <c r="W27" s="38">
        <f>AVERAGE(K27:V27)</f>
        <v>42.442999064382995</v>
      </c>
      <c r="X27" s="37">
        <f>STDEV(K27:V27)/SQRT(COUNT(K27:V27))</f>
        <v>0.83426864621966068</v>
      </c>
      <c r="Y27" s="36">
        <f>MIN(K27:V27)</f>
        <v>39.505862437643472</v>
      </c>
      <c r="Z27" s="35">
        <f>QUARTILE(K27:V27,1)</f>
        <v>39.784891405856023</v>
      </c>
      <c r="AA27" s="36">
        <f>MEDIAN(K27:V27)</f>
        <v>42.645894090293709</v>
      </c>
      <c r="AB27" s="35">
        <f>QUARTILE(K27:V27,3)</f>
        <v>43.286077534272401</v>
      </c>
      <c r="AC27" s="35">
        <f>MAX(K27:V27)</f>
        <v>49.576576645148627</v>
      </c>
      <c r="AD27" s="35">
        <f>SKEW(K27:V27)</f>
        <v>1.3376379080547409</v>
      </c>
      <c r="AE27" s="35">
        <f>KURT(K27:V27)</f>
        <v>2.4301539015906517</v>
      </c>
    </row>
    <row r="28" spans="2:31" x14ac:dyDescent="0.2">
      <c r="B28" s="34">
        <f>[44]FormattedData!A66</f>
        <v>303</v>
      </c>
      <c r="C28" s="34" t="str">
        <f>VLOOKUP($B28,[44]TrtCodes!$B$11:I109,2)</f>
        <v>NSL</v>
      </c>
      <c r="D28" s="34">
        <f>VLOOKUP($B28,[44]TrtCodes!$B$11:J109,3)</f>
        <v>8</v>
      </c>
      <c r="E28" s="34">
        <f>VLOOKUP($B28,[44]TrtCodes!$B$11:K109,4)</f>
        <v>2</v>
      </c>
      <c r="F28" s="34">
        <f>VLOOKUP($B28,[44]TrtCodes!$B$11:L109,5)</f>
        <v>1</v>
      </c>
      <c r="G28" s="34">
        <f>VLOOKUP($B28,[44]TrtCodes!$B$11:M109,6)</f>
        <v>1</v>
      </c>
      <c r="H28" s="34">
        <f>VLOOKUP($B28,[44]TrtCodes!$B$11:N109,7)</f>
        <v>3</v>
      </c>
      <c r="I28" s="34">
        <f>[44]FormattedData!B66</f>
        <v>1</v>
      </c>
      <c r="J28" s="37">
        <f>[44]FormattedData!C66</f>
        <v>13.333</v>
      </c>
      <c r="K28" s="39">
        <f>$J$3+[44]FormattedData!D66*$J$4+$M$4*$J$5+[44]FormattedData!D66^2*$J$6+$M$5*$J$7</f>
        <v>38.946663250694229</v>
      </c>
      <c r="L28" s="39">
        <f>$J$3+[44]FormattedData!E66*$J$4+$M$4*$J$5+[44]FormattedData!E66^2*$J$6+$M$5*$J$7</f>
        <v>40.527108838753861</v>
      </c>
      <c r="M28" s="39">
        <f>$J$3+[44]FormattedData!F66*$J$4+$M$4*$J$5+[44]FormattedData!F66^2*$J$6+$M$5*$J$7</f>
        <v>35.938568315902785</v>
      </c>
      <c r="N28" s="39">
        <f>$J$3+[44]FormattedData!G66*$J$4+$M$4*$J$5+[44]FormattedData!G66^2*$J$6+$M$5*$J$7</f>
        <v>34.513624155598578</v>
      </c>
      <c r="O28" s="39">
        <f>$J$3+[44]FormattedData!H66*$J$4+$M$4*$J$5+[44]FormattedData!H66^2*$J$6+$M$5*$J$7</f>
        <v>35.8438679183147</v>
      </c>
      <c r="P28" s="39">
        <f>$J$3+[44]FormattedData!I66*$J$4+$M$4*$J$5+[44]FormattedData!I66^2*$J$6+$M$5*$J$7</f>
        <v>34.989662255814928</v>
      </c>
      <c r="Q28" s="39">
        <f>$J$3+[44]FormattedData!J66*$J$4+$M$4*$J$5+[44]FormattedData!J66^2*$J$6+$M$5*$J$7</f>
        <v>38.011283122744331</v>
      </c>
      <c r="R28" s="39">
        <f>$J$3+[44]FormattedData!K66*$J$4+$M$4*$J$5+[44]FormattedData!K66^2*$J$6+$M$5*$J$7</f>
        <v>35.274777893489571</v>
      </c>
      <c r="S28" s="39">
        <f>$J$3+[44]FormattedData!L66*$J$4+$M$4*$J$5+[44]FormattedData!L66^2*$J$6+$M$5*$J$7</f>
        <v>38.292340980777574</v>
      </c>
      <c r="T28" s="39">
        <f>$J$3+[44]FormattedData!M66*$J$4+$M$4*$J$5+[44]FormattedData!M66^2*$J$6+$M$5*$J$7</f>
        <v>35.938568315902785</v>
      </c>
      <c r="U28" s="39">
        <f>$J$3+[44]FormattedData!N66*$J$4+$M$4*$J$5+[44]FormattedData!N66^2*$J$6+$M$5*$J$7</f>
        <v>37.917512632990714</v>
      </c>
      <c r="V28" s="39">
        <f>$J$3+[44]FormattedData!O66*$J$4+$M$4*$J$5+[44]FormattedData!O66^2*$J$6+$M$5*$J$7</f>
        <v>35.749125252188669</v>
      </c>
      <c r="W28" s="38">
        <f>AVERAGE(K28:V28)</f>
        <v>36.828591911097725</v>
      </c>
      <c r="X28" s="37">
        <f>STDEV(K28:V28)/SQRT(COUNT(K28:V28))</f>
        <v>0.5348931601087108</v>
      </c>
      <c r="Y28" s="36">
        <f>MIN(K28:V28)</f>
        <v>34.513624155598578</v>
      </c>
      <c r="Z28" s="35">
        <f>QUARTILE(K28:V28,1)</f>
        <v>35.630538412513893</v>
      </c>
      <c r="AA28" s="36">
        <f>MEDIAN(K28:V28)</f>
        <v>35.938568315902785</v>
      </c>
      <c r="AB28" s="35">
        <f>QUARTILE(K28:V28,3)</f>
        <v>38.081547587252643</v>
      </c>
      <c r="AC28" s="35">
        <f>MAX(K28:V28)</f>
        <v>40.527108838753861</v>
      </c>
      <c r="AD28" s="35">
        <f>SKEW(K28:V28)</f>
        <v>0.68895841984959705</v>
      </c>
      <c r="AE28" s="35">
        <f>KURT(K28:V28)</f>
        <v>-0.49445157468107581</v>
      </c>
    </row>
    <row r="29" spans="2:31" x14ac:dyDescent="0.2">
      <c r="B29" s="34">
        <f>[44]FormattedData!A68</f>
        <v>304</v>
      </c>
      <c r="C29" s="34" t="str">
        <f>VLOOKUP($B29,[44]TrtCodes!$B$11:I111,2)</f>
        <v>FSL</v>
      </c>
      <c r="D29" s="34">
        <f>VLOOKUP($B29,[44]TrtCodes!$B$11:J111,3)</f>
        <v>2</v>
      </c>
      <c r="E29" s="34">
        <f>VLOOKUP($B29,[44]TrtCodes!$B$11:K111,4)</f>
        <v>1</v>
      </c>
      <c r="F29" s="34">
        <f>VLOOKUP($B29,[44]TrtCodes!$B$11:L111,5)</f>
        <v>1</v>
      </c>
      <c r="G29" s="34">
        <f>VLOOKUP($B29,[44]TrtCodes!$B$11:M111,6)</f>
        <v>1</v>
      </c>
      <c r="H29" s="34">
        <f>VLOOKUP($B29,[44]TrtCodes!$B$11:N111,7)</f>
        <v>3</v>
      </c>
      <c r="I29" s="34">
        <f>[44]FormattedData!B68</f>
        <v>1</v>
      </c>
      <c r="J29" s="37">
        <f>[44]FormattedData!C68</f>
        <v>13.339</v>
      </c>
      <c r="K29" s="39">
        <f>$J$3+[44]FormattedData!D68*$J$4+$M$4*$J$5+[44]FormattedData!D68^2*$J$6+$M$5*$J$7</f>
        <v>38.292340980777574</v>
      </c>
      <c r="L29" s="39">
        <f>$J$3+[44]FormattedData!E68*$J$4+$M$4*$J$5+[44]FormattedData!E68^2*$J$6+$M$5*$J$7</f>
        <v>43.19496996240845</v>
      </c>
      <c r="M29" s="39">
        <f>$J$3+[44]FormattedData!F68*$J$4+$M$4*$J$5+[44]FormattedData!F68^2*$J$6+$M$5*$J$7</f>
        <v>43.83361060475265</v>
      </c>
      <c r="N29" s="39">
        <f>$J$3+[44]FormattedData!G68*$J$4+$M$4*$J$5+[44]FormattedData!G68^2*$J$6+$M$5*$J$7</f>
        <v>44.560949512298727</v>
      </c>
      <c r="O29" s="39">
        <f>$J$3+[44]FormattedData!H68*$J$4+$M$4*$J$5+[44]FormattedData!H68^2*$J$6+$M$5*$J$7</f>
        <v>48.779433508855902</v>
      </c>
      <c r="P29" s="39">
        <f>$J$3+[44]FormattedData!I68*$J$4+$M$4*$J$5+[44]FormattedData!I68^2*$J$6+$M$5*$J$7</f>
        <v>40.989621006832245</v>
      </c>
      <c r="Q29" s="39">
        <f>$J$3+[44]FormattedData!J68*$J$4+$M$4*$J$5+[44]FormattedData!J68^2*$J$6+$M$5*$J$7</f>
        <v>46.097562626523754</v>
      </c>
      <c r="R29" s="39">
        <f>$J$3+[44]FormattedData!K68*$J$4+$M$4*$J$5+[44]FormattedData!K68^2*$J$6+$M$5*$J$7</f>
        <v>42.829102544662994</v>
      </c>
      <c r="S29" s="39">
        <f>$J$3+[44]FormattedData!L68*$J$4+$M$4*$J$5+[44]FormattedData!L68^2*$J$6+$M$5*$J$7</f>
        <v>45.917418641154491</v>
      </c>
      <c r="T29" s="39">
        <f>$J$3+[44]FormattedData!M68*$J$4+$M$4*$J$5+[44]FormattedData!M68^2*$J$6+$M$5*$J$7</f>
        <v>43.83361060475265</v>
      </c>
      <c r="U29" s="39">
        <f>$J$3+[44]FormattedData!N68*$J$4+$M$4*$J$5+[44]FormattedData!N68^2*$J$6+$M$5*$J$7</f>
        <v>44.833004171752634</v>
      </c>
      <c r="V29" s="39">
        <f>$J$3+[44]FormattedData!O68*$J$4+$M$4*$J$5+[44]FormattedData!O68^2*$J$6+$M$5*$J$7</f>
        <v>42.920632801906258</v>
      </c>
      <c r="W29" s="38">
        <f>AVERAGE(K29:V29)</f>
        <v>43.840188080556523</v>
      </c>
      <c r="X29" s="37">
        <f>STDEV(K29:V29)/SQRT(COUNT(K29:V29))</f>
        <v>0.76128162360617557</v>
      </c>
      <c r="Y29" s="36">
        <f>MIN(K29:V29)</f>
        <v>38.292340980777574</v>
      </c>
      <c r="Z29" s="35">
        <f>QUARTILE(K29:V29,1)</f>
        <v>42.897750237595446</v>
      </c>
      <c r="AA29" s="36">
        <f>MEDIAN(K29:V29)</f>
        <v>43.83361060475265</v>
      </c>
      <c r="AB29" s="35">
        <f>QUARTILE(K29:V29,3)</f>
        <v>45.104107789103097</v>
      </c>
      <c r="AC29" s="35">
        <f>MAX(K29:V29)</f>
        <v>48.779433508855902</v>
      </c>
      <c r="AD29" s="35">
        <f>SKEW(K29:V29)</f>
        <v>-0.31929668749065759</v>
      </c>
      <c r="AE29" s="35">
        <f>KURT(K29:V29)</f>
        <v>1.3627637037962623</v>
      </c>
    </row>
    <row r="30" spans="2:31" x14ac:dyDescent="0.2">
      <c r="B30" s="34">
        <f>[44]FormattedData!A70</f>
        <v>305</v>
      </c>
      <c r="C30" s="34" t="str">
        <f>VLOOKUP($B30,[44]TrtCodes!$B$11:I113,2)</f>
        <v>NDH</v>
      </c>
      <c r="D30" s="34">
        <f>VLOOKUP($B30,[44]TrtCodes!$B$11:J113,3)</f>
        <v>11</v>
      </c>
      <c r="E30" s="34">
        <f>VLOOKUP($B30,[44]TrtCodes!$B$11:K113,4)</f>
        <v>2</v>
      </c>
      <c r="F30" s="34">
        <f>VLOOKUP($B30,[44]TrtCodes!$B$11:L113,5)</f>
        <v>3</v>
      </c>
      <c r="G30" s="34">
        <f>VLOOKUP($B30,[44]TrtCodes!$B$11:M113,6)</f>
        <v>2</v>
      </c>
      <c r="H30" s="34">
        <f>VLOOKUP($B30,[44]TrtCodes!$B$11:N113,7)</f>
        <v>4</v>
      </c>
      <c r="I30" s="34">
        <f>[44]FormattedData!B70</f>
        <v>1</v>
      </c>
      <c r="J30" s="37">
        <f>[44]FormattedData!C70</f>
        <v>13.343999999999999</v>
      </c>
      <c r="K30" s="39">
        <f>$J$3+[44]FormattedData!D70*$J$4+$M$4*$J$5+[44]FormattedData!D70^2*$J$6+$M$5*$J$7</f>
        <v>52.03468241096656</v>
      </c>
      <c r="L30" s="39">
        <f>$J$3+[44]FormattedData!E70*$J$4+$M$4*$J$5+[44]FormattedData!E70^2*$J$6+$M$5*$J$7</f>
        <v>50.282274061273959</v>
      </c>
      <c r="M30" s="39">
        <f>$J$3+[44]FormattedData!F70*$J$4+$M$4*$J$5+[44]FormattedData!F70^2*$J$6+$M$5*$J$7</f>
        <v>53.164681236880519</v>
      </c>
      <c r="N30" s="39">
        <f>$J$3+[44]FormattedData!G70*$J$4+$M$4*$J$5+[44]FormattedData!G70^2*$J$6+$M$5*$J$7</f>
        <v>53.251308343723771</v>
      </c>
      <c r="O30" s="39">
        <f>$J$3+[44]FormattedData!H70*$J$4+$M$4*$J$5+[44]FormattedData!H70^2*$J$6+$M$5*$J$7</f>
        <v>50.282274061273959</v>
      </c>
      <c r="P30" s="39">
        <f>$J$3+[44]FormattedData!I70*$J$4+$M$4*$J$5+[44]FormattedData!I70^2*$J$6+$M$5*$J$7</f>
        <v>52.296085398861827</v>
      </c>
      <c r="Q30" s="39">
        <f>$J$3+[44]FormattedData!J70*$J$4+$M$4*$J$5+[44]FormattedData!J70^2*$J$6+$M$5*$J$7</f>
        <v>52.296085398861827</v>
      </c>
      <c r="R30" s="39">
        <f>$J$3+[44]FormattedData!K70*$J$4+$M$4*$J$5+[44]FormattedData!K70^2*$J$6+$M$5*$J$7</f>
        <v>52.470142714769011</v>
      </c>
      <c r="S30" s="39">
        <f>$J$3+[44]FormattedData!L70*$J$4+$M$4*$J$5+[44]FormattedData!L70^2*$J$6+$M$5*$J$7</f>
        <v>50.194209824141048</v>
      </c>
      <c r="T30" s="39">
        <f>$J$3+[44]FormattedData!M70*$J$4+$M$4*$J$5+[44]FormattedData!M70^2*$J$6+$M$5*$J$7</f>
        <v>51.77289900622992</v>
      </c>
      <c r="U30" s="39">
        <f>$J$3+[44]FormattedData!N70*$J$4+$M$4*$J$5+[44]FormattedData!N70^2*$J$6+$M$5*$J$7</f>
        <v>49.222713492175615</v>
      </c>
      <c r="V30" s="39">
        <f>$J$3+[44]FormattedData!O70*$J$4+$M$4*$J$5+[44]FormattedData!O70^2*$J$6+$M$5*$J$7</f>
        <v>51.423262707050014</v>
      </c>
      <c r="W30" s="38">
        <f>AVERAGE(K30:V30)</f>
        <v>51.557551554684004</v>
      </c>
      <c r="X30" s="37">
        <f>STDEV(K30:V30)/SQRT(COUNT(K30:V30))</f>
        <v>0.37162890495303502</v>
      </c>
      <c r="Y30" s="36">
        <f>MIN(K30:V30)</f>
        <v>49.222713492175615</v>
      </c>
      <c r="Z30" s="35">
        <f>QUARTILE(K30:V30,1)</f>
        <v>50.282274061273959</v>
      </c>
      <c r="AA30" s="36">
        <f>MEDIAN(K30:V30)</f>
        <v>51.903790708598237</v>
      </c>
      <c r="AB30" s="35">
        <f>QUARTILE(K30:V30,3)</f>
        <v>52.339599727838625</v>
      </c>
      <c r="AC30" s="35">
        <f>MAX(K30:V30)</f>
        <v>53.251308343723771</v>
      </c>
      <c r="AD30" s="35">
        <f>SKEW(K30:V30)</f>
        <v>-0.44578810110009298</v>
      </c>
      <c r="AE30" s="35">
        <f>KURT(K30:V30)</f>
        <v>-0.89474216337690615</v>
      </c>
    </row>
    <row r="31" spans="2:31" x14ac:dyDescent="0.2">
      <c r="B31" s="34">
        <f>[44]FormattedData!A72</f>
        <v>306</v>
      </c>
      <c r="C31" s="34" t="str">
        <f>VLOOKUP($B31,[44]TrtCodes!$B$11:I115,2)</f>
        <v>FTL</v>
      </c>
      <c r="D31" s="34">
        <f>VLOOKUP($B31,[44]TrtCodes!$B$11:J115,3)</f>
        <v>4</v>
      </c>
      <c r="E31" s="34">
        <f>VLOOKUP($B31,[44]TrtCodes!$B$11:K115,4)</f>
        <v>1</v>
      </c>
      <c r="F31" s="34">
        <f>VLOOKUP($B31,[44]TrtCodes!$B$11:L115,5)</f>
        <v>2</v>
      </c>
      <c r="G31" s="34">
        <f>VLOOKUP($B31,[44]TrtCodes!$B$11:M115,6)</f>
        <v>1</v>
      </c>
      <c r="H31" s="34">
        <f>VLOOKUP($B31,[44]TrtCodes!$B$11:N115,7)</f>
        <v>4</v>
      </c>
      <c r="I31" s="34">
        <f>[44]FormattedData!B72</f>
        <v>1</v>
      </c>
      <c r="J31" s="37">
        <f>[44]FormattedData!C72</f>
        <v>13.35</v>
      </c>
      <c r="K31" s="39">
        <f>$J$3+[44]FormattedData!D72*$J$4+$M$4*$J$5+[44]FormattedData!D72^2*$J$6+$M$5*$J$7</f>
        <v>38.479501543443419</v>
      </c>
      <c r="L31" s="39">
        <f>$J$3+[44]FormattedData!E72*$J$4+$M$4*$J$5+[44]FormattedData!E72^2*$J$6+$M$5*$J$7</f>
        <v>44.65167666732129</v>
      </c>
      <c r="M31" s="39">
        <f>$J$3+[44]FormattedData!F72*$J$4+$M$4*$J$5+[44]FormattedData!F72^2*$J$6+$M$5*$J$7</f>
        <v>45.104678414365168</v>
      </c>
      <c r="N31" s="39">
        <f>$J$3+[44]FormattedData!G72*$J$4+$M$4*$J$5+[44]FormattedData!G72^2*$J$6+$M$5*$J$7</f>
        <v>44.379368396639784</v>
      </c>
      <c r="O31" s="39">
        <f>$J$3+[44]FormattedData!H72*$J$4+$M$4*$J$5+[44]FormattedData!H72^2*$J$6+$M$5*$J$7</f>
        <v>43.560161083547008</v>
      </c>
      <c r="P31" s="39">
        <f>$J$3+[44]FormattedData!I72*$J$4+$M$4*$J$5+[44]FormattedData!I72^2*$J$6+$M$5*$J$7</f>
        <v>45.375972240136321</v>
      </c>
      <c r="Q31" s="39">
        <f>$J$3+[44]FormattedData!J72*$J$4+$M$4*$J$5+[44]FormattedData!J72^2*$J$6+$M$5*$J$7</f>
        <v>42.462558830310634</v>
      </c>
      <c r="R31" s="39">
        <f>$J$3+[44]FormattedData!K72*$J$4+$M$4*$J$5+[44]FormattedData!K72^2*$J$6+$M$5*$J$7</f>
        <v>43.012120790611583</v>
      </c>
      <c r="S31" s="39">
        <f>$J$3+[44]FormattedData!L72*$J$4+$M$4*$J$5+[44]FormattedData!L72^2*$J$6+$M$5*$J$7</f>
        <v>40.156338270608387</v>
      </c>
      <c r="T31" s="39">
        <f>$J$3+[44]FormattedData!M72*$J$4+$M$4*$J$5+[44]FormattedData!M72^2*$J$6+$M$5*$J$7</f>
        <v>43.012120790611583</v>
      </c>
      <c r="U31" s="39">
        <f>$J$3+[44]FormattedData!N72*$J$4+$M$4*$J$5+[44]FormattedData!N72^2*$J$6+$M$5*$J$7</f>
        <v>40.063539957227199</v>
      </c>
      <c r="V31" s="39">
        <f>$J$3+[44]FormattedData!O72*$J$4+$M$4*$J$5+[44]FormattedData!O72^2*$J$6+$M$5*$J$7</f>
        <v>42.370817230377725</v>
      </c>
      <c r="W31" s="38">
        <f>AVERAGE(K31:V31)</f>
        <v>42.719071184600004</v>
      </c>
      <c r="X31" s="37">
        <f>STDEV(K31:V31)/SQRT(COUNT(K31:V31))</f>
        <v>0.62705094069445799</v>
      </c>
      <c r="Y31" s="36">
        <f>MIN(K31:V31)</f>
        <v>38.479501543443419</v>
      </c>
      <c r="Z31" s="35">
        <f>QUARTILE(K31:V31,1)</f>
        <v>41.81719749043539</v>
      </c>
      <c r="AA31" s="36">
        <f>MEDIAN(K31:V31)</f>
        <v>43.012120790611583</v>
      </c>
      <c r="AB31" s="35">
        <f>QUARTILE(K31:V31,3)</f>
        <v>44.447445464310164</v>
      </c>
      <c r="AC31" s="35">
        <f>MAX(K31:V31)</f>
        <v>45.375972240136321</v>
      </c>
      <c r="AD31" s="35">
        <f>SKEW(K31:V31)</f>
        <v>-0.71364150790651537</v>
      </c>
      <c r="AE31" s="35">
        <f>KURT(K31:V31)</f>
        <v>-0.351117562742429</v>
      </c>
    </row>
    <row r="32" spans="2:31" x14ac:dyDescent="0.2">
      <c r="B32" s="34">
        <f>[44]FormattedData!A74</f>
        <v>307</v>
      </c>
      <c r="C32" s="34" t="str">
        <f>VLOOKUP($B32,[44]TrtCodes!$B$11:I117,2)</f>
        <v>NTH</v>
      </c>
      <c r="D32" s="34">
        <f>VLOOKUP($B32,[44]TrtCodes!$B$11:J117,3)</f>
        <v>9</v>
      </c>
      <c r="E32" s="34">
        <f>VLOOKUP($B32,[44]TrtCodes!$B$11:K117,4)</f>
        <v>2</v>
      </c>
      <c r="F32" s="34">
        <f>VLOOKUP($B32,[44]TrtCodes!$B$11:L117,5)</f>
        <v>2</v>
      </c>
      <c r="G32" s="34">
        <f>VLOOKUP($B32,[44]TrtCodes!$B$11:M117,6)</f>
        <v>2</v>
      </c>
      <c r="H32" s="34">
        <f>VLOOKUP($B32,[44]TrtCodes!$B$11:N117,7)</f>
        <v>4</v>
      </c>
      <c r="I32" s="34">
        <f>[44]FormattedData!B74</f>
        <v>1</v>
      </c>
      <c r="J32" s="37">
        <f>[44]FormattedData!C74</f>
        <v>13.355</v>
      </c>
      <c r="K32" s="39">
        <f>$J$3+[44]FormattedData!D74*$J$4+$M$4*$J$5+[44]FormattedData!D74^2*$J$6+$M$5*$J$7</f>
        <v>39.970699375308072</v>
      </c>
      <c r="L32" s="39">
        <f>$J$3+[44]FormattedData!E74*$J$4+$M$4*$J$5+[44]FormattedData!E74^2*$J$6+$M$5*$J$7</f>
        <v>46.277537537741303</v>
      </c>
      <c r="M32" s="39">
        <f>$J$3+[44]FormattedData!F74*$J$4+$M$4*$J$5+[44]FormattedData!F74^2*$J$6+$M$5*$J$7</f>
        <v>41.635362763548869</v>
      </c>
      <c r="N32" s="39">
        <f>$J$3+[44]FormattedData!G74*$J$4+$M$4*$J$5+[44]FormattedData!G74^2*$J$6+$M$5*$J$7</f>
        <v>45.104678414365168</v>
      </c>
      <c r="O32" s="39">
        <f>$J$3+[44]FormattedData!H74*$J$4+$M$4*$J$5+[44]FormattedData!H74^2*$J$6+$M$5*$J$7</f>
        <v>40.89720311029243</v>
      </c>
      <c r="P32" s="39">
        <f>$J$3+[44]FormattedData!I74*$J$4+$M$4*$J$5+[44]FormattedData!I74^2*$J$6+$M$5*$J$7</f>
        <v>45.917418641154491</v>
      </c>
      <c r="Q32" s="39">
        <f>$J$3+[44]FormattedData!J74*$J$4+$M$4*$J$5+[44]FormattedData!J74^2*$J$6+$M$5*$J$7</f>
        <v>44.379368396639784</v>
      </c>
      <c r="R32" s="39">
        <f>$J$3+[44]FormattedData!K74*$J$4+$M$4*$J$5+[44]FormattedData!K74^2*$J$6+$M$5*$J$7</f>
        <v>45.104678414365168</v>
      </c>
      <c r="S32" s="39">
        <f>$J$3+[44]FormattedData!L74*$J$4+$M$4*$J$5+[44]FormattedData!L74^2*$J$6+$M$5*$J$7</f>
        <v>43.37765006005359</v>
      </c>
      <c r="T32" s="39">
        <f>$J$3+[44]FormattedData!M74*$J$4+$M$4*$J$5+[44]FormattedData!M74^2*$J$6+$M$5*$J$7</f>
        <v>45.737105581633493</v>
      </c>
      <c r="U32" s="39">
        <f>$J$3+[44]FormattedData!N74*$J$4+$M$4*$J$5+[44]FormattedData!N74^2*$J$6+$M$5*$J$7</f>
        <v>41.819479991483675</v>
      </c>
      <c r="V32" s="39">
        <f>$J$3+[44]FormattedData!O74*$J$4+$M$4*$J$5+[44]FormattedData!O74^2*$J$6+$M$5*$J$7</f>
        <v>43.468926706069261</v>
      </c>
      <c r="W32" s="38">
        <f>AVERAGE(K32:V32)</f>
        <v>43.640842416054603</v>
      </c>
      <c r="X32" s="37">
        <f>STDEV(K32:V32)/SQRT(COUNT(K32:V32))</f>
        <v>0.61420047525582955</v>
      </c>
      <c r="Y32" s="36">
        <f>MIN(K32:V32)</f>
        <v>39.970699375308072</v>
      </c>
      <c r="Z32" s="35">
        <f>QUARTILE(K32:V32,1)</f>
        <v>41.773450684499977</v>
      </c>
      <c r="AA32" s="36">
        <f>MEDIAN(K32:V32)</f>
        <v>43.924147551354523</v>
      </c>
      <c r="AB32" s="35">
        <f>QUARTILE(K32:V32,3)</f>
        <v>45.262785206182251</v>
      </c>
      <c r="AC32" s="35">
        <f>MAX(K32:V32)</f>
        <v>46.277537537741303</v>
      </c>
      <c r="AD32" s="35">
        <f>SKEW(K32:V32)</f>
        <v>-0.43269935497656586</v>
      </c>
      <c r="AE32" s="35">
        <f>KURT(K32:V32)</f>
        <v>-1.1938695948802587</v>
      </c>
    </row>
    <row r="33" spans="2:31" x14ac:dyDescent="0.2">
      <c r="B33" s="34">
        <f>[44]FormattedData!A76</f>
        <v>308</v>
      </c>
      <c r="C33" s="34" t="str">
        <f>VLOOKUP($B33,[44]TrtCodes!$B$11:I119,2)</f>
        <v>FDH</v>
      </c>
      <c r="D33" s="34">
        <f>VLOOKUP($B33,[44]TrtCodes!$B$11:J119,3)</f>
        <v>5</v>
      </c>
      <c r="E33" s="34">
        <f>VLOOKUP($B33,[44]TrtCodes!$B$11:K119,4)</f>
        <v>1</v>
      </c>
      <c r="F33" s="34">
        <f>VLOOKUP($B33,[44]TrtCodes!$B$11:L119,5)</f>
        <v>3</v>
      </c>
      <c r="G33" s="34">
        <f>VLOOKUP($B33,[44]TrtCodes!$B$11:M119,6)</f>
        <v>2</v>
      </c>
      <c r="H33" s="34">
        <f>VLOOKUP($B33,[44]TrtCodes!$B$11:N119,7)</f>
        <v>4</v>
      </c>
      <c r="I33" s="34">
        <f>[44]FormattedData!B76</f>
        <v>1</v>
      </c>
      <c r="J33" s="37">
        <f>[44]FormattedData!C76</f>
        <v>13.361000000000001</v>
      </c>
      <c r="K33" s="39">
        <f>$J$3+[44]FormattedData!D76*$J$4+$M$4*$J$5+[44]FormattedData!D76^2*$J$6+$M$5*$J$7</f>
        <v>45.104678414365168</v>
      </c>
      <c r="L33" s="39">
        <f>$J$3+[44]FormattedData!E76*$J$4+$M$4*$J$5+[44]FormattedData!E76^2*$J$6+$M$5*$J$7</f>
        <v>44.560949512298727</v>
      </c>
      <c r="M33" s="39">
        <f>$J$3+[44]FormattedData!F76*$J$4+$M$4*$J$5+[44]FormattedData!F76^2*$J$6+$M$5*$J$7</f>
        <v>43.468926706069261</v>
      </c>
      <c r="N33" s="39">
        <f>$J$3+[44]FormattedData!G76*$J$4+$M$4*$J$5+[44]FormattedData!G76^2*$J$6+$M$5*$J$7</f>
        <v>43.19496996240845</v>
      </c>
      <c r="O33" s="39">
        <f>$J$3+[44]FormattedData!H76*$J$4+$M$4*$J$5+[44]FormattedData!H76^2*$J$6+$M$5*$J$7</f>
        <v>44.197618206829134</v>
      </c>
      <c r="P33" s="39">
        <f>$J$3+[44]FormattedData!I76*$J$4+$M$4*$J$5+[44]FormattedData!I76^2*$J$6+$M$5*$J$7</f>
        <v>44.923604521161408</v>
      </c>
      <c r="Q33" s="39">
        <f>$J$3+[44]FormattedData!J76*$J$4+$M$4*$J$5+[44]FormattedData!J76^2*$J$6+$M$5*$J$7</f>
        <v>45.646885649066093</v>
      </c>
      <c r="R33" s="39">
        <f>$J$3+[44]FormattedData!K76*$J$4+$M$4*$J$5+[44]FormattedData!K76^2*$J$6+$M$5*$J$7</f>
        <v>45.46631897831751</v>
      </c>
      <c r="S33" s="39">
        <f>$J$3+[44]FormattedData!L76*$J$4+$M$4*$J$5+[44]FormattedData!L76^2*$J$6+$M$5*$J$7</f>
        <v>45.375972240136321</v>
      </c>
      <c r="T33" s="39">
        <f>$J$3+[44]FormattedData!M76*$J$4+$M$4*$J$5+[44]FormattedData!M76^2*$J$6+$M$5*$J$7</f>
        <v>43.286331145499986</v>
      </c>
      <c r="U33" s="39">
        <f>$J$3+[44]FormattedData!N76*$J$4+$M$4*$J$5+[44]FormattedData!N76^2*$J$6+$M$5*$J$7</f>
        <v>43.468926706069261</v>
      </c>
      <c r="V33" s="39">
        <f>$J$3+[44]FormattedData!O76*$J$4+$M$4*$J$5+[44]FormattedData!O76^2*$J$6+$M$5*$J$7</f>
        <v>43.924675908078662</v>
      </c>
      <c r="W33" s="38">
        <f>AVERAGE(K33:V33)</f>
        <v>44.384988162524998</v>
      </c>
      <c r="X33" s="37">
        <f>STDEV(K33:V33)/SQRT(COUNT(K33:V33))</f>
        <v>0.26301367766548867</v>
      </c>
      <c r="Y33" s="36">
        <f>MIN(K33:V33)</f>
        <v>43.19496996240845</v>
      </c>
      <c r="Z33" s="35">
        <f>QUARTILE(K33:V33,1)</f>
        <v>43.468926706069261</v>
      </c>
      <c r="AA33" s="36">
        <f>MEDIAN(K33:V33)</f>
        <v>44.379283859563927</v>
      </c>
      <c r="AB33" s="35">
        <f>QUARTILE(K33:V33,3)</f>
        <v>45.172501870807956</v>
      </c>
      <c r="AC33" s="35">
        <f>MAX(K33:V33)</f>
        <v>45.646885649066093</v>
      </c>
      <c r="AD33" s="35">
        <f>SKEW(K33:V33)</f>
        <v>1.8538782943280093E-2</v>
      </c>
      <c r="AE33" s="35">
        <f>KURT(K33:V33)</f>
        <v>-1.7151270684234396</v>
      </c>
    </row>
    <row r="34" spans="2:31" x14ac:dyDescent="0.2">
      <c r="B34" s="34">
        <f>[44]FormattedData!A92</f>
        <v>401</v>
      </c>
      <c r="C34" s="34" t="str">
        <f>VLOOKUP($B34,[44]TrtCodes!$B$11:I129,2)</f>
        <v>NSH</v>
      </c>
      <c r="D34" s="34">
        <f>VLOOKUP($B34,[44]TrtCodes!$B$11:J129,3)</f>
        <v>7</v>
      </c>
      <c r="E34" s="34">
        <f>VLOOKUP($B34,[44]TrtCodes!$B$11:K129,4)</f>
        <v>2</v>
      </c>
      <c r="F34" s="34">
        <f>VLOOKUP($B34,[44]TrtCodes!$B$11:L129,5)</f>
        <v>1</v>
      </c>
      <c r="G34" s="34">
        <f>VLOOKUP($B34,[44]TrtCodes!$B$11:M129,6)</f>
        <v>2</v>
      </c>
      <c r="H34" s="34">
        <f>VLOOKUP($B34,[44]TrtCodes!$B$11:N129,7)</f>
        <v>3</v>
      </c>
      <c r="I34" s="34">
        <f>[44]FormattedData!B92</f>
        <v>1</v>
      </c>
      <c r="J34" s="37">
        <f>[44]FormattedData!C92</f>
        <v>13.436</v>
      </c>
      <c r="K34" s="39">
        <f>$J$3+[44]FormattedData!D92*$J$4+$M$4*$J$5+[44]FormattedData!D92^2*$J$6+$M$5*$J$7</f>
        <v>33.749765231280001</v>
      </c>
      <c r="L34" s="39">
        <f>$J$3+[44]FormattedData!E92*$J$4+$M$4*$J$5+[44]FormattedData!E92^2*$J$6+$M$5*$J$7</f>
        <v>33.654092657319495</v>
      </c>
      <c r="M34" s="39">
        <f>$J$3+[44]FormattedData!F92*$J$4+$M$4*$J$5+[44]FormattedData!F92^2*$J$6+$M$5*$J$7</f>
        <v>34.227494073013595</v>
      </c>
      <c r="N34" s="39">
        <f>$J$3+[44]FormattedData!G92*$J$4+$M$4*$J$5+[44]FormattedData!G92^2*$J$6+$M$5*$J$7</f>
        <v>34.799373821342186</v>
      </c>
      <c r="O34" s="39">
        <f>$J$3+[44]FormattedData!H92*$J$4+$M$4*$J$5+[44]FormattedData!H92^2*$J$6+$M$5*$J$7</f>
        <v>34.799373821342186</v>
      </c>
      <c r="P34" s="39">
        <f>$J$3+[44]FormattedData!I92*$J$4+$M$4*$J$5+[44]FormattedData!I92^2*$J$6+$M$5*$J$7</f>
        <v>38.946663250694229</v>
      </c>
      <c r="Q34" s="39">
        <f>$J$3+[44]FormattedData!J92*$J$4+$M$4*$J$5+[44]FormattedData!J92^2*$J$6+$M$5*$J$7</f>
        <v>36.222415897439497</v>
      </c>
      <c r="R34" s="39">
        <f>$J$3+[44]FormattedData!K92*$J$4+$M$4*$J$5+[44]FormattedData!K92^2*$J$6+$M$5*$J$7</f>
        <v>35.084743070244407</v>
      </c>
      <c r="S34" s="39">
        <f>$J$3+[44]FormattedData!L92*$J$4+$M$4*$J$5+[44]FormattedData!L92^2*$J$6+$M$5*$J$7</f>
        <v>35.654340317524714</v>
      </c>
      <c r="T34" s="39">
        <f>$J$3+[44]FormattedData!M92*$J$4+$M$4*$J$5+[44]FormattedData!M92^2*$J$6+$M$5*$J$7</f>
        <v>34.608916312717717</v>
      </c>
      <c r="U34" s="39">
        <f>$J$3+[44]FormattedData!N92*$J$4+$M$4*$J$5+[44]FormattedData!N92^2*$J$6+$M$5*$J$7</f>
        <v>34.322913035746524</v>
      </c>
      <c r="V34" s="39">
        <f>$J$3+[44]FormattedData!O92*$J$4+$M$4*$J$5+[44]FormattedData!O92^2*$J$6+$M$5*$J$7</f>
        <v>36.033226444952959</v>
      </c>
      <c r="W34" s="38">
        <f>AVERAGE(K34:V34)</f>
        <v>35.175276494468129</v>
      </c>
      <c r="X34" s="37">
        <f>STDEV(K34:V34)/SQRT(COUNT(K34:V34))</f>
        <v>0.41622312149229629</v>
      </c>
      <c r="Y34" s="36">
        <f>MIN(K34:V34)</f>
        <v>33.654092657319495</v>
      </c>
      <c r="Z34" s="35">
        <f>QUARTILE(K34:V34,1)</f>
        <v>34.29905829506329</v>
      </c>
      <c r="AA34" s="36">
        <f>MEDIAN(K34:V34)</f>
        <v>34.799373821342186</v>
      </c>
      <c r="AB34" s="35">
        <f>QUARTILE(K34:V34,3)</f>
        <v>35.749061849381775</v>
      </c>
      <c r="AC34" s="35">
        <f>MAX(K34:V34)</f>
        <v>38.946663250694229</v>
      </c>
      <c r="AD34" s="35">
        <f>SKEW(K34:V34)</f>
        <v>1.7234843546167524</v>
      </c>
      <c r="AE34" s="35">
        <f>KURT(K34:V34)</f>
        <v>3.8079370941514075</v>
      </c>
    </row>
    <row r="35" spans="2:31" x14ac:dyDescent="0.2">
      <c r="B35" s="34">
        <f>[44]FormattedData!A90</f>
        <v>402</v>
      </c>
      <c r="C35" s="34" t="str">
        <f>VLOOKUP($B35,[44]TrtCodes!$B$11:I130,2)</f>
        <v>NTH</v>
      </c>
      <c r="D35" s="34">
        <f>VLOOKUP($B35,[44]TrtCodes!$B$11:J130,3)</f>
        <v>9</v>
      </c>
      <c r="E35" s="34">
        <f>VLOOKUP($B35,[44]TrtCodes!$B$11:K130,4)</f>
        <v>2</v>
      </c>
      <c r="F35" s="34">
        <f>VLOOKUP($B35,[44]TrtCodes!$B$11:L130,5)</f>
        <v>2</v>
      </c>
      <c r="G35" s="34">
        <f>VLOOKUP($B35,[44]TrtCodes!$B$11:M130,6)</f>
        <v>2</v>
      </c>
      <c r="H35" s="34">
        <f>VLOOKUP($B35,[44]TrtCodes!$B$11:N130,7)</f>
        <v>3</v>
      </c>
      <c r="I35" s="34">
        <f>[44]FormattedData!B90</f>
        <v>1</v>
      </c>
      <c r="J35" s="37">
        <f>[44]FormattedData!C90</f>
        <v>13.428000000000001</v>
      </c>
      <c r="K35" s="39">
        <f>$J$3+[44]FormattedData!D90*$J$4+$M$4*$J$5+[44]FormattedData!D90^2*$J$6+$M$5*$J$7</f>
        <v>39.41276824449676</v>
      </c>
      <c r="L35" s="39">
        <f>$J$3+[44]FormattedData!E90*$J$4+$M$4*$J$5+[44]FormattedData!E90^2*$J$6+$M$5*$J$7</f>
        <v>45.375972240136321</v>
      </c>
      <c r="M35" s="39">
        <f>$J$3+[44]FormattedData!F90*$J$4+$M$4*$J$5+[44]FormattedData!F90^2*$J$6+$M$5*$J$7</f>
        <v>42.187207224898103</v>
      </c>
      <c r="N35" s="39">
        <f>$J$3+[44]FormattedData!G90*$J$4+$M$4*$J$5+[44]FormattedData!G90^2*$J$6+$M$5*$J$7</f>
        <v>44.015698942866756</v>
      </c>
      <c r="O35" s="39">
        <f>$J$3+[44]FormattedData!H90*$J$4+$M$4*$J$5+[44]FormattedData!H90^2*$J$6+$M$5*$J$7</f>
        <v>38.853315446319925</v>
      </c>
      <c r="P35" s="39">
        <f>$J$3+[44]FormattedData!I90*$J$4+$M$4*$J$5+[44]FormattedData!I90^2*$J$6+$M$5*$J$7</f>
        <v>40.89720311029243</v>
      </c>
      <c r="Q35" s="39">
        <f>$J$3+[44]FormattedData!J90*$J$4+$M$4*$J$5+[44]FormattedData!J90^2*$J$6+$M$5*$J$7</f>
        <v>36.4114362757743</v>
      </c>
      <c r="R35" s="39">
        <f>$J$3+[44]FormattedData!K90*$J$4+$M$4*$J$5+[44]FormattedData!K90^2*$J$6+$M$5*$J$7</f>
        <v>40.249094315451657</v>
      </c>
      <c r="S35" s="39">
        <f>$J$3+[44]FormattedData!L90*$J$4+$M$4*$J$5+[44]FormattedData!L90^2*$J$6+$M$5*$J$7</f>
        <v>38.573018421969444</v>
      </c>
      <c r="T35" s="39">
        <f>$J$3+[44]FormattedData!M90*$J$4+$M$4*$J$5+[44]FormattedData!M90^2*$J$6+$M$5*$J$7</f>
        <v>41.266621085224095</v>
      </c>
      <c r="U35" s="39">
        <f>$J$3+[44]FormattedData!N90*$J$4+$M$4*$J$5+[44]FormattedData!N90^2*$J$6+$M$5*$J$7</f>
        <v>35.274777893489571</v>
      </c>
      <c r="V35" s="39">
        <f>$J$3+[44]FormattedData!O90*$J$4+$M$4*$J$5+[44]FormattedData!O90^2*$J$6+$M$5*$J$7</f>
        <v>40.341808091756981</v>
      </c>
      <c r="W35" s="38">
        <f>AVERAGE(K35:V35)</f>
        <v>40.238243441056362</v>
      </c>
      <c r="X35" s="37">
        <f>STDEV(K35:V35)/SQRT(COUNT(K35:V35))</f>
        <v>0.82855922527429737</v>
      </c>
      <c r="Y35" s="36">
        <f>MIN(K35:V35)</f>
        <v>35.274777893489571</v>
      </c>
      <c r="Z35" s="35">
        <f>QUARTILE(K35:V35,1)</f>
        <v>38.783241190232303</v>
      </c>
      <c r="AA35" s="36">
        <f>MEDIAN(K35:V35)</f>
        <v>40.295451203604316</v>
      </c>
      <c r="AB35" s="35">
        <f>QUARTILE(K35:V35,3)</f>
        <v>41.496767620142599</v>
      </c>
      <c r="AC35" s="35">
        <f>MAX(K35:V35)</f>
        <v>45.375972240136321</v>
      </c>
      <c r="AD35" s="35">
        <f>SKEW(K35:V35)</f>
        <v>5.6000762745285905E-2</v>
      </c>
      <c r="AE35" s="35">
        <f>KURT(K35:V35)</f>
        <v>2.8338338614024572E-2</v>
      </c>
    </row>
    <row r="36" spans="2:31" x14ac:dyDescent="0.2">
      <c r="B36" s="34">
        <f>[44]FormattedData!A88</f>
        <v>403</v>
      </c>
      <c r="C36" s="34" t="str">
        <f>VLOOKUP($B36,[44]TrtCodes!$B$11:I131,2)</f>
        <v>FDL</v>
      </c>
      <c r="D36" s="34">
        <f>VLOOKUP($B36,[44]TrtCodes!$B$11:J131,3)</f>
        <v>6</v>
      </c>
      <c r="E36" s="34">
        <f>VLOOKUP($B36,[44]TrtCodes!$B$11:K131,4)</f>
        <v>1</v>
      </c>
      <c r="F36" s="34">
        <f>VLOOKUP($B36,[44]TrtCodes!$B$11:L131,5)</f>
        <v>3</v>
      </c>
      <c r="G36" s="34">
        <f>VLOOKUP($B36,[44]TrtCodes!$B$11:M131,6)</f>
        <v>1</v>
      </c>
      <c r="H36" s="34">
        <f>VLOOKUP($B36,[44]TrtCodes!$B$11:N131,7)</f>
        <v>3</v>
      </c>
      <c r="I36" s="34">
        <f>[44]FormattedData!B88</f>
        <v>1</v>
      </c>
      <c r="J36" s="37">
        <f>[44]FormattedData!C88</f>
        <v>13.42</v>
      </c>
      <c r="K36" s="39">
        <f>$J$3+[44]FormattedData!D88*$J$4+$M$4*$J$5+[44]FormattedData!D88^2*$J$6+$M$5*$J$7</f>
        <v>43.103566510778982</v>
      </c>
      <c r="L36" s="39">
        <f>$J$3+[44]FormattedData!E88*$J$4+$M$4*$J$5+[44]FormattedData!E88^2*$J$6+$M$5*$J$7</f>
        <v>44.015698942866756</v>
      </c>
      <c r="M36" s="39">
        <f>$J$3+[44]FormattedData!F88*$J$4+$M$4*$J$5+[44]FormattedData!F88^2*$J$6+$M$5*$J$7</f>
        <v>44.923604521161408</v>
      </c>
      <c r="N36" s="39">
        <f>$J$3+[44]FormattedData!G88*$J$4+$M$4*$J$5+[44]FormattedData!G88^2*$J$6+$M$5*$J$7</f>
        <v>44.65167666732129</v>
      </c>
      <c r="O36" s="39">
        <f>$J$3+[44]FormattedData!H88*$J$4+$M$4*$J$5+[44]FormattedData!H88^2*$J$6+$M$5*$J$7</f>
        <v>42.645915224562685</v>
      </c>
      <c r="P36" s="39">
        <f>$J$3+[44]FormattedData!I88*$J$4+$M$4*$J$5+[44]FormattedData!I88^2*$J$6+$M$5*$J$7</f>
        <v>44.742361553805928</v>
      </c>
      <c r="Q36" s="39">
        <f>$J$3+[44]FormattedData!J88*$J$4+$M$4*$J$5+[44]FormattedData!J88^2*$J$6+$M$5*$J$7</f>
        <v>44.106679709116918</v>
      </c>
      <c r="R36" s="39">
        <f>$J$3+[44]FormattedData!K88*$J$4+$M$4*$J$5+[44]FormattedData!K88^2*$J$6+$M$5*$J$7</f>
        <v>44.560949512298727</v>
      </c>
      <c r="S36" s="39">
        <f>$J$3+[44]FormattedData!L88*$J$4+$M$4*$J$5+[44]FormattedData!L88^2*$J$6+$M$5*$J$7</f>
        <v>43.651353192486823</v>
      </c>
      <c r="T36" s="39">
        <f>$J$3+[44]FormattedData!M88*$J$4+$M$4*$J$5+[44]FormattedData!M88^2*$J$6+$M$5*$J$7</f>
        <v>43.83361060475265</v>
      </c>
      <c r="U36" s="39">
        <f>$J$3+[44]FormattedData!N88*$J$4+$M$4*$J$5+[44]FormattedData!N88^2*$J$6+$M$5*$J$7</f>
        <v>41.266621085224095</v>
      </c>
      <c r="V36" s="39">
        <f>$J$3+[44]FormattedData!O88*$J$4+$M$4*$J$5+[44]FormattedData!O88^2*$J$6+$M$5*$J$7</f>
        <v>44.288514436003425</v>
      </c>
      <c r="W36" s="38">
        <f>AVERAGE(K36:V36)</f>
        <v>43.815879330031635</v>
      </c>
      <c r="X36" s="37">
        <f>STDEV(K36:V36)/SQRT(COUNT(K36:V36))</f>
        <v>0.30263106682764163</v>
      </c>
      <c r="Y36" s="36">
        <f>MIN(K36:V36)</f>
        <v>41.266621085224095</v>
      </c>
      <c r="Z36" s="35">
        <f>QUARTILE(K36:V36,1)</f>
        <v>43.514406522059865</v>
      </c>
      <c r="AA36" s="36">
        <f>MEDIAN(K36:V36)</f>
        <v>44.061189325991833</v>
      </c>
      <c r="AB36" s="35">
        <f>QUARTILE(K36:V36,3)</f>
        <v>44.583631301054368</v>
      </c>
      <c r="AC36" s="35">
        <f>MAX(K36:V36)</f>
        <v>44.923604521161408</v>
      </c>
      <c r="AD36" s="35">
        <f>SKEW(K36:V36)</f>
        <v>-1.4433735450467469</v>
      </c>
      <c r="AE36" s="35">
        <f>KURT(K36:V36)</f>
        <v>2.1585503217482316</v>
      </c>
    </row>
    <row r="37" spans="2:31" x14ac:dyDescent="0.2">
      <c r="B37" s="34">
        <f>[44]FormattedData!A86</f>
        <v>404</v>
      </c>
      <c r="C37" s="34" t="str">
        <f>VLOOKUP($B37,[44]TrtCodes!$B$11:I129,2)</f>
        <v>FTH</v>
      </c>
      <c r="D37" s="34">
        <f>VLOOKUP($B37,[44]TrtCodes!$B$11:J129,3)</f>
        <v>3</v>
      </c>
      <c r="E37" s="34">
        <f>VLOOKUP($B37,[44]TrtCodes!$B$11:K129,4)</f>
        <v>1</v>
      </c>
      <c r="F37" s="34">
        <f>VLOOKUP($B37,[44]TrtCodes!$B$11:L129,5)</f>
        <v>2</v>
      </c>
      <c r="G37" s="34">
        <f>VLOOKUP($B37,[44]TrtCodes!$B$11:M129,6)</f>
        <v>2</v>
      </c>
      <c r="H37" s="34">
        <f>VLOOKUP($B37,[44]TrtCodes!$B$11:N129,7)</f>
        <v>3</v>
      </c>
      <c r="I37" s="34">
        <f>[44]FormattedData!B86</f>
        <v>1</v>
      </c>
      <c r="J37" s="37">
        <f>[44]FormattedData!C86</f>
        <v>13.412000000000001</v>
      </c>
      <c r="K37" s="39">
        <f>$J$3+[44]FormattedData!D86*$J$4+$M$4*$J$5+[44]FormattedData!D86^2*$J$6+$M$5*$J$7</f>
        <v>39.133232053829033</v>
      </c>
      <c r="L37" s="39">
        <f>$J$3+[44]FormattedData!E86*$J$4+$M$4*$J$5+[44]FormattedData!E86^2*$J$6+$M$5*$J$7</f>
        <v>41.727442511785242</v>
      </c>
      <c r="M37" s="39">
        <f>$J$3+[44]FormattedData!F86*$J$4+$M$4*$J$5+[44]FormattedData!F86^2*$J$6+$M$5*$J$7</f>
        <v>43.742503032888699</v>
      </c>
      <c r="N37" s="39">
        <f>$J$3+[44]FormattedData!G86*$J$4+$M$4*$J$5+[44]FormattedData!G86^2*$J$6+$M$5*$J$7</f>
        <v>38.853315446319925</v>
      </c>
      <c r="O37" s="39">
        <f>$J$3+[44]FormattedData!H86*$J$4+$M$4*$J$5+[44]FormattedData!H86^2*$J$6+$M$5*$J$7</f>
        <v>44.288514436003425</v>
      </c>
      <c r="P37" s="39">
        <f>$J$3+[44]FormattedData!I86*$J$4+$M$4*$J$5+[44]FormattedData!I86^2*$J$6+$M$5*$J$7</f>
        <v>43.560161083547008</v>
      </c>
      <c r="Q37" s="39">
        <f>$J$3+[44]FormattedData!J86*$J$4+$M$4*$J$5+[44]FormattedData!J86^2*$J$6+$M$5*$J$7</f>
        <v>46.007511768108095</v>
      </c>
      <c r="R37" s="39">
        <f>$J$3+[44]FormattedData!K86*$J$4+$M$4*$J$5+[44]FormattedData!K86^2*$J$6+$M$5*$J$7</f>
        <v>41.635362763548869</v>
      </c>
      <c r="S37" s="39">
        <f>$J$3+[44]FormattedData!L86*$J$4+$M$4*$J$5+[44]FormattedData!L86^2*$J$6+$M$5*$J$7</f>
        <v>44.470180088738218</v>
      </c>
      <c r="T37" s="39">
        <f>$J$3+[44]FormattedData!M86*$J$4+$M$4*$J$5+[44]FormattedData!M86^2*$J$6+$M$5*$J$7</f>
        <v>43.468926706069261</v>
      </c>
      <c r="U37" s="39">
        <f>$J$3+[44]FormattedData!N86*$J$4+$M$4*$J$5+[44]FormattedData!N86^2*$J$6+$M$5*$J$7</f>
        <v>45.104678414365168</v>
      </c>
      <c r="V37" s="39">
        <f>$J$3+[44]FormattedData!O86*$J$4+$M$4*$J$5+[44]FormattedData!O86^2*$J$6+$M$5*$J$7</f>
        <v>41.45107646146235</v>
      </c>
      <c r="W37" s="38">
        <f>AVERAGE(K37:V37)</f>
        <v>42.786908730555439</v>
      </c>
      <c r="X37" s="37">
        <f>STDEV(K37:V37)/SQRT(COUNT(K37:V37))</f>
        <v>0.65054915381223744</v>
      </c>
      <c r="Y37" s="36">
        <f>MIN(K37:V37)</f>
        <v>38.853315446319925</v>
      </c>
      <c r="Z37" s="35">
        <f>QUARTILE(K37:V37,1)</f>
        <v>41.589291188027239</v>
      </c>
      <c r="AA37" s="36">
        <f>MEDIAN(K37:V37)</f>
        <v>43.514543894808135</v>
      </c>
      <c r="AB37" s="35">
        <f>QUARTILE(K37:V37,3)</f>
        <v>44.333930849187126</v>
      </c>
      <c r="AC37" s="35">
        <f>MAX(K37:V37)</f>
        <v>46.007511768108095</v>
      </c>
      <c r="AD37" s="35">
        <f>SKEW(K37:V37)</f>
        <v>-0.56309916667568383</v>
      </c>
      <c r="AE37" s="35">
        <f>KURT(K37:V37)</f>
        <v>-0.52164882727815032</v>
      </c>
    </row>
    <row r="38" spans="2:31" x14ac:dyDescent="0.2">
      <c r="B38" s="34">
        <f>[44]FormattedData!A84</f>
        <v>405</v>
      </c>
      <c r="C38" s="34" t="str">
        <f>VLOOKUP($B38,[44]TrtCodes!$B$11:I127,2)</f>
        <v>FDL</v>
      </c>
      <c r="D38" s="34">
        <f>VLOOKUP($B38,[44]TrtCodes!$B$11:J127,3)</f>
        <v>6</v>
      </c>
      <c r="E38" s="34">
        <f>VLOOKUP($B38,[44]TrtCodes!$B$11:K127,4)</f>
        <v>1</v>
      </c>
      <c r="F38" s="34">
        <f>VLOOKUP($B38,[44]TrtCodes!$B$11:L127,5)</f>
        <v>3</v>
      </c>
      <c r="G38" s="34">
        <f>VLOOKUP($B38,[44]TrtCodes!$B$11:M127,6)</f>
        <v>1</v>
      </c>
      <c r="H38" s="34">
        <f>VLOOKUP($B38,[44]TrtCodes!$B$11:N127,7)</f>
        <v>4</v>
      </c>
      <c r="I38" s="34">
        <f>[44]FormattedData!B84</f>
        <v>1</v>
      </c>
      <c r="J38" s="37">
        <f>[44]FormattedData!C84</f>
        <v>13.404</v>
      </c>
      <c r="K38" s="39">
        <f>$J$3+[44]FormattedData!D84*$J$4+$M$4*$J$5+[44]FormattedData!D84^2*$J$6+$M$5*$J$7</f>
        <v>37.917512632990714</v>
      </c>
      <c r="L38" s="39">
        <f>$J$3+[44]FormattedData!E84*$J$4+$M$4*$J$5+[44]FormattedData!E84^2*$J$6+$M$5*$J$7</f>
        <v>44.742361553805928</v>
      </c>
      <c r="M38" s="39">
        <f>$J$3+[44]FormattedData!F84*$J$4+$M$4*$J$5+[44]FormattedData!F84^2*$J$6+$M$5*$J$7</f>
        <v>41.635362763548869</v>
      </c>
      <c r="N38" s="39">
        <f>$J$3+[44]FormattedData!G84*$J$4+$M$4*$J$5+[44]FormattedData!G84^2*$J$6+$M$5*$J$7</f>
        <v>45.104678414365168</v>
      </c>
      <c r="O38" s="39">
        <f>$J$3+[44]FormattedData!H84*$J$4+$M$4*$J$5+[44]FormattedData!H84^2*$J$6+$M$5*$J$7</f>
        <v>40.527108838753861</v>
      </c>
      <c r="P38" s="39">
        <f>$J$3+[44]FormattedData!I84*$J$4+$M$4*$J$5+[44]FormattedData!I84^2*$J$6+$M$5*$J$7</f>
        <v>41.358869907612188</v>
      </c>
      <c r="Q38" s="39">
        <f>$J$3+[44]FormattedData!J84*$J$4+$M$4*$J$5+[44]FormattedData!J84^2*$J$6+$M$5*$J$7</f>
        <v>41.266621085224095</v>
      </c>
      <c r="R38" s="39">
        <f>$J$3+[44]FormattedData!K84*$J$4+$M$4*$J$5+[44]FormattedData!K84^2*$J$6+$M$5*$J$7</f>
        <v>41.819479991483675</v>
      </c>
      <c r="S38" s="39">
        <f>$J$3+[44]FormattedData!L84*$J$4+$M$4*$J$5+[44]FormattedData!L84^2*$J$6+$M$5*$J$7</f>
        <v>42.829102544662994</v>
      </c>
      <c r="T38" s="39">
        <f>$J$3+[44]FormattedData!M84*$J$4+$M$4*$J$5+[44]FormattedData!M84^2*$J$6+$M$5*$J$7</f>
        <v>42.645915224562685</v>
      </c>
      <c r="U38" s="39">
        <f>$J$3+[44]FormattedData!N84*$J$4+$M$4*$J$5+[44]FormattedData!N84^2*$J$6+$M$5*$J$7</f>
        <v>42.737530018881799</v>
      </c>
      <c r="V38" s="39">
        <f>$J$3+[44]FormattedData!O84*$J$4+$M$4*$J$5+[44]FormattedData!O84^2*$J$6+$M$5*$J$7</f>
        <v>43.19496996240845</v>
      </c>
      <c r="W38" s="38">
        <f>AVERAGE(K38:V38)</f>
        <v>42.148292744858367</v>
      </c>
      <c r="X38" s="37">
        <f>STDEV(K38:V38)/SQRT(COUNT(K38:V38))</f>
        <v>0.54995012878123117</v>
      </c>
      <c r="Y38" s="36">
        <f>MIN(K38:V38)</f>
        <v>37.917512632990714</v>
      </c>
      <c r="Z38" s="35">
        <f>QUARTILE(K38:V38,1)</f>
        <v>41.335807702015167</v>
      </c>
      <c r="AA38" s="36">
        <f>MEDIAN(K38:V38)</f>
        <v>42.23269760802318</v>
      </c>
      <c r="AB38" s="35">
        <f>QUARTILE(K38:V38,3)</f>
        <v>42.920569399099357</v>
      </c>
      <c r="AC38" s="35">
        <f>MAX(K38:V38)</f>
        <v>45.104678414365168</v>
      </c>
      <c r="AD38" s="35">
        <f>SKEW(K38:V38)</f>
        <v>-0.57197808574055065</v>
      </c>
      <c r="AE38" s="35">
        <f>KURT(K38:V38)</f>
        <v>1.3695990870468071</v>
      </c>
    </row>
    <row r="39" spans="2:31" x14ac:dyDescent="0.2">
      <c r="B39" s="34">
        <f>[44]FormattedData!A82</f>
        <v>406</v>
      </c>
      <c r="C39" s="34" t="str">
        <f>VLOOKUP($B39,[44]TrtCodes!$B$11:I125,2)</f>
        <v>FTH</v>
      </c>
      <c r="D39" s="34">
        <f>VLOOKUP($B39,[44]TrtCodes!$B$11:J125,3)</f>
        <v>3</v>
      </c>
      <c r="E39" s="34">
        <f>VLOOKUP($B39,[44]TrtCodes!$B$11:K125,4)</f>
        <v>1</v>
      </c>
      <c r="F39" s="34">
        <f>VLOOKUP($B39,[44]TrtCodes!$B$11:L125,5)</f>
        <v>2</v>
      </c>
      <c r="G39" s="34">
        <f>VLOOKUP($B39,[44]TrtCodes!$B$11:M125,6)</f>
        <v>2</v>
      </c>
      <c r="H39" s="34">
        <f>VLOOKUP($B39,[44]TrtCodes!$B$11:N125,7)</f>
        <v>4</v>
      </c>
      <c r="I39" s="34">
        <f>[44]FormattedData!B82</f>
        <v>1</v>
      </c>
      <c r="J39" s="37">
        <f>[44]FormattedData!C82</f>
        <v>13.396000000000001</v>
      </c>
      <c r="K39" s="39">
        <f>$J$3+[44]FormattedData!D82*$J$4+$M$4*$J$5+[44]FormattedData!D82^2*$J$6+$M$5*$J$7</f>
        <v>35.274777893489571</v>
      </c>
      <c r="L39" s="39">
        <f>$J$3+[44]FormattedData!E82*$J$4+$M$4*$J$5+[44]FormattedData!E82^2*$J$6+$M$5*$J$7</f>
        <v>43.742503032888699</v>
      </c>
      <c r="M39" s="39">
        <f>$J$3+[44]FormattedData!F82*$J$4+$M$4*$J$5+[44]FormattedData!F82^2*$J$6+$M$5*$J$7</f>
        <v>40.712240511599006</v>
      </c>
      <c r="N39" s="39">
        <f>$J$3+[44]FormattedData!G82*$J$4+$M$4*$J$5+[44]FormattedData!G82^2*$J$6+$M$5*$J$7</f>
        <v>42.003428145266746</v>
      </c>
      <c r="O39" s="39">
        <f>$J$3+[44]FormattedData!H82*$J$4+$M$4*$J$5+[44]FormattedData!H82^2*$J$6+$M$5*$J$7</f>
        <v>40.434479599524387</v>
      </c>
      <c r="P39" s="39">
        <f>$J$3+[44]FormattedData!I82*$J$4+$M$4*$J$5+[44]FormattedData!I82^2*$J$6+$M$5*$J$7</f>
        <v>42.737530018881799</v>
      </c>
      <c r="Q39" s="39">
        <f>$J$3+[44]FormattedData!J82*$J$4+$M$4*$J$5+[44]FormattedData!J82^2*$J$6+$M$5*$J$7</f>
        <v>39.41276824449676</v>
      </c>
      <c r="R39" s="39">
        <f>$J$3+[44]FormattedData!K82*$J$4+$M$4*$J$5+[44]FormattedData!K82^2*$J$6+$M$5*$J$7</f>
        <v>40.89720311029243</v>
      </c>
      <c r="S39" s="39">
        <f>$J$3+[44]FormattedData!L82*$J$4+$M$4*$J$5+[44]FormattedData!L82^2*$J$6+$M$5*$J$7</f>
        <v>35.274777893489571</v>
      </c>
      <c r="T39" s="39">
        <f>$J$3+[44]FormattedData!M82*$J$4+$M$4*$J$5+[44]FormattedData!M82^2*$J$6+$M$5*$J$7</f>
        <v>41.543240746774572</v>
      </c>
      <c r="U39" s="39">
        <f>$J$3+[44]FormattedData!N82*$J$4+$M$4*$J$5+[44]FormattedData!N82^2*$J$6+$M$5*$J$7</f>
        <v>36.222415897439497</v>
      </c>
      <c r="V39" s="39">
        <f>$J$3+[44]FormattedData!O82*$J$4+$M$4*$J$5+[44]FormattedData!O82^2*$J$6+$M$5*$J$7</f>
        <v>44.833004171752634</v>
      </c>
      <c r="W39" s="38">
        <f>AVERAGE(K39:V39)</f>
        <v>40.257364105491305</v>
      </c>
      <c r="X39" s="37">
        <f>STDEV(K39:V39)/SQRT(COUNT(K39:V39))</f>
        <v>0.91796164593588347</v>
      </c>
      <c r="Y39" s="36">
        <f>MIN(K39:V39)</f>
        <v>35.274777893489571</v>
      </c>
      <c r="Z39" s="35">
        <f>QUARTILE(K39:V39,1)</f>
        <v>38.615180157732446</v>
      </c>
      <c r="AA39" s="36">
        <f>MEDIAN(K39:V39)</f>
        <v>40.804721810945722</v>
      </c>
      <c r="AB39" s="35">
        <f>QUARTILE(K39:V39,3)</f>
        <v>42.186953613670511</v>
      </c>
      <c r="AC39" s="35">
        <f>MAX(K39:V39)</f>
        <v>44.833004171752634</v>
      </c>
      <c r="AD39" s="35">
        <f>SKEW(K39:V39)</f>
        <v>-0.51736899460582386</v>
      </c>
      <c r="AE39" s="35">
        <f>KURT(K39:V39)</f>
        <v>-0.74434165914220163</v>
      </c>
    </row>
    <row r="40" spans="2:31" x14ac:dyDescent="0.2">
      <c r="B40" s="34">
        <f>[44]FormattedData!A80</f>
        <v>407</v>
      </c>
      <c r="C40" s="34" t="str">
        <f>VLOOKUP($B40,[44]TrtCodes!$B$11:I123,2)</f>
        <v>NSH</v>
      </c>
      <c r="D40" s="34">
        <f>VLOOKUP($B40,[44]TrtCodes!$B$11:J123,3)</f>
        <v>7</v>
      </c>
      <c r="E40" s="34">
        <f>VLOOKUP($B40,[44]TrtCodes!$B$11:K123,4)</f>
        <v>2</v>
      </c>
      <c r="F40" s="34">
        <f>VLOOKUP($B40,[44]TrtCodes!$B$11:L123,5)</f>
        <v>1</v>
      </c>
      <c r="G40" s="34">
        <f>VLOOKUP($B40,[44]TrtCodes!$B$11:M123,6)</f>
        <v>2</v>
      </c>
      <c r="H40" s="34">
        <f>VLOOKUP($B40,[44]TrtCodes!$B$11:N123,7)</f>
        <v>4</v>
      </c>
      <c r="I40" s="34">
        <f>[44]FormattedData!B80</f>
        <v>1</v>
      </c>
      <c r="J40" s="37">
        <f>[44]FormattedData!C80</f>
        <v>13.387</v>
      </c>
      <c r="K40" s="39">
        <f>$J$3+[44]FormattedData!D80*$J$4+$M$4*$J$5+[44]FormattedData!D80^2*$J$6+$M$5*$J$7</f>
        <v>34.418289729941527</v>
      </c>
      <c r="L40" s="39">
        <f>$J$3+[44]FormattedData!E80*$J$4+$M$4*$J$5+[44]FormattedData!E80^2*$J$6+$M$5*$J$7</f>
        <v>37.917512632990714</v>
      </c>
      <c r="M40" s="39">
        <f>$J$3+[44]FormattedData!F80*$J$4+$M$4*$J$5+[44]FormattedData!F80^2*$J$6+$M$5*$J$7</f>
        <v>36.505883062134814</v>
      </c>
      <c r="N40" s="39">
        <f>$J$3+[44]FormattedData!G80*$J$4+$M$4*$J$5+[44]FormattedData!G80^2*$J$6+$M$5*$J$7</f>
        <v>34.799373821342186</v>
      </c>
      <c r="O40" s="39">
        <f>$J$3+[44]FormattedData!H80*$J$4+$M$4*$J$5+[44]FormattedData!H80^2*$J$6+$M$5*$J$7</f>
        <v>40.249094315451657</v>
      </c>
      <c r="P40" s="39">
        <f>$J$3+[44]FormattedData!I80*$J$4+$M$4*$J$5+[44]FormattedData!I80^2*$J$6+$M$5*$J$7</f>
        <v>35.274777893489571</v>
      </c>
      <c r="Q40" s="39">
        <f>$J$3+[44]FormattedData!J80*$J$4+$M$4*$J$5+[44]FormattedData!J80^2*$J$6+$M$5*$J$7</f>
        <v>40.341808091756981</v>
      </c>
      <c r="R40" s="39">
        <f>$J$3+[44]FormattedData!K80*$J$4+$M$4*$J$5+[44]FormattedData!K80^2*$J$6+$M$5*$J$7</f>
        <v>35.274777893489571</v>
      </c>
      <c r="S40" s="39">
        <f>$J$3+[44]FormattedData!L80*$J$4+$M$4*$J$5+[44]FormattedData!L80^2*$J$6+$M$5*$J$7</f>
        <v>39.970699375308072</v>
      </c>
      <c r="T40" s="39">
        <f>$J$3+[44]FormattedData!M80*$J$4+$M$4*$J$5+[44]FormattedData!M80^2*$J$6+$M$5*$J$7</f>
        <v>35.654340317524714</v>
      </c>
      <c r="U40" s="39">
        <f>$J$3+[44]FormattedData!N80*$J$4+$M$4*$J$5+[44]FormattedData!N80^2*$J$6+$M$5*$J$7</f>
        <v>35.938568315902785</v>
      </c>
      <c r="V40" s="39">
        <f>$J$3+[44]FormattedData!O80*$J$4+$M$4*$J$5+[44]FormattedData!O80^2*$J$6+$M$5*$J$7</f>
        <v>34.322913035746524</v>
      </c>
      <c r="W40" s="38">
        <f>AVERAGE(K40:V40)</f>
        <v>36.722336540423264</v>
      </c>
      <c r="X40" s="37">
        <f>STDEV(K40:V40)/SQRT(COUNT(K40:V40))</f>
        <v>0.66443850147156436</v>
      </c>
      <c r="Y40" s="36">
        <f>MIN(K40:V40)</f>
        <v>34.322913035746524</v>
      </c>
      <c r="Z40" s="35">
        <f>QUARTILE(K40:V40,1)</f>
        <v>35.155926875452721</v>
      </c>
      <c r="AA40" s="36">
        <f>MEDIAN(K40:V40)</f>
        <v>35.796454316713749</v>
      </c>
      <c r="AB40" s="35">
        <f>QUARTILE(K40:V40,3)</f>
        <v>38.430809318570056</v>
      </c>
      <c r="AC40" s="35">
        <f>MAX(K40:V40)</f>
        <v>40.341808091756981</v>
      </c>
      <c r="AD40" s="35">
        <f>SKEW(K40:V40)</f>
        <v>0.7723873878614248</v>
      </c>
      <c r="AE40" s="35">
        <f>KURT(K40:V40)</f>
        <v>-1.0847624655572687</v>
      </c>
    </row>
    <row r="41" spans="2:31" x14ac:dyDescent="0.2">
      <c r="B41" s="34">
        <f>[44]FormattedData!A78</f>
        <v>408</v>
      </c>
      <c r="C41" s="34" t="str">
        <f>VLOOKUP($B41,[44]TrtCodes!$B$11:I121,2)</f>
        <v>NTL</v>
      </c>
      <c r="D41" s="34">
        <f>VLOOKUP($B41,[44]TrtCodes!$B$11:J121,3)</f>
        <v>10</v>
      </c>
      <c r="E41" s="34">
        <f>VLOOKUP($B41,[44]TrtCodes!$B$11:K121,4)</f>
        <v>2</v>
      </c>
      <c r="F41" s="34">
        <f>VLOOKUP($B41,[44]TrtCodes!$B$11:L121,5)</f>
        <v>2</v>
      </c>
      <c r="G41" s="34">
        <f>VLOOKUP($B41,[44]TrtCodes!$B$11:M121,6)</f>
        <v>1</v>
      </c>
      <c r="H41" s="34">
        <f>VLOOKUP($B41,[44]TrtCodes!$B$11:N121,7)</f>
        <v>4</v>
      </c>
      <c r="I41" s="34">
        <f>[44]FormattedData!B78</f>
        <v>1</v>
      </c>
      <c r="J41" s="37">
        <f>[44]FormattedData!C78</f>
        <v>13.377000000000001</v>
      </c>
      <c r="K41" s="39">
        <f>$J$3+[44]FormattedData!D78*$J$4+$M$4*$J$5+[44]FormattedData!D78^2*$J$6+$M$5*$J$7</f>
        <v>38.479501543443419</v>
      </c>
      <c r="L41" s="39">
        <f>$J$3+[44]FormattedData!E78*$J$4+$M$4*$J$5+[44]FormattedData!E78^2*$J$6+$M$5*$J$7</f>
        <v>44.923604521161408</v>
      </c>
      <c r="M41" s="39">
        <f>$J$3+[44]FormattedData!F78*$J$4+$M$4*$J$5+[44]FormattedData!F78^2*$J$6+$M$5*$J$7</f>
        <v>43.651353192486823</v>
      </c>
      <c r="N41" s="39">
        <f>$J$3+[44]FormattedData!G78*$J$4+$M$4*$J$5+[44]FormattedData!G78^2*$J$6+$M$5*$J$7</f>
        <v>44.742361553805928</v>
      </c>
      <c r="O41" s="39">
        <f>$J$3+[44]FormattedData!H78*$J$4+$M$4*$J$5+[44]FormattedData!H78^2*$J$6+$M$5*$J$7</f>
        <v>45.827283245662954</v>
      </c>
      <c r="P41" s="39">
        <f>$J$3+[44]FormattedData!I78*$J$4+$M$4*$J$5+[44]FormattedData!I78^2*$J$6+$M$5*$J$7</f>
        <v>43.924675908078662</v>
      </c>
      <c r="Q41" s="39">
        <f>$J$3+[44]FormattedData!J78*$J$4+$M$4*$J$5+[44]FormattedData!J78^2*$J$6+$M$5*$J$7</f>
        <v>46.816447826483603</v>
      </c>
      <c r="R41" s="39">
        <f>$J$3+[44]FormattedData!K78*$J$4+$M$4*$J$5+[44]FormattedData!K78^2*$J$6+$M$5*$J$7</f>
        <v>43.560161083547008</v>
      </c>
      <c r="S41" s="39">
        <f>$J$3+[44]FormattedData!L78*$J$4+$M$4*$J$5+[44]FormattedData!L78^2*$J$6+$M$5*$J$7</f>
        <v>46.636980137721231</v>
      </c>
      <c r="T41" s="39">
        <f>$J$3+[44]FormattedData!M78*$J$4+$M$4*$J$5+[44]FormattedData!M78^2*$J$6+$M$5*$J$7</f>
        <v>46.097562626523754</v>
      </c>
      <c r="U41" s="39">
        <f>$J$3+[44]FormattedData!N78*$J$4+$M$4*$J$5+[44]FormattedData!N78^2*$J$6+$M$5*$J$7</f>
        <v>44.470180088738218</v>
      </c>
      <c r="V41" s="39">
        <f>$J$3+[44]FormattedData!O78*$J$4+$M$4*$J$5+[44]FormattedData!O78^2*$J$6+$M$5*$J$7</f>
        <v>41.635362763548869</v>
      </c>
      <c r="W41" s="38">
        <f>AVERAGE(K41:V41)</f>
        <v>44.230456207600163</v>
      </c>
      <c r="X41" s="37">
        <f>STDEV(K41:V41)/SQRT(COUNT(K41:V41))</f>
        <v>0.67420418426755468</v>
      </c>
      <c r="Y41" s="36">
        <f>MIN(K41:V41)</f>
        <v>38.479501543443419</v>
      </c>
      <c r="Z41" s="35">
        <f>QUARTILE(K41:V41,1)</f>
        <v>43.628555165251868</v>
      </c>
      <c r="AA41" s="36">
        <f>MEDIAN(K41:V41)</f>
        <v>44.606270821272076</v>
      </c>
      <c r="AB41" s="35">
        <f>QUARTILE(K41:V41,3)</f>
        <v>45.894853090878158</v>
      </c>
      <c r="AC41" s="35">
        <f>MAX(K41:V41)</f>
        <v>46.816447826483603</v>
      </c>
      <c r="AD41" s="35">
        <f>SKEW(K41:V41)</f>
        <v>-1.420764376328667</v>
      </c>
      <c r="AE41" s="35">
        <f>KURT(K41:V41)</f>
        <v>2.5166912043368255</v>
      </c>
    </row>
    <row r="42" spans="2:31" x14ac:dyDescent="0.2">
      <c r="B42" s="50">
        <f>[44]FormattedData!A60</f>
        <v>901</v>
      </c>
      <c r="C42" s="50" t="str">
        <f>VLOOKUP($B42,[44]TrtCodes!$B$11:I103,2)</f>
        <v>WS</v>
      </c>
      <c r="D42" s="50">
        <f>VLOOKUP($B42,[44]TrtCodes!$B$11:J103,3)</f>
        <v>32</v>
      </c>
      <c r="E42" s="50">
        <f>VLOOKUP($B42,[44]TrtCodes!$B$11:K103,4)</f>
        <v>9</v>
      </c>
      <c r="F42" s="50">
        <f>VLOOKUP($B42,[44]TrtCodes!$B$11:L103,5)</f>
        <v>0</v>
      </c>
      <c r="G42" s="50">
        <f>VLOOKUP($B42,[44]TrtCodes!$B$11:M103,6)</f>
        <v>1</v>
      </c>
      <c r="H42" s="50">
        <f>VLOOKUP($B42,[44]TrtCodes!$B$11:N103,7)</f>
        <v>1</v>
      </c>
      <c r="I42" s="50">
        <f>[44]FormattedData!B60</f>
        <v>1</v>
      </c>
      <c r="J42" s="48">
        <f>[44]FormattedData!C60</f>
        <v>13.31</v>
      </c>
      <c r="K42" s="47">
        <f>$J$3+[44]FormattedData!D60*$J$4+$M$4*$J$5+[44]FormattedData!D60^2*$J$6+$M$5*$J$7</f>
        <v>43.012120790611583</v>
      </c>
      <c r="L42" s="47">
        <f>$J$3+[44]FormattedData!E60*$J$4+$M$4*$J$5+[44]FormattedData!E60^2*$J$6+$M$5*$J$7</f>
        <v>39.877816524851013</v>
      </c>
      <c r="M42" s="47">
        <f>$J$3+[44]FormattedData!F60*$J$4+$M$4*$J$5+[44]FormattedData!F60^2*$J$6+$M$5*$J$7</f>
        <v>43.37765006005359</v>
      </c>
      <c r="N42" s="47">
        <f>$J$3+[44]FormattedData!G60*$J$4+$M$4*$J$5+[44]FormattedData!G60^2*$J$6+$M$5*$J$7</f>
        <v>43.012120790611583</v>
      </c>
      <c r="O42" s="47">
        <f>$J$3+[44]FormattedData!H60*$J$4+$M$4*$J$5+[44]FormattedData!H60^2*$J$6+$M$5*$J$7</f>
        <v>41.45107646146235</v>
      </c>
      <c r="P42" s="47">
        <f>$J$3+[44]FormattedData!I60*$J$4+$M$4*$J$5+[44]FormattedData!I60^2*$J$6+$M$5*$J$7</f>
        <v>40.989621006832245</v>
      </c>
      <c r="Q42" s="47">
        <f>$J$3+[44]FormattedData!J60*$J$4+$M$4*$J$5+[44]FormattedData!J60^2*$J$6+$M$5*$J$7</f>
        <v>40.804742945214677</v>
      </c>
      <c r="R42" s="47">
        <f>$J$3+[44]FormattedData!K60*$J$4+$M$4*$J$5+[44]FormattedData!K60^2*$J$6+$M$5*$J$7</f>
        <v>44.197618206829134</v>
      </c>
      <c r="S42" s="47">
        <f>$J$3+[44]FormattedData!L60*$J$4+$M$4*$J$5+[44]FormattedData!L60^2*$J$6+$M$5*$J$7</f>
        <v>44.015698942866756</v>
      </c>
      <c r="T42" s="47">
        <f>$J$3+[44]FormattedData!M60*$J$4+$M$4*$J$5+[44]FormattedData!M60^2*$J$6+$M$5*$J$7</f>
        <v>44.197618206829134</v>
      </c>
      <c r="U42" s="47">
        <f>$J$3+[44]FormattedData!N60*$J$4+$M$4*$J$5+[44]FormattedData!N60^2*$J$6+$M$5*$J$7</f>
        <v>41.174329994298077</v>
      </c>
      <c r="V42" s="47">
        <f>$J$3+[44]FormattedData!O60*$J$4+$M$4*$J$5+[44]FormattedData!O60^2*$J$6+$M$5*$J$7</f>
        <v>43.651353192486823</v>
      </c>
      <c r="W42" s="49">
        <f>AVERAGE(K42:V42)</f>
        <v>42.48014726024558</v>
      </c>
      <c r="X42" s="48">
        <f>STDEV(K42:V42)/SQRT(COUNT(K42:V42))</f>
        <v>0.4400884638031996</v>
      </c>
      <c r="Y42" s="47">
        <f>MIN(K42:V42)</f>
        <v>39.877816524851013</v>
      </c>
      <c r="Z42" s="46">
        <f>QUARTILE(K42:V42,1)</f>
        <v>41.128152747431621</v>
      </c>
      <c r="AA42" s="47">
        <f>MEDIAN(K42:V42)</f>
        <v>43.012120790611583</v>
      </c>
      <c r="AB42" s="46">
        <f>QUARTILE(K42:V42,3)</f>
        <v>43.742439630081805</v>
      </c>
      <c r="AC42" s="46">
        <f>MAX(K42:V42)</f>
        <v>44.197618206829134</v>
      </c>
      <c r="AD42" s="46">
        <f>SKEW(K42:V42)</f>
        <v>-0.38703724164983</v>
      </c>
      <c r="AE42" s="46">
        <f>KURT(K42:V42)</f>
        <v>-1.4557605695258817</v>
      </c>
    </row>
    <row r="43" spans="2:31" x14ac:dyDescent="0.2">
      <c r="B43" s="34">
        <f>[44]FormattedData!A58</f>
        <v>902</v>
      </c>
      <c r="C43" s="34" t="str">
        <f>VLOOKUP($B43,[44]TrtCodes!$B$11:I101,2)</f>
        <v>Late</v>
      </c>
      <c r="D43" s="34">
        <f>VLOOKUP($B43,[44]TrtCodes!$B$11:J101,3)</f>
        <v>22</v>
      </c>
      <c r="E43" s="34">
        <f>VLOOKUP($B43,[44]TrtCodes!$B$11:K101,4)</f>
        <v>4</v>
      </c>
      <c r="F43" s="34">
        <f>VLOOKUP($B43,[44]TrtCodes!$B$11:L101,5)</f>
        <v>2</v>
      </c>
      <c r="G43" s="34">
        <f>VLOOKUP($B43,[44]TrtCodes!$B$11:M101,6)</f>
        <v>2</v>
      </c>
      <c r="H43" s="34">
        <f>VLOOKUP($B43,[44]TrtCodes!$B$11:N101,7)</f>
        <v>1</v>
      </c>
      <c r="I43" s="34">
        <f>[44]FormattedData!B58</f>
        <v>1</v>
      </c>
      <c r="J43" s="37">
        <f>[44]FormattedData!C58</f>
        <v>13.301</v>
      </c>
      <c r="K43" s="39">
        <f>$J$3+[44]FormattedData!D58*$J$4+$M$4*$J$5+[44]FormattedData!D58^2*$J$6+$M$5*$J$7</f>
        <v>38.853315446319925</v>
      </c>
      <c r="L43" s="39">
        <f>$J$3+[44]FormattedData!E58*$J$4+$M$4*$J$5+[44]FormattedData!E58^2*$J$6+$M$5*$J$7</f>
        <v>45.46631897831751</v>
      </c>
      <c r="M43" s="39">
        <f>$J$3+[44]FormattedData!F58*$J$4+$M$4*$J$5+[44]FormattedData!F58^2*$J$6+$M$5*$J$7</f>
        <v>43.19496996240845</v>
      </c>
      <c r="N43" s="39">
        <f>$J$3+[44]FormattedData!G58*$J$4+$M$4*$J$5+[44]FormattedData!G58^2*$J$6+$M$5*$J$7</f>
        <v>42.370817230377725</v>
      </c>
      <c r="O43" s="39">
        <f>$J$3+[44]FormattedData!H58*$J$4+$M$4*$J$5+[44]FormattedData!H58^2*$J$6+$M$5*$J$7</f>
        <v>40.249094315451657</v>
      </c>
      <c r="P43" s="39">
        <f>$J$3+[44]FormattedData!I58*$J$4+$M$4*$J$5+[44]FormattedData!I58^2*$J$6+$M$5*$J$7</f>
        <v>42.370817230377725</v>
      </c>
      <c r="Q43" s="39">
        <f>$J$3+[44]FormattedData!J58*$J$4+$M$4*$J$5+[44]FormattedData!J58^2*$J$6+$M$5*$J$7</f>
        <v>41.727442511785242</v>
      </c>
      <c r="R43" s="39">
        <f>$J$3+[44]FormattedData!K58*$J$4+$M$4*$J$5+[44]FormattedData!K58^2*$J$6+$M$5*$J$7</f>
        <v>39.598914362252252</v>
      </c>
      <c r="S43" s="39">
        <f>$J$3+[44]FormattedData!L58*$J$4+$M$4*$J$5+[44]FormattedData!L58^2*$J$6+$M$5*$J$7</f>
        <v>39.039968786530601</v>
      </c>
      <c r="T43" s="39">
        <f>$J$3+[44]FormattedData!M58*$J$4+$M$4*$J$5+[44]FormattedData!M58^2*$J$6+$M$5*$J$7</f>
        <v>39.970699375308072</v>
      </c>
      <c r="U43" s="39">
        <f>$J$3+[44]FormattedData!N58*$J$4+$M$4*$J$5+[44]FormattedData!N58^2*$J$6+$M$5*$J$7</f>
        <v>39.505862437643472</v>
      </c>
      <c r="V43" s="39">
        <f>$J$3+[44]FormattedData!O58*$J$4+$M$4*$J$5+[44]FormattedData!O58^2*$J$6+$M$5*$J$7</f>
        <v>44.560949512298727</v>
      </c>
      <c r="W43" s="38">
        <f>AVERAGE(K43:V43)</f>
        <v>41.409097512422612</v>
      </c>
      <c r="X43" s="37">
        <f>STDEV(K43:V43)/SQRT(COUNT(K43:V43))</f>
        <v>0.63956760324914419</v>
      </c>
      <c r="Y43" s="36">
        <f>MIN(K43:V43)</f>
        <v>38.853315446319925</v>
      </c>
      <c r="Z43" s="35">
        <f>QUARTILE(K43:V43,1)</f>
        <v>39.575651381100059</v>
      </c>
      <c r="AA43" s="36">
        <f>MEDIAN(K43:V43)</f>
        <v>40.988268413618449</v>
      </c>
      <c r="AB43" s="35">
        <f>QUARTILE(K43:V43,3)</f>
        <v>42.576855413385402</v>
      </c>
      <c r="AC43" s="35">
        <f>MAX(K43:V43)</f>
        <v>45.46631897831751</v>
      </c>
      <c r="AD43" s="35">
        <f>SKEW(K43:V43)</f>
        <v>0.58432120177912994</v>
      </c>
      <c r="AE43" s="35">
        <f>KURT(K43:V43)</f>
        <v>-0.85704678518397737</v>
      </c>
    </row>
    <row r="44" spans="2:31" x14ac:dyDescent="0.2">
      <c r="B44" s="50">
        <f>[44]FormattedData!A56</f>
        <v>903</v>
      </c>
      <c r="C44" s="50" t="str">
        <f>VLOOKUP($B44,[44]TrtCodes!$B$11:I99,2)</f>
        <v>DS</v>
      </c>
      <c r="D44" s="50">
        <f>VLOOKUP($B44,[44]TrtCodes!$B$11:J99,3)</f>
        <v>31</v>
      </c>
      <c r="E44" s="50">
        <f>VLOOKUP($B44,[44]TrtCodes!$B$11:K99,4)</f>
        <v>8</v>
      </c>
      <c r="F44" s="50">
        <f>VLOOKUP($B44,[44]TrtCodes!$B$11:L99,5)</f>
        <v>0</v>
      </c>
      <c r="G44" s="50">
        <f>VLOOKUP($B44,[44]TrtCodes!$B$11:M99,6)</f>
        <v>1</v>
      </c>
      <c r="H44" s="50">
        <f>VLOOKUP($B44,[44]TrtCodes!$B$11:N99,7)</f>
        <v>1</v>
      </c>
      <c r="I44" s="50">
        <f>[44]FormattedData!B56</f>
        <v>1</v>
      </c>
      <c r="J44" s="48">
        <f>[44]FormattedData!C56</f>
        <v>13.292999999999999</v>
      </c>
      <c r="K44" s="47">
        <f>$J$3+[44]FormattedData!D56*$J$4+$M$4*$J$5+[44]FormattedData!D56^2*$J$6+$M$5*$J$7</f>
        <v>57.359701671592681</v>
      </c>
      <c r="L44" s="47">
        <f>$J$3+[44]FormattedData!E56*$J$4+$M$4*$J$5+[44]FormattedData!E56^2*$J$6+$M$5*$J$7</f>
        <v>57.359701671592681</v>
      </c>
      <c r="M44" s="47">
        <f>$J$3+[44]FormattedData!F56*$J$4+$M$4*$J$5+[44]FormattedData!F56^2*$J$6+$M$5*$J$7</f>
        <v>58.034965740407593</v>
      </c>
      <c r="N44" s="47">
        <f>$J$3+[44]FormattedData!G56*$J$4+$M$4*$J$5+[44]FormattedData!G56^2*$J$6+$M$5*$J$7</f>
        <v>57.275103454570129</v>
      </c>
      <c r="O44" s="47">
        <f>$J$3+[44]FormattedData!H56*$J$4+$M$4*$J$5+[44]FormattedData!H56^2*$J$6+$M$5*$J$7</f>
        <v>57.359701671592681</v>
      </c>
      <c r="P44" s="47">
        <f>$J$3+[44]FormattedData!I56*$J$4+$M$4*$J$5+[44]FormattedData!I56^2*$J$6+$M$5*$J$7</f>
        <v>57.950705671688482</v>
      </c>
      <c r="Q44" s="47">
        <f>$J$3+[44]FormattedData!J56*$J$4+$M$4*$J$5+[44]FormattedData!J56^2*$J$6+$M$5*$J$7</f>
        <v>57.866403334431446</v>
      </c>
      <c r="R44" s="47">
        <f>$J$3+[44]FormattedData!K56*$J$4+$M$4*$J$5+[44]FormattedData!K56^2*$J$6+$M$5*$J$7</f>
        <v>57.950705671688482</v>
      </c>
      <c r="S44" s="47">
        <f>$J$3+[44]FormattedData!L56*$J$4+$M$4*$J$5+[44]FormattedData!L56^2*$J$6+$M$5*$J$7</f>
        <v>58.623602702379245</v>
      </c>
      <c r="T44" s="47">
        <f>$J$3+[44]FormattedData!M56*$J$4+$M$4*$J$5+[44]FormattedData!M56^2*$J$6+$M$5*$J$7</f>
        <v>58.539638513425665</v>
      </c>
      <c r="U44" s="47">
        <f>$J$3+[44]FormattedData!N56*$J$4+$M$4*$J$5+[44]FormattedData!N56^2*$J$6+$M$5*$J$7</f>
        <v>58.539638513425665</v>
      </c>
      <c r="V44" s="47">
        <f>$J$3+[44]FormattedData!O56*$J$4+$M$4*$J$5+[44]FormattedData!O56^2*$J$6+$M$5*$J$7</f>
        <v>58.707524622794899</v>
      </c>
      <c r="W44" s="49">
        <f>AVERAGE(K44:V44)</f>
        <v>57.963949436632468</v>
      </c>
      <c r="X44" s="48">
        <f>STDEV(K44:V44)/SQRT(COUNT(K44:V44))</f>
        <v>0.15656459937227493</v>
      </c>
      <c r="Y44" s="47">
        <f>MIN(K44:V44)</f>
        <v>57.275103454570129</v>
      </c>
      <c r="Z44" s="46">
        <f>QUARTILE(K44:V44,1)</f>
        <v>57.359701671592681</v>
      </c>
      <c r="AA44" s="47">
        <f>MEDIAN(K44:V44)</f>
        <v>57.950705671688482</v>
      </c>
      <c r="AB44" s="46">
        <f>QUARTILE(K44:V44,3)</f>
        <v>58.539638513425665</v>
      </c>
      <c r="AC44" s="46">
        <f>MAX(K44:V44)</f>
        <v>58.707524622794899</v>
      </c>
      <c r="AD44" s="46">
        <f>SKEW(K44:V44)</f>
        <v>6.1855921334048651E-2</v>
      </c>
      <c r="AE44" s="46">
        <f>KURT(K44:V44)</f>
        <v>-1.5930813456270037</v>
      </c>
    </row>
    <row r="45" spans="2:31" x14ac:dyDescent="0.2">
      <c r="B45" s="34">
        <f>[44]FormattedData!A54</f>
        <v>904</v>
      </c>
      <c r="C45" s="34" t="str">
        <f>VLOOKUP($B45,[44]TrtCodes!$B$11:I97,2)</f>
        <v>Early</v>
      </c>
      <c r="D45" s="34">
        <f>VLOOKUP($B45,[44]TrtCodes!$B$11:J97,3)</f>
        <v>21</v>
      </c>
      <c r="E45" s="34">
        <f>VLOOKUP($B45,[44]TrtCodes!$B$11:K97,4)</f>
        <v>3</v>
      </c>
      <c r="F45" s="34">
        <f>VLOOKUP($B45,[44]TrtCodes!$B$11:L97,5)</f>
        <v>2</v>
      </c>
      <c r="G45" s="34">
        <f>VLOOKUP($B45,[44]TrtCodes!$B$11:M97,6)</f>
        <v>2</v>
      </c>
      <c r="H45" s="34">
        <f>VLOOKUP($B45,[44]TrtCodes!$B$11:N97,7)</f>
        <v>1</v>
      </c>
      <c r="I45" s="34">
        <f>[44]FormattedData!B54</f>
        <v>1</v>
      </c>
      <c r="J45" s="37">
        <f>[44]FormattedData!C54</f>
        <v>13.284000000000001</v>
      </c>
      <c r="K45" s="39">
        <f>$J$3+[44]FormattedData!D54*$J$4+$M$4*$J$5+[44]FormattedData!D54^2*$J$6+$M$5*$J$7</f>
        <v>42.645915224562685</v>
      </c>
      <c r="L45" s="39">
        <f>$J$3+[44]FormattedData!E54*$J$4+$M$4*$J$5+[44]FormattedData!E54^2*$J$6+$M$5*$J$7</f>
        <v>43.37765006005359</v>
      </c>
      <c r="M45" s="39">
        <f>$J$3+[44]FormattedData!F54*$J$4+$M$4*$J$5+[44]FormattedData!F54^2*$J$6+$M$5*$J$7</f>
        <v>37.448026156153695</v>
      </c>
      <c r="N45" s="39">
        <f>$J$3+[44]FormattedData!G54*$J$4+$M$4*$J$5+[44]FormattedData!G54^2*$J$6+$M$5*$J$7</f>
        <v>44.470180088738218</v>
      </c>
      <c r="O45" s="39">
        <f>$J$3+[44]FormattedData!H54*$J$4+$M$4*$J$5+[44]FormattedData!H54^2*$J$6+$M$5*$J$7</f>
        <v>37.917512632990714</v>
      </c>
      <c r="P45" s="39">
        <f>$J$3+[44]FormattedData!I54*$J$4+$M$4*$J$5+[44]FormattedData!I54^2*$J$6+$M$5*$J$7</f>
        <v>44.197618206829134</v>
      </c>
      <c r="Q45" s="39">
        <f>$J$3+[44]FormattedData!J54*$J$4+$M$4*$J$5+[44]FormattedData!J54^2*$J$6+$M$5*$J$7</f>
        <v>41.911475202644176</v>
      </c>
      <c r="R45" s="39">
        <f>$J$3+[44]FormattedData!K54*$J$4+$M$4*$J$5+[44]FormattedData!K54^2*$J$6+$M$5*$J$7</f>
        <v>40.89720311029243</v>
      </c>
      <c r="S45" s="39">
        <f>$J$3+[44]FormattedData!L54*$J$4+$M$4*$J$5+[44]FormattedData!L54^2*$J$6+$M$5*$J$7</f>
        <v>39.6919240183231</v>
      </c>
      <c r="T45" s="39">
        <f>$J$3+[44]FormattedData!M54*$J$4+$M$4*$J$5+[44]FormattedData!M54^2*$J$6+$M$5*$J$7</f>
        <v>41.727442511785242</v>
      </c>
      <c r="U45" s="39">
        <f>$J$3+[44]FormattedData!N54*$J$4+$M$4*$J$5+[44]FormattedData!N54^2*$J$6+$M$5*$J$7</f>
        <v>44.379368396639784</v>
      </c>
      <c r="V45" s="39">
        <f>$J$3+[44]FormattedData!O54*$J$4+$M$4*$J$5+[44]FormattedData!O54^2*$J$6+$M$5*$J$7</f>
        <v>39.319631782812117</v>
      </c>
      <c r="W45" s="38">
        <f>AVERAGE(K45:V45)</f>
        <v>41.49866228265207</v>
      </c>
      <c r="X45" s="37">
        <f>STDEV(K45:V45)/SQRT(COUNT(K45:V45))</f>
        <v>0.71291550458687525</v>
      </c>
      <c r="Y45" s="36">
        <f>MIN(K45:V45)</f>
        <v>37.448026156153695</v>
      </c>
      <c r="Z45" s="35">
        <f>QUARTILE(K45:V45,1)</f>
        <v>39.598850959445357</v>
      </c>
      <c r="AA45" s="36">
        <f>MEDIAN(K45:V45)</f>
        <v>41.819458857214713</v>
      </c>
      <c r="AB45" s="35">
        <f>QUARTILE(K45:V45,3)</f>
        <v>43.582642096747477</v>
      </c>
      <c r="AC45" s="35">
        <f>MAX(K45:V45)</f>
        <v>44.470180088738218</v>
      </c>
      <c r="AD45" s="35">
        <f>SKEW(K45:V45)</f>
        <v>-0.36807533982966639</v>
      </c>
      <c r="AE45" s="35">
        <f>KURT(K45:V45)</f>
        <v>-1.1479118538864372</v>
      </c>
    </row>
    <row r="46" spans="2:31" x14ac:dyDescent="0.2">
      <c r="B46" s="50">
        <f>[44]FormattedData!A52</f>
        <v>905</v>
      </c>
      <c r="C46" s="50" t="str">
        <f>VLOOKUP($B46,[44]TrtCodes!$B$11:I95,2)</f>
        <v>WS</v>
      </c>
      <c r="D46" s="50">
        <f>VLOOKUP($B46,[44]TrtCodes!$B$11:J95,3)</f>
        <v>32</v>
      </c>
      <c r="E46" s="50">
        <f>VLOOKUP($B46,[44]TrtCodes!$B$11:K95,4)</f>
        <v>9</v>
      </c>
      <c r="F46" s="50">
        <f>VLOOKUP($B46,[44]TrtCodes!$B$11:L95,5)</f>
        <v>0</v>
      </c>
      <c r="G46" s="50">
        <f>VLOOKUP($B46,[44]TrtCodes!$B$11:M95,6)</f>
        <v>1</v>
      </c>
      <c r="H46" s="50">
        <f>VLOOKUP($B46,[44]TrtCodes!$B$11:N95,7)</f>
        <v>2</v>
      </c>
      <c r="I46" s="50">
        <f>[44]FormattedData!B52</f>
        <v>1</v>
      </c>
      <c r="J46" s="48">
        <f>[44]FormattedData!C52</f>
        <v>13.276</v>
      </c>
      <c r="K46" s="47">
        <f>$J$3+[44]FormattedData!D52*$J$4+$M$4*$J$5+[44]FormattedData!D52^2*$J$6+$M$5*$J$7</f>
        <v>46.187571216401501</v>
      </c>
      <c r="L46" s="47">
        <f>$J$3+[44]FormattedData!E52*$J$4+$M$4*$J$5+[44]FormattedData!E52^2*$J$6+$M$5*$J$7</f>
        <v>47.174875981553186</v>
      </c>
      <c r="M46" s="47">
        <f>$J$3+[44]FormattedData!F52*$J$4+$M$4*$J$5+[44]FormattedData!F52^2*$J$6+$M$5*$J$7</f>
        <v>47.085332345592683</v>
      </c>
      <c r="N46" s="47">
        <f>$J$3+[44]FormattedData!G52*$J$4+$M$4*$J$5+[44]FormattedData!G52^2*$J$6+$M$5*$J$7</f>
        <v>47.443253278207081</v>
      </c>
      <c r="O46" s="47">
        <f>$J$3+[44]FormattedData!H52*$J$4+$M$4*$J$5+[44]FormattedData!H52^2*$J$6+$M$5*$J$7</f>
        <v>47.532627840015856</v>
      </c>
      <c r="P46" s="47">
        <f>$J$3+[44]FormattedData!I52*$J$4+$M$4*$J$5+[44]FormattedData!I52^2*$J$6+$M$5*$J$7</f>
        <v>48.779433508855902</v>
      </c>
      <c r="Q46" s="47">
        <f>$J$3+[44]FormattedData!J52*$J$4+$M$4*$J$5+[44]FormattedData!J52^2*$J$6+$M$5*$J$7</f>
        <v>47.800497914214588</v>
      </c>
      <c r="R46" s="47">
        <f>$J$3+[44]FormattedData!K52*$J$4+$M$4*$J$5+[44]FormattedData!K52^2*$J$6+$M$5*$J$7</f>
        <v>47.443253278207081</v>
      </c>
      <c r="S46" s="47">
        <f>$J$3+[44]FormattedData!L52*$J$4+$M$4*$J$5+[44]FormattedData!L52^2*$J$6+$M$5*$J$7</f>
        <v>46.367461590543186</v>
      </c>
      <c r="T46" s="47">
        <f>$J$3+[44]FormattedData!M52*$J$4+$M$4*$J$5+[44]FormattedData!M52^2*$J$6+$M$5*$J$7</f>
        <v>46.906118268057895</v>
      </c>
      <c r="U46" s="47">
        <f>$J$3+[44]FormattedData!N52*$J$4+$M$4*$J$5+[44]FormattedData!N52^2*$J$6+$M$5*$J$7</f>
        <v>46.906118268057895</v>
      </c>
      <c r="V46" s="47">
        <f>$J$3+[44]FormattedData!O52*$J$4+$M$4*$J$5+[44]FormattedData!O52^2*$J$6+$M$5*$J$7</f>
        <v>47.174875981553186</v>
      </c>
      <c r="W46" s="49">
        <f>AVERAGE(K46:V46)</f>
        <v>47.233451622605003</v>
      </c>
      <c r="X46" s="48">
        <f>STDEV(K46:V46)/SQRT(COUNT(K46:V46))</f>
        <v>0.19415788852460505</v>
      </c>
      <c r="Y46" s="47">
        <f>MIN(K46:V46)</f>
        <v>46.187571216401501</v>
      </c>
      <c r="Z46" s="46">
        <f>QUARTILE(K46:V46,1)</f>
        <v>46.906118268057895</v>
      </c>
      <c r="AA46" s="47">
        <f>MEDIAN(K46:V46)</f>
        <v>47.174875981553186</v>
      </c>
      <c r="AB46" s="46">
        <f>QUARTILE(K46:V46,3)</f>
        <v>47.465596918659273</v>
      </c>
      <c r="AC46" s="46">
        <f>MAX(K46:V46)</f>
        <v>48.779433508855902</v>
      </c>
      <c r="AD46" s="46">
        <f>SKEW(K46:V46)</f>
        <v>0.73692254393026779</v>
      </c>
      <c r="AE46" s="46">
        <f>KURT(K46:V46)</f>
        <v>1.8266433229847756</v>
      </c>
    </row>
    <row r="47" spans="2:31" x14ac:dyDescent="0.2">
      <c r="B47" s="34">
        <f>[44]FormattedData!A50</f>
        <v>906</v>
      </c>
      <c r="C47" s="34" t="str">
        <f>VLOOKUP($B47,[44]TrtCodes!$B$11:I93,2)</f>
        <v>Late</v>
      </c>
      <c r="D47" s="34">
        <f>VLOOKUP($B47,[44]TrtCodes!$B$11:J93,3)</f>
        <v>22</v>
      </c>
      <c r="E47" s="34">
        <f>VLOOKUP($B47,[44]TrtCodes!$B$11:K93,4)</f>
        <v>4</v>
      </c>
      <c r="F47" s="34">
        <f>VLOOKUP($B47,[44]TrtCodes!$B$11:L93,5)</f>
        <v>2</v>
      </c>
      <c r="G47" s="34">
        <f>VLOOKUP($B47,[44]TrtCodes!$B$11:M93,6)</f>
        <v>2</v>
      </c>
      <c r="H47" s="34">
        <f>VLOOKUP($B47,[44]TrtCodes!$B$11:N93,7)</f>
        <v>2</v>
      </c>
      <c r="I47" s="34">
        <f>[44]FormattedData!B50</f>
        <v>1</v>
      </c>
      <c r="J47" s="37">
        <f>[44]FormattedData!C50</f>
        <v>13.266</v>
      </c>
      <c r="K47" s="39">
        <f>$J$3+[44]FormattedData!D50*$J$4+$M$4*$J$5+[44]FormattedData!D50^2*$J$6+$M$5*$J$7</f>
        <v>36.788969809988764</v>
      </c>
      <c r="L47" s="39">
        <f>$J$3+[44]FormattedData!E50*$J$4+$M$4*$J$5+[44]FormattedData!E50^2*$J$6+$M$5*$J$7</f>
        <v>44.379368396639784</v>
      </c>
      <c r="M47" s="39">
        <f>$J$3+[44]FormattedData!F50*$J$4+$M$4*$J$5+[44]FormattedData!F50^2*$J$6+$M$5*$J$7</f>
        <v>40.712240511599006</v>
      </c>
      <c r="N47" s="39">
        <f>$J$3+[44]FormattedData!G50*$J$4+$M$4*$J$5+[44]FormattedData!G50^2*$J$6+$M$5*$J$7</f>
        <v>44.106679709116918</v>
      </c>
      <c r="O47" s="39">
        <f>$J$3+[44]FormattedData!H50*$J$4+$M$4*$J$5+[44]FormattedData!H50^2*$J$6+$M$5*$J$7</f>
        <v>43.924675908078662</v>
      </c>
      <c r="P47" s="39">
        <f>$J$3+[44]FormattedData!I50*$J$4+$M$4*$J$5+[44]FormattedData!I50^2*$J$6+$M$5*$J$7</f>
        <v>48.868174042595705</v>
      </c>
      <c r="Q47" s="39">
        <f>$J$3+[44]FormattedData!J50*$J$4+$M$4*$J$5+[44]FormattedData!J50^2*$J$6+$M$5*$J$7</f>
        <v>43.012120790611583</v>
      </c>
      <c r="R47" s="39">
        <f>$J$3+[44]FormattedData!K50*$J$4+$M$4*$J$5+[44]FormattedData!K50^2*$J$6+$M$5*$J$7</f>
        <v>45.556623447960767</v>
      </c>
      <c r="S47" s="39">
        <f>$J$3+[44]FormattedData!L50*$J$4+$M$4*$J$5+[44]FormattedData!L50^2*$J$6+$M$5*$J$7</f>
        <v>45.646885649066093</v>
      </c>
      <c r="T47" s="39">
        <f>$J$3+[44]FormattedData!M50*$J$4+$M$4*$J$5+[44]FormattedData!M50^2*$J$6+$M$5*$J$7</f>
        <v>43.37765006005359</v>
      </c>
      <c r="U47" s="39">
        <f>$J$3+[44]FormattedData!N50*$J$4+$M$4*$J$5+[44]FormattedData!N50^2*$J$6+$M$5*$J$7</f>
        <v>42.003428145266746</v>
      </c>
      <c r="V47" s="39">
        <f>$J$3+[44]FormattedData!O50*$J$4+$M$4*$J$5+[44]FormattedData!O50^2*$J$6+$M$5*$J$7</f>
        <v>40.89720311029243</v>
      </c>
      <c r="W47" s="38">
        <f>AVERAGE(K47:V47)</f>
        <v>43.272834965105837</v>
      </c>
      <c r="X47" s="37">
        <f>STDEV(K47:V47)/SQRT(COUNT(K47:V47))</f>
        <v>0.87228090744685027</v>
      </c>
      <c r="Y47" s="36">
        <f>MIN(K47:V47)</f>
        <v>36.788969809988764</v>
      </c>
      <c r="Z47" s="35">
        <f>QUARTILE(K47:V47,1)</f>
        <v>41.72687188652317</v>
      </c>
      <c r="AA47" s="36">
        <f>MEDIAN(K47:V47)</f>
        <v>43.651162984066126</v>
      </c>
      <c r="AB47" s="35">
        <f>QUARTILE(K47:V47,3)</f>
        <v>44.673682159470033</v>
      </c>
      <c r="AC47" s="35">
        <f>MAX(K47:V47)</f>
        <v>48.868174042595705</v>
      </c>
      <c r="AD47" s="35">
        <f>SKEW(K47:V47)</f>
        <v>-0.40395765770865882</v>
      </c>
      <c r="AE47" s="35">
        <f>KURT(K47:V47)</f>
        <v>1.4220025393231035</v>
      </c>
    </row>
    <row r="48" spans="2:31" x14ac:dyDescent="0.2">
      <c r="B48" s="50">
        <f>[44]FormattedData!A48</f>
        <v>907</v>
      </c>
      <c r="C48" s="50" t="str">
        <f>VLOOKUP($B48,[44]TrtCodes!$B$11:I91,2)</f>
        <v>DS</v>
      </c>
      <c r="D48" s="50">
        <f>VLOOKUP($B48,[44]TrtCodes!$B$11:J91,3)</f>
        <v>31</v>
      </c>
      <c r="E48" s="50">
        <f>VLOOKUP($B48,[44]TrtCodes!$B$11:K91,4)</f>
        <v>8</v>
      </c>
      <c r="F48" s="50">
        <f>VLOOKUP($B48,[44]TrtCodes!$B$11:L91,5)</f>
        <v>0</v>
      </c>
      <c r="G48" s="50">
        <f>VLOOKUP($B48,[44]TrtCodes!$B$11:M91,6)</f>
        <v>1</v>
      </c>
      <c r="H48" s="50">
        <f>VLOOKUP($B48,[44]TrtCodes!$B$11:N91,7)</f>
        <v>2</v>
      </c>
      <c r="I48" s="50">
        <f>[44]FormattedData!B48</f>
        <v>1</v>
      </c>
      <c r="J48" s="48">
        <f>[44]FormattedData!C48</f>
        <v>13.257999999999999</v>
      </c>
      <c r="K48" s="47">
        <f>$J$3+[44]FormattedData!D48*$J$4+$M$4*$J$5+[44]FormattedData!D48^2*$J$6+$M$5*$J$7</f>
        <v>57.950705671688482</v>
      </c>
      <c r="L48" s="47">
        <f>$J$3+[44]FormattedData!E48*$J$4+$M$4*$J$5+[44]FormattedData!E48^2*$J$6+$M$5*$J$7</f>
        <v>57.613242711432761</v>
      </c>
      <c r="M48" s="47">
        <f>$J$3+[44]FormattedData!F48*$J$4+$M$4*$J$5+[44]FormattedData!F48^2*$J$6+$M$5*$J$7</f>
        <v>58.455632055934146</v>
      </c>
      <c r="N48" s="47">
        <f>$J$3+[44]FormattedData!G48*$J$4+$M$4*$J$5+[44]FormattedData!G48^2*$J$6+$M$5*$J$7</f>
        <v>58.119183540588764</v>
      </c>
      <c r="O48" s="47">
        <f>$J$3+[44]FormattedData!H48*$J$4+$M$4*$J$5+[44]FormattedData!H48^2*$J$6+$M$5*$J$7</f>
        <v>58.287492335337312</v>
      </c>
      <c r="P48" s="47">
        <f>$J$3+[44]FormattedData!I48*$J$4+$M$4*$J$5+[44]FormattedData!I48^2*$J$6+$M$5*$J$7</f>
        <v>58.287492335337312</v>
      </c>
      <c r="Q48" s="47">
        <f>$J$3+[44]FormattedData!J48*$J$4+$M$4*$J$5+[44]FormattedData!J48^2*$J$6+$M$5*$J$7</f>
        <v>57.52877130002399</v>
      </c>
      <c r="R48" s="47">
        <f>$J$3+[44]FormattedData!K48*$J$4+$M$4*$J$5+[44]FormattedData!K48^2*$J$6+$M$5*$J$7</f>
        <v>58.119183540588764</v>
      </c>
      <c r="S48" s="47">
        <f>$J$3+[44]FormattedData!L48*$J$4+$M$4*$J$5+[44]FormattedData!L48^2*$J$6+$M$5*$J$7</f>
        <v>58.371583329904688</v>
      </c>
      <c r="T48" s="47">
        <f>$J$3+[44]FormattedData!M48*$J$4+$M$4*$J$5+[44]FormattedData!M48^2*$J$6+$M$5*$J$7</f>
        <v>58.791404274672622</v>
      </c>
      <c r="U48" s="47">
        <f>$J$3+[44]FormattedData!N48*$J$4+$M$4*$J$5+[44]FormattedData!N48^2*$J$6+$M$5*$J$7</f>
        <v>58.707524622794899</v>
      </c>
      <c r="V48" s="47">
        <f>$J$3+[44]FormattedData!O48*$J$4+$M$4*$J$5+[44]FormattedData!O48^2*$J$6+$M$5*$J$7</f>
        <v>58.623602702379245</v>
      </c>
      <c r="W48" s="49">
        <f>AVERAGE(K48:V48)</f>
        <v>58.237984868390249</v>
      </c>
      <c r="X48" s="48">
        <f>STDEV(K48:V48)/SQRT(COUNT(K48:V48))</f>
        <v>0.11512858607929741</v>
      </c>
      <c r="Y48" s="47">
        <f>MIN(K48:V48)</f>
        <v>57.52877130002399</v>
      </c>
      <c r="Z48" s="46">
        <f>QUARTILE(K48:V48,1)</f>
        <v>58.077064073363694</v>
      </c>
      <c r="AA48" s="47">
        <f>MEDIAN(K48:V48)</f>
        <v>58.287492335337312</v>
      </c>
      <c r="AB48" s="46">
        <f>QUARTILE(K48:V48,3)</f>
        <v>58.49762471754542</v>
      </c>
      <c r="AC48" s="46">
        <f>MAX(K48:V48)</f>
        <v>58.791404274672622</v>
      </c>
      <c r="AD48" s="46">
        <f>SKEW(K48:V48)</f>
        <v>-0.48897730416618324</v>
      </c>
      <c r="AE48" s="46">
        <f>KURT(K48:V48)</f>
        <v>-0.42299225603504054</v>
      </c>
    </row>
    <row r="49" spans="2:31" ht="13.5" thickBot="1" x14ac:dyDescent="0.25">
      <c r="B49" s="45">
        <f>[44]FormattedData!A46</f>
        <v>908</v>
      </c>
      <c r="C49" s="45" t="str">
        <f>VLOOKUP($B49,[44]TrtCodes!$B$11:I89,2)</f>
        <v>Early</v>
      </c>
      <c r="D49" s="45">
        <f>VLOOKUP($B49,[44]TrtCodes!$B$11:J89,3)</f>
        <v>21</v>
      </c>
      <c r="E49" s="45">
        <f>VLOOKUP($B49,[44]TrtCodes!$B$11:K89,4)</f>
        <v>3</v>
      </c>
      <c r="F49" s="45">
        <f>VLOOKUP($B49,[44]TrtCodes!$B$11:L89,5)</f>
        <v>2</v>
      </c>
      <c r="G49" s="45">
        <f>VLOOKUP($B49,[44]TrtCodes!$B$11:M89,6)</f>
        <v>2</v>
      </c>
      <c r="H49" s="45">
        <f>VLOOKUP($B49,[44]TrtCodes!$B$11:N89,7)</f>
        <v>2</v>
      </c>
      <c r="I49" s="45">
        <f>[44]FormattedData!B46</f>
        <v>1</v>
      </c>
      <c r="J49" s="42">
        <f>[44]FormattedData!C46</f>
        <v>13.249000000000001</v>
      </c>
      <c r="K49" s="44">
        <f>$J$3+[44]FormattedData!D46*$J$4+$M$4*$J$5+[44]FormattedData!D46^2*$J$6+$M$5*$J$7</f>
        <v>40.619695809445396</v>
      </c>
      <c r="L49" s="44">
        <f>$J$3+[44]FormattedData!E46*$J$4+$M$4*$J$5+[44]FormattedData!E46^2*$J$6+$M$5*$J$7</f>
        <v>44.833004171752634</v>
      </c>
      <c r="M49" s="44">
        <f>$J$3+[44]FormattedData!F46*$J$4+$M$4*$J$5+[44]FormattedData!F46^2*$J$6+$M$5*$J$7</f>
        <v>40.063539957227199</v>
      </c>
      <c r="N49" s="44">
        <f>$J$3+[44]FormattedData!G46*$J$4+$M$4*$J$5+[44]FormattedData!G46^2*$J$6+$M$5*$J$7</f>
        <v>43.924675908078662</v>
      </c>
      <c r="O49" s="44">
        <f>$J$3+[44]FormattedData!H46*$J$4+$M$4*$J$5+[44]FormattedData!H46^2*$J$6+$M$5*$J$7</f>
        <v>45.285583233417206</v>
      </c>
      <c r="P49" s="44">
        <f>$J$3+[44]FormattedData!I46*$J$4+$M$4*$J$5+[44]FormattedData!I46^2*$J$6+$M$5*$J$7</f>
        <v>46.457343374807138</v>
      </c>
      <c r="Q49" s="44">
        <f>$J$3+[44]FormattedData!J46*$J$4+$M$4*$J$5+[44]FormattedData!J46^2*$J$6+$M$5*$J$7</f>
        <v>41.635362763548869</v>
      </c>
      <c r="R49" s="44">
        <f>$J$3+[44]FormattedData!K46*$J$4+$M$4*$J$5+[44]FormattedData!K46^2*$J$6+$M$5*$J$7</f>
        <v>46.816447826483603</v>
      </c>
      <c r="S49" s="44">
        <f>$J$3+[44]FormattedData!L46*$J$4+$M$4*$J$5+[44]FormattedData!L46^2*$J$6+$M$5*$J$7</f>
        <v>42.003428145266746</v>
      </c>
      <c r="T49" s="44">
        <f>$J$3+[44]FormattedData!M46*$J$4+$M$4*$J$5+[44]FormattedData!M46^2*$J$6+$M$5*$J$7</f>
        <v>49.04552830446152</v>
      </c>
      <c r="U49" s="44">
        <f>$J$3+[44]FormattedData!N46*$J$4+$M$4*$J$5+[44]FormattedData!N46^2*$J$6+$M$5*$J$7</f>
        <v>38.666493031957536</v>
      </c>
      <c r="V49" s="44">
        <f>$J$3+[44]FormattedData!O46*$J$4+$M$4*$J$5+[44]FormattedData!O46^2*$J$6+$M$5*$J$7</f>
        <v>42.554258161705626</v>
      </c>
      <c r="W49" s="43">
        <f>AVERAGE(K49:V49)</f>
        <v>43.49211339067935</v>
      </c>
      <c r="X49" s="42">
        <f>STDEV(K49:V49)/SQRT(COUNT(K49:V49))</f>
        <v>0.89494213236547193</v>
      </c>
      <c r="Y49" s="41">
        <f>MIN(K49:V49)</f>
        <v>38.666493031957536</v>
      </c>
      <c r="Z49" s="40">
        <f>QUARTILE(K49:V49,1)</f>
        <v>41.381446025023003</v>
      </c>
      <c r="AA49" s="41">
        <f>MEDIAN(K49:V49)</f>
        <v>43.239467034892144</v>
      </c>
      <c r="AB49" s="40">
        <f>QUARTILE(K49:V49,3)</f>
        <v>45.578523268764691</v>
      </c>
      <c r="AC49" s="40">
        <f>MAX(K49:V49)</f>
        <v>49.04552830446152</v>
      </c>
      <c r="AD49" s="40">
        <f>SKEW(K49:V49)</f>
        <v>0.20297916510855579</v>
      </c>
      <c r="AE49" s="40">
        <f>KURT(K49:V49)</f>
        <v>-0.74051980474819779</v>
      </c>
    </row>
    <row r="50" spans="2:31" ht="13.5" thickTop="1" x14ac:dyDescent="0.2">
      <c r="B50" s="34">
        <f>[44]FormattedData!A29</f>
        <v>0</v>
      </c>
      <c r="C50" s="34" t="e">
        <f>VLOOKUP($B50,[44]TrtCodes!$B$11:I72,2)</f>
        <v>#N/A</v>
      </c>
      <c r="D50" s="34" t="e">
        <f>VLOOKUP($B50,[44]TrtCodes!$B$11:J72,3)</f>
        <v>#N/A</v>
      </c>
      <c r="E50" s="34" t="e">
        <f>VLOOKUP($B50,[44]TrtCodes!$B$11:K72,4)</f>
        <v>#N/A</v>
      </c>
      <c r="F50" s="34" t="e">
        <f>VLOOKUP($B50,[44]TrtCodes!$B$11:L72,5)</f>
        <v>#N/A</v>
      </c>
      <c r="G50" s="34" t="e">
        <f>VLOOKUP($B50,[44]TrtCodes!$B$11:M72,6)</f>
        <v>#N/A</v>
      </c>
      <c r="H50" s="34" t="e">
        <f>VLOOKUP($B50,[44]TrtCodes!$B$11:N72,7)</f>
        <v>#N/A</v>
      </c>
      <c r="I50" s="34">
        <f>[44]FormattedData!B29</f>
        <v>0</v>
      </c>
      <c r="J50" s="37">
        <f>[44]FormattedData!C29</f>
        <v>0</v>
      </c>
      <c r="K50" s="39">
        <f>$J$3+[44]FormattedData!D29*$J$4+$M$4*$J$5+[44]FormattedData!D29^2*$J$6+$M$5*$J$7</f>
        <v>-0.66526040004926879</v>
      </c>
      <c r="L50" s="39">
        <f>$J$3+[44]FormattedData!E29*$J$4+$M$4*$J$5+[44]FormattedData!E29^2*$J$6+$M$5*$J$7</f>
        <v>-0.66526040004926879</v>
      </c>
      <c r="M50" s="39">
        <f>$J$3+[44]FormattedData!F29*$J$4+$M$4*$J$5+[44]FormattedData!F29^2*$J$6+$M$5*$J$7</f>
        <v>-0.66526040004926879</v>
      </c>
      <c r="N50" s="39">
        <f>$J$3+[44]FormattedData!G29*$J$4+$M$4*$J$5+[44]FormattedData!G29^2*$J$6+$M$5*$J$7</f>
        <v>-0.66526040004926879</v>
      </c>
      <c r="O50" s="39">
        <f>$J$3+[44]FormattedData!H29*$J$4+$M$4*$J$5+[44]FormattedData!H29^2*$J$6+$M$5*$J$7</f>
        <v>-0.66526040004926879</v>
      </c>
      <c r="P50" s="39">
        <f>$J$3+[44]FormattedData!I29*$J$4+$M$4*$J$5+[44]FormattedData!I29^2*$J$6+$M$5*$J$7</f>
        <v>-0.66526040004926879</v>
      </c>
      <c r="Q50" s="39">
        <f>$J$3+[44]FormattedData!J29*$J$4+$M$4*$J$5+[44]FormattedData!J29^2*$J$6+$M$5*$J$7</f>
        <v>-0.66526040004926879</v>
      </c>
      <c r="R50" s="39">
        <f>$J$3+[44]FormattedData!K29*$J$4+$M$4*$J$5+[44]FormattedData!K29^2*$J$6+$M$5*$J$7</f>
        <v>-0.66526040004926879</v>
      </c>
      <c r="S50" s="39">
        <f>$J$3+[44]FormattedData!L29*$J$4+$M$4*$J$5+[44]FormattedData!L29^2*$J$6+$M$5*$J$7</f>
        <v>-0.66526040004926879</v>
      </c>
      <c r="T50" s="39">
        <f>$J$3+[44]FormattedData!M29*$J$4+$M$4*$J$5+[44]FormattedData!M29^2*$J$6+$M$5*$J$7</f>
        <v>-0.66526040004926879</v>
      </c>
      <c r="U50" s="39">
        <f>$J$3+[44]FormattedData!N29*$J$4+$M$4*$J$5+[44]FormattedData!N29^2*$J$6+$M$5*$J$7</f>
        <v>-0.66526040004926879</v>
      </c>
      <c r="V50" s="39">
        <f>$J$3+[44]FormattedData!O29*$J$4+$M$4*$J$5+[44]FormattedData!O29^2*$J$6+$M$5*$J$7</f>
        <v>-0.66526040004926879</v>
      </c>
      <c r="W50" s="38">
        <f>AVERAGE(K50:V50)</f>
        <v>-0.66526040004926867</v>
      </c>
      <c r="X50" s="37">
        <f>STDEV(K50:V50)/SQRT(COUNT(K50:V50))</f>
        <v>3.3474483693592253E-17</v>
      </c>
      <c r="Y50" s="36">
        <f>MIN(K50:V50)</f>
        <v>-0.66526040004926879</v>
      </c>
      <c r="Z50" s="35">
        <f>QUARTILE(K50:V50,1)</f>
        <v>-0.66526040004926879</v>
      </c>
      <c r="AA50" s="36">
        <f>MEDIAN(K50:V50)</f>
        <v>-0.66526040004926879</v>
      </c>
      <c r="AB50" s="35">
        <f>QUARTILE(K50:V50,3)</f>
        <v>-0.66526040004926879</v>
      </c>
      <c r="AC50" s="35">
        <f>MAX(K50:V50)</f>
        <v>-0.66526040004926879</v>
      </c>
      <c r="AD50" s="35">
        <f>SKEW(K50:V50)</f>
        <v>-1.1489125293076057</v>
      </c>
      <c r="AE50" s="35">
        <f>KURT(K50:V50)</f>
        <v>-2.4444444444444446</v>
      </c>
    </row>
    <row r="51" spans="2:31" x14ac:dyDescent="0.2">
      <c r="B51" s="34">
        <f>[44]FormattedData!A27</f>
        <v>0</v>
      </c>
      <c r="C51" s="34" t="e">
        <f>VLOOKUP($B51,[44]TrtCodes!$B$11:I70,2)</f>
        <v>#N/A</v>
      </c>
      <c r="D51" s="34" t="e">
        <f>VLOOKUP($B51,[44]TrtCodes!$B$11:J70,3)</f>
        <v>#N/A</v>
      </c>
      <c r="E51" s="34" t="e">
        <f>VLOOKUP($B51,[44]TrtCodes!$B$11:K70,4)</f>
        <v>#N/A</v>
      </c>
      <c r="F51" s="34" t="e">
        <f>VLOOKUP($B51,[44]TrtCodes!$B$11:L70,5)</f>
        <v>#N/A</v>
      </c>
      <c r="G51" s="34" t="e">
        <f>VLOOKUP($B51,[44]TrtCodes!$B$11:M70,6)</f>
        <v>#N/A</v>
      </c>
      <c r="H51" s="34" t="e">
        <f>VLOOKUP($B51,[44]TrtCodes!$B$11:N70,7)</f>
        <v>#N/A</v>
      </c>
      <c r="I51" s="34">
        <f>[44]FormattedData!B27</f>
        <v>0</v>
      </c>
      <c r="J51" s="37">
        <f>[44]FormattedData!C27</f>
        <v>0</v>
      </c>
      <c r="K51" s="39">
        <f>$J$3+[44]FormattedData!D27*$J$4+$M$4*$J$5+[44]FormattedData!D27^2*$J$6+$M$5*$J$7</f>
        <v>-0.66526040004926879</v>
      </c>
      <c r="L51" s="39">
        <f>$J$3+[44]FormattedData!E27*$J$4+$M$4*$J$5+[44]FormattedData!E27^2*$J$6+$M$5*$J$7</f>
        <v>-0.66526040004926879</v>
      </c>
      <c r="M51" s="39">
        <f>$J$3+[44]FormattedData!F27*$J$4+$M$4*$J$5+[44]FormattedData!F27^2*$J$6+$M$5*$J$7</f>
        <v>-0.66526040004926879</v>
      </c>
      <c r="N51" s="39">
        <f>$J$3+[44]FormattedData!G27*$J$4+$M$4*$J$5+[44]FormattedData!G27^2*$J$6+$M$5*$J$7</f>
        <v>-0.66526040004926879</v>
      </c>
      <c r="O51" s="39">
        <f>$J$3+[44]FormattedData!H27*$J$4+$M$4*$J$5+[44]FormattedData!H27^2*$J$6+$M$5*$J$7</f>
        <v>-0.66526040004926879</v>
      </c>
      <c r="P51" s="39">
        <f>$J$3+[44]FormattedData!I27*$J$4+$M$4*$J$5+[44]FormattedData!I27^2*$J$6+$M$5*$J$7</f>
        <v>-0.66526040004926879</v>
      </c>
      <c r="Q51" s="39">
        <f>$J$3+[44]FormattedData!J27*$J$4+$M$4*$J$5+[44]FormattedData!J27^2*$J$6+$M$5*$J$7</f>
        <v>-0.66526040004926879</v>
      </c>
      <c r="R51" s="39">
        <f>$J$3+[44]FormattedData!K27*$J$4+$M$4*$J$5+[44]FormattedData!K27^2*$J$6+$M$5*$J$7</f>
        <v>-0.66526040004926879</v>
      </c>
      <c r="S51" s="39">
        <f>$J$3+[44]FormattedData!L27*$J$4+$M$4*$J$5+[44]FormattedData!L27^2*$J$6+$M$5*$J$7</f>
        <v>-0.66526040004926879</v>
      </c>
      <c r="T51" s="39">
        <f>$J$3+[44]FormattedData!M27*$J$4+$M$4*$J$5+[44]FormattedData!M27^2*$J$6+$M$5*$J$7</f>
        <v>-0.66526040004926879</v>
      </c>
      <c r="U51" s="39">
        <f>$J$3+[44]FormattedData!N27*$J$4+$M$4*$J$5+[44]FormattedData!N27^2*$J$6+$M$5*$J$7</f>
        <v>-0.66526040004926879</v>
      </c>
      <c r="V51" s="39">
        <f>$J$3+[44]FormattedData!O27*$J$4+$M$4*$J$5+[44]FormattedData!O27^2*$J$6+$M$5*$J$7</f>
        <v>-0.66526040004926879</v>
      </c>
      <c r="W51" s="38">
        <f>AVERAGE(K51:V51)</f>
        <v>-0.66526040004926867</v>
      </c>
      <c r="X51" s="37">
        <f>STDEV(K51:V51)/SQRT(COUNT(K51:V51))</f>
        <v>3.3474483693592253E-17</v>
      </c>
      <c r="Y51" s="36">
        <f>MIN(K51:V51)</f>
        <v>-0.66526040004926879</v>
      </c>
      <c r="Z51" s="35">
        <f>QUARTILE(K51:V51,1)</f>
        <v>-0.66526040004926879</v>
      </c>
      <c r="AA51" s="36">
        <f>MEDIAN(K51:V51)</f>
        <v>-0.66526040004926879</v>
      </c>
      <c r="AB51" s="35">
        <f>QUARTILE(K51:V51,3)</f>
        <v>-0.66526040004926879</v>
      </c>
      <c r="AC51" s="35">
        <f>MAX(K51:V51)</f>
        <v>-0.66526040004926879</v>
      </c>
      <c r="AD51" s="35">
        <f>SKEW(K51:V51)</f>
        <v>-1.1489125293076057</v>
      </c>
      <c r="AE51" s="35">
        <f>KURT(K51:V51)</f>
        <v>-2.4444444444444446</v>
      </c>
    </row>
    <row r="52" spans="2:31" x14ac:dyDescent="0.2">
      <c r="B52" s="34">
        <f>[44]FormattedData!A25</f>
        <v>0</v>
      </c>
      <c r="C52" s="34" t="e">
        <f>VLOOKUP($B52,[44]TrtCodes!$B$11:I68,2)</f>
        <v>#N/A</v>
      </c>
      <c r="D52" s="34" t="e">
        <f>VLOOKUP($B52,[44]TrtCodes!$B$11:J68,3)</f>
        <v>#N/A</v>
      </c>
      <c r="E52" s="34" t="e">
        <f>VLOOKUP($B52,[44]TrtCodes!$B$11:K68,4)</f>
        <v>#N/A</v>
      </c>
      <c r="F52" s="34" t="e">
        <f>VLOOKUP($B52,[44]TrtCodes!$B$11:L68,5)</f>
        <v>#N/A</v>
      </c>
      <c r="G52" s="34" t="e">
        <f>VLOOKUP($B52,[44]TrtCodes!$B$11:M68,6)</f>
        <v>#N/A</v>
      </c>
      <c r="H52" s="34" t="e">
        <f>VLOOKUP($B52,[44]TrtCodes!$B$11:N68,7)</f>
        <v>#N/A</v>
      </c>
      <c r="I52" s="34">
        <f>[44]FormattedData!B25</f>
        <v>0</v>
      </c>
      <c r="J52" s="37">
        <f>[44]FormattedData!C25</f>
        <v>0</v>
      </c>
      <c r="K52" s="39">
        <f>$J$3+[44]FormattedData!D25*$J$4+$M$4*$J$5+[44]FormattedData!D25^2*$J$6+$M$5*$J$7</f>
        <v>-0.66526040004926879</v>
      </c>
      <c r="L52" s="39">
        <f>$J$3+[44]FormattedData!E25*$J$4+$M$4*$J$5+[44]FormattedData!E25^2*$J$6+$M$5*$J$7</f>
        <v>-0.66526040004926879</v>
      </c>
      <c r="M52" s="39">
        <f>$J$3+[44]FormattedData!F25*$J$4+$M$4*$J$5+[44]FormattedData!F25^2*$J$6+$M$5*$J$7</f>
        <v>-0.66526040004926879</v>
      </c>
      <c r="N52" s="39">
        <f>$J$3+[44]FormattedData!G25*$J$4+$M$4*$J$5+[44]FormattedData!G25^2*$J$6+$M$5*$J$7</f>
        <v>-0.66526040004926879</v>
      </c>
      <c r="O52" s="39">
        <f>$J$3+[44]FormattedData!H25*$J$4+$M$4*$J$5+[44]FormattedData!H25^2*$J$6+$M$5*$J$7</f>
        <v>-0.66526040004926879</v>
      </c>
      <c r="P52" s="39">
        <f>$J$3+[44]FormattedData!I25*$J$4+$M$4*$J$5+[44]FormattedData!I25^2*$J$6+$M$5*$J$7</f>
        <v>-0.66526040004926879</v>
      </c>
      <c r="Q52" s="39">
        <f>$J$3+[44]FormattedData!J25*$J$4+$M$4*$J$5+[44]FormattedData!J25^2*$J$6+$M$5*$J$7</f>
        <v>-0.66526040004926879</v>
      </c>
      <c r="R52" s="39">
        <f>$J$3+[44]FormattedData!K25*$J$4+$M$4*$J$5+[44]FormattedData!K25^2*$J$6+$M$5*$J$7</f>
        <v>-0.66526040004926879</v>
      </c>
      <c r="S52" s="39">
        <f>$J$3+[44]FormattedData!L25*$J$4+$M$4*$J$5+[44]FormattedData!L25^2*$J$6+$M$5*$J$7</f>
        <v>-0.66526040004926879</v>
      </c>
      <c r="T52" s="39">
        <f>$J$3+[44]FormattedData!M25*$J$4+$M$4*$J$5+[44]FormattedData!M25^2*$J$6+$M$5*$J$7</f>
        <v>-0.66526040004926879</v>
      </c>
      <c r="U52" s="39">
        <f>$J$3+[44]FormattedData!N25*$J$4+$M$4*$J$5+[44]FormattedData!N25^2*$J$6+$M$5*$J$7</f>
        <v>-0.66526040004926879</v>
      </c>
      <c r="V52" s="39">
        <f>$J$3+[44]FormattedData!O25*$J$4+$M$4*$J$5+[44]FormattedData!O25^2*$J$6+$M$5*$J$7</f>
        <v>-0.66526040004926879</v>
      </c>
      <c r="W52" s="38">
        <f>AVERAGE(K52:V52)</f>
        <v>-0.66526040004926867</v>
      </c>
      <c r="X52" s="37">
        <f>STDEV(K52:V52)/SQRT(COUNT(K52:V52))</f>
        <v>3.3474483693592253E-17</v>
      </c>
      <c r="Y52" s="36">
        <f>MIN(K52:V52)</f>
        <v>-0.66526040004926879</v>
      </c>
      <c r="Z52" s="35">
        <f>QUARTILE(K52:V52,1)</f>
        <v>-0.66526040004926879</v>
      </c>
      <c r="AA52" s="36">
        <f>MEDIAN(K52:V52)</f>
        <v>-0.66526040004926879</v>
      </c>
      <c r="AB52" s="35">
        <f>QUARTILE(K52:V52,3)</f>
        <v>-0.66526040004926879</v>
      </c>
      <c r="AC52" s="35">
        <f>MAX(K52:V52)</f>
        <v>-0.66526040004926879</v>
      </c>
      <c r="AD52" s="35">
        <f>SKEW(K52:V52)</f>
        <v>-1.1489125293076057</v>
      </c>
      <c r="AE52" s="35">
        <f>KURT(K52:V52)</f>
        <v>-2.4444444444444446</v>
      </c>
    </row>
    <row r="53" spans="2:31" x14ac:dyDescent="0.2">
      <c r="B53" s="34">
        <f>[44]FormattedData!A23</f>
        <v>0</v>
      </c>
      <c r="C53" s="34" t="e">
        <f>VLOOKUP($B53,[44]TrtCodes!$B$11:I66,2)</f>
        <v>#N/A</v>
      </c>
      <c r="D53" s="34" t="e">
        <f>VLOOKUP($B53,[44]TrtCodes!$B$11:J66,3)</f>
        <v>#N/A</v>
      </c>
      <c r="E53" s="34" t="e">
        <f>VLOOKUP($B53,[44]TrtCodes!$B$11:K66,4)</f>
        <v>#N/A</v>
      </c>
      <c r="F53" s="34" t="e">
        <f>VLOOKUP($B53,[44]TrtCodes!$B$11:L66,5)</f>
        <v>#N/A</v>
      </c>
      <c r="G53" s="34" t="e">
        <f>VLOOKUP($B53,[44]TrtCodes!$B$11:M66,6)</f>
        <v>#N/A</v>
      </c>
      <c r="H53" s="34" t="e">
        <f>VLOOKUP($B53,[44]TrtCodes!$B$11:N66,7)</f>
        <v>#N/A</v>
      </c>
      <c r="I53" s="34">
        <f>[44]FormattedData!B23</f>
        <v>0</v>
      </c>
      <c r="J53" s="37">
        <f>[44]FormattedData!C23</f>
        <v>0</v>
      </c>
      <c r="K53" s="39">
        <f>$J$3+[44]FormattedData!D23*$J$4+$M$4*$J$5+[44]FormattedData!D23^2*$J$6+$M$5*$J$7</f>
        <v>-0.66526040004926879</v>
      </c>
      <c r="L53" s="39">
        <f>$J$3+[44]FormattedData!E23*$J$4+$M$4*$J$5+[44]FormattedData!E23^2*$J$6+$M$5*$J$7</f>
        <v>-0.66526040004926879</v>
      </c>
      <c r="M53" s="39">
        <f>$J$3+[44]FormattedData!F23*$J$4+$M$4*$J$5+[44]FormattedData!F23^2*$J$6+$M$5*$J$7</f>
        <v>-0.66526040004926879</v>
      </c>
      <c r="N53" s="39">
        <f>$J$3+[44]FormattedData!G23*$J$4+$M$4*$J$5+[44]FormattedData!G23^2*$J$6+$M$5*$J$7</f>
        <v>-0.66526040004926879</v>
      </c>
      <c r="O53" s="39">
        <f>$J$3+[44]FormattedData!H23*$J$4+$M$4*$J$5+[44]FormattedData!H23^2*$J$6+$M$5*$J$7</f>
        <v>-0.66526040004926879</v>
      </c>
      <c r="P53" s="39">
        <f>$J$3+[44]FormattedData!I23*$J$4+$M$4*$J$5+[44]FormattedData!I23^2*$J$6+$M$5*$J$7</f>
        <v>-0.66526040004926879</v>
      </c>
      <c r="Q53" s="39">
        <f>$J$3+[44]FormattedData!J23*$J$4+$M$4*$J$5+[44]FormattedData!J23^2*$J$6+$M$5*$J$7</f>
        <v>-0.66526040004926879</v>
      </c>
      <c r="R53" s="39">
        <f>$J$3+[44]FormattedData!K23*$J$4+$M$4*$J$5+[44]FormattedData!K23^2*$J$6+$M$5*$J$7</f>
        <v>-0.66526040004926879</v>
      </c>
      <c r="S53" s="39">
        <f>$J$3+[44]FormattedData!L23*$J$4+$M$4*$J$5+[44]FormattedData!L23^2*$J$6+$M$5*$J$7</f>
        <v>-0.66526040004926879</v>
      </c>
      <c r="T53" s="39">
        <f>$J$3+[44]FormattedData!M23*$J$4+$M$4*$J$5+[44]FormattedData!M23^2*$J$6+$M$5*$J$7</f>
        <v>-0.66526040004926879</v>
      </c>
      <c r="U53" s="39">
        <f>$J$3+[44]FormattedData!N23*$J$4+$M$4*$J$5+[44]FormattedData!N23^2*$J$6+$M$5*$J$7</f>
        <v>-0.66526040004926879</v>
      </c>
      <c r="V53" s="39">
        <f>$J$3+[44]FormattedData!O23*$J$4+$M$4*$J$5+[44]FormattedData!O23^2*$J$6+$M$5*$J$7</f>
        <v>-0.66526040004926879</v>
      </c>
      <c r="W53" s="38">
        <f>AVERAGE(K53:V53)</f>
        <v>-0.66526040004926867</v>
      </c>
      <c r="X53" s="37">
        <f>STDEV(K53:V53)/SQRT(COUNT(K53:V53))</f>
        <v>3.3474483693592253E-17</v>
      </c>
      <c r="Y53" s="36">
        <f>MIN(K53:V53)</f>
        <v>-0.66526040004926879</v>
      </c>
      <c r="Z53" s="35">
        <f>QUARTILE(K53:V53,1)</f>
        <v>-0.66526040004926879</v>
      </c>
      <c r="AA53" s="36">
        <f>MEDIAN(K53:V53)</f>
        <v>-0.66526040004926879</v>
      </c>
      <c r="AB53" s="35">
        <f>QUARTILE(K53:V53,3)</f>
        <v>-0.66526040004926879</v>
      </c>
      <c r="AC53" s="35">
        <f>MAX(K53:V53)</f>
        <v>-0.66526040004926879</v>
      </c>
      <c r="AD53" s="35">
        <f>SKEW(K53:V53)</f>
        <v>-1.1489125293076057</v>
      </c>
      <c r="AE53" s="35">
        <f>KURT(K53:V53)</f>
        <v>-2.4444444444444446</v>
      </c>
    </row>
    <row r="54" spans="2:31" x14ac:dyDescent="0.2">
      <c r="B54" s="34">
        <f>[44]FormattedData!A21</f>
        <v>0</v>
      </c>
      <c r="C54" s="34" t="e">
        <f>VLOOKUP($B54,[44]TrtCodes!$B$11:I64,2)</f>
        <v>#N/A</v>
      </c>
      <c r="D54" s="34" t="e">
        <f>VLOOKUP($B54,[44]TrtCodes!$B$11:J64,3)</f>
        <v>#N/A</v>
      </c>
      <c r="E54" s="34" t="e">
        <f>VLOOKUP($B54,[44]TrtCodes!$B$11:K64,4)</f>
        <v>#N/A</v>
      </c>
      <c r="F54" s="34" t="e">
        <f>VLOOKUP($B54,[44]TrtCodes!$B$11:L64,5)</f>
        <v>#N/A</v>
      </c>
      <c r="G54" s="34" t="e">
        <f>VLOOKUP($B54,[44]TrtCodes!$B$11:M64,6)</f>
        <v>#N/A</v>
      </c>
      <c r="H54" s="34" t="e">
        <f>VLOOKUP($B54,[44]TrtCodes!$B$11:N64,7)</f>
        <v>#N/A</v>
      </c>
      <c r="I54" s="34">
        <f>[44]FormattedData!B21</f>
        <v>0</v>
      </c>
      <c r="J54" s="37">
        <f>[44]FormattedData!C21</f>
        <v>0</v>
      </c>
      <c r="K54" s="39">
        <f>$J$3+[44]FormattedData!D21*$J$4+$M$4*$J$5+[44]FormattedData!D21^2*$J$6+$M$5*$J$7</f>
        <v>-0.66526040004926879</v>
      </c>
      <c r="L54" s="39">
        <f>$J$3+[44]FormattedData!E21*$J$4+$M$4*$J$5+[44]FormattedData!E21^2*$J$6+$M$5*$J$7</f>
        <v>-0.66526040004926879</v>
      </c>
      <c r="M54" s="39">
        <f>$J$3+[44]FormattedData!F21*$J$4+$M$4*$J$5+[44]FormattedData!F21^2*$J$6+$M$5*$J$7</f>
        <v>-0.66526040004926879</v>
      </c>
      <c r="N54" s="39">
        <f>$J$3+[44]FormattedData!G21*$J$4+$M$4*$J$5+[44]FormattedData!G21^2*$J$6+$M$5*$J$7</f>
        <v>-0.66526040004926879</v>
      </c>
      <c r="O54" s="39">
        <f>$J$3+[44]FormattedData!H21*$J$4+$M$4*$J$5+[44]FormattedData!H21^2*$J$6+$M$5*$J$7</f>
        <v>-0.66526040004926879</v>
      </c>
      <c r="P54" s="39">
        <f>$J$3+[44]FormattedData!I21*$J$4+$M$4*$J$5+[44]FormattedData!I21^2*$J$6+$M$5*$J$7</f>
        <v>-0.66526040004926879</v>
      </c>
      <c r="Q54" s="39">
        <f>$J$3+[44]FormattedData!J21*$J$4+$M$4*$J$5+[44]FormattedData!J21^2*$J$6+$M$5*$J$7</f>
        <v>-0.66526040004926879</v>
      </c>
      <c r="R54" s="39">
        <f>$J$3+[44]FormattedData!K21*$J$4+$M$4*$J$5+[44]FormattedData!K21^2*$J$6+$M$5*$J$7</f>
        <v>-0.66526040004926879</v>
      </c>
      <c r="S54" s="39">
        <f>$J$3+[44]FormattedData!L21*$J$4+$M$4*$J$5+[44]FormattedData!L21^2*$J$6+$M$5*$J$7</f>
        <v>-0.66526040004926879</v>
      </c>
      <c r="T54" s="39">
        <f>$J$3+[44]FormattedData!M21*$J$4+$M$4*$J$5+[44]FormattedData!M21^2*$J$6+$M$5*$J$7</f>
        <v>-0.66526040004926879</v>
      </c>
      <c r="U54" s="39">
        <f>$J$3+[44]FormattedData!N21*$J$4+$M$4*$J$5+[44]FormattedData!N21^2*$J$6+$M$5*$J$7</f>
        <v>-0.66526040004926879</v>
      </c>
      <c r="V54" s="39">
        <f>$J$3+[44]FormattedData!O21*$J$4+$M$4*$J$5+[44]FormattedData!O21^2*$J$6+$M$5*$J$7</f>
        <v>-0.66526040004926879</v>
      </c>
      <c r="W54" s="38">
        <f>AVERAGE(K54:V54)</f>
        <v>-0.66526040004926867</v>
      </c>
      <c r="X54" s="37">
        <f>STDEV(K54:V54)/SQRT(COUNT(K54:V54))</f>
        <v>3.3474483693592253E-17</v>
      </c>
      <c r="Y54" s="36">
        <f>MIN(K54:V54)</f>
        <v>-0.66526040004926879</v>
      </c>
      <c r="Z54" s="35">
        <f>QUARTILE(K54:V54,1)</f>
        <v>-0.66526040004926879</v>
      </c>
      <c r="AA54" s="36">
        <f>MEDIAN(K54:V54)</f>
        <v>-0.66526040004926879</v>
      </c>
      <c r="AB54" s="35">
        <f>QUARTILE(K54:V54,3)</f>
        <v>-0.66526040004926879</v>
      </c>
      <c r="AC54" s="35">
        <f>MAX(K54:V54)</f>
        <v>-0.66526040004926879</v>
      </c>
      <c r="AD54" s="35">
        <f>SKEW(K54:V54)</f>
        <v>-1.1489125293076057</v>
      </c>
      <c r="AE54" s="35">
        <f>KURT(K54:V54)</f>
        <v>-2.4444444444444446</v>
      </c>
    </row>
    <row r="55" spans="2:31" x14ac:dyDescent="0.2">
      <c r="B55" s="34">
        <f>[44]FormattedData!A19</f>
        <v>0</v>
      </c>
      <c r="C55" s="34" t="e">
        <f>VLOOKUP($B55,[44]TrtCodes!$B$11:I62,2)</f>
        <v>#N/A</v>
      </c>
      <c r="D55" s="34" t="e">
        <f>VLOOKUP($B55,[44]TrtCodes!$B$11:J62,3)</f>
        <v>#N/A</v>
      </c>
      <c r="E55" s="34" t="e">
        <f>VLOOKUP($B55,[44]TrtCodes!$B$11:K62,4)</f>
        <v>#N/A</v>
      </c>
      <c r="F55" s="34" t="e">
        <f>VLOOKUP($B55,[44]TrtCodes!$B$11:L62,5)</f>
        <v>#N/A</v>
      </c>
      <c r="G55" s="34" t="e">
        <f>VLOOKUP($B55,[44]TrtCodes!$B$11:M62,6)</f>
        <v>#N/A</v>
      </c>
      <c r="H55" s="34" t="e">
        <f>VLOOKUP($B55,[44]TrtCodes!$B$11:N62,7)</f>
        <v>#N/A</v>
      </c>
      <c r="I55" s="34">
        <f>[44]FormattedData!B19</f>
        <v>0</v>
      </c>
      <c r="J55" s="37">
        <f>[44]FormattedData!C19</f>
        <v>0</v>
      </c>
      <c r="K55" s="39">
        <f>$J$3+[44]FormattedData!D19*$J$4+$M$4*$J$5+[44]FormattedData!D19^2*$J$6+$M$5*$J$7</f>
        <v>-0.66526040004926879</v>
      </c>
      <c r="L55" s="39">
        <f>$J$3+[44]FormattedData!E19*$J$4+$M$4*$J$5+[44]FormattedData!E19^2*$J$6+$M$5*$J$7</f>
        <v>-0.66526040004926879</v>
      </c>
      <c r="M55" s="39">
        <f>$J$3+[44]FormattedData!F19*$J$4+$M$4*$J$5+[44]FormattedData!F19^2*$J$6+$M$5*$J$7</f>
        <v>-0.66526040004926879</v>
      </c>
      <c r="N55" s="39">
        <f>$J$3+[44]FormattedData!G19*$J$4+$M$4*$J$5+[44]FormattedData!G19^2*$J$6+$M$5*$J$7</f>
        <v>-0.66526040004926879</v>
      </c>
      <c r="O55" s="39">
        <f>$J$3+[44]FormattedData!H19*$J$4+$M$4*$J$5+[44]FormattedData!H19^2*$J$6+$M$5*$J$7</f>
        <v>-0.66526040004926879</v>
      </c>
      <c r="P55" s="39">
        <f>$J$3+[44]FormattedData!I19*$J$4+$M$4*$J$5+[44]FormattedData!I19^2*$J$6+$M$5*$J$7</f>
        <v>-0.66526040004926879</v>
      </c>
      <c r="Q55" s="39">
        <f>$J$3+[44]FormattedData!J19*$J$4+$M$4*$J$5+[44]FormattedData!J19^2*$J$6+$M$5*$J$7</f>
        <v>-0.66526040004926879</v>
      </c>
      <c r="R55" s="39">
        <f>$J$3+[44]FormattedData!K19*$J$4+$M$4*$J$5+[44]FormattedData!K19^2*$J$6+$M$5*$J$7</f>
        <v>-0.66526040004926879</v>
      </c>
      <c r="S55" s="39">
        <f>$J$3+[44]FormattedData!L19*$J$4+$M$4*$J$5+[44]FormattedData!L19^2*$J$6+$M$5*$J$7</f>
        <v>-0.66526040004926879</v>
      </c>
      <c r="T55" s="39">
        <f>$J$3+[44]FormattedData!M19*$J$4+$M$4*$J$5+[44]FormattedData!M19^2*$J$6+$M$5*$J$7</f>
        <v>-0.66526040004926879</v>
      </c>
      <c r="U55" s="39">
        <f>$J$3+[44]FormattedData!N19*$J$4+$M$4*$J$5+[44]FormattedData!N19^2*$J$6+$M$5*$J$7</f>
        <v>-0.66526040004926879</v>
      </c>
      <c r="V55" s="39">
        <f>$J$3+[44]FormattedData!O19*$J$4+$M$4*$J$5+[44]FormattedData!O19^2*$J$6+$M$5*$J$7</f>
        <v>-0.66526040004926879</v>
      </c>
      <c r="W55" s="38">
        <f>AVERAGE(K55:V55)</f>
        <v>-0.66526040004926867</v>
      </c>
      <c r="X55" s="37">
        <f>STDEV(K55:V55)/SQRT(COUNT(K55:V55))</f>
        <v>3.3474483693592253E-17</v>
      </c>
      <c r="Y55" s="36">
        <f>MIN(K55:V55)</f>
        <v>-0.66526040004926879</v>
      </c>
      <c r="Z55" s="35">
        <f>QUARTILE(K55:V55,1)</f>
        <v>-0.66526040004926879</v>
      </c>
      <c r="AA55" s="36">
        <f>MEDIAN(K55:V55)</f>
        <v>-0.66526040004926879</v>
      </c>
      <c r="AB55" s="35">
        <f>QUARTILE(K55:V55,3)</f>
        <v>-0.66526040004926879</v>
      </c>
      <c r="AC55" s="35">
        <f>MAX(K55:V55)</f>
        <v>-0.66526040004926879</v>
      </c>
      <c r="AD55" s="35">
        <f>SKEW(K55:V55)</f>
        <v>-1.1489125293076057</v>
      </c>
      <c r="AE55" s="35">
        <f>KURT(K55:V55)</f>
        <v>-2.4444444444444446</v>
      </c>
    </row>
    <row r="56" spans="2:31" x14ac:dyDescent="0.2">
      <c r="B56" s="34">
        <f>[44]FormattedData!A17</f>
        <v>0</v>
      </c>
      <c r="C56" s="34" t="e">
        <f>VLOOKUP($B56,[44]TrtCodes!$B$11:I60,2)</f>
        <v>#N/A</v>
      </c>
      <c r="D56" s="34" t="e">
        <f>VLOOKUP($B56,[44]TrtCodes!$B$11:J60,3)</f>
        <v>#N/A</v>
      </c>
      <c r="E56" s="34" t="e">
        <f>VLOOKUP($B56,[44]TrtCodes!$B$11:K60,4)</f>
        <v>#N/A</v>
      </c>
      <c r="F56" s="34" t="e">
        <f>VLOOKUP($B56,[44]TrtCodes!$B$11:L60,5)</f>
        <v>#N/A</v>
      </c>
      <c r="G56" s="34" t="e">
        <f>VLOOKUP($B56,[44]TrtCodes!$B$11:M60,6)</f>
        <v>#N/A</v>
      </c>
      <c r="H56" s="34" t="e">
        <f>VLOOKUP($B56,[44]TrtCodes!$B$11:N60,7)</f>
        <v>#N/A</v>
      </c>
      <c r="I56" s="34">
        <f>[44]FormattedData!B17</f>
        <v>0</v>
      </c>
      <c r="J56" s="37">
        <f>[44]FormattedData!C17</f>
        <v>0</v>
      </c>
      <c r="K56" s="39">
        <f>$J$3+[44]FormattedData!D17*$J$4+$M$4*$J$5+[44]FormattedData!D17^2*$J$6+$M$5*$J$7</f>
        <v>-0.66526040004926879</v>
      </c>
      <c r="L56" s="39">
        <f>$J$3+[44]FormattedData!E17*$J$4+$M$4*$J$5+[44]FormattedData!E17^2*$J$6+$M$5*$J$7</f>
        <v>-0.66526040004926879</v>
      </c>
      <c r="M56" s="39">
        <f>$J$3+[44]FormattedData!F17*$J$4+$M$4*$J$5+[44]FormattedData!F17^2*$J$6+$M$5*$J$7</f>
        <v>-0.66526040004926879</v>
      </c>
      <c r="N56" s="39">
        <f>$J$3+[44]FormattedData!G17*$J$4+$M$4*$J$5+[44]FormattedData!G17^2*$J$6+$M$5*$J$7</f>
        <v>-0.66526040004926879</v>
      </c>
      <c r="O56" s="39">
        <f>$J$3+[44]FormattedData!H17*$J$4+$M$4*$J$5+[44]FormattedData!H17^2*$J$6+$M$5*$J$7</f>
        <v>-0.66526040004926879</v>
      </c>
      <c r="P56" s="39">
        <f>$J$3+[44]FormattedData!I17*$J$4+$M$4*$J$5+[44]FormattedData!I17^2*$J$6+$M$5*$J$7</f>
        <v>-0.66526040004926879</v>
      </c>
      <c r="Q56" s="39">
        <f>$J$3+[44]FormattedData!J17*$J$4+$M$4*$J$5+[44]FormattedData!J17^2*$J$6+$M$5*$J$7</f>
        <v>-0.66526040004926879</v>
      </c>
      <c r="R56" s="39">
        <f>$J$3+[44]FormattedData!K17*$J$4+$M$4*$J$5+[44]FormattedData!K17^2*$J$6+$M$5*$J$7</f>
        <v>-0.66526040004926879</v>
      </c>
      <c r="S56" s="39">
        <f>$J$3+[44]FormattedData!L17*$J$4+$M$4*$J$5+[44]FormattedData!L17^2*$J$6+$M$5*$J$7</f>
        <v>-0.66526040004926879</v>
      </c>
      <c r="T56" s="39">
        <f>$J$3+[44]FormattedData!M17*$J$4+$M$4*$J$5+[44]FormattedData!M17^2*$J$6+$M$5*$J$7</f>
        <v>-0.66526040004926879</v>
      </c>
      <c r="U56" s="39">
        <f>$J$3+[44]FormattedData!N17*$J$4+$M$4*$J$5+[44]FormattedData!N17^2*$J$6+$M$5*$J$7</f>
        <v>-0.66526040004926879</v>
      </c>
      <c r="V56" s="39">
        <f>$J$3+[44]FormattedData!O17*$J$4+$M$4*$J$5+[44]FormattedData!O17^2*$J$6+$M$5*$J$7</f>
        <v>-0.66526040004926879</v>
      </c>
      <c r="W56" s="38">
        <f>AVERAGE(K56:V56)</f>
        <v>-0.66526040004926867</v>
      </c>
      <c r="X56" s="37">
        <f>STDEV(K56:V56)/SQRT(COUNT(K56:V56))</f>
        <v>3.3474483693592253E-17</v>
      </c>
      <c r="Y56" s="36">
        <f>MIN(K56:V56)</f>
        <v>-0.66526040004926879</v>
      </c>
      <c r="Z56" s="35">
        <f>QUARTILE(K56:V56,1)</f>
        <v>-0.66526040004926879</v>
      </c>
      <c r="AA56" s="36">
        <f>MEDIAN(K56:V56)</f>
        <v>-0.66526040004926879</v>
      </c>
      <c r="AB56" s="35">
        <f>QUARTILE(K56:V56,3)</f>
        <v>-0.66526040004926879</v>
      </c>
      <c r="AC56" s="35">
        <f>MAX(K56:V56)</f>
        <v>-0.66526040004926879</v>
      </c>
      <c r="AD56" s="35">
        <f>SKEW(K56:V56)</f>
        <v>-1.1489125293076057</v>
      </c>
      <c r="AE56" s="35">
        <f>KURT(K56:V56)</f>
        <v>-2.4444444444444446</v>
      </c>
    </row>
    <row r="57" spans="2:31" x14ac:dyDescent="0.2">
      <c r="B57" s="34">
        <f>[44]FormattedData!A15</f>
        <v>0</v>
      </c>
      <c r="C57" s="34" t="e">
        <f>VLOOKUP($B57,[44]TrtCodes!$B$11:I58,2)</f>
        <v>#N/A</v>
      </c>
      <c r="D57" s="34" t="e">
        <f>VLOOKUP($B57,[44]TrtCodes!$B$11:J58,3)</f>
        <v>#N/A</v>
      </c>
      <c r="E57" s="34" t="e">
        <f>VLOOKUP($B57,[44]TrtCodes!$B$11:K58,4)</f>
        <v>#N/A</v>
      </c>
      <c r="F57" s="34" t="e">
        <f>VLOOKUP($B57,[44]TrtCodes!$B$11:L58,5)</f>
        <v>#N/A</v>
      </c>
      <c r="G57" s="34" t="e">
        <f>VLOOKUP($B57,[44]TrtCodes!$B$11:M58,6)</f>
        <v>#N/A</v>
      </c>
      <c r="H57" s="34" t="e">
        <f>VLOOKUP($B57,[44]TrtCodes!$B$11:N58,7)</f>
        <v>#N/A</v>
      </c>
      <c r="I57" s="34">
        <f>[44]FormattedData!B15</f>
        <v>0</v>
      </c>
      <c r="J57" s="37">
        <f>[44]FormattedData!C15</f>
        <v>0</v>
      </c>
      <c r="K57" s="39">
        <f>$J$3+[44]FormattedData!D15*$J$4+$M$4*$J$5+[44]FormattedData!D15^2*$J$6+$M$5*$J$7</f>
        <v>-0.66526040004926879</v>
      </c>
      <c r="L57" s="39">
        <f>$J$3+[44]FormattedData!E15*$J$4+$M$4*$J$5+[44]FormattedData!E15^2*$J$6+$M$5*$J$7</f>
        <v>-0.66526040004926879</v>
      </c>
      <c r="M57" s="39">
        <f>$J$3+[44]FormattedData!F15*$J$4+$M$4*$J$5+[44]FormattedData!F15^2*$J$6+$M$5*$J$7</f>
        <v>-0.66526040004926879</v>
      </c>
      <c r="N57" s="39">
        <f>$J$3+[44]FormattedData!G15*$J$4+$M$4*$J$5+[44]FormattedData!G15^2*$J$6+$M$5*$J$7</f>
        <v>-0.66526040004926879</v>
      </c>
      <c r="O57" s="39">
        <f>$J$3+[44]FormattedData!H15*$J$4+$M$4*$J$5+[44]FormattedData!H15^2*$J$6+$M$5*$J$7</f>
        <v>-0.66526040004926879</v>
      </c>
      <c r="P57" s="39">
        <f>$J$3+[44]FormattedData!I15*$J$4+$M$4*$J$5+[44]FormattedData!I15^2*$J$6+$M$5*$J$7</f>
        <v>-0.66526040004926879</v>
      </c>
      <c r="Q57" s="39">
        <f>$J$3+[44]FormattedData!J15*$J$4+$M$4*$J$5+[44]FormattedData!J15^2*$J$6+$M$5*$J$7</f>
        <v>-0.66526040004926879</v>
      </c>
      <c r="R57" s="39">
        <f>$J$3+[44]FormattedData!K15*$J$4+$M$4*$J$5+[44]FormattedData!K15^2*$J$6+$M$5*$J$7</f>
        <v>-0.66526040004926879</v>
      </c>
      <c r="S57" s="39">
        <f>$J$3+[44]FormattedData!L15*$J$4+$M$4*$J$5+[44]FormattedData!L15^2*$J$6+$M$5*$J$7</f>
        <v>-0.66526040004926879</v>
      </c>
      <c r="T57" s="39">
        <f>$J$3+[44]FormattedData!M15*$J$4+$M$4*$J$5+[44]FormattedData!M15^2*$J$6+$M$5*$J$7</f>
        <v>-0.66526040004926879</v>
      </c>
      <c r="U57" s="39">
        <f>$J$3+[44]FormattedData!N15*$J$4+$M$4*$J$5+[44]FormattedData!N15^2*$J$6+$M$5*$J$7</f>
        <v>-0.66526040004926879</v>
      </c>
      <c r="V57" s="39">
        <f>$J$3+[44]FormattedData!O15*$J$4+$M$4*$J$5+[44]FormattedData!O15^2*$J$6+$M$5*$J$7</f>
        <v>-0.66526040004926879</v>
      </c>
      <c r="W57" s="38">
        <f>AVERAGE(K57:V57)</f>
        <v>-0.66526040004926867</v>
      </c>
      <c r="X57" s="37">
        <f>STDEV(K57:V57)/SQRT(COUNT(K57:V57))</f>
        <v>3.3474483693592253E-17</v>
      </c>
      <c r="Y57" s="36">
        <f>MIN(K57:V57)</f>
        <v>-0.66526040004926879</v>
      </c>
      <c r="Z57" s="35">
        <f>QUARTILE(K57:V57,1)</f>
        <v>-0.66526040004926879</v>
      </c>
      <c r="AA57" s="36">
        <f>MEDIAN(K57:V57)</f>
        <v>-0.66526040004926879</v>
      </c>
      <c r="AB57" s="35">
        <f>QUARTILE(K57:V57,3)</f>
        <v>-0.66526040004926879</v>
      </c>
      <c r="AC57" s="35">
        <f>MAX(K57:V57)</f>
        <v>-0.66526040004926879</v>
      </c>
      <c r="AD57" s="35">
        <f>SKEW(K57:V57)</f>
        <v>-1.1489125293076057</v>
      </c>
      <c r="AE57" s="35">
        <f>KURT(K57:V57)</f>
        <v>-2.4444444444444446</v>
      </c>
    </row>
    <row r="58" spans="2:31" x14ac:dyDescent="0.2">
      <c r="B58" s="34">
        <f>[44]FormattedData!A31</f>
        <v>0</v>
      </c>
      <c r="C58" s="34" t="e">
        <f>VLOOKUP($B58,[44]TrtCodes!$B$11:I74,2)</f>
        <v>#N/A</v>
      </c>
      <c r="D58" s="34" t="e">
        <f>VLOOKUP($B58,[44]TrtCodes!$B$11:J74,3)</f>
        <v>#N/A</v>
      </c>
      <c r="E58" s="34" t="e">
        <f>VLOOKUP($B58,[44]TrtCodes!$B$11:K74,4)</f>
        <v>#N/A</v>
      </c>
      <c r="F58" s="34" t="e">
        <f>VLOOKUP($B58,[44]TrtCodes!$B$11:L74,5)</f>
        <v>#N/A</v>
      </c>
      <c r="G58" s="34" t="e">
        <f>VLOOKUP($B58,[44]TrtCodes!$B$11:M74,6)</f>
        <v>#N/A</v>
      </c>
      <c r="H58" s="34" t="e">
        <f>VLOOKUP($B58,[44]TrtCodes!$B$11:N74,7)</f>
        <v>#N/A</v>
      </c>
      <c r="I58" s="34">
        <f>[44]FormattedData!B31</f>
        <v>0</v>
      </c>
      <c r="J58" s="37">
        <f>[44]FormattedData!C31</f>
        <v>0</v>
      </c>
      <c r="K58" s="39">
        <f>$J$3+[44]FormattedData!D31*$J$4+$M$4*$J$5+[44]FormattedData!D31^2*$J$6+$M$5*$J$7</f>
        <v>-0.66526040004926879</v>
      </c>
      <c r="L58" s="39">
        <f>$J$3+[44]FormattedData!E31*$J$4+$M$4*$J$5+[44]FormattedData!E31^2*$J$6+$M$5*$J$7</f>
        <v>-0.66526040004926879</v>
      </c>
      <c r="M58" s="39">
        <f>$J$3+[44]FormattedData!F31*$J$4+$M$4*$J$5+[44]FormattedData!F31^2*$J$6+$M$5*$J$7</f>
        <v>-0.66526040004926879</v>
      </c>
      <c r="N58" s="39">
        <f>$J$3+[44]FormattedData!G31*$J$4+$M$4*$J$5+[44]FormattedData!G31^2*$J$6+$M$5*$J$7</f>
        <v>-0.66526040004926879</v>
      </c>
      <c r="O58" s="39">
        <f>$J$3+[44]FormattedData!H31*$J$4+$M$4*$J$5+[44]FormattedData!H31^2*$J$6+$M$5*$J$7</f>
        <v>-0.66526040004926879</v>
      </c>
      <c r="P58" s="39">
        <f>$J$3+[44]FormattedData!I31*$J$4+$M$4*$J$5+[44]FormattedData!I31^2*$J$6+$M$5*$J$7</f>
        <v>-0.66526040004926879</v>
      </c>
      <c r="Q58" s="39">
        <f>$J$3+[44]FormattedData!J31*$J$4+$M$4*$J$5+[44]FormattedData!J31^2*$J$6+$M$5*$J$7</f>
        <v>-0.66526040004926879</v>
      </c>
      <c r="R58" s="39">
        <f>$J$3+[44]FormattedData!K31*$J$4+$M$4*$J$5+[44]FormattedData!K31^2*$J$6+$M$5*$J$7</f>
        <v>-0.66526040004926879</v>
      </c>
      <c r="S58" s="39">
        <f>$J$3+[44]FormattedData!L31*$J$4+$M$4*$J$5+[44]FormattedData!L31^2*$J$6+$M$5*$J$7</f>
        <v>-0.66526040004926879</v>
      </c>
      <c r="T58" s="39">
        <f>$J$3+[44]FormattedData!M31*$J$4+$M$4*$J$5+[44]FormattedData!M31^2*$J$6+$M$5*$J$7</f>
        <v>-0.66526040004926879</v>
      </c>
      <c r="U58" s="39">
        <f>$J$3+[44]FormattedData!N31*$J$4+$M$4*$J$5+[44]FormattedData!N31^2*$J$6+$M$5*$J$7</f>
        <v>-0.66526040004926879</v>
      </c>
      <c r="V58" s="39">
        <f>$J$3+[44]FormattedData!O31*$J$4+$M$4*$J$5+[44]FormattedData!O31^2*$J$6+$M$5*$J$7</f>
        <v>-0.66526040004926879</v>
      </c>
      <c r="W58" s="38">
        <f>AVERAGE(K58:V58)</f>
        <v>-0.66526040004926867</v>
      </c>
      <c r="X58" s="37">
        <f>STDEV(K58:V58)/SQRT(COUNT(K58:V58))</f>
        <v>3.3474483693592253E-17</v>
      </c>
      <c r="Y58" s="36">
        <f>MIN(K58:V58)</f>
        <v>-0.66526040004926879</v>
      </c>
      <c r="Z58" s="35">
        <f>QUARTILE(K58:V58,1)</f>
        <v>-0.66526040004926879</v>
      </c>
      <c r="AA58" s="36">
        <f>MEDIAN(K58:V58)</f>
        <v>-0.66526040004926879</v>
      </c>
      <c r="AB58" s="35">
        <f>QUARTILE(K58:V58,3)</f>
        <v>-0.66526040004926879</v>
      </c>
      <c r="AC58" s="35">
        <f>MAX(K58:V58)</f>
        <v>-0.66526040004926879</v>
      </c>
      <c r="AD58" s="35">
        <f>SKEW(K58:V58)</f>
        <v>-1.1489125293076057</v>
      </c>
      <c r="AE58" s="35">
        <f>KURT(K58:V58)</f>
        <v>-2.4444444444444446</v>
      </c>
    </row>
    <row r="59" spans="2:31" x14ac:dyDescent="0.2">
      <c r="B59" s="34">
        <f>[44]FormattedData!A33</f>
        <v>0</v>
      </c>
      <c r="C59" s="34" t="e">
        <f>VLOOKUP($B59,[44]TrtCodes!$B$11:I76,2)</f>
        <v>#N/A</v>
      </c>
      <c r="D59" s="34" t="e">
        <f>VLOOKUP($B59,[44]TrtCodes!$B$11:J76,3)</f>
        <v>#N/A</v>
      </c>
      <c r="E59" s="34" t="e">
        <f>VLOOKUP($B59,[44]TrtCodes!$B$11:K76,4)</f>
        <v>#N/A</v>
      </c>
      <c r="F59" s="34" t="e">
        <f>VLOOKUP($B59,[44]TrtCodes!$B$11:L76,5)</f>
        <v>#N/A</v>
      </c>
      <c r="G59" s="34" t="e">
        <f>VLOOKUP($B59,[44]TrtCodes!$B$11:M76,6)</f>
        <v>#N/A</v>
      </c>
      <c r="H59" s="34" t="e">
        <f>VLOOKUP($B59,[44]TrtCodes!$B$11:N76,7)</f>
        <v>#N/A</v>
      </c>
      <c r="I59" s="34">
        <f>[44]FormattedData!B33</f>
        <v>0</v>
      </c>
      <c r="J59" s="37">
        <f>[44]FormattedData!C33</f>
        <v>0</v>
      </c>
      <c r="K59" s="39">
        <f>$J$3+[44]FormattedData!D33*$J$4+$M$4*$J$5+[44]FormattedData!D33^2*$J$6+$M$5*$J$7</f>
        <v>-0.66526040004926879</v>
      </c>
      <c r="L59" s="39">
        <f>$J$3+[44]FormattedData!E33*$J$4+$M$4*$J$5+[44]FormattedData!E33^2*$J$6+$M$5*$J$7</f>
        <v>-0.66526040004926879</v>
      </c>
      <c r="M59" s="39">
        <f>$J$3+[44]FormattedData!F33*$J$4+$M$4*$J$5+[44]FormattedData!F33^2*$J$6+$M$5*$J$7</f>
        <v>-0.66526040004926879</v>
      </c>
      <c r="N59" s="39">
        <f>$J$3+[44]FormattedData!G33*$J$4+$M$4*$J$5+[44]FormattedData!G33^2*$J$6+$M$5*$J$7</f>
        <v>-0.66526040004926879</v>
      </c>
      <c r="O59" s="39">
        <f>$J$3+[44]FormattedData!H33*$J$4+$M$4*$J$5+[44]FormattedData!H33^2*$J$6+$M$5*$J$7</f>
        <v>-0.66526040004926879</v>
      </c>
      <c r="P59" s="39">
        <f>$J$3+[44]FormattedData!I33*$J$4+$M$4*$J$5+[44]FormattedData!I33^2*$J$6+$M$5*$J$7</f>
        <v>-0.66526040004926879</v>
      </c>
      <c r="Q59" s="39">
        <f>$J$3+[44]FormattedData!J33*$J$4+$M$4*$J$5+[44]FormattedData!J33^2*$J$6+$M$5*$J$7</f>
        <v>-0.66526040004926879</v>
      </c>
      <c r="R59" s="39">
        <f>$J$3+[44]FormattedData!K33*$J$4+$M$4*$J$5+[44]FormattedData!K33^2*$J$6+$M$5*$J$7</f>
        <v>-0.66526040004926879</v>
      </c>
      <c r="S59" s="39">
        <f>$J$3+[44]FormattedData!L33*$J$4+$M$4*$J$5+[44]FormattedData!L33^2*$J$6+$M$5*$J$7</f>
        <v>-0.66526040004926879</v>
      </c>
      <c r="T59" s="39">
        <f>$J$3+[44]FormattedData!M33*$J$4+$M$4*$J$5+[44]FormattedData!M33^2*$J$6+$M$5*$J$7</f>
        <v>-0.66526040004926879</v>
      </c>
      <c r="U59" s="39">
        <f>$J$3+[44]FormattedData!N33*$J$4+$M$4*$J$5+[44]FormattedData!N33^2*$J$6+$M$5*$J$7</f>
        <v>-0.66526040004926879</v>
      </c>
      <c r="V59" s="39">
        <f>$J$3+[44]FormattedData!O33*$J$4+$M$4*$J$5+[44]FormattedData!O33^2*$J$6+$M$5*$J$7</f>
        <v>-0.66526040004926879</v>
      </c>
      <c r="W59" s="38">
        <f>AVERAGE(K59:V59)</f>
        <v>-0.66526040004926867</v>
      </c>
      <c r="X59" s="37">
        <f>STDEV(K59:V59)/SQRT(COUNT(K59:V59))</f>
        <v>3.3474483693592253E-17</v>
      </c>
      <c r="Y59" s="36">
        <f>MIN(K59:V59)</f>
        <v>-0.66526040004926879</v>
      </c>
      <c r="Z59" s="35">
        <f>QUARTILE(K59:V59,1)</f>
        <v>-0.66526040004926879</v>
      </c>
      <c r="AA59" s="36">
        <f>MEDIAN(K59:V59)</f>
        <v>-0.66526040004926879</v>
      </c>
      <c r="AB59" s="35">
        <f>QUARTILE(K59:V59,3)</f>
        <v>-0.66526040004926879</v>
      </c>
      <c r="AC59" s="35">
        <f>MAX(K59:V59)</f>
        <v>-0.66526040004926879</v>
      </c>
      <c r="AD59" s="35">
        <f>SKEW(K59:V59)</f>
        <v>-1.1489125293076057</v>
      </c>
      <c r="AE59" s="35">
        <f>KURT(K59:V59)</f>
        <v>-2.4444444444444446</v>
      </c>
    </row>
    <row r="60" spans="2:31" x14ac:dyDescent="0.2">
      <c r="B60" s="34">
        <f>[44]FormattedData!A35</f>
        <v>0</v>
      </c>
      <c r="C60" s="34" t="e">
        <f>VLOOKUP($B60,[44]TrtCodes!$B$11:I78,2)</f>
        <v>#N/A</v>
      </c>
      <c r="D60" s="34" t="e">
        <f>VLOOKUP($B60,[44]TrtCodes!$B$11:J78,3)</f>
        <v>#N/A</v>
      </c>
      <c r="E60" s="34" t="e">
        <f>VLOOKUP($B60,[44]TrtCodes!$B$11:K78,4)</f>
        <v>#N/A</v>
      </c>
      <c r="F60" s="34" t="e">
        <f>VLOOKUP($B60,[44]TrtCodes!$B$11:L78,5)</f>
        <v>#N/A</v>
      </c>
      <c r="G60" s="34" t="e">
        <f>VLOOKUP($B60,[44]TrtCodes!$B$11:M78,6)</f>
        <v>#N/A</v>
      </c>
      <c r="H60" s="34" t="e">
        <f>VLOOKUP($B60,[44]TrtCodes!$B$11:N78,7)</f>
        <v>#N/A</v>
      </c>
      <c r="I60" s="34">
        <f>[44]FormattedData!B35</f>
        <v>0</v>
      </c>
      <c r="J60" s="37">
        <f>[44]FormattedData!C35</f>
        <v>0</v>
      </c>
      <c r="K60" s="39">
        <f>$J$3+[44]FormattedData!D35*$J$4+$M$4*$J$5+[44]FormattedData!D35^2*$J$6+$M$5*$J$7</f>
        <v>-0.66526040004926879</v>
      </c>
      <c r="L60" s="39">
        <f>$J$3+[44]FormattedData!E35*$J$4+$M$4*$J$5+[44]FormattedData!E35^2*$J$6+$M$5*$J$7</f>
        <v>-0.66526040004926879</v>
      </c>
      <c r="M60" s="39">
        <f>$J$3+[44]FormattedData!F35*$J$4+$M$4*$J$5+[44]FormattedData!F35^2*$J$6+$M$5*$J$7</f>
        <v>-0.66526040004926879</v>
      </c>
      <c r="N60" s="39">
        <f>$J$3+[44]FormattedData!G35*$J$4+$M$4*$J$5+[44]FormattedData!G35^2*$J$6+$M$5*$J$7</f>
        <v>-0.66526040004926879</v>
      </c>
      <c r="O60" s="39">
        <f>$J$3+[44]FormattedData!H35*$J$4+$M$4*$J$5+[44]FormattedData!H35^2*$J$6+$M$5*$J$7</f>
        <v>-0.66526040004926879</v>
      </c>
      <c r="P60" s="39">
        <f>$J$3+[44]FormattedData!I35*$J$4+$M$4*$J$5+[44]FormattedData!I35^2*$J$6+$M$5*$J$7</f>
        <v>-0.66526040004926879</v>
      </c>
      <c r="Q60" s="39">
        <f>$J$3+[44]FormattedData!J35*$J$4+$M$4*$J$5+[44]FormattedData!J35^2*$J$6+$M$5*$J$7</f>
        <v>-0.66526040004926879</v>
      </c>
      <c r="R60" s="39">
        <f>$J$3+[44]FormattedData!K35*$J$4+$M$4*$J$5+[44]FormattedData!K35^2*$J$6+$M$5*$J$7</f>
        <v>-0.66526040004926879</v>
      </c>
      <c r="S60" s="39">
        <f>$J$3+[44]FormattedData!L35*$J$4+$M$4*$J$5+[44]FormattedData!L35^2*$J$6+$M$5*$J$7</f>
        <v>-0.66526040004926879</v>
      </c>
      <c r="T60" s="39">
        <f>$J$3+[44]FormattedData!M35*$J$4+$M$4*$J$5+[44]FormattedData!M35^2*$J$6+$M$5*$J$7</f>
        <v>-0.66526040004926879</v>
      </c>
      <c r="U60" s="39">
        <f>$J$3+[44]FormattedData!N35*$J$4+$M$4*$J$5+[44]FormattedData!N35^2*$J$6+$M$5*$J$7</f>
        <v>-0.66526040004926879</v>
      </c>
      <c r="V60" s="39">
        <f>$J$3+[44]FormattedData!O35*$J$4+$M$4*$J$5+[44]FormattedData!O35^2*$J$6+$M$5*$J$7</f>
        <v>-0.66526040004926879</v>
      </c>
      <c r="W60" s="38">
        <f>AVERAGE(K60:V60)</f>
        <v>-0.66526040004926867</v>
      </c>
      <c r="X60" s="37">
        <f>STDEV(K60:V60)/SQRT(COUNT(K60:V60))</f>
        <v>3.3474483693592253E-17</v>
      </c>
      <c r="Y60" s="36">
        <f>MIN(K60:V60)</f>
        <v>-0.66526040004926879</v>
      </c>
      <c r="Z60" s="35">
        <f>QUARTILE(K60:V60,1)</f>
        <v>-0.66526040004926879</v>
      </c>
      <c r="AA60" s="36">
        <f>MEDIAN(K60:V60)</f>
        <v>-0.66526040004926879</v>
      </c>
      <c r="AB60" s="35">
        <f>QUARTILE(K60:V60,3)</f>
        <v>-0.66526040004926879</v>
      </c>
      <c r="AC60" s="35">
        <f>MAX(K60:V60)</f>
        <v>-0.66526040004926879</v>
      </c>
      <c r="AD60" s="35">
        <f>SKEW(K60:V60)</f>
        <v>-1.1489125293076057</v>
      </c>
      <c r="AE60" s="35">
        <f>KURT(K60:V60)</f>
        <v>-2.4444444444444446</v>
      </c>
    </row>
    <row r="61" spans="2:31" x14ac:dyDescent="0.2">
      <c r="B61" s="34">
        <f>[44]FormattedData!A37</f>
        <v>0</v>
      </c>
      <c r="C61" s="34" t="e">
        <f>VLOOKUP($B61,[44]TrtCodes!$B$11:I80,2)</f>
        <v>#N/A</v>
      </c>
      <c r="D61" s="34" t="e">
        <f>VLOOKUP($B61,[44]TrtCodes!$B$11:J80,3)</f>
        <v>#N/A</v>
      </c>
      <c r="E61" s="34" t="e">
        <f>VLOOKUP($B61,[44]TrtCodes!$B$11:K80,4)</f>
        <v>#N/A</v>
      </c>
      <c r="F61" s="34" t="e">
        <f>VLOOKUP($B61,[44]TrtCodes!$B$11:L80,5)</f>
        <v>#N/A</v>
      </c>
      <c r="G61" s="34" t="e">
        <f>VLOOKUP($B61,[44]TrtCodes!$B$11:M80,6)</f>
        <v>#N/A</v>
      </c>
      <c r="H61" s="34" t="e">
        <f>VLOOKUP($B61,[44]TrtCodes!$B$11:N80,7)</f>
        <v>#N/A</v>
      </c>
      <c r="I61" s="34">
        <f>[44]FormattedData!B37</f>
        <v>0</v>
      </c>
      <c r="J61" s="37">
        <f>[44]FormattedData!C37</f>
        <v>0</v>
      </c>
      <c r="K61" s="39">
        <f>$J$3+[44]FormattedData!D37*$J$4+$M$4*$J$5+[44]FormattedData!D37^2*$J$6+$M$5*$J$7</f>
        <v>-0.66526040004926879</v>
      </c>
      <c r="L61" s="39">
        <f>$J$3+[44]FormattedData!E37*$J$4+$M$4*$J$5+[44]FormattedData!E37^2*$J$6+$M$5*$J$7</f>
        <v>-0.66526040004926879</v>
      </c>
      <c r="M61" s="39">
        <f>$J$3+[44]FormattedData!F37*$J$4+$M$4*$J$5+[44]FormattedData!F37^2*$J$6+$M$5*$J$7</f>
        <v>-0.66526040004926879</v>
      </c>
      <c r="N61" s="39">
        <f>$J$3+[44]FormattedData!G37*$J$4+$M$4*$J$5+[44]FormattedData!G37^2*$J$6+$M$5*$J$7</f>
        <v>-0.66526040004926879</v>
      </c>
      <c r="O61" s="39">
        <f>$J$3+[44]FormattedData!H37*$J$4+$M$4*$J$5+[44]FormattedData!H37^2*$J$6+$M$5*$J$7</f>
        <v>-0.66526040004926879</v>
      </c>
      <c r="P61" s="39">
        <f>$J$3+[44]FormattedData!I37*$J$4+$M$4*$J$5+[44]FormattedData!I37^2*$J$6+$M$5*$J$7</f>
        <v>-0.66526040004926879</v>
      </c>
      <c r="Q61" s="39">
        <f>$J$3+[44]FormattedData!J37*$J$4+$M$4*$J$5+[44]FormattedData!J37^2*$J$6+$M$5*$J$7</f>
        <v>-0.66526040004926879</v>
      </c>
      <c r="R61" s="39">
        <f>$J$3+[44]FormattedData!K37*$J$4+$M$4*$J$5+[44]FormattedData!K37^2*$J$6+$M$5*$J$7</f>
        <v>-0.66526040004926879</v>
      </c>
      <c r="S61" s="39">
        <f>$J$3+[44]FormattedData!L37*$J$4+$M$4*$J$5+[44]FormattedData!L37^2*$J$6+$M$5*$J$7</f>
        <v>-0.66526040004926879</v>
      </c>
      <c r="T61" s="39">
        <f>$J$3+[44]FormattedData!M37*$J$4+$M$4*$J$5+[44]FormattedData!M37^2*$J$6+$M$5*$J$7</f>
        <v>-0.66526040004926879</v>
      </c>
      <c r="U61" s="39">
        <f>$J$3+[44]FormattedData!N37*$J$4+$M$4*$J$5+[44]FormattedData!N37^2*$J$6+$M$5*$J$7</f>
        <v>-0.66526040004926879</v>
      </c>
      <c r="V61" s="39">
        <f>$J$3+[44]FormattedData!O37*$J$4+$M$4*$J$5+[44]FormattedData!O37^2*$J$6+$M$5*$J$7</f>
        <v>-0.66526040004926879</v>
      </c>
      <c r="W61" s="38">
        <f>AVERAGE(K61:V61)</f>
        <v>-0.66526040004926867</v>
      </c>
      <c r="X61" s="37">
        <f>STDEV(K61:V61)/SQRT(COUNT(K61:V61))</f>
        <v>3.3474483693592253E-17</v>
      </c>
      <c r="Y61" s="36">
        <f>MIN(K61:V61)</f>
        <v>-0.66526040004926879</v>
      </c>
      <c r="Z61" s="35">
        <f>QUARTILE(K61:V61,1)</f>
        <v>-0.66526040004926879</v>
      </c>
      <c r="AA61" s="36">
        <f>MEDIAN(K61:V61)</f>
        <v>-0.66526040004926879</v>
      </c>
      <c r="AB61" s="35">
        <f>QUARTILE(K61:V61,3)</f>
        <v>-0.66526040004926879</v>
      </c>
      <c r="AC61" s="35">
        <f>MAX(K61:V61)</f>
        <v>-0.66526040004926879</v>
      </c>
      <c r="AD61" s="35">
        <f>SKEW(K61:V61)</f>
        <v>-1.1489125293076057</v>
      </c>
      <c r="AE61" s="35">
        <f>KURT(K61:V61)</f>
        <v>-2.4444444444444446</v>
      </c>
    </row>
    <row r="62" spans="2:31" x14ac:dyDescent="0.2">
      <c r="B62" s="34">
        <f>[44]FormattedData!A39</f>
        <v>0</v>
      </c>
      <c r="C62" s="34" t="e">
        <f>VLOOKUP($B62,[44]TrtCodes!$B$11:I82,2)</f>
        <v>#N/A</v>
      </c>
      <c r="D62" s="34" t="e">
        <f>VLOOKUP($B62,[44]TrtCodes!$B$11:J82,3)</f>
        <v>#N/A</v>
      </c>
      <c r="E62" s="34" t="e">
        <f>VLOOKUP($B62,[44]TrtCodes!$B$11:K82,4)</f>
        <v>#N/A</v>
      </c>
      <c r="F62" s="34" t="e">
        <f>VLOOKUP($B62,[44]TrtCodes!$B$11:L82,5)</f>
        <v>#N/A</v>
      </c>
      <c r="G62" s="34" t="e">
        <f>VLOOKUP($B62,[44]TrtCodes!$B$11:M82,6)</f>
        <v>#N/A</v>
      </c>
      <c r="H62" s="34" t="e">
        <f>VLOOKUP($B62,[44]TrtCodes!$B$11:N82,7)</f>
        <v>#N/A</v>
      </c>
      <c r="I62" s="34">
        <f>[44]FormattedData!B39</f>
        <v>0</v>
      </c>
      <c r="J62" s="37">
        <f>[44]FormattedData!C39</f>
        <v>0</v>
      </c>
      <c r="K62" s="39">
        <f>$J$3+[44]FormattedData!D39*$J$4+$M$4*$J$5+[44]FormattedData!D39^2*$J$6+$M$5*$J$7</f>
        <v>-0.66526040004926879</v>
      </c>
      <c r="L62" s="39">
        <f>$J$3+[44]FormattedData!E39*$J$4+$M$4*$J$5+[44]FormattedData!E39^2*$J$6+$M$5*$J$7</f>
        <v>-0.66526040004926879</v>
      </c>
      <c r="M62" s="39">
        <f>$J$3+[44]FormattedData!F39*$J$4+$M$4*$J$5+[44]FormattedData!F39^2*$J$6+$M$5*$J$7</f>
        <v>-0.66526040004926879</v>
      </c>
      <c r="N62" s="39">
        <f>$J$3+[44]FormattedData!G39*$J$4+$M$4*$J$5+[44]FormattedData!G39^2*$J$6+$M$5*$J$7</f>
        <v>-0.66526040004926879</v>
      </c>
      <c r="O62" s="39">
        <f>$J$3+[44]FormattedData!H39*$J$4+$M$4*$J$5+[44]FormattedData!H39^2*$J$6+$M$5*$J$7</f>
        <v>-0.66526040004926879</v>
      </c>
      <c r="P62" s="39">
        <f>$J$3+[44]FormattedData!I39*$J$4+$M$4*$J$5+[44]FormattedData!I39^2*$J$6+$M$5*$J$7</f>
        <v>-0.66526040004926879</v>
      </c>
      <c r="Q62" s="39">
        <f>$J$3+[44]FormattedData!J39*$J$4+$M$4*$J$5+[44]FormattedData!J39^2*$J$6+$M$5*$J$7</f>
        <v>-0.66526040004926879</v>
      </c>
      <c r="R62" s="39">
        <f>$J$3+[44]FormattedData!K39*$J$4+$M$4*$J$5+[44]FormattedData!K39^2*$J$6+$M$5*$J$7</f>
        <v>-0.66526040004926879</v>
      </c>
      <c r="S62" s="39">
        <f>$J$3+[44]FormattedData!L39*$J$4+$M$4*$J$5+[44]FormattedData!L39^2*$J$6+$M$5*$J$7</f>
        <v>-0.66526040004926879</v>
      </c>
      <c r="T62" s="39">
        <f>$J$3+[44]FormattedData!M39*$J$4+$M$4*$J$5+[44]FormattedData!M39^2*$J$6+$M$5*$J$7</f>
        <v>-0.66526040004926879</v>
      </c>
      <c r="U62" s="39">
        <f>$J$3+[44]FormattedData!N39*$J$4+$M$4*$J$5+[44]FormattedData!N39^2*$J$6+$M$5*$J$7</f>
        <v>-0.66526040004926879</v>
      </c>
      <c r="V62" s="39">
        <f>$J$3+[44]FormattedData!O39*$J$4+$M$4*$J$5+[44]FormattedData!O39^2*$J$6+$M$5*$J$7</f>
        <v>-0.66526040004926879</v>
      </c>
      <c r="W62" s="38">
        <f>AVERAGE(K62:V62)</f>
        <v>-0.66526040004926867</v>
      </c>
      <c r="X62" s="37">
        <f>STDEV(K62:V62)/SQRT(COUNT(K62:V62))</f>
        <v>3.3474483693592253E-17</v>
      </c>
      <c r="Y62" s="36">
        <f>MIN(K62:V62)</f>
        <v>-0.66526040004926879</v>
      </c>
      <c r="Z62" s="35">
        <f>QUARTILE(K62:V62,1)</f>
        <v>-0.66526040004926879</v>
      </c>
      <c r="AA62" s="36">
        <f>MEDIAN(K62:V62)</f>
        <v>-0.66526040004926879</v>
      </c>
      <c r="AB62" s="35">
        <f>QUARTILE(K62:V62,3)</f>
        <v>-0.66526040004926879</v>
      </c>
      <c r="AC62" s="35">
        <f>MAX(K62:V62)</f>
        <v>-0.66526040004926879</v>
      </c>
      <c r="AD62" s="35">
        <f>SKEW(K62:V62)</f>
        <v>-1.1489125293076057</v>
      </c>
      <c r="AE62" s="35">
        <f>KURT(K62:V62)</f>
        <v>-2.4444444444444446</v>
      </c>
    </row>
    <row r="63" spans="2:31" x14ac:dyDescent="0.2">
      <c r="B63" s="34">
        <f>[44]FormattedData!A41</f>
        <v>0</v>
      </c>
      <c r="C63" s="34" t="e">
        <f>VLOOKUP($B63,[44]TrtCodes!$B$11:I84,2)</f>
        <v>#N/A</v>
      </c>
      <c r="D63" s="34" t="e">
        <f>VLOOKUP($B63,[44]TrtCodes!$B$11:J84,3)</f>
        <v>#N/A</v>
      </c>
      <c r="E63" s="34" t="e">
        <f>VLOOKUP($B63,[44]TrtCodes!$B$11:K84,4)</f>
        <v>#N/A</v>
      </c>
      <c r="F63" s="34" t="e">
        <f>VLOOKUP($B63,[44]TrtCodes!$B$11:L84,5)</f>
        <v>#N/A</v>
      </c>
      <c r="G63" s="34" t="e">
        <f>VLOOKUP($B63,[44]TrtCodes!$B$11:M84,6)</f>
        <v>#N/A</v>
      </c>
      <c r="H63" s="34" t="e">
        <f>VLOOKUP($B63,[44]TrtCodes!$B$11:N84,7)</f>
        <v>#N/A</v>
      </c>
      <c r="I63" s="34">
        <f>[44]FormattedData!B41</f>
        <v>0</v>
      </c>
      <c r="J63" s="37">
        <f>[44]FormattedData!C41</f>
        <v>0</v>
      </c>
      <c r="K63" s="39">
        <f>$J$3+[44]FormattedData!D41*$J$4+$M$4*$J$5+[44]FormattedData!D41^2*$J$6+$M$5*$J$7</f>
        <v>-0.66526040004926879</v>
      </c>
      <c r="L63" s="39">
        <f>$J$3+[44]FormattedData!E41*$J$4+$M$4*$J$5+[44]FormattedData!E41^2*$J$6+$M$5*$J$7</f>
        <v>-0.66526040004926879</v>
      </c>
      <c r="M63" s="39">
        <f>$J$3+[44]FormattedData!F41*$J$4+$M$4*$J$5+[44]FormattedData!F41^2*$J$6+$M$5*$J$7</f>
        <v>-0.66526040004926879</v>
      </c>
      <c r="N63" s="39">
        <f>$J$3+[44]FormattedData!G41*$J$4+$M$4*$J$5+[44]FormattedData!G41^2*$J$6+$M$5*$J$7</f>
        <v>-0.66526040004926879</v>
      </c>
      <c r="O63" s="39">
        <f>$J$3+[44]FormattedData!H41*$J$4+$M$4*$J$5+[44]FormattedData!H41^2*$J$6+$M$5*$J$7</f>
        <v>-0.66526040004926879</v>
      </c>
      <c r="P63" s="39">
        <f>$J$3+[44]FormattedData!I41*$J$4+$M$4*$J$5+[44]FormattedData!I41^2*$J$6+$M$5*$J$7</f>
        <v>-0.66526040004926879</v>
      </c>
      <c r="Q63" s="39">
        <f>$J$3+[44]FormattedData!J41*$J$4+$M$4*$J$5+[44]FormattedData!J41^2*$J$6+$M$5*$J$7</f>
        <v>-0.66526040004926879</v>
      </c>
      <c r="R63" s="39">
        <f>$J$3+[44]FormattedData!K41*$J$4+$M$4*$J$5+[44]FormattedData!K41^2*$J$6+$M$5*$J$7</f>
        <v>-0.66526040004926879</v>
      </c>
      <c r="S63" s="39">
        <f>$J$3+[44]FormattedData!L41*$J$4+$M$4*$J$5+[44]FormattedData!L41^2*$J$6+$M$5*$J$7</f>
        <v>-0.66526040004926879</v>
      </c>
      <c r="T63" s="39">
        <f>$J$3+[44]FormattedData!M41*$J$4+$M$4*$J$5+[44]FormattedData!M41^2*$J$6+$M$5*$J$7</f>
        <v>-0.66526040004926879</v>
      </c>
      <c r="U63" s="39">
        <f>$J$3+[44]FormattedData!N41*$J$4+$M$4*$J$5+[44]FormattedData!N41^2*$J$6+$M$5*$J$7</f>
        <v>-0.66526040004926879</v>
      </c>
      <c r="V63" s="39">
        <f>$J$3+[44]FormattedData!O41*$J$4+$M$4*$J$5+[44]FormattedData!O41^2*$J$6+$M$5*$J$7</f>
        <v>-0.66526040004926879</v>
      </c>
      <c r="W63" s="38">
        <f>AVERAGE(K63:V63)</f>
        <v>-0.66526040004926867</v>
      </c>
      <c r="X63" s="37">
        <f>STDEV(K63:V63)/SQRT(COUNT(K63:V63))</f>
        <v>3.3474483693592253E-17</v>
      </c>
      <c r="Y63" s="36">
        <f>MIN(K63:V63)</f>
        <v>-0.66526040004926879</v>
      </c>
      <c r="Z63" s="35">
        <f>QUARTILE(K63:V63,1)</f>
        <v>-0.66526040004926879</v>
      </c>
      <c r="AA63" s="36">
        <f>MEDIAN(K63:V63)</f>
        <v>-0.66526040004926879</v>
      </c>
      <c r="AB63" s="35">
        <f>QUARTILE(K63:V63,3)</f>
        <v>-0.66526040004926879</v>
      </c>
      <c r="AC63" s="35">
        <f>MAX(K63:V63)</f>
        <v>-0.66526040004926879</v>
      </c>
      <c r="AD63" s="35">
        <f>SKEW(K63:V63)</f>
        <v>-1.1489125293076057</v>
      </c>
      <c r="AE63" s="35">
        <f>KURT(K63:V63)</f>
        <v>-2.4444444444444446</v>
      </c>
    </row>
    <row r="64" spans="2:31" x14ac:dyDescent="0.2">
      <c r="B64" s="34">
        <f>[44]FormattedData!A43</f>
        <v>0</v>
      </c>
      <c r="C64" s="34" t="e">
        <f>VLOOKUP($B64,[44]TrtCodes!$B$11:I86,2)</f>
        <v>#N/A</v>
      </c>
      <c r="D64" s="34" t="e">
        <f>VLOOKUP($B64,[44]TrtCodes!$B$11:J86,3)</f>
        <v>#N/A</v>
      </c>
      <c r="E64" s="34" t="e">
        <f>VLOOKUP($B64,[44]TrtCodes!$B$11:K86,4)</f>
        <v>#N/A</v>
      </c>
      <c r="F64" s="34" t="e">
        <f>VLOOKUP($B64,[44]TrtCodes!$B$11:L86,5)</f>
        <v>#N/A</v>
      </c>
      <c r="G64" s="34" t="e">
        <f>VLOOKUP($B64,[44]TrtCodes!$B$11:M86,6)</f>
        <v>#N/A</v>
      </c>
      <c r="H64" s="34" t="e">
        <f>VLOOKUP($B64,[44]TrtCodes!$B$11:N86,7)</f>
        <v>#N/A</v>
      </c>
      <c r="I64" s="34">
        <f>[44]FormattedData!B43</f>
        <v>0</v>
      </c>
      <c r="J64" s="37">
        <f>[44]FormattedData!C43</f>
        <v>0</v>
      </c>
      <c r="K64" s="39">
        <f>$J$3+[44]FormattedData!D43*$J$4+$M$4*$J$5+[44]FormattedData!D43^2*$J$6+$M$5*$J$7</f>
        <v>-0.66526040004926879</v>
      </c>
      <c r="L64" s="39">
        <f>$J$3+[44]FormattedData!E43*$J$4+$M$4*$J$5+[44]FormattedData!E43^2*$J$6+$M$5*$J$7</f>
        <v>-0.66526040004926879</v>
      </c>
      <c r="M64" s="39">
        <f>$J$3+[44]FormattedData!F43*$J$4+$M$4*$J$5+[44]FormattedData!F43^2*$J$6+$M$5*$J$7</f>
        <v>-0.66526040004926879</v>
      </c>
      <c r="N64" s="39">
        <f>$J$3+[44]FormattedData!G43*$J$4+$M$4*$J$5+[44]FormattedData!G43^2*$J$6+$M$5*$J$7</f>
        <v>-0.66526040004926879</v>
      </c>
      <c r="O64" s="39">
        <f>$J$3+[44]FormattedData!H43*$J$4+$M$4*$J$5+[44]FormattedData!H43^2*$J$6+$M$5*$J$7</f>
        <v>-0.66526040004926879</v>
      </c>
      <c r="P64" s="39">
        <f>$J$3+[44]FormattedData!I43*$J$4+$M$4*$J$5+[44]FormattedData!I43^2*$J$6+$M$5*$J$7</f>
        <v>-0.66526040004926879</v>
      </c>
      <c r="Q64" s="39">
        <f>$J$3+[44]FormattedData!J43*$J$4+$M$4*$J$5+[44]FormattedData!J43^2*$J$6+$M$5*$J$7</f>
        <v>-0.66526040004926879</v>
      </c>
      <c r="R64" s="39">
        <f>$J$3+[44]FormattedData!K43*$J$4+$M$4*$J$5+[44]FormattedData!K43^2*$J$6+$M$5*$J$7</f>
        <v>-0.66526040004926879</v>
      </c>
      <c r="S64" s="39">
        <f>$J$3+[44]FormattedData!L43*$J$4+$M$4*$J$5+[44]FormattedData!L43^2*$J$6+$M$5*$J$7</f>
        <v>-0.66526040004926879</v>
      </c>
      <c r="T64" s="39">
        <f>$J$3+[44]FormattedData!M43*$J$4+$M$4*$J$5+[44]FormattedData!M43^2*$J$6+$M$5*$J$7</f>
        <v>-0.66526040004926879</v>
      </c>
      <c r="U64" s="39">
        <f>$J$3+[44]FormattedData!N43*$J$4+$M$4*$J$5+[44]FormattedData!N43^2*$J$6+$M$5*$J$7</f>
        <v>-0.66526040004926879</v>
      </c>
      <c r="V64" s="39">
        <f>$J$3+[44]FormattedData!O43*$J$4+$M$4*$J$5+[44]FormattedData!O43^2*$J$6+$M$5*$J$7</f>
        <v>-0.66526040004926879</v>
      </c>
      <c r="W64" s="38">
        <f>AVERAGE(K64:V64)</f>
        <v>-0.66526040004926867</v>
      </c>
      <c r="X64" s="37">
        <f>STDEV(K64:V64)/SQRT(COUNT(K64:V64))</f>
        <v>3.3474483693592253E-17</v>
      </c>
      <c r="Y64" s="36">
        <f>MIN(K64:V64)</f>
        <v>-0.66526040004926879</v>
      </c>
      <c r="Z64" s="35">
        <f>QUARTILE(K64:V64,1)</f>
        <v>-0.66526040004926879</v>
      </c>
      <c r="AA64" s="36">
        <f>MEDIAN(K64:V64)</f>
        <v>-0.66526040004926879</v>
      </c>
      <c r="AB64" s="35">
        <f>QUARTILE(K64:V64,3)</f>
        <v>-0.66526040004926879</v>
      </c>
      <c r="AC64" s="35">
        <f>MAX(K64:V64)</f>
        <v>-0.66526040004926879</v>
      </c>
      <c r="AD64" s="35">
        <f>SKEW(K64:V64)</f>
        <v>-1.1489125293076057</v>
      </c>
      <c r="AE64" s="35">
        <f>KURT(K64:V64)</f>
        <v>-2.4444444444444446</v>
      </c>
    </row>
    <row r="65" spans="2:31" x14ac:dyDescent="0.2">
      <c r="B65" s="34">
        <f>[44]FormattedData!A45</f>
        <v>0</v>
      </c>
      <c r="C65" s="34" t="e">
        <f>VLOOKUP($B65,[44]TrtCodes!$B$11:I88,2)</f>
        <v>#N/A</v>
      </c>
      <c r="D65" s="34" t="e">
        <f>VLOOKUP($B65,[44]TrtCodes!$B$11:J88,3)</f>
        <v>#N/A</v>
      </c>
      <c r="E65" s="34" t="e">
        <f>VLOOKUP($B65,[44]TrtCodes!$B$11:K88,4)</f>
        <v>#N/A</v>
      </c>
      <c r="F65" s="34" t="e">
        <f>VLOOKUP($B65,[44]TrtCodes!$B$11:L88,5)</f>
        <v>#N/A</v>
      </c>
      <c r="G65" s="34" t="e">
        <f>VLOOKUP($B65,[44]TrtCodes!$B$11:M88,6)</f>
        <v>#N/A</v>
      </c>
      <c r="H65" s="34" t="e">
        <f>VLOOKUP($B65,[44]TrtCodes!$B$11:N88,7)</f>
        <v>#N/A</v>
      </c>
      <c r="I65" s="34">
        <f>[44]FormattedData!B45</f>
        <v>0</v>
      </c>
      <c r="J65" s="37">
        <f>[44]FormattedData!C45</f>
        <v>0</v>
      </c>
      <c r="K65" s="39">
        <f>$J$3+[44]FormattedData!D45*$J$4+$M$4*$J$5+[44]FormattedData!D45^2*$J$6+$M$5*$J$7</f>
        <v>-0.66526040004926879</v>
      </c>
      <c r="L65" s="39">
        <f>$J$3+[44]FormattedData!E45*$J$4+$M$4*$J$5+[44]FormattedData!E45^2*$J$6+$M$5*$J$7</f>
        <v>-0.66526040004926879</v>
      </c>
      <c r="M65" s="39">
        <f>$J$3+[44]FormattedData!F45*$J$4+$M$4*$J$5+[44]FormattedData!F45^2*$J$6+$M$5*$J$7</f>
        <v>-0.66526040004926879</v>
      </c>
      <c r="N65" s="39">
        <f>$J$3+[44]FormattedData!G45*$J$4+$M$4*$J$5+[44]FormattedData!G45^2*$J$6+$M$5*$J$7</f>
        <v>-0.66526040004926879</v>
      </c>
      <c r="O65" s="39">
        <f>$J$3+[44]FormattedData!H45*$J$4+$M$4*$J$5+[44]FormattedData!H45^2*$J$6+$M$5*$J$7</f>
        <v>-0.66526040004926879</v>
      </c>
      <c r="P65" s="39">
        <f>$J$3+[44]FormattedData!I45*$J$4+$M$4*$J$5+[44]FormattedData!I45^2*$J$6+$M$5*$J$7</f>
        <v>-0.66526040004926879</v>
      </c>
      <c r="Q65" s="39">
        <f>$J$3+[44]FormattedData!J45*$J$4+$M$4*$J$5+[44]FormattedData!J45^2*$J$6+$M$5*$J$7</f>
        <v>-0.66526040004926879</v>
      </c>
      <c r="R65" s="39">
        <f>$J$3+[44]FormattedData!K45*$J$4+$M$4*$J$5+[44]FormattedData!K45^2*$J$6+$M$5*$J$7</f>
        <v>-0.66526040004926879</v>
      </c>
      <c r="S65" s="39">
        <f>$J$3+[44]FormattedData!L45*$J$4+$M$4*$J$5+[44]FormattedData!L45^2*$J$6+$M$5*$J$7</f>
        <v>-0.66526040004926879</v>
      </c>
      <c r="T65" s="39">
        <f>$J$3+[44]FormattedData!M45*$J$4+$M$4*$J$5+[44]FormattedData!M45^2*$J$6+$M$5*$J$7</f>
        <v>-0.66526040004926879</v>
      </c>
      <c r="U65" s="39">
        <f>$J$3+[44]FormattedData!N45*$J$4+$M$4*$J$5+[44]FormattedData!N45^2*$J$6+$M$5*$J$7</f>
        <v>-0.66526040004926879</v>
      </c>
      <c r="V65" s="39">
        <f>$J$3+[44]FormattedData!O45*$J$4+$M$4*$J$5+[44]FormattedData!O45^2*$J$6+$M$5*$J$7</f>
        <v>-0.66526040004926879</v>
      </c>
      <c r="W65" s="38">
        <f>AVERAGE(K65:V65)</f>
        <v>-0.66526040004926867</v>
      </c>
      <c r="X65" s="37">
        <f>STDEV(K65:V65)/SQRT(COUNT(K65:V65))</f>
        <v>3.3474483693592253E-17</v>
      </c>
      <c r="Y65" s="36">
        <f>MIN(K65:V65)</f>
        <v>-0.66526040004926879</v>
      </c>
      <c r="Z65" s="35">
        <f>QUARTILE(K65:V65,1)</f>
        <v>-0.66526040004926879</v>
      </c>
      <c r="AA65" s="36">
        <f>MEDIAN(K65:V65)</f>
        <v>-0.66526040004926879</v>
      </c>
      <c r="AB65" s="35">
        <f>QUARTILE(K65:V65,3)</f>
        <v>-0.66526040004926879</v>
      </c>
      <c r="AC65" s="35">
        <f>MAX(K65:V65)</f>
        <v>-0.66526040004926879</v>
      </c>
      <c r="AD65" s="35">
        <f>SKEW(K65:V65)</f>
        <v>-1.1489125293076057</v>
      </c>
      <c r="AE65" s="35">
        <f>KURT(K65:V65)</f>
        <v>-2.4444444444444446</v>
      </c>
    </row>
    <row r="66" spans="2:31" x14ac:dyDescent="0.2">
      <c r="B66" s="34">
        <f>[44]FormattedData!A63</f>
        <v>0</v>
      </c>
      <c r="C66" s="34" t="e">
        <f>VLOOKUP($B66,[44]TrtCodes!$B$11:I106,2)</f>
        <v>#N/A</v>
      </c>
      <c r="D66" s="34" t="e">
        <f>VLOOKUP($B66,[44]TrtCodes!$B$11:J106,3)</f>
        <v>#N/A</v>
      </c>
      <c r="E66" s="34" t="e">
        <f>VLOOKUP($B66,[44]TrtCodes!$B$11:K106,4)</f>
        <v>#N/A</v>
      </c>
      <c r="F66" s="34" t="e">
        <f>VLOOKUP($B66,[44]TrtCodes!$B$11:L106,5)</f>
        <v>#N/A</v>
      </c>
      <c r="G66" s="34" t="e">
        <f>VLOOKUP($B66,[44]TrtCodes!$B$11:M106,6)</f>
        <v>#N/A</v>
      </c>
      <c r="H66" s="34" t="e">
        <f>VLOOKUP($B66,[44]TrtCodes!$B$11:N106,7)</f>
        <v>#N/A</v>
      </c>
      <c r="I66" s="34">
        <f>[44]FormattedData!B63</f>
        <v>0</v>
      </c>
      <c r="J66" s="37">
        <f>[44]FormattedData!C63</f>
        <v>0</v>
      </c>
      <c r="K66" s="39">
        <f>$J$3+[44]FormattedData!D63*$J$4+$M$4*$J$5+[44]FormattedData!D63^2*$J$6+$M$5*$J$7</f>
        <v>-0.66526040004926879</v>
      </c>
      <c r="L66" s="39">
        <f>$J$3+[44]FormattedData!E63*$J$4+$M$4*$J$5+[44]FormattedData!E63^2*$J$6+$M$5*$J$7</f>
        <v>-0.66526040004926879</v>
      </c>
      <c r="M66" s="39">
        <f>$J$3+[44]FormattedData!F63*$J$4+$M$4*$J$5+[44]FormattedData!F63^2*$J$6+$M$5*$J$7</f>
        <v>-0.66526040004926879</v>
      </c>
      <c r="N66" s="39">
        <f>$J$3+[44]FormattedData!G63*$J$4+$M$4*$J$5+[44]FormattedData!G63^2*$J$6+$M$5*$J$7</f>
        <v>-0.66526040004926879</v>
      </c>
      <c r="O66" s="39">
        <f>$J$3+[44]FormattedData!H63*$J$4+$M$4*$J$5+[44]FormattedData!H63^2*$J$6+$M$5*$J$7</f>
        <v>-0.66526040004926879</v>
      </c>
      <c r="P66" s="39">
        <f>$J$3+[44]FormattedData!I63*$J$4+$M$4*$J$5+[44]FormattedData!I63^2*$J$6+$M$5*$J$7</f>
        <v>-0.66526040004926879</v>
      </c>
      <c r="Q66" s="39">
        <f>$J$3+[44]FormattedData!J63*$J$4+$M$4*$J$5+[44]FormattedData!J63^2*$J$6+$M$5*$J$7</f>
        <v>-0.66526040004926879</v>
      </c>
      <c r="R66" s="39">
        <f>$J$3+[44]FormattedData!K63*$J$4+$M$4*$J$5+[44]FormattedData!K63^2*$J$6+$M$5*$J$7</f>
        <v>-0.66526040004926879</v>
      </c>
      <c r="S66" s="39">
        <f>$J$3+[44]FormattedData!L63*$J$4+$M$4*$J$5+[44]FormattedData!L63^2*$J$6+$M$5*$J$7</f>
        <v>-0.66526040004926879</v>
      </c>
      <c r="T66" s="39">
        <f>$J$3+[44]FormattedData!M63*$J$4+$M$4*$J$5+[44]FormattedData!M63^2*$J$6+$M$5*$J$7</f>
        <v>-0.66526040004926879</v>
      </c>
      <c r="U66" s="39">
        <f>$J$3+[44]FormattedData!N63*$J$4+$M$4*$J$5+[44]FormattedData!N63^2*$J$6+$M$5*$J$7</f>
        <v>-0.66526040004926879</v>
      </c>
      <c r="V66" s="39">
        <f>$J$3+[44]FormattedData!O63*$J$4+$M$4*$J$5+[44]FormattedData!O63^2*$J$6+$M$5*$J$7</f>
        <v>-0.66526040004926879</v>
      </c>
      <c r="W66" s="38">
        <f>AVERAGE(K66:V66)</f>
        <v>-0.66526040004926867</v>
      </c>
      <c r="X66" s="37">
        <f>STDEV(K66:V66)/SQRT(COUNT(K66:V66))</f>
        <v>3.3474483693592253E-17</v>
      </c>
      <c r="Y66" s="36">
        <f>MIN(K66:V66)</f>
        <v>-0.66526040004926879</v>
      </c>
      <c r="Z66" s="35">
        <f>QUARTILE(K66:V66,1)</f>
        <v>-0.66526040004926879</v>
      </c>
      <c r="AA66" s="36">
        <f>MEDIAN(K66:V66)</f>
        <v>-0.66526040004926879</v>
      </c>
      <c r="AB66" s="35">
        <f>QUARTILE(K66:V66,3)</f>
        <v>-0.66526040004926879</v>
      </c>
      <c r="AC66" s="35">
        <f>MAX(K66:V66)</f>
        <v>-0.66526040004926879</v>
      </c>
      <c r="AD66" s="35">
        <f>SKEW(K66:V66)</f>
        <v>-1.1489125293076057</v>
      </c>
      <c r="AE66" s="35">
        <f>KURT(K66:V66)</f>
        <v>-2.4444444444444446</v>
      </c>
    </row>
    <row r="67" spans="2:31" x14ac:dyDescent="0.2">
      <c r="B67" s="34">
        <f>[44]FormattedData!A65</f>
        <v>0</v>
      </c>
      <c r="C67" s="34" t="e">
        <f>VLOOKUP($B67,[44]TrtCodes!$B$11:I108,2)</f>
        <v>#N/A</v>
      </c>
      <c r="D67" s="34" t="e">
        <f>VLOOKUP($B67,[44]TrtCodes!$B$11:J108,3)</f>
        <v>#N/A</v>
      </c>
      <c r="E67" s="34" t="e">
        <f>VLOOKUP($B67,[44]TrtCodes!$B$11:K108,4)</f>
        <v>#N/A</v>
      </c>
      <c r="F67" s="34" t="e">
        <f>VLOOKUP($B67,[44]TrtCodes!$B$11:L108,5)</f>
        <v>#N/A</v>
      </c>
      <c r="G67" s="34" t="e">
        <f>VLOOKUP($B67,[44]TrtCodes!$B$11:M108,6)</f>
        <v>#N/A</v>
      </c>
      <c r="H67" s="34" t="e">
        <f>VLOOKUP($B67,[44]TrtCodes!$B$11:N108,7)</f>
        <v>#N/A</v>
      </c>
      <c r="I67" s="34">
        <f>[44]FormattedData!B65</f>
        <v>0</v>
      </c>
      <c r="J67" s="37">
        <f>[44]FormattedData!C65</f>
        <v>0</v>
      </c>
      <c r="K67" s="39">
        <f>$J$3+[44]FormattedData!D65*$J$4+$M$4*$J$5+[44]FormattedData!D65^2*$J$6+$M$5*$J$7</f>
        <v>-0.66526040004926879</v>
      </c>
      <c r="L67" s="39">
        <f>$J$3+[44]FormattedData!E65*$J$4+$M$4*$J$5+[44]FormattedData!E65^2*$J$6+$M$5*$J$7</f>
        <v>-0.66526040004926879</v>
      </c>
      <c r="M67" s="39">
        <f>$J$3+[44]FormattedData!F65*$J$4+$M$4*$J$5+[44]FormattedData!F65^2*$J$6+$M$5*$J$7</f>
        <v>-0.66526040004926879</v>
      </c>
      <c r="N67" s="39">
        <f>$J$3+[44]FormattedData!G65*$J$4+$M$4*$J$5+[44]FormattedData!G65^2*$J$6+$M$5*$J$7</f>
        <v>-0.66526040004926879</v>
      </c>
      <c r="O67" s="39">
        <f>$J$3+[44]FormattedData!H65*$J$4+$M$4*$J$5+[44]FormattedData!H65^2*$J$6+$M$5*$J$7</f>
        <v>-0.66526040004926879</v>
      </c>
      <c r="P67" s="39">
        <f>$J$3+[44]FormattedData!I65*$J$4+$M$4*$J$5+[44]FormattedData!I65^2*$J$6+$M$5*$J$7</f>
        <v>-0.66526040004926879</v>
      </c>
      <c r="Q67" s="39">
        <f>$J$3+[44]FormattedData!J65*$J$4+$M$4*$J$5+[44]FormattedData!J65^2*$J$6+$M$5*$J$7</f>
        <v>-0.66526040004926879</v>
      </c>
      <c r="R67" s="39">
        <f>$J$3+[44]FormattedData!K65*$J$4+$M$4*$J$5+[44]FormattedData!K65^2*$J$6+$M$5*$J$7</f>
        <v>-0.66526040004926879</v>
      </c>
      <c r="S67" s="39">
        <f>$J$3+[44]FormattedData!L65*$J$4+$M$4*$J$5+[44]FormattedData!L65^2*$J$6+$M$5*$J$7</f>
        <v>-0.66526040004926879</v>
      </c>
      <c r="T67" s="39">
        <f>$J$3+[44]FormattedData!M65*$J$4+$M$4*$J$5+[44]FormattedData!M65^2*$J$6+$M$5*$J$7</f>
        <v>-0.66526040004926879</v>
      </c>
      <c r="U67" s="39">
        <f>$J$3+[44]FormattedData!N65*$J$4+$M$4*$J$5+[44]FormattedData!N65^2*$J$6+$M$5*$J$7</f>
        <v>-0.66526040004926879</v>
      </c>
      <c r="V67" s="39">
        <f>$J$3+[44]FormattedData!O65*$J$4+$M$4*$J$5+[44]FormattedData!O65^2*$J$6+$M$5*$J$7</f>
        <v>-0.66526040004926879</v>
      </c>
      <c r="W67" s="38">
        <f>AVERAGE(K67:V67)</f>
        <v>-0.66526040004926867</v>
      </c>
      <c r="X67" s="37">
        <f>STDEV(K67:V67)/SQRT(COUNT(K67:V67))</f>
        <v>3.3474483693592253E-17</v>
      </c>
      <c r="Y67" s="36">
        <f>MIN(K67:V67)</f>
        <v>-0.66526040004926879</v>
      </c>
      <c r="Z67" s="35">
        <f>QUARTILE(K67:V67,1)</f>
        <v>-0.66526040004926879</v>
      </c>
      <c r="AA67" s="36">
        <f>MEDIAN(K67:V67)</f>
        <v>-0.66526040004926879</v>
      </c>
      <c r="AB67" s="35">
        <f>QUARTILE(K67:V67,3)</f>
        <v>-0.66526040004926879</v>
      </c>
      <c r="AC67" s="35">
        <f>MAX(K67:V67)</f>
        <v>-0.66526040004926879</v>
      </c>
      <c r="AD67" s="35">
        <f>SKEW(K67:V67)</f>
        <v>-1.1489125293076057</v>
      </c>
      <c r="AE67" s="35">
        <f>KURT(K67:V67)</f>
        <v>-2.4444444444444446</v>
      </c>
    </row>
    <row r="68" spans="2:31" x14ac:dyDescent="0.2">
      <c r="B68" s="34">
        <f>[44]FormattedData!A67</f>
        <v>0</v>
      </c>
      <c r="C68" s="34" t="e">
        <f>VLOOKUP($B68,[44]TrtCodes!$B$11:I110,2)</f>
        <v>#N/A</v>
      </c>
      <c r="D68" s="34" t="e">
        <f>VLOOKUP($B68,[44]TrtCodes!$B$11:J110,3)</f>
        <v>#N/A</v>
      </c>
      <c r="E68" s="34" t="e">
        <f>VLOOKUP($B68,[44]TrtCodes!$B$11:K110,4)</f>
        <v>#N/A</v>
      </c>
      <c r="F68" s="34" t="e">
        <f>VLOOKUP($B68,[44]TrtCodes!$B$11:L110,5)</f>
        <v>#N/A</v>
      </c>
      <c r="G68" s="34" t="e">
        <f>VLOOKUP($B68,[44]TrtCodes!$B$11:M110,6)</f>
        <v>#N/A</v>
      </c>
      <c r="H68" s="34" t="e">
        <f>VLOOKUP($B68,[44]TrtCodes!$B$11:N110,7)</f>
        <v>#N/A</v>
      </c>
      <c r="I68" s="34">
        <f>[44]FormattedData!B67</f>
        <v>0</v>
      </c>
      <c r="J68" s="37">
        <f>[44]FormattedData!C67</f>
        <v>0</v>
      </c>
      <c r="K68" s="39">
        <f>$J$3+[44]FormattedData!D67*$J$4+$M$4*$J$5+[44]FormattedData!D67^2*$J$6+$M$5*$J$7</f>
        <v>-0.66526040004926879</v>
      </c>
      <c r="L68" s="39">
        <f>$J$3+[44]FormattedData!E67*$J$4+$M$4*$J$5+[44]FormattedData!E67^2*$J$6+$M$5*$J$7</f>
        <v>-0.66526040004926879</v>
      </c>
      <c r="M68" s="39">
        <f>$J$3+[44]FormattedData!F67*$J$4+$M$4*$J$5+[44]FormattedData!F67^2*$J$6+$M$5*$J$7</f>
        <v>-0.66526040004926879</v>
      </c>
      <c r="N68" s="39">
        <f>$J$3+[44]FormattedData!G67*$J$4+$M$4*$J$5+[44]FormattedData!G67^2*$J$6+$M$5*$J$7</f>
        <v>-0.66526040004926879</v>
      </c>
      <c r="O68" s="39">
        <f>$J$3+[44]FormattedData!H67*$J$4+$M$4*$J$5+[44]FormattedData!H67^2*$J$6+$M$5*$J$7</f>
        <v>-0.66526040004926879</v>
      </c>
      <c r="P68" s="39">
        <f>$J$3+[44]FormattedData!I67*$J$4+$M$4*$J$5+[44]FormattedData!I67^2*$J$6+$M$5*$J$7</f>
        <v>-0.66526040004926879</v>
      </c>
      <c r="Q68" s="39">
        <f>$J$3+[44]FormattedData!J67*$J$4+$M$4*$J$5+[44]FormattedData!J67^2*$J$6+$M$5*$J$7</f>
        <v>-0.66526040004926879</v>
      </c>
      <c r="R68" s="39">
        <f>$J$3+[44]FormattedData!K67*$J$4+$M$4*$J$5+[44]FormattedData!K67^2*$J$6+$M$5*$J$7</f>
        <v>-0.66526040004926879</v>
      </c>
      <c r="S68" s="39">
        <f>$J$3+[44]FormattedData!L67*$J$4+$M$4*$J$5+[44]FormattedData!L67^2*$J$6+$M$5*$J$7</f>
        <v>-0.66526040004926879</v>
      </c>
      <c r="T68" s="39">
        <f>$J$3+[44]FormattedData!M67*$J$4+$M$4*$J$5+[44]FormattedData!M67^2*$J$6+$M$5*$J$7</f>
        <v>-0.66526040004926879</v>
      </c>
      <c r="U68" s="39">
        <f>$J$3+[44]FormattedData!N67*$J$4+$M$4*$J$5+[44]FormattedData!N67^2*$J$6+$M$5*$J$7</f>
        <v>-0.66526040004926879</v>
      </c>
      <c r="V68" s="39">
        <f>$J$3+[44]FormattedData!O67*$J$4+$M$4*$J$5+[44]FormattedData!O67^2*$J$6+$M$5*$J$7</f>
        <v>-0.66526040004926879</v>
      </c>
      <c r="W68" s="38">
        <f>AVERAGE(K68:V68)</f>
        <v>-0.66526040004926867</v>
      </c>
      <c r="X68" s="37">
        <f>STDEV(K68:V68)/SQRT(COUNT(K68:V68))</f>
        <v>3.3474483693592253E-17</v>
      </c>
      <c r="Y68" s="36">
        <f>MIN(K68:V68)</f>
        <v>-0.66526040004926879</v>
      </c>
      <c r="Z68" s="35">
        <f>QUARTILE(K68:V68,1)</f>
        <v>-0.66526040004926879</v>
      </c>
      <c r="AA68" s="36">
        <f>MEDIAN(K68:V68)</f>
        <v>-0.66526040004926879</v>
      </c>
      <c r="AB68" s="35">
        <f>QUARTILE(K68:V68,3)</f>
        <v>-0.66526040004926879</v>
      </c>
      <c r="AC68" s="35">
        <f>MAX(K68:V68)</f>
        <v>-0.66526040004926879</v>
      </c>
      <c r="AD68" s="35">
        <f>SKEW(K68:V68)</f>
        <v>-1.1489125293076057</v>
      </c>
      <c r="AE68" s="35">
        <f>KURT(K68:V68)</f>
        <v>-2.4444444444444446</v>
      </c>
    </row>
    <row r="69" spans="2:31" x14ac:dyDescent="0.2">
      <c r="B69" s="34">
        <f>[44]FormattedData!A69</f>
        <v>0</v>
      </c>
      <c r="C69" s="34" t="e">
        <f>VLOOKUP($B69,[44]TrtCodes!$B$11:I112,2)</f>
        <v>#N/A</v>
      </c>
      <c r="D69" s="34" t="e">
        <f>VLOOKUP($B69,[44]TrtCodes!$B$11:J112,3)</f>
        <v>#N/A</v>
      </c>
      <c r="E69" s="34" t="e">
        <f>VLOOKUP($B69,[44]TrtCodes!$B$11:K112,4)</f>
        <v>#N/A</v>
      </c>
      <c r="F69" s="34" t="e">
        <f>VLOOKUP($B69,[44]TrtCodes!$B$11:L112,5)</f>
        <v>#N/A</v>
      </c>
      <c r="G69" s="34" t="e">
        <f>VLOOKUP($B69,[44]TrtCodes!$B$11:M112,6)</f>
        <v>#N/A</v>
      </c>
      <c r="H69" s="34" t="e">
        <f>VLOOKUP($B69,[44]TrtCodes!$B$11:N112,7)</f>
        <v>#N/A</v>
      </c>
      <c r="I69" s="34">
        <f>[44]FormattedData!B69</f>
        <v>0</v>
      </c>
      <c r="J69" s="37">
        <f>[44]FormattedData!C69</f>
        <v>0</v>
      </c>
      <c r="K69" s="39">
        <f>$J$3+[44]FormattedData!D69*$J$4+$M$4*$J$5+[44]FormattedData!D69^2*$J$6+$M$5*$J$7</f>
        <v>-0.66526040004926879</v>
      </c>
      <c r="L69" s="39">
        <f>$J$3+[44]FormattedData!E69*$J$4+$M$4*$J$5+[44]FormattedData!E69^2*$J$6+$M$5*$J$7</f>
        <v>-0.66526040004926879</v>
      </c>
      <c r="M69" s="39">
        <f>$J$3+[44]FormattedData!F69*$J$4+$M$4*$J$5+[44]FormattedData!F69^2*$J$6+$M$5*$J$7</f>
        <v>-0.66526040004926879</v>
      </c>
      <c r="N69" s="39">
        <f>$J$3+[44]FormattedData!G69*$J$4+$M$4*$J$5+[44]FormattedData!G69^2*$J$6+$M$5*$J$7</f>
        <v>-0.66526040004926879</v>
      </c>
      <c r="O69" s="39">
        <f>$J$3+[44]FormattedData!H69*$J$4+$M$4*$J$5+[44]FormattedData!H69^2*$J$6+$M$5*$J$7</f>
        <v>-0.66526040004926879</v>
      </c>
      <c r="P69" s="39">
        <f>$J$3+[44]FormattedData!I69*$J$4+$M$4*$J$5+[44]FormattedData!I69^2*$J$6+$M$5*$J$7</f>
        <v>-0.66526040004926879</v>
      </c>
      <c r="Q69" s="39">
        <f>$J$3+[44]FormattedData!J69*$J$4+$M$4*$J$5+[44]FormattedData!J69^2*$J$6+$M$5*$J$7</f>
        <v>-0.66526040004926879</v>
      </c>
      <c r="R69" s="39">
        <f>$J$3+[44]FormattedData!K69*$J$4+$M$4*$J$5+[44]FormattedData!K69^2*$J$6+$M$5*$J$7</f>
        <v>-0.66526040004926879</v>
      </c>
      <c r="S69" s="39">
        <f>$J$3+[44]FormattedData!L69*$J$4+$M$4*$J$5+[44]FormattedData!L69^2*$J$6+$M$5*$J$7</f>
        <v>-0.66526040004926879</v>
      </c>
      <c r="T69" s="39">
        <f>$J$3+[44]FormattedData!M69*$J$4+$M$4*$J$5+[44]FormattedData!M69^2*$J$6+$M$5*$J$7</f>
        <v>-0.66526040004926879</v>
      </c>
      <c r="U69" s="39">
        <f>$J$3+[44]FormattedData!N69*$J$4+$M$4*$J$5+[44]FormattedData!N69^2*$J$6+$M$5*$J$7</f>
        <v>-0.66526040004926879</v>
      </c>
      <c r="V69" s="39">
        <f>$J$3+[44]FormattedData!O69*$J$4+$M$4*$J$5+[44]FormattedData!O69^2*$J$6+$M$5*$J$7</f>
        <v>-0.66526040004926879</v>
      </c>
      <c r="W69" s="38">
        <f>AVERAGE(K69:V69)</f>
        <v>-0.66526040004926867</v>
      </c>
      <c r="X69" s="37">
        <f>STDEV(K69:V69)/SQRT(COUNT(K69:V69))</f>
        <v>3.3474483693592253E-17</v>
      </c>
      <c r="Y69" s="36">
        <f>MIN(K69:V69)</f>
        <v>-0.66526040004926879</v>
      </c>
      <c r="Z69" s="35">
        <f>QUARTILE(K69:V69,1)</f>
        <v>-0.66526040004926879</v>
      </c>
      <c r="AA69" s="36">
        <f>MEDIAN(K69:V69)</f>
        <v>-0.66526040004926879</v>
      </c>
      <c r="AB69" s="35">
        <f>QUARTILE(K69:V69,3)</f>
        <v>-0.66526040004926879</v>
      </c>
      <c r="AC69" s="35">
        <f>MAX(K69:V69)</f>
        <v>-0.66526040004926879</v>
      </c>
      <c r="AD69" s="35">
        <f>SKEW(K69:V69)</f>
        <v>-1.1489125293076057</v>
      </c>
      <c r="AE69" s="35">
        <f>KURT(K69:V69)</f>
        <v>-2.4444444444444446</v>
      </c>
    </row>
    <row r="70" spans="2:31" x14ac:dyDescent="0.2">
      <c r="B70" s="34">
        <f>[44]FormattedData!A71</f>
        <v>0</v>
      </c>
      <c r="C70" s="34" t="e">
        <f>VLOOKUP($B70,[44]TrtCodes!$B$11:I114,2)</f>
        <v>#N/A</v>
      </c>
      <c r="D70" s="34" t="e">
        <f>VLOOKUP($B70,[44]TrtCodes!$B$11:J114,3)</f>
        <v>#N/A</v>
      </c>
      <c r="E70" s="34" t="e">
        <f>VLOOKUP($B70,[44]TrtCodes!$B$11:K114,4)</f>
        <v>#N/A</v>
      </c>
      <c r="F70" s="34" t="e">
        <f>VLOOKUP($B70,[44]TrtCodes!$B$11:L114,5)</f>
        <v>#N/A</v>
      </c>
      <c r="G70" s="34" t="e">
        <f>VLOOKUP($B70,[44]TrtCodes!$B$11:M114,6)</f>
        <v>#N/A</v>
      </c>
      <c r="H70" s="34" t="e">
        <f>VLOOKUP($B70,[44]TrtCodes!$B$11:N114,7)</f>
        <v>#N/A</v>
      </c>
      <c r="I70" s="34">
        <f>[44]FormattedData!B71</f>
        <v>0</v>
      </c>
      <c r="J70" s="37">
        <f>[44]FormattedData!C71</f>
        <v>0</v>
      </c>
      <c r="K70" s="39">
        <f>$J$3+[44]FormattedData!D71*$J$4+$M$4*$J$5+[44]FormattedData!D71^2*$J$6+$M$5*$J$7</f>
        <v>-0.66526040004926879</v>
      </c>
      <c r="L70" s="39">
        <f>$J$3+[44]FormattedData!E71*$J$4+$M$4*$J$5+[44]FormattedData!E71^2*$J$6+$M$5*$J$7</f>
        <v>-0.66526040004926879</v>
      </c>
      <c r="M70" s="39">
        <f>$J$3+[44]FormattedData!F71*$J$4+$M$4*$J$5+[44]FormattedData!F71^2*$J$6+$M$5*$J$7</f>
        <v>-0.66526040004926879</v>
      </c>
      <c r="N70" s="39">
        <f>$J$3+[44]FormattedData!G71*$J$4+$M$4*$J$5+[44]FormattedData!G71^2*$J$6+$M$5*$J$7</f>
        <v>-0.66526040004926879</v>
      </c>
      <c r="O70" s="39">
        <f>$J$3+[44]FormattedData!H71*$J$4+$M$4*$J$5+[44]FormattedData!H71^2*$J$6+$M$5*$J$7</f>
        <v>-0.66526040004926879</v>
      </c>
      <c r="P70" s="39">
        <f>$J$3+[44]FormattedData!I71*$J$4+$M$4*$J$5+[44]FormattedData!I71^2*$J$6+$M$5*$J$7</f>
        <v>-0.66526040004926879</v>
      </c>
      <c r="Q70" s="39">
        <f>$J$3+[44]FormattedData!J71*$J$4+$M$4*$J$5+[44]FormattedData!J71^2*$J$6+$M$5*$J$7</f>
        <v>-0.66526040004926879</v>
      </c>
      <c r="R70" s="39">
        <f>$J$3+[44]FormattedData!K71*$J$4+$M$4*$J$5+[44]FormattedData!K71^2*$J$6+$M$5*$J$7</f>
        <v>-0.66526040004926879</v>
      </c>
      <c r="S70" s="39">
        <f>$J$3+[44]FormattedData!L71*$J$4+$M$4*$J$5+[44]FormattedData!L71^2*$J$6+$M$5*$J$7</f>
        <v>-0.66526040004926879</v>
      </c>
      <c r="T70" s="39">
        <f>$J$3+[44]FormattedData!M71*$J$4+$M$4*$J$5+[44]FormattedData!M71^2*$J$6+$M$5*$J$7</f>
        <v>-0.66526040004926879</v>
      </c>
      <c r="U70" s="39">
        <f>$J$3+[44]FormattedData!N71*$J$4+$M$4*$J$5+[44]FormattedData!N71^2*$J$6+$M$5*$J$7</f>
        <v>-0.66526040004926879</v>
      </c>
      <c r="V70" s="39">
        <f>$J$3+[44]FormattedData!O71*$J$4+$M$4*$J$5+[44]FormattedData!O71^2*$J$6+$M$5*$J$7</f>
        <v>-0.66526040004926879</v>
      </c>
      <c r="W70" s="38">
        <f>AVERAGE(K70:V70)</f>
        <v>-0.66526040004926867</v>
      </c>
      <c r="X70" s="37">
        <f>STDEV(K70:V70)/SQRT(COUNT(K70:V70))</f>
        <v>3.3474483693592253E-17</v>
      </c>
      <c r="Y70" s="36">
        <f>MIN(K70:V70)</f>
        <v>-0.66526040004926879</v>
      </c>
      <c r="Z70" s="35">
        <f>QUARTILE(K70:V70,1)</f>
        <v>-0.66526040004926879</v>
      </c>
      <c r="AA70" s="36">
        <f>MEDIAN(K70:V70)</f>
        <v>-0.66526040004926879</v>
      </c>
      <c r="AB70" s="35">
        <f>QUARTILE(K70:V70,3)</f>
        <v>-0.66526040004926879</v>
      </c>
      <c r="AC70" s="35">
        <f>MAX(K70:V70)</f>
        <v>-0.66526040004926879</v>
      </c>
      <c r="AD70" s="35">
        <f>SKEW(K70:V70)</f>
        <v>-1.1489125293076057</v>
      </c>
      <c r="AE70" s="35">
        <f>KURT(K70:V70)</f>
        <v>-2.4444444444444446</v>
      </c>
    </row>
    <row r="71" spans="2:31" x14ac:dyDescent="0.2">
      <c r="B71" s="34">
        <f>[44]FormattedData!A73</f>
        <v>0</v>
      </c>
      <c r="C71" s="34" t="e">
        <f>VLOOKUP($B71,[44]TrtCodes!$B$11:I116,2)</f>
        <v>#N/A</v>
      </c>
      <c r="D71" s="34" t="e">
        <f>VLOOKUP($B71,[44]TrtCodes!$B$11:J116,3)</f>
        <v>#N/A</v>
      </c>
      <c r="E71" s="34" t="e">
        <f>VLOOKUP($B71,[44]TrtCodes!$B$11:K116,4)</f>
        <v>#N/A</v>
      </c>
      <c r="F71" s="34" t="e">
        <f>VLOOKUP($B71,[44]TrtCodes!$B$11:L116,5)</f>
        <v>#N/A</v>
      </c>
      <c r="G71" s="34" t="e">
        <f>VLOOKUP($B71,[44]TrtCodes!$B$11:M116,6)</f>
        <v>#N/A</v>
      </c>
      <c r="H71" s="34" t="e">
        <f>VLOOKUP($B71,[44]TrtCodes!$B$11:N116,7)</f>
        <v>#N/A</v>
      </c>
      <c r="I71" s="34">
        <f>[44]FormattedData!B73</f>
        <v>0</v>
      </c>
      <c r="J71" s="37">
        <f>[44]FormattedData!C73</f>
        <v>0</v>
      </c>
      <c r="K71" s="39">
        <f>$J$3+[44]FormattedData!D73*$J$4+$M$4*$J$5+[44]FormattedData!D73^2*$J$6+$M$5*$J$7</f>
        <v>-0.66526040004926879</v>
      </c>
      <c r="L71" s="39">
        <f>$J$3+[44]FormattedData!E73*$J$4+$M$4*$J$5+[44]FormattedData!E73^2*$J$6+$M$5*$J$7</f>
        <v>-0.66526040004926879</v>
      </c>
      <c r="M71" s="39">
        <f>$J$3+[44]FormattedData!F73*$J$4+$M$4*$J$5+[44]FormattedData!F73^2*$J$6+$M$5*$J$7</f>
        <v>-0.66526040004926879</v>
      </c>
      <c r="N71" s="39">
        <f>$J$3+[44]FormattedData!G73*$J$4+$M$4*$J$5+[44]FormattedData!G73^2*$J$6+$M$5*$J$7</f>
        <v>-0.66526040004926879</v>
      </c>
      <c r="O71" s="39">
        <f>$J$3+[44]FormattedData!H73*$J$4+$M$4*$J$5+[44]FormattedData!H73^2*$J$6+$M$5*$J$7</f>
        <v>-0.66526040004926879</v>
      </c>
      <c r="P71" s="39">
        <f>$J$3+[44]FormattedData!I73*$J$4+$M$4*$J$5+[44]FormattedData!I73^2*$J$6+$M$5*$J$7</f>
        <v>-0.66526040004926879</v>
      </c>
      <c r="Q71" s="39">
        <f>$J$3+[44]FormattedData!J73*$J$4+$M$4*$J$5+[44]FormattedData!J73^2*$J$6+$M$5*$J$7</f>
        <v>-0.66526040004926879</v>
      </c>
      <c r="R71" s="39">
        <f>$J$3+[44]FormattedData!K73*$J$4+$M$4*$J$5+[44]FormattedData!K73^2*$J$6+$M$5*$J$7</f>
        <v>-0.66526040004926879</v>
      </c>
      <c r="S71" s="39">
        <f>$J$3+[44]FormattedData!L73*$J$4+$M$4*$J$5+[44]FormattedData!L73^2*$J$6+$M$5*$J$7</f>
        <v>-0.66526040004926879</v>
      </c>
      <c r="T71" s="39">
        <f>$J$3+[44]FormattedData!M73*$J$4+$M$4*$J$5+[44]FormattedData!M73^2*$J$6+$M$5*$J$7</f>
        <v>-0.66526040004926879</v>
      </c>
      <c r="U71" s="39">
        <f>$J$3+[44]FormattedData!N73*$J$4+$M$4*$J$5+[44]FormattedData!N73^2*$J$6+$M$5*$J$7</f>
        <v>-0.66526040004926879</v>
      </c>
      <c r="V71" s="39">
        <f>$J$3+[44]FormattedData!O73*$J$4+$M$4*$J$5+[44]FormattedData!O73^2*$J$6+$M$5*$J$7</f>
        <v>-0.66526040004926879</v>
      </c>
      <c r="W71" s="38">
        <f>AVERAGE(K71:V71)</f>
        <v>-0.66526040004926867</v>
      </c>
      <c r="X71" s="37">
        <f>STDEV(K71:V71)/SQRT(COUNT(K71:V71))</f>
        <v>3.3474483693592253E-17</v>
      </c>
      <c r="Y71" s="36">
        <f>MIN(K71:V71)</f>
        <v>-0.66526040004926879</v>
      </c>
      <c r="Z71" s="35">
        <f>QUARTILE(K71:V71,1)</f>
        <v>-0.66526040004926879</v>
      </c>
      <c r="AA71" s="36">
        <f>MEDIAN(K71:V71)</f>
        <v>-0.66526040004926879</v>
      </c>
      <c r="AB71" s="35">
        <f>QUARTILE(K71:V71,3)</f>
        <v>-0.66526040004926879</v>
      </c>
      <c r="AC71" s="35">
        <f>MAX(K71:V71)</f>
        <v>-0.66526040004926879</v>
      </c>
      <c r="AD71" s="35">
        <f>SKEW(K71:V71)</f>
        <v>-1.1489125293076057</v>
      </c>
      <c r="AE71" s="35">
        <f>KURT(K71:V71)</f>
        <v>-2.4444444444444446</v>
      </c>
    </row>
    <row r="72" spans="2:31" x14ac:dyDescent="0.2">
      <c r="B72" s="34">
        <f>[44]FormattedData!A75</f>
        <v>0</v>
      </c>
      <c r="C72" s="34" t="e">
        <f>VLOOKUP($B72,[44]TrtCodes!$B$11:I118,2)</f>
        <v>#N/A</v>
      </c>
      <c r="D72" s="34" t="e">
        <f>VLOOKUP($B72,[44]TrtCodes!$B$11:J118,3)</f>
        <v>#N/A</v>
      </c>
      <c r="E72" s="34" t="e">
        <f>VLOOKUP($B72,[44]TrtCodes!$B$11:K118,4)</f>
        <v>#N/A</v>
      </c>
      <c r="F72" s="34" t="e">
        <f>VLOOKUP($B72,[44]TrtCodes!$B$11:L118,5)</f>
        <v>#N/A</v>
      </c>
      <c r="G72" s="34" t="e">
        <f>VLOOKUP($B72,[44]TrtCodes!$B$11:M118,6)</f>
        <v>#N/A</v>
      </c>
      <c r="H72" s="34" t="e">
        <f>VLOOKUP($B72,[44]TrtCodes!$B$11:N118,7)</f>
        <v>#N/A</v>
      </c>
      <c r="I72" s="34">
        <f>[44]FormattedData!B75</f>
        <v>0</v>
      </c>
      <c r="J72" s="37">
        <f>[44]FormattedData!C75</f>
        <v>0</v>
      </c>
      <c r="K72" s="39">
        <f>$J$3+[44]FormattedData!D75*$J$4+$M$4*$J$5+[44]FormattedData!D75^2*$J$6+$M$5*$J$7</f>
        <v>-0.66526040004926879</v>
      </c>
      <c r="L72" s="39">
        <f>$J$3+[44]FormattedData!E75*$J$4+$M$4*$J$5+[44]FormattedData!E75^2*$J$6+$M$5*$J$7</f>
        <v>-0.66526040004926879</v>
      </c>
      <c r="M72" s="39">
        <f>$J$3+[44]FormattedData!F75*$J$4+$M$4*$J$5+[44]FormattedData!F75^2*$J$6+$M$5*$J$7</f>
        <v>-0.66526040004926879</v>
      </c>
      <c r="N72" s="39">
        <f>$J$3+[44]FormattedData!G75*$J$4+$M$4*$J$5+[44]FormattedData!G75^2*$J$6+$M$5*$J$7</f>
        <v>-0.66526040004926879</v>
      </c>
      <c r="O72" s="39">
        <f>$J$3+[44]FormattedData!H75*$J$4+$M$4*$J$5+[44]FormattedData!H75^2*$J$6+$M$5*$J$7</f>
        <v>-0.66526040004926879</v>
      </c>
      <c r="P72" s="39">
        <f>$J$3+[44]FormattedData!I75*$J$4+$M$4*$J$5+[44]FormattedData!I75^2*$J$6+$M$5*$J$7</f>
        <v>-0.66526040004926879</v>
      </c>
      <c r="Q72" s="39">
        <f>$J$3+[44]FormattedData!J75*$J$4+$M$4*$J$5+[44]FormattedData!J75^2*$J$6+$M$5*$J$7</f>
        <v>-0.66526040004926879</v>
      </c>
      <c r="R72" s="39">
        <f>$J$3+[44]FormattedData!K75*$J$4+$M$4*$J$5+[44]FormattedData!K75^2*$J$6+$M$5*$J$7</f>
        <v>-0.66526040004926879</v>
      </c>
      <c r="S72" s="39">
        <f>$J$3+[44]FormattedData!L75*$J$4+$M$4*$J$5+[44]FormattedData!L75^2*$J$6+$M$5*$J$7</f>
        <v>-0.66526040004926879</v>
      </c>
      <c r="T72" s="39">
        <f>$J$3+[44]FormattedData!M75*$J$4+$M$4*$J$5+[44]FormattedData!M75^2*$J$6+$M$5*$J$7</f>
        <v>-0.66526040004926879</v>
      </c>
      <c r="U72" s="39">
        <f>$J$3+[44]FormattedData!N75*$J$4+$M$4*$J$5+[44]FormattedData!N75^2*$J$6+$M$5*$J$7</f>
        <v>-0.66526040004926879</v>
      </c>
      <c r="V72" s="39">
        <f>$J$3+[44]FormattedData!O75*$J$4+$M$4*$J$5+[44]FormattedData!O75^2*$J$6+$M$5*$J$7</f>
        <v>-0.66526040004926879</v>
      </c>
      <c r="W72" s="38">
        <f>AVERAGE(K72:V72)</f>
        <v>-0.66526040004926867</v>
      </c>
      <c r="X72" s="37">
        <f>STDEV(K72:V72)/SQRT(COUNT(K72:V72))</f>
        <v>3.3474483693592253E-17</v>
      </c>
      <c r="Y72" s="36">
        <f>MIN(K72:V72)</f>
        <v>-0.66526040004926879</v>
      </c>
      <c r="Z72" s="35">
        <f>QUARTILE(K72:V72,1)</f>
        <v>-0.66526040004926879</v>
      </c>
      <c r="AA72" s="36">
        <f>MEDIAN(K72:V72)</f>
        <v>-0.66526040004926879</v>
      </c>
      <c r="AB72" s="35">
        <f>QUARTILE(K72:V72,3)</f>
        <v>-0.66526040004926879</v>
      </c>
      <c r="AC72" s="35">
        <f>MAX(K72:V72)</f>
        <v>-0.66526040004926879</v>
      </c>
      <c r="AD72" s="35">
        <f>SKEW(K72:V72)</f>
        <v>-1.1489125293076057</v>
      </c>
      <c r="AE72" s="35">
        <f>KURT(K72:V72)</f>
        <v>-2.4444444444444446</v>
      </c>
    </row>
    <row r="73" spans="2:31" x14ac:dyDescent="0.2">
      <c r="B73" s="34">
        <f>[44]FormattedData!A77</f>
        <v>0</v>
      </c>
      <c r="C73" s="34" t="e">
        <f>VLOOKUP($B73,[44]TrtCodes!$B$11:I120,2)</f>
        <v>#N/A</v>
      </c>
      <c r="D73" s="34" t="e">
        <f>VLOOKUP($B73,[44]TrtCodes!$B$11:J120,3)</f>
        <v>#N/A</v>
      </c>
      <c r="E73" s="34" t="e">
        <f>VLOOKUP($B73,[44]TrtCodes!$B$11:K120,4)</f>
        <v>#N/A</v>
      </c>
      <c r="F73" s="34" t="e">
        <f>VLOOKUP($B73,[44]TrtCodes!$B$11:L120,5)</f>
        <v>#N/A</v>
      </c>
      <c r="G73" s="34" t="e">
        <f>VLOOKUP($B73,[44]TrtCodes!$B$11:M120,6)</f>
        <v>#N/A</v>
      </c>
      <c r="H73" s="34" t="e">
        <f>VLOOKUP($B73,[44]TrtCodes!$B$11:N120,7)</f>
        <v>#N/A</v>
      </c>
      <c r="I73" s="34">
        <f>[44]FormattedData!B77</f>
        <v>0</v>
      </c>
      <c r="J73" s="37">
        <f>[44]FormattedData!C77</f>
        <v>0</v>
      </c>
      <c r="K73" s="39">
        <f>$J$3+[44]FormattedData!D77*$J$4+$M$4*$J$5+[44]FormattedData!D77^2*$J$6+$M$5*$J$7</f>
        <v>-0.66526040004926879</v>
      </c>
      <c r="L73" s="39">
        <f>$J$3+[44]FormattedData!E77*$J$4+$M$4*$J$5+[44]FormattedData!E77^2*$J$6+$M$5*$J$7</f>
        <v>-0.66526040004926879</v>
      </c>
      <c r="M73" s="39">
        <f>$J$3+[44]FormattedData!F77*$J$4+$M$4*$J$5+[44]FormattedData!F77^2*$J$6+$M$5*$J$7</f>
        <v>-0.66526040004926879</v>
      </c>
      <c r="N73" s="39">
        <f>$J$3+[44]FormattedData!G77*$J$4+$M$4*$J$5+[44]FormattedData!G77^2*$J$6+$M$5*$J$7</f>
        <v>-0.66526040004926879</v>
      </c>
      <c r="O73" s="39">
        <f>$J$3+[44]FormattedData!H77*$J$4+$M$4*$J$5+[44]FormattedData!H77^2*$J$6+$M$5*$J$7</f>
        <v>-0.66526040004926879</v>
      </c>
      <c r="P73" s="39">
        <f>$J$3+[44]FormattedData!I77*$J$4+$M$4*$J$5+[44]FormattedData!I77^2*$J$6+$M$5*$J$7</f>
        <v>-0.66526040004926879</v>
      </c>
      <c r="Q73" s="39">
        <f>$J$3+[44]FormattedData!J77*$J$4+$M$4*$J$5+[44]FormattedData!J77^2*$J$6+$M$5*$J$7</f>
        <v>-0.66526040004926879</v>
      </c>
      <c r="R73" s="39">
        <f>$J$3+[44]FormattedData!K77*$J$4+$M$4*$J$5+[44]FormattedData!K77^2*$J$6+$M$5*$J$7</f>
        <v>-0.66526040004926879</v>
      </c>
      <c r="S73" s="39">
        <f>$J$3+[44]FormattedData!L77*$J$4+$M$4*$J$5+[44]FormattedData!L77^2*$J$6+$M$5*$J$7</f>
        <v>-0.66526040004926879</v>
      </c>
      <c r="T73" s="39">
        <f>$J$3+[44]FormattedData!M77*$J$4+$M$4*$J$5+[44]FormattedData!M77^2*$J$6+$M$5*$J$7</f>
        <v>-0.66526040004926879</v>
      </c>
      <c r="U73" s="39">
        <f>$J$3+[44]FormattedData!N77*$J$4+$M$4*$J$5+[44]FormattedData!N77^2*$J$6+$M$5*$J$7</f>
        <v>-0.66526040004926879</v>
      </c>
      <c r="V73" s="39">
        <f>$J$3+[44]FormattedData!O77*$J$4+$M$4*$J$5+[44]FormattedData!O77^2*$J$6+$M$5*$J$7</f>
        <v>-0.66526040004926879</v>
      </c>
      <c r="W73" s="38">
        <f>AVERAGE(K73:V73)</f>
        <v>-0.66526040004926867</v>
      </c>
      <c r="X73" s="37">
        <f>STDEV(K73:V73)/SQRT(COUNT(K73:V73))</f>
        <v>3.3474483693592253E-17</v>
      </c>
      <c r="Y73" s="36">
        <f>MIN(K73:V73)</f>
        <v>-0.66526040004926879</v>
      </c>
      <c r="Z73" s="35">
        <f>QUARTILE(K73:V73,1)</f>
        <v>-0.66526040004926879</v>
      </c>
      <c r="AA73" s="36">
        <f>MEDIAN(K73:V73)</f>
        <v>-0.66526040004926879</v>
      </c>
      <c r="AB73" s="35">
        <f>QUARTILE(K73:V73,3)</f>
        <v>-0.66526040004926879</v>
      </c>
      <c r="AC73" s="35">
        <f>MAX(K73:V73)</f>
        <v>-0.66526040004926879</v>
      </c>
      <c r="AD73" s="35">
        <f>SKEW(K73:V73)</f>
        <v>-1.1489125293076057</v>
      </c>
      <c r="AE73" s="35">
        <f>KURT(K73:V73)</f>
        <v>-2.4444444444444446</v>
      </c>
    </row>
    <row r="74" spans="2:31" x14ac:dyDescent="0.2">
      <c r="B74" s="34">
        <f>[44]FormattedData!A93</f>
        <v>0</v>
      </c>
      <c r="C74" s="34" t="e">
        <f>VLOOKUP($B74,[44]TrtCodes!$B$11:I130,2)</f>
        <v>#N/A</v>
      </c>
      <c r="D74" s="34" t="e">
        <f>VLOOKUP($B74,[44]TrtCodes!$B$11:J130,3)</f>
        <v>#N/A</v>
      </c>
      <c r="E74" s="34" t="e">
        <f>VLOOKUP($B74,[44]TrtCodes!$B$11:K130,4)</f>
        <v>#N/A</v>
      </c>
      <c r="F74" s="34" t="e">
        <f>VLOOKUP($B74,[44]TrtCodes!$B$11:L130,5)</f>
        <v>#N/A</v>
      </c>
      <c r="G74" s="34" t="e">
        <f>VLOOKUP($B74,[44]TrtCodes!$B$11:M130,6)</f>
        <v>#N/A</v>
      </c>
      <c r="H74" s="34" t="e">
        <f>VLOOKUP($B74,[44]TrtCodes!$B$11:N130,7)</f>
        <v>#N/A</v>
      </c>
      <c r="I74" s="34">
        <f>[44]FormattedData!B93</f>
        <v>0</v>
      </c>
      <c r="J74" s="37">
        <f>[44]FormattedData!C93</f>
        <v>0</v>
      </c>
      <c r="K74" s="39">
        <f>$J$3+[44]FormattedData!D93*$J$4+$M$4*$J$5+[44]FormattedData!D93^2*$J$6+$M$5*$J$7</f>
        <v>-0.66526040004926879</v>
      </c>
      <c r="L74" s="39">
        <f>$J$3+[44]FormattedData!E93*$J$4+$M$4*$J$5+[44]FormattedData!E93^2*$J$6+$M$5*$J$7</f>
        <v>-0.66526040004926879</v>
      </c>
      <c r="M74" s="39">
        <f>$J$3+[44]FormattedData!F93*$J$4+$M$4*$J$5+[44]FormattedData!F93^2*$J$6+$M$5*$J$7</f>
        <v>-0.66526040004926879</v>
      </c>
      <c r="N74" s="39">
        <f>$J$3+[44]FormattedData!G93*$J$4+$M$4*$J$5+[44]FormattedData!G93^2*$J$6+$M$5*$J$7</f>
        <v>-0.66526040004926879</v>
      </c>
      <c r="O74" s="39">
        <f>$J$3+[44]FormattedData!H93*$J$4+$M$4*$J$5+[44]FormattedData!H93^2*$J$6+$M$5*$J$7</f>
        <v>-0.66526040004926879</v>
      </c>
      <c r="P74" s="39">
        <f>$J$3+[44]FormattedData!I93*$J$4+$M$4*$J$5+[44]FormattedData!I93^2*$J$6+$M$5*$J$7</f>
        <v>-0.66526040004926879</v>
      </c>
      <c r="Q74" s="39">
        <f>$J$3+[44]FormattedData!J93*$J$4+$M$4*$J$5+[44]FormattedData!J93^2*$J$6+$M$5*$J$7</f>
        <v>-0.66526040004926879</v>
      </c>
      <c r="R74" s="39">
        <f>$J$3+[44]FormattedData!K93*$J$4+$M$4*$J$5+[44]FormattedData!K93^2*$J$6+$M$5*$J$7</f>
        <v>-0.66526040004926879</v>
      </c>
      <c r="S74" s="39">
        <f>$J$3+[44]FormattedData!L93*$J$4+$M$4*$J$5+[44]FormattedData!L93^2*$J$6+$M$5*$J$7</f>
        <v>-0.66526040004926879</v>
      </c>
      <c r="T74" s="39">
        <f>$J$3+[44]FormattedData!M93*$J$4+$M$4*$J$5+[44]FormattedData!M93^2*$J$6+$M$5*$J$7</f>
        <v>-0.66526040004926879</v>
      </c>
      <c r="U74" s="39">
        <f>$J$3+[44]FormattedData!N93*$J$4+$M$4*$J$5+[44]FormattedData!N93^2*$J$6+$M$5*$J$7</f>
        <v>-0.66526040004926879</v>
      </c>
      <c r="V74" s="39">
        <f>$J$3+[44]FormattedData!O93*$J$4+$M$4*$J$5+[44]FormattedData!O93^2*$J$6+$M$5*$J$7</f>
        <v>-0.66526040004926879</v>
      </c>
      <c r="W74" s="38">
        <f>AVERAGE(K74:V74)</f>
        <v>-0.66526040004926867</v>
      </c>
      <c r="X74" s="37">
        <f>STDEV(K74:V74)/SQRT(COUNT(K74:V74))</f>
        <v>3.3474483693592253E-17</v>
      </c>
      <c r="Y74" s="36">
        <f>MIN(K74:V74)</f>
        <v>-0.66526040004926879</v>
      </c>
      <c r="Z74" s="35">
        <f>QUARTILE(K74:V74,1)</f>
        <v>-0.66526040004926879</v>
      </c>
      <c r="AA74" s="36">
        <f>MEDIAN(K74:V74)</f>
        <v>-0.66526040004926879</v>
      </c>
      <c r="AB74" s="35">
        <f>QUARTILE(K74:V74,3)</f>
        <v>-0.66526040004926879</v>
      </c>
      <c r="AC74" s="35">
        <f>MAX(K74:V74)</f>
        <v>-0.66526040004926879</v>
      </c>
      <c r="AD74" s="35">
        <f>SKEW(K74:V74)</f>
        <v>-1.1489125293076057</v>
      </c>
      <c r="AE74" s="35">
        <f>KURT(K74:V74)</f>
        <v>-2.4444444444444446</v>
      </c>
    </row>
    <row r="75" spans="2:31" x14ac:dyDescent="0.2">
      <c r="B75" s="34">
        <f>[44]FormattedData!A91</f>
        <v>0</v>
      </c>
      <c r="C75" s="34" t="e">
        <f>VLOOKUP($B75,[44]TrtCodes!$B$11:I131,2)</f>
        <v>#N/A</v>
      </c>
      <c r="D75" s="34" t="e">
        <f>VLOOKUP($B75,[44]TrtCodes!$B$11:J131,3)</f>
        <v>#N/A</v>
      </c>
      <c r="E75" s="34" t="e">
        <f>VLOOKUP($B75,[44]TrtCodes!$B$11:K131,4)</f>
        <v>#N/A</v>
      </c>
      <c r="F75" s="34" t="e">
        <f>VLOOKUP($B75,[44]TrtCodes!$B$11:L131,5)</f>
        <v>#N/A</v>
      </c>
      <c r="G75" s="34" t="e">
        <f>VLOOKUP($B75,[44]TrtCodes!$B$11:M131,6)</f>
        <v>#N/A</v>
      </c>
      <c r="H75" s="34" t="e">
        <f>VLOOKUP($B75,[44]TrtCodes!$B$11:N131,7)</f>
        <v>#N/A</v>
      </c>
      <c r="I75" s="34">
        <f>[44]FormattedData!B91</f>
        <v>0</v>
      </c>
      <c r="J75" s="37">
        <f>[44]FormattedData!C91</f>
        <v>0</v>
      </c>
      <c r="K75" s="39">
        <f>$J$3+[44]FormattedData!D91*$J$4+$M$4*$J$5+[44]FormattedData!D91^2*$J$6+$M$5*$J$7</f>
        <v>-0.66526040004926879</v>
      </c>
      <c r="L75" s="39">
        <f>$J$3+[44]FormattedData!E91*$J$4+$M$4*$J$5+[44]FormattedData!E91^2*$J$6+$M$5*$J$7</f>
        <v>-0.66526040004926879</v>
      </c>
      <c r="M75" s="39">
        <f>$J$3+[44]FormattedData!F91*$J$4+$M$4*$J$5+[44]FormattedData!F91^2*$J$6+$M$5*$J$7</f>
        <v>-0.66526040004926879</v>
      </c>
      <c r="N75" s="39">
        <f>$J$3+[44]FormattedData!G91*$J$4+$M$4*$J$5+[44]FormattedData!G91^2*$J$6+$M$5*$J$7</f>
        <v>-0.66526040004926879</v>
      </c>
      <c r="O75" s="39">
        <f>$J$3+[44]FormattedData!H91*$J$4+$M$4*$J$5+[44]FormattedData!H91^2*$J$6+$M$5*$J$7</f>
        <v>-0.66526040004926879</v>
      </c>
      <c r="P75" s="39">
        <f>$J$3+[44]FormattedData!I91*$J$4+$M$4*$J$5+[44]FormattedData!I91^2*$J$6+$M$5*$J$7</f>
        <v>-0.66526040004926879</v>
      </c>
      <c r="Q75" s="39">
        <f>$J$3+[44]FormattedData!J91*$J$4+$M$4*$J$5+[44]FormattedData!J91^2*$J$6+$M$5*$J$7</f>
        <v>-0.66526040004926879</v>
      </c>
      <c r="R75" s="39">
        <f>$J$3+[44]FormattedData!K91*$J$4+$M$4*$J$5+[44]FormattedData!K91^2*$J$6+$M$5*$J$7</f>
        <v>-0.66526040004926879</v>
      </c>
      <c r="S75" s="39">
        <f>$J$3+[44]FormattedData!L91*$J$4+$M$4*$J$5+[44]FormattedData!L91^2*$J$6+$M$5*$J$7</f>
        <v>-0.66526040004926879</v>
      </c>
      <c r="T75" s="39">
        <f>$J$3+[44]FormattedData!M91*$J$4+$M$4*$J$5+[44]FormattedData!M91^2*$J$6+$M$5*$J$7</f>
        <v>-0.66526040004926879</v>
      </c>
      <c r="U75" s="39">
        <f>$J$3+[44]FormattedData!N91*$J$4+$M$4*$J$5+[44]FormattedData!N91^2*$J$6+$M$5*$J$7</f>
        <v>-0.66526040004926879</v>
      </c>
      <c r="V75" s="39">
        <f>$J$3+[44]FormattedData!O91*$J$4+$M$4*$J$5+[44]FormattedData!O91^2*$J$6+$M$5*$J$7</f>
        <v>-0.66526040004926879</v>
      </c>
      <c r="W75" s="38">
        <f>AVERAGE(K75:V75)</f>
        <v>-0.66526040004926867</v>
      </c>
      <c r="X75" s="37">
        <f>STDEV(K75:V75)/SQRT(COUNT(K75:V75))</f>
        <v>3.3474483693592253E-17</v>
      </c>
      <c r="Y75" s="36">
        <f>MIN(K75:V75)</f>
        <v>-0.66526040004926879</v>
      </c>
      <c r="Z75" s="35">
        <f>QUARTILE(K75:V75,1)</f>
        <v>-0.66526040004926879</v>
      </c>
      <c r="AA75" s="36">
        <f>MEDIAN(K75:V75)</f>
        <v>-0.66526040004926879</v>
      </c>
      <c r="AB75" s="35">
        <f>QUARTILE(K75:V75,3)</f>
        <v>-0.66526040004926879</v>
      </c>
      <c r="AC75" s="35">
        <f>MAX(K75:V75)</f>
        <v>-0.66526040004926879</v>
      </c>
      <c r="AD75" s="35">
        <f>SKEW(K75:V75)</f>
        <v>-1.1489125293076057</v>
      </c>
      <c r="AE75" s="35">
        <f>KURT(K75:V75)</f>
        <v>-2.4444444444444446</v>
      </c>
    </row>
    <row r="76" spans="2:31" x14ac:dyDescent="0.2">
      <c r="B76" s="34">
        <f>[44]FormattedData!A89</f>
        <v>0</v>
      </c>
      <c r="C76" s="34" t="e">
        <f>VLOOKUP($B76,[44]TrtCodes!$B$11:I132,2)</f>
        <v>#N/A</v>
      </c>
      <c r="D76" s="34" t="e">
        <f>VLOOKUP($B76,[44]TrtCodes!$B$11:J132,3)</f>
        <v>#N/A</v>
      </c>
      <c r="E76" s="34" t="e">
        <f>VLOOKUP($B76,[44]TrtCodes!$B$11:K132,4)</f>
        <v>#N/A</v>
      </c>
      <c r="F76" s="34" t="e">
        <f>VLOOKUP($B76,[44]TrtCodes!$B$11:L132,5)</f>
        <v>#N/A</v>
      </c>
      <c r="G76" s="34" t="e">
        <f>VLOOKUP($B76,[44]TrtCodes!$B$11:M132,6)</f>
        <v>#N/A</v>
      </c>
      <c r="H76" s="34" t="e">
        <f>VLOOKUP($B76,[44]TrtCodes!$B$11:N132,7)</f>
        <v>#N/A</v>
      </c>
      <c r="I76" s="34">
        <f>[44]FormattedData!B89</f>
        <v>0</v>
      </c>
      <c r="J76" s="37">
        <f>[44]FormattedData!C89</f>
        <v>0</v>
      </c>
      <c r="K76" s="39">
        <f>$J$3+[44]FormattedData!D89*$J$4+$M$4*$J$5+[44]FormattedData!D89^2*$J$6+$M$5*$J$7</f>
        <v>-0.66526040004926879</v>
      </c>
      <c r="L76" s="39">
        <f>$J$3+[44]FormattedData!E89*$J$4+$M$4*$J$5+[44]FormattedData!E89^2*$J$6+$M$5*$J$7</f>
        <v>-0.66526040004926879</v>
      </c>
      <c r="M76" s="39">
        <f>$J$3+[44]FormattedData!F89*$J$4+$M$4*$J$5+[44]FormattedData!F89^2*$J$6+$M$5*$J$7</f>
        <v>-0.66526040004926879</v>
      </c>
      <c r="N76" s="39">
        <f>$J$3+[44]FormattedData!G89*$J$4+$M$4*$J$5+[44]FormattedData!G89^2*$J$6+$M$5*$J$7</f>
        <v>-0.66526040004926879</v>
      </c>
      <c r="O76" s="39">
        <f>$J$3+[44]FormattedData!H89*$J$4+$M$4*$J$5+[44]FormattedData!H89^2*$J$6+$M$5*$J$7</f>
        <v>-0.66526040004926879</v>
      </c>
      <c r="P76" s="39">
        <f>$J$3+[44]FormattedData!I89*$J$4+$M$4*$J$5+[44]FormattedData!I89^2*$J$6+$M$5*$J$7</f>
        <v>-0.66526040004926879</v>
      </c>
      <c r="Q76" s="39">
        <f>$J$3+[44]FormattedData!J89*$J$4+$M$4*$J$5+[44]FormattedData!J89^2*$J$6+$M$5*$J$7</f>
        <v>-0.66526040004926879</v>
      </c>
      <c r="R76" s="39">
        <f>$J$3+[44]FormattedData!K89*$J$4+$M$4*$J$5+[44]FormattedData!K89^2*$J$6+$M$5*$J$7</f>
        <v>-0.66526040004926879</v>
      </c>
      <c r="S76" s="39">
        <f>$J$3+[44]FormattedData!L89*$J$4+$M$4*$J$5+[44]FormattedData!L89^2*$J$6+$M$5*$J$7</f>
        <v>-0.66526040004926879</v>
      </c>
      <c r="T76" s="39">
        <f>$J$3+[44]FormattedData!M89*$J$4+$M$4*$J$5+[44]FormattedData!M89^2*$J$6+$M$5*$J$7</f>
        <v>-0.66526040004926879</v>
      </c>
      <c r="U76" s="39">
        <f>$J$3+[44]FormattedData!N89*$J$4+$M$4*$J$5+[44]FormattedData!N89^2*$J$6+$M$5*$J$7</f>
        <v>-0.66526040004926879</v>
      </c>
      <c r="V76" s="39">
        <f>$J$3+[44]FormattedData!O89*$J$4+$M$4*$J$5+[44]FormattedData!O89^2*$J$6+$M$5*$J$7</f>
        <v>-0.66526040004926879</v>
      </c>
      <c r="W76" s="38">
        <f>AVERAGE(K76:V76)</f>
        <v>-0.66526040004926867</v>
      </c>
      <c r="X76" s="37">
        <f>STDEV(K76:V76)/SQRT(COUNT(K76:V76))</f>
        <v>3.3474483693592253E-17</v>
      </c>
      <c r="Y76" s="36">
        <f>MIN(K76:V76)</f>
        <v>-0.66526040004926879</v>
      </c>
      <c r="Z76" s="35">
        <f>QUARTILE(K76:V76,1)</f>
        <v>-0.66526040004926879</v>
      </c>
      <c r="AA76" s="36">
        <f>MEDIAN(K76:V76)</f>
        <v>-0.66526040004926879</v>
      </c>
      <c r="AB76" s="35">
        <f>QUARTILE(K76:V76,3)</f>
        <v>-0.66526040004926879</v>
      </c>
      <c r="AC76" s="35">
        <f>MAX(K76:V76)</f>
        <v>-0.66526040004926879</v>
      </c>
      <c r="AD76" s="35">
        <f>SKEW(K76:V76)</f>
        <v>-1.1489125293076057</v>
      </c>
      <c r="AE76" s="35">
        <f>KURT(K76:V76)</f>
        <v>-2.4444444444444446</v>
      </c>
    </row>
    <row r="77" spans="2:31" x14ac:dyDescent="0.2">
      <c r="B77" s="34">
        <f>[44]FormattedData!A87</f>
        <v>0</v>
      </c>
      <c r="C77" s="34" t="e">
        <f>VLOOKUP($B77,[44]TrtCodes!$B$11:I130,2)</f>
        <v>#N/A</v>
      </c>
      <c r="D77" s="34" t="e">
        <f>VLOOKUP($B77,[44]TrtCodes!$B$11:J130,3)</f>
        <v>#N/A</v>
      </c>
      <c r="E77" s="34" t="e">
        <f>VLOOKUP($B77,[44]TrtCodes!$B$11:K130,4)</f>
        <v>#N/A</v>
      </c>
      <c r="F77" s="34" t="e">
        <f>VLOOKUP($B77,[44]TrtCodes!$B$11:L130,5)</f>
        <v>#N/A</v>
      </c>
      <c r="G77" s="34" t="e">
        <f>VLOOKUP($B77,[44]TrtCodes!$B$11:M130,6)</f>
        <v>#N/A</v>
      </c>
      <c r="H77" s="34" t="e">
        <f>VLOOKUP($B77,[44]TrtCodes!$B$11:N130,7)</f>
        <v>#N/A</v>
      </c>
      <c r="I77" s="34">
        <f>[44]FormattedData!B87</f>
        <v>0</v>
      </c>
      <c r="J77" s="37">
        <f>[44]FormattedData!C87</f>
        <v>0</v>
      </c>
      <c r="K77" s="39">
        <f>$J$3+[44]FormattedData!D87*$J$4+$M$4*$J$5+[44]FormattedData!D87^2*$J$6+$M$5*$J$7</f>
        <v>-0.66526040004926879</v>
      </c>
      <c r="L77" s="39">
        <f>$J$3+[44]FormattedData!E87*$J$4+$M$4*$J$5+[44]FormattedData!E87^2*$J$6+$M$5*$J$7</f>
        <v>-0.66526040004926879</v>
      </c>
      <c r="M77" s="39">
        <f>$J$3+[44]FormattedData!F87*$J$4+$M$4*$J$5+[44]FormattedData!F87^2*$J$6+$M$5*$J$7</f>
        <v>-0.66526040004926879</v>
      </c>
      <c r="N77" s="39">
        <f>$J$3+[44]FormattedData!G87*$J$4+$M$4*$J$5+[44]FormattedData!G87^2*$J$6+$M$5*$J$7</f>
        <v>-0.66526040004926879</v>
      </c>
      <c r="O77" s="39">
        <f>$J$3+[44]FormattedData!H87*$J$4+$M$4*$J$5+[44]FormattedData!H87^2*$J$6+$M$5*$J$7</f>
        <v>-0.66526040004926879</v>
      </c>
      <c r="P77" s="39">
        <f>$J$3+[44]FormattedData!I87*$J$4+$M$4*$J$5+[44]FormattedData!I87^2*$J$6+$M$5*$J$7</f>
        <v>-0.66526040004926879</v>
      </c>
      <c r="Q77" s="39">
        <f>$J$3+[44]FormattedData!J87*$J$4+$M$4*$J$5+[44]FormattedData!J87^2*$J$6+$M$5*$J$7</f>
        <v>-0.66526040004926879</v>
      </c>
      <c r="R77" s="39">
        <f>$J$3+[44]FormattedData!K87*$J$4+$M$4*$J$5+[44]FormattedData!K87^2*$J$6+$M$5*$J$7</f>
        <v>-0.66526040004926879</v>
      </c>
      <c r="S77" s="39">
        <f>$J$3+[44]FormattedData!L87*$J$4+$M$4*$J$5+[44]FormattedData!L87^2*$J$6+$M$5*$J$7</f>
        <v>-0.66526040004926879</v>
      </c>
      <c r="T77" s="39">
        <f>$J$3+[44]FormattedData!M87*$J$4+$M$4*$J$5+[44]FormattedData!M87^2*$J$6+$M$5*$J$7</f>
        <v>-0.66526040004926879</v>
      </c>
      <c r="U77" s="39">
        <f>$J$3+[44]FormattedData!N87*$J$4+$M$4*$J$5+[44]FormattedData!N87^2*$J$6+$M$5*$J$7</f>
        <v>-0.66526040004926879</v>
      </c>
      <c r="V77" s="39">
        <f>$J$3+[44]FormattedData!O87*$J$4+$M$4*$J$5+[44]FormattedData!O87^2*$J$6+$M$5*$J$7</f>
        <v>-0.66526040004926879</v>
      </c>
      <c r="W77" s="38">
        <f>AVERAGE(K77:V77)</f>
        <v>-0.66526040004926867</v>
      </c>
      <c r="X77" s="37">
        <f>STDEV(K77:V77)/SQRT(COUNT(K77:V77))</f>
        <v>3.3474483693592253E-17</v>
      </c>
      <c r="Y77" s="36">
        <f>MIN(K77:V77)</f>
        <v>-0.66526040004926879</v>
      </c>
      <c r="Z77" s="35">
        <f>QUARTILE(K77:V77,1)</f>
        <v>-0.66526040004926879</v>
      </c>
      <c r="AA77" s="36">
        <f>MEDIAN(K77:V77)</f>
        <v>-0.66526040004926879</v>
      </c>
      <c r="AB77" s="35">
        <f>QUARTILE(K77:V77,3)</f>
        <v>-0.66526040004926879</v>
      </c>
      <c r="AC77" s="35">
        <f>MAX(K77:V77)</f>
        <v>-0.66526040004926879</v>
      </c>
      <c r="AD77" s="35">
        <f>SKEW(K77:V77)</f>
        <v>-1.1489125293076057</v>
      </c>
      <c r="AE77" s="35">
        <f>KURT(K77:V77)</f>
        <v>-2.4444444444444446</v>
      </c>
    </row>
    <row r="78" spans="2:31" x14ac:dyDescent="0.2">
      <c r="B78" s="34">
        <f>[44]FormattedData!A85</f>
        <v>0</v>
      </c>
      <c r="C78" s="34" t="e">
        <f>VLOOKUP($B78,[44]TrtCodes!$B$11:I128,2)</f>
        <v>#N/A</v>
      </c>
      <c r="D78" s="34" t="e">
        <f>VLOOKUP($B78,[44]TrtCodes!$B$11:J128,3)</f>
        <v>#N/A</v>
      </c>
      <c r="E78" s="34" t="e">
        <f>VLOOKUP($B78,[44]TrtCodes!$B$11:K128,4)</f>
        <v>#N/A</v>
      </c>
      <c r="F78" s="34" t="e">
        <f>VLOOKUP($B78,[44]TrtCodes!$B$11:L128,5)</f>
        <v>#N/A</v>
      </c>
      <c r="G78" s="34" t="e">
        <f>VLOOKUP($B78,[44]TrtCodes!$B$11:M128,6)</f>
        <v>#N/A</v>
      </c>
      <c r="H78" s="34" t="e">
        <f>VLOOKUP($B78,[44]TrtCodes!$B$11:N128,7)</f>
        <v>#N/A</v>
      </c>
      <c r="I78" s="34">
        <f>[44]FormattedData!B85</f>
        <v>0</v>
      </c>
      <c r="J78" s="37">
        <f>[44]FormattedData!C85</f>
        <v>0</v>
      </c>
      <c r="K78" s="39">
        <f>$J$3+[44]FormattedData!D85*$J$4+$M$4*$J$5+[44]FormattedData!D85^2*$J$6+$M$5*$J$7</f>
        <v>-0.66526040004926879</v>
      </c>
      <c r="L78" s="39">
        <f>$J$3+[44]FormattedData!E85*$J$4+$M$4*$J$5+[44]FormattedData!E85^2*$J$6+$M$5*$J$7</f>
        <v>-0.66526040004926879</v>
      </c>
      <c r="M78" s="39">
        <f>$J$3+[44]FormattedData!F85*$J$4+$M$4*$J$5+[44]FormattedData!F85^2*$J$6+$M$5*$J$7</f>
        <v>-0.66526040004926879</v>
      </c>
      <c r="N78" s="39">
        <f>$J$3+[44]FormattedData!G85*$J$4+$M$4*$J$5+[44]FormattedData!G85^2*$J$6+$M$5*$J$7</f>
        <v>-0.66526040004926879</v>
      </c>
      <c r="O78" s="39">
        <f>$J$3+[44]FormattedData!H85*$J$4+$M$4*$J$5+[44]FormattedData!H85^2*$J$6+$M$5*$J$7</f>
        <v>-0.66526040004926879</v>
      </c>
      <c r="P78" s="39">
        <f>$J$3+[44]FormattedData!I85*$J$4+$M$4*$J$5+[44]FormattedData!I85^2*$J$6+$M$5*$J$7</f>
        <v>-0.66526040004926879</v>
      </c>
      <c r="Q78" s="39">
        <f>$J$3+[44]FormattedData!J85*$J$4+$M$4*$J$5+[44]FormattedData!J85^2*$J$6+$M$5*$J$7</f>
        <v>-0.66526040004926879</v>
      </c>
      <c r="R78" s="39">
        <f>$J$3+[44]FormattedData!K85*$J$4+$M$4*$J$5+[44]FormattedData!K85^2*$J$6+$M$5*$J$7</f>
        <v>-0.66526040004926879</v>
      </c>
      <c r="S78" s="39">
        <f>$J$3+[44]FormattedData!L85*$J$4+$M$4*$J$5+[44]FormattedData!L85^2*$J$6+$M$5*$J$7</f>
        <v>-0.66526040004926879</v>
      </c>
      <c r="T78" s="39">
        <f>$J$3+[44]FormattedData!M85*$J$4+$M$4*$J$5+[44]FormattedData!M85^2*$J$6+$M$5*$J$7</f>
        <v>-0.66526040004926879</v>
      </c>
      <c r="U78" s="39">
        <f>$J$3+[44]FormattedData!N85*$J$4+$M$4*$J$5+[44]FormattedData!N85^2*$J$6+$M$5*$J$7</f>
        <v>-0.66526040004926879</v>
      </c>
      <c r="V78" s="39">
        <f>$J$3+[44]FormattedData!O85*$J$4+$M$4*$J$5+[44]FormattedData!O85^2*$J$6+$M$5*$J$7</f>
        <v>-0.66526040004926879</v>
      </c>
      <c r="W78" s="38">
        <f>AVERAGE(K78:V78)</f>
        <v>-0.66526040004926867</v>
      </c>
      <c r="X78" s="37">
        <f>STDEV(K78:V78)/SQRT(COUNT(K78:V78))</f>
        <v>3.3474483693592253E-17</v>
      </c>
      <c r="Y78" s="36">
        <f>MIN(K78:V78)</f>
        <v>-0.66526040004926879</v>
      </c>
      <c r="Z78" s="35">
        <f>QUARTILE(K78:V78,1)</f>
        <v>-0.66526040004926879</v>
      </c>
      <c r="AA78" s="36">
        <f>MEDIAN(K78:V78)</f>
        <v>-0.66526040004926879</v>
      </c>
      <c r="AB78" s="35">
        <f>QUARTILE(K78:V78,3)</f>
        <v>-0.66526040004926879</v>
      </c>
      <c r="AC78" s="35">
        <f>MAX(K78:V78)</f>
        <v>-0.66526040004926879</v>
      </c>
      <c r="AD78" s="35">
        <f>SKEW(K78:V78)</f>
        <v>-1.1489125293076057</v>
      </c>
      <c r="AE78" s="35">
        <f>KURT(K78:V78)</f>
        <v>-2.4444444444444446</v>
      </c>
    </row>
    <row r="79" spans="2:31" x14ac:dyDescent="0.2">
      <c r="B79" s="34">
        <f>[44]FormattedData!A83</f>
        <v>0</v>
      </c>
      <c r="C79" s="34" t="e">
        <f>VLOOKUP($B79,[44]TrtCodes!$B$11:I126,2)</f>
        <v>#N/A</v>
      </c>
      <c r="D79" s="34" t="e">
        <f>VLOOKUP($B79,[44]TrtCodes!$B$11:J126,3)</f>
        <v>#N/A</v>
      </c>
      <c r="E79" s="34" t="e">
        <f>VLOOKUP($B79,[44]TrtCodes!$B$11:K126,4)</f>
        <v>#N/A</v>
      </c>
      <c r="F79" s="34" t="e">
        <f>VLOOKUP($B79,[44]TrtCodes!$B$11:L126,5)</f>
        <v>#N/A</v>
      </c>
      <c r="G79" s="34" t="e">
        <f>VLOOKUP($B79,[44]TrtCodes!$B$11:M126,6)</f>
        <v>#N/A</v>
      </c>
      <c r="H79" s="34" t="e">
        <f>VLOOKUP($B79,[44]TrtCodes!$B$11:N126,7)</f>
        <v>#N/A</v>
      </c>
      <c r="I79" s="34">
        <f>[44]FormattedData!B83</f>
        <v>0</v>
      </c>
      <c r="J79" s="37">
        <f>[44]FormattedData!C83</f>
        <v>0</v>
      </c>
      <c r="K79" s="39">
        <f>$J$3+[44]FormattedData!D83*$J$4+$M$4*$J$5+[44]FormattedData!D83^2*$J$6+$M$5*$J$7</f>
        <v>-0.66526040004926879</v>
      </c>
      <c r="L79" s="39">
        <f>$J$3+[44]FormattedData!E83*$J$4+$M$4*$J$5+[44]FormattedData!E83^2*$J$6+$M$5*$J$7</f>
        <v>-0.66526040004926879</v>
      </c>
      <c r="M79" s="39">
        <f>$J$3+[44]FormattedData!F83*$J$4+$M$4*$J$5+[44]FormattedData!F83^2*$J$6+$M$5*$J$7</f>
        <v>-0.66526040004926879</v>
      </c>
      <c r="N79" s="39">
        <f>$J$3+[44]FormattedData!G83*$J$4+$M$4*$J$5+[44]FormattedData!G83^2*$J$6+$M$5*$J$7</f>
        <v>-0.66526040004926879</v>
      </c>
      <c r="O79" s="39">
        <f>$J$3+[44]FormattedData!H83*$J$4+$M$4*$J$5+[44]FormattedData!H83^2*$J$6+$M$5*$J$7</f>
        <v>-0.66526040004926879</v>
      </c>
      <c r="P79" s="39">
        <f>$J$3+[44]FormattedData!I83*$J$4+$M$4*$J$5+[44]FormattedData!I83^2*$J$6+$M$5*$J$7</f>
        <v>-0.66526040004926879</v>
      </c>
      <c r="Q79" s="39">
        <f>$J$3+[44]FormattedData!J83*$J$4+$M$4*$J$5+[44]FormattedData!J83^2*$J$6+$M$5*$J$7</f>
        <v>-0.66526040004926879</v>
      </c>
      <c r="R79" s="39">
        <f>$J$3+[44]FormattedData!K83*$J$4+$M$4*$J$5+[44]FormattedData!K83^2*$J$6+$M$5*$J$7</f>
        <v>-0.66526040004926879</v>
      </c>
      <c r="S79" s="39">
        <f>$J$3+[44]FormattedData!L83*$J$4+$M$4*$J$5+[44]FormattedData!L83^2*$J$6+$M$5*$J$7</f>
        <v>-0.66526040004926879</v>
      </c>
      <c r="T79" s="39">
        <f>$J$3+[44]FormattedData!M83*$J$4+$M$4*$J$5+[44]FormattedData!M83^2*$J$6+$M$5*$J$7</f>
        <v>-0.66526040004926879</v>
      </c>
      <c r="U79" s="39">
        <f>$J$3+[44]FormattedData!N83*$J$4+$M$4*$J$5+[44]FormattedData!N83^2*$J$6+$M$5*$J$7</f>
        <v>-0.66526040004926879</v>
      </c>
      <c r="V79" s="39">
        <f>$J$3+[44]FormattedData!O83*$J$4+$M$4*$J$5+[44]FormattedData!O83^2*$J$6+$M$5*$J$7</f>
        <v>-0.66526040004926879</v>
      </c>
      <c r="W79" s="38">
        <f>AVERAGE(K79:V79)</f>
        <v>-0.66526040004926867</v>
      </c>
      <c r="X79" s="37">
        <f>STDEV(K79:V79)/SQRT(COUNT(K79:V79))</f>
        <v>3.3474483693592253E-17</v>
      </c>
      <c r="Y79" s="36">
        <f>MIN(K79:V79)</f>
        <v>-0.66526040004926879</v>
      </c>
      <c r="Z79" s="35">
        <f>QUARTILE(K79:V79,1)</f>
        <v>-0.66526040004926879</v>
      </c>
      <c r="AA79" s="36">
        <f>MEDIAN(K79:V79)</f>
        <v>-0.66526040004926879</v>
      </c>
      <c r="AB79" s="35">
        <f>QUARTILE(K79:V79,3)</f>
        <v>-0.66526040004926879</v>
      </c>
      <c r="AC79" s="35">
        <f>MAX(K79:V79)</f>
        <v>-0.66526040004926879</v>
      </c>
      <c r="AD79" s="35">
        <f>SKEW(K79:V79)</f>
        <v>-1.1489125293076057</v>
      </c>
      <c r="AE79" s="35">
        <f>KURT(K79:V79)</f>
        <v>-2.4444444444444446</v>
      </c>
    </row>
    <row r="80" spans="2:31" x14ac:dyDescent="0.2">
      <c r="B80" s="34">
        <f>[44]FormattedData!A81</f>
        <v>0</v>
      </c>
      <c r="C80" s="34" t="e">
        <f>VLOOKUP($B80,[44]TrtCodes!$B$11:I124,2)</f>
        <v>#N/A</v>
      </c>
      <c r="D80" s="34" t="e">
        <f>VLOOKUP($B80,[44]TrtCodes!$B$11:J124,3)</f>
        <v>#N/A</v>
      </c>
      <c r="E80" s="34" t="e">
        <f>VLOOKUP($B80,[44]TrtCodes!$B$11:K124,4)</f>
        <v>#N/A</v>
      </c>
      <c r="F80" s="34" t="e">
        <f>VLOOKUP($B80,[44]TrtCodes!$B$11:L124,5)</f>
        <v>#N/A</v>
      </c>
      <c r="G80" s="34" t="e">
        <f>VLOOKUP($B80,[44]TrtCodes!$B$11:M124,6)</f>
        <v>#N/A</v>
      </c>
      <c r="H80" s="34" t="e">
        <f>VLOOKUP($B80,[44]TrtCodes!$B$11:N124,7)</f>
        <v>#N/A</v>
      </c>
      <c r="I80" s="34">
        <f>[44]FormattedData!B81</f>
        <v>0</v>
      </c>
      <c r="J80" s="37">
        <f>[44]FormattedData!C81</f>
        <v>0</v>
      </c>
      <c r="K80" s="39">
        <f>$J$3+[44]FormattedData!D81*$J$4+$M$4*$J$5+[44]FormattedData!D81^2*$J$6+$M$5*$J$7</f>
        <v>-0.66526040004926879</v>
      </c>
      <c r="L80" s="39">
        <f>$J$3+[44]FormattedData!E81*$J$4+$M$4*$J$5+[44]FormattedData!E81^2*$J$6+$M$5*$J$7</f>
        <v>-0.66526040004926879</v>
      </c>
      <c r="M80" s="39">
        <f>$J$3+[44]FormattedData!F81*$J$4+$M$4*$J$5+[44]FormattedData!F81^2*$J$6+$M$5*$J$7</f>
        <v>-0.66526040004926879</v>
      </c>
      <c r="N80" s="39">
        <f>$J$3+[44]FormattedData!G81*$J$4+$M$4*$J$5+[44]FormattedData!G81^2*$J$6+$M$5*$J$7</f>
        <v>-0.66526040004926879</v>
      </c>
      <c r="O80" s="39">
        <f>$J$3+[44]FormattedData!H81*$J$4+$M$4*$J$5+[44]FormattedData!H81^2*$J$6+$M$5*$J$7</f>
        <v>-0.66526040004926879</v>
      </c>
      <c r="P80" s="39">
        <f>$J$3+[44]FormattedData!I81*$J$4+$M$4*$J$5+[44]FormattedData!I81^2*$J$6+$M$5*$J$7</f>
        <v>-0.66526040004926879</v>
      </c>
      <c r="Q80" s="39">
        <f>$J$3+[44]FormattedData!J81*$J$4+$M$4*$J$5+[44]FormattedData!J81^2*$J$6+$M$5*$J$7</f>
        <v>-0.66526040004926879</v>
      </c>
      <c r="R80" s="39">
        <f>$J$3+[44]FormattedData!K81*$J$4+$M$4*$J$5+[44]FormattedData!K81^2*$J$6+$M$5*$J$7</f>
        <v>-0.66526040004926879</v>
      </c>
      <c r="S80" s="39">
        <f>$J$3+[44]FormattedData!L81*$J$4+$M$4*$J$5+[44]FormattedData!L81^2*$J$6+$M$5*$J$7</f>
        <v>-0.66526040004926879</v>
      </c>
      <c r="T80" s="39">
        <f>$J$3+[44]FormattedData!M81*$J$4+$M$4*$J$5+[44]FormattedData!M81^2*$J$6+$M$5*$J$7</f>
        <v>-0.66526040004926879</v>
      </c>
      <c r="U80" s="39">
        <f>$J$3+[44]FormattedData!N81*$J$4+$M$4*$J$5+[44]FormattedData!N81^2*$J$6+$M$5*$J$7</f>
        <v>-0.66526040004926879</v>
      </c>
      <c r="V80" s="39">
        <f>$J$3+[44]FormattedData!O81*$J$4+$M$4*$J$5+[44]FormattedData!O81^2*$J$6+$M$5*$J$7</f>
        <v>-0.66526040004926879</v>
      </c>
      <c r="W80" s="38">
        <f>AVERAGE(K80:V80)</f>
        <v>-0.66526040004926867</v>
      </c>
      <c r="X80" s="37">
        <f>STDEV(K80:V80)/SQRT(COUNT(K80:V80))</f>
        <v>3.3474483693592253E-17</v>
      </c>
      <c r="Y80" s="36">
        <f>MIN(K80:V80)</f>
        <v>-0.66526040004926879</v>
      </c>
      <c r="Z80" s="35">
        <f>QUARTILE(K80:V80,1)</f>
        <v>-0.66526040004926879</v>
      </c>
      <c r="AA80" s="36">
        <f>MEDIAN(K80:V80)</f>
        <v>-0.66526040004926879</v>
      </c>
      <c r="AB80" s="35">
        <f>QUARTILE(K80:V80,3)</f>
        <v>-0.66526040004926879</v>
      </c>
      <c r="AC80" s="35">
        <f>MAX(K80:V80)</f>
        <v>-0.66526040004926879</v>
      </c>
      <c r="AD80" s="35">
        <f>SKEW(K80:V80)</f>
        <v>-1.1489125293076057</v>
      </c>
      <c r="AE80" s="35">
        <f>KURT(K80:V80)</f>
        <v>-2.4444444444444446</v>
      </c>
    </row>
    <row r="81" spans="2:31" x14ac:dyDescent="0.2">
      <c r="B81" s="34">
        <f>[44]FormattedData!A79</f>
        <v>0</v>
      </c>
      <c r="C81" s="34" t="e">
        <f>VLOOKUP($B81,[44]TrtCodes!$B$11:I122,2)</f>
        <v>#N/A</v>
      </c>
      <c r="D81" s="34" t="e">
        <f>VLOOKUP($B81,[44]TrtCodes!$B$11:J122,3)</f>
        <v>#N/A</v>
      </c>
      <c r="E81" s="34" t="e">
        <f>VLOOKUP($B81,[44]TrtCodes!$B$11:K122,4)</f>
        <v>#N/A</v>
      </c>
      <c r="F81" s="34" t="e">
        <f>VLOOKUP($B81,[44]TrtCodes!$B$11:L122,5)</f>
        <v>#N/A</v>
      </c>
      <c r="G81" s="34" t="e">
        <f>VLOOKUP($B81,[44]TrtCodes!$B$11:M122,6)</f>
        <v>#N/A</v>
      </c>
      <c r="H81" s="34" t="e">
        <f>VLOOKUP($B81,[44]TrtCodes!$B$11:N122,7)</f>
        <v>#N/A</v>
      </c>
      <c r="I81" s="34">
        <f>[44]FormattedData!B79</f>
        <v>0</v>
      </c>
      <c r="J81" s="37">
        <f>[44]FormattedData!C79</f>
        <v>0</v>
      </c>
      <c r="K81" s="39">
        <f>$J$3+[44]FormattedData!D79*$J$4+$M$4*$J$5+[44]FormattedData!D79^2*$J$6+$M$5*$J$7</f>
        <v>-0.66526040004926879</v>
      </c>
      <c r="L81" s="39">
        <f>$J$3+[44]FormattedData!E79*$J$4+$M$4*$J$5+[44]FormattedData!E79^2*$J$6+$M$5*$J$7</f>
        <v>-0.66526040004926879</v>
      </c>
      <c r="M81" s="39">
        <f>$J$3+[44]FormattedData!F79*$J$4+$M$4*$J$5+[44]FormattedData!F79^2*$J$6+$M$5*$J$7</f>
        <v>-0.66526040004926879</v>
      </c>
      <c r="N81" s="39">
        <f>$J$3+[44]FormattedData!G79*$J$4+$M$4*$J$5+[44]FormattedData!G79^2*$J$6+$M$5*$J$7</f>
        <v>-0.66526040004926879</v>
      </c>
      <c r="O81" s="39">
        <f>$J$3+[44]FormattedData!H79*$J$4+$M$4*$J$5+[44]FormattedData!H79^2*$J$6+$M$5*$J$7</f>
        <v>-0.66526040004926879</v>
      </c>
      <c r="P81" s="39">
        <f>$J$3+[44]FormattedData!I79*$J$4+$M$4*$J$5+[44]FormattedData!I79^2*$J$6+$M$5*$J$7</f>
        <v>-0.66526040004926879</v>
      </c>
      <c r="Q81" s="39">
        <f>$J$3+[44]FormattedData!J79*$J$4+$M$4*$J$5+[44]FormattedData!J79^2*$J$6+$M$5*$J$7</f>
        <v>-0.66526040004926879</v>
      </c>
      <c r="R81" s="39">
        <f>$J$3+[44]FormattedData!K79*$J$4+$M$4*$J$5+[44]FormattedData!K79^2*$J$6+$M$5*$J$7</f>
        <v>-0.66526040004926879</v>
      </c>
      <c r="S81" s="39">
        <f>$J$3+[44]FormattedData!L79*$J$4+$M$4*$J$5+[44]FormattedData!L79^2*$J$6+$M$5*$J$7</f>
        <v>-0.66526040004926879</v>
      </c>
      <c r="T81" s="39">
        <f>$J$3+[44]FormattedData!M79*$J$4+$M$4*$J$5+[44]FormattedData!M79^2*$J$6+$M$5*$J$7</f>
        <v>-0.66526040004926879</v>
      </c>
      <c r="U81" s="39">
        <f>$J$3+[44]FormattedData!N79*$J$4+$M$4*$J$5+[44]FormattedData!N79^2*$J$6+$M$5*$J$7</f>
        <v>-0.66526040004926879</v>
      </c>
      <c r="V81" s="39">
        <f>$J$3+[44]FormattedData!O79*$J$4+$M$4*$J$5+[44]FormattedData!O79^2*$J$6+$M$5*$J$7</f>
        <v>-0.66526040004926879</v>
      </c>
      <c r="W81" s="38">
        <f>AVERAGE(K81:V81)</f>
        <v>-0.66526040004926867</v>
      </c>
      <c r="X81" s="37">
        <f>STDEV(K81:V81)/SQRT(COUNT(K81:V81))</f>
        <v>3.3474483693592253E-17</v>
      </c>
      <c r="Y81" s="36">
        <f>MIN(K81:V81)</f>
        <v>-0.66526040004926879</v>
      </c>
      <c r="Z81" s="35">
        <f>QUARTILE(K81:V81,1)</f>
        <v>-0.66526040004926879</v>
      </c>
      <c r="AA81" s="36">
        <f>MEDIAN(K81:V81)</f>
        <v>-0.66526040004926879</v>
      </c>
      <c r="AB81" s="35">
        <f>QUARTILE(K81:V81,3)</f>
        <v>-0.66526040004926879</v>
      </c>
      <c r="AC81" s="35">
        <f>MAX(K81:V81)</f>
        <v>-0.66526040004926879</v>
      </c>
      <c r="AD81" s="35">
        <f>SKEW(K81:V81)</f>
        <v>-1.1489125293076057</v>
      </c>
      <c r="AE81" s="35">
        <f>KURT(K81:V81)</f>
        <v>-2.4444444444444446</v>
      </c>
    </row>
    <row r="82" spans="2:31" x14ac:dyDescent="0.2">
      <c r="B82" s="34">
        <f>[44]FormattedData!A59</f>
        <v>0</v>
      </c>
      <c r="C82" s="34" t="e">
        <f>VLOOKUP($B82,[44]TrtCodes!$B$11:I102,2)</f>
        <v>#N/A</v>
      </c>
      <c r="D82" s="34" t="e">
        <f>VLOOKUP($B82,[44]TrtCodes!$B$11:J102,3)</f>
        <v>#N/A</v>
      </c>
      <c r="E82" s="34" t="e">
        <f>VLOOKUP($B82,[44]TrtCodes!$B$11:K102,4)</f>
        <v>#N/A</v>
      </c>
      <c r="F82" s="34" t="e">
        <f>VLOOKUP($B82,[44]TrtCodes!$B$11:L102,5)</f>
        <v>#N/A</v>
      </c>
      <c r="G82" s="34" t="e">
        <f>VLOOKUP($B82,[44]TrtCodes!$B$11:M102,6)</f>
        <v>#N/A</v>
      </c>
      <c r="H82" s="34" t="e">
        <f>VLOOKUP($B82,[44]TrtCodes!$B$11:N102,7)</f>
        <v>#N/A</v>
      </c>
      <c r="I82" s="34">
        <f>[44]FormattedData!B59</f>
        <v>0</v>
      </c>
      <c r="J82" s="37">
        <f>[44]FormattedData!C59</f>
        <v>0</v>
      </c>
      <c r="K82" s="39">
        <f>$J$3+[44]FormattedData!D59*$J$4+$M$4*$J$5+[44]FormattedData!D59^2*$J$6+$M$5*$J$7</f>
        <v>-0.66526040004926879</v>
      </c>
      <c r="L82" s="39">
        <f>$J$3+[44]FormattedData!E59*$J$4+$M$4*$J$5+[44]FormattedData!E59^2*$J$6+$M$5*$J$7</f>
        <v>-0.66526040004926879</v>
      </c>
      <c r="M82" s="39">
        <f>$J$3+[44]FormattedData!F59*$J$4+$M$4*$J$5+[44]FormattedData!F59^2*$J$6+$M$5*$J$7</f>
        <v>-0.66526040004926879</v>
      </c>
      <c r="N82" s="39">
        <f>$J$3+[44]FormattedData!G59*$J$4+$M$4*$J$5+[44]FormattedData!G59^2*$J$6+$M$5*$J$7</f>
        <v>-0.66526040004926879</v>
      </c>
      <c r="O82" s="39">
        <f>$J$3+[44]FormattedData!H59*$J$4+$M$4*$J$5+[44]FormattedData!H59^2*$J$6+$M$5*$J$7</f>
        <v>-0.66526040004926879</v>
      </c>
      <c r="P82" s="39">
        <f>$J$3+[44]FormattedData!I59*$J$4+$M$4*$J$5+[44]FormattedData!I59^2*$J$6+$M$5*$J$7</f>
        <v>-0.66526040004926879</v>
      </c>
      <c r="Q82" s="39">
        <f>$J$3+[44]FormattedData!J59*$J$4+$M$4*$J$5+[44]FormattedData!J59^2*$J$6+$M$5*$J$7</f>
        <v>-0.66526040004926879</v>
      </c>
      <c r="R82" s="39">
        <f>$J$3+[44]FormattedData!K59*$J$4+$M$4*$J$5+[44]FormattedData!K59^2*$J$6+$M$5*$J$7</f>
        <v>-0.66526040004926879</v>
      </c>
      <c r="S82" s="39">
        <f>$J$3+[44]FormattedData!L59*$J$4+$M$4*$J$5+[44]FormattedData!L59^2*$J$6+$M$5*$J$7</f>
        <v>-0.66526040004926879</v>
      </c>
      <c r="T82" s="39">
        <f>$J$3+[44]FormattedData!M59*$J$4+$M$4*$J$5+[44]FormattedData!M59^2*$J$6+$M$5*$J$7</f>
        <v>-0.66526040004926879</v>
      </c>
      <c r="U82" s="39">
        <f>$J$3+[44]FormattedData!N59*$J$4+$M$4*$J$5+[44]FormattedData!N59^2*$J$6+$M$5*$J$7</f>
        <v>-0.66526040004926879</v>
      </c>
      <c r="V82" s="39">
        <f>$J$3+[44]FormattedData!O59*$J$4+$M$4*$J$5+[44]FormattedData!O59^2*$J$6+$M$5*$J$7</f>
        <v>-0.66526040004926879</v>
      </c>
      <c r="W82" s="38">
        <f>AVERAGE(K82:V82)</f>
        <v>-0.66526040004926867</v>
      </c>
      <c r="X82" s="37">
        <f>STDEV(K82:V82)/SQRT(COUNT(K82:V82))</f>
        <v>3.3474483693592253E-17</v>
      </c>
      <c r="Y82" s="36">
        <f>MIN(K82:V82)</f>
        <v>-0.66526040004926879</v>
      </c>
      <c r="Z82" s="35">
        <f>QUARTILE(K82:V82,1)</f>
        <v>-0.66526040004926879</v>
      </c>
      <c r="AA82" s="36">
        <f>MEDIAN(K82:V82)</f>
        <v>-0.66526040004926879</v>
      </c>
      <c r="AB82" s="35">
        <f>QUARTILE(K82:V82,3)</f>
        <v>-0.66526040004926879</v>
      </c>
      <c r="AC82" s="35">
        <f>MAX(K82:V82)</f>
        <v>-0.66526040004926879</v>
      </c>
      <c r="AD82" s="35">
        <f>SKEW(K82:V82)</f>
        <v>-1.1489125293076057</v>
      </c>
      <c r="AE82" s="35">
        <f>KURT(K82:V82)</f>
        <v>-2.4444444444444446</v>
      </c>
    </row>
    <row r="83" spans="2:31" x14ac:dyDescent="0.2">
      <c r="B83" s="34">
        <f>[44]FormattedData!A55</f>
        <v>0</v>
      </c>
      <c r="C83" s="34" t="e">
        <f>VLOOKUP($B83,[44]TrtCodes!$B$11:I98,2)</f>
        <v>#N/A</v>
      </c>
      <c r="D83" s="34" t="e">
        <f>VLOOKUP($B83,[44]TrtCodes!$B$11:J98,3)</f>
        <v>#N/A</v>
      </c>
      <c r="E83" s="34" t="e">
        <f>VLOOKUP($B83,[44]TrtCodes!$B$11:K98,4)</f>
        <v>#N/A</v>
      </c>
      <c r="F83" s="34" t="e">
        <f>VLOOKUP($B83,[44]TrtCodes!$B$11:L98,5)</f>
        <v>#N/A</v>
      </c>
      <c r="G83" s="34" t="e">
        <f>VLOOKUP($B83,[44]TrtCodes!$B$11:M98,6)</f>
        <v>#N/A</v>
      </c>
      <c r="H83" s="34" t="e">
        <f>VLOOKUP($B83,[44]TrtCodes!$B$11:N98,7)</f>
        <v>#N/A</v>
      </c>
      <c r="I83" s="34">
        <f>[44]FormattedData!B55</f>
        <v>0</v>
      </c>
      <c r="J83" s="37">
        <f>[44]FormattedData!C55</f>
        <v>0</v>
      </c>
      <c r="K83" s="39">
        <f>$J$3+[44]FormattedData!D55*$J$4+$M$4*$J$5+[44]FormattedData!D55^2*$J$6+$M$5*$J$7</f>
        <v>-0.66526040004926879</v>
      </c>
      <c r="L83" s="39">
        <f>$J$3+[44]FormattedData!E55*$J$4+$M$4*$J$5+[44]FormattedData!E55^2*$J$6+$M$5*$J$7</f>
        <v>-0.66526040004926879</v>
      </c>
      <c r="M83" s="39">
        <f>$J$3+[44]FormattedData!F55*$J$4+$M$4*$J$5+[44]FormattedData!F55^2*$J$6+$M$5*$J$7</f>
        <v>-0.66526040004926879</v>
      </c>
      <c r="N83" s="39">
        <f>$J$3+[44]FormattedData!G55*$J$4+$M$4*$J$5+[44]FormattedData!G55^2*$J$6+$M$5*$J$7</f>
        <v>-0.66526040004926879</v>
      </c>
      <c r="O83" s="39">
        <f>$J$3+[44]FormattedData!H55*$J$4+$M$4*$J$5+[44]FormattedData!H55^2*$J$6+$M$5*$J$7</f>
        <v>-0.66526040004926879</v>
      </c>
      <c r="P83" s="39">
        <f>$J$3+[44]FormattedData!I55*$J$4+$M$4*$J$5+[44]FormattedData!I55^2*$J$6+$M$5*$J$7</f>
        <v>-0.66526040004926879</v>
      </c>
      <c r="Q83" s="39">
        <f>$J$3+[44]FormattedData!J55*$J$4+$M$4*$J$5+[44]FormattedData!J55^2*$J$6+$M$5*$J$7</f>
        <v>-0.66526040004926879</v>
      </c>
      <c r="R83" s="39">
        <f>$J$3+[44]FormattedData!K55*$J$4+$M$4*$J$5+[44]FormattedData!K55^2*$J$6+$M$5*$J$7</f>
        <v>-0.66526040004926879</v>
      </c>
      <c r="S83" s="39">
        <f>$J$3+[44]FormattedData!L55*$J$4+$M$4*$J$5+[44]FormattedData!L55^2*$J$6+$M$5*$J$7</f>
        <v>-0.66526040004926879</v>
      </c>
      <c r="T83" s="39">
        <f>$J$3+[44]FormattedData!M55*$J$4+$M$4*$J$5+[44]FormattedData!M55^2*$J$6+$M$5*$J$7</f>
        <v>-0.66526040004926879</v>
      </c>
      <c r="U83" s="39">
        <f>$J$3+[44]FormattedData!N55*$J$4+$M$4*$J$5+[44]FormattedData!N55^2*$J$6+$M$5*$J$7</f>
        <v>-0.66526040004926879</v>
      </c>
      <c r="V83" s="39">
        <f>$J$3+[44]FormattedData!O55*$J$4+$M$4*$J$5+[44]FormattedData!O55^2*$J$6+$M$5*$J$7</f>
        <v>-0.66526040004926879</v>
      </c>
      <c r="W83" s="38">
        <f>AVERAGE(K83:V83)</f>
        <v>-0.66526040004926867</v>
      </c>
      <c r="X83" s="37">
        <f>STDEV(K83:V83)/SQRT(COUNT(K83:V83))</f>
        <v>3.3474483693592253E-17</v>
      </c>
      <c r="Y83" s="36">
        <f>MIN(K83:V83)</f>
        <v>-0.66526040004926879</v>
      </c>
      <c r="Z83" s="35">
        <f>QUARTILE(K83:V83,1)</f>
        <v>-0.66526040004926879</v>
      </c>
      <c r="AA83" s="36">
        <f>MEDIAN(K83:V83)</f>
        <v>-0.66526040004926879</v>
      </c>
      <c r="AB83" s="35">
        <f>QUARTILE(K83:V83,3)</f>
        <v>-0.66526040004926879</v>
      </c>
      <c r="AC83" s="35">
        <f>MAX(K83:V83)</f>
        <v>-0.66526040004926879</v>
      </c>
      <c r="AD83" s="35">
        <f>SKEW(K83:V83)</f>
        <v>-1.1489125293076057</v>
      </c>
      <c r="AE83" s="35">
        <f>KURT(K83:V83)</f>
        <v>-2.4444444444444446</v>
      </c>
    </row>
    <row r="84" spans="2:31" x14ac:dyDescent="0.2">
      <c r="B84" s="34">
        <f>[44]FormattedData!A51</f>
        <v>0</v>
      </c>
      <c r="C84" s="34" t="e">
        <f>VLOOKUP($B84,[44]TrtCodes!$B$11:I94,2)</f>
        <v>#N/A</v>
      </c>
      <c r="D84" s="34" t="e">
        <f>VLOOKUP($B84,[44]TrtCodes!$B$11:J94,3)</f>
        <v>#N/A</v>
      </c>
      <c r="E84" s="34" t="e">
        <f>VLOOKUP($B84,[44]TrtCodes!$B$11:K94,4)</f>
        <v>#N/A</v>
      </c>
      <c r="F84" s="34" t="e">
        <f>VLOOKUP($B84,[44]TrtCodes!$B$11:L94,5)</f>
        <v>#N/A</v>
      </c>
      <c r="G84" s="34" t="e">
        <f>VLOOKUP($B84,[44]TrtCodes!$B$11:M94,6)</f>
        <v>#N/A</v>
      </c>
      <c r="H84" s="34" t="e">
        <f>VLOOKUP($B84,[44]TrtCodes!$B$11:N94,7)</f>
        <v>#N/A</v>
      </c>
      <c r="I84" s="34">
        <f>[44]FormattedData!B51</f>
        <v>0</v>
      </c>
      <c r="J84" s="37">
        <f>[44]FormattedData!C51</f>
        <v>0</v>
      </c>
      <c r="K84" s="39">
        <f>$J$3+[44]FormattedData!D51*$J$4+$M$4*$J$5+[44]FormattedData!D51^2*$J$6+$M$5*$J$7</f>
        <v>-0.66526040004926879</v>
      </c>
      <c r="L84" s="39">
        <f>$J$3+[44]FormattedData!E51*$J$4+$M$4*$J$5+[44]FormattedData!E51^2*$J$6+$M$5*$J$7</f>
        <v>-0.66526040004926879</v>
      </c>
      <c r="M84" s="39">
        <f>$J$3+[44]FormattedData!F51*$J$4+$M$4*$J$5+[44]FormattedData!F51^2*$J$6+$M$5*$J$7</f>
        <v>-0.66526040004926879</v>
      </c>
      <c r="N84" s="39">
        <f>$J$3+[44]FormattedData!G51*$J$4+$M$4*$J$5+[44]FormattedData!G51^2*$J$6+$M$5*$J$7</f>
        <v>-0.66526040004926879</v>
      </c>
      <c r="O84" s="39">
        <f>$J$3+[44]FormattedData!H51*$J$4+$M$4*$J$5+[44]FormattedData!H51^2*$J$6+$M$5*$J$7</f>
        <v>-0.66526040004926879</v>
      </c>
      <c r="P84" s="39">
        <f>$J$3+[44]FormattedData!I51*$J$4+$M$4*$J$5+[44]FormattedData!I51^2*$J$6+$M$5*$J$7</f>
        <v>-0.66526040004926879</v>
      </c>
      <c r="Q84" s="39">
        <f>$J$3+[44]FormattedData!J51*$J$4+$M$4*$J$5+[44]FormattedData!J51^2*$J$6+$M$5*$J$7</f>
        <v>-0.66526040004926879</v>
      </c>
      <c r="R84" s="39">
        <f>$J$3+[44]FormattedData!K51*$J$4+$M$4*$J$5+[44]FormattedData!K51^2*$J$6+$M$5*$J$7</f>
        <v>-0.66526040004926879</v>
      </c>
      <c r="S84" s="39">
        <f>$J$3+[44]FormattedData!L51*$J$4+$M$4*$J$5+[44]FormattedData!L51^2*$J$6+$M$5*$J$7</f>
        <v>-0.66526040004926879</v>
      </c>
      <c r="T84" s="39">
        <f>$J$3+[44]FormattedData!M51*$J$4+$M$4*$J$5+[44]FormattedData!M51^2*$J$6+$M$5*$J$7</f>
        <v>-0.66526040004926879</v>
      </c>
      <c r="U84" s="39">
        <f>$J$3+[44]FormattedData!N51*$J$4+$M$4*$J$5+[44]FormattedData!N51^2*$J$6+$M$5*$J$7</f>
        <v>-0.66526040004926879</v>
      </c>
      <c r="V84" s="39">
        <f>$J$3+[44]FormattedData!O51*$J$4+$M$4*$J$5+[44]FormattedData!O51^2*$J$6+$M$5*$J$7</f>
        <v>-0.66526040004926879</v>
      </c>
      <c r="W84" s="38">
        <f>AVERAGE(K84:V84)</f>
        <v>-0.66526040004926867</v>
      </c>
      <c r="X84" s="37">
        <f>STDEV(K84:V84)/SQRT(COUNT(K84:V84))</f>
        <v>3.3474483693592253E-17</v>
      </c>
      <c r="Y84" s="36">
        <f>MIN(K84:V84)</f>
        <v>-0.66526040004926879</v>
      </c>
      <c r="Z84" s="35">
        <f>QUARTILE(K84:V84,1)</f>
        <v>-0.66526040004926879</v>
      </c>
      <c r="AA84" s="36">
        <f>MEDIAN(K84:V84)</f>
        <v>-0.66526040004926879</v>
      </c>
      <c r="AB84" s="35">
        <f>QUARTILE(K84:V84,3)</f>
        <v>-0.66526040004926879</v>
      </c>
      <c r="AC84" s="35">
        <f>MAX(K84:V84)</f>
        <v>-0.66526040004926879</v>
      </c>
      <c r="AD84" s="35">
        <f>SKEW(K84:V84)</f>
        <v>-1.1489125293076057</v>
      </c>
      <c r="AE84" s="35">
        <f>KURT(K84:V84)</f>
        <v>-2.4444444444444446</v>
      </c>
    </row>
    <row r="85" spans="2:31" x14ac:dyDescent="0.2">
      <c r="B85" s="34">
        <f>[44]FormattedData!A47</f>
        <v>0</v>
      </c>
      <c r="C85" s="34" t="e">
        <f>VLOOKUP($B85,[44]TrtCodes!$B$11:I90,2)</f>
        <v>#N/A</v>
      </c>
      <c r="D85" s="34" t="e">
        <f>VLOOKUP($B85,[44]TrtCodes!$B$11:J90,3)</f>
        <v>#N/A</v>
      </c>
      <c r="E85" s="34" t="e">
        <f>VLOOKUP($B85,[44]TrtCodes!$B$11:K90,4)</f>
        <v>#N/A</v>
      </c>
      <c r="F85" s="34" t="e">
        <f>VLOOKUP($B85,[44]TrtCodes!$B$11:L90,5)</f>
        <v>#N/A</v>
      </c>
      <c r="G85" s="34" t="e">
        <f>VLOOKUP($B85,[44]TrtCodes!$B$11:M90,6)</f>
        <v>#N/A</v>
      </c>
      <c r="H85" s="34" t="e">
        <f>VLOOKUP($B85,[44]TrtCodes!$B$11:N90,7)</f>
        <v>#N/A</v>
      </c>
      <c r="I85" s="34">
        <f>[44]FormattedData!B47</f>
        <v>0</v>
      </c>
      <c r="J85" s="37">
        <f>[44]FormattedData!C47</f>
        <v>0</v>
      </c>
      <c r="K85" s="39">
        <f>$J$3+[44]FormattedData!D47*$J$4+$M$4*$J$5+[44]FormattedData!D47^2*$J$6+$M$5*$J$7</f>
        <v>-0.66526040004926879</v>
      </c>
      <c r="L85" s="39">
        <f>$J$3+[44]FormattedData!E47*$J$4+$M$4*$J$5+[44]FormattedData!E47^2*$J$6+$M$5*$J$7</f>
        <v>-0.66526040004926879</v>
      </c>
      <c r="M85" s="39">
        <f>$J$3+[44]FormattedData!F47*$J$4+$M$4*$J$5+[44]FormattedData!F47^2*$J$6+$M$5*$J$7</f>
        <v>-0.66526040004926879</v>
      </c>
      <c r="N85" s="39">
        <f>$J$3+[44]FormattedData!G47*$J$4+$M$4*$J$5+[44]FormattedData!G47^2*$J$6+$M$5*$J$7</f>
        <v>-0.66526040004926879</v>
      </c>
      <c r="O85" s="39">
        <f>$J$3+[44]FormattedData!H47*$J$4+$M$4*$J$5+[44]FormattedData!H47^2*$J$6+$M$5*$J$7</f>
        <v>-0.66526040004926879</v>
      </c>
      <c r="P85" s="39">
        <f>$J$3+[44]FormattedData!I47*$J$4+$M$4*$J$5+[44]FormattedData!I47^2*$J$6+$M$5*$J$7</f>
        <v>-0.66526040004926879</v>
      </c>
      <c r="Q85" s="39">
        <f>$J$3+[44]FormattedData!J47*$J$4+$M$4*$J$5+[44]FormattedData!J47^2*$J$6+$M$5*$J$7</f>
        <v>-0.66526040004926879</v>
      </c>
      <c r="R85" s="39">
        <f>$J$3+[44]FormattedData!K47*$J$4+$M$4*$J$5+[44]FormattedData!K47^2*$J$6+$M$5*$J$7</f>
        <v>-0.66526040004926879</v>
      </c>
      <c r="S85" s="39">
        <f>$J$3+[44]FormattedData!L47*$J$4+$M$4*$J$5+[44]FormattedData!L47^2*$J$6+$M$5*$J$7</f>
        <v>-0.66526040004926879</v>
      </c>
      <c r="T85" s="39">
        <f>$J$3+[44]FormattedData!M47*$J$4+$M$4*$J$5+[44]FormattedData!M47^2*$J$6+$M$5*$J$7</f>
        <v>-0.66526040004926879</v>
      </c>
      <c r="U85" s="39">
        <f>$J$3+[44]FormattedData!N47*$J$4+$M$4*$J$5+[44]FormattedData!N47^2*$J$6+$M$5*$J$7</f>
        <v>-0.66526040004926879</v>
      </c>
      <c r="V85" s="39">
        <f>$J$3+[44]FormattedData!O47*$J$4+$M$4*$J$5+[44]FormattedData!O47^2*$J$6+$M$5*$J$7</f>
        <v>-0.66526040004926879</v>
      </c>
      <c r="W85" s="38">
        <f>AVERAGE(K85:V85)</f>
        <v>-0.66526040004926867</v>
      </c>
      <c r="X85" s="37">
        <f>STDEV(K85:V85)/SQRT(COUNT(K85:V85))</f>
        <v>3.3474483693592253E-17</v>
      </c>
      <c r="Y85" s="36">
        <f>MIN(K85:V85)</f>
        <v>-0.66526040004926879</v>
      </c>
      <c r="Z85" s="35">
        <f>QUARTILE(K85:V85,1)</f>
        <v>-0.66526040004926879</v>
      </c>
      <c r="AA85" s="36">
        <f>MEDIAN(K85:V85)</f>
        <v>-0.66526040004926879</v>
      </c>
      <c r="AB85" s="35">
        <f>QUARTILE(K85:V85,3)</f>
        <v>-0.66526040004926879</v>
      </c>
      <c r="AC85" s="35">
        <f>MAX(K85:V85)</f>
        <v>-0.66526040004926879</v>
      </c>
      <c r="AD85" s="35">
        <f>SKEW(K85:V85)</f>
        <v>-1.1489125293076057</v>
      </c>
      <c r="AE85" s="35">
        <f>KURT(K85:V85)</f>
        <v>-2.4444444444444446</v>
      </c>
    </row>
    <row r="88" spans="2:31" x14ac:dyDescent="0.2">
      <c r="W88" s="35"/>
    </row>
  </sheetData>
  <autoFilter ref="B9:AE85" xr:uid="{DDE9D263-3CD3-478F-8A8F-0FE307F90094}"/>
  <conditionalFormatting sqref="K10:V85">
    <cfRule type="cellIs" dxfId="171" priority="1" stopIfTrue="1" operator="lessThan">
      <formula>$W10-$V$5*$X10</formula>
    </cfRule>
    <cfRule type="cellIs" dxfId="170" priority="2" stopIfTrue="1" operator="greaterThan">
      <formula>$W10+$V$5*$X10</formula>
    </cfRule>
  </conditionalFormatting>
  <conditionalFormatting sqref="W10:W85">
    <cfRule type="cellIs" dxfId="169" priority="3" stopIfTrue="1" operator="lessThan">
      <formula>AVERAGE($W$10:$W$41)</formula>
    </cfRule>
    <cfRule type="cellIs" dxfId="16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55FE-18BE-450E-9C18-963A82459BA6}">
  <sheetPr codeName="Sheet14"/>
  <dimension ref="A1:AI88"/>
  <sheetViews>
    <sheetView topLeftCell="A8" workbookViewId="0">
      <pane xSplit="4" ySplit="2" topLeftCell="L2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[43]FormattedData!A1</f>
        <v>Raw data file name - 'IA153.03R'</v>
      </c>
    </row>
    <row r="2" spans="1:35" ht="15" x14ac:dyDescent="0.25">
      <c r="I2" s="65" t="s">
        <v>136</v>
      </c>
      <c r="J2" s="57"/>
      <c r="P2" s="64">
        <f>[43]AncillaryData!C10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[43]AncillaryData!E25</f>
        <v>40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"&amp;[43]AncillaryData!C7</f>
        <v>Time Sequence of Midday IRT Temps - FISE 2003 - DOY 153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"&amp;[43]AncillaryData!E25&amp;", VPD = "&amp;ROUND([43]AncillaryData!E29,1)&amp;", Quality = "&amp;[43]AncillaryData!C20&amp;")"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[43]FormattedData!A28</f>
        <v>101</v>
      </c>
      <c r="C10" s="34" t="str">
        <f>VLOOKUP($B10,[43]TrtCodes!$B$11:I71,2)</f>
        <v>FSH</v>
      </c>
      <c r="D10" s="34">
        <f>VLOOKUP($B10,[43]TrtCodes!$B$11:J71,3)</f>
        <v>1</v>
      </c>
      <c r="E10" s="34">
        <f>VLOOKUP($B10,[43]TrtCodes!$B$11:K71,4)</f>
        <v>1</v>
      </c>
      <c r="F10" s="34">
        <f>VLOOKUP($B10,[43]TrtCodes!$B$11:L71,5)</f>
        <v>1</v>
      </c>
      <c r="G10" s="34">
        <f>VLOOKUP($B10,[43]TrtCodes!$B$11:M71,6)</f>
        <v>2</v>
      </c>
      <c r="H10" s="34">
        <f>VLOOKUP($B10,[43]TrtCodes!$B$11:N71,7)</f>
        <v>1</v>
      </c>
      <c r="I10" s="34">
        <f>[43]FormattedData!B28</f>
        <v>1</v>
      </c>
      <c r="J10" s="37">
        <f>[43]FormattedData!C28</f>
        <v>13.147</v>
      </c>
      <c r="K10" s="39">
        <f>$J$3+[43]FormattedData!D28*$J$4+$M$4*$J$5+[43]FormattedData!D28^2*$J$6+$M$5*$J$7</f>
        <v>53.419434604477999</v>
      </c>
      <c r="L10" s="39">
        <f>$J$3+[43]FormattedData!E28*$J$4+$M$4*$J$5+[43]FormattedData!E28^2*$J$6+$M$5*$J$7</f>
        <v>53.246222659329426</v>
      </c>
      <c r="M10" s="39">
        <f>$J$3+[43]FormattedData!F28*$J$4+$M$4*$J$5+[43]FormattedData!F28^2*$J$6+$M$5*$J$7</f>
        <v>53.938055995013343</v>
      </c>
      <c r="N10" s="39">
        <f>$J$3+[43]FormattedData!G28*$J$4+$M$4*$J$5+[43]FormattedData!G28^2*$J$6+$M$5*$J$7</f>
        <v>53.419434604477999</v>
      </c>
      <c r="O10" s="39">
        <f>$J$3+[43]FormattedData!H28*$J$4+$M$4*$J$5+[43]FormattedData!H28^2*$J$6+$M$5*$J$7</f>
        <v>54.024344953553147</v>
      </c>
      <c r="P10" s="39">
        <f>$J$3+[43]FormattedData!I28*$J$4+$M$4*$J$5+[43]FormattedData!I28^2*$J$6+$M$5*$J$7</f>
        <v>53.592477475474844</v>
      </c>
      <c r="Q10" s="39">
        <f>$J$3+[43]FormattedData!J28*$J$4+$M$4*$J$5+[43]FormattedData!J28^2*$J$6+$M$5*$J$7</f>
        <v>52.725572378973389</v>
      </c>
      <c r="R10" s="39">
        <f>$J$3+[43]FormattedData!K28*$J$4+$M$4*$J$5+[43]FormattedData!K28^2*$J$6+$M$5*$J$7</f>
        <v>53.50597717424538</v>
      </c>
      <c r="S10" s="39">
        <f>$J$3+[43]FormattedData!L28*$J$4+$M$4*$J$5+[43]FormattedData!L28^2*$J$6+$M$5*$J$7</f>
        <v>53.072841640029139</v>
      </c>
      <c r="T10" s="39">
        <f>$J$3+[43]FormattedData!M28*$J$4+$M$4*$J$5+[43]FormattedData!M28^2*$J$6+$M$5*$J$7</f>
        <v>52.812453097044219</v>
      </c>
      <c r="U10" s="39">
        <f>$J$3+[43]FormattedData!N28*$J$4+$M$4*$J$5+[43]FormattedData!N28^2*$J$6+$M$5*$J$7</f>
        <v>53.592477475474844</v>
      </c>
      <c r="V10" s="39">
        <f>$J$3+[43]FormattedData!O28*$J$4+$M$4*$J$5+[43]FormattedData!O28^2*$J$6+$M$5*$J$7</f>
        <v>53.50597717424538</v>
      </c>
      <c r="W10" s="38">
        <f>AVERAGE(K10:V10)</f>
        <v>53.404605769361588</v>
      </c>
      <c r="X10" s="37">
        <f>STDEV(K10:V10)/SQRT(COUNT(K10:V10))</f>
        <v>0.11372192452039157</v>
      </c>
      <c r="Y10" s="36">
        <f>MIN(K10:V10)</f>
        <v>52.725572378973389</v>
      </c>
      <c r="Z10" s="35">
        <f>QUARTILE(K10:V10,1)</f>
        <v>53.202877404504356</v>
      </c>
      <c r="AA10" s="36">
        <f>MEDIAN(K10:V10)</f>
        <v>53.462705889361686</v>
      </c>
      <c r="AB10" s="35">
        <f>QUARTILE(K10:V10,3)</f>
        <v>53.592477475474844</v>
      </c>
      <c r="AC10" s="35">
        <f>MAX(K10:V10)</f>
        <v>54.024344953553147</v>
      </c>
      <c r="AD10" s="35">
        <f>SKEW(K10:V10)</f>
        <v>-0.27842337813492085</v>
      </c>
      <c r="AE10" s="35">
        <f>KURT(K10:V10)</f>
        <v>-0.24193915519920672</v>
      </c>
    </row>
    <row r="11" spans="1:35" x14ac:dyDescent="0.2">
      <c r="B11" s="34">
        <f>[43]FormattedData!A26</f>
        <v>102</v>
      </c>
      <c r="C11" s="34" t="str">
        <f>VLOOKUP($B11,[43]TrtCodes!$B$11:I69,2)</f>
        <v>FTL</v>
      </c>
      <c r="D11" s="34">
        <f>VLOOKUP($B11,[43]TrtCodes!$B$11:J69,3)</f>
        <v>4</v>
      </c>
      <c r="E11" s="34">
        <f>VLOOKUP($B11,[43]TrtCodes!$B$11:K69,4)</f>
        <v>1</v>
      </c>
      <c r="F11" s="34">
        <f>VLOOKUP($B11,[43]TrtCodes!$B$11:L69,5)</f>
        <v>2</v>
      </c>
      <c r="G11" s="34">
        <f>VLOOKUP($B11,[43]TrtCodes!$B$11:M69,6)</f>
        <v>1</v>
      </c>
      <c r="H11" s="34">
        <f>VLOOKUP($B11,[43]TrtCodes!$B$11:N69,7)</f>
        <v>1</v>
      </c>
      <c r="I11" s="34">
        <f>[43]FormattedData!B26</f>
        <v>1</v>
      </c>
      <c r="J11" s="37">
        <f>[43]FormattedData!C26</f>
        <v>13.138</v>
      </c>
      <c r="K11" s="39">
        <f>$J$3+[43]FormattedData!D26*$J$4+$M$4*$J$5+[43]FormattedData!D26^2*$J$6+$M$5*$J$7</f>
        <v>54.369078102333027</v>
      </c>
      <c r="L11" s="39">
        <f>$J$3+[43]FormattedData!E26*$J$4+$M$4*$J$5+[43]FormattedData!E26^2*$J$6+$M$5*$J$7</f>
        <v>53.246222659329426</v>
      </c>
      <c r="M11" s="39">
        <f>$J$3+[43]FormattedData!F26*$J$4+$M$4*$J$5+[43]FormattedData!F26^2*$J$6+$M$5*$J$7</f>
        <v>52.725572378973389</v>
      </c>
      <c r="N11" s="39">
        <f>$J$3+[43]FormattedData!G26*$J$4+$M$4*$J$5+[43]FormattedData!G26^2*$J$6+$M$5*$J$7</f>
        <v>54.110591643555011</v>
      </c>
      <c r="O11" s="39">
        <f>$J$3+[43]FormattedData!H26*$J$4+$M$4*$J$5+[43]FormattedData!H26^2*$J$6+$M$5*$J$7</f>
        <v>53.592477475474844</v>
      </c>
      <c r="P11" s="39">
        <f>$J$3+[43]FormattedData!I26*$J$4+$M$4*$J$5+[43]FormattedData!I26^2*$J$6+$M$5*$J$7</f>
        <v>52.986087727572105</v>
      </c>
      <c r="Q11" s="39">
        <f>$J$3+[43]FormattedData!J26*$J$4+$M$4*$J$5+[43]FormattedData!J26^2*$J$6+$M$5*$J$7</f>
        <v>53.765351272319954</v>
      </c>
      <c r="R11" s="39">
        <f>$J$3+[43]FormattedData!K26*$J$4+$M$4*$J$5+[43]FormattedData!K26^2*$J$6+$M$5*$J$7</f>
        <v>52.986087727572105</v>
      </c>
      <c r="S11" s="39">
        <f>$J$3+[43]FormattedData!L26*$J$4+$M$4*$J$5+[43]FormattedData!L26^2*$J$6+$M$5*$J$7</f>
        <v>53.332849766172679</v>
      </c>
      <c r="T11" s="39">
        <f>$J$3+[43]FormattedData!M26*$J$4+$M$4*$J$5+[43]FormattedData!M26^2*$J$6+$M$5*$J$7</f>
        <v>52.986087727572105</v>
      </c>
      <c r="U11" s="39">
        <f>$J$3+[43]FormattedData!N26*$J$4+$M$4*$J$5+[43]FormattedData!N26^2*$J$6+$M$5*$J$7</f>
        <v>51.066807713420602</v>
      </c>
      <c r="V11" s="39">
        <f>$J$3+[43]FormattedData!O26*$J$4+$M$4*$J$5+[43]FormattedData!O26^2*$J$6+$M$5*$J$7</f>
        <v>53.332849766172679</v>
      </c>
      <c r="W11" s="38">
        <f>AVERAGE(K11:V11)</f>
        <v>53.208338663372331</v>
      </c>
      <c r="X11" s="37">
        <f>STDEV(K11:V11)/SQRT(COUNT(K11:V11))</f>
        <v>0.24024999473140393</v>
      </c>
      <c r="Y11" s="36">
        <f>MIN(K11:V11)</f>
        <v>51.066807713420602</v>
      </c>
      <c r="Z11" s="35">
        <f>QUARTILE(K11:V11,1)</f>
        <v>52.986087727572105</v>
      </c>
      <c r="AA11" s="36">
        <f>MEDIAN(K11:V11)</f>
        <v>53.289536212751052</v>
      </c>
      <c r="AB11" s="35">
        <f>QUARTILE(K11:V11,3)</f>
        <v>53.635695924686118</v>
      </c>
      <c r="AC11" s="35">
        <f>MAX(K11:V11)</f>
        <v>54.369078102333027</v>
      </c>
      <c r="AD11" s="35">
        <f>SKEW(K11:V11)</f>
        <v>-1.4070530640753236</v>
      </c>
      <c r="AE11" s="35">
        <f>KURT(K11:V11)</f>
        <v>3.7480259650937011</v>
      </c>
    </row>
    <row r="12" spans="1:35" x14ac:dyDescent="0.2">
      <c r="B12" s="34">
        <f>[43]FormattedData!A24</f>
        <v>103</v>
      </c>
      <c r="C12" s="34" t="str">
        <f>VLOOKUP($B12,[43]TrtCodes!$B$11:I67,2)</f>
        <v>FDH</v>
      </c>
      <c r="D12" s="34">
        <f>VLOOKUP($B12,[43]TrtCodes!$B$11:J67,3)</f>
        <v>5</v>
      </c>
      <c r="E12" s="34">
        <f>VLOOKUP($B12,[43]TrtCodes!$B$11:K67,4)</f>
        <v>1</v>
      </c>
      <c r="F12" s="34">
        <f>VLOOKUP($B12,[43]TrtCodes!$B$11:L67,5)</f>
        <v>3</v>
      </c>
      <c r="G12" s="34">
        <f>VLOOKUP($B12,[43]TrtCodes!$B$11:M67,6)</f>
        <v>2</v>
      </c>
      <c r="H12" s="34">
        <f>VLOOKUP($B12,[43]TrtCodes!$B$11:N67,7)</f>
        <v>1</v>
      </c>
      <c r="I12" s="34">
        <f>[43]FormattedData!B24</f>
        <v>1</v>
      </c>
      <c r="J12" s="37">
        <f>[43]FormattedData!C24</f>
        <v>13.127000000000001</v>
      </c>
      <c r="K12" s="39">
        <f>$J$3+[43]FormattedData!D24*$J$4+$M$4*$J$5+[43]FormattedData!D24^2*$J$6+$M$5*$J$7</f>
        <v>54.024344953553147</v>
      </c>
      <c r="L12" s="39">
        <f>$J$3+[43]FormattedData!E24*$J$4+$M$4*$J$5+[43]FormattedData!E24^2*$J$6+$M$5*$J$7</f>
        <v>50.451837452317847</v>
      </c>
      <c r="M12" s="39">
        <f>$J$3+[43]FormattedData!F24*$J$4+$M$4*$J$5+[43]FormattedData!F24^2*$J$6+$M$5*$J$7</f>
        <v>51.154491533712132</v>
      </c>
      <c r="N12" s="39">
        <f>$J$3+[43]FormattedData!G24*$J$4+$M$4*$J$5+[43]FormattedData!G24^2*$J$6+$M$5*$J$7</f>
        <v>53.592477475474844</v>
      </c>
      <c r="O12" s="39">
        <f>$J$3+[43]FormattedData!H24*$J$4+$M$4*$J$5+[43]FormattedData!H24^2*$J$6+$M$5*$J$7</f>
        <v>46.35907896019021</v>
      </c>
      <c r="P12" s="39">
        <f>$J$3+[43]FormattedData!I24*$J$4+$M$4*$J$5+[43]FormattedData!I24^2*$J$6+$M$5*$J$7</f>
        <v>53.592477475474844</v>
      </c>
      <c r="Q12" s="39">
        <f>$J$3+[43]FormattedData!J24*$J$4+$M$4*$J$5+[43]FormattedData!J24^2*$J$6+$M$5*$J$7</f>
        <v>48.772192129027076</v>
      </c>
      <c r="R12" s="39">
        <f>$J$3+[43]FormattedData!K24*$J$4+$M$4*$J$5+[43]FormattedData!K24^2*$J$6+$M$5*$J$7</f>
        <v>54.282958217944959</v>
      </c>
      <c r="S12" s="39">
        <f>$J$3+[43]FormattedData!L24*$J$4+$M$4*$J$5+[43]FormattedData!L24^2*$J$6+$M$5*$J$7</f>
        <v>51.242133085465724</v>
      </c>
      <c r="T12" s="39">
        <f>$J$3+[43]FormattedData!M24*$J$4+$M$4*$J$5+[43]FormattedData!M24^2*$J$6+$M$5*$J$7</f>
        <v>53.419434604477999</v>
      </c>
      <c r="U12" s="39">
        <f>$J$3+[43]FormattedData!N24*$J$4+$M$4*$J$5+[43]FormattedData!N24^2*$J$6+$M$5*$J$7</f>
        <v>53.332849766172679</v>
      </c>
      <c r="V12" s="39">
        <f>$J$3+[43]FormattedData!O24*$J$4+$M$4*$J$5+[43]FormattedData!O24^2*$J$6+$M$5*$J$7</f>
        <v>50.627754583893996</v>
      </c>
      <c r="W12" s="38">
        <f>AVERAGE(K12:V12)</f>
        <v>51.737669186475443</v>
      </c>
      <c r="X12" s="37">
        <f>STDEV(K12:V12)/SQRT(COUNT(K12:V12))</f>
        <v>0.70256650054376979</v>
      </c>
      <c r="Y12" s="36">
        <f>MIN(K12:V12)</f>
        <v>46.35907896019021</v>
      </c>
      <c r="Z12" s="35">
        <f>QUARTILE(K12:V12,1)</f>
        <v>50.58377530099996</v>
      </c>
      <c r="AA12" s="36">
        <f>MEDIAN(K12:V12)</f>
        <v>52.287491425819198</v>
      </c>
      <c r="AB12" s="35">
        <f>QUARTILE(K12:V12,3)</f>
        <v>53.592477475474844</v>
      </c>
      <c r="AC12" s="35">
        <f>MAX(K12:V12)</f>
        <v>54.282958217944959</v>
      </c>
      <c r="AD12" s="35">
        <f>SKEW(K12:V12)</f>
        <v>-1.0251434304289286</v>
      </c>
      <c r="AE12" s="35">
        <f>KURT(K12:V12)</f>
        <v>0.57533901035489876</v>
      </c>
    </row>
    <row r="13" spans="1:35" x14ac:dyDescent="0.2">
      <c r="B13" s="34">
        <f>[43]FormattedData!A22</f>
        <v>104</v>
      </c>
      <c r="C13" s="34" t="str">
        <f>VLOOKUP($B13,[43]TrtCodes!$B$11:I65,2)</f>
        <v>NTL</v>
      </c>
      <c r="D13" s="34">
        <f>VLOOKUP($B13,[43]TrtCodes!$B$11:J65,3)</f>
        <v>10</v>
      </c>
      <c r="E13" s="34">
        <f>VLOOKUP($B13,[43]TrtCodes!$B$11:K65,4)</f>
        <v>2</v>
      </c>
      <c r="F13" s="34">
        <f>VLOOKUP($B13,[43]TrtCodes!$B$11:L65,5)</f>
        <v>2</v>
      </c>
      <c r="G13" s="34">
        <f>VLOOKUP($B13,[43]TrtCodes!$B$11:M65,6)</f>
        <v>1</v>
      </c>
      <c r="H13" s="34">
        <f>VLOOKUP($B13,[43]TrtCodes!$B$11:N65,7)</f>
        <v>1</v>
      </c>
      <c r="I13" s="34">
        <f>[43]FormattedData!B22</f>
        <v>1</v>
      </c>
      <c r="J13" s="37">
        <f>[43]FormattedData!C22</f>
        <v>13.118</v>
      </c>
      <c r="K13" s="39">
        <f>$J$3+[43]FormattedData!D22*$J$4+$M$4*$J$5+[43]FormattedData!D22^2*$J$6+$M$5*$J$7</f>
        <v>52.725572378973389</v>
      </c>
      <c r="L13" s="39">
        <f>$J$3+[43]FormattedData!E22*$J$4+$M$4*$J$5+[43]FormattedData!E22^2*$J$6+$M$5*$J$7</f>
        <v>52.899291546577125</v>
      </c>
      <c r="M13" s="39">
        <f>$J$3+[43]FormattedData!F22*$J$4+$M$4*$J$5+[43]FormattedData!F22^2*$J$6+$M$5*$J$7</f>
        <v>53.851724767935622</v>
      </c>
      <c r="N13" s="39">
        <f>$J$3+[43]FormattedData!G22*$J$4+$M$4*$J$5+[43]FormattedData!G22^2*$J$6+$M$5*$J$7</f>
        <v>52.812453097044219</v>
      </c>
      <c r="O13" s="39">
        <f>$J$3+[43]FormattedData!H22*$J$4+$M$4*$J$5+[43]FormattedData!H22^2*$J$6+$M$5*$J$7</f>
        <v>52.899291546577125</v>
      </c>
      <c r="P13" s="39">
        <f>$J$3+[43]FormattedData!I22*$J$4+$M$4*$J$5+[43]FormattedData!I22^2*$J$6+$M$5*$J$7</f>
        <v>53.765351272319954</v>
      </c>
      <c r="Q13" s="39">
        <f>$J$3+[43]FormattedData!J22*$J$4+$M$4*$J$5+[43]FormattedData!J22^2*$J$6+$M$5*$J$7</f>
        <v>53.159553283948256</v>
      </c>
      <c r="R13" s="39">
        <f>$J$3+[43]FormattedData!K22*$J$4+$M$4*$J$5+[43]FormattedData!K22^2*$J$6+$M$5*$J$7</f>
        <v>52.551684137217919</v>
      </c>
      <c r="S13" s="39">
        <f>$J$3+[43]FormattedData!L22*$J$4+$M$4*$J$5+[43]FormattedData!L22^2*$J$6+$M$5*$J$7</f>
        <v>52.551684137217919</v>
      </c>
      <c r="T13" s="39">
        <f>$J$3+[43]FormattedData!M22*$J$4+$M$4*$J$5+[43]FormattedData!M22^2*$J$6+$M$5*$J$7</f>
        <v>52.029004967041189</v>
      </c>
      <c r="U13" s="39">
        <f>$J$3+[43]FormattedData!N22*$J$4+$M$4*$J$5+[43]FormattedData!N22^2*$J$6+$M$5*$J$7</f>
        <v>51.329732368681391</v>
      </c>
      <c r="V13" s="39">
        <f>$J$3+[43]FormattedData!O22*$J$4+$M$4*$J$5+[43]FormattedData!O22^2*$J$6+$M$5*$J$7</f>
        <v>52.116223833415468</v>
      </c>
      <c r="W13" s="38">
        <f>AVERAGE(K13:V13)</f>
        <v>52.724297278079121</v>
      </c>
      <c r="X13" s="37">
        <f>STDEV(K13:V13)/SQRT(COUNT(K13:V13))</f>
        <v>0.20358416485983141</v>
      </c>
      <c r="Y13" s="36">
        <f>MIN(K13:V13)</f>
        <v>51.329732368681391</v>
      </c>
      <c r="Z13" s="35">
        <f>QUARTILE(K13:V13,1)</f>
        <v>52.442819061267308</v>
      </c>
      <c r="AA13" s="36">
        <f>MEDIAN(K13:V13)</f>
        <v>52.769012738008804</v>
      </c>
      <c r="AB13" s="35">
        <f>QUARTILE(K13:V13,3)</f>
        <v>52.964356980919909</v>
      </c>
      <c r="AC13" s="35">
        <f>MAX(K13:V13)</f>
        <v>53.851724767935622</v>
      </c>
      <c r="AD13" s="35">
        <f>SKEW(K13:V13)</f>
        <v>-0.19538162023804337</v>
      </c>
      <c r="AE13" s="35">
        <f>KURT(K13:V13)</f>
        <v>0.41470143138504323</v>
      </c>
    </row>
    <row r="14" spans="1:35" x14ac:dyDescent="0.2">
      <c r="B14" s="34">
        <f>[43]FormattedData!A20</f>
        <v>105</v>
      </c>
      <c r="C14" s="34" t="str">
        <f>VLOOKUP($B14,[43]TrtCodes!$B$11:I63,2)</f>
        <v>NDL</v>
      </c>
      <c r="D14" s="34">
        <f>VLOOKUP($B14,[43]TrtCodes!$B$11:J63,3)</f>
        <v>12</v>
      </c>
      <c r="E14" s="34">
        <f>VLOOKUP($B14,[43]TrtCodes!$B$11:K63,4)</f>
        <v>2</v>
      </c>
      <c r="F14" s="34">
        <f>VLOOKUP($B14,[43]TrtCodes!$B$11:L63,5)</f>
        <v>3</v>
      </c>
      <c r="G14" s="34">
        <f>VLOOKUP($B14,[43]TrtCodes!$B$11:M63,6)</f>
        <v>1</v>
      </c>
      <c r="H14" s="34">
        <f>VLOOKUP($B14,[43]TrtCodes!$B$11:N63,7)</f>
        <v>2</v>
      </c>
      <c r="I14" s="34">
        <f>[43]FormattedData!B20</f>
        <v>1</v>
      </c>
      <c r="J14" s="37">
        <f>[43]FormattedData!C20</f>
        <v>13.109</v>
      </c>
      <c r="K14" s="39">
        <f>$J$3+[43]FormattedData!D20*$J$4+$M$4*$J$5+[43]FormattedData!D20^2*$J$6+$M$5*$J$7</f>
        <v>54.54119106549539</v>
      </c>
      <c r="L14" s="39">
        <f>$J$3+[43]FormattedData!E20*$J$4+$M$4*$J$5+[43]FormattedData!E20^2*$J$6+$M$5*$J$7</f>
        <v>51.504804129498922</v>
      </c>
      <c r="M14" s="39">
        <f>$J$3+[43]FormattedData!F20*$J$4+$M$4*$J$5+[43]FormattedData!F20^2*$J$6+$M$5*$J$7</f>
        <v>52.203400431251822</v>
      </c>
      <c r="N14" s="39">
        <f>$J$3+[43]FormattedData!G20*$J$4+$M$4*$J$5+[43]FormattedData!G20^2*$J$6+$M$5*$J$7</f>
        <v>53.072841640029139</v>
      </c>
      <c r="O14" s="39">
        <f>$J$3+[43]FormattedData!H20*$J$4+$M$4*$J$5+[43]FormattedData!H20^2*$J$6+$M$5*$J$7</f>
        <v>49.304254914624522</v>
      </c>
      <c r="P14" s="39">
        <f>$J$3+[43]FormattedData!I20*$J$4+$M$4*$J$5+[43]FormattedData!I20^2*$J$6+$M$5*$J$7</f>
        <v>54.282958217944959</v>
      </c>
      <c r="Q14" s="39">
        <f>$J$3+[43]FormattedData!J20*$J$4+$M$4*$J$5+[43]FormattedData!J20^2*$J$6+$M$5*$J$7</f>
        <v>51.767094756690746</v>
      </c>
      <c r="R14" s="39">
        <f>$J$3+[43]FormattedData!K20*$J$4+$M$4*$J$5+[43]FormattedData!K20^2*$J$6+$M$5*$J$7</f>
        <v>53.332849766172679</v>
      </c>
      <c r="S14" s="39">
        <f>$J$3+[43]FormattedData!L20*$J$4+$M$4*$J$5+[43]FormattedData!L20^2*$J$6+$M$5*$J$7</f>
        <v>51.5922766071008</v>
      </c>
      <c r="T14" s="39">
        <f>$J$3+[43]FormattedData!M20*$J$4+$M$4*$J$5+[43]FormattedData!M20^2*$J$6+$M$5*$J$7</f>
        <v>54.54119106549539</v>
      </c>
      <c r="U14" s="39">
        <f>$J$3+[43]FormattedData!N20*$J$4+$M$4*$J$5+[43]FormattedData!N20^2*$J$6+$M$5*$J$7</f>
        <v>54.713134954506017</v>
      </c>
      <c r="V14" s="39">
        <f>$J$3+[43]FormattedData!O20*$J$4+$M$4*$J$5+[43]FormattedData!O20^2*$J$6+$M$5*$J$7</f>
        <v>53.938055995013343</v>
      </c>
      <c r="W14" s="38">
        <f>AVERAGE(K14:V14)</f>
        <v>52.899504461985309</v>
      </c>
      <c r="X14" s="37">
        <f>STDEV(K14:V14)/SQRT(COUNT(K14:V14))</f>
        <v>0.47860797549474299</v>
      </c>
      <c r="Y14" s="36">
        <f>MIN(K14:V14)</f>
        <v>49.304254914624522</v>
      </c>
      <c r="Z14" s="35">
        <f>QUARTILE(K14:V14,1)</f>
        <v>51.723390219293258</v>
      </c>
      <c r="AA14" s="36">
        <f>MEDIAN(K14:V14)</f>
        <v>53.202845703100905</v>
      </c>
      <c r="AB14" s="35">
        <f>QUARTILE(K14:V14,3)</f>
        <v>54.347516429832567</v>
      </c>
      <c r="AC14" s="35">
        <f>MAX(K14:V14)</f>
        <v>54.713134954506017</v>
      </c>
      <c r="AD14" s="35">
        <f>SKEW(K14:V14)</f>
        <v>-0.82676332729338153</v>
      </c>
      <c r="AE14" s="35">
        <f>KURT(K14:V14)</f>
        <v>0.26004225594120811</v>
      </c>
    </row>
    <row r="15" spans="1:35" x14ac:dyDescent="0.2">
      <c r="B15" s="34">
        <f>[43]FormattedData!A18</f>
        <v>106</v>
      </c>
      <c r="C15" s="34" t="str">
        <f>VLOOKUP($B15,[43]TrtCodes!$B$11:I61,2)</f>
        <v>NTH</v>
      </c>
      <c r="D15" s="34">
        <f>VLOOKUP($B15,[43]TrtCodes!$B$11:J61,3)</f>
        <v>9</v>
      </c>
      <c r="E15" s="34">
        <f>VLOOKUP($B15,[43]TrtCodes!$B$11:K61,4)</f>
        <v>2</v>
      </c>
      <c r="F15" s="34">
        <f>VLOOKUP($B15,[43]TrtCodes!$B$11:L61,5)</f>
        <v>2</v>
      </c>
      <c r="G15" s="34">
        <f>VLOOKUP($B15,[43]TrtCodes!$B$11:M61,6)</f>
        <v>2</v>
      </c>
      <c r="H15" s="34">
        <f>VLOOKUP($B15,[43]TrtCodes!$B$11:N61,7)</f>
        <v>2</v>
      </c>
      <c r="I15" s="34">
        <f>[43]FormattedData!B18</f>
        <v>1</v>
      </c>
      <c r="J15" s="37">
        <f>[43]FormattedData!C18</f>
        <v>13.1</v>
      </c>
      <c r="K15" s="39">
        <f>$J$3+[43]FormattedData!D18*$J$4+$M$4*$J$5+[43]FormattedData!D18^2*$J$6+$M$5*$J$7</f>
        <v>53.419434604477999</v>
      </c>
      <c r="L15" s="39">
        <f>$J$3+[43]FormattedData!E18*$J$4+$M$4*$J$5+[43]FormattedData!E18^2*$J$6+$M$5*$J$7</f>
        <v>52.116223833415468</v>
      </c>
      <c r="M15" s="39">
        <f>$J$3+[43]FormattedData!F18*$J$4+$M$4*$J$5+[43]FormattedData!F18^2*$J$6+$M$5*$J$7</f>
        <v>50.979081624591146</v>
      </c>
      <c r="N15" s="39">
        <f>$J$3+[43]FormattedData!G18*$J$4+$M$4*$J$5+[43]FormattedData!G18^2*$J$6+$M$5*$J$7</f>
        <v>52.551684137217919</v>
      </c>
      <c r="O15" s="39">
        <f>$J$3+[43]FormattedData!H18*$J$4+$M$4*$J$5+[43]FormattedData!H18^2*$J$6+$M$5*$J$7</f>
        <v>53.246222659329426</v>
      </c>
      <c r="P15" s="39">
        <f>$J$3+[43]FormattedData!I18*$J$4+$M$4*$J$5+[43]FormattedData!I18^2*$J$6+$M$5*$J$7</f>
        <v>53.072841640029139</v>
      </c>
      <c r="Q15" s="39">
        <f>$J$3+[43]FormattedData!J18*$J$4+$M$4*$J$5+[43]FormattedData!J18^2*$J$6+$M$5*$J$7</f>
        <v>52.116223833415468</v>
      </c>
      <c r="R15" s="39">
        <f>$J$3+[43]FormattedData!K18*$J$4+$M$4*$J$5+[43]FormattedData!K18^2*$J$6+$M$5*$J$7</f>
        <v>52.551684137217919</v>
      </c>
      <c r="S15" s="39">
        <f>$J$3+[43]FormattedData!L18*$J$4+$M$4*$J$5+[43]FormattedData!L18^2*$J$6+$M$5*$J$7</f>
        <v>52.290534760550251</v>
      </c>
      <c r="T15" s="39">
        <f>$J$3+[43]FormattedData!M18*$J$4+$M$4*$J$5+[43]FormattedData!M18^2*$J$6+$M$5*$J$7</f>
        <v>51.941743832128964</v>
      </c>
      <c r="U15" s="39">
        <f>$J$3+[43]FormattedData!N18*$J$4+$M$4*$J$5+[43]FormattedData!N18^2*$J$6+$M$5*$J$7</f>
        <v>52.812453097044219</v>
      </c>
      <c r="V15" s="39">
        <f>$J$3+[43]FormattedData!O18*$J$4+$M$4*$J$5+[43]FormattedData!O18^2*$J$6+$M$5*$J$7</f>
        <v>51.417289383359119</v>
      </c>
      <c r="W15" s="38">
        <f>AVERAGE(K15:V15)</f>
        <v>52.37628479523142</v>
      </c>
      <c r="X15" s="37">
        <f>STDEV(K15:V15)/SQRT(COUNT(K15:V15))</f>
        <v>0.20934980007778725</v>
      </c>
      <c r="Y15" s="36">
        <f>MIN(K15:V15)</f>
        <v>50.979081624591146</v>
      </c>
      <c r="Z15" s="35">
        <f>QUARTILE(K15:V15,1)</f>
        <v>52.072603833093844</v>
      </c>
      <c r="AA15" s="36">
        <f>MEDIAN(K15:V15)</f>
        <v>52.421109448884081</v>
      </c>
      <c r="AB15" s="35">
        <f>QUARTILE(K15:V15,3)</f>
        <v>52.877550232790448</v>
      </c>
      <c r="AC15" s="35">
        <f>MAX(K15:V15)</f>
        <v>53.419434604477999</v>
      </c>
      <c r="AD15" s="35">
        <f>SKEW(K15:V15)</f>
        <v>-0.42966120371010191</v>
      </c>
      <c r="AE15" s="35">
        <f>KURT(K15:V15)</f>
        <v>-0.19821191626405277</v>
      </c>
    </row>
    <row r="16" spans="1:35" x14ac:dyDescent="0.2">
      <c r="B16" s="34">
        <f>[43]FormattedData!A16</f>
        <v>107</v>
      </c>
      <c r="C16" s="34" t="str">
        <f>VLOOKUP($B16,[43]TrtCodes!$B$11:I59,2)</f>
        <v>NTL</v>
      </c>
      <c r="D16" s="34">
        <f>VLOOKUP($B16,[43]TrtCodes!$B$11:J59,3)</f>
        <v>10</v>
      </c>
      <c r="E16" s="34">
        <f>VLOOKUP($B16,[43]TrtCodes!$B$11:K59,4)</f>
        <v>2</v>
      </c>
      <c r="F16" s="34">
        <f>VLOOKUP($B16,[43]TrtCodes!$B$11:L59,5)</f>
        <v>2</v>
      </c>
      <c r="G16" s="34">
        <f>VLOOKUP($B16,[43]TrtCodes!$B$11:M59,6)</f>
        <v>1</v>
      </c>
      <c r="H16" s="34">
        <f>VLOOKUP($B16,[43]TrtCodes!$B$11:N59,7)</f>
        <v>2</v>
      </c>
      <c r="I16" s="34">
        <f>[43]FormattedData!B16</f>
        <v>1</v>
      </c>
      <c r="J16" s="37">
        <f>[43]FormattedData!C16</f>
        <v>13.092000000000001</v>
      </c>
      <c r="K16" s="39">
        <f>$J$3+[43]FormattedData!D16*$J$4+$M$4*$J$5+[43]FormattedData!D16^2*$J$6+$M$5*$J$7</f>
        <v>54.799043496204433</v>
      </c>
      <c r="L16" s="39">
        <f>$J$3+[43]FormattedData!E16*$J$4+$M$4*$J$5+[43]FormattedData!E16^2*$J$6+$M$5*$J$7</f>
        <v>54.196796065018951</v>
      </c>
      <c r="M16" s="39">
        <f>$J$3+[43]FormattedData!F16*$J$4+$M$4*$J$5+[43]FormattedData!F16^2*$J$6+$M$5*$J$7</f>
        <v>54.627184144269663</v>
      </c>
      <c r="N16" s="39">
        <f>$J$3+[43]FormattedData!G16*$J$4+$M$4*$J$5+[43]FormattedData!G16^2*$J$6+$M$5*$J$7</f>
        <v>53.419434604477999</v>
      </c>
      <c r="O16" s="39">
        <f>$J$3+[43]FormattedData!H16*$J$4+$M$4*$J$5+[43]FormattedData!H16^2*$J$6+$M$5*$J$7</f>
        <v>51.066807713420602</v>
      </c>
      <c r="P16" s="39">
        <f>$J$3+[43]FormattedData!I16*$J$4+$M$4*$J$5+[43]FormattedData!I16^2*$J$6+$M$5*$J$7</f>
        <v>53.072841640029139</v>
      </c>
      <c r="Q16" s="39">
        <f>$J$3+[43]FormattedData!J16*$J$4+$M$4*$J$5+[43]FormattedData!J16^2*$J$6+$M$5*$J$7</f>
        <v>54.110591643555011</v>
      </c>
      <c r="R16" s="39">
        <f>$J$3+[43]FormattedData!K16*$J$4+$M$4*$J$5+[43]FormattedData!K16^2*$J$6+$M$5*$J$7</f>
        <v>51.154491533712132</v>
      </c>
      <c r="S16" s="39">
        <f>$J$3+[43]FormattedData!L16*$J$4+$M$4*$J$5+[43]FormattedData!L16^2*$J$6+$M$5*$J$7</f>
        <v>48.238607676064099</v>
      </c>
      <c r="T16" s="39">
        <f>$J$3+[43]FormattedData!M16*$J$4+$M$4*$J$5+[43]FormattedData!M16^2*$J$6+$M$5*$J$7</f>
        <v>53.50597717424538</v>
      </c>
      <c r="U16" s="39">
        <f>$J$3+[43]FormattedData!N16*$J$4+$M$4*$J$5+[43]FormattedData!N16^2*$J$6+$M$5*$J$7</f>
        <v>50.275751246589955</v>
      </c>
      <c r="V16" s="39">
        <f>$J$3+[43]FormattedData!O16*$J$4+$M$4*$J$5+[43]FormattedData!O16^2*$J$6+$M$5*$J$7</f>
        <v>52.116223833415468</v>
      </c>
      <c r="W16" s="38">
        <f>AVERAGE(K16:V16)</f>
        <v>52.548645897583562</v>
      </c>
      <c r="X16" s="37">
        <f>STDEV(K16:V16)/SQRT(COUNT(K16:V16))</f>
        <v>0.58100748838415706</v>
      </c>
      <c r="Y16" s="36">
        <f>MIN(K16:V16)</f>
        <v>48.238607676064099</v>
      </c>
      <c r="Z16" s="35">
        <f>QUARTILE(K16:V16,1)</f>
        <v>51.132570578639246</v>
      </c>
      <c r="AA16" s="36">
        <f>MEDIAN(K16:V16)</f>
        <v>53.246138122253569</v>
      </c>
      <c r="AB16" s="35">
        <f>QUARTILE(K16:V16,3)</f>
        <v>54.132142748920998</v>
      </c>
      <c r="AC16" s="35">
        <f>MAX(K16:V16)</f>
        <v>54.799043496204433</v>
      </c>
      <c r="AD16" s="35">
        <f>SKEW(K16:V16)</f>
        <v>-0.90325587588908685</v>
      </c>
      <c r="AE16" s="35">
        <f>KURT(K16:V16)</f>
        <v>0.18749998109932076</v>
      </c>
    </row>
    <row r="17" spans="2:31" x14ac:dyDescent="0.2">
      <c r="B17" s="34">
        <f>[43]FormattedData!A14</f>
        <v>108</v>
      </c>
      <c r="C17" s="34" t="str">
        <f>VLOOKUP($B17,[43]TrtCodes!$B$11:I57,2)</f>
        <v>FTH</v>
      </c>
      <c r="D17" s="34">
        <f>VLOOKUP($B17,[43]TrtCodes!$B$11:J57,3)</f>
        <v>3</v>
      </c>
      <c r="E17" s="34">
        <f>VLOOKUP($B17,[43]TrtCodes!$B$11:K57,4)</f>
        <v>1</v>
      </c>
      <c r="F17" s="34">
        <f>VLOOKUP($B17,[43]TrtCodes!$B$11:L57,5)</f>
        <v>2</v>
      </c>
      <c r="G17" s="34">
        <f>VLOOKUP($B17,[43]TrtCodes!$B$11:M57,6)</f>
        <v>2</v>
      </c>
      <c r="H17" s="34">
        <f>VLOOKUP($B17,[43]TrtCodes!$B$11:N57,7)</f>
        <v>2</v>
      </c>
      <c r="I17" s="34">
        <f>[43]FormattedData!B14</f>
        <v>1</v>
      </c>
      <c r="J17" s="37">
        <f>[43]FormattedData!C14</f>
        <v>13.083</v>
      </c>
      <c r="K17" s="39">
        <f>$J$3+[43]FormattedData!D14*$J$4+$M$4*$J$5+[43]FormattedData!D14^2*$J$6+$M$5*$J$7</f>
        <v>54.282958217944959</v>
      </c>
      <c r="L17" s="39">
        <f>$J$3+[43]FormattedData!E14*$J$4+$M$4*$J$5+[43]FormattedData!E14^2*$J$6+$M$5*$J$7</f>
        <v>52.986087727572105</v>
      </c>
      <c r="M17" s="39">
        <f>$J$3+[43]FormattedData!F14*$J$4+$M$4*$J$5+[43]FormattedData!F14^2*$J$6+$M$5*$J$7</f>
        <v>51.941743832128964</v>
      </c>
      <c r="N17" s="39">
        <f>$J$3+[43]FormattedData!G14*$J$4+$M$4*$J$5+[43]FormattedData!G14^2*$J$6+$M$5*$J$7</f>
        <v>53.765351272319954</v>
      </c>
      <c r="O17" s="39">
        <f>$J$3+[43]FormattedData!H14*$J$4+$M$4*$J$5+[43]FormattedData!H14^2*$J$6+$M$5*$J$7</f>
        <v>52.551684137217919</v>
      </c>
      <c r="P17" s="39">
        <f>$J$3+[43]FormattedData!I14*$J$4+$M$4*$J$5+[43]FormattedData!I14^2*$J$6+$M$5*$J$7</f>
        <v>53.159553283948256</v>
      </c>
      <c r="Q17" s="39">
        <f>$J$3+[43]FormattedData!J14*$J$4+$M$4*$J$5+[43]FormattedData!J14^2*$J$6+$M$5*$J$7</f>
        <v>52.899291546577125</v>
      </c>
      <c r="R17" s="39">
        <f>$J$3+[43]FormattedData!K14*$J$4+$M$4*$J$5+[43]FormattedData!K14^2*$J$6+$M$5*$J$7</f>
        <v>53.678935508166354</v>
      </c>
      <c r="S17" s="39">
        <f>$J$3+[43]FormattedData!L14*$J$4+$M$4*$J$5+[43]FormattedData!L14^2*$J$6+$M$5*$J$7</f>
        <v>52.029004967041189</v>
      </c>
      <c r="T17" s="39">
        <f>$J$3+[43]FormattedData!M14*$J$4+$M$4*$J$5+[43]FormattedData!M14^2*$J$6+$M$5*$J$7</f>
        <v>53.072841640029139</v>
      </c>
      <c r="U17" s="39">
        <f>$J$3+[43]FormattedData!N14*$J$4+$M$4*$J$5+[43]FormattedData!N14^2*$J$6+$M$5*$J$7</f>
        <v>52.899291546577125</v>
      </c>
      <c r="V17" s="39">
        <f>$J$3+[43]FormattedData!O14*$J$4+$M$4*$J$5+[43]FormattedData!O14^2*$J$6+$M$5*$J$7</f>
        <v>50.187644740919119</v>
      </c>
      <c r="W17" s="38">
        <f>AVERAGE(K17:V17)</f>
        <v>52.787865701703531</v>
      </c>
      <c r="X17" s="37">
        <f>STDEV(K17:V17)/SQRT(COUNT(K17:V17))</f>
        <v>0.30621088538751995</v>
      </c>
      <c r="Y17" s="36">
        <f>MIN(K17:V17)</f>
        <v>50.187644740919119</v>
      </c>
      <c r="Z17" s="35">
        <f>QUARTILE(K17:V17,1)</f>
        <v>52.421014344673736</v>
      </c>
      <c r="AA17" s="36">
        <f>MEDIAN(K17:V17)</f>
        <v>52.942689637074615</v>
      </c>
      <c r="AB17" s="35">
        <f>QUARTILE(K17:V17,3)</f>
        <v>53.289398840002782</v>
      </c>
      <c r="AC17" s="35">
        <f>MAX(K17:V17)</f>
        <v>54.282958217944959</v>
      </c>
      <c r="AD17" s="35">
        <f>SKEW(K17:V17)</f>
        <v>-1.2401313583916032</v>
      </c>
      <c r="AE17" s="35">
        <f>KURT(K17:V17)</f>
        <v>2.5791886062464391</v>
      </c>
    </row>
    <row r="18" spans="2:31" x14ac:dyDescent="0.2">
      <c r="B18" s="34">
        <f>[43]FormattedData!A30</f>
        <v>201</v>
      </c>
      <c r="C18" s="34" t="str">
        <f>VLOOKUP($B18,[43]TrtCodes!$B$11:I73,2)</f>
        <v>NDL</v>
      </c>
      <c r="D18" s="34">
        <f>VLOOKUP($B18,[43]TrtCodes!$B$11:J73,3)</f>
        <v>12</v>
      </c>
      <c r="E18" s="34">
        <f>VLOOKUP($B18,[43]TrtCodes!$B$11:K73,4)</f>
        <v>2</v>
      </c>
      <c r="F18" s="34">
        <f>VLOOKUP($B18,[43]TrtCodes!$B$11:L73,5)</f>
        <v>3</v>
      </c>
      <c r="G18" s="34">
        <f>VLOOKUP($B18,[43]TrtCodes!$B$11:M73,6)</f>
        <v>1</v>
      </c>
      <c r="H18" s="34">
        <f>VLOOKUP($B18,[43]TrtCodes!$B$11:N73,7)</f>
        <v>1</v>
      </c>
      <c r="I18" s="34">
        <f>[43]FormattedData!B30</f>
        <v>1</v>
      </c>
      <c r="J18" s="37">
        <f>[43]FormattedData!C30</f>
        <v>13.164</v>
      </c>
      <c r="K18" s="39">
        <f>$J$3+[43]FormattedData!D30*$J$4+$M$4*$J$5+[43]FormattedData!D30^2*$J$6+$M$5*$J$7</f>
        <v>56.082599397128988</v>
      </c>
      <c r="L18" s="39">
        <f>$J$3+[43]FormattedData!E30*$J$4+$M$4*$J$5+[43]FormattedData!E30^2*$J$6+$M$5*$J$7</f>
        <v>53.851724767935622</v>
      </c>
      <c r="M18" s="39">
        <f>$J$3+[43]FormattedData!F30*$J$4+$M$4*$J$5+[43]FormattedData!F30^2*$J$6+$M$5*$J$7</f>
        <v>53.072841640029139</v>
      </c>
      <c r="N18" s="39">
        <f>$J$3+[43]FormattedData!G30*$J$4+$M$4*$J$5+[43]FormattedData!G30^2*$J$6+$M$5*$J$7</f>
        <v>54.627184144269663</v>
      </c>
      <c r="O18" s="39">
        <f>$J$3+[43]FormattedData!H30*$J$4+$M$4*$J$5+[43]FormattedData!H30^2*$J$6+$M$5*$J$7</f>
        <v>51.504804129498922</v>
      </c>
      <c r="P18" s="39">
        <f>$J$3+[43]FormattedData!I30*$J$4+$M$4*$J$5+[43]FormattedData!I30^2*$J$6+$M$5*$J$7</f>
        <v>56.76327383879908</v>
      </c>
      <c r="Q18" s="39">
        <f>$J$3+[43]FormattedData!J30*$J$4+$M$4*$J$5+[43]FormattedData!J30^2*$J$6+$M$5*$J$7</f>
        <v>50.539817152374887</v>
      </c>
      <c r="R18" s="39">
        <f>$J$3+[43]FormattedData!K30*$J$4+$M$4*$J$5+[43]FormattedData!K30^2*$J$6+$M$5*$J$7</f>
        <v>56.678337473473078</v>
      </c>
      <c r="S18" s="39">
        <f>$J$3+[43]FormattedData!L30*$J$4+$M$4*$J$5+[43]FormattedData!L30^2*$J$6+$M$5*$J$7</f>
        <v>51.154491533712132</v>
      </c>
      <c r="T18" s="39">
        <f>$J$3+[43]FormattedData!M30*$J$4+$M$4*$J$5+[43]FormattedData!M30^2*$J$6+$M$5*$J$7</f>
        <v>55.570318287283307</v>
      </c>
      <c r="U18" s="39">
        <f>$J$3+[43]FormattedData!N30*$J$4+$M$4*$J$5+[43]FormattedData!N30^2*$J$6+$M$5*$J$7</f>
        <v>51.154491533712132</v>
      </c>
      <c r="V18" s="39">
        <f>$J$3+[43]FormattedData!O30*$J$4+$M$4*$J$5+[43]FormattedData!O30^2*$J$6+$M$5*$J$7</f>
        <v>54.54119106549539</v>
      </c>
      <c r="W18" s="38">
        <f>AVERAGE(K18:V18)</f>
        <v>53.795089580309359</v>
      </c>
      <c r="X18" s="37">
        <f>STDEV(K18:V18)/SQRT(COUNT(K18:V18))</f>
        <v>0.65752632661215538</v>
      </c>
      <c r="Y18" s="36">
        <f>MIN(K18:V18)</f>
        <v>50.539817152374887</v>
      </c>
      <c r="Z18" s="35">
        <f>QUARTILE(K18:V18,1)</f>
        <v>51.417225980552224</v>
      </c>
      <c r="AA18" s="36">
        <f>MEDIAN(K18:V18)</f>
        <v>54.196457916715502</v>
      </c>
      <c r="AB18" s="35">
        <f>QUARTILE(K18:V18,3)</f>
        <v>55.698388564744725</v>
      </c>
      <c r="AC18" s="35">
        <f>MAX(K18:V18)</f>
        <v>56.76327383879908</v>
      </c>
      <c r="AD18" s="35">
        <f>SKEW(K18:V18)</f>
        <v>-0.13880046645429953</v>
      </c>
      <c r="AE18" s="35">
        <f>KURT(K18:V18)</f>
        <v>-1.5619713753580591</v>
      </c>
    </row>
    <row r="19" spans="2:31" x14ac:dyDescent="0.2">
      <c r="B19" s="34">
        <f>[43]FormattedData!A32</f>
        <v>202</v>
      </c>
      <c r="C19" s="34" t="str">
        <f>VLOOKUP($B19,[43]TrtCodes!$B$11:I75,2)</f>
        <v>NTH</v>
      </c>
      <c r="D19" s="34">
        <f>VLOOKUP($B19,[43]TrtCodes!$B$11:J75,3)</f>
        <v>9</v>
      </c>
      <c r="E19" s="34">
        <f>VLOOKUP($B19,[43]TrtCodes!$B$11:K75,4)</f>
        <v>2</v>
      </c>
      <c r="F19" s="34">
        <f>VLOOKUP($B19,[43]TrtCodes!$B$11:L75,5)</f>
        <v>2</v>
      </c>
      <c r="G19" s="34">
        <f>VLOOKUP($B19,[43]TrtCodes!$B$11:M75,6)</f>
        <v>2</v>
      </c>
      <c r="H19" s="34">
        <f>VLOOKUP($B19,[43]TrtCodes!$B$11:N75,7)</f>
        <v>1</v>
      </c>
      <c r="I19" s="34">
        <f>[43]FormattedData!B32</f>
        <v>1</v>
      </c>
      <c r="J19" s="37">
        <f>[43]FormattedData!C32</f>
        <v>13.169</v>
      </c>
      <c r="K19" s="39">
        <f>$J$3+[43]FormattedData!D32*$J$4+$M$4*$J$5+[43]FormattedData!D32^2*$J$6+$M$5*$J$7</f>
        <v>53.678935508166354</v>
      </c>
      <c r="L19" s="39">
        <f>$J$3+[43]FormattedData!E32*$J$4+$M$4*$J$5+[43]FormattedData!E32^2*$J$6+$M$5*$J$7</f>
        <v>53.851724767935622</v>
      </c>
      <c r="M19" s="39">
        <f>$J$3+[43]FormattedData!F32*$J$4+$M$4*$J$5+[43]FormattedData!F32^2*$J$6+$M$5*$J$7</f>
        <v>50.011304923963657</v>
      </c>
      <c r="N19" s="39">
        <f>$J$3+[43]FormattedData!G32*$J$4+$M$4*$J$5+[43]FormattedData!G32^2*$J$6+$M$5*$J$7</f>
        <v>53.50597717424538</v>
      </c>
      <c r="O19" s="39">
        <f>$J$3+[43]FormattedData!H32*$J$4+$M$4*$J$5+[43]FormattedData!H32^2*$J$6+$M$5*$J$7</f>
        <v>53.072841640029139</v>
      </c>
      <c r="P19" s="39">
        <f>$J$3+[43]FormattedData!I32*$J$4+$M$4*$J$5+[43]FormattedData!I32^2*$J$6+$M$5*$J$7</f>
        <v>52.63864939236462</v>
      </c>
      <c r="Q19" s="39">
        <f>$J$3+[43]FormattedData!J32*$J$4+$M$4*$J$5+[43]FormattedData!J32^2*$J$6+$M$5*$J$7</f>
        <v>52.899291546577125</v>
      </c>
      <c r="R19" s="39">
        <f>$J$3+[43]FormattedData!K32*$J$4+$M$4*$J$5+[43]FormattedData!K32^2*$J$6+$M$5*$J$7</f>
        <v>52.63864939236462</v>
      </c>
      <c r="S19" s="39">
        <f>$J$3+[43]FormattedData!L32*$J$4+$M$4*$J$5+[43]FormattedData!L32^2*$J$6+$M$5*$J$7</f>
        <v>52.029004967041189</v>
      </c>
      <c r="T19" s="39">
        <f>$J$3+[43]FormattedData!M32*$J$4+$M$4*$J$5+[43]FormattedData!M32^2*$J$6+$M$5*$J$7</f>
        <v>52.116223833415468</v>
      </c>
      <c r="U19" s="39">
        <f>$J$3+[43]FormattedData!N32*$J$4+$M$4*$J$5+[43]FormattedData!N32^2*$J$6+$M$5*$J$7</f>
        <v>52.986087727572105</v>
      </c>
      <c r="V19" s="39">
        <f>$J$3+[43]FormattedData!O32*$J$4+$M$4*$J$5+[43]FormattedData!O32^2*$J$6+$M$5*$J$7</f>
        <v>49.038413730246489</v>
      </c>
      <c r="W19" s="38">
        <f>AVERAGE(K19:V19)</f>
        <v>52.372258716993485</v>
      </c>
      <c r="X19" s="37">
        <f>STDEV(K19:V19)/SQRT(COUNT(K19:V19))</f>
        <v>0.42050508818782556</v>
      </c>
      <c r="Y19" s="36">
        <f>MIN(K19:V19)</f>
        <v>49.038413730246489</v>
      </c>
      <c r="Z19" s="35">
        <f>QUARTILE(K19:V19,1)</f>
        <v>52.094419116821896</v>
      </c>
      <c r="AA19" s="36">
        <f>MEDIAN(K19:V19)</f>
        <v>52.768970469470872</v>
      </c>
      <c r="AB19" s="35">
        <f>QUARTILE(K19:V19,3)</f>
        <v>53.181125523583198</v>
      </c>
      <c r="AC19" s="35">
        <f>MAX(K19:V19)</f>
        <v>53.851724767935622</v>
      </c>
      <c r="AD19" s="35">
        <f>SKEW(K19:V19)</f>
        <v>-1.5030262191758212</v>
      </c>
      <c r="AE19" s="35">
        <f>KURT(K19:V19)</f>
        <v>1.7220597462838381</v>
      </c>
    </row>
    <row r="20" spans="2:31" x14ac:dyDescent="0.2">
      <c r="B20" s="34">
        <f>[43]FormattedData!A34</f>
        <v>203</v>
      </c>
      <c r="C20" s="34" t="str">
        <f>VLOOKUP($B20,[43]TrtCodes!$B$11:I77,2)</f>
        <v>FTH</v>
      </c>
      <c r="D20" s="34">
        <f>VLOOKUP($B20,[43]TrtCodes!$B$11:J77,3)</f>
        <v>3</v>
      </c>
      <c r="E20" s="34">
        <f>VLOOKUP($B20,[43]TrtCodes!$B$11:K77,4)</f>
        <v>1</v>
      </c>
      <c r="F20" s="34">
        <f>VLOOKUP($B20,[43]TrtCodes!$B$11:L77,5)</f>
        <v>2</v>
      </c>
      <c r="G20" s="34">
        <f>VLOOKUP($B20,[43]TrtCodes!$B$11:M77,6)</f>
        <v>2</v>
      </c>
      <c r="H20" s="34">
        <f>VLOOKUP($B20,[43]TrtCodes!$B$11:N77,7)</f>
        <v>1</v>
      </c>
      <c r="I20" s="34">
        <f>[43]FormattedData!B34</f>
        <v>1</v>
      </c>
      <c r="J20" s="37">
        <f>[43]FormattedData!C34</f>
        <v>13.175000000000001</v>
      </c>
      <c r="K20" s="39">
        <f>$J$3+[43]FormattedData!D34*$J$4+$M$4*$J$5+[43]FormattedData!D34^2*$J$6+$M$5*$J$7</f>
        <v>53.765351272319954</v>
      </c>
      <c r="L20" s="39">
        <f>$J$3+[43]FormattedData!E34*$J$4+$M$4*$J$5+[43]FormattedData!E34^2*$J$6+$M$5*$J$7</f>
        <v>53.50597717424538</v>
      </c>
      <c r="M20" s="39">
        <f>$J$3+[43]FormattedData!F34*$J$4+$M$4*$J$5+[43]FormattedData!F34^2*$J$6+$M$5*$J$7</f>
        <v>53.332849766172679</v>
      </c>
      <c r="N20" s="39">
        <f>$J$3+[43]FormattedData!G34*$J$4+$M$4*$J$5+[43]FormattedData!G34^2*$J$6+$M$5*$J$7</f>
        <v>53.332849766172679</v>
      </c>
      <c r="O20" s="39">
        <f>$J$3+[43]FormattedData!H34*$J$4+$M$4*$J$5+[43]FormattedData!H34^2*$J$6+$M$5*$J$7</f>
        <v>50.539817152374887</v>
      </c>
      <c r="P20" s="39">
        <f>$J$3+[43]FormattedData!I34*$J$4+$M$4*$J$5+[43]FormattedData!I34^2*$J$6+$M$5*$J$7</f>
        <v>53.50597717424538</v>
      </c>
      <c r="Q20" s="39">
        <f>$J$3+[43]FormattedData!J34*$J$4+$M$4*$J$5+[43]FormattedData!J34^2*$J$6+$M$5*$J$7</f>
        <v>50.451837452317847</v>
      </c>
      <c r="R20" s="39">
        <f>$J$3+[43]FormattedData!K34*$J$4+$M$4*$J$5+[43]FormattedData!K34^2*$J$6+$M$5*$J$7</f>
        <v>53.592477475474844</v>
      </c>
      <c r="S20" s="39">
        <f>$J$3+[43]FormattedData!L34*$J$4+$M$4*$J$5+[43]FormattedData!L34^2*$J$6+$M$5*$J$7</f>
        <v>56.082599397128988</v>
      </c>
      <c r="T20" s="39">
        <f>$J$3+[43]FormattedData!M34*$J$4+$M$4*$J$5+[43]FormattedData!M34^2*$J$6+$M$5*$J$7</f>
        <v>53.072841640029139</v>
      </c>
      <c r="U20" s="39">
        <f>$J$3+[43]FormattedData!N34*$J$4+$M$4*$J$5+[43]FormattedData!N34^2*$J$6+$M$5*$J$7</f>
        <v>49.834796032856453</v>
      </c>
      <c r="V20" s="39">
        <f>$J$3+[43]FormattedData!O34*$J$4+$M$4*$J$5+[43]FormattedData!O34^2*$J$6+$M$5*$J$7</f>
        <v>53.592477475474844</v>
      </c>
      <c r="W20" s="38">
        <f>AVERAGE(K20:V20)</f>
        <v>52.884154314901103</v>
      </c>
      <c r="X20" s="37">
        <f>STDEV(K20:V20)/SQRT(COUNT(K20:V20))</f>
        <v>0.50701335724992369</v>
      </c>
      <c r="Y20" s="36">
        <f>MIN(K20:V20)</f>
        <v>49.834796032856453</v>
      </c>
      <c r="Z20" s="35">
        <f>QUARTILE(K20:V20,1)</f>
        <v>52.439585518115578</v>
      </c>
      <c r="AA20" s="36">
        <f>MEDIAN(K20:V20)</f>
        <v>53.41941347020903</v>
      </c>
      <c r="AB20" s="35">
        <f>QUARTILE(K20:V20,3)</f>
        <v>53.592477475474844</v>
      </c>
      <c r="AC20" s="35">
        <f>MAX(K20:V20)</f>
        <v>56.082599397128988</v>
      </c>
      <c r="AD20" s="35">
        <f>SKEW(K20:V20)</f>
        <v>-0.41972987445200072</v>
      </c>
      <c r="AE20" s="35">
        <f>KURT(K20:V20)</f>
        <v>0.23591706698297266</v>
      </c>
    </row>
    <row r="21" spans="2:31" x14ac:dyDescent="0.2">
      <c r="B21" s="34">
        <f>[43]FormattedData!A36</f>
        <v>204</v>
      </c>
      <c r="C21" s="34" t="str">
        <f>VLOOKUP($B21,[43]TrtCodes!$B$11:I79,2)</f>
        <v>NDH</v>
      </c>
      <c r="D21" s="34">
        <f>VLOOKUP($B21,[43]TrtCodes!$B$11:J79,3)</f>
        <v>11</v>
      </c>
      <c r="E21" s="34">
        <f>VLOOKUP($B21,[43]TrtCodes!$B$11:K79,4)</f>
        <v>2</v>
      </c>
      <c r="F21" s="34">
        <f>VLOOKUP($B21,[43]TrtCodes!$B$11:L79,5)</f>
        <v>3</v>
      </c>
      <c r="G21" s="34">
        <f>VLOOKUP($B21,[43]TrtCodes!$B$11:M79,6)</f>
        <v>2</v>
      </c>
      <c r="H21" s="34">
        <f>VLOOKUP($B21,[43]TrtCodes!$B$11:N79,7)</f>
        <v>1</v>
      </c>
      <c r="I21" s="34">
        <f>[43]FormattedData!B36</f>
        <v>1</v>
      </c>
      <c r="J21" s="37">
        <f>[43]FormattedData!C36</f>
        <v>13.18</v>
      </c>
      <c r="K21" s="39">
        <f>$J$3+[43]FormattedData!D36*$J$4+$M$4*$J$5+[43]FormattedData!D36^2*$J$6+$M$5*$J$7</f>
        <v>55.655804143602417</v>
      </c>
      <c r="L21" s="39">
        <f>$J$3+[43]FormattedData!E36*$J$4+$M$4*$J$5+[43]FormattedData!E36^2*$J$6+$M$5*$J$7</f>
        <v>52.725572378973389</v>
      </c>
      <c r="M21" s="39">
        <f>$J$3+[43]FormattedData!F36*$J$4+$M$4*$J$5+[43]FormattedData!F36^2*$J$6+$M$5*$J$7</f>
        <v>53.419434604477999</v>
      </c>
      <c r="N21" s="39">
        <f>$J$3+[43]FormattedData!G36*$J$4+$M$4*$J$5+[43]FormattedData!G36^2*$J$6+$M$5*$J$7</f>
        <v>53.765351272319954</v>
      </c>
      <c r="O21" s="39">
        <f>$J$3+[43]FormattedData!H36*$J$4+$M$4*$J$5+[43]FormattedData!H36^2*$J$6+$M$5*$J$7</f>
        <v>53.332849766172679</v>
      </c>
      <c r="P21" s="39">
        <f>$J$3+[43]FormattedData!I36*$J$4+$M$4*$J$5+[43]FormattedData!I36^2*$J$6+$M$5*$J$7</f>
        <v>54.799043496204433</v>
      </c>
      <c r="Q21" s="39">
        <f>$J$3+[43]FormattedData!J36*$J$4+$M$4*$J$5+[43]FormattedData!J36^2*$J$6+$M$5*$J$7</f>
        <v>53.851724767935622</v>
      </c>
      <c r="R21" s="39">
        <f>$J$3+[43]FormattedData!K36*$J$4+$M$4*$J$5+[43]FormattedData!K36^2*$J$6+$M$5*$J$7</f>
        <v>55.741247731383595</v>
      </c>
      <c r="S21" s="39">
        <f>$J$3+[43]FormattedData!L36*$J$4+$M$4*$J$5+[43]FormattedData!L36^2*$J$6+$M$5*$J$7</f>
        <v>46.897989248932511</v>
      </c>
      <c r="T21" s="39">
        <f>$J$3+[43]FormattedData!M36*$J$4+$M$4*$J$5+[43]FormattedData!M36^2*$J$6+$M$5*$J$7</f>
        <v>55.313607107098399</v>
      </c>
      <c r="U21" s="39">
        <f>$J$3+[43]FormattedData!N36*$J$4+$M$4*$J$5+[43]FormattedData!N36^2*$J$6+$M$5*$J$7</f>
        <v>52.116223833415468</v>
      </c>
      <c r="V21" s="39">
        <f>$J$3+[43]FormattedData!O36*$J$4+$M$4*$J$5+[43]FormattedData!O36^2*$J$6+$M$5*$J$7</f>
        <v>55.826649050626834</v>
      </c>
      <c r="W21" s="38">
        <f>AVERAGE(K21:V21)</f>
        <v>53.620458116761945</v>
      </c>
      <c r="X21" s="37">
        <f>STDEV(K21:V21)/SQRT(COUNT(K21:V21))</f>
        <v>0.70826406286974164</v>
      </c>
      <c r="Y21" s="36">
        <f>MIN(K21:V21)</f>
        <v>46.897989248932511</v>
      </c>
      <c r="Z21" s="35">
        <f>QUARTILE(K21:V21,1)</f>
        <v>53.18103041937286</v>
      </c>
      <c r="AA21" s="36">
        <f>MEDIAN(K21:V21)</f>
        <v>53.808538020127784</v>
      </c>
      <c r="AB21" s="35">
        <f>QUARTILE(K21:V21,3)</f>
        <v>55.399156366224403</v>
      </c>
      <c r="AC21" s="35">
        <f>MAX(K21:V21)</f>
        <v>55.826649050626834</v>
      </c>
      <c r="AD21" s="35">
        <f>SKEW(K21:V21)</f>
        <v>-2.0145310081761858</v>
      </c>
      <c r="AE21" s="35">
        <f>KURT(K21:V21)</f>
        <v>5.1825043941247362</v>
      </c>
    </row>
    <row r="22" spans="2:31" x14ac:dyDescent="0.2">
      <c r="B22" s="34">
        <f>[43]FormattedData!A38</f>
        <v>205</v>
      </c>
      <c r="C22" s="34" t="str">
        <f>VLOOKUP($B22,[43]TrtCodes!$B$11:I81,2)</f>
        <v>FSH</v>
      </c>
      <c r="D22" s="34">
        <f>VLOOKUP($B22,[43]TrtCodes!$B$11:J81,3)</f>
        <v>1</v>
      </c>
      <c r="E22" s="34">
        <f>VLOOKUP($B22,[43]TrtCodes!$B$11:K81,4)</f>
        <v>1</v>
      </c>
      <c r="F22" s="34">
        <f>VLOOKUP($B22,[43]TrtCodes!$B$11:L81,5)</f>
        <v>1</v>
      </c>
      <c r="G22" s="34">
        <f>VLOOKUP($B22,[43]TrtCodes!$B$11:M81,6)</f>
        <v>2</v>
      </c>
      <c r="H22" s="34">
        <f>VLOOKUP($B22,[43]TrtCodes!$B$11:N81,7)</f>
        <v>2</v>
      </c>
      <c r="I22" s="34">
        <f>[43]FormattedData!B38</f>
        <v>1</v>
      </c>
      <c r="J22" s="37">
        <f>[43]FormattedData!C38</f>
        <v>13.185</v>
      </c>
      <c r="K22" s="39">
        <f>$J$3+[43]FormattedData!D38*$J$4+$M$4*$J$5+[43]FormattedData!D38^2*$J$6+$M$5*$J$7</f>
        <v>52.290534760550251</v>
      </c>
      <c r="L22" s="39">
        <f>$J$3+[43]FormattedData!E38*$J$4+$M$4*$J$5+[43]FormattedData!E38^2*$J$6+$M$5*$J$7</f>
        <v>53.332849766172679</v>
      </c>
      <c r="M22" s="39">
        <f>$J$3+[43]FormattedData!F38*$J$4+$M$4*$J$5+[43]FormattedData!F38^2*$J$6+$M$5*$J$7</f>
        <v>54.110591643555011</v>
      </c>
      <c r="N22" s="39">
        <f>$J$3+[43]FormattedData!G38*$J$4+$M$4*$J$5+[43]FormattedData!G38^2*$J$6+$M$5*$J$7</f>
        <v>52.377626821310734</v>
      </c>
      <c r="O22" s="39">
        <f>$J$3+[43]FormattedData!H38*$J$4+$M$4*$J$5+[43]FormattedData!H38^2*$J$6+$M$5*$J$7</f>
        <v>54.024344953553147</v>
      </c>
      <c r="P22" s="39">
        <f>$J$3+[43]FormattedData!I38*$J$4+$M$4*$J$5+[43]FormattedData!I38^2*$J$6+$M$5*$J$7</f>
        <v>52.290534760550251</v>
      </c>
      <c r="Q22" s="39">
        <f>$J$3+[43]FormattedData!J38*$J$4+$M$4*$J$5+[43]FormattedData!J38^2*$J$6+$M$5*$J$7</f>
        <v>53.419434604477999</v>
      </c>
      <c r="R22" s="39">
        <f>$J$3+[43]FormattedData!K38*$J$4+$M$4*$J$5+[43]FormattedData!K38^2*$J$6+$M$5*$J$7</f>
        <v>52.029004967041189</v>
      </c>
      <c r="S22" s="39">
        <f>$J$3+[43]FormattedData!L38*$J$4+$M$4*$J$5+[43]FormattedData!L38^2*$J$6+$M$5*$J$7</f>
        <v>54.970733773987483</v>
      </c>
      <c r="T22" s="39">
        <f>$J$3+[43]FormattedData!M38*$J$4+$M$4*$J$5+[43]FormattedData!M38^2*$J$6+$M$5*$J$7</f>
        <v>52.812453097044219</v>
      </c>
      <c r="U22" s="39">
        <f>$J$3+[43]FormattedData!N38*$J$4+$M$4*$J$5+[43]FormattedData!N38^2*$J$6+$M$5*$J$7</f>
        <v>53.332849766172679</v>
      </c>
      <c r="V22" s="39">
        <f>$J$3+[43]FormattedData!O38*$J$4+$M$4*$J$5+[43]FormattedData!O38^2*$J$6+$M$5*$J$7</f>
        <v>53.332849766172679</v>
      </c>
      <c r="W22" s="38">
        <f>AVERAGE(K22:V22)</f>
        <v>53.193650723382355</v>
      </c>
      <c r="X22" s="37">
        <f>STDEV(K22:V22)/SQRT(COUNT(K22:V22))</f>
        <v>0.25520058164154014</v>
      </c>
      <c r="Y22" s="36">
        <f>MIN(K22:V22)</f>
        <v>52.029004967041189</v>
      </c>
      <c r="Z22" s="35">
        <f>QUARTILE(K22:V22,1)</f>
        <v>52.355853806120614</v>
      </c>
      <c r="AA22" s="36">
        <f>MEDIAN(K22:V22)</f>
        <v>53.332849766172679</v>
      </c>
      <c r="AB22" s="35">
        <f>QUARTILE(K22:V22,3)</f>
        <v>53.570662191746784</v>
      </c>
      <c r="AC22" s="35">
        <f>MAX(K22:V22)</f>
        <v>54.970733773987483</v>
      </c>
      <c r="AD22" s="35">
        <f>SKEW(K22:V22)</f>
        <v>0.52486943483290449</v>
      </c>
      <c r="AE22" s="35">
        <f>KURT(K22:V22)</f>
        <v>-0.21645975503031867</v>
      </c>
    </row>
    <row r="23" spans="2:31" x14ac:dyDescent="0.2">
      <c r="B23" s="34">
        <f>[43]FormattedData!A40</f>
        <v>206</v>
      </c>
      <c r="C23" s="34" t="str">
        <f>VLOOKUP($B23,[43]TrtCodes!$B$11:I83,2)</f>
        <v>NSL</v>
      </c>
      <c r="D23" s="34">
        <f>VLOOKUP($B23,[43]TrtCodes!$B$11:J83,3)</f>
        <v>8</v>
      </c>
      <c r="E23" s="34">
        <f>VLOOKUP($B23,[43]TrtCodes!$B$11:K83,4)</f>
        <v>2</v>
      </c>
      <c r="F23" s="34">
        <f>VLOOKUP($B23,[43]TrtCodes!$B$11:L83,5)</f>
        <v>1</v>
      </c>
      <c r="G23" s="34">
        <f>VLOOKUP($B23,[43]TrtCodes!$B$11:M83,6)</f>
        <v>1</v>
      </c>
      <c r="H23" s="34">
        <f>VLOOKUP($B23,[43]TrtCodes!$B$11:N83,7)</f>
        <v>2</v>
      </c>
      <c r="I23" s="34">
        <f>[43]FormattedData!B40</f>
        <v>1</v>
      </c>
      <c r="J23" s="37">
        <f>[43]FormattedData!C40</f>
        <v>13.191000000000001</v>
      </c>
      <c r="K23" s="39">
        <f>$J$3+[43]FormattedData!D40*$J$4+$M$4*$J$5+[43]FormattedData!D40^2*$J$6+$M$5*$J$7</f>
        <v>52.116223833415468</v>
      </c>
      <c r="L23" s="39">
        <f>$J$3+[43]FormattedData!E40*$J$4+$M$4*$J$5+[43]FormattedData!E40^2*$J$6+$M$5*$J$7</f>
        <v>52.290534760550251</v>
      </c>
      <c r="M23" s="39">
        <f>$J$3+[43]FormattedData!F40*$J$4+$M$4*$J$5+[43]FormattedData!F40^2*$J$6+$M$5*$J$7</f>
        <v>52.377626821310734</v>
      </c>
      <c r="N23" s="39">
        <f>$J$3+[43]FormattedData!G40*$J$4+$M$4*$J$5+[43]FormattedData!G40^2*$J$6+$M$5*$J$7</f>
        <v>51.679706816164732</v>
      </c>
      <c r="O23" s="39">
        <f>$J$3+[43]FormattedData!H40*$J$4+$M$4*$J$5+[43]FormattedData!H40^2*$J$6+$M$5*$J$7</f>
        <v>52.812453097044219</v>
      </c>
      <c r="P23" s="39">
        <f>$J$3+[43]FormattedData!I40*$J$4+$M$4*$J$5+[43]FormattedData!I40^2*$J$6+$M$5*$J$7</f>
        <v>51.941743832128964</v>
      </c>
      <c r="Q23" s="39">
        <f>$J$3+[43]FormattedData!J40*$J$4+$M$4*$J$5+[43]FormattedData!J40^2*$J$6+$M$5*$J$7</f>
        <v>52.899291546577125</v>
      </c>
      <c r="R23" s="39">
        <f>$J$3+[43]FormattedData!K40*$J$4+$M$4*$J$5+[43]FormattedData!K40^2*$J$6+$M$5*$J$7</f>
        <v>52.029004967041189</v>
      </c>
      <c r="S23" s="39">
        <f>$J$3+[43]FormattedData!L40*$J$4+$M$4*$J$5+[43]FormattedData!L40^2*$J$6+$M$5*$J$7</f>
        <v>51.504804129498922</v>
      </c>
      <c r="T23" s="39">
        <f>$J$3+[43]FormattedData!M40*$J$4+$M$4*$J$5+[43]FormattedData!M40^2*$J$6+$M$5*$J$7</f>
        <v>51.854440428678828</v>
      </c>
      <c r="U23" s="39">
        <f>$J$3+[43]FormattedData!N40*$J$4+$M$4*$J$5+[43]FormattedData!N40^2*$J$6+$M$5*$J$7</f>
        <v>53.332849766172679</v>
      </c>
      <c r="V23" s="39">
        <f>$J$3+[43]FormattedData!O40*$J$4+$M$4*$J$5+[43]FormattedData!O40^2*$J$6+$M$5*$J$7</f>
        <v>52.203400431251822</v>
      </c>
      <c r="W23" s="38">
        <f>AVERAGE(K23:V23)</f>
        <v>52.253506702486241</v>
      </c>
      <c r="X23" s="37">
        <f>STDEV(K23:V23)/SQRT(COUNT(K23:V23))</f>
        <v>0.15396840366775041</v>
      </c>
      <c r="Y23" s="36">
        <f>MIN(K23:V23)</f>
        <v>51.504804129498922</v>
      </c>
      <c r="Z23" s="35">
        <f>QUARTILE(K23:V23,1)</f>
        <v>51.91991798126643</v>
      </c>
      <c r="AA23" s="36">
        <f>MEDIAN(K23:V23)</f>
        <v>52.159812132333641</v>
      </c>
      <c r="AB23" s="35">
        <f>QUARTILE(K23:V23,3)</f>
        <v>52.486333390244106</v>
      </c>
      <c r="AC23" s="35">
        <f>MAX(K23:V23)</f>
        <v>53.332849766172679</v>
      </c>
      <c r="AD23" s="35">
        <f>SKEW(K23:V23)</f>
        <v>0.70951713562408658</v>
      </c>
      <c r="AE23" s="35">
        <f>KURT(K23:V23)</f>
        <v>3.4827941234476967E-2</v>
      </c>
    </row>
    <row r="24" spans="2:31" x14ac:dyDescent="0.2">
      <c r="B24" s="34">
        <f>[43]FormattedData!A42</f>
        <v>207</v>
      </c>
      <c r="C24" s="34" t="str">
        <f>VLOOKUP($B24,[43]TrtCodes!$B$11:I85,2)</f>
        <v>FTL</v>
      </c>
      <c r="D24" s="34">
        <f>VLOOKUP($B24,[43]TrtCodes!$B$11:J85,3)</f>
        <v>4</v>
      </c>
      <c r="E24" s="34">
        <f>VLOOKUP($B24,[43]TrtCodes!$B$11:K85,4)</f>
        <v>1</v>
      </c>
      <c r="F24" s="34">
        <f>VLOOKUP($B24,[43]TrtCodes!$B$11:L85,5)</f>
        <v>2</v>
      </c>
      <c r="G24" s="34">
        <f>VLOOKUP($B24,[43]TrtCodes!$B$11:M85,6)</f>
        <v>1</v>
      </c>
      <c r="H24" s="34">
        <f>VLOOKUP($B24,[43]TrtCodes!$B$11:N85,7)</f>
        <v>2</v>
      </c>
      <c r="I24" s="34">
        <f>[43]FormattedData!B42</f>
        <v>1</v>
      </c>
      <c r="J24" s="37">
        <f>[43]FormattedData!C42</f>
        <v>13.196</v>
      </c>
      <c r="K24" s="39">
        <f>$J$3+[43]FormattedData!D42*$J$4+$M$4*$J$5+[43]FormattedData!D42^2*$J$6+$M$5*$J$7</f>
        <v>54.369078102333027</v>
      </c>
      <c r="L24" s="39">
        <f>$J$3+[43]FormattedData!E42*$J$4+$M$4*$J$5+[43]FormattedData!E42^2*$J$6+$M$5*$J$7</f>
        <v>53.765351272319954</v>
      </c>
      <c r="M24" s="39">
        <f>$J$3+[43]FormattedData!F42*$J$4+$M$4*$J$5+[43]FormattedData!F42^2*$J$6+$M$5*$J$7</f>
        <v>54.282958217944959</v>
      </c>
      <c r="N24" s="39">
        <f>$J$3+[43]FormattedData!G42*$J$4+$M$4*$J$5+[43]FormattedData!G42^2*$J$6+$M$5*$J$7</f>
        <v>53.159553283948256</v>
      </c>
      <c r="O24" s="39">
        <f>$J$3+[43]FormattedData!H42*$J$4+$M$4*$J$5+[43]FormattedData!H42^2*$J$6+$M$5*$J$7</f>
        <v>51.854440428678828</v>
      </c>
      <c r="P24" s="39">
        <f>$J$3+[43]FormattedData!I42*$J$4+$M$4*$J$5+[43]FormattedData!I42^2*$J$6+$M$5*$J$7</f>
        <v>51.329732368681391</v>
      </c>
      <c r="Q24" s="39">
        <f>$J$3+[43]FormattedData!J42*$J$4+$M$4*$J$5+[43]FormattedData!J42^2*$J$6+$M$5*$J$7</f>
        <v>53.851724767935622</v>
      </c>
      <c r="R24" s="39">
        <f>$J$3+[43]FormattedData!K42*$J$4+$M$4*$J$5+[43]FormattedData!K42^2*$J$6+$M$5*$J$7</f>
        <v>53.678935508166354</v>
      </c>
      <c r="S24" s="39">
        <f>$J$3+[43]FormattedData!L42*$J$4+$M$4*$J$5+[43]FormattedData!L42^2*$J$6+$M$5*$J$7</f>
        <v>51.066807713420602</v>
      </c>
      <c r="T24" s="39">
        <f>$J$3+[43]FormattedData!M42*$J$4+$M$4*$J$5+[43]FormattedData!M42^2*$J$6+$M$5*$J$7</f>
        <v>53.851724767935622</v>
      </c>
      <c r="U24" s="39">
        <f>$J$3+[43]FormattedData!N42*$J$4+$M$4*$J$5+[43]FormattedData!N42^2*$J$6+$M$5*$J$7</f>
        <v>53.678935508166354</v>
      </c>
      <c r="V24" s="39">
        <f>$J$3+[43]FormattedData!O42*$J$4+$M$4*$J$5+[43]FormattedData!O42^2*$J$6+$M$5*$J$7</f>
        <v>52.290534760550251</v>
      </c>
      <c r="W24" s="38">
        <f>AVERAGE(K24:V24)</f>
        <v>53.098314725006766</v>
      </c>
      <c r="X24" s="37">
        <f>STDEV(K24:V24)/SQRT(COUNT(K24:V24))</f>
        <v>0.33406402581741707</v>
      </c>
      <c r="Y24" s="36">
        <f>MIN(K24:V24)</f>
        <v>51.066807713420602</v>
      </c>
      <c r="Z24" s="35">
        <f>QUARTILE(K24:V24,1)</f>
        <v>52.181511177582394</v>
      </c>
      <c r="AA24" s="36">
        <f>MEDIAN(K24:V24)</f>
        <v>53.678935508166354</v>
      </c>
      <c r="AB24" s="35">
        <f>QUARTILE(K24:V24,3)</f>
        <v>53.851724767935622</v>
      </c>
      <c r="AC24" s="35">
        <f>MAX(K24:V24)</f>
        <v>54.369078102333027</v>
      </c>
      <c r="AD24" s="35">
        <f>SKEW(K24:V24)</f>
        <v>-0.78200875785703139</v>
      </c>
      <c r="AE24" s="35">
        <f>KURT(K24:V24)</f>
        <v>-0.93329335019192339</v>
      </c>
    </row>
    <row r="25" spans="2:31" x14ac:dyDescent="0.2">
      <c r="B25" s="34">
        <f>[43]FormattedData!A44</f>
        <v>208</v>
      </c>
      <c r="C25" s="34" t="str">
        <f>VLOOKUP($B25,[43]TrtCodes!$B$11:I87,2)</f>
        <v>FSL</v>
      </c>
      <c r="D25" s="34">
        <f>VLOOKUP($B25,[43]TrtCodes!$B$11:J87,3)</f>
        <v>2</v>
      </c>
      <c r="E25" s="34">
        <f>VLOOKUP($B25,[43]TrtCodes!$B$11:K87,4)</f>
        <v>1</v>
      </c>
      <c r="F25" s="34">
        <f>VLOOKUP($B25,[43]TrtCodes!$B$11:L87,5)</f>
        <v>1</v>
      </c>
      <c r="G25" s="34">
        <f>VLOOKUP($B25,[43]TrtCodes!$B$11:M87,6)</f>
        <v>1</v>
      </c>
      <c r="H25" s="34">
        <f>VLOOKUP($B25,[43]TrtCodes!$B$11:N87,7)</f>
        <v>2</v>
      </c>
      <c r="I25" s="34">
        <f>[43]FormattedData!B44</f>
        <v>1</v>
      </c>
      <c r="J25" s="37">
        <f>[43]FormattedData!C44</f>
        <v>13.202</v>
      </c>
      <c r="K25" s="39">
        <f>$J$3+[43]FormattedData!D44*$J$4+$M$4*$J$5+[43]FormattedData!D44^2*$J$6+$M$5*$J$7</f>
        <v>53.592477475474844</v>
      </c>
      <c r="L25" s="39">
        <f>$J$3+[43]FormattedData!E44*$J$4+$M$4*$J$5+[43]FormattedData!E44^2*$J$6+$M$5*$J$7</f>
        <v>52.464676613533292</v>
      </c>
      <c r="M25" s="39">
        <f>$J$3+[43]FormattedData!F44*$J$4+$M$4*$J$5+[43]FormattedData!F44^2*$J$6+$M$5*$J$7</f>
        <v>53.765351272319954</v>
      </c>
      <c r="N25" s="39">
        <f>$J$3+[43]FormattedData!G44*$J$4+$M$4*$J$5+[43]FormattedData!G44^2*$J$6+$M$5*$J$7</f>
        <v>53.419434604477999</v>
      </c>
      <c r="O25" s="39">
        <f>$J$3+[43]FormattedData!H44*$J$4+$M$4*$J$5+[43]FormattedData!H44^2*$J$6+$M$5*$J$7</f>
        <v>53.938055995013343</v>
      </c>
      <c r="P25" s="39">
        <f>$J$3+[43]FormattedData!I44*$J$4+$M$4*$J$5+[43]FormattedData!I44^2*$J$6+$M$5*$J$7</f>
        <v>53.678935508166354</v>
      </c>
      <c r="Q25" s="39">
        <f>$J$3+[43]FormattedData!J44*$J$4+$M$4*$J$5+[43]FormattedData!J44^2*$J$6+$M$5*$J$7</f>
        <v>54.196796065018951</v>
      </c>
      <c r="R25" s="39">
        <f>$J$3+[43]FormattedData!K44*$J$4+$M$4*$J$5+[43]FormattedData!K44^2*$J$6+$M$5*$J$7</f>
        <v>52.812453097044219</v>
      </c>
      <c r="S25" s="39">
        <f>$J$3+[43]FormattedData!L44*$J$4+$M$4*$J$5+[43]FormattedData!L44^2*$J$6+$M$5*$J$7</f>
        <v>53.419434604477999</v>
      </c>
      <c r="T25" s="39">
        <f>$J$3+[43]FormattedData!M44*$J$4+$M$4*$J$5+[43]FormattedData!M44^2*$J$6+$M$5*$J$7</f>
        <v>53.851724767935622</v>
      </c>
      <c r="U25" s="39">
        <f>$J$3+[43]FormattedData!N44*$J$4+$M$4*$J$5+[43]FormattedData!N44^2*$J$6+$M$5*$J$7</f>
        <v>54.282958217944959</v>
      </c>
      <c r="V25" s="39">
        <f>$J$3+[43]FormattedData!O44*$J$4+$M$4*$J$5+[43]FormattedData!O44^2*$J$6+$M$5*$J$7</f>
        <v>52.899291546577125</v>
      </c>
      <c r="W25" s="38">
        <f>AVERAGE(K25:V25)</f>
        <v>53.526799147332063</v>
      </c>
      <c r="X25" s="37">
        <f>STDEV(K25:V25)/SQRT(COUNT(K25:V25))</f>
        <v>0.16131472462746771</v>
      </c>
      <c r="Y25" s="36">
        <f>MIN(K25:V25)</f>
        <v>52.464676613533292</v>
      </c>
      <c r="Z25" s="35">
        <f>QUARTILE(K25:V25,1)</f>
        <v>53.289398840002782</v>
      </c>
      <c r="AA25" s="36">
        <f>MEDIAN(K25:V25)</f>
        <v>53.635706491820599</v>
      </c>
      <c r="AB25" s="35">
        <f>QUARTILE(K25:V25,3)</f>
        <v>53.873307574705052</v>
      </c>
      <c r="AC25" s="35">
        <f>MAX(K25:V25)</f>
        <v>54.282958217944959</v>
      </c>
      <c r="AD25" s="35">
        <f>SKEW(K25:V25)</f>
        <v>-0.59885866183013203</v>
      </c>
      <c r="AE25" s="35">
        <f>KURT(K25:V25)</f>
        <v>-0.38075500195700807</v>
      </c>
    </row>
    <row r="26" spans="2:31" x14ac:dyDescent="0.2">
      <c r="B26" s="34">
        <f>[43]FormattedData!A62</f>
        <v>301</v>
      </c>
      <c r="C26" s="34" t="str">
        <f>VLOOKUP($B26,[43]TrtCodes!$B$11:I105,2)</f>
        <v>NTL</v>
      </c>
      <c r="D26" s="34">
        <f>VLOOKUP($B26,[43]TrtCodes!$B$11:J105,3)</f>
        <v>10</v>
      </c>
      <c r="E26" s="34">
        <f>VLOOKUP($B26,[43]TrtCodes!$B$11:K105,4)</f>
        <v>2</v>
      </c>
      <c r="F26" s="34">
        <f>VLOOKUP($B26,[43]TrtCodes!$B$11:L105,5)</f>
        <v>2</v>
      </c>
      <c r="G26" s="34">
        <f>VLOOKUP($B26,[43]TrtCodes!$B$11:M105,6)</f>
        <v>1</v>
      </c>
      <c r="H26" s="34">
        <f>VLOOKUP($B26,[43]TrtCodes!$B$11:N105,7)</f>
        <v>3</v>
      </c>
      <c r="I26" s="34">
        <f>[43]FormattedData!B62</f>
        <v>1</v>
      </c>
      <c r="J26" s="37">
        <f>[43]FormattedData!C62</f>
        <v>13.284000000000001</v>
      </c>
      <c r="K26" s="39">
        <f>$J$3+[43]FormattedData!D62*$J$4+$M$4*$J$5+[43]FormattedData!D62^2*$J$6+$M$5*$J$7</f>
        <v>51.767094756690746</v>
      </c>
      <c r="L26" s="39">
        <f>$J$3+[43]FormattedData!E62*$J$4+$M$4*$J$5+[43]FormattedData!E62^2*$J$6+$M$5*$J$7</f>
        <v>51.767094756690746</v>
      </c>
      <c r="M26" s="39">
        <f>$J$3+[43]FormattedData!F62*$J$4+$M$4*$J$5+[43]FormattedData!F62^2*$J$6+$M$5*$J$7</f>
        <v>52.290534760550251</v>
      </c>
      <c r="N26" s="39">
        <f>$J$3+[43]FormattedData!G62*$J$4+$M$4*$J$5+[43]FormattedData!G62^2*$J$6+$M$5*$J$7</f>
        <v>52.551684137217919</v>
      </c>
      <c r="O26" s="39">
        <f>$J$3+[43]FormattedData!H62*$J$4+$M$4*$J$5+[43]FormattedData!H62^2*$J$6+$M$5*$J$7</f>
        <v>51.941743832128964</v>
      </c>
      <c r="P26" s="39">
        <f>$J$3+[43]FormattedData!I62*$J$4+$M$4*$J$5+[43]FormattedData!I62^2*$J$6+$M$5*$J$7</f>
        <v>51.941743832128964</v>
      </c>
      <c r="Q26" s="39">
        <f>$J$3+[43]FormattedData!J62*$J$4+$M$4*$J$5+[43]FormattedData!J62^2*$J$6+$M$5*$J$7</f>
        <v>52.725572378973389</v>
      </c>
      <c r="R26" s="39">
        <f>$J$3+[43]FormattedData!K62*$J$4+$M$4*$J$5+[43]FormattedData!K62^2*$J$6+$M$5*$J$7</f>
        <v>52.899291546577125</v>
      </c>
      <c r="S26" s="39">
        <f>$J$3+[43]FormattedData!L62*$J$4+$M$4*$J$5+[43]FormattedData!L62^2*$J$6+$M$5*$J$7</f>
        <v>52.116223833415468</v>
      </c>
      <c r="T26" s="39">
        <f>$J$3+[43]FormattedData!M62*$J$4+$M$4*$J$5+[43]FormattedData!M62^2*$J$6+$M$5*$J$7</f>
        <v>53.246222659329426</v>
      </c>
      <c r="U26" s="39">
        <f>$J$3+[43]FormattedData!N62*$J$4+$M$4*$J$5+[43]FormattedData!N62^2*$J$6+$M$5*$J$7</f>
        <v>52.203400431251822</v>
      </c>
      <c r="V26" s="39">
        <f>$J$3+[43]FormattedData!O62*$J$4+$M$4*$J$5+[43]FormattedData!O62^2*$J$6+$M$5*$J$7</f>
        <v>52.812453097044219</v>
      </c>
      <c r="W26" s="38">
        <f>AVERAGE(K26:V26)</f>
        <v>52.35525500183325</v>
      </c>
      <c r="X26" s="37">
        <f>STDEV(K26:V26)/SQRT(COUNT(K26:V26))</f>
        <v>0.14015091796939075</v>
      </c>
      <c r="Y26" s="36">
        <f>MIN(K26:V26)</f>
        <v>51.767094756690746</v>
      </c>
      <c r="Z26" s="35">
        <f>QUARTILE(K26:V26,1)</f>
        <v>51.941743832128964</v>
      </c>
      <c r="AA26" s="36">
        <f>MEDIAN(K26:V26)</f>
        <v>52.24696759590104</v>
      </c>
      <c r="AB26" s="35">
        <f>QUARTILE(K26:V26,3)</f>
        <v>52.747292558491097</v>
      </c>
      <c r="AC26" s="35">
        <f>MAX(K26:V26)</f>
        <v>53.246222659329426</v>
      </c>
      <c r="AD26" s="35">
        <f>SKEW(K26:V26)</f>
        <v>0.4351349194197357</v>
      </c>
      <c r="AE26" s="35">
        <f>KURT(K26:V26)</f>
        <v>-0.96062342862494177</v>
      </c>
    </row>
    <row r="27" spans="2:31" x14ac:dyDescent="0.2">
      <c r="B27" s="34">
        <f>[43]FormattedData!A64</f>
        <v>302</v>
      </c>
      <c r="C27" s="34" t="str">
        <f>VLOOKUP($B27,[43]TrtCodes!$B$11:I107,2)</f>
        <v>FTL</v>
      </c>
      <c r="D27" s="34">
        <f>VLOOKUP($B27,[43]TrtCodes!$B$11:J107,3)</f>
        <v>4</v>
      </c>
      <c r="E27" s="34">
        <f>VLOOKUP($B27,[43]TrtCodes!$B$11:K107,4)</f>
        <v>1</v>
      </c>
      <c r="F27" s="34">
        <f>VLOOKUP($B27,[43]TrtCodes!$B$11:L107,5)</f>
        <v>2</v>
      </c>
      <c r="G27" s="34">
        <f>VLOOKUP($B27,[43]TrtCodes!$B$11:M107,6)</f>
        <v>1</v>
      </c>
      <c r="H27" s="34">
        <f>VLOOKUP($B27,[43]TrtCodes!$B$11:N107,7)</f>
        <v>3</v>
      </c>
      <c r="I27" s="34">
        <f>[43]FormattedData!B64</f>
        <v>1</v>
      </c>
      <c r="J27" s="37">
        <f>[43]FormattedData!C64</f>
        <v>13.289</v>
      </c>
      <c r="K27" s="39">
        <f>$J$3+[43]FormattedData!D64*$J$4+$M$4*$J$5+[43]FormattedData!D64^2*$J$6+$M$5*$J$7</f>
        <v>52.290534760550251</v>
      </c>
      <c r="L27" s="39">
        <f>$J$3+[43]FormattedData!E64*$J$4+$M$4*$J$5+[43]FormattedData!E64^2*$J$6+$M$5*$J$7</f>
        <v>53.50597717424538</v>
      </c>
      <c r="M27" s="39">
        <f>$J$3+[43]FormattedData!F64*$J$4+$M$4*$J$5+[43]FormattedData!F64^2*$J$6+$M$5*$J$7</f>
        <v>53.332849766172679</v>
      </c>
      <c r="N27" s="39">
        <f>$J$3+[43]FormattedData!G64*$J$4+$M$4*$J$5+[43]FormattedData!G64^2*$J$6+$M$5*$J$7</f>
        <v>52.203400431251822</v>
      </c>
      <c r="O27" s="39">
        <f>$J$3+[43]FormattedData!H64*$J$4+$M$4*$J$5+[43]FormattedData!H64^2*$J$6+$M$5*$J$7</f>
        <v>52.812453097044219</v>
      </c>
      <c r="P27" s="39">
        <f>$J$3+[43]FormattedData!I64*$J$4+$M$4*$J$5+[43]FormattedData!I64^2*$J$6+$M$5*$J$7</f>
        <v>52.464676613533292</v>
      </c>
      <c r="Q27" s="39">
        <f>$J$3+[43]FormattedData!J64*$J$4+$M$4*$J$5+[43]FormattedData!J64^2*$J$6+$M$5*$J$7</f>
        <v>52.116223833415468</v>
      </c>
      <c r="R27" s="39">
        <f>$J$3+[43]FormattedData!K64*$J$4+$M$4*$J$5+[43]FormattedData!K64^2*$J$6+$M$5*$J$7</f>
        <v>51.854440428678828</v>
      </c>
      <c r="S27" s="39">
        <f>$J$3+[43]FormattedData!L64*$J$4+$M$4*$J$5+[43]FormattedData!L64^2*$J$6+$M$5*$J$7</f>
        <v>51.767094756690746</v>
      </c>
      <c r="T27" s="39">
        <f>$J$3+[43]FormattedData!M64*$J$4+$M$4*$J$5+[43]FormattedData!M64^2*$J$6+$M$5*$J$7</f>
        <v>52.203400431251822</v>
      </c>
      <c r="U27" s="39">
        <f>$J$3+[43]FormattedData!N64*$J$4+$M$4*$J$5+[43]FormattedData!N64^2*$J$6+$M$5*$J$7</f>
        <v>51.854440428678828</v>
      </c>
      <c r="V27" s="39">
        <f>$J$3+[43]FormattedData!O64*$J$4+$M$4*$J$5+[43]FormattedData!O64^2*$J$6+$M$5*$J$7</f>
        <v>52.725572378973389</v>
      </c>
      <c r="W27" s="38">
        <f>AVERAGE(K27:V27)</f>
        <v>52.42758867504056</v>
      </c>
      <c r="X27" s="37">
        <f>STDEV(K27:V27)/SQRT(COUNT(K27:V27))</f>
        <v>0.16353603168039887</v>
      </c>
      <c r="Y27" s="36">
        <f>MIN(K27:V27)</f>
        <v>51.767094756690746</v>
      </c>
      <c r="Z27" s="35">
        <f>QUARTILE(K27:V27,1)</f>
        <v>52.05077798223131</v>
      </c>
      <c r="AA27" s="36">
        <f>MEDIAN(K27:V27)</f>
        <v>52.24696759590104</v>
      </c>
      <c r="AB27" s="35">
        <f>QUARTILE(K27:V27,3)</f>
        <v>52.747292558491097</v>
      </c>
      <c r="AC27" s="35">
        <f>MAX(K27:V27)</f>
        <v>53.50597717424538</v>
      </c>
      <c r="AD27" s="35">
        <f>SKEW(K27:V27)</f>
        <v>0.81572438131278047</v>
      </c>
      <c r="AE27" s="35">
        <f>KURT(K27:V27)</f>
        <v>-0.24715254697996114</v>
      </c>
    </row>
    <row r="28" spans="2:31" x14ac:dyDescent="0.2">
      <c r="B28" s="34">
        <f>[43]FormattedData!A66</f>
        <v>303</v>
      </c>
      <c r="C28" s="34" t="str">
        <f>VLOOKUP($B28,[43]TrtCodes!$B$11:I109,2)</f>
        <v>NSL</v>
      </c>
      <c r="D28" s="34">
        <f>VLOOKUP($B28,[43]TrtCodes!$B$11:J109,3)</f>
        <v>8</v>
      </c>
      <c r="E28" s="34">
        <f>VLOOKUP($B28,[43]TrtCodes!$B$11:K109,4)</f>
        <v>2</v>
      </c>
      <c r="F28" s="34">
        <f>VLOOKUP($B28,[43]TrtCodes!$B$11:L109,5)</f>
        <v>1</v>
      </c>
      <c r="G28" s="34">
        <f>VLOOKUP($B28,[43]TrtCodes!$B$11:M109,6)</f>
        <v>1</v>
      </c>
      <c r="H28" s="34">
        <f>VLOOKUP($B28,[43]TrtCodes!$B$11:N109,7)</f>
        <v>3</v>
      </c>
      <c r="I28" s="34">
        <f>[43]FormattedData!B66</f>
        <v>1</v>
      </c>
      <c r="J28" s="37">
        <f>[43]FormattedData!C66</f>
        <v>13.295</v>
      </c>
      <c r="K28" s="39">
        <f>$J$3+[43]FormattedData!D66*$J$4+$M$4*$J$5+[43]FormattedData!D66^2*$J$6+$M$5*$J$7</f>
        <v>52.116223833415468</v>
      </c>
      <c r="L28" s="39">
        <f>$J$3+[43]FormattedData!E66*$J$4+$M$4*$J$5+[43]FormattedData!E66^2*$J$6+$M$5*$J$7</f>
        <v>52.116223833415468</v>
      </c>
      <c r="M28" s="39">
        <f>$J$3+[43]FormattedData!F66*$J$4+$M$4*$J$5+[43]FormattedData!F66^2*$J$6+$M$5*$J$7</f>
        <v>51.854440428678828</v>
      </c>
      <c r="N28" s="39">
        <f>$J$3+[43]FormattedData!G66*$J$4+$M$4*$J$5+[43]FormattedData!G66^2*$J$6+$M$5*$J$7</f>
        <v>51.504804129498922</v>
      </c>
      <c r="O28" s="39">
        <f>$J$3+[43]FormattedData!H66*$J$4+$M$4*$J$5+[43]FormattedData!H66^2*$J$6+$M$5*$J$7</f>
        <v>51.767094756690746</v>
      </c>
      <c r="P28" s="39">
        <f>$J$3+[43]FormattedData!I66*$J$4+$M$4*$J$5+[43]FormattedData!I66^2*$J$6+$M$5*$J$7</f>
        <v>51.242133085465724</v>
      </c>
      <c r="Q28" s="39">
        <f>$J$3+[43]FormattedData!J66*$J$4+$M$4*$J$5+[43]FormattedData!J66^2*$J$6+$M$5*$J$7</f>
        <v>52.290534760550251</v>
      </c>
      <c r="R28" s="39">
        <f>$J$3+[43]FormattedData!K66*$J$4+$M$4*$J$5+[43]FormattedData!K66^2*$J$6+$M$5*$J$7</f>
        <v>51.679706816164732</v>
      </c>
      <c r="S28" s="39">
        <f>$J$3+[43]FormattedData!L66*$J$4+$M$4*$J$5+[43]FormattedData!L66^2*$J$6+$M$5*$J$7</f>
        <v>52.116223833415468</v>
      </c>
      <c r="T28" s="39">
        <f>$J$3+[43]FormattedData!M66*$J$4+$M$4*$J$5+[43]FormattedData!M66^2*$J$6+$M$5*$J$7</f>
        <v>51.679706816164732</v>
      </c>
      <c r="U28" s="39">
        <f>$J$3+[43]FormattedData!N66*$J$4+$M$4*$J$5+[43]FormattedData!N66^2*$J$6+$M$5*$J$7</f>
        <v>51.504804129498922</v>
      </c>
      <c r="V28" s="39">
        <f>$J$3+[43]FormattedData!O66*$J$4+$M$4*$J$5+[43]FormattedData!O66^2*$J$6+$M$5*$J$7</f>
        <v>51.242133085465724</v>
      </c>
      <c r="W28" s="38">
        <f>AVERAGE(K28:V28)</f>
        <v>51.759502459035417</v>
      </c>
      <c r="X28" s="37">
        <f>STDEV(K28:V28)/SQRT(COUNT(K28:V28))</f>
        <v>0.10115379409629806</v>
      </c>
      <c r="Y28" s="36">
        <f>MIN(K28:V28)</f>
        <v>51.242133085465724</v>
      </c>
      <c r="Z28" s="35">
        <f>QUARTILE(K28:V28,1)</f>
        <v>51.504804129498922</v>
      </c>
      <c r="AA28" s="36">
        <f>MEDIAN(K28:V28)</f>
        <v>51.723400786427739</v>
      </c>
      <c r="AB28" s="35">
        <f>QUARTILE(K28:V28,3)</f>
        <v>52.116223833415468</v>
      </c>
      <c r="AC28" s="35">
        <f>MAX(K28:V28)</f>
        <v>52.290534760550251</v>
      </c>
      <c r="AD28" s="35">
        <f>SKEW(K28:V28)</f>
        <v>-6.1480989935471422E-2</v>
      </c>
      <c r="AE28" s="35">
        <f>KURT(K28:V28)</f>
        <v>-1.107057013643971</v>
      </c>
    </row>
    <row r="29" spans="2:31" x14ac:dyDescent="0.2">
      <c r="B29" s="34">
        <f>[43]FormattedData!A68</f>
        <v>304</v>
      </c>
      <c r="C29" s="34" t="str">
        <f>VLOOKUP($B29,[43]TrtCodes!$B$11:I111,2)</f>
        <v>FSL</v>
      </c>
      <c r="D29" s="34">
        <f>VLOOKUP($B29,[43]TrtCodes!$B$11:J111,3)</f>
        <v>2</v>
      </c>
      <c r="E29" s="34">
        <f>VLOOKUP($B29,[43]TrtCodes!$B$11:K111,4)</f>
        <v>1</v>
      </c>
      <c r="F29" s="34">
        <f>VLOOKUP($B29,[43]TrtCodes!$B$11:L111,5)</f>
        <v>1</v>
      </c>
      <c r="G29" s="34">
        <f>VLOOKUP($B29,[43]TrtCodes!$B$11:M111,6)</f>
        <v>1</v>
      </c>
      <c r="H29" s="34">
        <f>VLOOKUP($B29,[43]TrtCodes!$B$11:N111,7)</f>
        <v>3</v>
      </c>
      <c r="I29" s="34">
        <f>[43]FormattedData!B68</f>
        <v>1</v>
      </c>
      <c r="J29" s="37">
        <f>[43]FormattedData!C68</f>
        <v>13.3</v>
      </c>
      <c r="K29" s="39">
        <f>$J$3+[43]FormattedData!D68*$J$4+$M$4*$J$5+[43]FormattedData!D68^2*$J$6+$M$5*$J$7</f>
        <v>52.377626821310734</v>
      </c>
      <c r="L29" s="39">
        <f>$J$3+[43]FormattedData!E68*$J$4+$M$4*$J$5+[43]FormattedData!E68^2*$J$6+$M$5*$J$7</f>
        <v>52.377626821310734</v>
      </c>
      <c r="M29" s="39">
        <f>$J$3+[43]FormattedData!F68*$J$4+$M$4*$J$5+[43]FormattedData!F68^2*$J$6+$M$5*$J$7</f>
        <v>52.986087727572105</v>
      </c>
      <c r="N29" s="39">
        <f>$J$3+[43]FormattedData!G68*$J$4+$M$4*$J$5+[43]FormattedData!G68^2*$J$6+$M$5*$J$7</f>
        <v>52.812453097044219</v>
      </c>
      <c r="O29" s="39">
        <f>$J$3+[43]FormattedData!H68*$J$4+$M$4*$J$5+[43]FormattedData!H68^2*$J$6+$M$5*$J$7</f>
        <v>54.196796065018951</v>
      </c>
      <c r="P29" s="39">
        <f>$J$3+[43]FormattedData!I68*$J$4+$M$4*$J$5+[43]FormattedData!I68^2*$J$6+$M$5*$J$7</f>
        <v>52.899291546577125</v>
      </c>
      <c r="Q29" s="39">
        <f>$J$3+[43]FormattedData!J68*$J$4+$M$4*$J$5+[43]FormattedData!J68^2*$J$6+$M$5*$J$7</f>
        <v>53.765351272319954</v>
      </c>
      <c r="R29" s="39">
        <f>$J$3+[43]FormattedData!K68*$J$4+$M$4*$J$5+[43]FormattedData!K68^2*$J$6+$M$5*$J$7</f>
        <v>52.899291546577125</v>
      </c>
      <c r="S29" s="39">
        <f>$J$3+[43]FormattedData!L68*$J$4+$M$4*$J$5+[43]FormattedData!L68^2*$J$6+$M$5*$J$7</f>
        <v>52.464676613533292</v>
      </c>
      <c r="T29" s="39">
        <f>$J$3+[43]FormattedData!M68*$J$4+$M$4*$J$5+[43]FormattedData!M68^2*$J$6+$M$5*$J$7</f>
        <v>52.812453097044219</v>
      </c>
      <c r="U29" s="39">
        <f>$J$3+[43]FormattedData!N68*$J$4+$M$4*$J$5+[43]FormattedData!N68^2*$J$6+$M$5*$J$7</f>
        <v>52.551684137217919</v>
      </c>
      <c r="V29" s="39">
        <f>$J$3+[43]FormattedData!O68*$J$4+$M$4*$J$5+[43]FormattedData!O68^2*$J$6+$M$5*$J$7</f>
        <v>53.072841640029139</v>
      </c>
      <c r="W29" s="38">
        <f>AVERAGE(K29:V29)</f>
        <v>52.934681698796282</v>
      </c>
      <c r="X29" s="37">
        <f>STDEV(K29:V29)/SQRT(COUNT(K29:V29))</f>
        <v>0.15871816398241539</v>
      </c>
      <c r="Y29" s="36">
        <f>MIN(K29:V29)</f>
        <v>52.377626821310734</v>
      </c>
      <c r="Z29" s="35">
        <f>QUARTILE(K29:V29,1)</f>
        <v>52.52993225629676</v>
      </c>
      <c r="AA29" s="36">
        <f>MEDIAN(K29:V29)</f>
        <v>52.855872321810672</v>
      </c>
      <c r="AB29" s="35">
        <f>QUARTILE(K29:V29,3)</f>
        <v>53.007776205686362</v>
      </c>
      <c r="AC29" s="35">
        <f>MAX(K29:V29)</f>
        <v>54.196796065018951</v>
      </c>
      <c r="AD29" s="35">
        <f>SKEW(K29:V29)</f>
        <v>1.3632041165376783</v>
      </c>
      <c r="AE29" s="35">
        <f>KURT(K29:V29)</f>
        <v>1.6177662673351714</v>
      </c>
    </row>
    <row r="30" spans="2:31" x14ac:dyDescent="0.2">
      <c r="B30" s="34">
        <f>[43]FormattedData!A70</f>
        <v>305</v>
      </c>
      <c r="C30" s="34" t="str">
        <f>VLOOKUP($B30,[43]TrtCodes!$B$11:I113,2)</f>
        <v>NDH</v>
      </c>
      <c r="D30" s="34">
        <f>VLOOKUP($B30,[43]TrtCodes!$B$11:J113,3)</f>
        <v>11</v>
      </c>
      <c r="E30" s="34">
        <f>VLOOKUP($B30,[43]TrtCodes!$B$11:K113,4)</f>
        <v>2</v>
      </c>
      <c r="F30" s="34">
        <f>VLOOKUP($B30,[43]TrtCodes!$B$11:L113,5)</f>
        <v>3</v>
      </c>
      <c r="G30" s="34">
        <f>VLOOKUP($B30,[43]TrtCodes!$B$11:M113,6)</f>
        <v>2</v>
      </c>
      <c r="H30" s="34">
        <f>VLOOKUP($B30,[43]TrtCodes!$B$11:N113,7)</f>
        <v>4</v>
      </c>
      <c r="I30" s="34">
        <f>[43]FormattedData!B70</f>
        <v>1</v>
      </c>
      <c r="J30" s="37">
        <f>[43]FormattedData!C70</f>
        <v>13.305999999999999</v>
      </c>
      <c r="K30" s="39">
        <f>$J$3+[43]FormattedData!D70*$J$4+$M$4*$J$5+[43]FormattedData!D70^2*$J$6+$M$5*$J$7</f>
        <v>54.713134954506017</v>
      </c>
      <c r="L30" s="39">
        <f>$J$3+[43]FormattedData!E70*$J$4+$M$4*$J$5+[43]FormattedData!E70^2*$J$6+$M$5*$J$7</f>
        <v>51.941743832128964</v>
      </c>
      <c r="M30" s="39">
        <f>$J$3+[43]FormattedData!F70*$J$4+$M$4*$J$5+[43]FormattedData!F70^2*$J$6+$M$5*$J$7</f>
        <v>54.110591643555011</v>
      </c>
      <c r="N30" s="39">
        <f>$J$3+[43]FormattedData!G70*$J$4+$M$4*$J$5+[43]FormattedData!G70^2*$J$6+$M$5*$J$7</f>
        <v>55.826649050626834</v>
      </c>
      <c r="O30" s="39">
        <f>$J$3+[43]FormattedData!H70*$J$4+$M$4*$J$5+[43]FormattedData!H70^2*$J$6+$M$5*$J$7</f>
        <v>52.986087727572105</v>
      </c>
      <c r="P30" s="39">
        <f>$J$3+[43]FormattedData!I70*$J$4+$M$4*$J$5+[43]FormattedData!I70^2*$J$6+$M$5*$J$7</f>
        <v>54.713134954506017</v>
      </c>
      <c r="Q30" s="39">
        <f>$J$3+[43]FormattedData!J70*$J$4+$M$4*$J$5+[43]FormattedData!J70^2*$J$6+$M$5*$J$7</f>
        <v>53.332849766172679</v>
      </c>
      <c r="R30" s="39">
        <f>$J$3+[43]FormattedData!K70*$J$4+$M$4*$J$5+[43]FormattedData!K70^2*$J$6+$M$5*$J$7</f>
        <v>54.713134954506017</v>
      </c>
      <c r="S30" s="39">
        <f>$J$3+[43]FormattedData!L70*$J$4+$M$4*$J$5+[43]FormattedData!L70^2*$J$6+$M$5*$J$7</f>
        <v>49.215683455036448</v>
      </c>
      <c r="T30" s="39">
        <f>$J$3+[43]FormattedData!M70*$J$4+$M$4*$J$5+[43]FormattedData!M70^2*$J$6+$M$5*$J$7</f>
        <v>55.227952176627568</v>
      </c>
      <c r="U30" s="39">
        <f>$J$3+[43]FormattedData!N70*$J$4+$M$4*$J$5+[43]FormattedData!N70^2*$J$6+$M$5*$J$7</f>
        <v>50.979081624591146</v>
      </c>
      <c r="V30" s="39">
        <f>$J$3+[43]FormattedData!O70*$J$4+$M$4*$J$5+[43]FormattedData!O70^2*$J$6+$M$5*$J$7</f>
        <v>53.419434604477999</v>
      </c>
      <c r="W30" s="38">
        <f>AVERAGE(K30:V30)</f>
        <v>53.431623228692239</v>
      </c>
      <c r="X30" s="37">
        <f>STDEV(K30:V30)/SQRT(COUNT(K30:V30))</f>
        <v>0.55437664385298202</v>
      </c>
      <c r="Y30" s="36">
        <f>MIN(K30:V30)</f>
        <v>49.215683455036448</v>
      </c>
      <c r="Z30" s="35">
        <f>QUARTILE(K30:V30,1)</f>
        <v>52.725001753711318</v>
      </c>
      <c r="AA30" s="36">
        <f>MEDIAN(K30:V30)</f>
        <v>53.765013124016505</v>
      </c>
      <c r="AB30" s="35">
        <f>QUARTILE(K30:V30,3)</f>
        <v>54.713134954506017</v>
      </c>
      <c r="AC30" s="35">
        <f>MAX(K30:V30)</f>
        <v>55.826649050626834</v>
      </c>
      <c r="AD30" s="35">
        <f>SKEW(K30:V30)</f>
        <v>-1.0307890114773965</v>
      </c>
      <c r="AE30" s="35">
        <f>KURT(K30:V30)</f>
        <v>0.7014176104351515</v>
      </c>
    </row>
    <row r="31" spans="2:31" x14ac:dyDescent="0.2">
      <c r="B31" s="34">
        <f>[43]FormattedData!A72</f>
        <v>306</v>
      </c>
      <c r="C31" s="34" t="str">
        <f>VLOOKUP($B31,[43]TrtCodes!$B$11:I115,2)</f>
        <v>FTL</v>
      </c>
      <c r="D31" s="34">
        <f>VLOOKUP($B31,[43]TrtCodes!$B$11:J115,3)</f>
        <v>4</v>
      </c>
      <c r="E31" s="34">
        <f>VLOOKUP($B31,[43]TrtCodes!$B$11:K115,4)</f>
        <v>1</v>
      </c>
      <c r="F31" s="34">
        <f>VLOOKUP($B31,[43]TrtCodes!$B$11:L115,5)</f>
        <v>2</v>
      </c>
      <c r="G31" s="34">
        <f>VLOOKUP($B31,[43]TrtCodes!$B$11:M115,6)</f>
        <v>1</v>
      </c>
      <c r="H31" s="34">
        <f>VLOOKUP($B31,[43]TrtCodes!$B$11:N115,7)</f>
        <v>4</v>
      </c>
      <c r="I31" s="34">
        <f>[43]FormattedData!B72</f>
        <v>1</v>
      </c>
      <c r="J31" s="37">
        <f>[43]FormattedData!C72</f>
        <v>13.311999999999999</v>
      </c>
      <c r="K31" s="39">
        <f>$J$3+[43]FormattedData!D72*$J$4+$M$4*$J$5+[43]FormattedData!D72^2*$J$6+$M$5*$J$7</f>
        <v>53.072841640029139</v>
      </c>
      <c r="L31" s="39">
        <f>$J$3+[43]FormattedData!E72*$J$4+$M$4*$J$5+[43]FormattedData!E72^2*$J$6+$M$5*$J$7</f>
        <v>53.072841640029139</v>
      </c>
      <c r="M31" s="39">
        <f>$J$3+[43]FormattedData!F72*$J$4+$M$4*$J$5+[43]FormattedData!F72^2*$J$6+$M$5*$J$7</f>
        <v>50.891313267223758</v>
      </c>
      <c r="N31" s="39">
        <f>$J$3+[43]FormattedData!G72*$J$4+$M$4*$J$5+[43]FormattedData!G72^2*$J$6+$M$5*$J$7</f>
        <v>53.332849766172679</v>
      </c>
      <c r="O31" s="39">
        <f>$J$3+[43]FormattedData!H72*$J$4+$M$4*$J$5+[43]FormattedData!H72^2*$J$6+$M$5*$J$7</f>
        <v>53.246222659329426</v>
      </c>
      <c r="P31" s="39">
        <f>$J$3+[43]FormattedData!I72*$J$4+$M$4*$J$5+[43]FormattedData!I72^2*$J$6+$M$5*$J$7</f>
        <v>53.419434604477999</v>
      </c>
      <c r="Q31" s="39">
        <f>$J$3+[43]FormattedData!J72*$J$4+$M$4*$J$5+[43]FormattedData!J72^2*$J$6+$M$5*$J$7</f>
        <v>53.246222659329426</v>
      </c>
      <c r="R31" s="39">
        <f>$J$3+[43]FormattedData!K72*$J$4+$M$4*$J$5+[43]FormattedData!K72^2*$J$6+$M$5*$J$7</f>
        <v>53.332849766172679</v>
      </c>
      <c r="S31" s="39">
        <f>$J$3+[43]FormattedData!L72*$J$4+$M$4*$J$5+[43]FormattedData!L72^2*$J$6+$M$5*$J$7</f>
        <v>52.203400431251822</v>
      </c>
      <c r="T31" s="39">
        <f>$J$3+[43]FormattedData!M72*$J$4+$M$4*$J$5+[43]FormattedData!M72^2*$J$6+$M$5*$J$7</f>
        <v>53.159553283948256</v>
      </c>
      <c r="U31" s="39">
        <f>$J$3+[43]FormattedData!N72*$J$4+$M$4*$J$5+[43]FormattedData!N72^2*$J$6+$M$5*$J$7</f>
        <v>52.464676613533292</v>
      </c>
      <c r="V31" s="39">
        <f>$J$3+[43]FormattedData!O72*$J$4+$M$4*$J$5+[43]FormattedData!O72^2*$J$6+$M$5*$J$7</f>
        <v>52.725572378973389</v>
      </c>
      <c r="W31" s="38">
        <f>AVERAGE(K31:V31)</f>
        <v>52.847314892539252</v>
      </c>
      <c r="X31" s="37">
        <f>STDEV(K31:V31)/SQRT(COUNT(K31:V31))</f>
        <v>0.20813171327286795</v>
      </c>
      <c r="Y31" s="36">
        <f>MIN(K31:V31)</f>
        <v>50.891313267223758</v>
      </c>
      <c r="Z31" s="35">
        <f>QUARTILE(K31:V31,1)</f>
        <v>52.660348437613365</v>
      </c>
      <c r="AA31" s="36">
        <f>MEDIAN(K31:V31)</f>
        <v>53.116197461988698</v>
      </c>
      <c r="AB31" s="35">
        <f>QUARTILE(K31:V31,3)</f>
        <v>53.267879436040239</v>
      </c>
      <c r="AC31" s="35">
        <f>MAX(K31:V31)</f>
        <v>53.419434604477999</v>
      </c>
      <c r="AD31" s="35">
        <f>SKEW(K31:V31)</f>
        <v>-2.0991697062466574</v>
      </c>
      <c r="AE31" s="35">
        <f>KURT(K31:V31)</f>
        <v>4.7808589029193787</v>
      </c>
    </row>
    <row r="32" spans="2:31" x14ac:dyDescent="0.2">
      <c r="B32" s="34">
        <f>[43]FormattedData!A74</f>
        <v>307</v>
      </c>
      <c r="C32" s="34" t="str">
        <f>VLOOKUP($B32,[43]TrtCodes!$B$11:I117,2)</f>
        <v>NTH</v>
      </c>
      <c r="D32" s="34">
        <f>VLOOKUP($B32,[43]TrtCodes!$B$11:J117,3)</f>
        <v>9</v>
      </c>
      <c r="E32" s="34">
        <f>VLOOKUP($B32,[43]TrtCodes!$B$11:K117,4)</f>
        <v>2</v>
      </c>
      <c r="F32" s="34">
        <f>VLOOKUP($B32,[43]TrtCodes!$B$11:L117,5)</f>
        <v>2</v>
      </c>
      <c r="G32" s="34">
        <f>VLOOKUP($B32,[43]TrtCodes!$B$11:M117,6)</f>
        <v>2</v>
      </c>
      <c r="H32" s="34">
        <f>VLOOKUP($B32,[43]TrtCodes!$B$11:N117,7)</f>
        <v>4</v>
      </c>
      <c r="I32" s="34">
        <f>[43]FormattedData!B74</f>
        <v>1</v>
      </c>
      <c r="J32" s="37">
        <f>[43]FormattedData!C74</f>
        <v>13.317</v>
      </c>
      <c r="K32" s="39">
        <f>$J$3+[43]FormattedData!D74*$J$4+$M$4*$J$5+[43]FormattedData!D74^2*$J$6+$M$5*$J$7</f>
        <v>53.765351272319954</v>
      </c>
      <c r="L32" s="39">
        <f>$J$3+[43]FormattedData!E74*$J$4+$M$4*$J$5+[43]FormattedData!E74^2*$J$6+$M$5*$J$7</f>
        <v>53.419434604477999</v>
      </c>
      <c r="M32" s="39">
        <f>$J$3+[43]FormattedData!F74*$J$4+$M$4*$J$5+[43]FormattedData!F74^2*$J$6+$M$5*$J$7</f>
        <v>52.203400431251822</v>
      </c>
      <c r="N32" s="39">
        <f>$J$3+[43]FormattedData!G74*$J$4+$M$4*$J$5+[43]FormattedData!G74^2*$J$6+$M$5*$J$7</f>
        <v>53.419434604477999</v>
      </c>
      <c r="O32" s="39">
        <f>$J$3+[43]FormattedData!H74*$J$4+$M$4*$J$5+[43]FormattedData!H74^2*$J$6+$M$5*$J$7</f>
        <v>51.329732368681391</v>
      </c>
      <c r="P32" s="39">
        <f>$J$3+[43]FormattedData!I74*$J$4+$M$4*$J$5+[43]FormattedData!I74^2*$J$6+$M$5*$J$7</f>
        <v>53.159553283948256</v>
      </c>
      <c r="Q32" s="39">
        <f>$J$3+[43]FormattedData!J74*$J$4+$M$4*$J$5+[43]FormattedData!J74^2*$J$6+$M$5*$J$7</f>
        <v>50.539817152374887</v>
      </c>
      <c r="R32" s="39">
        <f>$J$3+[43]FormattedData!K74*$J$4+$M$4*$J$5+[43]FormattedData!K74^2*$J$6+$M$5*$J$7</f>
        <v>53.246222659329426</v>
      </c>
      <c r="S32" s="39">
        <f>$J$3+[43]FormattedData!L74*$J$4+$M$4*$J$5+[43]FormattedData!L74^2*$J$6+$M$5*$J$7</f>
        <v>51.941743832128964</v>
      </c>
      <c r="T32" s="39">
        <f>$J$3+[43]FormattedData!M74*$J$4+$M$4*$J$5+[43]FormattedData!M74^2*$J$6+$M$5*$J$7</f>
        <v>54.110591643555011</v>
      </c>
      <c r="U32" s="39">
        <f>$J$3+[43]FormattedData!N74*$J$4+$M$4*$J$5+[43]FormattedData!N74^2*$J$6+$M$5*$J$7</f>
        <v>52.464676613533292</v>
      </c>
      <c r="V32" s="39">
        <f>$J$3+[43]FormattedData!O74*$J$4+$M$4*$J$5+[43]FormattedData!O74^2*$J$6+$M$5*$J$7</f>
        <v>50.803502641318431</v>
      </c>
      <c r="W32" s="38">
        <f>AVERAGE(K32:V32)</f>
        <v>52.533621758949778</v>
      </c>
      <c r="X32" s="37">
        <f>STDEV(K32:V32)/SQRT(COUNT(K32:V32))</f>
        <v>0.341065047513464</v>
      </c>
      <c r="Y32" s="36">
        <f>MIN(K32:V32)</f>
        <v>50.539817152374887</v>
      </c>
      <c r="Z32" s="35">
        <f>QUARTILE(K32:V32,1)</f>
        <v>51.788740966267071</v>
      </c>
      <c r="AA32" s="36">
        <f>MEDIAN(K32:V32)</f>
        <v>52.812114948740771</v>
      </c>
      <c r="AB32" s="35">
        <f>QUARTILE(K32:V32,3)</f>
        <v>53.419434604477999</v>
      </c>
      <c r="AC32" s="35">
        <f>MAX(K32:V32)</f>
        <v>54.110591643555011</v>
      </c>
      <c r="AD32" s="35">
        <f>SKEW(K32:V32)</f>
        <v>-0.48323768844721832</v>
      </c>
      <c r="AE32" s="35">
        <f>KURT(K32:V32)</f>
        <v>-1.0309617262479573</v>
      </c>
    </row>
    <row r="33" spans="2:31" x14ac:dyDescent="0.2">
      <c r="B33" s="34">
        <f>[43]FormattedData!A76</f>
        <v>308</v>
      </c>
      <c r="C33" s="34" t="str">
        <f>VLOOKUP($B33,[43]TrtCodes!$B$11:I119,2)</f>
        <v>FDH</v>
      </c>
      <c r="D33" s="34">
        <f>VLOOKUP($B33,[43]TrtCodes!$B$11:J119,3)</f>
        <v>5</v>
      </c>
      <c r="E33" s="34">
        <f>VLOOKUP($B33,[43]TrtCodes!$B$11:K119,4)</f>
        <v>1</v>
      </c>
      <c r="F33" s="34">
        <f>VLOOKUP($B33,[43]TrtCodes!$B$11:L119,5)</f>
        <v>3</v>
      </c>
      <c r="G33" s="34">
        <f>VLOOKUP($B33,[43]TrtCodes!$B$11:M119,6)</f>
        <v>2</v>
      </c>
      <c r="H33" s="34">
        <f>VLOOKUP($B33,[43]TrtCodes!$B$11:N119,7)</f>
        <v>4</v>
      </c>
      <c r="I33" s="34">
        <f>[43]FormattedData!B76</f>
        <v>1</v>
      </c>
      <c r="J33" s="37">
        <f>[43]FormattedData!C76</f>
        <v>13.321999999999999</v>
      </c>
      <c r="K33" s="39">
        <f>$J$3+[43]FormattedData!D76*$J$4+$M$4*$J$5+[43]FormattedData!D76^2*$J$6+$M$5*$J$7</f>
        <v>51.941743832128964</v>
      </c>
      <c r="L33" s="39">
        <f>$J$3+[43]FormattedData!E76*$J$4+$M$4*$J$5+[43]FormattedData!E76^2*$J$6+$M$5*$J$7</f>
        <v>53.851724767935622</v>
      </c>
      <c r="M33" s="39">
        <f>$J$3+[43]FormattedData!F76*$J$4+$M$4*$J$5+[43]FormattedData!F76^2*$J$6+$M$5*$J$7</f>
        <v>46.808276538820287</v>
      </c>
      <c r="N33" s="39">
        <f>$J$3+[43]FormattedData!G76*$J$4+$M$4*$J$5+[43]FormattedData!G76^2*$J$6+$M$5*$J$7</f>
        <v>53.246222659329426</v>
      </c>
      <c r="O33" s="39">
        <f>$J$3+[43]FormattedData!H76*$J$4+$M$4*$J$5+[43]FormattedData!H76^2*$J$6+$M$5*$J$7</f>
        <v>45.908824668111862</v>
      </c>
      <c r="P33" s="39">
        <f>$J$3+[43]FormattedData!I76*$J$4+$M$4*$J$5+[43]FormattedData!I76^2*$J$6+$M$5*$J$7</f>
        <v>53.678935508166354</v>
      </c>
      <c r="Q33" s="39">
        <f>$J$3+[43]FormattedData!J76*$J$4+$M$4*$J$5+[43]FormattedData!J76^2*$J$6+$M$5*$J$7</f>
        <v>49.746478184495963</v>
      </c>
      <c r="R33" s="39">
        <f>$J$3+[43]FormattedData!K76*$J$4+$M$4*$J$5+[43]FormattedData!K76^2*$J$6+$M$5*$J$7</f>
        <v>51.417289383359119</v>
      </c>
      <c r="S33" s="39">
        <f>$J$3+[43]FormattedData!L76*$J$4+$M$4*$J$5+[43]FormattedData!L76^2*$J$6+$M$5*$J$7</f>
        <v>50.451837452317847</v>
      </c>
      <c r="T33" s="39">
        <f>$J$3+[43]FormattedData!M76*$J$4+$M$4*$J$5+[43]FormattedData!M76^2*$J$6+$M$5*$J$7</f>
        <v>52.899291546577125</v>
      </c>
      <c r="U33" s="39">
        <f>$J$3+[43]FormattedData!N76*$J$4+$M$4*$J$5+[43]FormattedData!N76^2*$J$6+$M$5*$J$7</f>
        <v>48.772192129027076</v>
      </c>
      <c r="V33" s="39">
        <f>$J$3+[43]FormattedData!O76*$J$4+$M$4*$J$5+[43]FormattedData!O76^2*$J$6+$M$5*$J$7</f>
        <v>51.504804129498922</v>
      </c>
      <c r="W33" s="38">
        <f>AVERAGE(K33:V33)</f>
        <v>50.852301733314043</v>
      </c>
      <c r="X33" s="37">
        <f>STDEV(K33:V33)/SQRT(COUNT(K33:V33))</f>
        <v>0.75549228801477619</v>
      </c>
      <c r="Y33" s="36">
        <f>MIN(K33:V33)</f>
        <v>45.908824668111862</v>
      </c>
      <c r="Z33" s="35">
        <f>QUARTILE(K33:V33,1)</f>
        <v>49.50290667062874</v>
      </c>
      <c r="AA33" s="36">
        <f>MEDIAN(K33:V33)</f>
        <v>51.46104675642902</v>
      </c>
      <c r="AB33" s="35">
        <f>QUARTILE(K33:V33,3)</f>
        <v>52.986024324765197</v>
      </c>
      <c r="AC33" s="35">
        <f>MAX(K33:V33)</f>
        <v>53.851724767935622</v>
      </c>
      <c r="AD33" s="35">
        <f>SKEW(K33:V33)</f>
        <v>-0.75310524003980417</v>
      </c>
      <c r="AE33" s="35">
        <f>KURT(K33:V33)</f>
        <v>-0.39965320279263183</v>
      </c>
    </row>
    <row r="34" spans="2:31" x14ac:dyDescent="0.2">
      <c r="B34" s="34">
        <f>[43]FormattedData!A92</f>
        <v>401</v>
      </c>
      <c r="C34" s="34" t="str">
        <f>VLOOKUP($B34,[43]TrtCodes!$B$11:I129,2)</f>
        <v>NSH</v>
      </c>
      <c r="D34" s="34">
        <f>VLOOKUP($B34,[43]TrtCodes!$B$11:J129,3)</f>
        <v>7</v>
      </c>
      <c r="E34" s="34">
        <f>VLOOKUP($B34,[43]TrtCodes!$B$11:K129,4)</f>
        <v>2</v>
      </c>
      <c r="F34" s="34">
        <f>VLOOKUP($B34,[43]TrtCodes!$B$11:L129,5)</f>
        <v>1</v>
      </c>
      <c r="G34" s="34">
        <f>VLOOKUP($B34,[43]TrtCodes!$B$11:M129,6)</f>
        <v>2</v>
      </c>
      <c r="H34" s="34">
        <f>VLOOKUP($B34,[43]TrtCodes!$B$11:N129,7)</f>
        <v>3</v>
      </c>
      <c r="I34" s="34">
        <f>[43]FormattedData!B92</f>
        <v>1</v>
      </c>
      <c r="J34" s="37">
        <f>[43]FormattedData!C92</f>
        <v>13.4</v>
      </c>
      <c r="K34" s="39">
        <f>$J$3+[43]FormattedData!D92*$J$4+$M$4*$J$5+[43]FormattedData!D92^2*$J$6+$M$5*$J$7</f>
        <v>52.725572378973389</v>
      </c>
      <c r="L34" s="39">
        <f>$J$3+[43]FormattedData!E92*$J$4+$M$4*$J$5+[43]FormattedData!E92^2*$J$6+$M$5*$J$7</f>
        <v>52.290534760550251</v>
      </c>
      <c r="M34" s="39">
        <f>$J$3+[43]FormattedData!F92*$J$4+$M$4*$J$5+[43]FormattedData!F92^2*$J$6+$M$5*$J$7</f>
        <v>53.246222659329426</v>
      </c>
      <c r="N34" s="39">
        <f>$J$3+[43]FormattedData!G92*$J$4+$M$4*$J$5+[43]FormattedData!G92^2*$J$6+$M$5*$J$7</f>
        <v>52.290534760550251</v>
      </c>
      <c r="O34" s="39">
        <f>$J$3+[43]FormattedData!H92*$J$4+$M$4*$J$5+[43]FormattedData!H92^2*$J$6+$M$5*$J$7</f>
        <v>52.116223833415468</v>
      </c>
      <c r="P34" s="39">
        <f>$J$3+[43]FormattedData!I92*$J$4+$M$4*$J$5+[43]FormattedData!I92^2*$J$6+$M$5*$J$7</f>
        <v>51.5922766071008</v>
      </c>
      <c r="Q34" s="39">
        <f>$J$3+[43]FormattedData!J92*$J$4+$M$4*$J$5+[43]FormattedData!J92^2*$J$6+$M$5*$J$7</f>
        <v>53.072841640029139</v>
      </c>
      <c r="R34" s="39">
        <f>$J$3+[43]FormattedData!K92*$J$4+$M$4*$J$5+[43]FormattedData!K92^2*$J$6+$M$5*$J$7</f>
        <v>51.854440428678828</v>
      </c>
      <c r="S34" s="39">
        <f>$J$3+[43]FormattedData!L92*$J$4+$M$4*$J$5+[43]FormattedData!L92^2*$J$6+$M$5*$J$7</f>
        <v>52.116223833415468</v>
      </c>
      <c r="T34" s="39">
        <f>$J$3+[43]FormattedData!M92*$J$4+$M$4*$J$5+[43]FormattedData!M92^2*$J$6+$M$5*$J$7</f>
        <v>51.504804129498922</v>
      </c>
      <c r="U34" s="39">
        <f>$J$3+[43]FormattedData!N92*$J$4+$M$4*$J$5+[43]FormattedData!N92^2*$J$6+$M$5*$J$7</f>
        <v>50.627754583893996</v>
      </c>
      <c r="V34" s="39">
        <f>$J$3+[43]FormattedData!O92*$J$4+$M$4*$J$5+[43]FormattedData!O92^2*$J$6+$M$5*$J$7</f>
        <v>51.329732368681391</v>
      </c>
      <c r="W34" s="38">
        <f>AVERAGE(K34:V34)</f>
        <v>52.063930165343116</v>
      </c>
      <c r="X34" s="37">
        <f>STDEV(K34:V34)/SQRT(COUNT(K34:V34))</f>
        <v>0.21571355379911156</v>
      </c>
      <c r="Y34" s="36">
        <f>MIN(K34:V34)</f>
        <v>50.627754583893996</v>
      </c>
      <c r="Z34" s="35">
        <f>QUARTILE(K34:V34,1)</f>
        <v>51.570408487700334</v>
      </c>
      <c r="AA34" s="36">
        <f>MEDIAN(K34:V34)</f>
        <v>52.116223833415468</v>
      </c>
      <c r="AB34" s="35">
        <f>QUARTILE(K34:V34,3)</f>
        <v>52.399294165156036</v>
      </c>
      <c r="AC34" s="35">
        <f>MAX(K34:V34)</f>
        <v>53.246222659329426</v>
      </c>
      <c r="AD34" s="35">
        <f>SKEW(K34:V34)</f>
        <v>-0.17102022865638339</v>
      </c>
      <c r="AE34" s="35">
        <f>KURT(K34:V34)</f>
        <v>-5.0450870367772627E-2</v>
      </c>
    </row>
    <row r="35" spans="2:31" x14ac:dyDescent="0.2">
      <c r="B35" s="34">
        <f>[43]FormattedData!A90</f>
        <v>402</v>
      </c>
      <c r="C35" s="34" t="str">
        <f>VLOOKUP($B35,[43]TrtCodes!$B$11:I130,2)</f>
        <v>NTH</v>
      </c>
      <c r="D35" s="34">
        <f>VLOOKUP($B35,[43]TrtCodes!$B$11:J130,3)</f>
        <v>9</v>
      </c>
      <c r="E35" s="34">
        <f>VLOOKUP($B35,[43]TrtCodes!$B$11:K130,4)</f>
        <v>2</v>
      </c>
      <c r="F35" s="34">
        <f>VLOOKUP($B35,[43]TrtCodes!$B$11:L130,5)</f>
        <v>2</v>
      </c>
      <c r="G35" s="34">
        <f>VLOOKUP($B35,[43]TrtCodes!$B$11:M130,6)</f>
        <v>2</v>
      </c>
      <c r="H35" s="34">
        <f>VLOOKUP($B35,[43]TrtCodes!$B$11:N130,7)</f>
        <v>3</v>
      </c>
      <c r="I35" s="34">
        <f>[43]FormattedData!B90</f>
        <v>1</v>
      </c>
      <c r="J35" s="37">
        <f>[43]FormattedData!C90</f>
        <v>13.391</v>
      </c>
      <c r="K35" s="39">
        <f>$J$3+[43]FormattedData!D90*$J$4+$M$4*$J$5+[43]FormattedData!D90^2*$J$6+$M$5*$J$7</f>
        <v>51.767094756690746</v>
      </c>
      <c r="L35" s="39">
        <f>$J$3+[43]FormattedData!E90*$J$4+$M$4*$J$5+[43]FormattedData!E90^2*$J$6+$M$5*$J$7</f>
        <v>52.377626821310734</v>
      </c>
      <c r="M35" s="39">
        <f>$J$3+[43]FormattedData!F90*$J$4+$M$4*$J$5+[43]FormattedData!F90^2*$J$6+$M$5*$J$7</f>
        <v>52.029004967041189</v>
      </c>
      <c r="N35" s="39">
        <f>$J$3+[43]FormattedData!G90*$J$4+$M$4*$J$5+[43]FormattedData!G90^2*$J$6+$M$5*$J$7</f>
        <v>52.812453097044219</v>
      </c>
      <c r="O35" s="39">
        <f>$J$3+[43]FormattedData!H90*$J$4+$M$4*$J$5+[43]FormattedData!H90^2*$J$6+$M$5*$J$7</f>
        <v>51.5922766071008</v>
      </c>
      <c r="P35" s="39">
        <f>$J$3+[43]FormattedData!I90*$J$4+$M$4*$J$5+[43]FormattedData!I90^2*$J$6+$M$5*$J$7</f>
        <v>52.377626821310734</v>
      </c>
      <c r="Q35" s="39">
        <f>$J$3+[43]FormattedData!J90*$J$4+$M$4*$J$5+[43]FormattedData!J90^2*$J$6+$M$5*$J$7</f>
        <v>51.154491533712132</v>
      </c>
      <c r="R35" s="39">
        <f>$J$3+[43]FormattedData!K90*$J$4+$M$4*$J$5+[43]FormattedData!K90^2*$J$6+$M$5*$J$7</f>
        <v>52.290534760550251</v>
      </c>
      <c r="S35" s="39">
        <f>$J$3+[43]FormattedData!L90*$J$4+$M$4*$J$5+[43]FormattedData!L90^2*$J$6+$M$5*$J$7</f>
        <v>49.746478184495963</v>
      </c>
      <c r="T35" s="39">
        <f>$J$3+[43]FormattedData!M90*$J$4+$M$4*$J$5+[43]FormattedData!M90^2*$J$6+$M$5*$J$7</f>
        <v>51.767094756690746</v>
      </c>
      <c r="U35" s="39">
        <f>$J$3+[43]FormattedData!N90*$J$4+$M$4*$J$5+[43]FormattedData!N90^2*$J$6+$M$5*$J$7</f>
        <v>51.941743832128964</v>
      </c>
      <c r="V35" s="39">
        <f>$J$3+[43]FormattedData!O90*$J$4+$M$4*$J$5+[43]FormattedData!O90^2*$J$6+$M$5*$J$7</f>
        <v>51.854440428678828</v>
      </c>
      <c r="W35" s="38">
        <f>AVERAGE(K35:V35)</f>
        <v>51.809238880562937</v>
      </c>
      <c r="X35" s="37">
        <f>STDEV(K35:V35)/SQRT(COUNT(K35:V35))</f>
        <v>0.22506586115920499</v>
      </c>
      <c r="Y35" s="36">
        <f>MIN(K35:V35)</f>
        <v>49.746478184495963</v>
      </c>
      <c r="Z35" s="35">
        <f>QUARTILE(K35:V35,1)</f>
        <v>51.723390219293258</v>
      </c>
      <c r="AA35" s="36">
        <f>MEDIAN(K35:V35)</f>
        <v>51.898092130403896</v>
      </c>
      <c r="AB35" s="35">
        <f>QUARTILE(K35:V35,3)</f>
        <v>52.312307775740372</v>
      </c>
      <c r="AC35" s="35">
        <f>MAX(K35:V35)</f>
        <v>52.812453097044219</v>
      </c>
      <c r="AD35" s="35">
        <f>SKEW(K35:V35)</f>
        <v>-1.741763193641755</v>
      </c>
      <c r="AE35" s="35">
        <f>KURT(K35:V35)</f>
        <v>4.3121865515461479</v>
      </c>
    </row>
    <row r="36" spans="2:31" x14ac:dyDescent="0.2">
      <c r="B36" s="34">
        <f>[43]FormattedData!A88</f>
        <v>403</v>
      </c>
      <c r="C36" s="34" t="str">
        <f>VLOOKUP($B36,[43]TrtCodes!$B$11:I131,2)</f>
        <v>FDL</v>
      </c>
      <c r="D36" s="34">
        <f>VLOOKUP($B36,[43]TrtCodes!$B$11:J131,3)</f>
        <v>6</v>
      </c>
      <c r="E36" s="34">
        <f>VLOOKUP($B36,[43]TrtCodes!$B$11:K131,4)</f>
        <v>1</v>
      </c>
      <c r="F36" s="34">
        <f>VLOOKUP($B36,[43]TrtCodes!$B$11:L131,5)</f>
        <v>3</v>
      </c>
      <c r="G36" s="34">
        <f>VLOOKUP($B36,[43]TrtCodes!$B$11:M131,6)</f>
        <v>1</v>
      </c>
      <c r="H36" s="34">
        <f>VLOOKUP($B36,[43]TrtCodes!$B$11:N131,7)</f>
        <v>3</v>
      </c>
      <c r="I36" s="34">
        <f>[43]FormattedData!B88</f>
        <v>1</v>
      </c>
      <c r="J36" s="37">
        <f>[43]FormattedData!C88</f>
        <v>13.382</v>
      </c>
      <c r="K36" s="39">
        <f>$J$3+[43]FormattedData!D88*$J$4+$M$4*$J$5+[43]FormattedData!D88^2*$J$6+$M$5*$J$7</f>
        <v>53.246222659329426</v>
      </c>
      <c r="L36" s="39">
        <f>$J$3+[43]FormattedData!E88*$J$4+$M$4*$J$5+[43]FormattedData!E88^2*$J$6+$M$5*$J$7</f>
        <v>50.363815483722867</v>
      </c>
      <c r="M36" s="39">
        <f>$J$3+[43]FormattedData!F88*$J$4+$M$4*$J$5+[43]FormattedData!F88^2*$J$6+$M$5*$J$7</f>
        <v>52.812453097044219</v>
      </c>
      <c r="N36" s="39">
        <f>$J$3+[43]FormattedData!G88*$J$4+$M$4*$J$5+[43]FormattedData!G88^2*$J$6+$M$5*$J$7</f>
        <v>53.678935508166354</v>
      </c>
      <c r="O36" s="39">
        <f>$J$3+[43]FormattedData!H88*$J$4+$M$4*$J$5+[43]FormattedData!H88^2*$J$6+$M$5*$J$7</f>
        <v>50.011304923963657</v>
      </c>
      <c r="P36" s="39">
        <f>$J$3+[43]FormattedData!I88*$J$4+$M$4*$J$5+[43]FormattedData!I88^2*$J$6+$M$5*$J$7</f>
        <v>52.63864939236462</v>
      </c>
      <c r="Q36" s="39">
        <f>$J$3+[43]FormattedData!J88*$J$4+$M$4*$J$5+[43]FormattedData!J88^2*$J$6+$M$5*$J$7</f>
        <v>48.949715465044612</v>
      </c>
      <c r="R36" s="39">
        <f>$J$3+[43]FormattedData!K88*$J$4+$M$4*$J$5+[43]FormattedData!K88^2*$J$6+$M$5*$J$7</f>
        <v>53.159553283948256</v>
      </c>
      <c r="S36" s="39">
        <f>$J$3+[43]FormattedData!L88*$J$4+$M$4*$J$5+[43]FormattedData!L88^2*$J$6+$M$5*$J$7</f>
        <v>52.203400431251822</v>
      </c>
      <c r="T36" s="39">
        <f>$J$3+[43]FormattedData!M88*$J$4+$M$4*$J$5+[43]FormattedData!M88^2*$J$6+$M$5*$J$7</f>
        <v>51.679706816164732</v>
      </c>
      <c r="U36" s="39">
        <f>$J$3+[43]FormattedData!N88*$J$4+$M$4*$J$5+[43]FormattedData!N88^2*$J$6+$M$5*$J$7</f>
        <v>52.290534760550251</v>
      </c>
      <c r="V36" s="39">
        <f>$J$3+[43]FormattedData!O88*$J$4+$M$4*$J$5+[43]FormattedData!O88^2*$J$6+$M$5*$J$7</f>
        <v>51.242133085465724</v>
      </c>
      <c r="W36" s="38">
        <f>AVERAGE(K36:V36)</f>
        <v>51.856368742251384</v>
      </c>
      <c r="X36" s="37">
        <f>STDEV(K36:V36)/SQRT(COUNT(K36:V36))</f>
        <v>0.41991908298432956</v>
      </c>
      <c r="Y36" s="36">
        <f>MIN(K36:V36)</f>
        <v>48.949715465044612</v>
      </c>
      <c r="Z36" s="35">
        <f>QUARTILE(K36:V36,1)</f>
        <v>51.022553685030012</v>
      </c>
      <c r="AA36" s="36">
        <f>MEDIAN(K36:V36)</f>
        <v>52.24696759590104</v>
      </c>
      <c r="AB36" s="35">
        <f>QUARTILE(K36:V36,3)</f>
        <v>52.89922814377023</v>
      </c>
      <c r="AC36" s="35">
        <f>MAX(K36:V36)</f>
        <v>53.678935508166354</v>
      </c>
      <c r="AD36" s="35">
        <f>SKEW(K36:V36)</f>
        <v>-0.77874101212619495</v>
      </c>
      <c r="AE36" s="35">
        <f>KURT(K36:V36)</f>
        <v>-0.26816797523861968</v>
      </c>
    </row>
    <row r="37" spans="2:31" x14ac:dyDescent="0.2">
      <c r="B37" s="34">
        <f>[43]FormattedData!A86</f>
        <v>404</v>
      </c>
      <c r="C37" s="34" t="str">
        <f>VLOOKUP($B37,[43]TrtCodes!$B$11:I129,2)</f>
        <v>FTH</v>
      </c>
      <c r="D37" s="34">
        <f>VLOOKUP($B37,[43]TrtCodes!$B$11:J129,3)</f>
        <v>3</v>
      </c>
      <c r="E37" s="34">
        <f>VLOOKUP($B37,[43]TrtCodes!$B$11:K129,4)</f>
        <v>1</v>
      </c>
      <c r="F37" s="34">
        <f>VLOOKUP($B37,[43]TrtCodes!$B$11:L129,5)</f>
        <v>2</v>
      </c>
      <c r="G37" s="34">
        <f>VLOOKUP($B37,[43]TrtCodes!$B$11:M129,6)</f>
        <v>2</v>
      </c>
      <c r="H37" s="34">
        <f>VLOOKUP($B37,[43]TrtCodes!$B$11:N129,7)</f>
        <v>3</v>
      </c>
      <c r="I37" s="34">
        <f>[43]FormattedData!B86</f>
        <v>1</v>
      </c>
      <c r="J37" s="37">
        <f>[43]FormattedData!C86</f>
        <v>13.372999999999999</v>
      </c>
      <c r="K37" s="39">
        <f>$J$3+[43]FormattedData!D86*$J$4+$M$4*$J$5+[43]FormattedData!D86^2*$J$6+$M$5*$J$7</f>
        <v>52.899291546577125</v>
      </c>
      <c r="L37" s="39">
        <f>$J$3+[43]FormattedData!E86*$J$4+$M$4*$J$5+[43]FormattedData!E86^2*$J$6+$M$5*$J$7</f>
        <v>52.899291546577125</v>
      </c>
      <c r="M37" s="39">
        <f>$J$3+[43]FormattedData!F86*$J$4+$M$4*$J$5+[43]FormattedData!F86^2*$J$6+$M$5*$J$7</f>
        <v>50.803502641318431</v>
      </c>
      <c r="N37" s="39">
        <f>$J$3+[43]FormattedData!G86*$J$4+$M$4*$J$5+[43]FormattedData!G86^2*$J$6+$M$5*$J$7</f>
        <v>52.551684137217919</v>
      </c>
      <c r="O37" s="39">
        <f>$J$3+[43]FormattedData!H86*$J$4+$M$4*$J$5+[43]FormattedData!H86^2*$J$6+$M$5*$J$7</f>
        <v>48.416638234536805</v>
      </c>
      <c r="P37" s="39">
        <f>$J$3+[43]FormattedData!I86*$J$4+$M$4*$J$5+[43]FormattedData!I86^2*$J$6+$M$5*$J$7</f>
        <v>53.072841640029139</v>
      </c>
      <c r="Q37" s="39">
        <f>$J$3+[43]FormattedData!J86*$J$4+$M$4*$J$5+[43]FormattedData!J86^2*$J$6+$M$5*$J$7</f>
        <v>52.899291546577125</v>
      </c>
      <c r="R37" s="39">
        <f>$J$3+[43]FormattedData!K86*$J$4+$M$4*$J$5+[43]FormattedData!K86^2*$J$6+$M$5*$J$7</f>
        <v>52.464676613533292</v>
      </c>
      <c r="S37" s="39">
        <f>$J$3+[43]FormattedData!L86*$J$4+$M$4*$J$5+[43]FormattedData!L86^2*$J$6+$M$5*$J$7</f>
        <v>47.882039336663496</v>
      </c>
      <c r="T37" s="39">
        <f>$J$3+[43]FormattedData!M86*$J$4+$M$4*$J$5+[43]FormattedData!M86^2*$J$6+$M$5*$J$7</f>
        <v>52.551684137217919</v>
      </c>
      <c r="U37" s="39">
        <f>$J$3+[43]FormattedData!N86*$J$4+$M$4*$J$5+[43]FormattedData!N86^2*$J$6+$M$5*$J$7</f>
        <v>49.746478184495963</v>
      </c>
      <c r="V37" s="39">
        <f>$J$3+[43]FormattedData!O86*$J$4+$M$4*$J$5+[43]FormattedData!O86^2*$J$6+$M$5*$J$7</f>
        <v>52.290534760550251</v>
      </c>
      <c r="W37" s="38">
        <f>AVERAGE(K37:V37)</f>
        <v>51.539829527107877</v>
      </c>
      <c r="X37" s="37">
        <f>STDEV(K37:V37)/SQRT(COUNT(K37:V37))</f>
        <v>0.53832777217113981</v>
      </c>
      <c r="Y37" s="36">
        <f>MIN(K37:V37)</f>
        <v>47.882039336663496</v>
      </c>
      <c r="Z37" s="35">
        <f>QUARTILE(K37:V37,1)</f>
        <v>50.539246527112816</v>
      </c>
      <c r="AA37" s="36">
        <f>MEDIAN(K37:V37)</f>
        <v>52.508180375375602</v>
      </c>
      <c r="AB37" s="35">
        <f>QUARTILE(K37:V37,3)</f>
        <v>52.899291546577125</v>
      </c>
      <c r="AC37" s="35">
        <f>MAX(K37:V37)</f>
        <v>53.072841640029139</v>
      </c>
      <c r="AD37" s="35">
        <f>SKEW(K37:V37)</f>
        <v>-1.1967859835596877</v>
      </c>
      <c r="AE37" s="35">
        <f>KURT(K37:V37)</f>
        <v>-7.604820233886711E-2</v>
      </c>
    </row>
    <row r="38" spans="2:31" x14ac:dyDescent="0.2">
      <c r="B38" s="34">
        <f>[43]FormattedData!A84</f>
        <v>405</v>
      </c>
      <c r="C38" s="34" t="str">
        <f>VLOOKUP($B38,[43]TrtCodes!$B$11:I127,2)</f>
        <v>FDL</v>
      </c>
      <c r="D38" s="34">
        <f>VLOOKUP($B38,[43]TrtCodes!$B$11:J127,3)</f>
        <v>6</v>
      </c>
      <c r="E38" s="34">
        <f>VLOOKUP($B38,[43]TrtCodes!$B$11:K127,4)</f>
        <v>1</v>
      </c>
      <c r="F38" s="34">
        <f>VLOOKUP($B38,[43]TrtCodes!$B$11:L127,5)</f>
        <v>3</v>
      </c>
      <c r="G38" s="34">
        <f>VLOOKUP($B38,[43]TrtCodes!$B$11:M127,6)</f>
        <v>1</v>
      </c>
      <c r="H38" s="34">
        <f>VLOOKUP($B38,[43]TrtCodes!$B$11:N127,7)</f>
        <v>4</v>
      </c>
      <c r="I38" s="34">
        <f>[43]FormattedData!B84</f>
        <v>1</v>
      </c>
      <c r="J38" s="37">
        <f>[43]FormattedData!C84</f>
        <v>13.365</v>
      </c>
      <c r="K38" s="39">
        <f>$J$3+[43]FormattedData!D84*$J$4+$M$4*$J$5+[43]FormattedData!D84^2*$J$6+$M$5*$J$7</f>
        <v>52.899291546577125</v>
      </c>
      <c r="L38" s="39">
        <f>$J$3+[43]FormattedData!E84*$J$4+$M$4*$J$5+[43]FormattedData!E84^2*$J$6+$M$5*$J$7</f>
        <v>49.658118067597535</v>
      </c>
      <c r="M38" s="39">
        <f>$J$3+[43]FormattedData!F84*$J$4+$M$4*$J$5+[43]FormattedData!F84^2*$J$6+$M$5*$J$7</f>
        <v>51.854440428678828</v>
      </c>
      <c r="N38" s="39">
        <f>$J$3+[43]FormattedData!G84*$J$4+$M$4*$J$5+[43]FormattedData!G84^2*$J$6+$M$5*$J$7</f>
        <v>53.159553283948256</v>
      </c>
      <c r="O38" s="39">
        <f>$J$3+[43]FormattedData!H84*$J$4+$M$4*$J$5+[43]FormattedData!H84^2*$J$6+$M$5*$J$7</f>
        <v>47.34591877142465</v>
      </c>
      <c r="P38" s="39">
        <f>$J$3+[43]FormattedData!I84*$J$4+$M$4*$J$5+[43]FormattedData!I84^2*$J$6+$M$5*$J$7</f>
        <v>53.50597717424538</v>
      </c>
      <c r="Q38" s="39">
        <f>$J$3+[43]FormattedData!J84*$J$4+$M$4*$J$5+[43]FormattedData!J84^2*$J$6+$M$5*$J$7</f>
        <v>47.792791580468517</v>
      </c>
      <c r="R38" s="39">
        <f>$J$3+[43]FormattedData!K84*$J$4+$M$4*$J$5+[43]FormattedData!K84^2*$J$6+$M$5*$J$7</f>
        <v>53.419434604477999</v>
      </c>
      <c r="S38" s="39">
        <f>$J$3+[43]FormattedData!L84*$J$4+$M$4*$J$5+[43]FormattedData!L84^2*$J$6+$M$5*$J$7</f>
        <v>50.539817152374887</v>
      </c>
      <c r="T38" s="39">
        <f>$J$3+[43]FormattedData!M84*$J$4+$M$4*$J$5+[43]FormattedData!M84^2*$J$6+$M$5*$J$7</f>
        <v>52.290534760550251</v>
      </c>
      <c r="U38" s="39">
        <f>$J$3+[43]FormattedData!N84*$J$4+$M$4*$J$5+[43]FormattedData!N84^2*$J$6+$M$5*$J$7</f>
        <v>47.435377870309289</v>
      </c>
      <c r="V38" s="39">
        <f>$J$3+[43]FormattedData!O84*$J$4+$M$4*$J$5+[43]FormattedData!O84^2*$J$6+$M$5*$J$7</f>
        <v>52.029004967041189</v>
      </c>
      <c r="W38" s="38">
        <f>AVERAGE(K38:V38)</f>
        <v>50.994188350641146</v>
      </c>
      <c r="X38" s="37">
        <f>STDEV(K38:V38)/SQRT(COUNT(K38:V38))</f>
        <v>0.68653720613714453</v>
      </c>
      <c r="Y38" s="36">
        <f>MIN(K38:V38)</f>
        <v>47.34591877142465</v>
      </c>
      <c r="Z38" s="35">
        <f>QUARTILE(K38:V38,1)</f>
        <v>49.191786445815282</v>
      </c>
      <c r="AA38" s="36">
        <f>MEDIAN(K38:V38)</f>
        <v>51.941722697860008</v>
      </c>
      <c r="AB38" s="35">
        <f>QUARTILE(K38:V38,3)</f>
        <v>52.964356980919909</v>
      </c>
      <c r="AC38" s="35">
        <f>MAX(K38:V38)</f>
        <v>53.50597717424538</v>
      </c>
      <c r="AD38" s="35">
        <f>SKEW(K38:V38)</f>
        <v>-0.63110860776285249</v>
      </c>
      <c r="AE38" s="35">
        <f>KURT(K38:V38)</f>
        <v>-1.275394646253893</v>
      </c>
    </row>
    <row r="39" spans="2:31" x14ac:dyDescent="0.2">
      <c r="B39" s="34">
        <f>[43]FormattedData!A82</f>
        <v>406</v>
      </c>
      <c r="C39" s="34" t="str">
        <f>VLOOKUP($B39,[43]TrtCodes!$B$11:I125,2)</f>
        <v>FTH</v>
      </c>
      <c r="D39" s="34">
        <f>VLOOKUP($B39,[43]TrtCodes!$B$11:J125,3)</f>
        <v>3</v>
      </c>
      <c r="E39" s="34">
        <f>VLOOKUP($B39,[43]TrtCodes!$B$11:K125,4)</f>
        <v>1</v>
      </c>
      <c r="F39" s="34">
        <f>VLOOKUP($B39,[43]TrtCodes!$B$11:L125,5)</f>
        <v>2</v>
      </c>
      <c r="G39" s="34">
        <f>VLOOKUP($B39,[43]TrtCodes!$B$11:M125,6)</f>
        <v>2</v>
      </c>
      <c r="H39" s="34">
        <f>VLOOKUP($B39,[43]TrtCodes!$B$11:N125,7)</f>
        <v>4</v>
      </c>
      <c r="I39" s="34">
        <f>[43]FormattedData!B82</f>
        <v>1</v>
      </c>
      <c r="J39" s="37">
        <f>[43]FormattedData!C82</f>
        <v>13.356999999999999</v>
      </c>
      <c r="K39" s="39">
        <f>$J$3+[43]FormattedData!D82*$J$4+$M$4*$J$5+[43]FormattedData!D82^2*$J$6+$M$5*$J$7</f>
        <v>52.812453097044219</v>
      </c>
      <c r="L39" s="39">
        <f>$J$3+[43]FormattedData!E82*$J$4+$M$4*$J$5+[43]FormattedData!E82^2*$J$6+$M$5*$J$7</f>
        <v>52.986087727572105</v>
      </c>
      <c r="M39" s="39">
        <f>$J$3+[43]FormattedData!F82*$J$4+$M$4*$J$5+[43]FormattedData!F82^2*$J$6+$M$5*$J$7</f>
        <v>53.419434604477999</v>
      </c>
      <c r="N39" s="39">
        <f>$J$3+[43]FormattedData!G82*$J$4+$M$4*$J$5+[43]FormattedData!G82^2*$J$6+$M$5*$J$7</f>
        <v>52.812453097044219</v>
      </c>
      <c r="O39" s="39">
        <f>$J$3+[43]FormattedData!H82*$J$4+$M$4*$J$5+[43]FormattedData!H82^2*$J$6+$M$5*$J$7</f>
        <v>52.63864939236462</v>
      </c>
      <c r="P39" s="39">
        <f>$J$3+[43]FormattedData!I82*$J$4+$M$4*$J$5+[43]FormattedData!I82^2*$J$6+$M$5*$J$7</f>
        <v>52.899291546577125</v>
      </c>
      <c r="Q39" s="39">
        <f>$J$3+[43]FormattedData!J82*$J$4+$M$4*$J$5+[43]FormattedData!J82^2*$J$6+$M$5*$J$7</f>
        <v>50.539817152374887</v>
      </c>
      <c r="R39" s="39">
        <f>$J$3+[43]FormattedData!K82*$J$4+$M$4*$J$5+[43]FormattedData!K82^2*$J$6+$M$5*$J$7</f>
        <v>53.678935508166354</v>
      </c>
      <c r="S39" s="39">
        <f>$J$3+[43]FormattedData!L82*$J$4+$M$4*$J$5+[43]FormattedData!L82^2*$J$6+$M$5*$J$7</f>
        <v>51.066807713420602</v>
      </c>
      <c r="T39" s="39">
        <f>$J$3+[43]FormattedData!M82*$J$4+$M$4*$J$5+[43]FormattedData!M82^2*$J$6+$M$5*$J$7</f>
        <v>51.679706816164732</v>
      </c>
      <c r="U39" s="39">
        <f>$J$3+[43]FormattedData!N82*$J$4+$M$4*$J$5+[43]FormattedData!N82^2*$J$6+$M$5*$J$7</f>
        <v>50.715649746875179</v>
      </c>
      <c r="V39" s="39">
        <f>$J$3+[43]FormattedData!O82*$J$4+$M$4*$J$5+[43]FormattedData!O82^2*$J$6+$M$5*$J$7</f>
        <v>52.203400431251822</v>
      </c>
      <c r="W39" s="38">
        <f>AVERAGE(K39:V39)</f>
        <v>52.287723902777827</v>
      </c>
      <c r="X39" s="37">
        <f>STDEV(K39:V39)/SQRT(COUNT(K39:V39))</f>
        <v>0.30333777975303389</v>
      </c>
      <c r="Y39" s="36">
        <f>MIN(K39:V39)</f>
        <v>50.539817152374887</v>
      </c>
      <c r="Z39" s="35">
        <f>QUARTILE(K39:V39,1)</f>
        <v>51.526482040478697</v>
      </c>
      <c r="AA39" s="36">
        <f>MEDIAN(K39:V39)</f>
        <v>52.72555124470442</v>
      </c>
      <c r="AB39" s="35">
        <f>QUARTILE(K39:V39,3)</f>
        <v>52.92099059182587</v>
      </c>
      <c r="AC39" s="35">
        <f>MAX(K39:V39)</f>
        <v>53.678935508166354</v>
      </c>
      <c r="AD39" s="35">
        <f>SKEW(K39:V39)</f>
        <v>-0.58549617764554873</v>
      </c>
      <c r="AE39" s="35">
        <f>KURT(K39:V39)</f>
        <v>-0.96608149942606314</v>
      </c>
    </row>
    <row r="40" spans="2:31" x14ac:dyDescent="0.2">
      <c r="B40" s="34">
        <f>[43]FormattedData!A80</f>
        <v>407</v>
      </c>
      <c r="C40" s="34" t="str">
        <f>VLOOKUP($B40,[43]TrtCodes!$B$11:I123,2)</f>
        <v>NSH</v>
      </c>
      <c r="D40" s="34">
        <f>VLOOKUP($B40,[43]TrtCodes!$B$11:J123,3)</f>
        <v>7</v>
      </c>
      <c r="E40" s="34">
        <f>VLOOKUP($B40,[43]TrtCodes!$B$11:K123,4)</f>
        <v>2</v>
      </c>
      <c r="F40" s="34">
        <f>VLOOKUP($B40,[43]TrtCodes!$B$11:L123,5)</f>
        <v>1</v>
      </c>
      <c r="G40" s="34">
        <f>VLOOKUP($B40,[43]TrtCodes!$B$11:M123,6)</f>
        <v>2</v>
      </c>
      <c r="H40" s="34">
        <f>VLOOKUP($B40,[43]TrtCodes!$B$11:N123,7)</f>
        <v>4</v>
      </c>
      <c r="I40" s="34">
        <f>[43]FormattedData!B80</f>
        <v>1</v>
      </c>
      <c r="J40" s="37">
        <f>[43]FormattedData!C80</f>
        <v>13.348000000000001</v>
      </c>
      <c r="K40" s="39">
        <f>$J$3+[43]FormattedData!D80*$J$4+$M$4*$J$5+[43]FormattedData!D80^2*$J$6+$M$5*$J$7</f>
        <v>52.725572378973389</v>
      </c>
      <c r="L40" s="39">
        <f>$J$3+[43]FormattedData!E80*$J$4+$M$4*$J$5+[43]FormattedData!E80^2*$J$6+$M$5*$J$7</f>
        <v>52.116223833415468</v>
      </c>
      <c r="M40" s="39">
        <f>$J$3+[43]FormattedData!F80*$J$4+$M$4*$J$5+[43]FormattedData!F80^2*$J$6+$M$5*$J$7</f>
        <v>53.332849766172679</v>
      </c>
      <c r="N40" s="39">
        <f>$J$3+[43]FormattedData!G80*$J$4+$M$4*$J$5+[43]FormattedData!G80^2*$J$6+$M$5*$J$7</f>
        <v>51.5922766071008</v>
      </c>
      <c r="O40" s="39">
        <f>$J$3+[43]FormattedData!H80*$J$4+$M$4*$J$5+[43]FormattedData!H80^2*$J$6+$M$5*$J$7</f>
        <v>51.854440428678828</v>
      </c>
      <c r="P40" s="39">
        <f>$J$3+[43]FormattedData!I80*$J$4+$M$4*$J$5+[43]FormattedData!I80^2*$J$6+$M$5*$J$7</f>
        <v>51.941743832128964</v>
      </c>
      <c r="Q40" s="39">
        <f>$J$3+[43]FormattedData!J80*$J$4+$M$4*$J$5+[43]FormattedData!J80^2*$J$6+$M$5*$J$7</f>
        <v>53.419434604477999</v>
      </c>
      <c r="R40" s="39">
        <f>$J$3+[43]FormattedData!K80*$J$4+$M$4*$J$5+[43]FormattedData!K80^2*$J$6+$M$5*$J$7</f>
        <v>52.203400431251822</v>
      </c>
      <c r="S40" s="39">
        <f>$J$3+[43]FormattedData!L80*$J$4+$M$4*$J$5+[43]FormattedData!L80^2*$J$6+$M$5*$J$7</f>
        <v>52.290534760550251</v>
      </c>
      <c r="T40" s="39">
        <f>$J$3+[43]FormattedData!M80*$J$4+$M$4*$J$5+[43]FormattedData!M80^2*$J$6+$M$5*$J$7</f>
        <v>52.377626821310734</v>
      </c>
      <c r="U40" s="39">
        <f>$J$3+[43]FormattedData!N80*$J$4+$M$4*$J$5+[43]FormattedData!N80^2*$J$6+$M$5*$J$7</f>
        <v>53.246222659329426</v>
      </c>
      <c r="V40" s="39">
        <f>$J$3+[43]FormattedData!O80*$J$4+$M$4*$J$5+[43]FormattedData!O80^2*$J$6+$M$5*$J$7</f>
        <v>53.246222659329426</v>
      </c>
      <c r="W40" s="38">
        <f>AVERAGE(K40:V40)</f>
        <v>52.528879065226647</v>
      </c>
      <c r="X40" s="37">
        <f>STDEV(K40:V40)/SQRT(COUNT(K40:V40))</f>
        <v>0.18545675252421406</v>
      </c>
      <c r="Y40" s="36">
        <f>MIN(K40:V40)</f>
        <v>51.5922766071008</v>
      </c>
      <c r="Z40" s="35">
        <f>QUARTILE(K40:V40,1)</f>
        <v>52.072603833093844</v>
      </c>
      <c r="AA40" s="36">
        <f>MEDIAN(K40:V40)</f>
        <v>52.334080790930493</v>
      </c>
      <c r="AB40" s="35">
        <f>QUARTILE(K40:V40,3)</f>
        <v>53.246222659329426</v>
      </c>
      <c r="AC40" s="35">
        <f>MAX(K40:V40)</f>
        <v>53.419434604477999</v>
      </c>
      <c r="AD40" s="35">
        <f>SKEW(K40:V40)</f>
        <v>0.21364551161503254</v>
      </c>
      <c r="AE40" s="35">
        <f>KURT(K40:V40)</f>
        <v>-1.5199291156073804</v>
      </c>
    </row>
    <row r="41" spans="2:31" x14ac:dyDescent="0.2">
      <c r="B41" s="34">
        <f>[43]FormattedData!A78</f>
        <v>408</v>
      </c>
      <c r="C41" s="34" t="str">
        <f>VLOOKUP($B41,[43]TrtCodes!$B$11:I121,2)</f>
        <v>NTL</v>
      </c>
      <c r="D41" s="34">
        <f>VLOOKUP($B41,[43]TrtCodes!$B$11:J121,3)</f>
        <v>10</v>
      </c>
      <c r="E41" s="34">
        <f>VLOOKUP($B41,[43]TrtCodes!$B$11:K121,4)</f>
        <v>2</v>
      </c>
      <c r="F41" s="34">
        <f>VLOOKUP($B41,[43]TrtCodes!$B$11:L121,5)</f>
        <v>2</v>
      </c>
      <c r="G41" s="34">
        <f>VLOOKUP($B41,[43]TrtCodes!$B$11:M121,6)</f>
        <v>1</v>
      </c>
      <c r="H41" s="34">
        <f>VLOOKUP($B41,[43]TrtCodes!$B$11:N121,7)</f>
        <v>4</v>
      </c>
      <c r="I41" s="34">
        <f>[43]FormattedData!B78</f>
        <v>1</v>
      </c>
      <c r="J41" s="37">
        <f>[43]FormattedData!C78</f>
        <v>13.339</v>
      </c>
      <c r="K41" s="39">
        <f>$J$3+[43]FormattedData!D78*$J$4+$M$4*$J$5+[43]FormattedData!D78^2*$J$6+$M$5*$J$7</f>
        <v>53.246222659329426</v>
      </c>
      <c r="L41" s="39">
        <f>$J$3+[43]FormattedData!E78*$J$4+$M$4*$J$5+[43]FormattedData!E78^2*$J$6+$M$5*$J$7</f>
        <v>53.159553283948256</v>
      </c>
      <c r="M41" s="39">
        <f>$J$3+[43]FormattedData!F78*$J$4+$M$4*$J$5+[43]FormattedData!F78^2*$J$6+$M$5*$J$7</f>
        <v>51.767094756690746</v>
      </c>
      <c r="N41" s="39">
        <f>$J$3+[43]FormattedData!G78*$J$4+$M$4*$J$5+[43]FormattedData!G78^2*$J$6+$M$5*$J$7</f>
        <v>53.159553283948256</v>
      </c>
      <c r="O41" s="39">
        <f>$J$3+[43]FormattedData!H78*$J$4+$M$4*$J$5+[43]FormattedData!H78^2*$J$6+$M$5*$J$7</f>
        <v>54.110591643555011</v>
      </c>
      <c r="P41" s="39">
        <f>$J$3+[43]FormattedData!I78*$J$4+$M$4*$J$5+[43]FormattedData!I78^2*$J$6+$M$5*$J$7</f>
        <v>52.899291546577125</v>
      </c>
      <c r="Q41" s="39">
        <f>$J$3+[43]FormattedData!J78*$J$4+$M$4*$J$5+[43]FormattedData!J78^2*$J$6+$M$5*$J$7</f>
        <v>53.678935508166354</v>
      </c>
      <c r="R41" s="39">
        <f>$J$3+[43]FormattedData!K78*$J$4+$M$4*$J$5+[43]FormattedData!K78^2*$J$6+$M$5*$J$7</f>
        <v>53.072841640029139</v>
      </c>
      <c r="S41" s="39">
        <f>$J$3+[43]FormattedData!L78*$J$4+$M$4*$J$5+[43]FormattedData!L78^2*$J$6+$M$5*$J$7</f>
        <v>51.066807713420602</v>
      </c>
      <c r="T41" s="39">
        <f>$J$3+[43]FormattedData!M78*$J$4+$M$4*$J$5+[43]FormattedData!M78^2*$J$6+$M$5*$J$7</f>
        <v>53.419434604477999</v>
      </c>
      <c r="U41" s="39">
        <f>$J$3+[43]FormattedData!N78*$J$4+$M$4*$J$5+[43]FormattedData!N78^2*$J$6+$M$5*$J$7</f>
        <v>53.072841640029139</v>
      </c>
      <c r="V41" s="39">
        <f>$J$3+[43]FormattedData!O78*$J$4+$M$4*$J$5+[43]FormattedData!O78^2*$J$6+$M$5*$J$7</f>
        <v>52.116223833415468</v>
      </c>
      <c r="W41" s="38">
        <f>AVERAGE(K41:V41)</f>
        <v>52.89744934279895</v>
      </c>
      <c r="X41" s="37">
        <f>STDEV(K41:V41)/SQRT(COUNT(K41:V41))</f>
        <v>0.24486754508337033</v>
      </c>
      <c r="Y41" s="36">
        <f>MIN(K41:V41)</f>
        <v>51.066807713420602</v>
      </c>
      <c r="Z41" s="35">
        <f>QUARTILE(K41:V41,1)</f>
        <v>52.703524618286707</v>
      </c>
      <c r="AA41" s="36">
        <f>MEDIAN(K41:V41)</f>
        <v>53.116197461988698</v>
      </c>
      <c r="AB41" s="35">
        <f>QUARTILE(K41:V41,3)</f>
        <v>53.289525645616571</v>
      </c>
      <c r="AC41" s="35">
        <f>MAX(K41:V41)</f>
        <v>54.110591643555011</v>
      </c>
      <c r="AD41" s="35">
        <f>SKEW(K41:V41)</f>
        <v>-0.99412998172027756</v>
      </c>
      <c r="AE41" s="35">
        <f>KURT(K41:V41)</f>
        <v>0.79859148885678266</v>
      </c>
    </row>
    <row r="42" spans="2:31" x14ac:dyDescent="0.2">
      <c r="B42" s="50">
        <f>[43]FormattedData!A60</f>
        <v>901</v>
      </c>
      <c r="C42" s="50" t="str">
        <f>VLOOKUP($B42,[43]TrtCodes!$B$11:I103,2)</f>
        <v>WS</v>
      </c>
      <c r="D42" s="50">
        <f>VLOOKUP($B42,[43]TrtCodes!$B$11:J103,3)</f>
        <v>32</v>
      </c>
      <c r="E42" s="50">
        <f>VLOOKUP($B42,[43]TrtCodes!$B$11:K103,4)</f>
        <v>9</v>
      </c>
      <c r="F42" s="50">
        <f>VLOOKUP($B42,[43]TrtCodes!$B$11:L103,5)</f>
        <v>0</v>
      </c>
      <c r="G42" s="50">
        <f>VLOOKUP($B42,[43]TrtCodes!$B$11:M103,6)</f>
        <v>1</v>
      </c>
      <c r="H42" s="50">
        <f>VLOOKUP($B42,[43]TrtCodes!$B$11:N103,7)</f>
        <v>1</v>
      </c>
      <c r="I42" s="50">
        <f>[43]FormattedData!B60</f>
        <v>1</v>
      </c>
      <c r="J42" s="48">
        <f>[43]FormattedData!C60</f>
        <v>13.272</v>
      </c>
      <c r="K42" s="47">
        <f>$J$3+[43]FormattedData!D60*$J$4+$M$4*$J$5+[43]FormattedData!D60^2*$J$6+$M$5*$J$7</f>
        <v>31.620143512540551</v>
      </c>
      <c r="L42" s="47">
        <f>$J$3+[43]FormattedData!E60*$J$4+$M$4*$J$5+[43]FormattedData!E60^2*$J$6+$M$5*$J$7</f>
        <v>31.426811743336764</v>
      </c>
      <c r="M42" s="47">
        <f>$J$3+[43]FormattedData!F60*$J$4+$M$4*$J$5+[43]FormattedData!F60^2*$J$6+$M$5*$J$7</f>
        <v>31.620143512540551</v>
      </c>
      <c r="N42" s="47">
        <f>$J$3+[43]FormattedData!G60*$J$4+$M$4*$J$5+[43]FormattedData!G60^2*$J$6+$M$5*$J$7</f>
        <v>31.620143512540551</v>
      </c>
      <c r="O42" s="47">
        <f>$J$3+[43]FormattedData!H60*$J$4+$M$4*$J$5+[43]FormattedData!H60^2*$J$6+$M$5*$J$7</f>
        <v>31.909824152311749</v>
      </c>
      <c r="P42" s="47">
        <f>$J$3+[43]FormattedData!I60*$J$4+$M$4*$J$5+[43]FormattedData!I60^2*$J$6+$M$5*$J$7</f>
        <v>31.52349876220762</v>
      </c>
      <c r="Q42" s="47">
        <f>$J$3+[43]FormattedData!J60*$J$4+$M$4*$J$5+[43]FormattedData!J60^2*$J$6+$M$5*$J$7</f>
        <v>31.233310899981248</v>
      </c>
      <c r="R42" s="47">
        <f>$J$3+[43]FormattedData!K60*$J$4+$M$4*$J$5+[43]FormattedData!K60^2*$J$6+$M$5*$J$7</f>
        <v>31.136497075496589</v>
      </c>
      <c r="S42" s="47">
        <f>$J$3+[43]FormattedData!L60*$J$4+$M$4*$J$5+[43]FormattedData!L60^2*$J$6+$M$5*$J$7</f>
        <v>32.199124375241567</v>
      </c>
      <c r="T42" s="47">
        <f>$J$3+[43]FormattedData!M60*$J$4+$M$4*$J$5+[43]FormattedData!M60^2*$J$6+$M$5*$J$7</f>
        <v>32.199124375241567</v>
      </c>
      <c r="U42" s="47">
        <f>$J$3+[43]FormattedData!N60*$J$4+$M$4*$J$5+[43]FormattedData!N60^2*$J$6+$M$5*$J$7</f>
        <v>32.584266246283626</v>
      </c>
      <c r="V42" s="47">
        <f>$J$3+[43]FormattedData!O60*$J$4+$M$4*$J$5+[43]FormattedData!O60^2*$J$6+$M$5*$J$7</f>
        <v>32.488044181330011</v>
      </c>
      <c r="W42" s="49">
        <f>AVERAGE(K42:V42)</f>
        <v>31.796744362421034</v>
      </c>
      <c r="X42" s="48">
        <f>STDEV(K42:V42)/SQRT(COUNT(K42:V42))</f>
        <v>0.13743188872885867</v>
      </c>
      <c r="Y42" s="47">
        <f>MIN(K42:V42)</f>
        <v>31.136497075496589</v>
      </c>
      <c r="Z42" s="46">
        <f>QUARTILE(K42:V42,1)</f>
        <v>31.499327007489907</v>
      </c>
      <c r="AA42" s="47">
        <f>MEDIAN(K42:V42)</f>
        <v>31.620143512540551</v>
      </c>
      <c r="AB42" s="46">
        <f>QUARTILE(K42:V42,3)</f>
        <v>32.199124375241567</v>
      </c>
      <c r="AC42" s="46">
        <f>MAX(K42:V42)</f>
        <v>32.584266246283626</v>
      </c>
      <c r="AD42" s="46">
        <f>SKEW(K42:V42)</f>
        <v>0.40065370977503018</v>
      </c>
      <c r="AE42" s="46">
        <f>KURT(K42:V42)</f>
        <v>-1.016055379348539</v>
      </c>
    </row>
    <row r="43" spans="2:31" x14ac:dyDescent="0.2">
      <c r="B43" s="34">
        <f>[43]FormattedData!A58</f>
        <v>902</v>
      </c>
      <c r="C43" s="34" t="str">
        <f>VLOOKUP($B43,[43]TrtCodes!$B$11:I101,2)</f>
        <v>Late</v>
      </c>
      <c r="D43" s="34">
        <f>VLOOKUP($B43,[43]TrtCodes!$B$11:J101,3)</f>
        <v>22</v>
      </c>
      <c r="E43" s="34">
        <f>VLOOKUP($B43,[43]TrtCodes!$B$11:K101,4)</f>
        <v>4</v>
      </c>
      <c r="F43" s="34">
        <f>VLOOKUP($B43,[43]TrtCodes!$B$11:L101,5)</f>
        <v>2</v>
      </c>
      <c r="G43" s="34">
        <f>VLOOKUP($B43,[43]TrtCodes!$B$11:M101,6)</f>
        <v>2</v>
      </c>
      <c r="H43" s="34">
        <f>VLOOKUP($B43,[43]TrtCodes!$B$11:N101,7)</f>
        <v>1</v>
      </c>
      <c r="I43" s="34">
        <f>[43]FormattedData!B58</f>
        <v>1</v>
      </c>
      <c r="J43" s="37">
        <f>[43]FormattedData!C58</f>
        <v>13.263</v>
      </c>
      <c r="K43" s="39">
        <f>$J$3+[43]FormattedData!D58*$J$4+$M$4*$J$5+[43]FormattedData!D58^2*$J$6+$M$5*$J$7</f>
        <v>54.196796065018951</v>
      </c>
      <c r="L43" s="39">
        <f>$J$3+[43]FormattedData!E58*$J$4+$M$4*$J$5+[43]FormattedData!E58^2*$J$6+$M$5*$J$7</f>
        <v>53.072841640029139</v>
      </c>
      <c r="M43" s="39">
        <f>$J$3+[43]FormattedData!F58*$J$4+$M$4*$J$5+[43]FormattedData!F58^2*$J$6+$M$5*$J$7</f>
        <v>52.63864939236462</v>
      </c>
      <c r="N43" s="39">
        <f>$J$3+[43]FormattedData!G58*$J$4+$M$4*$J$5+[43]FormattedData!G58^2*$J$6+$M$5*$J$7</f>
        <v>53.159553283948256</v>
      </c>
      <c r="O43" s="39">
        <f>$J$3+[43]FormattedData!H58*$J$4+$M$4*$J$5+[43]FormattedData!H58^2*$J$6+$M$5*$J$7</f>
        <v>52.116223833415468</v>
      </c>
      <c r="P43" s="39">
        <f>$J$3+[43]FormattedData!I58*$J$4+$M$4*$J$5+[43]FormattedData!I58^2*$J$6+$M$5*$J$7</f>
        <v>53.50597717424538</v>
      </c>
      <c r="Q43" s="39">
        <f>$J$3+[43]FormattedData!J58*$J$4+$M$4*$J$5+[43]FormattedData!J58^2*$J$6+$M$5*$J$7</f>
        <v>52.899291546577125</v>
      </c>
      <c r="R43" s="39">
        <f>$J$3+[43]FormattedData!K58*$J$4+$M$4*$J$5+[43]FormattedData!K58^2*$J$6+$M$5*$J$7</f>
        <v>53.419434604477999</v>
      </c>
      <c r="S43" s="39">
        <f>$J$3+[43]FormattedData!L58*$J$4+$M$4*$J$5+[43]FormattedData!L58^2*$J$6+$M$5*$J$7</f>
        <v>51.854440428678828</v>
      </c>
      <c r="T43" s="39">
        <f>$J$3+[43]FormattedData!M58*$J$4+$M$4*$J$5+[43]FormattedData!M58^2*$J$6+$M$5*$J$7</f>
        <v>52.986087727572105</v>
      </c>
      <c r="U43" s="39">
        <f>$J$3+[43]FormattedData!N58*$J$4+$M$4*$J$5+[43]FormattedData!N58^2*$J$6+$M$5*$J$7</f>
        <v>52.290534760550251</v>
      </c>
      <c r="V43" s="39">
        <f>$J$3+[43]FormattedData!O58*$J$4+$M$4*$J$5+[43]FormattedData!O58^2*$J$6+$M$5*$J$7</f>
        <v>52.029004967041189</v>
      </c>
      <c r="W43" s="38">
        <f>AVERAGE(K43:V43)</f>
        <v>52.847402951993274</v>
      </c>
      <c r="X43" s="37">
        <f>STDEV(K43:V43)/SQRT(COUNT(K43:V43))</f>
        <v>0.2003035818185353</v>
      </c>
      <c r="Y43" s="36">
        <f>MIN(K43:V43)</f>
        <v>51.854440428678828</v>
      </c>
      <c r="Z43" s="35">
        <f>QUARTILE(K43:V43,1)</f>
        <v>52.246957028766559</v>
      </c>
      <c r="AA43" s="36">
        <f>MEDIAN(K43:V43)</f>
        <v>52.942689637074615</v>
      </c>
      <c r="AB43" s="35">
        <f>QUARTILE(K43:V43,3)</f>
        <v>53.224523614080695</v>
      </c>
      <c r="AC43" s="35">
        <f>MAX(K43:V43)</f>
        <v>54.196796065018951</v>
      </c>
      <c r="AD43" s="35">
        <f>SKEW(K43:V43)</f>
        <v>0.28563007926564538</v>
      </c>
      <c r="AE43" s="35">
        <f>KURT(K43:V43)</f>
        <v>-0.343587691541825</v>
      </c>
    </row>
    <row r="44" spans="2:31" x14ac:dyDescent="0.2">
      <c r="B44" s="50">
        <f>[43]FormattedData!A56</f>
        <v>903</v>
      </c>
      <c r="C44" s="50" t="str">
        <f>VLOOKUP($B44,[43]TrtCodes!$B$11:I99,2)</f>
        <v>DS</v>
      </c>
      <c r="D44" s="50">
        <f>VLOOKUP($B44,[43]TrtCodes!$B$11:J99,3)</f>
        <v>31</v>
      </c>
      <c r="E44" s="50">
        <f>VLOOKUP($B44,[43]TrtCodes!$B$11:K99,4)</f>
        <v>8</v>
      </c>
      <c r="F44" s="50">
        <f>VLOOKUP($B44,[43]TrtCodes!$B$11:L99,5)</f>
        <v>0</v>
      </c>
      <c r="G44" s="50">
        <f>VLOOKUP($B44,[43]TrtCodes!$B$11:M99,6)</f>
        <v>1</v>
      </c>
      <c r="H44" s="50">
        <f>VLOOKUP($B44,[43]TrtCodes!$B$11:N99,7)</f>
        <v>1</v>
      </c>
      <c r="I44" s="50">
        <f>[43]FormattedData!B56</f>
        <v>1</v>
      </c>
      <c r="J44" s="48">
        <f>[43]FormattedData!C56</f>
        <v>13.255000000000001</v>
      </c>
      <c r="K44" s="47">
        <f>$J$3+[43]FormattedData!D56*$J$4+$M$4*$J$5+[43]FormattedData!D56^2*$J$6+$M$5*$J$7</f>
        <v>59.625960479814147</v>
      </c>
      <c r="L44" s="47">
        <f>$J$3+[43]FormattedData!E56*$J$4+$M$4*$J$5+[43]FormattedData!E56^2*$J$6+$M$5*$J$7</f>
        <v>58.956783080461335</v>
      </c>
      <c r="M44" s="47">
        <f>$J$3+[43]FormattedData!F56*$J$4+$M$4*$J$5+[43]FormattedData!F56^2*$J$6+$M$5*$J$7</f>
        <v>59.208041619253116</v>
      </c>
      <c r="N44" s="47">
        <f>$J$3+[43]FormattedData!G56*$J$4+$M$4*$J$5+[43]FormattedData!G56^2*$J$6+$M$5*$J$7</f>
        <v>59.291709928441193</v>
      </c>
      <c r="O44" s="47">
        <f>$J$3+[43]FormattedData!H56*$J$4+$M$4*$J$5+[43]FormattedData!H56^2*$J$6+$M$5*$J$7</f>
        <v>59.208041619253116</v>
      </c>
      <c r="P44" s="47">
        <f>$J$3+[43]FormattedData!I56*$J$4+$M$4*$J$5+[43]FormattedData!I56^2*$J$6+$M$5*$J$7</f>
        <v>59.291709928441193</v>
      </c>
      <c r="Q44" s="47">
        <f>$J$3+[43]FormattedData!J56*$J$4+$M$4*$J$5+[43]FormattedData!J56^2*$J$6+$M$5*$J$7</f>
        <v>59.291709928441193</v>
      </c>
      <c r="R44" s="47">
        <f>$J$3+[43]FormattedData!K56*$J$4+$M$4*$J$5+[43]FormattedData!K56^2*$J$6+$M$5*$J$7</f>
        <v>59.291709928441193</v>
      </c>
      <c r="S44" s="47">
        <f>$J$3+[43]FormattedData!L56*$J$4+$M$4*$J$5+[43]FormattedData!L56^2*$J$6+$M$5*$J$7</f>
        <v>60.042822626926899</v>
      </c>
      <c r="T44" s="47">
        <f>$J$3+[43]FormattedData!M56*$J$4+$M$4*$J$5+[43]FormattedData!M56^2*$J$6+$M$5*$J$7</f>
        <v>59.625960479814147</v>
      </c>
      <c r="U44" s="47">
        <f>$J$3+[43]FormattedData!N56*$J$4+$M$4*$J$5+[43]FormattedData!N56^2*$J$6+$M$5*$J$7</f>
        <v>59.792832144273049</v>
      </c>
      <c r="V44" s="47">
        <f>$J$3+[43]FormattedData!O56*$J$4+$M$4*$J$5+[43]FormattedData!O56^2*$J$6+$M$5*$J$7</f>
        <v>60.126068250735671</v>
      </c>
      <c r="W44" s="49">
        <f>AVERAGE(K44:V44)</f>
        <v>59.479445834524682</v>
      </c>
      <c r="X44" s="48">
        <f>STDEV(K44:V44)/SQRT(COUNT(K44:V44))</f>
        <v>0.10437889725700349</v>
      </c>
      <c r="Y44" s="47">
        <f>MIN(K44:V44)</f>
        <v>58.956783080461335</v>
      </c>
      <c r="Z44" s="46">
        <f>QUARTILE(K44:V44,1)</f>
        <v>59.270792851144172</v>
      </c>
      <c r="AA44" s="47">
        <f>MEDIAN(K44:V44)</f>
        <v>59.291709928441193</v>
      </c>
      <c r="AB44" s="46">
        <f>QUARTILE(K44:V44,3)</f>
        <v>59.667678395928874</v>
      </c>
      <c r="AC44" s="46">
        <f>MAX(K44:V44)</f>
        <v>60.126068250735671</v>
      </c>
      <c r="AD44" s="46">
        <f>SKEW(K44:V44)</f>
        <v>0.63927135981658434</v>
      </c>
      <c r="AE44" s="46">
        <f>KURT(K44:V44)</f>
        <v>-0.56173950386586435</v>
      </c>
    </row>
    <row r="45" spans="2:31" x14ac:dyDescent="0.2">
      <c r="B45" s="34">
        <f>[43]FormattedData!A54</f>
        <v>904</v>
      </c>
      <c r="C45" s="34" t="str">
        <f>VLOOKUP($B45,[43]TrtCodes!$B$11:I97,2)</f>
        <v>Early</v>
      </c>
      <c r="D45" s="34">
        <f>VLOOKUP($B45,[43]TrtCodes!$B$11:J97,3)</f>
        <v>21</v>
      </c>
      <c r="E45" s="34">
        <f>VLOOKUP($B45,[43]TrtCodes!$B$11:K97,4)</f>
        <v>3</v>
      </c>
      <c r="F45" s="34">
        <f>VLOOKUP($B45,[43]TrtCodes!$B$11:L97,5)</f>
        <v>2</v>
      </c>
      <c r="G45" s="34">
        <f>VLOOKUP($B45,[43]TrtCodes!$B$11:M97,6)</f>
        <v>2</v>
      </c>
      <c r="H45" s="34">
        <f>VLOOKUP($B45,[43]TrtCodes!$B$11:N97,7)</f>
        <v>1</v>
      </c>
      <c r="I45" s="34">
        <f>[43]FormattedData!B54</f>
        <v>1</v>
      </c>
      <c r="J45" s="37">
        <f>[43]FormattedData!C54</f>
        <v>13.246</v>
      </c>
      <c r="K45" s="39">
        <f>$J$3+[43]FormattedData!D54*$J$4+$M$4*$J$5+[43]FormattedData!D54^2*$J$6+$M$5*$J$7</f>
        <v>53.592477475474844</v>
      </c>
      <c r="L45" s="39">
        <f>$J$3+[43]FormattedData!E54*$J$4+$M$4*$J$5+[43]FormattedData!E54^2*$J$6+$M$5*$J$7</f>
        <v>51.941743832128964</v>
      </c>
      <c r="M45" s="39">
        <f>$J$3+[43]FormattedData!F54*$J$4+$M$4*$J$5+[43]FormattedData!F54^2*$J$6+$M$5*$J$7</f>
        <v>52.812453097044219</v>
      </c>
      <c r="N45" s="39">
        <f>$J$3+[43]FormattedData!G54*$J$4+$M$4*$J$5+[43]FormattedData!G54^2*$J$6+$M$5*$J$7</f>
        <v>52.986087727572105</v>
      </c>
      <c r="O45" s="39">
        <f>$J$3+[43]FormattedData!H54*$J$4+$M$4*$J$5+[43]FormattedData!H54^2*$J$6+$M$5*$J$7</f>
        <v>52.116223833415468</v>
      </c>
      <c r="P45" s="39">
        <f>$J$3+[43]FormattedData!I54*$J$4+$M$4*$J$5+[43]FormattedData!I54^2*$J$6+$M$5*$J$7</f>
        <v>53.246222659329426</v>
      </c>
      <c r="Q45" s="39">
        <f>$J$3+[43]FormattedData!J54*$J$4+$M$4*$J$5+[43]FormattedData!J54^2*$J$6+$M$5*$J$7</f>
        <v>53.332849766172679</v>
      </c>
      <c r="R45" s="39">
        <f>$J$3+[43]FormattedData!K54*$J$4+$M$4*$J$5+[43]FormattedData!K54^2*$J$6+$M$5*$J$7</f>
        <v>53.419434604477999</v>
      </c>
      <c r="S45" s="39">
        <f>$J$3+[43]FormattedData!L54*$J$4+$M$4*$J$5+[43]FormattedData!L54^2*$J$6+$M$5*$J$7</f>
        <v>51.154491533712132</v>
      </c>
      <c r="T45" s="39">
        <f>$J$3+[43]FormattedData!M54*$J$4+$M$4*$J$5+[43]FormattedData!M54^2*$J$6+$M$5*$J$7</f>
        <v>52.203400431251822</v>
      </c>
      <c r="U45" s="39">
        <f>$J$3+[43]FormattedData!N54*$J$4+$M$4*$J$5+[43]FormattedData!N54^2*$J$6+$M$5*$J$7</f>
        <v>52.551684137217919</v>
      </c>
      <c r="V45" s="39">
        <f>$J$3+[43]FormattedData!O54*$J$4+$M$4*$J$5+[43]FormattedData!O54^2*$J$6+$M$5*$J$7</f>
        <v>53.938055995013343</v>
      </c>
      <c r="W45" s="38">
        <f>AVERAGE(K45:V45)</f>
        <v>52.774593757734237</v>
      </c>
      <c r="X45" s="37">
        <f>STDEV(K45:V45)/SQRT(COUNT(K45:V45))</f>
        <v>0.23267899885086099</v>
      </c>
      <c r="Y45" s="36">
        <f>MIN(K45:V45)</f>
        <v>51.154491533712132</v>
      </c>
      <c r="Z45" s="35">
        <f>QUARTILE(K45:V45,1)</f>
        <v>52.181606281792732</v>
      </c>
      <c r="AA45" s="36">
        <f>MEDIAN(K45:V45)</f>
        <v>52.899270412308162</v>
      </c>
      <c r="AB45" s="35">
        <f>QUARTILE(K45:V45,3)</f>
        <v>53.35449597574901</v>
      </c>
      <c r="AC45" s="35">
        <f>MAX(K45:V45)</f>
        <v>53.938055995013343</v>
      </c>
      <c r="AD45" s="35">
        <f>SKEW(K45:V45)</f>
        <v>-0.54878969349362772</v>
      </c>
      <c r="AE45" s="35">
        <f>KURT(K45:V45)</f>
        <v>-0.19975467693250959</v>
      </c>
    </row>
    <row r="46" spans="2:31" x14ac:dyDescent="0.2">
      <c r="B46" s="50">
        <f>[43]FormattedData!A52</f>
        <v>905</v>
      </c>
      <c r="C46" s="50" t="str">
        <f>VLOOKUP($B46,[43]TrtCodes!$B$11:I95,2)</f>
        <v>WS</v>
      </c>
      <c r="D46" s="50">
        <f>VLOOKUP($B46,[43]TrtCodes!$B$11:J95,3)</f>
        <v>32</v>
      </c>
      <c r="E46" s="50">
        <f>VLOOKUP($B46,[43]TrtCodes!$B$11:K95,4)</f>
        <v>9</v>
      </c>
      <c r="F46" s="50">
        <f>VLOOKUP($B46,[43]TrtCodes!$B$11:L95,5)</f>
        <v>0</v>
      </c>
      <c r="G46" s="50">
        <f>VLOOKUP($B46,[43]TrtCodes!$B$11:M95,6)</f>
        <v>1</v>
      </c>
      <c r="H46" s="50">
        <f>VLOOKUP($B46,[43]TrtCodes!$B$11:N95,7)</f>
        <v>2</v>
      </c>
      <c r="I46" s="50">
        <f>[43]FormattedData!B52</f>
        <v>1</v>
      </c>
      <c r="J46" s="48">
        <f>[43]FormattedData!C52</f>
        <v>13.237</v>
      </c>
      <c r="K46" s="47">
        <f>$J$3+[43]FormattedData!D52*$J$4+$M$4*$J$5+[43]FormattedData!D52^2*$J$6+$M$5*$J$7</f>
        <v>31.813306207592611</v>
      </c>
      <c r="L46" s="47">
        <f>$J$3+[43]FormattedData!E52*$J$4+$M$4*$J$5+[43]FormattedData!E52^2*$J$6+$M$5*$J$7</f>
        <v>31.716745994335547</v>
      </c>
      <c r="M46" s="47">
        <f>$J$3+[43]FormattedData!F52*$J$4+$M$4*$J$5+[43]FormattedData!F52^2*$J$6+$M$5*$J$7</f>
        <v>31.813306207592611</v>
      </c>
      <c r="N46" s="47">
        <f>$J$3+[43]FormattedData!G52*$J$4+$M$4*$J$5+[43]FormattedData!G52^2*$J$6+$M$5*$J$7</f>
        <v>32.006299828492956</v>
      </c>
      <c r="O46" s="47">
        <f>$J$3+[43]FormattedData!H52*$J$4+$M$4*$J$5+[43]FormattedData!H52^2*$J$6+$M$5*$J$7</f>
        <v>32.006299828492956</v>
      </c>
      <c r="P46" s="47">
        <f>$J$3+[43]FormattedData!I52*$J$4+$M$4*$J$5+[43]FormattedData!I52^2*$J$6+$M$5*$J$7</f>
        <v>31.52349876220762</v>
      </c>
      <c r="Q46" s="47">
        <f>$J$3+[43]FormattedData!J52*$J$4+$M$4*$J$5+[43]FormattedData!J52^2*$J$6+$M$5*$J$7</f>
        <v>36.96478894464645</v>
      </c>
      <c r="R46" s="47">
        <f>$J$3+[43]FormattedData!K52*$J$4+$M$4*$J$5+[43]FormattedData!K52^2*$J$6+$M$5*$J$7</f>
        <v>36.96478894464645</v>
      </c>
      <c r="S46" s="47">
        <f>$J$3+[43]FormattedData!L52*$J$4+$M$4*$J$5+[43]FormattedData!L52^2*$J$6+$M$5*$J$7</f>
        <v>32.391779847838457</v>
      </c>
      <c r="T46" s="47">
        <f>$J$3+[43]FormattedData!M52*$J$4+$M$4*$J$5+[43]FormattedData!M52^2*$J$6+$M$5*$J$7</f>
        <v>33.448362746659278</v>
      </c>
      <c r="U46" s="47">
        <f>$J$3+[43]FormattedData!N52*$J$4+$M$4*$J$5+[43]FormattedData!N52^2*$J$6+$M$5*$J$7</f>
        <v>32.680446042699309</v>
      </c>
      <c r="V46" s="47">
        <f>$J$3+[43]FormattedData!O52*$J$4+$M$4*$J$5+[43]FormattedData!O52^2*$J$6+$M$5*$J$7</f>
        <v>32.872678829916886</v>
      </c>
      <c r="W46" s="49">
        <f>AVERAGE(K46:V46)</f>
        <v>33.016858515426755</v>
      </c>
      <c r="X46" s="48">
        <f>STDEV(K46:V46)/SQRT(COUNT(K46:V46))</f>
        <v>0.55557191170912124</v>
      </c>
      <c r="Y46" s="47">
        <f>MIN(K46:V46)</f>
        <v>31.52349876220762</v>
      </c>
      <c r="Z46" s="46">
        <f>QUARTILE(K46:V46,1)</f>
        <v>31.813306207592611</v>
      </c>
      <c r="AA46" s="47">
        <f>MEDIAN(K46:V46)</f>
        <v>32.199039838165703</v>
      </c>
      <c r="AB46" s="46">
        <f>QUARTILE(K46:V46,3)</f>
        <v>33.016599809102487</v>
      </c>
      <c r="AC46" s="46">
        <f>MAX(K46:V46)</f>
        <v>36.96478894464645</v>
      </c>
      <c r="AD46" s="46">
        <f>SKEW(K46:V46)</f>
        <v>1.7106819246296125</v>
      </c>
      <c r="AE46" s="46">
        <f>KURT(K46:V46)</f>
        <v>1.7115780335609108</v>
      </c>
    </row>
    <row r="47" spans="2:31" x14ac:dyDescent="0.2">
      <c r="B47" s="34">
        <f>[43]FormattedData!A50</f>
        <v>906</v>
      </c>
      <c r="C47" s="34" t="str">
        <f>VLOOKUP($B47,[43]TrtCodes!$B$11:I93,2)</f>
        <v>Late</v>
      </c>
      <c r="D47" s="34">
        <f>VLOOKUP($B47,[43]TrtCodes!$B$11:J93,3)</f>
        <v>22</v>
      </c>
      <c r="E47" s="34">
        <f>VLOOKUP($B47,[43]TrtCodes!$B$11:K93,4)</f>
        <v>4</v>
      </c>
      <c r="F47" s="34">
        <f>VLOOKUP($B47,[43]TrtCodes!$B$11:L93,5)</f>
        <v>2</v>
      </c>
      <c r="G47" s="34">
        <f>VLOOKUP($B47,[43]TrtCodes!$B$11:M93,6)</f>
        <v>2</v>
      </c>
      <c r="H47" s="34">
        <f>VLOOKUP($B47,[43]TrtCodes!$B$11:N93,7)</f>
        <v>2</v>
      </c>
      <c r="I47" s="34">
        <f>[43]FormattedData!B50</f>
        <v>1</v>
      </c>
      <c r="J47" s="37">
        <f>[43]FormattedData!C50</f>
        <v>13.228</v>
      </c>
      <c r="K47" s="39">
        <f>$J$3+[43]FormattedData!D50*$J$4+$M$4*$J$5+[43]FormattedData!D50^2*$J$6+$M$5*$J$7</f>
        <v>52.812453097044219</v>
      </c>
      <c r="L47" s="39">
        <f>$J$3+[43]FormattedData!E50*$J$4+$M$4*$J$5+[43]FormattedData!E50^2*$J$6+$M$5*$J$7</f>
        <v>51.066807713420602</v>
      </c>
      <c r="M47" s="39">
        <f>$J$3+[43]FormattedData!F50*$J$4+$M$4*$J$5+[43]FormattedData!F50^2*$J$6+$M$5*$J$7</f>
        <v>52.029004967041189</v>
      </c>
      <c r="N47" s="39">
        <f>$J$3+[43]FormattedData!G50*$J$4+$M$4*$J$5+[43]FormattedData!G50^2*$J$6+$M$5*$J$7</f>
        <v>53.246222659329426</v>
      </c>
      <c r="O47" s="39">
        <f>$J$3+[43]FormattedData!H50*$J$4+$M$4*$J$5+[43]FormattedData!H50^2*$J$6+$M$5*$J$7</f>
        <v>52.116223833415468</v>
      </c>
      <c r="P47" s="39">
        <f>$J$3+[43]FormattedData!I50*$J$4+$M$4*$J$5+[43]FormattedData!I50^2*$J$6+$M$5*$J$7</f>
        <v>53.419434604477999</v>
      </c>
      <c r="Q47" s="39">
        <f>$J$3+[43]FormattedData!J50*$J$4+$M$4*$J$5+[43]FormattedData!J50^2*$J$6+$M$5*$J$7</f>
        <v>50.891313267223758</v>
      </c>
      <c r="R47" s="39">
        <f>$J$3+[43]FormattedData!K50*$J$4+$M$4*$J$5+[43]FormattedData!K50^2*$J$6+$M$5*$J$7</f>
        <v>53.938055995013343</v>
      </c>
      <c r="S47" s="39">
        <f>$J$3+[43]FormattedData!L50*$J$4+$M$4*$J$5+[43]FormattedData!L50^2*$J$6+$M$5*$J$7</f>
        <v>51.941743832128964</v>
      </c>
      <c r="T47" s="39">
        <f>$J$3+[43]FormattedData!M50*$J$4+$M$4*$J$5+[43]FormattedData!M50^2*$J$6+$M$5*$J$7</f>
        <v>52.899291546577125</v>
      </c>
      <c r="U47" s="39">
        <f>$J$3+[43]FormattedData!N50*$J$4+$M$4*$J$5+[43]FormattedData!N50^2*$J$6+$M$5*$J$7</f>
        <v>53.246222659329426</v>
      </c>
      <c r="V47" s="39">
        <f>$J$3+[43]FormattedData!O50*$J$4+$M$4*$J$5+[43]FormattedData!O50^2*$J$6+$M$5*$J$7</f>
        <v>51.154491533712132</v>
      </c>
      <c r="W47" s="38">
        <f>AVERAGE(K47:V47)</f>
        <v>52.396772142392798</v>
      </c>
      <c r="X47" s="37">
        <f>STDEV(K47:V47)/SQRT(COUNT(K47:V47))</f>
        <v>0.29244692505694675</v>
      </c>
      <c r="Y47" s="36">
        <f>MIN(K47:V47)</f>
        <v>50.891313267223758</v>
      </c>
      <c r="Z47" s="35">
        <f>QUARTILE(K47:V47,1)</f>
        <v>51.744930757524756</v>
      </c>
      <c r="AA47" s="36">
        <f>MEDIAN(K47:V47)</f>
        <v>52.464338465229844</v>
      </c>
      <c r="AB47" s="35">
        <f>QUARTILE(K47:V47,3)</f>
        <v>53.246222659329426</v>
      </c>
      <c r="AC47" s="35">
        <f>MAX(K47:V47)</f>
        <v>53.938055995013343</v>
      </c>
      <c r="AD47" s="35">
        <f>SKEW(K47:V47)</f>
        <v>-0.17754110305983059</v>
      </c>
      <c r="AE47" s="35">
        <f>KURT(K47:V47)</f>
        <v>-1.2527821500228504</v>
      </c>
    </row>
    <row r="48" spans="2:31" x14ac:dyDescent="0.2">
      <c r="B48" s="50">
        <f>[43]FormattedData!A48</f>
        <v>907</v>
      </c>
      <c r="C48" s="50" t="str">
        <f>VLOOKUP($B48,[43]TrtCodes!$B$11:I91,2)</f>
        <v>DS</v>
      </c>
      <c r="D48" s="50">
        <f>VLOOKUP($B48,[43]TrtCodes!$B$11:J91,3)</f>
        <v>31</v>
      </c>
      <c r="E48" s="50">
        <f>VLOOKUP($B48,[43]TrtCodes!$B$11:K91,4)</f>
        <v>8</v>
      </c>
      <c r="F48" s="50">
        <f>VLOOKUP($B48,[43]TrtCodes!$B$11:L91,5)</f>
        <v>0</v>
      </c>
      <c r="G48" s="50">
        <f>VLOOKUP($B48,[43]TrtCodes!$B$11:M91,6)</f>
        <v>1</v>
      </c>
      <c r="H48" s="50">
        <f>VLOOKUP($B48,[43]TrtCodes!$B$11:N91,7)</f>
        <v>2</v>
      </c>
      <c r="I48" s="50">
        <f>[43]FormattedData!B48</f>
        <v>1</v>
      </c>
      <c r="J48" s="48">
        <f>[43]FormattedData!C48</f>
        <v>13.22</v>
      </c>
      <c r="K48" s="47">
        <f>$J$3+[43]FormattedData!D48*$J$4+$M$4*$J$5+[43]FormattedData!D48^2*$J$6+$M$5*$J$7</f>
        <v>58.537173478383053</v>
      </c>
      <c r="L48" s="47">
        <f>$J$3+[43]FormattedData!E48*$J$4+$M$4*$J$5+[43]FormattedData!E48^2*$J$6+$M$5*$J$7</f>
        <v>58.621179935874572</v>
      </c>
      <c r="M48" s="47">
        <f>$J$3+[43]FormattedData!F48*$J$4+$M$4*$J$5+[43]FormattedData!F48^2*$J$6+$M$5*$J$7</f>
        <v>58.537173478383053</v>
      </c>
      <c r="N48" s="47">
        <f>$J$3+[43]FormattedData!G48*$J$4+$M$4*$J$5+[43]FormattedData!G48^2*$J$6+$M$5*$J$7</f>
        <v>58.284900494680912</v>
      </c>
      <c r="O48" s="47">
        <f>$J$3+[43]FormattedData!H48*$J$4+$M$4*$J$5+[43]FormattedData!H48^2*$J$6+$M$5*$J$7</f>
        <v>58.621179935874572</v>
      </c>
      <c r="P48" s="47">
        <f>$J$3+[43]FormattedData!I48*$J$4+$M$4*$J$5+[43]FormattedData!I48^2*$J$6+$M$5*$J$7</f>
        <v>58.537173478383053</v>
      </c>
      <c r="Q48" s="47">
        <f>$J$3+[43]FormattedData!J48*$J$4+$M$4*$J$5+[43]FormattedData!J48^2*$J$6+$M$5*$J$7</f>
        <v>58.789066045243807</v>
      </c>
      <c r="R48" s="47">
        <f>$J$3+[43]FormattedData!K48*$J$4+$M$4*$J$5+[43]FormattedData!K48^2*$J$6+$M$5*$J$7</f>
        <v>58.453124752353595</v>
      </c>
      <c r="S48" s="47">
        <f>$J$3+[43]FormattedData!L48*$J$4+$M$4*$J$5+[43]FormattedData!L48^2*$J$6+$M$5*$J$7</f>
        <v>58.621179935874572</v>
      </c>
      <c r="T48" s="47">
        <f>$J$3+[43]FormattedData!M48*$J$4+$M$4*$J$5+[43]FormattedData!M48^2*$J$6+$M$5*$J$7</f>
        <v>58.621179935874572</v>
      </c>
      <c r="U48" s="47">
        <f>$J$3+[43]FormattedData!N48*$J$4+$M$4*$J$5+[43]FormattedData!N48^2*$J$6+$M$5*$J$7</f>
        <v>59.542461244777805</v>
      </c>
      <c r="V48" s="47">
        <f>$J$3+[43]FormattedData!O48*$J$4+$M$4*$J$5+[43]FormattedData!O48^2*$J$6+$M$5*$J$7</f>
        <v>59.542461244777805</v>
      </c>
      <c r="W48" s="49">
        <f>AVERAGE(K48:V48)</f>
        <v>58.725687830040108</v>
      </c>
      <c r="X48" s="48">
        <f>STDEV(K48:V48)/SQRT(COUNT(K48:V48))</f>
        <v>0.11537616701046954</v>
      </c>
      <c r="Y48" s="47">
        <f>MIN(K48:V48)</f>
        <v>58.284900494680912</v>
      </c>
      <c r="Z48" s="46">
        <f>QUARTILE(K48:V48,1)</f>
        <v>58.537173478383053</v>
      </c>
      <c r="AA48" s="47">
        <f>MEDIAN(K48:V48)</f>
        <v>58.621179935874572</v>
      </c>
      <c r="AB48" s="46">
        <f>QUARTILE(K48:V48,3)</f>
        <v>58.663151463216877</v>
      </c>
      <c r="AC48" s="46">
        <f>MAX(K48:V48)</f>
        <v>59.542461244777805</v>
      </c>
      <c r="AD48" s="46">
        <f>SKEW(K48:V48)</f>
        <v>1.6394553957803992</v>
      </c>
      <c r="AE48" s="46">
        <f>KURT(K48:V48)</f>
        <v>1.7569717930025881</v>
      </c>
    </row>
    <row r="49" spans="2:31" ht="13.5" thickBot="1" x14ac:dyDescent="0.25">
      <c r="B49" s="45">
        <f>[43]FormattedData!A46</f>
        <v>908</v>
      </c>
      <c r="C49" s="45" t="str">
        <f>VLOOKUP($B49,[43]TrtCodes!$B$11:I89,2)</f>
        <v>Early</v>
      </c>
      <c r="D49" s="45">
        <f>VLOOKUP($B49,[43]TrtCodes!$B$11:J89,3)</f>
        <v>21</v>
      </c>
      <c r="E49" s="45">
        <f>VLOOKUP($B49,[43]TrtCodes!$B$11:K89,4)</f>
        <v>3</v>
      </c>
      <c r="F49" s="45">
        <f>VLOOKUP($B49,[43]TrtCodes!$B$11:L89,5)</f>
        <v>2</v>
      </c>
      <c r="G49" s="45">
        <f>VLOOKUP($B49,[43]TrtCodes!$B$11:M89,6)</f>
        <v>2</v>
      </c>
      <c r="H49" s="45">
        <f>VLOOKUP($B49,[43]TrtCodes!$B$11:N89,7)</f>
        <v>2</v>
      </c>
      <c r="I49" s="45">
        <f>[43]FormattedData!B46</f>
        <v>1</v>
      </c>
      <c r="J49" s="42">
        <f>[43]FormattedData!C46</f>
        <v>13.211</v>
      </c>
      <c r="K49" s="44">
        <f>$J$3+[43]FormattedData!D46*$J$4+$M$4*$J$5+[43]FormattedData!D46^2*$J$6+$M$5*$J$7</f>
        <v>53.072841640029139</v>
      </c>
      <c r="L49" s="44">
        <f>$J$3+[43]FormattedData!E46*$J$4+$M$4*$J$5+[43]FormattedData!E46^2*$J$6+$M$5*$J$7</f>
        <v>52.986087727572105</v>
      </c>
      <c r="M49" s="44">
        <f>$J$3+[43]FormattedData!F46*$J$4+$M$4*$J$5+[43]FormattedData!F46^2*$J$6+$M$5*$J$7</f>
        <v>52.290534760550251</v>
      </c>
      <c r="N49" s="44">
        <f>$J$3+[43]FormattedData!G46*$J$4+$M$4*$J$5+[43]FormattedData!G46^2*$J$6+$M$5*$J$7</f>
        <v>52.377626821310734</v>
      </c>
      <c r="O49" s="44">
        <f>$J$3+[43]FormattedData!H46*$J$4+$M$4*$J$5+[43]FormattedData!H46^2*$J$6+$M$5*$J$7</f>
        <v>54.024344953553147</v>
      </c>
      <c r="P49" s="44">
        <f>$J$3+[43]FormattedData!I46*$J$4+$M$4*$J$5+[43]FormattedData!I46^2*$J$6+$M$5*$J$7</f>
        <v>52.986087727572105</v>
      </c>
      <c r="Q49" s="44">
        <f>$J$3+[43]FormattedData!J46*$J$4+$M$4*$J$5+[43]FormattedData!J46^2*$J$6+$M$5*$J$7</f>
        <v>52.290534760550251</v>
      </c>
      <c r="R49" s="44">
        <f>$J$3+[43]FormattedData!K46*$J$4+$M$4*$J$5+[43]FormattedData!K46^2*$J$6+$M$5*$J$7</f>
        <v>52.63864939236462</v>
      </c>
      <c r="S49" s="44">
        <f>$J$3+[43]FormattedData!L46*$J$4+$M$4*$J$5+[43]FormattedData!L46^2*$J$6+$M$5*$J$7</f>
        <v>51.242133085465724</v>
      </c>
      <c r="T49" s="44">
        <f>$J$3+[43]FormattedData!M46*$J$4+$M$4*$J$5+[43]FormattedData!M46^2*$J$6+$M$5*$J$7</f>
        <v>52.029004967041189</v>
      </c>
      <c r="U49" s="44">
        <f>$J$3+[43]FormattedData!N46*$J$4+$M$4*$J$5+[43]FormattedData!N46^2*$J$6+$M$5*$J$7</f>
        <v>53.851724767935622</v>
      </c>
      <c r="V49" s="44">
        <f>$J$3+[43]FormattedData!O46*$J$4+$M$4*$J$5+[43]FormattedData!O46^2*$J$6+$M$5*$J$7</f>
        <v>52.290534760550251</v>
      </c>
      <c r="W49" s="43">
        <f>AVERAGE(K49:V49)</f>
        <v>52.673342113707925</v>
      </c>
      <c r="X49" s="42">
        <f>STDEV(K49:V49)/SQRT(COUNT(K49:V49))</f>
        <v>0.22294208773144214</v>
      </c>
      <c r="Y49" s="41">
        <f>MIN(K49:V49)</f>
        <v>51.242133085465724</v>
      </c>
      <c r="Z49" s="40">
        <f>QUARTILE(K49:V49,1)</f>
        <v>52.290534760550251</v>
      </c>
      <c r="AA49" s="41">
        <f>MEDIAN(K49:V49)</f>
        <v>52.508138106837677</v>
      </c>
      <c r="AB49" s="40">
        <f>QUARTILE(K49:V49,3)</f>
        <v>53.007776205686362</v>
      </c>
      <c r="AC49" s="40">
        <f>MAX(K49:V49)</f>
        <v>54.024344953553147</v>
      </c>
      <c r="AD49" s="40">
        <f>SKEW(K49:V49)</f>
        <v>0.19745965001214516</v>
      </c>
      <c r="AE49" s="40">
        <f>KURT(K49:V49)</f>
        <v>0.28297747286566999</v>
      </c>
    </row>
    <row r="50" spans="2:31" ht="13.5" thickTop="1" x14ac:dyDescent="0.2">
      <c r="B50" s="34">
        <f>[43]FormattedData!A29</f>
        <v>0</v>
      </c>
      <c r="C50" s="34" t="e">
        <f>VLOOKUP($B50,[43]TrtCodes!$B$11:I72,2)</f>
        <v>#N/A</v>
      </c>
      <c r="D50" s="34" t="e">
        <f>VLOOKUP($B50,[43]TrtCodes!$B$11:J72,3)</f>
        <v>#N/A</v>
      </c>
      <c r="E50" s="34" t="e">
        <f>VLOOKUP($B50,[43]TrtCodes!$B$11:K72,4)</f>
        <v>#N/A</v>
      </c>
      <c r="F50" s="34" t="e">
        <f>VLOOKUP($B50,[43]TrtCodes!$B$11:L72,5)</f>
        <v>#N/A</v>
      </c>
      <c r="G50" s="34" t="e">
        <f>VLOOKUP($B50,[43]TrtCodes!$B$11:M72,6)</f>
        <v>#N/A</v>
      </c>
      <c r="H50" s="34" t="e">
        <f>VLOOKUP($B50,[43]TrtCodes!$B$11:N72,7)</f>
        <v>#N/A</v>
      </c>
      <c r="I50" s="34">
        <f>[43]FormattedData!B29</f>
        <v>0</v>
      </c>
      <c r="J50" s="37">
        <f>[43]FormattedData!C29</f>
        <v>0</v>
      </c>
      <c r="K50" s="39">
        <f>$J$3+[43]FormattedData!D29*$J$4+$M$4*$J$5+[43]FormattedData!D29^2*$J$6+$M$5*$J$7</f>
        <v>-0.58371897760036062</v>
      </c>
      <c r="L50" s="39">
        <f>$J$3+[43]FormattedData!E29*$J$4+$M$4*$J$5+[43]FormattedData!E29^2*$J$6+$M$5*$J$7</f>
        <v>-0.58371897760036062</v>
      </c>
      <c r="M50" s="39">
        <f>$J$3+[43]FormattedData!F29*$J$4+$M$4*$J$5+[43]FormattedData!F29^2*$J$6+$M$5*$J$7</f>
        <v>-0.58371897760036062</v>
      </c>
      <c r="N50" s="39">
        <f>$J$3+[43]FormattedData!G29*$J$4+$M$4*$J$5+[43]FormattedData!G29^2*$J$6+$M$5*$J$7</f>
        <v>-0.58371897760036062</v>
      </c>
      <c r="O50" s="39">
        <f>$J$3+[43]FormattedData!H29*$J$4+$M$4*$J$5+[43]FormattedData!H29^2*$J$6+$M$5*$J$7</f>
        <v>-0.58371897760036062</v>
      </c>
      <c r="P50" s="39">
        <f>$J$3+[43]FormattedData!I29*$J$4+$M$4*$J$5+[43]FormattedData!I29^2*$J$6+$M$5*$J$7</f>
        <v>-0.58371897760036062</v>
      </c>
      <c r="Q50" s="39">
        <f>$J$3+[43]FormattedData!J29*$J$4+$M$4*$J$5+[43]FormattedData!J29^2*$J$6+$M$5*$J$7</f>
        <v>-0.58371897760036062</v>
      </c>
      <c r="R50" s="39">
        <f>$J$3+[43]FormattedData!K29*$J$4+$M$4*$J$5+[43]FormattedData!K29^2*$J$6+$M$5*$J$7</f>
        <v>-0.58371897760036062</v>
      </c>
      <c r="S50" s="39">
        <f>$J$3+[43]FormattedData!L29*$J$4+$M$4*$J$5+[43]FormattedData!L29^2*$J$6+$M$5*$J$7</f>
        <v>-0.58371897760036062</v>
      </c>
      <c r="T50" s="39">
        <f>$J$3+[43]FormattedData!M29*$J$4+$M$4*$J$5+[43]FormattedData!M29^2*$J$6+$M$5*$J$7</f>
        <v>-0.58371897760036062</v>
      </c>
      <c r="U50" s="39">
        <f>$J$3+[43]FormattedData!N29*$J$4+$M$4*$J$5+[43]FormattedData!N29^2*$J$6+$M$5*$J$7</f>
        <v>-0.58371897760036062</v>
      </c>
      <c r="V50" s="39">
        <f>$J$3+[43]FormattedData!O29*$J$4+$M$4*$J$5+[43]FormattedData!O29^2*$J$6+$M$5*$J$7</f>
        <v>-0.58371897760036062</v>
      </c>
      <c r="W50" s="38">
        <f>AVERAGE(K50:V50)</f>
        <v>-0.58371897760036073</v>
      </c>
      <c r="X50" s="37">
        <f>STDEV(K50:V50)/SQRT(COUNT(K50:V50))</f>
        <v>3.3474483693592253E-17</v>
      </c>
      <c r="Y50" s="36">
        <f>MIN(K50:V50)</f>
        <v>-0.58371897760036062</v>
      </c>
      <c r="Z50" s="35">
        <f>QUARTILE(K50:V50,1)</f>
        <v>-0.58371897760036062</v>
      </c>
      <c r="AA50" s="36">
        <f>MEDIAN(K50:V50)</f>
        <v>-0.58371897760036062</v>
      </c>
      <c r="AB50" s="35">
        <f>QUARTILE(K50:V50,3)</f>
        <v>-0.58371897760036062</v>
      </c>
      <c r="AC50" s="35">
        <f>MAX(K50:V50)</f>
        <v>-0.58371897760036062</v>
      </c>
      <c r="AD50" s="35">
        <f>SKEW(K50:V50)</f>
        <v>1.1489125293076057</v>
      </c>
      <c r="AE50" s="35">
        <f>KURT(K50:V50)</f>
        <v>-2.4444444444444446</v>
      </c>
    </row>
    <row r="51" spans="2:31" x14ac:dyDescent="0.2">
      <c r="B51" s="34">
        <f>[43]FormattedData!A27</f>
        <v>0</v>
      </c>
      <c r="C51" s="34" t="e">
        <f>VLOOKUP($B51,[43]TrtCodes!$B$11:I70,2)</f>
        <v>#N/A</v>
      </c>
      <c r="D51" s="34" t="e">
        <f>VLOOKUP($B51,[43]TrtCodes!$B$11:J70,3)</f>
        <v>#N/A</v>
      </c>
      <c r="E51" s="34" t="e">
        <f>VLOOKUP($B51,[43]TrtCodes!$B$11:K70,4)</f>
        <v>#N/A</v>
      </c>
      <c r="F51" s="34" t="e">
        <f>VLOOKUP($B51,[43]TrtCodes!$B$11:L70,5)</f>
        <v>#N/A</v>
      </c>
      <c r="G51" s="34" t="e">
        <f>VLOOKUP($B51,[43]TrtCodes!$B$11:M70,6)</f>
        <v>#N/A</v>
      </c>
      <c r="H51" s="34" t="e">
        <f>VLOOKUP($B51,[43]TrtCodes!$B$11:N70,7)</f>
        <v>#N/A</v>
      </c>
      <c r="I51" s="34">
        <f>[43]FormattedData!B27</f>
        <v>0</v>
      </c>
      <c r="J51" s="37">
        <f>[43]FormattedData!C27</f>
        <v>0</v>
      </c>
      <c r="K51" s="39">
        <f>$J$3+[43]FormattedData!D27*$J$4+$M$4*$J$5+[43]FormattedData!D27^2*$J$6+$M$5*$J$7</f>
        <v>-0.58371897760036062</v>
      </c>
      <c r="L51" s="39">
        <f>$J$3+[43]FormattedData!E27*$J$4+$M$4*$J$5+[43]FormattedData!E27^2*$J$6+$M$5*$J$7</f>
        <v>-0.58371897760036062</v>
      </c>
      <c r="M51" s="39">
        <f>$J$3+[43]FormattedData!F27*$J$4+$M$4*$J$5+[43]FormattedData!F27^2*$J$6+$M$5*$J$7</f>
        <v>-0.58371897760036062</v>
      </c>
      <c r="N51" s="39">
        <f>$J$3+[43]FormattedData!G27*$J$4+$M$4*$J$5+[43]FormattedData!G27^2*$J$6+$M$5*$J$7</f>
        <v>-0.58371897760036062</v>
      </c>
      <c r="O51" s="39">
        <f>$J$3+[43]FormattedData!H27*$J$4+$M$4*$J$5+[43]FormattedData!H27^2*$J$6+$M$5*$J$7</f>
        <v>-0.58371897760036062</v>
      </c>
      <c r="P51" s="39">
        <f>$J$3+[43]FormattedData!I27*$J$4+$M$4*$J$5+[43]FormattedData!I27^2*$J$6+$M$5*$J$7</f>
        <v>-0.58371897760036062</v>
      </c>
      <c r="Q51" s="39">
        <f>$J$3+[43]FormattedData!J27*$J$4+$M$4*$J$5+[43]FormattedData!J27^2*$J$6+$M$5*$J$7</f>
        <v>-0.58371897760036062</v>
      </c>
      <c r="R51" s="39">
        <f>$J$3+[43]FormattedData!K27*$J$4+$M$4*$J$5+[43]FormattedData!K27^2*$J$6+$M$5*$J$7</f>
        <v>-0.58371897760036062</v>
      </c>
      <c r="S51" s="39">
        <f>$J$3+[43]FormattedData!L27*$J$4+$M$4*$J$5+[43]FormattedData!L27^2*$J$6+$M$5*$J$7</f>
        <v>-0.58371897760036062</v>
      </c>
      <c r="T51" s="39">
        <f>$J$3+[43]FormattedData!M27*$J$4+$M$4*$J$5+[43]FormattedData!M27^2*$J$6+$M$5*$J$7</f>
        <v>-0.58371897760036062</v>
      </c>
      <c r="U51" s="39">
        <f>$J$3+[43]FormattedData!N27*$J$4+$M$4*$J$5+[43]FormattedData!N27^2*$J$6+$M$5*$J$7</f>
        <v>-0.58371897760036062</v>
      </c>
      <c r="V51" s="39">
        <f>$J$3+[43]FormattedData!O27*$J$4+$M$4*$J$5+[43]FormattedData!O27^2*$J$6+$M$5*$J$7</f>
        <v>-0.58371897760036062</v>
      </c>
      <c r="W51" s="38">
        <f>AVERAGE(K51:V51)</f>
        <v>-0.58371897760036073</v>
      </c>
      <c r="X51" s="37">
        <f>STDEV(K51:V51)/SQRT(COUNT(K51:V51))</f>
        <v>3.3474483693592253E-17</v>
      </c>
      <c r="Y51" s="36">
        <f>MIN(K51:V51)</f>
        <v>-0.58371897760036062</v>
      </c>
      <c r="Z51" s="35">
        <f>QUARTILE(K51:V51,1)</f>
        <v>-0.58371897760036062</v>
      </c>
      <c r="AA51" s="36">
        <f>MEDIAN(K51:V51)</f>
        <v>-0.58371897760036062</v>
      </c>
      <c r="AB51" s="35">
        <f>QUARTILE(K51:V51,3)</f>
        <v>-0.58371897760036062</v>
      </c>
      <c r="AC51" s="35">
        <f>MAX(K51:V51)</f>
        <v>-0.58371897760036062</v>
      </c>
      <c r="AD51" s="35">
        <f>SKEW(K51:V51)</f>
        <v>1.1489125293076057</v>
      </c>
      <c r="AE51" s="35">
        <f>KURT(K51:V51)</f>
        <v>-2.4444444444444446</v>
      </c>
    </row>
    <row r="52" spans="2:31" x14ac:dyDescent="0.2">
      <c r="B52" s="34">
        <f>[43]FormattedData!A25</f>
        <v>0</v>
      </c>
      <c r="C52" s="34" t="e">
        <f>VLOOKUP($B52,[43]TrtCodes!$B$11:I68,2)</f>
        <v>#N/A</v>
      </c>
      <c r="D52" s="34" t="e">
        <f>VLOOKUP($B52,[43]TrtCodes!$B$11:J68,3)</f>
        <v>#N/A</v>
      </c>
      <c r="E52" s="34" t="e">
        <f>VLOOKUP($B52,[43]TrtCodes!$B$11:K68,4)</f>
        <v>#N/A</v>
      </c>
      <c r="F52" s="34" t="e">
        <f>VLOOKUP($B52,[43]TrtCodes!$B$11:L68,5)</f>
        <v>#N/A</v>
      </c>
      <c r="G52" s="34" t="e">
        <f>VLOOKUP($B52,[43]TrtCodes!$B$11:M68,6)</f>
        <v>#N/A</v>
      </c>
      <c r="H52" s="34" t="e">
        <f>VLOOKUP($B52,[43]TrtCodes!$B$11:N68,7)</f>
        <v>#N/A</v>
      </c>
      <c r="I52" s="34">
        <f>[43]FormattedData!B25</f>
        <v>0</v>
      </c>
      <c r="J52" s="37">
        <f>[43]FormattedData!C25</f>
        <v>0</v>
      </c>
      <c r="K52" s="39">
        <f>$J$3+[43]FormattedData!D25*$J$4+$M$4*$J$5+[43]FormattedData!D25^2*$J$6+$M$5*$J$7</f>
        <v>-0.58371897760036062</v>
      </c>
      <c r="L52" s="39">
        <f>$J$3+[43]FormattedData!E25*$J$4+$M$4*$J$5+[43]FormattedData!E25^2*$J$6+$M$5*$J$7</f>
        <v>-0.58371897760036062</v>
      </c>
      <c r="M52" s="39">
        <f>$J$3+[43]FormattedData!F25*$J$4+$M$4*$J$5+[43]FormattedData!F25^2*$J$6+$M$5*$J$7</f>
        <v>-0.58371897760036062</v>
      </c>
      <c r="N52" s="39">
        <f>$J$3+[43]FormattedData!G25*$J$4+$M$4*$J$5+[43]FormattedData!G25^2*$J$6+$M$5*$J$7</f>
        <v>-0.58371897760036062</v>
      </c>
      <c r="O52" s="39">
        <f>$J$3+[43]FormattedData!H25*$J$4+$M$4*$J$5+[43]FormattedData!H25^2*$J$6+$M$5*$J$7</f>
        <v>-0.58371897760036062</v>
      </c>
      <c r="P52" s="39">
        <f>$J$3+[43]FormattedData!I25*$J$4+$M$4*$J$5+[43]FormattedData!I25^2*$J$6+$M$5*$J$7</f>
        <v>-0.58371897760036062</v>
      </c>
      <c r="Q52" s="39">
        <f>$J$3+[43]FormattedData!J25*$J$4+$M$4*$J$5+[43]FormattedData!J25^2*$J$6+$M$5*$J$7</f>
        <v>-0.58371897760036062</v>
      </c>
      <c r="R52" s="39">
        <f>$J$3+[43]FormattedData!K25*$J$4+$M$4*$J$5+[43]FormattedData!K25^2*$J$6+$M$5*$J$7</f>
        <v>-0.58371897760036062</v>
      </c>
      <c r="S52" s="39">
        <f>$J$3+[43]FormattedData!L25*$J$4+$M$4*$J$5+[43]FormattedData!L25^2*$J$6+$M$5*$J$7</f>
        <v>-0.58371897760036062</v>
      </c>
      <c r="T52" s="39">
        <f>$J$3+[43]FormattedData!M25*$J$4+$M$4*$J$5+[43]FormattedData!M25^2*$J$6+$M$5*$J$7</f>
        <v>-0.58371897760036062</v>
      </c>
      <c r="U52" s="39">
        <f>$J$3+[43]FormattedData!N25*$J$4+$M$4*$J$5+[43]FormattedData!N25^2*$J$6+$M$5*$J$7</f>
        <v>-0.58371897760036062</v>
      </c>
      <c r="V52" s="39">
        <f>$J$3+[43]FormattedData!O25*$J$4+$M$4*$J$5+[43]FormattedData!O25^2*$J$6+$M$5*$J$7</f>
        <v>-0.58371897760036062</v>
      </c>
      <c r="W52" s="38">
        <f>AVERAGE(K52:V52)</f>
        <v>-0.58371897760036073</v>
      </c>
      <c r="X52" s="37">
        <f>STDEV(K52:V52)/SQRT(COUNT(K52:V52))</f>
        <v>3.3474483693592253E-17</v>
      </c>
      <c r="Y52" s="36">
        <f>MIN(K52:V52)</f>
        <v>-0.58371897760036062</v>
      </c>
      <c r="Z52" s="35">
        <f>QUARTILE(K52:V52,1)</f>
        <v>-0.58371897760036062</v>
      </c>
      <c r="AA52" s="36">
        <f>MEDIAN(K52:V52)</f>
        <v>-0.58371897760036062</v>
      </c>
      <c r="AB52" s="35">
        <f>QUARTILE(K52:V52,3)</f>
        <v>-0.58371897760036062</v>
      </c>
      <c r="AC52" s="35">
        <f>MAX(K52:V52)</f>
        <v>-0.58371897760036062</v>
      </c>
      <c r="AD52" s="35">
        <f>SKEW(K52:V52)</f>
        <v>1.1489125293076057</v>
      </c>
      <c r="AE52" s="35">
        <f>KURT(K52:V52)</f>
        <v>-2.4444444444444446</v>
      </c>
    </row>
    <row r="53" spans="2:31" x14ac:dyDescent="0.2">
      <c r="B53" s="34">
        <f>[43]FormattedData!A23</f>
        <v>0</v>
      </c>
      <c r="C53" s="34" t="e">
        <f>VLOOKUP($B53,[43]TrtCodes!$B$11:I66,2)</f>
        <v>#N/A</v>
      </c>
      <c r="D53" s="34" t="e">
        <f>VLOOKUP($B53,[43]TrtCodes!$B$11:J66,3)</f>
        <v>#N/A</v>
      </c>
      <c r="E53" s="34" t="e">
        <f>VLOOKUP($B53,[43]TrtCodes!$B$11:K66,4)</f>
        <v>#N/A</v>
      </c>
      <c r="F53" s="34" t="e">
        <f>VLOOKUP($B53,[43]TrtCodes!$B$11:L66,5)</f>
        <v>#N/A</v>
      </c>
      <c r="G53" s="34" t="e">
        <f>VLOOKUP($B53,[43]TrtCodes!$B$11:M66,6)</f>
        <v>#N/A</v>
      </c>
      <c r="H53" s="34" t="e">
        <f>VLOOKUP($B53,[43]TrtCodes!$B$11:N66,7)</f>
        <v>#N/A</v>
      </c>
      <c r="I53" s="34">
        <f>[43]FormattedData!B23</f>
        <v>0</v>
      </c>
      <c r="J53" s="37">
        <f>[43]FormattedData!C23</f>
        <v>0</v>
      </c>
      <c r="K53" s="39">
        <f>$J$3+[43]FormattedData!D23*$J$4+$M$4*$J$5+[43]FormattedData!D23^2*$J$6+$M$5*$J$7</f>
        <v>-0.58371897760036062</v>
      </c>
      <c r="L53" s="39">
        <f>$J$3+[43]FormattedData!E23*$J$4+$M$4*$J$5+[43]FormattedData!E23^2*$J$6+$M$5*$J$7</f>
        <v>-0.58371897760036062</v>
      </c>
      <c r="M53" s="39">
        <f>$J$3+[43]FormattedData!F23*$J$4+$M$4*$J$5+[43]FormattedData!F23^2*$J$6+$M$5*$J$7</f>
        <v>-0.58371897760036062</v>
      </c>
      <c r="N53" s="39">
        <f>$J$3+[43]FormattedData!G23*$J$4+$M$4*$J$5+[43]FormattedData!G23^2*$J$6+$M$5*$J$7</f>
        <v>-0.58371897760036062</v>
      </c>
      <c r="O53" s="39">
        <f>$J$3+[43]FormattedData!H23*$J$4+$M$4*$J$5+[43]FormattedData!H23^2*$J$6+$M$5*$J$7</f>
        <v>-0.58371897760036062</v>
      </c>
      <c r="P53" s="39">
        <f>$J$3+[43]FormattedData!I23*$J$4+$M$4*$J$5+[43]FormattedData!I23^2*$J$6+$M$5*$J$7</f>
        <v>-0.58371897760036062</v>
      </c>
      <c r="Q53" s="39">
        <f>$J$3+[43]FormattedData!J23*$J$4+$M$4*$J$5+[43]FormattedData!J23^2*$J$6+$M$5*$J$7</f>
        <v>-0.58371897760036062</v>
      </c>
      <c r="R53" s="39">
        <f>$J$3+[43]FormattedData!K23*$J$4+$M$4*$J$5+[43]FormattedData!K23^2*$J$6+$M$5*$J$7</f>
        <v>-0.58371897760036062</v>
      </c>
      <c r="S53" s="39">
        <f>$J$3+[43]FormattedData!L23*$J$4+$M$4*$J$5+[43]FormattedData!L23^2*$J$6+$M$5*$J$7</f>
        <v>-0.58371897760036062</v>
      </c>
      <c r="T53" s="39">
        <f>$J$3+[43]FormattedData!M23*$J$4+$M$4*$J$5+[43]FormattedData!M23^2*$J$6+$M$5*$J$7</f>
        <v>-0.58371897760036062</v>
      </c>
      <c r="U53" s="39">
        <f>$J$3+[43]FormattedData!N23*$J$4+$M$4*$J$5+[43]FormattedData!N23^2*$J$6+$M$5*$J$7</f>
        <v>-0.58371897760036062</v>
      </c>
      <c r="V53" s="39">
        <f>$J$3+[43]FormattedData!O23*$J$4+$M$4*$J$5+[43]FormattedData!O23^2*$J$6+$M$5*$J$7</f>
        <v>-0.58371897760036062</v>
      </c>
      <c r="W53" s="38">
        <f>AVERAGE(K53:V53)</f>
        <v>-0.58371897760036073</v>
      </c>
      <c r="X53" s="37">
        <f>STDEV(K53:V53)/SQRT(COUNT(K53:V53))</f>
        <v>3.3474483693592253E-17</v>
      </c>
      <c r="Y53" s="36">
        <f>MIN(K53:V53)</f>
        <v>-0.58371897760036062</v>
      </c>
      <c r="Z53" s="35">
        <f>QUARTILE(K53:V53,1)</f>
        <v>-0.58371897760036062</v>
      </c>
      <c r="AA53" s="36">
        <f>MEDIAN(K53:V53)</f>
        <v>-0.58371897760036062</v>
      </c>
      <c r="AB53" s="35">
        <f>QUARTILE(K53:V53,3)</f>
        <v>-0.58371897760036062</v>
      </c>
      <c r="AC53" s="35">
        <f>MAX(K53:V53)</f>
        <v>-0.58371897760036062</v>
      </c>
      <c r="AD53" s="35">
        <f>SKEW(K53:V53)</f>
        <v>1.1489125293076057</v>
      </c>
      <c r="AE53" s="35">
        <f>KURT(K53:V53)</f>
        <v>-2.4444444444444446</v>
      </c>
    </row>
    <row r="54" spans="2:31" x14ac:dyDescent="0.2">
      <c r="B54" s="34">
        <f>[43]FormattedData!A21</f>
        <v>0</v>
      </c>
      <c r="C54" s="34" t="e">
        <f>VLOOKUP($B54,[43]TrtCodes!$B$11:I64,2)</f>
        <v>#N/A</v>
      </c>
      <c r="D54" s="34" t="e">
        <f>VLOOKUP($B54,[43]TrtCodes!$B$11:J64,3)</f>
        <v>#N/A</v>
      </c>
      <c r="E54" s="34" t="e">
        <f>VLOOKUP($B54,[43]TrtCodes!$B$11:K64,4)</f>
        <v>#N/A</v>
      </c>
      <c r="F54" s="34" t="e">
        <f>VLOOKUP($B54,[43]TrtCodes!$B$11:L64,5)</f>
        <v>#N/A</v>
      </c>
      <c r="G54" s="34" t="e">
        <f>VLOOKUP($B54,[43]TrtCodes!$B$11:M64,6)</f>
        <v>#N/A</v>
      </c>
      <c r="H54" s="34" t="e">
        <f>VLOOKUP($B54,[43]TrtCodes!$B$11:N64,7)</f>
        <v>#N/A</v>
      </c>
      <c r="I54" s="34">
        <f>[43]FormattedData!B21</f>
        <v>0</v>
      </c>
      <c r="J54" s="37">
        <f>[43]FormattedData!C21</f>
        <v>0</v>
      </c>
      <c r="K54" s="39">
        <f>$J$3+[43]FormattedData!D21*$J$4+$M$4*$J$5+[43]FormattedData!D21^2*$J$6+$M$5*$J$7</f>
        <v>-0.58371897760036062</v>
      </c>
      <c r="L54" s="39">
        <f>$J$3+[43]FormattedData!E21*$J$4+$M$4*$J$5+[43]FormattedData!E21^2*$J$6+$M$5*$J$7</f>
        <v>-0.58371897760036062</v>
      </c>
      <c r="M54" s="39">
        <f>$J$3+[43]FormattedData!F21*$J$4+$M$4*$J$5+[43]FormattedData!F21^2*$J$6+$M$5*$J$7</f>
        <v>-0.58371897760036062</v>
      </c>
      <c r="N54" s="39">
        <f>$J$3+[43]FormattedData!G21*$J$4+$M$4*$J$5+[43]FormattedData!G21^2*$J$6+$M$5*$J$7</f>
        <v>-0.58371897760036062</v>
      </c>
      <c r="O54" s="39">
        <f>$J$3+[43]FormattedData!H21*$J$4+$M$4*$J$5+[43]FormattedData!H21^2*$J$6+$M$5*$J$7</f>
        <v>-0.58371897760036062</v>
      </c>
      <c r="P54" s="39">
        <f>$J$3+[43]FormattedData!I21*$J$4+$M$4*$J$5+[43]FormattedData!I21^2*$J$6+$M$5*$J$7</f>
        <v>-0.58371897760036062</v>
      </c>
      <c r="Q54" s="39">
        <f>$J$3+[43]FormattedData!J21*$J$4+$M$4*$J$5+[43]FormattedData!J21^2*$J$6+$M$5*$J$7</f>
        <v>-0.58371897760036062</v>
      </c>
      <c r="R54" s="39">
        <f>$J$3+[43]FormattedData!K21*$J$4+$M$4*$J$5+[43]FormattedData!K21^2*$J$6+$M$5*$J$7</f>
        <v>-0.58371897760036062</v>
      </c>
      <c r="S54" s="39">
        <f>$J$3+[43]FormattedData!L21*$J$4+$M$4*$J$5+[43]FormattedData!L21^2*$J$6+$M$5*$J$7</f>
        <v>-0.58371897760036062</v>
      </c>
      <c r="T54" s="39">
        <f>$J$3+[43]FormattedData!M21*$J$4+$M$4*$J$5+[43]FormattedData!M21^2*$J$6+$M$5*$J$7</f>
        <v>-0.58371897760036062</v>
      </c>
      <c r="U54" s="39">
        <f>$J$3+[43]FormattedData!N21*$J$4+$M$4*$J$5+[43]FormattedData!N21^2*$J$6+$M$5*$J$7</f>
        <v>-0.58371897760036062</v>
      </c>
      <c r="V54" s="39">
        <f>$J$3+[43]FormattedData!O21*$J$4+$M$4*$J$5+[43]FormattedData!O21^2*$J$6+$M$5*$J$7</f>
        <v>-0.58371897760036062</v>
      </c>
      <c r="W54" s="38">
        <f>AVERAGE(K54:V54)</f>
        <v>-0.58371897760036073</v>
      </c>
      <c r="X54" s="37">
        <f>STDEV(K54:V54)/SQRT(COUNT(K54:V54))</f>
        <v>3.3474483693592253E-17</v>
      </c>
      <c r="Y54" s="36">
        <f>MIN(K54:V54)</f>
        <v>-0.58371897760036062</v>
      </c>
      <c r="Z54" s="35">
        <f>QUARTILE(K54:V54,1)</f>
        <v>-0.58371897760036062</v>
      </c>
      <c r="AA54" s="36">
        <f>MEDIAN(K54:V54)</f>
        <v>-0.58371897760036062</v>
      </c>
      <c r="AB54" s="35">
        <f>QUARTILE(K54:V54,3)</f>
        <v>-0.58371897760036062</v>
      </c>
      <c r="AC54" s="35">
        <f>MAX(K54:V54)</f>
        <v>-0.58371897760036062</v>
      </c>
      <c r="AD54" s="35">
        <f>SKEW(K54:V54)</f>
        <v>1.1489125293076057</v>
      </c>
      <c r="AE54" s="35">
        <f>KURT(K54:V54)</f>
        <v>-2.4444444444444446</v>
      </c>
    </row>
    <row r="55" spans="2:31" x14ac:dyDescent="0.2">
      <c r="B55" s="34">
        <f>[43]FormattedData!A19</f>
        <v>0</v>
      </c>
      <c r="C55" s="34" t="e">
        <f>VLOOKUP($B55,[43]TrtCodes!$B$11:I62,2)</f>
        <v>#N/A</v>
      </c>
      <c r="D55" s="34" t="e">
        <f>VLOOKUP($B55,[43]TrtCodes!$B$11:J62,3)</f>
        <v>#N/A</v>
      </c>
      <c r="E55" s="34" t="e">
        <f>VLOOKUP($B55,[43]TrtCodes!$B$11:K62,4)</f>
        <v>#N/A</v>
      </c>
      <c r="F55" s="34" t="e">
        <f>VLOOKUP($B55,[43]TrtCodes!$B$11:L62,5)</f>
        <v>#N/A</v>
      </c>
      <c r="G55" s="34" t="e">
        <f>VLOOKUP($B55,[43]TrtCodes!$B$11:M62,6)</f>
        <v>#N/A</v>
      </c>
      <c r="H55" s="34" t="e">
        <f>VLOOKUP($B55,[43]TrtCodes!$B$11:N62,7)</f>
        <v>#N/A</v>
      </c>
      <c r="I55" s="34">
        <f>[43]FormattedData!B19</f>
        <v>0</v>
      </c>
      <c r="J55" s="37">
        <f>[43]FormattedData!C19</f>
        <v>0</v>
      </c>
      <c r="K55" s="39">
        <f>$J$3+[43]FormattedData!D19*$J$4+$M$4*$J$5+[43]FormattedData!D19^2*$J$6+$M$5*$J$7</f>
        <v>-0.58371897760036062</v>
      </c>
      <c r="L55" s="39">
        <f>$J$3+[43]FormattedData!E19*$J$4+$M$4*$J$5+[43]FormattedData!E19^2*$J$6+$M$5*$J$7</f>
        <v>-0.58371897760036062</v>
      </c>
      <c r="M55" s="39">
        <f>$J$3+[43]FormattedData!F19*$J$4+$M$4*$J$5+[43]FormattedData!F19^2*$J$6+$M$5*$J$7</f>
        <v>-0.58371897760036062</v>
      </c>
      <c r="N55" s="39">
        <f>$J$3+[43]FormattedData!G19*$J$4+$M$4*$J$5+[43]FormattedData!G19^2*$J$6+$M$5*$J$7</f>
        <v>-0.58371897760036062</v>
      </c>
      <c r="O55" s="39">
        <f>$J$3+[43]FormattedData!H19*$J$4+$M$4*$J$5+[43]FormattedData!H19^2*$J$6+$M$5*$J$7</f>
        <v>-0.58371897760036062</v>
      </c>
      <c r="P55" s="39">
        <f>$J$3+[43]FormattedData!I19*$J$4+$M$4*$J$5+[43]FormattedData!I19^2*$J$6+$M$5*$J$7</f>
        <v>-0.58371897760036062</v>
      </c>
      <c r="Q55" s="39">
        <f>$J$3+[43]FormattedData!J19*$J$4+$M$4*$J$5+[43]FormattedData!J19^2*$J$6+$M$5*$J$7</f>
        <v>-0.58371897760036062</v>
      </c>
      <c r="R55" s="39">
        <f>$J$3+[43]FormattedData!K19*$J$4+$M$4*$J$5+[43]FormattedData!K19^2*$J$6+$M$5*$J$7</f>
        <v>-0.58371897760036062</v>
      </c>
      <c r="S55" s="39">
        <f>$J$3+[43]FormattedData!L19*$J$4+$M$4*$J$5+[43]FormattedData!L19^2*$J$6+$M$5*$J$7</f>
        <v>-0.58371897760036062</v>
      </c>
      <c r="T55" s="39">
        <f>$J$3+[43]FormattedData!M19*$J$4+$M$4*$J$5+[43]FormattedData!M19^2*$J$6+$M$5*$J$7</f>
        <v>-0.58371897760036062</v>
      </c>
      <c r="U55" s="39">
        <f>$J$3+[43]FormattedData!N19*$J$4+$M$4*$J$5+[43]FormattedData!N19^2*$J$6+$M$5*$J$7</f>
        <v>-0.58371897760036062</v>
      </c>
      <c r="V55" s="39">
        <f>$J$3+[43]FormattedData!O19*$J$4+$M$4*$J$5+[43]FormattedData!O19^2*$J$6+$M$5*$J$7</f>
        <v>-0.58371897760036062</v>
      </c>
      <c r="W55" s="38">
        <f>AVERAGE(K55:V55)</f>
        <v>-0.58371897760036073</v>
      </c>
      <c r="X55" s="37">
        <f>STDEV(K55:V55)/SQRT(COUNT(K55:V55))</f>
        <v>3.3474483693592253E-17</v>
      </c>
      <c r="Y55" s="36">
        <f>MIN(K55:V55)</f>
        <v>-0.58371897760036062</v>
      </c>
      <c r="Z55" s="35">
        <f>QUARTILE(K55:V55,1)</f>
        <v>-0.58371897760036062</v>
      </c>
      <c r="AA55" s="36">
        <f>MEDIAN(K55:V55)</f>
        <v>-0.58371897760036062</v>
      </c>
      <c r="AB55" s="35">
        <f>QUARTILE(K55:V55,3)</f>
        <v>-0.58371897760036062</v>
      </c>
      <c r="AC55" s="35">
        <f>MAX(K55:V55)</f>
        <v>-0.58371897760036062</v>
      </c>
      <c r="AD55" s="35">
        <f>SKEW(K55:V55)</f>
        <v>1.1489125293076057</v>
      </c>
      <c r="AE55" s="35">
        <f>KURT(K55:V55)</f>
        <v>-2.4444444444444446</v>
      </c>
    </row>
    <row r="56" spans="2:31" x14ac:dyDescent="0.2">
      <c r="B56" s="34">
        <f>[43]FormattedData!A17</f>
        <v>0</v>
      </c>
      <c r="C56" s="34" t="e">
        <f>VLOOKUP($B56,[43]TrtCodes!$B$11:I60,2)</f>
        <v>#N/A</v>
      </c>
      <c r="D56" s="34" t="e">
        <f>VLOOKUP($B56,[43]TrtCodes!$B$11:J60,3)</f>
        <v>#N/A</v>
      </c>
      <c r="E56" s="34" t="e">
        <f>VLOOKUP($B56,[43]TrtCodes!$B$11:K60,4)</f>
        <v>#N/A</v>
      </c>
      <c r="F56" s="34" t="e">
        <f>VLOOKUP($B56,[43]TrtCodes!$B$11:L60,5)</f>
        <v>#N/A</v>
      </c>
      <c r="G56" s="34" t="e">
        <f>VLOOKUP($B56,[43]TrtCodes!$B$11:M60,6)</f>
        <v>#N/A</v>
      </c>
      <c r="H56" s="34" t="e">
        <f>VLOOKUP($B56,[43]TrtCodes!$B$11:N60,7)</f>
        <v>#N/A</v>
      </c>
      <c r="I56" s="34">
        <f>[43]FormattedData!B17</f>
        <v>0</v>
      </c>
      <c r="J56" s="37">
        <f>[43]FormattedData!C17</f>
        <v>0</v>
      </c>
      <c r="K56" s="39">
        <f>$J$3+[43]FormattedData!D17*$J$4+$M$4*$J$5+[43]FormattedData!D17^2*$J$6+$M$5*$J$7</f>
        <v>-0.58371897760036062</v>
      </c>
      <c r="L56" s="39">
        <f>$J$3+[43]FormattedData!E17*$J$4+$M$4*$J$5+[43]FormattedData!E17^2*$J$6+$M$5*$J$7</f>
        <v>-0.58371897760036062</v>
      </c>
      <c r="M56" s="39">
        <f>$J$3+[43]FormattedData!F17*$J$4+$M$4*$J$5+[43]FormattedData!F17^2*$J$6+$M$5*$J$7</f>
        <v>-0.58371897760036062</v>
      </c>
      <c r="N56" s="39">
        <f>$J$3+[43]FormattedData!G17*$J$4+$M$4*$J$5+[43]FormattedData!G17^2*$J$6+$M$5*$J$7</f>
        <v>-0.58371897760036062</v>
      </c>
      <c r="O56" s="39">
        <f>$J$3+[43]FormattedData!H17*$J$4+$M$4*$J$5+[43]FormattedData!H17^2*$J$6+$M$5*$J$7</f>
        <v>-0.58371897760036062</v>
      </c>
      <c r="P56" s="39">
        <f>$J$3+[43]FormattedData!I17*$J$4+$M$4*$J$5+[43]FormattedData!I17^2*$J$6+$M$5*$J$7</f>
        <v>-0.58371897760036062</v>
      </c>
      <c r="Q56" s="39">
        <f>$J$3+[43]FormattedData!J17*$J$4+$M$4*$J$5+[43]FormattedData!J17^2*$J$6+$M$5*$J$7</f>
        <v>-0.58371897760036062</v>
      </c>
      <c r="R56" s="39">
        <f>$J$3+[43]FormattedData!K17*$J$4+$M$4*$J$5+[43]FormattedData!K17^2*$J$6+$M$5*$J$7</f>
        <v>-0.58371897760036062</v>
      </c>
      <c r="S56" s="39">
        <f>$J$3+[43]FormattedData!L17*$J$4+$M$4*$J$5+[43]FormattedData!L17^2*$J$6+$M$5*$J$7</f>
        <v>-0.58371897760036062</v>
      </c>
      <c r="T56" s="39">
        <f>$J$3+[43]FormattedData!M17*$J$4+$M$4*$J$5+[43]FormattedData!M17^2*$J$6+$M$5*$J$7</f>
        <v>-0.58371897760036062</v>
      </c>
      <c r="U56" s="39">
        <f>$J$3+[43]FormattedData!N17*$J$4+$M$4*$J$5+[43]FormattedData!N17^2*$J$6+$M$5*$J$7</f>
        <v>-0.58371897760036062</v>
      </c>
      <c r="V56" s="39">
        <f>$J$3+[43]FormattedData!O17*$J$4+$M$4*$J$5+[43]FormattedData!O17^2*$J$6+$M$5*$J$7</f>
        <v>-0.58371897760036062</v>
      </c>
      <c r="W56" s="38">
        <f>AVERAGE(K56:V56)</f>
        <v>-0.58371897760036073</v>
      </c>
      <c r="X56" s="37">
        <f>STDEV(K56:V56)/SQRT(COUNT(K56:V56))</f>
        <v>3.3474483693592253E-17</v>
      </c>
      <c r="Y56" s="36">
        <f>MIN(K56:V56)</f>
        <v>-0.58371897760036062</v>
      </c>
      <c r="Z56" s="35">
        <f>QUARTILE(K56:V56,1)</f>
        <v>-0.58371897760036062</v>
      </c>
      <c r="AA56" s="36">
        <f>MEDIAN(K56:V56)</f>
        <v>-0.58371897760036062</v>
      </c>
      <c r="AB56" s="35">
        <f>QUARTILE(K56:V56,3)</f>
        <v>-0.58371897760036062</v>
      </c>
      <c r="AC56" s="35">
        <f>MAX(K56:V56)</f>
        <v>-0.58371897760036062</v>
      </c>
      <c r="AD56" s="35">
        <f>SKEW(K56:V56)</f>
        <v>1.1489125293076057</v>
      </c>
      <c r="AE56" s="35">
        <f>KURT(K56:V56)</f>
        <v>-2.4444444444444446</v>
      </c>
    </row>
    <row r="57" spans="2:31" x14ac:dyDescent="0.2">
      <c r="B57" s="34">
        <f>[43]FormattedData!A15</f>
        <v>0</v>
      </c>
      <c r="C57" s="34" t="e">
        <f>VLOOKUP($B57,[43]TrtCodes!$B$11:I58,2)</f>
        <v>#N/A</v>
      </c>
      <c r="D57" s="34" t="e">
        <f>VLOOKUP($B57,[43]TrtCodes!$B$11:J58,3)</f>
        <v>#N/A</v>
      </c>
      <c r="E57" s="34" t="e">
        <f>VLOOKUP($B57,[43]TrtCodes!$B$11:K58,4)</f>
        <v>#N/A</v>
      </c>
      <c r="F57" s="34" t="e">
        <f>VLOOKUP($B57,[43]TrtCodes!$B$11:L58,5)</f>
        <v>#N/A</v>
      </c>
      <c r="G57" s="34" t="e">
        <f>VLOOKUP($B57,[43]TrtCodes!$B$11:M58,6)</f>
        <v>#N/A</v>
      </c>
      <c r="H57" s="34" t="e">
        <f>VLOOKUP($B57,[43]TrtCodes!$B$11:N58,7)</f>
        <v>#N/A</v>
      </c>
      <c r="I57" s="34">
        <f>[43]FormattedData!B15</f>
        <v>0</v>
      </c>
      <c r="J57" s="37">
        <f>[43]FormattedData!C15</f>
        <v>0</v>
      </c>
      <c r="K57" s="39">
        <f>$J$3+[43]FormattedData!D15*$J$4+$M$4*$J$5+[43]FormattedData!D15^2*$J$6+$M$5*$J$7</f>
        <v>-0.58371897760036062</v>
      </c>
      <c r="L57" s="39">
        <f>$J$3+[43]FormattedData!E15*$J$4+$M$4*$J$5+[43]FormattedData!E15^2*$J$6+$M$5*$J$7</f>
        <v>-0.58371897760036062</v>
      </c>
      <c r="M57" s="39">
        <f>$J$3+[43]FormattedData!F15*$J$4+$M$4*$J$5+[43]FormattedData!F15^2*$J$6+$M$5*$J$7</f>
        <v>-0.58371897760036062</v>
      </c>
      <c r="N57" s="39">
        <f>$J$3+[43]FormattedData!G15*$J$4+$M$4*$J$5+[43]FormattedData!G15^2*$J$6+$M$5*$J$7</f>
        <v>-0.58371897760036062</v>
      </c>
      <c r="O57" s="39">
        <f>$J$3+[43]FormattedData!H15*$J$4+$M$4*$J$5+[43]FormattedData!H15^2*$J$6+$M$5*$J$7</f>
        <v>-0.58371897760036062</v>
      </c>
      <c r="P57" s="39">
        <f>$J$3+[43]FormattedData!I15*$J$4+$M$4*$J$5+[43]FormattedData!I15^2*$J$6+$M$5*$J$7</f>
        <v>-0.58371897760036062</v>
      </c>
      <c r="Q57" s="39">
        <f>$J$3+[43]FormattedData!J15*$J$4+$M$4*$J$5+[43]FormattedData!J15^2*$J$6+$M$5*$J$7</f>
        <v>-0.58371897760036062</v>
      </c>
      <c r="R57" s="39">
        <f>$J$3+[43]FormattedData!K15*$J$4+$M$4*$J$5+[43]FormattedData!K15^2*$J$6+$M$5*$J$7</f>
        <v>-0.58371897760036062</v>
      </c>
      <c r="S57" s="39">
        <f>$J$3+[43]FormattedData!L15*$J$4+$M$4*$J$5+[43]FormattedData!L15^2*$J$6+$M$5*$J$7</f>
        <v>-0.58371897760036062</v>
      </c>
      <c r="T57" s="39">
        <f>$J$3+[43]FormattedData!M15*$J$4+$M$4*$J$5+[43]FormattedData!M15^2*$J$6+$M$5*$J$7</f>
        <v>-0.58371897760036062</v>
      </c>
      <c r="U57" s="39">
        <f>$J$3+[43]FormattedData!N15*$J$4+$M$4*$J$5+[43]FormattedData!N15^2*$J$6+$M$5*$J$7</f>
        <v>-0.58371897760036062</v>
      </c>
      <c r="V57" s="39">
        <f>$J$3+[43]FormattedData!O15*$J$4+$M$4*$J$5+[43]FormattedData!O15^2*$J$6+$M$5*$J$7</f>
        <v>-0.58371897760036062</v>
      </c>
      <c r="W57" s="38">
        <f>AVERAGE(K57:V57)</f>
        <v>-0.58371897760036073</v>
      </c>
      <c r="X57" s="37">
        <f>STDEV(K57:V57)/SQRT(COUNT(K57:V57))</f>
        <v>3.3474483693592253E-17</v>
      </c>
      <c r="Y57" s="36">
        <f>MIN(K57:V57)</f>
        <v>-0.58371897760036062</v>
      </c>
      <c r="Z57" s="35">
        <f>QUARTILE(K57:V57,1)</f>
        <v>-0.58371897760036062</v>
      </c>
      <c r="AA57" s="36">
        <f>MEDIAN(K57:V57)</f>
        <v>-0.58371897760036062</v>
      </c>
      <c r="AB57" s="35">
        <f>QUARTILE(K57:V57,3)</f>
        <v>-0.58371897760036062</v>
      </c>
      <c r="AC57" s="35">
        <f>MAX(K57:V57)</f>
        <v>-0.58371897760036062</v>
      </c>
      <c r="AD57" s="35">
        <f>SKEW(K57:V57)</f>
        <v>1.1489125293076057</v>
      </c>
      <c r="AE57" s="35">
        <f>KURT(K57:V57)</f>
        <v>-2.4444444444444446</v>
      </c>
    </row>
    <row r="58" spans="2:31" x14ac:dyDescent="0.2">
      <c r="B58" s="34">
        <f>[43]FormattedData!A31</f>
        <v>0</v>
      </c>
      <c r="C58" s="34" t="e">
        <f>VLOOKUP($B58,[43]TrtCodes!$B$11:I74,2)</f>
        <v>#N/A</v>
      </c>
      <c r="D58" s="34" t="e">
        <f>VLOOKUP($B58,[43]TrtCodes!$B$11:J74,3)</f>
        <v>#N/A</v>
      </c>
      <c r="E58" s="34" t="e">
        <f>VLOOKUP($B58,[43]TrtCodes!$B$11:K74,4)</f>
        <v>#N/A</v>
      </c>
      <c r="F58" s="34" t="e">
        <f>VLOOKUP($B58,[43]TrtCodes!$B$11:L74,5)</f>
        <v>#N/A</v>
      </c>
      <c r="G58" s="34" t="e">
        <f>VLOOKUP($B58,[43]TrtCodes!$B$11:M74,6)</f>
        <v>#N/A</v>
      </c>
      <c r="H58" s="34" t="e">
        <f>VLOOKUP($B58,[43]TrtCodes!$B$11:N74,7)</f>
        <v>#N/A</v>
      </c>
      <c r="I58" s="34">
        <f>[43]FormattedData!B31</f>
        <v>0</v>
      </c>
      <c r="J58" s="37">
        <f>[43]FormattedData!C31</f>
        <v>0</v>
      </c>
      <c r="K58" s="39">
        <f>$J$3+[43]FormattedData!D31*$J$4+$M$4*$J$5+[43]FormattedData!D31^2*$J$6+$M$5*$J$7</f>
        <v>-0.58371897760036062</v>
      </c>
      <c r="L58" s="39">
        <f>$J$3+[43]FormattedData!E31*$J$4+$M$4*$J$5+[43]FormattedData!E31^2*$J$6+$M$5*$J$7</f>
        <v>-0.58371897760036062</v>
      </c>
      <c r="M58" s="39">
        <f>$J$3+[43]FormattedData!F31*$J$4+$M$4*$J$5+[43]FormattedData!F31^2*$J$6+$M$5*$J$7</f>
        <v>-0.58371897760036062</v>
      </c>
      <c r="N58" s="39">
        <f>$J$3+[43]FormattedData!G31*$J$4+$M$4*$J$5+[43]FormattedData!G31^2*$J$6+$M$5*$J$7</f>
        <v>-0.58371897760036062</v>
      </c>
      <c r="O58" s="39">
        <f>$J$3+[43]FormattedData!H31*$J$4+$M$4*$J$5+[43]FormattedData!H31^2*$J$6+$M$5*$J$7</f>
        <v>-0.58371897760036062</v>
      </c>
      <c r="P58" s="39">
        <f>$J$3+[43]FormattedData!I31*$J$4+$M$4*$J$5+[43]FormattedData!I31^2*$J$6+$M$5*$J$7</f>
        <v>-0.58371897760036062</v>
      </c>
      <c r="Q58" s="39">
        <f>$J$3+[43]FormattedData!J31*$J$4+$M$4*$J$5+[43]FormattedData!J31^2*$J$6+$M$5*$J$7</f>
        <v>-0.58371897760036062</v>
      </c>
      <c r="R58" s="39">
        <f>$J$3+[43]FormattedData!K31*$J$4+$M$4*$J$5+[43]FormattedData!K31^2*$J$6+$M$5*$J$7</f>
        <v>-0.58371897760036062</v>
      </c>
      <c r="S58" s="39">
        <f>$J$3+[43]FormattedData!L31*$J$4+$M$4*$J$5+[43]FormattedData!L31^2*$J$6+$M$5*$J$7</f>
        <v>-0.58371897760036062</v>
      </c>
      <c r="T58" s="39">
        <f>$J$3+[43]FormattedData!M31*$J$4+$M$4*$J$5+[43]FormattedData!M31^2*$J$6+$M$5*$J$7</f>
        <v>-0.58371897760036062</v>
      </c>
      <c r="U58" s="39">
        <f>$J$3+[43]FormattedData!N31*$J$4+$M$4*$J$5+[43]FormattedData!N31^2*$J$6+$M$5*$J$7</f>
        <v>-0.58371897760036062</v>
      </c>
      <c r="V58" s="39">
        <f>$J$3+[43]FormattedData!O31*$J$4+$M$4*$J$5+[43]FormattedData!O31^2*$J$6+$M$5*$J$7</f>
        <v>-0.58371897760036062</v>
      </c>
      <c r="W58" s="38">
        <f>AVERAGE(K58:V58)</f>
        <v>-0.58371897760036073</v>
      </c>
      <c r="X58" s="37">
        <f>STDEV(K58:V58)/SQRT(COUNT(K58:V58))</f>
        <v>3.3474483693592253E-17</v>
      </c>
      <c r="Y58" s="36">
        <f>MIN(K58:V58)</f>
        <v>-0.58371897760036062</v>
      </c>
      <c r="Z58" s="35">
        <f>QUARTILE(K58:V58,1)</f>
        <v>-0.58371897760036062</v>
      </c>
      <c r="AA58" s="36">
        <f>MEDIAN(K58:V58)</f>
        <v>-0.58371897760036062</v>
      </c>
      <c r="AB58" s="35">
        <f>QUARTILE(K58:V58,3)</f>
        <v>-0.58371897760036062</v>
      </c>
      <c r="AC58" s="35">
        <f>MAX(K58:V58)</f>
        <v>-0.58371897760036062</v>
      </c>
      <c r="AD58" s="35">
        <f>SKEW(K58:V58)</f>
        <v>1.1489125293076057</v>
      </c>
      <c r="AE58" s="35">
        <f>KURT(K58:V58)</f>
        <v>-2.4444444444444446</v>
      </c>
    </row>
    <row r="59" spans="2:31" x14ac:dyDescent="0.2">
      <c r="B59" s="34">
        <f>[43]FormattedData!A33</f>
        <v>0</v>
      </c>
      <c r="C59" s="34" t="e">
        <f>VLOOKUP($B59,[43]TrtCodes!$B$11:I76,2)</f>
        <v>#N/A</v>
      </c>
      <c r="D59" s="34" t="e">
        <f>VLOOKUP($B59,[43]TrtCodes!$B$11:J76,3)</f>
        <v>#N/A</v>
      </c>
      <c r="E59" s="34" t="e">
        <f>VLOOKUP($B59,[43]TrtCodes!$B$11:K76,4)</f>
        <v>#N/A</v>
      </c>
      <c r="F59" s="34" t="e">
        <f>VLOOKUP($B59,[43]TrtCodes!$B$11:L76,5)</f>
        <v>#N/A</v>
      </c>
      <c r="G59" s="34" t="e">
        <f>VLOOKUP($B59,[43]TrtCodes!$B$11:M76,6)</f>
        <v>#N/A</v>
      </c>
      <c r="H59" s="34" t="e">
        <f>VLOOKUP($B59,[43]TrtCodes!$B$11:N76,7)</f>
        <v>#N/A</v>
      </c>
      <c r="I59" s="34">
        <f>[43]FormattedData!B33</f>
        <v>0</v>
      </c>
      <c r="J59" s="37">
        <f>[43]FormattedData!C33</f>
        <v>0</v>
      </c>
      <c r="K59" s="39">
        <f>$J$3+[43]FormattedData!D33*$J$4+$M$4*$J$5+[43]FormattedData!D33^2*$J$6+$M$5*$J$7</f>
        <v>-0.58371897760036062</v>
      </c>
      <c r="L59" s="39">
        <f>$J$3+[43]FormattedData!E33*$J$4+$M$4*$J$5+[43]FormattedData!E33^2*$J$6+$M$5*$J$7</f>
        <v>-0.58371897760036062</v>
      </c>
      <c r="M59" s="39">
        <f>$J$3+[43]FormattedData!F33*$J$4+$M$4*$J$5+[43]FormattedData!F33^2*$J$6+$M$5*$J$7</f>
        <v>-0.58371897760036062</v>
      </c>
      <c r="N59" s="39">
        <f>$J$3+[43]FormattedData!G33*$J$4+$M$4*$J$5+[43]FormattedData!G33^2*$J$6+$M$5*$J$7</f>
        <v>-0.58371897760036062</v>
      </c>
      <c r="O59" s="39">
        <f>$J$3+[43]FormattedData!H33*$J$4+$M$4*$J$5+[43]FormattedData!H33^2*$J$6+$M$5*$J$7</f>
        <v>-0.58371897760036062</v>
      </c>
      <c r="P59" s="39">
        <f>$J$3+[43]FormattedData!I33*$J$4+$M$4*$J$5+[43]FormattedData!I33^2*$J$6+$M$5*$J$7</f>
        <v>-0.58371897760036062</v>
      </c>
      <c r="Q59" s="39">
        <f>$J$3+[43]FormattedData!J33*$J$4+$M$4*$J$5+[43]FormattedData!J33^2*$J$6+$M$5*$J$7</f>
        <v>-0.58371897760036062</v>
      </c>
      <c r="R59" s="39">
        <f>$J$3+[43]FormattedData!K33*$J$4+$M$4*$J$5+[43]FormattedData!K33^2*$J$6+$M$5*$J$7</f>
        <v>-0.58371897760036062</v>
      </c>
      <c r="S59" s="39">
        <f>$J$3+[43]FormattedData!L33*$J$4+$M$4*$J$5+[43]FormattedData!L33^2*$J$6+$M$5*$J$7</f>
        <v>-0.58371897760036062</v>
      </c>
      <c r="T59" s="39">
        <f>$J$3+[43]FormattedData!M33*$J$4+$M$4*$J$5+[43]FormattedData!M33^2*$J$6+$M$5*$J$7</f>
        <v>-0.58371897760036062</v>
      </c>
      <c r="U59" s="39">
        <f>$J$3+[43]FormattedData!N33*$J$4+$M$4*$J$5+[43]FormattedData!N33^2*$J$6+$M$5*$J$7</f>
        <v>-0.58371897760036062</v>
      </c>
      <c r="V59" s="39">
        <f>$J$3+[43]FormattedData!O33*$J$4+$M$4*$J$5+[43]FormattedData!O33^2*$J$6+$M$5*$J$7</f>
        <v>-0.58371897760036062</v>
      </c>
      <c r="W59" s="38">
        <f>AVERAGE(K59:V59)</f>
        <v>-0.58371897760036073</v>
      </c>
      <c r="X59" s="37">
        <f>STDEV(K59:V59)/SQRT(COUNT(K59:V59))</f>
        <v>3.3474483693592253E-17</v>
      </c>
      <c r="Y59" s="36">
        <f>MIN(K59:V59)</f>
        <v>-0.58371897760036062</v>
      </c>
      <c r="Z59" s="35">
        <f>QUARTILE(K59:V59,1)</f>
        <v>-0.58371897760036062</v>
      </c>
      <c r="AA59" s="36">
        <f>MEDIAN(K59:V59)</f>
        <v>-0.58371897760036062</v>
      </c>
      <c r="AB59" s="35">
        <f>QUARTILE(K59:V59,3)</f>
        <v>-0.58371897760036062</v>
      </c>
      <c r="AC59" s="35">
        <f>MAX(K59:V59)</f>
        <v>-0.58371897760036062</v>
      </c>
      <c r="AD59" s="35">
        <f>SKEW(K59:V59)</f>
        <v>1.1489125293076057</v>
      </c>
      <c r="AE59" s="35">
        <f>KURT(K59:V59)</f>
        <v>-2.4444444444444446</v>
      </c>
    </row>
    <row r="60" spans="2:31" x14ac:dyDescent="0.2">
      <c r="B60" s="34">
        <f>[43]FormattedData!A35</f>
        <v>0</v>
      </c>
      <c r="C60" s="34" t="e">
        <f>VLOOKUP($B60,[43]TrtCodes!$B$11:I78,2)</f>
        <v>#N/A</v>
      </c>
      <c r="D60" s="34" t="e">
        <f>VLOOKUP($B60,[43]TrtCodes!$B$11:J78,3)</f>
        <v>#N/A</v>
      </c>
      <c r="E60" s="34" t="e">
        <f>VLOOKUP($B60,[43]TrtCodes!$B$11:K78,4)</f>
        <v>#N/A</v>
      </c>
      <c r="F60" s="34" t="e">
        <f>VLOOKUP($B60,[43]TrtCodes!$B$11:L78,5)</f>
        <v>#N/A</v>
      </c>
      <c r="G60" s="34" t="e">
        <f>VLOOKUP($B60,[43]TrtCodes!$B$11:M78,6)</f>
        <v>#N/A</v>
      </c>
      <c r="H60" s="34" t="e">
        <f>VLOOKUP($B60,[43]TrtCodes!$B$11:N78,7)</f>
        <v>#N/A</v>
      </c>
      <c r="I60" s="34">
        <f>[43]FormattedData!B35</f>
        <v>0</v>
      </c>
      <c r="J60" s="37">
        <f>[43]FormattedData!C35</f>
        <v>0</v>
      </c>
      <c r="K60" s="39">
        <f>$J$3+[43]FormattedData!D35*$J$4+$M$4*$J$5+[43]FormattedData!D35^2*$J$6+$M$5*$J$7</f>
        <v>-0.58371897760036062</v>
      </c>
      <c r="L60" s="39">
        <f>$J$3+[43]FormattedData!E35*$J$4+$M$4*$J$5+[43]FormattedData!E35^2*$J$6+$M$5*$J$7</f>
        <v>-0.58371897760036062</v>
      </c>
      <c r="M60" s="39">
        <f>$J$3+[43]FormattedData!F35*$J$4+$M$4*$J$5+[43]FormattedData!F35^2*$J$6+$M$5*$J$7</f>
        <v>-0.58371897760036062</v>
      </c>
      <c r="N60" s="39">
        <f>$J$3+[43]FormattedData!G35*$J$4+$M$4*$J$5+[43]FormattedData!G35^2*$J$6+$M$5*$J$7</f>
        <v>-0.58371897760036062</v>
      </c>
      <c r="O60" s="39">
        <f>$J$3+[43]FormattedData!H35*$J$4+$M$4*$J$5+[43]FormattedData!H35^2*$J$6+$M$5*$J$7</f>
        <v>-0.58371897760036062</v>
      </c>
      <c r="P60" s="39">
        <f>$J$3+[43]FormattedData!I35*$J$4+$M$4*$J$5+[43]FormattedData!I35^2*$J$6+$M$5*$J$7</f>
        <v>-0.58371897760036062</v>
      </c>
      <c r="Q60" s="39">
        <f>$J$3+[43]FormattedData!J35*$J$4+$M$4*$J$5+[43]FormattedData!J35^2*$J$6+$M$5*$J$7</f>
        <v>-0.58371897760036062</v>
      </c>
      <c r="R60" s="39">
        <f>$J$3+[43]FormattedData!K35*$J$4+$M$4*$J$5+[43]FormattedData!K35^2*$J$6+$M$5*$J$7</f>
        <v>-0.58371897760036062</v>
      </c>
      <c r="S60" s="39">
        <f>$J$3+[43]FormattedData!L35*$J$4+$M$4*$J$5+[43]FormattedData!L35^2*$J$6+$M$5*$J$7</f>
        <v>-0.58371897760036062</v>
      </c>
      <c r="T60" s="39">
        <f>$J$3+[43]FormattedData!M35*$J$4+$M$4*$J$5+[43]FormattedData!M35^2*$J$6+$M$5*$J$7</f>
        <v>-0.58371897760036062</v>
      </c>
      <c r="U60" s="39">
        <f>$J$3+[43]FormattedData!N35*$J$4+$M$4*$J$5+[43]FormattedData!N35^2*$J$6+$M$5*$J$7</f>
        <v>-0.58371897760036062</v>
      </c>
      <c r="V60" s="39">
        <f>$J$3+[43]FormattedData!O35*$J$4+$M$4*$J$5+[43]FormattedData!O35^2*$J$6+$M$5*$J$7</f>
        <v>-0.58371897760036062</v>
      </c>
      <c r="W60" s="38">
        <f>AVERAGE(K60:V60)</f>
        <v>-0.58371897760036073</v>
      </c>
      <c r="X60" s="37">
        <f>STDEV(K60:V60)/SQRT(COUNT(K60:V60))</f>
        <v>3.3474483693592253E-17</v>
      </c>
      <c r="Y60" s="36">
        <f>MIN(K60:V60)</f>
        <v>-0.58371897760036062</v>
      </c>
      <c r="Z60" s="35">
        <f>QUARTILE(K60:V60,1)</f>
        <v>-0.58371897760036062</v>
      </c>
      <c r="AA60" s="36">
        <f>MEDIAN(K60:V60)</f>
        <v>-0.58371897760036062</v>
      </c>
      <c r="AB60" s="35">
        <f>QUARTILE(K60:V60,3)</f>
        <v>-0.58371897760036062</v>
      </c>
      <c r="AC60" s="35">
        <f>MAX(K60:V60)</f>
        <v>-0.58371897760036062</v>
      </c>
      <c r="AD60" s="35">
        <f>SKEW(K60:V60)</f>
        <v>1.1489125293076057</v>
      </c>
      <c r="AE60" s="35">
        <f>KURT(K60:V60)</f>
        <v>-2.4444444444444446</v>
      </c>
    </row>
    <row r="61" spans="2:31" x14ac:dyDescent="0.2">
      <c r="B61" s="34">
        <f>[43]FormattedData!A37</f>
        <v>0</v>
      </c>
      <c r="C61" s="34" t="e">
        <f>VLOOKUP($B61,[43]TrtCodes!$B$11:I80,2)</f>
        <v>#N/A</v>
      </c>
      <c r="D61" s="34" t="e">
        <f>VLOOKUP($B61,[43]TrtCodes!$B$11:J80,3)</f>
        <v>#N/A</v>
      </c>
      <c r="E61" s="34" t="e">
        <f>VLOOKUP($B61,[43]TrtCodes!$B$11:K80,4)</f>
        <v>#N/A</v>
      </c>
      <c r="F61" s="34" t="e">
        <f>VLOOKUP($B61,[43]TrtCodes!$B$11:L80,5)</f>
        <v>#N/A</v>
      </c>
      <c r="G61" s="34" t="e">
        <f>VLOOKUP($B61,[43]TrtCodes!$B$11:M80,6)</f>
        <v>#N/A</v>
      </c>
      <c r="H61" s="34" t="e">
        <f>VLOOKUP($B61,[43]TrtCodes!$B$11:N80,7)</f>
        <v>#N/A</v>
      </c>
      <c r="I61" s="34">
        <f>[43]FormattedData!B37</f>
        <v>0</v>
      </c>
      <c r="J61" s="37">
        <f>[43]FormattedData!C37</f>
        <v>0</v>
      </c>
      <c r="K61" s="39">
        <f>$J$3+[43]FormattedData!D37*$J$4+$M$4*$J$5+[43]FormattedData!D37^2*$J$6+$M$5*$J$7</f>
        <v>-0.58371897760036062</v>
      </c>
      <c r="L61" s="39">
        <f>$J$3+[43]FormattedData!E37*$J$4+$M$4*$J$5+[43]FormattedData!E37^2*$J$6+$M$5*$J$7</f>
        <v>-0.58371897760036062</v>
      </c>
      <c r="M61" s="39">
        <f>$J$3+[43]FormattedData!F37*$J$4+$M$4*$J$5+[43]FormattedData!F37^2*$J$6+$M$5*$J$7</f>
        <v>-0.58371897760036062</v>
      </c>
      <c r="N61" s="39">
        <f>$J$3+[43]FormattedData!G37*$J$4+$M$4*$J$5+[43]FormattedData!G37^2*$J$6+$M$5*$J$7</f>
        <v>-0.58371897760036062</v>
      </c>
      <c r="O61" s="39">
        <f>$J$3+[43]FormattedData!H37*$J$4+$M$4*$J$5+[43]FormattedData!H37^2*$J$6+$M$5*$J$7</f>
        <v>-0.58371897760036062</v>
      </c>
      <c r="P61" s="39">
        <f>$J$3+[43]FormattedData!I37*$J$4+$M$4*$J$5+[43]FormattedData!I37^2*$J$6+$M$5*$J$7</f>
        <v>-0.58371897760036062</v>
      </c>
      <c r="Q61" s="39">
        <f>$J$3+[43]FormattedData!J37*$J$4+$M$4*$J$5+[43]FormattedData!J37^2*$J$6+$M$5*$J$7</f>
        <v>-0.58371897760036062</v>
      </c>
      <c r="R61" s="39">
        <f>$J$3+[43]FormattedData!K37*$J$4+$M$4*$J$5+[43]FormattedData!K37^2*$J$6+$M$5*$J$7</f>
        <v>-0.58371897760036062</v>
      </c>
      <c r="S61" s="39">
        <f>$J$3+[43]FormattedData!L37*$J$4+$M$4*$J$5+[43]FormattedData!L37^2*$J$6+$M$5*$J$7</f>
        <v>-0.58371897760036062</v>
      </c>
      <c r="T61" s="39">
        <f>$J$3+[43]FormattedData!M37*$J$4+$M$4*$J$5+[43]FormattedData!M37^2*$J$6+$M$5*$J$7</f>
        <v>-0.58371897760036062</v>
      </c>
      <c r="U61" s="39">
        <f>$J$3+[43]FormattedData!N37*$J$4+$M$4*$J$5+[43]FormattedData!N37^2*$J$6+$M$5*$J$7</f>
        <v>-0.58371897760036062</v>
      </c>
      <c r="V61" s="39">
        <f>$J$3+[43]FormattedData!O37*$J$4+$M$4*$J$5+[43]FormattedData!O37^2*$J$6+$M$5*$J$7</f>
        <v>-0.58371897760036062</v>
      </c>
      <c r="W61" s="38">
        <f>AVERAGE(K61:V61)</f>
        <v>-0.58371897760036073</v>
      </c>
      <c r="X61" s="37">
        <f>STDEV(K61:V61)/SQRT(COUNT(K61:V61))</f>
        <v>3.3474483693592253E-17</v>
      </c>
      <c r="Y61" s="36">
        <f>MIN(K61:V61)</f>
        <v>-0.58371897760036062</v>
      </c>
      <c r="Z61" s="35">
        <f>QUARTILE(K61:V61,1)</f>
        <v>-0.58371897760036062</v>
      </c>
      <c r="AA61" s="36">
        <f>MEDIAN(K61:V61)</f>
        <v>-0.58371897760036062</v>
      </c>
      <c r="AB61" s="35">
        <f>QUARTILE(K61:V61,3)</f>
        <v>-0.58371897760036062</v>
      </c>
      <c r="AC61" s="35">
        <f>MAX(K61:V61)</f>
        <v>-0.58371897760036062</v>
      </c>
      <c r="AD61" s="35">
        <f>SKEW(K61:V61)</f>
        <v>1.1489125293076057</v>
      </c>
      <c r="AE61" s="35">
        <f>KURT(K61:V61)</f>
        <v>-2.4444444444444446</v>
      </c>
    </row>
    <row r="62" spans="2:31" x14ac:dyDescent="0.2">
      <c r="B62" s="34">
        <f>[43]FormattedData!A39</f>
        <v>0</v>
      </c>
      <c r="C62" s="34" t="e">
        <f>VLOOKUP($B62,[43]TrtCodes!$B$11:I82,2)</f>
        <v>#N/A</v>
      </c>
      <c r="D62" s="34" t="e">
        <f>VLOOKUP($B62,[43]TrtCodes!$B$11:J82,3)</f>
        <v>#N/A</v>
      </c>
      <c r="E62" s="34" t="e">
        <f>VLOOKUP($B62,[43]TrtCodes!$B$11:K82,4)</f>
        <v>#N/A</v>
      </c>
      <c r="F62" s="34" t="e">
        <f>VLOOKUP($B62,[43]TrtCodes!$B$11:L82,5)</f>
        <v>#N/A</v>
      </c>
      <c r="G62" s="34" t="e">
        <f>VLOOKUP($B62,[43]TrtCodes!$B$11:M82,6)</f>
        <v>#N/A</v>
      </c>
      <c r="H62" s="34" t="e">
        <f>VLOOKUP($B62,[43]TrtCodes!$B$11:N82,7)</f>
        <v>#N/A</v>
      </c>
      <c r="I62" s="34">
        <f>[43]FormattedData!B39</f>
        <v>0</v>
      </c>
      <c r="J62" s="37">
        <f>[43]FormattedData!C39</f>
        <v>0</v>
      </c>
      <c r="K62" s="39">
        <f>$J$3+[43]FormattedData!D39*$J$4+$M$4*$J$5+[43]FormattedData!D39^2*$J$6+$M$5*$J$7</f>
        <v>-0.58371897760036062</v>
      </c>
      <c r="L62" s="39">
        <f>$J$3+[43]FormattedData!E39*$J$4+$M$4*$J$5+[43]FormattedData!E39^2*$J$6+$M$5*$J$7</f>
        <v>-0.58371897760036062</v>
      </c>
      <c r="M62" s="39">
        <f>$J$3+[43]FormattedData!F39*$J$4+$M$4*$J$5+[43]FormattedData!F39^2*$J$6+$M$5*$J$7</f>
        <v>-0.58371897760036062</v>
      </c>
      <c r="N62" s="39">
        <f>$J$3+[43]FormattedData!G39*$J$4+$M$4*$J$5+[43]FormattedData!G39^2*$J$6+$M$5*$J$7</f>
        <v>-0.58371897760036062</v>
      </c>
      <c r="O62" s="39">
        <f>$J$3+[43]FormattedData!H39*$J$4+$M$4*$J$5+[43]FormattedData!H39^2*$J$6+$M$5*$J$7</f>
        <v>-0.58371897760036062</v>
      </c>
      <c r="P62" s="39">
        <f>$J$3+[43]FormattedData!I39*$J$4+$M$4*$J$5+[43]FormattedData!I39^2*$J$6+$M$5*$J$7</f>
        <v>-0.58371897760036062</v>
      </c>
      <c r="Q62" s="39">
        <f>$J$3+[43]FormattedData!J39*$J$4+$M$4*$J$5+[43]FormattedData!J39^2*$J$6+$M$5*$J$7</f>
        <v>-0.58371897760036062</v>
      </c>
      <c r="R62" s="39">
        <f>$J$3+[43]FormattedData!K39*$J$4+$M$4*$J$5+[43]FormattedData!K39^2*$J$6+$M$5*$J$7</f>
        <v>-0.58371897760036062</v>
      </c>
      <c r="S62" s="39">
        <f>$J$3+[43]FormattedData!L39*$J$4+$M$4*$J$5+[43]FormattedData!L39^2*$J$6+$M$5*$J$7</f>
        <v>-0.58371897760036062</v>
      </c>
      <c r="T62" s="39">
        <f>$J$3+[43]FormattedData!M39*$J$4+$M$4*$J$5+[43]FormattedData!M39^2*$J$6+$M$5*$J$7</f>
        <v>-0.58371897760036062</v>
      </c>
      <c r="U62" s="39">
        <f>$J$3+[43]FormattedData!N39*$J$4+$M$4*$J$5+[43]FormattedData!N39^2*$J$6+$M$5*$J$7</f>
        <v>-0.58371897760036062</v>
      </c>
      <c r="V62" s="39">
        <f>$J$3+[43]FormattedData!O39*$J$4+$M$4*$J$5+[43]FormattedData!O39^2*$J$6+$M$5*$J$7</f>
        <v>-0.58371897760036062</v>
      </c>
      <c r="W62" s="38">
        <f>AVERAGE(K62:V62)</f>
        <v>-0.58371897760036073</v>
      </c>
      <c r="X62" s="37">
        <f>STDEV(K62:V62)/SQRT(COUNT(K62:V62))</f>
        <v>3.3474483693592253E-17</v>
      </c>
      <c r="Y62" s="36">
        <f>MIN(K62:V62)</f>
        <v>-0.58371897760036062</v>
      </c>
      <c r="Z62" s="35">
        <f>QUARTILE(K62:V62,1)</f>
        <v>-0.58371897760036062</v>
      </c>
      <c r="AA62" s="36">
        <f>MEDIAN(K62:V62)</f>
        <v>-0.58371897760036062</v>
      </c>
      <c r="AB62" s="35">
        <f>QUARTILE(K62:V62,3)</f>
        <v>-0.58371897760036062</v>
      </c>
      <c r="AC62" s="35">
        <f>MAX(K62:V62)</f>
        <v>-0.58371897760036062</v>
      </c>
      <c r="AD62" s="35">
        <f>SKEW(K62:V62)</f>
        <v>1.1489125293076057</v>
      </c>
      <c r="AE62" s="35">
        <f>KURT(K62:V62)</f>
        <v>-2.4444444444444446</v>
      </c>
    </row>
    <row r="63" spans="2:31" x14ac:dyDescent="0.2">
      <c r="B63" s="34">
        <f>[43]FormattedData!A41</f>
        <v>0</v>
      </c>
      <c r="C63" s="34" t="e">
        <f>VLOOKUP($B63,[43]TrtCodes!$B$11:I84,2)</f>
        <v>#N/A</v>
      </c>
      <c r="D63" s="34" t="e">
        <f>VLOOKUP($B63,[43]TrtCodes!$B$11:J84,3)</f>
        <v>#N/A</v>
      </c>
      <c r="E63" s="34" t="e">
        <f>VLOOKUP($B63,[43]TrtCodes!$B$11:K84,4)</f>
        <v>#N/A</v>
      </c>
      <c r="F63" s="34" t="e">
        <f>VLOOKUP($B63,[43]TrtCodes!$B$11:L84,5)</f>
        <v>#N/A</v>
      </c>
      <c r="G63" s="34" t="e">
        <f>VLOOKUP($B63,[43]TrtCodes!$B$11:M84,6)</f>
        <v>#N/A</v>
      </c>
      <c r="H63" s="34" t="e">
        <f>VLOOKUP($B63,[43]TrtCodes!$B$11:N84,7)</f>
        <v>#N/A</v>
      </c>
      <c r="I63" s="34">
        <f>[43]FormattedData!B41</f>
        <v>0</v>
      </c>
      <c r="J63" s="37">
        <f>[43]FormattedData!C41</f>
        <v>0</v>
      </c>
      <c r="K63" s="39">
        <f>$J$3+[43]FormattedData!D41*$J$4+$M$4*$J$5+[43]FormattedData!D41^2*$J$6+$M$5*$J$7</f>
        <v>-0.58371897760036062</v>
      </c>
      <c r="L63" s="39">
        <f>$J$3+[43]FormattedData!E41*$J$4+$M$4*$J$5+[43]FormattedData!E41^2*$J$6+$M$5*$J$7</f>
        <v>-0.58371897760036062</v>
      </c>
      <c r="M63" s="39">
        <f>$J$3+[43]FormattedData!F41*$J$4+$M$4*$J$5+[43]FormattedData!F41^2*$J$6+$M$5*$J$7</f>
        <v>-0.58371897760036062</v>
      </c>
      <c r="N63" s="39">
        <f>$J$3+[43]FormattedData!G41*$J$4+$M$4*$J$5+[43]FormattedData!G41^2*$J$6+$M$5*$J$7</f>
        <v>-0.58371897760036062</v>
      </c>
      <c r="O63" s="39">
        <f>$J$3+[43]FormattedData!H41*$J$4+$M$4*$J$5+[43]FormattedData!H41^2*$J$6+$M$5*$J$7</f>
        <v>-0.58371897760036062</v>
      </c>
      <c r="P63" s="39">
        <f>$J$3+[43]FormattedData!I41*$J$4+$M$4*$J$5+[43]FormattedData!I41^2*$J$6+$M$5*$J$7</f>
        <v>-0.58371897760036062</v>
      </c>
      <c r="Q63" s="39">
        <f>$J$3+[43]FormattedData!J41*$J$4+$M$4*$J$5+[43]FormattedData!J41^2*$J$6+$M$5*$J$7</f>
        <v>-0.58371897760036062</v>
      </c>
      <c r="R63" s="39">
        <f>$J$3+[43]FormattedData!K41*$J$4+$M$4*$J$5+[43]FormattedData!K41^2*$J$6+$M$5*$J$7</f>
        <v>-0.58371897760036062</v>
      </c>
      <c r="S63" s="39">
        <f>$J$3+[43]FormattedData!L41*$J$4+$M$4*$J$5+[43]FormattedData!L41^2*$J$6+$M$5*$J$7</f>
        <v>-0.58371897760036062</v>
      </c>
      <c r="T63" s="39">
        <f>$J$3+[43]FormattedData!M41*$J$4+$M$4*$J$5+[43]FormattedData!M41^2*$J$6+$M$5*$J$7</f>
        <v>-0.58371897760036062</v>
      </c>
      <c r="U63" s="39">
        <f>$J$3+[43]FormattedData!N41*$J$4+$M$4*$J$5+[43]FormattedData!N41^2*$J$6+$M$5*$J$7</f>
        <v>-0.58371897760036062</v>
      </c>
      <c r="V63" s="39">
        <f>$J$3+[43]FormattedData!O41*$J$4+$M$4*$J$5+[43]FormattedData!O41^2*$J$6+$M$5*$J$7</f>
        <v>-0.58371897760036062</v>
      </c>
      <c r="W63" s="38">
        <f>AVERAGE(K63:V63)</f>
        <v>-0.58371897760036073</v>
      </c>
      <c r="X63" s="37">
        <f>STDEV(K63:V63)/SQRT(COUNT(K63:V63))</f>
        <v>3.3474483693592253E-17</v>
      </c>
      <c r="Y63" s="36">
        <f>MIN(K63:V63)</f>
        <v>-0.58371897760036062</v>
      </c>
      <c r="Z63" s="35">
        <f>QUARTILE(K63:V63,1)</f>
        <v>-0.58371897760036062</v>
      </c>
      <c r="AA63" s="36">
        <f>MEDIAN(K63:V63)</f>
        <v>-0.58371897760036062</v>
      </c>
      <c r="AB63" s="35">
        <f>QUARTILE(K63:V63,3)</f>
        <v>-0.58371897760036062</v>
      </c>
      <c r="AC63" s="35">
        <f>MAX(K63:V63)</f>
        <v>-0.58371897760036062</v>
      </c>
      <c r="AD63" s="35">
        <f>SKEW(K63:V63)</f>
        <v>1.1489125293076057</v>
      </c>
      <c r="AE63" s="35">
        <f>KURT(K63:V63)</f>
        <v>-2.4444444444444446</v>
      </c>
    </row>
    <row r="64" spans="2:31" x14ac:dyDescent="0.2">
      <c r="B64" s="34">
        <f>[43]FormattedData!A43</f>
        <v>0</v>
      </c>
      <c r="C64" s="34" t="e">
        <f>VLOOKUP($B64,[43]TrtCodes!$B$11:I86,2)</f>
        <v>#N/A</v>
      </c>
      <c r="D64" s="34" t="e">
        <f>VLOOKUP($B64,[43]TrtCodes!$B$11:J86,3)</f>
        <v>#N/A</v>
      </c>
      <c r="E64" s="34" t="e">
        <f>VLOOKUP($B64,[43]TrtCodes!$B$11:K86,4)</f>
        <v>#N/A</v>
      </c>
      <c r="F64" s="34" t="e">
        <f>VLOOKUP($B64,[43]TrtCodes!$B$11:L86,5)</f>
        <v>#N/A</v>
      </c>
      <c r="G64" s="34" t="e">
        <f>VLOOKUP($B64,[43]TrtCodes!$B$11:M86,6)</f>
        <v>#N/A</v>
      </c>
      <c r="H64" s="34" t="e">
        <f>VLOOKUP($B64,[43]TrtCodes!$B$11:N86,7)</f>
        <v>#N/A</v>
      </c>
      <c r="I64" s="34">
        <f>[43]FormattedData!B43</f>
        <v>0</v>
      </c>
      <c r="J64" s="37">
        <f>[43]FormattedData!C43</f>
        <v>0</v>
      </c>
      <c r="K64" s="39">
        <f>$J$3+[43]FormattedData!D43*$J$4+$M$4*$J$5+[43]FormattedData!D43^2*$J$6+$M$5*$J$7</f>
        <v>-0.58371897760036062</v>
      </c>
      <c r="L64" s="39">
        <f>$J$3+[43]FormattedData!E43*$J$4+$M$4*$J$5+[43]FormattedData!E43^2*$J$6+$M$5*$J$7</f>
        <v>-0.58371897760036062</v>
      </c>
      <c r="M64" s="39">
        <f>$J$3+[43]FormattedData!F43*$J$4+$M$4*$J$5+[43]FormattedData!F43^2*$J$6+$M$5*$J$7</f>
        <v>-0.58371897760036062</v>
      </c>
      <c r="N64" s="39">
        <f>$J$3+[43]FormattedData!G43*$J$4+$M$4*$J$5+[43]FormattedData!G43^2*$J$6+$M$5*$J$7</f>
        <v>-0.58371897760036062</v>
      </c>
      <c r="O64" s="39">
        <f>$J$3+[43]FormattedData!H43*$J$4+$M$4*$J$5+[43]FormattedData!H43^2*$J$6+$M$5*$J$7</f>
        <v>-0.58371897760036062</v>
      </c>
      <c r="P64" s="39">
        <f>$J$3+[43]FormattedData!I43*$J$4+$M$4*$J$5+[43]FormattedData!I43^2*$J$6+$M$5*$J$7</f>
        <v>-0.58371897760036062</v>
      </c>
      <c r="Q64" s="39">
        <f>$J$3+[43]FormattedData!J43*$J$4+$M$4*$J$5+[43]FormattedData!J43^2*$J$6+$M$5*$J$7</f>
        <v>-0.58371897760036062</v>
      </c>
      <c r="R64" s="39">
        <f>$J$3+[43]FormattedData!K43*$J$4+$M$4*$J$5+[43]FormattedData!K43^2*$J$6+$M$5*$J$7</f>
        <v>-0.58371897760036062</v>
      </c>
      <c r="S64" s="39">
        <f>$J$3+[43]FormattedData!L43*$J$4+$M$4*$J$5+[43]FormattedData!L43^2*$J$6+$M$5*$J$7</f>
        <v>-0.58371897760036062</v>
      </c>
      <c r="T64" s="39">
        <f>$J$3+[43]FormattedData!M43*$J$4+$M$4*$J$5+[43]FormattedData!M43^2*$J$6+$M$5*$J$7</f>
        <v>-0.58371897760036062</v>
      </c>
      <c r="U64" s="39">
        <f>$J$3+[43]FormattedData!N43*$J$4+$M$4*$J$5+[43]FormattedData!N43^2*$J$6+$M$5*$J$7</f>
        <v>-0.58371897760036062</v>
      </c>
      <c r="V64" s="39">
        <f>$J$3+[43]FormattedData!O43*$J$4+$M$4*$J$5+[43]FormattedData!O43^2*$J$6+$M$5*$J$7</f>
        <v>-0.58371897760036062</v>
      </c>
      <c r="W64" s="38">
        <f>AVERAGE(K64:V64)</f>
        <v>-0.58371897760036073</v>
      </c>
      <c r="X64" s="37">
        <f>STDEV(K64:V64)/SQRT(COUNT(K64:V64))</f>
        <v>3.3474483693592253E-17</v>
      </c>
      <c r="Y64" s="36">
        <f>MIN(K64:V64)</f>
        <v>-0.58371897760036062</v>
      </c>
      <c r="Z64" s="35">
        <f>QUARTILE(K64:V64,1)</f>
        <v>-0.58371897760036062</v>
      </c>
      <c r="AA64" s="36">
        <f>MEDIAN(K64:V64)</f>
        <v>-0.58371897760036062</v>
      </c>
      <c r="AB64" s="35">
        <f>QUARTILE(K64:V64,3)</f>
        <v>-0.58371897760036062</v>
      </c>
      <c r="AC64" s="35">
        <f>MAX(K64:V64)</f>
        <v>-0.58371897760036062</v>
      </c>
      <c r="AD64" s="35">
        <f>SKEW(K64:V64)</f>
        <v>1.1489125293076057</v>
      </c>
      <c r="AE64" s="35">
        <f>KURT(K64:V64)</f>
        <v>-2.4444444444444446</v>
      </c>
    </row>
    <row r="65" spans="2:31" x14ac:dyDescent="0.2">
      <c r="B65" s="34">
        <f>[43]FormattedData!A45</f>
        <v>0</v>
      </c>
      <c r="C65" s="34" t="e">
        <f>VLOOKUP($B65,[43]TrtCodes!$B$11:I88,2)</f>
        <v>#N/A</v>
      </c>
      <c r="D65" s="34" t="e">
        <f>VLOOKUP($B65,[43]TrtCodes!$B$11:J88,3)</f>
        <v>#N/A</v>
      </c>
      <c r="E65" s="34" t="e">
        <f>VLOOKUP($B65,[43]TrtCodes!$B$11:K88,4)</f>
        <v>#N/A</v>
      </c>
      <c r="F65" s="34" t="e">
        <f>VLOOKUP($B65,[43]TrtCodes!$B$11:L88,5)</f>
        <v>#N/A</v>
      </c>
      <c r="G65" s="34" t="e">
        <f>VLOOKUP($B65,[43]TrtCodes!$B$11:M88,6)</f>
        <v>#N/A</v>
      </c>
      <c r="H65" s="34" t="e">
        <f>VLOOKUP($B65,[43]TrtCodes!$B$11:N88,7)</f>
        <v>#N/A</v>
      </c>
      <c r="I65" s="34">
        <f>[43]FormattedData!B45</f>
        <v>0</v>
      </c>
      <c r="J65" s="37">
        <f>[43]FormattedData!C45</f>
        <v>0</v>
      </c>
      <c r="K65" s="39">
        <f>$J$3+[43]FormattedData!D45*$J$4+$M$4*$J$5+[43]FormattedData!D45^2*$J$6+$M$5*$J$7</f>
        <v>-0.58371897760036062</v>
      </c>
      <c r="L65" s="39">
        <f>$J$3+[43]FormattedData!E45*$J$4+$M$4*$J$5+[43]FormattedData!E45^2*$J$6+$M$5*$J$7</f>
        <v>-0.58371897760036062</v>
      </c>
      <c r="M65" s="39">
        <f>$J$3+[43]FormattedData!F45*$J$4+$M$4*$J$5+[43]FormattedData!F45^2*$J$6+$M$5*$J$7</f>
        <v>-0.58371897760036062</v>
      </c>
      <c r="N65" s="39">
        <f>$J$3+[43]FormattedData!G45*$J$4+$M$4*$J$5+[43]FormattedData!G45^2*$J$6+$M$5*$J$7</f>
        <v>-0.58371897760036062</v>
      </c>
      <c r="O65" s="39">
        <f>$J$3+[43]FormattedData!H45*$J$4+$M$4*$J$5+[43]FormattedData!H45^2*$J$6+$M$5*$J$7</f>
        <v>-0.58371897760036062</v>
      </c>
      <c r="P65" s="39">
        <f>$J$3+[43]FormattedData!I45*$J$4+$M$4*$J$5+[43]FormattedData!I45^2*$J$6+$M$5*$J$7</f>
        <v>-0.58371897760036062</v>
      </c>
      <c r="Q65" s="39">
        <f>$J$3+[43]FormattedData!J45*$J$4+$M$4*$J$5+[43]FormattedData!J45^2*$J$6+$M$5*$J$7</f>
        <v>-0.58371897760036062</v>
      </c>
      <c r="R65" s="39">
        <f>$J$3+[43]FormattedData!K45*$J$4+$M$4*$J$5+[43]FormattedData!K45^2*$J$6+$M$5*$J$7</f>
        <v>-0.58371897760036062</v>
      </c>
      <c r="S65" s="39">
        <f>$J$3+[43]FormattedData!L45*$J$4+$M$4*$J$5+[43]FormattedData!L45^2*$J$6+$M$5*$J$7</f>
        <v>-0.58371897760036062</v>
      </c>
      <c r="T65" s="39">
        <f>$J$3+[43]FormattedData!M45*$J$4+$M$4*$J$5+[43]FormattedData!M45^2*$J$6+$M$5*$J$7</f>
        <v>-0.58371897760036062</v>
      </c>
      <c r="U65" s="39">
        <f>$J$3+[43]FormattedData!N45*$J$4+$M$4*$J$5+[43]FormattedData!N45^2*$J$6+$M$5*$J$7</f>
        <v>-0.58371897760036062</v>
      </c>
      <c r="V65" s="39">
        <f>$J$3+[43]FormattedData!O45*$J$4+$M$4*$J$5+[43]FormattedData!O45^2*$J$6+$M$5*$J$7</f>
        <v>-0.58371897760036062</v>
      </c>
      <c r="W65" s="38">
        <f>AVERAGE(K65:V65)</f>
        <v>-0.58371897760036073</v>
      </c>
      <c r="X65" s="37">
        <f>STDEV(K65:V65)/SQRT(COUNT(K65:V65))</f>
        <v>3.3474483693592253E-17</v>
      </c>
      <c r="Y65" s="36">
        <f>MIN(K65:V65)</f>
        <v>-0.58371897760036062</v>
      </c>
      <c r="Z65" s="35">
        <f>QUARTILE(K65:V65,1)</f>
        <v>-0.58371897760036062</v>
      </c>
      <c r="AA65" s="36">
        <f>MEDIAN(K65:V65)</f>
        <v>-0.58371897760036062</v>
      </c>
      <c r="AB65" s="35">
        <f>QUARTILE(K65:V65,3)</f>
        <v>-0.58371897760036062</v>
      </c>
      <c r="AC65" s="35">
        <f>MAX(K65:V65)</f>
        <v>-0.58371897760036062</v>
      </c>
      <c r="AD65" s="35">
        <f>SKEW(K65:V65)</f>
        <v>1.1489125293076057</v>
      </c>
      <c r="AE65" s="35">
        <f>KURT(K65:V65)</f>
        <v>-2.4444444444444446</v>
      </c>
    </row>
    <row r="66" spans="2:31" x14ac:dyDescent="0.2">
      <c r="B66" s="34">
        <f>[43]FormattedData!A63</f>
        <v>0</v>
      </c>
      <c r="C66" s="34" t="e">
        <f>VLOOKUP($B66,[43]TrtCodes!$B$11:I106,2)</f>
        <v>#N/A</v>
      </c>
      <c r="D66" s="34" t="e">
        <f>VLOOKUP($B66,[43]TrtCodes!$B$11:J106,3)</f>
        <v>#N/A</v>
      </c>
      <c r="E66" s="34" t="e">
        <f>VLOOKUP($B66,[43]TrtCodes!$B$11:K106,4)</f>
        <v>#N/A</v>
      </c>
      <c r="F66" s="34" t="e">
        <f>VLOOKUP($B66,[43]TrtCodes!$B$11:L106,5)</f>
        <v>#N/A</v>
      </c>
      <c r="G66" s="34" t="e">
        <f>VLOOKUP($B66,[43]TrtCodes!$B$11:M106,6)</f>
        <v>#N/A</v>
      </c>
      <c r="H66" s="34" t="e">
        <f>VLOOKUP($B66,[43]TrtCodes!$B$11:N106,7)</f>
        <v>#N/A</v>
      </c>
      <c r="I66" s="34">
        <f>[43]FormattedData!B63</f>
        <v>0</v>
      </c>
      <c r="J66" s="37">
        <f>[43]FormattedData!C63</f>
        <v>0</v>
      </c>
      <c r="K66" s="39">
        <f>$J$3+[43]FormattedData!D63*$J$4+$M$4*$J$5+[43]FormattedData!D63^2*$J$6+$M$5*$J$7</f>
        <v>-0.58371897760036062</v>
      </c>
      <c r="L66" s="39">
        <f>$J$3+[43]FormattedData!E63*$J$4+$M$4*$J$5+[43]FormattedData!E63^2*$J$6+$M$5*$J$7</f>
        <v>-0.58371897760036062</v>
      </c>
      <c r="M66" s="39">
        <f>$J$3+[43]FormattedData!F63*$J$4+$M$4*$J$5+[43]FormattedData!F63^2*$J$6+$M$5*$J$7</f>
        <v>-0.58371897760036062</v>
      </c>
      <c r="N66" s="39">
        <f>$J$3+[43]FormattedData!G63*$J$4+$M$4*$J$5+[43]FormattedData!G63^2*$J$6+$M$5*$J$7</f>
        <v>-0.58371897760036062</v>
      </c>
      <c r="O66" s="39">
        <f>$J$3+[43]FormattedData!H63*$J$4+$M$4*$J$5+[43]FormattedData!H63^2*$J$6+$M$5*$J$7</f>
        <v>-0.58371897760036062</v>
      </c>
      <c r="P66" s="39">
        <f>$J$3+[43]FormattedData!I63*$J$4+$M$4*$J$5+[43]FormattedData!I63^2*$J$6+$M$5*$J$7</f>
        <v>-0.58371897760036062</v>
      </c>
      <c r="Q66" s="39">
        <f>$J$3+[43]FormattedData!J63*$J$4+$M$4*$J$5+[43]FormattedData!J63^2*$J$6+$M$5*$J$7</f>
        <v>-0.58371897760036062</v>
      </c>
      <c r="R66" s="39">
        <f>$J$3+[43]FormattedData!K63*$J$4+$M$4*$J$5+[43]FormattedData!K63^2*$J$6+$M$5*$J$7</f>
        <v>-0.58371897760036062</v>
      </c>
      <c r="S66" s="39">
        <f>$J$3+[43]FormattedData!L63*$J$4+$M$4*$J$5+[43]FormattedData!L63^2*$J$6+$M$5*$J$7</f>
        <v>-0.58371897760036062</v>
      </c>
      <c r="T66" s="39">
        <f>$J$3+[43]FormattedData!M63*$J$4+$M$4*$J$5+[43]FormattedData!M63^2*$J$6+$M$5*$J$7</f>
        <v>-0.58371897760036062</v>
      </c>
      <c r="U66" s="39">
        <f>$J$3+[43]FormattedData!N63*$J$4+$M$4*$J$5+[43]FormattedData!N63^2*$J$6+$M$5*$J$7</f>
        <v>-0.58371897760036062</v>
      </c>
      <c r="V66" s="39">
        <f>$J$3+[43]FormattedData!O63*$J$4+$M$4*$J$5+[43]FormattedData!O63^2*$J$6+$M$5*$J$7</f>
        <v>-0.58371897760036062</v>
      </c>
      <c r="W66" s="38">
        <f>AVERAGE(K66:V66)</f>
        <v>-0.58371897760036073</v>
      </c>
      <c r="X66" s="37">
        <f>STDEV(K66:V66)/SQRT(COUNT(K66:V66))</f>
        <v>3.3474483693592253E-17</v>
      </c>
      <c r="Y66" s="36">
        <f>MIN(K66:V66)</f>
        <v>-0.58371897760036062</v>
      </c>
      <c r="Z66" s="35">
        <f>QUARTILE(K66:V66,1)</f>
        <v>-0.58371897760036062</v>
      </c>
      <c r="AA66" s="36">
        <f>MEDIAN(K66:V66)</f>
        <v>-0.58371897760036062</v>
      </c>
      <c r="AB66" s="35">
        <f>QUARTILE(K66:V66,3)</f>
        <v>-0.58371897760036062</v>
      </c>
      <c r="AC66" s="35">
        <f>MAX(K66:V66)</f>
        <v>-0.58371897760036062</v>
      </c>
      <c r="AD66" s="35">
        <f>SKEW(K66:V66)</f>
        <v>1.1489125293076057</v>
      </c>
      <c r="AE66" s="35">
        <f>KURT(K66:V66)</f>
        <v>-2.4444444444444446</v>
      </c>
    </row>
    <row r="67" spans="2:31" x14ac:dyDescent="0.2">
      <c r="B67" s="34">
        <f>[43]FormattedData!A65</f>
        <v>0</v>
      </c>
      <c r="C67" s="34" t="e">
        <f>VLOOKUP($B67,[43]TrtCodes!$B$11:I108,2)</f>
        <v>#N/A</v>
      </c>
      <c r="D67" s="34" t="e">
        <f>VLOOKUP($B67,[43]TrtCodes!$B$11:J108,3)</f>
        <v>#N/A</v>
      </c>
      <c r="E67" s="34" t="e">
        <f>VLOOKUP($B67,[43]TrtCodes!$B$11:K108,4)</f>
        <v>#N/A</v>
      </c>
      <c r="F67" s="34" t="e">
        <f>VLOOKUP($B67,[43]TrtCodes!$B$11:L108,5)</f>
        <v>#N/A</v>
      </c>
      <c r="G67" s="34" t="e">
        <f>VLOOKUP($B67,[43]TrtCodes!$B$11:M108,6)</f>
        <v>#N/A</v>
      </c>
      <c r="H67" s="34" t="e">
        <f>VLOOKUP($B67,[43]TrtCodes!$B$11:N108,7)</f>
        <v>#N/A</v>
      </c>
      <c r="I67" s="34">
        <f>[43]FormattedData!B65</f>
        <v>0</v>
      </c>
      <c r="J67" s="37">
        <f>[43]FormattedData!C65</f>
        <v>0</v>
      </c>
      <c r="K67" s="39">
        <f>$J$3+[43]FormattedData!D65*$J$4+$M$4*$J$5+[43]FormattedData!D65^2*$J$6+$M$5*$J$7</f>
        <v>-0.58371897760036062</v>
      </c>
      <c r="L67" s="39">
        <f>$J$3+[43]FormattedData!E65*$J$4+$M$4*$J$5+[43]FormattedData!E65^2*$J$6+$M$5*$J$7</f>
        <v>-0.58371897760036062</v>
      </c>
      <c r="M67" s="39">
        <f>$J$3+[43]FormattedData!F65*$J$4+$M$4*$J$5+[43]FormattedData!F65^2*$J$6+$M$5*$J$7</f>
        <v>-0.58371897760036062</v>
      </c>
      <c r="N67" s="39">
        <f>$J$3+[43]FormattedData!G65*$J$4+$M$4*$J$5+[43]FormattedData!G65^2*$J$6+$M$5*$J$7</f>
        <v>-0.58371897760036062</v>
      </c>
      <c r="O67" s="39">
        <f>$J$3+[43]FormattedData!H65*$J$4+$M$4*$J$5+[43]FormattedData!H65^2*$J$6+$M$5*$J$7</f>
        <v>-0.58371897760036062</v>
      </c>
      <c r="P67" s="39">
        <f>$J$3+[43]FormattedData!I65*$J$4+$M$4*$J$5+[43]FormattedData!I65^2*$J$6+$M$5*$J$7</f>
        <v>-0.58371897760036062</v>
      </c>
      <c r="Q67" s="39">
        <f>$J$3+[43]FormattedData!J65*$J$4+$M$4*$J$5+[43]FormattedData!J65^2*$J$6+$M$5*$J$7</f>
        <v>-0.58371897760036062</v>
      </c>
      <c r="R67" s="39">
        <f>$J$3+[43]FormattedData!K65*$J$4+$M$4*$J$5+[43]FormattedData!K65^2*$J$6+$M$5*$J$7</f>
        <v>-0.58371897760036062</v>
      </c>
      <c r="S67" s="39">
        <f>$J$3+[43]FormattedData!L65*$J$4+$M$4*$J$5+[43]FormattedData!L65^2*$J$6+$M$5*$J$7</f>
        <v>-0.58371897760036062</v>
      </c>
      <c r="T67" s="39">
        <f>$J$3+[43]FormattedData!M65*$J$4+$M$4*$J$5+[43]FormattedData!M65^2*$J$6+$M$5*$J$7</f>
        <v>-0.58371897760036062</v>
      </c>
      <c r="U67" s="39">
        <f>$J$3+[43]FormattedData!N65*$J$4+$M$4*$J$5+[43]FormattedData!N65^2*$J$6+$M$5*$J$7</f>
        <v>-0.58371897760036062</v>
      </c>
      <c r="V67" s="39">
        <f>$J$3+[43]FormattedData!O65*$J$4+$M$4*$J$5+[43]FormattedData!O65^2*$J$6+$M$5*$J$7</f>
        <v>-0.58371897760036062</v>
      </c>
      <c r="W67" s="38">
        <f>AVERAGE(K67:V67)</f>
        <v>-0.58371897760036073</v>
      </c>
      <c r="X67" s="37">
        <f>STDEV(K67:V67)/SQRT(COUNT(K67:V67))</f>
        <v>3.3474483693592253E-17</v>
      </c>
      <c r="Y67" s="36">
        <f>MIN(K67:V67)</f>
        <v>-0.58371897760036062</v>
      </c>
      <c r="Z67" s="35">
        <f>QUARTILE(K67:V67,1)</f>
        <v>-0.58371897760036062</v>
      </c>
      <c r="AA67" s="36">
        <f>MEDIAN(K67:V67)</f>
        <v>-0.58371897760036062</v>
      </c>
      <c r="AB67" s="35">
        <f>QUARTILE(K67:V67,3)</f>
        <v>-0.58371897760036062</v>
      </c>
      <c r="AC67" s="35">
        <f>MAX(K67:V67)</f>
        <v>-0.58371897760036062</v>
      </c>
      <c r="AD67" s="35">
        <f>SKEW(K67:V67)</f>
        <v>1.1489125293076057</v>
      </c>
      <c r="AE67" s="35">
        <f>KURT(K67:V67)</f>
        <v>-2.4444444444444446</v>
      </c>
    </row>
    <row r="68" spans="2:31" x14ac:dyDescent="0.2">
      <c r="B68" s="34">
        <f>[43]FormattedData!A67</f>
        <v>0</v>
      </c>
      <c r="C68" s="34" t="e">
        <f>VLOOKUP($B68,[43]TrtCodes!$B$11:I110,2)</f>
        <v>#N/A</v>
      </c>
      <c r="D68" s="34" t="e">
        <f>VLOOKUP($B68,[43]TrtCodes!$B$11:J110,3)</f>
        <v>#N/A</v>
      </c>
      <c r="E68" s="34" t="e">
        <f>VLOOKUP($B68,[43]TrtCodes!$B$11:K110,4)</f>
        <v>#N/A</v>
      </c>
      <c r="F68" s="34" t="e">
        <f>VLOOKUP($B68,[43]TrtCodes!$B$11:L110,5)</f>
        <v>#N/A</v>
      </c>
      <c r="G68" s="34" t="e">
        <f>VLOOKUP($B68,[43]TrtCodes!$B$11:M110,6)</f>
        <v>#N/A</v>
      </c>
      <c r="H68" s="34" t="e">
        <f>VLOOKUP($B68,[43]TrtCodes!$B$11:N110,7)</f>
        <v>#N/A</v>
      </c>
      <c r="I68" s="34">
        <f>[43]FormattedData!B67</f>
        <v>0</v>
      </c>
      <c r="J68" s="37">
        <f>[43]FormattedData!C67</f>
        <v>0</v>
      </c>
      <c r="K68" s="39">
        <f>$J$3+[43]FormattedData!D67*$J$4+$M$4*$J$5+[43]FormattedData!D67^2*$J$6+$M$5*$J$7</f>
        <v>-0.58371897760036062</v>
      </c>
      <c r="L68" s="39">
        <f>$J$3+[43]FormattedData!E67*$J$4+$M$4*$J$5+[43]FormattedData!E67^2*$J$6+$M$5*$J$7</f>
        <v>-0.58371897760036062</v>
      </c>
      <c r="M68" s="39">
        <f>$J$3+[43]FormattedData!F67*$J$4+$M$4*$J$5+[43]FormattedData!F67^2*$J$6+$M$5*$J$7</f>
        <v>-0.58371897760036062</v>
      </c>
      <c r="N68" s="39">
        <f>$J$3+[43]FormattedData!G67*$J$4+$M$4*$J$5+[43]FormattedData!G67^2*$J$6+$M$5*$J$7</f>
        <v>-0.58371897760036062</v>
      </c>
      <c r="O68" s="39">
        <f>$J$3+[43]FormattedData!H67*$J$4+$M$4*$J$5+[43]FormattedData!H67^2*$J$6+$M$5*$J$7</f>
        <v>-0.58371897760036062</v>
      </c>
      <c r="P68" s="39">
        <f>$J$3+[43]FormattedData!I67*$J$4+$M$4*$J$5+[43]FormattedData!I67^2*$J$6+$M$5*$J$7</f>
        <v>-0.58371897760036062</v>
      </c>
      <c r="Q68" s="39">
        <f>$J$3+[43]FormattedData!J67*$J$4+$M$4*$J$5+[43]FormattedData!J67^2*$J$6+$M$5*$J$7</f>
        <v>-0.58371897760036062</v>
      </c>
      <c r="R68" s="39">
        <f>$J$3+[43]FormattedData!K67*$J$4+$M$4*$J$5+[43]FormattedData!K67^2*$J$6+$M$5*$J$7</f>
        <v>-0.58371897760036062</v>
      </c>
      <c r="S68" s="39">
        <f>$J$3+[43]FormattedData!L67*$J$4+$M$4*$J$5+[43]FormattedData!L67^2*$J$6+$M$5*$J$7</f>
        <v>-0.58371897760036062</v>
      </c>
      <c r="T68" s="39">
        <f>$J$3+[43]FormattedData!M67*$J$4+$M$4*$J$5+[43]FormattedData!M67^2*$J$6+$M$5*$J$7</f>
        <v>-0.58371897760036062</v>
      </c>
      <c r="U68" s="39">
        <f>$J$3+[43]FormattedData!N67*$J$4+$M$4*$J$5+[43]FormattedData!N67^2*$J$6+$M$5*$J$7</f>
        <v>-0.58371897760036062</v>
      </c>
      <c r="V68" s="39">
        <f>$J$3+[43]FormattedData!O67*$J$4+$M$4*$J$5+[43]FormattedData!O67^2*$J$6+$M$5*$J$7</f>
        <v>-0.58371897760036062</v>
      </c>
      <c r="W68" s="38">
        <f>AVERAGE(K68:V68)</f>
        <v>-0.58371897760036073</v>
      </c>
      <c r="X68" s="37">
        <f>STDEV(K68:V68)/SQRT(COUNT(K68:V68))</f>
        <v>3.3474483693592253E-17</v>
      </c>
      <c r="Y68" s="36">
        <f>MIN(K68:V68)</f>
        <v>-0.58371897760036062</v>
      </c>
      <c r="Z68" s="35">
        <f>QUARTILE(K68:V68,1)</f>
        <v>-0.58371897760036062</v>
      </c>
      <c r="AA68" s="36">
        <f>MEDIAN(K68:V68)</f>
        <v>-0.58371897760036062</v>
      </c>
      <c r="AB68" s="35">
        <f>QUARTILE(K68:V68,3)</f>
        <v>-0.58371897760036062</v>
      </c>
      <c r="AC68" s="35">
        <f>MAX(K68:V68)</f>
        <v>-0.58371897760036062</v>
      </c>
      <c r="AD68" s="35">
        <f>SKEW(K68:V68)</f>
        <v>1.1489125293076057</v>
      </c>
      <c r="AE68" s="35">
        <f>KURT(K68:V68)</f>
        <v>-2.4444444444444446</v>
      </c>
    </row>
    <row r="69" spans="2:31" x14ac:dyDescent="0.2">
      <c r="B69" s="34">
        <f>[43]FormattedData!A69</f>
        <v>0</v>
      </c>
      <c r="C69" s="34" t="e">
        <f>VLOOKUP($B69,[43]TrtCodes!$B$11:I112,2)</f>
        <v>#N/A</v>
      </c>
      <c r="D69" s="34" t="e">
        <f>VLOOKUP($B69,[43]TrtCodes!$B$11:J112,3)</f>
        <v>#N/A</v>
      </c>
      <c r="E69" s="34" t="e">
        <f>VLOOKUP($B69,[43]TrtCodes!$B$11:K112,4)</f>
        <v>#N/A</v>
      </c>
      <c r="F69" s="34" t="e">
        <f>VLOOKUP($B69,[43]TrtCodes!$B$11:L112,5)</f>
        <v>#N/A</v>
      </c>
      <c r="G69" s="34" t="e">
        <f>VLOOKUP($B69,[43]TrtCodes!$B$11:M112,6)</f>
        <v>#N/A</v>
      </c>
      <c r="H69" s="34" t="e">
        <f>VLOOKUP($B69,[43]TrtCodes!$B$11:N112,7)</f>
        <v>#N/A</v>
      </c>
      <c r="I69" s="34">
        <f>[43]FormattedData!B69</f>
        <v>0</v>
      </c>
      <c r="J69" s="37">
        <f>[43]FormattedData!C69</f>
        <v>0</v>
      </c>
      <c r="K69" s="39">
        <f>$J$3+[43]FormattedData!D69*$J$4+$M$4*$J$5+[43]FormattedData!D69^2*$J$6+$M$5*$J$7</f>
        <v>-0.58371897760036062</v>
      </c>
      <c r="L69" s="39">
        <f>$J$3+[43]FormattedData!E69*$J$4+$M$4*$J$5+[43]FormattedData!E69^2*$J$6+$M$5*$J$7</f>
        <v>-0.58371897760036062</v>
      </c>
      <c r="M69" s="39">
        <f>$J$3+[43]FormattedData!F69*$J$4+$M$4*$J$5+[43]FormattedData!F69^2*$J$6+$M$5*$J$7</f>
        <v>-0.58371897760036062</v>
      </c>
      <c r="N69" s="39">
        <f>$J$3+[43]FormattedData!G69*$J$4+$M$4*$J$5+[43]FormattedData!G69^2*$J$6+$M$5*$J$7</f>
        <v>-0.58371897760036062</v>
      </c>
      <c r="O69" s="39">
        <f>$J$3+[43]FormattedData!H69*$J$4+$M$4*$J$5+[43]FormattedData!H69^2*$J$6+$M$5*$J$7</f>
        <v>-0.58371897760036062</v>
      </c>
      <c r="P69" s="39">
        <f>$J$3+[43]FormattedData!I69*$J$4+$M$4*$J$5+[43]FormattedData!I69^2*$J$6+$M$5*$J$7</f>
        <v>-0.58371897760036062</v>
      </c>
      <c r="Q69" s="39">
        <f>$J$3+[43]FormattedData!J69*$J$4+$M$4*$J$5+[43]FormattedData!J69^2*$J$6+$M$5*$J$7</f>
        <v>-0.58371897760036062</v>
      </c>
      <c r="R69" s="39">
        <f>$J$3+[43]FormattedData!K69*$J$4+$M$4*$J$5+[43]FormattedData!K69^2*$J$6+$M$5*$J$7</f>
        <v>-0.58371897760036062</v>
      </c>
      <c r="S69" s="39">
        <f>$J$3+[43]FormattedData!L69*$J$4+$M$4*$J$5+[43]FormattedData!L69^2*$J$6+$M$5*$J$7</f>
        <v>-0.58371897760036062</v>
      </c>
      <c r="T69" s="39">
        <f>$J$3+[43]FormattedData!M69*$J$4+$M$4*$J$5+[43]FormattedData!M69^2*$J$6+$M$5*$J$7</f>
        <v>-0.58371897760036062</v>
      </c>
      <c r="U69" s="39">
        <f>$J$3+[43]FormattedData!N69*$J$4+$M$4*$J$5+[43]FormattedData!N69^2*$J$6+$M$5*$J$7</f>
        <v>-0.58371897760036062</v>
      </c>
      <c r="V69" s="39">
        <f>$J$3+[43]FormattedData!O69*$J$4+$M$4*$J$5+[43]FormattedData!O69^2*$J$6+$M$5*$J$7</f>
        <v>-0.58371897760036062</v>
      </c>
      <c r="W69" s="38">
        <f>AVERAGE(K69:V69)</f>
        <v>-0.58371897760036073</v>
      </c>
      <c r="X69" s="37">
        <f>STDEV(K69:V69)/SQRT(COUNT(K69:V69))</f>
        <v>3.3474483693592253E-17</v>
      </c>
      <c r="Y69" s="36">
        <f>MIN(K69:V69)</f>
        <v>-0.58371897760036062</v>
      </c>
      <c r="Z69" s="35">
        <f>QUARTILE(K69:V69,1)</f>
        <v>-0.58371897760036062</v>
      </c>
      <c r="AA69" s="36">
        <f>MEDIAN(K69:V69)</f>
        <v>-0.58371897760036062</v>
      </c>
      <c r="AB69" s="35">
        <f>QUARTILE(K69:V69,3)</f>
        <v>-0.58371897760036062</v>
      </c>
      <c r="AC69" s="35">
        <f>MAX(K69:V69)</f>
        <v>-0.58371897760036062</v>
      </c>
      <c r="AD69" s="35">
        <f>SKEW(K69:V69)</f>
        <v>1.1489125293076057</v>
      </c>
      <c r="AE69" s="35">
        <f>KURT(K69:V69)</f>
        <v>-2.4444444444444446</v>
      </c>
    </row>
    <row r="70" spans="2:31" x14ac:dyDescent="0.2">
      <c r="B70" s="34">
        <f>[43]FormattedData!A71</f>
        <v>0</v>
      </c>
      <c r="C70" s="34" t="e">
        <f>VLOOKUP($B70,[43]TrtCodes!$B$11:I114,2)</f>
        <v>#N/A</v>
      </c>
      <c r="D70" s="34" t="e">
        <f>VLOOKUP($B70,[43]TrtCodes!$B$11:J114,3)</f>
        <v>#N/A</v>
      </c>
      <c r="E70" s="34" t="e">
        <f>VLOOKUP($B70,[43]TrtCodes!$B$11:K114,4)</f>
        <v>#N/A</v>
      </c>
      <c r="F70" s="34" t="e">
        <f>VLOOKUP($B70,[43]TrtCodes!$B$11:L114,5)</f>
        <v>#N/A</v>
      </c>
      <c r="G70" s="34" t="e">
        <f>VLOOKUP($B70,[43]TrtCodes!$B$11:M114,6)</f>
        <v>#N/A</v>
      </c>
      <c r="H70" s="34" t="e">
        <f>VLOOKUP($B70,[43]TrtCodes!$B$11:N114,7)</f>
        <v>#N/A</v>
      </c>
      <c r="I70" s="34">
        <f>[43]FormattedData!B71</f>
        <v>0</v>
      </c>
      <c r="J70" s="37">
        <f>[43]FormattedData!C71</f>
        <v>0</v>
      </c>
      <c r="K70" s="39">
        <f>$J$3+[43]FormattedData!D71*$J$4+$M$4*$J$5+[43]FormattedData!D71^2*$J$6+$M$5*$J$7</f>
        <v>-0.58371897760036062</v>
      </c>
      <c r="L70" s="39">
        <f>$J$3+[43]FormattedData!E71*$J$4+$M$4*$J$5+[43]FormattedData!E71^2*$J$6+$M$5*$J$7</f>
        <v>-0.58371897760036062</v>
      </c>
      <c r="M70" s="39">
        <f>$J$3+[43]FormattedData!F71*$J$4+$M$4*$J$5+[43]FormattedData!F71^2*$J$6+$M$5*$J$7</f>
        <v>-0.58371897760036062</v>
      </c>
      <c r="N70" s="39">
        <f>$J$3+[43]FormattedData!G71*$J$4+$M$4*$J$5+[43]FormattedData!G71^2*$J$6+$M$5*$J$7</f>
        <v>-0.58371897760036062</v>
      </c>
      <c r="O70" s="39">
        <f>$J$3+[43]FormattedData!H71*$J$4+$M$4*$J$5+[43]FormattedData!H71^2*$J$6+$M$5*$J$7</f>
        <v>-0.58371897760036062</v>
      </c>
      <c r="P70" s="39">
        <f>$J$3+[43]FormattedData!I71*$J$4+$M$4*$J$5+[43]FormattedData!I71^2*$J$6+$M$5*$J$7</f>
        <v>-0.58371897760036062</v>
      </c>
      <c r="Q70" s="39">
        <f>$J$3+[43]FormattedData!J71*$J$4+$M$4*$J$5+[43]FormattedData!J71^2*$J$6+$M$5*$J$7</f>
        <v>-0.58371897760036062</v>
      </c>
      <c r="R70" s="39">
        <f>$J$3+[43]FormattedData!K71*$J$4+$M$4*$J$5+[43]FormattedData!K71^2*$J$6+$M$5*$J$7</f>
        <v>-0.58371897760036062</v>
      </c>
      <c r="S70" s="39">
        <f>$J$3+[43]FormattedData!L71*$J$4+$M$4*$J$5+[43]FormattedData!L71^2*$J$6+$M$5*$J$7</f>
        <v>-0.58371897760036062</v>
      </c>
      <c r="T70" s="39">
        <f>$J$3+[43]FormattedData!M71*$J$4+$M$4*$J$5+[43]FormattedData!M71^2*$J$6+$M$5*$J$7</f>
        <v>-0.58371897760036062</v>
      </c>
      <c r="U70" s="39">
        <f>$J$3+[43]FormattedData!N71*$J$4+$M$4*$J$5+[43]FormattedData!N71^2*$J$6+$M$5*$J$7</f>
        <v>-0.58371897760036062</v>
      </c>
      <c r="V70" s="39">
        <f>$J$3+[43]FormattedData!O71*$J$4+$M$4*$J$5+[43]FormattedData!O71^2*$J$6+$M$5*$J$7</f>
        <v>-0.58371897760036062</v>
      </c>
      <c r="W70" s="38">
        <f>AVERAGE(K70:V70)</f>
        <v>-0.58371897760036073</v>
      </c>
      <c r="X70" s="37">
        <f>STDEV(K70:V70)/SQRT(COUNT(K70:V70))</f>
        <v>3.3474483693592253E-17</v>
      </c>
      <c r="Y70" s="36">
        <f>MIN(K70:V70)</f>
        <v>-0.58371897760036062</v>
      </c>
      <c r="Z70" s="35">
        <f>QUARTILE(K70:V70,1)</f>
        <v>-0.58371897760036062</v>
      </c>
      <c r="AA70" s="36">
        <f>MEDIAN(K70:V70)</f>
        <v>-0.58371897760036062</v>
      </c>
      <c r="AB70" s="35">
        <f>QUARTILE(K70:V70,3)</f>
        <v>-0.58371897760036062</v>
      </c>
      <c r="AC70" s="35">
        <f>MAX(K70:V70)</f>
        <v>-0.58371897760036062</v>
      </c>
      <c r="AD70" s="35">
        <f>SKEW(K70:V70)</f>
        <v>1.1489125293076057</v>
      </c>
      <c r="AE70" s="35">
        <f>KURT(K70:V70)</f>
        <v>-2.4444444444444446</v>
      </c>
    </row>
    <row r="71" spans="2:31" x14ac:dyDescent="0.2">
      <c r="B71" s="34">
        <f>[43]FormattedData!A73</f>
        <v>0</v>
      </c>
      <c r="C71" s="34" t="e">
        <f>VLOOKUP($B71,[43]TrtCodes!$B$11:I116,2)</f>
        <v>#N/A</v>
      </c>
      <c r="D71" s="34" t="e">
        <f>VLOOKUP($B71,[43]TrtCodes!$B$11:J116,3)</f>
        <v>#N/A</v>
      </c>
      <c r="E71" s="34" t="e">
        <f>VLOOKUP($B71,[43]TrtCodes!$B$11:K116,4)</f>
        <v>#N/A</v>
      </c>
      <c r="F71" s="34" t="e">
        <f>VLOOKUP($B71,[43]TrtCodes!$B$11:L116,5)</f>
        <v>#N/A</v>
      </c>
      <c r="G71" s="34" t="e">
        <f>VLOOKUP($B71,[43]TrtCodes!$B$11:M116,6)</f>
        <v>#N/A</v>
      </c>
      <c r="H71" s="34" t="e">
        <f>VLOOKUP($B71,[43]TrtCodes!$B$11:N116,7)</f>
        <v>#N/A</v>
      </c>
      <c r="I71" s="34">
        <f>[43]FormattedData!B73</f>
        <v>0</v>
      </c>
      <c r="J71" s="37">
        <f>[43]FormattedData!C73</f>
        <v>0</v>
      </c>
      <c r="K71" s="39">
        <f>$J$3+[43]FormattedData!D73*$J$4+$M$4*$J$5+[43]FormattedData!D73^2*$J$6+$M$5*$J$7</f>
        <v>-0.58371897760036062</v>
      </c>
      <c r="L71" s="39">
        <f>$J$3+[43]FormattedData!E73*$J$4+$M$4*$J$5+[43]FormattedData!E73^2*$J$6+$M$5*$J$7</f>
        <v>-0.58371897760036062</v>
      </c>
      <c r="M71" s="39">
        <f>$J$3+[43]FormattedData!F73*$J$4+$M$4*$J$5+[43]FormattedData!F73^2*$J$6+$M$5*$J$7</f>
        <v>-0.58371897760036062</v>
      </c>
      <c r="N71" s="39">
        <f>$J$3+[43]FormattedData!G73*$J$4+$M$4*$J$5+[43]FormattedData!G73^2*$J$6+$M$5*$J$7</f>
        <v>-0.58371897760036062</v>
      </c>
      <c r="O71" s="39">
        <f>$J$3+[43]FormattedData!H73*$J$4+$M$4*$J$5+[43]FormattedData!H73^2*$J$6+$M$5*$J$7</f>
        <v>-0.58371897760036062</v>
      </c>
      <c r="P71" s="39">
        <f>$J$3+[43]FormattedData!I73*$J$4+$M$4*$J$5+[43]FormattedData!I73^2*$J$6+$M$5*$J$7</f>
        <v>-0.58371897760036062</v>
      </c>
      <c r="Q71" s="39">
        <f>$J$3+[43]FormattedData!J73*$J$4+$M$4*$J$5+[43]FormattedData!J73^2*$J$6+$M$5*$J$7</f>
        <v>-0.58371897760036062</v>
      </c>
      <c r="R71" s="39">
        <f>$J$3+[43]FormattedData!K73*$J$4+$M$4*$J$5+[43]FormattedData!K73^2*$J$6+$M$5*$J$7</f>
        <v>-0.58371897760036062</v>
      </c>
      <c r="S71" s="39">
        <f>$J$3+[43]FormattedData!L73*$J$4+$M$4*$J$5+[43]FormattedData!L73^2*$J$6+$M$5*$J$7</f>
        <v>-0.58371897760036062</v>
      </c>
      <c r="T71" s="39">
        <f>$J$3+[43]FormattedData!M73*$J$4+$M$4*$J$5+[43]FormattedData!M73^2*$J$6+$M$5*$J$7</f>
        <v>-0.58371897760036062</v>
      </c>
      <c r="U71" s="39">
        <f>$J$3+[43]FormattedData!N73*$J$4+$M$4*$J$5+[43]FormattedData!N73^2*$J$6+$M$5*$J$7</f>
        <v>-0.58371897760036062</v>
      </c>
      <c r="V71" s="39">
        <f>$J$3+[43]FormattedData!O73*$J$4+$M$4*$J$5+[43]FormattedData!O73^2*$J$6+$M$5*$J$7</f>
        <v>-0.58371897760036062</v>
      </c>
      <c r="W71" s="38">
        <f>AVERAGE(K71:V71)</f>
        <v>-0.58371897760036073</v>
      </c>
      <c r="X71" s="37">
        <f>STDEV(K71:V71)/SQRT(COUNT(K71:V71))</f>
        <v>3.3474483693592253E-17</v>
      </c>
      <c r="Y71" s="36">
        <f>MIN(K71:V71)</f>
        <v>-0.58371897760036062</v>
      </c>
      <c r="Z71" s="35">
        <f>QUARTILE(K71:V71,1)</f>
        <v>-0.58371897760036062</v>
      </c>
      <c r="AA71" s="36">
        <f>MEDIAN(K71:V71)</f>
        <v>-0.58371897760036062</v>
      </c>
      <c r="AB71" s="35">
        <f>QUARTILE(K71:V71,3)</f>
        <v>-0.58371897760036062</v>
      </c>
      <c r="AC71" s="35">
        <f>MAX(K71:V71)</f>
        <v>-0.58371897760036062</v>
      </c>
      <c r="AD71" s="35">
        <f>SKEW(K71:V71)</f>
        <v>1.1489125293076057</v>
      </c>
      <c r="AE71" s="35">
        <f>KURT(K71:V71)</f>
        <v>-2.4444444444444446</v>
      </c>
    </row>
    <row r="72" spans="2:31" x14ac:dyDescent="0.2">
      <c r="B72" s="34">
        <f>[43]FormattedData!A75</f>
        <v>0</v>
      </c>
      <c r="C72" s="34" t="e">
        <f>VLOOKUP($B72,[43]TrtCodes!$B$11:I118,2)</f>
        <v>#N/A</v>
      </c>
      <c r="D72" s="34" t="e">
        <f>VLOOKUP($B72,[43]TrtCodes!$B$11:J118,3)</f>
        <v>#N/A</v>
      </c>
      <c r="E72" s="34" t="e">
        <f>VLOOKUP($B72,[43]TrtCodes!$B$11:K118,4)</f>
        <v>#N/A</v>
      </c>
      <c r="F72" s="34" t="e">
        <f>VLOOKUP($B72,[43]TrtCodes!$B$11:L118,5)</f>
        <v>#N/A</v>
      </c>
      <c r="G72" s="34" t="e">
        <f>VLOOKUP($B72,[43]TrtCodes!$B$11:M118,6)</f>
        <v>#N/A</v>
      </c>
      <c r="H72" s="34" t="e">
        <f>VLOOKUP($B72,[43]TrtCodes!$B$11:N118,7)</f>
        <v>#N/A</v>
      </c>
      <c r="I72" s="34">
        <f>[43]FormattedData!B75</f>
        <v>0</v>
      </c>
      <c r="J72" s="37">
        <f>[43]FormattedData!C75</f>
        <v>0</v>
      </c>
      <c r="K72" s="39">
        <f>$J$3+[43]FormattedData!D75*$J$4+$M$4*$J$5+[43]FormattedData!D75^2*$J$6+$M$5*$J$7</f>
        <v>-0.58371897760036062</v>
      </c>
      <c r="L72" s="39">
        <f>$J$3+[43]FormattedData!E75*$J$4+$M$4*$J$5+[43]FormattedData!E75^2*$J$6+$M$5*$J$7</f>
        <v>-0.58371897760036062</v>
      </c>
      <c r="M72" s="39">
        <f>$J$3+[43]FormattedData!F75*$J$4+$M$4*$J$5+[43]FormattedData!F75^2*$J$6+$M$5*$J$7</f>
        <v>-0.58371897760036062</v>
      </c>
      <c r="N72" s="39">
        <f>$J$3+[43]FormattedData!G75*$J$4+$M$4*$J$5+[43]FormattedData!G75^2*$J$6+$M$5*$J$7</f>
        <v>-0.58371897760036062</v>
      </c>
      <c r="O72" s="39">
        <f>$J$3+[43]FormattedData!H75*$J$4+$M$4*$J$5+[43]FormattedData!H75^2*$J$6+$M$5*$J$7</f>
        <v>-0.58371897760036062</v>
      </c>
      <c r="P72" s="39">
        <f>$J$3+[43]FormattedData!I75*$J$4+$M$4*$J$5+[43]FormattedData!I75^2*$J$6+$M$5*$J$7</f>
        <v>-0.58371897760036062</v>
      </c>
      <c r="Q72" s="39">
        <f>$J$3+[43]FormattedData!J75*$J$4+$M$4*$J$5+[43]FormattedData!J75^2*$J$6+$M$5*$J$7</f>
        <v>-0.58371897760036062</v>
      </c>
      <c r="R72" s="39">
        <f>$J$3+[43]FormattedData!K75*$J$4+$M$4*$J$5+[43]FormattedData!K75^2*$J$6+$M$5*$J$7</f>
        <v>-0.58371897760036062</v>
      </c>
      <c r="S72" s="39">
        <f>$J$3+[43]FormattedData!L75*$J$4+$M$4*$J$5+[43]FormattedData!L75^2*$J$6+$M$5*$J$7</f>
        <v>-0.58371897760036062</v>
      </c>
      <c r="T72" s="39">
        <f>$J$3+[43]FormattedData!M75*$J$4+$M$4*$J$5+[43]FormattedData!M75^2*$J$6+$M$5*$J$7</f>
        <v>-0.58371897760036062</v>
      </c>
      <c r="U72" s="39">
        <f>$J$3+[43]FormattedData!N75*$J$4+$M$4*$J$5+[43]FormattedData!N75^2*$J$6+$M$5*$J$7</f>
        <v>-0.58371897760036062</v>
      </c>
      <c r="V72" s="39">
        <f>$J$3+[43]FormattedData!O75*$J$4+$M$4*$J$5+[43]FormattedData!O75^2*$J$6+$M$5*$J$7</f>
        <v>-0.58371897760036062</v>
      </c>
      <c r="W72" s="38">
        <f>AVERAGE(K72:V72)</f>
        <v>-0.58371897760036073</v>
      </c>
      <c r="X72" s="37">
        <f>STDEV(K72:V72)/SQRT(COUNT(K72:V72))</f>
        <v>3.3474483693592253E-17</v>
      </c>
      <c r="Y72" s="36">
        <f>MIN(K72:V72)</f>
        <v>-0.58371897760036062</v>
      </c>
      <c r="Z72" s="35">
        <f>QUARTILE(K72:V72,1)</f>
        <v>-0.58371897760036062</v>
      </c>
      <c r="AA72" s="36">
        <f>MEDIAN(K72:V72)</f>
        <v>-0.58371897760036062</v>
      </c>
      <c r="AB72" s="35">
        <f>QUARTILE(K72:V72,3)</f>
        <v>-0.58371897760036062</v>
      </c>
      <c r="AC72" s="35">
        <f>MAX(K72:V72)</f>
        <v>-0.58371897760036062</v>
      </c>
      <c r="AD72" s="35">
        <f>SKEW(K72:V72)</f>
        <v>1.1489125293076057</v>
      </c>
      <c r="AE72" s="35">
        <f>KURT(K72:V72)</f>
        <v>-2.4444444444444446</v>
      </c>
    </row>
    <row r="73" spans="2:31" x14ac:dyDescent="0.2">
      <c r="B73" s="34">
        <f>[43]FormattedData!A77</f>
        <v>0</v>
      </c>
      <c r="C73" s="34" t="e">
        <f>VLOOKUP($B73,[43]TrtCodes!$B$11:I120,2)</f>
        <v>#N/A</v>
      </c>
      <c r="D73" s="34" t="e">
        <f>VLOOKUP($B73,[43]TrtCodes!$B$11:J120,3)</f>
        <v>#N/A</v>
      </c>
      <c r="E73" s="34" t="e">
        <f>VLOOKUP($B73,[43]TrtCodes!$B$11:K120,4)</f>
        <v>#N/A</v>
      </c>
      <c r="F73" s="34" t="e">
        <f>VLOOKUP($B73,[43]TrtCodes!$B$11:L120,5)</f>
        <v>#N/A</v>
      </c>
      <c r="G73" s="34" t="e">
        <f>VLOOKUP($B73,[43]TrtCodes!$B$11:M120,6)</f>
        <v>#N/A</v>
      </c>
      <c r="H73" s="34" t="e">
        <f>VLOOKUP($B73,[43]TrtCodes!$B$11:N120,7)</f>
        <v>#N/A</v>
      </c>
      <c r="I73" s="34">
        <f>[43]FormattedData!B77</f>
        <v>0</v>
      </c>
      <c r="J73" s="37">
        <f>[43]FormattedData!C77</f>
        <v>0</v>
      </c>
      <c r="K73" s="39">
        <f>$J$3+[43]FormattedData!D77*$J$4+$M$4*$J$5+[43]FormattedData!D77^2*$J$6+$M$5*$J$7</f>
        <v>-0.58371897760036062</v>
      </c>
      <c r="L73" s="39">
        <f>$J$3+[43]FormattedData!E77*$J$4+$M$4*$J$5+[43]FormattedData!E77^2*$J$6+$M$5*$J$7</f>
        <v>-0.58371897760036062</v>
      </c>
      <c r="M73" s="39">
        <f>$J$3+[43]FormattedData!F77*$J$4+$M$4*$J$5+[43]FormattedData!F77^2*$J$6+$M$5*$J$7</f>
        <v>-0.58371897760036062</v>
      </c>
      <c r="N73" s="39">
        <f>$J$3+[43]FormattedData!G77*$J$4+$M$4*$J$5+[43]FormattedData!G77^2*$J$6+$M$5*$J$7</f>
        <v>-0.58371897760036062</v>
      </c>
      <c r="O73" s="39">
        <f>$J$3+[43]FormattedData!H77*$J$4+$M$4*$J$5+[43]FormattedData!H77^2*$J$6+$M$5*$J$7</f>
        <v>-0.58371897760036062</v>
      </c>
      <c r="P73" s="39">
        <f>$J$3+[43]FormattedData!I77*$J$4+$M$4*$J$5+[43]FormattedData!I77^2*$J$6+$M$5*$J$7</f>
        <v>-0.58371897760036062</v>
      </c>
      <c r="Q73" s="39">
        <f>$J$3+[43]FormattedData!J77*$J$4+$M$4*$J$5+[43]FormattedData!J77^2*$J$6+$M$5*$J$7</f>
        <v>-0.58371897760036062</v>
      </c>
      <c r="R73" s="39">
        <f>$J$3+[43]FormattedData!K77*$J$4+$M$4*$J$5+[43]FormattedData!K77^2*$J$6+$M$5*$J$7</f>
        <v>-0.58371897760036062</v>
      </c>
      <c r="S73" s="39">
        <f>$J$3+[43]FormattedData!L77*$J$4+$M$4*$J$5+[43]FormattedData!L77^2*$J$6+$M$5*$J$7</f>
        <v>-0.58371897760036062</v>
      </c>
      <c r="T73" s="39">
        <f>$J$3+[43]FormattedData!M77*$J$4+$M$4*$J$5+[43]FormattedData!M77^2*$J$6+$M$5*$J$7</f>
        <v>-0.58371897760036062</v>
      </c>
      <c r="U73" s="39">
        <f>$J$3+[43]FormattedData!N77*$J$4+$M$4*$J$5+[43]FormattedData!N77^2*$J$6+$M$5*$J$7</f>
        <v>-0.58371897760036062</v>
      </c>
      <c r="V73" s="39">
        <f>$J$3+[43]FormattedData!O77*$J$4+$M$4*$J$5+[43]FormattedData!O77^2*$J$6+$M$5*$J$7</f>
        <v>-0.58371897760036062</v>
      </c>
      <c r="W73" s="38">
        <f>AVERAGE(K73:V73)</f>
        <v>-0.58371897760036073</v>
      </c>
      <c r="X73" s="37">
        <f>STDEV(K73:V73)/SQRT(COUNT(K73:V73))</f>
        <v>3.3474483693592253E-17</v>
      </c>
      <c r="Y73" s="36">
        <f>MIN(K73:V73)</f>
        <v>-0.58371897760036062</v>
      </c>
      <c r="Z73" s="35">
        <f>QUARTILE(K73:V73,1)</f>
        <v>-0.58371897760036062</v>
      </c>
      <c r="AA73" s="36">
        <f>MEDIAN(K73:V73)</f>
        <v>-0.58371897760036062</v>
      </c>
      <c r="AB73" s="35">
        <f>QUARTILE(K73:V73,3)</f>
        <v>-0.58371897760036062</v>
      </c>
      <c r="AC73" s="35">
        <f>MAX(K73:V73)</f>
        <v>-0.58371897760036062</v>
      </c>
      <c r="AD73" s="35">
        <f>SKEW(K73:V73)</f>
        <v>1.1489125293076057</v>
      </c>
      <c r="AE73" s="35">
        <f>KURT(K73:V73)</f>
        <v>-2.4444444444444446</v>
      </c>
    </row>
    <row r="74" spans="2:31" x14ac:dyDescent="0.2">
      <c r="B74" s="34">
        <f>[43]FormattedData!A93</f>
        <v>0</v>
      </c>
      <c r="C74" s="34" t="e">
        <f>VLOOKUP($B74,[43]TrtCodes!$B$11:I130,2)</f>
        <v>#N/A</v>
      </c>
      <c r="D74" s="34" t="e">
        <f>VLOOKUP($B74,[43]TrtCodes!$B$11:J130,3)</f>
        <v>#N/A</v>
      </c>
      <c r="E74" s="34" t="e">
        <f>VLOOKUP($B74,[43]TrtCodes!$B$11:K130,4)</f>
        <v>#N/A</v>
      </c>
      <c r="F74" s="34" t="e">
        <f>VLOOKUP($B74,[43]TrtCodes!$B$11:L130,5)</f>
        <v>#N/A</v>
      </c>
      <c r="G74" s="34" t="e">
        <f>VLOOKUP($B74,[43]TrtCodes!$B$11:M130,6)</f>
        <v>#N/A</v>
      </c>
      <c r="H74" s="34" t="e">
        <f>VLOOKUP($B74,[43]TrtCodes!$B$11:N130,7)</f>
        <v>#N/A</v>
      </c>
      <c r="I74" s="34">
        <f>[43]FormattedData!B93</f>
        <v>0</v>
      </c>
      <c r="J74" s="37">
        <f>[43]FormattedData!C93</f>
        <v>0</v>
      </c>
      <c r="K74" s="39">
        <f>$J$3+[43]FormattedData!D93*$J$4+$M$4*$J$5+[43]FormattedData!D93^2*$J$6+$M$5*$J$7</f>
        <v>-0.58371897760036062</v>
      </c>
      <c r="L74" s="39">
        <f>$J$3+[43]FormattedData!E93*$J$4+$M$4*$J$5+[43]FormattedData!E93^2*$J$6+$M$5*$J$7</f>
        <v>-0.58371897760036062</v>
      </c>
      <c r="M74" s="39">
        <f>$J$3+[43]FormattedData!F93*$J$4+$M$4*$J$5+[43]FormattedData!F93^2*$J$6+$M$5*$J$7</f>
        <v>-0.58371897760036062</v>
      </c>
      <c r="N74" s="39">
        <f>$J$3+[43]FormattedData!G93*$J$4+$M$4*$J$5+[43]FormattedData!G93^2*$J$6+$M$5*$J$7</f>
        <v>-0.58371897760036062</v>
      </c>
      <c r="O74" s="39">
        <f>$J$3+[43]FormattedData!H93*$J$4+$M$4*$J$5+[43]FormattedData!H93^2*$J$6+$M$5*$J$7</f>
        <v>-0.58371897760036062</v>
      </c>
      <c r="P74" s="39">
        <f>$J$3+[43]FormattedData!I93*$J$4+$M$4*$J$5+[43]FormattedData!I93^2*$J$6+$M$5*$J$7</f>
        <v>-0.58371897760036062</v>
      </c>
      <c r="Q74" s="39">
        <f>$J$3+[43]FormattedData!J93*$J$4+$M$4*$J$5+[43]FormattedData!J93^2*$J$6+$M$5*$J$7</f>
        <v>-0.58371897760036062</v>
      </c>
      <c r="R74" s="39">
        <f>$J$3+[43]FormattedData!K93*$J$4+$M$4*$J$5+[43]FormattedData!K93^2*$J$6+$M$5*$J$7</f>
        <v>-0.58371897760036062</v>
      </c>
      <c r="S74" s="39">
        <f>$J$3+[43]FormattedData!L93*$J$4+$M$4*$J$5+[43]FormattedData!L93^2*$J$6+$M$5*$J$7</f>
        <v>-0.58371897760036062</v>
      </c>
      <c r="T74" s="39">
        <f>$J$3+[43]FormattedData!M93*$J$4+$M$4*$J$5+[43]FormattedData!M93^2*$J$6+$M$5*$J$7</f>
        <v>-0.58371897760036062</v>
      </c>
      <c r="U74" s="39">
        <f>$J$3+[43]FormattedData!N93*$J$4+$M$4*$J$5+[43]FormattedData!N93^2*$J$6+$M$5*$J$7</f>
        <v>-0.58371897760036062</v>
      </c>
      <c r="V74" s="39">
        <f>$J$3+[43]FormattedData!O93*$J$4+$M$4*$J$5+[43]FormattedData!O93^2*$J$6+$M$5*$J$7</f>
        <v>-0.58371897760036062</v>
      </c>
      <c r="W74" s="38">
        <f>AVERAGE(K74:V74)</f>
        <v>-0.58371897760036073</v>
      </c>
      <c r="X74" s="37">
        <f>STDEV(K74:V74)/SQRT(COUNT(K74:V74))</f>
        <v>3.3474483693592253E-17</v>
      </c>
      <c r="Y74" s="36">
        <f>MIN(K74:V74)</f>
        <v>-0.58371897760036062</v>
      </c>
      <c r="Z74" s="35">
        <f>QUARTILE(K74:V74,1)</f>
        <v>-0.58371897760036062</v>
      </c>
      <c r="AA74" s="36">
        <f>MEDIAN(K74:V74)</f>
        <v>-0.58371897760036062</v>
      </c>
      <c r="AB74" s="35">
        <f>QUARTILE(K74:V74,3)</f>
        <v>-0.58371897760036062</v>
      </c>
      <c r="AC74" s="35">
        <f>MAX(K74:V74)</f>
        <v>-0.58371897760036062</v>
      </c>
      <c r="AD74" s="35">
        <f>SKEW(K74:V74)</f>
        <v>1.1489125293076057</v>
      </c>
      <c r="AE74" s="35">
        <f>KURT(K74:V74)</f>
        <v>-2.4444444444444446</v>
      </c>
    </row>
    <row r="75" spans="2:31" x14ac:dyDescent="0.2">
      <c r="B75" s="34">
        <f>[43]FormattedData!A91</f>
        <v>0</v>
      </c>
      <c r="C75" s="34" t="e">
        <f>VLOOKUP($B75,[43]TrtCodes!$B$11:I131,2)</f>
        <v>#N/A</v>
      </c>
      <c r="D75" s="34" t="e">
        <f>VLOOKUP($B75,[43]TrtCodes!$B$11:J131,3)</f>
        <v>#N/A</v>
      </c>
      <c r="E75" s="34" t="e">
        <f>VLOOKUP($B75,[43]TrtCodes!$B$11:K131,4)</f>
        <v>#N/A</v>
      </c>
      <c r="F75" s="34" t="e">
        <f>VLOOKUP($B75,[43]TrtCodes!$B$11:L131,5)</f>
        <v>#N/A</v>
      </c>
      <c r="G75" s="34" t="e">
        <f>VLOOKUP($B75,[43]TrtCodes!$B$11:M131,6)</f>
        <v>#N/A</v>
      </c>
      <c r="H75" s="34" t="e">
        <f>VLOOKUP($B75,[43]TrtCodes!$B$11:N131,7)</f>
        <v>#N/A</v>
      </c>
      <c r="I75" s="34">
        <f>[43]FormattedData!B91</f>
        <v>0</v>
      </c>
      <c r="J75" s="37">
        <f>[43]FormattedData!C91</f>
        <v>0</v>
      </c>
      <c r="K75" s="39">
        <f>$J$3+[43]FormattedData!D91*$J$4+$M$4*$J$5+[43]FormattedData!D91^2*$J$6+$M$5*$J$7</f>
        <v>-0.58371897760036062</v>
      </c>
      <c r="L75" s="39">
        <f>$J$3+[43]FormattedData!E91*$J$4+$M$4*$J$5+[43]FormattedData!E91^2*$J$6+$M$5*$J$7</f>
        <v>-0.58371897760036062</v>
      </c>
      <c r="M75" s="39">
        <f>$J$3+[43]FormattedData!F91*$J$4+$M$4*$J$5+[43]FormattedData!F91^2*$J$6+$M$5*$J$7</f>
        <v>-0.58371897760036062</v>
      </c>
      <c r="N75" s="39">
        <f>$J$3+[43]FormattedData!G91*$J$4+$M$4*$J$5+[43]FormattedData!G91^2*$J$6+$M$5*$J$7</f>
        <v>-0.58371897760036062</v>
      </c>
      <c r="O75" s="39">
        <f>$J$3+[43]FormattedData!H91*$J$4+$M$4*$J$5+[43]FormattedData!H91^2*$J$6+$M$5*$J$7</f>
        <v>-0.58371897760036062</v>
      </c>
      <c r="P75" s="39">
        <f>$J$3+[43]FormattedData!I91*$J$4+$M$4*$J$5+[43]FormattedData!I91^2*$J$6+$M$5*$J$7</f>
        <v>-0.58371897760036062</v>
      </c>
      <c r="Q75" s="39">
        <f>$J$3+[43]FormattedData!J91*$J$4+$M$4*$J$5+[43]FormattedData!J91^2*$J$6+$M$5*$J$7</f>
        <v>-0.58371897760036062</v>
      </c>
      <c r="R75" s="39">
        <f>$J$3+[43]FormattedData!K91*$J$4+$M$4*$J$5+[43]FormattedData!K91^2*$J$6+$M$5*$J$7</f>
        <v>-0.58371897760036062</v>
      </c>
      <c r="S75" s="39">
        <f>$J$3+[43]FormattedData!L91*$J$4+$M$4*$J$5+[43]FormattedData!L91^2*$J$6+$M$5*$J$7</f>
        <v>-0.58371897760036062</v>
      </c>
      <c r="T75" s="39">
        <f>$J$3+[43]FormattedData!M91*$J$4+$M$4*$J$5+[43]FormattedData!M91^2*$J$6+$M$5*$J$7</f>
        <v>-0.58371897760036062</v>
      </c>
      <c r="U75" s="39">
        <f>$J$3+[43]FormattedData!N91*$J$4+$M$4*$J$5+[43]FormattedData!N91^2*$J$6+$M$5*$J$7</f>
        <v>-0.58371897760036062</v>
      </c>
      <c r="V75" s="39">
        <f>$J$3+[43]FormattedData!O91*$J$4+$M$4*$J$5+[43]FormattedData!O91^2*$J$6+$M$5*$J$7</f>
        <v>-0.58371897760036062</v>
      </c>
      <c r="W75" s="38">
        <f>AVERAGE(K75:V75)</f>
        <v>-0.58371897760036073</v>
      </c>
      <c r="X75" s="37">
        <f>STDEV(K75:V75)/SQRT(COUNT(K75:V75))</f>
        <v>3.3474483693592253E-17</v>
      </c>
      <c r="Y75" s="36">
        <f>MIN(K75:V75)</f>
        <v>-0.58371897760036062</v>
      </c>
      <c r="Z75" s="35">
        <f>QUARTILE(K75:V75,1)</f>
        <v>-0.58371897760036062</v>
      </c>
      <c r="AA75" s="36">
        <f>MEDIAN(K75:V75)</f>
        <v>-0.58371897760036062</v>
      </c>
      <c r="AB75" s="35">
        <f>QUARTILE(K75:V75,3)</f>
        <v>-0.58371897760036062</v>
      </c>
      <c r="AC75" s="35">
        <f>MAX(K75:V75)</f>
        <v>-0.58371897760036062</v>
      </c>
      <c r="AD75" s="35">
        <f>SKEW(K75:V75)</f>
        <v>1.1489125293076057</v>
      </c>
      <c r="AE75" s="35">
        <f>KURT(K75:V75)</f>
        <v>-2.4444444444444446</v>
      </c>
    </row>
    <row r="76" spans="2:31" x14ac:dyDescent="0.2">
      <c r="B76" s="34">
        <f>[43]FormattedData!A89</f>
        <v>0</v>
      </c>
      <c r="C76" s="34" t="e">
        <f>VLOOKUP($B76,[43]TrtCodes!$B$11:I132,2)</f>
        <v>#N/A</v>
      </c>
      <c r="D76" s="34" t="e">
        <f>VLOOKUP($B76,[43]TrtCodes!$B$11:J132,3)</f>
        <v>#N/A</v>
      </c>
      <c r="E76" s="34" t="e">
        <f>VLOOKUP($B76,[43]TrtCodes!$B$11:K132,4)</f>
        <v>#N/A</v>
      </c>
      <c r="F76" s="34" t="e">
        <f>VLOOKUP($B76,[43]TrtCodes!$B$11:L132,5)</f>
        <v>#N/A</v>
      </c>
      <c r="G76" s="34" t="e">
        <f>VLOOKUP($B76,[43]TrtCodes!$B$11:M132,6)</f>
        <v>#N/A</v>
      </c>
      <c r="H76" s="34" t="e">
        <f>VLOOKUP($B76,[43]TrtCodes!$B$11:N132,7)</f>
        <v>#N/A</v>
      </c>
      <c r="I76" s="34">
        <f>[43]FormattedData!B89</f>
        <v>0</v>
      </c>
      <c r="J76" s="37">
        <f>[43]FormattedData!C89</f>
        <v>0</v>
      </c>
      <c r="K76" s="39">
        <f>$J$3+[43]FormattedData!D89*$J$4+$M$4*$J$5+[43]FormattedData!D89^2*$J$6+$M$5*$J$7</f>
        <v>-0.58371897760036062</v>
      </c>
      <c r="L76" s="39">
        <f>$J$3+[43]FormattedData!E89*$J$4+$M$4*$J$5+[43]FormattedData!E89^2*$J$6+$M$5*$J$7</f>
        <v>-0.58371897760036062</v>
      </c>
      <c r="M76" s="39">
        <f>$J$3+[43]FormattedData!F89*$J$4+$M$4*$J$5+[43]FormattedData!F89^2*$J$6+$M$5*$J$7</f>
        <v>-0.58371897760036062</v>
      </c>
      <c r="N76" s="39">
        <f>$J$3+[43]FormattedData!G89*$J$4+$M$4*$J$5+[43]FormattedData!G89^2*$J$6+$M$5*$J$7</f>
        <v>-0.58371897760036062</v>
      </c>
      <c r="O76" s="39">
        <f>$J$3+[43]FormattedData!H89*$J$4+$M$4*$J$5+[43]FormattedData!H89^2*$J$6+$M$5*$J$7</f>
        <v>-0.58371897760036062</v>
      </c>
      <c r="P76" s="39">
        <f>$J$3+[43]FormattedData!I89*$J$4+$M$4*$J$5+[43]FormattedData!I89^2*$J$6+$M$5*$J$7</f>
        <v>-0.58371897760036062</v>
      </c>
      <c r="Q76" s="39">
        <f>$J$3+[43]FormattedData!J89*$J$4+$M$4*$J$5+[43]FormattedData!J89^2*$J$6+$M$5*$J$7</f>
        <v>-0.58371897760036062</v>
      </c>
      <c r="R76" s="39">
        <f>$J$3+[43]FormattedData!K89*$J$4+$M$4*$J$5+[43]FormattedData!K89^2*$J$6+$M$5*$J$7</f>
        <v>-0.58371897760036062</v>
      </c>
      <c r="S76" s="39">
        <f>$J$3+[43]FormattedData!L89*$J$4+$M$4*$J$5+[43]FormattedData!L89^2*$J$6+$M$5*$J$7</f>
        <v>-0.58371897760036062</v>
      </c>
      <c r="T76" s="39">
        <f>$J$3+[43]FormattedData!M89*$J$4+$M$4*$J$5+[43]FormattedData!M89^2*$J$6+$M$5*$J$7</f>
        <v>-0.58371897760036062</v>
      </c>
      <c r="U76" s="39">
        <f>$J$3+[43]FormattedData!N89*$J$4+$M$4*$J$5+[43]FormattedData!N89^2*$J$6+$M$5*$J$7</f>
        <v>-0.58371897760036062</v>
      </c>
      <c r="V76" s="39">
        <f>$J$3+[43]FormattedData!O89*$J$4+$M$4*$J$5+[43]FormattedData!O89^2*$J$6+$M$5*$J$7</f>
        <v>-0.58371897760036062</v>
      </c>
      <c r="W76" s="38">
        <f>AVERAGE(K76:V76)</f>
        <v>-0.58371897760036073</v>
      </c>
      <c r="X76" s="37">
        <f>STDEV(K76:V76)/SQRT(COUNT(K76:V76))</f>
        <v>3.3474483693592253E-17</v>
      </c>
      <c r="Y76" s="36">
        <f>MIN(K76:V76)</f>
        <v>-0.58371897760036062</v>
      </c>
      <c r="Z76" s="35">
        <f>QUARTILE(K76:V76,1)</f>
        <v>-0.58371897760036062</v>
      </c>
      <c r="AA76" s="36">
        <f>MEDIAN(K76:V76)</f>
        <v>-0.58371897760036062</v>
      </c>
      <c r="AB76" s="35">
        <f>QUARTILE(K76:V76,3)</f>
        <v>-0.58371897760036062</v>
      </c>
      <c r="AC76" s="35">
        <f>MAX(K76:V76)</f>
        <v>-0.58371897760036062</v>
      </c>
      <c r="AD76" s="35">
        <f>SKEW(K76:V76)</f>
        <v>1.1489125293076057</v>
      </c>
      <c r="AE76" s="35">
        <f>KURT(K76:V76)</f>
        <v>-2.4444444444444446</v>
      </c>
    </row>
    <row r="77" spans="2:31" x14ac:dyDescent="0.2">
      <c r="B77" s="34">
        <f>[43]FormattedData!A87</f>
        <v>0</v>
      </c>
      <c r="C77" s="34" t="e">
        <f>VLOOKUP($B77,[43]TrtCodes!$B$11:I130,2)</f>
        <v>#N/A</v>
      </c>
      <c r="D77" s="34" t="e">
        <f>VLOOKUP($B77,[43]TrtCodes!$B$11:J130,3)</f>
        <v>#N/A</v>
      </c>
      <c r="E77" s="34" t="e">
        <f>VLOOKUP($B77,[43]TrtCodes!$B$11:K130,4)</f>
        <v>#N/A</v>
      </c>
      <c r="F77" s="34" t="e">
        <f>VLOOKUP($B77,[43]TrtCodes!$B$11:L130,5)</f>
        <v>#N/A</v>
      </c>
      <c r="G77" s="34" t="e">
        <f>VLOOKUP($B77,[43]TrtCodes!$B$11:M130,6)</f>
        <v>#N/A</v>
      </c>
      <c r="H77" s="34" t="e">
        <f>VLOOKUP($B77,[43]TrtCodes!$B$11:N130,7)</f>
        <v>#N/A</v>
      </c>
      <c r="I77" s="34">
        <f>[43]FormattedData!B87</f>
        <v>0</v>
      </c>
      <c r="J77" s="37">
        <f>[43]FormattedData!C87</f>
        <v>0</v>
      </c>
      <c r="K77" s="39">
        <f>$J$3+[43]FormattedData!D87*$J$4+$M$4*$J$5+[43]FormattedData!D87^2*$J$6+$M$5*$J$7</f>
        <v>-0.58371897760036062</v>
      </c>
      <c r="L77" s="39">
        <f>$J$3+[43]FormattedData!E87*$J$4+$M$4*$J$5+[43]FormattedData!E87^2*$J$6+$M$5*$J$7</f>
        <v>-0.58371897760036062</v>
      </c>
      <c r="M77" s="39">
        <f>$J$3+[43]FormattedData!F87*$J$4+$M$4*$J$5+[43]FormattedData!F87^2*$J$6+$M$5*$J$7</f>
        <v>-0.58371897760036062</v>
      </c>
      <c r="N77" s="39">
        <f>$J$3+[43]FormattedData!G87*$J$4+$M$4*$J$5+[43]FormattedData!G87^2*$J$6+$M$5*$J$7</f>
        <v>-0.58371897760036062</v>
      </c>
      <c r="O77" s="39">
        <f>$J$3+[43]FormattedData!H87*$J$4+$M$4*$J$5+[43]FormattedData!H87^2*$J$6+$M$5*$J$7</f>
        <v>-0.58371897760036062</v>
      </c>
      <c r="P77" s="39">
        <f>$J$3+[43]FormattedData!I87*$J$4+$M$4*$J$5+[43]FormattedData!I87^2*$J$6+$M$5*$J$7</f>
        <v>-0.58371897760036062</v>
      </c>
      <c r="Q77" s="39">
        <f>$J$3+[43]FormattedData!J87*$J$4+$M$4*$J$5+[43]FormattedData!J87^2*$J$6+$M$5*$J$7</f>
        <v>-0.58371897760036062</v>
      </c>
      <c r="R77" s="39">
        <f>$J$3+[43]FormattedData!K87*$J$4+$M$4*$J$5+[43]FormattedData!K87^2*$J$6+$M$5*$J$7</f>
        <v>-0.58371897760036062</v>
      </c>
      <c r="S77" s="39">
        <f>$J$3+[43]FormattedData!L87*$J$4+$M$4*$J$5+[43]FormattedData!L87^2*$J$6+$M$5*$J$7</f>
        <v>-0.58371897760036062</v>
      </c>
      <c r="T77" s="39">
        <f>$J$3+[43]FormattedData!M87*$J$4+$M$4*$J$5+[43]FormattedData!M87^2*$J$6+$M$5*$J$7</f>
        <v>-0.58371897760036062</v>
      </c>
      <c r="U77" s="39">
        <f>$J$3+[43]FormattedData!N87*$J$4+$M$4*$J$5+[43]FormattedData!N87^2*$J$6+$M$5*$J$7</f>
        <v>-0.58371897760036062</v>
      </c>
      <c r="V77" s="39">
        <f>$J$3+[43]FormattedData!O87*$J$4+$M$4*$J$5+[43]FormattedData!O87^2*$J$6+$M$5*$J$7</f>
        <v>-0.58371897760036062</v>
      </c>
      <c r="W77" s="38">
        <f>AVERAGE(K77:V77)</f>
        <v>-0.58371897760036073</v>
      </c>
      <c r="X77" s="37">
        <f>STDEV(K77:V77)/SQRT(COUNT(K77:V77))</f>
        <v>3.3474483693592253E-17</v>
      </c>
      <c r="Y77" s="36">
        <f>MIN(K77:V77)</f>
        <v>-0.58371897760036062</v>
      </c>
      <c r="Z77" s="35">
        <f>QUARTILE(K77:V77,1)</f>
        <v>-0.58371897760036062</v>
      </c>
      <c r="AA77" s="36">
        <f>MEDIAN(K77:V77)</f>
        <v>-0.58371897760036062</v>
      </c>
      <c r="AB77" s="35">
        <f>QUARTILE(K77:V77,3)</f>
        <v>-0.58371897760036062</v>
      </c>
      <c r="AC77" s="35">
        <f>MAX(K77:V77)</f>
        <v>-0.58371897760036062</v>
      </c>
      <c r="AD77" s="35">
        <f>SKEW(K77:V77)</f>
        <v>1.1489125293076057</v>
      </c>
      <c r="AE77" s="35">
        <f>KURT(K77:V77)</f>
        <v>-2.4444444444444446</v>
      </c>
    </row>
    <row r="78" spans="2:31" x14ac:dyDescent="0.2">
      <c r="B78" s="34">
        <f>[43]FormattedData!A85</f>
        <v>0</v>
      </c>
      <c r="C78" s="34" t="e">
        <f>VLOOKUP($B78,[43]TrtCodes!$B$11:I128,2)</f>
        <v>#N/A</v>
      </c>
      <c r="D78" s="34" t="e">
        <f>VLOOKUP($B78,[43]TrtCodes!$B$11:J128,3)</f>
        <v>#N/A</v>
      </c>
      <c r="E78" s="34" t="e">
        <f>VLOOKUP($B78,[43]TrtCodes!$B$11:K128,4)</f>
        <v>#N/A</v>
      </c>
      <c r="F78" s="34" t="e">
        <f>VLOOKUP($B78,[43]TrtCodes!$B$11:L128,5)</f>
        <v>#N/A</v>
      </c>
      <c r="G78" s="34" t="e">
        <f>VLOOKUP($B78,[43]TrtCodes!$B$11:M128,6)</f>
        <v>#N/A</v>
      </c>
      <c r="H78" s="34" t="e">
        <f>VLOOKUP($B78,[43]TrtCodes!$B$11:N128,7)</f>
        <v>#N/A</v>
      </c>
      <c r="I78" s="34">
        <f>[43]FormattedData!B85</f>
        <v>0</v>
      </c>
      <c r="J78" s="37">
        <f>[43]FormattedData!C85</f>
        <v>0</v>
      </c>
      <c r="K78" s="39">
        <f>$J$3+[43]FormattedData!D85*$J$4+$M$4*$J$5+[43]FormattedData!D85^2*$J$6+$M$5*$J$7</f>
        <v>-0.58371897760036062</v>
      </c>
      <c r="L78" s="39">
        <f>$J$3+[43]FormattedData!E85*$J$4+$M$4*$J$5+[43]FormattedData!E85^2*$J$6+$M$5*$J$7</f>
        <v>-0.58371897760036062</v>
      </c>
      <c r="M78" s="39">
        <f>$J$3+[43]FormattedData!F85*$J$4+$M$4*$J$5+[43]FormattedData!F85^2*$J$6+$M$5*$J$7</f>
        <v>-0.58371897760036062</v>
      </c>
      <c r="N78" s="39">
        <f>$J$3+[43]FormattedData!G85*$J$4+$M$4*$J$5+[43]FormattedData!G85^2*$J$6+$M$5*$J$7</f>
        <v>-0.58371897760036062</v>
      </c>
      <c r="O78" s="39">
        <f>$J$3+[43]FormattedData!H85*$J$4+$M$4*$J$5+[43]FormattedData!H85^2*$J$6+$M$5*$J$7</f>
        <v>-0.58371897760036062</v>
      </c>
      <c r="P78" s="39">
        <f>$J$3+[43]FormattedData!I85*$J$4+$M$4*$J$5+[43]FormattedData!I85^2*$J$6+$M$5*$J$7</f>
        <v>-0.58371897760036062</v>
      </c>
      <c r="Q78" s="39">
        <f>$J$3+[43]FormattedData!J85*$J$4+$M$4*$J$5+[43]FormattedData!J85^2*$J$6+$M$5*$J$7</f>
        <v>-0.58371897760036062</v>
      </c>
      <c r="R78" s="39">
        <f>$J$3+[43]FormattedData!K85*$J$4+$M$4*$J$5+[43]FormattedData!K85^2*$J$6+$M$5*$J$7</f>
        <v>-0.58371897760036062</v>
      </c>
      <c r="S78" s="39">
        <f>$J$3+[43]FormattedData!L85*$J$4+$M$4*$J$5+[43]FormattedData!L85^2*$J$6+$M$5*$J$7</f>
        <v>-0.58371897760036062</v>
      </c>
      <c r="T78" s="39">
        <f>$J$3+[43]FormattedData!M85*$J$4+$M$4*$J$5+[43]FormattedData!M85^2*$J$6+$M$5*$J$7</f>
        <v>-0.58371897760036062</v>
      </c>
      <c r="U78" s="39">
        <f>$J$3+[43]FormattedData!N85*$J$4+$M$4*$J$5+[43]FormattedData!N85^2*$J$6+$M$5*$J$7</f>
        <v>-0.58371897760036062</v>
      </c>
      <c r="V78" s="39">
        <f>$J$3+[43]FormattedData!O85*$J$4+$M$4*$J$5+[43]FormattedData!O85^2*$J$6+$M$5*$J$7</f>
        <v>-0.58371897760036062</v>
      </c>
      <c r="W78" s="38">
        <f>AVERAGE(K78:V78)</f>
        <v>-0.58371897760036073</v>
      </c>
      <c r="X78" s="37">
        <f>STDEV(K78:V78)/SQRT(COUNT(K78:V78))</f>
        <v>3.3474483693592253E-17</v>
      </c>
      <c r="Y78" s="36">
        <f>MIN(K78:V78)</f>
        <v>-0.58371897760036062</v>
      </c>
      <c r="Z78" s="35">
        <f>QUARTILE(K78:V78,1)</f>
        <v>-0.58371897760036062</v>
      </c>
      <c r="AA78" s="36">
        <f>MEDIAN(K78:V78)</f>
        <v>-0.58371897760036062</v>
      </c>
      <c r="AB78" s="35">
        <f>QUARTILE(K78:V78,3)</f>
        <v>-0.58371897760036062</v>
      </c>
      <c r="AC78" s="35">
        <f>MAX(K78:V78)</f>
        <v>-0.58371897760036062</v>
      </c>
      <c r="AD78" s="35">
        <f>SKEW(K78:V78)</f>
        <v>1.1489125293076057</v>
      </c>
      <c r="AE78" s="35">
        <f>KURT(K78:V78)</f>
        <v>-2.4444444444444446</v>
      </c>
    </row>
    <row r="79" spans="2:31" x14ac:dyDescent="0.2">
      <c r="B79" s="34">
        <f>[43]FormattedData!A83</f>
        <v>0</v>
      </c>
      <c r="C79" s="34" t="e">
        <f>VLOOKUP($B79,[43]TrtCodes!$B$11:I126,2)</f>
        <v>#N/A</v>
      </c>
      <c r="D79" s="34" t="e">
        <f>VLOOKUP($B79,[43]TrtCodes!$B$11:J126,3)</f>
        <v>#N/A</v>
      </c>
      <c r="E79" s="34" t="e">
        <f>VLOOKUP($B79,[43]TrtCodes!$B$11:K126,4)</f>
        <v>#N/A</v>
      </c>
      <c r="F79" s="34" t="e">
        <f>VLOOKUP($B79,[43]TrtCodes!$B$11:L126,5)</f>
        <v>#N/A</v>
      </c>
      <c r="G79" s="34" t="e">
        <f>VLOOKUP($B79,[43]TrtCodes!$B$11:M126,6)</f>
        <v>#N/A</v>
      </c>
      <c r="H79" s="34" t="e">
        <f>VLOOKUP($B79,[43]TrtCodes!$B$11:N126,7)</f>
        <v>#N/A</v>
      </c>
      <c r="I79" s="34">
        <f>[43]FormattedData!B83</f>
        <v>0</v>
      </c>
      <c r="J79" s="37">
        <f>[43]FormattedData!C83</f>
        <v>0</v>
      </c>
      <c r="K79" s="39">
        <f>$J$3+[43]FormattedData!D83*$J$4+$M$4*$J$5+[43]FormattedData!D83^2*$J$6+$M$5*$J$7</f>
        <v>-0.58371897760036062</v>
      </c>
      <c r="L79" s="39">
        <f>$J$3+[43]FormattedData!E83*$J$4+$M$4*$J$5+[43]FormattedData!E83^2*$J$6+$M$5*$J$7</f>
        <v>-0.58371897760036062</v>
      </c>
      <c r="M79" s="39">
        <f>$J$3+[43]FormattedData!F83*$J$4+$M$4*$J$5+[43]FormattedData!F83^2*$J$6+$M$5*$J$7</f>
        <v>-0.58371897760036062</v>
      </c>
      <c r="N79" s="39">
        <f>$J$3+[43]FormattedData!G83*$J$4+$M$4*$J$5+[43]FormattedData!G83^2*$J$6+$M$5*$J$7</f>
        <v>-0.58371897760036062</v>
      </c>
      <c r="O79" s="39">
        <f>$J$3+[43]FormattedData!H83*$J$4+$M$4*$J$5+[43]FormattedData!H83^2*$J$6+$M$5*$J$7</f>
        <v>-0.58371897760036062</v>
      </c>
      <c r="P79" s="39">
        <f>$J$3+[43]FormattedData!I83*$J$4+$M$4*$J$5+[43]FormattedData!I83^2*$J$6+$M$5*$J$7</f>
        <v>-0.58371897760036062</v>
      </c>
      <c r="Q79" s="39">
        <f>$J$3+[43]FormattedData!J83*$J$4+$M$4*$J$5+[43]FormattedData!J83^2*$J$6+$M$5*$J$7</f>
        <v>-0.58371897760036062</v>
      </c>
      <c r="R79" s="39">
        <f>$J$3+[43]FormattedData!K83*$J$4+$M$4*$J$5+[43]FormattedData!K83^2*$J$6+$M$5*$J$7</f>
        <v>-0.58371897760036062</v>
      </c>
      <c r="S79" s="39">
        <f>$J$3+[43]FormattedData!L83*$J$4+$M$4*$J$5+[43]FormattedData!L83^2*$J$6+$M$5*$J$7</f>
        <v>-0.58371897760036062</v>
      </c>
      <c r="T79" s="39">
        <f>$J$3+[43]FormattedData!M83*$J$4+$M$4*$J$5+[43]FormattedData!M83^2*$J$6+$M$5*$J$7</f>
        <v>-0.58371897760036062</v>
      </c>
      <c r="U79" s="39">
        <f>$J$3+[43]FormattedData!N83*$J$4+$M$4*$J$5+[43]FormattedData!N83^2*$J$6+$M$5*$J$7</f>
        <v>-0.58371897760036062</v>
      </c>
      <c r="V79" s="39">
        <f>$J$3+[43]FormattedData!O83*$J$4+$M$4*$J$5+[43]FormattedData!O83^2*$J$6+$M$5*$J$7</f>
        <v>-0.58371897760036062</v>
      </c>
      <c r="W79" s="38">
        <f>AVERAGE(K79:V79)</f>
        <v>-0.58371897760036073</v>
      </c>
      <c r="X79" s="37">
        <f>STDEV(K79:V79)/SQRT(COUNT(K79:V79))</f>
        <v>3.3474483693592253E-17</v>
      </c>
      <c r="Y79" s="36">
        <f>MIN(K79:V79)</f>
        <v>-0.58371897760036062</v>
      </c>
      <c r="Z79" s="35">
        <f>QUARTILE(K79:V79,1)</f>
        <v>-0.58371897760036062</v>
      </c>
      <c r="AA79" s="36">
        <f>MEDIAN(K79:V79)</f>
        <v>-0.58371897760036062</v>
      </c>
      <c r="AB79" s="35">
        <f>QUARTILE(K79:V79,3)</f>
        <v>-0.58371897760036062</v>
      </c>
      <c r="AC79" s="35">
        <f>MAX(K79:V79)</f>
        <v>-0.58371897760036062</v>
      </c>
      <c r="AD79" s="35">
        <f>SKEW(K79:V79)</f>
        <v>1.1489125293076057</v>
      </c>
      <c r="AE79" s="35">
        <f>KURT(K79:V79)</f>
        <v>-2.4444444444444446</v>
      </c>
    </row>
    <row r="80" spans="2:31" x14ac:dyDescent="0.2">
      <c r="B80" s="34">
        <f>[43]FormattedData!A81</f>
        <v>0</v>
      </c>
      <c r="C80" s="34" t="e">
        <f>VLOOKUP($B80,[43]TrtCodes!$B$11:I124,2)</f>
        <v>#N/A</v>
      </c>
      <c r="D80" s="34" t="e">
        <f>VLOOKUP($B80,[43]TrtCodes!$B$11:J124,3)</f>
        <v>#N/A</v>
      </c>
      <c r="E80" s="34" t="e">
        <f>VLOOKUP($B80,[43]TrtCodes!$B$11:K124,4)</f>
        <v>#N/A</v>
      </c>
      <c r="F80" s="34" t="e">
        <f>VLOOKUP($B80,[43]TrtCodes!$B$11:L124,5)</f>
        <v>#N/A</v>
      </c>
      <c r="G80" s="34" t="e">
        <f>VLOOKUP($B80,[43]TrtCodes!$B$11:M124,6)</f>
        <v>#N/A</v>
      </c>
      <c r="H80" s="34" t="e">
        <f>VLOOKUP($B80,[43]TrtCodes!$B$11:N124,7)</f>
        <v>#N/A</v>
      </c>
      <c r="I80" s="34">
        <f>[43]FormattedData!B81</f>
        <v>0</v>
      </c>
      <c r="J80" s="37">
        <f>[43]FormattedData!C81</f>
        <v>0</v>
      </c>
      <c r="K80" s="39">
        <f>$J$3+[43]FormattedData!D81*$J$4+$M$4*$J$5+[43]FormattedData!D81^2*$J$6+$M$5*$J$7</f>
        <v>-0.58371897760036062</v>
      </c>
      <c r="L80" s="39">
        <f>$J$3+[43]FormattedData!E81*$J$4+$M$4*$J$5+[43]FormattedData!E81^2*$J$6+$M$5*$J$7</f>
        <v>-0.58371897760036062</v>
      </c>
      <c r="M80" s="39">
        <f>$J$3+[43]FormattedData!F81*$J$4+$M$4*$J$5+[43]FormattedData!F81^2*$J$6+$M$5*$J$7</f>
        <v>-0.58371897760036062</v>
      </c>
      <c r="N80" s="39">
        <f>$J$3+[43]FormattedData!G81*$J$4+$M$4*$J$5+[43]FormattedData!G81^2*$J$6+$M$5*$J$7</f>
        <v>-0.58371897760036062</v>
      </c>
      <c r="O80" s="39">
        <f>$J$3+[43]FormattedData!H81*$J$4+$M$4*$J$5+[43]FormattedData!H81^2*$J$6+$M$5*$J$7</f>
        <v>-0.58371897760036062</v>
      </c>
      <c r="P80" s="39">
        <f>$J$3+[43]FormattedData!I81*$J$4+$M$4*$J$5+[43]FormattedData!I81^2*$J$6+$M$5*$J$7</f>
        <v>-0.58371897760036062</v>
      </c>
      <c r="Q80" s="39">
        <f>$J$3+[43]FormattedData!J81*$J$4+$M$4*$J$5+[43]FormattedData!J81^2*$J$6+$M$5*$J$7</f>
        <v>-0.58371897760036062</v>
      </c>
      <c r="R80" s="39">
        <f>$J$3+[43]FormattedData!K81*$J$4+$M$4*$J$5+[43]FormattedData!K81^2*$J$6+$M$5*$J$7</f>
        <v>-0.58371897760036062</v>
      </c>
      <c r="S80" s="39">
        <f>$J$3+[43]FormattedData!L81*$J$4+$M$4*$J$5+[43]FormattedData!L81^2*$J$6+$M$5*$J$7</f>
        <v>-0.58371897760036062</v>
      </c>
      <c r="T80" s="39">
        <f>$J$3+[43]FormattedData!M81*$J$4+$M$4*$J$5+[43]FormattedData!M81^2*$J$6+$M$5*$J$7</f>
        <v>-0.58371897760036062</v>
      </c>
      <c r="U80" s="39">
        <f>$J$3+[43]FormattedData!N81*$J$4+$M$4*$J$5+[43]FormattedData!N81^2*$J$6+$M$5*$J$7</f>
        <v>-0.58371897760036062</v>
      </c>
      <c r="V80" s="39">
        <f>$J$3+[43]FormattedData!O81*$J$4+$M$4*$J$5+[43]FormattedData!O81^2*$J$6+$M$5*$J$7</f>
        <v>-0.58371897760036062</v>
      </c>
      <c r="W80" s="38">
        <f>AVERAGE(K80:V80)</f>
        <v>-0.58371897760036073</v>
      </c>
      <c r="X80" s="37">
        <f>STDEV(K80:V80)/SQRT(COUNT(K80:V80))</f>
        <v>3.3474483693592253E-17</v>
      </c>
      <c r="Y80" s="36">
        <f>MIN(K80:V80)</f>
        <v>-0.58371897760036062</v>
      </c>
      <c r="Z80" s="35">
        <f>QUARTILE(K80:V80,1)</f>
        <v>-0.58371897760036062</v>
      </c>
      <c r="AA80" s="36">
        <f>MEDIAN(K80:V80)</f>
        <v>-0.58371897760036062</v>
      </c>
      <c r="AB80" s="35">
        <f>QUARTILE(K80:V80,3)</f>
        <v>-0.58371897760036062</v>
      </c>
      <c r="AC80" s="35">
        <f>MAX(K80:V80)</f>
        <v>-0.58371897760036062</v>
      </c>
      <c r="AD80" s="35">
        <f>SKEW(K80:V80)</f>
        <v>1.1489125293076057</v>
      </c>
      <c r="AE80" s="35">
        <f>KURT(K80:V80)</f>
        <v>-2.4444444444444446</v>
      </c>
    </row>
    <row r="81" spans="2:31" x14ac:dyDescent="0.2">
      <c r="B81" s="34">
        <f>[43]FormattedData!A79</f>
        <v>0</v>
      </c>
      <c r="C81" s="34" t="e">
        <f>VLOOKUP($B81,[43]TrtCodes!$B$11:I122,2)</f>
        <v>#N/A</v>
      </c>
      <c r="D81" s="34" t="e">
        <f>VLOOKUP($B81,[43]TrtCodes!$B$11:J122,3)</f>
        <v>#N/A</v>
      </c>
      <c r="E81" s="34" t="e">
        <f>VLOOKUP($B81,[43]TrtCodes!$B$11:K122,4)</f>
        <v>#N/A</v>
      </c>
      <c r="F81" s="34" t="e">
        <f>VLOOKUP($B81,[43]TrtCodes!$B$11:L122,5)</f>
        <v>#N/A</v>
      </c>
      <c r="G81" s="34" t="e">
        <f>VLOOKUP($B81,[43]TrtCodes!$B$11:M122,6)</f>
        <v>#N/A</v>
      </c>
      <c r="H81" s="34" t="e">
        <f>VLOOKUP($B81,[43]TrtCodes!$B$11:N122,7)</f>
        <v>#N/A</v>
      </c>
      <c r="I81" s="34">
        <f>[43]FormattedData!B79</f>
        <v>0</v>
      </c>
      <c r="J81" s="37">
        <f>[43]FormattedData!C79</f>
        <v>0</v>
      </c>
      <c r="K81" s="39">
        <f>$J$3+[43]FormattedData!D79*$J$4+$M$4*$J$5+[43]FormattedData!D79^2*$J$6+$M$5*$J$7</f>
        <v>-0.58371897760036062</v>
      </c>
      <c r="L81" s="39">
        <f>$J$3+[43]FormattedData!E79*$J$4+$M$4*$J$5+[43]FormattedData!E79^2*$J$6+$M$5*$J$7</f>
        <v>-0.58371897760036062</v>
      </c>
      <c r="M81" s="39">
        <f>$J$3+[43]FormattedData!F79*$J$4+$M$4*$J$5+[43]FormattedData!F79^2*$J$6+$M$5*$J$7</f>
        <v>-0.58371897760036062</v>
      </c>
      <c r="N81" s="39">
        <f>$J$3+[43]FormattedData!G79*$J$4+$M$4*$J$5+[43]FormattedData!G79^2*$J$6+$M$5*$J$7</f>
        <v>-0.58371897760036062</v>
      </c>
      <c r="O81" s="39">
        <f>$J$3+[43]FormattedData!H79*$J$4+$M$4*$J$5+[43]FormattedData!H79^2*$J$6+$M$5*$J$7</f>
        <v>-0.58371897760036062</v>
      </c>
      <c r="P81" s="39">
        <f>$J$3+[43]FormattedData!I79*$J$4+$M$4*$J$5+[43]FormattedData!I79^2*$J$6+$M$5*$J$7</f>
        <v>-0.58371897760036062</v>
      </c>
      <c r="Q81" s="39">
        <f>$J$3+[43]FormattedData!J79*$J$4+$M$4*$J$5+[43]FormattedData!J79^2*$J$6+$M$5*$J$7</f>
        <v>-0.58371897760036062</v>
      </c>
      <c r="R81" s="39">
        <f>$J$3+[43]FormattedData!K79*$J$4+$M$4*$J$5+[43]FormattedData!K79^2*$J$6+$M$5*$J$7</f>
        <v>-0.58371897760036062</v>
      </c>
      <c r="S81" s="39">
        <f>$J$3+[43]FormattedData!L79*$J$4+$M$4*$J$5+[43]FormattedData!L79^2*$J$6+$M$5*$J$7</f>
        <v>-0.58371897760036062</v>
      </c>
      <c r="T81" s="39">
        <f>$J$3+[43]FormattedData!M79*$J$4+$M$4*$J$5+[43]FormattedData!M79^2*$J$6+$M$5*$J$7</f>
        <v>-0.58371897760036062</v>
      </c>
      <c r="U81" s="39">
        <f>$J$3+[43]FormattedData!N79*$J$4+$M$4*$J$5+[43]FormattedData!N79^2*$J$6+$M$5*$J$7</f>
        <v>-0.58371897760036062</v>
      </c>
      <c r="V81" s="39">
        <f>$J$3+[43]FormattedData!O79*$J$4+$M$4*$J$5+[43]FormattedData!O79^2*$J$6+$M$5*$J$7</f>
        <v>-0.58371897760036062</v>
      </c>
      <c r="W81" s="38">
        <f>AVERAGE(K81:V81)</f>
        <v>-0.58371897760036073</v>
      </c>
      <c r="X81" s="37">
        <f>STDEV(K81:V81)/SQRT(COUNT(K81:V81))</f>
        <v>3.3474483693592253E-17</v>
      </c>
      <c r="Y81" s="36">
        <f>MIN(K81:V81)</f>
        <v>-0.58371897760036062</v>
      </c>
      <c r="Z81" s="35">
        <f>QUARTILE(K81:V81,1)</f>
        <v>-0.58371897760036062</v>
      </c>
      <c r="AA81" s="36">
        <f>MEDIAN(K81:V81)</f>
        <v>-0.58371897760036062</v>
      </c>
      <c r="AB81" s="35">
        <f>QUARTILE(K81:V81,3)</f>
        <v>-0.58371897760036062</v>
      </c>
      <c r="AC81" s="35">
        <f>MAX(K81:V81)</f>
        <v>-0.58371897760036062</v>
      </c>
      <c r="AD81" s="35">
        <f>SKEW(K81:V81)</f>
        <v>1.1489125293076057</v>
      </c>
      <c r="AE81" s="35">
        <f>KURT(K81:V81)</f>
        <v>-2.4444444444444446</v>
      </c>
    </row>
    <row r="82" spans="2:31" x14ac:dyDescent="0.2">
      <c r="B82" s="34">
        <f>[43]FormattedData!A59</f>
        <v>0</v>
      </c>
      <c r="C82" s="34" t="e">
        <f>VLOOKUP($B82,[43]TrtCodes!$B$11:I102,2)</f>
        <v>#N/A</v>
      </c>
      <c r="D82" s="34" t="e">
        <f>VLOOKUP($B82,[43]TrtCodes!$B$11:J102,3)</f>
        <v>#N/A</v>
      </c>
      <c r="E82" s="34" t="e">
        <f>VLOOKUP($B82,[43]TrtCodes!$B$11:K102,4)</f>
        <v>#N/A</v>
      </c>
      <c r="F82" s="34" t="e">
        <f>VLOOKUP($B82,[43]TrtCodes!$B$11:L102,5)</f>
        <v>#N/A</v>
      </c>
      <c r="G82" s="34" t="e">
        <f>VLOOKUP($B82,[43]TrtCodes!$B$11:M102,6)</f>
        <v>#N/A</v>
      </c>
      <c r="H82" s="34" t="e">
        <f>VLOOKUP($B82,[43]TrtCodes!$B$11:N102,7)</f>
        <v>#N/A</v>
      </c>
      <c r="I82" s="34">
        <f>[43]FormattedData!B59</f>
        <v>0</v>
      </c>
      <c r="J82" s="37">
        <f>[43]FormattedData!C59</f>
        <v>0</v>
      </c>
      <c r="K82" s="39">
        <f>$J$3+[43]FormattedData!D59*$J$4+$M$4*$J$5+[43]FormattedData!D59^2*$J$6+$M$5*$J$7</f>
        <v>-0.58371897760036062</v>
      </c>
      <c r="L82" s="39">
        <f>$J$3+[43]FormattedData!E59*$J$4+$M$4*$J$5+[43]FormattedData!E59^2*$J$6+$M$5*$J$7</f>
        <v>-0.58371897760036062</v>
      </c>
      <c r="M82" s="39">
        <f>$J$3+[43]FormattedData!F59*$J$4+$M$4*$J$5+[43]FormattedData!F59^2*$J$6+$M$5*$J$7</f>
        <v>-0.58371897760036062</v>
      </c>
      <c r="N82" s="39">
        <f>$J$3+[43]FormattedData!G59*$J$4+$M$4*$J$5+[43]FormattedData!G59^2*$J$6+$M$5*$J$7</f>
        <v>-0.58371897760036062</v>
      </c>
      <c r="O82" s="39">
        <f>$J$3+[43]FormattedData!H59*$J$4+$M$4*$J$5+[43]FormattedData!H59^2*$J$6+$M$5*$J$7</f>
        <v>-0.58371897760036062</v>
      </c>
      <c r="P82" s="39">
        <f>$J$3+[43]FormattedData!I59*$J$4+$M$4*$J$5+[43]FormattedData!I59^2*$J$6+$M$5*$J$7</f>
        <v>-0.58371897760036062</v>
      </c>
      <c r="Q82" s="39">
        <f>$J$3+[43]FormattedData!J59*$J$4+$M$4*$J$5+[43]FormattedData!J59^2*$J$6+$M$5*$J$7</f>
        <v>-0.58371897760036062</v>
      </c>
      <c r="R82" s="39">
        <f>$J$3+[43]FormattedData!K59*$J$4+$M$4*$J$5+[43]FormattedData!K59^2*$J$6+$M$5*$J$7</f>
        <v>-0.58371897760036062</v>
      </c>
      <c r="S82" s="39">
        <f>$J$3+[43]FormattedData!L59*$J$4+$M$4*$J$5+[43]FormattedData!L59^2*$J$6+$M$5*$J$7</f>
        <v>-0.58371897760036062</v>
      </c>
      <c r="T82" s="39">
        <f>$J$3+[43]FormattedData!M59*$J$4+$M$4*$J$5+[43]FormattedData!M59^2*$J$6+$M$5*$J$7</f>
        <v>-0.58371897760036062</v>
      </c>
      <c r="U82" s="39">
        <f>$J$3+[43]FormattedData!N59*$J$4+$M$4*$J$5+[43]FormattedData!N59^2*$J$6+$M$5*$J$7</f>
        <v>-0.58371897760036062</v>
      </c>
      <c r="V82" s="39">
        <f>$J$3+[43]FormattedData!O59*$J$4+$M$4*$J$5+[43]FormattedData!O59^2*$J$6+$M$5*$J$7</f>
        <v>-0.58371897760036062</v>
      </c>
      <c r="W82" s="38">
        <f>AVERAGE(K82:V82)</f>
        <v>-0.58371897760036073</v>
      </c>
      <c r="X82" s="37">
        <f>STDEV(K82:V82)/SQRT(COUNT(K82:V82))</f>
        <v>3.3474483693592253E-17</v>
      </c>
      <c r="Y82" s="36">
        <f>MIN(K82:V82)</f>
        <v>-0.58371897760036062</v>
      </c>
      <c r="Z82" s="35">
        <f>QUARTILE(K82:V82,1)</f>
        <v>-0.58371897760036062</v>
      </c>
      <c r="AA82" s="36">
        <f>MEDIAN(K82:V82)</f>
        <v>-0.58371897760036062</v>
      </c>
      <c r="AB82" s="35">
        <f>QUARTILE(K82:V82,3)</f>
        <v>-0.58371897760036062</v>
      </c>
      <c r="AC82" s="35">
        <f>MAX(K82:V82)</f>
        <v>-0.58371897760036062</v>
      </c>
      <c r="AD82" s="35">
        <f>SKEW(K82:V82)</f>
        <v>1.1489125293076057</v>
      </c>
      <c r="AE82" s="35">
        <f>KURT(K82:V82)</f>
        <v>-2.4444444444444446</v>
      </c>
    </row>
    <row r="83" spans="2:31" x14ac:dyDescent="0.2">
      <c r="B83" s="34">
        <f>[43]FormattedData!A55</f>
        <v>0</v>
      </c>
      <c r="C83" s="34" t="e">
        <f>VLOOKUP($B83,[43]TrtCodes!$B$11:I98,2)</f>
        <v>#N/A</v>
      </c>
      <c r="D83" s="34" t="e">
        <f>VLOOKUP($B83,[43]TrtCodes!$B$11:J98,3)</f>
        <v>#N/A</v>
      </c>
      <c r="E83" s="34" t="e">
        <f>VLOOKUP($B83,[43]TrtCodes!$B$11:K98,4)</f>
        <v>#N/A</v>
      </c>
      <c r="F83" s="34" t="e">
        <f>VLOOKUP($B83,[43]TrtCodes!$B$11:L98,5)</f>
        <v>#N/A</v>
      </c>
      <c r="G83" s="34" t="e">
        <f>VLOOKUP($B83,[43]TrtCodes!$B$11:M98,6)</f>
        <v>#N/A</v>
      </c>
      <c r="H83" s="34" t="e">
        <f>VLOOKUP($B83,[43]TrtCodes!$B$11:N98,7)</f>
        <v>#N/A</v>
      </c>
      <c r="I83" s="34">
        <f>[43]FormattedData!B55</f>
        <v>0</v>
      </c>
      <c r="J83" s="37">
        <f>[43]FormattedData!C55</f>
        <v>0</v>
      </c>
      <c r="K83" s="39">
        <f>$J$3+[43]FormattedData!D55*$J$4+$M$4*$J$5+[43]FormattedData!D55^2*$J$6+$M$5*$J$7</f>
        <v>-0.58371897760036062</v>
      </c>
      <c r="L83" s="39">
        <f>$J$3+[43]FormattedData!E55*$J$4+$M$4*$J$5+[43]FormattedData!E55^2*$J$6+$M$5*$J$7</f>
        <v>-0.58371897760036062</v>
      </c>
      <c r="M83" s="39">
        <f>$J$3+[43]FormattedData!F55*$J$4+$M$4*$J$5+[43]FormattedData!F55^2*$J$6+$M$5*$J$7</f>
        <v>-0.58371897760036062</v>
      </c>
      <c r="N83" s="39">
        <f>$J$3+[43]FormattedData!G55*$J$4+$M$4*$J$5+[43]FormattedData!G55^2*$J$6+$M$5*$J$7</f>
        <v>-0.58371897760036062</v>
      </c>
      <c r="O83" s="39">
        <f>$J$3+[43]FormattedData!H55*$J$4+$M$4*$J$5+[43]FormattedData!H55^2*$J$6+$M$5*$J$7</f>
        <v>-0.58371897760036062</v>
      </c>
      <c r="P83" s="39">
        <f>$J$3+[43]FormattedData!I55*$J$4+$M$4*$J$5+[43]FormattedData!I55^2*$J$6+$M$5*$J$7</f>
        <v>-0.58371897760036062</v>
      </c>
      <c r="Q83" s="39">
        <f>$J$3+[43]FormattedData!J55*$J$4+$M$4*$J$5+[43]FormattedData!J55^2*$J$6+$M$5*$J$7</f>
        <v>-0.58371897760036062</v>
      </c>
      <c r="R83" s="39">
        <f>$J$3+[43]FormattedData!K55*$J$4+$M$4*$J$5+[43]FormattedData!K55^2*$J$6+$M$5*$J$7</f>
        <v>-0.58371897760036062</v>
      </c>
      <c r="S83" s="39">
        <f>$J$3+[43]FormattedData!L55*$J$4+$M$4*$J$5+[43]FormattedData!L55^2*$J$6+$M$5*$J$7</f>
        <v>-0.58371897760036062</v>
      </c>
      <c r="T83" s="39">
        <f>$J$3+[43]FormattedData!M55*$J$4+$M$4*$J$5+[43]FormattedData!M55^2*$J$6+$M$5*$J$7</f>
        <v>-0.58371897760036062</v>
      </c>
      <c r="U83" s="39">
        <f>$J$3+[43]FormattedData!N55*$J$4+$M$4*$J$5+[43]FormattedData!N55^2*$J$6+$M$5*$J$7</f>
        <v>-0.58371897760036062</v>
      </c>
      <c r="V83" s="39">
        <f>$J$3+[43]FormattedData!O55*$J$4+$M$4*$J$5+[43]FormattedData!O55^2*$J$6+$M$5*$J$7</f>
        <v>-0.58371897760036062</v>
      </c>
      <c r="W83" s="38">
        <f>AVERAGE(K83:V83)</f>
        <v>-0.58371897760036073</v>
      </c>
      <c r="X83" s="37">
        <f>STDEV(K83:V83)/SQRT(COUNT(K83:V83))</f>
        <v>3.3474483693592253E-17</v>
      </c>
      <c r="Y83" s="36">
        <f>MIN(K83:V83)</f>
        <v>-0.58371897760036062</v>
      </c>
      <c r="Z83" s="35">
        <f>QUARTILE(K83:V83,1)</f>
        <v>-0.58371897760036062</v>
      </c>
      <c r="AA83" s="36">
        <f>MEDIAN(K83:V83)</f>
        <v>-0.58371897760036062</v>
      </c>
      <c r="AB83" s="35">
        <f>QUARTILE(K83:V83,3)</f>
        <v>-0.58371897760036062</v>
      </c>
      <c r="AC83" s="35">
        <f>MAX(K83:V83)</f>
        <v>-0.58371897760036062</v>
      </c>
      <c r="AD83" s="35">
        <f>SKEW(K83:V83)</f>
        <v>1.1489125293076057</v>
      </c>
      <c r="AE83" s="35">
        <f>KURT(K83:V83)</f>
        <v>-2.4444444444444446</v>
      </c>
    </row>
    <row r="84" spans="2:31" x14ac:dyDescent="0.2">
      <c r="B84" s="34">
        <f>[43]FormattedData!A51</f>
        <v>0</v>
      </c>
      <c r="C84" s="34" t="e">
        <f>VLOOKUP($B84,[43]TrtCodes!$B$11:I94,2)</f>
        <v>#N/A</v>
      </c>
      <c r="D84" s="34" t="e">
        <f>VLOOKUP($B84,[43]TrtCodes!$B$11:J94,3)</f>
        <v>#N/A</v>
      </c>
      <c r="E84" s="34" t="e">
        <f>VLOOKUP($B84,[43]TrtCodes!$B$11:K94,4)</f>
        <v>#N/A</v>
      </c>
      <c r="F84" s="34" t="e">
        <f>VLOOKUP($B84,[43]TrtCodes!$B$11:L94,5)</f>
        <v>#N/A</v>
      </c>
      <c r="G84" s="34" t="e">
        <f>VLOOKUP($B84,[43]TrtCodes!$B$11:M94,6)</f>
        <v>#N/A</v>
      </c>
      <c r="H84" s="34" t="e">
        <f>VLOOKUP($B84,[43]TrtCodes!$B$11:N94,7)</f>
        <v>#N/A</v>
      </c>
      <c r="I84" s="34">
        <f>[43]FormattedData!B51</f>
        <v>0</v>
      </c>
      <c r="J84" s="37">
        <f>[43]FormattedData!C51</f>
        <v>0</v>
      </c>
      <c r="K84" s="39">
        <f>$J$3+[43]FormattedData!D51*$J$4+$M$4*$J$5+[43]FormattedData!D51^2*$J$6+$M$5*$J$7</f>
        <v>-0.58371897760036062</v>
      </c>
      <c r="L84" s="39">
        <f>$J$3+[43]FormattedData!E51*$J$4+$M$4*$J$5+[43]FormattedData!E51^2*$J$6+$M$5*$J$7</f>
        <v>-0.58371897760036062</v>
      </c>
      <c r="M84" s="39">
        <f>$J$3+[43]FormattedData!F51*$J$4+$M$4*$J$5+[43]FormattedData!F51^2*$J$6+$M$5*$J$7</f>
        <v>-0.58371897760036062</v>
      </c>
      <c r="N84" s="39">
        <f>$J$3+[43]FormattedData!G51*$J$4+$M$4*$J$5+[43]FormattedData!G51^2*$J$6+$M$5*$J$7</f>
        <v>-0.58371897760036062</v>
      </c>
      <c r="O84" s="39">
        <f>$J$3+[43]FormattedData!H51*$J$4+$M$4*$J$5+[43]FormattedData!H51^2*$J$6+$M$5*$J$7</f>
        <v>-0.58371897760036062</v>
      </c>
      <c r="P84" s="39">
        <f>$J$3+[43]FormattedData!I51*$J$4+$M$4*$J$5+[43]FormattedData!I51^2*$J$6+$M$5*$J$7</f>
        <v>-0.58371897760036062</v>
      </c>
      <c r="Q84" s="39">
        <f>$J$3+[43]FormattedData!J51*$J$4+$M$4*$J$5+[43]FormattedData!J51^2*$J$6+$M$5*$J$7</f>
        <v>-0.58371897760036062</v>
      </c>
      <c r="R84" s="39">
        <f>$J$3+[43]FormattedData!K51*$J$4+$M$4*$J$5+[43]FormattedData!K51^2*$J$6+$M$5*$J$7</f>
        <v>-0.58371897760036062</v>
      </c>
      <c r="S84" s="39">
        <f>$J$3+[43]FormattedData!L51*$J$4+$M$4*$J$5+[43]FormattedData!L51^2*$J$6+$M$5*$J$7</f>
        <v>-0.58371897760036062</v>
      </c>
      <c r="T84" s="39">
        <f>$J$3+[43]FormattedData!M51*$J$4+$M$4*$J$5+[43]FormattedData!M51^2*$J$6+$M$5*$J$7</f>
        <v>-0.58371897760036062</v>
      </c>
      <c r="U84" s="39">
        <f>$J$3+[43]FormattedData!N51*$J$4+$M$4*$J$5+[43]FormattedData!N51^2*$J$6+$M$5*$J$7</f>
        <v>-0.58371897760036062</v>
      </c>
      <c r="V84" s="39">
        <f>$J$3+[43]FormattedData!O51*$J$4+$M$4*$J$5+[43]FormattedData!O51^2*$J$6+$M$5*$J$7</f>
        <v>-0.58371897760036062</v>
      </c>
      <c r="W84" s="38">
        <f>AVERAGE(K84:V84)</f>
        <v>-0.58371897760036073</v>
      </c>
      <c r="X84" s="37">
        <f>STDEV(K84:V84)/SQRT(COUNT(K84:V84))</f>
        <v>3.3474483693592253E-17</v>
      </c>
      <c r="Y84" s="36">
        <f>MIN(K84:V84)</f>
        <v>-0.58371897760036062</v>
      </c>
      <c r="Z84" s="35">
        <f>QUARTILE(K84:V84,1)</f>
        <v>-0.58371897760036062</v>
      </c>
      <c r="AA84" s="36">
        <f>MEDIAN(K84:V84)</f>
        <v>-0.58371897760036062</v>
      </c>
      <c r="AB84" s="35">
        <f>QUARTILE(K84:V84,3)</f>
        <v>-0.58371897760036062</v>
      </c>
      <c r="AC84" s="35">
        <f>MAX(K84:V84)</f>
        <v>-0.58371897760036062</v>
      </c>
      <c r="AD84" s="35">
        <f>SKEW(K84:V84)</f>
        <v>1.1489125293076057</v>
      </c>
      <c r="AE84" s="35">
        <f>KURT(K84:V84)</f>
        <v>-2.4444444444444446</v>
      </c>
    </row>
    <row r="85" spans="2:31" x14ac:dyDescent="0.2">
      <c r="B85" s="34">
        <f>[43]FormattedData!A47</f>
        <v>0</v>
      </c>
      <c r="C85" s="34" t="e">
        <f>VLOOKUP($B85,[43]TrtCodes!$B$11:I90,2)</f>
        <v>#N/A</v>
      </c>
      <c r="D85" s="34" t="e">
        <f>VLOOKUP($B85,[43]TrtCodes!$B$11:J90,3)</f>
        <v>#N/A</v>
      </c>
      <c r="E85" s="34" t="e">
        <f>VLOOKUP($B85,[43]TrtCodes!$B$11:K90,4)</f>
        <v>#N/A</v>
      </c>
      <c r="F85" s="34" t="e">
        <f>VLOOKUP($B85,[43]TrtCodes!$B$11:L90,5)</f>
        <v>#N/A</v>
      </c>
      <c r="G85" s="34" t="e">
        <f>VLOOKUP($B85,[43]TrtCodes!$B$11:M90,6)</f>
        <v>#N/A</v>
      </c>
      <c r="H85" s="34" t="e">
        <f>VLOOKUP($B85,[43]TrtCodes!$B$11:N90,7)</f>
        <v>#N/A</v>
      </c>
      <c r="I85" s="34">
        <f>[43]FormattedData!B47</f>
        <v>0</v>
      </c>
      <c r="J85" s="37">
        <f>[43]FormattedData!C47</f>
        <v>0</v>
      </c>
      <c r="K85" s="39">
        <f>$J$3+[43]FormattedData!D47*$J$4+$M$4*$J$5+[43]FormattedData!D47^2*$J$6+$M$5*$J$7</f>
        <v>-0.58371897760036062</v>
      </c>
      <c r="L85" s="39">
        <f>$J$3+[43]FormattedData!E47*$J$4+$M$4*$J$5+[43]FormattedData!E47^2*$J$6+$M$5*$J$7</f>
        <v>-0.58371897760036062</v>
      </c>
      <c r="M85" s="39">
        <f>$J$3+[43]FormattedData!F47*$J$4+$M$4*$J$5+[43]FormattedData!F47^2*$J$6+$M$5*$J$7</f>
        <v>-0.58371897760036062</v>
      </c>
      <c r="N85" s="39">
        <f>$J$3+[43]FormattedData!G47*$J$4+$M$4*$J$5+[43]FormattedData!G47^2*$J$6+$M$5*$J$7</f>
        <v>-0.58371897760036062</v>
      </c>
      <c r="O85" s="39">
        <f>$J$3+[43]FormattedData!H47*$J$4+$M$4*$J$5+[43]FormattedData!H47^2*$J$6+$M$5*$J$7</f>
        <v>-0.58371897760036062</v>
      </c>
      <c r="P85" s="39">
        <f>$J$3+[43]FormattedData!I47*$J$4+$M$4*$J$5+[43]FormattedData!I47^2*$J$6+$M$5*$J$7</f>
        <v>-0.58371897760036062</v>
      </c>
      <c r="Q85" s="39">
        <f>$J$3+[43]FormattedData!J47*$J$4+$M$4*$J$5+[43]FormattedData!J47^2*$J$6+$M$5*$J$7</f>
        <v>-0.58371897760036062</v>
      </c>
      <c r="R85" s="39">
        <f>$J$3+[43]FormattedData!K47*$J$4+$M$4*$J$5+[43]FormattedData!K47^2*$J$6+$M$5*$J$7</f>
        <v>-0.58371897760036062</v>
      </c>
      <c r="S85" s="39">
        <f>$J$3+[43]FormattedData!L47*$J$4+$M$4*$J$5+[43]FormattedData!L47^2*$J$6+$M$5*$J$7</f>
        <v>-0.58371897760036062</v>
      </c>
      <c r="T85" s="39">
        <f>$J$3+[43]FormattedData!M47*$J$4+$M$4*$J$5+[43]FormattedData!M47^2*$J$6+$M$5*$J$7</f>
        <v>-0.58371897760036062</v>
      </c>
      <c r="U85" s="39">
        <f>$J$3+[43]FormattedData!N47*$J$4+$M$4*$J$5+[43]FormattedData!N47^2*$J$6+$M$5*$J$7</f>
        <v>-0.58371897760036062</v>
      </c>
      <c r="V85" s="39">
        <f>$J$3+[43]FormattedData!O47*$J$4+$M$4*$J$5+[43]FormattedData!O47^2*$J$6+$M$5*$J$7</f>
        <v>-0.58371897760036062</v>
      </c>
      <c r="W85" s="38">
        <f>AVERAGE(K85:V85)</f>
        <v>-0.58371897760036073</v>
      </c>
      <c r="X85" s="37">
        <f>STDEV(K85:V85)/SQRT(COUNT(K85:V85))</f>
        <v>3.3474483693592253E-17</v>
      </c>
      <c r="Y85" s="36">
        <f>MIN(K85:V85)</f>
        <v>-0.58371897760036062</v>
      </c>
      <c r="Z85" s="35">
        <f>QUARTILE(K85:V85,1)</f>
        <v>-0.58371897760036062</v>
      </c>
      <c r="AA85" s="36">
        <f>MEDIAN(K85:V85)</f>
        <v>-0.58371897760036062</v>
      </c>
      <c r="AB85" s="35">
        <f>QUARTILE(K85:V85,3)</f>
        <v>-0.58371897760036062</v>
      </c>
      <c r="AC85" s="35">
        <f>MAX(K85:V85)</f>
        <v>-0.58371897760036062</v>
      </c>
      <c r="AD85" s="35">
        <f>SKEW(K85:V85)</f>
        <v>1.1489125293076057</v>
      </c>
      <c r="AE85" s="35">
        <f>KURT(K85:V85)</f>
        <v>-2.4444444444444446</v>
      </c>
    </row>
    <row r="88" spans="2:31" x14ac:dyDescent="0.2">
      <c r="W88" s="35"/>
    </row>
  </sheetData>
  <autoFilter ref="B9:AE85" xr:uid="{6071E131-7CDC-4DD2-9B94-86AE5A317866}"/>
  <conditionalFormatting sqref="K10:V85">
    <cfRule type="cellIs" dxfId="167" priority="1" stopIfTrue="1" operator="lessThan">
      <formula>$W10-$V$5*$X10</formula>
    </cfRule>
    <cfRule type="cellIs" dxfId="166" priority="2" stopIfTrue="1" operator="greaterThan">
      <formula>$W10+$V$5*$X10</formula>
    </cfRule>
  </conditionalFormatting>
  <conditionalFormatting sqref="W10:W85">
    <cfRule type="cellIs" dxfId="165" priority="3" stopIfTrue="1" operator="lessThan">
      <formula>AVERAGE($W$10:$W$41)</formula>
    </cfRule>
    <cfRule type="cellIs" dxfId="16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8343-3E47-4C87-8222-F0B4AE601300}">
  <sheetPr codeName="Sheet13"/>
  <dimension ref="A1:AI88"/>
  <sheetViews>
    <sheetView topLeftCell="A8" workbookViewId="0">
      <pane xSplit="4" ySplit="2" topLeftCell="M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[42]FormattedData!A1</f>
        <v>Raw data file name - 'IA154.03R'</v>
      </c>
    </row>
    <row r="2" spans="1:35" ht="15" x14ac:dyDescent="0.25">
      <c r="I2" s="65" t="s">
        <v>136</v>
      </c>
      <c r="J2" s="57"/>
      <c r="P2" s="64">
        <f>[42]AncillaryData!C10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[42]AncillaryData!E25</f>
        <v>35.25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"&amp;[42]AncillaryData!C7</f>
        <v>Time Sequence of Midday IRT Temps - FISE 2003 - DOY 154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"&amp;[42]AncillaryData!E25&amp;", VPD = "&amp;ROUND([42]AncillaryData!E29,1)&amp;", Quality = "&amp;[42]AncillaryData!C20&amp;")"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[42]FormattedData!A28</f>
        <v>101</v>
      </c>
      <c r="C10" s="34" t="str">
        <f>VLOOKUP($B10,[42]TrtCodes!$B$11:I71,2)</f>
        <v>FSH</v>
      </c>
      <c r="D10" s="34">
        <f>VLOOKUP($B10,[42]TrtCodes!$B$11:J71,3)</f>
        <v>1</v>
      </c>
      <c r="E10" s="34">
        <f>VLOOKUP($B10,[42]TrtCodes!$B$11:K71,4)</f>
        <v>1</v>
      </c>
      <c r="F10" s="34">
        <f>VLOOKUP($B10,[42]TrtCodes!$B$11:L71,5)</f>
        <v>1</v>
      </c>
      <c r="G10" s="34">
        <f>VLOOKUP($B10,[42]TrtCodes!$B$11:M71,6)</f>
        <v>2</v>
      </c>
      <c r="H10" s="34">
        <f>VLOOKUP($B10,[42]TrtCodes!$B$11:N71,7)</f>
        <v>1</v>
      </c>
      <c r="I10" s="34">
        <f>[42]FormattedData!B28</f>
        <v>1</v>
      </c>
      <c r="J10" s="37">
        <f>[42]FormattedData!C28</f>
        <v>12.996</v>
      </c>
      <c r="K10" s="39">
        <f>$J$3+[42]FormattedData!D28*$J$4+$M$4*$J$5+[42]FormattedData!D28^2*$J$6+$M$5*$J$7</f>
        <v>54.414200325615944</v>
      </c>
      <c r="L10" s="39">
        <f>$J$3+[42]FormattedData!E28*$J$4+$M$4*$J$5+[42]FormattedData!E28^2*$J$6+$M$5*$J$7</f>
        <v>55.272229029151852</v>
      </c>
      <c r="M10" s="39">
        <f>$J$3+[42]FormattedData!F28*$J$4+$M$4*$J$5+[42]FormattedData!F28^2*$J$6+$M$5*$J$7</f>
        <v>55.443327547403861</v>
      </c>
      <c r="N10" s="39">
        <f>$J$3+[42]FormattedData!G28*$J$4+$M$4*$J$5+[42]FormattedData!G28^2*$J$6+$M$5*$J$7</f>
        <v>49.177264174745076</v>
      </c>
      <c r="O10" s="39">
        <f>$J$3+[42]FormattedData!H28*$J$4+$M$4*$J$5+[42]FormattedData!H28^2*$J$6+$M$5*$J$7</f>
        <v>54.500193404390217</v>
      </c>
      <c r="P10" s="39">
        <f>$J$3+[42]FormattedData!I28*$J$4+$M$4*$J$5+[42]FormattedData!I28^2*$J$6+$M$5*$J$7</f>
        <v>52.685462357164774</v>
      </c>
      <c r="Q10" s="39">
        <f>$J$3+[42]FormattedData!J28*$J$4+$M$4*$J$5+[42]FormattedData!J28^2*$J$6+$M$5*$J$7</f>
        <v>54.843743034108037</v>
      </c>
      <c r="R10" s="39">
        <f>$J$3+[42]FormattedData!K28*$J$4+$M$4*$J$5+[42]FormattedData!K28^2*$J$6+$M$5*$J$7</f>
        <v>57.145013651579106</v>
      </c>
      <c r="S10" s="39">
        <f>$J$3+[42]FormattedData!L28*$J$4+$M$4*$J$5+[42]FormattedData!L28^2*$J$6+$M$5*$J$7</f>
        <v>54.929524770192657</v>
      </c>
      <c r="T10" s="39">
        <f>$J$3+[42]FormattedData!M28*$J$4+$M$4*$J$5+[42]FormattedData!M28^2*$J$6+$M$5*$J$7</f>
        <v>56.381347197327834</v>
      </c>
      <c r="U10" s="39">
        <f>$J$3+[42]FormattedData!N28*$J$4+$M$4*$J$5+[42]FormattedData!N28^2*$J$6+$M$5*$J$7</f>
        <v>55.528813403722971</v>
      </c>
      <c r="V10" s="39">
        <f>$J$3+[42]FormattedData!O28*$J$4+$M$4*$J$5+[42]FormattedData!O28^2*$J$6+$M$5*$J$7</f>
        <v>54.843743034108037</v>
      </c>
      <c r="W10" s="38">
        <f>AVERAGE(K10:V10)</f>
        <v>54.597071827459196</v>
      </c>
      <c r="X10" s="37">
        <f>STDEV(K10:V10)/SQRT(COUNT(K10:V10))</f>
        <v>0.58399996103145835</v>
      </c>
      <c r="Y10" s="36">
        <f>MIN(K10:V10)</f>
        <v>49.177264174745076</v>
      </c>
      <c r="Z10" s="35">
        <f>QUARTILE(K10:V10,1)</f>
        <v>54.47869513469665</v>
      </c>
      <c r="AA10" s="36">
        <f>MEDIAN(K10:V10)</f>
        <v>54.886633902150351</v>
      </c>
      <c r="AB10" s="35">
        <f>QUARTILE(K10:V10,3)</f>
        <v>55.464699011483638</v>
      </c>
      <c r="AC10" s="35">
        <f>MAX(K10:V10)</f>
        <v>57.145013651579106</v>
      </c>
      <c r="AD10" s="35">
        <f>SKEW(K10:V10)</f>
        <v>-1.8733994146513788</v>
      </c>
      <c r="AE10" s="35">
        <f>KURT(K10:V10)</f>
        <v>4.715489501065699</v>
      </c>
    </row>
    <row r="11" spans="1:35" x14ac:dyDescent="0.2">
      <c r="B11" s="34">
        <f>[42]FormattedData!A26</f>
        <v>102</v>
      </c>
      <c r="C11" s="34" t="str">
        <f>VLOOKUP($B11,[42]TrtCodes!$B$11:I69,2)</f>
        <v>FTL</v>
      </c>
      <c r="D11" s="34">
        <f>VLOOKUP($B11,[42]TrtCodes!$B$11:J69,3)</f>
        <v>4</v>
      </c>
      <c r="E11" s="34">
        <f>VLOOKUP($B11,[42]TrtCodes!$B$11:K69,4)</f>
        <v>1</v>
      </c>
      <c r="F11" s="34">
        <f>VLOOKUP($B11,[42]TrtCodes!$B$11:L69,5)</f>
        <v>2</v>
      </c>
      <c r="G11" s="34">
        <f>VLOOKUP($B11,[42]TrtCodes!$B$11:M69,6)</f>
        <v>1</v>
      </c>
      <c r="H11" s="34">
        <f>VLOOKUP($B11,[42]TrtCodes!$B$11:N69,7)</f>
        <v>1</v>
      </c>
      <c r="I11" s="34">
        <f>[42]FormattedData!B26</f>
        <v>1</v>
      </c>
      <c r="J11" s="37">
        <f>[42]FormattedData!C26</f>
        <v>12.981</v>
      </c>
      <c r="K11" s="39">
        <f>$J$3+[42]FormattedData!D26*$J$4+$M$4*$J$5+[42]FormattedData!D26^2*$J$6+$M$5*$J$7</f>
        <v>54.929524770192657</v>
      </c>
      <c r="L11" s="39">
        <f>$J$3+[42]FormattedData!E26*$J$4+$M$4*$J$5+[42]FormattedData!E26^2*$J$6+$M$5*$J$7</f>
        <v>52.772300806697679</v>
      </c>
      <c r="M11" s="39">
        <f>$J$3+[42]FormattedData!F26*$J$4+$M$4*$J$5+[42]FormattedData!F26^2*$J$6+$M$5*$J$7</f>
        <v>55.272229029151852</v>
      </c>
      <c r="N11" s="39">
        <f>$J$3+[42]FormattedData!G26*$J$4+$M$4*$J$5+[42]FormattedData!G26^2*$J$6+$M$5*$J$7</f>
        <v>50.060654001039673</v>
      </c>
      <c r="O11" s="39">
        <f>$J$3+[42]FormattedData!H26*$J$4+$M$4*$J$5+[42]FormattedData!H26^2*$J$6+$M$5*$J$7</f>
        <v>54.414200325615944</v>
      </c>
      <c r="P11" s="39">
        <f>$J$3+[42]FormattedData!I26*$J$4+$M$4*$J$5+[42]FormattedData!I26^2*$J$6+$M$5*$J$7</f>
        <v>53.03256254406881</v>
      </c>
      <c r="Q11" s="39">
        <f>$J$3+[42]FormattedData!J26*$J$4+$M$4*$J$5+[42]FormattedData!J26^2*$J$6+$M$5*$J$7</f>
        <v>53.983600903675566</v>
      </c>
      <c r="R11" s="39">
        <f>$J$3+[42]FormattedData!K26*$J$4+$M$4*$J$5+[42]FormattedData!K26^2*$J$6+$M$5*$J$7</f>
        <v>54.155967478065513</v>
      </c>
      <c r="S11" s="39">
        <f>$J$3+[42]FormattedData!L26*$J$4+$M$4*$J$5+[42]FormattedData!L26^2*$J$6+$M$5*$J$7</f>
        <v>54.672052756324987</v>
      </c>
      <c r="T11" s="39">
        <f>$J$3+[42]FormattedData!M26*$J$4+$M$4*$J$5+[42]FormattedData!M26^2*$J$6+$M$5*$J$7</f>
        <v>52.772300806697679</v>
      </c>
      <c r="U11" s="39">
        <f>$J$3+[42]FormattedData!N26*$J$4+$M$4*$J$5+[42]FormattedData!N26^2*$J$6+$M$5*$J$7</f>
        <v>54.929524770192657</v>
      </c>
      <c r="V11" s="39">
        <f>$J$3+[42]FormattedData!O26*$J$4+$M$4*$J$5+[42]FormattedData!O26^2*$J$6+$M$5*$J$7</f>
        <v>46.501733573102605</v>
      </c>
      <c r="W11" s="38">
        <f>AVERAGE(K11:V11)</f>
        <v>53.124720980402138</v>
      </c>
      <c r="X11" s="37">
        <f>STDEV(K11:V11)/SQRT(COUNT(K11:V11))</f>
        <v>0.73078373616188108</v>
      </c>
      <c r="Y11" s="36">
        <f>MIN(K11:V11)</f>
        <v>46.501733573102605</v>
      </c>
      <c r="Z11" s="35">
        <f>QUARTILE(K11:V11,1)</f>
        <v>52.772300806697679</v>
      </c>
      <c r="AA11" s="36">
        <f>MEDIAN(K11:V11)</f>
        <v>54.069784190870536</v>
      </c>
      <c r="AB11" s="35">
        <f>QUARTILE(K11:V11,3)</f>
        <v>54.736420759791905</v>
      </c>
      <c r="AC11" s="35">
        <f>MAX(K11:V11)</f>
        <v>55.272229029151852</v>
      </c>
      <c r="AD11" s="35">
        <f>SKEW(K11:V11)</f>
        <v>-1.9509028009507123</v>
      </c>
      <c r="AE11" s="35">
        <f>KURT(K11:V11)</f>
        <v>3.8892518912632656</v>
      </c>
    </row>
    <row r="12" spans="1:35" x14ac:dyDescent="0.2">
      <c r="B12" s="34">
        <f>[42]FormattedData!A24</f>
        <v>103</v>
      </c>
      <c r="C12" s="34" t="str">
        <f>VLOOKUP($B12,[42]TrtCodes!$B$11:I67,2)</f>
        <v>FDH</v>
      </c>
      <c r="D12" s="34">
        <f>VLOOKUP($B12,[42]TrtCodes!$B$11:J67,3)</f>
        <v>5</v>
      </c>
      <c r="E12" s="34">
        <f>VLOOKUP($B12,[42]TrtCodes!$B$11:K67,4)</f>
        <v>1</v>
      </c>
      <c r="F12" s="34">
        <f>VLOOKUP($B12,[42]TrtCodes!$B$11:L67,5)</f>
        <v>3</v>
      </c>
      <c r="G12" s="34">
        <f>VLOOKUP($B12,[42]TrtCodes!$B$11:M67,6)</f>
        <v>2</v>
      </c>
      <c r="H12" s="34">
        <f>VLOOKUP($B12,[42]TrtCodes!$B$11:N67,7)</f>
        <v>1</v>
      </c>
      <c r="I12" s="34">
        <f>[42]FormattedData!B24</f>
        <v>1</v>
      </c>
      <c r="J12" s="37">
        <f>[42]FormattedData!C24</f>
        <v>12.962999999999999</v>
      </c>
      <c r="K12" s="39">
        <f>$J$3+[42]FormattedData!D24*$J$4+$M$4*$J$5+[42]FormattedData!D24^2*$J$6+$M$5*$J$7</f>
        <v>54.242087362453582</v>
      </c>
      <c r="L12" s="39">
        <f>$J$3+[42]FormattedData!E24*$J$4+$M$4*$J$5+[42]FormattedData!E24^2*$J$6+$M$5*$J$7</f>
        <v>50.939816973541156</v>
      </c>
      <c r="M12" s="39">
        <f>$J$3+[42]FormattedData!F24*$J$4+$M$4*$J$5+[42]FormattedData!F24^2*$J$6+$M$5*$J$7</f>
        <v>54.929524770192657</v>
      </c>
      <c r="N12" s="39">
        <f>$J$3+[42]FormattedData!G24*$J$4+$M$4*$J$5+[42]FormattedData!G24^2*$J$6+$M$5*$J$7</f>
        <v>48.556376318331957</v>
      </c>
      <c r="O12" s="39">
        <f>$J$3+[42]FormattedData!H24*$J$4+$M$4*$J$5+[42]FormattedData!H24^2*$J$6+$M$5*$J$7</f>
        <v>54.069805325139505</v>
      </c>
      <c r="P12" s="39">
        <f>$J$3+[42]FormattedData!I24*$J$4+$M$4*$J$5+[42]FormattedData!I24^2*$J$6+$M$5*$J$7</f>
        <v>47.218928031545204</v>
      </c>
      <c r="Q12" s="39">
        <f>$J$3+[42]FormattedData!J24*$J$4+$M$4*$J$5+[42]FormattedData!J24^2*$J$6+$M$5*$J$7</f>
        <v>52.337685873653847</v>
      </c>
      <c r="R12" s="39">
        <f>$J$3+[42]FormattedData!K24*$J$4+$M$4*$J$5+[42]FormattedData!K24^2*$J$6+$M$5*$J$7</f>
        <v>50.939816973541156</v>
      </c>
      <c r="S12" s="39">
        <f>$J$3+[42]FormattedData!L24*$J$4+$M$4*$J$5+[42]FormattedData!L24^2*$J$6+$M$5*$J$7</f>
        <v>53.551944768286909</v>
      </c>
      <c r="T12" s="39">
        <f>$J$3+[42]FormattedData!M24*$J$4+$M$4*$J$5+[42]FormattedData!M24^2*$J$6+$M$5*$J$7</f>
        <v>53.724734028056176</v>
      </c>
      <c r="U12" s="39">
        <f>$J$3+[42]FormattedData!N24*$J$4+$M$4*$J$5+[42]FormattedData!N24^2*$J$6+$M$5*$J$7</f>
        <v>55.272229029151852</v>
      </c>
      <c r="V12" s="39">
        <f>$J$3+[42]FormattedData!O24*$J$4+$M$4*$J$5+[42]FormattedData!O24^2*$J$6+$M$5*$J$7</f>
        <v>50.148760506710509</v>
      </c>
      <c r="W12" s="38">
        <f>AVERAGE(K12:V12)</f>
        <v>52.160975830050376</v>
      </c>
      <c r="X12" s="37">
        <f>STDEV(K12:V12)/SQRT(COUNT(K12:V12))</f>
        <v>0.74964243081700221</v>
      </c>
      <c r="Y12" s="36">
        <f>MIN(K12:V12)</f>
        <v>47.218928031545204</v>
      </c>
      <c r="Z12" s="35">
        <f>QUARTILE(K12:V12,1)</f>
        <v>50.742052856833496</v>
      </c>
      <c r="AA12" s="36">
        <f>MEDIAN(K12:V12)</f>
        <v>52.944815320970378</v>
      </c>
      <c r="AB12" s="35">
        <f>QUARTILE(K12:V12,3)</f>
        <v>54.112875834468028</v>
      </c>
      <c r="AC12" s="35">
        <f>MAX(K12:V12)</f>
        <v>55.272229029151852</v>
      </c>
      <c r="AD12" s="35">
        <f>SKEW(K12:V12)</f>
        <v>-0.65722694254975933</v>
      </c>
      <c r="AE12" s="35">
        <f>KURT(K12:V12)</f>
        <v>-0.63620667325870217</v>
      </c>
    </row>
    <row r="13" spans="1:35" x14ac:dyDescent="0.2">
      <c r="B13" s="34">
        <f>[42]FormattedData!A22</f>
        <v>104</v>
      </c>
      <c r="C13" s="34" t="str">
        <f>VLOOKUP($B13,[42]TrtCodes!$B$11:I65,2)</f>
        <v>NTL</v>
      </c>
      <c r="D13" s="34">
        <f>VLOOKUP($B13,[42]TrtCodes!$B$11:J65,3)</f>
        <v>10</v>
      </c>
      <c r="E13" s="34">
        <f>VLOOKUP($B13,[42]TrtCodes!$B$11:K65,4)</f>
        <v>2</v>
      </c>
      <c r="F13" s="34">
        <f>VLOOKUP($B13,[42]TrtCodes!$B$11:L65,5)</f>
        <v>2</v>
      </c>
      <c r="G13" s="34">
        <f>VLOOKUP($B13,[42]TrtCodes!$B$11:M65,6)</f>
        <v>1</v>
      </c>
      <c r="H13" s="34">
        <f>VLOOKUP($B13,[42]TrtCodes!$B$11:N65,7)</f>
        <v>1</v>
      </c>
      <c r="I13" s="34">
        <f>[42]FormattedData!B22</f>
        <v>1</v>
      </c>
      <c r="J13" s="37">
        <f>[42]FormattedData!C22</f>
        <v>12.946999999999999</v>
      </c>
      <c r="K13" s="39">
        <f>$J$3+[42]FormattedData!D22*$J$4+$M$4*$J$5+[42]FormattedData!D22^2*$J$6+$M$5*$J$7</f>
        <v>54.242087362453582</v>
      </c>
      <c r="L13" s="39">
        <f>$J$3+[42]FormattedData!E22*$J$4+$M$4*$J$5+[42]FormattedData!E22^2*$J$6+$M$5*$J$7</f>
        <v>51.6401040168113</v>
      </c>
      <c r="M13" s="39">
        <f>$J$3+[42]FormattedData!F22*$J$4+$M$4*$J$5+[42]FormattedData!F22^2*$J$6+$M$5*$J$7</f>
        <v>54.843743034108037</v>
      </c>
      <c r="N13" s="39">
        <f>$J$3+[42]FormattedData!G22*$J$4+$M$4*$J$5+[42]FormattedData!G22^2*$J$6+$M$5*$J$7</f>
        <v>45.240133915986668</v>
      </c>
      <c r="O13" s="39">
        <f>$J$3+[42]FormattedData!H22*$J$4+$M$4*$J$5+[42]FormattedData!H22^2*$J$6+$M$5*$J$7</f>
        <v>55.357799422546819</v>
      </c>
      <c r="P13" s="39">
        <f>$J$3+[42]FormattedData!I22*$J$4+$M$4*$J$5+[42]FormattedData!I22^2*$J$6+$M$5*$J$7</f>
        <v>47.75504859678405</v>
      </c>
      <c r="Q13" s="39">
        <f>$J$3+[42]FormattedData!J22*$J$4+$M$4*$J$5+[42]FormattedData!J22^2*$J$6+$M$5*$J$7</f>
        <v>51.814753092249518</v>
      </c>
      <c r="R13" s="39">
        <f>$J$3+[42]FormattedData!K22*$J$4+$M$4*$J$5+[42]FormattedData!K22^2*$J$6+$M$5*$J$7</f>
        <v>53.11923191944998</v>
      </c>
      <c r="S13" s="39">
        <f>$J$3+[42]FormattedData!L22*$J$4+$M$4*$J$5+[42]FormattedData!L22^2*$J$6+$M$5*$J$7</f>
        <v>54.155967478065513</v>
      </c>
      <c r="T13" s="39">
        <f>$J$3+[42]FormattedData!M22*$J$4+$M$4*$J$5+[42]FormattedData!M22^2*$J$6+$M$5*$J$7</f>
        <v>50.676511901438985</v>
      </c>
      <c r="U13" s="39">
        <f>$J$3+[42]FormattedData!N22*$J$4+$M$4*$J$5+[42]FormattedData!N22^2*$J$6+$M$5*$J$7</f>
        <v>54.414200325615944</v>
      </c>
      <c r="V13" s="39">
        <f>$J$3+[42]FormattedData!O22*$J$4+$M$4*$J$5+[42]FormattedData!O22^2*$J$6+$M$5*$J$7</f>
        <v>48.64520138914763</v>
      </c>
      <c r="W13" s="38">
        <f>AVERAGE(K13:V13)</f>
        <v>51.825398537888169</v>
      </c>
      <c r="X13" s="37">
        <f>STDEV(K13:V13)/SQRT(COUNT(K13:V13))</f>
        <v>0.92375057329592092</v>
      </c>
      <c r="Y13" s="36">
        <f>MIN(K13:V13)</f>
        <v>45.240133915986668</v>
      </c>
      <c r="Z13" s="35">
        <f>QUARTILE(K13:V13,1)</f>
        <v>50.168684273366146</v>
      </c>
      <c r="AA13" s="36">
        <f>MEDIAN(K13:V13)</f>
        <v>52.466992505849745</v>
      </c>
      <c r="AB13" s="35">
        <f>QUARTILE(K13:V13,3)</f>
        <v>54.285115603244172</v>
      </c>
      <c r="AC13" s="35">
        <f>MAX(K13:V13)</f>
        <v>55.357799422546819</v>
      </c>
      <c r="AD13" s="35">
        <f>SKEW(K13:V13)</f>
        <v>-0.89502676168362716</v>
      </c>
      <c r="AE13" s="35">
        <f>KURT(K13:V13)</f>
        <v>-0.11227039420063178</v>
      </c>
    </row>
    <row r="14" spans="1:35" x14ac:dyDescent="0.2">
      <c r="B14" s="34">
        <f>[42]FormattedData!A20</f>
        <v>105</v>
      </c>
      <c r="C14" s="34" t="str">
        <f>VLOOKUP($B14,[42]TrtCodes!$B$11:I63,2)</f>
        <v>NDL</v>
      </c>
      <c r="D14" s="34">
        <f>VLOOKUP($B14,[42]TrtCodes!$B$11:J63,3)</f>
        <v>12</v>
      </c>
      <c r="E14" s="34">
        <f>VLOOKUP($B14,[42]TrtCodes!$B$11:K63,4)</f>
        <v>2</v>
      </c>
      <c r="F14" s="34">
        <f>VLOOKUP($B14,[42]TrtCodes!$B$11:L63,5)</f>
        <v>3</v>
      </c>
      <c r="G14" s="34">
        <f>VLOOKUP($B14,[42]TrtCodes!$B$11:M63,6)</f>
        <v>1</v>
      </c>
      <c r="H14" s="34">
        <f>VLOOKUP($B14,[42]TrtCodes!$B$11:N63,7)</f>
        <v>2</v>
      </c>
      <c r="I14" s="34">
        <f>[42]FormattedData!B20</f>
        <v>1</v>
      </c>
      <c r="J14" s="37">
        <f>[42]FormattedData!C20</f>
        <v>12.932</v>
      </c>
      <c r="K14" s="39">
        <f>$J$3+[42]FormattedData!D20*$J$4+$M$4*$J$5+[42]FormattedData!D20^2*$J$6+$M$5*$J$7</f>
        <v>55.785017361452702</v>
      </c>
      <c r="L14" s="39">
        <f>$J$3+[42]FormattedData!E20*$J$4+$M$4*$J$5+[42]FormattedData!E20^2*$J$6+$M$5*$J$7</f>
        <v>50.588659006995734</v>
      </c>
      <c r="M14" s="39">
        <f>$J$3+[42]FormattedData!F20*$J$4+$M$4*$J$5+[42]FormattedData!F20^2*$J$6+$M$5*$J$7</f>
        <v>56.975605874844341</v>
      </c>
      <c r="N14" s="39">
        <f>$J$3+[42]FormattedData!G20*$J$4+$M$4*$J$5+[42]FormattedData!G20^2*$J$6+$M$5*$J$7</f>
        <v>48.733984191425364</v>
      </c>
      <c r="O14" s="39">
        <f>$J$3+[42]FormattedData!H20*$J$4+$M$4*$J$5+[42]FormattedData!H20^2*$J$6+$M$5*$J$7</f>
        <v>56.381347197327834</v>
      </c>
      <c r="P14" s="39">
        <f>$J$3+[42]FormattedData!I20*$J$4+$M$4*$J$5+[42]FormattedData!I20^2*$J$6+$M$5*$J$7</f>
        <v>51.552716076285286</v>
      </c>
      <c r="Q14" s="39">
        <f>$J$3+[42]FormattedData!J20*$J$4+$M$4*$J$5+[42]FormattedData!J20^2*$J$6+$M$5*$J$7</f>
        <v>56.551346733593633</v>
      </c>
      <c r="R14" s="39">
        <f>$J$3+[42]FormattedData!K20*$J$4+$M$4*$J$5+[42]FormattedData!K20^2*$J$6+$M$5*$J$7</f>
        <v>47.487178522585317</v>
      </c>
      <c r="S14" s="39">
        <f>$J$3+[42]FormattedData!L20*$J$4+$M$4*$J$5+[42]FormattedData!L20^2*$J$6+$M$5*$J$7</f>
        <v>55.186616367218953</v>
      </c>
      <c r="T14" s="39">
        <f>$J$3+[42]FormattedData!M20*$J$4+$M$4*$J$5+[42]FormattedData!M20^2*$J$6+$M$5*$J$7</f>
        <v>51.814753092249518</v>
      </c>
      <c r="U14" s="39">
        <f>$J$3+[42]FormattedData!N20*$J$4+$M$4*$J$5+[42]FormattedData!N20^2*$J$6+$M$5*$J$7</f>
        <v>56.466368099729699</v>
      </c>
      <c r="V14" s="39">
        <f>$J$3+[42]FormattedData!O20*$J$4+$M$4*$J$5+[42]FormattedData!O20^2*$J$6+$M$5*$J$7</f>
        <v>49.177264174745076</v>
      </c>
      <c r="W14" s="38">
        <f>AVERAGE(K14:V14)</f>
        <v>53.058404724871131</v>
      </c>
      <c r="X14" s="37">
        <f>STDEV(K14:V14)/SQRT(COUNT(K14:V14))</f>
        <v>1.0183200996546169</v>
      </c>
      <c r="Y14" s="36">
        <f>MIN(K14:V14)</f>
        <v>47.487178522585317</v>
      </c>
      <c r="Z14" s="35">
        <f>QUARTILE(K14:V14,1)</f>
        <v>50.235810298933067</v>
      </c>
      <c r="AA14" s="36">
        <f>MEDIAN(K14:V14)</f>
        <v>53.500684729734232</v>
      </c>
      <c r="AB14" s="35">
        <f>QUARTILE(K14:V14,3)</f>
        <v>56.402602422928297</v>
      </c>
      <c r="AC14" s="35">
        <f>MAX(K14:V14)</f>
        <v>56.975605874844341</v>
      </c>
      <c r="AD14" s="35">
        <f>SKEW(K14:V14)</f>
        <v>-0.30754587614044177</v>
      </c>
      <c r="AE14" s="35">
        <f>KURT(K14:V14)</f>
        <v>-1.6911043760540556</v>
      </c>
    </row>
    <row r="15" spans="1:35" x14ac:dyDescent="0.2">
      <c r="B15" s="34">
        <f>[42]FormattedData!A18</f>
        <v>106</v>
      </c>
      <c r="C15" s="34" t="str">
        <f>VLOOKUP($B15,[42]TrtCodes!$B$11:I61,2)</f>
        <v>NTH</v>
      </c>
      <c r="D15" s="34">
        <f>VLOOKUP($B15,[42]TrtCodes!$B$11:J61,3)</f>
        <v>9</v>
      </c>
      <c r="E15" s="34">
        <f>VLOOKUP($B15,[42]TrtCodes!$B$11:K61,4)</f>
        <v>2</v>
      </c>
      <c r="F15" s="34">
        <f>VLOOKUP($B15,[42]TrtCodes!$B$11:L61,5)</f>
        <v>2</v>
      </c>
      <c r="G15" s="34">
        <f>VLOOKUP($B15,[42]TrtCodes!$B$11:M61,6)</f>
        <v>2</v>
      </c>
      <c r="H15" s="34">
        <f>VLOOKUP($B15,[42]TrtCodes!$B$11:N61,7)</f>
        <v>2</v>
      </c>
      <c r="I15" s="34">
        <f>[42]FormattedData!B18</f>
        <v>1</v>
      </c>
      <c r="J15" s="37">
        <f>[42]FormattedData!C18</f>
        <v>12.917</v>
      </c>
      <c r="K15" s="39">
        <f>$J$3+[42]FormattedData!D18*$J$4+$M$4*$J$5+[42]FormattedData!D18^2*$J$6+$M$5*$J$7</f>
        <v>54.757919029485478</v>
      </c>
      <c r="L15" s="39">
        <f>$J$3+[42]FormattedData!E18*$J$4+$M$4*$J$5+[42]FormattedData!E18^2*$J$6+$M$5*$J$7</f>
        <v>52.859096987692659</v>
      </c>
      <c r="M15" s="39">
        <f>$J$3+[42]FormattedData!F18*$J$4+$M$4*$J$5+[42]FormattedData!F18^2*$J$6+$M$5*$J$7</f>
        <v>54.929524770192657</v>
      </c>
      <c r="N15" s="39">
        <f>$J$3+[42]FormattedData!G18*$J$4+$M$4*$J$5+[42]FormattedData!G18^2*$J$6+$M$5*$J$7</f>
        <v>50.764322527344312</v>
      </c>
      <c r="O15" s="39">
        <f>$J$3+[42]FormattedData!H18*$J$4+$M$4*$J$5+[42]FormattedData!H18^2*$J$6+$M$5*$J$7</f>
        <v>55.443327547403861</v>
      </c>
      <c r="P15" s="39">
        <f>$J$3+[42]FormattedData!I18*$J$4+$M$4*$J$5+[42]FormattedData!I18^2*$J$6+$M$5*$J$7</f>
        <v>47.933417303560212</v>
      </c>
      <c r="Q15" s="39">
        <f>$J$3+[42]FormattedData!J18*$J$4+$M$4*$J$5+[42]FormattedData!J18^2*$J$6+$M$5*$J$7</f>
        <v>54.757919029485478</v>
      </c>
      <c r="R15" s="39">
        <f>$J$3+[42]FormattedData!K18*$J$4+$M$4*$J$5+[42]FormattedData!K18^2*$J$6+$M$5*$J$7</f>
        <v>51.552716076285286</v>
      </c>
      <c r="S15" s="39">
        <f>$J$3+[42]FormattedData!L18*$J$4+$M$4*$J$5+[42]FormattedData!L18^2*$J$6+$M$5*$J$7</f>
        <v>54.069805325139505</v>
      </c>
      <c r="T15" s="39">
        <f>$J$3+[42]FormattedData!M18*$J$4+$M$4*$J$5+[42]FormattedData!M18^2*$J$6+$M$5*$J$7</f>
        <v>49.35428028830745</v>
      </c>
      <c r="U15" s="39">
        <f>$J$3+[42]FormattedData!N18*$J$4+$M$4*$J$5+[42]FormattedData!N18^2*$J$6+$M$5*$J$7</f>
        <v>54.328164978303732</v>
      </c>
      <c r="V15" s="39">
        <f>$J$3+[42]FormattedData!O18*$J$4+$M$4*$J$5+[42]FormattedData!O18^2*$J$6+$M$5*$J$7</f>
        <v>53.724734028056176</v>
      </c>
      <c r="W15" s="38">
        <f>AVERAGE(K15:V15)</f>
        <v>52.872935657604728</v>
      </c>
      <c r="X15" s="37">
        <f>STDEV(K15:V15)/SQRT(COUNT(K15:V15))</f>
        <v>0.70274216937253442</v>
      </c>
      <c r="Y15" s="36">
        <f>MIN(K15:V15)</f>
        <v>47.933417303560212</v>
      </c>
      <c r="Z15" s="35">
        <f>QUARTILE(K15:V15,1)</f>
        <v>51.355617689050042</v>
      </c>
      <c r="AA15" s="36">
        <f>MEDIAN(K15:V15)</f>
        <v>53.897269676597844</v>
      </c>
      <c r="AB15" s="35">
        <f>QUARTILE(K15:V15,3)</f>
        <v>54.757919029485478</v>
      </c>
      <c r="AC15" s="35">
        <f>MAX(K15:V15)</f>
        <v>55.443327547403861</v>
      </c>
      <c r="AD15" s="35">
        <f>SKEW(K15:V15)</f>
        <v>-0.99263715658369533</v>
      </c>
      <c r="AE15" s="35">
        <f>KURT(K15:V15)</f>
        <v>-0.15106726806917914</v>
      </c>
    </row>
    <row r="16" spans="1:35" x14ac:dyDescent="0.2">
      <c r="B16" s="34">
        <f>[42]FormattedData!A16</f>
        <v>107</v>
      </c>
      <c r="C16" s="34" t="str">
        <f>VLOOKUP($B16,[42]TrtCodes!$B$11:I59,2)</f>
        <v>NTL</v>
      </c>
      <c r="D16" s="34">
        <f>VLOOKUP($B16,[42]TrtCodes!$B$11:J59,3)</f>
        <v>10</v>
      </c>
      <c r="E16" s="34">
        <f>VLOOKUP($B16,[42]TrtCodes!$B$11:K59,4)</f>
        <v>2</v>
      </c>
      <c r="F16" s="34">
        <f>VLOOKUP($B16,[42]TrtCodes!$B$11:L59,5)</f>
        <v>2</v>
      </c>
      <c r="G16" s="34">
        <f>VLOOKUP($B16,[42]TrtCodes!$B$11:M59,6)</f>
        <v>1</v>
      </c>
      <c r="H16" s="34">
        <f>VLOOKUP($B16,[42]TrtCodes!$B$11:N59,7)</f>
        <v>2</v>
      </c>
      <c r="I16" s="34">
        <f>[42]FormattedData!B16</f>
        <v>1</v>
      </c>
      <c r="J16" s="37">
        <f>[42]FormattedData!C16</f>
        <v>12.901999999999999</v>
      </c>
      <c r="K16" s="39">
        <f>$J$3+[42]FormattedData!D16*$J$4+$M$4*$J$5+[42]FormattedData!D16^2*$J$6+$M$5*$J$7</f>
        <v>54.929524770192657</v>
      </c>
      <c r="L16" s="39">
        <f>$J$3+[42]FormattedData!E16*$J$4+$M$4*$J$5+[42]FormattedData!E16^2*$J$6+$M$5*$J$7</f>
        <v>57.483321982593452</v>
      </c>
      <c r="M16" s="39">
        <f>$J$3+[42]FormattedData!F16*$J$4+$M$4*$J$5+[42]FormattedData!F16^2*$J$6+$M$5*$J$7</f>
        <v>55.272229029151852</v>
      </c>
      <c r="N16" s="39">
        <f>$J$3+[42]FormattedData!G16*$J$4+$M$4*$J$5+[42]FormattedData!G16^2*$J$6+$M$5*$J$7</f>
        <v>47.933417303560212</v>
      </c>
      <c r="O16" s="39">
        <f>$J$3+[42]FormattedData!H16*$J$4+$M$4*$J$5+[42]FormattedData!H16^2*$J$6+$M$5*$J$7</f>
        <v>54.757919029485478</v>
      </c>
      <c r="P16" s="39">
        <f>$J$3+[42]FormattedData!I16*$J$4+$M$4*$J$5+[42]FormattedData!I16^2*$J$6+$M$5*$J$7</f>
        <v>56.636283098919627</v>
      </c>
      <c r="Q16" s="39">
        <f>$J$3+[42]FormattedData!J16*$J$4+$M$4*$J$5+[42]FormattedData!J16^2*$J$6+$M$5*$J$7</f>
        <v>52.337685873653847</v>
      </c>
      <c r="R16" s="39">
        <f>$J$3+[42]FormattedData!K16*$J$4+$M$4*$J$5+[42]FormattedData!K16^2*$J$6+$M$5*$J$7</f>
        <v>48.733984191425364</v>
      </c>
      <c r="S16" s="39">
        <f>$J$3+[42]FormattedData!L16*$J$4+$M$4*$J$5+[42]FormattedData!L16^2*$J$6+$M$5*$J$7</f>
        <v>54.672052756324987</v>
      </c>
      <c r="T16" s="39">
        <f>$J$3+[42]FormattedData!M16*$J$4+$M$4*$J$5+[42]FormattedData!M16^2*$J$6+$M$5*$J$7</f>
        <v>54.414200325615944</v>
      </c>
      <c r="U16" s="39">
        <f>$J$3+[42]FormattedData!N16*$J$4+$M$4*$J$5+[42]FormattedData!N16^2*$J$6+$M$5*$J$7</f>
        <v>53.983600903675566</v>
      </c>
      <c r="V16" s="39">
        <f>$J$3+[42]FormattedData!O16*$J$4+$M$4*$J$5+[42]FormattedData!O16^2*$J$6+$M$5*$J$7</f>
        <v>53.292443864598553</v>
      </c>
      <c r="W16" s="38">
        <f>AVERAGE(K16:V16)</f>
        <v>53.703888594099801</v>
      </c>
      <c r="X16" s="37">
        <f>STDEV(K16:V16)/SQRT(COUNT(K16:V16))</f>
        <v>0.82347250274956629</v>
      </c>
      <c r="Y16" s="36">
        <f>MIN(K16:V16)</f>
        <v>47.933417303560212</v>
      </c>
      <c r="Z16" s="35">
        <f>QUARTILE(K16:V16,1)</f>
        <v>53.053754366862378</v>
      </c>
      <c r="AA16" s="36">
        <f>MEDIAN(K16:V16)</f>
        <v>54.543126540970462</v>
      </c>
      <c r="AB16" s="35">
        <f>QUARTILE(K16:V16,3)</f>
        <v>55.015200834932457</v>
      </c>
      <c r="AC16" s="35">
        <f>MAX(K16:V16)</f>
        <v>57.483321982593452</v>
      </c>
      <c r="AD16" s="35">
        <f>SKEW(K16:V16)</f>
        <v>-1.0817012749131478</v>
      </c>
      <c r="AE16" s="35">
        <f>KURT(K16:V16)</f>
        <v>0.75242361523200429</v>
      </c>
    </row>
    <row r="17" spans="2:31" x14ac:dyDescent="0.2">
      <c r="B17" s="34">
        <f>[42]FormattedData!A14</f>
        <v>108</v>
      </c>
      <c r="C17" s="34" t="str">
        <f>VLOOKUP($B17,[42]TrtCodes!$B$11:I57,2)</f>
        <v>FTH</v>
      </c>
      <c r="D17" s="34">
        <f>VLOOKUP($B17,[42]TrtCodes!$B$11:J57,3)</f>
        <v>3</v>
      </c>
      <c r="E17" s="34">
        <f>VLOOKUP($B17,[42]TrtCodes!$B$11:K57,4)</f>
        <v>1</v>
      </c>
      <c r="F17" s="34">
        <f>VLOOKUP($B17,[42]TrtCodes!$B$11:L57,5)</f>
        <v>2</v>
      </c>
      <c r="G17" s="34">
        <f>VLOOKUP($B17,[42]TrtCodes!$B$11:M57,6)</f>
        <v>2</v>
      </c>
      <c r="H17" s="34">
        <f>VLOOKUP($B17,[42]TrtCodes!$B$11:N57,7)</f>
        <v>2</v>
      </c>
      <c r="I17" s="34">
        <f>[42]FormattedData!B14</f>
        <v>1</v>
      </c>
      <c r="J17" s="37">
        <f>[42]FormattedData!C14</f>
        <v>12.885999999999999</v>
      </c>
      <c r="K17" s="39">
        <f>$J$3+[42]FormattedData!D14*$J$4+$M$4*$J$5+[42]FormattedData!D14^2*$J$6+$M$5*$J$7</f>
        <v>54.500193404390217</v>
      </c>
      <c r="L17" s="39">
        <f>$J$3+[42]FormattedData!E14*$J$4+$M$4*$J$5+[42]FormattedData!E14^2*$J$6+$M$5*$J$7</f>
        <v>50.324846712438401</v>
      </c>
      <c r="M17" s="39">
        <f>$J$3+[42]FormattedData!F14*$J$4+$M$4*$J$5+[42]FormattedData!F14^2*$J$6+$M$5*$J$7</f>
        <v>55.186616367218953</v>
      </c>
      <c r="N17" s="39">
        <f>$J$3+[42]FormattedData!G14*$J$4+$M$4*$J$5+[42]FormattedData!G14^2*$J$6+$M$5*$J$7</f>
        <v>55.870334143620084</v>
      </c>
      <c r="O17" s="39">
        <f>$J$3+[42]FormattedData!H14*$J$4+$M$4*$J$5+[42]FormattedData!H14^2*$J$6+$M$5*$J$7</f>
        <v>54.500193404390217</v>
      </c>
      <c r="P17" s="39">
        <f>$J$3+[42]FormattedData!I14*$J$4+$M$4*$J$5+[42]FormattedData!I14^2*$J$6+$M$5*$J$7</f>
        <v>55.699658310747388</v>
      </c>
      <c r="Q17" s="39">
        <f>$J$3+[42]FormattedData!J14*$J$4+$M$4*$J$5+[42]FormattedData!J14^2*$J$6+$M$5*$J$7</f>
        <v>53.897354213673701</v>
      </c>
      <c r="R17" s="39">
        <f>$J$3+[42]FormattedData!K14*$J$4+$M$4*$J$5+[42]FormattedData!K14^2*$J$6+$M$5*$J$7</f>
        <v>54.155967478065513</v>
      </c>
      <c r="S17" s="39">
        <f>$J$3+[42]FormattedData!L14*$J$4+$M$4*$J$5+[42]FormattedData!L14^2*$J$6+$M$5*$J$7</f>
        <v>52.511658652485174</v>
      </c>
      <c r="T17" s="39">
        <f>$J$3+[42]FormattedData!M14*$J$4+$M$4*$J$5+[42]FormattedData!M14^2*$J$6+$M$5*$J$7</f>
        <v>55.015264237739359</v>
      </c>
      <c r="U17" s="39">
        <f>$J$3+[42]FormattedData!N14*$J$4+$M$4*$J$5+[42]FormattedData!N14^2*$J$6+$M$5*$J$7</f>
        <v>50.764322527344312</v>
      </c>
      <c r="V17" s="39">
        <f>$J$3+[42]FormattedData!O14*$J$4+$M$4*$J$5+[42]FormattedData!O14^2*$J$6+$M$5*$J$7</f>
        <v>54.242087362453582</v>
      </c>
      <c r="W17" s="38">
        <f>AVERAGE(K17:V17)</f>
        <v>53.889041401213916</v>
      </c>
      <c r="X17" s="37">
        <f>STDEV(K17:V17)/SQRT(COUNT(K17:V17))</f>
        <v>0.51832657510621838</v>
      </c>
      <c r="Y17" s="36">
        <f>MIN(K17:V17)</f>
        <v>50.324846712438401</v>
      </c>
      <c r="Z17" s="35">
        <f>QUARTILE(K17:V17,1)</f>
        <v>53.550930323376569</v>
      </c>
      <c r="AA17" s="36">
        <f>MEDIAN(K17:V17)</f>
        <v>54.371140383421903</v>
      </c>
      <c r="AB17" s="35">
        <f>QUARTILE(K17:V17,3)</f>
        <v>55.058102270109259</v>
      </c>
      <c r="AC17" s="35">
        <f>MAX(K17:V17)</f>
        <v>55.870334143620084</v>
      </c>
      <c r="AD17" s="35">
        <f>SKEW(K17:V17)</f>
        <v>-1.1411667486407835</v>
      </c>
      <c r="AE17" s="35">
        <f>KURT(K17:V17)</f>
        <v>0.38157132921184544</v>
      </c>
    </row>
    <row r="18" spans="2:31" x14ac:dyDescent="0.2">
      <c r="B18" s="34">
        <f>[42]FormattedData!A30</f>
        <v>201</v>
      </c>
      <c r="C18" s="34" t="str">
        <f>VLOOKUP($B18,[42]TrtCodes!$B$11:I73,2)</f>
        <v>NDL</v>
      </c>
      <c r="D18" s="34">
        <f>VLOOKUP($B18,[42]TrtCodes!$B$11:J73,3)</f>
        <v>12</v>
      </c>
      <c r="E18" s="34">
        <f>VLOOKUP($B18,[42]TrtCodes!$B$11:K73,4)</f>
        <v>2</v>
      </c>
      <c r="F18" s="34">
        <f>VLOOKUP($B18,[42]TrtCodes!$B$11:L73,5)</f>
        <v>3</v>
      </c>
      <c r="G18" s="34">
        <f>VLOOKUP($B18,[42]TrtCodes!$B$11:M73,6)</f>
        <v>1</v>
      </c>
      <c r="H18" s="34">
        <f>VLOOKUP($B18,[42]TrtCodes!$B$11:N73,7)</f>
        <v>1</v>
      </c>
      <c r="I18" s="34">
        <f>[42]FormattedData!B30</f>
        <v>1</v>
      </c>
      <c r="J18" s="37">
        <f>[42]FormattedData!C30</f>
        <v>13.026</v>
      </c>
      <c r="K18" s="39">
        <f>$J$3+[42]FormattedData!D30*$J$4+$M$4*$J$5+[42]FormattedData!D30^2*$J$6+$M$5*$J$7</f>
        <v>56.721177195707718</v>
      </c>
      <c r="L18" s="39">
        <f>$J$3+[42]FormattedData!E30*$J$4+$M$4*$J$5+[42]FormattedData!E30^2*$J$6+$M$5*$J$7</f>
        <v>52.945850900149694</v>
      </c>
      <c r="M18" s="39">
        <f>$J$3+[42]FormattedData!F30*$J$4+$M$4*$J$5+[42]FormattedData!F30^2*$J$6+$M$5*$J$7</f>
        <v>55.955608657249542</v>
      </c>
      <c r="N18" s="39">
        <f>$J$3+[42]FormattedData!G30*$J$4+$M$4*$J$5+[42]FormattedData!G30^2*$J$6+$M$5*$J$7</f>
        <v>50.412826412495441</v>
      </c>
      <c r="O18" s="39">
        <f>$J$3+[42]FormattedData!H30*$J$4+$M$4*$J$5+[42]FormattedData!H30^2*$J$6+$M$5*$J$7</f>
        <v>56.04084090234106</v>
      </c>
      <c r="P18" s="39">
        <f>$J$3+[42]FormattedData!I30*$J$4+$M$4*$J$5+[42]FormattedData!I30^2*$J$6+$M$5*$J$7</f>
        <v>51.027500793832687</v>
      </c>
      <c r="Q18" s="39">
        <f>$J$3+[42]FormattedData!J30*$J$4+$M$4*$J$5+[42]FormattedData!J30^2*$J$6+$M$5*$J$7</f>
        <v>56.381347197327834</v>
      </c>
      <c r="R18" s="39">
        <f>$J$3+[42]FormattedData!K30*$J$4+$M$4*$J$5+[42]FormattedData!K30^2*$J$6+$M$5*$J$7</f>
        <v>51.727449688799382</v>
      </c>
      <c r="S18" s="39">
        <f>$J$3+[42]FormattedData!L30*$J$4+$M$4*$J$5+[42]FormattedData!L30^2*$J$6+$M$5*$J$7</f>
        <v>55.699658310747388</v>
      </c>
      <c r="T18" s="39">
        <f>$J$3+[42]FormattedData!M30*$J$4+$M$4*$J$5+[42]FormattedData!M30^2*$J$6+$M$5*$J$7</f>
        <v>46.591530820290693</v>
      </c>
      <c r="U18" s="39">
        <f>$J$3+[42]FormattedData!N30*$J$4+$M$4*$J$5+[42]FormattedData!N30^2*$J$6+$M$5*$J$7</f>
        <v>57.145013651579106</v>
      </c>
      <c r="V18" s="39">
        <f>$J$3+[42]FormattedData!O30*$J$4+$M$4*$J$5+[42]FormattedData!O30^2*$J$6+$M$5*$J$7</f>
        <v>48.378599371086828</v>
      </c>
      <c r="W18" s="38">
        <f>AVERAGE(K18:V18)</f>
        <v>53.252283658467285</v>
      </c>
      <c r="X18" s="37">
        <f>STDEV(K18:V18)/SQRT(COUNT(K18:V18))</f>
        <v>1.0357287394356332</v>
      </c>
      <c r="Y18" s="36">
        <f>MIN(K18:V18)</f>
        <v>46.591530820290693</v>
      </c>
      <c r="Z18" s="35">
        <f>QUARTILE(K18:V18,1)</f>
        <v>50.873832198498377</v>
      </c>
      <c r="AA18" s="36">
        <f>MEDIAN(K18:V18)</f>
        <v>54.322754605448537</v>
      </c>
      <c r="AB18" s="35">
        <f>QUARTILE(K18:V18,3)</f>
        <v>56.125967476087752</v>
      </c>
      <c r="AC18" s="35">
        <f>MAX(K18:V18)</f>
        <v>57.145013651579106</v>
      </c>
      <c r="AD18" s="35">
        <f>SKEW(K18:V18)</f>
        <v>-0.61715594795352091</v>
      </c>
      <c r="AE18" s="35">
        <f>KURT(K18:V18)</f>
        <v>-0.94526830410642093</v>
      </c>
    </row>
    <row r="19" spans="2:31" x14ac:dyDescent="0.2">
      <c r="B19" s="34">
        <f>[42]FormattedData!A32</f>
        <v>202</v>
      </c>
      <c r="C19" s="34" t="str">
        <f>VLOOKUP($B19,[42]TrtCodes!$B$11:I75,2)</f>
        <v>NTH</v>
      </c>
      <c r="D19" s="34">
        <f>VLOOKUP($B19,[42]TrtCodes!$B$11:J75,3)</f>
        <v>9</v>
      </c>
      <c r="E19" s="34">
        <f>VLOOKUP($B19,[42]TrtCodes!$B$11:K75,4)</f>
        <v>2</v>
      </c>
      <c r="F19" s="34">
        <f>VLOOKUP($B19,[42]TrtCodes!$B$11:L75,5)</f>
        <v>2</v>
      </c>
      <c r="G19" s="34">
        <f>VLOOKUP($B19,[42]TrtCodes!$B$11:M75,6)</f>
        <v>2</v>
      </c>
      <c r="H19" s="34">
        <f>VLOOKUP($B19,[42]TrtCodes!$B$11:N75,7)</f>
        <v>1</v>
      </c>
      <c r="I19" s="34">
        <f>[42]FormattedData!B32</f>
        <v>1</v>
      </c>
      <c r="J19" s="37">
        <f>[42]FormattedData!C32</f>
        <v>13.042</v>
      </c>
      <c r="K19" s="39">
        <f>$J$3+[42]FormattedData!D32*$J$4+$M$4*$J$5+[42]FormattedData!D32^2*$J$6+$M$5*$J$7</f>
        <v>56.04084090234106</v>
      </c>
      <c r="L19" s="39">
        <f>$J$3+[42]FormattedData!E32*$J$4+$M$4*$J$5+[42]FormattedData!E32^2*$J$6+$M$5*$J$7</f>
        <v>55.015264237739359</v>
      </c>
      <c r="M19" s="39">
        <f>$J$3+[42]FormattedData!F32*$J$4+$M$4*$J$5+[42]FormattedData!F32^2*$J$6+$M$5*$J$7</f>
        <v>55.614256991504149</v>
      </c>
      <c r="N19" s="39">
        <f>$J$3+[42]FormattedData!G32*$J$4+$M$4*$J$5+[42]FormattedData!G32^2*$J$6+$M$5*$J$7</f>
        <v>51.6401040168113</v>
      </c>
      <c r="O19" s="39">
        <f>$J$3+[42]FormattedData!H32*$J$4+$M$4*$J$5+[42]FormattedData!H32^2*$J$6+$M$5*$J$7</f>
        <v>55.528813403722971</v>
      </c>
      <c r="P19" s="39">
        <f>$J$3+[42]FormattedData!I32*$J$4+$M$4*$J$5+[42]FormattedData!I32^2*$J$6+$M$5*$J$7</f>
        <v>51.377813389619476</v>
      </c>
      <c r="Q19" s="39">
        <f>$J$3+[42]FormattedData!J32*$J$4+$M$4*$J$5+[42]FormattedData!J32^2*$J$6+$M$5*$J$7</f>
        <v>55.015264237739359</v>
      </c>
      <c r="R19" s="39">
        <f>$J$3+[42]FormattedData!K32*$J$4+$M$4*$J$5+[42]FormattedData!K32^2*$J$6+$M$5*$J$7</f>
        <v>57.22965413713959</v>
      </c>
      <c r="S19" s="39">
        <f>$J$3+[42]FormattedData!L32*$J$4+$M$4*$J$5+[42]FormattedData!L32^2*$J$6+$M$5*$J$7</f>
        <v>55.443327547403861</v>
      </c>
      <c r="T19" s="39">
        <f>$J$3+[42]FormattedData!M32*$J$4+$M$4*$J$5+[42]FormattedData!M32^2*$J$6+$M$5*$J$7</f>
        <v>49.265793365795226</v>
      </c>
      <c r="U19" s="39">
        <f>$J$3+[42]FormattedData!N32*$J$4+$M$4*$J$5+[42]FormattedData!N32^2*$J$6+$M$5*$J$7</f>
        <v>55.357799422546819</v>
      </c>
      <c r="V19" s="39">
        <f>$J$3+[42]FormattedData!O32*$J$4+$M$4*$J$5+[42]FormattedData!O32^2*$J$6+$M$5*$J$7</f>
        <v>44.152168889398595</v>
      </c>
      <c r="W19" s="38">
        <f>AVERAGE(K19:V19)</f>
        <v>53.473425045146804</v>
      </c>
      <c r="X19" s="37">
        <f>STDEV(K19:V19)/SQRT(COUNT(K19:V19))</f>
        <v>1.0802539601469048</v>
      </c>
      <c r="Y19" s="36">
        <f>MIN(K19:V19)</f>
        <v>44.152168889398595</v>
      </c>
      <c r="Z19" s="35">
        <f>QUARTILE(K19:V19,1)</f>
        <v>51.574531360013346</v>
      </c>
      <c r="AA19" s="36">
        <f>MEDIAN(K19:V19)</f>
        <v>55.186531830143089</v>
      </c>
      <c r="AB19" s="35">
        <f>QUARTILE(K19:V19,3)</f>
        <v>55.550174300668267</v>
      </c>
      <c r="AC19" s="35">
        <f>MAX(K19:V19)</f>
        <v>57.22965413713959</v>
      </c>
      <c r="AD19" s="35">
        <f>SKEW(K19:V19)</f>
        <v>-1.643915224745331</v>
      </c>
      <c r="AE19" s="35">
        <f>KURT(K19:V19)</f>
        <v>2.5667916695091391</v>
      </c>
    </row>
    <row r="20" spans="2:31" x14ac:dyDescent="0.2">
      <c r="B20" s="34">
        <f>[42]FormattedData!A34</f>
        <v>203</v>
      </c>
      <c r="C20" s="34" t="str">
        <f>VLOOKUP($B20,[42]TrtCodes!$B$11:I77,2)</f>
        <v>FTH</v>
      </c>
      <c r="D20" s="34">
        <f>VLOOKUP($B20,[42]TrtCodes!$B$11:J77,3)</f>
        <v>3</v>
      </c>
      <c r="E20" s="34">
        <f>VLOOKUP($B20,[42]TrtCodes!$B$11:K77,4)</f>
        <v>1</v>
      </c>
      <c r="F20" s="34">
        <f>VLOOKUP($B20,[42]TrtCodes!$B$11:L77,5)</f>
        <v>2</v>
      </c>
      <c r="G20" s="34">
        <f>VLOOKUP($B20,[42]TrtCodes!$B$11:M77,6)</f>
        <v>2</v>
      </c>
      <c r="H20" s="34">
        <f>VLOOKUP($B20,[42]TrtCodes!$B$11:N77,7)</f>
        <v>1</v>
      </c>
      <c r="I20" s="34">
        <f>[42]FormattedData!B34</f>
        <v>1</v>
      </c>
      <c r="J20" s="37">
        <f>[42]FormattedData!C34</f>
        <v>13.057</v>
      </c>
      <c r="K20" s="39">
        <f>$J$3+[42]FormattedData!D34*$J$4+$M$4*$J$5+[42]FormattedData!D34^2*$J$6+$M$5*$J$7</f>
        <v>54.155967478065513</v>
      </c>
      <c r="L20" s="39">
        <f>$J$3+[42]FormattedData!E34*$J$4+$M$4*$J$5+[42]FormattedData!E34^2*$J$6+$M$5*$J$7</f>
        <v>56.636283098919627</v>
      </c>
      <c r="M20" s="39">
        <f>$J$3+[42]FormattedData!F34*$J$4+$M$4*$J$5+[42]FormattedData!F34^2*$J$6+$M$5*$J$7</f>
        <v>56.04084090234106</v>
      </c>
      <c r="N20" s="39">
        <f>$J$3+[42]FormattedData!G34*$J$4+$M$4*$J$5+[42]FormattedData!G34^2*$J$6+$M$5*$J$7</f>
        <v>44.515500194868189</v>
      </c>
      <c r="O20" s="39">
        <f>$J$3+[42]FormattedData!H34*$J$4+$M$4*$J$5+[42]FormattedData!H34^2*$J$6+$M$5*$J$7</f>
        <v>55.357799422546819</v>
      </c>
      <c r="P20" s="39">
        <f>$J$3+[42]FormattedData!I34*$J$4+$M$4*$J$5+[42]FormattedData!I34^2*$J$6+$M$5*$J$7</f>
        <v>50.060654001039673</v>
      </c>
      <c r="Q20" s="39">
        <f>$J$3+[42]FormattedData!J34*$J$4+$M$4*$J$5+[42]FormattedData!J34^2*$J$6+$M$5*$J$7</f>
        <v>55.614256991504149</v>
      </c>
      <c r="R20" s="39">
        <f>$J$3+[42]FormattedData!K34*$J$4+$M$4*$J$5+[42]FormattedData!K34^2*$J$6+$M$5*$J$7</f>
        <v>57.905256354257943</v>
      </c>
      <c r="S20" s="39">
        <f>$J$3+[42]FormattedData!L34*$J$4+$M$4*$J$5+[42]FormattedData!L34^2*$J$6+$M$5*$J$7</f>
        <v>56.04084090234106</v>
      </c>
      <c r="T20" s="39">
        <f>$J$3+[42]FormattedData!M34*$J$4+$M$4*$J$5+[42]FormattedData!M34^2*$J$6+$M$5*$J$7</f>
        <v>48.378599371086828</v>
      </c>
      <c r="U20" s="39">
        <f>$J$3+[42]FormattedData!N34*$J$4+$M$4*$J$5+[42]FormattedData!N34^2*$J$6+$M$5*$J$7</f>
        <v>50.764322527344312</v>
      </c>
      <c r="V20" s="39">
        <f>$J$3+[42]FormattedData!O34*$J$4+$M$4*$J$5+[42]FormattedData!O34^2*$J$6+$M$5*$J$7</f>
        <v>52.772300806697679</v>
      </c>
      <c r="W20" s="38">
        <f>AVERAGE(K20:V20)</f>
        <v>53.186885170917741</v>
      </c>
      <c r="X20" s="37">
        <f>STDEV(K20:V20)/SQRT(COUNT(K20:V20))</f>
        <v>1.1551012139339452</v>
      </c>
      <c r="Y20" s="36">
        <f>MIN(K20:V20)</f>
        <v>44.515500194868189</v>
      </c>
      <c r="Z20" s="35">
        <f>QUARTILE(K20:V20,1)</f>
        <v>50.588405395768149</v>
      </c>
      <c r="AA20" s="36">
        <f>MEDIAN(K20:V20)</f>
        <v>54.756883450306162</v>
      </c>
      <c r="AB20" s="35">
        <f>QUARTILE(K20:V20,3)</f>
        <v>56.04084090234106</v>
      </c>
      <c r="AC20" s="35">
        <f>MAX(K20:V20)</f>
        <v>57.905256354257943</v>
      </c>
      <c r="AD20" s="35">
        <f>SKEW(K20:V20)</f>
        <v>-1.0046570056552206</v>
      </c>
      <c r="AE20" s="35">
        <f>KURT(K20:V20)</f>
        <v>0.35926254061237461</v>
      </c>
    </row>
    <row r="21" spans="2:31" x14ac:dyDescent="0.2">
      <c r="B21" s="34">
        <f>[42]FormattedData!A36</f>
        <v>204</v>
      </c>
      <c r="C21" s="34" t="str">
        <f>VLOOKUP($B21,[42]TrtCodes!$B$11:I79,2)</f>
        <v>NDH</v>
      </c>
      <c r="D21" s="34">
        <f>VLOOKUP($B21,[42]TrtCodes!$B$11:J79,3)</f>
        <v>11</v>
      </c>
      <c r="E21" s="34">
        <f>VLOOKUP($B21,[42]TrtCodes!$B$11:K79,4)</f>
        <v>2</v>
      </c>
      <c r="F21" s="34">
        <f>VLOOKUP($B21,[42]TrtCodes!$B$11:L79,5)</f>
        <v>3</v>
      </c>
      <c r="G21" s="34">
        <f>VLOOKUP($B21,[42]TrtCodes!$B$11:M79,6)</f>
        <v>2</v>
      </c>
      <c r="H21" s="34">
        <f>VLOOKUP($B21,[42]TrtCodes!$B$11:N79,7)</f>
        <v>1</v>
      </c>
      <c r="I21" s="34">
        <f>[42]FormattedData!B36</f>
        <v>1</v>
      </c>
      <c r="J21" s="37">
        <f>[42]FormattedData!C36</f>
        <v>13.071999999999999</v>
      </c>
      <c r="K21" s="39">
        <f>$J$3+[42]FormattedData!D36*$J$4+$M$4*$J$5+[42]FormattedData!D36^2*$J$6+$M$5*$J$7</f>
        <v>56.636283098919627</v>
      </c>
      <c r="L21" s="39">
        <f>$J$3+[42]FormattedData!E36*$J$4+$M$4*$J$5+[42]FormattedData!E36^2*$J$6+$M$5*$J$7</f>
        <v>52.250636081431288</v>
      </c>
      <c r="M21" s="39">
        <f>$J$3+[42]FormattedData!F36*$J$4+$M$4*$J$5+[42]FormattedData!F36^2*$J$6+$M$5*$J$7</f>
        <v>55.272229029151852</v>
      </c>
      <c r="N21" s="39">
        <f>$J$3+[42]FormattedData!G36*$J$4+$M$4*$J$5+[42]FormattedData!G36^2*$J$6+$M$5*$J$7</f>
        <v>54.500193404390217</v>
      </c>
      <c r="O21" s="39">
        <f>$J$3+[42]FormattedData!H36*$J$4+$M$4*$J$5+[42]FormattedData!H36^2*$J$6+$M$5*$J$7</f>
        <v>57.060330897480682</v>
      </c>
      <c r="P21" s="39">
        <f>$J$3+[42]FormattedData!I36*$J$4+$M$4*$J$5+[42]FormattedData!I36^2*$J$6+$M$5*$J$7</f>
        <v>54.414200325615944</v>
      </c>
      <c r="Q21" s="39">
        <f>$J$3+[42]FormattedData!J36*$J$4+$M$4*$J$5+[42]FormattedData!J36^2*$J$6+$M$5*$J$7</f>
        <v>57.567793394002223</v>
      </c>
      <c r="R21" s="39">
        <f>$J$3+[42]FormattedData!K36*$J$4+$M$4*$J$5+[42]FormattedData!K36^2*$J$6+$M$5*$J$7</f>
        <v>48.200653349689979</v>
      </c>
      <c r="S21" s="39">
        <f>$J$3+[42]FormattedData!L36*$J$4+$M$4*$J$5+[42]FormattedData!L36^2*$J$6+$M$5*$J$7</f>
        <v>55.528813403722971</v>
      </c>
      <c r="T21" s="39">
        <f>$J$3+[42]FormattedData!M36*$J$4+$M$4*$J$5+[42]FormattedData!M36^2*$J$6+$M$5*$J$7</f>
        <v>51.465285867221354</v>
      </c>
      <c r="U21" s="39">
        <f>$J$3+[42]FormattedData!N36*$J$4+$M$4*$J$5+[42]FormattedData!N36^2*$J$6+$M$5*$J$7</f>
        <v>56.211178586910307</v>
      </c>
      <c r="V21" s="39">
        <f>$J$3+[42]FormattedData!O36*$J$4+$M$4*$J$5+[42]FormattedData!O36^2*$J$6+$M$5*$J$7</f>
        <v>49.796080872799571</v>
      </c>
      <c r="W21" s="38">
        <f>AVERAGE(K21:V21)</f>
        <v>54.075306525944676</v>
      </c>
      <c r="X21" s="37">
        <f>STDEV(K21:V21)/SQRT(COUNT(K21:V21))</f>
        <v>0.86617419551823605</v>
      </c>
      <c r="Y21" s="36">
        <f>MIN(K21:V21)</f>
        <v>48.200653349689979</v>
      </c>
      <c r="Z21" s="35">
        <f>QUARTILE(K21:V21,1)</f>
        <v>52.054298527878807</v>
      </c>
      <c r="AA21" s="36">
        <f>MEDIAN(K21:V21)</f>
        <v>54.886211216771031</v>
      </c>
      <c r="AB21" s="35">
        <f>QUARTILE(K21:V21,3)</f>
        <v>56.317454714912635</v>
      </c>
      <c r="AC21" s="35">
        <f>MAX(K21:V21)</f>
        <v>57.567793394002223</v>
      </c>
      <c r="AD21" s="35">
        <f>SKEW(K21:V21)</f>
        <v>-0.82511083511924133</v>
      </c>
      <c r="AE21" s="35">
        <f>KURT(K21:V21)</f>
        <v>-0.37382646545825704</v>
      </c>
    </row>
    <row r="22" spans="2:31" x14ac:dyDescent="0.2">
      <c r="B22" s="34">
        <f>[42]FormattedData!A38</f>
        <v>205</v>
      </c>
      <c r="C22" s="34" t="str">
        <f>VLOOKUP($B22,[42]TrtCodes!$B$11:I81,2)</f>
        <v>FSH</v>
      </c>
      <c r="D22" s="34">
        <f>VLOOKUP($B22,[42]TrtCodes!$B$11:J81,3)</f>
        <v>1</v>
      </c>
      <c r="E22" s="34">
        <f>VLOOKUP($B22,[42]TrtCodes!$B$11:K81,4)</f>
        <v>1</v>
      </c>
      <c r="F22" s="34">
        <f>VLOOKUP($B22,[42]TrtCodes!$B$11:L81,5)</f>
        <v>1</v>
      </c>
      <c r="G22" s="34">
        <f>VLOOKUP($B22,[42]TrtCodes!$B$11:M81,6)</f>
        <v>2</v>
      </c>
      <c r="H22" s="34">
        <f>VLOOKUP($B22,[42]TrtCodes!$B$11:N81,7)</f>
        <v>2</v>
      </c>
      <c r="I22" s="34">
        <f>[42]FormattedData!B38</f>
        <v>1</v>
      </c>
      <c r="J22" s="37">
        <f>[42]FormattedData!C38</f>
        <v>13.089</v>
      </c>
      <c r="K22" s="39">
        <f>$J$3+[42]FormattedData!D38*$J$4+$M$4*$J$5+[42]FormattedData!D38^2*$J$6+$M$5*$J$7</f>
        <v>53.983600903675566</v>
      </c>
      <c r="L22" s="39">
        <f>$J$3+[42]FormattedData!E38*$J$4+$M$4*$J$5+[42]FormattedData!E38^2*$J$6+$M$5*$J$7</f>
        <v>56.381347197327834</v>
      </c>
      <c r="M22" s="39">
        <f>$J$3+[42]FormattedData!F38*$J$4+$M$4*$J$5+[42]FormattedData!F38^2*$J$6+$M$5*$J$7</f>
        <v>54.672052756324987</v>
      </c>
      <c r="N22" s="39">
        <f>$J$3+[42]FormattedData!G38*$J$4+$M$4*$J$5+[42]FormattedData!G38^2*$J$6+$M$5*$J$7</f>
        <v>53.205859026293233</v>
      </c>
      <c r="O22" s="39">
        <f>$J$3+[42]FormattedData!H38*$J$4+$M$4*$J$5+[42]FormattedData!H38^2*$J$6+$M$5*$J$7</f>
        <v>54.242087362453582</v>
      </c>
      <c r="P22" s="39">
        <f>$J$3+[42]FormattedData!I38*$J$4+$M$4*$J$5+[42]FormattedData!I38^2*$J$6+$M$5*$J$7</f>
        <v>54.155967478065513</v>
      </c>
      <c r="Q22" s="39">
        <f>$J$3+[42]FormattedData!J38*$J$4+$M$4*$J$5+[42]FormattedData!J38^2*$J$6+$M$5*$J$7</f>
        <v>53.03256254406881</v>
      </c>
      <c r="R22" s="39">
        <f>$J$3+[42]FormattedData!K38*$J$4+$M$4*$J$5+[42]FormattedData!K38^2*$J$6+$M$5*$J$7</f>
        <v>57.145013651579106</v>
      </c>
      <c r="S22" s="39">
        <f>$J$3+[42]FormattedData!L38*$J$4+$M$4*$J$5+[42]FormattedData!L38^2*$J$6+$M$5*$J$7</f>
        <v>55.614256991504149</v>
      </c>
      <c r="T22" s="39">
        <f>$J$3+[42]FormattedData!M38*$J$4+$M$4*$J$5+[42]FormattedData!M38^2*$J$6+$M$5*$J$7</f>
        <v>55.015264237739359</v>
      </c>
      <c r="U22" s="39">
        <f>$J$3+[42]FormattedData!N38*$J$4+$M$4*$J$5+[42]FormattedData!N38^2*$J$6+$M$5*$J$7</f>
        <v>55.186616367218953</v>
      </c>
      <c r="V22" s="39">
        <f>$J$3+[42]FormattedData!O38*$J$4+$M$4*$J$5+[42]FormattedData!O38^2*$J$6+$M$5*$J$7</f>
        <v>54.757919029485478</v>
      </c>
      <c r="W22" s="38">
        <f>AVERAGE(K22:V22)</f>
        <v>54.782712295478042</v>
      </c>
      <c r="X22" s="37">
        <f>STDEV(K22:V22)/SQRT(COUNT(K22:V22))</f>
        <v>0.34740161849520046</v>
      </c>
      <c r="Y22" s="36">
        <f>MIN(K22:V22)</f>
        <v>53.03256254406881</v>
      </c>
      <c r="Z22" s="35">
        <f>QUARTILE(K22:V22,1)</f>
        <v>54.112875834468028</v>
      </c>
      <c r="AA22" s="36">
        <f>MEDIAN(K22:V22)</f>
        <v>54.714985892905233</v>
      </c>
      <c r="AB22" s="35">
        <f>QUARTILE(K22:V22,3)</f>
        <v>55.293526523290254</v>
      </c>
      <c r="AC22" s="35">
        <f>MAX(K22:V22)</f>
        <v>57.145013651579106</v>
      </c>
      <c r="AD22" s="35">
        <f>SKEW(K22:V22)</f>
        <v>0.48348286280337383</v>
      </c>
      <c r="AE22" s="35">
        <f>KURT(K22:V22)</f>
        <v>5.3070335529637802E-2</v>
      </c>
    </row>
    <row r="23" spans="2:31" x14ac:dyDescent="0.2">
      <c r="B23" s="34">
        <f>[42]FormattedData!A40</f>
        <v>206</v>
      </c>
      <c r="C23" s="34" t="str">
        <f>VLOOKUP($B23,[42]TrtCodes!$B$11:I83,2)</f>
        <v>NSL</v>
      </c>
      <c r="D23" s="34">
        <f>VLOOKUP($B23,[42]TrtCodes!$B$11:J83,3)</f>
        <v>8</v>
      </c>
      <c r="E23" s="34">
        <f>VLOOKUP($B23,[42]TrtCodes!$B$11:K83,4)</f>
        <v>2</v>
      </c>
      <c r="F23" s="34">
        <f>VLOOKUP($B23,[42]TrtCodes!$B$11:L83,5)</f>
        <v>1</v>
      </c>
      <c r="G23" s="34">
        <f>VLOOKUP($B23,[42]TrtCodes!$B$11:M83,6)</f>
        <v>1</v>
      </c>
      <c r="H23" s="34">
        <f>VLOOKUP($B23,[42]TrtCodes!$B$11:N83,7)</f>
        <v>2</v>
      </c>
      <c r="I23" s="34">
        <f>[42]FormattedData!B40</f>
        <v>1</v>
      </c>
      <c r="J23" s="37">
        <f>[42]FormattedData!C40</f>
        <v>13.11</v>
      </c>
      <c r="K23" s="39">
        <f>$J$3+[42]FormattedData!D40*$J$4+$M$4*$J$5+[42]FormattedData!D40^2*$J$6+$M$5*$J$7</f>
        <v>53.983600903675566</v>
      </c>
      <c r="L23" s="39">
        <f>$J$3+[42]FormattedData!E40*$J$4+$M$4*$J$5+[42]FormattedData!E40^2*$J$6+$M$5*$J$7</f>
        <v>53.638360532440508</v>
      </c>
      <c r="M23" s="39">
        <f>$J$3+[42]FormattedData!F40*$J$4+$M$4*$J$5+[42]FormattedData!F40^2*$J$6+$M$5*$J$7</f>
        <v>53.11923191944998</v>
      </c>
      <c r="N23" s="39">
        <f>$J$3+[42]FormattedData!G40*$J$4+$M$4*$J$5+[42]FormattedData!G40^2*$J$6+$M$5*$J$7</f>
        <v>53.11923191944998</v>
      </c>
      <c r="O23" s="39">
        <f>$J$3+[42]FormattedData!H40*$J$4+$M$4*$J$5+[42]FormattedData!H40^2*$J$6+$M$5*$J$7</f>
        <v>52.859096987692659</v>
      </c>
      <c r="P23" s="39">
        <f>$J$3+[42]FormattedData!I40*$J$4+$M$4*$J$5+[42]FormattedData!I40^2*$J$6+$M$5*$J$7</f>
        <v>50.148760506710509</v>
      </c>
      <c r="Q23" s="39">
        <f>$J$3+[42]FormattedData!J40*$J$4+$M$4*$J$5+[42]FormattedData!J40^2*$J$6+$M$5*$J$7</f>
        <v>53.03256254406881</v>
      </c>
      <c r="R23" s="39">
        <f>$J$3+[42]FormattedData!K40*$J$4+$M$4*$J$5+[42]FormattedData!K40^2*$J$6+$M$5*$J$7</f>
        <v>53.551944768286909</v>
      </c>
      <c r="S23" s="39">
        <f>$J$3+[42]FormattedData!L40*$J$4+$M$4*$J$5+[42]FormattedData!L40^2*$J$6+$M$5*$J$7</f>
        <v>52.945850900149694</v>
      </c>
      <c r="T23" s="39">
        <f>$J$3+[42]FormattedData!M40*$J$4+$M$4*$J$5+[42]FormattedData!M40^2*$J$6+$M$5*$J$7</f>
        <v>51.202741628801945</v>
      </c>
      <c r="U23" s="39">
        <f>$J$3+[42]FormattedData!N40*$J$4+$M$4*$J$5+[42]FormattedData!N40^2*$J$6+$M$5*$J$7</f>
        <v>53.03256254406881</v>
      </c>
      <c r="V23" s="39">
        <f>$J$3+[42]FormattedData!O40*$J$4+$M$4*$J$5+[42]FormattedData!O40^2*$J$6+$M$5*$J$7</f>
        <v>53.03256254406881</v>
      </c>
      <c r="W23" s="38">
        <f>AVERAGE(K23:V23)</f>
        <v>52.805542308238678</v>
      </c>
      <c r="X23" s="37">
        <f>STDEV(K23:V23)/SQRT(COUNT(K23:V23))</f>
        <v>0.30944667078113802</v>
      </c>
      <c r="Y23" s="36">
        <f>MIN(K23:V23)</f>
        <v>50.148760506710509</v>
      </c>
      <c r="Z23" s="35">
        <f>QUARTILE(K23:V23,1)</f>
        <v>52.924162422035437</v>
      </c>
      <c r="AA23" s="36">
        <f>MEDIAN(K23:V23)</f>
        <v>53.03256254406881</v>
      </c>
      <c r="AB23" s="35">
        <f>QUARTILE(K23:V23,3)</f>
        <v>53.227410131659212</v>
      </c>
      <c r="AC23" s="35">
        <f>MAX(K23:V23)</f>
        <v>53.983600903675566</v>
      </c>
      <c r="AD23" s="35">
        <f>SKEW(K23:V23)</f>
        <v>-1.7838876106779642</v>
      </c>
      <c r="AE23" s="35">
        <f>KURT(K23:V23)</f>
        <v>3.0276299503904118</v>
      </c>
    </row>
    <row r="24" spans="2:31" x14ac:dyDescent="0.2">
      <c r="B24" s="34">
        <f>[42]FormattedData!A42</f>
        <v>207</v>
      </c>
      <c r="C24" s="34" t="str">
        <f>VLOOKUP($B24,[42]TrtCodes!$B$11:I85,2)</f>
        <v>FTL</v>
      </c>
      <c r="D24" s="34">
        <f>VLOOKUP($B24,[42]TrtCodes!$B$11:J85,3)</f>
        <v>4</v>
      </c>
      <c r="E24" s="34">
        <f>VLOOKUP($B24,[42]TrtCodes!$B$11:K85,4)</f>
        <v>1</v>
      </c>
      <c r="F24" s="34">
        <f>VLOOKUP($B24,[42]TrtCodes!$B$11:L85,5)</f>
        <v>2</v>
      </c>
      <c r="G24" s="34">
        <f>VLOOKUP($B24,[42]TrtCodes!$B$11:M85,6)</f>
        <v>1</v>
      </c>
      <c r="H24" s="34">
        <f>VLOOKUP($B24,[42]TrtCodes!$B$11:N85,7)</f>
        <v>2</v>
      </c>
      <c r="I24" s="34">
        <f>[42]FormattedData!B42</f>
        <v>1</v>
      </c>
      <c r="J24" s="37">
        <f>[42]FormattedData!C42</f>
        <v>13.125</v>
      </c>
      <c r="K24" s="39">
        <f>$J$3+[42]FormattedData!D42*$J$4+$M$4*$J$5+[42]FormattedData!D42^2*$J$6+$M$5*$J$7</f>
        <v>53.378986434365935</v>
      </c>
      <c r="L24" s="39">
        <f>$J$3+[42]FormattedData!E42*$J$4+$M$4*$J$5+[42]FormattedData!E42^2*$J$6+$M$5*$J$7</f>
        <v>53.551944768286909</v>
      </c>
      <c r="M24" s="39">
        <f>$J$3+[42]FormattedData!F42*$J$4+$M$4*$J$5+[42]FormattedData!F42^2*$J$6+$M$5*$J$7</f>
        <v>54.242087362453582</v>
      </c>
      <c r="N24" s="39">
        <f>$J$3+[42]FormattedData!G42*$J$4+$M$4*$J$5+[42]FormattedData!G42^2*$J$6+$M$5*$J$7</f>
        <v>49.088692715157002</v>
      </c>
      <c r="O24" s="39">
        <f>$J$3+[42]FormattedData!H42*$J$4+$M$4*$J$5+[42]FormattedData!H42^2*$J$6+$M$5*$J$7</f>
        <v>53.983600903675566</v>
      </c>
      <c r="P24" s="39">
        <f>$J$3+[42]FormattedData!I42*$J$4+$M$4*$J$5+[42]FormattedData!I42^2*$J$6+$M$5*$J$7</f>
        <v>48.556376318331957</v>
      </c>
      <c r="Q24" s="39">
        <f>$J$3+[42]FormattedData!J42*$J$4+$M$4*$J$5+[42]FormattedData!J42^2*$J$6+$M$5*$J$7</f>
        <v>53.638360532440508</v>
      </c>
      <c r="R24" s="39">
        <f>$J$3+[42]FormattedData!K42*$J$4+$M$4*$J$5+[42]FormattedData!K42^2*$J$6+$M$5*$J$7</f>
        <v>42.783653227232456</v>
      </c>
      <c r="S24" s="39">
        <f>$J$3+[42]FormattedData!L42*$J$4+$M$4*$J$5+[42]FormattedData!L42^2*$J$6+$M$5*$J$7</f>
        <v>54.155967478065513</v>
      </c>
      <c r="T24" s="39">
        <f>$J$3+[42]FormattedData!M42*$J$4+$M$4*$J$5+[42]FormattedData!M42^2*$J$6+$M$5*$J$7</f>
        <v>51.377813389619476</v>
      </c>
      <c r="U24" s="39">
        <f>$J$3+[42]FormattedData!N42*$J$4+$M$4*$J$5+[42]FormattedData!N42^2*$J$6+$M$5*$J$7</f>
        <v>52.337685873653847</v>
      </c>
      <c r="V24" s="39">
        <f>$J$3+[42]FormattedData!O42*$J$4+$M$4*$J$5+[42]FormattedData!O42^2*$J$6+$M$5*$J$7</f>
        <v>46.501733573102605</v>
      </c>
      <c r="W24" s="38">
        <f>AVERAGE(K24:V24)</f>
        <v>51.133075214698778</v>
      </c>
      <c r="X24" s="37">
        <f>STDEV(K24:V24)/SQRT(COUNT(K24:V24))</f>
        <v>1.0574156104604249</v>
      </c>
      <c r="Y24" s="36">
        <f>MIN(K24:V24)</f>
        <v>42.783653227232456</v>
      </c>
      <c r="Z24" s="35">
        <f>QUARTILE(K24:V24,1)</f>
        <v>48.955613615950739</v>
      </c>
      <c r="AA24" s="36">
        <f>MEDIAN(K24:V24)</f>
        <v>52.858336154009891</v>
      </c>
      <c r="AB24" s="35">
        <f>QUARTILE(K24:V24,3)</f>
        <v>53.724670625249274</v>
      </c>
      <c r="AC24" s="35">
        <f>MAX(K24:V24)</f>
        <v>54.242087362453582</v>
      </c>
      <c r="AD24" s="35">
        <f>SKEW(K24:V24)</f>
        <v>-1.294593272131257</v>
      </c>
      <c r="AE24" s="35">
        <f>KURT(K24:V24)</f>
        <v>0.97816982564351562</v>
      </c>
    </row>
    <row r="25" spans="2:31" x14ac:dyDescent="0.2">
      <c r="B25" s="34">
        <f>[42]FormattedData!A44</f>
        <v>208</v>
      </c>
      <c r="C25" s="34" t="str">
        <f>VLOOKUP($B25,[42]TrtCodes!$B$11:I87,2)</f>
        <v>FSL</v>
      </c>
      <c r="D25" s="34">
        <f>VLOOKUP($B25,[42]TrtCodes!$B$11:J87,3)</f>
        <v>2</v>
      </c>
      <c r="E25" s="34">
        <f>VLOOKUP($B25,[42]TrtCodes!$B$11:K87,4)</f>
        <v>1</v>
      </c>
      <c r="F25" s="34">
        <f>VLOOKUP($B25,[42]TrtCodes!$B$11:L87,5)</f>
        <v>1</v>
      </c>
      <c r="G25" s="34">
        <f>VLOOKUP($B25,[42]TrtCodes!$B$11:M87,6)</f>
        <v>1</v>
      </c>
      <c r="H25" s="34">
        <f>VLOOKUP($B25,[42]TrtCodes!$B$11:N87,7)</f>
        <v>2</v>
      </c>
      <c r="I25" s="34">
        <f>[42]FormattedData!B44</f>
        <v>1</v>
      </c>
      <c r="J25" s="37">
        <f>[42]FormattedData!C44</f>
        <v>13.14</v>
      </c>
      <c r="K25" s="39">
        <f>$J$3+[42]FormattedData!D44*$J$4+$M$4*$J$5+[42]FormattedData!D44^2*$J$6+$M$5*$J$7</f>
        <v>53.378986434365935</v>
      </c>
      <c r="L25" s="39">
        <f>$J$3+[42]FormattedData!E44*$J$4+$M$4*$J$5+[42]FormattedData!E44^2*$J$6+$M$5*$J$7</f>
        <v>53.811065255133897</v>
      </c>
      <c r="M25" s="39">
        <f>$J$3+[42]FormattedData!F44*$J$4+$M$4*$J$5+[42]FormattedData!F44^2*$J$6+$M$5*$J$7</f>
        <v>53.551944768286909</v>
      </c>
      <c r="N25" s="39">
        <f>$J$3+[42]FormattedData!G44*$J$4+$M$4*$J$5+[42]FormattedData!G44^2*$J$6+$M$5*$J$7</f>
        <v>52.859096987692659</v>
      </c>
      <c r="O25" s="39">
        <f>$J$3+[42]FormattedData!H44*$J$4+$M$4*$J$5+[42]FormattedData!H44^2*$J$6+$M$5*$J$7</f>
        <v>54.069805325139505</v>
      </c>
      <c r="P25" s="39">
        <f>$J$3+[42]FormattedData!I44*$J$4+$M$4*$J$5+[42]FormattedData!I44^2*$J$6+$M$5*$J$7</f>
        <v>54.414200325615944</v>
      </c>
      <c r="Q25" s="39">
        <f>$J$3+[42]FormattedData!J44*$J$4+$M$4*$J$5+[42]FormattedData!J44^2*$J$6+$M$5*$J$7</f>
        <v>53.638360532440508</v>
      </c>
      <c r="R25" s="39">
        <f>$J$3+[42]FormattedData!K44*$J$4+$M$4*$J$5+[42]FormattedData!K44^2*$J$6+$M$5*$J$7</f>
        <v>53.897354213673701</v>
      </c>
      <c r="S25" s="39">
        <f>$J$3+[42]FormattedData!L44*$J$4+$M$4*$J$5+[42]FormattedData!L44^2*$J$6+$M$5*$J$7</f>
        <v>54.155967478065513</v>
      </c>
      <c r="T25" s="39">
        <f>$J$3+[42]FormattedData!M44*$J$4+$M$4*$J$5+[42]FormattedData!M44^2*$J$6+$M$5*$J$7</f>
        <v>55.186616367218953</v>
      </c>
      <c r="U25" s="39">
        <f>$J$3+[42]FormattedData!N44*$J$4+$M$4*$J$5+[42]FormattedData!N44^2*$J$6+$M$5*$J$7</f>
        <v>53.638360532440508</v>
      </c>
      <c r="V25" s="39">
        <f>$J$3+[42]FormattedData!O44*$J$4+$M$4*$J$5+[42]FormattedData!O44^2*$J$6+$M$5*$J$7</f>
        <v>51.465285867221354</v>
      </c>
      <c r="W25" s="38">
        <f>AVERAGE(K25:V25)</f>
        <v>53.672253673941277</v>
      </c>
      <c r="X25" s="37">
        <f>STDEV(K25:V25)/SQRT(COUNT(K25:V25))</f>
        <v>0.26025122713029358</v>
      </c>
      <c r="Y25" s="36">
        <f>MIN(K25:V25)</f>
        <v>51.465285867221354</v>
      </c>
      <c r="Z25" s="35">
        <f>QUARTILE(K25:V25,1)</f>
        <v>53.508705184806665</v>
      </c>
      <c r="AA25" s="36">
        <f>MEDIAN(K25:V25)</f>
        <v>53.724712893787199</v>
      </c>
      <c r="AB25" s="35">
        <f>QUARTILE(K25:V25,3)</f>
        <v>54.091345863371004</v>
      </c>
      <c r="AC25" s="35">
        <f>MAX(K25:V25)</f>
        <v>55.186616367218953</v>
      </c>
      <c r="AD25" s="35">
        <f>SKEW(K25:V25)</f>
        <v>-1.0783148225528876</v>
      </c>
      <c r="AE25" s="35">
        <f>KURT(K25:V25)</f>
        <v>3.0782917246718089</v>
      </c>
    </row>
    <row r="26" spans="2:31" x14ac:dyDescent="0.2">
      <c r="B26" s="34">
        <f>[42]FormattedData!A62</f>
        <v>301</v>
      </c>
      <c r="C26" s="34" t="str">
        <f>VLOOKUP($B26,[42]TrtCodes!$B$11:I105,2)</f>
        <v>NTL</v>
      </c>
      <c r="D26" s="34">
        <f>VLOOKUP($B26,[42]TrtCodes!$B$11:J105,3)</f>
        <v>10</v>
      </c>
      <c r="E26" s="34">
        <f>VLOOKUP($B26,[42]TrtCodes!$B$11:K105,4)</f>
        <v>2</v>
      </c>
      <c r="F26" s="34">
        <f>VLOOKUP($B26,[42]TrtCodes!$B$11:L105,5)</f>
        <v>2</v>
      </c>
      <c r="G26" s="34">
        <f>VLOOKUP($B26,[42]TrtCodes!$B$11:M105,6)</f>
        <v>1</v>
      </c>
      <c r="H26" s="34">
        <f>VLOOKUP($B26,[42]TrtCodes!$B$11:N105,7)</f>
        <v>3</v>
      </c>
      <c r="I26" s="34">
        <f>[42]FormattedData!B62</f>
        <v>1</v>
      </c>
      <c r="J26" s="37">
        <f>[42]FormattedData!C62</f>
        <v>13.260999999999999</v>
      </c>
      <c r="K26" s="39">
        <f>$J$3+[42]FormattedData!D62*$J$4+$M$4*$J$5+[42]FormattedData!D62^2*$J$6+$M$5*$J$7</f>
        <v>52.945850900149694</v>
      </c>
      <c r="L26" s="39">
        <f>$J$3+[42]FormattedData!E62*$J$4+$M$4*$J$5+[42]FormattedData!E62^2*$J$6+$M$5*$J$7</f>
        <v>50.588659006995734</v>
      </c>
      <c r="M26" s="39">
        <f>$J$3+[42]FormattedData!F62*$J$4+$M$4*$J$5+[42]FormattedData!F62^2*$J$6+$M$5*$J$7</f>
        <v>53.11923191944998</v>
      </c>
      <c r="N26" s="39">
        <f>$J$3+[42]FormattedData!G62*$J$4+$M$4*$J$5+[42]FormattedData!G62^2*$J$6+$M$5*$J$7</f>
        <v>50.764322527344312</v>
      </c>
      <c r="O26" s="39">
        <f>$J$3+[42]FormattedData!H62*$J$4+$M$4*$J$5+[42]FormattedData!H62^2*$J$6+$M$5*$J$7</f>
        <v>52.859096987692659</v>
      </c>
      <c r="P26" s="39">
        <f>$J$3+[42]FormattedData!I62*$J$4+$M$4*$J$5+[42]FormattedData!I62^2*$J$6+$M$5*$J$7</f>
        <v>49.000078987030982</v>
      </c>
      <c r="Q26" s="39">
        <f>$J$3+[42]FormattedData!J62*$J$4+$M$4*$J$5+[42]FormattedData!J62^2*$J$6+$M$5*$J$7</f>
        <v>53.465486735595398</v>
      </c>
      <c r="R26" s="39">
        <f>$J$3+[42]FormattedData!K62*$J$4+$M$4*$J$5+[42]FormattedData!K62^2*$J$6+$M$5*$J$7</f>
        <v>49.884314184084211</v>
      </c>
      <c r="S26" s="39">
        <f>$J$3+[42]FormattedData!L62*$J$4+$M$4*$J$5+[42]FormattedData!L62^2*$J$6+$M$5*$J$7</f>
        <v>53.551944768286909</v>
      </c>
      <c r="T26" s="39">
        <f>$J$3+[42]FormattedData!M62*$J$4+$M$4*$J$5+[42]FormattedData!M62^2*$J$6+$M$5*$J$7</f>
        <v>50.412826412495441</v>
      </c>
      <c r="U26" s="39">
        <f>$J$3+[42]FormattedData!N62*$J$4+$M$4*$J$5+[42]FormattedData!N62^2*$J$6+$M$5*$J$7</f>
        <v>53.205859026293233</v>
      </c>
      <c r="V26" s="39">
        <f>$J$3+[42]FormattedData!O62*$J$4+$M$4*$J$5+[42]FormattedData!O62^2*$J$6+$M$5*$J$7</f>
        <v>47.75504859678405</v>
      </c>
      <c r="W26" s="38">
        <f>AVERAGE(K26:V26)</f>
        <v>51.462726671016874</v>
      </c>
      <c r="X26" s="37">
        <f>STDEV(K26:V26)/SQRT(COUNT(K26:V26))</f>
        <v>0.57051848560592033</v>
      </c>
      <c r="Y26" s="36">
        <f>MIN(K26:V26)</f>
        <v>47.75504859678405</v>
      </c>
      <c r="Z26" s="35">
        <f>QUARTILE(K26:V26,1)</f>
        <v>50.28069835539263</v>
      </c>
      <c r="AA26" s="36">
        <f>MEDIAN(K26:V26)</f>
        <v>51.811709757518486</v>
      </c>
      <c r="AB26" s="35">
        <f>QUARTILE(K26:V26,3)</f>
        <v>53.140888696160793</v>
      </c>
      <c r="AC26" s="35">
        <f>MAX(K26:V26)</f>
        <v>53.551944768286909</v>
      </c>
      <c r="AD26" s="35">
        <f>SKEW(K26:V26)</f>
        <v>-0.55147654791560663</v>
      </c>
      <c r="AE26" s="35">
        <f>KURT(K26:V26)</f>
        <v>-0.99107190424175062</v>
      </c>
    </row>
    <row r="27" spans="2:31" x14ac:dyDescent="0.2">
      <c r="B27" s="34">
        <f>[42]FormattedData!A64</f>
        <v>302</v>
      </c>
      <c r="C27" s="34" t="str">
        <f>VLOOKUP($B27,[42]TrtCodes!$B$11:I107,2)</f>
        <v>FTL</v>
      </c>
      <c r="D27" s="34">
        <f>VLOOKUP($B27,[42]TrtCodes!$B$11:J107,3)</f>
        <v>4</v>
      </c>
      <c r="E27" s="34">
        <f>VLOOKUP($B27,[42]TrtCodes!$B$11:K107,4)</f>
        <v>1</v>
      </c>
      <c r="F27" s="34">
        <f>VLOOKUP($B27,[42]TrtCodes!$B$11:L107,5)</f>
        <v>2</v>
      </c>
      <c r="G27" s="34">
        <f>VLOOKUP($B27,[42]TrtCodes!$B$11:M107,6)</f>
        <v>1</v>
      </c>
      <c r="H27" s="34">
        <f>VLOOKUP($B27,[42]TrtCodes!$B$11:N107,7)</f>
        <v>3</v>
      </c>
      <c r="I27" s="34">
        <f>[42]FormattedData!B64</f>
        <v>1</v>
      </c>
      <c r="J27" s="37">
        <f>[42]FormattedData!C64</f>
        <v>13.281000000000001</v>
      </c>
      <c r="K27" s="39">
        <f>$J$3+[42]FormattedData!D64*$J$4+$M$4*$J$5+[42]FormattedData!D64^2*$J$6+$M$5*$J$7</f>
        <v>52.337685873653847</v>
      </c>
      <c r="L27" s="39">
        <f>$J$3+[42]FormattedData!E64*$J$4+$M$4*$J$5+[42]FormattedData!E64^2*$J$6+$M$5*$J$7</f>
        <v>53.897354213673701</v>
      </c>
      <c r="M27" s="39">
        <f>$J$3+[42]FormattedData!F64*$J$4+$M$4*$J$5+[42]FormattedData!F64^2*$J$6+$M$5*$J$7</f>
        <v>53.551944768286909</v>
      </c>
      <c r="N27" s="39">
        <f>$J$3+[42]FormattedData!G64*$J$4+$M$4*$J$5+[42]FormattedData!G64^2*$J$6+$M$5*$J$7</f>
        <v>50.148760506710509</v>
      </c>
      <c r="O27" s="39">
        <f>$J$3+[42]FormattedData!H64*$J$4+$M$4*$J$5+[42]FormattedData!H64^2*$J$6+$M$5*$J$7</f>
        <v>52.598581639093943</v>
      </c>
      <c r="P27" s="39">
        <f>$J$3+[42]FormattedData!I64*$J$4+$M$4*$J$5+[42]FormattedData!I64^2*$J$6+$M$5*$J$7</f>
        <v>47.129426664122647</v>
      </c>
      <c r="Q27" s="39">
        <f>$J$3+[42]FormattedData!J64*$J$4+$M$4*$J$5+[42]FormattedData!J64^2*$J$6+$M$5*$J$7</f>
        <v>53.292443864598553</v>
      </c>
      <c r="R27" s="39">
        <f>$J$3+[42]FormattedData!K64*$J$4+$M$4*$J$5+[42]FormattedData!K64^2*$J$6+$M$5*$J$7</f>
        <v>47.665800840589071</v>
      </c>
      <c r="S27" s="39">
        <f>$J$3+[42]FormattedData!L64*$J$4+$M$4*$J$5+[42]FormattedData!L64^2*$J$6+$M$5*$J$7</f>
        <v>52.685462357164774</v>
      </c>
      <c r="T27" s="39">
        <f>$J$3+[42]FormattedData!M64*$J$4+$M$4*$J$5+[42]FormattedData!M64^2*$J$6+$M$5*$J$7</f>
        <v>46.860668950627357</v>
      </c>
      <c r="U27" s="39">
        <f>$J$3+[42]FormattedData!N64*$J$4+$M$4*$J$5+[42]FormattedData!N64^2*$J$6+$M$5*$J$7</f>
        <v>53.292443864598553</v>
      </c>
      <c r="V27" s="39">
        <f>$J$3+[42]FormattedData!O64*$J$4+$M$4*$J$5+[42]FormattedData!O64^2*$J$6+$M$5*$J$7</f>
        <v>50.676511901438985</v>
      </c>
      <c r="W27" s="38">
        <f>AVERAGE(K27:V27)</f>
        <v>51.178090453713246</v>
      </c>
      <c r="X27" s="37">
        <f>STDEV(K27:V27)/SQRT(COUNT(K27:V27))</f>
        <v>0.76020468547061137</v>
      </c>
      <c r="Y27" s="36">
        <f>MIN(K27:V27)</f>
        <v>46.860668950627357</v>
      </c>
      <c r="Z27" s="35">
        <f>QUARTILE(K27:V27,1)</f>
        <v>49.528020590180148</v>
      </c>
      <c r="AA27" s="36">
        <f>MEDIAN(K27:V27)</f>
        <v>52.468133756373895</v>
      </c>
      <c r="AB27" s="35">
        <f>QUARTILE(K27:V27,3)</f>
        <v>53.292443864598553</v>
      </c>
      <c r="AC27" s="35">
        <f>MAX(K27:V27)</f>
        <v>53.897354213673701</v>
      </c>
      <c r="AD27" s="35">
        <f>SKEW(K27:V27)</f>
        <v>-0.78340190164684587</v>
      </c>
      <c r="AE27" s="35">
        <f>KURT(K27:V27)</f>
        <v>-1.0617356800711697</v>
      </c>
    </row>
    <row r="28" spans="2:31" x14ac:dyDescent="0.2">
      <c r="B28" s="34">
        <f>[42]FormattedData!A66</f>
        <v>303</v>
      </c>
      <c r="C28" s="34" t="str">
        <f>VLOOKUP($B28,[42]TrtCodes!$B$11:I109,2)</f>
        <v>NSL</v>
      </c>
      <c r="D28" s="34">
        <f>VLOOKUP($B28,[42]TrtCodes!$B$11:J109,3)</f>
        <v>8</v>
      </c>
      <c r="E28" s="34">
        <f>VLOOKUP($B28,[42]TrtCodes!$B$11:K109,4)</f>
        <v>2</v>
      </c>
      <c r="F28" s="34">
        <f>VLOOKUP($B28,[42]TrtCodes!$B$11:L109,5)</f>
        <v>1</v>
      </c>
      <c r="G28" s="34">
        <f>VLOOKUP($B28,[42]TrtCodes!$B$11:M109,6)</f>
        <v>1</v>
      </c>
      <c r="H28" s="34">
        <f>VLOOKUP($B28,[42]TrtCodes!$B$11:N109,7)</f>
        <v>3</v>
      </c>
      <c r="I28" s="34">
        <f>[42]FormattedData!B66</f>
        <v>1</v>
      </c>
      <c r="J28" s="37">
        <f>[42]FormattedData!C66</f>
        <v>13.295999999999999</v>
      </c>
      <c r="K28" s="39">
        <f>$J$3+[42]FormattedData!D66*$J$4+$M$4*$J$5+[42]FormattedData!D66^2*$J$6+$M$5*$J$7</f>
        <v>51.465285867221354</v>
      </c>
      <c r="L28" s="39">
        <f>$J$3+[42]FormattedData!E66*$J$4+$M$4*$J$5+[42]FormattedData!E66^2*$J$6+$M$5*$J$7</f>
        <v>52.598581639093943</v>
      </c>
      <c r="M28" s="39">
        <f>$J$3+[42]FormattedData!F66*$J$4+$M$4*$J$5+[42]FormattedData!F66^2*$J$6+$M$5*$J$7</f>
        <v>52.163544020670805</v>
      </c>
      <c r="N28" s="39">
        <f>$J$3+[42]FormattedData!G66*$J$4+$M$4*$J$5+[42]FormattedData!G66^2*$J$6+$M$5*$J$7</f>
        <v>50.676511901438985</v>
      </c>
      <c r="O28" s="39">
        <f>$J$3+[42]FormattedData!H66*$J$4+$M$4*$J$5+[42]FormattedData!H66^2*$J$6+$M$5*$J$7</f>
        <v>51.814753092249518</v>
      </c>
      <c r="P28" s="39">
        <f>$J$3+[42]FormattedData!I66*$J$4+$M$4*$J$5+[42]FormattedData!I66^2*$J$6+$M$5*$J$7</f>
        <v>49.088692715157002</v>
      </c>
      <c r="Q28" s="39">
        <f>$J$3+[42]FormattedData!J66*$J$4+$M$4*$J$5+[42]FormattedData!J66^2*$J$6+$M$5*$J$7</f>
        <v>52.076409691372376</v>
      </c>
      <c r="R28" s="39">
        <f>$J$3+[42]FormattedData!K66*$J$4+$M$4*$J$5+[42]FormattedData!K66^2*$J$6+$M$5*$J$7</f>
        <v>48.733984191425364</v>
      </c>
      <c r="S28" s="39">
        <f>$J$3+[42]FormattedData!L66*$J$4+$M$4*$J$5+[42]FormattedData!L66^2*$J$6+$M$5*$J$7</f>
        <v>52.076409691372376</v>
      </c>
      <c r="T28" s="39">
        <f>$J$3+[42]FormattedData!M66*$J$4+$M$4*$J$5+[42]FormattedData!M66^2*$J$6+$M$5*$J$7</f>
        <v>53.551944768286909</v>
      </c>
      <c r="U28" s="39">
        <f>$J$3+[42]FormattedData!N66*$J$4+$M$4*$J$5+[42]FormattedData!N66^2*$J$6+$M$5*$J$7</f>
        <v>51.377813389619476</v>
      </c>
      <c r="V28" s="39">
        <f>$J$3+[42]FormattedData!O66*$J$4+$M$4*$J$5+[42]FormattedData!O66^2*$J$6+$M$5*$J$7</f>
        <v>49.619487444616517</v>
      </c>
      <c r="W28" s="38">
        <f>AVERAGE(K28:V28)</f>
        <v>51.270284867710387</v>
      </c>
      <c r="X28" s="37">
        <f>STDEV(K28:V28)/SQRT(COUNT(K28:V28))</f>
        <v>0.42358344961787897</v>
      </c>
      <c r="Y28" s="36">
        <f>MIN(K28:V28)</f>
        <v>48.733984191425364</v>
      </c>
      <c r="Z28" s="35">
        <f>QUARTILE(K28:V28,1)</f>
        <v>50.41225578723337</v>
      </c>
      <c r="AA28" s="36">
        <f>MEDIAN(K28:V28)</f>
        <v>51.640019479735436</v>
      </c>
      <c r="AB28" s="35">
        <f>QUARTILE(K28:V28,3)</f>
        <v>52.098193273696985</v>
      </c>
      <c r="AC28" s="35">
        <f>MAX(K28:V28)</f>
        <v>53.551944768286909</v>
      </c>
      <c r="AD28" s="35">
        <f>SKEW(K28:V28)</f>
        <v>-0.52672892595539411</v>
      </c>
      <c r="AE28" s="35">
        <f>KURT(K28:V28)</f>
        <v>-0.51965910747305122</v>
      </c>
    </row>
    <row r="29" spans="2:31" x14ac:dyDescent="0.2">
      <c r="B29" s="34">
        <f>[42]FormattedData!A68</f>
        <v>304</v>
      </c>
      <c r="C29" s="34" t="str">
        <f>VLOOKUP($B29,[42]TrtCodes!$B$11:I111,2)</f>
        <v>FSL</v>
      </c>
      <c r="D29" s="34">
        <f>VLOOKUP($B29,[42]TrtCodes!$B$11:J111,3)</f>
        <v>2</v>
      </c>
      <c r="E29" s="34">
        <f>VLOOKUP($B29,[42]TrtCodes!$B$11:K111,4)</f>
        <v>1</v>
      </c>
      <c r="F29" s="34">
        <f>VLOOKUP($B29,[42]TrtCodes!$B$11:L111,5)</f>
        <v>1</v>
      </c>
      <c r="G29" s="34">
        <f>VLOOKUP($B29,[42]TrtCodes!$B$11:M111,6)</f>
        <v>1</v>
      </c>
      <c r="H29" s="34">
        <f>VLOOKUP($B29,[42]TrtCodes!$B$11:N111,7)</f>
        <v>3</v>
      </c>
      <c r="I29" s="34">
        <f>[42]FormattedData!B68</f>
        <v>1</v>
      </c>
      <c r="J29" s="37">
        <f>[42]FormattedData!C68</f>
        <v>13.311999999999999</v>
      </c>
      <c r="K29" s="39">
        <f>$J$3+[42]FormattedData!D68*$J$4+$M$4*$J$5+[42]FormattedData!D68^2*$J$6+$M$5*$J$7</f>
        <v>53.811065255133897</v>
      </c>
      <c r="L29" s="39">
        <f>$J$3+[42]FormattedData!E68*$J$4+$M$4*$J$5+[42]FormattedData!E68^2*$J$6+$M$5*$J$7</f>
        <v>53.11923191944998</v>
      </c>
      <c r="M29" s="39">
        <f>$J$3+[42]FormattedData!F68*$J$4+$M$4*$J$5+[42]FormattedData!F68^2*$J$6+$M$5*$J$7</f>
        <v>52.772300806697679</v>
      </c>
      <c r="N29" s="39">
        <f>$J$3+[42]FormattedData!G68*$J$4+$M$4*$J$5+[42]FormattedData!G68^2*$J$6+$M$5*$J$7</f>
        <v>52.337685873653847</v>
      </c>
      <c r="O29" s="39">
        <f>$J$3+[42]FormattedData!H68*$J$4+$M$4*$J$5+[42]FormattedData!H68^2*$J$6+$M$5*$J$7</f>
        <v>52.859096987692659</v>
      </c>
      <c r="P29" s="39">
        <f>$J$3+[42]FormattedData!I68*$J$4+$M$4*$J$5+[42]FormattedData!I68^2*$J$6+$M$5*$J$7</f>
        <v>53.551944768286909</v>
      </c>
      <c r="Q29" s="39">
        <f>$J$3+[42]FormattedData!J68*$J$4+$M$4*$J$5+[42]FormattedData!J68^2*$J$6+$M$5*$J$7</f>
        <v>53.551944768286909</v>
      </c>
      <c r="R29" s="39">
        <f>$J$3+[42]FormattedData!K68*$J$4+$M$4*$J$5+[42]FormattedData!K68^2*$J$6+$M$5*$J$7</f>
        <v>49.707805292977007</v>
      </c>
      <c r="S29" s="39">
        <f>$J$3+[42]FormattedData!L68*$J$4+$M$4*$J$5+[42]FormattedData!L68^2*$J$6+$M$5*$J$7</f>
        <v>52.859096987692659</v>
      </c>
      <c r="T29" s="39">
        <f>$J$3+[42]FormattedData!M68*$J$4+$M$4*$J$5+[42]FormattedData!M68^2*$J$6+$M$5*$J$7</f>
        <v>51.377813389619476</v>
      </c>
      <c r="U29" s="39">
        <f>$J$3+[42]FormattedData!N68*$J$4+$M$4*$J$5+[42]FormattedData!N68^2*$J$6+$M$5*$J$7</f>
        <v>52.598581639093943</v>
      </c>
      <c r="V29" s="39">
        <f>$J$3+[42]FormattedData!O68*$J$4+$M$4*$J$5+[42]FormattedData!O68^2*$J$6+$M$5*$J$7</f>
        <v>55.699658310747388</v>
      </c>
      <c r="W29" s="38">
        <f>AVERAGE(K29:V29)</f>
        <v>52.853852166611027</v>
      </c>
      <c r="X29" s="37">
        <f>STDEV(K29:V29)/SQRT(COUNT(K29:V29))</f>
        <v>0.41262794350229348</v>
      </c>
      <c r="Y29" s="36">
        <f>MIN(K29:V29)</f>
        <v>49.707805292977007</v>
      </c>
      <c r="Z29" s="35">
        <f>QUARTILE(K29:V29,1)</f>
        <v>52.533357697733919</v>
      </c>
      <c r="AA29" s="36">
        <f>MEDIAN(K29:V29)</f>
        <v>52.859096987692659</v>
      </c>
      <c r="AB29" s="35">
        <f>QUARTILE(K29:V29,3)</f>
        <v>53.551944768286909</v>
      </c>
      <c r="AC29" s="35">
        <f>MAX(K29:V29)</f>
        <v>55.699658310747388</v>
      </c>
      <c r="AD29" s="35">
        <f>SKEW(K29:V29)</f>
        <v>-0.36927150174436052</v>
      </c>
      <c r="AE29" s="35">
        <f>KURT(K29:V29)</f>
        <v>2.3721645265083993</v>
      </c>
    </row>
    <row r="30" spans="2:31" x14ac:dyDescent="0.2">
      <c r="B30" s="34">
        <f>[42]FormattedData!A70</f>
        <v>305</v>
      </c>
      <c r="C30" s="34" t="str">
        <f>VLOOKUP($B30,[42]TrtCodes!$B$11:I113,2)</f>
        <v>NDH</v>
      </c>
      <c r="D30" s="34">
        <f>VLOOKUP($B30,[42]TrtCodes!$B$11:J113,3)</f>
        <v>11</v>
      </c>
      <c r="E30" s="34">
        <f>VLOOKUP($B30,[42]TrtCodes!$B$11:K113,4)</f>
        <v>2</v>
      </c>
      <c r="F30" s="34">
        <f>VLOOKUP($B30,[42]TrtCodes!$B$11:L113,5)</f>
        <v>3</v>
      </c>
      <c r="G30" s="34">
        <f>VLOOKUP($B30,[42]TrtCodes!$B$11:M113,6)</f>
        <v>2</v>
      </c>
      <c r="H30" s="34">
        <f>VLOOKUP($B30,[42]TrtCodes!$B$11:N113,7)</f>
        <v>4</v>
      </c>
      <c r="I30" s="34">
        <f>[42]FormattedData!B70</f>
        <v>1</v>
      </c>
      <c r="J30" s="37">
        <f>[42]FormattedData!C70</f>
        <v>13.327999999999999</v>
      </c>
      <c r="K30" s="39">
        <f>$J$3+[42]FormattedData!D70*$J$4+$M$4*$J$5+[42]FormattedData!D70^2*$J$6+$M$5*$J$7</f>
        <v>52.945850900149694</v>
      </c>
      <c r="L30" s="39">
        <f>$J$3+[42]FormattedData!E70*$J$4+$M$4*$J$5+[42]FormattedData!E70^2*$J$6+$M$5*$J$7</f>
        <v>48.378599371086828</v>
      </c>
      <c r="M30" s="39">
        <f>$J$3+[42]FormattedData!F70*$J$4+$M$4*$J$5+[42]FormattedData!F70^2*$J$6+$M$5*$J$7</f>
        <v>55.357799422546819</v>
      </c>
      <c r="N30" s="39">
        <f>$J$3+[42]FormattedData!G70*$J$4+$M$4*$J$5+[42]FormattedData!G70^2*$J$6+$M$5*$J$7</f>
        <v>50.939816973541156</v>
      </c>
      <c r="O30" s="39">
        <f>$J$3+[42]FormattedData!H70*$J$4+$M$4*$J$5+[42]FormattedData!H70^2*$J$6+$M$5*$J$7</f>
        <v>54.843743034108037</v>
      </c>
      <c r="P30" s="39">
        <f>$J$3+[42]FormattedData!I70*$J$4+$M$4*$J$5+[42]FormattedData!I70^2*$J$6+$M$5*$J$7</f>
        <v>52.076409691372376</v>
      </c>
      <c r="Q30" s="39">
        <f>$J$3+[42]FormattedData!J70*$J$4+$M$4*$J$5+[42]FormattedData!J70^2*$J$6+$M$5*$J$7</f>
        <v>54.843743034108037</v>
      </c>
      <c r="R30" s="39">
        <f>$J$3+[42]FormattedData!K70*$J$4+$M$4*$J$5+[42]FormattedData!K70^2*$J$6+$M$5*$J$7</f>
        <v>46.142121898970963</v>
      </c>
      <c r="S30" s="39">
        <f>$J$3+[42]FormattedData!L70*$J$4+$M$4*$J$5+[42]FormattedData!L70^2*$J$6+$M$5*$J$7</f>
        <v>54.500193404390217</v>
      </c>
      <c r="T30" s="39">
        <f>$J$3+[42]FormattedData!M70*$J$4+$M$4*$J$5+[42]FormattedData!M70^2*$J$6+$M$5*$J$7</f>
        <v>49.088692715157002</v>
      </c>
      <c r="U30" s="39">
        <f>$J$3+[42]FormattedData!N70*$J$4+$M$4*$J$5+[42]FormattedData!N70^2*$J$6+$M$5*$J$7</f>
        <v>54.757919029485478</v>
      </c>
      <c r="V30" s="39">
        <f>$J$3+[42]FormattedData!O70*$J$4+$M$4*$J$5+[42]FormattedData!O70^2*$J$6+$M$5*$J$7</f>
        <v>47.57651081585616</v>
      </c>
      <c r="W30" s="38">
        <f>AVERAGE(K30:V30)</f>
        <v>51.787616690897728</v>
      </c>
      <c r="X30" s="37">
        <f>STDEV(K30:V30)/SQRT(COUNT(K30:V30))</f>
        <v>0.94652904871994459</v>
      </c>
      <c r="Y30" s="36">
        <f>MIN(K30:V30)</f>
        <v>46.142121898970963</v>
      </c>
      <c r="Z30" s="35">
        <f>QUARTILE(K30:V30,1)</f>
        <v>48.911169379139459</v>
      </c>
      <c r="AA30" s="36">
        <f>MEDIAN(K30:V30)</f>
        <v>52.511130295761035</v>
      </c>
      <c r="AB30" s="35">
        <f>QUARTILE(K30:V30,3)</f>
        <v>54.77937503064112</v>
      </c>
      <c r="AC30" s="35">
        <f>MAX(K30:V30)</f>
        <v>55.357799422546819</v>
      </c>
      <c r="AD30" s="35">
        <f>SKEW(K30:V30)</f>
        <v>-0.5080131290666644</v>
      </c>
      <c r="AE30" s="35">
        <f>KURT(K30:V30)</f>
        <v>-1.3208756797189158</v>
      </c>
    </row>
    <row r="31" spans="2:31" x14ac:dyDescent="0.2">
      <c r="B31" s="34">
        <f>[42]FormattedData!A72</f>
        <v>306</v>
      </c>
      <c r="C31" s="34" t="str">
        <f>VLOOKUP($B31,[42]TrtCodes!$B$11:I115,2)</f>
        <v>FTL</v>
      </c>
      <c r="D31" s="34">
        <f>VLOOKUP($B31,[42]TrtCodes!$B$11:J115,3)</f>
        <v>4</v>
      </c>
      <c r="E31" s="34">
        <f>VLOOKUP($B31,[42]TrtCodes!$B$11:K115,4)</f>
        <v>1</v>
      </c>
      <c r="F31" s="34">
        <f>VLOOKUP($B31,[42]TrtCodes!$B$11:L115,5)</f>
        <v>2</v>
      </c>
      <c r="G31" s="34">
        <f>VLOOKUP($B31,[42]TrtCodes!$B$11:M115,6)</f>
        <v>1</v>
      </c>
      <c r="H31" s="34">
        <f>VLOOKUP($B31,[42]TrtCodes!$B$11:N115,7)</f>
        <v>4</v>
      </c>
      <c r="I31" s="34">
        <f>[42]FormattedData!B72</f>
        <v>1</v>
      </c>
      <c r="J31" s="37">
        <f>[42]FormattedData!C72</f>
        <v>13.343</v>
      </c>
      <c r="K31" s="39">
        <f>$J$3+[42]FormattedData!D72*$J$4+$M$4*$J$5+[42]FormattedData!D72^2*$J$6+$M$5*$J$7</f>
        <v>50.676511901438985</v>
      </c>
      <c r="L31" s="39">
        <f>$J$3+[42]FormattedData!E72*$J$4+$M$4*$J$5+[42]FormattedData!E72^2*$J$6+$M$5*$J$7</f>
        <v>51.377813389619476</v>
      </c>
      <c r="M31" s="39">
        <f>$J$3+[42]FormattedData!F72*$J$4+$M$4*$J$5+[42]FormattedData!F72^2*$J$6+$M$5*$J$7</f>
        <v>52.772300806697679</v>
      </c>
      <c r="N31" s="39">
        <f>$J$3+[42]FormattedData!G72*$J$4+$M$4*$J$5+[42]FormattedData!G72^2*$J$6+$M$5*$J$7</f>
        <v>48.200653349689979</v>
      </c>
      <c r="O31" s="39">
        <f>$J$3+[42]FormattedData!H72*$J$4+$M$4*$J$5+[42]FormattedData!H72^2*$J$6+$M$5*$J$7</f>
        <v>53.292443864598553</v>
      </c>
      <c r="P31" s="39">
        <f>$J$3+[42]FormattedData!I72*$J$4+$M$4*$J$5+[42]FormattedData!I72^2*$J$6+$M$5*$J$7</f>
        <v>46.322012273112648</v>
      </c>
      <c r="Q31" s="39">
        <f>$J$3+[42]FormattedData!J72*$J$4+$M$4*$J$5+[42]FormattedData!J72^2*$J$6+$M$5*$J$7</f>
        <v>53.292443864598553</v>
      </c>
      <c r="R31" s="39">
        <f>$J$3+[42]FormattedData!K72*$J$4+$M$4*$J$5+[42]FormattedData!K72^2*$J$6+$M$5*$J$7</f>
        <v>43.605903875056285</v>
      </c>
      <c r="S31" s="39">
        <f>$J$3+[42]FormattedData!L72*$J$4+$M$4*$J$5+[42]FormattedData!L72^2*$J$6+$M$5*$J$7</f>
        <v>52.250636081431288</v>
      </c>
      <c r="T31" s="39">
        <f>$J$3+[42]FormattedData!M72*$J$4+$M$4*$J$5+[42]FormattedData!M72^2*$J$6+$M$5*$J$7</f>
        <v>47.487178522585317</v>
      </c>
      <c r="U31" s="39">
        <f>$J$3+[42]FormattedData!N72*$J$4+$M$4*$J$5+[42]FormattedData!N72^2*$J$6+$M$5*$J$7</f>
        <v>52.250636081431288</v>
      </c>
      <c r="V31" s="39">
        <f>$J$3+[42]FormattedData!O72*$J$4+$M$4*$J$5+[42]FormattedData!O72^2*$J$6+$M$5*$J$7</f>
        <v>49.088692715157002</v>
      </c>
      <c r="W31" s="38">
        <f>AVERAGE(K31:V31)</f>
        <v>50.051435560451431</v>
      </c>
      <c r="X31" s="37">
        <f>STDEV(K31:V31)/SQRT(COUNT(K31:V31))</f>
        <v>0.89871752599366572</v>
      </c>
      <c r="Y31" s="36">
        <f>MIN(K31:V31)</f>
        <v>43.605903875056285</v>
      </c>
      <c r="Z31" s="35">
        <f>QUARTILE(K31:V31,1)</f>
        <v>48.022284642913817</v>
      </c>
      <c r="AA31" s="36">
        <f>MEDIAN(K31:V31)</f>
        <v>51.027162645529231</v>
      </c>
      <c r="AB31" s="35">
        <f>QUARTILE(K31:V31,3)</f>
        <v>52.381052262747886</v>
      </c>
      <c r="AC31" s="35">
        <f>MAX(K31:V31)</f>
        <v>53.292443864598553</v>
      </c>
      <c r="AD31" s="35">
        <f>SKEW(K31:V31)</f>
        <v>-0.83753146106907717</v>
      </c>
      <c r="AE31" s="35">
        <f>KURT(K31:V31)</f>
        <v>-0.17405280280291846</v>
      </c>
    </row>
    <row r="32" spans="2:31" x14ac:dyDescent="0.2">
      <c r="B32" s="34">
        <f>[42]FormattedData!A74</f>
        <v>307</v>
      </c>
      <c r="C32" s="34" t="str">
        <f>VLOOKUP($B32,[42]TrtCodes!$B$11:I117,2)</f>
        <v>NTH</v>
      </c>
      <c r="D32" s="34">
        <f>VLOOKUP($B32,[42]TrtCodes!$B$11:J117,3)</f>
        <v>9</v>
      </c>
      <c r="E32" s="34">
        <f>VLOOKUP($B32,[42]TrtCodes!$B$11:K117,4)</f>
        <v>2</v>
      </c>
      <c r="F32" s="34">
        <f>VLOOKUP($B32,[42]TrtCodes!$B$11:L117,5)</f>
        <v>2</v>
      </c>
      <c r="G32" s="34">
        <f>VLOOKUP($B32,[42]TrtCodes!$B$11:M117,6)</f>
        <v>2</v>
      </c>
      <c r="H32" s="34">
        <f>VLOOKUP($B32,[42]TrtCodes!$B$11:N117,7)</f>
        <v>4</v>
      </c>
      <c r="I32" s="34">
        <f>[42]FormattedData!B74</f>
        <v>1</v>
      </c>
      <c r="J32" s="37">
        <f>[42]FormattedData!C74</f>
        <v>13.358000000000001</v>
      </c>
      <c r="K32" s="39">
        <f>$J$3+[42]FormattedData!D74*$J$4+$M$4*$J$5+[42]FormattedData!D74^2*$J$6+$M$5*$J$7</f>
        <v>51.989233093536022</v>
      </c>
      <c r="L32" s="39">
        <f>$J$3+[42]FormattedData!E74*$J$4+$M$4*$J$5+[42]FormattedData!E74^2*$J$6+$M$5*$J$7</f>
        <v>53.205859026293233</v>
      </c>
      <c r="M32" s="39">
        <f>$J$3+[42]FormattedData!F74*$J$4+$M$4*$J$5+[42]FormattedData!F74^2*$J$6+$M$5*$J$7</f>
        <v>53.11923191944998</v>
      </c>
      <c r="N32" s="39">
        <f>$J$3+[42]FormattedData!G74*$J$4+$M$4*$J$5+[42]FormattedData!G74^2*$J$6+$M$5*$J$7</f>
        <v>46.501733573102605</v>
      </c>
      <c r="O32" s="39">
        <f>$J$3+[42]FormattedData!H74*$J$4+$M$4*$J$5+[42]FormattedData!H74^2*$J$6+$M$5*$J$7</f>
        <v>53.551944768286909</v>
      </c>
      <c r="P32" s="39">
        <f>$J$3+[42]FormattedData!I74*$J$4+$M$4*$J$5+[42]FormattedData!I74^2*$J$6+$M$5*$J$7</f>
        <v>49.884314184084211</v>
      </c>
      <c r="Q32" s="39">
        <f>$J$3+[42]FormattedData!J74*$J$4+$M$4*$J$5+[42]FormattedData!J74^2*$J$6+$M$5*$J$7</f>
        <v>53.378986434365935</v>
      </c>
      <c r="R32" s="39">
        <f>$J$3+[42]FormattedData!K74*$J$4+$M$4*$J$5+[42]FormattedData!K74^2*$J$6+$M$5*$J$7</f>
        <v>45.330522922705782</v>
      </c>
      <c r="S32" s="39">
        <f>$J$3+[42]FormattedData!L74*$J$4+$M$4*$J$5+[42]FormattedData!L74^2*$J$6+$M$5*$J$7</f>
        <v>54.069805325139505</v>
      </c>
      <c r="T32" s="39">
        <f>$J$3+[42]FormattedData!M74*$J$4+$M$4*$J$5+[42]FormattedData!M74^2*$J$6+$M$5*$J$7</f>
        <v>45.149702640729608</v>
      </c>
      <c r="U32" s="39">
        <f>$J$3+[42]FormattedData!N74*$J$4+$M$4*$J$5+[42]FormattedData!N74^2*$J$6+$M$5*$J$7</f>
        <v>52.511658652485174</v>
      </c>
      <c r="V32" s="39">
        <f>$J$3+[42]FormattedData!O74*$J$4+$M$4*$J$5+[42]FormattedData!O74^2*$J$6+$M$5*$J$7</f>
        <v>47.487178522585317</v>
      </c>
      <c r="W32" s="38">
        <f>AVERAGE(K32:V32)</f>
        <v>50.515014255230348</v>
      </c>
      <c r="X32" s="37">
        <f>STDEV(K32:V32)/SQRT(COUNT(K32:V32))</f>
        <v>0.99841480845692154</v>
      </c>
      <c r="Y32" s="36">
        <f>MIN(K32:V32)</f>
        <v>45.149702640729608</v>
      </c>
      <c r="Z32" s="35">
        <f>QUARTILE(K32:V32,1)</f>
        <v>47.240817285214639</v>
      </c>
      <c r="AA32" s="36">
        <f>MEDIAN(K32:V32)</f>
        <v>52.250445873010598</v>
      </c>
      <c r="AB32" s="35">
        <f>QUARTILE(K32:V32,3)</f>
        <v>53.249140878311408</v>
      </c>
      <c r="AC32" s="35">
        <f>MAX(K32:V32)</f>
        <v>54.069805325139505</v>
      </c>
      <c r="AD32" s="35">
        <f>SKEW(K32:V32)</f>
        <v>-0.63738147364804121</v>
      </c>
      <c r="AE32" s="35">
        <f>KURT(K32:V32)</f>
        <v>-1.4720320694573306</v>
      </c>
    </row>
    <row r="33" spans="2:31" x14ac:dyDescent="0.2">
      <c r="B33" s="34">
        <f>[42]FormattedData!A76</f>
        <v>308</v>
      </c>
      <c r="C33" s="34" t="str">
        <f>VLOOKUP($B33,[42]TrtCodes!$B$11:I119,2)</f>
        <v>FDH</v>
      </c>
      <c r="D33" s="34">
        <f>VLOOKUP($B33,[42]TrtCodes!$B$11:J119,3)</f>
        <v>5</v>
      </c>
      <c r="E33" s="34">
        <f>VLOOKUP($B33,[42]TrtCodes!$B$11:K119,4)</f>
        <v>1</v>
      </c>
      <c r="F33" s="34">
        <f>VLOOKUP($B33,[42]TrtCodes!$B$11:L119,5)</f>
        <v>3</v>
      </c>
      <c r="G33" s="34">
        <f>VLOOKUP($B33,[42]TrtCodes!$B$11:M119,6)</f>
        <v>2</v>
      </c>
      <c r="H33" s="34">
        <f>VLOOKUP($B33,[42]TrtCodes!$B$11:N119,7)</f>
        <v>4</v>
      </c>
      <c r="I33" s="34">
        <f>[42]FormattedData!B76</f>
        <v>1</v>
      </c>
      <c r="J33" s="37">
        <f>[42]FormattedData!C76</f>
        <v>13.375</v>
      </c>
      <c r="K33" s="39">
        <f>$J$3+[42]FormattedData!D76*$J$4+$M$4*$J$5+[42]FormattedData!D76^2*$J$6+$M$5*$J$7</f>
        <v>47.933417303560212</v>
      </c>
      <c r="L33" s="39">
        <f>$J$3+[42]FormattedData!E76*$J$4+$M$4*$J$5+[42]FormattedData!E76^2*$J$6+$M$5*$J$7</f>
        <v>50.588659006995734</v>
      </c>
      <c r="M33" s="39">
        <f>$J$3+[42]FormattedData!F76*$J$4+$M$4*$J$5+[42]FormattedData!F76^2*$J$6+$M$5*$J$7</f>
        <v>52.076409691372376</v>
      </c>
      <c r="N33" s="39">
        <f>$J$3+[42]FormattedData!G76*$J$4+$M$4*$J$5+[42]FormattedData!G76^2*$J$6+$M$5*$J$7</f>
        <v>46.4118940573766</v>
      </c>
      <c r="O33" s="39">
        <f>$J$3+[42]FormattedData!H76*$J$4+$M$4*$J$5+[42]FormattedData!H76^2*$J$6+$M$5*$J$7</f>
        <v>53.11923191944998</v>
      </c>
      <c r="P33" s="39">
        <f>$J$3+[42]FormattedData!I76*$J$4+$M$4*$J$5+[42]FormattedData!I76^2*$J$6+$M$5*$J$7</f>
        <v>50.060654001039673</v>
      </c>
      <c r="Q33" s="39">
        <f>$J$3+[42]FormattedData!J76*$J$4+$M$4*$J$5+[42]FormattedData!J76^2*$J$6+$M$5*$J$7</f>
        <v>51.115142345586278</v>
      </c>
      <c r="R33" s="39">
        <f>$J$3+[42]FormattedData!K76*$J$4+$M$4*$J$5+[42]FormattedData!K76^2*$J$6+$M$5*$J$7</f>
        <v>50.060654001039673</v>
      </c>
      <c r="S33" s="39">
        <f>$J$3+[42]FormattedData!L76*$J$4+$M$4*$J$5+[42]FormattedData!L76^2*$J$6+$M$5*$J$7</f>
        <v>55.015264237739359</v>
      </c>
      <c r="T33" s="39">
        <f>$J$3+[42]FormattedData!M76*$J$4+$M$4*$J$5+[42]FormattedData!M76^2*$J$6+$M$5*$J$7</f>
        <v>46.232088220310764</v>
      </c>
      <c r="U33" s="39">
        <f>$J$3+[42]FormattedData!N76*$J$4+$M$4*$J$5+[42]FormattedData!N76^2*$J$6+$M$5*$J$7</f>
        <v>54.328164978303732</v>
      </c>
      <c r="V33" s="39">
        <f>$J$3+[42]FormattedData!O76*$J$4+$M$4*$J$5+[42]FormattedData!O76^2*$J$6+$M$5*$J$7</f>
        <v>46.591530820290693</v>
      </c>
      <c r="W33" s="38">
        <f>AVERAGE(K33:V33)</f>
        <v>50.294425881922088</v>
      </c>
      <c r="X33" s="37">
        <f>STDEV(K33:V33)/SQRT(COUNT(K33:V33))</f>
        <v>0.87665100752177194</v>
      </c>
      <c r="Y33" s="36">
        <f>MIN(K33:V33)</f>
        <v>46.232088220310764</v>
      </c>
      <c r="Z33" s="35">
        <f>QUARTILE(K33:V33,1)</f>
        <v>47.597945682742832</v>
      </c>
      <c r="AA33" s="36">
        <f>MEDIAN(K33:V33)</f>
        <v>50.324656504017703</v>
      </c>
      <c r="AB33" s="35">
        <f>QUARTILE(K33:V33,3)</f>
        <v>52.337115248391775</v>
      </c>
      <c r="AC33" s="35">
        <f>MAX(K33:V33)</f>
        <v>55.015264237739359</v>
      </c>
      <c r="AD33" s="35">
        <f>SKEW(K33:V33)</f>
        <v>3.9332664096184432E-2</v>
      </c>
      <c r="AE33" s="35">
        <f>KURT(K33:V33)</f>
        <v>-1.1536018417654872</v>
      </c>
    </row>
    <row r="34" spans="2:31" x14ac:dyDescent="0.2">
      <c r="B34" s="34">
        <f>[42]FormattedData!A92</f>
        <v>401</v>
      </c>
      <c r="C34" s="34" t="str">
        <f>VLOOKUP($B34,[42]TrtCodes!$B$11:I129,2)</f>
        <v>NSH</v>
      </c>
      <c r="D34" s="34">
        <f>VLOOKUP($B34,[42]TrtCodes!$B$11:J129,3)</f>
        <v>7</v>
      </c>
      <c r="E34" s="34">
        <f>VLOOKUP($B34,[42]TrtCodes!$B$11:K129,4)</f>
        <v>2</v>
      </c>
      <c r="F34" s="34">
        <f>VLOOKUP($B34,[42]TrtCodes!$B$11:L129,5)</f>
        <v>1</v>
      </c>
      <c r="G34" s="34">
        <f>VLOOKUP($B34,[42]TrtCodes!$B$11:M129,6)</f>
        <v>2</v>
      </c>
      <c r="H34" s="34">
        <f>VLOOKUP($B34,[42]TrtCodes!$B$11:N129,7)</f>
        <v>3</v>
      </c>
      <c r="I34" s="34">
        <f>[42]FormattedData!B92</f>
        <v>1</v>
      </c>
      <c r="J34" s="37">
        <f>[42]FormattedData!C92</f>
        <v>13.516999999999999</v>
      </c>
      <c r="K34" s="39">
        <f>$J$3+[42]FormattedData!D92*$J$4+$M$4*$J$5+[42]FormattedData!D92^2*$J$6+$M$5*$J$7</f>
        <v>54.500193404390217</v>
      </c>
      <c r="L34" s="39">
        <f>$J$3+[42]FormattedData!E92*$J$4+$M$4*$J$5+[42]FormattedData!E92^2*$J$6+$M$5*$J$7</f>
        <v>54.414200325615944</v>
      </c>
      <c r="M34" s="39">
        <f>$J$3+[42]FormattedData!F92*$J$4+$M$4*$J$5+[42]FormattedData!F92^2*$J$6+$M$5*$J$7</f>
        <v>53.983600903675566</v>
      </c>
      <c r="N34" s="39">
        <f>$J$3+[42]FormattedData!G92*$J$4+$M$4*$J$5+[42]FormattedData!G92^2*$J$6+$M$5*$J$7</f>
        <v>52.772300806697679</v>
      </c>
      <c r="O34" s="39">
        <f>$J$3+[42]FormattedData!H92*$J$4+$M$4*$J$5+[42]FormattedData!H92^2*$J$6+$M$5*$J$7</f>
        <v>53.378986434365935</v>
      </c>
      <c r="P34" s="39">
        <f>$J$3+[42]FormattedData!I92*$J$4+$M$4*$J$5+[42]FormattedData!I92^2*$J$6+$M$5*$J$7</f>
        <v>55.100961436748122</v>
      </c>
      <c r="Q34" s="39">
        <f>$J$3+[42]FormattedData!J92*$J$4+$M$4*$J$5+[42]FormattedData!J92^2*$J$6+$M$5*$J$7</f>
        <v>53.897354213673701</v>
      </c>
      <c r="R34" s="39">
        <f>$J$3+[42]FormattedData!K92*$J$4+$M$4*$J$5+[42]FormattedData!K92^2*$J$6+$M$5*$J$7</f>
        <v>55.186616367218953</v>
      </c>
      <c r="S34" s="39">
        <f>$J$3+[42]FormattedData!L92*$J$4+$M$4*$J$5+[42]FormattedData!L92^2*$J$6+$M$5*$J$7</f>
        <v>53.724734028056176</v>
      </c>
      <c r="T34" s="39">
        <f>$J$3+[42]FormattedData!M92*$J$4+$M$4*$J$5+[42]FormattedData!M92^2*$J$6+$M$5*$J$7</f>
        <v>53.811065255133897</v>
      </c>
      <c r="U34" s="39">
        <f>$J$3+[42]FormattedData!N92*$J$4+$M$4*$J$5+[42]FormattedData!N92^2*$J$6+$M$5*$J$7</f>
        <v>53.11923191944998</v>
      </c>
      <c r="V34" s="39">
        <f>$J$3+[42]FormattedData!O92*$J$4+$M$4*$J$5+[42]FormattedData!O92^2*$J$6+$M$5*$J$7</f>
        <v>54.328164978303732</v>
      </c>
      <c r="W34" s="38">
        <f>AVERAGE(K34:V34)</f>
        <v>54.018117506110819</v>
      </c>
      <c r="X34" s="37">
        <f>STDEV(K34:V34)/SQRT(COUNT(K34:V34))</f>
        <v>0.21207152014974406</v>
      </c>
      <c r="Y34" s="36">
        <f>MIN(K34:V34)</f>
        <v>52.772300806697679</v>
      </c>
      <c r="Z34" s="35">
        <f>QUARTILE(K34:V34,1)</f>
        <v>53.638297129633614</v>
      </c>
      <c r="AA34" s="36">
        <f>MEDIAN(K34:V34)</f>
        <v>53.94047755867463</v>
      </c>
      <c r="AB34" s="35">
        <f>QUARTILE(K34:V34,3)</f>
        <v>54.43569859530951</v>
      </c>
      <c r="AC34" s="35">
        <f>MAX(K34:V34)</f>
        <v>55.186616367218953</v>
      </c>
      <c r="AD34" s="35">
        <f>SKEW(K34:V34)</f>
        <v>3.0881736881092317E-2</v>
      </c>
      <c r="AE34" s="35">
        <f>KURT(K34:V34)</f>
        <v>-0.48161567737237432</v>
      </c>
    </row>
    <row r="35" spans="2:31" x14ac:dyDescent="0.2">
      <c r="B35" s="34">
        <f>[42]FormattedData!A90</f>
        <v>402</v>
      </c>
      <c r="C35" s="34" t="str">
        <f>VLOOKUP($B35,[42]TrtCodes!$B$11:I130,2)</f>
        <v>NTH</v>
      </c>
      <c r="D35" s="34">
        <f>VLOOKUP($B35,[42]TrtCodes!$B$11:J130,3)</f>
        <v>9</v>
      </c>
      <c r="E35" s="34">
        <f>VLOOKUP($B35,[42]TrtCodes!$B$11:K130,4)</f>
        <v>2</v>
      </c>
      <c r="F35" s="34">
        <f>VLOOKUP($B35,[42]TrtCodes!$B$11:L130,5)</f>
        <v>2</v>
      </c>
      <c r="G35" s="34">
        <f>VLOOKUP($B35,[42]TrtCodes!$B$11:M130,6)</f>
        <v>2</v>
      </c>
      <c r="H35" s="34">
        <f>VLOOKUP($B35,[42]TrtCodes!$B$11:N130,7)</f>
        <v>3</v>
      </c>
      <c r="I35" s="34">
        <f>[42]FormattedData!B90</f>
        <v>1</v>
      </c>
      <c r="J35" s="37">
        <f>[42]FormattedData!C90</f>
        <v>13.500999999999999</v>
      </c>
      <c r="K35" s="39">
        <f>$J$3+[42]FormattedData!D90*$J$4+$M$4*$J$5+[42]FormattedData!D90^2*$J$6+$M$5*$J$7</f>
        <v>54.500193404390217</v>
      </c>
      <c r="L35" s="39">
        <f>$J$3+[42]FormattedData!E90*$J$4+$M$4*$J$5+[42]FormattedData!E90^2*$J$6+$M$5*$J$7</f>
        <v>53.811065255133897</v>
      </c>
      <c r="M35" s="39">
        <f>$J$3+[42]FormattedData!F90*$J$4+$M$4*$J$5+[42]FormattedData!F90^2*$J$6+$M$5*$J$7</f>
        <v>54.586144214626572</v>
      </c>
      <c r="N35" s="39">
        <f>$J$3+[42]FormattedData!G90*$J$4+$M$4*$J$5+[42]FormattedData!G90^2*$J$6+$M$5*$J$7</f>
        <v>53.378986434365935</v>
      </c>
      <c r="O35" s="39">
        <f>$J$3+[42]FormattedData!H90*$J$4+$M$4*$J$5+[42]FormattedData!H90^2*$J$6+$M$5*$J$7</f>
        <v>53.811065255133897</v>
      </c>
      <c r="P35" s="39">
        <f>$J$3+[42]FormattedData!I90*$J$4+$M$4*$J$5+[42]FormattedData!I90^2*$J$6+$M$5*$J$7</f>
        <v>51.552716076285286</v>
      </c>
      <c r="Q35" s="39">
        <f>$J$3+[42]FormattedData!J90*$J$4+$M$4*$J$5+[42]FormattedData!J90^2*$J$6+$M$5*$J$7</f>
        <v>53.292443864598553</v>
      </c>
      <c r="R35" s="39">
        <f>$J$3+[42]FormattedData!K90*$J$4+$M$4*$J$5+[42]FormattedData!K90^2*$J$6+$M$5*$J$7</f>
        <v>53.11923191944998</v>
      </c>
      <c r="S35" s="39">
        <f>$J$3+[42]FormattedData!L90*$J$4+$M$4*$J$5+[42]FormattedData!L90^2*$J$6+$M$5*$J$7</f>
        <v>53.11923191944998</v>
      </c>
      <c r="T35" s="39">
        <f>$J$3+[42]FormattedData!M90*$J$4+$M$4*$J$5+[42]FormattedData!M90^2*$J$6+$M$5*$J$7</f>
        <v>54.414200325615944</v>
      </c>
      <c r="U35" s="39">
        <f>$J$3+[42]FormattedData!N90*$J$4+$M$4*$J$5+[42]FormattedData!N90^2*$J$6+$M$5*$J$7</f>
        <v>53.205859026293233</v>
      </c>
      <c r="V35" s="39">
        <f>$J$3+[42]FormattedData!O90*$J$4+$M$4*$J$5+[42]FormattedData!O90^2*$J$6+$M$5*$J$7</f>
        <v>52.424693397338473</v>
      </c>
      <c r="W35" s="38">
        <f>AVERAGE(K35:V35)</f>
        <v>53.434652591056825</v>
      </c>
      <c r="X35" s="37">
        <f>STDEV(K35:V35)/SQRT(COUNT(K35:V35))</f>
        <v>0.25436415813519248</v>
      </c>
      <c r="Y35" s="36">
        <f>MIN(K35:V35)</f>
        <v>51.552716076285286</v>
      </c>
      <c r="Z35" s="35">
        <f>QUARTILE(K35:V35,1)</f>
        <v>53.11923191944998</v>
      </c>
      <c r="AA35" s="36">
        <f>MEDIAN(K35:V35)</f>
        <v>53.33571514948224</v>
      </c>
      <c r="AB35" s="35">
        <f>QUARTILE(K35:V35,3)</f>
        <v>53.961849022754407</v>
      </c>
      <c r="AC35" s="35">
        <f>MAX(K35:V35)</f>
        <v>54.586144214626572</v>
      </c>
      <c r="AD35" s="35">
        <f>SKEW(K35:V35)</f>
        <v>-0.63624826810284707</v>
      </c>
      <c r="AE35" s="35">
        <f>KURT(K35:V35)</f>
        <v>0.57118215382349113</v>
      </c>
    </row>
    <row r="36" spans="2:31" x14ac:dyDescent="0.2">
      <c r="B36" s="34">
        <f>[42]FormattedData!A88</f>
        <v>403</v>
      </c>
      <c r="C36" s="34" t="str">
        <f>VLOOKUP($B36,[42]TrtCodes!$B$11:I131,2)</f>
        <v>FDL</v>
      </c>
      <c r="D36" s="34">
        <f>VLOOKUP($B36,[42]TrtCodes!$B$11:J131,3)</f>
        <v>6</v>
      </c>
      <c r="E36" s="34">
        <f>VLOOKUP($B36,[42]TrtCodes!$B$11:K131,4)</f>
        <v>1</v>
      </c>
      <c r="F36" s="34">
        <f>VLOOKUP($B36,[42]TrtCodes!$B$11:L131,5)</f>
        <v>3</v>
      </c>
      <c r="G36" s="34">
        <f>VLOOKUP($B36,[42]TrtCodes!$B$11:M131,6)</f>
        <v>1</v>
      </c>
      <c r="H36" s="34">
        <f>VLOOKUP($B36,[42]TrtCodes!$B$11:N131,7)</f>
        <v>3</v>
      </c>
      <c r="I36" s="34">
        <f>[42]FormattedData!B88</f>
        <v>1</v>
      </c>
      <c r="J36" s="37">
        <f>[42]FormattedData!C88</f>
        <v>13.484999999999999</v>
      </c>
      <c r="K36" s="39">
        <f>$J$3+[42]FormattedData!D88*$J$4+$M$4*$J$5+[42]FormattedData!D88^2*$J$6+$M$5*$J$7</f>
        <v>53.811065255133897</v>
      </c>
      <c r="L36" s="39">
        <f>$J$3+[42]FormattedData!E88*$J$4+$M$4*$J$5+[42]FormattedData!E88^2*$J$6+$M$5*$J$7</f>
        <v>47.75504859678405</v>
      </c>
      <c r="M36" s="39">
        <f>$J$3+[42]FormattedData!F88*$J$4+$M$4*$J$5+[42]FormattedData!F88^2*$J$6+$M$5*$J$7</f>
        <v>53.378986434365935</v>
      </c>
      <c r="N36" s="39">
        <f>$J$3+[42]FormattedData!G88*$J$4+$M$4*$J$5+[42]FormattedData!G88^2*$J$6+$M$5*$J$7</f>
        <v>49.088692715157002</v>
      </c>
      <c r="O36" s="39">
        <f>$J$3+[42]FormattedData!H88*$J$4+$M$4*$J$5+[42]FormattedData!H88^2*$J$6+$M$5*$J$7</f>
        <v>53.638360532440508</v>
      </c>
      <c r="P36" s="39">
        <f>$J$3+[42]FormattedData!I88*$J$4+$M$4*$J$5+[42]FormattedData!I88^2*$J$6+$M$5*$J$7</f>
        <v>48.467508978978358</v>
      </c>
      <c r="Q36" s="39">
        <f>$J$3+[42]FormattedData!J88*$J$4+$M$4*$J$5+[42]FormattedData!J88^2*$J$6+$M$5*$J$7</f>
        <v>54.069805325139505</v>
      </c>
      <c r="R36" s="39">
        <f>$J$3+[42]FormattedData!K88*$J$4+$M$4*$J$5+[42]FormattedData!K88^2*$J$6+$M$5*$J$7</f>
        <v>49.707805292977007</v>
      </c>
      <c r="S36" s="39">
        <f>$J$3+[42]FormattedData!L88*$J$4+$M$4*$J$5+[42]FormattedData!L88^2*$J$6+$M$5*$J$7</f>
        <v>53.465486735595398</v>
      </c>
      <c r="T36" s="39">
        <f>$J$3+[42]FormattedData!M88*$J$4+$M$4*$J$5+[42]FormattedData!M88^2*$J$6+$M$5*$J$7</f>
        <v>50.148760506710509</v>
      </c>
      <c r="U36" s="39">
        <f>$J$3+[42]FormattedData!N88*$J$4+$M$4*$J$5+[42]FormattedData!N88^2*$J$6+$M$5*$J$7</f>
        <v>53.465486735595398</v>
      </c>
      <c r="V36" s="39">
        <f>$J$3+[42]FormattedData!O88*$J$4+$M$4*$J$5+[42]FormattedData!O88^2*$J$6+$M$5*$J$7</f>
        <v>53.11923191944998</v>
      </c>
      <c r="W36" s="38">
        <f>AVERAGE(K36:V36)</f>
        <v>51.67635325236062</v>
      </c>
      <c r="X36" s="37">
        <f>STDEV(K36:V36)/SQRT(COUNT(K36:V36))</f>
        <v>0.69683242225984388</v>
      </c>
      <c r="Y36" s="36">
        <f>MIN(K36:V36)</f>
        <v>47.75504859678405</v>
      </c>
      <c r="Z36" s="35">
        <f>QUARTILE(K36:V36,1)</f>
        <v>49.553027148522006</v>
      </c>
      <c r="AA36" s="36">
        <f>MEDIAN(K36:V36)</f>
        <v>53.249109176907957</v>
      </c>
      <c r="AB36" s="35">
        <f>QUARTILE(K36:V36,3)</f>
        <v>53.508705184806672</v>
      </c>
      <c r="AC36" s="35">
        <f>MAX(K36:V36)</f>
        <v>54.069805325139505</v>
      </c>
      <c r="AD36" s="35">
        <f>SKEW(K36:V36)</f>
        <v>-0.55432488237886191</v>
      </c>
      <c r="AE36" s="35">
        <f>KURT(K36:V36)</f>
        <v>-1.6692261571334366</v>
      </c>
    </row>
    <row r="37" spans="2:31" x14ac:dyDescent="0.2">
      <c r="B37" s="34">
        <f>[42]FormattedData!A86</f>
        <v>404</v>
      </c>
      <c r="C37" s="34" t="str">
        <f>VLOOKUP($B37,[42]TrtCodes!$B$11:I129,2)</f>
        <v>FTH</v>
      </c>
      <c r="D37" s="34">
        <f>VLOOKUP($B37,[42]TrtCodes!$B$11:J129,3)</f>
        <v>3</v>
      </c>
      <c r="E37" s="34">
        <f>VLOOKUP($B37,[42]TrtCodes!$B$11:K129,4)</f>
        <v>1</v>
      </c>
      <c r="F37" s="34">
        <f>VLOOKUP($B37,[42]TrtCodes!$B$11:L129,5)</f>
        <v>2</v>
      </c>
      <c r="G37" s="34">
        <f>VLOOKUP($B37,[42]TrtCodes!$B$11:M129,6)</f>
        <v>2</v>
      </c>
      <c r="H37" s="34">
        <f>VLOOKUP($B37,[42]TrtCodes!$B$11:N129,7)</f>
        <v>3</v>
      </c>
      <c r="I37" s="34">
        <f>[42]FormattedData!B86</f>
        <v>1</v>
      </c>
      <c r="J37" s="37">
        <f>[42]FormattedData!C86</f>
        <v>13.467000000000001</v>
      </c>
      <c r="K37" s="39">
        <f>$J$3+[42]FormattedData!D86*$J$4+$M$4*$J$5+[42]FormattedData!D86^2*$J$6+$M$5*$J$7</f>
        <v>53.205859026293233</v>
      </c>
      <c r="L37" s="39">
        <f>$J$3+[42]FormattedData!E86*$J$4+$M$4*$J$5+[42]FormattedData!E86^2*$J$6+$M$5*$J$7</f>
        <v>53.378986434365935</v>
      </c>
      <c r="M37" s="39">
        <f>$J$3+[42]FormattedData!F86*$J$4+$M$4*$J$5+[42]FormattedData!F86^2*$J$6+$M$5*$J$7</f>
        <v>53.378986434365935</v>
      </c>
      <c r="N37" s="39">
        <f>$J$3+[42]FormattedData!G86*$J$4+$M$4*$J$5+[42]FormattedData!G86^2*$J$6+$M$5*$J$7</f>
        <v>46.770998509053065</v>
      </c>
      <c r="O37" s="39">
        <f>$J$3+[42]FormattedData!H86*$J$4+$M$4*$J$5+[42]FormattedData!H86^2*$J$6+$M$5*$J$7</f>
        <v>53.638360532440508</v>
      </c>
      <c r="P37" s="39">
        <f>$J$3+[42]FormattedData!I86*$J$4+$M$4*$J$5+[42]FormattedData!I86^2*$J$6+$M$5*$J$7</f>
        <v>52.163544020670805</v>
      </c>
      <c r="Q37" s="39">
        <f>$J$3+[42]FormattedData!J86*$J$4+$M$4*$J$5+[42]FormattedData!J86^2*$J$6+$M$5*$J$7</f>
        <v>53.983600903675566</v>
      </c>
      <c r="R37" s="39">
        <f>$J$3+[42]FormattedData!K86*$J$4+$M$4*$J$5+[42]FormattedData!K86^2*$J$6+$M$5*$J$7</f>
        <v>45.149702640729608</v>
      </c>
      <c r="S37" s="39">
        <f>$J$3+[42]FormattedData!L86*$J$4+$M$4*$J$5+[42]FormattedData!L86^2*$J$6+$M$5*$J$7</f>
        <v>53.205859026293233</v>
      </c>
      <c r="T37" s="39">
        <f>$J$3+[42]FormattedData!M86*$J$4+$M$4*$J$5+[42]FormattedData!M86^2*$J$6+$M$5*$J$7</f>
        <v>55.357799422546819</v>
      </c>
      <c r="U37" s="39">
        <f>$J$3+[42]FormattedData!N86*$J$4+$M$4*$J$5+[42]FormattedData!N86^2*$J$6+$M$5*$J$7</f>
        <v>53.551944768286909</v>
      </c>
      <c r="V37" s="39">
        <f>$J$3+[42]FormattedData!O86*$J$4+$M$4*$J$5+[42]FormattedData!O86^2*$J$6+$M$5*$J$7</f>
        <v>53.983600903675566</v>
      </c>
      <c r="W37" s="38">
        <f>AVERAGE(K37:V37)</f>
        <v>52.314103551866431</v>
      </c>
      <c r="X37" s="37">
        <f>STDEV(K37:V37)/SQRT(COUNT(K37:V37))</f>
        <v>0.88788207165975908</v>
      </c>
      <c r="Y37" s="36">
        <f>MIN(K37:V37)</f>
        <v>45.149702640729608</v>
      </c>
      <c r="Z37" s="35">
        <f>QUARTILE(K37:V37,1)</f>
        <v>52.945280274887622</v>
      </c>
      <c r="AA37" s="36">
        <f>MEDIAN(K37:V37)</f>
        <v>53.378986434365935</v>
      </c>
      <c r="AB37" s="35">
        <f>QUARTILE(K37:V37,3)</f>
        <v>53.724670625249274</v>
      </c>
      <c r="AC37" s="35">
        <f>MAX(K37:V37)</f>
        <v>55.357799422546819</v>
      </c>
      <c r="AD37" s="35">
        <f>SKEW(K37:V37)</f>
        <v>-1.8465477543551008</v>
      </c>
      <c r="AE37" s="35">
        <f>KURT(K37:V37)</f>
        <v>2.4627890435223039</v>
      </c>
    </row>
    <row r="38" spans="2:31" x14ac:dyDescent="0.2">
      <c r="B38" s="34">
        <f>[42]FormattedData!A84</f>
        <v>405</v>
      </c>
      <c r="C38" s="34" t="str">
        <f>VLOOKUP($B38,[42]TrtCodes!$B$11:I127,2)</f>
        <v>FDL</v>
      </c>
      <c r="D38" s="34">
        <f>VLOOKUP($B38,[42]TrtCodes!$B$11:J127,3)</f>
        <v>6</v>
      </c>
      <c r="E38" s="34">
        <f>VLOOKUP($B38,[42]TrtCodes!$B$11:K127,4)</f>
        <v>1</v>
      </c>
      <c r="F38" s="34">
        <f>VLOOKUP($B38,[42]TrtCodes!$B$11:L127,5)</f>
        <v>3</v>
      </c>
      <c r="G38" s="34">
        <f>VLOOKUP($B38,[42]TrtCodes!$B$11:M127,6)</f>
        <v>1</v>
      </c>
      <c r="H38" s="34">
        <f>VLOOKUP($B38,[42]TrtCodes!$B$11:N127,7)</f>
        <v>4</v>
      </c>
      <c r="I38" s="34">
        <f>[42]FormattedData!B84</f>
        <v>1</v>
      </c>
      <c r="J38" s="37">
        <f>[42]FormattedData!C84</f>
        <v>13.451000000000001</v>
      </c>
      <c r="K38" s="39">
        <f>$J$3+[42]FormattedData!D84*$J$4+$M$4*$J$5+[42]FormattedData!D84^2*$J$6+$M$5*$J$7</f>
        <v>54.155967478065513</v>
      </c>
      <c r="L38" s="39">
        <f>$J$3+[42]FormattedData!E84*$J$4+$M$4*$J$5+[42]FormattedData!E84^2*$J$6+$M$5*$J$7</f>
        <v>49.972505226830904</v>
      </c>
      <c r="M38" s="39">
        <f>$J$3+[42]FormattedData!F84*$J$4+$M$4*$J$5+[42]FormattedData!F84^2*$J$6+$M$5*$J$7</f>
        <v>54.069805325139505</v>
      </c>
      <c r="N38" s="39">
        <f>$J$3+[42]FormattedData!G84*$J$4+$M$4*$J$5+[42]FormattedData!G84^2*$J$6+$M$5*$J$7</f>
        <v>49.177264174745076</v>
      </c>
      <c r="O38" s="39">
        <f>$J$3+[42]FormattedData!H84*$J$4+$M$4*$J$5+[42]FormattedData!H84^2*$J$6+$M$5*$J$7</f>
        <v>54.069805325139505</v>
      </c>
      <c r="P38" s="39">
        <f>$J$3+[42]FormattedData!I84*$J$4+$M$4*$J$5+[42]FormattedData!I84^2*$J$6+$M$5*$J$7</f>
        <v>47.397803960776542</v>
      </c>
      <c r="Q38" s="39">
        <f>$J$3+[42]FormattedData!J84*$J$4+$M$4*$J$5+[42]FormattedData!J84^2*$J$6+$M$5*$J$7</f>
        <v>54.242087362453582</v>
      </c>
      <c r="R38" s="39">
        <f>$J$3+[42]FormattedData!K84*$J$4+$M$4*$J$5+[42]FormattedData!K84^2*$J$6+$M$5*$J$7</f>
        <v>52.598581639093943</v>
      </c>
      <c r="S38" s="39">
        <f>$J$3+[42]FormattedData!L84*$J$4+$M$4*$J$5+[42]FormattedData!L84^2*$J$6+$M$5*$J$7</f>
        <v>54.414200325615944</v>
      </c>
      <c r="T38" s="39">
        <f>$J$3+[42]FormattedData!M84*$J$4+$M$4*$J$5+[42]FormattedData!M84^2*$J$6+$M$5*$J$7</f>
        <v>49.000078987030982</v>
      </c>
      <c r="U38" s="39">
        <f>$J$3+[42]FormattedData!N84*$J$4+$M$4*$J$5+[42]FormattedData!N84^2*$J$6+$M$5*$J$7</f>
        <v>52.945850900149694</v>
      </c>
      <c r="V38" s="39">
        <f>$J$3+[42]FormattedData!O84*$J$4+$M$4*$J$5+[42]FormattedData!O84^2*$J$6+$M$5*$J$7</f>
        <v>50.060654001039673</v>
      </c>
      <c r="W38" s="38">
        <f>AVERAGE(K38:V38)</f>
        <v>51.842050392173398</v>
      </c>
      <c r="X38" s="37">
        <f>STDEV(K38:V38)/SQRT(COUNT(K38:V38))</f>
        <v>0.7336326686620146</v>
      </c>
      <c r="Y38" s="36">
        <f>MIN(K38:V38)</f>
        <v>47.397803960776542</v>
      </c>
      <c r="Z38" s="35">
        <f>QUARTILE(K38:V38,1)</f>
        <v>49.773694963809447</v>
      </c>
      <c r="AA38" s="36">
        <f>MEDIAN(K38:V38)</f>
        <v>52.772216269621822</v>
      </c>
      <c r="AB38" s="35">
        <f>QUARTILE(K38:V38,3)</f>
        <v>54.091345863371004</v>
      </c>
      <c r="AC38" s="35">
        <f>MAX(K38:V38)</f>
        <v>54.414200325615944</v>
      </c>
      <c r="AD38" s="35">
        <f>SKEW(K38:V38)</f>
        <v>-0.49663249298824014</v>
      </c>
      <c r="AE38" s="35">
        <f>KURT(K38:V38)</f>
        <v>-1.4466345625126005</v>
      </c>
    </row>
    <row r="39" spans="2:31" x14ac:dyDescent="0.2">
      <c r="B39" s="34">
        <f>[42]FormattedData!A82</f>
        <v>406</v>
      </c>
      <c r="C39" s="34" t="str">
        <f>VLOOKUP($B39,[42]TrtCodes!$B$11:I125,2)</f>
        <v>FTH</v>
      </c>
      <c r="D39" s="34">
        <f>VLOOKUP($B39,[42]TrtCodes!$B$11:J125,3)</f>
        <v>3</v>
      </c>
      <c r="E39" s="34">
        <f>VLOOKUP($B39,[42]TrtCodes!$B$11:K125,4)</f>
        <v>1</v>
      </c>
      <c r="F39" s="34">
        <f>VLOOKUP($B39,[42]TrtCodes!$B$11:L125,5)</f>
        <v>2</v>
      </c>
      <c r="G39" s="34">
        <f>VLOOKUP($B39,[42]TrtCodes!$B$11:M125,6)</f>
        <v>2</v>
      </c>
      <c r="H39" s="34">
        <f>VLOOKUP($B39,[42]TrtCodes!$B$11:N125,7)</f>
        <v>4</v>
      </c>
      <c r="I39" s="34">
        <f>[42]FormattedData!B82</f>
        <v>1</v>
      </c>
      <c r="J39" s="37">
        <f>[42]FormattedData!C82</f>
        <v>13.435</v>
      </c>
      <c r="K39" s="39">
        <f>$J$3+[42]FormattedData!D82*$J$4+$M$4*$J$5+[42]FormattedData!D82^2*$J$6+$M$5*$J$7</f>
        <v>52.598581639093943</v>
      </c>
      <c r="L39" s="39">
        <f>$J$3+[42]FormattedData!E82*$J$4+$M$4*$J$5+[42]FormattedData!E82^2*$J$6+$M$5*$J$7</f>
        <v>52.250636081431288</v>
      </c>
      <c r="M39" s="39">
        <f>$J$3+[42]FormattedData!F82*$J$4+$M$4*$J$5+[42]FormattedData!F82^2*$J$6+$M$5*$J$7</f>
        <v>53.465486735595398</v>
      </c>
      <c r="N39" s="39">
        <f>$J$3+[42]FormattedData!G82*$J$4+$M$4*$J$5+[42]FormattedData!G82^2*$J$6+$M$5*$J$7</f>
        <v>45.420869660886972</v>
      </c>
      <c r="O39" s="39">
        <f>$J$3+[42]FormattedData!H82*$J$4+$M$4*$J$5+[42]FormattedData!H82^2*$J$6+$M$5*$J$7</f>
        <v>53.11923191944998</v>
      </c>
      <c r="P39" s="39">
        <f>$J$3+[42]FormattedData!I82*$J$4+$M$4*$J$5+[42]FormattedData!I82^2*$J$6+$M$5*$J$7</f>
        <v>48.911422990367043</v>
      </c>
      <c r="Q39" s="39">
        <f>$J$3+[42]FormattedData!J82*$J$4+$M$4*$J$5+[42]FormattedData!J82^2*$J$6+$M$5*$J$7</f>
        <v>53.638360532440508</v>
      </c>
      <c r="R39" s="39">
        <f>$J$3+[42]FormattedData!K82*$J$4+$M$4*$J$5+[42]FormattedData!K82^2*$J$6+$M$5*$J$7</f>
        <v>50.676511901438985</v>
      </c>
      <c r="S39" s="39">
        <f>$J$3+[42]FormattedData!L82*$J$4+$M$4*$J$5+[42]FormattedData!L82^2*$J$6+$M$5*$J$7</f>
        <v>52.511658652485174</v>
      </c>
      <c r="T39" s="39">
        <f>$J$3+[42]FormattedData!M82*$J$4+$M$4*$J$5+[42]FormattedData!M82^2*$J$6+$M$5*$J$7</f>
        <v>48.378599371086828</v>
      </c>
      <c r="U39" s="39">
        <f>$J$3+[42]FormattedData!N82*$J$4+$M$4*$J$5+[42]FormattedData!N82^2*$J$6+$M$5*$J$7</f>
        <v>53.11923191944998</v>
      </c>
      <c r="V39" s="39">
        <f>$J$3+[42]FormattedData!O82*$J$4+$M$4*$J$5+[42]FormattedData!O82^2*$J$6+$M$5*$J$7</f>
        <v>47.397803960776542</v>
      </c>
      <c r="W39" s="38">
        <f>AVERAGE(K39:V39)</f>
        <v>50.957366280375219</v>
      </c>
      <c r="X39" s="37">
        <f>STDEV(K39:V39)/SQRT(COUNT(K39:V39))</f>
        <v>0.79699133353141272</v>
      </c>
      <c r="Y39" s="36">
        <f>MIN(K39:V39)</f>
        <v>45.420869660886972</v>
      </c>
      <c r="Z39" s="35">
        <f>QUARTILE(K39:V39,1)</f>
        <v>48.778217085546991</v>
      </c>
      <c r="AA39" s="36">
        <f>MEDIAN(K39:V39)</f>
        <v>52.381147366958231</v>
      </c>
      <c r="AB39" s="35">
        <f>QUARTILE(K39:V39,3)</f>
        <v>53.11923191944998</v>
      </c>
      <c r="AC39" s="35">
        <f>MAX(K39:V39)</f>
        <v>53.638360532440508</v>
      </c>
      <c r="AD39" s="35">
        <f>SKEW(K39:V39)</f>
        <v>-0.90692810802004609</v>
      </c>
      <c r="AE39" s="35">
        <f>KURT(K39:V39)</f>
        <v>-0.47311159805973979</v>
      </c>
    </row>
    <row r="40" spans="2:31" x14ac:dyDescent="0.2">
      <c r="B40" s="34">
        <f>[42]FormattedData!A80</f>
        <v>407</v>
      </c>
      <c r="C40" s="34" t="str">
        <f>VLOOKUP($B40,[42]TrtCodes!$B$11:I123,2)</f>
        <v>NSH</v>
      </c>
      <c r="D40" s="34">
        <f>VLOOKUP($B40,[42]TrtCodes!$B$11:J123,3)</f>
        <v>7</v>
      </c>
      <c r="E40" s="34">
        <f>VLOOKUP($B40,[42]TrtCodes!$B$11:K123,4)</f>
        <v>2</v>
      </c>
      <c r="F40" s="34">
        <f>VLOOKUP($B40,[42]TrtCodes!$B$11:L123,5)</f>
        <v>1</v>
      </c>
      <c r="G40" s="34">
        <f>VLOOKUP($B40,[42]TrtCodes!$B$11:M123,6)</f>
        <v>2</v>
      </c>
      <c r="H40" s="34">
        <f>VLOOKUP($B40,[42]TrtCodes!$B$11:N123,7)</f>
        <v>4</v>
      </c>
      <c r="I40" s="34">
        <f>[42]FormattedData!B80</f>
        <v>1</v>
      </c>
      <c r="J40" s="37">
        <f>[42]FormattedData!C80</f>
        <v>13.417999999999999</v>
      </c>
      <c r="K40" s="39">
        <f>$J$3+[42]FormattedData!D80*$J$4+$M$4*$J$5+[42]FormattedData!D80^2*$J$6+$M$5*$J$7</f>
        <v>52.945850900149694</v>
      </c>
      <c r="L40" s="39">
        <f>$J$3+[42]FormattedData!E80*$J$4+$M$4*$J$5+[42]FormattedData!E80^2*$J$6+$M$5*$J$7</f>
        <v>53.811065255133897</v>
      </c>
      <c r="M40" s="39">
        <f>$J$3+[42]FormattedData!F80*$J$4+$M$4*$J$5+[42]FormattedData!F80^2*$J$6+$M$5*$J$7</f>
        <v>53.292443864598553</v>
      </c>
      <c r="N40" s="39">
        <f>$J$3+[42]FormattedData!G80*$J$4+$M$4*$J$5+[42]FormattedData!G80^2*$J$6+$M$5*$J$7</f>
        <v>53.205859026293233</v>
      </c>
      <c r="O40" s="39">
        <f>$J$3+[42]FormattedData!H80*$J$4+$M$4*$J$5+[42]FormattedData!H80^2*$J$6+$M$5*$J$7</f>
        <v>52.945850900149694</v>
      </c>
      <c r="P40" s="39">
        <f>$J$3+[42]FormattedData!I80*$J$4+$M$4*$J$5+[42]FormattedData!I80^2*$J$6+$M$5*$J$7</f>
        <v>53.724734028056176</v>
      </c>
      <c r="Q40" s="39">
        <f>$J$3+[42]FormattedData!J80*$J$4+$M$4*$J$5+[42]FormattedData!J80^2*$J$6+$M$5*$J$7</f>
        <v>53.638360532440508</v>
      </c>
      <c r="R40" s="39">
        <f>$J$3+[42]FormattedData!K80*$J$4+$M$4*$J$5+[42]FormattedData!K80^2*$J$6+$M$5*$J$7</f>
        <v>51.6401040168113</v>
      </c>
      <c r="S40" s="39">
        <f>$J$3+[42]FormattedData!L80*$J$4+$M$4*$J$5+[42]FormattedData!L80^2*$J$6+$M$5*$J$7</f>
        <v>53.11923191944998</v>
      </c>
      <c r="T40" s="39">
        <f>$J$3+[42]FormattedData!M80*$J$4+$M$4*$J$5+[42]FormattedData!M80^2*$J$6+$M$5*$J$7</f>
        <v>53.205859026293233</v>
      </c>
      <c r="U40" s="39">
        <f>$J$3+[42]FormattedData!N80*$J$4+$M$4*$J$5+[42]FormattedData!N80^2*$J$6+$M$5*$J$7</f>
        <v>53.465486735595398</v>
      </c>
      <c r="V40" s="39">
        <f>$J$3+[42]FormattedData!O80*$J$4+$M$4*$J$5+[42]FormattedData!O80^2*$J$6+$M$5*$J$7</f>
        <v>50.764322527344312</v>
      </c>
      <c r="W40" s="38">
        <f>AVERAGE(K40:V40)</f>
        <v>52.979930727692995</v>
      </c>
      <c r="X40" s="37">
        <f>STDEV(K40:V40)/SQRT(COUNT(K40:V40))</f>
        <v>0.25879009951968157</v>
      </c>
      <c r="Y40" s="36">
        <f>MIN(K40:V40)</f>
        <v>50.764322527344312</v>
      </c>
      <c r="Z40" s="35">
        <f>QUARTILE(K40:V40,1)</f>
        <v>52.945850900149694</v>
      </c>
      <c r="AA40" s="36">
        <f>MEDIAN(K40:V40)</f>
        <v>53.205859026293233</v>
      </c>
      <c r="AB40" s="35">
        <f>QUARTILE(K40:V40,3)</f>
        <v>53.508705184806672</v>
      </c>
      <c r="AC40" s="35">
        <f>MAX(K40:V40)</f>
        <v>53.811065255133897</v>
      </c>
      <c r="AD40" s="35">
        <f>SKEW(K40:V40)</f>
        <v>-1.7924671142546891</v>
      </c>
      <c r="AE40" s="35">
        <f>KURT(K40:V40)</f>
        <v>2.8865262213438934</v>
      </c>
    </row>
    <row r="41" spans="2:31" x14ac:dyDescent="0.2">
      <c r="B41" s="34">
        <f>[42]FormattedData!A78</f>
        <v>408</v>
      </c>
      <c r="C41" s="34" t="str">
        <f>VLOOKUP($B41,[42]TrtCodes!$B$11:I121,2)</f>
        <v>NTL</v>
      </c>
      <c r="D41" s="34">
        <f>VLOOKUP($B41,[42]TrtCodes!$B$11:J121,3)</f>
        <v>10</v>
      </c>
      <c r="E41" s="34">
        <f>VLOOKUP($B41,[42]TrtCodes!$B$11:K121,4)</f>
        <v>2</v>
      </c>
      <c r="F41" s="34">
        <f>VLOOKUP($B41,[42]TrtCodes!$B$11:L121,5)</f>
        <v>2</v>
      </c>
      <c r="G41" s="34">
        <f>VLOOKUP($B41,[42]TrtCodes!$B$11:M121,6)</f>
        <v>1</v>
      </c>
      <c r="H41" s="34">
        <f>VLOOKUP($B41,[42]TrtCodes!$B$11:N121,7)</f>
        <v>4</v>
      </c>
      <c r="I41" s="34">
        <f>[42]FormattedData!B78</f>
        <v>1</v>
      </c>
      <c r="J41" s="37">
        <f>[42]FormattedData!C78</f>
        <v>13.401999999999999</v>
      </c>
      <c r="K41" s="39">
        <f>$J$3+[42]FormattedData!D78*$J$4+$M$4*$J$5+[42]FormattedData!D78^2*$J$6+$M$5*$J$7</f>
        <v>53.205859026293233</v>
      </c>
      <c r="L41" s="39">
        <f>$J$3+[42]FormattedData!E78*$J$4+$M$4*$J$5+[42]FormattedData!E78^2*$J$6+$M$5*$J$7</f>
        <v>53.724734028056176</v>
      </c>
      <c r="M41" s="39">
        <f>$J$3+[42]FormattedData!F78*$J$4+$M$4*$J$5+[42]FormattedData!F78^2*$J$6+$M$5*$J$7</f>
        <v>52.685462357164774</v>
      </c>
      <c r="N41" s="39">
        <f>$J$3+[42]FormattedData!G78*$J$4+$M$4*$J$5+[42]FormattedData!G78^2*$J$6+$M$5*$J$7</f>
        <v>53.292443864598553</v>
      </c>
      <c r="O41" s="39">
        <f>$J$3+[42]FormattedData!H78*$J$4+$M$4*$J$5+[42]FormattedData!H78^2*$J$6+$M$5*$J$7</f>
        <v>54.328164978303732</v>
      </c>
      <c r="P41" s="39">
        <f>$J$3+[42]FormattedData!I78*$J$4+$M$4*$J$5+[42]FormattedData!I78^2*$J$6+$M$5*$J$7</f>
        <v>50.50076384401455</v>
      </c>
      <c r="Q41" s="39">
        <f>$J$3+[42]FormattedData!J78*$J$4+$M$4*$J$5+[42]FormattedData!J78^2*$J$6+$M$5*$J$7</f>
        <v>53.724734028056176</v>
      </c>
      <c r="R41" s="39">
        <f>$J$3+[42]FormattedData!K78*$J$4+$M$4*$J$5+[42]FormattedData!K78^2*$J$6+$M$5*$J$7</f>
        <v>53.11923191944998</v>
      </c>
      <c r="S41" s="39">
        <f>$J$3+[42]FormattedData!L78*$J$4+$M$4*$J$5+[42]FormattedData!L78^2*$J$6+$M$5*$J$7</f>
        <v>53.983600903675566</v>
      </c>
      <c r="T41" s="39">
        <f>$J$3+[42]FormattedData!M78*$J$4+$M$4*$J$5+[42]FormattedData!M78^2*$J$6+$M$5*$J$7</f>
        <v>52.685462357164774</v>
      </c>
      <c r="U41" s="39">
        <f>$J$3+[42]FormattedData!N78*$J$4+$M$4*$J$5+[42]FormattedData!N78^2*$J$6+$M$5*$J$7</f>
        <v>53.465486735595398</v>
      </c>
      <c r="V41" s="39">
        <f>$J$3+[42]FormattedData!O78*$J$4+$M$4*$J$5+[42]FormattedData!O78^2*$J$6+$M$5*$J$7</f>
        <v>51.202741628801945</v>
      </c>
      <c r="W41" s="38">
        <f>AVERAGE(K41:V41)</f>
        <v>52.99322380593123</v>
      </c>
      <c r="X41" s="37">
        <f>STDEV(K41:V41)/SQRT(COUNT(K41:V41))</f>
        <v>0.32350358466589335</v>
      </c>
      <c r="Y41" s="36">
        <f>MIN(K41:V41)</f>
        <v>50.50076384401455</v>
      </c>
      <c r="Z41" s="35">
        <f>QUARTILE(K41:V41,1)</f>
        <v>52.685462357164774</v>
      </c>
      <c r="AA41" s="36">
        <f>MEDIAN(K41:V41)</f>
        <v>53.249151445445889</v>
      </c>
      <c r="AB41" s="35">
        <f>QUARTILE(K41:V41,3)</f>
        <v>53.724734028056176</v>
      </c>
      <c r="AC41" s="35">
        <f>MAX(K41:V41)</f>
        <v>54.328164978303732</v>
      </c>
      <c r="AD41" s="35">
        <f>SKEW(K41:V41)</f>
        <v>-1.3181507684328204</v>
      </c>
      <c r="AE41" s="35">
        <f>KURT(K41:V41)</f>
        <v>1.3277769280381362</v>
      </c>
    </row>
    <row r="42" spans="2:31" x14ac:dyDescent="0.2">
      <c r="B42" s="50">
        <f>[42]FormattedData!A60</f>
        <v>901</v>
      </c>
      <c r="C42" s="50" t="str">
        <f>VLOOKUP($B42,[42]TrtCodes!$B$11:I103,2)</f>
        <v>WS</v>
      </c>
      <c r="D42" s="50">
        <f>VLOOKUP($B42,[42]TrtCodes!$B$11:J103,3)</f>
        <v>32</v>
      </c>
      <c r="E42" s="50">
        <f>VLOOKUP($B42,[42]TrtCodes!$B$11:K103,4)</f>
        <v>9</v>
      </c>
      <c r="F42" s="50">
        <f>VLOOKUP($B42,[42]TrtCodes!$B$11:L103,5)</f>
        <v>0</v>
      </c>
      <c r="G42" s="50">
        <f>VLOOKUP($B42,[42]TrtCodes!$B$11:M103,6)</f>
        <v>1</v>
      </c>
      <c r="H42" s="50">
        <f>VLOOKUP($B42,[42]TrtCodes!$B$11:N103,7)</f>
        <v>1</v>
      </c>
      <c r="I42" s="50">
        <f>[42]FormattedData!B60</f>
        <v>1</v>
      </c>
      <c r="J42" s="48">
        <f>[42]FormattedData!C60</f>
        <v>13.246</v>
      </c>
      <c r="K42" s="47">
        <f>$J$3+[42]FormattedData!D60*$J$4+$M$4*$J$5+[42]FormattedData!D60^2*$J$6+$M$5*$J$7</f>
        <v>28.281558223646815</v>
      </c>
      <c r="L42" s="47">
        <f>$J$3+[42]FormattedData!E60*$J$4+$M$4*$J$5+[42]FormattedData!E60^2*$J$6+$M$5*$J$7</f>
        <v>28.18351861156216</v>
      </c>
      <c r="M42" s="47">
        <f>$J$3+[42]FormattedData!F60*$J$4+$M$4*$J$5+[42]FormattedData!F60^2*$J$6+$M$5*$J$7</f>
        <v>27.987312581779058</v>
      </c>
      <c r="N42" s="47">
        <f>$J$3+[42]FormattedData!G60*$J$4+$M$4*$J$5+[42]FormattedData!G60^2*$J$6+$M$5*$J$7</f>
        <v>27.987312581779058</v>
      </c>
      <c r="O42" s="47">
        <f>$J$3+[42]FormattedData!H60*$J$4+$M$4*$J$5+[42]FormattedData!H60^2*$J$6+$M$5*$J$7</f>
        <v>27.987312581779058</v>
      </c>
      <c r="P42" s="47">
        <f>$J$3+[42]FormattedData!I60*$J$4+$M$4*$J$5+[42]FormattedData!I60^2*$J$6+$M$5*$J$7</f>
        <v>28.085436730939573</v>
      </c>
      <c r="Q42" s="47">
        <f>$J$3+[42]FormattedData!J60*$J$4+$M$4*$J$5+[42]FormattedData!J60^2*$J$6+$M$5*$J$7</f>
        <v>28.085436730939573</v>
      </c>
      <c r="R42" s="47">
        <f>$J$3+[42]FormattedData!K60*$J$4+$M$4*$J$5+[42]FormattedData!K60^2*$J$6+$M$5*$J$7</f>
        <v>28.085436730939573</v>
      </c>
      <c r="S42" s="47">
        <f>$J$3+[42]FormattedData!L60*$J$4+$M$4*$J$5+[42]FormattedData!L60^2*$J$6+$M$5*$J$7</f>
        <v>28.18351861156216</v>
      </c>
      <c r="T42" s="47">
        <f>$J$3+[42]FormattedData!M60*$J$4+$M$4*$J$5+[42]FormattedData!M60^2*$J$6+$M$5*$J$7</f>
        <v>28.281558223646815</v>
      </c>
      <c r="U42" s="47">
        <f>$J$3+[42]FormattedData!N60*$J$4+$M$4*$J$5+[42]FormattedData!N60^2*$J$6+$M$5*$J$7</f>
        <v>28.477510642202336</v>
      </c>
      <c r="V42" s="47">
        <f>$J$3+[42]FormattedData!O60*$J$4+$M$4*$J$5+[42]FormattedData!O60^2*$J$6+$M$5*$J$7</f>
        <v>28.575423448673199</v>
      </c>
      <c r="W42" s="49">
        <f>AVERAGE(K42:V42)</f>
        <v>28.183444641620781</v>
      </c>
      <c r="X42" s="48">
        <f>STDEV(K42:V42)/SQRT(COUNT(K42:V42))</f>
        <v>5.5294991631447875E-2</v>
      </c>
      <c r="Y42" s="47">
        <f>MIN(K42:V42)</f>
        <v>27.987312581779058</v>
      </c>
      <c r="Z42" s="46">
        <f>QUARTILE(K42:V42,1)</f>
        <v>28.060905693649445</v>
      </c>
      <c r="AA42" s="47">
        <f>MEDIAN(K42:V42)</f>
        <v>28.134477671250867</v>
      </c>
      <c r="AB42" s="46">
        <f>QUARTILE(K42:V42,3)</f>
        <v>28.281558223646815</v>
      </c>
      <c r="AC42" s="46">
        <f>MAX(K42:V42)</f>
        <v>28.575423448673199</v>
      </c>
      <c r="AD42" s="46">
        <f>SKEW(K42:V42)</f>
        <v>0.96372779099977501</v>
      </c>
      <c r="AE42" s="46">
        <f>KURT(K42:V42)</f>
        <v>0.17904726864907339</v>
      </c>
    </row>
    <row r="43" spans="2:31" x14ac:dyDescent="0.2">
      <c r="B43" s="34">
        <f>[42]FormattedData!A58</f>
        <v>902</v>
      </c>
      <c r="C43" s="34" t="str">
        <f>VLOOKUP($B43,[42]TrtCodes!$B$11:I101,2)</f>
        <v>Late</v>
      </c>
      <c r="D43" s="34">
        <f>VLOOKUP($B43,[42]TrtCodes!$B$11:J101,3)</f>
        <v>22</v>
      </c>
      <c r="E43" s="34">
        <f>VLOOKUP($B43,[42]TrtCodes!$B$11:K101,4)</f>
        <v>4</v>
      </c>
      <c r="F43" s="34">
        <f>VLOOKUP($B43,[42]TrtCodes!$B$11:L101,5)</f>
        <v>2</v>
      </c>
      <c r="G43" s="34">
        <f>VLOOKUP($B43,[42]TrtCodes!$B$11:M101,6)</f>
        <v>2</v>
      </c>
      <c r="H43" s="34">
        <f>VLOOKUP($B43,[42]TrtCodes!$B$11:N101,7)</f>
        <v>1</v>
      </c>
      <c r="I43" s="34">
        <f>[42]FormattedData!B58</f>
        <v>1</v>
      </c>
      <c r="J43" s="37">
        <f>[42]FormattedData!C58</f>
        <v>13.231</v>
      </c>
      <c r="K43" s="39">
        <f>$J$3+[42]FormattedData!D58*$J$4+$M$4*$J$5+[42]FormattedData!D58^2*$J$6+$M$5*$J$7</f>
        <v>54.672052756324987</v>
      </c>
      <c r="L43" s="39">
        <f>$J$3+[42]FormattedData!E58*$J$4+$M$4*$J$5+[42]FormattedData!E58^2*$J$6+$M$5*$J$7</f>
        <v>50.588659006995734</v>
      </c>
      <c r="M43" s="39">
        <f>$J$3+[42]FormattedData!F58*$J$4+$M$4*$J$5+[42]FormattedData!F58^2*$J$6+$M$5*$J$7</f>
        <v>52.598581639093943</v>
      </c>
      <c r="N43" s="39">
        <f>$J$3+[42]FormattedData!G58*$J$4+$M$4*$J$5+[42]FormattedData!G58^2*$J$6+$M$5*$J$7</f>
        <v>46.232088220310764</v>
      </c>
      <c r="O43" s="39">
        <f>$J$3+[42]FormattedData!H58*$J$4+$M$4*$J$5+[42]FormattedData!H58^2*$J$6+$M$5*$J$7</f>
        <v>54.155967478065513</v>
      </c>
      <c r="P43" s="39">
        <f>$J$3+[42]FormattedData!I58*$J$4+$M$4*$J$5+[42]FormattedData!I58^2*$J$6+$M$5*$J$7</f>
        <v>53.897354213673701</v>
      </c>
      <c r="Q43" s="39">
        <f>$J$3+[42]FormattedData!J58*$J$4+$M$4*$J$5+[42]FormattedData!J58^2*$J$6+$M$5*$J$7</f>
        <v>55.015264237739359</v>
      </c>
      <c r="R43" s="39">
        <f>$J$3+[42]FormattedData!K58*$J$4+$M$4*$J$5+[42]FormattedData!K58^2*$J$6+$M$5*$J$7</f>
        <v>50.060654001039673</v>
      </c>
      <c r="S43" s="39">
        <f>$J$3+[42]FormattedData!L58*$J$4+$M$4*$J$5+[42]FormattedData!L58^2*$J$6+$M$5*$J$7</f>
        <v>53.378986434365935</v>
      </c>
      <c r="T43" s="39">
        <f>$J$3+[42]FormattedData!M58*$J$4+$M$4*$J$5+[42]FormattedData!M58^2*$J$6+$M$5*$J$7</f>
        <v>51.552716076285286</v>
      </c>
      <c r="U43" s="39">
        <f>$J$3+[42]FormattedData!N58*$J$4+$M$4*$J$5+[42]FormattedData!N58^2*$J$6+$M$5*$J$7</f>
        <v>53.292443864598553</v>
      </c>
      <c r="V43" s="39">
        <f>$J$3+[42]FormattedData!O58*$J$4+$M$4*$J$5+[42]FormattedData!O58^2*$J$6+$M$5*$J$7</f>
        <v>53.205859026293233</v>
      </c>
      <c r="W43" s="38">
        <f>AVERAGE(K43:V43)</f>
        <v>52.387552246232218</v>
      </c>
      <c r="X43" s="37">
        <f>STDEV(K43:V43)/SQRT(COUNT(K43:V43))</f>
        <v>0.71395026999830347</v>
      </c>
      <c r="Y43" s="36">
        <f>MIN(K43:V43)</f>
        <v>46.232088220310764</v>
      </c>
      <c r="Z43" s="35">
        <f>QUARTILE(K43:V43,1)</f>
        <v>51.311701808962894</v>
      </c>
      <c r="AA43" s="36">
        <f>MEDIAN(K43:V43)</f>
        <v>53.249151445445889</v>
      </c>
      <c r="AB43" s="35">
        <f>QUARTILE(K43:V43,3)</f>
        <v>53.962007529771654</v>
      </c>
      <c r="AC43" s="35">
        <f>MAX(K43:V43)</f>
        <v>55.015264237739359</v>
      </c>
      <c r="AD43" s="35">
        <f>SKEW(K43:V43)</f>
        <v>-1.5210005951501326</v>
      </c>
      <c r="AE43" s="35">
        <f>KURT(K43:V43)</f>
        <v>2.5700868654483662</v>
      </c>
    </row>
    <row r="44" spans="2:31" x14ac:dyDescent="0.2">
      <c r="B44" s="50">
        <f>[42]FormattedData!A56</f>
        <v>903</v>
      </c>
      <c r="C44" s="50" t="str">
        <f>VLOOKUP($B44,[42]TrtCodes!$B$11:I99,2)</f>
        <v>DS</v>
      </c>
      <c r="D44" s="50">
        <f>VLOOKUP($B44,[42]TrtCodes!$B$11:J99,3)</f>
        <v>31</v>
      </c>
      <c r="E44" s="50">
        <f>VLOOKUP($B44,[42]TrtCodes!$B$11:K99,4)</f>
        <v>8</v>
      </c>
      <c r="F44" s="50">
        <f>VLOOKUP($B44,[42]TrtCodes!$B$11:L99,5)</f>
        <v>0</v>
      </c>
      <c r="G44" s="50">
        <f>VLOOKUP($B44,[42]TrtCodes!$B$11:M99,6)</f>
        <v>1</v>
      </c>
      <c r="H44" s="50">
        <f>VLOOKUP($B44,[42]TrtCodes!$B$11:N99,7)</f>
        <v>1</v>
      </c>
      <c r="I44" s="50">
        <f>[42]FormattedData!B56</f>
        <v>1</v>
      </c>
      <c r="J44" s="48">
        <f>[42]FormattedData!C56</f>
        <v>13.225</v>
      </c>
      <c r="K44" s="47">
        <f>$J$3+[42]FormattedData!D56*$J$4+$M$4*$J$5+[42]FormattedData!D56^2*$J$6+$M$5*$J$7</f>
        <v>61.242689643435838</v>
      </c>
      <c r="L44" s="47">
        <f>$J$3+[42]FormattedData!E56*$J$4+$M$4*$J$5+[42]FormattedData!E56^2*$J$6+$M$5*$J$7</f>
        <v>61.325258970637698</v>
      </c>
      <c r="M44" s="47">
        <f>$J$3+[42]FormattedData!F56*$J$4+$M$4*$J$5+[42]FormattedData!F56^2*$J$6+$M$5*$J$7</f>
        <v>61.572713341015678</v>
      </c>
      <c r="N44" s="47">
        <f>$J$3+[42]FormattedData!G56*$J$4+$M$4*$J$5+[42]FormattedData!G56^2*$J$6+$M$5*$J$7</f>
        <v>61.325258970637698</v>
      </c>
      <c r="O44" s="47">
        <f>$J$3+[42]FormattedData!H56*$J$4+$M$4*$J$5+[42]FormattedData!H56^2*$J$6+$M$5*$J$7</f>
        <v>61.16007804769604</v>
      </c>
      <c r="P44" s="47">
        <f>$J$3+[42]FormattedData!I56*$J$4+$M$4*$J$5+[42]FormattedData!I56^2*$J$6+$M$5*$J$7</f>
        <v>60.911989649249094</v>
      </c>
      <c r="Q44" s="47">
        <f>$J$3+[42]FormattedData!J56*$J$4+$M$4*$J$5+[42]FormattedData!J56^2*$J$6+$M$5*$J$7</f>
        <v>60.994728050602674</v>
      </c>
      <c r="R44" s="47">
        <f>$J$3+[42]FormattedData!K56*$J$4+$M$4*$J$5+[42]FormattedData!K56^2*$J$6+$M$5*$J$7</f>
        <v>60.580613358455444</v>
      </c>
      <c r="S44" s="47">
        <f>$J$3+[42]FormattedData!L56*$J$4+$M$4*$J$5+[42]FormattedData!L56^2*$J$6+$M$5*$J$7</f>
        <v>60.911989649249094</v>
      </c>
      <c r="T44" s="47">
        <f>$J$3+[42]FormattedData!M56*$J$4+$M$4*$J$5+[42]FormattedData!M56^2*$J$6+$M$5*$J$7</f>
        <v>60.66352083396076</v>
      </c>
      <c r="U44" s="47">
        <f>$J$3+[42]FormattedData!N56*$J$4+$M$4*$J$5+[42]FormattedData!N56^2*$J$6+$M$5*$J$7</f>
        <v>60.580613358455444</v>
      </c>
      <c r="V44" s="47">
        <f>$J$3+[42]FormattedData!O56*$J$4+$M$4*$J$5+[42]FormattedData!O56^2*$J$6+$M$5*$J$7</f>
        <v>61.16007804769604</v>
      </c>
      <c r="W44" s="49">
        <f>AVERAGE(K44:V44)</f>
        <v>61.035794326757632</v>
      </c>
      <c r="X44" s="48">
        <f>STDEV(K44:V44)/SQRT(COUNT(K44:V44))</f>
        <v>9.1901988440109078E-2</v>
      </c>
      <c r="Y44" s="47">
        <f>MIN(K44:V44)</f>
        <v>60.580613358455444</v>
      </c>
      <c r="Z44" s="46">
        <f>QUARTILE(K44:V44,1)</f>
        <v>60.84987244542701</v>
      </c>
      <c r="AA44" s="47">
        <f>MEDIAN(K44:V44)</f>
        <v>61.077403049149353</v>
      </c>
      <c r="AB44" s="46">
        <f>QUARTILE(K44:V44,3)</f>
        <v>61.263331975236305</v>
      </c>
      <c r="AC44" s="46">
        <f>MAX(K44:V44)</f>
        <v>61.572713341015678</v>
      </c>
      <c r="AD44" s="46">
        <f>SKEW(K44:V44)</f>
        <v>-9.4959344778235893E-2</v>
      </c>
      <c r="AE44" s="46">
        <f>KURT(K44:V44)</f>
        <v>-0.88874410954820604</v>
      </c>
    </row>
    <row r="45" spans="2:31" x14ac:dyDescent="0.2">
      <c r="B45" s="34">
        <f>[42]FormattedData!A54</f>
        <v>904</v>
      </c>
      <c r="C45" s="34" t="str">
        <f>VLOOKUP($B45,[42]TrtCodes!$B$11:I97,2)</f>
        <v>Early</v>
      </c>
      <c r="D45" s="34">
        <f>VLOOKUP($B45,[42]TrtCodes!$B$11:J97,3)</f>
        <v>21</v>
      </c>
      <c r="E45" s="34">
        <f>VLOOKUP($B45,[42]TrtCodes!$B$11:K97,4)</f>
        <v>3</v>
      </c>
      <c r="F45" s="34">
        <f>VLOOKUP($B45,[42]TrtCodes!$B$11:L97,5)</f>
        <v>2</v>
      </c>
      <c r="G45" s="34">
        <f>VLOOKUP($B45,[42]TrtCodes!$B$11:M97,6)</f>
        <v>2</v>
      </c>
      <c r="H45" s="34">
        <f>VLOOKUP($B45,[42]TrtCodes!$B$11:N97,7)</f>
        <v>1</v>
      </c>
      <c r="I45" s="34">
        <f>[42]FormattedData!B54</f>
        <v>1</v>
      </c>
      <c r="J45" s="37">
        <f>[42]FormattedData!C54</f>
        <v>13.209</v>
      </c>
      <c r="K45" s="39">
        <f>$J$3+[42]FormattedData!D54*$J$4+$M$4*$J$5+[42]FormattedData!D54^2*$J$6+$M$5*$J$7</f>
        <v>54.929524770192657</v>
      </c>
      <c r="L45" s="39">
        <f>$J$3+[42]FormattedData!E54*$J$4+$M$4*$J$5+[42]FormattedData!E54^2*$J$6+$M$5*$J$7</f>
        <v>50.148760506710509</v>
      </c>
      <c r="M45" s="39">
        <f>$J$3+[42]FormattedData!F54*$J$4+$M$4*$J$5+[42]FormattedData!F54^2*$J$6+$M$5*$J$7</f>
        <v>53.465486735595398</v>
      </c>
      <c r="N45" s="39">
        <f>$J$3+[42]FormattedData!G54*$J$4+$M$4*$J$5+[42]FormattedData!G54^2*$J$6+$M$5*$J$7</f>
        <v>49.265793365795226</v>
      </c>
      <c r="O45" s="39">
        <f>$J$3+[42]FormattedData!H54*$J$4+$M$4*$J$5+[42]FormattedData!H54^2*$J$6+$M$5*$J$7</f>
        <v>53.465486735595398</v>
      </c>
      <c r="P45" s="39">
        <f>$J$3+[42]FormattedData!I54*$J$4+$M$4*$J$5+[42]FormattedData!I54^2*$J$6+$M$5*$J$7</f>
        <v>53.551944768286909</v>
      </c>
      <c r="Q45" s="39">
        <f>$J$3+[42]FormattedData!J54*$J$4+$M$4*$J$5+[42]FormattedData!J54^2*$J$6+$M$5*$J$7</f>
        <v>53.724734028056176</v>
      </c>
      <c r="R45" s="39">
        <f>$J$3+[42]FormattedData!K54*$J$4+$M$4*$J$5+[42]FormattedData!K54^2*$J$6+$M$5*$J$7</f>
        <v>52.076409691372376</v>
      </c>
      <c r="S45" s="39">
        <f>$J$3+[42]FormattedData!L54*$J$4+$M$4*$J$5+[42]FormattedData!L54^2*$J$6+$M$5*$J$7</f>
        <v>53.465486735595398</v>
      </c>
      <c r="T45" s="39">
        <f>$J$3+[42]FormattedData!M54*$J$4+$M$4*$J$5+[42]FormattedData!M54^2*$J$6+$M$5*$J$7</f>
        <v>55.186616367218953</v>
      </c>
      <c r="U45" s="39">
        <f>$J$3+[42]FormattedData!N54*$J$4+$M$4*$J$5+[42]FormattedData!N54^2*$J$6+$M$5*$J$7</f>
        <v>53.983600903675566</v>
      </c>
      <c r="V45" s="39">
        <f>$J$3+[42]FormattedData!O54*$J$4+$M$4*$J$5+[42]FormattedData!O54^2*$J$6+$M$5*$J$7</f>
        <v>56.636283098919627</v>
      </c>
      <c r="W45" s="38">
        <f>AVERAGE(K45:V45)</f>
        <v>53.325010642251179</v>
      </c>
      <c r="X45" s="37">
        <f>STDEV(K45:V45)/SQRT(COUNT(K45:V45))</f>
        <v>0.58925736848473731</v>
      </c>
      <c r="Y45" s="36">
        <f>MIN(K45:V45)</f>
        <v>49.265793365795226</v>
      </c>
      <c r="Z45" s="35">
        <f>QUARTILE(K45:V45,1)</f>
        <v>53.118217474539641</v>
      </c>
      <c r="AA45" s="36">
        <f>MEDIAN(K45:V45)</f>
        <v>53.508715751941153</v>
      </c>
      <c r="AB45" s="35">
        <f>QUARTILE(K45:V45,3)</f>
        <v>54.220081870304838</v>
      </c>
      <c r="AC45" s="35">
        <f>MAX(K45:V45)</f>
        <v>56.636283098919627</v>
      </c>
      <c r="AD45" s="35">
        <f>SKEW(K45:V45)</f>
        <v>-0.68770471042357817</v>
      </c>
      <c r="AE45" s="35">
        <f>KURT(K45:V45)</f>
        <v>0.63899368424582015</v>
      </c>
    </row>
    <row r="46" spans="2:31" x14ac:dyDescent="0.2">
      <c r="B46" s="50">
        <f>[42]FormattedData!A52</f>
        <v>905</v>
      </c>
      <c r="C46" s="50" t="str">
        <f>VLOOKUP($B46,[42]TrtCodes!$B$11:I95,2)</f>
        <v>WS</v>
      </c>
      <c r="D46" s="50">
        <f>VLOOKUP($B46,[42]TrtCodes!$B$11:J95,3)</f>
        <v>32</v>
      </c>
      <c r="E46" s="50">
        <f>VLOOKUP($B46,[42]TrtCodes!$B$11:K95,4)</f>
        <v>9</v>
      </c>
      <c r="F46" s="50">
        <f>VLOOKUP($B46,[42]TrtCodes!$B$11:L95,5)</f>
        <v>0</v>
      </c>
      <c r="G46" s="50">
        <f>VLOOKUP($B46,[42]TrtCodes!$B$11:M95,6)</f>
        <v>1</v>
      </c>
      <c r="H46" s="50">
        <f>VLOOKUP($B46,[42]TrtCodes!$B$11:N95,7)</f>
        <v>2</v>
      </c>
      <c r="I46" s="50">
        <f>[42]FormattedData!B52</f>
        <v>1</v>
      </c>
      <c r="J46" s="48">
        <f>[42]FormattedData!C52</f>
        <v>13.202</v>
      </c>
      <c r="K46" s="47">
        <f>$J$3+[42]FormattedData!D52*$J$4+$M$4*$J$5+[42]FormattedData!D52^2*$J$6+$M$5*$J$7</f>
        <v>48.022538254141402</v>
      </c>
      <c r="L46" s="47">
        <f>$J$3+[42]FormattedData!E52*$J$4+$M$4*$J$5+[42]FormattedData!E52^2*$J$6+$M$5*$J$7</f>
        <v>48.64520138914763</v>
      </c>
      <c r="M46" s="47">
        <f>$J$3+[42]FormattedData!F52*$J$4+$M$4*$J$5+[42]FormattedData!F52^2*$J$6+$M$5*$J$7</f>
        <v>49.35428028830745</v>
      </c>
      <c r="N46" s="47">
        <f>$J$3+[42]FormattedData!G52*$J$4+$M$4*$J$5+[42]FormattedData!G52^2*$J$6+$M$5*$J$7</f>
        <v>49.265793365795226</v>
      </c>
      <c r="O46" s="47">
        <f>$J$3+[42]FormattedData!H52*$J$4+$M$4*$J$5+[42]FormattedData!H52^2*$J$6+$M$5*$J$7</f>
        <v>49.088692715157002</v>
      </c>
      <c r="P46" s="47">
        <f>$J$3+[42]FormattedData!I52*$J$4+$M$4*$J$5+[42]FormattedData!I52^2*$J$6+$M$5*$J$7</f>
        <v>48.556376318331957</v>
      </c>
      <c r="Q46" s="47">
        <f>$J$3+[42]FormattedData!J52*$J$4+$M$4*$J$5+[42]FormattedData!J52^2*$J$6+$M$5*$J$7</f>
        <v>47.487178522585317</v>
      </c>
      <c r="R46" s="47">
        <f>$J$3+[42]FormattedData!K52*$J$4+$M$4*$J$5+[42]FormattedData!K52^2*$J$6+$M$5*$J$7</f>
        <v>47.57651081585616</v>
      </c>
      <c r="S46" s="47">
        <f>$J$3+[42]FormattedData!L52*$J$4+$M$4*$J$5+[42]FormattedData!L52^2*$J$6+$M$5*$J$7</f>
        <v>47.487178522585317</v>
      </c>
      <c r="T46" s="47">
        <f>$J$3+[42]FormattedData!M52*$J$4+$M$4*$J$5+[42]FormattedData!M52^2*$J$6+$M$5*$J$7</f>
        <v>47.933417303560212</v>
      </c>
      <c r="U46" s="47">
        <f>$J$3+[42]FormattedData!N52*$J$4+$M$4*$J$5+[42]FormattedData!N52^2*$J$6+$M$5*$J$7</f>
        <v>47.933417303560212</v>
      </c>
      <c r="V46" s="47">
        <f>$J$3+[42]FormattedData!O52*$J$4+$M$4*$J$5+[42]FormattedData!O52^2*$J$6+$M$5*$J$7</f>
        <v>48.022538254141402</v>
      </c>
      <c r="W46" s="49">
        <f>AVERAGE(K46:V46)</f>
        <v>48.281093587764111</v>
      </c>
      <c r="X46" s="48">
        <f>STDEV(K46:V46)/SQRT(COUNT(K46:V46))</f>
        <v>0.19683929055871652</v>
      </c>
      <c r="Y46" s="47">
        <f>MIN(K46:V46)</f>
        <v>47.487178522585317</v>
      </c>
      <c r="Z46" s="46">
        <f>QUARTILE(K46:V46,1)</f>
        <v>47.844190681634203</v>
      </c>
      <c r="AA46" s="47">
        <f>MEDIAN(K46:V46)</f>
        <v>48.022538254141402</v>
      </c>
      <c r="AB46" s="46">
        <f>QUARTILE(K46:V46,3)</f>
        <v>48.756074220649971</v>
      </c>
      <c r="AC46" s="46">
        <f>MAX(K46:V46)</f>
        <v>49.35428028830745</v>
      </c>
      <c r="AD46" s="46">
        <f>SKEW(K46:V46)</f>
        <v>0.45333661936996239</v>
      </c>
      <c r="AE46" s="46">
        <f>KURT(K46:V46)</f>
        <v>-1.2674138981739684</v>
      </c>
    </row>
    <row r="47" spans="2:31" x14ac:dyDescent="0.2">
      <c r="B47" s="34">
        <f>[42]FormattedData!A50</f>
        <v>906</v>
      </c>
      <c r="C47" s="34" t="str">
        <f>VLOOKUP($B47,[42]TrtCodes!$B$11:I93,2)</f>
        <v>Late</v>
      </c>
      <c r="D47" s="34">
        <f>VLOOKUP($B47,[42]TrtCodes!$B$11:J93,3)</f>
        <v>22</v>
      </c>
      <c r="E47" s="34">
        <f>VLOOKUP($B47,[42]TrtCodes!$B$11:K93,4)</f>
        <v>4</v>
      </c>
      <c r="F47" s="34">
        <f>VLOOKUP($B47,[42]TrtCodes!$B$11:L93,5)</f>
        <v>2</v>
      </c>
      <c r="G47" s="34">
        <f>VLOOKUP($B47,[42]TrtCodes!$B$11:M93,6)</f>
        <v>2</v>
      </c>
      <c r="H47" s="34">
        <f>VLOOKUP($B47,[42]TrtCodes!$B$11:N93,7)</f>
        <v>2</v>
      </c>
      <c r="I47" s="34">
        <f>[42]FormattedData!B50</f>
        <v>1</v>
      </c>
      <c r="J47" s="37">
        <f>[42]FormattedData!C50</f>
        <v>13.183</v>
      </c>
      <c r="K47" s="39">
        <f>$J$3+[42]FormattedData!D50*$J$4+$M$4*$J$5+[42]FormattedData!D50^2*$J$6+$M$5*$J$7</f>
        <v>53.638360532440508</v>
      </c>
      <c r="L47" s="39">
        <f>$J$3+[42]FormattedData!E50*$J$4+$M$4*$J$5+[42]FormattedData!E50^2*$J$6+$M$5*$J$7</f>
        <v>50.939816973541156</v>
      </c>
      <c r="M47" s="39">
        <f>$J$3+[42]FormattedData!F50*$J$4+$M$4*$J$5+[42]FormattedData!F50^2*$J$6+$M$5*$J$7</f>
        <v>53.983600903675566</v>
      </c>
      <c r="N47" s="39">
        <f>$J$3+[42]FormattedData!G50*$J$4+$M$4*$J$5+[42]FormattedData!G50^2*$J$6+$M$5*$J$7</f>
        <v>49.972505226830904</v>
      </c>
      <c r="O47" s="39">
        <f>$J$3+[42]FormattedData!H50*$J$4+$M$4*$J$5+[42]FormattedData!H50^2*$J$6+$M$5*$J$7</f>
        <v>54.500193404390217</v>
      </c>
      <c r="P47" s="39">
        <f>$J$3+[42]FormattedData!I50*$J$4+$M$4*$J$5+[42]FormattedData!I50^2*$J$6+$M$5*$J$7</f>
        <v>54.672052756324987</v>
      </c>
      <c r="Q47" s="39">
        <f>$J$3+[42]FormattedData!J50*$J$4+$M$4*$J$5+[42]FormattedData!J50^2*$J$6+$M$5*$J$7</f>
        <v>54.500193404390217</v>
      </c>
      <c r="R47" s="39">
        <f>$J$3+[42]FormattedData!K50*$J$4+$M$4*$J$5+[42]FormattedData!K50^2*$J$6+$M$5*$J$7</f>
        <v>55.528813403722971</v>
      </c>
      <c r="S47" s="39">
        <f>$J$3+[42]FormattedData!L50*$J$4+$M$4*$J$5+[42]FormattedData!L50^2*$J$6+$M$5*$J$7</f>
        <v>53.638360532440508</v>
      </c>
      <c r="T47" s="39">
        <f>$J$3+[42]FormattedData!M50*$J$4+$M$4*$J$5+[42]FormattedData!M50^2*$J$6+$M$5*$J$7</f>
        <v>53.638360532440508</v>
      </c>
      <c r="U47" s="39">
        <f>$J$3+[42]FormattedData!N50*$J$4+$M$4*$J$5+[42]FormattedData!N50^2*$J$6+$M$5*$J$7</f>
        <v>52.685462357164774</v>
      </c>
      <c r="V47" s="39">
        <f>$J$3+[42]FormattedData!O50*$J$4+$M$4*$J$5+[42]FormattedData!O50^2*$J$6+$M$5*$J$7</f>
        <v>49.972505226830904</v>
      </c>
      <c r="W47" s="38">
        <f>AVERAGE(K47:V47)</f>
        <v>53.13918543784942</v>
      </c>
      <c r="X47" s="37">
        <f>STDEV(K47:V47)/SQRT(COUNT(K47:V47))</f>
        <v>0.53882635927168432</v>
      </c>
      <c r="Y47" s="36">
        <f>MIN(K47:V47)</f>
        <v>49.972505226830904</v>
      </c>
      <c r="Z47" s="35">
        <f>QUARTILE(K47:V47,1)</f>
        <v>52.249051011258871</v>
      </c>
      <c r="AA47" s="36">
        <f>MEDIAN(K47:V47)</f>
        <v>53.638360532440508</v>
      </c>
      <c r="AB47" s="35">
        <f>QUARTILE(K47:V47,3)</f>
        <v>54.500193404390217</v>
      </c>
      <c r="AC47" s="35">
        <f>MAX(K47:V47)</f>
        <v>55.528813403722971</v>
      </c>
      <c r="AD47" s="35">
        <f>SKEW(K47:V47)</f>
        <v>-0.85516539465407626</v>
      </c>
      <c r="AE47" s="35">
        <f>KURT(K47:V47)</f>
        <v>-0.52511962726784978</v>
      </c>
    </row>
    <row r="48" spans="2:31" x14ac:dyDescent="0.2">
      <c r="B48" s="50">
        <f>[42]FormattedData!A48</f>
        <v>907</v>
      </c>
      <c r="C48" s="50" t="str">
        <f>VLOOKUP($B48,[42]TrtCodes!$B$11:I91,2)</f>
        <v>DS</v>
      </c>
      <c r="D48" s="50">
        <f>VLOOKUP($B48,[42]TrtCodes!$B$11:J91,3)</f>
        <v>31</v>
      </c>
      <c r="E48" s="50">
        <f>VLOOKUP($B48,[42]TrtCodes!$B$11:K91,4)</f>
        <v>8</v>
      </c>
      <c r="F48" s="50">
        <f>VLOOKUP($B48,[42]TrtCodes!$B$11:L91,5)</f>
        <v>0</v>
      </c>
      <c r="G48" s="50">
        <f>VLOOKUP($B48,[42]TrtCodes!$B$11:M91,6)</f>
        <v>1</v>
      </c>
      <c r="H48" s="50">
        <f>VLOOKUP($B48,[42]TrtCodes!$B$11:N91,7)</f>
        <v>2</v>
      </c>
      <c r="I48" s="50">
        <f>[42]FormattedData!B48</f>
        <v>1</v>
      </c>
      <c r="J48" s="48">
        <f>[42]FormattedData!C48</f>
        <v>13.176</v>
      </c>
      <c r="K48" s="47">
        <f>$J$3+[42]FormattedData!D48*$J$4+$M$4*$J$5+[42]FormattedData!D48^2*$J$6+$M$5*$J$7</f>
        <v>61.242689643435838</v>
      </c>
      <c r="L48" s="47">
        <f>$J$3+[42]FormattedData!E48*$J$4+$M$4*$J$5+[42]FormattedData!E48^2*$J$6+$M$5*$J$7</f>
        <v>61.407786029301626</v>
      </c>
      <c r="M48" s="47">
        <f>$J$3+[42]FormattedData!F48*$J$4+$M$4*$J$5+[42]FormattedData!F48^2*$J$6+$M$5*$J$7</f>
        <v>61.407786029301626</v>
      </c>
      <c r="N48" s="47">
        <f>$J$3+[42]FormattedData!G48*$J$4+$M$4*$J$5+[42]FormattedData!G48^2*$J$6+$M$5*$J$7</f>
        <v>60.829208979357581</v>
      </c>
      <c r="O48" s="47">
        <f>$J$3+[42]FormattedData!H48*$J$4+$M$4*$J$5+[42]FormattedData!H48^2*$J$6+$M$5*$J$7</f>
        <v>61.490270819427629</v>
      </c>
      <c r="P48" s="47">
        <f>$J$3+[42]FormattedData!I48*$J$4+$M$4*$J$5+[42]FormattedData!I48^2*$J$6+$M$5*$J$7</f>
        <v>60.746386040928122</v>
      </c>
      <c r="Q48" s="47">
        <f>$J$3+[42]FormattedData!J48*$J$4+$M$4*$J$5+[42]FormattedData!J48^2*$J$6+$M$5*$J$7</f>
        <v>61.16007804769604</v>
      </c>
      <c r="R48" s="47">
        <f>$J$3+[42]FormattedData!K48*$J$4+$M$4*$J$5+[42]FormattedData!K48^2*$J$6+$M$5*$J$7</f>
        <v>60.911989649249094</v>
      </c>
      <c r="S48" s="47">
        <f>$J$3+[42]FormattedData!L48*$J$4+$M$4*$J$5+[42]FormattedData!L48^2*$J$6+$M$5*$J$7</f>
        <v>61.16007804769604</v>
      </c>
      <c r="T48" s="47">
        <f>$J$3+[42]FormattedData!M48*$J$4+$M$4*$J$5+[42]FormattedData!M48^2*$J$6+$M$5*$J$7</f>
        <v>61.325258970637698</v>
      </c>
      <c r="U48" s="47">
        <f>$J$3+[42]FormattedData!N48*$J$4+$M$4*$J$5+[42]FormattedData!N48^2*$J$6+$M$5*$J$7</f>
        <v>60.746386040928122</v>
      </c>
      <c r="V48" s="47">
        <f>$J$3+[42]FormattedData!O48*$J$4+$M$4*$J$5+[42]FormattedData!O48^2*$J$6+$M$5*$J$7</f>
        <v>60.248560771054912</v>
      </c>
      <c r="W48" s="49">
        <f>AVERAGE(K48:V48)</f>
        <v>61.056373255751197</v>
      </c>
      <c r="X48" s="48">
        <f>STDEV(K48:V48)/SQRT(COUNT(K48:V48))</f>
        <v>0.10592189281252377</v>
      </c>
      <c r="Y48" s="47">
        <f>MIN(K48:V48)</f>
        <v>60.248560771054912</v>
      </c>
      <c r="Z48" s="46">
        <f>QUARTILE(K48:V48,1)</f>
        <v>60.808503244750213</v>
      </c>
      <c r="AA48" s="47">
        <f>MEDIAN(K48:V48)</f>
        <v>61.16007804769604</v>
      </c>
      <c r="AB48" s="46">
        <f>QUARTILE(K48:V48,3)</f>
        <v>61.345890735303684</v>
      </c>
      <c r="AC48" s="46">
        <f>MAX(K48:V48)</f>
        <v>61.490270819427629</v>
      </c>
      <c r="AD48" s="46">
        <f>SKEW(K48:V48)</f>
        <v>-0.8939979862298949</v>
      </c>
      <c r="AE48" s="46">
        <f>KURT(K48:V48)</f>
        <v>0.48725269257368886</v>
      </c>
    </row>
    <row r="49" spans="2:31" ht="13.5" thickBot="1" x14ac:dyDescent="0.25">
      <c r="B49" s="45">
        <f>[42]FormattedData!A46</f>
        <v>908</v>
      </c>
      <c r="C49" s="45" t="str">
        <f>VLOOKUP($B49,[42]TrtCodes!$B$11:I89,2)</f>
        <v>Early</v>
      </c>
      <c r="D49" s="45">
        <f>VLOOKUP($B49,[42]TrtCodes!$B$11:J89,3)</f>
        <v>21</v>
      </c>
      <c r="E49" s="45">
        <f>VLOOKUP($B49,[42]TrtCodes!$B$11:K89,4)</f>
        <v>3</v>
      </c>
      <c r="F49" s="45">
        <f>VLOOKUP($B49,[42]TrtCodes!$B$11:L89,5)</f>
        <v>2</v>
      </c>
      <c r="G49" s="45">
        <f>VLOOKUP($B49,[42]TrtCodes!$B$11:M89,6)</f>
        <v>2</v>
      </c>
      <c r="H49" s="45">
        <f>VLOOKUP($B49,[42]TrtCodes!$B$11:N89,7)</f>
        <v>2</v>
      </c>
      <c r="I49" s="45">
        <f>[42]FormattedData!B46</f>
        <v>1</v>
      </c>
      <c r="J49" s="42">
        <f>[42]FormattedData!C46</f>
        <v>13.162000000000001</v>
      </c>
      <c r="K49" s="44">
        <f>$J$3+[42]FormattedData!D46*$J$4+$M$4*$J$5+[42]FormattedData!D46^2*$J$6+$M$5*$J$7</f>
        <v>52.945850900149694</v>
      </c>
      <c r="L49" s="44">
        <f>$J$3+[42]FormattedData!E46*$J$4+$M$4*$J$5+[42]FormattedData!E46^2*$J$6+$M$5*$J$7</f>
        <v>53.638360532440508</v>
      </c>
      <c r="M49" s="44">
        <f>$J$3+[42]FormattedData!F46*$J$4+$M$4*$J$5+[42]FormattedData!F46^2*$J$6+$M$5*$J$7</f>
        <v>53.03256254406881</v>
      </c>
      <c r="N49" s="44">
        <f>$J$3+[42]FormattedData!G46*$J$4+$M$4*$J$5+[42]FormattedData!G46^2*$J$6+$M$5*$J$7</f>
        <v>52.859096987692659</v>
      </c>
      <c r="O49" s="44">
        <f>$J$3+[42]FormattedData!H46*$J$4+$M$4*$J$5+[42]FormattedData!H46^2*$J$6+$M$5*$J$7</f>
        <v>53.11923191944998</v>
      </c>
      <c r="P49" s="44">
        <f>$J$3+[42]FormattedData!I46*$J$4+$M$4*$J$5+[42]FormattedData!I46^2*$J$6+$M$5*$J$7</f>
        <v>52.511658652485174</v>
      </c>
      <c r="Q49" s="44">
        <f>$J$3+[42]FormattedData!J46*$J$4+$M$4*$J$5+[42]FormattedData!J46^2*$J$6+$M$5*$J$7</f>
        <v>53.205859026293233</v>
      </c>
      <c r="R49" s="44">
        <f>$J$3+[42]FormattedData!K46*$J$4+$M$4*$J$5+[42]FormattedData!K46^2*$J$6+$M$5*$J$7</f>
        <v>53.292443864598553</v>
      </c>
      <c r="S49" s="44">
        <f>$J$3+[42]FormattedData!L46*$J$4+$M$4*$J$5+[42]FormattedData!L46^2*$J$6+$M$5*$J$7</f>
        <v>52.598581639093943</v>
      </c>
      <c r="T49" s="44">
        <f>$J$3+[42]FormattedData!M46*$J$4+$M$4*$J$5+[42]FormattedData!M46^2*$J$6+$M$5*$J$7</f>
        <v>54.586144214626572</v>
      </c>
      <c r="U49" s="44">
        <f>$J$3+[42]FormattedData!N46*$J$4+$M$4*$J$5+[42]FormattedData!N46^2*$J$6+$M$5*$J$7</f>
        <v>53.11923191944998</v>
      </c>
      <c r="V49" s="44">
        <f>$J$3+[42]FormattedData!O46*$J$4+$M$4*$J$5+[42]FormattedData!O46^2*$J$6+$M$5*$J$7</f>
        <v>50.588659006995734</v>
      </c>
      <c r="W49" s="43">
        <f>AVERAGE(K49:V49)</f>
        <v>52.958140100612063</v>
      </c>
      <c r="X49" s="42">
        <f>STDEV(K49:V49)/SQRT(COUNT(K49:V49))</f>
        <v>0.26538551059139714</v>
      </c>
      <c r="Y49" s="41">
        <f>MIN(K49:V49)</f>
        <v>50.588659006995734</v>
      </c>
      <c r="Z49" s="40">
        <f>QUARTILE(K49:V49,1)</f>
        <v>52.79396815054298</v>
      </c>
      <c r="AA49" s="41">
        <f>MEDIAN(K49:V49)</f>
        <v>53.075897231759399</v>
      </c>
      <c r="AB49" s="40">
        <f>QUARTILE(K49:V49,3)</f>
        <v>53.227505235869565</v>
      </c>
      <c r="AC49" s="40">
        <f>MAX(K49:V49)</f>
        <v>54.586144214626572</v>
      </c>
      <c r="AD49" s="40">
        <f>SKEW(K49:V49)</f>
        <v>-1.2283881676224726</v>
      </c>
      <c r="AE49" s="40">
        <f>KURT(K49:V49)</f>
        <v>4.5338767293092186</v>
      </c>
    </row>
    <row r="50" spans="2:31" ht="13.5" thickTop="1" x14ac:dyDescent="0.2">
      <c r="B50" s="34">
        <f>[42]FormattedData!A29</f>
        <v>101</v>
      </c>
      <c r="C50" s="34" t="str">
        <f>VLOOKUP($B50,[42]TrtCodes!$B$11:I72,2)</f>
        <v>FSH</v>
      </c>
      <c r="D50" s="34">
        <f>VLOOKUP($B50,[42]TrtCodes!$B$11:J72,3)</f>
        <v>1</v>
      </c>
      <c r="E50" s="34">
        <f>VLOOKUP($B50,[42]TrtCodes!$B$11:K72,4)</f>
        <v>1</v>
      </c>
      <c r="F50" s="34">
        <f>VLOOKUP($B50,[42]TrtCodes!$B$11:L72,5)</f>
        <v>1</v>
      </c>
      <c r="G50" s="34">
        <f>VLOOKUP($B50,[42]TrtCodes!$B$11:M72,6)</f>
        <v>2</v>
      </c>
      <c r="H50" s="34">
        <f>VLOOKUP($B50,[42]TrtCodes!$B$11:N72,7)</f>
        <v>1</v>
      </c>
      <c r="I50" s="34">
        <f>[42]FormattedData!B29</f>
        <v>2</v>
      </c>
      <c r="J50" s="37">
        <f>[42]FormattedData!C29</f>
        <v>13.000999999999999</v>
      </c>
      <c r="K50" s="39">
        <f>$J$3+[42]FormattedData!D29*$J$4+$M$4*$J$5+[42]FormattedData!D29^2*$J$6+$M$5*$J$7</f>
        <v>33.608643339888957</v>
      </c>
      <c r="L50" s="39">
        <f>$J$3+[42]FormattedData!E29*$J$4+$M$4*$J$5+[42]FormattedData!E29^2*$J$6+$M$5*$J$7</f>
        <v>30.039043321184401</v>
      </c>
      <c r="M50" s="39">
        <f>$J$3+[42]FormattedData!F29*$J$4+$M$4*$J$5+[42]FormattedData!F29^2*$J$6+$M$5*$J$7</f>
        <v>33.033720256829326</v>
      </c>
      <c r="N50" s="39">
        <f>$J$3+[42]FormattedData!G29*$J$4+$M$4*$J$5+[42]FormattedData!G29^2*$J$6+$M$5*$J$7</f>
        <v>31.975742496256782</v>
      </c>
      <c r="O50" s="39">
        <f>$J$3+[42]FormattedData!H29*$J$4+$M$4*$J$5+[42]FormattedData!H29^2*$J$6+$M$5*$J$7</f>
        <v>35.134332298705409</v>
      </c>
      <c r="P50" s="39">
        <f>$J$3+[42]FormattedData!I29*$J$4+$M$4*$J$5+[42]FormattedData!I29^2*$J$6+$M$5*$J$7</f>
        <v>30.524803185124913</v>
      </c>
      <c r="Q50" s="39">
        <f>$J$3+[42]FormattedData!J29*$J$4+$M$4*$J$5+[42]FormattedData!J29^2*$J$6+$M$5*$J$7</f>
        <v>30.427735749412676</v>
      </c>
      <c r="R50" s="39">
        <f>$J$3+[42]FormattedData!K29*$J$4+$M$4*$J$5+[42]FormattedData!K29^2*$J$6+$M$5*$J$7</f>
        <v>32.168482505929525</v>
      </c>
      <c r="S50" s="39">
        <f>$J$3+[42]FormattedData!L29*$J$4+$M$4*$J$5+[42]FormattedData!L29^2*$J$6+$M$5*$J$7</f>
        <v>34.277463718315985</v>
      </c>
      <c r="T50" s="39">
        <f>$J$3+[42]FormattedData!M29*$J$4+$M$4*$J$5+[42]FormattedData!M29^2*$J$6+$M$5*$J$7</f>
        <v>32.553455302819863</v>
      </c>
      <c r="U50" s="39">
        <f>$J$3+[42]FormattedData!N29*$J$4+$M$4*$J$5+[42]FormattedData!N29^2*$J$6+$M$5*$J$7</f>
        <v>29.941764542782508</v>
      </c>
      <c r="V50" s="39">
        <f>$J$3+[42]FormattedData!O29*$J$4+$M$4*$J$5+[42]FormattedData!O29^2*$J$6+$M$5*$J$7</f>
        <v>32.45727550640418</v>
      </c>
      <c r="W50" s="38">
        <f>AVERAGE(K50:V50)</f>
        <v>32.178538518637872</v>
      </c>
      <c r="X50" s="37">
        <f>STDEV(K50:V50)/SQRT(COUNT(K50:V50))</f>
        <v>0.48896126861976652</v>
      </c>
      <c r="Y50" s="36">
        <f>MIN(K50:V50)</f>
        <v>29.941764542782508</v>
      </c>
      <c r="Z50" s="35">
        <f>QUARTILE(K50:V50,1)</f>
        <v>30.500536326196855</v>
      </c>
      <c r="AA50" s="36">
        <f>MEDIAN(K50:V50)</f>
        <v>32.312879006166852</v>
      </c>
      <c r="AB50" s="35">
        <f>QUARTILE(K50:V50,3)</f>
        <v>33.17745102759423</v>
      </c>
      <c r="AC50" s="35">
        <f>MAX(K50:V50)</f>
        <v>35.134332298705409</v>
      </c>
      <c r="AD50" s="35">
        <f>SKEW(K50:V50)</f>
        <v>0.17539727895956084</v>
      </c>
      <c r="AE50" s="35">
        <f>KURT(K50:V50)</f>
        <v>-0.90630677902281676</v>
      </c>
    </row>
    <row r="51" spans="2:31" x14ac:dyDescent="0.2">
      <c r="B51" s="34">
        <f>[42]FormattedData!A27</f>
        <v>102</v>
      </c>
      <c r="C51" s="34" t="str">
        <f>VLOOKUP($B51,[42]TrtCodes!$B$11:I70,2)</f>
        <v>FTL</v>
      </c>
      <c r="D51" s="34">
        <f>VLOOKUP($B51,[42]TrtCodes!$B$11:J70,3)</f>
        <v>4</v>
      </c>
      <c r="E51" s="34">
        <f>VLOOKUP($B51,[42]TrtCodes!$B$11:K70,4)</f>
        <v>1</v>
      </c>
      <c r="F51" s="34">
        <f>VLOOKUP($B51,[42]TrtCodes!$B$11:L70,5)</f>
        <v>2</v>
      </c>
      <c r="G51" s="34">
        <f>VLOOKUP($B51,[42]TrtCodes!$B$11:M70,6)</f>
        <v>1</v>
      </c>
      <c r="H51" s="34">
        <f>VLOOKUP($B51,[42]TrtCodes!$B$11:N70,7)</f>
        <v>1</v>
      </c>
      <c r="I51" s="34">
        <f>[42]FormattedData!B27</f>
        <v>2</v>
      </c>
      <c r="J51" s="37">
        <f>[42]FormattedData!C27</f>
        <v>12.986000000000001</v>
      </c>
      <c r="K51" s="39">
        <f>$J$3+[42]FormattedData!D27*$J$4+$M$4*$J$5+[42]FormattedData!D27^2*$J$6+$M$5*$J$7</f>
        <v>30.330626045162507</v>
      </c>
      <c r="L51" s="39">
        <f>$J$3+[42]FormattedData!E27*$J$4+$M$4*$J$5+[42]FormattedData!E27^2*$J$6+$M$5*$J$7</f>
        <v>30.427735749412676</v>
      </c>
      <c r="M51" s="39">
        <f>$J$3+[42]FormattedData!F27*$J$4+$M$4*$J$5+[42]FormattedData!F27^2*$J$6+$M$5*$J$7</f>
        <v>32.264789107959011</v>
      </c>
      <c r="N51" s="39">
        <f>$J$3+[42]FormattedData!G27*$J$4+$M$4*$J$5+[42]FormattedData!G27^2*$J$6+$M$5*$J$7</f>
        <v>29.649674596349236</v>
      </c>
      <c r="O51" s="39">
        <f>$J$3+[42]FormattedData!H27*$J$4+$M$4*$J$5+[42]FormattedData!H27^2*$J$6+$M$5*$J$7</f>
        <v>30.427735749412676</v>
      </c>
      <c r="P51" s="39">
        <f>$J$3+[42]FormattedData!I27*$J$4+$M$4*$J$5+[42]FormattedData!I27^2*$J$6+$M$5*$J$7</f>
        <v>30.039043321184401</v>
      </c>
      <c r="Q51" s="39">
        <f>$J$3+[42]FormattedData!J27*$J$4+$M$4*$J$5+[42]FormattedData!J27^2*$J$6+$M$5*$J$7</f>
        <v>30.912650242594562</v>
      </c>
      <c r="R51" s="39">
        <f>$J$3+[42]FormattedData!K27*$J$4+$M$4*$J$5+[42]FormattedData!K27^2*$J$6+$M$5*$J$7</f>
        <v>30.81575188103405</v>
      </c>
      <c r="S51" s="39">
        <f>$J$3+[42]FormattedData!L27*$J$4+$M$4*$J$5+[42]FormattedData!L27^2*$J$6+$M$5*$J$7</f>
        <v>30.524803185124913</v>
      </c>
      <c r="T51" s="39">
        <f>$J$3+[42]FormattedData!M27*$J$4+$M$4*$J$5+[42]FormattedData!M27^2*$J$6+$M$5*$J$7</f>
        <v>29.747080180364922</v>
      </c>
      <c r="U51" s="39">
        <f>$J$3+[42]FormattedData!N27*$J$4+$M$4*$J$5+[42]FormattedData!N27^2*$J$6+$M$5*$J$7</f>
        <v>31.87930908861351</v>
      </c>
      <c r="V51" s="39">
        <f>$J$3+[42]FormattedData!O27*$J$4+$M$4*$J$5+[42]FormattedData!O27^2*$J$6+$M$5*$J$7</f>
        <v>31.975742496256782</v>
      </c>
      <c r="W51" s="38">
        <f>AVERAGE(K51:V51)</f>
        <v>30.749578470289109</v>
      </c>
      <c r="X51" s="37">
        <f>STDEV(K51:V51)/SQRT(COUNT(K51:V51))</f>
        <v>0.25014338580377843</v>
      </c>
      <c r="Y51" s="36">
        <f>MIN(K51:V51)</f>
        <v>29.649674596349236</v>
      </c>
      <c r="Z51" s="35">
        <f>QUARTILE(K51:V51,1)</f>
        <v>30.25773036416798</v>
      </c>
      <c r="AA51" s="36">
        <f>MEDIAN(K51:V51)</f>
        <v>30.476269467268793</v>
      </c>
      <c r="AB51" s="35">
        <f>QUARTILE(K51:V51,3)</f>
        <v>31.154314954099299</v>
      </c>
      <c r="AC51" s="35">
        <f>MAX(K51:V51)</f>
        <v>32.264789107959011</v>
      </c>
      <c r="AD51" s="35">
        <f>SKEW(K51:V51)</f>
        <v>0.65730248639076938</v>
      </c>
      <c r="AE51" s="35">
        <f>KURT(K51:V51)</f>
        <v>-0.69495734586782731</v>
      </c>
    </row>
    <row r="52" spans="2:31" x14ac:dyDescent="0.2">
      <c r="B52" s="34">
        <f>[42]FormattedData!A25</f>
        <v>103</v>
      </c>
      <c r="C52" s="34" t="str">
        <f>VLOOKUP($B52,[42]TrtCodes!$B$11:I68,2)</f>
        <v>FDH</v>
      </c>
      <c r="D52" s="34">
        <f>VLOOKUP($B52,[42]TrtCodes!$B$11:J68,3)</f>
        <v>5</v>
      </c>
      <c r="E52" s="34">
        <f>VLOOKUP($B52,[42]TrtCodes!$B$11:K68,4)</f>
        <v>1</v>
      </c>
      <c r="F52" s="34">
        <f>VLOOKUP($B52,[42]TrtCodes!$B$11:L68,5)</f>
        <v>3</v>
      </c>
      <c r="G52" s="34">
        <f>VLOOKUP($B52,[42]TrtCodes!$B$11:M68,6)</f>
        <v>2</v>
      </c>
      <c r="H52" s="34">
        <f>VLOOKUP($B52,[42]TrtCodes!$B$11:N68,7)</f>
        <v>1</v>
      </c>
      <c r="I52" s="34">
        <f>[42]FormattedData!B25</f>
        <v>2</v>
      </c>
      <c r="J52" s="37">
        <f>[42]FormattedData!C25</f>
        <v>12.968999999999999</v>
      </c>
      <c r="K52" s="39">
        <f>$J$3+[42]FormattedData!D25*$J$4+$M$4*$J$5+[42]FormattedData!D25^2*$J$6+$M$5*$J$7</f>
        <v>32.072133635362121</v>
      </c>
      <c r="L52" s="39">
        <f>$J$3+[42]FormattedData!E25*$J$4+$M$4*$J$5+[42]FormattedData!E25^2*$J$6+$M$5*$J$7</f>
        <v>29.649674596349236</v>
      </c>
      <c r="M52" s="39">
        <f>$J$3+[42]FormattedData!F25*$J$4+$M$4*$J$5+[42]FormattedData!F25^2*$J$6+$M$5*$J$7</f>
        <v>29.747080180364922</v>
      </c>
      <c r="N52" s="39">
        <f>$J$3+[42]FormattedData!G25*$J$4+$M$4*$J$5+[42]FormattedData!G25^2*$J$6+$M$5*$J$7</f>
        <v>30.039043321184401</v>
      </c>
      <c r="O52" s="39">
        <f>$J$3+[42]FormattedData!H25*$J$4+$M$4*$J$5+[42]FormattedData!H25^2*$J$6+$M$5*$J$7</f>
        <v>30.330626045162507</v>
      </c>
      <c r="P52" s="39">
        <f>$J$3+[42]FormattedData!I25*$J$4+$M$4*$J$5+[42]FormattedData!I25^2*$J$6+$M$5*$J$7</f>
        <v>31.009506335617143</v>
      </c>
      <c r="Q52" s="39">
        <f>$J$3+[42]FormattedData!J25*$J$4+$M$4*$J$5+[42]FormattedData!J25^2*$J$6+$M$5*$J$7</f>
        <v>30.330626045162507</v>
      </c>
      <c r="R52" s="39">
        <f>$J$3+[42]FormattedData!K25*$J$4+$M$4*$J$5+[42]FormattedData!K25^2*$J$6+$M$5*$J$7</f>
        <v>32.937751803103296</v>
      </c>
      <c r="S52" s="39">
        <f>$J$3+[42]FormattedData!L25*$J$4+$M$4*$J$5+[42]FormattedData!L25^2*$J$6+$M$5*$J$7</f>
        <v>29.941764542782508</v>
      </c>
      <c r="T52" s="39">
        <f>$J$3+[42]FormattedData!M25*$J$4+$M$4*$J$5+[42]FormattedData!M25^2*$J$6+$M$5*$J$7</f>
        <v>30.427735749412676</v>
      </c>
      <c r="U52" s="39">
        <f>$J$3+[42]FormattedData!N25*$J$4+$M$4*$J$5+[42]FormattedData!N25^2*$J$6+$M$5*$J$7</f>
        <v>32.45727550640418</v>
      </c>
      <c r="V52" s="39">
        <f>$J$3+[42]FormattedData!O25*$J$4+$M$4*$J$5+[42]FormattedData!O25^2*$J$6+$M$5*$J$7</f>
        <v>29.941764542782508</v>
      </c>
      <c r="W52" s="38">
        <f>AVERAGE(K52:V52)</f>
        <v>30.740415191973998</v>
      </c>
      <c r="X52" s="37">
        <f>STDEV(K52:V52)/SQRT(COUNT(K52:V52))</f>
        <v>0.32566298360661611</v>
      </c>
      <c r="Y52" s="36">
        <f>MIN(K52:V52)</f>
        <v>29.649674596349236</v>
      </c>
      <c r="Z52" s="35">
        <f>QUARTILE(K52:V52,1)</f>
        <v>29.941764542782508</v>
      </c>
      <c r="AA52" s="36">
        <f>MEDIAN(K52:V52)</f>
        <v>30.330626045162507</v>
      </c>
      <c r="AB52" s="35">
        <f>QUARTILE(K52:V52,3)</f>
        <v>31.275163160553387</v>
      </c>
      <c r="AC52" s="35">
        <f>MAX(K52:V52)</f>
        <v>32.937751803103296</v>
      </c>
      <c r="AD52" s="35">
        <f>SKEW(K52:V52)</f>
        <v>1.0820923661447397</v>
      </c>
      <c r="AE52" s="35">
        <f>KURT(K52:V52)</f>
        <v>-0.27204784878823096</v>
      </c>
    </row>
    <row r="53" spans="2:31" x14ac:dyDescent="0.2">
      <c r="B53" s="34">
        <f>[42]FormattedData!A23</f>
        <v>104</v>
      </c>
      <c r="C53" s="34" t="str">
        <f>VLOOKUP($B53,[42]TrtCodes!$B$11:I66,2)</f>
        <v>NTL</v>
      </c>
      <c r="D53" s="34">
        <f>VLOOKUP($B53,[42]TrtCodes!$B$11:J66,3)</f>
        <v>10</v>
      </c>
      <c r="E53" s="34">
        <f>VLOOKUP($B53,[42]TrtCodes!$B$11:K66,4)</f>
        <v>2</v>
      </c>
      <c r="F53" s="34">
        <f>VLOOKUP($B53,[42]TrtCodes!$B$11:L66,5)</f>
        <v>2</v>
      </c>
      <c r="G53" s="34">
        <f>VLOOKUP($B53,[42]TrtCodes!$B$11:M66,6)</f>
        <v>1</v>
      </c>
      <c r="H53" s="34">
        <f>VLOOKUP($B53,[42]TrtCodes!$B$11:N66,7)</f>
        <v>1</v>
      </c>
      <c r="I53" s="34">
        <f>[42]FormattedData!B23</f>
        <v>2</v>
      </c>
      <c r="J53" s="37">
        <f>[42]FormattedData!C23</f>
        <v>12.952</v>
      </c>
      <c r="K53" s="39">
        <f>$J$3+[42]FormattedData!D23*$J$4+$M$4*$J$5+[42]FormattedData!D23^2*$J$6+$M$5*$J$7</f>
        <v>29.941764542782508</v>
      </c>
      <c r="L53" s="39">
        <f>$J$3+[42]FormattedData!E23*$J$4+$M$4*$J$5+[42]FormattedData!E23^2*$J$6+$M$5*$J$7</f>
        <v>28.673293986606129</v>
      </c>
      <c r="M53" s="39">
        <f>$J$3+[42]FormattedData!F23*$J$4+$M$4*$J$5+[42]FormattedData!F23^2*$J$6+$M$5*$J$7</f>
        <v>29.259629574907166</v>
      </c>
      <c r="N53" s="39">
        <f>$J$3+[42]FormattedData!G23*$J$4+$M$4*$J$5+[42]FormattedData!G23^2*$J$6+$M$5*$J$7</f>
        <v>31.299821003457318</v>
      </c>
      <c r="O53" s="39">
        <f>$J$3+[42]FormattedData!H23*$J$4+$M$4*$J$5+[42]FormattedData!H23^2*$J$6+$M$5*$J$7</f>
        <v>32.361053441450565</v>
      </c>
      <c r="P53" s="39">
        <f>$J$3+[42]FormattedData!I23*$J$4+$M$4*$J$5+[42]FormattedData!I23^2*$J$6+$M$5*$J$7</f>
        <v>28.085436730939573</v>
      </c>
      <c r="Q53" s="39">
        <f>$J$3+[42]FormattedData!J23*$J$4+$M$4*$J$5+[42]FormattedData!J23^2*$J$6+$M$5*$J$7</f>
        <v>30.718811250935602</v>
      </c>
      <c r="R53" s="39">
        <f>$J$3+[42]FormattedData!K23*$J$4+$M$4*$J$5+[42]FormattedData!K23^2*$J$6+$M$5*$J$7</f>
        <v>29.357204233074579</v>
      </c>
      <c r="S53" s="39">
        <f>$J$3+[42]FormattedData!L23*$J$4+$M$4*$J$5+[42]FormattedData!L23^2*$J$6+$M$5*$J$7</f>
        <v>29.747080180364922</v>
      </c>
      <c r="T53" s="39">
        <f>$J$3+[42]FormattedData!M23*$J$4+$M$4*$J$5+[42]FormattedData!M23^2*$J$6+$M$5*$J$7</f>
        <v>28.96665198917734</v>
      </c>
      <c r="U53" s="39">
        <f>$J$3+[42]FormattedData!N23*$J$4+$M$4*$J$5+[42]FormattedData!N23^2*$J$6+$M$5*$J$7</f>
        <v>31.203091716048519</v>
      </c>
      <c r="V53" s="39">
        <f>$J$3+[42]FormattedData!O23*$J$4+$M$4*$J$5+[42]FormattedData!O23^2*$J$6+$M$5*$J$7</f>
        <v>30.621828352299225</v>
      </c>
      <c r="W53" s="38">
        <f>AVERAGE(K53:V53)</f>
        <v>30.019638916836957</v>
      </c>
      <c r="X53" s="37">
        <f>STDEV(K53:V53)/SQRT(COUNT(K53:V53))</f>
        <v>0.36026582754783887</v>
      </c>
      <c r="Y53" s="36">
        <f>MIN(K53:V53)</f>
        <v>28.085436730939573</v>
      </c>
      <c r="Z53" s="35">
        <f>QUARTILE(K53:V53,1)</f>
        <v>29.186385178474708</v>
      </c>
      <c r="AA53" s="36">
        <f>MEDIAN(K53:V53)</f>
        <v>29.844422361573713</v>
      </c>
      <c r="AB53" s="35">
        <f>QUARTILE(K53:V53,3)</f>
        <v>30.839881367213831</v>
      </c>
      <c r="AC53" s="35">
        <f>MAX(K53:V53)</f>
        <v>32.361053441450565</v>
      </c>
      <c r="AD53" s="35">
        <f>SKEW(K53:V53)</f>
        <v>0.31190045615417095</v>
      </c>
      <c r="AE53" s="35">
        <f>KURT(K53:V53)</f>
        <v>-0.51807439975188885</v>
      </c>
    </row>
    <row r="54" spans="2:31" x14ac:dyDescent="0.2">
      <c r="B54" s="34">
        <f>[42]FormattedData!A21</f>
        <v>105</v>
      </c>
      <c r="C54" s="34" t="str">
        <f>VLOOKUP($B54,[42]TrtCodes!$B$11:I64,2)</f>
        <v>NDL</v>
      </c>
      <c r="D54" s="34">
        <f>VLOOKUP($B54,[42]TrtCodes!$B$11:J64,3)</f>
        <v>12</v>
      </c>
      <c r="E54" s="34">
        <f>VLOOKUP($B54,[42]TrtCodes!$B$11:K64,4)</f>
        <v>2</v>
      </c>
      <c r="F54" s="34">
        <f>VLOOKUP($B54,[42]TrtCodes!$B$11:L64,5)</f>
        <v>3</v>
      </c>
      <c r="G54" s="34">
        <f>VLOOKUP($B54,[42]TrtCodes!$B$11:M64,6)</f>
        <v>1</v>
      </c>
      <c r="H54" s="34">
        <f>VLOOKUP($B54,[42]TrtCodes!$B$11:N64,7)</f>
        <v>2</v>
      </c>
      <c r="I54" s="34">
        <f>[42]FormattedData!B21</f>
        <v>2</v>
      </c>
      <c r="J54" s="37">
        <f>[42]FormattedData!C21</f>
        <v>12.936999999999999</v>
      </c>
      <c r="K54" s="39">
        <f>$J$3+[42]FormattedData!D21*$J$4+$M$4*$J$5+[42]FormattedData!D21^2*$J$6+$M$5*$J$7</f>
        <v>29.649674596349236</v>
      </c>
      <c r="L54" s="39">
        <f>$J$3+[42]FormattedData!E21*$J$4+$M$4*$J$5+[42]FormattedData!E21^2*$J$6+$M$5*$J$7</f>
        <v>34.944212938384389</v>
      </c>
      <c r="M54" s="39">
        <f>$J$3+[42]FormattedData!F21*$J$4+$M$4*$J$5+[42]FormattedData!F21^2*$J$6+$M$5*$J$7</f>
        <v>31.589755254456101</v>
      </c>
      <c r="N54" s="39">
        <f>$J$3+[42]FormattedData!G21*$J$4+$M$4*$J$5+[42]FormattedData!G21^2*$J$6+$M$5*$J$7</f>
        <v>32.072133635362121</v>
      </c>
      <c r="O54" s="39">
        <f>$J$3+[42]FormattedData!H21*$J$4+$M$4*$J$5+[42]FormattedData!H21^2*$J$6+$M$5*$J$7</f>
        <v>31.686315467713165</v>
      </c>
      <c r="P54" s="39">
        <f>$J$3+[42]FormattedData!I21*$J$4+$M$4*$J$5+[42]FormattedData!I21^2*$J$6+$M$5*$J$7</f>
        <v>30.233474072374399</v>
      </c>
      <c r="Q54" s="39">
        <f>$J$3+[42]FormattedData!J21*$J$4+$M$4*$J$5+[42]FormattedData!J21^2*$J$6+$M$5*$J$7</f>
        <v>33.417171386354134</v>
      </c>
      <c r="R54" s="39">
        <f>$J$3+[42]FormattedData!K21*$J$4+$M$4*$J$5+[42]FormattedData!K21^2*$J$6+$M$5*$J$7</f>
        <v>29.552226743795611</v>
      </c>
      <c r="S54" s="39">
        <f>$J$3+[42]FormattedData!L21*$J$4+$M$4*$J$5+[42]FormattedData!L21^2*$J$6+$M$5*$J$7</f>
        <v>31.396508022328174</v>
      </c>
      <c r="T54" s="39">
        <f>$J$3+[42]FormattedData!M21*$J$4+$M$4*$J$5+[42]FormattedData!M21^2*$J$6+$M$5*$J$7</f>
        <v>31.203091716048519</v>
      </c>
      <c r="U54" s="39">
        <f>$J$3+[42]FormattedData!N21*$J$4+$M$4*$J$5+[42]FormattedData!N21^2*$J$6+$M$5*$J$7</f>
        <v>30.039043321184401</v>
      </c>
      <c r="V54" s="39">
        <f>$J$3+[42]FormattedData!O21*$J$4+$M$4*$J$5+[42]FormattedData!O21^2*$J$6+$M$5*$J$7</f>
        <v>31.975742496256782</v>
      </c>
      <c r="W54" s="38">
        <f>AVERAGE(K54:V54)</f>
        <v>31.479945804217252</v>
      </c>
      <c r="X54" s="37">
        <f>STDEV(K54:V54)/SQRT(COUNT(K54:V54))</f>
        <v>0.45381073629124091</v>
      </c>
      <c r="Y54" s="36">
        <f>MIN(K54:V54)</f>
        <v>29.552226743795611</v>
      </c>
      <c r="Z54" s="35">
        <f>QUARTILE(K54:V54,1)</f>
        <v>30.1848663845769</v>
      </c>
      <c r="AA54" s="36">
        <f>MEDIAN(K54:V54)</f>
        <v>31.493131638392136</v>
      </c>
      <c r="AB54" s="35">
        <f>QUARTILE(K54:V54,3)</f>
        <v>31.999840281033116</v>
      </c>
      <c r="AC54" s="35">
        <f>MAX(K54:V54)</f>
        <v>34.944212938384389</v>
      </c>
      <c r="AD54" s="35">
        <f>SKEW(K54:V54)</f>
        <v>0.86878843655318339</v>
      </c>
      <c r="AE54" s="35">
        <f>KURT(K54:V54)</f>
        <v>0.87026512033840842</v>
      </c>
    </row>
    <row r="55" spans="2:31" x14ac:dyDescent="0.2">
      <c r="B55" s="34">
        <f>[42]FormattedData!A19</f>
        <v>106</v>
      </c>
      <c r="C55" s="34" t="str">
        <f>VLOOKUP($B55,[42]TrtCodes!$B$11:I62,2)</f>
        <v>NTH</v>
      </c>
      <c r="D55" s="34">
        <f>VLOOKUP($B55,[42]TrtCodes!$B$11:J62,3)</f>
        <v>9</v>
      </c>
      <c r="E55" s="34">
        <f>VLOOKUP($B55,[42]TrtCodes!$B$11:K62,4)</f>
        <v>2</v>
      </c>
      <c r="F55" s="34">
        <f>VLOOKUP($B55,[42]TrtCodes!$B$11:L62,5)</f>
        <v>2</v>
      </c>
      <c r="G55" s="34">
        <f>VLOOKUP($B55,[42]TrtCodes!$B$11:M62,6)</f>
        <v>2</v>
      </c>
      <c r="H55" s="34">
        <f>VLOOKUP($B55,[42]TrtCodes!$B$11:N62,7)</f>
        <v>2</v>
      </c>
      <c r="I55" s="34">
        <f>[42]FormattedData!B19</f>
        <v>2</v>
      </c>
      <c r="J55" s="37">
        <f>[42]FormattedData!C19</f>
        <v>12.920999999999999</v>
      </c>
      <c r="K55" s="39">
        <f>$J$3+[42]FormattedData!D19*$J$4+$M$4*$J$5+[42]FormattedData!D19^2*$J$6+$M$5*$J$7</f>
        <v>30.621828352299225</v>
      </c>
      <c r="L55" s="39">
        <f>$J$3+[42]FormattedData!E19*$J$4+$M$4*$J$5+[42]FormattedData!E19^2*$J$6+$M$5*$J$7</f>
        <v>30.524803185124913</v>
      </c>
      <c r="M55" s="39">
        <f>$J$3+[42]FormattedData!F19*$J$4+$M$4*$J$5+[42]FormattedData!F19^2*$J$6+$M$5*$J$7</f>
        <v>34.944212938384389</v>
      </c>
      <c r="N55" s="39">
        <f>$J$3+[42]FormattedData!G19*$J$4+$M$4*$J$5+[42]FormattedData!G19^2*$J$6+$M$5*$J$7</f>
        <v>31.686315467713165</v>
      </c>
      <c r="O55" s="39">
        <f>$J$3+[42]FormattedData!H19*$J$4+$M$4*$J$5+[42]FormattedData!H19^2*$J$6+$M$5*$J$7</f>
        <v>30.718811250935602</v>
      </c>
      <c r="P55" s="39">
        <f>$J$3+[42]FormattedData!I19*$J$4+$M$4*$J$5+[42]FormattedData!I19^2*$J$6+$M$5*$J$7</f>
        <v>33.417171386354134</v>
      </c>
      <c r="Q55" s="39">
        <f>$J$3+[42]FormattedData!J19*$J$4+$M$4*$J$5+[42]FormattedData!J19^2*$J$6+$M$5*$J$7</f>
        <v>32.168482505929525</v>
      </c>
      <c r="R55" s="39">
        <f>$J$3+[42]FormattedData!K19*$J$4+$M$4*$J$5+[42]FormattedData!K19^2*$J$6+$M$5*$J$7</f>
        <v>30.427735749412676</v>
      </c>
      <c r="S55" s="39">
        <f>$J$3+[42]FormattedData!L19*$J$4+$M$4*$J$5+[42]FormattedData!L19^2*$J$6+$M$5*$J$7</f>
        <v>30.039043321184401</v>
      </c>
      <c r="T55" s="39">
        <f>$J$3+[42]FormattedData!M19*$J$4+$M$4*$J$5+[42]FormattedData!M19^2*$J$6+$M$5*$J$7</f>
        <v>30.330626045162507</v>
      </c>
      <c r="U55" s="39">
        <f>$J$3+[42]FormattedData!N19*$J$4+$M$4*$J$5+[42]FormattedData!N19^2*$J$6+$M$5*$J$7</f>
        <v>31.493152772661105</v>
      </c>
      <c r="V55" s="39">
        <f>$J$3+[42]FormattedData!O19*$J$4+$M$4*$J$5+[42]FormattedData!O19^2*$J$6+$M$5*$J$7</f>
        <v>33.321372006779832</v>
      </c>
      <c r="W55" s="38">
        <f>AVERAGE(K55:V55)</f>
        <v>31.641129581828455</v>
      </c>
      <c r="X55" s="37">
        <f>STDEV(K55:V55)/SQRT(COUNT(K55:V55))</f>
        <v>0.44451364286916428</v>
      </c>
      <c r="Y55" s="36">
        <f>MIN(K55:V55)</f>
        <v>30.039043321184401</v>
      </c>
      <c r="Z55" s="35">
        <f>QUARTILE(K55:V55,1)</f>
        <v>30.500536326196855</v>
      </c>
      <c r="AA55" s="36">
        <f>MEDIAN(K55:V55)</f>
        <v>31.105982011798353</v>
      </c>
      <c r="AB55" s="35">
        <f>QUARTILE(K55:V55,3)</f>
        <v>32.456704881142102</v>
      </c>
      <c r="AC55" s="35">
        <f>MAX(K55:V55)</f>
        <v>34.944212938384389</v>
      </c>
      <c r="AD55" s="35">
        <f>SKEW(K55:V55)</f>
        <v>1.0500333187047419</v>
      </c>
      <c r="AE55" s="35">
        <f>KURT(K55:V55)</f>
        <v>0.22953843319071332</v>
      </c>
    </row>
    <row r="56" spans="2:31" x14ac:dyDescent="0.2">
      <c r="B56" s="34">
        <f>[42]FormattedData!A17</f>
        <v>107</v>
      </c>
      <c r="C56" s="34" t="str">
        <f>VLOOKUP($B56,[42]TrtCodes!$B$11:I60,2)</f>
        <v>NTL</v>
      </c>
      <c r="D56" s="34">
        <f>VLOOKUP($B56,[42]TrtCodes!$B$11:J60,3)</f>
        <v>10</v>
      </c>
      <c r="E56" s="34">
        <f>VLOOKUP($B56,[42]TrtCodes!$B$11:K60,4)</f>
        <v>2</v>
      </c>
      <c r="F56" s="34">
        <f>VLOOKUP($B56,[42]TrtCodes!$B$11:L60,5)</f>
        <v>2</v>
      </c>
      <c r="G56" s="34">
        <f>VLOOKUP($B56,[42]TrtCodes!$B$11:M60,6)</f>
        <v>1</v>
      </c>
      <c r="H56" s="34">
        <f>VLOOKUP($B56,[42]TrtCodes!$B$11:N60,7)</f>
        <v>2</v>
      </c>
      <c r="I56" s="34">
        <f>[42]FormattedData!B17</f>
        <v>2</v>
      </c>
      <c r="J56" s="37">
        <f>[42]FormattedData!C17</f>
        <v>12.906000000000001</v>
      </c>
      <c r="K56" s="39">
        <f>$J$3+[42]FormattedData!D17*$J$4+$M$4*$J$5+[42]FormattedData!D17^2*$J$6+$M$5*$J$7</f>
        <v>30.13627983104837</v>
      </c>
      <c r="L56" s="39">
        <f>$J$3+[42]FormattedData!E17*$J$4+$M$4*$J$5+[42]FormattedData!E17^2*$J$6+$M$5*$J$7</f>
        <v>31.589755254456101</v>
      </c>
      <c r="M56" s="39">
        <f>$J$3+[42]FormattedData!F17*$J$4+$M$4*$J$5+[42]FormattedData!F17^2*$J$6+$M$5*$J$7</f>
        <v>29.747080180364922</v>
      </c>
      <c r="N56" s="39">
        <f>$J$3+[42]FormattedData!G17*$J$4+$M$4*$J$5+[42]FormattedData!G17^2*$J$6+$M$5*$J$7</f>
        <v>30.81575188103405</v>
      </c>
      <c r="O56" s="39">
        <f>$J$3+[42]FormattedData!H17*$J$4+$M$4*$J$5+[42]FormattedData!H17^2*$J$6+$M$5*$J$7</f>
        <v>32.264789107959011</v>
      </c>
      <c r="P56" s="39">
        <f>$J$3+[42]FormattedData!I17*$J$4+$M$4*$J$5+[42]FormattedData!I17^2*$J$6+$M$5*$J$7</f>
        <v>29.357204233074579</v>
      </c>
      <c r="Q56" s="39">
        <f>$J$3+[42]FormattedData!J17*$J$4+$M$4*$J$5+[42]FormattedData!J17^2*$J$6+$M$5*$J$7</f>
        <v>31.975742496256782</v>
      </c>
      <c r="R56" s="39">
        <f>$J$3+[42]FormattedData!K17*$J$4+$M$4*$J$5+[42]FormattedData!K17^2*$J$6+$M$5*$J$7</f>
        <v>30.039043321184401</v>
      </c>
      <c r="S56" s="39">
        <f>$J$3+[42]FormattedData!L17*$J$4+$M$4*$J$5+[42]FormattedData!L17^2*$J$6+$M$5*$J$7</f>
        <v>30.233474072374399</v>
      </c>
      <c r="T56" s="39">
        <f>$J$3+[42]FormattedData!M17*$J$4+$M$4*$J$5+[42]FormattedData!M17^2*$J$6+$M$5*$J$7</f>
        <v>31.396508022328174</v>
      </c>
      <c r="U56" s="39">
        <f>$J$3+[42]FormattedData!N17*$J$4+$M$4*$J$5+[42]FormattedData!N17^2*$J$6+$M$5*$J$7</f>
        <v>31.975742496256782</v>
      </c>
      <c r="V56" s="39">
        <f>$J$3+[42]FormattedData!O17*$J$4+$M$4*$J$5+[42]FormattedData!O17^2*$J$6+$M$5*$J$7</f>
        <v>36.932033648437859</v>
      </c>
      <c r="W56" s="38">
        <f>AVERAGE(K56:V56)</f>
        <v>31.371950378731288</v>
      </c>
      <c r="X56" s="37">
        <f>STDEV(K56:V56)/SQRT(COUNT(K56:V56))</f>
        <v>0.577988099089917</v>
      </c>
      <c r="Y56" s="36">
        <f>MIN(K56:V56)</f>
        <v>29.357204233074579</v>
      </c>
      <c r="Z56" s="35">
        <f>QUARTILE(K56:V56,1)</f>
        <v>30.111970703582379</v>
      </c>
      <c r="AA56" s="36">
        <f>MEDIAN(K56:V56)</f>
        <v>31.106129951681112</v>
      </c>
      <c r="AB56" s="35">
        <f>QUARTILE(K56:V56,3)</f>
        <v>31.975742496256782</v>
      </c>
      <c r="AC56" s="35">
        <f>MAX(K56:V56)</f>
        <v>36.932033648437859</v>
      </c>
      <c r="AD56" s="35">
        <f>SKEW(K56:V56)</f>
        <v>2.1022827897166656</v>
      </c>
      <c r="AE56" s="35">
        <f>KURT(K56:V56)</f>
        <v>5.6474489803721806</v>
      </c>
    </row>
    <row r="57" spans="2:31" x14ac:dyDescent="0.2">
      <c r="B57" s="34">
        <f>[42]FormattedData!A15</f>
        <v>108</v>
      </c>
      <c r="C57" s="34" t="str">
        <f>VLOOKUP($B57,[42]TrtCodes!$B$11:I58,2)</f>
        <v>FTH</v>
      </c>
      <c r="D57" s="34">
        <f>VLOOKUP($B57,[42]TrtCodes!$B$11:J58,3)</f>
        <v>3</v>
      </c>
      <c r="E57" s="34">
        <f>VLOOKUP($B57,[42]TrtCodes!$B$11:K58,4)</f>
        <v>1</v>
      </c>
      <c r="F57" s="34">
        <f>VLOOKUP($B57,[42]TrtCodes!$B$11:L58,5)</f>
        <v>2</v>
      </c>
      <c r="G57" s="34">
        <f>VLOOKUP($B57,[42]TrtCodes!$B$11:M58,6)</f>
        <v>2</v>
      </c>
      <c r="H57" s="34">
        <f>VLOOKUP($B57,[42]TrtCodes!$B$11:N58,7)</f>
        <v>2</v>
      </c>
      <c r="I57" s="34">
        <f>[42]FormattedData!B15</f>
        <v>2</v>
      </c>
      <c r="J57" s="37">
        <f>[42]FormattedData!C15</f>
        <v>12.891</v>
      </c>
      <c r="K57" s="39">
        <f>$J$3+[42]FormattedData!D15*$J$4+$M$4*$J$5+[42]FormattedData!D15^2*$J$6+$M$5*$J$7</f>
        <v>30.427735749412676</v>
      </c>
      <c r="L57" s="39">
        <f>$J$3+[42]FormattedData!E15*$J$4+$M$4*$J$5+[42]FormattedData!E15^2*$J$6+$M$5*$J$7</f>
        <v>30.427735749412676</v>
      </c>
      <c r="M57" s="39">
        <f>$J$3+[42]FormattedData!F15*$J$4+$M$4*$J$5+[42]FormattedData!F15^2*$J$6+$M$5*$J$7</f>
        <v>31.396508022328174</v>
      </c>
      <c r="N57" s="39">
        <f>$J$3+[42]FormattedData!G15*$J$4+$M$4*$J$5+[42]FormattedData!G15^2*$J$6+$M$5*$J$7</f>
        <v>35.987777127522421</v>
      </c>
      <c r="O57" s="39">
        <f>$J$3+[42]FormattedData!H15*$J$4+$M$4*$J$5+[42]FormattedData!H15^2*$J$6+$M$5*$J$7</f>
        <v>30.912650242594562</v>
      </c>
      <c r="P57" s="39">
        <f>$J$3+[42]FormattedData!I15*$J$4+$M$4*$J$5+[42]FormattedData!I15^2*$J$6+$M$5*$J$7</f>
        <v>30.718811250935602</v>
      </c>
      <c r="Q57" s="39">
        <f>$J$3+[42]FormattedData!J15*$J$4+$M$4*$J$5+[42]FormattedData!J15^2*$J$6+$M$5*$J$7</f>
        <v>32.072133635362121</v>
      </c>
      <c r="R57" s="39">
        <f>$J$3+[42]FormattedData!K15*$J$4+$M$4*$J$5+[42]FormattedData!K15^2*$J$6+$M$5*$J$7</f>
        <v>34.086583524312204</v>
      </c>
      <c r="S57" s="39">
        <f>$J$3+[42]FormattedData!L15*$J$4+$M$4*$J$5+[42]FormattedData!L15^2*$J$6+$M$5*$J$7</f>
        <v>31.975742496256782</v>
      </c>
      <c r="T57" s="39">
        <f>$J$3+[42]FormattedData!M15*$J$4+$M$4*$J$5+[42]FormattedData!M15^2*$J$6+$M$5*$J$7</f>
        <v>33.799946219272051</v>
      </c>
      <c r="U57" s="39">
        <f>$J$3+[42]FormattedData!N15*$J$4+$M$4*$J$5+[42]FormattedData!N15^2*$J$6+$M$5*$J$7</f>
        <v>29.941764542782508</v>
      </c>
      <c r="V57" s="39">
        <f>$J$3+[42]FormattedData!O15*$J$4+$M$4*$J$5+[42]FormattedData!O15^2*$J$6+$M$5*$J$7</f>
        <v>30.621828352299225</v>
      </c>
      <c r="W57" s="38">
        <f>AVERAGE(K57:V57)</f>
        <v>31.864101409374246</v>
      </c>
      <c r="X57" s="37">
        <f>STDEV(K57:V57)/SQRT(COUNT(K57:V57))</f>
        <v>0.53334188597039189</v>
      </c>
      <c r="Y57" s="36">
        <f>MIN(K57:V57)</f>
        <v>29.941764542782508</v>
      </c>
      <c r="Z57" s="35">
        <f>QUARTILE(K57:V57,1)</f>
        <v>30.57330520157759</v>
      </c>
      <c r="AA57" s="36">
        <f>MEDIAN(K57:V57)</f>
        <v>31.154579132461368</v>
      </c>
      <c r="AB57" s="35">
        <f>QUARTILE(K57:V57,3)</f>
        <v>32.504086781339602</v>
      </c>
      <c r="AC57" s="35">
        <f>MAX(K57:V57)</f>
        <v>35.987777127522421</v>
      </c>
      <c r="AD57" s="35">
        <f>SKEW(K57:V57)</f>
        <v>1.2273219083971592</v>
      </c>
      <c r="AE57" s="35">
        <f>KURT(K57:V57)</f>
        <v>0.76418557136000498</v>
      </c>
    </row>
    <row r="58" spans="2:31" x14ac:dyDescent="0.2">
      <c r="B58" s="34">
        <f>[42]FormattedData!A31</f>
        <v>201</v>
      </c>
      <c r="C58" s="34" t="str">
        <f>VLOOKUP($B58,[42]TrtCodes!$B$11:I74,2)</f>
        <v>NDL</v>
      </c>
      <c r="D58" s="34">
        <f>VLOOKUP($B58,[42]TrtCodes!$B$11:J74,3)</f>
        <v>12</v>
      </c>
      <c r="E58" s="34">
        <f>VLOOKUP($B58,[42]TrtCodes!$B$11:K74,4)</f>
        <v>2</v>
      </c>
      <c r="F58" s="34">
        <f>VLOOKUP($B58,[42]TrtCodes!$B$11:L74,5)</f>
        <v>3</v>
      </c>
      <c r="G58" s="34">
        <f>VLOOKUP($B58,[42]TrtCodes!$B$11:M74,6)</f>
        <v>1</v>
      </c>
      <c r="H58" s="34">
        <f>VLOOKUP($B58,[42]TrtCodes!$B$11:N74,7)</f>
        <v>1</v>
      </c>
      <c r="I58" s="34">
        <f>[42]FormattedData!B31</f>
        <v>2</v>
      </c>
      <c r="J58" s="37">
        <f>[42]FormattedData!C31</f>
        <v>13.031000000000001</v>
      </c>
      <c r="K58" s="39">
        <f>$J$3+[42]FormattedData!D31*$J$4+$M$4*$J$5+[42]FormattedData!D31^2*$J$6+$M$5*$J$7</f>
        <v>31.106320160101802</v>
      </c>
      <c r="L58" s="39">
        <f>$J$3+[42]FormattedData!E31*$J$4+$M$4*$J$5+[42]FormattedData!E31^2*$J$6+$M$5*$J$7</f>
        <v>31.493152772661105</v>
      </c>
      <c r="M58" s="39">
        <f>$J$3+[42]FormattedData!F31*$J$4+$M$4*$J$5+[42]FormattedData!F31^2*$J$6+$M$5*$J$7</f>
        <v>30.718811250935602</v>
      </c>
      <c r="N58" s="39">
        <f>$J$3+[42]FormattedData!G31*$J$4+$M$4*$J$5+[42]FormattedData!G31^2*$J$6+$M$5*$J$7</f>
        <v>30.524803185124913</v>
      </c>
      <c r="O58" s="39">
        <f>$J$3+[42]FormattedData!H31*$J$4+$M$4*$J$5+[42]FormattedData!H31^2*$J$6+$M$5*$J$7</f>
        <v>30.524803185124913</v>
      </c>
      <c r="P58" s="39">
        <f>$J$3+[42]FormattedData!I31*$J$4+$M$4*$J$5+[42]FormattedData!I31^2*$J$6+$M$5*$J$7</f>
        <v>30.233474072374399</v>
      </c>
      <c r="Q58" s="39">
        <f>$J$3+[42]FormattedData!J31*$J$4+$M$4*$J$5+[42]FormattedData!J31^2*$J$6+$M$5*$J$7</f>
        <v>31.975742496256782</v>
      </c>
      <c r="R58" s="39">
        <f>$J$3+[42]FormattedData!K31*$J$4+$M$4*$J$5+[42]FormattedData!K31^2*$J$6+$M$5*$J$7</f>
        <v>32.168482505929525</v>
      </c>
      <c r="S58" s="39">
        <f>$J$3+[42]FormattedData!L31*$J$4+$M$4*$J$5+[42]FormattedData!L31^2*$J$6+$M$5*$J$7</f>
        <v>30.524803185124913</v>
      </c>
      <c r="T58" s="39">
        <f>$J$3+[42]FormattedData!M31*$J$4+$M$4*$J$5+[42]FormattedData!M31^2*$J$6+$M$5*$J$7</f>
        <v>31.589755254456101</v>
      </c>
      <c r="U58" s="39">
        <f>$J$3+[42]FormattedData!N31*$J$4+$M$4*$J$5+[42]FormattedData!N31^2*$J$6+$M$5*$J$7</f>
        <v>30.718811250935602</v>
      </c>
      <c r="V58" s="39">
        <f>$J$3+[42]FormattedData!O31*$J$4+$M$4*$J$5+[42]FormattedData!O31^2*$J$6+$M$5*$J$7</f>
        <v>32.072133635362121</v>
      </c>
      <c r="W58" s="38">
        <f>AVERAGE(K58:V58)</f>
        <v>31.137591079532314</v>
      </c>
      <c r="X58" s="37">
        <f>STDEV(K58:V58)/SQRT(COUNT(K58:V58))</f>
        <v>0.19971887080701228</v>
      </c>
      <c r="Y58" s="36">
        <f>MIN(K58:V58)</f>
        <v>30.233474072374399</v>
      </c>
      <c r="Z58" s="35">
        <f>QUARTILE(K58:V58,1)</f>
        <v>30.524803185124913</v>
      </c>
      <c r="AA58" s="36">
        <f>MEDIAN(K58:V58)</f>
        <v>30.912565705518702</v>
      </c>
      <c r="AB58" s="35">
        <f>QUARTILE(K58:V58,3)</f>
        <v>31.68625206490627</v>
      </c>
      <c r="AC58" s="35">
        <f>MAX(K58:V58)</f>
        <v>32.168482505929525</v>
      </c>
      <c r="AD58" s="35">
        <f>SKEW(K58:V58)</f>
        <v>0.34974418037294508</v>
      </c>
      <c r="AE58" s="35">
        <f>KURT(K58:V58)</f>
        <v>-1.5599363865204774</v>
      </c>
    </row>
    <row r="59" spans="2:31" x14ac:dyDescent="0.2">
      <c r="B59" s="34">
        <f>[42]FormattedData!A33</f>
        <v>202</v>
      </c>
      <c r="C59" s="34" t="str">
        <f>VLOOKUP($B59,[42]TrtCodes!$B$11:I76,2)</f>
        <v>NTH</v>
      </c>
      <c r="D59" s="34">
        <f>VLOOKUP($B59,[42]TrtCodes!$B$11:J76,3)</f>
        <v>9</v>
      </c>
      <c r="E59" s="34">
        <f>VLOOKUP($B59,[42]TrtCodes!$B$11:K76,4)</f>
        <v>2</v>
      </c>
      <c r="F59" s="34">
        <f>VLOOKUP($B59,[42]TrtCodes!$B$11:L76,5)</f>
        <v>2</v>
      </c>
      <c r="G59" s="34">
        <f>VLOOKUP($B59,[42]TrtCodes!$B$11:M76,6)</f>
        <v>2</v>
      </c>
      <c r="H59" s="34">
        <f>VLOOKUP($B59,[42]TrtCodes!$B$11:N76,7)</f>
        <v>1</v>
      </c>
      <c r="I59" s="34">
        <f>[42]FormattedData!B33</f>
        <v>2</v>
      </c>
      <c r="J59" s="37">
        <f>[42]FormattedData!C33</f>
        <v>13.047000000000001</v>
      </c>
      <c r="K59" s="39">
        <f>$J$3+[42]FormattedData!D33*$J$4+$M$4*$J$5+[42]FormattedData!D33^2*$J$6+$M$5*$J$7</f>
        <v>29.844443495842686</v>
      </c>
      <c r="L59" s="39">
        <f>$J$3+[42]FormattedData!E33*$J$4+$M$4*$J$5+[42]FormattedData!E33^2*$J$6+$M$5*$J$7</f>
        <v>32.841741080839334</v>
      </c>
      <c r="M59" s="39">
        <f>$J$3+[42]FormattedData!F33*$J$4+$M$4*$J$5+[42]FormattedData!F33^2*$J$6+$M$5*$J$7</f>
        <v>33.704315913849463</v>
      </c>
      <c r="N59" s="39">
        <f>$J$3+[42]FormattedData!G33*$J$4+$M$4*$J$5+[42]FormattedData!G33^2*$J$6+$M$5*$J$7</f>
        <v>30.524803185124913</v>
      </c>
      <c r="O59" s="39">
        <f>$J$3+[42]FormattedData!H33*$J$4+$M$4*$J$5+[42]FormattedData!H33^2*$J$6+$M$5*$J$7</f>
        <v>28.575423448673199</v>
      </c>
      <c r="P59" s="39">
        <f>$J$3+[42]FormattedData!I33*$J$4+$M$4*$J$5+[42]FormattedData!I33^2*$J$6+$M$5*$J$7</f>
        <v>29.454736622704065</v>
      </c>
      <c r="Q59" s="39">
        <f>$J$3+[42]FormattedData!J33*$J$4+$M$4*$J$5+[42]FormattedData!J33^2*$J$6+$M$5*$J$7</f>
        <v>30.13627983104837</v>
      </c>
      <c r="R59" s="39">
        <f>$J$3+[42]FormattedData!K33*$J$4+$M$4*$J$5+[42]FormattedData!K33^2*$J$6+$M$5*$J$7</f>
        <v>30.718811250935602</v>
      </c>
      <c r="S59" s="39">
        <f>$J$3+[42]FormattedData!L33*$J$4+$M$4*$J$5+[42]FormattedData!L33^2*$J$6+$M$5*$J$7</f>
        <v>30.330626045162507</v>
      </c>
      <c r="T59" s="39">
        <f>$J$3+[42]FormattedData!M33*$J$4+$M$4*$J$5+[42]FormattedData!M33^2*$J$6+$M$5*$J$7</f>
        <v>30.912650242594562</v>
      </c>
      <c r="U59" s="39">
        <f>$J$3+[42]FormattedData!N33*$J$4+$M$4*$J$5+[42]FormattedData!N33^2*$J$6+$M$5*$J$7</f>
        <v>30.233474072374399</v>
      </c>
      <c r="V59" s="39">
        <f>$J$3+[42]FormattedData!O33*$J$4+$M$4*$J$5+[42]FormattedData!O33^2*$J$6+$M$5*$J$7</f>
        <v>30.524803185124913</v>
      </c>
      <c r="W59" s="38">
        <f>AVERAGE(K59:V59)</f>
        <v>30.65017569785617</v>
      </c>
      <c r="X59" s="37">
        <f>STDEV(K59:V59)/SQRT(COUNT(K59:V59))</f>
        <v>0.40036430940993378</v>
      </c>
      <c r="Y59" s="36">
        <f>MIN(K59:V59)</f>
        <v>28.575423448673199</v>
      </c>
      <c r="Z59" s="35">
        <f>QUARTILE(K59:V59,1)</f>
        <v>30.063320747246948</v>
      </c>
      <c r="AA59" s="36">
        <f>MEDIAN(K59:V59)</f>
        <v>30.42771461514371</v>
      </c>
      <c r="AB59" s="35">
        <f>QUARTILE(K59:V59,3)</f>
        <v>30.767270998850343</v>
      </c>
      <c r="AC59" s="35">
        <f>MAX(K59:V59)</f>
        <v>33.704315913849463</v>
      </c>
      <c r="AD59" s="35">
        <f>SKEW(K59:V59)</f>
        <v>1.1297003818198925</v>
      </c>
      <c r="AE59" s="35">
        <f>KURT(K59:V59)</f>
        <v>1.5537915895630707</v>
      </c>
    </row>
    <row r="60" spans="2:31" x14ac:dyDescent="0.2">
      <c r="B60" s="34">
        <f>[42]FormattedData!A35</f>
        <v>203</v>
      </c>
      <c r="C60" s="34" t="str">
        <f>VLOOKUP($B60,[42]TrtCodes!$B$11:I78,2)</f>
        <v>FTH</v>
      </c>
      <c r="D60" s="34">
        <f>VLOOKUP($B60,[42]TrtCodes!$B$11:J78,3)</f>
        <v>3</v>
      </c>
      <c r="E60" s="34">
        <f>VLOOKUP($B60,[42]TrtCodes!$B$11:K78,4)</f>
        <v>1</v>
      </c>
      <c r="F60" s="34">
        <f>VLOOKUP($B60,[42]TrtCodes!$B$11:L78,5)</f>
        <v>2</v>
      </c>
      <c r="G60" s="34">
        <f>VLOOKUP($B60,[42]TrtCodes!$B$11:M78,6)</f>
        <v>2</v>
      </c>
      <c r="H60" s="34">
        <f>VLOOKUP($B60,[42]TrtCodes!$B$11:N78,7)</f>
        <v>1</v>
      </c>
      <c r="I60" s="34">
        <f>[42]FormattedData!B35</f>
        <v>2</v>
      </c>
      <c r="J60" s="37">
        <f>[42]FormattedData!C35</f>
        <v>13.061</v>
      </c>
      <c r="K60" s="39">
        <f>$J$3+[42]FormattedData!D35*$J$4+$M$4*$J$5+[42]FormattedData!D35^2*$J$6+$M$5*$J$7</f>
        <v>31.396508022328174</v>
      </c>
      <c r="L60" s="39">
        <f>$J$3+[42]FormattedData!E35*$J$4+$M$4*$J$5+[42]FormattedData!E35^2*$J$6+$M$5*$J$7</f>
        <v>31.106320160101802</v>
      </c>
      <c r="M60" s="39">
        <f>$J$3+[42]FormattedData!F35*$J$4+$M$4*$J$5+[42]FormattedData!F35^2*$J$6+$M$5*$J$7</f>
        <v>29.259629574907166</v>
      </c>
      <c r="N60" s="39">
        <f>$J$3+[42]FormattedData!G35*$J$4+$M$4*$J$5+[42]FormattedData!G35^2*$J$6+$M$5*$J$7</f>
        <v>30.912650242594562</v>
      </c>
      <c r="O60" s="39">
        <f>$J$3+[42]FormattedData!H35*$J$4+$M$4*$J$5+[42]FormattedData!H35^2*$J$6+$M$5*$J$7</f>
        <v>32.072133635362121</v>
      </c>
      <c r="P60" s="39">
        <f>$J$3+[42]FormattedData!I35*$J$4+$M$4*$J$5+[42]FormattedData!I35^2*$J$6+$M$5*$J$7</f>
        <v>28.96665198917734</v>
      </c>
      <c r="Q60" s="39">
        <f>$J$3+[42]FormattedData!J35*$J$4+$M$4*$J$5+[42]FormattedData!J35^2*$J$6+$M$5*$J$7</f>
        <v>28.673293986606129</v>
      </c>
      <c r="R60" s="39">
        <f>$J$3+[42]FormattedData!K35*$J$4+$M$4*$J$5+[42]FormattedData!K35^2*$J$6+$M$5*$J$7</f>
        <v>28.575423448673199</v>
      </c>
      <c r="S60" s="39">
        <f>$J$3+[42]FormattedData!L35*$J$4+$M$4*$J$5+[42]FormattedData!L35^2*$J$6+$M$5*$J$7</f>
        <v>37.872063315560176</v>
      </c>
      <c r="T60" s="39">
        <f>$J$3+[42]FormattedData!M35*$J$4+$M$4*$J$5+[42]FormattedData!M35^2*$J$6+$M$5*$J$7</f>
        <v>29.747080180364922</v>
      </c>
      <c r="U60" s="39">
        <f>$J$3+[42]FormattedData!N35*$J$4+$M$4*$J$5+[42]FormattedData!N35^2*$J$6+$M$5*$J$7</f>
        <v>32.649592830697614</v>
      </c>
      <c r="V60" s="39">
        <f>$J$3+[42]FormattedData!O35*$J$4+$M$4*$J$5+[42]FormattedData!O35^2*$J$6+$M$5*$J$7</f>
        <v>32.264789107959011</v>
      </c>
      <c r="W60" s="38">
        <f>AVERAGE(K60:V60)</f>
        <v>31.124678041194354</v>
      </c>
      <c r="X60" s="37">
        <f>STDEV(K60:V60)/SQRT(COUNT(K60:V60))</f>
        <v>0.74218414203476302</v>
      </c>
      <c r="Y60" s="36">
        <f>MIN(K60:V60)</f>
        <v>28.575423448673199</v>
      </c>
      <c r="Z60" s="35">
        <f>QUARTILE(K60:V60,1)</f>
        <v>29.186385178474708</v>
      </c>
      <c r="AA60" s="36">
        <f>MEDIAN(K60:V60)</f>
        <v>31.009485201348184</v>
      </c>
      <c r="AB60" s="35">
        <f>QUARTILE(K60:V60,3)</f>
        <v>32.120297503511345</v>
      </c>
      <c r="AC60" s="35">
        <f>MAX(K60:V60)</f>
        <v>37.872063315560176</v>
      </c>
      <c r="AD60" s="35">
        <f>SKEW(K60:V60)</f>
        <v>1.6858702153467886</v>
      </c>
      <c r="AE60" s="35">
        <f>KURT(K60:V60)</f>
        <v>3.8877735311569701</v>
      </c>
    </row>
    <row r="61" spans="2:31" x14ac:dyDescent="0.2">
      <c r="B61" s="34">
        <f>[42]FormattedData!A37</f>
        <v>204</v>
      </c>
      <c r="C61" s="34" t="str">
        <f>VLOOKUP($B61,[42]TrtCodes!$B$11:I80,2)</f>
        <v>NDH</v>
      </c>
      <c r="D61" s="34">
        <f>VLOOKUP($B61,[42]TrtCodes!$B$11:J80,3)</f>
        <v>11</v>
      </c>
      <c r="E61" s="34">
        <f>VLOOKUP($B61,[42]TrtCodes!$B$11:K80,4)</f>
        <v>2</v>
      </c>
      <c r="F61" s="34">
        <f>VLOOKUP($B61,[42]TrtCodes!$B$11:L80,5)</f>
        <v>3</v>
      </c>
      <c r="G61" s="34">
        <f>VLOOKUP($B61,[42]TrtCodes!$B$11:M80,6)</f>
        <v>2</v>
      </c>
      <c r="H61" s="34">
        <f>VLOOKUP($B61,[42]TrtCodes!$B$11:N80,7)</f>
        <v>1</v>
      </c>
      <c r="I61" s="34">
        <f>[42]FormattedData!B37</f>
        <v>2</v>
      </c>
      <c r="J61" s="37">
        <f>[42]FormattedData!C37</f>
        <v>13.077</v>
      </c>
      <c r="K61" s="39">
        <f>$J$3+[42]FormattedData!D37*$J$4+$M$4*$J$5+[42]FormattedData!D37^2*$J$6+$M$5*$J$7</f>
        <v>33.129646442017425</v>
      </c>
      <c r="L61" s="39">
        <f>$J$3+[42]FormattedData!E37*$J$4+$M$4*$J$5+[42]FormattedData!E37^2*$J$6+$M$5*$J$7</f>
        <v>34.468174838168039</v>
      </c>
      <c r="M61" s="39">
        <f>$J$3+[42]FormattedData!F37*$J$4+$M$4*$J$5+[42]FormattedData!F37^2*$J$6+$M$5*$J$7</f>
        <v>33.321372006779832</v>
      </c>
      <c r="N61" s="39">
        <f>$J$3+[42]FormattedData!G37*$J$4+$M$4*$J$5+[42]FormattedData!G37^2*$J$6+$M$5*$J$7</f>
        <v>29.844443495842686</v>
      </c>
      <c r="O61" s="39">
        <f>$J$3+[42]FormattedData!H37*$J$4+$M$4*$J$5+[42]FormattedData!H37^2*$J$6+$M$5*$J$7</f>
        <v>30.621828352299225</v>
      </c>
      <c r="P61" s="39">
        <f>$J$3+[42]FormattedData!I37*$J$4+$M$4*$J$5+[42]FormattedData!I37^2*$J$6+$M$5*$J$7</f>
        <v>30.427735749412676</v>
      </c>
      <c r="Q61" s="39">
        <f>$J$3+[42]FormattedData!J37*$J$4+$M$4*$J$5+[42]FormattedData!J37^2*$J$6+$M$5*$J$7</f>
        <v>28.868908256858202</v>
      </c>
      <c r="R61" s="39">
        <f>$J$3+[42]FormattedData!K37*$J$4+$M$4*$J$5+[42]FormattedData!K37^2*$J$6+$M$5*$J$7</f>
        <v>31.87930908861351</v>
      </c>
      <c r="S61" s="39">
        <f>$J$3+[42]FormattedData!L37*$J$4+$M$4*$J$5+[42]FormattedData!L37^2*$J$6+$M$5*$J$7</f>
        <v>30.81575188103405</v>
      </c>
      <c r="T61" s="39">
        <f>$J$3+[42]FormattedData!M37*$J$4+$M$4*$J$5+[42]FormattedData!M37^2*$J$6+$M$5*$J$7</f>
        <v>29.454736622704065</v>
      </c>
      <c r="U61" s="39">
        <f>$J$3+[42]FormattedData!N37*$J$4+$M$4*$J$5+[42]FormattedData!N37^2*$J$6+$M$5*$J$7</f>
        <v>30.621828352299225</v>
      </c>
      <c r="V61" s="39">
        <f>$J$3+[42]FormattedData!O37*$J$4+$M$4*$J$5+[42]FormattedData!O37^2*$J$6+$M$5*$J$7</f>
        <v>29.259629574907166</v>
      </c>
      <c r="W61" s="38">
        <f>AVERAGE(K61:V61)</f>
        <v>31.059447055078</v>
      </c>
      <c r="X61" s="37">
        <f>STDEV(K61:V61)/SQRT(COUNT(K61:V61))</f>
        <v>0.51215696591325988</v>
      </c>
      <c r="Y61" s="36">
        <f>MIN(K61:V61)</f>
        <v>28.868908256858202</v>
      </c>
      <c r="Z61" s="35">
        <f>QUARTILE(K61:V61,1)</f>
        <v>29.747016777558031</v>
      </c>
      <c r="AA61" s="36">
        <f>MEDIAN(K61:V61)</f>
        <v>30.621828352299225</v>
      </c>
      <c r="AB61" s="35">
        <f>QUARTILE(K61:V61,3)</f>
        <v>32.191893426964491</v>
      </c>
      <c r="AC61" s="35">
        <f>MAX(K61:V61)</f>
        <v>34.468174838168039</v>
      </c>
      <c r="AD61" s="35">
        <f>SKEW(K61:V61)</f>
        <v>0.74040575942672893</v>
      </c>
      <c r="AE61" s="35">
        <f>KURT(K61:V61)</f>
        <v>-0.49348220442656565</v>
      </c>
    </row>
    <row r="62" spans="2:31" x14ac:dyDescent="0.2">
      <c r="B62" s="34">
        <f>[42]FormattedData!A39</f>
        <v>205</v>
      </c>
      <c r="C62" s="34" t="str">
        <f>VLOOKUP($B62,[42]TrtCodes!$B$11:I82,2)</f>
        <v>FSH</v>
      </c>
      <c r="D62" s="34">
        <f>VLOOKUP($B62,[42]TrtCodes!$B$11:J82,3)</f>
        <v>1</v>
      </c>
      <c r="E62" s="34">
        <f>VLOOKUP($B62,[42]TrtCodes!$B$11:K82,4)</f>
        <v>1</v>
      </c>
      <c r="F62" s="34">
        <f>VLOOKUP($B62,[42]TrtCodes!$B$11:L82,5)</f>
        <v>1</v>
      </c>
      <c r="G62" s="34">
        <f>VLOOKUP($B62,[42]TrtCodes!$B$11:M82,6)</f>
        <v>2</v>
      </c>
      <c r="H62" s="34">
        <f>VLOOKUP($B62,[42]TrtCodes!$B$11:N82,7)</f>
        <v>2</v>
      </c>
      <c r="I62" s="34">
        <f>[42]FormattedData!B39</f>
        <v>2</v>
      </c>
      <c r="J62" s="37">
        <f>[42]FormattedData!C39</f>
        <v>13.096</v>
      </c>
      <c r="K62" s="39">
        <f>$J$3+[42]FormattedData!D39*$J$4+$M$4*$J$5+[42]FormattedData!D39^2*$J$6+$M$5*$J$7</f>
        <v>40.018090639796661</v>
      </c>
      <c r="L62" s="39">
        <f>$J$3+[42]FormattedData!E39*$J$4+$M$4*$J$5+[42]FormattedData!E39^2*$J$6+$M$5*$J$7</f>
        <v>36.082392988034655</v>
      </c>
      <c r="M62" s="39">
        <f>$J$3+[42]FormattedData!F39*$J$4+$M$4*$J$5+[42]FormattedData!F39^2*$J$6+$M$5*$J$7</f>
        <v>32.649592830697614</v>
      </c>
      <c r="N62" s="39">
        <f>$J$3+[42]FormattedData!G39*$J$4+$M$4*$J$5+[42]FormattedData!G39^2*$J$6+$M$5*$J$7</f>
        <v>32.072133635362121</v>
      </c>
      <c r="O62" s="39">
        <f>$J$3+[42]FormattedData!H39*$J$4+$M$4*$J$5+[42]FormattedData!H39^2*$J$6+$M$5*$J$7</f>
        <v>32.168482505929525</v>
      </c>
      <c r="P62" s="39">
        <f>$J$3+[42]FormattedData!I39*$J$4+$M$4*$J$5+[42]FormattedData!I39^2*$J$6+$M$5*$J$7</f>
        <v>32.553455302819863</v>
      </c>
      <c r="Q62" s="39">
        <f>$J$3+[42]FormattedData!J39*$J$4+$M$4*$J$5+[42]FormattedData!J39^2*$J$6+$M$5*$J$7</f>
        <v>34.468174838168039</v>
      </c>
      <c r="R62" s="39">
        <f>$J$3+[42]FormattedData!K39*$J$4+$M$4*$J$5+[42]FormattedData!K39^2*$J$6+$M$5*$J$7</f>
        <v>31.975742496256782</v>
      </c>
      <c r="S62" s="39">
        <f>$J$3+[42]FormattedData!L39*$J$4+$M$4*$J$5+[42]FormattedData!L39^2*$J$6+$M$5*$J$7</f>
        <v>37.496558671166426</v>
      </c>
      <c r="T62" s="39">
        <f>$J$3+[42]FormattedData!M39*$J$4+$M$4*$J$5+[42]FormattedData!M39^2*$J$6+$M$5*$J$7</f>
        <v>34.277463718315985</v>
      </c>
      <c r="U62" s="39">
        <f>$J$3+[42]FormattedData!N39*$J$4+$M$4*$J$5+[42]FormattedData!N39^2*$J$6+$M$5*$J$7</f>
        <v>31.493152772661105</v>
      </c>
      <c r="V62" s="39">
        <f>$J$3+[42]FormattedData!O39*$J$4+$M$4*$J$5+[42]FormattedData!O39^2*$J$6+$M$5*$J$7</f>
        <v>36.271497903445329</v>
      </c>
      <c r="W62" s="38">
        <f>AVERAGE(K62:V62)</f>
        <v>34.293894858554509</v>
      </c>
      <c r="X62" s="37">
        <f>STDEV(K62:V62)/SQRT(COUNT(K62:V62))</f>
        <v>0.77150090785634062</v>
      </c>
      <c r="Y62" s="36">
        <f>MIN(K62:V62)</f>
        <v>31.493152772661105</v>
      </c>
      <c r="Z62" s="35">
        <f>QUARTILE(K62:V62,1)</f>
        <v>32.144395288287676</v>
      </c>
      <c r="AA62" s="36">
        <f>MEDIAN(K62:V62)</f>
        <v>33.4635282745068</v>
      </c>
      <c r="AB62" s="35">
        <f>QUARTILE(K62:V62,3)</f>
        <v>36.129669216887322</v>
      </c>
      <c r="AC62" s="35">
        <f>MAX(K62:V62)</f>
        <v>40.018090639796661</v>
      </c>
      <c r="AD62" s="35">
        <f>SKEW(K62:V62)</f>
        <v>0.96672250273442295</v>
      </c>
      <c r="AE62" s="35">
        <f>KURT(K62:V62)</f>
        <v>0.15512251939578192</v>
      </c>
    </row>
    <row r="63" spans="2:31" x14ac:dyDescent="0.2">
      <c r="B63" s="34">
        <f>[42]FormattedData!A41</f>
        <v>206</v>
      </c>
      <c r="C63" s="34" t="str">
        <f>VLOOKUP($B63,[42]TrtCodes!$B$11:I84,2)</f>
        <v>NSL</v>
      </c>
      <c r="D63" s="34">
        <f>VLOOKUP($B63,[42]TrtCodes!$B$11:J84,3)</f>
        <v>8</v>
      </c>
      <c r="E63" s="34">
        <f>VLOOKUP($B63,[42]TrtCodes!$B$11:K84,4)</f>
        <v>2</v>
      </c>
      <c r="F63" s="34">
        <f>VLOOKUP($B63,[42]TrtCodes!$B$11:L84,5)</f>
        <v>1</v>
      </c>
      <c r="G63" s="34">
        <f>VLOOKUP($B63,[42]TrtCodes!$B$11:M84,6)</f>
        <v>1</v>
      </c>
      <c r="H63" s="34">
        <f>VLOOKUP($B63,[42]TrtCodes!$B$11:N84,7)</f>
        <v>2</v>
      </c>
      <c r="I63" s="34">
        <f>[42]FormattedData!B41</f>
        <v>2</v>
      </c>
      <c r="J63" s="37">
        <f>[42]FormattedData!C41</f>
        <v>13.114000000000001</v>
      </c>
      <c r="K63" s="39">
        <f>$J$3+[42]FormattedData!D41*$J$4+$M$4*$J$5+[42]FormattedData!D41^2*$J$6+$M$5*$J$7</f>
        <v>32.74568809003744</v>
      </c>
      <c r="L63" s="39">
        <f>$J$3+[42]FormattedData!E41*$J$4+$M$4*$J$5+[42]FormattedData!E41^2*$J$6+$M$5*$J$7</f>
        <v>37.214486368222836</v>
      </c>
      <c r="M63" s="39">
        <f>$J$3+[42]FormattedData!F41*$J$4+$M$4*$J$5+[42]FormattedData!F41^2*$J$6+$M$5*$J$7</f>
        <v>30.524803185124913</v>
      </c>
      <c r="N63" s="39">
        <f>$J$3+[42]FormattedData!G41*$J$4+$M$4*$J$5+[42]FormattedData!G41^2*$J$6+$M$5*$J$7</f>
        <v>31.589755254456101</v>
      </c>
      <c r="O63" s="39">
        <f>$J$3+[42]FormattedData!H41*$J$4+$M$4*$J$5+[42]FormattedData!H41^2*$J$6+$M$5*$J$7</f>
        <v>35.703675934758131</v>
      </c>
      <c r="P63" s="39">
        <f>$J$3+[42]FormattedData!I41*$J$4+$M$4*$J$5+[42]FormattedData!I41^2*$J$6+$M$5*$J$7</f>
        <v>37.965833805313792</v>
      </c>
      <c r="Q63" s="39">
        <f>$J$3+[42]FormattedData!J41*$J$4+$M$4*$J$5+[42]FormattedData!J41^2*$J$6+$M$5*$J$7</f>
        <v>33.608643339888957</v>
      </c>
      <c r="R63" s="39">
        <f>$J$3+[42]FormattedData!K41*$J$4+$M$4*$J$5+[42]FormattedData!K41^2*$J$6+$M$5*$J$7</f>
        <v>31.686315467713165</v>
      </c>
      <c r="S63" s="39">
        <f>$J$3+[42]FormattedData!L41*$J$4+$M$4*$J$5+[42]FormattedData!L41^2*$J$6+$M$5*$J$7</f>
        <v>33.225530358667591</v>
      </c>
      <c r="T63" s="39">
        <f>$J$3+[42]FormattedData!M41*$J$4+$M$4*$J$5+[42]FormattedData!M41^2*$J$6+$M$5*$J$7</f>
        <v>38.059562026529477</v>
      </c>
      <c r="U63" s="39">
        <f>$J$3+[42]FormattedData!N41*$J$4+$M$4*$J$5+[42]FormattedData!N41^2*$J$6+$M$5*$J$7</f>
        <v>38.246891663347036</v>
      </c>
      <c r="V63" s="39">
        <f>$J$3+[42]FormattedData!O41*$J$4+$M$4*$J$5+[42]FormattedData!O41^2*$J$6+$M$5*$J$7</f>
        <v>35.987777127522421</v>
      </c>
      <c r="W63" s="38">
        <f>AVERAGE(K63:V63)</f>
        <v>34.713246885131817</v>
      </c>
      <c r="X63" s="37">
        <f>STDEV(K63:V63)/SQRT(COUNT(K63:V63))</f>
        <v>0.81133858520215951</v>
      </c>
      <c r="Y63" s="36">
        <f>MIN(K63:V63)</f>
        <v>30.524803185124913</v>
      </c>
      <c r="Z63" s="35">
        <f>QUARTILE(K63:V63,1)</f>
        <v>32.480844934456371</v>
      </c>
      <c r="AA63" s="36">
        <f>MEDIAN(K63:V63)</f>
        <v>34.65615963732354</v>
      </c>
      <c r="AB63" s="35">
        <f>QUARTILE(K63:V63,3)</f>
        <v>37.402323227495572</v>
      </c>
      <c r="AC63" s="35">
        <f>MAX(K63:V63)</f>
        <v>38.246891663347036</v>
      </c>
      <c r="AD63" s="35">
        <f>SKEW(K63:V63)</f>
        <v>-4.5439997999143347E-2</v>
      </c>
      <c r="AE63" s="35">
        <f>KURT(K63:V63)</f>
        <v>-1.6488258747766147</v>
      </c>
    </row>
    <row r="64" spans="2:31" x14ac:dyDescent="0.2">
      <c r="B64" s="34">
        <f>[42]FormattedData!A43</f>
        <v>207</v>
      </c>
      <c r="C64" s="34" t="str">
        <f>VLOOKUP($B64,[42]TrtCodes!$B$11:I86,2)</f>
        <v>FTL</v>
      </c>
      <c r="D64" s="34">
        <f>VLOOKUP($B64,[42]TrtCodes!$B$11:J86,3)</f>
        <v>4</v>
      </c>
      <c r="E64" s="34">
        <f>VLOOKUP($B64,[42]TrtCodes!$B$11:K86,4)</f>
        <v>1</v>
      </c>
      <c r="F64" s="34">
        <f>VLOOKUP($B64,[42]TrtCodes!$B$11:L86,5)</f>
        <v>2</v>
      </c>
      <c r="G64" s="34">
        <f>VLOOKUP($B64,[42]TrtCodes!$B$11:M86,6)</f>
        <v>1</v>
      </c>
      <c r="H64" s="34">
        <f>VLOOKUP($B64,[42]TrtCodes!$B$11:N86,7)</f>
        <v>2</v>
      </c>
      <c r="I64" s="34">
        <f>[42]FormattedData!B43</f>
        <v>2</v>
      </c>
      <c r="J64" s="37">
        <f>[42]FormattedData!C43</f>
        <v>13.13</v>
      </c>
      <c r="K64" s="39">
        <f>$J$3+[42]FormattedData!D43*$J$4+$M$4*$J$5+[42]FormattedData!D43^2*$J$6+$M$5*$J$7</f>
        <v>34.849089855416992</v>
      </c>
      <c r="L64" s="39">
        <f>$J$3+[42]FormattedData!E43*$J$4+$M$4*$J$5+[42]FormattedData!E43^2*$J$6+$M$5*$J$7</f>
        <v>31.106320160101802</v>
      </c>
      <c r="M64" s="39">
        <f>$J$3+[42]FormattedData!F43*$J$4+$M$4*$J$5+[42]FormattedData!F43^2*$J$6+$M$5*$J$7</f>
        <v>33.129646442017425</v>
      </c>
      <c r="N64" s="39">
        <f>$J$3+[42]FormattedData!G43*$J$4+$M$4*$J$5+[42]FormattedData!G43^2*$J$6+$M$5*$J$7</f>
        <v>31.203091716048519</v>
      </c>
      <c r="O64" s="39">
        <f>$J$3+[42]FormattedData!H43*$J$4+$M$4*$J$5+[42]FormattedData!H43^2*$J$6+$M$5*$J$7</f>
        <v>30.427735749412676</v>
      </c>
      <c r="P64" s="39">
        <f>$J$3+[42]FormattedData!I43*$J$4+$M$4*$J$5+[42]FormattedData!I43^2*$J$6+$M$5*$J$7</f>
        <v>31.396508022328174</v>
      </c>
      <c r="Q64" s="39">
        <f>$J$3+[42]FormattedData!J43*$J$4+$M$4*$J$5+[42]FormattedData!J43^2*$J$6+$M$5*$J$7</f>
        <v>30.524803185124913</v>
      </c>
      <c r="R64" s="39">
        <f>$J$3+[42]FormattedData!K43*$J$4+$M$4*$J$5+[42]FormattedData!K43^2*$J$6+$M$5*$J$7</f>
        <v>32.361053441450565</v>
      </c>
      <c r="S64" s="39">
        <f>$J$3+[42]FormattedData!L43*$J$4+$M$4*$J$5+[42]FormattedData!L43^2*$J$6+$M$5*$J$7</f>
        <v>35.324282584874716</v>
      </c>
      <c r="T64" s="39">
        <f>$J$3+[42]FormattedData!M43*$J$4+$M$4*$J$5+[42]FormattedData!M43^2*$J$6+$M$5*$J$7</f>
        <v>33.417171386354134</v>
      </c>
      <c r="U64" s="39">
        <f>$J$3+[42]FormattedData!N43*$J$4+$M$4*$J$5+[42]FormattedData!N43^2*$J$6+$M$5*$J$7</f>
        <v>31.782833412432304</v>
      </c>
      <c r="V64" s="39">
        <f>$J$3+[42]FormattedData!O43*$J$4+$M$4*$J$5+[42]FormattedData!O43^2*$J$6+$M$5*$J$7</f>
        <v>30.330626045162507</v>
      </c>
      <c r="W64" s="38">
        <f>AVERAGE(K64:V64)</f>
        <v>32.15443016672706</v>
      </c>
      <c r="X64" s="37">
        <f>STDEV(K64:V64)/SQRT(COUNT(K64:V64))</f>
        <v>0.48910043650011265</v>
      </c>
      <c r="Y64" s="36">
        <f>MIN(K64:V64)</f>
        <v>30.330626045162507</v>
      </c>
      <c r="Z64" s="35">
        <f>QUARTILE(K64:V64,1)</f>
        <v>30.960940916357579</v>
      </c>
      <c r="AA64" s="36">
        <f>MEDIAN(K64:V64)</f>
        <v>31.589670717380237</v>
      </c>
      <c r="AB64" s="35">
        <f>QUARTILE(K64:V64,3)</f>
        <v>33.201527678101598</v>
      </c>
      <c r="AC64" s="35">
        <f>MAX(K64:V64)</f>
        <v>35.324282584874716</v>
      </c>
      <c r="AD64" s="35">
        <f>SKEW(K64:V64)</f>
        <v>0.81476511835817056</v>
      </c>
      <c r="AE64" s="35">
        <f>KURT(K64:V64)</f>
        <v>-0.46676157364222304</v>
      </c>
    </row>
    <row r="65" spans="2:31" x14ac:dyDescent="0.2">
      <c r="B65" s="34">
        <f>[42]FormattedData!A45</f>
        <v>208</v>
      </c>
      <c r="C65" s="34" t="str">
        <f>VLOOKUP($B65,[42]TrtCodes!$B$11:I88,2)</f>
        <v>FSL</v>
      </c>
      <c r="D65" s="34">
        <f>VLOOKUP($B65,[42]TrtCodes!$B$11:J88,3)</f>
        <v>2</v>
      </c>
      <c r="E65" s="34">
        <f>VLOOKUP($B65,[42]TrtCodes!$B$11:K88,4)</f>
        <v>1</v>
      </c>
      <c r="F65" s="34">
        <f>VLOOKUP($B65,[42]TrtCodes!$B$11:L88,5)</f>
        <v>1</v>
      </c>
      <c r="G65" s="34">
        <f>VLOOKUP($B65,[42]TrtCodes!$B$11:M88,6)</f>
        <v>1</v>
      </c>
      <c r="H65" s="34">
        <f>VLOOKUP($B65,[42]TrtCodes!$B$11:N88,7)</f>
        <v>2</v>
      </c>
      <c r="I65" s="34">
        <f>[42]FormattedData!B45</f>
        <v>2</v>
      </c>
      <c r="J65" s="37">
        <f>[42]FormattedData!C45</f>
        <v>13.145</v>
      </c>
      <c r="K65" s="39">
        <f>$J$3+[42]FormattedData!D45*$J$4+$M$4*$J$5+[42]FormattedData!D45^2*$J$6+$M$5*$J$7</f>
        <v>33.895534256156701</v>
      </c>
      <c r="L65" s="39">
        <f>$J$3+[42]FormattedData!E45*$J$4+$M$4*$J$5+[42]FormattedData!E45^2*$J$6+$M$5*$J$7</f>
        <v>33.033720256829326</v>
      </c>
      <c r="M65" s="39">
        <f>$J$3+[42]FormattedData!F45*$J$4+$M$4*$J$5+[42]FormattedData!F45^2*$J$6+$M$5*$J$7</f>
        <v>33.799946219272051</v>
      </c>
      <c r="N65" s="39">
        <f>$J$3+[42]FormattedData!G45*$J$4+$M$4*$J$5+[42]FormattedData!G45^2*$J$6+$M$5*$J$7</f>
        <v>38.901213933263691</v>
      </c>
      <c r="O65" s="39">
        <f>$J$3+[42]FormattedData!H45*$J$4+$M$4*$J$5+[42]FormattedData!H45^2*$J$6+$M$5*$J$7</f>
        <v>32.361053441450565</v>
      </c>
      <c r="P65" s="39">
        <f>$J$3+[42]FormattedData!I45*$J$4+$M$4*$J$5+[42]FormattedData!I45^2*$J$6+$M$5*$J$7</f>
        <v>35.987777127522421</v>
      </c>
      <c r="Q65" s="39">
        <f>$J$3+[42]FormattedData!J45*$J$4+$M$4*$J$5+[42]FormattedData!J45^2*$J$6+$M$5*$J$7</f>
        <v>32.649592830697614</v>
      </c>
      <c r="R65" s="39">
        <f>$J$3+[42]FormattedData!K45*$J$4+$M$4*$J$5+[42]FormattedData!K45^2*$J$6+$M$5*$J$7</f>
        <v>36.460433744704275</v>
      </c>
      <c r="S65" s="39">
        <f>$J$3+[42]FormattedData!L45*$J$4+$M$4*$J$5+[42]FormattedData!L45^2*$J$6+$M$5*$J$7</f>
        <v>37.684395530439168</v>
      </c>
      <c r="T65" s="39">
        <f>$J$3+[42]FormattedData!M45*$J$4+$M$4*$J$5+[42]FormattedData!M45^2*$J$6+$M$5*$J$7</f>
        <v>44.968713284601719</v>
      </c>
      <c r="U65" s="39">
        <f>$J$3+[42]FormattedData!N45*$J$4+$M$4*$J$5+[42]FormattedData!N45^2*$J$6+$M$5*$J$7</f>
        <v>31.203091716048519</v>
      </c>
      <c r="V65" s="39">
        <f>$J$3+[42]FormattedData!O45*$J$4+$M$4*$J$5+[42]FormattedData!O45^2*$J$6+$M$5*$J$7</f>
        <v>33.225530358667591</v>
      </c>
      <c r="W65" s="38">
        <f>AVERAGE(K65:V65)</f>
        <v>35.347583558304471</v>
      </c>
      <c r="X65" s="37">
        <f>STDEV(K65:V65)/SQRT(COUNT(K65:V65))</f>
        <v>1.1010994161254537</v>
      </c>
      <c r="Y65" s="36">
        <f>MIN(K65:V65)</f>
        <v>31.203091716048519</v>
      </c>
      <c r="Z65" s="35">
        <f>QUARTILE(K65:V65,1)</f>
        <v>32.937688400296395</v>
      </c>
      <c r="AA65" s="36">
        <f>MEDIAN(K65:V65)</f>
        <v>33.847740237714376</v>
      </c>
      <c r="AB65" s="35">
        <f>QUARTILE(K65:V65,3)</f>
        <v>36.766424191138</v>
      </c>
      <c r="AC65" s="35">
        <f>MAX(K65:V65)</f>
        <v>44.968713284601719</v>
      </c>
      <c r="AD65" s="35">
        <f>SKEW(K65:V65)</f>
        <v>1.57988459455774</v>
      </c>
      <c r="AE65" s="35">
        <f>KURT(K65:V65)</f>
        <v>2.8497617096501644</v>
      </c>
    </row>
    <row r="66" spans="2:31" x14ac:dyDescent="0.2">
      <c r="B66" s="34">
        <f>[42]FormattedData!A63</f>
        <v>301</v>
      </c>
      <c r="C66" s="34" t="str">
        <f>VLOOKUP($B66,[42]TrtCodes!$B$11:I106,2)</f>
        <v>NTL</v>
      </c>
      <c r="D66" s="34">
        <f>VLOOKUP($B66,[42]TrtCodes!$B$11:J106,3)</f>
        <v>10</v>
      </c>
      <c r="E66" s="34">
        <f>VLOOKUP($B66,[42]TrtCodes!$B$11:K106,4)</f>
        <v>2</v>
      </c>
      <c r="F66" s="34">
        <f>VLOOKUP($B66,[42]TrtCodes!$B$11:L106,5)</f>
        <v>2</v>
      </c>
      <c r="G66" s="34">
        <f>VLOOKUP($B66,[42]TrtCodes!$B$11:M106,6)</f>
        <v>1</v>
      </c>
      <c r="H66" s="34">
        <f>VLOOKUP($B66,[42]TrtCodes!$B$11:N106,7)</f>
        <v>3</v>
      </c>
      <c r="I66" s="34">
        <f>[42]FormattedData!B63</f>
        <v>2</v>
      </c>
      <c r="J66" s="37">
        <f>[42]FormattedData!C63</f>
        <v>13.27</v>
      </c>
      <c r="K66" s="39">
        <f>$J$3+[42]FormattedData!D63*$J$4+$M$4*$J$5+[42]FormattedData!D63^2*$J$6+$M$5*$J$7</f>
        <v>33.991080024503411</v>
      </c>
      <c r="L66" s="39">
        <f>$J$3+[42]FormattedData!E63*$J$4+$M$4*$J$5+[42]FormattedData!E63^2*$J$6+$M$5*$J$7</f>
        <v>33.991080024503411</v>
      </c>
      <c r="M66" s="39">
        <f>$J$3+[42]FormattedData!F63*$J$4+$M$4*$J$5+[42]FormattedData!F63^2*$J$6+$M$5*$J$7</f>
        <v>36.932033648437859</v>
      </c>
      <c r="N66" s="39">
        <f>$J$3+[42]FormattedData!G63*$J$4+$M$4*$J$5+[42]FormattedData!G63^2*$J$6+$M$5*$J$7</f>
        <v>34.468174838168039</v>
      </c>
      <c r="O66" s="39">
        <f>$J$3+[42]FormattedData!H63*$J$4+$M$4*$J$5+[42]FormattedData!H63^2*$J$6+$M$5*$J$7</f>
        <v>35.987777127522421</v>
      </c>
      <c r="P66" s="39">
        <f>$J$3+[42]FormattedData!I63*$J$4+$M$4*$J$5+[42]FormattedData!I63^2*$J$6+$M$5*$J$7</f>
        <v>38.807866128889387</v>
      </c>
      <c r="Q66" s="39">
        <f>$J$3+[42]FormattedData!J63*$J$4+$M$4*$J$5+[42]FormattedData!J63^2*$J$6+$M$5*$J$7</f>
        <v>35.608891000094175</v>
      </c>
      <c r="R66" s="39">
        <f>$J$3+[42]FormattedData!K63*$J$4+$M$4*$J$5+[42]FormattedData!K63^2*$J$6+$M$5*$J$7</f>
        <v>37.402576838723157</v>
      </c>
      <c r="S66" s="39">
        <f>$J$3+[42]FormattedData!L63*$J$4+$M$4*$J$5+[42]FormattedData!L63^2*$J$6+$M$5*$J$7</f>
        <v>33.512928497390504</v>
      </c>
      <c r="T66" s="39">
        <f>$J$3+[42]FormattedData!M63*$J$4+$M$4*$J$5+[42]FormattedData!M63^2*$J$6+$M$5*$J$7</f>
        <v>37.402576838723157</v>
      </c>
      <c r="U66" s="39">
        <f>$J$3+[42]FormattedData!N63*$J$4+$M$4*$J$5+[42]FormattedData!N63^2*$J$6+$M$5*$J$7</f>
        <v>38.994519469100062</v>
      </c>
      <c r="V66" s="39">
        <f>$J$3+[42]FormattedData!O63*$J$4+$M$4*$J$5+[42]FormattedData!O63^2*$J$6+$M$5*$J$7</f>
        <v>33.417171386354134</v>
      </c>
      <c r="W66" s="38">
        <f>AVERAGE(K66:V66)</f>
        <v>35.876389651867477</v>
      </c>
      <c r="X66" s="37">
        <f>STDEV(K66:V66)/SQRT(COUNT(K66:V66))</f>
        <v>0.58321656632253882</v>
      </c>
      <c r="Y66" s="36">
        <f>MIN(K66:V66)</f>
        <v>33.417171386354134</v>
      </c>
      <c r="Z66" s="35">
        <f>QUARTILE(K66:V66,1)</f>
        <v>33.991080024503411</v>
      </c>
      <c r="AA66" s="36">
        <f>MEDIAN(K66:V66)</f>
        <v>35.798334063808298</v>
      </c>
      <c r="AB66" s="35">
        <f>QUARTILE(K66:V66,3)</f>
        <v>37.402576838723157</v>
      </c>
      <c r="AC66" s="35">
        <f>MAX(K66:V66)</f>
        <v>38.994519469100062</v>
      </c>
      <c r="AD66" s="35">
        <f>SKEW(K66:V66)</f>
        <v>0.25806013697628694</v>
      </c>
      <c r="AE66" s="35">
        <f>KURT(K66:V66)</f>
        <v>-1.4090977213046503</v>
      </c>
    </row>
    <row r="67" spans="2:31" x14ac:dyDescent="0.2">
      <c r="B67" s="34">
        <f>[42]FormattedData!A65</f>
        <v>302</v>
      </c>
      <c r="C67" s="34" t="str">
        <f>VLOOKUP($B67,[42]TrtCodes!$B$11:I108,2)</f>
        <v>FTL</v>
      </c>
      <c r="D67" s="34">
        <f>VLOOKUP($B67,[42]TrtCodes!$B$11:J108,3)</f>
        <v>4</v>
      </c>
      <c r="E67" s="34">
        <f>VLOOKUP($B67,[42]TrtCodes!$B$11:K108,4)</f>
        <v>1</v>
      </c>
      <c r="F67" s="34">
        <f>VLOOKUP($B67,[42]TrtCodes!$B$11:L108,5)</f>
        <v>2</v>
      </c>
      <c r="G67" s="34">
        <f>VLOOKUP($B67,[42]TrtCodes!$B$11:M108,6)</f>
        <v>1</v>
      </c>
      <c r="H67" s="34">
        <f>VLOOKUP($B67,[42]TrtCodes!$B$11:N108,7)</f>
        <v>3</v>
      </c>
      <c r="I67" s="34">
        <f>[42]FormattedData!B65</f>
        <v>2</v>
      </c>
      <c r="J67" s="37">
        <f>[42]FormattedData!C65</f>
        <v>13.286</v>
      </c>
      <c r="K67" s="39">
        <f>$J$3+[42]FormattedData!D65*$J$4+$M$4*$J$5+[42]FormattedData!D65^2*$J$6+$M$5*$J$7</f>
        <v>35.893118998472247</v>
      </c>
      <c r="L67" s="39">
        <f>$J$3+[42]FormattedData!E65*$J$4+$M$4*$J$5+[42]FormattedData!E65^2*$J$6+$M$5*$J$7</f>
        <v>39.181003735159003</v>
      </c>
      <c r="M67" s="39">
        <f>$J$3+[42]FormattedData!F65*$J$4+$M$4*$J$5+[42]FormattedData!F65^2*$J$6+$M$5*$J$7</f>
        <v>31.589755254456101</v>
      </c>
      <c r="N67" s="39">
        <f>$J$3+[42]FormattedData!G65*$J$4+$M$4*$J$5+[42]FormattedData!G65^2*$J$6+$M$5*$J$7</f>
        <v>32.937751803103296</v>
      </c>
      <c r="O67" s="39">
        <f>$J$3+[42]FormattedData!H65*$J$4+$M$4*$J$5+[42]FormattedData!H65^2*$J$6+$M$5*$J$7</f>
        <v>33.799946219272051</v>
      </c>
      <c r="P67" s="39">
        <f>$J$3+[42]FormattedData!I65*$J$4+$M$4*$J$5+[42]FormattedData!I65^2*$J$6+$M$5*$J$7</f>
        <v>36.365986958343761</v>
      </c>
      <c r="Q67" s="39">
        <f>$J$3+[42]FormattedData!J65*$J$4+$M$4*$J$5+[42]FormattedData!J65^2*$J$6+$M$5*$J$7</f>
        <v>33.704315913849463</v>
      </c>
      <c r="R67" s="39">
        <f>$J$3+[42]FormattedData!K65*$J$4+$M$4*$J$5+[42]FormattedData!K65^2*$J$6+$M$5*$J$7</f>
        <v>33.225530358667591</v>
      </c>
      <c r="S67" s="39">
        <f>$J$3+[42]FormattedData!L65*$J$4+$M$4*$J$5+[42]FormattedData!L65^2*$J$6+$M$5*$J$7</f>
        <v>30.718811250935602</v>
      </c>
      <c r="T67" s="39">
        <f>$J$3+[42]FormattedData!M65*$J$4+$M$4*$J$5+[42]FormattedData!M65^2*$J$6+$M$5*$J$7</f>
        <v>34.849089855416992</v>
      </c>
      <c r="U67" s="39">
        <f>$J$3+[42]FormattedData!N65*$J$4+$M$4*$J$5+[42]FormattedData!N65^2*$J$6+$M$5*$J$7</f>
        <v>38.059562026529477</v>
      </c>
      <c r="V67" s="39">
        <f>$J$3+[42]FormattedData!O65*$J$4+$M$4*$J$5+[42]FormattedData!O65^2*$J$6+$M$5*$J$7</f>
        <v>34.086583524312204</v>
      </c>
      <c r="W67" s="38">
        <f>AVERAGE(K67:V67)</f>
        <v>34.534287991543145</v>
      </c>
      <c r="X67" s="37">
        <f>STDEV(K67:V67)/SQRT(COUNT(K67:V67))</f>
        <v>0.7189988207850555</v>
      </c>
      <c r="Y67" s="36">
        <f>MIN(K67:V67)</f>
        <v>30.718811250935602</v>
      </c>
      <c r="Z67" s="35">
        <f>QUARTILE(K67:V67,1)</f>
        <v>33.153585719776515</v>
      </c>
      <c r="AA67" s="36">
        <f>MEDIAN(K67:V67)</f>
        <v>33.943264871792124</v>
      </c>
      <c r="AB67" s="35">
        <f>QUARTILE(K67:V67,3)</f>
        <v>36.011335988440123</v>
      </c>
      <c r="AC67" s="35">
        <f>MAX(K67:V67)</f>
        <v>39.181003735159003</v>
      </c>
      <c r="AD67" s="35">
        <f>SKEW(K67:V67)</f>
        <v>0.45458196283604613</v>
      </c>
      <c r="AE67" s="35">
        <f>KURT(K67:V67)</f>
        <v>-0.21438032646311056</v>
      </c>
    </row>
    <row r="68" spans="2:31" x14ac:dyDescent="0.2">
      <c r="B68" s="34">
        <f>[42]FormattedData!A67</f>
        <v>303</v>
      </c>
      <c r="C68" s="34" t="str">
        <f>VLOOKUP($B68,[42]TrtCodes!$B$11:I110,2)</f>
        <v>NSL</v>
      </c>
      <c r="D68" s="34">
        <f>VLOOKUP($B68,[42]TrtCodes!$B$11:J110,3)</f>
        <v>8</v>
      </c>
      <c r="E68" s="34">
        <f>VLOOKUP($B68,[42]TrtCodes!$B$11:K110,4)</f>
        <v>2</v>
      </c>
      <c r="F68" s="34">
        <f>VLOOKUP($B68,[42]TrtCodes!$B$11:L110,5)</f>
        <v>1</v>
      </c>
      <c r="G68" s="34">
        <f>VLOOKUP($B68,[42]TrtCodes!$B$11:M110,6)</f>
        <v>1</v>
      </c>
      <c r="H68" s="34">
        <f>VLOOKUP($B68,[42]TrtCodes!$B$11:N110,7)</f>
        <v>3</v>
      </c>
      <c r="I68" s="34">
        <f>[42]FormattedData!B67</f>
        <v>2</v>
      </c>
      <c r="J68" s="37">
        <f>[42]FormattedData!C67</f>
        <v>13.301</v>
      </c>
      <c r="K68" s="39">
        <f>$J$3+[42]FormattedData!D67*$J$4+$M$4*$J$5+[42]FormattedData!D67^2*$J$6+$M$5*$J$7</f>
        <v>35.039293752813869</v>
      </c>
      <c r="L68" s="39">
        <f>$J$3+[42]FormattedData!E67*$J$4+$M$4*$J$5+[42]FormattedData!E67^2*$J$6+$M$5*$J$7</f>
        <v>37.590498235071756</v>
      </c>
      <c r="M68" s="39">
        <f>$J$3+[42]FormattedData!F67*$J$4+$M$4*$J$5+[42]FormattedData!F67^2*$J$6+$M$5*$J$7</f>
        <v>34.658716883868372</v>
      </c>
      <c r="N68" s="39">
        <f>$J$3+[42]FormattedData!G67*$J$4+$M$4*$J$5+[42]FormattedData!G67^2*$J$6+$M$5*$J$7</f>
        <v>35.893118998472247</v>
      </c>
      <c r="O68" s="39">
        <f>$J$3+[42]FormattedData!H67*$J$4+$M$4*$J$5+[42]FormattedData!H67^2*$J$6+$M$5*$J$7</f>
        <v>34.182044755583057</v>
      </c>
      <c r="P68" s="39">
        <f>$J$3+[42]FormattedData!I67*$J$4+$M$4*$J$5+[42]FormattedData!I67^2*$J$6+$M$5*$J$7</f>
        <v>37.120377730165771</v>
      </c>
      <c r="Q68" s="39">
        <f>$J$3+[42]FormattedData!J67*$J$4+$M$4*$J$5+[42]FormattedData!J67^2*$J$6+$M$5*$J$7</f>
        <v>35.608891000094175</v>
      </c>
      <c r="R68" s="39">
        <f>$J$3+[42]FormattedData!K67*$J$4+$M$4*$J$5+[42]FormattedData!K67^2*$J$6+$M$5*$J$7</f>
        <v>37.496558671166426</v>
      </c>
      <c r="S68" s="39">
        <f>$J$3+[42]FormattedData!L67*$J$4+$M$4*$J$5+[42]FormattedData!L67^2*$J$6+$M$5*$J$7</f>
        <v>37.872063315560176</v>
      </c>
      <c r="T68" s="39">
        <f>$J$3+[42]FormattedData!M67*$J$4+$M$4*$J$5+[42]FormattedData!M67^2*$J$6+$M$5*$J$7</f>
        <v>35.039293752813869</v>
      </c>
      <c r="U68" s="39">
        <f>$J$3+[42]FormattedData!N67*$J$4+$M$4*$J$5+[42]FormattedData!N67^2*$J$6+$M$5*$J$7</f>
        <v>34.182044755583057</v>
      </c>
      <c r="V68" s="39">
        <f>$J$3+[42]FormattedData!O67*$J$4+$M$4*$J$5+[42]FormattedData!O67^2*$J$6+$M$5*$J$7</f>
        <v>35.703675934758131</v>
      </c>
      <c r="W68" s="38">
        <f>AVERAGE(K68:V68)</f>
        <v>35.865548148829241</v>
      </c>
      <c r="X68" s="37">
        <f>STDEV(K68:V68)/SQRT(COUNT(K68:V68))</f>
        <v>0.38748788720125721</v>
      </c>
      <c r="Y68" s="36">
        <f>MIN(K68:V68)</f>
        <v>34.182044755583057</v>
      </c>
      <c r="Z68" s="35">
        <f>QUARTILE(K68:V68,1)</f>
        <v>34.944149535577495</v>
      </c>
      <c r="AA68" s="36">
        <f>MEDIAN(K68:V68)</f>
        <v>35.65628346742615</v>
      </c>
      <c r="AB68" s="35">
        <f>QUARTILE(K68:V68,3)</f>
        <v>37.214422965415935</v>
      </c>
      <c r="AC68" s="35">
        <f>MAX(K68:V68)</f>
        <v>37.872063315560176</v>
      </c>
      <c r="AD68" s="35">
        <f>SKEW(K68:V68)</f>
        <v>0.31917223926447535</v>
      </c>
      <c r="AE68" s="35">
        <f>KURT(K68:V68)</f>
        <v>-1.424708950869408</v>
      </c>
    </row>
    <row r="69" spans="2:31" x14ac:dyDescent="0.2">
      <c r="B69" s="34">
        <f>[42]FormattedData!A69</f>
        <v>304</v>
      </c>
      <c r="C69" s="34" t="str">
        <f>VLOOKUP($B69,[42]TrtCodes!$B$11:I112,2)</f>
        <v>FSL</v>
      </c>
      <c r="D69" s="34">
        <f>VLOOKUP($B69,[42]TrtCodes!$B$11:J112,3)</f>
        <v>2</v>
      </c>
      <c r="E69" s="34">
        <f>VLOOKUP($B69,[42]TrtCodes!$B$11:K112,4)</f>
        <v>1</v>
      </c>
      <c r="F69" s="34">
        <f>VLOOKUP($B69,[42]TrtCodes!$B$11:L112,5)</f>
        <v>1</v>
      </c>
      <c r="G69" s="34">
        <f>VLOOKUP($B69,[42]TrtCodes!$B$11:M112,6)</f>
        <v>1</v>
      </c>
      <c r="H69" s="34">
        <f>VLOOKUP($B69,[42]TrtCodes!$B$11:N112,7)</f>
        <v>3</v>
      </c>
      <c r="I69" s="34">
        <f>[42]FormattedData!B69</f>
        <v>2</v>
      </c>
      <c r="J69" s="37">
        <f>[42]FormattedData!C69</f>
        <v>13.317</v>
      </c>
      <c r="K69" s="39">
        <f>$J$3+[42]FormattedData!D69*$J$4+$M$4*$J$5+[42]FormattedData!D69^2*$J$6+$M$5*$J$7</f>
        <v>42.508808844275087</v>
      </c>
      <c r="L69" s="39">
        <f>$J$3+[42]FormattedData!E69*$J$4+$M$4*$J$5+[42]FormattedData!E69^2*$J$6+$M$5*$J$7</f>
        <v>45.511174130530229</v>
      </c>
      <c r="M69" s="39">
        <f>$J$3+[42]FormattedData!F69*$J$4+$M$4*$J$5+[42]FormattedData!F69^2*$J$6+$M$5*$J$7</f>
        <v>40.481659521323323</v>
      </c>
      <c r="N69" s="39">
        <f>$J$3+[42]FormattedData!G69*$J$4+$M$4*$J$5+[42]FormattedData!G69^2*$J$6+$M$5*$J$7</f>
        <v>35.229328576059032</v>
      </c>
      <c r="O69" s="39">
        <f>$J$3+[42]FormattedData!H69*$J$4+$M$4*$J$5+[42]FormattedData!H69^2*$J$6+$M$5*$J$7</f>
        <v>39.739442088425484</v>
      </c>
      <c r="P69" s="39">
        <f>$J$3+[42]FormattedData!I69*$J$4+$M$4*$J$5+[42]FormattedData!I69^2*$J$6+$M$5*$J$7</f>
        <v>37.590498235071756</v>
      </c>
      <c r="Q69" s="39">
        <f>$J$3+[42]FormattedData!J69*$J$4+$M$4*$J$5+[42]FormattedData!J69^2*$J$6+$M$5*$J$7</f>
        <v>38.527569104538905</v>
      </c>
      <c r="R69" s="39">
        <f>$J$3+[42]FormattedData!K69*$J$4+$M$4*$J$5+[42]FormattedData!K69^2*$J$6+$M$5*$J$7</f>
        <v>36.932033648437859</v>
      </c>
      <c r="S69" s="39">
        <f>$J$3+[42]FormattedData!L69*$J$4+$M$4*$J$5+[42]FormattedData!L69^2*$J$6+$M$5*$J$7</f>
        <v>35.608891000094175</v>
      </c>
      <c r="T69" s="39">
        <f>$J$3+[42]FormattedData!M69*$J$4+$M$4*$J$5+[42]FormattedData!M69^2*$J$6+$M$5*$J$7</f>
        <v>34.944212938384389</v>
      </c>
      <c r="U69" s="39">
        <f>$J$3+[42]FormattedData!N69*$J$4+$M$4*$J$5+[42]FormattedData!N69^2*$J$6+$M$5*$J$7</f>
        <v>32.168482505929525</v>
      </c>
      <c r="V69" s="39">
        <f>$J$3+[42]FormattedData!O69*$J$4+$M$4*$J$5+[42]FormattedData!O69^2*$J$6+$M$5*$J$7</f>
        <v>30.81575188103405</v>
      </c>
      <c r="W69" s="38">
        <f>AVERAGE(K69:V69)</f>
        <v>37.504821039508649</v>
      </c>
      <c r="X69" s="37">
        <f>STDEV(K69:V69)/SQRT(COUNT(K69:V69))</f>
        <v>1.2089546185247155</v>
      </c>
      <c r="Y69" s="36">
        <f>MIN(K69:V69)</f>
        <v>30.81575188103405</v>
      </c>
      <c r="Z69" s="35">
        <f>QUARTILE(K69:V69,1)</f>
        <v>35.158049666640373</v>
      </c>
      <c r="AA69" s="36">
        <f>MEDIAN(K69:V69)</f>
        <v>37.261265941754807</v>
      </c>
      <c r="AB69" s="35">
        <f>QUARTILE(K69:V69,3)</f>
        <v>39.924996446649942</v>
      </c>
      <c r="AC69" s="35">
        <f>MAX(K69:V69)</f>
        <v>45.511174130530229</v>
      </c>
      <c r="AD69" s="35">
        <f>SKEW(K69:V69)</f>
        <v>0.28263571676956284</v>
      </c>
      <c r="AE69" s="35">
        <f>KURT(K69:V69)</f>
        <v>-7.0361054223385455E-2</v>
      </c>
    </row>
    <row r="70" spans="2:31" x14ac:dyDescent="0.2">
      <c r="B70" s="34">
        <f>[42]FormattedData!A71</f>
        <v>305</v>
      </c>
      <c r="C70" s="34" t="str">
        <f>VLOOKUP($B70,[42]TrtCodes!$B$11:I114,2)</f>
        <v>NDH</v>
      </c>
      <c r="D70" s="34">
        <f>VLOOKUP($B70,[42]TrtCodes!$B$11:J114,3)</f>
        <v>11</v>
      </c>
      <c r="E70" s="34">
        <f>VLOOKUP($B70,[42]TrtCodes!$B$11:K114,4)</f>
        <v>2</v>
      </c>
      <c r="F70" s="34">
        <f>VLOOKUP($B70,[42]TrtCodes!$B$11:L114,5)</f>
        <v>3</v>
      </c>
      <c r="G70" s="34">
        <f>VLOOKUP($B70,[42]TrtCodes!$B$11:M114,6)</f>
        <v>2</v>
      </c>
      <c r="H70" s="34">
        <f>VLOOKUP($B70,[42]TrtCodes!$B$11:N114,7)</f>
        <v>4</v>
      </c>
      <c r="I70" s="34">
        <f>[42]FormattedData!B71</f>
        <v>2</v>
      </c>
      <c r="J70" s="37">
        <f>[42]FormattedData!C71</f>
        <v>13.333</v>
      </c>
      <c r="K70" s="39">
        <f>$J$3+[42]FormattedData!D71*$J$4+$M$4*$J$5+[42]FormattedData!D71^2*$J$6+$M$5*$J$7</f>
        <v>37.778250557268642</v>
      </c>
      <c r="L70" s="39">
        <f>$J$3+[42]FormattedData!E71*$J$4+$M$4*$J$5+[42]FormattedData!E71^2*$J$6+$M$5*$J$7</f>
        <v>38.059562026529477</v>
      </c>
      <c r="M70" s="39">
        <f>$J$3+[42]FormattedData!F71*$J$4+$M$4*$J$5+[42]FormattedData!F71^2*$J$6+$M$5*$J$7</f>
        <v>32.937751803103296</v>
      </c>
      <c r="N70" s="39">
        <f>$J$3+[42]FormattedData!G71*$J$4+$M$4*$J$5+[42]FormattedData!G71^2*$J$6+$M$5*$J$7</f>
        <v>34.563466995287179</v>
      </c>
      <c r="O70" s="39">
        <f>$J$3+[42]FormattedData!H71*$J$4+$M$4*$J$5+[42]FormattedData!H71^2*$J$6+$M$5*$J$7</f>
        <v>35.419194325152461</v>
      </c>
      <c r="P70" s="39">
        <f>$J$3+[42]FormattedData!I71*$J$4+$M$4*$J$5+[42]FormattedData!I71^2*$J$6+$M$5*$J$7</f>
        <v>33.129646442017425</v>
      </c>
      <c r="Q70" s="39">
        <f>$J$3+[42]FormattedData!J71*$J$4+$M$4*$J$5+[42]FormattedData!J71^2*$J$6+$M$5*$J$7</f>
        <v>37.402576838723157</v>
      </c>
      <c r="R70" s="39">
        <f>$J$3+[42]FormattedData!K71*$J$4+$M$4*$J$5+[42]FormattedData!K71^2*$J$6+$M$5*$J$7</f>
        <v>34.753924503911648</v>
      </c>
      <c r="S70" s="39">
        <f>$J$3+[42]FormattedData!L71*$J$4+$M$4*$J$5+[42]FormattedData!L71^2*$J$6+$M$5*$J$7</f>
        <v>34.563466995287179</v>
      </c>
      <c r="T70" s="39">
        <f>$J$3+[42]FormattedData!M71*$J$4+$M$4*$J$5+[42]FormattedData!M71^2*$J$6+$M$5*$J$7</f>
        <v>33.129646442017425</v>
      </c>
      <c r="U70" s="39">
        <f>$J$3+[42]FormattedData!N71*$J$4+$M$4*$J$5+[42]FormattedData!N71^2*$J$6+$M$5*$J$7</f>
        <v>39.181003735159003</v>
      </c>
      <c r="V70" s="39">
        <f>$J$3+[42]FormattedData!O71*$J$4+$M$4*$J$5+[42]FormattedData!O71^2*$J$6+$M$5*$J$7</f>
        <v>34.468174838168039</v>
      </c>
      <c r="W70" s="38">
        <f>AVERAGE(K70:V70)</f>
        <v>35.448888791885402</v>
      </c>
      <c r="X70" s="37">
        <f>STDEV(K70:V70)/SQRT(COUNT(K70:V70))</f>
        <v>0.61585306403334894</v>
      </c>
      <c r="Y70" s="36">
        <f>MIN(K70:V70)</f>
        <v>32.937751803103296</v>
      </c>
      <c r="Z70" s="35">
        <f>QUARTILE(K70:V70,1)</f>
        <v>34.133542739130384</v>
      </c>
      <c r="AA70" s="36">
        <f>MEDIAN(K70:V70)</f>
        <v>34.658695749599417</v>
      </c>
      <c r="AB70" s="35">
        <f>QUARTILE(K70:V70,3)</f>
        <v>37.496495268359524</v>
      </c>
      <c r="AC70" s="35">
        <f>MAX(K70:V70)</f>
        <v>39.181003735159003</v>
      </c>
      <c r="AD70" s="35">
        <f>SKEW(K70:V70)</f>
        <v>0.52155370233685439</v>
      </c>
      <c r="AE70" s="35">
        <f>KURT(K70:V70)</f>
        <v>-1.1085161094173337</v>
      </c>
    </row>
    <row r="71" spans="2:31" x14ac:dyDescent="0.2">
      <c r="B71" s="34">
        <f>[42]FormattedData!A73</f>
        <v>306</v>
      </c>
      <c r="C71" s="34" t="str">
        <f>VLOOKUP($B71,[42]TrtCodes!$B$11:I116,2)</f>
        <v>FTL</v>
      </c>
      <c r="D71" s="34">
        <f>VLOOKUP($B71,[42]TrtCodes!$B$11:J116,3)</f>
        <v>4</v>
      </c>
      <c r="E71" s="34">
        <f>VLOOKUP($B71,[42]TrtCodes!$B$11:K116,4)</f>
        <v>1</v>
      </c>
      <c r="F71" s="34">
        <f>VLOOKUP($B71,[42]TrtCodes!$B$11:L116,5)</f>
        <v>2</v>
      </c>
      <c r="G71" s="34">
        <f>VLOOKUP($B71,[42]TrtCodes!$B$11:M116,6)</f>
        <v>1</v>
      </c>
      <c r="H71" s="34">
        <f>VLOOKUP($B71,[42]TrtCodes!$B$11:N116,7)</f>
        <v>4</v>
      </c>
      <c r="I71" s="34">
        <f>[42]FormattedData!B73</f>
        <v>2</v>
      </c>
      <c r="J71" s="37">
        <f>[42]FormattedData!C73</f>
        <v>13.348000000000001</v>
      </c>
      <c r="K71" s="39">
        <f>$J$3+[42]FormattedData!D73*$J$4+$M$4*$J$5+[42]FormattedData!D73^2*$J$6+$M$5*$J$7</f>
        <v>33.608643339888957</v>
      </c>
      <c r="L71" s="39">
        <f>$J$3+[42]FormattedData!E73*$J$4+$M$4*$J$5+[42]FormattedData!E73^2*$J$6+$M$5*$J$7</f>
        <v>32.072133635362121</v>
      </c>
      <c r="M71" s="39">
        <f>$J$3+[42]FormattedData!F73*$J$4+$M$4*$J$5+[42]FormattedData!F73^2*$J$6+$M$5*$J$7</f>
        <v>35.893118998472247</v>
      </c>
      <c r="N71" s="39">
        <f>$J$3+[42]FormattedData!G73*$J$4+$M$4*$J$5+[42]FormattedData!G73^2*$J$6+$M$5*$J$7</f>
        <v>34.277463718315985</v>
      </c>
      <c r="O71" s="39">
        <f>$J$3+[42]FormattedData!H73*$J$4+$M$4*$J$5+[42]FormattedData!H73^2*$J$6+$M$5*$J$7</f>
        <v>33.225530358667591</v>
      </c>
      <c r="P71" s="39">
        <f>$J$3+[42]FormattedData!I73*$J$4+$M$4*$J$5+[42]FormattedData!I73^2*$J$6+$M$5*$J$7</f>
        <v>34.277463718315985</v>
      </c>
      <c r="Q71" s="39">
        <f>$J$3+[42]FormattedData!J73*$J$4+$M$4*$J$5+[42]FormattedData!J73^2*$J$6+$M$5*$J$7</f>
        <v>30.912650242594562</v>
      </c>
      <c r="R71" s="39">
        <f>$J$3+[42]FormattedData!K73*$J$4+$M$4*$J$5+[42]FormattedData!K73^2*$J$6+$M$5*$J$7</f>
        <v>30.524803185124913</v>
      </c>
      <c r="S71" s="39">
        <f>$J$3+[42]FormattedData!L73*$J$4+$M$4*$J$5+[42]FormattedData!L73^2*$J$6+$M$5*$J$7</f>
        <v>35.324282584874716</v>
      </c>
      <c r="T71" s="39">
        <f>$J$3+[42]FormattedData!M73*$J$4+$M$4*$J$5+[42]FormattedData!M73^2*$J$6+$M$5*$J$7</f>
        <v>33.417171386354134</v>
      </c>
      <c r="U71" s="39">
        <f>$J$3+[42]FormattedData!N73*$J$4+$M$4*$J$5+[42]FormattedData!N73^2*$J$6+$M$5*$J$7</f>
        <v>31.782833412432304</v>
      </c>
      <c r="V71" s="39">
        <f>$J$3+[42]FormattedData!O73*$J$4+$M$4*$J$5+[42]FormattedData!O73^2*$J$6+$M$5*$J$7</f>
        <v>31.396508022328174</v>
      </c>
      <c r="W71" s="38">
        <f>AVERAGE(K71:V71)</f>
        <v>33.059383550227643</v>
      </c>
      <c r="X71" s="37">
        <f>STDEV(K71:V71)/SQRT(COUNT(K71:V71))</f>
        <v>0.49989790794840211</v>
      </c>
      <c r="Y71" s="36">
        <f>MIN(K71:V71)</f>
        <v>30.524803185124913</v>
      </c>
      <c r="Z71" s="35">
        <f>QUARTILE(K71:V71,1)</f>
        <v>31.68625206490627</v>
      </c>
      <c r="AA71" s="36">
        <f>MEDIAN(K71:V71)</f>
        <v>33.321350872510862</v>
      </c>
      <c r="AB71" s="35">
        <f>QUARTILE(K71:V71,3)</f>
        <v>34.277463718315985</v>
      </c>
      <c r="AC71" s="35">
        <f>MAX(K71:V71)</f>
        <v>35.893118998472247</v>
      </c>
      <c r="AD71" s="35">
        <f>SKEW(K71:V71)</f>
        <v>9.2180817400038181E-2</v>
      </c>
      <c r="AE71" s="35">
        <f>KURT(K71:V71)</f>
        <v>-1.0708383925005469</v>
      </c>
    </row>
    <row r="72" spans="2:31" x14ac:dyDescent="0.2">
      <c r="B72" s="34">
        <f>[42]FormattedData!A75</f>
        <v>307</v>
      </c>
      <c r="C72" s="34" t="str">
        <f>VLOOKUP($B72,[42]TrtCodes!$B$11:I118,2)</f>
        <v>NTH</v>
      </c>
      <c r="D72" s="34">
        <f>VLOOKUP($B72,[42]TrtCodes!$B$11:J118,3)</f>
        <v>9</v>
      </c>
      <c r="E72" s="34">
        <f>VLOOKUP($B72,[42]TrtCodes!$B$11:K118,4)</f>
        <v>2</v>
      </c>
      <c r="F72" s="34">
        <f>VLOOKUP($B72,[42]TrtCodes!$B$11:L118,5)</f>
        <v>2</v>
      </c>
      <c r="G72" s="34">
        <f>VLOOKUP($B72,[42]TrtCodes!$B$11:M118,6)</f>
        <v>2</v>
      </c>
      <c r="H72" s="34">
        <f>VLOOKUP($B72,[42]TrtCodes!$B$11:N118,7)</f>
        <v>4</v>
      </c>
      <c r="I72" s="34">
        <f>[42]FormattedData!B75</f>
        <v>2</v>
      </c>
      <c r="J72" s="37">
        <f>[42]FormattedData!C75</f>
        <v>13.364000000000001</v>
      </c>
      <c r="K72" s="39">
        <f>$J$3+[42]FormattedData!D75*$J$4+$M$4*$J$5+[42]FormattedData!D75^2*$J$6+$M$5*$J$7</f>
        <v>35.987777127522421</v>
      </c>
      <c r="L72" s="39">
        <f>$J$3+[42]FormattedData!E75*$J$4+$M$4*$J$5+[42]FormattedData!E75^2*$J$6+$M$5*$J$7</f>
        <v>37.872063315560176</v>
      </c>
      <c r="M72" s="39">
        <f>$J$3+[42]FormattedData!F75*$J$4+$M$4*$J$5+[42]FormattedData!F75^2*$J$6+$M$5*$J$7</f>
        <v>34.086583524312204</v>
      </c>
      <c r="N72" s="39">
        <f>$J$3+[42]FormattedData!G75*$J$4+$M$4*$J$5+[42]FormattedData!G75^2*$J$6+$M$5*$J$7</f>
        <v>34.563466995287179</v>
      </c>
      <c r="O72" s="39">
        <f>$J$3+[42]FormattedData!H75*$J$4+$M$4*$J$5+[42]FormattedData!H75^2*$J$6+$M$5*$J$7</f>
        <v>35.419194325152461</v>
      </c>
      <c r="P72" s="39">
        <f>$J$3+[42]FormattedData!I75*$J$4+$M$4*$J$5+[42]FormattedData!I75^2*$J$6+$M$5*$J$7</f>
        <v>33.512928497390504</v>
      </c>
      <c r="Q72" s="39">
        <f>$J$3+[42]FormattedData!J75*$J$4+$M$4*$J$5+[42]FormattedData!J75^2*$J$6+$M$5*$J$7</f>
        <v>31.686315467713165</v>
      </c>
      <c r="R72" s="39">
        <f>$J$3+[42]FormattedData!K75*$J$4+$M$4*$J$5+[42]FormattedData!K75^2*$J$6+$M$5*$J$7</f>
        <v>36.837798204767005</v>
      </c>
      <c r="S72" s="39">
        <f>$J$3+[42]FormattedData!L75*$J$4+$M$4*$J$5+[42]FormattedData!L75^2*$J$6+$M$5*$J$7</f>
        <v>34.563466995287179</v>
      </c>
      <c r="T72" s="39">
        <f>$J$3+[42]FormattedData!M75*$J$4+$M$4*$J$5+[42]FormattedData!M75^2*$J$6+$M$5*$J$7</f>
        <v>37.308552737741962</v>
      </c>
      <c r="U72" s="39">
        <f>$J$3+[42]FormattedData!N75*$J$4+$M$4*$J$5+[42]FormattedData!N75^2*$J$6+$M$5*$J$7</f>
        <v>30.81575188103405</v>
      </c>
      <c r="V72" s="39">
        <f>$J$3+[42]FormattedData!O75*$J$4+$M$4*$J$5+[42]FormattedData!O75^2*$J$6+$M$5*$J$7</f>
        <v>33.129646442017425</v>
      </c>
      <c r="W72" s="38">
        <f>AVERAGE(K72:V72)</f>
        <v>34.648628792815479</v>
      </c>
      <c r="X72" s="37">
        <f>STDEV(K72:V72)/SQRT(COUNT(K72:V72))</f>
        <v>0.62788151434121808</v>
      </c>
      <c r="Y72" s="36">
        <f>MIN(K72:V72)</f>
        <v>30.81575188103405</v>
      </c>
      <c r="Z72" s="35">
        <f>QUARTILE(K72:V72,1)</f>
        <v>33.417107983547233</v>
      </c>
      <c r="AA72" s="36">
        <f>MEDIAN(K72:V72)</f>
        <v>34.563466995287179</v>
      </c>
      <c r="AB72" s="35">
        <f>QUARTILE(K72:V72,3)</f>
        <v>36.200282396833565</v>
      </c>
      <c r="AC72" s="35">
        <f>MAX(K72:V72)</f>
        <v>37.872063315560176</v>
      </c>
      <c r="AD72" s="35">
        <f>SKEW(K72:V72)</f>
        <v>-0.23100381933100697</v>
      </c>
      <c r="AE72" s="35">
        <f>KURT(K72:V72)</f>
        <v>-0.62228996796889025</v>
      </c>
    </row>
    <row r="73" spans="2:31" x14ac:dyDescent="0.2">
      <c r="B73" s="34">
        <f>[42]FormattedData!A77</f>
        <v>308</v>
      </c>
      <c r="C73" s="34" t="str">
        <f>VLOOKUP($B73,[42]TrtCodes!$B$11:I120,2)</f>
        <v>FDH</v>
      </c>
      <c r="D73" s="34">
        <f>VLOOKUP($B73,[42]TrtCodes!$B$11:J120,3)</f>
        <v>5</v>
      </c>
      <c r="E73" s="34">
        <f>VLOOKUP($B73,[42]TrtCodes!$B$11:K120,4)</f>
        <v>1</v>
      </c>
      <c r="F73" s="34">
        <f>VLOOKUP($B73,[42]TrtCodes!$B$11:L120,5)</f>
        <v>3</v>
      </c>
      <c r="G73" s="34">
        <f>VLOOKUP($B73,[42]TrtCodes!$B$11:M120,6)</f>
        <v>2</v>
      </c>
      <c r="H73" s="34">
        <f>VLOOKUP($B73,[42]TrtCodes!$B$11:N120,7)</f>
        <v>4</v>
      </c>
      <c r="I73" s="34">
        <f>[42]FormattedData!B77</f>
        <v>2</v>
      </c>
      <c r="J73" s="37">
        <f>[42]FormattedData!C77</f>
        <v>13.382</v>
      </c>
      <c r="K73" s="39">
        <f>$J$3+[42]FormattedData!D77*$J$4+$M$4*$J$5+[42]FormattedData!D77^2*$J$6+$M$5*$J$7</f>
        <v>35.893118998472247</v>
      </c>
      <c r="L73" s="39">
        <f>$J$3+[42]FormattedData!E77*$J$4+$M$4*$J$5+[42]FormattedData!E77^2*$J$6+$M$5*$J$7</f>
        <v>33.608643339888957</v>
      </c>
      <c r="M73" s="39">
        <f>$J$3+[42]FormattedData!F77*$J$4+$M$4*$J$5+[42]FormattedData!F77^2*$J$6+$M$5*$J$7</f>
        <v>31.299821003457318</v>
      </c>
      <c r="N73" s="39">
        <f>$J$3+[42]FormattedData!G77*$J$4+$M$4*$J$5+[42]FormattedData!G77^2*$J$6+$M$5*$J$7</f>
        <v>34.849089855416992</v>
      </c>
      <c r="O73" s="39">
        <f>$J$3+[42]FormattedData!H77*$J$4+$M$4*$J$5+[42]FormattedData!H77^2*$J$6+$M$5*$J$7</f>
        <v>35.893118998472247</v>
      </c>
      <c r="P73" s="39">
        <f>$J$3+[42]FormattedData!I77*$J$4+$M$4*$J$5+[42]FormattedData!I77^2*$J$6+$M$5*$J$7</f>
        <v>34.468174838168039</v>
      </c>
      <c r="Q73" s="39">
        <f>$J$3+[42]FormattedData!J77*$J$4+$M$4*$J$5+[42]FormattedData!J77^2*$J$6+$M$5*$J$7</f>
        <v>30.039043321184401</v>
      </c>
      <c r="R73" s="39">
        <f>$J$3+[42]FormattedData!K77*$J$4+$M$4*$J$5+[42]FormattedData!K77^2*$J$6+$M$5*$J$7</f>
        <v>32.841741080839334</v>
      </c>
      <c r="S73" s="39">
        <f>$J$3+[42]FormattedData!L77*$J$4+$M$4*$J$5+[42]FormattedData!L77^2*$J$6+$M$5*$J$7</f>
        <v>31.782833412432304</v>
      </c>
      <c r="T73" s="39">
        <f>$J$3+[42]FormattedData!M77*$J$4+$M$4*$J$5+[42]FormattedData!M77^2*$J$6+$M$5*$J$7</f>
        <v>32.072133635362121</v>
      </c>
      <c r="U73" s="39">
        <f>$J$3+[42]FormattedData!N77*$J$4+$M$4*$J$5+[42]FormattedData!N77^2*$J$6+$M$5*$J$7</f>
        <v>36.6492005118115</v>
      </c>
      <c r="V73" s="39">
        <f>$J$3+[42]FormattedData!O77*$J$4+$M$4*$J$5+[42]FormattedData!O77^2*$J$6+$M$5*$J$7</f>
        <v>30.427735749412676</v>
      </c>
      <c r="W73" s="38">
        <f>AVERAGE(K73:V73)</f>
        <v>33.318721228743179</v>
      </c>
      <c r="X73" s="37">
        <f>STDEV(K73:V73)/SQRT(COUNT(K73:V73))</f>
        <v>0.64798610503027354</v>
      </c>
      <c r="Y73" s="36">
        <f>MIN(K73:V73)</f>
        <v>30.039043321184401</v>
      </c>
      <c r="Z73" s="35">
        <f>QUARTILE(K73:V73,1)</f>
        <v>31.662080310188557</v>
      </c>
      <c r="AA73" s="36">
        <f>MEDIAN(K73:V73)</f>
        <v>33.225192210364142</v>
      </c>
      <c r="AB73" s="35">
        <f>QUARTILE(K73:V73,3)</f>
        <v>35.110097141180802</v>
      </c>
      <c r="AC73" s="35">
        <f>MAX(K73:V73)</f>
        <v>36.6492005118115</v>
      </c>
      <c r="AD73" s="35">
        <f>SKEW(K73:V73)</f>
        <v>2.7545652826452171E-2</v>
      </c>
      <c r="AE73" s="35">
        <f>KURT(K73:V73)</f>
        <v>-1.3748856252516548</v>
      </c>
    </row>
    <row r="74" spans="2:31" x14ac:dyDescent="0.2">
      <c r="B74" s="34">
        <f>[42]FormattedData!A93</f>
        <v>401</v>
      </c>
      <c r="C74" s="34" t="str">
        <f>VLOOKUP($B74,[42]TrtCodes!$B$11:I130,2)</f>
        <v>NSH</v>
      </c>
      <c r="D74" s="34">
        <f>VLOOKUP($B74,[42]TrtCodes!$B$11:J130,3)</f>
        <v>7</v>
      </c>
      <c r="E74" s="34">
        <f>VLOOKUP($B74,[42]TrtCodes!$B$11:K130,4)</f>
        <v>2</v>
      </c>
      <c r="F74" s="34">
        <f>VLOOKUP($B74,[42]TrtCodes!$B$11:L130,5)</f>
        <v>1</v>
      </c>
      <c r="G74" s="34">
        <f>VLOOKUP($B74,[42]TrtCodes!$B$11:M130,6)</f>
        <v>2</v>
      </c>
      <c r="H74" s="34">
        <f>VLOOKUP($B74,[42]TrtCodes!$B$11:N130,7)</f>
        <v>3</v>
      </c>
      <c r="I74" s="34">
        <f>[42]FormattedData!B93</f>
        <v>2</v>
      </c>
      <c r="J74" s="37">
        <f>[42]FormattedData!C93</f>
        <v>13.522</v>
      </c>
      <c r="K74" s="39">
        <f>$J$3+[42]FormattedData!D93*$J$4+$M$4*$J$5+[42]FormattedData!D93^2*$J$6+$M$5*$J$7</f>
        <v>36.743520492558225</v>
      </c>
      <c r="L74" s="39">
        <f>$J$3+[42]FormattedData!E93*$J$4+$M$4*$J$5+[42]FormattedData!E93^2*$J$6+$M$5*$J$7</f>
        <v>38.807866128889387</v>
      </c>
      <c r="M74" s="39">
        <f>$J$3+[42]FormattedData!F93*$J$4+$M$4*$J$5+[42]FormattedData!F93^2*$J$6+$M$5*$J$7</f>
        <v>35.893118998472247</v>
      </c>
      <c r="N74" s="39">
        <f>$J$3+[42]FormattedData!G93*$J$4+$M$4*$J$5+[42]FormattedData!G93^2*$J$6+$M$5*$J$7</f>
        <v>36.6492005118115</v>
      </c>
      <c r="O74" s="39">
        <f>$J$3+[42]FormattedData!H93*$J$4+$M$4*$J$5+[42]FormattedData!H93^2*$J$6+$M$5*$J$7</f>
        <v>36.460433744704275</v>
      </c>
      <c r="P74" s="39">
        <f>$J$3+[42]FormattedData!I93*$J$4+$M$4*$J$5+[42]FormattedData!I93^2*$J$6+$M$5*$J$7</f>
        <v>40.574246492014858</v>
      </c>
      <c r="Q74" s="39">
        <f>$J$3+[42]FormattedData!J93*$J$4+$M$4*$J$5+[42]FormattedData!J93^2*$J$6+$M$5*$J$7</f>
        <v>36.365986958343761</v>
      </c>
      <c r="R74" s="39">
        <f>$J$3+[42]FormattedData!K93*$J$4+$M$4*$J$5+[42]FormattedData!K93^2*$J$6+$M$5*$J$7</f>
        <v>33.417171386354134</v>
      </c>
      <c r="S74" s="39">
        <f>$J$3+[42]FormattedData!L93*$J$4+$M$4*$J$5+[42]FormattedData!L93^2*$J$6+$M$5*$J$7</f>
        <v>37.308552737741962</v>
      </c>
      <c r="T74" s="39">
        <f>$J$3+[42]FormattedData!M93*$J$4+$M$4*$J$5+[42]FormattedData!M93^2*$J$6+$M$5*$J$7</f>
        <v>40.666791194168468</v>
      </c>
      <c r="U74" s="39">
        <f>$J$3+[42]FormattedData!N93*$J$4+$M$4*$J$5+[42]FormattedData!N93^2*$J$6+$M$5*$J$7</f>
        <v>33.321372006779832</v>
      </c>
      <c r="V74" s="39">
        <f>$J$3+[42]FormattedData!O93*$J$4+$M$4*$J$5+[42]FormattedData!O93^2*$J$6+$M$5*$J$7</f>
        <v>36.176966580008958</v>
      </c>
      <c r="W74" s="38">
        <f>AVERAGE(K74:V74)</f>
        <v>36.865435602653974</v>
      </c>
      <c r="X74" s="37">
        <f>STDEV(K74:V74)/SQRT(COUNT(K74:V74))</f>
        <v>0.66583491733943867</v>
      </c>
      <c r="Y74" s="36">
        <f>MIN(K74:V74)</f>
        <v>33.321372006779832</v>
      </c>
      <c r="Z74" s="35">
        <f>QUARTILE(K74:V74,1)</f>
        <v>36.106004684624779</v>
      </c>
      <c r="AA74" s="36">
        <f>MEDIAN(K74:V74)</f>
        <v>36.554817128257888</v>
      </c>
      <c r="AB74" s="35">
        <f>QUARTILE(K74:V74,3)</f>
        <v>37.683381085528822</v>
      </c>
      <c r="AC74" s="35">
        <f>MAX(K74:V74)</f>
        <v>40.666791194168468</v>
      </c>
      <c r="AD74" s="35">
        <f>SKEW(K74:V74)</f>
        <v>0.23468074620370288</v>
      </c>
      <c r="AE74" s="35">
        <f>KURT(K74:V74)</f>
        <v>-6.5643705713053446E-2</v>
      </c>
    </row>
    <row r="75" spans="2:31" x14ac:dyDescent="0.2">
      <c r="B75" s="34">
        <f>[42]FormattedData!A91</f>
        <v>402</v>
      </c>
      <c r="C75" s="34" t="str">
        <f>VLOOKUP($B75,[42]TrtCodes!$B$11:I131,2)</f>
        <v>NTH</v>
      </c>
      <c r="D75" s="34">
        <f>VLOOKUP($B75,[42]TrtCodes!$B$11:J131,3)</f>
        <v>9</v>
      </c>
      <c r="E75" s="34">
        <f>VLOOKUP($B75,[42]TrtCodes!$B$11:K131,4)</f>
        <v>2</v>
      </c>
      <c r="F75" s="34">
        <f>VLOOKUP($B75,[42]TrtCodes!$B$11:L131,5)</f>
        <v>2</v>
      </c>
      <c r="G75" s="34">
        <f>VLOOKUP($B75,[42]TrtCodes!$B$11:M131,6)</f>
        <v>2</v>
      </c>
      <c r="H75" s="34">
        <f>VLOOKUP($B75,[42]TrtCodes!$B$11:N131,7)</f>
        <v>3</v>
      </c>
      <c r="I75" s="34">
        <f>[42]FormattedData!B91</f>
        <v>2</v>
      </c>
      <c r="J75" s="37">
        <f>[42]FormattedData!C91</f>
        <v>13.506</v>
      </c>
      <c r="K75" s="39">
        <f>$J$3+[42]FormattedData!D91*$J$4+$M$4*$J$5+[42]FormattedData!D91^2*$J$6+$M$5*$J$7</f>
        <v>32.74568809003744</v>
      </c>
      <c r="L75" s="39">
        <f>$J$3+[42]FormattedData!E91*$J$4+$M$4*$J$5+[42]FormattedData!E91^2*$J$6+$M$5*$J$7</f>
        <v>39.832367207420475</v>
      </c>
      <c r="M75" s="39">
        <f>$J$3+[42]FormattedData!F91*$J$4+$M$4*$J$5+[42]FormattedData!F91^2*$J$6+$M$5*$J$7</f>
        <v>33.608643339888957</v>
      </c>
      <c r="N75" s="39">
        <f>$J$3+[42]FormattedData!G91*$J$4+$M$4*$J$5+[42]FormattedData!G91^2*$J$6+$M$5*$J$7</f>
        <v>33.799946219272051</v>
      </c>
      <c r="O75" s="39">
        <f>$J$3+[42]FormattedData!H91*$J$4+$M$4*$J$5+[42]FormattedData!H91^2*$J$6+$M$5*$J$7</f>
        <v>34.468174838168039</v>
      </c>
      <c r="P75" s="39">
        <f>$J$3+[42]FormattedData!I91*$J$4+$M$4*$J$5+[42]FormattedData!I91^2*$J$6+$M$5*$J$7</f>
        <v>34.086583524312204</v>
      </c>
      <c r="Q75" s="39">
        <f>$J$3+[42]FormattedData!J91*$J$4+$M$4*$J$5+[42]FormattedData!J91^2*$J$6+$M$5*$J$7</f>
        <v>33.895534256156701</v>
      </c>
      <c r="R75" s="39">
        <f>$J$3+[42]FormattedData!K91*$J$4+$M$4*$J$5+[42]FormattedData!K91^2*$J$6+$M$5*$J$7</f>
        <v>34.372840412510989</v>
      </c>
      <c r="S75" s="39">
        <f>$J$3+[42]FormattedData!L91*$J$4+$M$4*$J$5+[42]FormattedData!L91^2*$J$6+$M$5*$J$7</f>
        <v>34.182044755583057</v>
      </c>
      <c r="T75" s="39">
        <f>$J$3+[42]FormattedData!M91*$J$4+$M$4*$J$5+[42]FormattedData!M91^2*$J$6+$M$5*$J$7</f>
        <v>35.134332298705409</v>
      </c>
      <c r="U75" s="39">
        <f>$J$3+[42]FormattedData!N91*$J$4+$M$4*$J$5+[42]FormattedData!N91^2*$J$6+$M$5*$J$7</f>
        <v>31.299821003457318</v>
      </c>
      <c r="V75" s="39">
        <f>$J$3+[42]FormattedData!O91*$J$4+$M$4*$J$5+[42]FormattedData!O91^2*$J$6+$M$5*$J$7</f>
        <v>36.743520492558225</v>
      </c>
      <c r="W75" s="38">
        <f>AVERAGE(K75:V75)</f>
        <v>34.514124703172577</v>
      </c>
      <c r="X75" s="37">
        <f>STDEV(K75:V75)/SQRT(COUNT(K75:V75))</f>
        <v>0.61005107491907884</v>
      </c>
      <c r="Y75" s="36">
        <f>MIN(K75:V75)</f>
        <v>31.299821003457318</v>
      </c>
      <c r="Z75" s="35">
        <f>QUARTILE(K75:V75,1)</f>
        <v>33.752120499426276</v>
      </c>
      <c r="AA75" s="36">
        <f>MEDIAN(K75:V75)</f>
        <v>34.134314139947634</v>
      </c>
      <c r="AB75" s="35">
        <f>QUARTILE(K75:V75,3)</f>
        <v>34.63471420330238</v>
      </c>
      <c r="AC75" s="35">
        <f>MAX(K75:V75)</f>
        <v>39.832367207420475</v>
      </c>
      <c r="AD75" s="35">
        <f>SKEW(K75:V75)</f>
        <v>1.4048475553927811</v>
      </c>
      <c r="AE75" s="35">
        <f>KURT(K75:V75)</f>
        <v>3.4127725269876308</v>
      </c>
    </row>
    <row r="76" spans="2:31" x14ac:dyDescent="0.2">
      <c r="B76" s="34">
        <f>[42]FormattedData!A89</f>
        <v>403</v>
      </c>
      <c r="C76" s="34" t="str">
        <f>VLOOKUP($B76,[42]TrtCodes!$B$11:I132,2)</f>
        <v>FDL</v>
      </c>
      <c r="D76" s="34">
        <f>VLOOKUP($B76,[42]TrtCodes!$B$11:J132,3)</f>
        <v>6</v>
      </c>
      <c r="E76" s="34">
        <f>VLOOKUP($B76,[42]TrtCodes!$B$11:K132,4)</f>
        <v>1</v>
      </c>
      <c r="F76" s="34">
        <f>VLOOKUP($B76,[42]TrtCodes!$B$11:L132,5)</f>
        <v>3</v>
      </c>
      <c r="G76" s="34">
        <f>VLOOKUP($B76,[42]TrtCodes!$B$11:M132,6)</f>
        <v>1</v>
      </c>
      <c r="H76" s="34">
        <f>VLOOKUP($B76,[42]TrtCodes!$B$11:N132,7)</f>
        <v>3</v>
      </c>
      <c r="I76" s="34">
        <f>[42]FormattedData!B89</f>
        <v>2</v>
      </c>
      <c r="J76" s="37">
        <f>[42]FormattedData!C89</f>
        <v>13.49</v>
      </c>
      <c r="K76" s="39">
        <f>$J$3+[42]FormattedData!D89*$J$4+$M$4*$J$5+[42]FormattedData!D89^2*$J$6+$M$5*$J$7</f>
        <v>36.365986958343761</v>
      </c>
      <c r="L76" s="39">
        <f>$J$3+[42]FormattedData!E89*$J$4+$M$4*$J$5+[42]FormattedData!E89^2*$J$6+$M$5*$J$7</f>
        <v>30.621828352299225</v>
      </c>
      <c r="M76" s="39">
        <f>$J$3+[42]FormattedData!F89*$J$4+$M$4*$J$5+[42]FormattedData!F89^2*$J$6+$M$5*$J$7</f>
        <v>30.912650242594562</v>
      </c>
      <c r="N76" s="39">
        <f>$J$3+[42]FormattedData!G89*$J$4+$M$4*$J$5+[42]FormattedData!G89^2*$J$6+$M$5*$J$7</f>
        <v>30.621828352299225</v>
      </c>
      <c r="O76" s="39">
        <f>$J$3+[42]FormattedData!H89*$J$4+$M$4*$J$5+[42]FormattedData!H89^2*$J$6+$M$5*$J$7</f>
        <v>31.87930908861351</v>
      </c>
      <c r="P76" s="39">
        <f>$J$3+[42]FormattedData!I89*$J$4+$M$4*$J$5+[42]FormattedData!I89^2*$J$6+$M$5*$J$7</f>
        <v>36.271497903445329</v>
      </c>
      <c r="Q76" s="39">
        <f>$J$3+[42]FormattedData!J89*$J$4+$M$4*$J$5+[42]FormattedData!J89^2*$J$6+$M$5*$J$7</f>
        <v>33.225530358667591</v>
      </c>
      <c r="R76" s="39">
        <f>$J$3+[42]FormattedData!K89*$J$4+$M$4*$J$5+[42]FormattedData!K89^2*$J$6+$M$5*$J$7</f>
        <v>35.703675934758131</v>
      </c>
      <c r="S76" s="39">
        <f>$J$3+[42]FormattedData!L89*$J$4+$M$4*$J$5+[42]FormattedData!L89^2*$J$6+$M$5*$J$7</f>
        <v>32.553455302819863</v>
      </c>
      <c r="T76" s="39">
        <f>$J$3+[42]FormattedData!M89*$J$4+$M$4*$J$5+[42]FormattedData!M89^2*$J$6+$M$5*$J$7</f>
        <v>31.106320160101802</v>
      </c>
      <c r="U76" s="39">
        <f>$J$3+[42]FormattedData!N89*$J$4+$M$4*$J$5+[42]FormattedData!N89^2*$J$6+$M$5*$J$7</f>
        <v>33.033720256829326</v>
      </c>
      <c r="V76" s="39">
        <f>$J$3+[42]FormattedData!O89*$J$4+$M$4*$J$5+[42]FormattedData!O89^2*$J$6+$M$5*$J$7</f>
        <v>38.901213933263691</v>
      </c>
      <c r="W76" s="38">
        <f>AVERAGE(K76:V76)</f>
        <v>33.433084737003</v>
      </c>
      <c r="X76" s="37">
        <f>STDEV(K76:V76)/SQRT(COUNT(K76:V76))</f>
        <v>0.79142091198651154</v>
      </c>
      <c r="Y76" s="36">
        <f>MIN(K76:V76)</f>
        <v>30.621828352299225</v>
      </c>
      <c r="Z76" s="35">
        <f>QUARTILE(K76:V76,1)</f>
        <v>31.057902680724993</v>
      </c>
      <c r="AA76" s="36">
        <f>MEDIAN(K76:V76)</f>
        <v>32.793587779824591</v>
      </c>
      <c r="AB76" s="35">
        <f>QUARTILE(K76:V76,3)</f>
        <v>35.845631426929927</v>
      </c>
      <c r="AC76" s="35">
        <f>MAX(K76:V76)</f>
        <v>38.901213933263691</v>
      </c>
      <c r="AD76" s="35">
        <f>SKEW(K76:V76)</f>
        <v>0.77164055146755217</v>
      </c>
      <c r="AE76" s="35">
        <f>KURT(K76:V76)</f>
        <v>-0.51724837358476705</v>
      </c>
    </row>
    <row r="77" spans="2:31" x14ac:dyDescent="0.2">
      <c r="B77" s="34">
        <f>[42]FormattedData!A87</f>
        <v>404</v>
      </c>
      <c r="C77" s="34" t="str">
        <f>VLOOKUP($B77,[42]TrtCodes!$B$11:I130,2)</f>
        <v>FTH</v>
      </c>
      <c r="D77" s="34">
        <f>VLOOKUP($B77,[42]TrtCodes!$B$11:J130,3)</f>
        <v>3</v>
      </c>
      <c r="E77" s="34">
        <f>VLOOKUP($B77,[42]TrtCodes!$B$11:K130,4)</f>
        <v>1</v>
      </c>
      <c r="F77" s="34">
        <f>VLOOKUP($B77,[42]TrtCodes!$B$11:L130,5)</f>
        <v>2</v>
      </c>
      <c r="G77" s="34">
        <f>VLOOKUP($B77,[42]TrtCodes!$B$11:M130,6)</f>
        <v>2</v>
      </c>
      <c r="H77" s="34">
        <f>VLOOKUP($B77,[42]TrtCodes!$B$11:N130,7)</f>
        <v>3</v>
      </c>
      <c r="I77" s="34">
        <f>[42]FormattedData!B87</f>
        <v>2</v>
      </c>
      <c r="J77" s="37">
        <f>[42]FormattedData!C87</f>
        <v>13.472</v>
      </c>
      <c r="K77" s="39">
        <f>$J$3+[42]FormattedData!D87*$J$4+$M$4*$J$5+[42]FormattedData!D87^2*$J$6+$M$5*$J$7</f>
        <v>38.059562026529477</v>
      </c>
      <c r="L77" s="39">
        <f>$J$3+[42]FormattedData!E87*$J$4+$M$4*$J$5+[42]FormattedData!E87^2*$J$6+$M$5*$J$7</f>
        <v>42.783653227232456</v>
      </c>
      <c r="M77" s="39">
        <f>$J$3+[42]FormattedData!F87*$J$4+$M$4*$J$5+[42]FormattedData!F87^2*$J$6+$M$5*$J$7</f>
        <v>36.6492005118115</v>
      </c>
      <c r="N77" s="39">
        <f>$J$3+[42]FormattedData!G87*$J$4+$M$4*$J$5+[42]FormattedData!G87^2*$J$6+$M$5*$J$7</f>
        <v>34.468174838168039</v>
      </c>
      <c r="O77" s="39">
        <f>$J$3+[42]FormattedData!H87*$J$4+$M$4*$J$5+[42]FormattedData!H87^2*$J$6+$M$5*$J$7</f>
        <v>37.120377730165771</v>
      </c>
      <c r="P77" s="39">
        <f>$J$3+[42]FormattedData!I87*$J$4+$M$4*$J$5+[42]FormattedData!I87^2*$J$6+$M$5*$J$7</f>
        <v>37.684395530439168</v>
      </c>
      <c r="Q77" s="39">
        <f>$J$3+[42]FormattedData!J87*$J$4+$M$4*$J$5+[42]FormattedData!J87^2*$J$6+$M$5*$J$7</f>
        <v>32.841741080839334</v>
      </c>
      <c r="R77" s="39">
        <f>$J$3+[42]FormattedData!K87*$J$4+$M$4*$J$5+[42]FormattedData!K87^2*$J$6+$M$5*$J$7</f>
        <v>35.608891000094175</v>
      </c>
      <c r="S77" s="39">
        <f>$J$3+[42]FormattedData!L87*$J$4+$M$4*$J$5+[42]FormattedData!L87^2*$J$6+$M$5*$J$7</f>
        <v>39.460413120212934</v>
      </c>
      <c r="T77" s="39">
        <f>$J$3+[42]FormattedData!M87*$J$4+$M$4*$J$5+[42]FormattedData!M87^2*$J$6+$M$5*$J$7</f>
        <v>41.497791429344034</v>
      </c>
      <c r="U77" s="39">
        <f>$J$3+[42]FormattedData!N87*$J$4+$M$4*$J$5+[42]FormattedData!N87^2*$J$6+$M$5*$J$7</f>
        <v>36.837798204767005</v>
      </c>
      <c r="V77" s="39">
        <f>$J$3+[42]FormattedData!O87*$J$4+$M$4*$J$5+[42]FormattedData!O87^2*$J$6+$M$5*$J$7</f>
        <v>36.554838262526857</v>
      </c>
      <c r="W77" s="38">
        <f>AVERAGE(K77:V77)</f>
        <v>37.463903080177566</v>
      </c>
      <c r="X77" s="37">
        <f>STDEV(K77:V77)/SQRT(COUNT(K77:V77))</f>
        <v>0.80123706837598641</v>
      </c>
      <c r="Y77" s="36">
        <f>MIN(K77:V77)</f>
        <v>32.841741080839334</v>
      </c>
      <c r="Z77" s="35">
        <f>QUARTILE(K77:V77,1)</f>
        <v>36.318351446918683</v>
      </c>
      <c r="AA77" s="36">
        <f>MEDIAN(K77:V77)</f>
        <v>36.979087967466384</v>
      </c>
      <c r="AB77" s="35">
        <f>QUARTILE(K77:V77,3)</f>
        <v>38.409774799950341</v>
      </c>
      <c r="AC77" s="35">
        <f>MAX(K77:V77)</f>
        <v>42.783653227232456</v>
      </c>
      <c r="AD77" s="35">
        <f>SKEW(K77:V77)</f>
        <v>0.46311454245209771</v>
      </c>
      <c r="AE77" s="35">
        <f>KURT(K77:V77)</f>
        <v>0.29924327034525255</v>
      </c>
    </row>
    <row r="78" spans="2:31" x14ac:dyDescent="0.2">
      <c r="B78" s="34">
        <f>[42]FormattedData!A85</f>
        <v>405</v>
      </c>
      <c r="C78" s="34" t="str">
        <f>VLOOKUP($B78,[42]TrtCodes!$B$11:I128,2)</f>
        <v>FDL</v>
      </c>
      <c r="D78" s="34">
        <f>VLOOKUP($B78,[42]TrtCodes!$B$11:J128,3)</f>
        <v>6</v>
      </c>
      <c r="E78" s="34">
        <f>VLOOKUP($B78,[42]TrtCodes!$B$11:K128,4)</f>
        <v>1</v>
      </c>
      <c r="F78" s="34">
        <f>VLOOKUP($B78,[42]TrtCodes!$B$11:L128,5)</f>
        <v>3</v>
      </c>
      <c r="G78" s="34">
        <f>VLOOKUP($B78,[42]TrtCodes!$B$11:M128,6)</f>
        <v>1</v>
      </c>
      <c r="H78" s="34">
        <f>VLOOKUP($B78,[42]TrtCodes!$B$11:N128,7)</f>
        <v>4</v>
      </c>
      <c r="I78" s="34">
        <f>[42]FormattedData!B85</f>
        <v>2</v>
      </c>
      <c r="J78" s="37">
        <f>[42]FormattedData!C85</f>
        <v>13.456</v>
      </c>
      <c r="K78" s="39">
        <f>$J$3+[42]FormattedData!D85*$J$4+$M$4*$J$5+[42]FormattedData!D85^2*$J$6+$M$5*$J$7</f>
        <v>39.739442088425484</v>
      </c>
      <c r="L78" s="39">
        <f>$J$3+[42]FormattedData!E85*$J$4+$M$4*$J$5+[42]FormattedData!E85^2*$J$6+$M$5*$J$7</f>
        <v>38.621043714526998</v>
      </c>
      <c r="M78" s="39">
        <f>$J$3+[42]FormattedData!F85*$J$4+$M$4*$J$5+[42]FormattedData!F85^2*$J$6+$M$5*$J$7</f>
        <v>32.841741080839334</v>
      </c>
      <c r="N78" s="39">
        <f>$J$3+[42]FormattedData!G85*$J$4+$M$4*$J$5+[42]FormattedData!G85^2*$J$6+$M$5*$J$7</f>
        <v>37.120377730165771</v>
      </c>
      <c r="O78" s="39">
        <f>$J$3+[42]FormattedData!H85*$J$4+$M$4*$J$5+[42]FormattedData!H85^2*$J$6+$M$5*$J$7</f>
        <v>30.718811250935602</v>
      </c>
      <c r="P78" s="39">
        <f>$J$3+[42]FormattedData!I85*$J$4+$M$4*$J$5+[42]FormattedData!I85^2*$J$6+$M$5*$J$7</f>
        <v>32.361053441450565</v>
      </c>
      <c r="Q78" s="39">
        <f>$J$3+[42]FormattedData!J85*$J$4+$M$4*$J$5+[42]FormattedData!J85^2*$J$6+$M$5*$J$7</f>
        <v>35.987777127522421</v>
      </c>
      <c r="R78" s="39">
        <f>$J$3+[42]FormattedData!K85*$J$4+$M$4*$J$5+[42]FormattedData!K85^2*$J$6+$M$5*$J$7</f>
        <v>33.991080024503411</v>
      </c>
      <c r="S78" s="39">
        <f>$J$3+[42]FormattedData!L85*$J$4+$M$4*$J$5+[42]FormattedData!L85^2*$J$6+$M$5*$J$7</f>
        <v>34.372840412510989</v>
      </c>
      <c r="T78" s="39">
        <f>$J$3+[42]FormattedData!M85*$J$4+$M$4*$J$5+[42]FormattedData!M85^2*$J$6+$M$5*$J$7</f>
        <v>33.417171386354134</v>
      </c>
      <c r="U78" s="39">
        <f>$J$3+[42]FormattedData!N85*$J$4+$M$4*$J$5+[42]FormattedData!N85^2*$J$6+$M$5*$J$7</f>
        <v>33.895534256156701</v>
      </c>
      <c r="V78" s="39">
        <f>$J$3+[42]FormattedData!O85*$J$4+$M$4*$J$5+[42]FormattedData!O85^2*$J$6+$M$5*$J$7</f>
        <v>31.782833412432304</v>
      </c>
      <c r="W78" s="38">
        <f>AVERAGE(K78:V78)</f>
        <v>34.570808827151971</v>
      </c>
      <c r="X78" s="37">
        <f>STDEV(K78:V78)/SQRT(COUNT(K78:V78))</f>
        <v>0.79901839225339644</v>
      </c>
      <c r="Y78" s="36">
        <f>MIN(K78:V78)</f>
        <v>30.718811250935602</v>
      </c>
      <c r="Z78" s="35">
        <f>QUARTILE(K78:V78,1)</f>
        <v>32.72156917099214</v>
      </c>
      <c r="AA78" s="36">
        <f>MEDIAN(K78:V78)</f>
        <v>33.943307140330056</v>
      </c>
      <c r="AB78" s="35">
        <f>QUARTILE(K78:V78,3)</f>
        <v>36.270927278183258</v>
      </c>
      <c r="AC78" s="35">
        <f>MAX(K78:V78)</f>
        <v>39.739442088425484</v>
      </c>
      <c r="AD78" s="35">
        <f>SKEW(K78:V78)</f>
        <v>0.65390724658470123</v>
      </c>
      <c r="AE78" s="35">
        <f>KURT(K78:V78)</f>
        <v>-0.42365723996640714</v>
      </c>
    </row>
    <row r="79" spans="2:31" x14ac:dyDescent="0.2">
      <c r="B79" s="34">
        <f>[42]FormattedData!A83</f>
        <v>406</v>
      </c>
      <c r="C79" s="34" t="str">
        <f>VLOOKUP($B79,[42]TrtCodes!$B$11:I126,2)</f>
        <v>FTH</v>
      </c>
      <c r="D79" s="34">
        <f>VLOOKUP($B79,[42]TrtCodes!$B$11:J126,3)</f>
        <v>3</v>
      </c>
      <c r="E79" s="34">
        <f>VLOOKUP($B79,[42]TrtCodes!$B$11:K126,4)</f>
        <v>1</v>
      </c>
      <c r="F79" s="34">
        <f>VLOOKUP($B79,[42]TrtCodes!$B$11:L126,5)</f>
        <v>2</v>
      </c>
      <c r="G79" s="34">
        <f>VLOOKUP($B79,[42]TrtCodes!$B$11:M126,6)</f>
        <v>2</v>
      </c>
      <c r="H79" s="34">
        <f>VLOOKUP($B79,[42]TrtCodes!$B$11:N126,7)</f>
        <v>4</v>
      </c>
      <c r="I79" s="34">
        <f>[42]FormattedData!B83</f>
        <v>2</v>
      </c>
      <c r="J79" s="37">
        <f>[42]FormattedData!C83</f>
        <v>13.44</v>
      </c>
      <c r="K79" s="39">
        <f>$J$3+[42]FormattedData!D83*$J$4+$M$4*$J$5+[42]FormattedData!D83^2*$J$6+$M$5*$J$7</f>
        <v>35.51406379689228</v>
      </c>
      <c r="L79" s="39">
        <f>$J$3+[42]FormattedData!E83*$J$4+$M$4*$J$5+[42]FormattedData!E83^2*$J$6+$M$5*$J$7</f>
        <v>33.704315913849463</v>
      </c>
      <c r="M79" s="39">
        <f>$J$3+[42]FormattedData!F83*$J$4+$M$4*$J$5+[42]FormattedData!F83^2*$J$6+$M$5*$J$7</f>
        <v>34.563466995287179</v>
      </c>
      <c r="N79" s="39">
        <f>$J$3+[42]FormattedData!G83*$J$4+$M$4*$J$5+[42]FormattedData!G83^2*$J$6+$M$5*$J$7</f>
        <v>38.994519469100062</v>
      </c>
      <c r="O79" s="39">
        <f>$J$3+[42]FormattedData!H83*$J$4+$M$4*$J$5+[42]FormattedData!H83^2*$J$6+$M$5*$J$7</f>
        <v>35.229328576059032</v>
      </c>
      <c r="P79" s="39">
        <f>$J$3+[42]FormattedData!I83*$J$4+$M$4*$J$5+[42]FormattedData!I83^2*$J$6+$M$5*$J$7</f>
        <v>32.649592830697614</v>
      </c>
      <c r="Q79" s="39">
        <f>$J$3+[42]FormattedData!J83*$J$4+$M$4*$J$5+[42]FormattedData!J83^2*$J$6+$M$5*$J$7</f>
        <v>36.460433744704275</v>
      </c>
      <c r="R79" s="39">
        <f>$J$3+[42]FormattedData!K83*$J$4+$M$4*$J$5+[42]FormattedData!K83^2*$J$6+$M$5*$J$7</f>
        <v>33.033720256829326</v>
      </c>
      <c r="S79" s="39">
        <f>$J$3+[42]FormattedData!L83*$J$4+$M$4*$J$5+[42]FormattedData!L83^2*$J$6+$M$5*$J$7</f>
        <v>34.849089855416992</v>
      </c>
      <c r="T79" s="39">
        <f>$J$3+[42]FormattedData!M83*$J$4+$M$4*$J$5+[42]FormattedData!M83^2*$J$6+$M$5*$J$7</f>
        <v>30.330626045162507</v>
      </c>
      <c r="U79" s="39">
        <f>$J$3+[42]FormattedData!N83*$J$4+$M$4*$J$5+[42]FormattedData!N83^2*$J$6+$M$5*$J$7</f>
        <v>30.912650242594562</v>
      </c>
      <c r="V79" s="39">
        <f>$J$3+[42]FormattedData!O83*$J$4+$M$4*$J$5+[42]FormattedData!O83^2*$J$6+$M$5*$J$7</f>
        <v>31.009506335617143</v>
      </c>
      <c r="W79" s="38">
        <f>AVERAGE(K79:V79)</f>
        <v>33.937609505184199</v>
      </c>
      <c r="X79" s="37">
        <f>STDEV(K79:V79)/SQRT(COUNT(K79:V79))</f>
        <v>0.73122016056692751</v>
      </c>
      <c r="Y79" s="36">
        <f>MIN(K79:V79)</f>
        <v>30.330626045162507</v>
      </c>
      <c r="Z79" s="35">
        <f>QUARTILE(K79:V79,1)</f>
        <v>32.239571206927494</v>
      </c>
      <c r="AA79" s="36">
        <f>MEDIAN(K79:V79)</f>
        <v>34.133891454568321</v>
      </c>
      <c r="AB79" s="35">
        <f>QUARTILE(K79:V79,3)</f>
        <v>35.300512381267346</v>
      </c>
      <c r="AC79" s="35">
        <f>MAX(K79:V79)</f>
        <v>38.994519469100062</v>
      </c>
      <c r="AD79" s="35">
        <f>SKEW(K79:V79)</f>
        <v>0.33460138816345653</v>
      </c>
      <c r="AE79" s="35">
        <f>KURT(K79:V79)</f>
        <v>-7.4805758284760326E-2</v>
      </c>
    </row>
    <row r="80" spans="2:31" x14ac:dyDescent="0.2">
      <c r="B80" s="34">
        <f>[42]FormattedData!A81</f>
        <v>407</v>
      </c>
      <c r="C80" s="34" t="str">
        <f>VLOOKUP($B80,[42]TrtCodes!$B$11:I124,2)</f>
        <v>NSH</v>
      </c>
      <c r="D80" s="34">
        <f>VLOOKUP($B80,[42]TrtCodes!$B$11:J124,3)</f>
        <v>7</v>
      </c>
      <c r="E80" s="34">
        <f>VLOOKUP($B80,[42]TrtCodes!$B$11:K124,4)</f>
        <v>2</v>
      </c>
      <c r="F80" s="34">
        <f>VLOOKUP($B80,[42]TrtCodes!$B$11:L124,5)</f>
        <v>1</v>
      </c>
      <c r="G80" s="34">
        <f>VLOOKUP($B80,[42]TrtCodes!$B$11:M124,6)</f>
        <v>2</v>
      </c>
      <c r="H80" s="34">
        <f>VLOOKUP($B80,[42]TrtCodes!$B$11:N124,7)</f>
        <v>4</v>
      </c>
      <c r="I80" s="34">
        <f>[42]FormattedData!B81</f>
        <v>2</v>
      </c>
      <c r="J80" s="37">
        <f>[42]FormattedData!C81</f>
        <v>13.423</v>
      </c>
      <c r="K80" s="39">
        <f>$J$3+[42]FormattedData!D81*$J$4+$M$4*$J$5+[42]FormattedData!D81^2*$J$6+$M$5*$J$7</f>
        <v>43.788161287322112</v>
      </c>
      <c r="L80" s="39">
        <f>$J$3+[42]FormattedData!E81*$J$4+$M$4*$J$5+[42]FormattedData!E81^2*$J$6+$M$5*$J$7</f>
        <v>38.621043714526998</v>
      </c>
      <c r="M80" s="39">
        <f>$J$3+[42]FormattedData!F81*$J$4+$M$4*$J$5+[42]FormattedData!F81^2*$J$6+$M$5*$J$7</f>
        <v>39.367318927066222</v>
      </c>
      <c r="N80" s="39">
        <f>$J$3+[42]FormattedData!G81*$J$4+$M$4*$J$5+[42]FormattedData!G81^2*$J$6+$M$5*$J$7</f>
        <v>38.153247979207222</v>
      </c>
      <c r="O80" s="39">
        <f>$J$3+[42]FormattedData!H81*$J$4+$M$4*$J$5+[42]FormattedData!H81^2*$J$6+$M$5*$J$7</f>
        <v>37.590498235071756</v>
      </c>
      <c r="P80" s="39">
        <f>$J$3+[42]FormattedData!I81*$J$4+$M$4*$J$5+[42]FormattedData!I81^2*$J$6+$M$5*$J$7</f>
        <v>39.739442088425484</v>
      </c>
      <c r="Q80" s="39">
        <f>$J$3+[42]FormattedData!J81*$J$4+$M$4*$J$5+[42]FormattedData!J81^2*$J$6+$M$5*$J$7</f>
        <v>36.837798204767005</v>
      </c>
      <c r="R80" s="39">
        <f>$J$3+[42]FormattedData!K81*$J$4+$M$4*$J$5+[42]FormattedData!K81^2*$J$6+$M$5*$J$7</f>
        <v>35.229328576059032</v>
      </c>
      <c r="S80" s="39">
        <f>$J$3+[42]FormattedData!L81*$J$4+$M$4*$J$5+[42]FormattedData!L81^2*$J$6+$M$5*$J$7</f>
        <v>36.554838262526857</v>
      </c>
      <c r="T80" s="39">
        <f>$J$3+[42]FormattedData!M81*$J$4+$M$4*$J$5+[42]FormattedData!M81^2*$J$6+$M$5*$J$7</f>
        <v>33.895534256156701</v>
      </c>
      <c r="U80" s="39">
        <f>$J$3+[42]FormattedData!N81*$J$4+$M$4*$J$5+[42]FormattedData!N81^2*$J$6+$M$5*$J$7</f>
        <v>40.203644998021119</v>
      </c>
      <c r="V80" s="39">
        <f>$J$3+[42]FormattedData!O81*$J$4+$M$4*$J$5+[42]FormattedData!O81^2*$J$6+$M$5*$J$7</f>
        <v>36.271497903445329</v>
      </c>
      <c r="W80" s="38">
        <f>AVERAGE(K80:V80)</f>
        <v>38.021029536049646</v>
      </c>
      <c r="X80" s="37">
        <f>STDEV(K80:V80)/SQRT(COUNT(K80:V80))</f>
        <v>0.75265102868734179</v>
      </c>
      <c r="Y80" s="36">
        <f>MIN(K80:V80)</f>
        <v>33.895534256156701</v>
      </c>
      <c r="Z80" s="35">
        <f>QUARTILE(K80:V80,1)</f>
        <v>36.484003172756474</v>
      </c>
      <c r="AA80" s="36">
        <f>MEDIAN(K80:V80)</f>
        <v>37.871873107139493</v>
      </c>
      <c r="AB80" s="35">
        <f>QUARTILE(K80:V80,3)</f>
        <v>39.460349717406039</v>
      </c>
      <c r="AC80" s="35">
        <f>MAX(K80:V80)</f>
        <v>43.788161287322112</v>
      </c>
      <c r="AD80" s="35">
        <f>SKEW(K80:V80)</f>
        <v>0.66308149775035807</v>
      </c>
      <c r="AE80" s="35">
        <f>KURT(K80:V80)</f>
        <v>1.1070086518821176</v>
      </c>
    </row>
    <row r="81" spans="2:31" x14ac:dyDescent="0.2">
      <c r="B81" s="34">
        <f>[42]FormattedData!A79</f>
        <v>408</v>
      </c>
      <c r="C81" s="34" t="str">
        <f>VLOOKUP($B81,[42]TrtCodes!$B$11:I122,2)</f>
        <v>NTL</v>
      </c>
      <c r="D81" s="34">
        <f>VLOOKUP($B81,[42]TrtCodes!$B$11:J122,3)</f>
        <v>10</v>
      </c>
      <c r="E81" s="34">
        <f>VLOOKUP($B81,[42]TrtCodes!$B$11:K122,4)</f>
        <v>2</v>
      </c>
      <c r="F81" s="34">
        <f>VLOOKUP($B81,[42]TrtCodes!$B$11:L122,5)</f>
        <v>2</v>
      </c>
      <c r="G81" s="34">
        <f>VLOOKUP($B81,[42]TrtCodes!$B$11:M122,6)</f>
        <v>1</v>
      </c>
      <c r="H81" s="34">
        <f>VLOOKUP($B81,[42]TrtCodes!$B$11:N122,7)</f>
        <v>4</v>
      </c>
      <c r="I81" s="34">
        <f>[42]FormattedData!B79</f>
        <v>2</v>
      </c>
      <c r="J81" s="37">
        <f>[42]FormattedData!C79</f>
        <v>13.407999999999999</v>
      </c>
      <c r="K81" s="39">
        <f>$J$3+[42]FormattedData!D79*$J$4+$M$4*$J$5+[42]FormattedData!D79^2*$J$6+$M$5*$J$7</f>
        <v>34.277463718315985</v>
      </c>
      <c r="L81" s="39">
        <f>$J$3+[42]FormattedData!E79*$J$4+$M$4*$J$5+[42]FormattedData!E79^2*$J$6+$M$5*$J$7</f>
        <v>32.072133635362121</v>
      </c>
      <c r="M81" s="39">
        <f>$J$3+[42]FormattedData!F79*$J$4+$M$4*$J$5+[42]FormattedData!F79^2*$J$6+$M$5*$J$7</f>
        <v>37.496558671166426</v>
      </c>
      <c r="N81" s="39">
        <f>$J$3+[42]FormattedData!G79*$J$4+$M$4*$J$5+[42]FormattedData!G79^2*$J$6+$M$5*$J$7</f>
        <v>38.246891663347036</v>
      </c>
      <c r="O81" s="39">
        <f>$J$3+[42]FormattedData!H79*$J$4+$M$4*$J$5+[42]FormattedData!H79^2*$J$6+$M$5*$J$7</f>
        <v>38.059562026529477</v>
      </c>
      <c r="P81" s="39">
        <f>$J$3+[42]FormattedData!I79*$J$4+$M$4*$J$5+[42]FormattedData!I79^2*$J$6+$M$5*$J$7</f>
        <v>34.849089855416992</v>
      </c>
      <c r="Q81" s="39">
        <f>$J$3+[42]FormattedData!J79*$J$4+$M$4*$J$5+[42]FormattedData!J79^2*$J$6+$M$5*$J$7</f>
        <v>38.621043714526998</v>
      </c>
      <c r="R81" s="39">
        <f>$J$3+[42]FormattedData!K79*$J$4+$M$4*$J$5+[42]FormattedData!K79^2*$J$6+$M$5*$J$7</f>
        <v>35.798418600884162</v>
      </c>
      <c r="S81" s="39">
        <f>$J$3+[42]FormattedData!L79*$J$4+$M$4*$J$5+[42]FormattedData!L79^2*$J$6+$M$5*$J$7</f>
        <v>31.975742496256782</v>
      </c>
      <c r="T81" s="39">
        <f>$J$3+[42]FormattedData!M79*$J$4+$M$4*$J$5+[42]FormattedData!M79^2*$J$6+$M$5*$J$7</f>
        <v>35.039293752813869</v>
      </c>
      <c r="U81" s="39">
        <f>$J$3+[42]FormattedData!N79*$J$4+$M$4*$J$5+[42]FormattedData!N79^2*$J$6+$M$5*$J$7</f>
        <v>33.129646442017425</v>
      </c>
      <c r="V81" s="39">
        <f>$J$3+[42]FormattedData!O79*$J$4+$M$4*$J$5+[42]FormattedData!O79^2*$J$6+$M$5*$J$7</f>
        <v>31.87930908861351</v>
      </c>
      <c r="W81" s="38">
        <f>AVERAGE(K81:V81)</f>
        <v>35.120429472104227</v>
      </c>
      <c r="X81" s="37">
        <f>STDEV(K81:V81)/SQRT(COUNT(K81:V81))</f>
        <v>0.73450285630516532</v>
      </c>
      <c r="Y81" s="36">
        <f>MIN(K81:V81)</f>
        <v>31.87930908861351</v>
      </c>
      <c r="Z81" s="35">
        <f>QUARTILE(K81:V81,1)</f>
        <v>32.865268240353601</v>
      </c>
      <c r="AA81" s="36">
        <f>MEDIAN(K81:V81)</f>
        <v>34.944191804115434</v>
      </c>
      <c r="AB81" s="35">
        <f>QUARTILE(K81:V81,3)</f>
        <v>37.637309510007185</v>
      </c>
      <c r="AC81" s="35">
        <f>MAX(K81:V81)</f>
        <v>38.621043714526998</v>
      </c>
      <c r="AD81" s="35">
        <f>SKEW(K81:V81)</f>
        <v>7.0167311548286357E-2</v>
      </c>
      <c r="AE81" s="35">
        <f>KURT(K81:V81)</f>
        <v>-1.5401558060852509</v>
      </c>
    </row>
    <row r="82" spans="2:31" x14ac:dyDescent="0.2">
      <c r="B82" s="34">
        <f>[42]FormattedData!A59</f>
        <v>902</v>
      </c>
      <c r="C82" s="34" t="str">
        <f>VLOOKUP($B82,[42]TrtCodes!$B$11:I102,2)</f>
        <v>Late</v>
      </c>
      <c r="D82" s="34">
        <f>VLOOKUP($B82,[42]TrtCodes!$B$11:J102,3)</f>
        <v>22</v>
      </c>
      <c r="E82" s="34">
        <f>VLOOKUP($B82,[42]TrtCodes!$B$11:K102,4)</f>
        <v>4</v>
      </c>
      <c r="F82" s="34">
        <f>VLOOKUP($B82,[42]TrtCodes!$B$11:L102,5)</f>
        <v>2</v>
      </c>
      <c r="G82" s="34">
        <f>VLOOKUP($B82,[42]TrtCodes!$B$11:M102,6)</f>
        <v>2</v>
      </c>
      <c r="H82" s="34">
        <f>VLOOKUP($B82,[42]TrtCodes!$B$11:N102,7)</f>
        <v>1</v>
      </c>
      <c r="I82" s="34">
        <f>[42]FormattedData!B59</f>
        <v>2</v>
      </c>
      <c r="J82" s="37">
        <f>[42]FormattedData!C59</f>
        <v>13.236000000000001</v>
      </c>
      <c r="K82" s="39">
        <f>$J$3+[42]FormattedData!D59*$J$4+$M$4*$J$5+[42]FormattedData!D59^2*$J$6+$M$5*$J$7</f>
        <v>38.434052226012881</v>
      </c>
      <c r="L82" s="39">
        <f>$J$3+[42]FormattedData!E59*$J$4+$M$4*$J$5+[42]FormattedData!E59^2*$J$6+$M$5*$J$7</f>
        <v>32.168482505929525</v>
      </c>
      <c r="M82" s="39">
        <f>$J$3+[42]FormattedData!F59*$J$4+$M$4*$J$5+[42]FormattedData!F59^2*$J$6+$M$5*$J$7</f>
        <v>38.434052226012881</v>
      </c>
      <c r="N82" s="39">
        <f>$J$3+[42]FormattedData!G59*$J$4+$M$4*$J$5+[42]FormattedData!G59^2*$J$6+$M$5*$J$7</f>
        <v>34.849089855416992</v>
      </c>
      <c r="O82" s="39">
        <f>$J$3+[42]FormattedData!H59*$J$4+$M$4*$J$5+[42]FormattedData!H59^2*$J$6+$M$5*$J$7</f>
        <v>29.941764542782508</v>
      </c>
      <c r="P82" s="39">
        <f>$J$3+[42]FormattedData!I59*$J$4+$M$4*$J$5+[42]FormattedData!I59^2*$J$6+$M$5*$J$7</f>
        <v>32.45727550640418</v>
      </c>
      <c r="Q82" s="39">
        <f>$J$3+[42]FormattedData!J59*$J$4+$M$4*$J$5+[42]FormattedData!J59^2*$J$6+$M$5*$J$7</f>
        <v>30.039043321184401</v>
      </c>
      <c r="R82" s="39">
        <f>$J$3+[42]FormattedData!K59*$J$4+$M$4*$J$5+[42]FormattedData!K59^2*$J$6+$M$5*$J$7</f>
        <v>31.009506335617143</v>
      </c>
      <c r="S82" s="39">
        <f>$J$3+[42]FormattedData!L59*$J$4+$M$4*$J$5+[42]FormattedData!L59^2*$J$6+$M$5*$J$7</f>
        <v>29.454736622704065</v>
      </c>
      <c r="T82" s="39">
        <f>$J$3+[42]FormattedData!M59*$J$4+$M$4*$J$5+[42]FormattedData!M59^2*$J$6+$M$5*$J$7</f>
        <v>29.649674596349236</v>
      </c>
      <c r="U82" s="39">
        <f>$J$3+[42]FormattedData!N59*$J$4+$M$4*$J$5+[42]FormattedData!N59^2*$J$6+$M$5*$J$7</f>
        <v>32.553455302819863</v>
      </c>
      <c r="V82" s="39">
        <f>$J$3+[42]FormattedData!O59*$J$4+$M$4*$J$5+[42]FormattedData!O59^2*$J$6+$M$5*$J$7</f>
        <v>32.841741080839334</v>
      </c>
      <c r="W82" s="38">
        <f>AVERAGE(K82:V82)</f>
        <v>32.652739510172751</v>
      </c>
      <c r="X82" s="37">
        <f>STDEV(K82:V82)/SQRT(COUNT(K82:V82))</f>
        <v>0.90501978841248976</v>
      </c>
      <c r="Y82" s="36">
        <f>MIN(K82:V82)</f>
        <v>29.454736622704065</v>
      </c>
      <c r="Z82" s="35">
        <f>QUARTILE(K82:V82,1)</f>
        <v>30.01472362658393</v>
      </c>
      <c r="AA82" s="36">
        <f>MEDIAN(K82:V82)</f>
        <v>32.312879006166852</v>
      </c>
      <c r="AB82" s="35">
        <f>QUARTILE(K82:V82,3)</f>
        <v>33.343578274483747</v>
      </c>
      <c r="AC82" s="35">
        <f>MAX(K82:V82)</f>
        <v>38.434052226012881</v>
      </c>
      <c r="AD82" s="35">
        <f>SKEW(K82:V82)</f>
        <v>1.0441758567721735</v>
      </c>
      <c r="AE82" s="35">
        <f>KURT(K82:V82)</f>
        <v>0.1285521816458477</v>
      </c>
    </row>
    <row r="83" spans="2:31" x14ac:dyDescent="0.2">
      <c r="B83" s="34">
        <f>[42]FormattedData!A55</f>
        <v>904</v>
      </c>
      <c r="C83" s="34" t="str">
        <f>VLOOKUP($B83,[42]TrtCodes!$B$11:I98,2)</f>
        <v>Early</v>
      </c>
      <c r="D83" s="34">
        <f>VLOOKUP($B83,[42]TrtCodes!$B$11:J98,3)</f>
        <v>21</v>
      </c>
      <c r="E83" s="34">
        <f>VLOOKUP($B83,[42]TrtCodes!$B$11:K98,4)</f>
        <v>3</v>
      </c>
      <c r="F83" s="34">
        <f>VLOOKUP($B83,[42]TrtCodes!$B$11:L98,5)</f>
        <v>2</v>
      </c>
      <c r="G83" s="34">
        <f>VLOOKUP($B83,[42]TrtCodes!$B$11:M98,6)</f>
        <v>2</v>
      </c>
      <c r="H83" s="34">
        <f>VLOOKUP($B83,[42]TrtCodes!$B$11:N98,7)</f>
        <v>1</v>
      </c>
      <c r="I83" s="34">
        <f>[42]FormattedData!B55</f>
        <v>2</v>
      </c>
      <c r="J83" s="37">
        <f>[42]FormattedData!C55</f>
        <v>13.215</v>
      </c>
      <c r="K83" s="39">
        <f>$J$3+[42]FormattedData!D55*$J$4+$M$4*$J$5+[42]FormattedData!D55^2*$J$6+$M$5*$J$7</f>
        <v>32.841741080839334</v>
      </c>
      <c r="L83" s="39">
        <f>$J$3+[42]FormattedData!E55*$J$4+$M$4*$J$5+[42]FormattedData!E55^2*$J$6+$M$5*$J$7</f>
        <v>33.225530358667591</v>
      </c>
      <c r="M83" s="39">
        <f>$J$3+[42]FormattedData!F55*$J$4+$M$4*$J$5+[42]FormattedData!F55^2*$J$6+$M$5*$J$7</f>
        <v>31.493152772661105</v>
      </c>
      <c r="N83" s="39">
        <f>$J$3+[42]FormattedData!G55*$J$4+$M$4*$J$5+[42]FormattedData!G55^2*$J$6+$M$5*$J$7</f>
        <v>36.176966580008958</v>
      </c>
      <c r="O83" s="39">
        <f>$J$3+[42]FormattedData!H55*$J$4+$M$4*$J$5+[42]FormattedData!H55^2*$J$6+$M$5*$J$7</f>
        <v>35.51406379689228</v>
      </c>
      <c r="P83" s="39">
        <f>$J$3+[42]FormattedData!I55*$J$4+$M$4*$J$5+[42]FormattedData!I55^2*$J$6+$M$5*$J$7</f>
        <v>34.753924503911648</v>
      </c>
      <c r="Q83" s="39">
        <f>$J$3+[42]FormattedData!J55*$J$4+$M$4*$J$5+[42]FormattedData!J55^2*$J$6+$M$5*$J$7</f>
        <v>31.87930908861351</v>
      </c>
      <c r="R83" s="39">
        <f>$J$3+[42]FormattedData!K55*$J$4+$M$4*$J$5+[42]FormattedData!K55^2*$J$6+$M$5*$J$7</f>
        <v>40.851753792861892</v>
      </c>
      <c r="S83" s="39">
        <f>$J$3+[42]FormattedData!L55*$J$4+$M$4*$J$5+[42]FormattedData!L55^2*$J$6+$M$5*$J$7</f>
        <v>37.872063315560176</v>
      </c>
      <c r="T83" s="39">
        <f>$J$3+[42]FormattedData!M55*$J$4+$M$4*$J$5+[42]FormattedData!M55^2*$J$6+$M$5*$J$7</f>
        <v>35.039293752813869</v>
      </c>
      <c r="U83" s="39">
        <f>$J$3+[42]FormattedData!N55*$J$4+$M$4*$J$5+[42]FormattedData!N55^2*$J$6+$M$5*$J$7</f>
        <v>31.686315467713165</v>
      </c>
      <c r="V83" s="39">
        <f>$J$3+[42]FormattedData!O55*$J$4+$M$4*$J$5+[42]FormattedData!O55^2*$J$6+$M$5*$J$7</f>
        <v>31.87930908861351</v>
      </c>
      <c r="W83" s="38">
        <f>AVERAGE(K83:V83)</f>
        <v>34.43445196659642</v>
      </c>
      <c r="X83" s="37">
        <f>STDEV(K83:V83)/SQRT(COUNT(K83:V83))</f>
        <v>0.82996884992987663</v>
      </c>
      <c r="Y83" s="36">
        <f>MIN(K83:V83)</f>
        <v>31.493152772661105</v>
      </c>
      <c r="Z83" s="35">
        <f>QUARTILE(K83:V83,1)</f>
        <v>31.87930908861351</v>
      </c>
      <c r="AA83" s="36">
        <f>MEDIAN(K83:V83)</f>
        <v>33.989727431289623</v>
      </c>
      <c r="AB83" s="35">
        <f>QUARTILE(K83:V83,3)</f>
        <v>35.679789492671446</v>
      </c>
      <c r="AC83" s="35">
        <f>MAX(K83:V83)</f>
        <v>40.851753792861892</v>
      </c>
      <c r="AD83" s="35">
        <f>SKEW(K83:V83)</f>
        <v>1.0389008792912819</v>
      </c>
      <c r="AE83" s="35">
        <f>KURT(K83:V83)</f>
        <v>0.74493764717895328</v>
      </c>
    </row>
    <row r="84" spans="2:31" x14ac:dyDescent="0.2">
      <c r="B84" s="34">
        <f>[42]FormattedData!A51</f>
        <v>906</v>
      </c>
      <c r="C84" s="34" t="str">
        <f>VLOOKUP($B84,[42]TrtCodes!$B$11:I94,2)</f>
        <v>Late</v>
      </c>
      <c r="D84" s="34">
        <f>VLOOKUP($B84,[42]TrtCodes!$B$11:J94,3)</f>
        <v>22</v>
      </c>
      <c r="E84" s="34">
        <f>VLOOKUP($B84,[42]TrtCodes!$B$11:K94,4)</f>
        <v>4</v>
      </c>
      <c r="F84" s="34">
        <f>VLOOKUP($B84,[42]TrtCodes!$B$11:L94,5)</f>
        <v>2</v>
      </c>
      <c r="G84" s="34">
        <f>VLOOKUP($B84,[42]TrtCodes!$B$11:M94,6)</f>
        <v>2</v>
      </c>
      <c r="H84" s="34">
        <f>VLOOKUP($B84,[42]TrtCodes!$B$11:N94,7)</f>
        <v>2</v>
      </c>
      <c r="I84" s="34">
        <f>[42]FormattedData!B51</f>
        <v>2</v>
      </c>
      <c r="J84" s="37">
        <f>[42]FormattedData!C51</f>
        <v>13.19</v>
      </c>
      <c r="K84" s="39">
        <f>$J$3+[42]FormattedData!D51*$J$4+$M$4*$J$5+[42]FormattedData!D51^2*$J$6+$M$5*$J$7</f>
        <v>31.975742496256782</v>
      </c>
      <c r="L84" s="39">
        <f>$J$3+[42]FormattedData!E51*$J$4+$M$4*$J$5+[42]FormattedData!E51^2*$J$6+$M$5*$J$7</f>
        <v>34.277463718315985</v>
      </c>
      <c r="M84" s="39">
        <f>$J$3+[42]FormattedData!F51*$J$4+$M$4*$J$5+[42]FormattedData!F51^2*$J$6+$M$5*$J$7</f>
        <v>33.129646442017425</v>
      </c>
      <c r="N84" s="39">
        <f>$J$3+[42]FormattedData!G51*$J$4+$M$4*$J$5+[42]FormattedData!G51^2*$J$6+$M$5*$J$7</f>
        <v>42.783653227232456</v>
      </c>
      <c r="O84" s="39">
        <f>$J$3+[42]FormattedData!H51*$J$4+$M$4*$J$5+[42]FormattedData!H51^2*$J$6+$M$5*$J$7</f>
        <v>36.365986958343761</v>
      </c>
      <c r="P84" s="39">
        <f>$J$3+[42]FormattedData!I51*$J$4+$M$4*$J$5+[42]FormattedData!I51^2*$J$6+$M$5*$J$7</f>
        <v>31.106320160101802</v>
      </c>
      <c r="Q84" s="39">
        <f>$J$3+[42]FormattedData!J51*$J$4+$M$4*$J$5+[42]FormattedData!J51^2*$J$6+$M$5*$J$7</f>
        <v>32.841741080839334</v>
      </c>
      <c r="R84" s="39">
        <f>$J$3+[42]FormattedData!K51*$J$4+$M$4*$J$5+[42]FormattedData!K51^2*$J$6+$M$5*$J$7</f>
        <v>34.372840412510989</v>
      </c>
      <c r="S84" s="39">
        <f>$J$3+[42]FormattedData!L51*$J$4+$M$4*$J$5+[42]FormattedData!L51^2*$J$6+$M$5*$J$7</f>
        <v>31.396508022328174</v>
      </c>
      <c r="T84" s="39">
        <f>$J$3+[42]FormattedData!M51*$J$4+$M$4*$J$5+[42]FormattedData!M51^2*$J$6+$M$5*$J$7</f>
        <v>36.365986958343761</v>
      </c>
      <c r="U84" s="39">
        <f>$J$3+[42]FormattedData!N51*$J$4+$M$4*$J$5+[42]FormattedData!N51^2*$J$6+$M$5*$J$7</f>
        <v>31.782833412432304</v>
      </c>
      <c r="V84" s="39">
        <f>$J$3+[42]FormattedData!O51*$J$4+$M$4*$J$5+[42]FormattedData!O51^2*$J$6+$M$5*$J$7</f>
        <v>36.176966580008958</v>
      </c>
      <c r="W84" s="38">
        <f>AVERAGE(K84:V84)</f>
        <v>34.381307455727644</v>
      </c>
      <c r="X84" s="37">
        <f>STDEV(K84:V84)/SQRT(COUNT(K84:V84))</f>
        <v>0.94477376765849985</v>
      </c>
      <c r="Y84" s="36">
        <f>MIN(K84:V84)</f>
        <v>31.106320160101802</v>
      </c>
      <c r="Z84" s="35">
        <f>QUARTILE(K84:V84,1)</f>
        <v>31.927515225300663</v>
      </c>
      <c r="AA84" s="36">
        <f>MEDIAN(K84:V84)</f>
        <v>33.703555080166709</v>
      </c>
      <c r="AB84" s="35">
        <f>QUARTILE(K84:V84,3)</f>
        <v>36.224221674592656</v>
      </c>
      <c r="AC84" s="35">
        <f>MAX(K84:V84)</f>
        <v>42.783653227232456</v>
      </c>
      <c r="AD84" s="35">
        <f>SKEW(K84:V84)</f>
        <v>1.6052436425287762</v>
      </c>
      <c r="AE84" s="35">
        <f>KURT(K84:V84)</f>
        <v>3.2559721775914445</v>
      </c>
    </row>
    <row r="85" spans="2:31" x14ac:dyDescent="0.2">
      <c r="B85" s="34">
        <f>[42]FormattedData!A47</f>
        <v>908</v>
      </c>
      <c r="C85" s="34" t="str">
        <f>VLOOKUP($B85,[42]TrtCodes!$B$11:I90,2)</f>
        <v>Early</v>
      </c>
      <c r="D85" s="34">
        <f>VLOOKUP($B85,[42]TrtCodes!$B$11:J90,3)</f>
        <v>21</v>
      </c>
      <c r="E85" s="34">
        <f>VLOOKUP($B85,[42]TrtCodes!$B$11:K90,4)</f>
        <v>3</v>
      </c>
      <c r="F85" s="34">
        <f>VLOOKUP($B85,[42]TrtCodes!$B$11:L90,5)</f>
        <v>2</v>
      </c>
      <c r="G85" s="34">
        <f>VLOOKUP($B85,[42]TrtCodes!$B$11:M90,6)</f>
        <v>2</v>
      </c>
      <c r="H85" s="34">
        <f>VLOOKUP($B85,[42]TrtCodes!$B$11:N90,7)</f>
        <v>2</v>
      </c>
      <c r="I85" s="34">
        <f>[42]FormattedData!B47</f>
        <v>2</v>
      </c>
      <c r="J85" s="37">
        <f>[42]FormattedData!C47</f>
        <v>13.167</v>
      </c>
      <c r="K85" s="39">
        <f>$J$3+[42]FormattedData!D47*$J$4+$M$4*$J$5+[42]FormattedData!D47^2*$J$6+$M$5*$J$7</f>
        <v>35.324282584874716</v>
      </c>
      <c r="L85" s="39">
        <f>$J$3+[42]FormattedData!E47*$J$4+$M$4*$J$5+[42]FormattedData!E47^2*$J$6+$M$5*$J$7</f>
        <v>34.086583524312204</v>
      </c>
      <c r="M85" s="39">
        <f>$J$3+[42]FormattedData!F47*$J$4+$M$4*$J$5+[42]FormattedData!F47^2*$J$6+$M$5*$J$7</f>
        <v>36.176966580008958</v>
      </c>
      <c r="N85" s="39">
        <f>$J$3+[42]FormattedData!G47*$J$4+$M$4*$J$5+[42]FormattedData!G47^2*$J$6+$M$5*$J$7</f>
        <v>37.402576838723157</v>
      </c>
      <c r="O85" s="39">
        <f>$J$3+[42]FormattedData!H47*$J$4+$M$4*$J$5+[42]FormattedData!H47^2*$J$6+$M$5*$J$7</f>
        <v>34.563466995287179</v>
      </c>
      <c r="P85" s="39">
        <f>$J$3+[42]FormattedData!I47*$J$4+$M$4*$J$5+[42]FormattedData!I47^2*$J$6+$M$5*$J$7</f>
        <v>32.841741080839334</v>
      </c>
      <c r="Q85" s="39">
        <f>$J$3+[42]FormattedData!J47*$J$4+$M$4*$J$5+[42]FormattedData!J47^2*$J$6+$M$5*$J$7</f>
        <v>40.296358774326443</v>
      </c>
      <c r="R85" s="39">
        <f>$J$3+[42]FormattedData!K47*$J$4+$M$4*$J$5+[42]FormattedData!K47^2*$J$6+$M$5*$J$7</f>
        <v>37.872063315560176</v>
      </c>
      <c r="S85" s="39">
        <f>$J$3+[42]FormattedData!L47*$J$4+$M$4*$J$5+[42]FormattedData!L47^2*$J$6+$M$5*$J$7</f>
        <v>34.849089855416992</v>
      </c>
      <c r="T85" s="39">
        <f>$J$3+[42]FormattedData!M47*$J$4+$M$4*$J$5+[42]FormattedData!M47^2*$J$6+$M$5*$J$7</f>
        <v>34.468174838168039</v>
      </c>
      <c r="U85" s="39">
        <f>$J$3+[42]FormattedData!N47*$J$4+$M$4*$J$5+[42]FormattedData!N47^2*$J$6+$M$5*$J$7</f>
        <v>30.427735749412676</v>
      </c>
      <c r="V85" s="39">
        <f>$J$3+[42]FormattedData!O47*$J$4+$M$4*$J$5+[42]FormattedData!O47^2*$J$6+$M$5*$J$7</f>
        <v>30.330626045162507</v>
      </c>
      <c r="W85" s="38">
        <f>AVERAGE(K85:V85)</f>
        <v>34.886638848507694</v>
      </c>
      <c r="X85" s="37">
        <f>STDEV(K85:V85)/SQRT(COUNT(K85:V85))</f>
        <v>0.83532781445935578</v>
      </c>
      <c r="Y85" s="36">
        <f>MIN(K85:V85)</f>
        <v>30.330626045162507</v>
      </c>
      <c r="Z85" s="35">
        <f>QUARTILE(K85:V85,1)</f>
        <v>33.775372913443988</v>
      </c>
      <c r="AA85" s="36">
        <f>MEDIAN(K85:V85)</f>
        <v>34.706278425352082</v>
      </c>
      <c r="AB85" s="35">
        <f>QUARTILE(K85:V85,3)</f>
        <v>36.483369144687508</v>
      </c>
      <c r="AC85" s="35">
        <f>MAX(K85:V85)</f>
        <v>40.296358774326443</v>
      </c>
      <c r="AD85" s="35">
        <f>SKEW(K85:V85)</f>
        <v>4.8133300496713452E-2</v>
      </c>
      <c r="AE85" s="35">
        <f>KURT(K85:V85)</f>
        <v>6.3507331797188371E-2</v>
      </c>
    </row>
    <row r="88" spans="2:31" x14ac:dyDescent="0.2">
      <c r="W88" s="35"/>
    </row>
  </sheetData>
  <autoFilter ref="B9:AE85" xr:uid="{97273CEA-A0F6-416C-9CD8-323484996C61}"/>
  <conditionalFormatting sqref="K10:V85">
    <cfRule type="cellIs" dxfId="163" priority="1" stopIfTrue="1" operator="lessThan">
      <formula>$W10-$V$5*$X10</formula>
    </cfRule>
    <cfRule type="cellIs" dxfId="162" priority="2" stopIfTrue="1" operator="greaterThan">
      <formula>$W10+$V$5*$X10</formula>
    </cfRule>
  </conditionalFormatting>
  <conditionalFormatting sqref="W10:W85">
    <cfRule type="cellIs" dxfId="161" priority="3" stopIfTrue="1" operator="lessThan">
      <formula>AVERAGE($W$10:$W$41)</formula>
    </cfRule>
    <cfRule type="cellIs" dxfId="16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D7EC-A38A-4877-8648-66D4CD3FC198}">
  <sheetPr codeName="Sheet12"/>
  <dimension ref="A1:AI88"/>
  <sheetViews>
    <sheetView topLeftCell="A8" workbookViewId="0">
      <pane xSplit="4" ySplit="2" topLeftCell="O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[41]FormattedData!A1</f>
        <v>Raw data file name - 'IA155.03R'</v>
      </c>
    </row>
    <row r="2" spans="1:35" ht="15" x14ac:dyDescent="0.25">
      <c r="I2" s="65" t="s">
        <v>136</v>
      </c>
      <c r="J2" s="57"/>
      <c r="P2" s="64">
        <f>[41]AncillaryData!C10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[41]AncillaryData!E25</f>
        <v>38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"&amp;[41]AncillaryData!C7</f>
        <v>Time Sequence of Midday IRT Temps - FISE 2003 - DOY 155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"&amp;[41]AncillaryData!E25&amp;", VPD = "&amp;ROUND([41]AncillaryData!E29,1)&amp;", Quality = "&amp;[41]AncillaryData!C20&amp;")"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[41]FormattedData!A28</f>
        <v>101</v>
      </c>
      <c r="C10" s="34" t="str">
        <f>VLOOKUP($B10,[41]TrtCodes!$B$11:I71,2)</f>
        <v>FSH</v>
      </c>
      <c r="D10" s="34">
        <f>VLOOKUP($B10,[41]TrtCodes!$B$11:J71,3)</f>
        <v>1</v>
      </c>
      <c r="E10" s="34">
        <f>VLOOKUP($B10,[41]TrtCodes!$B$11:K71,4)</f>
        <v>1</v>
      </c>
      <c r="F10" s="34">
        <f>VLOOKUP($B10,[41]TrtCodes!$B$11:L71,5)</f>
        <v>1</v>
      </c>
      <c r="G10" s="34">
        <f>VLOOKUP($B10,[41]TrtCodes!$B$11:M71,6)</f>
        <v>2</v>
      </c>
      <c r="H10" s="34">
        <f>VLOOKUP($B10,[41]TrtCodes!$B$11:N71,7)</f>
        <v>1</v>
      </c>
      <c r="I10" s="34">
        <f>[41]FormattedData!B28</f>
        <v>1</v>
      </c>
      <c r="J10" s="37">
        <f>[41]FormattedData!C28</f>
        <v>13.223000000000001</v>
      </c>
      <c r="K10" s="39">
        <f>$J$3+[41]FormattedData!D28*$J$4+$M$4*$J$5+[41]FormattedData!D28^2*$J$6+$M$5*$J$7</f>
        <v>55.260137321886006</v>
      </c>
      <c r="L10" s="39">
        <f>$J$3+[41]FormattedData!E28*$J$4+$M$4*$J$5+[41]FormattedData!E28^2*$J$6+$M$5*$J$7</f>
        <v>55.174482391415175</v>
      </c>
      <c r="M10" s="39">
        <f>$J$3+[41]FormattedData!F28*$J$4+$M$4*$J$5+[41]FormattedData!F28^2*$J$6+$M$5*$J$7</f>
        <v>56.029129611916595</v>
      </c>
      <c r="N10" s="39">
        <f>$J$3+[41]FormattedData!G28*$J$4+$M$4*$J$5+[41]FormattedData!G28^2*$J$6+$M$5*$J$7</f>
        <v>56.369804981055097</v>
      </c>
      <c r="O10" s="39">
        <f>$J$3+[41]FormattedData!H28*$J$4+$M$4*$J$5+[41]FormattedData!H28^2*$J$6+$M$5*$J$7</f>
        <v>52.324157036098335</v>
      </c>
      <c r="P10" s="39">
        <f>$J$3+[41]FormattedData!I28*$J$4+$M$4*$J$5+[41]FormattedData!I28^2*$J$6+$M$5*$J$7</f>
        <v>55.943855098287131</v>
      </c>
      <c r="Q10" s="39">
        <f>$J$3+[41]FormattedData!J28*$J$4+$M$4*$J$5+[41]FormattedData!J28^2*$J$6+$M$5*$J$7</f>
        <v>53.539007690262451</v>
      </c>
      <c r="R10" s="39">
        <f>$J$3+[41]FormattedData!K28*$J$4+$M$4*$J$5+[41]FormattedData!K28^2*$J$6+$M$5*$J$7</f>
        <v>56.624867688260686</v>
      </c>
      <c r="S10" s="39">
        <f>$J$3+[41]FormattedData!L28*$J$4+$M$4*$J$5+[41]FormattedData!L28^2*$J$6+$M$5*$J$7</f>
        <v>57.47232925731381</v>
      </c>
      <c r="T10" s="39">
        <f>$J$3+[41]FormattedData!M28*$J$4+$M$4*$J$5+[41]FormattedData!M28^2*$J$6+$M$5*$J$7</f>
        <v>57.133851852147728</v>
      </c>
      <c r="U10" s="39">
        <f>$J$3+[41]FormattedData!N28*$J$4+$M$4*$J$5+[41]FormattedData!N28^2*$J$6+$M$5*$J$7</f>
        <v>54.401685932970786</v>
      </c>
      <c r="V10" s="39">
        <f>$J$3+[41]FormattedData!O28*$J$4+$M$4*$J$5+[41]FormattedData!O28^2*$J$6+$M$5*$J$7</f>
        <v>55.516848502070907</v>
      </c>
      <c r="W10" s="38">
        <f>AVERAGE(K10:V10)</f>
        <v>55.482513113640387</v>
      </c>
      <c r="X10" s="37">
        <f>STDEV(K10:V10)/SQRT(COUNT(K10:V10))</f>
        <v>0.42955492686186814</v>
      </c>
      <c r="Y10" s="36">
        <f>MIN(K10:V10)</f>
        <v>52.324157036098335</v>
      </c>
      <c r="Z10" s="35">
        <f>QUARTILE(K10:V10,1)</f>
        <v>54.981283276804078</v>
      </c>
      <c r="AA10" s="36">
        <f>MEDIAN(K10:V10)</f>
        <v>55.730351800179022</v>
      </c>
      <c r="AB10" s="35">
        <f>QUARTILE(K10:V10,3)</f>
        <v>56.433570657856492</v>
      </c>
      <c r="AC10" s="35">
        <f>MAX(K10:V10)</f>
        <v>57.47232925731381</v>
      </c>
      <c r="AD10" s="35">
        <f>SKEW(K10:V10)</f>
        <v>-0.83824222452111641</v>
      </c>
      <c r="AE10" s="35">
        <f>KURT(K10:V10)</f>
        <v>0.48941981783070432</v>
      </c>
    </row>
    <row r="11" spans="1:35" x14ac:dyDescent="0.2">
      <c r="B11" s="34">
        <f>[41]FormattedData!A26</f>
        <v>102</v>
      </c>
      <c r="C11" s="34" t="str">
        <f>VLOOKUP($B11,[41]TrtCodes!$B$11:I69,2)</f>
        <v>FTL</v>
      </c>
      <c r="D11" s="34">
        <f>VLOOKUP($B11,[41]TrtCodes!$B$11:J69,3)</f>
        <v>4</v>
      </c>
      <c r="E11" s="34">
        <f>VLOOKUP($B11,[41]TrtCodes!$B$11:K69,4)</f>
        <v>1</v>
      </c>
      <c r="F11" s="34">
        <f>VLOOKUP($B11,[41]TrtCodes!$B$11:L69,5)</f>
        <v>2</v>
      </c>
      <c r="G11" s="34">
        <f>VLOOKUP($B11,[41]TrtCodes!$B$11:M69,6)</f>
        <v>1</v>
      </c>
      <c r="H11" s="34">
        <f>VLOOKUP($B11,[41]TrtCodes!$B$11:N69,7)</f>
        <v>1</v>
      </c>
      <c r="I11" s="34">
        <f>[41]FormattedData!B26</f>
        <v>1</v>
      </c>
      <c r="J11" s="37">
        <f>[41]FormattedData!C26</f>
        <v>13.206</v>
      </c>
      <c r="K11" s="39">
        <f>$J$3+[41]FormattedData!D26*$J$4+$M$4*$J$5+[41]FormattedData!D26^2*$J$6+$M$5*$J$7</f>
        <v>57.218534606246152</v>
      </c>
      <c r="L11" s="39">
        <f>$J$3+[41]FormattedData!E26*$J$4+$M$4*$J$5+[41]FormattedData!E26^2*$J$6+$M$5*$J$7</f>
        <v>54.745573710992034</v>
      </c>
      <c r="M11" s="39">
        <f>$J$3+[41]FormattedData!F26*$J$4+$M$4*$J$5+[41]FormattedData!F26^2*$J$6+$M$5*$J$7</f>
        <v>55.174482391415175</v>
      </c>
      <c r="N11" s="39">
        <f>$J$3+[41]FormattedData!G26*$J$4+$M$4*$J$5+[41]FormattedData!G26^2*$J$6+$M$5*$J$7</f>
        <v>54.91726398877509</v>
      </c>
      <c r="O11" s="39">
        <f>$J$3+[41]FormattedData!H26*$J$4+$M$4*$J$5+[41]FormattedData!H26^2*$J$6+$M$5*$J$7</f>
        <v>55.345749983818905</v>
      </c>
      <c r="P11" s="39">
        <f>$J$3+[41]FormattedData!I26*$J$4+$M$4*$J$5+[41]FormattedData!I26^2*$J$6+$M$5*$J$7</f>
        <v>55.943855098287131</v>
      </c>
      <c r="Q11" s="39">
        <f>$J$3+[41]FormattedData!J26*$J$4+$M$4*$J$5+[41]FormattedData!J26^2*$J$6+$M$5*$J$7</f>
        <v>55.431320377213872</v>
      </c>
      <c r="R11" s="39">
        <f>$J$3+[41]FormattedData!K26*$J$4+$M$4*$J$5+[41]FormattedData!K26^2*$J$6+$M$5*$J$7</f>
        <v>56.879549978624901</v>
      </c>
      <c r="S11" s="39">
        <f>$J$3+[41]FormattedData!L26*$J$4+$M$4*$J$5+[41]FormattedData!L26^2*$J$6+$M$5*$J$7</f>
        <v>54.91726398877509</v>
      </c>
      <c r="T11" s="39">
        <f>$J$3+[41]FormattedData!M26*$J$4+$M$4*$J$5+[41]FormattedData!M26^2*$J$6+$M$5*$J$7</f>
        <v>54.487721280282997</v>
      </c>
      <c r="U11" s="39">
        <f>$J$3+[41]FormattedData!N26*$J$4+$M$4*$J$5+[41]FormattedData!N26^2*$J$6+$M$5*$J$7</f>
        <v>52.149930646039422</v>
      </c>
      <c r="V11" s="39">
        <f>$J$3+[41]FormattedData!O26*$J$4+$M$4*$J$5+[41]FormattedData!O26^2*$J$6+$M$5*$J$7</f>
        <v>55.00304572485971</v>
      </c>
      <c r="W11" s="38">
        <f>AVERAGE(K11:V11)</f>
        <v>55.184524314610883</v>
      </c>
      <c r="X11" s="37">
        <f>STDEV(K11:V11)/SQRT(COUNT(K11:V11))</f>
        <v>0.36656325094786602</v>
      </c>
      <c r="Y11" s="36">
        <f>MIN(K11:V11)</f>
        <v>52.149930646039422</v>
      </c>
      <c r="Z11" s="35">
        <f>QUARTILE(K11:V11,1)</f>
        <v>54.874341419329326</v>
      </c>
      <c r="AA11" s="36">
        <f>MEDIAN(K11:V11)</f>
        <v>55.088764058137443</v>
      </c>
      <c r="AB11" s="35">
        <f>QUARTILE(K11:V11,3)</f>
        <v>55.559454057482185</v>
      </c>
      <c r="AC11" s="35">
        <f>MAX(K11:V11)</f>
        <v>57.218534606246152</v>
      </c>
      <c r="AD11" s="35">
        <f>SKEW(K11:V11)</f>
        <v>-0.78161479809563894</v>
      </c>
      <c r="AE11" s="35">
        <f>KURT(K11:V11)</f>
        <v>2.6816530272403085</v>
      </c>
    </row>
    <row r="12" spans="1:35" x14ac:dyDescent="0.2">
      <c r="B12" s="34">
        <f>[41]FormattedData!A24</f>
        <v>103</v>
      </c>
      <c r="C12" s="34" t="str">
        <f>VLOOKUP($B12,[41]TrtCodes!$B$11:I67,2)</f>
        <v>FDH</v>
      </c>
      <c r="D12" s="34">
        <f>VLOOKUP($B12,[41]TrtCodes!$B$11:J67,3)</f>
        <v>5</v>
      </c>
      <c r="E12" s="34">
        <f>VLOOKUP($B12,[41]TrtCodes!$B$11:K67,4)</f>
        <v>1</v>
      </c>
      <c r="F12" s="34">
        <f>VLOOKUP($B12,[41]TrtCodes!$B$11:L67,5)</f>
        <v>3</v>
      </c>
      <c r="G12" s="34">
        <f>VLOOKUP($B12,[41]TrtCodes!$B$11:M67,6)</f>
        <v>2</v>
      </c>
      <c r="H12" s="34">
        <f>VLOOKUP($B12,[41]TrtCodes!$B$11:N67,7)</f>
        <v>1</v>
      </c>
      <c r="I12" s="34">
        <f>[41]FormattedData!B24</f>
        <v>1</v>
      </c>
      <c r="J12" s="37">
        <f>[41]FormattedData!C24</f>
        <v>13.19</v>
      </c>
      <c r="K12" s="39">
        <f>$J$3+[41]FormattedData!D24*$J$4+$M$4*$J$5+[41]FormattedData!D24^2*$J$6+$M$5*$J$7</f>
        <v>56.284699541577361</v>
      </c>
      <c r="L12" s="39">
        <f>$J$3+[41]FormattedData!E24*$J$4+$M$4*$J$5+[41]FormattedData!E24^2*$J$6+$M$5*$J$7</f>
        <v>48.718722343814676</v>
      </c>
      <c r="M12" s="39">
        <f>$J$3+[41]FormattedData!F24*$J$4+$M$4*$J$5+[41]FormattedData!F24^2*$J$6+$M$5*$J$7</f>
        <v>57.049126829511387</v>
      </c>
      <c r="N12" s="39">
        <f>$J$3+[41]FormattedData!G24*$J$4+$M$4*$J$5+[41]FormattedData!G24^2*$J$6+$M$5*$J$7</f>
        <v>53.452507389032981</v>
      </c>
      <c r="O12" s="39">
        <f>$J$3+[41]FormattedData!H24*$J$4+$M$4*$J$5+[41]FormattedData!H24^2*$J$6+$M$5*$J$7</f>
        <v>45.765177218870001</v>
      </c>
      <c r="P12" s="39">
        <f>$J$3+[41]FormattedData!I24*$J$4+$M$4*$J$5+[41]FormattedData!I24^2*$J$6+$M$5*$J$7</f>
        <v>54.831439984152539</v>
      </c>
      <c r="Q12" s="39">
        <f>$J$3+[41]FormattedData!J24*$J$4+$M$4*$J$5+[41]FormattedData!J24^2*$J$6+$M$5*$J$7</f>
        <v>46.395533227779701</v>
      </c>
      <c r="R12" s="39">
        <f>$J$3+[41]FormattedData!K24*$J$4+$M$4*$J$5+[41]FormattedData!K24^2*$J$6+$M$5*$J$7</f>
        <v>58.735596260031407</v>
      </c>
      <c r="S12" s="39">
        <f>$J$3+[41]FormattedData!L24*$J$4+$M$4*$J$5+[41]FormattedData!L24^2*$J$6+$M$5*$J$7</f>
        <v>45.584695085197282</v>
      </c>
      <c r="T12" s="39">
        <f>$J$3+[41]FormattedData!M24*$J$4+$M$4*$J$5+[41]FormattedData!M24^2*$J$6+$M$5*$J$7</f>
        <v>54.487721280282997</v>
      </c>
      <c r="U12" s="39">
        <f>$J$3+[41]FormattedData!N24*$J$4+$M$4*$J$5+[41]FormattedData!N24^2*$J$6+$M$5*$J$7</f>
        <v>46.575254527769658</v>
      </c>
      <c r="V12" s="39">
        <f>$J$3+[41]FormattedData!O24*$J$4+$M$4*$J$5+[41]FormattedData!O24^2*$J$6+$M$5*$J$7</f>
        <v>50.486347367162487</v>
      </c>
      <c r="W12" s="38">
        <f>AVERAGE(K12:V12)</f>
        <v>51.530568421265201</v>
      </c>
      <c r="X12" s="37">
        <f>STDEV(K12:V12)/SQRT(COUNT(K12:V12))</f>
        <v>1.3948410762997727</v>
      </c>
      <c r="Y12" s="36">
        <f>MIN(K12:V12)</f>
        <v>45.584695085197282</v>
      </c>
      <c r="Z12" s="35">
        <f>QUARTILE(K12:V12,1)</f>
        <v>46.530324202772171</v>
      </c>
      <c r="AA12" s="36">
        <f>MEDIAN(K12:V12)</f>
        <v>51.969427378097734</v>
      </c>
      <c r="AB12" s="35">
        <f>QUARTILE(K12:V12,3)</f>
        <v>55.194754873508742</v>
      </c>
      <c r="AC12" s="35">
        <f>MAX(K12:V12)</f>
        <v>58.735596260031407</v>
      </c>
      <c r="AD12" s="35">
        <f>SKEW(K12:V12)</f>
        <v>3.4979685521518054E-2</v>
      </c>
      <c r="AE12" s="35">
        <f>KURT(K12:V12)</f>
        <v>-1.7036564606069216</v>
      </c>
    </row>
    <row r="13" spans="1:35" x14ac:dyDescent="0.2">
      <c r="B13" s="34">
        <f>[41]FormattedData!A22</f>
        <v>104</v>
      </c>
      <c r="C13" s="34" t="str">
        <f>VLOOKUP($B13,[41]TrtCodes!$B$11:I65,2)</f>
        <v>NTL</v>
      </c>
      <c r="D13" s="34">
        <f>VLOOKUP($B13,[41]TrtCodes!$B$11:J65,3)</f>
        <v>10</v>
      </c>
      <c r="E13" s="34">
        <f>VLOOKUP($B13,[41]TrtCodes!$B$11:K65,4)</f>
        <v>2</v>
      </c>
      <c r="F13" s="34">
        <f>VLOOKUP($B13,[41]TrtCodes!$B$11:L65,5)</f>
        <v>2</v>
      </c>
      <c r="G13" s="34">
        <f>VLOOKUP($B13,[41]TrtCodes!$B$11:M65,6)</f>
        <v>1</v>
      </c>
      <c r="H13" s="34">
        <f>VLOOKUP($B13,[41]TrtCodes!$B$11:N65,7)</f>
        <v>1</v>
      </c>
      <c r="I13" s="34">
        <f>[41]FormattedData!B22</f>
        <v>1</v>
      </c>
      <c r="J13" s="37">
        <f>[41]FormattedData!C22</f>
        <v>13.173</v>
      </c>
      <c r="K13" s="39">
        <f>$J$3+[41]FormattedData!D22*$J$4+$M$4*$J$5+[41]FormattedData!D22^2*$J$6+$M$5*$J$7</f>
        <v>54.91726398877509</v>
      </c>
      <c r="L13" s="39">
        <f>$J$3+[41]FormattedData!E22*$J$4+$M$4*$J$5+[41]FormattedData!E22^2*$J$6+$M$5*$J$7</f>
        <v>52.324157036098335</v>
      </c>
      <c r="M13" s="39">
        <f>$J$3+[41]FormattedData!F22*$J$4+$M$4*$J$5+[41]FormattedData!F22^2*$J$6+$M$5*$J$7</f>
        <v>55.088785192406405</v>
      </c>
      <c r="N13" s="39">
        <f>$J$3+[41]FormattedData!G22*$J$4+$M$4*$J$5+[41]FormattedData!G22^2*$J$6+$M$5*$J$7</f>
        <v>51.10102174849974</v>
      </c>
      <c r="O13" s="39">
        <f>$J$3+[41]FormattedData!H22*$J$4+$M$4*$J$5+[41]FormattedData!H22^2*$J$6+$M$5*$J$7</f>
        <v>54.229488432732559</v>
      </c>
      <c r="P13" s="39">
        <f>$J$3+[41]FormattedData!I22*$J$4+$M$4*$J$5+[41]FormattedData!I22^2*$J$6+$M$5*$J$7</f>
        <v>55.943855098287131</v>
      </c>
      <c r="Q13" s="39">
        <f>$J$3+[41]FormattedData!J22*$J$4+$M$4*$J$5+[41]FormattedData!J22^2*$J$6+$M$5*$J$7</f>
        <v>51.626237030952339</v>
      </c>
      <c r="R13" s="39">
        <f>$J$3+[41]FormattedData!K22*$J$4+$M$4*$J$5+[41]FormattedData!K22^2*$J$6+$M$5*$J$7</f>
        <v>58.231430709468512</v>
      </c>
      <c r="S13" s="39">
        <f>$J$3+[41]FormattedData!L22*$J$4+$M$4*$J$5+[41]FormattedData!L22^2*$J$6+$M$5*$J$7</f>
        <v>52.58517960715222</v>
      </c>
      <c r="T13" s="39">
        <f>$J$3+[41]FormattedData!M22*$J$4+$M$4*$J$5+[41]FormattedData!M22^2*$J$6+$M$5*$J$7</f>
        <v>55.345749983818905</v>
      </c>
      <c r="U13" s="39">
        <f>$J$3+[41]FormattedData!N22*$J$4+$M$4*$J$5+[41]FormattedData!N22^2*$J$6+$M$5*$J$7</f>
        <v>51.975535181828789</v>
      </c>
      <c r="V13" s="39">
        <f>$J$3+[41]FormattedData!O22*$J$4+$M$4*$J$5+[41]FormattedData!O22^2*$J$6+$M$5*$J$7</f>
        <v>52.149930646039422</v>
      </c>
      <c r="W13" s="38">
        <f>AVERAGE(K13:V13)</f>
        <v>53.793219554671623</v>
      </c>
      <c r="X13" s="37">
        <f>STDEV(K13:V13)/SQRT(COUNT(K13:V13))</f>
        <v>0.62420386490718305</v>
      </c>
      <c r="Y13" s="36">
        <f>MIN(K13:V13)</f>
        <v>51.10102174849974</v>
      </c>
      <c r="Z13" s="35">
        <f>QUARTILE(K13:V13,1)</f>
        <v>52.10633177998676</v>
      </c>
      <c r="AA13" s="36">
        <f>MEDIAN(K13:V13)</f>
        <v>53.40733401994239</v>
      </c>
      <c r="AB13" s="35">
        <f>QUARTILE(K13:V13,3)</f>
        <v>55.153026390259527</v>
      </c>
      <c r="AC13" s="35">
        <f>MAX(K13:V13)</f>
        <v>58.231430709468512</v>
      </c>
      <c r="AD13" s="35">
        <f>SKEW(K13:V13)</f>
        <v>0.64445264598553531</v>
      </c>
      <c r="AE13" s="35">
        <f>KURT(K13:V13)</f>
        <v>-0.29065839091845413</v>
      </c>
    </row>
    <row r="14" spans="1:35" x14ac:dyDescent="0.2">
      <c r="B14" s="34">
        <f>[41]FormattedData!A20</f>
        <v>105</v>
      </c>
      <c r="C14" s="34" t="str">
        <f>VLOOKUP($B14,[41]TrtCodes!$B$11:I63,2)</f>
        <v>NDL</v>
      </c>
      <c r="D14" s="34">
        <f>VLOOKUP($B14,[41]TrtCodes!$B$11:J63,3)</f>
        <v>12</v>
      </c>
      <c r="E14" s="34">
        <f>VLOOKUP($B14,[41]TrtCodes!$B$11:K63,4)</f>
        <v>2</v>
      </c>
      <c r="F14" s="34">
        <f>VLOOKUP($B14,[41]TrtCodes!$B$11:L63,5)</f>
        <v>3</v>
      </c>
      <c r="G14" s="34">
        <f>VLOOKUP($B14,[41]TrtCodes!$B$11:M63,6)</f>
        <v>1</v>
      </c>
      <c r="H14" s="34">
        <f>VLOOKUP($B14,[41]TrtCodes!$B$11:N63,7)</f>
        <v>2</v>
      </c>
      <c r="I14" s="34">
        <f>[41]FormattedData!B20</f>
        <v>1</v>
      </c>
      <c r="J14" s="37">
        <f>[41]FormattedData!C20</f>
        <v>13.157</v>
      </c>
      <c r="K14" s="39">
        <f>$J$3+[41]FormattedData!D20*$J$4+$M$4*$J$5+[41]FormattedData!D20^2*$J$6+$M$5*$J$7</f>
        <v>37.288007322889882</v>
      </c>
      <c r="L14" s="39">
        <f>$J$3+[41]FormattedData!E20*$J$4+$M$4*$J$5+[41]FormattedData!E20^2*$J$6+$M$5*$J$7</f>
        <v>35.112814707480915</v>
      </c>
      <c r="M14" s="39">
        <f>$J$3+[41]FormattedData!F20*$J$4+$M$4*$J$5+[41]FormattedData!F20^2*$J$6+$M$5*$J$7</f>
        <v>36.250487534676012</v>
      </c>
      <c r="N14" s="39">
        <f>$J$3+[41]FormattedData!G20*$J$4+$M$4*$J$5+[41]FormattedData!G20^2*$J$6+$M$5*$J$7</f>
        <v>35.777196889425184</v>
      </c>
      <c r="O14" s="39">
        <f>$J$3+[41]FormattedData!H20*$J$4+$M$4*$J$5+[41]FormattedData!H20^2*$J$6+$M$5*$J$7</f>
        <v>34.541695792835093</v>
      </c>
      <c r="P14" s="39">
        <f>$J$3+[41]FormattedData!I20*$J$4+$M$4*$J$5+[41]FormattedData!I20^2*$J$6+$M$5*$J$7</f>
        <v>35.871939555551208</v>
      </c>
      <c r="Q14" s="39">
        <f>$J$3+[41]FormattedData!J20*$J$4+$M$4*$J$5+[41]FormattedData!J20^2*$J$6+$M$5*$J$7</f>
        <v>34.922610810084038</v>
      </c>
      <c r="R14" s="39">
        <f>$J$3+[41]FormattedData!K20*$J$4+$M$4*$J$5+[41]FormattedData!K20^2*$J$6+$M$5*$J$7</f>
        <v>35.492715279819514</v>
      </c>
      <c r="S14" s="39">
        <f>$J$3+[41]FormattedData!L20*$J$4+$M$4*$J$5+[41]FormattedData!L20^2*$J$6+$M$5*$J$7</f>
        <v>34.732237838535418</v>
      </c>
      <c r="T14" s="39">
        <f>$J$3+[41]FormattedData!M20*$J$4+$M$4*$J$5+[41]FormattedData!M20^2*$J$6+$M$5*$J$7</f>
        <v>36.061298082189467</v>
      </c>
      <c r="U14" s="39">
        <f>$J$3+[41]FormattedData!N20*$J$4+$M$4*$J$5+[41]FormattedData!N20^2*$J$6+$M$5*$J$7</f>
        <v>35.682411954761228</v>
      </c>
      <c r="V14" s="39">
        <f>$J$3+[41]FormattedData!O20*$J$4+$M$4*$J$5+[41]FormattedData!O20^2*$J$6+$M$5*$J$7</f>
        <v>35.207853253372456</v>
      </c>
      <c r="W14" s="38">
        <f>AVERAGE(K14:V14)</f>
        <v>35.578439085135031</v>
      </c>
      <c r="X14" s="37">
        <f>STDEV(K14:V14)/SQRT(COUNT(K14:V14))</f>
        <v>0.21892255892495197</v>
      </c>
      <c r="Y14" s="36">
        <f>MIN(K14:V14)</f>
        <v>34.541695792835093</v>
      </c>
      <c r="Z14" s="35">
        <f>QUARTILE(K14:V14,1)</f>
        <v>35.065263733131694</v>
      </c>
      <c r="AA14" s="36">
        <f>MEDIAN(K14:V14)</f>
        <v>35.587563617290371</v>
      </c>
      <c r="AB14" s="35">
        <f>QUARTILE(K14:V14,3)</f>
        <v>35.919279187210776</v>
      </c>
      <c r="AC14" s="35">
        <f>MAX(K14:V14)</f>
        <v>37.288007322889882</v>
      </c>
      <c r="AD14" s="35">
        <f>SKEW(K14:V14)</f>
        <v>0.82338448180824919</v>
      </c>
      <c r="AE14" s="35">
        <f>KURT(K14:V14)</f>
        <v>1.0774518522881156</v>
      </c>
    </row>
    <row r="15" spans="1:35" x14ac:dyDescent="0.2">
      <c r="B15" s="34">
        <f>[41]FormattedData!A18</f>
        <v>106</v>
      </c>
      <c r="C15" s="34" t="str">
        <f>VLOOKUP($B15,[41]TrtCodes!$B$11:I61,2)</f>
        <v>NTH</v>
      </c>
      <c r="D15" s="34">
        <f>VLOOKUP($B15,[41]TrtCodes!$B$11:J61,3)</f>
        <v>9</v>
      </c>
      <c r="E15" s="34">
        <f>VLOOKUP($B15,[41]TrtCodes!$B$11:K61,4)</f>
        <v>2</v>
      </c>
      <c r="F15" s="34">
        <f>VLOOKUP($B15,[41]TrtCodes!$B$11:L61,5)</f>
        <v>2</v>
      </c>
      <c r="G15" s="34">
        <f>VLOOKUP($B15,[41]TrtCodes!$B$11:M61,6)</f>
        <v>2</v>
      </c>
      <c r="H15" s="34">
        <f>VLOOKUP($B15,[41]TrtCodes!$B$11:N61,7)</f>
        <v>2</v>
      </c>
      <c r="I15" s="34">
        <f>[41]FormattedData!B18</f>
        <v>1</v>
      </c>
      <c r="J15" s="37">
        <f>[41]FormattedData!C18</f>
        <v>13.14</v>
      </c>
      <c r="K15" s="39">
        <f>$J$3+[41]FormattedData!D18*$J$4+$M$4*$J$5+[41]FormattedData!D18^2*$J$6+$M$5*$J$7</f>
        <v>54.573714359057277</v>
      </c>
      <c r="L15" s="39">
        <f>$J$3+[41]FormattedData!E18*$J$4+$M$4*$J$5+[41]FormattedData!E18^2*$J$6+$M$5*$J$7</f>
        <v>54.91726398877509</v>
      </c>
      <c r="M15" s="39">
        <f>$J$3+[41]FormattedData!F18*$J$4+$M$4*$J$5+[41]FormattedData!F18^2*$J$6+$M$5*$J$7</f>
        <v>50.574284798681596</v>
      </c>
      <c r="N15" s="39">
        <f>$J$3+[41]FormattedData!G18*$J$4+$M$4*$J$5+[41]FormattedData!G18^2*$J$6+$M$5*$J$7</f>
        <v>54.401685932970786</v>
      </c>
      <c r="O15" s="39">
        <f>$J$3+[41]FormattedData!H18*$J$4+$M$4*$J$5+[41]FormattedData!H18^2*$J$6+$M$5*$J$7</f>
        <v>50.66217996166278</v>
      </c>
      <c r="P15" s="39">
        <f>$J$3+[41]FormattedData!I18*$J$4+$M$4*$J$5+[41]FormattedData!I18^2*$J$6+$M$5*$J$7</f>
        <v>54.831439984152539</v>
      </c>
      <c r="Q15" s="39">
        <f>$J$3+[41]FormattedData!J18*$J$4+$M$4*$J$5+[41]FormattedData!J18^2*$J$6+$M$5*$J$7</f>
        <v>50.925611839378746</v>
      </c>
      <c r="R15" s="39">
        <f>$J$3+[41]FormattedData!K18*$J$4+$M$4*$J$5+[41]FormattedData!K18^2*$J$6+$M$5*$J$7</f>
        <v>56.624867688260686</v>
      </c>
      <c r="S15" s="39">
        <f>$J$3+[41]FormattedData!L18*$J$4+$M$4*$J$5+[41]FormattedData!L18^2*$J$6+$M$5*$J$7</f>
        <v>50.398367667105447</v>
      </c>
      <c r="T15" s="39">
        <f>$J$3+[41]FormattedData!M18*$J$4+$M$4*$J$5+[41]FormattedData!M18^2*$J$6+$M$5*$J$7</f>
        <v>54.229488432732559</v>
      </c>
      <c r="U15" s="39">
        <f>$J$3+[41]FormattedData!N18*$J$4+$M$4*$J$5+[41]FormattedData!N18^2*$J$6+$M$5*$J$7</f>
        <v>52.75898331183182</v>
      </c>
      <c r="V15" s="39">
        <f>$J$3+[41]FormattedData!O18*$J$4+$M$4*$J$5+[41]FormattedData!O18^2*$J$6+$M$5*$J$7</f>
        <v>53.798254982723222</v>
      </c>
      <c r="W15" s="38">
        <f>AVERAGE(K15:V15)</f>
        <v>53.224678578944371</v>
      </c>
      <c r="X15" s="37">
        <f>STDEV(K15:V15)/SQRT(COUNT(K15:V15))</f>
        <v>0.6069876553949406</v>
      </c>
      <c r="Y15" s="36">
        <f>MIN(K15:V15)</f>
        <v>50.398367667105447</v>
      </c>
      <c r="Z15" s="35">
        <f>QUARTILE(K15:V15,1)</f>
        <v>50.859753869949756</v>
      </c>
      <c r="AA15" s="36">
        <f>MEDIAN(K15:V15)</f>
        <v>54.013871707727887</v>
      </c>
      <c r="AB15" s="35">
        <f>QUARTILE(K15:V15,3)</f>
        <v>54.638145765331089</v>
      </c>
      <c r="AC15" s="35">
        <f>MAX(K15:V15)</f>
        <v>56.624867688260686</v>
      </c>
      <c r="AD15" s="35">
        <f>SKEW(K15:V15)</f>
        <v>-0.19570890944047881</v>
      </c>
      <c r="AE15" s="35">
        <f>KURT(K15:V15)</f>
        <v>-1.299316913319001</v>
      </c>
    </row>
    <row r="16" spans="1:35" x14ac:dyDescent="0.2">
      <c r="B16" s="34">
        <f>[41]FormattedData!A16</f>
        <v>107</v>
      </c>
      <c r="C16" s="34" t="str">
        <f>VLOOKUP($B16,[41]TrtCodes!$B$11:I59,2)</f>
        <v>NTL</v>
      </c>
      <c r="D16" s="34">
        <f>VLOOKUP($B16,[41]TrtCodes!$B$11:J59,3)</f>
        <v>10</v>
      </c>
      <c r="E16" s="34">
        <f>VLOOKUP($B16,[41]TrtCodes!$B$11:K59,4)</f>
        <v>2</v>
      </c>
      <c r="F16" s="34">
        <f>VLOOKUP($B16,[41]TrtCodes!$B$11:L59,5)</f>
        <v>2</v>
      </c>
      <c r="G16" s="34">
        <f>VLOOKUP($B16,[41]TrtCodes!$B$11:M59,6)</f>
        <v>1</v>
      </c>
      <c r="H16" s="34">
        <f>VLOOKUP($B16,[41]TrtCodes!$B$11:N59,7)</f>
        <v>2</v>
      </c>
      <c r="I16" s="34">
        <f>[41]FormattedData!B16</f>
        <v>1</v>
      </c>
      <c r="J16" s="37">
        <f>[41]FormattedData!C16</f>
        <v>13.122</v>
      </c>
      <c r="K16" s="39">
        <f>$J$3+[41]FormattedData!D16*$J$4+$M$4*$J$5+[41]FormattedData!D16^2*$J$6+$M$5*$J$7</f>
        <v>56.029129611916595</v>
      </c>
      <c r="L16" s="39">
        <f>$J$3+[41]FormattedData!E16*$J$4+$M$4*$J$5+[41]FormattedData!E16^2*$J$6+$M$5*$J$7</f>
        <v>55.858538316119756</v>
      </c>
      <c r="M16" s="39">
        <f>$J$3+[41]FormattedData!F16*$J$4+$M$4*$J$5+[41]FormattedData!F16^2*$J$6+$M$5*$J$7</f>
        <v>56.624867688260686</v>
      </c>
      <c r="N16" s="39">
        <f>$J$3+[41]FormattedData!G16*$J$4+$M$4*$J$5+[41]FormattedData!G16^2*$J$6+$M$5*$J$7</f>
        <v>56.199551833561699</v>
      </c>
      <c r="O16" s="39">
        <f>$J$3+[41]FormattedData!H16*$J$4+$M$4*$J$5+[41]FormattedData!H16^2*$J$6+$M$5*$J$7</f>
        <v>52.149930646039422</v>
      </c>
      <c r="P16" s="39">
        <f>$J$3+[41]FormattedData!I16*$J$4+$M$4*$J$5+[41]FormattedData!I16^2*$J$6+$M$5*$J$7</f>
        <v>55.345749983818905</v>
      </c>
      <c r="Q16" s="39">
        <f>$J$3+[41]FormattedData!J16*$J$4+$M$4*$J$5+[41]FormattedData!J16^2*$J$6+$M$5*$J$7</f>
        <v>55.431320377213872</v>
      </c>
      <c r="R16" s="39">
        <f>$J$3+[41]FormattedData!K16*$J$4+$M$4*$J$5+[41]FormattedData!K16^2*$J$6+$M$5*$J$7</f>
        <v>58.483703693170654</v>
      </c>
      <c r="S16" s="39">
        <f>$J$3+[41]FormattedData!L16*$J$4+$M$4*$J$5+[41]FormattedData!L16^2*$J$6+$M$5*$J$7</f>
        <v>50.486347367162487</v>
      </c>
      <c r="T16" s="39">
        <f>$J$3+[41]FormattedData!M16*$J$4+$M$4*$J$5+[41]FormattedData!M16^2*$J$6+$M$5*$J$7</f>
        <v>57.303175091806636</v>
      </c>
      <c r="U16" s="39">
        <f>$J$3+[41]FormattedData!N16*$J$4+$M$4*$J$5+[41]FormattedData!N16^2*$J$6+$M$5*$J$7</f>
        <v>52.237064975337859</v>
      </c>
      <c r="V16" s="39">
        <f>$J$3+[41]FormattedData!O16*$J$4+$M$4*$J$5+[41]FormattedData!O16^2*$J$6+$M$5*$J$7</f>
        <v>56.199551833561699</v>
      </c>
      <c r="W16" s="38">
        <f>AVERAGE(K16:V16)</f>
        <v>55.195744284830852</v>
      </c>
      <c r="X16" s="37">
        <f>STDEV(K16:V16)/SQRT(COUNT(K16:V16))</f>
        <v>0.67829221105482684</v>
      </c>
      <c r="Y16" s="36">
        <f>MIN(K16:V16)</f>
        <v>50.486347367162487</v>
      </c>
      <c r="Z16" s="35">
        <f>QUARTILE(K16:V16,1)</f>
        <v>54.568578731698643</v>
      </c>
      <c r="AA16" s="36">
        <f>MEDIAN(K16:V16)</f>
        <v>55.943833964018175</v>
      </c>
      <c r="AB16" s="35">
        <f>QUARTILE(K16:V16,3)</f>
        <v>56.305880797236448</v>
      </c>
      <c r="AC16" s="35">
        <f>MAX(K16:V16)</f>
        <v>58.483703693170654</v>
      </c>
      <c r="AD16" s="35">
        <f>SKEW(K16:V16)</f>
        <v>-0.90712158576142732</v>
      </c>
      <c r="AE16" s="35">
        <f>KURT(K16:V16)</f>
        <v>9.2290580786857923E-2</v>
      </c>
    </row>
    <row r="17" spans="2:31" x14ac:dyDescent="0.2">
      <c r="B17" s="34">
        <f>[41]FormattedData!A14</f>
        <v>108</v>
      </c>
      <c r="C17" s="34" t="str">
        <f>VLOOKUP($B17,[41]TrtCodes!$B$11:I57,2)</f>
        <v>FTH</v>
      </c>
      <c r="D17" s="34">
        <f>VLOOKUP($B17,[41]TrtCodes!$B$11:J57,3)</f>
        <v>3</v>
      </c>
      <c r="E17" s="34">
        <f>VLOOKUP($B17,[41]TrtCodes!$B$11:K57,4)</f>
        <v>1</v>
      </c>
      <c r="F17" s="34">
        <f>VLOOKUP($B17,[41]TrtCodes!$B$11:L57,5)</f>
        <v>2</v>
      </c>
      <c r="G17" s="34">
        <f>VLOOKUP($B17,[41]TrtCodes!$B$11:M57,6)</f>
        <v>2</v>
      </c>
      <c r="H17" s="34">
        <f>VLOOKUP($B17,[41]TrtCodes!$B$11:N57,7)</f>
        <v>2</v>
      </c>
      <c r="I17" s="34">
        <f>[41]FormattedData!B14</f>
        <v>1</v>
      </c>
      <c r="J17" s="37">
        <f>[41]FormattedData!C14</f>
        <v>13.103</v>
      </c>
      <c r="K17" s="39">
        <f>$J$3+[41]FormattedData!D14*$J$4+$M$4*$J$5+[41]FormattedData!D14^2*$J$6+$M$5*$J$7</f>
        <v>55.174482391415175</v>
      </c>
      <c r="L17" s="39">
        <f>$J$3+[41]FormattedData!E14*$J$4+$M$4*$J$5+[41]FormattedData!E14^2*$J$6+$M$5*$J$7</f>
        <v>53.625465722953955</v>
      </c>
      <c r="M17" s="39">
        <f>$J$3+[41]FormattedData!F14*$J$4+$M$4*$J$5+[41]FormattedData!F14^2*$J$6+$M$5*$J$7</f>
        <v>49.339314320462272</v>
      </c>
      <c r="N17" s="39">
        <f>$J$3+[41]FormattedData!G14*$J$4+$M$4*$J$5+[41]FormattedData!G14^2*$J$6+$M$5*$J$7</f>
        <v>54.143326279806558</v>
      </c>
      <c r="O17" s="39">
        <f>$J$3+[41]FormattedData!H14*$J$4+$M$4*$J$5+[41]FormattedData!H14^2*$J$6+$M$5*$J$7</f>
        <v>56.369804981055097</v>
      </c>
      <c r="P17" s="39">
        <f>$J$3+[41]FormattedData!I14*$J$4+$M$4*$J$5+[41]FormattedData!I14^2*$J$6+$M$5*$J$7</f>
        <v>55.174482391415175</v>
      </c>
      <c r="Q17" s="39">
        <f>$J$3+[41]FormattedData!J14*$J$4+$M$4*$J$5+[41]FormattedData!J14^2*$J$6+$M$5*$J$7</f>
        <v>55.345749983818905</v>
      </c>
      <c r="R17" s="39">
        <f>$J$3+[41]FormattedData!K14*$J$4+$M$4*$J$5+[41]FormattedData!K14^2*$J$6+$M$5*$J$7</f>
        <v>48.62989727299901</v>
      </c>
      <c r="S17" s="39">
        <f>$J$3+[41]FormattedData!L14*$J$4+$M$4*$J$5+[41]FormattedData!L14^2*$J$6+$M$5*$J$7</f>
        <v>54.057121858342612</v>
      </c>
      <c r="T17" s="39">
        <f>$J$3+[41]FormattedData!M14*$J$4+$M$4*$J$5+[41]FormattedData!M14^2*$J$6+$M$5*$J$7</f>
        <v>52.062754048203075</v>
      </c>
      <c r="U17" s="39">
        <f>$J$3+[41]FormattedData!N14*$J$4+$M$4*$J$5+[41]FormattedData!N14^2*$J$6+$M$5*$J$7</f>
        <v>54.91726398877509</v>
      </c>
      <c r="V17" s="39">
        <f>$J$3+[41]FormattedData!O14*$J$4+$M$4*$J$5+[41]FormattedData!O14^2*$J$6+$M$5*$J$7</f>
        <v>50.750032856106039</v>
      </c>
      <c r="W17" s="38">
        <f>AVERAGE(K17:V17)</f>
        <v>53.299141341279409</v>
      </c>
      <c r="X17" s="37">
        <f>STDEV(K17:V17)/SQRT(COUNT(K17:V17))</f>
        <v>0.72911350918132078</v>
      </c>
      <c r="Y17" s="36">
        <f>MIN(K17:V17)</f>
        <v>48.62989727299901</v>
      </c>
      <c r="Z17" s="35">
        <f>QUARTILE(K17:V17,1)</f>
        <v>51.734573750178818</v>
      </c>
      <c r="AA17" s="36">
        <f>MEDIAN(K17:V17)</f>
        <v>54.100224069074585</v>
      </c>
      <c r="AB17" s="35">
        <f>QUARTILE(K17:V17,3)</f>
        <v>55.174482391415175</v>
      </c>
      <c r="AC17" s="35">
        <f>MAX(K17:V17)</f>
        <v>56.369804981055097</v>
      </c>
      <c r="AD17" s="35">
        <f>SKEW(K17:V17)</f>
        <v>-0.85525715091785293</v>
      </c>
      <c r="AE17" s="35">
        <f>KURT(K17:V17)</f>
        <v>-0.53047027484975429</v>
      </c>
    </row>
    <row r="18" spans="2:31" x14ac:dyDescent="0.2">
      <c r="B18" s="34">
        <f>[41]FormattedData!A30</f>
        <v>201</v>
      </c>
      <c r="C18" s="34" t="str">
        <f>VLOOKUP($B18,[41]TrtCodes!$B$11:I73,2)</f>
        <v>NDL</v>
      </c>
      <c r="D18" s="34">
        <f>VLOOKUP($B18,[41]TrtCodes!$B$11:J73,3)</f>
        <v>12</v>
      </c>
      <c r="E18" s="34">
        <f>VLOOKUP($B18,[41]TrtCodes!$B$11:K73,4)</f>
        <v>2</v>
      </c>
      <c r="F18" s="34">
        <f>VLOOKUP($B18,[41]TrtCodes!$B$11:L73,5)</f>
        <v>3</v>
      </c>
      <c r="G18" s="34">
        <f>VLOOKUP($B18,[41]TrtCodes!$B$11:M73,6)</f>
        <v>1</v>
      </c>
      <c r="H18" s="34">
        <f>VLOOKUP($B18,[41]TrtCodes!$B$11:N73,7)</f>
        <v>1</v>
      </c>
      <c r="I18" s="34">
        <f>[41]FormattedData!B30</f>
        <v>1</v>
      </c>
      <c r="J18" s="37">
        <f>[41]FormattedData!C30</f>
        <v>13.244</v>
      </c>
      <c r="K18" s="39">
        <f>$J$3+[41]FormattedData!D30*$J$4+$M$4*$J$5+[41]FormattedData!D30^2*$J$6+$M$5*$J$7</f>
        <v>37.757916485106215</v>
      </c>
      <c r="L18" s="39">
        <f>$J$3+[41]FormattedData!E30*$J$4+$M$4*$J$5+[41]FormattedData!E30^2*$J$6+$M$5*$J$7</f>
        <v>36.533954699371321</v>
      </c>
      <c r="M18" s="39">
        <f>$J$3+[41]FormattedData!F30*$J$4+$M$4*$J$5+[41]FormattedData!F30^2*$J$6+$M$5*$J$7</f>
        <v>36.911319159434051</v>
      </c>
      <c r="N18" s="39">
        <f>$J$3+[41]FormattedData!G30*$J$4+$M$4*$J$5+[41]FormattedData!G30^2*$J$6+$M$5*$J$7</f>
        <v>36.628359217193911</v>
      </c>
      <c r="O18" s="39">
        <f>$J$3+[41]FormattedData!H30*$J$4+$M$4*$J$5+[41]FormattedData!H30^2*$J$6+$M$5*$J$7</f>
        <v>37.005554603104905</v>
      </c>
      <c r="P18" s="39">
        <f>$J$3+[41]FormattedData!I30*$J$4+$M$4*$J$5+[41]FormattedData!I30^2*$J$6+$M$5*$J$7</f>
        <v>37.570079625833479</v>
      </c>
      <c r="Q18" s="39">
        <f>$J$3+[41]FormattedData!J30*$J$4+$M$4*$J$5+[41]FormattedData!J30^2*$J$6+$M$5*$J$7</f>
        <v>36.628359217193911</v>
      </c>
      <c r="R18" s="39">
        <f>$J$3+[41]FormattedData!K30*$J$4+$M$4*$J$5+[41]FormattedData!K30^2*$J$6+$M$5*$J$7</f>
        <v>37.288007322889882</v>
      </c>
      <c r="S18" s="39">
        <f>$J$3+[41]FormattedData!L30*$J$4+$M$4*$J$5+[41]FormattedData!L30^2*$J$6+$M$5*$J$7</f>
        <v>36.911319159434051</v>
      </c>
      <c r="T18" s="39">
        <f>$J$3+[41]FormattedData!M30*$J$4+$M$4*$J$5+[41]FormattedData!M30^2*$J$6+$M$5*$J$7</f>
        <v>36.533954699371321</v>
      </c>
      <c r="U18" s="39">
        <f>$J$3+[41]FormattedData!N30*$J$4+$M$4*$J$5+[41]FormattedData!N30^2*$J$6+$M$5*$J$7</f>
        <v>35.302849530726085</v>
      </c>
      <c r="V18" s="39">
        <f>$J$3+[41]FormattedData!O30*$J$4+$M$4*$J$5+[41]FormattedData!O30^2*$J$6+$M$5*$J$7</f>
        <v>35.397803539541762</v>
      </c>
      <c r="W18" s="38">
        <f>AVERAGE(K18:V18)</f>
        <v>36.705789771600074</v>
      </c>
      <c r="X18" s="37">
        <f>STDEV(K18:V18)/SQRT(COUNT(K18:V18))</f>
        <v>0.21527648416053091</v>
      </c>
      <c r="Y18" s="36">
        <f>MIN(K18:V18)</f>
        <v>35.302849530726085</v>
      </c>
      <c r="Z18" s="35">
        <f>QUARTILE(K18:V18,1)</f>
        <v>36.533954699371321</v>
      </c>
      <c r="AA18" s="36">
        <f>MEDIAN(K18:V18)</f>
        <v>36.769839188313981</v>
      </c>
      <c r="AB18" s="35">
        <f>QUARTILE(K18:V18,3)</f>
        <v>37.076167783051147</v>
      </c>
      <c r="AC18" s="35">
        <f>MAX(K18:V18)</f>
        <v>37.757916485106215</v>
      </c>
      <c r="AD18" s="35">
        <f>SKEW(K18:V18)</f>
        <v>-0.77813044824133282</v>
      </c>
      <c r="AE18" s="35">
        <f>KURT(K18:V18)</f>
        <v>0.40572935136022981</v>
      </c>
    </row>
    <row r="19" spans="2:31" x14ac:dyDescent="0.2">
      <c r="B19" s="34">
        <f>[41]FormattedData!A32</f>
        <v>202</v>
      </c>
      <c r="C19" s="34" t="str">
        <f>VLOOKUP($B19,[41]TrtCodes!$B$11:I75,2)</f>
        <v>NTH</v>
      </c>
      <c r="D19" s="34">
        <f>VLOOKUP($B19,[41]TrtCodes!$B$11:J75,3)</f>
        <v>9</v>
      </c>
      <c r="E19" s="34">
        <f>VLOOKUP($B19,[41]TrtCodes!$B$11:K75,4)</f>
        <v>2</v>
      </c>
      <c r="F19" s="34">
        <f>VLOOKUP($B19,[41]TrtCodes!$B$11:L75,5)</f>
        <v>2</v>
      </c>
      <c r="G19" s="34">
        <f>VLOOKUP($B19,[41]TrtCodes!$B$11:M75,6)</f>
        <v>2</v>
      </c>
      <c r="H19" s="34">
        <f>VLOOKUP($B19,[41]TrtCodes!$B$11:N75,7)</f>
        <v>1</v>
      </c>
      <c r="I19" s="34">
        <f>[41]FormattedData!B32</f>
        <v>1</v>
      </c>
      <c r="J19" s="37">
        <f>[41]FormattedData!C32</f>
        <v>13.26</v>
      </c>
      <c r="K19" s="39">
        <f>$J$3+[41]FormattedData!D32*$J$4+$M$4*$J$5+[41]FormattedData!D32^2*$J$6+$M$5*$J$7</f>
        <v>56.964359538337106</v>
      </c>
      <c r="L19" s="39">
        <f>$J$3+[41]FormattedData!E32*$J$4+$M$4*$J$5+[41]FormattedData!E32^2*$J$6+$M$5*$J$7</f>
        <v>53.192752874117026</v>
      </c>
      <c r="M19" s="39">
        <f>$J$3+[41]FormattedData!F32*$J$4+$M$4*$J$5+[41]FormattedData!F32^2*$J$6+$M$5*$J$7</f>
        <v>55.345749983818905</v>
      </c>
      <c r="N19" s="39">
        <f>$J$3+[41]FormattedData!G32*$J$4+$M$4*$J$5+[41]FormattedData!G32^2*$J$6+$M$5*$J$7</f>
        <v>55.088785192406405</v>
      </c>
      <c r="O19" s="39">
        <f>$J$3+[41]FormattedData!H32*$J$4+$M$4*$J$5+[41]FormattedData!H32^2*$J$6+$M$5*$J$7</f>
        <v>55.943855098287131</v>
      </c>
      <c r="P19" s="39">
        <f>$J$3+[41]FormattedData!I32*$J$4+$M$4*$J$5+[41]FormattedData!I32^2*$J$6+$M$5*$J$7</f>
        <v>54.229488432732559</v>
      </c>
      <c r="Q19" s="39">
        <f>$J$3+[41]FormattedData!J32*$J$4+$M$4*$J$5+[41]FormattedData!J32^2*$J$6+$M$5*$J$7</f>
        <v>52.672102593760997</v>
      </c>
      <c r="R19" s="39">
        <f>$J$3+[41]FormattedData!K32*$J$4+$M$4*$J$5+[41]FormattedData!K32^2*$J$6+$M$5*$J$7</f>
        <v>55.858538316119756</v>
      </c>
      <c r="S19" s="39">
        <f>$J$3+[41]FormattedData!L32*$J$4+$M$4*$J$5+[41]FormattedData!L32^2*$J$6+$M$5*$J$7</f>
        <v>55.088785192406405</v>
      </c>
      <c r="T19" s="39">
        <f>$J$3+[41]FormattedData!M32*$J$4+$M$4*$J$5+[41]FormattedData!M32^2*$J$6+$M$5*$J$7</f>
        <v>55.174482391415175</v>
      </c>
      <c r="U19" s="39">
        <f>$J$3+[41]FormattedData!N32*$J$4+$M$4*$J$5+[41]FormattedData!N32^2*$J$6+$M$5*$J$7</f>
        <v>49.427801242974503</v>
      </c>
      <c r="V19" s="39">
        <f>$J$3+[41]FormattedData!O32*$J$4+$M$4*$J$5+[41]FormattedData!O32^2*$J$6+$M$5*$J$7</f>
        <v>53.798254982723222</v>
      </c>
      <c r="W19" s="38">
        <f>AVERAGE(K19:V19)</f>
        <v>54.398746319924932</v>
      </c>
      <c r="X19" s="37">
        <f>STDEV(K19:V19)/SQRT(COUNT(K19:V19))</f>
        <v>0.57132797500879695</v>
      </c>
      <c r="Y19" s="36">
        <f>MIN(K19:V19)</f>
        <v>49.427801242974503</v>
      </c>
      <c r="Z19" s="35">
        <f>QUARTILE(K19:V19,1)</f>
        <v>53.646879455571671</v>
      </c>
      <c r="AA19" s="36">
        <f>MEDIAN(K19:V19)</f>
        <v>55.088785192406405</v>
      </c>
      <c r="AB19" s="35">
        <f>QUARTILE(K19:V19,3)</f>
        <v>55.473947066894119</v>
      </c>
      <c r="AC19" s="35">
        <f>MAX(K19:V19)</f>
        <v>56.964359538337106</v>
      </c>
      <c r="AD19" s="35">
        <f>SKEW(K19:V19)</f>
        <v>-1.4676678102357499</v>
      </c>
      <c r="AE19" s="35">
        <f>KURT(K19:V19)</f>
        <v>2.9188784314465819</v>
      </c>
    </row>
    <row r="20" spans="2:31" x14ac:dyDescent="0.2">
      <c r="B20" s="34">
        <f>[41]FormattedData!A34</f>
        <v>203</v>
      </c>
      <c r="C20" s="34" t="str">
        <f>VLOOKUP($B20,[41]TrtCodes!$B$11:I77,2)</f>
        <v>FTH</v>
      </c>
      <c r="D20" s="34">
        <f>VLOOKUP($B20,[41]TrtCodes!$B$11:J77,3)</f>
        <v>3</v>
      </c>
      <c r="E20" s="34">
        <f>VLOOKUP($B20,[41]TrtCodes!$B$11:K77,4)</f>
        <v>1</v>
      </c>
      <c r="F20" s="34">
        <f>VLOOKUP($B20,[41]TrtCodes!$B$11:L77,5)</f>
        <v>2</v>
      </c>
      <c r="G20" s="34">
        <f>VLOOKUP($B20,[41]TrtCodes!$B$11:M77,6)</f>
        <v>2</v>
      </c>
      <c r="H20" s="34">
        <f>VLOOKUP($B20,[41]TrtCodes!$B$11:N77,7)</f>
        <v>1</v>
      </c>
      <c r="I20" s="34">
        <f>[41]FormattedData!B34</f>
        <v>1</v>
      </c>
      <c r="J20" s="37">
        <f>[41]FormattedData!C34</f>
        <v>13.276</v>
      </c>
      <c r="K20" s="39">
        <f>$J$3+[41]FormattedData!D34*$J$4+$M$4*$J$5+[41]FormattedData!D34^2*$J$6+$M$5*$J$7</f>
        <v>56.454868151994887</v>
      </c>
      <c r="L20" s="39">
        <f>$J$3+[41]FormattedData!E34*$J$4+$M$4*$J$5+[41]FormattedData!E34^2*$J$6+$M$5*$J$7</f>
        <v>56.70980405358668</v>
      </c>
      <c r="M20" s="39">
        <f>$J$3+[41]FormattedData!F34*$J$4+$M$4*$J$5+[41]FormattedData!F34^2*$J$6+$M$5*$J$7</f>
        <v>57.47232925731381</v>
      </c>
      <c r="N20" s="39">
        <f>$J$3+[41]FormattedData!G34*$J$4+$M$4*$J$5+[41]FormattedData!G34^2*$J$6+$M$5*$J$7</f>
        <v>57.97877730892499</v>
      </c>
      <c r="O20" s="39">
        <f>$J$3+[41]FormattedData!H34*$J$4+$M$4*$J$5+[41]FormattedData!H34^2*$J$6+$M$5*$J$7</f>
        <v>48.62989727299901</v>
      </c>
      <c r="P20" s="39">
        <f>$J$3+[41]FormattedData!I34*$J$4+$M$4*$J$5+[41]FormattedData!I34^2*$J$6+$M$5*$J$7</f>
        <v>56.964359538337106</v>
      </c>
      <c r="Q20" s="39">
        <f>$J$3+[41]FormattedData!J34*$J$4+$M$4*$J$5+[41]FormattedData!J34^2*$J$6+$M$5*$J$7</f>
        <v>54.831439984152539</v>
      </c>
      <c r="R20" s="39">
        <f>$J$3+[41]FormattedData!K34*$J$4+$M$4*$J$5+[41]FormattedData!K34^2*$J$6+$M$5*$J$7</f>
        <v>58.147255177825272</v>
      </c>
      <c r="S20" s="39">
        <f>$J$3+[41]FormattedData!L34*$J$4+$M$4*$J$5+[41]FormattedData!L34^2*$J$6+$M$5*$J$7</f>
        <v>56.70980405358668</v>
      </c>
      <c r="T20" s="39">
        <f>$J$3+[41]FormattedData!M34*$J$4+$M$4*$J$5+[41]FormattedData!M34^2*$J$6+$M$5*$J$7</f>
        <v>55.602334358390024</v>
      </c>
      <c r="U20" s="39">
        <f>$J$3+[41]FormattedData!N34*$J$4+$M$4*$J$5+[41]FormattedData!N34^2*$J$6+$M$5*$J$7</f>
        <v>54.229488432732559</v>
      </c>
      <c r="V20" s="39">
        <f>$J$3+[41]FormattedData!O34*$J$4+$M$4*$J$5+[41]FormattedData!O34^2*$J$6+$M$5*$J$7</f>
        <v>54.745573710992034</v>
      </c>
      <c r="W20" s="38">
        <f>AVERAGE(K20:V20)</f>
        <v>55.706327608402972</v>
      </c>
      <c r="X20" s="37">
        <f>STDEV(K20:V20)/SQRT(COUNT(K20:V20))</f>
        <v>0.7403623976659931</v>
      </c>
      <c r="Y20" s="36">
        <f>MIN(K20:V20)</f>
        <v>48.62989727299901</v>
      </c>
      <c r="Z20" s="35">
        <f>QUARTILE(K20:V20,1)</f>
        <v>54.809973415862416</v>
      </c>
      <c r="AA20" s="36">
        <f>MEDIAN(K20:V20)</f>
        <v>56.582336102790784</v>
      </c>
      <c r="AB20" s="35">
        <f>QUARTILE(K20:V20,3)</f>
        <v>57.091351968081284</v>
      </c>
      <c r="AC20" s="35">
        <f>MAX(K20:V20)</f>
        <v>58.147255177825272</v>
      </c>
      <c r="AD20" s="35">
        <f>SKEW(K20:V20)</f>
        <v>-2.0882286014225087</v>
      </c>
      <c r="AE20" s="35">
        <f>KURT(K20:V20)</f>
        <v>5.4015743783738106</v>
      </c>
    </row>
    <row r="21" spans="2:31" x14ac:dyDescent="0.2">
      <c r="B21" s="34">
        <f>[41]FormattedData!A36</f>
        <v>204</v>
      </c>
      <c r="C21" s="34" t="str">
        <f>VLOOKUP($B21,[41]TrtCodes!$B$11:I79,2)</f>
        <v>NDH</v>
      </c>
      <c r="D21" s="34">
        <f>VLOOKUP($B21,[41]TrtCodes!$B$11:J79,3)</f>
        <v>11</v>
      </c>
      <c r="E21" s="34">
        <f>VLOOKUP($B21,[41]TrtCodes!$B$11:K79,4)</f>
        <v>2</v>
      </c>
      <c r="F21" s="34">
        <f>VLOOKUP($B21,[41]TrtCodes!$B$11:L79,5)</f>
        <v>3</v>
      </c>
      <c r="G21" s="34">
        <f>VLOOKUP($B21,[41]TrtCodes!$B$11:M79,6)</f>
        <v>2</v>
      </c>
      <c r="H21" s="34">
        <f>VLOOKUP($B21,[41]TrtCodes!$B$11:N79,7)</f>
        <v>1</v>
      </c>
      <c r="I21" s="34">
        <f>[41]FormattedData!B36</f>
        <v>1</v>
      </c>
      <c r="J21" s="37">
        <f>[41]FormattedData!C36</f>
        <v>13.292</v>
      </c>
      <c r="K21" s="39">
        <f>$J$3+[41]FormattedData!D36*$J$4+$M$4*$J$5+[41]FormattedData!D36^2*$J$6+$M$5*$J$7</f>
        <v>37.757916485106215</v>
      </c>
      <c r="L21" s="39">
        <f>$J$3+[41]FormattedData!E36*$J$4+$M$4*$J$5+[41]FormattedData!E36^2*$J$6+$M$5*$J$7</f>
        <v>36.155913942701709</v>
      </c>
      <c r="M21" s="39">
        <f>$J$3+[41]FormattedData!F36*$J$4+$M$4*$J$5+[41]FormattedData!F36^2*$J$6+$M$5*$J$7</f>
        <v>37.005554603104905</v>
      </c>
      <c r="N21" s="39">
        <f>$J$3+[41]FormattedData!G36*$J$4+$M$4*$J$5+[41]FormattedData!G36^2*$J$6+$M$5*$J$7</f>
        <v>40.369879728993496</v>
      </c>
      <c r="O21" s="39">
        <f>$J$3+[41]FormattedData!H36*$J$4+$M$4*$J$5+[41]FormattedData!H36^2*$J$6+$M$5*$J$7</f>
        <v>37.945584270227222</v>
      </c>
      <c r="P21" s="39">
        <f>$J$3+[41]FormattedData!I36*$J$4+$M$4*$J$5+[41]FormattedData!I36^2*$J$6+$M$5*$J$7</f>
        <v>37.664019189738809</v>
      </c>
      <c r="Q21" s="39">
        <f>$J$3+[41]FormattedData!J36*$J$4+$M$4*$J$5+[41]FormattedData!J36^2*$J$6+$M$5*$J$7</f>
        <v>38.787997010644204</v>
      </c>
      <c r="R21" s="39">
        <f>$J$3+[41]FormattedData!K36*$J$4+$M$4*$J$5+[41]FormattedData!K36^2*$J$6+$M$5*$J$7</f>
        <v>35.397803539541762</v>
      </c>
      <c r="S21" s="39">
        <f>$J$3+[41]FormattedData!L36*$J$4+$M$4*$J$5+[41]FormattedData!L36^2*$J$6+$M$5*$J$7</f>
        <v>35.492715279819514</v>
      </c>
      <c r="T21" s="39">
        <f>$J$3+[41]FormattedData!M36*$J$4+$M$4*$J$5+[41]FormattedData!M36^2*$J$6+$M$5*$J$7</f>
        <v>37.851771511935688</v>
      </c>
      <c r="U21" s="39">
        <f>$J$3+[41]FormattedData!N36*$J$4+$M$4*$J$5+[41]FormattedData!N36^2*$J$6+$M$5*$J$7</f>
        <v>37.757916485106215</v>
      </c>
      <c r="V21" s="39">
        <f>$J$3+[41]FormattedData!O36*$J$4+$M$4*$J$5+[41]FormattedData!O36^2*$J$6+$M$5*$J$7</f>
        <v>35.682411954761228</v>
      </c>
      <c r="W21" s="38">
        <f>AVERAGE(K21:V21)</f>
        <v>37.322457000140076</v>
      </c>
      <c r="X21" s="37">
        <f>STDEV(K21:V21)/SQRT(COUNT(K21:V21))</f>
        <v>0.42464077692791669</v>
      </c>
      <c r="Y21" s="36">
        <f>MIN(K21:V21)</f>
        <v>35.397803539541762</v>
      </c>
      <c r="Z21" s="35">
        <f>QUARTILE(K21:V21,1)</f>
        <v>36.037538445716592</v>
      </c>
      <c r="AA21" s="36">
        <f>MEDIAN(K21:V21)</f>
        <v>37.710967837422515</v>
      </c>
      <c r="AB21" s="35">
        <f>QUARTILE(K21:V21,3)</f>
        <v>37.875224701508571</v>
      </c>
      <c r="AC21" s="35">
        <f>MAX(K21:V21)</f>
        <v>40.369879728993496</v>
      </c>
      <c r="AD21" s="35">
        <f>SKEW(K21:V21)</f>
        <v>0.43724574629184265</v>
      </c>
      <c r="AE21" s="35">
        <f>KURT(K21:V21)</f>
        <v>0.18016359913418523</v>
      </c>
    </row>
    <row r="22" spans="2:31" x14ac:dyDescent="0.2">
      <c r="B22" s="34">
        <f>[41]FormattedData!A38</f>
        <v>205</v>
      </c>
      <c r="C22" s="34" t="str">
        <f>VLOOKUP($B22,[41]TrtCodes!$B$11:I81,2)</f>
        <v>FSH</v>
      </c>
      <c r="D22" s="34">
        <f>VLOOKUP($B22,[41]TrtCodes!$B$11:J81,3)</f>
        <v>1</v>
      </c>
      <c r="E22" s="34">
        <f>VLOOKUP($B22,[41]TrtCodes!$B$11:K81,4)</f>
        <v>1</v>
      </c>
      <c r="F22" s="34">
        <f>VLOOKUP($B22,[41]TrtCodes!$B$11:L81,5)</f>
        <v>1</v>
      </c>
      <c r="G22" s="34">
        <f>VLOOKUP($B22,[41]TrtCodes!$B$11:M81,6)</f>
        <v>2</v>
      </c>
      <c r="H22" s="34">
        <f>VLOOKUP($B22,[41]TrtCodes!$B$11:N81,7)</f>
        <v>2</v>
      </c>
      <c r="I22" s="34">
        <f>[41]FormattedData!B38</f>
        <v>1</v>
      </c>
      <c r="J22" s="37">
        <f>[41]FormattedData!C38</f>
        <v>13.308</v>
      </c>
      <c r="K22" s="39">
        <f>$J$3+[41]FormattedData!D38*$J$4+$M$4*$J$5+[41]FormattedData!D38^2*$J$6+$M$5*$J$7</f>
        <v>54.91726398877509</v>
      </c>
      <c r="L22" s="39">
        <f>$J$3+[41]FormattedData!E38*$J$4+$M$4*$J$5+[41]FormattedData!E38^2*$J$6+$M$5*$J$7</f>
        <v>56.114361857008113</v>
      </c>
      <c r="M22" s="39">
        <f>$J$3+[41]FormattedData!F38*$J$4+$M$4*$J$5+[41]FormattedData!F38^2*$J$6+$M$5*$J$7</f>
        <v>55.773179265414441</v>
      </c>
      <c r="N22" s="39">
        <f>$J$3+[41]FormattedData!G38*$J$4+$M$4*$J$5+[41]FormattedData!G38^2*$J$6+$M$5*$J$7</f>
        <v>51.451334344286522</v>
      </c>
      <c r="O22" s="39">
        <f>$J$3+[41]FormattedData!H38*$J$4+$M$4*$J$5+[41]FormattedData!H38^2*$J$6+$M$5*$J$7</f>
        <v>55.00304572485971</v>
      </c>
      <c r="P22" s="39">
        <f>$J$3+[41]FormattedData!I38*$J$4+$M$4*$J$5+[41]FormattedData!I38^2*$J$6+$M$5*$J$7</f>
        <v>54.91726398877509</v>
      </c>
      <c r="Q22" s="39">
        <f>$J$3+[41]FormattedData!J38*$J$4+$M$4*$J$5+[41]FormattedData!J38^2*$J$6+$M$5*$J$7</f>
        <v>53.452507389032981</v>
      </c>
      <c r="R22" s="39">
        <f>$J$3+[41]FormattedData!K38*$J$4+$M$4*$J$5+[41]FormattedData!K38^2*$J$6+$M$5*$J$7</f>
        <v>55.602334358390024</v>
      </c>
      <c r="S22" s="39">
        <f>$J$3+[41]FormattedData!L38*$J$4+$M$4*$J$5+[41]FormattedData!L38^2*$J$6+$M$5*$J$7</f>
        <v>57.049126829511387</v>
      </c>
      <c r="T22" s="39">
        <f>$J$3+[41]FormattedData!M38*$J$4+$M$4*$J$5+[41]FormattedData!M38^2*$J$6+$M$5*$J$7</f>
        <v>54.91726398877509</v>
      </c>
      <c r="U22" s="39">
        <f>$J$3+[41]FormattedData!N38*$J$4+$M$4*$J$5+[41]FormattedData!N38^2*$J$6+$M$5*$J$7</f>
        <v>52.932617942359705</v>
      </c>
      <c r="V22" s="39">
        <f>$J$3+[41]FormattedData!O38*$J$4+$M$4*$J$5+[41]FormattedData!O38^2*$J$6+$M$5*$J$7</f>
        <v>55.00304572485971</v>
      </c>
      <c r="W22" s="38">
        <f>AVERAGE(K22:V22)</f>
        <v>54.761112116837324</v>
      </c>
      <c r="X22" s="37">
        <f>STDEV(K22:V22)/SQRT(COUNT(K22:V22))</f>
        <v>0.43518466216034968</v>
      </c>
      <c r="Y22" s="36">
        <f>MIN(K22:V22)</f>
        <v>51.451334344286522</v>
      </c>
      <c r="Z22" s="35">
        <f>QUARTILE(K22:V22,1)</f>
        <v>54.551074838839561</v>
      </c>
      <c r="AA22" s="36">
        <f>MEDIAN(K22:V22)</f>
        <v>54.960154856817397</v>
      </c>
      <c r="AB22" s="35">
        <f>QUARTILE(K22:V22,3)</f>
        <v>55.645045585146129</v>
      </c>
      <c r="AC22" s="35">
        <f>MAX(K22:V22)</f>
        <v>57.049126829511387</v>
      </c>
      <c r="AD22" s="35">
        <f>SKEW(K22:V22)</f>
        <v>-0.90697917795098482</v>
      </c>
      <c r="AE22" s="35">
        <f>KURT(K22:V22)</f>
        <v>1.044398744933499</v>
      </c>
    </row>
    <row r="23" spans="2:31" x14ac:dyDescent="0.2">
      <c r="B23" s="34">
        <f>[41]FormattedData!A40</f>
        <v>206</v>
      </c>
      <c r="C23" s="34" t="str">
        <f>VLOOKUP($B23,[41]TrtCodes!$B$11:I83,2)</f>
        <v>NSL</v>
      </c>
      <c r="D23" s="34">
        <f>VLOOKUP($B23,[41]TrtCodes!$B$11:J83,3)</f>
        <v>8</v>
      </c>
      <c r="E23" s="34">
        <f>VLOOKUP($B23,[41]TrtCodes!$B$11:K83,4)</f>
        <v>2</v>
      </c>
      <c r="F23" s="34">
        <f>VLOOKUP($B23,[41]TrtCodes!$B$11:L83,5)</f>
        <v>1</v>
      </c>
      <c r="G23" s="34">
        <f>VLOOKUP($B23,[41]TrtCodes!$B$11:M83,6)</f>
        <v>1</v>
      </c>
      <c r="H23" s="34">
        <f>VLOOKUP($B23,[41]TrtCodes!$B$11:N83,7)</f>
        <v>2</v>
      </c>
      <c r="I23" s="34">
        <f>[41]FormattedData!B40</f>
        <v>1</v>
      </c>
      <c r="J23" s="37">
        <f>[41]FormattedData!C40</f>
        <v>13.324</v>
      </c>
      <c r="K23" s="39">
        <f>$J$3+[41]FormattedData!D40*$J$4+$M$4*$J$5+[41]FormattedData!D40^2*$J$6+$M$5*$J$7</f>
        <v>55.345749983818905</v>
      </c>
      <c r="L23" s="39">
        <f>$J$3+[41]FormattedData!E40*$J$4+$M$4*$J$5+[41]FormattedData!E40^2*$J$6+$M$5*$J$7</f>
        <v>55.687777946171202</v>
      </c>
      <c r="M23" s="39">
        <f>$J$3+[41]FormattedData!F40*$J$4+$M$4*$J$5+[41]FormattedData!F40^2*$J$6+$M$5*$J$7</f>
        <v>56.114361857008113</v>
      </c>
      <c r="N23" s="39">
        <f>$J$3+[41]FormattedData!G40*$J$4+$M$4*$J$5+[41]FormattedData!G40^2*$J$6+$M$5*$J$7</f>
        <v>55.858538316119756</v>
      </c>
      <c r="O23" s="39">
        <f>$J$3+[41]FormattedData!H40*$J$4+$M$4*$J$5+[41]FormattedData!H40^2*$J$6+$M$5*$J$7</f>
        <v>55.602334358390024</v>
      </c>
      <c r="P23" s="39">
        <f>$J$3+[41]FormattedData!I40*$J$4+$M$4*$J$5+[41]FormattedData!I40^2*$J$6+$M$5*$J$7</f>
        <v>55.088785192406405</v>
      </c>
      <c r="Q23" s="39">
        <f>$J$3+[41]FormattedData!J40*$J$4+$M$4*$J$5+[41]FormattedData!J40^2*$J$6+$M$5*$J$7</f>
        <v>55.00304572485971</v>
      </c>
      <c r="R23" s="39">
        <f>$J$3+[41]FormattedData!K40*$J$4+$M$4*$J$5+[41]FormattedData!K40^2*$J$6+$M$5*$J$7</f>
        <v>55.00304572485971</v>
      </c>
      <c r="S23" s="39">
        <f>$J$3+[41]FormattedData!L40*$J$4+$M$4*$J$5+[41]FormattedData!L40^2*$J$6+$M$5*$J$7</f>
        <v>54.573714359057277</v>
      </c>
      <c r="T23" s="39">
        <f>$J$3+[41]FormattedData!M40*$J$4+$M$4*$J$5+[41]FormattedData!M40^2*$J$6+$M$5*$J$7</f>
        <v>55.687777946171202</v>
      </c>
      <c r="U23" s="39">
        <f>$J$3+[41]FormattedData!N40*$J$4+$M$4*$J$5+[41]FormattedData!N40^2*$J$6+$M$5*$J$7</f>
        <v>55.345749983818905</v>
      </c>
      <c r="V23" s="39">
        <f>$J$3+[41]FormattedData!O40*$J$4+$M$4*$J$5+[41]FormattedData!O40^2*$J$6+$M$5*$J$7</f>
        <v>56.70980405358668</v>
      </c>
      <c r="W23" s="38">
        <f>AVERAGE(K23:V23)</f>
        <v>55.501723787188986</v>
      </c>
      <c r="X23" s="37">
        <f>STDEV(K23:V23)/SQRT(COUNT(K23:V23))</f>
        <v>0.16558413100176894</v>
      </c>
      <c r="Y23" s="36">
        <f>MIN(K23:V23)</f>
        <v>54.573714359057277</v>
      </c>
      <c r="Z23" s="35">
        <f>QUARTILE(K23:V23,1)</f>
        <v>55.067350325519733</v>
      </c>
      <c r="AA23" s="36">
        <f>MEDIAN(K23:V23)</f>
        <v>55.474042171104465</v>
      </c>
      <c r="AB23" s="35">
        <f>QUARTILE(K23:V23,3)</f>
        <v>55.730468038658344</v>
      </c>
      <c r="AC23" s="35">
        <f>MAX(K23:V23)</f>
        <v>56.70980405358668</v>
      </c>
      <c r="AD23" s="35">
        <f>SKEW(K23:V23)</f>
        <v>0.53595083107021857</v>
      </c>
      <c r="AE23" s="35">
        <f>KURT(K23:V23)</f>
        <v>0.60316033226450472</v>
      </c>
    </row>
    <row r="24" spans="2:31" x14ac:dyDescent="0.2">
      <c r="B24" s="34">
        <f>[41]FormattedData!A42</f>
        <v>207</v>
      </c>
      <c r="C24" s="34" t="str">
        <f>VLOOKUP($B24,[41]TrtCodes!$B$11:I85,2)</f>
        <v>FTL</v>
      </c>
      <c r="D24" s="34">
        <f>VLOOKUP($B24,[41]TrtCodes!$B$11:J85,3)</f>
        <v>4</v>
      </c>
      <c r="E24" s="34">
        <f>VLOOKUP($B24,[41]TrtCodes!$B$11:K85,4)</f>
        <v>1</v>
      </c>
      <c r="F24" s="34">
        <f>VLOOKUP($B24,[41]TrtCodes!$B$11:L85,5)</f>
        <v>2</v>
      </c>
      <c r="G24" s="34">
        <f>VLOOKUP($B24,[41]TrtCodes!$B$11:M85,6)</f>
        <v>1</v>
      </c>
      <c r="H24" s="34">
        <f>VLOOKUP($B24,[41]TrtCodes!$B$11:N85,7)</f>
        <v>2</v>
      </c>
      <c r="I24" s="34">
        <f>[41]FormattedData!B42</f>
        <v>1</v>
      </c>
      <c r="J24" s="37">
        <f>[41]FormattedData!C42</f>
        <v>13.342000000000001</v>
      </c>
      <c r="K24" s="39">
        <f>$J$3+[41]FormattedData!D42*$J$4+$M$4*$J$5+[41]FormattedData!D42^2*$J$6+$M$5*$J$7</f>
        <v>56.454868151994887</v>
      </c>
      <c r="L24" s="39">
        <f>$J$3+[41]FormattedData!E42*$J$4+$M$4*$J$5+[41]FormattedData!E42^2*$J$6+$M$5*$J$7</f>
        <v>51.538806821888407</v>
      </c>
      <c r="M24" s="39">
        <f>$J$3+[41]FormattedData!F42*$J$4+$M$4*$J$5+[41]FormattedData!F42^2*$J$6+$M$5*$J$7</f>
        <v>55.516848502070907</v>
      </c>
      <c r="N24" s="39">
        <f>$J$3+[41]FormattedData!G42*$J$4+$M$4*$J$5+[41]FormattedData!G42^2*$J$6+$M$5*$J$7</f>
        <v>51.451334344286522</v>
      </c>
      <c r="O24" s="39">
        <f>$J$3+[41]FormattedData!H42*$J$4+$M$4*$J$5+[41]FormattedData!H42^2*$J$6+$M$5*$J$7</f>
        <v>54.229488432732559</v>
      </c>
      <c r="P24" s="39">
        <f>$J$3+[41]FormattedData!I42*$J$4+$M$4*$J$5+[41]FormattedData!I42^2*$J$6+$M$5*$J$7</f>
        <v>53.711881487107561</v>
      </c>
      <c r="Q24" s="39">
        <f>$J$3+[41]FormattedData!J42*$J$4+$M$4*$J$5+[41]FormattedData!J42^2*$J$6+$M$5*$J$7</f>
        <v>55.516848502070907</v>
      </c>
      <c r="R24" s="39">
        <f>$J$3+[41]FormattedData!K42*$J$4+$M$4*$J$5+[41]FormattedData!K42^2*$J$6+$M$5*$J$7</f>
        <v>54.401685932970786</v>
      </c>
      <c r="S24" s="39">
        <f>$J$3+[41]FormattedData!L42*$J$4+$M$4*$J$5+[41]FormattedData!L42^2*$J$6+$M$5*$J$7</f>
        <v>46.125634263760269</v>
      </c>
      <c r="T24" s="39">
        <f>$J$3+[41]FormattedData!M42*$J$4+$M$4*$J$5+[41]FormattedData!M42^2*$J$6+$M$5*$J$7</f>
        <v>55.602334358390024</v>
      </c>
      <c r="U24" s="39">
        <f>$J$3+[41]FormattedData!N42*$J$4+$M$4*$J$5+[41]FormattedData!N42^2*$J$6+$M$5*$J$7</f>
        <v>50.574284798681596</v>
      </c>
      <c r="V24" s="39">
        <f>$J$3+[41]FormattedData!O42*$J$4+$M$4*$J$5+[41]FormattedData!O42^2*$J$6+$M$5*$J$7</f>
        <v>53.106083498735863</v>
      </c>
      <c r="W24" s="38">
        <f>AVERAGE(K24:V24)</f>
        <v>53.185841591224197</v>
      </c>
      <c r="X24" s="37">
        <f>STDEV(K24:V24)/SQRT(COUNT(K24:V24))</f>
        <v>0.83770840560621385</v>
      </c>
      <c r="Y24" s="36">
        <f>MIN(K24:V24)</f>
        <v>46.125634263760269</v>
      </c>
      <c r="Z24" s="35">
        <f>QUARTILE(K24:V24,1)</f>
        <v>51.516938702487934</v>
      </c>
      <c r="AA24" s="36">
        <f>MEDIAN(K24:V24)</f>
        <v>53.970684959920064</v>
      </c>
      <c r="AB24" s="35">
        <f>QUARTILE(K24:V24,3)</f>
        <v>55.516848502070907</v>
      </c>
      <c r="AC24" s="35">
        <f>MAX(K24:V24)</f>
        <v>56.454868151994887</v>
      </c>
      <c r="AD24" s="35">
        <f>SKEW(K24:V24)</f>
        <v>-1.3480296545665928</v>
      </c>
      <c r="AE24" s="35">
        <f>KURT(K24:V24)</f>
        <v>2.0959897477697309</v>
      </c>
    </row>
    <row r="25" spans="2:31" x14ac:dyDescent="0.2">
      <c r="B25" s="34">
        <f>[41]FormattedData!A44</f>
        <v>208</v>
      </c>
      <c r="C25" s="34" t="str">
        <f>VLOOKUP($B25,[41]TrtCodes!$B$11:I87,2)</f>
        <v>FSL</v>
      </c>
      <c r="D25" s="34">
        <f>VLOOKUP($B25,[41]TrtCodes!$B$11:J87,3)</f>
        <v>2</v>
      </c>
      <c r="E25" s="34">
        <f>VLOOKUP($B25,[41]TrtCodes!$B$11:K87,4)</f>
        <v>1</v>
      </c>
      <c r="F25" s="34">
        <f>VLOOKUP($B25,[41]TrtCodes!$B$11:L87,5)</f>
        <v>1</v>
      </c>
      <c r="G25" s="34">
        <f>VLOOKUP($B25,[41]TrtCodes!$B$11:M87,6)</f>
        <v>1</v>
      </c>
      <c r="H25" s="34">
        <f>VLOOKUP($B25,[41]TrtCodes!$B$11:N87,7)</f>
        <v>2</v>
      </c>
      <c r="I25" s="34">
        <f>[41]FormattedData!B44</f>
        <v>1</v>
      </c>
      <c r="J25" s="37">
        <f>[41]FormattedData!C44</f>
        <v>13.356999999999999</v>
      </c>
      <c r="K25" s="39">
        <f>$J$3+[41]FormattedData!D44*$J$4+$M$4*$J$5+[41]FormattedData!D44^2*$J$6+$M$5*$J$7</f>
        <v>55.088785192406405</v>
      </c>
      <c r="L25" s="39">
        <f>$J$3+[41]FormattedData!E44*$J$4+$M$4*$J$5+[41]FormattedData!E44^2*$J$6+$M$5*$J$7</f>
        <v>55.773179265414441</v>
      </c>
      <c r="M25" s="39">
        <f>$J$3+[41]FormattedData!F44*$J$4+$M$4*$J$5+[41]FormattedData!F44^2*$J$6+$M$5*$J$7</f>
        <v>54.573714359057277</v>
      </c>
      <c r="N25" s="39">
        <f>$J$3+[41]FormattedData!G44*$J$4+$M$4*$J$5+[41]FormattedData!G44^2*$J$6+$M$5*$J$7</f>
        <v>56.70980405358668</v>
      </c>
      <c r="O25" s="39">
        <f>$J$3+[41]FormattedData!H44*$J$4+$M$4*$J$5+[41]FormattedData!H44^2*$J$6+$M$5*$J$7</f>
        <v>56.369804981055097</v>
      </c>
      <c r="P25" s="39">
        <f>$J$3+[41]FormattedData!I44*$J$4+$M$4*$J$5+[41]FormattedData!I44^2*$J$6+$M$5*$J$7</f>
        <v>56.284699541577361</v>
      </c>
      <c r="Q25" s="39">
        <f>$J$3+[41]FormattedData!J44*$J$4+$M$4*$J$5+[41]FormattedData!J44^2*$J$6+$M$5*$J$7</f>
        <v>55.174482391415175</v>
      </c>
      <c r="R25" s="39">
        <f>$J$3+[41]FormattedData!K44*$J$4+$M$4*$J$5+[41]FormattedData!K44^2*$J$6+$M$5*$J$7</f>
        <v>57.47232925731381</v>
      </c>
      <c r="S25" s="39">
        <f>$J$3+[41]FormattedData!L44*$J$4+$M$4*$J$5+[41]FormattedData!L44^2*$J$6+$M$5*$J$7</f>
        <v>55.345749983818905</v>
      </c>
      <c r="T25" s="39">
        <f>$J$3+[41]FormattedData!M44*$J$4+$M$4*$J$5+[41]FormattedData!M44^2*$J$6+$M$5*$J$7</f>
        <v>56.029129611916595</v>
      </c>
      <c r="U25" s="39">
        <f>$J$3+[41]FormattedData!N44*$J$4+$M$4*$J$5+[41]FormattedData!N44^2*$J$6+$M$5*$J$7</f>
        <v>56.624867688260686</v>
      </c>
      <c r="V25" s="39">
        <f>$J$3+[41]FormattedData!O44*$J$4+$M$4*$J$5+[41]FormattedData!O44^2*$J$6+$M$5*$J$7</f>
        <v>55.858538316119756</v>
      </c>
      <c r="W25" s="38">
        <f>AVERAGE(K25:V25)</f>
        <v>55.942090386828511</v>
      </c>
      <c r="X25" s="37">
        <f>STDEV(K25:V25)/SQRT(COUNT(K25:V25))</f>
        <v>0.23494092240175612</v>
      </c>
      <c r="Y25" s="36">
        <f>MIN(K25:V25)</f>
        <v>54.573714359057277</v>
      </c>
      <c r="Z25" s="35">
        <f>QUARTILE(K25:V25,1)</f>
        <v>55.302933085717974</v>
      </c>
      <c r="AA25" s="36">
        <f>MEDIAN(K25:V25)</f>
        <v>55.943833964018175</v>
      </c>
      <c r="AB25" s="35">
        <f>QUARTILE(K25:V25,3)</f>
        <v>56.433570657856492</v>
      </c>
      <c r="AC25" s="35">
        <f>MAX(K25:V25)</f>
        <v>57.47232925731381</v>
      </c>
      <c r="AD25" s="35">
        <f>SKEW(K25:V25)</f>
        <v>0.12543796588200148</v>
      </c>
      <c r="AE25" s="35">
        <f>KURT(K25:V25)</f>
        <v>-0.22404282613271986</v>
      </c>
    </row>
    <row r="26" spans="2:31" x14ac:dyDescent="0.2">
      <c r="B26" s="34">
        <f>[41]FormattedData!A62</f>
        <v>301</v>
      </c>
      <c r="C26" s="34" t="str">
        <f>VLOOKUP($B26,[41]TrtCodes!$B$11:I105,2)</f>
        <v>NTL</v>
      </c>
      <c r="D26" s="34">
        <f>VLOOKUP($B26,[41]TrtCodes!$B$11:J105,3)</f>
        <v>10</v>
      </c>
      <c r="E26" s="34">
        <f>VLOOKUP($B26,[41]TrtCodes!$B$11:K105,4)</f>
        <v>2</v>
      </c>
      <c r="F26" s="34">
        <f>VLOOKUP($B26,[41]TrtCodes!$B$11:L105,5)</f>
        <v>2</v>
      </c>
      <c r="G26" s="34">
        <f>VLOOKUP($B26,[41]TrtCodes!$B$11:M105,6)</f>
        <v>1</v>
      </c>
      <c r="H26" s="34">
        <f>VLOOKUP($B26,[41]TrtCodes!$B$11:N105,7)</f>
        <v>3</v>
      </c>
      <c r="I26" s="34">
        <f>[41]FormattedData!B62</f>
        <v>1</v>
      </c>
      <c r="J26" s="37">
        <f>[41]FormattedData!C62</f>
        <v>13.483000000000001</v>
      </c>
      <c r="K26" s="39">
        <f>$J$3+[41]FormattedData!D62*$J$4+$M$4*$J$5+[41]FormattedData!D62^2*$J$6+$M$5*$J$7</f>
        <v>55.260137321886006</v>
      </c>
      <c r="L26" s="39">
        <f>$J$3+[41]FormattedData!E62*$J$4+$M$4*$J$5+[41]FormattedData!E62^2*$J$6+$M$5*$J$7</f>
        <v>53.625465722953955</v>
      </c>
      <c r="M26" s="39">
        <f>$J$3+[41]FormattedData!F62*$J$4+$M$4*$J$5+[41]FormattedData!F62^2*$J$6+$M$5*$J$7</f>
        <v>54.659665169293618</v>
      </c>
      <c r="N26" s="39">
        <f>$J$3+[41]FormattedData!G62*$J$4+$M$4*$J$5+[41]FormattedData!G62^2*$J$6+$M$5*$J$7</f>
        <v>55.431320377213872</v>
      </c>
      <c r="O26" s="39">
        <f>$J$3+[41]FormattedData!H62*$J$4+$M$4*$J$5+[41]FormattedData!H62^2*$J$6+$M$5*$J$7</f>
        <v>50.398367667105447</v>
      </c>
      <c r="P26" s="39">
        <f>$J$3+[41]FormattedData!I62*$J$4+$M$4*$J$5+[41]FormattedData!I62^2*$J$6+$M$5*$J$7</f>
        <v>55.773179265414441</v>
      </c>
      <c r="Q26" s="39">
        <f>$J$3+[41]FormattedData!J62*$J$4+$M$4*$J$5+[41]FormattedData!J62^2*$J$6+$M$5*$J$7</f>
        <v>45.765177218870001</v>
      </c>
      <c r="R26" s="39">
        <f>$J$3+[41]FormattedData!K62*$J$4+$M$4*$J$5+[41]FormattedData!K62^2*$J$6+$M$5*$J$7</f>
        <v>56.879549978624901</v>
      </c>
      <c r="S26" s="39">
        <f>$J$3+[41]FormattedData!L62*$J$4+$M$4*$J$5+[41]FormattedData!L62^2*$J$6+$M$5*$J$7</f>
        <v>48.718722343814676</v>
      </c>
      <c r="T26" s="39">
        <f>$J$3+[41]FormattedData!M62*$J$4+$M$4*$J$5+[41]FormattedData!M62^2*$J$6+$M$5*$J$7</f>
        <v>58.399654967141196</v>
      </c>
      <c r="U26" s="39">
        <f>$J$3+[41]FormattedData!N62*$J$4+$M$4*$J$5+[41]FormattedData!N62^2*$J$6+$M$5*$J$7</f>
        <v>49.693008399283563</v>
      </c>
      <c r="V26" s="39">
        <f>$J$3+[41]FormattedData!O62*$J$4+$M$4*$J$5+[41]FormattedData!O62^2*$J$6+$M$5*$J$7</f>
        <v>54.401685932970786</v>
      </c>
      <c r="W26" s="38">
        <f>AVERAGE(K26:V26)</f>
        <v>53.25049453038104</v>
      </c>
      <c r="X26" s="37">
        <f>STDEV(K26:V26)/SQRT(COUNT(K26:V26))</f>
        <v>1.0858992119308133</v>
      </c>
      <c r="Y26" s="36">
        <f>MIN(K26:V26)</f>
        <v>45.765177218870001</v>
      </c>
      <c r="Z26" s="35">
        <f>QUARTILE(K26:V26,1)</f>
        <v>50.222027850149978</v>
      </c>
      <c r="AA26" s="36">
        <f>MEDIAN(K26:V26)</f>
        <v>54.530675551132205</v>
      </c>
      <c r="AB26" s="35">
        <f>QUARTILE(K26:V26,3)</f>
        <v>55.516785099264013</v>
      </c>
      <c r="AC26" s="35">
        <f>MAX(K26:V26)</f>
        <v>58.399654967141196</v>
      </c>
      <c r="AD26" s="35">
        <f>SKEW(K26:V26)</f>
        <v>-0.73260737189999037</v>
      </c>
      <c r="AE26" s="35">
        <f>KURT(K26:V26)</f>
        <v>-0.29588348142603316</v>
      </c>
    </row>
    <row r="27" spans="2:31" x14ac:dyDescent="0.2">
      <c r="B27" s="34">
        <f>[41]FormattedData!A64</f>
        <v>302</v>
      </c>
      <c r="C27" s="34" t="str">
        <f>VLOOKUP($B27,[41]TrtCodes!$B$11:I107,2)</f>
        <v>FTL</v>
      </c>
      <c r="D27" s="34">
        <f>VLOOKUP($B27,[41]TrtCodes!$B$11:J107,3)</f>
        <v>4</v>
      </c>
      <c r="E27" s="34">
        <f>VLOOKUP($B27,[41]TrtCodes!$B$11:K107,4)</f>
        <v>1</v>
      </c>
      <c r="F27" s="34">
        <f>VLOOKUP($B27,[41]TrtCodes!$B$11:L107,5)</f>
        <v>2</v>
      </c>
      <c r="G27" s="34">
        <f>VLOOKUP($B27,[41]TrtCodes!$B$11:M107,6)</f>
        <v>1</v>
      </c>
      <c r="H27" s="34">
        <f>VLOOKUP($B27,[41]TrtCodes!$B$11:N107,7)</f>
        <v>3</v>
      </c>
      <c r="I27" s="34">
        <f>[41]FormattedData!B64</f>
        <v>1</v>
      </c>
      <c r="J27" s="37">
        <f>[41]FormattedData!C64</f>
        <v>13.499000000000001</v>
      </c>
      <c r="K27" s="39">
        <f>$J$3+[41]FormattedData!D64*$J$4+$M$4*$J$5+[41]FormattedData!D64^2*$J$6+$M$5*$J$7</f>
        <v>55.602334358390024</v>
      </c>
      <c r="L27" s="39">
        <f>$J$3+[41]FormattedData!E64*$J$4+$M$4*$J$5+[41]FormattedData!E64^2*$J$6+$M$5*$J$7</f>
        <v>55.174482391415175</v>
      </c>
      <c r="M27" s="39">
        <f>$J$3+[41]FormattedData!F64*$J$4+$M$4*$J$5+[41]FormattedData!F64^2*$J$6+$M$5*$J$7</f>
        <v>56.284699541577361</v>
      </c>
      <c r="N27" s="39">
        <f>$J$3+[41]FormattedData!G64*$J$4+$M$4*$J$5+[41]FormattedData!G64^2*$J$6+$M$5*$J$7</f>
        <v>56.454868151994887</v>
      </c>
      <c r="O27" s="39">
        <f>$J$3+[41]FormattedData!H64*$J$4+$M$4*$J$5+[41]FormattedData!H64^2*$J$6+$M$5*$J$7</f>
        <v>54.659665169293618</v>
      </c>
      <c r="P27" s="39">
        <f>$J$3+[41]FormattedData!I64*$J$4+$M$4*$J$5+[41]FormattedData!I64^2*$J$6+$M$5*$J$7</f>
        <v>55.260137321886006</v>
      </c>
      <c r="Q27" s="39">
        <f>$J$3+[41]FormattedData!J64*$J$4+$M$4*$J$5+[41]FormattedData!J64^2*$J$6+$M$5*$J$7</f>
        <v>54.831439984152539</v>
      </c>
      <c r="R27" s="39">
        <f>$J$3+[41]FormattedData!K64*$J$4+$M$4*$J$5+[41]FormattedData!K64^2*$J$6+$M$5*$J$7</f>
        <v>56.199551833561699</v>
      </c>
      <c r="S27" s="39">
        <f>$J$3+[41]FormattedData!L64*$J$4+$M$4*$J$5+[41]FormattedData!L64^2*$J$6+$M$5*$J$7</f>
        <v>53.192752874117026</v>
      </c>
      <c r="T27" s="39">
        <f>$J$3+[41]FormattedData!M64*$J$4+$M$4*$J$5+[41]FormattedData!M64^2*$J$6+$M$5*$J$7</f>
        <v>53.625465722953955</v>
      </c>
      <c r="U27" s="39">
        <f>$J$3+[41]FormattedData!N64*$J$4+$M$4*$J$5+[41]FormattedData!N64^2*$J$6+$M$5*$J$7</f>
        <v>54.487721280282997</v>
      </c>
      <c r="V27" s="39">
        <f>$J$3+[41]FormattedData!O64*$J$4+$M$4*$J$5+[41]FormattedData!O64^2*$J$6+$M$5*$J$7</f>
        <v>52.672102593760997</v>
      </c>
      <c r="W27" s="38">
        <f>AVERAGE(K27:V27)</f>
        <v>54.870435101948864</v>
      </c>
      <c r="X27" s="37">
        <f>STDEV(K27:V27)/SQRT(COUNT(K27:V27))</f>
        <v>0.35298252016292037</v>
      </c>
      <c r="Y27" s="36">
        <f>MIN(K27:V27)</f>
        <v>52.672102593760997</v>
      </c>
      <c r="Z27" s="35">
        <f>QUARTILE(K27:V27,1)</f>
        <v>54.272157390950738</v>
      </c>
      <c r="AA27" s="36">
        <f>MEDIAN(K27:V27)</f>
        <v>55.002961187783853</v>
      </c>
      <c r="AB27" s="35">
        <f>QUARTILE(K27:V27,3)</f>
        <v>55.751638727182943</v>
      </c>
      <c r="AC27" s="35">
        <f>MAX(K27:V27)</f>
        <v>56.454868151994887</v>
      </c>
      <c r="AD27" s="35">
        <f>SKEW(K27:V27)</f>
        <v>-0.45989661242281937</v>
      </c>
      <c r="AE27" s="35">
        <f>KURT(K27:V27)</f>
        <v>-0.68906739652576388</v>
      </c>
    </row>
    <row r="28" spans="2:31" x14ac:dyDescent="0.2">
      <c r="B28" s="34">
        <f>[41]FormattedData!A66</f>
        <v>303</v>
      </c>
      <c r="C28" s="34" t="str">
        <f>VLOOKUP($B28,[41]TrtCodes!$B$11:I109,2)</f>
        <v>NSL</v>
      </c>
      <c r="D28" s="34">
        <f>VLOOKUP($B28,[41]TrtCodes!$B$11:J109,3)</f>
        <v>8</v>
      </c>
      <c r="E28" s="34">
        <f>VLOOKUP($B28,[41]TrtCodes!$B$11:K109,4)</f>
        <v>2</v>
      </c>
      <c r="F28" s="34">
        <f>VLOOKUP($B28,[41]TrtCodes!$B$11:L109,5)</f>
        <v>1</v>
      </c>
      <c r="G28" s="34">
        <f>VLOOKUP($B28,[41]TrtCodes!$B$11:M109,6)</f>
        <v>1</v>
      </c>
      <c r="H28" s="34">
        <f>VLOOKUP($B28,[41]TrtCodes!$B$11:N109,7)</f>
        <v>3</v>
      </c>
      <c r="I28" s="34">
        <f>[41]FormattedData!B66</f>
        <v>1</v>
      </c>
      <c r="J28" s="37">
        <f>[41]FormattedData!C66</f>
        <v>13.515000000000001</v>
      </c>
      <c r="K28" s="39">
        <f>$J$3+[41]FormattedData!D66*$J$4+$M$4*$J$5+[41]FormattedData!D66^2*$J$6+$M$5*$J$7</f>
        <v>54.745573710992034</v>
      </c>
      <c r="L28" s="39">
        <f>$J$3+[41]FormattedData!E66*$J$4+$M$4*$J$5+[41]FormattedData!E66^2*$J$6+$M$5*$J$7</f>
        <v>56.369804981055097</v>
      </c>
      <c r="M28" s="39">
        <f>$J$3+[41]FormattedData!F66*$J$4+$M$4*$J$5+[41]FormattedData!F66^2*$J$6+$M$5*$J$7</f>
        <v>53.798254982723222</v>
      </c>
      <c r="N28" s="39">
        <f>$J$3+[41]FormattedData!G66*$J$4+$M$4*$J$5+[41]FormattedData!G66^2*$J$6+$M$5*$J$7</f>
        <v>54.573714359057277</v>
      </c>
      <c r="O28" s="39">
        <f>$J$3+[41]FormattedData!H66*$J$4+$M$4*$J$5+[41]FormattedData!H66^2*$J$6+$M$5*$J$7</f>
        <v>54.229488432732559</v>
      </c>
      <c r="P28" s="39">
        <f>$J$3+[41]FormattedData!I66*$J$4+$M$4*$J$5+[41]FormattedData!I66^2*$J$6+$M$5*$J$7</f>
        <v>54.143326279806558</v>
      </c>
      <c r="Q28" s="39">
        <f>$J$3+[41]FormattedData!J66*$J$4+$M$4*$J$5+[41]FormattedData!J66^2*$J$6+$M$5*$J$7</f>
        <v>54.573714359057277</v>
      </c>
      <c r="R28" s="39">
        <f>$J$3+[41]FormattedData!K66*$J$4+$M$4*$J$5+[41]FormattedData!K66^2*$J$6+$M$5*$J$7</f>
        <v>55.687777946171202</v>
      </c>
      <c r="S28" s="39">
        <f>$J$3+[41]FormattedData!L66*$J$4+$M$4*$J$5+[41]FormattedData!L66^2*$J$6+$M$5*$J$7</f>
        <v>54.143326279806558</v>
      </c>
      <c r="T28" s="39">
        <f>$J$3+[41]FormattedData!M66*$J$4+$M$4*$J$5+[41]FormattedData!M66^2*$J$6+$M$5*$J$7</f>
        <v>55.687777946171202</v>
      </c>
      <c r="U28" s="39">
        <f>$J$3+[41]FormattedData!N66*$J$4+$M$4*$J$5+[41]FormattedData!N66^2*$J$6+$M$5*$J$7</f>
        <v>56.70980405358668</v>
      </c>
      <c r="V28" s="39">
        <f>$J$3+[41]FormattedData!O66*$J$4+$M$4*$J$5+[41]FormattedData!O66^2*$J$6+$M$5*$J$7</f>
        <v>55.858538316119756</v>
      </c>
      <c r="W28" s="38">
        <f>AVERAGE(K28:V28)</f>
        <v>55.043425137273289</v>
      </c>
      <c r="X28" s="37">
        <f>STDEV(K28:V28)/SQRT(COUNT(K28:V28))</f>
        <v>0.280612995706153</v>
      </c>
      <c r="Y28" s="36">
        <f>MIN(K28:V28)</f>
        <v>53.798254982723222</v>
      </c>
      <c r="Z28" s="35">
        <f>QUARTILE(K28:V28,1)</f>
        <v>54.207947894501061</v>
      </c>
      <c r="AA28" s="36">
        <f>MEDIAN(K28:V28)</f>
        <v>54.659644035024655</v>
      </c>
      <c r="AB28" s="35">
        <f>QUARTILE(K28:V28,3)</f>
        <v>55.730468038658344</v>
      </c>
      <c r="AC28" s="35">
        <f>MAX(K28:V28)</f>
        <v>56.70980405358668</v>
      </c>
      <c r="AD28" s="35">
        <f>SKEW(K28:V28)</f>
        <v>0.46026353226363259</v>
      </c>
      <c r="AE28" s="35">
        <f>KURT(K28:V28)</f>
        <v>-1.2356300554570692</v>
      </c>
    </row>
    <row r="29" spans="2:31" x14ac:dyDescent="0.2">
      <c r="B29" s="34">
        <f>[41]FormattedData!A68</f>
        <v>304</v>
      </c>
      <c r="C29" s="34" t="str">
        <f>VLOOKUP($B29,[41]TrtCodes!$B$11:I111,2)</f>
        <v>FSL</v>
      </c>
      <c r="D29" s="34">
        <f>VLOOKUP($B29,[41]TrtCodes!$B$11:J111,3)</f>
        <v>2</v>
      </c>
      <c r="E29" s="34">
        <f>VLOOKUP($B29,[41]TrtCodes!$B$11:K111,4)</f>
        <v>1</v>
      </c>
      <c r="F29" s="34">
        <f>VLOOKUP($B29,[41]TrtCodes!$B$11:L111,5)</f>
        <v>1</v>
      </c>
      <c r="G29" s="34">
        <f>VLOOKUP($B29,[41]TrtCodes!$B$11:M111,6)</f>
        <v>1</v>
      </c>
      <c r="H29" s="34">
        <f>VLOOKUP($B29,[41]TrtCodes!$B$11:N111,7)</f>
        <v>3</v>
      </c>
      <c r="I29" s="34">
        <f>[41]FormattedData!B68</f>
        <v>1</v>
      </c>
      <c r="J29" s="37">
        <f>[41]FormattedData!C68</f>
        <v>13.531000000000001</v>
      </c>
      <c r="K29" s="39">
        <f>$J$3+[41]FormattedData!D68*$J$4+$M$4*$J$5+[41]FormattedData!D68^2*$J$6+$M$5*$J$7</f>
        <v>56.454868151994887</v>
      </c>
      <c r="L29" s="39">
        <f>$J$3+[41]FormattedData!E68*$J$4+$M$4*$J$5+[41]FormattedData!E68^2*$J$6+$M$5*$J$7</f>
        <v>53.539007690262451</v>
      </c>
      <c r="M29" s="39">
        <f>$J$3+[41]FormattedData!F68*$J$4+$M$4*$J$5+[41]FormattedData!F68^2*$J$6+$M$5*$J$7</f>
        <v>55.516848502070907</v>
      </c>
      <c r="N29" s="39">
        <f>$J$3+[41]FormattedData!G68*$J$4+$M$4*$J$5+[41]FormattedData!G68^2*$J$6+$M$5*$J$7</f>
        <v>52.932617942359705</v>
      </c>
      <c r="O29" s="39">
        <f>$J$3+[41]FormattedData!H68*$J$4+$M$4*$J$5+[41]FormattedData!H68^2*$J$6+$M$5*$J$7</f>
        <v>55.088785192406405</v>
      </c>
      <c r="P29" s="39">
        <f>$J$3+[41]FormattedData!I68*$J$4+$M$4*$J$5+[41]FormattedData!I68^2*$J$6+$M$5*$J$7</f>
        <v>56.70980405358668</v>
      </c>
      <c r="Q29" s="39">
        <f>$J$3+[41]FormattedData!J68*$J$4+$M$4*$J$5+[41]FormattedData!J68^2*$J$6+$M$5*$J$7</f>
        <v>56.369804981055097</v>
      </c>
      <c r="R29" s="39">
        <f>$J$3+[41]FormattedData!K68*$J$4+$M$4*$J$5+[41]FormattedData!K68^2*$J$6+$M$5*$J$7</f>
        <v>57.133851852147728</v>
      </c>
      <c r="S29" s="39">
        <f>$J$3+[41]FormattedData!L68*$J$4+$M$4*$J$5+[41]FormattedData!L68^2*$J$6+$M$5*$J$7</f>
        <v>52.237064975337859</v>
      </c>
      <c r="T29" s="39">
        <f>$J$3+[41]FormattedData!M68*$J$4+$M$4*$J$5+[41]FormattedData!M68^2*$J$6+$M$5*$J$7</f>
        <v>55.174482391415175</v>
      </c>
      <c r="U29" s="39">
        <f>$J$3+[41]FormattedData!N68*$J$4+$M$4*$J$5+[41]FormattedData!N68^2*$J$6+$M$5*$J$7</f>
        <v>53.884586209800943</v>
      </c>
      <c r="V29" s="39">
        <f>$J$3+[41]FormattedData!O68*$J$4+$M$4*$J$5+[41]FormattedData!O68^2*$J$6+$M$5*$J$7</f>
        <v>56.794698150374764</v>
      </c>
      <c r="W29" s="38">
        <f>AVERAGE(K29:V29)</f>
        <v>55.153035007734381</v>
      </c>
      <c r="X29" s="37">
        <f>STDEV(K29:V29)/SQRT(COUNT(K29:V29))</f>
        <v>0.4767444030186897</v>
      </c>
      <c r="Y29" s="36">
        <f>MIN(K29:V29)</f>
        <v>52.237064975337859</v>
      </c>
      <c r="Z29" s="35">
        <f>QUARTILE(K29:V29,1)</f>
        <v>53.79819157991632</v>
      </c>
      <c r="AA29" s="36">
        <f>MEDIAN(K29:V29)</f>
        <v>55.345665446743041</v>
      </c>
      <c r="AB29" s="35">
        <f>QUARTILE(K29:V29,3)</f>
        <v>56.518602127392839</v>
      </c>
      <c r="AC29" s="35">
        <f>MAX(K29:V29)</f>
        <v>57.133851852147728</v>
      </c>
      <c r="AD29" s="35">
        <f>SKEW(K29:V29)</f>
        <v>-0.53190217056522127</v>
      </c>
      <c r="AE29" s="35">
        <f>KURT(K29:V29)</f>
        <v>-1.0763106967306673</v>
      </c>
    </row>
    <row r="30" spans="2:31" x14ac:dyDescent="0.2">
      <c r="B30" s="34">
        <f>[41]FormattedData!A70</f>
        <v>305</v>
      </c>
      <c r="C30" s="34" t="str">
        <f>VLOOKUP($B30,[41]TrtCodes!$B$11:I113,2)</f>
        <v>NDH</v>
      </c>
      <c r="D30" s="34">
        <f>VLOOKUP($B30,[41]TrtCodes!$B$11:J113,3)</f>
        <v>11</v>
      </c>
      <c r="E30" s="34">
        <f>VLOOKUP($B30,[41]TrtCodes!$B$11:K113,4)</f>
        <v>2</v>
      </c>
      <c r="F30" s="34">
        <f>VLOOKUP($B30,[41]TrtCodes!$B$11:L113,5)</f>
        <v>3</v>
      </c>
      <c r="G30" s="34">
        <f>VLOOKUP($B30,[41]TrtCodes!$B$11:M113,6)</f>
        <v>2</v>
      </c>
      <c r="H30" s="34">
        <f>VLOOKUP($B30,[41]TrtCodes!$B$11:N113,7)</f>
        <v>4</v>
      </c>
      <c r="I30" s="34">
        <f>[41]FormattedData!B70</f>
        <v>1</v>
      </c>
      <c r="J30" s="37">
        <f>[41]FormattedData!C70</f>
        <v>13.547000000000001</v>
      </c>
      <c r="K30" s="39">
        <f>$J$3+[41]FormattedData!D70*$J$4+$M$4*$J$5+[41]FormattedData!D70^2*$J$6+$M$5*$J$7</f>
        <v>37.099747778237834</v>
      </c>
      <c r="L30" s="39">
        <f>$J$3+[41]FormattedData!E70*$J$4+$M$4*$J$5+[41]FormattedData!E70^2*$J$6+$M$5*$J$7</f>
        <v>34.922610810084038</v>
      </c>
      <c r="M30" s="39">
        <f>$J$3+[41]FormattedData!F70*$J$4+$M$4*$J$5+[41]FormattedData!F70^2*$J$6+$M$5*$J$7</f>
        <v>36.911319159434051</v>
      </c>
      <c r="N30" s="39">
        <f>$J$3+[41]FormattedData!G70*$J$4+$M$4*$J$5+[41]FormattedData!G70^2*$J$6+$M$5*$J$7</f>
        <v>36.817041447225272</v>
      </c>
      <c r="O30" s="39">
        <f>$J$3+[41]FormattedData!H70*$J$4+$M$4*$J$5+[41]FormattedData!H70^2*$J$6+$M$5*$J$7</f>
        <v>35.587584751559326</v>
      </c>
      <c r="P30" s="39">
        <f>$J$3+[41]FormattedData!I70*$J$4+$M$4*$J$5+[41]FormattedData!I70^2*$J$6+$M$5*$J$7</f>
        <v>37.945584270227222</v>
      </c>
      <c r="Q30" s="39">
        <f>$J$3+[41]FormattedData!J70*$J$4+$M$4*$J$5+[41]FormattedData!J70^2*$J$6+$M$5*$J$7</f>
        <v>36.250487534676012</v>
      </c>
      <c r="R30" s="39">
        <f>$J$3+[41]FormattedData!K70*$J$4+$M$4*$J$5+[41]FormattedData!K70^2*$J$6+$M$5*$J$7</f>
        <v>36.817041447225272</v>
      </c>
      <c r="S30" s="39">
        <f>$J$3+[41]FormattedData!L70*$J$4+$M$4*$J$5+[41]FormattedData!L70^2*$J$6+$M$5*$J$7</f>
        <v>35.966639953139307</v>
      </c>
      <c r="T30" s="39">
        <f>$J$3+[41]FormattedData!M70*$J$4+$M$4*$J$5+[41]FormattedData!M70^2*$J$6+$M$5*$J$7</f>
        <v>36.250487534676012</v>
      </c>
      <c r="U30" s="39">
        <f>$J$3+[41]FormattedData!N70*$J$4+$M$4*$J$5+[41]FormattedData!N70^2*$J$6+$M$5*$J$7</f>
        <v>36.911319159434051</v>
      </c>
      <c r="V30" s="39">
        <f>$J$3+[41]FormattedData!O70*$J$4+$M$4*$J$5+[41]FormattedData!O70^2*$J$6+$M$5*$J$7</f>
        <v>35.871939555551208</v>
      </c>
      <c r="W30" s="38">
        <f>AVERAGE(K30:V30)</f>
        <v>36.445983616789128</v>
      </c>
      <c r="X30" s="37">
        <f>STDEV(K30:V30)/SQRT(COUNT(K30:V30))</f>
        <v>0.23156090154714656</v>
      </c>
      <c r="Y30" s="36">
        <f>MIN(K30:V30)</f>
        <v>34.922610810084038</v>
      </c>
      <c r="Z30" s="35">
        <f>QUARTILE(K30:V30,1)</f>
        <v>35.942964853742282</v>
      </c>
      <c r="AA30" s="36">
        <f>MEDIAN(K30:V30)</f>
        <v>36.533764490950645</v>
      </c>
      <c r="AB30" s="35">
        <f>QUARTILE(K30:V30,3)</f>
        <v>36.911319159434051</v>
      </c>
      <c r="AC30" s="35">
        <f>MAX(K30:V30)</f>
        <v>37.945584270227222</v>
      </c>
      <c r="AD30" s="35">
        <f>SKEW(K30:V30)</f>
        <v>-0.11129353963544796</v>
      </c>
      <c r="AE30" s="35">
        <f>KURT(K30:V30)</f>
        <v>0.32991789994658838</v>
      </c>
    </row>
    <row r="31" spans="2:31" x14ac:dyDescent="0.2">
      <c r="B31" s="34">
        <f>[41]FormattedData!A72</f>
        <v>306</v>
      </c>
      <c r="C31" s="34" t="str">
        <f>VLOOKUP($B31,[41]TrtCodes!$B$11:I115,2)</f>
        <v>FTL</v>
      </c>
      <c r="D31" s="34">
        <f>VLOOKUP($B31,[41]TrtCodes!$B$11:J115,3)</f>
        <v>4</v>
      </c>
      <c r="E31" s="34">
        <f>VLOOKUP($B31,[41]TrtCodes!$B$11:K115,4)</f>
        <v>1</v>
      </c>
      <c r="F31" s="34">
        <f>VLOOKUP($B31,[41]TrtCodes!$B$11:L115,5)</f>
        <v>2</v>
      </c>
      <c r="G31" s="34">
        <f>VLOOKUP($B31,[41]TrtCodes!$B$11:M115,6)</f>
        <v>1</v>
      </c>
      <c r="H31" s="34">
        <f>VLOOKUP($B31,[41]TrtCodes!$B$11:N115,7)</f>
        <v>4</v>
      </c>
      <c r="I31" s="34">
        <f>[41]FormattedData!B72</f>
        <v>1</v>
      </c>
      <c r="J31" s="37">
        <f>[41]FormattedData!C72</f>
        <v>13.561999999999999</v>
      </c>
      <c r="K31" s="39">
        <f>$J$3+[41]FormattedData!D72*$J$4+$M$4*$J$5+[41]FormattedData!D72^2*$J$6+$M$5*$J$7</f>
        <v>54.401685932970786</v>
      </c>
      <c r="L31" s="39">
        <f>$J$3+[41]FormattedData!E72*$J$4+$M$4*$J$5+[41]FormattedData!E72^2*$J$6+$M$5*$J$7</f>
        <v>54.401685932970786</v>
      </c>
      <c r="M31" s="39">
        <f>$J$3+[41]FormattedData!F72*$J$4+$M$4*$J$5+[41]FormattedData!F72^2*$J$6+$M$5*$J$7</f>
        <v>53.452507389032981</v>
      </c>
      <c r="N31" s="39">
        <f>$J$3+[41]FormattedData!G72*$J$4+$M$4*$J$5+[41]FormattedData!G72^2*$J$6+$M$5*$J$7</f>
        <v>54.659665169293618</v>
      </c>
      <c r="O31" s="39">
        <f>$J$3+[41]FormattedData!H72*$J$4+$M$4*$J$5+[41]FormattedData!H72^2*$J$6+$M$5*$J$7</f>
        <v>54.91726398877509</v>
      </c>
      <c r="P31" s="39">
        <f>$J$3+[41]FormattedData!I72*$J$4+$M$4*$J$5+[41]FormattedData!I72^2*$J$6+$M$5*$J$7</f>
        <v>56.029129611916595</v>
      </c>
      <c r="Q31" s="39">
        <f>$J$3+[41]FormattedData!J72*$J$4+$M$4*$J$5+[41]FormattedData!J72^2*$J$6+$M$5*$J$7</f>
        <v>51.10102174849974</v>
      </c>
      <c r="R31" s="39">
        <f>$J$3+[41]FormattedData!K72*$J$4+$M$4*$J$5+[41]FormattedData!K72^2*$J$6+$M$5*$J$7</f>
        <v>56.454868151994887</v>
      </c>
      <c r="S31" s="39">
        <f>$J$3+[41]FormattedData!L72*$J$4+$M$4*$J$5+[41]FormattedData!L72^2*$J$6+$M$5*$J$7</f>
        <v>52.932617942359705</v>
      </c>
      <c r="T31" s="39">
        <f>$J$3+[41]FormattedData!M72*$J$4+$M$4*$J$5+[41]FormattedData!M72^2*$J$6+$M$5*$J$7</f>
        <v>54.659665169293618</v>
      </c>
      <c r="U31" s="39">
        <f>$J$3+[41]FormattedData!N72*$J$4+$M$4*$J$5+[41]FormattedData!N72^2*$J$6+$M$5*$J$7</f>
        <v>51.451334344286522</v>
      </c>
      <c r="V31" s="39">
        <f>$J$3+[41]FormattedData!O72*$J$4+$M$4*$J$5+[41]FormattedData!O72^2*$J$6+$M$5*$J$7</f>
        <v>55.00304572485971</v>
      </c>
      <c r="W31" s="38">
        <f>AVERAGE(K31:V31)</f>
        <v>54.122040925521162</v>
      </c>
      <c r="X31" s="37">
        <f>STDEV(K31:V31)/SQRT(COUNT(K31:V31))</f>
        <v>0.47149290877123679</v>
      </c>
      <c r="Y31" s="36">
        <f>MIN(K31:V31)</f>
        <v>51.10102174849974</v>
      </c>
      <c r="Z31" s="35">
        <f>QUARTILE(K31:V31,1)</f>
        <v>53.322535027364665</v>
      </c>
      <c r="AA31" s="36">
        <f>MEDIAN(K31:V31)</f>
        <v>54.530675551132205</v>
      </c>
      <c r="AB31" s="35">
        <f>QUARTILE(K31:V31,3)</f>
        <v>54.938709422796244</v>
      </c>
      <c r="AC31" s="35">
        <f>MAX(K31:V31)</f>
        <v>56.454868151994887</v>
      </c>
      <c r="AD31" s="35">
        <f>SKEW(K31:V31)</f>
        <v>-0.68680179597197144</v>
      </c>
      <c r="AE31" s="35">
        <f>KURT(K31:V31)</f>
        <v>-3.8894672882847647E-2</v>
      </c>
    </row>
    <row r="32" spans="2:31" x14ac:dyDescent="0.2">
      <c r="B32" s="34">
        <f>[41]FormattedData!A74</f>
        <v>307</v>
      </c>
      <c r="C32" s="34" t="str">
        <f>VLOOKUP($B32,[41]TrtCodes!$B$11:I117,2)</f>
        <v>NTH</v>
      </c>
      <c r="D32" s="34">
        <f>VLOOKUP($B32,[41]TrtCodes!$B$11:J117,3)</f>
        <v>9</v>
      </c>
      <c r="E32" s="34">
        <f>VLOOKUP($B32,[41]TrtCodes!$B$11:K117,4)</f>
        <v>2</v>
      </c>
      <c r="F32" s="34">
        <f>VLOOKUP($B32,[41]TrtCodes!$B$11:L117,5)</f>
        <v>2</v>
      </c>
      <c r="G32" s="34">
        <f>VLOOKUP($B32,[41]TrtCodes!$B$11:M117,6)</f>
        <v>2</v>
      </c>
      <c r="H32" s="34">
        <f>VLOOKUP($B32,[41]TrtCodes!$B$11:N117,7)</f>
        <v>4</v>
      </c>
      <c r="I32" s="34">
        <f>[41]FormattedData!B74</f>
        <v>1</v>
      </c>
      <c r="J32" s="37">
        <f>[41]FormattedData!C74</f>
        <v>13.577999999999999</v>
      </c>
      <c r="K32" s="39">
        <f>$J$3+[41]FormattedData!D74*$J$4+$M$4*$J$5+[41]FormattedData!D74^2*$J$6+$M$5*$J$7</f>
        <v>55.431320377213872</v>
      </c>
      <c r="L32" s="39">
        <f>$J$3+[41]FormattedData!E74*$J$4+$M$4*$J$5+[41]FormattedData!E74^2*$J$6+$M$5*$J$7</f>
        <v>55.431320377213872</v>
      </c>
      <c r="M32" s="39">
        <f>$J$3+[41]FormattedData!F74*$J$4+$M$4*$J$5+[41]FormattedData!F74^2*$J$6+$M$5*$J$7</f>
        <v>52.672102593760997</v>
      </c>
      <c r="N32" s="39">
        <f>$J$3+[41]FormattedData!G74*$J$4+$M$4*$J$5+[41]FormattedData!G74^2*$J$6+$M$5*$J$7</f>
        <v>55.943855098287131</v>
      </c>
      <c r="O32" s="39">
        <f>$J$3+[41]FormattedData!H74*$J$4+$M$4*$J$5+[41]FormattedData!H74^2*$J$6+$M$5*$J$7</f>
        <v>50.222281461377555</v>
      </c>
      <c r="P32" s="39">
        <f>$J$3+[41]FormattedData!I74*$J$4+$M$4*$J$5+[41]FormattedData!I74^2*$J$6+$M$5*$J$7</f>
        <v>56.284699541577361</v>
      </c>
      <c r="Q32" s="39">
        <f>$J$3+[41]FormattedData!J74*$J$4+$M$4*$J$5+[41]FormattedData!J74^2*$J$6+$M$5*$J$7</f>
        <v>51.10102174849974</v>
      </c>
      <c r="R32" s="39">
        <f>$J$3+[41]FormattedData!K74*$J$4+$M$4*$J$5+[41]FormattedData!K74^2*$J$6+$M$5*$J$7</f>
        <v>56.199551833561699</v>
      </c>
      <c r="S32" s="39">
        <f>$J$3+[41]FormattedData!L74*$J$4+$M$4*$J$5+[41]FormattedData!L74^2*$J$6+$M$5*$J$7</f>
        <v>46.30560917497781</v>
      </c>
      <c r="T32" s="39">
        <f>$J$3+[41]FormattedData!M74*$J$4+$M$4*$J$5+[41]FormattedData!M74^2*$J$6+$M$5*$J$7</f>
        <v>55.773179265414441</v>
      </c>
      <c r="U32" s="39">
        <f>$J$3+[41]FormattedData!N74*$J$4+$M$4*$J$5+[41]FormattedData!N74^2*$J$6+$M$5*$J$7</f>
        <v>48.62989727299901</v>
      </c>
      <c r="V32" s="39">
        <f>$J$3+[41]FormattedData!O74*$J$4+$M$4*$J$5+[41]FormattedData!O74^2*$J$6+$M$5*$J$7</f>
        <v>52.149930646039422</v>
      </c>
      <c r="W32" s="38">
        <f>AVERAGE(K32:V32)</f>
        <v>53.012064115910242</v>
      </c>
      <c r="X32" s="37">
        <f>STDEV(K32:V32)/SQRT(COUNT(K32:V32))</f>
        <v>0.97416910900583953</v>
      </c>
      <c r="Y32" s="36">
        <f>MIN(K32:V32)</f>
        <v>46.30560917497781</v>
      </c>
      <c r="Z32" s="35">
        <f>QUARTILE(K32:V32,1)</f>
        <v>50.881336676719194</v>
      </c>
      <c r="AA32" s="36">
        <f>MEDIAN(K32:V32)</f>
        <v>54.051711485487431</v>
      </c>
      <c r="AB32" s="35">
        <f>QUARTILE(K32:V32,3)</f>
        <v>55.815848223632614</v>
      </c>
      <c r="AC32" s="35">
        <f>MAX(K32:V32)</f>
        <v>56.284699541577361</v>
      </c>
      <c r="AD32" s="35">
        <f>SKEW(K32:V32)</f>
        <v>-0.77538939962458064</v>
      </c>
      <c r="AE32" s="35">
        <f>KURT(K32:V32)</f>
        <v>-0.52845795694587183</v>
      </c>
    </row>
    <row r="33" spans="2:31" x14ac:dyDescent="0.2">
      <c r="B33" s="34">
        <f>[41]FormattedData!A76</f>
        <v>308</v>
      </c>
      <c r="C33" s="34" t="str">
        <f>VLOOKUP($B33,[41]TrtCodes!$B$11:I119,2)</f>
        <v>FDH</v>
      </c>
      <c r="D33" s="34">
        <f>VLOOKUP($B33,[41]TrtCodes!$B$11:J119,3)</f>
        <v>5</v>
      </c>
      <c r="E33" s="34">
        <f>VLOOKUP($B33,[41]TrtCodes!$B$11:K119,4)</f>
        <v>1</v>
      </c>
      <c r="F33" s="34">
        <f>VLOOKUP($B33,[41]TrtCodes!$B$11:L119,5)</f>
        <v>3</v>
      </c>
      <c r="G33" s="34">
        <f>VLOOKUP($B33,[41]TrtCodes!$B$11:M119,6)</f>
        <v>2</v>
      </c>
      <c r="H33" s="34">
        <f>VLOOKUP($B33,[41]TrtCodes!$B$11:N119,7)</f>
        <v>4</v>
      </c>
      <c r="I33" s="34">
        <f>[41]FormattedData!B76</f>
        <v>1</v>
      </c>
      <c r="J33" s="37">
        <f>[41]FormattedData!C76</f>
        <v>13.593999999999999</v>
      </c>
      <c r="K33" s="39">
        <f>$J$3+[41]FormattedData!D76*$J$4+$M$4*$J$5+[41]FormattedData!D76^2*$J$6+$M$5*$J$7</f>
        <v>54.573714359057277</v>
      </c>
      <c r="L33" s="39">
        <f>$J$3+[41]FormattedData!E76*$J$4+$M$4*$J$5+[41]FormattedData!E76^2*$J$6+$M$5*$J$7</f>
        <v>47.560699477252363</v>
      </c>
      <c r="M33" s="39">
        <f>$J$3+[41]FormattedData!F76*$J$4+$M$4*$J$5+[41]FormattedData!F76^2*$J$6+$M$5*$J$7</f>
        <v>43.861682241989165</v>
      </c>
      <c r="N33" s="39">
        <f>$J$3+[41]FormattedData!G76*$J$4+$M$4*$J$5+[41]FormattedData!G76^2*$J$6+$M$5*$J$7</f>
        <v>53.539007690262451</v>
      </c>
      <c r="O33" s="39">
        <f>$J$3+[41]FormattedData!H76*$J$4+$M$4*$J$5+[41]FormattedData!H76^2*$J$6+$M$5*$J$7</f>
        <v>50.222281461377555</v>
      </c>
      <c r="P33" s="39">
        <f>$J$3+[41]FormattedData!I76*$J$4+$M$4*$J$5+[41]FormattedData!I76^2*$J$6+$M$5*$J$7</f>
        <v>54.229488432732559</v>
      </c>
      <c r="Q33" s="39">
        <f>$J$3+[41]FormattedData!J76*$J$4+$M$4*$J$5+[41]FormattedData!J76^2*$J$6+$M$5*$J$7</f>
        <v>49.781326247644053</v>
      </c>
      <c r="R33" s="39">
        <f>$J$3+[41]FormattedData!K76*$J$4+$M$4*$J$5+[41]FormattedData!K76^2*$J$6+$M$5*$J$7</f>
        <v>51.451334344286522</v>
      </c>
      <c r="S33" s="39">
        <f>$J$3+[41]FormattedData!L76*$J$4+$M$4*$J$5+[41]FormattedData!L76^2*$J$6+$M$5*$J$7</f>
        <v>52.237064975337859</v>
      </c>
      <c r="T33" s="39">
        <f>$J$3+[41]FormattedData!M76*$J$4+$M$4*$J$5+[41]FormattedData!M76^2*$J$6+$M$5*$J$7</f>
        <v>46.754806753607888</v>
      </c>
      <c r="U33" s="39">
        <f>$J$3+[41]FormattedData!N76*$J$4+$M$4*$J$5+[41]FormattedData!N76^2*$J$6+$M$5*$J$7</f>
        <v>53.279379980960286</v>
      </c>
      <c r="V33" s="39">
        <f>$J$3+[41]FormattedData!O76*$J$4+$M$4*$J$5+[41]FormattedData!O76^2*$J$6+$M$5*$J$7</f>
        <v>46.485415012043646</v>
      </c>
      <c r="W33" s="38">
        <f>AVERAGE(K33:V33)</f>
        <v>50.331350081379298</v>
      </c>
      <c r="X33" s="37">
        <f>STDEV(K33:V33)/SQRT(COUNT(K33:V33))</f>
        <v>1.0093862767017332</v>
      </c>
      <c r="Y33" s="36">
        <f>MIN(K33:V33)</f>
        <v>43.861682241989165</v>
      </c>
      <c r="Z33" s="35">
        <f>QUARTILE(K33:V33,1)</f>
        <v>47.359226296341248</v>
      </c>
      <c r="AA33" s="36">
        <f>MEDIAN(K33:V33)</f>
        <v>50.836807902832035</v>
      </c>
      <c r="AB33" s="35">
        <f>QUARTILE(K33:V33,3)</f>
        <v>53.344286908285824</v>
      </c>
      <c r="AC33" s="35">
        <f>MAX(K33:V33)</f>
        <v>54.573714359057277</v>
      </c>
      <c r="AD33" s="35">
        <f>SKEW(K33:V33)</f>
        <v>-0.4907941744964458</v>
      </c>
      <c r="AE33" s="35">
        <f>KURT(K33:V33)</f>
        <v>-0.92955167721589627</v>
      </c>
    </row>
    <row r="34" spans="2:31" x14ac:dyDescent="0.2">
      <c r="B34" s="34">
        <f>[41]FormattedData!A92</f>
        <v>401</v>
      </c>
      <c r="C34" s="34" t="str">
        <f>VLOOKUP($B34,[41]TrtCodes!$B$11:I129,2)</f>
        <v>NSH</v>
      </c>
      <c r="D34" s="34">
        <f>VLOOKUP($B34,[41]TrtCodes!$B$11:J129,3)</f>
        <v>7</v>
      </c>
      <c r="E34" s="34">
        <f>VLOOKUP($B34,[41]TrtCodes!$B$11:K129,4)</f>
        <v>2</v>
      </c>
      <c r="F34" s="34">
        <f>VLOOKUP($B34,[41]TrtCodes!$B$11:L129,5)</f>
        <v>1</v>
      </c>
      <c r="G34" s="34">
        <f>VLOOKUP($B34,[41]TrtCodes!$B$11:M129,6)</f>
        <v>2</v>
      </c>
      <c r="H34" s="34">
        <f>VLOOKUP($B34,[41]TrtCodes!$B$11:N129,7)</f>
        <v>3</v>
      </c>
      <c r="I34" s="34">
        <f>[41]FormattedData!B92</f>
        <v>1</v>
      </c>
      <c r="J34" s="37">
        <f>[41]FormattedData!C92</f>
        <v>13.726000000000001</v>
      </c>
      <c r="K34" s="39">
        <f>$J$3+[41]FormattedData!D92*$J$4+$M$4*$J$5+[41]FormattedData!D92^2*$J$6+$M$5*$J$7</f>
        <v>54.401685932970786</v>
      </c>
      <c r="L34" s="39">
        <f>$J$3+[41]FormattedData!E92*$J$4+$M$4*$J$5+[41]FormattedData!E92^2*$J$6+$M$5*$J$7</f>
        <v>53.539007690262451</v>
      </c>
      <c r="M34" s="39">
        <f>$J$3+[41]FormattedData!F92*$J$4+$M$4*$J$5+[41]FormattedData!F92^2*$J$6+$M$5*$J$7</f>
        <v>55.00304572485971</v>
      </c>
      <c r="N34" s="39">
        <f>$J$3+[41]FormattedData!G92*$J$4+$M$4*$J$5+[41]FormattedData!G92^2*$J$6+$M$5*$J$7</f>
        <v>55.345749983818905</v>
      </c>
      <c r="O34" s="39">
        <f>$J$3+[41]FormattedData!H92*$J$4+$M$4*$J$5+[41]FormattedData!H92^2*$J$6+$M$5*$J$7</f>
        <v>54.487721280282997</v>
      </c>
      <c r="P34" s="39">
        <f>$J$3+[41]FormattedData!I92*$J$4+$M$4*$J$5+[41]FormattedData!I92^2*$J$6+$M$5*$J$7</f>
        <v>56.029129611916595</v>
      </c>
      <c r="Q34" s="39">
        <f>$J$3+[41]FormattedData!J92*$J$4+$M$4*$J$5+[41]FormattedData!J92^2*$J$6+$M$5*$J$7</f>
        <v>54.573714359057277</v>
      </c>
      <c r="R34" s="39">
        <f>$J$3+[41]FormattedData!K92*$J$4+$M$4*$J$5+[41]FormattedData!K92^2*$J$6+$M$5*$J$7</f>
        <v>55.174482391415175</v>
      </c>
      <c r="S34" s="39">
        <f>$J$3+[41]FormattedData!L92*$J$4+$M$4*$J$5+[41]FormattedData!L92^2*$J$6+$M$5*$J$7</f>
        <v>55.345749983818905</v>
      </c>
      <c r="T34" s="39">
        <f>$J$3+[41]FormattedData!M92*$J$4+$M$4*$J$5+[41]FormattedData!M92^2*$J$6+$M$5*$J$7</f>
        <v>54.315608317120628</v>
      </c>
      <c r="U34" s="39">
        <f>$J$3+[41]FormattedData!N92*$J$4+$M$4*$J$5+[41]FormattedData!N92^2*$J$6+$M$5*$J$7</f>
        <v>51.888274046916564</v>
      </c>
      <c r="V34" s="39">
        <f>$J$3+[41]FormattedData!O92*$J$4+$M$4*$J$5+[41]FormattedData!O92^2*$J$6+$M$5*$J$7</f>
        <v>54.91726398877509</v>
      </c>
      <c r="W34" s="38">
        <f>AVERAGE(K34:V34)</f>
        <v>54.585119442601247</v>
      </c>
      <c r="X34" s="37">
        <f>STDEV(K34:V34)/SQRT(COUNT(K34:V34))</f>
        <v>0.30597384934451199</v>
      </c>
      <c r="Y34" s="36">
        <f>MIN(K34:V34)</f>
        <v>51.888274046916564</v>
      </c>
      <c r="Z34" s="35">
        <f>QUARTILE(K34:V34,1)</f>
        <v>54.38016652900825</v>
      </c>
      <c r="AA34" s="36">
        <f>MEDIAN(K34:V34)</f>
        <v>54.745489173916184</v>
      </c>
      <c r="AB34" s="35">
        <f>QUARTILE(K34:V34,3)</f>
        <v>55.217299289516106</v>
      </c>
      <c r="AC34" s="35">
        <f>MAX(K34:V34)</f>
        <v>56.029129611916595</v>
      </c>
      <c r="AD34" s="35">
        <f>SKEW(K34:V34)</f>
        <v>-1.518974495638973</v>
      </c>
      <c r="AE34" s="35">
        <f>KURT(K34:V34)</f>
        <v>3.3679149414086194</v>
      </c>
    </row>
    <row r="35" spans="2:31" x14ac:dyDescent="0.2">
      <c r="B35" s="34">
        <f>[41]FormattedData!A90</f>
        <v>402</v>
      </c>
      <c r="C35" s="34" t="str">
        <f>VLOOKUP($B35,[41]TrtCodes!$B$11:I130,2)</f>
        <v>NTH</v>
      </c>
      <c r="D35" s="34">
        <f>VLOOKUP($B35,[41]TrtCodes!$B$11:J130,3)</f>
        <v>9</v>
      </c>
      <c r="E35" s="34">
        <f>VLOOKUP($B35,[41]TrtCodes!$B$11:K130,4)</f>
        <v>2</v>
      </c>
      <c r="F35" s="34">
        <f>VLOOKUP($B35,[41]TrtCodes!$B$11:L130,5)</f>
        <v>2</v>
      </c>
      <c r="G35" s="34">
        <f>VLOOKUP($B35,[41]TrtCodes!$B$11:M130,6)</f>
        <v>2</v>
      </c>
      <c r="H35" s="34">
        <f>VLOOKUP($B35,[41]TrtCodes!$B$11:N130,7)</f>
        <v>3</v>
      </c>
      <c r="I35" s="34">
        <f>[41]FormattedData!B90</f>
        <v>1</v>
      </c>
      <c r="J35" s="37">
        <f>[41]FormattedData!C90</f>
        <v>13.71</v>
      </c>
      <c r="K35" s="39">
        <f>$J$3+[41]FormattedData!D90*$J$4+$M$4*$J$5+[41]FormattedData!D90^2*$J$6+$M$5*$J$7</f>
        <v>56.369804981055097</v>
      </c>
      <c r="L35" s="39">
        <f>$J$3+[41]FormattedData!E90*$J$4+$M$4*$J$5+[41]FormattedData!E90^2*$J$6+$M$5*$J$7</f>
        <v>52.845821761364732</v>
      </c>
      <c r="M35" s="39">
        <f>$J$3+[41]FormattedData!F90*$J$4+$M$4*$J$5+[41]FormattedData!F90^2*$J$6+$M$5*$J$7</f>
        <v>54.91726398877509</v>
      </c>
      <c r="N35" s="39">
        <f>$J$3+[41]FormattedData!G90*$J$4+$M$4*$J$5+[41]FormattedData!G90^2*$J$6+$M$5*$J$7</f>
        <v>55.088785192406405</v>
      </c>
      <c r="O35" s="39">
        <f>$J$3+[41]FormattedData!H90*$J$4+$M$4*$J$5+[41]FormattedData!H90^2*$J$6+$M$5*$J$7</f>
        <v>54.487721280282997</v>
      </c>
      <c r="P35" s="39">
        <f>$J$3+[41]FormattedData!I90*$J$4+$M$4*$J$5+[41]FormattedData!I90^2*$J$6+$M$5*$J$7</f>
        <v>55.345749983818905</v>
      </c>
      <c r="Q35" s="39">
        <f>$J$3+[41]FormattedData!J90*$J$4+$M$4*$J$5+[41]FormattedData!J90^2*$J$6+$M$5*$J$7</f>
        <v>54.573714359057277</v>
      </c>
      <c r="R35" s="39">
        <f>$J$3+[41]FormattedData!K90*$J$4+$M$4*$J$5+[41]FormattedData!K90^2*$J$6+$M$5*$J$7</f>
        <v>56.454868151994887</v>
      </c>
      <c r="S35" s="39">
        <f>$J$3+[41]FormattedData!L90*$J$4+$M$4*$J$5+[41]FormattedData!L90^2*$J$6+$M$5*$J$7</f>
        <v>53.884586209800943</v>
      </c>
      <c r="T35" s="39">
        <f>$J$3+[41]FormattedData!M90*$J$4+$M$4*$J$5+[41]FormattedData!M90^2*$J$6+$M$5*$J$7</f>
        <v>55.431320377213872</v>
      </c>
      <c r="U35" s="39">
        <f>$J$3+[41]FormattedData!N90*$J$4+$M$4*$J$5+[41]FormattedData!N90^2*$J$6+$M$5*$J$7</f>
        <v>53.192752874117026</v>
      </c>
      <c r="V35" s="39">
        <f>$J$3+[41]FormattedData!O90*$J$4+$M$4*$J$5+[41]FormattedData!O90^2*$J$6+$M$5*$J$7</f>
        <v>53.01937185481674</v>
      </c>
      <c r="W35" s="38">
        <f>AVERAGE(K35:V35)</f>
        <v>54.634313417892002</v>
      </c>
      <c r="X35" s="37">
        <f>STDEV(K35:V35)/SQRT(COUNT(K35:V35))</f>
        <v>0.35060992366863547</v>
      </c>
      <c r="Y35" s="36">
        <f>MIN(K35:V35)</f>
        <v>52.845821761364732</v>
      </c>
      <c r="Z35" s="35">
        <f>QUARTILE(K35:V35,1)</f>
        <v>53.711627875879962</v>
      </c>
      <c r="AA35" s="36">
        <f>MEDIAN(K35:V35)</f>
        <v>54.745489173916184</v>
      </c>
      <c r="AB35" s="35">
        <f>QUARTILE(K35:V35,3)</f>
        <v>55.367142582167645</v>
      </c>
      <c r="AC35" s="35">
        <f>MAX(K35:V35)</f>
        <v>56.454868151994887</v>
      </c>
      <c r="AD35" s="35">
        <f>SKEW(K35:V35)</f>
        <v>-6.7527985815260649E-2</v>
      </c>
      <c r="AE35" s="35">
        <f>KURT(K35:V35)</f>
        <v>-0.96044118273866808</v>
      </c>
    </row>
    <row r="36" spans="2:31" x14ac:dyDescent="0.2">
      <c r="B36" s="34">
        <f>[41]FormattedData!A88</f>
        <v>403</v>
      </c>
      <c r="C36" s="34" t="str">
        <f>VLOOKUP($B36,[41]TrtCodes!$B$11:I131,2)</f>
        <v>FDL</v>
      </c>
      <c r="D36" s="34">
        <f>VLOOKUP($B36,[41]TrtCodes!$B$11:J131,3)</f>
        <v>6</v>
      </c>
      <c r="E36" s="34">
        <f>VLOOKUP($B36,[41]TrtCodes!$B$11:K131,4)</f>
        <v>1</v>
      </c>
      <c r="F36" s="34">
        <f>VLOOKUP($B36,[41]TrtCodes!$B$11:L131,5)</f>
        <v>3</v>
      </c>
      <c r="G36" s="34">
        <f>VLOOKUP($B36,[41]TrtCodes!$B$11:M131,6)</f>
        <v>1</v>
      </c>
      <c r="H36" s="34">
        <f>VLOOKUP($B36,[41]TrtCodes!$B$11:N131,7)</f>
        <v>3</v>
      </c>
      <c r="I36" s="34">
        <f>[41]FormattedData!B88</f>
        <v>1</v>
      </c>
      <c r="J36" s="37">
        <f>[41]FormattedData!C88</f>
        <v>13.694000000000001</v>
      </c>
      <c r="K36" s="39">
        <f>$J$3+[41]FormattedData!D88*$J$4+$M$4*$J$5+[41]FormattedData!D88^2*$J$6+$M$5*$J$7</f>
        <v>47.471324915443596</v>
      </c>
      <c r="L36" s="39">
        <f>$J$3+[41]FormattedData!E88*$J$4+$M$4*$J$5+[41]FormattedData!E88^2*$J$6+$M$5*$J$7</f>
        <v>47.023818078330763</v>
      </c>
      <c r="M36" s="39">
        <f>$J$3+[41]FormattedData!F88*$J$4+$M$4*$J$5+[41]FormattedData!F88^2*$J$6+$M$5*$J$7</f>
        <v>53.884586209800943</v>
      </c>
      <c r="N36" s="39">
        <f>$J$3+[41]FormattedData!G88*$J$4+$M$4*$J$5+[41]FormattedData!G88^2*$J$6+$M$5*$J$7</f>
        <v>53.711881487107561</v>
      </c>
      <c r="O36" s="39">
        <f>$J$3+[41]FormattedData!H88*$J$4+$M$4*$J$5+[41]FormattedData!H88^2*$J$6+$M$5*$J$7</f>
        <v>50.310345698510474</v>
      </c>
      <c r="P36" s="39">
        <f>$J$3+[41]FormattedData!I88*$J$4+$M$4*$J$5+[41]FormattedData!I88^2*$J$6+$M$5*$J$7</f>
        <v>53.798254982723222</v>
      </c>
      <c r="Q36" s="39">
        <f>$J$3+[41]FormattedData!J88*$J$4+$M$4*$J$5+[41]FormattedData!J88^2*$J$6+$M$5*$J$7</f>
        <v>48.62989727299901</v>
      </c>
      <c r="R36" s="39">
        <f>$J$3+[41]FormattedData!K88*$J$4+$M$4*$J$5+[41]FormattedData!K88^2*$J$6+$M$5*$J$7</f>
        <v>55.943855098287131</v>
      </c>
      <c r="S36" s="39">
        <f>$J$3+[41]FormattedData!L88*$J$4+$M$4*$J$5+[41]FormattedData!L88^2*$J$6+$M$5*$J$7</f>
        <v>51.888274046916564</v>
      </c>
      <c r="T36" s="39">
        <f>$J$3+[41]FormattedData!M88*$J$4+$M$4*$J$5+[41]FormattedData!M88^2*$J$6+$M$5*$J$7</f>
        <v>52.062754048203075</v>
      </c>
      <c r="U36" s="39">
        <f>$J$3+[41]FormattedData!N88*$J$4+$M$4*$J$5+[41]FormattedData!N88^2*$J$6+$M$5*$J$7</f>
        <v>51.276262583468991</v>
      </c>
      <c r="V36" s="39">
        <f>$J$3+[41]FormattedData!O88*$J$4+$M$4*$J$5+[41]FormattedData!O88^2*$J$6+$M$5*$J$7</f>
        <v>51.713624971478346</v>
      </c>
      <c r="W36" s="38">
        <f>AVERAGE(K36:V36)</f>
        <v>51.47623994943914</v>
      </c>
      <c r="X36" s="37">
        <f>STDEV(K36:V36)/SQRT(COUNT(K36:V36))</f>
        <v>0.78857398239039833</v>
      </c>
      <c r="Y36" s="36">
        <f>MIN(K36:V36)</f>
        <v>47.023818078330763</v>
      </c>
      <c r="Z36" s="35">
        <f>QUARTILE(K36:V36,1)</f>
        <v>49.89023359213261</v>
      </c>
      <c r="AA36" s="36">
        <f>MEDIAN(K36:V36)</f>
        <v>51.800949509197451</v>
      </c>
      <c r="AB36" s="35">
        <f>QUARTILE(K36:V36,3)</f>
        <v>53.733474861011473</v>
      </c>
      <c r="AC36" s="35">
        <f>MAX(K36:V36)</f>
        <v>55.943855098287131</v>
      </c>
      <c r="AD36" s="35">
        <f>SKEW(K36:V36)</f>
        <v>-0.26777073661118267</v>
      </c>
      <c r="AE36" s="35">
        <f>KURT(K36:V36)</f>
        <v>-0.62633061625255992</v>
      </c>
    </row>
    <row r="37" spans="2:31" x14ac:dyDescent="0.2">
      <c r="B37" s="34">
        <f>[41]FormattedData!A86</f>
        <v>404</v>
      </c>
      <c r="C37" s="34" t="str">
        <f>VLOOKUP($B37,[41]TrtCodes!$B$11:I129,2)</f>
        <v>FTH</v>
      </c>
      <c r="D37" s="34">
        <f>VLOOKUP($B37,[41]TrtCodes!$B$11:J129,3)</f>
        <v>3</v>
      </c>
      <c r="E37" s="34">
        <f>VLOOKUP($B37,[41]TrtCodes!$B$11:K129,4)</f>
        <v>1</v>
      </c>
      <c r="F37" s="34">
        <f>VLOOKUP($B37,[41]TrtCodes!$B$11:L129,5)</f>
        <v>2</v>
      </c>
      <c r="G37" s="34">
        <f>VLOOKUP($B37,[41]TrtCodes!$B$11:M129,6)</f>
        <v>2</v>
      </c>
      <c r="H37" s="34">
        <f>VLOOKUP($B37,[41]TrtCodes!$B$11:N129,7)</f>
        <v>3</v>
      </c>
      <c r="I37" s="34">
        <f>[41]FormattedData!B86</f>
        <v>1</v>
      </c>
      <c r="J37" s="37">
        <f>[41]FormattedData!C86</f>
        <v>13.677</v>
      </c>
      <c r="K37" s="39">
        <f>$J$3+[41]FormattedData!D86*$J$4+$M$4*$J$5+[41]FormattedData!D86^2*$J$6+$M$5*$J$7</f>
        <v>55.431320377213872</v>
      </c>
      <c r="L37" s="39">
        <f>$J$3+[41]FormattedData!E86*$J$4+$M$4*$J$5+[41]FormattedData!E86^2*$J$6+$M$5*$J$7</f>
        <v>52.4112068283209</v>
      </c>
      <c r="M37" s="39">
        <f>$J$3+[41]FormattedData!F86*$J$4+$M$4*$J$5+[41]FormattedData!F86^2*$J$6+$M$5*$J$7</f>
        <v>55.088785192406405</v>
      </c>
      <c r="N37" s="39">
        <f>$J$3+[41]FormattedData!G86*$J$4+$M$4*$J$5+[41]FormattedData!G86^2*$J$6+$M$5*$J$7</f>
        <v>54.143326279806558</v>
      </c>
      <c r="O37" s="39">
        <f>$J$3+[41]FormattedData!H86*$J$4+$M$4*$J$5+[41]FormattedData!H86^2*$J$6+$M$5*$J$7</f>
        <v>54.745573710992034</v>
      </c>
      <c r="P37" s="39">
        <f>$J$3+[41]FormattedData!I86*$J$4+$M$4*$J$5+[41]FormattedData!I86^2*$J$6+$M$5*$J$7</f>
        <v>56.70980405358668</v>
      </c>
      <c r="Q37" s="39">
        <f>$J$3+[41]FormattedData!J86*$J$4+$M$4*$J$5+[41]FormattedData!J86^2*$J$6+$M$5*$J$7</f>
        <v>54.487721280282997</v>
      </c>
      <c r="R37" s="39">
        <f>$J$3+[41]FormattedData!K86*$J$4+$M$4*$J$5+[41]FormattedData!K86^2*$J$6+$M$5*$J$7</f>
        <v>55.858538316119756</v>
      </c>
      <c r="S37" s="39">
        <f>$J$3+[41]FormattedData!L86*$J$4+$M$4*$J$5+[41]FormattedData!L86^2*$J$6+$M$5*$J$7</f>
        <v>52.932617942359705</v>
      </c>
      <c r="T37" s="39">
        <f>$J$3+[41]FormattedData!M86*$J$4+$M$4*$J$5+[41]FormattedData!M86^2*$J$6+$M$5*$J$7</f>
        <v>56.369804981055097</v>
      </c>
      <c r="U37" s="39">
        <f>$J$3+[41]FormattedData!N86*$J$4+$M$4*$J$5+[41]FormattedData!N86^2*$J$6+$M$5*$J$7</f>
        <v>53.884586209800943</v>
      </c>
      <c r="V37" s="39">
        <f>$J$3+[41]FormattedData!O86*$J$4+$M$4*$J$5+[41]FormattedData!O86^2*$J$6+$M$5*$J$7</f>
        <v>55.773179265414441</v>
      </c>
      <c r="W37" s="38">
        <f>AVERAGE(K37:V37)</f>
        <v>54.819705369779946</v>
      </c>
      <c r="X37" s="37">
        <f>STDEV(K37:V37)/SQRT(COUNT(K37:V37))</f>
        <v>0.38158019437803681</v>
      </c>
      <c r="Y37" s="36">
        <f>MIN(K37:V37)</f>
        <v>52.4112068283209</v>
      </c>
      <c r="Z37" s="35">
        <f>QUARTILE(K37:V37,1)</f>
        <v>54.078641262305155</v>
      </c>
      <c r="AA37" s="36">
        <f>MEDIAN(K37:V37)</f>
        <v>54.917179451699219</v>
      </c>
      <c r="AB37" s="35">
        <f>QUARTILE(K37:V37,3)</f>
        <v>55.794519028090768</v>
      </c>
      <c r="AC37" s="35">
        <f>MAX(K37:V37)</f>
        <v>56.70980405358668</v>
      </c>
      <c r="AD37" s="35">
        <f>SKEW(K37:V37)</f>
        <v>-0.43184313849797207</v>
      </c>
      <c r="AE37" s="35">
        <f>KURT(K37:V37)</f>
        <v>-0.52397136281443402</v>
      </c>
    </row>
    <row r="38" spans="2:31" x14ac:dyDescent="0.2">
      <c r="B38" s="34">
        <f>[41]FormattedData!A84</f>
        <v>405</v>
      </c>
      <c r="C38" s="34" t="str">
        <f>VLOOKUP($B38,[41]TrtCodes!$B$11:I127,2)</f>
        <v>FDL</v>
      </c>
      <c r="D38" s="34">
        <f>VLOOKUP($B38,[41]TrtCodes!$B$11:J127,3)</f>
        <v>6</v>
      </c>
      <c r="E38" s="34">
        <f>VLOOKUP($B38,[41]TrtCodes!$B$11:K127,4)</f>
        <v>1</v>
      </c>
      <c r="F38" s="34">
        <f>VLOOKUP($B38,[41]TrtCodes!$B$11:L127,5)</f>
        <v>3</v>
      </c>
      <c r="G38" s="34">
        <f>VLOOKUP($B38,[41]TrtCodes!$B$11:M127,6)</f>
        <v>1</v>
      </c>
      <c r="H38" s="34">
        <f>VLOOKUP($B38,[41]TrtCodes!$B$11:N127,7)</f>
        <v>4</v>
      </c>
      <c r="I38" s="34">
        <f>[41]FormattedData!B84</f>
        <v>1</v>
      </c>
      <c r="J38" s="37">
        <f>[41]FormattedData!C84</f>
        <v>13.662000000000001</v>
      </c>
      <c r="K38" s="39">
        <f>$J$3+[41]FormattedData!D84*$J$4+$M$4*$J$5+[41]FormattedData!D84^2*$J$6+$M$5*$J$7</f>
        <v>54.487721280282997</v>
      </c>
      <c r="L38" s="39">
        <f>$J$3+[41]FormattedData!E84*$J$4+$M$4*$J$5+[41]FormattedData!E84^2*$J$6+$M$5*$J$7</f>
        <v>46.30560917497781</v>
      </c>
      <c r="M38" s="39">
        <f>$J$3+[41]FormattedData!F84*$J$4+$M$4*$J$5+[41]FormattedData!F84^2*$J$6+$M$5*$J$7</f>
        <v>53.798254982723222</v>
      </c>
      <c r="N38" s="39">
        <f>$J$3+[41]FormattedData!G84*$J$4+$M$4*$J$5+[41]FormattedData!G84^2*$J$6+$M$5*$J$7</f>
        <v>52.324157036098335</v>
      </c>
      <c r="O38" s="39">
        <f>$J$3+[41]FormattedData!H84*$J$4+$M$4*$J$5+[41]FormattedData!H84^2*$J$6+$M$5*$J$7</f>
        <v>51.538806821888407</v>
      </c>
      <c r="P38" s="39">
        <f>$J$3+[41]FormattedData!I84*$J$4+$M$4*$J$5+[41]FormattedData!I84^2*$J$6+$M$5*$J$7</f>
        <v>50.837843482011358</v>
      </c>
      <c r="Q38" s="39">
        <f>$J$3+[41]FormattedData!J84*$J$4+$M$4*$J$5+[41]FormattedData!J84^2*$J$6+$M$5*$J$7</f>
        <v>49.516245896948789</v>
      </c>
      <c r="R38" s="39">
        <f>$J$3+[41]FormattedData!K84*$J$4+$M$4*$J$5+[41]FormattedData!K84^2*$J$6+$M$5*$J$7</f>
        <v>54.487721280282997</v>
      </c>
      <c r="S38" s="39">
        <f>$J$3+[41]FormattedData!L84*$J$4+$M$4*$J$5+[41]FormattedData!L84^2*$J$6+$M$5*$J$7</f>
        <v>50.750032856106039</v>
      </c>
      <c r="T38" s="39">
        <f>$J$3+[41]FormattedData!M84*$J$4+$M$4*$J$5+[41]FormattedData!M84^2*$J$6+$M$5*$J$7</f>
        <v>51.276262583468991</v>
      </c>
      <c r="U38" s="39">
        <f>$J$3+[41]FormattedData!N84*$J$4+$M$4*$J$5+[41]FormattedData!N84^2*$J$6+$M$5*$J$7</f>
        <v>44.770433191042443</v>
      </c>
      <c r="V38" s="39">
        <f>$J$3+[41]FormattedData!O84*$J$4+$M$4*$J$5+[41]FormattedData!O84^2*$J$6+$M$5*$J$7</f>
        <v>52.062754048203075</v>
      </c>
      <c r="W38" s="38">
        <f>AVERAGE(K38:V38)</f>
        <v>51.012986886169529</v>
      </c>
      <c r="X38" s="37">
        <f>STDEV(K38:V38)/SQRT(COUNT(K38:V38))</f>
        <v>0.8640163031492496</v>
      </c>
      <c r="Y38" s="36">
        <f>MIN(K38:V38)</f>
        <v>44.770433191042443</v>
      </c>
      <c r="Z38" s="35">
        <f>QUARTILE(K38:V38,1)</f>
        <v>50.441586116316728</v>
      </c>
      <c r="AA38" s="36">
        <f>MEDIAN(K38:V38)</f>
        <v>51.407534702678703</v>
      </c>
      <c r="AB38" s="35">
        <f>QUARTILE(K38:V38,3)</f>
        <v>52.692681522754555</v>
      </c>
      <c r="AC38" s="35">
        <f>MAX(K38:V38)</f>
        <v>54.487721280282997</v>
      </c>
      <c r="AD38" s="35">
        <f>SKEW(K38:V38)</f>
        <v>-0.98408586128173026</v>
      </c>
      <c r="AE38" s="35">
        <f>KURT(K38:V38)</f>
        <v>0.62156452514451921</v>
      </c>
    </row>
    <row r="39" spans="2:31" x14ac:dyDescent="0.2">
      <c r="B39" s="34">
        <f>[41]FormattedData!A82</f>
        <v>406</v>
      </c>
      <c r="C39" s="34" t="str">
        <f>VLOOKUP($B39,[41]TrtCodes!$B$11:I125,2)</f>
        <v>FTH</v>
      </c>
      <c r="D39" s="34">
        <f>VLOOKUP($B39,[41]TrtCodes!$B$11:J125,3)</f>
        <v>3</v>
      </c>
      <c r="E39" s="34">
        <f>VLOOKUP($B39,[41]TrtCodes!$B$11:K125,4)</f>
        <v>1</v>
      </c>
      <c r="F39" s="34">
        <f>VLOOKUP($B39,[41]TrtCodes!$B$11:L125,5)</f>
        <v>2</v>
      </c>
      <c r="G39" s="34">
        <f>VLOOKUP($B39,[41]TrtCodes!$B$11:M125,6)</f>
        <v>2</v>
      </c>
      <c r="H39" s="34">
        <f>VLOOKUP($B39,[41]TrtCodes!$B$11:N125,7)</f>
        <v>4</v>
      </c>
      <c r="I39" s="34">
        <f>[41]FormattedData!B82</f>
        <v>1</v>
      </c>
      <c r="J39" s="37">
        <f>[41]FormattedData!C82</f>
        <v>13.646000000000001</v>
      </c>
      <c r="K39" s="39">
        <f>$J$3+[41]FormattedData!D82*$J$4+$M$4*$J$5+[41]FormattedData!D82^2*$J$6+$M$5*$J$7</f>
        <v>55.516848502070907</v>
      </c>
      <c r="L39" s="39">
        <f>$J$3+[41]FormattedData!E82*$J$4+$M$4*$J$5+[41]FormattedData!E82^2*$J$6+$M$5*$J$7</f>
        <v>53.884586209800943</v>
      </c>
      <c r="M39" s="39">
        <f>$J$3+[41]FormattedData!F82*$J$4+$M$4*$J$5+[41]FormattedData!F82^2*$J$6+$M$5*$J$7</f>
        <v>54.659665169293618</v>
      </c>
      <c r="N39" s="39">
        <f>$J$3+[41]FormattedData!G82*$J$4+$M$4*$J$5+[41]FormattedData!G82^2*$J$6+$M$5*$J$7</f>
        <v>54.831439984152539</v>
      </c>
      <c r="O39" s="39">
        <f>$J$3+[41]FormattedData!H82*$J$4+$M$4*$J$5+[41]FormattedData!H82^2*$J$6+$M$5*$J$7</f>
        <v>54.315608317120628</v>
      </c>
      <c r="P39" s="39">
        <f>$J$3+[41]FormattedData!I82*$J$4+$M$4*$J$5+[41]FormattedData!I82^2*$J$6+$M$5*$J$7</f>
        <v>56.029129611916595</v>
      </c>
      <c r="Q39" s="39">
        <f>$J$3+[41]FormattedData!J82*$J$4+$M$4*$J$5+[41]FormattedData!J82^2*$J$6+$M$5*$J$7</f>
        <v>53.970875168340754</v>
      </c>
      <c r="R39" s="39">
        <f>$J$3+[41]FormattedData!K82*$J$4+$M$4*$J$5+[41]FormattedData!K82^2*$J$6+$M$5*$J$7</f>
        <v>55.858538316119756</v>
      </c>
      <c r="S39" s="39">
        <f>$J$3+[41]FormattedData!L82*$J$4+$M$4*$J$5+[41]FormattedData!L82^2*$J$6+$M$5*$J$7</f>
        <v>53.970875168340754</v>
      </c>
      <c r="T39" s="39">
        <f>$J$3+[41]FormattedData!M82*$J$4+$M$4*$J$5+[41]FormattedData!M82^2*$J$6+$M$5*$J$7</f>
        <v>54.487721280282997</v>
      </c>
      <c r="U39" s="39">
        <f>$J$3+[41]FormattedData!N82*$J$4+$M$4*$J$5+[41]FormattedData!N82^2*$J$6+$M$5*$J$7</f>
        <v>53.539007690262451</v>
      </c>
      <c r="V39" s="39">
        <f>$J$3+[41]FormattedData!O82*$J$4+$M$4*$J$5+[41]FormattedData!O82^2*$J$6+$M$5*$J$7</f>
        <v>54.143326279806558</v>
      </c>
      <c r="W39" s="38">
        <f>AVERAGE(K39:V39)</f>
        <v>54.60063514145903</v>
      </c>
      <c r="X39" s="37">
        <f>STDEV(K39:V39)/SQRT(COUNT(K39:V39))</f>
        <v>0.23444348323017253</v>
      </c>
      <c r="Y39" s="36">
        <f>MIN(K39:V39)</f>
        <v>53.539007690262451</v>
      </c>
      <c r="Z39" s="35">
        <f>QUARTILE(K39:V39,1)</f>
        <v>53.970875168340754</v>
      </c>
      <c r="AA39" s="36">
        <f>MEDIAN(K39:V39)</f>
        <v>54.401664798701816</v>
      </c>
      <c r="AB39" s="35">
        <f>QUARTILE(K39:V39,3)</f>
        <v>55.002792113632132</v>
      </c>
      <c r="AC39" s="35">
        <f>MAX(K39:V39)</f>
        <v>56.029129611916595</v>
      </c>
      <c r="AD39" s="35">
        <f>SKEW(K39:V39)</f>
        <v>0.7135367916597658</v>
      </c>
      <c r="AE39" s="35">
        <f>KURT(K39:V39)</f>
        <v>-0.67426960789873602</v>
      </c>
    </row>
    <row r="40" spans="2:31" x14ac:dyDescent="0.2">
      <c r="B40" s="34">
        <f>[41]FormattedData!A80</f>
        <v>407</v>
      </c>
      <c r="C40" s="34" t="str">
        <f>VLOOKUP($B40,[41]TrtCodes!$B$11:I123,2)</f>
        <v>NSH</v>
      </c>
      <c r="D40" s="34">
        <f>VLOOKUP($B40,[41]TrtCodes!$B$11:J123,3)</f>
        <v>7</v>
      </c>
      <c r="E40" s="34">
        <f>VLOOKUP($B40,[41]TrtCodes!$B$11:K123,4)</f>
        <v>2</v>
      </c>
      <c r="F40" s="34">
        <f>VLOOKUP($B40,[41]TrtCodes!$B$11:L123,5)</f>
        <v>1</v>
      </c>
      <c r="G40" s="34">
        <f>VLOOKUP($B40,[41]TrtCodes!$B$11:M123,6)</f>
        <v>2</v>
      </c>
      <c r="H40" s="34">
        <f>VLOOKUP($B40,[41]TrtCodes!$B$11:N123,7)</f>
        <v>4</v>
      </c>
      <c r="I40" s="34">
        <f>[41]FormattedData!B80</f>
        <v>1</v>
      </c>
      <c r="J40" s="37">
        <f>[41]FormattedData!C80</f>
        <v>13.63</v>
      </c>
      <c r="K40" s="39">
        <f>$J$3+[41]FormattedData!D80*$J$4+$M$4*$J$5+[41]FormattedData!D80^2*$J$6+$M$5*$J$7</f>
        <v>54.487721280282997</v>
      </c>
      <c r="L40" s="39">
        <f>$J$3+[41]FormattedData!E80*$J$4+$M$4*$J$5+[41]FormattedData!E80^2*$J$6+$M$5*$J$7</f>
        <v>55.943855098287131</v>
      </c>
      <c r="M40" s="39">
        <f>$J$3+[41]FormattedData!F80*$J$4+$M$4*$J$5+[41]FormattedData!F80^2*$J$6+$M$5*$J$7</f>
        <v>54.91726398877509</v>
      </c>
      <c r="N40" s="39">
        <f>$J$3+[41]FormattedData!G80*$J$4+$M$4*$J$5+[41]FormattedData!G80^2*$J$6+$M$5*$J$7</f>
        <v>56.029129611916595</v>
      </c>
      <c r="O40" s="39">
        <f>$J$3+[41]FormattedData!H80*$J$4+$M$4*$J$5+[41]FormattedData!H80^2*$J$6+$M$5*$J$7</f>
        <v>53.798254982723222</v>
      </c>
      <c r="P40" s="39">
        <f>$J$3+[41]FormattedData!I80*$J$4+$M$4*$J$5+[41]FormattedData!I80^2*$J$6+$M$5*$J$7</f>
        <v>55.431320377213872</v>
      </c>
      <c r="Q40" s="39">
        <f>$J$3+[41]FormattedData!J80*$J$4+$M$4*$J$5+[41]FormattedData!J80^2*$J$6+$M$5*$J$7</f>
        <v>54.659665169293618</v>
      </c>
      <c r="R40" s="39">
        <f>$J$3+[41]FormattedData!K80*$J$4+$M$4*$J$5+[41]FormattedData!K80^2*$J$6+$M$5*$J$7</f>
        <v>55.943855098287131</v>
      </c>
      <c r="S40" s="39">
        <f>$J$3+[41]FormattedData!L80*$J$4+$M$4*$J$5+[41]FormattedData!L80^2*$J$6+$M$5*$J$7</f>
        <v>54.573714359057277</v>
      </c>
      <c r="T40" s="39">
        <f>$J$3+[41]FormattedData!M80*$J$4+$M$4*$J$5+[41]FormattedData!M80^2*$J$6+$M$5*$J$7</f>
        <v>56.539889054396752</v>
      </c>
      <c r="U40" s="39">
        <f>$J$3+[41]FormattedData!N80*$J$4+$M$4*$J$5+[41]FormattedData!N80^2*$J$6+$M$5*$J$7</f>
        <v>54.831439984152539</v>
      </c>
      <c r="V40" s="39">
        <f>$J$3+[41]FormattedData!O80*$J$4+$M$4*$J$5+[41]FormattedData!O80^2*$J$6+$M$5*$J$7</f>
        <v>53.884586209800943</v>
      </c>
      <c r="W40" s="38">
        <f>AVERAGE(K40:V40)</f>
        <v>55.086724601182276</v>
      </c>
      <c r="X40" s="37">
        <f>STDEV(K40:V40)/SQRT(COUNT(K40:V40))</f>
        <v>0.25512100232565615</v>
      </c>
      <c r="Y40" s="36">
        <f>MIN(K40:V40)</f>
        <v>53.798254982723222</v>
      </c>
      <c r="Z40" s="35">
        <f>QUARTILE(K40:V40,1)</f>
        <v>54.552216089363711</v>
      </c>
      <c r="AA40" s="36">
        <f>MEDIAN(K40:V40)</f>
        <v>54.874351986463815</v>
      </c>
      <c r="AB40" s="35">
        <f>QUARTILE(K40:V40,3)</f>
        <v>55.943855098287131</v>
      </c>
      <c r="AC40" s="35">
        <f>MAX(K40:V40)</f>
        <v>56.539889054396752</v>
      </c>
      <c r="AD40" s="35">
        <f>SKEW(K40:V40)</f>
        <v>0.13912651692968372</v>
      </c>
      <c r="AE40" s="35">
        <f>KURT(K40:V40)</f>
        <v>-1.0827945138833961</v>
      </c>
    </row>
    <row r="41" spans="2:31" x14ac:dyDescent="0.2">
      <c r="B41" s="34">
        <f>[41]FormattedData!A78</f>
        <v>408</v>
      </c>
      <c r="C41" s="34" t="str">
        <f>VLOOKUP($B41,[41]TrtCodes!$B$11:I121,2)</f>
        <v>NTL</v>
      </c>
      <c r="D41" s="34">
        <f>VLOOKUP($B41,[41]TrtCodes!$B$11:J121,3)</f>
        <v>10</v>
      </c>
      <c r="E41" s="34">
        <f>VLOOKUP($B41,[41]TrtCodes!$B$11:K121,4)</f>
        <v>2</v>
      </c>
      <c r="F41" s="34">
        <f>VLOOKUP($B41,[41]TrtCodes!$B$11:L121,5)</f>
        <v>2</v>
      </c>
      <c r="G41" s="34">
        <f>VLOOKUP($B41,[41]TrtCodes!$B$11:M121,6)</f>
        <v>1</v>
      </c>
      <c r="H41" s="34">
        <f>VLOOKUP($B41,[41]TrtCodes!$B$11:N121,7)</f>
        <v>4</v>
      </c>
      <c r="I41" s="34">
        <f>[41]FormattedData!B78</f>
        <v>1</v>
      </c>
      <c r="J41" s="37">
        <f>[41]FormattedData!C78</f>
        <v>13.613</v>
      </c>
      <c r="K41" s="39">
        <f>$J$3+[41]FormattedData!D78*$J$4+$M$4*$J$5+[41]FormattedData!D78^2*$J$6+$M$5*$J$7</f>
        <v>55.773179265414441</v>
      </c>
      <c r="L41" s="39">
        <f>$J$3+[41]FormattedData!E78*$J$4+$M$4*$J$5+[41]FormattedData!E78^2*$J$6+$M$5*$J$7</f>
        <v>54.91726398877509</v>
      </c>
      <c r="M41" s="39">
        <f>$J$3+[41]FormattedData!F78*$J$4+$M$4*$J$5+[41]FormattedData!F78^2*$J$6+$M$5*$J$7</f>
        <v>51.10102174849974</v>
      </c>
      <c r="N41" s="39">
        <f>$J$3+[41]FormattedData!G78*$J$4+$M$4*$J$5+[41]FormattedData!G78^2*$J$6+$M$5*$J$7</f>
        <v>56.114361857008113</v>
      </c>
      <c r="O41" s="39">
        <f>$J$3+[41]FormattedData!H78*$J$4+$M$4*$J$5+[41]FormattedData!H78^2*$J$6+$M$5*$J$7</f>
        <v>54.315608317120628</v>
      </c>
      <c r="P41" s="39">
        <f>$J$3+[41]FormattedData!I78*$J$4+$M$4*$J$5+[41]FormattedData!I78^2*$J$6+$M$5*$J$7</f>
        <v>55.943855098287131</v>
      </c>
      <c r="Q41" s="39">
        <f>$J$3+[41]FormattedData!J78*$J$4+$M$4*$J$5+[41]FormattedData!J78^2*$J$6+$M$5*$J$7</f>
        <v>53.192752874117026</v>
      </c>
      <c r="R41" s="39">
        <f>$J$3+[41]FormattedData!K78*$J$4+$M$4*$J$5+[41]FormattedData!K78^2*$J$6+$M$5*$J$7</f>
        <v>56.029129611916595</v>
      </c>
      <c r="S41" s="39">
        <f>$J$3+[41]FormattedData!L78*$J$4+$M$4*$J$5+[41]FormattedData!L78^2*$J$6+$M$5*$J$7</f>
        <v>53.01937185481674</v>
      </c>
      <c r="T41" s="39">
        <f>$J$3+[41]FormattedData!M78*$J$4+$M$4*$J$5+[41]FormattedData!M78^2*$J$6+$M$5*$J$7</f>
        <v>56.624867688260686</v>
      </c>
      <c r="U41" s="39">
        <f>$J$3+[41]FormattedData!N78*$J$4+$M$4*$J$5+[41]FormattedData!N78^2*$J$6+$M$5*$J$7</f>
        <v>52.58517960715222</v>
      </c>
      <c r="V41" s="39">
        <f>$J$3+[41]FormattedData!O78*$J$4+$M$4*$J$5+[41]FormattedData!O78^2*$J$6+$M$5*$J$7</f>
        <v>51.975535181828789</v>
      </c>
      <c r="W41" s="38">
        <f>AVERAGE(K41:V41)</f>
        <v>54.29934392443311</v>
      </c>
      <c r="X41" s="37">
        <f>STDEV(K41:V41)/SQRT(COUNT(K41:V41))</f>
        <v>0.53924603732341425</v>
      </c>
      <c r="Y41" s="36">
        <f>MIN(K41:V41)</f>
        <v>51.10102174849974</v>
      </c>
      <c r="Z41" s="35">
        <f>QUARTILE(K41:V41,1)</f>
        <v>52.910823792900608</v>
      </c>
      <c r="AA41" s="36">
        <f>MEDIAN(K41:V41)</f>
        <v>54.616436152947855</v>
      </c>
      <c r="AB41" s="35">
        <f>QUARTILE(K41:V41,3)</f>
        <v>55.965173726694495</v>
      </c>
      <c r="AC41" s="35">
        <f>MAX(K41:V41)</f>
        <v>56.624867688260686</v>
      </c>
      <c r="AD41" s="35">
        <f>SKEW(K41:V41)</f>
        <v>-0.37050123008299285</v>
      </c>
      <c r="AE41" s="35">
        <f>KURT(K41:V41)</f>
        <v>-1.3435166156590488</v>
      </c>
    </row>
    <row r="42" spans="2:31" x14ac:dyDescent="0.2">
      <c r="B42" s="50">
        <f>[41]FormattedData!A60</f>
        <v>901</v>
      </c>
      <c r="C42" s="50" t="str">
        <f>VLOOKUP($B42,[41]TrtCodes!$B$11:I103,2)</f>
        <v>WS</v>
      </c>
      <c r="D42" s="50">
        <f>VLOOKUP($B42,[41]TrtCodes!$B$11:J103,3)</f>
        <v>32</v>
      </c>
      <c r="E42" s="50">
        <f>VLOOKUP($B42,[41]TrtCodes!$B$11:K103,4)</f>
        <v>9</v>
      </c>
      <c r="F42" s="50">
        <f>VLOOKUP($B42,[41]TrtCodes!$B$11:L103,5)</f>
        <v>0</v>
      </c>
      <c r="G42" s="50">
        <f>VLOOKUP($B42,[41]TrtCodes!$B$11:M103,6)</f>
        <v>1</v>
      </c>
      <c r="H42" s="50">
        <f>VLOOKUP($B42,[41]TrtCodes!$B$11:N103,7)</f>
        <v>1</v>
      </c>
      <c r="I42" s="50">
        <f>[41]FormattedData!B60</f>
        <v>1</v>
      </c>
      <c r="J42" s="48">
        <f>[41]FormattedData!C60</f>
        <v>13.472</v>
      </c>
      <c r="K42" s="47">
        <f>$J$3+[41]FormattedData!D60*$J$4+$M$4*$J$5+[41]FormattedData!D60^2*$J$6+$M$5*$J$7</f>
        <v>36.345018858112375</v>
      </c>
      <c r="L42" s="47">
        <f>$J$3+[41]FormattedData!E60*$J$4+$M$4*$J$5+[41]FormattedData!E60^2*$J$6+$M$5*$J$7</f>
        <v>36.250487534676012</v>
      </c>
      <c r="M42" s="47">
        <f>$J$3+[41]FormattedData!F60*$J$4+$M$4*$J$5+[41]FormattedData!F60^2*$J$6+$M$5*$J$7</f>
        <v>36.250487534676012</v>
      </c>
      <c r="N42" s="47">
        <f>$J$3+[41]FormattedData!G60*$J$4+$M$4*$J$5+[41]FormattedData!G60^2*$J$6+$M$5*$J$7</f>
        <v>36.155913942701709</v>
      </c>
      <c r="O42" s="47">
        <f>$J$3+[41]FormattedData!H60*$J$4+$M$4*$J$5+[41]FormattedData!H60^2*$J$6+$M$5*$J$7</f>
        <v>35.966639953139307</v>
      </c>
      <c r="P42" s="47">
        <f>$J$3+[41]FormattedData!I60*$J$4+$M$4*$J$5+[41]FormattedData!I60^2*$J$6+$M$5*$J$7</f>
        <v>35.492715279819514</v>
      </c>
      <c r="Q42" s="47">
        <f>$J$3+[41]FormattedData!J60*$J$4+$M$4*$J$5+[41]FormattedData!J60^2*$J$6+$M$5*$J$7</f>
        <v>35.397803539541762</v>
      </c>
      <c r="R42" s="47">
        <f>$J$3+[41]FormattedData!K60*$J$4+$M$4*$J$5+[41]FormattedData!K60^2*$J$6+$M$5*$J$7</f>
        <v>36.345018858112375</v>
      </c>
      <c r="S42" s="47">
        <f>$J$3+[41]FormattedData!L60*$J$4+$M$4*$J$5+[41]FormattedData!L60^2*$J$6+$M$5*$J$7</f>
        <v>36.345018858112375</v>
      </c>
      <c r="T42" s="47">
        <f>$J$3+[41]FormattedData!M60*$J$4+$M$4*$J$5+[41]FormattedData!M60^2*$J$6+$M$5*$J$7</f>
        <v>36.628359217193911</v>
      </c>
      <c r="U42" s="47">
        <f>$J$3+[41]FormattedData!N60*$J$4+$M$4*$J$5+[41]FormattedData!N60^2*$J$6+$M$5*$J$7</f>
        <v>36.628359217193911</v>
      </c>
      <c r="V42" s="47">
        <f>$J$3+[41]FormattedData!O60*$J$4+$M$4*$J$5+[41]FormattedData!O60^2*$J$6+$M$5*$J$7</f>
        <v>36.250487534676012</v>
      </c>
      <c r="W42" s="49">
        <f>AVERAGE(K42:V42)</f>
        <v>36.171359193996274</v>
      </c>
      <c r="X42" s="48">
        <f>STDEV(K42:V42)/SQRT(COUNT(K42:V42))</f>
        <v>0.11105722652173948</v>
      </c>
      <c r="Y42" s="47">
        <f>MIN(K42:V42)</f>
        <v>35.397803539541762</v>
      </c>
      <c r="Z42" s="46">
        <f>QUARTILE(K42:V42,1)</f>
        <v>36.10859544531111</v>
      </c>
      <c r="AA42" s="47">
        <f>MEDIAN(K42:V42)</f>
        <v>36.250487534676012</v>
      </c>
      <c r="AB42" s="46">
        <f>QUARTILE(K42:V42,3)</f>
        <v>36.345018858112375</v>
      </c>
      <c r="AC42" s="46">
        <f>MAX(K42:V42)</f>
        <v>36.628359217193911</v>
      </c>
      <c r="AD42" s="46">
        <f>SKEW(K42:V42)</f>
        <v>-1.1034498799127632</v>
      </c>
      <c r="AE42" s="46">
        <f>KURT(K42:V42)</f>
        <v>0.72890267046939172</v>
      </c>
    </row>
    <row r="43" spans="2:31" x14ac:dyDescent="0.2">
      <c r="B43" s="34">
        <f>[41]FormattedData!A58</f>
        <v>902</v>
      </c>
      <c r="C43" s="34" t="str">
        <f>VLOOKUP($B43,[41]TrtCodes!$B$11:I101,2)</f>
        <v>Late</v>
      </c>
      <c r="D43" s="34">
        <f>VLOOKUP($B43,[41]TrtCodes!$B$11:J101,3)</f>
        <v>22</v>
      </c>
      <c r="E43" s="34">
        <f>VLOOKUP($B43,[41]TrtCodes!$B$11:K101,4)</f>
        <v>4</v>
      </c>
      <c r="F43" s="34">
        <f>VLOOKUP($B43,[41]TrtCodes!$B$11:L101,5)</f>
        <v>2</v>
      </c>
      <c r="G43" s="34">
        <f>VLOOKUP($B43,[41]TrtCodes!$B$11:M101,6)</f>
        <v>2</v>
      </c>
      <c r="H43" s="34">
        <f>VLOOKUP($B43,[41]TrtCodes!$B$11:N101,7)</f>
        <v>1</v>
      </c>
      <c r="I43" s="34">
        <f>[41]FormattedData!B58</f>
        <v>1</v>
      </c>
      <c r="J43" s="37">
        <f>[41]FormattedData!C58</f>
        <v>13.455</v>
      </c>
      <c r="K43" s="39">
        <f>$J$3+[41]FormattedData!D58*$J$4+$M$4*$J$5+[41]FormattedData!D58^2*$J$6+$M$5*$J$7</f>
        <v>55.687777946171202</v>
      </c>
      <c r="L43" s="39">
        <f>$J$3+[41]FormattedData!E58*$J$4+$M$4*$J$5+[41]FormattedData!E58^2*$J$6+$M$5*$J$7</f>
        <v>55.943855098287131</v>
      </c>
      <c r="M43" s="39">
        <f>$J$3+[41]FormattedData!F58*$J$4+$M$4*$J$5+[41]FormattedData!F58^2*$J$6+$M$5*$J$7</f>
        <v>55.00304572485971</v>
      </c>
      <c r="N43" s="39">
        <f>$J$3+[41]FormattedData!G58*$J$4+$M$4*$J$5+[41]FormattedData!G58^2*$J$6+$M$5*$J$7</f>
        <v>56.369804981055097</v>
      </c>
      <c r="O43" s="39">
        <f>$J$3+[41]FormattedData!H58*$J$4+$M$4*$J$5+[41]FormattedData!H58^2*$J$6+$M$5*$J$7</f>
        <v>54.831439984152539</v>
      </c>
      <c r="P43" s="39">
        <f>$J$3+[41]FormattedData!I58*$J$4+$M$4*$J$5+[41]FormattedData!I58^2*$J$6+$M$5*$J$7</f>
        <v>55.088785192406405</v>
      </c>
      <c r="Q43" s="39">
        <f>$J$3+[41]FormattedData!J58*$J$4+$M$4*$J$5+[41]FormattedData!J58^2*$J$6+$M$5*$J$7</f>
        <v>55.431320377213872</v>
      </c>
      <c r="R43" s="39">
        <f>$J$3+[41]FormattedData!K58*$J$4+$M$4*$J$5+[41]FormattedData!K58^2*$J$6+$M$5*$J$7</f>
        <v>56.70980405358668</v>
      </c>
      <c r="S43" s="39">
        <f>$J$3+[41]FormattedData!L58*$J$4+$M$4*$J$5+[41]FormattedData!L58^2*$J$6+$M$5*$J$7</f>
        <v>54.573714359057277</v>
      </c>
      <c r="T43" s="39">
        <f>$J$3+[41]FormattedData!M58*$J$4+$M$4*$J$5+[41]FormattedData!M58^2*$J$6+$M$5*$J$7</f>
        <v>56.029129611916595</v>
      </c>
      <c r="U43" s="39">
        <f>$J$3+[41]FormattedData!N58*$J$4+$M$4*$J$5+[41]FormattedData!N58^2*$J$6+$M$5*$J$7</f>
        <v>54.143326279806558</v>
      </c>
      <c r="V43" s="39">
        <f>$J$3+[41]FormattedData!O58*$J$4+$M$4*$J$5+[41]FormattedData!O58^2*$J$6+$M$5*$J$7</f>
        <v>53.798254982723222</v>
      </c>
      <c r="W43" s="38">
        <f>AVERAGE(K43:V43)</f>
        <v>55.300854882603026</v>
      </c>
      <c r="X43" s="37">
        <f>STDEV(K43:V43)/SQRT(COUNT(K43:V43))</f>
        <v>0.25700463681915581</v>
      </c>
      <c r="Y43" s="36">
        <f>MIN(K43:V43)</f>
        <v>53.798254982723222</v>
      </c>
      <c r="Z43" s="35">
        <f>QUARTILE(K43:V43,1)</f>
        <v>54.767008577878727</v>
      </c>
      <c r="AA43" s="36">
        <f>MEDIAN(K43:V43)</f>
        <v>55.260052784810142</v>
      </c>
      <c r="AB43" s="35">
        <f>QUARTILE(K43:V43,3)</f>
        <v>55.965173726694495</v>
      </c>
      <c r="AC43" s="35">
        <f>MAX(K43:V43)</f>
        <v>56.70980405358668</v>
      </c>
      <c r="AD43" s="35">
        <f>SKEW(K43:V43)</f>
        <v>-0.11389145197586775</v>
      </c>
      <c r="AE43" s="35">
        <f>KURT(K43:V43)</f>
        <v>-0.78462281977043657</v>
      </c>
    </row>
    <row r="44" spans="2:31" x14ac:dyDescent="0.2">
      <c r="B44" s="50">
        <f>[41]FormattedData!A56</f>
        <v>903</v>
      </c>
      <c r="C44" s="50" t="str">
        <f>VLOOKUP($B44,[41]TrtCodes!$B$11:I99,2)</f>
        <v>DS</v>
      </c>
      <c r="D44" s="50">
        <f>VLOOKUP($B44,[41]TrtCodes!$B$11:J99,3)</f>
        <v>31</v>
      </c>
      <c r="E44" s="50">
        <f>VLOOKUP($B44,[41]TrtCodes!$B$11:K99,4)</f>
        <v>8</v>
      </c>
      <c r="F44" s="50">
        <f>VLOOKUP($B44,[41]TrtCodes!$B$11:L99,5)</f>
        <v>0</v>
      </c>
      <c r="G44" s="50">
        <f>VLOOKUP($B44,[41]TrtCodes!$B$11:M99,6)</f>
        <v>1</v>
      </c>
      <c r="H44" s="50">
        <f>VLOOKUP($B44,[41]TrtCodes!$B$11:N99,7)</f>
        <v>1</v>
      </c>
      <c r="I44" s="50">
        <f>[41]FormattedData!B56</f>
        <v>1</v>
      </c>
      <c r="J44" s="48">
        <f>[41]FormattedData!C56</f>
        <v>13.446999999999999</v>
      </c>
      <c r="K44" s="47">
        <f>$J$3+[41]FormattedData!D56*$J$4+$M$4*$J$5+[41]FormattedData!D56^2*$J$6+$M$5*$J$7</f>
        <v>60.902729934024627</v>
      </c>
      <c r="L44" s="47">
        <f>$J$3+[41]FormattedData!E56*$J$4+$M$4*$J$5+[41]FormattedData!E56^2*$J$6+$M$5*$J$7</f>
        <v>60.98551060391614</v>
      </c>
      <c r="M44" s="47">
        <f>$J$3+[41]FormattedData!F56*$J$4+$M$4*$J$5+[41]FormattedData!F56^2*$J$6+$M$5*$J$7</f>
        <v>61.233599002363086</v>
      </c>
      <c r="N44" s="47">
        <f>$J$3+[41]FormattedData!G56*$J$4+$M$4*$J$5+[41]FormattedData!G56^2*$J$6+$M$5*$J$7</f>
        <v>61.233599002363086</v>
      </c>
      <c r="O44" s="47">
        <f>$J$3+[41]FormattedData!H56*$J$4+$M$4*$J$5+[41]FormattedData!H56^2*$J$6+$M$5*$J$7</f>
        <v>61.06824900526972</v>
      </c>
      <c r="P44" s="47">
        <f>$J$3+[41]FormattedData!I56*$J$4+$M$4*$J$5+[41]FormattedData!I56^2*$J$6+$M$5*$J$7</f>
        <v>61.150945138085383</v>
      </c>
      <c r="Q44" s="47">
        <f>$J$3+[41]FormattedData!J56*$J$4+$M$4*$J$5+[41]FormattedData!J56^2*$J$6+$M$5*$J$7</f>
        <v>61.316210598102884</v>
      </c>
      <c r="R44" s="47">
        <f>$J$3+[41]FormattedData!K56*$J$4+$M$4*$J$5+[41]FormattedData!K56^2*$J$6+$M$5*$J$7</f>
        <v>61.481306983968672</v>
      </c>
      <c r="S44" s="47">
        <f>$J$3+[41]FormattedData!L56*$J$4+$M$4*$J$5+[41]FormattedData!L56^2*$J$6+$M$5*$J$7</f>
        <v>61.72863454873287</v>
      </c>
      <c r="T44" s="47">
        <f>$J$3+[41]FormattedData!M56*$J$4+$M$4*$J$5+[41]FormattedData!M56^2*$J$6+$M$5*$J$7</f>
        <v>62.057812875554085</v>
      </c>
      <c r="U44" s="47">
        <f>$J$3+[41]FormattedData!N56*$J$4+$M$4*$J$5+[41]FormattedData!N56^2*$J$6+$M$5*$J$7</f>
        <v>61.72863454873287</v>
      </c>
      <c r="V44" s="47">
        <f>$J$3+[41]FormattedData!O56*$J$4+$M$4*$J$5+[41]FormattedData!O56^2*$J$6+$M$5*$J$7</f>
        <v>61.893308249219345</v>
      </c>
      <c r="W44" s="49">
        <f>AVERAGE(K44:V44)</f>
        <v>61.398378374194401</v>
      </c>
      <c r="X44" s="48">
        <f>STDEV(K44:V44)/SQRT(COUNT(K44:V44))</f>
        <v>0.10843992483837415</v>
      </c>
      <c r="Y44" s="47">
        <f>MIN(K44:V44)</f>
        <v>60.902729934024627</v>
      </c>
      <c r="Z44" s="46">
        <f>QUARTILE(K44:V44,1)</f>
        <v>61.130271104881466</v>
      </c>
      <c r="AA44" s="47">
        <f>MEDIAN(K44:V44)</f>
        <v>61.274904800232989</v>
      </c>
      <c r="AB44" s="46">
        <f>QUARTILE(K44:V44,3)</f>
        <v>61.72863454873287</v>
      </c>
      <c r="AC44" s="46">
        <f>MAX(K44:V44)</f>
        <v>62.057812875554085</v>
      </c>
      <c r="AD44" s="46">
        <f>SKEW(K44:V44)</f>
        <v>0.4688829455947765</v>
      </c>
      <c r="AE44" s="46">
        <f>KURT(K44:V44)</f>
        <v>-1.0301836076127344</v>
      </c>
    </row>
    <row r="45" spans="2:31" x14ac:dyDescent="0.2">
      <c r="B45" s="34">
        <f>[41]FormattedData!A54</f>
        <v>904</v>
      </c>
      <c r="C45" s="34" t="str">
        <f>VLOOKUP($B45,[41]TrtCodes!$B$11:I97,2)</f>
        <v>Early</v>
      </c>
      <c r="D45" s="34">
        <f>VLOOKUP($B45,[41]TrtCodes!$B$11:J97,3)</f>
        <v>21</v>
      </c>
      <c r="E45" s="34">
        <f>VLOOKUP($B45,[41]TrtCodes!$B$11:K97,4)</f>
        <v>3</v>
      </c>
      <c r="F45" s="34">
        <f>VLOOKUP($B45,[41]TrtCodes!$B$11:L97,5)</f>
        <v>2</v>
      </c>
      <c r="G45" s="34">
        <f>VLOOKUP($B45,[41]TrtCodes!$B$11:M97,6)</f>
        <v>2</v>
      </c>
      <c r="H45" s="34">
        <f>VLOOKUP($B45,[41]TrtCodes!$B$11:N97,7)</f>
        <v>1</v>
      </c>
      <c r="I45" s="34">
        <f>[41]FormattedData!B54</f>
        <v>1</v>
      </c>
      <c r="J45" s="37">
        <f>[41]FormattedData!C54</f>
        <v>13.430999999999999</v>
      </c>
      <c r="K45" s="39">
        <f>$J$3+[41]FormattedData!D54*$J$4+$M$4*$J$5+[41]FormattedData!D54^2*$J$6+$M$5*$J$7</f>
        <v>55.687777946171202</v>
      </c>
      <c r="L45" s="39">
        <f>$J$3+[41]FormattedData!E54*$J$4+$M$4*$J$5+[41]FormattedData!E54^2*$J$6+$M$5*$J$7</f>
        <v>49.869601827466624</v>
      </c>
      <c r="M45" s="39">
        <f>$J$3+[41]FormattedData!F54*$J$4+$M$4*$J$5+[41]FormattedData!F54^2*$J$6+$M$5*$J$7</f>
        <v>54.487721280282997</v>
      </c>
      <c r="N45" s="39">
        <f>$J$3+[41]FormattedData!G54*$J$4+$M$4*$J$5+[41]FormattedData!G54^2*$J$6+$M$5*$J$7</f>
        <v>54.831439984152539</v>
      </c>
      <c r="O45" s="39">
        <f>$J$3+[41]FormattedData!H54*$J$4+$M$4*$J$5+[41]FormattedData!H54^2*$J$6+$M$5*$J$7</f>
        <v>51.800970643466435</v>
      </c>
      <c r="P45" s="39">
        <f>$J$3+[41]FormattedData!I54*$J$4+$M$4*$J$5+[41]FormattedData!I54^2*$J$6+$M$5*$J$7</f>
        <v>55.431320377213872</v>
      </c>
      <c r="Q45" s="39">
        <f>$J$3+[41]FormattedData!J54*$J$4+$M$4*$J$5+[41]FormattedData!J54^2*$J$6+$M$5*$J$7</f>
        <v>50.486347367162487</v>
      </c>
      <c r="R45" s="39">
        <f>$J$3+[41]FormattedData!K54*$J$4+$M$4*$J$5+[41]FormattedData!K54^2*$J$6+$M$5*$J$7</f>
        <v>55.687777946171202</v>
      </c>
      <c r="S45" s="39">
        <f>$J$3+[41]FormattedData!L54*$J$4+$M$4*$J$5+[41]FormattedData!L54^2*$J$6+$M$5*$J$7</f>
        <v>48.274174304357025</v>
      </c>
      <c r="T45" s="39">
        <f>$J$3+[41]FormattedData!M54*$J$4+$M$4*$J$5+[41]FormattedData!M54^2*$J$6+$M$5*$J$7</f>
        <v>54.659665169293618</v>
      </c>
      <c r="U45" s="39">
        <f>$J$3+[41]FormattedData!N54*$J$4+$M$4*$J$5+[41]FormattedData!N54^2*$J$6+$M$5*$J$7</f>
        <v>51.975535181828789</v>
      </c>
      <c r="V45" s="39">
        <f>$J$3+[41]FormattedData!O54*$J$4+$M$4*$J$5+[41]FormattedData!O54^2*$J$6+$M$5*$J$7</f>
        <v>55.345749983818905</v>
      </c>
      <c r="W45" s="38">
        <f>AVERAGE(K45:V45)</f>
        <v>53.21150683428214</v>
      </c>
      <c r="X45" s="37">
        <f>STDEV(K45:V45)/SQRT(COUNT(K45:V45))</f>
        <v>0.75169397831946483</v>
      </c>
      <c r="Y45" s="36">
        <f>MIN(K45:V45)</f>
        <v>48.274174304357025</v>
      </c>
      <c r="Z45" s="35">
        <f>QUARTILE(K45:V45,1)</f>
        <v>51.472314824390452</v>
      </c>
      <c r="AA45" s="36">
        <f>MEDIAN(K45:V45)</f>
        <v>54.573693224788308</v>
      </c>
      <c r="AB45" s="35">
        <f>QUARTILE(K45:V45,3)</f>
        <v>55.367142582167645</v>
      </c>
      <c r="AC45" s="35">
        <f>MAX(K45:V45)</f>
        <v>55.687777946171202</v>
      </c>
      <c r="AD45" s="35">
        <f>SKEW(K45:V45)</f>
        <v>-0.75515460429860537</v>
      </c>
      <c r="AE45" s="35">
        <f>KURT(K45:V45)</f>
        <v>-0.89866954130059984</v>
      </c>
    </row>
    <row r="46" spans="2:31" x14ac:dyDescent="0.2">
      <c r="B46" s="50">
        <f>[41]FormattedData!A52</f>
        <v>905</v>
      </c>
      <c r="C46" s="50" t="str">
        <f>VLOOKUP($B46,[41]TrtCodes!$B$11:I95,2)</f>
        <v>WS</v>
      </c>
      <c r="D46" s="50">
        <f>VLOOKUP($B46,[41]TrtCodes!$B$11:J95,3)</f>
        <v>32</v>
      </c>
      <c r="E46" s="50">
        <f>VLOOKUP($B46,[41]TrtCodes!$B$11:K95,4)</f>
        <v>9</v>
      </c>
      <c r="F46" s="50">
        <f>VLOOKUP($B46,[41]TrtCodes!$B$11:L95,5)</f>
        <v>0</v>
      </c>
      <c r="G46" s="50">
        <f>VLOOKUP($B46,[41]TrtCodes!$B$11:M95,6)</f>
        <v>1</v>
      </c>
      <c r="H46" s="50">
        <f>VLOOKUP($B46,[41]TrtCodes!$B$11:N95,7)</f>
        <v>2</v>
      </c>
      <c r="I46" s="50">
        <f>[41]FormattedData!B52</f>
        <v>1</v>
      </c>
      <c r="J46" s="48">
        <f>[41]FormattedData!C52</f>
        <v>13.422000000000001</v>
      </c>
      <c r="K46" s="47">
        <f>$J$3+[41]FormattedData!D52*$J$4+$M$4*$J$5+[41]FormattedData!D52^2*$J$6+$M$5*$J$7</f>
        <v>38.507573180679934</v>
      </c>
      <c r="L46" s="47">
        <f>$J$3+[41]FormattedData!E52*$J$4+$M$4*$J$5+[41]FormattedData!E52^2*$J$6+$M$5*$J$7</f>
        <v>38.507573180679934</v>
      </c>
      <c r="M46" s="47">
        <f>$J$3+[41]FormattedData!F52*$J$4+$M$4*$J$5+[41]FormattedData!F52^2*$J$6+$M$5*$J$7</f>
        <v>38.133082981196523</v>
      </c>
      <c r="N46" s="47">
        <f>$J$3+[41]FormattedData!G52*$J$4+$M$4*$J$5+[41]FormattedData!G52^2*$J$6+$M$5*$J$7</f>
        <v>38.507573180679934</v>
      </c>
      <c r="O46" s="47">
        <f>$J$3+[41]FormattedData!H52*$J$4+$M$4*$J$5+[41]FormattedData!H52^2*$J$6+$M$5*$J$7</f>
        <v>38.881387083556433</v>
      </c>
      <c r="P46" s="47">
        <f>$J$3+[41]FormattedData!I52*$J$4+$M$4*$J$5+[41]FormattedData!I52^2*$J$6+$M$5*$J$7</f>
        <v>38.694564669194044</v>
      </c>
      <c r="Q46" s="47">
        <f>$J$3+[41]FormattedData!J52*$J$4+$M$4*$J$5+[41]FormattedData!J52^2*$J$6+$M$5*$J$7</f>
        <v>38.41401403361597</v>
      </c>
      <c r="R46" s="47">
        <f>$J$3+[41]FormattedData!K52*$J$4+$M$4*$J$5+[41]FormattedData!K52^2*$J$6+$M$5*$J$7</f>
        <v>38.41401403361597</v>
      </c>
      <c r="S46" s="47">
        <f>$J$3+[41]FormattedData!L52*$J$4+$M$4*$J$5+[41]FormattedData!L52^2*$J$6+$M$5*$J$7</f>
        <v>38.694564669194044</v>
      </c>
      <c r="T46" s="47">
        <f>$J$3+[41]FormattedData!M52*$J$4+$M$4*$J$5+[41]FormattedData!M52^2*$J$6+$M$5*$J$7</f>
        <v>38.507573180679934</v>
      </c>
      <c r="U46" s="47">
        <f>$J$3+[41]FormattedData!N52*$J$4+$M$4*$J$5+[41]FormattedData!N52^2*$J$6+$M$5*$J$7</f>
        <v>38.41401403361597</v>
      </c>
      <c r="V46" s="47">
        <f>$J$3+[41]FormattedData!O52*$J$4+$M$4*$J$5+[41]FormattedData!O52^2*$J$6+$M$5*$J$7</f>
        <v>38.787997010644204</v>
      </c>
      <c r="W46" s="49">
        <f>AVERAGE(K46:V46)</f>
        <v>38.538660936446071</v>
      </c>
      <c r="X46" s="48">
        <f>STDEV(K46:V46)/SQRT(COUNT(K46:V46))</f>
        <v>5.7945341326668766E-2</v>
      </c>
      <c r="Y46" s="47">
        <f>MIN(K46:V46)</f>
        <v>38.133082981196523</v>
      </c>
      <c r="Z46" s="46">
        <f>QUARTILE(K46:V46,1)</f>
        <v>38.41401403361597</v>
      </c>
      <c r="AA46" s="47">
        <f>MEDIAN(K46:V46)</f>
        <v>38.507573180679934</v>
      </c>
      <c r="AB46" s="46">
        <f>QUARTILE(K46:V46,3)</f>
        <v>38.694564669194044</v>
      </c>
      <c r="AC46" s="46">
        <f>MAX(K46:V46)</f>
        <v>38.881387083556433</v>
      </c>
      <c r="AD46" s="46">
        <f>SKEW(K46:V46)</f>
        <v>-0.12555442048780208</v>
      </c>
      <c r="AE46" s="46">
        <f>KURT(K46:V46)</f>
        <v>0.49266985382694362</v>
      </c>
    </row>
    <row r="47" spans="2:31" x14ac:dyDescent="0.2">
      <c r="B47" s="34">
        <f>[41]FormattedData!A50</f>
        <v>906</v>
      </c>
      <c r="C47" s="34" t="str">
        <f>VLOOKUP($B47,[41]TrtCodes!$B$11:I93,2)</f>
        <v>Late</v>
      </c>
      <c r="D47" s="34">
        <f>VLOOKUP($B47,[41]TrtCodes!$B$11:J93,3)</f>
        <v>22</v>
      </c>
      <c r="E47" s="34">
        <f>VLOOKUP($B47,[41]TrtCodes!$B$11:K93,4)</f>
        <v>4</v>
      </c>
      <c r="F47" s="34">
        <f>VLOOKUP($B47,[41]TrtCodes!$B$11:L93,5)</f>
        <v>2</v>
      </c>
      <c r="G47" s="34">
        <f>VLOOKUP($B47,[41]TrtCodes!$B$11:M93,6)</f>
        <v>2</v>
      </c>
      <c r="H47" s="34">
        <f>VLOOKUP($B47,[41]TrtCodes!$B$11:N93,7)</f>
        <v>2</v>
      </c>
      <c r="I47" s="34">
        <f>[41]FormattedData!B50</f>
        <v>1</v>
      </c>
      <c r="J47" s="37">
        <f>[41]FormattedData!C50</f>
        <v>13.406000000000001</v>
      </c>
      <c r="K47" s="39">
        <f>$J$3+[41]FormattedData!D50*$J$4+$M$4*$J$5+[41]FormattedData!D50^2*$J$6+$M$5*$J$7</f>
        <v>55.00304572485971</v>
      </c>
      <c r="L47" s="39">
        <f>$J$3+[41]FormattedData!E50*$J$4+$M$4*$J$5+[41]FormattedData!E50^2*$J$6+$M$5*$J$7</f>
        <v>52.845821761364732</v>
      </c>
      <c r="M47" s="39">
        <f>$J$3+[41]FormattedData!F50*$J$4+$M$4*$J$5+[41]FormattedData!F50^2*$J$6+$M$5*$J$7</f>
        <v>53.01937185481674</v>
      </c>
      <c r="N47" s="39">
        <f>$J$3+[41]FormattedData!G50*$J$4+$M$4*$J$5+[41]FormattedData!G50^2*$J$6+$M$5*$J$7</f>
        <v>55.431320377213872</v>
      </c>
      <c r="O47" s="39">
        <f>$J$3+[41]FormattedData!H50*$J$4+$M$4*$J$5+[41]FormattedData!H50^2*$J$6+$M$5*$J$7</f>
        <v>53.711881487107561</v>
      </c>
      <c r="P47" s="39">
        <f>$J$3+[41]FormattedData!I50*$J$4+$M$4*$J$5+[41]FormattedData!I50^2*$J$6+$M$5*$J$7</f>
        <v>55.516848502070907</v>
      </c>
      <c r="Q47" s="39">
        <f>$J$3+[41]FormattedData!J50*$J$4+$M$4*$J$5+[41]FormattedData!J50^2*$J$6+$M$5*$J$7</f>
        <v>54.401685932970786</v>
      </c>
      <c r="R47" s="39">
        <f>$J$3+[41]FormattedData!K50*$J$4+$M$4*$J$5+[41]FormattedData!K50^2*$J$6+$M$5*$J$7</f>
        <v>55.687777946171202</v>
      </c>
      <c r="S47" s="39">
        <f>$J$3+[41]FormattedData!L50*$J$4+$M$4*$J$5+[41]FormattedData!L50^2*$J$6+$M$5*$J$7</f>
        <v>54.143326279806558</v>
      </c>
      <c r="T47" s="39">
        <f>$J$3+[41]FormattedData!M50*$J$4+$M$4*$J$5+[41]FormattedData!M50^2*$J$6+$M$5*$J$7</f>
        <v>55.174482391415175</v>
      </c>
      <c r="U47" s="39">
        <f>$J$3+[41]FormattedData!N50*$J$4+$M$4*$J$5+[41]FormattedData!N50^2*$J$6+$M$5*$J$7</f>
        <v>55.602334358390024</v>
      </c>
      <c r="V47" s="39">
        <f>$J$3+[41]FormattedData!O50*$J$4+$M$4*$J$5+[41]FormattedData!O50^2*$J$6+$M$5*$J$7</f>
        <v>52.845821761364732</v>
      </c>
      <c r="W47" s="38">
        <f>AVERAGE(K47:V47)</f>
        <v>54.448643198129332</v>
      </c>
      <c r="X47" s="37">
        <f>STDEV(K47:V47)/SQRT(COUNT(K47:V47))</f>
        <v>0.32129603592087325</v>
      </c>
      <c r="Y47" s="36">
        <f>MIN(K47:V47)</f>
        <v>52.845821761364732</v>
      </c>
      <c r="Z47" s="35">
        <f>QUARTILE(K47:V47,1)</f>
        <v>53.53875407903486</v>
      </c>
      <c r="AA47" s="36">
        <f>MEDIAN(K47:V47)</f>
        <v>54.702365828915248</v>
      </c>
      <c r="AB47" s="35">
        <f>QUARTILE(K47:V47,3)</f>
        <v>55.452702408428131</v>
      </c>
      <c r="AC47" s="35">
        <f>MAX(K47:V47)</f>
        <v>55.687777946171202</v>
      </c>
      <c r="AD47" s="35">
        <f>SKEW(K47:V47)</f>
        <v>-0.42922603951952598</v>
      </c>
      <c r="AE47" s="35">
        <f>KURT(K47:V47)</f>
        <v>-1.5265877917086113</v>
      </c>
    </row>
    <row r="48" spans="2:31" x14ac:dyDescent="0.2">
      <c r="B48" s="50">
        <f>[41]FormattedData!A48</f>
        <v>907</v>
      </c>
      <c r="C48" s="50" t="str">
        <f>VLOOKUP($B48,[41]TrtCodes!$B$11:I91,2)</f>
        <v>DS</v>
      </c>
      <c r="D48" s="50">
        <f>VLOOKUP($B48,[41]TrtCodes!$B$11:J91,3)</f>
        <v>31</v>
      </c>
      <c r="E48" s="50">
        <f>VLOOKUP($B48,[41]TrtCodes!$B$11:K91,4)</f>
        <v>8</v>
      </c>
      <c r="F48" s="50">
        <f>VLOOKUP($B48,[41]TrtCodes!$B$11:L91,5)</f>
        <v>0</v>
      </c>
      <c r="G48" s="50">
        <f>VLOOKUP($B48,[41]TrtCodes!$B$11:M91,6)</f>
        <v>1</v>
      </c>
      <c r="H48" s="50">
        <f>VLOOKUP($B48,[41]TrtCodes!$B$11:N91,7)</f>
        <v>2</v>
      </c>
      <c r="I48" s="50">
        <f>[41]FormattedData!B48</f>
        <v>1</v>
      </c>
      <c r="J48" s="48">
        <f>[41]FormattedData!C48</f>
        <v>13.396000000000001</v>
      </c>
      <c r="K48" s="47">
        <f>$J$3+[41]FormattedData!D48*$J$4+$M$4*$J$5+[41]FormattedData!D48^2*$J$6+$M$5*$J$7</f>
        <v>60.902729934024627</v>
      </c>
      <c r="L48" s="47">
        <f>$J$3+[41]FormattedData!E48*$J$4+$M$4*$J$5+[41]FormattedData!E48^2*$J$6+$M$5*$J$7</f>
        <v>61.233599002363086</v>
      </c>
      <c r="M48" s="47">
        <f>$J$3+[41]FormattedData!F48*$J$4+$M$4*$J$5+[41]FormattedData!F48^2*$J$6+$M$5*$J$7</f>
        <v>61.150945138085383</v>
      </c>
      <c r="N48" s="47">
        <f>$J$3+[41]FormattedData!G48*$J$4+$M$4*$J$5+[41]FormattedData!G48^2*$J$6+$M$5*$J$7</f>
        <v>61.233599002363086</v>
      </c>
      <c r="O48" s="47">
        <f>$J$3+[41]FormattedData!H48*$J$4+$M$4*$J$5+[41]FormattedData!H48^2*$J$6+$M$5*$J$7</f>
        <v>60.902729934024627</v>
      </c>
      <c r="P48" s="47">
        <f>$J$3+[41]FormattedData!I48*$J$4+$M$4*$J$5+[41]FormattedData!I48^2*$J$6+$M$5*$J$7</f>
        <v>61.316210598102884</v>
      </c>
      <c r="Q48" s="47">
        <f>$J$3+[41]FormattedData!J48*$J$4+$M$4*$J$5+[41]FormattedData!J48^2*$J$6+$M$5*$J$7</f>
        <v>61.81099253324507</v>
      </c>
      <c r="R48" s="47">
        <f>$J$3+[41]FormattedData!K48*$J$4+$M$4*$J$5+[41]FormattedData!K48^2*$J$6+$M$5*$J$7</f>
        <v>61.646234295682724</v>
      </c>
      <c r="S48" s="47">
        <f>$J$3+[41]FormattedData!L48*$J$4+$M$4*$J$5+[41]FormattedData!L48^2*$J$6+$M$5*$J$7</f>
        <v>61.316210598102884</v>
      </c>
      <c r="T48" s="47">
        <f>$J$3+[41]FormattedData!M48*$J$4+$M$4*$J$5+[41]FormattedData!M48^2*$J$6+$M$5*$J$7</f>
        <v>61.150945138085383</v>
      </c>
      <c r="U48" s="47">
        <f>$J$3+[41]FormattedData!N48*$J$4+$M$4*$J$5+[41]FormattedData!N48^2*$J$6+$M$5*$J$7</f>
        <v>62.38631490576843</v>
      </c>
      <c r="V48" s="47">
        <f>$J$3+[41]FormattedData!O48*$J$4+$M$4*$J$5+[41]FormattedData!O48^2*$J$6+$M$5*$J$7</f>
        <v>61.398779925304744</v>
      </c>
      <c r="W48" s="49">
        <f>AVERAGE(K48:V48)</f>
        <v>61.370774250429427</v>
      </c>
      <c r="X48" s="48">
        <f>STDEV(K48:V48)/SQRT(COUNT(K48:V48))</f>
        <v>0.11934628241623059</v>
      </c>
      <c r="Y48" s="47">
        <f>MIN(K48:V48)</f>
        <v>60.902729934024627</v>
      </c>
      <c r="Z48" s="46">
        <f>QUARTILE(K48:V48,1)</f>
        <v>61.150945138085383</v>
      </c>
      <c r="AA48" s="47">
        <f>MEDIAN(K48:V48)</f>
        <v>61.274904800232989</v>
      </c>
      <c r="AB48" s="46">
        <f>QUARTILE(K48:V48,3)</f>
        <v>61.460643517899243</v>
      </c>
      <c r="AC48" s="46">
        <f>MAX(K48:V48)</f>
        <v>62.38631490576843</v>
      </c>
      <c r="AD48" s="46">
        <f>SKEW(K48:V48)</f>
        <v>1.4230498549071637</v>
      </c>
      <c r="AE48" s="46">
        <f>KURT(K48:V48)</f>
        <v>2.4840294908210803</v>
      </c>
    </row>
    <row r="49" spans="2:31" ht="13.5" thickBot="1" x14ac:dyDescent="0.25">
      <c r="B49" s="45">
        <f>[41]FormattedData!A46</f>
        <v>908</v>
      </c>
      <c r="C49" s="45" t="str">
        <f>VLOOKUP($B49,[41]TrtCodes!$B$11:I89,2)</f>
        <v>Early</v>
      </c>
      <c r="D49" s="45">
        <f>VLOOKUP($B49,[41]TrtCodes!$B$11:J89,3)</f>
        <v>21</v>
      </c>
      <c r="E49" s="45">
        <f>VLOOKUP($B49,[41]TrtCodes!$B$11:K89,4)</f>
        <v>3</v>
      </c>
      <c r="F49" s="45">
        <f>VLOOKUP($B49,[41]TrtCodes!$B$11:L89,5)</f>
        <v>2</v>
      </c>
      <c r="G49" s="45">
        <f>VLOOKUP($B49,[41]TrtCodes!$B$11:M89,6)</f>
        <v>2</v>
      </c>
      <c r="H49" s="45">
        <f>VLOOKUP($B49,[41]TrtCodes!$B$11:N89,7)</f>
        <v>2</v>
      </c>
      <c r="I49" s="45">
        <f>[41]FormattedData!B46</f>
        <v>1</v>
      </c>
      <c r="J49" s="42">
        <f>[41]FormattedData!C46</f>
        <v>13.379</v>
      </c>
      <c r="K49" s="44">
        <f>$J$3+[41]FormattedData!D46*$J$4+$M$4*$J$5+[41]FormattedData!D46^2*$J$6+$M$5*$J$7</f>
        <v>55.516848502070907</v>
      </c>
      <c r="L49" s="44">
        <f>$J$3+[41]FormattedData!E46*$J$4+$M$4*$J$5+[41]FormattedData!E46^2*$J$6+$M$5*$J$7</f>
        <v>55.516848502070907</v>
      </c>
      <c r="M49" s="44">
        <f>$J$3+[41]FormattedData!F46*$J$4+$M$4*$J$5+[41]FormattedData!F46^2*$J$6+$M$5*$J$7</f>
        <v>49.869601827466624</v>
      </c>
      <c r="N49" s="44">
        <f>$J$3+[41]FormattedData!G46*$J$4+$M$4*$J$5+[41]FormattedData!G46^2*$J$6+$M$5*$J$7</f>
        <v>54.487721280282997</v>
      </c>
      <c r="O49" s="44">
        <f>$J$3+[41]FormattedData!H46*$J$4+$M$4*$J$5+[41]FormattedData!H46^2*$J$6+$M$5*$J$7</f>
        <v>55.174482391415175</v>
      </c>
      <c r="P49" s="44">
        <f>$J$3+[41]FormattedData!I46*$J$4+$M$4*$J$5+[41]FormattedData!I46^2*$J$6+$M$5*$J$7</f>
        <v>55.773179265414441</v>
      </c>
      <c r="Q49" s="44">
        <f>$J$3+[41]FormattedData!J46*$J$4+$M$4*$J$5+[41]FormattedData!J46^2*$J$6+$M$5*$J$7</f>
        <v>55.943855098287131</v>
      </c>
      <c r="R49" s="44">
        <f>$J$3+[41]FormattedData!K46*$J$4+$M$4*$J$5+[41]FormattedData!K46^2*$J$6+$M$5*$J$7</f>
        <v>56.114361857008113</v>
      </c>
      <c r="S49" s="44">
        <f>$J$3+[41]FormattedData!L46*$J$4+$M$4*$J$5+[41]FormattedData!L46^2*$J$6+$M$5*$J$7</f>
        <v>54.573714359057277</v>
      </c>
      <c r="T49" s="44">
        <f>$J$3+[41]FormattedData!M46*$J$4+$M$4*$J$5+[41]FormattedData!M46^2*$J$6+$M$5*$J$7</f>
        <v>56.539889054396752</v>
      </c>
      <c r="U49" s="44">
        <f>$J$3+[41]FormattedData!N46*$J$4+$M$4*$J$5+[41]FormattedData!N46^2*$J$6+$M$5*$J$7</f>
        <v>54.91726398877509</v>
      </c>
      <c r="V49" s="44">
        <f>$J$3+[41]FormattedData!O46*$J$4+$M$4*$J$5+[41]FormattedData!O46^2*$J$6+$M$5*$J$7</f>
        <v>52.324157036098335</v>
      </c>
      <c r="W49" s="43">
        <f>AVERAGE(K49:V49)</f>
        <v>54.729326930195306</v>
      </c>
      <c r="X49" s="42">
        <f>STDEV(K49:V49)/SQRT(COUNT(K49:V49))</f>
        <v>0.54159826855212401</v>
      </c>
      <c r="Y49" s="41">
        <f>MIN(K49:V49)</f>
        <v>49.869601827466624</v>
      </c>
      <c r="Z49" s="40">
        <f>QUARTILE(K49:V49,1)</f>
        <v>54.552216089363711</v>
      </c>
      <c r="AA49" s="41">
        <f>MEDIAN(K49:V49)</f>
        <v>55.345665446743041</v>
      </c>
      <c r="AB49" s="40">
        <f>QUARTILE(K49:V49,3)</f>
        <v>55.815848223632614</v>
      </c>
      <c r="AC49" s="40">
        <f>MAX(K49:V49)</f>
        <v>56.539889054396752</v>
      </c>
      <c r="AD49" s="40">
        <f>SKEW(K49:V49)</f>
        <v>-1.9180319769678156</v>
      </c>
      <c r="AE49" s="40">
        <f>KURT(K49:V49)</f>
        <v>3.7224257736368429</v>
      </c>
    </row>
    <row r="50" spans="2:31" ht="13.5" thickTop="1" x14ac:dyDescent="0.2">
      <c r="B50" s="34">
        <f>[41]FormattedData!A29</f>
        <v>101</v>
      </c>
      <c r="C50" s="34" t="str">
        <f>VLOOKUP($B50,[41]TrtCodes!$B$11:I72,2)</f>
        <v>FSH</v>
      </c>
      <c r="D50" s="34">
        <f>VLOOKUP($B50,[41]TrtCodes!$B$11:J72,3)</f>
        <v>1</v>
      </c>
      <c r="E50" s="34">
        <f>VLOOKUP($B50,[41]TrtCodes!$B$11:K72,4)</f>
        <v>1</v>
      </c>
      <c r="F50" s="34">
        <f>VLOOKUP($B50,[41]TrtCodes!$B$11:L72,5)</f>
        <v>1</v>
      </c>
      <c r="G50" s="34">
        <f>VLOOKUP($B50,[41]TrtCodes!$B$11:M72,6)</f>
        <v>2</v>
      </c>
      <c r="H50" s="34">
        <f>VLOOKUP($B50,[41]TrtCodes!$B$11:N72,7)</f>
        <v>1</v>
      </c>
      <c r="I50" s="34">
        <f>[41]FormattedData!B29</f>
        <v>2</v>
      </c>
      <c r="J50" s="37">
        <f>[41]FormattedData!C29</f>
        <v>13.227</v>
      </c>
      <c r="K50" s="39">
        <f>$J$3+[41]FormattedData!D29*$J$4+$M$4*$J$5+[41]FormattedData!D29^2*$J$6+$M$5*$J$7</f>
        <v>31.663276209123154</v>
      </c>
      <c r="L50" s="39">
        <f>$J$3+[41]FormattedData!E29*$J$4+$M$4*$J$5+[41]FormattedData!E29^2*$J$6+$M$5*$J$7</f>
        <v>33.394892961446885</v>
      </c>
      <c r="M50" s="39">
        <f>$J$3+[41]FormattedData!F29*$J$4+$M$4*$J$5+[41]FormattedData!F29^2*$J$6+$M$5*$J$7</f>
        <v>34.446361367178035</v>
      </c>
      <c r="N50" s="39">
        <f>$J$3+[41]FormattedData!G29*$J$4+$M$4*$J$5+[41]FormattedData!G29^2*$J$6+$M$5*$J$7</f>
        <v>38.881387083556433</v>
      </c>
      <c r="O50" s="39">
        <f>$J$3+[41]FormattedData!H29*$J$4+$M$4*$J$5+[41]FormattedData!H29^2*$J$6+$M$5*$J$7</f>
        <v>34.064600979170464</v>
      </c>
      <c r="P50" s="39">
        <f>$J$3+[41]FormattedData!I29*$J$4+$M$4*$J$5+[41]FormattedData!I29^2*$J$6+$M$5*$J$7</f>
        <v>32.530796461071233</v>
      </c>
      <c r="Q50" s="39">
        <f>$J$3+[41]FormattedData!J29*$J$4+$M$4*$J$5+[41]FormattedData!J29^2*$J$6+$M$5*$J$7</f>
        <v>39.161303691065541</v>
      </c>
      <c r="R50" s="39">
        <f>$J$3+[41]FormattedData!K29*$J$4+$M$4*$J$5+[41]FormattedData!K29^2*$J$6+$M$5*$J$7</f>
        <v>32.242003460596578</v>
      </c>
      <c r="S50" s="39">
        <f>$J$3+[41]FormattedData!L29*$J$4+$M$4*$J$5+[41]FormattedData!L29^2*$J$6+$M$5*$J$7</f>
        <v>37.099747778237834</v>
      </c>
      <c r="T50" s="39">
        <f>$J$3+[41]FormattedData!M29*$J$4+$M$4*$J$5+[41]FormattedData!M29^2*$J$6+$M$5*$J$7</f>
        <v>32.915262035506387</v>
      </c>
      <c r="U50" s="39">
        <f>$J$3+[41]FormattedData!N29*$J$4+$M$4*$J$5+[41]FormattedData!N29^2*$J$6+$M$5*$J$7</f>
        <v>33.107241211496373</v>
      </c>
      <c r="V50" s="39">
        <f>$J$3+[41]FormattedData!O29*$J$4+$M$4*$J$5+[41]FormattedData!O29^2*$J$6+$M$5*$J$7</f>
        <v>35.777196889425184</v>
      </c>
      <c r="W50" s="38">
        <f>AVERAGE(K50:V50)</f>
        <v>34.607005843989505</v>
      </c>
      <c r="X50" s="37">
        <f>STDEV(K50:V50)/SQRT(COUNT(K50:V50))</f>
        <v>0.73888233329815689</v>
      </c>
      <c r="Y50" s="36">
        <f>MIN(K50:V50)</f>
        <v>31.663276209123154</v>
      </c>
      <c r="Z50" s="35">
        <f>QUARTILE(K50:V50,1)</f>
        <v>32.819145641897599</v>
      </c>
      <c r="AA50" s="36">
        <f>MEDIAN(K50:V50)</f>
        <v>33.729746970308675</v>
      </c>
      <c r="AB50" s="35">
        <f>QUARTILE(K50:V50,3)</f>
        <v>36.107834611628348</v>
      </c>
      <c r="AC50" s="35">
        <f>MAX(K50:V50)</f>
        <v>39.161303691065541</v>
      </c>
      <c r="AD50" s="35">
        <f>SKEW(K50:V50)</f>
        <v>0.85746474070566969</v>
      </c>
      <c r="AE50" s="35">
        <f>KURT(K50:V50)</f>
        <v>-0.56405432926326959</v>
      </c>
    </row>
    <row r="51" spans="2:31" x14ac:dyDescent="0.2">
      <c r="B51" s="34">
        <f>[41]FormattedData!A27</f>
        <v>102</v>
      </c>
      <c r="C51" s="34" t="str">
        <f>VLOOKUP($B51,[41]TrtCodes!$B$11:I70,2)</f>
        <v>FTL</v>
      </c>
      <c r="D51" s="34">
        <f>VLOOKUP($B51,[41]TrtCodes!$B$11:J70,3)</f>
        <v>4</v>
      </c>
      <c r="E51" s="34">
        <f>VLOOKUP($B51,[41]TrtCodes!$B$11:K70,4)</f>
        <v>1</v>
      </c>
      <c r="F51" s="34">
        <f>VLOOKUP($B51,[41]TrtCodes!$B$11:L70,5)</f>
        <v>2</v>
      </c>
      <c r="G51" s="34">
        <f>VLOOKUP($B51,[41]TrtCodes!$B$11:M70,6)</f>
        <v>1</v>
      </c>
      <c r="H51" s="34">
        <f>VLOOKUP($B51,[41]TrtCodes!$B$11:N70,7)</f>
        <v>1</v>
      </c>
      <c r="I51" s="34">
        <f>[41]FormattedData!B27</f>
        <v>2</v>
      </c>
      <c r="J51" s="37">
        <f>[41]FormattedData!C27</f>
        <v>13.211</v>
      </c>
      <c r="K51" s="39">
        <f>$J$3+[41]FormattedData!D27*$J$4+$M$4*$J$5+[41]FormattedData!D27^2*$J$6+$M$5*$J$7</f>
        <v>30.889272835701096</v>
      </c>
      <c r="L51" s="39">
        <f>$J$3+[41]FormattedData!E27*$J$4+$M$4*$J$5+[41]FormattedData!E27^2*$J$6+$M$5*$J$7</f>
        <v>31.566673727328158</v>
      </c>
      <c r="M51" s="39">
        <f>$J$3+[41]FormattedData!F27*$J$4+$M$4*$J$5+[41]FormattedData!F27^2*$J$6+$M$5*$J$7</f>
        <v>34.636987949954225</v>
      </c>
      <c r="N51" s="39">
        <f>$J$3+[41]FormattedData!G27*$J$4+$M$4*$J$5+[41]FormattedData!G27^2*$J$6+$M$5*$J$7</f>
        <v>31.663276209123154</v>
      </c>
      <c r="O51" s="39">
        <f>$J$3+[41]FormattedData!H27*$J$4+$M$4*$J$5+[41]FormattedData!H27^2*$J$6+$M$5*$J$7</f>
        <v>32.723113785364667</v>
      </c>
      <c r="P51" s="39">
        <f>$J$3+[41]FormattedData!I27*$J$4+$M$4*$J$5+[41]FormattedData!I27^2*$J$6+$M$5*$J$7</f>
        <v>34.636987949954225</v>
      </c>
      <c r="Q51" s="39">
        <f>$J$3+[41]FormattedData!J27*$J$4+$M$4*$J$5+[41]FormattedData!J27^2*$J$6+$M$5*$J$7</f>
        <v>33.01127275777035</v>
      </c>
      <c r="R51" s="39">
        <f>$J$3+[41]FormattedData!K27*$J$4+$M$4*$J$5+[41]FormattedData!K27^2*$J$6+$M$5*$J$7</f>
        <v>33.299051313334637</v>
      </c>
      <c r="S51" s="39">
        <f>$J$3+[41]FormattedData!L27*$J$4+$M$4*$J$5+[41]FormattedData!L27^2*$J$6+$M$5*$J$7</f>
        <v>31.663276209123154</v>
      </c>
      <c r="T51" s="39">
        <f>$J$3+[41]FormattedData!M27*$J$4+$M$4*$J$5+[41]FormattedData!M27^2*$J$6+$M$5*$J$7</f>
        <v>29.723195551016286</v>
      </c>
      <c r="U51" s="39">
        <f>$J$3+[41]FormattedData!N27*$J$4+$M$4*$J$5+[41]FormattedData!N27^2*$J$6+$M$5*$J$7</f>
        <v>33.394892961446885</v>
      </c>
      <c r="V51" s="39">
        <f>$J$3+[41]FormattedData!O27*$J$4+$M$4*$J$5+[41]FormattedData!O27^2*$J$6+$M$5*$J$7</f>
        <v>32.242003460596578</v>
      </c>
      <c r="W51" s="38">
        <f>AVERAGE(K51:V51)</f>
        <v>32.454167059226116</v>
      </c>
      <c r="X51" s="37">
        <f>STDEV(K51:V51)/SQRT(COUNT(K51:V51))</f>
        <v>0.42195146926328386</v>
      </c>
      <c r="Y51" s="36">
        <f>MIN(K51:V51)</f>
        <v>29.723195551016286</v>
      </c>
      <c r="Z51" s="35">
        <f>QUARTILE(K51:V51,1)</f>
        <v>31.639125588674403</v>
      </c>
      <c r="AA51" s="36">
        <f>MEDIAN(K51:V51)</f>
        <v>32.482558622980619</v>
      </c>
      <c r="AB51" s="35">
        <f>QUARTILE(K51:V51,3)</f>
        <v>33.323011725362697</v>
      </c>
      <c r="AC51" s="35">
        <f>MAX(K51:V51)</f>
        <v>34.636987949954225</v>
      </c>
      <c r="AD51" s="35">
        <f>SKEW(K51:V51)</f>
        <v>-0.12119557634297204</v>
      </c>
      <c r="AE51" s="35">
        <f>KURT(K51:V51)</f>
        <v>-0.24208709123355288</v>
      </c>
    </row>
    <row r="52" spans="2:31" x14ac:dyDescent="0.2">
      <c r="B52" s="34">
        <f>[41]FormattedData!A25</f>
        <v>103</v>
      </c>
      <c r="C52" s="34" t="str">
        <f>VLOOKUP($B52,[41]TrtCodes!$B$11:I68,2)</f>
        <v>FDH</v>
      </c>
      <c r="D52" s="34">
        <f>VLOOKUP($B52,[41]TrtCodes!$B$11:J68,3)</f>
        <v>5</v>
      </c>
      <c r="E52" s="34">
        <f>VLOOKUP($B52,[41]TrtCodes!$B$11:K68,4)</f>
        <v>1</v>
      </c>
      <c r="F52" s="34">
        <f>VLOOKUP($B52,[41]TrtCodes!$B$11:L68,5)</f>
        <v>3</v>
      </c>
      <c r="G52" s="34">
        <f>VLOOKUP($B52,[41]TrtCodes!$B$11:M68,6)</f>
        <v>2</v>
      </c>
      <c r="H52" s="34">
        <f>VLOOKUP($B52,[41]TrtCodes!$B$11:N68,7)</f>
        <v>1</v>
      </c>
      <c r="I52" s="34">
        <f>[41]FormattedData!B25</f>
        <v>2</v>
      </c>
      <c r="J52" s="37">
        <f>[41]FormattedData!C25</f>
        <v>13.194000000000001</v>
      </c>
      <c r="K52" s="39">
        <f>$J$3+[41]FormattedData!D25*$J$4+$M$4*$J$5+[41]FormattedData!D25^2*$J$6+$M$5*$J$7</f>
        <v>30.986171197261609</v>
      </c>
      <c r="L52" s="39">
        <f>$J$3+[41]FormattedData!E25*$J$4+$M$4*$J$5+[41]FormattedData!E25^2*$J$6+$M$5*$J$7</f>
        <v>32.049263450923831</v>
      </c>
      <c r="M52" s="39">
        <f>$J$3+[41]FormattedData!F25*$J$4+$M$4*$J$5+[41]FormattedData!F25^2*$J$6+$M$5*$J$7</f>
        <v>32.723113785364667</v>
      </c>
      <c r="N52" s="39">
        <f>$J$3+[41]FormattedData!G25*$J$4+$M$4*$J$5+[41]FormattedData!G25^2*$J$6+$M$5*$J$7</f>
        <v>32.819209044704486</v>
      </c>
      <c r="O52" s="39">
        <f>$J$3+[41]FormattedData!H25*$J$4+$M$4*$J$5+[41]FormattedData!H25^2*$J$6+$M$5*$J$7</f>
        <v>34.064600979170464</v>
      </c>
      <c r="P52" s="39">
        <f>$J$3+[41]FormattedData!I25*$J$4+$M$4*$J$5+[41]FormattedData!I25^2*$J$6+$M$5*$J$7</f>
        <v>30.501256704079722</v>
      </c>
      <c r="Q52" s="39">
        <f>$J$3+[41]FormattedData!J25*$J$4+$M$4*$J$5+[41]FormattedData!J25^2*$J$6+$M$5*$J$7</f>
        <v>31.179841114768855</v>
      </c>
      <c r="R52" s="39">
        <f>$J$3+[41]FormattedData!K25*$J$4+$M$4*$J$5+[41]FormattedData!K25^2*$J$6+$M$5*$J$7</f>
        <v>30.889272835701096</v>
      </c>
      <c r="S52" s="39">
        <f>$J$3+[41]FormattedData!L25*$J$4+$M$4*$J$5+[41]FormattedData!L25^2*$J$6+$M$5*$J$7</f>
        <v>31.276612670715572</v>
      </c>
      <c r="T52" s="39">
        <f>$J$3+[41]FormattedData!M25*$J$4+$M$4*$J$5+[41]FormattedData!M25^2*$J$6+$M$5*$J$7</f>
        <v>31.373341958124364</v>
      </c>
      <c r="U52" s="39">
        <f>$J$3+[41]FormattedData!N25*$J$4+$M$4*$J$5+[41]FormattedData!N25^2*$J$6+$M$5*$J$7</f>
        <v>33.873467173939105</v>
      </c>
      <c r="V52" s="39">
        <f>$J$3+[41]FormattedData!O25*$J$4+$M$4*$J$5+[41]FormattedData!O25^2*$J$6+$M$5*$J$7</f>
        <v>31.47002897699522</v>
      </c>
      <c r="W52" s="38">
        <f>AVERAGE(K52:V52)</f>
        <v>31.933848324312411</v>
      </c>
      <c r="X52" s="37">
        <f>STDEV(K52:V52)/SQRT(COUNT(K52:V52))</f>
        <v>0.34038394510748099</v>
      </c>
      <c r="Y52" s="36">
        <f>MIN(K52:V52)</f>
        <v>30.501256704079722</v>
      </c>
      <c r="Z52" s="35">
        <f>QUARTILE(K52:V52,1)</f>
        <v>31.131423635392043</v>
      </c>
      <c r="AA52" s="36">
        <f>MEDIAN(K52:V52)</f>
        <v>31.42168546755979</v>
      </c>
      <c r="AB52" s="35">
        <f>QUARTILE(K52:V52,3)</f>
        <v>32.747137600199622</v>
      </c>
      <c r="AC52" s="35">
        <f>MAX(K52:V52)</f>
        <v>34.064600979170464</v>
      </c>
      <c r="AD52" s="35">
        <f>SKEW(K52:V52)</f>
        <v>0.81441137174776923</v>
      </c>
      <c r="AE52" s="35">
        <f>KURT(K52:V52)</f>
        <v>-0.55801927519085659</v>
      </c>
    </row>
    <row r="53" spans="2:31" x14ac:dyDescent="0.2">
      <c r="B53" s="34">
        <f>[41]FormattedData!A23</f>
        <v>104</v>
      </c>
      <c r="C53" s="34" t="str">
        <f>VLOOKUP($B53,[41]TrtCodes!$B$11:I66,2)</f>
        <v>NTL</v>
      </c>
      <c r="D53" s="34">
        <f>VLOOKUP($B53,[41]TrtCodes!$B$11:J66,3)</f>
        <v>10</v>
      </c>
      <c r="E53" s="34">
        <f>VLOOKUP($B53,[41]TrtCodes!$B$11:K66,4)</f>
        <v>2</v>
      </c>
      <c r="F53" s="34">
        <f>VLOOKUP($B53,[41]TrtCodes!$B$11:L66,5)</f>
        <v>2</v>
      </c>
      <c r="G53" s="34">
        <f>VLOOKUP($B53,[41]TrtCodes!$B$11:M66,6)</f>
        <v>1</v>
      </c>
      <c r="H53" s="34">
        <f>VLOOKUP($B53,[41]TrtCodes!$B$11:N66,7)</f>
        <v>1</v>
      </c>
      <c r="I53" s="34">
        <f>[41]FormattedData!B23</f>
        <v>2</v>
      </c>
      <c r="J53" s="37">
        <f>[41]FormattedData!C23</f>
        <v>13.178000000000001</v>
      </c>
      <c r="K53" s="39">
        <f>$J$3+[41]FormattedData!D23*$J$4+$M$4*$J$5+[41]FormattedData!D23^2*$J$6+$M$5*$J$7</f>
        <v>31.952830043280564</v>
      </c>
      <c r="L53" s="39">
        <f>$J$3+[41]FormattedData!E23*$J$4+$M$4*$J$5+[41]FormattedData!E23^2*$J$6+$M$5*$J$7</f>
        <v>31.373341958124364</v>
      </c>
      <c r="M53" s="39">
        <f>$J$3+[41]FormattedData!F23*$J$4+$M$4*$J$5+[41]FormattedData!F23^2*$J$6+$M$5*$J$7</f>
        <v>31.952830043280564</v>
      </c>
      <c r="N53" s="39">
        <f>$J$3+[41]FormattedData!G23*$J$4+$M$4*$J$5+[41]FormattedData!G23^2*$J$6+$M$5*$J$7</f>
        <v>32.242003460596578</v>
      </c>
      <c r="O53" s="39">
        <f>$J$3+[41]FormattedData!H23*$J$4+$M$4*$J$5+[41]FormattedData!H23^2*$J$6+$M$5*$J$7</f>
        <v>32.915262035506387</v>
      </c>
      <c r="P53" s="39">
        <f>$J$3+[41]FormattedData!I23*$J$4+$M$4*$J$5+[41]FormattedData!I23^2*$J$6+$M$5*$J$7</f>
        <v>31.179841114768855</v>
      </c>
      <c r="Q53" s="39">
        <f>$J$3+[41]FormattedData!J23*$J$4+$M$4*$J$5+[41]FormattedData!J23^2*$J$6+$M$5*$J$7</f>
        <v>32.530796461071233</v>
      </c>
      <c r="R53" s="39">
        <f>$J$3+[41]FormattedData!K23*$J$4+$M$4*$J$5+[41]FormattedData!K23^2*$J$6+$M$5*$J$7</f>
        <v>32.242003460596578</v>
      </c>
      <c r="S53" s="39">
        <f>$J$3+[41]FormattedData!L23*$J$4+$M$4*$J$5+[41]FormattedData!L23^2*$J$6+$M$5*$J$7</f>
        <v>32.626976257486916</v>
      </c>
      <c r="T53" s="39">
        <f>$J$3+[41]FormattedData!M23*$J$4+$M$4*$J$5+[41]FormattedData!M23^2*$J$6+$M$5*$J$7</f>
        <v>31.083027290284189</v>
      </c>
      <c r="U53" s="39">
        <f>$J$3+[41]FormattedData!N23*$J$4+$M$4*$J$5+[41]FormattedData!N23^2*$J$6+$M$5*$J$7</f>
        <v>32.530796461071233</v>
      </c>
      <c r="V53" s="39">
        <f>$J$3+[41]FormattedData!O23*$J$4+$M$4*$J$5+[41]FormattedData!O23^2*$J$6+$M$5*$J$7</f>
        <v>32.049263450923831</v>
      </c>
      <c r="W53" s="38">
        <f>AVERAGE(K53:V53)</f>
        <v>32.056581003082613</v>
      </c>
      <c r="X53" s="37">
        <f>STDEV(K53:V53)/SQRT(COUNT(K53:V53))</f>
        <v>0.1693589688665591</v>
      </c>
      <c r="Y53" s="36">
        <f>MIN(K53:V53)</f>
        <v>31.083027290284189</v>
      </c>
      <c r="Z53" s="35">
        <f>QUARTILE(K53:V53,1)</f>
        <v>31.807958021991514</v>
      </c>
      <c r="AA53" s="36">
        <f>MEDIAN(K53:V53)</f>
        <v>32.145633455760205</v>
      </c>
      <c r="AB53" s="35">
        <f>QUARTILE(K53:V53,3)</f>
        <v>32.530796461071233</v>
      </c>
      <c r="AC53" s="35">
        <f>MAX(K53:V53)</f>
        <v>32.915262035506387</v>
      </c>
      <c r="AD53" s="35">
        <f>SKEW(K53:V53)</f>
        <v>-0.47169017711691874</v>
      </c>
      <c r="AE53" s="35">
        <f>KURT(K53:V53)</f>
        <v>-0.76072927797786383</v>
      </c>
    </row>
    <row r="54" spans="2:31" x14ac:dyDescent="0.2">
      <c r="B54" s="34">
        <f>[41]FormattedData!A21</f>
        <v>105</v>
      </c>
      <c r="C54" s="34" t="str">
        <f>VLOOKUP($B54,[41]TrtCodes!$B$11:I64,2)</f>
        <v>NDL</v>
      </c>
      <c r="D54" s="34">
        <f>VLOOKUP($B54,[41]TrtCodes!$B$11:J64,3)</f>
        <v>12</v>
      </c>
      <c r="E54" s="34">
        <f>VLOOKUP($B54,[41]TrtCodes!$B$11:K64,4)</f>
        <v>2</v>
      </c>
      <c r="F54" s="34">
        <f>VLOOKUP($B54,[41]TrtCodes!$B$11:L64,5)</f>
        <v>3</v>
      </c>
      <c r="G54" s="34">
        <f>VLOOKUP($B54,[41]TrtCodes!$B$11:M64,6)</f>
        <v>1</v>
      </c>
      <c r="H54" s="34">
        <f>VLOOKUP($B54,[41]TrtCodes!$B$11:N64,7)</f>
        <v>2</v>
      </c>
      <c r="I54" s="34">
        <f>[41]FormattedData!B21</f>
        <v>2</v>
      </c>
      <c r="J54" s="37">
        <f>[41]FormattedData!C21</f>
        <v>13.161</v>
      </c>
      <c r="K54" s="39">
        <f>$J$3+[41]FormattedData!D21*$J$4+$M$4*$J$5+[41]FormattedData!D21^2*$J$6+$M$5*$J$7</f>
        <v>30.306995027041452</v>
      </c>
      <c r="L54" s="39">
        <f>$J$3+[41]FormattedData!E21*$J$4+$M$4*$J$5+[41]FormattedData!E21^2*$J$6+$M$5*$J$7</f>
        <v>29.723195551016286</v>
      </c>
      <c r="M54" s="39">
        <f>$J$3+[41]FormattedData!F21*$J$4+$M$4*$J$5+[41]FormattedData!F21^2*$J$6+$M$5*$J$7</f>
        <v>28.551031596869386</v>
      </c>
      <c r="N54" s="39">
        <f>$J$3+[41]FormattedData!G21*$J$4+$M$4*$J$5+[41]FormattedData!G21^2*$J$6+$M$5*$J$7</f>
        <v>29.430725187741629</v>
      </c>
      <c r="O54" s="39">
        <f>$J$3+[41]FormattedData!H21*$J$4+$M$4*$J$5+[41]FormattedData!H21^2*$J$6+$M$5*$J$7</f>
        <v>29.235533602868873</v>
      </c>
      <c r="P54" s="39">
        <f>$J$3+[41]FormattedData!I21*$J$4+$M$4*$J$5+[41]FormattedData!I21^2*$J$6+$M$5*$J$7</f>
        <v>29.723195551016286</v>
      </c>
      <c r="Q54" s="39">
        <f>$J$3+[41]FormattedData!J21*$J$4+$M$4*$J$5+[41]FormattedData!J21^2*$J$6+$M$5*$J$7</f>
        <v>30.112564275851451</v>
      </c>
      <c r="R54" s="39">
        <f>$J$3+[41]FormattedData!K21*$J$4+$M$4*$J$5+[41]FormattedData!K21^2*$J$6+$M$5*$J$7</f>
        <v>28.844643210668181</v>
      </c>
      <c r="S54" s="39">
        <f>$J$3+[41]FormattedData!L21*$J$4+$M$4*$J$5+[41]FormattedData!L21^2*$J$6+$M$5*$J$7</f>
        <v>31.179841114768855</v>
      </c>
      <c r="T54" s="39">
        <f>$J$3+[41]FormattedData!M21*$J$4+$M$4*$J$5+[41]FormattedData!M21^2*$J$6+$M$5*$J$7</f>
        <v>30.209800785715423</v>
      </c>
      <c r="U54" s="39">
        <f>$J$3+[41]FormattedData!N21*$J$4+$M$4*$J$5+[41]FormattedData!N21^2*$J$6+$M$5*$J$7</f>
        <v>29.723195551016286</v>
      </c>
      <c r="V54" s="39">
        <f>$J$3+[41]FormattedData!O21*$J$4+$M$4*$J$5+[41]FormattedData!O21^2*$J$6+$M$5*$J$7</f>
        <v>28.942429211525251</v>
      </c>
      <c r="W54" s="38">
        <f>AVERAGE(K54:V54)</f>
        <v>29.665262555508274</v>
      </c>
      <c r="X54" s="37">
        <f>STDEV(K54:V54)/SQRT(COUNT(K54:V54))</f>
        <v>0.21122886692538623</v>
      </c>
      <c r="Y54" s="36">
        <f>MIN(K54:V54)</f>
        <v>28.551031596869386</v>
      </c>
      <c r="Z54" s="35">
        <f>QUARTILE(K54:V54,1)</f>
        <v>29.162257505032969</v>
      </c>
      <c r="AA54" s="36">
        <f>MEDIAN(K54:V54)</f>
        <v>29.723195551016286</v>
      </c>
      <c r="AB54" s="35">
        <f>QUARTILE(K54:V54,3)</f>
        <v>30.136873403317445</v>
      </c>
      <c r="AC54" s="35">
        <f>MAX(K54:V54)</f>
        <v>31.179841114768855</v>
      </c>
      <c r="AD54" s="35">
        <f>SKEW(K54:V54)</f>
        <v>0.44116150581011304</v>
      </c>
      <c r="AE54" s="35">
        <f>KURT(K54:V54)</f>
        <v>0.28979825068440324</v>
      </c>
    </row>
    <row r="55" spans="2:31" x14ac:dyDescent="0.2">
      <c r="B55" s="34">
        <f>[41]FormattedData!A19</f>
        <v>106</v>
      </c>
      <c r="C55" s="34" t="str">
        <f>VLOOKUP($B55,[41]TrtCodes!$B$11:I62,2)</f>
        <v>NTH</v>
      </c>
      <c r="D55" s="34">
        <f>VLOOKUP($B55,[41]TrtCodes!$B$11:J62,3)</f>
        <v>9</v>
      </c>
      <c r="E55" s="34">
        <f>VLOOKUP($B55,[41]TrtCodes!$B$11:K62,4)</f>
        <v>2</v>
      </c>
      <c r="F55" s="34">
        <f>VLOOKUP($B55,[41]TrtCodes!$B$11:L62,5)</f>
        <v>2</v>
      </c>
      <c r="G55" s="34">
        <f>VLOOKUP($B55,[41]TrtCodes!$B$11:M62,6)</f>
        <v>2</v>
      </c>
      <c r="H55" s="34">
        <f>VLOOKUP($B55,[41]TrtCodes!$B$11:N62,7)</f>
        <v>2</v>
      </c>
      <c r="I55" s="34">
        <f>[41]FormattedData!B19</f>
        <v>2</v>
      </c>
      <c r="J55" s="37">
        <f>[41]FormattedData!C19</f>
        <v>13.145</v>
      </c>
      <c r="K55" s="39">
        <f>$J$3+[41]FormattedData!D19*$J$4+$M$4*$J$5+[41]FormattedData!D19^2*$J$6+$M$5*$J$7</f>
        <v>31.566673727328158</v>
      </c>
      <c r="L55" s="39">
        <f>$J$3+[41]FormattedData!E19*$J$4+$M$4*$J$5+[41]FormattedData!E19^2*$J$6+$M$5*$J$7</f>
        <v>30.306995027041452</v>
      </c>
      <c r="M55" s="39">
        <f>$J$3+[41]FormattedData!F19*$J$4+$M$4*$J$5+[41]FormattedData!F19^2*$J$6+$M$5*$J$7</f>
        <v>30.986171197261609</v>
      </c>
      <c r="N55" s="39">
        <f>$J$3+[41]FormattedData!G19*$J$4+$M$4*$J$5+[41]FormattedData!G19^2*$J$6+$M$5*$J$7</f>
        <v>29.528257577371114</v>
      </c>
      <c r="O55" s="39">
        <f>$J$3+[41]FormattedData!H19*$J$4+$M$4*$J$5+[41]FormattedData!H19^2*$J$6+$M$5*$J$7</f>
        <v>30.695349306966278</v>
      </c>
      <c r="P55" s="39">
        <f>$J$3+[41]FormattedData!I19*$J$4+$M$4*$J$5+[41]FormattedData!I19^2*$J$6+$M$5*$J$7</f>
        <v>29.137874407625596</v>
      </c>
      <c r="Q55" s="39">
        <f>$J$3+[41]FormattedData!J19*$J$4+$M$4*$J$5+[41]FormattedData!J19^2*$J$6+$M$5*$J$7</f>
        <v>32.434574396117618</v>
      </c>
      <c r="R55" s="39">
        <f>$J$3+[41]FormattedData!K19*$J$4+$M$4*$J$5+[41]FormattedData!K19^2*$J$6+$M$5*$J$7</f>
        <v>30.889272835701096</v>
      </c>
      <c r="S55" s="39">
        <f>$J$3+[41]FormattedData!L19*$J$4+$M$4*$J$5+[41]FormattedData!L19^2*$J$6+$M$5*$J$7</f>
        <v>31.663276209123154</v>
      </c>
      <c r="T55" s="39">
        <f>$J$3+[41]FormattedData!M19*$J$4+$M$4*$J$5+[41]FormattedData!M19^2*$J$6+$M$5*$J$7</f>
        <v>29.430725187741629</v>
      </c>
      <c r="U55" s="39">
        <f>$J$3+[41]FormattedData!N19*$J$4+$M$4*$J$5+[41]FormattedData!N19^2*$J$6+$M$5*$J$7</f>
        <v>32.145654590029174</v>
      </c>
      <c r="V55" s="39">
        <f>$J$3+[41]FormattedData!O19*$J$4+$M$4*$J$5+[41]FormattedData!O19^2*$J$6+$M$5*$J$7</f>
        <v>31.85635436709935</v>
      </c>
      <c r="W55" s="38">
        <f>AVERAGE(K55:V55)</f>
        <v>30.886764902450519</v>
      </c>
      <c r="X55" s="37">
        <f>STDEV(K55:V55)/SQRT(COUNT(K55:V55))</f>
        <v>0.3185280983927124</v>
      </c>
      <c r="Y55" s="36">
        <f>MIN(K55:V55)</f>
        <v>29.137874407625596</v>
      </c>
      <c r="Z55" s="35">
        <f>QUARTILE(K55:V55,1)</f>
        <v>30.11231066462387</v>
      </c>
      <c r="AA55" s="36">
        <f>MEDIAN(K55:V55)</f>
        <v>30.937722016481352</v>
      </c>
      <c r="AB55" s="35">
        <f>QUARTILE(K55:V55,3)</f>
        <v>31.711545748617205</v>
      </c>
      <c r="AC55" s="35">
        <f>MAX(K55:V55)</f>
        <v>32.434574396117618</v>
      </c>
      <c r="AD55" s="35">
        <f>SKEW(K55:V55)</f>
        <v>-0.30426259522250843</v>
      </c>
      <c r="AE55" s="35">
        <f>KURT(K55:V55)</f>
        <v>-1.1544641841446999</v>
      </c>
    </row>
    <row r="56" spans="2:31" x14ac:dyDescent="0.2">
      <c r="B56" s="34">
        <f>[41]FormattedData!A17</f>
        <v>107</v>
      </c>
      <c r="C56" s="34" t="str">
        <f>VLOOKUP($B56,[41]TrtCodes!$B$11:I60,2)</f>
        <v>NTL</v>
      </c>
      <c r="D56" s="34">
        <f>VLOOKUP($B56,[41]TrtCodes!$B$11:J60,3)</f>
        <v>10</v>
      </c>
      <c r="E56" s="34">
        <f>VLOOKUP($B56,[41]TrtCodes!$B$11:K60,4)</f>
        <v>2</v>
      </c>
      <c r="F56" s="34">
        <f>VLOOKUP($B56,[41]TrtCodes!$B$11:L60,5)</f>
        <v>2</v>
      </c>
      <c r="G56" s="34">
        <f>VLOOKUP($B56,[41]TrtCodes!$B$11:M60,6)</f>
        <v>1</v>
      </c>
      <c r="H56" s="34">
        <f>VLOOKUP($B56,[41]TrtCodes!$B$11:N60,7)</f>
        <v>2</v>
      </c>
      <c r="I56" s="34">
        <f>[41]FormattedData!B17</f>
        <v>2</v>
      </c>
      <c r="J56" s="37">
        <f>[41]FormattedData!C17</f>
        <v>13.127000000000001</v>
      </c>
      <c r="K56" s="39">
        <f>$J$3+[41]FormattedData!D17*$J$4+$M$4*$J$5+[41]FormattedData!D17^2*$J$6+$M$5*$J$7</f>
        <v>38.974734887930744</v>
      </c>
      <c r="L56" s="39">
        <f>$J$3+[41]FormattedData!E17*$J$4+$M$4*$J$5+[41]FormattedData!E17^2*$J$6+$M$5*$J$7</f>
        <v>33.969055210823747</v>
      </c>
      <c r="M56" s="39">
        <f>$J$3+[41]FormattedData!F17*$J$4+$M$4*$J$5+[41]FormattedData!F17^2*$J$6+$M$5*$J$7</f>
        <v>32.049263450923831</v>
      </c>
      <c r="N56" s="39">
        <f>$J$3+[41]FormattedData!G17*$J$4+$M$4*$J$5+[41]FormattedData!G17^2*$J$6+$M$5*$J$7</f>
        <v>31.566673727328158</v>
      </c>
      <c r="O56" s="39">
        <f>$J$3+[41]FormattedData!H17*$J$4+$M$4*$J$5+[41]FormattedData!H17^2*$J$6+$M$5*$J$7</f>
        <v>30.306995027041452</v>
      </c>
      <c r="P56" s="39">
        <f>$J$3+[41]FormattedData!I17*$J$4+$M$4*$J$5+[41]FormattedData!I17^2*$J$6+$M$5*$J$7</f>
        <v>30.501256704079722</v>
      </c>
      <c r="Q56" s="39">
        <f>$J$3+[41]FormattedData!J17*$J$4+$M$4*$J$5+[41]FormattedData!J17^2*$J$6+$M$5*$J$7</f>
        <v>32.434574396117618</v>
      </c>
      <c r="R56" s="39">
        <f>$J$3+[41]FormattedData!K17*$J$4+$M$4*$J$5+[41]FormattedData!K17^2*$J$6+$M$5*$J$7</f>
        <v>30.112564275851451</v>
      </c>
      <c r="S56" s="39">
        <f>$J$3+[41]FormattedData!L17*$J$4+$M$4*$J$5+[41]FormattedData!L17^2*$J$6+$M$5*$J$7</f>
        <v>31.276612670715572</v>
      </c>
      <c r="T56" s="39">
        <f>$J$3+[41]FormattedData!M17*$J$4+$M$4*$J$5+[41]FormattedData!M17^2*$J$6+$M$5*$J$7</f>
        <v>30.695349306966278</v>
      </c>
      <c r="U56" s="39">
        <f>$J$3+[41]FormattedData!N17*$J$4+$M$4*$J$5+[41]FormattedData!N17^2*$J$6+$M$5*$J$7</f>
        <v>30.501256704079722</v>
      </c>
      <c r="V56" s="39">
        <f>$J$3+[41]FormattedData!O17*$J$4+$M$4*$J$5+[41]FormattedData!O17^2*$J$6+$M$5*$J$7</f>
        <v>30.889272835701096</v>
      </c>
      <c r="W56" s="38">
        <f>AVERAGE(K56:V56)</f>
        <v>31.939800766463282</v>
      </c>
      <c r="X56" s="37">
        <f>STDEV(K56:V56)/SQRT(COUNT(K56:V56))</f>
        <v>0.71371802394761963</v>
      </c>
      <c r="Y56" s="36">
        <f>MIN(K56:V56)</f>
        <v>30.112564275851451</v>
      </c>
      <c r="Z56" s="35">
        <f>QUARTILE(K56:V56,1)</f>
        <v>30.501256704079722</v>
      </c>
      <c r="AA56" s="36">
        <f>MEDIAN(K56:V56)</f>
        <v>31.082942753208336</v>
      </c>
      <c r="AB56" s="35">
        <f>QUARTILE(K56:V56,3)</f>
        <v>32.14559118722228</v>
      </c>
      <c r="AC56" s="35">
        <f>MAX(K56:V56)</f>
        <v>38.974734887930744</v>
      </c>
      <c r="AD56" s="35">
        <f>SKEW(K56:V56)</f>
        <v>2.4311449928295321</v>
      </c>
      <c r="AE56" s="35">
        <f>KURT(K56:V56)</f>
        <v>6.4967337867475656</v>
      </c>
    </row>
    <row r="57" spans="2:31" x14ac:dyDescent="0.2">
      <c r="B57" s="34">
        <f>[41]FormattedData!A15</f>
        <v>108</v>
      </c>
      <c r="C57" s="34" t="str">
        <f>VLOOKUP($B57,[41]TrtCodes!$B$11:I58,2)</f>
        <v>FTH</v>
      </c>
      <c r="D57" s="34">
        <f>VLOOKUP($B57,[41]TrtCodes!$B$11:J58,3)</f>
        <v>3</v>
      </c>
      <c r="E57" s="34">
        <f>VLOOKUP($B57,[41]TrtCodes!$B$11:K58,4)</f>
        <v>1</v>
      </c>
      <c r="F57" s="34">
        <f>VLOOKUP($B57,[41]TrtCodes!$B$11:L58,5)</f>
        <v>2</v>
      </c>
      <c r="G57" s="34">
        <f>VLOOKUP($B57,[41]TrtCodes!$B$11:M58,6)</f>
        <v>2</v>
      </c>
      <c r="H57" s="34">
        <f>VLOOKUP($B57,[41]TrtCodes!$B$11:N58,7)</f>
        <v>2</v>
      </c>
      <c r="I57" s="34">
        <f>[41]FormattedData!B15</f>
        <v>2</v>
      </c>
      <c r="J57" s="37">
        <f>[41]FormattedData!C15</f>
        <v>13.109</v>
      </c>
      <c r="K57" s="39">
        <f>$J$3+[41]FormattedData!D15*$J$4+$M$4*$J$5+[41]FormattedData!D15^2*$J$6+$M$5*$J$7</f>
        <v>30.404146999829553</v>
      </c>
      <c r="L57" s="39">
        <f>$J$3+[41]FormattedData!E15*$J$4+$M$4*$J$5+[41]FormattedData!E15^2*$J$6+$M$5*$J$7</f>
        <v>32.530796461071233</v>
      </c>
      <c r="M57" s="39">
        <f>$J$3+[41]FormattedData!F15*$J$4+$M$4*$J$5+[41]FormattedData!F15^2*$J$6+$M$5*$J$7</f>
        <v>31.85635436709935</v>
      </c>
      <c r="N57" s="39">
        <f>$J$3+[41]FormattedData!G15*$J$4+$M$4*$J$5+[41]FormattedData!G15^2*$J$6+$M$5*$J$7</f>
        <v>30.986171197261609</v>
      </c>
      <c r="O57" s="39">
        <f>$J$3+[41]FormattedData!H15*$J$4+$M$4*$J$5+[41]FormattedData!H15^2*$J$6+$M$5*$J$7</f>
        <v>30.112564275851451</v>
      </c>
      <c r="P57" s="39">
        <f>$J$3+[41]FormattedData!I15*$J$4+$M$4*$J$5+[41]FormattedData!I15^2*$J$6+$M$5*$J$7</f>
        <v>30.598324139791959</v>
      </c>
      <c r="Q57" s="39">
        <f>$J$3+[41]FormattedData!J15*$J$4+$M$4*$J$5+[41]FormattedData!J15^2*$J$6+$M$5*$J$7</f>
        <v>32.915262035506387</v>
      </c>
      <c r="R57" s="39">
        <f>$J$3+[41]FormattedData!K15*$J$4+$M$4*$J$5+[41]FormattedData!K15^2*$J$6+$M$5*$J$7</f>
        <v>30.306995027041452</v>
      </c>
      <c r="S57" s="39">
        <f>$J$3+[41]FormattedData!L15*$J$4+$M$4*$J$5+[41]FormattedData!L15^2*$J$6+$M$5*$J$7</f>
        <v>34.16010447897925</v>
      </c>
      <c r="T57" s="39">
        <f>$J$3+[41]FormattedData!M15*$J$4+$M$4*$J$5+[41]FormattedData!M15^2*$J$6+$M$5*$J$7</f>
        <v>29.625747698462661</v>
      </c>
      <c r="U57" s="39">
        <f>$J$3+[41]FormattedData!N15*$J$4+$M$4*$J$5+[41]FormattedData!N15^2*$J$6+$M$5*$J$7</f>
        <v>31.663276209123154</v>
      </c>
      <c r="V57" s="39">
        <f>$J$3+[41]FormattedData!O15*$J$4+$M$4*$J$5+[41]FormattedData!O15^2*$J$6+$M$5*$J$7</f>
        <v>31.373341958124364</v>
      </c>
      <c r="W57" s="38">
        <f>AVERAGE(K57:V57)</f>
        <v>31.37775707067853</v>
      </c>
      <c r="X57" s="37">
        <f>STDEV(K57:V57)/SQRT(COUNT(K57:V57))</f>
        <v>0.38208982026978044</v>
      </c>
      <c r="Y57" s="36">
        <f>MIN(K57:V57)</f>
        <v>29.625747698462661</v>
      </c>
      <c r="Z57" s="35">
        <f>QUARTILE(K57:V57,1)</f>
        <v>30.379859006632529</v>
      </c>
      <c r="AA57" s="36">
        <f>MEDIAN(K57:V57)</f>
        <v>31.179756577692984</v>
      </c>
      <c r="AB57" s="35">
        <f>QUARTILE(K57:V57,3)</f>
        <v>32.024964890592322</v>
      </c>
      <c r="AC57" s="35">
        <f>MAX(K57:V57)</f>
        <v>34.16010447897925</v>
      </c>
      <c r="AD57" s="35">
        <f>SKEW(K57:V57)</f>
        <v>0.78814015951459837</v>
      </c>
      <c r="AE57" s="35">
        <f>KURT(K57:V57)</f>
        <v>0.17329698151175332</v>
      </c>
    </row>
    <row r="58" spans="2:31" x14ac:dyDescent="0.2">
      <c r="B58" s="34">
        <f>[41]FormattedData!A31</f>
        <v>201</v>
      </c>
      <c r="C58" s="34" t="str">
        <f>VLOOKUP($B58,[41]TrtCodes!$B$11:I74,2)</f>
        <v>NDL</v>
      </c>
      <c r="D58" s="34">
        <f>VLOOKUP($B58,[41]TrtCodes!$B$11:J74,3)</f>
        <v>12</v>
      </c>
      <c r="E58" s="34">
        <f>VLOOKUP($B58,[41]TrtCodes!$B$11:K74,4)</f>
        <v>2</v>
      </c>
      <c r="F58" s="34">
        <f>VLOOKUP($B58,[41]TrtCodes!$B$11:L74,5)</f>
        <v>3</v>
      </c>
      <c r="G58" s="34">
        <f>VLOOKUP($B58,[41]TrtCodes!$B$11:M74,6)</f>
        <v>1</v>
      </c>
      <c r="H58" s="34">
        <f>VLOOKUP($B58,[41]TrtCodes!$B$11:N74,7)</f>
        <v>1</v>
      </c>
      <c r="I58" s="34">
        <f>[41]FormattedData!B31</f>
        <v>2</v>
      </c>
      <c r="J58" s="37">
        <f>[41]FormattedData!C31</f>
        <v>13.247999999999999</v>
      </c>
      <c r="K58" s="39">
        <f>$J$3+[41]FormattedData!D31*$J$4+$M$4*$J$5+[41]FormattedData!D31^2*$J$6+$M$5*$J$7</f>
        <v>30.015285497449558</v>
      </c>
      <c r="L58" s="39">
        <f>$J$3+[41]FormattedData!E31*$J$4+$M$4*$J$5+[41]FormattedData!E31^2*$J$6+$M$5*$J$7</f>
        <v>29.625747698462661</v>
      </c>
      <c r="M58" s="39">
        <f>$J$3+[41]FormattedData!F31*$J$4+$M$4*$J$5+[41]FormattedData!F31^2*$J$6+$M$5*$J$7</f>
        <v>30.306995027041452</v>
      </c>
      <c r="N58" s="39">
        <f>$J$3+[41]FormattedData!G31*$J$4+$M$4*$J$5+[41]FormattedData!G31^2*$J$6+$M$5*$J$7</f>
        <v>31.083027290284189</v>
      </c>
      <c r="O58" s="39">
        <f>$J$3+[41]FormattedData!H31*$J$4+$M$4*$J$5+[41]FormattedData!H31^2*$J$6+$M$5*$J$7</f>
        <v>30.209800785715423</v>
      </c>
      <c r="P58" s="39">
        <f>$J$3+[41]FormattedData!I31*$J$4+$M$4*$J$5+[41]FormattedData!I31^2*$J$6+$M$5*$J$7</f>
        <v>31.759836422380218</v>
      </c>
      <c r="Q58" s="39">
        <f>$J$3+[41]FormattedData!J31*$J$4+$M$4*$J$5+[41]FormattedData!J31^2*$J$6+$M$5*$J$7</f>
        <v>29.333150529574215</v>
      </c>
      <c r="R58" s="39">
        <f>$J$3+[41]FormattedData!K31*$J$4+$M$4*$J$5+[41]FormattedData!K31^2*$J$6+$M$5*$J$7</f>
        <v>30.598324139791959</v>
      </c>
      <c r="S58" s="39">
        <f>$J$3+[41]FormattedData!L31*$J$4+$M$4*$J$5+[41]FormattedData!L31^2*$J$6+$M$5*$J$7</f>
        <v>29.917964450509736</v>
      </c>
      <c r="T58" s="39">
        <f>$J$3+[41]FormattedData!M31*$J$4+$M$4*$J$5+[41]FormattedData!M31^2*$J$6+$M$5*$J$7</f>
        <v>29.917964450509736</v>
      </c>
      <c r="U58" s="39">
        <f>$J$3+[41]FormattedData!N31*$J$4+$M$4*$J$5+[41]FormattedData!N31^2*$J$6+$M$5*$J$7</f>
        <v>30.015285497449558</v>
      </c>
      <c r="V58" s="39">
        <f>$J$3+[41]FormattedData!O31*$J$4+$M$4*$J$5+[41]FormattedData!O31^2*$J$6+$M$5*$J$7</f>
        <v>31.179841114768855</v>
      </c>
      <c r="W58" s="38">
        <f>AVERAGE(K58:V58)</f>
        <v>30.33026857532813</v>
      </c>
      <c r="X58" s="37">
        <f>STDEV(K58:V58)/SQRT(COUNT(K58:V58))</f>
        <v>0.20315696776054284</v>
      </c>
      <c r="Y58" s="36">
        <f>MIN(K58:V58)</f>
        <v>29.333150529574215</v>
      </c>
      <c r="Z58" s="35">
        <f>QUARTILE(K58:V58,1)</f>
        <v>29.917964450509736</v>
      </c>
      <c r="AA58" s="36">
        <f>MEDIAN(K58:V58)</f>
        <v>30.112543141582492</v>
      </c>
      <c r="AB58" s="35">
        <f>QUARTILE(K58:V58,3)</f>
        <v>30.719499927415015</v>
      </c>
      <c r="AC58" s="35">
        <f>MAX(K58:V58)</f>
        <v>31.759836422380218</v>
      </c>
      <c r="AD58" s="35">
        <f>SKEW(K58:V58)</f>
        <v>0.76213204837892279</v>
      </c>
      <c r="AE58" s="35">
        <f>KURT(K58:V58)</f>
        <v>3.7086235995378303E-2</v>
      </c>
    </row>
    <row r="59" spans="2:31" x14ac:dyDescent="0.2">
      <c r="B59" s="34">
        <f>[41]FormattedData!A33</f>
        <v>202</v>
      </c>
      <c r="C59" s="34" t="str">
        <f>VLOOKUP($B59,[41]TrtCodes!$B$11:I76,2)</f>
        <v>NTH</v>
      </c>
      <c r="D59" s="34">
        <f>VLOOKUP($B59,[41]TrtCodes!$B$11:J76,3)</f>
        <v>9</v>
      </c>
      <c r="E59" s="34">
        <f>VLOOKUP($B59,[41]TrtCodes!$B$11:K76,4)</f>
        <v>2</v>
      </c>
      <c r="F59" s="34">
        <f>VLOOKUP($B59,[41]TrtCodes!$B$11:L76,5)</f>
        <v>2</v>
      </c>
      <c r="G59" s="34">
        <f>VLOOKUP($B59,[41]TrtCodes!$B$11:M76,6)</f>
        <v>2</v>
      </c>
      <c r="H59" s="34">
        <f>VLOOKUP($B59,[41]TrtCodes!$B$11:N76,7)</f>
        <v>1</v>
      </c>
      <c r="I59" s="34">
        <f>[41]FormattedData!B33</f>
        <v>2</v>
      </c>
      <c r="J59" s="37">
        <f>[41]FormattedData!C33</f>
        <v>13.265000000000001</v>
      </c>
      <c r="K59" s="39">
        <f>$J$3+[41]FormattedData!D33*$J$4+$M$4*$J$5+[41]FormattedData!D33^2*$J$6+$M$5*$J$7</f>
        <v>30.501256704079722</v>
      </c>
      <c r="L59" s="39">
        <f>$J$3+[41]FormattedData!E33*$J$4+$M$4*$J$5+[41]FormattedData!E33^2*$J$6+$M$5*$J$7</f>
        <v>30.501256704079722</v>
      </c>
      <c r="M59" s="39">
        <f>$J$3+[41]FormattedData!F33*$J$4+$M$4*$J$5+[41]FormattedData!F33^2*$J$6+$M$5*$J$7</f>
        <v>33.107241211496373</v>
      </c>
      <c r="N59" s="39">
        <f>$J$3+[41]FormattedData!G33*$J$4+$M$4*$J$5+[41]FormattedData!G33^2*$J$6+$M$5*$J$7</f>
        <v>30.986171197261609</v>
      </c>
      <c r="O59" s="39">
        <f>$J$3+[41]FormattedData!H33*$J$4+$M$4*$J$5+[41]FormattedData!H33^2*$J$6+$M$5*$J$7</f>
        <v>30.792332205602655</v>
      </c>
      <c r="P59" s="39">
        <f>$J$3+[41]FormattedData!I33*$J$4+$M$4*$J$5+[41]FormattedData!I33^2*$J$6+$M$5*$J$7</f>
        <v>33.490692341021187</v>
      </c>
      <c r="Q59" s="39">
        <f>$J$3+[41]FormattedData!J33*$J$4+$M$4*$J$5+[41]FormattedData!J33^2*$J$6+$M$5*$J$7</f>
        <v>30.404146999829553</v>
      </c>
      <c r="R59" s="39">
        <f>$J$3+[41]FormattedData!K33*$J$4+$M$4*$J$5+[41]FormattedData!K33^2*$J$6+$M$5*$J$7</f>
        <v>30.598324139791959</v>
      </c>
      <c r="S59" s="39">
        <f>$J$3+[41]FormattedData!L33*$J$4+$M$4*$J$5+[41]FormattedData!L33^2*$J$6+$M$5*$J$7</f>
        <v>30.404146999829553</v>
      </c>
      <c r="T59" s="39">
        <f>$J$3+[41]FormattedData!M33*$J$4+$M$4*$J$5+[41]FormattedData!M33^2*$J$6+$M$5*$J$7</f>
        <v>28.844643210668181</v>
      </c>
      <c r="U59" s="39">
        <f>$J$3+[41]FormattedData!N33*$J$4+$M$4*$J$5+[41]FormattedData!N33^2*$J$6+$M$5*$J$7</f>
        <v>30.986171197261609</v>
      </c>
      <c r="V59" s="39">
        <f>$J$3+[41]FormattedData!O33*$J$4+$M$4*$J$5+[41]FormattedData!O33^2*$J$6+$M$5*$J$7</f>
        <v>30.015285497449558</v>
      </c>
      <c r="W59" s="38">
        <f>AVERAGE(K59:V59)</f>
        <v>30.885972367364307</v>
      </c>
      <c r="X59" s="37">
        <f>STDEV(K59:V59)/SQRT(COUNT(K59:V59))</f>
        <v>0.36427215742384522</v>
      </c>
      <c r="Y59" s="36">
        <f>MIN(K59:V59)</f>
        <v>28.844643210668181</v>
      </c>
      <c r="Z59" s="35">
        <f>QUARTILE(K59:V59,1)</f>
        <v>30.404146999829553</v>
      </c>
      <c r="AA59" s="36">
        <f>MEDIAN(K59:V59)</f>
        <v>30.549790421935839</v>
      </c>
      <c r="AB59" s="35">
        <f>QUARTILE(K59:V59,3)</f>
        <v>30.986171197261609</v>
      </c>
      <c r="AC59" s="35">
        <f>MAX(K59:V59)</f>
        <v>33.490692341021187</v>
      </c>
      <c r="AD59" s="35">
        <f>SKEW(K59:V59)</f>
        <v>1.0372650575104736</v>
      </c>
      <c r="AE59" s="35">
        <f>KURT(K59:V59)</f>
        <v>1.4650076095690157</v>
      </c>
    </row>
    <row r="60" spans="2:31" x14ac:dyDescent="0.2">
      <c r="B60" s="34">
        <f>[41]FormattedData!A35</f>
        <v>203</v>
      </c>
      <c r="C60" s="34" t="str">
        <f>VLOOKUP($B60,[41]TrtCodes!$B$11:I78,2)</f>
        <v>FTH</v>
      </c>
      <c r="D60" s="34">
        <f>VLOOKUP($B60,[41]TrtCodes!$B$11:J78,3)</f>
        <v>3</v>
      </c>
      <c r="E60" s="34">
        <f>VLOOKUP($B60,[41]TrtCodes!$B$11:K78,4)</f>
        <v>1</v>
      </c>
      <c r="F60" s="34">
        <f>VLOOKUP($B60,[41]TrtCodes!$B$11:L78,5)</f>
        <v>2</v>
      </c>
      <c r="G60" s="34">
        <f>VLOOKUP($B60,[41]TrtCodes!$B$11:M78,6)</f>
        <v>2</v>
      </c>
      <c r="H60" s="34">
        <f>VLOOKUP($B60,[41]TrtCodes!$B$11:N78,7)</f>
        <v>1</v>
      </c>
      <c r="I60" s="34">
        <f>[41]FormattedData!B35</f>
        <v>2</v>
      </c>
      <c r="J60" s="37">
        <f>[41]FormattedData!C35</f>
        <v>13.28</v>
      </c>
      <c r="K60" s="39">
        <f>$J$3+[41]FormattedData!D35*$J$4+$M$4*$J$5+[41]FormattedData!D35^2*$J$6+$M$5*$J$7</f>
        <v>31.85635436709935</v>
      </c>
      <c r="L60" s="39">
        <f>$J$3+[41]FormattedData!E35*$J$4+$M$4*$J$5+[41]FormattedData!E35^2*$J$6+$M$5*$J$7</f>
        <v>31.663276209123154</v>
      </c>
      <c r="M60" s="39">
        <f>$J$3+[41]FormattedData!F35*$J$4+$M$4*$J$5+[41]FormattedData!F35^2*$J$6+$M$5*$J$7</f>
        <v>31.566673727328158</v>
      </c>
      <c r="N60" s="39">
        <f>$J$3+[41]FormattedData!G35*$J$4+$M$4*$J$5+[41]FormattedData!G35^2*$J$6+$M$5*$J$7</f>
        <v>31.663276209123154</v>
      </c>
      <c r="O60" s="39">
        <f>$J$3+[41]FormattedData!H35*$J$4+$M$4*$J$5+[41]FormattedData!H35^2*$J$6+$M$5*$J$7</f>
        <v>32.049263450923831</v>
      </c>
      <c r="P60" s="39">
        <f>$J$3+[41]FormattedData!I35*$J$4+$M$4*$J$5+[41]FormattedData!I35^2*$J$6+$M$5*$J$7</f>
        <v>33.777836868516509</v>
      </c>
      <c r="Q60" s="39">
        <f>$J$3+[41]FormattedData!J35*$J$4+$M$4*$J$5+[41]FormattedData!J35^2*$J$6+$M$5*$J$7</f>
        <v>32.242003460596578</v>
      </c>
      <c r="R60" s="39">
        <f>$J$3+[41]FormattedData!K35*$J$4+$M$4*$J$5+[41]FormattedData!K35^2*$J$6+$M$5*$J$7</f>
        <v>31.566673727328158</v>
      </c>
      <c r="S60" s="39">
        <f>$J$3+[41]FormattedData!L35*$J$4+$M$4*$J$5+[41]FormattedData!L35^2*$J$6+$M$5*$J$7</f>
        <v>32.434574396117618</v>
      </c>
      <c r="T60" s="39">
        <f>$J$3+[41]FormattedData!M35*$J$4+$M$4*$J$5+[41]FormattedData!M35^2*$J$6+$M$5*$J$7</f>
        <v>30.501256704079722</v>
      </c>
      <c r="U60" s="39">
        <f>$J$3+[41]FormattedData!N35*$J$4+$M$4*$J$5+[41]FormattedData!N35^2*$J$6+$M$5*$J$7</f>
        <v>31.47002897699522</v>
      </c>
      <c r="V60" s="39">
        <f>$J$3+[41]FormattedData!O35*$J$4+$M$4*$J$5+[41]FormattedData!O35^2*$J$6+$M$5*$J$7</f>
        <v>31.373341958124364</v>
      </c>
      <c r="W60" s="38">
        <f>AVERAGE(K60:V60)</f>
        <v>31.847046671279646</v>
      </c>
      <c r="X60" s="37">
        <f>STDEV(K60:V60)/SQRT(COUNT(K60:V60))</f>
        <v>0.22483258100608863</v>
      </c>
      <c r="Y60" s="36">
        <f>MIN(K60:V60)</f>
        <v>30.501256704079722</v>
      </c>
      <c r="Z60" s="35">
        <f>QUARTILE(K60:V60,1)</f>
        <v>31.542512539744923</v>
      </c>
      <c r="AA60" s="36">
        <f>MEDIAN(K60:V60)</f>
        <v>31.663276209123154</v>
      </c>
      <c r="AB60" s="35">
        <f>QUARTILE(K60:V60,3)</f>
        <v>32.097448453342018</v>
      </c>
      <c r="AC60" s="35">
        <f>MAX(K60:V60)</f>
        <v>33.777836868516509</v>
      </c>
      <c r="AD60" s="35">
        <f>SKEW(K60:V60)</f>
        <v>1.1122306870942957</v>
      </c>
      <c r="AE60" s="35">
        <f>KURT(K60:V60)</f>
        <v>3.4216185855814096</v>
      </c>
    </row>
    <row r="61" spans="2:31" x14ac:dyDescent="0.2">
      <c r="B61" s="34">
        <f>[41]FormattedData!A37</f>
        <v>204</v>
      </c>
      <c r="C61" s="34" t="str">
        <f>VLOOKUP($B61,[41]TrtCodes!$B$11:I80,2)</f>
        <v>NDH</v>
      </c>
      <c r="D61" s="34">
        <f>VLOOKUP($B61,[41]TrtCodes!$B$11:J80,3)</f>
        <v>11</v>
      </c>
      <c r="E61" s="34">
        <f>VLOOKUP($B61,[41]TrtCodes!$B$11:K80,4)</f>
        <v>2</v>
      </c>
      <c r="F61" s="34">
        <f>VLOOKUP($B61,[41]TrtCodes!$B$11:L80,5)</f>
        <v>3</v>
      </c>
      <c r="G61" s="34">
        <f>VLOOKUP($B61,[41]TrtCodes!$B$11:M80,6)</f>
        <v>2</v>
      </c>
      <c r="H61" s="34">
        <f>VLOOKUP($B61,[41]TrtCodes!$B$11:N80,7)</f>
        <v>1</v>
      </c>
      <c r="I61" s="34">
        <f>[41]FormattedData!B37</f>
        <v>2</v>
      </c>
      <c r="J61" s="37">
        <f>[41]FormattedData!C37</f>
        <v>13.297000000000001</v>
      </c>
      <c r="K61" s="39">
        <f>$J$3+[41]FormattedData!D37*$J$4+$M$4*$J$5+[41]FormattedData!D37^2*$J$6+$M$5*$J$7</f>
        <v>31.276612670715572</v>
      </c>
      <c r="L61" s="39">
        <f>$J$3+[41]FormattedData!E37*$J$4+$M$4*$J$5+[41]FormattedData!E37^2*$J$6+$M$5*$J$7</f>
        <v>29.333150529574215</v>
      </c>
      <c r="M61" s="39">
        <f>$J$3+[41]FormattedData!F37*$J$4+$M$4*$J$5+[41]FormattedData!F37^2*$J$6+$M$5*$J$7</f>
        <v>29.625747698462661</v>
      </c>
      <c r="N61" s="39">
        <f>$J$3+[41]FormattedData!G37*$J$4+$M$4*$J$5+[41]FormattedData!G37^2*$J$6+$M$5*$J$7</f>
        <v>30.404146999829553</v>
      </c>
      <c r="O61" s="39">
        <f>$J$3+[41]FormattedData!H37*$J$4+$M$4*$J$5+[41]FormattedData!H37^2*$J$6+$M$5*$J$7</f>
        <v>28.158957685606623</v>
      </c>
      <c r="P61" s="39">
        <f>$J$3+[41]FormattedData!I37*$J$4+$M$4*$J$5+[41]FormattedData!I37^2*$J$6+$M$5*$J$7</f>
        <v>29.625747698462661</v>
      </c>
      <c r="Q61" s="39">
        <f>$J$3+[41]FormattedData!J37*$J$4+$M$4*$J$5+[41]FormattedData!J37^2*$J$6+$M$5*$J$7</f>
        <v>30.015285497449558</v>
      </c>
      <c r="R61" s="39">
        <f>$J$3+[41]FormattedData!K37*$J$4+$M$4*$J$5+[41]FormattedData!K37^2*$J$6+$M$5*$J$7</f>
        <v>30.404146999829553</v>
      </c>
      <c r="S61" s="39">
        <f>$J$3+[41]FormattedData!L37*$J$4+$M$4*$J$5+[41]FormattedData!L37^2*$J$6+$M$5*$J$7</f>
        <v>30.986171197261609</v>
      </c>
      <c r="T61" s="39">
        <f>$J$3+[41]FormattedData!M37*$J$4+$M$4*$J$5+[41]FormattedData!M37^2*$J$6+$M$5*$J$7</f>
        <v>29.723195551016286</v>
      </c>
      <c r="U61" s="39">
        <f>$J$3+[41]FormattedData!N37*$J$4+$M$4*$J$5+[41]FormattedData!N37^2*$J$6+$M$5*$J$7</f>
        <v>29.528257577371114</v>
      </c>
      <c r="V61" s="39">
        <f>$J$3+[41]FormattedData!O37*$J$4+$M$4*$J$5+[41]FormattedData!O37^2*$J$6+$M$5*$J$7</f>
        <v>29.333150529574215</v>
      </c>
      <c r="W61" s="38">
        <f>AVERAGE(K61:V61)</f>
        <v>29.867880886262796</v>
      </c>
      <c r="X61" s="37">
        <f>STDEV(K61:V61)/SQRT(COUNT(K61:V61))</f>
        <v>0.23959902872388136</v>
      </c>
      <c r="Y61" s="36">
        <f>MIN(K61:V61)</f>
        <v>28.158957685606623</v>
      </c>
      <c r="Z61" s="35">
        <f>QUARTILE(K61:V61,1)</f>
        <v>29.479480815421891</v>
      </c>
      <c r="AA61" s="36">
        <f>MEDIAN(K61:V61)</f>
        <v>29.674471624739475</v>
      </c>
      <c r="AB61" s="35">
        <f>QUARTILE(K61:V61,3)</f>
        <v>30.404146999829553</v>
      </c>
      <c r="AC61" s="35">
        <f>MAX(K61:V61)</f>
        <v>31.276612670715572</v>
      </c>
      <c r="AD61" s="35">
        <f>SKEW(K61:V61)</f>
        <v>-0.16433962779182751</v>
      </c>
      <c r="AE61" s="35">
        <f>KURT(K61:V61)</f>
        <v>0.74173722173871859</v>
      </c>
    </row>
    <row r="62" spans="2:31" x14ac:dyDescent="0.2">
      <c r="B62" s="34">
        <f>[41]FormattedData!A39</f>
        <v>205</v>
      </c>
      <c r="C62" s="34" t="str">
        <f>VLOOKUP($B62,[41]TrtCodes!$B$11:I82,2)</f>
        <v>FSH</v>
      </c>
      <c r="D62" s="34">
        <f>VLOOKUP($B62,[41]TrtCodes!$B$11:J82,3)</f>
        <v>1</v>
      </c>
      <c r="E62" s="34">
        <f>VLOOKUP($B62,[41]TrtCodes!$B$11:K82,4)</f>
        <v>1</v>
      </c>
      <c r="F62" s="34">
        <f>VLOOKUP($B62,[41]TrtCodes!$B$11:L82,5)</f>
        <v>1</v>
      </c>
      <c r="G62" s="34">
        <f>VLOOKUP($B62,[41]TrtCodes!$B$11:M82,6)</f>
        <v>2</v>
      </c>
      <c r="H62" s="34">
        <f>VLOOKUP($B62,[41]TrtCodes!$B$11:N82,7)</f>
        <v>2</v>
      </c>
      <c r="I62" s="34">
        <f>[41]FormattedData!B39</f>
        <v>2</v>
      </c>
      <c r="J62" s="37">
        <f>[41]FormattedData!C39</f>
        <v>13.311999999999999</v>
      </c>
      <c r="K62" s="39">
        <f>$J$3+[41]FormattedData!D39*$J$4+$M$4*$J$5+[41]FormattedData!D39^2*$J$6+$M$5*$J$7</f>
        <v>30.598324139791959</v>
      </c>
      <c r="L62" s="39">
        <f>$J$3+[41]FormattedData!E39*$J$4+$M$4*$J$5+[41]FormattedData!E39^2*$J$6+$M$5*$J$7</f>
        <v>31.083027290284189</v>
      </c>
      <c r="M62" s="39">
        <f>$J$3+[41]FormattedData!F39*$J$4+$M$4*$J$5+[41]FormattedData!F39^2*$J$6+$M$5*$J$7</f>
        <v>36.628359217193911</v>
      </c>
      <c r="N62" s="39">
        <f>$J$3+[41]FormattedData!G39*$J$4+$M$4*$J$5+[41]FormattedData!G39^2*$J$6+$M$5*$J$7</f>
        <v>33.299051313334637</v>
      </c>
      <c r="O62" s="39">
        <f>$J$3+[41]FormattedData!H39*$J$4+$M$4*$J$5+[41]FormattedData!H39^2*$J$6+$M$5*$J$7</f>
        <v>34.16010447897925</v>
      </c>
      <c r="P62" s="39">
        <f>$J$3+[41]FormattedData!I39*$J$4+$M$4*$J$5+[41]FormattedData!I39^2*$J$6+$M$5*$J$7</f>
        <v>32.145654590029174</v>
      </c>
      <c r="Q62" s="39">
        <f>$J$3+[41]FormattedData!J39*$J$4+$M$4*$J$5+[41]FormattedData!J39^2*$J$6+$M$5*$J$7</f>
        <v>33.490692341021187</v>
      </c>
      <c r="R62" s="39">
        <f>$J$3+[41]FormattedData!K39*$J$4+$M$4*$J$5+[41]FormattedData!K39^2*$J$6+$M$5*$J$7</f>
        <v>31.083027290284189</v>
      </c>
      <c r="S62" s="39">
        <f>$J$3+[41]FormattedData!L39*$J$4+$M$4*$J$5+[41]FormattedData!L39^2*$J$6+$M$5*$J$7</f>
        <v>33.203167396684471</v>
      </c>
      <c r="T62" s="39">
        <f>$J$3+[41]FormattedData!M39*$J$4+$M$4*$J$5+[41]FormattedData!M39^2*$J$6+$M$5*$J$7</f>
        <v>31.276612670715572</v>
      </c>
      <c r="U62" s="39">
        <f>$J$3+[41]FormattedData!N39*$J$4+$M$4*$J$5+[41]FormattedData!N39^2*$J$6+$M$5*$J$7</f>
        <v>35.682411954761228</v>
      </c>
      <c r="V62" s="39">
        <f>$J$3+[41]FormattedData!O39*$J$4+$M$4*$J$5+[41]FormattedData!O39^2*$J$6+$M$5*$J$7</f>
        <v>31.663276209123154</v>
      </c>
      <c r="W62" s="38">
        <f>AVERAGE(K62:V62)</f>
        <v>32.859475741016915</v>
      </c>
      <c r="X62" s="37">
        <f>STDEV(K62:V62)/SQRT(COUNT(K62:V62))</f>
        <v>0.5535361933290277</v>
      </c>
      <c r="Y62" s="36">
        <f>MIN(K62:V62)</f>
        <v>30.598324139791959</v>
      </c>
      <c r="Z62" s="35">
        <f>QUARTILE(K62:V62,1)</f>
        <v>31.228216325607725</v>
      </c>
      <c r="AA62" s="36">
        <f>MEDIAN(K62:V62)</f>
        <v>32.674410993356823</v>
      </c>
      <c r="AB62" s="35">
        <f>QUARTILE(K62:V62,3)</f>
        <v>33.658045375510703</v>
      </c>
      <c r="AC62" s="35">
        <f>MAX(K62:V62)</f>
        <v>36.628359217193911</v>
      </c>
      <c r="AD62" s="35">
        <f>SKEW(K62:V62)</f>
        <v>0.77047066115730556</v>
      </c>
      <c r="AE62" s="35">
        <f>KURT(K62:V62)</f>
        <v>-0.26866204211911615</v>
      </c>
    </row>
    <row r="63" spans="2:31" x14ac:dyDescent="0.2">
      <c r="B63" s="34">
        <f>[41]FormattedData!A41</f>
        <v>206</v>
      </c>
      <c r="C63" s="34" t="str">
        <f>VLOOKUP($B63,[41]TrtCodes!$B$11:I84,2)</f>
        <v>NSL</v>
      </c>
      <c r="D63" s="34">
        <f>VLOOKUP($B63,[41]TrtCodes!$B$11:J84,3)</f>
        <v>8</v>
      </c>
      <c r="E63" s="34">
        <f>VLOOKUP($B63,[41]TrtCodes!$B$11:K84,4)</f>
        <v>2</v>
      </c>
      <c r="F63" s="34">
        <f>VLOOKUP($B63,[41]TrtCodes!$B$11:L84,5)</f>
        <v>1</v>
      </c>
      <c r="G63" s="34">
        <f>VLOOKUP($B63,[41]TrtCodes!$B$11:M84,6)</f>
        <v>1</v>
      </c>
      <c r="H63" s="34">
        <f>VLOOKUP($B63,[41]TrtCodes!$B$11:N84,7)</f>
        <v>2</v>
      </c>
      <c r="I63" s="34">
        <f>[41]FormattedData!B41</f>
        <v>2</v>
      </c>
      <c r="J63" s="37">
        <f>[41]FormattedData!C41</f>
        <v>13.329000000000001</v>
      </c>
      <c r="K63" s="39">
        <f>$J$3+[41]FormattedData!D41*$J$4+$M$4*$J$5+[41]FormattedData!D41^2*$J$6+$M$5*$J$7</f>
        <v>32.723113785364667</v>
      </c>
      <c r="L63" s="39">
        <f>$J$3+[41]FormattedData!E41*$J$4+$M$4*$J$5+[41]FormattedData!E41^2*$J$6+$M$5*$J$7</f>
        <v>31.47002897699522</v>
      </c>
      <c r="M63" s="39">
        <f>$J$3+[41]FormattedData!F41*$J$4+$M$4*$J$5+[41]FormattedData!F41^2*$J$6+$M$5*$J$7</f>
        <v>35.207853253372456</v>
      </c>
      <c r="N63" s="39">
        <f>$J$3+[41]FormattedData!G41*$J$4+$M$4*$J$5+[41]FormattedData!G41^2*$J$6+$M$5*$J$7</f>
        <v>32.626976257486916</v>
      </c>
      <c r="O63" s="39">
        <f>$J$3+[41]FormattedData!H41*$J$4+$M$4*$J$5+[41]FormattedData!H41^2*$J$6+$M$5*$J$7</f>
        <v>32.530796461071233</v>
      </c>
      <c r="P63" s="39">
        <f>$J$3+[41]FormattedData!I41*$J$4+$M$4*$J$5+[41]FormattedData!I41^2*$J$6+$M$5*$J$7</f>
        <v>31.276612670715572</v>
      </c>
      <c r="Q63" s="39">
        <f>$J$3+[41]FormattedData!J41*$J$4+$M$4*$J$5+[41]FormattedData!J41^2*$J$6+$M$5*$J$7</f>
        <v>35.492715279819514</v>
      </c>
      <c r="R63" s="39">
        <f>$J$3+[41]FormattedData!K41*$J$4+$M$4*$J$5+[41]FormattedData!K41^2*$J$6+$M$5*$J$7</f>
        <v>32.145654590029174</v>
      </c>
      <c r="S63" s="39">
        <f>$J$3+[41]FormattedData!L41*$J$4+$M$4*$J$5+[41]FormattedData!L41^2*$J$6+$M$5*$J$7</f>
        <v>33.873467173939105</v>
      </c>
      <c r="T63" s="39">
        <f>$J$3+[41]FormattedData!M41*$J$4+$M$4*$J$5+[41]FormattedData!M41^2*$J$6+$M$5*$J$7</f>
        <v>35.397803539541762</v>
      </c>
      <c r="U63" s="39">
        <f>$J$3+[41]FormattedData!N41*$J$4+$M$4*$J$5+[41]FormattedData!N41^2*$J$6+$M$5*$J$7</f>
        <v>33.203167396684471</v>
      </c>
      <c r="V63" s="39">
        <f>$J$3+[41]FormattedData!O41*$J$4+$M$4*$J$5+[41]FormattedData!O41^2*$J$6+$M$5*$J$7</f>
        <v>31.663276209123154</v>
      </c>
      <c r="W63" s="38">
        <f>AVERAGE(K63:V63)</f>
        <v>33.134288799511943</v>
      </c>
      <c r="X63" s="37">
        <f>STDEV(K63:V63)/SQRT(COUNT(K63:V63))</f>
        <v>0.44115124720103738</v>
      </c>
      <c r="Y63" s="36">
        <f>MIN(K63:V63)</f>
        <v>31.276612670715572</v>
      </c>
      <c r="Z63" s="35">
        <f>QUARTILE(K63:V63,1)</f>
        <v>32.025059994802668</v>
      </c>
      <c r="AA63" s="36">
        <f>MEDIAN(K63:V63)</f>
        <v>32.675045021425788</v>
      </c>
      <c r="AB63" s="35">
        <f>QUARTILE(K63:V63,3)</f>
        <v>34.207063693797444</v>
      </c>
      <c r="AC63" s="35">
        <f>MAX(K63:V63)</f>
        <v>35.492715279819514</v>
      </c>
      <c r="AD63" s="35">
        <f>SKEW(K63:V63)</f>
        <v>0.56381979393151926</v>
      </c>
      <c r="AE63" s="35">
        <f>KURT(K63:V63)</f>
        <v>-1.1031233428754259</v>
      </c>
    </row>
    <row r="64" spans="2:31" x14ac:dyDescent="0.2">
      <c r="B64" s="34">
        <f>[41]FormattedData!A43</f>
        <v>207</v>
      </c>
      <c r="C64" s="34" t="str">
        <f>VLOOKUP($B64,[41]TrtCodes!$B$11:I86,2)</f>
        <v>FTL</v>
      </c>
      <c r="D64" s="34">
        <f>VLOOKUP($B64,[41]TrtCodes!$B$11:J86,3)</f>
        <v>4</v>
      </c>
      <c r="E64" s="34">
        <f>VLOOKUP($B64,[41]TrtCodes!$B$11:K86,4)</f>
        <v>1</v>
      </c>
      <c r="F64" s="34">
        <f>VLOOKUP($B64,[41]TrtCodes!$B$11:L86,5)</f>
        <v>2</v>
      </c>
      <c r="G64" s="34">
        <f>VLOOKUP($B64,[41]TrtCodes!$B$11:M86,6)</f>
        <v>1</v>
      </c>
      <c r="H64" s="34">
        <f>VLOOKUP($B64,[41]TrtCodes!$B$11:N86,7)</f>
        <v>2</v>
      </c>
      <c r="I64" s="34">
        <f>[41]FormattedData!B43</f>
        <v>2</v>
      </c>
      <c r="J64" s="37">
        <f>[41]FormattedData!C43</f>
        <v>13.346</v>
      </c>
      <c r="K64" s="39">
        <f>$J$3+[41]FormattedData!D43*$J$4+$M$4*$J$5+[41]FormattedData!D43^2*$J$6+$M$5*$J$7</f>
        <v>30.015285497449558</v>
      </c>
      <c r="L64" s="39">
        <f>$J$3+[41]FormattedData!E43*$J$4+$M$4*$J$5+[41]FormattedData!E43^2*$J$6+$M$5*$J$7</f>
        <v>30.986171197261609</v>
      </c>
      <c r="M64" s="39">
        <f>$J$3+[41]FormattedData!F43*$J$4+$M$4*$J$5+[41]FormattedData!F43^2*$J$6+$M$5*$J$7</f>
        <v>29.430725187741629</v>
      </c>
      <c r="N64" s="39">
        <f>$J$3+[41]FormattedData!G43*$J$4+$M$4*$J$5+[41]FormattedData!G43^2*$J$6+$M$5*$J$7</f>
        <v>29.040172943844389</v>
      </c>
      <c r="O64" s="39">
        <f>$J$3+[41]FormattedData!H43*$J$4+$M$4*$J$5+[41]FormattedData!H43^2*$J$6+$M$5*$J$7</f>
        <v>31.276612670715572</v>
      </c>
      <c r="P64" s="39">
        <f>$J$3+[41]FormattedData!I43*$J$4+$M$4*$J$5+[41]FormattedData!I43^2*$J$6+$M$5*$J$7</f>
        <v>29.723195551016286</v>
      </c>
      <c r="Q64" s="39">
        <f>$J$3+[41]FormattedData!J43*$J$4+$M$4*$J$5+[41]FormattedData!J43^2*$J$6+$M$5*$J$7</f>
        <v>29.820601135031971</v>
      </c>
      <c r="R64" s="39">
        <f>$J$3+[41]FormattedData!K43*$J$4+$M$4*$J$5+[41]FormattedData!K43^2*$J$6+$M$5*$J$7</f>
        <v>30.015285497449558</v>
      </c>
      <c r="S64" s="39">
        <f>$J$3+[41]FormattedData!L43*$J$4+$M$4*$J$5+[41]FormattedData!L43^2*$J$6+$M$5*$J$7</f>
        <v>31.759836422380218</v>
      </c>
      <c r="T64" s="39">
        <f>$J$3+[41]FormattedData!M43*$J$4+$M$4*$J$5+[41]FormattedData!M43^2*$J$6+$M$5*$J$7</f>
        <v>30.112564275851451</v>
      </c>
      <c r="U64" s="39">
        <f>$J$3+[41]FormattedData!N43*$J$4+$M$4*$J$5+[41]FormattedData!N43^2*$J$6+$M$5*$J$7</f>
        <v>30.889272835701096</v>
      </c>
      <c r="V64" s="39">
        <f>$J$3+[41]FormattedData!O43*$J$4+$M$4*$J$5+[41]FormattedData!O43^2*$J$6+$M$5*$J$7</f>
        <v>30.792332205602655</v>
      </c>
      <c r="W64" s="38">
        <f>AVERAGE(K64:V64)</f>
        <v>30.321837951670499</v>
      </c>
      <c r="X64" s="37">
        <f>STDEV(K64:V64)/SQRT(COUNT(K64:V64))</f>
        <v>0.23423348109656392</v>
      </c>
      <c r="Y64" s="36">
        <f>MIN(K64:V64)</f>
        <v>29.040172943844389</v>
      </c>
      <c r="Z64" s="35">
        <f>QUARTILE(K64:V64,1)</f>
        <v>29.796249739028049</v>
      </c>
      <c r="AA64" s="36">
        <f>MEDIAN(K64:V64)</f>
        <v>30.063924886650504</v>
      </c>
      <c r="AB64" s="35">
        <f>QUARTILE(K64:V64,3)</f>
        <v>30.913497426091226</v>
      </c>
      <c r="AC64" s="35">
        <f>MAX(K64:V64)</f>
        <v>31.759836422380218</v>
      </c>
      <c r="AD64" s="35">
        <f>SKEW(K64:V64)</f>
        <v>0.24581515967039985</v>
      </c>
      <c r="AE64" s="35">
        <f>KURT(K64:V64)</f>
        <v>-0.7636440260441919</v>
      </c>
    </row>
    <row r="65" spans="2:31" x14ac:dyDescent="0.2">
      <c r="B65" s="34">
        <f>[41]FormattedData!A45</f>
        <v>208</v>
      </c>
      <c r="C65" s="34" t="str">
        <f>VLOOKUP($B65,[41]TrtCodes!$B$11:I88,2)</f>
        <v>FSL</v>
      </c>
      <c r="D65" s="34">
        <f>VLOOKUP($B65,[41]TrtCodes!$B$11:J88,3)</f>
        <v>2</v>
      </c>
      <c r="E65" s="34">
        <f>VLOOKUP($B65,[41]TrtCodes!$B$11:K88,4)</f>
        <v>1</v>
      </c>
      <c r="F65" s="34">
        <f>VLOOKUP($B65,[41]TrtCodes!$B$11:L88,5)</f>
        <v>1</v>
      </c>
      <c r="G65" s="34">
        <f>VLOOKUP($B65,[41]TrtCodes!$B$11:M88,6)</f>
        <v>1</v>
      </c>
      <c r="H65" s="34">
        <f>VLOOKUP($B65,[41]TrtCodes!$B$11:N88,7)</f>
        <v>2</v>
      </c>
      <c r="I65" s="34">
        <f>[41]FormattedData!B45</f>
        <v>2</v>
      </c>
      <c r="J65" s="37">
        <f>[41]FormattedData!C45</f>
        <v>13.361000000000001</v>
      </c>
      <c r="K65" s="39">
        <f>$J$3+[41]FormattedData!D45*$J$4+$M$4*$J$5+[41]FormattedData!D45^2*$J$6+$M$5*$J$7</f>
        <v>33.873467173939105</v>
      </c>
      <c r="L65" s="39">
        <f>$J$3+[41]FormattedData!E45*$J$4+$M$4*$J$5+[41]FormattedData!E45^2*$J$6+$M$5*$J$7</f>
        <v>35.397803539541762</v>
      </c>
      <c r="M65" s="39">
        <f>$J$3+[41]FormattedData!F45*$J$4+$M$4*$J$5+[41]FormattedData!F45^2*$J$6+$M$5*$J$7</f>
        <v>33.969055210823747</v>
      </c>
      <c r="N65" s="39">
        <f>$J$3+[41]FormattedData!G45*$J$4+$M$4*$J$5+[41]FormattedData!G45^2*$J$6+$M$5*$J$7</f>
        <v>32.242003460596578</v>
      </c>
      <c r="O65" s="39">
        <f>$J$3+[41]FormattedData!H45*$J$4+$M$4*$J$5+[41]FormattedData!H45^2*$J$6+$M$5*$J$7</f>
        <v>32.338310062626057</v>
      </c>
      <c r="P65" s="39">
        <f>$J$3+[41]FormattedData!I45*$J$4+$M$4*$J$5+[41]FormattedData!I45^2*$J$6+$M$5*$J$7</f>
        <v>34.446361367178035</v>
      </c>
      <c r="Q65" s="39">
        <f>$J$3+[41]FormattedData!J45*$J$4+$M$4*$J$5+[41]FormattedData!J45^2*$J$6+$M$5*$J$7</f>
        <v>33.299051313334637</v>
      </c>
      <c r="R65" s="39">
        <f>$J$3+[41]FormattedData!K45*$J$4+$M$4*$J$5+[41]FormattedData!K45^2*$J$6+$M$5*$J$7</f>
        <v>32.338310062626057</v>
      </c>
      <c r="S65" s="39">
        <f>$J$3+[41]FormattedData!L45*$J$4+$M$4*$J$5+[41]FormattedData!L45^2*$J$6+$M$5*$J$7</f>
        <v>37.851771511935688</v>
      </c>
      <c r="T65" s="39">
        <f>$J$3+[41]FormattedData!M45*$J$4+$M$4*$J$5+[41]FormattedData!M45^2*$J$6+$M$5*$J$7</f>
        <v>31.759836422380218</v>
      </c>
      <c r="U65" s="39">
        <f>$J$3+[41]FormattedData!N45*$J$4+$M$4*$J$5+[41]FormattedData!N45^2*$J$6+$M$5*$J$7</f>
        <v>33.969055210823747</v>
      </c>
      <c r="V65" s="39">
        <f>$J$3+[41]FormattedData!O45*$J$4+$M$4*$J$5+[41]FormattedData!O45^2*$J$6+$M$5*$J$7</f>
        <v>35.207853253372456</v>
      </c>
      <c r="W65" s="38">
        <f>AVERAGE(K65:V65)</f>
        <v>33.891073215764841</v>
      </c>
      <c r="X65" s="37">
        <f>STDEV(K65:V65)/SQRT(COUNT(K65:V65))</f>
        <v>0.49578780510791853</v>
      </c>
      <c r="Y65" s="36">
        <f>MIN(K65:V65)</f>
        <v>31.759836422380218</v>
      </c>
      <c r="Z65" s="35">
        <f>QUARTILE(K65:V65,1)</f>
        <v>32.338310062626057</v>
      </c>
      <c r="AA65" s="36">
        <f>MEDIAN(K65:V65)</f>
        <v>33.921261192381422</v>
      </c>
      <c r="AB65" s="35">
        <f>QUARTILE(K65:V65,3)</f>
        <v>34.63673433872664</v>
      </c>
      <c r="AC65" s="35">
        <f>MAX(K65:V65)</f>
        <v>37.851771511935688</v>
      </c>
      <c r="AD65" s="35">
        <f>SKEW(K65:V65)</f>
        <v>0.99375793129384304</v>
      </c>
      <c r="AE65" s="35">
        <f>KURT(K65:V65)</f>
        <v>1.2934452398031775</v>
      </c>
    </row>
    <row r="66" spans="2:31" x14ac:dyDescent="0.2">
      <c r="B66" s="34">
        <f>[41]FormattedData!A63</f>
        <v>301</v>
      </c>
      <c r="C66" s="34" t="str">
        <f>VLOOKUP($B66,[41]TrtCodes!$B$11:I106,2)</f>
        <v>NTL</v>
      </c>
      <c r="D66" s="34">
        <f>VLOOKUP($B66,[41]TrtCodes!$B$11:J106,3)</f>
        <v>10</v>
      </c>
      <c r="E66" s="34">
        <f>VLOOKUP($B66,[41]TrtCodes!$B$11:K106,4)</f>
        <v>2</v>
      </c>
      <c r="F66" s="34">
        <f>VLOOKUP($B66,[41]TrtCodes!$B$11:L106,5)</f>
        <v>2</v>
      </c>
      <c r="G66" s="34">
        <f>VLOOKUP($B66,[41]TrtCodes!$B$11:M106,6)</f>
        <v>1</v>
      </c>
      <c r="H66" s="34">
        <f>VLOOKUP($B66,[41]TrtCodes!$B$11:N106,7)</f>
        <v>3</v>
      </c>
      <c r="I66" s="34">
        <f>[41]FormattedData!B63</f>
        <v>2</v>
      </c>
      <c r="J66" s="37">
        <f>[41]FormattedData!C63</f>
        <v>13.488</v>
      </c>
      <c r="K66" s="39">
        <f>$J$3+[41]FormattedData!D63*$J$4+$M$4*$J$5+[41]FormattedData!D63^2*$J$6+$M$5*$J$7</f>
        <v>28.844643210668181</v>
      </c>
      <c r="L66" s="39">
        <f>$J$3+[41]FormattedData!E63*$J$4+$M$4*$J$5+[41]FormattedData!E63^2*$J$6+$M$5*$J$7</f>
        <v>30.501256704079722</v>
      </c>
      <c r="M66" s="39">
        <f>$J$3+[41]FormattedData!F63*$J$4+$M$4*$J$5+[41]FormattedData!F63^2*$J$6+$M$5*$J$7</f>
        <v>33.01127275777035</v>
      </c>
      <c r="N66" s="39">
        <f>$J$3+[41]FormattedData!G63*$J$4+$M$4*$J$5+[41]FormattedData!G63^2*$J$6+$M$5*$J$7</f>
        <v>32.049263450923831</v>
      </c>
      <c r="O66" s="39">
        <f>$J$3+[41]FormattedData!H63*$J$4+$M$4*$J$5+[41]FormattedData!H63^2*$J$6+$M$5*$J$7</f>
        <v>30.015285497449558</v>
      </c>
      <c r="P66" s="39">
        <f>$J$3+[41]FormattedData!I63*$J$4+$M$4*$J$5+[41]FormattedData!I63^2*$J$6+$M$5*$J$7</f>
        <v>30.792332205602655</v>
      </c>
      <c r="Q66" s="39">
        <f>$J$3+[41]FormattedData!J63*$J$4+$M$4*$J$5+[41]FormattedData!J63^2*$J$6+$M$5*$J$7</f>
        <v>32.242003460596578</v>
      </c>
      <c r="R66" s="39">
        <f>$J$3+[41]FormattedData!K63*$J$4+$M$4*$J$5+[41]FormattedData!K63^2*$J$6+$M$5*$J$7</f>
        <v>30.792332205602655</v>
      </c>
      <c r="S66" s="39">
        <f>$J$3+[41]FormattedData!L63*$J$4+$M$4*$J$5+[41]FormattedData!L63^2*$J$6+$M$5*$J$7</f>
        <v>33.107241211496373</v>
      </c>
      <c r="T66" s="39">
        <f>$J$3+[41]FormattedData!M63*$J$4+$M$4*$J$5+[41]FormattedData!M63^2*$J$6+$M$5*$J$7</f>
        <v>32.915262035506387</v>
      </c>
      <c r="U66" s="39">
        <f>$J$3+[41]FormattedData!N63*$J$4+$M$4*$J$5+[41]FormattedData!N63^2*$J$6+$M$5*$J$7</f>
        <v>33.107241211496373</v>
      </c>
      <c r="V66" s="39">
        <f>$J$3+[41]FormattedData!O63*$J$4+$M$4*$J$5+[41]FormattedData!O63^2*$J$6+$M$5*$J$7</f>
        <v>33.107241211496373</v>
      </c>
      <c r="W66" s="38">
        <f>AVERAGE(K66:V66)</f>
        <v>31.707114596890758</v>
      </c>
      <c r="X66" s="37">
        <f>STDEV(K66:V66)/SQRT(COUNT(K66:V66))</f>
        <v>0.42308802840374671</v>
      </c>
      <c r="Y66" s="36">
        <f>MIN(K66:V66)</f>
        <v>28.844643210668181</v>
      </c>
      <c r="Z66" s="35">
        <f>QUARTILE(K66:V66,1)</f>
        <v>30.719563330221924</v>
      </c>
      <c r="AA66" s="36">
        <f>MEDIAN(K66:V66)</f>
        <v>32.145633455760205</v>
      </c>
      <c r="AB66" s="35">
        <f>QUARTILE(K66:V66,3)</f>
        <v>33.035264871201854</v>
      </c>
      <c r="AC66" s="35">
        <f>MAX(K66:V66)</f>
        <v>33.107241211496373</v>
      </c>
      <c r="AD66" s="35">
        <f>SKEW(K66:V66)</f>
        <v>-0.66435621733922701</v>
      </c>
      <c r="AE66" s="35">
        <f>KURT(K66:V66)</f>
        <v>-0.77215194858437863</v>
      </c>
    </row>
    <row r="67" spans="2:31" x14ac:dyDescent="0.2">
      <c r="B67" s="34">
        <f>[41]FormattedData!A65</f>
        <v>302</v>
      </c>
      <c r="C67" s="34" t="str">
        <f>VLOOKUP($B67,[41]TrtCodes!$B$11:I108,2)</f>
        <v>FTL</v>
      </c>
      <c r="D67" s="34">
        <f>VLOOKUP($B67,[41]TrtCodes!$B$11:J108,3)</f>
        <v>4</v>
      </c>
      <c r="E67" s="34">
        <f>VLOOKUP($B67,[41]TrtCodes!$B$11:K108,4)</f>
        <v>1</v>
      </c>
      <c r="F67" s="34">
        <f>VLOOKUP($B67,[41]TrtCodes!$B$11:L108,5)</f>
        <v>2</v>
      </c>
      <c r="G67" s="34">
        <f>VLOOKUP($B67,[41]TrtCodes!$B$11:M108,6)</f>
        <v>1</v>
      </c>
      <c r="H67" s="34">
        <f>VLOOKUP($B67,[41]TrtCodes!$B$11:N108,7)</f>
        <v>3</v>
      </c>
      <c r="I67" s="34">
        <f>[41]FormattedData!B65</f>
        <v>2</v>
      </c>
      <c r="J67" s="37">
        <f>[41]FormattedData!C65</f>
        <v>13.503</v>
      </c>
      <c r="K67" s="39">
        <f>$J$3+[41]FormattedData!D65*$J$4+$M$4*$J$5+[41]FormattedData!D65^2*$J$6+$M$5*$J$7</f>
        <v>34.446361367178035</v>
      </c>
      <c r="L67" s="39">
        <f>$J$3+[41]FormattedData!E65*$J$4+$M$4*$J$5+[41]FormattedData!E65^2*$J$6+$M$5*$J$7</f>
        <v>33.107241211496373</v>
      </c>
      <c r="M67" s="39">
        <f>$J$3+[41]FormattedData!F65*$J$4+$M$4*$J$5+[41]FormattedData!F65^2*$J$6+$M$5*$J$7</f>
        <v>31.952830043280564</v>
      </c>
      <c r="N67" s="39">
        <f>$J$3+[41]FormattedData!G65*$J$4+$M$4*$J$5+[41]FormattedData!G65^2*$J$6+$M$5*$J$7</f>
        <v>30.792332205602655</v>
      </c>
      <c r="O67" s="39">
        <f>$J$3+[41]FormattedData!H65*$J$4+$M$4*$J$5+[41]FormattedData!H65^2*$J$6+$M$5*$J$7</f>
        <v>32.338310062626057</v>
      </c>
      <c r="P67" s="39">
        <f>$J$3+[41]FormattedData!I65*$J$4+$M$4*$J$5+[41]FormattedData!I65^2*$J$6+$M$5*$J$7</f>
        <v>32.626976257486916</v>
      </c>
      <c r="Q67" s="39">
        <f>$J$3+[41]FormattedData!J65*$J$4+$M$4*$J$5+[41]FormattedData!J65^2*$J$6+$M$5*$J$7</f>
        <v>30.986171197261609</v>
      </c>
      <c r="R67" s="39">
        <f>$J$3+[41]FormattedData!K65*$J$4+$M$4*$J$5+[41]FormattedData!K65^2*$J$6+$M$5*$J$7</f>
        <v>31.85635436709935</v>
      </c>
      <c r="S67" s="39">
        <f>$J$3+[41]FormattedData!L65*$J$4+$M$4*$J$5+[41]FormattedData!L65^2*$J$6+$M$5*$J$7</f>
        <v>32.530796461071233</v>
      </c>
      <c r="T67" s="39">
        <f>$J$3+[41]FormattedData!M65*$J$4+$M$4*$J$5+[41]FormattedData!M65^2*$J$6+$M$5*$J$7</f>
        <v>32.434574396117618</v>
      </c>
      <c r="U67" s="39">
        <f>$J$3+[41]FormattedData!N65*$J$4+$M$4*$J$5+[41]FormattedData!N65^2*$J$6+$M$5*$J$7</f>
        <v>32.242003460596578</v>
      </c>
      <c r="V67" s="39">
        <f>$J$3+[41]FormattedData!O65*$J$4+$M$4*$J$5+[41]FormattedData!O65^2*$J$6+$M$5*$J$7</f>
        <v>30.501256704079722</v>
      </c>
      <c r="W67" s="38">
        <f>AVERAGE(K67:V67)</f>
        <v>32.151267311158058</v>
      </c>
      <c r="X67" s="37">
        <f>STDEV(K67:V67)/SQRT(COUNT(K67:V67))</f>
        <v>0.31052502849514135</v>
      </c>
      <c r="Y67" s="36">
        <f>MIN(K67:V67)</f>
        <v>30.501256704079722</v>
      </c>
      <c r="Z67" s="35">
        <f>QUARTILE(K67:V67,1)</f>
        <v>31.638808574639913</v>
      </c>
      <c r="AA67" s="36">
        <f>MEDIAN(K67:V67)</f>
        <v>32.290156761611314</v>
      </c>
      <c r="AB67" s="35">
        <f>QUARTILE(K67:V67,3)</f>
        <v>32.554841410175158</v>
      </c>
      <c r="AC67" s="35">
        <f>MAX(K67:V67)</f>
        <v>34.446361367178035</v>
      </c>
      <c r="AD67" s="35">
        <f>SKEW(K67:V67)</f>
        <v>0.39777875705057819</v>
      </c>
      <c r="AE67" s="35">
        <f>KURT(K67:V67)</f>
        <v>0.83142581008120953</v>
      </c>
    </row>
    <row r="68" spans="2:31" x14ac:dyDescent="0.2">
      <c r="B68" s="34">
        <f>[41]FormattedData!A67</f>
        <v>303</v>
      </c>
      <c r="C68" s="34" t="str">
        <f>VLOOKUP($B68,[41]TrtCodes!$B$11:I110,2)</f>
        <v>NSL</v>
      </c>
      <c r="D68" s="34">
        <f>VLOOKUP($B68,[41]TrtCodes!$B$11:J110,3)</f>
        <v>8</v>
      </c>
      <c r="E68" s="34">
        <f>VLOOKUP($B68,[41]TrtCodes!$B$11:K110,4)</f>
        <v>2</v>
      </c>
      <c r="F68" s="34">
        <f>VLOOKUP($B68,[41]TrtCodes!$B$11:L110,5)</f>
        <v>1</v>
      </c>
      <c r="G68" s="34">
        <f>VLOOKUP($B68,[41]TrtCodes!$B$11:M110,6)</f>
        <v>1</v>
      </c>
      <c r="H68" s="34">
        <f>VLOOKUP($B68,[41]TrtCodes!$B$11:N110,7)</f>
        <v>3</v>
      </c>
      <c r="I68" s="34">
        <f>[41]FormattedData!B67</f>
        <v>2</v>
      </c>
      <c r="J68" s="37">
        <f>[41]FormattedData!C67</f>
        <v>13.519</v>
      </c>
      <c r="K68" s="39">
        <f>$J$3+[41]FormattedData!D67*$J$4+$M$4*$J$5+[41]FormattedData!D67^2*$J$6+$M$5*$J$7</f>
        <v>33.586449452057558</v>
      </c>
      <c r="L68" s="39">
        <f>$J$3+[41]FormattedData!E67*$J$4+$M$4*$J$5+[41]FormattedData!E67^2*$J$6+$M$5*$J$7</f>
        <v>31.759836422380218</v>
      </c>
      <c r="M68" s="39">
        <f>$J$3+[41]FormattedData!F67*$J$4+$M$4*$J$5+[41]FormattedData!F67^2*$J$6+$M$5*$J$7</f>
        <v>31.566673727328158</v>
      </c>
      <c r="N68" s="39">
        <f>$J$3+[41]FormattedData!G67*$J$4+$M$4*$J$5+[41]FormattedData!G67^2*$J$6+$M$5*$J$7</f>
        <v>32.145654590029174</v>
      </c>
      <c r="O68" s="39">
        <f>$J$3+[41]FormattedData!H67*$J$4+$M$4*$J$5+[41]FormattedData!H67^2*$J$6+$M$5*$J$7</f>
        <v>31.179841114768855</v>
      </c>
      <c r="P68" s="39">
        <f>$J$3+[41]FormattedData!I67*$J$4+$M$4*$J$5+[41]FormattedData!I67^2*$J$6+$M$5*$J$7</f>
        <v>32.434574396117618</v>
      </c>
      <c r="Q68" s="39">
        <f>$J$3+[41]FormattedData!J67*$J$4+$M$4*$J$5+[41]FormattedData!J67^2*$J$6+$M$5*$J$7</f>
        <v>37.664019189738809</v>
      </c>
      <c r="R68" s="39">
        <f>$J$3+[41]FormattedData!K67*$J$4+$M$4*$J$5+[41]FormattedData!K67^2*$J$6+$M$5*$J$7</f>
        <v>38.974734887930744</v>
      </c>
      <c r="S68" s="39">
        <f>$J$3+[41]FormattedData!L67*$J$4+$M$4*$J$5+[41]FormattedData!L67^2*$J$6+$M$5*$J$7</f>
        <v>32.915262035506387</v>
      </c>
      <c r="T68" s="39">
        <f>$J$3+[41]FormattedData!M67*$J$4+$M$4*$J$5+[41]FormattedData!M67^2*$J$6+$M$5*$J$7</f>
        <v>30.695349306966278</v>
      </c>
      <c r="U68" s="39">
        <f>$J$3+[41]FormattedData!N67*$J$4+$M$4*$J$5+[41]FormattedData!N67^2*$J$6+$M$5*$J$7</f>
        <v>30.306995027041452</v>
      </c>
      <c r="V68" s="39">
        <f>$J$3+[41]FormattedData!O67*$J$4+$M$4*$J$5+[41]FormattedData!O67^2*$J$6+$M$5*$J$7</f>
        <v>31.276612670715572</v>
      </c>
      <c r="W68" s="38">
        <f>AVERAGE(K68:V68)</f>
        <v>32.875500235048399</v>
      </c>
      <c r="X68" s="37">
        <f>STDEV(K68:V68)/SQRT(COUNT(K68:V68))</f>
        <v>0.78385415367984868</v>
      </c>
      <c r="Y68" s="36">
        <f>MIN(K68:V68)</f>
        <v>30.306995027041452</v>
      </c>
      <c r="Z68" s="35">
        <f>QUARTILE(K68:V68,1)</f>
        <v>31.252419781728893</v>
      </c>
      <c r="AA68" s="36">
        <f>MEDIAN(K68:V68)</f>
        <v>31.952745506204696</v>
      </c>
      <c r="AB68" s="35">
        <f>QUARTILE(K68:V68,3)</f>
        <v>33.083058889644178</v>
      </c>
      <c r="AC68" s="35">
        <f>MAX(K68:V68)</f>
        <v>38.974734887930744</v>
      </c>
      <c r="AD68" s="35">
        <f>SKEW(K68:V68)</f>
        <v>1.6165862024197739</v>
      </c>
      <c r="AE68" s="35">
        <f>KURT(K68:V68)</f>
        <v>1.7512208529635673</v>
      </c>
    </row>
    <row r="69" spans="2:31" x14ac:dyDescent="0.2">
      <c r="B69" s="34">
        <f>[41]FormattedData!A69</f>
        <v>304</v>
      </c>
      <c r="C69" s="34" t="str">
        <f>VLOOKUP($B69,[41]TrtCodes!$B$11:I112,2)</f>
        <v>FSL</v>
      </c>
      <c r="D69" s="34">
        <f>VLOOKUP($B69,[41]TrtCodes!$B$11:J112,3)</f>
        <v>2</v>
      </c>
      <c r="E69" s="34">
        <f>VLOOKUP($B69,[41]TrtCodes!$B$11:K112,4)</f>
        <v>1</v>
      </c>
      <c r="F69" s="34">
        <f>VLOOKUP($B69,[41]TrtCodes!$B$11:L112,5)</f>
        <v>1</v>
      </c>
      <c r="G69" s="34">
        <f>VLOOKUP($B69,[41]TrtCodes!$B$11:M112,6)</f>
        <v>1</v>
      </c>
      <c r="H69" s="34">
        <f>VLOOKUP($B69,[41]TrtCodes!$B$11:N112,7)</f>
        <v>3</v>
      </c>
      <c r="I69" s="34">
        <f>[41]FormattedData!B69</f>
        <v>2</v>
      </c>
      <c r="J69" s="37">
        <f>[41]FormattedData!C69</f>
        <v>13.536</v>
      </c>
      <c r="K69" s="39">
        <f>$J$3+[41]FormattedData!D69*$J$4+$M$4*$J$5+[41]FormattedData!D69^2*$J$6+$M$5*$J$7</f>
        <v>32.049263450923831</v>
      </c>
      <c r="L69" s="39">
        <f>$J$3+[41]FormattedData!E69*$J$4+$M$4*$J$5+[41]FormattedData!E69^2*$J$6+$M$5*$J$7</f>
        <v>34.255565710250103</v>
      </c>
      <c r="M69" s="39">
        <f>$J$3+[41]FormattedData!F69*$J$4+$M$4*$J$5+[41]FormattedData!F69^2*$J$6+$M$5*$J$7</f>
        <v>32.626976257486916</v>
      </c>
      <c r="N69" s="39">
        <f>$J$3+[41]FormattedData!G69*$J$4+$M$4*$J$5+[41]FormattedData!G69^2*$J$6+$M$5*$J$7</f>
        <v>29.723195551016286</v>
      </c>
      <c r="O69" s="39">
        <f>$J$3+[41]FormattedData!H69*$J$4+$M$4*$J$5+[41]FormattedData!H69^2*$J$6+$M$5*$J$7</f>
        <v>30.792332205602655</v>
      </c>
      <c r="P69" s="39">
        <f>$J$3+[41]FormattedData!I69*$J$4+$M$4*$J$5+[41]FormattedData!I69^2*$J$6+$M$5*$J$7</f>
        <v>30.209800785715423</v>
      </c>
      <c r="Q69" s="39">
        <f>$J$3+[41]FormattedData!J69*$J$4+$M$4*$J$5+[41]FormattedData!J69^2*$J$6+$M$5*$J$7</f>
        <v>34.255565710250103</v>
      </c>
      <c r="R69" s="39">
        <f>$J$3+[41]FormattedData!K69*$J$4+$M$4*$J$5+[41]FormattedData!K69^2*$J$6+$M$5*$J$7</f>
        <v>31.566673727328158</v>
      </c>
      <c r="S69" s="39">
        <f>$J$3+[41]FormattedData!L69*$J$4+$M$4*$J$5+[41]FormattedData!L69^2*$J$6+$M$5*$J$7</f>
        <v>33.394892961446885</v>
      </c>
      <c r="T69" s="39">
        <f>$J$3+[41]FormattedData!M69*$J$4+$M$4*$J$5+[41]FormattedData!M69^2*$J$6+$M$5*$J$7</f>
        <v>33.969055210823747</v>
      </c>
      <c r="U69" s="39">
        <f>$J$3+[41]FormattedData!N69*$J$4+$M$4*$J$5+[41]FormattedData!N69^2*$J$6+$M$5*$J$7</f>
        <v>32.145654590029174</v>
      </c>
      <c r="V69" s="39">
        <f>$J$3+[41]FormattedData!O69*$J$4+$M$4*$J$5+[41]FormattedData!O69^2*$J$6+$M$5*$J$7</f>
        <v>32.338310062626057</v>
      </c>
      <c r="W69" s="38">
        <f>AVERAGE(K69:V69)</f>
        <v>32.277273851958277</v>
      </c>
      <c r="X69" s="37">
        <f>STDEV(K69:V69)/SQRT(COUNT(K69:V69))</f>
        <v>0.44074290447020753</v>
      </c>
      <c r="Y69" s="36">
        <f>MIN(K69:V69)</f>
        <v>29.723195551016286</v>
      </c>
      <c r="Z69" s="35">
        <f>QUARTILE(K69:V69,1)</f>
        <v>31.373088346896782</v>
      </c>
      <c r="AA69" s="36">
        <f>MEDIAN(K69:V69)</f>
        <v>32.241982326327616</v>
      </c>
      <c r="AB69" s="35">
        <f>QUARTILE(K69:V69,3)</f>
        <v>33.538433523791099</v>
      </c>
      <c r="AC69" s="35">
        <f>MAX(K69:V69)</f>
        <v>34.255565710250103</v>
      </c>
      <c r="AD69" s="35">
        <f>SKEW(K69:V69)</f>
        <v>-0.22621207464103699</v>
      </c>
      <c r="AE69" s="35">
        <f>KURT(K69:V69)</f>
        <v>-0.94942207977012583</v>
      </c>
    </row>
    <row r="70" spans="2:31" x14ac:dyDescent="0.2">
      <c r="B70" s="34">
        <f>[41]FormattedData!A71</f>
        <v>305</v>
      </c>
      <c r="C70" s="34" t="str">
        <f>VLOOKUP($B70,[41]TrtCodes!$B$11:I114,2)</f>
        <v>NDH</v>
      </c>
      <c r="D70" s="34">
        <f>VLOOKUP($B70,[41]TrtCodes!$B$11:J114,3)</f>
        <v>11</v>
      </c>
      <c r="E70" s="34">
        <f>VLOOKUP($B70,[41]TrtCodes!$B$11:K114,4)</f>
        <v>2</v>
      </c>
      <c r="F70" s="34">
        <f>VLOOKUP($B70,[41]TrtCodes!$B$11:L114,5)</f>
        <v>3</v>
      </c>
      <c r="G70" s="34">
        <f>VLOOKUP($B70,[41]TrtCodes!$B$11:M114,6)</f>
        <v>2</v>
      </c>
      <c r="H70" s="34">
        <f>VLOOKUP($B70,[41]TrtCodes!$B$11:N114,7)</f>
        <v>4</v>
      </c>
      <c r="I70" s="34">
        <f>[41]FormattedData!B71</f>
        <v>2</v>
      </c>
      <c r="J70" s="37">
        <f>[41]FormattedData!C71</f>
        <v>13.552</v>
      </c>
      <c r="K70" s="39">
        <f>$J$3+[41]FormattedData!D71*$J$4+$M$4*$J$5+[41]FormattedData!D71^2*$J$6+$M$5*$J$7</f>
        <v>30.598324139791959</v>
      </c>
      <c r="L70" s="39">
        <f>$J$3+[41]FormattedData!E71*$J$4+$M$4*$J$5+[41]FormattedData!E71^2*$J$6+$M$5*$J$7</f>
        <v>33.203167396684471</v>
      </c>
      <c r="M70" s="39">
        <f>$J$3+[41]FormattedData!F71*$J$4+$M$4*$J$5+[41]FormattedData!F71^2*$J$6+$M$5*$J$7</f>
        <v>31.952830043280564</v>
      </c>
      <c r="N70" s="39">
        <f>$J$3+[41]FormattedData!G71*$J$4+$M$4*$J$5+[41]FormattedData!G71^2*$J$6+$M$5*$J$7</f>
        <v>31.083027290284189</v>
      </c>
      <c r="O70" s="39">
        <f>$J$3+[41]FormattedData!H71*$J$4+$M$4*$J$5+[41]FormattedData!H71^2*$J$6+$M$5*$J$7</f>
        <v>30.209800785715423</v>
      </c>
      <c r="P70" s="39">
        <f>$J$3+[41]FormattedData!I71*$J$4+$M$4*$J$5+[41]FormattedData!I71^2*$J$6+$M$5*$J$7</f>
        <v>29.235533602868873</v>
      </c>
      <c r="Q70" s="39">
        <f>$J$3+[41]FormattedData!J71*$J$4+$M$4*$J$5+[41]FormattedData!J71^2*$J$6+$M$5*$J$7</f>
        <v>31.952830043280564</v>
      </c>
      <c r="R70" s="39">
        <f>$J$3+[41]FormattedData!K71*$J$4+$M$4*$J$5+[41]FormattedData!K71^2*$J$6+$M$5*$J$7</f>
        <v>30.306995027041452</v>
      </c>
      <c r="S70" s="39">
        <f>$J$3+[41]FormattedData!L71*$J$4+$M$4*$J$5+[41]FormattedData!L71^2*$J$6+$M$5*$J$7</f>
        <v>32.626976257486916</v>
      </c>
      <c r="T70" s="39">
        <f>$J$3+[41]FormattedData!M71*$J$4+$M$4*$J$5+[41]FormattedData!M71^2*$J$6+$M$5*$J$7</f>
        <v>30.986171197261609</v>
      </c>
      <c r="U70" s="39">
        <f>$J$3+[41]FormattedData!N71*$J$4+$M$4*$J$5+[41]FormattedData!N71^2*$J$6+$M$5*$J$7</f>
        <v>29.917964450509736</v>
      </c>
      <c r="V70" s="39">
        <f>$J$3+[41]FormattedData!O71*$J$4+$M$4*$J$5+[41]FormattedData!O71^2*$J$6+$M$5*$J$7</f>
        <v>29.820601135031971</v>
      </c>
      <c r="W70" s="38">
        <f>AVERAGE(K70:V70)</f>
        <v>30.991185114103146</v>
      </c>
      <c r="X70" s="37">
        <f>STDEV(K70:V70)/SQRT(COUNT(K70:V70))</f>
        <v>0.35101648185296175</v>
      </c>
      <c r="Y70" s="36">
        <f>MIN(K70:V70)</f>
        <v>29.235533602868873</v>
      </c>
      <c r="Z70" s="35">
        <f>QUARTILE(K70:V70,1)</f>
        <v>30.136841701914001</v>
      </c>
      <c r="AA70" s="36">
        <f>MEDIAN(K70:V70)</f>
        <v>30.792247668526784</v>
      </c>
      <c r="AB70" s="35">
        <f>QUARTILE(K70:V70,3)</f>
        <v>31.952830043280564</v>
      </c>
      <c r="AC70" s="35">
        <f>MAX(K70:V70)</f>
        <v>33.203167396684471</v>
      </c>
      <c r="AD70" s="35">
        <f>SKEW(K70:V70)</f>
        <v>0.47752365496672117</v>
      </c>
      <c r="AE70" s="35">
        <f>KURT(K70:V70)</f>
        <v>-0.70817950783209849</v>
      </c>
    </row>
    <row r="71" spans="2:31" x14ac:dyDescent="0.2">
      <c r="B71" s="34">
        <f>[41]FormattedData!A73</f>
        <v>306</v>
      </c>
      <c r="C71" s="34" t="str">
        <f>VLOOKUP($B71,[41]TrtCodes!$B$11:I116,2)</f>
        <v>FTL</v>
      </c>
      <c r="D71" s="34">
        <f>VLOOKUP($B71,[41]TrtCodes!$B$11:J116,3)</f>
        <v>4</v>
      </c>
      <c r="E71" s="34">
        <f>VLOOKUP($B71,[41]TrtCodes!$B$11:K116,4)</f>
        <v>1</v>
      </c>
      <c r="F71" s="34">
        <f>VLOOKUP($B71,[41]TrtCodes!$B$11:L116,5)</f>
        <v>2</v>
      </c>
      <c r="G71" s="34">
        <f>VLOOKUP($B71,[41]TrtCodes!$B$11:M116,6)</f>
        <v>1</v>
      </c>
      <c r="H71" s="34">
        <f>VLOOKUP($B71,[41]TrtCodes!$B$11:N116,7)</f>
        <v>4</v>
      </c>
      <c r="I71" s="34">
        <f>[41]FormattedData!B73</f>
        <v>2</v>
      </c>
      <c r="J71" s="37">
        <f>[41]FormattedData!C73</f>
        <v>13.567</v>
      </c>
      <c r="K71" s="39">
        <f>$J$3+[41]FormattedData!D73*$J$4+$M$4*$J$5+[41]FormattedData!D73^2*$J$6+$M$5*$J$7</f>
        <v>29.430725187741629</v>
      </c>
      <c r="L71" s="39">
        <f>$J$3+[41]FormattedData!E73*$J$4+$M$4*$J$5+[41]FormattedData!E73^2*$J$6+$M$5*$J$7</f>
        <v>33.203167396684471</v>
      </c>
      <c r="M71" s="39">
        <f>$J$3+[41]FormattedData!F73*$J$4+$M$4*$J$5+[41]FormattedData!F73^2*$J$6+$M$5*$J$7</f>
        <v>29.820601135031971</v>
      </c>
      <c r="N71" s="39">
        <f>$J$3+[41]FormattedData!G73*$J$4+$M$4*$J$5+[41]FormattedData!G73^2*$J$6+$M$5*$J$7</f>
        <v>29.625747698462661</v>
      </c>
      <c r="O71" s="39">
        <f>$J$3+[41]FormattedData!H73*$J$4+$M$4*$J$5+[41]FormattedData!H73^2*$J$6+$M$5*$J$7</f>
        <v>30.792332205602655</v>
      </c>
      <c r="P71" s="39">
        <f>$J$3+[41]FormattedData!I73*$J$4+$M$4*$J$5+[41]FormattedData!I73^2*$J$6+$M$5*$J$7</f>
        <v>30.404146999829553</v>
      </c>
      <c r="Q71" s="39">
        <f>$J$3+[41]FormattedData!J73*$J$4+$M$4*$J$5+[41]FormattedData!J73^2*$J$6+$M$5*$J$7</f>
        <v>30.695349306966278</v>
      </c>
      <c r="R71" s="39">
        <f>$J$3+[41]FormattedData!K73*$J$4+$M$4*$J$5+[41]FormattedData!K73^2*$J$6+$M$5*$J$7</f>
        <v>31.083027290284189</v>
      </c>
      <c r="S71" s="39">
        <f>$J$3+[41]FormattedData!L73*$J$4+$M$4*$J$5+[41]FormattedData!L73^2*$J$6+$M$5*$J$7</f>
        <v>30.695349306966278</v>
      </c>
      <c r="T71" s="39">
        <f>$J$3+[41]FormattedData!M73*$J$4+$M$4*$J$5+[41]FormattedData!M73^2*$J$6+$M$5*$J$7</f>
        <v>34.446361367178035</v>
      </c>
      <c r="U71" s="39">
        <f>$J$3+[41]FormattedData!N73*$J$4+$M$4*$J$5+[41]FormattedData!N73^2*$J$6+$M$5*$J$7</f>
        <v>31.663276209123154</v>
      </c>
      <c r="V71" s="39">
        <f>$J$3+[41]FormattedData!O73*$J$4+$M$4*$J$5+[41]FormattedData!O73^2*$J$6+$M$5*$J$7</f>
        <v>30.501256704079722</v>
      </c>
      <c r="W71" s="38">
        <f>AVERAGE(K71:V71)</f>
        <v>31.030111733995884</v>
      </c>
      <c r="X71" s="37">
        <f>STDEV(K71:V71)/SQRT(COUNT(K71:V71))</f>
        <v>0.42410343663960315</v>
      </c>
      <c r="Y71" s="36">
        <f>MIN(K71:V71)</f>
        <v>29.430725187741629</v>
      </c>
      <c r="Z71" s="35">
        <f>QUARTILE(K71:V71,1)</f>
        <v>30.258260533630157</v>
      </c>
      <c r="AA71" s="36">
        <f>MEDIAN(K71:V71)</f>
        <v>30.695349306966278</v>
      </c>
      <c r="AB71" s="35">
        <f>QUARTILE(K71:V71,3)</f>
        <v>31.228089519993929</v>
      </c>
      <c r="AC71" s="35">
        <f>MAX(K71:V71)</f>
        <v>34.446361367178035</v>
      </c>
      <c r="AD71" s="35">
        <f>SKEW(K71:V71)</f>
        <v>1.4199538006175376</v>
      </c>
      <c r="AE71" s="35">
        <f>KURT(K71:V71)</f>
        <v>1.7676724095188199</v>
      </c>
    </row>
    <row r="72" spans="2:31" x14ac:dyDescent="0.2">
      <c r="B72" s="34">
        <f>[41]FormattedData!A75</f>
        <v>307</v>
      </c>
      <c r="C72" s="34" t="str">
        <f>VLOOKUP($B72,[41]TrtCodes!$B$11:I118,2)</f>
        <v>NTH</v>
      </c>
      <c r="D72" s="34">
        <f>VLOOKUP($B72,[41]TrtCodes!$B$11:J118,3)</f>
        <v>9</v>
      </c>
      <c r="E72" s="34">
        <f>VLOOKUP($B72,[41]TrtCodes!$B$11:K118,4)</f>
        <v>2</v>
      </c>
      <c r="F72" s="34">
        <f>VLOOKUP($B72,[41]TrtCodes!$B$11:L118,5)</f>
        <v>2</v>
      </c>
      <c r="G72" s="34">
        <f>VLOOKUP($B72,[41]TrtCodes!$B$11:M118,6)</f>
        <v>2</v>
      </c>
      <c r="H72" s="34">
        <f>VLOOKUP($B72,[41]TrtCodes!$B$11:N118,7)</f>
        <v>4</v>
      </c>
      <c r="I72" s="34">
        <f>[41]FormattedData!B75</f>
        <v>2</v>
      </c>
      <c r="J72" s="37">
        <f>[41]FormattedData!C75</f>
        <v>13.583</v>
      </c>
      <c r="K72" s="39">
        <f>$J$3+[41]FormattedData!D75*$J$4+$M$4*$J$5+[41]FormattedData!D75^2*$J$6+$M$5*$J$7</f>
        <v>32.434574396117618</v>
      </c>
      <c r="L72" s="39">
        <f>$J$3+[41]FormattedData!E75*$J$4+$M$4*$J$5+[41]FormattedData!E75^2*$J$6+$M$5*$J$7</f>
        <v>32.626976257486916</v>
      </c>
      <c r="M72" s="39">
        <f>$J$3+[41]FormattedData!F75*$J$4+$M$4*$J$5+[41]FormattedData!F75^2*$J$6+$M$5*$J$7</f>
        <v>33.203167396684471</v>
      </c>
      <c r="N72" s="39">
        <f>$J$3+[41]FormattedData!G75*$J$4+$M$4*$J$5+[41]FormattedData!G75^2*$J$6+$M$5*$J$7</f>
        <v>32.626976257486916</v>
      </c>
      <c r="O72" s="39">
        <f>$J$3+[41]FormattedData!H75*$J$4+$M$4*$J$5+[41]FormattedData!H75^2*$J$6+$M$5*$J$7</f>
        <v>31.663276209123154</v>
      </c>
      <c r="P72" s="39">
        <f>$J$3+[41]FormattedData!I75*$J$4+$M$4*$J$5+[41]FormattedData!I75^2*$J$6+$M$5*$J$7</f>
        <v>30.598324139791959</v>
      </c>
      <c r="Q72" s="39">
        <f>$J$3+[41]FormattedData!J75*$J$4+$M$4*$J$5+[41]FormattedData!J75^2*$J$6+$M$5*$J$7</f>
        <v>31.663276209123154</v>
      </c>
      <c r="R72" s="39">
        <f>$J$3+[41]FormattedData!K75*$J$4+$M$4*$J$5+[41]FormattedData!K75^2*$J$6+$M$5*$J$7</f>
        <v>30.209800785715423</v>
      </c>
      <c r="S72" s="39">
        <f>$J$3+[41]FormattedData!L75*$J$4+$M$4*$J$5+[41]FormattedData!L75^2*$J$6+$M$5*$J$7</f>
        <v>29.917964450509736</v>
      </c>
      <c r="T72" s="39">
        <f>$J$3+[41]FormattedData!M75*$J$4+$M$4*$J$5+[41]FormattedData!M75^2*$J$6+$M$5*$J$7</f>
        <v>30.986171197261609</v>
      </c>
      <c r="U72" s="39">
        <f>$J$3+[41]FormattedData!N75*$J$4+$M$4*$J$5+[41]FormattedData!N75^2*$J$6+$M$5*$J$7</f>
        <v>31.083027290284189</v>
      </c>
      <c r="V72" s="39">
        <f>$J$3+[41]FormattedData!O75*$J$4+$M$4*$J$5+[41]FormattedData!O75^2*$J$6+$M$5*$J$7</f>
        <v>32.819209044704486</v>
      </c>
      <c r="W72" s="38">
        <f>AVERAGE(K72:V72)</f>
        <v>31.652728636190805</v>
      </c>
      <c r="X72" s="37">
        <f>STDEV(K72:V72)/SQRT(COUNT(K72:V72))</f>
        <v>0.31678347793879269</v>
      </c>
      <c r="Y72" s="36">
        <f>MIN(K72:V72)</f>
        <v>29.917964450509736</v>
      </c>
      <c r="Z72" s="35">
        <f>QUARTILE(K72:V72,1)</f>
        <v>30.889209432894198</v>
      </c>
      <c r="AA72" s="36">
        <f>MEDIAN(K72:V72)</f>
        <v>31.663276209123154</v>
      </c>
      <c r="AB72" s="35">
        <f>QUARTILE(K72:V72,3)</f>
        <v>32.626976257486916</v>
      </c>
      <c r="AC72" s="35">
        <f>MAX(K72:V72)</f>
        <v>33.203167396684471</v>
      </c>
      <c r="AD72" s="35">
        <f>SKEW(K72:V72)</f>
        <v>-0.18463231193167071</v>
      </c>
      <c r="AE72" s="35">
        <f>KURT(K72:V72)</f>
        <v>-1.3455136779890808</v>
      </c>
    </row>
    <row r="73" spans="2:31" x14ac:dyDescent="0.2">
      <c r="B73" s="34">
        <f>[41]FormattedData!A77</f>
        <v>308</v>
      </c>
      <c r="C73" s="34" t="str">
        <f>VLOOKUP($B73,[41]TrtCodes!$B$11:I120,2)</f>
        <v>FDH</v>
      </c>
      <c r="D73" s="34">
        <f>VLOOKUP($B73,[41]TrtCodes!$B$11:J120,3)</f>
        <v>5</v>
      </c>
      <c r="E73" s="34">
        <f>VLOOKUP($B73,[41]TrtCodes!$B$11:K120,4)</f>
        <v>1</v>
      </c>
      <c r="F73" s="34">
        <f>VLOOKUP($B73,[41]TrtCodes!$B$11:L120,5)</f>
        <v>3</v>
      </c>
      <c r="G73" s="34">
        <f>VLOOKUP($B73,[41]TrtCodes!$B$11:M120,6)</f>
        <v>2</v>
      </c>
      <c r="H73" s="34">
        <f>VLOOKUP($B73,[41]TrtCodes!$B$11:N120,7)</f>
        <v>4</v>
      </c>
      <c r="I73" s="34">
        <f>[41]FormattedData!B77</f>
        <v>2</v>
      </c>
      <c r="J73" s="37">
        <f>[41]FormattedData!C77</f>
        <v>13.598000000000001</v>
      </c>
      <c r="K73" s="39">
        <f>$J$3+[41]FormattedData!D77*$J$4+$M$4*$J$5+[41]FormattedData!D77^2*$J$6+$M$5*$J$7</f>
        <v>31.566673727328158</v>
      </c>
      <c r="L73" s="39">
        <f>$J$3+[41]FormattedData!E77*$J$4+$M$4*$J$5+[41]FormattedData!E77^2*$J$6+$M$5*$J$7</f>
        <v>30.695349306966278</v>
      </c>
      <c r="M73" s="39">
        <f>$J$3+[41]FormattedData!F77*$J$4+$M$4*$J$5+[41]FormattedData!F77^2*$J$6+$M$5*$J$7</f>
        <v>31.759836422380218</v>
      </c>
      <c r="N73" s="39">
        <f>$J$3+[41]FormattedData!G77*$J$4+$M$4*$J$5+[41]FormattedData!G77^2*$J$6+$M$5*$J$7</f>
        <v>32.723113785364667</v>
      </c>
      <c r="O73" s="39">
        <f>$J$3+[41]FormattedData!H77*$J$4+$M$4*$J$5+[41]FormattedData!H77^2*$J$6+$M$5*$J$7</f>
        <v>32.819209044704486</v>
      </c>
      <c r="P73" s="39">
        <f>$J$3+[41]FormattedData!I77*$J$4+$M$4*$J$5+[41]FormattedData!I77^2*$J$6+$M$5*$J$7</f>
        <v>35.397803539541762</v>
      </c>
      <c r="Q73" s="39">
        <f>$J$3+[41]FormattedData!J77*$J$4+$M$4*$J$5+[41]FormattedData!J77^2*$J$6+$M$5*$J$7</f>
        <v>32.819209044704486</v>
      </c>
      <c r="R73" s="39">
        <f>$J$3+[41]FormattedData!K77*$J$4+$M$4*$J$5+[41]FormattedData!K77^2*$J$6+$M$5*$J$7</f>
        <v>33.490692341021187</v>
      </c>
      <c r="S73" s="39">
        <f>$J$3+[41]FormattedData!L77*$J$4+$M$4*$J$5+[41]FormattedData!L77^2*$J$6+$M$5*$J$7</f>
        <v>30.986171197261609</v>
      </c>
      <c r="T73" s="39">
        <f>$J$3+[41]FormattedData!M77*$J$4+$M$4*$J$5+[41]FormattedData!M77^2*$J$6+$M$5*$J$7</f>
        <v>35.017733893051442</v>
      </c>
      <c r="U73" s="39">
        <f>$J$3+[41]FormattedData!N77*$J$4+$M$4*$J$5+[41]FormattedData!N77^2*$J$6+$M$5*$J$7</f>
        <v>34.732237838535418</v>
      </c>
      <c r="V73" s="39">
        <f>$J$3+[41]FormattedData!O77*$J$4+$M$4*$J$5+[41]FormattedData!O77^2*$J$6+$M$5*$J$7</f>
        <v>35.302849530726085</v>
      </c>
      <c r="W73" s="38">
        <f>AVERAGE(K73:V73)</f>
        <v>33.109239972632146</v>
      </c>
      <c r="X73" s="37">
        <f>STDEV(K73:V73)/SQRT(COUNT(K73:V73))</f>
        <v>0.48713325104115079</v>
      </c>
      <c r="Y73" s="36">
        <f>MIN(K73:V73)</f>
        <v>30.695349306966278</v>
      </c>
      <c r="Z73" s="35">
        <f>QUARTILE(K73:V73,1)</f>
        <v>31.711545748617205</v>
      </c>
      <c r="AA73" s="36">
        <f>MEDIAN(K73:V73)</f>
        <v>32.819209044704486</v>
      </c>
      <c r="AB73" s="35">
        <f>QUARTILE(K73:V73,3)</f>
        <v>34.803611852164423</v>
      </c>
      <c r="AC73" s="35">
        <f>MAX(K73:V73)</f>
        <v>35.397803539541762</v>
      </c>
      <c r="AD73" s="35">
        <f>SKEW(K73:V73)</f>
        <v>8.9787092459009968E-2</v>
      </c>
      <c r="AE73" s="35">
        <f>KURT(K73:V73)</f>
        <v>-1.4274688910725009</v>
      </c>
    </row>
    <row r="74" spans="2:31" x14ac:dyDescent="0.2">
      <c r="B74" s="34">
        <f>[41]FormattedData!A93</f>
        <v>401</v>
      </c>
      <c r="C74" s="34" t="str">
        <f>VLOOKUP($B74,[41]TrtCodes!$B$11:I130,2)</f>
        <v>NSH</v>
      </c>
      <c r="D74" s="34">
        <f>VLOOKUP($B74,[41]TrtCodes!$B$11:J130,3)</f>
        <v>7</v>
      </c>
      <c r="E74" s="34">
        <f>VLOOKUP($B74,[41]TrtCodes!$B$11:K130,4)</f>
        <v>2</v>
      </c>
      <c r="F74" s="34">
        <f>VLOOKUP($B74,[41]TrtCodes!$B$11:L130,5)</f>
        <v>1</v>
      </c>
      <c r="G74" s="34">
        <f>VLOOKUP($B74,[41]TrtCodes!$B$11:M130,6)</f>
        <v>2</v>
      </c>
      <c r="H74" s="34">
        <f>VLOOKUP($B74,[41]TrtCodes!$B$11:N130,7)</f>
        <v>3</v>
      </c>
      <c r="I74" s="34">
        <f>[41]FormattedData!B93</f>
        <v>2</v>
      </c>
      <c r="J74" s="37">
        <f>[41]FormattedData!C93</f>
        <v>13.731</v>
      </c>
      <c r="K74" s="39">
        <f>$J$3+[41]FormattedData!D93*$J$4+$M$4*$J$5+[41]FormattedData!D93^2*$J$6+$M$5*$J$7</f>
        <v>33.107241211496373</v>
      </c>
      <c r="L74" s="39">
        <f>$J$3+[41]FormattedData!E93*$J$4+$M$4*$J$5+[41]FormattedData!E93^2*$J$6+$M$5*$J$7</f>
        <v>48.718722343814676</v>
      </c>
      <c r="M74" s="39">
        <f>$J$3+[41]FormattedData!F93*$J$4+$M$4*$J$5+[41]FormattedData!F93^2*$J$6+$M$5*$J$7</f>
        <v>33.107241211496373</v>
      </c>
      <c r="N74" s="39">
        <f>$J$3+[41]FormattedData!G93*$J$4+$M$4*$J$5+[41]FormattedData!G93^2*$J$6+$M$5*$J$7</f>
        <v>32.242003460596578</v>
      </c>
      <c r="O74" s="39">
        <f>$J$3+[41]FormattedData!H93*$J$4+$M$4*$J$5+[41]FormattedData!H93^2*$J$6+$M$5*$J$7</f>
        <v>41.110068272070627</v>
      </c>
      <c r="P74" s="39">
        <f>$J$3+[41]FormattedData!I93*$J$4+$M$4*$J$5+[41]FormattedData!I93^2*$J$6+$M$5*$J$7</f>
        <v>37.005554603104905</v>
      </c>
      <c r="Q74" s="39">
        <f>$J$3+[41]FormattedData!J93*$J$4+$M$4*$J$5+[41]FormattedData!J93^2*$J$6+$M$5*$J$7</f>
        <v>32.915262035506387</v>
      </c>
      <c r="R74" s="39">
        <f>$J$3+[41]FormattedData!K93*$J$4+$M$4*$J$5+[41]FormattedData!K93^2*$J$6+$M$5*$J$7</f>
        <v>32.434574396117618</v>
      </c>
      <c r="S74" s="39">
        <f>$J$3+[41]FormattedData!L93*$J$4+$M$4*$J$5+[41]FormattedData!L93^2*$J$6+$M$5*$J$7</f>
        <v>35.492715279819514</v>
      </c>
      <c r="T74" s="39">
        <f>$J$3+[41]FormattedData!M93*$J$4+$M$4*$J$5+[41]FormattedData!M93^2*$J$6+$M$5*$J$7</f>
        <v>33.873467173939105</v>
      </c>
      <c r="U74" s="39">
        <f>$J$3+[41]FormattedData!N93*$J$4+$M$4*$J$5+[41]FormattedData!N93^2*$J$6+$M$5*$J$7</f>
        <v>34.064600979170464</v>
      </c>
      <c r="V74" s="39">
        <f>$J$3+[41]FormattedData!O93*$J$4+$M$4*$J$5+[41]FormattedData!O93^2*$J$6+$M$5*$J$7</f>
        <v>36.155913942701709</v>
      </c>
      <c r="W74" s="38">
        <f>AVERAGE(K74:V74)</f>
        <v>35.852280409152861</v>
      </c>
      <c r="X74" s="37">
        <f>STDEV(K74:V74)/SQRT(COUNT(K74:V74))</f>
        <v>1.376931299210385</v>
      </c>
      <c r="Y74" s="36">
        <f>MIN(K74:V74)</f>
        <v>32.242003460596578</v>
      </c>
      <c r="Z74" s="35">
        <f>QUARTILE(K74:V74,1)</f>
        <v>33.059246417498876</v>
      </c>
      <c r="AA74" s="36">
        <f>MEDIAN(K74:V74)</f>
        <v>33.969034076554784</v>
      </c>
      <c r="AB74" s="35">
        <f>QUARTILE(K74:V74,3)</f>
        <v>36.368324107802508</v>
      </c>
      <c r="AC74" s="35">
        <f>MAX(K74:V74)</f>
        <v>48.718722343814676</v>
      </c>
      <c r="AD74" s="35">
        <f>SKEW(K74:V74)</f>
        <v>2.1208035460414263</v>
      </c>
      <c r="AE74" s="35">
        <f>KURT(K74:V74)</f>
        <v>4.7009048655538699</v>
      </c>
    </row>
    <row r="75" spans="2:31" x14ac:dyDescent="0.2">
      <c r="B75" s="34">
        <f>[41]FormattedData!A91</f>
        <v>402</v>
      </c>
      <c r="C75" s="34" t="str">
        <f>VLOOKUP($B75,[41]TrtCodes!$B$11:I131,2)</f>
        <v>NTH</v>
      </c>
      <c r="D75" s="34">
        <f>VLOOKUP($B75,[41]TrtCodes!$B$11:J131,3)</f>
        <v>9</v>
      </c>
      <c r="E75" s="34">
        <f>VLOOKUP($B75,[41]TrtCodes!$B$11:K131,4)</f>
        <v>2</v>
      </c>
      <c r="F75" s="34">
        <f>VLOOKUP($B75,[41]TrtCodes!$B$11:L131,5)</f>
        <v>2</v>
      </c>
      <c r="G75" s="34">
        <f>VLOOKUP($B75,[41]TrtCodes!$B$11:M131,6)</f>
        <v>2</v>
      </c>
      <c r="H75" s="34">
        <f>VLOOKUP($B75,[41]TrtCodes!$B$11:N131,7)</f>
        <v>3</v>
      </c>
      <c r="I75" s="34">
        <f>[41]FormattedData!B91</f>
        <v>2</v>
      </c>
      <c r="J75" s="37">
        <f>[41]FormattedData!C91</f>
        <v>13.714</v>
      </c>
      <c r="K75" s="39">
        <f>$J$3+[41]FormattedData!D91*$J$4+$M$4*$J$5+[41]FormattedData!D91^2*$J$6+$M$5*$J$7</f>
        <v>33.299051313334637</v>
      </c>
      <c r="L75" s="39">
        <f>$J$3+[41]FormattedData!E91*$J$4+$M$4*$J$5+[41]FormattedData!E91^2*$J$6+$M$5*$J$7</f>
        <v>37.288007322889882</v>
      </c>
      <c r="M75" s="39">
        <f>$J$3+[41]FormattedData!F91*$J$4+$M$4*$J$5+[41]FormattedData!F91^2*$J$6+$M$5*$J$7</f>
        <v>38.039354759980846</v>
      </c>
      <c r="N75" s="39">
        <f>$J$3+[41]FormattedData!G91*$J$4+$M$4*$J$5+[41]FormattedData!G91^2*$J$6+$M$5*$J$7</f>
        <v>33.107241211496373</v>
      </c>
      <c r="O75" s="39">
        <f>$J$3+[41]FormattedData!H91*$J$4+$M$4*$J$5+[41]FormattedData!H91^2*$J$6+$M$5*$J$7</f>
        <v>31.663276209123154</v>
      </c>
      <c r="P75" s="39">
        <f>$J$3+[41]FormattedData!I91*$J$4+$M$4*$J$5+[41]FormattedData!I91^2*$J$6+$M$5*$J$7</f>
        <v>31.566673727328158</v>
      </c>
      <c r="Q75" s="39">
        <f>$J$3+[41]FormattedData!J91*$J$4+$M$4*$J$5+[41]FormattedData!J91^2*$J$6+$M$5*$J$7</f>
        <v>33.873467173939105</v>
      </c>
      <c r="R75" s="39">
        <f>$J$3+[41]FormattedData!K91*$J$4+$M$4*$J$5+[41]FormattedData!K91^2*$J$6+$M$5*$J$7</f>
        <v>30.695349306966278</v>
      </c>
      <c r="S75" s="39">
        <f>$J$3+[41]FormattedData!L91*$J$4+$M$4*$J$5+[41]FormattedData!L91^2*$J$6+$M$5*$J$7</f>
        <v>32.338310062626057</v>
      </c>
      <c r="T75" s="39">
        <f>$J$3+[41]FormattedData!M91*$J$4+$M$4*$J$5+[41]FormattedData!M91^2*$J$6+$M$5*$J$7</f>
        <v>30.306995027041452</v>
      </c>
      <c r="U75" s="39">
        <f>$J$3+[41]FormattedData!N91*$J$4+$M$4*$J$5+[41]FormattedData!N91^2*$J$6+$M$5*$J$7</f>
        <v>33.107241211496373</v>
      </c>
      <c r="V75" s="39">
        <f>$J$3+[41]FormattedData!O91*$J$4+$M$4*$J$5+[41]FormattedData!O91^2*$J$6+$M$5*$J$7</f>
        <v>29.625747698462661</v>
      </c>
      <c r="W75" s="38">
        <f>AVERAGE(K75:V75)</f>
        <v>32.909226252057081</v>
      </c>
      <c r="X75" s="37">
        <f>STDEV(K75:V75)/SQRT(COUNT(K75:V75))</f>
        <v>0.74257414756349593</v>
      </c>
      <c r="Y75" s="36">
        <f>MIN(K75:V75)</f>
        <v>29.625747698462661</v>
      </c>
      <c r="Z75" s="35">
        <f>QUARTILE(K75:V75,1)</f>
        <v>31.34884262223769</v>
      </c>
      <c r="AA75" s="36">
        <f>MEDIAN(K75:V75)</f>
        <v>32.722775637061218</v>
      </c>
      <c r="AB75" s="35">
        <f>QUARTILE(K75:V75,3)</f>
        <v>33.442655278485752</v>
      </c>
      <c r="AC75" s="35">
        <f>MAX(K75:V75)</f>
        <v>38.039354759980846</v>
      </c>
      <c r="AD75" s="35">
        <f>SKEW(K75:V75)</f>
        <v>0.97118728939474741</v>
      </c>
      <c r="AE75" s="35">
        <f>KURT(K75:V75)</f>
        <v>0.47623780722790787</v>
      </c>
    </row>
    <row r="76" spans="2:31" x14ac:dyDescent="0.2">
      <c r="B76" s="34">
        <f>[41]FormattedData!A89</f>
        <v>403</v>
      </c>
      <c r="C76" s="34" t="str">
        <f>VLOOKUP($B76,[41]TrtCodes!$B$11:I132,2)</f>
        <v>FDL</v>
      </c>
      <c r="D76" s="34">
        <f>VLOOKUP($B76,[41]TrtCodes!$B$11:J132,3)</f>
        <v>6</v>
      </c>
      <c r="E76" s="34">
        <f>VLOOKUP($B76,[41]TrtCodes!$B$11:K132,4)</f>
        <v>1</v>
      </c>
      <c r="F76" s="34">
        <f>VLOOKUP($B76,[41]TrtCodes!$B$11:L132,5)</f>
        <v>3</v>
      </c>
      <c r="G76" s="34">
        <f>VLOOKUP($B76,[41]TrtCodes!$B$11:M132,6)</f>
        <v>1</v>
      </c>
      <c r="H76" s="34">
        <f>VLOOKUP($B76,[41]TrtCodes!$B$11:N132,7)</f>
        <v>3</v>
      </c>
      <c r="I76" s="34">
        <f>[41]FormattedData!B89</f>
        <v>2</v>
      </c>
      <c r="J76" s="37">
        <f>[41]FormattedData!C89</f>
        <v>13.698</v>
      </c>
      <c r="K76" s="39">
        <f>$J$3+[41]FormattedData!D89*$J$4+$M$4*$J$5+[41]FormattedData!D89^2*$J$6+$M$5*$J$7</f>
        <v>34.350984672983039</v>
      </c>
      <c r="L76" s="39">
        <f>$J$3+[41]FormattedData!E89*$J$4+$M$4*$J$5+[41]FormattedData!E89^2*$J$6+$M$5*$J$7</f>
        <v>32.723113785364667</v>
      </c>
      <c r="M76" s="39">
        <f>$J$3+[41]FormattedData!F89*$J$4+$M$4*$J$5+[41]FormattedData!F89^2*$J$6+$M$5*$J$7</f>
        <v>37.570079625833479</v>
      </c>
      <c r="N76" s="39">
        <f>$J$3+[41]FormattedData!G89*$J$4+$M$4*$J$5+[41]FormattedData!G89^2*$J$6+$M$5*$J$7</f>
        <v>33.299051313334637</v>
      </c>
      <c r="O76" s="39">
        <f>$J$3+[41]FormattedData!H89*$J$4+$M$4*$J$5+[41]FormattedData!H89^2*$J$6+$M$5*$J$7</f>
        <v>33.586449452057558</v>
      </c>
      <c r="P76" s="39">
        <f>$J$3+[41]FormattedData!I89*$J$4+$M$4*$J$5+[41]FormattedData!I89^2*$J$6+$M$5*$J$7</f>
        <v>36.628359217193911</v>
      </c>
      <c r="Q76" s="39">
        <f>$J$3+[41]FormattedData!J89*$J$4+$M$4*$J$5+[41]FormattedData!J89^2*$J$6+$M$5*$J$7</f>
        <v>38.974734887930744</v>
      </c>
      <c r="R76" s="39">
        <f>$J$3+[41]FormattedData!K89*$J$4+$M$4*$J$5+[41]FormattedData!K89^2*$J$6+$M$5*$J$7</f>
        <v>30.209800785715423</v>
      </c>
      <c r="S76" s="39">
        <f>$J$3+[41]FormattedData!L89*$J$4+$M$4*$J$5+[41]FormattedData!L89^2*$J$6+$M$5*$J$7</f>
        <v>33.586449452057558</v>
      </c>
      <c r="T76" s="39">
        <f>$J$3+[41]FormattedData!M89*$J$4+$M$4*$J$5+[41]FormattedData!M89^2*$J$6+$M$5*$J$7</f>
        <v>30.209800785715423</v>
      </c>
      <c r="U76" s="39">
        <f>$J$3+[41]FormattedData!N89*$J$4+$M$4*$J$5+[41]FormattedData!N89^2*$J$6+$M$5*$J$7</f>
        <v>32.819209044704486</v>
      </c>
      <c r="V76" s="39">
        <f>$J$3+[41]FormattedData!O89*$J$4+$M$4*$J$5+[41]FormattedData!O89^2*$J$6+$M$5*$J$7</f>
        <v>31.179841114768855</v>
      </c>
      <c r="W76" s="38">
        <f>AVERAGE(K76:V76)</f>
        <v>33.761489511471645</v>
      </c>
      <c r="X76" s="37">
        <f>STDEV(K76:V76)/SQRT(COUNT(K76:V76))</f>
        <v>0.79954944832330199</v>
      </c>
      <c r="Y76" s="36">
        <f>MIN(K76:V76)</f>
        <v>30.209800785715423</v>
      </c>
      <c r="Z76" s="35">
        <f>QUARTILE(K76:V76,1)</f>
        <v>32.337295617715711</v>
      </c>
      <c r="AA76" s="36">
        <f>MEDIAN(K76:V76)</f>
        <v>33.442750382696097</v>
      </c>
      <c r="AB76" s="35">
        <f>QUARTILE(K76:V76,3)</f>
        <v>34.920328309035753</v>
      </c>
      <c r="AC76" s="35">
        <f>MAX(K76:V76)</f>
        <v>38.974734887930744</v>
      </c>
      <c r="AD76" s="35">
        <f>SKEW(K76:V76)</f>
        <v>0.57411589950522235</v>
      </c>
      <c r="AE76" s="35">
        <f>KURT(K76:V76)</f>
        <v>-0.33453148754918294</v>
      </c>
    </row>
    <row r="77" spans="2:31" x14ac:dyDescent="0.2">
      <c r="B77" s="34">
        <f>[41]FormattedData!A87</f>
        <v>404</v>
      </c>
      <c r="C77" s="34" t="str">
        <f>VLOOKUP($B77,[41]TrtCodes!$B$11:I130,2)</f>
        <v>FTH</v>
      </c>
      <c r="D77" s="34">
        <f>VLOOKUP($B77,[41]TrtCodes!$B$11:J130,3)</f>
        <v>3</v>
      </c>
      <c r="E77" s="34">
        <f>VLOOKUP($B77,[41]TrtCodes!$B$11:K130,4)</f>
        <v>1</v>
      </c>
      <c r="F77" s="34">
        <f>VLOOKUP($B77,[41]TrtCodes!$B$11:L130,5)</f>
        <v>2</v>
      </c>
      <c r="G77" s="34">
        <f>VLOOKUP($B77,[41]TrtCodes!$B$11:M130,6)</f>
        <v>2</v>
      </c>
      <c r="H77" s="34">
        <f>VLOOKUP($B77,[41]TrtCodes!$B$11:N130,7)</f>
        <v>3</v>
      </c>
      <c r="I77" s="34">
        <f>[41]FormattedData!B87</f>
        <v>2</v>
      </c>
      <c r="J77" s="37">
        <f>[41]FormattedData!C87</f>
        <v>13.680999999999999</v>
      </c>
      <c r="K77" s="39">
        <f>$J$3+[41]FormattedData!D87*$J$4+$M$4*$J$5+[41]FormattedData!D87^2*$J$6+$M$5*$J$7</f>
        <v>33.873467173939105</v>
      </c>
      <c r="L77" s="39">
        <f>$J$3+[41]FormattedData!E87*$J$4+$M$4*$J$5+[41]FormattedData!E87^2*$J$6+$M$5*$J$7</f>
        <v>32.915262035506387</v>
      </c>
      <c r="M77" s="39">
        <f>$J$3+[41]FormattedData!F87*$J$4+$M$4*$J$5+[41]FormattedData!F87^2*$J$6+$M$5*$J$7</f>
        <v>31.566673727328158</v>
      </c>
      <c r="N77" s="39">
        <f>$J$3+[41]FormattedData!G87*$J$4+$M$4*$J$5+[41]FormattedData!G87^2*$J$6+$M$5*$J$7</f>
        <v>31.373341958124364</v>
      </c>
      <c r="O77" s="39">
        <f>$J$3+[41]FormattedData!H87*$J$4+$M$4*$J$5+[41]FormattedData!H87^2*$J$6+$M$5*$J$7</f>
        <v>30.404146999829553</v>
      </c>
      <c r="P77" s="39">
        <f>$J$3+[41]FormattedData!I87*$J$4+$M$4*$J$5+[41]FormattedData!I87^2*$J$6+$M$5*$J$7</f>
        <v>31.85635436709935</v>
      </c>
      <c r="Q77" s="39">
        <f>$J$3+[41]FormattedData!J87*$J$4+$M$4*$J$5+[41]FormattedData!J87^2*$J$6+$M$5*$J$7</f>
        <v>32.145654590029174</v>
      </c>
      <c r="R77" s="39">
        <f>$J$3+[41]FormattedData!K87*$J$4+$M$4*$J$5+[41]FormattedData!K87^2*$J$6+$M$5*$J$7</f>
        <v>30.015285497449558</v>
      </c>
      <c r="S77" s="39">
        <f>$J$3+[41]FormattedData!L87*$J$4+$M$4*$J$5+[41]FormattedData!L87^2*$J$6+$M$5*$J$7</f>
        <v>37.476097793390203</v>
      </c>
      <c r="T77" s="39">
        <f>$J$3+[41]FormattedData!M87*$J$4+$M$4*$J$5+[41]FormattedData!M87^2*$J$6+$M$5*$J$7</f>
        <v>31.663276209123154</v>
      </c>
      <c r="U77" s="39">
        <f>$J$3+[41]FormattedData!N87*$J$4+$M$4*$J$5+[41]FormattedData!N87^2*$J$6+$M$5*$J$7</f>
        <v>32.338310062626057</v>
      </c>
      <c r="V77" s="39">
        <f>$J$3+[41]FormattedData!O87*$J$4+$M$4*$J$5+[41]FormattedData!O87^2*$J$6+$M$5*$J$7</f>
        <v>31.276612670715572</v>
      </c>
      <c r="W77" s="38">
        <f>AVERAGE(K77:V77)</f>
        <v>32.242040257096718</v>
      </c>
      <c r="X77" s="37">
        <f>STDEV(K77:V77)/SQRT(COUNT(K77:V77))</f>
        <v>0.56065110035747512</v>
      </c>
      <c r="Y77" s="36">
        <f>MIN(K77:V77)</f>
        <v>30.015285497449558</v>
      </c>
      <c r="Z77" s="35">
        <f>QUARTILE(K77:V77,1)</f>
        <v>31.349159636272166</v>
      </c>
      <c r="AA77" s="36">
        <f>MEDIAN(K77:V77)</f>
        <v>31.759815288111252</v>
      </c>
      <c r="AB77" s="35">
        <f>QUARTILE(K77:V77,3)</f>
        <v>32.482548055846138</v>
      </c>
      <c r="AC77" s="35">
        <f>MAX(K77:V77)</f>
        <v>37.476097793390203</v>
      </c>
      <c r="AD77" s="35">
        <f>SKEW(K77:V77)</f>
        <v>1.9161216737647575</v>
      </c>
      <c r="AE77" s="35">
        <f>KURT(K77:V77)</f>
        <v>4.7778756178533861</v>
      </c>
    </row>
    <row r="78" spans="2:31" x14ac:dyDescent="0.2">
      <c r="B78" s="34">
        <f>[41]FormattedData!A85</f>
        <v>405</v>
      </c>
      <c r="C78" s="34" t="str">
        <f>VLOOKUP($B78,[41]TrtCodes!$B$11:I128,2)</f>
        <v>FDL</v>
      </c>
      <c r="D78" s="34">
        <f>VLOOKUP($B78,[41]TrtCodes!$B$11:J128,3)</f>
        <v>6</v>
      </c>
      <c r="E78" s="34">
        <f>VLOOKUP($B78,[41]TrtCodes!$B$11:K128,4)</f>
        <v>1</v>
      </c>
      <c r="F78" s="34">
        <f>VLOOKUP($B78,[41]TrtCodes!$B$11:L128,5)</f>
        <v>3</v>
      </c>
      <c r="G78" s="34">
        <f>VLOOKUP($B78,[41]TrtCodes!$B$11:M128,6)</f>
        <v>1</v>
      </c>
      <c r="H78" s="34">
        <f>VLOOKUP($B78,[41]TrtCodes!$B$11:N128,7)</f>
        <v>4</v>
      </c>
      <c r="I78" s="34">
        <f>[41]FormattedData!B85</f>
        <v>2</v>
      </c>
      <c r="J78" s="37">
        <f>[41]FormattedData!C85</f>
        <v>13.666</v>
      </c>
      <c r="K78" s="39">
        <f>$J$3+[41]FormattedData!D85*$J$4+$M$4*$J$5+[41]FormattedData!D85^2*$J$6+$M$5*$J$7</f>
        <v>29.820601135031971</v>
      </c>
      <c r="L78" s="39">
        <f>$J$3+[41]FormattedData!E85*$J$4+$M$4*$J$5+[41]FormattedData!E85^2*$J$6+$M$5*$J$7</f>
        <v>32.530796461071233</v>
      </c>
      <c r="M78" s="39">
        <f>$J$3+[41]FormattedData!F85*$J$4+$M$4*$J$5+[41]FormattedData!F85^2*$J$6+$M$5*$J$7</f>
        <v>32.242003460596578</v>
      </c>
      <c r="N78" s="39">
        <f>$J$3+[41]FormattedData!G85*$J$4+$M$4*$J$5+[41]FormattedData!G85^2*$J$6+$M$5*$J$7</f>
        <v>33.586449452057558</v>
      </c>
      <c r="O78" s="39">
        <f>$J$3+[41]FormattedData!H85*$J$4+$M$4*$J$5+[41]FormattedData!H85^2*$J$6+$M$5*$J$7</f>
        <v>31.85635436709935</v>
      </c>
      <c r="P78" s="39">
        <f>$J$3+[41]FormattedData!I85*$J$4+$M$4*$J$5+[41]FormattedData!I85^2*$J$6+$M$5*$J$7</f>
        <v>33.203167396684471</v>
      </c>
      <c r="Q78" s="39">
        <f>$J$3+[41]FormattedData!J85*$J$4+$M$4*$J$5+[41]FormattedData!J85^2*$J$6+$M$5*$J$7</f>
        <v>31.85635436709935</v>
      </c>
      <c r="R78" s="39">
        <f>$J$3+[41]FormattedData!K85*$J$4+$M$4*$J$5+[41]FormattedData!K85^2*$J$6+$M$5*$J$7</f>
        <v>30.501256704079722</v>
      </c>
      <c r="S78" s="39">
        <f>$J$3+[41]FormattedData!L85*$J$4+$M$4*$J$5+[41]FormattedData!L85^2*$J$6+$M$5*$J$7</f>
        <v>31.083027290284189</v>
      </c>
      <c r="T78" s="39">
        <f>$J$3+[41]FormattedData!M85*$J$4+$M$4*$J$5+[41]FormattedData!M85^2*$J$6+$M$5*$J$7</f>
        <v>31.47002897699522</v>
      </c>
      <c r="U78" s="39">
        <f>$J$3+[41]FormattedData!N85*$J$4+$M$4*$J$5+[41]FormattedData!N85^2*$J$6+$M$5*$J$7</f>
        <v>32.049263450923831</v>
      </c>
      <c r="V78" s="39">
        <f>$J$3+[41]FormattedData!O85*$J$4+$M$4*$J$5+[41]FormattedData!O85^2*$J$6+$M$5*$J$7</f>
        <v>30.889272835701096</v>
      </c>
      <c r="W78" s="38">
        <f>AVERAGE(K78:V78)</f>
        <v>31.757381324802044</v>
      </c>
      <c r="X78" s="37">
        <f>STDEV(K78:V78)/SQRT(COUNT(K78:V78))</f>
        <v>0.3137445800550383</v>
      </c>
      <c r="Y78" s="36">
        <f>MIN(K78:V78)</f>
        <v>29.820601135031971</v>
      </c>
      <c r="Z78" s="35">
        <f>QUARTILE(K78:V78,1)</f>
        <v>31.034588676638414</v>
      </c>
      <c r="AA78" s="36">
        <f>MEDIAN(K78:V78)</f>
        <v>31.85635436709935</v>
      </c>
      <c r="AB78" s="35">
        <f>QUARTILE(K78:V78,3)</f>
        <v>32.314201710715238</v>
      </c>
      <c r="AC78" s="35">
        <f>MAX(K78:V78)</f>
        <v>33.586449452057558</v>
      </c>
      <c r="AD78" s="35">
        <f>SKEW(K78:V78)</f>
        <v>-4.1396439161861288E-2</v>
      </c>
      <c r="AE78" s="35">
        <f>KURT(K78:V78)</f>
        <v>-0.26993244026034313</v>
      </c>
    </row>
    <row r="79" spans="2:31" x14ac:dyDescent="0.2">
      <c r="B79" s="34">
        <f>[41]FormattedData!A83</f>
        <v>406</v>
      </c>
      <c r="C79" s="34" t="str">
        <f>VLOOKUP($B79,[41]TrtCodes!$B$11:I126,2)</f>
        <v>FTH</v>
      </c>
      <c r="D79" s="34">
        <f>VLOOKUP($B79,[41]TrtCodes!$B$11:J126,3)</f>
        <v>3</v>
      </c>
      <c r="E79" s="34">
        <f>VLOOKUP($B79,[41]TrtCodes!$B$11:K126,4)</f>
        <v>1</v>
      </c>
      <c r="F79" s="34">
        <f>VLOOKUP($B79,[41]TrtCodes!$B$11:L126,5)</f>
        <v>2</v>
      </c>
      <c r="G79" s="34">
        <f>VLOOKUP($B79,[41]TrtCodes!$B$11:M126,6)</f>
        <v>2</v>
      </c>
      <c r="H79" s="34">
        <f>VLOOKUP($B79,[41]TrtCodes!$B$11:N126,7)</f>
        <v>4</v>
      </c>
      <c r="I79" s="34">
        <f>[41]FormattedData!B83</f>
        <v>2</v>
      </c>
      <c r="J79" s="37">
        <f>[41]FormattedData!C83</f>
        <v>13.65</v>
      </c>
      <c r="K79" s="39">
        <f>$J$3+[41]FormattedData!D83*$J$4+$M$4*$J$5+[41]FormattedData!D83^2*$J$6+$M$5*$J$7</f>
        <v>36.155913942701709</v>
      </c>
      <c r="L79" s="39">
        <f>$J$3+[41]FormattedData!E83*$J$4+$M$4*$J$5+[41]FormattedData!E83^2*$J$6+$M$5*$J$7</f>
        <v>32.338310062626057</v>
      </c>
      <c r="M79" s="39">
        <f>$J$3+[41]FormattedData!F83*$J$4+$M$4*$J$5+[41]FormattedData!F83^2*$J$6+$M$5*$J$7</f>
        <v>33.01127275777035</v>
      </c>
      <c r="N79" s="39">
        <f>$J$3+[41]FormattedData!G83*$J$4+$M$4*$J$5+[41]FormattedData!G83^2*$J$6+$M$5*$J$7</f>
        <v>31.276612670715572</v>
      </c>
      <c r="O79" s="39">
        <f>$J$3+[41]FormattedData!H83*$J$4+$M$4*$J$5+[41]FormattedData!H83^2*$J$6+$M$5*$J$7</f>
        <v>30.889272835701096</v>
      </c>
      <c r="P79" s="39">
        <f>$J$3+[41]FormattedData!I83*$J$4+$M$4*$J$5+[41]FormattedData!I83^2*$J$6+$M$5*$J$7</f>
        <v>33.777836868516509</v>
      </c>
      <c r="Q79" s="39">
        <f>$J$3+[41]FormattedData!J83*$J$4+$M$4*$J$5+[41]FormattedData!J83^2*$J$6+$M$5*$J$7</f>
        <v>32.626976257486916</v>
      </c>
      <c r="R79" s="39">
        <f>$J$3+[41]FormattedData!K83*$J$4+$M$4*$J$5+[41]FormattedData!K83^2*$J$6+$M$5*$J$7</f>
        <v>33.682164294556003</v>
      </c>
      <c r="S79" s="39">
        <f>$J$3+[41]FormattedData!L83*$J$4+$M$4*$J$5+[41]FormattedData!L83^2*$J$6+$M$5*$J$7</f>
        <v>32.145654590029174</v>
      </c>
      <c r="T79" s="39">
        <f>$J$3+[41]FormattedData!M83*$J$4+$M$4*$J$5+[41]FormattedData!M83^2*$J$6+$M$5*$J$7</f>
        <v>30.792332205602655</v>
      </c>
      <c r="U79" s="39">
        <f>$J$3+[41]FormattedData!N83*$J$4+$M$4*$J$5+[41]FormattedData!N83^2*$J$6+$M$5*$J$7</f>
        <v>31.566673727328158</v>
      </c>
      <c r="V79" s="39">
        <f>$J$3+[41]FormattedData!O83*$J$4+$M$4*$J$5+[41]FormattedData!O83^2*$J$6+$M$5*$J$7</f>
        <v>33.586449452057558</v>
      </c>
      <c r="W79" s="38">
        <f>AVERAGE(K79:V79)</f>
        <v>32.654122472090975</v>
      </c>
      <c r="X79" s="37">
        <f>STDEV(K79:V79)/SQRT(COUNT(K79:V79))</f>
        <v>0.44037679032315891</v>
      </c>
      <c r="Y79" s="36">
        <f>MIN(K79:V79)</f>
        <v>30.792332205602655</v>
      </c>
      <c r="Z79" s="35">
        <f>QUARTILE(K79:V79,1)</f>
        <v>31.494158463175012</v>
      </c>
      <c r="AA79" s="36">
        <f>MEDIAN(K79:V79)</f>
        <v>32.482643160056483</v>
      </c>
      <c r="AB79" s="35">
        <f>QUARTILE(K79:V79,3)</f>
        <v>33.610378162682167</v>
      </c>
      <c r="AC79" s="35">
        <f>MAX(K79:V79)</f>
        <v>36.155913942701709</v>
      </c>
      <c r="AD79" s="35">
        <f>SKEW(K79:V79)</f>
        <v>0.93074209391518437</v>
      </c>
      <c r="AE79" s="35">
        <f>KURT(K79:V79)</f>
        <v>1.2226765424833852</v>
      </c>
    </row>
    <row r="80" spans="2:31" x14ac:dyDescent="0.2">
      <c r="B80" s="34">
        <f>[41]FormattedData!A81</f>
        <v>407</v>
      </c>
      <c r="C80" s="34" t="str">
        <f>VLOOKUP($B80,[41]TrtCodes!$B$11:I124,2)</f>
        <v>NSH</v>
      </c>
      <c r="D80" s="34">
        <f>VLOOKUP($B80,[41]TrtCodes!$B$11:J124,3)</f>
        <v>7</v>
      </c>
      <c r="E80" s="34">
        <f>VLOOKUP($B80,[41]TrtCodes!$B$11:K124,4)</f>
        <v>2</v>
      </c>
      <c r="F80" s="34">
        <f>VLOOKUP($B80,[41]TrtCodes!$B$11:L124,5)</f>
        <v>1</v>
      </c>
      <c r="G80" s="34">
        <f>VLOOKUP($B80,[41]TrtCodes!$B$11:M124,6)</f>
        <v>2</v>
      </c>
      <c r="H80" s="34">
        <f>VLOOKUP($B80,[41]TrtCodes!$B$11:N124,7)</f>
        <v>4</v>
      </c>
      <c r="I80" s="34">
        <f>[41]FormattedData!B81</f>
        <v>2</v>
      </c>
      <c r="J80" s="37">
        <f>[41]FormattedData!C81</f>
        <v>13.634</v>
      </c>
      <c r="K80" s="39">
        <f>$J$3+[41]FormattedData!D81*$J$4+$M$4*$J$5+[41]FormattedData!D81^2*$J$6+$M$5*$J$7</f>
        <v>29.625747698462661</v>
      </c>
      <c r="L80" s="39">
        <f>$J$3+[41]FormattedData!E81*$J$4+$M$4*$J$5+[41]FormattedData!E81^2*$J$6+$M$5*$J$7</f>
        <v>35.587584751559326</v>
      </c>
      <c r="M80" s="39">
        <f>$J$3+[41]FormattedData!F81*$J$4+$M$4*$J$5+[41]FormattedData!F81^2*$J$6+$M$5*$J$7</f>
        <v>43.861682241989165</v>
      </c>
      <c r="N80" s="39">
        <f>$J$3+[41]FormattedData!G81*$J$4+$M$4*$J$5+[41]FormattedData!G81^2*$J$6+$M$5*$J$7</f>
        <v>37.288007322889882</v>
      </c>
      <c r="O80" s="39">
        <f>$J$3+[41]FormattedData!H81*$J$4+$M$4*$J$5+[41]FormattedData!H81^2*$J$6+$M$5*$J$7</f>
        <v>32.242003460596578</v>
      </c>
      <c r="P80" s="39">
        <f>$J$3+[41]FormattedData!I81*$J$4+$M$4*$J$5+[41]FormattedData!I81^2*$J$6+$M$5*$J$7</f>
        <v>40.462551236760895</v>
      </c>
      <c r="Q80" s="39">
        <f>$J$3+[41]FormattedData!J81*$J$4+$M$4*$J$5+[41]FormattedData!J81^2*$J$6+$M$5*$J$7</f>
        <v>34.16010447897925</v>
      </c>
      <c r="R80" s="39">
        <f>$J$3+[41]FormattedData!K81*$J$4+$M$4*$J$5+[41]FormattedData!K81^2*$J$6+$M$5*$J$7</f>
        <v>31.85635436709935</v>
      </c>
      <c r="S80" s="39">
        <f>$J$3+[41]FormattedData!L81*$J$4+$M$4*$J$5+[41]FormattedData!L81^2*$J$6+$M$5*$J$7</f>
        <v>32.723113785364667</v>
      </c>
      <c r="T80" s="39">
        <f>$J$3+[41]FormattedData!M81*$J$4+$M$4*$J$5+[41]FormattedData!M81^2*$J$6+$M$5*$J$7</f>
        <v>43.405721697290105</v>
      </c>
      <c r="U80" s="39">
        <f>$J$3+[41]FormattedData!N81*$J$4+$M$4*$J$5+[41]FormattedData!N81^2*$J$6+$M$5*$J$7</f>
        <v>36.911319159434051</v>
      </c>
      <c r="V80" s="39">
        <f>$J$3+[41]FormattedData!O81*$J$4+$M$4*$J$5+[41]FormattedData!O81^2*$J$6+$M$5*$J$7</f>
        <v>38.507573180679934</v>
      </c>
      <c r="W80" s="38">
        <f>AVERAGE(K80:V80)</f>
        <v>36.385980281758826</v>
      </c>
      <c r="X80" s="37">
        <f>STDEV(K80:V80)/SQRT(COUNT(K80:V80))</f>
        <v>1.319353202193235</v>
      </c>
      <c r="Y80" s="36">
        <f>MIN(K80:V80)</f>
        <v>29.625747698462661</v>
      </c>
      <c r="Z80" s="35">
        <f>QUARTILE(K80:V80,1)</f>
        <v>32.602836204172647</v>
      </c>
      <c r="AA80" s="36">
        <f>MEDIAN(K80:V80)</f>
        <v>36.249451955496689</v>
      </c>
      <c r="AB80" s="35">
        <f>QUARTILE(K80:V80,3)</f>
        <v>38.996317694700174</v>
      </c>
      <c r="AC80" s="35">
        <f>MAX(K80:V80)</f>
        <v>43.861682241989165</v>
      </c>
      <c r="AD80" s="35">
        <f>SKEW(K80:V80)</f>
        <v>0.35211911044991645</v>
      </c>
      <c r="AE80" s="35">
        <f>KURT(K80:V80)</f>
        <v>-0.83429979238284613</v>
      </c>
    </row>
    <row r="81" spans="2:31" x14ac:dyDescent="0.2">
      <c r="B81" s="34">
        <f>[41]FormattedData!A79</f>
        <v>408</v>
      </c>
      <c r="C81" s="34" t="str">
        <f>VLOOKUP($B81,[41]TrtCodes!$B$11:I122,2)</f>
        <v>NTL</v>
      </c>
      <c r="D81" s="34">
        <f>VLOOKUP($B81,[41]TrtCodes!$B$11:J122,3)</f>
        <v>10</v>
      </c>
      <c r="E81" s="34">
        <f>VLOOKUP($B81,[41]TrtCodes!$B$11:K122,4)</f>
        <v>2</v>
      </c>
      <c r="F81" s="34">
        <f>VLOOKUP($B81,[41]TrtCodes!$B$11:L122,5)</f>
        <v>2</v>
      </c>
      <c r="G81" s="34">
        <f>VLOOKUP($B81,[41]TrtCodes!$B$11:M122,6)</f>
        <v>1</v>
      </c>
      <c r="H81" s="34">
        <f>VLOOKUP($B81,[41]TrtCodes!$B$11:N122,7)</f>
        <v>4</v>
      </c>
      <c r="I81" s="34">
        <f>[41]FormattedData!B79</f>
        <v>2</v>
      </c>
      <c r="J81" s="37">
        <f>[41]FormattedData!C79</f>
        <v>13.617000000000001</v>
      </c>
      <c r="K81" s="39">
        <f>$J$3+[41]FormattedData!D79*$J$4+$M$4*$J$5+[41]FormattedData!D79^2*$J$6+$M$5*$J$7</f>
        <v>30.015285497449558</v>
      </c>
      <c r="L81" s="39">
        <f>$J$3+[41]FormattedData!E79*$J$4+$M$4*$J$5+[41]FormattedData!E79^2*$J$6+$M$5*$J$7</f>
        <v>30.501256704079722</v>
      </c>
      <c r="M81" s="39">
        <f>$J$3+[41]FormattedData!F79*$J$4+$M$4*$J$5+[41]FormattedData!F79^2*$J$6+$M$5*$J$7</f>
        <v>31.85635436709935</v>
      </c>
      <c r="N81" s="39">
        <f>$J$3+[41]FormattedData!G79*$J$4+$M$4*$J$5+[41]FormattedData!G79^2*$J$6+$M$5*$J$7</f>
        <v>29.820601135031971</v>
      </c>
      <c r="O81" s="39">
        <f>$J$3+[41]FormattedData!H79*$J$4+$M$4*$J$5+[41]FormattedData!H79^2*$J$6+$M$5*$J$7</f>
        <v>31.47002897699522</v>
      </c>
      <c r="P81" s="39">
        <f>$J$3+[41]FormattedData!I79*$J$4+$M$4*$J$5+[41]FormattedData!I79^2*$J$6+$M$5*$J$7</f>
        <v>37.005554603104905</v>
      </c>
      <c r="Q81" s="39">
        <f>$J$3+[41]FormattedData!J79*$J$4+$M$4*$J$5+[41]FormattedData!J79^2*$J$6+$M$5*$J$7</f>
        <v>33.01127275777035</v>
      </c>
      <c r="R81" s="39">
        <f>$J$3+[41]FormattedData!K79*$J$4+$M$4*$J$5+[41]FormattedData!K79^2*$J$6+$M$5*$J$7</f>
        <v>31.952830043280564</v>
      </c>
      <c r="S81" s="39">
        <f>$J$3+[41]FormattedData!L79*$J$4+$M$4*$J$5+[41]FormattedData!L79^2*$J$6+$M$5*$J$7</f>
        <v>31.47002897699522</v>
      </c>
      <c r="T81" s="39">
        <f>$J$3+[41]FormattedData!M79*$J$4+$M$4*$J$5+[41]FormattedData!M79^2*$J$6+$M$5*$J$7</f>
        <v>32.242003460596578</v>
      </c>
      <c r="U81" s="39">
        <f>$J$3+[41]FormattedData!N79*$J$4+$M$4*$J$5+[41]FormattedData!N79^2*$J$6+$M$5*$J$7</f>
        <v>37.945584270227222</v>
      </c>
      <c r="V81" s="39">
        <f>$J$3+[41]FormattedData!O79*$J$4+$M$4*$J$5+[41]FormattedData!O79^2*$J$6+$M$5*$J$7</f>
        <v>30.986171197261609</v>
      </c>
      <c r="W81" s="38">
        <f>AVERAGE(K81:V81)</f>
        <v>32.356414332491028</v>
      </c>
      <c r="X81" s="37">
        <f>STDEV(K81:V81)/SQRT(COUNT(K81:V81))</f>
        <v>0.74115983210811942</v>
      </c>
      <c r="Y81" s="36">
        <f>MIN(K81:V81)</f>
        <v>29.820601135031971</v>
      </c>
      <c r="Z81" s="35">
        <f>QUARTILE(K81:V81,1)</f>
        <v>30.864942573966136</v>
      </c>
      <c r="AA81" s="36">
        <f>MEDIAN(K81:V81)</f>
        <v>31.663191672047283</v>
      </c>
      <c r="AB81" s="35">
        <f>QUARTILE(K81:V81,3)</f>
        <v>32.434320784890019</v>
      </c>
      <c r="AC81" s="35">
        <f>MAX(K81:V81)</f>
        <v>37.945584270227222</v>
      </c>
      <c r="AD81" s="35">
        <f>SKEW(K81:V81)</f>
        <v>1.5192163933798417</v>
      </c>
      <c r="AE81" s="35">
        <f>KURT(K81:V81)</f>
        <v>1.5198852286870697</v>
      </c>
    </row>
    <row r="82" spans="2:31" x14ac:dyDescent="0.2">
      <c r="B82" s="34">
        <f>[41]FormattedData!A59</f>
        <v>902</v>
      </c>
      <c r="C82" s="34" t="str">
        <f>VLOOKUP($B82,[41]TrtCodes!$B$11:I102,2)</f>
        <v>Late</v>
      </c>
      <c r="D82" s="34">
        <f>VLOOKUP($B82,[41]TrtCodes!$B$11:J102,3)</f>
        <v>22</v>
      </c>
      <c r="E82" s="34">
        <f>VLOOKUP($B82,[41]TrtCodes!$B$11:K102,4)</f>
        <v>4</v>
      </c>
      <c r="F82" s="34">
        <f>VLOOKUP($B82,[41]TrtCodes!$B$11:L102,5)</f>
        <v>2</v>
      </c>
      <c r="G82" s="34">
        <f>VLOOKUP($B82,[41]TrtCodes!$B$11:M102,6)</f>
        <v>2</v>
      </c>
      <c r="H82" s="34">
        <f>VLOOKUP($B82,[41]TrtCodes!$B$11:N102,7)</f>
        <v>1</v>
      </c>
      <c r="I82" s="34">
        <f>[41]FormattedData!B59</f>
        <v>2</v>
      </c>
      <c r="J82" s="37">
        <f>[41]FormattedData!C59</f>
        <v>13.46</v>
      </c>
      <c r="K82" s="39">
        <f>$J$3+[41]FormattedData!D59*$J$4+$M$4*$J$5+[41]FormattedData!D59^2*$J$6+$M$5*$J$7</f>
        <v>33.394892961446885</v>
      </c>
      <c r="L82" s="39">
        <f>$J$3+[41]FormattedData!E59*$J$4+$M$4*$J$5+[41]FormattedData!E59^2*$J$6+$M$5*$J$7</f>
        <v>31.276612670715572</v>
      </c>
      <c r="M82" s="39">
        <f>$J$3+[41]FormattedData!F59*$J$4+$M$4*$J$5+[41]FormattedData!F59^2*$J$6+$M$5*$J$7</f>
        <v>39.53393407487998</v>
      </c>
      <c r="N82" s="39">
        <f>$J$3+[41]FormattedData!G59*$J$4+$M$4*$J$5+[41]FormattedData!G59^2*$J$6+$M$5*$J$7</f>
        <v>31.759836422380218</v>
      </c>
      <c r="O82" s="39">
        <f>$J$3+[41]FormattedData!H59*$J$4+$M$4*$J$5+[41]FormattedData!H59^2*$J$6+$M$5*$J$7</f>
        <v>30.501256704079722</v>
      </c>
      <c r="P82" s="39">
        <f>$J$3+[41]FormattedData!I59*$J$4+$M$4*$J$5+[41]FormattedData!I59^2*$J$6+$M$5*$J$7</f>
        <v>31.373341958124364</v>
      </c>
      <c r="Q82" s="39">
        <f>$J$3+[41]FormattedData!J59*$J$4+$M$4*$J$5+[41]FormattedData!J59^2*$J$6+$M$5*$J$7</f>
        <v>31.85635436709935</v>
      </c>
      <c r="R82" s="39">
        <f>$J$3+[41]FormattedData!K59*$J$4+$M$4*$J$5+[41]FormattedData!K59^2*$J$6+$M$5*$J$7</f>
        <v>29.625747698462661</v>
      </c>
      <c r="S82" s="39">
        <f>$J$3+[41]FormattedData!L59*$J$4+$M$4*$J$5+[41]FormattedData!L59^2*$J$6+$M$5*$J$7</f>
        <v>29.528257577371114</v>
      </c>
      <c r="T82" s="39">
        <f>$J$3+[41]FormattedData!M59*$J$4+$M$4*$J$5+[41]FormattedData!M59^2*$J$6+$M$5*$J$7</f>
        <v>28.746814941273179</v>
      </c>
      <c r="U82" s="39">
        <f>$J$3+[41]FormattedData!N59*$J$4+$M$4*$J$5+[41]FormattedData!N59^2*$J$6+$M$5*$J$7</f>
        <v>30.986171197261609</v>
      </c>
      <c r="V82" s="39">
        <f>$J$3+[41]FormattedData!O59*$J$4+$M$4*$J$5+[41]FormattedData!O59^2*$J$6+$M$5*$J$7</f>
        <v>30.501256704079722</v>
      </c>
      <c r="W82" s="38">
        <f>AVERAGE(K82:V82)</f>
        <v>31.590373106431198</v>
      </c>
      <c r="X82" s="37">
        <f>STDEV(K82:V82)/SQRT(COUNT(K82:V82))</f>
        <v>0.80498809634382185</v>
      </c>
      <c r="Y82" s="36">
        <f>MIN(K82:V82)</f>
        <v>28.746814941273179</v>
      </c>
      <c r="Z82" s="35">
        <f>QUARTILE(K82:V82,1)</f>
        <v>30.282379452675457</v>
      </c>
      <c r="AA82" s="36">
        <f>MEDIAN(K82:V82)</f>
        <v>31.131391933988589</v>
      </c>
      <c r="AB82" s="35">
        <f>QUARTILE(K82:V82,3)</f>
        <v>31.783965908559999</v>
      </c>
      <c r="AC82" s="35">
        <f>MAX(K82:V82)</f>
        <v>39.53393407487998</v>
      </c>
      <c r="AD82" s="35">
        <f>SKEW(K82:V82)</f>
        <v>2.3391311497874514</v>
      </c>
      <c r="AE82" s="35">
        <f>KURT(K82:V82)</f>
        <v>6.6343510026937729</v>
      </c>
    </row>
    <row r="83" spans="2:31" x14ac:dyDescent="0.2">
      <c r="B83" s="34">
        <f>[41]FormattedData!A55</f>
        <v>904</v>
      </c>
      <c r="C83" s="34" t="str">
        <f>VLOOKUP($B83,[41]TrtCodes!$B$11:I98,2)</f>
        <v>Early</v>
      </c>
      <c r="D83" s="34">
        <f>VLOOKUP($B83,[41]TrtCodes!$B$11:J98,3)</f>
        <v>21</v>
      </c>
      <c r="E83" s="34">
        <f>VLOOKUP($B83,[41]TrtCodes!$B$11:K98,4)</f>
        <v>3</v>
      </c>
      <c r="F83" s="34">
        <f>VLOOKUP($B83,[41]TrtCodes!$B$11:L98,5)</f>
        <v>2</v>
      </c>
      <c r="G83" s="34">
        <f>VLOOKUP($B83,[41]TrtCodes!$B$11:M98,6)</f>
        <v>2</v>
      </c>
      <c r="H83" s="34">
        <f>VLOOKUP($B83,[41]TrtCodes!$B$11:N98,7)</f>
        <v>1</v>
      </c>
      <c r="I83" s="34">
        <f>[41]FormattedData!B55</f>
        <v>2</v>
      </c>
      <c r="J83" s="37">
        <f>[41]FormattedData!C55</f>
        <v>13.435</v>
      </c>
      <c r="K83" s="39">
        <f>$J$3+[41]FormattedData!D55*$J$4+$M$4*$J$5+[41]FormattedData!D55^2*$J$6+$M$5*$J$7</f>
        <v>31.373341958124364</v>
      </c>
      <c r="L83" s="39">
        <f>$J$3+[41]FormattedData!E55*$J$4+$M$4*$J$5+[41]FormattedData!E55^2*$J$6+$M$5*$J$7</f>
        <v>34.541695792835093</v>
      </c>
      <c r="M83" s="39">
        <f>$J$3+[41]FormattedData!F55*$J$4+$M$4*$J$5+[41]FormattedData!F55^2*$J$6+$M$5*$J$7</f>
        <v>33.107241211496373</v>
      </c>
      <c r="N83" s="39">
        <f>$J$3+[41]FormattedData!G55*$J$4+$M$4*$J$5+[41]FormattedData!G55^2*$J$6+$M$5*$J$7</f>
        <v>33.203167396684471</v>
      </c>
      <c r="O83" s="39">
        <f>$J$3+[41]FormattedData!H55*$J$4+$M$4*$J$5+[41]FormattedData!H55^2*$J$6+$M$5*$J$7</f>
        <v>36.345018858112375</v>
      </c>
      <c r="P83" s="39">
        <f>$J$3+[41]FormattedData!I55*$J$4+$M$4*$J$5+[41]FormattedData!I55^2*$J$6+$M$5*$J$7</f>
        <v>32.434574396117618</v>
      </c>
      <c r="Q83" s="39">
        <f>$J$3+[41]FormattedData!J55*$J$4+$M$4*$J$5+[41]FormattedData!J55^2*$J$6+$M$5*$J$7</f>
        <v>38.694564669194044</v>
      </c>
      <c r="R83" s="39">
        <f>$J$3+[41]FormattedData!K55*$J$4+$M$4*$J$5+[41]FormattedData!K55^2*$J$6+$M$5*$J$7</f>
        <v>32.242003460596578</v>
      </c>
      <c r="S83" s="39">
        <f>$J$3+[41]FormattedData!L55*$J$4+$M$4*$J$5+[41]FormattedData!L55^2*$J$6+$M$5*$J$7</f>
        <v>32.049263450923831</v>
      </c>
      <c r="T83" s="39">
        <f>$J$3+[41]FormattedData!M55*$J$4+$M$4*$J$5+[41]FormattedData!M55^2*$J$6+$M$5*$J$7</f>
        <v>30.306995027041452</v>
      </c>
      <c r="U83" s="39">
        <f>$J$3+[41]FormattedData!N55*$J$4+$M$4*$J$5+[41]FormattedData!N55^2*$J$6+$M$5*$J$7</f>
        <v>33.394892961446885</v>
      </c>
      <c r="V83" s="39">
        <f>$J$3+[41]FormattedData!O55*$J$4+$M$4*$J$5+[41]FormattedData!O55^2*$J$6+$M$5*$J$7</f>
        <v>33.777836868516509</v>
      </c>
      <c r="W83" s="38">
        <f>AVERAGE(K83:V83)</f>
        <v>33.455883004257466</v>
      </c>
      <c r="X83" s="37">
        <f>STDEV(K83:V83)/SQRT(COUNT(K83:V83))</f>
        <v>0.65139882946473482</v>
      </c>
      <c r="Y83" s="36">
        <f>MIN(K83:V83)</f>
        <v>30.306995027041452</v>
      </c>
      <c r="Z83" s="35">
        <f>QUARTILE(K83:V83,1)</f>
        <v>32.193818458178391</v>
      </c>
      <c r="AA83" s="36">
        <f>MEDIAN(K83:V83)</f>
        <v>33.155204304090418</v>
      </c>
      <c r="AB83" s="35">
        <f>QUARTILE(K83:V83,3)</f>
        <v>33.968801599596155</v>
      </c>
      <c r="AC83" s="35">
        <f>MAX(K83:V83)</f>
        <v>38.694564669194044</v>
      </c>
      <c r="AD83" s="35">
        <f>SKEW(K83:V83)</f>
        <v>1.1701898369042065</v>
      </c>
      <c r="AE83" s="35">
        <f>KURT(K83:V83)</f>
        <v>1.7316996852538251</v>
      </c>
    </row>
    <row r="84" spans="2:31" x14ac:dyDescent="0.2">
      <c r="B84" s="34">
        <f>[41]FormattedData!A51</f>
        <v>906</v>
      </c>
      <c r="C84" s="34" t="str">
        <f>VLOOKUP($B84,[41]TrtCodes!$B$11:I94,2)</f>
        <v>Late</v>
      </c>
      <c r="D84" s="34">
        <f>VLOOKUP($B84,[41]TrtCodes!$B$11:J94,3)</f>
        <v>22</v>
      </c>
      <c r="E84" s="34">
        <f>VLOOKUP($B84,[41]TrtCodes!$B$11:K94,4)</f>
        <v>4</v>
      </c>
      <c r="F84" s="34">
        <f>VLOOKUP($B84,[41]TrtCodes!$B$11:L94,5)</f>
        <v>2</v>
      </c>
      <c r="G84" s="34">
        <f>VLOOKUP($B84,[41]TrtCodes!$B$11:M94,6)</f>
        <v>2</v>
      </c>
      <c r="H84" s="34">
        <f>VLOOKUP($B84,[41]TrtCodes!$B$11:N94,7)</f>
        <v>2</v>
      </c>
      <c r="I84" s="34">
        <f>[41]FormattedData!B51</f>
        <v>2</v>
      </c>
      <c r="J84" s="37">
        <f>[41]FormattedData!C51</f>
        <v>13.41</v>
      </c>
      <c r="K84" s="39">
        <f>$J$3+[41]FormattedData!D51*$J$4+$M$4*$J$5+[41]FormattedData!D51^2*$J$6+$M$5*$J$7</f>
        <v>29.137874407625596</v>
      </c>
      <c r="L84" s="39">
        <f>$J$3+[41]FormattedData!E51*$J$4+$M$4*$J$5+[41]FormattedData!E51^2*$J$6+$M$5*$J$7</f>
        <v>31.47002897699522</v>
      </c>
      <c r="M84" s="39">
        <f>$J$3+[41]FormattedData!F51*$J$4+$M$4*$J$5+[41]FormattedData!F51^2*$J$6+$M$5*$J$7</f>
        <v>32.145654590029174</v>
      </c>
      <c r="N84" s="39">
        <f>$J$3+[41]FormattedData!G51*$J$4+$M$4*$J$5+[41]FormattedData!G51^2*$J$6+$M$5*$J$7</f>
        <v>36.250487534676012</v>
      </c>
      <c r="O84" s="39">
        <f>$J$3+[41]FormattedData!H51*$J$4+$M$4*$J$5+[41]FormattedData!H51^2*$J$6+$M$5*$J$7</f>
        <v>33.969055210823747</v>
      </c>
      <c r="P84" s="39">
        <f>$J$3+[41]FormattedData!I51*$J$4+$M$4*$J$5+[41]FormattedData!I51^2*$J$6+$M$5*$J$7</f>
        <v>29.820601135031971</v>
      </c>
      <c r="Q84" s="39">
        <f>$J$3+[41]FormattedData!J51*$J$4+$M$4*$J$5+[41]FormattedData!J51^2*$J$6+$M$5*$J$7</f>
        <v>30.598324139791959</v>
      </c>
      <c r="R84" s="39">
        <f>$J$3+[41]FormattedData!K51*$J$4+$M$4*$J$5+[41]FormattedData!K51^2*$J$6+$M$5*$J$7</f>
        <v>34.255565710250103</v>
      </c>
      <c r="S84" s="39">
        <f>$J$3+[41]FormattedData!L51*$J$4+$M$4*$J$5+[41]FormattedData!L51^2*$J$6+$M$5*$J$7</f>
        <v>31.179841114768855</v>
      </c>
      <c r="T84" s="39">
        <f>$J$3+[41]FormattedData!M51*$J$4+$M$4*$J$5+[41]FormattedData!M51^2*$J$6+$M$5*$J$7</f>
        <v>31.373341958124364</v>
      </c>
      <c r="U84" s="39">
        <f>$J$3+[41]FormattedData!N51*$J$4+$M$4*$J$5+[41]FormattedData!N51^2*$J$6+$M$5*$J$7</f>
        <v>33.394892961446885</v>
      </c>
      <c r="V84" s="39">
        <f>$J$3+[41]FormattedData!O51*$J$4+$M$4*$J$5+[41]FormattedData!O51^2*$J$6+$M$5*$J$7</f>
        <v>30.889272835701096</v>
      </c>
      <c r="W84" s="38">
        <f>AVERAGE(K84:V84)</f>
        <v>32.040411714605419</v>
      </c>
      <c r="X84" s="37">
        <f>STDEV(K84:V84)/SQRT(COUNT(K84:V84))</f>
        <v>0.59330179278041784</v>
      </c>
      <c r="Y84" s="36">
        <f>MIN(K84:V84)</f>
        <v>29.137874407625596</v>
      </c>
      <c r="Z84" s="35">
        <f>QUARTILE(K84:V84,1)</f>
        <v>30.816535661723812</v>
      </c>
      <c r="AA84" s="36">
        <f>MEDIAN(K84:V84)</f>
        <v>31.42168546755979</v>
      </c>
      <c r="AB84" s="35">
        <f>QUARTILE(K84:V84,3)</f>
        <v>33.538433523791099</v>
      </c>
      <c r="AC84" s="35">
        <f>MAX(K84:V84)</f>
        <v>36.250487534676012</v>
      </c>
      <c r="AD84" s="35">
        <f>SKEW(K84:V84)</f>
        <v>0.6800183199565254</v>
      </c>
      <c r="AE84" s="35">
        <f>KURT(K84:V84)</f>
        <v>8.1823723643621449E-3</v>
      </c>
    </row>
    <row r="85" spans="2:31" x14ac:dyDescent="0.2">
      <c r="B85" s="34">
        <f>[41]FormattedData!A47</f>
        <v>908</v>
      </c>
      <c r="C85" s="34" t="str">
        <f>VLOOKUP($B85,[41]TrtCodes!$B$11:I90,2)</f>
        <v>Early</v>
      </c>
      <c r="D85" s="34">
        <f>VLOOKUP($B85,[41]TrtCodes!$B$11:J90,3)</f>
        <v>21</v>
      </c>
      <c r="E85" s="34">
        <f>VLOOKUP($B85,[41]TrtCodes!$B$11:K90,4)</f>
        <v>3</v>
      </c>
      <c r="F85" s="34">
        <f>VLOOKUP($B85,[41]TrtCodes!$B$11:L90,5)</f>
        <v>2</v>
      </c>
      <c r="G85" s="34">
        <f>VLOOKUP($B85,[41]TrtCodes!$B$11:M90,6)</f>
        <v>2</v>
      </c>
      <c r="H85" s="34">
        <f>VLOOKUP($B85,[41]TrtCodes!$B$11:N90,7)</f>
        <v>2</v>
      </c>
      <c r="I85" s="34">
        <f>[41]FormattedData!B47</f>
        <v>2</v>
      </c>
      <c r="J85" s="37">
        <f>[41]FormattedData!C47</f>
        <v>13.384</v>
      </c>
      <c r="K85" s="39">
        <f>$J$3+[41]FormattedData!D47*$J$4+$M$4*$J$5+[41]FormattedData!D47^2*$J$6+$M$5*$J$7</f>
        <v>31.276612670715572</v>
      </c>
      <c r="L85" s="39">
        <f>$J$3+[41]FormattedData!E47*$J$4+$M$4*$J$5+[41]FormattedData!E47^2*$J$6+$M$5*$J$7</f>
        <v>30.695349306966278</v>
      </c>
      <c r="M85" s="39">
        <f>$J$3+[41]FormattedData!F47*$J$4+$M$4*$J$5+[41]FormattedData!F47^2*$J$6+$M$5*$J$7</f>
        <v>30.889272835701096</v>
      </c>
      <c r="N85" s="39">
        <f>$J$3+[41]FormattedData!G47*$J$4+$M$4*$J$5+[41]FormattedData!G47^2*$J$6+$M$5*$J$7</f>
        <v>31.759836422380218</v>
      </c>
      <c r="O85" s="39">
        <f>$J$3+[41]FormattedData!H47*$J$4+$M$4*$J$5+[41]FormattedData!H47^2*$J$6+$M$5*$J$7</f>
        <v>34.350984672983039</v>
      </c>
      <c r="P85" s="39">
        <f>$J$3+[41]FormattedData!I47*$J$4+$M$4*$J$5+[41]FormattedData!I47^2*$J$6+$M$5*$J$7</f>
        <v>30.695349306966278</v>
      </c>
      <c r="Q85" s="39">
        <f>$J$3+[41]FormattedData!J47*$J$4+$M$4*$J$5+[41]FormattedData!J47^2*$J$6+$M$5*$J$7</f>
        <v>38.133082981196523</v>
      </c>
      <c r="R85" s="39">
        <f>$J$3+[41]FormattedData!K47*$J$4+$M$4*$J$5+[41]FormattedData!K47^2*$J$6+$M$5*$J$7</f>
        <v>30.501256704079722</v>
      </c>
      <c r="S85" s="39">
        <f>$J$3+[41]FormattedData!L47*$J$4+$M$4*$J$5+[41]FormattedData!L47^2*$J$6+$M$5*$J$7</f>
        <v>40.369879728993496</v>
      </c>
      <c r="T85" s="39">
        <f>$J$3+[41]FormattedData!M47*$J$4+$M$4*$J$5+[41]FormattedData!M47^2*$J$6+$M$5*$J$7</f>
        <v>30.889272835701096</v>
      </c>
      <c r="U85" s="39">
        <f>$J$3+[41]FormattedData!N47*$J$4+$M$4*$J$5+[41]FormattedData!N47^2*$J$6+$M$5*$J$7</f>
        <v>32.049263450923831</v>
      </c>
      <c r="V85" s="39">
        <f>$J$3+[41]FormattedData!O47*$J$4+$M$4*$J$5+[41]FormattedData!O47^2*$J$6+$M$5*$J$7</f>
        <v>29.723195551016286</v>
      </c>
      <c r="W85" s="38">
        <f>AVERAGE(K85:V85)</f>
        <v>32.611113038968618</v>
      </c>
      <c r="X85" s="37">
        <f>STDEV(K85:V85)/SQRT(COUNT(K85:V85))</f>
        <v>0.96373772783264289</v>
      </c>
      <c r="Y85" s="36">
        <f>MIN(K85:V85)</f>
        <v>29.723195551016286</v>
      </c>
      <c r="Z85" s="35">
        <f>QUARTILE(K85:V85,1)</f>
        <v>30.695349306966278</v>
      </c>
      <c r="AA85" s="36">
        <f>MEDIAN(K85:V85)</f>
        <v>31.082942753208336</v>
      </c>
      <c r="AB85" s="35">
        <f>QUARTILE(K85:V85,3)</f>
        <v>32.624693756438631</v>
      </c>
      <c r="AC85" s="35">
        <f>MAX(K85:V85)</f>
        <v>40.369879728993496</v>
      </c>
      <c r="AD85" s="35">
        <f>SKEW(K85:V85)</f>
        <v>1.6998486743858403</v>
      </c>
      <c r="AE85" s="35">
        <f>KURT(K85:V85)</f>
        <v>1.9292364979474472</v>
      </c>
    </row>
    <row r="88" spans="2:31" x14ac:dyDescent="0.2">
      <c r="W88" s="35"/>
    </row>
  </sheetData>
  <autoFilter ref="B9:AE85" xr:uid="{AEB1218B-DB50-43BD-980B-93E373B75DA0}"/>
  <conditionalFormatting sqref="K10:V85">
    <cfRule type="cellIs" dxfId="159" priority="1" stopIfTrue="1" operator="lessThan">
      <formula>$W10-$V$5*$X10</formula>
    </cfRule>
    <cfRule type="cellIs" dxfId="158" priority="2" stopIfTrue="1" operator="greaterThan">
      <formula>$W10+$V$5*$X10</formula>
    </cfRule>
  </conditionalFormatting>
  <conditionalFormatting sqref="W10:W85">
    <cfRule type="cellIs" dxfId="157" priority="3" stopIfTrue="1" operator="lessThan">
      <formula>AVERAGE($W$10:$W$41)</formula>
    </cfRule>
    <cfRule type="cellIs" dxfId="15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0BCD-FC6C-4A38-8DA9-BFEC8B760A2D}">
  <sheetPr codeName="Sheet11"/>
  <dimension ref="A1:AI88"/>
  <sheetViews>
    <sheetView topLeftCell="A8" workbookViewId="0">
      <pane xSplit="4" ySplit="2" topLeftCell="L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[40]FormattedData!A1</f>
        <v>Raw data file name - 'IA156.03R'</v>
      </c>
    </row>
    <row r="2" spans="1:35" ht="15" x14ac:dyDescent="0.25">
      <c r="I2" s="65" t="s">
        <v>136</v>
      </c>
      <c r="J2" s="57"/>
      <c r="P2" s="64">
        <f>[40]AncillaryData!C10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[40]AncillaryData!E25</f>
        <v>37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"&amp;[40]AncillaryData!C7</f>
        <v>Time Sequence of Midday IRT Temps - FISE 2003 - DOY 156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"&amp;[40]AncillaryData!E25&amp;", VPD = "&amp;ROUND([40]AncillaryData!E29,1)&amp;", Quality = "&amp;[40]AncillaryData!C20&amp;")"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[40]FormattedData!A28</f>
        <v>101</v>
      </c>
      <c r="C10" s="34" t="str">
        <f>VLOOKUP($B10,[40]TrtCodes!$B$11:I71,2)</f>
        <v>FSH</v>
      </c>
      <c r="D10" s="34">
        <f>VLOOKUP($B10,[40]TrtCodes!$B$11:J71,3)</f>
        <v>1</v>
      </c>
      <c r="E10" s="34">
        <f>VLOOKUP($B10,[40]TrtCodes!$B$11:K71,4)</f>
        <v>1</v>
      </c>
      <c r="F10" s="34">
        <f>VLOOKUP($B10,[40]TrtCodes!$B$11:L71,5)</f>
        <v>1</v>
      </c>
      <c r="G10" s="34">
        <f>VLOOKUP($B10,[40]TrtCodes!$B$11:M71,6)</f>
        <v>2</v>
      </c>
      <c r="H10" s="34">
        <f>VLOOKUP($B10,[40]TrtCodes!$B$11:N71,7)</f>
        <v>1</v>
      </c>
      <c r="I10" s="34">
        <f>[40]FormattedData!B28</f>
        <v>1</v>
      </c>
      <c r="J10" s="37">
        <f>[40]FormattedData!C28</f>
        <v>13.224</v>
      </c>
      <c r="K10" s="39">
        <f>$J$3+[40]FormattedData!D28*$J$4+$M$4*$J$5+[40]FormattedData!D28^2*$J$6+$M$5*$J$7</f>
        <v>54.632930276687425</v>
      </c>
      <c r="L10" s="39">
        <f>$J$3+[40]FormattedData!E28*$J$4+$M$4*$J$5+[40]FormattedData!E28^2*$J$6+$M$5*$J$7</f>
        <v>52.992636962210547</v>
      </c>
      <c r="M10" s="39">
        <f>$J$3+[40]FormattedData!F28*$J$4+$M$4*$J$5+[40]FormattedData!F28^2*$J$6+$M$5*$J$7</f>
        <v>54.890529096168891</v>
      </c>
      <c r="N10" s="39">
        <f>$J$3+[40]FormattedData!G28*$J$4+$M$4*$J$5+[40]FormattedData!G28^2*$J$6+$M$5*$J$7</f>
        <v>55.147747498808975</v>
      </c>
      <c r="O10" s="39">
        <f>$J$3+[40]FormattedData!H28*$J$4+$M$4*$J$5+[40]FormattedData!H28^2*$J$6+$M$5*$J$7</f>
        <v>53.425772496426788</v>
      </c>
      <c r="P10" s="39">
        <f>$J$3+[40]FormattedData!I28*$J$4+$M$4*$J$5+[40]FormattedData!I28^2*$J$6+$M$5*$J$7</f>
        <v>54.890529096168891</v>
      </c>
      <c r="Q10" s="39">
        <f>$J$3+[40]FormattedData!J28*$J$4+$M$4*$J$5+[40]FormattedData!J28^2*$J$6+$M$5*$J$7</f>
        <v>54.202753540126366</v>
      </c>
      <c r="R10" s="39">
        <f>$J$3+[40]FormattedData!K28*$J$4+$M$4*$J$5+[40]FormattedData!K28^2*$J$6+$M$5*$J$7</f>
        <v>56.087626964401913</v>
      </c>
      <c r="S10" s="39">
        <f>$J$3+[40]FormattedData!L28*$J$4+$M$4*$J$5+[40]FormattedData!L28^2*$J$6+$M$5*$J$7</f>
        <v>56.598132795654486</v>
      </c>
      <c r="T10" s="39">
        <f>$J$3+[40]FormattedData!M28*$J$4+$M$4*$J$5+[40]FormattedData!M28^2*$J$6+$M$5*$J$7</f>
        <v>55.831803423513556</v>
      </c>
      <c r="U10" s="39">
        <f>$J$3+[40]FormattedData!N28*$J$4+$M$4*$J$5+[40]FormattedData!N28^2*$J$6+$M$5*$J$7</f>
        <v>54.890529096168891</v>
      </c>
      <c r="V10" s="39">
        <f>$J$3+[40]FormattedData!O28*$J$4+$M$4*$J$5+[40]FormattedData!O28^2*$J$6+$M$5*$J$7</f>
        <v>54.890529096168891</v>
      </c>
      <c r="W10" s="38">
        <f>AVERAGE(K10:V10)</f>
        <v>54.873460028542127</v>
      </c>
      <c r="X10" s="37">
        <f>STDEV(K10:V10)/SQRT(COUNT(K10:V10))</f>
        <v>0.29624563602054782</v>
      </c>
      <c r="Y10" s="36">
        <f>MIN(K10:V10)</f>
        <v>52.992636962210547</v>
      </c>
      <c r="Z10" s="35">
        <f>QUARTILE(K10:V10,1)</f>
        <v>54.525386092547159</v>
      </c>
      <c r="AA10" s="36">
        <f>MEDIAN(K10:V10)</f>
        <v>54.890529096168891</v>
      </c>
      <c r="AB10" s="35">
        <f>QUARTILE(K10:V10,3)</f>
        <v>55.31876147998512</v>
      </c>
      <c r="AC10" s="35">
        <f>MAX(K10:V10)</f>
        <v>56.598132795654486</v>
      </c>
      <c r="AD10" s="35">
        <f>SKEW(K10:V10)</f>
        <v>-0.22028193428502663</v>
      </c>
      <c r="AE10" s="35">
        <f>KURT(K10:V10)</f>
        <v>8.429961030312505E-2</v>
      </c>
    </row>
    <row r="11" spans="1:35" x14ac:dyDescent="0.2">
      <c r="B11" s="34">
        <f>[40]FormattedData!A26</f>
        <v>102</v>
      </c>
      <c r="C11" s="34" t="str">
        <f>VLOOKUP($B11,[40]TrtCodes!$B$11:I69,2)</f>
        <v>FTL</v>
      </c>
      <c r="D11" s="34">
        <f>VLOOKUP($B11,[40]TrtCodes!$B$11:J69,3)</f>
        <v>4</v>
      </c>
      <c r="E11" s="34">
        <f>VLOOKUP($B11,[40]TrtCodes!$B$11:K69,4)</f>
        <v>1</v>
      </c>
      <c r="F11" s="34">
        <f>VLOOKUP($B11,[40]TrtCodes!$B$11:L69,5)</f>
        <v>2</v>
      </c>
      <c r="G11" s="34">
        <f>VLOOKUP($B11,[40]TrtCodes!$B$11:M69,6)</f>
        <v>1</v>
      </c>
      <c r="H11" s="34">
        <f>VLOOKUP($B11,[40]TrtCodes!$B$11:N69,7)</f>
        <v>1</v>
      </c>
      <c r="I11" s="34">
        <f>[40]FormattedData!B26</f>
        <v>1</v>
      </c>
      <c r="J11" s="37">
        <f>[40]FormattedData!C26</f>
        <v>13.208</v>
      </c>
      <c r="K11" s="39">
        <f>$J$3+[40]FormattedData!D26*$J$4+$M$4*$J$5+[40]FormattedData!D26^2*$J$6+$M$5*$J$7</f>
        <v>56.852815086018701</v>
      </c>
      <c r="L11" s="39">
        <f>$J$3+[40]FormattedData!E26*$J$4+$M$4*$J$5+[40]FormattedData!E26^2*$J$6+$M$5*$J$7</f>
        <v>55.147747498808975</v>
      </c>
      <c r="M11" s="39">
        <f>$J$3+[40]FormattedData!F26*$J$4+$M$4*$J$5+[40]FormattedData!F26^2*$J$6+$M$5*$J$7</f>
        <v>48.691987451208483</v>
      </c>
      <c r="N11" s="39">
        <f>$J$3+[40]FormattedData!G26*$J$4+$M$4*$J$5+[40]FormattedData!G26^2*$J$6+$M$5*$J$7</f>
        <v>55.831803423513556</v>
      </c>
      <c r="O11" s="39">
        <f>$J$3+[40]FormattedData!H26*$J$4+$M$4*$J$5+[40]FormattedData!H26^2*$J$6+$M$5*$J$7</f>
        <v>54.030386965736412</v>
      </c>
      <c r="P11" s="39">
        <f>$J$3+[40]FormattedData!I26*$J$4+$M$4*$J$5+[40]FormattedData!I26^2*$J$6+$M$5*$J$7</f>
        <v>53.857851317194751</v>
      </c>
      <c r="Q11" s="39">
        <f>$J$3+[40]FormattedData!J26*$J$4+$M$4*$J$5+[40]FormattedData!J26^2*$J$6+$M$5*$J$7</f>
        <v>53.425772496426788</v>
      </c>
      <c r="R11" s="39">
        <f>$J$3+[40]FormattedData!K26*$J$4+$M$4*$J$5+[40]FormattedData!K26^2*$J$6+$M$5*$J$7</f>
        <v>56.087626964401913</v>
      </c>
      <c r="S11" s="39">
        <f>$J$3+[40]FormattedData!L26*$J$4+$M$4*$J$5+[40]FormattedData!L26^2*$J$6+$M$5*$J$7</f>
        <v>53.685146594501362</v>
      </c>
      <c r="T11" s="39">
        <f>$J$3+[40]FormattedData!M26*$J$4+$M$4*$J$5+[40]FormattedData!M26^2*$J$6+$M$5*$J$7</f>
        <v>54.718838818385848</v>
      </c>
      <c r="U11" s="39">
        <f>$J$3+[40]FormattedData!N26*$J$4+$M$4*$J$5+[40]FormattedData!N26^2*$J$6+$M$5*$J$7</f>
        <v>48.780770253486217</v>
      </c>
      <c r="V11" s="39">
        <f>$J$3+[40]FormattedData!O26*$J$4+$M$4*$J$5+[40]FormattedData!O26^2*$J$6+$M$5*$J$7</f>
        <v>54.632930276687425</v>
      </c>
      <c r="W11" s="38">
        <f>AVERAGE(K11:V11)</f>
        <v>53.811973095530867</v>
      </c>
      <c r="X11" s="37">
        <f>STDEV(K11:V11)/SQRT(COUNT(K11:V11))</f>
        <v>0.74634465195780175</v>
      </c>
      <c r="Y11" s="36">
        <f>MIN(K11:V11)</f>
        <v>48.691987451208483</v>
      </c>
      <c r="Z11" s="35">
        <f>QUARTILE(K11:V11,1)</f>
        <v>53.620303069982718</v>
      </c>
      <c r="AA11" s="36">
        <f>MEDIAN(K11:V11)</f>
        <v>54.331658621211915</v>
      </c>
      <c r="AB11" s="35">
        <f>QUARTILE(K11:V11,3)</f>
        <v>55.31876147998512</v>
      </c>
      <c r="AC11" s="35">
        <f>MAX(K11:V11)</f>
        <v>56.852815086018701</v>
      </c>
      <c r="AD11" s="35">
        <f>SKEW(K11:V11)</f>
        <v>-1.3243231250811376</v>
      </c>
      <c r="AE11" s="35">
        <f>KURT(K11:V11)</f>
        <v>1.1200229895439637</v>
      </c>
    </row>
    <row r="12" spans="1:35" x14ac:dyDescent="0.2">
      <c r="B12" s="34">
        <f>[40]FormattedData!A24</f>
        <v>103</v>
      </c>
      <c r="C12" s="34" t="str">
        <f>VLOOKUP($B12,[40]TrtCodes!$B$11:I67,2)</f>
        <v>FDH</v>
      </c>
      <c r="D12" s="34">
        <f>VLOOKUP($B12,[40]TrtCodes!$B$11:J67,3)</f>
        <v>5</v>
      </c>
      <c r="E12" s="34">
        <f>VLOOKUP($B12,[40]TrtCodes!$B$11:K67,4)</f>
        <v>1</v>
      </c>
      <c r="F12" s="34">
        <f>VLOOKUP($B12,[40]TrtCodes!$B$11:L67,5)</f>
        <v>3</v>
      </c>
      <c r="G12" s="34">
        <f>VLOOKUP($B12,[40]TrtCodes!$B$11:M67,6)</f>
        <v>2</v>
      </c>
      <c r="H12" s="34">
        <f>VLOOKUP($B12,[40]TrtCodes!$B$11:N67,7)</f>
        <v>1</v>
      </c>
      <c r="I12" s="34">
        <f>[40]FormattedData!B24</f>
        <v>1</v>
      </c>
      <c r="J12" s="37">
        <f>[40]FormattedData!C24</f>
        <v>13.193</v>
      </c>
      <c r="K12" s="39">
        <f>$J$3+[40]FormattedData!D24*$J$4+$M$4*$J$5+[40]FormattedData!D24^2*$J$6+$M$5*$J$7</f>
        <v>56.343070088448897</v>
      </c>
      <c r="L12" s="39">
        <f>$J$3+[40]FormattedData!E24*$J$4+$M$4*$J$5+[40]FormattedData!E24^2*$J$6+$M$5*$J$7</f>
        <v>50.459612474556295</v>
      </c>
      <c r="M12" s="39">
        <f>$J$3+[40]FormattedData!F24*$J$4+$M$4*$J$5+[40]FormattedData!F24^2*$J$6+$M$5*$J$7</f>
        <v>50.107440063100526</v>
      </c>
      <c r="N12" s="39">
        <f>$J$3+[40]FormattedData!G24*$J$4+$M$4*$J$5+[40]FormattedData!G24^2*$J$6+$M$5*$J$7</f>
        <v>53.771520090117029</v>
      </c>
      <c r="O12" s="39">
        <f>$J$3+[40]FormattedData!H24*$J$4+$M$4*$J$5+[40]FormattedData!H24^2*$J$6+$M$5*$J$7</f>
        <v>50.635445069056587</v>
      </c>
      <c r="P12" s="39">
        <f>$J$3+[40]FormattedData!I24*$J$4+$M$4*$J$5+[40]FormattedData!I24^2*$J$6+$M$5*$J$7</f>
        <v>52.471479459399326</v>
      </c>
      <c r="Q12" s="39">
        <f>$J$3+[40]FormattedData!J24*$J$4+$M$4*$J$5+[40]FormattedData!J24^2*$J$6+$M$5*$J$7</f>
        <v>47.1762127261835</v>
      </c>
      <c r="R12" s="39">
        <f>$J$3+[40]FormattedData!K24*$J$4+$M$4*$J$5+[40]FormattedData!K24^2*$J$6+$M$5*$J$7</f>
        <v>55.062050299800212</v>
      </c>
      <c r="S12" s="39">
        <f>$J$3+[40]FormattedData!L24*$J$4+$M$4*$J$5+[40]FormattedData!L24^2*$J$6+$M$5*$J$7</f>
        <v>49.401066350368303</v>
      </c>
      <c r="T12" s="39">
        <f>$J$3+[40]FormattedData!M24*$J$4+$M$4*$J$5+[40]FormattedData!M24^2*$J$6+$M$5*$J$7</f>
        <v>54.288873424514435</v>
      </c>
      <c r="U12" s="39">
        <f>$J$3+[40]FormattedData!N24*$J$4+$M$4*$J$5+[40]FormattedData!N24^2*$J$6+$M$5*$J$7</f>
        <v>54.804705091546339</v>
      </c>
      <c r="V12" s="39">
        <f>$J$3+[40]FormattedData!O24*$J$4+$M$4*$J$5+[40]FormattedData!O24^2*$J$6+$M$5*$J$7</f>
        <v>49.135478777217855</v>
      </c>
      <c r="W12" s="38">
        <f>AVERAGE(K12:V12)</f>
        <v>51.971412826192442</v>
      </c>
      <c r="X12" s="37">
        <f>STDEV(K12:V12)/SQRT(COUNT(K12:V12))</f>
        <v>0.82911023979516252</v>
      </c>
      <c r="Y12" s="36">
        <f>MIN(K12:V12)</f>
        <v>47.1762127261835</v>
      </c>
      <c r="Z12" s="35">
        <f>QUARTILE(K12:V12,1)</f>
        <v>49.930846634917472</v>
      </c>
      <c r="AA12" s="36">
        <f>MEDIAN(K12:V12)</f>
        <v>51.55346226422796</v>
      </c>
      <c r="AB12" s="35">
        <f>QUARTILE(K12:V12,3)</f>
        <v>54.417831341272411</v>
      </c>
      <c r="AC12" s="35">
        <f>MAX(K12:V12)</f>
        <v>56.343070088448897</v>
      </c>
      <c r="AD12" s="35">
        <f>SKEW(K12:V12)</f>
        <v>-3.7512539132977481E-2</v>
      </c>
      <c r="AE12" s="35">
        <f>KURT(K12:V12)</f>
        <v>-1.2131483700170906</v>
      </c>
    </row>
    <row r="13" spans="1:35" x14ac:dyDescent="0.2">
      <c r="B13" s="34">
        <f>[40]FormattedData!A22</f>
        <v>104</v>
      </c>
      <c r="C13" s="34" t="str">
        <f>VLOOKUP($B13,[40]TrtCodes!$B$11:I65,2)</f>
        <v>NTL</v>
      </c>
      <c r="D13" s="34">
        <f>VLOOKUP($B13,[40]TrtCodes!$B$11:J65,3)</f>
        <v>10</v>
      </c>
      <c r="E13" s="34">
        <f>VLOOKUP($B13,[40]TrtCodes!$B$11:K65,4)</f>
        <v>2</v>
      </c>
      <c r="F13" s="34">
        <f>VLOOKUP($B13,[40]TrtCodes!$B$11:L65,5)</f>
        <v>2</v>
      </c>
      <c r="G13" s="34">
        <f>VLOOKUP($B13,[40]TrtCodes!$B$11:M65,6)</f>
        <v>1</v>
      </c>
      <c r="H13" s="34">
        <f>VLOOKUP($B13,[40]TrtCodes!$B$11:N65,7)</f>
        <v>1</v>
      </c>
      <c r="I13" s="34">
        <f>[40]FormattedData!B22</f>
        <v>1</v>
      </c>
      <c r="J13" s="37">
        <f>[40]FormattedData!C22</f>
        <v>13.176</v>
      </c>
      <c r="K13" s="39">
        <f>$J$3+[40]FormattedData!D22*$J$4+$M$4*$J$5+[40]FormattedData!D22^2*$J$6+$M$5*$J$7</f>
        <v>54.890529096168891</v>
      </c>
      <c r="L13" s="39">
        <f>$J$3+[40]FormattedData!E22*$J$4+$M$4*$J$5+[40]FormattedData!E22^2*$J$6+$M$5*$J$7</f>
        <v>54.546979466451077</v>
      </c>
      <c r="M13" s="39">
        <f>$J$3+[40]FormattedData!F22*$J$4+$M$4*$J$5+[40]FormattedData!F22^2*$J$6+$M$5*$J$7</f>
        <v>51.161928407647132</v>
      </c>
      <c r="N13" s="39">
        <f>$J$3+[40]FormattedData!G22*$J$4+$M$4*$J$5+[40]FormattedData!G22^2*$J$6+$M$5*$J$7</f>
        <v>55.661043053565002</v>
      </c>
      <c r="O13" s="39">
        <f>$J$3+[40]FormattedData!H22*$J$4+$M$4*$J$5+[40]FormattedData!H22^2*$J$6+$M$5*$J$7</f>
        <v>48.958209052427897</v>
      </c>
      <c r="P13" s="39">
        <f>$J$3+[40]FormattedData!I22*$J$4+$M$4*$J$5+[40]FormattedData!I22^2*$J$6+$M$5*$J$7</f>
        <v>56.428133259388687</v>
      </c>
      <c r="Q13" s="39">
        <f>$J$3+[40]FormattedData!J22*$J$4+$M$4*$J$5+[40]FormattedData!J22^2*$J$6+$M$5*$J$7</f>
        <v>53.685146594501362</v>
      </c>
      <c r="R13" s="39">
        <f>$J$3+[40]FormattedData!K22*$J$4+$M$4*$J$5+[40]FormattedData!K22^2*$J$6+$M$5*$J$7</f>
        <v>56.087626964401913</v>
      </c>
      <c r="S13" s="39">
        <f>$J$3+[40]FormattedData!L22*$J$4+$M$4*$J$5+[40]FormattedData!L22^2*$J$6+$M$5*$J$7</f>
        <v>51.599502138346139</v>
      </c>
      <c r="T13" s="39">
        <f>$J$3+[40]FormattedData!M22*$J$4+$M$4*$J$5+[40]FormattedData!M22^2*$J$6+$M$5*$J$7</f>
        <v>55.147747498808975</v>
      </c>
      <c r="U13" s="39">
        <f>$J$3+[40]FormattedData!N22*$J$4+$M$4*$J$5+[40]FormattedData!N22^2*$J$6+$M$5*$J$7</f>
        <v>54.718838818385848</v>
      </c>
      <c r="V13" s="39">
        <f>$J$3+[40]FormattedData!O22*$J$4+$M$4*$J$5+[40]FormattedData!O22^2*$J$6+$M$5*$J$7</f>
        <v>55.147747498808975</v>
      </c>
      <c r="W13" s="38">
        <f>AVERAGE(K13:V13)</f>
        <v>54.002785987408487</v>
      </c>
      <c r="X13" s="37">
        <f>STDEV(K13:V13)/SQRT(COUNT(K13:V13))</f>
        <v>0.6547751396514645</v>
      </c>
      <c r="Y13" s="36">
        <f>MIN(K13:V13)</f>
        <v>48.958209052427897</v>
      </c>
      <c r="Z13" s="35">
        <f>QUARTILE(K13:V13,1)</f>
        <v>53.163735480462556</v>
      </c>
      <c r="AA13" s="36">
        <f>MEDIAN(K13:V13)</f>
        <v>54.804683957277369</v>
      </c>
      <c r="AB13" s="35">
        <f>QUARTILE(K13:V13,3)</f>
        <v>55.276071387497979</v>
      </c>
      <c r="AC13" s="35">
        <f>MAX(K13:V13)</f>
        <v>56.428133259388687</v>
      </c>
      <c r="AD13" s="35">
        <f>SKEW(K13:V13)</f>
        <v>-1.2442315543226092</v>
      </c>
      <c r="AE13" s="35">
        <f>KURT(K13:V13)</f>
        <v>0.79810170405391023</v>
      </c>
    </row>
    <row r="14" spans="1:35" x14ac:dyDescent="0.2">
      <c r="B14" s="34">
        <f>[40]FormattedData!A20</f>
        <v>105</v>
      </c>
      <c r="C14" s="34" t="str">
        <f>VLOOKUP($B14,[40]TrtCodes!$B$11:I63,2)</f>
        <v>NDL</v>
      </c>
      <c r="D14" s="34">
        <f>VLOOKUP($B14,[40]TrtCodes!$B$11:J63,3)</f>
        <v>12</v>
      </c>
      <c r="E14" s="34">
        <f>VLOOKUP($B14,[40]TrtCodes!$B$11:K63,4)</f>
        <v>2</v>
      </c>
      <c r="F14" s="34">
        <f>VLOOKUP($B14,[40]TrtCodes!$B$11:L63,5)</f>
        <v>3</v>
      </c>
      <c r="G14" s="34">
        <f>VLOOKUP($B14,[40]TrtCodes!$B$11:M63,6)</f>
        <v>1</v>
      </c>
      <c r="H14" s="34">
        <f>VLOOKUP($B14,[40]TrtCodes!$B$11:N63,7)</f>
        <v>2</v>
      </c>
      <c r="I14" s="34">
        <f>[40]FormattedData!B20</f>
        <v>1</v>
      </c>
      <c r="J14" s="37">
        <f>[40]FormattedData!C20</f>
        <v>13.161</v>
      </c>
      <c r="K14" s="39">
        <f>$J$3+[40]FormattedData!D20*$J$4+$M$4*$J$5+[40]FormattedData!D20^2*$J$6+$M$5*$J$7</f>
        <v>34.895875917477845</v>
      </c>
      <c r="L14" s="39">
        <f>$J$3+[40]FormattedData!E20*$J$4+$M$4*$J$5+[40]FormattedData!E20^2*$J$6+$M$5*$J$7</f>
        <v>34.705502945929226</v>
      </c>
      <c r="M14" s="39">
        <f>$J$3+[40]FormattedData!F20*$J$4+$M$4*$J$5+[40]FormattedData!F20^2*$J$6+$M$5*$J$7</f>
        <v>35.181118360766263</v>
      </c>
      <c r="N14" s="39">
        <f>$J$3+[40]FormattedData!G20*$J$4+$M$4*$J$5+[40]FormattedData!G20^2*$J$6+$M$5*$J$7</f>
        <v>34.514960900228893</v>
      </c>
      <c r="O14" s="39">
        <f>$J$3+[40]FormattedData!H20*$J$4+$M$4*$J$5+[40]FormattedData!H20^2*$J$6+$M$5*$J$7</f>
        <v>31.829619474493157</v>
      </c>
      <c r="P14" s="39">
        <f>$J$3+[40]FormattedData!I20*$J$4+$M$4*$J$5+[40]FormattedData!I20^2*$J$6+$M$5*$J$7</f>
        <v>33.942320318217554</v>
      </c>
      <c r="Q14" s="39">
        <f>$J$3+[40]FormattedData!J20*$J$4+$M$4*$J$5+[40]FormattedData!J20^2*$J$6+$M$5*$J$7</f>
        <v>32.98453786516415</v>
      </c>
      <c r="R14" s="39">
        <f>$J$3+[40]FormattedData!K20*$J$4+$M$4*$J$5+[40]FormattedData!K20^2*$J$6+$M$5*$J$7</f>
        <v>35.845204662945015</v>
      </c>
      <c r="S14" s="39">
        <f>$J$3+[40]FormattedData!L20*$J$4+$M$4*$J$5+[40]FormattedData!L20^2*$J$6+$M$5*$J$7</f>
        <v>32.504061568465033</v>
      </c>
      <c r="T14" s="39">
        <f>$J$3+[40]FormattedData!M20*$J$4+$M$4*$J$5+[40]FormattedData!M20^2*$J$6+$M$5*$J$7</f>
        <v>35.276114638119886</v>
      </c>
      <c r="U14" s="39">
        <f>$J$3+[40]FormattedData!N20*$J$4+$M$4*$J$5+[40]FormattedData!N20^2*$J$6+$M$5*$J$7</f>
        <v>34.324249780376839</v>
      </c>
      <c r="V14" s="39">
        <f>$J$3+[40]FormattedData!O20*$J$4+$M$4*$J$5+[40]FormattedData!O20^2*$J$6+$M$5*$J$7</f>
        <v>34.990999000445242</v>
      </c>
      <c r="W14" s="38">
        <f>AVERAGE(K14:V14)</f>
        <v>34.24954711938576</v>
      </c>
      <c r="X14" s="37">
        <f>STDEV(K14:V14)/SQRT(COUNT(K14:V14))</f>
        <v>0.35158308283332201</v>
      </c>
      <c r="Y14" s="36">
        <f>MIN(K14:V14)</f>
        <v>31.829619474493157</v>
      </c>
      <c r="Z14" s="35">
        <f>QUARTILE(K14:V14,1)</f>
        <v>33.702874704954205</v>
      </c>
      <c r="AA14" s="36">
        <f>MEDIAN(K14:V14)</f>
        <v>34.610231923079056</v>
      </c>
      <c r="AB14" s="35">
        <f>QUARTILE(K14:V14,3)</f>
        <v>35.038528840525501</v>
      </c>
      <c r="AC14" s="35">
        <f>MAX(K14:V14)</f>
        <v>35.845204662945015</v>
      </c>
      <c r="AD14" s="35">
        <f>SKEW(K14:V14)</f>
        <v>-0.89358565353264774</v>
      </c>
      <c r="AE14" s="35">
        <f>KURT(K14:V14)</f>
        <v>-9.3196783151329399E-2</v>
      </c>
    </row>
    <row r="15" spans="1:35" x14ac:dyDescent="0.2">
      <c r="B15" s="34">
        <f>[40]FormattedData!A18</f>
        <v>106</v>
      </c>
      <c r="C15" s="34" t="str">
        <f>VLOOKUP($B15,[40]TrtCodes!$B$11:I61,2)</f>
        <v>NTH</v>
      </c>
      <c r="D15" s="34">
        <f>VLOOKUP($B15,[40]TrtCodes!$B$11:J61,3)</f>
        <v>9</v>
      </c>
      <c r="E15" s="34">
        <f>VLOOKUP($B15,[40]TrtCodes!$B$11:K61,4)</f>
        <v>2</v>
      </c>
      <c r="F15" s="34">
        <f>VLOOKUP($B15,[40]TrtCodes!$B$11:L61,5)</f>
        <v>2</v>
      </c>
      <c r="G15" s="34">
        <f>VLOOKUP($B15,[40]TrtCodes!$B$11:M61,6)</f>
        <v>2</v>
      </c>
      <c r="H15" s="34">
        <f>VLOOKUP($B15,[40]TrtCodes!$B$11:N61,7)</f>
        <v>2</v>
      </c>
      <c r="I15" s="34">
        <f>[40]FormattedData!B18</f>
        <v>1</v>
      </c>
      <c r="J15" s="37">
        <f>[40]FormattedData!C18</f>
        <v>13.144</v>
      </c>
      <c r="K15" s="39">
        <f>$J$3+[40]FormattedData!D18*$J$4+$M$4*$J$5+[40]FormattedData!D18^2*$J$6+$M$5*$J$7</f>
        <v>56.087626964401913</v>
      </c>
      <c r="L15" s="39">
        <f>$J$3+[40]FormattedData!E18*$J$4+$M$4*$J$5+[40]FormattedData!E18^2*$J$6+$M$5*$J$7</f>
        <v>55.831803423513556</v>
      </c>
      <c r="M15" s="39">
        <f>$J$3+[40]FormattedData!F18*$J$4+$M$4*$J$5+[40]FormattedData!F18^2*$J$6+$M$5*$J$7</f>
        <v>54.546979466451077</v>
      </c>
      <c r="N15" s="39">
        <f>$J$3+[40]FormattedData!G18*$J$4+$M$4*$J$5+[40]FormattedData!G18^2*$J$6+$M$5*$J$7</f>
        <v>56.68306916098048</v>
      </c>
      <c r="O15" s="39">
        <f>$J$3+[40]FormattedData!H18*$J$4+$M$4*$J$5+[40]FormattedData!H18^2*$J$6+$M$5*$J$7</f>
        <v>48.691987451208483</v>
      </c>
      <c r="P15" s="39">
        <f>$J$3+[40]FormattedData!I18*$J$4+$M$4*$J$5+[40]FormattedData!I18^2*$J$6+$M$5*$J$7</f>
        <v>55.831803423513556</v>
      </c>
      <c r="Q15" s="39">
        <f>$J$3+[40]FormattedData!J18*$J$4+$M$4*$J$5+[40]FormattedData!J18^2*$J$6+$M$5*$J$7</f>
        <v>48.958209052427897</v>
      </c>
      <c r="R15" s="39">
        <f>$J$3+[40]FormattedData!K18*$J$4+$M$4*$J$5+[40]FormattedData!K18^2*$J$6+$M$5*$J$7</f>
        <v>57.361038416222989</v>
      </c>
      <c r="S15" s="39">
        <f>$J$3+[40]FormattedData!L18*$J$4+$M$4*$J$5+[40]FormattedData!L18^2*$J$6+$M$5*$J$7</f>
        <v>51.424599451680329</v>
      </c>
      <c r="T15" s="39">
        <f>$J$3+[40]FormattedData!M18*$J$4+$M$4*$J$5+[40]FormattedData!M18^2*$J$6+$M$5*$J$7</f>
        <v>54.030386965736412</v>
      </c>
      <c r="U15" s="39">
        <f>$J$3+[40]FormattedData!N18*$J$4+$M$4*$J$5+[40]FormattedData!N18^2*$J$6+$M$5*$J$7</f>
        <v>50.019291288891758</v>
      </c>
      <c r="V15" s="39">
        <f>$J$3+[40]FormattedData!O18*$J$4+$M$4*$J$5+[40]FormattedData!O18^2*$J$6+$M$5*$J$7</f>
        <v>55.746444372808241</v>
      </c>
      <c r="W15" s="38">
        <f>AVERAGE(K15:V15)</f>
        <v>53.767769953153056</v>
      </c>
      <c r="X15" s="37">
        <f>STDEV(K15:V15)/SQRT(COUNT(K15:V15))</f>
        <v>0.90596100234303611</v>
      </c>
      <c r="Y15" s="36">
        <f>MIN(K15:V15)</f>
        <v>48.691987451208483</v>
      </c>
      <c r="Z15" s="35">
        <f>QUARTILE(K15:V15,1)</f>
        <v>51.073272410983186</v>
      </c>
      <c r="AA15" s="36">
        <f>MEDIAN(K15:V15)</f>
        <v>55.146711919629659</v>
      </c>
      <c r="AB15" s="35">
        <f>QUARTILE(K15:V15,3)</f>
        <v>55.895759308735649</v>
      </c>
      <c r="AC15" s="35">
        <f>MAX(K15:V15)</f>
        <v>57.361038416222989</v>
      </c>
      <c r="AD15" s="35">
        <f>SKEW(K15:V15)</f>
        <v>-0.69907773651040161</v>
      </c>
      <c r="AE15" s="35">
        <f>KURT(K15:V15)</f>
        <v>-1.1966235335771174</v>
      </c>
    </row>
    <row r="16" spans="1:35" x14ac:dyDescent="0.2">
      <c r="B16" s="34">
        <f>[40]FormattedData!A16</f>
        <v>107</v>
      </c>
      <c r="C16" s="34" t="str">
        <f>VLOOKUP($B16,[40]TrtCodes!$B$11:I59,2)</f>
        <v>NTL</v>
      </c>
      <c r="D16" s="34">
        <f>VLOOKUP($B16,[40]TrtCodes!$B$11:J59,3)</f>
        <v>10</v>
      </c>
      <c r="E16" s="34">
        <f>VLOOKUP($B16,[40]TrtCodes!$B$11:K59,4)</f>
        <v>2</v>
      </c>
      <c r="F16" s="34">
        <f>VLOOKUP($B16,[40]TrtCodes!$B$11:L59,5)</f>
        <v>2</v>
      </c>
      <c r="G16" s="34">
        <f>VLOOKUP($B16,[40]TrtCodes!$B$11:M59,6)</f>
        <v>1</v>
      </c>
      <c r="H16" s="34">
        <f>VLOOKUP($B16,[40]TrtCodes!$B$11:N59,7)</f>
        <v>2</v>
      </c>
      <c r="I16" s="34">
        <f>[40]FormattedData!B16</f>
        <v>1</v>
      </c>
      <c r="J16" s="37">
        <f>[40]FormattedData!C16</f>
        <v>13.127000000000001</v>
      </c>
      <c r="K16" s="39">
        <f>$J$3+[40]FormattedData!D16*$J$4+$M$4*$J$5+[40]FormattedData!D16^2*$J$6+$M$5*$J$7</f>
        <v>55.661043053565002</v>
      </c>
      <c r="L16" s="39">
        <f>$J$3+[40]FormattedData!E16*$J$4+$M$4*$J$5+[40]FormattedData!E16^2*$J$6+$M$5*$J$7</f>
        <v>55.746444372808241</v>
      </c>
      <c r="M16" s="39">
        <f>$J$3+[40]FormattedData!F16*$J$4+$M$4*$J$5+[40]FormattedData!F16^2*$J$6+$M$5*$J$7</f>
        <v>56.937624645730907</v>
      </c>
      <c r="N16" s="39">
        <f>$J$3+[40]FormattedData!G16*$J$4+$M$4*$J$5+[40]FormattedData!G16^2*$J$6+$M$5*$J$7</f>
        <v>55.661043053565002</v>
      </c>
      <c r="O16" s="39">
        <f>$J$3+[40]FormattedData!H16*$J$4+$M$4*$J$5+[40]FormattedData!H16^2*$J$6+$M$5*$J$7</f>
        <v>51.161928407647132</v>
      </c>
      <c r="P16" s="39">
        <f>$J$3+[40]FormattedData!I16*$J$4+$M$4*$J$5+[40]FormattedData!I16^2*$J$6+$M$5*$J$7</f>
        <v>55.575599465783824</v>
      </c>
      <c r="Q16" s="39">
        <f>$J$3+[40]FormattedData!J16*$J$4+$M$4*$J$5+[40]FormattedData!J16^2*$J$6+$M$5*$J$7</f>
        <v>55.831803423513556</v>
      </c>
      <c r="R16" s="39">
        <f>$J$3+[40]FormattedData!K16*$J$4+$M$4*$J$5+[40]FormattedData!K16^2*$J$6+$M$5*$J$7</f>
        <v>58.79274101930293</v>
      </c>
      <c r="S16" s="39">
        <f>$J$3+[40]FormattedData!L16*$J$4+$M$4*$J$5+[40]FormattedData!L16^2*$J$6+$M$5*$J$7</f>
        <v>51.337084705540526</v>
      </c>
      <c r="T16" s="39">
        <f>$J$3+[40]FormattedData!M16*$J$4+$M$4*$J$5+[40]FormattedData!M16^2*$J$6+$M$5*$J$7</f>
        <v>57.699008598933894</v>
      </c>
      <c r="U16" s="39">
        <f>$J$3+[40]FormattedData!N16*$J$4+$M$4*$J$5+[40]FormattedData!N16^2*$J$6+$M$5*$J$7</f>
        <v>52.297422143492142</v>
      </c>
      <c r="V16" s="39">
        <f>$J$3+[40]FormattedData!O16*$J$4+$M$4*$J$5+[40]FormattedData!O16^2*$J$6+$M$5*$J$7</f>
        <v>56.937624645730907</v>
      </c>
      <c r="W16" s="38">
        <f>AVERAGE(K16:V16)</f>
        <v>55.303280627967837</v>
      </c>
      <c r="X16" s="37">
        <f>STDEV(K16:V16)/SQRT(COUNT(K16:V16))</f>
        <v>0.70700272444296586</v>
      </c>
      <c r="Y16" s="36">
        <f>MIN(K16:V16)</f>
        <v>51.161928407647132</v>
      </c>
      <c r="Z16" s="35">
        <f>QUARTILE(K16:V16,1)</f>
        <v>54.7560551352109</v>
      </c>
      <c r="AA16" s="36">
        <f>MEDIAN(K16:V16)</f>
        <v>55.703743713186626</v>
      </c>
      <c r="AB16" s="35">
        <f>QUARTILE(K16:V16,3)</f>
        <v>56.937624645730907</v>
      </c>
      <c r="AC16" s="35">
        <f>MAX(K16:V16)</f>
        <v>58.79274101930293</v>
      </c>
      <c r="AD16" s="35">
        <f>SKEW(K16:V16)</f>
        <v>-0.70740231142163001</v>
      </c>
      <c r="AE16" s="35">
        <f>KURT(K16:V16)</f>
        <v>-0.44694762471157778</v>
      </c>
    </row>
    <row r="17" spans="2:31" x14ac:dyDescent="0.2">
      <c r="B17" s="34">
        <f>[40]FormattedData!A14</f>
        <v>108</v>
      </c>
      <c r="C17" s="34" t="str">
        <f>VLOOKUP($B17,[40]TrtCodes!$B$11:I57,2)</f>
        <v>FTH</v>
      </c>
      <c r="D17" s="34">
        <f>VLOOKUP($B17,[40]TrtCodes!$B$11:J57,3)</f>
        <v>3</v>
      </c>
      <c r="E17" s="34">
        <f>VLOOKUP($B17,[40]TrtCodes!$B$11:K57,4)</f>
        <v>1</v>
      </c>
      <c r="F17" s="34">
        <f>VLOOKUP($B17,[40]TrtCodes!$B$11:L57,5)</f>
        <v>2</v>
      </c>
      <c r="G17" s="34">
        <f>VLOOKUP($B17,[40]TrtCodes!$B$11:M57,6)</f>
        <v>2</v>
      </c>
      <c r="H17" s="34">
        <f>VLOOKUP($B17,[40]TrtCodes!$B$11:N57,7)</f>
        <v>2</v>
      </c>
      <c r="I17" s="34">
        <f>[40]FormattedData!B14</f>
        <v>1</v>
      </c>
      <c r="J17" s="37">
        <f>[40]FormattedData!C14</f>
        <v>13.11</v>
      </c>
      <c r="K17" s="39">
        <f>$J$3+[40]FormattedData!D14*$J$4+$M$4*$J$5+[40]FormattedData!D14^2*$J$6+$M$5*$J$7</f>
        <v>55.404585484607672</v>
      </c>
      <c r="L17" s="39">
        <f>$J$3+[40]FormattedData!E14*$J$4+$M$4*$J$5+[40]FormattedData!E14^2*$J$6+$M$5*$J$7</f>
        <v>55.404585484607672</v>
      </c>
      <c r="M17" s="39">
        <f>$J$3+[40]FormattedData!F14*$J$4+$M$4*$J$5+[40]FormattedData!F14^2*$J$6+$M$5*$J$7</f>
        <v>53.166017981510834</v>
      </c>
      <c r="N17" s="39">
        <f>$J$3+[40]FormattedData!G14*$J$4+$M$4*$J$5+[40]FormattedData!G14^2*$J$6+$M$5*$J$7</f>
        <v>54.030386965736412</v>
      </c>
      <c r="O17" s="39">
        <f>$J$3+[40]FormattedData!H14*$J$4+$M$4*$J$5+[40]FormattedData!H14^2*$J$6+$M$5*$J$7</f>
        <v>56.767963257768564</v>
      </c>
      <c r="P17" s="39">
        <f>$J$3+[40]FormattedData!I14*$J$4+$M$4*$J$5+[40]FormattedData!I14^2*$J$6+$M$5*$J$7</f>
        <v>56.68306916098048</v>
      </c>
      <c r="Q17" s="39">
        <f>$J$3+[40]FormattedData!J14*$J$4+$M$4*$J$5+[40]FormattedData!J14^2*$J$6+$M$5*$J$7</f>
        <v>56.087626964401913</v>
      </c>
      <c r="R17" s="39">
        <f>$J$3+[40]FormattedData!K14*$J$4+$M$4*$J$5+[40]FormattedData!K14^2*$J$6+$M$5*$J$7</f>
        <v>55.233402429279806</v>
      </c>
      <c r="S17" s="39">
        <f>$J$3+[40]FormattedData!L14*$J$4+$M$4*$J$5+[40]FormattedData!L14^2*$J$6+$M$5*$J$7</f>
        <v>53.339229926659407</v>
      </c>
      <c r="T17" s="39">
        <f>$J$3+[40]FormattedData!M14*$J$4+$M$4*$J$5+[40]FormattedData!M14^2*$J$6+$M$5*$J$7</f>
        <v>54.116591387200359</v>
      </c>
      <c r="U17" s="39">
        <f>$J$3+[40]FormattedData!N14*$J$4+$M$4*$J$5+[40]FormattedData!N14^2*$J$6+$M$5*$J$7</f>
        <v>54.890529096168891</v>
      </c>
      <c r="V17" s="39">
        <f>$J$3+[40]FormattedData!O14*$J$4+$M$4*$J$5+[40]FormattedData!O14^2*$J$6+$M$5*$J$7</f>
        <v>52.645367701154797</v>
      </c>
      <c r="W17" s="38">
        <f>AVERAGE(K17:V17)</f>
        <v>54.814112986673059</v>
      </c>
      <c r="X17" s="37">
        <f>STDEV(K17:V17)/SQRT(COUNT(K17:V17))</f>
        <v>0.39415272260001488</v>
      </c>
      <c r="Y17" s="36">
        <f>MIN(K17:V17)</f>
        <v>52.645367701154797</v>
      </c>
      <c r="Z17" s="35">
        <f>QUARTILE(K17:V17,1)</f>
        <v>53.857597705967159</v>
      </c>
      <c r="AA17" s="36">
        <f>MEDIAN(K17:V17)</f>
        <v>55.061965762724348</v>
      </c>
      <c r="AB17" s="35">
        <f>QUARTILE(K17:V17,3)</f>
        <v>55.575345854556232</v>
      </c>
      <c r="AC17" s="35">
        <f>MAX(K17:V17)</f>
        <v>56.767963257768564</v>
      </c>
      <c r="AD17" s="35">
        <f>SKEW(K17:V17)</f>
        <v>-9.290314895100911E-2</v>
      </c>
      <c r="AE17" s="35">
        <f>KURT(K17:V17)</f>
        <v>-1.1078480900816015</v>
      </c>
    </row>
    <row r="18" spans="2:31" x14ac:dyDescent="0.2">
      <c r="B18" s="34">
        <f>[40]FormattedData!A30</f>
        <v>201</v>
      </c>
      <c r="C18" s="34" t="str">
        <f>VLOOKUP($B18,[40]TrtCodes!$B$11:I73,2)</f>
        <v>NDL</v>
      </c>
      <c r="D18" s="34">
        <f>VLOOKUP($B18,[40]TrtCodes!$B$11:J73,3)</f>
        <v>12</v>
      </c>
      <c r="E18" s="34">
        <f>VLOOKUP($B18,[40]TrtCodes!$B$11:K73,4)</f>
        <v>2</v>
      </c>
      <c r="F18" s="34">
        <f>VLOOKUP($B18,[40]TrtCodes!$B$11:L73,5)</f>
        <v>3</v>
      </c>
      <c r="G18" s="34">
        <f>VLOOKUP($B18,[40]TrtCodes!$B$11:M73,6)</f>
        <v>1</v>
      </c>
      <c r="H18" s="34">
        <f>VLOOKUP($B18,[40]TrtCodes!$B$11:N73,7)</f>
        <v>1</v>
      </c>
      <c r="I18" s="34">
        <f>[40]FormattedData!B30</f>
        <v>1</v>
      </c>
      <c r="J18" s="37">
        <f>[40]FormattedData!C30</f>
        <v>13.244999999999999</v>
      </c>
      <c r="K18" s="39">
        <f>$J$3+[40]FormattedData!D30*$J$4+$M$4*$J$5+[40]FormattedData!D30^2*$J$6+$M$5*$J$7</f>
        <v>35.655677062155029</v>
      </c>
      <c r="L18" s="39">
        <f>$J$3+[40]FormattedData!E30*$J$4+$M$4*$J$5+[40]FormattedData!E30^2*$J$6+$M$5*$J$7</f>
        <v>35.845204662945015</v>
      </c>
      <c r="M18" s="39">
        <f>$J$3+[40]FormattedData!F30*$J$4+$M$4*$J$5+[40]FormattedData!F30^2*$J$6+$M$5*$J$7</f>
        <v>35.750461996818984</v>
      </c>
      <c r="N18" s="39">
        <f>$J$3+[40]FormattedData!G30*$J$4+$M$4*$J$5+[40]FormattedData!G30^2*$J$6+$M$5*$J$7</f>
        <v>35.086079814874722</v>
      </c>
      <c r="O18" s="39">
        <f>$J$3+[40]FormattedData!H30*$J$4+$M$4*$J$5+[40]FormattedData!H30^2*$J$6+$M$5*$J$7</f>
        <v>35.845204662945015</v>
      </c>
      <c r="P18" s="39">
        <f>$J$3+[40]FormattedData!I30*$J$4+$M$4*$J$5+[40]FormattedData!I30^2*$J$6+$M$5*$J$7</f>
        <v>35.939905060533107</v>
      </c>
      <c r="Q18" s="39">
        <f>$J$3+[40]FormattedData!J30*$J$4+$M$4*$J$5+[40]FormattedData!J30^2*$J$6+$M$5*$J$7</f>
        <v>34.895875917477845</v>
      </c>
      <c r="R18" s="39">
        <f>$J$3+[40]FormattedData!K30*$J$4+$M$4*$J$5+[40]FormattedData!K30^2*$J$6+$M$5*$J$7</f>
        <v>36.129179050095509</v>
      </c>
      <c r="S18" s="39">
        <f>$J$3+[40]FormattedData!L30*$J$4+$M$4*$J$5+[40]FormattedData!L30^2*$J$6+$M$5*$J$7</f>
        <v>33.272316420728444</v>
      </c>
      <c r="T18" s="39">
        <f>$J$3+[40]FormattedData!M30*$J$4+$M$4*$J$5+[40]FormattedData!M30^2*$J$6+$M$5*$J$7</f>
        <v>36.129179050095509</v>
      </c>
      <c r="U18" s="39">
        <f>$J$3+[40]FormattedData!N30*$J$4+$M$4*$J$5+[40]FormattedData!N30^2*$J$6+$M$5*$J$7</f>
        <v>33.751101975910316</v>
      </c>
      <c r="V18" s="39">
        <f>$J$3+[40]FormattedData!O30*$J$4+$M$4*$J$5+[40]FormattedData!O30^2*$J$6+$M$5*$J$7</f>
        <v>35.750461996818984</v>
      </c>
      <c r="W18" s="38">
        <f>AVERAGE(K18:V18)</f>
        <v>35.33755397261654</v>
      </c>
      <c r="X18" s="37">
        <f>STDEV(K18:V18)/SQRT(COUNT(K18:V18))</f>
        <v>0.2698783258313659</v>
      </c>
      <c r="Y18" s="36">
        <f>MIN(K18:V18)</f>
        <v>33.272316420728444</v>
      </c>
      <c r="Z18" s="35">
        <f>QUARTILE(K18:V18,1)</f>
        <v>35.038528840525501</v>
      </c>
      <c r="AA18" s="36">
        <f>MEDIAN(K18:V18)</f>
        <v>35.750461996818984</v>
      </c>
      <c r="AB18" s="35">
        <f>QUARTILE(K18:V18,3)</f>
        <v>35.86887976234204</v>
      </c>
      <c r="AC18" s="35">
        <f>MAX(K18:V18)</f>
        <v>36.129179050095509</v>
      </c>
      <c r="AD18" s="35">
        <f>SKEW(K18:V18)</f>
        <v>-1.503077185144003</v>
      </c>
      <c r="AE18" s="35">
        <f>KURT(K18:V18)</f>
        <v>1.2653025141660521</v>
      </c>
    </row>
    <row r="19" spans="2:31" x14ac:dyDescent="0.2">
      <c r="B19" s="34">
        <f>[40]FormattedData!A32</f>
        <v>202</v>
      </c>
      <c r="C19" s="34" t="str">
        <f>VLOOKUP($B19,[40]TrtCodes!$B$11:I75,2)</f>
        <v>NTH</v>
      </c>
      <c r="D19" s="34">
        <f>VLOOKUP($B19,[40]TrtCodes!$B$11:J75,3)</f>
        <v>9</v>
      </c>
      <c r="E19" s="34">
        <f>VLOOKUP($B19,[40]TrtCodes!$B$11:K75,4)</f>
        <v>2</v>
      </c>
      <c r="F19" s="34">
        <f>VLOOKUP($B19,[40]TrtCodes!$B$11:L75,5)</f>
        <v>2</v>
      </c>
      <c r="G19" s="34">
        <f>VLOOKUP($B19,[40]TrtCodes!$B$11:M75,6)</f>
        <v>2</v>
      </c>
      <c r="H19" s="34">
        <f>VLOOKUP($B19,[40]TrtCodes!$B$11:N75,7)</f>
        <v>1</v>
      </c>
      <c r="I19" s="34">
        <f>[40]FormattedData!B32</f>
        <v>1</v>
      </c>
      <c r="J19" s="37">
        <f>[40]FormattedData!C32</f>
        <v>13.26</v>
      </c>
      <c r="K19" s="39">
        <f>$J$3+[40]FormattedData!D32*$J$4+$M$4*$J$5+[40]FormattedData!D32^2*$J$6+$M$5*$J$7</f>
        <v>57.276440199200437</v>
      </c>
      <c r="L19" s="39">
        <f>$J$3+[40]FormattedData!E32*$J$4+$M$4*$J$5+[40]FormattedData!E32^2*$J$6+$M$5*$J$7</f>
        <v>53.857851317194751</v>
      </c>
      <c r="M19" s="39">
        <f>$J$3+[40]FormattedData!F32*$J$4+$M$4*$J$5+[40]FormattedData!F32^2*$J$6+$M$5*$J$7</f>
        <v>50.459612474556295</v>
      </c>
      <c r="N19" s="39">
        <f>$J$3+[40]FormattedData!G32*$J$4+$M$4*$J$5+[40]FormattedData!G32^2*$J$6+$M$5*$J$7</f>
        <v>56.002394719310395</v>
      </c>
      <c r="O19" s="39">
        <f>$J$3+[40]FormattedData!H32*$J$4+$M$4*$J$5+[40]FormattedData!H32^2*$J$6+$M$5*$J$7</f>
        <v>52.471479459399326</v>
      </c>
      <c r="P19" s="39">
        <f>$J$3+[40]FormattedData!I32*$J$4+$M$4*$J$5+[40]FormattedData!I32^2*$J$6+$M$5*$J$7</f>
        <v>56.172816940955499</v>
      </c>
      <c r="Q19" s="39">
        <f>$J$3+[40]FormattedData!J32*$J$4+$M$4*$J$5+[40]FormattedData!J32^2*$J$6+$M$5*$J$7</f>
        <v>49.75459135503786</v>
      </c>
      <c r="R19" s="39">
        <f>$J$3+[40]FormattedData!K32*$J$4+$M$4*$J$5+[40]FormattedData!K32^2*$J$6+$M$5*$J$7</f>
        <v>55.917120205680945</v>
      </c>
      <c r="S19" s="39">
        <f>$J$3+[40]FormattedData!L32*$J$4+$M$4*$J$5+[40]FormattedData!L32^2*$J$6+$M$5*$J$7</f>
        <v>55.746444372808241</v>
      </c>
      <c r="T19" s="39">
        <f>$J$3+[40]FormattedData!M32*$J$4+$M$4*$J$5+[40]FormattedData!M32^2*$J$6+$M$5*$J$7</f>
        <v>56.257964648971161</v>
      </c>
      <c r="U19" s="39">
        <f>$J$3+[40]FormattedData!N32*$J$4+$M$4*$J$5+[40]FormattedData!N32^2*$J$6+$M$5*$J$7</f>
        <v>46.188907961031816</v>
      </c>
      <c r="V19" s="39">
        <f>$J$3+[40]FormattedData!O32*$J$4+$M$4*$J$5+[40]FormattedData!O32^2*$J$6+$M$5*$J$7</f>
        <v>56.002394719310395</v>
      </c>
      <c r="W19" s="38">
        <f>AVERAGE(K19:V19)</f>
        <v>53.842334864454756</v>
      </c>
      <c r="X19" s="37">
        <f>STDEV(K19:V19)/SQRT(COUNT(K19:V19))</f>
        <v>0.98829691371051243</v>
      </c>
      <c r="Y19" s="36">
        <f>MIN(K19:V19)</f>
        <v>46.188907961031816</v>
      </c>
      <c r="Z19" s="35">
        <f>QUARTILE(K19:V19,1)</f>
        <v>51.968512713188566</v>
      </c>
      <c r="AA19" s="36">
        <f>MEDIAN(K19:V19)</f>
        <v>55.831782289244593</v>
      </c>
      <c r="AB19" s="35">
        <f>QUARTILE(K19:V19,3)</f>
        <v>56.045000274721673</v>
      </c>
      <c r="AC19" s="35">
        <f>MAX(K19:V19)</f>
        <v>57.276440199200437</v>
      </c>
      <c r="AD19" s="35">
        <f>SKEW(K19:V19)</f>
        <v>-1.2360210708433319</v>
      </c>
      <c r="AE19" s="35">
        <f>KURT(K19:V19)</f>
        <v>0.69537720822500493</v>
      </c>
    </row>
    <row r="20" spans="2:31" x14ac:dyDescent="0.2">
      <c r="B20" s="34">
        <f>[40]FormattedData!A34</f>
        <v>203</v>
      </c>
      <c r="C20" s="34" t="str">
        <f>VLOOKUP($B20,[40]TrtCodes!$B$11:I77,2)</f>
        <v>FTH</v>
      </c>
      <c r="D20" s="34">
        <f>VLOOKUP($B20,[40]TrtCodes!$B$11:J77,3)</f>
        <v>3</v>
      </c>
      <c r="E20" s="34">
        <f>VLOOKUP($B20,[40]TrtCodes!$B$11:K77,4)</f>
        <v>1</v>
      </c>
      <c r="F20" s="34">
        <f>VLOOKUP($B20,[40]TrtCodes!$B$11:L77,5)</f>
        <v>2</v>
      </c>
      <c r="G20" s="34">
        <f>VLOOKUP($B20,[40]TrtCodes!$B$11:M77,6)</f>
        <v>2</v>
      </c>
      <c r="H20" s="34">
        <f>VLOOKUP($B20,[40]TrtCodes!$B$11:N77,7)</f>
        <v>1</v>
      </c>
      <c r="I20" s="34">
        <f>[40]FormattedData!B34</f>
        <v>1</v>
      </c>
      <c r="J20" s="37">
        <f>[40]FormattedData!C34</f>
        <v>13.276</v>
      </c>
      <c r="K20" s="39">
        <f>$J$3+[40]FormattedData!D34*$J$4+$M$4*$J$5+[40]FormattedData!D34^2*$J$6+$M$5*$J$7</f>
        <v>56.087626964401913</v>
      </c>
      <c r="L20" s="39">
        <f>$J$3+[40]FormattedData!E34*$J$4+$M$4*$J$5+[40]FormattedData!E34^2*$J$6+$M$5*$J$7</f>
        <v>56.513154161790553</v>
      </c>
      <c r="M20" s="39">
        <f>$J$3+[40]FormattedData!F34*$J$4+$M$4*$J$5+[40]FormattedData!F34^2*$J$6+$M$5*$J$7</f>
        <v>56.852815086018701</v>
      </c>
      <c r="N20" s="39">
        <f>$J$3+[40]FormattedData!G34*$J$4+$M$4*$J$5+[40]FormattedData!G34^2*$J$6+$M$5*$J$7</f>
        <v>58.372920074534996</v>
      </c>
      <c r="O20" s="39">
        <f>$J$3+[40]FormattedData!H34*$J$4+$M$4*$J$5+[40]FormattedData!H34^2*$J$6+$M$5*$J$7</f>
        <v>49.22405023680593</v>
      </c>
      <c r="P20" s="39">
        <f>$J$3+[40]FormattedData!I34*$J$4+$M$4*$J$5+[40]FormattedData!I34^2*$J$6+$M$5*$J$7</f>
        <v>57.361038416222989</v>
      </c>
      <c r="Q20" s="39">
        <f>$J$3+[40]FormattedData!J34*$J$4+$M$4*$J$5+[40]FormattedData!J34^2*$J$6+$M$5*$J$7</f>
        <v>48.60316238039281</v>
      </c>
      <c r="R20" s="39">
        <f>$J$3+[40]FormattedData!K34*$J$4+$M$4*$J$5+[40]FormattedData!K34^2*$J$6+$M$5*$J$7</f>
        <v>58.708861367425207</v>
      </c>
      <c r="S20" s="39">
        <f>$J$3+[40]FormattedData!L34*$J$4+$M$4*$J$5+[40]FormattedData!L34^2*$J$6+$M$5*$J$7</f>
        <v>55.575599465783824</v>
      </c>
      <c r="T20" s="39">
        <f>$J$3+[40]FormattedData!M34*$J$4+$M$4*$J$5+[40]FormattedData!M34^2*$J$6+$M$5*$J$7</f>
        <v>56.087626964401913</v>
      </c>
      <c r="U20" s="39">
        <f>$J$3+[40]FormattedData!N34*$J$4+$M$4*$J$5+[40]FormattedData!N34^2*$J$6+$M$5*$J$7</f>
        <v>50.635445069056587</v>
      </c>
      <c r="V20" s="39">
        <f>$J$3+[40]FormattedData!O34*$J$4+$M$4*$J$5+[40]FormattedData!O34^2*$J$6+$M$5*$J$7</f>
        <v>58.28882907996762</v>
      </c>
      <c r="W20" s="38">
        <f>AVERAGE(K20:V20)</f>
        <v>55.192594105566911</v>
      </c>
      <c r="X20" s="37">
        <f>STDEV(K20:V20)/SQRT(COUNT(K20:V20))</f>
        <v>1.0402077207134961</v>
      </c>
      <c r="Y20" s="36">
        <f>MIN(K20:V20)</f>
        <v>48.60316238039281</v>
      </c>
      <c r="Z20" s="35">
        <f>QUARTILE(K20:V20,1)</f>
        <v>54.340560866602019</v>
      </c>
      <c r="AA20" s="36">
        <f>MEDIAN(K20:V20)</f>
        <v>56.300390563096229</v>
      </c>
      <c r="AB20" s="35">
        <f>QUARTILE(K20:V20,3)</f>
        <v>57.592986082159143</v>
      </c>
      <c r="AC20" s="35">
        <f>MAX(K20:V20)</f>
        <v>58.708861367425207</v>
      </c>
      <c r="AD20" s="35">
        <f>SKEW(K20:V20)</f>
        <v>-1.0946636042440099</v>
      </c>
      <c r="AE20" s="35">
        <f>KURT(K20:V20)</f>
        <v>-0.32577459533340658</v>
      </c>
    </row>
    <row r="21" spans="2:31" x14ac:dyDescent="0.2">
      <c r="B21" s="34">
        <f>[40]FormattedData!A36</f>
        <v>204</v>
      </c>
      <c r="C21" s="34" t="str">
        <f>VLOOKUP($B21,[40]TrtCodes!$B$11:I79,2)</f>
        <v>NDH</v>
      </c>
      <c r="D21" s="34">
        <f>VLOOKUP($B21,[40]TrtCodes!$B$11:J79,3)</f>
        <v>11</v>
      </c>
      <c r="E21" s="34">
        <f>VLOOKUP($B21,[40]TrtCodes!$B$11:K79,4)</f>
        <v>2</v>
      </c>
      <c r="F21" s="34">
        <f>VLOOKUP($B21,[40]TrtCodes!$B$11:L79,5)</f>
        <v>3</v>
      </c>
      <c r="G21" s="34">
        <f>VLOOKUP($B21,[40]TrtCodes!$B$11:M79,6)</f>
        <v>2</v>
      </c>
      <c r="H21" s="34">
        <f>VLOOKUP($B21,[40]TrtCodes!$B$11:N79,7)</f>
        <v>1</v>
      </c>
      <c r="I21" s="34">
        <f>[40]FormattedData!B36</f>
        <v>1</v>
      </c>
      <c r="J21" s="37">
        <f>[40]FormattedData!C36</f>
        <v>13.292</v>
      </c>
      <c r="K21" s="39">
        <f>$J$3+[40]FormattedData!D36*$J$4+$M$4*$J$5+[40]FormattedData!D36^2*$J$6+$M$5*$J$7</f>
        <v>36.790306554619079</v>
      </c>
      <c r="L21" s="39">
        <f>$J$3+[40]FormattedData!E36*$J$4+$M$4*$J$5+[40]FormattedData!E36^2*$J$6+$M$5*$J$7</f>
        <v>36.601624324587711</v>
      </c>
      <c r="M21" s="39">
        <f>$J$3+[40]FormattedData!F36*$J$4+$M$4*$J$5+[40]FormattedData!F36^2*$J$6+$M$5*$J$7</f>
        <v>34.800710565972501</v>
      </c>
      <c r="N21" s="39">
        <f>$J$3+[40]FormattedData!G36*$J$4+$M$4*$J$5+[40]FormattedData!G36^2*$J$6+$M$5*$J$7</f>
        <v>37.26127243028369</v>
      </c>
      <c r="O21" s="39">
        <f>$J$3+[40]FormattedData!H36*$J$4+$M$4*$J$5+[40]FormattedData!H36^2*$J$6+$M$5*$J$7</f>
        <v>38.293677725407889</v>
      </c>
      <c r="P21" s="39">
        <f>$J$3+[40]FormattedData!I36*$J$4+$M$4*$J$5+[40]FormattedData!I36^2*$J$6+$M$5*$J$7</f>
        <v>39.507199182273787</v>
      </c>
      <c r="Q21" s="39">
        <f>$J$3+[40]FormattedData!J36*$J$4+$M$4*$J$5+[40]FormattedData!J36^2*$J$6+$M$5*$J$7</f>
        <v>37.167163792226624</v>
      </c>
      <c r="R21" s="39">
        <f>$J$3+[40]FormattedData!K36*$J$4+$M$4*$J$5+[40]FormattedData!K36^2*$J$6+$M$5*$J$7</f>
        <v>36.034563189583274</v>
      </c>
      <c r="S21" s="39">
        <f>$J$3+[40]FormattedData!L36*$J$4+$M$4*$J$5+[40]FormattedData!L36^2*$J$6+$M$5*$J$7</f>
        <v>33.65542940194981</v>
      </c>
      <c r="T21" s="39">
        <f>$J$3+[40]FormattedData!M36*$J$4+$M$4*$J$5+[40]FormattedData!M36^2*$J$6+$M$5*$J$7</f>
        <v>37.073012885631634</v>
      </c>
      <c r="U21" s="39">
        <f>$J$3+[40]FormattedData!N36*$J$4+$M$4*$J$5+[40]FormattedData!N36^2*$J$6+$M$5*$J$7</f>
        <v>35.939905060533107</v>
      </c>
      <c r="V21" s="39">
        <f>$J$3+[40]FormattedData!O36*$J$4+$M$4*$J$5+[40]FormattedData!O36^2*$J$6+$M$5*$J$7</f>
        <v>35.939905060533107</v>
      </c>
      <c r="W21" s="38">
        <f>AVERAGE(K21:V21)</f>
        <v>36.588730847800178</v>
      </c>
      <c r="X21" s="37">
        <f>STDEV(K21:V21)/SQRT(COUNT(K21:V21))</f>
        <v>0.43897997921455767</v>
      </c>
      <c r="Y21" s="36">
        <f>MIN(K21:V21)</f>
        <v>33.65542940194981</v>
      </c>
      <c r="Z21" s="35">
        <f>QUARTILE(K21:V21,1)</f>
        <v>35.939905060533107</v>
      </c>
      <c r="AA21" s="36">
        <f>MEDIAN(K21:V21)</f>
        <v>36.695965439603398</v>
      </c>
      <c r="AB21" s="35">
        <f>QUARTILE(K21:V21,3)</f>
        <v>37.190690951740891</v>
      </c>
      <c r="AC21" s="35">
        <f>MAX(K21:V21)</f>
        <v>39.507199182273787</v>
      </c>
      <c r="AD21" s="35">
        <f>SKEW(K21:V21)</f>
        <v>-3.8413406148471857E-2</v>
      </c>
      <c r="AE21" s="35">
        <f>KURT(K21:V21)</f>
        <v>0.86047416347600247</v>
      </c>
    </row>
    <row r="22" spans="2:31" x14ac:dyDescent="0.2">
      <c r="B22" s="34">
        <f>[40]FormattedData!A38</f>
        <v>205</v>
      </c>
      <c r="C22" s="34" t="str">
        <f>VLOOKUP($B22,[40]TrtCodes!$B$11:I81,2)</f>
        <v>FSH</v>
      </c>
      <c r="D22" s="34">
        <f>VLOOKUP($B22,[40]TrtCodes!$B$11:J81,3)</f>
        <v>1</v>
      </c>
      <c r="E22" s="34">
        <f>VLOOKUP($B22,[40]TrtCodes!$B$11:K81,4)</f>
        <v>1</v>
      </c>
      <c r="F22" s="34">
        <f>VLOOKUP($B22,[40]TrtCodes!$B$11:L81,5)</f>
        <v>1</v>
      </c>
      <c r="G22" s="34">
        <f>VLOOKUP($B22,[40]TrtCodes!$B$11:M81,6)</f>
        <v>2</v>
      </c>
      <c r="H22" s="34">
        <f>VLOOKUP($B22,[40]TrtCodes!$B$11:N81,7)</f>
        <v>2</v>
      </c>
      <c r="I22" s="34">
        <f>[40]FormattedData!B38</f>
        <v>1</v>
      </c>
      <c r="J22" s="37">
        <f>[40]FormattedData!C38</f>
        <v>13.31</v>
      </c>
      <c r="K22" s="39">
        <f>$J$3+[40]FormattedData!D38*$J$4+$M$4*$J$5+[40]FormattedData!D38^2*$J$6+$M$5*$J$7</f>
        <v>55.831803423513556</v>
      </c>
      <c r="L22" s="39">
        <f>$J$3+[40]FormattedData!E38*$J$4+$M$4*$J$5+[40]FormattedData!E38^2*$J$6+$M$5*$J$7</f>
        <v>57.276440199200437</v>
      </c>
      <c r="M22" s="39">
        <f>$J$3+[40]FormattedData!F38*$J$4+$M$4*$J$5+[40]FormattedData!F38^2*$J$6+$M$5*$J$7</f>
        <v>56.257964648971161</v>
      </c>
      <c r="N22" s="39">
        <f>$J$3+[40]FormattedData!G38*$J$4+$M$4*$J$5+[40]FormattedData!G38^2*$J$6+$M$5*$J$7</f>
        <v>52.905883049753513</v>
      </c>
      <c r="O22" s="39">
        <f>$J$3+[40]FormattedData!H38*$J$4+$M$4*$J$5+[40]FormattedData!H38^2*$J$6+$M$5*$J$7</f>
        <v>56.767963257768564</v>
      </c>
      <c r="P22" s="39">
        <f>$J$3+[40]FormattedData!I38*$J$4+$M$4*$J$5+[40]FormattedData!I38^2*$J$6+$M$5*$J$7</f>
        <v>54.804705091546339</v>
      </c>
      <c r="Q22" s="39">
        <f>$J$3+[40]FormattedData!J38*$J$4+$M$4*$J$5+[40]FormattedData!J38^2*$J$6+$M$5*$J$7</f>
        <v>57.361038416222989</v>
      </c>
      <c r="R22" s="39">
        <f>$J$3+[40]FormattedData!K38*$J$4+$M$4*$J$5+[40]FormattedData!K38^2*$J$6+$M$5*$J$7</f>
        <v>57.614579456063069</v>
      </c>
      <c r="S22" s="39">
        <f>$J$3+[40]FormattedData!L38*$J$4+$M$4*$J$5+[40]FormattedData!L38^2*$J$6+$M$5*$J$7</f>
        <v>58.120520285219072</v>
      </c>
      <c r="T22" s="39">
        <f>$J$3+[40]FormattedData!M38*$J$4+$M$4*$J$5+[40]FormattedData!M38^2*$J$6+$M$5*$J$7</f>
        <v>56.343070088448897</v>
      </c>
      <c r="U22" s="39">
        <f>$J$3+[40]FormattedData!N38*$J$4+$M$4*$J$5+[40]FormattedData!N38^2*$J$6+$M$5*$J$7</f>
        <v>53.339229926659407</v>
      </c>
      <c r="V22" s="39">
        <f>$J$3+[40]FormattedData!O38*$J$4+$M$4*$J$5+[40]FormattedData!O38^2*$J$6+$M$5*$J$7</f>
        <v>55.831803423513556</v>
      </c>
      <c r="W22" s="38">
        <f>AVERAGE(K22:V22)</f>
        <v>56.037916772240045</v>
      </c>
      <c r="X22" s="37">
        <f>STDEV(K22:V22)/SQRT(COUNT(K22:V22))</f>
        <v>0.47258575992574858</v>
      </c>
      <c r="Y22" s="36">
        <f>MIN(K22:V22)</f>
        <v>52.905883049753513</v>
      </c>
      <c r="Z22" s="35">
        <f>QUARTILE(K22:V22,1)</f>
        <v>55.575028840521753</v>
      </c>
      <c r="AA22" s="36">
        <f>MEDIAN(K22:V22)</f>
        <v>56.300517368710032</v>
      </c>
      <c r="AB22" s="35">
        <f>QUARTILE(K22:V22,3)</f>
        <v>57.297589753456073</v>
      </c>
      <c r="AC22" s="35">
        <f>MAX(K22:V22)</f>
        <v>58.120520285219072</v>
      </c>
      <c r="AD22" s="35">
        <f>SKEW(K22:V22)</f>
        <v>-0.86216611420360301</v>
      </c>
      <c r="AE22" s="35">
        <f>KURT(K22:V22)</f>
        <v>-3.4183569521073043E-2</v>
      </c>
    </row>
    <row r="23" spans="2:31" x14ac:dyDescent="0.2">
      <c r="B23" s="34">
        <f>[40]FormattedData!A40</f>
        <v>206</v>
      </c>
      <c r="C23" s="34" t="str">
        <f>VLOOKUP($B23,[40]TrtCodes!$B$11:I83,2)</f>
        <v>NSL</v>
      </c>
      <c r="D23" s="34">
        <f>VLOOKUP($B23,[40]TrtCodes!$B$11:J83,3)</f>
        <v>8</v>
      </c>
      <c r="E23" s="34">
        <f>VLOOKUP($B23,[40]TrtCodes!$B$11:K83,4)</f>
        <v>2</v>
      </c>
      <c r="F23" s="34">
        <f>VLOOKUP($B23,[40]TrtCodes!$B$11:L83,5)</f>
        <v>1</v>
      </c>
      <c r="G23" s="34">
        <f>VLOOKUP($B23,[40]TrtCodes!$B$11:M83,6)</f>
        <v>1</v>
      </c>
      <c r="H23" s="34">
        <f>VLOOKUP($B23,[40]TrtCodes!$B$11:N83,7)</f>
        <v>2</v>
      </c>
      <c r="I23" s="34">
        <f>[40]FormattedData!B40</f>
        <v>1</v>
      </c>
      <c r="J23" s="37">
        <f>[40]FormattedData!C40</f>
        <v>13.326000000000001</v>
      </c>
      <c r="K23" s="39">
        <f>$J$3+[40]FormattedData!D40*$J$4+$M$4*$J$5+[40]FormattedData!D40^2*$J$6+$M$5*$J$7</f>
        <v>55.917120205680945</v>
      </c>
      <c r="L23" s="39">
        <f>$J$3+[40]FormattedData!E40*$J$4+$M$4*$J$5+[40]FormattedData!E40^2*$J$6+$M$5*$J$7</f>
        <v>57.107116959541528</v>
      </c>
      <c r="M23" s="39">
        <f>$J$3+[40]FormattedData!F40*$J$4+$M$4*$J$5+[40]FormattedData!F40^2*$J$6+$M$5*$J$7</f>
        <v>56.172816940955499</v>
      </c>
      <c r="N23" s="39">
        <f>$J$3+[40]FormattedData!G40*$J$4+$M$4*$J$5+[40]FormattedData!G40^2*$J$6+$M$5*$J$7</f>
        <v>56.513154161790553</v>
      </c>
      <c r="O23" s="39">
        <f>$J$3+[40]FormattedData!H40*$J$4+$M$4*$J$5+[40]FormattedData!H40^2*$J$6+$M$5*$J$7</f>
        <v>56.343070088448897</v>
      </c>
      <c r="P23" s="39">
        <f>$J$3+[40]FormattedData!I40*$J$4+$M$4*$J$5+[40]FormattedData!I40^2*$J$6+$M$5*$J$7</f>
        <v>57.107116959541528</v>
      </c>
      <c r="Q23" s="39">
        <f>$J$3+[40]FormattedData!J40*$J$4+$M$4*$J$5+[40]FormattedData!J40^2*$J$6+$M$5*$J$7</f>
        <v>55.062050299800212</v>
      </c>
      <c r="R23" s="39">
        <f>$J$3+[40]FormattedData!K40*$J$4+$M$4*$J$5+[40]FormattedData!K40^2*$J$6+$M$5*$J$7</f>
        <v>55.746444372808241</v>
      </c>
      <c r="S23" s="39">
        <f>$J$3+[40]FormattedData!L40*$J$4+$M$4*$J$5+[40]FormattedData!L40^2*$J$6+$M$5*$J$7</f>
        <v>52.471479459399326</v>
      </c>
      <c r="T23" s="39">
        <f>$J$3+[40]FormattedData!M40*$J$4+$M$4*$J$5+[40]FormattedData!M40^2*$J$6+$M$5*$J$7</f>
        <v>56.937624645730907</v>
      </c>
      <c r="U23" s="39">
        <f>$J$3+[40]FormattedData!N40*$J$4+$M$4*$J$5+[40]FormattedData!N40^2*$J$6+$M$5*$J$7</f>
        <v>53.944140275734554</v>
      </c>
      <c r="V23" s="39">
        <f>$J$3+[40]FormattedData!O40*$J$4+$M$4*$J$5+[40]FormattedData!O40^2*$J$6+$M$5*$J$7</f>
        <v>57.95204241631879</v>
      </c>
      <c r="W23" s="38">
        <f>AVERAGE(K23:V23)</f>
        <v>55.939514732145916</v>
      </c>
      <c r="X23" s="37">
        <f>STDEV(K23:V23)/SQRT(COUNT(K23:V23))</f>
        <v>0.43637573664505702</v>
      </c>
      <c r="Y23" s="36">
        <f>MIN(K23:V23)</f>
        <v>52.471479459399326</v>
      </c>
      <c r="Z23" s="35">
        <f>QUARTILE(K23:V23,1)</f>
        <v>55.575345854556232</v>
      </c>
      <c r="AA23" s="36">
        <f>MEDIAN(K23:V23)</f>
        <v>56.257943514702198</v>
      </c>
      <c r="AB23" s="35">
        <f>QUARTILE(K23:V23,3)</f>
        <v>56.979997724183562</v>
      </c>
      <c r="AC23" s="35">
        <f>MAX(K23:V23)</f>
        <v>57.95204241631879</v>
      </c>
      <c r="AD23" s="35">
        <f>SKEW(K23:V23)</f>
        <v>-1.1919563976149707</v>
      </c>
      <c r="AE23" s="35">
        <f>KURT(K23:V23)</f>
        <v>1.4696685948769082</v>
      </c>
    </row>
    <row r="24" spans="2:31" x14ac:dyDescent="0.2">
      <c r="B24" s="34">
        <f>[40]FormattedData!A42</f>
        <v>207</v>
      </c>
      <c r="C24" s="34" t="str">
        <f>VLOOKUP($B24,[40]TrtCodes!$B$11:I85,2)</f>
        <v>FTL</v>
      </c>
      <c r="D24" s="34">
        <f>VLOOKUP($B24,[40]TrtCodes!$B$11:J85,3)</f>
        <v>4</v>
      </c>
      <c r="E24" s="34">
        <f>VLOOKUP($B24,[40]TrtCodes!$B$11:K85,4)</f>
        <v>1</v>
      </c>
      <c r="F24" s="34">
        <f>VLOOKUP($B24,[40]TrtCodes!$B$11:L85,5)</f>
        <v>2</v>
      </c>
      <c r="G24" s="34">
        <f>VLOOKUP($B24,[40]TrtCodes!$B$11:M85,6)</f>
        <v>1</v>
      </c>
      <c r="H24" s="34">
        <f>VLOOKUP($B24,[40]TrtCodes!$B$11:N85,7)</f>
        <v>2</v>
      </c>
      <c r="I24" s="34">
        <f>[40]FormattedData!B42</f>
        <v>1</v>
      </c>
      <c r="J24" s="37">
        <f>[40]FormattedData!C42</f>
        <v>13.342000000000001</v>
      </c>
      <c r="K24" s="39">
        <f>$J$3+[40]FormattedData!D42*$J$4+$M$4*$J$5+[40]FormattedData!D42^2*$J$6+$M$5*$J$7</f>
        <v>56.852815086018701</v>
      </c>
      <c r="L24" s="39">
        <f>$J$3+[40]FormattedData!E42*$J$4+$M$4*$J$5+[40]FormattedData!E42^2*$J$6+$M$5*$J$7</f>
        <v>50.459612474556295</v>
      </c>
      <c r="M24" s="39">
        <f>$J$3+[40]FormattedData!F42*$J$4+$M$4*$J$5+[40]FormattedData!F42^2*$J$6+$M$5*$J$7</f>
        <v>55.917120205680945</v>
      </c>
      <c r="N24" s="39">
        <f>$J$3+[40]FormattedData!G42*$J$4+$M$4*$J$5+[40]FormattedData!G42^2*$J$6+$M$5*$J$7</f>
        <v>50.986603035602009</v>
      </c>
      <c r="O24" s="39">
        <f>$J$3+[40]FormattedData!H42*$J$4+$M$4*$J$5+[40]FormattedData!H42^2*$J$6+$M$5*$J$7</f>
        <v>52.297422143492142</v>
      </c>
      <c r="P24" s="39">
        <f>$J$3+[40]FormattedData!I42*$J$4+$M$4*$J$5+[40]FormattedData!I42^2*$J$6+$M$5*$J$7</f>
        <v>57.107116959541528</v>
      </c>
      <c r="Q24" s="39">
        <f>$J$3+[40]FormattedData!J42*$J$4+$M$4*$J$5+[40]FormattedData!J42^2*$J$6+$M$5*$J$7</f>
        <v>55.319015091212705</v>
      </c>
      <c r="R24" s="39">
        <f>$J$3+[40]FormattedData!K42*$J$4+$M$4*$J$5+[40]FormattedData!K42^2*$J$6+$M$5*$J$7</f>
        <v>56.937624645730907</v>
      </c>
      <c r="S24" s="39">
        <f>$J$3+[40]FormattedData!L42*$J$4+$M$4*$J$5+[40]FormattedData!L42^2*$J$6+$M$5*$J$7</f>
        <v>48.780770253486217</v>
      </c>
      <c r="T24" s="39">
        <f>$J$3+[40]FormattedData!M42*$J$4+$M$4*$J$5+[40]FormattedData!M42^2*$J$6+$M$5*$J$7</f>
        <v>57.276440199200437</v>
      </c>
      <c r="U24" s="39">
        <f>$J$3+[40]FormattedData!N42*$J$4+$M$4*$J$5+[40]FormattedData!N42^2*$J$6+$M$5*$J$7</f>
        <v>48.247439411750833</v>
      </c>
      <c r="V24" s="39">
        <f>$J$3+[40]FormattedData!O42*$J$4+$M$4*$J$5+[40]FormattedData!O42^2*$J$6+$M$5*$J$7</f>
        <v>57.022391936905187</v>
      </c>
      <c r="W24" s="38">
        <f>AVERAGE(K24:V24)</f>
        <v>53.93369762026483</v>
      </c>
      <c r="X24" s="37">
        <f>STDEV(K24:V24)/SQRT(COUNT(K24:V24))</f>
        <v>1.0169050983032393</v>
      </c>
      <c r="Y24" s="36">
        <f>MIN(K24:V24)</f>
        <v>48.247439411750833</v>
      </c>
      <c r="Z24" s="35">
        <f>QUARTILE(K24:V24,1)</f>
        <v>50.854855395340579</v>
      </c>
      <c r="AA24" s="36">
        <f>MEDIAN(K24:V24)</f>
        <v>55.618067648446825</v>
      </c>
      <c r="AB24" s="35">
        <f>QUARTILE(K24:V24,3)</f>
        <v>56.958816468524475</v>
      </c>
      <c r="AC24" s="35">
        <f>MAX(K24:V24)</f>
        <v>57.276440199200437</v>
      </c>
      <c r="AD24" s="35">
        <f>SKEW(K24:V24)</f>
        <v>-0.57740749824778492</v>
      </c>
      <c r="AE24" s="35">
        <f>KURT(K24:V24)</f>
        <v>-1.5065330141200919</v>
      </c>
    </row>
    <row r="25" spans="2:31" x14ac:dyDescent="0.2">
      <c r="B25" s="34">
        <f>[40]FormattedData!A44</f>
        <v>208</v>
      </c>
      <c r="C25" s="34" t="str">
        <f>VLOOKUP($B25,[40]TrtCodes!$B$11:I87,2)</f>
        <v>FSL</v>
      </c>
      <c r="D25" s="34">
        <f>VLOOKUP($B25,[40]TrtCodes!$B$11:J87,3)</f>
        <v>2</v>
      </c>
      <c r="E25" s="34">
        <f>VLOOKUP($B25,[40]TrtCodes!$B$11:K87,4)</f>
        <v>1</v>
      </c>
      <c r="F25" s="34">
        <f>VLOOKUP($B25,[40]TrtCodes!$B$11:L87,5)</f>
        <v>1</v>
      </c>
      <c r="G25" s="34">
        <f>VLOOKUP($B25,[40]TrtCodes!$B$11:M87,6)</f>
        <v>1</v>
      </c>
      <c r="H25" s="34">
        <f>VLOOKUP($B25,[40]TrtCodes!$B$11:N87,7)</f>
        <v>2</v>
      </c>
      <c r="I25" s="34">
        <f>[40]FormattedData!B44</f>
        <v>1</v>
      </c>
      <c r="J25" s="37">
        <f>[40]FormattedData!C44</f>
        <v>13.356999999999999</v>
      </c>
      <c r="K25" s="39">
        <f>$J$3+[40]FormattedData!D44*$J$4+$M$4*$J$5+[40]FormattedData!D44^2*$J$6+$M$5*$J$7</f>
        <v>55.233402429279806</v>
      </c>
      <c r="L25" s="39">
        <f>$J$3+[40]FormattedData!E44*$J$4+$M$4*$J$5+[40]FormattedData!E44^2*$J$6+$M$5*$J$7</f>
        <v>57.022391936905187</v>
      </c>
      <c r="M25" s="39">
        <f>$J$3+[40]FormattedData!F44*$J$4+$M$4*$J$5+[40]FormattedData!F44^2*$J$6+$M$5*$J$7</f>
        <v>54.030386965736412</v>
      </c>
      <c r="N25" s="39">
        <f>$J$3+[40]FormattedData!G44*$J$4+$M$4*$J$5+[40]FormattedData!G44^2*$J$6+$M$5*$J$7</f>
        <v>57.614579456063069</v>
      </c>
      <c r="O25" s="39">
        <f>$J$3+[40]FormattedData!H44*$J$4+$M$4*$J$5+[40]FormattedData!H44^2*$J$6+$M$5*$J$7</f>
        <v>55.831803423513556</v>
      </c>
      <c r="P25" s="39">
        <f>$J$3+[40]FormattedData!I44*$J$4+$M$4*$J$5+[40]FormattedData!I44^2*$J$6+$M$5*$J$7</f>
        <v>57.361038416222989</v>
      </c>
      <c r="Q25" s="39">
        <f>$J$3+[40]FormattedData!J44*$J$4+$M$4*$J$5+[40]FormattedData!J44^2*$J$6+$M$5*$J$7</f>
        <v>56.767963257768564</v>
      </c>
      <c r="R25" s="39">
        <f>$J$3+[40]FormattedData!K44*$J$4+$M$4*$J$5+[40]FormattedData!K44^2*$J$6+$M$5*$J$7</f>
        <v>58.624939447009552</v>
      </c>
      <c r="S25" s="39">
        <f>$J$3+[40]FormattedData!L44*$J$4+$M$4*$J$5+[40]FormattedData!L44^2*$J$6+$M$5*$J$7</f>
        <v>54.804705091546339</v>
      </c>
      <c r="T25" s="39">
        <f>$J$3+[40]FormattedData!M44*$J$4+$M$4*$J$5+[40]FormattedData!M44^2*$J$6+$M$5*$J$7</f>
        <v>55.404585484607672</v>
      </c>
      <c r="U25" s="39">
        <f>$J$3+[40]FormattedData!N44*$J$4+$M$4*$J$5+[40]FormattedData!N44^2*$J$6+$M$5*$J$7</f>
        <v>58.372920074534996</v>
      </c>
      <c r="V25" s="39">
        <f>$J$3+[40]FormattedData!O44*$J$4+$M$4*$J$5+[40]FormattedData!O44^2*$J$6+$M$5*$J$7</f>
        <v>56.68306916098048</v>
      </c>
      <c r="W25" s="38">
        <f>AVERAGE(K25:V25)</f>
        <v>56.479315428680714</v>
      </c>
      <c r="X25" s="37">
        <f>STDEV(K25:V25)/SQRT(COUNT(K25:V25))</f>
        <v>0.41381129425469965</v>
      </c>
      <c r="Y25" s="36">
        <f>MIN(K25:V25)</f>
        <v>54.030386965736412</v>
      </c>
      <c r="Z25" s="35">
        <f>QUARTILE(K25:V25,1)</f>
        <v>55.361789720775704</v>
      </c>
      <c r="AA25" s="36">
        <f>MEDIAN(K25:V25)</f>
        <v>56.725516209374518</v>
      </c>
      <c r="AB25" s="35">
        <f>QUARTILE(K25:V25,3)</f>
        <v>57.424423676183011</v>
      </c>
      <c r="AC25" s="35">
        <f>MAX(K25:V25)</f>
        <v>58.624939447009552</v>
      </c>
      <c r="AD25" s="35">
        <f>SKEW(K25:V25)</f>
        <v>-0.14150065286742933</v>
      </c>
      <c r="AE25" s="35">
        <f>KURT(K25:V25)</f>
        <v>-0.89252585948245233</v>
      </c>
    </row>
    <row r="26" spans="2:31" x14ac:dyDescent="0.2">
      <c r="B26" s="34">
        <f>[40]FormattedData!A62</f>
        <v>301</v>
      </c>
      <c r="C26" s="34" t="str">
        <f>VLOOKUP($B26,[40]TrtCodes!$B$11:I105,2)</f>
        <v>NTL</v>
      </c>
      <c r="D26" s="34">
        <f>VLOOKUP($B26,[40]TrtCodes!$B$11:J105,3)</f>
        <v>10</v>
      </c>
      <c r="E26" s="34">
        <f>VLOOKUP($B26,[40]TrtCodes!$B$11:K105,4)</f>
        <v>2</v>
      </c>
      <c r="F26" s="34">
        <f>VLOOKUP($B26,[40]TrtCodes!$B$11:L105,5)</f>
        <v>2</v>
      </c>
      <c r="G26" s="34">
        <f>VLOOKUP($B26,[40]TrtCodes!$B$11:M105,6)</f>
        <v>1</v>
      </c>
      <c r="H26" s="34">
        <f>VLOOKUP($B26,[40]TrtCodes!$B$11:N105,7)</f>
        <v>3</v>
      </c>
      <c r="I26" s="34">
        <f>[40]FormattedData!B62</f>
        <v>1</v>
      </c>
      <c r="J26" s="37">
        <f>[40]FormattedData!C62</f>
        <v>13.486000000000001</v>
      </c>
      <c r="K26" s="39">
        <f>$J$3+[40]FormattedData!D62*$J$4+$M$4*$J$5+[40]FormattedData!D62^2*$J$6+$M$5*$J$7</f>
        <v>55.147747498808975</v>
      </c>
      <c r="L26" s="39">
        <f>$J$3+[40]FormattedData!E62*$J$4+$M$4*$J$5+[40]FormattedData!E62^2*$J$6+$M$5*$J$7</f>
        <v>54.97631083225351</v>
      </c>
      <c r="M26" s="39">
        <f>$J$3+[40]FormattedData!F62*$J$4+$M$4*$J$5+[40]FormattedData!F62^2*$J$6+$M$5*$J$7</f>
        <v>54.632930276687425</v>
      </c>
      <c r="N26" s="39">
        <f>$J$3+[40]FormattedData!G62*$J$4+$M$4*$J$5+[40]FormattedData!G62^2*$J$6+$M$5*$J$7</f>
        <v>55.831803423513556</v>
      </c>
      <c r="O26" s="39">
        <f>$J$3+[40]FormattedData!H62*$J$4+$M$4*$J$5+[40]FormattedData!H62^2*$J$6+$M$5*$J$7</f>
        <v>51.512071929282207</v>
      </c>
      <c r="P26" s="39">
        <f>$J$3+[40]FormattedData!I62*$J$4+$M$4*$J$5+[40]FormattedData!I62^2*$J$6+$M$5*$J$7</f>
        <v>55.147747498808975</v>
      </c>
      <c r="Q26" s="39">
        <f>$J$3+[40]FormattedData!J62*$J$4+$M$4*$J$5+[40]FormattedData!J62^2*$J$6+$M$5*$J$7</f>
        <v>51.512071929282207</v>
      </c>
      <c r="R26" s="39">
        <f>$J$3+[40]FormattedData!K62*$J$4+$M$4*$J$5+[40]FormattedData!K62^2*$J$6+$M$5*$J$7</f>
        <v>53.252645088354086</v>
      </c>
      <c r="S26" s="39">
        <f>$J$3+[40]FormattedData!L62*$J$4+$M$4*$J$5+[40]FormattedData!L62^2*$J$6+$M$5*$J$7</f>
        <v>55.831803423513556</v>
      </c>
      <c r="T26" s="39">
        <f>$J$3+[40]FormattedData!M62*$J$4+$M$4*$J$5+[40]FormattedData!M62^2*$J$6+$M$5*$J$7</f>
        <v>56.172816940955499</v>
      </c>
      <c r="U26" s="39">
        <f>$J$3+[40]FormattedData!N62*$J$4+$M$4*$J$5+[40]FormattedData!N62^2*$J$6+$M$5*$J$7</f>
        <v>53.425772496426788</v>
      </c>
      <c r="V26" s="39">
        <f>$J$3+[40]FormattedData!O62*$J$4+$M$4*$J$5+[40]FormattedData!O62^2*$J$6+$M$5*$J$7</f>
        <v>53.512272797656252</v>
      </c>
      <c r="W26" s="38">
        <f>AVERAGE(K26:V26)</f>
        <v>54.246332844628597</v>
      </c>
      <c r="X26" s="37">
        <f>STDEV(K26:V26)/SQRT(COUNT(K26:V26))</f>
        <v>0.46219290690739878</v>
      </c>
      <c r="Y26" s="36">
        <f>MIN(K26:V26)</f>
        <v>51.512071929282207</v>
      </c>
      <c r="Z26" s="35">
        <f>QUARTILE(K26:V26,1)</f>
        <v>53.382490644408612</v>
      </c>
      <c r="AA26" s="36">
        <f>MEDIAN(K26:V26)</f>
        <v>54.804620554470468</v>
      </c>
      <c r="AB26" s="35">
        <f>QUARTILE(K26:V26,3)</f>
        <v>55.31876147998512</v>
      </c>
      <c r="AC26" s="35">
        <f>MAX(K26:V26)</f>
        <v>56.172816940955499</v>
      </c>
      <c r="AD26" s="35">
        <f>SKEW(K26:V26)</f>
        <v>-0.68523444435787628</v>
      </c>
      <c r="AE26" s="35">
        <f>KURT(K26:V26)</f>
        <v>-0.63923623499877635</v>
      </c>
    </row>
    <row r="27" spans="2:31" x14ac:dyDescent="0.2">
      <c r="B27" s="34">
        <f>[40]FormattedData!A64</f>
        <v>302</v>
      </c>
      <c r="C27" s="34" t="str">
        <f>VLOOKUP($B27,[40]TrtCodes!$B$11:I107,2)</f>
        <v>FTL</v>
      </c>
      <c r="D27" s="34">
        <f>VLOOKUP($B27,[40]TrtCodes!$B$11:J107,3)</f>
        <v>4</v>
      </c>
      <c r="E27" s="34">
        <f>VLOOKUP($B27,[40]TrtCodes!$B$11:K107,4)</f>
        <v>1</v>
      </c>
      <c r="F27" s="34">
        <f>VLOOKUP($B27,[40]TrtCodes!$B$11:L107,5)</f>
        <v>2</v>
      </c>
      <c r="G27" s="34">
        <f>VLOOKUP($B27,[40]TrtCodes!$B$11:M107,6)</f>
        <v>1</v>
      </c>
      <c r="H27" s="34">
        <f>VLOOKUP($B27,[40]TrtCodes!$B$11:N107,7)</f>
        <v>3</v>
      </c>
      <c r="I27" s="34">
        <f>[40]FormattedData!B64</f>
        <v>1</v>
      </c>
      <c r="J27" s="37">
        <f>[40]FormattedData!C64</f>
        <v>13.502000000000001</v>
      </c>
      <c r="K27" s="39">
        <f>$J$3+[40]FormattedData!D64*$J$4+$M$4*$J$5+[40]FormattedData!D64^2*$J$6+$M$5*$J$7</f>
        <v>55.661043053565002</v>
      </c>
      <c r="L27" s="39">
        <f>$J$3+[40]FormattedData!E64*$J$4+$M$4*$J$5+[40]FormattedData!E64^2*$J$6+$M$5*$J$7</f>
        <v>53.425772496426788</v>
      </c>
      <c r="M27" s="39">
        <f>$J$3+[40]FormattedData!F64*$J$4+$M$4*$J$5+[40]FormattedData!F64^2*$J$6+$M$5*$J$7</f>
        <v>56.172816940955499</v>
      </c>
      <c r="N27" s="39">
        <f>$J$3+[40]FormattedData!G64*$J$4+$M$4*$J$5+[40]FormattedData!G64^2*$J$6+$M$5*$J$7</f>
        <v>53.598730830347762</v>
      </c>
      <c r="O27" s="39">
        <f>$J$3+[40]FormattedData!H64*$J$4+$M$4*$J$5+[40]FormattedData!H64^2*$J$6+$M$5*$J$7</f>
        <v>54.288873424514435</v>
      </c>
      <c r="P27" s="39">
        <f>$J$3+[40]FormattedData!I64*$J$4+$M$4*$J$5+[40]FormattedData!I64^2*$J$6+$M$5*$J$7</f>
        <v>56.172816940955499</v>
      </c>
      <c r="Q27" s="39">
        <f>$J$3+[40]FormattedData!J64*$J$4+$M$4*$J$5+[40]FormattedData!J64^2*$J$6+$M$5*$J$7</f>
        <v>53.425772496426788</v>
      </c>
      <c r="R27" s="39">
        <f>$J$3+[40]FormattedData!K64*$J$4+$M$4*$J$5+[40]FormattedData!K64^2*$J$6+$M$5*$J$7</f>
        <v>57.276440199200437</v>
      </c>
      <c r="S27" s="39">
        <f>$J$3+[40]FormattedData!L64*$J$4+$M$4*$J$5+[40]FormattedData!L64^2*$J$6+$M$5*$J$7</f>
        <v>50.986603035602009</v>
      </c>
      <c r="T27" s="39">
        <f>$J$3+[40]FormattedData!M64*$J$4+$M$4*$J$5+[40]FormattedData!M64^2*$J$6+$M$5*$J$7</f>
        <v>55.917120205680945</v>
      </c>
      <c r="U27" s="39">
        <f>$J$3+[40]FormattedData!N64*$J$4+$M$4*$J$5+[40]FormattedData!N64^2*$J$6+$M$5*$J$7</f>
        <v>53.857851317194751</v>
      </c>
      <c r="V27" s="39">
        <f>$J$3+[40]FormattedData!O64*$J$4+$M$4*$J$5+[40]FormattedData!O64^2*$J$6+$M$5*$J$7</f>
        <v>54.890529096168891</v>
      </c>
      <c r="W27" s="38">
        <f>AVERAGE(K27:V27)</f>
        <v>54.639530836419901</v>
      </c>
      <c r="X27" s="37">
        <f>STDEV(K27:V27)/SQRT(COUNT(K27:V27))</f>
        <v>0.49620906635696327</v>
      </c>
      <c r="Y27" s="36">
        <f>MIN(K27:V27)</f>
        <v>50.986603035602009</v>
      </c>
      <c r="Z27" s="35">
        <f>QUARTILE(K27:V27,1)</f>
        <v>53.555491246867518</v>
      </c>
      <c r="AA27" s="36">
        <f>MEDIAN(K27:V27)</f>
        <v>54.589701260341663</v>
      </c>
      <c r="AB27" s="35">
        <f>QUARTILE(K27:V27,3)</f>
        <v>55.981044389499587</v>
      </c>
      <c r="AC27" s="35">
        <f>MAX(K27:V27)</f>
        <v>57.276440199200437</v>
      </c>
      <c r="AD27" s="35">
        <f>SKEW(K27:V27)</f>
        <v>-0.54250577116872012</v>
      </c>
      <c r="AE27" s="35">
        <f>KURT(K27:V27)</f>
        <v>0.42711041014962703</v>
      </c>
    </row>
    <row r="28" spans="2:31" x14ac:dyDescent="0.2">
      <c r="B28" s="34">
        <f>[40]FormattedData!A66</f>
        <v>303</v>
      </c>
      <c r="C28" s="34" t="str">
        <f>VLOOKUP($B28,[40]TrtCodes!$B$11:I109,2)</f>
        <v>NSL</v>
      </c>
      <c r="D28" s="34">
        <f>VLOOKUP($B28,[40]TrtCodes!$B$11:J109,3)</f>
        <v>8</v>
      </c>
      <c r="E28" s="34">
        <f>VLOOKUP($B28,[40]TrtCodes!$B$11:K109,4)</f>
        <v>2</v>
      </c>
      <c r="F28" s="34">
        <f>VLOOKUP($B28,[40]TrtCodes!$B$11:L109,5)</f>
        <v>1</v>
      </c>
      <c r="G28" s="34">
        <f>VLOOKUP($B28,[40]TrtCodes!$B$11:M109,6)</f>
        <v>1</v>
      </c>
      <c r="H28" s="34">
        <f>VLOOKUP($B28,[40]TrtCodes!$B$11:N109,7)</f>
        <v>3</v>
      </c>
      <c r="I28" s="34">
        <f>[40]FormattedData!B66</f>
        <v>1</v>
      </c>
      <c r="J28" s="37">
        <f>[40]FormattedData!C66</f>
        <v>13.518000000000001</v>
      </c>
      <c r="K28" s="39">
        <f>$J$3+[40]FormattedData!D66*$J$4+$M$4*$J$5+[40]FormattedData!D66^2*$J$6+$M$5*$J$7</f>
        <v>55.917120205680945</v>
      </c>
      <c r="L28" s="39">
        <f>$J$3+[40]FormattedData!E66*$J$4+$M$4*$J$5+[40]FormattedData!E66^2*$J$6+$M$5*$J$7</f>
        <v>57.022391936905187</v>
      </c>
      <c r="M28" s="39">
        <f>$J$3+[40]FormattedData!F66*$J$4+$M$4*$J$5+[40]FormattedData!F66^2*$J$6+$M$5*$J$7</f>
        <v>54.202753540126366</v>
      </c>
      <c r="N28" s="39">
        <f>$J$3+[40]FormattedData!G66*$J$4+$M$4*$J$5+[40]FormattedData!G66^2*$J$6+$M$5*$J$7</f>
        <v>54.632930276687425</v>
      </c>
      <c r="O28" s="39">
        <f>$J$3+[40]FormattedData!H66*$J$4+$M$4*$J$5+[40]FormattedData!H66^2*$J$6+$M$5*$J$7</f>
        <v>54.890529096168891</v>
      </c>
      <c r="P28" s="39">
        <f>$J$3+[40]FormattedData!I66*$J$4+$M$4*$J$5+[40]FormattedData!I66^2*$J$6+$M$5*$J$7</f>
        <v>54.202753540126366</v>
      </c>
      <c r="Q28" s="39">
        <f>$J$3+[40]FormattedData!J66*$J$4+$M$4*$J$5+[40]FormattedData!J66^2*$J$6+$M$5*$J$7</f>
        <v>54.718838818385848</v>
      </c>
      <c r="R28" s="39">
        <f>$J$3+[40]FormattedData!K66*$J$4+$M$4*$J$5+[40]FormattedData!K66^2*$J$6+$M$5*$J$7</f>
        <v>56.428133259388687</v>
      </c>
      <c r="S28" s="39">
        <f>$J$3+[40]FormattedData!L66*$J$4+$M$4*$J$5+[40]FormattedData!L66^2*$J$6+$M$5*$J$7</f>
        <v>53.771520090117029</v>
      </c>
      <c r="T28" s="39">
        <f>$J$3+[40]FormattedData!M66*$J$4+$M$4*$J$5+[40]FormattedData!M66^2*$J$6+$M$5*$J$7</f>
        <v>56.513154161790553</v>
      </c>
      <c r="U28" s="39">
        <f>$J$3+[40]FormattedData!N66*$J$4+$M$4*$J$5+[40]FormattedData!N66^2*$J$6+$M$5*$J$7</f>
        <v>57.276440199200437</v>
      </c>
      <c r="V28" s="39">
        <f>$J$3+[40]FormattedData!O66*$J$4+$M$4*$J$5+[40]FormattedData!O66^2*$J$6+$M$5*$J$7</f>
        <v>57.107116959541528</v>
      </c>
      <c r="W28" s="38">
        <f>AVERAGE(K28:V28)</f>
        <v>55.556973507009936</v>
      </c>
      <c r="X28" s="37">
        <f>STDEV(K28:V28)/SQRT(COUNT(K28:V28))</f>
        <v>0.3709734241562555</v>
      </c>
      <c r="Y28" s="36">
        <f>MIN(K28:V28)</f>
        <v>53.771520090117029</v>
      </c>
      <c r="Z28" s="35">
        <f>QUARTILE(K28:V28,1)</f>
        <v>54.525386092547159</v>
      </c>
      <c r="AA28" s="36">
        <f>MEDIAN(K28:V28)</f>
        <v>55.403824650924918</v>
      </c>
      <c r="AB28" s="35">
        <f>QUARTILE(K28:V28,3)</f>
        <v>56.640463605569209</v>
      </c>
      <c r="AC28" s="35">
        <f>MAX(K28:V28)</f>
        <v>57.276440199200437</v>
      </c>
      <c r="AD28" s="35">
        <f>SKEW(K28:V28)</f>
        <v>6.1943698465677322E-2</v>
      </c>
      <c r="AE28" s="35">
        <f>KURT(K28:V28)</f>
        <v>-1.7878681932307172</v>
      </c>
    </row>
    <row r="29" spans="2:31" x14ac:dyDescent="0.2">
      <c r="B29" s="34">
        <f>[40]FormattedData!A68</f>
        <v>304</v>
      </c>
      <c r="C29" s="34" t="str">
        <f>VLOOKUP($B29,[40]TrtCodes!$B$11:I111,2)</f>
        <v>FSL</v>
      </c>
      <c r="D29" s="34">
        <f>VLOOKUP($B29,[40]TrtCodes!$B$11:J111,3)</f>
        <v>2</v>
      </c>
      <c r="E29" s="34">
        <f>VLOOKUP($B29,[40]TrtCodes!$B$11:K111,4)</f>
        <v>1</v>
      </c>
      <c r="F29" s="34">
        <f>VLOOKUP($B29,[40]TrtCodes!$B$11:L111,5)</f>
        <v>1</v>
      </c>
      <c r="G29" s="34">
        <f>VLOOKUP($B29,[40]TrtCodes!$B$11:M111,6)</f>
        <v>1</v>
      </c>
      <c r="H29" s="34">
        <f>VLOOKUP($B29,[40]TrtCodes!$B$11:N111,7)</f>
        <v>3</v>
      </c>
      <c r="I29" s="34">
        <f>[40]FormattedData!B68</f>
        <v>1</v>
      </c>
      <c r="J29" s="37">
        <f>[40]FormattedData!C68</f>
        <v>13.534000000000001</v>
      </c>
      <c r="K29" s="39">
        <f>$J$3+[40]FormattedData!D68*$J$4+$M$4*$J$5+[40]FormattedData!D68^2*$J$6+$M$5*$J$7</f>
        <v>54.116591387200359</v>
      </c>
      <c r="L29" s="39">
        <f>$J$3+[40]FormattedData!E68*$J$4+$M$4*$J$5+[40]FormattedData!E68^2*$J$6+$M$5*$J$7</f>
        <v>54.804705091546339</v>
      </c>
      <c r="M29" s="39">
        <f>$J$3+[40]FormattedData!F68*$J$4+$M$4*$J$5+[40]FormattedData!F68^2*$J$6+$M$5*$J$7</f>
        <v>55.319015091212705</v>
      </c>
      <c r="N29" s="39">
        <f>$J$3+[40]FormattedData!G68*$J$4+$M$4*$J$5+[40]FormattedData!G68^2*$J$6+$M$5*$J$7</f>
        <v>55.831803423513556</v>
      </c>
      <c r="O29" s="39">
        <f>$J$3+[40]FormattedData!H68*$J$4+$M$4*$J$5+[40]FormattedData!H68^2*$J$6+$M$5*$J$7</f>
        <v>55.404585484607672</v>
      </c>
      <c r="P29" s="39">
        <f>$J$3+[40]FormattedData!I68*$J$4+$M$4*$J$5+[40]FormattedData!I68^2*$J$6+$M$5*$J$7</f>
        <v>56.002394719310395</v>
      </c>
      <c r="Q29" s="39">
        <f>$J$3+[40]FormattedData!J68*$J$4+$M$4*$J$5+[40]FormattedData!J68^2*$J$6+$M$5*$J$7</f>
        <v>55.661043053565002</v>
      </c>
      <c r="R29" s="39">
        <f>$J$3+[40]FormattedData!K68*$J$4+$M$4*$J$5+[40]FormattedData!K68^2*$J$6+$M$5*$J$7</f>
        <v>57.44559436470761</v>
      </c>
      <c r="S29" s="39">
        <f>$J$3+[40]FormattedData!L68*$J$4+$M$4*$J$5+[40]FormattedData!L68^2*$J$6+$M$5*$J$7</f>
        <v>52.558444714546027</v>
      </c>
      <c r="T29" s="39">
        <f>$J$3+[40]FormattedData!M68*$J$4+$M$4*$J$5+[40]FormattedData!M68^2*$J$6+$M$5*$J$7</f>
        <v>55.746444372808241</v>
      </c>
      <c r="U29" s="39">
        <f>$J$3+[40]FormattedData!N68*$J$4+$M$4*$J$5+[40]FormattedData!N68^2*$J$6+$M$5*$J$7</f>
        <v>54.116591387200359</v>
      </c>
      <c r="V29" s="39">
        <f>$J$3+[40]FormattedData!O68*$J$4+$M$4*$J$5+[40]FormattedData!O68^2*$J$6+$M$5*$J$7</f>
        <v>57.361038416222989</v>
      </c>
      <c r="W29" s="38">
        <f>AVERAGE(K29:V29)</f>
        <v>55.364020958870107</v>
      </c>
      <c r="X29" s="37">
        <f>STDEV(K29:V29)/SQRT(COUNT(K29:V29))</f>
        <v>0.39390971736105684</v>
      </c>
      <c r="Y29" s="36">
        <f>MIN(K29:V29)</f>
        <v>52.558444714546027</v>
      </c>
      <c r="Z29" s="35">
        <f>QUARTILE(K29:V29,1)</f>
        <v>54.63267666545984</v>
      </c>
      <c r="AA29" s="36">
        <f>MEDIAN(K29:V29)</f>
        <v>55.532814269086337</v>
      </c>
      <c r="AB29" s="35">
        <f>QUARTILE(K29:V29,3)</f>
        <v>55.874451247462765</v>
      </c>
      <c r="AC29" s="35">
        <f>MAX(K29:V29)</f>
        <v>57.44559436470761</v>
      </c>
      <c r="AD29" s="35">
        <f>SKEW(K29:V29)</f>
        <v>-0.37407815583678999</v>
      </c>
      <c r="AE29" s="35">
        <f>KURT(K29:V29)</f>
        <v>0.59443790847213585</v>
      </c>
    </row>
    <row r="30" spans="2:31" x14ac:dyDescent="0.2">
      <c r="B30" s="34">
        <f>[40]FormattedData!A70</f>
        <v>305</v>
      </c>
      <c r="C30" s="34" t="str">
        <f>VLOOKUP($B30,[40]TrtCodes!$B$11:I113,2)</f>
        <v>NDH</v>
      </c>
      <c r="D30" s="34">
        <f>VLOOKUP($B30,[40]TrtCodes!$B$11:J113,3)</f>
        <v>11</v>
      </c>
      <c r="E30" s="34">
        <f>VLOOKUP($B30,[40]TrtCodes!$B$11:K113,4)</f>
        <v>2</v>
      </c>
      <c r="F30" s="34">
        <f>VLOOKUP($B30,[40]TrtCodes!$B$11:L113,5)</f>
        <v>3</v>
      </c>
      <c r="G30" s="34">
        <f>VLOOKUP($B30,[40]TrtCodes!$B$11:M113,6)</f>
        <v>2</v>
      </c>
      <c r="H30" s="34">
        <f>VLOOKUP($B30,[40]TrtCodes!$B$11:N113,7)</f>
        <v>4</v>
      </c>
      <c r="I30" s="34">
        <f>[40]FormattedData!B70</f>
        <v>1</v>
      </c>
      <c r="J30" s="37">
        <f>[40]FormattedData!C70</f>
        <v>13.55</v>
      </c>
      <c r="K30" s="39">
        <f>$J$3+[40]FormattedData!D70*$J$4+$M$4*$J$5+[40]FormattedData!D70^2*$J$6+$M$5*$J$7</f>
        <v>34.895875917477845</v>
      </c>
      <c r="L30" s="39">
        <f>$J$3+[40]FormattedData!E70*$J$4+$M$4*$J$5+[40]FormattedData!E70^2*$J$6+$M$5*$J$7</f>
        <v>34.514960900228893</v>
      </c>
      <c r="M30" s="39">
        <f>$J$3+[40]FormattedData!F70*$J$4+$M$4*$J$5+[40]FormattedData!F70^2*$J$6+$M$5*$J$7</f>
        <v>35.181118360766263</v>
      </c>
      <c r="N30" s="39">
        <f>$J$3+[40]FormattedData!G70*$J$4+$M$4*$J$5+[40]FormattedData!G70^2*$J$6+$M$5*$J$7</f>
        <v>36.129179050095509</v>
      </c>
      <c r="O30" s="39">
        <f>$J$3+[40]FormattedData!H70*$J$4+$M$4*$J$5+[40]FormattedData!H70^2*$J$6+$M$5*$J$7</f>
        <v>32.600241364880716</v>
      </c>
      <c r="P30" s="39">
        <f>$J$3+[40]FormattedData!I70*$J$4+$M$4*$J$5+[40]FormattedData!I70^2*$J$6+$M$5*$J$7</f>
        <v>35.845204662945015</v>
      </c>
      <c r="Q30" s="39">
        <f>$J$3+[40]FormattedData!J70*$J$4+$M$4*$J$5+[40]FormattedData!J70^2*$J$6+$M$5*$J$7</f>
        <v>33.65542940194981</v>
      </c>
      <c r="R30" s="39">
        <f>$J$3+[40]FormattedData!K70*$J$4+$M$4*$J$5+[40]FormattedData!K70^2*$J$6+$M$5*$J$7</f>
        <v>35.560849858953134</v>
      </c>
      <c r="S30" s="39">
        <f>$J$3+[40]FormattedData!L70*$J$4+$M$4*$J$5+[40]FormattedData!L70^2*$J$6+$M$5*$J$7</f>
        <v>34.419626474571842</v>
      </c>
      <c r="T30" s="39">
        <f>$J$3+[40]FormattedData!M70*$J$4+$M$4*$J$5+[40]FormattedData!M70^2*$J$6+$M$5*$J$7</f>
        <v>34.800710565972501</v>
      </c>
      <c r="U30" s="39">
        <f>$J$3+[40]FormattedData!N70*$J$4+$M$4*$J$5+[40]FormattedData!N70^2*$J$6+$M$5*$J$7</f>
        <v>34.800710565972501</v>
      </c>
      <c r="V30" s="39">
        <f>$J$3+[40]FormattedData!O70*$J$4+$M$4*$J$5+[40]FormattedData!O70^2*$J$6+$M$5*$J$7</f>
        <v>33.751101975910316</v>
      </c>
      <c r="W30" s="38">
        <f>AVERAGE(K30:V30)</f>
        <v>34.679584091643697</v>
      </c>
      <c r="X30" s="37">
        <f>STDEV(K30:V30)/SQRT(COUNT(K30:V30))</f>
        <v>0.28727567052873515</v>
      </c>
      <c r="Y30" s="36">
        <f>MIN(K30:V30)</f>
        <v>32.600241364880716</v>
      </c>
      <c r="Z30" s="35">
        <f>QUARTILE(K30:V30,1)</f>
        <v>34.252495349906461</v>
      </c>
      <c r="AA30" s="36">
        <f>MEDIAN(K30:V30)</f>
        <v>34.800710565972501</v>
      </c>
      <c r="AB30" s="35">
        <f>QUARTILE(K30:V30,3)</f>
        <v>35.276051235312977</v>
      </c>
      <c r="AC30" s="35">
        <f>MAX(K30:V30)</f>
        <v>36.129179050095509</v>
      </c>
      <c r="AD30" s="35">
        <f>SKEW(K30:V30)</f>
        <v>-0.60140126132768013</v>
      </c>
      <c r="AE30" s="35">
        <f>KURT(K30:V30)</f>
        <v>0.38077602169826097</v>
      </c>
    </row>
    <row r="31" spans="2:31" x14ac:dyDescent="0.2">
      <c r="B31" s="34">
        <f>[40]FormattedData!A72</f>
        <v>306</v>
      </c>
      <c r="C31" s="34" t="str">
        <f>VLOOKUP($B31,[40]TrtCodes!$B$11:I115,2)</f>
        <v>FTL</v>
      </c>
      <c r="D31" s="34">
        <f>VLOOKUP($B31,[40]TrtCodes!$B$11:J115,3)</f>
        <v>4</v>
      </c>
      <c r="E31" s="34">
        <f>VLOOKUP($B31,[40]TrtCodes!$B$11:K115,4)</f>
        <v>1</v>
      </c>
      <c r="F31" s="34">
        <f>VLOOKUP($B31,[40]TrtCodes!$B$11:L115,5)</f>
        <v>2</v>
      </c>
      <c r="G31" s="34">
        <f>VLOOKUP($B31,[40]TrtCodes!$B$11:M115,6)</f>
        <v>1</v>
      </c>
      <c r="H31" s="34">
        <f>VLOOKUP($B31,[40]TrtCodes!$B$11:N115,7)</f>
        <v>4</v>
      </c>
      <c r="I31" s="34">
        <f>[40]FormattedData!B72</f>
        <v>1</v>
      </c>
      <c r="J31" s="37">
        <f>[40]FormattedData!C72</f>
        <v>13.565</v>
      </c>
      <c r="K31" s="39">
        <f>$J$3+[40]FormattedData!D72*$J$4+$M$4*$J$5+[40]FormattedData!D72^2*$J$6+$M$5*$J$7</f>
        <v>54.97631083225351</v>
      </c>
      <c r="L31" s="39">
        <f>$J$3+[40]FormattedData!E72*$J$4+$M$4*$J$5+[40]FormattedData!E72^2*$J$6+$M$5*$J$7</f>
        <v>55.575599465783824</v>
      </c>
      <c r="M31" s="39">
        <f>$J$3+[40]FormattedData!F72*$J$4+$M$4*$J$5+[40]FormattedData!F72^2*$J$6+$M$5*$J$7</f>
        <v>50.107440063100526</v>
      </c>
      <c r="N31" s="39">
        <f>$J$3+[40]FormattedData!G72*$J$4+$M$4*$J$5+[40]FormattedData!G72^2*$J$6+$M$5*$J$7</f>
        <v>57.699008598933894</v>
      </c>
      <c r="O31" s="39">
        <f>$J$3+[40]FormattedData!H72*$J$4+$M$4*$J$5+[40]FormattedData!H72^2*$J$6+$M$5*$J$7</f>
        <v>54.460986387676797</v>
      </c>
      <c r="P31" s="39">
        <f>$J$3+[40]FormattedData!I72*$J$4+$M$4*$J$5+[40]FormattedData!I72^2*$J$6+$M$5*$J$7</f>
        <v>55.319015091212705</v>
      </c>
      <c r="Q31" s="39">
        <f>$J$3+[40]FormattedData!J72*$J$4+$M$4*$J$5+[40]FormattedData!J72^2*$J$6+$M$5*$J$7</f>
        <v>53.771520090117029</v>
      </c>
      <c r="R31" s="39">
        <f>$J$3+[40]FormattedData!K72*$J$4+$M$4*$J$5+[40]FormattedData!K72^2*$J$6+$M$5*$J$7</f>
        <v>57.699008598933894</v>
      </c>
      <c r="S31" s="39">
        <f>$J$3+[40]FormattedData!L72*$J$4+$M$4*$J$5+[40]FormattedData!L72^2*$J$6+$M$5*$J$7</f>
        <v>47.801834658844903</v>
      </c>
      <c r="T31" s="39">
        <f>$J$3+[40]FormattedData!M72*$J$4+$M$4*$J$5+[40]FormattedData!M72^2*$J$6+$M$5*$J$7</f>
        <v>55.575599465783824</v>
      </c>
      <c r="U31" s="39">
        <f>$J$3+[40]FormattedData!N72*$J$4+$M$4*$J$5+[40]FormattedData!N72^2*$J$6+$M$5*$J$7</f>
        <v>50.283610805904274</v>
      </c>
      <c r="V31" s="39">
        <f>$J$3+[40]FormattedData!O72*$J$4+$M$4*$J$5+[40]FormattedData!O72^2*$J$6+$M$5*$J$7</f>
        <v>53.252645088354086</v>
      </c>
      <c r="W31" s="38">
        <f>AVERAGE(K31:V31)</f>
        <v>53.876881595574936</v>
      </c>
      <c r="X31" s="37">
        <f>STDEV(K31:V31)/SQRT(COUNT(K31:V31))</f>
        <v>0.88354279329275287</v>
      </c>
      <c r="Y31" s="36">
        <f>MIN(K31:V31)</f>
        <v>47.801834658844903</v>
      </c>
      <c r="Z31" s="35">
        <f>QUARTILE(K31:V31,1)</f>
        <v>52.510386517741637</v>
      </c>
      <c r="AA31" s="36">
        <f>MEDIAN(K31:V31)</f>
        <v>54.718648609965157</v>
      </c>
      <c r="AB31" s="35">
        <f>QUARTILE(K31:V31,3)</f>
        <v>55.575599465783824</v>
      </c>
      <c r="AC31" s="35">
        <f>MAX(K31:V31)</f>
        <v>57.699008598933894</v>
      </c>
      <c r="AD31" s="35">
        <f>SKEW(K31:V31)</f>
        <v>-0.75488137765721663</v>
      </c>
      <c r="AE31" s="35">
        <f>KURT(K31:V31)</f>
        <v>-0.11850772347199445</v>
      </c>
    </row>
    <row r="32" spans="2:31" x14ac:dyDescent="0.2">
      <c r="B32" s="34">
        <f>[40]FormattedData!A74</f>
        <v>307</v>
      </c>
      <c r="C32" s="34" t="str">
        <f>VLOOKUP($B32,[40]TrtCodes!$B$11:I117,2)</f>
        <v>NTH</v>
      </c>
      <c r="D32" s="34">
        <f>VLOOKUP($B32,[40]TrtCodes!$B$11:J117,3)</f>
        <v>9</v>
      </c>
      <c r="E32" s="34">
        <f>VLOOKUP($B32,[40]TrtCodes!$B$11:K117,4)</f>
        <v>2</v>
      </c>
      <c r="F32" s="34">
        <f>VLOOKUP($B32,[40]TrtCodes!$B$11:L117,5)</f>
        <v>2</v>
      </c>
      <c r="G32" s="34">
        <f>VLOOKUP($B32,[40]TrtCodes!$B$11:M117,6)</f>
        <v>2</v>
      </c>
      <c r="H32" s="34">
        <f>VLOOKUP($B32,[40]TrtCodes!$B$11:N117,7)</f>
        <v>4</v>
      </c>
      <c r="I32" s="34">
        <f>[40]FormattedData!B74</f>
        <v>1</v>
      </c>
      <c r="J32" s="37">
        <f>[40]FormattedData!C74</f>
        <v>13.581</v>
      </c>
      <c r="K32" s="39">
        <f>$J$3+[40]FormattedData!D74*$J$4+$M$4*$J$5+[40]FormattedData!D74^2*$J$6+$M$5*$J$7</f>
        <v>55.831803423513556</v>
      </c>
      <c r="L32" s="39">
        <f>$J$3+[40]FormattedData!E74*$J$4+$M$4*$J$5+[40]FormattedData!E74^2*$J$6+$M$5*$J$7</f>
        <v>53.598730830347762</v>
      </c>
      <c r="M32" s="39">
        <f>$J$3+[40]FormattedData!F74*$J$4+$M$4*$J$5+[40]FormattedData!F74^2*$J$6+$M$5*$J$7</f>
        <v>53.685146594501362</v>
      </c>
      <c r="N32" s="39">
        <f>$J$3+[40]FormattedData!G74*$J$4+$M$4*$J$5+[40]FormattedData!G74^2*$J$6+$M$5*$J$7</f>
        <v>55.746444372808241</v>
      </c>
      <c r="O32" s="39">
        <f>$J$3+[40]FormattedData!H74*$J$4+$M$4*$J$5+[40]FormattedData!H74^2*$J$6+$M$5*$J$7</f>
        <v>51.599502138346139</v>
      </c>
      <c r="P32" s="39">
        <f>$J$3+[40]FormattedData!I74*$J$4+$M$4*$J$5+[40]FormattedData!I74^2*$J$6+$M$5*$J$7</f>
        <v>56.937624645730907</v>
      </c>
      <c r="Q32" s="39">
        <f>$J$3+[40]FormattedData!J74*$J$4+$M$4*$J$5+[40]FormattedData!J74^2*$J$6+$M$5*$J$7</f>
        <v>50.107440063100526</v>
      </c>
      <c r="R32" s="39">
        <f>$J$3+[40]FormattedData!K74*$J$4+$M$4*$J$5+[40]FormattedData!K74^2*$J$6+$M$5*$J$7</f>
        <v>57.191799713639952</v>
      </c>
      <c r="S32" s="39">
        <f>$J$3+[40]FormattedData!L74*$J$4+$M$4*$J$5+[40]FormattedData!L74^2*$J$6+$M$5*$J$7</f>
        <v>46.997083185724563</v>
      </c>
      <c r="T32" s="39">
        <f>$J$3+[40]FormattedData!M74*$J$4+$M$4*$J$5+[40]FormattedData!M74^2*$J$6+$M$5*$J$7</f>
        <v>57.361038416222989</v>
      </c>
      <c r="U32" s="39">
        <f>$J$3+[40]FormattedData!N74*$J$4+$M$4*$J$5+[40]FormattedData!N74^2*$J$6+$M$5*$J$7</f>
        <v>47.1762127261835</v>
      </c>
      <c r="V32" s="39">
        <f>$J$3+[40]FormattedData!O74*$J$4+$M$4*$J$5+[40]FormattedData!O74^2*$J$6+$M$5*$J$7</f>
        <v>52.210330082731659</v>
      </c>
      <c r="W32" s="38">
        <f>AVERAGE(K32:V32)</f>
        <v>53.203596349404258</v>
      </c>
      <c r="X32" s="37">
        <f>STDEV(K32:V32)/SQRT(COUNT(K32:V32))</f>
        <v>1.0620544241405194</v>
      </c>
      <c r="Y32" s="36">
        <f>MIN(K32:V32)</f>
        <v>46.997083185724563</v>
      </c>
      <c r="Z32" s="35">
        <f>QUARTILE(K32:V32,1)</f>
        <v>51.226486619534739</v>
      </c>
      <c r="AA32" s="36">
        <f>MEDIAN(K32:V32)</f>
        <v>53.641938712424562</v>
      </c>
      <c r="AB32" s="35">
        <f>QUARTILE(K32:V32,3)</f>
        <v>56.108258729067892</v>
      </c>
      <c r="AC32" s="35">
        <f>MAX(K32:V32)</f>
        <v>57.361038416222989</v>
      </c>
      <c r="AD32" s="35">
        <f>SKEW(K32:V32)</f>
        <v>-0.5930383224171325</v>
      </c>
      <c r="AE32" s="35">
        <f>KURT(K32:V32)</f>
        <v>-0.81756213789569765</v>
      </c>
    </row>
    <row r="33" spans="2:31" x14ac:dyDescent="0.2">
      <c r="B33" s="34">
        <f>[40]FormattedData!A76</f>
        <v>308</v>
      </c>
      <c r="C33" s="34" t="str">
        <f>VLOOKUP($B33,[40]TrtCodes!$B$11:I119,2)</f>
        <v>FDH</v>
      </c>
      <c r="D33" s="34">
        <f>VLOOKUP($B33,[40]TrtCodes!$B$11:J119,3)</f>
        <v>5</v>
      </c>
      <c r="E33" s="34">
        <f>VLOOKUP($B33,[40]TrtCodes!$B$11:K119,4)</f>
        <v>1</v>
      </c>
      <c r="F33" s="34">
        <f>VLOOKUP($B33,[40]TrtCodes!$B$11:L119,5)</f>
        <v>3</v>
      </c>
      <c r="G33" s="34">
        <f>VLOOKUP($B33,[40]TrtCodes!$B$11:M119,6)</f>
        <v>2</v>
      </c>
      <c r="H33" s="34">
        <f>VLOOKUP($B33,[40]TrtCodes!$B$11:N119,7)</f>
        <v>4</v>
      </c>
      <c r="I33" s="34">
        <f>[40]FormattedData!B76</f>
        <v>1</v>
      </c>
      <c r="J33" s="37">
        <f>[40]FormattedData!C76</f>
        <v>13.597</v>
      </c>
      <c r="K33" s="39">
        <f>$J$3+[40]FormattedData!D76*$J$4+$M$4*$J$5+[40]FormattedData!D76^2*$J$6+$M$5*$J$7</f>
        <v>55.062050299800212</v>
      </c>
      <c r="L33" s="39">
        <f>$J$3+[40]FormattedData!E76*$J$4+$M$4*$J$5+[40]FormattedData!E76^2*$J$6+$M$5*$J$7</f>
        <v>48.514295041039219</v>
      </c>
      <c r="M33" s="39">
        <f>$J$3+[40]FormattedData!F76*$J$4+$M$4*$J$5+[40]FormattedData!F76^2*$J$6+$M$5*$J$7</f>
        <v>45.918755385784806</v>
      </c>
      <c r="N33" s="39">
        <f>$J$3+[40]FormattedData!G76*$J$4+$M$4*$J$5+[40]FormattedData!G76^2*$J$6+$M$5*$J$7</f>
        <v>49.046865049091835</v>
      </c>
      <c r="O33" s="39">
        <f>$J$3+[40]FormattedData!H76*$J$4+$M$4*$J$5+[40]FormattedData!H76^2*$J$6+$M$5*$J$7</f>
        <v>49.666273506677371</v>
      </c>
      <c r="P33" s="39">
        <f>$J$3+[40]FormattedData!I76*$J$4+$M$4*$J$5+[40]FormattedData!I76^2*$J$6+$M$5*$J$7</f>
        <v>54.288873424514435</v>
      </c>
      <c r="Q33" s="39">
        <f>$J$3+[40]FormattedData!J76*$J$4+$M$4*$J$5+[40]FormattedData!J76^2*$J$6+$M$5*$J$7</f>
        <v>48.780770253486217</v>
      </c>
      <c r="R33" s="39">
        <f>$J$3+[40]FormattedData!K76*$J$4+$M$4*$J$5+[40]FormattedData!K76^2*$J$6+$M$5*$J$7</f>
        <v>53.339229926659407</v>
      </c>
      <c r="S33" s="39">
        <f>$J$3+[40]FormattedData!L76*$J$4+$M$4*$J$5+[40]FormattedData!L76^2*$J$6+$M$5*$J$7</f>
        <v>51.249527690862799</v>
      </c>
      <c r="T33" s="39">
        <f>$J$3+[40]FormattedData!M76*$J$4+$M$4*$J$5+[40]FormattedData!M76^2*$J$6+$M$5*$J$7</f>
        <v>50.723297963499839</v>
      </c>
      <c r="U33" s="39">
        <f>$J$3+[40]FormattedData!N76*$J$4+$M$4*$J$5+[40]FormattedData!N76^2*$J$6+$M$5*$J$7</f>
        <v>45.828619990293269</v>
      </c>
      <c r="V33" s="39">
        <f>$J$3+[40]FormattedData!O76*$J$4+$M$4*$J$5+[40]FormattedData!O76^2*$J$6+$M$5*$J$7</f>
        <v>52.12319575343323</v>
      </c>
      <c r="W33" s="38">
        <f>AVERAGE(K33:V33)</f>
        <v>50.378479523761882</v>
      </c>
      <c r="X33" s="37">
        <f>STDEV(K33:V33)/SQRT(COUNT(K33:V33))</f>
        <v>0.86520873461681425</v>
      </c>
      <c r="Y33" s="36">
        <f>MIN(K33:V33)</f>
        <v>45.828619990293269</v>
      </c>
      <c r="Z33" s="35">
        <f>QUARTILE(K33:V33,1)</f>
        <v>48.714151450374466</v>
      </c>
      <c r="AA33" s="36">
        <f>MEDIAN(K33:V33)</f>
        <v>50.194785735088601</v>
      </c>
      <c r="AB33" s="35">
        <f>QUARTILE(K33:V33,3)</f>
        <v>52.427204296739774</v>
      </c>
      <c r="AC33" s="35">
        <f>MAX(K33:V33)</f>
        <v>55.062050299800212</v>
      </c>
      <c r="AD33" s="35">
        <f>SKEW(K33:V33)</f>
        <v>-6.7565205071543274E-3</v>
      </c>
      <c r="AE33" s="35">
        <f>KURT(K33:V33)</f>
        <v>-0.81559000547925464</v>
      </c>
    </row>
    <row r="34" spans="2:31" x14ac:dyDescent="0.2">
      <c r="B34" s="34">
        <f>[40]FormattedData!A92</f>
        <v>401</v>
      </c>
      <c r="C34" s="34" t="str">
        <f>VLOOKUP($B34,[40]TrtCodes!$B$11:I129,2)</f>
        <v>NSH</v>
      </c>
      <c r="D34" s="34">
        <f>VLOOKUP($B34,[40]TrtCodes!$B$11:J129,3)</f>
        <v>7</v>
      </c>
      <c r="E34" s="34">
        <f>VLOOKUP($B34,[40]TrtCodes!$B$11:K129,4)</f>
        <v>2</v>
      </c>
      <c r="F34" s="34">
        <f>VLOOKUP($B34,[40]TrtCodes!$B$11:L129,5)</f>
        <v>1</v>
      </c>
      <c r="G34" s="34">
        <f>VLOOKUP($B34,[40]TrtCodes!$B$11:M129,6)</f>
        <v>2</v>
      </c>
      <c r="H34" s="34">
        <f>VLOOKUP($B34,[40]TrtCodes!$B$11:N129,7)</f>
        <v>3</v>
      </c>
      <c r="I34" s="34">
        <f>[40]FormattedData!B92</f>
        <v>1</v>
      </c>
      <c r="J34" s="37">
        <f>[40]FormattedData!C92</f>
        <v>13.733000000000001</v>
      </c>
      <c r="K34" s="39">
        <f>$J$3+[40]FormattedData!D92*$J$4+$M$4*$J$5+[40]FormattedData!D92^2*$J$6+$M$5*$J$7</f>
        <v>53.771520090117029</v>
      </c>
      <c r="L34" s="39">
        <f>$J$3+[40]FormattedData!E92*$J$4+$M$4*$J$5+[40]FormattedData!E92^2*$J$6+$M$5*$J$7</f>
        <v>55.404585484607672</v>
      </c>
      <c r="M34" s="39">
        <f>$J$3+[40]FormattedData!F92*$J$4+$M$4*$J$5+[40]FormattedData!F92^2*$J$6+$M$5*$J$7</f>
        <v>54.632930276687425</v>
      </c>
      <c r="N34" s="39">
        <f>$J$3+[40]FormattedData!G92*$J$4+$M$4*$J$5+[40]FormattedData!G92^2*$J$6+$M$5*$J$7</f>
        <v>56.257964648971161</v>
      </c>
      <c r="O34" s="39">
        <f>$J$3+[40]FormattedData!H92*$J$4+$M$4*$J$5+[40]FormattedData!H92^2*$J$6+$M$5*$J$7</f>
        <v>54.374951040364586</v>
      </c>
      <c r="P34" s="39">
        <f>$J$3+[40]FormattedData!I92*$J$4+$M$4*$J$5+[40]FormattedData!I92^2*$J$6+$M$5*$J$7</f>
        <v>56.428133259388687</v>
      </c>
      <c r="Q34" s="39">
        <f>$J$3+[40]FormattedData!J92*$J$4+$M$4*$J$5+[40]FormattedData!J92^2*$J$6+$M$5*$J$7</f>
        <v>54.116591387200359</v>
      </c>
      <c r="R34" s="39">
        <f>$J$3+[40]FormattedData!K92*$J$4+$M$4*$J$5+[40]FormattedData!K92^2*$J$6+$M$5*$J$7</f>
        <v>55.319015091212705</v>
      </c>
      <c r="S34" s="39">
        <f>$J$3+[40]FormattedData!L92*$J$4+$M$4*$J$5+[40]FormattedData!L92^2*$J$6+$M$5*$J$7</f>
        <v>55.233402429279806</v>
      </c>
      <c r="T34" s="39">
        <f>$J$3+[40]FormattedData!M92*$J$4+$M$4*$J$5+[40]FormattedData!M92^2*$J$6+$M$5*$J$7</f>
        <v>54.890529096168891</v>
      </c>
      <c r="U34" s="39">
        <f>$J$3+[40]FormattedData!N92*$J$4+$M$4*$J$5+[40]FormattedData!N92^2*$J$6+$M$5*$J$7</f>
        <v>52.12319575343323</v>
      </c>
      <c r="V34" s="39">
        <f>$J$3+[40]FormattedData!O92*$J$4+$M$4*$J$5+[40]FormattedData!O92^2*$J$6+$M$5*$J$7</f>
        <v>55.490113609464714</v>
      </c>
      <c r="W34" s="38">
        <f>AVERAGE(K34:V34)</f>
        <v>54.836911013908029</v>
      </c>
      <c r="X34" s="37">
        <f>STDEV(K34:V34)/SQRT(COUNT(K34:V34))</f>
        <v>0.33671764703296597</v>
      </c>
      <c r="Y34" s="36">
        <f>MIN(K34:V34)</f>
        <v>52.12319575343323</v>
      </c>
      <c r="Z34" s="35">
        <f>QUARTILE(K34:V34,1)</f>
        <v>54.310361127073527</v>
      </c>
      <c r="AA34" s="36">
        <f>MEDIAN(K34:V34)</f>
        <v>55.061965762724348</v>
      </c>
      <c r="AB34" s="35">
        <f>QUARTILE(K34:V34,3)</f>
        <v>55.425967515821931</v>
      </c>
      <c r="AC34" s="35">
        <f>MAX(K34:V34)</f>
        <v>56.428133259388687</v>
      </c>
      <c r="AD34" s="35">
        <f>SKEW(K34:V34)</f>
        <v>-0.97198964439767987</v>
      </c>
      <c r="AE34" s="35">
        <f>KURT(K34:V34)</f>
        <v>1.6437849248449075</v>
      </c>
    </row>
    <row r="35" spans="2:31" x14ac:dyDescent="0.2">
      <c r="B35" s="34">
        <f>[40]FormattedData!A90</f>
        <v>402</v>
      </c>
      <c r="C35" s="34" t="str">
        <f>VLOOKUP($B35,[40]TrtCodes!$B$11:I130,2)</f>
        <v>NTH</v>
      </c>
      <c r="D35" s="34">
        <f>VLOOKUP($B35,[40]TrtCodes!$B$11:J130,3)</f>
        <v>9</v>
      </c>
      <c r="E35" s="34">
        <f>VLOOKUP($B35,[40]TrtCodes!$B$11:K130,4)</f>
        <v>2</v>
      </c>
      <c r="F35" s="34">
        <f>VLOOKUP($B35,[40]TrtCodes!$B$11:L130,5)</f>
        <v>2</v>
      </c>
      <c r="G35" s="34">
        <f>VLOOKUP($B35,[40]TrtCodes!$B$11:M130,6)</f>
        <v>2</v>
      </c>
      <c r="H35" s="34">
        <f>VLOOKUP($B35,[40]TrtCodes!$B$11:N130,7)</f>
        <v>3</v>
      </c>
      <c r="I35" s="34">
        <f>[40]FormattedData!B90</f>
        <v>1</v>
      </c>
      <c r="J35" s="37">
        <f>[40]FormattedData!C90</f>
        <v>13.717000000000001</v>
      </c>
      <c r="K35" s="39">
        <f>$J$3+[40]FormattedData!D90*$J$4+$M$4*$J$5+[40]FormattedData!D90^2*$J$6+$M$5*$J$7</f>
        <v>55.233402429279806</v>
      </c>
      <c r="L35" s="39">
        <f>$J$3+[40]FormattedData!E90*$J$4+$M$4*$J$5+[40]FormattedData!E90^2*$J$6+$M$5*$J$7</f>
        <v>55.233402429279806</v>
      </c>
      <c r="M35" s="39">
        <f>$J$3+[40]FormattedData!F90*$J$4+$M$4*$J$5+[40]FormattedData!F90^2*$J$6+$M$5*$J$7</f>
        <v>53.944140275734554</v>
      </c>
      <c r="N35" s="39">
        <f>$J$3+[40]FormattedData!G90*$J$4+$M$4*$J$5+[40]FormattedData!G90^2*$J$6+$M$5*$J$7</f>
        <v>56.68306916098048</v>
      </c>
      <c r="O35" s="39">
        <f>$J$3+[40]FormattedData!H90*$J$4+$M$4*$J$5+[40]FormattedData!H90^2*$J$6+$M$5*$J$7</f>
        <v>53.598730830347762</v>
      </c>
      <c r="P35" s="39">
        <f>$J$3+[40]FormattedData!I90*$J$4+$M$4*$J$5+[40]FormattedData!I90^2*$J$6+$M$5*$J$7</f>
        <v>55.490113609464714</v>
      </c>
      <c r="Q35" s="39">
        <f>$J$3+[40]FormattedData!J90*$J$4+$M$4*$J$5+[40]FormattedData!J90^2*$J$6+$M$5*$J$7</f>
        <v>47.444590022837396</v>
      </c>
      <c r="R35" s="39">
        <f>$J$3+[40]FormattedData!K90*$J$4+$M$4*$J$5+[40]FormattedData!K90^2*$J$6+$M$5*$J$7</f>
        <v>56.852815086018701</v>
      </c>
      <c r="S35" s="39">
        <f>$J$3+[40]FormattedData!L90*$J$4+$M$4*$J$5+[40]FormattedData!L90^2*$J$6+$M$5*$J$7</f>
        <v>51.161928407647132</v>
      </c>
      <c r="T35" s="39">
        <f>$J$3+[40]FormattedData!M90*$J$4+$M$4*$J$5+[40]FormattedData!M90^2*$J$6+$M$5*$J$7</f>
        <v>55.233402429279806</v>
      </c>
      <c r="U35" s="39">
        <f>$J$3+[40]FormattedData!N90*$J$4+$M$4*$J$5+[40]FormattedData!N90^2*$J$6+$M$5*$J$7</f>
        <v>52.558444714546027</v>
      </c>
      <c r="V35" s="39">
        <f>$J$3+[40]FormattedData!O90*$J$4+$M$4*$J$5+[40]FormattedData!O90^2*$J$6+$M$5*$J$7</f>
        <v>50.635445069056587</v>
      </c>
      <c r="W35" s="38">
        <f>AVERAGE(K35:V35)</f>
        <v>53.672457038706064</v>
      </c>
      <c r="X35" s="37">
        <f>STDEV(K35:V35)/SQRT(COUNT(K35:V35))</f>
        <v>0.80446096990912708</v>
      </c>
      <c r="Y35" s="36">
        <f>MIN(K35:V35)</f>
        <v>47.444590022837396</v>
      </c>
      <c r="Z35" s="35">
        <f>QUARTILE(K35:V35,1)</f>
        <v>52.209315637821305</v>
      </c>
      <c r="AA35" s="36">
        <f>MEDIAN(K35:V35)</f>
        <v>54.58877135250718</v>
      </c>
      <c r="AB35" s="35">
        <f>QUARTILE(K35:V35,3)</f>
        <v>55.297580224326033</v>
      </c>
      <c r="AC35" s="35">
        <f>MAX(K35:V35)</f>
        <v>56.852815086018701</v>
      </c>
      <c r="AD35" s="35">
        <f>SKEW(K35:V35)</f>
        <v>-1.0579827222400735</v>
      </c>
      <c r="AE35" s="35">
        <f>KURT(K35:V35)</f>
        <v>0.78443410665253666</v>
      </c>
    </row>
    <row r="36" spans="2:31" x14ac:dyDescent="0.2">
      <c r="B36" s="34">
        <f>[40]FormattedData!A88</f>
        <v>403</v>
      </c>
      <c r="C36" s="34" t="str">
        <f>VLOOKUP($B36,[40]TrtCodes!$B$11:I131,2)</f>
        <v>FDL</v>
      </c>
      <c r="D36" s="34">
        <f>VLOOKUP($B36,[40]TrtCodes!$B$11:J131,3)</f>
        <v>6</v>
      </c>
      <c r="E36" s="34">
        <f>VLOOKUP($B36,[40]TrtCodes!$B$11:K131,4)</f>
        <v>1</v>
      </c>
      <c r="F36" s="34">
        <f>VLOOKUP($B36,[40]TrtCodes!$B$11:L131,5)</f>
        <v>3</v>
      </c>
      <c r="G36" s="34">
        <f>VLOOKUP($B36,[40]TrtCodes!$B$11:M131,6)</f>
        <v>1</v>
      </c>
      <c r="H36" s="34">
        <f>VLOOKUP($B36,[40]TrtCodes!$B$11:N131,7)</f>
        <v>3</v>
      </c>
      <c r="I36" s="34">
        <f>[40]FormattedData!B88</f>
        <v>1</v>
      </c>
      <c r="J36" s="37">
        <f>[40]FormattedData!C88</f>
        <v>13.701000000000001</v>
      </c>
      <c r="K36" s="39">
        <f>$J$3+[40]FormattedData!D88*$J$4+$M$4*$J$5+[40]FormattedData!D88^2*$J$6+$M$5*$J$7</f>
        <v>54.97631083225351</v>
      </c>
      <c r="L36" s="39">
        <f>$J$3+[40]FormattedData!E88*$J$4+$M$4*$J$5+[40]FormattedData!E88^2*$J$6+$M$5*$J$7</f>
        <v>53.079348606129663</v>
      </c>
      <c r="M36" s="39">
        <f>$J$3+[40]FormattedData!F88*$J$4+$M$4*$J$5+[40]FormattedData!F88^2*$J$6+$M$5*$J$7</f>
        <v>50.898876946772553</v>
      </c>
      <c r="N36" s="39">
        <f>$J$3+[40]FormattedData!G88*$J$4+$M$4*$J$5+[40]FormattedData!G88^2*$J$6+$M$5*$J$7</f>
        <v>54.890529096168891</v>
      </c>
      <c r="O36" s="39">
        <f>$J$3+[40]FormattedData!H88*$J$4+$M$4*$J$5+[40]FormattedData!H88^2*$J$6+$M$5*$J$7</f>
        <v>46.00884851273841</v>
      </c>
      <c r="P36" s="39">
        <f>$J$3+[40]FormattedData!I88*$J$4+$M$4*$J$5+[40]FormattedData!I88^2*$J$6+$M$5*$J$7</f>
        <v>56.68306916098048</v>
      </c>
      <c r="Q36" s="39">
        <f>$J$3+[40]FormattedData!J88*$J$4+$M$4*$J$5+[40]FormattedData!J88^2*$J$6+$M$5*$J$7</f>
        <v>47.355173192490696</v>
      </c>
      <c r="R36" s="39">
        <f>$J$3+[40]FormattedData!K88*$J$4+$M$4*$J$5+[40]FormattedData!K88^2*$J$6+$M$5*$J$7</f>
        <v>56.172816940955499</v>
      </c>
      <c r="S36" s="39">
        <f>$J$3+[40]FormattedData!L88*$J$4+$M$4*$J$5+[40]FormattedData!L88^2*$J$6+$M$5*$J$7</f>
        <v>50.195546568771363</v>
      </c>
      <c r="T36" s="39">
        <f>$J$3+[40]FormattedData!M88*$J$4+$M$4*$J$5+[40]FormattedData!M88^2*$J$6+$M$5*$J$7</f>
        <v>54.374951040364586</v>
      </c>
      <c r="U36" s="39">
        <f>$J$3+[40]FormattedData!N88*$J$4+$M$4*$J$5+[40]FormattedData!N88^2*$J$6+$M$5*$J$7</f>
        <v>48.33643355671822</v>
      </c>
      <c r="V36" s="39">
        <f>$J$3+[40]FormattedData!O88*$J$4+$M$4*$J$5+[40]FormattedData!O88^2*$J$6+$M$5*$J$7</f>
        <v>55.233402429279806</v>
      </c>
      <c r="W36" s="38">
        <f>AVERAGE(K36:V36)</f>
        <v>52.35044224030198</v>
      </c>
      <c r="X36" s="37">
        <f>STDEV(K36:V36)/SQRT(COUNT(K36:V36))</f>
        <v>1.0578073306565499</v>
      </c>
      <c r="Y36" s="36">
        <f>MIN(K36:V36)</f>
        <v>46.00884851273841</v>
      </c>
      <c r="Z36" s="35">
        <f>QUARTILE(K36:V36,1)</f>
        <v>49.730768315758077</v>
      </c>
      <c r="AA36" s="36">
        <f>MEDIAN(K36:V36)</f>
        <v>53.727149823247125</v>
      </c>
      <c r="AB36" s="35">
        <f>QUARTILE(K36:V36,3)</f>
        <v>55.040583731510083</v>
      </c>
      <c r="AC36" s="35">
        <f>MAX(K36:V36)</f>
        <v>56.68306916098048</v>
      </c>
      <c r="AD36" s="35">
        <f>SKEW(K36:V36)</f>
        <v>-0.56116041458423727</v>
      </c>
      <c r="AE36" s="35">
        <f>KURT(K36:V36)</f>
        <v>-1.178278944157229</v>
      </c>
    </row>
    <row r="37" spans="2:31" x14ac:dyDescent="0.2">
      <c r="B37" s="34">
        <f>[40]FormattedData!A86</f>
        <v>404</v>
      </c>
      <c r="C37" s="34" t="str">
        <f>VLOOKUP($B37,[40]TrtCodes!$B$11:I129,2)</f>
        <v>FTH</v>
      </c>
      <c r="D37" s="34">
        <f>VLOOKUP($B37,[40]TrtCodes!$B$11:J129,3)</f>
        <v>3</v>
      </c>
      <c r="E37" s="34">
        <f>VLOOKUP($B37,[40]TrtCodes!$B$11:K129,4)</f>
        <v>1</v>
      </c>
      <c r="F37" s="34">
        <f>VLOOKUP($B37,[40]TrtCodes!$B$11:L129,5)</f>
        <v>2</v>
      </c>
      <c r="G37" s="34">
        <f>VLOOKUP($B37,[40]TrtCodes!$B$11:M129,6)</f>
        <v>2</v>
      </c>
      <c r="H37" s="34">
        <f>VLOOKUP($B37,[40]TrtCodes!$B$11:N129,7)</f>
        <v>3</v>
      </c>
      <c r="I37" s="34">
        <f>[40]FormattedData!B86</f>
        <v>1</v>
      </c>
      <c r="J37" s="37">
        <f>[40]FormattedData!C86</f>
        <v>13.685</v>
      </c>
      <c r="K37" s="39">
        <f>$J$3+[40]FormattedData!D86*$J$4+$M$4*$J$5+[40]FormattedData!D86^2*$J$6+$M$5*$J$7</f>
        <v>54.804705091546339</v>
      </c>
      <c r="L37" s="39">
        <f>$J$3+[40]FormattedData!E86*$J$4+$M$4*$J$5+[40]FormattedData!E86^2*$J$6+$M$5*$J$7</f>
        <v>52.732248419225627</v>
      </c>
      <c r="M37" s="39">
        <f>$J$3+[40]FormattedData!F86*$J$4+$M$4*$J$5+[40]FormattedData!F86^2*$J$6+$M$5*$J$7</f>
        <v>49.577913389778942</v>
      </c>
      <c r="N37" s="39">
        <f>$J$3+[40]FormattedData!G86*$J$4+$M$4*$J$5+[40]FormattedData!G86^2*$J$6+$M$5*$J$7</f>
        <v>56.428133259388687</v>
      </c>
      <c r="O37" s="39">
        <f>$J$3+[40]FormattedData!H86*$J$4+$M$4*$J$5+[40]FormattedData!H86^2*$J$6+$M$5*$J$7</f>
        <v>50.547549906075403</v>
      </c>
      <c r="P37" s="39">
        <f>$J$3+[40]FormattedData!I86*$J$4+$M$4*$J$5+[40]FormattedData!I86^2*$J$6+$M$5*$J$7</f>
        <v>55.917120205680945</v>
      </c>
      <c r="Q37" s="39">
        <f>$J$3+[40]FormattedData!J86*$J$4+$M$4*$J$5+[40]FormattedData!J86^2*$J$6+$M$5*$J$7</f>
        <v>51.512071929282207</v>
      </c>
      <c r="R37" s="39">
        <f>$J$3+[40]FormattedData!K86*$J$4+$M$4*$J$5+[40]FormattedData!K86^2*$J$6+$M$5*$J$7</f>
        <v>54.632930276687425</v>
      </c>
      <c r="S37" s="39">
        <f>$J$3+[40]FormattedData!L86*$J$4+$M$4*$J$5+[40]FormattedData!L86^2*$J$6+$M$5*$J$7</f>
        <v>50.986603035602009</v>
      </c>
      <c r="T37" s="39">
        <f>$J$3+[40]FormattedData!M86*$J$4+$M$4*$J$5+[40]FormattedData!M86^2*$J$6+$M$5*$J$7</f>
        <v>54.030386965736412</v>
      </c>
      <c r="U37" s="39">
        <f>$J$3+[40]FormattedData!N86*$J$4+$M$4*$J$5+[40]FormattedData!N86^2*$J$6+$M$5*$J$7</f>
        <v>54.202753540126366</v>
      </c>
      <c r="V37" s="39">
        <f>$J$3+[40]FormattedData!O86*$J$4+$M$4*$J$5+[40]FormattedData!O86^2*$J$6+$M$5*$J$7</f>
        <v>53.685146594501362</v>
      </c>
      <c r="W37" s="38">
        <f>AVERAGE(K37:V37)</f>
        <v>53.254796884469322</v>
      </c>
      <c r="X37" s="37">
        <f>STDEV(K37:V37)/SQRT(COUNT(K37:V37))</f>
        <v>0.63034603243343412</v>
      </c>
      <c r="Y37" s="36">
        <f>MIN(K37:V37)</f>
        <v>49.577913389778942</v>
      </c>
      <c r="Z37" s="35">
        <f>QUARTILE(K37:V37,1)</f>
        <v>51.380704705862158</v>
      </c>
      <c r="AA37" s="36">
        <f>MEDIAN(K37:V37)</f>
        <v>53.857766780118887</v>
      </c>
      <c r="AB37" s="35">
        <f>QUARTILE(K37:V37,3)</f>
        <v>54.675873980402152</v>
      </c>
      <c r="AC37" s="35">
        <f>MAX(K37:V37)</f>
        <v>56.428133259388687</v>
      </c>
      <c r="AD37" s="35">
        <f>SKEW(K37:V37)</f>
        <v>-0.29434073331938998</v>
      </c>
      <c r="AE37" s="35">
        <f>KURT(K37:V37)</f>
        <v>-1.0218042686669584</v>
      </c>
    </row>
    <row r="38" spans="2:31" x14ac:dyDescent="0.2">
      <c r="B38" s="34">
        <f>[40]FormattedData!A84</f>
        <v>405</v>
      </c>
      <c r="C38" s="34" t="str">
        <f>VLOOKUP($B38,[40]TrtCodes!$B$11:I127,2)</f>
        <v>FDL</v>
      </c>
      <c r="D38" s="34">
        <f>VLOOKUP($B38,[40]TrtCodes!$B$11:J127,3)</f>
        <v>6</v>
      </c>
      <c r="E38" s="34">
        <f>VLOOKUP($B38,[40]TrtCodes!$B$11:K127,4)</f>
        <v>1</v>
      </c>
      <c r="F38" s="34">
        <f>VLOOKUP($B38,[40]TrtCodes!$B$11:L127,5)</f>
        <v>3</v>
      </c>
      <c r="G38" s="34">
        <f>VLOOKUP($B38,[40]TrtCodes!$B$11:M127,6)</f>
        <v>1</v>
      </c>
      <c r="H38" s="34">
        <f>VLOOKUP($B38,[40]TrtCodes!$B$11:N127,7)</f>
        <v>4</v>
      </c>
      <c r="I38" s="34">
        <f>[40]FormattedData!B84</f>
        <v>1</v>
      </c>
      <c r="J38" s="37">
        <f>[40]FormattedData!C84</f>
        <v>13.669</v>
      </c>
      <c r="K38" s="39">
        <f>$J$3+[40]FormattedData!D84*$J$4+$M$4*$J$5+[40]FormattedData!D84^2*$J$6+$M$5*$J$7</f>
        <v>54.374951040364586</v>
      </c>
      <c r="L38" s="39">
        <f>$J$3+[40]FormattedData!E84*$J$4+$M$4*$J$5+[40]FormattedData!E84^2*$J$6+$M$5*$J$7</f>
        <v>48.069324316202255</v>
      </c>
      <c r="M38" s="39">
        <f>$J$3+[40]FormattedData!F84*$J$4+$M$4*$J$5+[40]FormattedData!F84^2*$J$6+$M$5*$J$7</f>
        <v>51.424599451680329</v>
      </c>
      <c r="N38" s="39">
        <f>$J$3+[40]FormattedData!G84*$J$4+$M$4*$J$5+[40]FormattedData!G84^2*$J$6+$M$5*$J$7</f>
        <v>52.471479459399326</v>
      </c>
      <c r="O38" s="39">
        <f>$J$3+[40]FormattedData!H84*$J$4+$M$4*$J$5+[40]FormattedData!H84^2*$J$6+$M$5*$J$7</f>
        <v>51.948800289222589</v>
      </c>
      <c r="P38" s="39">
        <f>$J$3+[40]FormattedData!I84*$J$4+$M$4*$J$5+[40]FormattedData!I84^2*$J$6+$M$5*$J$7</f>
        <v>50.107440063100526</v>
      </c>
      <c r="Q38" s="39">
        <f>$J$3+[40]FormattedData!J84*$J$4+$M$4*$J$5+[40]FormattedData!J84^2*$J$6+$M$5*$J$7</f>
        <v>51.512071929282207</v>
      </c>
      <c r="R38" s="39">
        <f>$J$3+[40]FormattedData!K84*$J$4+$M$4*$J$5+[40]FormattedData!K84^2*$J$6+$M$5*$J$7</f>
        <v>54.202753540126366</v>
      </c>
      <c r="S38" s="39">
        <f>$J$3+[40]FormattedData!L84*$J$4+$M$4*$J$5+[40]FormattedData!L84^2*$J$6+$M$5*$J$7</f>
        <v>50.811108589405166</v>
      </c>
      <c r="T38" s="39">
        <f>$J$3+[40]FormattedData!M84*$J$4+$M$4*$J$5+[40]FormattedData!M84^2*$J$6+$M$5*$J$7</f>
        <v>50.635445069056587</v>
      </c>
      <c r="U38" s="39">
        <f>$J$3+[40]FormattedData!N84*$J$4+$M$4*$J$5+[40]FormattedData!N84^2*$J$6+$M$5*$J$7</f>
        <v>50.635445069056587</v>
      </c>
      <c r="V38" s="39">
        <f>$J$3+[40]FormattedData!O84*$J$4+$M$4*$J$5+[40]FormattedData!O84^2*$J$6+$M$5*$J$7</f>
        <v>49.577913389778942</v>
      </c>
      <c r="W38" s="38">
        <f>AVERAGE(K38:V38)</f>
        <v>51.314277683889621</v>
      </c>
      <c r="X38" s="37">
        <f>STDEV(K38:V38)/SQRT(COUNT(K38:V38))</f>
        <v>0.51990667466605001</v>
      </c>
      <c r="Y38" s="36">
        <f>MIN(K38:V38)</f>
        <v>48.069324316202255</v>
      </c>
      <c r="Z38" s="35">
        <f>QUARTILE(K38:V38,1)</f>
        <v>50.503443817567572</v>
      </c>
      <c r="AA38" s="36">
        <f>MEDIAN(K38:V38)</f>
        <v>51.117854020542751</v>
      </c>
      <c r="AB38" s="35">
        <f>QUARTILE(K38:V38,3)</f>
        <v>52.079470081766772</v>
      </c>
      <c r="AC38" s="35">
        <f>MAX(K38:V38)</f>
        <v>54.374951040364586</v>
      </c>
      <c r="AD38" s="35">
        <f>SKEW(K38:V38)</f>
        <v>0.23661728000962307</v>
      </c>
      <c r="AE38" s="35">
        <f>KURT(K38:V38)</f>
        <v>0.18864087293440335</v>
      </c>
    </row>
    <row r="39" spans="2:31" x14ac:dyDescent="0.2">
      <c r="B39" s="34">
        <f>[40]FormattedData!A82</f>
        <v>406</v>
      </c>
      <c r="C39" s="34" t="str">
        <f>VLOOKUP($B39,[40]TrtCodes!$B$11:I125,2)</f>
        <v>FTH</v>
      </c>
      <c r="D39" s="34">
        <f>VLOOKUP($B39,[40]TrtCodes!$B$11:J125,3)</f>
        <v>3</v>
      </c>
      <c r="E39" s="34">
        <f>VLOOKUP($B39,[40]TrtCodes!$B$11:K125,4)</f>
        <v>1</v>
      </c>
      <c r="F39" s="34">
        <f>VLOOKUP($B39,[40]TrtCodes!$B$11:L125,5)</f>
        <v>2</v>
      </c>
      <c r="G39" s="34">
        <f>VLOOKUP($B39,[40]TrtCodes!$B$11:M125,6)</f>
        <v>2</v>
      </c>
      <c r="H39" s="34">
        <f>VLOOKUP($B39,[40]TrtCodes!$B$11:N125,7)</f>
        <v>4</v>
      </c>
      <c r="I39" s="34">
        <f>[40]FormattedData!B82</f>
        <v>1</v>
      </c>
      <c r="J39" s="37">
        <f>[40]FormattedData!C82</f>
        <v>13.651999999999999</v>
      </c>
      <c r="K39" s="39">
        <f>$J$3+[40]FormattedData!D82*$J$4+$M$4*$J$5+[40]FormattedData!D82^2*$J$6+$M$5*$J$7</f>
        <v>54.718838818385848</v>
      </c>
      <c r="L39" s="39">
        <f>$J$3+[40]FormattedData!E82*$J$4+$M$4*$J$5+[40]FormattedData!E82^2*$J$6+$M$5*$J$7</f>
        <v>55.233402429279806</v>
      </c>
      <c r="M39" s="39">
        <f>$J$3+[40]FormattedData!F82*$J$4+$M$4*$J$5+[40]FormattedData!F82^2*$J$6+$M$5*$J$7</f>
        <v>54.374951040364586</v>
      </c>
      <c r="N39" s="39">
        <f>$J$3+[40]FormattedData!G82*$J$4+$M$4*$J$5+[40]FormattedData!G82^2*$J$6+$M$5*$J$7</f>
        <v>54.632930276687425</v>
      </c>
      <c r="O39" s="39">
        <f>$J$3+[40]FormattedData!H82*$J$4+$M$4*$J$5+[40]FormattedData!H82^2*$J$6+$M$5*$J$7</f>
        <v>49.312579427856079</v>
      </c>
      <c r="P39" s="39">
        <f>$J$3+[40]FormattedData!I82*$J$4+$M$4*$J$5+[40]FormattedData!I82^2*$J$6+$M$5*$J$7</f>
        <v>54.288873424514435</v>
      </c>
      <c r="Q39" s="39">
        <f>$J$3+[40]FormattedData!J82*$J$4+$M$4*$J$5+[40]FormattedData!J82^2*$J$6+$M$5*$J$7</f>
        <v>48.158402998245506</v>
      </c>
      <c r="R39" s="39">
        <f>$J$3+[40]FormattedData!K82*$J$4+$M$4*$J$5+[40]FormattedData!K82^2*$J$6+$M$5*$J$7</f>
        <v>55.233402429279806</v>
      </c>
      <c r="S39" s="39">
        <f>$J$3+[40]FormattedData!L82*$J$4+$M$4*$J$5+[40]FormattedData!L82^2*$J$6+$M$5*$J$7</f>
        <v>51.774235750860235</v>
      </c>
      <c r="T39" s="39">
        <f>$J$3+[40]FormattedData!M82*$J$4+$M$4*$J$5+[40]FormattedData!M82^2*$J$6+$M$5*$J$7</f>
        <v>52.732248419225627</v>
      </c>
      <c r="U39" s="39">
        <f>$J$3+[40]FormattedData!N82*$J$4+$M$4*$J$5+[40]FormattedData!N82^2*$J$6+$M$5*$J$7</f>
        <v>52.036019155596875</v>
      </c>
      <c r="V39" s="39">
        <f>$J$3+[40]FormattedData!O82*$J$4+$M$4*$J$5+[40]FormattedData!O82^2*$J$6+$M$5*$J$7</f>
        <v>51.599502138346139</v>
      </c>
      <c r="W39" s="38">
        <f>AVERAGE(K39:V39)</f>
        <v>52.841282192386863</v>
      </c>
      <c r="X39" s="37">
        <f>STDEV(K39:V39)/SQRT(COUNT(K39:V39))</f>
        <v>0.67616008161693608</v>
      </c>
      <c r="Y39" s="36">
        <f>MIN(K39:V39)</f>
        <v>48.158402998245506</v>
      </c>
      <c r="Z39" s="35">
        <f>QUARTILE(K39:V39,1)</f>
        <v>51.73055234773171</v>
      </c>
      <c r="AA39" s="36">
        <f>MEDIAN(K39:V39)</f>
        <v>53.510560921870031</v>
      </c>
      <c r="AB39" s="35">
        <f>QUARTILE(K39:V39,3)</f>
        <v>54.654407412112029</v>
      </c>
      <c r="AC39" s="35">
        <f>MAX(K39:V39)</f>
        <v>55.233402429279806</v>
      </c>
      <c r="AD39" s="35">
        <f>SKEW(K39:V39)</f>
        <v>-0.8820038744184997</v>
      </c>
      <c r="AE39" s="35">
        <f>KURT(K39:V39)</f>
        <v>-0.16885031322484867</v>
      </c>
    </row>
    <row r="40" spans="2:31" x14ac:dyDescent="0.2">
      <c r="B40" s="34">
        <f>[40]FormattedData!A80</f>
        <v>407</v>
      </c>
      <c r="C40" s="34" t="str">
        <f>VLOOKUP($B40,[40]TrtCodes!$B$11:I123,2)</f>
        <v>NSH</v>
      </c>
      <c r="D40" s="34">
        <f>VLOOKUP($B40,[40]TrtCodes!$B$11:J123,3)</f>
        <v>7</v>
      </c>
      <c r="E40" s="34">
        <f>VLOOKUP($B40,[40]TrtCodes!$B$11:K123,4)</f>
        <v>2</v>
      </c>
      <c r="F40" s="34">
        <f>VLOOKUP($B40,[40]TrtCodes!$B$11:L123,5)</f>
        <v>1</v>
      </c>
      <c r="G40" s="34">
        <f>VLOOKUP($B40,[40]TrtCodes!$B$11:M123,6)</f>
        <v>2</v>
      </c>
      <c r="H40" s="34">
        <f>VLOOKUP($B40,[40]TrtCodes!$B$11:N123,7)</f>
        <v>4</v>
      </c>
      <c r="I40" s="34">
        <f>[40]FormattedData!B80</f>
        <v>1</v>
      </c>
      <c r="J40" s="37">
        <f>[40]FormattedData!C80</f>
        <v>13.635</v>
      </c>
      <c r="K40" s="39">
        <f>$J$3+[40]FormattedData!D80*$J$4+$M$4*$J$5+[40]FormattedData!D80^2*$J$6+$M$5*$J$7</f>
        <v>54.202753540126366</v>
      </c>
      <c r="L40" s="39">
        <f>$J$3+[40]FormattedData!E80*$J$4+$M$4*$J$5+[40]FormattedData!E80^2*$J$6+$M$5*$J$7</f>
        <v>54.460986387676797</v>
      </c>
      <c r="M40" s="39">
        <f>$J$3+[40]FormattedData!F80*$J$4+$M$4*$J$5+[40]FormattedData!F80^2*$J$6+$M$5*$J$7</f>
        <v>54.202753540126366</v>
      </c>
      <c r="N40" s="39">
        <f>$J$3+[40]FormattedData!G80*$J$4+$M$4*$J$5+[40]FormattedData!G80^2*$J$6+$M$5*$J$7</f>
        <v>55.661043053565002</v>
      </c>
      <c r="O40" s="39">
        <f>$J$3+[40]FormattedData!H80*$J$4+$M$4*$J$5+[40]FormattedData!H80^2*$J$6+$M$5*$J$7</f>
        <v>52.471479459399326</v>
      </c>
      <c r="P40" s="39">
        <f>$J$3+[40]FormattedData!I80*$J$4+$M$4*$J$5+[40]FormattedData!I80^2*$J$6+$M$5*$J$7</f>
        <v>55.404585484607672</v>
      </c>
      <c r="Q40" s="39">
        <f>$J$3+[40]FormattedData!J80*$J$4+$M$4*$J$5+[40]FormattedData!J80^2*$J$6+$M$5*$J$7</f>
        <v>55.319015091212705</v>
      </c>
      <c r="R40" s="39">
        <f>$J$3+[40]FormattedData!K80*$J$4+$M$4*$J$5+[40]FormattedData!K80^2*$J$6+$M$5*$J$7</f>
        <v>55.147747498808975</v>
      </c>
      <c r="S40" s="39">
        <f>$J$3+[40]FormattedData!L80*$J$4+$M$4*$J$5+[40]FormattedData!L80^2*$J$6+$M$5*$J$7</f>
        <v>51.948800289222589</v>
      </c>
      <c r="T40" s="39">
        <f>$J$3+[40]FormattedData!M80*$J$4+$M$4*$J$5+[40]FormattedData!M80^2*$J$6+$M$5*$J$7</f>
        <v>55.404585484607672</v>
      </c>
      <c r="U40" s="39">
        <f>$J$3+[40]FormattedData!N80*$J$4+$M$4*$J$5+[40]FormattedData!N80^2*$J$6+$M$5*$J$7</f>
        <v>53.425772496426788</v>
      </c>
      <c r="V40" s="39">
        <f>$J$3+[40]FormattedData!O80*$J$4+$M$4*$J$5+[40]FormattedData!O80^2*$J$6+$M$5*$J$7</f>
        <v>54.97631083225351</v>
      </c>
      <c r="W40" s="38">
        <f>AVERAGE(K40:V40)</f>
        <v>54.38548609650281</v>
      </c>
      <c r="X40" s="37">
        <f>STDEV(K40:V40)/SQRT(COUNT(K40:V40))</f>
        <v>0.34924330937498099</v>
      </c>
      <c r="Y40" s="36">
        <f>MIN(K40:V40)</f>
        <v>51.948800289222589</v>
      </c>
      <c r="Z40" s="35">
        <f>QUARTILE(K40:V40,1)</f>
        <v>54.008508279201472</v>
      </c>
      <c r="AA40" s="36">
        <f>MEDIAN(K40:V40)</f>
        <v>54.718648609965157</v>
      </c>
      <c r="AB40" s="35">
        <f>QUARTILE(K40:V40,3)</f>
        <v>55.340407689561445</v>
      </c>
      <c r="AC40" s="35">
        <f>MAX(K40:V40)</f>
        <v>55.661043053565002</v>
      </c>
      <c r="AD40" s="35">
        <f>SKEW(K40:V40)</f>
        <v>-1.0300940742113274</v>
      </c>
      <c r="AE40" s="35">
        <f>KURT(K40:V40)</f>
        <v>5.251136109280452E-2</v>
      </c>
    </row>
    <row r="41" spans="2:31" x14ac:dyDescent="0.2">
      <c r="B41" s="34">
        <f>[40]FormattedData!A78</f>
        <v>408</v>
      </c>
      <c r="C41" s="34" t="str">
        <f>VLOOKUP($B41,[40]TrtCodes!$B$11:I121,2)</f>
        <v>NTL</v>
      </c>
      <c r="D41" s="34">
        <f>VLOOKUP($B41,[40]TrtCodes!$B$11:J121,3)</f>
        <v>10</v>
      </c>
      <c r="E41" s="34">
        <f>VLOOKUP($B41,[40]TrtCodes!$B$11:K121,4)</f>
        <v>2</v>
      </c>
      <c r="F41" s="34">
        <f>VLOOKUP($B41,[40]TrtCodes!$B$11:L121,5)</f>
        <v>2</v>
      </c>
      <c r="G41" s="34">
        <f>VLOOKUP($B41,[40]TrtCodes!$B$11:M121,6)</f>
        <v>1</v>
      </c>
      <c r="H41" s="34">
        <f>VLOOKUP($B41,[40]TrtCodes!$B$11:N121,7)</f>
        <v>4</v>
      </c>
      <c r="I41" s="34">
        <f>[40]FormattedData!B78</f>
        <v>1</v>
      </c>
      <c r="J41" s="37">
        <f>[40]FormattedData!C78</f>
        <v>13.618</v>
      </c>
      <c r="K41" s="39">
        <f>$J$3+[40]FormattedData!D78*$J$4+$M$4*$J$5+[40]FormattedData!D78^2*$J$6+$M$5*$J$7</f>
        <v>56.767963257768564</v>
      </c>
      <c r="L41" s="39">
        <f>$J$3+[40]FormattedData!E78*$J$4+$M$4*$J$5+[40]FormattedData!E78^2*$J$6+$M$5*$J$7</f>
        <v>50.547549906075403</v>
      </c>
      <c r="M41" s="39">
        <f>$J$3+[40]FormattedData!F78*$J$4+$M$4*$J$5+[40]FormattedData!F78^2*$J$6+$M$5*$J$7</f>
        <v>52.036019155596875</v>
      </c>
      <c r="N41" s="39">
        <f>$J$3+[40]FormattedData!G78*$J$4+$M$4*$J$5+[40]FormattedData!G78^2*$J$6+$M$5*$J$7</f>
        <v>56.172816940955499</v>
      </c>
      <c r="O41" s="39">
        <f>$J$3+[40]FormattedData!H78*$J$4+$M$4*$J$5+[40]FormattedData!H78^2*$J$6+$M$5*$J$7</f>
        <v>54.97631083225351</v>
      </c>
      <c r="P41" s="39">
        <f>$J$3+[40]FormattedData!I78*$J$4+$M$4*$J$5+[40]FormattedData!I78^2*$J$6+$M$5*$J$7</f>
        <v>55.917120205680945</v>
      </c>
      <c r="Q41" s="39">
        <f>$J$3+[40]FormattedData!J78*$J$4+$M$4*$J$5+[40]FormattedData!J78^2*$J$6+$M$5*$J$7</f>
        <v>49.842866934860425</v>
      </c>
      <c r="R41" s="39">
        <f>$J$3+[40]FormattedData!K78*$J$4+$M$4*$J$5+[40]FormattedData!K78^2*$J$6+$M$5*$J$7</f>
        <v>56.428133259388687</v>
      </c>
      <c r="S41" s="39">
        <f>$J$3+[40]FormattedData!L78*$J$4+$M$4*$J$5+[40]FormattedData!L78^2*$J$6+$M$5*$J$7</f>
        <v>50.723297963499839</v>
      </c>
      <c r="T41" s="39">
        <f>$J$3+[40]FormattedData!M78*$J$4+$M$4*$J$5+[40]FormattedData!M78^2*$J$6+$M$5*$J$7</f>
        <v>56.852815086018701</v>
      </c>
      <c r="U41" s="39">
        <f>$J$3+[40]FormattedData!N78*$J$4+$M$4*$J$5+[40]FormattedData!N78^2*$J$6+$M$5*$J$7</f>
        <v>52.645367701154797</v>
      </c>
      <c r="V41" s="39">
        <f>$J$3+[40]FormattedData!O78*$J$4+$M$4*$J$5+[40]FormattedData!O78^2*$J$6+$M$5*$J$7</f>
        <v>52.471479459399326</v>
      </c>
      <c r="W41" s="38">
        <f>AVERAGE(K41:V41)</f>
        <v>53.781811725221047</v>
      </c>
      <c r="X41" s="37">
        <f>STDEV(K41:V41)/SQRT(COUNT(K41:V41))</f>
        <v>0.7708759579423915</v>
      </c>
      <c r="Y41" s="36">
        <f>MIN(K41:V41)</f>
        <v>49.842866934860425</v>
      </c>
      <c r="Z41" s="35">
        <f>QUARTILE(K41:V41,1)</f>
        <v>51.707838857572618</v>
      </c>
      <c r="AA41" s="36">
        <f>MEDIAN(K41:V41)</f>
        <v>53.81083926670415</v>
      </c>
      <c r="AB41" s="35">
        <f>QUARTILE(K41:V41,3)</f>
        <v>56.236646020563796</v>
      </c>
      <c r="AC41" s="35">
        <f>MAX(K41:V41)</f>
        <v>56.852815086018701</v>
      </c>
      <c r="AD41" s="35">
        <f>SKEW(K41:V41)</f>
        <v>-0.19112695236126379</v>
      </c>
      <c r="AE41" s="35">
        <f>KURT(K41:V41)</f>
        <v>-1.7880689423823939</v>
      </c>
    </row>
    <row r="42" spans="2:31" x14ac:dyDescent="0.2">
      <c r="B42" s="50">
        <f>[40]FormattedData!A60</f>
        <v>901</v>
      </c>
      <c r="C42" s="50" t="str">
        <f>VLOOKUP($B42,[40]TrtCodes!$B$11:I103,2)</f>
        <v>WS</v>
      </c>
      <c r="D42" s="50">
        <f>VLOOKUP($B42,[40]TrtCodes!$B$11:J103,3)</f>
        <v>32</v>
      </c>
      <c r="E42" s="50">
        <f>VLOOKUP($B42,[40]TrtCodes!$B$11:K103,4)</f>
        <v>9</v>
      </c>
      <c r="F42" s="50">
        <f>VLOOKUP($B42,[40]TrtCodes!$B$11:L103,5)</f>
        <v>0</v>
      </c>
      <c r="G42" s="50">
        <f>VLOOKUP($B42,[40]TrtCodes!$B$11:M103,6)</f>
        <v>1</v>
      </c>
      <c r="H42" s="50">
        <f>VLOOKUP($B42,[40]TrtCodes!$B$11:N103,7)</f>
        <v>1</v>
      </c>
      <c r="I42" s="50">
        <f>[40]FormattedData!B60</f>
        <v>1</v>
      </c>
      <c r="J42" s="48">
        <f>[40]FormattedData!C60</f>
        <v>13.471</v>
      </c>
      <c r="K42" s="47">
        <f>$J$3+[40]FormattedData!D60*$J$4+$M$4*$J$5+[40]FormattedData!D60^2*$J$6+$M$5*$J$7</f>
        <v>35.086079814874722</v>
      </c>
      <c r="L42" s="47">
        <f>$J$3+[40]FormattedData!E60*$J$4+$M$4*$J$5+[40]FormattedData!E60^2*$J$6+$M$5*$J$7</f>
        <v>34.990999000445242</v>
      </c>
      <c r="M42" s="47">
        <f>$J$3+[40]FormattedData!F60*$J$4+$M$4*$J$5+[40]FormattedData!F60^2*$J$6+$M$5*$J$7</f>
        <v>34.990999000445242</v>
      </c>
      <c r="N42" s="47">
        <f>$J$3+[40]FormattedData!G60*$J$4+$M$4*$J$5+[40]FormattedData!G60^2*$J$6+$M$5*$J$7</f>
        <v>34.705502945929226</v>
      </c>
      <c r="O42" s="47">
        <f>$J$3+[40]FormattedData!H60*$J$4+$M$4*$J$5+[40]FormattedData!H60^2*$J$6+$M$5*$J$7</f>
        <v>34.324249780376839</v>
      </c>
      <c r="P42" s="47">
        <f>$J$3+[40]FormattedData!I60*$J$4+$M$4*$J$5+[40]FormattedData!I60^2*$J$6+$M$5*$J$7</f>
        <v>33.846732281332905</v>
      </c>
      <c r="Q42" s="47">
        <f>$J$3+[40]FormattedData!J60*$J$4+$M$4*$J$5+[40]FormattedData!J60^2*$J$6+$M$5*$J$7</f>
        <v>33.559714559451358</v>
      </c>
      <c r="R42" s="47">
        <f>$J$3+[40]FormattedData!K60*$J$4+$M$4*$J$5+[40]FormattedData!K60^2*$J$6+$M$5*$J$7</f>
        <v>34.324249780376839</v>
      </c>
      <c r="S42" s="47">
        <f>$J$3+[40]FormattedData!L60*$J$4+$M$4*$J$5+[40]FormattedData!L60^2*$J$6+$M$5*$J$7</f>
        <v>35.181118360766263</v>
      </c>
      <c r="T42" s="47">
        <f>$J$3+[40]FormattedData!M60*$J$4+$M$4*$J$5+[40]FormattedData!M60^2*$J$6+$M$5*$J$7</f>
        <v>35.181118360766263</v>
      </c>
      <c r="U42" s="47">
        <f>$J$3+[40]FormattedData!N60*$J$4+$M$4*$J$5+[40]FormattedData!N60^2*$J$6+$M$5*$J$7</f>
        <v>35.276114638119886</v>
      </c>
      <c r="V42" s="47">
        <f>$J$3+[40]FormattedData!O60*$J$4+$M$4*$J$5+[40]FormattedData!O60^2*$J$6+$M$5*$J$7</f>
        <v>34.990999000445242</v>
      </c>
      <c r="W42" s="49">
        <f>AVERAGE(K42:V42)</f>
        <v>34.70482312694417</v>
      </c>
      <c r="X42" s="48">
        <f>STDEV(K42:V42)/SQRT(COUNT(K42:V42))</f>
        <v>0.16303004419930622</v>
      </c>
      <c r="Y42" s="47">
        <f>MIN(K42:V42)</f>
        <v>33.559714559451358</v>
      </c>
      <c r="Z42" s="46">
        <f>QUARTILE(K42:V42,1)</f>
        <v>34.324249780376839</v>
      </c>
      <c r="AA42" s="47">
        <f>MEDIAN(K42:V42)</f>
        <v>34.990999000445242</v>
      </c>
      <c r="AB42" s="46">
        <f>QUARTILE(K42:V42,3)</f>
        <v>35.109839451347611</v>
      </c>
      <c r="AC42" s="46">
        <f>MAX(K42:V42)</f>
        <v>35.276114638119886</v>
      </c>
      <c r="AD42" s="46">
        <f>SKEW(K42:V42)</f>
        <v>-1.0388742858391389</v>
      </c>
      <c r="AE42" s="46">
        <f>KURT(K42:V42)</f>
        <v>-7.6742112758088954E-2</v>
      </c>
    </row>
    <row r="43" spans="2:31" x14ac:dyDescent="0.2">
      <c r="B43" s="34">
        <f>[40]FormattedData!A58</f>
        <v>902</v>
      </c>
      <c r="C43" s="34" t="str">
        <f>VLOOKUP($B43,[40]TrtCodes!$B$11:I101,2)</f>
        <v>Late</v>
      </c>
      <c r="D43" s="34">
        <f>VLOOKUP($B43,[40]TrtCodes!$B$11:J101,3)</f>
        <v>22</v>
      </c>
      <c r="E43" s="34">
        <f>VLOOKUP($B43,[40]TrtCodes!$B$11:K101,4)</f>
        <v>4</v>
      </c>
      <c r="F43" s="34">
        <f>VLOOKUP($B43,[40]TrtCodes!$B$11:L101,5)</f>
        <v>2</v>
      </c>
      <c r="G43" s="34">
        <f>VLOOKUP($B43,[40]TrtCodes!$B$11:M101,6)</f>
        <v>2</v>
      </c>
      <c r="H43" s="34">
        <f>VLOOKUP($B43,[40]TrtCodes!$B$11:N101,7)</f>
        <v>1</v>
      </c>
      <c r="I43" s="34">
        <f>[40]FormattedData!B58</f>
        <v>1</v>
      </c>
      <c r="J43" s="37">
        <f>[40]FormattedData!C58</f>
        <v>13.455</v>
      </c>
      <c r="K43" s="39">
        <f>$J$3+[40]FormattedData!D58*$J$4+$M$4*$J$5+[40]FormattedData!D58^2*$J$6+$M$5*$J$7</f>
        <v>55.575599465783824</v>
      </c>
      <c r="L43" s="39">
        <f>$J$3+[40]FormattedData!E58*$J$4+$M$4*$J$5+[40]FormattedData!E58^2*$J$6+$M$5*$J$7</f>
        <v>57.107116959541528</v>
      </c>
      <c r="M43" s="39">
        <f>$J$3+[40]FormattedData!F58*$J$4+$M$4*$J$5+[40]FormattedData!F58^2*$J$6+$M$5*$J$7</f>
        <v>53.512272797656252</v>
      </c>
      <c r="N43" s="39">
        <f>$J$3+[40]FormattedData!G58*$J$4+$M$4*$J$5+[40]FormattedData!G58^2*$J$6+$M$5*$J$7</f>
        <v>55.147747498808975</v>
      </c>
      <c r="O43" s="39">
        <f>$J$3+[40]FormattedData!H58*$J$4+$M$4*$J$5+[40]FormattedData!H58^2*$J$6+$M$5*$J$7</f>
        <v>53.512272797656252</v>
      </c>
      <c r="P43" s="39">
        <f>$J$3+[40]FormattedData!I58*$J$4+$M$4*$J$5+[40]FormattedData!I58^2*$J$6+$M$5*$J$7</f>
        <v>55.575599465783824</v>
      </c>
      <c r="Q43" s="39">
        <f>$J$3+[40]FormattedData!J58*$J$4+$M$4*$J$5+[40]FormattedData!J58^2*$J$6+$M$5*$J$7</f>
        <v>54.718838818385848</v>
      </c>
      <c r="R43" s="39">
        <f>$J$3+[40]FormattedData!K58*$J$4+$M$4*$J$5+[40]FormattedData!K58^2*$J$6+$M$5*$J$7</f>
        <v>55.661043053565002</v>
      </c>
      <c r="S43" s="39">
        <f>$J$3+[40]FormattedData!L58*$J$4+$M$4*$J$5+[40]FormattedData!L58^2*$J$6+$M$5*$J$7</f>
        <v>53.685146594501362</v>
      </c>
      <c r="T43" s="39">
        <f>$J$3+[40]FormattedData!M58*$J$4+$M$4*$J$5+[40]FormattedData!M58^2*$J$6+$M$5*$J$7</f>
        <v>55.490113609464714</v>
      </c>
      <c r="U43" s="39">
        <f>$J$3+[40]FormattedData!N58*$J$4+$M$4*$J$5+[40]FormattedData!N58^2*$J$6+$M$5*$J$7</f>
        <v>52.819086868758532</v>
      </c>
      <c r="V43" s="39">
        <f>$J$3+[40]FormattedData!O58*$J$4+$M$4*$J$5+[40]FormattedData!O58^2*$J$6+$M$5*$J$7</f>
        <v>54.030386965736412</v>
      </c>
      <c r="W43" s="38">
        <f>AVERAGE(K43:V43)</f>
        <v>54.73626874130354</v>
      </c>
      <c r="X43" s="37">
        <f>STDEV(K43:V43)/SQRT(COUNT(K43:V43))</f>
        <v>0.35779233554132378</v>
      </c>
      <c r="Y43" s="36">
        <f>MIN(K43:V43)</f>
        <v>52.819086868758532</v>
      </c>
      <c r="Z43" s="35">
        <f>QUARTILE(K43:V43,1)</f>
        <v>53.64192814529008</v>
      </c>
      <c r="AA43" s="36">
        <f>MEDIAN(K43:V43)</f>
        <v>54.933293158597408</v>
      </c>
      <c r="AB43" s="35">
        <f>QUARTILE(K43:V43,3)</f>
        <v>55.575599465783824</v>
      </c>
      <c r="AC43" s="35">
        <f>MAX(K43:V43)</f>
        <v>57.107116959541528</v>
      </c>
      <c r="AD43" s="35">
        <f>SKEW(K43:V43)</f>
        <v>0.20457716542900986</v>
      </c>
      <c r="AE43" s="35">
        <f>KURT(K43:V43)</f>
        <v>-0.48511806472318586</v>
      </c>
    </row>
    <row r="44" spans="2:31" x14ac:dyDescent="0.2">
      <c r="B44" s="50">
        <f>[40]FormattedData!A56</f>
        <v>903</v>
      </c>
      <c r="C44" s="50" t="str">
        <f>VLOOKUP($B44,[40]TrtCodes!$B$11:I99,2)</f>
        <v>DS</v>
      </c>
      <c r="D44" s="50">
        <f>VLOOKUP($B44,[40]TrtCodes!$B$11:J99,3)</f>
        <v>31</v>
      </c>
      <c r="E44" s="50">
        <f>VLOOKUP($B44,[40]TrtCodes!$B$11:K99,4)</f>
        <v>8</v>
      </c>
      <c r="F44" s="50">
        <f>VLOOKUP($B44,[40]TrtCodes!$B$11:L99,5)</f>
        <v>0</v>
      </c>
      <c r="G44" s="50">
        <f>VLOOKUP($B44,[40]TrtCodes!$B$11:M99,6)</f>
        <v>1</v>
      </c>
      <c r="H44" s="50">
        <f>VLOOKUP($B44,[40]TrtCodes!$B$11:N99,7)</f>
        <v>1</v>
      </c>
      <c r="I44" s="50">
        <f>[40]FormattedData!B56</f>
        <v>1</v>
      </c>
      <c r="J44" s="48">
        <f>[40]FormattedData!C56</f>
        <v>13.445</v>
      </c>
      <c r="K44" s="47">
        <f>$J$3+[40]FormattedData!D56*$J$4+$M$4*$J$5+[40]FormattedData!D56^2*$J$6+$M$5*$J$7</f>
        <v>62.605512716174687</v>
      </c>
      <c r="L44" s="47">
        <f>$J$3+[40]FormattedData!E56*$J$4+$M$4*$J$5+[40]FormattedData!E56^2*$J$6+$M$5*$J$7</f>
        <v>62.5235774170418</v>
      </c>
      <c r="M44" s="47">
        <f>$J$3+[40]FormattedData!F56*$J$4+$M$4*$J$5+[40]FormattedData!F56^2*$J$6+$M$5*$J$7</f>
        <v>62.5235774170418</v>
      </c>
      <c r="N44" s="47">
        <f>$J$3+[40]FormattedData!G56*$J$4+$M$4*$J$5+[40]FormattedData!G56^2*$J$6+$M$5*$J$7</f>
        <v>62.35958001316223</v>
      </c>
      <c r="O44" s="47">
        <f>$J$3+[40]FormattedData!H56*$J$4+$M$4*$J$5+[40]FormattedData!H56^2*$J$6+$M$5*$J$7</f>
        <v>62.277517908415533</v>
      </c>
      <c r="P44" s="47">
        <f>$J$3+[40]FormattedData!I56*$J$4+$M$4*$J$5+[40]FormattedData!I56^2*$J$6+$M$5*$J$7</f>
        <v>61.948846804049495</v>
      </c>
      <c r="Q44" s="47">
        <f>$J$3+[40]FormattedData!J56*$J$4+$M$4*$J$5+[40]FormattedData!J56^2*$J$6+$M$5*$J$7</f>
        <v>62.5235774170418</v>
      </c>
      <c r="R44" s="47">
        <f>$J$3+[40]FormattedData!K56*$J$4+$M$4*$J$5+[40]FormattedData!K56^2*$J$6+$M$5*$J$7</f>
        <v>62.35958001316223</v>
      </c>
      <c r="S44" s="47">
        <f>$J$3+[40]FormattedData!L56*$J$4+$M$4*$J$5+[40]FormattedData!L56^2*$J$6+$M$5*$J$7</f>
        <v>62.605512716174687</v>
      </c>
      <c r="T44" s="47">
        <f>$J$3+[40]FormattedData!M56*$J$4+$M$4*$J$5+[40]FormattedData!M56^2*$J$6+$M$5*$J$7</f>
        <v>62.605512716174687</v>
      </c>
      <c r="U44" s="47">
        <f>$J$3+[40]FormattedData!N56*$J$4+$M$4*$J$5+[40]FormattedData!N56^2*$J$6+$M$5*$J$7</f>
        <v>62.769256508826686</v>
      </c>
      <c r="V44" s="47">
        <f>$J$3+[40]FormattedData!O56*$J$4+$M$4*$J$5+[40]FormattedData!O56^2*$J$6+$M$5*$J$7</f>
        <v>62.687405746769649</v>
      </c>
      <c r="W44" s="49">
        <f>AVERAGE(K44:V44)</f>
        <v>62.482454782836271</v>
      </c>
      <c r="X44" s="48">
        <f>STDEV(K44:V44)/SQRT(COUNT(K44:V44))</f>
        <v>6.3466533845275397E-2</v>
      </c>
      <c r="Y44" s="47">
        <f>MIN(K44:V44)</f>
        <v>61.948846804049495</v>
      </c>
      <c r="Z44" s="46">
        <f>QUARTILE(K44:V44,1)</f>
        <v>62.35958001316223</v>
      </c>
      <c r="AA44" s="47">
        <f>MEDIAN(K44:V44)</f>
        <v>62.5235774170418</v>
      </c>
      <c r="AB44" s="46">
        <f>QUARTILE(K44:V44,3)</f>
        <v>62.605512716174687</v>
      </c>
      <c r="AC44" s="46">
        <f>MAX(K44:V44)</f>
        <v>62.769256508826686</v>
      </c>
      <c r="AD44" s="46">
        <f>SKEW(K44:V44)</f>
        <v>-1.2960951794898938</v>
      </c>
      <c r="AE44" s="46">
        <f>KURT(K44:V44)</f>
        <v>2.2067938204340116</v>
      </c>
    </row>
    <row r="45" spans="2:31" x14ac:dyDescent="0.2">
      <c r="B45" s="34">
        <f>[40]FormattedData!A54</f>
        <v>904</v>
      </c>
      <c r="C45" s="34" t="str">
        <f>VLOOKUP($B45,[40]TrtCodes!$B$11:I97,2)</f>
        <v>Early</v>
      </c>
      <c r="D45" s="34">
        <f>VLOOKUP($B45,[40]TrtCodes!$B$11:J97,3)</f>
        <v>21</v>
      </c>
      <c r="E45" s="34">
        <f>VLOOKUP($B45,[40]TrtCodes!$B$11:K97,4)</f>
        <v>3</v>
      </c>
      <c r="F45" s="34">
        <f>VLOOKUP($B45,[40]TrtCodes!$B$11:L97,5)</f>
        <v>2</v>
      </c>
      <c r="G45" s="34">
        <f>VLOOKUP($B45,[40]TrtCodes!$B$11:M97,6)</f>
        <v>2</v>
      </c>
      <c r="H45" s="34">
        <f>VLOOKUP($B45,[40]TrtCodes!$B$11:N97,7)</f>
        <v>1</v>
      </c>
      <c r="I45" s="34">
        <f>[40]FormattedData!B54</f>
        <v>1</v>
      </c>
      <c r="J45" s="37">
        <f>[40]FormattedData!C54</f>
        <v>13.428000000000001</v>
      </c>
      <c r="K45" s="39">
        <f>$J$3+[40]FormattedData!D54*$J$4+$M$4*$J$5+[40]FormattedData!D54^2*$J$6+$M$5*$J$7</f>
        <v>56.937624645730907</v>
      </c>
      <c r="L45" s="39">
        <f>$J$3+[40]FormattedData!E54*$J$4+$M$4*$J$5+[40]FormattedData!E54^2*$J$6+$M$5*$J$7</f>
        <v>48.869510787226019</v>
      </c>
      <c r="M45" s="39">
        <f>$J$3+[40]FormattedData!F54*$J$4+$M$4*$J$5+[40]FormattedData!F54^2*$J$6+$M$5*$J$7</f>
        <v>54.374951040364586</v>
      </c>
      <c r="N45" s="39">
        <f>$J$3+[40]FormattedData!G54*$J$4+$M$4*$J$5+[40]FormattedData!G54^2*$J$6+$M$5*$J$7</f>
        <v>56.513154161790553</v>
      </c>
      <c r="O45" s="39">
        <f>$J$3+[40]FormattedData!H54*$J$4+$M$4*$J$5+[40]FormattedData!H54^2*$J$6+$M$5*$J$7</f>
        <v>55.233402429279806</v>
      </c>
      <c r="P45" s="39">
        <f>$J$3+[40]FormattedData!I54*$J$4+$M$4*$J$5+[40]FormattedData!I54^2*$J$6+$M$5*$J$7</f>
        <v>57.361038416222989</v>
      </c>
      <c r="Q45" s="39">
        <f>$J$3+[40]FormattedData!J54*$J$4+$M$4*$J$5+[40]FormattedData!J54^2*$J$6+$M$5*$J$7</f>
        <v>51.424599451680329</v>
      </c>
      <c r="R45" s="39">
        <f>$J$3+[40]FormattedData!K54*$J$4+$M$4*$J$5+[40]FormattedData!K54^2*$J$6+$M$5*$J$7</f>
        <v>56.513154161790553</v>
      </c>
      <c r="S45" s="39">
        <f>$J$3+[40]FormattedData!L54*$J$4+$M$4*$J$5+[40]FormattedData!L54^2*$J$6+$M$5*$J$7</f>
        <v>49.046865049091835</v>
      </c>
      <c r="T45" s="39">
        <f>$J$3+[40]FormattedData!M54*$J$4+$M$4*$J$5+[40]FormattedData!M54^2*$J$6+$M$5*$J$7</f>
        <v>55.490113609464714</v>
      </c>
      <c r="U45" s="39">
        <f>$J$3+[40]FormattedData!N54*$J$4+$M$4*$J$5+[40]FormattedData!N54^2*$J$6+$M$5*$J$7</f>
        <v>51.161928407647132</v>
      </c>
      <c r="V45" s="39">
        <f>$J$3+[40]FormattedData!O54*$J$4+$M$4*$J$5+[40]FormattedData!O54^2*$J$6+$M$5*$J$7</f>
        <v>58.204695816862312</v>
      </c>
      <c r="W45" s="38">
        <f>AVERAGE(K45:V45)</f>
        <v>54.260919831429305</v>
      </c>
      <c r="X45" s="37">
        <f>STDEV(K45:V45)/SQRT(COUNT(K45:V45))</f>
        <v>0.94886588861333498</v>
      </c>
      <c r="Y45" s="36">
        <f>MIN(K45:V45)</f>
        <v>48.869510787226019</v>
      </c>
      <c r="Z45" s="35">
        <f>QUARTILE(K45:V45,1)</f>
        <v>51.35893169067203</v>
      </c>
      <c r="AA45" s="36">
        <f>MEDIAN(K45:V45)</f>
        <v>55.36175801937226</v>
      </c>
      <c r="AB45" s="35">
        <f>QUARTILE(K45:V45,3)</f>
        <v>56.619271782775641</v>
      </c>
      <c r="AC45" s="35">
        <f>MAX(K45:V45)</f>
        <v>58.204695816862312</v>
      </c>
      <c r="AD45" s="35">
        <f>SKEW(K45:V45)</f>
        <v>-0.66077443706396255</v>
      </c>
      <c r="AE45" s="35">
        <f>KURT(K45:V45)</f>
        <v>-1.0888886614751425</v>
      </c>
    </row>
    <row r="46" spans="2:31" x14ac:dyDescent="0.2">
      <c r="B46" s="50">
        <f>[40]FormattedData!A52</f>
        <v>905</v>
      </c>
      <c r="C46" s="50" t="str">
        <f>VLOOKUP($B46,[40]TrtCodes!$B$11:I95,2)</f>
        <v>WS</v>
      </c>
      <c r="D46" s="50">
        <f>VLOOKUP($B46,[40]TrtCodes!$B$11:J95,3)</f>
        <v>32</v>
      </c>
      <c r="E46" s="50">
        <f>VLOOKUP($B46,[40]TrtCodes!$B$11:K95,4)</f>
        <v>9</v>
      </c>
      <c r="F46" s="50">
        <f>VLOOKUP($B46,[40]TrtCodes!$B$11:L95,5)</f>
        <v>0</v>
      </c>
      <c r="G46" s="50">
        <f>VLOOKUP($B46,[40]TrtCodes!$B$11:M95,6)</f>
        <v>1</v>
      </c>
      <c r="H46" s="50">
        <f>VLOOKUP($B46,[40]TrtCodes!$B$11:N95,7)</f>
        <v>2</v>
      </c>
      <c r="I46" s="50">
        <f>[40]FormattedData!B52</f>
        <v>1</v>
      </c>
      <c r="J46" s="48">
        <f>[40]FormattedData!C52</f>
        <v>13.419</v>
      </c>
      <c r="K46" s="47">
        <f>$J$3+[40]FormattedData!D52*$J$4+$M$4*$J$5+[40]FormattedData!D52^2*$J$6+$M$5*$J$7</f>
        <v>37.637284297132609</v>
      </c>
      <c r="L46" s="47">
        <f>$J$3+[40]FormattedData!E52*$J$4+$M$4*$J$5+[40]FormattedData!E52^2*$J$6+$M$5*$J$7</f>
        <v>37.543344733227279</v>
      </c>
      <c r="M46" s="47">
        <f>$J$3+[40]FormattedData!F52*$J$4+$M$4*$J$5+[40]FormattedData!F52^2*$J$6+$M$5*$J$7</f>
        <v>37.355338799802816</v>
      </c>
      <c r="N46" s="47">
        <f>$J$3+[40]FormattedData!G52*$J$4+$M$4*$J$5+[40]FormattedData!G52^2*$J$6+$M$5*$J$7</f>
        <v>36.884584266827858</v>
      </c>
      <c r="O46" s="47">
        <f>$J$3+[40]FormattedData!H52*$J$4+$M$4*$J$5+[40]FormattedData!H52^2*$J$6+$M$5*$J$7</f>
        <v>37.073012885631634</v>
      </c>
      <c r="P46" s="47">
        <f>$J$3+[40]FormattedData!I52*$J$4+$M$4*$J$5+[40]FormattedData!I52^2*$J$6+$M$5*$J$7</f>
        <v>37.167163792226624</v>
      </c>
      <c r="Q46" s="47">
        <f>$J$3+[40]FormattedData!J52*$J$4+$M$4*$J$5+[40]FormattedData!J52^2*$J$6+$M$5*$J$7</f>
        <v>37.918849377621029</v>
      </c>
      <c r="R46" s="47">
        <f>$J$3+[40]FormattedData!K52*$J$4+$M$4*$J$5+[40]FormattedData!K52^2*$J$6+$M$5*$J$7</f>
        <v>37.825036619329495</v>
      </c>
      <c r="S46" s="47">
        <f>$J$3+[40]FormattedData!L52*$J$4+$M$4*$J$5+[40]FormattedData!L52^2*$J$6+$M$5*$J$7</f>
        <v>37.44936290078401</v>
      </c>
      <c r="T46" s="47">
        <f>$J$3+[40]FormattedData!M52*$J$4+$M$4*$J$5+[40]FormattedData!M52^2*$J$6+$M$5*$J$7</f>
        <v>37.543344733227279</v>
      </c>
      <c r="U46" s="47">
        <f>$J$3+[40]FormattedData!N52*$J$4+$M$4*$J$5+[40]FormattedData!N52^2*$J$6+$M$5*$J$7</f>
        <v>37.355338799802816</v>
      </c>
      <c r="V46" s="47">
        <f>$J$3+[40]FormattedData!O52*$J$4+$M$4*$J$5+[40]FormattedData!O52^2*$J$6+$M$5*$J$7</f>
        <v>37.44936290078401</v>
      </c>
      <c r="W46" s="49">
        <f>AVERAGE(K46:V46)</f>
        <v>37.433502008866455</v>
      </c>
      <c r="X46" s="48">
        <f>STDEV(K46:V46)/SQRT(COUNT(K46:V46))</f>
        <v>8.5698588270866752E-2</v>
      </c>
      <c r="Y46" s="47">
        <f>MIN(K46:V46)</f>
        <v>36.884584266827858</v>
      </c>
      <c r="Z46" s="46">
        <f>QUARTILE(K46:V46,1)</f>
        <v>37.308295047908771</v>
      </c>
      <c r="AA46" s="47">
        <f>MEDIAN(K46:V46)</f>
        <v>37.44936290078401</v>
      </c>
      <c r="AB46" s="46">
        <f>QUARTILE(K46:V46,3)</f>
        <v>37.566829624203613</v>
      </c>
      <c r="AC46" s="46">
        <f>MAX(K46:V46)</f>
        <v>37.918849377621029</v>
      </c>
      <c r="AD46" s="46">
        <f>SKEW(K46:V46)</f>
        <v>-0.19437375427165043</v>
      </c>
      <c r="AE46" s="46">
        <f>KURT(K46:V46)</f>
        <v>-0.10181967897982469</v>
      </c>
    </row>
    <row r="47" spans="2:31" x14ac:dyDescent="0.2">
      <c r="B47" s="34">
        <f>[40]FormattedData!A50</f>
        <v>906</v>
      </c>
      <c r="C47" s="34" t="str">
        <f>VLOOKUP($B47,[40]TrtCodes!$B$11:I93,2)</f>
        <v>Late</v>
      </c>
      <c r="D47" s="34">
        <f>VLOOKUP($B47,[40]TrtCodes!$B$11:J93,3)</f>
        <v>22</v>
      </c>
      <c r="E47" s="34">
        <f>VLOOKUP($B47,[40]TrtCodes!$B$11:K93,4)</f>
        <v>4</v>
      </c>
      <c r="F47" s="34">
        <f>VLOOKUP($B47,[40]TrtCodes!$B$11:L93,5)</f>
        <v>2</v>
      </c>
      <c r="G47" s="34">
        <f>VLOOKUP($B47,[40]TrtCodes!$B$11:M93,6)</f>
        <v>2</v>
      </c>
      <c r="H47" s="34">
        <f>VLOOKUP($B47,[40]TrtCodes!$B$11:N93,7)</f>
        <v>2</v>
      </c>
      <c r="I47" s="34">
        <f>[40]FormattedData!B50</f>
        <v>1</v>
      </c>
      <c r="J47" s="37">
        <f>[40]FormattedData!C50</f>
        <v>13.401999999999999</v>
      </c>
      <c r="K47" s="39">
        <f>$J$3+[40]FormattedData!D50*$J$4+$M$4*$J$5+[40]FormattedData!D50^2*$J$6+$M$5*$J$7</f>
        <v>56.172816940955499</v>
      </c>
      <c r="L47" s="39">
        <f>$J$3+[40]FormattedData!E50*$J$4+$M$4*$J$5+[40]FormattedData!E50^2*$J$6+$M$5*$J$7</f>
        <v>55.319015091212705</v>
      </c>
      <c r="M47" s="39">
        <f>$J$3+[40]FormattedData!F50*$J$4+$M$4*$J$5+[40]FormattedData!F50^2*$J$6+$M$5*$J$7</f>
        <v>51.774235750860235</v>
      </c>
      <c r="N47" s="39">
        <f>$J$3+[40]FormattedData!G50*$J$4+$M$4*$J$5+[40]FormattedData!G50^2*$J$6+$M$5*$J$7</f>
        <v>56.087626964401913</v>
      </c>
      <c r="O47" s="39">
        <f>$J$3+[40]FormattedData!H50*$J$4+$M$4*$J$5+[40]FormattedData!H50^2*$J$6+$M$5*$J$7</f>
        <v>55.831803423513556</v>
      </c>
      <c r="P47" s="39">
        <f>$J$3+[40]FormattedData!I50*$J$4+$M$4*$J$5+[40]FormattedData!I50^2*$J$6+$M$5*$J$7</f>
        <v>57.783395473266786</v>
      </c>
      <c r="Q47" s="39">
        <f>$J$3+[40]FormattedData!J50*$J$4+$M$4*$J$5+[40]FormattedData!J50^2*$J$6+$M$5*$J$7</f>
        <v>52.471479459399326</v>
      </c>
      <c r="R47" s="39">
        <f>$J$3+[40]FormattedData!K50*$J$4+$M$4*$J$5+[40]FormattedData!K50^2*$J$6+$M$5*$J$7</f>
        <v>56.852815086018701</v>
      </c>
      <c r="S47" s="39">
        <f>$J$3+[40]FormattedData!L50*$J$4+$M$4*$J$5+[40]FormattedData!L50^2*$J$6+$M$5*$J$7</f>
        <v>51.424599451680329</v>
      </c>
      <c r="T47" s="39">
        <f>$J$3+[40]FormattedData!M50*$J$4+$M$4*$J$5+[40]FormattedData!M50^2*$J$6+$M$5*$J$7</f>
        <v>56.68306916098048</v>
      </c>
      <c r="U47" s="39">
        <f>$J$3+[40]FormattedData!N50*$J$4+$M$4*$J$5+[40]FormattedData!N50^2*$J$6+$M$5*$J$7</f>
        <v>54.460986387676797</v>
      </c>
      <c r="V47" s="39">
        <f>$J$3+[40]FormattedData!O50*$J$4+$M$4*$J$5+[40]FormattedData!O50^2*$J$6+$M$5*$J$7</f>
        <v>55.062050299800212</v>
      </c>
      <c r="W47" s="38">
        <f>AVERAGE(K47:V47)</f>
        <v>54.993657790813891</v>
      </c>
      <c r="X47" s="37">
        <f>STDEV(K47:V47)/SQRT(COUNT(K47:V47))</f>
        <v>0.59823856904742212</v>
      </c>
      <c r="Y47" s="36">
        <f>MIN(K47:V47)</f>
        <v>51.424599451680329</v>
      </c>
      <c r="Z47" s="35">
        <f>QUARTILE(K47:V47,1)</f>
        <v>53.963609655607428</v>
      </c>
      <c r="AA47" s="36">
        <f>MEDIAN(K47:V47)</f>
        <v>55.575409257363134</v>
      </c>
      <c r="AB47" s="35">
        <f>QUARTILE(K47:V47,3)</f>
        <v>56.300379995961748</v>
      </c>
      <c r="AC47" s="35">
        <f>MAX(K47:V47)</f>
        <v>57.783395473266786</v>
      </c>
      <c r="AD47" s="35">
        <f>SKEW(K47:V47)</f>
        <v>-0.71699541982744575</v>
      </c>
      <c r="AE47" s="35">
        <f>KURT(K47:V47)</f>
        <v>-0.66068214913548751</v>
      </c>
    </row>
    <row r="48" spans="2:31" x14ac:dyDescent="0.2">
      <c r="B48" s="50">
        <f>[40]FormattedData!A48</f>
        <v>907</v>
      </c>
      <c r="C48" s="50" t="str">
        <f>VLOOKUP($B48,[40]TrtCodes!$B$11:I91,2)</f>
        <v>DS</v>
      </c>
      <c r="D48" s="50">
        <f>VLOOKUP($B48,[40]TrtCodes!$B$11:J91,3)</f>
        <v>31</v>
      </c>
      <c r="E48" s="50">
        <f>VLOOKUP($B48,[40]TrtCodes!$B$11:K91,4)</f>
        <v>8</v>
      </c>
      <c r="F48" s="50">
        <f>VLOOKUP($B48,[40]TrtCodes!$B$11:L91,5)</f>
        <v>0</v>
      </c>
      <c r="G48" s="50">
        <f>VLOOKUP($B48,[40]TrtCodes!$B$11:M91,6)</f>
        <v>1</v>
      </c>
      <c r="H48" s="50">
        <f>VLOOKUP($B48,[40]TrtCodes!$B$11:N91,7)</f>
        <v>2</v>
      </c>
      <c r="I48" s="50">
        <f>[40]FormattedData!B48</f>
        <v>1</v>
      </c>
      <c r="J48" s="48">
        <f>[40]FormattedData!C48</f>
        <v>13.393000000000001</v>
      </c>
      <c r="K48" s="47">
        <f>$J$3+[40]FormattedData!D48*$J$4+$M$4*$J$5+[40]FormattedData!D48^2*$J$6+$M$5*$J$7</f>
        <v>61.948846804049495</v>
      </c>
      <c r="L48" s="47">
        <f>$J$3+[40]FormattedData!E48*$J$4+$M$4*$J$5+[40]FormattedData!E48^2*$J$6+$M$5*$J$7</f>
        <v>62.113266893308371</v>
      </c>
      <c r="M48" s="47">
        <f>$J$3+[40]FormattedData!F48*$J$4+$M$4*$J$5+[40]FormattedData!F48^2*$J$6+$M$5*$J$7</f>
        <v>61.78425764063887</v>
      </c>
      <c r="N48" s="47">
        <f>$J$3+[40]FormattedData!G48*$J$4+$M$4*$J$5+[40]FormattedData!G48^2*$J$6+$M$5*$J$7</f>
        <v>62.031077982947885</v>
      </c>
      <c r="O48" s="47">
        <f>$J$3+[40]FormattedData!H48*$J$4+$M$4*$J$5+[40]FormattedData!H48^2*$J$6+$M$5*$J$7</f>
        <v>62.113266893308371</v>
      </c>
      <c r="P48" s="47">
        <f>$J$3+[40]FormattedData!I48*$J$4+$M$4*$J$5+[40]FormattedData!I48^2*$J$6+$M$5*$J$7</f>
        <v>61.866573356613145</v>
      </c>
      <c r="Q48" s="47">
        <f>$J$3+[40]FormattedData!J48*$J$4+$M$4*$J$5+[40]FormattedData!J48^2*$J$6+$M$5*$J$7</f>
        <v>61.289475705496685</v>
      </c>
      <c r="R48" s="47">
        <f>$J$3+[40]FormattedData!K48*$J$4+$M$4*$J$5+[40]FormattedData!K48^2*$J$6+$M$5*$J$7</f>
        <v>61.70189965612667</v>
      </c>
      <c r="S48" s="47">
        <f>$J$3+[40]FormattedData!L48*$J$4+$M$4*$J$5+[40]FormattedData!L48^2*$J$6+$M$5*$J$7</f>
        <v>61.537056881488475</v>
      </c>
      <c r="T48" s="47">
        <f>$J$3+[40]FormattedData!M48*$J$4+$M$4*$J$5+[40]FormattedData!M48^2*$J$6+$M$5*$J$7</f>
        <v>62.687405746769649</v>
      </c>
      <c r="U48" s="47">
        <f>$J$3+[40]FormattedData!N48*$J$4+$M$4*$J$5+[40]FormattedData!N48^2*$J$6+$M$5*$J$7</f>
        <v>61.78425764063887</v>
      </c>
      <c r="V48" s="47">
        <f>$J$3+[40]FormattedData!O48*$J$4+$M$4*$J$5+[40]FormattedData!O48^2*$J$6+$M$5*$J$7</f>
        <v>61.866573356613145</v>
      </c>
      <c r="W48" s="49">
        <f>AVERAGE(K48:V48)</f>
        <v>61.893663213166633</v>
      </c>
      <c r="X48" s="48">
        <f>STDEV(K48:V48)/SQRT(COUNT(K48:V48))</f>
        <v>9.9346255944050874E-2</v>
      </c>
      <c r="Y48" s="47">
        <f>MIN(K48:V48)</f>
        <v>61.289475705496685</v>
      </c>
      <c r="Z48" s="46">
        <f>QUARTILE(K48:V48,1)</f>
        <v>61.763668144510817</v>
      </c>
      <c r="AA48" s="47">
        <f>MEDIAN(K48:V48)</f>
        <v>61.866573356613145</v>
      </c>
      <c r="AB48" s="46">
        <f>QUARTILE(K48:V48,3)</f>
        <v>62.051625210538006</v>
      </c>
      <c r="AC48" s="46">
        <f>MAX(K48:V48)</f>
        <v>62.687405746769649</v>
      </c>
      <c r="AD48" s="46">
        <f>SKEW(K48:V48)</f>
        <v>0.66486063818634455</v>
      </c>
      <c r="AE48" s="46">
        <f>KURT(K48:V48)</f>
        <v>2.1790913267061534</v>
      </c>
    </row>
    <row r="49" spans="2:31" ht="13.5" thickBot="1" x14ac:dyDescent="0.25">
      <c r="B49" s="45">
        <f>[40]FormattedData!A46</f>
        <v>908</v>
      </c>
      <c r="C49" s="45" t="str">
        <f>VLOOKUP($B49,[40]TrtCodes!$B$11:I89,2)</f>
        <v>Early</v>
      </c>
      <c r="D49" s="45">
        <f>VLOOKUP($B49,[40]TrtCodes!$B$11:J89,3)</f>
        <v>21</v>
      </c>
      <c r="E49" s="45">
        <f>VLOOKUP($B49,[40]TrtCodes!$B$11:K89,4)</f>
        <v>3</v>
      </c>
      <c r="F49" s="45">
        <f>VLOOKUP($B49,[40]TrtCodes!$B$11:L89,5)</f>
        <v>2</v>
      </c>
      <c r="G49" s="45">
        <f>VLOOKUP($B49,[40]TrtCodes!$B$11:M89,6)</f>
        <v>2</v>
      </c>
      <c r="H49" s="45">
        <f>VLOOKUP($B49,[40]TrtCodes!$B$11:N89,7)</f>
        <v>2</v>
      </c>
      <c r="I49" s="45">
        <f>[40]FormattedData!B46</f>
        <v>1</v>
      </c>
      <c r="J49" s="42">
        <f>[40]FormattedData!C46</f>
        <v>13.375999999999999</v>
      </c>
      <c r="K49" s="44">
        <f>$J$3+[40]FormattedData!D46*$J$4+$M$4*$J$5+[40]FormattedData!D46^2*$J$6+$M$5*$J$7</f>
        <v>55.404585484607672</v>
      </c>
      <c r="L49" s="44">
        <f>$J$3+[40]FormattedData!E46*$J$4+$M$4*$J$5+[40]FormattedData!E46^2*$J$6+$M$5*$J$7</f>
        <v>55.575599465783824</v>
      </c>
      <c r="M49" s="44">
        <f>$J$3+[40]FormattedData!F46*$J$4+$M$4*$J$5+[40]FormattedData!F46^2*$J$6+$M$5*$J$7</f>
        <v>51.774235750860235</v>
      </c>
      <c r="N49" s="44">
        <f>$J$3+[40]FormattedData!G46*$J$4+$M$4*$J$5+[40]FormattedData!G46^2*$J$6+$M$5*$J$7</f>
        <v>56.087626964401913</v>
      </c>
      <c r="O49" s="44">
        <f>$J$3+[40]FormattedData!H46*$J$4+$M$4*$J$5+[40]FormattedData!H46^2*$J$6+$M$5*$J$7</f>
        <v>51.161928407647132</v>
      </c>
      <c r="P49" s="44">
        <f>$J$3+[40]FormattedData!I46*$J$4+$M$4*$J$5+[40]FormattedData!I46^2*$J$6+$M$5*$J$7</f>
        <v>54.97631083225351</v>
      </c>
      <c r="Q49" s="44">
        <f>$J$3+[40]FormattedData!J46*$J$4+$M$4*$J$5+[40]FormattedData!J46^2*$J$6+$M$5*$J$7</f>
        <v>53.079348606129663</v>
      </c>
      <c r="R49" s="44">
        <f>$J$3+[40]FormattedData!K46*$J$4+$M$4*$J$5+[40]FormattedData!K46^2*$J$6+$M$5*$J$7</f>
        <v>56.68306916098048</v>
      </c>
      <c r="S49" s="44">
        <f>$J$3+[40]FormattedData!L46*$J$4+$M$4*$J$5+[40]FormattedData!L46^2*$J$6+$M$5*$J$7</f>
        <v>49.577913389778942</v>
      </c>
      <c r="T49" s="44">
        <f>$J$3+[40]FormattedData!M46*$J$4+$M$4*$J$5+[40]FormattedData!M46^2*$J$6+$M$5*$J$7</f>
        <v>55.233402429279806</v>
      </c>
      <c r="U49" s="44">
        <f>$J$3+[40]FormattedData!N46*$J$4+$M$4*$J$5+[40]FormattedData!N46^2*$J$6+$M$5*$J$7</f>
        <v>53.771520090117029</v>
      </c>
      <c r="V49" s="44">
        <f>$J$3+[40]FormattedData!O46*$J$4+$M$4*$J$5+[40]FormattedData!O46^2*$J$6+$M$5*$J$7</f>
        <v>54.890529096168891</v>
      </c>
      <c r="W49" s="43">
        <f>AVERAGE(K49:V49)</f>
        <v>54.018005806500753</v>
      </c>
      <c r="X49" s="42">
        <f>STDEV(K49:V49)/SQRT(COUNT(K49:V49))</f>
        <v>0.63209227716197813</v>
      </c>
      <c r="Y49" s="41">
        <f>MIN(K49:V49)</f>
        <v>49.577913389778942</v>
      </c>
      <c r="Z49" s="40">
        <f>QUARTILE(K49:V49,1)</f>
        <v>52.75307039231231</v>
      </c>
      <c r="AA49" s="41">
        <f>MEDIAN(K49:V49)</f>
        <v>54.933419964211197</v>
      </c>
      <c r="AB49" s="40">
        <f>QUARTILE(K49:V49,3)</f>
        <v>55.447338979901708</v>
      </c>
      <c r="AC49" s="40">
        <f>MAX(K49:V49)</f>
        <v>56.68306916098048</v>
      </c>
      <c r="AD49" s="40">
        <f>SKEW(K49:V49)</f>
        <v>-0.88734075349098951</v>
      </c>
      <c r="AE49" s="40">
        <f>KURT(K49:V49)</f>
        <v>-0.1719005866008998</v>
      </c>
    </row>
    <row r="50" spans="2:31" ht="13.5" thickTop="1" x14ac:dyDescent="0.2">
      <c r="B50" s="34">
        <f>[40]FormattedData!A29</f>
        <v>101</v>
      </c>
      <c r="C50" s="34" t="str">
        <f>VLOOKUP($B50,[40]TrtCodes!$B$11:I72,2)</f>
        <v>FSH</v>
      </c>
      <c r="D50" s="34">
        <f>VLOOKUP($B50,[40]TrtCodes!$B$11:J72,3)</f>
        <v>1</v>
      </c>
      <c r="E50" s="34">
        <f>VLOOKUP($B50,[40]TrtCodes!$B$11:K72,4)</f>
        <v>1</v>
      </c>
      <c r="F50" s="34">
        <f>VLOOKUP($B50,[40]TrtCodes!$B$11:L72,5)</f>
        <v>1</v>
      </c>
      <c r="G50" s="34">
        <f>VLOOKUP($B50,[40]TrtCodes!$B$11:M72,6)</f>
        <v>2</v>
      </c>
      <c r="H50" s="34">
        <f>VLOOKUP($B50,[40]TrtCodes!$B$11:N72,7)</f>
        <v>1</v>
      </c>
      <c r="I50" s="34">
        <f>[40]FormattedData!B29</f>
        <v>2</v>
      </c>
      <c r="J50" s="37">
        <f>[40]FormattedData!C29</f>
        <v>13.228999999999999</v>
      </c>
      <c r="K50" s="39">
        <f>$J$3+[40]FormattedData!D29*$J$4+$M$4*$J$5+[40]FormattedData!D29^2*$J$6+$M$5*$J$7</f>
        <v>31.636541316516954</v>
      </c>
      <c r="L50" s="39">
        <f>$J$3+[40]FormattedData!E29*$J$4+$M$4*$J$5+[40]FormattedData!E29^2*$J$6+$M$5*$J$7</f>
        <v>30.862537943094903</v>
      </c>
      <c r="M50" s="39">
        <f>$J$3+[40]FormattedData!F29*$J$4+$M$4*$J$5+[40]FormattedData!F29^2*$J$6+$M$5*$J$7</f>
        <v>37.26127243028369</v>
      </c>
      <c r="N50" s="39">
        <f>$J$3+[40]FormattedData!G29*$J$4+$M$4*$J$5+[40]FormattedData!G29^2*$J$6+$M$5*$J$7</f>
        <v>37.073012885631634</v>
      </c>
      <c r="O50" s="39">
        <f>$J$3+[40]FormattedData!H29*$J$4+$M$4*$J$5+[40]FormattedData!H29^2*$J$6+$M$5*$J$7</f>
        <v>32.118919697422974</v>
      </c>
      <c r="P50" s="39">
        <f>$J$3+[40]FormattedData!I29*$J$4+$M$4*$J$5+[40]FormattedData!I29^2*$J$6+$M$5*$J$7</f>
        <v>30.183065893109223</v>
      </c>
      <c r="Q50" s="39">
        <f>$J$3+[40]FormattedData!J29*$J$4+$M$4*$J$5+[40]FormattedData!J29^2*$J$6+$M$5*$J$7</f>
        <v>32.98453786516415</v>
      </c>
      <c r="R50" s="39">
        <f>$J$3+[40]FormattedData!K29*$J$4+$M$4*$J$5+[40]FormattedData!K29^2*$J$6+$M$5*$J$7</f>
        <v>29.988550604843358</v>
      </c>
      <c r="S50" s="39">
        <f>$J$3+[40]FormattedData!L29*$J$4+$M$4*$J$5+[40]FormattedData!L29^2*$J$6+$M$5*$J$7</f>
        <v>30.085829383245251</v>
      </c>
      <c r="T50" s="39">
        <f>$J$3+[40]FormattedData!M29*$J$4+$M$4*$J$5+[40]FormattedData!M29^2*$J$6+$M$5*$J$7</f>
        <v>32.118919697422974</v>
      </c>
      <c r="U50" s="39">
        <f>$J$3+[40]FormattedData!N29*$J$4+$M$4*$J$5+[40]FormattedData!N29^2*$J$6+$M$5*$J$7</f>
        <v>34.514960900228893</v>
      </c>
      <c r="V50" s="39">
        <f>$J$3+[40]FormattedData!O29*$J$4+$M$4*$J$5+[40]FormattedData!O29^2*$J$6+$M$5*$J$7</f>
        <v>36.507219806765129</v>
      </c>
      <c r="W50" s="38">
        <f>AVERAGE(K50:V50)</f>
        <v>32.944614035310764</v>
      </c>
      <c r="X50" s="37">
        <f>STDEV(K50:V50)/SQRT(COUNT(K50:V50))</f>
        <v>0.79192757761912358</v>
      </c>
      <c r="Y50" s="36">
        <f>MIN(K50:V50)</f>
        <v>29.988550604843358</v>
      </c>
      <c r="Z50" s="35">
        <f>QUARTILE(K50:V50,1)</f>
        <v>30.692669930598484</v>
      </c>
      <c r="AA50" s="36">
        <f>MEDIAN(K50:V50)</f>
        <v>32.118919697422974</v>
      </c>
      <c r="AB50" s="35">
        <f>QUARTILE(K50:V50,3)</f>
        <v>35.013025626862955</v>
      </c>
      <c r="AC50" s="35">
        <f>MAX(K50:V50)</f>
        <v>37.26127243028369</v>
      </c>
      <c r="AD50" s="35">
        <f>SKEW(K50:V50)</f>
        <v>0.61950655451370373</v>
      </c>
      <c r="AE50" s="35">
        <f>KURT(K50:V50)</f>
        <v>-1.1709551627039012</v>
      </c>
    </row>
    <row r="51" spans="2:31" x14ac:dyDescent="0.2">
      <c r="B51" s="34">
        <f>[40]FormattedData!A27</f>
        <v>102</v>
      </c>
      <c r="C51" s="34" t="str">
        <f>VLOOKUP($B51,[40]TrtCodes!$B$11:I70,2)</f>
        <v>FTL</v>
      </c>
      <c r="D51" s="34">
        <f>VLOOKUP($B51,[40]TrtCodes!$B$11:J70,3)</f>
        <v>4</v>
      </c>
      <c r="E51" s="34">
        <f>VLOOKUP($B51,[40]TrtCodes!$B$11:K70,4)</f>
        <v>1</v>
      </c>
      <c r="F51" s="34">
        <f>VLOOKUP($B51,[40]TrtCodes!$B$11:L70,5)</f>
        <v>2</v>
      </c>
      <c r="G51" s="34">
        <f>VLOOKUP($B51,[40]TrtCodes!$B$11:M70,6)</f>
        <v>1</v>
      </c>
      <c r="H51" s="34">
        <f>VLOOKUP($B51,[40]TrtCodes!$B$11:N70,7)</f>
        <v>1</v>
      </c>
      <c r="I51" s="34">
        <f>[40]FormattedData!B27</f>
        <v>2</v>
      </c>
      <c r="J51" s="37">
        <f>[40]FormattedData!C27</f>
        <v>13.212999999999999</v>
      </c>
      <c r="K51" s="39">
        <f>$J$3+[40]FormattedData!D27*$J$4+$M$4*$J$5+[40]FormattedData!D27^2*$J$6+$M$5*$J$7</f>
        <v>29.403990295135429</v>
      </c>
      <c r="L51" s="39">
        <f>$J$3+[40]FormattedData!E27*$J$4+$M$4*$J$5+[40]FormattedData!E27^2*$J$6+$M$5*$J$7</f>
        <v>30.571589247185766</v>
      </c>
      <c r="M51" s="39">
        <f>$J$3+[40]FormattedData!F27*$J$4+$M$4*$J$5+[40]FormattedData!F27^2*$J$6+$M$5*$J$7</f>
        <v>32.215268567990378</v>
      </c>
      <c r="N51" s="39">
        <f>$J$3+[40]FormattedData!G27*$J$4+$M$4*$J$5+[40]FormattedData!G27^2*$J$6+$M$5*$J$7</f>
        <v>30.37741210722336</v>
      </c>
      <c r="O51" s="39">
        <f>$J$3+[40]FormattedData!H27*$J$4+$M$4*$J$5+[40]FormattedData!H27^2*$J$6+$M$5*$J$7</f>
        <v>33.080506318890173</v>
      </c>
      <c r="P51" s="39">
        <f>$J$3+[40]FormattedData!I27*$J$4+$M$4*$J$5+[40]FormattedData!I27^2*$J$6+$M$5*$J$7</f>
        <v>36.318283965506183</v>
      </c>
      <c r="Q51" s="39">
        <f>$J$3+[40]FormattedData!J27*$J$4+$M$4*$J$5+[40]FormattedData!J27^2*$J$6+$M$5*$J$7</f>
        <v>36.318283965506183</v>
      </c>
      <c r="R51" s="39">
        <f>$J$3+[40]FormattedData!K27*$J$4+$M$4*$J$5+[40]FormattedData!K27^2*$J$6+$M$5*$J$7</f>
        <v>32.022528558317632</v>
      </c>
      <c r="S51" s="39">
        <f>$J$3+[40]FormattedData!L27*$J$4+$M$4*$J$5+[40]FormattedData!L27^2*$J$6+$M$5*$J$7</f>
        <v>31.056292397677996</v>
      </c>
      <c r="T51" s="39">
        <f>$J$3+[40]FormattedData!M27*$J$4+$M$4*$J$5+[40]FormattedData!M27^2*$J$6+$M$5*$J$7</f>
        <v>31.346607065518171</v>
      </c>
      <c r="U51" s="39">
        <f>$J$3+[40]FormattedData!N27*$J$4+$M$4*$J$5+[40]FormattedData!N27^2*$J$6+$M$5*$J$7</f>
        <v>30.37741210722336</v>
      </c>
      <c r="V51" s="39">
        <f>$J$3+[40]FormattedData!O27*$J$4+$M$4*$J$5+[40]FormattedData!O27^2*$J$6+$M$5*$J$7</f>
        <v>32.022528558317632</v>
      </c>
      <c r="W51" s="38">
        <f>AVERAGE(K51:V51)</f>
        <v>32.092558596207688</v>
      </c>
      <c r="X51" s="37">
        <f>STDEV(K51:V51)/SQRT(COUNT(K51:V51))</f>
        <v>0.63823804688985464</v>
      </c>
      <c r="Y51" s="36">
        <f>MIN(K51:V51)</f>
        <v>29.403990295135429</v>
      </c>
      <c r="Z51" s="35">
        <f>QUARTILE(K51:V51,1)</f>
        <v>30.523044962195165</v>
      </c>
      <c r="AA51" s="36">
        <f>MEDIAN(K51:V51)</f>
        <v>31.684567811917901</v>
      </c>
      <c r="AB51" s="35">
        <f>QUARTILE(K51:V51,3)</f>
        <v>32.431578005715323</v>
      </c>
      <c r="AC51" s="35">
        <f>MAX(K51:V51)</f>
        <v>36.318283965506183</v>
      </c>
      <c r="AD51" s="35">
        <f>SKEW(K51:V51)</f>
        <v>1.1841364656029689</v>
      </c>
      <c r="AE51" s="35">
        <f>KURT(K51:V51)</f>
        <v>0.68223184459492536</v>
      </c>
    </row>
    <row r="52" spans="2:31" x14ac:dyDescent="0.2">
      <c r="B52" s="34">
        <f>[40]FormattedData!A25</f>
        <v>103</v>
      </c>
      <c r="C52" s="34" t="str">
        <f>VLOOKUP($B52,[40]TrtCodes!$B$11:I68,2)</f>
        <v>FDH</v>
      </c>
      <c r="D52" s="34">
        <f>VLOOKUP($B52,[40]TrtCodes!$B$11:J68,3)</f>
        <v>5</v>
      </c>
      <c r="E52" s="34">
        <f>VLOOKUP($B52,[40]TrtCodes!$B$11:K68,4)</f>
        <v>1</v>
      </c>
      <c r="F52" s="34">
        <f>VLOOKUP($B52,[40]TrtCodes!$B$11:L68,5)</f>
        <v>3</v>
      </c>
      <c r="G52" s="34">
        <f>VLOOKUP($B52,[40]TrtCodes!$B$11:M68,6)</f>
        <v>2</v>
      </c>
      <c r="H52" s="34">
        <f>VLOOKUP($B52,[40]TrtCodes!$B$11:N68,7)</f>
        <v>1</v>
      </c>
      <c r="I52" s="34">
        <f>[40]FormattedData!B25</f>
        <v>2</v>
      </c>
      <c r="J52" s="37">
        <f>[40]FormattedData!C25</f>
        <v>13.196999999999999</v>
      </c>
      <c r="K52" s="39">
        <f>$J$3+[40]FormattedData!D25*$J$4+$M$4*$J$5+[40]FormattedData!D25^2*$J$6+$M$5*$J$7</f>
        <v>32.600241364880716</v>
      </c>
      <c r="L52" s="39">
        <f>$J$3+[40]FormattedData!E25*$J$4+$M$4*$J$5+[40]FormattedData!E25^2*$J$6+$M$5*$J$7</f>
        <v>32.118919697422974</v>
      </c>
      <c r="M52" s="39">
        <f>$J$3+[40]FormattedData!F25*$J$4+$M$4*$J$5+[40]FormattedData!F25^2*$J$6+$M$5*$J$7</f>
        <v>35.276114638119886</v>
      </c>
      <c r="N52" s="39">
        <f>$J$3+[40]FormattedData!G25*$J$4+$M$4*$J$5+[40]FormattedData!G25^2*$J$6+$M$5*$J$7</f>
        <v>33.368158068840685</v>
      </c>
      <c r="O52" s="39">
        <f>$J$3+[40]FormattedData!H25*$J$4+$M$4*$J$5+[40]FormattedData!H25^2*$J$6+$M$5*$J$7</f>
        <v>34.514960900228893</v>
      </c>
      <c r="P52" s="39">
        <f>$J$3+[40]FormattedData!I25*$J$4+$M$4*$J$5+[40]FormattedData!I25^2*$J$6+$M$5*$J$7</f>
        <v>32.022528558317632</v>
      </c>
      <c r="Q52" s="39">
        <f>$J$3+[40]FormattedData!J25*$J$4+$M$4*$J$5+[40]FormattedData!J25^2*$J$6+$M$5*$J$7</f>
        <v>34.705502945929226</v>
      </c>
      <c r="R52" s="39">
        <f>$J$3+[40]FormattedData!K25*$J$4+$M$4*$J$5+[40]FormattedData!K25^2*$J$6+$M$5*$J$7</f>
        <v>31.249877778109372</v>
      </c>
      <c r="S52" s="39">
        <f>$J$3+[40]FormattedData!L25*$J$4+$M$4*$J$5+[40]FormattedData!L25^2*$J$6+$M$5*$J$7</f>
        <v>36.034563189583274</v>
      </c>
      <c r="T52" s="39">
        <f>$J$3+[40]FormattedData!M25*$J$4+$M$4*$J$5+[40]FormattedData!M25^2*$J$6+$M$5*$J$7</f>
        <v>35.939905060533107</v>
      </c>
      <c r="U52" s="39">
        <f>$J$3+[40]FormattedData!N25*$J$4+$M$4*$J$5+[40]FormattedData!N25^2*$J$6+$M$5*$J$7</f>
        <v>45.377308984766636</v>
      </c>
      <c r="V52" s="39">
        <f>$J$3+[40]FormattedData!O25*$J$4+$M$4*$J$5+[40]FormattedData!O25^2*$J$6+$M$5*$J$7</f>
        <v>29.01343805123819</v>
      </c>
      <c r="W52" s="38">
        <f>AVERAGE(K52:V52)</f>
        <v>34.351793269830878</v>
      </c>
      <c r="X52" s="37">
        <f>STDEV(K52:V52)/SQRT(COUNT(K52:V52))</f>
        <v>1.1693319174368337</v>
      </c>
      <c r="Y52" s="36">
        <f>MIN(K52:V52)</f>
        <v>29.01343805123819</v>
      </c>
      <c r="Z52" s="35">
        <f>QUARTILE(K52:V52,1)</f>
        <v>32.094821912646637</v>
      </c>
      <c r="AA52" s="36">
        <f>MEDIAN(K52:V52)</f>
        <v>33.941559484534793</v>
      </c>
      <c r="AB52" s="35">
        <f>QUARTILE(K52:V52,3)</f>
        <v>35.442062243723193</v>
      </c>
      <c r="AC52" s="35">
        <f>MAX(K52:V52)</f>
        <v>45.377308984766636</v>
      </c>
      <c r="AD52" s="35">
        <f>SKEW(K52:V52)</f>
        <v>1.8675671873422641</v>
      </c>
      <c r="AE52" s="35">
        <f>KURT(K52:V52)</f>
        <v>5.1919911464333826</v>
      </c>
    </row>
    <row r="53" spans="2:31" x14ac:dyDescent="0.2">
      <c r="B53" s="34">
        <f>[40]FormattedData!A23</f>
        <v>104</v>
      </c>
      <c r="C53" s="34" t="str">
        <f>VLOOKUP($B53,[40]TrtCodes!$B$11:I66,2)</f>
        <v>NTL</v>
      </c>
      <c r="D53" s="34">
        <f>VLOOKUP($B53,[40]TrtCodes!$B$11:J66,3)</f>
        <v>10</v>
      </c>
      <c r="E53" s="34">
        <f>VLOOKUP($B53,[40]TrtCodes!$B$11:K66,4)</f>
        <v>2</v>
      </c>
      <c r="F53" s="34">
        <f>VLOOKUP($B53,[40]TrtCodes!$B$11:L66,5)</f>
        <v>2</v>
      </c>
      <c r="G53" s="34">
        <f>VLOOKUP($B53,[40]TrtCodes!$B$11:M66,6)</f>
        <v>1</v>
      </c>
      <c r="H53" s="34">
        <f>VLOOKUP($B53,[40]TrtCodes!$B$11:N66,7)</f>
        <v>1</v>
      </c>
      <c r="I53" s="34">
        <f>[40]FormattedData!B23</f>
        <v>2</v>
      </c>
      <c r="J53" s="37">
        <f>[40]FormattedData!C23</f>
        <v>13.180999999999999</v>
      </c>
      <c r="K53" s="39">
        <f>$J$3+[40]FormattedData!D23*$J$4+$M$4*$J$5+[40]FormattedData!D23^2*$J$6+$M$5*$J$7</f>
        <v>29.988550604843358</v>
      </c>
      <c r="L53" s="39">
        <f>$J$3+[40]FormattedData!E23*$J$4+$M$4*$J$5+[40]FormattedData!E23^2*$J$6+$M$5*$J$7</f>
        <v>28.720080048666979</v>
      </c>
      <c r="M53" s="39">
        <f>$J$3+[40]FormattedData!F23*$J$4+$M$4*$J$5+[40]FormattedData!F23^2*$J$6+$M$5*$J$7</f>
        <v>29.891229557903536</v>
      </c>
      <c r="N53" s="39">
        <f>$J$3+[40]FormattedData!G23*$J$4+$M$4*$J$5+[40]FormattedData!G23^2*$J$6+$M$5*$J$7</f>
        <v>29.306415636968016</v>
      </c>
      <c r="O53" s="39">
        <f>$J$3+[40]FormattedData!H23*$J$4+$M$4*$J$5+[40]FormattedData!H23^2*$J$6+$M$5*$J$7</f>
        <v>34.514960900228893</v>
      </c>
      <c r="P53" s="39">
        <f>$J$3+[40]FormattedData!I23*$J$4+$M$4*$J$5+[40]FormattedData!I23^2*$J$6+$M$5*$J$7</f>
        <v>28.328344285707665</v>
      </c>
      <c r="Q53" s="39">
        <f>$J$3+[40]FormattedData!J23*$J$4+$M$4*$J$5+[40]FormattedData!J23^2*$J$6+$M$5*$J$7</f>
        <v>30.474521811473529</v>
      </c>
      <c r="R53" s="39">
        <f>$J$3+[40]FormattedData!K23*$J$4+$M$4*$J$5+[40]FormattedData!K23^2*$J$6+$M$5*$J$7</f>
        <v>30.183065893109223</v>
      </c>
      <c r="S53" s="39">
        <f>$J$3+[40]FormattedData!L23*$J$4+$M$4*$J$5+[40]FormattedData!L23^2*$J$6+$M$5*$J$7</f>
        <v>28.426341629254395</v>
      </c>
      <c r="T53" s="39">
        <f>$J$3+[40]FormattedData!M23*$J$4+$M$4*$J$5+[40]FormattedData!M23^2*$J$6+$M$5*$J$7</f>
        <v>29.111139515019396</v>
      </c>
      <c r="U53" s="39">
        <f>$J$3+[40]FormattedData!N23*$J$4+$M$4*$J$5+[40]FormattedData!N23^2*$J$6+$M$5*$J$7</f>
        <v>31.926095150674364</v>
      </c>
      <c r="V53" s="39">
        <f>$J$3+[40]FormattedData!O23*$J$4+$M$4*$J$5+[40]FormattedData!O23^2*$J$6+$M$5*$J$7</f>
        <v>30.765597312996455</v>
      </c>
      <c r="W53" s="38">
        <f>AVERAGE(K53:V53)</f>
        <v>30.136361862237148</v>
      </c>
      <c r="X53" s="37">
        <f>STDEV(K53:V53)/SQRT(COUNT(K53:V53))</f>
        <v>0.49930653419392568</v>
      </c>
      <c r="Y53" s="36">
        <f>MIN(K53:V53)</f>
        <v>28.328344285707665</v>
      </c>
      <c r="Z53" s="35">
        <f>QUARTILE(K53:V53,1)</f>
        <v>29.013374648431292</v>
      </c>
      <c r="AA53" s="36">
        <f>MEDIAN(K53:V53)</f>
        <v>29.939890081373449</v>
      </c>
      <c r="AB53" s="35">
        <f>QUARTILE(K53:V53,3)</f>
        <v>30.547290686854261</v>
      </c>
      <c r="AC53" s="35">
        <f>MAX(K53:V53)</f>
        <v>34.514960900228893</v>
      </c>
      <c r="AD53" s="35">
        <f>SKEW(K53:V53)</f>
        <v>1.5716534443241672</v>
      </c>
      <c r="AE53" s="35">
        <f>KURT(K53:V53)</f>
        <v>3.059091981396219</v>
      </c>
    </row>
    <row r="54" spans="2:31" x14ac:dyDescent="0.2">
      <c r="B54" s="34">
        <f>[40]FormattedData!A21</f>
        <v>105</v>
      </c>
      <c r="C54" s="34" t="str">
        <f>VLOOKUP($B54,[40]TrtCodes!$B$11:I64,2)</f>
        <v>NDL</v>
      </c>
      <c r="D54" s="34">
        <f>VLOOKUP($B54,[40]TrtCodes!$B$11:J64,3)</f>
        <v>12</v>
      </c>
      <c r="E54" s="34">
        <f>VLOOKUP($B54,[40]TrtCodes!$B$11:K64,4)</f>
        <v>2</v>
      </c>
      <c r="F54" s="34">
        <f>VLOOKUP($B54,[40]TrtCodes!$B$11:L64,5)</f>
        <v>3</v>
      </c>
      <c r="G54" s="34">
        <f>VLOOKUP($B54,[40]TrtCodes!$B$11:M64,6)</f>
        <v>1</v>
      </c>
      <c r="H54" s="34">
        <f>VLOOKUP($B54,[40]TrtCodes!$B$11:N64,7)</f>
        <v>2</v>
      </c>
      <c r="I54" s="34">
        <f>[40]FormattedData!B21</f>
        <v>2</v>
      </c>
      <c r="J54" s="37">
        <f>[40]FormattedData!C21</f>
        <v>13.164999999999999</v>
      </c>
      <c r="K54" s="39">
        <f>$J$3+[40]FormattedData!D21*$J$4+$M$4*$J$5+[40]FormattedData!D21^2*$J$6+$M$5*$J$7</f>
        <v>30.959436304655416</v>
      </c>
      <c r="L54" s="39">
        <f>$J$3+[40]FormattedData!E21*$J$4+$M$4*$J$5+[40]FormattedData!E21^2*$J$6+$M$5*$J$7</f>
        <v>27.44446610958024</v>
      </c>
      <c r="M54" s="39">
        <f>$J$3+[40]FormattedData!F21*$J$4+$M$4*$J$5+[40]FormattedData!F21^2*$J$6+$M$5*$J$7</f>
        <v>28.328344285707665</v>
      </c>
      <c r="N54" s="39">
        <f>$J$3+[40]FormattedData!G21*$J$4+$M$4*$J$5+[40]FormattedData!G21^2*$J$6+$M$5*$J$7</f>
        <v>27.247583783190237</v>
      </c>
      <c r="O54" s="39">
        <f>$J$3+[40]FormattedData!H21*$J$4+$M$4*$J$5+[40]FormattedData!H21^2*$J$6+$M$5*$J$7</f>
        <v>29.501522684764915</v>
      </c>
      <c r="P54" s="39">
        <f>$J$3+[40]FormattedData!I21*$J$4+$M$4*$J$5+[40]FormattedData!I21^2*$J$6+$M$5*$J$7</f>
        <v>28.720080048666979</v>
      </c>
      <c r="Q54" s="39">
        <f>$J$3+[40]FormattedData!J21*$J$4+$M$4*$J$5+[40]FormattedData!J21^2*$J$6+$M$5*$J$7</f>
        <v>27.935932226141457</v>
      </c>
      <c r="R54" s="39">
        <f>$J$3+[40]FormattedData!K21*$J$4+$M$4*$J$5+[40]FormattedData!K21^2*$J$6+$M$5*$J$7</f>
        <v>30.280260134435252</v>
      </c>
      <c r="S54" s="39">
        <f>$J$3+[40]FormattedData!L21*$J$4+$M$4*$J$5+[40]FormattedData!L21^2*$J$6+$M$5*$J$7</f>
        <v>30.280260134435252</v>
      </c>
      <c r="T54" s="39">
        <f>$J$3+[40]FormattedData!M21*$J$4+$M$4*$J$5+[40]FormattedData!M21^2*$J$6+$M$5*$J$7</f>
        <v>29.01343805123819</v>
      </c>
      <c r="U54" s="39">
        <f>$J$3+[40]FormattedData!N21*$J$4+$M$4*$J$5+[40]FormattedData!N21^2*$J$6+$M$5*$J$7</f>
        <v>28.817908318061981</v>
      </c>
      <c r="V54" s="39">
        <f>$J$3+[40]FormattedData!O21*$J$4+$M$4*$J$5+[40]FormattedData!O21^2*$J$6+$M$5*$J$7</f>
        <v>29.111139515019396</v>
      </c>
      <c r="W54" s="38">
        <f>AVERAGE(K54:V54)</f>
        <v>28.970030966324753</v>
      </c>
      <c r="X54" s="37">
        <f>STDEV(K54:V54)/SQRT(COUNT(K54:V54))</f>
        <v>0.33207708331965669</v>
      </c>
      <c r="Y54" s="36">
        <f>MIN(K54:V54)</f>
        <v>27.247583783190237</v>
      </c>
      <c r="Z54" s="35">
        <f>QUARTILE(K54:V54,1)</f>
        <v>28.230241270816112</v>
      </c>
      <c r="AA54" s="36">
        <f>MEDIAN(K54:V54)</f>
        <v>28.915673184650085</v>
      </c>
      <c r="AB54" s="35">
        <f>QUARTILE(K54:V54,3)</f>
        <v>29.696207047182497</v>
      </c>
      <c r="AC54" s="35">
        <f>MAX(K54:V54)</f>
        <v>30.959436304655416</v>
      </c>
      <c r="AD54" s="35">
        <f>SKEW(K54:V54)</f>
        <v>0.17738277014466305</v>
      </c>
      <c r="AE54" s="35">
        <f>KURT(K54:V54)</f>
        <v>-0.68821415540399133</v>
      </c>
    </row>
    <row r="55" spans="2:31" x14ac:dyDescent="0.2">
      <c r="B55" s="34">
        <f>[40]FormattedData!A19</f>
        <v>106</v>
      </c>
      <c r="C55" s="34" t="str">
        <f>VLOOKUP($B55,[40]TrtCodes!$B$11:I62,2)</f>
        <v>NTH</v>
      </c>
      <c r="D55" s="34">
        <f>VLOOKUP($B55,[40]TrtCodes!$B$11:J62,3)</f>
        <v>9</v>
      </c>
      <c r="E55" s="34">
        <f>VLOOKUP($B55,[40]TrtCodes!$B$11:K62,4)</f>
        <v>2</v>
      </c>
      <c r="F55" s="34">
        <f>VLOOKUP($B55,[40]TrtCodes!$B$11:L62,5)</f>
        <v>2</v>
      </c>
      <c r="G55" s="34">
        <f>VLOOKUP($B55,[40]TrtCodes!$B$11:M62,6)</f>
        <v>2</v>
      </c>
      <c r="H55" s="34">
        <f>VLOOKUP($B55,[40]TrtCodes!$B$11:N62,7)</f>
        <v>2</v>
      </c>
      <c r="I55" s="34">
        <f>[40]FormattedData!B19</f>
        <v>2</v>
      </c>
      <c r="J55" s="37">
        <f>[40]FormattedData!C19</f>
        <v>13.148</v>
      </c>
      <c r="K55" s="39">
        <f>$J$3+[40]FormattedData!D19*$J$4+$M$4*$J$5+[40]FormattedData!D19^2*$J$6+$M$5*$J$7</f>
        <v>29.403990295135429</v>
      </c>
      <c r="L55" s="39">
        <f>$J$3+[40]FormattedData!E19*$J$4+$M$4*$J$5+[40]FormattedData!E19^2*$J$6+$M$5*$J$7</f>
        <v>31.056292397677996</v>
      </c>
      <c r="M55" s="39">
        <f>$J$3+[40]FormattedData!F19*$J$4+$M$4*$J$5+[40]FormattedData!F19^2*$J$6+$M$5*$J$7</f>
        <v>30.085829383245251</v>
      </c>
      <c r="N55" s="39">
        <f>$J$3+[40]FormattedData!G19*$J$4+$M$4*$J$5+[40]FormattedData!G19^2*$J$6+$M$5*$J$7</f>
        <v>32.98453786516415</v>
      </c>
      <c r="O55" s="39">
        <f>$J$3+[40]FormattedData!H19*$J$4+$M$4*$J$5+[40]FormattedData!H19^2*$J$6+$M$5*$J$7</f>
        <v>30.765597312996455</v>
      </c>
      <c r="P55" s="39">
        <f>$J$3+[40]FormattedData!I19*$J$4+$M$4*$J$5+[40]FormattedData!I19^2*$J$6+$M$5*$J$7</f>
        <v>29.208798710262673</v>
      </c>
      <c r="Q55" s="39">
        <f>$J$3+[40]FormattedData!J19*$J$4+$M$4*$J$5+[40]FormattedData!J19^2*$J$6+$M$5*$J$7</f>
        <v>29.793866242425771</v>
      </c>
      <c r="R55" s="39">
        <f>$J$3+[40]FormattedData!K19*$J$4+$M$4*$J$5+[40]FormattedData!K19^2*$J$6+$M$5*$J$7</f>
        <v>29.891229557903536</v>
      </c>
      <c r="S55" s="39">
        <f>$J$3+[40]FormattedData!L19*$J$4+$M$4*$J$5+[40]FormattedData!L19^2*$J$6+$M$5*$J$7</f>
        <v>29.988550604843358</v>
      </c>
      <c r="T55" s="39">
        <f>$J$3+[40]FormattedData!M19*$J$4+$M$4*$J$5+[40]FormattedData!M19^2*$J$6+$M$5*$J$7</f>
        <v>31.153106222162656</v>
      </c>
      <c r="U55" s="39">
        <f>$J$3+[40]FormattedData!N19*$J$4+$M$4*$J$5+[40]FormattedData!N19^2*$J$6+$M$5*$J$7</f>
        <v>30.571589247185766</v>
      </c>
      <c r="V55" s="39">
        <f>$J$3+[40]FormattedData!O19*$J$4+$M$4*$J$5+[40]FormattedData!O19^2*$J$6+$M$5*$J$7</f>
        <v>29.891229557903536</v>
      </c>
      <c r="W55" s="38">
        <f>AVERAGE(K55:V55)</f>
        <v>30.399551449742216</v>
      </c>
      <c r="X55" s="37">
        <f>STDEV(K55:V55)/SQRT(COUNT(K55:V55))</f>
        <v>0.29394017382259957</v>
      </c>
      <c r="Y55" s="36">
        <f>MIN(K55:V55)</f>
        <v>29.208798710262673</v>
      </c>
      <c r="Z55" s="35">
        <f>QUARTILE(K55:V55,1)</f>
        <v>29.866888729034095</v>
      </c>
      <c r="AA55" s="36">
        <f>MEDIAN(K55:V55)</f>
        <v>30.037189994044304</v>
      </c>
      <c r="AB55" s="35">
        <f>QUARTILE(K55:V55,3)</f>
        <v>30.838271084166841</v>
      </c>
      <c r="AC55" s="35">
        <f>MAX(K55:V55)</f>
        <v>32.98453786516415</v>
      </c>
      <c r="AD55" s="35">
        <f>SKEW(K55:V55)</f>
        <v>1.527087093304248</v>
      </c>
      <c r="AE55" s="35">
        <f>KURT(K55:V55)</f>
        <v>3.0727835642824752</v>
      </c>
    </row>
    <row r="56" spans="2:31" x14ac:dyDescent="0.2">
      <c r="B56" s="34">
        <f>[40]FormattedData!A17</f>
        <v>107</v>
      </c>
      <c r="C56" s="34" t="str">
        <f>VLOOKUP($B56,[40]TrtCodes!$B$11:I60,2)</f>
        <v>NTL</v>
      </c>
      <c r="D56" s="34">
        <f>VLOOKUP($B56,[40]TrtCodes!$B$11:J60,3)</f>
        <v>10</v>
      </c>
      <c r="E56" s="34">
        <f>VLOOKUP($B56,[40]TrtCodes!$B$11:K60,4)</f>
        <v>2</v>
      </c>
      <c r="F56" s="34">
        <f>VLOOKUP($B56,[40]TrtCodes!$B$11:L60,5)</f>
        <v>2</v>
      </c>
      <c r="G56" s="34">
        <f>VLOOKUP($B56,[40]TrtCodes!$B$11:M60,6)</f>
        <v>1</v>
      </c>
      <c r="H56" s="34">
        <f>VLOOKUP($B56,[40]TrtCodes!$B$11:N60,7)</f>
        <v>2</v>
      </c>
      <c r="I56" s="34">
        <f>[40]FormattedData!B17</f>
        <v>2</v>
      </c>
      <c r="J56" s="37">
        <f>[40]FormattedData!C17</f>
        <v>13.132</v>
      </c>
      <c r="K56" s="39">
        <f>$J$3+[40]FormattedData!D17*$J$4+$M$4*$J$5+[40]FormattedData!D17^2*$J$6+$M$5*$J$7</f>
        <v>29.01343805123819</v>
      </c>
      <c r="L56" s="39">
        <f>$J$3+[40]FormattedData!E17*$J$4+$M$4*$J$5+[40]FormattedData!E17^2*$J$6+$M$5*$J$7</f>
        <v>31.056292397677996</v>
      </c>
      <c r="M56" s="39">
        <f>$J$3+[40]FormattedData!F17*$J$4+$M$4*$J$5+[40]FormattedData!F17^2*$J$6+$M$5*$J$7</f>
        <v>31.346607065518171</v>
      </c>
      <c r="N56" s="39">
        <f>$J$3+[40]FormattedData!G17*$J$4+$M$4*$J$5+[40]FormattedData!G17^2*$J$6+$M$5*$J$7</f>
        <v>32.504061568465033</v>
      </c>
      <c r="O56" s="39">
        <f>$J$3+[40]FormattedData!H17*$J$4+$M$4*$J$5+[40]FormattedData!H17^2*$J$6+$M$5*$J$7</f>
        <v>30.280260134435252</v>
      </c>
      <c r="P56" s="39">
        <f>$J$3+[40]FormattedData!I17*$J$4+$M$4*$J$5+[40]FormattedData!I17^2*$J$6+$M$5*$J$7</f>
        <v>30.959436304655416</v>
      </c>
      <c r="Q56" s="39">
        <f>$J$3+[40]FormattedData!J17*$J$4+$M$4*$J$5+[40]FormattedData!J17^2*$J$6+$M$5*$J$7</f>
        <v>31.346607065518171</v>
      </c>
      <c r="R56" s="39">
        <f>$J$3+[40]FormattedData!K17*$J$4+$M$4*$J$5+[40]FormattedData!K17^2*$J$6+$M$5*$J$7</f>
        <v>29.988550604843358</v>
      </c>
      <c r="S56" s="39">
        <f>$J$3+[40]FormattedData!L17*$J$4+$M$4*$J$5+[40]FormattedData!L17^2*$J$6+$M$5*$J$7</f>
        <v>32.118919697422974</v>
      </c>
      <c r="T56" s="39">
        <f>$J$3+[40]FormattedData!M17*$J$4+$M$4*$J$5+[40]FormattedData!M17^2*$J$6+$M$5*$J$7</f>
        <v>31.926095150674364</v>
      </c>
      <c r="U56" s="39">
        <f>$J$3+[40]FormattedData!N17*$J$4+$M$4*$J$5+[40]FormattedData!N17^2*$J$6+$M$5*$J$7</f>
        <v>30.280260134435252</v>
      </c>
      <c r="V56" s="39">
        <f>$J$3+[40]FormattedData!O17*$J$4+$M$4*$J$5+[40]FormattedData!O17^2*$J$6+$M$5*$J$7</f>
        <v>30.862537943094903</v>
      </c>
      <c r="W56" s="38">
        <f>AVERAGE(K56:V56)</f>
        <v>30.973588843164922</v>
      </c>
      <c r="X56" s="37">
        <f>STDEV(K56:V56)/SQRT(COUNT(K56:V56))</f>
        <v>0.28381807436371143</v>
      </c>
      <c r="Y56" s="36">
        <f>MIN(K56:V56)</f>
        <v>29.01343805123819</v>
      </c>
      <c r="Z56" s="35">
        <f>QUARTILE(K56:V56,1)</f>
        <v>30.280260134435252</v>
      </c>
      <c r="AA56" s="36">
        <f>MEDIAN(K56:V56)</f>
        <v>31.007864351166706</v>
      </c>
      <c r="AB56" s="35">
        <f>QUARTILE(K56:V56,3)</f>
        <v>31.491479086807217</v>
      </c>
      <c r="AC56" s="35">
        <f>MAX(K56:V56)</f>
        <v>32.504061568465033</v>
      </c>
      <c r="AD56" s="35">
        <f>SKEW(K56:V56)</f>
        <v>-0.35574286600052007</v>
      </c>
      <c r="AE56" s="35">
        <f>KURT(K56:V56)</f>
        <v>5.3796925870928547E-2</v>
      </c>
    </row>
    <row r="57" spans="2:31" x14ac:dyDescent="0.2">
      <c r="B57" s="34">
        <f>[40]FormattedData!A15</f>
        <v>108</v>
      </c>
      <c r="C57" s="34" t="str">
        <f>VLOOKUP($B57,[40]TrtCodes!$B$11:I58,2)</f>
        <v>FTH</v>
      </c>
      <c r="D57" s="34">
        <f>VLOOKUP($B57,[40]TrtCodes!$B$11:J58,3)</f>
        <v>3</v>
      </c>
      <c r="E57" s="34">
        <f>VLOOKUP($B57,[40]TrtCodes!$B$11:K58,4)</f>
        <v>1</v>
      </c>
      <c r="F57" s="34">
        <f>VLOOKUP($B57,[40]TrtCodes!$B$11:L58,5)</f>
        <v>2</v>
      </c>
      <c r="G57" s="34">
        <f>VLOOKUP($B57,[40]TrtCodes!$B$11:M58,6)</f>
        <v>2</v>
      </c>
      <c r="H57" s="34">
        <f>VLOOKUP($B57,[40]TrtCodes!$B$11:N58,7)</f>
        <v>2</v>
      </c>
      <c r="I57" s="34">
        <f>[40]FormattedData!B15</f>
        <v>2</v>
      </c>
      <c r="J57" s="37">
        <f>[40]FormattedData!C15</f>
        <v>13.114000000000001</v>
      </c>
      <c r="K57" s="39">
        <f>$J$3+[40]FormattedData!D15*$J$4+$M$4*$J$5+[40]FormattedData!D15^2*$J$6+$M$5*$J$7</f>
        <v>29.988550604843358</v>
      </c>
      <c r="L57" s="39">
        <f>$J$3+[40]FormattedData!E15*$J$4+$M$4*$J$5+[40]FormattedData!E15^2*$J$6+$M$5*$J$7</f>
        <v>30.280260134435252</v>
      </c>
      <c r="M57" s="39">
        <f>$J$3+[40]FormattedData!F15*$J$4+$M$4*$J$5+[40]FormattedData!F15^2*$J$6+$M$5*$J$7</f>
        <v>29.793866242425771</v>
      </c>
      <c r="N57" s="39">
        <f>$J$3+[40]FormattedData!G15*$J$4+$M$4*$J$5+[40]FormattedData!G15^2*$J$6+$M$5*$J$7</f>
        <v>28.915694318919051</v>
      </c>
      <c r="O57" s="39">
        <f>$J$3+[40]FormattedData!H15*$J$4+$M$4*$J$5+[40]FormattedData!H15^2*$J$6+$M$5*$J$7</f>
        <v>30.085829383245251</v>
      </c>
      <c r="P57" s="39">
        <f>$J$3+[40]FormattedData!I15*$J$4+$M$4*$J$5+[40]FormattedData!I15^2*$J$6+$M$5*$J$7</f>
        <v>28.132222793000423</v>
      </c>
      <c r="Q57" s="39">
        <f>$J$3+[40]FormattedData!J15*$J$4+$M$4*$J$5+[40]FormattedData!J15^2*$J$6+$M$5*$J$7</f>
        <v>32.98453786516415</v>
      </c>
      <c r="R57" s="39">
        <f>$J$3+[40]FormattedData!K15*$J$4+$M$4*$J$5+[40]FormattedData!K15^2*$J$6+$M$5*$J$7</f>
        <v>30.37741210722336</v>
      </c>
      <c r="S57" s="39">
        <f>$J$3+[40]FormattedData!L15*$J$4+$M$4*$J$5+[40]FormattedData!L15^2*$J$6+$M$5*$J$7</f>
        <v>32.022528558317632</v>
      </c>
      <c r="T57" s="39">
        <f>$J$3+[40]FormattedData!M15*$J$4+$M$4*$J$5+[40]FormattedData!M15^2*$J$6+$M$5*$J$7</f>
        <v>28.817908318061981</v>
      </c>
      <c r="U57" s="39">
        <f>$J$3+[40]FormattedData!N15*$J$4+$M$4*$J$5+[40]FormattedData!N15^2*$J$6+$M$5*$J$7</f>
        <v>31.539938834721958</v>
      </c>
      <c r="V57" s="39">
        <f>$J$3+[40]FormattedData!O15*$J$4+$M$4*$J$5+[40]FormattedData!O15^2*$J$6+$M$5*$J$7</f>
        <v>31.346607065518171</v>
      </c>
      <c r="W57" s="38">
        <f>AVERAGE(K57:V57)</f>
        <v>30.357113018823032</v>
      </c>
      <c r="X57" s="37">
        <f>STDEV(K57:V57)/SQRT(COUNT(K57:V57))</f>
        <v>0.40811020061508241</v>
      </c>
      <c r="Y57" s="36">
        <f>MIN(K57:V57)</f>
        <v>28.132222793000423</v>
      </c>
      <c r="Z57" s="35">
        <f>QUARTILE(K57:V57,1)</f>
        <v>29.57432326154909</v>
      </c>
      <c r="AA57" s="36">
        <f>MEDIAN(K57:V57)</f>
        <v>30.183044758840254</v>
      </c>
      <c r="AB57" s="35">
        <f>QUARTILE(K57:V57,3)</f>
        <v>31.394940007819116</v>
      </c>
      <c r="AC57" s="35">
        <f>MAX(K57:V57)</f>
        <v>32.98453786516415</v>
      </c>
      <c r="AD57" s="35">
        <f>SKEW(K57:V57)</f>
        <v>0.2886709029808997</v>
      </c>
      <c r="AE57" s="35">
        <f>KURT(K57:V57)</f>
        <v>-0.37170154833881064</v>
      </c>
    </row>
    <row r="58" spans="2:31" x14ac:dyDescent="0.2">
      <c r="B58" s="34">
        <f>[40]FormattedData!A31</f>
        <v>201</v>
      </c>
      <c r="C58" s="34" t="str">
        <f>VLOOKUP($B58,[40]TrtCodes!$B$11:I74,2)</f>
        <v>NDL</v>
      </c>
      <c r="D58" s="34">
        <f>VLOOKUP($B58,[40]TrtCodes!$B$11:J74,3)</f>
        <v>12</v>
      </c>
      <c r="E58" s="34">
        <f>VLOOKUP($B58,[40]TrtCodes!$B$11:K74,4)</f>
        <v>2</v>
      </c>
      <c r="F58" s="34">
        <f>VLOOKUP($B58,[40]TrtCodes!$B$11:L74,5)</f>
        <v>3</v>
      </c>
      <c r="G58" s="34">
        <f>VLOOKUP($B58,[40]TrtCodes!$B$11:M74,6)</f>
        <v>1</v>
      </c>
      <c r="H58" s="34">
        <f>VLOOKUP($B58,[40]TrtCodes!$B$11:N74,7)</f>
        <v>1</v>
      </c>
      <c r="I58" s="34">
        <f>[40]FormattedData!B31</f>
        <v>2</v>
      </c>
      <c r="J58" s="37">
        <f>[40]FormattedData!C31</f>
        <v>13.249000000000001</v>
      </c>
      <c r="K58" s="39">
        <f>$J$3+[40]FormattedData!D31*$J$4+$M$4*$J$5+[40]FormattedData!D31^2*$J$6+$M$5*$J$7</f>
        <v>29.599012805856461</v>
      </c>
      <c r="L58" s="39">
        <f>$J$3+[40]FormattedData!E31*$J$4+$M$4*$J$5+[40]FormattedData!E31^2*$J$6+$M$5*$J$7</f>
        <v>29.891229557903536</v>
      </c>
      <c r="M58" s="39">
        <f>$J$3+[40]FormattedData!F31*$J$4+$M$4*$J$5+[40]FormattedData!F31^2*$J$6+$M$5*$J$7</f>
        <v>29.208798710262673</v>
      </c>
      <c r="N58" s="39">
        <f>$J$3+[40]FormattedData!G31*$J$4+$M$4*$J$5+[40]FormattedData!G31^2*$J$6+$M$5*$J$7</f>
        <v>29.793866242425771</v>
      </c>
      <c r="O58" s="39">
        <f>$J$3+[40]FormattedData!H31*$J$4+$M$4*$J$5+[40]FormattedData!H31^2*$J$6+$M$5*$J$7</f>
        <v>30.085829383245251</v>
      </c>
      <c r="P58" s="39">
        <f>$J$3+[40]FormattedData!I31*$J$4+$M$4*$J$5+[40]FormattedData!I31^2*$J$6+$M$5*$J$7</f>
        <v>29.403990295135429</v>
      </c>
      <c r="Q58" s="39">
        <f>$J$3+[40]FormattedData!J31*$J$4+$M$4*$J$5+[40]FormattedData!J31^2*$J$6+$M$5*$J$7</f>
        <v>28.426341629254395</v>
      </c>
      <c r="R58" s="39">
        <f>$J$3+[40]FormattedData!K31*$J$4+$M$4*$J$5+[40]FormattedData!K31^2*$J$6+$M$5*$J$7</f>
        <v>29.306415636968016</v>
      </c>
      <c r="S58" s="39">
        <f>$J$3+[40]FormattedData!L31*$J$4+$M$4*$J$5+[40]FormattedData!L31^2*$J$6+$M$5*$J$7</f>
        <v>28.915694318919051</v>
      </c>
      <c r="T58" s="39">
        <f>$J$3+[40]FormattedData!M31*$J$4+$M$4*$J$5+[40]FormattedData!M31^2*$J$6+$M$5*$J$7</f>
        <v>30.765597312996455</v>
      </c>
      <c r="U58" s="39">
        <f>$J$3+[40]FormattedData!N31*$J$4+$M$4*$J$5+[40]FormattedData!N31^2*$J$6+$M$5*$J$7</f>
        <v>29.01343805123819</v>
      </c>
      <c r="V58" s="39">
        <f>$J$3+[40]FormattedData!O31*$J$4+$M$4*$J$5+[40]FormattedData!O31^2*$J$6+$M$5*$J$7</f>
        <v>29.501522684764915</v>
      </c>
      <c r="W58" s="38">
        <f>AVERAGE(K58:V58)</f>
        <v>29.492644719080847</v>
      </c>
      <c r="X58" s="37">
        <f>STDEV(K58:V58)/SQRT(COUNT(K58:V58))</f>
        <v>0.17528971967940837</v>
      </c>
      <c r="Y58" s="36">
        <f>MIN(K58:V58)</f>
        <v>28.426341629254395</v>
      </c>
      <c r="Z58" s="35">
        <f>QUARTILE(K58:V58,1)</f>
        <v>29.159958545506552</v>
      </c>
      <c r="AA58" s="36">
        <f>MEDIAN(K58:V58)</f>
        <v>29.452756489950172</v>
      </c>
      <c r="AB58" s="35">
        <f>QUARTILE(K58:V58,3)</f>
        <v>29.818207071295213</v>
      </c>
      <c r="AC58" s="35">
        <f>MAX(K58:V58)</f>
        <v>30.765597312996455</v>
      </c>
      <c r="AD58" s="35">
        <f>SKEW(K58:V58)</f>
        <v>0.39894424322397476</v>
      </c>
      <c r="AE58" s="35">
        <f>KURT(K58:V58)</f>
        <v>0.88937466535063781</v>
      </c>
    </row>
    <row r="59" spans="2:31" x14ac:dyDescent="0.2">
      <c r="B59" s="34">
        <f>[40]FormattedData!A33</f>
        <v>202</v>
      </c>
      <c r="C59" s="34" t="str">
        <f>VLOOKUP($B59,[40]TrtCodes!$B$11:I76,2)</f>
        <v>NTH</v>
      </c>
      <c r="D59" s="34">
        <f>VLOOKUP($B59,[40]TrtCodes!$B$11:J76,3)</f>
        <v>9</v>
      </c>
      <c r="E59" s="34">
        <f>VLOOKUP($B59,[40]TrtCodes!$B$11:K76,4)</f>
        <v>2</v>
      </c>
      <c r="F59" s="34">
        <f>VLOOKUP($B59,[40]TrtCodes!$B$11:L76,5)</f>
        <v>2</v>
      </c>
      <c r="G59" s="34">
        <f>VLOOKUP($B59,[40]TrtCodes!$B$11:M76,6)</f>
        <v>2</v>
      </c>
      <c r="H59" s="34">
        <f>VLOOKUP($B59,[40]TrtCodes!$B$11:N76,7)</f>
        <v>1</v>
      </c>
      <c r="I59" s="34">
        <f>[40]FormattedData!B33</f>
        <v>2</v>
      </c>
      <c r="J59" s="37">
        <f>[40]FormattedData!C33</f>
        <v>13.265000000000001</v>
      </c>
      <c r="K59" s="39">
        <f>$J$3+[40]FormattedData!D33*$J$4+$M$4*$J$5+[40]FormattedData!D33^2*$J$6+$M$5*$J$7</f>
        <v>29.306415636968016</v>
      </c>
      <c r="L59" s="39">
        <f>$J$3+[40]FormattedData!E33*$J$4+$M$4*$J$5+[40]FormattedData!E33^2*$J$6+$M$5*$J$7</f>
        <v>30.474521811473529</v>
      </c>
      <c r="M59" s="39">
        <f>$J$3+[40]FormattedData!F33*$J$4+$M$4*$J$5+[40]FormattedData!F33^2*$J$6+$M$5*$J$7</f>
        <v>30.765597312996455</v>
      </c>
      <c r="N59" s="39">
        <f>$J$3+[40]FormattedData!G33*$J$4+$M$4*$J$5+[40]FormattedData!G33^2*$J$6+$M$5*$J$7</f>
        <v>32.118919697422974</v>
      </c>
      <c r="O59" s="39">
        <f>$J$3+[40]FormattedData!H33*$J$4+$M$4*$J$5+[40]FormattedData!H33^2*$J$6+$M$5*$J$7</f>
        <v>33.463957448414988</v>
      </c>
      <c r="P59" s="39">
        <f>$J$3+[40]FormattedData!I33*$J$4+$M$4*$J$5+[40]FormattedData!I33^2*$J$6+$M$5*$J$7</f>
        <v>30.862537943094903</v>
      </c>
      <c r="Q59" s="39">
        <f>$J$3+[40]FormattedData!J33*$J$4+$M$4*$J$5+[40]FormattedData!J33^2*$J$6+$M$5*$J$7</f>
        <v>34.800710565972501</v>
      </c>
      <c r="R59" s="39">
        <f>$J$3+[40]FormattedData!K33*$J$4+$M$4*$J$5+[40]FormattedData!K33^2*$J$6+$M$5*$J$7</f>
        <v>31.926095150674364</v>
      </c>
      <c r="S59" s="39">
        <f>$J$3+[40]FormattedData!L33*$J$4+$M$4*$J$5+[40]FormattedData!L33^2*$J$6+$M$5*$J$7</f>
        <v>43.743839777519014</v>
      </c>
      <c r="T59" s="39">
        <f>$J$3+[40]FormattedData!M33*$J$4+$M$4*$J$5+[40]FormattedData!M33^2*$J$6+$M$5*$J$7</f>
        <v>32.215268567990378</v>
      </c>
      <c r="U59" s="39">
        <f>$J$3+[40]FormattedData!N33*$J$4+$M$4*$J$5+[40]FormattedData!N33^2*$J$6+$M$5*$J$7</f>
        <v>31.056292397677996</v>
      </c>
      <c r="V59" s="39">
        <f>$J$3+[40]FormattedData!O33*$J$4+$M$4*$J$5+[40]FormattedData!O33^2*$J$6+$M$5*$J$7</f>
        <v>29.599012805856461</v>
      </c>
      <c r="W59" s="38">
        <f>AVERAGE(K59:V59)</f>
        <v>32.527764093005139</v>
      </c>
      <c r="X59" s="37">
        <f>STDEV(K59:V59)/SQRT(COUNT(K59:V59))</f>
        <v>1.1135658762624825</v>
      </c>
      <c r="Y59" s="36">
        <f>MIN(K59:V59)</f>
        <v>29.306415636968016</v>
      </c>
      <c r="Z59" s="35">
        <f>QUARTILE(K59:V59,1)</f>
        <v>30.692828437615724</v>
      </c>
      <c r="AA59" s="36">
        <f>MEDIAN(K59:V59)</f>
        <v>31.491193774176182</v>
      </c>
      <c r="AB59" s="35">
        <f>QUARTILE(K59:V59,3)</f>
        <v>32.527440788096527</v>
      </c>
      <c r="AC59" s="35">
        <f>MAX(K59:V59)</f>
        <v>43.743839777519014</v>
      </c>
      <c r="AD59" s="35">
        <f>SKEW(K59:V59)</f>
        <v>2.5519052007434011</v>
      </c>
      <c r="AE59" s="35">
        <f>KURT(K59:V59)</f>
        <v>7.405934993233398</v>
      </c>
    </row>
    <row r="60" spans="2:31" x14ac:dyDescent="0.2">
      <c r="B60" s="34">
        <f>[40]FormattedData!A35</f>
        <v>203</v>
      </c>
      <c r="C60" s="34" t="str">
        <f>VLOOKUP($B60,[40]TrtCodes!$B$11:I78,2)</f>
        <v>FTH</v>
      </c>
      <c r="D60" s="34">
        <f>VLOOKUP($B60,[40]TrtCodes!$B$11:J78,3)</f>
        <v>3</v>
      </c>
      <c r="E60" s="34">
        <f>VLOOKUP($B60,[40]TrtCodes!$B$11:K78,4)</f>
        <v>1</v>
      </c>
      <c r="F60" s="34">
        <f>VLOOKUP($B60,[40]TrtCodes!$B$11:L78,5)</f>
        <v>2</v>
      </c>
      <c r="G60" s="34">
        <f>VLOOKUP($B60,[40]TrtCodes!$B$11:M78,6)</f>
        <v>2</v>
      </c>
      <c r="H60" s="34">
        <f>VLOOKUP($B60,[40]TrtCodes!$B$11:N78,7)</f>
        <v>1</v>
      </c>
      <c r="I60" s="34">
        <f>[40]FormattedData!B35</f>
        <v>2</v>
      </c>
      <c r="J60" s="37">
        <f>[40]FormattedData!C35</f>
        <v>13.281000000000001</v>
      </c>
      <c r="K60" s="39">
        <f>$J$3+[40]FormattedData!D35*$J$4+$M$4*$J$5+[40]FormattedData!D35^2*$J$6+$M$5*$J$7</f>
        <v>29.988550604843358</v>
      </c>
      <c r="L60" s="39">
        <f>$J$3+[40]FormattedData!E35*$J$4+$M$4*$J$5+[40]FormattedData!E35^2*$J$6+$M$5*$J$7</f>
        <v>31.346607065518171</v>
      </c>
      <c r="M60" s="39">
        <f>$J$3+[40]FormattedData!F35*$J$4+$M$4*$J$5+[40]FormattedData!F35^2*$J$6+$M$5*$J$7</f>
        <v>40.435816344154702</v>
      </c>
      <c r="N60" s="39">
        <f>$J$3+[40]FormattedData!G35*$J$4+$M$4*$J$5+[40]FormattedData!G35^2*$J$6+$M$5*$J$7</f>
        <v>31.733101529774018</v>
      </c>
      <c r="O60" s="39">
        <f>$J$3+[40]FormattedData!H35*$J$4+$M$4*$J$5+[40]FormattedData!H35^2*$J$6+$M$5*$J$7</f>
        <v>31.636541316516954</v>
      </c>
      <c r="P60" s="39">
        <f>$J$3+[40]FormattedData!I35*$J$4+$M$4*$J$5+[40]FormattedData!I35^2*$J$6+$M$5*$J$7</f>
        <v>31.056292397677996</v>
      </c>
      <c r="Q60" s="39">
        <f>$J$3+[40]FormattedData!J35*$J$4+$M$4*$J$5+[40]FormattedData!J35^2*$J$6+$M$5*$J$7</f>
        <v>30.37741210722336</v>
      </c>
      <c r="R60" s="39">
        <f>$J$3+[40]FormattedData!K35*$J$4+$M$4*$J$5+[40]FormattedData!K35^2*$J$6+$M$5*$J$7</f>
        <v>31.539938834721958</v>
      </c>
      <c r="S60" s="39">
        <f>$J$3+[40]FormattedData!L35*$J$4+$M$4*$J$5+[40]FormattedData!L35^2*$J$6+$M$5*$J$7</f>
        <v>30.183065893109223</v>
      </c>
      <c r="T60" s="39">
        <f>$J$3+[40]FormattedData!M35*$J$4+$M$4*$J$5+[40]FormattedData!M35^2*$J$6+$M$5*$J$7</f>
        <v>29.988550604843358</v>
      </c>
      <c r="U60" s="39">
        <f>$J$3+[40]FormattedData!N35*$J$4+$M$4*$J$5+[40]FormattedData!N35^2*$J$6+$M$5*$J$7</f>
        <v>30.085829383245251</v>
      </c>
      <c r="V60" s="39">
        <f>$J$3+[40]FormattedData!O35*$J$4+$M$4*$J$5+[40]FormattedData!O35^2*$J$6+$M$5*$J$7</f>
        <v>31.346607065518171</v>
      </c>
      <c r="W60" s="38">
        <f>AVERAGE(K60:V60)</f>
        <v>31.643192762262213</v>
      </c>
      <c r="X60" s="37">
        <f>STDEV(K60:V60)/SQRT(COUNT(K60:V60))</f>
        <v>0.8233552476079915</v>
      </c>
      <c r="Y60" s="36">
        <f>MIN(K60:V60)</f>
        <v>29.988550604843358</v>
      </c>
      <c r="Z60" s="35">
        <f>QUARTILE(K60:V60,1)</f>
        <v>30.158756765643229</v>
      </c>
      <c r="AA60" s="36">
        <f>MEDIAN(K60:V60)</f>
        <v>31.201449731598082</v>
      </c>
      <c r="AB60" s="35">
        <f>QUARTILE(K60:V60,3)</f>
        <v>31.564089455170709</v>
      </c>
      <c r="AC60" s="35">
        <f>MAX(K60:V60)</f>
        <v>40.435816344154702</v>
      </c>
      <c r="AD60" s="35">
        <f>SKEW(K60:V60)</f>
        <v>3.1102994619039697</v>
      </c>
      <c r="AE60" s="35">
        <f>KURT(K60:V60)</f>
        <v>10.265161767739105</v>
      </c>
    </row>
    <row r="61" spans="2:31" x14ac:dyDescent="0.2">
      <c r="B61" s="34">
        <f>[40]FormattedData!A37</f>
        <v>204</v>
      </c>
      <c r="C61" s="34" t="str">
        <f>VLOOKUP($B61,[40]TrtCodes!$B$11:I80,2)</f>
        <v>NDH</v>
      </c>
      <c r="D61" s="34">
        <f>VLOOKUP($B61,[40]TrtCodes!$B$11:J80,3)</f>
        <v>11</v>
      </c>
      <c r="E61" s="34">
        <f>VLOOKUP($B61,[40]TrtCodes!$B$11:K80,4)</f>
        <v>2</v>
      </c>
      <c r="F61" s="34">
        <f>VLOOKUP($B61,[40]TrtCodes!$B$11:L80,5)</f>
        <v>3</v>
      </c>
      <c r="G61" s="34">
        <f>VLOOKUP($B61,[40]TrtCodes!$B$11:M80,6)</f>
        <v>2</v>
      </c>
      <c r="H61" s="34">
        <f>VLOOKUP($B61,[40]TrtCodes!$B$11:N80,7)</f>
        <v>1</v>
      </c>
      <c r="I61" s="34">
        <f>[40]FormattedData!B37</f>
        <v>2</v>
      </c>
      <c r="J61" s="37">
        <f>[40]FormattedData!C37</f>
        <v>13.297000000000001</v>
      </c>
      <c r="K61" s="39">
        <f>$J$3+[40]FormattedData!D37*$J$4+$M$4*$J$5+[40]FormattedData!D37^2*$J$6+$M$5*$J$7</f>
        <v>29.208798710262673</v>
      </c>
      <c r="L61" s="39">
        <f>$J$3+[40]FormattedData!E37*$J$4+$M$4*$J$5+[40]FormattedData!E37^2*$J$6+$M$5*$J$7</f>
        <v>29.306415636968016</v>
      </c>
      <c r="M61" s="39">
        <f>$J$3+[40]FormattedData!F37*$J$4+$M$4*$J$5+[40]FormattedData!F37^2*$J$6+$M$5*$J$7</f>
        <v>31.249877778109372</v>
      </c>
      <c r="N61" s="39">
        <f>$J$3+[40]FormattedData!G37*$J$4+$M$4*$J$5+[40]FormattedData!G37^2*$J$6+$M$5*$J$7</f>
        <v>33.080506318890173</v>
      </c>
      <c r="O61" s="39">
        <f>$J$3+[40]FormattedData!H37*$J$4+$M$4*$J$5+[40]FormattedData!H37^2*$J$6+$M$5*$J$7</f>
        <v>28.622209510734049</v>
      </c>
      <c r="P61" s="39">
        <f>$J$3+[40]FormattedData!I37*$J$4+$M$4*$J$5+[40]FormattedData!I37^2*$J$6+$M$5*$J$7</f>
        <v>31.153106222162656</v>
      </c>
      <c r="Q61" s="39">
        <f>$J$3+[40]FormattedData!J37*$J$4+$M$4*$J$5+[40]FormattedData!J37^2*$J$6+$M$5*$J$7</f>
        <v>30.474521811473529</v>
      </c>
      <c r="R61" s="39">
        <f>$J$3+[40]FormattedData!K37*$J$4+$M$4*$J$5+[40]FormattedData!K37^2*$J$6+$M$5*$J$7</f>
        <v>30.765597312996455</v>
      </c>
      <c r="S61" s="39">
        <f>$J$3+[40]FormattedData!L37*$J$4+$M$4*$J$5+[40]FormattedData!L37^2*$J$6+$M$5*$J$7</f>
        <v>31.926095150674364</v>
      </c>
      <c r="T61" s="39">
        <f>$J$3+[40]FormattedData!M37*$J$4+$M$4*$J$5+[40]FormattedData!M37^2*$J$6+$M$5*$J$7</f>
        <v>30.37741210722336</v>
      </c>
      <c r="U61" s="39">
        <f>$J$3+[40]FormattedData!N37*$J$4+$M$4*$J$5+[40]FormattedData!N37^2*$J$6+$M$5*$J$7</f>
        <v>29.988550604843358</v>
      </c>
      <c r="V61" s="39">
        <f>$J$3+[40]FormattedData!O37*$J$4+$M$4*$J$5+[40]FormattedData!O37^2*$J$6+$M$5*$J$7</f>
        <v>29.988550604843358</v>
      </c>
      <c r="W61" s="38">
        <f>AVERAGE(K61:V61)</f>
        <v>30.511803480765106</v>
      </c>
      <c r="X61" s="37">
        <f>STDEV(K61:V61)/SQRT(COUNT(K61:V61))</f>
        <v>0.35789022089416928</v>
      </c>
      <c r="Y61" s="36">
        <f>MIN(K61:V61)</f>
        <v>28.622209510734049</v>
      </c>
      <c r="Z61" s="35">
        <f>QUARTILE(K61:V61,1)</f>
        <v>29.818016862874522</v>
      </c>
      <c r="AA61" s="36">
        <f>MEDIAN(K61:V61)</f>
        <v>30.425966959348443</v>
      </c>
      <c r="AB61" s="35">
        <f>QUARTILE(K61:V61,3)</f>
        <v>31.177299111149335</v>
      </c>
      <c r="AC61" s="35">
        <f>MAX(K61:V61)</f>
        <v>33.080506318890173</v>
      </c>
      <c r="AD61" s="35">
        <f>SKEW(K61:V61)</f>
        <v>0.54159691808313759</v>
      </c>
      <c r="AE61" s="35">
        <f>KURT(K61:V61)</f>
        <v>0.36224826864323401</v>
      </c>
    </row>
    <row r="62" spans="2:31" x14ac:dyDescent="0.2">
      <c r="B62" s="34">
        <f>[40]FormattedData!A39</f>
        <v>205</v>
      </c>
      <c r="C62" s="34" t="str">
        <f>VLOOKUP($B62,[40]TrtCodes!$B$11:I82,2)</f>
        <v>FSH</v>
      </c>
      <c r="D62" s="34">
        <f>VLOOKUP($B62,[40]TrtCodes!$B$11:J82,3)</f>
        <v>1</v>
      </c>
      <c r="E62" s="34">
        <f>VLOOKUP($B62,[40]TrtCodes!$B$11:K82,4)</f>
        <v>1</v>
      </c>
      <c r="F62" s="34">
        <f>VLOOKUP($B62,[40]TrtCodes!$B$11:L82,5)</f>
        <v>1</v>
      </c>
      <c r="G62" s="34">
        <f>VLOOKUP($B62,[40]TrtCodes!$B$11:M82,6)</f>
        <v>2</v>
      </c>
      <c r="H62" s="34">
        <f>VLOOKUP($B62,[40]TrtCodes!$B$11:N82,7)</f>
        <v>2</v>
      </c>
      <c r="I62" s="34">
        <f>[40]FormattedData!B39</f>
        <v>2</v>
      </c>
      <c r="J62" s="37">
        <f>[40]FormattedData!C39</f>
        <v>13.315</v>
      </c>
      <c r="K62" s="39">
        <f>$J$3+[40]FormattedData!D39*$J$4+$M$4*$J$5+[40]FormattedData!D39^2*$J$6+$M$5*$J$7</f>
        <v>35.181118360766263</v>
      </c>
      <c r="L62" s="39">
        <f>$J$3+[40]FormattedData!E39*$J$4+$M$4*$J$5+[40]FormattedData!E39^2*$J$6+$M$5*$J$7</f>
        <v>32.792474152098293</v>
      </c>
      <c r="M62" s="39">
        <f>$J$3+[40]FormattedData!F39*$J$4+$M$4*$J$5+[40]FormattedData!F39^2*$J$6+$M$5*$J$7</f>
        <v>32.696378892758467</v>
      </c>
      <c r="N62" s="39">
        <f>$J$3+[40]FormattedData!G39*$J$4+$M$4*$J$5+[40]FormattedData!G39^2*$J$6+$M$5*$J$7</f>
        <v>33.846732281332905</v>
      </c>
      <c r="O62" s="39">
        <f>$J$3+[40]FormattedData!H39*$J$4+$M$4*$J$5+[40]FormattedData!H39^2*$J$6+$M$5*$J$7</f>
        <v>41.175666738928392</v>
      </c>
      <c r="P62" s="39">
        <f>$J$3+[40]FormattedData!I39*$J$4+$M$4*$J$5+[40]FormattedData!I39^2*$J$6+$M$5*$J$7</f>
        <v>32.888527142900188</v>
      </c>
      <c r="Q62" s="39">
        <f>$J$3+[40]FormattedData!J39*$J$4+$M$4*$J$5+[40]FormattedData!J39^2*$J$6+$M$5*$J$7</f>
        <v>36.318283965506183</v>
      </c>
      <c r="R62" s="39">
        <f>$J$3+[40]FormattedData!K39*$J$4+$M$4*$J$5+[40]FormattedData!K39^2*$J$6+$M$5*$J$7</f>
        <v>31.539938834721958</v>
      </c>
      <c r="S62" s="39">
        <f>$J$3+[40]FormattedData!L39*$J$4+$M$4*$J$5+[40]FormattedData!L39^2*$J$6+$M$5*$J$7</f>
        <v>33.272316420728444</v>
      </c>
      <c r="T62" s="39">
        <f>$J$3+[40]FormattedData!M39*$J$4+$M$4*$J$5+[40]FormattedData!M39^2*$J$6+$M$5*$J$7</f>
        <v>32.600241364880716</v>
      </c>
      <c r="U62" s="39">
        <f>$J$3+[40]FormattedData!N39*$J$4+$M$4*$J$5+[40]FormattedData!N39^2*$J$6+$M$5*$J$7</f>
        <v>32.407839503511418</v>
      </c>
      <c r="V62" s="39">
        <f>$J$3+[40]FormattedData!O39*$J$4+$M$4*$J$5+[40]FormattedData!O39^2*$J$6+$M$5*$J$7</f>
        <v>34.22883081764391</v>
      </c>
      <c r="W62" s="38">
        <f>AVERAGE(K62:V62)</f>
        <v>34.079029039648098</v>
      </c>
      <c r="X62" s="37">
        <f>STDEV(K62:V62)/SQRT(COUNT(K62:V62))</f>
        <v>0.74736518968158494</v>
      </c>
      <c r="Y62" s="36">
        <f>MIN(K62:V62)</f>
        <v>31.539938834721958</v>
      </c>
      <c r="Z62" s="35">
        <f>QUARTILE(K62:V62,1)</f>
        <v>32.672344510789031</v>
      </c>
      <c r="AA62" s="36">
        <f>MEDIAN(K62:V62)</f>
        <v>33.080421781814316</v>
      </c>
      <c r="AB62" s="35">
        <f>QUARTILE(K62:V62,3)</f>
        <v>34.466902703424495</v>
      </c>
      <c r="AC62" s="35">
        <f>MAX(K62:V62)</f>
        <v>41.175666738928392</v>
      </c>
      <c r="AD62" s="35">
        <f>SKEW(K62:V62)</f>
        <v>2.1293115442473081</v>
      </c>
      <c r="AE62" s="35">
        <f>KURT(K62:V62)</f>
        <v>5.1771457454858094</v>
      </c>
    </row>
    <row r="63" spans="2:31" x14ac:dyDescent="0.2">
      <c r="B63" s="34">
        <f>[40]FormattedData!A41</f>
        <v>206</v>
      </c>
      <c r="C63" s="34" t="str">
        <f>VLOOKUP($B63,[40]TrtCodes!$B$11:I84,2)</f>
        <v>NSL</v>
      </c>
      <c r="D63" s="34">
        <f>VLOOKUP($B63,[40]TrtCodes!$B$11:J84,3)</f>
        <v>8</v>
      </c>
      <c r="E63" s="34">
        <f>VLOOKUP($B63,[40]TrtCodes!$B$11:K84,4)</f>
        <v>2</v>
      </c>
      <c r="F63" s="34">
        <f>VLOOKUP($B63,[40]TrtCodes!$B$11:L84,5)</f>
        <v>1</v>
      </c>
      <c r="G63" s="34">
        <f>VLOOKUP($B63,[40]TrtCodes!$B$11:M84,6)</f>
        <v>1</v>
      </c>
      <c r="H63" s="34">
        <f>VLOOKUP($B63,[40]TrtCodes!$B$11:N84,7)</f>
        <v>2</v>
      </c>
      <c r="I63" s="34">
        <f>[40]FormattedData!B41</f>
        <v>2</v>
      </c>
      <c r="J63" s="37">
        <f>[40]FormattedData!C41</f>
        <v>13.331</v>
      </c>
      <c r="K63" s="39">
        <f>$J$3+[40]FormattedData!D41*$J$4+$M$4*$J$5+[40]FormattedData!D41^2*$J$6+$M$5*$J$7</f>
        <v>31.926095150674364</v>
      </c>
      <c r="L63" s="39">
        <f>$J$3+[40]FormattedData!E41*$J$4+$M$4*$J$5+[40]FormattedData!E41^2*$J$6+$M$5*$J$7</f>
        <v>32.600241364880716</v>
      </c>
      <c r="M63" s="39">
        <f>$J$3+[40]FormattedData!F41*$J$4+$M$4*$J$5+[40]FormattedData!F41^2*$J$6+$M$5*$J$7</f>
        <v>32.792474152098293</v>
      </c>
      <c r="N63" s="39">
        <f>$J$3+[40]FormattedData!G41*$J$4+$M$4*$J$5+[40]FormattedData!G41^2*$J$6+$M$5*$J$7</f>
        <v>33.846732281332905</v>
      </c>
      <c r="O63" s="39">
        <f>$J$3+[40]FormattedData!H41*$J$4+$M$4*$J$5+[40]FormattedData!H41^2*$J$6+$M$5*$J$7</f>
        <v>39.507199182273787</v>
      </c>
      <c r="P63" s="39">
        <f>$J$3+[40]FormattedData!I41*$J$4+$M$4*$J$5+[40]FormattedData!I41^2*$J$6+$M$5*$J$7</f>
        <v>32.215268567990378</v>
      </c>
      <c r="Q63" s="39">
        <f>$J$3+[40]FormattedData!J41*$J$4+$M$4*$J$5+[40]FormattedData!J41^2*$J$6+$M$5*$J$7</f>
        <v>32.600241364880716</v>
      </c>
      <c r="R63" s="39">
        <f>$J$3+[40]FormattedData!K41*$J$4+$M$4*$J$5+[40]FormattedData!K41^2*$J$6+$M$5*$J$7</f>
        <v>33.942320318217554</v>
      </c>
      <c r="S63" s="39">
        <f>$J$3+[40]FormattedData!L41*$J$4+$M$4*$J$5+[40]FormattedData!L41^2*$J$6+$M$5*$J$7</f>
        <v>38.85465219095024</v>
      </c>
      <c r="T63" s="39">
        <f>$J$3+[40]FormattedData!M41*$J$4+$M$4*$J$5+[40]FormattedData!M41^2*$J$6+$M$5*$J$7</f>
        <v>36.412773020404614</v>
      </c>
      <c r="U63" s="39">
        <f>$J$3+[40]FormattedData!N41*$J$4+$M$4*$J$5+[40]FormattedData!N41^2*$J$6+$M$5*$J$7</f>
        <v>35.086079814874722</v>
      </c>
      <c r="V63" s="39">
        <f>$J$3+[40]FormattedData!O41*$J$4+$M$4*$J$5+[40]FormattedData!O41^2*$J$6+$M$5*$J$7</f>
        <v>34.324249780376839</v>
      </c>
      <c r="W63" s="38">
        <f>AVERAGE(K63:V63)</f>
        <v>34.509027265746262</v>
      </c>
      <c r="X63" s="37">
        <f>STDEV(K63:V63)/SQRT(COUNT(K63:V63))</f>
        <v>0.73228419754027496</v>
      </c>
      <c r="Y63" s="36">
        <f>MIN(K63:V63)</f>
        <v>31.926095150674364</v>
      </c>
      <c r="Z63" s="35">
        <f>QUARTILE(K63:V63,1)</f>
        <v>32.600241364880716</v>
      </c>
      <c r="AA63" s="36">
        <f>MEDIAN(K63:V63)</f>
        <v>33.894526299775229</v>
      </c>
      <c r="AB63" s="35">
        <f>QUARTILE(K63:V63,3)</f>
        <v>35.417753116257195</v>
      </c>
      <c r="AC63" s="35">
        <f>MAX(K63:V63)</f>
        <v>39.507199182273787</v>
      </c>
      <c r="AD63" s="35">
        <f>SKEW(K63:V63)</f>
        <v>1.1045369321156653</v>
      </c>
      <c r="AE63" s="35">
        <f>KURT(K63:V63)</f>
        <v>0.15905646837707277</v>
      </c>
    </row>
    <row r="64" spans="2:31" x14ac:dyDescent="0.2">
      <c r="B64" s="34">
        <f>[40]FormattedData!A43</f>
        <v>207</v>
      </c>
      <c r="C64" s="34" t="str">
        <f>VLOOKUP($B64,[40]TrtCodes!$B$11:I86,2)</f>
        <v>FTL</v>
      </c>
      <c r="D64" s="34">
        <f>VLOOKUP($B64,[40]TrtCodes!$B$11:J86,3)</f>
        <v>4</v>
      </c>
      <c r="E64" s="34">
        <f>VLOOKUP($B64,[40]TrtCodes!$B$11:K86,4)</f>
        <v>1</v>
      </c>
      <c r="F64" s="34">
        <f>VLOOKUP($B64,[40]TrtCodes!$B$11:L86,5)</f>
        <v>2</v>
      </c>
      <c r="G64" s="34">
        <f>VLOOKUP($B64,[40]TrtCodes!$B$11:M86,6)</f>
        <v>1</v>
      </c>
      <c r="H64" s="34">
        <f>VLOOKUP($B64,[40]TrtCodes!$B$11:N86,7)</f>
        <v>2</v>
      </c>
      <c r="I64" s="34">
        <f>[40]FormattedData!B43</f>
        <v>2</v>
      </c>
      <c r="J64" s="37">
        <f>[40]FormattedData!C43</f>
        <v>13.347</v>
      </c>
      <c r="K64" s="39">
        <f>$J$3+[40]FormattedData!D43*$J$4+$M$4*$J$5+[40]FormattedData!D43^2*$J$6+$M$5*$J$7</f>
        <v>31.926095150674364</v>
      </c>
      <c r="L64" s="39">
        <f>$J$3+[40]FormattedData!E43*$J$4+$M$4*$J$5+[40]FormattedData!E43^2*$J$6+$M$5*$J$7</f>
        <v>32.696378892758467</v>
      </c>
      <c r="M64" s="39">
        <f>$J$3+[40]FormattedData!F43*$J$4+$M$4*$J$5+[40]FormattedData!F43^2*$J$6+$M$5*$J$7</f>
        <v>32.888527142900188</v>
      </c>
      <c r="N64" s="39">
        <f>$J$3+[40]FormattedData!G43*$J$4+$M$4*$J$5+[40]FormattedData!G43^2*$J$6+$M$5*$J$7</f>
        <v>32.118919697422974</v>
      </c>
      <c r="O64" s="39">
        <f>$J$3+[40]FormattedData!H43*$J$4+$M$4*$J$5+[40]FormattedData!H43^2*$J$6+$M$5*$J$7</f>
        <v>32.022528558317632</v>
      </c>
      <c r="P64" s="39">
        <f>$J$3+[40]FormattedData!I43*$J$4+$M$4*$J$5+[40]FormattedData!I43^2*$J$6+$M$5*$J$7</f>
        <v>31.733101529774018</v>
      </c>
      <c r="Q64" s="39">
        <f>$J$3+[40]FormattedData!J43*$J$4+$M$4*$J$5+[40]FormattedData!J43^2*$J$6+$M$5*$J$7</f>
        <v>31.056292397677996</v>
      </c>
      <c r="R64" s="39">
        <f>$J$3+[40]FormattedData!K43*$J$4+$M$4*$J$5+[40]FormattedData!K43^2*$J$6+$M$5*$J$7</f>
        <v>32.504061568465033</v>
      </c>
      <c r="S64" s="39">
        <f>$J$3+[40]FormattedData!L43*$J$4+$M$4*$J$5+[40]FormattedData!L43^2*$J$6+$M$5*$J$7</f>
        <v>31.539938834721958</v>
      </c>
      <c r="T64" s="39">
        <f>$J$3+[40]FormattedData!M43*$J$4+$M$4*$J$5+[40]FormattedData!M43^2*$J$6+$M$5*$J$7</f>
        <v>32.407839503511418</v>
      </c>
      <c r="U64" s="39">
        <f>$J$3+[40]FormattedData!N43*$J$4+$M$4*$J$5+[40]FormattedData!N43^2*$J$6+$M$5*$J$7</f>
        <v>32.215268567990378</v>
      </c>
      <c r="V64" s="39">
        <f>$J$3+[40]FormattedData!O43*$J$4+$M$4*$J$5+[40]FormattedData!O43^2*$J$6+$M$5*$J$7</f>
        <v>31.056292397677996</v>
      </c>
      <c r="W64" s="38">
        <f>AVERAGE(K64:V64)</f>
        <v>32.01377035349104</v>
      </c>
      <c r="X64" s="37">
        <f>STDEV(K64:V64)/SQRT(COUNT(K64:V64))</f>
        <v>0.17018418631389778</v>
      </c>
      <c r="Y64" s="36">
        <f>MIN(K64:V64)</f>
        <v>31.056292397677996</v>
      </c>
      <c r="Z64" s="35">
        <f>QUARTILE(K64:V64,1)</f>
        <v>31.684810856011005</v>
      </c>
      <c r="AA64" s="36">
        <f>MEDIAN(K64:V64)</f>
        <v>32.070724127870307</v>
      </c>
      <c r="AB64" s="35">
        <f>QUARTILE(K64:V64,3)</f>
        <v>32.431895019749824</v>
      </c>
      <c r="AC64" s="35">
        <f>MAX(K64:V64)</f>
        <v>32.888527142900188</v>
      </c>
      <c r="AD64" s="35">
        <f>SKEW(K64:V64)</f>
        <v>-0.37743819788810917</v>
      </c>
      <c r="AE64" s="35">
        <f>KURT(K64:V64)</f>
        <v>-0.61040899453710384</v>
      </c>
    </row>
    <row r="65" spans="2:31" x14ac:dyDescent="0.2">
      <c r="B65" s="34">
        <f>[40]FormattedData!A45</f>
        <v>208</v>
      </c>
      <c r="C65" s="34" t="str">
        <f>VLOOKUP($B65,[40]TrtCodes!$B$11:I88,2)</f>
        <v>FSL</v>
      </c>
      <c r="D65" s="34">
        <f>VLOOKUP($B65,[40]TrtCodes!$B$11:J88,3)</f>
        <v>2</v>
      </c>
      <c r="E65" s="34">
        <f>VLOOKUP($B65,[40]TrtCodes!$B$11:K88,4)</f>
        <v>1</v>
      </c>
      <c r="F65" s="34">
        <f>VLOOKUP($B65,[40]TrtCodes!$B$11:L88,5)</f>
        <v>1</v>
      </c>
      <c r="G65" s="34">
        <f>VLOOKUP($B65,[40]TrtCodes!$B$11:M88,6)</f>
        <v>1</v>
      </c>
      <c r="H65" s="34">
        <f>VLOOKUP($B65,[40]TrtCodes!$B$11:N88,7)</f>
        <v>2</v>
      </c>
      <c r="I65" s="34">
        <f>[40]FormattedData!B45</f>
        <v>2</v>
      </c>
      <c r="J65" s="37">
        <f>[40]FormattedData!C45</f>
        <v>13.362</v>
      </c>
      <c r="K65" s="39">
        <f>$J$3+[40]FormattedData!D45*$J$4+$M$4*$J$5+[40]FormattedData!D45^2*$J$6+$M$5*$J$7</f>
        <v>31.443294084389027</v>
      </c>
      <c r="L65" s="39">
        <f>$J$3+[40]FormattedData!E45*$J$4+$M$4*$J$5+[40]FormattedData!E45^2*$J$6+$M$5*$J$7</f>
        <v>33.463957448414988</v>
      </c>
      <c r="M65" s="39">
        <f>$J$3+[40]FormattedData!F45*$J$4+$M$4*$J$5+[40]FormattedData!F45^2*$J$6+$M$5*$J$7</f>
        <v>34.419626474571842</v>
      </c>
      <c r="N65" s="39">
        <f>$J$3+[40]FormattedData!G45*$J$4+$M$4*$J$5+[40]FormattedData!G45^2*$J$6+$M$5*$J$7</f>
        <v>31.443294084389027</v>
      </c>
      <c r="O65" s="39">
        <f>$J$3+[40]FormattedData!H45*$J$4+$M$4*$J$5+[40]FormattedData!H45^2*$J$6+$M$5*$J$7</f>
        <v>35.371068646935569</v>
      </c>
      <c r="P65" s="39">
        <f>$J$3+[40]FormattedData!I45*$J$4+$M$4*$J$5+[40]FormattedData!I45^2*$J$6+$M$5*$J$7</f>
        <v>34.610253057348032</v>
      </c>
      <c r="Q65" s="39">
        <f>$J$3+[40]FormattedData!J45*$J$4+$M$4*$J$5+[40]FormattedData!J45^2*$J$6+$M$5*$J$7</f>
        <v>33.080506318890173</v>
      </c>
      <c r="R65" s="39">
        <f>$J$3+[40]FormattedData!K45*$J$4+$M$4*$J$5+[40]FormattedData!K45^2*$J$6+$M$5*$J$7</f>
        <v>39.507199182273787</v>
      </c>
      <c r="S65" s="39">
        <f>$J$3+[40]FormattedData!L45*$J$4+$M$4*$J$5+[40]FormattedData!L45^2*$J$6+$M$5*$J$7</f>
        <v>34.419626474571842</v>
      </c>
      <c r="T65" s="39">
        <f>$J$3+[40]FormattedData!M45*$J$4+$M$4*$J$5+[40]FormattedData!M45^2*$J$6+$M$5*$J$7</f>
        <v>34.895875917477845</v>
      </c>
      <c r="U65" s="39">
        <f>$J$3+[40]FormattedData!N45*$J$4+$M$4*$J$5+[40]FormattedData!N45^2*$J$6+$M$5*$J$7</f>
        <v>33.080506318890173</v>
      </c>
      <c r="V65" s="39">
        <f>$J$3+[40]FormattedData!O45*$J$4+$M$4*$J$5+[40]FormattedData!O45^2*$J$6+$M$5*$J$7</f>
        <v>33.176432504078278</v>
      </c>
      <c r="W65" s="38">
        <f>AVERAGE(K65:V65)</f>
        <v>34.075970042685874</v>
      </c>
      <c r="X65" s="37">
        <f>STDEV(K65:V65)/SQRT(COUNT(K65:V65))</f>
        <v>0.61173512838452704</v>
      </c>
      <c r="Y65" s="36">
        <f>MIN(K65:V65)</f>
        <v>31.443294084389027</v>
      </c>
      <c r="Z65" s="35">
        <f>QUARTILE(K65:V65,1)</f>
        <v>33.080506318890173</v>
      </c>
      <c r="AA65" s="36">
        <f>MEDIAN(K65:V65)</f>
        <v>33.941791961493415</v>
      </c>
      <c r="AB65" s="35">
        <f>QUARTILE(K65:V65,3)</f>
        <v>34.681658772380487</v>
      </c>
      <c r="AC65" s="35">
        <f>MAX(K65:V65)</f>
        <v>39.507199182273787</v>
      </c>
      <c r="AD65" s="35">
        <f>SKEW(K65:V65)</f>
        <v>1.4185783558110863</v>
      </c>
      <c r="AE65" s="35">
        <f>KURT(K65:V65)</f>
        <v>3.5646640129240446</v>
      </c>
    </row>
    <row r="66" spans="2:31" x14ac:dyDescent="0.2">
      <c r="B66" s="34">
        <f>[40]FormattedData!A63</f>
        <v>301</v>
      </c>
      <c r="C66" s="34" t="str">
        <f>VLOOKUP($B66,[40]TrtCodes!$B$11:I106,2)</f>
        <v>NTL</v>
      </c>
      <c r="D66" s="34">
        <f>VLOOKUP($B66,[40]TrtCodes!$B$11:J106,3)</f>
        <v>10</v>
      </c>
      <c r="E66" s="34">
        <f>VLOOKUP($B66,[40]TrtCodes!$B$11:K106,4)</f>
        <v>2</v>
      </c>
      <c r="F66" s="34">
        <f>VLOOKUP($B66,[40]TrtCodes!$B$11:L106,5)</f>
        <v>2</v>
      </c>
      <c r="G66" s="34">
        <f>VLOOKUP($B66,[40]TrtCodes!$B$11:M106,6)</f>
        <v>1</v>
      </c>
      <c r="H66" s="34">
        <f>VLOOKUP($B66,[40]TrtCodes!$B$11:N106,7)</f>
        <v>3</v>
      </c>
      <c r="I66" s="34">
        <f>[40]FormattedData!B63</f>
        <v>2</v>
      </c>
      <c r="J66" s="37">
        <f>[40]FormattedData!C63</f>
        <v>13.491</v>
      </c>
      <c r="K66" s="39">
        <f>$J$3+[40]FormattedData!D63*$J$4+$M$4*$J$5+[40]FormattedData!D63^2*$J$6+$M$5*$J$7</f>
        <v>31.346607065518171</v>
      </c>
      <c r="L66" s="39">
        <f>$J$3+[40]FormattedData!E63*$J$4+$M$4*$J$5+[40]FormattedData!E63^2*$J$6+$M$5*$J$7</f>
        <v>29.793866242425771</v>
      </c>
      <c r="M66" s="39">
        <f>$J$3+[40]FormattedData!F63*$J$4+$M$4*$J$5+[40]FormattedData!F63^2*$J$6+$M$5*$J$7</f>
        <v>31.443294084389027</v>
      </c>
      <c r="N66" s="39">
        <f>$J$3+[40]FormattedData!G63*$J$4+$M$4*$J$5+[40]FormattedData!G63^2*$J$6+$M$5*$J$7</f>
        <v>30.085829383245251</v>
      </c>
      <c r="O66" s="39">
        <f>$J$3+[40]FormattedData!H63*$J$4+$M$4*$J$5+[40]FormattedData!H63^2*$J$6+$M$5*$J$7</f>
        <v>28.23030467362301</v>
      </c>
      <c r="P66" s="39">
        <f>$J$3+[40]FormattedData!I63*$J$4+$M$4*$J$5+[40]FormattedData!I63^2*$J$6+$M$5*$J$7</f>
        <v>30.668614414360079</v>
      </c>
      <c r="Q66" s="39">
        <f>$J$3+[40]FormattedData!J63*$J$4+$M$4*$J$5+[40]FormattedData!J63^2*$J$6+$M$5*$J$7</f>
        <v>29.403990295135429</v>
      </c>
      <c r="R66" s="39">
        <f>$J$3+[40]FormattedData!K63*$J$4+$M$4*$J$5+[40]FormattedData!K63^2*$J$6+$M$5*$J$7</f>
        <v>29.501522684764915</v>
      </c>
      <c r="S66" s="39">
        <f>$J$3+[40]FormattedData!L63*$J$4+$M$4*$J$5+[40]FormattedData!L63^2*$J$6+$M$5*$J$7</f>
        <v>33.942320318217554</v>
      </c>
      <c r="T66" s="39">
        <f>$J$3+[40]FormattedData!M63*$J$4+$M$4*$J$5+[40]FormattedData!M63^2*$J$6+$M$5*$J$7</f>
        <v>28.132222793000423</v>
      </c>
      <c r="U66" s="39">
        <f>$J$3+[40]FormattedData!N63*$J$4+$M$4*$J$5+[40]FormattedData!N63^2*$J$6+$M$5*$J$7</f>
        <v>31.926095150674364</v>
      </c>
      <c r="V66" s="39">
        <f>$J$3+[40]FormattedData!O63*$J$4+$M$4*$J$5+[40]FormattedData!O63^2*$J$6+$M$5*$J$7</f>
        <v>32.118919697422974</v>
      </c>
      <c r="W66" s="38">
        <f>AVERAGE(K66:V66)</f>
        <v>30.549465566898089</v>
      </c>
      <c r="X66" s="37">
        <f>STDEV(K66:V66)/SQRT(COUNT(K66:V66))</f>
        <v>0.49033133268199086</v>
      </c>
      <c r="Y66" s="36">
        <f>MIN(K66:V66)</f>
        <v>28.132222793000423</v>
      </c>
      <c r="Z66" s="35">
        <f>QUARTILE(K66:V66,1)</f>
        <v>29.477139587357541</v>
      </c>
      <c r="AA66" s="36">
        <f>MEDIAN(K66:V66)</f>
        <v>30.377221898802667</v>
      </c>
      <c r="AB66" s="35">
        <f>QUARTILE(K66:V66,3)</f>
        <v>31.56399435096036</v>
      </c>
      <c r="AC66" s="35">
        <f>MAX(K66:V66)</f>
        <v>33.942320318217554</v>
      </c>
      <c r="AD66" s="35">
        <f>SKEW(K66:V66)</f>
        <v>0.37779774280499023</v>
      </c>
      <c r="AE66" s="35">
        <f>KURT(K66:V66)</f>
        <v>-6.5740314651786758E-2</v>
      </c>
    </row>
    <row r="67" spans="2:31" x14ac:dyDescent="0.2">
      <c r="B67" s="34">
        <f>[40]FormattedData!A65</f>
        <v>302</v>
      </c>
      <c r="C67" s="34" t="str">
        <f>VLOOKUP($B67,[40]TrtCodes!$B$11:I108,2)</f>
        <v>FTL</v>
      </c>
      <c r="D67" s="34">
        <f>VLOOKUP($B67,[40]TrtCodes!$B$11:J108,3)</f>
        <v>4</v>
      </c>
      <c r="E67" s="34">
        <f>VLOOKUP($B67,[40]TrtCodes!$B$11:K108,4)</f>
        <v>1</v>
      </c>
      <c r="F67" s="34">
        <f>VLOOKUP($B67,[40]TrtCodes!$B$11:L108,5)</f>
        <v>2</v>
      </c>
      <c r="G67" s="34">
        <f>VLOOKUP($B67,[40]TrtCodes!$B$11:M108,6)</f>
        <v>1</v>
      </c>
      <c r="H67" s="34">
        <f>VLOOKUP($B67,[40]TrtCodes!$B$11:N108,7)</f>
        <v>3</v>
      </c>
      <c r="I67" s="34">
        <f>[40]FormattedData!B65</f>
        <v>2</v>
      </c>
      <c r="J67" s="37">
        <f>[40]FormattedData!C65</f>
        <v>13.507</v>
      </c>
      <c r="K67" s="39">
        <f>$J$3+[40]FormattedData!D65*$J$4+$M$4*$J$5+[40]FormattedData!D65^2*$J$6+$M$5*$J$7</f>
        <v>34.990999000445242</v>
      </c>
      <c r="L67" s="39">
        <f>$J$3+[40]FormattedData!E65*$J$4+$M$4*$J$5+[40]FormattedData!E65^2*$J$6+$M$5*$J$7</f>
        <v>33.751101975910316</v>
      </c>
      <c r="M67" s="39">
        <f>$J$3+[40]FormattedData!F65*$J$4+$M$4*$J$5+[40]FormattedData!F65^2*$J$6+$M$5*$J$7</f>
        <v>31.056292397677996</v>
      </c>
      <c r="N67" s="39">
        <f>$J$3+[40]FormattedData!G65*$J$4+$M$4*$J$5+[40]FormattedData!G65^2*$J$6+$M$5*$J$7</f>
        <v>32.600241364880716</v>
      </c>
      <c r="O67" s="39">
        <f>$J$3+[40]FormattedData!H65*$J$4+$M$4*$J$5+[40]FormattedData!H65^2*$J$6+$M$5*$J$7</f>
        <v>35.276114638119886</v>
      </c>
      <c r="P67" s="39">
        <f>$J$3+[40]FormattedData!I65*$J$4+$M$4*$J$5+[40]FormattedData!I65^2*$J$6+$M$5*$J$7</f>
        <v>30.474521811473529</v>
      </c>
      <c r="Q67" s="39">
        <f>$J$3+[40]FormattedData!J65*$J$4+$M$4*$J$5+[40]FormattedData!J65^2*$J$6+$M$5*$J$7</f>
        <v>30.959436304655416</v>
      </c>
      <c r="R67" s="39">
        <f>$J$3+[40]FormattedData!K65*$J$4+$M$4*$J$5+[40]FormattedData!K65^2*$J$6+$M$5*$J$7</f>
        <v>33.559714559451358</v>
      </c>
      <c r="S67" s="39">
        <f>$J$3+[40]FormattedData!L65*$J$4+$M$4*$J$5+[40]FormattedData!L65^2*$J$6+$M$5*$J$7</f>
        <v>40.806079689844992</v>
      </c>
      <c r="T67" s="39">
        <f>$J$3+[40]FormattedData!M65*$J$4+$M$4*$J$5+[40]FormattedData!M65^2*$J$6+$M$5*$J$7</f>
        <v>30.765597312996455</v>
      </c>
      <c r="U67" s="39">
        <f>$J$3+[40]FormattedData!N65*$J$4+$M$4*$J$5+[40]FormattedData!N65^2*$J$6+$M$5*$J$7</f>
        <v>30.765597312996455</v>
      </c>
      <c r="V67" s="39">
        <f>$J$3+[40]FormattedData!O65*$J$4+$M$4*$J$5+[40]FormattedData!O65^2*$J$6+$M$5*$J$7</f>
        <v>29.988550604843358</v>
      </c>
      <c r="W67" s="38">
        <f>AVERAGE(K67:V67)</f>
        <v>32.916187247774644</v>
      </c>
      <c r="X67" s="37">
        <f>STDEV(K67:V67)/SQRT(COUNT(K67:V67))</f>
        <v>0.88935829482181306</v>
      </c>
      <c r="Y67" s="36">
        <f>MIN(K67:V67)</f>
        <v>29.988550604843358</v>
      </c>
      <c r="Z67" s="35">
        <f>QUARTILE(K67:V67,1)</f>
        <v>30.765597312996455</v>
      </c>
      <c r="AA67" s="36">
        <f>MEDIAN(K67:V67)</f>
        <v>31.828266881279355</v>
      </c>
      <c r="AB67" s="35">
        <f>QUARTILE(K67:V67,3)</f>
        <v>34.061076232044044</v>
      </c>
      <c r="AC67" s="35">
        <f>MAX(K67:V67)</f>
        <v>40.806079689844992</v>
      </c>
      <c r="AD67" s="35">
        <f>SKEW(K67:V67)</f>
        <v>1.6436279291296221</v>
      </c>
      <c r="AE67" s="35">
        <f>KURT(K67:V67)</f>
        <v>3.1446081159273644</v>
      </c>
    </row>
    <row r="68" spans="2:31" x14ac:dyDescent="0.2">
      <c r="B68" s="34">
        <f>[40]FormattedData!A67</f>
        <v>303</v>
      </c>
      <c r="C68" s="34" t="str">
        <f>VLOOKUP($B68,[40]TrtCodes!$B$11:I110,2)</f>
        <v>NSL</v>
      </c>
      <c r="D68" s="34">
        <f>VLOOKUP($B68,[40]TrtCodes!$B$11:J110,3)</f>
        <v>8</v>
      </c>
      <c r="E68" s="34">
        <f>VLOOKUP($B68,[40]TrtCodes!$B$11:K110,4)</f>
        <v>2</v>
      </c>
      <c r="F68" s="34">
        <f>VLOOKUP($B68,[40]TrtCodes!$B$11:L110,5)</f>
        <v>1</v>
      </c>
      <c r="G68" s="34">
        <f>VLOOKUP($B68,[40]TrtCodes!$B$11:M110,6)</f>
        <v>1</v>
      </c>
      <c r="H68" s="34">
        <f>VLOOKUP($B68,[40]TrtCodes!$B$11:N110,7)</f>
        <v>3</v>
      </c>
      <c r="I68" s="34">
        <f>[40]FormattedData!B67</f>
        <v>2</v>
      </c>
      <c r="J68" s="37">
        <f>[40]FormattedData!C67</f>
        <v>13.522</v>
      </c>
      <c r="K68" s="39">
        <f>$J$3+[40]FormattedData!D67*$J$4+$M$4*$J$5+[40]FormattedData!D67^2*$J$6+$M$5*$J$7</f>
        <v>32.792474152098293</v>
      </c>
      <c r="L68" s="39">
        <f>$J$3+[40]FormattedData!E67*$J$4+$M$4*$J$5+[40]FormattedData!E67^2*$J$6+$M$5*$J$7</f>
        <v>34.133369586373057</v>
      </c>
      <c r="M68" s="39">
        <f>$J$3+[40]FormattedData!F67*$J$4+$M$4*$J$5+[40]FormattedData!F67^2*$J$6+$M$5*$J$7</f>
        <v>33.463957448414988</v>
      </c>
      <c r="N68" s="39">
        <f>$J$3+[40]FormattedData!G67*$J$4+$M$4*$J$5+[40]FormattedData!G67^2*$J$6+$M$5*$J$7</f>
        <v>31.056292397677996</v>
      </c>
      <c r="O68" s="39">
        <f>$J$3+[40]FormattedData!H67*$J$4+$M$4*$J$5+[40]FormattedData!H67^2*$J$6+$M$5*$J$7</f>
        <v>31.733101529774018</v>
      </c>
      <c r="P68" s="39">
        <f>$J$3+[40]FormattedData!I67*$J$4+$M$4*$J$5+[40]FormattedData!I67^2*$J$6+$M$5*$J$7</f>
        <v>34.324249780376839</v>
      </c>
      <c r="Q68" s="39">
        <f>$J$3+[40]FormattedData!J67*$J$4+$M$4*$J$5+[40]FormattedData!J67^2*$J$6+$M$5*$J$7</f>
        <v>32.792474152098293</v>
      </c>
      <c r="R68" s="39">
        <f>$J$3+[40]FormattedData!K67*$J$4+$M$4*$J$5+[40]FormattedData!K67^2*$J$6+$M$5*$J$7</f>
        <v>32.792474152098293</v>
      </c>
      <c r="S68" s="39">
        <f>$J$3+[40]FormattedData!L67*$J$4+$M$4*$J$5+[40]FormattedData!L67^2*$J$6+$M$5*$J$7</f>
        <v>31.443294084389027</v>
      </c>
      <c r="T68" s="39">
        <f>$J$3+[40]FormattedData!M67*$J$4+$M$4*$J$5+[40]FormattedData!M67^2*$J$6+$M$5*$J$7</f>
        <v>32.407839503511418</v>
      </c>
      <c r="U68" s="39">
        <f>$J$3+[40]FormattedData!N67*$J$4+$M$4*$J$5+[40]FormattedData!N67^2*$J$6+$M$5*$J$7</f>
        <v>30.280260134435252</v>
      </c>
      <c r="V68" s="39">
        <f>$J$3+[40]FormattedData!O67*$J$4+$M$4*$J$5+[40]FormattedData!O67^2*$J$6+$M$5*$J$7</f>
        <v>29.696460658410086</v>
      </c>
      <c r="W68" s="38">
        <f>AVERAGE(K68:V68)</f>
        <v>32.243020631638132</v>
      </c>
      <c r="X68" s="37">
        <f>STDEV(K68:V68)/SQRT(COUNT(K68:V68))</f>
        <v>0.41718559049934939</v>
      </c>
      <c r="Y68" s="36">
        <f>MIN(K68:V68)</f>
        <v>29.696460658410086</v>
      </c>
      <c r="Z68" s="35">
        <f>QUARTILE(K68:V68,1)</f>
        <v>31.346543662711269</v>
      </c>
      <c r="AA68" s="36">
        <f>MEDIAN(K68:V68)</f>
        <v>32.600156827804852</v>
      </c>
      <c r="AB68" s="35">
        <f>QUARTILE(K68:V68,3)</f>
        <v>32.960344976177467</v>
      </c>
      <c r="AC68" s="35">
        <f>MAX(K68:V68)</f>
        <v>34.324249780376839</v>
      </c>
      <c r="AD68" s="35">
        <f>SKEW(K68:V68)</f>
        <v>-0.29995684513663096</v>
      </c>
      <c r="AE68" s="35">
        <f>KURT(K68:V68)</f>
        <v>-0.65983281602027422</v>
      </c>
    </row>
    <row r="69" spans="2:31" x14ac:dyDescent="0.2">
      <c r="B69" s="34">
        <f>[40]FormattedData!A69</f>
        <v>304</v>
      </c>
      <c r="C69" s="34" t="str">
        <f>VLOOKUP($B69,[40]TrtCodes!$B$11:I112,2)</f>
        <v>FSL</v>
      </c>
      <c r="D69" s="34">
        <f>VLOOKUP($B69,[40]TrtCodes!$B$11:J112,3)</f>
        <v>2</v>
      </c>
      <c r="E69" s="34">
        <f>VLOOKUP($B69,[40]TrtCodes!$B$11:K112,4)</f>
        <v>1</v>
      </c>
      <c r="F69" s="34">
        <f>VLOOKUP($B69,[40]TrtCodes!$B$11:L112,5)</f>
        <v>1</v>
      </c>
      <c r="G69" s="34">
        <f>VLOOKUP($B69,[40]TrtCodes!$B$11:M112,6)</f>
        <v>1</v>
      </c>
      <c r="H69" s="34">
        <f>VLOOKUP($B69,[40]TrtCodes!$B$11:N112,7)</f>
        <v>3</v>
      </c>
      <c r="I69" s="34">
        <f>[40]FormattedData!B69</f>
        <v>2</v>
      </c>
      <c r="J69" s="37">
        <f>[40]FormattedData!C69</f>
        <v>13.539</v>
      </c>
      <c r="K69" s="39">
        <f>$J$3+[40]FormattedData!D69*$J$4+$M$4*$J$5+[40]FormattedData!D69^2*$J$6+$M$5*$J$7</f>
        <v>38.38727914100977</v>
      </c>
      <c r="L69" s="39">
        <f>$J$3+[40]FormattedData!E69*$J$4+$M$4*$J$5+[40]FormattedData!E69^2*$J$6+$M$5*$J$7</f>
        <v>39.693260762953415</v>
      </c>
      <c r="M69" s="39">
        <f>$J$3+[40]FormattedData!F69*$J$4+$M$4*$J$5+[40]FormattedData!F69^2*$J$6+$M$5*$J$7</f>
        <v>31.926095150674364</v>
      </c>
      <c r="N69" s="39">
        <f>$J$3+[40]FormattedData!G69*$J$4+$M$4*$J$5+[40]FormattedData!G69^2*$J$6+$M$5*$J$7</f>
        <v>29.111139515019396</v>
      </c>
      <c r="O69" s="39">
        <f>$J$3+[40]FormattedData!H69*$J$4+$M$4*$J$5+[40]FormattedData!H69^2*$J$6+$M$5*$J$7</f>
        <v>30.280260134435252</v>
      </c>
      <c r="P69" s="39">
        <f>$J$3+[40]FormattedData!I69*$J$4+$M$4*$J$5+[40]FormattedData!I69^2*$J$6+$M$5*$J$7</f>
        <v>31.926095150674364</v>
      </c>
      <c r="Q69" s="39">
        <f>$J$3+[40]FormattedData!J69*$J$4+$M$4*$J$5+[40]FormattedData!J69^2*$J$6+$M$5*$J$7</f>
        <v>34.324249780376839</v>
      </c>
      <c r="R69" s="39">
        <f>$J$3+[40]FormattedData!K69*$J$4+$M$4*$J$5+[40]FormattedData!K69^2*$J$6+$M$5*$J$7</f>
        <v>33.368158068840685</v>
      </c>
      <c r="S69" s="39">
        <f>$J$3+[40]FormattedData!L69*$J$4+$M$4*$J$5+[40]FormattedData!L69^2*$J$6+$M$5*$J$7</f>
        <v>37.355338799802816</v>
      </c>
      <c r="T69" s="39">
        <f>$J$3+[40]FormattedData!M69*$J$4+$M$4*$J$5+[40]FormattedData!M69^2*$J$6+$M$5*$J$7</f>
        <v>29.891229557903536</v>
      </c>
      <c r="U69" s="39">
        <f>$J$3+[40]FormattedData!N69*$J$4+$M$4*$J$5+[40]FormattedData!N69^2*$J$6+$M$5*$J$7</f>
        <v>39.693260762953415</v>
      </c>
      <c r="V69" s="39">
        <f>$J$3+[40]FormattedData!O69*$J$4+$M$4*$J$5+[40]FormattedData!O69^2*$J$6+$M$5*$J$7</f>
        <v>32.98453786516415</v>
      </c>
      <c r="W69" s="38">
        <f>AVERAGE(K69:V69)</f>
        <v>34.07840872415067</v>
      </c>
      <c r="X69" s="37">
        <f>STDEV(K69:V69)/SQRT(COUNT(K69:V69))</f>
        <v>1.1010197821574148</v>
      </c>
      <c r="Y69" s="36">
        <f>MIN(K69:V69)</f>
        <v>29.111139515019396</v>
      </c>
      <c r="Z69" s="35">
        <f>QUARTILE(K69:V69,1)</f>
        <v>31.514636396614584</v>
      </c>
      <c r="AA69" s="36">
        <f>MEDIAN(K69:V69)</f>
        <v>33.176347967002414</v>
      </c>
      <c r="AB69" s="35">
        <f>QUARTILE(K69:V69,3)</f>
        <v>37.613323885104556</v>
      </c>
      <c r="AC69" s="35">
        <f>MAX(K69:V69)</f>
        <v>39.693260762953415</v>
      </c>
      <c r="AD69" s="35">
        <f>SKEW(K69:V69)</f>
        <v>0.38707851962284756</v>
      </c>
      <c r="AE69" s="35">
        <f>KURT(K69:V69)</f>
        <v>-1.3401432118213705</v>
      </c>
    </row>
    <row r="70" spans="2:31" x14ac:dyDescent="0.2">
      <c r="B70" s="34">
        <f>[40]FormattedData!A71</f>
        <v>305</v>
      </c>
      <c r="C70" s="34" t="str">
        <f>VLOOKUP($B70,[40]TrtCodes!$B$11:I114,2)</f>
        <v>NDH</v>
      </c>
      <c r="D70" s="34">
        <f>VLOOKUP($B70,[40]TrtCodes!$B$11:J114,3)</f>
        <v>11</v>
      </c>
      <c r="E70" s="34">
        <f>VLOOKUP($B70,[40]TrtCodes!$B$11:K114,4)</f>
        <v>2</v>
      </c>
      <c r="F70" s="34">
        <f>VLOOKUP($B70,[40]TrtCodes!$B$11:L114,5)</f>
        <v>3</v>
      </c>
      <c r="G70" s="34">
        <f>VLOOKUP($B70,[40]TrtCodes!$B$11:M114,6)</f>
        <v>2</v>
      </c>
      <c r="H70" s="34">
        <f>VLOOKUP($B70,[40]TrtCodes!$B$11:N114,7)</f>
        <v>4</v>
      </c>
      <c r="I70" s="34">
        <f>[40]FormattedData!B71</f>
        <v>2</v>
      </c>
      <c r="J70" s="37">
        <f>[40]FormattedData!C71</f>
        <v>13.555</v>
      </c>
      <c r="K70" s="39">
        <f>$J$3+[40]FormattedData!D71*$J$4+$M$4*$J$5+[40]FormattedData!D71^2*$J$6+$M$5*$J$7</f>
        <v>28.23030467362301</v>
      </c>
      <c r="L70" s="39">
        <f>$J$3+[40]FormattedData!E71*$J$4+$M$4*$J$5+[40]FormattedData!E71^2*$J$6+$M$5*$J$7</f>
        <v>28.328344285707665</v>
      </c>
      <c r="M70" s="39">
        <f>$J$3+[40]FormattedData!F71*$J$4+$M$4*$J$5+[40]FormattedData!F71^2*$J$6+$M$5*$J$7</f>
        <v>27.837723539905074</v>
      </c>
      <c r="N70" s="39">
        <f>$J$3+[40]FormattedData!G71*$J$4+$M$4*$J$5+[40]FormattedData!G71^2*$J$6+$M$5*$J$7</f>
        <v>31.249877778109372</v>
      </c>
      <c r="O70" s="39">
        <f>$J$3+[40]FormattedData!H71*$J$4+$M$4*$J$5+[40]FormattedData!H71^2*$J$6+$M$5*$J$7</f>
        <v>28.720080048666979</v>
      </c>
      <c r="P70" s="39">
        <f>$J$3+[40]FormattedData!I71*$J$4+$M$4*$J$5+[40]FormattedData!I71^2*$J$6+$M$5*$J$7</f>
        <v>29.696460658410086</v>
      </c>
      <c r="Q70" s="39">
        <f>$J$3+[40]FormattedData!J71*$J$4+$M$4*$J$5+[40]FormattedData!J71^2*$J$6+$M$5*$J$7</f>
        <v>29.111139515019396</v>
      </c>
      <c r="R70" s="39">
        <f>$J$3+[40]FormattedData!K71*$J$4+$M$4*$J$5+[40]FormattedData!K71^2*$J$6+$M$5*$J$7</f>
        <v>27.935932226141457</v>
      </c>
      <c r="S70" s="39">
        <f>$J$3+[40]FormattedData!L71*$J$4+$M$4*$J$5+[40]FormattedData!L71^2*$J$6+$M$5*$J$7</f>
        <v>28.328344285707665</v>
      </c>
      <c r="T70" s="39">
        <f>$J$3+[40]FormattedData!M71*$J$4+$M$4*$J$5+[40]FormattedData!M71^2*$J$6+$M$5*$J$7</f>
        <v>26.655922359109876</v>
      </c>
      <c r="U70" s="39">
        <f>$J$3+[40]FormattedData!N71*$J$4+$M$4*$J$5+[40]FormattedData!N71^2*$J$6+$M$5*$J$7</f>
        <v>28.426341629254395</v>
      </c>
      <c r="V70" s="39">
        <f>$J$3+[40]FormattedData!O71*$J$4+$M$4*$J$5+[40]FormattedData!O71^2*$J$6+$M$5*$J$7</f>
        <v>27.149079217188337</v>
      </c>
      <c r="W70" s="38">
        <f>AVERAGE(K70:V70)</f>
        <v>28.472462518070277</v>
      </c>
      <c r="X70" s="37">
        <f>STDEV(K70:V70)/SQRT(COUNT(K70:V70))</f>
        <v>0.34295570485126559</v>
      </c>
      <c r="Y70" s="36">
        <f>MIN(K70:V70)</f>
        <v>26.655922359109876</v>
      </c>
      <c r="Z70" s="35">
        <f>QUARTILE(K70:V70,1)</f>
        <v>27.911380054582359</v>
      </c>
      <c r="AA70" s="36">
        <f>MEDIAN(K70:V70)</f>
        <v>28.328344285707665</v>
      </c>
      <c r="AB70" s="35">
        <f>QUARTILE(K70:V70,3)</f>
        <v>28.817844915255083</v>
      </c>
      <c r="AC70" s="35">
        <f>MAX(K70:V70)</f>
        <v>31.249877778109372</v>
      </c>
      <c r="AD70" s="35">
        <f>SKEW(K70:V70)</f>
        <v>0.96235038774969039</v>
      </c>
      <c r="AE70" s="35">
        <f>KURT(K70:V70)</f>
        <v>1.9882500041906885</v>
      </c>
    </row>
    <row r="71" spans="2:31" x14ac:dyDescent="0.2">
      <c r="B71" s="34">
        <f>[40]FormattedData!A73</f>
        <v>306</v>
      </c>
      <c r="C71" s="34" t="str">
        <f>VLOOKUP($B71,[40]TrtCodes!$B$11:I116,2)</f>
        <v>FTL</v>
      </c>
      <c r="D71" s="34">
        <f>VLOOKUP($B71,[40]TrtCodes!$B$11:J116,3)</f>
        <v>4</v>
      </c>
      <c r="E71" s="34">
        <f>VLOOKUP($B71,[40]TrtCodes!$B$11:K116,4)</f>
        <v>1</v>
      </c>
      <c r="F71" s="34">
        <f>VLOOKUP($B71,[40]TrtCodes!$B$11:L116,5)</f>
        <v>2</v>
      </c>
      <c r="G71" s="34">
        <f>VLOOKUP($B71,[40]TrtCodes!$B$11:M116,6)</f>
        <v>1</v>
      </c>
      <c r="H71" s="34">
        <f>VLOOKUP($B71,[40]TrtCodes!$B$11:N116,7)</f>
        <v>4</v>
      </c>
      <c r="I71" s="34">
        <f>[40]FormattedData!B73</f>
        <v>2</v>
      </c>
      <c r="J71" s="37">
        <f>[40]FormattedData!C73</f>
        <v>13.57</v>
      </c>
      <c r="K71" s="39">
        <f>$J$3+[40]FormattedData!D73*$J$4+$M$4*$J$5+[40]FormattedData!D73^2*$J$6+$M$5*$J$7</f>
        <v>29.988550604843358</v>
      </c>
      <c r="L71" s="39">
        <f>$J$3+[40]FormattedData!E73*$J$4+$M$4*$J$5+[40]FormattedData!E73^2*$J$6+$M$5*$J$7</f>
        <v>32.792474152098293</v>
      </c>
      <c r="M71" s="39">
        <f>$J$3+[40]FormattedData!F73*$J$4+$M$4*$J$5+[40]FormattedData!F73^2*$J$6+$M$5*$J$7</f>
        <v>32.98453786516415</v>
      </c>
      <c r="N71" s="39">
        <f>$J$3+[40]FormattedData!G73*$J$4+$M$4*$J$5+[40]FormattedData!G73^2*$J$6+$M$5*$J$7</f>
        <v>29.793866242425771</v>
      </c>
      <c r="O71" s="39">
        <f>$J$3+[40]FormattedData!H73*$J$4+$M$4*$J$5+[40]FormattedData!H73^2*$J$6+$M$5*$J$7</f>
        <v>31.636541316516954</v>
      </c>
      <c r="P71" s="39">
        <f>$J$3+[40]FormattedData!I73*$J$4+$M$4*$J$5+[40]FormattedData!I73^2*$J$6+$M$5*$J$7</f>
        <v>30.571589247185766</v>
      </c>
      <c r="Q71" s="39">
        <f>$J$3+[40]FormattedData!J73*$J$4+$M$4*$J$5+[40]FormattedData!J73^2*$J$6+$M$5*$J$7</f>
        <v>28.524296704263186</v>
      </c>
      <c r="R71" s="39">
        <f>$J$3+[40]FormattedData!K73*$J$4+$M$4*$J$5+[40]FormattedData!K73^2*$J$6+$M$5*$J$7</f>
        <v>29.208798710262673</v>
      </c>
      <c r="S71" s="39">
        <f>$J$3+[40]FormattedData!L73*$J$4+$M$4*$J$5+[40]FormattedData!L73^2*$J$6+$M$5*$J$7</f>
        <v>30.085829383245251</v>
      </c>
      <c r="T71" s="39">
        <f>$J$3+[40]FormattedData!M73*$J$4+$M$4*$J$5+[40]FormattedData!M73^2*$J$6+$M$5*$J$7</f>
        <v>31.249877778109372</v>
      </c>
      <c r="U71" s="39">
        <f>$J$3+[40]FormattedData!N73*$J$4+$M$4*$J$5+[40]FormattedData!N73^2*$J$6+$M$5*$J$7</f>
        <v>29.793866242425771</v>
      </c>
      <c r="V71" s="39">
        <f>$J$3+[40]FormattedData!O73*$J$4+$M$4*$J$5+[40]FormattedData!O73^2*$J$6+$M$5*$J$7</f>
        <v>29.01343805123819</v>
      </c>
      <c r="W71" s="38">
        <f>AVERAGE(K71:V71)</f>
        <v>30.47030552481489</v>
      </c>
      <c r="X71" s="37">
        <f>STDEV(K71:V71)/SQRT(COUNT(K71:V71))</f>
        <v>0.412749384004019</v>
      </c>
      <c r="Y71" s="36">
        <f>MIN(K71:V71)</f>
        <v>28.524296704263186</v>
      </c>
      <c r="Z71" s="35">
        <f>QUARTILE(K71:V71,1)</f>
        <v>29.647599359384998</v>
      </c>
      <c r="AA71" s="36">
        <f>MEDIAN(K71:V71)</f>
        <v>30.037189994044304</v>
      </c>
      <c r="AB71" s="35">
        <f>QUARTILE(K71:V71,3)</f>
        <v>31.346543662711269</v>
      </c>
      <c r="AC71" s="35">
        <f>MAX(K71:V71)</f>
        <v>32.98453786516415</v>
      </c>
      <c r="AD71" s="35">
        <f>SKEW(K71:V71)</f>
        <v>0.64266565710938162</v>
      </c>
      <c r="AE71" s="35">
        <f>KURT(K71:V71)</f>
        <v>-0.52199033172454046</v>
      </c>
    </row>
    <row r="72" spans="2:31" x14ac:dyDescent="0.2">
      <c r="B72" s="34">
        <f>[40]FormattedData!A75</f>
        <v>307</v>
      </c>
      <c r="C72" s="34" t="str">
        <f>VLOOKUP($B72,[40]TrtCodes!$B$11:I118,2)</f>
        <v>NTH</v>
      </c>
      <c r="D72" s="34">
        <f>VLOOKUP($B72,[40]TrtCodes!$B$11:J118,3)</f>
        <v>9</v>
      </c>
      <c r="E72" s="34">
        <f>VLOOKUP($B72,[40]TrtCodes!$B$11:K118,4)</f>
        <v>2</v>
      </c>
      <c r="F72" s="34">
        <f>VLOOKUP($B72,[40]TrtCodes!$B$11:L118,5)</f>
        <v>2</v>
      </c>
      <c r="G72" s="34">
        <f>VLOOKUP($B72,[40]TrtCodes!$B$11:M118,6)</f>
        <v>2</v>
      </c>
      <c r="H72" s="34">
        <f>VLOOKUP($B72,[40]TrtCodes!$B$11:N118,7)</f>
        <v>4</v>
      </c>
      <c r="I72" s="34">
        <f>[40]FormattedData!B75</f>
        <v>2</v>
      </c>
      <c r="J72" s="37">
        <f>[40]FormattedData!C75</f>
        <v>13.585000000000001</v>
      </c>
      <c r="K72" s="39">
        <f>$J$3+[40]FormattedData!D75*$J$4+$M$4*$J$5+[40]FormattedData!D75^2*$J$6+$M$5*$J$7</f>
        <v>32.215268567990378</v>
      </c>
      <c r="L72" s="39">
        <f>$J$3+[40]FormattedData!E75*$J$4+$M$4*$J$5+[40]FormattedData!E75^2*$J$6+$M$5*$J$7</f>
        <v>32.792474152098293</v>
      </c>
      <c r="M72" s="39">
        <f>$J$3+[40]FormattedData!F75*$J$4+$M$4*$J$5+[40]FormattedData!F75^2*$J$6+$M$5*$J$7</f>
        <v>33.368158068840685</v>
      </c>
      <c r="N72" s="39">
        <f>$J$3+[40]FormattedData!G75*$J$4+$M$4*$J$5+[40]FormattedData!G75^2*$J$6+$M$5*$J$7</f>
        <v>28.426341629254395</v>
      </c>
      <c r="O72" s="39">
        <f>$J$3+[40]FormattedData!H75*$J$4+$M$4*$J$5+[40]FormattedData!H75^2*$J$6+$M$5*$J$7</f>
        <v>31.636541316516954</v>
      </c>
      <c r="P72" s="39">
        <f>$J$3+[40]FormattedData!I75*$J$4+$M$4*$J$5+[40]FormattedData!I75^2*$J$6+$M$5*$J$7</f>
        <v>34.514960900228893</v>
      </c>
      <c r="Q72" s="39">
        <f>$J$3+[40]FormattedData!J75*$J$4+$M$4*$J$5+[40]FormattedData!J75^2*$J$6+$M$5*$J$7</f>
        <v>30.862537943094903</v>
      </c>
      <c r="R72" s="39">
        <f>$J$3+[40]FormattedData!K75*$J$4+$M$4*$J$5+[40]FormattedData!K75^2*$J$6+$M$5*$J$7</f>
        <v>29.599012805856461</v>
      </c>
      <c r="S72" s="39">
        <f>$J$3+[40]FormattedData!L75*$J$4+$M$4*$J$5+[40]FormattedData!L75^2*$J$6+$M$5*$J$7</f>
        <v>30.37741210722336</v>
      </c>
      <c r="T72" s="39">
        <f>$J$3+[40]FormattedData!M75*$J$4+$M$4*$J$5+[40]FormattedData!M75^2*$J$6+$M$5*$J$7</f>
        <v>30.280260134435252</v>
      </c>
      <c r="U72" s="39">
        <f>$J$3+[40]FormattedData!N75*$J$4+$M$4*$J$5+[40]FormattedData!N75^2*$J$6+$M$5*$J$7</f>
        <v>30.280260134435252</v>
      </c>
      <c r="V72" s="39">
        <f>$J$3+[40]FormattedData!O75*$J$4+$M$4*$J$5+[40]FormattedData!O75^2*$J$6+$M$5*$J$7</f>
        <v>31.443294084389027</v>
      </c>
      <c r="W72" s="38">
        <f>AVERAGE(K72:V72)</f>
        <v>31.316376820363654</v>
      </c>
      <c r="X72" s="37">
        <f>STDEV(K72:V72)/SQRT(COUNT(K72:V72))</f>
        <v>0.49300079912434119</v>
      </c>
      <c r="Y72" s="36">
        <f>MIN(K72:V72)</f>
        <v>28.426341629254395</v>
      </c>
      <c r="Z72" s="35">
        <f>QUARTILE(K72:V72,1)</f>
        <v>30.280260134435252</v>
      </c>
      <c r="AA72" s="36">
        <f>MEDIAN(K72:V72)</f>
        <v>31.152916013741965</v>
      </c>
      <c r="AB72" s="35">
        <f>QUARTILE(K72:V72,3)</f>
        <v>32.359569964017354</v>
      </c>
      <c r="AC72" s="35">
        <f>MAX(K72:V72)</f>
        <v>34.514960900228893</v>
      </c>
      <c r="AD72" s="35">
        <f>SKEW(K72:V72)</f>
        <v>0.28450114026926643</v>
      </c>
      <c r="AE72" s="35">
        <f>KURT(K72:V72)</f>
        <v>-0.15457882126385059</v>
      </c>
    </row>
    <row r="73" spans="2:31" x14ac:dyDescent="0.2">
      <c r="B73" s="34">
        <f>[40]FormattedData!A77</f>
        <v>308</v>
      </c>
      <c r="C73" s="34" t="str">
        <f>VLOOKUP($B73,[40]TrtCodes!$B$11:I120,2)</f>
        <v>FDH</v>
      </c>
      <c r="D73" s="34">
        <f>VLOOKUP($B73,[40]TrtCodes!$B$11:J120,3)</f>
        <v>5</v>
      </c>
      <c r="E73" s="34">
        <f>VLOOKUP($B73,[40]TrtCodes!$B$11:K120,4)</f>
        <v>1</v>
      </c>
      <c r="F73" s="34">
        <f>VLOOKUP($B73,[40]TrtCodes!$B$11:L120,5)</f>
        <v>3</v>
      </c>
      <c r="G73" s="34">
        <f>VLOOKUP($B73,[40]TrtCodes!$B$11:M120,6)</f>
        <v>2</v>
      </c>
      <c r="H73" s="34">
        <f>VLOOKUP($B73,[40]TrtCodes!$B$11:N120,7)</f>
        <v>4</v>
      </c>
      <c r="I73" s="34">
        <f>[40]FormattedData!B77</f>
        <v>2</v>
      </c>
      <c r="J73" s="37">
        <f>[40]FormattedData!C77</f>
        <v>13.602</v>
      </c>
      <c r="K73" s="39">
        <f>$J$3+[40]FormattedData!D77*$J$4+$M$4*$J$5+[40]FormattedData!D77^2*$J$6+$M$5*$J$7</f>
        <v>32.600241364880716</v>
      </c>
      <c r="L73" s="39">
        <f>$J$3+[40]FormattedData!E77*$J$4+$M$4*$J$5+[40]FormattedData!E77^2*$J$6+$M$5*$J$7</f>
        <v>29.306415636968016</v>
      </c>
      <c r="M73" s="39">
        <f>$J$3+[40]FormattedData!F77*$J$4+$M$4*$J$5+[40]FormattedData!F77^2*$J$6+$M$5*$J$7</f>
        <v>28.817908318061981</v>
      </c>
      <c r="N73" s="39">
        <f>$J$3+[40]FormattedData!G77*$J$4+$M$4*$J$5+[40]FormattedData!G77^2*$J$6+$M$5*$J$7</f>
        <v>32.215268567990378</v>
      </c>
      <c r="O73" s="39">
        <f>$J$3+[40]FormattedData!H77*$J$4+$M$4*$J$5+[40]FormattedData!H77^2*$J$6+$M$5*$J$7</f>
        <v>30.571589247185766</v>
      </c>
      <c r="P73" s="39">
        <f>$J$3+[40]FormattedData!I77*$J$4+$M$4*$J$5+[40]FormattedData!I77^2*$J$6+$M$5*$J$7</f>
        <v>31.829619474493157</v>
      </c>
      <c r="Q73" s="39">
        <f>$J$3+[40]FormattedData!J77*$J$4+$M$4*$J$5+[40]FormattedData!J77^2*$J$6+$M$5*$J$7</f>
        <v>29.696460658410086</v>
      </c>
      <c r="R73" s="39">
        <f>$J$3+[40]FormattedData!K77*$J$4+$M$4*$J$5+[40]FormattedData!K77^2*$J$6+$M$5*$J$7</f>
        <v>29.988550604843358</v>
      </c>
      <c r="S73" s="39">
        <f>$J$3+[40]FormattedData!L77*$J$4+$M$4*$J$5+[40]FormattedData!L77^2*$J$6+$M$5*$J$7</f>
        <v>31.926095150674364</v>
      </c>
      <c r="T73" s="39">
        <f>$J$3+[40]FormattedData!M77*$J$4+$M$4*$J$5+[40]FormattedData!M77^2*$J$6+$M$5*$J$7</f>
        <v>34.895875917477845</v>
      </c>
      <c r="U73" s="39">
        <f>$J$3+[40]FormattedData!N77*$J$4+$M$4*$J$5+[40]FormattedData!N77^2*$J$6+$M$5*$J$7</f>
        <v>32.98453786516415</v>
      </c>
      <c r="V73" s="39">
        <f>$J$3+[40]FormattedData!O77*$J$4+$M$4*$J$5+[40]FormattedData!O77^2*$J$6+$M$5*$J$7</f>
        <v>30.37741210722336</v>
      </c>
      <c r="W73" s="38">
        <f>AVERAGE(K73:V73)</f>
        <v>31.267497909447766</v>
      </c>
      <c r="X73" s="37">
        <f>STDEV(K73:V73)/SQRT(COUNT(K73:V73))</f>
        <v>0.51319186261832916</v>
      </c>
      <c r="Y73" s="36">
        <f>MIN(K73:V73)</f>
        <v>28.817908318061981</v>
      </c>
      <c r="Z73" s="35">
        <f>QUARTILE(K73:V73,1)</f>
        <v>29.915528118235038</v>
      </c>
      <c r="AA73" s="36">
        <f>MEDIAN(K73:V73)</f>
        <v>31.200604360839463</v>
      </c>
      <c r="AB73" s="35">
        <f>QUARTILE(K73:V73,3)</f>
        <v>32.311511767212963</v>
      </c>
      <c r="AC73" s="35">
        <f>MAX(K73:V73)</f>
        <v>34.895875917477845</v>
      </c>
      <c r="AD73" s="35">
        <f>SKEW(K73:V73)</f>
        <v>0.5292948477375935</v>
      </c>
      <c r="AE73" s="35">
        <f>KURT(K73:V73)</f>
        <v>-0.14148035727616648</v>
      </c>
    </row>
    <row r="74" spans="2:31" x14ac:dyDescent="0.2">
      <c r="B74" s="34">
        <f>[40]FormattedData!A93</f>
        <v>401</v>
      </c>
      <c r="C74" s="34" t="str">
        <f>VLOOKUP($B74,[40]TrtCodes!$B$11:I130,2)</f>
        <v>NSH</v>
      </c>
      <c r="D74" s="34">
        <f>VLOOKUP($B74,[40]TrtCodes!$B$11:J130,3)</f>
        <v>7</v>
      </c>
      <c r="E74" s="34">
        <f>VLOOKUP($B74,[40]TrtCodes!$B$11:K130,4)</f>
        <v>2</v>
      </c>
      <c r="F74" s="34">
        <f>VLOOKUP($B74,[40]TrtCodes!$B$11:L130,5)</f>
        <v>1</v>
      </c>
      <c r="G74" s="34">
        <f>VLOOKUP($B74,[40]TrtCodes!$B$11:M130,6)</f>
        <v>2</v>
      </c>
      <c r="H74" s="34">
        <f>VLOOKUP($B74,[40]TrtCodes!$B$11:N130,7)</f>
        <v>3</v>
      </c>
      <c r="I74" s="34">
        <f>[40]FormattedData!B93</f>
        <v>2</v>
      </c>
      <c r="J74" s="37">
        <f>[40]FormattedData!C93</f>
        <v>13.738</v>
      </c>
      <c r="K74" s="39">
        <f>$J$3+[40]FormattedData!D93*$J$4+$M$4*$J$5+[40]FormattedData!D93^2*$J$6+$M$5*$J$7</f>
        <v>31.829619474493157</v>
      </c>
      <c r="L74" s="39">
        <f>$J$3+[40]FormattedData!E93*$J$4+$M$4*$J$5+[40]FormattedData!E93^2*$J$6+$M$5*$J$7</f>
        <v>32.792474152098293</v>
      </c>
      <c r="M74" s="39">
        <f>$J$3+[40]FormattedData!F93*$J$4+$M$4*$J$5+[40]FormattedData!F93^2*$J$6+$M$5*$J$7</f>
        <v>33.368158068840685</v>
      </c>
      <c r="N74" s="39">
        <f>$J$3+[40]FormattedData!G93*$J$4+$M$4*$J$5+[40]FormattedData!G93^2*$J$6+$M$5*$J$7</f>
        <v>33.942320318217554</v>
      </c>
      <c r="O74" s="39">
        <f>$J$3+[40]FormattedData!H93*$J$4+$M$4*$J$5+[40]FormattedData!H93^2*$J$6+$M$5*$J$7</f>
        <v>32.215268567990378</v>
      </c>
      <c r="P74" s="39">
        <f>$J$3+[40]FormattedData!I93*$J$4+$M$4*$J$5+[40]FormattedData!I93^2*$J$6+$M$5*$J$7</f>
        <v>31.926095150674364</v>
      </c>
      <c r="Q74" s="39">
        <f>$J$3+[40]FormattedData!J93*$J$4+$M$4*$J$5+[40]FormattedData!J93^2*$J$6+$M$5*$J$7</f>
        <v>35.845204662945015</v>
      </c>
      <c r="R74" s="39">
        <f>$J$3+[40]FormattedData!K93*$J$4+$M$4*$J$5+[40]FormattedData!K93^2*$J$6+$M$5*$J$7</f>
        <v>31.926095150674364</v>
      </c>
      <c r="S74" s="39">
        <f>$J$3+[40]FormattedData!L93*$J$4+$M$4*$J$5+[40]FormattedData!L93^2*$J$6+$M$5*$J$7</f>
        <v>39.227789797219856</v>
      </c>
      <c r="T74" s="39">
        <f>$J$3+[40]FormattedData!M93*$J$4+$M$4*$J$5+[40]FormattedData!M93^2*$J$6+$M$5*$J$7</f>
        <v>39.320968527442432</v>
      </c>
      <c r="U74" s="39">
        <f>$J$3+[40]FormattedData!N93*$J$4+$M$4*$J$5+[40]FormattedData!N93^2*$J$6+$M$5*$J$7</f>
        <v>39.227789797219856</v>
      </c>
      <c r="V74" s="39">
        <f>$J$3+[40]FormattedData!O93*$J$4+$M$4*$J$5+[40]FormattedData!O93^2*$J$6+$M$5*$J$7</f>
        <v>36.412773020404614</v>
      </c>
      <c r="W74" s="38">
        <f>AVERAGE(K74:V74)</f>
        <v>34.836213057351721</v>
      </c>
      <c r="X74" s="37">
        <f>STDEV(K74:V74)/SQRT(COUNT(K74:V74))</f>
        <v>0.87976475578837054</v>
      </c>
      <c r="Y74" s="36">
        <f>MIN(K74:V74)</f>
        <v>31.829619474493157</v>
      </c>
      <c r="Z74" s="35">
        <f>QUARTILE(K74:V74,1)</f>
        <v>32.142975213661373</v>
      </c>
      <c r="AA74" s="36">
        <f>MEDIAN(K74:V74)</f>
        <v>33.65523919352912</v>
      </c>
      <c r="AB74" s="35">
        <f>QUARTILE(K74:V74,3)</f>
        <v>37.116527214608425</v>
      </c>
      <c r="AC74" s="35">
        <f>MAX(K74:V74)</f>
        <v>39.320968527442432</v>
      </c>
      <c r="AD74" s="35">
        <f>SKEW(K74:V74)</f>
        <v>0.60759715344485421</v>
      </c>
      <c r="AE74" s="35">
        <f>KURT(K74:V74)</f>
        <v>-1.3833495177421935</v>
      </c>
    </row>
    <row r="75" spans="2:31" x14ac:dyDescent="0.2">
      <c r="B75" s="34">
        <f>[40]FormattedData!A91</f>
        <v>402</v>
      </c>
      <c r="C75" s="34" t="str">
        <f>VLOOKUP($B75,[40]TrtCodes!$B$11:I131,2)</f>
        <v>NTH</v>
      </c>
      <c r="D75" s="34">
        <f>VLOOKUP($B75,[40]TrtCodes!$B$11:J131,3)</f>
        <v>9</v>
      </c>
      <c r="E75" s="34">
        <f>VLOOKUP($B75,[40]TrtCodes!$B$11:K131,4)</f>
        <v>2</v>
      </c>
      <c r="F75" s="34">
        <f>VLOOKUP($B75,[40]TrtCodes!$B$11:L131,5)</f>
        <v>2</v>
      </c>
      <c r="G75" s="34">
        <f>VLOOKUP($B75,[40]TrtCodes!$B$11:M131,6)</f>
        <v>2</v>
      </c>
      <c r="H75" s="34">
        <f>VLOOKUP($B75,[40]TrtCodes!$B$11:N131,7)</f>
        <v>3</v>
      </c>
      <c r="I75" s="34">
        <f>[40]FormattedData!B91</f>
        <v>2</v>
      </c>
      <c r="J75" s="37">
        <f>[40]FormattedData!C91</f>
        <v>13.722</v>
      </c>
      <c r="K75" s="39">
        <f>$J$3+[40]FormattedData!D91*$J$4+$M$4*$J$5+[40]FormattedData!D91^2*$J$6+$M$5*$J$7</f>
        <v>32.98453786516415</v>
      </c>
      <c r="L75" s="39">
        <f>$J$3+[40]FormattedData!E91*$J$4+$M$4*$J$5+[40]FormattedData!E91^2*$J$6+$M$5*$J$7</f>
        <v>32.98453786516415</v>
      </c>
      <c r="M75" s="39">
        <f>$J$3+[40]FormattedData!F91*$J$4+$M$4*$J$5+[40]FormattedData!F91^2*$J$6+$M$5*$J$7</f>
        <v>40.806079689844992</v>
      </c>
      <c r="N75" s="39">
        <f>$J$3+[40]FormattedData!G91*$J$4+$M$4*$J$5+[40]FormattedData!G91^2*$J$6+$M$5*$J$7</f>
        <v>30.085829383245251</v>
      </c>
      <c r="O75" s="39">
        <f>$J$3+[40]FormattedData!H91*$J$4+$M$4*$J$5+[40]FormattedData!H91^2*$J$6+$M$5*$J$7</f>
        <v>31.153106222162656</v>
      </c>
      <c r="P75" s="39">
        <f>$J$3+[40]FormattedData!I91*$J$4+$M$4*$J$5+[40]FormattedData!I91^2*$J$6+$M$5*$J$7</f>
        <v>29.891229557903536</v>
      </c>
      <c r="Q75" s="39">
        <f>$J$3+[40]FormattedData!J91*$J$4+$M$4*$J$5+[40]FormattedData!J91^2*$J$6+$M$5*$J$7</f>
        <v>32.504061568465033</v>
      </c>
      <c r="R75" s="39">
        <f>$J$3+[40]FormattedData!K91*$J$4+$M$4*$J$5+[40]FormattedData!K91^2*$J$6+$M$5*$J$7</f>
        <v>32.407839503511418</v>
      </c>
      <c r="S75" s="39">
        <f>$J$3+[40]FormattedData!L91*$J$4+$M$4*$J$5+[40]FormattedData!L91^2*$J$6+$M$5*$J$7</f>
        <v>30.37741210722336</v>
      </c>
      <c r="T75" s="39">
        <f>$J$3+[40]FormattedData!M91*$J$4+$M$4*$J$5+[40]FormattedData!M91^2*$J$6+$M$5*$J$7</f>
        <v>32.600241364880716</v>
      </c>
      <c r="U75" s="39">
        <f>$J$3+[40]FormattedData!N91*$J$4+$M$4*$J$5+[40]FormattedData!N91^2*$J$6+$M$5*$J$7</f>
        <v>32.504061568465033</v>
      </c>
      <c r="V75" s="39">
        <f>$J$3+[40]FormattedData!O91*$J$4+$M$4*$J$5+[40]FormattedData!O91^2*$J$6+$M$5*$J$7</f>
        <v>30.765597312996455</v>
      </c>
      <c r="W75" s="38">
        <f>AVERAGE(K75:V75)</f>
        <v>32.422044500752229</v>
      </c>
      <c r="X75" s="37">
        <f>STDEV(K75:V75)/SQRT(COUNT(K75:V75))</f>
        <v>0.83197338308176694</v>
      </c>
      <c r="Y75" s="36">
        <f>MIN(K75:V75)</f>
        <v>29.891229557903536</v>
      </c>
      <c r="Z75" s="35">
        <f>QUARTILE(K75:V75,1)</f>
        <v>30.668551011553181</v>
      </c>
      <c r="AA75" s="36">
        <f>MEDIAN(K75:V75)</f>
        <v>32.455950535988222</v>
      </c>
      <c r="AB75" s="35">
        <f>QUARTILE(K75:V75,3)</f>
        <v>32.696315489951573</v>
      </c>
      <c r="AC75" s="35">
        <f>MAX(K75:V75)</f>
        <v>40.806079689844992</v>
      </c>
      <c r="AD75" s="35">
        <f>SKEW(K75:V75)</f>
        <v>2.4863394263871044</v>
      </c>
      <c r="AE75" s="35">
        <f>KURT(K75:V75)</f>
        <v>7.4768934783061702</v>
      </c>
    </row>
    <row r="76" spans="2:31" x14ac:dyDescent="0.2">
      <c r="B76" s="34">
        <f>[40]FormattedData!A89</f>
        <v>403</v>
      </c>
      <c r="C76" s="34" t="str">
        <f>VLOOKUP($B76,[40]TrtCodes!$B$11:I132,2)</f>
        <v>FDL</v>
      </c>
      <c r="D76" s="34">
        <f>VLOOKUP($B76,[40]TrtCodes!$B$11:J132,3)</f>
        <v>6</v>
      </c>
      <c r="E76" s="34">
        <f>VLOOKUP($B76,[40]TrtCodes!$B$11:K132,4)</f>
        <v>1</v>
      </c>
      <c r="F76" s="34">
        <f>VLOOKUP($B76,[40]TrtCodes!$B$11:L132,5)</f>
        <v>3</v>
      </c>
      <c r="G76" s="34">
        <f>VLOOKUP($B76,[40]TrtCodes!$B$11:M132,6)</f>
        <v>1</v>
      </c>
      <c r="H76" s="34">
        <f>VLOOKUP($B76,[40]TrtCodes!$B$11:N132,7)</f>
        <v>3</v>
      </c>
      <c r="I76" s="34">
        <f>[40]FormattedData!B89</f>
        <v>2</v>
      </c>
      <c r="J76" s="37">
        <f>[40]FormattedData!C89</f>
        <v>13.706</v>
      </c>
      <c r="K76" s="39">
        <f>$J$3+[40]FormattedData!D89*$J$4+$M$4*$J$5+[40]FormattedData!D89^2*$J$6+$M$5*$J$7</f>
        <v>34.705502945929226</v>
      </c>
      <c r="L76" s="39">
        <f>$J$3+[40]FormattedData!E89*$J$4+$M$4*$J$5+[40]FormattedData!E89^2*$J$6+$M$5*$J$7</f>
        <v>32.311575170019864</v>
      </c>
      <c r="M76" s="39">
        <f>$J$3+[40]FormattedData!F89*$J$4+$M$4*$J$5+[40]FormattedData!F89^2*$J$6+$M$5*$J$7</f>
        <v>48.60316238039281</v>
      </c>
      <c r="N76" s="39">
        <f>$J$3+[40]FormattedData!G89*$J$4+$M$4*$J$5+[40]FormattedData!G89^2*$J$6+$M$5*$J$7</f>
        <v>32.600241364880716</v>
      </c>
      <c r="O76" s="39">
        <f>$J$3+[40]FormattedData!H89*$J$4+$M$4*$J$5+[40]FormattedData!H89^2*$J$6+$M$5*$J$7</f>
        <v>48.158402998245506</v>
      </c>
      <c r="P76" s="39">
        <f>$J$3+[40]FormattedData!I89*$J$4+$M$4*$J$5+[40]FormattedData!I89^2*$J$6+$M$5*$J$7</f>
        <v>33.751101975910316</v>
      </c>
      <c r="Q76" s="39">
        <f>$J$3+[40]FormattedData!J89*$J$4+$M$4*$J$5+[40]FormattedData!J89^2*$J$6+$M$5*$J$7</f>
        <v>38.667829776587851</v>
      </c>
      <c r="R76" s="39">
        <f>$J$3+[40]FormattedData!K89*$J$4+$M$4*$J$5+[40]FormattedData!K89^2*$J$6+$M$5*$J$7</f>
        <v>31.733101529774018</v>
      </c>
      <c r="S76" s="39">
        <f>$J$3+[40]FormattedData!L89*$J$4+$M$4*$J$5+[40]FormattedData!L89^2*$J$6+$M$5*$J$7</f>
        <v>30.183065893109223</v>
      </c>
      <c r="T76" s="39">
        <f>$J$3+[40]FormattedData!M89*$J$4+$M$4*$J$5+[40]FormattedData!M89^2*$J$6+$M$5*$J$7</f>
        <v>29.696460658410086</v>
      </c>
      <c r="U76" s="39">
        <f>$J$3+[40]FormattedData!N89*$J$4+$M$4*$J$5+[40]FormattedData!N89^2*$J$6+$M$5*$J$7</f>
        <v>33.846732281332905</v>
      </c>
      <c r="V76" s="39">
        <f>$J$3+[40]FormattedData!O89*$J$4+$M$4*$J$5+[40]FormattedData!O89^2*$J$6+$M$5*$J$7</f>
        <v>33.463957448414988</v>
      </c>
      <c r="W76" s="38">
        <f>AVERAGE(K76:V76)</f>
        <v>35.643427868583956</v>
      </c>
      <c r="X76" s="37">
        <f>STDEV(K76:V76)/SQRT(COUNT(K76:V76))</f>
        <v>1.8402074678888454</v>
      </c>
      <c r="Y76" s="36">
        <f>MIN(K76:V76)</f>
        <v>29.696460658410086</v>
      </c>
      <c r="Z76" s="35">
        <f>QUARTILE(K76:V76,1)</f>
        <v>32.166956759958403</v>
      </c>
      <c r="AA76" s="36">
        <f>MEDIAN(K76:V76)</f>
        <v>33.607529712162652</v>
      </c>
      <c r="AB76" s="35">
        <f>QUARTILE(K76:V76,3)</f>
        <v>35.696084653593886</v>
      </c>
      <c r="AC76" s="35">
        <f>MAX(K76:V76)</f>
        <v>48.60316238039281</v>
      </c>
      <c r="AD76" s="35">
        <f>SKEW(K76:V76)</f>
        <v>1.5340184030323345</v>
      </c>
      <c r="AE76" s="35">
        <f>KURT(K76:V76)</f>
        <v>1.2582264775644818</v>
      </c>
    </row>
    <row r="77" spans="2:31" x14ac:dyDescent="0.2">
      <c r="B77" s="34">
        <f>[40]FormattedData!A87</f>
        <v>404</v>
      </c>
      <c r="C77" s="34" t="str">
        <f>VLOOKUP($B77,[40]TrtCodes!$B$11:I130,2)</f>
        <v>FTH</v>
      </c>
      <c r="D77" s="34">
        <f>VLOOKUP($B77,[40]TrtCodes!$B$11:J130,3)</f>
        <v>3</v>
      </c>
      <c r="E77" s="34">
        <f>VLOOKUP($B77,[40]TrtCodes!$B$11:K130,4)</f>
        <v>1</v>
      </c>
      <c r="F77" s="34">
        <f>VLOOKUP($B77,[40]TrtCodes!$B$11:L130,5)</f>
        <v>2</v>
      </c>
      <c r="G77" s="34">
        <f>VLOOKUP($B77,[40]TrtCodes!$B$11:M130,6)</f>
        <v>2</v>
      </c>
      <c r="H77" s="34">
        <f>VLOOKUP($B77,[40]TrtCodes!$B$11:N130,7)</f>
        <v>3</v>
      </c>
      <c r="I77" s="34">
        <f>[40]FormattedData!B87</f>
        <v>2</v>
      </c>
      <c r="J77" s="37">
        <f>[40]FormattedData!C87</f>
        <v>13.689</v>
      </c>
      <c r="K77" s="39">
        <f>$J$3+[40]FormattedData!D87*$J$4+$M$4*$J$5+[40]FormattedData!D87^2*$J$6+$M$5*$J$7</f>
        <v>36.978819710498712</v>
      </c>
      <c r="L77" s="39">
        <f>$J$3+[40]FormattedData!E87*$J$4+$M$4*$J$5+[40]FormattedData!E87^2*$J$6+$M$5*$J$7</f>
        <v>34.324249780376839</v>
      </c>
      <c r="M77" s="39">
        <f>$J$3+[40]FormattedData!F87*$J$4+$M$4*$J$5+[40]FormattedData!F87^2*$J$6+$M$5*$J$7</f>
        <v>32.215268567990378</v>
      </c>
      <c r="N77" s="39">
        <f>$J$3+[40]FormattedData!G87*$J$4+$M$4*$J$5+[40]FormattedData!G87^2*$J$6+$M$5*$J$7</f>
        <v>30.280260134435252</v>
      </c>
      <c r="O77" s="39">
        <f>$J$3+[40]FormattedData!H87*$J$4+$M$4*$J$5+[40]FormattedData!H87^2*$J$6+$M$5*$J$7</f>
        <v>33.368158068840685</v>
      </c>
      <c r="P77" s="39">
        <f>$J$3+[40]FormattedData!I87*$J$4+$M$4*$J$5+[40]FormattedData!I87^2*$J$6+$M$5*$J$7</f>
        <v>30.668614414360079</v>
      </c>
      <c r="Q77" s="39">
        <f>$J$3+[40]FormattedData!J87*$J$4+$M$4*$J$5+[40]FormattedData!J87^2*$J$6+$M$5*$J$7</f>
        <v>31.926095150674364</v>
      </c>
      <c r="R77" s="39">
        <f>$J$3+[40]FormattedData!K87*$J$4+$M$4*$J$5+[40]FormattedData!K87^2*$J$6+$M$5*$J$7</f>
        <v>29.696460658410086</v>
      </c>
      <c r="S77" s="39">
        <f>$J$3+[40]FormattedData!L87*$J$4+$M$4*$J$5+[40]FormattedData!L87^2*$J$6+$M$5*$J$7</f>
        <v>33.368158068840685</v>
      </c>
      <c r="T77" s="39">
        <f>$J$3+[40]FormattedData!M87*$J$4+$M$4*$J$5+[40]FormattedData!M87^2*$J$6+$M$5*$J$7</f>
        <v>30.280260134435252</v>
      </c>
      <c r="U77" s="39">
        <f>$J$3+[40]FormattedData!N87*$J$4+$M$4*$J$5+[40]FormattedData!N87^2*$J$6+$M$5*$J$7</f>
        <v>30.668614414360079</v>
      </c>
      <c r="V77" s="39">
        <f>$J$3+[40]FormattedData!O87*$J$4+$M$4*$J$5+[40]FormattedData!O87^2*$J$6+$M$5*$J$7</f>
        <v>36.601624324587711</v>
      </c>
      <c r="W77" s="38">
        <f>AVERAGE(K77:V77)</f>
        <v>32.53138195231751</v>
      </c>
      <c r="X77" s="37">
        <f>STDEV(K77:V77)/SQRT(COUNT(K77:V77))</f>
        <v>0.70998998272194958</v>
      </c>
      <c r="Y77" s="36">
        <f>MIN(K77:V77)</f>
        <v>29.696460658410086</v>
      </c>
      <c r="Z77" s="35">
        <f>QUARTILE(K77:V77,1)</f>
        <v>30.571525844378872</v>
      </c>
      <c r="AA77" s="36">
        <f>MEDIAN(K77:V77)</f>
        <v>32.070681859332367</v>
      </c>
      <c r="AB77" s="35">
        <f>QUARTILE(K77:V77,3)</f>
        <v>33.607180996724722</v>
      </c>
      <c r="AC77" s="35">
        <f>MAX(K77:V77)</f>
        <v>36.978819710498712</v>
      </c>
      <c r="AD77" s="35">
        <f>SKEW(K77:V77)</f>
        <v>0.75933369687196073</v>
      </c>
      <c r="AE77" s="35">
        <f>KURT(K77:V77)</f>
        <v>-0.5141770747555281</v>
      </c>
    </row>
    <row r="78" spans="2:31" x14ac:dyDescent="0.2">
      <c r="B78" s="34">
        <f>[40]FormattedData!A85</f>
        <v>405</v>
      </c>
      <c r="C78" s="34" t="str">
        <f>VLOOKUP($B78,[40]TrtCodes!$B$11:I128,2)</f>
        <v>FDL</v>
      </c>
      <c r="D78" s="34">
        <f>VLOOKUP($B78,[40]TrtCodes!$B$11:J128,3)</f>
        <v>6</v>
      </c>
      <c r="E78" s="34">
        <f>VLOOKUP($B78,[40]TrtCodes!$B$11:K128,4)</f>
        <v>1</v>
      </c>
      <c r="F78" s="34">
        <f>VLOOKUP($B78,[40]TrtCodes!$B$11:L128,5)</f>
        <v>3</v>
      </c>
      <c r="G78" s="34">
        <f>VLOOKUP($B78,[40]TrtCodes!$B$11:M128,6)</f>
        <v>1</v>
      </c>
      <c r="H78" s="34">
        <f>VLOOKUP($B78,[40]TrtCodes!$B$11:N128,7)</f>
        <v>4</v>
      </c>
      <c r="I78" s="34">
        <f>[40]FormattedData!B85</f>
        <v>2</v>
      </c>
      <c r="J78" s="37">
        <f>[40]FormattedData!C85</f>
        <v>13.673999999999999</v>
      </c>
      <c r="K78" s="39">
        <f>$J$3+[40]FormattedData!D85*$J$4+$M$4*$J$5+[40]FormattedData!D85^2*$J$6+$M$5*$J$7</f>
        <v>30.571589247185766</v>
      </c>
      <c r="L78" s="39">
        <f>$J$3+[40]FormattedData!E85*$J$4+$M$4*$J$5+[40]FormattedData!E85^2*$J$6+$M$5*$J$7</f>
        <v>34.990999000445242</v>
      </c>
      <c r="M78" s="39">
        <f>$J$3+[40]FormattedData!F85*$J$4+$M$4*$J$5+[40]FormattedData!F85^2*$J$6+$M$5*$J$7</f>
        <v>30.37741210722336</v>
      </c>
      <c r="N78" s="39">
        <f>$J$3+[40]FormattedData!G85*$J$4+$M$4*$J$5+[40]FormattedData!G85^2*$J$6+$M$5*$J$7</f>
        <v>30.085829383245251</v>
      </c>
      <c r="O78" s="39">
        <f>$J$3+[40]FormattedData!H85*$J$4+$M$4*$J$5+[40]FormattedData!H85^2*$J$6+$M$5*$J$7</f>
        <v>30.571589247185766</v>
      </c>
      <c r="P78" s="39">
        <f>$J$3+[40]FormattedData!I85*$J$4+$M$4*$J$5+[40]FormattedData!I85^2*$J$6+$M$5*$J$7</f>
        <v>29.111139515019396</v>
      </c>
      <c r="Q78" s="39">
        <f>$J$3+[40]FormattedData!J85*$J$4+$M$4*$J$5+[40]FormattedData!J85^2*$J$6+$M$5*$J$7</f>
        <v>32.311575170019864</v>
      </c>
      <c r="R78" s="39">
        <f>$J$3+[40]FormattedData!K85*$J$4+$M$4*$J$5+[40]FormattedData!K85^2*$J$6+$M$5*$J$7</f>
        <v>30.474521811473529</v>
      </c>
      <c r="S78" s="39">
        <f>$J$3+[40]FormattedData!L85*$J$4+$M$4*$J$5+[40]FormattedData!L85^2*$J$6+$M$5*$J$7</f>
        <v>29.599012805856461</v>
      </c>
      <c r="T78" s="39">
        <f>$J$3+[40]FormattedData!M85*$J$4+$M$4*$J$5+[40]FormattedData!M85^2*$J$6+$M$5*$J$7</f>
        <v>32.792474152098293</v>
      </c>
      <c r="U78" s="39">
        <f>$J$3+[40]FormattedData!N85*$J$4+$M$4*$J$5+[40]FormattedData!N85^2*$J$6+$M$5*$J$7</f>
        <v>35.750461996818984</v>
      </c>
      <c r="V78" s="39">
        <f>$J$3+[40]FormattedData!O85*$J$4+$M$4*$J$5+[40]FormattedData!O85^2*$J$6+$M$5*$J$7</f>
        <v>30.571589247185766</v>
      </c>
      <c r="W78" s="38">
        <f>AVERAGE(K78:V78)</f>
        <v>31.434016140313144</v>
      </c>
      <c r="X78" s="37">
        <f>STDEV(K78:V78)/SQRT(COUNT(K78:V78))</f>
        <v>0.60770514925778596</v>
      </c>
      <c r="Y78" s="36">
        <f>MIN(K78:V78)</f>
        <v>29.111139515019396</v>
      </c>
      <c r="Z78" s="35">
        <f>QUARTILE(K78:V78,1)</f>
        <v>30.304516426228833</v>
      </c>
      <c r="AA78" s="36">
        <f>MEDIAN(K78:V78)</f>
        <v>30.571589247185766</v>
      </c>
      <c r="AB78" s="35">
        <f>QUARTILE(K78:V78,3)</f>
        <v>32.431799915539472</v>
      </c>
      <c r="AC78" s="35">
        <f>MAX(K78:V78)</f>
        <v>35.750461996818984</v>
      </c>
      <c r="AD78" s="35">
        <f>SKEW(K78:V78)</f>
        <v>1.2097738524833719</v>
      </c>
      <c r="AE78" s="35">
        <f>KURT(K78:V78)</f>
        <v>0.44950839147659583</v>
      </c>
    </row>
    <row r="79" spans="2:31" x14ac:dyDescent="0.2">
      <c r="B79" s="34">
        <f>[40]FormattedData!A83</f>
        <v>406</v>
      </c>
      <c r="C79" s="34" t="str">
        <f>VLOOKUP($B79,[40]TrtCodes!$B$11:I126,2)</f>
        <v>FTH</v>
      </c>
      <c r="D79" s="34">
        <f>VLOOKUP($B79,[40]TrtCodes!$B$11:J126,3)</f>
        <v>3</v>
      </c>
      <c r="E79" s="34">
        <f>VLOOKUP($B79,[40]TrtCodes!$B$11:K126,4)</f>
        <v>1</v>
      </c>
      <c r="F79" s="34">
        <f>VLOOKUP($B79,[40]TrtCodes!$B$11:L126,5)</f>
        <v>2</v>
      </c>
      <c r="G79" s="34">
        <f>VLOOKUP($B79,[40]TrtCodes!$B$11:M126,6)</f>
        <v>2</v>
      </c>
      <c r="H79" s="34">
        <f>VLOOKUP($B79,[40]TrtCodes!$B$11:N126,7)</f>
        <v>4</v>
      </c>
      <c r="I79" s="34">
        <f>[40]FormattedData!B83</f>
        <v>2</v>
      </c>
      <c r="J79" s="37">
        <f>[40]FormattedData!C83</f>
        <v>13.657</v>
      </c>
      <c r="K79" s="39">
        <f>$J$3+[40]FormattedData!D83*$J$4+$M$4*$J$5+[40]FormattedData!D83^2*$J$6+$M$5*$J$7</f>
        <v>31.733101529774018</v>
      </c>
      <c r="L79" s="39">
        <f>$J$3+[40]FormattedData!E83*$J$4+$M$4*$J$5+[40]FormattedData!E83^2*$J$6+$M$5*$J$7</f>
        <v>29.403990295135429</v>
      </c>
      <c r="M79" s="39">
        <f>$J$3+[40]FormattedData!F83*$J$4+$M$4*$J$5+[40]FormattedData!F83^2*$J$6+$M$5*$J$7</f>
        <v>30.862537943094903</v>
      </c>
      <c r="N79" s="39">
        <f>$J$3+[40]FormattedData!G83*$J$4+$M$4*$J$5+[40]FormattedData!G83^2*$J$6+$M$5*$J$7</f>
        <v>30.862537943094903</v>
      </c>
      <c r="O79" s="39">
        <f>$J$3+[40]FormattedData!H83*$J$4+$M$4*$J$5+[40]FormattedData!H83^2*$J$6+$M$5*$J$7</f>
        <v>35.181118360766263</v>
      </c>
      <c r="P79" s="39">
        <f>$J$3+[40]FormattedData!I83*$J$4+$M$4*$J$5+[40]FormattedData!I83^2*$J$6+$M$5*$J$7</f>
        <v>30.959436304655416</v>
      </c>
      <c r="Q79" s="39">
        <f>$J$3+[40]FormattedData!J83*$J$4+$M$4*$J$5+[40]FormattedData!J83^2*$J$6+$M$5*$J$7</f>
        <v>30.765597312996455</v>
      </c>
      <c r="R79" s="39">
        <f>$J$3+[40]FormattedData!K83*$J$4+$M$4*$J$5+[40]FormattedData!K83^2*$J$6+$M$5*$J$7</f>
        <v>29.01343805123819</v>
      </c>
      <c r="S79" s="39">
        <f>$J$3+[40]FormattedData!L83*$J$4+$M$4*$J$5+[40]FormattedData!L83^2*$J$6+$M$5*$J$7</f>
        <v>31.829619474493157</v>
      </c>
      <c r="T79" s="39">
        <f>$J$3+[40]FormattedData!M83*$J$4+$M$4*$J$5+[40]FormattedData!M83^2*$J$6+$M$5*$J$7</f>
        <v>29.306415636968016</v>
      </c>
      <c r="U79" s="39">
        <f>$J$3+[40]FormattedData!N83*$J$4+$M$4*$J$5+[40]FormattedData!N83^2*$J$6+$M$5*$J$7</f>
        <v>31.249877778109372</v>
      </c>
      <c r="V79" s="39">
        <f>$J$3+[40]FormattedData!O83*$J$4+$M$4*$J$5+[40]FormattedData!O83^2*$J$6+$M$5*$J$7</f>
        <v>33.463957448414988</v>
      </c>
      <c r="W79" s="38">
        <f>AVERAGE(K79:V79)</f>
        <v>31.219302339895091</v>
      </c>
      <c r="X79" s="37">
        <f>STDEV(K79:V79)/SQRT(COUNT(K79:V79))</f>
        <v>0.50542620107351144</v>
      </c>
      <c r="Y79" s="36">
        <f>MIN(K79:V79)</f>
        <v>29.01343805123819</v>
      </c>
      <c r="Z79" s="35">
        <f>QUARTILE(K79:V79,1)</f>
        <v>30.4251955585312</v>
      </c>
      <c r="AA79" s="36">
        <f>MEDIAN(K79:V79)</f>
        <v>30.910987123875159</v>
      </c>
      <c r="AB79" s="35">
        <f>QUARTILE(K79:V79,3)</f>
        <v>31.757231015953803</v>
      </c>
      <c r="AC79" s="35">
        <f>MAX(K79:V79)</f>
        <v>35.181118360766263</v>
      </c>
      <c r="AD79" s="35">
        <f>SKEW(K79:V79)</f>
        <v>1.0150707757861341</v>
      </c>
      <c r="AE79" s="35">
        <f>KURT(K79:V79)</f>
        <v>1.3319875906181657</v>
      </c>
    </row>
    <row r="80" spans="2:31" x14ac:dyDescent="0.2">
      <c r="B80" s="34">
        <f>[40]FormattedData!A81</f>
        <v>407</v>
      </c>
      <c r="C80" s="34" t="str">
        <f>VLOOKUP($B80,[40]TrtCodes!$B$11:I124,2)</f>
        <v>NSH</v>
      </c>
      <c r="D80" s="34">
        <f>VLOOKUP($B80,[40]TrtCodes!$B$11:J124,3)</f>
        <v>7</v>
      </c>
      <c r="E80" s="34">
        <f>VLOOKUP($B80,[40]TrtCodes!$B$11:K124,4)</f>
        <v>2</v>
      </c>
      <c r="F80" s="34">
        <f>VLOOKUP($B80,[40]TrtCodes!$B$11:L124,5)</f>
        <v>1</v>
      </c>
      <c r="G80" s="34">
        <f>VLOOKUP($B80,[40]TrtCodes!$B$11:M124,6)</f>
        <v>2</v>
      </c>
      <c r="H80" s="34">
        <f>VLOOKUP($B80,[40]TrtCodes!$B$11:N124,7)</f>
        <v>4</v>
      </c>
      <c r="I80" s="34">
        <f>[40]FormattedData!B81</f>
        <v>2</v>
      </c>
      <c r="J80" s="37">
        <f>[40]FormattedData!C81</f>
        <v>13.64</v>
      </c>
      <c r="K80" s="39">
        <f>$J$3+[40]FormattedData!D81*$J$4+$M$4*$J$5+[40]FormattedData!D81^2*$J$6+$M$5*$J$7</f>
        <v>43.104903255409297</v>
      </c>
      <c r="L80" s="39">
        <f>$J$3+[40]FormattedData!E81*$J$4+$M$4*$J$5+[40]FormattedData!E81^2*$J$6+$M$5*$J$7</f>
        <v>33.176432504078278</v>
      </c>
      <c r="M80" s="39">
        <f>$J$3+[40]FormattedData!F81*$J$4+$M$4*$J$5+[40]FormattedData!F81^2*$J$6+$M$5*$J$7</f>
        <v>43.743839777519014</v>
      </c>
      <c r="N80" s="39">
        <f>$J$3+[40]FormattedData!G81*$J$4+$M$4*$J$5+[40]FormattedData!G81^2*$J$6+$M$5*$J$7</f>
        <v>40.528445583384176</v>
      </c>
      <c r="O80" s="39">
        <f>$J$3+[40]FormattedData!H81*$J$4+$M$4*$J$5+[40]FormattedData!H81^2*$J$6+$M$5*$J$7</f>
        <v>34.419626474571842</v>
      </c>
      <c r="P80" s="39">
        <f>$J$3+[40]FormattedData!I81*$J$4+$M$4*$J$5+[40]FormattedData!I81^2*$J$6+$M$5*$J$7</f>
        <v>39.786228150486338</v>
      </c>
      <c r="Q80" s="39">
        <f>$J$3+[40]FormattedData!J81*$J$4+$M$4*$J$5+[40]FormattedData!J81^2*$J$6+$M$5*$J$7</f>
        <v>35.845204662945015</v>
      </c>
      <c r="R80" s="39">
        <f>$J$3+[40]FormattedData!K81*$J$4+$M$4*$J$5+[40]FormattedData!K81^2*$J$6+$M$5*$J$7</f>
        <v>37.44936290078401</v>
      </c>
      <c r="S80" s="39">
        <f>$J$3+[40]FormattedData!L81*$J$4+$M$4*$J$5+[40]FormattedData!L81^2*$J$6+$M$5*$J$7</f>
        <v>29.891229557903536</v>
      </c>
      <c r="T80" s="39">
        <f>$J$3+[40]FormattedData!M81*$J$4+$M$4*$J$5+[40]FormattedData!M81^2*$J$6+$M$5*$J$7</f>
        <v>36.129179050095509</v>
      </c>
      <c r="U80" s="39">
        <f>$J$3+[40]FormattedData!N81*$J$4+$M$4*$J$5+[40]FormattedData!N81^2*$J$6+$M$5*$J$7</f>
        <v>34.037866086564264</v>
      </c>
      <c r="V80" s="39">
        <f>$J$3+[40]FormattedData!O81*$J$4+$M$4*$J$5+[40]FormattedData!O81^2*$J$6+$M$5*$J$7</f>
        <v>45.377308984766636</v>
      </c>
      <c r="W80" s="38">
        <f>AVERAGE(K80:V80)</f>
        <v>37.790802249042336</v>
      </c>
      <c r="X80" s="37">
        <f>STDEV(K80:V80)/SQRT(COUNT(K80:V80))</f>
        <v>1.372118911506464</v>
      </c>
      <c r="Y80" s="36">
        <f>MIN(K80:V80)</f>
        <v>29.891229557903536</v>
      </c>
      <c r="Z80" s="35">
        <f>QUARTILE(K80:V80,1)</f>
        <v>34.324186377569944</v>
      </c>
      <c r="AA80" s="36">
        <f>MEDIAN(K80:V80)</f>
        <v>36.789270975439763</v>
      </c>
      <c r="AB80" s="35">
        <f>QUARTILE(K80:V80,3)</f>
        <v>41.172560001390458</v>
      </c>
      <c r="AC80" s="35">
        <f>MAX(K80:V80)</f>
        <v>45.377308984766636</v>
      </c>
      <c r="AD80" s="35">
        <f>SKEW(K80:V80)</f>
        <v>0.13385982710753705</v>
      </c>
      <c r="AE80" s="35">
        <f>KURT(K80:V80)</f>
        <v>-0.90448480384874541</v>
      </c>
    </row>
    <row r="81" spans="2:31" x14ac:dyDescent="0.2">
      <c r="B81" s="34">
        <f>[40]FormattedData!A79</f>
        <v>408</v>
      </c>
      <c r="C81" s="34" t="str">
        <f>VLOOKUP($B81,[40]TrtCodes!$B$11:I122,2)</f>
        <v>NTL</v>
      </c>
      <c r="D81" s="34">
        <f>VLOOKUP($B81,[40]TrtCodes!$B$11:J122,3)</f>
        <v>10</v>
      </c>
      <c r="E81" s="34">
        <f>VLOOKUP($B81,[40]TrtCodes!$B$11:K122,4)</f>
        <v>2</v>
      </c>
      <c r="F81" s="34">
        <f>VLOOKUP($B81,[40]TrtCodes!$B$11:L122,5)</f>
        <v>2</v>
      </c>
      <c r="G81" s="34">
        <f>VLOOKUP($B81,[40]TrtCodes!$B$11:M122,6)</f>
        <v>1</v>
      </c>
      <c r="H81" s="34">
        <f>VLOOKUP($B81,[40]TrtCodes!$B$11:N122,7)</f>
        <v>4</v>
      </c>
      <c r="I81" s="34">
        <f>[40]FormattedData!B79</f>
        <v>2</v>
      </c>
      <c r="J81" s="37">
        <f>[40]FormattedData!C79</f>
        <v>13.622999999999999</v>
      </c>
      <c r="K81" s="39">
        <f>$J$3+[40]FormattedData!D79*$J$4+$M$4*$J$5+[40]FormattedData!D79^2*$J$6+$M$5*$J$7</f>
        <v>35.276114638119886</v>
      </c>
      <c r="L81" s="39">
        <f>$J$3+[40]FormattedData!E79*$J$4+$M$4*$J$5+[40]FormattedData!E79^2*$J$6+$M$5*$J$7</f>
        <v>31.056292397677996</v>
      </c>
      <c r="M81" s="39">
        <f>$J$3+[40]FormattedData!F79*$J$4+$M$4*$J$5+[40]FormattedData!F79^2*$J$6+$M$5*$J$7</f>
        <v>31.926095150674364</v>
      </c>
      <c r="N81" s="39">
        <f>$J$3+[40]FormattedData!G79*$J$4+$M$4*$J$5+[40]FormattedData!G79^2*$J$6+$M$5*$J$7</f>
        <v>32.98453786516415</v>
      </c>
      <c r="O81" s="39">
        <f>$J$3+[40]FormattedData!H79*$J$4+$M$4*$J$5+[40]FormattedData!H79^2*$J$6+$M$5*$J$7</f>
        <v>32.311575170019864</v>
      </c>
      <c r="P81" s="39">
        <f>$J$3+[40]FormattedData!I79*$J$4+$M$4*$J$5+[40]FormattedData!I79^2*$J$6+$M$5*$J$7</f>
        <v>34.514960900228893</v>
      </c>
      <c r="Q81" s="39">
        <f>$J$3+[40]FormattedData!J79*$J$4+$M$4*$J$5+[40]FormattedData!J79^2*$J$6+$M$5*$J$7</f>
        <v>30.668614414360079</v>
      </c>
      <c r="R81" s="39">
        <f>$J$3+[40]FormattedData!K79*$J$4+$M$4*$J$5+[40]FormattedData!K79^2*$J$6+$M$5*$J$7</f>
        <v>32.888527142900188</v>
      </c>
      <c r="S81" s="39">
        <f>$J$3+[40]FormattedData!L79*$J$4+$M$4*$J$5+[40]FormattedData!L79^2*$J$6+$M$5*$J$7</f>
        <v>31.539938834721958</v>
      </c>
      <c r="T81" s="39">
        <f>$J$3+[40]FormattedData!M79*$J$4+$M$4*$J$5+[40]FormattedData!M79^2*$J$6+$M$5*$J$7</f>
        <v>30.862537943094903</v>
      </c>
      <c r="U81" s="39">
        <f>$J$3+[40]FormattedData!N79*$J$4+$M$4*$J$5+[40]FormattedData!N79^2*$J$6+$M$5*$J$7</f>
        <v>32.98453786516415</v>
      </c>
      <c r="V81" s="39">
        <f>$J$3+[40]FormattedData!O79*$J$4+$M$4*$J$5+[40]FormattedData!O79^2*$J$6+$M$5*$J$7</f>
        <v>30.37741210722336</v>
      </c>
      <c r="W81" s="38">
        <f>AVERAGE(K81:V81)</f>
        <v>32.282595369112478</v>
      </c>
      <c r="X81" s="37">
        <f>STDEV(K81:V81)/SQRT(COUNT(K81:V81))</f>
        <v>0.44151704852074442</v>
      </c>
      <c r="Y81" s="36">
        <f>MIN(K81:V81)</f>
        <v>30.37741210722336</v>
      </c>
      <c r="Z81" s="35">
        <f>QUARTILE(K81:V81,1)</f>
        <v>31.007853784032221</v>
      </c>
      <c r="AA81" s="36">
        <f>MEDIAN(K81:V81)</f>
        <v>32.118835160347118</v>
      </c>
      <c r="AB81" s="35">
        <f>QUARTILE(K81:V81,3)</f>
        <v>32.98453786516415</v>
      </c>
      <c r="AC81" s="35">
        <f>MAX(K81:V81)</f>
        <v>35.276114638119886</v>
      </c>
      <c r="AD81" s="35">
        <f>SKEW(K81:V81)</f>
        <v>0.68855875933734167</v>
      </c>
      <c r="AE81" s="35">
        <f>KURT(K81:V81)</f>
        <v>-0.22166650568130342</v>
      </c>
    </row>
    <row r="82" spans="2:31" x14ac:dyDescent="0.2">
      <c r="B82" s="34">
        <f>[40]FormattedData!A59</f>
        <v>902</v>
      </c>
      <c r="C82" s="34" t="str">
        <f>VLOOKUP($B82,[40]TrtCodes!$B$11:I102,2)</f>
        <v>Late</v>
      </c>
      <c r="D82" s="34">
        <f>VLOOKUP($B82,[40]TrtCodes!$B$11:J102,3)</f>
        <v>22</v>
      </c>
      <c r="E82" s="34">
        <f>VLOOKUP($B82,[40]TrtCodes!$B$11:K102,4)</f>
        <v>4</v>
      </c>
      <c r="F82" s="34">
        <f>VLOOKUP($B82,[40]TrtCodes!$B$11:L102,5)</f>
        <v>2</v>
      </c>
      <c r="G82" s="34">
        <f>VLOOKUP($B82,[40]TrtCodes!$B$11:M102,6)</f>
        <v>2</v>
      </c>
      <c r="H82" s="34">
        <f>VLOOKUP($B82,[40]TrtCodes!$B$11:N102,7)</f>
        <v>1</v>
      </c>
      <c r="I82" s="34">
        <f>[40]FormattedData!B59</f>
        <v>2</v>
      </c>
      <c r="J82" s="37">
        <f>[40]FormattedData!C59</f>
        <v>13.46</v>
      </c>
      <c r="K82" s="39">
        <f>$J$3+[40]FormattedData!D59*$J$4+$M$4*$J$5+[40]FormattedData!D59^2*$J$6+$M$5*$J$7</f>
        <v>31.056292397677996</v>
      </c>
      <c r="L82" s="39">
        <f>$J$3+[40]FormattedData!E59*$J$4+$M$4*$J$5+[40]FormattedData!E59^2*$J$6+$M$5*$J$7</f>
        <v>33.846732281332905</v>
      </c>
      <c r="M82" s="39">
        <f>$J$3+[40]FormattedData!F59*$J$4+$M$4*$J$5+[40]FormattedData!F59^2*$J$6+$M$5*$J$7</f>
        <v>29.696460658410086</v>
      </c>
      <c r="N82" s="39">
        <f>$J$3+[40]FormattedData!G59*$J$4+$M$4*$J$5+[40]FormattedData!G59^2*$J$6+$M$5*$J$7</f>
        <v>29.111139515019396</v>
      </c>
      <c r="O82" s="39">
        <f>$J$3+[40]FormattedData!H59*$J$4+$M$4*$J$5+[40]FormattedData!H59^2*$J$6+$M$5*$J$7</f>
        <v>34.22883081764391</v>
      </c>
      <c r="P82" s="39">
        <f>$J$3+[40]FormattedData!I59*$J$4+$M$4*$J$5+[40]FormattedData!I59^2*$J$6+$M$5*$J$7</f>
        <v>31.733101529774018</v>
      </c>
      <c r="Q82" s="39">
        <f>$J$3+[40]FormattedData!J59*$J$4+$M$4*$J$5+[40]FormattedData!J59^2*$J$6+$M$5*$J$7</f>
        <v>29.501522684764915</v>
      </c>
      <c r="R82" s="39">
        <f>$J$3+[40]FormattedData!K59*$J$4+$M$4*$J$5+[40]FormattedData!K59^2*$J$6+$M$5*$J$7</f>
        <v>28.817908318061981</v>
      </c>
      <c r="S82" s="39">
        <f>$J$3+[40]FormattedData!L59*$J$4+$M$4*$J$5+[40]FormattedData!L59^2*$J$6+$M$5*$J$7</f>
        <v>30.280260134435252</v>
      </c>
      <c r="T82" s="39">
        <f>$J$3+[40]FormattedData!M59*$J$4+$M$4*$J$5+[40]FormattedData!M59^2*$J$6+$M$5*$J$7</f>
        <v>30.959436304655416</v>
      </c>
      <c r="U82" s="39">
        <f>$J$3+[40]FormattedData!N59*$J$4+$M$4*$J$5+[40]FormattedData!N59^2*$J$6+$M$5*$J$7</f>
        <v>30.668614414360079</v>
      </c>
      <c r="V82" s="39">
        <f>$J$3+[40]FormattedData!O59*$J$4+$M$4*$J$5+[40]FormattedData!O59^2*$J$6+$M$5*$J$7</f>
        <v>30.474521811473529</v>
      </c>
      <c r="W82" s="38">
        <f>AVERAGE(K82:V82)</f>
        <v>30.864568405634127</v>
      </c>
      <c r="X82" s="37">
        <f>STDEV(K82:V82)/SQRT(COUNT(K82:V82))</f>
        <v>0.49259148478422682</v>
      </c>
      <c r="Y82" s="36">
        <f>MIN(K82:V82)</f>
        <v>28.817908318061981</v>
      </c>
      <c r="Z82" s="35">
        <f>QUARTILE(K82:V82,1)</f>
        <v>29.647726164998794</v>
      </c>
      <c r="AA82" s="36">
        <f>MEDIAN(K82:V82)</f>
        <v>30.571568112916804</v>
      </c>
      <c r="AB82" s="35">
        <f>QUARTILE(K82:V82,3)</f>
        <v>31.225494680702003</v>
      </c>
      <c r="AC82" s="35">
        <f>MAX(K82:V82)</f>
        <v>34.22883081764391</v>
      </c>
      <c r="AD82" s="35">
        <f>SKEW(K82:V82)</f>
        <v>1.0298600448122246</v>
      </c>
      <c r="AE82" s="35">
        <f>KURT(K82:V82)</f>
        <v>0.43128847553706162</v>
      </c>
    </row>
    <row r="83" spans="2:31" x14ac:dyDescent="0.2">
      <c r="B83" s="34">
        <f>[40]FormattedData!A55</f>
        <v>904</v>
      </c>
      <c r="C83" s="34" t="str">
        <f>VLOOKUP($B83,[40]TrtCodes!$B$11:I98,2)</f>
        <v>Early</v>
      </c>
      <c r="D83" s="34">
        <f>VLOOKUP($B83,[40]TrtCodes!$B$11:J98,3)</f>
        <v>21</v>
      </c>
      <c r="E83" s="34">
        <f>VLOOKUP($B83,[40]TrtCodes!$B$11:K98,4)</f>
        <v>3</v>
      </c>
      <c r="F83" s="34">
        <f>VLOOKUP($B83,[40]TrtCodes!$B$11:L98,5)</f>
        <v>2</v>
      </c>
      <c r="G83" s="34">
        <f>VLOOKUP($B83,[40]TrtCodes!$B$11:M98,6)</f>
        <v>2</v>
      </c>
      <c r="H83" s="34">
        <f>VLOOKUP($B83,[40]TrtCodes!$B$11:N98,7)</f>
        <v>1</v>
      </c>
      <c r="I83" s="34">
        <f>[40]FormattedData!B55</f>
        <v>2</v>
      </c>
      <c r="J83" s="37">
        <f>[40]FormattedData!C55</f>
        <v>13.433</v>
      </c>
      <c r="K83" s="39">
        <f>$J$3+[40]FormattedData!D55*$J$4+$M$4*$J$5+[40]FormattedData!D55^2*$J$6+$M$5*$J$7</f>
        <v>30.37741210722336</v>
      </c>
      <c r="L83" s="39">
        <f>$J$3+[40]FormattedData!E55*$J$4+$M$4*$J$5+[40]FormattedData!E55^2*$J$6+$M$5*$J$7</f>
        <v>35.845204662945015</v>
      </c>
      <c r="M83" s="39">
        <f>$J$3+[40]FormattedData!F55*$J$4+$M$4*$J$5+[40]FormattedData!F55^2*$J$6+$M$5*$J$7</f>
        <v>31.636541316516954</v>
      </c>
      <c r="N83" s="39">
        <f>$J$3+[40]FormattedData!G55*$J$4+$M$4*$J$5+[40]FormattedData!G55^2*$J$6+$M$5*$J$7</f>
        <v>33.080506318890173</v>
      </c>
      <c r="O83" s="39">
        <f>$J$3+[40]FormattedData!H55*$J$4+$M$4*$J$5+[40]FormattedData!H55^2*$J$6+$M$5*$J$7</f>
        <v>31.249877778109372</v>
      </c>
      <c r="P83" s="39">
        <f>$J$3+[40]FormattedData!I55*$J$4+$M$4*$J$5+[40]FormattedData!I55^2*$J$6+$M$5*$J$7</f>
        <v>33.559714559451358</v>
      </c>
      <c r="Q83" s="39">
        <f>$J$3+[40]FormattedData!J55*$J$4+$M$4*$J$5+[40]FormattedData!J55^2*$J$6+$M$5*$J$7</f>
        <v>32.311575170019864</v>
      </c>
      <c r="R83" s="39">
        <f>$J$3+[40]FormattedData!K55*$J$4+$M$4*$J$5+[40]FormattedData!K55^2*$J$6+$M$5*$J$7</f>
        <v>31.539938834721958</v>
      </c>
      <c r="S83" s="39">
        <f>$J$3+[40]FormattedData!L55*$J$4+$M$4*$J$5+[40]FormattedData!L55^2*$J$6+$M$5*$J$7</f>
        <v>30.085829383245251</v>
      </c>
      <c r="T83" s="39">
        <f>$J$3+[40]FormattedData!M55*$J$4+$M$4*$J$5+[40]FormattedData!M55^2*$J$6+$M$5*$J$7</f>
        <v>31.829619474493157</v>
      </c>
      <c r="U83" s="39">
        <f>$J$3+[40]FormattedData!N55*$J$4+$M$4*$J$5+[40]FormattedData!N55^2*$J$6+$M$5*$J$7</f>
        <v>31.733101529774018</v>
      </c>
      <c r="V83" s="39">
        <f>$J$3+[40]FormattedData!O55*$J$4+$M$4*$J$5+[40]FormattedData!O55^2*$J$6+$M$5*$J$7</f>
        <v>31.829619474493157</v>
      </c>
      <c r="W83" s="38">
        <f>AVERAGE(K83:V83)</f>
        <v>32.089911717490303</v>
      </c>
      <c r="X83" s="37">
        <f>STDEV(K83:V83)/SQRT(COUNT(K83:V83))</f>
        <v>0.44140313716330648</v>
      </c>
      <c r="Y83" s="36">
        <f>MIN(K83:V83)</f>
        <v>30.085829383245251</v>
      </c>
      <c r="Z83" s="35">
        <f>QUARTILE(K83:V83,1)</f>
        <v>31.467423570568812</v>
      </c>
      <c r="AA83" s="36">
        <f>MEDIAN(K83:V83)</f>
        <v>31.781360502133587</v>
      </c>
      <c r="AB83" s="35">
        <f>QUARTILE(K83:V83,3)</f>
        <v>32.503807957237441</v>
      </c>
      <c r="AC83" s="35">
        <f>MAX(K83:V83)</f>
        <v>35.845204662945015</v>
      </c>
      <c r="AD83" s="35">
        <f>SKEW(K83:V83)</f>
        <v>1.3155507931413835</v>
      </c>
      <c r="AE83" s="35">
        <f>KURT(K83:V83)</f>
        <v>2.5935938362056898</v>
      </c>
    </row>
    <row r="84" spans="2:31" x14ac:dyDescent="0.2">
      <c r="B84" s="34">
        <f>[40]FormattedData!A51</f>
        <v>906</v>
      </c>
      <c r="C84" s="34" t="str">
        <f>VLOOKUP($B84,[40]TrtCodes!$B$11:I94,2)</f>
        <v>Late</v>
      </c>
      <c r="D84" s="34">
        <f>VLOOKUP($B84,[40]TrtCodes!$B$11:J94,3)</f>
        <v>22</v>
      </c>
      <c r="E84" s="34">
        <f>VLOOKUP($B84,[40]TrtCodes!$B$11:K94,4)</f>
        <v>4</v>
      </c>
      <c r="F84" s="34">
        <f>VLOOKUP($B84,[40]TrtCodes!$B$11:L94,5)</f>
        <v>2</v>
      </c>
      <c r="G84" s="34">
        <f>VLOOKUP($B84,[40]TrtCodes!$B$11:M94,6)</f>
        <v>2</v>
      </c>
      <c r="H84" s="34">
        <f>VLOOKUP($B84,[40]TrtCodes!$B$11:N94,7)</f>
        <v>2</v>
      </c>
      <c r="I84" s="34">
        <f>[40]FormattedData!B51</f>
        <v>2</v>
      </c>
      <c r="J84" s="37">
        <f>[40]FormattedData!C51</f>
        <v>13.407</v>
      </c>
      <c r="K84" s="39">
        <f>$J$3+[40]FormattedData!D51*$J$4+$M$4*$J$5+[40]FormattedData!D51^2*$J$6+$M$5*$J$7</f>
        <v>36.318283965506183</v>
      </c>
      <c r="L84" s="39">
        <f>$J$3+[40]FormattedData!E51*$J$4+$M$4*$J$5+[40]FormattedData!E51^2*$J$6+$M$5*$J$7</f>
        <v>30.571589247185766</v>
      </c>
      <c r="M84" s="39">
        <f>$J$3+[40]FormattedData!F51*$J$4+$M$4*$J$5+[40]FormattedData!F51^2*$J$6+$M$5*$J$7</f>
        <v>42.463895574940949</v>
      </c>
      <c r="N84" s="39">
        <f>$J$3+[40]FormattedData!G51*$J$4+$M$4*$J$5+[40]FormattedData!G51^2*$J$6+$M$5*$J$7</f>
        <v>31.056292397677996</v>
      </c>
      <c r="O84" s="39">
        <f>$J$3+[40]FormattedData!H51*$J$4+$M$4*$J$5+[40]FormattedData!H51^2*$J$6+$M$5*$J$7</f>
        <v>32.696378892758467</v>
      </c>
      <c r="P84" s="39">
        <f>$J$3+[40]FormattedData!I51*$J$4+$M$4*$J$5+[40]FormattedData!I51^2*$J$6+$M$5*$J$7</f>
        <v>33.846732281332905</v>
      </c>
      <c r="Q84" s="39">
        <f>$J$3+[40]FormattedData!J51*$J$4+$M$4*$J$5+[40]FormattedData!J51^2*$J$6+$M$5*$J$7</f>
        <v>31.056292397677996</v>
      </c>
      <c r="R84" s="39">
        <f>$J$3+[40]FormattedData!K51*$J$4+$M$4*$J$5+[40]FormattedData!K51^2*$J$6+$M$5*$J$7</f>
        <v>32.118919697422974</v>
      </c>
      <c r="S84" s="39">
        <f>$J$3+[40]FormattedData!L51*$J$4+$M$4*$J$5+[40]FormattedData!L51^2*$J$6+$M$5*$J$7</f>
        <v>31.829619474493157</v>
      </c>
      <c r="T84" s="39">
        <f>$J$3+[40]FormattedData!M51*$J$4+$M$4*$J$5+[40]FormattedData!M51^2*$J$6+$M$5*$J$7</f>
        <v>32.600241364880716</v>
      </c>
      <c r="U84" s="39">
        <f>$J$3+[40]FormattedData!N51*$J$4+$M$4*$J$5+[40]FormattedData!N51^2*$J$6+$M$5*$J$7</f>
        <v>36.790306554619079</v>
      </c>
      <c r="V84" s="39">
        <f>$J$3+[40]FormattedData!O51*$J$4+$M$4*$J$5+[40]FormattedData!O51^2*$J$6+$M$5*$J$7</f>
        <v>40.064876701857514</v>
      </c>
      <c r="W84" s="38">
        <f>AVERAGE(K84:V84)</f>
        <v>34.284452379196146</v>
      </c>
      <c r="X84" s="37">
        <f>STDEV(K84:V84)/SQRT(COUNT(K84:V84))</f>
        <v>1.1065426575427733</v>
      </c>
      <c r="Y84" s="36">
        <f>MIN(K84:V84)</f>
        <v>30.571589247185766</v>
      </c>
      <c r="Z84" s="35">
        <f>QUARTILE(K84:V84,1)</f>
        <v>31.636287705289366</v>
      </c>
      <c r="AA84" s="36">
        <f>MEDIAN(K84:V84)</f>
        <v>32.648310128819588</v>
      </c>
      <c r="AB84" s="35">
        <f>QUARTILE(K84:V84,3)</f>
        <v>36.436289612784407</v>
      </c>
      <c r="AC84" s="35">
        <f>MAX(K84:V84)</f>
        <v>42.463895574940949</v>
      </c>
      <c r="AD84" s="35">
        <f>SKEW(K84:V84)</f>
        <v>1.1858673877476098</v>
      </c>
      <c r="AE84" s="35">
        <f>KURT(K84:V84)</f>
        <v>0.44014508716885903</v>
      </c>
    </row>
    <row r="85" spans="2:31" x14ac:dyDescent="0.2">
      <c r="B85" s="34">
        <f>[40]FormattedData!A47</f>
        <v>908</v>
      </c>
      <c r="C85" s="34" t="str">
        <f>VLOOKUP($B85,[40]TrtCodes!$B$11:I90,2)</f>
        <v>Early</v>
      </c>
      <c r="D85" s="34">
        <f>VLOOKUP($B85,[40]TrtCodes!$B$11:J90,3)</f>
        <v>21</v>
      </c>
      <c r="E85" s="34">
        <f>VLOOKUP($B85,[40]TrtCodes!$B$11:K90,4)</f>
        <v>3</v>
      </c>
      <c r="F85" s="34">
        <f>VLOOKUP($B85,[40]TrtCodes!$B$11:L90,5)</f>
        <v>2</v>
      </c>
      <c r="G85" s="34">
        <f>VLOOKUP($B85,[40]TrtCodes!$B$11:M90,6)</f>
        <v>2</v>
      </c>
      <c r="H85" s="34">
        <f>VLOOKUP($B85,[40]TrtCodes!$B$11:N90,7)</f>
        <v>2</v>
      </c>
      <c r="I85" s="34">
        <f>[40]FormattedData!B47</f>
        <v>2</v>
      </c>
      <c r="J85" s="37">
        <f>[40]FormattedData!C47</f>
        <v>13.381</v>
      </c>
      <c r="K85" s="39">
        <f>$J$3+[40]FormattedData!D47*$J$4+$M$4*$J$5+[40]FormattedData!D47^2*$J$6+$M$5*$J$7</f>
        <v>32.696378892758467</v>
      </c>
      <c r="L85" s="39">
        <f>$J$3+[40]FormattedData!E47*$J$4+$M$4*$J$5+[40]FormattedData!E47^2*$J$6+$M$5*$J$7</f>
        <v>34.133369586373057</v>
      </c>
      <c r="M85" s="39">
        <f>$J$3+[40]FormattedData!F47*$J$4+$M$4*$J$5+[40]FormattedData!F47^2*$J$6+$M$5*$J$7</f>
        <v>35.465980387213314</v>
      </c>
      <c r="N85" s="39">
        <f>$J$3+[40]FormattedData!G47*$J$4+$M$4*$J$5+[40]FormattedData!G47^2*$J$6+$M$5*$J$7</f>
        <v>34.037866086564264</v>
      </c>
      <c r="O85" s="39">
        <f>$J$3+[40]FormattedData!H47*$J$4+$M$4*$J$5+[40]FormattedData!H47^2*$J$6+$M$5*$J$7</f>
        <v>31.056292397677996</v>
      </c>
      <c r="P85" s="39">
        <f>$J$3+[40]FormattedData!I47*$J$4+$M$4*$J$5+[40]FormattedData!I47^2*$J$6+$M$5*$J$7</f>
        <v>29.501522684764915</v>
      </c>
      <c r="Q85" s="39">
        <f>$J$3+[40]FormattedData!J47*$J$4+$M$4*$J$5+[40]FormattedData!J47^2*$J$6+$M$5*$J$7</f>
        <v>31.733101529774018</v>
      </c>
      <c r="R85" s="39">
        <f>$J$3+[40]FormattedData!K47*$J$4+$M$4*$J$5+[40]FormattedData!K47^2*$J$6+$M$5*$J$7</f>
        <v>31.249877778109372</v>
      </c>
      <c r="S85" s="39">
        <f>$J$3+[40]FormattedData!L47*$J$4+$M$4*$J$5+[40]FormattedData!L47^2*$J$6+$M$5*$J$7</f>
        <v>31.346607065518171</v>
      </c>
      <c r="T85" s="39">
        <f>$J$3+[40]FormattedData!M47*$J$4+$M$4*$J$5+[40]FormattedData!M47^2*$J$6+$M$5*$J$7</f>
        <v>31.926095150674364</v>
      </c>
      <c r="U85" s="39">
        <f>$J$3+[40]FormattedData!N47*$J$4+$M$4*$J$5+[40]FormattedData!N47^2*$J$6+$M$5*$J$7</f>
        <v>34.990999000445242</v>
      </c>
      <c r="V85" s="39">
        <f>$J$3+[40]FormattedData!O47*$J$4+$M$4*$J$5+[40]FormattedData!O47^2*$J$6+$M$5*$J$7</f>
        <v>29.891229557903536</v>
      </c>
      <c r="W85" s="38">
        <f>AVERAGE(K85:V85)</f>
        <v>32.335776676481395</v>
      </c>
      <c r="X85" s="37">
        <f>STDEV(K85:V85)/SQRT(COUNT(K85:V85))</f>
        <v>0.56031267646888017</v>
      </c>
      <c r="Y85" s="36">
        <f>MIN(K85:V85)</f>
        <v>29.501522684764915</v>
      </c>
      <c r="Z85" s="35">
        <f>QUARTILE(K85:V85,1)</f>
        <v>31.201481433001529</v>
      </c>
      <c r="AA85" s="36">
        <f>MEDIAN(K85:V85)</f>
        <v>31.829598340224191</v>
      </c>
      <c r="AB85" s="35">
        <f>QUARTILE(K85:V85,3)</f>
        <v>34.061741961516461</v>
      </c>
      <c r="AC85" s="35">
        <f>MAX(K85:V85)</f>
        <v>35.465980387213314</v>
      </c>
      <c r="AD85" s="35">
        <f>SKEW(K85:V85)</f>
        <v>0.27107676616645493</v>
      </c>
      <c r="AE85" s="35">
        <f>KURT(K85:V85)</f>
        <v>-1.0358925886973065</v>
      </c>
    </row>
    <row r="88" spans="2:31" x14ac:dyDescent="0.2">
      <c r="W88" s="35"/>
    </row>
  </sheetData>
  <autoFilter ref="B9:AE85" xr:uid="{43A18E37-952C-4C26-B660-83D7FBC5AD62}"/>
  <conditionalFormatting sqref="K10:V85">
    <cfRule type="cellIs" dxfId="155" priority="1" stopIfTrue="1" operator="lessThan">
      <formula>$W10-$V$5*$X10</formula>
    </cfRule>
    <cfRule type="cellIs" dxfId="154" priority="2" stopIfTrue="1" operator="greaterThan">
      <formula>$W10+$V$5*$X10</formula>
    </cfRule>
  </conditionalFormatting>
  <conditionalFormatting sqref="W10:W85">
    <cfRule type="cellIs" dxfId="153" priority="3" stopIfTrue="1" operator="lessThan">
      <formula>AVERAGE($W$10:$W$41)</formula>
    </cfRule>
    <cfRule type="cellIs" dxfId="15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125D-E173-41FB-B6E4-9389188CFCA1}">
  <sheetPr codeName="Sheet10"/>
  <dimension ref="A1:AI88"/>
  <sheetViews>
    <sheetView topLeftCell="A8" workbookViewId="0">
      <pane xSplit="4" ySplit="2" topLeftCell="M28" activePane="bottomRight" state="frozen"/>
      <selection activeCell="A8" sqref="A8"/>
      <selection pane="topRight" activeCell="E8" sqref="E8"/>
      <selection pane="bottomLeft" activeCell="A10" sqref="A10"/>
      <selection pane="bottomRight" activeCell="W88" sqref="W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[39]FormattedData!A1</f>
        <v>Raw data file name - 'IA157.03R'</v>
      </c>
    </row>
    <row r="2" spans="1:35" ht="15" x14ac:dyDescent="0.25">
      <c r="I2" s="65" t="s">
        <v>136</v>
      </c>
      <c r="J2" s="57"/>
      <c r="P2" s="64">
        <f>[39]AncillaryData!C10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[39]AncillaryData!E25</f>
        <v>37.5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"&amp;[39]AncillaryData!C7</f>
        <v>Time Sequence of Midday IRT Temps - FISE 2003 - DOY 157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"&amp;[39]AncillaryData!E25&amp;", VPD = "&amp;ROUND([39]AncillaryData!E29,1)&amp;", Quality = "&amp;[39]AncillaryData!C20&amp;")"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[39]FormattedData!A28</f>
        <v>101</v>
      </c>
      <c r="C10" s="34" t="str">
        <f>VLOOKUP($B10,[39]TrtCodes!$B$11:I71,2)</f>
        <v>FSH</v>
      </c>
      <c r="D10" s="34">
        <f>VLOOKUP($B10,[39]TrtCodes!$B$11:J71,3)</f>
        <v>1</v>
      </c>
      <c r="E10" s="34">
        <f>VLOOKUP($B10,[39]TrtCodes!$B$11:K71,4)</f>
        <v>1</v>
      </c>
      <c r="F10" s="34">
        <f>VLOOKUP($B10,[39]TrtCodes!$B$11:L71,5)</f>
        <v>1</v>
      </c>
      <c r="G10" s="34">
        <f>VLOOKUP($B10,[39]TrtCodes!$B$11:M71,6)</f>
        <v>2</v>
      </c>
      <c r="H10" s="34">
        <f>VLOOKUP($B10,[39]TrtCodes!$B$11:N71,7)</f>
        <v>1</v>
      </c>
      <c r="I10" s="34">
        <f>[39]FormattedData!B28</f>
        <v>1</v>
      </c>
      <c r="J10" s="37">
        <f>[39]FormattedData!C28</f>
        <v>13.009</v>
      </c>
      <c r="K10" s="39">
        <f>$J$3+[39]FormattedData!D28*$J$4+$M$4*$J$5+[39]FormattedData!D28^2*$J$6+$M$5*$J$7</f>
        <v>53.439139942729888</v>
      </c>
      <c r="L10" s="39">
        <f>$J$3+[39]FormattedData!E28*$J$4+$M$4*$J$5+[39]FormattedData!E28^2*$J$6+$M$5*$J$7</f>
        <v>53.612098276650862</v>
      </c>
      <c r="M10" s="39">
        <f>$J$3+[39]FormattedData!F28*$J$4+$M$4*$J$5+[39]FormattedData!F28^2*$J$6+$M$5*$J$7</f>
        <v>54.732206264688941</v>
      </c>
      <c r="N10" s="39">
        <f>$J$3+[39]FormattedData!G28*$J$4+$M$4*$J$5+[39]FormattedData!G28^2*$J$6+$M$5*$J$7</f>
        <v>49.944467692448164</v>
      </c>
      <c r="O10" s="39">
        <f>$J$3+[39]FormattedData!H28*$J$4+$M$4*$J$5+[39]FormattedData!H28^2*$J$6+$M$5*$J$7</f>
        <v>50.472979920859395</v>
      </c>
      <c r="P10" s="39">
        <f>$J$3+[39]FormattedData!I28*$J$4+$M$4*$J$5+[39]FormattedData!I28^2*$J$6+$M$5*$J$7</f>
        <v>50.912244393075653</v>
      </c>
      <c r="Q10" s="39">
        <f>$J$3+[39]FormattedData!J28*$J$4+$M$4*$J$5+[39]FormattedData!J28^2*$J$6+$M$5*$J$7</f>
        <v>54.646297722990525</v>
      </c>
      <c r="R10" s="39">
        <f>$J$3+[39]FormattedData!K28*$J$4+$M$4*$J$5+[39]FormattedData!K28^2*$J$6+$M$5*$J$7</f>
        <v>54.56034691275417</v>
      </c>
      <c r="S10" s="39">
        <f>$J$3+[39]FormattedData!L28*$J$4+$M$4*$J$5+[39]FormattedData!L28^2*$J$6+$M$5*$J$7</f>
        <v>55.417952930910772</v>
      </c>
      <c r="T10" s="39">
        <f>$J$3+[39]FormattedData!M28*$J$4+$M$4*$J$5+[39]FormattedData!M28^2*$J$6+$M$5*$J$7</f>
        <v>54.388318486667686</v>
      </c>
      <c r="U10" s="39">
        <f>$J$3+[39]FormattedData!N28*$J$4+$M$4*$J$5+[39]FormattedData!N28^2*$J$6+$M$5*$J$7</f>
        <v>54.732206264688941</v>
      </c>
      <c r="V10" s="39">
        <f>$J$3+[39]FormattedData!O28*$J$4+$M$4*$J$5+[39]FormattedData!O28^2*$J$6+$M$5*$J$7</f>
        <v>53.179385427813934</v>
      </c>
      <c r="W10" s="38">
        <f>AVERAGE(K10:V10)</f>
        <v>53.336470353023238</v>
      </c>
      <c r="X10" s="37">
        <f>STDEV(K10:V10)/SQRT(COUNT(K10:V10))</f>
        <v>0.53824878598498771</v>
      </c>
      <c r="Y10" s="36">
        <f>MIN(K10:V10)</f>
        <v>49.944467692448164</v>
      </c>
      <c r="Z10" s="35">
        <f>QUARTILE(K10:V10,1)</f>
        <v>52.612600169129365</v>
      </c>
      <c r="AA10" s="36">
        <f>MEDIAN(K10:V10)</f>
        <v>54.000208381659277</v>
      </c>
      <c r="AB10" s="35">
        <f>QUARTILE(K10:V10,3)</f>
        <v>54.667774858415129</v>
      </c>
      <c r="AC10" s="35">
        <f>MAX(K10:V10)</f>
        <v>55.417952930910772</v>
      </c>
      <c r="AD10" s="35">
        <f>SKEW(K10:V10)</f>
        <v>-0.95986396806177909</v>
      </c>
      <c r="AE10" s="35">
        <f>KURT(K10:V10)</f>
        <v>-0.55322746499468778</v>
      </c>
    </row>
    <row r="11" spans="1:35" x14ac:dyDescent="0.2">
      <c r="B11" s="34">
        <f>[39]FormattedData!A26</f>
        <v>102</v>
      </c>
      <c r="C11" s="34" t="str">
        <f>VLOOKUP($B11,[39]TrtCodes!$B$11:I69,2)</f>
        <v>FTL</v>
      </c>
      <c r="D11" s="34">
        <f>VLOOKUP($B11,[39]TrtCodes!$B$11:J69,3)</f>
        <v>4</v>
      </c>
      <c r="E11" s="34">
        <f>VLOOKUP($B11,[39]TrtCodes!$B$11:K69,4)</f>
        <v>1</v>
      </c>
      <c r="F11" s="34">
        <f>VLOOKUP($B11,[39]TrtCodes!$B$11:L69,5)</f>
        <v>2</v>
      </c>
      <c r="G11" s="34">
        <f>VLOOKUP($B11,[39]TrtCodes!$B$11:M69,6)</f>
        <v>1</v>
      </c>
      <c r="H11" s="34">
        <f>VLOOKUP($B11,[39]TrtCodes!$B$11:N69,7)</f>
        <v>1</v>
      </c>
      <c r="I11" s="34">
        <f>[39]FormattedData!B26</f>
        <v>1</v>
      </c>
      <c r="J11" s="37">
        <f>[39]FormattedData!C26</f>
        <v>12.99</v>
      </c>
      <c r="K11" s="39">
        <f>$J$3+[39]FormattedData!D26*$J$4+$M$4*$J$5+[39]FormattedData!D26^2*$J$6+$M$5*$J$7</f>
        <v>55.674410499868102</v>
      </c>
      <c r="L11" s="39">
        <f>$J$3+[39]FormattedData!E26*$J$4+$M$4*$J$5+[39]FormattedData!E26^2*$J$6+$M$5*$J$7</f>
        <v>54.646297722990525</v>
      </c>
      <c r="M11" s="39">
        <f>$J$3+[39]FormattedData!F26*$J$4+$M$4*$J$5+[39]FormattedData!F26^2*$J$6+$M$5*$J$7</f>
        <v>55.075417746103312</v>
      </c>
      <c r="N11" s="39">
        <f>$J$3+[39]FormattedData!G26*$J$4+$M$4*$J$5+[39]FormattedData!G26^2*$J$6+$M$5*$J$7</f>
        <v>50.472979920859395</v>
      </c>
      <c r="O11" s="39">
        <f>$J$3+[39]FormattedData!H26*$J$4+$M$4*$J$5+[39]FormattedData!H26^2*$J$6+$M$5*$J$7</f>
        <v>55.588966912086924</v>
      </c>
      <c r="P11" s="39">
        <f>$J$3+[39]FormattedData!I26*$J$4+$M$4*$J$5+[39]FormattedData!I26^2*$J$6+$M$5*$J$7</f>
        <v>51.175295853950232</v>
      </c>
      <c r="Q11" s="39">
        <f>$J$3+[39]FormattedData!J26*$J$4+$M$4*$J$5+[39]FormattedData!J26^2*$J$6+$M$5*$J$7</f>
        <v>55.930487651984038</v>
      </c>
      <c r="R11" s="39">
        <f>$J$3+[39]FormattedData!K26*$J$4+$M$4*$J$5+[39]FormattedData!K26^2*$J$6+$M$5*$J$7</f>
        <v>52.136563199736329</v>
      </c>
      <c r="S11" s="39">
        <f>$J$3+[39]FormattedData!L26*$J$4+$M$4*$J$5+[39]FormattedData!L26^2*$J$6+$M$5*$J$7</f>
        <v>54.474353833979897</v>
      </c>
      <c r="T11" s="39">
        <f>$J$3+[39]FormattedData!M26*$J$4+$M$4*$J$5+[39]FormattedData!M26^2*$J$6+$M$5*$J$7</f>
        <v>51.175295853950232</v>
      </c>
      <c r="U11" s="39">
        <f>$J$3+[39]FormattedData!N26*$J$4+$M$4*$J$5+[39]FormattedData!N26^2*$J$6+$M$5*$J$7</f>
        <v>54.129958833503458</v>
      </c>
      <c r="V11" s="39">
        <f>$J$3+[39]FormattedData!O26*$J$4+$M$4*$J$5+[39]FormattedData!O26^2*$J$6+$M$5*$J$7</f>
        <v>50.208914015074463</v>
      </c>
      <c r="W11" s="38">
        <f>AVERAGE(K11:V11)</f>
        <v>53.390745170340573</v>
      </c>
      <c r="X11" s="37">
        <f>STDEV(K11:V11)/SQRT(COUNT(K11:V11))</f>
        <v>0.63161399692081766</v>
      </c>
      <c r="Y11" s="36">
        <f>MIN(K11:V11)</f>
        <v>50.208914015074463</v>
      </c>
      <c r="Z11" s="35">
        <f>QUARTILE(K11:V11,1)</f>
        <v>51.175295853950232</v>
      </c>
      <c r="AA11" s="36">
        <f>MEDIAN(K11:V11)</f>
        <v>54.302156333741678</v>
      </c>
      <c r="AB11" s="35">
        <f>QUARTILE(K11:V11,3)</f>
        <v>55.203805037599217</v>
      </c>
      <c r="AC11" s="35">
        <f>MAX(K11:V11)</f>
        <v>55.930487651984038</v>
      </c>
      <c r="AD11" s="35">
        <f>SKEW(K11:V11)</f>
        <v>-0.34810030090567934</v>
      </c>
      <c r="AE11" s="35">
        <f>KURT(K11:V11)</f>
        <v>-1.764335799585095</v>
      </c>
    </row>
    <row r="12" spans="1:35" x14ac:dyDescent="0.2">
      <c r="B12" s="34">
        <f>[39]FormattedData!A24</f>
        <v>103</v>
      </c>
      <c r="C12" s="34" t="str">
        <f>VLOOKUP($B12,[39]TrtCodes!$B$11:I67,2)</f>
        <v>FDH</v>
      </c>
      <c r="D12" s="34">
        <f>VLOOKUP($B12,[39]TrtCodes!$B$11:J67,3)</f>
        <v>5</v>
      </c>
      <c r="E12" s="34">
        <f>VLOOKUP($B12,[39]TrtCodes!$B$11:K67,4)</f>
        <v>1</v>
      </c>
      <c r="F12" s="34">
        <f>VLOOKUP($B12,[39]TrtCodes!$B$11:L67,5)</f>
        <v>3</v>
      </c>
      <c r="G12" s="34">
        <f>VLOOKUP($B12,[39]TrtCodes!$B$11:M67,6)</f>
        <v>2</v>
      </c>
      <c r="H12" s="34">
        <f>VLOOKUP($B12,[39]TrtCodes!$B$11:N67,7)</f>
        <v>1</v>
      </c>
      <c r="I12" s="34">
        <f>[39]FormattedData!B24</f>
        <v>1</v>
      </c>
      <c r="J12" s="37">
        <f>[39]FormattedData!C24</f>
        <v>12.972</v>
      </c>
      <c r="K12" s="39">
        <f>$J$3+[39]FormattedData!D24*$J$4+$M$4*$J$5+[39]FormattedData!D24^2*$J$6+$M$5*$J$7</f>
        <v>55.417952930910772</v>
      </c>
      <c r="L12" s="39">
        <f>$J$3+[39]FormattedData!E24*$J$4+$M$4*$J$5+[39]FormattedData!E24^2*$J$6+$M$5*$J$7</f>
        <v>49.76795880134096</v>
      </c>
      <c r="M12" s="39">
        <f>$J$3+[39]FormattedData!F24*$J$4+$M$4*$J$5+[39]FormattedData!F24^2*$J$6+$M$5*$J$7</f>
        <v>53.266012534657186</v>
      </c>
      <c r="N12" s="39">
        <f>$J$3+[39]FormattedData!G24*$J$4+$M$4*$J$5+[39]FormattedData!G24^2*$J$6+$M$5*$J$7</f>
        <v>46.382165781476601</v>
      </c>
      <c r="O12" s="39">
        <f>$J$3+[39]FormattedData!H24*$J$4+$M$4*$J$5+[39]FormattedData!H24^2*$J$6+$M$5*$J$7</f>
        <v>53.698514040804461</v>
      </c>
      <c r="P12" s="39">
        <f>$J$3+[39]FormattedData!I24*$J$4+$M$4*$J$5+[39]FormattedData!I24^2*$J$6+$M$5*$J$7</f>
        <v>41.650066954482284</v>
      </c>
      <c r="Q12" s="39">
        <f>$J$3+[39]FormattedData!J24*$J$4+$M$4*$J$5+[39]FormattedData!J24^2*$J$6+$M$5*$J$7</f>
        <v>56.866182532321794</v>
      </c>
      <c r="R12" s="39">
        <f>$J$3+[39]FormattedData!K24*$J$4+$M$4*$J$5+[39]FormattedData!K24^2*$J$6+$M$5*$J$7</f>
        <v>49.856234381163524</v>
      </c>
      <c r="S12" s="39">
        <f>$J$3+[39]FormattedData!L24*$J$4+$M$4*$J$5+[39]FormattedData!L24^2*$J$6+$M$5*$J$7</f>
        <v>53.439139942729888</v>
      </c>
      <c r="T12" s="39">
        <f>$J$3+[39]FormattedData!M24*$J$4+$M$4*$J$5+[39]FormattedData!M24^2*$J$6+$M$5*$J$7</f>
        <v>49.679640952980471</v>
      </c>
      <c r="U12" s="39">
        <f>$J$3+[39]FormattedData!N24*$J$4+$M$4*$J$5+[39]FormattedData!N24^2*$J$6+$M$5*$J$7</f>
        <v>55.674410499868102</v>
      </c>
      <c r="V12" s="39">
        <f>$J$3+[39]FormattedData!O24*$J$4+$M$4*$J$5+[39]FormattedData!O24^2*$J$6+$M$5*$J$7</f>
        <v>45.300287424350621</v>
      </c>
      <c r="W12" s="38">
        <f>AVERAGE(K12:V12)</f>
        <v>50.916547231423884</v>
      </c>
      <c r="X12" s="37">
        <f>STDEV(K12:V12)/SQRT(COUNT(K12:V12))</f>
        <v>1.3480203746828201</v>
      </c>
      <c r="Y12" s="36">
        <f>MIN(K12:V12)</f>
        <v>41.650066954482284</v>
      </c>
      <c r="Z12" s="35">
        <f>QUARTILE(K12:V12,1)</f>
        <v>48.855272160104505</v>
      </c>
      <c r="AA12" s="36">
        <f>MEDIAN(K12:V12)</f>
        <v>51.561123457910355</v>
      </c>
      <c r="AB12" s="35">
        <f>QUARTILE(K12:V12,3)</f>
        <v>54.128373763331041</v>
      </c>
      <c r="AC12" s="35">
        <f>MAX(K12:V12)</f>
        <v>56.866182532321794</v>
      </c>
      <c r="AD12" s="35">
        <f>SKEW(K12:V12)</f>
        <v>-0.65415689107788155</v>
      </c>
      <c r="AE12" s="35">
        <f>KURT(K12:V12)</f>
        <v>-0.35383893238231057</v>
      </c>
    </row>
    <row r="13" spans="1:35" x14ac:dyDescent="0.2">
      <c r="B13" s="34">
        <f>[39]FormattedData!A22</f>
        <v>104</v>
      </c>
      <c r="C13" s="34" t="str">
        <f>VLOOKUP($B13,[39]TrtCodes!$B$11:I65,2)</f>
        <v>NTL</v>
      </c>
      <c r="D13" s="34">
        <f>VLOOKUP($B13,[39]TrtCodes!$B$11:J65,3)</f>
        <v>10</v>
      </c>
      <c r="E13" s="34">
        <f>VLOOKUP($B13,[39]TrtCodes!$B$11:K65,4)</f>
        <v>2</v>
      </c>
      <c r="F13" s="34">
        <f>VLOOKUP($B13,[39]TrtCodes!$B$11:L65,5)</f>
        <v>2</v>
      </c>
      <c r="G13" s="34">
        <f>VLOOKUP($B13,[39]TrtCodes!$B$11:M65,6)</f>
        <v>1</v>
      </c>
      <c r="H13" s="34">
        <f>VLOOKUP($B13,[39]TrtCodes!$B$11:N65,7)</f>
        <v>1</v>
      </c>
      <c r="I13" s="34">
        <f>[39]FormattedData!B22</f>
        <v>1</v>
      </c>
      <c r="J13" s="37">
        <f>[39]FormattedData!C22</f>
        <v>12.954000000000001</v>
      </c>
      <c r="K13" s="39">
        <f>$J$3+[39]FormattedData!D22*$J$4+$M$4*$J$5+[39]FormattedData!D22^2*$J$6+$M$5*$J$7</f>
        <v>54.302240870817535</v>
      </c>
      <c r="L13" s="39">
        <f>$J$3+[39]FormattedData!E22*$J$4+$M$4*$J$5+[39]FormattedData!E22^2*$J$6+$M$5*$J$7</f>
        <v>54.302240870817535</v>
      </c>
      <c r="M13" s="39">
        <f>$J$3+[39]FormattedData!F22*$J$4+$M$4*$J$5+[39]FormattedData!F22^2*$J$6+$M$5*$J$7</f>
        <v>54.98967827855661</v>
      </c>
      <c r="N13" s="39">
        <f>$J$3+[39]FormattedData!G22*$J$4+$M$4*$J$5+[39]FormattedData!G22^2*$J$6+$M$5*$J$7</f>
        <v>47.636664324220114</v>
      </c>
      <c r="O13" s="39">
        <f>$J$3+[39]FormattedData!H22*$J$4+$M$4*$J$5+[39]FormattedData!H22^2*$J$6+$M$5*$J$7</f>
        <v>54.90389654247199</v>
      </c>
      <c r="P13" s="39">
        <f>$J$3+[39]FormattedData!I22*$J$4+$M$4*$J$5+[39]FormattedData!I22^2*$J$6+$M$5*$J$7</f>
        <v>51.612869584649239</v>
      </c>
      <c r="Q13" s="39">
        <f>$J$3+[39]FormattedData!J22*$J$4+$M$4*$J$5+[39]FormattedData!J22^2*$J$6+$M$5*$J$7</f>
        <v>57.120484405844621</v>
      </c>
      <c r="R13" s="39">
        <f>$J$3+[39]FormattedData!K22*$J$4+$M$4*$J$5+[39]FormattedData!K22^2*$J$6+$M$5*$J$7</f>
        <v>52.484846905702426</v>
      </c>
      <c r="S13" s="39">
        <f>$J$3+[39]FormattedData!L22*$J$4+$M$4*$J$5+[39]FormattedData!L22^2*$J$6+$M$5*$J$7</f>
        <v>55.332382537515805</v>
      </c>
      <c r="T13" s="39">
        <f>$J$3+[39]FormattedData!M22*$J$4+$M$4*$J$5+[39]FormattedData!M22^2*$J$6+$M$5*$J$7</f>
        <v>52.223697529034759</v>
      </c>
      <c r="U13" s="39">
        <f>$J$3+[39]FormattedData!N22*$J$4+$M$4*$J$5+[39]FormattedData!N22^2*$J$6+$M$5*$J$7</f>
        <v>55.845170869816656</v>
      </c>
      <c r="V13" s="39">
        <f>$J$3+[39]FormattedData!O22*$J$4+$M$4*$J$5+[39]FormattedData!O22^2*$J$6+$M$5*$J$7</f>
        <v>51.612869584649239</v>
      </c>
      <c r="W13" s="38">
        <f>AVERAGE(K13:V13)</f>
        <v>53.530586858674702</v>
      </c>
      <c r="X13" s="37">
        <f>STDEV(K13:V13)/SQRT(COUNT(K13:V13))</f>
        <v>0.73645389082819268</v>
      </c>
      <c r="Y13" s="36">
        <f>MIN(K13:V13)</f>
        <v>47.636664324220114</v>
      </c>
      <c r="Z13" s="35">
        <f>QUARTILE(K13:V13,1)</f>
        <v>52.070990542938375</v>
      </c>
      <c r="AA13" s="36">
        <f>MEDIAN(K13:V13)</f>
        <v>54.302240870817535</v>
      </c>
      <c r="AB13" s="35">
        <f>QUARTILE(K13:V13,3)</f>
        <v>55.075354343296411</v>
      </c>
      <c r="AC13" s="35">
        <f>MAX(K13:V13)</f>
        <v>57.120484405844621</v>
      </c>
      <c r="AD13" s="35">
        <f>SKEW(K13:V13)</f>
        <v>-0.99274076440371695</v>
      </c>
      <c r="AE13" s="35">
        <f>KURT(K13:V13)</f>
        <v>1.3682657653644563</v>
      </c>
    </row>
    <row r="14" spans="1:35" x14ac:dyDescent="0.2">
      <c r="B14" s="34">
        <f>[39]FormattedData!A20</f>
        <v>105</v>
      </c>
      <c r="C14" s="34" t="str">
        <f>VLOOKUP($B14,[39]TrtCodes!$B$11:I63,2)</f>
        <v>NDL</v>
      </c>
      <c r="D14" s="34">
        <f>VLOOKUP($B14,[39]TrtCodes!$B$11:J63,3)</f>
        <v>12</v>
      </c>
      <c r="E14" s="34">
        <f>VLOOKUP($B14,[39]TrtCodes!$B$11:K63,4)</f>
        <v>2</v>
      </c>
      <c r="F14" s="34">
        <f>VLOOKUP($B14,[39]TrtCodes!$B$11:L63,5)</f>
        <v>3</v>
      </c>
      <c r="G14" s="34">
        <f>VLOOKUP($B14,[39]TrtCodes!$B$11:M63,6)</f>
        <v>1</v>
      </c>
      <c r="H14" s="34">
        <f>VLOOKUP($B14,[39]TrtCodes!$B$11:N63,7)</f>
        <v>2</v>
      </c>
      <c r="I14" s="34">
        <f>[39]FormattedData!B20</f>
        <v>1</v>
      </c>
      <c r="J14" s="37">
        <f>[39]FormattedData!C20</f>
        <v>12.936</v>
      </c>
      <c r="K14" s="39">
        <f>$J$3+[39]FormattedData!D20*$J$4+$M$4*$J$5+[39]FormattedData!D20^2*$J$6+$M$5*$J$7</f>
        <v>35.9532725068362</v>
      </c>
      <c r="L14" s="39">
        <f>$J$3+[39]FormattedData!E20*$J$4+$M$4*$J$5+[39]FormattedData!E20^2*$J$6+$M$5*$J$7</f>
        <v>37.838404065632595</v>
      </c>
      <c r="M14" s="39">
        <f>$J$3+[39]FormattedData!F20*$J$4+$M$4*$J$5+[39]FormattedData!F20^2*$J$6+$M$5*$J$7</f>
        <v>37.556712179530379</v>
      </c>
      <c r="N14" s="39">
        <f>$J$3+[39]FormattedData!G20*$J$4+$M$4*$J$5+[39]FormattedData!G20^2*$J$6+$M$5*$J$7</f>
        <v>35.9532725068362</v>
      </c>
      <c r="O14" s="39">
        <f>$J$3+[39]FormattedData!H20*$J$4+$M$4*$J$5+[39]FormattedData!H20^2*$J$6+$M$5*$J$7</f>
        <v>37.180531238529724</v>
      </c>
      <c r="P14" s="39">
        <f>$J$3+[39]FormattedData!I20*$J$4+$M$4*$J$5+[39]FormattedData!I20^2*$J$6+$M$5*$J$7</f>
        <v>40.263798506385072</v>
      </c>
      <c r="Q14" s="39">
        <f>$J$3+[39]FormattedData!J20*$J$4+$M$4*$J$5+[39]FormattedData!J20^2*$J$6+$M$5*$J$7</f>
        <v>36.897951713130958</v>
      </c>
      <c r="R14" s="39">
        <f>$J$3+[39]FormattedData!K20*$J$4+$M$4*$J$5+[39]FormattedData!K20^2*$J$6+$M$5*$J$7</f>
        <v>37.368706246105916</v>
      </c>
      <c r="S14" s="39">
        <f>$J$3+[39]FormattedData!L20*$J$4+$M$4*$J$5+[39]FormattedData!L20^2*$J$6+$M$5*$J$7</f>
        <v>36.803674000922179</v>
      </c>
      <c r="T14" s="39">
        <f>$J$3+[39]FormattedData!M20*$J$4+$M$4*$J$5+[39]FormattedData!M20^2*$J$6+$M$5*$J$7</f>
        <v>39.985403566241487</v>
      </c>
      <c r="U14" s="39">
        <f>$J$3+[39]FormattedData!N20*$J$4+$M$4*$J$5+[39]FormattedData!N20^2*$J$6+$M$5*$J$7</f>
        <v>38.86801963725334</v>
      </c>
      <c r="V14" s="39">
        <f>$J$3+[39]FormattedData!O20*$J$4+$M$4*$J$5+[39]FormattedData!O20^2*$J$6+$M$5*$J$7</f>
        <v>38.213401487571176</v>
      </c>
      <c r="W14" s="38">
        <f>AVERAGE(K14:V14)</f>
        <v>37.740262304581258</v>
      </c>
      <c r="X14" s="37">
        <f>STDEV(K14:V14)/SQRT(COUNT(K14:V14))</f>
        <v>0.40238509197875638</v>
      </c>
      <c r="Y14" s="36">
        <f>MIN(K14:V14)</f>
        <v>35.9532725068362</v>
      </c>
      <c r="Z14" s="35">
        <f>QUARTILE(K14:V14,1)</f>
        <v>36.874382285078767</v>
      </c>
      <c r="AA14" s="36">
        <f>MEDIAN(K14:V14)</f>
        <v>37.462709212818147</v>
      </c>
      <c r="AB14" s="35">
        <f>QUARTILE(K14:V14,3)</f>
        <v>38.377056024991717</v>
      </c>
      <c r="AC14" s="35">
        <f>MAX(K14:V14)</f>
        <v>40.263798506385072</v>
      </c>
      <c r="AD14" s="35">
        <f>SKEW(K14:V14)</f>
        <v>0.63899299178132773</v>
      </c>
      <c r="AE14" s="35">
        <f>KURT(K14:V14)</f>
        <v>-0.30103398317598318</v>
      </c>
    </row>
    <row r="15" spans="1:35" x14ac:dyDescent="0.2">
      <c r="B15" s="34">
        <f>[39]FormattedData!A18</f>
        <v>106</v>
      </c>
      <c r="C15" s="34" t="str">
        <f>VLOOKUP($B15,[39]TrtCodes!$B$11:I61,2)</f>
        <v>NTH</v>
      </c>
      <c r="D15" s="34">
        <f>VLOOKUP($B15,[39]TrtCodes!$B$11:J61,3)</f>
        <v>9</v>
      </c>
      <c r="E15" s="34">
        <f>VLOOKUP($B15,[39]TrtCodes!$B$11:K61,4)</f>
        <v>2</v>
      </c>
      <c r="F15" s="34">
        <f>VLOOKUP($B15,[39]TrtCodes!$B$11:L61,5)</f>
        <v>2</v>
      </c>
      <c r="G15" s="34">
        <f>VLOOKUP($B15,[39]TrtCodes!$B$11:M61,6)</f>
        <v>2</v>
      </c>
      <c r="H15" s="34">
        <f>VLOOKUP($B15,[39]TrtCodes!$B$11:N61,7)</f>
        <v>2</v>
      </c>
      <c r="I15" s="34">
        <f>[39]FormattedData!B18</f>
        <v>1</v>
      </c>
      <c r="J15" s="37">
        <f>[39]FormattedData!C18</f>
        <v>12.917999999999999</v>
      </c>
      <c r="K15" s="39">
        <f>$J$3+[39]FormattedData!D18*$J$4+$M$4*$J$5+[39]FormattedData!D18^2*$J$6+$M$5*$J$7</f>
        <v>54.90389654247199</v>
      </c>
      <c r="L15" s="39">
        <f>$J$3+[39]FormattedData!E18*$J$4+$M$4*$J$5+[39]FormattedData!E18^2*$J$6+$M$5*$J$7</f>
        <v>54.56034691275417</v>
      </c>
      <c r="M15" s="39">
        <f>$J$3+[39]FormattedData!F18*$J$4+$M$4*$J$5+[39]FormattedData!F18^2*$J$6+$M$5*$J$7</f>
        <v>55.845170869816656</v>
      </c>
      <c r="N15" s="39">
        <f>$J$3+[39]FormattedData!G18*$J$4+$M$4*$J$5+[39]FormattedData!G18^2*$J$6+$M$5*$J$7</f>
        <v>50.648812515359687</v>
      </c>
      <c r="O15" s="39">
        <f>$J$3+[39]FormattedData!H18*$J$4+$M$4*$J$5+[39]FormattedData!H18^2*$J$6+$M$5*$J$7</f>
        <v>56.781330704071657</v>
      </c>
      <c r="P15" s="39">
        <f>$J$3+[39]FormattedData!I18*$J$4+$M$4*$J$5+[39]FormattedData!I18^2*$J$6+$M$5*$J$7</f>
        <v>53.352597372962506</v>
      </c>
      <c r="Q15" s="39">
        <f>$J$3+[39]FormattedData!J18*$J$4+$M$4*$J$5+[39]FormattedData!J18^2*$J$6+$M$5*$J$7</f>
        <v>54.98967827855661</v>
      </c>
      <c r="R15" s="39">
        <f>$J$3+[39]FormattedData!K18*$J$4+$M$4*$J$5+[39]FormattedData!K18^2*$J$6+$M$5*$J$7</f>
        <v>52.3978393820178</v>
      </c>
      <c r="S15" s="39">
        <f>$J$3+[39]FormattedData!L18*$J$4+$M$4*$J$5+[39]FormattedData!L18^2*$J$6+$M$5*$J$7</f>
        <v>55.845170869816656</v>
      </c>
      <c r="T15" s="39">
        <f>$J$3+[39]FormattedData!M18*$J$4+$M$4*$J$5+[39]FormattedData!M18^2*$J$6+$M$5*$J$7</f>
        <v>51.437966897983429</v>
      </c>
      <c r="U15" s="39">
        <f>$J$3+[39]FormattedData!N18*$J$4+$M$4*$J$5+[39]FormattedData!N18^2*$J$6+$M$5*$J$7</f>
        <v>55.503481055767814</v>
      </c>
      <c r="V15" s="39">
        <f>$J$3+[39]FormattedData!O18*$J$4+$M$4*$J$5+[39]FormattedData!O18^2*$J$6+$M$5*$J$7</f>
        <v>52.310789589795242</v>
      </c>
      <c r="W15" s="38">
        <f>AVERAGE(K15:V15)</f>
        <v>54.048090082614522</v>
      </c>
      <c r="X15" s="37">
        <f>STDEV(K15:V15)/SQRT(COUNT(K15:V15))</f>
        <v>0.56757223197378825</v>
      </c>
      <c r="Y15" s="36">
        <f>MIN(K15:V15)</f>
        <v>50.648812515359687</v>
      </c>
      <c r="Z15" s="35">
        <f>QUARTILE(K15:V15,1)</f>
        <v>52.37607693396216</v>
      </c>
      <c r="AA15" s="36">
        <f>MEDIAN(K15:V15)</f>
        <v>54.732121727613077</v>
      </c>
      <c r="AB15" s="35">
        <f>QUARTILE(K15:V15,3)</f>
        <v>55.588903509280023</v>
      </c>
      <c r="AC15" s="35">
        <f>MAX(K15:V15)</f>
        <v>56.781330704071657</v>
      </c>
      <c r="AD15" s="35">
        <f>SKEW(K15:V15)</f>
        <v>-0.43677399190123906</v>
      </c>
      <c r="AE15" s="35">
        <f>KURT(K15:V15)</f>
        <v>-1.0887676741279417</v>
      </c>
    </row>
    <row r="16" spans="1:35" x14ac:dyDescent="0.2">
      <c r="B16" s="34">
        <f>[39]FormattedData!A16</f>
        <v>107</v>
      </c>
      <c r="C16" s="34" t="str">
        <f>VLOOKUP($B16,[39]TrtCodes!$B$11:I59,2)</f>
        <v>NTL</v>
      </c>
      <c r="D16" s="34">
        <f>VLOOKUP($B16,[39]TrtCodes!$B$11:J59,3)</f>
        <v>10</v>
      </c>
      <c r="E16" s="34">
        <f>VLOOKUP($B16,[39]TrtCodes!$B$11:K59,4)</f>
        <v>2</v>
      </c>
      <c r="F16" s="34">
        <f>VLOOKUP($B16,[39]TrtCodes!$B$11:L59,5)</f>
        <v>2</v>
      </c>
      <c r="G16" s="34">
        <f>VLOOKUP($B16,[39]TrtCodes!$B$11:M59,6)</f>
        <v>1</v>
      </c>
      <c r="H16" s="34">
        <f>VLOOKUP($B16,[39]TrtCodes!$B$11:N59,7)</f>
        <v>2</v>
      </c>
      <c r="I16" s="34">
        <f>[39]FormattedData!B16</f>
        <v>1</v>
      </c>
      <c r="J16" s="37">
        <f>[39]FormattedData!C16</f>
        <v>12.901</v>
      </c>
      <c r="K16" s="39">
        <f>$J$3+[39]FormattedData!D16*$J$4+$M$4*$J$5+[39]FormattedData!D16^2*$J$6+$M$5*$J$7</f>
        <v>55.845170869816656</v>
      </c>
      <c r="L16" s="39">
        <f>$J$3+[39]FormattedData!E16*$J$4+$M$4*$J$5+[39]FormattedData!E16^2*$J$6+$M$5*$J$7</f>
        <v>56.441500705691787</v>
      </c>
      <c r="M16" s="39">
        <f>$J$3+[39]FormattedData!F16*$J$4+$M$4*$J$5+[39]FormattedData!F16^2*$J$6+$M$5*$J$7</f>
        <v>56.950992092033999</v>
      </c>
      <c r="N16" s="39">
        <f>$J$3+[39]FormattedData!G16*$J$4+$M$4*$J$5+[39]FormattedData!G16^2*$J$6+$M$5*$J$7</f>
        <v>51.525439375585307</v>
      </c>
      <c r="O16" s="39">
        <f>$J$3+[39]FormattedData!H16*$J$4+$M$4*$J$5+[39]FormattedData!H16^2*$J$6+$M$5*$J$7</f>
        <v>55.161114945112075</v>
      </c>
      <c r="P16" s="39">
        <f>$J$3+[39]FormattedData!I16*$J$4+$M$4*$J$5+[39]FormattedData!I16^2*$J$6+$M$5*$J$7</f>
        <v>54.98967827855661</v>
      </c>
      <c r="Q16" s="39">
        <f>$J$3+[39]FormattedData!J16*$J$4+$M$4*$J$5+[39]FormattedData!J16^2*$J$6+$M$5*$J$7</f>
        <v>57.965409862621883</v>
      </c>
      <c r="R16" s="39">
        <f>$J$3+[39]FormattedData!K16*$J$4+$M$4*$J$5+[39]FormattedData!K16^2*$J$6+$M$5*$J$7</f>
        <v>48.349801003021312</v>
      </c>
      <c r="S16" s="39">
        <f>$J$3+[39]FormattedData!L16*$J$4+$M$4*$J$5+[39]FormattedData!L16^2*$J$6+$M$5*$J$7</f>
        <v>58.7222288137283</v>
      </c>
      <c r="T16" s="39">
        <f>$J$3+[39]FormattedData!M16*$J$4+$M$4*$J$5+[39]FormattedData!M16^2*$J$6+$M$5*$J$7</f>
        <v>51.350452151843626</v>
      </c>
      <c r="U16" s="39">
        <f>$J$3+[39]FormattedData!N16*$J$4+$M$4*$J$5+[39]FormattedData!N16^2*$J$6+$M$5*$J$7</f>
        <v>57.03575938320828</v>
      </c>
      <c r="V16" s="39">
        <f>$J$3+[39]FormattedData!O16*$J$4+$M$4*$J$5+[39]FormattedData!O16^2*$J$6+$M$5*$J$7</f>
        <v>50.120807509403626</v>
      </c>
      <c r="W16" s="38">
        <f>AVERAGE(K16:V16)</f>
        <v>54.538196249218622</v>
      </c>
      <c r="X16" s="37">
        <f>STDEV(K16:V16)/SQRT(COUNT(K16:V16))</f>
        <v>0.97032451885387261</v>
      </c>
      <c r="Y16" s="36">
        <f>MIN(K16:V16)</f>
        <v>48.349801003021312</v>
      </c>
      <c r="Z16" s="35">
        <f>QUARTILE(K16:V16,1)</f>
        <v>51.481692569649887</v>
      </c>
      <c r="AA16" s="36">
        <f>MEDIAN(K16:V16)</f>
        <v>55.503142907464365</v>
      </c>
      <c r="AB16" s="35">
        <f>QUARTILE(K16:V16,3)</f>
        <v>56.972183914827568</v>
      </c>
      <c r="AC16" s="35">
        <f>MAX(K16:V16)</f>
        <v>58.7222288137283</v>
      </c>
      <c r="AD16" s="35">
        <f>SKEW(K16:V16)</f>
        <v>-0.66166219096242451</v>
      </c>
      <c r="AE16" s="35">
        <f>KURT(K16:V16)</f>
        <v>-0.86524764972285562</v>
      </c>
    </row>
    <row r="17" spans="2:31" x14ac:dyDescent="0.2">
      <c r="B17" s="34">
        <f>[39]FormattedData!A14</f>
        <v>108</v>
      </c>
      <c r="C17" s="34" t="str">
        <f>VLOOKUP($B17,[39]TrtCodes!$B$11:I57,2)</f>
        <v>FTH</v>
      </c>
      <c r="D17" s="34">
        <f>VLOOKUP($B17,[39]TrtCodes!$B$11:J57,3)</f>
        <v>3</v>
      </c>
      <c r="E17" s="34">
        <f>VLOOKUP($B17,[39]TrtCodes!$B$11:K57,4)</f>
        <v>1</v>
      </c>
      <c r="F17" s="34">
        <f>VLOOKUP($B17,[39]TrtCodes!$B$11:L57,5)</f>
        <v>2</v>
      </c>
      <c r="G17" s="34">
        <f>VLOOKUP($B17,[39]TrtCodes!$B$11:M57,6)</f>
        <v>2</v>
      </c>
      <c r="H17" s="34">
        <f>VLOOKUP($B17,[39]TrtCodes!$B$11:N57,7)</f>
        <v>2</v>
      </c>
      <c r="I17" s="34">
        <f>[39]FormattedData!B14</f>
        <v>1</v>
      </c>
      <c r="J17" s="37">
        <f>[39]FormattedData!C14</f>
        <v>12.885</v>
      </c>
      <c r="K17" s="39">
        <f>$J$3+[39]FormattedData!D14*$J$4+$M$4*$J$5+[39]FormattedData!D14^2*$J$6+$M$5*$J$7</f>
        <v>55.332382537515805</v>
      </c>
      <c r="L17" s="39">
        <f>$J$3+[39]FormattedData!E14*$J$4+$M$4*$J$5+[39]FormattedData!E14^2*$J$6+$M$5*$J$7</f>
        <v>53.179385427813934</v>
      </c>
      <c r="M17" s="39">
        <f>$J$3+[39]FormattedData!F14*$J$4+$M$4*$J$5+[39]FormattedData!F14^2*$J$6+$M$5*$J$7</f>
        <v>50.296978252207374</v>
      </c>
      <c r="N17" s="39">
        <f>$J$3+[39]FormattedData!G14*$J$4+$M$4*$J$5+[39]FormattedData!G14^2*$J$6+$M$5*$J$7</f>
        <v>49.591280836082042</v>
      </c>
      <c r="O17" s="39">
        <f>$J$3+[39]FormattedData!H14*$J$4+$M$4*$J$5+[39]FormattedData!H14^2*$J$6+$M$5*$J$7</f>
        <v>58.470336246867546</v>
      </c>
      <c r="P17" s="39">
        <f>$J$3+[39]FormattedData!I14*$J$4+$M$4*$J$5+[39]FormattedData!I14^2*$J$6+$M$5*$J$7</f>
        <v>49.76795880134096</v>
      </c>
      <c r="Q17" s="39">
        <f>$J$3+[39]FormattedData!J14*$J$4+$M$4*$J$5+[39]FormattedData!J14^2*$J$6+$M$5*$J$7</f>
        <v>57.289807645503529</v>
      </c>
      <c r="R17" s="39">
        <f>$J$3+[39]FormattedData!K14*$J$4+$M$4*$J$5+[39]FormattedData!K14^2*$J$6+$M$5*$J$7</f>
        <v>50.032658735194858</v>
      </c>
      <c r="S17" s="39">
        <f>$J$3+[39]FormattedData!L14*$J$4+$M$4*$J$5+[39]FormattedData!L14^2*$J$6+$M$5*$J$7</f>
        <v>55.417952930910772</v>
      </c>
      <c r="T17" s="39">
        <f>$J$3+[39]FormattedData!M14*$J$4+$M$4*$J$5+[39]FormattedData!M14^2*$J$6+$M$5*$J$7</f>
        <v>49.76795880134096</v>
      </c>
      <c r="U17" s="39">
        <f>$J$3+[39]FormattedData!N14*$J$4+$M$4*$J$5+[39]FormattedData!N14^2*$J$6+$M$5*$J$7</f>
        <v>54.646297722990525</v>
      </c>
      <c r="V17" s="39">
        <f>$J$3+[39]FormattedData!O14*$J$4+$M$4*$J$5+[39]FormattedData!O14^2*$J$6+$M$5*$J$7</f>
        <v>46.472047565740553</v>
      </c>
      <c r="W17" s="38">
        <f>AVERAGE(K17:V17)</f>
        <v>52.522087125292408</v>
      </c>
      <c r="X17" s="37">
        <f>STDEV(K17:V17)/SQRT(COUNT(K17:V17))</f>
        <v>1.069027986687014</v>
      </c>
      <c r="Y17" s="36">
        <f>MIN(K17:V17)</f>
        <v>46.472047565740553</v>
      </c>
      <c r="Z17" s="35">
        <f>QUARTILE(K17:V17,1)</f>
        <v>49.76795880134096</v>
      </c>
      <c r="AA17" s="36">
        <f>MEDIAN(K17:V17)</f>
        <v>51.738181840010654</v>
      </c>
      <c r="AB17" s="35">
        <f>QUARTILE(K17:V17,3)</f>
        <v>55.353775135864545</v>
      </c>
      <c r="AC17" s="35">
        <f>MAX(K17:V17)</f>
        <v>58.470336246867546</v>
      </c>
      <c r="AD17" s="35">
        <f>SKEW(K17:V17)</f>
        <v>0.12960182160770439</v>
      </c>
      <c r="AE17" s="35">
        <f>KURT(K17:V17)</f>
        <v>-1.0896303430178076</v>
      </c>
    </row>
    <row r="18" spans="2:31" x14ac:dyDescent="0.2">
      <c r="B18" s="34">
        <f>[39]FormattedData!A30</f>
        <v>201</v>
      </c>
      <c r="C18" s="34" t="str">
        <f>VLOOKUP($B18,[39]TrtCodes!$B$11:I73,2)</f>
        <v>NDL</v>
      </c>
      <c r="D18" s="34">
        <f>VLOOKUP($B18,[39]TrtCodes!$B$11:J73,3)</f>
        <v>12</v>
      </c>
      <c r="E18" s="34">
        <f>VLOOKUP($B18,[39]TrtCodes!$B$11:K73,4)</f>
        <v>2</v>
      </c>
      <c r="F18" s="34">
        <f>VLOOKUP($B18,[39]TrtCodes!$B$11:L73,5)</f>
        <v>3</v>
      </c>
      <c r="G18" s="34">
        <f>VLOOKUP($B18,[39]TrtCodes!$B$11:M73,6)</f>
        <v>1</v>
      </c>
      <c r="H18" s="34">
        <f>VLOOKUP($B18,[39]TrtCodes!$B$11:N73,7)</f>
        <v>1</v>
      </c>
      <c r="I18" s="34">
        <f>[39]FormattedData!B30</f>
        <v>1</v>
      </c>
      <c r="J18" s="37">
        <f>[39]FormattedData!C30</f>
        <v>13.032</v>
      </c>
      <c r="K18" s="39">
        <f>$J$3+[39]FormattedData!D30*$J$4+$M$4*$J$5+[39]FormattedData!D30^2*$J$6+$M$5*$J$7</f>
        <v>39.799595596789437</v>
      </c>
      <c r="L18" s="39">
        <f>$J$3+[39]FormattedData!E30*$J$4+$M$4*$J$5+[39]FormattedData!E30^2*$J$6+$M$5*$J$7</f>
        <v>39.613618553185667</v>
      </c>
      <c r="M18" s="39">
        <f>$J$3+[39]FormattedData!F30*$J$4+$M$4*$J$5+[39]FormattedData!F30^2*$J$6+$M$5*$J$7</f>
        <v>39.241157243522956</v>
      </c>
      <c r="N18" s="39">
        <f>$J$3+[39]FormattedData!G30*$J$4+$M$4*$J$5+[39]FormattedData!G30^2*$J$6+$M$5*$J$7</f>
        <v>39.334335973745532</v>
      </c>
      <c r="O18" s="39">
        <f>$J$3+[39]FormattedData!H30*$J$4+$M$4*$J$5+[39]FormattedData!H30^2*$J$6+$M$5*$J$7</f>
        <v>37.838404065632595</v>
      </c>
      <c r="P18" s="39">
        <f>$J$3+[39]FormattedData!I30*$J$4+$M$4*$J$5+[39]FormattedData!I30^2*$J$6+$M$5*$J$7</f>
        <v>38.681197222890951</v>
      </c>
      <c r="Q18" s="39">
        <f>$J$3+[39]FormattedData!J30*$J$4+$M$4*$J$5+[39]FormattedData!J30^2*$J$6+$M$5*$J$7</f>
        <v>36.992187156801812</v>
      </c>
      <c r="R18" s="39">
        <f>$J$3+[39]FormattedData!K30*$J$4+$M$4*$J$5+[39]FormattedData!K30^2*$J$6+$M$5*$J$7</f>
        <v>36.709354020175454</v>
      </c>
      <c r="S18" s="39">
        <f>$J$3+[39]FormattedData!L30*$J$4+$M$4*$J$5+[39]FormattedData!L30^2*$J$6+$M$5*$J$7</f>
        <v>35.384436093238669</v>
      </c>
      <c r="T18" s="39">
        <f>$J$3+[39]FormattedData!M30*$J$4+$M$4*$J$5+[39]FormattedData!M30^2*$J$6+$M$5*$J$7</f>
        <v>33.189799950381378</v>
      </c>
      <c r="U18" s="39">
        <f>$J$3+[39]FormattedData!N30*$J$4+$M$4*$J$5+[39]FormattedData!N30^2*$J$6+$M$5*$J$7</f>
        <v>35.858572109248115</v>
      </c>
      <c r="V18" s="39">
        <f>$J$3+[39]FormattedData!O30*$J$4+$M$4*$J$5+[39]FormattedData!O30^2*$J$6+$M$5*$J$7</f>
        <v>35.858572109248115</v>
      </c>
      <c r="W18" s="38">
        <f>AVERAGE(K18:V18)</f>
        <v>37.375102507905062</v>
      </c>
      <c r="X18" s="37">
        <f>STDEV(K18:V18)/SQRT(COUNT(K18:V18))</f>
        <v>0.59543397083584992</v>
      </c>
      <c r="Y18" s="36">
        <f>MIN(K18:V18)</f>
        <v>33.189799950381378</v>
      </c>
      <c r="Z18" s="35">
        <f>QUARTILE(K18:V18,1)</f>
        <v>35.858572109248115</v>
      </c>
      <c r="AA18" s="36">
        <f>MEDIAN(K18:V18)</f>
        <v>37.415295611217203</v>
      </c>
      <c r="AB18" s="35">
        <f>QUARTILE(K18:V18,3)</f>
        <v>39.2644519260786</v>
      </c>
      <c r="AC18" s="35">
        <f>MAX(K18:V18)</f>
        <v>39.799595596789437</v>
      </c>
      <c r="AD18" s="35">
        <f>SKEW(K18:V18)</f>
        <v>-0.58070888277630484</v>
      </c>
      <c r="AE18" s="35">
        <f>KURT(K18:V18)</f>
        <v>-0.35252113898512194</v>
      </c>
    </row>
    <row r="19" spans="2:31" x14ac:dyDescent="0.2">
      <c r="B19" s="34">
        <f>[39]FormattedData!A32</f>
        <v>202</v>
      </c>
      <c r="C19" s="34" t="str">
        <f>VLOOKUP($B19,[39]TrtCodes!$B$11:I75,2)</f>
        <v>NTH</v>
      </c>
      <c r="D19" s="34">
        <f>VLOOKUP($B19,[39]TrtCodes!$B$11:J75,3)</f>
        <v>9</v>
      </c>
      <c r="E19" s="34">
        <f>VLOOKUP($B19,[39]TrtCodes!$B$11:K75,4)</f>
        <v>2</v>
      </c>
      <c r="F19" s="34">
        <f>VLOOKUP($B19,[39]TrtCodes!$B$11:L75,5)</f>
        <v>2</v>
      </c>
      <c r="G19" s="34">
        <f>VLOOKUP($B19,[39]TrtCodes!$B$11:M75,6)</f>
        <v>2</v>
      </c>
      <c r="H19" s="34">
        <f>VLOOKUP($B19,[39]TrtCodes!$B$11:N75,7)</f>
        <v>1</v>
      </c>
      <c r="I19" s="34">
        <f>[39]FormattedData!B32</f>
        <v>1</v>
      </c>
      <c r="J19" s="37">
        <f>[39]FormattedData!C32</f>
        <v>13.048</v>
      </c>
      <c r="K19" s="39">
        <f>$J$3+[39]FormattedData!D32*$J$4+$M$4*$J$5+[39]FormattedData!D32^2*$J$6+$M$5*$J$7</f>
        <v>53.525640243959351</v>
      </c>
      <c r="L19" s="39">
        <f>$J$3+[39]FormattedData!E32*$J$4+$M$4*$J$5+[39]FormattedData!E32^2*$J$6+$M$5*$J$7</f>
        <v>53.092716052432763</v>
      </c>
      <c r="M19" s="39">
        <f>$J$3+[39]FormattedData!F32*$J$4+$M$4*$J$5+[39]FormattedData!F32^2*$J$6+$M$5*$J$7</f>
        <v>54.732206264688941</v>
      </c>
      <c r="N19" s="39">
        <f>$J$3+[39]FormattedData!G32*$J$4+$M$4*$J$5+[39]FormattedData!G32^2*$J$6+$M$5*$J$7</f>
        <v>46.561887081466558</v>
      </c>
      <c r="O19" s="39">
        <f>$J$3+[39]FormattedData!H32*$J$4+$M$4*$J$5+[39]FormattedData!H32^2*$J$6+$M$5*$J$7</f>
        <v>55.503481055767814</v>
      </c>
      <c r="P19" s="39">
        <f>$J$3+[39]FormattedData!I32*$J$4+$M$4*$J$5+[39]FormattedData!I32^2*$J$6+$M$5*$J$7</f>
        <v>46.651684328654646</v>
      </c>
      <c r="Q19" s="39">
        <f>$J$3+[39]FormattedData!J32*$J$4+$M$4*$J$5+[39]FormattedData!J32^2*$J$6+$M$5*$J$7</f>
        <v>54.90389654247199</v>
      </c>
      <c r="R19" s="39">
        <f>$J$3+[39]FormattedData!K32*$J$4+$M$4*$J$5+[39]FormattedData!K32^2*$J$6+$M$5*$J$7</f>
        <v>54.474353833979897</v>
      </c>
      <c r="S19" s="39">
        <f>$J$3+[39]FormattedData!L32*$J$4+$M$4*$J$5+[39]FormattedData!L32^2*$J$6+$M$5*$J$7</f>
        <v>54.98967827855661</v>
      </c>
      <c r="T19" s="39">
        <f>$J$3+[39]FormattedData!M32*$J$4+$M$4*$J$5+[39]FormattedData!M32^2*$J$6+$M$5*$J$7</f>
        <v>48.794137699789317</v>
      </c>
      <c r="U19" s="39">
        <f>$J$3+[39]FormattedData!N32*$J$4+$M$4*$J$5+[39]FormattedData!N32^2*$J$6+$M$5*$J$7</f>
        <v>53.439139942729888</v>
      </c>
      <c r="V19" s="39">
        <f>$J$3+[39]FormattedData!O32*$J$4+$M$4*$J$5+[39]FormattedData!O32^2*$J$6+$M$5*$J$7</f>
        <v>54.216120986429466</v>
      </c>
      <c r="W19" s="38">
        <f>AVERAGE(K19:V19)</f>
        <v>52.57374519257727</v>
      </c>
      <c r="X19" s="37">
        <f>STDEV(K19:V19)/SQRT(COUNT(K19:V19))</f>
        <v>0.94645020404285729</v>
      </c>
      <c r="Y19" s="36">
        <f>MIN(K19:V19)</f>
        <v>46.561887081466558</v>
      </c>
      <c r="Z19" s="35">
        <f>QUARTILE(K19:V19,1)</f>
        <v>52.018071464271898</v>
      </c>
      <c r="AA19" s="36">
        <f>MEDIAN(K19:V19)</f>
        <v>53.870880615194409</v>
      </c>
      <c r="AB19" s="35">
        <f>QUARTILE(K19:V19,3)</f>
        <v>54.775128834134705</v>
      </c>
      <c r="AC19" s="35">
        <f>MAX(K19:V19)</f>
        <v>55.503481055767814</v>
      </c>
      <c r="AD19" s="35">
        <f>SKEW(K19:V19)</f>
        <v>-1.2507642015215483</v>
      </c>
      <c r="AE19" s="35">
        <f>KURT(K19:V19)</f>
        <v>-4.978547020981372E-2</v>
      </c>
    </row>
    <row r="20" spans="2:31" x14ac:dyDescent="0.2">
      <c r="B20" s="34">
        <f>[39]FormattedData!A34</f>
        <v>203</v>
      </c>
      <c r="C20" s="34" t="str">
        <f>VLOOKUP($B20,[39]TrtCodes!$B$11:I77,2)</f>
        <v>FTH</v>
      </c>
      <c r="D20" s="34">
        <f>VLOOKUP($B20,[39]TrtCodes!$B$11:J77,3)</f>
        <v>3</v>
      </c>
      <c r="E20" s="34">
        <f>VLOOKUP($B20,[39]TrtCodes!$B$11:K77,4)</f>
        <v>1</v>
      </c>
      <c r="F20" s="34">
        <f>VLOOKUP($B20,[39]TrtCodes!$B$11:L77,5)</f>
        <v>2</v>
      </c>
      <c r="G20" s="34">
        <f>VLOOKUP($B20,[39]TrtCodes!$B$11:M77,6)</f>
        <v>2</v>
      </c>
      <c r="H20" s="34">
        <f>VLOOKUP($B20,[39]TrtCodes!$B$11:N77,7)</f>
        <v>1</v>
      </c>
      <c r="I20" s="34">
        <f>[39]FormattedData!B34</f>
        <v>1</v>
      </c>
      <c r="J20" s="37">
        <f>[39]FormattedData!C34</f>
        <v>13.067</v>
      </c>
      <c r="K20" s="39">
        <f>$J$3+[39]FormattedData!D34*$J$4+$M$4*$J$5+[39]FormattedData!D34^2*$J$6+$M$5*$J$7</f>
        <v>55.417952930910772</v>
      </c>
      <c r="L20" s="39">
        <f>$J$3+[39]FormattedData!E34*$J$4+$M$4*$J$5+[39]FormattedData!E34^2*$J$6+$M$5*$J$7</f>
        <v>55.503481055767814</v>
      </c>
      <c r="M20" s="39">
        <f>$J$3+[39]FormattedData!F34*$J$4+$M$4*$J$5+[39]FormattedData!F34^2*$J$6+$M$5*$J$7</f>
        <v>55.845170869816656</v>
      </c>
      <c r="N20" s="39">
        <f>$J$3+[39]FormattedData!G34*$J$4+$M$4*$J$5+[39]FormattedData!G34^2*$J$6+$M$5*$J$7</f>
        <v>48.61652982669591</v>
      </c>
      <c r="O20" s="39">
        <f>$J$3+[39]FormattedData!H34*$J$4+$M$4*$J$5+[39]FormattedData!H34^2*$J$6+$M$5*$J$7</f>
        <v>53.612098276650862</v>
      </c>
      <c r="P20" s="39">
        <f>$J$3+[39]FormattedData!I34*$J$4+$M$4*$J$5+[39]FormattedData!I34^2*$J$6+$M$5*$J$7</f>
        <v>52.3978393820178</v>
      </c>
      <c r="Q20" s="39">
        <f>$J$3+[39]FormattedData!J34*$J$4+$M$4*$J$5+[39]FormattedData!J34^2*$J$6+$M$5*$J$7</f>
        <v>56.526521608093653</v>
      </c>
      <c r="R20" s="39">
        <f>$J$3+[39]FormattedData!K34*$J$4+$M$4*$J$5+[39]FormattedData!K34^2*$J$6+$M$5*$J$7</f>
        <v>57.543475490957391</v>
      </c>
      <c r="S20" s="39">
        <f>$J$3+[39]FormattedData!L34*$J$4+$M$4*$J$5+[39]FormattedData!L34^2*$J$6+$M$5*$J$7</f>
        <v>56.611500241957586</v>
      </c>
      <c r="T20" s="39">
        <f>$J$3+[39]FormattedData!M34*$J$4+$M$4*$J$5+[39]FormattedData!M34^2*$J$6+$M$5*$J$7</f>
        <v>52.3978393820178</v>
      </c>
      <c r="U20" s="39">
        <f>$J$3+[39]FormattedData!N34*$J$4+$M$4*$J$5+[39]FormattedData!N34^2*$J$6+$M$5*$J$7</f>
        <v>55.674410499868102</v>
      </c>
      <c r="V20" s="39">
        <f>$J$3+[39]FormattedData!O34*$J$4+$M$4*$J$5+[39]FormattedData!O34^2*$J$6+$M$5*$J$7</f>
        <v>52.049386601899975</v>
      </c>
      <c r="W20" s="38">
        <f>AVERAGE(K20:V20)</f>
        <v>54.3496838472212</v>
      </c>
      <c r="X20" s="37">
        <f>STDEV(K20:V20)/SQRT(COUNT(K20:V20))</f>
        <v>0.74285698806865164</v>
      </c>
      <c r="Y20" s="36">
        <f>MIN(K20:V20)</f>
        <v>48.61652982669591</v>
      </c>
      <c r="Z20" s="35">
        <f>QUARTILE(K20:V20,1)</f>
        <v>52.3978393820178</v>
      </c>
      <c r="AA20" s="36">
        <f>MEDIAN(K20:V20)</f>
        <v>55.46071699333929</v>
      </c>
      <c r="AB20" s="35">
        <f>QUARTILE(K20:V20,3)</f>
        <v>56.015508554385903</v>
      </c>
      <c r="AC20" s="35">
        <f>MAX(K20:V20)</f>
        <v>57.543475490957391</v>
      </c>
      <c r="AD20" s="35">
        <f>SKEW(K20:V20)</f>
        <v>-0.97947195639737805</v>
      </c>
      <c r="AE20" s="35">
        <f>KURT(K20:V20)</f>
        <v>0.64357299837526227</v>
      </c>
    </row>
    <row r="21" spans="2:31" x14ac:dyDescent="0.2">
      <c r="B21" s="34">
        <f>[39]FormattedData!A36</f>
        <v>204</v>
      </c>
      <c r="C21" s="34" t="str">
        <f>VLOOKUP($B21,[39]TrtCodes!$B$11:I79,2)</f>
        <v>NDH</v>
      </c>
      <c r="D21" s="34">
        <f>VLOOKUP($B21,[39]TrtCodes!$B$11:J79,3)</f>
        <v>11</v>
      </c>
      <c r="E21" s="34">
        <f>VLOOKUP($B21,[39]TrtCodes!$B$11:K79,4)</f>
        <v>2</v>
      </c>
      <c r="F21" s="34">
        <f>VLOOKUP($B21,[39]TrtCodes!$B$11:L79,5)</f>
        <v>3</v>
      </c>
      <c r="G21" s="34">
        <f>VLOOKUP($B21,[39]TrtCodes!$B$11:M79,6)</f>
        <v>2</v>
      </c>
      <c r="H21" s="34">
        <f>VLOOKUP($B21,[39]TrtCodes!$B$11:N79,7)</f>
        <v>1</v>
      </c>
      <c r="I21" s="34">
        <f>[39]FormattedData!B36</f>
        <v>1</v>
      </c>
      <c r="J21" s="37">
        <f>[39]FormattedData!C36</f>
        <v>13.085000000000001</v>
      </c>
      <c r="K21" s="39">
        <f>$J$3+[39]FormattedData!D36*$J$4+$M$4*$J$5+[39]FormattedData!D36^2*$J$6+$M$5*$J$7</f>
        <v>39.334335973745532</v>
      </c>
      <c r="L21" s="39">
        <f>$J$3+[39]FormattedData!E36*$J$4+$M$4*$J$5+[39]FormattedData!E36^2*$J$6+$M$5*$J$7</f>
        <v>40.078244148160614</v>
      </c>
      <c r="M21" s="39">
        <f>$J$3+[39]FormattedData!F36*$J$4+$M$4*$J$5+[39]FormattedData!F36^2*$J$6+$M$5*$J$7</f>
        <v>41.373574098545603</v>
      </c>
      <c r="N21" s="39">
        <f>$J$3+[39]FormattedData!G36*$J$4+$M$4*$J$5+[39]FormattedData!G36^2*$J$6+$M$5*$J$7</f>
        <v>44.030403133800171</v>
      </c>
      <c r="O21" s="39">
        <f>$J$3+[39]FormattedData!H36*$J$4+$M$4*$J$5+[39]FormattedData!H36^2*$J$6+$M$5*$J$7</f>
        <v>44.847708362686049</v>
      </c>
      <c r="P21" s="39">
        <f>$J$3+[39]FormattedData!I36*$J$4+$M$4*$J$5+[39]FormattedData!I36^2*$J$6+$M$5*$J$7</f>
        <v>43.301035336433401</v>
      </c>
      <c r="Q21" s="39">
        <f>$J$3+[39]FormattedData!J36*$J$4+$M$4*$J$5+[39]FormattedData!J36^2*$J$6+$M$5*$J$7</f>
        <v>42.935336992839673</v>
      </c>
      <c r="R21" s="39">
        <f>$J$3+[39]FormattedData!K36*$J$4+$M$4*$J$5+[39]FormattedData!K36^2*$J$6+$M$5*$J$7</f>
        <v>38.307045171710989</v>
      </c>
      <c r="S21" s="39">
        <f>$J$3+[39]FormattedData!L36*$J$4+$M$4*$J$5+[39]FormattedData!L36^2*$J$6+$M$5*$J$7</f>
        <v>38.961367441627644</v>
      </c>
      <c r="T21" s="39">
        <f>$J$3+[39]FormattedData!M36*$J$4+$M$4*$J$5+[39]FormattedData!M36^2*$J$6+$M$5*$J$7</f>
        <v>40.263798506385072</v>
      </c>
      <c r="U21" s="39">
        <f>$J$3+[39]FormattedData!N36*$J$4+$M$4*$J$5+[39]FormattedData!N36^2*$J$6+$M$5*$J$7</f>
        <v>40.263798506385072</v>
      </c>
      <c r="V21" s="39">
        <f>$J$3+[39]FormattedData!O36*$J$4+$M$4*$J$5+[39]FormattedData!O36^2*$J$6+$M$5*$J$7</f>
        <v>37.274639876586789</v>
      </c>
      <c r="W21" s="38">
        <f>AVERAGE(K21:V21)</f>
        <v>40.914273962408878</v>
      </c>
      <c r="X21" s="37">
        <f>STDEV(K21:V21)/SQRT(COUNT(K21:V21))</f>
        <v>0.69125631182053693</v>
      </c>
      <c r="Y21" s="36">
        <f>MIN(K21:V21)</f>
        <v>37.274639876586789</v>
      </c>
      <c r="Z21" s="35">
        <f>QUARTILE(K21:V21,1)</f>
        <v>39.241093840716061</v>
      </c>
      <c r="AA21" s="36">
        <f>MEDIAN(K21:V21)</f>
        <v>40.263798506385072</v>
      </c>
      <c r="AB21" s="35">
        <f>QUARTILE(K21:V21,3)</f>
        <v>43.026761578738103</v>
      </c>
      <c r="AC21" s="35">
        <f>MAX(K21:V21)</f>
        <v>44.847708362686049</v>
      </c>
      <c r="AD21" s="35">
        <f>SKEW(K21:V21)</f>
        <v>0.27491030180755688</v>
      </c>
      <c r="AE21" s="35">
        <f>KURT(K21:V21)</f>
        <v>-1.0323934592430115</v>
      </c>
    </row>
    <row r="22" spans="2:31" x14ac:dyDescent="0.2">
      <c r="B22" s="34">
        <f>[39]FormattedData!A38</f>
        <v>205</v>
      </c>
      <c r="C22" s="34" t="str">
        <f>VLOOKUP($B22,[39]TrtCodes!$B$11:I81,2)</f>
        <v>FSH</v>
      </c>
      <c r="D22" s="34">
        <f>VLOOKUP($B22,[39]TrtCodes!$B$11:J81,3)</f>
        <v>1</v>
      </c>
      <c r="E22" s="34">
        <f>VLOOKUP($B22,[39]TrtCodes!$B$11:K81,4)</f>
        <v>1</v>
      </c>
      <c r="F22" s="34">
        <f>VLOOKUP($B22,[39]TrtCodes!$B$11:L81,5)</f>
        <v>1</v>
      </c>
      <c r="G22" s="34">
        <f>VLOOKUP($B22,[39]TrtCodes!$B$11:M81,6)</f>
        <v>2</v>
      </c>
      <c r="H22" s="34">
        <f>VLOOKUP($B22,[39]TrtCodes!$B$11:N81,7)</f>
        <v>2</v>
      </c>
      <c r="I22" s="34">
        <f>[39]FormattedData!B38</f>
        <v>1</v>
      </c>
      <c r="J22" s="37">
        <f>[39]FormattedData!C38</f>
        <v>13.102</v>
      </c>
      <c r="K22" s="39">
        <f>$J$3+[39]FormattedData!D38*$J$4+$M$4*$J$5+[39]FormattedData!D38^2*$J$6+$M$5*$J$7</f>
        <v>54.732206264688941</v>
      </c>
      <c r="L22" s="39">
        <f>$J$3+[39]FormattedData!E38*$J$4+$M$4*$J$5+[39]FormattedData!E38^2*$J$6+$M$5*$J$7</f>
        <v>54.90389654247199</v>
      </c>
      <c r="M22" s="39">
        <f>$J$3+[39]FormattedData!F38*$J$4+$M$4*$J$5+[39]FormattedData!F38^2*$J$6+$M$5*$J$7</f>
        <v>55.845170869816656</v>
      </c>
      <c r="N22" s="39">
        <f>$J$3+[39]FormattedData!G38*$J$4+$M$4*$J$5+[39]FormattedData!G38^2*$J$6+$M$5*$J$7</f>
        <v>52.832454315061632</v>
      </c>
      <c r="O22" s="39">
        <f>$J$3+[39]FormattedData!H38*$J$4+$M$4*$J$5+[39]FormattedData!H38^2*$J$6+$M$5*$J$7</f>
        <v>56.186184387258599</v>
      </c>
      <c r="P22" s="39">
        <f>$J$3+[39]FormattedData!I38*$J$4+$M$4*$J$5+[39]FormattedData!I38^2*$J$6+$M$5*$J$7</f>
        <v>54.474353833979897</v>
      </c>
      <c r="Q22" s="39">
        <f>$J$3+[39]FormattedData!J38*$J$4+$M$4*$J$5+[39]FormattedData!J38^2*$J$6+$M$5*$J$7</f>
        <v>56.696436607283573</v>
      </c>
      <c r="R22" s="39">
        <f>$J$3+[39]FormattedData!K38*$J$4+$M$4*$J$5+[39]FormattedData!K38^2*$J$6+$M$5*$J$7</f>
        <v>55.246769875582906</v>
      </c>
      <c r="S22" s="39">
        <f>$J$3+[39]FormattedData!L38*$J$4+$M$4*$J$5+[39]FormattedData!L38^2*$J$6+$M$5*$J$7</f>
        <v>55.930487651984038</v>
      </c>
      <c r="T22" s="39">
        <f>$J$3+[39]FormattedData!M38*$J$4+$M$4*$J$5+[39]FormattedData!M38^2*$J$6+$M$5*$J$7</f>
        <v>53.179385427813934</v>
      </c>
      <c r="U22" s="39">
        <f>$J$3+[39]FormattedData!N38*$J$4+$M$4*$J$5+[39]FormattedData!N38^2*$J$6+$M$5*$J$7</f>
        <v>55.674410499868102</v>
      </c>
      <c r="V22" s="39">
        <f>$J$3+[39]FormattedData!O38*$J$4+$M$4*$J$5+[39]FormattedData!O38^2*$J$6+$M$5*$J$7</f>
        <v>55.246769875582906</v>
      </c>
      <c r="W22" s="38">
        <f>AVERAGE(K22:V22)</f>
        <v>55.079043845949428</v>
      </c>
      <c r="X22" s="37">
        <f>STDEV(K22:V22)/SQRT(COUNT(K22:V22))</f>
        <v>0.3341298254188601</v>
      </c>
      <c r="Y22" s="36">
        <f>MIN(K22:V22)</f>
        <v>52.832454315061632</v>
      </c>
      <c r="Z22" s="35">
        <f>QUARTILE(K22:V22,1)</f>
        <v>54.667743157011678</v>
      </c>
      <c r="AA22" s="36">
        <f>MEDIAN(K22:V22)</f>
        <v>55.246769875582906</v>
      </c>
      <c r="AB22" s="35">
        <f>QUARTILE(K22:V22,3)</f>
        <v>55.866500065358501</v>
      </c>
      <c r="AC22" s="35">
        <f>MAX(K22:V22)</f>
        <v>56.696436607283573</v>
      </c>
      <c r="AD22" s="35">
        <f>SKEW(K22:V22)</f>
        <v>-0.81514966674244926</v>
      </c>
      <c r="AE22" s="35">
        <f>KURT(K22:V22)</f>
        <v>0.17980102823228794</v>
      </c>
    </row>
    <row r="23" spans="2:31" x14ac:dyDescent="0.2">
      <c r="B23" s="34">
        <f>[39]FormattedData!A40</f>
        <v>206</v>
      </c>
      <c r="C23" s="34" t="str">
        <f>VLOOKUP($B23,[39]TrtCodes!$B$11:I83,2)</f>
        <v>NSL</v>
      </c>
      <c r="D23" s="34">
        <f>VLOOKUP($B23,[39]TrtCodes!$B$11:J83,3)</f>
        <v>8</v>
      </c>
      <c r="E23" s="34">
        <f>VLOOKUP($B23,[39]TrtCodes!$B$11:K83,4)</f>
        <v>2</v>
      </c>
      <c r="F23" s="34">
        <f>VLOOKUP($B23,[39]TrtCodes!$B$11:L83,5)</f>
        <v>1</v>
      </c>
      <c r="G23" s="34">
        <f>VLOOKUP($B23,[39]TrtCodes!$B$11:M83,6)</f>
        <v>1</v>
      </c>
      <c r="H23" s="34">
        <f>VLOOKUP($B23,[39]TrtCodes!$B$11:N83,7)</f>
        <v>2</v>
      </c>
      <c r="I23" s="34">
        <f>[39]FormattedData!B40</f>
        <v>1</v>
      </c>
      <c r="J23" s="37">
        <f>[39]FormattedData!C40</f>
        <v>13.121</v>
      </c>
      <c r="K23" s="39">
        <f>$J$3+[39]FormattedData!D40*$J$4+$M$4*$J$5+[39]FormattedData!D40^2*$J$6+$M$5*$J$7</f>
        <v>54.302240870817535</v>
      </c>
      <c r="L23" s="39">
        <f>$J$3+[39]FormattedData!E40*$J$4+$M$4*$J$5+[39]FormattedData!E40^2*$J$6+$M$5*$J$7</f>
        <v>55.246769875582906</v>
      </c>
      <c r="M23" s="39">
        <f>$J$3+[39]FormattedData!F40*$J$4+$M$4*$J$5+[39]FormattedData!F40^2*$J$6+$M$5*$J$7</f>
        <v>56.186184387258599</v>
      </c>
      <c r="N23" s="39">
        <f>$J$3+[39]FormattedData!G40*$J$4+$M$4*$J$5+[39]FormattedData!G40^2*$J$6+$M$5*$J$7</f>
        <v>53.784887536420129</v>
      </c>
      <c r="O23" s="39">
        <f>$J$3+[39]FormattedData!H40*$J$4+$M$4*$J$5+[39]FormattedData!H40^2*$J$6+$M$5*$J$7</f>
        <v>54.90389654247199</v>
      </c>
      <c r="P23" s="39">
        <f>$J$3+[39]FormattedData!I40*$J$4+$M$4*$J$5+[39]FormattedData!I40^2*$J$6+$M$5*$J$7</f>
        <v>53.784887536420129</v>
      </c>
      <c r="Q23" s="39">
        <f>$J$3+[39]FormattedData!J40*$J$4+$M$4*$J$5+[39]FormattedData!J40^2*$J$6+$M$5*$J$7</f>
        <v>53.957507722037654</v>
      </c>
      <c r="R23" s="39">
        <f>$J$3+[39]FormattedData!K40*$J$4+$M$4*$J$5+[39]FormattedData!K40^2*$J$6+$M$5*$J$7</f>
        <v>52.310789589795242</v>
      </c>
      <c r="S23" s="39">
        <f>$J$3+[39]FormattedData!L40*$J$4+$M$4*$J$5+[39]FormattedData!L40^2*$J$6+$M$5*$J$7</f>
        <v>55.759811819111341</v>
      </c>
      <c r="T23" s="39">
        <f>$J$3+[39]FormattedData!M40*$J$4+$M$4*$J$5+[39]FormattedData!M40^2*$J$6+$M$5*$J$7</f>
        <v>54.646297722990525</v>
      </c>
      <c r="U23" s="39">
        <f>$J$3+[39]FormattedData!N40*$J$4+$M$4*$J$5+[39]FormattedData!N40^2*$J$6+$M$5*$J$7</f>
        <v>56.696436607283573</v>
      </c>
      <c r="V23" s="39">
        <f>$J$3+[39]FormattedData!O40*$J$4+$M$4*$J$5+[39]FormattedData!O40^2*$J$6+$M$5*$J$7</f>
        <v>55.674410499868102</v>
      </c>
      <c r="W23" s="38">
        <f>AVERAGE(K23:V23)</f>
        <v>54.771176725838139</v>
      </c>
      <c r="X23" s="37">
        <f>STDEV(K23:V23)/SQRT(COUNT(K23:V23))</f>
        <v>0.35507678132262999</v>
      </c>
      <c r="Y23" s="36">
        <f>MIN(K23:V23)</f>
        <v>52.310789589795242</v>
      </c>
      <c r="Z23" s="35">
        <f>QUARTILE(K23:V23,1)</f>
        <v>53.914352675633275</v>
      </c>
      <c r="AA23" s="36">
        <f>MEDIAN(K23:V23)</f>
        <v>54.775097132731261</v>
      </c>
      <c r="AB23" s="35">
        <f>QUARTILE(K23:V23,3)</f>
        <v>55.69576082967891</v>
      </c>
      <c r="AC23" s="35">
        <f>MAX(K23:V23)</f>
        <v>56.696436607283573</v>
      </c>
      <c r="AD23" s="35">
        <f>SKEW(K23:V23)</f>
        <v>-0.3326179332934453</v>
      </c>
      <c r="AE23" s="35">
        <f>KURT(K23:V23)</f>
        <v>-1.0020419244178846E-2</v>
      </c>
    </row>
    <row r="24" spans="2:31" x14ac:dyDescent="0.2">
      <c r="B24" s="34">
        <f>[39]FormattedData!A42</f>
        <v>207</v>
      </c>
      <c r="C24" s="34" t="str">
        <f>VLOOKUP($B24,[39]TrtCodes!$B$11:I85,2)</f>
        <v>FTL</v>
      </c>
      <c r="D24" s="34">
        <f>VLOOKUP($B24,[39]TrtCodes!$B$11:J85,3)</f>
        <v>4</v>
      </c>
      <c r="E24" s="34">
        <f>VLOOKUP($B24,[39]TrtCodes!$B$11:K85,4)</f>
        <v>1</v>
      </c>
      <c r="F24" s="34">
        <f>VLOOKUP($B24,[39]TrtCodes!$B$11:L85,5)</f>
        <v>2</v>
      </c>
      <c r="G24" s="34">
        <f>VLOOKUP($B24,[39]TrtCodes!$B$11:M85,6)</f>
        <v>1</v>
      </c>
      <c r="H24" s="34">
        <f>VLOOKUP($B24,[39]TrtCodes!$B$11:N85,7)</f>
        <v>2</v>
      </c>
      <c r="I24" s="34">
        <f>[39]FormattedData!B42</f>
        <v>1</v>
      </c>
      <c r="J24" s="37">
        <f>[39]FormattedData!C42</f>
        <v>13.138999999999999</v>
      </c>
      <c r="K24" s="39">
        <f>$J$3+[39]FormattedData!D42*$J$4+$M$4*$J$5+[39]FormattedData!D42^2*$J$6+$M$5*$J$7</f>
        <v>58.049669931340993</v>
      </c>
      <c r="L24" s="39">
        <f>$J$3+[39]FormattedData!E42*$J$4+$M$4*$J$5+[39]FormattedData!E42^2*$J$6+$M$5*$J$7</f>
        <v>54.129958833503458</v>
      </c>
      <c r="M24" s="39">
        <f>$J$3+[39]FormattedData!F42*$J$4+$M$4*$J$5+[39]FormattedData!F42^2*$J$6+$M$5*$J$7</f>
        <v>55.588966912086924</v>
      </c>
      <c r="N24" s="39">
        <f>$J$3+[39]FormattedData!G42*$J$4+$M$4*$J$5+[39]FormattedData!G42^2*$J$6+$M$5*$J$7</f>
        <v>50.648812515359687</v>
      </c>
      <c r="O24" s="39">
        <f>$J$3+[39]FormattedData!H42*$J$4+$M$4*$J$5+[39]FormattedData!H42^2*$J$6+$M$5*$J$7</f>
        <v>54.90389654247199</v>
      </c>
      <c r="P24" s="39">
        <f>$J$3+[39]FormattedData!I42*$J$4+$M$4*$J$5+[39]FormattedData!I42^2*$J$6+$M$5*$J$7</f>
        <v>52.832454315061632</v>
      </c>
      <c r="Q24" s="39">
        <f>$J$3+[39]FormattedData!J42*$J$4+$M$4*$J$5+[39]FormattedData!J42^2*$J$6+$M$5*$J$7</f>
        <v>56.526521608093653</v>
      </c>
      <c r="R24" s="39">
        <f>$J$3+[39]FormattedData!K42*$J$4+$M$4*$J$5+[39]FormattedData!K42^2*$J$6+$M$5*$J$7</f>
        <v>54.043754412039519</v>
      </c>
      <c r="S24" s="39">
        <f>$J$3+[39]FormattedData!L42*$J$4+$M$4*$J$5+[39]FormattedData!L42^2*$J$6+$M$5*$J$7</f>
        <v>53.525640243959351</v>
      </c>
      <c r="T24" s="39">
        <f>$J$3+[39]FormattedData!M42*$J$4+$M$4*$J$5+[39]FormattedData!M42^2*$J$6+$M$5*$J$7</f>
        <v>55.930487651984038</v>
      </c>
      <c r="U24" s="39">
        <f>$J$3+[39]FormattedData!N42*$J$4+$M$4*$J$5+[39]FormattedData!N42^2*$J$6+$M$5*$J$7</f>
        <v>56.186184387258599</v>
      </c>
      <c r="V24" s="39">
        <f>$J$3+[39]FormattedData!O42*$J$4+$M$4*$J$5+[39]FormattedData!O42^2*$J$6+$M$5*$J$7</f>
        <v>52.658735147457897</v>
      </c>
      <c r="W24" s="38">
        <f>AVERAGE(K24:V24)</f>
        <v>54.585423541718143</v>
      </c>
      <c r="X24" s="37">
        <f>STDEV(K24:V24)/SQRT(COUNT(K24:V24))</f>
        <v>0.58487859191340386</v>
      </c>
      <c r="Y24" s="36">
        <f>MIN(K24:V24)</f>
        <v>50.648812515359687</v>
      </c>
      <c r="Z24" s="35">
        <f>QUARTILE(K24:V24,1)</f>
        <v>53.352343761734922</v>
      </c>
      <c r="AA24" s="36">
        <f>MEDIAN(K24:V24)</f>
        <v>54.516927687987724</v>
      </c>
      <c r="AB24" s="35">
        <f>QUARTILE(K24:V24,3)</f>
        <v>55.99441183580268</v>
      </c>
      <c r="AC24" s="35">
        <f>MAX(K24:V24)</f>
        <v>58.049669931340993</v>
      </c>
      <c r="AD24" s="35">
        <f>SKEW(K24:V24)</f>
        <v>-0.24293530741569916</v>
      </c>
      <c r="AE24" s="35">
        <f>KURT(K24:V24)</f>
        <v>2.3671885714687591E-2</v>
      </c>
    </row>
    <row r="25" spans="2:31" x14ac:dyDescent="0.2">
      <c r="B25" s="34">
        <f>[39]FormattedData!A44</f>
        <v>208</v>
      </c>
      <c r="C25" s="34" t="str">
        <f>VLOOKUP($B25,[39]TrtCodes!$B$11:I87,2)</f>
        <v>FSL</v>
      </c>
      <c r="D25" s="34">
        <f>VLOOKUP($B25,[39]TrtCodes!$B$11:J87,3)</f>
        <v>2</v>
      </c>
      <c r="E25" s="34">
        <f>VLOOKUP($B25,[39]TrtCodes!$B$11:K87,4)</f>
        <v>1</v>
      </c>
      <c r="F25" s="34">
        <f>VLOOKUP($B25,[39]TrtCodes!$B$11:L87,5)</f>
        <v>1</v>
      </c>
      <c r="G25" s="34">
        <f>VLOOKUP($B25,[39]TrtCodes!$B$11:M87,6)</f>
        <v>1</v>
      </c>
      <c r="H25" s="34">
        <f>VLOOKUP($B25,[39]TrtCodes!$B$11:N87,7)</f>
        <v>2</v>
      </c>
      <c r="I25" s="34">
        <f>[39]FormattedData!B44</f>
        <v>1</v>
      </c>
      <c r="J25" s="37">
        <f>[39]FormattedData!C44</f>
        <v>13.157</v>
      </c>
      <c r="K25" s="39">
        <f>$J$3+[39]FormattedData!D44*$J$4+$M$4*$J$5+[39]FormattedData!D44^2*$J$6+$M$5*$J$7</f>
        <v>54.646297722990525</v>
      </c>
      <c r="L25" s="39">
        <f>$J$3+[39]FormattedData!E44*$J$4+$M$4*$J$5+[39]FormattedData!E44^2*$J$6+$M$5*$J$7</f>
        <v>54.56034691275417</v>
      </c>
      <c r="M25" s="39">
        <f>$J$3+[39]FormattedData!F44*$J$4+$M$4*$J$5+[39]FormattedData!F44^2*$J$6+$M$5*$J$7</f>
        <v>55.759811819111341</v>
      </c>
      <c r="N25" s="39">
        <f>$J$3+[39]FormattedData!G44*$J$4+$M$4*$J$5+[39]FormattedData!G44^2*$J$6+$M$5*$J$7</f>
        <v>52.136563199736329</v>
      </c>
      <c r="O25" s="39">
        <f>$J$3+[39]FormattedData!H44*$J$4+$M$4*$J$5+[39]FormattedData!H44^2*$J$6+$M$5*$J$7</f>
        <v>56.441500705691787</v>
      </c>
      <c r="P25" s="39">
        <f>$J$3+[39]FormattedData!I44*$J$4+$M$4*$J$5+[39]FormattedData!I44^2*$J$6+$M$5*$J$7</f>
        <v>54.56034691275417</v>
      </c>
      <c r="Q25" s="39">
        <f>$J$3+[39]FormattedData!J44*$J$4+$M$4*$J$5+[39]FormattedData!J44^2*$J$6+$M$5*$J$7</f>
        <v>57.458961811010703</v>
      </c>
      <c r="R25" s="39">
        <f>$J$3+[39]FormattedData!K44*$J$4+$M$4*$J$5+[39]FormattedData!K44^2*$J$6+$M$5*$J$7</f>
        <v>53.179385427813934</v>
      </c>
      <c r="S25" s="39">
        <f>$J$3+[39]FormattedData!L44*$J$4+$M$4*$J$5+[39]FormattedData!L44^2*$J$6+$M$5*$J$7</f>
        <v>54.732206264688941</v>
      </c>
      <c r="T25" s="39">
        <f>$J$3+[39]FormattedData!M44*$J$4+$M$4*$J$5+[39]FormattedData!M44^2*$J$6+$M$5*$J$7</f>
        <v>56.015762165613495</v>
      </c>
      <c r="U25" s="39">
        <f>$J$3+[39]FormattedData!N44*$J$4+$M$4*$J$5+[39]FormattedData!N44^2*$J$6+$M$5*$J$7</f>
        <v>55.161114945112075</v>
      </c>
      <c r="V25" s="39">
        <f>$J$3+[39]FormattedData!O44*$J$4+$M$4*$J$5+[39]FormattedData!O44^2*$J$6+$M$5*$J$7</f>
        <v>52.3978393820178</v>
      </c>
      <c r="W25" s="38">
        <f>AVERAGE(K25:V25)</f>
        <v>54.754178105774599</v>
      </c>
      <c r="X25" s="37">
        <f>STDEV(K25:V25)/SQRT(COUNT(K25:V25))</f>
        <v>0.45976671870061914</v>
      </c>
      <c r="Y25" s="36">
        <f>MIN(K25:V25)</f>
        <v>52.136563199736329</v>
      </c>
      <c r="Z25" s="35">
        <f>QUARTILE(K25:V25,1)</f>
        <v>54.215106541519113</v>
      </c>
      <c r="AA25" s="36">
        <f>MEDIAN(K25:V25)</f>
        <v>54.689251993839733</v>
      </c>
      <c r="AB25" s="35">
        <f>QUARTILE(K25:V25,3)</f>
        <v>55.823799405736878</v>
      </c>
      <c r="AC25" s="35">
        <f>MAX(K25:V25)</f>
        <v>57.458961811010703</v>
      </c>
      <c r="AD25" s="35">
        <f>SKEW(K25:V25)</f>
        <v>-0.19593235225645486</v>
      </c>
      <c r="AE25" s="35">
        <f>KURT(K25:V25)</f>
        <v>-0.38097006397674127</v>
      </c>
    </row>
    <row r="26" spans="2:31" x14ac:dyDescent="0.2">
      <c r="B26" s="34">
        <f>[39]FormattedData!A62</f>
        <v>301</v>
      </c>
      <c r="C26" s="34" t="str">
        <f>VLOOKUP($B26,[39]TrtCodes!$B$11:I105,2)</f>
        <v>NTL</v>
      </c>
      <c r="D26" s="34">
        <f>VLOOKUP($B26,[39]TrtCodes!$B$11:J105,3)</f>
        <v>10</v>
      </c>
      <c r="E26" s="34">
        <f>VLOOKUP($B26,[39]TrtCodes!$B$11:K105,4)</f>
        <v>2</v>
      </c>
      <c r="F26" s="34">
        <f>VLOOKUP($B26,[39]TrtCodes!$B$11:L105,5)</f>
        <v>2</v>
      </c>
      <c r="G26" s="34">
        <f>VLOOKUP($B26,[39]TrtCodes!$B$11:M105,6)</f>
        <v>1</v>
      </c>
      <c r="H26" s="34">
        <f>VLOOKUP($B26,[39]TrtCodes!$B$11:N105,7)</f>
        <v>3</v>
      </c>
      <c r="I26" s="34">
        <f>[39]FormattedData!B62</f>
        <v>1</v>
      </c>
      <c r="J26" s="37">
        <f>[39]FormattedData!C62</f>
        <v>13.287000000000001</v>
      </c>
      <c r="K26" s="39">
        <f>$J$3+[39]FormattedData!D62*$J$4+$M$4*$J$5+[39]FormattedData!D62^2*$J$6+$M$5*$J$7</f>
        <v>54.043754412039519</v>
      </c>
      <c r="L26" s="39">
        <f>$J$3+[39]FormattedData!E62*$J$4+$M$4*$J$5+[39]FormattedData!E62^2*$J$6+$M$5*$J$7</f>
        <v>54.216120986429466</v>
      </c>
      <c r="M26" s="39">
        <f>$J$3+[39]FormattedData!F62*$J$4+$M$4*$J$5+[39]FormattedData!F62^2*$J$6+$M$5*$J$7</f>
        <v>54.043754412039519</v>
      </c>
      <c r="N26" s="39">
        <f>$J$3+[39]FormattedData!G62*$J$4+$M$4*$J$5+[39]FormattedData!G62^2*$J$6+$M$5*$J$7</f>
        <v>50.032658735194858</v>
      </c>
      <c r="O26" s="39">
        <f>$J$3+[39]FormattedData!H62*$J$4+$M$4*$J$5+[39]FormattedData!H62^2*$J$6+$M$5*$J$7</f>
        <v>53.525640243959351</v>
      </c>
      <c r="P26" s="39">
        <f>$J$3+[39]FormattedData!I62*$J$4+$M$4*$J$5+[39]FormattedData!I62^2*$J$6+$M$5*$J$7</f>
        <v>47.725954348953024</v>
      </c>
      <c r="Q26" s="39">
        <f>$J$3+[39]FormattedData!J62*$J$4+$M$4*$J$5+[39]FormattedData!J62^2*$J$6+$M$5*$J$7</f>
        <v>54.56034691275417</v>
      </c>
      <c r="R26" s="39">
        <f>$J$3+[39]FormattedData!K62*$J$4+$M$4*$J$5+[39]FormattedData!K62^2*$J$6+$M$5*$J$7</f>
        <v>47.725954348953024</v>
      </c>
      <c r="S26" s="39">
        <f>$J$3+[39]FormattedData!L62*$J$4+$M$4*$J$5+[39]FormattedData!L62^2*$J$6+$M$5*$J$7</f>
        <v>55.759811819111341</v>
      </c>
      <c r="T26" s="39">
        <f>$J$3+[39]FormattedData!M62*$J$4+$M$4*$J$5+[39]FormattedData!M62^2*$J$6+$M$5*$J$7</f>
        <v>48.527662487342312</v>
      </c>
      <c r="U26" s="39">
        <f>$J$3+[39]FormattedData!N62*$J$4+$M$4*$J$5+[39]FormattedData!N62^2*$J$6+$M$5*$J$7</f>
        <v>55.588966912086924</v>
      </c>
      <c r="V26" s="39">
        <f>$J$3+[39]FormattedData!O62*$J$4+$M$4*$J$5+[39]FormattedData!O62^2*$J$6+$M$5*$J$7</f>
        <v>44.575653703232142</v>
      </c>
      <c r="W26" s="38">
        <f>AVERAGE(K26:V26)</f>
        <v>51.693856610174628</v>
      </c>
      <c r="X26" s="37">
        <f>STDEV(K26:V26)/SQRT(COUNT(K26:V26))</f>
        <v>1.0858023281230618</v>
      </c>
      <c r="Y26" s="36">
        <f>MIN(K26:V26)</f>
        <v>44.575653703232142</v>
      </c>
      <c r="Z26" s="35">
        <f>QUARTILE(K26:V26,1)</f>
        <v>48.327235452744986</v>
      </c>
      <c r="AA26" s="36">
        <f>MEDIAN(K26:V26)</f>
        <v>53.784697327999439</v>
      </c>
      <c r="AB26" s="35">
        <f>QUARTILE(K26:V26,3)</f>
        <v>54.30217746801064</v>
      </c>
      <c r="AC26" s="35">
        <f>MAX(K26:V26)</f>
        <v>55.759811819111341</v>
      </c>
      <c r="AD26" s="35">
        <f>SKEW(K26:V26)</f>
        <v>-0.6640644591219329</v>
      </c>
      <c r="AE26" s="35">
        <f>KURT(K26:V26)</f>
        <v>-0.99846322206618465</v>
      </c>
    </row>
    <row r="27" spans="2:31" x14ac:dyDescent="0.2">
      <c r="B27" s="34">
        <f>[39]FormattedData!A64</f>
        <v>302</v>
      </c>
      <c r="C27" s="34" t="str">
        <f>VLOOKUP($B27,[39]TrtCodes!$B$11:I107,2)</f>
        <v>FTL</v>
      </c>
      <c r="D27" s="34">
        <f>VLOOKUP($B27,[39]TrtCodes!$B$11:J107,3)</f>
        <v>4</v>
      </c>
      <c r="E27" s="34">
        <f>VLOOKUP($B27,[39]TrtCodes!$B$11:K107,4)</f>
        <v>1</v>
      </c>
      <c r="F27" s="34">
        <f>VLOOKUP($B27,[39]TrtCodes!$B$11:L107,5)</f>
        <v>2</v>
      </c>
      <c r="G27" s="34">
        <f>VLOOKUP($B27,[39]TrtCodes!$B$11:M107,6)</f>
        <v>1</v>
      </c>
      <c r="H27" s="34">
        <f>VLOOKUP($B27,[39]TrtCodes!$B$11:N107,7)</f>
        <v>3</v>
      </c>
      <c r="I27" s="34">
        <f>[39]FormattedData!B64</f>
        <v>1</v>
      </c>
      <c r="J27" s="37">
        <f>[39]FormattedData!C64</f>
        <v>13.305</v>
      </c>
      <c r="K27" s="39">
        <f>$J$3+[39]FormattedData!D64*$J$4+$M$4*$J$5+[39]FormattedData!D64^2*$J$6+$M$5*$J$7</f>
        <v>55.161114945112075</v>
      </c>
      <c r="L27" s="39">
        <f>$J$3+[39]FormattedData!E64*$J$4+$M$4*$J$5+[39]FormattedData!E64^2*$J$6+$M$5*$J$7</f>
        <v>53.179385427813934</v>
      </c>
      <c r="M27" s="39">
        <f>$J$3+[39]FormattedData!F64*$J$4+$M$4*$J$5+[39]FormattedData!F64^2*$J$6+$M$5*$J$7</f>
        <v>55.503481055767814</v>
      </c>
      <c r="N27" s="39">
        <f>$J$3+[39]FormattedData!G64*$J$4+$M$4*$J$5+[39]FormattedData!G64^2*$J$6+$M$5*$J$7</f>
        <v>52.571812160849127</v>
      </c>
      <c r="O27" s="39">
        <f>$J$3+[39]FormattedData!H64*$J$4+$M$4*$J$5+[39]FormattedData!H64^2*$J$6+$M$5*$J$7</f>
        <v>54.302240870817535</v>
      </c>
      <c r="P27" s="39">
        <f>$J$3+[39]FormattedData!I64*$J$4+$M$4*$J$5+[39]FormattedData!I64^2*$J$6+$M$5*$J$7</f>
        <v>54.216120986429466</v>
      </c>
      <c r="Q27" s="39">
        <f>$J$3+[39]FormattedData!J64*$J$4+$M$4*$J$5+[39]FormattedData!J64^2*$J$6+$M$5*$J$7</f>
        <v>55.759811819111341</v>
      </c>
      <c r="R27" s="39">
        <f>$J$3+[39]FormattedData!K64*$J$4+$M$4*$J$5+[39]FormattedData!K64^2*$J$6+$M$5*$J$7</f>
        <v>54.646297722990525</v>
      </c>
      <c r="S27" s="39">
        <f>$J$3+[39]FormattedData!L64*$J$4+$M$4*$J$5+[39]FormattedData!L64^2*$J$6+$M$5*$J$7</f>
        <v>53.784887536420129</v>
      </c>
      <c r="T27" s="39">
        <f>$J$3+[39]FormattedData!M64*$J$4+$M$4*$J$5+[39]FormattedData!M64^2*$J$6+$M$5*$J$7</f>
        <v>54.818072537849432</v>
      </c>
      <c r="U27" s="39">
        <f>$J$3+[39]FormattedData!N64*$J$4+$M$4*$J$5+[39]FormattedData!N64^2*$J$6+$M$5*$J$7</f>
        <v>54.90389654247199</v>
      </c>
      <c r="V27" s="39">
        <f>$J$3+[39]FormattedData!O64*$J$4+$M$4*$J$5+[39]FormattedData!O64^2*$J$6+$M$5*$J$7</f>
        <v>52.571812160849127</v>
      </c>
      <c r="W27" s="38">
        <f>AVERAGE(K27:V27)</f>
        <v>54.284911147206884</v>
      </c>
      <c r="X27" s="37">
        <f>STDEV(K27:V27)/SQRT(COUNT(K27:V27))</f>
        <v>0.30862158551349017</v>
      </c>
      <c r="Y27" s="36">
        <f>MIN(K27:V27)</f>
        <v>52.571812160849127</v>
      </c>
      <c r="Z27" s="35">
        <f>QUARTILE(K27:V27,1)</f>
        <v>53.633512009268578</v>
      </c>
      <c r="AA27" s="36">
        <f>MEDIAN(K27:V27)</f>
        <v>54.474269296904026</v>
      </c>
      <c r="AB27" s="35">
        <f>QUARTILE(K27:V27,3)</f>
        <v>54.968201143132013</v>
      </c>
      <c r="AC27" s="35">
        <f>MAX(K27:V27)</f>
        <v>55.759811819111341</v>
      </c>
      <c r="AD27" s="35">
        <f>SKEW(K27:V27)</f>
        <v>-0.4825326248568923</v>
      </c>
      <c r="AE27" s="35">
        <f>KURT(K27:V27)</f>
        <v>-0.83056427792320831</v>
      </c>
    </row>
    <row r="28" spans="2:31" x14ac:dyDescent="0.2">
      <c r="B28" s="34">
        <f>[39]FormattedData!A66</f>
        <v>303</v>
      </c>
      <c r="C28" s="34" t="str">
        <f>VLOOKUP($B28,[39]TrtCodes!$B$11:I109,2)</f>
        <v>NSL</v>
      </c>
      <c r="D28" s="34">
        <f>VLOOKUP($B28,[39]TrtCodes!$B$11:J109,3)</f>
        <v>8</v>
      </c>
      <c r="E28" s="34">
        <f>VLOOKUP($B28,[39]TrtCodes!$B$11:K109,4)</f>
        <v>2</v>
      </c>
      <c r="F28" s="34">
        <f>VLOOKUP($B28,[39]TrtCodes!$B$11:L109,5)</f>
        <v>1</v>
      </c>
      <c r="G28" s="34">
        <f>VLOOKUP($B28,[39]TrtCodes!$B$11:M109,6)</f>
        <v>1</v>
      </c>
      <c r="H28" s="34">
        <f>VLOOKUP($B28,[39]TrtCodes!$B$11:N109,7)</f>
        <v>3</v>
      </c>
      <c r="I28" s="34">
        <f>[39]FormattedData!B66</f>
        <v>1</v>
      </c>
      <c r="J28" s="37">
        <f>[39]FormattedData!C66</f>
        <v>13.321999999999999</v>
      </c>
      <c r="K28" s="39">
        <f>$J$3+[39]FormattedData!D66*$J$4+$M$4*$J$5+[39]FormattedData!D66^2*$J$6+$M$5*$J$7</f>
        <v>54.732206264688941</v>
      </c>
      <c r="L28" s="39">
        <f>$J$3+[39]FormattedData!E66*$J$4+$M$4*$J$5+[39]FormattedData!E66^2*$J$6+$M$5*$J$7</f>
        <v>53.871218763497851</v>
      </c>
      <c r="M28" s="39">
        <f>$J$3+[39]FormattedData!F66*$J$4+$M$4*$J$5+[39]FormattedData!F66^2*$J$6+$M$5*$J$7</f>
        <v>54.043754412039519</v>
      </c>
      <c r="N28" s="39">
        <f>$J$3+[39]FormattedData!G66*$J$4+$M$4*$J$5+[39]FormattedData!G66^2*$J$6+$M$5*$J$7</f>
        <v>51.612869584649239</v>
      </c>
      <c r="O28" s="39">
        <f>$J$3+[39]FormattedData!H66*$J$4+$M$4*$J$5+[39]FormattedData!H66^2*$J$6+$M$5*$J$7</f>
        <v>54.129958833503458</v>
      </c>
      <c r="P28" s="39">
        <f>$J$3+[39]FormattedData!I66*$J$4+$M$4*$J$5+[39]FormattedData!I66^2*$J$6+$M$5*$J$7</f>
        <v>49.944467692448164</v>
      </c>
      <c r="Q28" s="39">
        <f>$J$3+[39]FormattedData!J66*$J$4+$M$4*$J$5+[39]FormattedData!J66^2*$J$6+$M$5*$J$7</f>
        <v>54.474353833979897</v>
      </c>
      <c r="R28" s="39">
        <f>$J$3+[39]FormattedData!K66*$J$4+$M$4*$J$5+[39]FormattedData!K66^2*$J$6+$M$5*$J$7</f>
        <v>48.705354897511583</v>
      </c>
      <c r="S28" s="39">
        <f>$J$3+[39]FormattedData!L66*$J$4+$M$4*$J$5+[39]FormattedData!L66^2*$J$6+$M$5*$J$7</f>
        <v>54.474353833979897</v>
      </c>
      <c r="T28" s="39">
        <f>$J$3+[39]FormattedData!M66*$J$4+$M$4*$J$5+[39]FormattedData!M66^2*$J$6+$M$5*$J$7</f>
        <v>54.388318486667686</v>
      </c>
      <c r="U28" s="39">
        <f>$J$3+[39]FormattedData!N66*$J$4+$M$4*$J$5+[39]FormattedData!N66^2*$J$6+$M$5*$J$7</f>
        <v>58.218063263165405</v>
      </c>
      <c r="V28" s="39">
        <f>$J$3+[39]FormattedData!O66*$J$4+$M$4*$J$5+[39]FormattedData!O66^2*$J$6+$M$5*$J$7</f>
        <v>48.349801003021312</v>
      </c>
      <c r="W28" s="38">
        <f>AVERAGE(K28:V28)</f>
        <v>53.078726739096076</v>
      </c>
      <c r="X28" s="37">
        <f>STDEV(K28:V28)/SQRT(COUNT(K28:V28))</f>
        <v>0.82976449176062783</v>
      </c>
      <c r="Y28" s="36">
        <f>MIN(K28:V28)</f>
        <v>48.349801003021312</v>
      </c>
      <c r="Z28" s="35">
        <f>QUARTILE(K28:V28,1)</f>
        <v>51.19576911159897</v>
      </c>
      <c r="AA28" s="36">
        <f>MEDIAN(K28:V28)</f>
        <v>54.086856622771492</v>
      </c>
      <c r="AB28" s="35">
        <f>QUARTILE(K28:V28,3)</f>
        <v>54.474353833979897</v>
      </c>
      <c r="AC28" s="35">
        <f>MAX(K28:V28)</f>
        <v>58.218063263165405</v>
      </c>
      <c r="AD28" s="35">
        <f>SKEW(K28:V28)</f>
        <v>-0.3345615085441111</v>
      </c>
      <c r="AE28" s="35">
        <f>KURT(K28:V28)</f>
        <v>-0.14336032672368937</v>
      </c>
    </row>
    <row r="29" spans="2:31" x14ac:dyDescent="0.2">
      <c r="B29" s="34">
        <f>[39]FormattedData!A68</f>
        <v>304</v>
      </c>
      <c r="C29" s="34" t="str">
        <f>VLOOKUP($B29,[39]TrtCodes!$B$11:I111,2)</f>
        <v>FSL</v>
      </c>
      <c r="D29" s="34">
        <f>VLOOKUP($B29,[39]TrtCodes!$B$11:J111,3)</f>
        <v>2</v>
      </c>
      <c r="E29" s="34">
        <f>VLOOKUP($B29,[39]TrtCodes!$B$11:K111,4)</f>
        <v>1</v>
      </c>
      <c r="F29" s="34">
        <f>VLOOKUP($B29,[39]TrtCodes!$B$11:L111,5)</f>
        <v>1</v>
      </c>
      <c r="G29" s="34">
        <f>VLOOKUP($B29,[39]TrtCodes!$B$11:M111,6)</f>
        <v>1</v>
      </c>
      <c r="H29" s="34">
        <f>VLOOKUP($B29,[39]TrtCodes!$B$11:N111,7)</f>
        <v>3</v>
      </c>
      <c r="I29" s="34">
        <f>[39]FormattedData!B68</f>
        <v>1</v>
      </c>
      <c r="J29" s="37">
        <f>[39]FormattedData!C68</f>
        <v>13.342000000000001</v>
      </c>
      <c r="K29" s="39">
        <f>$J$3+[39]FormattedData!D68*$J$4+$M$4*$J$5+[39]FormattedData!D68^2*$J$6+$M$5*$J$7</f>
        <v>53.784887536420129</v>
      </c>
      <c r="L29" s="39">
        <f>$J$3+[39]FormattedData!E68*$J$4+$M$4*$J$5+[39]FormattedData!E68^2*$J$6+$M$5*$J$7</f>
        <v>53.957507722037654</v>
      </c>
      <c r="M29" s="39">
        <f>$J$3+[39]FormattedData!F68*$J$4+$M$4*$J$5+[39]FormattedData!F68^2*$J$6+$M$5*$J$7</f>
        <v>54.388318486667686</v>
      </c>
      <c r="N29" s="39">
        <f>$J$3+[39]FormattedData!G68*$J$4+$M$4*$J$5+[39]FormattedData!G68^2*$J$6+$M$5*$J$7</f>
        <v>54.818072537849432</v>
      </c>
      <c r="O29" s="39">
        <f>$J$3+[39]FormattedData!H68*$J$4+$M$4*$J$5+[39]FormattedData!H68^2*$J$6+$M$5*$J$7</f>
        <v>55.161114945112075</v>
      </c>
      <c r="P29" s="39">
        <f>$J$3+[39]FormattedData!I68*$J$4+$M$4*$J$5+[39]FormattedData!I68^2*$J$6+$M$5*$J$7</f>
        <v>54.90389654247199</v>
      </c>
      <c r="Q29" s="39">
        <f>$J$3+[39]FormattedData!J68*$J$4+$M$4*$J$5+[39]FormattedData!J68^2*$J$6+$M$5*$J$7</f>
        <v>55.845170869816656</v>
      </c>
      <c r="R29" s="39">
        <f>$J$3+[39]FormattedData!K68*$J$4+$M$4*$J$5+[39]FormattedData!K68^2*$J$6+$M$5*$J$7</f>
        <v>54.388318486667686</v>
      </c>
      <c r="S29" s="39">
        <f>$J$3+[39]FormattedData!L68*$J$4+$M$4*$J$5+[39]FormattedData!L68^2*$J$6+$M$5*$J$7</f>
        <v>54.043754412039519</v>
      </c>
      <c r="T29" s="39">
        <f>$J$3+[39]FormattedData!M68*$J$4+$M$4*$J$5+[39]FormattedData!M68^2*$J$6+$M$5*$J$7</f>
        <v>54.216120986429466</v>
      </c>
      <c r="U29" s="39">
        <f>$J$3+[39]FormattedData!N68*$J$4+$M$4*$J$5+[39]FormattedData!N68^2*$J$6+$M$5*$J$7</f>
        <v>54.388318486667686</v>
      </c>
      <c r="V29" s="39">
        <f>$J$3+[39]FormattedData!O68*$J$4+$M$4*$J$5+[39]FormattedData!O68^2*$J$6+$M$5*$J$7</f>
        <v>54.98967827855661</v>
      </c>
      <c r="W29" s="38">
        <f>AVERAGE(K29:V29)</f>
        <v>54.57376327422805</v>
      </c>
      <c r="X29" s="37">
        <f>STDEV(K29:V29)/SQRT(COUNT(K29:V29))</f>
        <v>0.17005351395593546</v>
      </c>
      <c r="Y29" s="36">
        <f>MIN(K29:V29)</f>
        <v>53.784887536420129</v>
      </c>
      <c r="Z29" s="35">
        <f>QUARTILE(K29:V29,1)</f>
        <v>54.173029342831981</v>
      </c>
      <c r="AA29" s="36">
        <f>MEDIAN(K29:V29)</f>
        <v>54.388318486667686</v>
      </c>
      <c r="AB29" s="35">
        <f>QUARTILE(K29:V29,3)</f>
        <v>54.925341976493144</v>
      </c>
      <c r="AC29" s="35">
        <f>MAX(K29:V29)</f>
        <v>55.845170869816656</v>
      </c>
      <c r="AD29" s="35">
        <f>SKEW(K29:V29)</f>
        <v>0.76931688717878666</v>
      </c>
      <c r="AE29" s="35">
        <f>KURT(K29:V29)</f>
        <v>0.42576412516794537</v>
      </c>
    </row>
    <row r="30" spans="2:31" x14ac:dyDescent="0.2">
      <c r="B30" s="34">
        <f>[39]FormattedData!A70</f>
        <v>305</v>
      </c>
      <c r="C30" s="34" t="str">
        <f>VLOOKUP($B30,[39]TrtCodes!$B$11:I113,2)</f>
        <v>NDH</v>
      </c>
      <c r="D30" s="34">
        <f>VLOOKUP($B30,[39]TrtCodes!$B$11:J113,3)</f>
        <v>11</v>
      </c>
      <c r="E30" s="34">
        <f>VLOOKUP($B30,[39]TrtCodes!$B$11:K113,4)</f>
        <v>2</v>
      </c>
      <c r="F30" s="34">
        <f>VLOOKUP($B30,[39]TrtCodes!$B$11:L113,5)</f>
        <v>3</v>
      </c>
      <c r="G30" s="34">
        <f>VLOOKUP($B30,[39]TrtCodes!$B$11:M113,6)</f>
        <v>2</v>
      </c>
      <c r="H30" s="34">
        <f>VLOOKUP($B30,[39]TrtCodes!$B$11:N113,7)</f>
        <v>4</v>
      </c>
      <c r="I30" s="34">
        <f>[39]FormattedData!B70</f>
        <v>1</v>
      </c>
      <c r="J30" s="37">
        <f>[39]FormattedData!C70</f>
        <v>13.363</v>
      </c>
      <c r="K30" s="39">
        <f>$J$3+[39]FormattedData!D70*$J$4+$M$4*$J$5+[39]FormattedData!D70^2*$J$6+$M$5*$J$7</f>
        <v>37.46273034708711</v>
      </c>
      <c r="L30" s="39">
        <f>$J$3+[39]FormattedData!E70*$J$4+$M$4*$J$5+[39]FormattedData!E70^2*$J$6+$M$5*$J$7</f>
        <v>37.744549038803122</v>
      </c>
      <c r="M30" s="39">
        <f>$J$3+[39]FormattedData!F70*$J$4+$M$4*$J$5+[39]FormattedData!F70^2*$J$6+$M$5*$J$7</f>
        <v>38.961367441627644</v>
      </c>
      <c r="N30" s="39">
        <f>$J$3+[39]FormattedData!G70*$J$4+$M$4*$J$5+[39]FormattedData!G70^2*$J$6+$M$5*$J$7</f>
        <v>42.293737552840291</v>
      </c>
      <c r="O30" s="39">
        <f>$J$3+[39]FormattedData!H70*$J$4+$M$4*$J$5+[39]FormattedData!H70^2*$J$6+$M$5*$J$7</f>
        <v>35.479347833516414</v>
      </c>
      <c r="P30" s="39">
        <f>$J$3+[39]FormattedData!I70*$J$4+$M$4*$J$5+[39]FormattedData!I70^2*$J$6+$M$5*$J$7</f>
        <v>40.911907301225845</v>
      </c>
      <c r="Q30" s="39">
        <f>$J$3+[39]FormattedData!J70*$J$4+$M$4*$J$5+[39]FormattedData!J70^2*$J$6+$M$5*$J$7</f>
        <v>38.681197222890951</v>
      </c>
      <c r="R30" s="39">
        <f>$J$3+[39]FormattedData!K70*$J$4+$M$4*$J$5+[39]FormattedData!K70^2*$J$6+$M$5*$J$7</f>
        <v>41.096700825767535</v>
      </c>
      <c r="S30" s="39">
        <f>$J$3+[39]FormattedData!L70*$J$4+$M$4*$J$5+[39]FormattedData!L70^2*$J$6+$M$5*$J$7</f>
        <v>35.384436093238669</v>
      </c>
      <c r="T30" s="39">
        <f>$J$3+[39]FormattedData!M70*$J$4+$M$4*$J$5+[39]FormattedData!M70^2*$J$6+$M$5*$J$7</f>
        <v>39.241157243522956</v>
      </c>
      <c r="U30" s="39">
        <f>$J$3+[39]FormattedData!N70*$J$4+$M$4*$J$5+[39]FormattedData!N70^2*$J$6+$M$5*$J$7</f>
        <v>35.099447261177822</v>
      </c>
      <c r="V30" s="39">
        <f>$J$3+[39]FormattedData!O70*$J$4+$M$4*$J$5+[39]FormattedData!O70^2*$J$6+$M$5*$J$7</f>
        <v>36.897951713130958</v>
      </c>
      <c r="W30" s="38">
        <f>AVERAGE(K30:V30)</f>
        <v>38.271210822902439</v>
      </c>
      <c r="X30" s="37">
        <f>STDEV(K30:V30)/SQRT(COUNT(K30:V30))</f>
        <v>0.68383665472383837</v>
      </c>
      <c r="Y30" s="36">
        <f>MIN(K30:V30)</f>
        <v>35.099447261177822</v>
      </c>
      <c r="Z30" s="35">
        <f>QUARTILE(K30:V30,1)</f>
        <v>36.54330074322732</v>
      </c>
      <c r="AA30" s="36">
        <f>MEDIAN(K30:V30)</f>
        <v>38.212873130847036</v>
      </c>
      <c r="AB30" s="35">
        <f>QUARTILE(K30:V30,3)</f>
        <v>39.658844757948678</v>
      </c>
      <c r="AC30" s="35">
        <f>MAX(K30:V30)</f>
        <v>42.293737552840291</v>
      </c>
      <c r="AD30" s="35">
        <f>SKEW(K30:V30)</f>
        <v>0.21647472209135468</v>
      </c>
      <c r="AE30" s="35">
        <f>KURT(K30:V30)</f>
        <v>-0.97696981103257885</v>
      </c>
    </row>
    <row r="31" spans="2:31" x14ac:dyDescent="0.2">
      <c r="B31" s="34">
        <f>[39]FormattedData!A72</f>
        <v>306</v>
      </c>
      <c r="C31" s="34" t="str">
        <f>VLOOKUP($B31,[39]TrtCodes!$B$11:I115,2)</f>
        <v>FTL</v>
      </c>
      <c r="D31" s="34">
        <f>VLOOKUP($B31,[39]TrtCodes!$B$11:J115,3)</f>
        <v>4</v>
      </c>
      <c r="E31" s="34">
        <f>VLOOKUP($B31,[39]TrtCodes!$B$11:K115,4)</f>
        <v>1</v>
      </c>
      <c r="F31" s="34">
        <f>VLOOKUP($B31,[39]TrtCodes!$B$11:L115,5)</f>
        <v>2</v>
      </c>
      <c r="G31" s="34">
        <f>VLOOKUP($B31,[39]TrtCodes!$B$11:M115,6)</f>
        <v>1</v>
      </c>
      <c r="H31" s="34">
        <f>VLOOKUP($B31,[39]TrtCodes!$B$11:N115,7)</f>
        <v>4</v>
      </c>
      <c r="I31" s="34">
        <f>[39]FormattedData!B72</f>
        <v>1</v>
      </c>
      <c r="J31" s="37">
        <f>[39]FormattedData!C72</f>
        <v>13.38</v>
      </c>
      <c r="K31" s="39">
        <f>$J$3+[39]FormattedData!D72*$J$4+$M$4*$J$5+[39]FormattedData!D72^2*$J$6+$M$5*$J$7</f>
        <v>54.388318486667686</v>
      </c>
      <c r="L31" s="39">
        <f>$J$3+[39]FormattedData!E72*$J$4+$M$4*$J$5+[39]FormattedData!E72^2*$J$6+$M$5*$J$7</f>
        <v>54.474353833979897</v>
      </c>
      <c r="M31" s="39">
        <f>$J$3+[39]FormattedData!F72*$J$4+$M$4*$J$5+[39]FormattedData!F72^2*$J$6+$M$5*$J$7</f>
        <v>50.296978252207374</v>
      </c>
      <c r="N31" s="39">
        <f>$J$3+[39]FormattedData!G72*$J$4+$M$4*$J$5+[39]FormattedData!G72^2*$J$6+$M$5*$J$7</f>
        <v>53.612098276650862</v>
      </c>
      <c r="O31" s="39">
        <f>$J$3+[39]FormattedData!H72*$J$4+$M$4*$J$5+[39]FormattedData!H72^2*$J$6+$M$5*$J$7</f>
        <v>54.646297722990525</v>
      </c>
      <c r="P31" s="39">
        <f>$J$3+[39]FormattedData!I72*$J$4+$M$4*$J$5+[39]FormattedData!I72^2*$J$6+$M$5*$J$7</f>
        <v>54.474353833979897</v>
      </c>
      <c r="Q31" s="39">
        <f>$J$3+[39]FormattedData!J72*$J$4+$M$4*$J$5+[39]FormattedData!J72^2*$J$6+$M$5*$J$7</f>
        <v>53.266012534657186</v>
      </c>
      <c r="R31" s="39">
        <f>$J$3+[39]FormattedData!K72*$J$4+$M$4*$J$5+[39]FormattedData!K72^2*$J$6+$M$5*$J$7</f>
        <v>55.075417746103312</v>
      </c>
      <c r="S31" s="39">
        <f>$J$3+[39]FormattedData!L72*$J$4+$M$4*$J$5+[39]FormattedData!L72^2*$J$6+$M$5*$J$7</f>
        <v>52.571812160849127</v>
      </c>
      <c r="T31" s="39">
        <f>$J$3+[39]FormattedData!M72*$J$4+$M$4*$J$5+[39]FormattedData!M72^2*$J$6+$M$5*$J$7</f>
        <v>53.006004408513647</v>
      </c>
      <c r="U31" s="39">
        <f>$J$3+[39]FormattedData!N72*$J$4+$M$4*$J$5+[39]FormattedData!N72^2*$J$6+$M$5*$J$7</f>
        <v>53.612098276650862</v>
      </c>
      <c r="V31" s="39">
        <f>$J$3+[39]FormattedData!O72*$J$4+$M$4*$J$5+[39]FormattedData!O72^2*$J$6+$M$5*$J$7</f>
        <v>49.502878450645696</v>
      </c>
      <c r="W31" s="38">
        <f>AVERAGE(K31:V31)</f>
        <v>53.243885331991329</v>
      </c>
      <c r="X31" s="37">
        <f>STDEV(K31:V31)/SQRT(COUNT(K31:V31))</f>
        <v>0.50089630932106177</v>
      </c>
      <c r="Y31" s="36">
        <f>MIN(K31:V31)</f>
        <v>49.502878450645696</v>
      </c>
      <c r="Z31" s="35">
        <f>QUARTILE(K31:V31,1)</f>
        <v>52.897456346597515</v>
      </c>
      <c r="AA31" s="36">
        <f>MEDIAN(K31:V31)</f>
        <v>53.612098276650862</v>
      </c>
      <c r="AB31" s="35">
        <f>QUARTILE(K31:V31,3)</f>
        <v>54.474353833979897</v>
      </c>
      <c r="AC31" s="35">
        <f>MAX(K31:V31)</f>
        <v>55.075417746103312</v>
      </c>
      <c r="AD31" s="35">
        <f>SKEW(K31:V31)</f>
        <v>-1.3372402864104609</v>
      </c>
      <c r="AE31" s="35">
        <f>KURT(K31:V31)</f>
        <v>1.0590586066983558</v>
      </c>
    </row>
    <row r="32" spans="2:31" x14ac:dyDescent="0.2">
      <c r="B32" s="34">
        <f>[39]FormattedData!A74</f>
        <v>307</v>
      </c>
      <c r="C32" s="34" t="str">
        <f>VLOOKUP($B32,[39]TrtCodes!$B$11:I117,2)</f>
        <v>NTH</v>
      </c>
      <c r="D32" s="34">
        <f>VLOOKUP($B32,[39]TrtCodes!$B$11:J117,3)</f>
        <v>9</v>
      </c>
      <c r="E32" s="34">
        <f>VLOOKUP($B32,[39]TrtCodes!$B$11:K117,4)</f>
        <v>2</v>
      </c>
      <c r="F32" s="34">
        <f>VLOOKUP($B32,[39]TrtCodes!$B$11:L117,5)</f>
        <v>2</v>
      </c>
      <c r="G32" s="34">
        <f>VLOOKUP($B32,[39]TrtCodes!$B$11:M117,6)</f>
        <v>2</v>
      </c>
      <c r="H32" s="34">
        <f>VLOOKUP($B32,[39]TrtCodes!$B$11:N117,7)</f>
        <v>4</v>
      </c>
      <c r="I32" s="34">
        <f>[39]FormattedData!B74</f>
        <v>1</v>
      </c>
      <c r="J32" s="37">
        <f>[39]FormattedData!C74</f>
        <v>13.398</v>
      </c>
      <c r="K32" s="39">
        <f>$J$3+[39]FormattedData!D74*$J$4+$M$4*$J$5+[39]FormattedData!D74^2*$J$6+$M$5*$J$7</f>
        <v>55.417952930910772</v>
      </c>
      <c r="L32" s="39">
        <f>$J$3+[39]FormattedData!E74*$J$4+$M$4*$J$5+[39]FormattedData!E74^2*$J$6+$M$5*$J$7</f>
        <v>53.612098276650862</v>
      </c>
      <c r="M32" s="39">
        <f>$J$3+[39]FormattedData!F74*$J$4+$M$4*$J$5+[39]FormattedData!F74^2*$J$6+$M$5*$J$7</f>
        <v>53.957507722037654</v>
      </c>
      <c r="N32" s="39">
        <f>$J$3+[39]FormattedData!G74*$J$4+$M$4*$J$5+[39]FormattedData!G74^2*$J$6+$M$5*$J$7</f>
        <v>51.262895137165899</v>
      </c>
      <c r="O32" s="39">
        <f>$J$3+[39]FormattedData!H74*$J$4+$M$4*$J$5+[39]FormattedData!H74^2*$J$6+$M$5*$J$7</f>
        <v>55.161114945112075</v>
      </c>
      <c r="P32" s="39">
        <f>$J$3+[39]FormattedData!I74*$J$4+$M$4*$J$5+[39]FormattedData!I74^2*$J$6+$M$5*$J$7</f>
        <v>52.745615865528727</v>
      </c>
      <c r="Q32" s="39">
        <f>$J$3+[39]FormattedData!J74*$J$4+$M$4*$J$5+[39]FormattedData!J74^2*$J$6+$M$5*$J$7</f>
        <v>55.246769875582906</v>
      </c>
      <c r="R32" s="39">
        <f>$J$3+[39]FormattedData!K74*$J$4+$M$4*$J$5+[39]FormattedData!K74^2*$J$6+$M$5*$J$7</f>
        <v>50.912244393075653</v>
      </c>
      <c r="S32" s="39">
        <f>$J$3+[39]FormattedData!L74*$J$4+$M$4*$J$5+[39]FormattedData!L74^2*$J$6+$M$5*$J$7</f>
        <v>54.732206264688941</v>
      </c>
      <c r="T32" s="39">
        <f>$J$3+[39]FormattedData!M74*$J$4+$M$4*$J$5+[39]FormattedData!M74^2*$J$6+$M$5*$J$7</f>
        <v>55.075417746103312</v>
      </c>
      <c r="U32" s="39">
        <f>$J$3+[39]FormattedData!N74*$J$4+$M$4*$J$5+[39]FormattedData!N74^2*$J$6+$M$5*$J$7</f>
        <v>55.075417746103312</v>
      </c>
      <c r="V32" s="39">
        <f>$J$3+[39]FormattedData!O74*$J$4+$M$4*$J$5+[39]FormattedData!O74^2*$J$6+$M$5*$J$7</f>
        <v>51.262895137165899</v>
      </c>
      <c r="W32" s="38">
        <f>AVERAGE(K32:V32)</f>
        <v>53.705178003343832</v>
      </c>
      <c r="X32" s="37">
        <f>STDEV(K32:V32)/SQRT(COUNT(K32:V32))</f>
        <v>0.49971825208281989</v>
      </c>
      <c r="Y32" s="36">
        <f>MIN(K32:V32)</f>
        <v>50.912244393075653</v>
      </c>
      <c r="Z32" s="35">
        <f>QUARTILE(K32:V32,1)</f>
        <v>52.374935683438018</v>
      </c>
      <c r="AA32" s="36">
        <f>MEDIAN(K32:V32)</f>
        <v>54.344856993363294</v>
      </c>
      <c r="AB32" s="35">
        <f>QUARTILE(K32:V32,3)</f>
        <v>55.096842045855503</v>
      </c>
      <c r="AC32" s="35">
        <f>MAX(K32:V32)</f>
        <v>55.417952930910772</v>
      </c>
      <c r="AD32" s="35">
        <f>SKEW(K32:V32)</f>
        <v>-0.71053413059878501</v>
      </c>
      <c r="AE32" s="35">
        <f>KURT(K32:V32)</f>
        <v>-1.2297712705233121</v>
      </c>
    </row>
    <row r="33" spans="2:31" x14ac:dyDescent="0.2">
      <c r="B33" s="34">
        <f>[39]FormattedData!A76</f>
        <v>308</v>
      </c>
      <c r="C33" s="34" t="str">
        <f>VLOOKUP($B33,[39]TrtCodes!$B$11:I119,2)</f>
        <v>FDH</v>
      </c>
      <c r="D33" s="34">
        <f>VLOOKUP($B33,[39]TrtCodes!$B$11:J119,3)</f>
        <v>5</v>
      </c>
      <c r="E33" s="34">
        <f>VLOOKUP($B33,[39]TrtCodes!$B$11:K119,4)</f>
        <v>1</v>
      </c>
      <c r="F33" s="34">
        <f>VLOOKUP($B33,[39]TrtCodes!$B$11:L119,5)</f>
        <v>3</v>
      </c>
      <c r="G33" s="34">
        <f>VLOOKUP($B33,[39]TrtCodes!$B$11:M119,6)</f>
        <v>2</v>
      </c>
      <c r="H33" s="34">
        <f>VLOOKUP($B33,[39]TrtCodes!$B$11:N119,7)</f>
        <v>4</v>
      </c>
      <c r="I33" s="34">
        <f>[39]FormattedData!B76</f>
        <v>1</v>
      </c>
      <c r="J33" s="37">
        <f>[39]FormattedData!C76</f>
        <v>13.42</v>
      </c>
      <c r="K33" s="39">
        <f>$J$3+[39]FormattedData!D76*$J$4+$M$4*$J$5+[39]FormattedData!D76^2*$J$6+$M$5*$J$7</f>
        <v>56.526521608093653</v>
      </c>
      <c r="L33" s="39">
        <f>$J$3+[39]FormattedData!E76*$J$4+$M$4*$J$5+[39]FormattedData!E76^2*$J$6+$M$5*$J$7</f>
        <v>56.441500705691787</v>
      </c>
      <c r="M33" s="39">
        <f>$J$3+[39]FormattedData!F76*$J$4+$M$4*$J$5+[39]FormattedData!F76^2*$J$6+$M$5*$J$7</f>
        <v>45.119382605298583</v>
      </c>
      <c r="N33" s="39">
        <f>$J$3+[39]FormattedData!G76*$J$4+$M$4*$J$5+[39]FormattedData!G76^2*$J$6+$M$5*$J$7</f>
        <v>54.98967827855661</v>
      </c>
      <c r="O33" s="39">
        <f>$J$3+[39]FormattedData!H76*$J$4+$M$4*$J$5+[39]FormattedData!H76^2*$J$6+$M$5*$J$7</f>
        <v>48.794137699789317</v>
      </c>
      <c r="P33" s="39">
        <f>$J$3+[39]FormattedData!I76*$J$4+$M$4*$J$5+[39]FormattedData!I76^2*$J$6+$M$5*$J$7</f>
        <v>54.216120986429466</v>
      </c>
      <c r="Q33" s="39">
        <f>$J$3+[39]FormattedData!J76*$J$4+$M$4*$J$5+[39]FormattedData!J76^2*$J$6+$M$5*$J$7</f>
        <v>49.148846223520955</v>
      </c>
      <c r="R33" s="39">
        <f>$J$3+[39]FormattedData!K76*$J$4+$M$4*$J$5+[39]FormattedData!K76^2*$J$6+$M$5*$J$7</f>
        <v>53.612098276650862</v>
      </c>
      <c r="S33" s="39">
        <f>$J$3+[39]FormattedData!L76*$J$4+$M$4*$J$5+[39]FormattedData!L76^2*$J$6+$M$5*$J$7</f>
        <v>52.571812160849127</v>
      </c>
      <c r="T33" s="39">
        <f>$J$3+[39]FormattedData!M76*$J$4+$M$4*$J$5+[39]FormattedData!M76^2*$J$6+$M$5*$J$7</f>
        <v>54.302240870817535</v>
      </c>
      <c r="U33" s="39">
        <f>$J$3+[39]FormattedData!N76*$J$4+$M$4*$J$5+[39]FormattedData!N76^2*$J$6+$M$5*$J$7</f>
        <v>48.61652982669591</v>
      </c>
      <c r="V33" s="39">
        <f>$J$3+[39]FormattedData!O76*$J$4+$M$4*$J$5+[39]FormattedData!O76^2*$J$6+$M$5*$J$7</f>
        <v>47.636664324220114</v>
      </c>
      <c r="W33" s="38">
        <f>AVERAGE(K33:V33)</f>
        <v>51.831294463884483</v>
      </c>
      <c r="X33" s="37">
        <f>STDEV(K33:V33)/SQRT(COUNT(K33:V33))</f>
        <v>1.0947062511295338</v>
      </c>
      <c r="Y33" s="36">
        <f>MIN(K33:V33)</f>
        <v>45.119382605298583</v>
      </c>
      <c r="Z33" s="35">
        <f>QUARTILE(K33:V33,1)</f>
        <v>48.749735731515969</v>
      </c>
      <c r="AA33" s="36">
        <f>MEDIAN(K33:V33)</f>
        <v>53.091955218749995</v>
      </c>
      <c r="AB33" s="35">
        <f>QUARTILE(K33:V33,3)</f>
        <v>54.474100222752305</v>
      </c>
      <c r="AC33" s="35">
        <f>MAX(K33:V33)</f>
        <v>56.526521608093653</v>
      </c>
      <c r="AD33" s="35">
        <f>SKEW(K33:V33)</f>
        <v>-0.37810831146909335</v>
      </c>
      <c r="AE33" s="35">
        <f>KURT(K33:V33)</f>
        <v>-1.2140955361935819</v>
      </c>
    </row>
    <row r="34" spans="2:31" x14ac:dyDescent="0.2">
      <c r="B34" s="34">
        <f>[39]FormattedData!A92</f>
        <v>401</v>
      </c>
      <c r="C34" s="34" t="str">
        <f>VLOOKUP($B34,[39]TrtCodes!$B$11:I129,2)</f>
        <v>NSH</v>
      </c>
      <c r="D34" s="34">
        <f>VLOOKUP($B34,[39]TrtCodes!$B$11:J129,3)</f>
        <v>7</v>
      </c>
      <c r="E34" s="34">
        <f>VLOOKUP($B34,[39]TrtCodes!$B$11:K129,4)</f>
        <v>2</v>
      </c>
      <c r="F34" s="34">
        <f>VLOOKUP($B34,[39]TrtCodes!$B$11:L129,5)</f>
        <v>1</v>
      </c>
      <c r="G34" s="34">
        <f>VLOOKUP($B34,[39]TrtCodes!$B$11:M129,6)</f>
        <v>2</v>
      </c>
      <c r="H34" s="34">
        <f>VLOOKUP($B34,[39]TrtCodes!$B$11:N129,7)</f>
        <v>3</v>
      </c>
      <c r="I34" s="34">
        <f>[39]FormattedData!B92</f>
        <v>1</v>
      </c>
      <c r="J34" s="37">
        <f>[39]FormattedData!C92</f>
        <v>13.605</v>
      </c>
      <c r="K34" s="39">
        <f>$J$3+[39]FormattedData!D92*$J$4+$M$4*$J$5+[39]FormattedData!D92^2*$J$6+$M$5*$J$7</f>
        <v>52.3978393820178</v>
      </c>
      <c r="L34" s="39">
        <f>$J$3+[39]FormattedData!E92*$J$4+$M$4*$J$5+[39]FormattedData!E92^2*$J$6+$M$5*$J$7</f>
        <v>52.571812160849127</v>
      </c>
      <c r="M34" s="39">
        <f>$J$3+[39]FormattedData!F92*$J$4+$M$4*$J$5+[39]FormattedData!F92^2*$J$6+$M$5*$J$7</f>
        <v>52.658735147457897</v>
      </c>
      <c r="N34" s="39">
        <f>$J$3+[39]FormattedData!G92*$J$4+$M$4*$J$5+[39]FormattedData!G92^2*$J$6+$M$5*$J$7</f>
        <v>53.006004408513647</v>
      </c>
      <c r="O34" s="39">
        <f>$J$3+[39]FormattedData!H92*$J$4+$M$4*$J$5+[39]FormattedData!H92^2*$J$6+$M$5*$J$7</f>
        <v>52.136563199736329</v>
      </c>
      <c r="P34" s="39">
        <f>$J$3+[39]FormattedData!I92*$J$4+$M$4*$J$5+[39]FormattedData!I92^2*$J$6+$M$5*$J$7</f>
        <v>51.962167735525696</v>
      </c>
      <c r="Q34" s="39">
        <f>$J$3+[39]FormattedData!J92*$J$4+$M$4*$J$5+[39]FormattedData!J92^2*$J$6+$M$5*$J$7</f>
        <v>53.006004408513647</v>
      </c>
      <c r="R34" s="39">
        <f>$J$3+[39]FormattedData!K92*$J$4+$M$4*$J$5+[39]FormattedData!K92^2*$J$6+$M$5*$J$7</f>
        <v>52.832454315061632</v>
      </c>
      <c r="S34" s="39">
        <f>$J$3+[39]FormattedData!L92*$J$4+$M$4*$J$5+[39]FormattedData!L92^2*$J$6+$M$5*$J$7</f>
        <v>52.745615865528727</v>
      </c>
      <c r="T34" s="39">
        <f>$J$3+[39]FormattedData!M92*$J$4+$M$4*$J$5+[39]FormattedData!M92^2*$J$6+$M$5*$J$7</f>
        <v>52.745615865528727</v>
      </c>
      <c r="U34" s="39">
        <f>$J$3+[39]FormattedData!N92*$J$4+$M$4*$J$5+[39]FormattedData!N92^2*$J$6+$M$5*$J$7</f>
        <v>52.136563199736329</v>
      </c>
      <c r="V34" s="39">
        <f>$J$3+[39]FormattedData!O92*$J$4+$M$4*$J$5+[39]FormattedData!O92^2*$J$6+$M$5*$J$7</f>
        <v>52.745615865528727</v>
      </c>
      <c r="W34" s="38">
        <f>AVERAGE(K34:V34)</f>
        <v>52.578749296166528</v>
      </c>
      <c r="X34" s="37">
        <f>STDEV(K34:V34)/SQRT(COUNT(K34:V34))</f>
        <v>0.10012861503871311</v>
      </c>
      <c r="Y34" s="36">
        <f>MIN(K34:V34)</f>
        <v>51.962167735525696</v>
      </c>
      <c r="Z34" s="35">
        <f>QUARTILE(K34:V34,1)</f>
        <v>52.332520336447431</v>
      </c>
      <c r="AA34" s="36">
        <f>MEDIAN(K34:V34)</f>
        <v>52.702175506493312</v>
      </c>
      <c r="AB34" s="35">
        <f>QUARTILE(K34:V34,3)</f>
        <v>52.767325477911953</v>
      </c>
      <c r="AC34" s="35">
        <f>MAX(K34:V34)</f>
        <v>53.006004408513647</v>
      </c>
      <c r="AD34" s="35">
        <f>SKEW(K34:V34)</f>
        <v>-0.59206812407506038</v>
      </c>
      <c r="AE34" s="35">
        <f>KURT(K34:V34)</f>
        <v>-0.81935617509674374</v>
      </c>
    </row>
    <row r="35" spans="2:31" x14ac:dyDescent="0.2">
      <c r="B35" s="34">
        <f>[39]FormattedData!A90</f>
        <v>402</v>
      </c>
      <c r="C35" s="34" t="str">
        <f>VLOOKUP($B35,[39]TrtCodes!$B$11:I130,2)</f>
        <v>NTH</v>
      </c>
      <c r="D35" s="34">
        <f>VLOOKUP($B35,[39]TrtCodes!$B$11:J130,3)</f>
        <v>9</v>
      </c>
      <c r="E35" s="34">
        <f>VLOOKUP($B35,[39]TrtCodes!$B$11:K130,4)</f>
        <v>2</v>
      </c>
      <c r="F35" s="34">
        <f>VLOOKUP($B35,[39]TrtCodes!$B$11:L130,5)</f>
        <v>2</v>
      </c>
      <c r="G35" s="34">
        <f>VLOOKUP($B35,[39]TrtCodes!$B$11:M130,6)</f>
        <v>2</v>
      </c>
      <c r="H35" s="34">
        <f>VLOOKUP($B35,[39]TrtCodes!$B$11:N130,7)</f>
        <v>3</v>
      </c>
      <c r="I35" s="34">
        <f>[39]FormattedData!B90</f>
        <v>1</v>
      </c>
      <c r="J35" s="37">
        <f>[39]FormattedData!C90</f>
        <v>13.582000000000001</v>
      </c>
      <c r="K35" s="39">
        <f>$J$3+[39]FormattedData!D90*$J$4+$M$4*$J$5+[39]FormattedData!D90^2*$J$6+$M$5*$J$7</f>
        <v>54.818072537849432</v>
      </c>
      <c r="L35" s="39">
        <f>$J$3+[39]FormattedData!E90*$J$4+$M$4*$J$5+[39]FormattedData!E90^2*$J$6+$M$5*$J$7</f>
        <v>52.745615865528727</v>
      </c>
      <c r="M35" s="39">
        <f>$J$3+[39]FormattedData!F90*$J$4+$M$4*$J$5+[39]FormattedData!F90^2*$J$6+$M$5*$J$7</f>
        <v>53.957507722037654</v>
      </c>
      <c r="N35" s="39">
        <f>$J$3+[39]FormattedData!G90*$J$4+$M$4*$J$5+[39]FormattedData!G90^2*$J$6+$M$5*$J$7</f>
        <v>54.646297722990525</v>
      </c>
      <c r="O35" s="39">
        <f>$J$3+[39]FormattedData!H90*$J$4+$M$4*$J$5+[39]FormattedData!H90^2*$J$6+$M$5*$J$7</f>
        <v>52.919250496056613</v>
      </c>
      <c r="P35" s="39">
        <f>$J$3+[39]FormattedData!I90*$J$4+$M$4*$J$5+[39]FormattedData!I90^2*$J$6+$M$5*$J$7</f>
        <v>53.871218763497851</v>
      </c>
      <c r="Q35" s="39">
        <f>$J$3+[39]FormattedData!J90*$J$4+$M$4*$J$5+[39]FormattedData!J90^2*$J$6+$M$5*$J$7</f>
        <v>53.092716052432763</v>
      </c>
      <c r="R35" s="39">
        <f>$J$3+[39]FormattedData!K90*$J$4+$M$4*$J$5+[39]FormattedData!K90^2*$J$6+$M$5*$J$7</f>
        <v>54.474353833979897</v>
      </c>
      <c r="S35" s="39">
        <f>$J$3+[39]FormattedData!L90*$J$4+$M$4*$J$5+[39]FormattedData!L90^2*$J$6+$M$5*$J$7</f>
        <v>53.525640243959351</v>
      </c>
      <c r="T35" s="39">
        <f>$J$3+[39]FormattedData!M90*$J$4+$M$4*$J$5+[39]FormattedData!M90^2*$J$6+$M$5*$J$7</f>
        <v>53.439139942729888</v>
      </c>
      <c r="U35" s="39">
        <f>$J$3+[39]FormattedData!N90*$J$4+$M$4*$J$5+[39]FormattedData!N90^2*$J$6+$M$5*$J$7</f>
        <v>51.08765430219664</v>
      </c>
      <c r="V35" s="39">
        <f>$J$3+[39]FormattedData!O90*$J$4+$M$4*$J$5+[39]FormattedData!O90^2*$J$6+$M$5*$J$7</f>
        <v>53.352597372962506</v>
      </c>
      <c r="W35" s="38">
        <f>AVERAGE(K35:V35)</f>
        <v>53.494172071351812</v>
      </c>
      <c r="X35" s="37">
        <f>STDEV(K35:V35)/SQRT(COUNT(K35:V35))</f>
        <v>0.29213340766150719</v>
      </c>
      <c r="Y35" s="36">
        <f>MIN(K35:V35)</f>
        <v>51.08765430219664</v>
      </c>
      <c r="Z35" s="35">
        <f>QUARTILE(K35:V35,1)</f>
        <v>53.049349663338724</v>
      </c>
      <c r="AA35" s="36">
        <f>MEDIAN(K35:V35)</f>
        <v>53.48239009334462</v>
      </c>
      <c r="AB35" s="35">
        <f>QUARTILE(K35:V35,3)</f>
        <v>54.086719250023215</v>
      </c>
      <c r="AC35" s="35">
        <f>MAX(K35:V35)</f>
        <v>54.818072537849432</v>
      </c>
      <c r="AD35" s="35">
        <f>SKEW(K35:V35)</f>
        <v>-1.0178399289979265</v>
      </c>
      <c r="AE35" s="35">
        <f>KURT(K35:V35)</f>
        <v>1.948310963068991</v>
      </c>
    </row>
    <row r="36" spans="2:31" x14ac:dyDescent="0.2">
      <c r="B36" s="34">
        <f>[39]FormattedData!A88</f>
        <v>403</v>
      </c>
      <c r="C36" s="34" t="str">
        <f>VLOOKUP($B36,[39]TrtCodes!$B$11:I131,2)</f>
        <v>FDL</v>
      </c>
      <c r="D36" s="34">
        <f>VLOOKUP($B36,[39]TrtCodes!$B$11:J131,3)</f>
        <v>6</v>
      </c>
      <c r="E36" s="34">
        <f>VLOOKUP($B36,[39]TrtCodes!$B$11:K131,4)</f>
        <v>1</v>
      </c>
      <c r="F36" s="34">
        <f>VLOOKUP($B36,[39]TrtCodes!$B$11:L131,5)</f>
        <v>3</v>
      </c>
      <c r="G36" s="34">
        <f>VLOOKUP($B36,[39]TrtCodes!$B$11:M131,6)</f>
        <v>1</v>
      </c>
      <c r="H36" s="34">
        <f>VLOOKUP($B36,[39]TrtCodes!$B$11:N131,7)</f>
        <v>3</v>
      </c>
      <c r="I36" s="34">
        <f>[39]FormattedData!B88</f>
        <v>1</v>
      </c>
      <c r="J36" s="37">
        <f>[39]FormattedData!C88</f>
        <v>13.561999999999999</v>
      </c>
      <c r="K36" s="39">
        <f>$J$3+[39]FormattedData!D88*$J$4+$M$4*$J$5+[39]FormattedData!D88^2*$J$6+$M$5*$J$7</f>
        <v>54.302240870817535</v>
      </c>
      <c r="L36" s="39">
        <f>$J$3+[39]FormattedData!E88*$J$4+$M$4*$J$5+[39]FormattedData!E88^2*$J$6+$M$5*$J$7</f>
        <v>47.100036536526098</v>
      </c>
      <c r="M36" s="39">
        <f>$J$3+[39]FormattedData!F88*$J$4+$M$4*$J$5+[39]FormattedData!F88^2*$J$6+$M$5*$J$7</f>
        <v>51.962167735525696</v>
      </c>
      <c r="N36" s="39">
        <f>$J$3+[39]FormattedData!G88*$J$4+$M$4*$J$5+[39]FormattedData!G88^2*$J$6+$M$5*$J$7</f>
        <v>50.912244393075653</v>
      </c>
      <c r="O36" s="39">
        <f>$J$3+[39]FormattedData!H88*$J$4+$M$4*$J$5+[39]FormattedData!H88^2*$J$6+$M$5*$J$7</f>
        <v>49.76795880134096</v>
      </c>
      <c r="P36" s="39">
        <f>$J$3+[39]FormattedData!I88*$J$4+$M$4*$J$5+[39]FormattedData!I88^2*$J$6+$M$5*$J$7</f>
        <v>51.787603197163335</v>
      </c>
      <c r="Q36" s="39">
        <f>$J$3+[39]FormattedData!J88*$J$4+$M$4*$J$5+[39]FormattedData!J88^2*$J$6+$M$5*$J$7</f>
        <v>53.006004408513647</v>
      </c>
      <c r="R36" s="39">
        <f>$J$3+[39]FormattedData!K88*$J$4+$M$4*$J$5+[39]FormattedData!K88^2*$J$6+$M$5*$J$7</f>
        <v>53.352597372962506</v>
      </c>
      <c r="S36" s="39">
        <f>$J$3+[39]FormattedData!L88*$J$4+$M$4*$J$5+[39]FormattedData!L88^2*$J$6+$M$5*$J$7</f>
        <v>52.832454315061632</v>
      </c>
      <c r="T36" s="39">
        <f>$J$3+[39]FormattedData!M88*$J$4+$M$4*$J$5+[39]FormattedData!M88^2*$J$6+$M$5*$J$7</f>
        <v>50.912244393075653</v>
      </c>
      <c r="U36" s="39">
        <f>$J$3+[39]FormattedData!N88*$J$4+$M$4*$J$5+[39]FormattedData!N88^2*$J$6+$M$5*$J$7</f>
        <v>52.571812160849127</v>
      </c>
      <c r="V36" s="39">
        <f>$J$3+[39]FormattedData!O88*$J$4+$M$4*$J$5+[39]FormattedData!O88^2*$J$6+$M$5*$J$7</f>
        <v>47.010450632027663</v>
      </c>
      <c r="W36" s="38">
        <f>AVERAGE(K36:V36)</f>
        <v>51.293151234744961</v>
      </c>
      <c r="X36" s="37">
        <f>STDEV(K36:V36)/SQRT(COUNT(K36:V36))</f>
        <v>0.67119537030341925</v>
      </c>
      <c r="Y36" s="36">
        <f>MIN(K36:V36)</f>
        <v>47.010450632027663</v>
      </c>
      <c r="Z36" s="35">
        <f>QUARTILE(K36:V36,1)</f>
        <v>50.626172995141978</v>
      </c>
      <c r="AA36" s="36">
        <f>MEDIAN(K36:V36)</f>
        <v>51.874885466344516</v>
      </c>
      <c r="AB36" s="35">
        <f>QUARTILE(K36:V36,3)</f>
        <v>52.875841838424634</v>
      </c>
      <c r="AC36" s="35">
        <f>MAX(K36:V36)</f>
        <v>54.302240870817535</v>
      </c>
      <c r="AD36" s="35">
        <f>SKEW(K36:V36)</f>
        <v>-0.94401092955438815</v>
      </c>
      <c r="AE36" s="35">
        <f>KURT(K36:V36)</f>
        <v>0.10823955901749294</v>
      </c>
    </row>
    <row r="37" spans="2:31" x14ac:dyDescent="0.2">
      <c r="B37" s="34">
        <f>[39]FormattedData!A86</f>
        <v>404</v>
      </c>
      <c r="C37" s="34" t="str">
        <f>VLOOKUP($B37,[39]TrtCodes!$B$11:I129,2)</f>
        <v>FTH</v>
      </c>
      <c r="D37" s="34">
        <f>VLOOKUP($B37,[39]TrtCodes!$B$11:J129,3)</f>
        <v>3</v>
      </c>
      <c r="E37" s="34">
        <f>VLOOKUP($B37,[39]TrtCodes!$B$11:K129,4)</f>
        <v>1</v>
      </c>
      <c r="F37" s="34">
        <f>VLOOKUP($B37,[39]TrtCodes!$B$11:L129,5)</f>
        <v>2</v>
      </c>
      <c r="G37" s="34">
        <f>VLOOKUP($B37,[39]TrtCodes!$B$11:M129,6)</f>
        <v>2</v>
      </c>
      <c r="H37" s="34">
        <f>VLOOKUP($B37,[39]TrtCodes!$B$11:N129,7)</f>
        <v>3</v>
      </c>
      <c r="I37" s="34">
        <f>[39]FormattedData!B86</f>
        <v>1</v>
      </c>
      <c r="J37" s="37">
        <f>[39]FormattedData!C86</f>
        <v>13.539</v>
      </c>
      <c r="K37" s="39">
        <f>$J$3+[39]FormattedData!D86*$J$4+$M$4*$J$5+[39]FormattedData!D86^2*$J$6+$M$5*$J$7</f>
        <v>54.129958833503458</v>
      </c>
      <c r="L37" s="39">
        <f>$J$3+[39]FormattedData!E86*$J$4+$M$4*$J$5+[39]FormattedData!E86^2*$J$6+$M$5*$J$7</f>
        <v>54.388318486667686</v>
      </c>
      <c r="M37" s="39">
        <f>$J$3+[39]FormattedData!F86*$J$4+$M$4*$J$5+[39]FormattedData!F86^2*$J$6+$M$5*$J$7</f>
        <v>54.129958833503458</v>
      </c>
      <c r="N37" s="39">
        <f>$J$3+[39]FormattedData!G86*$J$4+$M$4*$J$5+[39]FormattedData!G86^2*$J$6+$M$5*$J$7</f>
        <v>50.385000220802354</v>
      </c>
      <c r="O37" s="39">
        <f>$J$3+[39]FormattedData!H86*$J$4+$M$4*$J$5+[39]FormattedData!H86^2*$J$6+$M$5*$J$7</f>
        <v>53.006004408513647</v>
      </c>
      <c r="P37" s="39">
        <f>$J$3+[39]FormattedData!I86*$J$4+$M$4*$J$5+[39]FormattedData!I86^2*$J$6+$M$5*$J$7</f>
        <v>54.818072537849432</v>
      </c>
      <c r="Q37" s="39">
        <f>$J$3+[39]FormattedData!J86*$J$4+$M$4*$J$5+[39]FormattedData!J86^2*$J$6+$M$5*$J$7</f>
        <v>53.871218763497851</v>
      </c>
      <c r="R37" s="39">
        <f>$J$3+[39]FormattedData!K86*$J$4+$M$4*$J$5+[39]FormattedData!K86^2*$J$6+$M$5*$J$7</f>
        <v>53.871218763497851</v>
      </c>
      <c r="S37" s="39">
        <f>$J$3+[39]FormattedData!L86*$J$4+$M$4*$J$5+[39]FormattedData!L86^2*$J$6+$M$5*$J$7</f>
        <v>49.23741768310903</v>
      </c>
      <c r="T37" s="39">
        <f>$J$3+[39]FormattedData!M86*$J$4+$M$4*$J$5+[39]FormattedData!M86^2*$J$6+$M$5*$J$7</f>
        <v>54.646297722990525</v>
      </c>
      <c r="U37" s="39">
        <f>$J$3+[39]FormattedData!N86*$J$4+$M$4*$J$5+[39]FormattedData!N86^2*$J$6+$M$5*$J$7</f>
        <v>52.919250496056613</v>
      </c>
      <c r="V37" s="39">
        <f>$J$3+[39]FormattedData!O86*$J$4+$M$4*$J$5+[39]FormattedData!O86^2*$J$6+$M$5*$J$7</f>
        <v>53.784887536420129</v>
      </c>
      <c r="W37" s="38">
        <f>AVERAGE(K37:V37)</f>
        <v>53.265633690534337</v>
      </c>
      <c r="X37" s="37">
        <f>STDEV(K37:V37)/SQRT(COUNT(K37:V37))</f>
        <v>0.49837531335355689</v>
      </c>
      <c r="Y37" s="36">
        <f>MIN(K37:V37)</f>
        <v>49.23741768310903</v>
      </c>
      <c r="Z37" s="35">
        <f>QUARTILE(K37:V37,1)</f>
        <v>52.98431593039939</v>
      </c>
      <c r="AA37" s="36">
        <f>MEDIAN(K37:V37)</f>
        <v>53.871218763497851</v>
      </c>
      <c r="AB37" s="35">
        <f>QUARTILE(K37:V37,3)</f>
        <v>54.194548746794517</v>
      </c>
      <c r="AC37" s="35">
        <f>MAX(K37:V37)</f>
        <v>54.818072537849432</v>
      </c>
      <c r="AD37" s="35">
        <f>SKEW(K37:V37)</f>
        <v>-1.6888921456693324</v>
      </c>
      <c r="AE37" s="35">
        <f>KURT(K37:V37)</f>
        <v>2.0802864110602828</v>
      </c>
    </row>
    <row r="38" spans="2:31" x14ac:dyDescent="0.2">
      <c r="B38" s="34">
        <f>[39]FormattedData!A84</f>
        <v>405</v>
      </c>
      <c r="C38" s="34" t="str">
        <f>VLOOKUP($B38,[39]TrtCodes!$B$11:I127,2)</f>
        <v>FDL</v>
      </c>
      <c r="D38" s="34">
        <f>VLOOKUP($B38,[39]TrtCodes!$B$11:J127,3)</f>
        <v>6</v>
      </c>
      <c r="E38" s="34">
        <f>VLOOKUP($B38,[39]TrtCodes!$B$11:K127,4)</f>
        <v>1</v>
      </c>
      <c r="F38" s="34">
        <f>VLOOKUP($B38,[39]TrtCodes!$B$11:L127,5)</f>
        <v>3</v>
      </c>
      <c r="G38" s="34">
        <f>VLOOKUP($B38,[39]TrtCodes!$B$11:M127,6)</f>
        <v>1</v>
      </c>
      <c r="H38" s="34">
        <f>VLOOKUP($B38,[39]TrtCodes!$B$11:N127,7)</f>
        <v>4</v>
      </c>
      <c r="I38" s="34">
        <f>[39]FormattedData!B84</f>
        <v>1</v>
      </c>
      <c r="J38" s="37">
        <f>[39]FormattedData!C84</f>
        <v>13.519</v>
      </c>
      <c r="K38" s="39">
        <f>$J$3+[39]FormattedData!D84*$J$4+$M$4*$J$5+[39]FormattedData!D84^2*$J$6+$M$5*$J$7</f>
        <v>53.266012534657186</v>
      </c>
      <c r="L38" s="39">
        <f>$J$3+[39]FormattedData!E84*$J$4+$M$4*$J$5+[39]FormattedData!E84^2*$J$6+$M$5*$J$7</f>
        <v>45.751809772566908</v>
      </c>
      <c r="M38" s="39">
        <f>$J$3+[39]FormattedData!F84*$J$4+$M$4*$J$5+[39]FormattedData!F84^2*$J$6+$M$5*$J$7</f>
        <v>52.919250496056613</v>
      </c>
      <c r="N38" s="39">
        <f>$J$3+[39]FormattedData!G84*$J$4+$M$4*$J$5+[39]FormattedData!G84^2*$J$6+$M$5*$J$7</f>
        <v>43.209674153341865</v>
      </c>
      <c r="O38" s="39">
        <f>$J$3+[39]FormattedData!H84*$J$4+$M$4*$J$5+[39]FormattedData!H84^2*$J$6+$M$5*$J$7</f>
        <v>53.871218763497851</v>
      </c>
      <c r="P38" s="39">
        <f>$J$3+[39]FormattedData!I84*$J$4+$M$4*$J$5+[39]FormattedData!I84^2*$J$6+$M$5*$J$7</f>
        <v>43.848314795686065</v>
      </c>
      <c r="Q38" s="39">
        <f>$J$3+[39]FormattedData!J84*$J$4+$M$4*$J$5+[39]FormattedData!J84^2*$J$6+$M$5*$J$7</f>
        <v>53.006004408513647</v>
      </c>
      <c r="R38" s="39">
        <f>$J$3+[39]FormattedData!K84*$J$4+$M$4*$J$5+[39]FormattedData!K84^2*$J$6+$M$5*$J$7</f>
        <v>47.1895801724866</v>
      </c>
      <c r="S38" s="39">
        <f>$J$3+[39]FormattedData!L84*$J$4+$M$4*$J$5+[39]FormattedData!L84^2*$J$6+$M$5*$J$7</f>
        <v>53.092716052432763</v>
      </c>
      <c r="T38" s="39">
        <f>$J$3+[39]FormattedData!M84*$J$4+$M$4*$J$5+[39]FormattedData!M84^2*$J$6+$M$5*$J$7</f>
        <v>46.561887081466558</v>
      </c>
      <c r="U38" s="39">
        <f>$J$3+[39]FormattedData!N84*$J$4+$M$4*$J$5+[39]FormattedData!N84^2*$J$6+$M$5*$J$7</f>
        <v>52.919250496056613</v>
      </c>
      <c r="V38" s="39">
        <f>$J$3+[39]FormattedData!O84*$J$4+$M$4*$J$5+[39]FormattedData!O84^2*$J$6+$M$5*$J$7</f>
        <v>46.831152017417018</v>
      </c>
      <c r="W38" s="38">
        <f>AVERAGE(K38:V38)</f>
        <v>49.372239228681643</v>
      </c>
      <c r="X38" s="37">
        <f>STDEV(K38:V38)/SQRT(COUNT(K38:V38))</f>
        <v>1.1944591945767096</v>
      </c>
      <c r="Y38" s="36">
        <f>MIN(K38:V38)</f>
        <v>43.209674153341865</v>
      </c>
      <c r="Z38" s="35">
        <f>QUARTILE(K38:V38,1)</f>
        <v>46.359367754241646</v>
      </c>
      <c r="AA38" s="36">
        <f>MEDIAN(K38:V38)</f>
        <v>50.05441533427161</v>
      </c>
      <c r="AB38" s="35">
        <f>QUARTILE(K38:V38,3)</f>
        <v>53.027682319493422</v>
      </c>
      <c r="AC38" s="35">
        <f>MAX(K38:V38)</f>
        <v>53.871218763497851</v>
      </c>
      <c r="AD38" s="35">
        <f>SKEW(K38:V38)</f>
        <v>-0.24672863708709683</v>
      </c>
      <c r="AE38" s="35">
        <f>KURT(K38:V38)</f>
        <v>-1.8862333570421397</v>
      </c>
    </row>
    <row r="39" spans="2:31" x14ac:dyDescent="0.2">
      <c r="B39" s="34">
        <f>[39]FormattedData!A82</f>
        <v>406</v>
      </c>
      <c r="C39" s="34" t="str">
        <f>VLOOKUP($B39,[39]TrtCodes!$B$11:I125,2)</f>
        <v>FTH</v>
      </c>
      <c r="D39" s="34">
        <f>VLOOKUP($B39,[39]TrtCodes!$B$11:J125,3)</f>
        <v>3</v>
      </c>
      <c r="E39" s="34">
        <f>VLOOKUP($B39,[39]TrtCodes!$B$11:K125,4)</f>
        <v>1</v>
      </c>
      <c r="F39" s="34">
        <f>VLOOKUP($B39,[39]TrtCodes!$B$11:L125,5)</f>
        <v>2</v>
      </c>
      <c r="G39" s="34">
        <f>VLOOKUP($B39,[39]TrtCodes!$B$11:M125,6)</f>
        <v>2</v>
      </c>
      <c r="H39" s="34">
        <f>VLOOKUP($B39,[39]TrtCodes!$B$11:N125,7)</f>
        <v>4</v>
      </c>
      <c r="I39" s="34">
        <f>[39]FormattedData!B82</f>
        <v>1</v>
      </c>
      <c r="J39" s="37">
        <f>[39]FormattedData!C82</f>
        <v>13.492000000000001</v>
      </c>
      <c r="K39" s="39">
        <f>$J$3+[39]FormattedData!D82*$J$4+$M$4*$J$5+[39]FormattedData!D82^2*$J$6+$M$5*$J$7</f>
        <v>54.474353833979897</v>
      </c>
      <c r="L39" s="39">
        <f>$J$3+[39]FormattedData!E82*$J$4+$M$4*$J$5+[39]FormattedData!E82^2*$J$6+$M$5*$J$7</f>
        <v>52.832454315061632</v>
      </c>
      <c r="M39" s="39">
        <f>$J$3+[39]FormattedData!F82*$J$4+$M$4*$J$5+[39]FormattedData!F82^2*$J$6+$M$5*$J$7</f>
        <v>53.698514040804461</v>
      </c>
      <c r="N39" s="39">
        <f>$J$3+[39]FormattedData!G82*$J$4+$M$4*$J$5+[39]FormattedData!G82^2*$J$6+$M$5*$J$7</f>
        <v>49.414433796671403</v>
      </c>
      <c r="O39" s="39">
        <f>$J$3+[39]FormattedData!H82*$J$4+$M$4*$J$5+[39]FormattedData!H82^2*$J$6+$M$5*$J$7</f>
        <v>54.216120986429466</v>
      </c>
      <c r="P39" s="39">
        <f>$J$3+[39]FormattedData!I82*$J$4+$M$4*$J$5+[39]FormattedData!I82^2*$J$6+$M$5*$J$7</f>
        <v>51.262895137165899</v>
      </c>
      <c r="Q39" s="39">
        <f>$J$3+[39]FormattedData!J82*$J$4+$M$4*$J$5+[39]FormattedData!J82^2*$J$6+$M$5*$J$7</f>
        <v>54.043754412039519</v>
      </c>
      <c r="R39" s="39">
        <f>$J$3+[39]FormattedData!K82*$J$4+$M$4*$J$5+[39]FormattedData!K82^2*$J$6+$M$5*$J$7</f>
        <v>49.502878450645696</v>
      </c>
      <c r="S39" s="39">
        <f>$J$3+[39]FormattedData!L82*$J$4+$M$4*$J$5+[39]FormattedData!L82^2*$J$6+$M$5*$J$7</f>
        <v>52.919250496056613</v>
      </c>
      <c r="T39" s="39">
        <f>$J$3+[39]FormattedData!M82*$J$4+$M$4*$J$5+[39]FormattedData!M82^2*$J$6+$M$5*$J$7</f>
        <v>48.794137699789317</v>
      </c>
      <c r="U39" s="39">
        <f>$J$3+[39]FormattedData!N82*$J$4+$M$4*$J$5+[39]FormattedData!N82^2*$J$6+$M$5*$J$7</f>
        <v>53.092716052432763</v>
      </c>
      <c r="V39" s="39">
        <f>$J$3+[39]FormattedData!O82*$J$4+$M$4*$J$5+[39]FormattedData!O82^2*$J$6+$M$5*$J$7</f>
        <v>51.175295853950232</v>
      </c>
      <c r="W39" s="38">
        <f>AVERAGE(K39:V39)</f>
        <v>52.118900422918919</v>
      </c>
      <c r="X39" s="37">
        <f>STDEV(K39:V39)/SQRT(COUNT(K39:V39))</f>
        <v>0.58439081004776261</v>
      </c>
      <c r="Y39" s="36">
        <f>MIN(K39:V39)</f>
        <v>48.794137699789317</v>
      </c>
      <c r="Z39" s="35">
        <f>QUARTILE(K39:V39,1)</f>
        <v>50.757191503124098</v>
      </c>
      <c r="AA39" s="36">
        <f>MEDIAN(K39:V39)</f>
        <v>52.875852405559122</v>
      </c>
      <c r="AB39" s="35">
        <f>QUARTILE(K39:V39,3)</f>
        <v>53.784824133613228</v>
      </c>
      <c r="AC39" s="35">
        <f>MAX(K39:V39)</f>
        <v>54.474353833979897</v>
      </c>
      <c r="AD39" s="35">
        <f>SKEW(K39:V39)</f>
        <v>-0.53568058180855882</v>
      </c>
      <c r="AE39" s="35">
        <f>KURT(K39:V39)</f>
        <v>-1.2608143599661035</v>
      </c>
    </row>
    <row r="40" spans="2:31" x14ac:dyDescent="0.2">
      <c r="B40" s="34">
        <f>[39]FormattedData!A80</f>
        <v>407</v>
      </c>
      <c r="C40" s="34" t="str">
        <f>VLOOKUP($B40,[39]TrtCodes!$B$11:I123,2)</f>
        <v>NSH</v>
      </c>
      <c r="D40" s="34">
        <f>VLOOKUP($B40,[39]TrtCodes!$B$11:J123,3)</f>
        <v>7</v>
      </c>
      <c r="E40" s="34">
        <f>VLOOKUP($B40,[39]TrtCodes!$B$11:K123,4)</f>
        <v>2</v>
      </c>
      <c r="F40" s="34">
        <f>VLOOKUP($B40,[39]TrtCodes!$B$11:L123,5)</f>
        <v>1</v>
      </c>
      <c r="G40" s="34">
        <f>VLOOKUP($B40,[39]TrtCodes!$B$11:M123,6)</f>
        <v>2</v>
      </c>
      <c r="H40" s="34">
        <f>VLOOKUP($B40,[39]TrtCodes!$B$11:N123,7)</f>
        <v>4</v>
      </c>
      <c r="I40" s="34">
        <f>[39]FormattedData!B80</f>
        <v>1</v>
      </c>
      <c r="J40" s="37">
        <f>[39]FormattedData!C80</f>
        <v>13.468999999999999</v>
      </c>
      <c r="K40" s="39">
        <f>$J$3+[39]FormattedData!D80*$J$4+$M$4*$J$5+[39]FormattedData!D80^2*$J$6+$M$5*$J$7</f>
        <v>53.871218763497851</v>
      </c>
      <c r="L40" s="39">
        <f>$J$3+[39]FormattedData!E80*$J$4+$M$4*$J$5+[39]FormattedData!E80^2*$J$6+$M$5*$J$7</f>
        <v>54.818072537849432</v>
      </c>
      <c r="M40" s="39">
        <f>$J$3+[39]FormattedData!F80*$J$4+$M$4*$J$5+[39]FormattedData!F80^2*$J$6+$M$5*$J$7</f>
        <v>54.302240870817535</v>
      </c>
      <c r="N40" s="39">
        <f>$J$3+[39]FormattedData!G80*$J$4+$M$4*$J$5+[39]FormattedData!G80^2*$J$6+$M$5*$J$7</f>
        <v>52.658735147457897</v>
      </c>
      <c r="O40" s="39">
        <f>$J$3+[39]FormattedData!H80*$J$4+$M$4*$J$5+[39]FormattedData!H80^2*$J$6+$M$5*$J$7</f>
        <v>53.439139942729888</v>
      </c>
      <c r="P40" s="39">
        <f>$J$3+[39]FormattedData!I80*$J$4+$M$4*$J$5+[39]FormattedData!I80^2*$J$6+$M$5*$J$7</f>
        <v>52.658735147457897</v>
      </c>
      <c r="Q40" s="39">
        <f>$J$3+[39]FormattedData!J80*$J$4+$M$4*$J$5+[39]FormattedData!J80^2*$J$6+$M$5*$J$7</f>
        <v>54.216120986429466</v>
      </c>
      <c r="R40" s="39">
        <f>$J$3+[39]FormattedData!K80*$J$4+$M$4*$J$5+[39]FormattedData!K80^2*$J$6+$M$5*$J$7</f>
        <v>53.006004408513647</v>
      </c>
      <c r="S40" s="39">
        <f>$J$3+[39]FormattedData!L80*$J$4+$M$4*$J$5+[39]FormattedData!L80^2*$J$6+$M$5*$J$7</f>
        <v>53.871218763497851</v>
      </c>
      <c r="T40" s="39">
        <f>$J$3+[39]FormattedData!M80*$J$4+$M$4*$J$5+[39]FormattedData!M80^2*$J$6+$M$5*$J$7</f>
        <v>54.302240870817535</v>
      </c>
      <c r="U40" s="39">
        <f>$J$3+[39]FormattedData!N80*$J$4+$M$4*$J$5+[39]FormattedData!N80^2*$J$6+$M$5*$J$7</f>
        <v>54.216120986429466</v>
      </c>
      <c r="V40" s="39">
        <f>$J$3+[39]FormattedData!O80*$J$4+$M$4*$J$5+[39]FormattedData!O80^2*$J$6+$M$5*$J$7</f>
        <v>49.414433796671403</v>
      </c>
      <c r="W40" s="38">
        <f>AVERAGE(K40:V40)</f>
        <v>53.397856851847486</v>
      </c>
      <c r="X40" s="37">
        <f>STDEV(K40:V40)/SQRT(COUNT(K40:V40))</f>
        <v>0.41337123369956075</v>
      </c>
      <c r="Y40" s="36">
        <f>MIN(K40:V40)</f>
        <v>49.414433796671403</v>
      </c>
      <c r="Z40" s="35">
        <f>QUARTILE(K40:V40,1)</f>
        <v>52.919187093249711</v>
      </c>
      <c r="AA40" s="36">
        <f>MEDIAN(K40:V40)</f>
        <v>53.871218763497851</v>
      </c>
      <c r="AB40" s="35">
        <f>QUARTILE(K40:V40,3)</f>
        <v>54.237650957526483</v>
      </c>
      <c r="AC40" s="35">
        <f>MAX(K40:V40)</f>
        <v>54.818072537849432</v>
      </c>
      <c r="AD40" s="35">
        <f>SKEW(K40:V40)</f>
        <v>-2.170614036657089</v>
      </c>
      <c r="AE40" s="35">
        <f>KURT(K40:V40)</f>
        <v>5.6659784714843777</v>
      </c>
    </row>
    <row r="41" spans="2:31" x14ac:dyDescent="0.2">
      <c r="B41" s="34">
        <f>[39]FormattedData!A78</f>
        <v>408</v>
      </c>
      <c r="C41" s="34" t="str">
        <f>VLOOKUP($B41,[39]TrtCodes!$B$11:I121,2)</f>
        <v>NTL</v>
      </c>
      <c r="D41" s="34">
        <f>VLOOKUP($B41,[39]TrtCodes!$B$11:J121,3)</f>
        <v>10</v>
      </c>
      <c r="E41" s="34">
        <f>VLOOKUP($B41,[39]TrtCodes!$B$11:K121,4)</f>
        <v>2</v>
      </c>
      <c r="F41" s="34">
        <f>VLOOKUP($B41,[39]TrtCodes!$B$11:L121,5)</f>
        <v>2</v>
      </c>
      <c r="G41" s="34">
        <f>VLOOKUP($B41,[39]TrtCodes!$B$11:M121,6)</f>
        <v>1</v>
      </c>
      <c r="H41" s="34">
        <f>VLOOKUP($B41,[39]TrtCodes!$B$11:N121,7)</f>
        <v>4</v>
      </c>
      <c r="I41" s="34">
        <f>[39]FormattedData!B78</f>
        <v>1</v>
      </c>
      <c r="J41" s="37">
        <f>[39]FormattedData!C78</f>
        <v>13.449</v>
      </c>
      <c r="K41" s="39">
        <f>$J$3+[39]FormattedData!D78*$J$4+$M$4*$J$5+[39]FormattedData!D78^2*$J$6+$M$5*$J$7</f>
        <v>54.646297722990525</v>
      </c>
      <c r="L41" s="39">
        <f>$J$3+[39]FormattedData!E78*$J$4+$M$4*$J$5+[39]FormattedData!E78^2*$J$6+$M$5*$J$7</f>
        <v>52.310789589795242</v>
      </c>
      <c r="M41" s="39">
        <f>$J$3+[39]FormattedData!F78*$J$4+$M$4*$J$5+[39]FormattedData!F78^2*$J$6+$M$5*$J$7</f>
        <v>53.352597372962506</v>
      </c>
      <c r="N41" s="39">
        <f>$J$3+[39]FormattedData!G78*$J$4+$M$4*$J$5+[39]FormattedData!G78^2*$J$6+$M$5*$J$7</f>
        <v>53.612098276650862</v>
      </c>
      <c r="O41" s="39">
        <f>$J$3+[39]FormattedData!H78*$J$4+$M$4*$J$5+[39]FormattedData!H78^2*$J$6+$M$5*$J$7</f>
        <v>55.246769875582906</v>
      </c>
      <c r="P41" s="39">
        <f>$J$3+[39]FormattedData!I78*$J$4+$M$4*$J$5+[39]FormattedData!I78^2*$J$6+$M$5*$J$7</f>
        <v>51.874906600613471</v>
      </c>
      <c r="Q41" s="39">
        <f>$J$3+[39]FormattedData!J78*$J$4+$M$4*$J$5+[39]FormattedData!J78^2*$J$6+$M$5*$J$7</f>
        <v>53.698514040804461</v>
      </c>
      <c r="R41" s="39">
        <f>$J$3+[39]FormattedData!K78*$J$4+$M$4*$J$5+[39]FormattedData!K78^2*$J$6+$M$5*$J$7</f>
        <v>54.388318486667686</v>
      </c>
      <c r="S41" s="39">
        <f>$J$3+[39]FormattedData!L78*$J$4+$M$4*$J$5+[39]FormattedData!L78^2*$J$6+$M$5*$J$7</f>
        <v>53.612098276650862</v>
      </c>
      <c r="T41" s="39">
        <f>$J$3+[39]FormattedData!M78*$J$4+$M$4*$J$5+[39]FormattedData!M78^2*$J$6+$M$5*$J$7</f>
        <v>54.474353833979897</v>
      </c>
      <c r="U41" s="39">
        <f>$J$3+[39]FormattedData!N78*$J$4+$M$4*$J$5+[39]FormattedData!N78^2*$J$6+$M$5*$J$7</f>
        <v>53.525640243959351</v>
      </c>
      <c r="V41" s="39">
        <f>$J$3+[39]FormattedData!O78*$J$4+$M$4*$J$5+[39]FormattedData!O78^2*$J$6+$M$5*$J$7</f>
        <v>49.856234381163524</v>
      </c>
      <c r="W41" s="38">
        <f>AVERAGE(K41:V41)</f>
        <v>53.383218225151779</v>
      </c>
      <c r="X41" s="37">
        <f>STDEV(K41:V41)/SQRT(COUNT(K41:V41))</f>
        <v>0.42066978943386624</v>
      </c>
      <c r="Y41" s="36">
        <f>MIN(K41:V41)</f>
        <v>49.856234381163524</v>
      </c>
      <c r="Z41" s="35">
        <f>QUARTILE(K41:V41,1)</f>
        <v>53.092145427170692</v>
      </c>
      <c r="AA41" s="36">
        <f>MEDIAN(K41:V41)</f>
        <v>53.612098276650862</v>
      </c>
      <c r="AB41" s="35">
        <f>QUARTILE(K41:V41,3)</f>
        <v>54.40982732349574</v>
      </c>
      <c r="AC41" s="35">
        <f>MAX(K41:V41)</f>
        <v>55.246769875582906</v>
      </c>
      <c r="AD41" s="35">
        <f>SKEW(K41:V41)</f>
        <v>-1.32830965390648</v>
      </c>
      <c r="AE41" s="35">
        <f>KURT(K41:V41)</f>
        <v>2.1970916113694887</v>
      </c>
    </row>
    <row r="42" spans="2:31" x14ac:dyDescent="0.2">
      <c r="B42" s="50">
        <f>[39]FormattedData!A60</f>
        <v>901</v>
      </c>
      <c r="C42" s="50" t="str">
        <f>VLOOKUP($B42,[39]TrtCodes!$B$11:I103,2)</f>
        <v>WS</v>
      </c>
      <c r="D42" s="50">
        <f>VLOOKUP($B42,[39]TrtCodes!$B$11:J103,3)</f>
        <v>32</v>
      </c>
      <c r="E42" s="50">
        <f>VLOOKUP($B42,[39]TrtCodes!$B$11:K103,4)</f>
        <v>9</v>
      </c>
      <c r="F42" s="50">
        <f>VLOOKUP($B42,[39]TrtCodes!$B$11:L103,5)</f>
        <v>0</v>
      </c>
      <c r="G42" s="50">
        <f>VLOOKUP($B42,[39]TrtCodes!$B$11:M103,6)</f>
        <v>1</v>
      </c>
      <c r="H42" s="50">
        <f>VLOOKUP($B42,[39]TrtCodes!$B$11:N103,7)</f>
        <v>1</v>
      </c>
      <c r="I42" s="50">
        <f>[39]FormattedData!B60</f>
        <v>1</v>
      </c>
      <c r="J42" s="48">
        <f>[39]FormattedData!C60</f>
        <v>13.275</v>
      </c>
      <c r="K42" s="47">
        <f>$J$3+[39]FormattedData!D60*$J$4+$M$4*$J$5+[39]FormattedData!D60^2*$J$6+$M$5*$J$7</f>
        <v>32.517429014768133</v>
      </c>
      <c r="L42" s="47">
        <f>$J$3+[39]FormattedData!E60*$J$4+$M$4*$J$5+[39]FormattedData!E60^2*$J$6+$M$5*$J$7</f>
        <v>32.421206949814518</v>
      </c>
      <c r="M42" s="47">
        <f>$J$3+[39]FormattedData!F60*$J$4+$M$4*$J$5+[39]FormattedData!F60^2*$J$6+$M$5*$J$7</f>
        <v>34.051233532867364</v>
      </c>
      <c r="N42" s="47">
        <f>$J$3+[39]FormattedData!G60*$J$4+$M$4*$J$5+[39]FormattedData!G60^2*$J$6+$M$5*$J$7</f>
        <v>33.189799950381378</v>
      </c>
      <c r="O42" s="47">
        <f>$J$3+[39]FormattedData!H60*$J$4+$M$4*$J$5+[39]FormattedData!H60^2*$J$6+$M$5*$J$7</f>
        <v>32.228636014293478</v>
      </c>
      <c r="P42" s="47">
        <f>$J$3+[39]FormattedData!I60*$J$4+$M$4*$J$5+[39]FormattedData!I60^2*$J$6+$M$5*$J$7</f>
        <v>33.955687764520654</v>
      </c>
      <c r="Q42" s="47">
        <f>$J$3+[39]FormattedData!J60*$J$4+$M$4*$J$5+[39]FormattedData!J60^2*$J$6+$M$5*$J$7</f>
        <v>31.649908762820054</v>
      </c>
      <c r="R42" s="47">
        <f>$J$3+[39]FormattedData!K60*$J$4+$M$4*$J$5+[39]FormattedData!K60^2*$J$6+$M$5*$J$7</f>
        <v>31.553306281025058</v>
      </c>
      <c r="S42" s="47">
        <f>$J$3+[39]FormattedData!L60*$J$4+$M$4*$J$5+[39]FormattedData!L60^2*$J$6+$M$5*$J$7</f>
        <v>31.456661530692127</v>
      </c>
      <c r="T42" s="47">
        <f>$J$3+[39]FormattedData!M60*$J$4+$M$4*$J$5+[39]FormattedData!M60^2*$J$6+$M$5*$J$7</f>
        <v>31.263245224412472</v>
      </c>
      <c r="U42" s="47">
        <f>$J$3+[39]FormattedData!N60*$J$4+$M$4*$J$5+[39]FormattedData!N60^2*$J$6+$M$5*$J$7</f>
        <v>31.166473668465756</v>
      </c>
      <c r="V42" s="47">
        <f>$J$3+[39]FormattedData!O60*$J$4+$M$4*$J$5+[39]FormattedData!O60^2*$J$6+$M$5*$J$7</f>
        <v>33.66879684825291</v>
      </c>
      <c r="W42" s="49">
        <f>AVERAGE(K42:V42)</f>
        <v>32.426865461859492</v>
      </c>
      <c r="X42" s="48">
        <f>STDEV(K42:V42)/SQRT(COUNT(K42:V42))</f>
        <v>0.30647708782534189</v>
      </c>
      <c r="Y42" s="47">
        <f>MIN(K42:V42)</f>
        <v>31.166473668465756</v>
      </c>
      <c r="Z42" s="46">
        <f>QUARTILE(K42:V42,1)</f>
        <v>31.529145093441826</v>
      </c>
      <c r="AA42" s="47">
        <f>MEDIAN(K42:V42)</f>
        <v>32.324921482053995</v>
      </c>
      <c r="AB42" s="46">
        <f>QUARTILE(K42:V42,3)</f>
        <v>33.309549174849259</v>
      </c>
      <c r="AC42" s="46">
        <f>MAX(K42:V42)</f>
        <v>34.051233532867364</v>
      </c>
      <c r="AD42" s="46">
        <f>SKEW(K42:V42)</f>
        <v>0.41800638008226182</v>
      </c>
      <c r="AE42" s="46">
        <f>KURT(K42:V42)</f>
        <v>-1.3872094724508739</v>
      </c>
    </row>
    <row r="43" spans="2:31" x14ac:dyDescent="0.2">
      <c r="B43" s="34">
        <f>[39]FormattedData!A58</f>
        <v>902</v>
      </c>
      <c r="C43" s="34" t="str">
        <f>VLOOKUP($B43,[39]TrtCodes!$B$11:I101,2)</f>
        <v>Late</v>
      </c>
      <c r="D43" s="34">
        <f>VLOOKUP($B43,[39]TrtCodes!$B$11:J101,3)</f>
        <v>22</v>
      </c>
      <c r="E43" s="34">
        <f>VLOOKUP($B43,[39]TrtCodes!$B$11:K101,4)</f>
        <v>4</v>
      </c>
      <c r="F43" s="34">
        <f>VLOOKUP($B43,[39]TrtCodes!$B$11:L101,5)</f>
        <v>2</v>
      </c>
      <c r="G43" s="34">
        <f>VLOOKUP($B43,[39]TrtCodes!$B$11:M101,6)</f>
        <v>2</v>
      </c>
      <c r="H43" s="34">
        <f>VLOOKUP($B43,[39]TrtCodes!$B$11:N101,7)</f>
        <v>1</v>
      </c>
      <c r="I43" s="34">
        <f>[39]FormattedData!B58</f>
        <v>1</v>
      </c>
      <c r="J43" s="37">
        <f>[39]FormattedData!C58</f>
        <v>13.257</v>
      </c>
      <c r="K43" s="39">
        <f>$J$3+[39]FormattedData!D58*$J$4+$M$4*$J$5+[39]FormattedData!D58^2*$J$6+$M$5*$J$7</f>
        <v>55.246769875582906</v>
      </c>
      <c r="L43" s="39">
        <f>$J$3+[39]FormattedData!E58*$J$4+$M$4*$J$5+[39]FormattedData!E58^2*$J$6+$M$5*$J$7</f>
        <v>55.417952930910772</v>
      </c>
      <c r="M43" s="39">
        <f>$J$3+[39]FormattedData!F58*$J$4+$M$4*$J$5+[39]FormattedData!F58^2*$J$6+$M$5*$J$7</f>
        <v>54.732206264688941</v>
      </c>
      <c r="N43" s="39">
        <f>$J$3+[39]FormattedData!G58*$J$4+$M$4*$J$5+[39]FormattedData!G58^2*$J$6+$M$5*$J$7</f>
        <v>46.92082245899131</v>
      </c>
      <c r="O43" s="39">
        <f>$J$3+[39]FormattedData!H58*$J$4+$M$4*$J$5+[39]FormattedData!H58^2*$J$6+$M$5*$J$7</f>
        <v>54.56034691275417</v>
      </c>
      <c r="P43" s="39">
        <f>$J$3+[39]FormattedData!I58*$J$4+$M$4*$J$5+[39]FormattedData!I58^2*$J$6+$M$5*$J$7</f>
        <v>53.612098276650862</v>
      </c>
      <c r="Q43" s="39">
        <f>$J$3+[39]FormattedData!J58*$J$4+$M$4*$J$5+[39]FormattedData!J58^2*$J$6+$M$5*$J$7</f>
        <v>55.930487651984038</v>
      </c>
      <c r="R43" s="39">
        <f>$J$3+[39]FormattedData!K58*$J$4+$M$4*$J$5+[39]FormattedData!K58^2*$J$6+$M$5*$J$7</f>
        <v>53.006004408513647</v>
      </c>
      <c r="S43" s="39">
        <f>$J$3+[39]FormattedData!L58*$J$4+$M$4*$J$5+[39]FormattedData!L58^2*$J$6+$M$5*$J$7</f>
        <v>53.612098276650862</v>
      </c>
      <c r="T43" s="39">
        <f>$J$3+[39]FormattedData!M58*$J$4+$M$4*$J$5+[39]FormattedData!M58^2*$J$6+$M$5*$J$7</f>
        <v>53.612098276650862</v>
      </c>
      <c r="U43" s="39">
        <f>$J$3+[39]FormattedData!N58*$J$4+$M$4*$J$5+[39]FormattedData!N58^2*$J$6+$M$5*$J$7</f>
        <v>53.957507722037654</v>
      </c>
      <c r="V43" s="39">
        <f>$J$3+[39]FormattedData!O58*$J$4+$M$4*$J$5+[39]FormattedData!O58^2*$J$6+$M$5*$J$7</f>
        <v>53.092716052432763</v>
      </c>
      <c r="W43" s="38">
        <f>AVERAGE(K43:V43)</f>
        <v>53.64175909232074</v>
      </c>
      <c r="X43" s="37">
        <f>STDEV(K43:V43)/SQRT(COUNT(K43:V43))</f>
        <v>0.66845048774065097</v>
      </c>
      <c r="Y43" s="36">
        <f>MIN(K43:V43)</f>
        <v>46.92082245899131</v>
      </c>
      <c r="Z43" s="35">
        <f>QUARTILE(K43:V43,1)</f>
        <v>53.482252720596335</v>
      </c>
      <c r="AA43" s="36">
        <f>MEDIAN(K43:V43)</f>
        <v>53.784802999344258</v>
      </c>
      <c r="AB43" s="35">
        <f>QUARTILE(K43:V43,3)</f>
        <v>54.86084716741243</v>
      </c>
      <c r="AC43" s="35">
        <f>MAX(K43:V43)</f>
        <v>55.930487651984038</v>
      </c>
      <c r="AD43" s="35">
        <f>SKEW(K43:V43)</f>
        <v>-2.4617923896738505</v>
      </c>
      <c r="AE43" s="35">
        <f>KURT(K43:V43)</f>
        <v>7.4043612601435598</v>
      </c>
    </row>
    <row r="44" spans="2:31" x14ac:dyDescent="0.2">
      <c r="B44" s="50">
        <f>[39]FormattedData!A56</f>
        <v>903</v>
      </c>
      <c r="C44" s="50" t="str">
        <f>VLOOKUP($B44,[39]TrtCodes!$B$11:I99,2)</f>
        <v>DS</v>
      </c>
      <c r="D44" s="50">
        <f>VLOOKUP($B44,[39]TrtCodes!$B$11:J99,3)</f>
        <v>31</v>
      </c>
      <c r="E44" s="50">
        <f>VLOOKUP($B44,[39]TrtCodes!$B$11:K99,4)</f>
        <v>8</v>
      </c>
      <c r="F44" s="50">
        <f>VLOOKUP($B44,[39]TrtCodes!$B$11:L99,5)</f>
        <v>0</v>
      </c>
      <c r="G44" s="50">
        <f>VLOOKUP($B44,[39]TrtCodes!$B$11:M99,6)</f>
        <v>1</v>
      </c>
      <c r="H44" s="50">
        <f>VLOOKUP($B44,[39]TrtCodes!$B$11:N99,7)</f>
        <v>1</v>
      </c>
      <c r="I44" s="50">
        <f>[39]FormattedData!B56</f>
        <v>1</v>
      </c>
      <c r="J44" s="48">
        <f>[39]FormattedData!C56</f>
        <v>13.25</v>
      </c>
      <c r="K44" s="47">
        <f>$J$3+[39]FormattedData!D56*$J$4+$M$4*$J$5+[39]FormattedData!D56^2*$J$6+$M$5*$J$7</f>
        <v>59.892697503064724</v>
      </c>
      <c r="L44" s="47">
        <f>$J$3+[39]FormattedData!E56*$J$4+$M$4*$J$5+[39]FormattedData!E56^2*$J$6+$M$5*$J$7</f>
        <v>59.892697503064724</v>
      </c>
      <c r="M44" s="47">
        <f>$J$3+[39]FormattedData!F56*$J$4+$M$4*$J$5+[39]FormattedData!F56^2*$J$6+$M$5*$J$7</f>
        <v>59.809367342180089</v>
      </c>
      <c r="N44" s="47">
        <f>$J$3+[39]FormattedData!G56*$J$4+$M$4*$J$5+[39]FormattedData!G56^2*$J$6+$M$5*$J$7</f>
        <v>59.642580214797064</v>
      </c>
      <c r="O44" s="47">
        <f>$J$3+[39]FormattedData!H56*$J$4+$M$4*$J$5+[39]FormattedData!H56^2*$J$6+$M$5*$J$7</f>
        <v>59.892697503064724</v>
      </c>
      <c r="P44" s="47">
        <f>$J$3+[39]FormattedData!I56*$J$4+$M$4*$J$5+[39]FormattedData!I56^2*$J$6+$M$5*$J$7</f>
        <v>59.809367342180089</v>
      </c>
      <c r="Q44" s="47">
        <f>$J$3+[39]FormattedData!J56*$J$4+$M$4*$J$5+[39]FormattedData!J56^2*$J$6+$M$5*$J$7</f>
        <v>59.809367342180089</v>
      </c>
      <c r="R44" s="47">
        <f>$J$3+[39]FormattedData!K56*$J$4+$M$4*$J$5+[39]FormattedData!K56^2*$J$6+$M$5*$J$7</f>
        <v>59.642580214797064</v>
      </c>
      <c r="S44" s="47">
        <f>$J$3+[39]FormattedData!L56*$J$4+$M$4*$J$5+[39]FormattedData!L56^2*$J$6+$M$5*$J$7</f>
        <v>59.475624013262298</v>
      </c>
      <c r="T44" s="47">
        <f>$J$3+[39]FormattedData!M56*$J$4+$M$4*$J$5+[39]FormattedData!M56^2*$J$6+$M$5*$J$7</f>
        <v>59.642580214797064</v>
      </c>
      <c r="U44" s="47">
        <f>$J$3+[39]FormattedData!N56*$J$4+$M$4*$J$5+[39]FormattedData!N56^2*$J$6+$M$5*$J$7</f>
        <v>59.057493810011614</v>
      </c>
      <c r="V44" s="47">
        <f>$J$3+[39]FormattedData!O56*$J$4+$M$4*$J$5+[39]FormattedData!O56^2*$J$6+$M$5*$J$7</f>
        <v>59.224872696925686</v>
      </c>
      <c r="W44" s="49">
        <f>AVERAGE(K44:V44)</f>
        <v>59.649327141693767</v>
      </c>
      <c r="X44" s="48">
        <f>STDEV(K44:V44)/SQRT(COUNT(K44:V44))</f>
        <v>7.8589054088074789E-2</v>
      </c>
      <c r="Y44" s="47">
        <f>MIN(K44:V44)</f>
        <v>59.057493810011614</v>
      </c>
      <c r="Z44" s="46">
        <f>QUARTILE(K44:V44,1)</f>
        <v>59.600841164413374</v>
      </c>
      <c r="AA44" s="47">
        <f>MEDIAN(K44:V44)</f>
        <v>59.72597377848858</v>
      </c>
      <c r="AB44" s="46">
        <f>QUARTILE(K44:V44,3)</f>
        <v>59.830199882401246</v>
      </c>
      <c r="AC44" s="46">
        <f>MAX(K44:V44)</f>
        <v>59.892697503064724</v>
      </c>
      <c r="AD44" s="46">
        <f>SKEW(K44:V44)</f>
        <v>-1.2623014503263423</v>
      </c>
      <c r="AE44" s="46">
        <f>KURT(K44:V44)</f>
        <v>0.80172192734699621</v>
      </c>
    </row>
    <row r="45" spans="2:31" x14ac:dyDescent="0.2">
      <c r="B45" s="34">
        <f>[39]FormattedData!A54</f>
        <v>904</v>
      </c>
      <c r="C45" s="34" t="str">
        <f>VLOOKUP($B45,[39]TrtCodes!$B$11:I97,2)</f>
        <v>Early</v>
      </c>
      <c r="D45" s="34">
        <f>VLOOKUP($B45,[39]TrtCodes!$B$11:J97,3)</f>
        <v>21</v>
      </c>
      <c r="E45" s="34">
        <f>VLOOKUP($B45,[39]TrtCodes!$B$11:K97,4)</f>
        <v>3</v>
      </c>
      <c r="F45" s="34">
        <f>VLOOKUP($B45,[39]TrtCodes!$B$11:L97,5)</f>
        <v>2</v>
      </c>
      <c r="G45" s="34">
        <f>VLOOKUP($B45,[39]TrtCodes!$B$11:M97,6)</f>
        <v>2</v>
      </c>
      <c r="H45" s="34">
        <f>VLOOKUP($B45,[39]TrtCodes!$B$11:N97,7)</f>
        <v>1</v>
      </c>
      <c r="I45" s="34">
        <f>[39]FormattedData!B54</f>
        <v>1</v>
      </c>
      <c r="J45" s="37">
        <f>[39]FormattedData!C54</f>
        <v>13.233000000000001</v>
      </c>
      <c r="K45" s="39">
        <f>$J$3+[39]FormattedData!D54*$J$4+$M$4*$J$5+[39]FormattedData!D54^2*$J$6+$M$5*$J$7</f>
        <v>55.759811819111341</v>
      </c>
      <c r="L45" s="39">
        <f>$J$3+[39]FormattedData!E54*$J$4+$M$4*$J$5+[39]FormattedData!E54^2*$J$6+$M$5*$J$7</f>
        <v>52.832454315061632</v>
      </c>
      <c r="M45" s="39">
        <f>$J$3+[39]FormattedData!F54*$J$4+$M$4*$J$5+[39]FormattedData!F54^2*$J$6+$M$5*$J$7</f>
        <v>53.612098276650862</v>
      </c>
      <c r="N45" s="39">
        <f>$J$3+[39]FormattedData!G54*$J$4+$M$4*$J$5+[39]FormattedData!G54^2*$J$6+$M$5*$J$7</f>
        <v>49.414433796671403</v>
      </c>
      <c r="O45" s="39">
        <f>$J$3+[39]FormattedData!H54*$J$4+$M$4*$J$5+[39]FormattedData!H54^2*$J$6+$M$5*$J$7</f>
        <v>55.246769875582906</v>
      </c>
      <c r="P45" s="39">
        <f>$J$3+[39]FormattedData!I54*$J$4+$M$4*$J$5+[39]FormattedData!I54^2*$J$6+$M$5*$J$7</f>
        <v>54.90389654247199</v>
      </c>
      <c r="Q45" s="39">
        <f>$J$3+[39]FormattedData!J54*$J$4+$M$4*$J$5+[39]FormattedData!J54^2*$J$6+$M$5*$J$7</f>
        <v>54.732206264688941</v>
      </c>
      <c r="R45" s="39">
        <f>$J$3+[39]FormattedData!K54*$J$4+$M$4*$J$5+[39]FormattedData!K54^2*$J$6+$M$5*$J$7</f>
        <v>53.612098276650862</v>
      </c>
      <c r="S45" s="39">
        <f>$J$3+[39]FormattedData!L54*$J$4+$M$4*$J$5+[39]FormattedData!L54^2*$J$6+$M$5*$J$7</f>
        <v>54.129958833503458</v>
      </c>
      <c r="T45" s="39">
        <f>$J$3+[39]FormattedData!M54*$J$4+$M$4*$J$5+[39]FormattedData!M54^2*$J$6+$M$5*$J$7</f>
        <v>54.732206264688941</v>
      </c>
      <c r="U45" s="39">
        <f>$J$3+[39]FormattedData!N54*$J$4+$M$4*$J$5+[39]FormattedData!N54^2*$J$6+$M$5*$J$7</f>
        <v>55.674410499868102</v>
      </c>
      <c r="V45" s="39">
        <f>$J$3+[39]FormattedData!O54*$J$4+$M$4*$J$5+[39]FormattedData!O54^2*$J$6+$M$5*$J$7</f>
        <v>55.075417746103312</v>
      </c>
      <c r="W45" s="38">
        <f>AVERAGE(K45:V45)</f>
        <v>54.143813542587814</v>
      </c>
      <c r="X45" s="37">
        <f>STDEV(K45:V45)/SQRT(COUNT(K45:V45))</f>
        <v>0.4997047969699252</v>
      </c>
      <c r="Y45" s="36">
        <f>MIN(K45:V45)</f>
        <v>49.414433796671403</v>
      </c>
      <c r="Z45" s="35">
        <f>QUARTILE(K45:V45,1)</f>
        <v>53.612098276650862</v>
      </c>
      <c r="AA45" s="36">
        <f>MEDIAN(K45:V45)</f>
        <v>54.732206264688941</v>
      </c>
      <c r="AB45" s="35">
        <f>QUARTILE(K45:V45,3)</f>
        <v>55.118255778473213</v>
      </c>
      <c r="AC45" s="35">
        <f>MAX(K45:V45)</f>
        <v>55.759811819111341</v>
      </c>
      <c r="AD45" s="35">
        <f>SKEW(K45:V45)</f>
        <v>-2.0513405778378302</v>
      </c>
      <c r="AE45" s="35">
        <f>KURT(K45:V45)</f>
        <v>5.0665312586470534</v>
      </c>
    </row>
    <row r="46" spans="2:31" x14ac:dyDescent="0.2">
      <c r="B46" s="50">
        <f>[39]FormattedData!A52</f>
        <v>905</v>
      </c>
      <c r="C46" s="50" t="str">
        <f>VLOOKUP($B46,[39]TrtCodes!$B$11:I95,2)</f>
        <v>WS</v>
      </c>
      <c r="D46" s="50">
        <f>VLOOKUP($B46,[39]TrtCodes!$B$11:J95,3)</f>
        <v>32</v>
      </c>
      <c r="E46" s="50">
        <f>VLOOKUP($B46,[39]TrtCodes!$B$11:K95,4)</f>
        <v>9</v>
      </c>
      <c r="F46" s="50">
        <f>VLOOKUP($B46,[39]TrtCodes!$B$11:L95,5)</f>
        <v>0</v>
      </c>
      <c r="G46" s="50">
        <f>VLOOKUP($B46,[39]TrtCodes!$B$11:M95,6)</f>
        <v>1</v>
      </c>
      <c r="H46" s="50">
        <f>VLOOKUP($B46,[39]TrtCodes!$B$11:N95,7)</f>
        <v>2</v>
      </c>
      <c r="I46" s="50">
        <f>[39]FormattedData!B52</f>
        <v>1</v>
      </c>
      <c r="J46" s="48">
        <f>[39]FormattedData!C52</f>
        <v>13.226000000000001</v>
      </c>
      <c r="K46" s="47">
        <f>$J$3+[39]FormattedData!D52*$J$4+$M$4*$J$5+[39]FormattedData!D52^2*$J$6+$M$5*$J$7</f>
        <v>34.051233532867364</v>
      </c>
      <c r="L46" s="47">
        <f>$J$3+[39]FormattedData!E52*$J$4+$M$4*$J$5+[39]FormattedData!E52^2*$J$6+$M$5*$J$7</f>
        <v>34.909243363780945</v>
      </c>
      <c r="M46" s="47">
        <f>$J$3+[39]FormattedData!F52*$J$4+$M$4*$J$5+[39]FormattedData!F52^2*$J$6+$M$5*$J$7</f>
        <v>34.623620503651132</v>
      </c>
      <c r="N46" s="47">
        <f>$J$3+[39]FormattedData!G52*$J$4+$M$4*$J$5+[39]FormattedData!G52^2*$J$6+$M$5*$J$7</f>
        <v>33.860099727636005</v>
      </c>
      <c r="O46" s="47">
        <f>$J$3+[39]FormattedData!H52*$J$4+$M$4*$J$5+[39]FormattedData!H52^2*$J$6+$M$5*$J$7</f>
        <v>34.051233532867364</v>
      </c>
      <c r="P46" s="47">
        <f>$J$3+[39]FormattedData!I52*$J$4+$M$4*$J$5+[39]FormattedData!I52^2*$J$6+$M$5*$J$7</f>
        <v>34.24219826394701</v>
      </c>
      <c r="Q46" s="47">
        <f>$J$3+[39]FormattedData!J52*$J$4+$M$4*$J$5+[39]FormattedData!J52^2*$J$6+$M$5*$J$7</f>
        <v>34.337617226679939</v>
      </c>
      <c r="R46" s="47">
        <f>$J$3+[39]FormattedData!K52*$J$4+$M$4*$J$5+[39]FormattedData!K52^2*$J$6+$M$5*$J$7</f>
        <v>34.24219826394701</v>
      </c>
      <c r="S46" s="47">
        <f>$J$3+[39]FormattedData!L52*$J$4+$M$4*$J$5+[39]FormattedData!L52^2*$J$6+$M$5*$J$7</f>
        <v>33.955687764520654</v>
      </c>
      <c r="T46" s="47">
        <f>$J$3+[39]FormattedData!M52*$J$4+$M$4*$J$5+[39]FormattedData!M52^2*$J$6+$M$5*$J$7</f>
        <v>33.764469422213416</v>
      </c>
      <c r="U46" s="47">
        <f>$J$3+[39]FormattedData!N52*$J$4+$M$4*$J$5+[39]FormattedData!N52^2*$J$6+$M$5*$J$7</f>
        <v>33.477324894718087</v>
      </c>
      <c r="V46" s="47">
        <f>$J$3+[39]FormattedData!O52*$J$4+$M$4*$J$5+[39]FormattedData!O52^2*$J$6+$M$5*$J$7</f>
        <v>32.99790531146725</v>
      </c>
      <c r="W46" s="49">
        <f>AVERAGE(K46:V46)</f>
        <v>34.042735984024681</v>
      </c>
      <c r="X46" s="48">
        <f>STDEV(K46:V46)/SQRT(COUNT(K46:V46))</f>
        <v>0.14524425975191418</v>
      </c>
      <c r="Y46" s="47">
        <f>MIN(K46:V46)</f>
        <v>32.99790531146725</v>
      </c>
      <c r="Z46" s="46">
        <f>QUARTILE(K46:V46,1)</f>
        <v>33.836192151280358</v>
      </c>
      <c r="AA46" s="47">
        <f>MEDIAN(K46:V46)</f>
        <v>34.051233532867364</v>
      </c>
      <c r="AB46" s="46">
        <f>QUARTILE(K46:V46,3)</f>
        <v>34.266053004630244</v>
      </c>
      <c r="AC46" s="46">
        <f>MAX(K46:V46)</f>
        <v>34.909243363780945</v>
      </c>
      <c r="AD46" s="46">
        <f>SKEW(K46:V46)</f>
        <v>-0.39530378892606471</v>
      </c>
      <c r="AE46" s="46">
        <f>KURT(K46:V46)</f>
        <v>0.85841460222224431</v>
      </c>
    </row>
    <row r="47" spans="2:31" x14ac:dyDescent="0.2">
      <c r="B47" s="34">
        <f>[39]FormattedData!A50</f>
        <v>906</v>
      </c>
      <c r="C47" s="34" t="str">
        <f>VLOOKUP($B47,[39]TrtCodes!$B$11:I93,2)</f>
        <v>Late</v>
      </c>
      <c r="D47" s="34">
        <f>VLOOKUP($B47,[39]TrtCodes!$B$11:J93,3)</f>
        <v>22</v>
      </c>
      <c r="E47" s="34">
        <f>VLOOKUP($B47,[39]TrtCodes!$B$11:K93,4)</f>
        <v>4</v>
      </c>
      <c r="F47" s="34">
        <f>VLOOKUP($B47,[39]TrtCodes!$B$11:L93,5)</f>
        <v>2</v>
      </c>
      <c r="G47" s="34">
        <f>VLOOKUP($B47,[39]TrtCodes!$B$11:M93,6)</f>
        <v>2</v>
      </c>
      <c r="H47" s="34">
        <f>VLOOKUP($B47,[39]TrtCodes!$B$11:N93,7)</f>
        <v>2</v>
      </c>
      <c r="I47" s="34">
        <f>[39]FormattedData!B50</f>
        <v>1</v>
      </c>
      <c r="J47" s="37">
        <f>[39]FormattedData!C50</f>
        <v>13.209</v>
      </c>
      <c r="K47" s="39">
        <f>$J$3+[39]FormattedData!D50*$J$4+$M$4*$J$5+[39]FormattedData!D50^2*$J$6+$M$5*$J$7</f>
        <v>55.332382537515805</v>
      </c>
      <c r="L47" s="39">
        <f>$J$3+[39]FormattedData!E50*$J$4+$M$4*$J$5+[39]FormattedData!E50^2*$J$6+$M$5*$J$7</f>
        <v>55.246769875582906</v>
      </c>
      <c r="M47" s="39">
        <f>$J$3+[39]FormattedData!F50*$J$4+$M$4*$J$5+[39]FormattedData!F50^2*$J$6+$M$5*$J$7</f>
        <v>53.871218763497851</v>
      </c>
      <c r="N47" s="39">
        <f>$J$3+[39]FormattedData!G50*$J$4+$M$4*$J$5+[39]FormattedData!G50^2*$J$6+$M$5*$J$7</f>
        <v>53.439139942729888</v>
      </c>
      <c r="O47" s="39">
        <f>$J$3+[39]FormattedData!H50*$J$4+$M$4*$J$5+[39]FormattedData!H50^2*$J$6+$M$5*$J$7</f>
        <v>57.205167159943045</v>
      </c>
      <c r="P47" s="39">
        <f>$J$3+[39]FormattedData!I50*$J$4+$M$4*$J$5+[39]FormattedData!I50^2*$J$6+$M$5*$J$7</f>
        <v>55.503481055767814</v>
      </c>
      <c r="Q47" s="39">
        <f>$J$3+[39]FormattedData!J50*$J$4+$M$4*$J$5+[39]FormattedData!J50^2*$J$6+$M$5*$J$7</f>
        <v>55.588966912086924</v>
      </c>
      <c r="R47" s="39">
        <f>$J$3+[39]FormattedData!K50*$J$4+$M$4*$J$5+[39]FormattedData!K50^2*$J$6+$M$5*$J$7</f>
        <v>54.818072537849432</v>
      </c>
      <c r="S47" s="39">
        <f>$J$3+[39]FormattedData!L50*$J$4+$M$4*$J$5+[39]FormattedData!L50^2*$J$6+$M$5*$J$7</f>
        <v>55.246769875582906</v>
      </c>
      <c r="T47" s="39">
        <f>$J$3+[39]FormattedData!M50*$J$4+$M$4*$J$5+[39]FormattedData!M50^2*$J$6+$M$5*$J$7</f>
        <v>54.818072537849432</v>
      </c>
      <c r="U47" s="39">
        <f>$J$3+[39]FormattedData!N50*$J$4+$M$4*$J$5+[39]FormattedData!N50^2*$J$6+$M$5*$J$7</f>
        <v>57.205167159943045</v>
      </c>
      <c r="V47" s="39">
        <f>$J$3+[39]FormattedData!O50*$J$4+$M$4*$J$5+[39]FormattedData!O50^2*$J$6+$M$5*$J$7</f>
        <v>49.591280836082042</v>
      </c>
      <c r="W47" s="38">
        <f>AVERAGE(K47:V47)</f>
        <v>54.822207432869256</v>
      </c>
      <c r="X47" s="37">
        <f>STDEV(K47:V47)/SQRT(COUNT(K47:V47))</f>
        <v>0.57214187905933689</v>
      </c>
      <c r="Y47" s="36">
        <f>MIN(K47:V47)</f>
        <v>49.591280836082042</v>
      </c>
      <c r="Z47" s="35">
        <f>QUARTILE(K47:V47,1)</f>
        <v>54.581359094261536</v>
      </c>
      <c r="AA47" s="36">
        <f>MEDIAN(K47:V47)</f>
        <v>55.246769875582906</v>
      </c>
      <c r="AB47" s="35">
        <f>QUARTILE(K47:V47,3)</f>
        <v>55.524852519847592</v>
      </c>
      <c r="AC47" s="35">
        <f>MAX(K47:V47)</f>
        <v>57.205167159943045</v>
      </c>
      <c r="AD47" s="35">
        <f>SKEW(K47:V47)</f>
        <v>-1.6607410020637994</v>
      </c>
      <c r="AE47" s="35">
        <f>KURT(K47:V47)</f>
        <v>4.3239134311960257</v>
      </c>
    </row>
    <row r="48" spans="2:31" x14ac:dyDescent="0.2">
      <c r="B48" s="50">
        <f>[39]FormattedData!A48</f>
        <v>907</v>
      </c>
      <c r="C48" s="50" t="str">
        <f>VLOOKUP($B48,[39]TrtCodes!$B$11:I91,2)</f>
        <v>DS</v>
      </c>
      <c r="D48" s="50">
        <f>VLOOKUP($B48,[39]TrtCodes!$B$11:J91,3)</f>
        <v>31</v>
      </c>
      <c r="E48" s="50">
        <f>VLOOKUP($B48,[39]TrtCodes!$B$11:K91,4)</f>
        <v>8</v>
      </c>
      <c r="F48" s="50">
        <f>VLOOKUP($B48,[39]TrtCodes!$B$11:L91,5)</f>
        <v>0</v>
      </c>
      <c r="G48" s="50">
        <f>VLOOKUP($B48,[39]TrtCodes!$B$11:M91,6)</f>
        <v>1</v>
      </c>
      <c r="H48" s="50">
        <f>VLOOKUP($B48,[39]TrtCodes!$B$11:N91,7)</f>
        <v>2</v>
      </c>
      <c r="I48" s="50">
        <f>[39]FormattedData!B48</f>
        <v>1</v>
      </c>
      <c r="J48" s="48">
        <f>[39]FormattedData!C48</f>
        <v>13.202</v>
      </c>
      <c r="K48" s="47">
        <f>$J$3+[39]FormattedData!D48*$J$4+$M$4*$J$5+[39]FormattedData!D48^2*$J$6+$M$5*$J$7</f>
        <v>59.975985395411392</v>
      </c>
      <c r="L48" s="47">
        <f>$J$3+[39]FormattedData!E48*$J$4+$M$4*$J$5+[39]FormattedData!E48^2*$J$6+$M$5*$J$7</f>
        <v>59.975985395411392</v>
      </c>
      <c r="M48" s="47">
        <f>$J$3+[39]FormattedData!F48*$J$4+$M$4*$J$5+[39]FormattedData!F48^2*$J$6+$M$5*$J$7</f>
        <v>60.557817122776143</v>
      </c>
      <c r="N48" s="47">
        <f>$J$3+[39]FormattedData!G48*$J$4+$M$4*$J$5+[39]FormattedData!G48^2*$J$6+$M$5*$J$7</f>
        <v>61.302843151799777</v>
      </c>
      <c r="O48" s="47">
        <f>$J$3+[39]FormattedData!H48*$J$4+$M$4*$J$5+[39]FormattedData!H48^2*$J$6+$M$5*$J$7</f>
        <v>59.725994912757542</v>
      </c>
      <c r="P48" s="47">
        <f>$J$3+[39]FormattedData!I48*$J$4+$M$4*$J$5+[39]FormattedData!I48^2*$J$6+$M$5*$J$7</f>
        <v>59.725994912757542</v>
      </c>
      <c r="Q48" s="47">
        <f>$J$3+[39]FormattedData!J48*$J$4+$M$4*$J$5+[39]FormattedData!J48^2*$J$6+$M$5*$J$7</f>
        <v>60.059231019220164</v>
      </c>
      <c r="R48" s="47">
        <f>$J$3+[39]FormattedData!K48*$J$4+$M$4*$J$5+[39]FormattedData!K48^2*$J$6+$M$5*$J$7</f>
        <v>59.725994912757542</v>
      </c>
      <c r="S48" s="47">
        <f>$J$3+[39]FormattedData!L48*$J$4+$M$4*$J$5+[39]FormattedData!L48^2*$J$6+$M$5*$J$7</f>
        <v>59.392082509688024</v>
      </c>
      <c r="T48" s="47">
        <f>$J$3+[39]FormattedData!M48*$J$4+$M$4*$J$5+[39]FormattedData!M48^2*$J$6+$M$5*$J$7</f>
        <v>59.975985395411392</v>
      </c>
      <c r="U48" s="47">
        <f>$J$3+[39]FormattedData!N48*$J$4+$M$4*$J$5+[39]FormattedData!N48^2*$J$6+$M$5*$J$7</f>
        <v>59.725994912757542</v>
      </c>
      <c r="V48" s="47">
        <f>$J$3+[39]FormattedData!O48*$J$4+$M$4*$J$5+[39]FormattedData!O48^2*$J$6+$M$5*$J$7</f>
        <v>60.640766866819384</v>
      </c>
      <c r="W48" s="49">
        <f>AVERAGE(K48:V48)</f>
        <v>60.065389708963984</v>
      </c>
      <c r="X48" s="48">
        <f>STDEV(K48:V48)/SQRT(COUNT(K48:V48))</f>
        <v>0.15183099340024084</v>
      </c>
      <c r="Y48" s="47">
        <f>MIN(K48:V48)</f>
        <v>59.392082509688024</v>
      </c>
      <c r="Z48" s="46">
        <f>QUARTILE(K48:V48,1)</f>
        <v>59.725994912757542</v>
      </c>
      <c r="AA48" s="47">
        <f>MEDIAN(K48:V48)</f>
        <v>59.975985395411392</v>
      </c>
      <c r="AB48" s="46">
        <f>QUARTILE(K48:V48,3)</f>
        <v>60.183877545109155</v>
      </c>
      <c r="AC48" s="46">
        <f>MAX(K48:V48)</f>
        <v>61.302843151799777</v>
      </c>
      <c r="AD48" s="46">
        <f>SKEW(K48:V48)</f>
        <v>1.3053943476827767</v>
      </c>
      <c r="AE48" s="46">
        <f>KURT(K48:V48)</f>
        <v>1.6746678477338568</v>
      </c>
    </row>
    <row r="49" spans="2:31" ht="13.5" thickBot="1" x14ac:dyDescent="0.25">
      <c r="B49" s="45">
        <f>[39]FormattedData!A46</f>
        <v>908</v>
      </c>
      <c r="C49" s="45" t="str">
        <f>VLOOKUP($B49,[39]TrtCodes!$B$11:I89,2)</f>
        <v>Early</v>
      </c>
      <c r="D49" s="45">
        <f>VLOOKUP($B49,[39]TrtCodes!$B$11:J89,3)</f>
        <v>21</v>
      </c>
      <c r="E49" s="45">
        <f>VLOOKUP($B49,[39]TrtCodes!$B$11:K89,4)</f>
        <v>3</v>
      </c>
      <c r="F49" s="45">
        <f>VLOOKUP($B49,[39]TrtCodes!$B$11:L89,5)</f>
        <v>2</v>
      </c>
      <c r="G49" s="45">
        <f>VLOOKUP($B49,[39]TrtCodes!$B$11:M89,6)</f>
        <v>2</v>
      </c>
      <c r="H49" s="45">
        <f>VLOOKUP($B49,[39]TrtCodes!$B$11:N89,7)</f>
        <v>2</v>
      </c>
      <c r="I49" s="45">
        <f>[39]FormattedData!B46</f>
        <v>1</v>
      </c>
      <c r="J49" s="42">
        <f>[39]FormattedData!C46</f>
        <v>13.183999999999999</v>
      </c>
      <c r="K49" s="44">
        <f>$J$3+[39]FormattedData!D46*$J$4+$M$4*$J$5+[39]FormattedData!D46^2*$J$6+$M$5*$J$7</f>
        <v>54.818072537849432</v>
      </c>
      <c r="L49" s="44">
        <f>$J$3+[39]FormattedData!E46*$J$4+$M$4*$J$5+[39]FormattedData!E46^2*$J$6+$M$5*$J$7</f>
        <v>52.310789589795242</v>
      </c>
      <c r="M49" s="44">
        <f>$J$3+[39]FormattedData!F46*$J$4+$M$4*$J$5+[39]FormattedData!F46^2*$J$6+$M$5*$J$7</f>
        <v>54.732206264688941</v>
      </c>
      <c r="N49" s="44">
        <f>$J$3+[39]FormattedData!G46*$J$4+$M$4*$J$5+[39]FormattedData!G46^2*$J$6+$M$5*$J$7</f>
        <v>52.919250496056613</v>
      </c>
      <c r="O49" s="44">
        <f>$J$3+[39]FormattedData!H46*$J$4+$M$4*$J$5+[39]FormattedData!H46^2*$J$6+$M$5*$J$7</f>
        <v>55.845170869816656</v>
      </c>
      <c r="P49" s="44">
        <f>$J$3+[39]FormattedData!I46*$J$4+$M$4*$J$5+[39]FormattedData!I46^2*$J$6+$M$5*$J$7</f>
        <v>54.818072537849432</v>
      </c>
      <c r="Q49" s="44">
        <f>$J$3+[39]FormattedData!J46*$J$4+$M$4*$J$5+[39]FormattedData!J46^2*$J$6+$M$5*$J$7</f>
        <v>53.612098276650862</v>
      </c>
      <c r="R49" s="44">
        <f>$J$3+[39]FormattedData!K46*$J$4+$M$4*$J$5+[39]FormattedData!K46^2*$J$6+$M$5*$J$7</f>
        <v>54.98967827855661</v>
      </c>
      <c r="S49" s="44">
        <f>$J$3+[39]FormattedData!L46*$J$4+$M$4*$J$5+[39]FormattedData!L46^2*$J$6+$M$5*$J$7</f>
        <v>53.525640243959351</v>
      </c>
      <c r="T49" s="44">
        <f>$J$3+[39]FormattedData!M46*$J$4+$M$4*$J$5+[39]FormattedData!M46^2*$J$6+$M$5*$J$7</f>
        <v>54.90389654247199</v>
      </c>
      <c r="U49" s="44">
        <f>$J$3+[39]FormattedData!N46*$J$4+$M$4*$J$5+[39]FormattedData!N46^2*$J$6+$M$5*$J$7</f>
        <v>54.56034691275417</v>
      </c>
      <c r="V49" s="44">
        <f>$J$3+[39]FormattedData!O46*$J$4+$M$4*$J$5+[39]FormattedData!O46^2*$J$6+$M$5*$J$7</f>
        <v>52.832454315061632</v>
      </c>
      <c r="W49" s="43">
        <f>AVERAGE(K49:V49)</f>
        <v>54.15563973879258</v>
      </c>
      <c r="X49" s="42">
        <f>STDEV(K49:V49)/SQRT(COUNT(K49:V49))</f>
        <v>0.31211839775515732</v>
      </c>
      <c r="Y49" s="41">
        <f>MIN(K49:V49)</f>
        <v>52.310789589795242</v>
      </c>
      <c r="Z49" s="40">
        <f>QUARTILE(K49:V49,1)</f>
        <v>53.374042806983667</v>
      </c>
      <c r="AA49" s="41">
        <f>MEDIAN(K49:V49)</f>
        <v>54.646276588721555</v>
      </c>
      <c r="AB49" s="40">
        <f>QUARTILE(K49:V49,3)</f>
        <v>54.839528539005073</v>
      </c>
      <c r="AC49" s="40">
        <f>MAX(K49:V49)</f>
        <v>55.845170869816656</v>
      </c>
      <c r="AD49" s="40">
        <f>SKEW(K49:V49)</f>
        <v>-0.36551780300998588</v>
      </c>
      <c r="AE49" s="40">
        <f>KURT(K49:V49)</f>
        <v>-0.95483310506355767</v>
      </c>
    </row>
    <row r="50" spans="2:31" ht="13.5" thickTop="1" x14ac:dyDescent="0.2">
      <c r="B50" s="34">
        <f>[39]FormattedData!A29</f>
        <v>101</v>
      </c>
      <c r="C50" s="34" t="str">
        <f>VLOOKUP($B50,[39]TrtCodes!$B$11:I72,2)</f>
        <v>FSH</v>
      </c>
      <c r="D50" s="34">
        <f>VLOOKUP($B50,[39]TrtCodes!$B$11:J72,3)</f>
        <v>1</v>
      </c>
      <c r="E50" s="34">
        <f>VLOOKUP($B50,[39]TrtCodes!$B$11:K72,4)</f>
        <v>1</v>
      </c>
      <c r="F50" s="34">
        <f>VLOOKUP($B50,[39]TrtCodes!$B$11:L72,5)</f>
        <v>1</v>
      </c>
      <c r="G50" s="34">
        <f>VLOOKUP($B50,[39]TrtCodes!$B$11:M72,6)</f>
        <v>2</v>
      </c>
      <c r="H50" s="34">
        <f>VLOOKUP($B50,[39]TrtCodes!$B$11:N72,7)</f>
        <v>1</v>
      </c>
      <c r="I50" s="34">
        <f>[39]FormattedData!B29</f>
        <v>2</v>
      </c>
      <c r="J50" s="37">
        <f>[39]FormattedData!C29</f>
        <v>13.013999999999999</v>
      </c>
      <c r="K50" s="39">
        <f>$J$3+[39]FormattedData!D29*$J$4+$M$4*$J$5+[39]FormattedData!D29^2*$J$6+$M$5*$J$7</f>
        <v>32.709746339061567</v>
      </c>
      <c r="L50" s="39">
        <f>$J$3+[39]FormattedData!E29*$J$4+$M$4*$J$5+[39]FormattedData!E29^2*$J$6+$M$5*$J$7</f>
        <v>30.487889257776629</v>
      </c>
      <c r="M50" s="39">
        <f>$J$3+[39]FormattedData!F29*$J$4+$M$4*$J$5+[39]FormattedData!F29^2*$J$6+$M$5*$J$7</f>
        <v>37.368706246105916</v>
      </c>
      <c r="N50" s="39">
        <f>$J$3+[39]FormattedData!G29*$J$4+$M$4*$J$5+[39]FormattedData!G29^2*$J$6+$M$5*$J$7</f>
        <v>35.004366446748342</v>
      </c>
      <c r="O50" s="39">
        <f>$J$3+[39]FormattedData!H29*$J$4+$M$4*$J$5+[39]FormattedData!H29^2*$J$6+$M$5*$J$7</f>
        <v>31.746468976077118</v>
      </c>
      <c r="P50" s="39">
        <f>$J$3+[39]FormattedData!I29*$J$4+$M$4*$J$5+[39]FormattedData!I29^2*$J$6+$M$5*$J$7</f>
        <v>31.359974511821271</v>
      </c>
      <c r="Q50" s="39">
        <f>$J$3+[39]FormattedData!J29*$J$4+$M$4*$J$5+[39]FormattedData!J29^2*$J$6+$M$5*$J$7</f>
        <v>31.746468976077118</v>
      </c>
      <c r="R50" s="39">
        <f>$J$3+[39]FormattedData!K29*$J$4+$M$4*$J$5+[39]FormattedData!K29^2*$J$6+$M$5*$J$7</f>
        <v>31.746468976077118</v>
      </c>
      <c r="S50" s="39">
        <f>$J$3+[39]FormattedData!L29*$J$4+$M$4*$J$5+[39]FormattedData!L29^2*$J$6+$M$5*$J$7</f>
        <v>30.001918051146458</v>
      </c>
      <c r="T50" s="39">
        <f>$J$3+[39]FormattedData!M29*$J$4+$M$4*$J$5+[39]FormattedData!M29^2*$J$6+$M$5*$J$7</f>
        <v>29.904597004206636</v>
      </c>
      <c r="U50" s="39">
        <f>$J$3+[39]FormattedData!N29*$J$4+$M$4*$J$5+[39]FormattedData!N29^2*$J$6+$M$5*$J$7</f>
        <v>30.972803750958516</v>
      </c>
      <c r="V50" s="39">
        <f>$J$3+[39]FormattedData!O29*$J$4+$M$4*$J$5+[39]FormattedData!O29^2*$J$6+$M$5*$J$7</f>
        <v>30.875905389398003</v>
      </c>
      <c r="W50" s="38">
        <f>AVERAGE(K50:V50)</f>
        <v>31.993776160454559</v>
      </c>
      <c r="X50" s="37">
        <f>STDEV(K50:V50)/SQRT(COUNT(K50:V50))</f>
        <v>0.62730309607921086</v>
      </c>
      <c r="Y50" s="36">
        <f>MIN(K50:V50)</f>
        <v>29.904597004206636</v>
      </c>
      <c r="Z50" s="35">
        <f>QUARTILE(K50:V50,1)</f>
        <v>30.778901356492661</v>
      </c>
      <c r="AA50" s="36">
        <f>MEDIAN(K50:V50)</f>
        <v>31.553221743949194</v>
      </c>
      <c r="AB50" s="35">
        <f>QUARTILE(K50:V50,3)</f>
        <v>31.987288316823232</v>
      </c>
      <c r="AC50" s="35">
        <f>MAX(K50:V50)</f>
        <v>37.368706246105916</v>
      </c>
      <c r="AD50" s="35">
        <f>SKEW(K50:V50)</f>
        <v>1.6982116462811225</v>
      </c>
      <c r="AE50" s="35">
        <f>KURT(K50:V50)</f>
        <v>2.7492367691986033</v>
      </c>
    </row>
    <row r="51" spans="2:31" x14ac:dyDescent="0.2">
      <c r="B51" s="34">
        <f>[39]FormattedData!A27</f>
        <v>102</v>
      </c>
      <c r="C51" s="34" t="str">
        <f>VLOOKUP($B51,[39]TrtCodes!$B$11:I70,2)</f>
        <v>FTL</v>
      </c>
      <c r="D51" s="34">
        <f>VLOOKUP($B51,[39]TrtCodes!$B$11:J70,3)</f>
        <v>4</v>
      </c>
      <c r="E51" s="34">
        <f>VLOOKUP($B51,[39]TrtCodes!$B$11:K70,4)</f>
        <v>1</v>
      </c>
      <c r="F51" s="34">
        <f>VLOOKUP($B51,[39]TrtCodes!$B$11:L70,5)</f>
        <v>2</v>
      </c>
      <c r="G51" s="34">
        <f>VLOOKUP($B51,[39]TrtCodes!$B$11:M70,6)</f>
        <v>1</v>
      </c>
      <c r="H51" s="34">
        <f>VLOOKUP($B51,[39]TrtCodes!$B$11:N70,7)</f>
        <v>1</v>
      </c>
      <c r="I51" s="34">
        <f>[39]FormattedData!B27</f>
        <v>2</v>
      </c>
      <c r="J51" s="37">
        <f>[39]FormattedData!C27</f>
        <v>12.994999999999999</v>
      </c>
      <c r="K51" s="39">
        <f>$J$3+[39]FormattedData!D27*$J$4+$M$4*$J$5+[39]FormattedData!D27^2*$J$6+$M$5*$J$7</f>
        <v>30.778964759299555</v>
      </c>
      <c r="L51" s="39">
        <f>$J$3+[39]FormattedData!E27*$J$4+$M$4*$J$5+[39]FormattedData!E27^2*$J$6+$M$5*$J$7</f>
        <v>29.807233688728871</v>
      </c>
      <c r="M51" s="39">
        <f>$J$3+[39]FormattedData!F27*$J$4+$M$4*$J$5+[39]FormattedData!F27^2*$J$6+$M$5*$J$7</f>
        <v>29.319783083271115</v>
      </c>
      <c r="N51" s="39">
        <f>$J$3+[39]FormattedData!G27*$J$4+$M$4*$J$5+[39]FormattedData!G27^2*$J$6+$M$5*$J$7</f>
        <v>30.099196829548351</v>
      </c>
      <c r="O51" s="39">
        <f>$J$3+[39]FormattedData!H27*$J$4+$M$4*$J$5+[39]FormattedData!H27^2*$J$6+$M$5*$J$7</f>
        <v>30.001918051146458</v>
      </c>
      <c r="P51" s="39">
        <f>$J$3+[39]FormattedData!I27*$J$4+$M$4*$J$5+[39]FormattedData!I27^2*$J$6+$M$5*$J$7</f>
        <v>30.584956693488866</v>
      </c>
      <c r="Q51" s="39">
        <f>$J$3+[39]FormattedData!J27*$J$4+$M$4*$J$5+[39]FormattedData!J27^2*$J$6+$M$5*$J$7</f>
        <v>30.972803750958516</v>
      </c>
      <c r="R51" s="39">
        <f>$J$3+[39]FormattedData!K27*$J$4+$M$4*$J$5+[39]FormattedData!K27^2*$J$6+$M$5*$J$7</f>
        <v>32.324942616322964</v>
      </c>
      <c r="S51" s="39">
        <f>$J$3+[39]FormattedData!L27*$J$4+$M$4*$J$5+[39]FormattedData!L27^2*$J$6+$M$5*$J$7</f>
        <v>35.479347833516414</v>
      </c>
      <c r="T51" s="39">
        <f>$J$3+[39]FormattedData!M27*$J$4+$M$4*$J$5+[39]FormattedData!M27^2*$J$6+$M$5*$J$7</f>
        <v>31.939462596977464</v>
      </c>
      <c r="U51" s="39">
        <f>$J$3+[39]FormattedData!N27*$J$4+$M$4*$J$5+[39]FormattedData!N27^2*$J$6+$M$5*$J$7</f>
        <v>32.517429014768133</v>
      </c>
      <c r="V51" s="39">
        <f>$J$3+[39]FormattedData!O27*$J$4+$M$4*$J$5+[39]FormattedData!O27^2*$J$6+$M$5*$J$7</f>
        <v>32.99790531146725</v>
      </c>
      <c r="W51" s="38">
        <f>AVERAGE(K51:V51)</f>
        <v>31.401995352457831</v>
      </c>
      <c r="X51" s="37">
        <f>STDEV(K51:V51)/SQRT(COUNT(K51:V51))</f>
        <v>0.50251582711344189</v>
      </c>
      <c r="Y51" s="36">
        <f>MIN(K51:V51)</f>
        <v>29.319783083271115</v>
      </c>
      <c r="Z51" s="35">
        <f>QUARTILE(K51:V51,1)</f>
        <v>30.074877134947876</v>
      </c>
      <c r="AA51" s="36">
        <f>MEDIAN(K51:V51)</f>
        <v>30.875884255129037</v>
      </c>
      <c r="AB51" s="35">
        <f>QUARTILE(K51:V51,3)</f>
        <v>32.373064215934257</v>
      </c>
      <c r="AC51" s="35">
        <f>MAX(K51:V51)</f>
        <v>35.479347833516414</v>
      </c>
      <c r="AD51" s="35">
        <f>SKEW(K51:V51)</f>
        <v>1.1431020463516648</v>
      </c>
      <c r="AE51" s="35">
        <f>KURT(K51:V51)</f>
        <v>1.4210575231675886</v>
      </c>
    </row>
    <row r="52" spans="2:31" x14ac:dyDescent="0.2">
      <c r="B52" s="34">
        <f>[39]FormattedData!A25</f>
        <v>103</v>
      </c>
      <c r="C52" s="34" t="str">
        <f>VLOOKUP($B52,[39]TrtCodes!$B$11:I68,2)</f>
        <v>FDH</v>
      </c>
      <c r="D52" s="34">
        <f>VLOOKUP($B52,[39]TrtCodes!$B$11:J68,3)</f>
        <v>5</v>
      </c>
      <c r="E52" s="34">
        <f>VLOOKUP($B52,[39]TrtCodes!$B$11:K68,4)</f>
        <v>1</v>
      </c>
      <c r="F52" s="34">
        <f>VLOOKUP($B52,[39]TrtCodes!$B$11:L68,5)</f>
        <v>3</v>
      </c>
      <c r="G52" s="34">
        <f>VLOOKUP($B52,[39]TrtCodes!$B$11:M68,6)</f>
        <v>2</v>
      </c>
      <c r="H52" s="34">
        <f>VLOOKUP($B52,[39]TrtCodes!$B$11:N68,7)</f>
        <v>1</v>
      </c>
      <c r="I52" s="34">
        <f>[39]FormattedData!B25</f>
        <v>2</v>
      </c>
      <c r="J52" s="37">
        <f>[39]FormattedData!C25</f>
        <v>12.977</v>
      </c>
      <c r="K52" s="39">
        <f>$J$3+[39]FormattedData!D25*$J$4+$M$4*$J$5+[39]FormattedData!D25^2*$J$6+$M$5*$J$7</f>
        <v>33.381525515143785</v>
      </c>
      <c r="L52" s="39">
        <f>$J$3+[39]FormattedData!E25*$J$4+$M$4*$J$5+[39]FormattedData!E25^2*$J$6+$M$5*$J$7</f>
        <v>29.417357741438529</v>
      </c>
      <c r="M52" s="39">
        <f>$J$3+[39]FormattedData!F25*$J$4+$M$4*$J$5+[39]FormattedData!F25^2*$J$6+$M$5*$J$7</f>
        <v>30.584956693488866</v>
      </c>
      <c r="N52" s="39">
        <f>$J$3+[39]FormattedData!G25*$J$4+$M$4*$J$5+[39]FormattedData!G25^2*$J$6+$M$5*$J$7</f>
        <v>34.528328346531993</v>
      </c>
      <c r="O52" s="39">
        <f>$J$3+[39]FormattedData!H25*$J$4+$M$4*$J$5+[39]FormattedData!H25^2*$J$6+$M$5*$J$7</f>
        <v>27.752840031433863</v>
      </c>
      <c r="P52" s="39">
        <f>$J$3+[39]FormattedData!I25*$J$4+$M$4*$J$5+[39]FormattedData!I25^2*$J$6+$M$5*$J$7</f>
        <v>29.222166156565773</v>
      </c>
      <c r="Q52" s="39">
        <f>$J$3+[39]FormattedData!J25*$J$4+$M$4*$J$5+[39]FormattedData!J25^2*$J$6+$M$5*$J$7</f>
        <v>30.778964759299555</v>
      </c>
      <c r="R52" s="39">
        <f>$J$3+[39]FormattedData!K25*$J$4+$M$4*$J$5+[39]FormattedData!K25^2*$J$6+$M$5*$J$7</f>
        <v>29.417357741438529</v>
      </c>
      <c r="S52" s="39">
        <f>$J$3+[39]FormattedData!L25*$J$4+$M$4*$J$5+[39]FormattedData!L25^2*$J$6+$M$5*$J$7</f>
        <v>31.456661530692127</v>
      </c>
      <c r="T52" s="39">
        <f>$J$3+[39]FormattedData!M25*$J$4+$M$4*$J$5+[39]FormattedData!M25^2*$J$6+$M$5*$J$7</f>
        <v>30.196433339412323</v>
      </c>
      <c r="U52" s="39">
        <f>$J$3+[39]FormattedData!N25*$J$4+$M$4*$J$5+[39]FormattedData!N25^2*$J$6+$M$5*$J$7</f>
        <v>29.709828104713186</v>
      </c>
      <c r="V52" s="39">
        <f>$J$3+[39]FormattedData!O25*$J$4+$M$4*$J$5+[39]FormattedData!O25^2*$J$6+$M$5*$J$7</f>
        <v>29.222166156565773</v>
      </c>
      <c r="W52" s="38">
        <f>AVERAGE(K52:V52)</f>
        <v>30.472382176393694</v>
      </c>
      <c r="X52" s="37">
        <f>STDEV(K52:V52)/SQRT(COUNT(K52:V52))</f>
        <v>0.54630345456536211</v>
      </c>
      <c r="Y52" s="36">
        <f>MIN(K52:V52)</f>
        <v>27.752840031433863</v>
      </c>
      <c r="Z52" s="35">
        <f>QUARTILE(K52:V52,1)</f>
        <v>29.368559845220339</v>
      </c>
      <c r="AA52" s="36">
        <f>MEDIAN(K52:V52)</f>
        <v>29.953130722062753</v>
      </c>
      <c r="AB52" s="35">
        <f>QUARTILE(K52:V52,3)</f>
        <v>30.948388952147699</v>
      </c>
      <c r="AC52" s="35">
        <f>MAX(K52:V52)</f>
        <v>34.528328346531993</v>
      </c>
      <c r="AD52" s="35">
        <f>SKEW(K52:V52)</f>
        <v>1.0541604644655502</v>
      </c>
      <c r="AE52" s="35">
        <f>KURT(K52:V52)</f>
        <v>0.94970572642655071</v>
      </c>
    </row>
    <row r="53" spans="2:31" x14ac:dyDescent="0.2">
      <c r="B53" s="34">
        <f>[39]FormattedData!A23</f>
        <v>104</v>
      </c>
      <c r="C53" s="34" t="str">
        <f>VLOOKUP($B53,[39]TrtCodes!$B$11:I66,2)</f>
        <v>NTL</v>
      </c>
      <c r="D53" s="34">
        <f>VLOOKUP($B53,[39]TrtCodes!$B$11:J66,3)</f>
        <v>10</v>
      </c>
      <c r="E53" s="34">
        <f>VLOOKUP($B53,[39]TrtCodes!$B$11:K66,4)</f>
        <v>2</v>
      </c>
      <c r="F53" s="34">
        <f>VLOOKUP($B53,[39]TrtCodes!$B$11:L66,5)</f>
        <v>2</v>
      </c>
      <c r="G53" s="34">
        <f>VLOOKUP($B53,[39]TrtCodes!$B$11:M66,6)</f>
        <v>1</v>
      </c>
      <c r="H53" s="34">
        <f>VLOOKUP($B53,[39]TrtCodes!$B$11:N66,7)</f>
        <v>1</v>
      </c>
      <c r="I53" s="34">
        <f>[39]FormattedData!B23</f>
        <v>2</v>
      </c>
      <c r="J53" s="37">
        <f>[39]FormattedData!C23</f>
        <v>12.959</v>
      </c>
      <c r="K53" s="39">
        <f>$J$3+[39]FormattedData!D23*$J$4+$M$4*$J$5+[39]FormattedData!D23^2*$J$6+$M$5*$J$7</f>
        <v>30.293627580738352</v>
      </c>
      <c r="L53" s="39">
        <f>$J$3+[39]FormattedData!E23*$J$4+$M$4*$J$5+[39]FormattedData!E23^2*$J$6+$M$5*$J$7</f>
        <v>28.635576957037149</v>
      </c>
      <c r="M53" s="39">
        <f>$J$3+[39]FormattedData!F23*$J$4+$M$4*$J$5+[39]FormattedData!F23^2*$J$6+$M$5*$J$7</f>
        <v>32.324942616322964</v>
      </c>
      <c r="N53" s="39">
        <f>$J$3+[39]FormattedData!G23*$J$4+$M$4*$J$5+[39]FormattedData!G23^2*$J$6+$M$5*$J$7</f>
        <v>28.929061765222151</v>
      </c>
      <c r="O53" s="39">
        <f>$J$3+[39]FormattedData!H23*$J$4+$M$4*$J$5+[39]FormattedData!H23^2*$J$6+$M$5*$J$7</f>
        <v>28.341711732010765</v>
      </c>
      <c r="P53" s="39">
        <f>$J$3+[39]FormattedData!I23*$J$4+$M$4*$J$5+[39]FormattedData!I23^2*$J$6+$M$5*$J$7</f>
        <v>28.047466090143008</v>
      </c>
      <c r="Q53" s="39">
        <f>$J$3+[39]FormattedData!J23*$J$4+$M$4*$J$5+[39]FormattedData!J23^2*$J$6+$M$5*$J$7</f>
        <v>31.553306281025058</v>
      </c>
      <c r="R53" s="39">
        <f>$J$3+[39]FormattedData!K23*$J$4+$M$4*$J$5+[39]FormattedData!K23^2*$J$6+$M$5*$J$7</f>
        <v>28.733447494970079</v>
      </c>
      <c r="S53" s="39">
        <f>$J$3+[39]FormattedData!L23*$J$4+$M$4*$J$5+[39]FormattedData!L23^2*$J$6+$M$5*$J$7</f>
        <v>29.319783083271115</v>
      </c>
      <c r="T53" s="39">
        <f>$J$3+[39]FormattedData!M23*$J$4+$M$4*$J$5+[39]FormattedData!M23^2*$J$6+$M$5*$J$7</f>
        <v>30.875905389398003</v>
      </c>
      <c r="U53" s="39">
        <f>$J$3+[39]FormattedData!N23*$J$4+$M$4*$J$5+[39]FormattedData!N23^2*$J$6+$M$5*$J$7</f>
        <v>29.514890131068015</v>
      </c>
      <c r="V53" s="39">
        <f>$J$3+[39]FormattedData!O23*$J$4+$M$4*$J$5+[39]FormattedData!O23^2*$J$6+$M$5*$J$7</f>
        <v>30.001918051146458</v>
      </c>
      <c r="W53" s="38">
        <f>AVERAGE(K53:V53)</f>
        <v>29.714303097696089</v>
      </c>
      <c r="X53" s="37">
        <f>STDEV(K53:V53)/SQRT(COUNT(K53:V53))</f>
        <v>0.38499435746364102</v>
      </c>
      <c r="Y53" s="36">
        <f>MIN(K53:V53)</f>
        <v>28.047466090143008</v>
      </c>
      <c r="Z53" s="35">
        <f>QUARTILE(K53:V53,1)</f>
        <v>28.708979860486846</v>
      </c>
      <c r="AA53" s="36">
        <f>MEDIAN(K53:V53)</f>
        <v>29.417336607169567</v>
      </c>
      <c r="AB53" s="35">
        <f>QUARTILE(K53:V53,3)</f>
        <v>30.439197032903266</v>
      </c>
      <c r="AC53" s="35">
        <f>MAX(K53:V53)</f>
        <v>32.324942616322964</v>
      </c>
      <c r="AD53" s="35">
        <f>SKEW(K53:V53)</f>
        <v>0.72792139717259563</v>
      </c>
      <c r="AE53" s="35">
        <f>KURT(K53:V53)</f>
        <v>-0.35830249502434341</v>
      </c>
    </row>
    <row r="54" spans="2:31" x14ac:dyDescent="0.2">
      <c r="B54" s="34">
        <f>[39]FormattedData!A21</f>
        <v>105</v>
      </c>
      <c r="C54" s="34" t="str">
        <f>VLOOKUP($B54,[39]TrtCodes!$B$11:I64,2)</f>
        <v>NDL</v>
      </c>
      <c r="D54" s="34">
        <f>VLOOKUP($B54,[39]TrtCodes!$B$11:J64,3)</f>
        <v>12</v>
      </c>
      <c r="E54" s="34">
        <f>VLOOKUP($B54,[39]TrtCodes!$B$11:K64,4)</f>
        <v>2</v>
      </c>
      <c r="F54" s="34">
        <f>VLOOKUP($B54,[39]TrtCodes!$B$11:L64,5)</f>
        <v>3</v>
      </c>
      <c r="G54" s="34">
        <f>VLOOKUP($B54,[39]TrtCodes!$B$11:M64,6)</f>
        <v>1</v>
      </c>
      <c r="H54" s="34">
        <f>VLOOKUP($B54,[39]TrtCodes!$B$11:N64,7)</f>
        <v>2</v>
      </c>
      <c r="I54" s="34">
        <f>[39]FormattedData!B21</f>
        <v>2</v>
      </c>
      <c r="J54" s="37">
        <f>[39]FormattedData!C21</f>
        <v>12.941000000000001</v>
      </c>
      <c r="K54" s="39">
        <f>$J$3+[39]FormattedData!D21*$J$4+$M$4*$J$5+[39]FormattedData!D21^2*$J$6+$M$5*$J$7</f>
        <v>28.635576957037149</v>
      </c>
      <c r="L54" s="39">
        <f>$J$3+[39]FormattedData!E21*$J$4+$M$4*$J$5+[39]FormattedData!E21^2*$J$6+$M$5*$J$7</f>
        <v>27.45783355588334</v>
      </c>
      <c r="M54" s="39">
        <f>$J$3+[39]FormattedData!F21*$J$4+$M$4*$J$5+[39]FormattedData!F21^2*$J$6+$M$5*$J$7</f>
        <v>30.972803750958516</v>
      </c>
      <c r="N54" s="39">
        <f>$J$3+[39]FormattedData!G21*$J$4+$M$4*$J$5+[39]FormattedData!G21^2*$J$6+$M$5*$J$7</f>
        <v>28.24367211992611</v>
      </c>
      <c r="O54" s="39">
        <f>$J$3+[39]FormattedData!H21*$J$4+$M$4*$J$5+[39]FormattedData!H21^2*$J$6+$M$5*$J$7</f>
        <v>28.24367211992611</v>
      </c>
      <c r="P54" s="39">
        <f>$J$3+[39]FormattedData!I21*$J$4+$M$4*$J$5+[39]FormattedData!I21^2*$J$6+$M$5*$J$7</f>
        <v>29.904597004206636</v>
      </c>
      <c r="Q54" s="39">
        <f>$J$3+[39]FormattedData!J21*$J$4+$M$4*$J$5+[39]FormattedData!J21^2*$J$6+$M$5*$J$7</f>
        <v>30.584956693488866</v>
      </c>
      <c r="R54" s="39">
        <f>$J$3+[39]FormattedData!K21*$J$4+$M$4*$J$5+[39]FormattedData!K21^2*$J$6+$M$5*$J$7</f>
        <v>28.831275764365081</v>
      </c>
      <c r="S54" s="39">
        <f>$J$3+[39]FormattedData!L21*$J$4+$M$4*$J$5+[39]FormattedData!L21^2*$J$6+$M$5*$J$7</f>
        <v>28.439709075557495</v>
      </c>
      <c r="T54" s="39">
        <f>$J$3+[39]FormattedData!M21*$J$4+$M$4*$J$5+[39]FormattedData!M21^2*$J$6+$M$5*$J$7</f>
        <v>27.359413526957301</v>
      </c>
      <c r="U54" s="39">
        <f>$J$3+[39]FormattedData!N21*$J$4+$M$4*$J$5+[39]FormattedData!N21^2*$J$6+$M$5*$J$7</f>
        <v>28.537664150566286</v>
      </c>
      <c r="V54" s="39">
        <f>$J$3+[39]FormattedData!O21*$J$4+$M$4*$J$5+[39]FormattedData!O21^2*$J$6+$M$5*$J$7</f>
        <v>28.929061765222151</v>
      </c>
      <c r="W54" s="38">
        <f>AVERAGE(K54:V54)</f>
        <v>28.845019707007925</v>
      </c>
      <c r="X54" s="37">
        <f>STDEV(K54:V54)/SQRT(COUNT(K54:V54))</f>
        <v>0.32382609740361573</v>
      </c>
      <c r="Y54" s="36">
        <f>MIN(K54:V54)</f>
        <v>27.359413526957301</v>
      </c>
      <c r="Z54" s="35">
        <f>QUARTILE(K54:V54,1)</f>
        <v>28.24367211992611</v>
      </c>
      <c r="AA54" s="36">
        <f>MEDIAN(K54:V54)</f>
        <v>28.586620553801716</v>
      </c>
      <c r="AB54" s="35">
        <f>QUARTILE(K54:V54,3)</f>
        <v>29.172945574968274</v>
      </c>
      <c r="AC54" s="35">
        <f>MAX(K54:V54)</f>
        <v>30.972803750958516</v>
      </c>
      <c r="AD54" s="35">
        <f>SKEW(K54:V54)</f>
        <v>0.74216438450897249</v>
      </c>
      <c r="AE54" s="35">
        <f>KURT(K54:V54)</f>
        <v>-7.3047414974718006E-2</v>
      </c>
    </row>
    <row r="55" spans="2:31" x14ac:dyDescent="0.2">
      <c r="B55" s="34">
        <f>[39]FormattedData!A19</f>
        <v>106</v>
      </c>
      <c r="C55" s="34" t="str">
        <f>VLOOKUP($B55,[39]TrtCodes!$B$11:I62,2)</f>
        <v>NTH</v>
      </c>
      <c r="D55" s="34">
        <f>VLOOKUP($B55,[39]TrtCodes!$B$11:J62,3)</f>
        <v>9</v>
      </c>
      <c r="E55" s="34">
        <f>VLOOKUP($B55,[39]TrtCodes!$B$11:K62,4)</f>
        <v>2</v>
      </c>
      <c r="F55" s="34">
        <f>VLOOKUP($B55,[39]TrtCodes!$B$11:L62,5)</f>
        <v>2</v>
      </c>
      <c r="G55" s="34">
        <f>VLOOKUP($B55,[39]TrtCodes!$B$11:M62,6)</f>
        <v>2</v>
      </c>
      <c r="H55" s="34">
        <f>VLOOKUP($B55,[39]TrtCodes!$B$11:N62,7)</f>
        <v>2</v>
      </c>
      <c r="I55" s="34">
        <f>[39]FormattedData!B19</f>
        <v>2</v>
      </c>
      <c r="J55" s="37">
        <f>[39]FormattedData!C19</f>
        <v>12.922000000000001</v>
      </c>
      <c r="K55" s="39">
        <f>$J$3+[39]FormattedData!D19*$J$4+$M$4*$J$5+[39]FormattedData!D19^2*$J$6+$M$5*$J$7</f>
        <v>32.99790531146725</v>
      </c>
      <c r="L55" s="39">
        <f>$J$3+[39]FormattedData!E19*$J$4+$M$4*$J$5+[39]FormattedData!E19^2*$J$6+$M$5*$J$7</f>
        <v>32.99790531146725</v>
      </c>
      <c r="M55" s="39">
        <f>$J$3+[39]FormattedData!F19*$J$4+$M$4*$J$5+[39]FormattedData!F19^2*$J$6+$M$5*$J$7</f>
        <v>36.047930635886374</v>
      </c>
      <c r="N55" s="39">
        <f>$J$3+[39]FormattedData!G19*$J$4+$M$4*$J$5+[39]FormattedData!G19^2*$J$6+$M$5*$J$7</f>
        <v>30.487889257776629</v>
      </c>
      <c r="O55" s="39">
        <f>$J$3+[39]FormattedData!H19*$J$4+$M$4*$J$5+[39]FormattedData!H19^2*$J$6+$M$5*$J$7</f>
        <v>28.733447494970079</v>
      </c>
      <c r="P55" s="39">
        <f>$J$3+[39]FormattedData!I19*$J$4+$M$4*$J$5+[39]FormattedData!I19^2*$J$6+$M$5*$J$7</f>
        <v>28.831275764365081</v>
      </c>
      <c r="Q55" s="39">
        <f>$J$3+[39]FormattedData!J19*$J$4+$M$4*$J$5+[39]FormattedData!J19^2*$J$6+$M$5*$J$7</f>
        <v>29.904597004206636</v>
      </c>
      <c r="R55" s="39">
        <f>$J$3+[39]FormattedData!K19*$J$4+$M$4*$J$5+[39]FormattedData!K19^2*$J$6+$M$5*$J$7</f>
        <v>29.417357741438529</v>
      </c>
      <c r="S55" s="39">
        <f>$J$3+[39]FormattedData!L19*$J$4+$M$4*$J$5+[39]FormattedData!L19^2*$J$6+$M$5*$J$7</f>
        <v>29.222166156565773</v>
      </c>
      <c r="T55" s="39">
        <f>$J$3+[39]FormattedData!M19*$J$4+$M$4*$J$5+[39]FormattedData!M19^2*$J$6+$M$5*$J$7</f>
        <v>30.001918051146458</v>
      </c>
      <c r="U55" s="39">
        <f>$J$3+[39]FormattedData!N19*$J$4+$M$4*$J$5+[39]FormattedData!N19^2*$J$6+$M$5*$J$7</f>
        <v>29.124506961322496</v>
      </c>
      <c r="V55" s="39">
        <f>$J$3+[39]FormattedData!O19*$J$4+$M$4*$J$5+[39]FormattedData!O19^2*$J$6+$M$5*$J$7</f>
        <v>29.807233688728871</v>
      </c>
      <c r="W55" s="38">
        <f>AVERAGE(K55:V55)</f>
        <v>30.631177781611779</v>
      </c>
      <c r="X55" s="37">
        <f>STDEV(K55:V55)/SQRT(COUNT(K55:V55))</f>
        <v>0.64395246220098035</v>
      </c>
      <c r="Y55" s="36">
        <f>MIN(K55:V55)</f>
        <v>28.733447494970079</v>
      </c>
      <c r="Z55" s="35">
        <f>QUARTILE(K55:V55,1)</f>
        <v>29.197751357754953</v>
      </c>
      <c r="AA55" s="36">
        <f>MEDIAN(K55:V55)</f>
        <v>29.855915346467754</v>
      </c>
      <c r="AB55" s="35">
        <f>QUARTILE(K55:V55,3)</f>
        <v>31.115393271199284</v>
      </c>
      <c r="AC55" s="35">
        <f>MAX(K55:V55)</f>
        <v>36.047930635886374</v>
      </c>
      <c r="AD55" s="35">
        <f>SKEW(K55:V55)</f>
        <v>1.6076430731878739</v>
      </c>
      <c r="AE55" s="35">
        <f>KURT(K55:V55)</f>
        <v>2.071299670296094</v>
      </c>
    </row>
    <row r="56" spans="2:31" x14ac:dyDescent="0.2">
      <c r="B56" s="34">
        <f>[39]FormattedData!A17</f>
        <v>107</v>
      </c>
      <c r="C56" s="34" t="str">
        <f>VLOOKUP($B56,[39]TrtCodes!$B$11:I60,2)</f>
        <v>NTL</v>
      </c>
      <c r="D56" s="34">
        <f>VLOOKUP($B56,[39]TrtCodes!$B$11:J60,3)</f>
        <v>10</v>
      </c>
      <c r="E56" s="34">
        <f>VLOOKUP($B56,[39]TrtCodes!$B$11:K60,4)</f>
        <v>2</v>
      </c>
      <c r="F56" s="34">
        <f>VLOOKUP($B56,[39]TrtCodes!$B$11:L60,5)</f>
        <v>2</v>
      </c>
      <c r="G56" s="34">
        <f>VLOOKUP($B56,[39]TrtCodes!$B$11:M60,6)</f>
        <v>1</v>
      </c>
      <c r="H56" s="34">
        <f>VLOOKUP($B56,[39]TrtCodes!$B$11:N60,7)</f>
        <v>2</v>
      </c>
      <c r="I56" s="34">
        <f>[39]FormattedData!B17</f>
        <v>2</v>
      </c>
      <c r="J56" s="37">
        <f>[39]FormattedData!C17</f>
        <v>12.904999999999999</v>
      </c>
      <c r="K56" s="39">
        <f>$J$3+[39]FormattedData!D17*$J$4+$M$4*$J$5+[39]FormattedData!D17^2*$J$6+$M$5*$J$7</f>
        <v>33.573082005754458</v>
      </c>
      <c r="L56" s="39">
        <f>$J$3+[39]FormattedData!E17*$J$4+$M$4*$J$5+[39]FormattedData!E17^2*$J$6+$M$5*$J$7</f>
        <v>31.456661530692127</v>
      </c>
      <c r="M56" s="39">
        <f>$J$3+[39]FormattedData!F17*$J$4+$M$4*$J$5+[39]FormattedData!F17^2*$J$6+$M$5*$J$7</f>
        <v>31.069659843981096</v>
      </c>
      <c r="N56" s="39">
        <f>$J$3+[39]FormattedData!G17*$J$4+$M$4*$J$5+[39]FormattedData!G17^2*$J$6+$M$5*$J$7</f>
        <v>29.319783083271115</v>
      </c>
      <c r="O56" s="39">
        <f>$J$3+[39]FormattedData!H17*$J$4+$M$4*$J$5+[39]FormattedData!H17^2*$J$6+$M$5*$J$7</f>
        <v>29.904597004206636</v>
      </c>
      <c r="P56" s="39">
        <f>$J$3+[39]FormattedData!I17*$J$4+$M$4*$J$5+[39]FormattedData!I17^2*$J$6+$M$5*$J$7</f>
        <v>30.778964759299555</v>
      </c>
      <c r="Q56" s="39">
        <f>$J$3+[39]FormattedData!J17*$J$4+$M$4*$J$5+[39]FormattedData!J17^2*$J$6+$M$5*$J$7</f>
        <v>32.901894589203287</v>
      </c>
      <c r="R56" s="39">
        <f>$J$3+[39]FormattedData!K17*$J$4+$M$4*$J$5+[39]FormattedData!K17^2*$J$6+$M$5*$J$7</f>
        <v>29.904597004206636</v>
      </c>
      <c r="S56" s="39">
        <f>$J$3+[39]FormattedData!L17*$J$4+$M$4*$J$5+[39]FormattedData!L17^2*$J$6+$M$5*$J$7</f>
        <v>31.166473668465756</v>
      </c>
      <c r="T56" s="39">
        <f>$J$3+[39]FormattedData!M17*$J$4+$M$4*$J$5+[39]FormattedData!M17^2*$J$6+$M$5*$J$7</f>
        <v>30.681981860663178</v>
      </c>
      <c r="U56" s="39">
        <f>$J$3+[39]FormattedData!N17*$J$4+$M$4*$J$5+[39]FormattedData!N17^2*$J$6+$M$5*$J$7</f>
        <v>29.709828104713186</v>
      </c>
      <c r="V56" s="39">
        <f>$J$3+[39]FormattedData!O17*$J$4+$M$4*$J$5+[39]FormattedData!O17^2*$J$6+$M$5*$J$7</f>
        <v>31.939462596977464</v>
      </c>
      <c r="W56" s="38">
        <f>AVERAGE(K56:V56)</f>
        <v>31.033915504286217</v>
      </c>
      <c r="X56" s="37">
        <f>STDEV(K56:V56)/SQRT(COUNT(K56:V56))</f>
        <v>0.37320607850240289</v>
      </c>
      <c r="Y56" s="36">
        <f>MIN(K56:V56)</f>
        <v>29.319783083271115</v>
      </c>
      <c r="Z56" s="35">
        <f>QUARTILE(K56:V56,1)</f>
        <v>29.904597004206636</v>
      </c>
      <c r="AA56" s="36">
        <f>MEDIAN(K56:V56)</f>
        <v>30.924312301640327</v>
      </c>
      <c r="AB56" s="35">
        <f>QUARTILE(K56:V56,3)</f>
        <v>31.57736179726346</v>
      </c>
      <c r="AC56" s="35">
        <f>MAX(K56:V56)</f>
        <v>33.573082005754458</v>
      </c>
      <c r="AD56" s="35">
        <f>SKEW(K56:V56)</f>
        <v>0.67705520807394703</v>
      </c>
      <c r="AE56" s="35">
        <f>KURT(K56:V56)</f>
        <v>-0.117091284530908</v>
      </c>
    </row>
    <row r="57" spans="2:31" x14ac:dyDescent="0.2">
      <c r="B57" s="34">
        <f>[39]FormattedData!A15</f>
        <v>108</v>
      </c>
      <c r="C57" s="34" t="str">
        <f>VLOOKUP($B57,[39]TrtCodes!$B$11:I58,2)</f>
        <v>FTH</v>
      </c>
      <c r="D57" s="34">
        <f>VLOOKUP($B57,[39]TrtCodes!$B$11:J58,3)</f>
        <v>3</v>
      </c>
      <c r="E57" s="34">
        <f>VLOOKUP($B57,[39]TrtCodes!$B$11:K58,4)</f>
        <v>1</v>
      </c>
      <c r="F57" s="34">
        <f>VLOOKUP($B57,[39]TrtCodes!$B$11:L58,5)</f>
        <v>2</v>
      </c>
      <c r="G57" s="34">
        <f>VLOOKUP($B57,[39]TrtCodes!$B$11:M58,6)</f>
        <v>2</v>
      </c>
      <c r="H57" s="34">
        <f>VLOOKUP($B57,[39]TrtCodes!$B$11:N58,7)</f>
        <v>2</v>
      </c>
      <c r="I57" s="34">
        <f>[39]FormattedData!B15</f>
        <v>2</v>
      </c>
      <c r="J57" s="37">
        <f>[39]FormattedData!C15</f>
        <v>12.888999999999999</v>
      </c>
      <c r="K57" s="39">
        <f>$J$3+[39]FormattedData!D15*$J$4+$M$4*$J$5+[39]FormattedData!D15^2*$J$6+$M$5*$J$7</f>
        <v>33.764469422213416</v>
      </c>
      <c r="L57" s="39">
        <f>$J$3+[39]FormattedData!E15*$J$4+$M$4*$J$5+[39]FormattedData!E15^2*$J$6+$M$5*$J$7</f>
        <v>30.778964759299555</v>
      </c>
      <c r="M57" s="39">
        <f>$J$3+[39]FormattedData!F15*$J$4+$M$4*$J$5+[39]FormattedData!F15^2*$J$6+$M$5*$J$7</f>
        <v>30.875905389398003</v>
      </c>
      <c r="N57" s="39">
        <f>$J$3+[39]FormattedData!G15*$J$4+$M$4*$J$5+[39]FormattedData!G15^2*$J$6+$M$5*$J$7</f>
        <v>34.051233532867364</v>
      </c>
      <c r="O57" s="39">
        <f>$J$3+[39]FormattedData!H15*$J$4+$M$4*$J$5+[39]FormattedData!H15^2*$J$6+$M$5*$J$7</f>
        <v>33.285683867031544</v>
      </c>
      <c r="P57" s="39">
        <f>$J$3+[39]FormattedData!I15*$J$4+$M$4*$J$5+[39]FormattedData!I15^2*$J$6+$M$5*$J$7</f>
        <v>30.875905389398003</v>
      </c>
      <c r="Q57" s="39">
        <f>$J$3+[39]FormattedData!J15*$J$4+$M$4*$J$5+[39]FormattedData!J15^2*$J$6+$M$5*$J$7</f>
        <v>34.432993920874942</v>
      </c>
      <c r="R57" s="39">
        <f>$J$3+[39]FormattedData!K15*$J$4+$M$4*$J$5+[39]FormattedData!K15^2*$J$6+$M$5*$J$7</f>
        <v>30.487889257776629</v>
      </c>
      <c r="S57" s="39">
        <f>$J$3+[39]FormattedData!L15*$J$4+$M$4*$J$5+[39]FormattedData!L15^2*$J$6+$M$5*$J$7</f>
        <v>30.972803750958516</v>
      </c>
      <c r="T57" s="39">
        <f>$J$3+[39]FormattedData!M15*$J$4+$M$4*$J$5+[39]FormattedData!M15^2*$J$6+$M$5*$J$7</f>
        <v>30.972803750958516</v>
      </c>
      <c r="U57" s="39">
        <f>$J$3+[39]FormattedData!N15*$J$4+$M$4*$J$5+[39]FormattedData!N15^2*$J$6+$M$5*$J$7</f>
        <v>30.681981860663178</v>
      </c>
      <c r="V57" s="39">
        <f>$J$3+[39]FormattedData!O15*$J$4+$M$4*$J$5+[39]FormattedData!O15^2*$J$6+$M$5*$J$7</f>
        <v>29.807233688728871</v>
      </c>
      <c r="W57" s="38">
        <f>AVERAGE(K57:V57)</f>
        <v>31.748989049180711</v>
      </c>
      <c r="X57" s="37">
        <f>STDEV(K57:V57)/SQRT(COUNT(K57:V57))</f>
        <v>0.46950585989320581</v>
      </c>
      <c r="Y57" s="36">
        <f>MIN(K57:V57)</f>
        <v>29.807233688728871</v>
      </c>
      <c r="Z57" s="35">
        <f>QUARTILE(K57:V57,1)</f>
        <v>30.754719034640459</v>
      </c>
      <c r="AA57" s="36">
        <f>MEDIAN(K57:V57)</f>
        <v>30.924354570178259</v>
      </c>
      <c r="AB57" s="35">
        <f>QUARTILE(K57:V57,3)</f>
        <v>33.405380255827012</v>
      </c>
      <c r="AC57" s="35">
        <f>MAX(K57:V57)</f>
        <v>34.432993920874942</v>
      </c>
      <c r="AD57" s="35">
        <f>SKEW(K57:V57)</f>
        <v>0.75140258939881166</v>
      </c>
      <c r="AE57" s="35">
        <f>KURT(K57:V57)</f>
        <v>-1.2660693220033035</v>
      </c>
    </row>
    <row r="58" spans="2:31" x14ac:dyDescent="0.2">
      <c r="B58" s="34">
        <f>[39]FormattedData!A31</f>
        <v>201</v>
      </c>
      <c r="C58" s="34" t="str">
        <f>VLOOKUP($B58,[39]TrtCodes!$B$11:I74,2)</f>
        <v>NDL</v>
      </c>
      <c r="D58" s="34">
        <f>VLOOKUP($B58,[39]TrtCodes!$B$11:J74,3)</f>
        <v>12</v>
      </c>
      <c r="E58" s="34">
        <f>VLOOKUP($B58,[39]TrtCodes!$B$11:K74,4)</f>
        <v>2</v>
      </c>
      <c r="F58" s="34">
        <f>VLOOKUP($B58,[39]TrtCodes!$B$11:L74,5)</f>
        <v>3</v>
      </c>
      <c r="G58" s="34">
        <f>VLOOKUP($B58,[39]TrtCodes!$B$11:M74,6)</f>
        <v>1</v>
      </c>
      <c r="H58" s="34">
        <f>VLOOKUP($B58,[39]TrtCodes!$B$11:N74,7)</f>
        <v>1</v>
      </c>
      <c r="I58" s="34">
        <f>[39]FormattedData!B31</f>
        <v>2</v>
      </c>
      <c r="J58" s="37">
        <f>[39]FormattedData!C31</f>
        <v>13.037000000000001</v>
      </c>
      <c r="K58" s="39">
        <f>$J$3+[39]FormattedData!D31*$J$4+$M$4*$J$5+[39]FormattedData!D31^2*$J$6+$M$5*$J$7</f>
        <v>28.439709075557495</v>
      </c>
      <c r="L58" s="39">
        <f>$J$3+[39]FormattedData!E31*$J$4+$M$4*$J$5+[39]FormattedData!E31^2*$J$6+$M$5*$J$7</f>
        <v>28.733447494970079</v>
      </c>
      <c r="M58" s="39">
        <f>$J$3+[39]FormattedData!F31*$J$4+$M$4*$J$5+[39]FormattedData!F31^2*$J$6+$M$5*$J$7</f>
        <v>27.752840031433863</v>
      </c>
      <c r="N58" s="39">
        <f>$J$3+[39]FormattedData!G31*$J$4+$M$4*$J$5+[39]FormattedData!G31^2*$J$6+$M$5*$J$7</f>
        <v>29.124506961322496</v>
      </c>
      <c r="O58" s="39">
        <f>$J$3+[39]FormattedData!H31*$J$4+$M$4*$J$5+[39]FormattedData!H31^2*$J$6+$M$5*$J$7</f>
        <v>30.681981860663178</v>
      </c>
      <c r="P58" s="39">
        <f>$J$3+[39]FormattedData!I31*$J$4+$M$4*$J$5+[39]FormattedData!I31^2*$J$6+$M$5*$J$7</f>
        <v>27.260951229493337</v>
      </c>
      <c r="Q58" s="39">
        <f>$J$3+[39]FormattedData!J31*$J$4+$M$4*$J$5+[39]FormattedData!J31^2*$J$6+$M$5*$J$7</f>
        <v>28.341711732010765</v>
      </c>
      <c r="R58" s="39">
        <f>$J$3+[39]FormattedData!K31*$J$4+$M$4*$J$5+[39]FormattedData!K31^2*$J$6+$M$5*$J$7</f>
        <v>30.001918051146458</v>
      </c>
      <c r="S58" s="39">
        <f>$J$3+[39]FormattedData!L31*$J$4+$M$4*$J$5+[39]FormattedData!L31^2*$J$6+$M$5*$J$7</f>
        <v>31.842986920796257</v>
      </c>
      <c r="T58" s="39">
        <f>$J$3+[39]FormattedData!M31*$J$4+$M$4*$J$5+[39]FormattedData!M31^2*$J$6+$M$5*$J$7</f>
        <v>28.047466090143008</v>
      </c>
      <c r="U58" s="39">
        <f>$J$3+[39]FormattedData!N31*$J$4+$M$4*$J$5+[39]FormattedData!N31^2*$J$6+$M$5*$J$7</f>
        <v>27.851090986208174</v>
      </c>
      <c r="V58" s="39">
        <f>$J$3+[39]FormattedData!O31*$J$4+$M$4*$J$5+[39]FormattedData!O31^2*$J$6+$M$5*$J$7</f>
        <v>29.222166156565773</v>
      </c>
      <c r="W58" s="38">
        <f>AVERAGE(K58:V58)</f>
        <v>28.941731382525912</v>
      </c>
      <c r="X58" s="37">
        <f>STDEV(K58:V58)/SQRT(COUNT(K58:V58))</f>
        <v>0.38499237873508751</v>
      </c>
      <c r="Y58" s="36">
        <f>MIN(K58:V58)</f>
        <v>27.260951229493337</v>
      </c>
      <c r="Z58" s="35">
        <f>QUARTILE(K58:V58,1)</f>
        <v>27.998372314159298</v>
      </c>
      <c r="AA58" s="36">
        <f>MEDIAN(K58:V58)</f>
        <v>28.586578285263787</v>
      </c>
      <c r="AB58" s="35">
        <f>QUARTILE(K58:V58,3)</f>
        <v>29.417104130210944</v>
      </c>
      <c r="AC58" s="35">
        <f>MAX(K58:V58)</f>
        <v>31.842986920796257</v>
      </c>
      <c r="AD58" s="35">
        <f>SKEW(K58:V58)</f>
        <v>1.0172020845588563</v>
      </c>
      <c r="AE58" s="35">
        <f>KURT(K58:V58)</f>
        <v>0.62497008907900931</v>
      </c>
    </row>
    <row r="59" spans="2:31" x14ac:dyDescent="0.2">
      <c r="B59" s="34">
        <f>[39]FormattedData!A33</f>
        <v>202</v>
      </c>
      <c r="C59" s="34" t="str">
        <f>VLOOKUP($B59,[39]TrtCodes!$B$11:I76,2)</f>
        <v>NTH</v>
      </c>
      <c r="D59" s="34">
        <f>VLOOKUP($B59,[39]TrtCodes!$B$11:J76,3)</f>
        <v>9</v>
      </c>
      <c r="E59" s="34">
        <f>VLOOKUP($B59,[39]TrtCodes!$B$11:K76,4)</f>
        <v>2</v>
      </c>
      <c r="F59" s="34">
        <f>VLOOKUP($B59,[39]TrtCodes!$B$11:L76,5)</f>
        <v>2</v>
      </c>
      <c r="G59" s="34">
        <f>VLOOKUP($B59,[39]TrtCodes!$B$11:M76,6)</f>
        <v>2</v>
      </c>
      <c r="H59" s="34">
        <f>VLOOKUP($B59,[39]TrtCodes!$B$11:N76,7)</f>
        <v>1</v>
      </c>
      <c r="I59" s="34">
        <f>[39]FormattedData!B33</f>
        <v>2</v>
      </c>
      <c r="J59" s="37">
        <f>[39]FormattedData!C33</f>
        <v>13.054</v>
      </c>
      <c r="K59" s="39">
        <f>$J$3+[39]FormattedData!D33*$J$4+$M$4*$J$5+[39]FormattedData!D33^2*$J$6+$M$5*$J$7</f>
        <v>36.520587253068229</v>
      </c>
      <c r="L59" s="39">
        <f>$J$3+[39]FormattedData!E33*$J$4+$M$4*$J$5+[39]FormattedData!E33^2*$J$6+$M$5*$J$7</f>
        <v>32.517429014768133</v>
      </c>
      <c r="M59" s="39">
        <f>$J$3+[39]FormattedData!F33*$J$4+$M$4*$J$5+[39]FormattedData!F33^2*$J$6+$M$5*$J$7</f>
        <v>30.196433339412323</v>
      </c>
      <c r="N59" s="39">
        <f>$J$3+[39]FormattedData!G33*$J$4+$M$4*$J$5+[39]FormattedData!G33^2*$J$6+$M$5*$J$7</f>
        <v>31.649908762820054</v>
      </c>
      <c r="O59" s="39">
        <f>$J$3+[39]FormattedData!H33*$J$4+$M$4*$J$5+[39]FormattedData!H33^2*$J$6+$M$5*$J$7</f>
        <v>31.746468976077118</v>
      </c>
      <c r="P59" s="39">
        <f>$J$3+[39]FormattedData!I33*$J$4+$M$4*$J$5+[39]FormattedData!I33^2*$J$6+$M$5*$J$7</f>
        <v>38.307045171710989</v>
      </c>
      <c r="Q59" s="39">
        <f>$J$3+[39]FormattedData!J33*$J$4+$M$4*$J$5+[39]FormattedData!J33^2*$J$6+$M$5*$J$7</f>
        <v>34.051233532867364</v>
      </c>
      <c r="R59" s="39">
        <f>$J$3+[39]FormattedData!K33*$J$4+$M$4*$J$5+[39]FormattedData!K33^2*$J$6+$M$5*$J$7</f>
        <v>29.417357741438529</v>
      </c>
      <c r="S59" s="39">
        <f>$J$3+[39]FormattedData!L33*$J$4+$M$4*$J$5+[39]FormattedData!L33^2*$J$6+$M$5*$J$7</f>
        <v>30.487889257776629</v>
      </c>
      <c r="T59" s="39">
        <f>$J$3+[39]FormattedData!M33*$J$4+$M$4*$J$5+[39]FormattedData!M33^2*$J$6+$M$5*$J$7</f>
        <v>30.196433339412323</v>
      </c>
      <c r="U59" s="39">
        <f>$J$3+[39]FormattedData!N33*$J$4+$M$4*$J$5+[39]FormattedData!N33^2*$J$6+$M$5*$J$7</f>
        <v>32.421206949814518</v>
      </c>
      <c r="V59" s="39">
        <f>$J$3+[39]FormattedData!O33*$J$4+$M$4*$J$5+[39]FormattedData!O33^2*$J$6+$M$5*$J$7</f>
        <v>33.477324894718087</v>
      </c>
      <c r="W59" s="38">
        <f>AVERAGE(K59:V59)</f>
        <v>32.582443186157029</v>
      </c>
      <c r="X59" s="37">
        <f>STDEV(K59:V59)/SQRT(COUNT(K59:V59))</f>
        <v>0.77179400535900844</v>
      </c>
      <c r="Y59" s="36">
        <f>MIN(K59:V59)</f>
        <v>29.417357741438529</v>
      </c>
      <c r="Z59" s="35">
        <f>QUARTILE(K59:V59,1)</f>
        <v>30.415025278185553</v>
      </c>
      <c r="AA59" s="36">
        <f>MEDIAN(K59:V59)</f>
        <v>32.083837962945822</v>
      </c>
      <c r="AB59" s="35">
        <f>QUARTILE(K59:V59,3)</f>
        <v>33.620802054255407</v>
      </c>
      <c r="AC59" s="35">
        <f>MAX(K59:V59)</f>
        <v>38.307045171710989</v>
      </c>
      <c r="AD59" s="35">
        <f>SKEW(K59:V59)</f>
        <v>1.0452037870483593</v>
      </c>
      <c r="AE59" s="35">
        <f>KURT(K59:V59)</f>
        <v>0.60950647662888713</v>
      </c>
    </row>
    <row r="60" spans="2:31" x14ac:dyDescent="0.2">
      <c r="B60" s="34">
        <f>[39]FormattedData!A35</f>
        <v>203</v>
      </c>
      <c r="C60" s="34" t="str">
        <f>VLOOKUP($B60,[39]TrtCodes!$B$11:I78,2)</f>
        <v>FTH</v>
      </c>
      <c r="D60" s="34">
        <f>VLOOKUP($B60,[39]TrtCodes!$B$11:J78,3)</f>
        <v>3</v>
      </c>
      <c r="E60" s="34">
        <f>VLOOKUP($B60,[39]TrtCodes!$B$11:K78,4)</f>
        <v>1</v>
      </c>
      <c r="F60" s="34">
        <f>VLOOKUP($B60,[39]TrtCodes!$B$11:L78,5)</f>
        <v>2</v>
      </c>
      <c r="G60" s="34">
        <f>VLOOKUP($B60,[39]TrtCodes!$B$11:M78,6)</f>
        <v>2</v>
      </c>
      <c r="H60" s="34">
        <f>VLOOKUP($B60,[39]TrtCodes!$B$11:N78,7)</f>
        <v>1</v>
      </c>
      <c r="I60" s="34">
        <f>[39]FormattedData!B35</f>
        <v>2</v>
      </c>
      <c r="J60" s="37">
        <f>[39]FormattedData!C35</f>
        <v>13.071999999999999</v>
      </c>
      <c r="K60" s="39">
        <f>$J$3+[39]FormattedData!D35*$J$4+$M$4*$J$5+[39]FormattedData!D35^2*$J$6+$M$5*$J$7</f>
        <v>29.417357741438529</v>
      </c>
      <c r="L60" s="39">
        <f>$J$3+[39]FormattedData!E35*$J$4+$M$4*$J$5+[39]FormattedData!E35^2*$J$6+$M$5*$J$7</f>
        <v>29.319783083271115</v>
      </c>
      <c r="M60" s="39">
        <f>$J$3+[39]FormattedData!F35*$J$4+$M$4*$J$5+[39]FormattedData!F35^2*$J$6+$M$5*$J$7</f>
        <v>30.584956693488866</v>
      </c>
      <c r="N60" s="39">
        <f>$J$3+[39]FormattedData!G35*$J$4+$M$4*$J$5+[39]FormattedData!G35^2*$J$6+$M$5*$J$7</f>
        <v>30.099196829548351</v>
      </c>
      <c r="O60" s="39">
        <f>$J$3+[39]FormattedData!H35*$J$4+$M$4*$J$5+[39]FormattedData!H35^2*$J$6+$M$5*$J$7</f>
        <v>29.026805497541289</v>
      </c>
      <c r="P60" s="39">
        <f>$J$3+[39]FormattedData!I35*$J$4+$M$4*$J$5+[39]FormattedData!I35^2*$J$6+$M$5*$J$7</f>
        <v>29.807233688728871</v>
      </c>
      <c r="Q60" s="39">
        <f>$J$3+[39]FormattedData!J35*$J$4+$M$4*$J$5+[39]FormattedData!J35^2*$J$6+$M$5*$J$7</f>
        <v>30.099196829548351</v>
      </c>
      <c r="R60" s="39">
        <f>$J$3+[39]FormattedData!K35*$J$4+$M$4*$J$5+[39]FormattedData!K35^2*$J$6+$M$5*$J$7</f>
        <v>30.875905389398003</v>
      </c>
      <c r="S60" s="39">
        <f>$J$3+[39]FormattedData!L35*$J$4+$M$4*$J$5+[39]FormattedData!L35^2*$J$6+$M$5*$J$7</f>
        <v>28.537664150566286</v>
      </c>
      <c r="T60" s="39">
        <f>$J$3+[39]FormattedData!M35*$J$4+$M$4*$J$5+[39]FormattedData!M35^2*$J$6+$M$5*$J$7</f>
        <v>33.860099727636005</v>
      </c>
      <c r="U60" s="39">
        <f>$J$3+[39]FormattedData!N35*$J$4+$M$4*$J$5+[39]FormattedData!N35^2*$J$6+$M$5*$J$7</f>
        <v>28.145590239303523</v>
      </c>
      <c r="V60" s="39">
        <f>$J$3+[39]FormattedData!O35*$J$4+$M$4*$J$5+[39]FormattedData!O35^2*$J$6+$M$5*$J$7</f>
        <v>29.612380252159561</v>
      </c>
      <c r="W60" s="38">
        <f>AVERAGE(K60:V60)</f>
        <v>29.948847510219064</v>
      </c>
      <c r="X60" s="37">
        <f>STDEV(K60:V60)/SQRT(COUNT(K60:V60))</f>
        <v>0.42204390658104307</v>
      </c>
      <c r="Y60" s="36">
        <f>MIN(K60:V60)</f>
        <v>28.145590239303523</v>
      </c>
      <c r="Z60" s="35">
        <f>QUARTILE(K60:V60,1)</f>
        <v>29.246538686838658</v>
      </c>
      <c r="AA60" s="36">
        <f>MEDIAN(K60:V60)</f>
        <v>29.709806970444216</v>
      </c>
      <c r="AB60" s="35">
        <f>QUARTILE(K60:V60,3)</f>
        <v>30.22063679553348</v>
      </c>
      <c r="AC60" s="35">
        <f>MAX(K60:V60)</f>
        <v>33.860099727636005</v>
      </c>
      <c r="AD60" s="35">
        <f>SKEW(K60:V60)</f>
        <v>1.780279322549869</v>
      </c>
      <c r="AE60" s="35">
        <f>KURT(K60:V60)</f>
        <v>4.604438084129475</v>
      </c>
    </row>
    <row r="61" spans="2:31" x14ac:dyDescent="0.2">
      <c r="B61" s="34">
        <f>[39]FormattedData!A37</f>
        <v>204</v>
      </c>
      <c r="C61" s="34" t="str">
        <f>VLOOKUP($B61,[39]TrtCodes!$B$11:I80,2)</f>
        <v>NDH</v>
      </c>
      <c r="D61" s="34">
        <f>VLOOKUP($B61,[39]TrtCodes!$B$11:J80,3)</f>
        <v>11</v>
      </c>
      <c r="E61" s="34">
        <f>VLOOKUP($B61,[39]TrtCodes!$B$11:K80,4)</f>
        <v>2</v>
      </c>
      <c r="F61" s="34">
        <f>VLOOKUP($B61,[39]TrtCodes!$B$11:L80,5)</f>
        <v>3</v>
      </c>
      <c r="G61" s="34">
        <f>VLOOKUP($B61,[39]TrtCodes!$B$11:M80,6)</f>
        <v>2</v>
      </c>
      <c r="H61" s="34">
        <f>VLOOKUP($B61,[39]TrtCodes!$B$11:N80,7)</f>
        <v>1</v>
      </c>
      <c r="I61" s="34">
        <f>[39]FormattedData!B37</f>
        <v>2</v>
      </c>
      <c r="J61" s="37">
        <f>[39]FormattedData!C37</f>
        <v>13.09</v>
      </c>
      <c r="K61" s="39">
        <f>$J$3+[39]FormattedData!D37*$J$4+$M$4*$J$5+[39]FormattedData!D37^2*$J$6+$M$5*$J$7</f>
        <v>28.831275764365081</v>
      </c>
      <c r="L61" s="39">
        <f>$J$3+[39]FormattedData!E37*$J$4+$M$4*$J$5+[39]FormattedData!E37^2*$J$6+$M$5*$J$7</f>
        <v>29.026805497541289</v>
      </c>
      <c r="M61" s="39">
        <f>$J$3+[39]FormattedData!F37*$J$4+$M$4*$J$5+[39]FormattedData!F37^2*$J$6+$M$5*$J$7</f>
        <v>29.417357741438529</v>
      </c>
      <c r="N61" s="39">
        <f>$J$3+[39]FormattedData!G37*$J$4+$M$4*$J$5+[39]FormattedData!G37^2*$J$6+$M$5*$J$7</f>
        <v>29.026805497541289</v>
      </c>
      <c r="O61" s="39">
        <f>$J$3+[39]FormattedData!H37*$J$4+$M$4*$J$5+[39]FormattedData!H37^2*$J$6+$M$5*$J$7</f>
        <v>29.319783083271115</v>
      </c>
      <c r="P61" s="39">
        <f>$J$3+[39]FormattedData!I37*$J$4+$M$4*$J$5+[39]FormattedData!I37^2*$J$6+$M$5*$J$7</f>
        <v>27.063899828951612</v>
      </c>
      <c r="Q61" s="39">
        <f>$J$3+[39]FormattedData!J37*$J$4+$M$4*$J$5+[39]FormattedData!J37^2*$J$6+$M$5*$J$7</f>
        <v>29.514890131068015</v>
      </c>
      <c r="R61" s="39">
        <f>$J$3+[39]FormattedData!K37*$J$4+$M$4*$J$5+[39]FormattedData!K37^2*$J$6+$M$5*$J$7</f>
        <v>27.851090986208174</v>
      </c>
      <c r="S61" s="39">
        <f>$J$3+[39]FormattedData!L37*$J$4+$M$4*$J$5+[39]FormattedData!L37^2*$J$6+$M$5*$J$7</f>
        <v>28.439709075557495</v>
      </c>
      <c r="T61" s="39">
        <f>$J$3+[39]FormattedData!M37*$J$4+$M$4*$J$5+[39]FormattedData!M37^2*$J$6+$M$5*$J$7</f>
        <v>30.001918051146458</v>
      </c>
      <c r="U61" s="39">
        <f>$J$3+[39]FormattedData!N37*$J$4+$M$4*$J$5+[39]FormattedData!N37^2*$J$6+$M$5*$J$7</f>
        <v>28.145590239303523</v>
      </c>
      <c r="V61" s="39">
        <f>$J$3+[39]FormattedData!O37*$J$4+$M$4*$J$5+[39]FormattedData!O37^2*$J$6+$M$5*$J$7</f>
        <v>28.537664150566286</v>
      </c>
      <c r="W61" s="38">
        <f>AVERAGE(K61:V61)</f>
        <v>28.764732503913237</v>
      </c>
      <c r="X61" s="37">
        <f>STDEV(K61:V61)/SQRT(COUNT(K61:V61))</f>
        <v>0.23415334144078823</v>
      </c>
      <c r="Y61" s="36">
        <f>MIN(K61:V61)</f>
        <v>27.063899828951612</v>
      </c>
      <c r="Z61" s="35">
        <f>QUARTILE(K61:V61,1)</f>
        <v>28.366179366494002</v>
      </c>
      <c r="AA61" s="36">
        <f>MEDIAN(K61:V61)</f>
        <v>28.929040630953185</v>
      </c>
      <c r="AB61" s="35">
        <f>QUARTILE(K61:V61,3)</f>
        <v>29.34417674781297</v>
      </c>
      <c r="AC61" s="35">
        <f>MAX(K61:V61)</f>
        <v>30.001918051146458</v>
      </c>
      <c r="AD61" s="35">
        <f>SKEW(K61:V61)</f>
        <v>-0.6470160298253278</v>
      </c>
      <c r="AE61" s="35">
        <f>KURT(K61:V61)</f>
        <v>0.39726706948089063</v>
      </c>
    </row>
    <row r="62" spans="2:31" x14ac:dyDescent="0.2">
      <c r="B62" s="34">
        <f>[39]FormattedData!A39</f>
        <v>205</v>
      </c>
      <c r="C62" s="34" t="str">
        <f>VLOOKUP($B62,[39]TrtCodes!$B$11:I82,2)</f>
        <v>FSH</v>
      </c>
      <c r="D62" s="34">
        <f>VLOOKUP($B62,[39]TrtCodes!$B$11:J82,3)</f>
        <v>1</v>
      </c>
      <c r="E62" s="34">
        <f>VLOOKUP($B62,[39]TrtCodes!$B$11:K82,4)</f>
        <v>1</v>
      </c>
      <c r="F62" s="34">
        <f>VLOOKUP($B62,[39]TrtCodes!$B$11:L82,5)</f>
        <v>1</v>
      </c>
      <c r="G62" s="34">
        <f>VLOOKUP($B62,[39]TrtCodes!$B$11:M82,6)</f>
        <v>2</v>
      </c>
      <c r="H62" s="34">
        <f>VLOOKUP($B62,[39]TrtCodes!$B$11:N82,7)</f>
        <v>2</v>
      </c>
      <c r="I62" s="34">
        <f>[39]FormattedData!B39</f>
        <v>2</v>
      </c>
      <c r="J62" s="37">
        <f>[39]FormattedData!C39</f>
        <v>13.106999999999999</v>
      </c>
      <c r="K62" s="39">
        <f>$J$3+[39]FormattedData!D39*$J$4+$M$4*$J$5+[39]FormattedData!D39^2*$J$6+$M$5*$J$7</f>
        <v>33.955687764520654</v>
      </c>
      <c r="L62" s="39">
        <f>$J$3+[39]FormattedData!E39*$J$4+$M$4*$J$5+[39]FormattedData!E39^2*$J$6+$M$5*$J$7</f>
        <v>30.681981860663178</v>
      </c>
      <c r="M62" s="39">
        <f>$J$3+[39]FormattedData!F39*$J$4+$M$4*$J$5+[39]FormattedData!F39^2*$J$6+$M$5*$J$7</f>
        <v>32.324942616322964</v>
      </c>
      <c r="N62" s="39">
        <f>$J$3+[39]FormattedData!G39*$J$4+$M$4*$J$5+[39]FormattedData!G39^2*$J$6+$M$5*$J$7</f>
        <v>31.166473668465756</v>
      </c>
      <c r="O62" s="39">
        <f>$J$3+[39]FormattedData!H39*$J$4+$M$4*$J$5+[39]FormattedData!H39^2*$J$6+$M$5*$J$7</f>
        <v>30.099196829548351</v>
      </c>
      <c r="P62" s="39">
        <f>$J$3+[39]FormattedData!I39*$J$4+$M$4*$J$5+[39]FormattedData!I39^2*$J$6+$M$5*$J$7</f>
        <v>30.972803750958516</v>
      </c>
      <c r="Q62" s="39">
        <f>$J$3+[39]FormattedData!J39*$J$4+$M$4*$J$5+[39]FormattedData!J39^2*$J$6+$M$5*$J$7</f>
        <v>32.421206949814518</v>
      </c>
      <c r="R62" s="39">
        <f>$J$3+[39]FormattedData!K39*$J$4+$M$4*$J$5+[39]FormattedData!K39^2*$J$6+$M$5*$J$7</f>
        <v>29.612380252159561</v>
      </c>
      <c r="S62" s="39">
        <f>$J$3+[39]FormattedData!L39*$J$4+$M$4*$J$5+[39]FormattedData!L39^2*$J$6+$M$5*$J$7</f>
        <v>31.939462596977464</v>
      </c>
      <c r="T62" s="39">
        <f>$J$3+[39]FormattedData!M39*$J$4+$M$4*$J$5+[39]FormattedData!M39^2*$J$6+$M$5*$J$7</f>
        <v>30.196433339412323</v>
      </c>
      <c r="U62" s="39">
        <f>$J$3+[39]FormattedData!N39*$J$4+$M$4*$J$5+[39]FormattedData!N39^2*$J$6+$M$5*$J$7</f>
        <v>29.417357741438529</v>
      </c>
      <c r="V62" s="39">
        <f>$J$3+[39]FormattedData!O39*$J$4+$M$4*$J$5+[39]FormattedData!O39^2*$J$6+$M$5*$J$7</f>
        <v>29.612380252159561</v>
      </c>
      <c r="W62" s="38">
        <f>AVERAGE(K62:V62)</f>
        <v>31.033358968536785</v>
      </c>
      <c r="X62" s="37">
        <f>STDEV(K62:V62)/SQRT(COUNT(K62:V62))</f>
        <v>0.40191884872435268</v>
      </c>
      <c r="Y62" s="36">
        <f>MIN(K62:V62)</f>
        <v>29.417357741438529</v>
      </c>
      <c r="Z62" s="35">
        <f>QUARTILE(K62:V62,1)</f>
        <v>29.977492685201153</v>
      </c>
      <c r="AA62" s="36">
        <f>MEDIAN(K62:V62)</f>
        <v>30.827392805810845</v>
      </c>
      <c r="AB62" s="35">
        <f>QUARTILE(K62:V62,3)</f>
        <v>32.035832601813837</v>
      </c>
      <c r="AC62" s="35">
        <f>MAX(K62:V62)</f>
        <v>33.955687764520654</v>
      </c>
      <c r="AD62" s="35">
        <f>SKEW(K62:V62)</f>
        <v>0.77313027933080203</v>
      </c>
      <c r="AE62" s="35">
        <f>KURT(K62:V62)</f>
        <v>6.6630788081099013E-3</v>
      </c>
    </row>
    <row r="63" spans="2:31" x14ac:dyDescent="0.2">
      <c r="B63" s="34">
        <f>[39]FormattedData!A41</f>
        <v>206</v>
      </c>
      <c r="C63" s="34" t="str">
        <f>VLOOKUP($B63,[39]TrtCodes!$B$11:I84,2)</f>
        <v>NSL</v>
      </c>
      <c r="D63" s="34">
        <f>VLOOKUP($B63,[39]TrtCodes!$B$11:J84,3)</f>
        <v>8</v>
      </c>
      <c r="E63" s="34">
        <f>VLOOKUP($B63,[39]TrtCodes!$B$11:K84,4)</f>
        <v>2</v>
      </c>
      <c r="F63" s="34">
        <f>VLOOKUP($B63,[39]TrtCodes!$B$11:L84,5)</f>
        <v>1</v>
      </c>
      <c r="G63" s="34">
        <f>VLOOKUP($B63,[39]TrtCodes!$B$11:M84,6)</f>
        <v>1</v>
      </c>
      <c r="H63" s="34">
        <f>VLOOKUP($B63,[39]TrtCodes!$B$11:N84,7)</f>
        <v>2</v>
      </c>
      <c r="I63" s="34">
        <f>[39]FormattedData!B41</f>
        <v>2</v>
      </c>
      <c r="J63" s="37">
        <f>[39]FormattedData!C41</f>
        <v>13.125</v>
      </c>
      <c r="K63" s="39">
        <f>$J$3+[39]FormattedData!D41*$J$4+$M$4*$J$5+[39]FormattedData!D41^2*$J$6+$M$5*$J$7</f>
        <v>30.001918051146458</v>
      </c>
      <c r="L63" s="39">
        <f>$J$3+[39]FormattedData!E41*$J$4+$M$4*$J$5+[39]FormattedData!E41^2*$J$6+$M$5*$J$7</f>
        <v>31.456661530692127</v>
      </c>
      <c r="M63" s="39">
        <f>$J$3+[39]FormattedData!F41*$J$4+$M$4*$J$5+[39]FormattedData!F41^2*$J$6+$M$5*$J$7</f>
        <v>32.709746339061567</v>
      </c>
      <c r="N63" s="39">
        <f>$J$3+[39]FormattedData!G41*$J$4+$M$4*$J$5+[39]FormattedData!G41^2*$J$6+$M$5*$J$7</f>
        <v>30.293627580738352</v>
      </c>
      <c r="O63" s="39">
        <f>$J$3+[39]FormattedData!H41*$J$4+$M$4*$J$5+[39]FormattedData!H41^2*$J$6+$M$5*$J$7</f>
        <v>30.972803750958516</v>
      </c>
      <c r="P63" s="39">
        <f>$J$3+[39]FormattedData!I41*$J$4+$M$4*$J$5+[39]FormattedData!I41^2*$J$6+$M$5*$J$7</f>
        <v>31.746468976077118</v>
      </c>
      <c r="Q63" s="39">
        <f>$J$3+[39]FormattedData!J41*$J$4+$M$4*$J$5+[39]FormattedData!J41^2*$J$6+$M$5*$J$7</f>
        <v>33.573082005754458</v>
      </c>
      <c r="R63" s="39">
        <f>$J$3+[39]FormattedData!K41*$J$4+$M$4*$J$5+[39]FormattedData!K41^2*$J$6+$M$5*$J$7</f>
        <v>29.417357741438529</v>
      </c>
      <c r="S63" s="39">
        <f>$J$3+[39]FormattedData!L41*$J$4+$M$4*$J$5+[39]FormattedData!L41^2*$J$6+$M$5*$J$7</f>
        <v>32.324942616322964</v>
      </c>
      <c r="T63" s="39">
        <f>$J$3+[39]FormattedData!M41*$J$4+$M$4*$J$5+[39]FormattedData!M41^2*$J$6+$M$5*$J$7</f>
        <v>30.681981860663178</v>
      </c>
      <c r="U63" s="39">
        <f>$J$3+[39]FormattedData!N41*$J$4+$M$4*$J$5+[39]FormattedData!N41^2*$J$6+$M$5*$J$7</f>
        <v>33.66879684825291</v>
      </c>
      <c r="V63" s="39">
        <f>$J$3+[39]FormattedData!O41*$J$4+$M$4*$J$5+[39]FormattedData!O41^2*$J$6+$M$5*$J$7</f>
        <v>34.718870392232326</v>
      </c>
      <c r="W63" s="38">
        <f>AVERAGE(K63:V63)</f>
        <v>31.797188141111544</v>
      </c>
      <c r="X63" s="37">
        <f>STDEV(K63:V63)/SQRT(COUNT(K63:V63))</f>
        <v>0.47268847340132886</v>
      </c>
      <c r="Y63" s="36">
        <f>MIN(K63:V63)</f>
        <v>29.417357741438529</v>
      </c>
      <c r="Z63" s="35">
        <f>QUARTILE(K63:V63,1)</f>
        <v>30.584893290681972</v>
      </c>
      <c r="AA63" s="36">
        <f>MEDIAN(K63:V63)</f>
        <v>31.601565253384621</v>
      </c>
      <c r="AB63" s="35">
        <f>QUARTILE(K63:V63,3)</f>
        <v>32.925580255734786</v>
      </c>
      <c r="AC63" s="35">
        <f>MAX(K63:V63)</f>
        <v>34.718870392232326</v>
      </c>
      <c r="AD63" s="35">
        <f>SKEW(K63:V63)</f>
        <v>0.3318083646020758</v>
      </c>
      <c r="AE63" s="35">
        <f>KURT(K63:V63)</f>
        <v>-0.84512759649274694</v>
      </c>
    </row>
    <row r="64" spans="2:31" x14ac:dyDescent="0.2">
      <c r="B64" s="34">
        <f>[39]FormattedData!A43</f>
        <v>207</v>
      </c>
      <c r="C64" s="34" t="str">
        <f>VLOOKUP($B64,[39]TrtCodes!$B$11:I86,2)</f>
        <v>FTL</v>
      </c>
      <c r="D64" s="34">
        <f>VLOOKUP($B64,[39]TrtCodes!$B$11:J86,3)</f>
        <v>4</v>
      </c>
      <c r="E64" s="34">
        <f>VLOOKUP($B64,[39]TrtCodes!$B$11:K86,4)</f>
        <v>1</v>
      </c>
      <c r="F64" s="34">
        <f>VLOOKUP($B64,[39]TrtCodes!$B$11:L86,5)</f>
        <v>2</v>
      </c>
      <c r="G64" s="34">
        <f>VLOOKUP($B64,[39]TrtCodes!$B$11:M86,6)</f>
        <v>1</v>
      </c>
      <c r="H64" s="34">
        <f>VLOOKUP($B64,[39]TrtCodes!$B$11:N86,7)</f>
        <v>2</v>
      </c>
      <c r="I64" s="34">
        <f>[39]FormattedData!B43</f>
        <v>2</v>
      </c>
      <c r="J64" s="37">
        <f>[39]FormattedData!C43</f>
        <v>13.144</v>
      </c>
      <c r="K64" s="39">
        <f>$J$3+[39]FormattedData!D43*$J$4+$M$4*$J$5+[39]FormattedData!D43^2*$J$6+$M$5*$J$7</f>
        <v>33.66879684825291</v>
      </c>
      <c r="L64" s="39">
        <f>$J$3+[39]FormattedData!E43*$J$4+$M$4*$J$5+[39]FormattedData!E43^2*$J$6+$M$5*$J$7</f>
        <v>33.66879684825291</v>
      </c>
      <c r="M64" s="39">
        <f>$J$3+[39]FormattedData!F43*$J$4+$M$4*$J$5+[39]FormattedData!F43^2*$J$6+$M$5*$J$7</f>
        <v>33.860099727636005</v>
      </c>
      <c r="N64" s="39">
        <f>$J$3+[39]FormattedData!G43*$J$4+$M$4*$J$5+[39]FormattedData!G43^2*$J$6+$M$5*$J$7</f>
        <v>31.359974511821271</v>
      </c>
      <c r="O64" s="39">
        <f>$J$3+[39]FormattedData!H43*$J$4+$M$4*$J$5+[39]FormattedData!H43^2*$J$6+$M$5*$J$7</f>
        <v>29.612380252159561</v>
      </c>
      <c r="P64" s="39">
        <f>$J$3+[39]FormattedData!I43*$J$4+$M$4*$J$5+[39]FormattedData!I43^2*$J$6+$M$5*$J$7</f>
        <v>30.681981860663178</v>
      </c>
      <c r="Q64" s="39">
        <f>$J$3+[39]FormattedData!J43*$J$4+$M$4*$J$5+[39]FormattedData!J43^2*$J$6+$M$5*$J$7</f>
        <v>30.681981860663178</v>
      </c>
      <c r="R64" s="39">
        <f>$J$3+[39]FormattedData!K43*$J$4+$M$4*$J$5+[39]FormattedData!K43^2*$J$6+$M$5*$J$7</f>
        <v>30.196433339412323</v>
      </c>
      <c r="S64" s="39">
        <f>$J$3+[39]FormattedData!L43*$J$4+$M$4*$J$5+[39]FormattedData!L43^2*$J$6+$M$5*$J$7</f>
        <v>34.909243363780945</v>
      </c>
      <c r="T64" s="39">
        <f>$J$3+[39]FormattedData!M43*$J$4+$M$4*$J$5+[39]FormattedData!M43^2*$J$6+$M$5*$J$7</f>
        <v>29.709828104713186</v>
      </c>
      <c r="U64" s="39">
        <f>$J$3+[39]FormattedData!N43*$J$4+$M$4*$J$5+[39]FormattedData!N43^2*$J$6+$M$5*$J$7</f>
        <v>31.263245224412472</v>
      </c>
      <c r="V64" s="39">
        <f>$J$3+[39]FormattedData!O43*$J$4+$M$4*$J$5+[39]FormattedData!O43^2*$J$6+$M$5*$J$7</f>
        <v>34.623620503651132</v>
      </c>
      <c r="W64" s="38">
        <f>AVERAGE(K64:V64)</f>
        <v>32.019698537118252</v>
      </c>
      <c r="X64" s="37">
        <f>STDEV(K64:V64)/SQRT(COUNT(K64:V64))</f>
        <v>0.57073460021347344</v>
      </c>
      <c r="Y64" s="36">
        <f>MIN(K64:V64)</f>
        <v>29.612380252159561</v>
      </c>
      <c r="Z64" s="35">
        <f>QUARTILE(K64:V64,1)</f>
        <v>30.560594730350466</v>
      </c>
      <c r="AA64" s="36">
        <f>MEDIAN(K64:V64)</f>
        <v>31.311609868116872</v>
      </c>
      <c r="AB64" s="35">
        <f>QUARTILE(K64:V64,3)</f>
        <v>33.716622568098686</v>
      </c>
      <c r="AC64" s="35">
        <f>MAX(K64:V64)</f>
        <v>34.909243363780945</v>
      </c>
      <c r="AD64" s="35">
        <f>SKEW(K64:V64)</f>
        <v>0.27019659431763876</v>
      </c>
      <c r="AE64" s="35">
        <f>KURT(K64:V64)</f>
        <v>-1.7440727005686902</v>
      </c>
    </row>
    <row r="65" spans="2:31" x14ac:dyDescent="0.2">
      <c r="B65" s="34">
        <f>[39]FormattedData!A45</f>
        <v>208</v>
      </c>
      <c r="C65" s="34" t="str">
        <f>VLOOKUP($B65,[39]TrtCodes!$B$11:I88,2)</f>
        <v>FSL</v>
      </c>
      <c r="D65" s="34">
        <f>VLOOKUP($B65,[39]TrtCodes!$B$11:J88,3)</f>
        <v>2</v>
      </c>
      <c r="E65" s="34">
        <f>VLOOKUP($B65,[39]TrtCodes!$B$11:K88,4)</f>
        <v>1</v>
      </c>
      <c r="F65" s="34">
        <f>VLOOKUP($B65,[39]TrtCodes!$B$11:L88,5)</f>
        <v>1</v>
      </c>
      <c r="G65" s="34">
        <f>VLOOKUP($B65,[39]TrtCodes!$B$11:M88,6)</f>
        <v>1</v>
      </c>
      <c r="H65" s="34">
        <f>VLOOKUP($B65,[39]TrtCodes!$B$11:N88,7)</f>
        <v>2</v>
      </c>
      <c r="I65" s="34">
        <f>[39]FormattedData!B45</f>
        <v>2</v>
      </c>
      <c r="J65" s="37">
        <f>[39]FormattedData!C45</f>
        <v>13.163</v>
      </c>
      <c r="K65" s="39">
        <f>$J$3+[39]FormattedData!D45*$J$4+$M$4*$J$5+[39]FormattedData!D45^2*$J$6+$M$5*$J$7</f>
        <v>34.718870392232326</v>
      </c>
      <c r="L65" s="39">
        <f>$J$3+[39]FormattedData!E45*$J$4+$M$4*$J$5+[39]FormattedData!E45^2*$J$6+$M$5*$J$7</f>
        <v>30.487889257776629</v>
      </c>
      <c r="M65" s="39">
        <f>$J$3+[39]FormattedData!F45*$J$4+$M$4*$J$5+[39]FormattedData!F45^2*$J$6+$M$5*$J$7</f>
        <v>31.456661530692127</v>
      </c>
      <c r="N65" s="39">
        <f>$J$3+[39]FormattedData!G45*$J$4+$M$4*$J$5+[39]FormattedData!G45^2*$J$6+$M$5*$J$7</f>
        <v>30.487889257776629</v>
      </c>
      <c r="O65" s="39">
        <f>$J$3+[39]FormattedData!H45*$J$4+$M$4*$J$5+[39]FormattedData!H45^2*$J$6+$M$5*$J$7</f>
        <v>30.196433339412323</v>
      </c>
      <c r="P65" s="39">
        <f>$J$3+[39]FormattedData!I45*$J$4+$M$4*$J$5+[39]FormattedData!I45^2*$J$6+$M$5*$J$7</f>
        <v>36.047930635886374</v>
      </c>
      <c r="Q65" s="39">
        <f>$J$3+[39]FormattedData!J45*$J$4+$M$4*$J$5+[39]FormattedData!J45^2*$J$6+$M$5*$J$7</f>
        <v>32.99790531146725</v>
      </c>
      <c r="R65" s="39">
        <f>$J$3+[39]FormattedData!K45*$J$4+$M$4*$J$5+[39]FormattedData!K45^2*$J$6+$M$5*$J$7</f>
        <v>33.381525515143785</v>
      </c>
      <c r="S65" s="39">
        <f>$J$3+[39]FormattedData!L45*$J$4+$M$4*$J$5+[39]FormattedData!L45^2*$J$6+$M$5*$J$7</f>
        <v>30.584956693488866</v>
      </c>
      <c r="T65" s="39">
        <f>$J$3+[39]FormattedData!M45*$J$4+$M$4*$J$5+[39]FormattedData!M45^2*$J$6+$M$5*$J$7</f>
        <v>30.196433339412323</v>
      </c>
      <c r="U65" s="39">
        <f>$J$3+[39]FormattedData!N45*$J$4+$M$4*$J$5+[39]FormattedData!N45^2*$J$6+$M$5*$J$7</f>
        <v>35.384436093238669</v>
      </c>
      <c r="V65" s="39">
        <f>$J$3+[39]FormattedData!O45*$J$4+$M$4*$J$5+[39]FormattedData!O45^2*$J$6+$M$5*$J$7</f>
        <v>30.39077955352646</v>
      </c>
      <c r="W65" s="38">
        <f>AVERAGE(K65:V65)</f>
        <v>32.194309243337813</v>
      </c>
      <c r="X65" s="37">
        <f>STDEV(K65:V65)/SQRT(COUNT(K65:V65))</f>
        <v>0.63752349318418489</v>
      </c>
      <c r="Y65" s="36">
        <f>MIN(K65:V65)</f>
        <v>30.196433339412323</v>
      </c>
      <c r="Z65" s="35">
        <f>QUARTILE(K65:V65,1)</f>
        <v>30.463611831714086</v>
      </c>
      <c r="AA65" s="36">
        <f>MEDIAN(K65:V65)</f>
        <v>31.020809112090497</v>
      </c>
      <c r="AB65" s="35">
        <f>QUARTILE(K65:V65,3)</f>
        <v>33.715861734415924</v>
      </c>
      <c r="AC65" s="35">
        <f>MAX(K65:V65)</f>
        <v>36.047930635886374</v>
      </c>
      <c r="AD65" s="35">
        <f>SKEW(K65:V65)</f>
        <v>0.72570880429138318</v>
      </c>
      <c r="AE65" s="35">
        <f>KURT(K65:V65)</f>
        <v>-1.1614567546886208</v>
      </c>
    </row>
    <row r="66" spans="2:31" x14ac:dyDescent="0.2">
      <c r="B66" s="34">
        <f>[39]FormattedData!A63</f>
        <v>301</v>
      </c>
      <c r="C66" s="34" t="str">
        <f>VLOOKUP($B66,[39]TrtCodes!$B$11:I106,2)</f>
        <v>NTL</v>
      </c>
      <c r="D66" s="34">
        <f>VLOOKUP($B66,[39]TrtCodes!$B$11:J106,3)</f>
        <v>10</v>
      </c>
      <c r="E66" s="34">
        <f>VLOOKUP($B66,[39]TrtCodes!$B$11:K106,4)</f>
        <v>2</v>
      </c>
      <c r="F66" s="34">
        <f>VLOOKUP($B66,[39]TrtCodes!$B$11:L106,5)</f>
        <v>2</v>
      </c>
      <c r="G66" s="34">
        <f>VLOOKUP($B66,[39]TrtCodes!$B$11:M106,6)</f>
        <v>1</v>
      </c>
      <c r="H66" s="34">
        <f>VLOOKUP($B66,[39]TrtCodes!$B$11:N106,7)</f>
        <v>3</v>
      </c>
      <c r="I66" s="34">
        <f>[39]FormattedData!B63</f>
        <v>2</v>
      </c>
      <c r="J66" s="37">
        <f>[39]FormattedData!C63</f>
        <v>13.292</v>
      </c>
      <c r="K66" s="39">
        <f>$J$3+[39]FormattedData!D63*$J$4+$M$4*$J$5+[39]FormattedData!D63^2*$J$6+$M$5*$J$7</f>
        <v>32.613608811183816</v>
      </c>
      <c r="L66" s="39">
        <f>$J$3+[39]FormattedData!E63*$J$4+$M$4*$J$5+[39]FormattedData!E63^2*$J$6+$M$5*$J$7</f>
        <v>29.612380252159561</v>
      </c>
      <c r="M66" s="39">
        <f>$J$3+[39]FormattedData!F63*$J$4+$M$4*$J$5+[39]FormattedData!F63^2*$J$6+$M$5*$J$7</f>
        <v>31.553306281025058</v>
      </c>
      <c r="N66" s="39">
        <f>$J$3+[39]FormattedData!G63*$J$4+$M$4*$J$5+[39]FormattedData!G63^2*$J$6+$M$5*$J$7</f>
        <v>31.939462596977464</v>
      </c>
      <c r="O66" s="39">
        <f>$J$3+[39]FormattedData!H63*$J$4+$M$4*$J$5+[39]FormattedData!H63^2*$J$6+$M$5*$J$7</f>
        <v>29.417357741438529</v>
      </c>
      <c r="P66" s="39">
        <f>$J$3+[39]FormattedData!I63*$J$4+$M$4*$J$5+[39]FormattedData!I63^2*$J$6+$M$5*$J$7</f>
        <v>30.001918051146458</v>
      </c>
      <c r="Q66" s="39">
        <f>$J$3+[39]FormattedData!J63*$J$4+$M$4*$J$5+[39]FormattedData!J63^2*$J$6+$M$5*$J$7</f>
        <v>31.456661530692127</v>
      </c>
      <c r="R66" s="39">
        <f>$J$3+[39]FormattedData!K63*$J$4+$M$4*$J$5+[39]FormattedData!K63^2*$J$6+$M$5*$J$7</f>
        <v>30.681981860663178</v>
      </c>
      <c r="S66" s="39">
        <f>$J$3+[39]FormattedData!L63*$J$4+$M$4*$J$5+[39]FormattedData!L63^2*$J$6+$M$5*$J$7</f>
        <v>29.807233688728871</v>
      </c>
      <c r="T66" s="39">
        <f>$J$3+[39]FormattedData!M63*$J$4+$M$4*$J$5+[39]FormattedData!M63^2*$J$6+$M$5*$J$7</f>
        <v>29.417357741438529</v>
      </c>
      <c r="U66" s="39">
        <f>$J$3+[39]FormattedData!N63*$J$4+$M$4*$J$5+[39]FormattedData!N63^2*$J$6+$M$5*$J$7</f>
        <v>30.099196829548351</v>
      </c>
      <c r="V66" s="39">
        <f>$J$3+[39]FormattedData!O63*$J$4+$M$4*$J$5+[39]FormattedData!O63^2*$J$6+$M$5*$J$7</f>
        <v>29.807233688728871</v>
      </c>
      <c r="W66" s="38">
        <f>AVERAGE(K66:V66)</f>
        <v>30.533974922810899</v>
      </c>
      <c r="X66" s="37">
        <f>STDEV(K66:V66)/SQRT(COUNT(K66:V66))</f>
        <v>0.31483512404521985</v>
      </c>
      <c r="Y66" s="36">
        <f>MIN(K66:V66)</f>
        <v>29.417357741438529</v>
      </c>
      <c r="Z66" s="35">
        <f>QUARTILE(K66:V66,1)</f>
        <v>29.758520329586545</v>
      </c>
      <c r="AA66" s="36">
        <f>MEDIAN(K66:V66)</f>
        <v>30.050557440347404</v>
      </c>
      <c r="AB66" s="35">
        <f>QUARTILE(K66:V66,3)</f>
        <v>31.480822718275359</v>
      </c>
      <c r="AC66" s="35">
        <f>MAX(K66:V66)</f>
        <v>32.613608811183816</v>
      </c>
      <c r="AD66" s="35">
        <f>SKEW(K66:V66)</f>
        <v>0.76111905848575767</v>
      </c>
      <c r="AE66" s="35">
        <f>KURT(K66:V66)</f>
        <v>-0.81277160134888193</v>
      </c>
    </row>
    <row r="67" spans="2:31" x14ac:dyDescent="0.2">
      <c r="B67" s="34">
        <f>[39]FormattedData!A65</f>
        <v>302</v>
      </c>
      <c r="C67" s="34" t="str">
        <f>VLOOKUP($B67,[39]TrtCodes!$B$11:I108,2)</f>
        <v>FTL</v>
      </c>
      <c r="D67" s="34">
        <f>VLOOKUP($B67,[39]TrtCodes!$B$11:J108,3)</f>
        <v>4</v>
      </c>
      <c r="E67" s="34">
        <f>VLOOKUP($B67,[39]TrtCodes!$B$11:K108,4)</f>
        <v>1</v>
      </c>
      <c r="F67" s="34">
        <f>VLOOKUP($B67,[39]TrtCodes!$B$11:L108,5)</f>
        <v>2</v>
      </c>
      <c r="G67" s="34">
        <f>VLOOKUP($B67,[39]TrtCodes!$B$11:M108,6)</f>
        <v>1</v>
      </c>
      <c r="H67" s="34">
        <f>VLOOKUP($B67,[39]TrtCodes!$B$11:N108,7)</f>
        <v>3</v>
      </c>
      <c r="I67" s="34">
        <f>[39]FormattedData!B65</f>
        <v>2</v>
      </c>
      <c r="J67" s="37">
        <f>[39]FormattedData!C65</f>
        <v>13.311</v>
      </c>
      <c r="K67" s="39">
        <f>$J$3+[39]FormattedData!D65*$J$4+$M$4*$J$5+[39]FormattedData!D65^2*$J$6+$M$5*$J$7</f>
        <v>31.553306281025058</v>
      </c>
      <c r="L67" s="39">
        <f>$J$3+[39]FormattedData!E65*$J$4+$M$4*$J$5+[39]FormattedData!E65^2*$J$6+$M$5*$J$7</f>
        <v>29.026805497541289</v>
      </c>
      <c r="M67" s="39">
        <f>$J$3+[39]FormattedData!F65*$J$4+$M$4*$J$5+[39]FormattedData!F65^2*$J$6+$M$5*$J$7</f>
        <v>30.487889257776629</v>
      </c>
      <c r="N67" s="39">
        <f>$J$3+[39]FormattedData!G65*$J$4+$M$4*$J$5+[39]FormattedData!G65^2*$J$6+$M$5*$J$7</f>
        <v>30.293627580738352</v>
      </c>
      <c r="O67" s="39">
        <f>$J$3+[39]FormattedData!H65*$J$4+$M$4*$J$5+[39]FormattedData!H65^2*$J$6+$M$5*$J$7</f>
        <v>32.421206949814518</v>
      </c>
      <c r="P67" s="39">
        <f>$J$3+[39]FormattedData!I65*$J$4+$M$4*$J$5+[39]FormattedData!I65^2*$J$6+$M$5*$J$7</f>
        <v>30.487889257776629</v>
      </c>
      <c r="Q67" s="39">
        <f>$J$3+[39]FormattedData!J65*$J$4+$M$4*$J$5+[39]FormattedData!J65^2*$J$6+$M$5*$J$7</f>
        <v>28.537664150566286</v>
      </c>
      <c r="R67" s="39">
        <f>$J$3+[39]FormattedData!K65*$J$4+$M$4*$J$5+[39]FormattedData!K65^2*$J$6+$M$5*$J$7</f>
        <v>29.026805497541289</v>
      </c>
      <c r="S67" s="39">
        <f>$J$3+[39]FormattedData!L65*$J$4+$M$4*$J$5+[39]FormattedData!L65^2*$J$6+$M$5*$J$7</f>
        <v>30.099196829548351</v>
      </c>
      <c r="T67" s="39">
        <f>$J$3+[39]FormattedData!M65*$J$4+$M$4*$J$5+[39]FormattedData!M65^2*$J$6+$M$5*$J$7</f>
        <v>31.649908762820054</v>
      </c>
      <c r="U67" s="39">
        <f>$J$3+[39]FormattedData!N65*$J$4+$M$4*$J$5+[39]FormattedData!N65^2*$J$6+$M$5*$J$7</f>
        <v>31.263245224412472</v>
      </c>
      <c r="V67" s="39">
        <f>$J$3+[39]FormattedData!O65*$J$4+$M$4*$J$5+[39]FormattedData!O65^2*$J$6+$M$5*$J$7</f>
        <v>30.778964759299555</v>
      </c>
      <c r="W67" s="38">
        <f>AVERAGE(K67:V67)</f>
        <v>30.46887583740504</v>
      </c>
      <c r="X67" s="37">
        <f>STDEV(K67:V67)/SQRT(COUNT(K67:V67))</f>
        <v>0.33896469650779132</v>
      </c>
      <c r="Y67" s="36">
        <f>MIN(K67:V67)</f>
        <v>28.537664150566286</v>
      </c>
      <c r="Z67" s="35">
        <f>QUARTILE(K67:V67,1)</f>
        <v>29.831098996546586</v>
      </c>
      <c r="AA67" s="36">
        <f>MEDIAN(K67:V67)</f>
        <v>30.487889257776629</v>
      </c>
      <c r="AB67" s="35">
        <f>QUARTILE(K67:V67,3)</f>
        <v>31.335760488565619</v>
      </c>
      <c r="AC67" s="35">
        <f>MAX(K67:V67)</f>
        <v>32.421206949814518</v>
      </c>
      <c r="AD67" s="35">
        <f>SKEW(K67:V67)</f>
        <v>-0.15909563871777829</v>
      </c>
      <c r="AE67" s="35">
        <f>KURT(K67:V67)</f>
        <v>-0.64781945915582861</v>
      </c>
    </row>
    <row r="68" spans="2:31" x14ac:dyDescent="0.2">
      <c r="B68" s="34">
        <f>[39]FormattedData!A67</f>
        <v>303</v>
      </c>
      <c r="C68" s="34" t="str">
        <f>VLOOKUP($B68,[39]TrtCodes!$B$11:I110,2)</f>
        <v>NSL</v>
      </c>
      <c r="D68" s="34">
        <f>VLOOKUP($B68,[39]TrtCodes!$B$11:J110,3)</f>
        <v>8</v>
      </c>
      <c r="E68" s="34">
        <f>VLOOKUP($B68,[39]TrtCodes!$B$11:K110,4)</f>
        <v>2</v>
      </c>
      <c r="F68" s="34">
        <f>VLOOKUP($B68,[39]TrtCodes!$B$11:L110,5)</f>
        <v>1</v>
      </c>
      <c r="G68" s="34">
        <f>VLOOKUP($B68,[39]TrtCodes!$B$11:M110,6)</f>
        <v>1</v>
      </c>
      <c r="H68" s="34">
        <f>VLOOKUP($B68,[39]TrtCodes!$B$11:N110,7)</f>
        <v>3</v>
      </c>
      <c r="I68" s="34">
        <f>[39]FormattedData!B67</f>
        <v>2</v>
      </c>
      <c r="J68" s="37">
        <f>[39]FormattedData!C67</f>
        <v>13.327999999999999</v>
      </c>
      <c r="K68" s="39">
        <f>$J$3+[39]FormattedData!D67*$J$4+$M$4*$J$5+[39]FormattedData!D67^2*$J$6+$M$5*$J$7</f>
        <v>30.293627580738352</v>
      </c>
      <c r="L68" s="39">
        <f>$J$3+[39]FormattedData!E67*$J$4+$M$4*$J$5+[39]FormattedData!E67^2*$J$6+$M$5*$J$7</f>
        <v>28.733447494970079</v>
      </c>
      <c r="M68" s="39">
        <f>$J$3+[39]FormattedData!F67*$J$4+$M$4*$J$5+[39]FormattedData!F67^2*$J$6+$M$5*$J$7</f>
        <v>28.439709075557495</v>
      </c>
      <c r="N68" s="39">
        <f>$J$3+[39]FormattedData!G67*$J$4+$M$4*$J$5+[39]FormattedData!G67^2*$J$6+$M$5*$J$7</f>
        <v>29.709828104713186</v>
      </c>
      <c r="O68" s="39">
        <f>$J$3+[39]FormattedData!H67*$J$4+$M$4*$J$5+[39]FormattedData!H67^2*$J$6+$M$5*$J$7</f>
        <v>29.514890131068015</v>
      </c>
      <c r="P68" s="39">
        <f>$J$3+[39]FormattedData!I67*$J$4+$M$4*$J$5+[39]FormattedData!I67^2*$J$6+$M$5*$J$7</f>
        <v>29.319783083271115</v>
      </c>
      <c r="Q68" s="39">
        <f>$J$3+[39]FormattedData!J67*$J$4+$M$4*$J$5+[39]FormattedData!J67^2*$J$6+$M$5*$J$7</f>
        <v>31.456661530692127</v>
      </c>
      <c r="R68" s="39">
        <f>$J$3+[39]FormattedData!K67*$J$4+$M$4*$J$5+[39]FormattedData!K67^2*$J$6+$M$5*$J$7</f>
        <v>37.180531238529724</v>
      </c>
      <c r="S68" s="39">
        <f>$J$3+[39]FormattedData!L67*$J$4+$M$4*$J$5+[39]FormattedData!L67^2*$J$6+$M$5*$J$7</f>
        <v>31.553306281025058</v>
      </c>
      <c r="T68" s="39">
        <f>$J$3+[39]FormattedData!M67*$J$4+$M$4*$J$5+[39]FormattedData!M67^2*$J$6+$M$5*$J$7</f>
        <v>34.528328346531993</v>
      </c>
      <c r="U68" s="39">
        <f>$J$3+[39]FormattedData!N67*$J$4+$M$4*$J$5+[39]FormattedData!N67^2*$J$6+$M$5*$J$7</f>
        <v>31.746468976077118</v>
      </c>
      <c r="V68" s="39">
        <f>$J$3+[39]FormattedData!O67*$J$4+$M$4*$J$5+[39]FormattedData!O67^2*$J$6+$M$5*$J$7</f>
        <v>27.949299672444557</v>
      </c>
      <c r="W68" s="38">
        <f>AVERAGE(K68:V68)</f>
        <v>30.868823459634907</v>
      </c>
      <c r="X68" s="37">
        <f>STDEV(K68:V68)/SQRT(COUNT(K68:V68))</f>
        <v>0.77706124475628235</v>
      </c>
      <c r="Y68" s="36">
        <f>MIN(K68:V68)</f>
        <v>27.949299672444557</v>
      </c>
      <c r="Z68" s="35">
        <f>QUARTILE(K68:V68,1)</f>
        <v>29.173199186195856</v>
      </c>
      <c r="AA68" s="36">
        <f>MEDIAN(K68:V68)</f>
        <v>30.001727842725771</v>
      </c>
      <c r="AB68" s="35">
        <f>QUARTILE(K68:V68,3)</f>
        <v>31.601596954788072</v>
      </c>
      <c r="AC68" s="35">
        <f>MAX(K68:V68)</f>
        <v>37.180531238529724</v>
      </c>
      <c r="AD68" s="35">
        <f>SKEW(K68:V68)</f>
        <v>1.3689079426190129</v>
      </c>
      <c r="AE68" s="35">
        <f>KURT(K68:V68)</f>
        <v>1.6889266050720106</v>
      </c>
    </row>
    <row r="69" spans="2:31" x14ac:dyDescent="0.2">
      <c r="B69" s="34">
        <f>[39]FormattedData!A69</f>
        <v>304</v>
      </c>
      <c r="C69" s="34" t="str">
        <f>VLOOKUP($B69,[39]TrtCodes!$B$11:I112,2)</f>
        <v>FSL</v>
      </c>
      <c r="D69" s="34">
        <f>VLOOKUP($B69,[39]TrtCodes!$B$11:J112,3)</f>
        <v>2</v>
      </c>
      <c r="E69" s="34">
        <f>VLOOKUP($B69,[39]TrtCodes!$B$11:K112,4)</f>
        <v>1</v>
      </c>
      <c r="F69" s="34">
        <f>VLOOKUP($B69,[39]TrtCodes!$B$11:L112,5)</f>
        <v>1</v>
      </c>
      <c r="G69" s="34">
        <f>VLOOKUP($B69,[39]TrtCodes!$B$11:M112,6)</f>
        <v>1</v>
      </c>
      <c r="H69" s="34">
        <f>VLOOKUP($B69,[39]TrtCodes!$B$11:N112,7)</f>
        <v>3</v>
      </c>
      <c r="I69" s="34">
        <f>[39]FormattedData!B69</f>
        <v>2</v>
      </c>
      <c r="J69" s="37">
        <f>[39]FormattedData!C69</f>
        <v>13.347</v>
      </c>
      <c r="K69" s="39">
        <f>$J$3+[39]FormattedData!D69*$J$4+$M$4*$J$5+[39]FormattedData!D69^2*$J$6+$M$5*$J$7</f>
        <v>36.142546496398609</v>
      </c>
      <c r="L69" s="39">
        <f>$J$3+[39]FormattedData!E69*$J$4+$M$4*$J$5+[39]FormattedData!E69^2*$J$6+$M$5*$J$7</f>
        <v>36.142546496398609</v>
      </c>
      <c r="M69" s="39">
        <f>$J$3+[39]FormattedData!F69*$J$4+$M$4*$J$5+[39]FormattedData!F69^2*$J$6+$M$5*$J$7</f>
        <v>30.099196829548351</v>
      </c>
      <c r="N69" s="39">
        <f>$J$3+[39]FormattedData!G69*$J$4+$M$4*$J$5+[39]FormattedData!G69^2*$J$6+$M$5*$J$7</f>
        <v>35.194485807069363</v>
      </c>
      <c r="O69" s="39">
        <f>$J$3+[39]FormattedData!H69*$J$4+$M$4*$J$5+[39]FormattedData!H69^2*$J$6+$M$5*$J$7</f>
        <v>32.613608811183816</v>
      </c>
      <c r="P69" s="39">
        <f>$J$3+[39]FormattedData!I69*$J$4+$M$4*$J$5+[39]FormattedData!I69^2*$J$6+$M$5*$J$7</f>
        <v>34.432993920874942</v>
      </c>
      <c r="Q69" s="39">
        <f>$J$3+[39]FormattedData!J69*$J$4+$M$4*$J$5+[39]FormattedData!J69^2*$J$6+$M$5*$J$7</f>
        <v>30.681981860663178</v>
      </c>
      <c r="R69" s="39">
        <f>$J$3+[39]FormattedData!K69*$J$4+$M$4*$J$5+[39]FormattedData!K69^2*$J$6+$M$5*$J$7</f>
        <v>32.035896004620732</v>
      </c>
      <c r="S69" s="39">
        <f>$J$3+[39]FormattedData!L69*$J$4+$M$4*$J$5+[39]FormattedData!L69^2*$J$6+$M$5*$J$7</f>
        <v>30.39077955352646</v>
      </c>
      <c r="T69" s="39">
        <f>$J$3+[39]FormattedData!M69*$J$4+$M$4*$J$5+[39]FormattedData!M69^2*$J$6+$M$5*$J$7</f>
        <v>32.901894589203287</v>
      </c>
      <c r="U69" s="39">
        <f>$J$3+[39]FormattedData!N69*$J$4+$M$4*$J$5+[39]FormattedData!N69^2*$J$6+$M$5*$J$7</f>
        <v>37.46273034708711</v>
      </c>
      <c r="V69" s="39">
        <f>$J$3+[39]FormattedData!O69*$J$4+$M$4*$J$5+[39]FormattedData!O69^2*$J$6+$M$5*$J$7</f>
        <v>32.421206949814518</v>
      </c>
      <c r="W69" s="38">
        <f>AVERAGE(K69:V69)</f>
        <v>33.376655638865749</v>
      </c>
      <c r="X69" s="37">
        <f>STDEV(K69:V69)/SQRT(COUNT(K69:V69))</f>
        <v>0.71166303421639721</v>
      </c>
      <c r="Y69" s="36">
        <f>MIN(K69:V69)</f>
        <v>30.099196829548351</v>
      </c>
      <c r="Z69" s="35">
        <f>QUARTILE(K69:V69,1)</f>
        <v>31.697417468631343</v>
      </c>
      <c r="AA69" s="36">
        <f>MEDIAN(K69:V69)</f>
        <v>32.757751700193552</v>
      </c>
      <c r="AB69" s="35">
        <f>QUARTILE(K69:V69,3)</f>
        <v>35.431500979401676</v>
      </c>
      <c r="AC69" s="35">
        <f>MAX(K69:V69)</f>
        <v>37.46273034708711</v>
      </c>
      <c r="AD69" s="35">
        <f>SKEW(K69:V69)</f>
        <v>0.23662918301814054</v>
      </c>
      <c r="AE69" s="35">
        <f>KURT(K69:V69)</f>
        <v>-1.2176244711481576</v>
      </c>
    </row>
    <row r="70" spans="2:31" x14ac:dyDescent="0.2">
      <c r="B70" s="34">
        <f>[39]FormattedData!A71</f>
        <v>305</v>
      </c>
      <c r="C70" s="34" t="str">
        <f>VLOOKUP($B70,[39]TrtCodes!$B$11:I114,2)</f>
        <v>NDH</v>
      </c>
      <c r="D70" s="34">
        <f>VLOOKUP($B70,[39]TrtCodes!$B$11:J114,3)</f>
        <v>11</v>
      </c>
      <c r="E70" s="34">
        <f>VLOOKUP($B70,[39]TrtCodes!$B$11:K114,4)</f>
        <v>2</v>
      </c>
      <c r="F70" s="34">
        <f>VLOOKUP($B70,[39]TrtCodes!$B$11:L114,5)</f>
        <v>3</v>
      </c>
      <c r="G70" s="34">
        <f>VLOOKUP($B70,[39]TrtCodes!$B$11:M114,6)</f>
        <v>2</v>
      </c>
      <c r="H70" s="34">
        <f>VLOOKUP($B70,[39]TrtCodes!$B$11:N114,7)</f>
        <v>4</v>
      </c>
      <c r="I70" s="34">
        <f>[39]FormattedData!B71</f>
        <v>2</v>
      </c>
      <c r="J70" s="37">
        <f>[39]FormattedData!C71</f>
        <v>13.367000000000001</v>
      </c>
      <c r="K70" s="39">
        <f>$J$3+[39]FormattedData!D71*$J$4+$M$4*$J$5+[39]FormattedData!D71^2*$J$6+$M$5*$J$7</f>
        <v>31.069659843981096</v>
      </c>
      <c r="L70" s="39">
        <f>$J$3+[39]FormattedData!E71*$J$4+$M$4*$J$5+[39]FormattedData!E71^2*$J$6+$M$5*$J$7</f>
        <v>29.026805497541289</v>
      </c>
      <c r="M70" s="39">
        <f>$J$3+[39]FormattedData!F71*$J$4+$M$4*$J$5+[39]FormattedData!F71^2*$J$6+$M$5*$J$7</f>
        <v>28.047466090143008</v>
      </c>
      <c r="N70" s="39">
        <f>$J$3+[39]FormattedData!G71*$J$4+$M$4*$J$5+[39]FormattedData!G71^2*$J$6+$M$5*$J$7</f>
        <v>30.584956693488866</v>
      </c>
      <c r="O70" s="39">
        <f>$J$3+[39]FormattedData!H71*$J$4+$M$4*$J$5+[39]FormattedData!H71^2*$J$6+$M$5*$J$7</f>
        <v>31.069659843981096</v>
      </c>
      <c r="P70" s="39">
        <f>$J$3+[39]FormattedData!I71*$J$4+$M$4*$J$5+[39]FormattedData!I71^2*$J$6+$M$5*$J$7</f>
        <v>29.904597004206636</v>
      </c>
      <c r="Q70" s="39">
        <f>$J$3+[39]FormattedData!J71*$J$4+$M$4*$J$5+[39]FormattedData!J71^2*$J$6+$M$5*$J$7</f>
        <v>33.189799950381378</v>
      </c>
      <c r="R70" s="39">
        <f>$J$3+[39]FormattedData!K71*$J$4+$M$4*$J$5+[39]FormattedData!K71^2*$J$6+$M$5*$J$7</f>
        <v>27.260951229493337</v>
      </c>
      <c r="S70" s="39">
        <f>$J$3+[39]FormattedData!L71*$J$4+$M$4*$J$5+[39]FormattedData!L71^2*$J$6+$M$5*$J$7</f>
        <v>28.341711732010765</v>
      </c>
      <c r="T70" s="39">
        <f>$J$3+[39]FormattedData!M71*$J$4+$M$4*$J$5+[39]FormattedData!M71^2*$J$6+$M$5*$J$7</f>
        <v>30.972803750958516</v>
      </c>
      <c r="U70" s="39">
        <f>$J$3+[39]FormattedData!N71*$J$4+$M$4*$J$5+[39]FormattedData!N71^2*$J$6+$M$5*$J$7</f>
        <v>27.162446663491437</v>
      </c>
      <c r="V70" s="39">
        <f>$J$3+[39]FormattedData!O71*$J$4+$M$4*$J$5+[39]FormattedData!O71^2*$J$6+$M$5*$J$7</f>
        <v>30.196433339412323</v>
      </c>
      <c r="W70" s="38">
        <f>AVERAGE(K70:V70)</f>
        <v>29.73560763659081</v>
      </c>
      <c r="X70" s="37">
        <f>STDEV(K70:V70)/SQRT(COUNT(K70:V70))</f>
        <v>0.52240738470161852</v>
      </c>
      <c r="Y70" s="36">
        <f>MIN(K70:V70)</f>
        <v>27.162446663491437</v>
      </c>
      <c r="Z70" s="35">
        <f>QUARTILE(K70:V70,1)</f>
        <v>28.268150321543825</v>
      </c>
      <c r="AA70" s="36">
        <f>MEDIAN(K70:V70)</f>
        <v>30.050515171809479</v>
      </c>
      <c r="AB70" s="35">
        <f>QUARTILE(K70:V70,3)</f>
        <v>30.997017774214161</v>
      </c>
      <c r="AC70" s="35">
        <f>MAX(K70:V70)</f>
        <v>33.189799950381378</v>
      </c>
      <c r="AD70" s="35">
        <f>SKEW(K70:V70)</f>
        <v>0.15653256508188881</v>
      </c>
      <c r="AE70" s="35">
        <f>KURT(K70:V70)</f>
        <v>-0.43233482737148643</v>
      </c>
    </row>
    <row r="71" spans="2:31" x14ac:dyDescent="0.2">
      <c r="B71" s="34">
        <f>[39]FormattedData!A73</f>
        <v>306</v>
      </c>
      <c r="C71" s="34" t="str">
        <f>VLOOKUP($B71,[39]TrtCodes!$B$11:I116,2)</f>
        <v>FTL</v>
      </c>
      <c r="D71" s="34">
        <f>VLOOKUP($B71,[39]TrtCodes!$B$11:J116,3)</f>
        <v>4</v>
      </c>
      <c r="E71" s="34">
        <f>VLOOKUP($B71,[39]TrtCodes!$B$11:K116,4)</f>
        <v>1</v>
      </c>
      <c r="F71" s="34">
        <f>VLOOKUP($B71,[39]TrtCodes!$B$11:L116,5)</f>
        <v>2</v>
      </c>
      <c r="G71" s="34">
        <f>VLOOKUP($B71,[39]TrtCodes!$B$11:M116,6)</f>
        <v>1</v>
      </c>
      <c r="H71" s="34">
        <f>VLOOKUP($B71,[39]TrtCodes!$B$11:N116,7)</f>
        <v>4</v>
      </c>
      <c r="I71" s="34">
        <f>[39]FormattedData!B73</f>
        <v>2</v>
      </c>
      <c r="J71" s="37">
        <f>[39]FormattedData!C73</f>
        <v>13.385999999999999</v>
      </c>
      <c r="K71" s="39">
        <f>$J$3+[39]FormattedData!D73*$J$4+$M$4*$J$5+[39]FormattedData!D73^2*$J$6+$M$5*$J$7</f>
        <v>33.955687764520654</v>
      </c>
      <c r="L71" s="39">
        <f>$J$3+[39]FormattedData!E73*$J$4+$M$4*$J$5+[39]FormattedData!E73^2*$J$6+$M$5*$J$7</f>
        <v>32.805841598401393</v>
      </c>
      <c r="M71" s="39">
        <f>$J$3+[39]FormattedData!F73*$J$4+$M$4*$J$5+[39]FormattedData!F73^2*$J$6+$M$5*$J$7</f>
        <v>30.293627580738352</v>
      </c>
      <c r="N71" s="39">
        <f>$J$3+[39]FormattedData!G73*$J$4+$M$4*$J$5+[39]FormattedData!G73^2*$J$6+$M$5*$J$7</f>
        <v>34.24219826394701</v>
      </c>
      <c r="O71" s="39">
        <f>$J$3+[39]FormattedData!H73*$J$4+$M$4*$J$5+[39]FormattedData!H73^2*$J$6+$M$5*$J$7</f>
        <v>28.733447494970079</v>
      </c>
      <c r="P71" s="39">
        <f>$J$3+[39]FormattedData!I73*$J$4+$M$4*$J$5+[39]FormattedData!I73^2*$J$6+$M$5*$J$7</f>
        <v>29.319783083271115</v>
      </c>
      <c r="Q71" s="39">
        <f>$J$3+[39]FormattedData!J73*$J$4+$M$4*$J$5+[39]FormattedData!J73^2*$J$6+$M$5*$J$7</f>
        <v>29.612380252159561</v>
      </c>
      <c r="R71" s="39">
        <f>$J$3+[39]FormattedData!K73*$J$4+$M$4*$J$5+[39]FormattedData!K73^2*$J$6+$M$5*$J$7</f>
        <v>30.196433339412323</v>
      </c>
      <c r="S71" s="39">
        <f>$J$3+[39]FormattedData!L73*$J$4+$M$4*$J$5+[39]FormattedData!L73^2*$J$6+$M$5*$J$7</f>
        <v>31.166473668465756</v>
      </c>
      <c r="T71" s="39">
        <f>$J$3+[39]FormattedData!M73*$J$4+$M$4*$J$5+[39]FormattedData!M73^2*$J$6+$M$5*$J$7</f>
        <v>29.514890131068015</v>
      </c>
      <c r="U71" s="39">
        <f>$J$3+[39]FormattedData!N73*$J$4+$M$4*$J$5+[39]FormattedData!N73^2*$J$6+$M$5*$J$7</f>
        <v>28.047466090143008</v>
      </c>
      <c r="V71" s="39">
        <f>$J$3+[39]FormattedData!O73*$J$4+$M$4*$J$5+[39]FormattedData!O73^2*$J$6+$M$5*$J$7</f>
        <v>33.764469422213416</v>
      </c>
      <c r="W71" s="38">
        <f>AVERAGE(K71:V71)</f>
        <v>30.971058224109228</v>
      </c>
      <c r="X71" s="37">
        <f>STDEV(K71:V71)/SQRT(COUNT(K71:V71))</f>
        <v>0.62838491671236629</v>
      </c>
      <c r="Y71" s="36">
        <f>MIN(K71:V71)</f>
        <v>28.047466090143008</v>
      </c>
      <c r="Z71" s="35">
        <f>QUARTILE(K71:V71,1)</f>
        <v>29.466113369118791</v>
      </c>
      <c r="AA71" s="36">
        <f>MEDIAN(K71:V71)</f>
        <v>30.245030460075338</v>
      </c>
      <c r="AB71" s="35">
        <f>QUARTILE(K71:V71,3)</f>
        <v>33.045498554354396</v>
      </c>
      <c r="AC71" s="35">
        <f>MAX(K71:V71)</f>
        <v>34.24219826394701</v>
      </c>
      <c r="AD71" s="35">
        <f>SKEW(K71:V71)</f>
        <v>0.44954485899799174</v>
      </c>
      <c r="AE71" s="35">
        <f>KURT(K71:V71)</f>
        <v>-1.3656548986623811</v>
      </c>
    </row>
    <row r="72" spans="2:31" x14ac:dyDescent="0.2">
      <c r="B72" s="34">
        <f>[39]FormattedData!A75</f>
        <v>307</v>
      </c>
      <c r="C72" s="34" t="str">
        <f>VLOOKUP($B72,[39]TrtCodes!$B$11:I118,2)</f>
        <v>NTH</v>
      </c>
      <c r="D72" s="34">
        <f>VLOOKUP($B72,[39]TrtCodes!$B$11:J118,3)</f>
        <v>9</v>
      </c>
      <c r="E72" s="34">
        <f>VLOOKUP($B72,[39]TrtCodes!$B$11:K118,4)</f>
        <v>2</v>
      </c>
      <c r="F72" s="34">
        <f>VLOOKUP($B72,[39]TrtCodes!$B$11:L118,5)</f>
        <v>2</v>
      </c>
      <c r="G72" s="34">
        <f>VLOOKUP($B72,[39]TrtCodes!$B$11:M118,6)</f>
        <v>2</v>
      </c>
      <c r="H72" s="34">
        <f>VLOOKUP($B72,[39]TrtCodes!$B$11:N118,7)</f>
        <v>4</v>
      </c>
      <c r="I72" s="34">
        <f>[39]FormattedData!B75</f>
        <v>2</v>
      </c>
      <c r="J72" s="37">
        <f>[39]FormattedData!C75</f>
        <v>13.407</v>
      </c>
      <c r="K72" s="39">
        <f>$J$3+[39]FormattedData!D75*$J$4+$M$4*$J$5+[39]FormattedData!D75^2*$J$6+$M$5*$J$7</f>
        <v>31.263245224412472</v>
      </c>
      <c r="L72" s="39">
        <f>$J$3+[39]FormattedData!E75*$J$4+$M$4*$J$5+[39]FormattedData!E75^2*$J$6+$M$5*$J$7</f>
        <v>30.972803750958516</v>
      </c>
      <c r="M72" s="39">
        <f>$J$3+[39]FormattedData!F75*$J$4+$M$4*$J$5+[39]FormattedData!F75^2*$J$6+$M$5*$J$7</f>
        <v>30.196433339412323</v>
      </c>
      <c r="N72" s="39">
        <f>$J$3+[39]FormattedData!G75*$J$4+$M$4*$J$5+[39]FormattedData!G75^2*$J$6+$M$5*$J$7</f>
        <v>31.166473668465756</v>
      </c>
      <c r="O72" s="39">
        <f>$J$3+[39]FormattedData!H75*$J$4+$M$4*$J$5+[39]FormattedData!H75^2*$J$6+$M$5*$J$7</f>
        <v>30.681981860663178</v>
      </c>
      <c r="P72" s="39">
        <f>$J$3+[39]FormattedData!I75*$J$4+$M$4*$J$5+[39]FormattedData!I75^2*$J$6+$M$5*$J$7</f>
        <v>30.099196829548351</v>
      </c>
      <c r="Q72" s="39">
        <f>$J$3+[39]FormattedData!J75*$J$4+$M$4*$J$5+[39]FormattedData!J75^2*$J$6+$M$5*$J$7</f>
        <v>29.709828104713186</v>
      </c>
      <c r="R72" s="39">
        <f>$J$3+[39]FormattedData!K75*$J$4+$M$4*$J$5+[39]FormattedData!K75^2*$J$6+$M$5*$J$7</f>
        <v>31.166473668465756</v>
      </c>
      <c r="S72" s="39">
        <f>$J$3+[39]FormattedData!L75*$J$4+$M$4*$J$5+[39]FormattedData!L75^2*$J$6+$M$5*$J$7</f>
        <v>33.09387376519328</v>
      </c>
      <c r="T72" s="39">
        <f>$J$3+[39]FormattedData!M75*$J$4+$M$4*$J$5+[39]FormattedData!M75^2*$J$6+$M$5*$J$7</f>
        <v>30.584956693488866</v>
      </c>
      <c r="U72" s="39">
        <f>$J$3+[39]FormattedData!N75*$J$4+$M$4*$J$5+[39]FormattedData!N75^2*$J$6+$M$5*$J$7</f>
        <v>30.001918051146458</v>
      </c>
      <c r="V72" s="39">
        <f>$J$3+[39]FormattedData!O75*$J$4+$M$4*$J$5+[39]FormattedData!O75^2*$J$6+$M$5*$J$7</f>
        <v>30.972803750958516</v>
      </c>
      <c r="W72" s="38">
        <f>AVERAGE(K72:V72)</f>
        <v>30.825832392285559</v>
      </c>
      <c r="X72" s="37">
        <f>STDEV(K72:V72)/SQRT(COUNT(K72:V72))</f>
        <v>0.25432281847289628</v>
      </c>
      <c r="Y72" s="36">
        <f>MIN(K72:V72)</f>
        <v>29.709828104713186</v>
      </c>
      <c r="Z72" s="35">
        <f>QUARTILE(K72:V72,1)</f>
        <v>30.172124211946329</v>
      </c>
      <c r="AA72" s="36">
        <f>MEDIAN(K72:V72)</f>
        <v>30.827392805810845</v>
      </c>
      <c r="AB72" s="35">
        <f>QUARTILE(K72:V72,3)</f>
        <v>31.166473668465756</v>
      </c>
      <c r="AC72" s="35">
        <f>MAX(K72:V72)</f>
        <v>33.09387376519328</v>
      </c>
      <c r="AD72" s="35">
        <f>SKEW(K72:V72)</f>
        <v>1.4735977802206677</v>
      </c>
      <c r="AE72" s="35">
        <f>KURT(K72:V72)</f>
        <v>3.5460963789944699</v>
      </c>
    </row>
    <row r="73" spans="2:31" x14ac:dyDescent="0.2">
      <c r="B73" s="34">
        <f>[39]FormattedData!A77</f>
        <v>308</v>
      </c>
      <c r="C73" s="34" t="str">
        <f>VLOOKUP($B73,[39]TrtCodes!$B$11:I120,2)</f>
        <v>FDH</v>
      </c>
      <c r="D73" s="34">
        <f>VLOOKUP($B73,[39]TrtCodes!$B$11:J120,3)</f>
        <v>5</v>
      </c>
      <c r="E73" s="34">
        <f>VLOOKUP($B73,[39]TrtCodes!$B$11:K120,4)</f>
        <v>1</v>
      </c>
      <c r="F73" s="34">
        <f>VLOOKUP($B73,[39]TrtCodes!$B$11:L120,5)</f>
        <v>3</v>
      </c>
      <c r="G73" s="34">
        <f>VLOOKUP($B73,[39]TrtCodes!$B$11:M120,6)</f>
        <v>2</v>
      </c>
      <c r="H73" s="34">
        <f>VLOOKUP($B73,[39]TrtCodes!$B$11:N120,7)</f>
        <v>4</v>
      </c>
      <c r="I73" s="34">
        <f>[39]FormattedData!B77</f>
        <v>2</v>
      </c>
      <c r="J73" s="37">
        <f>[39]FormattedData!C77</f>
        <v>13.426</v>
      </c>
      <c r="K73" s="39">
        <f>$J$3+[39]FormattedData!D77*$J$4+$M$4*$J$5+[39]FormattedData!D77^2*$J$6+$M$5*$J$7</f>
        <v>36.803674000922179</v>
      </c>
      <c r="L73" s="39">
        <f>$J$3+[39]FormattedData!E77*$J$4+$M$4*$J$5+[39]FormattedData!E77^2*$J$6+$M$5*$J$7</f>
        <v>30.875905389398003</v>
      </c>
      <c r="M73" s="39">
        <f>$J$3+[39]FormattedData!F77*$J$4+$M$4*$J$5+[39]FormattedData!F77^2*$J$6+$M$5*$J$7</f>
        <v>30.972803750958516</v>
      </c>
      <c r="N73" s="39">
        <f>$J$3+[39]FormattedData!G77*$J$4+$M$4*$J$5+[39]FormattedData!G77^2*$J$6+$M$5*$J$7</f>
        <v>34.337617226679939</v>
      </c>
      <c r="O73" s="39">
        <f>$J$3+[39]FormattedData!H77*$J$4+$M$4*$J$5+[39]FormattedData!H77^2*$J$6+$M$5*$J$7</f>
        <v>32.132287143726074</v>
      </c>
      <c r="P73" s="39">
        <f>$J$3+[39]FormattedData!I77*$J$4+$M$4*$J$5+[39]FormattedData!I77^2*$J$6+$M$5*$J$7</f>
        <v>33.189799950381378</v>
      </c>
      <c r="Q73" s="39">
        <f>$J$3+[39]FormattedData!J77*$J$4+$M$4*$J$5+[39]FormattedData!J77^2*$J$6+$M$5*$J$7</f>
        <v>36.520587253068229</v>
      </c>
      <c r="R73" s="39">
        <f>$J$3+[39]FormattedData!K77*$J$4+$M$4*$J$5+[39]FormattedData!K77^2*$J$6+$M$5*$J$7</f>
        <v>31.553306281025058</v>
      </c>
      <c r="S73" s="39">
        <f>$J$3+[39]FormattedData!L77*$J$4+$M$4*$J$5+[39]FormattedData!L77^2*$J$6+$M$5*$J$7</f>
        <v>33.764469422213416</v>
      </c>
      <c r="T73" s="39">
        <f>$J$3+[39]FormattedData!M77*$J$4+$M$4*$J$5+[39]FormattedData!M77^2*$J$6+$M$5*$J$7</f>
        <v>33.860099727636005</v>
      </c>
      <c r="U73" s="39">
        <f>$J$3+[39]FormattedData!N77*$J$4+$M$4*$J$5+[39]FormattedData!N77^2*$J$6+$M$5*$J$7</f>
        <v>32.805841598401393</v>
      </c>
      <c r="V73" s="39">
        <f>$J$3+[39]FormattedData!O77*$J$4+$M$4*$J$5+[39]FormattedData!O77^2*$J$6+$M$5*$J$7</f>
        <v>35.9532725068362</v>
      </c>
      <c r="W73" s="38">
        <f>AVERAGE(K73:V73)</f>
        <v>33.564138687603865</v>
      </c>
      <c r="X73" s="37">
        <f>STDEV(K73:V73)/SQRT(COUNT(K73:V73))</f>
        <v>0.59301193687026488</v>
      </c>
      <c r="Y73" s="36">
        <f>MIN(K73:V73)</f>
        <v>30.875905389398003</v>
      </c>
      <c r="Z73" s="35">
        <f>QUARTILE(K73:V73,1)</f>
        <v>31.98754192805082</v>
      </c>
      <c r="AA73" s="36">
        <f>MEDIAN(K73:V73)</f>
        <v>33.477134686297397</v>
      </c>
      <c r="AB73" s="35">
        <f>QUARTILE(K73:V73,3)</f>
        <v>34.741531046719004</v>
      </c>
      <c r="AC73" s="35">
        <f>MAX(K73:V73)</f>
        <v>36.803674000922179</v>
      </c>
      <c r="AD73" s="35">
        <f>SKEW(K73:V73)</f>
        <v>0.32203128990985463</v>
      </c>
      <c r="AE73" s="35">
        <f>KURT(K73:V73)</f>
        <v>-1.0451660114275945</v>
      </c>
    </row>
    <row r="74" spans="2:31" x14ac:dyDescent="0.2">
      <c r="B74" s="34">
        <f>[39]FormattedData!A93</f>
        <v>401</v>
      </c>
      <c r="C74" s="34" t="str">
        <f>VLOOKUP($B74,[39]TrtCodes!$B$11:I130,2)</f>
        <v>NSH</v>
      </c>
      <c r="D74" s="34">
        <f>VLOOKUP($B74,[39]TrtCodes!$B$11:J130,3)</f>
        <v>7</v>
      </c>
      <c r="E74" s="34">
        <f>VLOOKUP($B74,[39]TrtCodes!$B$11:K130,4)</f>
        <v>2</v>
      </c>
      <c r="F74" s="34">
        <f>VLOOKUP($B74,[39]TrtCodes!$B$11:L130,5)</f>
        <v>1</v>
      </c>
      <c r="G74" s="34">
        <f>VLOOKUP($B74,[39]TrtCodes!$B$11:M130,6)</f>
        <v>2</v>
      </c>
      <c r="H74" s="34">
        <f>VLOOKUP($B74,[39]TrtCodes!$B$11:N130,7)</f>
        <v>3</v>
      </c>
      <c r="I74" s="34">
        <f>[39]FormattedData!B93</f>
        <v>2</v>
      </c>
      <c r="J74" s="37">
        <f>[39]FormattedData!C93</f>
        <v>13.613</v>
      </c>
      <c r="K74" s="39">
        <f>$J$3+[39]FormattedData!D93*$J$4+$M$4*$J$5+[39]FormattedData!D93^2*$J$6+$M$5*$J$7</f>
        <v>32.613608811183816</v>
      </c>
      <c r="L74" s="39">
        <f>$J$3+[39]FormattedData!E93*$J$4+$M$4*$J$5+[39]FormattedData!E93^2*$J$6+$M$5*$J$7</f>
        <v>32.035896004620732</v>
      </c>
      <c r="M74" s="39">
        <f>$J$3+[39]FormattedData!F93*$J$4+$M$4*$J$5+[39]FormattedData!F93^2*$J$6+$M$5*$J$7</f>
        <v>32.709746339061567</v>
      </c>
      <c r="N74" s="39">
        <f>$J$3+[39]FormattedData!G93*$J$4+$M$4*$J$5+[39]FormattedData!G93^2*$J$6+$M$5*$J$7</f>
        <v>30.681981860663178</v>
      </c>
      <c r="O74" s="39">
        <f>$J$3+[39]FormattedData!H93*$J$4+$M$4*$J$5+[39]FormattedData!H93^2*$J$6+$M$5*$J$7</f>
        <v>33.09387376519328</v>
      </c>
      <c r="P74" s="39">
        <f>$J$3+[39]FormattedData!I93*$J$4+$M$4*$J$5+[39]FormattedData!I93^2*$J$6+$M$5*$J$7</f>
        <v>31.166473668465756</v>
      </c>
      <c r="Q74" s="39">
        <f>$J$3+[39]FormattedData!J93*$J$4+$M$4*$J$5+[39]FormattedData!J93^2*$J$6+$M$5*$J$7</f>
        <v>31.456661530692127</v>
      </c>
      <c r="R74" s="39">
        <f>$J$3+[39]FormattedData!K93*$J$4+$M$4*$J$5+[39]FormattedData!K93^2*$J$6+$M$5*$J$7</f>
        <v>30.972803750958516</v>
      </c>
      <c r="S74" s="39">
        <f>$J$3+[39]FormattedData!L93*$J$4+$M$4*$J$5+[39]FormattedData!L93^2*$J$6+$M$5*$J$7</f>
        <v>31.939462596977464</v>
      </c>
      <c r="T74" s="39">
        <f>$J$3+[39]FormattedData!M93*$J$4+$M$4*$J$5+[39]FormattedData!M93^2*$J$6+$M$5*$J$7</f>
        <v>30.001918051146458</v>
      </c>
      <c r="U74" s="39">
        <f>$J$3+[39]FormattedData!N93*$J$4+$M$4*$J$5+[39]FormattedData!N93^2*$J$6+$M$5*$J$7</f>
        <v>30.972803750958516</v>
      </c>
      <c r="V74" s="39">
        <f>$J$3+[39]FormattedData!O93*$J$4+$M$4*$J$5+[39]FormattedData!O93^2*$J$6+$M$5*$J$7</f>
        <v>30.972803750958516</v>
      </c>
      <c r="W74" s="38">
        <f>AVERAGE(K74:V74)</f>
        <v>31.551502823406661</v>
      </c>
      <c r="X74" s="37">
        <f>STDEV(K74:V74)/SQRT(COUNT(K74:V74))</f>
        <v>0.26901693472376675</v>
      </c>
      <c r="Y74" s="36">
        <f>MIN(K74:V74)</f>
        <v>30.001918051146458</v>
      </c>
      <c r="Z74" s="35">
        <f>QUARTILE(K74:V74,1)</f>
        <v>30.972803750958516</v>
      </c>
      <c r="AA74" s="36">
        <f>MEDIAN(K74:V74)</f>
        <v>31.311567599578943</v>
      </c>
      <c r="AB74" s="35">
        <f>QUARTILE(K74:V74,3)</f>
        <v>32.180324206261503</v>
      </c>
      <c r="AC74" s="35">
        <f>MAX(K74:V74)</f>
        <v>33.09387376519328</v>
      </c>
      <c r="AD74" s="35">
        <f>SKEW(K74:V74)</f>
        <v>0.21237359604433334</v>
      </c>
      <c r="AE74" s="35">
        <f>KURT(K74:V74)</f>
        <v>-0.79379008678059426</v>
      </c>
    </row>
    <row r="75" spans="2:31" x14ac:dyDescent="0.2">
      <c r="B75" s="34">
        <f>[39]FormattedData!A91</f>
        <v>402</v>
      </c>
      <c r="C75" s="34" t="str">
        <f>VLOOKUP($B75,[39]TrtCodes!$B$11:I131,2)</f>
        <v>NTH</v>
      </c>
      <c r="D75" s="34">
        <f>VLOOKUP($B75,[39]TrtCodes!$B$11:J131,3)</f>
        <v>9</v>
      </c>
      <c r="E75" s="34">
        <f>VLOOKUP($B75,[39]TrtCodes!$B$11:K131,4)</f>
        <v>2</v>
      </c>
      <c r="F75" s="34">
        <f>VLOOKUP($B75,[39]TrtCodes!$B$11:L131,5)</f>
        <v>2</v>
      </c>
      <c r="G75" s="34">
        <f>VLOOKUP($B75,[39]TrtCodes!$B$11:M131,6)</f>
        <v>2</v>
      </c>
      <c r="H75" s="34">
        <f>VLOOKUP($B75,[39]TrtCodes!$B$11:N131,7)</f>
        <v>3</v>
      </c>
      <c r="I75" s="34">
        <f>[39]FormattedData!B91</f>
        <v>2</v>
      </c>
      <c r="J75" s="37">
        <f>[39]FormattedData!C91</f>
        <v>13.589</v>
      </c>
      <c r="K75" s="39">
        <f>$J$3+[39]FormattedData!D91*$J$4+$M$4*$J$5+[39]FormattedData!D91^2*$J$6+$M$5*$J$7</f>
        <v>35.099447261177822</v>
      </c>
      <c r="L75" s="39">
        <f>$J$3+[39]FormattedData!E91*$J$4+$M$4*$J$5+[39]FormattedData!E91^2*$J$6+$M$5*$J$7</f>
        <v>32.228636014293478</v>
      </c>
      <c r="M75" s="39">
        <f>$J$3+[39]FormattedData!F91*$J$4+$M$4*$J$5+[39]FormattedData!F91^2*$J$6+$M$5*$J$7</f>
        <v>31.456661530692127</v>
      </c>
      <c r="N75" s="39">
        <f>$J$3+[39]FormattedData!G91*$J$4+$M$4*$J$5+[39]FormattedData!G91^2*$J$6+$M$5*$J$7</f>
        <v>38.213401487571176</v>
      </c>
      <c r="O75" s="39">
        <f>$J$3+[39]FormattedData!H91*$J$4+$M$4*$J$5+[39]FormattedData!H91^2*$J$6+$M$5*$J$7</f>
        <v>32.035896004620732</v>
      </c>
      <c r="P75" s="39">
        <f>$J$3+[39]FormattedData!I91*$J$4+$M$4*$J$5+[39]FormattedData!I91^2*$J$6+$M$5*$J$7</f>
        <v>30.875905389398003</v>
      </c>
      <c r="Q75" s="39">
        <f>$J$3+[39]FormattedData!J91*$J$4+$M$4*$J$5+[39]FormattedData!J91^2*$J$6+$M$5*$J$7</f>
        <v>32.035896004620732</v>
      </c>
      <c r="R75" s="39">
        <f>$J$3+[39]FormattedData!K91*$J$4+$M$4*$J$5+[39]FormattedData!K91^2*$J$6+$M$5*$J$7</f>
        <v>32.613608811183816</v>
      </c>
      <c r="S75" s="39">
        <f>$J$3+[39]FormattedData!L91*$J$4+$M$4*$J$5+[39]FormattedData!L91^2*$J$6+$M$5*$J$7</f>
        <v>30.293627580738352</v>
      </c>
      <c r="T75" s="39">
        <f>$J$3+[39]FormattedData!M91*$J$4+$M$4*$J$5+[39]FormattedData!M91^2*$J$6+$M$5*$J$7</f>
        <v>29.026805497541289</v>
      </c>
      <c r="U75" s="39">
        <f>$J$3+[39]FormattedData!N91*$J$4+$M$4*$J$5+[39]FormattedData!N91^2*$J$6+$M$5*$J$7</f>
        <v>31.166473668465756</v>
      </c>
      <c r="V75" s="39">
        <f>$J$3+[39]FormattedData!O91*$J$4+$M$4*$J$5+[39]FormattedData!O91^2*$J$6+$M$5*$J$7</f>
        <v>34.718870392232326</v>
      </c>
      <c r="W75" s="38">
        <f>AVERAGE(K75:V75)</f>
        <v>32.480435803544637</v>
      </c>
      <c r="X75" s="37">
        <f>STDEV(K75:V75)/SQRT(COUNT(K75:V75))</f>
        <v>0.71388764927923853</v>
      </c>
      <c r="Y75" s="36">
        <f>MIN(K75:V75)</f>
        <v>29.026805497541289</v>
      </c>
      <c r="Z75" s="35">
        <f>QUARTILE(K75:V75,1)</f>
        <v>31.093831598698817</v>
      </c>
      <c r="AA75" s="36">
        <f>MEDIAN(K75:V75)</f>
        <v>32.035896004620732</v>
      </c>
      <c r="AB75" s="35">
        <f>QUARTILE(K75:V75,3)</f>
        <v>33.13992420644594</v>
      </c>
      <c r="AC75" s="35">
        <f>MAX(K75:V75)</f>
        <v>38.213401487571176</v>
      </c>
      <c r="AD75" s="35">
        <f>SKEW(K75:V75)</f>
        <v>1.1417914890918144</v>
      </c>
      <c r="AE75" s="35">
        <f>KURT(K75:V75)</f>
        <v>1.5630559351690279</v>
      </c>
    </row>
    <row r="76" spans="2:31" x14ac:dyDescent="0.2">
      <c r="B76" s="34">
        <f>[39]FormattedData!A89</f>
        <v>403</v>
      </c>
      <c r="C76" s="34" t="str">
        <f>VLOOKUP($B76,[39]TrtCodes!$B$11:I132,2)</f>
        <v>FDL</v>
      </c>
      <c r="D76" s="34">
        <f>VLOOKUP($B76,[39]TrtCodes!$B$11:J132,3)</f>
        <v>6</v>
      </c>
      <c r="E76" s="34">
        <f>VLOOKUP($B76,[39]TrtCodes!$B$11:K132,4)</f>
        <v>1</v>
      </c>
      <c r="F76" s="34">
        <f>VLOOKUP($B76,[39]TrtCodes!$B$11:L132,5)</f>
        <v>3</v>
      </c>
      <c r="G76" s="34">
        <f>VLOOKUP($B76,[39]TrtCodes!$B$11:M132,6)</f>
        <v>1</v>
      </c>
      <c r="H76" s="34">
        <f>VLOOKUP($B76,[39]TrtCodes!$B$11:N132,7)</f>
        <v>3</v>
      </c>
      <c r="I76" s="34">
        <f>[39]FormattedData!B89</f>
        <v>2</v>
      </c>
      <c r="J76" s="37">
        <f>[39]FormattedData!C89</f>
        <v>13.567</v>
      </c>
      <c r="K76" s="39">
        <f>$J$3+[39]FormattedData!D89*$J$4+$M$4*$J$5+[39]FormattedData!D89^2*$J$6+$M$5*$J$7</f>
        <v>34.146737032676157</v>
      </c>
      <c r="L76" s="39">
        <f>$J$3+[39]FormattedData!E89*$J$4+$M$4*$J$5+[39]FormattedData!E89^2*$J$6+$M$5*$J$7</f>
        <v>37.180531238529724</v>
      </c>
      <c r="M76" s="39">
        <f>$J$3+[39]FormattedData!F89*$J$4+$M$4*$J$5+[39]FormattedData!F89^2*$J$6+$M$5*$J$7</f>
        <v>32.228636014293478</v>
      </c>
      <c r="N76" s="39">
        <f>$J$3+[39]FormattedData!G89*$J$4+$M$4*$J$5+[39]FormattedData!G89^2*$J$6+$M$5*$J$7</f>
        <v>30.196433339412323</v>
      </c>
      <c r="O76" s="39">
        <f>$J$3+[39]FormattedData!H89*$J$4+$M$4*$J$5+[39]FormattedData!H89^2*$J$6+$M$5*$J$7</f>
        <v>33.189799950381378</v>
      </c>
      <c r="P76" s="39">
        <f>$J$3+[39]FormattedData!I89*$J$4+$M$4*$J$5+[39]FormattedData!I89^2*$J$6+$M$5*$J$7</f>
        <v>28.733447494970079</v>
      </c>
      <c r="Q76" s="39">
        <f>$J$3+[39]FormattedData!J89*$J$4+$M$4*$J$5+[39]FormattedData!J89^2*$J$6+$M$5*$J$7</f>
        <v>30.39077955352646</v>
      </c>
      <c r="R76" s="39">
        <f>$J$3+[39]FormattedData!K89*$J$4+$M$4*$J$5+[39]FormattedData!K89^2*$J$6+$M$5*$J$7</f>
        <v>31.359974511821271</v>
      </c>
      <c r="S76" s="39">
        <f>$J$3+[39]FormattedData!L89*$J$4+$M$4*$J$5+[39]FormattedData!L89^2*$J$6+$M$5*$J$7</f>
        <v>30.293627580738352</v>
      </c>
      <c r="T76" s="39">
        <f>$J$3+[39]FormattedData!M89*$J$4+$M$4*$J$5+[39]FormattedData!M89^2*$J$6+$M$5*$J$7</f>
        <v>31.939462596977464</v>
      </c>
      <c r="U76" s="39">
        <f>$J$3+[39]FormattedData!N89*$J$4+$M$4*$J$5+[39]FormattedData!N89^2*$J$6+$M$5*$J$7</f>
        <v>30.972803750958516</v>
      </c>
      <c r="V76" s="39">
        <f>$J$3+[39]FormattedData!O89*$J$4+$M$4*$J$5+[39]FormattedData!O89^2*$J$6+$M$5*$J$7</f>
        <v>30.293627580738352</v>
      </c>
      <c r="W76" s="38">
        <f>AVERAGE(K76:V76)</f>
        <v>31.743821720418634</v>
      </c>
      <c r="X76" s="37">
        <f>STDEV(K76:V76)/SQRT(COUNT(K76:V76))</f>
        <v>0.650939915036994</v>
      </c>
      <c r="Y76" s="36">
        <f>MIN(K76:V76)</f>
        <v>28.733447494970079</v>
      </c>
      <c r="Z76" s="35">
        <f>QUARTILE(K76:V76,1)</f>
        <v>30.293627580738352</v>
      </c>
      <c r="AA76" s="36">
        <f>MEDIAN(K76:V76)</f>
        <v>31.166389131389892</v>
      </c>
      <c r="AB76" s="35">
        <f>QUARTILE(K76:V76,3)</f>
        <v>32.468926998315453</v>
      </c>
      <c r="AC76" s="35">
        <f>MAX(K76:V76)</f>
        <v>37.180531238529724</v>
      </c>
      <c r="AD76" s="35">
        <f>SKEW(K76:V76)</f>
        <v>1.3095869290823536</v>
      </c>
      <c r="AE76" s="35">
        <f>KURT(K76:V76)</f>
        <v>2.1338267085838023</v>
      </c>
    </row>
    <row r="77" spans="2:31" x14ac:dyDescent="0.2">
      <c r="B77" s="34">
        <f>[39]FormattedData!A87</f>
        <v>404</v>
      </c>
      <c r="C77" s="34" t="str">
        <f>VLOOKUP($B77,[39]TrtCodes!$B$11:I130,2)</f>
        <v>FTH</v>
      </c>
      <c r="D77" s="34">
        <f>VLOOKUP($B77,[39]TrtCodes!$B$11:J130,3)</f>
        <v>3</v>
      </c>
      <c r="E77" s="34">
        <f>VLOOKUP($B77,[39]TrtCodes!$B$11:K130,4)</f>
        <v>1</v>
      </c>
      <c r="F77" s="34">
        <f>VLOOKUP($B77,[39]TrtCodes!$B$11:L130,5)</f>
        <v>2</v>
      </c>
      <c r="G77" s="34">
        <f>VLOOKUP($B77,[39]TrtCodes!$B$11:M130,6)</f>
        <v>2</v>
      </c>
      <c r="H77" s="34">
        <f>VLOOKUP($B77,[39]TrtCodes!$B$11:N130,7)</f>
        <v>3</v>
      </c>
      <c r="I77" s="34">
        <f>[39]FormattedData!B87</f>
        <v>2</v>
      </c>
      <c r="J77" s="37">
        <f>[39]FormattedData!C87</f>
        <v>13.545</v>
      </c>
      <c r="K77" s="39">
        <f>$J$3+[39]FormattedData!D87*$J$4+$M$4*$J$5+[39]FormattedData!D87^2*$J$6+$M$5*$J$7</f>
        <v>35.004366446748342</v>
      </c>
      <c r="L77" s="39">
        <f>$J$3+[39]FormattedData!E87*$J$4+$M$4*$J$5+[39]FormattedData!E87^2*$J$6+$M$5*$J$7</f>
        <v>35.289482084422986</v>
      </c>
      <c r="M77" s="39">
        <f>$J$3+[39]FormattedData!F87*$J$4+$M$4*$J$5+[39]FormattedData!F87^2*$J$6+$M$5*$J$7</f>
        <v>36.331651411809283</v>
      </c>
      <c r="N77" s="39">
        <f>$J$3+[39]FormattedData!G87*$J$4+$M$4*$J$5+[39]FormattedData!G87^2*$J$6+$M$5*$J$7</f>
        <v>33.09387376519328</v>
      </c>
      <c r="O77" s="39">
        <f>$J$3+[39]FormattedData!H87*$J$4+$M$4*$J$5+[39]FormattedData!H87^2*$J$6+$M$5*$J$7</f>
        <v>32.901894589203287</v>
      </c>
      <c r="P77" s="39">
        <f>$J$3+[39]FormattedData!I87*$J$4+$M$4*$J$5+[39]FormattedData!I87^2*$J$6+$M$5*$J$7</f>
        <v>33.189799950381378</v>
      </c>
      <c r="Q77" s="39">
        <f>$J$3+[39]FormattedData!J87*$J$4+$M$4*$J$5+[39]FormattedData!J87^2*$J$6+$M$5*$J$7</f>
        <v>32.421206949814518</v>
      </c>
      <c r="R77" s="39">
        <f>$J$3+[39]FormattedData!K87*$J$4+$M$4*$J$5+[39]FormattedData!K87^2*$J$6+$M$5*$J$7</f>
        <v>30.293627580738352</v>
      </c>
      <c r="S77" s="39">
        <f>$J$3+[39]FormattedData!L87*$J$4+$M$4*$J$5+[39]FormattedData!L87^2*$J$6+$M$5*$J$7</f>
        <v>34.528328346531993</v>
      </c>
      <c r="T77" s="39">
        <f>$J$3+[39]FormattedData!M87*$J$4+$M$4*$J$5+[39]FormattedData!M87^2*$J$6+$M$5*$J$7</f>
        <v>35.574217305256234</v>
      </c>
      <c r="U77" s="39">
        <f>$J$3+[39]FormattedData!N87*$J$4+$M$4*$J$5+[39]FormattedData!N87^2*$J$6+$M$5*$J$7</f>
        <v>33.189799950381378</v>
      </c>
      <c r="V77" s="39">
        <f>$J$3+[39]FormattedData!O87*$J$4+$M$4*$J$5+[39]FormattedData!O87^2*$J$6+$M$5*$J$7</f>
        <v>31.746468976077118</v>
      </c>
      <c r="W77" s="38">
        <f>AVERAGE(K77:V77)</f>
        <v>33.630393113046516</v>
      </c>
      <c r="X77" s="37">
        <f>STDEV(K77:V77)/SQRT(COUNT(K77:V77))</f>
        <v>0.50657815840548026</v>
      </c>
      <c r="Y77" s="36">
        <f>MIN(K77:V77)</f>
        <v>30.293627580738352</v>
      </c>
      <c r="Z77" s="35">
        <f>QUARTILE(K77:V77,1)</f>
        <v>32.781722679356093</v>
      </c>
      <c r="AA77" s="36">
        <f>MEDIAN(K77:V77)</f>
        <v>33.189799950381378</v>
      </c>
      <c r="AB77" s="35">
        <f>QUARTILE(K77:V77,3)</f>
        <v>35.075645356167001</v>
      </c>
      <c r="AC77" s="35">
        <f>MAX(K77:V77)</f>
        <v>36.331651411809283</v>
      </c>
      <c r="AD77" s="35">
        <f>SKEW(K77:V77)</f>
        <v>-0.22969672663723237</v>
      </c>
      <c r="AE77" s="35">
        <f>KURT(K77:V77)</f>
        <v>-0.40343158754393915</v>
      </c>
    </row>
    <row r="78" spans="2:31" x14ac:dyDescent="0.2">
      <c r="B78" s="34">
        <f>[39]FormattedData!A85</f>
        <v>405</v>
      </c>
      <c r="C78" s="34" t="str">
        <f>VLOOKUP($B78,[39]TrtCodes!$B$11:I128,2)</f>
        <v>FDL</v>
      </c>
      <c r="D78" s="34">
        <f>VLOOKUP($B78,[39]TrtCodes!$B$11:J128,3)</f>
        <v>6</v>
      </c>
      <c r="E78" s="34">
        <f>VLOOKUP($B78,[39]TrtCodes!$B$11:K128,4)</f>
        <v>1</v>
      </c>
      <c r="F78" s="34">
        <f>VLOOKUP($B78,[39]TrtCodes!$B$11:L128,5)</f>
        <v>3</v>
      </c>
      <c r="G78" s="34">
        <f>VLOOKUP($B78,[39]TrtCodes!$B$11:M128,6)</f>
        <v>1</v>
      </c>
      <c r="H78" s="34">
        <f>VLOOKUP($B78,[39]TrtCodes!$B$11:N128,7)</f>
        <v>4</v>
      </c>
      <c r="I78" s="34">
        <f>[39]FormattedData!B85</f>
        <v>2</v>
      </c>
      <c r="J78" s="37">
        <f>[39]FormattedData!C85</f>
        <v>13.525</v>
      </c>
      <c r="K78" s="39">
        <f>$J$3+[39]FormattedData!D85*$J$4+$M$4*$J$5+[39]FormattedData!D85^2*$J$6+$M$5*$J$7</f>
        <v>31.649908762820054</v>
      </c>
      <c r="L78" s="39">
        <f>$J$3+[39]FormattedData!E85*$J$4+$M$4*$J$5+[39]FormattedData!E85^2*$J$6+$M$5*$J$7</f>
        <v>34.051233532867364</v>
      </c>
      <c r="M78" s="39">
        <f>$J$3+[39]FormattedData!F85*$J$4+$M$4*$J$5+[39]FormattedData!F85^2*$J$6+$M$5*$J$7</f>
        <v>32.035896004620732</v>
      </c>
      <c r="N78" s="39">
        <f>$J$3+[39]FormattedData!G85*$J$4+$M$4*$J$5+[39]FormattedData!G85^2*$J$6+$M$5*$J$7</f>
        <v>30.293627580738352</v>
      </c>
      <c r="O78" s="39">
        <f>$J$3+[39]FormattedData!H85*$J$4+$M$4*$J$5+[39]FormattedData!H85^2*$J$6+$M$5*$J$7</f>
        <v>34.909243363780945</v>
      </c>
      <c r="P78" s="39">
        <f>$J$3+[39]FormattedData!I85*$J$4+$M$4*$J$5+[39]FormattedData!I85^2*$J$6+$M$5*$J$7</f>
        <v>29.026805497541289</v>
      </c>
      <c r="Q78" s="39">
        <f>$J$3+[39]FormattedData!J85*$J$4+$M$4*$J$5+[39]FormattedData!J85^2*$J$6+$M$5*$J$7</f>
        <v>30.875905389398003</v>
      </c>
      <c r="R78" s="39">
        <f>$J$3+[39]FormattedData!K85*$J$4+$M$4*$J$5+[39]FormattedData!K85^2*$J$6+$M$5*$J$7</f>
        <v>29.222166156565773</v>
      </c>
      <c r="S78" s="39">
        <f>$J$3+[39]FormattedData!L85*$J$4+$M$4*$J$5+[39]FormattedData!L85^2*$J$6+$M$5*$J$7</f>
        <v>34.909243363780945</v>
      </c>
      <c r="T78" s="39">
        <f>$J$3+[39]FormattedData!M85*$J$4+$M$4*$J$5+[39]FormattedData!M85^2*$J$6+$M$5*$J$7</f>
        <v>32.805841598401393</v>
      </c>
      <c r="U78" s="39">
        <f>$J$3+[39]FormattedData!N85*$J$4+$M$4*$J$5+[39]FormattedData!N85^2*$J$6+$M$5*$J$7</f>
        <v>34.432993920874942</v>
      </c>
      <c r="V78" s="39">
        <f>$J$3+[39]FormattedData!O85*$J$4+$M$4*$J$5+[39]FormattedData!O85^2*$J$6+$M$5*$J$7</f>
        <v>29.807233688728871</v>
      </c>
      <c r="W78" s="38">
        <f>AVERAGE(K78:V78)</f>
        <v>32.001674905009885</v>
      </c>
      <c r="X78" s="37">
        <f>STDEV(K78:V78)/SQRT(COUNT(K78:V78))</f>
        <v>0.63584456942773304</v>
      </c>
      <c r="Y78" s="36">
        <f>MIN(K78:V78)</f>
        <v>29.026805497541289</v>
      </c>
      <c r="Z78" s="35">
        <f>QUARTILE(K78:V78,1)</f>
        <v>30.17202910773598</v>
      </c>
      <c r="AA78" s="36">
        <f>MEDIAN(K78:V78)</f>
        <v>31.842902383720393</v>
      </c>
      <c r="AB78" s="35">
        <f>QUARTILE(K78:V78,3)</f>
        <v>34.146673629869255</v>
      </c>
      <c r="AC78" s="35">
        <f>MAX(K78:V78)</f>
        <v>34.909243363780945</v>
      </c>
      <c r="AD78" s="35">
        <f>SKEW(K78:V78)</f>
        <v>8.004778700642555E-2</v>
      </c>
      <c r="AE78" s="35">
        <f>KURT(K78:V78)</f>
        <v>-1.5745852113489716</v>
      </c>
    </row>
    <row r="79" spans="2:31" x14ac:dyDescent="0.2">
      <c r="B79" s="34">
        <f>[39]FormattedData!A83</f>
        <v>406</v>
      </c>
      <c r="C79" s="34" t="str">
        <f>VLOOKUP($B79,[39]TrtCodes!$B$11:I126,2)</f>
        <v>FTH</v>
      </c>
      <c r="D79" s="34">
        <f>VLOOKUP($B79,[39]TrtCodes!$B$11:J126,3)</f>
        <v>3</v>
      </c>
      <c r="E79" s="34">
        <f>VLOOKUP($B79,[39]TrtCodes!$B$11:K126,4)</f>
        <v>1</v>
      </c>
      <c r="F79" s="34">
        <f>VLOOKUP($B79,[39]TrtCodes!$B$11:L126,5)</f>
        <v>2</v>
      </c>
      <c r="G79" s="34">
        <f>VLOOKUP($B79,[39]TrtCodes!$B$11:M126,6)</f>
        <v>2</v>
      </c>
      <c r="H79" s="34">
        <f>VLOOKUP($B79,[39]TrtCodes!$B$11:N126,7)</f>
        <v>4</v>
      </c>
      <c r="I79" s="34">
        <f>[39]FormattedData!B83</f>
        <v>2</v>
      </c>
      <c r="J79" s="37">
        <f>[39]FormattedData!C83</f>
        <v>13.497999999999999</v>
      </c>
      <c r="K79" s="39">
        <f>$J$3+[39]FormattedData!D83*$J$4+$M$4*$J$5+[39]FormattedData!D83^2*$J$6+$M$5*$J$7</f>
        <v>30.099196829548351</v>
      </c>
      <c r="L79" s="39">
        <f>$J$3+[39]FormattedData!E83*$J$4+$M$4*$J$5+[39]FormattedData!E83^2*$J$6+$M$5*$J$7</f>
        <v>32.901894589203287</v>
      </c>
      <c r="M79" s="39">
        <f>$J$3+[39]FormattedData!F83*$J$4+$M$4*$J$5+[39]FormattedData!F83^2*$J$6+$M$5*$J$7</f>
        <v>33.955687764520654</v>
      </c>
      <c r="N79" s="39">
        <f>$J$3+[39]FormattedData!G83*$J$4+$M$4*$J$5+[39]FormattedData!G83^2*$J$6+$M$5*$J$7</f>
        <v>29.904597004206636</v>
      </c>
      <c r="O79" s="39">
        <f>$J$3+[39]FormattedData!H83*$J$4+$M$4*$J$5+[39]FormattedData!H83^2*$J$6+$M$5*$J$7</f>
        <v>32.421206949814518</v>
      </c>
      <c r="P79" s="39">
        <f>$J$3+[39]FormattedData!I83*$J$4+$M$4*$J$5+[39]FormattedData!I83^2*$J$6+$M$5*$J$7</f>
        <v>31.166473668465756</v>
      </c>
      <c r="Q79" s="39">
        <f>$J$3+[39]FormattedData!J83*$J$4+$M$4*$J$5+[39]FormattedData!J83^2*$J$6+$M$5*$J$7</f>
        <v>32.035896004620732</v>
      </c>
      <c r="R79" s="39">
        <f>$J$3+[39]FormattedData!K83*$J$4+$M$4*$J$5+[39]FormattedData!K83^2*$J$6+$M$5*$J$7</f>
        <v>30.001918051146458</v>
      </c>
      <c r="S79" s="39">
        <f>$J$3+[39]FormattedData!L83*$J$4+$M$4*$J$5+[39]FormattedData!L83^2*$J$6+$M$5*$J$7</f>
        <v>30.099196829548351</v>
      </c>
      <c r="T79" s="39">
        <f>$J$3+[39]FormattedData!M83*$J$4+$M$4*$J$5+[39]FormattedData!M83^2*$J$6+$M$5*$J$7</f>
        <v>29.709828104713186</v>
      </c>
      <c r="U79" s="39">
        <f>$J$3+[39]FormattedData!N83*$J$4+$M$4*$J$5+[39]FormattedData!N83^2*$J$6+$M$5*$J$7</f>
        <v>33.573082005754458</v>
      </c>
      <c r="V79" s="39">
        <f>$J$3+[39]FormattedData!O83*$J$4+$M$4*$J$5+[39]FormattedData!O83^2*$J$6+$M$5*$J$7</f>
        <v>31.069659843981096</v>
      </c>
      <c r="W79" s="38">
        <f>AVERAGE(K79:V79)</f>
        <v>31.411553137126958</v>
      </c>
      <c r="X79" s="37">
        <f>STDEV(K79:V79)/SQRT(COUNT(K79:V79))</f>
        <v>0.43995970552162217</v>
      </c>
      <c r="Y79" s="36">
        <f>MIN(K79:V79)</f>
        <v>29.709828104713186</v>
      </c>
      <c r="Z79" s="35">
        <f>QUARTILE(K79:V79,1)</f>
        <v>30.074877134947876</v>
      </c>
      <c r="AA79" s="36">
        <f>MEDIAN(K79:V79)</f>
        <v>31.118066756223428</v>
      </c>
      <c r="AB79" s="35">
        <f>QUARTILE(K79:V79,3)</f>
        <v>32.541378859661712</v>
      </c>
      <c r="AC79" s="35">
        <f>MAX(K79:V79)</f>
        <v>33.955687764520654</v>
      </c>
      <c r="AD79" s="35">
        <f>SKEW(K79:V79)</f>
        <v>0.47527107014063236</v>
      </c>
      <c r="AE79" s="35">
        <f>KURT(K79:V79)</f>
        <v>-1.3086807694030882</v>
      </c>
    </row>
    <row r="80" spans="2:31" x14ac:dyDescent="0.2">
      <c r="B80" s="34">
        <f>[39]FormattedData!A81</f>
        <v>407</v>
      </c>
      <c r="C80" s="34" t="str">
        <f>VLOOKUP($B80,[39]TrtCodes!$B$11:I124,2)</f>
        <v>NSH</v>
      </c>
      <c r="D80" s="34">
        <f>VLOOKUP($B80,[39]TrtCodes!$B$11:J124,3)</f>
        <v>7</v>
      </c>
      <c r="E80" s="34">
        <f>VLOOKUP($B80,[39]TrtCodes!$B$11:K124,4)</f>
        <v>2</v>
      </c>
      <c r="F80" s="34">
        <f>VLOOKUP($B80,[39]TrtCodes!$B$11:L124,5)</f>
        <v>1</v>
      </c>
      <c r="G80" s="34">
        <f>VLOOKUP($B80,[39]TrtCodes!$B$11:M124,6)</f>
        <v>2</v>
      </c>
      <c r="H80" s="34">
        <f>VLOOKUP($B80,[39]TrtCodes!$B$11:N124,7)</f>
        <v>4</v>
      </c>
      <c r="I80" s="34">
        <f>[39]FormattedData!B81</f>
        <v>2</v>
      </c>
      <c r="J80" s="37">
        <f>[39]FormattedData!C81</f>
        <v>13.476000000000001</v>
      </c>
      <c r="K80" s="39">
        <f>$J$3+[39]FormattedData!D81*$J$4+$M$4*$J$5+[39]FormattedData!D81^2*$J$6+$M$5*$J$7</f>
        <v>37.274639876586789</v>
      </c>
      <c r="L80" s="39">
        <f>$J$3+[39]FormattedData!E81*$J$4+$M$4*$J$5+[39]FormattedData!E81^2*$J$6+$M$5*$J$7</f>
        <v>32.035896004620732</v>
      </c>
      <c r="M80" s="39">
        <f>$J$3+[39]FormattedData!F81*$J$4+$M$4*$J$5+[39]FormattedData!F81^2*$J$6+$M$5*$J$7</f>
        <v>39.054672977464016</v>
      </c>
      <c r="N80" s="39">
        <f>$J$3+[39]FormattedData!G81*$J$4+$M$4*$J$5+[39]FormattedData!G81^2*$J$6+$M$5*$J$7</f>
        <v>31.649908762820054</v>
      </c>
      <c r="O80" s="39">
        <f>$J$3+[39]FormattedData!H81*$J$4+$M$4*$J$5+[39]FormattedData!H81^2*$J$6+$M$5*$J$7</f>
        <v>30.681981860663178</v>
      </c>
      <c r="P80" s="39">
        <f>$J$3+[39]FormattedData!I81*$J$4+$M$4*$J$5+[39]FormattedData!I81^2*$J$6+$M$5*$J$7</f>
        <v>34.24219826394701</v>
      </c>
      <c r="Q80" s="39">
        <f>$J$3+[39]FormattedData!J81*$J$4+$M$4*$J$5+[39]FormattedData!J81^2*$J$6+$M$5*$J$7</f>
        <v>32.99790531146725</v>
      </c>
      <c r="R80" s="39">
        <f>$J$3+[39]FormattedData!K81*$J$4+$M$4*$J$5+[39]FormattedData!K81^2*$J$6+$M$5*$J$7</f>
        <v>30.972803750958516</v>
      </c>
      <c r="S80" s="39">
        <f>$J$3+[39]FormattedData!L81*$J$4+$M$4*$J$5+[39]FormattedData!L81^2*$J$6+$M$5*$J$7</f>
        <v>33.477324894718087</v>
      </c>
      <c r="T80" s="39">
        <f>$J$3+[39]FormattedData!M81*$J$4+$M$4*$J$5+[39]FormattedData!M81^2*$J$6+$M$5*$J$7</f>
        <v>34.432993920874942</v>
      </c>
      <c r="U80" s="39">
        <f>$J$3+[39]FormattedData!N81*$J$4+$M$4*$J$5+[39]FormattedData!N81^2*$J$6+$M$5*$J$7</f>
        <v>34.146737032676157</v>
      </c>
      <c r="V80" s="39">
        <f>$J$3+[39]FormattedData!O81*$J$4+$M$4*$J$5+[39]FormattedData!O81^2*$J$6+$M$5*$J$7</f>
        <v>34.432993920874942</v>
      </c>
      <c r="W80" s="38">
        <f>AVERAGE(K80:V80)</f>
        <v>33.783338048139306</v>
      </c>
      <c r="X80" s="37">
        <f>STDEV(K80:V80)/SQRT(COUNT(K80:V80))</f>
        <v>0.71242231635018072</v>
      </c>
      <c r="Y80" s="36">
        <f>MIN(K80:V80)</f>
        <v>30.681981860663178</v>
      </c>
      <c r="Z80" s="35">
        <f>QUARTILE(K80:V80,1)</f>
        <v>31.939399194170562</v>
      </c>
      <c r="AA80" s="36">
        <f>MEDIAN(K80:V80)</f>
        <v>33.812030963697126</v>
      </c>
      <c r="AB80" s="35">
        <f>QUARTILE(K80:V80,3)</f>
        <v>34.432993920874942</v>
      </c>
      <c r="AC80" s="35">
        <f>MAX(K80:V80)</f>
        <v>39.054672977464016</v>
      </c>
      <c r="AD80" s="35">
        <f>SKEW(K80:V80)</f>
        <v>0.88641725367449531</v>
      </c>
      <c r="AE80" s="35">
        <f>KURT(K80:V80)</f>
        <v>0.66678198545728229</v>
      </c>
    </row>
    <row r="81" spans="2:31" x14ac:dyDescent="0.2">
      <c r="B81" s="34">
        <f>[39]FormattedData!A79</f>
        <v>408</v>
      </c>
      <c r="C81" s="34" t="str">
        <f>VLOOKUP($B81,[39]TrtCodes!$B$11:I122,2)</f>
        <v>NTL</v>
      </c>
      <c r="D81" s="34">
        <f>VLOOKUP($B81,[39]TrtCodes!$B$11:J122,3)</f>
        <v>10</v>
      </c>
      <c r="E81" s="34">
        <f>VLOOKUP($B81,[39]TrtCodes!$B$11:K122,4)</f>
        <v>2</v>
      </c>
      <c r="F81" s="34">
        <f>VLOOKUP($B81,[39]TrtCodes!$B$11:L122,5)</f>
        <v>2</v>
      </c>
      <c r="G81" s="34">
        <f>VLOOKUP($B81,[39]TrtCodes!$B$11:M122,6)</f>
        <v>1</v>
      </c>
      <c r="H81" s="34">
        <f>VLOOKUP($B81,[39]TrtCodes!$B$11:N122,7)</f>
        <v>4</v>
      </c>
      <c r="I81" s="34">
        <f>[39]FormattedData!B79</f>
        <v>2</v>
      </c>
      <c r="J81" s="37">
        <f>[39]FormattedData!C79</f>
        <v>13.455</v>
      </c>
      <c r="K81" s="39">
        <f>$J$3+[39]FormattedData!D79*$J$4+$M$4*$J$5+[39]FormattedData!D79^2*$J$6+$M$5*$J$7</f>
        <v>29.514890131068015</v>
      </c>
      <c r="L81" s="39">
        <f>$J$3+[39]FormattedData!E79*$J$4+$M$4*$J$5+[39]FormattedData!E79^2*$J$6+$M$5*$J$7</f>
        <v>33.285683867031544</v>
      </c>
      <c r="M81" s="39">
        <f>$J$3+[39]FormattedData!F79*$J$4+$M$4*$J$5+[39]FormattedData!F79^2*$J$6+$M$5*$J$7</f>
        <v>30.681981860663178</v>
      </c>
      <c r="N81" s="39">
        <f>$J$3+[39]FormattedData!G79*$J$4+$M$4*$J$5+[39]FormattedData!G79^2*$J$6+$M$5*$J$7</f>
        <v>30.293627580738352</v>
      </c>
      <c r="O81" s="39">
        <f>$J$3+[39]FormattedData!H79*$J$4+$M$4*$J$5+[39]FormattedData!H79^2*$J$6+$M$5*$J$7</f>
        <v>31.456661530692127</v>
      </c>
      <c r="P81" s="39">
        <f>$J$3+[39]FormattedData!I79*$J$4+$M$4*$J$5+[39]FormattedData!I79^2*$J$6+$M$5*$J$7</f>
        <v>31.456661530692127</v>
      </c>
      <c r="Q81" s="39">
        <f>$J$3+[39]FormattedData!J79*$J$4+$M$4*$J$5+[39]FormattedData!J79^2*$J$6+$M$5*$J$7</f>
        <v>31.456661530692127</v>
      </c>
      <c r="R81" s="39">
        <f>$J$3+[39]FormattedData!K79*$J$4+$M$4*$J$5+[39]FormattedData!K79^2*$J$6+$M$5*$J$7</f>
        <v>31.456661530692127</v>
      </c>
      <c r="S81" s="39">
        <f>$J$3+[39]FormattedData!L79*$J$4+$M$4*$J$5+[39]FormattedData!L79^2*$J$6+$M$5*$J$7</f>
        <v>30.584956693488866</v>
      </c>
      <c r="T81" s="39">
        <f>$J$3+[39]FormattedData!M79*$J$4+$M$4*$J$5+[39]FormattedData!M79^2*$J$6+$M$5*$J$7</f>
        <v>44.938308712094823</v>
      </c>
      <c r="U81" s="39">
        <f>$J$3+[39]FormattedData!N79*$J$4+$M$4*$J$5+[39]FormattedData!N79^2*$J$6+$M$5*$J$7</f>
        <v>33.285683867031544</v>
      </c>
      <c r="V81" s="39">
        <f>$J$3+[39]FormattedData!O79*$J$4+$M$4*$J$5+[39]FormattedData!O79^2*$J$6+$M$5*$J$7</f>
        <v>27.556211316271447</v>
      </c>
      <c r="W81" s="38">
        <f>AVERAGE(K81:V81)</f>
        <v>32.163999179263023</v>
      </c>
      <c r="X81" s="37">
        <f>STDEV(K81:V81)/SQRT(COUNT(K81:V81))</f>
        <v>1.2435840538757317</v>
      </c>
      <c r="Y81" s="36">
        <f>MIN(K81:V81)</f>
        <v>27.556211316271447</v>
      </c>
      <c r="Z81" s="35">
        <f>QUARTILE(K81:V81,1)</f>
        <v>30.512124415301237</v>
      </c>
      <c r="AA81" s="36">
        <f>MEDIAN(K81:V81)</f>
        <v>31.456661530692127</v>
      </c>
      <c r="AB81" s="35">
        <f>QUARTILE(K81:V81,3)</f>
        <v>31.913917114776982</v>
      </c>
      <c r="AC81" s="35">
        <f>MAX(K81:V81)</f>
        <v>44.938308712094823</v>
      </c>
      <c r="AD81" s="35">
        <f>SKEW(K81:V81)</f>
        <v>2.6687973204525783</v>
      </c>
      <c r="AE81" s="35">
        <f>KURT(K81:V81)</f>
        <v>8.3916212233667178</v>
      </c>
    </row>
    <row r="82" spans="2:31" x14ac:dyDescent="0.2">
      <c r="B82" s="34">
        <f>[39]FormattedData!A59</f>
        <v>902</v>
      </c>
      <c r="C82" s="34" t="str">
        <f>VLOOKUP($B82,[39]TrtCodes!$B$11:I102,2)</f>
        <v>Late</v>
      </c>
      <c r="D82" s="34">
        <f>VLOOKUP($B82,[39]TrtCodes!$B$11:J102,3)</f>
        <v>22</v>
      </c>
      <c r="E82" s="34">
        <f>VLOOKUP($B82,[39]TrtCodes!$B$11:K102,4)</f>
        <v>4</v>
      </c>
      <c r="F82" s="34">
        <f>VLOOKUP($B82,[39]TrtCodes!$B$11:L102,5)</f>
        <v>2</v>
      </c>
      <c r="G82" s="34">
        <f>VLOOKUP($B82,[39]TrtCodes!$B$11:M102,6)</f>
        <v>2</v>
      </c>
      <c r="H82" s="34">
        <f>VLOOKUP($B82,[39]TrtCodes!$B$11:N102,7)</f>
        <v>1</v>
      </c>
      <c r="I82" s="34">
        <f>[39]FormattedData!B59</f>
        <v>2</v>
      </c>
      <c r="J82" s="37">
        <f>[39]FormattedData!C59</f>
        <v>13.262</v>
      </c>
      <c r="K82" s="39">
        <f>$J$3+[39]FormattedData!D59*$J$4+$M$4*$J$5+[39]FormattedData!D59^2*$J$6+$M$5*$J$7</f>
        <v>36.897951713130958</v>
      </c>
      <c r="L82" s="39">
        <f>$J$3+[39]FormattedData!E59*$J$4+$M$4*$J$5+[39]FormattedData!E59^2*$J$6+$M$5*$J$7</f>
        <v>32.613608811183816</v>
      </c>
      <c r="M82" s="39">
        <f>$J$3+[39]FormattedData!F59*$J$4+$M$4*$J$5+[39]FormattedData!F59^2*$J$6+$M$5*$J$7</f>
        <v>32.324942616322964</v>
      </c>
      <c r="N82" s="39">
        <f>$J$3+[39]FormattedData!G59*$J$4+$M$4*$J$5+[39]FormattedData!G59^2*$J$6+$M$5*$J$7</f>
        <v>31.746468976077118</v>
      </c>
      <c r="O82" s="39">
        <f>$J$3+[39]FormattedData!H59*$J$4+$M$4*$J$5+[39]FormattedData!H59^2*$J$6+$M$5*$J$7</f>
        <v>29.514890131068015</v>
      </c>
      <c r="P82" s="39">
        <f>$J$3+[39]FormattedData!I59*$J$4+$M$4*$J$5+[39]FormattedData!I59^2*$J$6+$M$5*$J$7</f>
        <v>31.842986920796257</v>
      </c>
      <c r="Q82" s="39">
        <f>$J$3+[39]FormattedData!J59*$J$4+$M$4*$J$5+[39]FormattedData!J59^2*$J$6+$M$5*$J$7</f>
        <v>31.939462596977464</v>
      </c>
      <c r="R82" s="39">
        <f>$J$3+[39]FormattedData!K59*$J$4+$M$4*$J$5+[39]FormattedData!K59^2*$J$6+$M$5*$J$7</f>
        <v>30.001918051146458</v>
      </c>
      <c r="S82" s="39">
        <f>$J$3+[39]FormattedData!L59*$J$4+$M$4*$J$5+[39]FormattedData!L59^2*$J$6+$M$5*$J$7</f>
        <v>31.263245224412472</v>
      </c>
      <c r="T82" s="39">
        <f>$J$3+[39]FormattedData!M59*$J$4+$M$4*$J$5+[39]FormattedData!M59^2*$J$6+$M$5*$J$7</f>
        <v>30.001918051146458</v>
      </c>
      <c r="U82" s="39">
        <f>$J$3+[39]FormattedData!N59*$J$4+$M$4*$J$5+[39]FormattedData!N59^2*$J$6+$M$5*$J$7</f>
        <v>32.228636014293478</v>
      </c>
      <c r="V82" s="39">
        <f>$J$3+[39]FormattedData!O59*$J$4+$M$4*$J$5+[39]FormattedData!O59^2*$J$6+$M$5*$J$7</f>
        <v>30.584956693488866</v>
      </c>
      <c r="W82" s="38">
        <f>AVERAGE(K82:V82)</f>
        <v>31.746748816670362</v>
      </c>
      <c r="X82" s="37">
        <f>STDEV(K82:V82)/SQRT(COUNT(K82:V82))</f>
        <v>0.55427307006460624</v>
      </c>
      <c r="Y82" s="36">
        <f>MIN(K82:V82)</f>
        <v>29.514890131068015</v>
      </c>
      <c r="Z82" s="35">
        <f>QUARTILE(K82:V82,1)</f>
        <v>30.439197032903266</v>
      </c>
      <c r="AA82" s="36">
        <f>MEDIAN(K82:V82)</f>
        <v>31.794727948436687</v>
      </c>
      <c r="AB82" s="35">
        <f>QUARTILE(K82:V82,3)</f>
        <v>32.252712664800853</v>
      </c>
      <c r="AC82" s="35">
        <f>MAX(K82:V82)</f>
        <v>36.897951713130958</v>
      </c>
      <c r="AD82" s="35">
        <f>SKEW(K82:V82)</f>
        <v>1.7604376400996244</v>
      </c>
      <c r="AE82" s="35">
        <f>KURT(K82:V82)</f>
        <v>4.6628117923270622</v>
      </c>
    </row>
    <row r="83" spans="2:31" x14ac:dyDescent="0.2">
      <c r="B83" s="34">
        <f>[39]FormattedData!A55</f>
        <v>904</v>
      </c>
      <c r="C83" s="34" t="str">
        <f>VLOOKUP($B83,[39]TrtCodes!$B$11:I98,2)</f>
        <v>Early</v>
      </c>
      <c r="D83" s="34">
        <f>VLOOKUP($B83,[39]TrtCodes!$B$11:J98,3)</f>
        <v>21</v>
      </c>
      <c r="E83" s="34">
        <f>VLOOKUP($B83,[39]TrtCodes!$B$11:K98,4)</f>
        <v>3</v>
      </c>
      <c r="F83" s="34">
        <f>VLOOKUP($B83,[39]TrtCodes!$B$11:L98,5)</f>
        <v>2</v>
      </c>
      <c r="G83" s="34">
        <f>VLOOKUP($B83,[39]TrtCodes!$B$11:M98,6)</f>
        <v>2</v>
      </c>
      <c r="H83" s="34">
        <f>VLOOKUP($B83,[39]TrtCodes!$B$11:N98,7)</f>
        <v>1</v>
      </c>
      <c r="I83" s="34">
        <f>[39]FormattedData!B55</f>
        <v>2</v>
      </c>
      <c r="J83" s="37">
        <f>[39]FormattedData!C55</f>
        <v>13.238</v>
      </c>
      <c r="K83" s="39">
        <f>$J$3+[39]FormattedData!D55*$J$4+$M$4*$J$5+[39]FormattedData!D55^2*$J$6+$M$5*$J$7</f>
        <v>30.196433339412323</v>
      </c>
      <c r="L83" s="39">
        <f>$J$3+[39]FormattedData!E55*$J$4+$M$4*$J$5+[39]FormattedData!E55^2*$J$6+$M$5*$J$7</f>
        <v>29.319783083271115</v>
      </c>
      <c r="M83" s="39">
        <f>$J$3+[39]FormattedData!F55*$J$4+$M$4*$J$5+[39]FormattedData!F55^2*$J$6+$M$5*$J$7</f>
        <v>32.805841598401393</v>
      </c>
      <c r="N83" s="39">
        <f>$J$3+[39]FormattedData!G55*$J$4+$M$4*$J$5+[39]FormattedData!G55^2*$J$6+$M$5*$J$7</f>
        <v>30.487889257776629</v>
      </c>
      <c r="O83" s="39">
        <f>$J$3+[39]FormattedData!H55*$J$4+$M$4*$J$5+[39]FormattedData!H55^2*$J$6+$M$5*$J$7</f>
        <v>31.842986920796257</v>
      </c>
      <c r="P83" s="39">
        <f>$J$3+[39]FormattedData!I55*$J$4+$M$4*$J$5+[39]FormattedData!I55^2*$J$6+$M$5*$J$7</f>
        <v>32.99790531146725</v>
      </c>
      <c r="Q83" s="39">
        <f>$J$3+[39]FormattedData!J55*$J$4+$M$4*$J$5+[39]FormattedData!J55^2*$J$6+$M$5*$J$7</f>
        <v>32.228636014293478</v>
      </c>
      <c r="R83" s="39">
        <f>$J$3+[39]FormattedData!K55*$J$4+$M$4*$J$5+[39]FormattedData!K55^2*$J$6+$M$5*$J$7</f>
        <v>32.324942616322964</v>
      </c>
      <c r="S83" s="39">
        <f>$J$3+[39]FormattedData!L55*$J$4+$M$4*$J$5+[39]FormattedData!L55^2*$J$6+$M$5*$J$7</f>
        <v>36.237120088372912</v>
      </c>
      <c r="T83" s="39">
        <f>$J$3+[39]FormattedData!M55*$J$4+$M$4*$J$5+[39]FormattedData!M55^2*$J$6+$M$5*$J$7</f>
        <v>34.528328346531993</v>
      </c>
      <c r="U83" s="39">
        <f>$J$3+[39]FormattedData!N55*$J$4+$M$4*$J$5+[39]FormattedData!N55^2*$J$6+$M$5*$J$7</f>
        <v>32.132287143726074</v>
      </c>
      <c r="V83" s="39">
        <f>$J$3+[39]FormattedData!O55*$J$4+$M$4*$J$5+[39]FormattedData!O55^2*$J$6+$M$5*$J$7</f>
        <v>31.359974511821271</v>
      </c>
      <c r="W83" s="38">
        <f>AVERAGE(K83:V83)</f>
        <v>32.205177352682803</v>
      </c>
      <c r="X83" s="37">
        <f>STDEV(K83:V83)/SQRT(COUNT(K83:V83))</f>
        <v>0.54228888979555567</v>
      </c>
      <c r="Y83" s="36">
        <f>MIN(K83:V83)</f>
        <v>29.319783083271115</v>
      </c>
      <c r="Z83" s="35">
        <f>QUARTILE(K83:V83,1)</f>
        <v>31.141953198310112</v>
      </c>
      <c r="AA83" s="36">
        <f>MEDIAN(K83:V83)</f>
        <v>32.180461579009773</v>
      </c>
      <c r="AB83" s="35">
        <f>QUARTILE(K83:V83,3)</f>
        <v>32.853857526667859</v>
      </c>
      <c r="AC83" s="35">
        <f>MAX(K83:V83)</f>
        <v>36.237120088372912</v>
      </c>
      <c r="AD83" s="35">
        <f>SKEW(K83:V83)</f>
        <v>0.67397925430824024</v>
      </c>
      <c r="AE83" s="35">
        <f>KURT(K83:V83)</f>
        <v>0.88563091508655667</v>
      </c>
    </row>
    <row r="84" spans="2:31" x14ac:dyDescent="0.2">
      <c r="B84" s="34">
        <f>[39]FormattedData!A51</f>
        <v>906</v>
      </c>
      <c r="C84" s="34" t="str">
        <f>VLOOKUP($B84,[39]TrtCodes!$B$11:I94,2)</f>
        <v>Late</v>
      </c>
      <c r="D84" s="34">
        <f>VLOOKUP($B84,[39]TrtCodes!$B$11:J94,3)</f>
        <v>22</v>
      </c>
      <c r="E84" s="34">
        <f>VLOOKUP($B84,[39]TrtCodes!$B$11:K94,4)</f>
        <v>4</v>
      </c>
      <c r="F84" s="34">
        <f>VLOOKUP($B84,[39]TrtCodes!$B$11:L94,5)</f>
        <v>2</v>
      </c>
      <c r="G84" s="34">
        <f>VLOOKUP($B84,[39]TrtCodes!$B$11:M94,6)</f>
        <v>2</v>
      </c>
      <c r="H84" s="34">
        <f>VLOOKUP($B84,[39]TrtCodes!$B$11:N94,7)</f>
        <v>2</v>
      </c>
      <c r="I84" s="34">
        <f>[39]FormattedData!B51</f>
        <v>2</v>
      </c>
      <c r="J84" s="37">
        <f>[39]FormattedData!C51</f>
        <v>13.214</v>
      </c>
      <c r="K84" s="39">
        <f>$J$3+[39]FormattedData!D51*$J$4+$M$4*$J$5+[39]FormattedData!D51^2*$J$6+$M$5*$J$7</f>
        <v>40.356512282690396</v>
      </c>
      <c r="L84" s="39">
        <f>$J$3+[39]FormattedData!E51*$J$4+$M$4*$J$5+[39]FormattedData!E51^2*$J$6+$M$5*$J$7</f>
        <v>31.939462596977464</v>
      </c>
      <c r="M84" s="39">
        <f>$J$3+[39]FormattedData!F51*$J$4+$M$4*$J$5+[39]FormattedData!F51^2*$J$6+$M$5*$J$7</f>
        <v>30.487889257776629</v>
      </c>
      <c r="N84" s="39">
        <f>$J$3+[39]FormattedData!G51*$J$4+$M$4*$J$5+[39]FormattedData!G51^2*$J$6+$M$5*$J$7</f>
        <v>29.612380252159561</v>
      </c>
      <c r="O84" s="39">
        <f>$J$3+[39]FormattedData!H51*$J$4+$M$4*$J$5+[39]FormattedData!H51^2*$J$6+$M$5*$J$7</f>
        <v>32.132287143726074</v>
      </c>
      <c r="P84" s="39">
        <f>$J$3+[39]FormattedData!I51*$J$4+$M$4*$J$5+[39]FormattedData!I51^2*$J$6+$M$5*$J$7</f>
        <v>29.904597004206636</v>
      </c>
      <c r="Q84" s="39">
        <f>$J$3+[39]FormattedData!J51*$J$4+$M$4*$J$5+[39]FormattedData!J51^2*$J$6+$M$5*$J$7</f>
        <v>30.875905389398003</v>
      </c>
      <c r="R84" s="39">
        <f>$J$3+[39]FormattedData!K51*$J$4+$M$4*$J$5+[39]FormattedData!K51^2*$J$6+$M$5*$J$7</f>
        <v>30.972803750958516</v>
      </c>
      <c r="S84" s="39">
        <f>$J$3+[39]FormattedData!L51*$J$4+$M$4*$J$5+[39]FormattedData!L51^2*$J$6+$M$5*$J$7</f>
        <v>30.39077955352646</v>
      </c>
      <c r="T84" s="39">
        <f>$J$3+[39]FormattedData!M51*$J$4+$M$4*$J$5+[39]FormattedData!M51^2*$J$6+$M$5*$J$7</f>
        <v>39.334335973745532</v>
      </c>
      <c r="U84" s="39">
        <f>$J$3+[39]FormattedData!N51*$J$4+$M$4*$J$5+[39]FormattedData!N51^2*$J$6+$M$5*$J$7</f>
        <v>36.803674000922179</v>
      </c>
      <c r="V84" s="39">
        <f>$J$3+[39]FormattedData!O51*$J$4+$M$4*$J$5+[39]FormattedData!O51^2*$J$6+$M$5*$J$7</f>
        <v>31.649908762820054</v>
      </c>
      <c r="W84" s="38">
        <f>AVERAGE(K84:V84)</f>
        <v>32.871711330742293</v>
      </c>
      <c r="X84" s="37">
        <f>STDEV(K84:V84)/SQRT(COUNT(K84:V84))</f>
        <v>1.0836612267253025</v>
      </c>
      <c r="Y84" s="36">
        <f>MIN(K84:V84)</f>
        <v>29.612380252159561</v>
      </c>
      <c r="Z84" s="35">
        <f>QUARTILE(K84:V84,1)</f>
        <v>30.463611831714086</v>
      </c>
      <c r="AA84" s="36">
        <f>MEDIAN(K84:V84)</f>
        <v>31.311356256889283</v>
      </c>
      <c r="AB84" s="35">
        <f>QUARTILE(K84:V84,3)</f>
        <v>33.300133858025099</v>
      </c>
      <c r="AC84" s="35">
        <f>MAX(K84:V84)</f>
        <v>40.356512282690396</v>
      </c>
      <c r="AD84" s="35">
        <f>SKEW(K84:V84)</f>
        <v>1.325229953317244</v>
      </c>
      <c r="AE84" s="35">
        <f>KURT(K84:V84)</f>
        <v>0.26317714610405041</v>
      </c>
    </row>
    <row r="85" spans="2:31" x14ac:dyDescent="0.2">
      <c r="B85" s="34">
        <f>[39]FormattedData!A47</f>
        <v>908</v>
      </c>
      <c r="C85" s="34" t="str">
        <f>VLOOKUP($B85,[39]TrtCodes!$B$11:I90,2)</f>
        <v>Early</v>
      </c>
      <c r="D85" s="34">
        <f>VLOOKUP($B85,[39]TrtCodes!$B$11:J90,3)</f>
        <v>21</v>
      </c>
      <c r="E85" s="34">
        <f>VLOOKUP($B85,[39]TrtCodes!$B$11:K90,4)</f>
        <v>3</v>
      </c>
      <c r="F85" s="34">
        <f>VLOOKUP($B85,[39]TrtCodes!$B$11:L90,5)</f>
        <v>2</v>
      </c>
      <c r="G85" s="34">
        <f>VLOOKUP($B85,[39]TrtCodes!$B$11:M90,6)</f>
        <v>2</v>
      </c>
      <c r="H85" s="34">
        <f>VLOOKUP($B85,[39]TrtCodes!$B$11:N90,7)</f>
        <v>2</v>
      </c>
      <c r="I85" s="34">
        <f>[39]FormattedData!B47</f>
        <v>2</v>
      </c>
      <c r="J85" s="37">
        <f>[39]FormattedData!C47</f>
        <v>13.19</v>
      </c>
      <c r="K85" s="39">
        <f>$J$3+[39]FormattedData!D47*$J$4+$M$4*$J$5+[39]FormattedData!D47^2*$J$6+$M$5*$J$7</f>
        <v>30.487889257776629</v>
      </c>
      <c r="L85" s="39">
        <f>$J$3+[39]FormattedData!E47*$J$4+$M$4*$J$5+[39]FormattedData!E47^2*$J$6+$M$5*$J$7</f>
        <v>29.319783083271115</v>
      </c>
      <c r="M85" s="39">
        <f>$J$3+[39]FormattedData!F47*$J$4+$M$4*$J$5+[39]FormattedData!F47^2*$J$6+$M$5*$J$7</f>
        <v>35.004366446748342</v>
      </c>
      <c r="N85" s="39">
        <f>$J$3+[39]FormattedData!G47*$J$4+$M$4*$J$5+[39]FormattedData!G47^2*$J$6+$M$5*$J$7</f>
        <v>29.514890131068015</v>
      </c>
      <c r="O85" s="39">
        <f>$J$3+[39]FormattedData!H47*$J$4+$M$4*$J$5+[39]FormattedData!H47^2*$J$6+$M$5*$J$7</f>
        <v>29.904597004206636</v>
      </c>
      <c r="P85" s="39">
        <f>$J$3+[39]FormattedData!I47*$J$4+$M$4*$J$5+[39]FormattedData!I47^2*$J$6+$M$5*$J$7</f>
        <v>31.939462596977464</v>
      </c>
      <c r="Q85" s="39">
        <f>$J$3+[39]FormattedData!J47*$J$4+$M$4*$J$5+[39]FormattedData!J47^2*$J$6+$M$5*$J$7</f>
        <v>32.035896004620732</v>
      </c>
      <c r="R85" s="39">
        <f>$J$3+[39]FormattedData!K47*$J$4+$M$4*$J$5+[39]FormattedData!K47^2*$J$6+$M$5*$J$7</f>
        <v>30.39077955352646</v>
      </c>
      <c r="S85" s="39">
        <f>$J$3+[39]FormattedData!L47*$J$4+$M$4*$J$5+[39]FormattedData!L47^2*$J$6+$M$5*$J$7</f>
        <v>32.421206949814518</v>
      </c>
      <c r="T85" s="39">
        <f>$J$3+[39]FormattedData!M47*$J$4+$M$4*$J$5+[39]FormattedData!M47^2*$J$6+$M$5*$J$7</f>
        <v>30.584956693488866</v>
      </c>
      <c r="U85" s="39">
        <f>$J$3+[39]FormattedData!N47*$J$4+$M$4*$J$5+[39]FormattedData!N47^2*$J$6+$M$5*$J$7</f>
        <v>33.189799950381378</v>
      </c>
      <c r="V85" s="39">
        <f>$J$3+[39]FormattedData!O47*$J$4+$M$4*$J$5+[39]FormattedData!O47^2*$J$6+$M$5*$J$7</f>
        <v>29.904597004206636</v>
      </c>
      <c r="W85" s="38">
        <f>AVERAGE(K85:V85)</f>
        <v>31.22485205634057</v>
      </c>
      <c r="X85" s="37">
        <f>STDEV(K85:V85)/SQRT(COUNT(K85:V85))</f>
        <v>0.49568697631751829</v>
      </c>
      <c r="Y85" s="36">
        <f>MIN(K85:V85)</f>
        <v>29.319783083271115</v>
      </c>
      <c r="Z85" s="35">
        <f>QUARTILE(K85:V85,1)</f>
        <v>29.904597004206636</v>
      </c>
      <c r="AA85" s="36">
        <f>MEDIAN(K85:V85)</f>
        <v>30.536422975632746</v>
      </c>
      <c r="AB85" s="35">
        <f>QUARTILE(K85:V85,3)</f>
        <v>32.13222374091918</v>
      </c>
      <c r="AC85" s="35">
        <f>MAX(K85:V85)</f>
        <v>35.004366446748342</v>
      </c>
      <c r="AD85" s="35">
        <f>SKEW(K85:V85)</f>
        <v>1.0003952805284775</v>
      </c>
      <c r="AE85" s="35">
        <f>KURT(K85:V85)</f>
        <v>0.50622465380053683</v>
      </c>
    </row>
    <row r="88" spans="2:31" x14ac:dyDescent="0.2">
      <c r="W88" s="35"/>
    </row>
  </sheetData>
  <autoFilter ref="B9:AE85" xr:uid="{25C58183-F0B0-4C54-A9E6-23481D3834F0}"/>
  <conditionalFormatting sqref="K10:V85">
    <cfRule type="cellIs" dxfId="151" priority="1" stopIfTrue="1" operator="lessThan">
      <formula>$W10-$V$5*$X10</formula>
    </cfRule>
    <cfRule type="cellIs" dxfId="150" priority="2" stopIfTrue="1" operator="greaterThan">
      <formula>$W10+$V$5*$X10</formula>
    </cfRule>
  </conditionalFormatting>
  <conditionalFormatting sqref="W10:W85">
    <cfRule type="cellIs" dxfId="149" priority="3" stopIfTrue="1" operator="lessThan">
      <formula>AVERAGE($W$10:$W$41)</formula>
    </cfRule>
    <cfRule type="cellIs" dxfId="14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2508-A81B-44FD-AD8A-2F5950CE2319}">
  <sheetPr codeName="Sheet9"/>
  <dimension ref="A1:AI88"/>
  <sheetViews>
    <sheetView topLeftCell="A8" workbookViewId="0">
      <pane xSplit="4" ySplit="2" topLeftCell="O2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[38]FormattedData!A1</f>
        <v>Raw data file name - 'IA160.03R'</v>
      </c>
    </row>
    <row r="2" spans="1:35" ht="15" x14ac:dyDescent="0.25">
      <c r="I2" s="65" t="s">
        <v>136</v>
      </c>
      <c r="J2" s="57"/>
      <c r="P2" s="64">
        <f>[38]AncillaryData!C10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[38]AncillaryData!E25</f>
        <v>36.450000000000003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"&amp;[38]AncillaryData!C7</f>
        <v>Time Sequence of Midday IRT Temps - FISE 2003 - DOY 160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"&amp;[38]AncillaryData!E25&amp;", VPD = "&amp;ROUND([38]AncillaryData!E29,1)&amp;", Quality = "&amp;[38]AncillaryData!C20&amp;")"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[38]FormattedData!A28</f>
        <v>101</v>
      </c>
      <c r="C10" s="34" t="str">
        <f>VLOOKUP($B10,[38]TrtCodes!$B$11:I71,2)</f>
        <v>FSH</v>
      </c>
      <c r="D10" s="34">
        <f>VLOOKUP($B10,[38]TrtCodes!$B$11:J71,3)</f>
        <v>1</v>
      </c>
      <c r="E10" s="34">
        <f>VLOOKUP($B10,[38]TrtCodes!$B$11:K71,4)</f>
        <v>1</v>
      </c>
      <c r="F10" s="34">
        <f>VLOOKUP($B10,[38]TrtCodes!$B$11:L71,5)</f>
        <v>1</v>
      </c>
      <c r="G10" s="34">
        <f>VLOOKUP($B10,[38]TrtCodes!$B$11:M71,6)</f>
        <v>2</v>
      </c>
      <c r="H10" s="34">
        <f>VLOOKUP($B10,[38]TrtCodes!$B$11:N71,7)</f>
        <v>1</v>
      </c>
      <c r="I10" s="34">
        <f>[38]FormattedData!B28</f>
        <v>1</v>
      </c>
      <c r="J10" s="37">
        <f>[38]FormattedData!C28</f>
        <v>12.917999999999999</v>
      </c>
      <c r="K10" s="39">
        <f>$J$3+[38]FormattedData!D28*$J$4+$M$4*$J$5+[38]FormattedData!D28^2*$J$6+$M$5*$J$7</f>
        <v>54.961606641320095</v>
      </c>
      <c r="L10" s="39">
        <f>$J$3+[38]FormattedData!E28*$J$4+$M$4*$J$5+[38]FormattedData!E28^2*$J$6+$M$5*$J$7</f>
        <v>53.237940897420671</v>
      </c>
      <c r="M10" s="39">
        <f>$J$3+[38]FormattedData!F28*$J$4+$M$4*$J$5+[38]FormattedData!F28^2*$J$6+$M$5*$J$7</f>
        <v>56.072922773468498</v>
      </c>
      <c r="N10" s="39">
        <f>$J$3+[38]FormattedData!G28*$J$4+$M$4*$J$5+[38]FormattedData!G28^2*$J$6+$M$5*$J$7</f>
        <v>45.543256001657667</v>
      </c>
      <c r="O10" s="39">
        <f>$J$3+[38]FormattedData!H28*$J$4+$M$4*$J$5+[38]FormattedData!H28^2*$J$6+$M$5*$J$7</f>
        <v>55.560895274850409</v>
      </c>
      <c r="P10" s="39">
        <f>$J$3+[38]FormattedData!I28*$J$4+$M$4*$J$5+[38]FormattedData!I28^2*$J$6+$M$5*$J$7</f>
        <v>48.143698807312092</v>
      </c>
      <c r="Q10" s="39">
        <f>$J$3+[38]FormattedData!J28*$J$4+$M$4*$J$5+[38]FormattedData!J28^2*$J$6+$M$5*$J$7</f>
        <v>56.072922773468498</v>
      </c>
      <c r="R10" s="39">
        <f>$J$3+[38]FormattedData!K28*$J$4+$M$4*$J$5+[38]FormattedData!K28^2*$J$6+$M$5*$J$7</f>
        <v>55.98769052837698</v>
      </c>
      <c r="S10" s="39">
        <f>$J$3+[38]FormattedData!L28*$J$4+$M$4*$J$5+[38]FormattedData!L28^2*$J$6+$M$5*$J$7</f>
        <v>57.430890173774195</v>
      </c>
      <c r="T10" s="39">
        <f>$J$3+[38]FormattedData!M28*$J$4+$M$4*$J$5+[38]FormattedData!M28^2*$J$6+$M$5*$J$7</f>
        <v>56.922920454797492</v>
      </c>
      <c r="U10" s="39">
        <f>$J$3+[38]FormattedData!N28*$J$4+$M$4*$J$5+[38]FormattedData!N28^2*$J$6+$M$5*$J$7</f>
        <v>56.243260458037746</v>
      </c>
      <c r="V10" s="39">
        <f>$J$3+[38]FormattedData!O28*$J$4+$M$4*$J$5+[38]FormattedData!O28^2*$J$6+$M$5*$J$7</f>
        <v>50.092735872167111</v>
      </c>
      <c r="W10" s="38">
        <f>AVERAGE(K10:V10)</f>
        <v>53.855895054720953</v>
      </c>
      <c r="X10" s="37">
        <f>STDEV(K10:V10)/SQRT(COUNT(K10:V10))</f>
        <v>1.1100905520680653</v>
      </c>
      <c r="Y10" s="36">
        <f>MIN(K10:V10)</f>
        <v>45.543256001657667</v>
      </c>
      <c r="Z10" s="35">
        <f>QUARTILE(K10:V10,1)</f>
        <v>52.451639641107278</v>
      </c>
      <c r="AA10" s="36">
        <f>MEDIAN(K10:V10)</f>
        <v>55.774292901613691</v>
      </c>
      <c r="AB10" s="35">
        <f>QUARTILE(K10:V10,3)</f>
        <v>56.115507194610814</v>
      </c>
      <c r="AC10" s="35">
        <f>MAX(K10:V10)</f>
        <v>57.430890173774195</v>
      </c>
      <c r="AD10" s="35">
        <f>SKEW(K10:V10)</f>
        <v>-1.3205882547674954</v>
      </c>
      <c r="AE10" s="35">
        <f>KURT(K10:V10)</f>
        <v>0.58093882669613706</v>
      </c>
    </row>
    <row r="11" spans="1:35" x14ac:dyDescent="0.2">
      <c r="B11" s="34">
        <f>[38]FormattedData!A26</f>
        <v>102</v>
      </c>
      <c r="C11" s="34" t="str">
        <f>VLOOKUP($B11,[38]TrtCodes!$B$11:I69,2)</f>
        <v>FTL</v>
      </c>
      <c r="D11" s="34">
        <f>VLOOKUP($B11,[38]TrtCodes!$B$11:J69,3)</f>
        <v>4</v>
      </c>
      <c r="E11" s="34">
        <f>VLOOKUP($B11,[38]TrtCodes!$B$11:K69,4)</f>
        <v>1</v>
      </c>
      <c r="F11" s="34">
        <f>VLOOKUP($B11,[38]TrtCodes!$B$11:L69,5)</f>
        <v>2</v>
      </c>
      <c r="G11" s="34">
        <f>VLOOKUP($B11,[38]TrtCodes!$B$11:M69,6)</f>
        <v>1</v>
      </c>
      <c r="H11" s="34">
        <f>VLOOKUP($B11,[38]TrtCodes!$B$11:N69,7)</f>
        <v>1</v>
      </c>
      <c r="I11" s="34">
        <f>[38]FormattedData!B26</f>
        <v>1</v>
      </c>
      <c r="J11" s="37">
        <f>[38]FormattedData!C26</f>
        <v>12.9</v>
      </c>
      <c r="K11" s="39">
        <f>$J$3+[38]FormattedData!D26*$J$4+$M$4*$J$5+[38]FormattedData!D26^2*$J$6+$M$5*$J$7</f>
        <v>57.346334225289574</v>
      </c>
      <c r="L11" s="39">
        <f>$J$3+[38]FormattedData!E26*$J$4+$M$4*$J$5+[38]FormattedData!E26^2*$J$6+$M$5*$J$7</f>
        <v>48.766066062552802</v>
      </c>
      <c r="M11" s="39">
        <f>$J$3+[38]FormattedData!F26*$J$4+$M$4*$J$5+[38]FormattedData!F26^2*$J$6+$M$5*$J$7</f>
        <v>56.328365897515482</v>
      </c>
      <c r="N11" s="39">
        <f>$J$3+[38]FormattedData!G26*$J$4+$M$4*$J$5+[38]FormattedData!G26^2*$J$6+$M$5*$J$7</f>
        <v>45.362604793833221</v>
      </c>
      <c r="O11" s="39">
        <f>$J$3+[38]FormattedData!H26*$J$4+$M$4*$J$5+[38]FormattedData!H26^2*$J$6+$M$5*$J$7</f>
        <v>56.753259066835149</v>
      </c>
      <c r="P11" s="39">
        <f>$J$3+[38]FormattedData!I26*$J$4+$M$4*$J$5+[38]FormattedData!I26^2*$J$6+$M$5*$J$7</f>
        <v>49.651569315743956</v>
      </c>
      <c r="Q11" s="39">
        <f>$J$3+[38]FormattedData!J26*$J$4+$M$4*$J$5+[38]FormattedData!J26^2*$J$6+$M$5*$J$7</f>
        <v>57.177095522706537</v>
      </c>
      <c r="R11" s="39">
        <f>$J$3+[38]FormattedData!K26*$J$4+$M$4*$J$5+[38]FormattedData!K26^2*$J$6+$M$5*$J$7</f>
        <v>50.44490828362288</v>
      </c>
      <c r="S11" s="39">
        <f>$J$3+[38]FormattedData!L26*$J$4+$M$4*$J$5+[38]FormattedData!L26^2*$J$6+$M$5*$J$7</f>
        <v>55.30431090027929</v>
      </c>
      <c r="T11" s="39">
        <f>$J$3+[38]FormattedData!M26*$J$4+$M$4*$J$5+[38]FormattedData!M26^2*$J$6+$M$5*$J$7</f>
        <v>45.000795155729158</v>
      </c>
      <c r="U11" s="39">
        <f>$J$3+[38]FormattedData!N26*$J$4+$M$4*$J$5+[38]FormattedData!N26^2*$J$6+$M$5*$J$7</f>
        <v>55.560895274850409</v>
      </c>
      <c r="V11" s="39">
        <f>$J$3+[38]FormattedData!O26*$J$4+$M$4*$J$5+[38]FormattedData!O26^2*$J$6+$M$5*$J$7</f>
        <v>41.160962547994977</v>
      </c>
      <c r="W11" s="38">
        <f>AVERAGE(K11:V11)</f>
        <v>51.571430587246113</v>
      </c>
      <c r="X11" s="37">
        <f>STDEV(K11:V11)/SQRT(COUNT(K11:V11))</f>
        <v>1.621420527776849</v>
      </c>
      <c r="Y11" s="36">
        <f>MIN(K11:V11)</f>
        <v>41.160962547994977</v>
      </c>
      <c r="Z11" s="35">
        <f>QUARTILE(K11:V11,1)</f>
        <v>47.915200745372907</v>
      </c>
      <c r="AA11" s="36">
        <f>MEDIAN(K11:V11)</f>
        <v>52.874609591951085</v>
      </c>
      <c r="AB11" s="35">
        <f>QUARTILE(K11:V11,3)</f>
        <v>56.434589189845397</v>
      </c>
      <c r="AC11" s="35">
        <f>MAX(K11:V11)</f>
        <v>57.346334225289574</v>
      </c>
      <c r="AD11" s="35">
        <f>SKEW(K11:V11)</f>
        <v>-0.58537871945218767</v>
      </c>
      <c r="AE11" s="35">
        <f>KURT(K11:V11)</f>
        <v>-1.0326306837362171</v>
      </c>
    </row>
    <row r="12" spans="1:35" x14ac:dyDescent="0.2">
      <c r="B12" s="34">
        <f>[38]FormattedData!A24</f>
        <v>103</v>
      </c>
      <c r="C12" s="34" t="str">
        <f>VLOOKUP($B12,[38]TrtCodes!$B$11:I67,2)</f>
        <v>FDH</v>
      </c>
      <c r="D12" s="34">
        <f>VLOOKUP($B12,[38]TrtCodes!$B$11:J67,3)</f>
        <v>5</v>
      </c>
      <c r="E12" s="34">
        <f>VLOOKUP($B12,[38]TrtCodes!$B$11:K67,4)</f>
        <v>1</v>
      </c>
      <c r="F12" s="34">
        <f>VLOOKUP($B12,[38]TrtCodes!$B$11:L67,5)</f>
        <v>3</v>
      </c>
      <c r="G12" s="34">
        <f>VLOOKUP($B12,[38]TrtCodes!$B$11:M67,6)</f>
        <v>2</v>
      </c>
      <c r="H12" s="34">
        <f>VLOOKUP($B12,[38]TrtCodes!$B$11:N67,7)</f>
        <v>1</v>
      </c>
      <c r="I12" s="34">
        <f>[38]FormattedData!B24</f>
        <v>1</v>
      </c>
      <c r="J12" s="37">
        <f>[38]FormattedData!C24</f>
        <v>12.881</v>
      </c>
      <c r="K12" s="39">
        <f>$J$3+[38]FormattedData!D24*$J$4+$M$4*$J$5+[38]FormattedData!D24^2*$J$6+$M$5*$J$7</f>
        <v>57.007687745971772</v>
      </c>
      <c r="L12" s="39">
        <f>$J$3+[38]FormattedData!E24*$J$4+$M$4*$J$5+[38]FormattedData!E24^2*$J$6+$M$5*$J$7</f>
        <v>50.708593772566424</v>
      </c>
      <c r="M12" s="39">
        <f>$J$3+[38]FormattedData!F24*$J$4+$M$4*$J$5+[38]FormattedData!F24^2*$J$6+$M$5*$J$7</f>
        <v>53.670442403567947</v>
      </c>
      <c r="N12" s="39">
        <f>$J$3+[38]FormattedData!G24*$J$4+$M$4*$J$5+[38]FormattedData!G24^2*$J$6+$M$5*$J$7</f>
        <v>44.63830922101819</v>
      </c>
      <c r="O12" s="39">
        <f>$J$3+[38]FormattedData!H24*$J$4+$M$4*$J$5+[38]FormattedData!H24^2*$J$6+$M$5*$J$7</f>
        <v>48.854806596292605</v>
      </c>
      <c r="P12" s="39">
        <f>$J$3+[38]FormattedData!I24*$J$4+$M$4*$J$5+[38]FormattedData!I24^2*$J$6+$M$5*$J$7</f>
        <v>42.357449784074625</v>
      </c>
      <c r="Q12" s="39">
        <f>$J$3+[38]FormattedData!J24*$J$4+$M$4*$J$5+[38]FormattedData!J24^2*$J$6+$M$5*$J$7</f>
        <v>57.261736008267022</v>
      </c>
      <c r="R12" s="39">
        <f>$J$3+[38]FormattedData!K24*$J$4+$M$4*$J$5+[38]FormattedData!K24^2*$J$6+$M$5*$J$7</f>
        <v>47.161508535250086</v>
      </c>
      <c r="S12" s="39">
        <f>$J$3+[38]FormattedData!L24*$J$4+$M$4*$J$5+[38]FormattedData!L24^2*$J$6+$M$5*$J$7</f>
        <v>55.646338862631588</v>
      </c>
      <c r="T12" s="39">
        <f>$J$3+[38]FormattedData!M24*$J$4+$M$4*$J$5+[38]FormattedData!M24^2*$J$6+$M$5*$J$7</f>
        <v>46.892750821754802</v>
      </c>
      <c r="U12" s="39">
        <f>$J$3+[38]FormattedData!N24*$J$4+$M$4*$J$5+[38]FormattedData!N24^2*$J$6+$M$5*$J$7</f>
        <v>57.261736008267022</v>
      </c>
      <c r="V12" s="39">
        <f>$J$3+[38]FormattedData!O24*$J$4+$M$4*$J$5+[38]FormattedData!O24^2*$J$6+$M$5*$J$7</f>
        <v>44.366000950336684</v>
      </c>
      <c r="W12" s="38">
        <f>AVERAGE(K12:V12)</f>
        <v>50.485613392499907</v>
      </c>
      <c r="X12" s="37">
        <f>STDEV(K12:V12)/SQRT(COUNT(K12:V12))</f>
        <v>1.5943094930236386</v>
      </c>
      <c r="Y12" s="36">
        <f>MIN(K12:V12)</f>
        <v>42.357449784074625</v>
      </c>
      <c r="Z12" s="35">
        <f>QUARTILE(K12:V12,1)</f>
        <v>46.329140421570649</v>
      </c>
      <c r="AA12" s="36">
        <f>MEDIAN(K12:V12)</f>
        <v>49.781700184429511</v>
      </c>
      <c r="AB12" s="35">
        <f>QUARTILE(K12:V12,3)</f>
        <v>55.986676083466634</v>
      </c>
      <c r="AC12" s="35">
        <f>MAX(K12:V12)</f>
        <v>57.261736008267022</v>
      </c>
      <c r="AD12" s="35">
        <f>SKEW(K12:V12)</f>
        <v>1.0299123290419446E-2</v>
      </c>
      <c r="AE12" s="35">
        <f>KURT(K12:V12)</f>
        <v>-1.6502428891374805</v>
      </c>
    </row>
    <row r="13" spans="1:35" x14ac:dyDescent="0.2">
      <c r="B13" s="34">
        <f>[38]FormattedData!A22</f>
        <v>104</v>
      </c>
      <c r="C13" s="34" t="str">
        <f>VLOOKUP($B13,[38]TrtCodes!$B$11:I65,2)</f>
        <v>NTL</v>
      </c>
      <c r="D13" s="34">
        <f>VLOOKUP($B13,[38]TrtCodes!$B$11:J65,3)</f>
        <v>10</v>
      </c>
      <c r="E13" s="34">
        <f>VLOOKUP($B13,[38]TrtCodes!$B$11:K65,4)</f>
        <v>2</v>
      </c>
      <c r="F13" s="34">
        <f>VLOOKUP($B13,[38]TrtCodes!$B$11:L65,5)</f>
        <v>2</v>
      </c>
      <c r="G13" s="34">
        <f>VLOOKUP($B13,[38]TrtCodes!$B$11:M65,6)</f>
        <v>1</v>
      </c>
      <c r="H13" s="34">
        <f>VLOOKUP($B13,[38]TrtCodes!$B$11:N65,7)</f>
        <v>1</v>
      </c>
      <c r="I13" s="34">
        <f>[38]FormattedData!B22</f>
        <v>1</v>
      </c>
      <c r="J13" s="37">
        <f>[38]FormattedData!C22</f>
        <v>12.864000000000001</v>
      </c>
      <c r="K13" s="39">
        <f>$J$3+[38]FormattedData!D22*$J$4+$M$4*$J$5+[38]FormattedData!D22^2*$J$6+$M$5*$J$7</f>
        <v>55.047346108866797</v>
      </c>
      <c r="L13" s="39">
        <f>$J$3+[38]FormattedData!E22*$J$4+$M$4*$J$5+[38]FormattedData!E22^2*$J$6+$M$5*$J$7</f>
        <v>48.499590850105804</v>
      </c>
      <c r="M13" s="39">
        <f>$J$3+[38]FormattedData!F22*$J$4+$M$4*$J$5+[38]FormattedData!F22^2*$J$6+$M$5*$J$7</f>
        <v>55.047346108866797</v>
      </c>
      <c r="N13" s="39">
        <f>$J$3+[38]FormattedData!G22*$J$4+$M$4*$J$5+[38]FormattedData!G22^2*$J$6+$M$5*$J$7</f>
        <v>37.904145186687614</v>
      </c>
      <c r="O13" s="39">
        <f>$J$3+[38]FormattedData!H22*$J$4+$M$4*$J$5+[38]FormattedData!H22^2*$J$6+$M$5*$J$7</f>
        <v>56.072922773468498</v>
      </c>
      <c r="P13" s="39">
        <f>$J$3+[38]FormattedData!I22*$J$4+$M$4*$J$5+[38]FormattedData!I22^2*$J$6+$M$5*$J$7</f>
        <v>45.000795155729158</v>
      </c>
      <c r="Q13" s="39">
        <f>$J$3+[38]FormattedData!J22*$J$4+$M$4*$J$5+[38]FormattedData!J22^2*$J$6+$M$5*$J$7</f>
        <v>59.364010872451516</v>
      </c>
      <c r="R13" s="39">
        <f>$J$3+[38]FormattedData!K22*$J$4+$M$4*$J$5+[38]FormattedData!K22^2*$J$6+$M$5*$J$7</f>
        <v>45.633518202762993</v>
      </c>
      <c r="S13" s="39">
        <f>$J$3+[38]FormattedData!L22*$J$4+$M$4*$J$5+[38]FormattedData!L22^2*$J$6+$M$5*$J$7</f>
        <v>55.90241601474753</v>
      </c>
      <c r="T13" s="39">
        <f>$J$3+[38]FormattedData!M22*$J$4+$M$4*$J$5+[38]FormattedData!M22^2*$J$6+$M$5*$J$7</f>
        <v>44.184250760526034</v>
      </c>
      <c r="U13" s="39">
        <f>$J$3+[38]FormattedData!N22*$J$4+$M$4*$J$5+[38]FormattedData!N22^2*$J$6+$M$5*$J$7</f>
        <v>57.007687745971772</v>
      </c>
      <c r="V13" s="39">
        <f>$J$3+[38]FormattedData!O22*$J$4+$M$4*$J$5+[38]FormattedData!O22^2*$J$6+$M$5*$J$7</f>
        <v>46.264170091438203</v>
      </c>
      <c r="W13" s="38">
        <f>AVERAGE(K13:V13)</f>
        <v>50.494016655968558</v>
      </c>
      <c r="X13" s="37">
        <f>STDEV(K13:V13)/SQRT(COUNT(K13:V13))</f>
        <v>1.9402682120153094</v>
      </c>
      <c r="Y13" s="36">
        <f>MIN(K13:V13)</f>
        <v>37.904145186687614</v>
      </c>
      <c r="Z13" s="35">
        <f>QUARTILE(K13:V13,1)</f>
        <v>45.475337441004534</v>
      </c>
      <c r="AA13" s="36">
        <f>MEDIAN(K13:V13)</f>
        <v>51.773468479486297</v>
      </c>
      <c r="AB13" s="35">
        <f>QUARTILE(K13:V13,3)</f>
        <v>55.94504270442777</v>
      </c>
      <c r="AC13" s="35">
        <f>MAX(K13:V13)</f>
        <v>59.364010872451516</v>
      </c>
      <c r="AD13" s="35">
        <f>SKEW(K13:V13)</f>
        <v>-0.40098980665082151</v>
      </c>
      <c r="AE13" s="35">
        <f>KURT(K13:V13)</f>
        <v>-1.0076093222212554</v>
      </c>
    </row>
    <row r="14" spans="1:35" x14ac:dyDescent="0.2">
      <c r="B14" s="34">
        <f>[38]FormattedData!A20</f>
        <v>105</v>
      </c>
      <c r="C14" s="34" t="str">
        <f>VLOOKUP($B14,[38]TrtCodes!$B$11:I63,2)</f>
        <v>NDL</v>
      </c>
      <c r="D14" s="34">
        <f>VLOOKUP($B14,[38]TrtCodes!$B$11:J63,3)</f>
        <v>12</v>
      </c>
      <c r="E14" s="34">
        <f>VLOOKUP($B14,[38]TrtCodes!$B$11:K63,4)</f>
        <v>2</v>
      </c>
      <c r="F14" s="34">
        <f>VLOOKUP($B14,[38]TrtCodes!$B$11:L63,5)</f>
        <v>3</v>
      </c>
      <c r="G14" s="34">
        <f>VLOOKUP($B14,[38]TrtCodes!$B$11:M63,6)</f>
        <v>1</v>
      </c>
      <c r="H14" s="34">
        <f>VLOOKUP($B14,[38]TrtCodes!$B$11:N63,7)</f>
        <v>2</v>
      </c>
      <c r="I14" s="34">
        <f>[38]FormattedData!B20</f>
        <v>1</v>
      </c>
      <c r="J14" s="37">
        <f>[38]FormattedData!C20</f>
        <v>12.847</v>
      </c>
      <c r="K14" s="39">
        <f>$J$3+[38]FormattedData!D20*$J$4+$M$4*$J$5+[38]FormattedData!D20^2*$J$6+$M$5*$J$7</f>
        <v>52.891178858820098</v>
      </c>
      <c r="L14" s="39">
        <f>$J$3+[38]FormattedData!E20*$J$4+$M$4*$J$5+[38]FormattedData!E20^2*$J$6+$M$5*$J$7</f>
        <v>42.265665915603776</v>
      </c>
      <c r="M14" s="39">
        <f>$J$3+[38]FormattedData!F20*$J$4+$M$4*$J$5+[38]FormattedData!F20^2*$J$6+$M$5*$J$7</f>
        <v>49.563209198845527</v>
      </c>
      <c r="N14" s="39">
        <f>$J$3+[38]FormattedData!G20*$J$4+$M$4*$J$5+[38]FormattedData!G20^2*$J$6+$M$5*$J$7</f>
        <v>34.88117172654443</v>
      </c>
      <c r="O14" s="39">
        <f>$J$3+[38]FormattedData!H20*$J$4+$M$4*$J$5+[38]FormattedData!H20^2*$J$6+$M$5*$J$7</f>
        <v>51.584797947412724</v>
      </c>
      <c r="P14" s="39">
        <f>$J$3+[38]FormattedData!I20*$J$4+$M$4*$J$5+[38]FormattedData!I20^2*$J$6+$M$5*$J$7</f>
        <v>37.716477401566607</v>
      </c>
      <c r="Q14" s="39">
        <f>$J$3+[38]FormattedData!J20*$J$4+$M$4*$J$5+[38]FormattedData!J20^2*$J$6+$M$5*$J$7</f>
        <v>52.369767744781285</v>
      </c>
      <c r="R14" s="39">
        <f>$J$3+[38]FormattedData!K20*$J$4+$M$4*$J$5+[38]FormattedData!K20^2*$J$6+$M$5*$J$7</f>
        <v>37.246568239350275</v>
      </c>
      <c r="S14" s="39">
        <f>$J$3+[38]FormattedData!L20*$J$4+$M$4*$J$5+[38]FormattedData!L20^2*$J$6+$M$5*$J$7</f>
        <v>52.369767744781285</v>
      </c>
      <c r="T14" s="39">
        <f>$J$3+[38]FormattedData!M20*$J$4+$M$4*$J$5+[38]FormattedData!M20^2*$J$6+$M$5*$J$7</f>
        <v>42.815735098359895</v>
      </c>
      <c r="U14" s="39">
        <f>$J$3+[38]FormattedData!N20*$J$4+$M$4*$J$5+[38]FormattedData!N20^2*$J$6+$M$5*$J$7</f>
        <v>52.543740523612612</v>
      </c>
      <c r="V14" s="39">
        <f>$J$3+[38]FormattedData!O20*$J$4+$M$4*$J$5+[38]FormattedData!O20^2*$J$6+$M$5*$J$7</f>
        <v>40.142970824305287</v>
      </c>
      <c r="W14" s="38">
        <f>AVERAGE(K14:V14)</f>
        <v>45.532587601998642</v>
      </c>
      <c r="X14" s="37">
        <f>STDEV(K14:V14)/SQRT(COUNT(K14:V14))</f>
        <v>2.0225597815721459</v>
      </c>
      <c r="Y14" s="36">
        <f>MIN(K14:V14)</f>
        <v>34.88117172654443</v>
      </c>
      <c r="Z14" s="35">
        <f>QUARTILE(K14:V14,1)</f>
        <v>39.536347468620619</v>
      </c>
      <c r="AA14" s="36">
        <f>MEDIAN(K14:V14)</f>
        <v>46.189472148602711</v>
      </c>
      <c r="AB14" s="35">
        <f>QUARTILE(K14:V14,3)</f>
        <v>52.369767744781285</v>
      </c>
      <c r="AC14" s="35">
        <f>MAX(K14:V14)</f>
        <v>52.891178858820098</v>
      </c>
      <c r="AD14" s="35">
        <f>SKEW(K14:V14)</f>
        <v>-0.25273444262184275</v>
      </c>
      <c r="AE14" s="35">
        <f>KURT(K14:V14)</f>
        <v>-1.8326183030091796</v>
      </c>
    </row>
    <row r="15" spans="1:35" x14ac:dyDescent="0.2">
      <c r="B15" s="34">
        <f>[38]FormattedData!A18</f>
        <v>106</v>
      </c>
      <c r="C15" s="34" t="str">
        <f>VLOOKUP($B15,[38]TrtCodes!$B$11:I61,2)</f>
        <v>NTH</v>
      </c>
      <c r="D15" s="34">
        <f>VLOOKUP($B15,[38]TrtCodes!$B$11:J61,3)</f>
        <v>9</v>
      </c>
      <c r="E15" s="34">
        <f>VLOOKUP($B15,[38]TrtCodes!$B$11:K61,4)</f>
        <v>2</v>
      </c>
      <c r="F15" s="34">
        <f>VLOOKUP($B15,[38]TrtCodes!$B$11:L61,5)</f>
        <v>2</v>
      </c>
      <c r="G15" s="34">
        <f>VLOOKUP($B15,[38]TrtCodes!$B$11:M61,6)</f>
        <v>2</v>
      </c>
      <c r="H15" s="34">
        <f>VLOOKUP($B15,[38]TrtCodes!$B$11:N61,7)</f>
        <v>2</v>
      </c>
      <c r="I15" s="34">
        <f>[38]FormattedData!B18</f>
        <v>1</v>
      </c>
      <c r="J15" s="37">
        <f>[38]FormattedData!C18</f>
        <v>12.83</v>
      </c>
      <c r="K15" s="39">
        <f>$J$3+[38]FormattedData!D18*$J$4+$M$4*$J$5+[38]FormattedData!D18^2*$J$6+$M$5*$J$7</f>
        <v>55.90241601474753</v>
      </c>
      <c r="L15" s="39">
        <f>$J$3+[38]FormattedData!E18*$J$4+$M$4*$J$5+[38]FormattedData!E18^2*$J$6+$M$5*$J$7</f>
        <v>48.854806596292605</v>
      </c>
      <c r="M15" s="39">
        <f>$J$3+[38]FormattedData!F18*$J$4+$M$4*$J$5+[38]FormattedData!F18^2*$J$6+$M$5*$J$7</f>
        <v>57.177095522706537</v>
      </c>
      <c r="N15" s="39">
        <f>$J$3+[38]FormattedData!G18*$J$4+$M$4*$J$5+[38]FormattedData!G18^2*$J$6+$M$5*$J$7</f>
        <v>46.982378994791148</v>
      </c>
      <c r="O15" s="39">
        <f>$J$3+[38]FormattedData!H18*$J$4+$M$4*$J$5+[38]FormattedData!H18^2*$J$6+$M$5*$J$7</f>
        <v>57.346334225289574</v>
      </c>
      <c r="P15" s="39">
        <f>$J$3+[38]FormattedData!I18*$J$4+$M$4*$J$5+[38]FormattedData!I18^2*$J$6+$M$5*$J$7</f>
        <v>45.994144321804995</v>
      </c>
      <c r="Q15" s="39">
        <f>$J$3+[38]FormattedData!J18*$J$4+$M$4*$J$5+[38]FormattedData!J18^2*$J$6+$M$5*$J$7</f>
        <v>57.430890173774195</v>
      </c>
      <c r="R15" s="39">
        <f>$J$3+[38]FormattedData!K18*$J$4+$M$4*$J$5+[38]FormattedData!K18^2*$J$6+$M$5*$J$7</f>
        <v>49.563209198845527</v>
      </c>
      <c r="S15" s="39">
        <f>$J$3+[38]FormattedData!L18*$J$4+$M$4*$J$5+[38]FormattedData!L18^2*$J$6+$M$5*$J$7</f>
        <v>56.838110895085286</v>
      </c>
      <c r="T15" s="39">
        <f>$J$3+[38]FormattedData!M18*$J$4+$M$4*$J$5+[38]FormattedData!M18^2*$J$6+$M$5*$J$7</f>
        <v>43.82024315844955</v>
      </c>
      <c r="U15" s="39">
        <f>$J$3+[38]FormattedData!N18*$J$4+$M$4*$J$5+[38]FormattedData!N18^2*$J$6+$M$5*$J$7</f>
        <v>55.475409418531299</v>
      </c>
      <c r="V15" s="39">
        <f>$J$3+[38]FormattedData!O18*$J$4+$M$4*$J$5+[38]FormattedData!O18^2*$J$6+$M$5*$J$7</f>
        <v>44.63830922101819</v>
      </c>
      <c r="W15" s="38">
        <f>AVERAGE(K15:V15)</f>
        <v>51.668612311778027</v>
      </c>
      <c r="X15" s="37">
        <f>STDEV(K15:V15)/SQRT(COUNT(K15:V15))</f>
        <v>1.5870138903531972</v>
      </c>
      <c r="Y15" s="36">
        <f>MIN(K15:V15)</f>
        <v>43.82024315844955</v>
      </c>
      <c r="Z15" s="35">
        <f>QUARTILE(K15:V15,1)</f>
        <v>46.73532032654461</v>
      </c>
      <c r="AA15" s="36">
        <f>MEDIAN(K15:V15)</f>
        <v>52.519309308688413</v>
      </c>
      <c r="AB15" s="35">
        <f>QUARTILE(K15:V15,3)</f>
        <v>56.922857051990597</v>
      </c>
      <c r="AC15" s="35">
        <f>MAX(K15:V15)</f>
        <v>57.430890173774195</v>
      </c>
      <c r="AD15" s="35">
        <f>SKEW(K15:V15)</f>
        <v>-0.22154738433518331</v>
      </c>
      <c r="AE15" s="35">
        <f>KURT(K15:V15)</f>
        <v>-1.9380185959090332</v>
      </c>
    </row>
    <row r="16" spans="1:35" x14ac:dyDescent="0.2">
      <c r="B16" s="34">
        <f>[38]FormattedData!A16</f>
        <v>107</v>
      </c>
      <c r="C16" s="34" t="str">
        <f>VLOOKUP($B16,[38]TrtCodes!$B$11:I59,2)</f>
        <v>NTL</v>
      </c>
      <c r="D16" s="34">
        <f>VLOOKUP($B16,[38]TrtCodes!$B$11:J59,3)</f>
        <v>10</v>
      </c>
      <c r="E16" s="34">
        <f>VLOOKUP($B16,[38]TrtCodes!$B$11:K59,4)</f>
        <v>2</v>
      </c>
      <c r="F16" s="34">
        <f>VLOOKUP($B16,[38]TrtCodes!$B$11:L59,5)</f>
        <v>2</v>
      </c>
      <c r="G16" s="34">
        <f>VLOOKUP($B16,[38]TrtCodes!$B$11:M59,6)</f>
        <v>1</v>
      </c>
      <c r="H16" s="34">
        <f>VLOOKUP($B16,[38]TrtCodes!$B$11:N59,7)</f>
        <v>2</v>
      </c>
      <c r="I16" s="34">
        <f>[38]FormattedData!B16</f>
        <v>1</v>
      </c>
      <c r="J16" s="37">
        <f>[38]FormattedData!C16</f>
        <v>12.813000000000001</v>
      </c>
      <c r="K16" s="39">
        <f>$J$3+[38]FormattedData!D16*$J$4+$M$4*$J$5+[38]FormattedData!D16^2*$J$6+$M$5*$J$7</f>
        <v>55.731740181874827</v>
      </c>
      <c r="L16" s="39">
        <f>$J$3+[38]FormattedData!E16*$J$4+$M$4*$J$5+[38]FormattedData!E16^2*$J$6+$M$5*$J$7</f>
        <v>49.82816274392701</v>
      </c>
      <c r="M16" s="39">
        <f>$J$3+[38]FormattedData!F16*$J$4+$M$4*$J$5+[38]FormattedData!F16^2*$J$6+$M$5*$J$7</f>
        <v>56.328365897515482</v>
      </c>
      <c r="N16" s="39">
        <f>$J$3+[38]FormattedData!G16*$J$4+$M$4*$J$5+[38]FormattedData!G16^2*$J$6+$M$5*$J$7</f>
        <v>43.272963699196886</v>
      </c>
      <c r="O16" s="39">
        <f>$J$3+[38]FormattedData!H16*$J$4+$M$4*$J$5+[38]FormattedData!H16^2*$J$6+$M$5*$J$7</f>
        <v>55.30431090027929</v>
      </c>
      <c r="P16" s="39">
        <f>$J$3+[38]FormattedData!I16*$J$4+$M$4*$J$5+[38]FormattedData!I16^2*$J$6+$M$5*$J$7</f>
        <v>42.907265355603158</v>
      </c>
      <c r="Q16" s="39">
        <f>$J$3+[38]FormattedData!J16*$J$4+$M$4*$J$5+[38]FormattedData!J16^2*$J$6+$M$5*$J$7</f>
        <v>59.029422172775107</v>
      </c>
      <c r="R16" s="39">
        <f>$J$3+[38]FormattedData!K16*$J$4+$M$4*$J$5+[38]FormattedData!K16^2*$J$6+$M$5*$J$7</f>
        <v>41.714075065482142</v>
      </c>
      <c r="S16" s="39">
        <f>$J$3+[38]FormattedData!L16*$J$4+$M$4*$J$5+[38]FormattedData!L16^2*$J$6+$M$5*$J$7</f>
        <v>56.838110895085286</v>
      </c>
      <c r="T16" s="39">
        <f>$J$3+[38]FormattedData!M16*$J$4+$M$4*$J$5+[38]FormattedData!M16^2*$J$6+$M$5*$J$7</f>
        <v>48.677283260275068</v>
      </c>
      <c r="U16" s="39">
        <f>$J$3+[38]FormattedData!N16*$J$4+$M$4*$J$5+[38]FormattedData!N16^2*$J$6+$M$5*$J$7</f>
        <v>56.072922773468498</v>
      </c>
      <c r="V16" s="39">
        <f>$J$3+[38]FormattedData!O16*$J$4+$M$4*$J$5+[38]FormattedData!O16^2*$J$6+$M$5*$J$7</f>
        <v>45.543256001657667</v>
      </c>
      <c r="W16" s="38">
        <f>AVERAGE(K16:V16)</f>
        <v>50.937323245595046</v>
      </c>
      <c r="X16" s="37">
        <f>STDEV(K16:V16)/SQRT(COUNT(K16:V16))</f>
        <v>1.8288981229042549</v>
      </c>
      <c r="Y16" s="36">
        <f>MIN(K16:V16)</f>
        <v>41.714075065482142</v>
      </c>
      <c r="Z16" s="35">
        <f>QUARTILE(K16:V16,1)</f>
        <v>44.975682926042474</v>
      </c>
      <c r="AA16" s="36">
        <f>MEDIAN(K16:V16)</f>
        <v>52.56623682210315</v>
      </c>
      <c r="AB16" s="35">
        <f>QUARTILE(K16:V16,3)</f>
        <v>56.136783554480246</v>
      </c>
      <c r="AC16" s="35">
        <f>MAX(K16:V16)</f>
        <v>59.029422172775107</v>
      </c>
      <c r="AD16" s="35">
        <f>SKEW(K16:V16)</f>
        <v>-0.30094129330445252</v>
      </c>
      <c r="AE16" s="35">
        <f>KURT(K16:V16)</f>
        <v>-1.7200074807890626</v>
      </c>
    </row>
    <row r="17" spans="2:31" x14ac:dyDescent="0.2">
      <c r="B17" s="34">
        <f>[38]FormattedData!A14</f>
        <v>108</v>
      </c>
      <c r="C17" s="34" t="str">
        <f>VLOOKUP($B17,[38]TrtCodes!$B$11:I57,2)</f>
        <v>FTH</v>
      </c>
      <c r="D17" s="34">
        <f>VLOOKUP($B17,[38]TrtCodes!$B$11:J57,3)</f>
        <v>3</v>
      </c>
      <c r="E17" s="34">
        <f>VLOOKUP($B17,[38]TrtCodes!$B$11:K57,4)</f>
        <v>1</v>
      </c>
      <c r="F17" s="34">
        <f>VLOOKUP($B17,[38]TrtCodes!$B$11:L57,5)</f>
        <v>2</v>
      </c>
      <c r="G17" s="34">
        <f>VLOOKUP($B17,[38]TrtCodes!$B$11:M57,6)</f>
        <v>2</v>
      </c>
      <c r="H17" s="34">
        <f>VLOOKUP($B17,[38]TrtCodes!$B$11:N57,7)</f>
        <v>2</v>
      </c>
      <c r="I17" s="34">
        <f>[38]FormattedData!B14</f>
        <v>1</v>
      </c>
      <c r="J17" s="37">
        <f>[38]FormattedData!C14</f>
        <v>12.795999999999999</v>
      </c>
      <c r="K17" s="39">
        <f>$J$3+[38]FormattedData!D14*$J$4+$M$4*$J$5+[38]FormattedData!D14^2*$J$6+$M$5*$J$7</f>
        <v>55.98769052837698</v>
      </c>
      <c r="L17" s="39">
        <f>$J$3+[38]FormattedData!E14*$J$4+$M$4*$J$5+[38]FormattedData!E14^2*$J$6+$M$5*$J$7</f>
        <v>46.623612691418131</v>
      </c>
      <c r="M17" s="39">
        <f>$J$3+[38]FormattedData!F14*$J$4+$M$4*$J$5+[38]FormattedData!F14^2*$J$6+$M$5*$J$7</f>
        <v>56.668364970047065</v>
      </c>
      <c r="N17" s="39">
        <f>$J$3+[38]FormattedData!G14*$J$4+$M$4*$J$5+[38]FormattedData!G14^2*$J$6+$M$5*$J$7</f>
        <v>43.272963699196886</v>
      </c>
      <c r="O17" s="39">
        <f>$J$3+[38]FormattedData!H14*$J$4+$M$4*$J$5+[38]FormattedData!H14^2*$J$6+$M$5*$J$7</f>
        <v>58.526271067122558</v>
      </c>
      <c r="P17" s="39">
        <f>$J$3+[38]FormattedData!I14*$J$4+$M$4*$J$5+[38]FormattedData!I14^2*$J$6+$M$5*$J$7</f>
        <v>48.499590850105804</v>
      </c>
      <c r="Q17" s="39">
        <f>$J$3+[38]FormattedData!J14*$J$4+$M$4*$J$5+[38]FormattedData!J14^2*$J$6+$M$5*$J$7</f>
        <v>58.694157176491792</v>
      </c>
      <c r="R17" s="39">
        <f>$J$3+[38]FormattedData!K14*$J$4+$M$4*$J$5+[38]FormattedData!K14^2*$J$6+$M$5*$J$7</f>
        <v>42.815735098359895</v>
      </c>
      <c r="S17" s="39">
        <f>$J$3+[38]FormattedData!L14*$J$4+$M$4*$J$5+[38]FormattedData!L14^2*$J$6+$M$5*$J$7</f>
        <v>56.668364970047065</v>
      </c>
      <c r="T17" s="39">
        <f>$J$3+[38]FormattedData!M14*$J$4+$M$4*$J$5+[38]FormattedData!M14^2*$J$6+$M$5*$J$7</f>
        <v>45.543256001657667</v>
      </c>
      <c r="U17" s="39">
        <f>$J$3+[38]FormattedData!N14*$J$4+$M$4*$J$5+[38]FormattedData!N14^2*$J$6+$M$5*$J$7</f>
        <v>56.072922773468498</v>
      </c>
      <c r="V17" s="39">
        <f>$J$3+[38]FormattedData!O14*$J$4+$M$4*$J$5+[38]FormattedData!O14^2*$J$6+$M$5*$J$7</f>
        <v>42.998753344308483</v>
      </c>
      <c r="W17" s="38">
        <f>AVERAGE(K17:V17)</f>
        <v>51.030973597550066</v>
      </c>
      <c r="X17" s="37">
        <f>STDEV(K17:V17)/SQRT(COUNT(K17:V17))</f>
        <v>1.9001509519014284</v>
      </c>
      <c r="Y17" s="36">
        <f>MIN(K17:V17)</f>
        <v>42.815735098359895</v>
      </c>
      <c r="Z17" s="35">
        <f>QUARTILE(K17:V17,1)</f>
        <v>44.975682926042474</v>
      </c>
      <c r="AA17" s="36">
        <f>MEDIAN(K17:V17)</f>
        <v>52.243640689241388</v>
      </c>
      <c r="AB17" s="35">
        <f>QUARTILE(K17:V17,3)</f>
        <v>56.668364970047065</v>
      </c>
      <c r="AC17" s="35">
        <f>MAX(K17:V17)</f>
        <v>58.694157176491792</v>
      </c>
      <c r="AD17" s="35">
        <f>SKEW(K17:V17)</f>
        <v>-0.12520486426990093</v>
      </c>
      <c r="AE17" s="35">
        <f>KURT(K17:V17)</f>
        <v>-2.057396349569828</v>
      </c>
    </row>
    <row r="18" spans="2:31" x14ac:dyDescent="0.2">
      <c r="B18" s="34">
        <f>[38]FormattedData!A30</f>
        <v>201</v>
      </c>
      <c r="C18" s="34" t="str">
        <f>VLOOKUP($B18,[38]TrtCodes!$B$11:I73,2)</f>
        <v>NDL</v>
      </c>
      <c r="D18" s="34">
        <f>VLOOKUP($B18,[38]TrtCodes!$B$11:J73,3)</f>
        <v>12</v>
      </c>
      <c r="E18" s="34">
        <f>VLOOKUP($B18,[38]TrtCodes!$B$11:K73,4)</f>
        <v>2</v>
      </c>
      <c r="F18" s="34">
        <f>VLOOKUP($B18,[38]TrtCodes!$B$11:L73,5)</f>
        <v>3</v>
      </c>
      <c r="G18" s="34">
        <f>VLOOKUP($B18,[38]TrtCodes!$B$11:M73,6)</f>
        <v>1</v>
      </c>
      <c r="H18" s="34">
        <f>VLOOKUP($B18,[38]TrtCodes!$B$11:N73,7)</f>
        <v>1</v>
      </c>
      <c r="I18" s="34">
        <f>[38]FormattedData!B30</f>
        <v>1</v>
      </c>
      <c r="J18" s="37">
        <f>[38]FormattedData!C30</f>
        <v>12.939</v>
      </c>
      <c r="K18" s="39">
        <f>$J$3+[38]FormattedData!D30*$J$4+$M$4*$J$5+[38]FormattedData!D30^2*$J$6+$M$5*$J$7</f>
        <v>51.672185887938738</v>
      </c>
      <c r="L18" s="39">
        <f>$J$3+[38]FormattedData!E30*$J$4+$M$4*$J$5+[38]FormattedData!E30^2*$J$6+$M$5*$J$7</f>
        <v>42.540890715402526</v>
      </c>
      <c r="M18" s="39">
        <f>$J$3+[38]FormattedData!F30*$J$4+$M$4*$J$5+[38]FormattedData!F30^2*$J$6+$M$5*$J$7</f>
        <v>51.934096098289174</v>
      </c>
      <c r="N18" s="39">
        <f>$J$3+[38]FormattedData!G30*$J$4+$M$4*$J$5+[38]FormattedData!G30^2*$J$6+$M$5*$J$7</f>
        <v>37.622580106199194</v>
      </c>
      <c r="O18" s="39">
        <f>$J$3+[38]FormattedData!H30*$J$4+$M$4*$J$5+[38]FormattedData!H30^2*$J$6+$M$5*$J$7</f>
        <v>52.804382677825117</v>
      </c>
      <c r="P18" s="39">
        <f>$J$3+[38]FormattedData!I30*$J$4+$M$4*$J$5+[38]FormattedData!I30^2*$J$6+$M$5*$J$7</f>
        <v>46.264170091438203</v>
      </c>
      <c r="Q18" s="39">
        <f>$J$3+[38]FormattedData!J30*$J$4+$M$4*$J$5+[38]FormattedData!J30^2*$J$6+$M$5*$J$7</f>
        <v>53.064644415196248</v>
      </c>
      <c r="R18" s="39">
        <f>$J$3+[38]FormattedData!K30*$J$4+$M$4*$J$5+[38]FormattedData!K30^2*$J$6+$M$5*$J$7</f>
        <v>39.492494991340372</v>
      </c>
      <c r="S18" s="39">
        <f>$J$3+[38]FormattedData!L30*$J$4+$M$4*$J$5+[38]FormattedData!L30^2*$J$6+$M$5*$J$7</f>
        <v>52.804382677825117</v>
      </c>
      <c r="T18" s="39">
        <f>$J$3+[38]FormattedData!M30*$J$4+$M$4*$J$5+[38]FormattedData!M30^2*$J$6+$M$5*$J$7</f>
        <v>39.026601340227501</v>
      </c>
      <c r="U18" s="39">
        <f>$J$3+[38]FormattedData!N30*$J$4+$M$4*$J$5+[38]FormattedData!N30^2*$J$6+$M$5*$J$7</f>
        <v>51.934096098289174</v>
      </c>
      <c r="V18" s="39">
        <f>$J$3+[38]FormattedData!O30*$J$4+$M$4*$J$5+[38]FormattedData!O30^2*$J$6+$M$5*$J$7</f>
        <v>37.152459601293209</v>
      </c>
      <c r="W18" s="38">
        <f>AVERAGE(K18:V18)</f>
        <v>46.359415391772053</v>
      </c>
      <c r="X18" s="37">
        <f>STDEV(K18:V18)/SQRT(COUNT(K18:V18))</f>
        <v>1.9365508408305678</v>
      </c>
      <c r="Y18" s="36">
        <f>MIN(K18:V18)</f>
        <v>37.152459601293209</v>
      </c>
      <c r="Z18" s="35">
        <f>QUARTILE(K18:V18,1)</f>
        <v>39.376021578562153</v>
      </c>
      <c r="AA18" s="36">
        <f>MEDIAN(K18:V18)</f>
        <v>48.968177989688471</v>
      </c>
      <c r="AB18" s="35">
        <f>QUARTILE(K18:V18,3)</f>
        <v>52.151667743173164</v>
      </c>
      <c r="AC18" s="35">
        <f>MAX(K18:V18)</f>
        <v>53.064644415196248</v>
      </c>
      <c r="AD18" s="35">
        <f>SKEW(K18:V18)</f>
        <v>-0.32080831302024299</v>
      </c>
      <c r="AE18" s="35">
        <f>KURT(K18:V18)</f>
        <v>-1.9683676642945009</v>
      </c>
    </row>
    <row r="19" spans="2:31" x14ac:dyDescent="0.2">
      <c r="B19" s="34">
        <f>[38]FormattedData!A32</f>
        <v>202</v>
      </c>
      <c r="C19" s="34" t="str">
        <f>VLOOKUP($B19,[38]TrtCodes!$B$11:I75,2)</f>
        <v>NTH</v>
      </c>
      <c r="D19" s="34">
        <f>VLOOKUP($B19,[38]TrtCodes!$B$11:J75,3)</f>
        <v>9</v>
      </c>
      <c r="E19" s="34">
        <f>VLOOKUP($B19,[38]TrtCodes!$B$11:K75,4)</f>
        <v>2</v>
      </c>
      <c r="F19" s="34">
        <f>VLOOKUP($B19,[38]TrtCodes!$B$11:L75,5)</f>
        <v>2</v>
      </c>
      <c r="G19" s="34">
        <f>VLOOKUP($B19,[38]TrtCodes!$B$11:M75,6)</f>
        <v>2</v>
      </c>
      <c r="H19" s="34">
        <f>VLOOKUP($B19,[38]TrtCodes!$B$11:N75,7)</f>
        <v>1</v>
      </c>
      <c r="I19" s="34">
        <f>[38]FormattedData!B32</f>
        <v>1</v>
      </c>
      <c r="J19" s="37">
        <f>[38]FormattedData!C32</f>
        <v>12.956</v>
      </c>
      <c r="K19" s="39">
        <f>$J$3+[38]FormattedData!D32*$J$4+$M$4*$J$5+[38]FormattedData!D32^2*$J$6+$M$5*$J$7</f>
        <v>54.360246849431171</v>
      </c>
      <c r="L19" s="39">
        <f>$J$3+[38]FormattedData!E32*$J$4+$M$4*$J$5+[38]FormattedData!E32^2*$J$6+$M$5*$J$7</f>
        <v>51.672185887938738</v>
      </c>
      <c r="M19" s="39">
        <f>$J$3+[38]FormattedData!F32*$J$4+$M$4*$J$5+[38]FormattedData!F32^2*$J$6+$M$5*$J$7</f>
        <v>56.243260458037746</v>
      </c>
      <c r="N19" s="39">
        <f>$J$3+[38]FormattedData!G32*$J$4+$M$4*$J$5+[38]FormattedData!G32^2*$J$6+$M$5*$J$7</f>
        <v>43.090199064475883</v>
      </c>
      <c r="O19" s="39">
        <f>$J$3+[38]FormattedData!H32*$J$4+$M$4*$J$5+[38]FormattedData!H32^2*$J$6+$M$5*$J$7</f>
        <v>56.413429068455272</v>
      </c>
      <c r="P19" s="39">
        <f>$J$3+[38]FormattedData!I32*$J$4+$M$4*$J$5+[38]FormattedData!I32^2*$J$6+$M$5*$J$7</f>
        <v>41.43770901515925</v>
      </c>
      <c r="Q19" s="39">
        <f>$J$3+[38]FormattedData!J32*$J$4+$M$4*$J$5+[38]FormattedData!J32^2*$J$6+$M$5*$J$7</f>
        <v>55.98769052837698</v>
      </c>
      <c r="R19" s="39">
        <f>$J$3+[38]FormattedData!K32*$J$4+$M$4*$J$5+[38]FormattedData!K32^2*$J$6+$M$5*$J$7</f>
        <v>47.787130467911489</v>
      </c>
      <c r="S19" s="39">
        <f>$J$3+[38]FormattedData!L32*$J$4+$M$4*$J$5+[38]FormattedData!L32^2*$J$6+$M$5*$J$7</f>
        <v>55.047346108866797</v>
      </c>
      <c r="T19" s="39">
        <f>$J$3+[38]FormattedData!M32*$J$4+$M$4*$J$5+[38]FormattedData!M32^2*$J$6+$M$5*$J$7</f>
        <v>41.160962547994977</v>
      </c>
      <c r="U19" s="39">
        <f>$J$3+[38]FormattedData!N32*$J$4+$M$4*$J$5+[38]FormattedData!N32^2*$J$6+$M$5*$J$7</f>
        <v>55.731740181874827</v>
      </c>
      <c r="V19" s="39">
        <f>$J$3+[38]FormattedData!O32*$J$4+$M$4*$J$5+[38]FormattedData!O32^2*$J$6+$M$5*$J$7</f>
        <v>42.724162572578699</v>
      </c>
      <c r="W19" s="38">
        <f>AVERAGE(K19:V19)</f>
        <v>50.138005229258489</v>
      </c>
      <c r="X19" s="37">
        <f>STDEV(K19:V19)/SQRT(COUNT(K19:V19))</f>
        <v>1.8522961454635813</v>
      </c>
      <c r="Y19" s="36">
        <f>MIN(K19:V19)</f>
        <v>41.160962547994977</v>
      </c>
      <c r="Z19" s="35">
        <f>QUARTILE(K19:V19,1)</f>
        <v>42.998689941501588</v>
      </c>
      <c r="AA19" s="36">
        <f>MEDIAN(K19:V19)</f>
        <v>53.016216368684951</v>
      </c>
      <c r="AB19" s="35">
        <f>QUARTILE(K19:V19,3)</f>
        <v>55.795727768500363</v>
      </c>
      <c r="AC19" s="35">
        <f>MAX(K19:V19)</f>
        <v>56.413429068455272</v>
      </c>
      <c r="AD19" s="35">
        <f>SKEW(K19:V19)</f>
        <v>-0.45649280201834519</v>
      </c>
      <c r="AE19" s="35">
        <f>KURT(K19:V19)</f>
        <v>-1.8267524587480004</v>
      </c>
    </row>
    <row r="20" spans="2:31" x14ac:dyDescent="0.2">
      <c r="B20" s="34">
        <f>[38]FormattedData!A34</f>
        <v>203</v>
      </c>
      <c r="C20" s="34" t="str">
        <f>VLOOKUP($B20,[38]TrtCodes!$B$11:I77,2)</f>
        <v>FTH</v>
      </c>
      <c r="D20" s="34">
        <f>VLOOKUP($B20,[38]TrtCodes!$B$11:J77,3)</f>
        <v>3</v>
      </c>
      <c r="E20" s="34">
        <f>VLOOKUP($B20,[38]TrtCodes!$B$11:K77,4)</f>
        <v>1</v>
      </c>
      <c r="F20" s="34">
        <f>VLOOKUP($B20,[38]TrtCodes!$B$11:L77,5)</f>
        <v>2</v>
      </c>
      <c r="G20" s="34">
        <f>VLOOKUP($B20,[38]TrtCodes!$B$11:M77,6)</f>
        <v>2</v>
      </c>
      <c r="H20" s="34">
        <f>VLOOKUP($B20,[38]TrtCodes!$B$11:N77,7)</f>
        <v>1</v>
      </c>
      <c r="I20" s="34">
        <f>[38]FormattedData!B34</f>
        <v>1</v>
      </c>
      <c r="J20" s="37">
        <f>[38]FormattedData!C34</f>
        <v>12.972</v>
      </c>
      <c r="K20" s="39">
        <f>$J$3+[38]FormattedData!D34*$J$4+$M$4*$J$5+[38]FormattedData!D34^2*$J$6+$M$5*$J$7</f>
        <v>51.672185887938738</v>
      </c>
      <c r="L20" s="39">
        <f>$J$3+[38]FormattedData!E34*$J$4+$M$4*$J$5+[38]FormattedData!E34^2*$J$6+$M$5*$J$7</f>
        <v>56.838110895085286</v>
      </c>
      <c r="M20" s="39">
        <f>$J$3+[38]FormattedData!F34*$J$4+$M$4*$J$5+[38]FormattedData!F34^2*$J$6+$M$5*$J$7</f>
        <v>58.442264609631039</v>
      </c>
      <c r="N20" s="39">
        <f>$J$3+[38]FormattedData!G34*$J$4+$M$4*$J$5+[38]FormattedData!G34^2*$J$6+$M$5*$J$7</f>
        <v>39.492494991340372</v>
      </c>
      <c r="O20" s="39">
        <f>$J$3+[38]FormattedData!H34*$J$4+$M$4*$J$5+[38]FormattedData!H34^2*$J$6+$M$5*$J$7</f>
        <v>56.922920454797492</v>
      </c>
      <c r="P20" s="39">
        <f>$J$3+[38]FormattedData!I34*$J$4+$M$4*$J$5+[38]FormattedData!I34^2*$J$6+$M$5*$J$7</f>
        <v>44.728994107502828</v>
      </c>
      <c r="Q20" s="39">
        <f>$J$3+[38]FormattedData!J34*$J$4+$M$4*$J$5+[38]FormattedData!J34^2*$J$6+$M$5*$J$7</f>
        <v>58.778036828369515</v>
      </c>
      <c r="R20" s="39">
        <f>$J$3+[38]FormattedData!K34*$J$4+$M$4*$J$5+[38]FormattedData!K34^2*$J$6+$M$5*$J$7</f>
        <v>56.583428604721071</v>
      </c>
      <c r="S20" s="39">
        <f>$J$3+[38]FormattedData!L34*$J$4+$M$4*$J$5+[38]FormattedData!L34^2*$J$6+$M$5*$J$7</f>
        <v>57.261736008267022</v>
      </c>
      <c r="T20" s="39">
        <f>$J$3+[38]FormattedData!M34*$J$4+$M$4*$J$5+[38]FormattedData!M34^2*$J$6+$M$5*$J$7</f>
        <v>40.606328363142296</v>
      </c>
      <c r="U20" s="39">
        <f>$J$3+[38]FormattedData!N34*$J$4+$M$4*$J$5+[38]FormattedData!N34^2*$J$6+$M$5*$J$7</f>
        <v>57.768691282333371</v>
      </c>
      <c r="V20" s="39">
        <f>$J$3+[38]FormattedData!O34*$J$4+$M$4*$J$5+[38]FormattedData!O34^2*$J$6+$M$5*$J$7</f>
        <v>47.608592686983599</v>
      </c>
      <c r="W20" s="38">
        <f>AVERAGE(K20:V20)</f>
        <v>52.225315393342726</v>
      </c>
      <c r="X20" s="37">
        <f>STDEV(K20:V20)/SQRT(COUNT(K20:V20))</f>
        <v>2.0870491341315196</v>
      </c>
      <c r="Y20" s="36">
        <f>MIN(K20:V20)</f>
        <v>39.492494991340372</v>
      </c>
      <c r="Z20" s="35">
        <f>QUARTILE(K20:V20,1)</f>
        <v>46.888693042113402</v>
      </c>
      <c r="AA20" s="36">
        <f>MEDIAN(K20:V20)</f>
        <v>56.710769749903179</v>
      </c>
      <c r="AB20" s="35">
        <f>QUARTILE(K20:V20,3)</f>
        <v>57.388474826783607</v>
      </c>
      <c r="AC20" s="35">
        <f>MAX(K20:V20)</f>
        <v>58.778036828369515</v>
      </c>
      <c r="AD20" s="35">
        <f>SKEW(K20:V20)</f>
        <v>-0.88000756954107917</v>
      </c>
      <c r="AE20" s="35">
        <f>KURT(K20:V20)</f>
        <v>-0.89877398331322755</v>
      </c>
    </row>
    <row r="21" spans="2:31" x14ac:dyDescent="0.2">
      <c r="B21" s="34">
        <f>[38]FormattedData!A36</f>
        <v>204</v>
      </c>
      <c r="C21" s="34" t="str">
        <f>VLOOKUP($B21,[38]TrtCodes!$B$11:I79,2)</f>
        <v>NDH</v>
      </c>
      <c r="D21" s="34">
        <f>VLOOKUP($B21,[38]TrtCodes!$B$11:J79,3)</f>
        <v>11</v>
      </c>
      <c r="E21" s="34">
        <f>VLOOKUP($B21,[38]TrtCodes!$B$11:K79,4)</f>
        <v>2</v>
      </c>
      <c r="F21" s="34">
        <f>VLOOKUP($B21,[38]TrtCodes!$B$11:L79,5)</f>
        <v>3</v>
      </c>
      <c r="G21" s="34">
        <f>VLOOKUP($B21,[38]TrtCodes!$B$11:M79,6)</f>
        <v>2</v>
      </c>
      <c r="H21" s="34">
        <f>VLOOKUP($B21,[38]TrtCodes!$B$11:N79,7)</f>
        <v>1</v>
      </c>
      <c r="I21" s="34">
        <f>[38]FormattedData!B36</f>
        <v>1</v>
      </c>
      <c r="J21" s="37">
        <f>[38]FormattedData!C36</f>
        <v>12.989000000000001</v>
      </c>
      <c r="K21" s="39">
        <f>$J$3+[38]FormattedData!D36*$J$4+$M$4*$J$5+[38]FormattedData!D36^2*$J$6+$M$5*$J$7</f>
        <v>52.804382677825117</v>
      </c>
      <c r="L21" s="39">
        <f>$J$3+[38]FormattedData!E36*$J$4+$M$4*$J$5+[38]FormattedData!E36^2*$J$6+$M$5*$J$7</f>
        <v>46.443975928504038</v>
      </c>
      <c r="M21" s="39">
        <f>$J$3+[38]FormattedData!F36*$J$4+$M$4*$J$5+[38]FormattedData!F36^2*$J$6+$M$5*$J$7</f>
        <v>45.813915799359854</v>
      </c>
      <c r="N21" s="39">
        <f>$J$3+[38]FormattedData!G36*$J$4+$M$4*$J$5+[38]FormattedData!G36^2*$J$6+$M$5*$J$7</f>
        <v>52.630663510221382</v>
      </c>
      <c r="O21" s="39">
        <f>$J$3+[38]FormattedData!H36*$J$4+$M$4*$J$5+[38]FormattedData!H36^2*$J$6+$M$5*$J$7</f>
        <v>44.547582065995627</v>
      </c>
      <c r="P21" s="39">
        <f>$J$3+[38]FormattedData!I36*$J$4+$M$4*$J$5+[38]FormattedData!I36^2*$J$6+$M$5*$J$7</f>
        <v>52.977932771277132</v>
      </c>
      <c r="Q21" s="39">
        <f>$J$3+[38]FormattedData!J36*$J$4+$M$4*$J$5+[38]FormattedData!J36^2*$J$6+$M$5*$J$7</f>
        <v>38.466134097140319</v>
      </c>
      <c r="R21" s="39">
        <f>$J$3+[38]FormattedData!K36*$J$4+$M$4*$J$5+[38]FormattedData!K36^2*$J$6+$M$5*$J$7</f>
        <v>52.804382677825117</v>
      </c>
      <c r="S21" s="39">
        <f>$J$3+[38]FormattedData!L36*$J$4+$M$4*$J$5+[38]FormattedData!L36^2*$J$6+$M$5*$J$7</f>
        <v>36.964115519565297</v>
      </c>
      <c r="T21" s="39">
        <f>$J$3+[38]FormattedData!M36*$J$4+$M$4*$J$5+[38]FormattedData!M36^2*$J$6+$M$5*$J$7</f>
        <v>51.409895260746914</v>
      </c>
      <c r="U21" s="39">
        <f>$J$3+[38]FormattedData!N36*$J$4+$M$4*$J$5+[38]FormattedData!N36^2*$J$6+$M$5*$J$7</f>
        <v>41.345502461309088</v>
      </c>
      <c r="V21" s="39">
        <f>$J$3+[38]FormattedData!O36*$J$4+$M$4*$J$5+[38]FormattedData!O36^2*$J$6+$M$5*$J$7</f>
        <v>51.934096098289174</v>
      </c>
      <c r="W21" s="38">
        <f>AVERAGE(K21:V21)</f>
        <v>47.34521490567159</v>
      </c>
      <c r="X21" s="37">
        <f>STDEV(K21:V21)/SQRT(COUNT(K21:V21))</f>
        <v>1.7198345323400128</v>
      </c>
      <c r="Y21" s="36">
        <f>MIN(K21:V21)</f>
        <v>36.964115519565297</v>
      </c>
      <c r="Z21" s="35">
        <f>QUARTILE(K21:V21,1)</f>
        <v>43.747062164823994</v>
      </c>
      <c r="AA21" s="36">
        <f>MEDIAN(K21:V21)</f>
        <v>48.926935594625476</v>
      </c>
      <c r="AB21" s="35">
        <f>QUARTILE(K21:V21,3)</f>
        <v>52.674093302122316</v>
      </c>
      <c r="AC21" s="35">
        <f>MAX(K21:V21)</f>
        <v>52.977932771277132</v>
      </c>
      <c r="AD21" s="35">
        <f>SKEW(K21:V21)</f>
        <v>-0.6424851201176347</v>
      </c>
      <c r="AE21" s="35">
        <f>KURT(K21:V21)</f>
        <v>-1.0974803551738219</v>
      </c>
    </row>
    <row r="22" spans="2:31" x14ac:dyDescent="0.2">
      <c r="B22" s="34">
        <f>[38]FormattedData!A38</f>
        <v>205</v>
      </c>
      <c r="C22" s="34" t="str">
        <f>VLOOKUP($B22,[38]TrtCodes!$B$11:I81,2)</f>
        <v>FSH</v>
      </c>
      <c r="D22" s="34">
        <f>VLOOKUP($B22,[38]TrtCodes!$B$11:J81,3)</f>
        <v>1</v>
      </c>
      <c r="E22" s="34">
        <f>VLOOKUP($B22,[38]TrtCodes!$B$11:K81,4)</f>
        <v>1</v>
      </c>
      <c r="F22" s="34">
        <f>VLOOKUP($B22,[38]TrtCodes!$B$11:L81,5)</f>
        <v>1</v>
      </c>
      <c r="G22" s="34">
        <f>VLOOKUP($B22,[38]TrtCodes!$B$11:M81,6)</f>
        <v>2</v>
      </c>
      <c r="H22" s="34">
        <f>VLOOKUP($B22,[38]TrtCodes!$B$11:N81,7)</f>
        <v>2</v>
      </c>
      <c r="I22" s="34">
        <f>[38]FormattedData!B38</f>
        <v>1</v>
      </c>
      <c r="J22" s="37">
        <f>[38]FormattedData!C38</f>
        <v>13.004</v>
      </c>
      <c r="K22" s="39">
        <f>$J$3+[38]FormattedData!D38*$J$4+$M$4*$J$5+[38]FormattedData!D38^2*$J$6+$M$5*$J$7</f>
        <v>54.446282196743383</v>
      </c>
      <c r="L22" s="39">
        <f>$J$3+[38]FormattedData!E38*$J$4+$M$4*$J$5+[38]FormattedData!E38^2*$J$6+$M$5*$J$7</f>
        <v>56.668364970047065</v>
      </c>
      <c r="M22" s="39">
        <f>$J$3+[38]FormattedData!F38*$J$4+$M$4*$J$5+[38]FormattedData!F38^2*$J$6+$M$5*$J$7</f>
        <v>56.072922773468498</v>
      </c>
      <c r="N22" s="39">
        <f>$J$3+[38]FormattedData!G38*$J$4+$M$4*$J$5+[38]FormattedData!G38^2*$J$6+$M$5*$J$7</f>
        <v>49.209346045872515</v>
      </c>
      <c r="O22" s="39">
        <f>$J$3+[38]FormattedData!H38*$J$4+$M$4*$J$5+[38]FormattedData!H38^2*$J$6+$M$5*$J$7</f>
        <v>56.413429068455272</v>
      </c>
      <c r="P22" s="39">
        <f>$J$3+[38]FormattedData!I38*$J$4+$M$4*$J$5+[38]FormattedData!I38^2*$J$6+$M$5*$J$7</f>
        <v>49.651569315743956</v>
      </c>
      <c r="Q22" s="39">
        <f>$J$3+[38]FormattedData!J38*$J$4+$M$4*$J$5+[38]FormattedData!J38^2*$J$6+$M$5*$J$7</f>
        <v>58.442264609631039</v>
      </c>
      <c r="R22" s="39">
        <f>$J$3+[38]FormattedData!K38*$J$4+$M$4*$J$5+[38]FormattedData!K38^2*$J$6+$M$5*$J$7</f>
        <v>56.922920454797492</v>
      </c>
      <c r="S22" s="39">
        <f>$J$3+[38]FormattedData!L38*$J$4+$M$4*$J$5+[38]FormattedData!L38^2*$J$6+$M$5*$J$7</f>
        <v>56.243260458037746</v>
      </c>
      <c r="T22" s="39">
        <f>$J$3+[38]FormattedData!M38*$J$4+$M$4*$J$5+[38]FormattedData!M38^2*$J$6+$M$5*$J$7</f>
        <v>46.623612691418131</v>
      </c>
      <c r="U22" s="39">
        <f>$J$3+[38]FormattedData!N38*$J$4+$M$4*$J$5+[38]FormattedData!N38^2*$J$6+$M$5*$J$7</f>
        <v>57.430890173774195</v>
      </c>
      <c r="V22" s="39">
        <f>$J$3+[38]FormattedData!O38*$J$4+$M$4*$J$5+[38]FormattedData!O38^2*$J$6+$M$5*$J$7</f>
        <v>47.608592686983599</v>
      </c>
      <c r="W22" s="38">
        <f>AVERAGE(K22:V22)</f>
        <v>53.811121287081058</v>
      </c>
      <c r="X22" s="37">
        <f>STDEV(K22:V22)/SQRT(COUNT(K22:V22))</f>
        <v>1.228492799440611</v>
      </c>
      <c r="Y22" s="36">
        <f>MIN(K22:V22)</f>
        <v>46.623612691418131</v>
      </c>
      <c r="Z22" s="35">
        <f>QUARTILE(K22:V22,1)</f>
        <v>49.541013498276094</v>
      </c>
      <c r="AA22" s="36">
        <f>MEDIAN(K22:V22)</f>
        <v>56.158091615753122</v>
      </c>
      <c r="AB22" s="35">
        <f>QUARTILE(K22:V22,3)</f>
        <v>56.732003841234672</v>
      </c>
      <c r="AC22" s="35">
        <f>MAX(K22:V22)</f>
        <v>58.442264609631039</v>
      </c>
      <c r="AD22" s="35">
        <f>SKEW(K22:V22)</f>
        <v>-0.75769038944031475</v>
      </c>
      <c r="AE22" s="35">
        <f>KURT(K22:V22)</f>
        <v>-1.2487698117532324</v>
      </c>
    </row>
    <row r="23" spans="2:31" x14ac:dyDescent="0.2">
      <c r="B23" s="34">
        <f>[38]FormattedData!A40</f>
        <v>206</v>
      </c>
      <c r="C23" s="34" t="str">
        <f>VLOOKUP($B23,[38]TrtCodes!$B$11:I83,2)</f>
        <v>NSL</v>
      </c>
      <c r="D23" s="34">
        <f>VLOOKUP($B23,[38]TrtCodes!$B$11:J83,3)</f>
        <v>8</v>
      </c>
      <c r="E23" s="34">
        <f>VLOOKUP($B23,[38]TrtCodes!$B$11:K83,4)</f>
        <v>2</v>
      </c>
      <c r="F23" s="34">
        <f>VLOOKUP($B23,[38]TrtCodes!$B$11:L83,5)</f>
        <v>1</v>
      </c>
      <c r="G23" s="34">
        <f>VLOOKUP($B23,[38]TrtCodes!$B$11:M83,6)</f>
        <v>1</v>
      </c>
      <c r="H23" s="34">
        <f>VLOOKUP($B23,[38]TrtCodes!$B$11:N83,7)</f>
        <v>2</v>
      </c>
      <c r="I23" s="34">
        <f>[38]FormattedData!B40</f>
        <v>1</v>
      </c>
      <c r="J23" s="37">
        <f>[38]FormattedData!C40</f>
        <v>13.021000000000001</v>
      </c>
      <c r="K23" s="39">
        <f>$J$3+[38]FormattedData!D40*$J$4+$M$4*$J$5+[38]FormattedData!D40^2*$J$6+$M$5*$J$7</f>
        <v>54.704134627452433</v>
      </c>
      <c r="L23" s="39">
        <f>$J$3+[38]FormattedData!E40*$J$4+$M$4*$J$5+[38]FormattedData!E40^2*$J$6+$M$5*$J$7</f>
        <v>52.456775268465911</v>
      </c>
      <c r="M23" s="39">
        <f>$J$3+[38]FormattedData!F40*$J$4+$M$4*$J$5+[38]FormattedData!F40^2*$J$6+$M$5*$J$7</f>
        <v>56.668364970047065</v>
      </c>
      <c r="N23" s="39">
        <f>$J$3+[38]FormattedData!G40*$J$4+$M$4*$J$5+[38]FormattedData!G40^2*$J$6+$M$5*$J$7</f>
        <v>54.360246849431171</v>
      </c>
      <c r="O23" s="39">
        <f>$J$3+[38]FormattedData!H40*$J$4+$M$4*$J$5+[38]FormattedData!H40^2*$J$6+$M$5*$J$7</f>
        <v>55.98769052837698</v>
      </c>
      <c r="P23" s="39">
        <f>$J$3+[38]FormattedData!I40*$J$4+$M$4*$J$5+[38]FormattedData!I40^2*$J$6+$M$5*$J$7</f>
        <v>50.971898844668594</v>
      </c>
      <c r="Q23" s="39">
        <f>$J$3+[38]FormattedData!J40*$J$4+$M$4*$J$5+[38]FormattedData!J40^2*$J$6+$M$5*$J$7</f>
        <v>55.817099232580141</v>
      </c>
      <c r="R23" s="39">
        <f>$J$3+[38]FormattedData!K40*$J$4+$M$4*$J$5+[38]FormattedData!K40^2*$J$6+$M$5*$J$7</f>
        <v>49.916396055211649</v>
      </c>
      <c r="S23" s="39">
        <f>$J$3+[38]FormattedData!L40*$J$4+$M$4*$J$5+[38]FormattedData!L40^2*$J$6+$M$5*$J$7</f>
        <v>57.261736008267022</v>
      </c>
      <c r="T23" s="39">
        <f>$J$3+[38]FormattedData!M40*$J$4+$M$4*$J$5+[38]FormattedData!M40^2*$J$6+$M$5*$J$7</f>
        <v>50.44490828362288</v>
      </c>
      <c r="U23" s="39">
        <f>$J$3+[38]FormattedData!N40*$J$4+$M$4*$J$5+[38]FormattedData!N40^2*$J$6+$M$5*$J$7</f>
        <v>57.768691282333371</v>
      </c>
      <c r="V23" s="39">
        <f>$J$3+[38]FormattedData!O40*$J$4+$M$4*$J$5+[38]FormattedData!O40^2*$J$6+$M$5*$J$7</f>
        <v>55.646338862631588</v>
      </c>
      <c r="W23" s="38">
        <f>AVERAGE(K23:V23)</f>
        <v>54.333690067757402</v>
      </c>
      <c r="X23" s="37">
        <f>STDEV(K23:V23)/SQRT(COUNT(K23:V23))</f>
        <v>0.78855523042928699</v>
      </c>
      <c r="Y23" s="36">
        <f>MIN(K23:V23)</f>
        <v>49.916396055211649</v>
      </c>
      <c r="Z23" s="35">
        <f>QUARTILE(K23:V23,1)</f>
        <v>52.085556162516582</v>
      </c>
      <c r="AA23" s="36">
        <f>MEDIAN(K23:V23)</f>
        <v>55.175236745042014</v>
      </c>
      <c r="AB23" s="35">
        <f>QUARTILE(K23:V23,3)</f>
        <v>56.1578591387945</v>
      </c>
      <c r="AC23" s="35">
        <f>MAX(K23:V23)</f>
        <v>57.768691282333371</v>
      </c>
      <c r="AD23" s="35">
        <f>SKEW(K23:V23)</f>
        <v>-0.54133617378403776</v>
      </c>
      <c r="AE23" s="35">
        <f>KURT(K23:V23)</f>
        <v>-1.1825433562667711</v>
      </c>
    </row>
    <row r="24" spans="2:31" x14ac:dyDescent="0.2">
      <c r="B24" s="34">
        <f>[38]FormattedData!A42</f>
        <v>207</v>
      </c>
      <c r="C24" s="34" t="str">
        <f>VLOOKUP($B24,[38]TrtCodes!$B$11:I85,2)</f>
        <v>FTL</v>
      </c>
      <c r="D24" s="34">
        <f>VLOOKUP($B24,[38]TrtCodes!$B$11:J85,3)</f>
        <v>4</v>
      </c>
      <c r="E24" s="34">
        <f>VLOOKUP($B24,[38]TrtCodes!$B$11:K85,4)</f>
        <v>1</v>
      </c>
      <c r="F24" s="34">
        <f>VLOOKUP($B24,[38]TrtCodes!$B$11:L85,5)</f>
        <v>2</v>
      </c>
      <c r="G24" s="34">
        <f>VLOOKUP($B24,[38]TrtCodes!$B$11:M85,6)</f>
        <v>1</v>
      </c>
      <c r="H24" s="34">
        <f>VLOOKUP($B24,[38]TrtCodes!$B$11:N85,7)</f>
        <v>2</v>
      </c>
      <c r="I24" s="34">
        <f>[38]FormattedData!B42</f>
        <v>1</v>
      </c>
      <c r="J24" s="37">
        <f>[38]FormattedData!C42</f>
        <v>13.037000000000001</v>
      </c>
      <c r="K24" s="39">
        <f>$J$3+[38]FormattedData!D42*$J$4+$M$4*$J$5+[38]FormattedData!D42^2*$J$6+$M$5*$J$7</f>
        <v>57.515403853720883</v>
      </c>
      <c r="L24" s="39">
        <f>$J$3+[38]FormattedData!E42*$J$4+$M$4*$J$5+[38]FormattedData!E42^2*$J$6+$M$5*$J$7</f>
        <v>54.704134627452433</v>
      </c>
      <c r="M24" s="39">
        <f>$J$3+[38]FormattedData!F42*$J$4+$M$4*$J$5+[38]FormattedData!F42^2*$J$6+$M$5*$J$7</f>
        <v>54.704134627452433</v>
      </c>
      <c r="N24" s="39">
        <f>$J$3+[38]FormattedData!G42*$J$4+$M$4*$J$5+[38]FormattedData!G42^2*$J$6+$M$5*$J$7</f>
        <v>38.839948000016825</v>
      </c>
      <c r="O24" s="39">
        <f>$J$3+[38]FormattedData!H42*$J$4+$M$4*$J$5+[38]FormattedData!H42^2*$J$6+$M$5*$J$7</f>
        <v>55.560895274850409</v>
      </c>
      <c r="P24" s="39">
        <f>$J$3+[38]FormattedData!I42*$J$4+$M$4*$J$5+[38]FormattedData!I42^2*$J$6+$M$5*$J$7</f>
        <v>42.998753344308483</v>
      </c>
      <c r="Q24" s="39">
        <f>$J$3+[38]FormattedData!J42*$J$4+$M$4*$J$5+[38]FormattedData!J42^2*$J$6+$M$5*$J$7</f>
        <v>57.599875265129654</v>
      </c>
      <c r="R24" s="39">
        <f>$J$3+[38]FormattedData!K42*$J$4+$M$4*$J$5+[38]FormattedData!K42^2*$J$6+$M$5*$J$7</f>
        <v>41.714075065482142</v>
      </c>
      <c r="S24" s="39">
        <f>$J$3+[38]FormattedData!L42*$J$4+$M$4*$J$5+[38]FormattedData!L42^2*$J$6+$M$5*$J$7</f>
        <v>56.158112750022084</v>
      </c>
      <c r="T24" s="39">
        <f>$J$3+[38]FormattedData!M42*$J$4+$M$4*$J$5+[38]FormattedData!M42^2*$J$6+$M$5*$J$7</f>
        <v>49.563209198845527</v>
      </c>
      <c r="U24" s="39">
        <f>$J$3+[38]FormattedData!N42*$J$4+$M$4*$J$5+[38]FormattedData!N42^2*$J$6+$M$5*$J$7</f>
        <v>56.413429068455272</v>
      </c>
      <c r="V24" s="39">
        <f>$J$3+[38]FormattedData!O42*$J$4+$M$4*$J$5+[38]FormattedData!O42^2*$J$6+$M$5*$J$7</f>
        <v>39.585546915949152</v>
      </c>
      <c r="W24" s="38">
        <f>AVERAGE(K24:V24)</f>
        <v>50.446459832640436</v>
      </c>
      <c r="X24" s="37">
        <f>STDEV(K24:V24)/SQRT(COUNT(K24:V24))</f>
        <v>2.1619218717258688</v>
      </c>
      <c r="Y24" s="36">
        <f>MIN(K24:V24)</f>
        <v>38.839948000016825</v>
      </c>
      <c r="Z24" s="35">
        <f>QUARTILE(K24:V24,1)</f>
        <v>42.677583774601899</v>
      </c>
      <c r="AA24" s="36">
        <f>MEDIAN(K24:V24)</f>
        <v>54.704134627452433</v>
      </c>
      <c r="AB24" s="35">
        <f>QUARTILE(K24:V24,3)</f>
        <v>56.221941829630381</v>
      </c>
      <c r="AC24" s="35">
        <f>MAX(K24:V24)</f>
        <v>57.599875265129654</v>
      </c>
      <c r="AD24" s="35">
        <f>SKEW(K24:V24)</f>
        <v>-0.6539994882422796</v>
      </c>
      <c r="AE24" s="35">
        <f>KURT(K24:V24)</f>
        <v>-1.5416393849418295</v>
      </c>
    </row>
    <row r="25" spans="2:31" x14ac:dyDescent="0.2">
      <c r="B25" s="34">
        <f>[38]FormattedData!A44</f>
        <v>208</v>
      </c>
      <c r="C25" s="34" t="str">
        <f>VLOOKUP($B25,[38]TrtCodes!$B$11:I87,2)</f>
        <v>FSL</v>
      </c>
      <c r="D25" s="34">
        <f>VLOOKUP($B25,[38]TrtCodes!$B$11:J87,3)</f>
        <v>2</v>
      </c>
      <c r="E25" s="34">
        <f>VLOOKUP($B25,[38]TrtCodes!$B$11:K87,4)</f>
        <v>1</v>
      </c>
      <c r="F25" s="34">
        <f>VLOOKUP($B25,[38]TrtCodes!$B$11:L87,5)</f>
        <v>1</v>
      </c>
      <c r="G25" s="34">
        <f>VLOOKUP($B25,[38]TrtCodes!$B$11:M87,6)</f>
        <v>1</v>
      </c>
      <c r="H25" s="34">
        <f>VLOOKUP($B25,[38]TrtCodes!$B$11:N87,7)</f>
        <v>2</v>
      </c>
      <c r="I25" s="34">
        <f>[38]FormattedData!B44</f>
        <v>1</v>
      </c>
      <c r="J25" s="37">
        <f>[38]FormattedData!C44</f>
        <v>13.052</v>
      </c>
      <c r="K25" s="39">
        <f>$J$3+[38]FormattedData!D44*$J$4+$M$4*$J$5+[38]FormattedData!D44^2*$J$6+$M$5*$J$7</f>
        <v>55.90241601474753</v>
      </c>
      <c r="L25" s="39">
        <f>$J$3+[38]FormattedData!E44*$J$4+$M$4*$J$5+[38]FormattedData!E44^2*$J$6+$M$5*$J$7</f>
        <v>52.804382677825117</v>
      </c>
      <c r="M25" s="39">
        <f>$J$3+[38]FormattedData!F44*$J$4+$M$4*$J$5+[38]FormattedData!F44^2*$J$6+$M$5*$J$7</f>
        <v>55.389881293674257</v>
      </c>
      <c r="N25" s="39">
        <f>$J$3+[38]FormattedData!G44*$J$4+$M$4*$J$5+[38]FormattedData!G44^2*$J$6+$M$5*$J$7</f>
        <v>52.195625891798244</v>
      </c>
      <c r="O25" s="39">
        <f>$J$3+[38]FormattedData!H44*$J$4+$M$4*$J$5+[38]FormattedData!H44^2*$J$6+$M$5*$J$7</f>
        <v>56.498449970857138</v>
      </c>
      <c r="P25" s="39">
        <f>$J$3+[38]FormattedData!I44*$J$4+$M$4*$J$5+[38]FormattedData!I44^2*$J$6+$M$5*$J$7</f>
        <v>53.670442403567947</v>
      </c>
      <c r="Q25" s="39">
        <f>$J$3+[38]FormattedData!J44*$J$4+$M$4*$J$5+[38]FormattedData!J44^2*$J$6+$M$5*$J$7</f>
        <v>57.092412768608114</v>
      </c>
      <c r="R25" s="39">
        <f>$J$3+[38]FormattedData!K44*$J$4+$M$4*$J$5+[38]FormattedData!K44^2*$J$6+$M$5*$J$7</f>
        <v>49.209346045872515</v>
      </c>
      <c r="S25" s="39">
        <f>$J$3+[38]FormattedData!L44*$J$4+$M$4*$J$5+[38]FormattedData!L44^2*$J$6+$M$5*$J$7</f>
        <v>54.790000900612924</v>
      </c>
      <c r="T25" s="39">
        <f>$J$3+[38]FormattedData!M44*$J$4+$M$4*$J$5+[38]FormattedData!M44^2*$J$6+$M$5*$J$7</f>
        <v>50.708593772566424</v>
      </c>
      <c r="U25" s="39">
        <f>$J$3+[38]FormattedData!N44*$J$4+$M$4*$J$5+[38]FormattedData!N44^2*$J$6+$M$5*$J$7</f>
        <v>55.047346108866797</v>
      </c>
      <c r="V25" s="39">
        <f>$J$3+[38]FormattedData!O44*$J$4+$M$4*$J$5+[38]FormattedData!O44^2*$J$6+$M$5*$J$7</f>
        <v>46.982378994791148</v>
      </c>
      <c r="W25" s="38">
        <f>AVERAGE(K25:V25)</f>
        <v>53.357606403649015</v>
      </c>
      <c r="X25" s="37">
        <f>STDEV(K25:V25)/SQRT(COUNT(K25:V25))</f>
        <v>0.89590747265952986</v>
      </c>
      <c r="Y25" s="36">
        <f>MIN(K25:V25)</f>
        <v>46.982378994791148</v>
      </c>
      <c r="Z25" s="35">
        <f>QUARTILE(K25:V25,1)</f>
        <v>51.823867861990287</v>
      </c>
      <c r="AA25" s="36">
        <f>MEDIAN(K25:V25)</f>
        <v>54.230221652090435</v>
      </c>
      <c r="AB25" s="35">
        <f>QUARTILE(K25:V25,3)</f>
        <v>55.518014973942577</v>
      </c>
      <c r="AC25" s="35">
        <f>MAX(K25:V25)</f>
        <v>57.092412768608114</v>
      </c>
      <c r="AD25" s="35">
        <f>SKEW(K25:V25)</f>
        <v>-0.85789105527860976</v>
      </c>
      <c r="AE25" s="35">
        <f>KURT(K25:V25)</f>
        <v>-2.0672379899929538E-2</v>
      </c>
    </row>
    <row r="26" spans="2:31" x14ac:dyDescent="0.2">
      <c r="B26" s="34">
        <f>[38]FormattedData!A62</f>
        <v>301</v>
      </c>
      <c r="C26" s="34" t="str">
        <f>VLOOKUP($B26,[38]TrtCodes!$B$11:I105,2)</f>
        <v>NTL</v>
      </c>
      <c r="D26" s="34">
        <f>VLOOKUP($B26,[38]TrtCodes!$B$11:J105,3)</f>
        <v>10</v>
      </c>
      <c r="E26" s="34">
        <f>VLOOKUP($B26,[38]TrtCodes!$B$11:K105,4)</f>
        <v>2</v>
      </c>
      <c r="F26" s="34">
        <f>VLOOKUP($B26,[38]TrtCodes!$B$11:L105,5)</f>
        <v>2</v>
      </c>
      <c r="G26" s="34">
        <f>VLOOKUP($B26,[38]TrtCodes!$B$11:M105,6)</f>
        <v>1</v>
      </c>
      <c r="H26" s="34">
        <f>VLOOKUP($B26,[38]TrtCodes!$B$11:N105,7)</f>
        <v>3</v>
      </c>
      <c r="I26" s="34">
        <f>[38]FormattedData!B62</f>
        <v>1</v>
      </c>
      <c r="J26" s="37">
        <f>[38]FormattedData!C62</f>
        <v>13.166</v>
      </c>
      <c r="K26" s="39">
        <f>$J$3+[38]FormattedData!D62*$J$4+$M$4*$J$5+[38]FormattedData!D62^2*$J$6+$M$5*$J$7</f>
        <v>51.147224216713717</v>
      </c>
      <c r="L26" s="39">
        <f>$J$3+[38]FormattedData!E62*$J$4+$M$4*$J$5+[38]FormattedData!E62^2*$J$6+$M$5*$J$7</f>
        <v>52.282717952558727</v>
      </c>
      <c r="M26" s="39">
        <f>$J$3+[38]FormattedData!F62*$J$4+$M$4*$J$5+[38]FormattedData!F62^2*$J$6+$M$5*$J$7</f>
        <v>54.188049349192951</v>
      </c>
      <c r="N26" s="39">
        <f>$J$3+[38]FormattedData!G62*$J$4+$M$4*$J$5+[38]FormattedData!G62^2*$J$6+$M$5*$J$7</f>
        <v>47.787130467911489</v>
      </c>
      <c r="O26" s="39">
        <f>$J$3+[38]FormattedData!H62*$J$4+$M$4*$J$5+[38]FormattedData!H62^2*$J$6+$M$5*$J$7</f>
        <v>53.929436084801139</v>
      </c>
      <c r="P26" s="39">
        <f>$J$3+[38]FormattedData!I62*$J$4+$M$4*$J$5+[38]FormattedData!I62^2*$J$6+$M$5*$J$7</f>
        <v>39.306264336509017</v>
      </c>
      <c r="Q26" s="39">
        <f>$J$3+[38]FormattedData!J62*$J$4+$M$4*$J$5+[38]FormattedData!J62^2*$J$6+$M$5*$J$7</f>
        <v>55.389881293674257</v>
      </c>
      <c r="R26" s="39">
        <f>$J$3+[38]FormattedData!K62*$J$4+$M$4*$J$5+[38]FormattedData!K62^2*$J$6+$M$5*$J$7</f>
        <v>41.43770901515925</v>
      </c>
      <c r="S26" s="39">
        <f>$J$3+[38]FormattedData!L62*$J$4+$M$4*$J$5+[38]FormattedData!L62^2*$J$6+$M$5*$J$7</f>
        <v>56.922920454797492</v>
      </c>
      <c r="T26" s="39">
        <f>$J$3+[38]FormattedData!M62*$J$4+$M$4*$J$5+[38]FormattedData!M62^2*$J$6+$M$5*$J$7</f>
        <v>43.82024315844955</v>
      </c>
      <c r="U26" s="39">
        <f>$J$3+[38]FormattedData!N62*$J$4+$M$4*$J$5+[38]FormattedData!N62^2*$J$6+$M$5*$J$7</f>
        <v>57.007687745971772</v>
      </c>
      <c r="V26" s="39">
        <f>$J$3+[38]FormattedData!O62*$J$4+$M$4*$J$5+[38]FormattedData!O62^2*$J$6+$M$5*$J$7</f>
        <v>42.357449784074625</v>
      </c>
      <c r="W26" s="38">
        <f>AVERAGE(K26:V26)</f>
        <v>49.631392821651168</v>
      </c>
      <c r="X26" s="37">
        <f>STDEV(K26:V26)/SQRT(COUNT(K26:V26))</f>
        <v>1.8527735143332886</v>
      </c>
      <c r="Y26" s="36">
        <f>MIN(K26:V26)</f>
        <v>39.306264336509017</v>
      </c>
      <c r="Z26" s="35">
        <f>QUARTILE(K26:V26,1)</f>
        <v>43.454544814855822</v>
      </c>
      <c r="AA26" s="36">
        <f>MEDIAN(K26:V26)</f>
        <v>51.714971084636218</v>
      </c>
      <c r="AB26" s="35">
        <f>QUARTILE(K26:V26,3)</f>
        <v>54.48850733531328</v>
      </c>
      <c r="AC26" s="35">
        <f>MAX(K26:V26)</f>
        <v>57.007687745971772</v>
      </c>
      <c r="AD26" s="35">
        <f>SKEW(K26:V26)</f>
        <v>-0.43825513802666138</v>
      </c>
      <c r="AE26" s="35">
        <f>KURT(K26:V26)</f>
        <v>-1.4761201641452009</v>
      </c>
    </row>
    <row r="27" spans="2:31" x14ac:dyDescent="0.2">
      <c r="B27" s="34">
        <f>[38]FormattedData!A64</f>
        <v>302</v>
      </c>
      <c r="C27" s="34" t="str">
        <f>VLOOKUP($B27,[38]TrtCodes!$B$11:I107,2)</f>
        <v>FTL</v>
      </c>
      <c r="D27" s="34">
        <f>VLOOKUP($B27,[38]TrtCodes!$B$11:J107,3)</f>
        <v>4</v>
      </c>
      <c r="E27" s="34">
        <f>VLOOKUP($B27,[38]TrtCodes!$B$11:K107,4)</f>
        <v>1</v>
      </c>
      <c r="F27" s="34">
        <f>VLOOKUP($B27,[38]TrtCodes!$B$11:L107,5)</f>
        <v>2</v>
      </c>
      <c r="G27" s="34">
        <f>VLOOKUP($B27,[38]TrtCodes!$B$11:M107,6)</f>
        <v>1</v>
      </c>
      <c r="H27" s="34">
        <f>VLOOKUP($B27,[38]TrtCodes!$B$11:N107,7)</f>
        <v>3</v>
      </c>
      <c r="I27" s="34">
        <f>[38]FormattedData!B64</f>
        <v>1</v>
      </c>
      <c r="J27" s="37">
        <f>[38]FormattedData!C64</f>
        <v>13.183999999999999</v>
      </c>
      <c r="K27" s="39">
        <f>$J$3+[38]FormattedData!D64*$J$4+$M$4*$J$5+[38]FormattedData!D64^2*$J$6+$M$5*$J$7</f>
        <v>53.151313790577419</v>
      </c>
      <c r="L27" s="39">
        <f>$J$3+[38]FormattedData!E64*$J$4+$M$4*$J$5+[38]FormattedData!E64^2*$J$6+$M$5*$J$7</f>
        <v>47.340469001557281</v>
      </c>
      <c r="M27" s="39">
        <f>$J$3+[38]FormattedData!F64*$J$4+$M$4*$J$5+[38]FormattedData!F64^2*$J$6+$M$5*$J$7</f>
        <v>55.731740181874827</v>
      </c>
      <c r="N27" s="39">
        <f>$J$3+[38]FormattedData!G64*$J$4+$M$4*$J$5+[38]FormattedData!G64^2*$J$6+$M$5*$J$7</f>
        <v>41.990060698963646</v>
      </c>
      <c r="O27" s="39">
        <f>$J$3+[38]FormattedData!H64*$J$4+$M$4*$J$5+[38]FormattedData!H64^2*$J$6+$M$5*$J$7</f>
        <v>54.704134627452433</v>
      </c>
      <c r="P27" s="39">
        <f>$J$3+[38]FormattedData!I64*$J$4+$M$4*$J$5+[38]FormattedData!I64^2*$J$6+$M$5*$J$7</f>
        <v>45.45295153201441</v>
      </c>
      <c r="Q27" s="39">
        <f>$J$3+[38]FormattedData!J64*$J$4+$M$4*$J$5+[38]FormattedData!J64^2*$J$6+$M$5*$J$7</f>
        <v>57.430890173774195</v>
      </c>
      <c r="R27" s="39">
        <f>$J$3+[38]FormattedData!K64*$J$4+$M$4*$J$5+[38]FormattedData!K64^2*$J$6+$M$5*$J$7</f>
        <v>43.18160251610535</v>
      </c>
      <c r="S27" s="39">
        <f>$J$3+[38]FormattedData!L64*$J$4+$M$4*$J$5+[38]FormattedData!L64^2*$J$6+$M$5*$J$7</f>
        <v>54.704134627452433</v>
      </c>
      <c r="T27" s="39">
        <f>$J$3+[38]FormattedData!M64*$J$4+$M$4*$J$5+[38]FormattedData!M64^2*$J$6+$M$5*$J$7</f>
        <v>46.533815444230044</v>
      </c>
      <c r="U27" s="39">
        <f>$J$3+[38]FormattedData!N64*$J$4+$M$4*$J$5+[38]FormattedData!N64^2*$J$6+$M$5*$J$7</f>
        <v>54.27416923358102</v>
      </c>
      <c r="V27" s="39">
        <f>$J$3+[38]FormattedData!O64*$J$4+$M$4*$J$5+[38]FormattedData!O64^2*$J$6+$M$5*$J$7</f>
        <v>47.96549917468765</v>
      </c>
      <c r="W27" s="38">
        <f>AVERAGE(K27:V27)</f>
        <v>50.205065083522562</v>
      </c>
      <c r="X27" s="37">
        <f>STDEV(K27:V27)/SQRT(COUNT(K27:V27))</f>
        <v>1.5437446508194079</v>
      </c>
      <c r="Y27" s="36">
        <f>MIN(K27:V27)</f>
        <v>41.990060698963646</v>
      </c>
      <c r="Z27" s="35">
        <f>QUARTILE(K27:V27,1)</f>
        <v>46.263599466176132</v>
      </c>
      <c r="AA27" s="36">
        <f>MEDIAN(K27:V27)</f>
        <v>50.558406482632535</v>
      </c>
      <c r="AB27" s="35">
        <f>QUARTILE(K27:V27,3)</f>
        <v>54.704134627452433</v>
      </c>
      <c r="AC27" s="35">
        <f>MAX(K27:V27)</f>
        <v>57.430890173774195</v>
      </c>
      <c r="AD27" s="35">
        <f>SKEW(K27:V27)</f>
        <v>-0.19347230449172476</v>
      </c>
      <c r="AE27" s="35">
        <f>KURT(K27:V27)</f>
        <v>-1.6056448912267993</v>
      </c>
    </row>
    <row r="28" spans="2:31" x14ac:dyDescent="0.2">
      <c r="B28" s="34">
        <f>[38]FormattedData!A66</f>
        <v>303</v>
      </c>
      <c r="C28" s="34" t="str">
        <f>VLOOKUP($B28,[38]TrtCodes!$B$11:I109,2)</f>
        <v>NSL</v>
      </c>
      <c r="D28" s="34">
        <f>VLOOKUP($B28,[38]TrtCodes!$B$11:J109,3)</f>
        <v>8</v>
      </c>
      <c r="E28" s="34">
        <f>VLOOKUP($B28,[38]TrtCodes!$B$11:K109,4)</f>
        <v>2</v>
      </c>
      <c r="F28" s="34">
        <f>VLOOKUP($B28,[38]TrtCodes!$B$11:L109,5)</f>
        <v>1</v>
      </c>
      <c r="G28" s="34">
        <f>VLOOKUP($B28,[38]TrtCodes!$B$11:M109,6)</f>
        <v>1</v>
      </c>
      <c r="H28" s="34">
        <f>VLOOKUP($B28,[38]TrtCodes!$B$11:N109,7)</f>
        <v>3</v>
      </c>
      <c r="I28" s="34">
        <f>[38]FormattedData!B66</f>
        <v>1</v>
      </c>
      <c r="J28" s="37">
        <f>[38]FormattedData!C66</f>
        <v>13.202</v>
      </c>
      <c r="K28" s="39">
        <f>$J$3+[38]FormattedData!D66*$J$4+$M$4*$J$5+[38]FormattedData!D66^2*$J$6+$M$5*$J$7</f>
        <v>53.411068305493373</v>
      </c>
      <c r="L28" s="39">
        <f>$J$3+[38]FormattedData!E66*$J$4+$M$4*$J$5+[38]FormattedData!E66^2*$J$6+$M$5*$J$7</f>
        <v>52.717544228292212</v>
      </c>
      <c r="M28" s="39">
        <f>$J$3+[38]FormattedData!F66*$J$4+$M$4*$J$5+[38]FormattedData!F66^2*$J$6+$M$5*$J$7</f>
        <v>53.929436084801139</v>
      </c>
      <c r="N28" s="39">
        <f>$J$3+[38]FormattedData!G66*$J$4+$M$4*$J$5+[38]FormattedData!G66^2*$J$6+$M$5*$J$7</f>
        <v>49.209346045872515</v>
      </c>
      <c r="O28" s="39">
        <f>$J$3+[38]FormattedData!H66*$J$4+$M$4*$J$5+[38]FormattedData!H66^2*$J$6+$M$5*$J$7</f>
        <v>54.446282196743383</v>
      </c>
      <c r="P28" s="39">
        <f>$J$3+[38]FormattedData!I66*$J$4+$M$4*$J$5+[38]FormattedData!I66^2*$J$6+$M$5*$J$7</f>
        <v>48.499590850105804</v>
      </c>
      <c r="Q28" s="39">
        <f>$J$3+[38]FormattedData!J66*$J$4+$M$4*$J$5+[38]FormattedData!J66^2*$J$6+$M$5*$J$7</f>
        <v>54.188049349192951</v>
      </c>
      <c r="R28" s="39">
        <f>$J$3+[38]FormattedData!K66*$J$4+$M$4*$J$5+[38]FormattedData!K66^2*$J$6+$M$5*$J$7</f>
        <v>45.45295153201441</v>
      </c>
      <c r="S28" s="39">
        <f>$J$3+[38]FormattedData!L66*$J$4+$M$4*$J$5+[38]FormattedData!L66^2*$J$6+$M$5*$J$7</f>
        <v>53.756815899183614</v>
      </c>
      <c r="T28" s="39">
        <f>$J$3+[38]FormattedData!M66*$J$4+$M$4*$J$5+[38]FormattedData!M66^2*$J$6+$M$5*$J$7</f>
        <v>49.651569315743956</v>
      </c>
      <c r="U28" s="39">
        <f>$J$3+[38]FormattedData!N66*$J$4+$M$4*$J$5+[38]FormattedData!N66^2*$J$6+$M$5*$J$7</f>
        <v>56.668364970047065</v>
      </c>
      <c r="V28" s="39">
        <f>$J$3+[38]FormattedData!O66*$J$4+$M$4*$J$5+[38]FormattedData!O66^2*$J$6+$M$5*$J$7</f>
        <v>47.161508535250086</v>
      </c>
      <c r="W28" s="38">
        <f>AVERAGE(K28:V28)</f>
        <v>51.591043942728369</v>
      </c>
      <c r="X28" s="37">
        <f>STDEV(K28:V28)/SQRT(COUNT(K28:V28))</f>
        <v>0.99887906959014627</v>
      </c>
      <c r="Y28" s="36">
        <f>MIN(K28:V28)</f>
        <v>45.45295153201441</v>
      </c>
      <c r="Z28" s="35">
        <f>QUARTILE(K28:V28,1)</f>
        <v>49.031907246930835</v>
      </c>
      <c r="AA28" s="36">
        <f>MEDIAN(K28:V28)</f>
        <v>53.064306266892793</v>
      </c>
      <c r="AB28" s="35">
        <f>QUARTILE(K28:V28,3)</f>
        <v>53.994089400899092</v>
      </c>
      <c r="AC28" s="35">
        <f>MAX(K28:V28)</f>
        <v>56.668364970047065</v>
      </c>
      <c r="AD28" s="35">
        <f>SKEW(K28:V28)</f>
        <v>-0.43825485275204429</v>
      </c>
      <c r="AE28" s="35">
        <f>KURT(K28:V28)</f>
        <v>-0.97412329046816071</v>
      </c>
    </row>
    <row r="29" spans="2:31" x14ac:dyDescent="0.2">
      <c r="B29" s="34">
        <f>[38]FormattedData!A68</f>
        <v>304</v>
      </c>
      <c r="C29" s="34" t="str">
        <f>VLOOKUP($B29,[38]TrtCodes!$B$11:I111,2)</f>
        <v>FSL</v>
      </c>
      <c r="D29" s="34">
        <f>VLOOKUP($B29,[38]TrtCodes!$B$11:J111,3)</f>
        <v>2</v>
      </c>
      <c r="E29" s="34">
        <f>VLOOKUP($B29,[38]TrtCodes!$B$11:K111,4)</f>
        <v>1</v>
      </c>
      <c r="F29" s="34">
        <f>VLOOKUP($B29,[38]TrtCodes!$B$11:L111,5)</f>
        <v>1</v>
      </c>
      <c r="G29" s="34">
        <f>VLOOKUP($B29,[38]TrtCodes!$B$11:M111,6)</f>
        <v>1</v>
      </c>
      <c r="H29" s="34">
        <f>VLOOKUP($B29,[38]TrtCodes!$B$11:N111,7)</f>
        <v>3</v>
      </c>
      <c r="I29" s="34">
        <f>[38]FormattedData!B68</f>
        <v>1</v>
      </c>
      <c r="J29" s="37">
        <f>[38]FormattedData!C68</f>
        <v>13.218999999999999</v>
      </c>
      <c r="K29" s="39">
        <f>$J$3+[38]FormattedData!D68*$J$4+$M$4*$J$5+[38]FormattedData!D68^2*$J$6+$M$5*$J$7</f>
        <v>53.324525735725992</v>
      </c>
      <c r="L29" s="39">
        <f>$J$3+[38]FormattedData!E68*$J$4+$M$4*$J$5+[38]FormattedData!E68^2*$J$6+$M$5*$J$7</f>
        <v>53.151313790577419</v>
      </c>
      <c r="M29" s="39">
        <f>$J$3+[38]FormattedData!F68*$J$4+$M$4*$J$5+[38]FormattedData!F68^2*$J$6+$M$5*$J$7</f>
        <v>53.670442403567947</v>
      </c>
      <c r="N29" s="39">
        <f>$J$3+[38]FormattedData!G68*$J$4+$M$4*$J$5+[38]FormattedData!G68^2*$J$6+$M$5*$J$7</f>
        <v>52.456775268465911</v>
      </c>
      <c r="O29" s="39">
        <f>$J$3+[38]FormattedData!H68*$J$4+$M$4*$J$5+[38]FormattedData!H68^2*$J$6+$M$5*$J$7</f>
        <v>54.961606641320095</v>
      </c>
      <c r="P29" s="39">
        <f>$J$3+[38]FormattedData!I68*$J$4+$M$4*$J$5+[38]FormattedData!I68^2*$J$6+$M$5*$J$7</f>
        <v>51.234823499929384</v>
      </c>
      <c r="Q29" s="39">
        <f>$J$3+[38]FormattedData!J68*$J$4+$M$4*$J$5+[38]FormattedData!J68^2*$J$6+$M$5*$J$7</f>
        <v>56.243260458037746</v>
      </c>
      <c r="R29" s="39">
        <f>$J$3+[38]FormattedData!K68*$J$4+$M$4*$J$5+[38]FormattedData!K68^2*$J$6+$M$5*$J$7</f>
        <v>48.677283260275068</v>
      </c>
      <c r="S29" s="39">
        <f>$J$3+[38]FormattedData!L68*$J$4+$M$4*$J$5+[38]FormattedData!L68^2*$J$6+$M$5*$J$7</f>
        <v>53.497568606722837</v>
      </c>
      <c r="T29" s="39">
        <f>$J$3+[38]FormattedData!M68*$J$4+$M$4*$J$5+[38]FormattedData!M68^2*$J$6+$M$5*$J$7</f>
        <v>49.739887164104445</v>
      </c>
      <c r="U29" s="39">
        <f>$J$3+[38]FormattedData!N68*$J$4+$M$4*$J$5+[38]FormattedData!N68^2*$J$6+$M$5*$J$7</f>
        <v>53.843147126261336</v>
      </c>
      <c r="V29" s="39">
        <f>$J$3+[38]FormattedData!O68*$J$4+$M$4*$J$5+[38]FormattedData!O68^2*$J$6+$M$5*$J$7</f>
        <v>52.369767744781285</v>
      </c>
      <c r="W29" s="38">
        <f>AVERAGE(K29:V29)</f>
        <v>52.764200141647457</v>
      </c>
      <c r="X29" s="37">
        <f>STDEV(K29:V29)/SQRT(COUNT(K29:V29))</f>
        <v>0.60526695311818746</v>
      </c>
      <c r="Y29" s="36">
        <f>MIN(K29:V29)</f>
        <v>48.677283260275068</v>
      </c>
      <c r="Z29" s="35">
        <f>QUARTILE(K29:V29,1)</f>
        <v>52.086031683568308</v>
      </c>
      <c r="AA29" s="36">
        <f>MEDIAN(K29:V29)</f>
        <v>53.237919763151709</v>
      </c>
      <c r="AB29" s="35">
        <f>QUARTILE(K29:V29,3)</f>
        <v>53.713618584241296</v>
      </c>
      <c r="AC29" s="35">
        <f>MAX(K29:V29)</f>
        <v>56.243260458037746</v>
      </c>
      <c r="AD29" s="35">
        <f>SKEW(K29:V29)</f>
        <v>-0.52363224538190745</v>
      </c>
      <c r="AE29" s="35">
        <f>KURT(K29:V29)</f>
        <v>0.37282582627819849</v>
      </c>
    </row>
    <row r="30" spans="2:31" x14ac:dyDescent="0.2">
      <c r="B30" s="34">
        <f>[38]FormattedData!A70</f>
        <v>305</v>
      </c>
      <c r="C30" s="34" t="str">
        <f>VLOOKUP($B30,[38]TrtCodes!$B$11:I113,2)</f>
        <v>NDH</v>
      </c>
      <c r="D30" s="34">
        <f>VLOOKUP($B30,[38]TrtCodes!$B$11:J113,3)</f>
        <v>11</v>
      </c>
      <c r="E30" s="34">
        <f>VLOOKUP($B30,[38]TrtCodes!$B$11:K113,4)</f>
        <v>2</v>
      </c>
      <c r="F30" s="34">
        <f>VLOOKUP($B30,[38]TrtCodes!$B$11:L113,5)</f>
        <v>3</v>
      </c>
      <c r="G30" s="34">
        <f>VLOOKUP($B30,[38]TrtCodes!$B$11:M113,6)</f>
        <v>2</v>
      </c>
      <c r="H30" s="34">
        <f>VLOOKUP($B30,[38]TrtCodes!$B$11:N113,7)</f>
        <v>4</v>
      </c>
      <c r="I30" s="34">
        <f>[38]FormattedData!B70</f>
        <v>1</v>
      </c>
      <c r="J30" s="37">
        <f>[38]FormattedData!C70</f>
        <v>13.236000000000001</v>
      </c>
      <c r="K30" s="39">
        <f>$J$3+[38]FormattedData!D70*$J$4+$M$4*$J$5+[38]FormattedData!D70^2*$J$6+$M$5*$J$7</f>
        <v>47.876335955568528</v>
      </c>
      <c r="L30" s="39">
        <f>$J$3+[38]FormattedData!E70*$J$4+$M$4*$J$5+[38]FormattedData!E70^2*$J$6+$M$5*$J$7</f>
        <v>42.357449784074625</v>
      </c>
      <c r="M30" s="39">
        <f>$J$3+[38]FormattedData!F70*$J$4+$M$4*$J$5+[38]FormattedData!F70^2*$J$6+$M$5*$J$7</f>
        <v>49.651569315743956</v>
      </c>
      <c r="N30" s="39">
        <f>$J$3+[38]FormattedData!G70*$J$4+$M$4*$J$5+[38]FormattedData!G70^2*$J$6+$M$5*$J$7</f>
        <v>42.632547778259578</v>
      </c>
      <c r="O30" s="39">
        <f>$J$3+[38]FormattedData!H70*$J$4+$M$4*$J$5+[38]FormattedData!H70^2*$J$6+$M$5*$J$7</f>
        <v>50.44490828362288</v>
      </c>
      <c r="P30" s="39">
        <f>$J$3+[38]FormattedData!I70*$J$4+$M$4*$J$5+[38]FormattedData!I70^2*$J$6+$M$5*$J$7</f>
        <v>44.093312262813811</v>
      </c>
      <c r="Q30" s="39">
        <f>$J$3+[38]FormattedData!J70*$J$4+$M$4*$J$5+[38]FormattedData!J70^2*$J$6+$M$5*$J$7</f>
        <v>50.44490828362288</v>
      </c>
      <c r="R30" s="39">
        <f>$J$3+[38]FormattedData!K70*$J$4+$M$4*$J$5+[38]FormattedData!K70^2*$J$6+$M$5*$J$7</f>
        <v>42.357449784074625</v>
      </c>
      <c r="S30" s="39">
        <f>$J$3+[38]FormattedData!L70*$J$4+$M$4*$J$5+[38]FormattedData!L70^2*$J$6+$M$5*$J$7</f>
        <v>42.08197137304829</v>
      </c>
      <c r="T30" s="39">
        <f>$J$3+[38]FormattedData!M70*$J$4+$M$4*$J$5+[38]FormattedData!M70^2*$J$6+$M$5*$J$7</f>
        <v>40.142970824305287</v>
      </c>
      <c r="U30" s="39">
        <f>$J$3+[38]FormattedData!N70*$J$4+$M$4*$J$5+[38]FormattedData!N70^2*$J$6+$M$5*$J$7</f>
        <v>50.268906614970859</v>
      </c>
      <c r="V30" s="39">
        <f>$J$3+[38]FormattedData!O70*$J$4+$M$4*$J$5+[38]FormattedData!O70^2*$J$6+$M$5*$J$7</f>
        <v>36.681282382938939</v>
      </c>
      <c r="W30" s="38">
        <f>AVERAGE(K30:V30)</f>
        <v>44.919467720253685</v>
      </c>
      <c r="X30" s="37">
        <f>STDEV(K30:V30)/SQRT(COUNT(K30:V30))</f>
        <v>1.344426631868302</v>
      </c>
      <c r="Y30" s="36">
        <f>MIN(K30:V30)</f>
        <v>36.681282382938939</v>
      </c>
      <c r="Z30" s="35">
        <f>QUARTILE(K30:V30,1)</f>
        <v>42.288580181318039</v>
      </c>
      <c r="AA30" s="36">
        <f>MEDIAN(K30:V30)</f>
        <v>43.362930020536695</v>
      </c>
      <c r="AB30" s="35">
        <f>QUARTILE(K30:V30,3)</f>
        <v>49.805903640550682</v>
      </c>
      <c r="AC30" s="35">
        <f>MAX(K30:V30)</f>
        <v>50.44490828362288</v>
      </c>
      <c r="AD30" s="35">
        <f>SKEW(K30:V30)</f>
        <v>-0.12397667874198735</v>
      </c>
      <c r="AE30" s="35">
        <f>KURT(K30:V30)</f>
        <v>-1.1640398705088875</v>
      </c>
    </row>
    <row r="31" spans="2:31" x14ac:dyDescent="0.2">
      <c r="B31" s="34">
        <f>[38]FormattedData!A72</f>
        <v>306</v>
      </c>
      <c r="C31" s="34" t="str">
        <f>VLOOKUP($B31,[38]TrtCodes!$B$11:I115,2)</f>
        <v>FTL</v>
      </c>
      <c r="D31" s="34">
        <f>VLOOKUP($B31,[38]TrtCodes!$B$11:J115,3)</f>
        <v>4</v>
      </c>
      <c r="E31" s="34">
        <f>VLOOKUP($B31,[38]TrtCodes!$B$11:K115,4)</f>
        <v>1</v>
      </c>
      <c r="F31" s="34">
        <f>VLOOKUP($B31,[38]TrtCodes!$B$11:L115,5)</f>
        <v>2</v>
      </c>
      <c r="G31" s="34">
        <f>VLOOKUP($B31,[38]TrtCodes!$B$11:M115,6)</f>
        <v>1</v>
      </c>
      <c r="H31" s="34">
        <f>VLOOKUP($B31,[38]TrtCodes!$B$11:N115,7)</f>
        <v>4</v>
      </c>
      <c r="I31" s="34">
        <f>[38]FormattedData!B72</f>
        <v>1</v>
      </c>
      <c r="J31" s="37">
        <f>[38]FormattedData!C72</f>
        <v>13.253</v>
      </c>
      <c r="K31" s="39">
        <f>$J$3+[38]FormattedData!D72*$J$4+$M$4*$J$5+[38]FormattedData!D72^2*$J$6+$M$5*$J$7</f>
        <v>49.651569315743956</v>
      </c>
      <c r="L31" s="39">
        <f>$J$3+[38]FormattedData!E72*$J$4+$M$4*$J$5+[38]FormattedData!E72^2*$J$6+$M$5*$J$7</f>
        <v>54.790000900612924</v>
      </c>
      <c r="M31" s="39">
        <f>$J$3+[38]FormattedData!F72*$J$4+$M$4*$J$5+[38]FormattedData!F72^2*$J$6+$M$5*$J$7</f>
        <v>50.884172755839138</v>
      </c>
      <c r="N31" s="39">
        <f>$J$3+[38]FormattedData!G72*$J$4+$M$4*$J$5+[38]FormattedData!G72^2*$J$6+$M$5*$J$7</f>
        <v>44.093312262813811</v>
      </c>
      <c r="O31" s="39">
        <f>$J$3+[38]FormattedData!H72*$J$4+$M$4*$J$5+[38]FormattedData!H72^2*$J$6+$M$5*$J$7</f>
        <v>54.704134627452433</v>
      </c>
      <c r="P31" s="39">
        <f>$J$3+[38]FormattedData!I72*$J$4+$M$4*$J$5+[38]FormattedData!I72^2*$J$6+$M$5*$J$7</f>
        <v>42.815735098359895</v>
      </c>
      <c r="Q31" s="39">
        <f>$J$3+[38]FormattedData!J72*$J$4+$M$4*$J$5+[38]FormattedData!J72^2*$J$6+$M$5*$J$7</f>
        <v>55.218698238346391</v>
      </c>
      <c r="R31" s="39">
        <f>$J$3+[38]FormattedData!K72*$J$4+$M$4*$J$5+[38]FormattedData!K72^2*$J$6+$M$5*$J$7</f>
        <v>42.540890715402526</v>
      </c>
      <c r="S31" s="39">
        <f>$J$3+[38]FormattedData!L72*$J$4+$M$4*$J$5+[38]FormattedData!L72^2*$J$6+$M$5*$J$7</f>
        <v>54.27416923358102</v>
      </c>
      <c r="T31" s="39">
        <f>$J$3+[38]FormattedData!M72*$J$4+$M$4*$J$5+[38]FormattedData!M72^2*$J$6+$M$5*$J$7</f>
        <v>43.637985746183723</v>
      </c>
      <c r="U31" s="39">
        <f>$J$3+[38]FormattedData!N72*$J$4+$M$4*$J$5+[38]FormattedData!N72^2*$J$6+$M$5*$J$7</f>
        <v>54.961606641320095</v>
      </c>
      <c r="V31" s="39">
        <f>$J$3+[38]FormattedData!O72*$J$4+$M$4*$J$5+[38]FormattedData!O72^2*$J$6+$M$5*$J$7</f>
        <v>46.533815444230044</v>
      </c>
      <c r="W31" s="38">
        <f>AVERAGE(K31:V31)</f>
        <v>49.508840914990508</v>
      </c>
      <c r="X31" s="37">
        <f>STDEV(K31:V31)/SQRT(COUNT(K31:V31))</f>
        <v>1.5271105076216251</v>
      </c>
      <c r="Y31" s="36">
        <f>MIN(K31:V31)</f>
        <v>42.540890715402526</v>
      </c>
      <c r="Z31" s="35">
        <f>QUARTILE(K31:V31,1)</f>
        <v>43.979480633656287</v>
      </c>
      <c r="AA31" s="36">
        <f>MEDIAN(K31:V31)</f>
        <v>50.267871035791543</v>
      </c>
      <c r="AB31" s="35">
        <f>QUARTILE(K31:V31,3)</f>
        <v>54.725601195742556</v>
      </c>
      <c r="AC31" s="35">
        <f>MAX(K31:V31)</f>
        <v>55.218698238346391</v>
      </c>
      <c r="AD31" s="35">
        <f>SKEW(K31:V31)</f>
        <v>-0.20561891673008981</v>
      </c>
      <c r="AE31" s="35">
        <f>KURT(K31:V31)</f>
        <v>-1.9280546089320438</v>
      </c>
    </row>
    <row r="32" spans="2:31" x14ac:dyDescent="0.2">
      <c r="B32" s="34">
        <f>[38]FormattedData!A74</f>
        <v>307</v>
      </c>
      <c r="C32" s="34" t="str">
        <f>VLOOKUP($B32,[38]TrtCodes!$B$11:I117,2)</f>
        <v>NTH</v>
      </c>
      <c r="D32" s="34">
        <f>VLOOKUP($B32,[38]TrtCodes!$B$11:J117,3)</f>
        <v>9</v>
      </c>
      <c r="E32" s="34">
        <f>VLOOKUP($B32,[38]TrtCodes!$B$11:K117,4)</f>
        <v>2</v>
      </c>
      <c r="F32" s="34">
        <f>VLOOKUP($B32,[38]TrtCodes!$B$11:L117,5)</f>
        <v>2</v>
      </c>
      <c r="G32" s="34">
        <f>VLOOKUP($B32,[38]TrtCodes!$B$11:M117,6)</f>
        <v>2</v>
      </c>
      <c r="H32" s="34">
        <f>VLOOKUP($B32,[38]TrtCodes!$B$11:N117,7)</f>
        <v>4</v>
      </c>
      <c r="I32" s="34">
        <f>[38]FormattedData!B74</f>
        <v>1</v>
      </c>
      <c r="J32" s="37">
        <f>[38]FormattedData!C74</f>
        <v>13.271000000000001</v>
      </c>
      <c r="K32" s="39">
        <f>$J$3+[38]FormattedData!D74*$J$4+$M$4*$J$5+[38]FormattedData!D74^2*$J$6+$M$5*$J$7</f>
        <v>56.243260458037746</v>
      </c>
      <c r="L32" s="39">
        <f>$J$3+[38]FormattedData!E74*$J$4+$M$4*$J$5+[38]FormattedData!E74^2*$J$6+$M$5*$J$7</f>
        <v>47.161508535250086</v>
      </c>
      <c r="M32" s="39">
        <f>$J$3+[38]FormattedData!F74*$J$4+$M$4*$J$5+[38]FormattedData!F74^2*$J$6+$M$5*$J$7</f>
        <v>55.90241601474753</v>
      </c>
      <c r="N32" s="39">
        <f>$J$3+[38]FormattedData!G74*$J$4+$M$4*$J$5+[38]FormattedData!G74^2*$J$6+$M$5*$J$7</f>
        <v>41.345502461309088</v>
      </c>
      <c r="O32" s="39">
        <f>$J$3+[38]FormattedData!H74*$J$4+$M$4*$J$5+[38]FormattedData!H74^2*$J$6+$M$5*$J$7</f>
        <v>55.13304330787556</v>
      </c>
      <c r="P32" s="39">
        <f>$J$3+[38]FormattedData!I74*$J$4+$M$4*$J$5+[38]FormattedData!I74^2*$J$6+$M$5*$J$7</f>
        <v>41.898107756341076</v>
      </c>
      <c r="Q32" s="39">
        <f>$J$3+[38]FormattedData!J74*$J$4+$M$4*$J$5+[38]FormattedData!J74^2*$J$6+$M$5*$J$7</f>
        <v>55.389881293674257</v>
      </c>
      <c r="R32" s="39">
        <f>$J$3+[38]FormattedData!K74*$J$4+$M$4*$J$5+[38]FormattedData!K74^2*$J$6+$M$5*$J$7</f>
        <v>41.714075065482142</v>
      </c>
      <c r="S32" s="39">
        <f>$J$3+[38]FormattedData!L74*$J$4+$M$4*$J$5+[38]FormattedData!L74^2*$J$6+$M$5*$J$7</f>
        <v>54.704134627452433</v>
      </c>
      <c r="T32" s="39">
        <f>$J$3+[38]FormattedData!M74*$J$4+$M$4*$J$5+[38]FormattedData!M74^2*$J$6+$M$5*$J$7</f>
        <v>47.96549917468765</v>
      </c>
      <c r="U32" s="39">
        <f>$J$3+[38]FormattedData!N74*$J$4+$M$4*$J$5+[38]FormattedData!N74^2*$J$6+$M$5*$J$7</f>
        <v>55.218698238346391</v>
      </c>
      <c r="V32" s="39">
        <f>$J$3+[38]FormattedData!O74*$J$4+$M$4*$J$5+[38]FormattedData!O74^2*$J$6+$M$5*$J$7</f>
        <v>45.813915799359854</v>
      </c>
      <c r="W32" s="38">
        <f>AVERAGE(K32:V32)</f>
        <v>49.874170227713648</v>
      </c>
      <c r="X32" s="37">
        <f>STDEV(K32:V32)/SQRT(COUNT(K32:V32))</f>
        <v>1.7780363107923962</v>
      </c>
      <c r="Y32" s="36">
        <f>MIN(K32:V32)</f>
        <v>41.345502461309088</v>
      </c>
      <c r="Z32" s="35">
        <f>QUARTILE(K32:V32,1)</f>
        <v>44.834963788605158</v>
      </c>
      <c r="AA32" s="36">
        <f>MEDIAN(K32:V32)</f>
        <v>51.334816901070042</v>
      </c>
      <c r="AB32" s="35">
        <f>QUARTILE(K32:V32,3)</f>
        <v>55.26149400217836</v>
      </c>
      <c r="AC32" s="35">
        <f>MAX(K32:V32)</f>
        <v>56.243260458037746</v>
      </c>
      <c r="AD32" s="35">
        <f>SKEW(K32:V32)</f>
        <v>-0.33099895811656033</v>
      </c>
      <c r="AE32" s="35">
        <f>KURT(K32:V32)</f>
        <v>-1.829599077461133</v>
      </c>
    </row>
    <row r="33" spans="2:31" x14ac:dyDescent="0.2">
      <c r="B33" s="34">
        <f>[38]FormattedData!A76</f>
        <v>308</v>
      </c>
      <c r="C33" s="34" t="str">
        <f>VLOOKUP($B33,[38]TrtCodes!$B$11:I119,2)</f>
        <v>FDH</v>
      </c>
      <c r="D33" s="34">
        <f>VLOOKUP($B33,[38]TrtCodes!$B$11:J119,3)</f>
        <v>5</v>
      </c>
      <c r="E33" s="34">
        <f>VLOOKUP($B33,[38]TrtCodes!$B$11:K119,4)</f>
        <v>1</v>
      </c>
      <c r="F33" s="34">
        <f>VLOOKUP($B33,[38]TrtCodes!$B$11:L119,5)</f>
        <v>3</v>
      </c>
      <c r="G33" s="34">
        <f>VLOOKUP($B33,[38]TrtCodes!$B$11:M119,6)</f>
        <v>2</v>
      </c>
      <c r="H33" s="34">
        <f>VLOOKUP($B33,[38]TrtCodes!$B$11:N119,7)</f>
        <v>4</v>
      </c>
      <c r="I33" s="34">
        <f>[38]FormattedData!B76</f>
        <v>1</v>
      </c>
      <c r="J33" s="37">
        <f>[38]FormattedData!C76</f>
        <v>13.289</v>
      </c>
      <c r="K33" s="39">
        <f>$J$3+[38]FormattedData!D76*$J$4+$M$4*$J$5+[38]FormattedData!D76^2*$J$6+$M$5*$J$7</f>
        <v>49.563209198845527</v>
      </c>
      <c r="L33" s="39">
        <f>$J$3+[38]FormattedData!E76*$J$4+$M$4*$J$5+[38]FormattedData!E76^2*$J$6+$M$5*$J$7</f>
        <v>52.977932771277132</v>
      </c>
      <c r="M33" s="39">
        <f>$J$3+[38]FormattedData!F76*$J$4+$M$4*$J$5+[38]FormattedData!F76^2*$J$6+$M$5*$J$7</f>
        <v>53.064644415196248</v>
      </c>
      <c r="N33" s="39">
        <f>$J$3+[38]FormattedData!G76*$J$4+$M$4*$J$5+[38]FormattedData!G76^2*$J$6+$M$5*$J$7</f>
        <v>53.843147126261336</v>
      </c>
      <c r="O33" s="39">
        <f>$J$3+[38]FormattedData!H76*$J$4+$M$4*$J$5+[38]FormattedData!H76^2*$J$6+$M$5*$J$7</f>
        <v>54.704134627452433</v>
      </c>
      <c r="P33" s="39">
        <f>$J$3+[38]FormattedData!I76*$J$4+$M$4*$J$5+[38]FormattedData!I76^2*$J$6+$M$5*$J$7</f>
        <v>51.584797947412724</v>
      </c>
      <c r="Q33" s="39">
        <f>$J$3+[38]FormattedData!J76*$J$4+$M$4*$J$5+[38]FormattedData!J76^2*$J$6+$M$5*$J$7</f>
        <v>55.560895274850409</v>
      </c>
      <c r="R33" s="39">
        <f>$J$3+[38]FormattedData!K76*$J$4+$M$4*$J$5+[38]FormattedData!K76^2*$J$6+$M$5*$J$7</f>
        <v>49.651569315743956</v>
      </c>
      <c r="S33" s="39">
        <f>$J$3+[38]FormattedData!L76*$J$4+$M$4*$J$5+[38]FormattedData!L76^2*$J$6+$M$5*$J$7</f>
        <v>54.61822608575401</v>
      </c>
      <c r="T33" s="39">
        <f>$J$3+[38]FormattedData!M76*$J$4+$M$4*$J$5+[38]FormattedData!M76^2*$J$6+$M$5*$J$7</f>
        <v>44.910237074858308</v>
      </c>
      <c r="U33" s="39">
        <f>$J$3+[38]FormattedData!N76*$J$4+$M$4*$J$5+[38]FormattedData!N76^2*$J$6+$M$5*$J$7</f>
        <v>54.704134627452433</v>
      </c>
      <c r="V33" s="39">
        <f>$J$3+[38]FormattedData!O76*$J$4+$M$4*$J$5+[38]FormattedData!O76^2*$J$6+$M$5*$J$7</f>
        <v>54.101887196266944</v>
      </c>
      <c r="W33" s="38">
        <f>AVERAGE(K33:V33)</f>
        <v>52.440401305114278</v>
      </c>
      <c r="X33" s="37">
        <f>STDEV(K33:V33)/SQRT(COUNT(K33:V33))</f>
        <v>0.88603423545315851</v>
      </c>
      <c r="Y33" s="36">
        <f>MIN(K33:V33)</f>
        <v>44.910237074858308</v>
      </c>
      <c r="Z33" s="35">
        <f>QUARTILE(K33:V33,1)</f>
        <v>51.101490789495529</v>
      </c>
      <c r="AA33" s="36">
        <f>MEDIAN(K33:V33)</f>
        <v>53.453895770728792</v>
      </c>
      <c r="AB33" s="35">
        <f>QUARTILE(K33:V33,3)</f>
        <v>54.639703221178614</v>
      </c>
      <c r="AC33" s="35">
        <f>MAX(K33:V33)</f>
        <v>55.560895274850409</v>
      </c>
      <c r="AD33" s="35">
        <f>SKEW(K33:V33)</f>
        <v>-1.5146302100284357</v>
      </c>
      <c r="AE33" s="35">
        <f>KURT(K33:V33)</f>
        <v>2.2278343861598735</v>
      </c>
    </row>
    <row r="34" spans="2:31" x14ac:dyDescent="0.2">
      <c r="B34" s="34">
        <f>[38]FormattedData!A92</f>
        <v>401</v>
      </c>
      <c r="C34" s="34" t="str">
        <f>VLOOKUP($B34,[38]TrtCodes!$B$11:I129,2)</f>
        <v>NSH</v>
      </c>
      <c r="D34" s="34">
        <f>VLOOKUP($B34,[38]TrtCodes!$B$11:J129,3)</f>
        <v>7</v>
      </c>
      <c r="E34" s="34">
        <f>VLOOKUP($B34,[38]TrtCodes!$B$11:K129,4)</f>
        <v>2</v>
      </c>
      <c r="F34" s="34">
        <f>VLOOKUP($B34,[38]TrtCodes!$B$11:L129,5)</f>
        <v>1</v>
      </c>
      <c r="G34" s="34">
        <f>VLOOKUP($B34,[38]TrtCodes!$B$11:M129,6)</f>
        <v>2</v>
      </c>
      <c r="H34" s="34">
        <f>VLOOKUP($B34,[38]TrtCodes!$B$11:N129,7)</f>
        <v>3</v>
      </c>
      <c r="I34" s="34">
        <f>[38]FormattedData!B92</f>
        <v>1</v>
      </c>
      <c r="J34" s="37">
        <f>[38]FormattedData!C92</f>
        <v>13.451000000000001</v>
      </c>
      <c r="K34" s="39">
        <f>$J$3+[38]FormattedData!D92*$J$4+$M$4*$J$5+[38]FormattedData!D92^2*$J$6+$M$5*$J$7</f>
        <v>54.790000900612924</v>
      </c>
      <c r="L34" s="39">
        <f>$J$3+[38]FormattedData!E92*$J$4+$M$4*$J$5+[38]FormattedData!E92^2*$J$6+$M$5*$J$7</f>
        <v>54.015682774802997</v>
      </c>
      <c r="M34" s="39">
        <f>$J$3+[38]FormattedData!F92*$J$4+$M$4*$J$5+[38]FormattedData!F92^2*$J$6+$M$5*$J$7</f>
        <v>55.475409418531299</v>
      </c>
      <c r="N34" s="39">
        <f>$J$3+[38]FormattedData!G92*$J$4+$M$4*$J$5+[38]FormattedData!G92^2*$J$6+$M$5*$J$7</f>
        <v>50.44490828362288</v>
      </c>
      <c r="O34" s="39">
        <f>$J$3+[38]FormattedData!H92*$J$4+$M$4*$J$5+[38]FormattedData!H92^2*$J$6+$M$5*$J$7</f>
        <v>54.704134627452433</v>
      </c>
      <c r="P34" s="39">
        <f>$J$3+[38]FormattedData!I92*$J$4+$M$4*$J$5+[38]FormattedData!I92^2*$J$6+$M$5*$J$7</f>
        <v>51.497367738348792</v>
      </c>
      <c r="Q34" s="39">
        <f>$J$3+[38]FormattedData!J92*$J$4+$M$4*$J$5+[38]FormattedData!J92^2*$J$6+$M$5*$J$7</f>
        <v>55.047346108866797</v>
      </c>
      <c r="R34" s="39">
        <f>$J$3+[38]FormattedData!K92*$J$4+$M$4*$J$5+[38]FormattedData!K92^2*$J$6+$M$5*$J$7</f>
        <v>54.790000900612924</v>
      </c>
      <c r="S34" s="39">
        <f>$J$3+[38]FormattedData!L92*$J$4+$M$4*$J$5+[38]FormattedData!L92^2*$J$6+$M$5*$J$7</f>
        <v>55.047346108866797</v>
      </c>
      <c r="T34" s="39">
        <f>$J$3+[38]FormattedData!M92*$J$4+$M$4*$J$5+[38]FormattedData!M92^2*$J$6+$M$5*$J$7</f>
        <v>54.015682774802997</v>
      </c>
      <c r="U34" s="39">
        <f>$J$3+[38]FormattedData!N92*$J$4+$M$4*$J$5+[38]FormattedData!N92^2*$J$6+$M$5*$J$7</f>
        <v>54.015682774802997</v>
      </c>
      <c r="V34" s="39">
        <f>$J$3+[38]FormattedData!O92*$J$4+$M$4*$J$5+[38]FormattedData!O92^2*$J$6+$M$5*$J$7</f>
        <v>54.532275275517662</v>
      </c>
      <c r="W34" s="38">
        <f>AVERAGE(K34:V34)</f>
        <v>54.031319807236791</v>
      </c>
      <c r="X34" s="37">
        <f>STDEV(K34:V34)/SQRT(COUNT(K34:V34))</f>
        <v>0.43770093323068954</v>
      </c>
      <c r="Y34" s="36">
        <f>MIN(K34:V34)</f>
        <v>50.44490828362288</v>
      </c>
      <c r="Z34" s="35">
        <f>QUARTILE(K34:V34,1)</f>
        <v>54.015682774802997</v>
      </c>
      <c r="AA34" s="36">
        <f>MEDIAN(K34:V34)</f>
        <v>54.618204951485048</v>
      </c>
      <c r="AB34" s="35">
        <f>QUARTILE(K34:V34,3)</f>
        <v>54.85433720267639</v>
      </c>
      <c r="AC34" s="35">
        <f>MAX(K34:V34)</f>
        <v>55.475409418531299</v>
      </c>
      <c r="AD34" s="35">
        <f>SKEW(K34:V34)</f>
        <v>-1.7521535236501529</v>
      </c>
      <c r="AE34" s="35">
        <f>KURT(K34:V34)</f>
        <v>2.3491655045760282</v>
      </c>
    </row>
    <row r="35" spans="2:31" x14ac:dyDescent="0.2">
      <c r="B35" s="34">
        <f>[38]FormattedData!A90</f>
        <v>402</v>
      </c>
      <c r="C35" s="34" t="str">
        <f>VLOOKUP($B35,[38]TrtCodes!$B$11:I130,2)</f>
        <v>NTH</v>
      </c>
      <c r="D35" s="34">
        <f>VLOOKUP($B35,[38]TrtCodes!$B$11:J130,3)</f>
        <v>9</v>
      </c>
      <c r="E35" s="34">
        <f>VLOOKUP($B35,[38]TrtCodes!$B$11:K130,4)</f>
        <v>2</v>
      </c>
      <c r="F35" s="34">
        <f>VLOOKUP($B35,[38]TrtCodes!$B$11:L130,5)</f>
        <v>2</v>
      </c>
      <c r="G35" s="34">
        <f>VLOOKUP($B35,[38]TrtCodes!$B$11:M130,6)</f>
        <v>2</v>
      </c>
      <c r="H35" s="34">
        <f>VLOOKUP($B35,[38]TrtCodes!$B$11:N130,7)</f>
        <v>3</v>
      </c>
      <c r="I35" s="34">
        <f>[38]FormattedData!B90</f>
        <v>1</v>
      </c>
      <c r="J35" s="37">
        <f>[38]FormattedData!C90</f>
        <v>13.433</v>
      </c>
      <c r="K35" s="39">
        <f>$J$3+[38]FormattedData!D90*$J$4+$M$4*$J$5+[38]FormattedData!D90^2*$J$6+$M$5*$J$7</f>
        <v>56.158112750022084</v>
      </c>
      <c r="L35" s="39">
        <f>$J$3+[38]FormattedData!E90*$J$4+$M$4*$J$5+[38]FormattedData!E90^2*$J$6+$M$5*$J$7</f>
        <v>50.180842377837948</v>
      </c>
      <c r="M35" s="39">
        <f>$J$3+[38]FormattedData!F90*$J$4+$M$4*$J$5+[38]FormattedData!F90^2*$J$6+$M$5*$J$7</f>
        <v>54.875824905235476</v>
      </c>
      <c r="N35" s="39">
        <f>$J$3+[38]FormattedData!G90*$J$4+$M$4*$J$5+[38]FormattedData!G90^2*$J$6+$M$5*$J$7</f>
        <v>48.054620125268841</v>
      </c>
      <c r="O35" s="39">
        <f>$J$3+[38]FormattedData!H90*$J$4+$M$4*$J$5+[38]FormattedData!H90^2*$J$6+$M$5*$J$7</f>
        <v>55.13304330787556</v>
      </c>
      <c r="P35" s="39">
        <f>$J$3+[38]FormattedData!I90*$J$4+$M$4*$J$5+[38]FormattedData!I90^2*$J$6+$M$5*$J$7</f>
        <v>46.174203770098401</v>
      </c>
      <c r="Q35" s="39">
        <f>$J$3+[38]FormattedData!J90*$J$4+$M$4*$J$5+[38]FormattedData!J90^2*$J$6+$M$5*$J$7</f>
        <v>56.158112750022084</v>
      </c>
      <c r="R35" s="39">
        <f>$J$3+[38]FormattedData!K90*$J$4+$M$4*$J$5+[38]FormattedData!K90^2*$J$6+$M$5*$J$7</f>
        <v>52.804382677825117</v>
      </c>
      <c r="S35" s="39">
        <f>$J$3+[38]FormattedData!L90*$J$4+$M$4*$J$5+[38]FormattedData!L90^2*$J$6+$M$5*$J$7</f>
        <v>54.188049349192951</v>
      </c>
      <c r="T35" s="39">
        <f>$J$3+[38]FormattedData!M90*$J$4+$M$4*$J$5+[38]FormattedData!M90^2*$J$6+$M$5*$J$7</f>
        <v>53.151313790577419</v>
      </c>
      <c r="U35" s="39">
        <f>$J$3+[38]FormattedData!N90*$J$4+$M$4*$J$5+[38]FormattedData!N90^2*$J$6+$M$5*$J$7</f>
        <v>53.670442403567947</v>
      </c>
      <c r="V35" s="39">
        <f>$J$3+[38]FormattedData!O90*$J$4+$M$4*$J$5+[38]FormattedData!O90^2*$J$6+$M$5*$J$7</f>
        <v>45.45295153201441</v>
      </c>
      <c r="W35" s="38">
        <f>AVERAGE(K35:V35)</f>
        <v>52.166824978294848</v>
      </c>
      <c r="X35" s="37">
        <f>STDEV(K35:V35)/SQRT(COUNT(K35:V35))</f>
        <v>1.0925427685179157</v>
      </c>
      <c r="Y35" s="36">
        <f>MIN(K35:V35)</f>
        <v>45.45295153201441</v>
      </c>
      <c r="Z35" s="35">
        <f>QUARTILE(K35:V35,1)</f>
        <v>49.649286814695671</v>
      </c>
      <c r="AA35" s="36">
        <f>MEDIAN(K35:V35)</f>
        <v>53.410878097072683</v>
      </c>
      <c r="AB35" s="35">
        <f>QUARTILE(K35:V35,3)</f>
        <v>54.940129505895499</v>
      </c>
      <c r="AC35" s="35">
        <f>MAX(K35:V35)</f>
        <v>56.158112750022084</v>
      </c>
      <c r="AD35" s="35">
        <f>SKEW(K35:V35)</f>
        <v>-0.82344204925515674</v>
      </c>
      <c r="AE35" s="35">
        <f>KURT(K35:V35)</f>
        <v>-0.74256895950524804</v>
      </c>
    </row>
    <row r="36" spans="2:31" x14ac:dyDescent="0.2">
      <c r="B36" s="34">
        <f>[38]FormattedData!A88</f>
        <v>403</v>
      </c>
      <c r="C36" s="34" t="str">
        <f>VLOOKUP($B36,[38]TrtCodes!$B$11:I131,2)</f>
        <v>FDL</v>
      </c>
      <c r="D36" s="34">
        <f>VLOOKUP($B36,[38]TrtCodes!$B$11:J131,3)</f>
        <v>6</v>
      </c>
      <c r="E36" s="34">
        <f>VLOOKUP($B36,[38]TrtCodes!$B$11:K131,4)</f>
        <v>1</v>
      </c>
      <c r="F36" s="34">
        <f>VLOOKUP($B36,[38]TrtCodes!$B$11:L131,5)</f>
        <v>3</v>
      </c>
      <c r="G36" s="34">
        <f>VLOOKUP($B36,[38]TrtCodes!$B$11:M131,6)</f>
        <v>1</v>
      </c>
      <c r="H36" s="34">
        <f>VLOOKUP($B36,[38]TrtCodes!$B$11:N131,7)</f>
        <v>3</v>
      </c>
      <c r="I36" s="34">
        <f>[38]FormattedData!B88</f>
        <v>1</v>
      </c>
      <c r="J36" s="37">
        <f>[38]FormattedData!C88</f>
        <v>13.414999999999999</v>
      </c>
      <c r="K36" s="39">
        <f>$J$3+[38]FormattedData!D88*$J$4+$M$4*$J$5+[38]FormattedData!D88^2*$J$6+$M$5*$J$7</f>
        <v>56.158112750022084</v>
      </c>
      <c r="L36" s="39">
        <f>$J$3+[38]FormattedData!E88*$J$4+$M$4*$J$5+[38]FormattedData!E88^2*$J$6+$M$5*$J$7</f>
        <v>46.264170091438203</v>
      </c>
      <c r="M36" s="39">
        <f>$J$3+[38]FormattedData!F88*$J$4+$M$4*$J$5+[38]FormattedData!F88^2*$J$6+$M$5*$J$7</f>
        <v>54.532275275517662</v>
      </c>
      <c r="N36" s="39">
        <f>$J$3+[38]FormattedData!G88*$J$4+$M$4*$J$5+[38]FormattedData!G88^2*$J$6+$M$5*$J$7</f>
        <v>42.724162572578699</v>
      </c>
      <c r="O36" s="39">
        <f>$J$3+[38]FormattedData!H88*$J$4+$M$4*$J$5+[38]FormattedData!H88^2*$J$6+$M$5*$J$7</f>
        <v>52.804382677825117</v>
      </c>
      <c r="P36" s="39">
        <f>$J$3+[38]FormattedData!I88*$J$4+$M$4*$J$5+[38]FormattedData!I88^2*$J$6+$M$5*$J$7</f>
        <v>45.994144321804995</v>
      </c>
      <c r="Q36" s="39">
        <f>$J$3+[38]FormattedData!J88*$J$4+$M$4*$J$5+[38]FormattedData!J88^2*$J$6+$M$5*$J$7</f>
        <v>54.446282196743383</v>
      </c>
      <c r="R36" s="39">
        <f>$J$3+[38]FormattedData!K88*$J$4+$M$4*$J$5+[38]FormattedData!K88^2*$J$6+$M$5*$J$7</f>
        <v>43.911308461775562</v>
      </c>
      <c r="S36" s="39">
        <f>$J$3+[38]FormattedData!L88*$J$4+$M$4*$J$5+[38]FormattedData!L88^2*$J$6+$M$5*$J$7</f>
        <v>53.756815899183614</v>
      </c>
      <c r="T36" s="39">
        <f>$J$3+[38]FormattedData!M88*$J$4+$M$4*$J$5+[38]FormattedData!M88^2*$J$6+$M$5*$J$7</f>
        <v>44.366000950336684</v>
      </c>
      <c r="U36" s="39">
        <f>$J$3+[38]FormattedData!N88*$J$4+$M$4*$J$5+[38]FormattedData!N88^2*$J$6+$M$5*$J$7</f>
        <v>54.446282196743383</v>
      </c>
      <c r="V36" s="39">
        <f>$J$3+[38]FormattedData!O88*$J$4+$M$4*$J$5+[38]FormattedData!O88^2*$J$6+$M$5*$J$7</f>
        <v>43.546793637243908</v>
      </c>
      <c r="W36" s="38">
        <f>AVERAGE(K36:V36)</f>
        <v>49.412560919267776</v>
      </c>
      <c r="X36" s="37">
        <f>STDEV(K36:V36)/SQRT(COUNT(K36:V36))</f>
        <v>1.5305946353199047</v>
      </c>
      <c r="Y36" s="36">
        <f>MIN(K36:V36)</f>
        <v>42.724162572578699</v>
      </c>
      <c r="Z36" s="35">
        <f>QUARTILE(K36:V36,1)</f>
        <v>44.2523278281964</v>
      </c>
      <c r="AA36" s="36">
        <f>MEDIAN(K36:V36)</f>
        <v>49.53427638463166</v>
      </c>
      <c r="AB36" s="35">
        <f>QUARTILE(K36:V36,3)</f>
        <v>54.446282196743383</v>
      </c>
      <c r="AC36" s="35">
        <f>MAX(K36:V36)</f>
        <v>56.158112750022084</v>
      </c>
      <c r="AD36" s="35">
        <f>SKEW(K36:V36)</f>
        <v>-3.6564697412735388E-2</v>
      </c>
      <c r="AE36" s="35">
        <f>KURT(K36:V36)</f>
        <v>-2.1363193402870078</v>
      </c>
    </row>
    <row r="37" spans="2:31" x14ac:dyDescent="0.2">
      <c r="B37" s="34">
        <f>[38]FormattedData!A86</f>
        <v>404</v>
      </c>
      <c r="C37" s="34" t="str">
        <f>VLOOKUP($B37,[38]TrtCodes!$B$11:I129,2)</f>
        <v>FTH</v>
      </c>
      <c r="D37" s="34">
        <f>VLOOKUP($B37,[38]TrtCodes!$B$11:J129,3)</f>
        <v>3</v>
      </c>
      <c r="E37" s="34">
        <f>VLOOKUP($B37,[38]TrtCodes!$B$11:K129,4)</f>
        <v>1</v>
      </c>
      <c r="F37" s="34">
        <f>VLOOKUP($B37,[38]TrtCodes!$B$11:L129,5)</f>
        <v>2</v>
      </c>
      <c r="G37" s="34">
        <f>VLOOKUP($B37,[38]TrtCodes!$B$11:M129,6)</f>
        <v>2</v>
      </c>
      <c r="H37" s="34">
        <f>VLOOKUP($B37,[38]TrtCodes!$B$11:N129,7)</f>
        <v>3</v>
      </c>
      <c r="I37" s="34">
        <f>[38]FormattedData!B86</f>
        <v>1</v>
      </c>
      <c r="J37" s="37">
        <f>[38]FormattedData!C86</f>
        <v>13.391</v>
      </c>
      <c r="K37" s="39">
        <f>$J$3+[38]FormattedData!D86*$J$4+$M$4*$J$5+[38]FormattedData!D86^2*$J$6+$M$5*$J$7</f>
        <v>55.731740181874827</v>
      </c>
      <c r="L37" s="39">
        <f>$J$3+[38]FormattedData!E86*$J$4+$M$4*$J$5+[38]FormattedData!E86^2*$J$6+$M$5*$J$7</f>
        <v>55.218698238346391</v>
      </c>
      <c r="M37" s="39">
        <f>$J$3+[38]FormattedData!F86*$J$4+$M$4*$J$5+[38]FormattedData!F86^2*$J$6+$M$5*$J$7</f>
        <v>54.875824905235476</v>
      </c>
      <c r="N37" s="39">
        <f>$J$3+[38]FormattedData!G86*$J$4+$M$4*$J$5+[38]FormattedData!G86^2*$J$6+$M$5*$J$7</f>
        <v>43.82024315844955</v>
      </c>
      <c r="O37" s="39">
        <f>$J$3+[38]FormattedData!H86*$J$4+$M$4*$J$5+[38]FormattedData!H86^2*$J$6+$M$5*$J$7</f>
        <v>54.961606641320095</v>
      </c>
      <c r="P37" s="39">
        <f>$J$3+[38]FormattedData!I86*$J$4+$M$4*$J$5+[38]FormattedData!I86^2*$J$6+$M$5*$J$7</f>
        <v>53.670442403567947</v>
      </c>
      <c r="Q37" s="39">
        <f>$J$3+[38]FormattedData!J86*$J$4+$M$4*$J$5+[38]FormattedData!J86^2*$J$6+$M$5*$J$7</f>
        <v>55.218698238346391</v>
      </c>
      <c r="R37" s="39">
        <f>$J$3+[38]FormattedData!K86*$J$4+$M$4*$J$5+[38]FormattedData!K86^2*$J$6+$M$5*$J$7</f>
        <v>47.608592686983599</v>
      </c>
      <c r="S37" s="39">
        <f>$J$3+[38]FormattedData!L86*$J$4+$M$4*$J$5+[38]FormattedData!L86^2*$J$6+$M$5*$J$7</f>
        <v>52.456775268465911</v>
      </c>
      <c r="T37" s="39">
        <f>$J$3+[38]FormattedData!M86*$J$4+$M$4*$J$5+[38]FormattedData!M86^2*$J$6+$M$5*$J$7</f>
        <v>55.98769052837698</v>
      </c>
      <c r="U37" s="39">
        <f>$J$3+[38]FormattedData!N86*$J$4+$M$4*$J$5+[38]FormattedData!N86^2*$J$6+$M$5*$J$7</f>
        <v>54.360246849431171</v>
      </c>
      <c r="V37" s="39">
        <f>$J$3+[38]FormattedData!O86*$J$4+$M$4*$J$5+[38]FormattedData!O86^2*$J$6+$M$5*$J$7</f>
        <v>50.884172755839138</v>
      </c>
      <c r="W37" s="38">
        <f>AVERAGE(K37:V37)</f>
        <v>52.899560988019793</v>
      </c>
      <c r="X37" s="37">
        <f>STDEV(K37:V37)/SQRT(COUNT(K37:V37))</f>
        <v>1.0797246339396263</v>
      </c>
      <c r="Y37" s="36">
        <f>MIN(K37:V37)</f>
        <v>43.82024315844955</v>
      </c>
      <c r="Z37" s="35">
        <f>QUARTILE(K37:V37,1)</f>
        <v>52.063624640309214</v>
      </c>
      <c r="AA37" s="36">
        <f>MEDIAN(K37:V37)</f>
        <v>54.618035877333327</v>
      </c>
      <c r="AB37" s="35">
        <f>QUARTILE(K37:V37,3)</f>
        <v>55.218698238346391</v>
      </c>
      <c r="AC37" s="35">
        <f>MAX(K37:V37)</f>
        <v>55.98769052837698</v>
      </c>
      <c r="AD37" s="35">
        <f>SKEW(K37:V37)</f>
        <v>-1.6838599268570689</v>
      </c>
      <c r="AE37" s="35">
        <f>KURT(K37:V37)</f>
        <v>2.2846230486813139</v>
      </c>
    </row>
    <row r="38" spans="2:31" x14ac:dyDescent="0.2">
      <c r="B38" s="34">
        <f>[38]FormattedData!A84</f>
        <v>405</v>
      </c>
      <c r="C38" s="34" t="str">
        <f>VLOOKUP($B38,[38]TrtCodes!$B$11:I127,2)</f>
        <v>FDL</v>
      </c>
      <c r="D38" s="34">
        <f>VLOOKUP($B38,[38]TrtCodes!$B$11:J127,3)</f>
        <v>6</v>
      </c>
      <c r="E38" s="34">
        <f>VLOOKUP($B38,[38]TrtCodes!$B$11:K127,4)</f>
        <v>1</v>
      </c>
      <c r="F38" s="34">
        <f>VLOOKUP($B38,[38]TrtCodes!$B$11:L127,5)</f>
        <v>3</v>
      </c>
      <c r="G38" s="34">
        <f>VLOOKUP($B38,[38]TrtCodes!$B$11:M127,6)</f>
        <v>1</v>
      </c>
      <c r="H38" s="34">
        <f>VLOOKUP($B38,[38]TrtCodes!$B$11:N127,7)</f>
        <v>4</v>
      </c>
      <c r="I38" s="34">
        <f>[38]FormattedData!B84</f>
        <v>1</v>
      </c>
      <c r="J38" s="37">
        <f>[38]FormattedData!C84</f>
        <v>13.372999999999999</v>
      </c>
      <c r="K38" s="39">
        <f>$J$3+[38]FormattedData!D84*$J$4+$M$4*$J$5+[38]FormattedData!D84^2*$J$6+$M$5*$J$7</f>
        <v>56.072922773468498</v>
      </c>
      <c r="L38" s="39">
        <f>$J$3+[38]FormattedData!E84*$J$4+$M$4*$J$5+[38]FormattedData!E84^2*$J$6+$M$5*$J$7</f>
        <v>46.354094144240086</v>
      </c>
      <c r="M38" s="39">
        <f>$J$3+[38]FormattedData!F84*$J$4+$M$4*$J$5+[38]FormattedData!F84^2*$J$6+$M$5*$J$7</f>
        <v>55.13304330787556</v>
      </c>
      <c r="N38" s="39">
        <f>$J$3+[38]FormattedData!G84*$J$4+$M$4*$J$5+[38]FormattedData!G84^2*$J$6+$M$5*$J$7</f>
        <v>48.232735220817418</v>
      </c>
      <c r="O38" s="39">
        <f>$J$3+[38]FormattedData!H84*$J$4+$M$4*$J$5+[38]FormattedData!H84^2*$J$6+$M$5*$J$7</f>
        <v>55.560895274850409</v>
      </c>
      <c r="P38" s="39">
        <f>$J$3+[38]FormattedData!I84*$J$4+$M$4*$J$5+[38]FormattedData!I84^2*$J$6+$M$5*$J$7</f>
        <v>45.000795155729158</v>
      </c>
      <c r="Q38" s="39">
        <f>$J$3+[38]FormattedData!J84*$J$4+$M$4*$J$5+[38]FormattedData!J84^2*$J$6+$M$5*$J$7</f>
        <v>54.961606641320095</v>
      </c>
      <c r="R38" s="39">
        <f>$J$3+[38]FormattedData!K84*$J$4+$M$4*$J$5+[38]FormattedData!K84^2*$J$6+$M$5*$J$7</f>
        <v>55.90241601474753</v>
      </c>
      <c r="S38" s="39">
        <f>$J$3+[38]FormattedData!L84*$J$4+$M$4*$J$5+[38]FormattedData!L84^2*$J$6+$M$5*$J$7</f>
        <v>52.543740523612612</v>
      </c>
      <c r="T38" s="39">
        <f>$J$3+[38]FormattedData!M84*$J$4+$M$4*$J$5+[38]FormattedData!M84^2*$J$6+$M$5*$J$7</f>
        <v>52.630663510221382</v>
      </c>
      <c r="U38" s="39">
        <f>$J$3+[38]FormattedData!N84*$J$4+$M$4*$J$5+[38]FormattedData!N84^2*$J$6+$M$5*$J$7</f>
        <v>50.971898844668594</v>
      </c>
      <c r="V38" s="39">
        <f>$J$3+[38]FormattedData!O84*$J$4+$M$4*$J$5+[38]FormattedData!O84^2*$J$6+$M$5*$J$7</f>
        <v>49.651569315743956</v>
      </c>
      <c r="W38" s="38">
        <f>AVERAGE(K38:V38)</f>
        <v>51.918031727274602</v>
      </c>
      <c r="X38" s="37">
        <f>STDEV(K38:V38)/SQRT(COUNT(K38:V38))</f>
        <v>1.1191409337567502</v>
      </c>
      <c r="Y38" s="36">
        <f>MIN(K38:V38)</f>
        <v>45.000795155729158</v>
      </c>
      <c r="Z38" s="35">
        <f>QUARTILE(K38:V38,1)</f>
        <v>49.296860792012325</v>
      </c>
      <c r="AA38" s="36">
        <f>MEDIAN(K38:V38)</f>
        <v>52.587202016916997</v>
      </c>
      <c r="AB38" s="35">
        <f>QUARTILE(K38:V38,3)</f>
        <v>55.240006299619274</v>
      </c>
      <c r="AC38" s="35">
        <f>MAX(K38:V38)</f>
        <v>56.072922773468498</v>
      </c>
      <c r="AD38" s="35">
        <f>SKEW(K38:V38)</f>
        <v>-0.59988361120808398</v>
      </c>
      <c r="AE38" s="35">
        <f>KURT(K38:V38)</f>
        <v>-0.97891399269472812</v>
      </c>
    </row>
    <row r="39" spans="2:31" x14ac:dyDescent="0.2">
      <c r="B39" s="34">
        <f>[38]FormattedData!A82</f>
        <v>406</v>
      </c>
      <c r="C39" s="34" t="str">
        <f>VLOOKUP($B39,[38]TrtCodes!$B$11:I125,2)</f>
        <v>FTH</v>
      </c>
      <c r="D39" s="34">
        <f>VLOOKUP($B39,[38]TrtCodes!$B$11:J125,3)</f>
        <v>3</v>
      </c>
      <c r="E39" s="34">
        <f>VLOOKUP($B39,[38]TrtCodes!$B$11:K125,4)</f>
        <v>1</v>
      </c>
      <c r="F39" s="34">
        <f>VLOOKUP($B39,[38]TrtCodes!$B$11:L125,5)</f>
        <v>2</v>
      </c>
      <c r="G39" s="34">
        <f>VLOOKUP($B39,[38]TrtCodes!$B$11:M125,6)</f>
        <v>2</v>
      </c>
      <c r="H39" s="34">
        <f>VLOOKUP($B39,[38]TrtCodes!$B$11:N125,7)</f>
        <v>4</v>
      </c>
      <c r="I39" s="34">
        <f>[38]FormattedData!B82</f>
        <v>1</v>
      </c>
      <c r="J39" s="37">
        <f>[38]FormattedData!C82</f>
        <v>13.353</v>
      </c>
      <c r="K39" s="39">
        <f>$J$3+[38]FormattedData!D82*$J$4+$M$4*$J$5+[38]FormattedData!D82^2*$J$6+$M$5*$J$7</f>
        <v>55.646338862631588</v>
      </c>
      <c r="L39" s="39">
        <f>$J$3+[38]FormattedData!E82*$J$4+$M$4*$J$5+[38]FormattedData!E82^2*$J$6+$M$5*$J$7</f>
        <v>49.916396055211649</v>
      </c>
      <c r="M39" s="39">
        <f>$J$3+[38]FormattedData!F82*$J$4+$M$4*$J$5+[38]FormattedData!F82^2*$J$6+$M$5*$J$7</f>
        <v>55.13304330787556</v>
      </c>
      <c r="N39" s="39">
        <f>$J$3+[38]FormattedData!G82*$J$4+$M$4*$J$5+[38]FormattedData!G82^2*$J$6+$M$5*$J$7</f>
        <v>44.456812642435125</v>
      </c>
      <c r="O39" s="39">
        <f>$J$3+[38]FormattedData!H82*$J$4+$M$4*$J$5+[38]FormattedData!H82^2*$J$6+$M$5*$J$7</f>
        <v>53.064644415196248</v>
      </c>
      <c r="P39" s="39">
        <f>$J$3+[38]FormattedData!I82*$J$4+$M$4*$J$5+[38]FormattedData!I82^2*$J$6+$M$5*$J$7</f>
        <v>46.982378994791148</v>
      </c>
      <c r="Q39" s="39">
        <f>$J$3+[38]FormattedData!J82*$J$4+$M$4*$J$5+[38]FormattedData!J82^2*$J$6+$M$5*$J$7</f>
        <v>53.756815899183614</v>
      </c>
      <c r="R39" s="39">
        <f>$J$3+[38]FormattedData!K82*$J$4+$M$4*$J$5+[38]FormattedData!K82^2*$J$6+$M$5*$J$7</f>
        <v>50.620740878123172</v>
      </c>
      <c r="S39" s="39">
        <f>$J$3+[38]FormattedData!L82*$J$4+$M$4*$J$5+[38]FormattedData!L82^2*$J$6+$M$5*$J$7</f>
        <v>54.015682774802997</v>
      </c>
      <c r="T39" s="39">
        <f>$J$3+[38]FormattedData!M82*$J$4+$M$4*$J$5+[38]FormattedData!M82^2*$J$6+$M$5*$J$7</f>
        <v>49.12077458628444</v>
      </c>
      <c r="U39" s="39">
        <f>$J$3+[38]FormattedData!N82*$J$4+$M$4*$J$5+[38]FormattedData!N82^2*$J$6+$M$5*$J$7</f>
        <v>54.446282196743383</v>
      </c>
      <c r="V39" s="39">
        <f>$J$3+[38]FormattedData!O82*$J$4+$M$4*$J$5+[38]FormattedData!O82^2*$J$6+$M$5*$J$7</f>
        <v>47.608592686983599</v>
      </c>
      <c r="W39" s="38">
        <f>AVERAGE(K39:V39)</f>
        <v>51.230708608355208</v>
      </c>
      <c r="X39" s="37">
        <f>STDEV(K39:V39)/SQRT(COUNT(K39:V39))</f>
        <v>1.0523117925558827</v>
      </c>
      <c r="Y39" s="36">
        <f>MIN(K39:V39)</f>
        <v>44.456812642435125</v>
      </c>
      <c r="Z39" s="35">
        <f>QUARTILE(K39:V39,1)</f>
        <v>48.742729111459226</v>
      </c>
      <c r="AA39" s="36">
        <f>MEDIAN(K39:V39)</f>
        <v>51.842692646659714</v>
      </c>
      <c r="AB39" s="35">
        <f>QUARTILE(K39:V39,3)</f>
        <v>54.12333263028809</v>
      </c>
      <c r="AC39" s="35">
        <f>MAX(K39:V39)</f>
        <v>55.646338862631588</v>
      </c>
      <c r="AD39" s="35">
        <f>SKEW(K39:V39)</f>
        <v>-0.50503693944775352</v>
      </c>
      <c r="AE39" s="35">
        <f>KURT(K39:V39)</f>
        <v>-0.94796202517080586</v>
      </c>
    </row>
    <row r="40" spans="2:31" x14ac:dyDescent="0.2">
      <c r="B40" s="34">
        <f>[38]FormattedData!A80</f>
        <v>407</v>
      </c>
      <c r="C40" s="34" t="str">
        <f>VLOOKUP($B40,[38]TrtCodes!$B$11:I123,2)</f>
        <v>NSH</v>
      </c>
      <c r="D40" s="34">
        <f>VLOOKUP($B40,[38]TrtCodes!$B$11:J123,3)</f>
        <v>7</v>
      </c>
      <c r="E40" s="34">
        <f>VLOOKUP($B40,[38]TrtCodes!$B$11:K123,4)</f>
        <v>2</v>
      </c>
      <c r="F40" s="34">
        <f>VLOOKUP($B40,[38]TrtCodes!$B$11:L123,5)</f>
        <v>1</v>
      </c>
      <c r="G40" s="34">
        <f>VLOOKUP($B40,[38]TrtCodes!$B$11:M123,6)</f>
        <v>2</v>
      </c>
      <c r="H40" s="34">
        <f>VLOOKUP($B40,[38]TrtCodes!$B$11:N123,7)</f>
        <v>4</v>
      </c>
      <c r="I40" s="34">
        <f>[38]FormattedData!B80</f>
        <v>1</v>
      </c>
      <c r="J40" s="37">
        <f>[38]FormattedData!C80</f>
        <v>13.332000000000001</v>
      </c>
      <c r="K40" s="39">
        <f>$J$3+[38]FormattedData!D80*$J$4+$M$4*$J$5+[38]FormattedData!D80^2*$J$6+$M$5*$J$7</f>
        <v>54.532275275517662</v>
      </c>
      <c r="L40" s="39">
        <f>$J$3+[38]FormattedData!E80*$J$4+$M$4*$J$5+[38]FormattedData!E80^2*$J$6+$M$5*$J$7</f>
        <v>53.324525735725992</v>
      </c>
      <c r="M40" s="39">
        <f>$J$3+[38]FormattedData!F80*$J$4+$M$4*$J$5+[38]FormattedData!F80^2*$J$6+$M$5*$J$7</f>
        <v>53.756815899183614</v>
      </c>
      <c r="N40" s="39">
        <f>$J$3+[38]FormattedData!G80*$J$4+$M$4*$J$5+[38]FormattedData!G80^2*$J$6+$M$5*$J$7</f>
        <v>49.82816274392701</v>
      </c>
      <c r="O40" s="39">
        <f>$J$3+[38]FormattedData!H80*$J$4+$M$4*$J$5+[38]FormattedData!H80^2*$J$6+$M$5*$J$7</f>
        <v>53.584026639414347</v>
      </c>
      <c r="P40" s="39">
        <f>$J$3+[38]FormattedData!I80*$J$4+$M$4*$J$5+[38]FormattedData!I80^2*$J$6+$M$5*$J$7</f>
        <v>55.30431090027929</v>
      </c>
      <c r="Q40" s="39">
        <f>$J$3+[38]FormattedData!J80*$J$4+$M$4*$J$5+[38]FormattedData!J80^2*$J$6+$M$5*$J$7</f>
        <v>55.13304330787556</v>
      </c>
      <c r="R40" s="39">
        <f>$J$3+[38]FormattedData!K80*$J$4+$M$4*$J$5+[38]FormattedData!K80^2*$J$6+$M$5*$J$7</f>
        <v>52.369767744781285</v>
      </c>
      <c r="S40" s="39">
        <f>$J$3+[38]FormattedData!L80*$J$4+$M$4*$J$5+[38]FormattedData!L80^2*$J$6+$M$5*$J$7</f>
        <v>54.101887196266944</v>
      </c>
      <c r="T40" s="39">
        <f>$J$3+[38]FormattedData!M80*$J$4+$M$4*$J$5+[38]FormattedData!M80^2*$J$6+$M$5*$J$7</f>
        <v>50.971898844668594</v>
      </c>
      <c r="U40" s="39">
        <f>$J$3+[38]FormattedData!N80*$J$4+$M$4*$J$5+[38]FormattedData!N80^2*$J$6+$M$5*$J$7</f>
        <v>54.101887196266944</v>
      </c>
      <c r="V40" s="39">
        <f>$J$3+[38]FormattedData!O80*$J$4+$M$4*$J$5+[38]FormattedData!O80^2*$J$6+$M$5*$J$7</f>
        <v>53.324525735725992</v>
      </c>
      <c r="W40" s="38">
        <f>AVERAGE(K40:V40)</f>
        <v>53.361093934969425</v>
      </c>
      <c r="X40" s="37">
        <f>STDEV(K40:V40)/SQRT(COUNT(K40:V40))</f>
        <v>0.46682896034325677</v>
      </c>
      <c r="Y40" s="36">
        <f>MIN(K40:V40)</f>
        <v>49.82816274392701</v>
      </c>
      <c r="Z40" s="35">
        <f>QUARTILE(K40:V40,1)</f>
        <v>53.085836237989817</v>
      </c>
      <c r="AA40" s="36">
        <f>MEDIAN(K40:V40)</f>
        <v>53.670421269298984</v>
      </c>
      <c r="AB40" s="35">
        <f>QUARTILE(K40:V40,3)</f>
        <v>54.209484216079623</v>
      </c>
      <c r="AC40" s="35">
        <f>MAX(K40:V40)</f>
        <v>55.30431090027929</v>
      </c>
      <c r="AD40" s="35">
        <f>SKEW(K40:V40)</f>
        <v>-1.1173345963553083</v>
      </c>
      <c r="AE40" s="35">
        <f>KURT(K40:V40)</f>
        <v>0.94272913041842443</v>
      </c>
    </row>
    <row r="41" spans="2:31" x14ac:dyDescent="0.2">
      <c r="B41" s="34">
        <f>[38]FormattedData!A78</f>
        <v>408</v>
      </c>
      <c r="C41" s="34" t="str">
        <f>VLOOKUP($B41,[38]TrtCodes!$B$11:I121,2)</f>
        <v>NTL</v>
      </c>
      <c r="D41" s="34">
        <f>VLOOKUP($B41,[38]TrtCodes!$B$11:J121,3)</f>
        <v>10</v>
      </c>
      <c r="E41" s="34">
        <f>VLOOKUP($B41,[38]TrtCodes!$B$11:K121,4)</f>
        <v>2</v>
      </c>
      <c r="F41" s="34">
        <f>VLOOKUP($B41,[38]TrtCodes!$B$11:L121,5)</f>
        <v>2</v>
      </c>
      <c r="G41" s="34">
        <f>VLOOKUP($B41,[38]TrtCodes!$B$11:M121,6)</f>
        <v>1</v>
      </c>
      <c r="H41" s="34">
        <f>VLOOKUP($B41,[38]TrtCodes!$B$11:N121,7)</f>
        <v>4</v>
      </c>
      <c r="I41" s="34">
        <f>[38]FormattedData!B78</f>
        <v>1</v>
      </c>
      <c r="J41" s="37">
        <f>[38]FormattedData!C78</f>
        <v>13.314</v>
      </c>
      <c r="K41" s="39">
        <f>$J$3+[38]FormattedData!D78*$J$4+$M$4*$J$5+[38]FormattedData!D78^2*$J$6+$M$5*$J$7</f>
        <v>55.560895274850409</v>
      </c>
      <c r="L41" s="39">
        <f>$J$3+[38]FormattedData!E78*$J$4+$M$4*$J$5+[38]FormattedData!E78^2*$J$6+$M$5*$J$7</f>
        <v>55.560895274850409</v>
      </c>
      <c r="M41" s="39">
        <f>$J$3+[38]FormattedData!F78*$J$4+$M$4*$J$5+[38]FormattedData!F78^2*$J$6+$M$5*$J$7</f>
        <v>51.672185887938738</v>
      </c>
      <c r="N41" s="39">
        <f>$J$3+[38]FormattedData!G78*$J$4+$M$4*$J$5+[38]FormattedData!G78^2*$J$6+$M$5*$J$7</f>
        <v>51.584797947412724</v>
      </c>
      <c r="O41" s="39">
        <f>$J$3+[38]FormattedData!H78*$J$4+$M$4*$J$5+[38]FormattedData!H78^2*$J$6+$M$5*$J$7</f>
        <v>54.961606641320095</v>
      </c>
      <c r="P41" s="39">
        <f>$J$3+[38]FormattedData!I78*$J$4+$M$4*$J$5+[38]FormattedData!I78^2*$J$6+$M$5*$J$7</f>
        <v>48.766066062552802</v>
      </c>
      <c r="Q41" s="39">
        <f>$J$3+[38]FormattedData!J78*$J$4+$M$4*$J$5+[38]FormattedData!J78^2*$J$6+$M$5*$J$7</f>
        <v>54.704134627452433</v>
      </c>
      <c r="R41" s="39">
        <f>$J$3+[38]FormattedData!K78*$J$4+$M$4*$J$5+[38]FormattedData!K78^2*$J$6+$M$5*$J$7</f>
        <v>51.846834963376956</v>
      </c>
      <c r="S41" s="39">
        <f>$J$3+[38]FormattedData!L78*$J$4+$M$4*$J$5+[38]FormattedData!L78^2*$J$6+$M$5*$J$7</f>
        <v>54.446282196743383</v>
      </c>
      <c r="T41" s="39">
        <f>$J$3+[38]FormattedData!M78*$J$4+$M$4*$J$5+[38]FormattedData!M78^2*$J$6+$M$5*$J$7</f>
        <v>47.608592686983599</v>
      </c>
      <c r="U41" s="39">
        <f>$J$3+[38]FormattedData!N78*$J$4+$M$4*$J$5+[38]FormattedData!N78^2*$J$6+$M$5*$J$7</f>
        <v>54.704134627452433</v>
      </c>
      <c r="V41" s="39">
        <f>$J$3+[38]FormattedData!O78*$J$4+$M$4*$J$5+[38]FormattedData!O78^2*$J$6+$M$5*$J$7</f>
        <v>44.002331496563656</v>
      </c>
      <c r="W41" s="38">
        <f>AVERAGE(K41:V41)</f>
        <v>52.11822980729147</v>
      </c>
      <c r="X41" s="37">
        <f>STDEV(K41:V41)/SQRT(COUNT(K41:V41))</f>
        <v>1.0609498041568293</v>
      </c>
      <c r="Y41" s="36">
        <f>MIN(K41:V41)</f>
        <v>44.002331496563656</v>
      </c>
      <c r="Z41" s="35">
        <f>QUARTILE(K41:V41,1)</f>
        <v>50.880114976197746</v>
      </c>
      <c r="AA41" s="36">
        <f>MEDIAN(K41:V41)</f>
        <v>53.146558580060173</v>
      </c>
      <c r="AB41" s="35">
        <f>QUARTILE(K41:V41,3)</f>
        <v>54.76850263091935</v>
      </c>
      <c r="AC41" s="35">
        <f>MAX(K41:V41)</f>
        <v>55.560895274850409</v>
      </c>
      <c r="AD41" s="35">
        <f>SKEW(K41:V41)</f>
        <v>-1.1260585241219823</v>
      </c>
      <c r="AE41" s="35">
        <f>KURT(K41:V41)</f>
        <v>0.58181872338917184</v>
      </c>
    </row>
    <row r="42" spans="2:31" x14ac:dyDescent="0.2">
      <c r="B42" s="50">
        <f>[38]FormattedData!A60</f>
        <v>901</v>
      </c>
      <c r="C42" s="50" t="str">
        <f>VLOOKUP($B42,[38]TrtCodes!$B$11:I103,2)</f>
        <v>WS</v>
      </c>
      <c r="D42" s="50">
        <f>VLOOKUP($B42,[38]TrtCodes!$B$11:J103,3)</f>
        <v>32</v>
      </c>
      <c r="E42" s="50">
        <f>VLOOKUP($B42,[38]TrtCodes!$B$11:K103,4)</f>
        <v>9</v>
      </c>
      <c r="F42" s="50">
        <f>VLOOKUP($B42,[38]TrtCodes!$B$11:L103,5)</f>
        <v>0</v>
      </c>
      <c r="G42" s="50">
        <f>VLOOKUP($B42,[38]TrtCodes!$B$11:M103,6)</f>
        <v>1</v>
      </c>
      <c r="H42" s="50">
        <f>VLOOKUP($B42,[38]TrtCodes!$B$11:N103,7)</f>
        <v>1</v>
      </c>
      <c r="I42" s="50">
        <f>[38]FormattedData!B60</f>
        <v>1</v>
      </c>
      <c r="J42" s="48">
        <f>[38]FormattedData!C60</f>
        <v>13.157</v>
      </c>
      <c r="K42" s="47">
        <f>$J$3+[38]FormattedData!D60*$J$4+$M$4*$J$5+[38]FormattedData!D60^2*$J$6+$M$5*$J$7</f>
        <v>32.585537173947301</v>
      </c>
      <c r="L42" s="47">
        <f>$J$3+[38]FormattedData!E60*$J$4+$M$4*$J$5+[38]FormattedData!E60^2*$J$6+$M$5*$J$7</f>
        <v>32.393135312578003</v>
      </c>
      <c r="M42" s="47">
        <f>$J$3+[38]FormattedData!F60*$J$4+$M$4*$J$5+[38]FormattedData!F60^2*$J$6+$M$5*$J$7</f>
        <v>31.525234643788544</v>
      </c>
      <c r="N42" s="47">
        <f>$J$3+[38]FormattedData!G60*$J$4+$M$4*$J$5+[38]FormattedData!G60^2*$J$6+$M$5*$J$7</f>
        <v>32.969833674230735</v>
      </c>
      <c r="O42" s="47">
        <f>$J$3+[38]FormattedData!H60*$J$4+$M$4*$J$5+[38]FormattedData!H60^2*$J$6+$M$5*$J$7</f>
        <v>32.777769961164879</v>
      </c>
      <c r="P42" s="47">
        <f>$J$3+[38]FormattedData!I60*$J$4+$M$4*$J$5+[38]FormattedData!I60^2*$J$6+$M$5*$J$7</f>
        <v>32.393135312578003</v>
      </c>
      <c r="Q42" s="47">
        <f>$J$3+[38]FormattedData!J60*$J$4+$M$4*$J$5+[38]FormattedData!J60^2*$J$6+$M$5*$J$7</f>
        <v>32.585537173947301</v>
      </c>
      <c r="R42" s="47">
        <f>$J$3+[38]FormattedData!K60*$J$4+$M$4*$J$5+[38]FormattedData!K60^2*$J$6+$M$5*$J$7</f>
        <v>31.138402031229241</v>
      </c>
      <c r="S42" s="47">
        <f>$J$3+[38]FormattedData!L60*$J$4+$M$4*$J$5+[38]FormattedData!L60^2*$J$6+$M$5*$J$7</f>
        <v>31.138402031229241</v>
      </c>
      <c r="T42" s="47">
        <f>$J$3+[38]FormattedData!M60*$J$4+$M$4*$J$5+[38]FormattedData!M60^2*$J$6+$M$5*$J$7</f>
        <v>31.718397338840603</v>
      </c>
      <c r="U42" s="47">
        <f>$J$3+[38]FormattedData!N60*$J$4+$M$4*$J$5+[38]FormattedData!N60^2*$J$6+$M$5*$J$7</f>
        <v>31.525234643788544</v>
      </c>
      <c r="V42" s="47">
        <f>$J$3+[38]FormattedData!O60*$J$4+$M$4*$J$5+[38]FormattedData!O60^2*$J$6+$M$5*$J$7</f>
        <v>32.777769961164879</v>
      </c>
      <c r="W42" s="49">
        <f>AVERAGE(K42:V42)</f>
        <v>32.127365771540603</v>
      </c>
      <c r="X42" s="48">
        <f>STDEV(K42:V42)/SQRT(COUNT(K42:V42))</f>
        <v>0.19394996779355825</v>
      </c>
      <c r="Y42" s="47">
        <f>MIN(K42:V42)</f>
        <v>31.138402031229241</v>
      </c>
      <c r="Z42" s="46">
        <f>QUARTILE(K42:V42,1)</f>
        <v>31.525234643788544</v>
      </c>
      <c r="AA42" s="47">
        <f>MEDIAN(K42:V42)</f>
        <v>32.393135312578003</v>
      </c>
      <c r="AB42" s="46">
        <f>QUARTILE(K42:V42,3)</f>
        <v>32.633595370751692</v>
      </c>
      <c r="AC42" s="46">
        <f>MAX(K42:V42)</f>
        <v>32.969833674230735</v>
      </c>
      <c r="AD42" s="46">
        <f>SKEW(K42:V42)</f>
        <v>-0.38179525375316836</v>
      </c>
      <c r="AE42" s="46">
        <f>KURT(K42:V42)</f>
        <v>-1.5866548544041401</v>
      </c>
    </row>
    <row r="43" spans="2:31" x14ac:dyDescent="0.2">
      <c r="B43" s="34">
        <f>[38]FormattedData!A58</f>
        <v>902</v>
      </c>
      <c r="C43" s="34" t="str">
        <f>VLOOKUP($B43,[38]TrtCodes!$B$11:I101,2)</f>
        <v>Late</v>
      </c>
      <c r="D43" s="34">
        <f>VLOOKUP($B43,[38]TrtCodes!$B$11:J101,3)</f>
        <v>22</v>
      </c>
      <c r="E43" s="34">
        <f>VLOOKUP($B43,[38]TrtCodes!$B$11:K101,4)</f>
        <v>4</v>
      </c>
      <c r="F43" s="34">
        <f>VLOOKUP($B43,[38]TrtCodes!$B$11:L101,5)</f>
        <v>2</v>
      </c>
      <c r="G43" s="34">
        <f>VLOOKUP($B43,[38]TrtCodes!$B$11:M101,6)</f>
        <v>2</v>
      </c>
      <c r="H43" s="34">
        <f>VLOOKUP($B43,[38]TrtCodes!$B$11:N101,7)</f>
        <v>1</v>
      </c>
      <c r="I43" s="34">
        <f>[38]FormattedData!B58</f>
        <v>1</v>
      </c>
      <c r="J43" s="37">
        <f>[38]FormattedData!C58</f>
        <v>13.141999999999999</v>
      </c>
      <c r="K43" s="39">
        <f>$J$3+[38]FormattedData!D58*$J$4+$M$4*$J$5+[38]FormattedData!D58^2*$J$6+$M$5*$J$7</f>
        <v>56.243260458037746</v>
      </c>
      <c r="L43" s="39">
        <f>$J$3+[38]FormattedData!E58*$J$4+$M$4*$J$5+[38]FormattedData!E58^2*$J$6+$M$5*$J$7</f>
        <v>52.021314964663461</v>
      </c>
      <c r="M43" s="39">
        <f>$J$3+[38]FormattedData!F58*$J$4+$M$4*$J$5+[38]FormattedData!F58^2*$J$6+$M$5*$J$7</f>
        <v>56.158112750022084</v>
      </c>
      <c r="N43" s="39">
        <f>$J$3+[38]FormattedData!G58*$J$4+$M$4*$J$5+[38]FormattedData!G58^2*$J$6+$M$5*$J$7</f>
        <v>48.677283260275068</v>
      </c>
      <c r="O43" s="39">
        <f>$J$3+[38]FormattedData!H58*$J$4+$M$4*$J$5+[38]FormattedData!H58^2*$J$6+$M$5*$J$7</f>
        <v>55.560895274850409</v>
      </c>
      <c r="P43" s="39">
        <f>$J$3+[38]FormattedData!I58*$J$4+$M$4*$J$5+[38]FormattedData!I58^2*$J$6+$M$5*$J$7</f>
        <v>50.708593772566424</v>
      </c>
      <c r="Q43" s="39">
        <f>$J$3+[38]FormattedData!J58*$J$4+$M$4*$J$5+[38]FormattedData!J58^2*$J$6+$M$5*$J$7</f>
        <v>56.498449970857138</v>
      </c>
      <c r="R43" s="39">
        <f>$J$3+[38]FormattedData!K58*$J$4+$M$4*$J$5+[38]FormattedData!K58^2*$J$6+$M$5*$J$7</f>
        <v>49.03216085815842</v>
      </c>
      <c r="S43" s="39">
        <f>$J$3+[38]FormattedData!L58*$J$4+$M$4*$J$5+[38]FormattedData!L58^2*$J$6+$M$5*$J$7</f>
        <v>54.704134627452433</v>
      </c>
      <c r="T43" s="39">
        <f>$J$3+[38]FormattedData!M58*$J$4+$M$4*$J$5+[38]FormattedData!M58^2*$J$6+$M$5*$J$7</f>
        <v>50.620740878123172</v>
      </c>
      <c r="U43" s="39">
        <f>$J$3+[38]FormattedData!N58*$J$4+$M$4*$J$5+[38]FormattedData!N58^2*$J$6+$M$5*$J$7</f>
        <v>54.27416923358102</v>
      </c>
      <c r="V43" s="39">
        <f>$J$3+[38]FormattedData!O58*$J$4+$M$4*$J$5+[38]FormattedData!O58^2*$J$6+$M$5*$J$7</f>
        <v>50.268906614970859</v>
      </c>
      <c r="W43" s="38">
        <f>AVERAGE(K43:V43)</f>
        <v>52.897335221963196</v>
      </c>
      <c r="X43" s="37">
        <f>STDEV(K43:V43)/SQRT(COUNT(K43:V43))</f>
        <v>0.85921295973842282</v>
      </c>
      <c r="Y43" s="36">
        <f>MIN(K43:V43)</f>
        <v>48.677283260275068</v>
      </c>
      <c r="Z43" s="35">
        <f>QUARTILE(K43:V43,1)</f>
        <v>50.532782312335094</v>
      </c>
      <c r="AA43" s="36">
        <f>MEDIAN(K43:V43)</f>
        <v>53.14774209912224</v>
      </c>
      <c r="AB43" s="35">
        <f>QUARTILE(K43:V43,3)</f>
        <v>55.710199643643328</v>
      </c>
      <c r="AC43" s="35">
        <f>MAX(K43:V43)</f>
        <v>56.498449970857138</v>
      </c>
      <c r="AD43" s="35">
        <f>SKEW(K43:V43)</f>
        <v>-0.11493541505217786</v>
      </c>
      <c r="AE43" s="35">
        <f>KURT(K43:V43)</f>
        <v>-1.8054312228286342</v>
      </c>
    </row>
    <row r="44" spans="2:31" x14ac:dyDescent="0.2">
      <c r="B44" s="50">
        <f>[38]FormattedData!A56</f>
        <v>903</v>
      </c>
      <c r="C44" s="50" t="str">
        <f>VLOOKUP($B44,[38]TrtCodes!$B$11:I99,2)</f>
        <v>DS</v>
      </c>
      <c r="D44" s="50">
        <f>VLOOKUP($B44,[38]TrtCodes!$B$11:J99,3)</f>
        <v>31</v>
      </c>
      <c r="E44" s="50">
        <f>VLOOKUP($B44,[38]TrtCodes!$B$11:K99,4)</f>
        <v>8</v>
      </c>
      <c r="F44" s="50">
        <f>VLOOKUP($B44,[38]TrtCodes!$B$11:L99,5)</f>
        <v>0</v>
      </c>
      <c r="G44" s="50">
        <f>VLOOKUP($B44,[38]TrtCodes!$B$11:M99,6)</f>
        <v>1</v>
      </c>
      <c r="H44" s="50">
        <f>VLOOKUP($B44,[38]TrtCodes!$B$11:N99,7)</f>
        <v>1</v>
      </c>
      <c r="I44" s="50">
        <f>[38]FormattedData!B56</f>
        <v>1</v>
      </c>
      <c r="J44" s="48">
        <f>[38]FormattedData!C56</f>
        <v>13.135</v>
      </c>
      <c r="K44" s="47">
        <f>$J$3+[38]FormattedData!D56*$J$4+$M$4*$J$5+[38]FormattedData!D56^2*$J$6+$M$5*$J$7</f>
        <v>59.113132750501101</v>
      </c>
      <c r="L44" s="47">
        <f>$J$3+[38]FormattedData!E56*$J$4+$M$4*$J$5+[38]FormattedData!E56^2*$J$6+$M$5*$J$7</f>
        <v>59.196801059689179</v>
      </c>
      <c r="M44" s="47">
        <f>$J$3+[38]FormattedData!F56*$J$4+$M$4*$J$5+[38]FormattedData!F56^2*$J$6+$M$5*$J$7</f>
        <v>59.196801059689179</v>
      </c>
      <c r="N44" s="47">
        <f>$J$3+[38]FormattedData!G56*$J$4+$M$4*$J$5+[38]FormattedData!G56^2*$J$6+$M$5*$J$7</f>
        <v>58.94566932651118</v>
      </c>
      <c r="O44" s="47">
        <f>$J$3+[38]FormattedData!H56*$J$4+$M$4*$J$5+[38]FormattedData!H56^2*$J$6+$M$5*$J$7</f>
        <v>58.610235256076137</v>
      </c>
      <c r="P44" s="47">
        <f>$J$3+[38]FormattedData!I56*$J$4+$M$4*$J$5+[38]FormattedData!I56^2*$J$6+$M$5*$J$7</f>
        <v>58.94566932651118</v>
      </c>
      <c r="Q44" s="47">
        <f>$J$3+[38]FormattedData!J56*$J$4+$M$4*$J$5+[38]FormattedData!J56^2*$J$6+$M$5*$J$7</f>
        <v>58.610235256076137</v>
      </c>
      <c r="R44" s="47">
        <f>$J$3+[38]FormattedData!K56*$J$4+$M$4*$J$5+[38]FormattedData!K56^2*$J$6+$M$5*$J$7</f>
        <v>58.610235256076137</v>
      </c>
      <c r="S44" s="47">
        <f>$J$3+[38]FormattedData!L56*$J$4+$M$4*$J$5+[38]FormattedData!L56^2*$J$6+$M$5*$J$7</f>
        <v>58.526271067122558</v>
      </c>
      <c r="T44" s="47">
        <f>$J$3+[38]FormattedData!M56*$J$4+$M$4*$J$5+[38]FormattedData!M56^2*$J$6+$M$5*$J$7</f>
        <v>58.358215883601581</v>
      </c>
      <c r="U44" s="47">
        <f>$J$3+[38]FormattedData!N56*$J$4+$M$4*$J$5+[38]FormattedData!N56^2*$J$6+$M$5*$J$7</f>
        <v>58.105816094285657</v>
      </c>
      <c r="V44" s="47">
        <f>$J$3+[38]FormattedData!O56*$J$4+$M$4*$J$5+[38]FormattedData!O56^2*$J$6+$M$5*$J$7</f>
        <v>58.442264609631039</v>
      </c>
      <c r="W44" s="49">
        <f>AVERAGE(K44:V44)</f>
        <v>58.721778912147578</v>
      </c>
      <c r="X44" s="48">
        <f>STDEV(K44:V44)/SQRT(COUNT(K44:V44))</f>
        <v>0.10187520353252903</v>
      </c>
      <c r="Y44" s="47">
        <f>MIN(K44:V44)</f>
        <v>58.105816094285657</v>
      </c>
      <c r="Z44" s="46">
        <f>QUARTILE(K44:V44,1)</f>
        <v>58.50526945274968</v>
      </c>
      <c r="AA44" s="47">
        <f>MEDIAN(K44:V44)</f>
        <v>58.610235256076137</v>
      </c>
      <c r="AB44" s="46">
        <f>QUARTILE(K44:V44,3)</f>
        <v>58.987535182508658</v>
      </c>
      <c r="AC44" s="46">
        <f>MAX(K44:V44)</f>
        <v>59.196801059689179</v>
      </c>
      <c r="AD44" s="46">
        <f>SKEW(K44:V44)</f>
        <v>-4.5852269055981727E-2</v>
      </c>
      <c r="AE44" s="46">
        <f>KURT(K44:V44)</f>
        <v>-0.98798031414613252</v>
      </c>
    </row>
    <row r="45" spans="2:31" x14ac:dyDescent="0.2">
      <c r="B45" s="34">
        <f>[38]FormattedData!A54</f>
        <v>904</v>
      </c>
      <c r="C45" s="34" t="str">
        <f>VLOOKUP($B45,[38]TrtCodes!$B$11:I97,2)</f>
        <v>Early</v>
      </c>
      <c r="D45" s="34">
        <f>VLOOKUP($B45,[38]TrtCodes!$B$11:J97,3)</f>
        <v>21</v>
      </c>
      <c r="E45" s="34">
        <f>VLOOKUP($B45,[38]TrtCodes!$B$11:K97,4)</f>
        <v>3</v>
      </c>
      <c r="F45" s="34">
        <f>VLOOKUP($B45,[38]TrtCodes!$B$11:L97,5)</f>
        <v>2</v>
      </c>
      <c r="G45" s="34">
        <f>VLOOKUP($B45,[38]TrtCodes!$B$11:M97,6)</f>
        <v>2</v>
      </c>
      <c r="H45" s="34">
        <f>VLOOKUP($B45,[38]TrtCodes!$B$11:N97,7)</f>
        <v>1</v>
      </c>
      <c r="I45" s="34">
        <f>[38]FormattedData!B54</f>
        <v>1</v>
      </c>
      <c r="J45" s="37">
        <f>[38]FormattedData!C54</f>
        <v>13.119</v>
      </c>
      <c r="K45" s="39">
        <f>$J$3+[38]FormattedData!D54*$J$4+$M$4*$J$5+[38]FormattedData!D54^2*$J$6+$M$5*$J$7</f>
        <v>57.515403853720883</v>
      </c>
      <c r="L45" s="39">
        <f>$J$3+[38]FormattedData!E54*$J$4+$M$4*$J$5+[38]FormattedData!E54^2*$J$6+$M$5*$J$7</f>
        <v>54.790000900612924</v>
      </c>
      <c r="M45" s="39">
        <f>$J$3+[38]FormattedData!F54*$J$4+$M$4*$J$5+[38]FormattedData!F54^2*$J$6+$M$5*$J$7</f>
        <v>54.532275275517662</v>
      </c>
      <c r="N45" s="39">
        <f>$J$3+[38]FormattedData!G54*$J$4+$M$4*$J$5+[38]FormattedData!G54^2*$J$6+$M$5*$J$7</f>
        <v>44.184250760526034</v>
      </c>
      <c r="O45" s="39">
        <f>$J$3+[38]FormattedData!H54*$J$4+$M$4*$J$5+[38]FormattedData!H54^2*$J$6+$M$5*$J$7</f>
        <v>56.072922773468498</v>
      </c>
      <c r="P45" s="39">
        <f>$J$3+[38]FormattedData!I54*$J$4+$M$4*$J$5+[38]FormattedData!I54^2*$J$6+$M$5*$J$7</f>
        <v>48.143698807312092</v>
      </c>
      <c r="Q45" s="39">
        <f>$J$3+[38]FormattedData!J54*$J$4+$M$4*$J$5+[38]FormattedData!J54^2*$J$6+$M$5*$J$7</f>
        <v>56.838110895085286</v>
      </c>
      <c r="R45" s="39">
        <f>$J$3+[38]FormattedData!K54*$J$4+$M$4*$J$5+[38]FormattedData!K54^2*$J$6+$M$5*$J$7</f>
        <v>44.184250760526034</v>
      </c>
      <c r="S45" s="39">
        <f>$J$3+[38]FormattedData!L54*$J$4+$M$4*$J$5+[38]FormattedData!L54^2*$J$6+$M$5*$J$7</f>
        <v>54.360246849431171</v>
      </c>
      <c r="T45" s="39">
        <f>$J$3+[38]FormattedData!M54*$J$4+$M$4*$J$5+[38]FormattedData!M54^2*$J$6+$M$5*$J$7</f>
        <v>45.000795155729158</v>
      </c>
      <c r="U45" s="39">
        <f>$J$3+[38]FormattedData!N54*$J$4+$M$4*$J$5+[38]FormattedData!N54^2*$J$6+$M$5*$J$7</f>
        <v>55.30431090027929</v>
      </c>
      <c r="V45" s="39">
        <f>$J$3+[38]FormattedData!O54*$J$4+$M$4*$J$5+[38]FormattedData!O54^2*$J$6+$M$5*$J$7</f>
        <v>51.234823499929384</v>
      </c>
      <c r="W45" s="38">
        <f>AVERAGE(K45:V45)</f>
        <v>51.84675753601153</v>
      </c>
      <c r="X45" s="37">
        <f>STDEV(K45:V45)/SQRT(COUNT(K45:V45))</f>
        <v>1.47565329950862</v>
      </c>
      <c r="Y45" s="36">
        <f>MIN(K45:V45)</f>
        <v>44.184250760526034</v>
      </c>
      <c r="Z45" s="35">
        <f>QUARTILE(K45:V45,1)</f>
        <v>47.357972894416356</v>
      </c>
      <c r="AA45" s="36">
        <f>MEDIAN(K45:V45)</f>
        <v>54.44626106247442</v>
      </c>
      <c r="AB45" s="35">
        <f>QUARTILE(K45:V45,3)</f>
        <v>55.496463868576591</v>
      </c>
      <c r="AC45" s="35">
        <f>MAX(K45:V45)</f>
        <v>57.515403853720883</v>
      </c>
      <c r="AD45" s="35">
        <f>SKEW(K45:V45)</f>
        <v>-0.64322376717201224</v>
      </c>
      <c r="AE45" s="35">
        <f>KURT(K45:V45)</f>
        <v>-1.3652202443543762</v>
      </c>
    </row>
    <row r="46" spans="2:31" x14ac:dyDescent="0.2">
      <c r="B46" s="50">
        <f>[38]FormattedData!A52</f>
        <v>905</v>
      </c>
      <c r="C46" s="50" t="str">
        <f>VLOOKUP($B46,[38]TrtCodes!$B$11:I95,2)</f>
        <v>WS</v>
      </c>
      <c r="D46" s="50">
        <f>VLOOKUP($B46,[38]TrtCodes!$B$11:J95,3)</f>
        <v>32</v>
      </c>
      <c r="E46" s="50">
        <f>VLOOKUP($B46,[38]TrtCodes!$B$11:K95,4)</f>
        <v>9</v>
      </c>
      <c r="F46" s="50">
        <f>VLOOKUP($B46,[38]TrtCodes!$B$11:L95,5)</f>
        <v>0</v>
      </c>
      <c r="G46" s="50">
        <f>VLOOKUP($B46,[38]TrtCodes!$B$11:M95,6)</f>
        <v>1</v>
      </c>
      <c r="H46" s="50">
        <f>VLOOKUP($B46,[38]TrtCodes!$B$11:N95,7)</f>
        <v>2</v>
      </c>
      <c r="I46" s="50">
        <f>[38]FormattedData!B52</f>
        <v>1</v>
      </c>
      <c r="J46" s="48">
        <f>[38]FormattedData!C52</f>
        <v>13.113</v>
      </c>
      <c r="K46" s="47">
        <f>$J$3+[38]FormattedData!D52*$J$4+$M$4*$J$5+[38]FormattedData!D52^2*$J$6+$M$5*$J$7</f>
        <v>34.88117172654443</v>
      </c>
      <c r="L46" s="47">
        <f>$J$3+[38]FormattedData!E52*$J$4+$M$4*$J$5+[38]FormattedData!E52^2*$J$6+$M$5*$J$7</f>
        <v>34.88117172654443</v>
      </c>
      <c r="M46" s="47">
        <f>$J$3+[38]FormattedData!F52*$J$4+$M$4*$J$5+[38]FormattedData!F52^2*$J$6+$M$5*$J$7</f>
        <v>34.595548866414617</v>
      </c>
      <c r="N46" s="47">
        <f>$J$3+[38]FormattedData!G52*$J$4+$M$4*$J$5+[38]FormattedData!G52^2*$J$6+$M$5*$J$7</f>
        <v>35.8305004720116</v>
      </c>
      <c r="O46" s="47">
        <f>$J$3+[38]FormattedData!H52*$J$4+$M$4*$J$5+[38]FormattedData!H52^2*$J$6+$M$5*$J$7</f>
        <v>33.640725211016395</v>
      </c>
      <c r="P46" s="47">
        <f>$J$3+[38]FormattedData!I52*$J$4+$M$4*$J$5+[38]FormattedData!I52^2*$J$6+$M$5*$J$7</f>
        <v>36.869880075894443</v>
      </c>
      <c r="Q46" s="47">
        <f>$J$3+[38]FormattedData!J52*$J$4+$M$4*$J$5+[38]FormattedData!J52^2*$J$6+$M$5*$J$7</f>
        <v>33.35345387790727</v>
      </c>
      <c r="R46" s="47">
        <f>$J$3+[38]FormattedData!K52*$J$4+$M$4*$J$5+[38]FormattedData!K52^2*$J$6+$M$5*$J$7</f>
        <v>32.969833674230735</v>
      </c>
      <c r="S46" s="47">
        <f>$J$3+[38]FormattedData!L52*$J$4+$M$4*$J$5+[38]FormattedData!L52^2*$J$6+$M$5*$J$7</f>
        <v>33.161728313144863</v>
      </c>
      <c r="T46" s="47">
        <f>$J$3+[38]FormattedData!M52*$J$4+$M$4*$J$5+[38]FormattedData!M52^2*$J$6+$M$5*$J$7</f>
        <v>33.065802127956758</v>
      </c>
      <c r="U46" s="47">
        <f>$J$3+[38]FormattedData!N52*$J$4+$M$4*$J$5+[38]FormattedData!N52^2*$J$6+$M$5*$J$7</f>
        <v>33.065802127956758</v>
      </c>
      <c r="V46" s="47">
        <f>$J$3+[38]FormattedData!O52*$J$4+$M$4*$J$5+[38]FormattedData!O52^2*$J$6+$M$5*$J$7</f>
        <v>32.777769961164879</v>
      </c>
      <c r="W46" s="49">
        <f>AVERAGE(K46:V46)</f>
        <v>34.091115680065606</v>
      </c>
      <c r="X46" s="48">
        <f>STDEV(K46:V46)/SQRT(COUNT(K46:V46))</f>
        <v>0.3788465792018697</v>
      </c>
      <c r="Y46" s="47">
        <f>MIN(K46:V46)</f>
        <v>32.777769961164879</v>
      </c>
      <c r="Z46" s="46">
        <f>QUARTILE(K46:V46,1)</f>
        <v>33.065802127956758</v>
      </c>
      <c r="AA46" s="47">
        <f>MEDIAN(K46:V46)</f>
        <v>33.497089544461829</v>
      </c>
      <c r="AB46" s="46">
        <f>QUARTILE(K46:V46,3)</f>
        <v>34.88117172654443</v>
      </c>
      <c r="AC46" s="46">
        <f>MAX(K46:V46)</f>
        <v>36.869880075894443</v>
      </c>
      <c r="AD46" s="46">
        <f>SKEW(K46:V46)</f>
        <v>0.99940995564309809</v>
      </c>
      <c r="AE46" s="46">
        <f>KURT(K46:V46)</f>
        <v>8.1966285811788886E-2</v>
      </c>
    </row>
    <row r="47" spans="2:31" x14ac:dyDescent="0.2">
      <c r="B47" s="34">
        <f>[38]FormattedData!A50</f>
        <v>906</v>
      </c>
      <c r="C47" s="34" t="str">
        <f>VLOOKUP($B47,[38]TrtCodes!$B$11:I93,2)</f>
        <v>Late</v>
      </c>
      <c r="D47" s="34">
        <f>VLOOKUP($B47,[38]TrtCodes!$B$11:J93,3)</f>
        <v>22</v>
      </c>
      <c r="E47" s="34">
        <f>VLOOKUP($B47,[38]TrtCodes!$B$11:K93,4)</f>
        <v>4</v>
      </c>
      <c r="F47" s="34">
        <f>VLOOKUP($B47,[38]TrtCodes!$B$11:L93,5)</f>
        <v>2</v>
      </c>
      <c r="G47" s="34">
        <f>VLOOKUP($B47,[38]TrtCodes!$B$11:M93,6)</f>
        <v>2</v>
      </c>
      <c r="H47" s="34">
        <f>VLOOKUP($B47,[38]TrtCodes!$B$11:N93,7)</f>
        <v>2</v>
      </c>
      <c r="I47" s="34">
        <f>[38]FormattedData!B50</f>
        <v>1</v>
      </c>
      <c r="J47" s="37">
        <f>[38]FormattedData!C50</f>
        <v>13.097</v>
      </c>
      <c r="K47" s="39">
        <f>$J$3+[38]FormattedData!D50*$J$4+$M$4*$J$5+[38]FormattedData!D50^2*$J$6+$M$5*$J$7</f>
        <v>56.328365897515482</v>
      </c>
      <c r="L47" s="39">
        <f>$J$3+[38]FormattedData!E50*$J$4+$M$4*$J$5+[38]FormattedData!E50^2*$J$6+$M$5*$J$7</f>
        <v>53.324525735725992</v>
      </c>
      <c r="M47" s="39">
        <f>$J$3+[38]FormattedData!F50*$J$4+$M$4*$J$5+[38]FormattedData!F50^2*$J$6+$M$5*$J$7</f>
        <v>56.072922773468498</v>
      </c>
      <c r="N47" s="39">
        <f>$J$3+[38]FormattedData!G50*$J$4+$M$4*$J$5+[38]FormattedData!G50^2*$J$6+$M$5*$J$7</f>
        <v>44.728994107502828</v>
      </c>
      <c r="O47" s="39">
        <f>$J$3+[38]FormattedData!H50*$J$4+$M$4*$J$5+[38]FormattedData!H50^2*$J$6+$M$5*$J$7</f>
        <v>56.922920454797492</v>
      </c>
      <c r="P47" s="39">
        <f>$J$3+[38]FormattedData!I50*$J$4+$M$4*$J$5+[38]FormattedData!I50^2*$J$6+$M$5*$J$7</f>
        <v>50.180842377837948</v>
      </c>
      <c r="Q47" s="39">
        <f>$J$3+[38]FormattedData!J50*$J$4+$M$4*$J$5+[38]FormattedData!J50^2*$J$6+$M$5*$J$7</f>
        <v>56.498449970857138</v>
      </c>
      <c r="R47" s="39">
        <f>$J$3+[38]FormattedData!K50*$J$4+$M$4*$J$5+[38]FormattedData!K50^2*$J$6+$M$5*$J$7</f>
        <v>50.004587097958343</v>
      </c>
      <c r="S47" s="39">
        <f>$J$3+[38]FormattedData!L50*$J$4+$M$4*$J$5+[38]FormattedData!L50^2*$J$6+$M$5*$J$7</f>
        <v>54.360246849431171</v>
      </c>
      <c r="T47" s="39">
        <f>$J$3+[38]FormattedData!M50*$J$4+$M$4*$J$5+[38]FormattedData!M50^2*$J$6+$M$5*$J$7</f>
        <v>54.790000900612924</v>
      </c>
      <c r="U47" s="39">
        <f>$J$3+[38]FormattedData!N50*$J$4+$M$4*$J$5+[38]FormattedData!N50^2*$J$6+$M$5*$J$7</f>
        <v>57.515403853720883</v>
      </c>
      <c r="V47" s="39">
        <f>$J$3+[38]FormattedData!O50*$J$4+$M$4*$J$5+[38]FormattedData!O50^2*$J$6+$M$5*$J$7</f>
        <v>45.543256001657667</v>
      </c>
      <c r="W47" s="38">
        <f>AVERAGE(K47:V47)</f>
        <v>53.022543001757192</v>
      </c>
      <c r="X47" s="37">
        <f>STDEV(K47:V47)/SQRT(COUNT(K47:V47))</f>
        <v>1.2751248129144757</v>
      </c>
      <c r="Y47" s="36">
        <f>MIN(K47:V47)</f>
        <v>44.728994107502828</v>
      </c>
      <c r="Z47" s="35">
        <f>QUARTILE(K47:V47,1)</f>
        <v>50.136778557868048</v>
      </c>
      <c r="AA47" s="36">
        <f>MEDIAN(K47:V47)</f>
        <v>54.575123875022044</v>
      </c>
      <c r="AB47" s="35">
        <f>QUARTILE(K47:V47,3)</f>
        <v>56.370886915850896</v>
      </c>
      <c r="AC47" s="35">
        <f>MAX(K47:V47)</f>
        <v>57.515403853720883</v>
      </c>
      <c r="AD47" s="35">
        <f>SKEW(K47:V47)</f>
        <v>-0.98072967831092162</v>
      </c>
      <c r="AE47" s="35">
        <f>KURT(K47:V47)</f>
        <v>-0.30293625013151981</v>
      </c>
    </row>
    <row r="48" spans="2:31" x14ac:dyDescent="0.2">
      <c r="B48" s="50">
        <f>[38]FormattedData!A48</f>
        <v>907</v>
      </c>
      <c r="C48" s="50" t="str">
        <f>VLOOKUP($B48,[38]TrtCodes!$B$11:I91,2)</f>
        <v>DS</v>
      </c>
      <c r="D48" s="50">
        <f>VLOOKUP($B48,[38]TrtCodes!$B$11:J91,3)</f>
        <v>31</v>
      </c>
      <c r="E48" s="50">
        <f>VLOOKUP($B48,[38]TrtCodes!$B$11:K91,4)</f>
        <v>8</v>
      </c>
      <c r="F48" s="50">
        <f>VLOOKUP($B48,[38]TrtCodes!$B$11:L91,5)</f>
        <v>0</v>
      </c>
      <c r="G48" s="50">
        <f>VLOOKUP($B48,[38]TrtCodes!$B$11:M91,6)</f>
        <v>1</v>
      </c>
      <c r="H48" s="50">
        <f>VLOOKUP($B48,[38]TrtCodes!$B$11:N91,7)</f>
        <v>2</v>
      </c>
      <c r="I48" s="50">
        <f>[38]FormattedData!B48</f>
        <v>1</v>
      </c>
      <c r="J48" s="48">
        <f>[38]FormattedData!C48</f>
        <v>13.090999999999999</v>
      </c>
      <c r="K48" s="47">
        <f>$J$3+[38]FormattedData!D48*$J$4+$M$4*$J$5+[38]FormattedData!D48^2*$J$6+$M$5*$J$7</f>
        <v>59.531051611062132</v>
      </c>
      <c r="L48" s="47">
        <f>$J$3+[38]FormattedData!E48*$J$4+$M$4*$J$5+[38]FormattedData!E48^2*$J$6+$M$5*$J$7</f>
        <v>59.44755237602579</v>
      </c>
      <c r="M48" s="47">
        <f>$J$3+[38]FormattedData!F48*$J$4+$M$4*$J$5+[38]FormattedData!F48^2*$J$6+$M$5*$J$7</f>
        <v>59.697923275521035</v>
      </c>
      <c r="N48" s="47">
        <f>$J$3+[38]FormattedData!G48*$J$4+$M$4*$J$5+[38]FormattedData!G48^2*$J$6+$M$5*$J$7</f>
        <v>59.614508577560557</v>
      </c>
      <c r="O48" s="47">
        <f>$J$3+[38]FormattedData!H48*$J$4+$M$4*$J$5+[38]FormattedData!H48^2*$J$6+$M$5*$J$7</f>
        <v>60.363719191839358</v>
      </c>
      <c r="P48" s="47">
        <f>$J$3+[38]FormattedData!I48*$J$4+$M$4*$J$5+[38]FormattedData!I48^2*$J$6+$M$5*$J$7</f>
        <v>59.531051611062132</v>
      </c>
      <c r="Q48" s="47">
        <f>$J$3+[38]FormattedData!J48*$J$4+$M$4*$J$5+[38]FormattedData!J48^2*$J$6+$M$5*$J$7</f>
        <v>58.189991625928897</v>
      </c>
      <c r="R48" s="47">
        <f>$J$3+[38]FormattedData!K48*$J$4+$M$4*$J$5+[38]FormattedData!K48^2*$J$6+$M$5*$J$7</f>
        <v>59.697923275521035</v>
      </c>
      <c r="S48" s="47">
        <f>$J$3+[38]FormattedData!L48*$J$4+$M$4*$J$5+[38]FormattedData!L48^2*$J$6+$M$5*$J$7</f>
        <v>59.44755237602579</v>
      </c>
      <c r="T48" s="47">
        <f>$J$3+[38]FormattedData!M48*$J$4+$M$4*$J$5+[38]FormattedData!M48^2*$J$6+$M$5*$J$7</f>
        <v>59.113132750501101</v>
      </c>
      <c r="U48" s="47">
        <f>$J$3+[38]FormattedData!N48*$J$4+$M$4*$J$5+[38]FormattedData!N48^2*$J$6+$M$5*$J$7</f>
        <v>59.364010872451516</v>
      </c>
      <c r="V48" s="47">
        <f>$J$3+[38]FormattedData!O48*$J$4+$M$4*$J$5+[38]FormattedData!O48^2*$J$6+$M$5*$J$7</f>
        <v>59.364010872451516</v>
      </c>
      <c r="W48" s="49">
        <f>AVERAGE(K48:V48)</f>
        <v>59.446869034662576</v>
      </c>
      <c r="X48" s="48">
        <f>STDEV(K48:V48)/SQRT(COUNT(K48:V48))</f>
        <v>0.1433844090213893</v>
      </c>
      <c r="Y48" s="47">
        <f>MIN(K48:V48)</f>
        <v>58.189991625928897</v>
      </c>
      <c r="Z48" s="46">
        <f>QUARTILE(K48:V48,1)</f>
        <v>59.364010872451516</v>
      </c>
      <c r="AA48" s="47">
        <f>MEDIAN(K48:V48)</f>
        <v>59.489301993543961</v>
      </c>
      <c r="AB48" s="46">
        <f>QUARTILE(K48:V48,3)</f>
        <v>59.635362252050676</v>
      </c>
      <c r="AC48" s="46">
        <f>MAX(K48:V48)</f>
        <v>60.363719191839358</v>
      </c>
      <c r="AD48" s="46">
        <f>SKEW(K48:V48)</f>
        <v>-1.0821684426822347</v>
      </c>
      <c r="AE48" s="46">
        <f>KURT(K48:V48)</f>
        <v>4.3121863301174503</v>
      </c>
    </row>
    <row r="49" spans="2:31" ht="13.5" thickBot="1" x14ac:dyDescent="0.25">
      <c r="B49" s="45">
        <f>[38]FormattedData!A46</f>
        <v>908</v>
      </c>
      <c r="C49" s="45" t="str">
        <f>VLOOKUP($B49,[38]TrtCodes!$B$11:I89,2)</f>
        <v>Early</v>
      </c>
      <c r="D49" s="45">
        <f>VLOOKUP($B49,[38]TrtCodes!$B$11:J89,3)</f>
        <v>21</v>
      </c>
      <c r="E49" s="45">
        <f>VLOOKUP($B49,[38]TrtCodes!$B$11:K89,4)</f>
        <v>3</v>
      </c>
      <c r="F49" s="45">
        <f>VLOOKUP($B49,[38]TrtCodes!$B$11:L89,5)</f>
        <v>2</v>
      </c>
      <c r="G49" s="45">
        <f>VLOOKUP($B49,[38]TrtCodes!$B$11:M89,6)</f>
        <v>2</v>
      </c>
      <c r="H49" s="45">
        <f>VLOOKUP($B49,[38]TrtCodes!$B$11:N89,7)</f>
        <v>2</v>
      </c>
      <c r="I49" s="45">
        <f>[38]FormattedData!B46</f>
        <v>1</v>
      </c>
      <c r="J49" s="42">
        <f>[38]FormattedData!C46</f>
        <v>13.074999999999999</v>
      </c>
      <c r="K49" s="44">
        <f>$J$3+[38]FormattedData!D46*$J$4+$M$4*$J$5+[38]FormattedData!D46^2*$J$6+$M$5*$J$7</f>
        <v>56.583428604721071</v>
      </c>
      <c r="L49" s="44">
        <f>$J$3+[38]FormattedData!E46*$J$4+$M$4*$J$5+[38]FormattedData!E46^2*$J$6+$M$5*$J$7</f>
        <v>55.13304330787556</v>
      </c>
      <c r="M49" s="44">
        <f>$J$3+[38]FormattedData!F46*$J$4+$M$4*$J$5+[38]FormattedData!F46^2*$J$6+$M$5*$J$7</f>
        <v>54.61822608575401</v>
      </c>
      <c r="N49" s="44">
        <f>$J$3+[38]FormattedData!G46*$J$4+$M$4*$J$5+[38]FormattedData!G46^2*$J$6+$M$5*$J$7</f>
        <v>46.982378994791148</v>
      </c>
      <c r="O49" s="44">
        <f>$J$3+[38]FormattedData!H46*$J$4+$M$4*$J$5+[38]FormattedData!H46^2*$J$6+$M$5*$J$7</f>
        <v>55.731740181874827</v>
      </c>
      <c r="P49" s="44">
        <f>$J$3+[38]FormattedData!I46*$J$4+$M$4*$J$5+[38]FormattedData!I46^2*$J$6+$M$5*$J$7</f>
        <v>48.232735220817418</v>
      </c>
      <c r="Q49" s="44">
        <f>$J$3+[38]FormattedData!J46*$J$4+$M$4*$J$5+[38]FormattedData!J46^2*$J$6+$M$5*$J$7</f>
        <v>56.838110895085286</v>
      </c>
      <c r="R49" s="44">
        <f>$J$3+[38]FormattedData!K46*$J$4+$M$4*$J$5+[38]FormattedData!K46^2*$J$6+$M$5*$J$7</f>
        <v>50.268906614970859</v>
      </c>
      <c r="S49" s="44">
        <f>$J$3+[38]FormattedData!L46*$J$4+$M$4*$J$5+[38]FormattedData!L46^2*$J$6+$M$5*$J$7</f>
        <v>54.61822608575401</v>
      </c>
      <c r="T49" s="44">
        <f>$J$3+[38]FormattedData!M46*$J$4+$M$4*$J$5+[38]FormattedData!M46^2*$J$6+$M$5*$J$7</f>
        <v>51.147224216713717</v>
      </c>
      <c r="U49" s="44">
        <f>$J$3+[38]FormattedData!N46*$J$4+$M$4*$J$5+[38]FormattedData!N46^2*$J$6+$M$5*$J$7</f>
        <v>54.790000900612924</v>
      </c>
      <c r="V49" s="44">
        <f>$J$3+[38]FormattedData!O46*$J$4+$M$4*$J$5+[38]FormattedData!O46^2*$J$6+$M$5*$J$7</f>
        <v>46.982378994791148</v>
      </c>
      <c r="W49" s="43">
        <f>AVERAGE(K49:V49)</f>
        <v>52.660533341980162</v>
      </c>
      <c r="X49" s="42">
        <f>STDEV(K49:V49)/SQRT(COUNT(K49:V49))</f>
        <v>1.0755015918361805</v>
      </c>
      <c r="Y49" s="41">
        <f>MIN(K49:V49)</f>
        <v>46.982378994791148</v>
      </c>
      <c r="Z49" s="40">
        <f>QUARTILE(K49:V49,1)</f>
        <v>49.759863766432503</v>
      </c>
      <c r="AA49" s="41">
        <f>MEDIAN(K49:V49)</f>
        <v>54.61822608575401</v>
      </c>
      <c r="AB49" s="40">
        <f>QUARTILE(K49:V49,3)</f>
        <v>55.282717526375379</v>
      </c>
      <c r="AC49" s="40">
        <f>MAX(K49:V49)</f>
        <v>56.838110895085286</v>
      </c>
      <c r="AD49" s="40">
        <f>SKEW(K49:V49)</f>
        <v>-0.56550775874832826</v>
      </c>
      <c r="AE49" s="40">
        <f>KURT(K49:V49)</f>
        <v>-1.4005893142276449</v>
      </c>
    </row>
    <row r="50" spans="2:31" ht="13.5" thickTop="1" x14ac:dyDescent="0.2">
      <c r="B50" s="34">
        <f>[38]FormattedData!A29</f>
        <v>101</v>
      </c>
      <c r="C50" s="34" t="str">
        <f>VLOOKUP($B50,[38]TrtCodes!$B$11:I72,2)</f>
        <v>FSH</v>
      </c>
      <c r="D50" s="34">
        <f>VLOOKUP($B50,[38]TrtCodes!$B$11:J72,3)</f>
        <v>1</v>
      </c>
      <c r="E50" s="34">
        <f>VLOOKUP($B50,[38]TrtCodes!$B$11:K72,4)</f>
        <v>1</v>
      </c>
      <c r="F50" s="34">
        <f>VLOOKUP($B50,[38]TrtCodes!$B$11:L72,5)</f>
        <v>1</v>
      </c>
      <c r="G50" s="34">
        <f>VLOOKUP($B50,[38]TrtCodes!$B$11:M72,6)</f>
        <v>2</v>
      </c>
      <c r="H50" s="34">
        <f>VLOOKUP($B50,[38]TrtCodes!$B$11:N72,7)</f>
        <v>1</v>
      </c>
      <c r="I50" s="34">
        <f>[38]FormattedData!B29</f>
        <v>2</v>
      </c>
      <c r="J50" s="37">
        <f>[38]FormattedData!C29</f>
        <v>12.922000000000001</v>
      </c>
      <c r="K50" s="39">
        <f>$J$3+[38]FormattedData!D29*$J$4+$M$4*$J$5+[38]FormattedData!D29^2*$J$6+$M$5*$J$7</f>
        <v>30.847833752161488</v>
      </c>
      <c r="L50" s="39">
        <f>$J$3+[38]FormattedData!E29*$J$4+$M$4*$J$5+[38]FormattedData!E29^2*$J$6+$M$5*$J$7</f>
        <v>29.876525366970128</v>
      </c>
      <c r="M50" s="39">
        <f>$J$3+[38]FormattedData!F29*$J$4+$M$4*$J$5+[38]FormattedData!F29^2*$J$6+$M$5*$J$7</f>
        <v>32.296870979086449</v>
      </c>
      <c r="N50" s="39">
        <f>$J$3+[38]FormattedData!G29*$J$4+$M$4*$J$5+[38]FormattedData!G29^2*$J$6+$M$5*$J$7</f>
        <v>31.041588206744581</v>
      </c>
      <c r="O50" s="39">
        <f>$J$3+[38]FormattedData!H29*$J$4+$M$4*$J$5+[38]FormattedData!H29^2*$J$6+$M$5*$J$7</f>
        <v>32.200564377056963</v>
      </c>
      <c r="P50" s="39">
        <f>$J$3+[38]FormattedData!I29*$J$4+$M$4*$J$5+[38]FormattedData!I29^2*$J$6+$M$5*$J$7</f>
        <v>30.459817620540115</v>
      </c>
      <c r="Q50" s="39">
        <f>$J$3+[38]FormattedData!J29*$J$4+$M$4*$J$5+[38]FormattedData!J29^2*$J$6+$M$5*$J$7</f>
        <v>31.041588206744581</v>
      </c>
      <c r="R50" s="39">
        <f>$J$3+[38]FormattedData!K29*$J$4+$M$4*$J$5+[38]FormattedData!K29^2*$J$6+$M$5*$J$7</f>
        <v>31.814915283559742</v>
      </c>
      <c r="S50" s="39">
        <f>$J$3+[38]FormattedData!L29*$J$4+$M$4*$J$5+[38]FormattedData!L29^2*$J$6+$M$5*$J$7</f>
        <v>32.10421550648956</v>
      </c>
      <c r="T50" s="39">
        <f>$J$3+[38]FormattedData!M29*$J$4+$M$4*$J$5+[38]FormattedData!M29^2*$J$6+$M$5*$J$7</f>
        <v>32.393135312578003</v>
      </c>
      <c r="U50" s="39">
        <f>$J$3+[38]FormattedData!N29*$J$4+$M$4*$J$5+[38]FormattedData!N29^2*$J$6+$M$5*$J$7</f>
        <v>32.007824367384217</v>
      </c>
      <c r="V50" s="39">
        <f>$J$3+[38]FormattedData!O29*$J$4+$M$4*$J$5+[38]FormattedData!O29^2*$J$6+$M$5*$J$7</f>
        <v>29.584308614923053</v>
      </c>
      <c r="W50" s="38">
        <f>AVERAGE(K50:V50)</f>
        <v>31.305765632853237</v>
      </c>
      <c r="X50" s="37">
        <f>STDEV(K50:V50)/SQRT(COUNT(K50:V50))</f>
        <v>0.28104270850661506</v>
      </c>
      <c r="Y50" s="36">
        <f>MIN(K50:V50)</f>
        <v>29.584308614923053</v>
      </c>
      <c r="Z50" s="35">
        <f>QUARTILE(K50:V50,1)</f>
        <v>30.750829719256146</v>
      </c>
      <c r="AA50" s="36">
        <f>MEDIAN(K50:V50)</f>
        <v>31.42825174515216</v>
      </c>
      <c r="AB50" s="35">
        <f>QUARTILE(K50:V50,3)</f>
        <v>32.128302724131409</v>
      </c>
      <c r="AC50" s="35">
        <f>MAX(K50:V50)</f>
        <v>32.393135312578003</v>
      </c>
      <c r="AD50" s="35">
        <f>SKEW(K50:V50)</f>
        <v>-0.56705482600114432</v>
      </c>
      <c r="AE50" s="35">
        <f>KURT(K50:V50)</f>
        <v>-1.009217113317046</v>
      </c>
    </row>
    <row r="51" spans="2:31" x14ac:dyDescent="0.2">
      <c r="B51" s="34">
        <f>[38]FormattedData!A27</f>
        <v>102</v>
      </c>
      <c r="C51" s="34" t="str">
        <f>VLOOKUP($B51,[38]TrtCodes!$B$11:I70,2)</f>
        <v>FTL</v>
      </c>
      <c r="D51" s="34">
        <f>VLOOKUP($B51,[38]TrtCodes!$B$11:J70,3)</f>
        <v>4</v>
      </c>
      <c r="E51" s="34">
        <f>VLOOKUP($B51,[38]TrtCodes!$B$11:K70,4)</f>
        <v>1</v>
      </c>
      <c r="F51" s="34">
        <f>VLOOKUP($B51,[38]TrtCodes!$B$11:L70,5)</f>
        <v>2</v>
      </c>
      <c r="G51" s="34">
        <f>VLOOKUP($B51,[38]TrtCodes!$B$11:M70,6)</f>
        <v>1</v>
      </c>
      <c r="H51" s="34">
        <f>VLOOKUP($B51,[38]TrtCodes!$B$11:N70,7)</f>
        <v>1</v>
      </c>
      <c r="I51" s="34">
        <f>[38]FormattedData!B27</f>
        <v>2</v>
      </c>
      <c r="J51" s="37">
        <f>[38]FormattedData!C27</f>
        <v>12.904999999999999</v>
      </c>
      <c r="K51" s="39">
        <f>$J$3+[38]FormattedData!D27*$J$4+$M$4*$J$5+[38]FormattedData!D27^2*$J$6+$M$5*$J$7</f>
        <v>29.096435324085988</v>
      </c>
      <c r="L51" s="39">
        <f>$J$3+[38]FormattedData!E27*$J$4+$M$4*$J$5+[38]FormattedData!E27^2*$J$6+$M$5*$J$7</f>
        <v>29.291711446034608</v>
      </c>
      <c r="M51" s="39">
        <f>$J$3+[38]FormattedData!F27*$J$4+$M$4*$J$5+[38]FormattedData!F27^2*$J$6+$M$5*$J$7</f>
        <v>29.876525366970128</v>
      </c>
      <c r="N51" s="39">
        <f>$J$3+[38]FormattedData!G27*$J$4+$M$4*$J$5+[38]FormattedData!G27^2*$J$6+$M$5*$J$7</f>
        <v>31.621837125583539</v>
      </c>
      <c r="O51" s="39">
        <f>$J$3+[38]FormattedData!H27*$J$4+$M$4*$J$5+[38]FormattedData!H27^2*$J$6+$M$5*$J$7</f>
        <v>30.944732113722001</v>
      </c>
      <c r="P51" s="39">
        <f>$J$3+[38]FormattedData!I27*$J$4+$M$4*$J$5+[38]FormattedData!I27^2*$J$6+$M$5*$J$7</f>
        <v>30.847833752161488</v>
      </c>
      <c r="Q51" s="39">
        <f>$J$3+[38]FormattedData!J27*$J$4+$M$4*$J$5+[38]FormattedData!J27^2*$J$6+$M$5*$J$7</f>
        <v>30.265555943501838</v>
      </c>
      <c r="R51" s="39">
        <f>$J$3+[38]FormattedData!K27*$J$4+$M$4*$J$5+[38]FormattedData!K27^2*$J$6+$M$5*$J$7</f>
        <v>33.545010368517943</v>
      </c>
      <c r="S51" s="39">
        <f>$J$3+[38]FormattedData!L27*$J$4+$M$4*$J$5+[38]FormattedData!L27^2*$J$6+$M$5*$J$7</f>
        <v>30.362707916289946</v>
      </c>
      <c r="T51" s="39">
        <f>$J$3+[38]FormattedData!M27*$J$4+$M$4*$J$5+[38]FormattedData!M27^2*$J$6+$M$5*$J$7</f>
        <v>29.584308614923053</v>
      </c>
      <c r="U51" s="39">
        <f>$J$3+[38]FormattedData!N27*$J$4+$M$4*$J$5+[38]FormattedData!N27^2*$J$6+$M$5*$J$7</f>
        <v>31.235173587175957</v>
      </c>
      <c r="V51" s="39">
        <f>$J$3+[38]FormattedData!O27*$J$4+$M$4*$J$5+[38]FormattedData!O27^2*$J$6+$M$5*$J$7</f>
        <v>30.556885056252352</v>
      </c>
      <c r="W51" s="38">
        <f>AVERAGE(K51:V51)</f>
        <v>30.602393051268233</v>
      </c>
      <c r="X51" s="37">
        <f>STDEV(K51:V51)/SQRT(COUNT(K51:V51))</f>
        <v>0.34813643718329429</v>
      </c>
      <c r="Y51" s="36">
        <f>MIN(K51:V51)</f>
        <v>29.096435324085988</v>
      </c>
      <c r="Z51" s="35">
        <f>QUARTILE(K51:V51,1)</f>
        <v>29.803471178958361</v>
      </c>
      <c r="AA51" s="36">
        <f>MEDIAN(K51:V51)</f>
        <v>30.459796486271149</v>
      </c>
      <c r="AB51" s="35">
        <f>QUARTILE(K51:V51,3)</f>
        <v>31.017342482085489</v>
      </c>
      <c r="AC51" s="35">
        <f>MAX(K51:V51)</f>
        <v>33.545010368517943</v>
      </c>
      <c r="AD51" s="35">
        <f>SKEW(K51:V51)</f>
        <v>1.2247252498124095</v>
      </c>
      <c r="AE51" s="35">
        <f>KURT(K51:V51)</f>
        <v>2.3508144122240919</v>
      </c>
    </row>
    <row r="52" spans="2:31" x14ac:dyDescent="0.2">
      <c r="B52" s="34">
        <f>[38]FormattedData!A25</f>
        <v>103</v>
      </c>
      <c r="C52" s="34" t="str">
        <f>VLOOKUP($B52,[38]TrtCodes!$B$11:I68,2)</f>
        <v>FDH</v>
      </c>
      <c r="D52" s="34">
        <f>VLOOKUP($B52,[38]TrtCodes!$B$11:J68,3)</f>
        <v>5</v>
      </c>
      <c r="E52" s="34">
        <f>VLOOKUP($B52,[38]TrtCodes!$B$11:K68,4)</f>
        <v>1</v>
      </c>
      <c r="F52" s="34">
        <f>VLOOKUP($B52,[38]TrtCodes!$B$11:L68,5)</f>
        <v>3</v>
      </c>
      <c r="G52" s="34">
        <f>VLOOKUP($B52,[38]TrtCodes!$B$11:M68,6)</f>
        <v>2</v>
      </c>
      <c r="H52" s="34">
        <f>VLOOKUP($B52,[38]TrtCodes!$B$11:N68,7)</f>
        <v>1</v>
      </c>
      <c r="I52" s="34">
        <f>[38]FormattedData!B25</f>
        <v>2</v>
      </c>
      <c r="J52" s="37">
        <f>[38]FormattedData!C25</f>
        <v>12.885999999999999</v>
      </c>
      <c r="K52" s="39">
        <f>$J$3+[38]FormattedData!D25*$J$4+$M$4*$J$5+[38]FormattedData!D25^2*$J$6+$M$5*$J$7</f>
        <v>31.331902874584756</v>
      </c>
      <c r="L52" s="39">
        <f>$J$3+[38]FormattedData!E25*$J$4+$M$4*$J$5+[38]FormattedData!E25^2*$J$6+$M$5*$J$7</f>
        <v>29.194094519329266</v>
      </c>
      <c r="M52" s="39">
        <f>$J$3+[38]FormattedData!F25*$J$4+$M$4*$J$5+[38]FormattedData!F25^2*$J$6+$M$5*$J$7</f>
        <v>30.653910223426664</v>
      </c>
      <c r="N52" s="39">
        <f>$J$3+[38]FormattedData!G25*$J$4+$M$4*$J$5+[38]FormattedData!G25^2*$J$6+$M$5*$J$7</f>
        <v>30.556885056252352</v>
      </c>
      <c r="O52" s="39">
        <f>$J$3+[38]FormattedData!H25*$J$4+$M$4*$J$5+[38]FormattedData!H25^2*$J$6+$M$5*$J$7</f>
        <v>31.718397338840603</v>
      </c>
      <c r="P52" s="39">
        <f>$J$3+[38]FormattedData!I25*$J$4+$M$4*$J$5+[38]FormattedData!I25^2*$J$6+$M$5*$J$7</f>
        <v>31.138402031229241</v>
      </c>
      <c r="Q52" s="39">
        <f>$J$3+[38]FormattedData!J25*$J$4+$M$4*$J$5+[38]FormattedData!J25^2*$J$6+$M$5*$J$7</f>
        <v>30.847833752161488</v>
      </c>
      <c r="R52" s="39">
        <f>$J$3+[38]FormattedData!K25*$J$4+$M$4*$J$5+[38]FormattedData!K25^2*$J$6+$M$5*$J$7</f>
        <v>31.525234643788544</v>
      </c>
      <c r="S52" s="39">
        <f>$J$3+[38]FormattedData!L25*$J$4+$M$4*$J$5+[38]FormattedData!L25^2*$J$6+$M$5*$J$7</f>
        <v>33.161728313144863</v>
      </c>
      <c r="T52" s="39">
        <f>$J$3+[38]FormattedData!M25*$J$4+$M$4*$J$5+[38]FormattedData!M25^2*$J$6+$M$5*$J$7</f>
        <v>31.525234643788544</v>
      </c>
      <c r="U52" s="39">
        <f>$J$3+[38]FormattedData!N25*$J$4+$M$4*$J$5+[38]FormattedData!N25^2*$J$6+$M$5*$J$7</f>
        <v>31.331902874584756</v>
      </c>
      <c r="V52" s="39">
        <f>$J$3+[38]FormattedData!O25*$J$4+$M$4*$J$5+[38]FormattedData!O25^2*$J$6+$M$5*$J$7</f>
        <v>31.525234643788544</v>
      </c>
      <c r="W52" s="38">
        <f>AVERAGE(K52:V52)</f>
        <v>31.209230076243305</v>
      </c>
      <c r="X52" s="37">
        <f>STDEV(K52:V52)/SQRT(COUNT(K52:V52))</f>
        <v>0.265881950753805</v>
      </c>
      <c r="Y52" s="36">
        <f>MIN(K52:V52)</f>
        <v>29.194094519329266</v>
      </c>
      <c r="Z52" s="35">
        <f>QUARTILE(K52:V52,1)</f>
        <v>30.799352869977781</v>
      </c>
      <c r="AA52" s="36">
        <f>MEDIAN(K52:V52)</f>
        <v>31.331902874584756</v>
      </c>
      <c r="AB52" s="35">
        <f>QUARTILE(K52:V52,3)</f>
        <v>31.525234643788544</v>
      </c>
      <c r="AC52" s="35">
        <f>MAX(K52:V52)</f>
        <v>33.161728313144863</v>
      </c>
      <c r="AD52" s="35">
        <f>SKEW(K52:V52)</f>
        <v>-0.1404091682715872</v>
      </c>
      <c r="AE52" s="35">
        <f>KURT(K52:V52)</f>
        <v>2.84517488572902</v>
      </c>
    </row>
    <row r="53" spans="2:31" x14ac:dyDescent="0.2">
      <c r="B53" s="34">
        <f>[38]FormattedData!A23</f>
        <v>104</v>
      </c>
      <c r="C53" s="34" t="str">
        <f>VLOOKUP($B53,[38]TrtCodes!$B$11:I66,2)</f>
        <v>NTL</v>
      </c>
      <c r="D53" s="34">
        <f>VLOOKUP($B53,[38]TrtCodes!$B$11:J66,3)</f>
        <v>10</v>
      </c>
      <c r="E53" s="34">
        <f>VLOOKUP($B53,[38]TrtCodes!$B$11:K66,4)</f>
        <v>2</v>
      </c>
      <c r="F53" s="34">
        <f>VLOOKUP($B53,[38]TrtCodes!$B$11:L66,5)</f>
        <v>2</v>
      </c>
      <c r="G53" s="34">
        <f>VLOOKUP($B53,[38]TrtCodes!$B$11:M66,6)</f>
        <v>1</v>
      </c>
      <c r="H53" s="34">
        <f>VLOOKUP($B53,[38]TrtCodes!$B$11:N66,7)</f>
        <v>1</v>
      </c>
      <c r="I53" s="34">
        <f>[38]FormattedData!B23</f>
        <v>2</v>
      </c>
      <c r="J53" s="37">
        <f>[38]FormattedData!C23</f>
        <v>12.869</v>
      </c>
      <c r="K53" s="39">
        <f>$J$3+[38]FormattedData!D23*$J$4+$M$4*$J$5+[38]FormattedData!D23^2*$J$6+$M$5*$J$7</f>
        <v>30.071125192311843</v>
      </c>
      <c r="L53" s="39">
        <f>$J$3+[38]FormattedData!E23*$J$4+$M$4*$J$5+[38]FormattedData!E23^2*$J$6+$M$5*$J$7</f>
        <v>29.194094519329266</v>
      </c>
      <c r="M53" s="39">
        <f>$J$3+[38]FormattedData!F23*$J$4+$M$4*$J$5+[38]FormattedData!F23^2*$J$6+$M$5*$J$7</f>
        <v>30.556885056252352</v>
      </c>
      <c r="N53" s="39">
        <f>$J$3+[38]FormattedData!G23*$J$4+$M$4*$J$5+[38]FormattedData!G23^2*$J$6+$M$5*$J$7</f>
        <v>29.876525366970128</v>
      </c>
      <c r="O53" s="39">
        <f>$J$3+[38]FormattedData!H23*$J$4+$M$4*$J$5+[38]FormattedData!H23^2*$J$6+$M$5*$J$7</f>
        <v>30.071125192311843</v>
      </c>
      <c r="P53" s="39">
        <f>$J$3+[38]FormattedData!I23*$J$4+$M$4*$J$5+[38]FormattedData!I23^2*$J$6+$M$5*$J$7</f>
        <v>27.921228035208049</v>
      </c>
      <c r="Q53" s="39">
        <f>$J$3+[38]FormattedData!J23*$J$4+$M$4*$J$5+[38]FormattedData!J23^2*$J$6+$M$5*$J$7</f>
        <v>30.362707916289946</v>
      </c>
      <c r="R53" s="39">
        <f>$J$3+[38]FormattedData!K23*$J$4+$M$4*$J$5+[38]FormattedData!K23^2*$J$6+$M$5*$J$7</f>
        <v>28.0193944529065</v>
      </c>
      <c r="S53" s="39">
        <f>$J$3+[38]FormattedData!L23*$J$4+$M$4*$J$5+[38]FormattedData!L23^2*$J$6+$M$5*$J$7</f>
        <v>29.096435324085988</v>
      </c>
      <c r="T53" s="39">
        <f>$J$3+[38]FormattedData!M23*$J$4+$M$4*$J$5+[38]FormattedData!M23^2*$J$6+$M$5*$J$7</f>
        <v>29.486818493831507</v>
      </c>
      <c r="U53" s="39">
        <f>$J$3+[38]FormattedData!N23*$J$4+$M$4*$J$5+[38]FormattedData!N23^2*$J$6+$M$5*$J$7</f>
        <v>30.168361702175808</v>
      </c>
      <c r="V53" s="39">
        <f>$J$3+[38]FormattedData!O23*$J$4+$M$4*$J$5+[38]FormattedData!O23^2*$J$6+$M$5*$J$7</f>
        <v>29.194094519329266</v>
      </c>
      <c r="W53" s="38">
        <f>AVERAGE(K53:V53)</f>
        <v>29.501566314250208</v>
      </c>
      <c r="X53" s="37">
        <f>STDEV(K53:V53)/SQRT(COUNT(K53:V53))</f>
        <v>0.24828192136959468</v>
      </c>
      <c r="Y53" s="36">
        <f>MIN(K53:V53)</f>
        <v>27.921228035208049</v>
      </c>
      <c r="Z53" s="35">
        <f>QUARTILE(K53:V53,1)</f>
        <v>29.169679720518445</v>
      </c>
      <c r="AA53" s="36">
        <f>MEDIAN(K53:V53)</f>
        <v>29.681671930400817</v>
      </c>
      <c r="AB53" s="35">
        <f>QUARTILE(K53:V53,3)</f>
        <v>30.095434319777834</v>
      </c>
      <c r="AC53" s="35">
        <f>MAX(K53:V53)</f>
        <v>30.556885056252352</v>
      </c>
      <c r="AD53" s="35">
        <f>SKEW(K53:V53)</f>
        <v>-0.82217805825136936</v>
      </c>
      <c r="AE53" s="35">
        <f>KURT(K53:V53)</f>
        <v>-0.19573589497581079</v>
      </c>
    </row>
    <row r="54" spans="2:31" x14ac:dyDescent="0.2">
      <c r="B54" s="34">
        <f>[38]FormattedData!A21</f>
        <v>105</v>
      </c>
      <c r="C54" s="34" t="str">
        <f>VLOOKUP($B54,[38]TrtCodes!$B$11:I64,2)</f>
        <v>NDL</v>
      </c>
      <c r="D54" s="34">
        <f>VLOOKUP($B54,[38]TrtCodes!$B$11:J64,3)</f>
        <v>12</v>
      </c>
      <c r="E54" s="34">
        <f>VLOOKUP($B54,[38]TrtCodes!$B$11:K64,4)</f>
        <v>2</v>
      </c>
      <c r="F54" s="34">
        <f>VLOOKUP($B54,[38]TrtCodes!$B$11:L64,5)</f>
        <v>3</v>
      </c>
      <c r="G54" s="34">
        <f>VLOOKUP($B54,[38]TrtCodes!$B$11:M64,6)</f>
        <v>1</v>
      </c>
      <c r="H54" s="34">
        <f>VLOOKUP($B54,[38]TrtCodes!$B$11:N64,7)</f>
        <v>2</v>
      </c>
      <c r="I54" s="34">
        <f>[38]FormattedData!B21</f>
        <v>2</v>
      </c>
      <c r="J54" s="37">
        <f>[38]FormattedData!C21</f>
        <v>12.852</v>
      </c>
      <c r="K54" s="39">
        <f>$J$3+[38]FormattedData!D21*$J$4+$M$4*$J$5+[38]FormattedData!D21^2*$J$6+$M$5*$J$7</f>
        <v>27.626475170885112</v>
      </c>
      <c r="L54" s="39">
        <f>$J$3+[38]FormattedData!E21*$J$4+$M$4*$J$5+[38]FormattedData!E21^2*$J$6+$M$5*$J$7</f>
        <v>29.291711446034608</v>
      </c>
      <c r="M54" s="39">
        <f>$J$3+[38]FormattedData!F21*$J$4+$M$4*$J$5+[38]FormattedData!F21^2*$J$6+$M$5*$J$7</f>
        <v>31.138402031229241</v>
      </c>
      <c r="N54" s="39">
        <f>$J$3+[38]FormattedData!G21*$J$4+$M$4*$J$5+[38]FormattedData!G21^2*$J$6+$M$5*$J$7</f>
        <v>29.97384641390995</v>
      </c>
      <c r="O54" s="39">
        <f>$J$3+[38]FormattedData!H21*$J$4+$M$4*$J$5+[38]FormattedData!H21^2*$J$6+$M$5*$J$7</f>
        <v>28.411637438320987</v>
      </c>
      <c r="P54" s="39">
        <f>$J$3+[38]FormattedData!I21*$J$4+$M$4*$J$5+[38]FormattedData!I21^2*$J$6+$M$5*$J$7</f>
        <v>29.194094519329266</v>
      </c>
      <c r="Q54" s="39">
        <f>$J$3+[38]FormattedData!J21*$J$4+$M$4*$J$5+[38]FormattedData!J21^2*$J$6+$M$5*$J$7</f>
        <v>28.803204127128573</v>
      </c>
      <c r="R54" s="39">
        <f>$J$3+[38]FormattedData!K21*$J$4+$M$4*$J$5+[38]FormattedData!K21^2*$J$6+$M$5*$J$7</f>
        <v>29.096435324085988</v>
      </c>
      <c r="S54" s="39">
        <f>$J$3+[38]FormattedData!L21*$J$4+$M$4*$J$5+[38]FormattedData!L21^2*$J$6+$M$5*$J$7</f>
        <v>28.313640094774257</v>
      </c>
      <c r="T54" s="39">
        <f>$J$3+[38]FormattedData!M21*$J$4+$M$4*$J$5+[38]FormattedData!M21^2*$J$6+$M$5*$J$7</f>
        <v>26.739934076868025</v>
      </c>
      <c r="U54" s="39">
        <f>$J$3+[38]FormattedData!N21*$J$4+$M$4*$J$5+[38]FormattedData!N21^2*$J$6+$M$5*$J$7</f>
        <v>30.168361702175808</v>
      </c>
      <c r="V54" s="39">
        <f>$J$3+[38]FormattedData!O21*$J$4+$M$4*$J$5+[38]FormattedData!O21^2*$J$6+$M$5*$J$7</f>
        <v>28.0193944529065</v>
      </c>
      <c r="W54" s="38">
        <f>AVERAGE(K54:V54)</f>
        <v>28.898094733137356</v>
      </c>
      <c r="X54" s="37">
        <f>STDEV(K54:V54)/SQRT(COUNT(K54:V54))</f>
        <v>0.34493857253158317</v>
      </c>
      <c r="Y54" s="36">
        <f>MIN(K54:V54)</f>
        <v>26.739934076868025</v>
      </c>
      <c r="Z54" s="35">
        <f>QUARTILE(K54:V54,1)</f>
        <v>28.240078684307317</v>
      </c>
      <c r="AA54" s="36">
        <f>MEDIAN(K54:V54)</f>
        <v>28.949819725607281</v>
      </c>
      <c r="AB54" s="35">
        <f>QUARTILE(K54:V54,3)</f>
        <v>29.462245188003443</v>
      </c>
      <c r="AC54" s="35">
        <f>MAX(K54:V54)</f>
        <v>31.138402031229241</v>
      </c>
      <c r="AD54" s="35">
        <f>SKEW(K54:V54)</f>
        <v>9.7901472132463405E-2</v>
      </c>
      <c r="AE54" s="35">
        <f>KURT(K54:V54)</f>
        <v>0.1595102105356121</v>
      </c>
    </row>
    <row r="55" spans="2:31" x14ac:dyDescent="0.2">
      <c r="B55" s="34">
        <f>[38]FormattedData!A19</f>
        <v>106</v>
      </c>
      <c r="C55" s="34" t="str">
        <f>VLOOKUP($B55,[38]TrtCodes!$B$11:I62,2)</f>
        <v>NTH</v>
      </c>
      <c r="D55" s="34">
        <f>VLOOKUP($B55,[38]TrtCodes!$B$11:J62,3)</f>
        <v>9</v>
      </c>
      <c r="E55" s="34">
        <f>VLOOKUP($B55,[38]TrtCodes!$B$11:K62,4)</f>
        <v>2</v>
      </c>
      <c r="F55" s="34">
        <f>VLOOKUP($B55,[38]TrtCodes!$B$11:L62,5)</f>
        <v>2</v>
      </c>
      <c r="G55" s="34">
        <f>VLOOKUP($B55,[38]TrtCodes!$B$11:M62,6)</f>
        <v>2</v>
      </c>
      <c r="H55" s="34">
        <f>VLOOKUP($B55,[38]TrtCodes!$B$11:N62,7)</f>
        <v>2</v>
      </c>
      <c r="I55" s="34">
        <f>[38]FormattedData!B19</f>
        <v>2</v>
      </c>
      <c r="J55" s="37">
        <f>[38]FormattedData!C19</f>
        <v>12.835000000000001</v>
      </c>
      <c r="K55" s="39">
        <f>$J$3+[38]FormattedData!D19*$J$4+$M$4*$J$5+[38]FormattedData!D19^2*$J$6+$M$5*$J$7</f>
        <v>30.847833752161488</v>
      </c>
      <c r="L55" s="39">
        <f>$J$3+[38]FormattedData!E19*$J$4+$M$4*$J$5+[38]FormattedData!E19^2*$J$6+$M$5*$J$7</f>
        <v>28.998733860304782</v>
      </c>
      <c r="M55" s="39">
        <f>$J$3+[38]FormattedData!F19*$J$4+$M$4*$J$5+[38]FormattedData!F19^2*$J$6+$M$5*$J$7</f>
        <v>30.556885056252352</v>
      </c>
      <c r="N55" s="39">
        <f>$J$3+[38]FormattedData!G19*$J$4+$M$4*$J$5+[38]FormattedData!G19^2*$J$6+$M$5*$J$7</f>
        <v>30.459817620540115</v>
      </c>
      <c r="O55" s="39">
        <f>$J$3+[38]FormattedData!H19*$J$4+$M$4*$J$5+[38]FormattedData!H19^2*$J$6+$M$5*$J$7</f>
        <v>30.362707916289946</v>
      </c>
      <c r="P55" s="39">
        <f>$J$3+[38]FormattedData!I19*$J$4+$M$4*$J$5+[38]FormattedData!I19^2*$J$6+$M$5*$J$7</f>
        <v>31.138402031229241</v>
      </c>
      <c r="Q55" s="39">
        <f>$J$3+[38]FormattedData!J19*$J$4+$M$4*$J$5+[38]FormattedData!J19^2*$J$6+$M$5*$J$7</f>
        <v>29.97384641390995</v>
      </c>
      <c r="R55" s="39">
        <f>$J$3+[38]FormattedData!K19*$J$4+$M$4*$J$5+[38]FormattedData!K19^2*$J$6+$M$5*$J$7</f>
        <v>31.428589893455612</v>
      </c>
      <c r="S55" s="39">
        <f>$J$3+[38]FormattedData!L19*$J$4+$M$4*$J$5+[38]FormattedData!L19^2*$J$6+$M$5*$J$7</f>
        <v>31.041588206744581</v>
      </c>
      <c r="T55" s="39">
        <f>$J$3+[38]FormattedData!M19*$J$4+$M$4*$J$5+[38]FormattedData!M19^2*$J$6+$M$5*$J$7</f>
        <v>29.291711446034608</v>
      </c>
      <c r="U55" s="39">
        <f>$J$3+[38]FormattedData!N19*$J$4+$M$4*$J$5+[38]FormattedData!N19^2*$J$6+$M$5*$J$7</f>
        <v>31.621837125583539</v>
      </c>
      <c r="V55" s="39">
        <f>$J$3+[38]FormattedData!O19*$J$4+$M$4*$J$5+[38]FormattedData!O19^2*$J$6+$M$5*$J$7</f>
        <v>31.814915283559742</v>
      </c>
      <c r="W55" s="38">
        <f>AVERAGE(K55:V55)</f>
        <v>30.628072383838823</v>
      </c>
      <c r="X55" s="37">
        <f>STDEV(K55:V55)/SQRT(COUNT(K55:V55))</f>
        <v>0.2535973194831273</v>
      </c>
      <c r="Y55" s="36">
        <f>MIN(K55:V55)</f>
        <v>28.998733860304782</v>
      </c>
      <c r="Z55" s="35">
        <f>QUARTILE(K55:V55,1)</f>
        <v>30.265492540694947</v>
      </c>
      <c r="AA55" s="36">
        <f>MEDIAN(K55:V55)</f>
        <v>30.70235940420692</v>
      </c>
      <c r="AB55" s="35">
        <f>QUARTILE(K55:V55,3)</f>
        <v>31.210948996785834</v>
      </c>
      <c r="AC55" s="35">
        <f>MAX(K55:V55)</f>
        <v>31.814915283559742</v>
      </c>
      <c r="AD55" s="35">
        <f>SKEW(K55:V55)</f>
        <v>-0.58497816213563747</v>
      </c>
      <c r="AE55" s="35">
        <f>KURT(K55:V55)</f>
        <v>-0.35695242393718818</v>
      </c>
    </row>
    <row r="56" spans="2:31" x14ac:dyDescent="0.2">
      <c r="B56" s="34">
        <f>[38]FormattedData!A17</f>
        <v>107</v>
      </c>
      <c r="C56" s="34" t="str">
        <f>VLOOKUP($B56,[38]TrtCodes!$B$11:I60,2)</f>
        <v>NTL</v>
      </c>
      <c r="D56" s="34">
        <f>VLOOKUP($B56,[38]TrtCodes!$B$11:J60,3)</f>
        <v>10</v>
      </c>
      <c r="E56" s="34">
        <f>VLOOKUP($B56,[38]TrtCodes!$B$11:K60,4)</f>
        <v>2</v>
      </c>
      <c r="F56" s="34">
        <f>VLOOKUP($B56,[38]TrtCodes!$B$11:L60,5)</f>
        <v>2</v>
      </c>
      <c r="G56" s="34">
        <f>VLOOKUP($B56,[38]TrtCodes!$B$11:M60,6)</f>
        <v>1</v>
      </c>
      <c r="H56" s="34">
        <f>VLOOKUP($B56,[38]TrtCodes!$B$11:N60,7)</f>
        <v>2</v>
      </c>
      <c r="I56" s="34">
        <f>[38]FormattedData!B17</f>
        <v>2</v>
      </c>
      <c r="J56" s="37">
        <f>[38]FormattedData!C17</f>
        <v>12.818</v>
      </c>
      <c r="K56" s="39">
        <f>$J$3+[38]FormattedData!D17*$J$4+$M$4*$J$5+[38]FormattedData!D17^2*$J$6+$M$5*$J$7</f>
        <v>30.556885056252352</v>
      </c>
      <c r="L56" s="39">
        <f>$J$3+[38]FormattedData!E17*$J$4+$M$4*$J$5+[38]FormattedData!E17^2*$J$6+$M$5*$J$7</f>
        <v>29.291711446034608</v>
      </c>
      <c r="M56" s="39">
        <f>$J$3+[38]FormattedData!F17*$J$4+$M$4*$J$5+[38]FormattedData!F17^2*$J$6+$M$5*$J$7</f>
        <v>30.265555943501838</v>
      </c>
      <c r="N56" s="39">
        <f>$J$3+[38]FormattedData!G17*$J$4+$M$4*$J$5+[38]FormattedData!G17^2*$J$6+$M$5*$J$7</f>
        <v>29.681756467476678</v>
      </c>
      <c r="O56" s="39">
        <f>$J$3+[38]FormattedData!H17*$J$4+$M$4*$J$5+[38]FormattedData!H17^2*$J$6+$M$5*$J$7</f>
        <v>32.296870979086449</v>
      </c>
      <c r="P56" s="39">
        <f>$J$3+[38]FormattedData!I17*$J$4+$M$4*$J$5+[38]FormattedData!I17^2*$J$6+$M$5*$J$7</f>
        <v>29.291711446034608</v>
      </c>
      <c r="Q56" s="39">
        <f>$J$3+[38]FormattedData!J17*$J$4+$M$4*$J$5+[38]FormattedData!J17^2*$J$6+$M$5*$J$7</f>
        <v>28.411637438320987</v>
      </c>
      <c r="R56" s="39">
        <f>$J$3+[38]FormattedData!K17*$J$4+$M$4*$J$5+[38]FormattedData!K17^2*$J$6+$M$5*$J$7</f>
        <v>34.500256709295478</v>
      </c>
      <c r="S56" s="39">
        <f>$J$3+[38]FormattedData!L17*$J$4+$M$4*$J$5+[38]FormattedData!L17^2*$J$6+$M$5*$J$7</f>
        <v>30.265555943501838</v>
      </c>
      <c r="T56" s="39">
        <f>$J$3+[38]FormattedData!M17*$J$4+$M$4*$J$5+[38]FormattedData!M17^2*$J$6+$M$5*$J$7</f>
        <v>29.681756467476678</v>
      </c>
      <c r="U56" s="39">
        <f>$J$3+[38]FormattedData!N17*$J$4+$M$4*$J$5+[38]FormattedData!N17^2*$J$6+$M$5*$J$7</f>
        <v>30.653910223426664</v>
      </c>
      <c r="V56" s="39">
        <f>$J$3+[38]FormattedData!O17*$J$4+$M$4*$J$5+[38]FormattedData!O17^2*$J$6+$M$5*$J$7</f>
        <v>33.161728313144863</v>
      </c>
      <c r="W56" s="38">
        <f>AVERAGE(K56:V56)</f>
        <v>30.671611369462756</v>
      </c>
      <c r="X56" s="37">
        <f>STDEV(K56:V56)/SQRT(COUNT(K56:V56))</f>
        <v>0.51285940115270801</v>
      </c>
      <c r="Y56" s="36">
        <f>MIN(K56:V56)</f>
        <v>28.411637438320987</v>
      </c>
      <c r="Z56" s="35">
        <f>QUARTILE(K56:V56,1)</f>
        <v>29.584245212116159</v>
      </c>
      <c r="AA56" s="36">
        <f>MEDIAN(K56:V56)</f>
        <v>30.265555943501838</v>
      </c>
      <c r="AB56" s="35">
        <f>QUARTILE(K56:V56,3)</f>
        <v>31.06465041234161</v>
      </c>
      <c r="AC56" s="35">
        <f>MAX(K56:V56)</f>
        <v>34.500256709295478</v>
      </c>
      <c r="AD56" s="35">
        <f>SKEW(K56:V56)</f>
        <v>1.1085771118247754</v>
      </c>
      <c r="AE56" s="35">
        <f>KURT(K56:V56)</f>
        <v>0.64244097861868621</v>
      </c>
    </row>
    <row r="57" spans="2:31" x14ac:dyDescent="0.2">
      <c r="B57" s="34">
        <f>[38]FormattedData!A15</f>
        <v>108</v>
      </c>
      <c r="C57" s="34" t="str">
        <f>VLOOKUP($B57,[38]TrtCodes!$B$11:I58,2)</f>
        <v>FTH</v>
      </c>
      <c r="D57" s="34">
        <f>VLOOKUP($B57,[38]TrtCodes!$B$11:J58,3)</f>
        <v>3</v>
      </c>
      <c r="E57" s="34">
        <f>VLOOKUP($B57,[38]TrtCodes!$B$11:K58,4)</f>
        <v>1</v>
      </c>
      <c r="F57" s="34">
        <f>VLOOKUP($B57,[38]TrtCodes!$B$11:L58,5)</f>
        <v>2</v>
      </c>
      <c r="G57" s="34">
        <f>VLOOKUP($B57,[38]TrtCodes!$B$11:M58,6)</f>
        <v>2</v>
      </c>
      <c r="H57" s="34">
        <f>VLOOKUP($B57,[38]TrtCodes!$B$11:N58,7)</f>
        <v>2</v>
      </c>
      <c r="I57" s="34">
        <f>[38]FormattedData!B15</f>
        <v>2</v>
      </c>
      <c r="J57" s="37">
        <f>[38]FormattedData!C15</f>
        <v>12.8</v>
      </c>
      <c r="K57" s="39">
        <f>$J$3+[38]FormattedData!D15*$J$4+$M$4*$J$5+[38]FormattedData!D15^2*$J$6+$M$5*$J$7</f>
        <v>30.653910223426664</v>
      </c>
      <c r="L57" s="39">
        <f>$J$3+[38]FormattedData!E15*$J$4+$M$4*$J$5+[38]FormattedData!E15^2*$J$6+$M$5*$J$7</f>
        <v>34.500256709295478</v>
      </c>
      <c r="M57" s="39">
        <f>$J$3+[38]FormattedData!F15*$J$4+$M$4*$J$5+[38]FormattedData!F15^2*$J$6+$M$5*$J$7</f>
        <v>31.041588206744581</v>
      </c>
      <c r="N57" s="39">
        <f>$J$3+[38]FormattedData!G15*$J$4+$M$4*$J$5+[38]FormattedData!G15^2*$J$6+$M$5*$J$7</f>
        <v>29.779162051492364</v>
      </c>
      <c r="O57" s="39">
        <f>$J$3+[38]FormattedData!H15*$J$4+$M$4*$J$5+[38]FormattedData!H15^2*$J$6+$M$5*$J$7</f>
        <v>31.235173587175957</v>
      </c>
      <c r="P57" s="39">
        <f>$J$3+[38]FormattedData!I15*$J$4+$M$4*$J$5+[38]FormattedData!I15^2*$J$6+$M$5*$J$7</f>
        <v>30.847833752161488</v>
      </c>
      <c r="Q57" s="39">
        <f>$J$3+[38]FormattedData!J15*$J$4+$M$4*$J$5+[38]FormattedData!J15^2*$J$6+$M$5*$J$7</f>
        <v>33.640725211016395</v>
      </c>
      <c r="R57" s="39">
        <f>$J$3+[38]FormattedData!K15*$J$4+$M$4*$J$5+[38]FormattedData!K15^2*$J$6+$M$5*$J$7</f>
        <v>31.621837125583539</v>
      </c>
      <c r="S57" s="39">
        <f>$J$3+[38]FormattedData!L15*$J$4+$M$4*$J$5+[38]FormattedData!L15^2*$J$6+$M$5*$J$7</f>
        <v>32.873822951966773</v>
      </c>
      <c r="T57" s="39">
        <f>$J$3+[38]FormattedData!M15*$J$4+$M$4*$J$5+[38]FormattedData!M15^2*$J$6+$M$5*$J$7</f>
        <v>34.500256709295478</v>
      </c>
      <c r="U57" s="39">
        <f>$J$3+[38]FormattedData!N15*$J$4+$M$4*$J$5+[38]FormattedData!N15^2*$J$6+$M$5*$J$7</f>
        <v>36.114474859162094</v>
      </c>
      <c r="V57" s="39">
        <f>$J$3+[38]FormattedData!O15*$J$4+$M$4*$J$5+[38]FormattedData!O15^2*$J$6+$M$5*$J$7</f>
        <v>33.065802127956758</v>
      </c>
      <c r="W57" s="38">
        <f>AVERAGE(K57:V57)</f>
        <v>32.489570292939796</v>
      </c>
      <c r="X57" s="37">
        <f>STDEV(K57:V57)/SQRT(COUNT(K57:V57))</f>
        <v>0.556401366096831</v>
      </c>
      <c r="Y57" s="36">
        <f>MIN(K57:V57)</f>
        <v>29.779162051492364</v>
      </c>
      <c r="Z57" s="35">
        <f>QUARTILE(K57:V57,1)</f>
        <v>30.993149593098806</v>
      </c>
      <c r="AA57" s="36">
        <f>MEDIAN(K57:V57)</f>
        <v>32.247830038775156</v>
      </c>
      <c r="AB57" s="35">
        <f>QUARTILE(K57:V57,3)</f>
        <v>33.855608085586169</v>
      </c>
      <c r="AC57" s="35">
        <f>MAX(K57:V57)</f>
        <v>36.114474859162094</v>
      </c>
      <c r="AD57" s="35">
        <f>SKEW(K57:V57)</f>
        <v>0.44909642699945634</v>
      </c>
      <c r="AE57" s="35">
        <f>KURT(K57:V57)</f>
        <v>-0.75349935292593306</v>
      </c>
    </row>
    <row r="58" spans="2:31" x14ac:dyDescent="0.2">
      <c r="B58" s="34">
        <f>[38]FormattedData!A31</f>
        <v>201</v>
      </c>
      <c r="C58" s="34" t="str">
        <f>VLOOKUP($B58,[38]TrtCodes!$B$11:I74,2)</f>
        <v>NDL</v>
      </c>
      <c r="D58" s="34">
        <f>VLOOKUP($B58,[38]TrtCodes!$B$11:J74,3)</f>
        <v>12</v>
      </c>
      <c r="E58" s="34">
        <f>VLOOKUP($B58,[38]TrtCodes!$B$11:K74,4)</f>
        <v>2</v>
      </c>
      <c r="F58" s="34">
        <f>VLOOKUP($B58,[38]TrtCodes!$B$11:L74,5)</f>
        <v>3</v>
      </c>
      <c r="G58" s="34">
        <f>VLOOKUP($B58,[38]TrtCodes!$B$11:M74,6)</f>
        <v>1</v>
      </c>
      <c r="H58" s="34">
        <f>VLOOKUP($B58,[38]TrtCodes!$B$11:N74,7)</f>
        <v>1</v>
      </c>
      <c r="I58" s="34">
        <f>[38]FormattedData!B31</f>
        <v>2</v>
      </c>
      <c r="J58" s="37">
        <f>[38]FormattedData!C31</f>
        <v>12.944000000000001</v>
      </c>
      <c r="K58" s="39">
        <f>$J$3+[38]FormattedData!D31*$J$4+$M$4*$J$5+[38]FormattedData!D31^2*$J$6+$M$5*$J$7</f>
        <v>28.998733860304782</v>
      </c>
      <c r="L58" s="39">
        <f>$J$3+[38]FormattedData!E31*$J$4+$M$4*$J$5+[38]FormattedData!E31^2*$J$6+$M$5*$J$7</f>
        <v>29.194094519329266</v>
      </c>
      <c r="M58" s="39">
        <f>$J$3+[38]FormattedData!F31*$J$4+$M$4*$J$5+[38]FormattedData!F31^2*$J$6+$M$5*$J$7</f>
        <v>28.705375857733571</v>
      </c>
      <c r="N58" s="39">
        <f>$J$3+[38]FormattedData!G31*$J$4+$M$4*$J$5+[38]FormattedData!G31^2*$J$6+$M$5*$J$7</f>
        <v>29.389286104202021</v>
      </c>
      <c r="O58" s="39">
        <f>$J$3+[38]FormattedData!H31*$J$4+$M$4*$J$5+[38]FormattedData!H31^2*$J$6+$M$5*$J$7</f>
        <v>27.921228035208049</v>
      </c>
      <c r="P58" s="39">
        <f>$J$3+[38]FormattedData!I31*$J$4+$M$4*$J$5+[38]FormattedData!I31^2*$J$6+$M$5*$J$7</f>
        <v>28.117518602067015</v>
      </c>
      <c r="Q58" s="39">
        <f>$J$3+[38]FormattedData!J31*$J$4+$M$4*$J$5+[38]FormattedData!J31^2*$J$6+$M$5*$J$7</f>
        <v>27.626475170885112</v>
      </c>
      <c r="R58" s="39">
        <f>$J$3+[38]FormattedData!K31*$J$4+$M$4*$J$5+[38]FormattedData!K31^2*$J$6+$M$5*$J$7</f>
        <v>27.429761918646832</v>
      </c>
      <c r="S58" s="39">
        <f>$J$3+[38]FormattedData!L31*$J$4+$M$4*$J$5+[38]FormattedData!L31^2*$J$6+$M$5*$J$7</f>
        <v>28.215600482689602</v>
      </c>
      <c r="T58" s="39">
        <f>$J$3+[38]FormattedData!M31*$J$4+$M$4*$J$5+[38]FormattedData!M31^2*$J$6+$M$5*$J$7</f>
        <v>27.921228035208049</v>
      </c>
      <c r="U58" s="39">
        <f>$J$3+[38]FormattedData!N31*$J$4+$M$4*$J$5+[38]FormattedData!N31^2*$J$6+$M$5*$J$7</f>
        <v>31.138402031229241</v>
      </c>
      <c r="V58" s="39">
        <f>$J$3+[38]FormattedData!O31*$J$4+$M$4*$J$5+[38]FormattedData!O31^2*$J$6+$M$5*$J$7</f>
        <v>27.823019348971666</v>
      </c>
      <c r="W58" s="38">
        <f>AVERAGE(K58:V58)</f>
        <v>28.540060330539603</v>
      </c>
      <c r="X58" s="37">
        <f>STDEV(K58:V58)/SQRT(COUNT(K58:V58))</f>
        <v>0.29859907827343329</v>
      </c>
      <c r="Y58" s="36">
        <f>MIN(K58:V58)</f>
        <v>27.429761918646832</v>
      </c>
      <c r="Z58" s="35">
        <f>QUARTILE(K58:V58,1)</f>
        <v>27.896675863648952</v>
      </c>
      <c r="AA58" s="36">
        <f>MEDIAN(K58:V58)</f>
        <v>28.166559542378309</v>
      </c>
      <c r="AB58" s="35">
        <f>QUARTILE(K58:V58,3)</f>
        <v>29.047574025060904</v>
      </c>
      <c r="AC58" s="35">
        <f>MAX(K58:V58)</f>
        <v>31.138402031229241</v>
      </c>
      <c r="AD58" s="35">
        <f>SKEW(K58:V58)</f>
        <v>1.5231409468861798</v>
      </c>
      <c r="AE58" s="35">
        <f>KURT(K58:V58)</f>
        <v>2.7315861644429615</v>
      </c>
    </row>
    <row r="59" spans="2:31" x14ac:dyDescent="0.2">
      <c r="B59" s="34">
        <f>[38]FormattedData!A33</f>
        <v>202</v>
      </c>
      <c r="C59" s="34" t="str">
        <f>VLOOKUP($B59,[38]TrtCodes!$B$11:I76,2)</f>
        <v>NTH</v>
      </c>
      <c r="D59" s="34">
        <f>VLOOKUP($B59,[38]TrtCodes!$B$11:J76,3)</f>
        <v>9</v>
      </c>
      <c r="E59" s="34">
        <f>VLOOKUP($B59,[38]TrtCodes!$B$11:K76,4)</f>
        <v>2</v>
      </c>
      <c r="F59" s="34">
        <f>VLOOKUP($B59,[38]TrtCodes!$B$11:L76,5)</f>
        <v>2</v>
      </c>
      <c r="G59" s="34">
        <f>VLOOKUP($B59,[38]TrtCodes!$B$11:M76,6)</f>
        <v>2</v>
      </c>
      <c r="H59" s="34">
        <f>VLOOKUP($B59,[38]TrtCodes!$B$11:N76,7)</f>
        <v>1</v>
      </c>
      <c r="I59" s="34">
        <f>[38]FormattedData!B33</f>
        <v>2</v>
      </c>
      <c r="J59" s="37">
        <f>[38]FormattedData!C33</f>
        <v>12.961</v>
      </c>
      <c r="K59" s="39">
        <f>$J$3+[38]FormattedData!D33*$J$4+$M$4*$J$5+[38]FormattedData!D33^2*$J$6+$M$5*$J$7</f>
        <v>31.138402031229241</v>
      </c>
      <c r="L59" s="39">
        <f>$J$3+[38]FormattedData!E33*$J$4+$M$4*$J$5+[38]FormattedData!E33^2*$J$6+$M$5*$J$7</f>
        <v>30.556885056252352</v>
      </c>
      <c r="M59" s="39">
        <f>$J$3+[38]FormattedData!F33*$J$4+$M$4*$J$5+[38]FormattedData!F33^2*$J$6+$M$5*$J$7</f>
        <v>31.621837125583539</v>
      </c>
      <c r="N59" s="39">
        <f>$J$3+[38]FormattedData!G33*$J$4+$M$4*$J$5+[38]FormattedData!G33^2*$J$6+$M$5*$J$7</f>
        <v>30.944732113722001</v>
      </c>
      <c r="O59" s="39">
        <f>$J$3+[38]FormattedData!H33*$J$4+$M$4*$J$5+[38]FormattedData!H33^2*$J$6+$M$5*$J$7</f>
        <v>31.428589893455612</v>
      </c>
      <c r="P59" s="39">
        <f>$J$3+[38]FormattedData!I33*$J$4+$M$4*$J$5+[38]FormattedData!I33^2*$J$6+$M$5*$J$7</f>
        <v>31.525234643788544</v>
      </c>
      <c r="Q59" s="39">
        <f>$J$3+[38]FormattedData!J33*$J$4+$M$4*$J$5+[38]FormattedData!J33^2*$J$6+$M$5*$J$7</f>
        <v>29.389286104202021</v>
      </c>
      <c r="R59" s="39">
        <f>$J$3+[38]FormattedData!K33*$J$4+$M$4*$J$5+[38]FormattedData!K33^2*$J$6+$M$5*$J$7</f>
        <v>31.041588206744581</v>
      </c>
      <c r="S59" s="39">
        <f>$J$3+[38]FormattedData!L33*$J$4+$M$4*$J$5+[38]FormattedData!L33^2*$J$6+$M$5*$J$7</f>
        <v>32.007824367384217</v>
      </c>
      <c r="T59" s="39">
        <f>$J$3+[38]FormattedData!M33*$J$4+$M$4*$J$5+[38]FormattedData!M33^2*$J$6+$M$5*$J$7</f>
        <v>30.362707916289946</v>
      </c>
      <c r="U59" s="39">
        <f>$J$3+[38]FormattedData!N33*$J$4+$M$4*$J$5+[38]FormattedData!N33^2*$J$6+$M$5*$J$7</f>
        <v>32.777769961164879</v>
      </c>
      <c r="V59" s="39">
        <f>$J$3+[38]FormattedData!O33*$J$4+$M$4*$J$5+[38]FormattedData!O33^2*$J$6+$M$5*$J$7</f>
        <v>31.041588206744581</v>
      </c>
      <c r="W59" s="38">
        <f>AVERAGE(K59:V59)</f>
        <v>31.153037135546793</v>
      </c>
      <c r="X59" s="37">
        <f>STDEV(K59:V59)/SQRT(COUNT(K59:V59))</f>
        <v>0.24562742600282844</v>
      </c>
      <c r="Y59" s="36">
        <f>MIN(K59:V59)</f>
        <v>29.389286104202021</v>
      </c>
      <c r="Z59" s="35">
        <f>QUARTILE(K59:V59,1)</f>
        <v>30.84777034935459</v>
      </c>
      <c r="AA59" s="36">
        <f>MEDIAN(K59:V59)</f>
        <v>31.089995118986913</v>
      </c>
      <c r="AB59" s="35">
        <f>QUARTILE(K59:V59,3)</f>
        <v>31.549385264237294</v>
      </c>
      <c r="AC59" s="35">
        <f>MAX(K59:V59)</f>
        <v>32.777769961164879</v>
      </c>
      <c r="AD59" s="35">
        <f>SKEW(K59:V59)</f>
        <v>-0.19746453075072684</v>
      </c>
      <c r="AE59" s="35">
        <f>KURT(K59:V59)</f>
        <v>1.3090868514078773</v>
      </c>
    </row>
    <row r="60" spans="2:31" x14ac:dyDescent="0.2">
      <c r="B60" s="34">
        <f>[38]FormattedData!A35</f>
        <v>203</v>
      </c>
      <c r="C60" s="34" t="str">
        <f>VLOOKUP($B60,[38]TrtCodes!$B$11:I78,2)</f>
        <v>FTH</v>
      </c>
      <c r="D60" s="34">
        <f>VLOOKUP($B60,[38]TrtCodes!$B$11:J78,3)</f>
        <v>3</v>
      </c>
      <c r="E60" s="34">
        <f>VLOOKUP($B60,[38]TrtCodes!$B$11:K78,4)</f>
        <v>1</v>
      </c>
      <c r="F60" s="34">
        <f>VLOOKUP($B60,[38]TrtCodes!$B$11:L78,5)</f>
        <v>2</v>
      </c>
      <c r="G60" s="34">
        <f>VLOOKUP($B60,[38]TrtCodes!$B$11:M78,6)</f>
        <v>2</v>
      </c>
      <c r="H60" s="34">
        <f>VLOOKUP($B60,[38]TrtCodes!$B$11:N78,7)</f>
        <v>1</v>
      </c>
      <c r="I60" s="34">
        <f>[38]FormattedData!B35</f>
        <v>2</v>
      </c>
      <c r="J60" s="37">
        <f>[38]FormattedData!C35</f>
        <v>12.977</v>
      </c>
      <c r="K60" s="39">
        <f>$J$3+[38]FormattedData!D35*$J$4+$M$4*$J$5+[38]FormattedData!D35^2*$J$6+$M$5*$J$7</f>
        <v>32.681674701825052</v>
      </c>
      <c r="L60" s="39">
        <f>$J$3+[38]FormattedData!E35*$J$4+$M$4*$J$5+[38]FormattedData!E35^2*$J$6+$M$5*$J$7</f>
        <v>30.847833752161488</v>
      </c>
      <c r="M60" s="39">
        <f>$J$3+[38]FormattedData!F35*$J$4+$M$4*$J$5+[38]FormattedData!F35^2*$J$6+$M$5*$J$7</f>
        <v>31.428589893455612</v>
      </c>
      <c r="N60" s="39">
        <f>$J$3+[38]FormattedData!G35*$J$4+$M$4*$J$5+[38]FormattedData!G35^2*$J$6+$M$5*$J$7</f>
        <v>29.97384641390995</v>
      </c>
      <c r="O60" s="39">
        <f>$J$3+[38]FormattedData!H35*$J$4+$M$4*$J$5+[38]FormattedData!H35^2*$J$6+$M$5*$J$7</f>
        <v>29.584308614923053</v>
      </c>
      <c r="P60" s="39">
        <f>$J$3+[38]FormattedData!I35*$J$4+$M$4*$J$5+[38]FormattedData!I35^2*$J$6+$M$5*$J$7</f>
        <v>30.847833752161488</v>
      </c>
      <c r="Q60" s="39">
        <f>$J$3+[38]FormattedData!J35*$J$4+$M$4*$J$5+[38]FormattedData!J35^2*$J$6+$M$5*$J$7</f>
        <v>30.168361702175808</v>
      </c>
      <c r="R60" s="39">
        <f>$J$3+[38]FormattedData!K35*$J$4+$M$4*$J$5+[38]FormattedData!K35^2*$J$6+$M$5*$J$7</f>
        <v>29.389286104202021</v>
      </c>
      <c r="S60" s="39">
        <f>$J$3+[38]FormattedData!L35*$J$4+$M$4*$J$5+[38]FormattedData!L35^2*$J$6+$M$5*$J$7</f>
        <v>31.041588206744581</v>
      </c>
      <c r="T60" s="39">
        <f>$J$3+[38]FormattedData!M35*$J$4+$M$4*$J$5+[38]FormattedData!M35^2*$J$6+$M$5*$J$7</f>
        <v>29.876525366970128</v>
      </c>
      <c r="U60" s="39">
        <f>$J$3+[38]FormattedData!N35*$J$4+$M$4*$J$5+[38]FormattedData!N35^2*$J$6+$M$5*$J$7</f>
        <v>29.97384641390995</v>
      </c>
      <c r="V60" s="39">
        <f>$J$3+[38]FormattedData!O35*$J$4+$M$4*$J$5+[38]FormattedData!O35^2*$J$6+$M$5*$J$7</f>
        <v>29.681756467476678</v>
      </c>
      <c r="W60" s="38">
        <f>AVERAGE(K60:V60)</f>
        <v>30.457954282492981</v>
      </c>
      <c r="X60" s="37">
        <f>STDEV(K60:V60)/SQRT(COUNT(K60:V60))</f>
        <v>0.27427787185956082</v>
      </c>
      <c r="Y60" s="36">
        <f>MIN(K60:V60)</f>
        <v>29.389286104202021</v>
      </c>
      <c r="Z60" s="35">
        <f>QUARTILE(K60:V60,1)</f>
        <v>29.827833142096765</v>
      </c>
      <c r="AA60" s="36">
        <f>MEDIAN(K60:V60)</f>
        <v>30.071104058042877</v>
      </c>
      <c r="AB60" s="35">
        <f>QUARTILE(K60:V60,3)</f>
        <v>30.896272365807263</v>
      </c>
      <c r="AC60" s="35">
        <f>MAX(K60:V60)</f>
        <v>32.681674701825052</v>
      </c>
      <c r="AD60" s="35">
        <f>SKEW(K60:V60)</f>
        <v>1.1987744028515079</v>
      </c>
      <c r="AE60" s="35">
        <f>KURT(K60:V60)</f>
        <v>1.3774647957089199</v>
      </c>
    </row>
    <row r="61" spans="2:31" x14ac:dyDescent="0.2">
      <c r="B61" s="34">
        <f>[38]FormattedData!A37</f>
        <v>204</v>
      </c>
      <c r="C61" s="34" t="str">
        <f>VLOOKUP($B61,[38]TrtCodes!$B$11:I80,2)</f>
        <v>NDH</v>
      </c>
      <c r="D61" s="34">
        <f>VLOOKUP($B61,[38]TrtCodes!$B$11:J80,3)</f>
        <v>11</v>
      </c>
      <c r="E61" s="34">
        <f>VLOOKUP($B61,[38]TrtCodes!$B$11:K80,4)</f>
        <v>2</v>
      </c>
      <c r="F61" s="34">
        <f>VLOOKUP($B61,[38]TrtCodes!$B$11:L80,5)</f>
        <v>3</v>
      </c>
      <c r="G61" s="34">
        <f>VLOOKUP($B61,[38]TrtCodes!$B$11:M80,6)</f>
        <v>2</v>
      </c>
      <c r="H61" s="34">
        <f>VLOOKUP($B61,[38]TrtCodes!$B$11:N80,7)</f>
        <v>1</v>
      </c>
      <c r="I61" s="34">
        <f>[38]FormattedData!B37</f>
        <v>2</v>
      </c>
      <c r="J61" s="37">
        <f>[38]FormattedData!C37</f>
        <v>12.994</v>
      </c>
      <c r="K61" s="39">
        <f>$J$3+[38]FormattedData!D37*$J$4+$M$4*$J$5+[38]FormattedData!D37^2*$J$6+$M$5*$J$7</f>
        <v>28.215600482689602</v>
      </c>
      <c r="L61" s="39">
        <f>$J$3+[38]FormattedData!E37*$J$4+$M$4*$J$5+[38]FormattedData!E37^2*$J$6+$M$5*$J$7</f>
        <v>28.313640094774257</v>
      </c>
      <c r="M61" s="39">
        <f>$J$3+[38]FormattedData!F37*$J$4+$M$4*$J$5+[38]FormattedData!F37^2*$J$6+$M$5*$J$7</f>
        <v>29.096435324085988</v>
      </c>
      <c r="N61" s="39">
        <f>$J$3+[38]FormattedData!G37*$J$4+$M$4*$J$5+[38]FormattedData!G37^2*$J$6+$M$5*$J$7</f>
        <v>30.556885056252352</v>
      </c>
      <c r="O61" s="39">
        <f>$J$3+[38]FormattedData!H37*$J$4+$M$4*$J$5+[38]FormattedData!H37^2*$J$6+$M$5*$J$7</f>
        <v>27.724768394197355</v>
      </c>
      <c r="P61" s="39">
        <f>$J$3+[38]FormattedData!I37*$J$4+$M$4*$J$5+[38]FormattedData!I37^2*$J$6+$M$5*$J$7</f>
        <v>31.331902874584756</v>
      </c>
      <c r="Q61" s="39">
        <f>$J$3+[38]FormattedData!J37*$J$4+$M$4*$J$5+[38]FormattedData!J37^2*$J$6+$M$5*$J$7</f>
        <v>34.404922283638427</v>
      </c>
      <c r="R61" s="39">
        <f>$J$3+[38]FormattedData!K37*$J$4+$M$4*$J$5+[38]FormattedData!K37^2*$J$6+$M$5*$J$7</f>
        <v>31.235173587175957</v>
      </c>
      <c r="S61" s="39">
        <f>$J$3+[38]FormattedData!L37*$J$4+$M$4*$J$5+[38]FormattedData!L37^2*$J$6+$M$5*$J$7</f>
        <v>30.459817620540115</v>
      </c>
      <c r="T61" s="39">
        <f>$J$3+[38]FormattedData!M37*$J$4+$M$4*$J$5+[38]FormattedData!M37^2*$J$6+$M$5*$J$7</f>
        <v>28.509592513329778</v>
      </c>
      <c r="U61" s="39">
        <f>$J$3+[38]FormattedData!N37*$J$4+$M$4*$J$5+[38]FormattedData!N37^2*$J$6+$M$5*$J$7</f>
        <v>29.681756467476678</v>
      </c>
      <c r="V61" s="39">
        <f>$J$3+[38]FormattedData!O37*$J$4+$M$4*$J$5+[38]FormattedData!O37^2*$J$6+$M$5*$J$7</f>
        <v>29.584308614923053</v>
      </c>
      <c r="W61" s="38">
        <f>AVERAGE(K61:V61)</f>
        <v>29.926233609472359</v>
      </c>
      <c r="X61" s="37">
        <f>STDEV(K61:V61)/SQRT(COUNT(K61:V61))</f>
        <v>0.53424831737184486</v>
      </c>
      <c r="Y61" s="36">
        <f>MIN(K61:V61)</f>
        <v>27.724768394197355</v>
      </c>
      <c r="Z61" s="35">
        <f>QUARTILE(K61:V61,1)</f>
        <v>28.460604408690898</v>
      </c>
      <c r="AA61" s="36">
        <f>MEDIAN(K61:V61)</f>
        <v>29.633032541199867</v>
      </c>
      <c r="AB61" s="35">
        <f>QUARTILE(K61:V61,3)</f>
        <v>30.726457188983254</v>
      </c>
      <c r="AC61" s="35">
        <f>MAX(K61:V61)</f>
        <v>34.404922283638427</v>
      </c>
      <c r="AD61" s="35">
        <f>SKEW(K61:V61)</f>
        <v>1.2377921514223791</v>
      </c>
      <c r="AE61" s="35">
        <f>KURT(K61:V61)</f>
        <v>2.0483403203489017</v>
      </c>
    </row>
    <row r="62" spans="2:31" x14ac:dyDescent="0.2">
      <c r="B62" s="34">
        <f>[38]FormattedData!A39</f>
        <v>205</v>
      </c>
      <c r="C62" s="34" t="str">
        <f>VLOOKUP($B62,[38]TrtCodes!$B$11:I82,2)</f>
        <v>FSH</v>
      </c>
      <c r="D62" s="34">
        <f>VLOOKUP($B62,[38]TrtCodes!$B$11:J82,3)</f>
        <v>1</v>
      </c>
      <c r="E62" s="34">
        <f>VLOOKUP($B62,[38]TrtCodes!$B$11:K82,4)</f>
        <v>1</v>
      </c>
      <c r="F62" s="34">
        <f>VLOOKUP($B62,[38]TrtCodes!$B$11:L82,5)</f>
        <v>1</v>
      </c>
      <c r="G62" s="34">
        <f>VLOOKUP($B62,[38]TrtCodes!$B$11:M82,6)</f>
        <v>2</v>
      </c>
      <c r="H62" s="34">
        <f>VLOOKUP($B62,[38]TrtCodes!$B$11:N82,7)</f>
        <v>2</v>
      </c>
      <c r="I62" s="34">
        <f>[38]FormattedData!B39</f>
        <v>2</v>
      </c>
      <c r="J62" s="37">
        <f>[38]FormattedData!C39</f>
        <v>13.009</v>
      </c>
      <c r="K62" s="39">
        <f>$J$3+[38]FormattedData!D39*$J$4+$M$4*$J$5+[38]FormattedData!D39^2*$J$6+$M$5*$J$7</f>
        <v>30.75089312206304</v>
      </c>
      <c r="L62" s="39">
        <f>$J$3+[38]FormattedData!E39*$J$4+$M$4*$J$5+[38]FormattedData!E39^2*$J$6+$M$5*$J$7</f>
        <v>30.459817620540115</v>
      </c>
      <c r="M62" s="39">
        <f>$J$3+[38]FormattedData!F39*$J$4+$M$4*$J$5+[38]FormattedData!F39^2*$J$6+$M$5*$J$7</f>
        <v>31.814915283559742</v>
      </c>
      <c r="N62" s="39">
        <f>$J$3+[38]FormattedData!G39*$J$4+$M$4*$J$5+[38]FormattedData!G39^2*$J$6+$M$5*$J$7</f>
        <v>31.718397338840603</v>
      </c>
      <c r="O62" s="39">
        <f>$J$3+[38]FormattedData!H39*$J$4+$M$4*$J$5+[38]FormattedData!H39^2*$J$6+$M$5*$J$7</f>
        <v>30.75089312206304</v>
      </c>
      <c r="P62" s="39">
        <f>$J$3+[38]FormattedData!I39*$J$4+$M$4*$J$5+[38]FormattedData!I39^2*$J$6+$M$5*$J$7</f>
        <v>33.065802127956758</v>
      </c>
      <c r="Q62" s="39">
        <f>$J$3+[38]FormattedData!J39*$J$4+$M$4*$J$5+[38]FormattedData!J39^2*$J$6+$M$5*$J$7</f>
        <v>30.071125192311843</v>
      </c>
      <c r="R62" s="39">
        <f>$J$3+[38]FormattedData!K39*$J$4+$M$4*$J$5+[38]FormattedData!K39^2*$J$6+$M$5*$J$7</f>
        <v>32.393135312578003</v>
      </c>
      <c r="S62" s="39">
        <f>$J$3+[38]FormattedData!L39*$J$4+$M$4*$J$5+[38]FormattedData!L39^2*$J$6+$M$5*$J$7</f>
        <v>30.265555943501838</v>
      </c>
      <c r="T62" s="39">
        <f>$J$3+[38]FormattedData!M39*$J$4+$M$4*$J$5+[38]FormattedData!M39^2*$J$6+$M$5*$J$7</f>
        <v>30.071125192311843</v>
      </c>
      <c r="U62" s="39">
        <f>$J$3+[38]FormattedData!N39*$J$4+$M$4*$J$5+[38]FormattedData!N39^2*$J$6+$M$5*$J$7</f>
        <v>30.071125192311843</v>
      </c>
      <c r="V62" s="39">
        <f>$J$3+[38]FormattedData!O39*$J$4+$M$4*$J$5+[38]FormattedData!O39^2*$J$6+$M$5*$J$7</f>
        <v>31.814915283559742</v>
      </c>
      <c r="W62" s="38">
        <f>AVERAGE(K62:V62)</f>
        <v>31.103975060966537</v>
      </c>
      <c r="X62" s="37">
        <f>STDEV(K62:V62)/SQRT(COUNT(K62:V62))</f>
        <v>0.2947346266603702</v>
      </c>
      <c r="Y62" s="36">
        <f>MIN(K62:V62)</f>
        <v>30.071125192311843</v>
      </c>
      <c r="Z62" s="35">
        <f>QUARTILE(K62:V62,1)</f>
        <v>30.216948255704338</v>
      </c>
      <c r="AA62" s="36">
        <f>MEDIAN(K62:V62)</f>
        <v>30.75089312206304</v>
      </c>
      <c r="AB62" s="35">
        <f>QUARTILE(K62:V62,3)</f>
        <v>31.814915283559742</v>
      </c>
      <c r="AC62" s="35">
        <f>MAX(K62:V62)</f>
        <v>33.065802127956758</v>
      </c>
      <c r="AD62" s="35">
        <f>SKEW(K62:V62)</f>
        <v>0.65534121036712012</v>
      </c>
      <c r="AE62" s="35">
        <f>KURT(K62:V62)</f>
        <v>-0.79379049653881006</v>
      </c>
    </row>
    <row r="63" spans="2:31" x14ac:dyDescent="0.2">
      <c r="B63" s="34">
        <f>[38]FormattedData!A41</f>
        <v>206</v>
      </c>
      <c r="C63" s="34" t="str">
        <f>VLOOKUP($B63,[38]TrtCodes!$B$11:I84,2)</f>
        <v>NSL</v>
      </c>
      <c r="D63" s="34">
        <f>VLOOKUP($B63,[38]TrtCodes!$B$11:J84,3)</f>
        <v>8</v>
      </c>
      <c r="E63" s="34">
        <f>VLOOKUP($B63,[38]TrtCodes!$B$11:K84,4)</f>
        <v>2</v>
      </c>
      <c r="F63" s="34">
        <f>VLOOKUP($B63,[38]TrtCodes!$B$11:L84,5)</f>
        <v>1</v>
      </c>
      <c r="G63" s="34">
        <f>VLOOKUP($B63,[38]TrtCodes!$B$11:M84,6)</f>
        <v>1</v>
      </c>
      <c r="H63" s="34">
        <f>VLOOKUP($B63,[38]TrtCodes!$B$11:N84,7)</f>
        <v>2</v>
      </c>
      <c r="I63" s="34">
        <f>[38]FormattedData!B41</f>
        <v>2</v>
      </c>
      <c r="J63" s="37">
        <f>[38]FormattedData!C41</f>
        <v>13.026</v>
      </c>
      <c r="K63" s="39">
        <f>$J$3+[38]FormattedData!D41*$J$4+$M$4*$J$5+[38]FormattedData!D41^2*$J$6+$M$5*$J$7</f>
        <v>31.235173587175957</v>
      </c>
      <c r="L63" s="39">
        <f>$J$3+[38]FormattedData!E41*$J$4+$M$4*$J$5+[38]FormattedData!E41^2*$J$6+$M$5*$J$7</f>
        <v>28.803204127128573</v>
      </c>
      <c r="M63" s="39">
        <f>$J$3+[38]FormattedData!F41*$J$4+$M$4*$J$5+[38]FormattedData!F41^2*$J$6+$M$5*$J$7</f>
        <v>29.096435324085988</v>
      </c>
      <c r="N63" s="39">
        <f>$J$3+[38]FormattedData!G41*$J$4+$M$4*$J$5+[38]FormattedData!G41^2*$J$6+$M$5*$J$7</f>
        <v>29.291711446034608</v>
      </c>
      <c r="O63" s="39">
        <f>$J$3+[38]FormattedData!H41*$J$4+$M$4*$J$5+[38]FormattedData!H41^2*$J$6+$M$5*$J$7</f>
        <v>29.97384641390995</v>
      </c>
      <c r="P63" s="39">
        <f>$J$3+[38]FormattedData!I41*$J$4+$M$4*$J$5+[38]FormattedData!I41^2*$J$6+$M$5*$J$7</f>
        <v>29.681756467476678</v>
      </c>
      <c r="Q63" s="39">
        <f>$J$3+[38]FormattedData!J41*$J$4+$M$4*$J$5+[38]FormattedData!J41^2*$J$6+$M$5*$J$7</f>
        <v>30.556885056252352</v>
      </c>
      <c r="R63" s="39">
        <f>$J$3+[38]FormattedData!K41*$J$4+$M$4*$J$5+[38]FormattedData!K41^2*$J$6+$M$5*$J$7</f>
        <v>30.459817620540115</v>
      </c>
      <c r="S63" s="39">
        <f>$J$3+[38]FormattedData!L41*$J$4+$M$4*$J$5+[38]FormattedData!L41^2*$J$6+$M$5*$J$7</f>
        <v>31.235173587175957</v>
      </c>
      <c r="T63" s="39">
        <f>$J$3+[38]FormattedData!M41*$J$4+$M$4*$J$5+[38]FormattedData!M41^2*$J$6+$M$5*$J$7</f>
        <v>36.964115519565297</v>
      </c>
      <c r="U63" s="39">
        <f>$J$3+[38]FormattedData!N41*$J$4+$M$4*$J$5+[38]FormattedData!N41^2*$J$6+$M$5*$J$7</f>
        <v>28.509592513329778</v>
      </c>
      <c r="V63" s="39">
        <f>$J$3+[38]FormattedData!O41*$J$4+$M$4*$J$5+[38]FormattedData!O41^2*$J$6+$M$5*$J$7</f>
        <v>29.486818493831507</v>
      </c>
      <c r="W63" s="38">
        <f>AVERAGE(K63:V63)</f>
        <v>30.441210846375558</v>
      </c>
      <c r="X63" s="37">
        <f>STDEV(K63:V63)/SQRT(COUNT(K63:V63))</f>
        <v>0.64592438154204168</v>
      </c>
      <c r="Y63" s="36">
        <f>MIN(K63:V63)</f>
        <v>28.509592513329778</v>
      </c>
      <c r="Z63" s="35">
        <f>QUARTILE(K63:V63,1)</f>
        <v>29.242892415547452</v>
      </c>
      <c r="AA63" s="36">
        <f>MEDIAN(K63:V63)</f>
        <v>29.827801440693314</v>
      </c>
      <c r="AB63" s="35">
        <f>QUARTILE(K63:V63,3)</f>
        <v>30.726457188983254</v>
      </c>
      <c r="AC63" s="35">
        <f>MAX(K63:V63)</f>
        <v>36.964115519565297</v>
      </c>
      <c r="AD63" s="35">
        <f>SKEW(K63:V63)</f>
        <v>2.5472641430706191</v>
      </c>
      <c r="AE63" s="35">
        <f>KURT(K63:V63)</f>
        <v>7.5241537637930254</v>
      </c>
    </row>
    <row r="64" spans="2:31" x14ac:dyDescent="0.2">
      <c r="B64" s="34">
        <f>[38]FormattedData!A43</f>
        <v>207</v>
      </c>
      <c r="C64" s="34" t="str">
        <f>VLOOKUP($B64,[38]TrtCodes!$B$11:I86,2)</f>
        <v>FTL</v>
      </c>
      <c r="D64" s="34">
        <f>VLOOKUP($B64,[38]TrtCodes!$B$11:J86,3)</f>
        <v>4</v>
      </c>
      <c r="E64" s="34">
        <f>VLOOKUP($B64,[38]TrtCodes!$B$11:K86,4)</f>
        <v>1</v>
      </c>
      <c r="F64" s="34">
        <f>VLOOKUP($B64,[38]TrtCodes!$B$11:L86,5)</f>
        <v>2</v>
      </c>
      <c r="G64" s="34">
        <f>VLOOKUP($B64,[38]TrtCodes!$B$11:M86,6)</f>
        <v>1</v>
      </c>
      <c r="H64" s="34">
        <f>VLOOKUP($B64,[38]TrtCodes!$B$11:N86,7)</f>
        <v>2</v>
      </c>
      <c r="I64" s="34">
        <f>[38]FormattedData!B43</f>
        <v>2</v>
      </c>
      <c r="J64" s="37">
        <f>[38]FormattedData!C43</f>
        <v>13.042</v>
      </c>
      <c r="K64" s="39">
        <f>$J$3+[38]FormattedData!D43*$J$4+$M$4*$J$5+[38]FormattedData!D43^2*$J$6+$M$5*$J$7</f>
        <v>32.969833674230735</v>
      </c>
      <c r="L64" s="39">
        <f>$J$3+[38]FormattedData!E43*$J$4+$M$4*$J$5+[38]FormattedData!E43^2*$J$6+$M$5*$J$7</f>
        <v>30.459817620540115</v>
      </c>
      <c r="M64" s="39">
        <f>$J$3+[38]FormattedData!F43*$J$4+$M$4*$J$5+[38]FormattedData!F43^2*$J$6+$M$5*$J$7</f>
        <v>29.681756467476678</v>
      </c>
      <c r="N64" s="39">
        <f>$J$3+[38]FormattedData!G43*$J$4+$M$4*$J$5+[38]FormattedData!G43^2*$J$6+$M$5*$J$7</f>
        <v>31.041588206744581</v>
      </c>
      <c r="O64" s="39">
        <f>$J$3+[38]FormattedData!H43*$J$4+$M$4*$J$5+[38]FormattedData!H43^2*$J$6+$M$5*$J$7</f>
        <v>29.486818493831507</v>
      </c>
      <c r="P64" s="39">
        <f>$J$3+[38]FormattedData!I43*$J$4+$M$4*$J$5+[38]FormattedData!I43^2*$J$6+$M$5*$J$7</f>
        <v>31.235173587175957</v>
      </c>
      <c r="Q64" s="39">
        <f>$J$3+[38]FormattedData!J43*$J$4+$M$4*$J$5+[38]FormattedData!J43^2*$J$6+$M$5*$J$7</f>
        <v>30.265555943501838</v>
      </c>
      <c r="R64" s="39">
        <f>$J$3+[38]FormattedData!K43*$J$4+$M$4*$J$5+[38]FormattedData!K43^2*$J$6+$M$5*$J$7</f>
        <v>30.265555943501838</v>
      </c>
      <c r="S64" s="39">
        <f>$J$3+[38]FormattedData!L43*$J$4+$M$4*$J$5+[38]FormattedData!L43^2*$J$6+$M$5*$J$7</f>
        <v>32.393135312578003</v>
      </c>
      <c r="T64" s="39">
        <f>$J$3+[38]FormattedData!M43*$J$4+$M$4*$J$5+[38]FormattedData!M43^2*$J$6+$M$5*$J$7</f>
        <v>31.235173587175957</v>
      </c>
      <c r="U64" s="39">
        <f>$J$3+[38]FormattedData!N43*$J$4+$M$4*$J$5+[38]FormattedData!N43^2*$J$6+$M$5*$J$7</f>
        <v>31.428589893455612</v>
      </c>
      <c r="V64" s="39">
        <f>$J$3+[38]FormattedData!O43*$J$4+$M$4*$J$5+[38]FormattedData!O43^2*$J$6+$M$5*$J$7</f>
        <v>31.718397338840603</v>
      </c>
      <c r="W64" s="38">
        <f>AVERAGE(K64:V64)</f>
        <v>31.015116339087786</v>
      </c>
      <c r="X64" s="37">
        <f>STDEV(K64:V64)/SQRT(COUNT(K64:V64))</f>
        <v>0.30186984115865706</v>
      </c>
      <c r="Y64" s="36">
        <f>MIN(K64:V64)</f>
        <v>29.486818493831507</v>
      </c>
      <c r="Z64" s="35">
        <f>QUARTILE(K64:V64,1)</f>
        <v>30.265555943501838</v>
      </c>
      <c r="AA64" s="36">
        <f>MEDIAN(K64:V64)</f>
        <v>31.138380896960271</v>
      </c>
      <c r="AB64" s="35">
        <f>QUARTILE(K64:V64,3)</f>
        <v>31.501041754801861</v>
      </c>
      <c r="AC64" s="35">
        <f>MAX(K64:V64)</f>
        <v>32.969833674230735</v>
      </c>
      <c r="AD64" s="35">
        <f>SKEW(K64:V64)</f>
        <v>0.34075758314110322</v>
      </c>
      <c r="AE64" s="35">
        <f>KURT(K64:V64)</f>
        <v>-0.36636108174341775</v>
      </c>
    </row>
    <row r="65" spans="2:31" x14ac:dyDescent="0.2">
      <c r="B65" s="34">
        <f>[38]FormattedData!A45</f>
        <v>208</v>
      </c>
      <c r="C65" s="34" t="str">
        <f>VLOOKUP($B65,[38]TrtCodes!$B$11:I88,2)</f>
        <v>FSL</v>
      </c>
      <c r="D65" s="34">
        <f>VLOOKUP($B65,[38]TrtCodes!$B$11:J88,3)</f>
        <v>2</v>
      </c>
      <c r="E65" s="34">
        <f>VLOOKUP($B65,[38]TrtCodes!$B$11:K88,4)</f>
        <v>1</v>
      </c>
      <c r="F65" s="34">
        <f>VLOOKUP($B65,[38]TrtCodes!$B$11:L88,5)</f>
        <v>1</v>
      </c>
      <c r="G65" s="34">
        <f>VLOOKUP($B65,[38]TrtCodes!$B$11:M88,6)</f>
        <v>1</v>
      </c>
      <c r="H65" s="34">
        <f>VLOOKUP($B65,[38]TrtCodes!$B$11:N88,7)</f>
        <v>2</v>
      </c>
      <c r="I65" s="34">
        <f>[38]FormattedData!B45</f>
        <v>2</v>
      </c>
      <c r="J65" s="37">
        <f>[38]FormattedData!C45</f>
        <v>13.058</v>
      </c>
      <c r="K65" s="39">
        <f>$J$3+[38]FormattedData!D45*$J$4+$M$4*$J$5+[38]FormattedData!D45^2*$J$6+$M$5*$J$7</f>
        <v>31.525234643788544</v>
      </c>
      <c r="L65" s="39">
        <f>$J$3+[38]FormattedData!E45*$J$4+$M$4*$J$5+[38]FormattedData!E45^2*$J$6+$M$5*$J$7</f>
        <v>30.556885056252352</v>
      </c>
      <c r="M65" s="39">
        <f>$J$3+[38]FormattedData!F45*$J$4+$M$4*$J$5+[38]FormattedData!F45^2*$J$6+$M$5*$J$7</f>
        <v>29.681756467476678</v>
      </c>
      <c r="N65" s="39">
        <f>$J$3+[38]FormattedData!G45*$J$4+$M$4*$J$5+[38]FormattedData!G45^2*$J$6+$M$5*$J$7</f>
        <v>33.35345387790727</v>
      </c>
      <c r="O65" s="39">
        <f>$J$3+[38]FormattedData!H45*$J$4+$M$4*$J$5+[38]FormattedData!H45^2*$J$6+$M$5*$J$7</f>
        <v>30.556885056252352</v>
      </c>
      <c r="P65" s="39">
        <f>$J$3+[38]FormattedData!I45*$J$4+$M$4*$J$5+[38]FormattedData!I45^2*$J$6+$M$5*$J$7</f>
        <v>30.362707916289946</v>
      </c>
      <c r="Q65" s="39">
        <f>$J$3+[38]FormattedData!J45*$J$4+$M$4*$J$5+[38]FormattedData!J45^2*$J$6+$M$5*$J$7</f>
        <v>32.296870979086449</v>
      </c>
      <c r="R65" s="39">
        <f>$J$3+[38]FormattedData!K45*$J$4+$M$4*$J$5+[38]FormattedData!K45^2*$J$6+$M$5*$J$7</f>
        <v>29.096435324085988</v>
      </c>
      <c r="S65" s="39">
        <f>$J$3+[38]FormattedData!L45*$J$4+$M$4*$J$5+[38]FormattedData!L45^2*$J$6+$M$5*$J$7</f>
        <v>31.041588206744581</v>
      </c>
      <c r="T65" s="39">
        <f>$J$3+[38]FormattedData!M45*$J$4+$M$4*$J$5+[38]FormattedData!M45^2*$J$6+$M$5*$J$7</f>
        <v>30.459817620540115</v>
      </c>
      <c r="U65" s="39">
        <f>$J$3+[38]FormattedData!N45*$J$4+$M$4*$J$5+[38]FormattedData!N45^2*$J$6+$M$5*$J$7</f>
        <v>31.911390959740949</v>
      </c>
      <c r="V65" s="39">
        <f>$J$3+[38]FormattedData!O45*$J$4+$M$4*$J$5+[38]FormattedData!O45^2*$J$6+$M$5*$J$7</f>
        <v>30.459817620540115</v>
      </c>
      <c r="W65" s="38">
        <f>AVERAGE(K65:V65)</f>
        <v>30.941903644058772</v>
      </c>
      <c r="X65" s="37">
        <f>STDEV(K65:V65)/SQRT(COUNT(K65:V65))</f>
        <v>0.3374605829250667</v>
      </c>
      <c r="Y65" s="36">
        <f>MIN(K65:V65)</f>
        <v>29.096435324085988</v>
      </c>
      <c r="Z65" s="35">
        <f>QUARTILE(K65:V65,1)</f>
        <v>30.435540194477571</v>
      </c>
      <c r="AA65" s="36">
        <f>MEDIAN(K65:V65)</f>
        <v>30.556885056252352</v>
      </c>
      <c r="AB65" s="35">
        <f>QUARTILE(K65:V65,3)</f>
        <v>31.621773722776645</v>
      </c>
      <c r="AC65" s="35">
        <f>MAX(K65:V65)</f>
        <v>33.35345387790727</v>
      </c>
      <c r="AD65" s="35">
        <f>SKEW(K65:V65)</f>
        <v>0.60121707861337581</v>
      </c>
      <c r="AE65" s="35">
        <f>KURT(K65:V65)</f>
        <v>0.40299719524823896</v>
      </c>
    </row>
    <row r="66" spans="2:31" x14ac:dyDescent="0.2">
      <c r="B66" s="34">
        <f>[38]FormattedData!A63</f>
        <v>301</v>
      </c>
      <c r="C66" s="34" t="str">
        <f>VLOOKUP($B66,[38]TrtCodes!$B$11:I106,2)</f>
        <v>NTL</v>
      </c>
      <c r="D66" s="34">
        <f>VLOOKUP($B66,[38]TrtCodes!$B$11:J106,3)</f>
        <v>10</v>
      </c>
      <c r="E66" s="34">
        <f>VLOOKUP($B66,[38]TrtCodes!$B$11:K106,4)</f>
        <v>2</v>
      </c>
      <c r="F66" s="34">
        <f>VLOOKUP($B66,[38]TrtCodes!$B$11:L106,5)</f>
        <v>2</v>
      </c>
      <c r="G66" s="34">
        <f>VLOOKUP($B66,[38]TrtCodes!$B$11:M106,6)</f>
        <v>1</v>
      </c>
      <c r="H66" s="34">
        <f>VLOOKUP($B66,[38]TrtCodes!$B$11:N106,7)</f>
        <v>3</v>
      </c>
      <c r="I66" s="34">
        <f>[38]FormattedData!B63</f>
        <v>2</v>
      </c>
      <c r="J66" s="37">
        <f>[38]FormattedData!C63</f>
        <v>13.170999999999999</v>
      </c>
      <c r="K66" s="39">
        <f>$J$3+[38]FormattedData!D63*$J$4+$M$4*$J$5+[38]FormattedData!D63^2*$J$6+$M$5*$J$7</f>
        <v>32.585537173947301</v>
      </c>
      <c r="L66" s="39">
        <f>$J$3+[38]FormattedData!E63*$J$4+$M$4*$J$5+[38]FormattedData!E63^2*$J$6+$M$5*$J$7</f>
        <v>30.847833752161488</v>
      </c>
      <c r="M66" s="39">
        <f>$J$3+[38]FormattedData!F63*$J$4+$M$4*$J$5+[38]FormattedData!F63^2*$J$6+$M$5*$J$7</f>
        <v>29.486818493831507</v>
      </c>
      <c r="N66" s="39">
        <f>$J$3+[38]FormattedData!G63*$J$4+$M$4*$J$5+[38]FormattedData!G63^2*$J$6+$M$5*$J$7</f>
        <v>31.814915283559742</v>
      </c>
      <c r="O66" s="39">
        <f>$J$3+[38]FormattedData!H63*$J$4+$M$4*$J$5+[38]FormattedData!H63^2*$J$6+$M$5*$J$7</f>
        <v>30.265555943501838</v>
      </c>
      <c r="P66" s="39">
        <f>$J$3+[38]FormattedData!I63*$J$4+$M$4*$J$5+[38]FormattedData!I63^2*$J$6+$M$5*$J$7</f>
        <v>32.585537173947301</v>
      </c>
      <c r="Q66" s="39">
        <f>$J$3+[38]FormattedData!J63*$J$4+$M$4*$J$5+[38]FormattedData!J63^2*$J$6+$M$5*$J$7</f>
        <v>32.489357377531618</v>
      </c>
      <c r="R66" s="39">
        <f>$J$3+[38]FormattedData!K63*$J$4+$M$4*$J$5+[38]FormattedData!K63^2*$J$6+$M$5*$J$7</f>
        <v>30.556885056252352</v>
      </c>
      <c r="S66" s="39">
        <f>$J$3+[38]FormattedData!L63*$J$4+$M$4*$J$5+[38]FormattedData!L63^2*$J$6+$M$5*$J$7</f>
        <v>32.10421550648956</v>
      </c>
      <c r="T66" s="39">
        <f>$J$3+[38]FormattedData!M63*$J$4+$M$4*$J$5+[38]FormattedData!M63^2*$J$6+$M$5*$J$7</f>
        <v>29.779162051492364</v>
      </c>
      <c r="U66" s="39">
        <f>$J$3+[38]FormattedData!N63*$J$4+$M$4*$J$5+[38]FormattedData!N63^2*$J$6+$M$5*$J$7</f>
        <v>32.585537173947301</v>
      </c>
      <c r="V66" s="39">
        <f>$J$3+[38]FormattedData!O63*$J$4+$M$4*$J$5+[38]FormattedData!O63^2*$J$6+$M$5*$J$7</f>
        <v>31.041588206744581</v>
      </c>
      <c r="W66" s="38">
        <f>AVERAGE(K66:V66)</f>
        <v>31.345245266117246</v>
      </c>
      <c r="X66" s="37">
        <f>STDEV(K66:V66)/SQRT(COUNT(K66:V66))</f>
        <v>0.33432228718226642</v>
      </c>
      <c r="Y66" s="36">
        <f>MIN(K66:V66)</f>
        <v>29.486818493831507</v>
      </c>
      <c r="Z66" s="35">
        <f>QUARTILE(K66:V66,1)</f>
        <v>30.484052778064722</v>
      </c>
      <c r="AA66" s="36">
        <f>MEDIAN(K66:V66)</f>
        <v>31.42825174515216</v>
      </c>
      <c r="AB66" s="35">
        <f>QUARTILE(K66:V66,3)</f>
        <v>32.513402326635543</v>
      </c>
      <c r="AC66" s="35">
        <f>MAX(K66:V66)</f>
        <v>32.585537173947301</v>
      </c>
      <c r="AD66" s="35">
        <f>SKEW(K66:V66)</f>
        <v>-0.30879054907000186</v>
      </c>
      <c r="AE66" s="35">
        <f>KURT(K66:V66)</f>
        <v>-1.4973719591930075</v>
      </c>
    </row>
    <row r="67" spans="2:31" x14ac:dyDescent="0.2">
      <c r="B67" s="34">
        <f>[38]FormattedData!A65</f>
        <v>302</v>
      </c>
      <c r="C67" s="34" t="str">
        <f>VLOOKUP($B67,[38]TrtCodes!$B$11:I108,2)</f>
        <v>FTL</v>
      </c>
      <c r="D67" s="34">
        <f>VLOOKUP($B67,[38]TrtCodes!$B$11:J108,3)</f>
        <v>4</v>
      </c>
      <c r="E67" s="34">
        <f>VLOOKUP($B67,[38]TrtCodes!$B$11:K108,4)</f>
        <v>1</v>
      </c>
      <c r="F67" s="34">
        <f>VLOOKUP($B67,[38]TrtCodes!$B$11:L108,5)</f>
        <v>2</v>
      </c>
      <c r="G67" s="34">
        <f>VLOOKUP($B67,[38]TrtCodes!$B$11:M108,6)</f>
        <v>1</v>
      </c>
      <c r="H67" s="34">
        <f>VLOOKUP($B67,[38]TrtCodes!$B$11:N108,7)</f>
        <v>3</v>
      </c>
      <c r="I67" s="34">
        <f>[38]FormattedData!B65</f>
        <v>2</v>
      </c>
      <c r="J67" s="37">
        <f>[38]FormattedData!C65</f>
        <v>13.189</v>
      </c>
      <c r="K67" s="39">
        <f>$J$3+[38]FormattedData!D65*$J$4+$M$4*$J$5+[38]FormattedData!D65^2*$J$6+$M$5*$J$7</f>
        <v>33.83202809039949</v>
      </c>
      <c r="L67" s="39">
        <f>$J$3+[38]FormattedData!E65*$J$4+$M$4*$J$5+[38]FormattedData!E65^2*$J$6+$M$5*$J$7</f>
        <v>32.296870979086449</v>
      </c>
      <c r="M67" s="39">
        <f>$J$3+[38]FormattedData!F65*$J$4+$M$4*$J$5+[38]FormattedData!F65^2*$J$6+$M$5*$J$7</f>
        <v>31.235173587175957</v>
      </c>
      <c r="N67" s="39">
        <f>$J$3+[38]FormattedData!G65*$J$4+$M$4*$J$5+[38]FormattedData!G65^2*$J$6+$M$5*$J$7</f>
        <v>30.168361702175808</v>
      </c>
      <c r="O67" s="39">
        <f>$J$3+[38]FormattedData!H65*$J$4+$M$4*$J$5+[38]FormattedData!H65^2*$J$6+$M$5*$J$7</f>
        <v>30.944732113722001</v>
      </c>
      <c r="P67" s="39">
        <f>$J$3+[38]FormattedData!I65*$J$4+$M$4*$J$5+[38]FormattedData!I65^2*$J$6+$M$5*$J$7</f>
        <v>31.525234643788544</v>
      </c>
      <c r="Q67" s="39">
        <f>$J$3+[38]FormattedData!J65*$J$4+$M$4*$J$5+[38]FormattedData!J65^2*$J$6+$M$5*$J$7</f>
        <v>32.007824367384217</v>
      </c>
      <c r="R67" s="39">
        <f>$J$3+[38]FormattedData!K65*$J$4+$M$4*$J$5+[38]FormattedData!K65^2*$J$6+$M$5*$J$7</f>
        <v>32.681674701825052</v>
      </c>
      <c r="S67" s="39">
        <f>$J$3+[38]FormattedData!L65*$J$4+$M$4*$J$5+[38]FormattedData!L65^2*$J$6+$M$5*$J$7</f>
        <v>31.911390959740949</v>
      </c>
      <c r="T67" s="39">
        <f>$J$3+[38]FormattedData!M65*$J$4+$M$4*$J$5+[38]FormattedData!M65^2*$J$6+$M$5*$J$7</f>
        <v>32.10421550648956</v>
      </c>
      <c r="U67" s="39">
        <f>$J$3+[38]FormattedData!N65*$J$4+$M$4*$J$5+[38]FormattedData!N65^2*$J$6+$M$5*$J$7</f>
        <v>33.545010368517943</v>
      </c>
      <c r="V67" s="39">
        <f>$J$3+[38]FormattedData!O65*$J$4+$M$4*$J$5+[38]FormattedData!O65^2*$J$6+$M$5*$J$7</f>
        <v>30.459817620540115</v>
      </c>
      <c r="W67" s="38">
        <f>AVERAGE(K67:V67)</f>
        <v>31.892694553403839</v>
      </c>
      <c r="X67" s="37">
        <f>STDEV(K67:V67)/SQRT(COUNT(K67:V67))</f>
        <v>0.3236605194156788</v>
      </c>
      <c r="Y67" s="36">
        <f>MIN(K67:V67)</f>
        <v>30.168361702175808</v>
      </c>
      <c r="Z67" s="35">
        <f>QUARTILE(K67:V67,1)</f>
        <v>31.162563218812469</v>
      </c>
      <c r="AA67" s="36">
        <f>MEDIAN(K67:V67)</f>
        <v>31.959607663562583</v>
      </c>
      <c r="AB67" s="35">
        <f>QUARTILE(K67:V67,3)</f>
        <v>32.393071909771102</v>
      </c>
      <c r="AC67" s="35">
        <f>MAX(K67:V67)</f>
        <v>33.83202809039949</v>
      </c>
      <c r="AD67" s="35">
        <f>SKEW(K67:V67)</f>
        <v>0.24137046803609033</v>
      </c>
      <c r="AE67" s="35">
        <f>KURT(K67:V67)</f>
        <v>-0.43515485547567412</v>
      </c>
    </row>
    <row r="68" spans="2:31" x14ac:dyDescent="0.2">
      <c r="B68" s="34">
        <f>[38]FormattedData!A67</f>
        <v>303</v>
      </c>
      <c r="C68" s="34" t="str">
        <f>VLOOKUP($B68,[38]TrtCodes!$B$11:I110,2)</f>
        <v>NSL</v>
      </c>
      <c r="D68" s="34">
        <f>VLOOKUP($B68,[38]TrtCodes!$B$11:J110,3)</f>
        <v>8</v>
      </c>
      <c r="E68" s="34">
        <f>VLOOKUP($B68,[38]TrtCodes!$B$11:K110,4)</f>
        <v>2</v>
      </c>
      <c r="F68" s="34">
        <f>VLOOKUP($B68,[38]TrtCodes!$B$11:L110,5)</f>
        <v>1</v>
      </c>
      <c r="G68" s="34">
        <f>VLOOKUP($B68,[38]TrtCodes!$B$11:M110,6)</f>
        <v>1</v>
      </c>
      <c r="H68" s="34">
        <f>VLOOKUP($B68,[38]TrtCodes!$B$11:N110,7)</f>
        <v>3</v>
      </c>
      <c r="I68" s="34">
        <f>[38]FormattedData!B67</f>
        <v>2</v>
      </c>
      <c r="J68" s="37">
        <f>[38]FormattedData!C67</f>
        <v>13.207000000000001</v>
      </c>
      <c r="K68" s="39">
        <f>$J$3+[38]FormattedData!D67*$J$4+$M$4*$J$5+[38]FormattedData!D67^2*$J$6+$M$5*$J$7</f>
        <v>35.451276196279899</v>
      </c>
      <c r="L68" s="39">
        <f>$J$3+[38]FormattedData!E67*$J$4+$M$4*$J$5+[38]FormattedData!E67^2*$J$6+$M$5*$J$7</f>
        <v>33.35345387790727</v>
      </c>
      <c r="M68" s="39">
        <f>$J$3+[38]FormattedData!F67*$J$4+$M$4*$J$5+[38]FormattedData!F67^2*$J$6+$M$5*$J$7</f>
        <v>30.459817620540115</v>
      </c>
      <c r="N68" s="39">
        <f>$J$3+[38]FormattedData!G67*$J$4+$M$4*$J$5+[38]FormattedData!G67^2*$J$6+$M$5*$J$7</f>
        <v>31.041588206744581</v>
      </c>
      <c r="O68" s="39">
        <f>$J$3+[38]FormattedData!H67*$J$4+$M$4*$J$5+[38]FormattedData!H67^2*$J$6+$M$5*$J$7</f>
        <v>30.75089312206304</v>
      </c>
      <c r="P68" s="39">
        <f>$J$3+[38]FormattedData!I67*$J$4+$M$4*$J$5+[38]FormattedData!I67^2*$J$6+$M$5*$J$7</f>
        <v>31.235173587175957</v>
      </c>
      <c r="Q68" s="39">
        <f>$J$3+[38]FormattedData!J67*$J$4+$M$4*$J$5+[38]FormattedData!J67^2*$J$6+$M$5*$J$7</f>
        <v>29.97384641390995</v>
      </c>
      <c r="R68" s="39">
        <f>$J$3+[38]FormattedData!K67*$J$4+$M$4*$J$5+[38]FormattedData!K67^2*$J$6+$M$5*$J$7</f>
        <v>30.847833752161488</v>
      </c>
      <c r="S68" s="39">
        <f>$J$3+[38]FormattedData!L67*$J$4+$M$4*$J$5+[38]FormattedData!L67^2*$J$6+$M$5*$J$7</f>
        <v>31.718397338840603</v>
      </c>
      <c r="T68" s="39">
        <f>$J$3+[38]FormattedData!M67*$J$4+$M$4*$J$5+[38]FormattedData!M67^2*$J$6+$M$5*$J$7</f>
        <v>30.944732113722001</v>
      </c>
      <c r="U68" s="39">
        <f>$J$3+[38]FormattedData!N67*$J$4+$M$4*$J$5+[38]FormattedData!N67^2*$J$6+$M$5*$J$7</f>
        <v>30.362707916289946</v>
      </c>
      <c r="V68" s="39">
        <f>$J$3+[38]FormattedData!O67*$J$4+$M$4*$J$5+[38]FormattedData!O67^2*$J$6+$M$5*$J$7</f>
        <v>32.007824367384217</v>
      </c>
      <c r="W68" s="38">
        <f>AVERAGE(K68:V68)</f>
        <v>31.512295376084921</v>
      </c>
      <c r="X68" s="37">
        <f>STDEV(K68:V68)/SQRT(COUNT(K68:V68))</f>
        <v>0.44065447122893858</v>
      </c>
      <c r="Y68" s="36">
        <f>MIN(K68:V68)</f>
        <v>29.97384641390995</v>
      </c>
      <c r="Z68" s="35">
        <f>QUARTILE(K68:V68,1)</f>
        <v>30.678124246682309</v>
      </c>
      <c r="AA68" s="36">
        <f>MEDIAN(K68:V68)</f>
        <v>30.993160160233291</v>
      </c>
      <c r="AB68" s="35">
        <f>QUARTILE(K68:V68,3)</f>
        <v>31.790754095976506</v>
      </c>
      <c r="AC68" s="35">
        <f>MAX(K68:V68)</f>
        <v>35.451276196279899</v>
      </c>
      <c r="AD68" s="35">
        <f>SKEW(K68:V68)</f>
        <v>1.8438467840466053</v>
      </c>
      <c r="AE68" s="35">
        <f>KURT(K68:V68)</f>
        <v>3.5575295576434636</v>
      </c>
    </row>
    <row r="69" spans="2:31" x14ac:dyDescent="0.2">
      <c r="B69" s="34">
        <f>[38]FormattedData!A69</f>
        <v>304</v>
      </c>
      <c r="C69" s="34" t="str">
        <f>VLOOKUP($B69,[38]TrtCodes!$B$11:I112,2)</f>
        <v>FSL</v>
      </c>
      <c r="D69" s="34">
        <f>VLOOKUP($B69,[38]TrtCodes!$B$11:J112,3)</f>
        <v>2</v>
      </c>
      <c r="E69" s="34">
        <f>VLOOKUP($B69,[38]TrtCodes!$B$11:K112,4)</f>
        <v>1</v>
      </c>
      <c r="F69" s="34">
        <f>VLOOKUP($B69,[38]TrtCodes!$B$11:L112,5)</f>
        <v>1</v>
      </c>
      <c r="G69" s="34">
        <f>VLOOKUP($B69,[38]TrtCodes!$B$11:M112,6)</f>
        <v>1</v>
      </c>
      <c r="H69" s="34">
        <f>VLOOKUP($B69,[38]TrtCodes!$B$11:N112,7)</f>
        <v>3</v>
      </c>
      <c r="I69" s="34">
        <f>[38]FormattedData!B69</f>
        <v>2</v>
      </c>
      <c r="J69" s="37">
        <f>[38]FormattedData!C69</f>
        <v>13.224</v>
      </c>
      <c r="K69" s="39">
        <f>$J$3+[38]FormattedData!D69*$J$4+$M$4*$J$5+[38]FormattedData!D69^2*$J$6+$M$5*$J$7</f>
        <v>31.911390959740949</v>
      </c>
      <c r="L69" s="39">
        <f>$J$3+[38]FormattedData!E69*$J$4+$M$4*$J$5+[38]FormattedData!E69^2*$J$6+$M$5*$J$7</f>
        <v>31.331902874584756</v>
      </c>
      <c r="M69" s="39">
        <f>$J$3+[38]FormattedData!F69*$J$4+$M$4*$J$5+[38]FormattedData!F69^2*$J$6+$M$5*$J$7</f>
        <v>35.546145668019719</v>
      </c>
      <c r="N69" s="39">
        <f>$J$3+[38]FormattedData!G69*$J$4+$M$4*$J$5+[38]FormattedData!G69^2*$J$6+$M$5*$J$7</f>
        <v>31.041588206744581</v>
      </c>
      <c r="O69" s="39">
        <f>$J$3+[38]FormattedData!H69*$J$4+$M$4*$J$5+[38]FormattedData!H69^2*$J$6+$M$5*$J$7</f>
        <v>30.556885056252352</v>
      </c>
      <c r="P69" s="39">
        <f>$J$3+[38]FormattedData!I69*$J$4+$M$4*$J$5+[38]FormattedData!I69^2*$J$6+$M$5*$J$7</f>
        <v>30.556885056252352</v>
      </c>
      <c r="Q69" s="39">
        <f>$J$3+[38]FormattedData!J69*$J$4+$M$4*$J$5+[38]FormattedData!J69^2*$J$6+$M$5*$J$7</f>
        <v>32.873822951966773</v>
      </c>
      <c r="R69" s="39">
        <f>$J$3+[38]FormattedData!K69*$J$4+$M$4*$J$5+[38]FormattedData!K69^2*$J$6+$M$5*$J$7</f>
        <v>32.296870979086449</v>
      </c>
      <c r="S69" s="39">
        <f>$J$3+[38]FormattedData!L69*$J$4+$M$4*$J$5+[38]FormattedData!L69^2*$J$6+$M$5*$J$7</f>
        <v>33.449253257481573</v>
      </c>
      <c r="T69" s="39">
        <f>$J$3+[38]FormattedData!M69*$J$4+$M$4*$J$5+[38]FormattedData!M69^2*$J$6+$M$5*$J$7</f>
        <v>31.331902874584756</v>
      </c>
      <c r="U69" s="39">
        <f>$J$3+[38]FormattedData!N69*$J$4+$M$4*$J$5+[38]FormattedData!N69^2*$J$6+$M$5*$J$7</f>
        <v>32.585537173947301</v>
      </c>
      <c r="V69" s="39">
        <f>$J$3+[38]FormattedData!O69*$J$4+$M$4*$J$5+[38]FormattedData!O69^2*$J$6+$M$5*$J$7</f>
        <v>31.911390959740949</v>
      </c>
      <c r="W69" s="38">
        <f>AVERAGE(K69:V69)</f>
        <v>32.116131334866878</v>
      </c>
      <c r="X69" s="37">
        <f>STDEV(K69:V69)/SQRT(COUNT(K69:V69))</f>
        <v>0.40545825440646321</v>
      </c>
      <c r="Y69" s="36">
        <f>MIN(K69:V69)</f>
        <v>30.556885056252352</v>
      </c>
      <c r="Z69" s="35">
        <f>QUARTILE(K69:V69,1)</f>
        <v>31.259324207624712</v>
      </c>
      <c r="AA69" s="36">
        <f>MEDIAN(K69:V69)</f>
        <v>31.911390959740949</v>
      </c>
      <c r="AB69" s="35">
        <f>QUARTILE(K69:V69,3)</f>
        <v>32.657608618452173</v>
      </c>
      <c r="AC69" s="35">
        <f>MAX(K69:V69)</f>
        <v>35.546145668019719</v>
      </c>
      <c r="AD69" s="35">
        <f>SKEW(K69:V69)</f>
        <v>1.3174908122967501</v>
      </c>
      <c r="AE69" s="35">
        <f>KURT(K69:V69)</f>
        <v>2.2776837036351472</v>
      </c>
    </row>
    <row r="70" spans="2:31" x14ac:dyDescent="0.2">
      <c r="B70" s="34">
        <f>[38]FormattedData!A71</f>
        <v>305</v>
      </c>
      <c r="C70" s="34" t="str">
        <f>VLOOKUP($B70,[38]TrtCodes!$B$11:I114,2)</f>
        <v>NDH</v>
      </c>
      <c r="D70" s="34">
        <f>VLOOKUP($B70,[38]TrtCodes!$B$11:J114,3)</f>
        <v>11</v>
      </c>
      <c r="E70" s="34">
        <f>VLOOKUP($B70,[38]TrtCodes!$B$11:K114,4)</f>
        <v>2</v>
      </c>
      <c r="F70" s="34">
        <f>VLOOKUP($B70,[38]TrtCodes!$B$11:L114,5)</f>
        <v>3</v>
      </c>
      <c r="G70" s="34">
        <f>VLOOKUP($B70,[38]TrtCodes!$B$11:M114,6)</f>
        <v>2</v>
      </c>
      <c r="H70" s="34">
        <f>VLOOKUP($B70,[38]TrtCodes!$B$11:N114,7)</f>
        <v>4</v>
      </c>
      <c r="I70" s="34">
        <f>[38]FormattedData!B71</f>
        <v>2</v>
      </c>
      <c r="J70" s="37">
        <f>[38]FormattedData!C71</f>
        <v>13.241</v>
      </c>
      <c r="K70" s="39">
        <f>$J$3+[38]FormattedData!D71*$J$4+$M$4*$J$5+[38]FormattedData!D71^2*$J$6+$M$5*$J$7</f>
        <v>31.041588206744581</v>
      </c>
      <c r="L70" s="39">
        <f>$J$3+[38]FormattedData!E71*$J$4+$M$4*$J$5+[38]FormattedData!E71^2*$J$6+$M$5*$J$7</f>
        <v>27.429761918646832</v>
      </c>
      <c r="M70" s="39">
        <f>$J$3+[38]FormattedData!F71*$J$4+$M$4*$J$5+[38]FormattedData!F71^2*$J$6+$M$5*$J$7</f>
        <v>29.584308614923053</v>
      </c>
      <c r="N70" s="39">
        <f>$J$3+[38]FormattedData!G71*$J$4+$M$4*$J$5+[38]FormattedData!G71^2*$J$6+$M$5*$J$7</f>
        <v>31.621837125583539</v>
      </c>
      <c r="O70" s="39">
        <f>$J$3+[38]FormattedData!H71*$J$4+$M$4*$J$5+[38]FormattedData!H71^2*$J$6+$M$5*$J$7</f>
        <v>30.847833752161488</v>
      </c>
      <c r="P70" s="39">
        <f>$J$3+[38]FormattedData!I71*$J$4+$M$4*$J$5+[38]FormattedData!I71^2*$J$6+$M$5*$J$7</f>
        <v>29.486818493831507</v>
      </c>
      <c r="Q70" s="39">
        <f>$J$3+[38]FormattedData!J71*$J$4+$M$4*$J$5+[38]FormattedData!J71^2*$J$6+$M$5*$J$7</f>
        <v>31.814915283559742</v>
      </c>
      <c r="R70" s="39">
        <f>$J$3+[38]FormattedData!K71*$J$4+$M$4*$J$5+[38]FormattedData!K71^2*$J$6+$M$5*$J$7</f>
        <v>30.75089312206304</v>
      </c>
      <c r="S70" s="39">
        <f>$J$3+[38]FormattedData!L71*$J$4+$M$4*$J$5+[38]FormattedData!L71^2*$J$6+$M$5*$J$7</f>
        <v>32.007824367384217</v>
      </c>
      <c r="T70" s="39">
        <f>$J$3+[38]FormattedData!M71*$J$4+$M$4*$J$5+[38]FormattedData!M71^2*$J$6+$M$5*$J$7</f>
        <v>28.509592513329778</v>
      </c>
      <c r="U70" s="39">
        <f>$J$3+[38]FormattedData!N71*$J$4+$M$4*$J$5+[38]FormattedData!N71^2*$J$6+$M$5*$J$7</f>
        <v>33.35345387790727</v>
      </c>
      <c r="V70" s="39">
        <f>$J$3+[38]FormattedData!O71*$J$4+$M$4*$J$5+[38]FormattedData!O71^2*$J$6+$M$5*$J$7</f>
        <v>31.718397338840603</v>
      </c>
      <c r="W70" s="38">
        <f>AVERAGE(K70:V70)</f>
        <v>30.68060205124797</v>
      </c>
      <c r="X70" s="37">
        <f>STDEV(K70:V70)/SQRT(COUNT(K70:V70))</f>
        <v>0.47852919973340036</v>
      </c>
      <c r="Y70" s="36">
        <f>MIN(K70:V70)</f>
        <v>27.429761918646832</v>
      </c>
      <c r="Z70" s="35">
        <f>QUARTILE(K70:V70,1)</f>
        <v>29.559936084650168</v>
      </c>
      <c r="AA70" s="36">
        <f>MEDIAN(K70:V70)</f>
        <v>30.944710979453035</v>
      </c>
      <c r="AB70" s="35">
        <f>QUARTILE(K70:V70,3)</f>
        <v>31.742526825020388</v>
      </c>
      <c r="AC70" s="35">
        <f>MAX(K70:V70)</f>
        <v>33.35345387790727</v>
      </c>
      <c r="AD70" s="35">
        <f>SKEW(K70:V70)</f>
        <v>-0.54388502709129005</v>
      </c>
      <c r="AE70" s="35">
        <f>KURT(K70:V70)</f>
        <v>3.8797564550450581E-2</v>
      </c>
    </row>
    <row r="71" spans="2:31" x14ac:dyDescent="0.2">
      <c r="B71" s="34">
        <f>[38]FormattedData!A73</f>
        <v>306</v>
      </c>
      <c r="C71" s="34" t="str">
        <f>VLOOKUP($B71,[38]TrtCodes!$B$11:I116,2)</f>
        <v>FTL</v>
      </c>
      <c r="D71" s="34">
        <f>VLOOKUP($B71,[38]TrtCodes!$B$11:J116,3)</f>
        <v>4</v>
      </c>
      <c r="E71" s="34">
        <f>VLOOKUP($B71,[38]TrtCodes!$B$11:K116,4)</f>
        <v>1</v>
      </c>
      <c r="F71" s="34">
        <f>VLOOKUP($B71,[38]TrtCodes!$B$11:L116,5)</f>
        <v>2</v>
      </c>
      <c r="G71" s="34">
        <f>VLOOKUP($B71,[38]TrtCodes!$B$11:M116,6)</f>
        <v>1</v>
      </c>
      <c r="H71" s="34">
        <f>VLOOKUP($B71,[38]TrtCodes!$B$11:N116,7)</f>
        <v>4</v>
      </c>
      <c r="I71" s="34">
        <f>[38]FormattedData!B73</f>
        <v>2</v>
      </c>
      <c r="J71" s="37">
        <f>[38]FormattedData!C73</f>
        <v>13.257999999999999</v>
      </c>
      <c r="K71" s="39">
        <f>$J$3+[38]FormattedData!D73*$J$4+$M$4*$J$5+[38]FormattedData!D73^2*$J$6+$M$5*$J$7</f>
        <v>32.007824367384217</v>
      </c>
      <c r="L71" s="39">
        <f>$J$3+[38]FormattedData!E73*$J$4+$M$4*$J$5+[38]FormattedData!E73^2*$J$6+$M$5*$J$7</f>
        <v>30.071125192311843</v>
      </c>
      <c r="M71" s="39">
        <f>$J$3+[38]FormattedData!F73*$J$4+$M$4*$J$5+[38]FormattedData!F73^2*$J$6+$M$5*$J$7</f>
        <v>31.718397338840603</v>
      </c>
      <c r="N71" s="39">
        <f>$J$3+[38]FormattedData!G73*$J$4+$M$4*$J$5+[38]FormattedData!G73^2*$J$6+$M$5*$J$7</f>
        <v>31.235173587175957</v>
      </c>
      <c r="O71" s="39">
        <f>$J$3+[38]FormattedData!H73*$J$4+$M$4*$J$5+[38]FormattedData!H73^2*$J$6+$M$5*$J$7</f>
        <v>34.88117172654443</v>
      </c>
      <c r="P71" s="39">
        <f>$J$3+[38]FormattedData!I73*$J$4+$M$4*$J$5+[38]FormattedData!I73^2*$J$6+$M$5*$J$7</f>
        <v>31.041588206744581</v>
      </c>
      <c r="Q71" s="39">
        <f>$J$3+[38]FormattedData!J73*$J$4+$M$4*$J$5+[38]FormattedData!J73^2*$J$6+$M$5*$J$7</f>
        <v>31.235173587175957</v>
      </c>
      <c r="R71" s="39">
        <f>$J$3+[38]FormattedData!K73*$J$4+$M$4*$J$5+[38]FormattedData!K73^2*$J$6+$M$5*$J$7</f>
        <v>34.690798754995811</v>
      </c>
      <c r="S71" s="39">
        <f>$J$3+[38]FormattedData!L73*$J$4+$M$4*$J$5+[38]FormattedData!L73^2*$J$6+$M$5*$J$7</f>
        <v>31.428589893455612</v>
      </c>
      <c r="T71" s="39">
        <f>$J$3+[38]FormattedData!M73*$J$4+$M$4*$J$5+[38]FormattedData!M73^2*$J$6+$M$5*$J$7</f>
        <v>32.873822951966773</v>
      </c>
      <c r="U71" s="39">
        <f>$J$3+[38]FormattedData!N73*$J$4+$M$4*$J$5+[38]FormattedData!N73^2*$J$6+$M$5*$J$7</f>
        <v>31.331902874584756</v>
      </c>
      <c r="V71" s="39">
        <f>$J$3+[38]FormattedData!O73*$J$4+$M$4*$J$5+[38]FormattedData!O73^2*$J$6+$M$5*$J$7</f>
        <v>32.393135312578003</v>
      </c>
      <c r="W71" s="38">
        <f>AVERAGE(K71:V71)</f>
        <v>32.075725316146553</v>
      </c>
      <c r="X71" s="37">
        <f>STDEV(K71:V71)/SQRT(COUNT(K71:V71))</f>
        <v>0.41789618411461749</v>
      </c>
      <c r="Y71" s="36">
        <f>MIN(K71:V71)</f>
        <v>30.071125192311843</v>
      </c>
      <c r="Z71" s="35">
        <f>QUARTILE(K71:V71,1)</f>
        <v>31.235173587175957</v>
      </c>
      <c r="AA71" s="36">
        <f>MEDIAN(K71:V71)</f>
        <v>31.573493616148106</v>
      </c>
      <c r="AB71" s="35">
        <f>QUARTILE(K71:V71,3)</f>
        <v>32.513307222425198</v>
      </c>
      <c r="AC71" s="35">
        <f>MAX(K71:V71)</f>
        <v>34.88117172654443</v>
      </c>
      <c r="AD71" s="35">
        <f>SKEW(K71:V71)</f>
        <v>1.058162112153171</v>
      </c>
      <c r="AE71" s="35">
        <f>KURT(K71:V71)</f>
        <v>0.55627549469402648</v>
      </c>
    </row>
    <row r="72" spans="2:31" x14ac:dyDescent="0.2">
      <c r="B72" s="34">
        <f>[38]FormattedData!A75</f>
        <v>307</v>
      </c>
      <c r="C72" s="34" t="str">
        <f>VLOOKUP($B72,[38]TrtCodes!$B$11:I118,2)</f>
        <v>NTH</v>
      </c>
      <c r="D72" s="34">
        <f>VLOOKUP($B72,[38]TrtCodes!$B$11:J118,3)</f>
        <v>9</v>
      </c>
      <c r="E72" s="34">
        <f>VLOOKUP($B72,[38]TrtCodes!$B$11:K118,4)</f>
        <v>2</v>
      </c>
      <c r="F72" s="34">
        <f>VLOOKUP($B72,[38]TrtCodes!$B$11:L118,5)</f>
        <v>2</v>
      </c>
      <c r="G72" s="34">
        <f>VLOOKUP($B72,[38]TrtCodes!$B$11:M118,6)</f>
        <v>2</v>
      </c>
      <c r="H72" s="34">
        <f>VLOOKUP($B72,[38]TrtCodes!$B$11:N118,7)</f>
        <v>4</v>
      </c>
      <c r="I72" s="34">
        <f>[38]FormattedData!B75</f>
        <v>2</v>
      </c>
      <c r="J72" s="37">
        <f>[38]FormattedData!C75</f>
        <v>13.275</v>
      </c>
      <c r="K72" s="39">
        <f>$J$3+[38]FormattedData!D75*$J$4+$M$4*$J$5+[38]FormattedData!D75^2*$J$6+$M$5*$J$7</f>
        <v>33.161728313144863</v>
      </c>
      <c r="L72" s="39">
        <f>$J$3+[38]FormattedData!E75*$J$4+$M$4*$J$5+[38]FormattedData!E75^2*$J$6+$M$5*$J$7</f>
        <v>31.911390959740949</v>
      </c>
      <c r="M72" s="39">
        <f>$J$3+[38]FormattedData!F75*$J$4+$M$4*$J$5+[38]FormattedData!F75^2*$J$6+$M$5*$J$7</f>
        <v>32.585537173947301</v>
      </c>
      <c r="N72" s="39">
        <f>$J$3+[38]FormattedData!G75*$J$4+$M$4*$J$5+[38]FormattedData!G75^2*$J$6+$M$5*$J$7</f>
        <v>32.969833674230735</v>
      </c>
      <c r="O72" s="39">
        <f>$J$3+[38]FormattedData!H75*$J$4+$M$4*$J$5+[38]FormattedData!H75^2*$J$6+$M$5*$J$7</f>
        <v>33.065802127956758</v>
      </c>
      <c r="P72" s="39">
        <f>$J$3+[38]FormattedData!I75*$J$4+$M$4*$J$5+[38]FormattedData!I75^2*$J$6+$M$5*$J$7</f>
        <v>34.118665395439642</v>
      </c>
      <c r="Q72" s="39">
        <f>$J$3+[38]FormattedData!J75*$J$4+$M$4*$J$5+[38]FormattedData!J75^2*$J$6+$M$5*$J$7</f>
        <v>35.8305004720116</v>
      </c>
      <c r="R72" s="39">
        <f>$J$3+[38]FormattedData!K75*$J$4+$M$4*$J$5+[38]FormattedData!K75^2*$J$6+$M$5*$J$7</f>
        <v>32.777769961164879</v>
      </c>
      <c r="S72" s="39">
        <f>$J$3+[38]FormattedData!L75*$J$4+$M$4*$J$5+[38]FormattedData!L75^2*$J$6+$M$5*$J$7</f>
        <v>31.428589893455612</v>
      </c>
      <c r="T72" s="39">
        <f>$J$3+[38]FormattedData!M75*$J$4+$M$4*$J$5+[38]FormattedData!M75^2*$J$6+$M$5*$J$7</f>
        <v>33.83202809039949</v>
      </c>
      <c r="U72" s="39">
        <f>$J$3+[38]FormattedData!N75*$J$4+$M$4*$J$5+[38]FormattedData!N75^2*$J$6+$M$5*$J$7</f>
        <v>31.428589893455612</v>
      </c>
      <c r="V72" s="39">
        <f>$J$3+[38]FormattedData!O75*$J$4+$M$4*$J$5+[38]FormattedData!O75^2*$J$6+$M$5*$J$7</f>
        <v>31.621837125583539</v>
      </c>
      <c r="W72" s="38">
        <f>AVERAGE(K72:V72)</f>
        <v>32.894356090044255</v>
      </c>
      <c r="X72" s="37">
        <f>STDEV(K72:V72)/SQRT(COUNT(K72:V72))</f>
        <v>0.37026927035786084</v>
      </c>
      <c r="Y72" s="36">
        <f>MIN(K72:V72)</f>
        <v>31.428589893455612</v>
      </c>
      <c r="Z72" s="35">
        <f>QUARTILE(K72:V72,1)</f>
        <v>31.839002501201598</v>
      </c>
      <c r="AA72" s="36">
        <f>MEDIAN(K72:V72)</f>
        <v>32.87380181769781</v>
      </c>
      <c r="AB72" s="35">
        <f>QUARTILE(K72:V72,3)</f>
        <v>33.32930325745852</v>
      </c>
      <c r="AC72" s="35">
        <f>MAX(K72:V72)</f>
        <v>35.8305004720116</v>
      </c>
      <c r="AD72" s="35">
        <f>SKEW(K72:V72)</f>
        <v>0.96449695872333241</v>
      </c>
      <c r="AE72" s="35">
        <f>KURT(K72:V72)</f>
        <v>1.2146215031497354</v>
      </c>
    </row>
    <row r="73" spans="2:31" x14ac:dyDescent="0.2">
      <c r="B73" s="34">
        <f>[38]FormattedData!A77</f>
        <v>308</v>
      </c>
      <c r="C73" s="34" t="str">
        <f>VLOOKUP($B73,[38]TrtCodes!$B$11:I120,2)</f>
        <v>FDH</v>
      </c>
      <c r="D73" s="34">
        <f>VLOOKUP($B73,[38]TrtCodes!$B$11:J120,3)</f>
        <v>5</v>
      </c>
      <c r="E73" s="34">
        <f>VLOOKUP($B73,[38]TrtCodes!$B$11:K120,4)</f>
        <v>1</v>
      </c>
      <c r="F73" s="34">
        <f>VLOOKUP($B73,[38]TrtCodes!$B$11:L120,5)</f>
        <v>3</v>
      </c>
      <c r="G73" s="34">
        <f>VLOOKUP($B73,[38]TrtCodes!$B$11:M120,6)</f>
        <v>2</v>
      </c>
      <c r="H73" s="34">
        <f>VLOOKUP($B73,[38]TrtCodes!$B$11:N120,7)</f>
        <v>4</v>
      </c>
      <c r="I73" s="34">
        <f>[38]FormattedData!B77</f>
        <v>2</v>
      </c>
      <c r="J73" s="37">
        <f>[38]FormattedData!C77</f>
        <v>13.292999999999999</v>
      </c>
      <c r="K73" s="39">
        <f>$J$3+[38]FormattedData!D77*$J$4+$M$4*$J$5+[38]FormattedData!D77^2*$J$6+$M$5*$J$7</f>
        <v>33.161728313144863</v>
      </c>
      <c r="L73" s="39">
        <f>$J$3+[38]FormattedData!E77*$J$4+$M$4*$J$5+[38]FormattedData!E77^2*$J$6+$M$5*$J$7</f>
        <v>34.404922283638427</v>
      </c>
      <c r="M73" s="39">
        <f>$J$3+[38]FormattedData!F77*$J$4+$M$4*$J$5+[38]FormattedData!F77^2*$J$6+$M$5*$J$7</f>
        <v>32.393135312578003</v>
      </c>
      <c r="N73" s="39">
        <f>$J$3+[38]FormattedData!G77*$J$4+$M$4*$J$5+[38]FormattedData!G77^2*$J$6+$M$5*$J$7</f>
        <v>34.309545589443424</v>
      </c>
      <c r="O73" s="39">
        <f>$J$3+[38]FormattedData!H77*$J$4+$M$4*$J$5+[38]FormattedData!H77^2*$J$6+$M$5*$J$7</f>
        <v>34.976294809511828</v>
      </c>
      <c r="P73" s="39">
        <f>$J$3+[38]FormattedData!I77*$J$4+$M$4*$J$5+[38]FormattedData!I77^2*$J$6+$M$5*$J$7</f>
        <v>33.927616127284139</v>
      </c>
      <c r="Q73" s="39">
        <f>$J$3+[38]FormattedData!J77*$J$4+$M$4*$J$5+[38]FormattedData!J77^2*$J$6+$M$5*$J$7</f>
        <v>32.296870979086449</v>
      </c>
      <c r="R73" s="39">
        <f>$J$3+[38]FormattedData!K77*$J$4+$M$4*$J$5+[38]FormattedData!K77^2*$J$6+$M$5*$J$7</f>
        <v>34.309545589443424</v>
      </c>
      <c r="S73" s="39">
        <f>$J$3+[38]FormattedData!L77*$J$4+$M$4*$J$5+[38]FormattedData!L77^2*$J$6+$M$5*$J$7</f>
        <v>33.35345387790727</v>
      </c>
      <c r="T73" s="39">
        <f>$J$3+[38]FormattedData!M77*$J$4+$M$4*$J$5+[38]FormattedData!M77^2*$J$6+$M$5*$J$7</f>
        <v>34.88117172654443</v>
      </c>
      <c r="U73" s="39">
        <f>$J$3+[38]FormattedData!N77*$J$4+$M$4*$J$5+[38]FormattedData!N77^2*$J$6+$M$5*$J$7</f>
        <v>34.690798754995811</v>
      </c>
      <c r="V73" s="39">
        <f>$J$3+[38]FormattedData!O77*$J$4+$M$4*$J$5+[38]FormattedData!O77^2*$J$6+$M$5*$J$7</f>
        <v>36.775602363685664</v>
      </c>
      <c r="W73" s="38">
        <f>AVERAGE(K73:V73)</f>
        <v>34.123390477271975</v>
      </c>
      <c r="X73" s="37">
        <f>STDEV(K73:V73)/SQRT(COUNT(K73:V73))</f>
        <v>0.35560774236346837</v>
      </c>
      <c r="Y73" s="36">
        <f>MIN(K73:V73)</f>
        <v>32.296870979086449</v>
      </c>
      <c r="Z73" s="35">
        <f>QUARTILE(K73:V73,1)</f>
        <v>33.305522486716669</v>
      </c>
      <c r="AA73" s="36">
        <f>MEDIAN(K73:V73)</f>
        <v>34.309545589443424</v>
      </c>
      <c r="AB73" s="35">
        <f>QUARTILE(K73:V73,3)</f>
        <v>34.738391997882964</v>
      </c>
      <c r="AC73" s="35">
        <f>MAX(K73:V73)</f>
        <v>36.775602363685664</v>
      </c>
      <c r="AD73" s="35">
        <f>SKEW(K73:V73)</f>
        <v>0.42618432092223391</v>
      </c>
      <c r="AE73" s="35">
        <f>KURT(K73:V73)</f>
        <v>0.87664234513671158</v>
      </c>
    </row>
    <row r="74" spans="2:31" x14ac:dyDescent="0.2">
      <c r="B74" s="34">
        <f>[38]FormattedData!A93</f>
        <v>401</v>
      </c>
      <c r="C74" s="34" t="str">
        <f>VLOOKUP($B74,[38]TrtCodes!$B$11:I130,2)</f>
        <v>NSH</v>
      </c>
      <c r="D74" s="34">
        <f>VLOOKUP($B74,[38]TrtCodes!$B$11:J130,3)</f>
        <v>7</v>
      </c>
      <c r="E74" s="34">
        <f>VLOOKUP($B74,[38]TrtCodes!$B$11:K130,4)</f>
        <v>2</v>
      </c>
      <c r="F74" s="34">
        <f>VLOOKUP($B74,[38]TrtCodes!$B$11:L130,5)</f>
        <v>1</v>
      </c>
      <c r="G74" s="34">
        <f>VLOOKUP($B74,[38]TrtCodes!$B$11:M130,6)</f>
        <v>2</v>
      </c>
      <c r="H74" s="34">
        <f>VLOOKUP($B74,[38]TrtCodes!$B$11:N130,7)</f>
        <v>3</v>
      </c>
      <c r="I74" s="34">
        <f>[38]FormattedData!B93</f>
        <v>2</v>
      </c>
      <c r="J74" s="37">
        <f>[38]FormattedData!C93</f>
        <v>13.456</v>
      </c>
      <c r="K74" s="39">
        <f>$J$3+[38]FormattedData!D93*$J$4+$M$4*$J$5+[38]FormattedData!D93^2*$J$6+$M$5*$J$7</f>
        <v>36.492515615831714</v>
      </c>
      <c r="L74" s="39">
        <f>$J$3+[38]FormattedData!E93*$J$4+$M$4*$J$5+[38]FormattedData!E93^2*$J$6+$M$5*$J$7</f>
        <v>33.161728313144863</v>
      </c>
      <c r="M74" s="39">
        <f>$J$3+[38]FormattedData!F93*$J$4+$M$4*$J$5+[38]FormattedData!F93^2*$J$6+$M$5*$J$7</f>
        <v>31.041588206744581</v>
      </c>
      <c r="N74" s="39">
        <f>$J$3+[38]FormattedData!G93*$J$4+$M$4*$J$5+[38]FormattedData!G93^2*$J$6+$M$5*$J$7</f>
        <v>31.138402031229241</v>
      </c>
      <c r="O74" s="39">
        <f>$J$3+[38]FormattedData!H93*$J$4+$M$4*$J$5+[38]FormattedData!H93^2*$J$6+$M$5*$J$7</f>
        <v>31.621837125583539</v>
      </c>
      <c r="P74" s="39">
        <f>$J$3+[38]FormattedData!I93*$J$4+$M$4*$J$5+[38]FormattedData!I93^2*$J$6+$M$5*$J$7</f>
        <v>32.200564377056963</v>
      </c>
      <c r="Q74" s="39">
        <f>$J$3+[38]FormattedData!J93*$J$4+$M$4*$J$5+[38]FormattedData!J93^2*$J$6+$M$5*$J$7</f>
        <v>29.681756467476678</v>
      </c>
      <c r="R74" s="39">
        <f>$J$3+[38]FormattedData!K93*$J$4+$M$4*$J$5+[38]FormattedData!K93^2*$J$6+$M$5*$J$7</f>
        <v>32.585537173947301</v>
      </c>
      <c r="S74" s="39">
        <f>$J$3+[38]FormattedData!L93*$J$4+$M$4*$J$5+[38]FormattedData!L93^2*$J$6+$M$5*$J$7</f>
        <v>35.356364456002154</v>
      </c>
      <c r="T74" s="39">
        <f>$J$3+[38]FormattedData!M93*$J$4+$M$4*$J$5+[38]FormattedData!M93^2*$J$6+$M$5*$J$7</f>
        <v>33.83202809039949</v>
      </c>
      <c r="U74" s="39">
        <f>$J$3+[38]FormattedData!N93*$J$4+$M$4*$J$5+[38]FormattedData!N93^2*$J$6+$M$5*$J$7</f>
        <v>32.777769961164879</v>
      </c>
      <c r="V74" s="39">
        <f>$J$3+[38]FormattedData!O93*$J$4+$M$4*$J$5+[38]FormattedData!O93^2*$J$6+$M$5*$J$7</f>
        <v>31.235173587175957</v>
      </c>
      <c r="W74" s="38">
        <f>AVERAGE(K74:V74)</f>
        <v>32.593772117146443</v>
      </c>
      <c r="X74" s="37">
        <f>STDEV(K74:V74)/SQRT(COUNT(K74:V74))</f>
        <v>0.55510144076331458</v>
      </c>
      <c r="Y74" s="36">
        <f>MIN(K74:V74)</f>
        <v>29.681756467476678</v>
      </c>
      <c r="Z74" s="35">
        <f>QUARTILE(K74:V74,1)</f>
        <v>31.210980698189278</v>
      </c>
      <c r="AA74" s="36">
        <f>MEDIAN(K74:V74)</f>
        <v>32.393050775502132</v>
      </c>
      <c r="AB74" s="35">
        <f>QUARTILE(K74:V74,3)</f>
        <v>33.32930325745852</v>
      </c>
      <c r="AC74" s="35">
        <f>MAX(K74:V74)</f>
        <v>36.492515615831714</v>
      </c>
      <c r="AD74" s="35">
        <f>SKEW(K74:V74)</f>
        <v>0.72772034113985418</v>
      </c>
      <c r="AE74" s="35">
        <f>KURT(K74:V74)</f>
        <v>0.32619602050960328</v>
      </c>
    </row>
    <row r="75" spans="2:31" x14ac:dyDescent="0.2">
      <c r="B75" s="34">
        <f>[38]FormattedData!A91</f>
        <v>402</v>
      </c>
      <c r="C75" s="34" t="str">
        <f>VLOOKUP($B75,[38]TrtCodes!$B$11:I131,2)</f>
        <v>NTH</v>
      </c>
      <c r="D75" s="34">
        <f>VLOOKUP($B75,[38]TrtCodes!$B$11:J131,3)</f>
        <v>9</v>
      </c>
      <c r="E75" s="34">
        <f>VLOOKUP($B75,[38]TrtCodes!$B$11:K131,4)</f>
        <v>2</v>
      </c>
      <c r="F75" s="34">
        <f>VLOOKUP($B75,[38]TrtCodes!$B$11:L131,5)</f>
        <v>2</v>
      </c>
      <c r="G75" s="34">
        <f>VLOOKUP($B75,[38]TrtCodes!$B$11:M131,6)</f>
        <v>2</v>
      </c>
      <c r="H75" s="34">
        <f>VLOOKUP($B75,[38]TrtCodes!$B$11:N131,7)</f>
        <v>3</v>
      </c>
      <c r="I75" s="34">
        <f>[38]FormattedData!B91</f>
        <v>2</v>
      </c>
      <c r="J75" s="37">
        <f>[38]FormattedData!C91</f>
        <v>13.438000000000001</v>
      </c>
      <c r="K75" s="39">
        <f>$J$3+[38]FormattedData!D91*$J$4+$M$4*$J$5+[38]FormattedData!D91^2*$J$6+$M$5*$J$7</f>
        <v>33.927616127284139</v>
      </c>
      <c r="L75" s="39">
        <f>$J$3+[38]FormattedData!E91*$J$4+$M$4*$J$5+[38]FormattedData!E91^2*$J$6+$M$5*$J$7</f>
        <v>30.168361702175808</v>
      </c>
      <c r="M75" s="39">
        <f>$J$3+[38]FormattedData!F91*$J$4+$M$4*$J$5+[38]FormattedData!F91^2*$J$6+$M$5*$J$7</f>
        <v>31.235173587175957</v>
      </c>
      <c r="N75" s="39">
        <f>$J$3+[38]FormattedData!G91*$J$4+$M$4*$J$5+[38]FormattedData!G91^2*$J$6+$M$5*$J$7</f>
        <v>36.586920133654296</v>
      </c>
      <c r="O75" s="39">
        <f>$J$3+[38]FormattedData!H91*$J$4+$M$4*$J$5+[38]FormattedData!H91^2*$J$6+$M$5*$J$7</f>
        <v>30.653910223426664</v>
      </c>
      <c r="P75" s="39">
        <f>$J$3+[38]FormattedData!I91*$J$4+$M$4*$J$5+[38]FormattedData!I91^2*$J$6+$M$5*$J$7</f>
        <v>34.500256709295478</v>
      </c>
      <c r="Q75" s="39">
        <f>$J$3+[38]FormattedData!J91*$J$4+$M$4*$J$5+[38]FormattedData!J91^2*$J$6+$M$5*$J$7</f>
        <v>31.331902874584756</v>
      </c>
      <c r="R75" s="39">
        <f>$J$3+[38]FormattedData!K91*$J$4+$M$4*$J$5+[38]FormattedData!K91^2*$J$6+$M$5*$J$7</f>
        <v>31.621837125583539</v>
      </c>
      <c r="S75" s="39">
        <f>$J$3+[38]FormattedData!L91*$J$4+$M$4*$J$5+[38]FormattedData!L91^2*$J$6+$M$5*$J$7</f>
        <v>31.331902874584756</v>
      </c>
      <c r="T75" s="39">
        <f>$J$3+[38]FormattedData!M91*$J$4+$M$4*$J$5+[38]FormattedData!M91^2*$J$6+$M$5*$J$7</f>
        <v>31.621837125583539</v>
      </c>
      <c r="U75" s="39">
        <f>$J$3+[38]FormattedData!N91*$J$4+$M$4*$J$5+[38]FormattedData!N91^2*$J$6+$M$5*$J$7</f>
        <v>31.621837125583539</v>
      </c>
      <c r="V75" s="39">
        <f>$J$3+[38]FormattedData!O91*$J$4+$M$4*$J$5+[38]FormattedData!O91^2*$J$6+$M$5*$J$7</f>
        <v>31.428589893455612</v>
      </c>
      <c r="W75" s="38">
        <f>AVERAGE(K75:V75)</f>
        <v>32.169178791865676</v>
      </c>
      <c r="X75" s="37">
        <f>STDEV(K75:V75)/SQRT(COUNT(K75:V75))</f>
        <v>0.53699092033308871</v>
      </c>
      <c r="Y75" s="36">
        <f>MIN(K75:V75)</f>
        <v>30.168361702175808</v>
      </c>
      <c r="Z75" s="35">
        <f>QUARTILE(K75:V75,1)</f>
        <v>31.307720552732555</v>
      </c>
      <c r="AA75" s="36">
        <f>MEDIAN(K75:V75)</f>
        <v>31.525213509519574</v>
      </c>
      <c r="AB75" s="35">
        <f>QUARTILE(K75:V75,3)</f>
        <v>32.198281876008693</v>
      </c>
      <c r="AC75" s="35">
        <f>MAX(K75:V75)</f>
        <v>36.586920133654296</v>
      </c>
      <c r="AD75" s="35">
        <f>SKEW(K75:V75)</f>
        <v>1.5244126524022168</v>
      </c>
      <c r="AE75" s="35">
        <f>KURT(K75:V75)</f>
        <v>1.8043803149954725</v>
      </c>
    </row>
    <row r="76" spans="2:31" x14ac:dyDescent="0.2">
      <c r="B76" s="34">
        <f>[38]FormattedData!A89</f>
        <v>403</v>
      </c>
      <c r="C76" s="34" t="str">
        <f>VLOOKUP($B76,[38]TrtCodes!$B$11:I132,2)</f>
        <v>FDL</v>
      </c>
      <c r="D76" s="34">
        <f>VLOOKUP($B76,[38]TrtCodes!$B$11:J132,3)</f>
        <v>6</v>
      </c>
      <c r="E76" s="34">
        <f>VLOOKUP($B76,[38]TrtCodes!$B$11:K132,4)</f>
        <v>1</v>
      </c>
      <c r="F76" s="34">
        <f>VLOOKUP($B76,[38]TrtCodes!$B$11:L132,5)</f>
        <v>3</v>
      </c>
      <c r="G76" s="34">
        <f>VLOOKUP($B76,[38]TrtCodes!$B$11:M132,6)</f>
        <v>1</v>
      </c>
      <c r="H76" s="34">
        <f>VLOOKUP($B76,[38]TrtCodes!$B$11:N132,7)</f>
        <v>3</v>
      </c>
      <c r="I76" s="34">
        <f>[38]FormattedData!B89</f>
        <v>2</v>
      </c>
      <c r="J76" s="37">
        <f>[38]FormattedData!C89</f>
        <v>13.419</v>
      </c>
      <c r="K76" s="39">
        <f>$J$3+[38]FormattedData!D89*$J$4+$M$4*$J$5+[38]FormattedData!D89^2*$J$6+$M$5*$J$7</f>
        <v>30.653910223426664</v>
      </c>
      <c r="L76" s="39">
        <f>$J$3+[38]FormattedData!E89*$J$4+$M$4*$J$5+[38]FormattedData!E89^2*$J$6+$M$5*$J$7</f>
        <v>29.486818493831507</v>
      </c>
      <c r="M76" s="39">
        <f>$J$3+[38]FormattedData!F89*$J$4+$M$4*$J$5+[38]FormattedData!F89^2*$J$6+$M$5*$J$7</f>
        <v>30.459817620540115</v>
      </c>
      <c r="N76" s="39">
        <f>$J$3+[38]FormattedData!G89*$J$4+$M$4*$J$5+[38]FormattedData!G89^2*$J$6+$M$5*$J$7</f>
        <v>30.556885056252352</v>
      </c>
      <c r="O76" s="39">
        <f>$J$3+[38]FormattedData!H89*$J$4+$M$4*$J$5+[38]FormattedData!H89^2*$J$6+$M$5*$J$7</f>
        <v>33.35345387790727</v>
      </c>
      <c r="P76" s="39">
        <f>$J$3+[38]FormattedData!I89*$J$4+$M$4*$J$5+[38]FormattedData!I89^2*$J$6+$M$5*$J$7</f>
        <v>32.393135312578003</v>
      </c>
      <c r="Q76" s="39">
        <f>$J$3+[38]FormattedData!J89*$J$4+$M$4*$J$5+[38]FormattedData!J89^2*$J$6+$M$5*$J$7</f>
        <v>32.585537173947301</v>
      </c>
      <c r="R76" s="39">
        <f>$J$3+[38]FormattedData!K89*$J$4+$M$4*$J$5+[38]FormattedData!K89^2*$J$6+$M$5*$J$7</f>
        <v>30.75089312206304</v>
      </c>
      <c r="S76" s="39">
        <f>$J$3+[38]FormattedData!L89*$J$4+$M$4*$J$5+[38]FormattedData!L89^2*$J$6+$M$5*$J$7</f>
        <v>34.023161895630849</v>
      </c>
      <c r="T76" s="39">
        <f>$J$3+[38]FormattedData!M89*$J$4+$M$4*$J$5+[38]FormattedData!M89^2*$J$6+$M$5*$J$7</f>
        <v>30.168361702175808</v>
      </c>
      <c r="U76" s="39">
        <f>$J$3+[38]FormattedData!N89*$J$4+$M$4*$J$5+[38]FormattedData!N89^2*$J$6+$M$5*$J$7</f>
        <v>30.556885056252352</v>
      </c>
      <c r="V76" s="39">
        <f>$J$3+[38]FormattedData!O89*$J$4+$M$4*$J$5+[38]FormattedData!O89^2*$J$6+$M$5*$J$7</f>
        <v>32.969833674230735</v>
      </c>
      <c r="W76" s="38">
        <f>AVERAGE(K76:V76)</f>
        <v>31.496557767403001</v>
      </c>
      <c r="X76" s="37">
        <f>STDEV(K76:V76)/SQRT(COUNT(K76:V76))</f>
        <v>0.42553075636084453</v>
      </c>
      <c r="Y76" s="36">
        <f>MIN(K76:V76)</f>
        <v>29.486818493831507</v>
      </c>
      <c r="Z76" s="35">
        <f>QUARTILE(K76:V76,1)</f>
        <v>30.532618197324293</v>
      </c>
      <c r="AA76" s="36">
        <f>MEDIAN(K76:V76)</f>
        <v>30.702401672744852</v>
      </c>
      <c r="AB76" s="35">
        <f>QUARTILE(K76:V76,3)</f>
        <v>32.681611299018158</v>
      </c>
      <c r="AC76" s="35">
        <f>MAX(K76:V76)</f>
        <v>34.023161895630849</v>
      </c>
      <c r="AD76" s="35">
        <f>SKEW(K76:V76)</f>
        <v>0.45960294790707645</v>
      </c>
      <c r="AE76" s="35">
        <f>KURT(K76:V76)</f>
        <v>-1.2847240931076143</v>
      </c>
    </row>
    <row r="77" spans="2:31" x14ac:dyDescent="0.2">
      <c r="B77" s="34">
        <f>[38]FormattedData!A87</f>
        <v>404</v>
      </c>
      <c r="C77" s="34" t="str">
        <f>VLOOKUP($B77,[38]TrtCodes!$B$11:I130,2)</f>
        <v>FTH</v>
      </c>
      <c r="D77" s="34">
        <f>VLOOKUP($B77,[38]TrtCodes!$B$11:J130,3)</f>
        <v>3</v>
      </c>
      <c r="E77" s="34">
        <f>VLOOKUP($B77,[38]TrtCodes!$B$11:K130,4)</f>
        <v>1</v>
      </c>
      <c r="F77" s="34">
        <f>VLOOKUP($B77,[38]TrtCodes!$B$11:L130,5)</f>
        <v>2</v>
      </c>
      <c r="G77" s="34">
        <f>VLOOKUP($B77,[38]TrtCodes!$B$11:M130,6)</f>
        <v>2</v>
      </c>
      <c r="H77" s="34">
        <f>VLOOKUP($B77,[38]TrtCodes!$B$11:N130,7)</f>
        <v>3</v>
      </c>
      <c r="I77" s="34">
        <f>[38]FormattedData!B87</f>
        <v>2</v>
      </c>
      <c r="J77" s="37">
        <f>[38]FormattedData!C87</f>
        <v>13.398999999999999</v>
      </c>
      <c r="K77" s="39">
        <f>$J$3+[38]FormattedData!D87*$J$4+$M$4*$J$5+[38]FormattedData!D87^2*$J$6+$M$5*$J$7</f>
        <v>33.161728313144863</v>
      </c>
      <c r="L77" s="39">
        <f>$J$3+[38]FormattedData!E87*$J$4+$M$4*$J$5+[38]FormattedData!E87^2*$J$6+$M$5*$J$7</f>
        <v>31.525234643788544</v>
      </c>
      <c r="M77" s="39">
        <f>$J$3+[38]FormattedData!F87*$J$4+$M$4*$J$5+[38]FormattedData!F87^2*$J$6+$M$5*$J$7</f>
        <v>31.428589893455612</v>
      </c>
      <c r="N77" s="39">
        <f>$J$3+[38]FormattedData!G87*$J$4+$M$4*$J$5+[38]FormattedData!G87^2*$J$6+$M$5*$J$7</f>
        <v>30.071125192311843</v>
      </c>
      <c r="O77" s="39">
        <f>$J$3+[38]FormattedData!H87*$J$4+$M$4*$J$5+[38]FormattedData!H87^2*$J$6+$M$5*$J$7</f>
        <v>34.118665395439642</v>
      </c>
      <c r="P77" s="39">
        <f>$J$3+[38]FormattedData!I87*$J$4+$M$4*$J$5+[38]FormattedData!I87^2*$J$6+$M$5*$J$7</f>
        <v>31.525234643788544</v>
      </c>
      <c r="Q77" s="39">
        <f>$J$3+[38]FormattedData!J87*$J$4+$M$4*$J$5+[38]FormattedData!J87^2*$J$6+$M$5*$J$7</f>
        <v>31.718397338840603</v>
      </c>
      <c r="R77" s="39">
        <f>$J$3+[38]FormattedData!K87*$J$4+$M$4*$J$5+[38]FormattedData!K87^2*$J$6+$M$5*$J$7</f>
        <v>30.459817620540115</v>
      </c>
      <c r="S77" s="39">
        <f>$J$3+[38]FormattedData!L87*$J$4+$M$4*$J$5+[38]FormattedData!L87^2*$J$6+$M$5*$J$7</f>
        <v>32.296870979086449</v>
      </c>
      <c r="T77" s="39">
        <f>$J$3+[38]FormattedData!M87*$J$4+$M$4*$J$5+[38]FormattedData!M87^2*$J$6+$M$5*$J$7</f>
        <v>33.449253257481573</v>
      </c>
      <c r="U77" s="39">
        <f>$J$3+[38]FormattedData!N87*$J$4+$M$4*$J$5+[38]FormattedData!N87^2*$J$6+$M$5*$J$7</f>
        <v>32.007824367384217</v>
      </c>
      <c r="V77" s="39">
        <f>$J$3+[38]FormattedData!O87*$J$4+$M$4*$J$5+[38]FormattedData!O87^2*$J$6+$M$5*$J$7</f>
        <v>32.007824367384217</v>
      </c>
      <c r="W77" s="38">
        <f>AVERAGE(K77:V77)</f>
        <v>31.98088050105385</v>
      </c>
      <c r="X77" s="37">
        <f>STDEV(K77:V77)/SQRT(COUNT(K77:V77))</f>
        <v>0.3367839489736984</v>
      </c>
      <c r="Y77" s="36">
        <f>MIN(K77:V77)</f>
        <v>30.071125192311843</v>
      </c>
      <c r="Z77" s="35">
        <f>QUARTILE(K77:V77,1)</f>
        <v>31.501073456205312</v>
      </c>
      <c r="AA77" s="36">
        <f>MEDIAN(K77:V77)</f>
        <v>31.86311085311241</v>
      </c>
      <c r="AB77" s="35">
        <f>QUARTILE(K77:V77,3)</f>
        <v>32.513085312601049</v>
      </c>
      <c r="AC77" s="35">
        <f>MAX(K77:V77)</f>
        <v>34.118665395439642</v>
      </c>
      <c r="AD77" s="35">
        <f>SKEW(K77:V77)</f>
        <v>0.25790177556849148</v>
      </c>
      <c r="AE77" s="35">
        <f>KURT(K77:V77)</f>
        <v>-9.2717446968160644E-2</v>
      </c>
    </row>
    <row r="78" spans="2:31" x14ac:dyDescent="0.2">
      <c r="B78" s="34">
        <f>[38]FormattedData!A85</f>
        <v>405</v>
      </c>
      <c r="C78" s="34" t="str">
        <f>VLOOKUP($B78,[38]TrtCodes!$B$11:I128,2)</f>
        <v>FDL</v>
      </c>
      <c r="D78" s="34">
        <f>VLOOKUP($B78,[38]TrtCodes!$B$11:J128,3)</f>
        <v>6</v>
      </c>
      <c r="E78" s="34">
        <f>VLOOKUP($B78,[38]TrtCodes!$B$11:K128,4)</f>
        <v>1</v>
      </c>
      <c r="F78" s="34">
        <f>VLOOKUP($B78,[38]TrtCodes!$B$11:L128,5)</f>
        <v>3</v>
      </c>
      <c r="G78" s="34">
        <f>VLOOKUP($B78,[38]TrtCodes!$B$11:M128,6)</f>
        <v>1</v>
      </c>
      <c r="H78" s="34">
        <f>VLOOKUP($B78,[38]TrtCodes!$B$11:N128,7)</f>
        <v>4</v>
      </c>
      <c r="I78" s="34">
        <f>[38]FormattedData!B85</f>
        <v>2</v>
      </c>
      <c r="J78" s="37">
        <f>[38]FormattedData!C85</f>
        <v>13.377000000000001</v>
      </c>
      <c r="K78" s="39">
        <f>$J$3+[38]FormattedData!D85*$J$4+$M$4*$J$5+[38]FormattedData!D85^2*$J$6+$M$5*$J$7</f>
        <v>33.449253257481573</v>
      </c>
      <c r="L78" s="39">
        <f>$J$3+[38]FormattedData!E85*$J$4+$M$4*$J$5+[38]FormattedData!E85^2*$J$6+$M$5*$J$7</f>
        <v>30.653910223426664</v>
      </c>
      <c r="M78" s="39">
        <f>$J$3+[38]FormattedData!F85*$J$4+$M$4*$J$5+[38]FormattedData!F85^2*$J$6+$M$5*$J$7</f>
        <v>31.235173587175957</v>
      </c>
      <c r="N78" s="39">
        <f>$J$3+[38]FormattedData!G85*$J$4+$M$4*$J$5+[38]FormattedData!G85^2*$J$6+$M$5*$J$7</f>
        <v>34.309545589443424</v>
      </c>
      <c r="O78" s="39">
        <f>$J$3+[38]FormattedData!H85*$J$4+$M$4*$J$5+[38]FormattedData!H85^2*$J$6+$M$5*$J$7</f>
        <v>32.873822951966773</v>
      </c>
      <c r="P78" s="39">
        <f>$J$3+[38]FormattedData!I85*$J$4+$M$4*$J$5+[38]FormattedData!I85^2*$J$6+$M$5*$J$7</f>
        <v>31.235173587175957</v>
      </c>
      <c r="Q78" s="39">
        <f>$J$3+[38]FormattedData!J85*$J$4+$M$4*$J$5+[38]FormattedData!J85^2*$J$6+$M$5*$J$7</f>
        <v>30.75089312206304</v>
      </c>
      <c r="R78" s="39">
        <f>$J$3+[38]FormattedData!K85*$J$4+$M$4*$J$5+[38]FormattedData!K85^2*$J$6+$M$5*$J$7</f>
        <v>30.071125192311843</v>
      </c>
      <c r="S78" s="39">
        <f>$J$3+[38]FormattedData!L85*$J$4+$M$4*$J$5+[38]FormattedData!L85^2*$J$6+$M$5*$J$7</f>
        <v>30.75089312206304</v>
      </c>
      <c r="T78" s="39">
        <f>$J$3+[38]FormattedData!M85*$J$4+$M$4*$J$5+[38]FormattedData!M85^2*$J$6+$M$5*$J$7</f>
        <v>32.007824367384217</v>
      </c>
      <c r="U78" s="39">
        <f>$J$3+[38]FormattedData!N85*$J$4+$M$4*$J$5+[38]FormattedData!N85^2*$J$6+$M$5*$J$7</f>
        <v>30.653910223426664</v>
      </c>
      <c r="V78" s="39">
        <f>$J$3+[38]FormattedData!O85*$J$4+$M$4*$J$5+[38]FormattedData!O85^2*$J$6+$M$5*$J$7</f>
        <v>30.944732113722001</v>
      </c>
      <c r="W78" s="38">
        <f>AVERAGE(K78:V78)</f>
        <v>31.578021444803436</v>
      </c>
      <c r="X78" s="37">
        <f>STDEV(K78:V78)/SQRT(COUNT(K78:V78))</f>
        <v>0.37748862486230789</v>
      </c>
      <c r="Y78" s="36">
        <f>MIN(K78:V78)</f>
        <v>30.071125192311843</v>
      </c>
      <c r="Z78" s="35">
        <f>QUARTILE(K78:V78,1)</f>
        <v>30.726647397403944</v>
      </c>
      <c r="AA78" s="36">
        <f>MEDIAN(K78:V78)</f>
        <v>31.089952850448981</v>
      </c>
      <c r="AB78" s="35">
        <f>QUARTILE(K78:V78,3)</f>
        <v>32.224324013529852</v>
      </c>
      <c r="AC78" s="35">
        <f>MAX(K78:V78)</f>
        <v>34.309545589443424</v>
      </c>
      <c r="AD78" s="35">
        <f>SKEW(K78:V78)</f>
        <v>1.1085107833099186</v>
      </c>
      <c r="AE78" s="35">
        <f>KURT(K78:V78)</f>
        <v>0.19832031846383735</v>
      </c>
    </row>
    <row r="79" spans="2:31" x14ac:dyDescent="0.2">
      <c r="B79" s="34">
        <f>[38]FormattedData!A83</f>
        <v>406</v>
      </c>
      <c r="C79" s="34" t="str">
        <f>VLOOKUP($B79,[38]TrtCodes!$B$11:I126,2)</f>
        <v>FTH</v>
      </c>
      <c r="D79" s="34">
        <f>VLOOKUP($B79,[38]TrtCodes!$B$11:J126,3)</f>
        <v>3</v>
      </c>
      <c r="E79" s="34">
        <f>VLOOKUP($B79,[38]TrtCodes!$B$11:K126,4)</f>
        <v>1</v>
      </c>
      <c r="F79" s="34">
        <f>VLOOKUP($B79,[38]TrtCodes!$B$11:L126,5)</f>
        <v>2</v>
      </c>
      <c r="G79" s="34">
        <f>VLOOKUP($B79,[38]TrtCodes!$B$11:M126,6)</f>
        <v>2</v>
      </c>
      <c r="H79" s="34">
        <f>VLOOKUP($B79,[38]TrtCodes!$B$11:N126,7)</f>
        <v>4</v>
      </c>
      <c r="I79" s="34">
        <f>[38]FormattedData!B83</f>
        <v>2</v>
      </c>
      <c r="J79" s="37">
        <f>[38]FormattedData!C83</f>
        <v>13.359</v>
      </c>
      <c r="K79" s="39">
        <f>$J$3+[38]FormattedData!D83*$J$4+$M$4*$J$5+[38]FormattedData!D83^2*$J$6+$M$5*$J$7</f>
        <v>40.513741392450761</v>
      </c>
      <c r="L79" s="39">
        <f>$J$3+[38]FormattedData!E83*$J$4+$M$4*$J$5+[38]FormattedData!E83^2*$J$6+$M$5*$J$7</f>
        <v>29.876525366970128</v>
      </c>
      <c r="M79" s="39">
        <f>$J$3+[38]FormattedData!F83*$J$4+$M$4*$J$5+[38]FormattedData!F83^2*$J$6+$M$5*$J$7</f>
        <v>29.97384641390995</v>
      </c>
      <c r="N79" s="39">
        <f>$J$3+[38]FormattedData!G83*$J$4+$M$4*$J$5+[38]FormattedData!G83^2*$J$6+$M$5*$J$7</f>
        <v>30.071125192311843</v>
      </c>
      <c r="O79" s="39">
        <f>$J$3+[38]FormattedData!H83*$J$4+$M$4*$J$5+[38]FormattedData!H83^2*$J$6+$M$5*$J$7</f>
        <v>33.065802127956758</v>
      </c>
      <c r="P79" s="39">
        <f>$J$3+[38]FormattedData!I83*$J$4+$M$4*$J$5+[38]FormattedData!I83^2*$J$6+$M$5*$J$7</f>
        <v>31.138402031229241</v>
      </c>
      <c r="Q79" s="39">
        <f>$J$3+[38]FormattedData!J83*$J$4+$M$4*$J$5+[38]FormattedData!J83^2*$J$6+$M$5*$J$7</f>
        <v>29.779162051492364</v>
      </c>
      <c r="R79" s="39">
        <f>$J$3+[38]FormattedData!K83*$J$4+$M$4*$J$5+[38]FormattedData!K83^2*$J$6+$M$5*$J$7</f>
        <v>31.621837125583539</v>
      </c>
      <c r="S79" s="39">
        <f>$J$3+[38]FormattedData!L83*$J$4+$M$4*$J$5+[38]FormattedData!L83^2*$J$6+$M$5*$J$7</f>
        <v>30.265555943501838</v>
      </c>
      <c r="T79" s="39">
        <f>$J$3+[38]FormattedData!M83*$J$4+$M$4*$J$5+[38]FormattedData!M83^2*$J$6+$M$5*$J$7</f>
        <v>29.876525366970128</v>
      </c>
      <c r="U79" s="39">
        <f>$J$3+[38]FormattedData!N83*$J$4+$M$4*$J$5+[38]FormattedData!N83^2*$J$6+$M$5*$J$7</f>
        <v>29.486818493831507</v>
      </c>
      <c r="V79" s="39">
        <f>$J$3+[38]FormattedData!O83*$J$4+$M$4*$J$5+[38]FormattedData!O83^2*$J$6+$M$5*$J$7</f>
        <v>29.779162051492364</v>
      </c>
      <c r="W79" s="38">
        <f>AVERAGE(K79:V79)</f>
        <v>31.287375296475034</v>
      </c>
      <c r="X79" s="37">
        <f>STDEV(K79:V79)/SQRT(COUNT(K79:V79))</f>
        <v>0.88951741488867075</v>
      </c>
      <c r="Y79" s="36">
        <f>MIN(K79:V79)</f>
        <v>29.486818493831507</v>
      </c>
      <c r="Z79" s="35">
        <f>QUARTILE(K79:V79,1)</f>
        <v>29.852184538100687</v>
      </c>
      <c r="AA79" s="36">
        <f>MEDIAN(K79:V79)</f>
        <v>30.022485803110897</v>
      </c>
      <c r="AB79" s="35">
        <f>QUARTILE(K79:V79,3)</f>
        <v>31.259260804817814</v>
      </c>
      <c r="AC79" s="35">
        <f>MAX(K79:V79)</f>
        <v>40.513741392450761</v>
      </c>
      <c r="AD79" s="35">
        <f>SKEW(K79:V79)</f>
        <v>2.8621720518619149</v>
      </c>
      <c r="AE79" s="35">
        <f>KURT(K79:V79)</f>
        <v>8.7111934151781014</v>
      </c>
    </row>
    <row r="80" spans="2:31" x14ac:dyDescent="0.2">
      <c r="B80" s="34">
        <f>[38]FormattedData!A81</f>
        <v>407</v>
      </c>
      <c r="C80" s="34" t="str">
        <f>VLOOKUP($B80,[38]TrtCodes!$B$11:I124,2)</f>
        <v>NSH</v>
      </c>
      <c r="D80" s="34">
        <f>VLOOKUP($B80,[38]TrtCodes!$B$11:J124,3)</f>
        <v>7</v>
      </c>
      <c r="E80" s="34">
        <f>VLOOKUP($B80,[38]TrtCodes!$B$11:K124,4)</f>
        <v>2</v>
      </c>
      <c r="F80" s="34">
        <f>VLOOKUP($B80,[38]TrtCodes!$B$11:L124,5)</f>
        <v>1</v>
      </c>
      <c r="G80" s="34">
        <f>VLOOKUP($B80,[38]TrtCodes!$B$11:M124,6)</f>
        <v>2</v>
      </c>
      <c r="H80" s="34">
        <f>VLOOKUP($B80,[38]TrtCodes!$B$11:N124,7)</f>
        <v>4</v>
      </c>
      <c r="I80" s="34">
        <f>[38]FormattedData!B81</f>
        <v>2</v>
      </c>
      <c r="J80" s="37">
        <f>[38]FormattedData!C81</f>
        <v>13.337</v>
      </c>
      <c r="K80" s="39">
        <f>$J$3+[38]FormattedData!D81*$J$4+$M$4*$J$5+[38]FormattedData!D81^2*$J$6+$M$5*$J$7</f>
        <v>30.75089312206304</v>
      </c>
      <c r="L80" s="39">
        <f>$J$3+[38]FormattedData!E81*$J$4+$M$4*$J$5+[38]FormattedData!E81^2*$J$6+$M$5*$J$7</f>
        <v>32.969833674230735</v>
      </c>
      <c r="M80" s="39">
        <f>$J$3+[38]FormattedData!F81*$J$4+$M$4*$J$5+[38]FormattedData!F81^2*$J$6+$M$5*$J$7</f>
        <v>30.362707916289946</v>
      </c>
      <c r="N80" s="39">
        <f>$J$3+[38]FormattedData!G81*$J$4+$M$4*$J$5+[38]FormattedData!G81^2*$J$6+$M$5*$J$7</f>
        <v>32.007824367384217</v>
      </c>
      <c r="O80" s="39">
        <f>$J$3+[38]FormattedData!H81*$J$4+$M$4*$J$5+[38]FormattedData!H81^2*$J$6+$M$5*$J$7</f>
        <v>30.071125192311843</v>
      </c>
      <c r="P80" s="39">
        <f>$J$3+[38]FormattedData!I81*$J$4+$M$4*$J$5+[38]FormattedData!I81^2*$J$6+$M$5*$J$7</f>
        <v>29.681756467476678</v>
      </c>
      <c r="Q80" s="39">
        <f>$J$3+[38]FormattedData!J81*$J$4+$M$4*$J$5+[38]FormattedData!J81^2*$J$6+$M$5*$J$7</f>
        <v>30.944732113722001</v>
      </c>
      <c r="R80" s="39">
        <f>$J$3+[38]FormattedData!K81*$J$4+$M$4*$J$5+[38]FormattedData!K81^2*$J$6+$M$5*$J$7</f>
        <v>34.595548866414617</v>
      </c>
      <c r="S80" s="39">
        <f>$J$3+[38]FormattedData!L81*$J$4+$M$4*$J$5+[38]FormattedData!L81^2*$J$6+$M$5*$J$7</f>
        <v>30.459817620540115</v>
      </c>
      <c r="T80" s="39">
        <f>$J$3+[38]FormattedData!M81*$J$4+$M$4*$J$5+[38]FormattedData!M81^2*$J$6+$M$5*$J$7</f>
        <v>34.404922283638427</v>
      </c>
      <c r="U80" s="39">
        <f>$J$3+[38]FormattedData!N81*$J$4+$M$4*$J$5+[38]FormattedData!N81^2*$J$6+$M$5*$J$7</f>
        <v>32.393135312578003</v>
      </c>
      <c r="V80" s="39">
        <f>$J$3+[38]FormattedData!O81*$J$4+$M$4*$J$5+[38]FormattedData!O81^2*$J$6+$M$5*$J$7</f>
        <v>30.362707916289946</v>
      </c>
      <c r="W80" s="38">
        <f>AVERAGE(K80:V80)</f>
        <v>31.583750404411632</v>
      </c>
      <c r="X80" s="37">
        <f>STDEV(K80:V80)/SQRT(COUNT(K80:V80))</f>
        <v>0.48491514604202873</v>
      </c>
      <c r="Y80" s="36">
        <f>MIN(K80:V80)</f>
        <v>29.681756467476678</v>
      </c>
      <c r="Z80" s="35">
        <f>QUARTILE(K80:V80,1)</f>
        <v>30.362707916289946</v>
      </c>
      <c r="AA80" s="36">
        <f>MEDIAN(K80:V80)</f>
        <v>30.847812617892522</v>
      </c>
      <c r="AB80" s="35">
        <f>QUARTILE(K80:V80,3)</f>
        <v>32.537309902991183</v>
      </c>
      <c r="AC80" s="35">
        <f>MAX(K80:V80)</f>
        <v>34.595548866414617</v>
      </c>
      <c r="AD80" s="35">
        <f>SKEW(K80:V80)</f>
        <v>0.84701510671252855</v>
      </c>
      <c r="AE80" s="35">
        <f>KURT(K80:V80)</f>
        <v>-0.57406122419361028</v>
      </c>
    </row>
    <row r="81" spans="2:31" x14ac:dyDescent="0.2">
      <c r="B81" s="34">
        <f>[38]FormattedData!A79</f>
        <v>408</v>
      </c>
      <c r="C81" s="34" t="str">
        <f>VLOOKUP($B81,[38]TrtCodes!$B$11:I122,2)</f>
        <v>NTL</v>
      </c>
      <c r="D81" s="34">
        <f>VLOOKUP($B81,[38]TrtCodes!$B$11:J122,3)</f>
        <v>10</v>
      </c>
      <c r="E81" s="34">
        <f>VLOOKUP($B81,[38]TrtCodes!$B$11:K122,4)</f>
        <v>2</v>
      </c>
      <c r="F81" s="34">
        <f>VLOOKUP($B81,[38]TrtCodes!$B$11:L122,5)</f>
        <v>2</v>
      </c>
      <c r="G81" s="34">
        <f>VLOOKUP($B81,[38]TrtCodes!$B$11:M122,6)</f>
        <v>1</v>
      </c>
      <c r="H81" s="34">
        <f>VLOOKUP($B81,[38]TrtCodes!$B$11:N122,7)</f>
        <v>4</v>
      </c>
      <c r="I81" s="34">
        <f>[38]FormattedData!B79</f>
        <v>2</v>
      </c>
      <c r="J81" s="37">
        <f>[38]FormattedData!C79</f>
        <v>13.32</v>
      </c>
      <c r="K81" s="39">
        <f>$J$3+[38]FormattedData!D79*$J$4+$M$4*$J$5+[38]FormattedData!D79^2*$J$6+$M$5*$J$7</f>
        <v>29.096435324085988</v>
      </c>
      <c r="L81" s="39">
        <f>$J$3+[38]FormattedData!E79*$J$4+$M$4*$J$5+[38]FormattedData!E79^2*$J$6+$M$5*$J$7</f>
        <v>29.584308614923053</v>
      </c>
      <c r="M81" s="39">
        <f>$J$3+[38]FormattedData!F79*$J$4+$M$4*$J$5+[38]FormattedData!F79^2*$J$6+$M$5*$J$7</f>
        <v>31.041588206744581</v>
      </c>
      <c r="N81" s="39">
        <f>$J$3+[38]FormattedData!G79*$J$4+$M$4*$J$5+[38]FormattedData!G79^2*$J$6+$M$5*$J$7</f>
        <v>28.998733860304782</v>
      </c>
      <c r="O81" s="39">
        <f>$J$3+[38]FormattedData!H79*$J$4+$M$4*$J$5+[38]FormattedData!H79^2*$J$6+$M$5*$J$7</f>
        <v>32.489357377531618</v>
      </c>
      <c r="P81" s="39">
        <f>$J$3+[38]FormattedData!I79*$J$4+$M$4*$J$5+[38]FormattedData!I79^2*$J$6+$M$5*$J$7</f>
        <v>31.911390959740949</v>
      </c>
      <c r="Q81" s="39">
        <f>$J$3+[38]FormattedData!J79*$J$4+$M$4*$J$5+[38]FormattedData!J79^2*$J$6+$M$5*$J$7</f>
        <v>30.556885056252352</v>
      </c>
      <c r="R81" s="39">
        <f>$J$3+[38]FormattedData!K79*$J$4+$M$4*$J$5+[38]FormattedData!K79^2*$J$6+$M$5*$J$7</f>
        <v>30.75089312206304</v>
      </c>
      <c r="S81" s="39">
        <f>$J$3+[38]FormattedData!L79*$J$4+$M$4*$J$5+[38]FormattedData!L79^2*$J$6+$M$5*$J$7</f>
        <v>32.10421550648956</v>
      </c>
      <c r="T81" s="39">
        <f>$J$3+[38]FormattedData!M79*$J$4+$M$4*$J$5+[38]FormattedData!M79^2*$J$6+$M$5*$J$7</f>
        <v>33.35345387790727</v>
      </c>
      <c r="U81" s="39">
        <f>$J$3+[38]FormattedData!N79*$J$4+$M$4*$J$5+[38]FormattedData!N79^2*$J$6+$M$5*$J$7</f>
        <v>32.777769961164879</v>
      </c>
      <c r="V81" s="39">
        <f>$J$3+[38]FormattedData!O79*$J$4+$M$4*$J$5+[38]FormattedData!O79^2*$J$6+$M$5*$J$7</f>
        <v>31.814915283559742</v>
      </c>
      <c r="W81" s="38">
        <f>AVERAGE(K81:V81)</f>
        <v>31.206662262563984</v>
      </c>
      <c r="X81" s="37">
        <f>STDEV(K81:V81)/SQRT(COUNT(K81:V81))</f>
        <v>0.41753097134899914</v>
      </c>
      <c r="Y81" s="36">
        <f>MIN(K81:V81)</f>
        <v>28.998733860304782</v>
      </c>
      <c r="Z81" s="35">
        <f>QUARTILE(K81:V81,1)</f>
        <v>30.313740945920028</v>
      </c>
      <c r="AA81" s="36">
        <f>MEDIAN(K81:V81)</f>
        <v>31.42825174515216</v>
      </c>
      <c r="AB81" s="35">
        <f>QUARTILE(K81:V81,3)</f>
        <v>32.200500974250076</v>
      </c>
      <c r="AC81" s="35">
        <f>MAX(K81:V81)</f>
        <v>33.35345387790727</v>
      </c>
      <c r="AD81" s="35">
        <f>SKEW(K81:V81)</f>
        <v>-0.2748568918796323</v>
      </c>
      <c r="AE81" s="35">
        <f>KURT(K81:V81)</f>
        <v>-1.0874387087984565</v>
      </c>
    </row>
    <row r="82" spans="2:31" x14ac:dyDescent="0.2">
      <c r="B82" s="34">
        <f>[38]FormattedData!A59</f>
        <v>902</v>
      </c>
      <c r="C82" s="34" t="str">
        <f>VLOOKUP($B82,[38]TrtCodes!$B$11:I102,2)</f>
        <v>Late</v>
      </c>
      <c r="D82" s="34">
        <f>VLOOKUP($B82,[38]TrtCodes!$B$11:J102,3)</f>
        <v>22</v>
      </c>
      <c r="E82" s="34">
        <f>VLOOKUP($B82,[38]TrtCodes!$B$11:K102,4)</f>
        <v>4</v>
      </c>
      <c r="F82" s="34">
        <f>VLOOKUP($B82,[38]TrtCodes!$B$11:L102,5)</f>
        <v>2</v>
      </c>
      <c r="G82" s="34">
        <f>VLOOKUP($B82,[38]TrtCodes!$B$11:M102,6)</f>
        <v>2</v>
      </c>
      <c r="H82" s="34">
        <f>VLOOKUP($B82,[38]TrtCodes!$B$11:N102,7)</f>
        <v>1</v>
      </c>
      <c r="I82" s="34">
        <f>[38]FormattedData!B59</f>
        <v>2</v>
      </c>
      <c r="J82" s="37">
        <f>[38]FormattedData!C59</f>
        <v>13.146000000000001</v>
      </c>
      <c r="K82" s="39">
        <f>$J$3+[38]FormattedData!D59*$J$4+$M$4*$J$5+[38]FormattedData!D59^2*$J$6+$M$5*$J$7</f>
        <v>30.653910223426664</v>
      </c>
      <c r="L82" s="39">
        <f>$J$3+[38]FormattedData!E59*$J$4+$M$4*$J$5+[38]FormattedData!E59^2*$J$6+$M$5*$J$7</f>
        <v>32.585537173947301</v>
      </c>
      <c r="M82" s="39">
        <f>$J$3+[38]FormattedData!F59*$J$4+$M$4*$J$5+[38]FormattedData!F59^2*$J$6+$M$5*$J$7</f>
        <v>31.621837125583539</v>
      </c>
      <c r="N82" s="39">
        <f>$J$3+[38]FormattedData!G59*$J$4+$M$4*$J$5+[38]FormattedData!G59^2*$J$6+$M$5*$J$7</f>
        <v>30.459817620540115</v>
      </c>
      <c r="O82" s="39">
        <f>$J$3+[38]FormattedData!H59*$J$4+$M$4*$J$5+[38]FormattedData!H59^2*$J$6+$M$5*$J$7</f>
        <v>33.449253257481573</v>
      </c>
      <c r="P82" s="39">
        <f>$J$3+[38]FormattedData!I59*$J$4+$M$4*$J$5+[38]FormattedData!I59^2*$J$6+$M$5*$J$7</f>
        <v>30.265555943501838</v>
      </c>
      <c r="Q82" s="39">
        <f>$J$3+[38]FormattedData!J59*$J$4+$M$4*$J$5+[38]FormattedData!J59^2*$J$6+$M$5*$J$7</f>
        <v>32.10421550648956</v>
      </c>
      <c r="R82" s="39">
        <f>$J$3+[38]FormattedData!K59*$J$4+$M$4*$J$5+[38]FormattedData!K59^2*$J$6+$M$5*$J$7</f>
        <v>29.194094519329266</v>
      </c>
      <c r="S82" s="39">
        <f>$J$3+[38]FormattedData!L59*$J$4+$M$4*$J$5+[38]FormattedData!L59^2*$J$6+$M$5*$J$7</f>
        <v>31.525234643788544</v>
      </c>
      <c r="T82" s="39">
        <f>$J$3+[38]FormattedData!M59*$J$4+$M$4*$J$5+[38]FormattedData!M59^2*$J$6+$M$5*$J$7</f>
        <v>31.428589893455612</v>
      </c>
      <c r="U82" s="39">
        <f>$J$3+[38]FormattedData!N59*$J$4+$M$4*$J$5+[38]FormattedData!N59^2*$J$6+$M$5*$J$7</f>
        <v>31.235173587175957</v>
      </c>
      <c r="V82" s="39">
        <f>$J$3+[38]FormattedData!O59*$J$4+$M$4*$J$5+[38]FormattedData!O59^2*$J$6+$M$5*$J$7</f>
        <v>31.331902874584756</v>
      </c>
      <c r="W82" s="38">
        <f>AVERAGE(K82:V82)</f>
        <v>31.321260197442069</v>
      </c>
      <c r="X82" s="37">
        <f>STDEV(K82:V82)/SQRT(COUNT(K82:V82))</f>
        <v>0.3223675467618462</v>
      </c>
      <c r="Y82" s="36">
        <f>MIN(K82:V82)</f>
        <v>29.194094519329266</v>
      </c>
      <c r="Z82" s="35">
        <f>QUARTILE(K82:V82,1)</f>
        <v>30.605387072705028</v>
      </c>
      <c r="AA82" s="36">
        <f>MEDIAN(K82:V82)</f>
        <v>31.380246384020182</v>
      </c>
      <c r="AB82" s="35">
        <f>QUARTILE(K82:V82,3)</f>
        <v>31.742431720810046</v>
      </c>
      <c r="AC82" s="35">
        <f>MAX(K82:V82)</f>
        <v>33.449253257481573</v>
      </c>
      <c r="AD82" s="35">
        <f>SKEW(K82:V82)</f>
        <v>3.4091539629253285E-2</v>
      </c>
      <c r="AE82" s="35">
        <f>KURT(K82:V82)</f>
        <v>0.61875659101051816</v>
      </c>
    </row>
    <row r="83" spans="2:31" x14ac:dyDescent="0.2">
      <c r="B83" s="34">
        <f>[38]FormattedData!A55</f>
        <v>904</v>
      </c>
      <c r="C83" s="34" t="str">
        <f>VLOOKUP($B83,[38]TrtCodes!$B$11:I98,2)</f>
        <v>Early</v>
      </c>
      <c r="D83" s="34">
        <f>VLOOKUP($B83,[38]TrtCodes!$B$11:J98,3)</f>
        <v>21</v>
      </c>
      <c r="E83" s="34">
        <f>VLOOKUP($B83,[38]TrtCodes!$B$11:K98,4)</f>
        <v>3</v>
      </c>
      <c r="F83" s="34">
        <f>VLOOKUP($B83,[38]TrtCodes!$B$11:L98,5)</f>
        <v>2</v>
      </c>
      <c r="G83" s="34">
        <f>VLOOKUP($B83,[38]TrtCodes!$B$11:M98,6)</f>
        <v>2</v>
      </c>
      <c r="H83" s="34">
        <f>VLOOKUP($B83,[38]TrtCodes!$B$11:N98,7)</f>
        <v>1</v>
      </c>
      <c r="I83" s="34">
        <f>[38]FormattedData!B55</f>
        <v>2</v>
      </c>
      <c r="J83" s="37">
        <f>[38]FormattedData!C55</f>
        <v>13.124000000000001</v>
      </c>
      <c r="K83" s="39">
        <f>$J$3+[38]FormattedData!D55*$J$4+$M$4*$J$5+[38]FormattedData!D55^2*$J$6+$M$5*$J$7</f>
        <v>34.023161895630849</v>
      </c>
      <c r="L83" s="39">
        <f>$J$3+[38]FormattedData!E55*$J$4+$M$4*$J$5+[38]FormattedData!E55^2*$J$6+$M$5*$J$7</f>
        <v>31.428589893455612</v>
      </c>
      <c r="M83" s="39">
        <f>$J$3+[38]FormattedData!F55*$J$4+$M$4*$J$5+[38]FormattedData!F55^2*$J$6+$M$5*$J$7</f>
        <v>31.814915283559742</v>
      </c>
      <c r="N83" s="39">
        <f>$J$3+[38]FormattedData!G55*$J$4+$M$4*$J$5+[38]FormattedData!G55^2*$J$6+$M$5*$J$7</f>
        <v>30.362707916289946</v>
      </c>
      <c r="O83" s="39">
        <f>$J$3+[38]FormattedData!H55*$J$4+$M$4*$J$5+[38]FormattedData!H55^2*$J$6+$M$5*$J$7</f>
        <v>31.138402031229241</v>
      </c>
      <c r="P83" s="39">
        <f>$J$3+[38]FormattedData!I55*$J$4+$M$4*$J$5+[38]FormattedData!I55^2*$J$6+$M$5*$J$7</f>
        <v>32.296870979086449</v>
      </c>
      <c r="Q83" s="39">
        <f>$J$3+[38]FormattedData!J55*$J$4+$M$4*$J$5+[38]FormattedData!J55^2*$J$6+$M$5*$J$7</f>
        <v>30.459817620540115</v>
      </c>
      <c r="R83" s="39">
        <f>$J$3+[38]FormattedData!K55*$J$4+$M$4*$J$5+[38]FormattedData!K55^2*$J$6+$M$5*$J$7</f>
        <v>29.876525366970128</v>
      </c>
      <c r="S83" s="39">
        <f>$J$3+[38]FormattedData!L55*$J$4+$M$4*$J$5+[38]FormattedData!L55^2*$J$6+$M$5*$J$7</f>
        <v>33.35345387790727</v>
      </c>
      <c r="T83" s="39">
        <f>$J$3+[38]FormattedData!M55*$J$4+$M$4*$J$5+[38]FormattedData!M55^2*$J$6+$M$5*$J$7</f>
        <v>29.779162051492364</v>
      </c>
      <c r="U83" s="39">
        <f>$J$3+[38]FormattedData!N55*$J$4+$M$4*$J$5+[38]FormattedData!N55^2*$J$6+$M$5*$J$7</f>
        <v>30.265555943501838</v>
      </c>
      <c r="V83" s="39">
        <f>$J$3+[38]FormattedData!O55*$J$4+$M$4*$J$5+[38]FormattedData!O55^2*$J$6+$M$5*$J$7</f>
        <v>31.428589893455612</v>
      </c>
      <c r="W83" s="38">
        <f>AVERAGE(K83:V83)</f>
        <v>31.3523127294266</v>
      </c>
      <c r="X83" s="37">
        <f>STDEV(K83:V83)/SQRT(COUNT(K83:V83))</f>
        <v>0.38838480298606842</v>
      </c>
      <c r="Y83" s="36">
        <f>MIN(K83:V83)</f>
        <v>29.779162051492364</v>
      </c>
      <c r="Z83" s="35">
        <f>QUARTILE(K83:V83,1)</f>
        <v>30.338419923092918</v>
      </c>
      <c r="AA83" s="36">
        <f>MEDIAN(K83:V83)</f>
        <v>31.283495962342428</v>
      </c>
      <c r="AB83" s="35">
        <f>QUARTILE(K83:V83,3)</f>
        <v>31.935404207441419</v>
      </c>
      <c r="AC83" s="35">
        <f>MAX(K83:V83)</f>
        <v>34.023161895630849</v>
      </c>
      <c r="AD83" s="35">
        <f>SKEW(K83:V83)</f>
        <v>0.80307985895725598</v>
      </c>
      <c r="AE83" s="35">
        <f>KURT(K83:V83)</f>
        <v>-0.10787699678817253</v>
      </c>
    </row>
    <row r="84" spans="2:31" x14ac:dyDescent="0.2">
      <c r="B84" s="34">
        <f>[38]FormattedData!A51</f>
        <v>906</v>
      </c>
      <c r="C84" s="34" t="str">
        <f>VLOOKUP($B84,[38]TrtCodes!$B$11:I94,2)</f>
        <v>Late</v>
      </c>
      <c r="D84" s="34">
        <f>VLOOKUP($B84,[38]TrtCodes!$B$11:J94,3)</f>
        <v>22</v>
      </c>
      <c r="E84" s="34">
        <f>VLOOKUP($B84,[38]TrtCodes!$B$11:K94,4)</f>
        <v>4</v>
      </c>
      <c r="F84" s="34">
        <f>VLOOKUP($B84,[38]TrtCodes!$B$11:L94,5)</f>
        <v>2</v>
      </c>
      <c r="G84" s="34">
        <f>VLOOKUP($B84,[38]TrtCodes!$B$11:M94,6)</f>
        <v>2</v>
      </c>
      <c r="H84" s="34">
        <f>VLOOKUP($B84,[38]TrtCodes!$B$11:N94,7)</f>
        <v>2</v>
      </c>
      <c r="I84" s="34">
        <f>[38]FormattedData!B51</f>
        <v>2</v>
      </c>
      <c r="J84" s="37">
        <f>[38]FormattedData!C51</f>
        <v>13.101000000000001</v>
      </c>
      <c r="K84" s="39">
        <f>$J$3+[38]FormattedData!D51*$J$4+$M$4*$J$5+[38]FormattedData!D51^2*$J$6+$M$5*$J$7</f>
        <v>29.486818493831507</v>
      </c>
      <c r="L84" s="39">
        <f>$J$3+[38]FormattedData!E51*$J$4+$M$4*$J$5+[38]FormattedData!E51^2*$J$6+$M$5*$J$7</f>
        <v>29.681756467476678</v>
      </c>
      <c r="M84" s="39">
        <f>$J$3+[38]FormattedData!F51*$J$4+$M$4*$J$5+[38]FormattedData!F51^2*$J$6+$M$5*$J$7</f>
        <v>30.071125192311843</v>
      </c>
      <c r="N84" s="39">
        <f>$J$3+[38]FormattedData!G51*$J$4+$M$4*$J$5+[38]FormattedData!G51^2*$J$6+$M$5*$J$7</f>
        <v>29.584308614923053</v>
      </c>
      <c r="O84" s="39">
        <f>$J$3+[38]FormattedData!H51*$J$4+$M$4*$J$5+[38]FormattedData!H51^2*$J$6+$M$5*$J$7</f>
        <v>29.876525366970128</v>
      </c>
      <c r="P84" s="39">
        <f>$J$3+[38]FormattedData!I51*$J$4+$M$4*$J$5+[38]FormattedData!I51^2*$J$6+$M$5*$J$7</f>
        <v>29.584308614923053</v>
      </c>
      <c r="Q84" s="39">
        <f>$J$3+[38]FormattedData!J51*$J$4+$M$4*$J$5+[38]FormattedData!J51^2*$J$6+$M$5*$J$7</f>
        <v>30.071125192311843</v>
      </c>
      <c r="R84" s="39">
        <f>$J$3+[38]FormattedData!K51*$J$4+$M$4*$J$5+[38]FormattedData!K51^2*$J$6+$M$5*$J$7</f>
        <v>28.607505319800641</v>
      </c>
      <c r="S84" s="39">
        <f>$J$3+[38]FormattedData!L51*$J$4+$M$4*$J$5+[38]FormattedData!L51^2*$J$6+$M$5*$J$7</f>
        <v>31.235173587175957</v>
      </c>
      <c r="T84" s="39">
        <f>$J$3+[38]FormattedData!M51*$J$4+$M$4*$J$5+[38]FormattedData!M51^2*$J$6+$M$5*$J$7</f>
        <v>30.459817620540115</v>
      </c>
      <c r="U84" s="39">
        <f>$J$3+[38]FormattedData!N51*$J$4+$M$4*$J$5+[38]FormattedData!N51^2*$J$6+$M$5*$J$7</f>
        <v>31.718397338840603</v>
      </c>
      <c r="V84" s="39">
        <f>$J$3+[38]FormattedData!O51*$J$4+$M$4*$J$5+[38]FormattedData!O51^2*$J$6+$M$5*$J$7</f>
        <v>30.556885056252352</v>
      </c>
      <c r="W84" s="38">
        <f>AVERAGE(K84:V84)</f>
        <v>30.077812238779813</v>
      </c>
      <c r="X84" s="37">
        <f>STDEV(K84:V84)/SQRT(COUNT(K84:V84))</f>
        <v>0.23998228068189811</v>
      </c>
      <c r="Y84" s="36">
        <f>MIN(K84:V84)</f>
        <v>28.607505319800641</v>
      </c>
      <c r="Z84" s="35">
        <f>QUARTILE(K84:V84,1)</f>
        <v>29.584308614923053</v>
      </c>
      <c r="AA84" s="36">
        <f>MEDIAN(K84:V84)</f>
        <v>29.973825279640984</v>
      </c>
      <c r="AB84" s="35">
        <f>QUARTILE(K84:V84,3)</f>
        <v>30.484084479468173</v>
      </c>
      <c r="AC84" s="35">
        <f>MAX(K84:V84)</f>
        <v>31.718397338840603</v>
      </c>
      <c r="AD84" s="35">
        <f>SKEW(K84:V84)</f>
        <v>0.46255491612669475</v>
      </c>
      <c r="AE84" s="35">
        <f>KURT(K84:V84)</f>
        <v>0.60295863481336021</v>
      </c>
    </row>
    <row r="85" spans="2:31" x14ac:dyDescent="0.2">
      <c r="B85" s="34">
        <f>[38]FormattedData!A47</f>
        <v>908</v>
      </c>
      <c r="C85" s="34" t="str">
        <f>VLOOKUP($B85,[38]TrtCodes!$B$11:I90,2)</f>
        <v>Early</v>
      </c>
      <c r="D85" s="34">
        <f>VLOOKUP($B85,[38]TrtCodes!$B$11:J90,3)</f>
        <v>21</v>
      </c>
      <c r="E85" s="34">
        <f>VLOOKUP($B85,[38]TrtCodes!$B$11:K90,4)</f>
        <v>3</v>
      </c>
      <c r="F85" s="34">
        <f>VLOOKUP($B85,[38]TrtCodes!$B$11:L90,5)</f>
        <v>2</v>
      </c>
      <c r="G85" s="34">
        <f>VLOOKUP($B85,[38]TrtCodes!$B$11:M90,6)</f>
        <v>2</v>
      </c>
      <c r="H85" s="34">
        <f>VLOOKUP($B85,[38]TrtCodes!$B$11:N90,7)</f>
        <v>2</v>
      </c>
      <c r="I85" s="34">
        <f>[38]FormattedData!B47</f>
        <v>2</v>
      </c>
      <c r="J85" s="37">
        <f>[38]FormattedData!C47</f>
        <v>13.08</v>
      </c>
      <c r="K85" s="39">
        <f>$J$3+[38]FormattedData!D47*$J$4+$M$4*$J$5+[38]FormattedData!D47^2*$J$6+$M$5*$J$7</f>
        <v>30.847833752161488</v>
      </c>
      <c r="L85" s="39">
        <f>$J$3+[38]FormattedData!E47*$J$4+$M$4*$J$5+[38]FormattedData!E47^2*$J$6+$M$5*$J$7</f>
        <v>28.117518602067015</v>
      </c>
      <c r="M85" s="39">
        <f>$J$3+[38]FormattedData!F47*$J$4+$M$4*$J$5+[38]FormattedData!F47^2*$J$6+$M$5*$J$7</f>
        <v>29.779162051492364</v>
      </c>
      <c r="N85" s="39">
        <f>$J$3+[38]FormattedData!G47*$J$4+$M$4*$J$5+[38]FormattedData!G47^2*$J$6+$M$5*$J$7</f>
        <v>30.556885056252352</v>
      </c>
      <c r="O85" s="39">
        <f>$J$3+[38]FormattedData!H47*$J$4+$M$4*$J$5+[38]FormattedData!H47^2*$J$6+$M$5*$J$7</f>
        <v>30.653910223426664</v>
      </c>
      <c r="P85" s="39">
        <f>$J$3+[38]FormattedData!I47*$J$4+$M$4*$J$5+[38]FormattedData!I47^2*$J$6+$M$5*$J$7</f>
        <v>29.97384641390995</v>
      </c>
      <c r="Q85" s="39">
        <f>$J$3+[38]FormattedData!J47*$J$4+$M$4*$J$5+[38]FormattedData!J47^2*$J$6+$M$5*$J$7</f>
        <v>30.556885056252352</v>
      </c>
      <c r="R85" s="39">
        <f>$J$3+[38]FormattedData!K47*$J$4+$M$4*$J$5+[38]FormattedData!K47^2*$J$6+$M$5*$J$7</f>
        <v>32.007824367384217</v>
      </c>
      <c r="S85" s="39">
        <f>$J$3+[38]FormattedData!L47*$J$4+$M$4*$J$5+[38]FormattedData!L47^2*$J$6+$M$5*$J$7</f>
        <v>29.096435324085988</v>
      </c>
      <c r="T85" s="39">
        <f>$J$3+[38]FormattedData!M47*$J$4+$M$4*$J$5+[38]FormattedData!M47^2*$J$6+$M$5*$J$7</f>
        <v>30.556885056252352</v>
      </c>
      <c r="U85" s="39">
        <f>$J$3+[38]FormattedData!N47*$J$4+$M$4*$J$5+[38]FormattedData!N47^2*$J$6+$M$5*$J$7</f>
        <v>29.389286104202021</v>
      </c>
      <c r="V85" s="39">
        <f>$J$3+[38]FormattedData!O47*$J$4+$M$4*$J$5+[38]FormattedData!O47^2*$J$6+$M$5*$J$7</f>
        <v>28.509592513329778</v>
      </c>
      <c r="W85" s="38">
        <f>AVERAGE(K85:V85)</f>
        <v>30.003838710068042</v>
      </c>
      <c r="X85" s="37">
        <f>STDEV(K85:V85)/SQRT(COUNT(K85:V85))</f>
        <v>0.31517034952128647</v>
      </c>
      <c r="Y85" s="36">
        <f>MIN(K85:V85)</f>
        <v>28.117518602067015</v>
      </c>
      <c r="Z85" s="35">
        <f>QUARTILE(K85:V85,1)</f>
        <v>29.316073409173015</v>
      </c>
      <c r="AA85" s="36">
        <f>MEDIAN(K85:V85)</f>
        <v>30.265365735081151</v>
      </c>
      <c r="AB85" s="35">
        <f>QUARTILE(K85:V85,3)</f>
        <v>30.581141348045929</v>
      </c>
      <c r="AC85" s="35">
        <f>MAX(K85:V85)</f>
        <v>32.007824367384217</v>
      </c>
      <c r="AD85" s="35">
        <f>SKEW(K85:V85)</f>
        <v>-0.13475299347316172</v>
      </c>
      <c r="AE85" s="35">
        <f>KURT(K85:V85)</f>
        <v>-8.9181742090942429E-2</v>
      </c>
    </row>
    <row r="88" spans="2:31" x14ac:dyDescent="0.2">
      <c r="W88" s="35"/>
    </row>
  </sheetData>
  <autoFilter ref="B9:AE85" xr:uid="{375F9D15-94A1-4289-97CF-CE75662DD0B6}"/>
  <conditionalFormatting sqref="K10:V85">
    <cfRule type="cellIs" dxfId="147" priority="1" stopIfTrue="1" operator="lessThan">
      <formula>$W10-$V$5*$X10</formula>
    </cfRule>
    <cfRule type="cellIs" dxfId="146" priority="2" stopIfTrue="1" operator="greaterThan">
      <formula>$W10+$V$5*$X10</formula>
    </cfRule>
  </conditionalFormatting>
  <conditionalFormatting sqref="W10:W85">
    <cfRule type="cellIs" dxfId="145" priority="3" stopIfTrue="1" operator="lessThan">
      <formula>AVERAGE($W$10:$W$41)</formula>
    </cfRule>
    <cfRule type="cellIs" dxfId="14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A025-0162-4539-B27E-5998B1D14CB9}">
  <sheetPr codeName="Sheet8"/>
  <dimension ref="A1:AI88"/>
  <sheetViews>
    <sheetView topLeftCell="A8" workbookViewId="0">
      <pane xSplit="4" ySplit="2" topLeftCell="K2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[37]FormattedData!A1</f>
        <v>Raw data file name - 'IA161.03R'</v>
      </c>
    </row>
    <row r="2" spans="1:35" ht="15" x14ac:dyDescent="0.25">
      <c r="I2" s="65" t="s">
        <v>136</v>
      </c>
      <c r="J2" s="57"/>
      <c r="P2" s="64">
        <f>[37]AncillaryData!C10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[37]AncillaryData!E25</f>
        <v>35.1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"&amp;[37]AncillaryData!C7</f>
        <v>Time Sequence of Midday IRT Temps - FISE 2003 - DOY 161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"&amp;[37]AncillaryData!E25&amp;", VPD = "&amp;ROUND([37]AncillaryData!E29,1)&amp;", Quality = "&amp;[37]AncillaryData!C20&amp;")"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[37]FormattedData!A28</f>
        <v>101</v>
      </c>
      <c r="C10" s="34" t="str">
        <f>VLOOKUP($B10,[37]TrtCodes!$B$11:I71,2)</f>
        <v>FSH</v>
      </c>
      <c r="D10" s="34">
        <f>VLOOKUP($B10,[37]TrtCodes!$B$11:J71,3)</f>
        <v>1</v>
      </c>
      <c r="E10" s="34">
        <f>VLOOKUP($B10,[37]TrtCodes!$B$11:K71,4)</f>
        <v>1</v>
      </c>
      <c r="F10" s="34">
        <f>VLOOKUP($B10,[37]TrtCodes!$B$11:L71,5)</f>
        <v>1</v>
      </c>
      <c r="G10" s="34">
        <f>VLOOKUP($B10,[37]TrtCodes!$B$11:M71,6)</f>
        <v>2</v>
      </c>
      <c r="H10" s="34">
        <f>VLOOKUP($B10,[37]TrtCodes!$B$11:N71,7)</f>
        <v>1</v>
      </c>
      <c r="I10" s="34">
        <f>[37]FormattedData!B28</f>
        <v>1</v>
      </c>
      <c r="J10" s="37">
        <f>[37]FormattedData!C28</f>
        <v>13.199</v>
      </c>
      <c r="K10" s="39">
        <f>$J$3+[37]FormattedData!D28*$J$4+$M$4*$J$5+[37]FormattedData!D28^2*$J$6+$M$5*$J$7</f>
        <v>32.933741569212366</v>
      </c>
      <c r="L10" s="39">
        <f>$J$3+[37]FormattedData!E28*$J$4+$M$4*$J$5+[37]FormattedData!E28^2*$J$6+$M$5*$J$7</f>
        <v>32.741677856146509</v>
      </c>
      <c r="M10" s="39">
        <f>$J$3+[37]FormattedData!F28*$J$4+$M$4*$J$5+[37]FormattedData!F28^2*$J$6+$M$5*$J$7</f>
        <v>31.971732262365851</v>
      </c>
      <c r="N10" s="39">
        <f>$J$3+[37]FormattedData!G28*$J$4+$M$4*$J$5+[37]FormattedData!G28^2*$J$6+$M$5*$J$7</f>
        <v>31.87529885472258</v>
      </c>
      <c r="O10" s="39">
        <f>$J$3+[37]FormattedData!H28*$J$4+$M$4*$J$5+[37]FormattedData!H28^2*$J$6+$M$5*$J$7</f>
        <v>32.164472272038594</v>
      </c>
      <c r="P10" s="39">
        <f>$J$3+[37]FormattedData!I28*$J$4+$M$4*$J$5+[37]FormattedData!I28^2*$J$6+$M$5*$J$7</f>
        <v>32.837730846948403</v>
      </c>
      <c r="Q10" s="39">
        <f>$J$3+[37]FormattedData!J28*$J$4+$M$4*$J$5+[37]FormattedData!J28^2*$J$6+$M$5*$J$7</f>
        <v>31.392497788437243</v>
      </c>
      <c r="R10" s="39">
        <f>$J$3+[37]FormattedData!K28*$J$4+$M$4*$J$5+[37]FormattedData!K28^2*$J$6+$M$5*$J$7</f>
        <v>32.933741569212366</v>
      </c>
      <c r="S10" s="39">
        <f>$J$3+[37]FormattedData!L28*$J$4+$M$4*$J$5+[37]FormattedData!L28^2*$J$6+$M$5*$J$7</f>
        <v>32.164472272038594</v>
      </c>
      <c r="T10" s="39">
        <f>$J$3+[37]FormattedData!M28*$J$4+$M$4*$J$5+[37]FormattedData!M28^2*$J$6+$M$5*$J$7</f>
        <v>32.453265272513249</v>
      </c>
      <c r="U10" s="39">
        <f>$J$3+[37]FormattedData!N28*$J$4+$M$4*$J$5+[37]FormattedData!N28^2*$J$6+$M$5*$J$7</f>
        <v>30.811741647143119</v>
      </c>
      <c r="V10" s="39">
        <f>$J$3+[37]FormattedData!O28*$J$4+$M$4*$J$5+[37]FormattedData!O28^2*$J$6+$M$5*$J$7</f>
        <v>32.837730846948403</v>
      </c>
      <c r="W10" s="38">
        <f>AVERAGE(K10:V10)</f>
        <v>32.259841921477268</v>
      </c>
      <c r="X10" s="37">
        <f>STDEV(K10:V10)/SQRT(COUNT(K10:V10))</f>
        <v>0.19353416985591532</v>
      </c>
      <c r="Y10" s="36">
        <f>MIN(K10:V10)</f>
        <v>30.811741647143119</v>
      </c>
      <c r="Z10" s="35">
        <f>QUARTILE(K10:V10,1)</f>
        <v>31.947623910455032</v>
      </c>
      <c r="AA10" s="36">
        <f>MEDIAN(K10:V10)</f>
        <v>32.308868772275922</v>
      </c>
      <c r="AB10" s="35">
        <f>QUARTILE(K10:V10,3)</f>
        <v>32.837730846948403</v>
      </c>
      <c r="AC10" s="35">
        <f>MAX(K10:V10)</f>
        <v>32.933741569212366</v>
      </c>
      <c r="AD10" s="35">
        <f>SKEW(K10:V10)</f>
        <v>-0.96100360887397429</v>
      </c>
      <c r="AE10" s="35">
        <f>KURT(K10:V10)</f>
        <v>0.39948846082576139</v>
      </c>
    </row>
    <row r="11" spans="1:35" x14ac:dyDescent="0.2">
      <c r="B11" s="34">
        <f>[37]FormattedData!A26</f>
        <v>102</v>
      </c>
      <c r="C11" s="34" t="str">
        <f>VLOOKUP($B11,[37]TrtCodes!$B$11:I69,2)</f>
        <v>FTL</v>
      </c>
      <c r="D11" s="34">
        <f>VLOOKUP($B11,[37]TrtCodes!$B$11:J69,3)</f>
        <v>4</v>
      </c>
      <c r="E11" s="34">
        <f>VLOOKUP($B11,[37]TrtCodes!$B$11:K69,4)</f>
        <v>1</v>
      </c>
      <c r="F11" s="34">
        <f>VLOOKUP($B11,[37]TrtCodes!$B$11:L69,5)</f>
        <v>2</v>
      </c>
      <c r="G11" s="34">
        <f>VLOOKUP($B11,[37]TrtCodes!$B$11:M69,6)</f>
        <v>1</v>
      </c>
      <c r="H11" s="34">
        <f>VLOOKUP($B11,[37]TrtCodes!$B$11:N69,7)</f>
        <v>1</v>
      </c>
      <c r="I11" s="34">
        <f>[37]FormattedData!B26</f>
        <v>1</v>
      </c>
      <c r="J11" s="37">
        <f>[37]FormattedData!C26</f>
        <v>13.183</v>
      </c>
      <c r="K11" s="39">
        <f>$J$3+[37]FormattedData!D26*$J$4+$M$4*$J$5+[37]FormattedData!D26^2*$J$6+$M$5*$J$7</f>
        <v>32.549445068928932</v>
      </c>
      <c r="L11" s="39">
        <f>$J$3+[37]FormattedData!E26*$J$4+$M$4*$J$5+[37]FormattedData!E26^2*$J$6+$M$5*$J$7</f>
        <v>32.357043207559634</v>
      </c>
      <c r="M11" s="39">
        <f>$J$3+[37]FormattedData!F26*$J$4+$M$4*$J$5+[37]FormattedData!F26^2*$J$6+$M$5*$J$7</f>
        <v>30.908640008703632</v>
      </c>
      <c r="N11" s="39">
        <f>$J$3+[37]FormattedData!G26*$J$4+$M$4*$J$5+[37]FormattedData!G26^2*$J$6+$M$5*$J$7</f>
        <v>32.164472272038594</v>
      </c>
      <c r="O11" s="39">
        <f>$J$3+[37]FormattedData!H26*$J$4+$M$4*$J$5+[37]FormattedData!H26^2*$J$6+$M$5*$J$7</f>
        <v>31.392497788437243</v>
      </c>
      <c r="P11" s="39">
        <f>$J$3+[37]FormattedData!I26*$J$4+$M$4*$J$5+[37]FormattedData!I26^2*$J$6+$M$5*$J$7</f>
        <v>31.778823178541373</v>
      </c>
      <c r="Q11" s="39">
        <f>$J$3+[37]FormattedData!J26*$J$4+$M$4*$J$5+[37]FormattedData!J26^2*$J$6+$M$5*$J$7</f>
        <v>30.520792951233982</v>
      </c>
      <c r="R11" s="39">
        <f>$J$3+[37]FormattedData!K26*$J$4+$M$4*$J$5+[37]FormattedData!K26^2*$J$6+$M$5*$J$7</f>
        <v>31.005496101726212</v>
      </c>
      <c r="S11" s="39">
        <f>$J$3+[37]FormattedData!L26*$J$4+$M$4*$J$5+[37]FormattedData!L26^2*$J$6+$M$5*$J$7</f>
        <v>32.164472272038594</v>
      </c>
      <c r="T11" s="39">
        <f>$J$3+[37]FormattedData!M26*$J$4+$M$4*$J$5+[37]FormattedData!M26^2*$J$6+$M$5*$J$7</f>
        <v>30.423725515521745</v>
      </c>
      <c r="U11" s="39">
        <f>$J$3+[37]FormattedData!N26*$J$4+$M$4*$J$5+[37]FormattedData!N26^2*$J$6+$M$5*$J$7</f>
        <v>31.489142538770174</v>
      </c>
      <c r="V11" s="39">
        <f>$J$3+[37]FormattedData!O26*$J$4+$M$4*$J$5+[37]FormattedData!O26^2*$J$6+$M$5*$J$7</f>
        <v>30.811741647143119</v>
      </c>
      <c r="W11" s="38">
        <f>AVERAGE(K11:V11)</f>
        <v>31.463857712553605</v>
      </c>
      <c r="X11" s="37">
        <f>STDEV(K11:V11)/SQRT(COUNT(K11:V11))</f>
        <v>0.21280593171713541</v>
      </c>
      <c r="Y11" s="36">
        <f>MIN(K11:V11)</f>
        <v>30.423725515521745</v>
      </c>
      <c r="Z11" s="35">
        <f>QUARTILE(K11:V11,1)</f>
        <v>30.884415418313502</v>
      </c>
      <c r="AA11" s="36">
        <f>MEDIAN(K11:V11)</f>
        <v>31.440820163603711</v>
      </c>
      <c r="AB11" s="35">
        <f>QUARTILE(K11:V11,3)</f>
        <v>32.164472272038594</v>
      </c>
      <c r="AC11" s="35">
        <f>MAX(K11:V11)</f>
        <v>32.549445068928932</v>
      </c>
      <c r="AD11" s="35">
        <f>SKEW(K11:V11)</f>
        <v>5.4963010116378531E-2</v>
      </c>
      <c r="AE11" s="35">
        <f>KURT(K11:V11)</f>
        <v>-1.4729852664758321</v>
      </c>
    </row>
    <row r="12" spans="1:35" x14ac:dyDescent="0.2">
      <c r="B12" s="34">
        <f>[37]FormattedData!A24</f>
        <v>103</v>
      </c>
      <c r="C12" s="34" t="str">
        <f>VLOOKUP($B12,[37]TrtCodes!$B$11:I67,2)</f>
        <v>FDH</v>
      </c>
      <c r="D12" s="34">
        <f>VLOOKUP($B12,[37]TrtCodes!$B$11:J67,3)</f>
        <v>5</v>
      </c>
      <c r="E12" s="34">
        <f>VLOOKUP($B12,[37]TrtCodes!$B$11:K67,4)</f>
        <v>1</v>
      </c>
      <c r="F12" s="34">
        <f>VLOOKUP($B12,[37]TrtCodes!$B$11:L67,5)</f>
        <v>3</v>
      </c>
      <c r="G12" s="34">
        <f>VLOOKUP($B12,[37]TrtCodes!$B$11:M67,6)</f>
        <v>2</v>
      </c>
      <c r="H12" s="34">
        <f>VLOOKUP($B12,[37]TrtCodes!$B$11:N67,7)</f>
        <v>1</v>
      </c>
      <c r="I12" s="34">
        <f>[37]FormattedData!B24</f>
        <v>1</v>
      </c>
      <c r="J12" s="37">
        <f>[37]FormattedData!C24</f>
        <v>13.167999999999999</v>
      </c>
      <c r="K12" s="39">
        <f>$J$3+[37]FormattedData!D24*$J$4+$M$4*$J$5+[37]FormattedData!D24^2*$J$6+$M$5*$J$7</f>
        <v>31.199081482157588</v>
      </c>
      <c r="L12" s="39">
        <f>$J$3+[37]FormattedData!E24*$J$4+$M$4*$J$5+[37]FormattedData!E24^2*$J$6+$M$5*$J$7</f>
        <v>31.489142538770174</v>
      </c>
      <c r="M12" s="39">
        <f>$J$3+[37]FormattedData!F24*$J$4+$M$4*$J$5+[37]FormattedData!F24^2*$J$6+$M$5*$J$7</f>
        <v>30.132269597157439</v>
      </c>
      <c r="N12" s="39">
        <f>$J$3+[37]FormattedData!G24*$J$4+$M$4*$J$5+[37]FormattedData!G24^2*$J$6+$M$5*$J$7</f>
        <v>32.357043207559634</v>
      </c>
      <c r="O12" s="39">
        <f>$J$3+[37]FormattedData!H24*$J$4+$M$4*$J$5+[37]FormattedData!H24^2*$J$6+$M$5*$J$7</f>
        <v>30.035033087293474</v>
      </c>
      <c r="P12" s="39">
        <f>$J$3+[37]FormattedData!I24*$J$4+$M$4*$J$5+[37]FormattedData!I24^2*$J$6+$M$5*$J$7</f>
        <v>30.811741647143119</v>
      </c>
      <c r="Q12" s="39">
        <f>$J$3+[37]FormattedData!J24*$J$4+$M$4*$J$5+[37]FormattedData!J24^2*$J$6+$M$5*$J$7</f>
        <v>30.132269597157439</v>
      </c>
      <c r="R12" s="39">
        <f>$J$3+[37]FormattedData!K24*$J$4+$M$4*$J$5+[37]FormattedData!K24^2*$J$6+$M$5*$J$7</f>
        <v>32.837730846948403</v>
      </c>
      <c r="S12" s="39">
        <f>$J$3+[37]FormattedData!L24*$J$4+$M$4*$J$5+[37]FormattedData!L24^2*$J$6+$M$5*$J$7</f>
        <v>30.326615811271576</v>
      </c>
      <c r="T12" s="39">
        <f>$J$3+[37]FormattedData!M24*$J$4+$M$4*$J$5+[37]FormattedData!M24^2*$J$6+$M$5*$J$7</f>
        <v>32.357043207559634</v>
      </c>
      <c r="U12" s="39">
        <f>$J$3+[37]FormattedData!N24*$J$4+$M$4*$J$5+[37]FormattedData!N24^2*$J$6+$M$5*$J$7</f>
        <v>30.132269597157439</v>
      </c>
      <c r="V12" s="39">
        <f>$J$3+[37]FormattedData!O24*$J$4+$M$4*$J$5+[37]FormattedData!O24^2*$J$6+$M$5*$J$7</f>
        <v>32.06812340147119</v>
      </c>
      <c r="W12" s="38">
        <f>AVERAGE(K12:V12)</f>
        <v>31.156530335137262</v>
      </c>
      <c r="X12" s="37">
        <f>STDEV(K12:V12)/SQRT(COUNT(K12:V12))</f>
        <v>0.29981136092749661</v>
      </c>
      <c r="Y12" s="36">
        <f>MIN(K12:V12)</f>
        <v>30.035033087293474</v>
      </c>
      <c r="Z12" s="35">
        <f>QUARTILE(K12:V12,1)</f>
        <v>30.132269597157439</v>
      </c>
      <c r="AA12" s="36">
        <f>MEDIAN(K12:V12)</f>
        <v>31.005411564650352</v>
      </c>
      <c r="AB12" s="35">
        <f>QUARTILE(K12:V12,3)</f>
        <v>32.140353352993301</v>
      </c>
      <c r="AC12" s="35">
        <f>MAX(K12:V12)</f>
        <v>32.837730846948403</v>
      </c>
      <c r="AD12" s="35">
        <f>SKEW(K12:V12)</f>
        <v>0.3661307783570622</v>
      </c>
      <c r="AE12" s="35">
        <f>KURT(K12:V12)</f>
        <v>-1.5659302383091234</v>
      </c>
    </row>
    <row r="13" spans="1:35" x14ac:dyDescent="0.2">
      <c r="B13" s="34">
        <f>[37]FormattedData!A22</f>
        <v>104</v>
      </c>
      <c r="C13" s="34" t="str">
        <f>VLOOKUP($B13,[37]TrtCodes!$B$11:I65,2)</f>
        <v>NTL</v>
      </c>
      <c r="D13" s="34">
        <f>VLOOKUP($B13,[37]TrtCodes!$B$11:J65,3)</f>
        <v>10</v>
      </c>
      <c r="E13" s="34">
        <f>VLOOKUP($B13,[37]TrtCodes!$B$11:K65,4)</f>
        <v>2</v>
      </c>
      <c r="F13" s="34">
        <f>VLOOKUP($B13,[37]TrtCodes!$B$11:L65,5)</f>
        <v>2</v>
      </c>
      <c r="G13" s="34">
        <f>VLOOKUP($B13,[37]TrtCodes!$B$11:M65,6)</f>
        <v>1</v>
      </c>
      <c r="H13" s="34">
        <f>VLOOKUP($B13,[37]TrtCodes!$B$11:N65,7)</f>
        <v>1</v>
      </c>
      <c r="I13" s="34">
        <f>[37]FormattedData!B22</f>
        <v>1</v>
      </c>
      <c r="J13" s="37">
        <f>[37]FormattedData!C22</f>
        <v>13.151999999999999</v>
      </c>
      <c r="K13" s="39">
        <f>$J$3+[37]FormattedData!D22*$J$4+$M$4*$J$5+[37]FormattedData!D22^2*$J$6+$M$5*$J$7</f>
        <v>51.723439454908451</v>
      </c>
      <c r="L13" s="39">
        <f>$J$3+[37]FormattedData!E22*$J$4+$M$4*$J$5+[37]FormattedData!E22^2*$J$6+$M$5*$J$7</f>
        <v>50.056643767148742</v>
      </c>
      <c r="M13" s="39">
        <f>$J$3+[37]FormattedData!F22*$J$4+$M$4*$J$5+[37]FormattedData!F22^2*$J$6+$M$5*$J$7</f>
        <v>43.328190508732121</v>
      </c>
      <c r="N13" s="39">
        <f>$J$3+[37]FormattedData!G22*$J$4+$M$4*$J$5+[37]FormattedData!G22^2*$J$6+$M$5*$J$7</f>
        <v>50.935806739650225</v>
      </c>
      <c r="O13" s="39">
        <f>$J$3+[37]FormattedData!H22*$J$4+$M$4*$J$5+[37]FormattedData!H22^2*$J$6+$M$5*$J$7</f>
        <v>40.755283393893208</v>
      </c>
      <c r="P13" s="39">
        <f>$J$3+[37]FormattedData!I22*$J$4+$M$4*$J$5+[37]FormattedData!I22^2*$J$6+$M$5*$J$7</f>
        <v>52.333675639762916</v>
      </c>
      <c r="Q13" s="39">
        <f>$J$3+[37]FormattedData!J22*$J$4+$M$4*$J$5+[37]FormattedData!J22^2*$J$6+$M$5*$J$7</f>
        <v>41.032537083512651</v>
      </c>
      <c r="R13" s="39">
        <f>$J$3+[37]FormattedData!K22*$J$4+$M$4*$J$5+[37]FormattedData!K22^2*$J$6+$M$5*$J$7</f>
        <v>54.496183170499293</v>
      </c>
      <c r="S13" s="39">
        <f>$J$3+[37]FormattedData!L22*$J$4+$M$4*$J$5+[37]FormattedData!L22^2*$J$6+$M$5*$J$7</f>
        <v>44.602217115999821</v>
      </c>
      <c r="T13" s="39">
        <f>$J$3+[37]FormattedData!M22*$J$4+$M$4*$J$5+[37]FormattedData!M22^2*$J$6+$M$5*$J$7</f>
        <v>52.072399457481445</v>
      </c>
      <c r="U13" s="39">
        <f>$J$3+[37]FormattedData!N22*$J$4+$M$4*$J$5+[37]FormattedData!N22^2*$J$6+$M$5*$J$7</f>
        <v>47.929407069669281</v>
      </c>
      <c r="V13" s="39">
        <f>$J$3+[37]FormattedData!O22*$J$4+$M$4*$J$5+[37]FormattedData!O22^2*$J$6+$M$5*$J$7</f>
        <v>48.729973957534433</v>
      </c>
      <c r="W13" s="38">
        <f>AVERAGE(K13:V13)</f>
        <v>48.166313113232718</v>
      </c>
      <c r="X13" s="37">
        <f>STDEV(K13:V13)/SQRT(COUNT(K13:V13))</f>
        <v>1.3452679107241077</v>
      </c>
      <c r="Y13" s="36">
        <f>MIN(K13:V13)</f>
        <v>40.755283393893208</v>
      </c>
      <c r="Z13" s="35">
        <f>QUARTILE(K13:V13,1)</f>
        <v>44.283710464182896</v>
      </c>
      <c r="AA13" s="36">
        <f>MEDIAN(K13:V13)</f>
        <v>49.393308862341584</v>
      </c>
      <c r="AB13" s="35">
        <f>QUARTILE(K13:V13,3)</f>
        <v>51.8106794555517</v>
      </c>
      <c r="AC13" s="35">
        <f>MAX(K13:V13)</f>
        <v>54.496183170499293</v>
      </c>
      <c r="AD13" s="35">
        <f>SKEW(K13:V13)</f>
        <v>-0.50645469315858849</v>
      </c>
      <c r="AE13" s="35">
        <f>KURT(K13:V13)</f>
        <v>-1.1308024132243424</v>
      </c>
    </row>
    <row r="14" spans="1:35" x14ac:dyDescent="0.2">
      <c r="B14" s="34">
        <f>[37]FormattedData!A20</f>
        <v>105</v>
      </c>
      <c r="C14" s="34" t="str">
        <f>VLOOKUP($B14,[37]TrtCodes!$B$11:I63,2)</f>
        <v>NDL</v>
      </c>
      <c r="D14" s="34">
        <f>VLOOKUP($B14,[37]TrtCodes!$B$11:J63,3)</f>
        <v>12</v>
      </c>
      <c r="E14" s="34">
        <f>VLOOKUP($B14,[37]TrtCodes!$B$11:K63,4)</f>
        <v>2</v>
      </c>
      <c r="F14" s="34">
        <f>VLOOKUP($B14,[37]TrtCodes!$B$11:L63,5)</f>
        <v>3</v>
      </c>
      <c r="G14" s="34">
        <f>VLOOKUP($B14,[37]TrtCodes!$B$11:M63,6)</f>
        <v>1</v>
      </c>
      <c r="H14" s="34">
        <f>VLOOKUP($B14,[37]TrtCodes!$B$11:N63,7)</f>
        <v>2</v>
      </c>
      <c r="I14" s="34">
        <f>[37]FormattedData!B20</f>
        <v>1</v>
      </c>
      <c r="J14" s="37">
        <f>[37]FormattedData!C20</f>
        <v>13.135</v>
      </c>
      <c r="K14" s="39">
        <f>$J$3+[37]FormattedData!D20*$J$4+$M$4*$J$5+[37]FormattedData!D20^2*$J$6+$M$5*$J$7</f>
        <v>49.350270054416519</v>
      </c>
      <c r="L14" s="39">
        <f>$J$3+[37]FormattedData!E20*$J$4+$M$4*$J$5+[37]FormattedData!E20^2*$J$6+$M$5*$J$7</f>
        <v>43.966239391545287</v>
      </c>
      <c r="M14" s="39">
        <f>$J$3+[37]FormattedData!F20*$J$4+$M$4*$J$5+[37]FormattedData!F20^2*$J$6+$M$5*$J$7</f>
        <v>39.176993501268072</v>
      </c>
      <c r="N14" s="39">
        <f>$J$3+[37]FormattedData!G20*$J$4+$M$4*$J$5+[37]FormattedData!G20^2*$J$6+$M$5*$J$7</f>
        <v>48.018528020250471</v>
      </c>
      <c r="O14" s="39">
        <f>$J$3+[37]FormattedData!H20*$J$4+$M$4*$J$5+[37]FormattedData!H20^2*$J$6+$M$5*$J$7</f>
        <v>40.662780960277537</v>
      </c>
      <c r="P14" s="39">
        <f>$J$3+[37]FormattedData!I20*$J$4+$M$4*$J$5+[37]FormattedData!I20^2*$J$6+$M$5*$J$7</f>
        <v>47.393793726885612</v>
      </c>
      <c r="Q14" s="39">
        <f>$J$3+[37]FormattedData!J20*$J$4+$M$4*$J$5+[37]FormattedData!J20^2*$J$6+$M$5*$J$7</f>
        <v>41.401616910140881</v>
      </c>
      <c r="R14" s="39">
        <f>$J$3+[37]FormattedData!K20*$J$4+$M$4*$J$5+[37]FormattedData!K20^2*$J$6+$M$5*$J$7</f>
        <v>43.784151053431181</v>
      </c>
      <c r="S14" s="39">
        <f>$J$3+[37]FormattedData!L20*$J$4+$M$4*$J$5+[37]FormattedData!L20^2*$J$6+$M$5*$J$7</f>
        <v>46.766988275162134</v>
      </c>
      <c r="T14" s="39">
        <f>$J$3+[37]FormattedData!M20*$J$4+$M$4*$J$5+[37]FormattedData!M20^2*$J$6+$M$5*$J$7</f>
        <v>41.217161533902626</v>
      </c>
      <c r="U14" s="39">
        <f>$J$3+[37]FormattedData!N20*$J$4+$M$4*$J$5+[37]FormattedData!N20^2*$J$6+$M$5*$J$7</f>
        <v>48.818714491274235</v>
      </c>
      <c r="V14" s="39">
        <f>$J$3+[37]FormattedData!O20*$J$4+$M$4*$J$5+[37]FormattedData!O20^2*$J$6+$M$5*$J$7</f>
        <v>44.329908845318315</v>
      </c>
      <c r="W14" s="38">
        <f>AVERAGE(K14:V14)</f>
        <v>44.573928896989408</v>
      </c>
      <c r="X14" s="37">
        <f>STDEV(K14:V14)/SQRT(COUNT(K14:V14))</f>
        <v>1.0010073391932337</v>
      </c>
      <c r="Y14" s="36">
        <f>MIN(K14:V14)</f>
        <v>39.176993501268072</v>
      </c>
      <c r="Z14" s="35">
        <f>QUARTILE(K14:V14,1)</f>
        <v>41.355503066081319</v>
      </c>
      <c r="AA14" s="36">
        <f>MEDIAN(K14:V14)</f>
        <v>44.148074118431801</v>
      </c>
      <c r="AB14" s="35">
        <f>QUARTILE(K14:V14,3)</f>
        <v>47.549977300226828</v>
      </c>
      <c r="AC14" s="35">
        <f>MAX(K14:V14)</f>
        <v>49.350270054416519</v>
      </c>
      <c r="AD14" s="35">
        <f>SKEW(K14:V14)</f>
        <v>-7.382415335020949E-2</v>
      </c>
      <c r="AE14" s="35">
        <f>KURT(K14:V14)</f>
        <v>-1.4357181731583197</v>
      </c>
    </row>
    <row r="15" spans="1:35" x14ac:dyDescent="0.2">
      <c r="B15" s="34">
        <f>[37]FormattedData!A18</f>
        <v>106</v>
      </c>
      <c r="C15" s="34" t="str">
        <f>VLOOKUP($B15,[37]TrtCodes!$B$11:I61,2)</f>
        <v>NTH</v>
      </c>
      <c r="D15" s="34">
        <f>VLOOKUP($B15,[37]TrtCodes!$B$11:J61,3)</f>
        <v>9</v>
      </c>
      <c r="E15" s="34">
        <f>VLOOKUP($B15,[37]TrtCodes!$B$11:K61,4)</f>
        <v>2</v>
      </c>
      <c r="F15" s="34">
        <f>VLOOKUP($B15,[37]TrtCodes!$B$11:L61,5)</f>
        <v>2</v>
      </c>
      <c r="G15" s="34">
        <f>VLOOKUP($B15,[37]TrtCodes!$B$11:M61,6)</f>
        <v>2</v>
      </c>
      <c r="H15" s="34">
        <f>VLOOKUP($B15,[37]TrtCodes!$B$11:N61,7)</f>
        <v>2</v>
      </c>
      <c r="I15" s="34">
        <f>[37]FormattedData!B18</f>
        <v>1</v>
      </c>
      <c r="J15" s="37">
        <f>[37]FormattedData!C18</f>
        <v>13.118</v>
      </c>
      <c r="K15" s="39">
        <f>$J$3+[37]FormattedData!D18*$J$4+$M$4*$J$5+[37]FormattedData!D18^2*$J$6+$M$5*$J$7</f>
        <v>52.681452123273843</v>
      </c>
      <c r="L15" s="39">
        <f>$J$3+[37]FormattedData!E18*$J$4+$M$4*$J$5+[37]FormattedData!E18^2*$J$6+$M$5*$J$7</f>
        <v>51.111132111695348</v>
      </c>
      <c r="M15" s="39">
        <f>$J$3+[37]FormattedData!F18*$J$4+$M$4*$J$5+[37]FormattedData!F18^2*$J$6+$M$5*$J$7</f>
        <v>46.587520586399762</v>
      </c>
      <c r="N15" s="39">
        <f>$J$3+[37]FormattedData!G18*$J$4+$M$4*$J$5+[37]FormattedData!G18^2*$J$6+$M$5*$J$7</f>
        <v>53.288433630707623</v>
      </c>
      <c r="O15" s="39">
        <f>$J$3+[37]FormattedData!H18*$J$4+$M$4*$J$5+[37]FormattedData!H18^2*$J$6+$M$5*$J$7</f>
        <v>45.416859426996041</v>
      </c>
      <c r="P15" s="39">
        <f>$J$3+[37]FormattedData!I18*$J$4+$M$4*$J$5+[37]FormattedData!I18^2*$J$6+$M$5*$J$7</f>
        <v>52.594571405203013</v>
      </c>
      <c r="Q15" s="39">
        <f>$J$3+[37]FormattedData!J18*$J$4+$M$4*$J$5+[37]FormattedData!J18^2*$J$6+$M$5*$J$7</f>
        <v>43.69304348156723</v>
      </c>
      <c r="R15" s="39">
        <f>$J$3+[37]FormattedData!K18*$J$4+$M$4*$J$5+[37]FormattedData!K18^2*$J$6+$M$5*$J$7</f>
        <v>54.151957244174582</v>
      </c>
      <c r="S15" s="39">
        <f>$J$3+[37]FormattedData!L18*$J$4+$M$4*$J$5+[37]FormattedData!L18^2*$J$6+$M$5*$J$7</f>
        <v>42.413099278989165</v>
      </c>
      <c r="T15" s="39">
        <f>$J$3+[37]FormattedData!M18*$J$4+$M$4*$J$5+[37]FormattedData!M18^2*$J$6+$M$5*$J$7</f>
        <v>53.201848792402302</v>
      </c>
      <c r="U15" s="39">
        <f>$J$3+[37]FormattedData!N18*$J$4+$M$4*$J$5+[37]FormattedData!N18^2*$J$6+$M$5*$J$7</f>
        <v>44.783544620431158</v>
      </c>
      <c r="V15" s="39">
        <f>$J$3+[37]FormattedData!O18*$J$4+$M$4*$J$5+[37]FormattedData!O18^2*$J$6+$M$5*$J$7</f>
        <v>52.420683163447542</v>
      </c>
      <c r="W15" s="38">
        <f>AVERAGE(K15:V15)</f>
        <v>49.362012155440631</v>
      </c>
      <c r="X15" s="37">
        <f>STDEV(K15:V15)/SQRT(COUNT(K15:V15))</f>
        <v>1.2662181504247212</v>
      </c>
      <c r="Y15" s="36">
        <f>MIN(K15:V15)</f>
        <v>42.413099278989165</v>
      </c>
      <c r="Z15" s="35">
        <f>QUARTILE(K15:V15,1)</f>
        <v>45.258530725354817</v>
      </c>
      <c r="AA15" s="36">
        <f>MEDIAN(K15:V15)</f>
        <v>51.765907637571445</v>
      </c>
      <c r="AB15" s="35">
        <f>QUARTILE(K15:V15,3)</f>
        <v>52.811551290555954</v>
      </c>
      <c r="AC15" s="35">
        <f>MAX(K15:V15)</f>
        <v>54.151957244174582</v>
      </c>
      <c r="AD15" s="35">
        <f>SKEW(K15:V15)</f>
        <v>-0.47195485668470405</v>
      </c>
      <c r="AE15" s="35">
        <f>KURT(K15:V15)</f>
        <v>-1.7284972468036974</v>
      </c>
    </row>
    <row r="16" spans="1:35" x14ac:dyDescent="0.2">
      <c r="B16" s="34">
        <f>[37]FormattedData!A16</f>
        <v>107</v>
      </c>
      <c r="C16" s="34" t="str">
        <f>VLOOKUP($B16,[37]TrtCodes!$B$11:I59,2)</f>
        <v>NTL</v>
      </c>
      <c r="D16" s="34">
        <f>VLOOKUP($B16,[37]TrtCodes!$B$11:J59,3)</f>
        <v>10</v>
      </c>
      <c r="E16" s="34">
        <f>VLOOKUP($B16,[37]TrtCodes!$B$11:K59,4)</f>
        <v>2</v>
      </c>
      <c r="F16" s="34">
        <f>VLOOKUP($B16,[37]TrtCodes!$B$11:L59,5)</f>
        <v>2</v>
      </c>
      <c r="G16" s="34">
        <f>VLOOKUP($B16,[37]TrtCodes!$B$11:M59,6)</f>
        <v>1</v>
      </c>
      <c r="H16" s="34">
        <f>VLOOKUP($B16,[37]TrtCodes!$B$11:N59,7)</f>
        <v>2</v>
      </c>
      <c r="I16" s="34">
        <f>[37]FormattedData!B16</f>
        <v>1</v>
      </c>
      <c r="J16" s="37">
        <f>[37]FormattedData!C16</f>
        <v>13.102</v>
      </c>
      <c r="K16" s="39">
        <f>$J$3+[37]FormattedData!D16*$J$4+$M$4*$J$5+[37]FormattedData!D16^2*$J$6+$M$5*$J$7</f>
        <v>52.681452123273843</v>
      </c>
      <c r="L16" s="39">
        <f>$J$3+[37]FormattedData!E16*$J$4+$M$4*$J$5+[37]FormattedData!E16^2*$J$6+$M$5*$J$7</f>
        <v>52.768290572806748</v>
      </c>
      <c r="M16" s="39">
        <f>$J$3+[37]FormattedData!F16*$J$4+$M$4*$J$5+[37]FormattedData!F16^2*$J$6+$M$5*$J$7</f>
        <v>50.760312293453381</v>
      </c>
      <c r="N16" s="39">
        <f>$J$3+[37]FormattedData!G16*$J$4+$M$4*$J$5+[37]FormattedData!G16^2*$J$6+$M$5*$J$7</f>
        <v>51.898003993270805</v>
      </c>
      <c r="O16" s="39">
        <f>$J$3+[37]FormattedData!H16*$J$4+$M$4*$J$5+[37]FormattedData!H16^2*$J$6+$M$5*$J$7</f>
        <v>47.840243850550159</v>
      </c>
      <c r="P16" s="39">
        <f>$J$3+[37]FormattedData!I16*$J$4+$M$4*$J$5+[37]FormattedData!I16^2*$J$6+$M$5*$J$7</f>
        <v>52.420683163447542</v>
      </c>
      <c r="Q16" s="39">
        <f>$J$3+[37]FormattedData!J16*$J$4+$M$4*$J$5+[37]FormattedData!J16^2*$J$6+$M$5*$J$7</f>
        <v>52.681452123273843</v>
      </c>
      <c r="R16" s="39">
        <f>$J$3+[37]FormattedData!K16*$J$4+$M$4*$J$5+[37]FormattedData!K16^2*$J$6+$M$5*$J$7</f>
        <v>49.438714708390805</v>
      </c>
      <c r="S16" s="39">
        <f>$J$3+[37]FormattedData!L16*$J$4+$M$4*$J$5+[37]FormattedData!L16^2*$J$6+$M$5*$J$7</f>
        <v>51.286288409588742</v>
      </c>
      <c r="T16" s="39">
        <f>$J$3+[37]FormattedData!M16*$J$4+$M$4*$J$5+[37]FormattedData!M16^2*$J$6+$M$5*$J$7</f>
        <v>49.703795059086076</v>
      </c>
      <c r="U16" s="39">
        <f>$J$3+[37]FormattedData!N16*$J$4+$M$4*$J$5+[37]FormattedData!N16^2*$J$6+$M$5*$J$7</f>
        <v>48.107606702293722</v>
      </c>
      <c r="V16" s="39">
        <f>$J$3+[37]FormattedData!O16*$J$4+$M$4*$J$5+[37]FormattedData!O16^2*$J$6+$M$5*$J$7</f>
        <v>45.055218863043699</v>
      </c>
      <c r="W16" s="38">
        <f>AVERAGE(K16:V16)</f>
        <v>50.386838488539951</v>
      </c>
      <c r="X16" s="37">
        <f>STDEV(K16:V16)/SQRT(COUNT(K16:V16))</f>
        <v>0.70195696324360579</v>
      </c>
      <c r="Y16" s="36">
        <f>MIN(K16:V16)</f>
        <v>45.055218863043699</v>
      </c>
      <c r="Z16" s="35">
        <f>QUARTILE(K16:V16,1)</f>
        <v>49.105937706866534</v>
      </c>
      <c r="AA16" s="36">
        <f>MEDIAN(K16:V16)</f>
        <v>51.023300351521058</v>
      </c>
      <c r="AB16" s="35">
        <f>QUARTILE(K16:V16,3)</f>
        <v>52.485875403404116</v>
      </c>
      <c r="AC16" s="35">
        <f>MAX(K16:V16)</f>
        <v>52.768290572806748</v>
      </c>
      <c r="AD16" s="35">
        <f>SKEW(K16:V16)</f>
        <v>-0.99219242014777353</v>
      </c>
      <c r="AE16" s="35">
        <f>KURT(K16:V16)</f>
        <v>0.42282858706060367</v>
      </c>
    </row>
    <row r="17" spans="2:31" x14ac:dyDescent="0.2">
      <c r="B17" s="34">
        <f>[37]FormattedData!A14</f>
        <v>108</v>
      </c>
      <c r="C17" s="34" t="str">
        <f>VLOOKUP($B17,[37]TrtCodes!$B$11:I57,2)</f>
        <v>FTH</v>
      </c>
      <c r="D17" s="34">
        <f>VLOOKUP($B17,[37]TrtCodes!$B$11:J57,3)</f>
        <v>3</v>
      </c>
      <c r="E17" s="34">
        <f>VLOOKUP($B17,[37]TrtCodes!$B$11:K57,4)</f>
        <v>1</v>
      </c>
      <c r="F17" s="34">
        <f>VLOOKUP($B17,[37]TrtCodes!$B$11:L57,5)</f>
        <v>2</v>
      </c>
      <c r="G17" s="34">
        <f>VLOOKUP($B17,[37]TrtCodes!$B$11:M57,6)</f>
        <v>2</v>
      </c>
      <c r="H17" s="34">
        <f>VLOOKUP($B17,[37]TrtCodes!$B$11:N57,7)</f>
        <v>2</v>
      </c>
      <c r="I17" s="34">
        <f>[37]FormattedData!B14</f>
        <v>1</v>
      </c>
      <c r="J17" s="37">
        <f>[37]FormattedData!C14</f>
        <v>13.087</v>
      </c>
      <c r="K17" s="39">
        <f>$J$3+[37]FormattedData!D14*$J$4+$M$4*$J$5+[37]FormattedData!D14^2*$J$6+$M$5*$J$7</f>
        <v>32.549445068928932</v>
      </c>
      <c r="L17" s="39">
        <f>$J$3+[37]FormattedData!E14*$J$4+$M$4*$J$5+[37]FormattedData!E14^2*$J$6+$M$5*$J$7</f>
        <v>32.549445068928932</v>
      </c>
      <c r="M17" s="39">
        <f>$J$3+[37]FormattedData!F14*$J$4+$M$4*$J$5+[37]FormattedData!F14^2*$J$6+$M$5*$J$7</f>
        <v>32.06812340147119</v>
      </c>
      <c r="N17" s="39">
        <f>$J$3+[37]FormattedData!G14*$J$4+$M$4*$J$5+[37]FormattedData!G14^2*$J$6+$M$5*$J$7</f>
        <v>31.58574502056517</v>
      </c>
      <c r="O17" s="39">
        <f>$J$3+[37]FormattedData!H14*$J$4+$M$4*$J$5+[37]FormattedData!H14^2*$J$6+$M$5*$J$7</f>
        <v>32.549445068928932</v>
      </c>
      <c r="P17" s="39">
        <f>$J$3+[37]FormattedData!I14*$J$4+$M$4*$J$5+[37]FormattedData!I14^2*$J$6+$M$5*$J$7</f>
        <v>32.06812340147119</v>
      </c>
      <c r="Q17" s="39">
        <f>$J$3+[37]FormattedData!J14*$J$4+$M$4*$J$5+[37]FormattedData!J14^2*$J$6+$M$5*$J$7</f>
        <v>32.164472272038594</v>
      </c>
      <c r="R17" s="39">
        <f>$J$3+[37]FormattedData!K14*$J$4+$M$4*$J$5+[37]FormattedData!K14^2*$J$6+$M$5*$J$7</f>
        <v>31.971732262365851</v>
      </c>
      <c r="S17" s="39">
        <f>$J$3+[37]FormattedData!L14*$J$4+$M$4*$J$5+[37]FormattedData!L14^2*$J$6+$M$5*$J$7</f>
        <v>32.357043207559634</v>
      </c>
      <c r="T17" s="39">
        <f>$J$3+[37]FormattedData!M14*$J$4+$M$4*$J$5+[37]FormattedData!M14^2*$J$6+$M$5*$J$7</f>
        <v>31.682305233822234</v>
      </c>
      <c r="U17" s="39">
        <f>$J$3+[37]FormattedData!N14*$J$4+$M$4*$J$5+[37]FormattedData!N14^2*$J$6+$M$5*$J$7</f>
        <v>32.06812340147119</v>
      </c>
      <c r="V17" s="39">
        <f>$J$3+[37]FormattedData!O14*$J$4+$M$4*$J$5+[37]FormattedData!O14^2*$J$6+$M$5*$J$7</f>
        <v>30.520792951233982</v>
      </c>
      <c r="W17" s="38">
        <f>AVERAGE(K17:V17)</f>
        <v>32.011233029898825</v>
      </c>
      <c r="X17" s="37">
        <f>STDEV(K17:V17)/SQRT(COUNT(K17:V17))</f>
        <v>0.16362370364682688</v>
      </c>
      <c r="Y17" s="36">
        <f>MIN(K17:V17)</f>
        <v>30.520792951233982</v>
      </c>
      <c r="Z17" s="35">
        <f>QUARTILE(K17:V17,1)</f>
        <v>31.899375505229948</v>
      </c>
      <c r="AA17" s="36">
        <f>MEDIAN(K17:V17)</f>
        <v>32.06812340147119</v>
      </c>
      <c r="AB17" s="35">
        <f>QUARTILE(K17:V17,3)</f>
        <v>32.405143672901957</v>
      </c>
      <c r="AC17" s="35">
        <f>MAX(K17:V17)</f>
        <v>32.549445068928932</v>
      </c>
      <c r="AD17" s="35">
        <f>SKEW(K17:V17)</f>
        <v>-1.7434999613391373</v>
      </c>
      <c r="AE17" s="35">
        <f>KURT(K17:V17)</f>
        <v>3.9751634642242308</v>
      </c>
    </row>
    <row r="18" spans="2:31" x14ac:dyDescent="0.2">
      <c r="B18" s="34">
        <f>[37]FormattedData!A30</f>
        <v>201</v>
      </c>
      <c r="C18" s="34" t="str">
        <f>VLOOKUP($B18,[37]TrtCodes!$B$11:I73,2)</f>
        <v>NDL</v>
      </c>
      <c r="D18" s="34">
        <f>VLOOKUP($B18,[37]TrtCodes!$B$11:J73,3)</f>
        <v>12</v>
      </c>
      <c r="E18" s="34">
        <f>VLOOKUP($B18,[37]TrtCodes!$B$11:K73,4)</f>
        <v>2</v>
      </c>
      <c r="F18" s="34">
        <f>VLOOKUP($B18,[37]TrtCodes!$B$11:L73,5)</f>
        <v>3</v>
      </c>
      <c r="G18" s="34">
        <f>VLOOKUP($B18,[37]TrtCodes!$B$11:M73,6)</f>
        <v>1</v>
      </c>
      <c r="H18" s="34">
        <f>VLOOKUP($B18,[37]TrtCodes!$B$11:N73,7)</f>
        <v>1</v>
      </c>
      <c r="I18" s="34">
        <f>[37]FormattedData!B30</f>
        <v>1</v>
      </c>
      <c r="J18" s="37">
        <f>[37]FormattedData!C30</f>
        <v>13.226000000000001</v>
      </c>
      <c r="K18" s="39">
        <f>$J$3+[37]FormattedData!D30*$J$4+$M$4*$J$5+[37]FormattedData!D30^2*$J$6+$M$5*$J$7</f>
        <v>47.929407069669281</v>
      </c>
      <c r="L18" s="39">
        <f>$J$3+[37]FormattedData!E30*$J$4+$M$4*$J$5+[37]FormattedData!E30^2*$J$6+$M$5*$J$7</f>
        <v>47.751038362893119</v>
      </c>
      <c r="M18" s="39">
        <f>$J$3+[37]FormattedData!F30*$J$4+$M$4*$J$5+[37]FormattedData!F30^2*$J$6+$M$5*$J$7</f>
        <v>41.124870442976608</v>
      </c>
      <c r="N18" s="39">
        <f>$J$3+[37]FormattedData!G30*$J$4+$M$4*$J$5+[37]FormattedData!G30^2*$J$6+$M$5*$J$7</f>
        <v>51.111132111695348</v>
      </c>
      <c r="O18" s="39">
        <f>$J$3+[37]FormattedData!H30*$J$4+$M$4*$J$5+[37]FormattedData!H30^2*$J$6+$M$5*$J$7</f>
        <v>35.225318342168102</v>
      </c>
      <c r="P18" s="39">
        <f>$J$3+[37]FormattedData!I30*$J$4+$M$4*$J$5+[37]FormattedData!I30^2*$J$6+$M$5*$J$7</f>
        <v>50.935806739650225</v>
      </c>
      <c r="Q18" s="39">
        <f>$J$3+[37]FormattedData!J30*$J$4+$M$4*$J$5+[37]FormattedData!J30^2*$J$6+$M$5*$J$7</f>
        <v>40.385020048202918</v>
      </c>
      <c r="R18" s="39">
        <f>$J$3+[37]FormattedData!K30*$J$4+$M$4*$J$5+[37]FormattedData!K30^2*$J$6+$M$5*$J$7</f>
        <v>48.907412756476113</v>
      </c>
      <c r="S18" s="39">
        <f>$J$3+[37]FormattedData!L30*$J$4+$M$4*$J$5+[37]FormattedData!L30^2*$J$6+$M$5*$J$7</f>
        <v>46.766988275162134</v>
      </c>
      <c r="T18" s="39">
        <f>$J$3+[37]FormattedData!M30*$J$4+$M$4*$J$5+[37]FormattedData!M30^2*$J$6+$M$5*$J$7</f>
        <v>44.511489960977258</v>
      </c>
      <c r="U18" s="39">
        <f>$J$3+[37]FormattedData!N30*$J$4+$M$4*$J$5+[37]FormattedData!N30^2*$J$6+$M$5*$J$7</f>
        <v>42.045879268029921</v>
      </c>
      <c r="V18" s="39">
        <f>$J$3+[37]FormattedData!O30*$J$4+$M$4*$J$5+[37]FormattedData!O30^2*$J$6+$M$5*$J$7</f>
        <v>46.048103075202285</v>
      </c>
      <c r="W18" s="38">
        <f>AVERAGE(K18:V18)</f>
        <v>45.228538871091949</v>
      </c>
      <c r="X18" s="37">
        <f>STDEV(K18:V18)/SQRT(COUNT(K18:V18))</f>
        <v>1.3718374069399641</v>
      </c>
      <c r="Y18" s="36">
        <f>MIN(K18:V18)</f>
        <v>35.225318342168102</v>
      </c>
      <c r="Z18" s="35">
        <f>QUARTILE(K18:V18,1)</f>
        <v>41.815627061766591</v>
      </c>
      <c r="AA18" s="36">
        <f>MEDIAN(K18:V18)</f>
        <v>46.407545675182206</v>
      </c>
      <c r="AB18" s="35">
        <f>QUARTILE(K18:V18,3)</f>
        <v>48.173908491370987</v>
      </c>
      <c r="AC18" s="35">
        <f>MAX(K18:V18)</f>
        <v>51.111132111695348</v>
      </c>
      <c r="AD18" s="35">
        <f>SKEW(K18:V18)</f>
        <v>-0.74926789997657406</v>
      </c>
      <c r="AE18" s="35">
        <f>KURT(K18:V18)</f>
        <v>0.13501838109479447</v>
      </c>
    </row>
    <row r="19" spans="2:31" x14ac:dyDescent="0.2">
      <c r="B19" s="34">
        <f>[37]FormattedData!A32</f>
        <v>202</v>
      </c>
      <c r="C19" s="34" t="str">
        <f>VLOOKUP($B19,[37]TrtCodes!$B$11:I75,2)</f>
        <v>NTH</v>
      </c>
      <c r="D19" s="34">
        <f>VLOOKUP($B19,[37]TrtCodes!$B$11:J75,3)</f>
        <v>9</v>
      </c>
      <c r="E19" s="34">
        <f>VLOOKUP($B19,[37]TrtCodes!$B$11:K75,4)</f>
        <v>2</v>
      </c>
      <c r="F19" s="34">
        <f>VLOOKUP($B19,[37]TrtCodes!$B$11:L75,5)</f>
        <v>2</v>
      </c>
      <c r="G19" s="34">
        <f>VLOOKUP($B19,[37]TrtCodes!$B$11:M75,6)</f>
        <v>2</v>
      </c>
      <c r="H19" s="34">
        <f>VLOOKUP($B19,[37]TrtCodes!$B$11:N75,7)</f>
        <v>1</v>
      </c>
      <c r="I19" s="34">
        <f>[37]FormattedData!B32</f>
        <v>1</v>
      </c>
      <c r="J19" s="37">
        <f>[37]FormattedData!C32</f>
        <v>13.241</v>
      </c>
      <c r="K19" s="39">
        <f>$J$3+[37]FormattedData!D32*$J$4+$M$4*$J$5+[37]FormattedData!D32^2*$J$6+$M$5*$J$7</f>
        <v>54.065795091248575</v>
      </c>
      <c r="L19" s="39">
        <f>$J$3+[37]FormattedData!E32*$J$4+$M$4*$J$5+[37]FormattedData!E32^2*$J$6+$M$5*$J$7</f>
        <v>49.438714708390805</v>
      </c>
      <c r="M19" s="39">
        <f>$J$3+[37]FormattedData!F32*$J$4+$M$4*$J$5+[37]FormattedData!F32^2*$J$6+$M$5*$J$7</f>
        <v>52.333675639762916</v>
      </c>
      <c r="N19" s="39">
        <f>$J$3+[37]FormattedData!G32*$J$4+$M$4*$J$5+[37]FormattedData!G32^2*$J$6+$M$5*$J$7</f>
        <v>51.810742858358587</v>
      </c>
      <c r="O19" s="39">
        <f>$J$3+[37]FormattedData!H32*$J$4+$M$4*$J$5+[37]FormattedData!H32^2*$J$6+$M$5*$J$7</f>
        <v>51.023490559941756</v>
      </c>
      <c r="P19" s="39">
        <f>$J$3+[37]FormattedData!I32*$J$4+$M$4*$J$5+[37]FormattedData!I32^2*$J$6+$M$5*$J$7</f>
        <v>53.374976200475004</v>
      </c>
      <c r="Q19" s="39">
        <f>$J$3+[37]FormattedData!J32*$J$4+$M$4*$J$5+[37]FormattedData!J32^2*$J$6+$M$5*$J$7</f>
        <v>47.66179060669814</v>
      </c>
      <c r="R19" s="39">
        <f>$J$3+[37]FormattedData!K32*$J$4+$M$4*$J$5+[37]FormattedData!K32^2*$J$6+$M$5*$J$7</f>
        <v>53.461476501704468</v>
      </c>
      <c r="S19" s="39">
        <f>$J$3+[37]FormattedData!L32*$J$4+$M$4*$J$5+[37]FormattedData!L32^2*$J$6+$M$5*$J$7</f>
        <v>53.201848792402302</v>
      </c>
      <c r="T19" s="39">
        <f>$J$3+[37]FormattedData!M32*$J$4+$M$4*$J$5+[37]FormattedData!M32^2*$J$6+$M$5*$J$7</f>
        <v>53.11522168555905</v>
      </c>
      <c r="U19" s="39">
        <f>$J$3+[37]FormattedData!N32*$J$4+$M$4*$J$5+[37]FormattedData!N32^2*$J$6+$M$5*$J$7</f>
        <v>46.407883823485669</v>
      </c>
      <c r="V19" s="39">
        <f>$J$3+[37]FormattedData!O32*$J$4+$M$4*$J$5+[37]FormattedData!O32^2*$J$6+$M$5*$J$7</f>
        <v>48.552366084441026</v>
      </c>
      <c r="W19" s="38">
        <f>AVERAGE(K19:V19)</f>
        <v>51.203998546039031</v>
      </c>
      <c r="X19" s="37">
        <f>STDEV(K19:V19)/SQRT(COUNT(K19:V19))</f>
        <v>0.74374990218703763</v>
      </c>
      <c r="Y19" s="36">
        <f>MIN(K19:V19)</f>
        <v>46.407883823485669</v>
      </c>
      <c r="Z19" s="35">
        <f>QUARTILE(K19:V19,1)</f>
        <v>49.217127552403362</v>
      </c>
      <c r="AA19" s="36">
        <f>MEDIAN(K19:V19)</f>
        <v>52.072209249060748</v>
      </c>
      <c r="AB19" s="35">
        <f>QUARTILE(K19:V19,3)</f>
        <v>53.245130644420477</v>
      </c>
      <c r="AC19" s="35">
        <f>MAX(K19:V19)</f>
        <v>54.065795091248575</v>
      </c>
      <c r="AD19" s="35">
        <f>SKEW(K19:V19)</f>
        <v>-0.74710874209359279</v>
      </c>
      <c r="AE19" s="35">
        <f>KURT(K19:V19)</f>
        <v>-0.84336546487216824</v>
      </c>
    </row>
    <row r="20" spans="2:31" x14ac:dyDescent="0.2">
      <c r="B20" s="34">
        <f>[37]FormattedData!A34</f>
        <v>203</v>
      </c>
      <c r="C20" s="34" t="str">
        <f>VLOOKUP($B20,[37]TrtCodes!$B$11:I77,2)</f>
        <v>FTH</v>
      </c>
      <c r="D20" s="34">
        <f>VLOOKUP($B20,[37]TrtCodes!$B$11:J77,3)</f>
        <v>3</v>
      </c>
      <c r="E20" s="34">
        <f>VLOOKUP($B20,[37]TrtCodes!$B$11:K77,4)</f>
        <v>1</v>
      </c>
      <c r="F20" s="34">
        <f>VLOOKUP($B20,[37]TrtCodes!$B$11:L77,5)</f>
        <v>2</v>
      </c>
      <c r="G20" s="34">
        <f>VLOOKUP($B20,[37]TrtCodes!$B$11:M77,6)</f>
        <v>2</v>
      </c>
      <c r="H20" s="34">
        <f>VLOOKUP($B20,[37]TrtCodes!$B$11:N77,7)</f>
        <v>1</v>
      </c>
      <c r="I20" s="34">
        <f>[37]FormattedData!B34</f>
        <v>1</v>
      </c>
      <c r="J20" s="37">
        <f>[37]FormattedData!C34</f>
        <v>13.257</v>
      </c>
      <c r="K20" s="39">
        <f>$J$3+[37]FormattedData!D34*$J$4+$M$4*$J$5+[37]FormattedData!D34^2*$J$6+$M$5*$J$7</f>
        <v>33.317361772888901</v>
      </c>
      <c r="L20" s="39">
        <f>$J$3+[37]FormattedData!E34*$J$4+$M$4*$J$5+[37]FormattedData!E34^2*$J$6+$M$5*$J$7</f>
        <v>33.317361772888901</v>
      </c>
      <c r="M20" s="39">
        <f>$J$3+[37]FormattedData!F34*$J$4+$M$4*$J$5+[37]FormattedData!F34^2*$J$6+$M$5*$J$7</f>
        <v>32.645582596806683</v>
      </c>
      <c r="N20" s="39">
        <f>$J$3+[37]FormattedData!G34*$J$4+$M$4*$J$5+[37]FormattedData!G34^2*$J$6+$M$5*$J$7</f>
        <v>33.22152012477666</v>
      </c>
      <c r="O20" s="39">
        <f>$J$3+[37]FormattedData!H34*$J$4+$M$4*$J$5+[37]FormattedData!H34^2*$J$6+$M$5*$J$7</f>
        <v>31.392497788437243</v>
      </c>
      <c r="P20" s="39">
        <f>$J$3+[37]FormattedData!I34*$J$4+$M$4*$J$5+[37]FormattedData!I34^2*$J$6+$M$5*$J$7</f>
        <v>32.741677856146509</v>
      </c>
      <c r="Q20" s="39">
        <f>$J$3+[37]FormattedData!J34*$J$4+$M$4*$J$5+[37]FormattedData!J34^2*$J$6+$M$5*$J$7</f>
        <v>31.682305233822234</v>
      </c>
      <c r="R20" s="39">
        <f>$J$3+[37]FormattedData!K34*$J$4+$M$4*$J$5+[37]FormattedData!K34^2*$J$6+$M$5*$J$7</f>
        <v>35.225318342168102</v>
      </c>
      <c r="S20" s="39">
        <f>$J$3+[37]FormattedData!L34*$J$4+$M$4*$J$5+[37]FormattedData!L34^2*$J$6+$M$5*$J$7</f>
        <v>33.700305679958532</v>
      </c>
      <c r="T20" s="39">
        <f>$J$3+[37]FormattedData!M34*$J$4+$M$4*$J$5+[37]FormattedData!M34^2*$J$6+$M$5*$J$7</f>
        <v>33.125636208126494</v>
      </c>
      <c r="U20" s="39">
        <f>$J$3+[37]FormattedData!N34*$J$4+$M$4*$J$5+[37]FormattedData!N34^2*$J$6+$M$5*$J$7</f>
        <v>31.87529885472258</v>
      </c>
      <c r="V20" s="39">
        <f>$J$3+[37]FormattedData!O34*$J$4+$M$4*$J$5+[37]FormattedData!O34^2*$J$6+$M$5*$J$7</f>
        <v>33.508918263499574</v>
      </c>
      <c r="W20" s="38">
        <f>AVERAGE(K20:V20)</f>
        <v>32.97948204118687</v>
      </c>
      <c r="X20" s="37">
        <f>STDEV(K20:V20)/SQRT(COUNT(K20:V20))</f>
        <v>0.29823198578806315</v>
      </c>
      <c r="Y20" s="36">
        <f>MIN(K20:V20)</f>
        <v>31.392497788437243</v>
      </c>
      <c r="Z20" s="35">
        <f>QUARTILE(K20:V20,1)</f>
        <v>32.453011661285657</v>
      </c>
      <c r="AA20" s="36">
        <f>MEDIAN(K20:V20)</f>
        <v>33.173578166451577</v>
      </c>
      <c r="AB20" s="35">
        <f>QUARTILE(K20:V20,3)</f>
        <v>33.365250895541571</v>
      </c>
      <c r="AC20" s="35">
        <f>MAX(K20:V20)</f>
        <v>35.225318342168102</v>
      </c>
      <c r="AD20" s="35">
        <f>SKEW(K20:V20)</f>
        <v>0.43219189671589953</v>
      </c>
      <c r="AE20" s="35">
        <f>KURT(K20:V20)</f>
        <v>1.0148982463322005</v>
      </c>
    </row>
    <row r="21" spans="2:31" x14ac:dyDescent="0.2">
      <c r="B21" s="34">
        <f>[37]FormattedData!A36</f>
        <v>204</v>
      </c>
      <c r="C21" s="34" t="str">
        <f>VLOOKUP($B21,[37]TrtCodes!$B$11:I79,2)</f>
        <v>NDH</v>
      </c>
      <c r="D21" s="34">
        <f>VLOOKUP($B21,[37]TrtCodes!$B$11:J79,3)</f>
        <v>11</v>
      </c>
      <c r="E21" s="34">
        <f>VLOOKUP($B21,[37]TrtCodes!$B$11:K79,4)</f>
        <v>2</v>
      </c>
      <c r="F21" s="34">
        <f>VLOOKUP($B21,[37]TrtCodes!$B$11:L79,5)</f>
        <v>3</v>
      </c>
      <c r="G21" s="34">
        <f>VLOOKUP($B21,[37]TrtCodes!$B$11:M79,6)</f>
        <v>2</v>
      </c>
      <c r="H21" s="34">
        <f>VLOOKUP($B21,[37]TrtCodes!$B$11:N79,7)</f>
        <v>1</v>
      </c>
      <c r="I21" s="34">
        <f>[37]FormattedData!B36</f>
        <v>1</v>
      </c>
      <c r="J21" s="37">
        <f>[37]FormattedData!C36</f>
        <v>13.273</v>
      </c>
      <c r="K21" s="39">
        <f>$J$3+[37]FormattedData!D36*$J$4+$M$4*$J$5+[37]FormattedData!D36^2*$J$6+$M$5*$J$7</f>
        <v>50.32083647854747</v>
      </c>
      <c r="L21" s="39">
        <f>$J$3+[37]FormattedData!E36*$J$4+$M$4*$J$5+[37]FormattedData!E36^2*$J$6+$M$5*$J$7</f>
        <v>46.497723339211674</v>
      </c>
      <c r="M21" s="39">
        <f>$J$3+[37]FormattedData!F36*$J$4+$M$4*$J$5+[37]FormattedData!F36^2*$J$6+$M$5*$J$7</f>
        <v>47.57250058196523</v>
      </c>
      <c r="N21" s="39">
        <f>$J$3+[37]FormattedData!G36*$J$4+$M$4*$J$5+[37]FormattedData!G36^2*$J$6+$M$5*$J$7</f>
        <v>44.964703050710789</v>
      </c>
      <c r="O21" s="39">
        <f>$J$3+[37]FormattedData!H36*$J$4+$M$4*$J$5+[37]FormattedData!H36^2*$J$6+$M$5*$J$7</f>
        <v>42.779642993341525</v>
      </c>
      <c r="P21" s="39">
        <f>$J$3+[37]FormattedData!I36*$J$4+$M$4*$J$5+[37]FormattedData!I36^2*$J$6+$M$5*$J$7</f>
        <v>47.929407069669281</v>
      </c>
      <c r="Q21" s="39">
        <f>$J$3+[37]FormattedData!J36*$J$4+$M$4*$J$5+[37]FormattedData!J36^2*$J$6+$M$5*$J$7</f>
        <v>40.847743558970961</v>
      </c>
      <c r="R21" s="39">
        <f>$J$3+[37]FormattedData!K36*$J$4+$M$4*$J$5+[37]FormattedData!K36^2*$J$6+$M$5*$J$7</f>
        <v>47.125416430231716</v>
      </c>
      <c r="S21" s="39">
        <f>$J$3+[37]FormattedData!L36*$J$4+$M$4*$J$5+[37]FormattedData!L36^2*$J$6+$M$5*$J$7</f>
        <v>38.990509235209132</v>
      </c>
      <c r="T21" s="39">
        <f>$J$3+[37]FormattedData!M36*$J$4+$M$4*$J$5+[37]FormattedData!M36^2*$J$6+$M$5*$J$7</f>
        <v>48.907412756476113</v>
      </c>
      <c r="U21" s="39">
        <f>$J$3+[37]FormattedData!N36*$J$4+$M$4*$J$5+[37]FormattedData!N36^2*$J$6+$M$5*$J$7</f>
        <v>39.456402886322003</v>
      </c>
      <c r="V21" s="39">
        <f>$J$3+[37]FormattedData!O36*$J$4+$M$4*$J$5+[37]FormattedData!O36^2*$J$6+$M$5*$J$7</f>
        <v>44.239054884681956</v>
      </c>
      <c r="W21" s="38">
        <f>AVERAGE(K21:V21)</f>
        <v>44.969279438778152</v>
      </c>
      <c r="X21" s="37">
        <f>STDEV(K21:V21)/SQRT(COUNT(K21:V21))</f>
        <v>1.0840599747757171</v>
      </c>
      <c r="Y21" s="36">
        <f>MIN(K21:V21)</f>
        <v>38.990509235209132</v>
      </c>
      <c r="Z21" s="35">
        <f>QUARTILE(K21:V21,1)</f>
        <v>42.296668134748884</v>
      </c>
      <c r="AA21" s="36">
        <f>MEDIAN(K21:V21)</f>
        <v>45.731213194961228</v>
      </c>
      <c r="AB21" s="35">
        <f>QUARTILE(K21:V21,3)</f>
        <v>47.661727203891246</v>
      </c>
      <c r="AC21" s="35">
        <f>MAX(K21:V21)</f>
        <v>50.32083647854747</v>
      </c>
      <c r="AD21" s="35">
        <f>SKEW(K21:V21)</f>
        <v>-0.39272595714718878</v>
      </c>
      <c r="AE21" s="35">
        <f>KURT(K21:V21)</f>
        <v>-1.0828436801314956</v>
      </c>
    </row>
    <row r="22" spans="2:31" x14ac:dyDescent="0.2">
      <c r="B22" s="34">
        <f>[37]FormattedData!A38</f>
        <v>205</v>
      </c>
      <c r="C22" s="34" t="str">
        <f>VLOOKUP($B22,[37]TrtCodes!$B$11:I81,2)</f>
        <v>FSH</v>
      </c>
      <c r="D22" s="34">
        <f>VLOOKUP($B22,[37]TrtCodes!$B$11:J81,3)</f>
        <v>1</v>
      </c>
      <c r="E22" s="34">
        <f>VLOOKUP($B22,[37]TrtCodes!$B$11:K81,4)</f>
        <v>1</v>
      </c>
      <c r="F22" s="34">
        <f>VLOOKUP($B22,[37]TrtCodes!$B$11:L81,5)</f>
        <v>1</v>
      </c>
      <c r="G22" s="34">
        <f>VLOOKUP($B22,[37]TrtCodes!$B$11:M81,6)</f>
        <v>2</v>
      </c>
      <c r="H22" s="34">
        <f>VLOOKUP($B22,[37]TrtCodes!$B$11:N81,7)</f>
        <v>2</v>
      </c>
      <c r="I22" s="34">
        <f>[37]FormattedData!B38</f>
        <v>1</v>
      </c>
      <c r="J22" s="37">
        <f>[37]FormattedData!C38</f>
        <v>13.288</v>
      </c>
      <c r="K22" s="39">
        <f>$J$3+[37]FormattedData!D38*$J$4+$M$4*$J$5+[37]FormattedData!D38^2*$J$6+$M$5*$J$7</f>
        <v>34.368830178620058</v>
      </c>
      <c r="L22" s="39">
        <f>$J$3+[37]FormattedData!E38*$J$4+$M$4*$J$5+[37]FormattedData!E38^2*$J$6+$M$5*$J$7</f>
        <v>36.172956346118028</v>
      </c>
      <c r="M22" s="39">
        <f>$J$3+[37]FormattedData!F38*$J$4+$M$4*$J$5+[37]FormattedData!F38^2*$J$6+$M$5*$J$7</f>
        <v>35.41518409126153</v>
      </c>
      <c r="N22" s="39">
        <f>$J$3+[37]FormattedData!G38*$J$4+$M$4*$J$5+[37]FormattedData!G38^2*$J$6+$M$5*$J$7</f>
        <v>34.559456761396248</v>
      </c>
      <c r="O22" s="39">
        <f>$J$3+[37]FormattedData!H38*$J$4+$M$4*$J$5+[37]FormattedData!H38^2*$J$6+$M$5*$J$7</f>
        <v>33.98706979061248</v>
      </c>
      <c r="P22" s="39">
        <f>$J$3+[37]FormattedData!I38*$J$4+$M$4*$J$5+[37]FormattedData!I38^2*$J$6+$M$5*$J$7</f>
        <v>34.464164604277109</v>
      </c>
      <c r="Q22" s="39">
        <f>$J$3+[37]FormattedData!J38*$J$4+$M$4*$J$5+[37]FormattedData!J38^2*$J$6+$M$5*$J$7</f>
        <v>33.125636208126494</v>
      </c>
      <c r="R22" s="39">
        <f>$J$3+[37]FormattedData!K38*$J$4+$M$4*$J$5+[37]FormattedData!K38^2*$J$6+$M$5*$J$7</f>
        <v>33.413161152463204</v>
      </c>
      <c r="S22" s="39">
        <f>$J$3+[37]FormattedData!L38*$J$4+$M$4*$J$5+[37]FormattedData!L38^2*$J$6+$M$5*$J$7</f>
        <v>35.6996657008672</v>
      </c>
      <c r="T22" s="39">
        <f>$J$3+[37]FormattedData!M38*$J$4+$M$4*$J$5+[37]FormattedData!M38^2*$J$6+$M$5*$J$7</f>
        <v>34.559456761396248</v>
      </c>
      <c r="U22" s="39">
        <f>$J$3+[37]FormattedData!N38*$J$4+$M$4*$J$5+[37]FormattedData!N38^2*$J$6+$M$5*$J$7</f>
        <v>31.58574502056517</v>
      </c>
      <c r="V22" s="39">
        <f>$J$3+[37]FormattedData!O38*$J$4+$M$4*$J$5+[37]FormattedData!O38^2*$J$6+$M$5*$J$7</f>
        <v>34.940202704493458</v>
      </c>
      <c r="W22" s="38">
        <f>AVERAGE(K22:V22)</f>
        <v>34.35762744334977</v>
      </c>
      <c r="X22" s="37">
        <f>STDEV(K22:V22)/SQRT(COUNT(K22:V22))</f>
        <v>0.35757723939412861</v>
      </c>
      <c r="Y22" s="36">
        <f>MIN(K22:V22)</f>
        <v>31.58574502056517</v>
      </c>
      <c r="Z22" s="35">
        <f>QUARTILE(K22:V22,1)</f>
        <v>33.843592631075161</v>
      </c>
      <c r="AA22" s="36">
        <f>MEDIAN(K22:V22)</f>
        <v>34.511810682836682</v>
      </c>
      <c r="AB22" s="35">
        <f>QUARTILE(K22:V22,3)</f>
        <v>35.058948051185475</v>
      </c>
      <c r="AC22" s="35">
        <f>MAX(K22:V22)</f>
        <v>36.172956346118028</v>
      </c>
      <c r="AD22" s="35">
        <f>SKEW(K22:V22)</f>
        <v>-0.81868885136690628</v>
      </c>
      <c r="AE22" s="35">
        <f>KURT(K22:V22)</f>
        <v>1.162426765421853</v>
      </c>
    </row>
    <row r="23" spans="2:31" x14ac:dyDescent="0.2">
      <c r="B23" s="34">
        <f>[37]FormattedData!A40</f>
        <v>206</v>
      </c>
      <c r="C23" s="34" t="str">
        <f>VLOOKUP($B23,[37]TrtCodes!$B$11:I83,2)</f>
        <v>NSL</v>
      </c>
      <c r="D23" s="34">
        <f>VLOOKUP($B23,[37]TrtCodes!$B$11:J83,3)</f>
        <v>8</v>
      </c>
      <c r="E23" s="34">
        <f>VLOOKUP($B23,[37]TrtCodes!$B$11:K83,4)</f>
        <v>2</v>
      </c>
      <c r="F23" s="34">
        <f>VLOOKUP($B23,[37]TrtCodes!$B$11:L83,5)</f>
        <v>1</v>
      </c>
      <c r="G23" s="34">
        <f>VLOOKUP($B23,[37]TrtCodes!$B$11:M83,6)</f>
        <v>1</v>
      </c>
      <c r="H23" s="34">
        <f>VLOOKUP($B23,[37]TrtCodes!$B$11:N83,7)</f>
        <v>2</v>
      </c>
      <c r="I23" s="34">
        <f>[37]FormattedData!B40</f>
        <v>1</v>
      </c>
      <c r="J23" s="37">
        <f>[37]FormattedData!C40</f>
        <v>13.304</v>
      </c>
      <c r="K23" s="39">
        <f>$J$3+[37]FormattedData!D40*$J$4+$M$4*$J$5+[37]FormattedData!D40^2*$J$6+$M$5*$J$7</f>
        <v>52.855086753801729</v>
      </c>
      <c r="L23" s="39">
        <f>$J$3+[37]FormattedData!E40*$J$4+$M$4*$J$5+[37]FormattedData!E40^2*$J$6+$M$5*$J$7</f>
        <v>53.634350298549577</v>
      </c>
      <c r="M23" s="39">
        <f>$J$3+[37]FormattedData!F40*$J$4+$M$4*$J$5+[37]FormattedData!F40^2*$J$6+$M$5*$J$7</f>
        <v>50.056643767148742</v>
      </c>
      <c r="N23" s="39">
        <f>$J$3+[37]FormattedData!G40*$J$4+$M$4*$J$5+[37]FormattedData!G40^2*$J$6+$M$5*$J$7</f>
        <v>54.496183170499293</v>
      </c>
      <c r="O23" s="39">
        <f>$J$3+[37]FormattedData!H40*$J$4+$M$4*$J$5+[37]FormattedData!H40^2*$J$6+$M$5*$J$7</f>
        <v>49.703795059086076</v>
      </c>
      <c r="P23" s="39">
        <f>$J$3+[37]FormattedData!I40*$J$4+$M$4*$J$5+[37]FormattedData!I40^2*$J$6+$M$5*$J$7</f>
        <v>54.496183170499293</v>
      </c>
      <c r="Q23" s="39">
        <f>$J$3+[37]FormattedData!J40*$J$4+$M$4*$J$5+[37]FormattedData!J40^2*$J$6+$M$5*$J$7</f>
        <v>47.483168288694387</v>
      </c>
      <c r="R23" s="39">
        <f>$J$3+[37]FormattedData!K40*$J$4+$M$4*$J$5+[37]FormattedData!K40^2*$J$6+$M$5*$J$7</f>
        <v>54.410190091725013</v>
      </c>
      <c r="S23" s="39">
        <f>$J$3+[37]FormattedData!L40*$J$4+$M$4*$J$5+[37]FormattedData!L40^2*$J$6+$M$5*$J$7</f>
        <v>48.818714491274235</v>
      </c>
      <c r="T23" s="39">
        <f>$J$3+[37]FormattedData!M40*$J$4+$M$4*$J$5+[37]FormattedData!M40^2*$J$6+$M$5*$J$7</f>
        <v>54.668042522434064</v>
      </c>
      <c r="U23" s="39">
        <f>$J$3+[37]FormattedData!N40*$J$4+$M$4*$J$5+[37]FormattedData!N40^2*$J$6+$M$5*$J$7</f>
        <v>52.855086753801729</v>
      </c>
      <c r="V23" s="39">
        <f>$J$3+[37]FormattedData!O40*$J$4+$M$4*$J$5+[37]FormattedData!O40^2*$J$6+$M$5*$J$7</f>
        <v>54.668042522434064</v>
      </c>
      <c r="W23" s="38">
        <f>AVERAGE(K23:V23)</f>
        <v>52.345457240829013</v>
      </c>
      <c r="X23" s="37">
        <f>STDEV(K23:V23)/SQRT(COUNT(K23:V23))</f>
        <v>0.75267540413123135</v>
      </c>
      <c r="Y23" s="36">
        <f>MIN(K23:V23)</f>
        <v>47.483168288694387</v>
      </c>
      <c r="Z23" s="35">
        <f>QUARTILE(K23:V23,1)</f>
        <v>49.968431590133079</v>
      </c>
      <c r="AA23" s="36">
        <f>MEDIAN(K23:V23)</f>
        <v>53.244718526175653</v>
      </c>
      <c r="AB23" s="35">
        <f>QUARTILE(K23:V23,3)</f>
        <v>54.496183170499293</v>
      </c>
      <c r="AC23" s="35">
        <f>MAX(K23:V23)</f>
        <v>54.668042522434064</v>
      </c>
      <c r="AD23" s="35">
        <f>SKEW(K23:V23)</f>
        <v>-0.81904713684918673</v>
      </c>
      <c r="AE23" s="35">
        <f>KURT(K23:V23)</f>
        <v>-0.92437287693110504</v>
      </c>
    </row>
    <row r="24" spans="2:31" x14ac:dyDescent="0.2">
      <c r="B24" s="34">
        <f>[37]FormattedData!A42</f>
        <v>207</v>
      </c>
      <c r="C24" s="34" t="str">
        <f>VLOOKUP($B24,[37]TrtCodes!$B$11:I85,2)</f>
        <v>FTL</v>
      </c>
      <c r="D24" s="34">
        <f>VLOOKUP($B24,[37]TrtCodes!$B$11:J85,3)</f>
        <v>4</v>
      </c>
      <c r="E24" s="34">
        <f>VLOOKUP($B24,[37]TrtCodes!$B$11:K85,4)</f>
        <v>1</v>
      </c>
      <c r="F24" s="34">
        <f>VLOOKUP($B24,[37]TrtCodes!$B$11:L85,5)</f>
        <v>2</v>
      </c>
      <c r="G24" s="34">
        <f>VLOOKUP($B24,[37]TrtCodes!$B$11:M85,6)</f>
        <v>1</v>
      </c>
      <c r="H24" s="34">
        <f>VLOOKUP($B24,[37]TrtCodes!$B$11:N85,7)</f>
        <v>2</v>
      </c>
      <c r="I24" s="34">
        <f>[37]FormattedData!B42</f>
        <v>1</v>
      </c>
      <c r="J24" s="37">
        <f>[37]FormattedData!C42</f>
        <v>13.327</v>
      </c>
      <c r="K24" s="39">
        <f>$J$3+[37]FormattedData!D42*$J$4+$M$4*$J$5+[37]FormattedData!D42^2*$J$6+$M$5*$J$7</f>
        <v>33.604633105998026</v>
      </c>
      <c r="L24" s="39">
        <f>$J$3+[37]FormattedData!E42*$J$4+$M$4*$J$5+[37]FormattedData!E42^2*$J$6+$M$5*$J$7</f>
        <v>34.082573290421273</v>
      </c>
      <c r="M24" s="39">
        <f>$J$3+[37]FormattedData!F42*$J$4+$M$4*$J$5+[37]FormattedData!F42^2*$J$6+$M$5*$J$7</f>
        <v>33.98706979061248</v>
      </c>
      <c r="N24" s="39">
        <f>$J$3+[37]FormattedData!G42*$J$4+$M$4*$J$5+[37]FormattedData!G42^2*$J$6+$M$5*$J$7</f>
        <v>33.22152012477666</v>
      </c>
      <c r="O24" s="39">
        <f>$J$3+[37]FormattedData!H42*$J$4+$M$4*$J$5+[37]FormattedData!H42^2*$J$6+$M$5*$J$7</f>
        <v>34.082573290421273</v>
      </c>
      <c r="P24" s="39">
        <f>$J$3+[37]FormattedData!I42*$J$4+$M$4*$J$5+[37]FormattedData!I42^2*$J$6+$M$5*$J$7</f>
        <v>34.368830178620058</v>
      </c>
      <c r="Q24" s="39">
        <f>$J$3+[37]FormattedData!J42*$J$4+$M$4*$J$5+[37]FormattedData!J42^2*$J$6+$M$5*$J$7</f>
        <v>33.604633105998026</v>
      </c>
      <c r="R24" s="39">
        <f>$J$3+[37]FormattedData!K42*$J$4+$M$4*$J$5+[37]FormattedData!K42^2*$J$6+$M$5*$J$7</f>
        <v>31.489142538770174</v>
      </c>
      <c r="S24" s="39">
        <f>$J$3+[37]FormattedData!L42*$J$4+$M$4*$J$5+[37]FormattedData!L42^2*$J$6+$M$5*$J$7</f>
        <v>33.125636208126494</v>
      </c>
      <c r="T24" s="39">
        <f>$J$3+[37]FormattedData!M42*$J$4+$M$4*$J$5+[37]FormattedData!M42^2*$J$6+$M$5*$J$7</f>
        <v>32.837730846948403</v>
      </c>
      <c r="U24" s="39">
        <f>$J$3+[37]FormattedData!N42*$J$4+$M$4*$J$5+[37]FormattedData!N42^2*$J$6+$M$5*$J$7</f>
        <v>34.464164604277109</v>
      </c>
      <c r="V24" s="39">
        <f>$J$3+[37]FormattedData!O42*$J$4+$M$4*$J$5+[37]FormattedData!O42^2*$J$6+$M$5*$J$7</f>
        <v>31.005496101726212</v>
      </c>
      <c r="W24" s="38">
        <f>AVERAGE(K24:V24)</f>
        <v>33.322833598891357</v>
      </c>
      <c r="X24" s="37">
        <f>STDEV(K24:V24)/SQRT(COUNT(K24:V24))</f>
        <v>0.31584587773769923</v>
      </c>
      <c r="Y24" s="36">
        <f>MIN(K24:V24)</f>
        <v>31.005496101726212</v>
      </c>
      <c r="Z24" s="35">
        <f>QUARTILE(K24:V24,1)</f>
        <v>33.053659867831968</v>
      </c>
      <c r="AA24" s="36">
        <f>MEDIAN(K24:V24)</f>
        <v>33.604633105998026</v>
      </c>
      <c r="AB24" s="35">
        <f>QUARTILE(K24:V24,3)</f>
        <v>34.082573290421273</v>
      </c>
      <c r="AC24" s="35">
        <f>MAX(K24:V24)</f>
        <v>34.464164604277109</v>
      </c>
      <c r="AD24" s="35">
        <f>SKEW(K24:V24)</f>
        <v>-1.2399070810764607</v>
      </c>
      <c r="AE24" s="35">
        <f>KURT(K24:V24)</f>
        <v>0.80128008920507909</v>
      </c>
    </row>
    <row r="25" spans="2:31" x14ac:dyDescent="0.2">
      <c r="B25" s="34">
        <f>[37]FormattedData!A44</f>
        <v>208</v>
      </c>
      <c r="C25" s="34" t="str">
        <f>VLOOKUP($B25,[37]TrtCodes!$B$11:I87,2)</f>
        <v>FSL</v>
      </c>
      <c r="D25" s="34">
        <f>VLOOKUP($B25,[37]TrtCodes!$B$11:J87,3)</f>
        <v>2</v>
      </c>
      <c r="E25" s="34">
        <f>VLOOKUP($B25,[37]TrtCodes!$B$11:K87,4)</f>
        <v>1</v>
      </c>
      <c r="F25" s="34">
        <f>VLOOKUP($B25,[37]TrtCodes!$B$11:L87,5)</f>
        <v>1</v>
      </c>
      <c r="G25" s="34">
        <f>VLOOKUP($B25,[37]TrtCodes!$B$11:M87,6)</f>
        <v>1</v>
      </c>
      <c r="H25" s="34">
        <f>VLOOKUP($B25,[37]TrtCodes!$B$11:N87,7)</f>
        <v>2</v>
      </c>
      <c r="I25" s="34">
        <f>[37]FormattedData!B44</f>
        <v>1</v>
      </c>
      <c r="J25" s="37">
        <f>[37]FormattedData!C44</f>
        <v>13.343</v>
      </c>
      <c r="K25" s="39">
        <f>$J$3+[37]FormattedData!D44*$J$4+$M$4*$J$5+[37]FormattedData!D44^2*$J$6+$M$5*$J$7</f>
        <v>34.559456761396248</v>
      </c>
      <c r="L25" s="39">
        <f>$J$3+[37]FormattedData!E44*$J$4+$M$4*$J$5+[37]FormattedData!E44^2*$J$6+$M$5*$J$7</f>
        <v>33.508918263499574</v>
      </c>
      <c r="M25" s="39">
        <f>$J$3+[37]FormattedData!F44*$J$4+$M$4*$J$5+[37]FormattedData!F44^2*$J$6+$M$5*$J$7</f>
        <v>32.741677856146509</v>
      </c>
      <c r="N25" s="39">
        <f>$J$3+[37]FormattedData!G44*$J$4+$M$4*$J$5+[37]FormattedData!G44^2*$J$6+$M$5*$J$7</f>
        <v>34.082573290421273</v>
      </c>
      <c r="O25" s="39">
        <f>$J$3+[37]FormattedData!H44*$J$4+$M$4*$J$5+[37]FormattedData!H44^2*$J$6+$M$5*$J$7</f>
        <v>33.700305679958532</v>
      </c>
      <c r="P25" s="39">
        <f>$J$3+[37]FormattedData!I44*$J$4+$M$4*$J$5+[37]FormattedData!I44^2*$J$6+$M$5*$J$7</f>
        <v>33.604633105998026</v>
      </c>
      <c r="Q25" s="39">
        <f>$J$3+[37]FormattedData!J44*$J$4+$M$4*$J$5+[37]FormattedData!J44^2*$J$6+$M$5*$J$7</f>
        <v>33.413161152463204</v>
      </c>
      <c r="R25" s="39">
        <f>$J$3+[37]FormattedData!K44*$J$4+$M$4*$J$5+[37]FormattedData!K44^2*$J$6+$M$5*$J$7</f>
        <v>33.795935985381121</v>
      </c>
      <c r="S25" s="39">
        <f>$J$3+[37]FormattedData!L44*$J$4+$M$4*$J$5+[37]FormattedData!L44^2*$J$6+$M$5*$J$7</f>
        <v>32.549445068928932</v>
      </c>
      <c r="T25" s="39">
        <f>$J$3+[37]FormattedData!M44*$J$4+$M$4*$J$5+[37]FormattedData!M44^2*$J$6+$M$5*$J$7</f>
        <v>33.98706979061248</v>
      </c>
      <c r="U25" s="39">
        <f>$J$3+[37]FormattedData!N44*$J$4+$M$4*$J$5+[37]FormattedData!N44^2*$J$6+$M$5*$J$7</f>
        <v>33.317361772888901</v>
      </c>
      <c r="V25" s="39">
        <f>$J$3+[37]FormattedData!O44*$J$4+$M$4*$J$5+[37]FormattedData!O44^2*$J$6+$M$5*$J$7</f>
        <v>33.029710022938389</v>
      </c>
      <c r="W25" s="38">
        <f>AVERAGE(K25:V25)</f>
        <v>33.524187395886102</v>
      </c>
      <c r="X25" s="37">
        <f>STDEV(K25:V25)/SQRT(COUNT(K25:V25))</f>
        <v>0.16448870513501163</v>
      </c>
      <c r="Y25" s="36">
        <f>MIN(K25:V25)</f>
        <v>32.549445068928932</v>
      </c>
      <c r="Z25" s="35">
        <f>QUARTILE(K25:V25,1)</f>
        <v>33.245448835401277</v>
      </c>
      <c r="AA25" s="36">
        <f>MEDIAN(K25:V25)</f>
        <v>33.5567756847488</v>
      </c>
      <c r="AB25" s="35">
        <f>QUARTILE(K25:V25,3)</f>
        <v>33.843719436688957</v>
      </c>
      <c r="AC25" s="35">
        <f>MAX(K25:V25)</f>
        <v>34.559456761396248</v>
      </c>
      <c r="AD25" s="35">
        <f>SKEW(K25:V25)</f>
        <v>-7.5171567680887397E-2</v>
      </c>
      <c r="AE25" s="35">
        <f>KURT(K25:V25)</f>
        <v>-9.0451614339860598E-2</v>
      </c>
    </row>
    <row r="26" spans="2:31" x14ac:dyDescent="0.2">
      <c r="B26" s="34">
        <f>[37]FormattedData!A62</f>
        <v>301</v>
      </c>
      <c r="C26" s="34" t="str">
        <f>VLOOKUP($B26,[37]TrtCodes!$B$11:I105,2)</f>
        <v>NTL</v>
      </c>
      <c r="D26" s="34">
        <f>VLOOKUP($B26,[37]TrtCodes!$B$11:J105,3)</f>
        <v>10</v>
      </c>
      <c r="E26" s="34">
        <f>VLOOKUP($B26,[37]TrtCodes!$B$11:K105,4)</f>
        <v>2</v>
      </c>
      <c r="F26" s="34">
        <f>VLOOKUP($B26,[37]TrtCodes!$B$11:L105,5)</f>
        <v>2</v>
      </c>
      <c r="G26" s="34">
        <f>VLOOKUP($B26,[37]TrtCodes!$B$11:M105,6)</f>
        <v>1</v>
      </c>
      <c r="H26" s="34">
        <f>VLOOKUP($B26,[37]TrtCodes!$B$11:N105,7)</f>
        <v>3</v>
      </c>
      <c r="I26" s="34">
        <f>[37]FormattedData!B62</f>
        <v>1</v>
      </c>
      <c r="J26" s="37">
        <f>[37]FormattedData!C62</f>
        <v>13.468</v>
      </c>
      <c r="K26" s="39">
        <f>$J$3+[37]FormattedData!D62*$J$4+$M$4*$J$5+[37]FormattedData!D62^2*$J$6+$M$5*$J$7</f>
        <v>50.672501667548055</v>
      </c>
      <c r="L26" s="39">
        <f>$J$3+[37]FormattedData!E62*$J$4+$M$4*$J$5+[37]FormattedData!E62^2*$J$6+$M$5*$J$7</f>
        <v>51.723439454908451</v>
      </c>
      <c r="M26" s="39">
        <f>$J$3+[37]FormattedData!F62*$J$4+$M$4*$J$5+[37]FormattedData!F62^2*$J$6+$M$5*$J$7</f>
        <v>43.601893641165354</v>
      </c>
      <c r="N26" s="39">
        <f>$J$3+[37]FormattedData!G62*$J$4+$M$4*$J$5+[37]FormattedData!G62^2*$J$6+$M$5*$J$7</f>
        <v>52.507648418594243</v>
      </c>
      <c r="O26" s="39">
        <f>$J$3+[37]FormattedData!H62*$J$4+$M$4*$J$5+[37]FormattedData!H62^2*$J$6+$M$5*$J$7</f>
        <v>46.677275565049911</v>
      </c>
      <c r="P26" s="39">
        <f>$J$3+[37]FormattedData!I62*$J$4+$M$4*$J$5+[37]FormattedData!I62^2*$J$6+$M$5*$J$7</f>
        <v>51.286288409588742</v>
      </c>
      <c r="Q26" s="39">
        <f>$J$3+[37]FormattedData!J62*$J$4+$M$4*$J$5+[37]FormattedData!J62^2*$J$6+$M$5*$J$7</f>
        <v>45.055218863043699</v>
      </c>
      <c r="R26" s="39">
        <f>$J$3+[37]FormattedData!K62*$J$4+$M$4*$J$5+[37]FormattedData!K62^2*$J$6+$M$5*$J$7</f>
        <v>50.496753610123619</v>
      </c>
      <c r="S26" s="39">
        <f>$J$3+[37]FormattedData!L62*$J$4+$M$4*$J$5+[37]FormattedData!L62^2*$J$6+$M$5*$J$7</f>
        <v>49.88030395019328</v>
      </c>
      <c r="T26" s="39">
        <f>$J$3+[37]FormattedData!M62*$J$4+$M$4*$J$5+[37]FormattedData!M62^2*$J$6+$M$5*$J$7</f>
        <v>51.461275633330423</v>
      </c>
      <c r="U26" s="39">
        <f>$J$3+[37]FormattedData!N62*$J$4+$M$4*$J$5+[37]FormattedData!N62^2*$J$6+$M$5*$J$7</f>
        <v>48.463498745087435</v>
      </c>
      <c r="V26" s="39">
        <f>$J$3+[37]FormattedData!O62*$J$4+$M$4*$J$5+[37]FormattedData!O62^2*$J$6+$M$5*$J$7</f>
        <v>42.68807046756033</v>
      </c>
      <c r="W26" s="38">
        <f>AVERAGE(K26:V26)</f>
        <v>48.709514035516129</v>
      </c>
      <c r="X26" s="37">
        <f>STDEV(K26:V26)/SQRT(COUNT(K26:V26))</f>
        <v>0.97712388223509583</v>
      </c>
      <c r="Y26" s="36">
        <f>MIN(K26:V26)</f>
        <v>42.68807046756033</v>
      </c>
      <c r="Z26" s="35">
        <f>QUARTILE(K26:V26,1)</f>
        <v>46.271761389548359</v>
      </c>
      <c r="AA26" s="36">
        <f>MEDIAN(K26:V26)</f>
        <v>50.18852878015845</v>
      </c>
      <c r="AB26" s="35">
        <f>QUARTILE(K26:V26,3)</f>
        <v>51.330035215524163</v>
      </c>
      <c r="AC26" s="35">
        <f>MAX(K26:V26)</f>
        <v>52.507648418594243</v>
      </c>
      <c r="AD26" s="35">
        <f>SKEW(K26:V26)</f>
        <v>-0.77015375943136299</v>
      </c>
      <c r="AE26" s="35">
        <f>KURT(K26:V26)</f>
        <v>-0.90080084985010878</v>
      </c>
    </row>
    <row r="27" spans="2:31" x14ac:dyDescent="0.2">
      <c r="B27" s="34">
        <f>[37]FormattedData!A64</f>
        <v>302</v>
      </c>
      <c r="C27" s="34" t="str">
        <f>VLOOKUP($B27,[37]TrtCodes!$B$11:I107,2)</f>
        <v>FTL</v>
      </c>
      <c r="D27" s="34">
        <f>VLOOKUP($B27,[37]TrtCodes!$B$11:J107,3)</f>
        <v>4</v>
      </c>
      <c r="E27" s="34">
        <f>VLOOKUP($B27,[37]TrtCodes!$B$11:K107,4)</f>
        <v>1</v>
      </c>
      <c r="F27" s="34">
        <f>VLOOKUP($B27,[37]TrtCodes!$B$11:L107,5)</f>
        <v>2</v>
      </c>
      <c r="G27" s="34">
        <f>VLOOKUP($B27,[37]TrtCodes!$B$11:M107,6)</f>
        <v>1</v>
      </c>
      <c r="H27" s="34">
        <f>VLOOKUP($B27,[37]TrtCodes!$B$11:N107,7)</f>
        <v>3</v>
      </c>
      <c r="I27" s="34">
        <f>[37]FormattedData!B64</f>
        <v>1</v>
      </c>
      <c r="J27" s="37">
        <f>[37]FormattedData!C64</f>
        <v>13.484</v>
      </c>
      <c r="K27" s="39">
        <f>$J$3+[37]FormattedData!D64*$J$4+$M$4*$J$5+[37]FormattedData!D64^2*$J$6+$M$5*$J$7</f>
        <v>31.971732262365851</v>
      </c>
      <c r="L27" s="39">
        <f>$J$3+[37]FormattedData!E64*$J$4+$M$4*$J$5+[37]FormattedData!E64^2*$J$6+$M$5*$J$7</f>
        <v>32.645582596806683</v>
      </c>
      <c r="M27" s="39">
        <f>$J$3+[37]FormattedData!F64*$J$4+$M$4*$J$5+[37]FormattedData!F64^2*$J$6+$M$5*$J$7</f>
        <v>31.199081482157588</v>
      </c>
      <c r="N27" s="39">
        <f>$J$3+[37]FormattedData!G64*$J$4+$M$4*$J$5+[37]FormattedData!G64^2*$J$6+$M$5*$J$7</f>
        <v>32.549445068928932</v>
      </c>
      <c r="O27" s="39">
        <f>$J$3+[37]FormattedData!H64*$J$4+$M$4*$J$5+[37]FormattedData!H64^2*$J$6+$M$5*$J$7</f>
        <v>31.778823178541373</v>
      </c>
      <c r="P27" s="39">
        <f>$J$3+[37]FormattedData!I64*$J$4+$M$4*$J$5+[37]FormattedData!I64^2*$J$6+$M$5*$J$7</f>
        <v>32.645582596806683</v>
      </c>
      <c r="Q27" s="39">
        <f>$J$3+[37]FormattedData!J64*$J$4+$M$4*$J$5+[37]FormattedData!J64^2*$J$6+$M$5*$J$7</f>
        <v>31.682305233822234</v>
      </c>
      <c r="R27" s="39">
        <f>$J$3+[37]FormattedData!K64*$J$4+$M$4*$J$5+[37]FormattedData!K64^2*$J$6+$M$5*$J$7</f>
        <v>32.357043207559634</v>
      </c>
      <c r="S27" s="39">
        <f>$J$3+[37]FormattedData!L64*$J$4+$M$4*$J$5+[37]FormattedData!L64^2*$J$6+$M$5*$J$7</f>
        <v>32.645582596806683</v>
      </c>
      <c r="T27" s="39">
        <f>$J$3+[37]FormattedData!M64*$J$4+$M$4*$J$5+[37]FormattedData!M64^2*$J$6+$M$5*$J$7</f>
        <v>32.549445068928932</v>
      </c>
      <c r="U27" s="39">
        <f>$J$3+[37]FormattedData!N64*$J$4+$M$4*$J$5+[37]FormattedData!N64^2*$J$6+$M$5*$J$7</f>
        <v>31.295810769566387</v>
      </c>
      <c r="V27" s="39">
        <f>$J$3+[37]FormattedData!O64*$J$4+$M$4*$J$5+[37]FormattedData!O64^2*$J$6+$M$5*$J$7</f>
        <v>32.26077887406808</v>
      </c>
      <c r="W27" s="38">
        <f>AVERAGE(K27:V27)</f>
        <v>32.131767744696589</v>
      </c>
      <c r="X27" s="37">
        <f>STDEV(K27:V27)/SQRT(COUNT(K27:V27))</f>
        <v>0.15396881341133847</v>
      </c>
      <c r="Y27" s="36">
        <f>MIN(K27:V27)</f>
        <v>31.199081482157588</v>
      </c>
      <c r="Z27" s="35">
        <f>QUARTILE(K27:V27,1)</f>
        <v>31.754693692361588</v>
      </c>
      <c r="AA27" s="36">
        <f>MEDIAN(K27:V27)</f>
        <v>32.308911040813854</v>
      </c>
      <c r="AB27" s="35">
        <f>QUARTILE(K27:V27,3)</f>
        <v>32.573479450898368</v>
      </c>
      <c r="AC27" s="35">
        <f>MAX(K27:V27)</f>
        <v>32.645582596806683</v>
      </c>
      <c r="AD27" s="35">
        <f>SKEW(K27:V27)</f>
        <v>-0.69607350583967065</v>
      </c>
      <c r="AE27" s="35">
        <f>KURT(K27:V27)</f>
        <v>-0.96681153828092592</v>
      </c>
    </row>
    <row r="28" spans="2:31" x14ac:dyDescent="0.2">
      <c r="B28" s="34">
        <f>[37]FormattedData!A66</f>
        <v>303</v>
      </c>
      <c r="C28" s="34" t="str">
        <f>VLOOKUP($B28,[37]TrtCodes!$B$11:I109,2)</f>
        <v>NSL</v>
      </c>
      <c r="D28" s="34">
        <f>VLOOKUP($B28,[37]TrtCodes!$B$11:J109,3)</f>
        <v>8</v>
      </c>
      <c r="E28" s="34">
        <f>VLOOKUP($B28,[37]TrtCodes!$B$11:K109,4)</f>
        <v>2</v>
      </c>
      <c r="F28" s="34">
        <f>VLOOKUP($B28,[37]TrtCodes!$B$11:L109,5)</f>
        <v>1</v>
      </c>
      <c r="G28" s="34">
        <f>VLOOKUP($B28,[37]TrtCodes!$B$11:M109,6)</f>
        <v>1</v>
      </c>
      <c r="H28" s="34">
        <f>VLOOKUP($B28,[37]TrtCodes!$B$11:N109,7)</f>
        <v>3</v>
      </c>
      <c r="I28" s="34">
        <f>[37]FormattedData!B66</f>
        <v>1</v>
      </c>
      <c r="J28" s="37">
        <f>[37]FormattedData!C66</f>
        <v>13.5</v>
      </c>
      <c r="K28" s="39">
        <f>$J$3+[37]FormattedData!D66*$J$4+$M$4*$J$5+[37]FormattedData!D66^2*$J$6+$M$5*$J$7</f>
        <v>51.111132111695348</v>
      </c>
      <c r="L28" s="39">
        <f>$J$3+[37]FormattedData!E66*$J$4+$M$4*$J$5+[37]FormattedData!E66^2*$J$6+$M$5*$J$7</f>
        <v>52.072399457481445</v>
      </c>
      <c r="M28" s="39">
        <f>$J$3+[37]FormattedData!F66*$J$4+$M$4*$J$5+[37]FormattedData!F66^2*$J$6+$M$5*$J$7</f>
        <v>49.968494992939974</v>
      </c>
      <c r="N28" s="39">
        <f>$J$3+[37]FormattedData!G66*$J$4+$M$4*$J$5+[37]FormattedData!G66^2*$J$6+$M$5*$J$7</f>
        <v>50.408816178604511</v>
      </c>
      <c r="O28" s="39">
        <f>$J$3+[37]FormattedData!H66*$J$4+$M$4*$J$5+[37]FormattedData!H66^2*$J$6+$M$5*$J$7</f>
        <v>50.584648773104803</v>
      </c>
      <c r="P28" s="39">
        <f>$J$3+[37]FormattedData!I66*$J$4+$M$4*$J$5+[37]FormattedData!I66^2*$J$6+$M$5*$J$7</f>
        <v>52.159533786779875</v>
      </c>
      <c r="Q28" s="39">
        <f>$J$3+[37]FormattedData!J66*$J$4+$M$4*$J$5+[37]FormattedData!J66^2*$J$6+$M$5*$J$7</f>
        <v>50.32083647854747</v>
      </c>
      <c r="R28" s="39">
        <f>$J$3+[37]FormattedData!K66*$J$4+$M$4*$J$5+[37]FormattedData!K66^2*$J$6+$M$5*$J$7</f>
        <v>51.985222859645091</v>
      </c>
      <c r="S28" s="39">
        <f>$J$3+[37]FormattedData!L66*$J$4+$M$4*$J$5+[37]FormattedData!L66^2*$J$6+$M$5*$J$7</f>
        <v>47.840243850550159</v>
      </c>
      <c r="T28" s="39">
        <f>$J$3+[37]FormattedData!M66*$J$4+$M$4*$J$5+[37]FormattedData!M66^2*$J$6+$M$5*$J$7</f>
        <v>52.333675639762916</v>
      </c>
      <c r="U28" s="39">
        <f>$J$3+[37]FormattedData!N66*$J$4+$M$4*$J$5+[37]FormattedData!N66^2*$J$6+$M$5*$J$7</f>
        <v>51.023490559941756</v>
      </c>
      <c r="V28" s="39">
        <f>$J$3+[37]FormattedData!O66*$J$4+$M$4*$J$5+[37]FormattedData!O66^2*$J$6+$M$5*$J$7</f>
        <v>51.461275633330423</v>
      </c>
      <c r="W28" s="38">
        <f>AVERAGE(K28:V28)</f>
        <v>50.939147526865305</v>
      </c>
      <c r="X28" s="37">
        <f>STDEV(K28:V28)/SQRT(COUNT(K28:V28))</f>
        <v>0.36365666687520115</v>
      </c>
      <c r="Y28" s="36">
        <f>MIN(K28:V28)</f>
        <v>47.840243850550159</v>
      </c>
      <c r="Z28" s="35">
        <f>QUARTILE(K28:V28,1)</f>
        <v>50.386821253590249</v>
      </c>
      <c r="AA28" s="36">
        <f>MEDIAN(K28:V28)</f>
        <v>51.067311335818552</v>
      </c>
      <c r="AB28" s="35">
        <f>QUARTILE(K28:V28,3)</f>
        <v>52.007017009104182</v>
      </c>
      <c r="AC28" s="35">
        <f>MAX(K28:V28)</f>
        <v>52.333675639762916</v>
      </c>
      <c r="AD28" s="35">
        <f>SKEW(K28:V28)</f>
        <v>-1.3001696764068895</v>
      </c>
      <c r="AE28" s="35">
        <f>KURT(K28:V28)</f>
        <v>2.3657638447900009</v>
      </c>
    </row>
    <row r="29" spans="2:31" x14ac:dyDescent="0.2">
      <c r="B29" s="34">
        <f>[37]FormattedData!A68</f>
        <v>304</v>
      </c>
      <c r="C29" s="34" t="str">
        <f>VLOOKUP($B29,[37]TrtCodes!$B$11:I111,2)</f>
        <v>FSL</v>
      </c>
      <c r="D29" s="34">
        <f>VLOOKUP($B29,[37]TrtCodes!$B$11:J111,3)</f>
        <v>2</v>
      </c>
      <c r="E29" s="34">
        <f>VLOOKUP($B29,[37]TrtCodes!$B$11:K111,4)</f>
        <v>1</v>
      </c>
      <c r="F29" s="34">
        <f>VLOOKUP($B29,[37]TrtCodes!$B$11:L111,5)</f>
        <v>1</v>
      </c>
      <c r="G29" s="34">
        <f>VLOOKUP($B29,[37]TrtCodes!$B$11:M111,6)</f>
        <v>1</v>
      </c>
      <c r="H29" s="34">
        <f>VLOOKUP($B29,[37]TrtCodes!$B$11:N111,7)</f>
        <v>3</v>
      </c>
      <c r="I29" s="34">
        <f>[37]FormattedData!B68</f>
        <v>1</v>
      </c>
      <c r="J29" s="37">
        <f>[37]FormattedData!C68</f>
        <v>13.516</v>
      </c>
      <c r="K29" s="39">
        <f>$J$3+[37]FormattedData!D68*$J$4+$M$4*$J$5+[37]FormattedData!D68^2*$J$6+$M$5*$J$7</f>
        <v>29.937754308891581</v>
      </c>
      <c r="L29" s="39">
        <f>$J$3+[37]FormattedData!E68*$J$4+$M$4*$J$5+[37]FormattedData!E68^2*$J$6+$M$5*$J$7</f>
        <v>31.102309926210872</v>
      </c>
      <c r="M29" s="39">
        <f>$J$3+[37]FormattedData!F68*$J$4+$M$4*$J$5+[37]FormattedData!F68^2*$J$6+$M$5*$J$7</f>
        <v>29.060343219067619</v>
      </c>
      <c r="N29" s="39">
        <f>$J$3+[37]FormattedData!G68*$J$4+$M$4*$J$5+[37]FormattedData!G68^2*$J$6+$M$5*$J$7</f>
        <v>31.87529885472258</v>
      </c>
      <c r="O29" s="39">
        <f>$J$3+[37]FormattedData!H68*$J$4+$M$4*$J$5+[37]FormattedData!H68^2*$J$6+$M$5*$J$7</f>
        <v>32.645582596806683</v>
      </c>
      <c r="P29" s="39">
        <f>$J$3+[37]FormattedData!I68*$J$4+$M$4*$J$5+[37]FormattedData!I68^2*$J$6+$M$5*$J$7</f>
        <v>31.682305233822234</v>
      </c>
      <c r="Q29" s="39">
        <f>$J$3+[37]FormattedData!J68*$J$4+$M$4*$J$5+[37]FormattedData!J68^2*$J$6+$M$5*$J$7</f>
        <v>30.132269597157439</v>
      </c>
      <c r="R29" s="39">
        <f>$J$3+[37]FormattedData!K68*$J$4+$M$4*$J$5+[37]FormattedData!K68^2*$J$6+$M$5*$J$7</f>
        <v>31.971732262365851</v>
      </c>
      <c r="S29" s="39">
        <f>$J$3+[37]FormattedData!L68*$J$4+$M$4*$J$5+[37]FormattedData!L68^2*$J$6+$M$5*$J$7</f>
        <v>29.450726388813138</v>
      </c>
      <c r="T29" s="39">
        <f>$J$3+[37]FormattedData!M68*$J$4+$M$4*$J$5+[37]FormattedData!M68^2*$J$6+$M$5*$J$7</f>
        <v>31.392497788437243</v>
      </c>
      <c r="U29" s="39">
        <f>$J$3+[37]FormattedData!N68*$J$4+$M$4*$J$5+[37]FormattedData!N68^2*$J$6+$M$5*$J$7</f>
        <v>29.743069946473994</v>
      </c>
      <c r="V29" s="39">
        <f>$J$3+[37]FormattedData!O68*$J$4+$M$4*$J$5+[37]FormattedData!O68^2*$J$6+$M$5*$J$7</f>
        <v>34.940202704493458</v>
      </c>
      <c r="W29" s="38">
        <f>AVERAGE(K29:V29)</f>
        <v>31.161174402271897</v>
      </c>
      <c r="X29" s="37">
        <f>STDEV(K29:V29)/SQRT(COUNT(K29:V29))</f>
        <v>0.47582145390700831</v>
      </c>
      <c r="Y29" s="36">
        <f>MIN(K29:V29)</f>
        <v>29.060343219067619</v>
      </c>
      <c r="Z29" s="35">
        <f>QUARTILE(K29:V29,1)</f>
        <v>29.889083218287183</v>
      </c>
      <c r="AA29" s="36">
        <f>MEDIAN(K29:V29)</f>
        <v>31.247403857324059</v>
      </c>
      <c r="AB29" s="35">
        <f>QUARTILE(K29:V29,3)</f>
        <v>31.899407206633398</v>
      </c>
      <c r="AC29" s="35">
        <f>MAX(K29:V29)</f>
        <v>34.940202704493458</v>
      </c>
      <c r="AD29" s="35">
        <f>SKEW(K29:V29)</f>
        <v>0.93157614988219439</v>
      </c>
      <c r="AE29" s="35">
        <f>KURT(K29:V29)</f>
        <v>1.197183136423388</v>
      </c>
    </row>
    <row r="30" spans="2:31" x14ac:dyDescent="0.2">
      <c r="B30" s="34">
        <f>[37]FormattedData!A70</f>
        <v>305</v>
      </c>
      <c r="C30" s="34" t="str">
        <f>VLOOKUP($B30,[37]TrtCodes!$B$11:I113,2)</f>
        <v>NDH</v>
      </c>
      <c r="D30" s="34">
        <f>VLOOKUP($B30,[37]TrtCodes!$B$11:J113,3)</f>
        <v>11</v>
      </c>
      <c r="E30" s="34">
        <f>VLOOKUP($B30,[37]TrtCodes!$B$11:K113,4)</f>
        <v>2</v>
      </c>
      <c r="F30" s="34">
        <f>VLOOKUP($B30,[37]TrtCodes!$B$11:L113,5)</f>
        <v>3</v>
      </c>
      <c r="G30" s="34">
        <f>VLOOKUP($B30,[37]TrtCodes!$B$11:M113,6)</f>
        <v>2</v>
      </c>
      <c r="H30" s="34">
        <f>VLOOKUP($B30,[37]TrtCodes!$B$11:N113,7)</f>
        <v>4</v>
      </c>
      <c r="I30" s="34">
        <f>[37]FormattedData!B70</f>
        <v>1</v>
      </c>
      <c r="J30" s="37">
        <f>[37]FormattedData!C70</f>
        <v>13.532999999999999</v>
      </c>
      <c r="K30" s="39">
        <f>$J$3+[37]FormattedData!D70*$J$4+$M$4*$J$5+[37]FormattedData!D70^2*$J$6+$M$5*$J$7</f>
        <v>49.350270054416519</v>
      </c>
      <c r="L30" s="39">
        <f>$J$3+[37]FormattedData!E70*$J$4+$M$4*$J$5+[37]FormattedData!E70^2*$J$6+$M$5*$J$7</f>
        <v>39.176993501268072</v>
      </c>
      <c r="M30" s="39">
        <f>$J$3+[37]FormattedData!F70*$J$4+$M$4*$J$5+[37]FormattedData!F70^2*$J$6+$M$5*$J$7</f>
        <v>45.326512688814852</v>
      </c>
      <c r="N30" s="39">
        <f>$J$3+[37]FormattedData!G70*$J$4+$M$4*$J$5+[37]FormattedData!G70^2*$J$6+$M$5*$J$7</f>
        <v>45.958052216786626</v>
      </c>
      <c r="O30" s="39">
        <f>$J$3+[37]FormattedData!H70*$J$4+$M$4*$J$5+[37]FormattedData!H70^2*$J$6+$M$5*$J$7</f>
        <v>43.145510411086981</v>
      </c>
      <c r="P30" s="39">
        <f>$J$3+[37]FormattedData!I70*$J$4+$M$4*$J$5+[37]FormattedData!I70^2*$J$6+$M$5*$J$7</f>
        <v>48.552366084441026</v>
      </c>
      <c r="Q30" s="39">
        <f>$J$3+[37]FormattedData!J70*$J$4+$M$4*$J$5+[37]FormattedData!J70^2*$J$6+$M$5*$J$7</f>
        <v>46.497723339211674</v>
      </c>
      <c r="R30" s="39">
        <f>$J$3+[37]FormattedData!K70*$J$4+$M$4*$J$5+[37]FormattedData!K70^2*$J$6+$M$5*$J$7</f>
        <v>44.148158655507665</v>
      </c>
      <c r="S30" s="39">
        <f>$J$3+[37]FormattedData!L70*$J$4+$M$4*$J$5+[37]FormattedData!L70^2*$J$6+$M$5*$J$7</f>
        <v>40.477649287432392</v>
      </c>
      <c r="T30" s="39">
        <f>$J$3+[37]FormattedData!M70*$J$4+$M$4*$J$5+[37]FormattedData!M70^2*$J$6+$M$5*$J$7</f>
        <v>40.662780960277537</v>
      </c>
      <c r="U30" s="39">
        <f>$J$3+[37]FormattedData!N70*$J$4+$M$4*$J$5+[37]FormattedData!N70^2*$J$6+$M$5*$J$7</f>
        <v>43.328190508732121</v>
      </c>
      <c r="V30" s="39">
        <f>$J$3+[37]FormattedData!O70*$J$4+$M$4*$J$5+[37]FormattedData!O70^2*$J$6+$M$5*$J$7</f>
        <v>44.239054884681956</v>
      </c>
      <c r="W30" s="38">
        <f>AVERAGE(K30:V30)</f>
        <v>44.238605216054786</v>
      </c>
      <c r="X30" s="37">
        <f>STDEV(K30:V30)/SQRT(COUNT(K30:V30))</f>
        <v>0.90689454856376683</v>
      </c>
      <c r="Y30" s="36">
        <f>MIN(K30:V30)</f>
        <v>39.176993501268072</v>
      </c>
      <c r="Z30" s="35">
        <f>QUARTILE(K30:V30,1)</f>
        <v>42.52482804838462</v>
      </c>
      <c r="AA30" s="36">
        <f>MEDIAN(K30:V30)</f>
        <v>44.19360677009481</v>
      </c>
      <c r="AB30" s="35">
        <f>QUARTILE(K30:V30,3)</f>
        <v>46.092969997392885</v>
      </c>
      <c r="AC30" s="35">
        <f>MAX(K30:V30)</f>
        <v>49.350270054416519</v>
      </c>
      <c r="AD30" s="35">
        <f>SKEW(K30:V30)</f>
        <v>3.7896292008431339E-3</v>
      </c>
      <c r="AE30" s="35">
        <f>KURT(K30:V30)</f>
        <v>-0.65675647567778928</v>
      </c>
    </row>
    <row r="31" spans="2:31" x14ac:dyDescent="0.2">
      <c r="B31" s="34">
        <f>[37]FormattedData!A72</f>
        <v>306</v>
      </c>
      <c r="C31" s="34" t="str">
        <f>VLOOKUP($B31,[37]TrtCodes!$B$11:I115,2)</f>
        <v>FTL</v>
      </c>
      <c r="D31" s="34">
        <f>VLOOKUP($B31,[37]TrtCodes!$B$11:J115,3)</f>
        <v>4</v>
      </c>
      <c r="E31" s="34">
        <f>VLOOKUP($B31,[37]TrtCodes!$B$11:K115,4)</f>
        <v>1</v>
      </c>
      <c r="F31" s="34">
        <f>VLOOKUP($B31,[37]TrtCodes!$B$11:L115,5)</f>
        <v>2</v>
      </c>
      <c r="G31" s="34">
        <f>VLOOKUP($B31,[37]TrtCodes!$B$11:M115,6)</f>
        <v>1</v>
      </c>
      <c r="H31" s="34">
        <f>VLOOKUP($B31,[37]TrtCodes!$B$11:N115,7)</f>
        <v>4</v>
      </c>
      <c r="I31" s="34">
        <f>[37]FormattedData!B72</f>
        <v>1</v>
      </c>
      <c r="J31" s="37">
        <f>[37]FormattedData!C72</f>
        <v>13.548999999999999</v>
      </c>
      <c r="K31" s="39">
        <f>$J$3+[37]FormattedData!D72*$J$4+$M$4*$J$5+[37]FormattedData!D72^2*$J$6+$M$5*$J$7</f>
        <v>31.392497788437243</v>
      </c>
      <c r="L31" s="39">
        <f>$J$3+[37]FormattedData!E72*$J$4+$M$4*$J$5+[37]FormattedData!E72^2*$J$6+$M$5*$J$7</f>
        <v>32.357043207559634</v>
      </c>
      <c r="M31" s="39">
        <f>$J$3+[37]FormattedData!F72*$J$4+$M$4*$J$5+[37]FormattedData!F72^2*$J$6+$M$5*$J$7</f>
        <v>29.937754308891581</v>
      </c>
      <c r="N31" s="39">
        <f>$J$3+[37]FormattedData!G72*$J$4+$M$4*$J$5+[37]FormattedData!G72^2*$J$6+$M$5*$J$7</f>
        <v>32.933741569212366</v>
      </c>
      <c r="O31" s="39">
        <f>$J$3+[37]FormattedData!H72*$J$4+$M$4*$J$5+[37]FormattedData!H72^2*$J$6+$M$5*$J$7</f>
        <v>30.520792951233982</v>
      </c>
      <c r="P31" s="39">
        <f>$J$3+[37]FormattedData!I72*$J$4+$M$4*$J$5+[37]FormattedData!I72^2*$J$6+$M$5*$J$7</f>
        <v>32.549445068928932</v>
      </c>
      <c r="Q31" s="39">
        <f>$J$3+[37]FormattedData!J72*$J$4+$M$4*$J$5+[37]FormattedData!J72^2*$J$6+$M$5*$J$7</f>
        <v>29.450726388813138</v>
      </c>
      <c r="R31" s="39">
        <f>$J$3+[37]FormattedData!K72*$J$4+$M$4*$J$5+[37]FormattedData!K72^2*$J$6+$M$5*$J$7</f>
        <v>32.26077887406808</v>
      </c>
      <c r="S31" s="39">
        <f>$J$3+[37]FormattedData!L72*$J$4+$M$4*$J$5+[37]FormattedData!L72^2*$J$6+$M$5*$J$7</f>
        <v>29.060343219067619</v>
      </c>
      <c r="T31" s="39">
        <f>$J$3+[37]FormattedData!M72*$J$4+$M$4*$J$5+[37]FormattedData!M72^2*$J$6+$M$5*$J$7</f>
        <v>32.741677856146509</v>
      </c>
      <c r="U31" s="39">
        <f>$J$3+[37]FormattedData!N72*$J$4+$M$4*$J$5+[37]FormattedData!N72^2*$J$6+$M$5*$J$7</f>
        <v>29.450726388813138</v>
      </c>
      <c r="V31" s="39">
        <f>$J$3+[37]FormattedData!O72*$J$4+$M$4*$J$5+[37]FormattedData!O72^2*$J$6+$M$5*$J$7</f>
        <v>32.837730846948403</v>
      </c>
      <c r="W31" s="38">
        <f>AVERAGE(K31:V31)</f>
        <v>31.291104872343386</v>
      </c>
      <c r="X31" s="37">
        <f>STDEV(K31:V31)/SQRT(COUNT(K31:V31))</f>
        <v>0.43554114429073371</v>
      </c>
      <c r="Y31" s="36">
        <f>MIN(K31:V31)</f>
        <v>29.060343219067619</v>
      </c>
      <c r="Z31" s="35">
        <f>QUARTILE(K31:V31,1)</f>
        <v>29.815997328871969</v>
      </c>
      <c r="AA31" s="36">
        <f>MEDIAN(K31:V31)</f>
        <v>31.82663833125266</v>
      </c>
      <c r="AB31" s="35">
        <f>QUARTILE(K31:V31,3)</f>
        <v>32.597503265733323</v>
      </c>
      <c r="AC31" s="35">
        <f>MAX(K31:V31)</f>
        <v>32.933741569212366</v>
      </c>
      <c r="AD31" s="35">
        <f>SKEW(K31:V31)</f>
        <v>-0.35584503879272722</v>
      </c>
      <c r="AE31" s="35">
        <f>KURT(K31:V31)</f>
        <v>-1.7974365525050131</v>
      </c>
    </row>
    <row r="32" spans="2:31" x14ac:dyDescent="0.2">
      <c r="B32" s="34">
        <f>[37]FormattedData!A74</f>
        <v>307</v>
      </c>
      <c r="C32" s="34" t="str">
        <f>VLOOKUP($B32,[37]TrtCodes!$B$11:I117,2)</f>
        <v>NTH</v>
      </c>
      <c r="D32" s="34">
        <f>VLOOKUP($B32,[37]TrtCodes!$B$11:J117,3)</f>
        <v>9</v>
      </c>
      <c r="E32" s="34">
        <f>VLOOKUP($B32,[37]TrtCodes!$B$11:K117,4)</f>
        <v>2</v>
      </c>
      <c r="F32" s="34">
        <f>VLOOKUP($B32,[37]TrtCodes!$B$11:L117,5)</f>
        <v>2</v>
      </c>
      <c r="G32" s="34">
        <f>VLOOKUP($B32,[37]TrtCodes!$B$11:M117,6)</f>
        <v>2</v>
      </c>
      <c r="H32" s="34">
        <f>VLOOKUP($B32,[37]TrtCodes!$B$11:N117,7)</f>
        <v>4</v>
      </c>
      <c r="I32" s="34">
        <f>[37]FormattedData!B74</f>
        <v>1</v>
      </c>
      <c r="J32" s="37">
        <f>[37]FormattedData!C74</f>
        <v>13.565</v>
      </c>
      <c r="K32" s="39">
        <f>$J$3+[37]FormattedData!D74*$J$4+$M$4*$J$5+[37]FormattedData!D74^2*$J$6+$M$5*$J$7</f>
        <v>53.374976200475004</v>
      </c>
      <c r="L32" s="39">
        <f>$J$3+[37]FormattedData!E74*$J$4+$M$4*$J$5+[37]FormattedData!E74^2*$J$6+$M$5*$J$7</f>
        <v>49.084682481266071</v>
      </c>
      <c r="M32" s="39">
        <f>$J$3+[37]FormattedData!F74*$J$4+$M$4*$J$5+[37]FormattedData!F74^2*$J$6+$M$5*$J$7</f>
        <v>50.23281450995249</v>
      </c>
      <c r="N32" s="39">
        <f>$J$3+[37]FormattedData!G74*$J$4+$M$4*$J$5+[37]FormattedData!G74^2*$J$6+$M$5*$J$7</f>
        <v>53.979590669784628</v>
      </c>
      <c r="O32" s="39">
        <f>$J$3+[37]FormattedData!H74*$J$4+$M$4*$J$5+[37]FormattedData!H74^2*$J$6+$M$5*$J$7</f>
        <v>49.173253940854146</v>
      </c>
      <c r="P32" s="39">
        <f>$J$3+[37]FormattedData!I74*$J$4+$M$4*$J$5+[37]FormattedData!I74^2*$J$6+$M$5*$J$7</f>
        <v>53.720723794165245</v>
      </c>
      <c r="Q32" s="39">
        <f>$J$3+[37]FormattedData!J74*$J$4+$M$4*$J$5+[37]FormattedData!J74^2*$J$6+$M$5*$J$7</f>
        <v>47.66179060669814</v>
      </c>
      <c r="R32" s="39">
        <f>$J$3+[37]FormattedData!K74*$J$4+$M$4*$J$5+[37]FormattedData!K74^2*$J$6+$M$5*$J$7</f>
        <v>54.496183170499293</v>
      </c>
      <c r="S32" s="39">
        <f>$J$3+[37]FormattedData!L74*$J$4+$M$4*$J$5+[37]FormattedData!L74^2*$J$6+$M$5*$J$7</f>
        <v>51.111132111695348</v>
      </c>
      <c r="T32" s="39">
        <f>$J$3+[37]FormattedData!M74*$J$4+$M$4*$J$5+[37]FormattedData!M74^2*$J$6+$M$5*$J$7</f>
        <v>54.839732800217107</v>
      </c>
      <c r="U32" s="39">
        <f>$J$3+[37]FormattedData!N74*$J$4+$M$4*$J$5+[37]FormattedData!N74^2*$J$6+$M$5*$J$7</f>
        <v>48.907412756476113</v>
      </c>
      <c r="V32" s="39">
        <f>$J$3+[37]FormattedData!O74*$J$4+$M$4*$J$5+[37]FormattedData!O74^2*$J$6+$M$5*$J$7</f>
        <v>51.723439454908451</v>
      </c>
      <c r="W32" s="38">
        <f>AVERAGE(K32:V32)</f>
        <v>51.525477708082668</v>
      </c>
      <c r="X32" s="37">
        <f>STDEV(K32:V32)/SQRT(COUNT(K32:V32))</f>
        <v>0.72418411568216923</v>
      </c>
      <c r="Y32" s="36">
        <f>MIN(K32:V32)</f>
        <v>47.66179060669814</v>
      </c>
      <c r="Z32" s="35">
        <f>QUARTILE(K32:V32,1)</f>
        <v>49.151111075957125</v>
      </c>
      <c r="AA32" s="36">
        <f>MEDIAN(K32:V32)</f>
        <v>51.417285783301899</v>
      </c>
      <c r="AB32" s="35">
        <f>QUARTILE(K32:V32,3)</f>
        <v>53.785440513070093</v>
      </c>
      <c r="AC32" s="35">
        <f>MAX(K32:V32)</f>
        <v>54.839732800217107</v>
      </c>
      <c r="AD32" s="35">
        <f>SKEW(K32:V32)</f>
        <v>-7.6658605079388098E-2</v>
      </c>
      <c r="AE32" s="35">
        <f>KURT(K32:V32)</f>
        <v>-1.6123883713201583</v>
      </c>
    </row>
    <row r="33" spans="2:31" x14ac:dyDescent="0.2">
      <c r="B33" s="34">
        <f>[37]FormattedData!A76</f>
        <v>308</v>
      </c>
      <c r="C33" s="34" t="str">
        <f>VLOOKUP($B33,[37]TrtCodes!$B$11:I119,2)</f>
        <v>FDH</v>
      </c>
      <c r="D33" s="34">
        <f>VLOOKUP($B33,[37]TrtCodes!$B$11:J119,3)</f>
        <v>5</v>
      </c>
      <c r="E33" s="34">
        <f>VLOOKUP($B33,[37]TrtCodes!$B$11:K119,4)</f>
        <v>1</v>
      </c>
      <c r="F33" s="34">
        <f>VLOOKUP($B33,[37]TrtCodes!$B$11:L119,5)</f>
        <v>3</v>
      </c>
      <c r="G33" s="34">
        <f>VLOOKUP($B33,[37]TrtCodes!$B$11:M119,6)</f>
        <v>2</v>
      </c>
      <c r="H33" s="34">
        <f>VLOOKUP($B33,[37]TrtCodes!$B$11:N119,7)</f>
        <v>4</v>
      </c>
      <c r="I33" s="34">
        <f>[37]FormattedData!B76</f>
        <v>1</v>
      </c>
      <c r="J33" s="37">
        <f>[37]FormattedData!C76</f>
        <v>13.581</v>
      </c>
      <c r="K33" s="39">
        <f>$J$3+[37]FormattedData!D76*$J$4+$M$4*$J$5+[37]FormattedData!D76^2*$J$6+$M$5*$J$7</f>
        <v>30.326615811271576</v>
      </c>
      <c r="L33" s="39">
        <f>$J$3+[37]FormattedData!E76*$J$4+$M$4*$J$5+[37]FormattedData!E76^2*$J$6+$M$5*$J$7</f>
        <v>31.87529885472258</v>
      </c>
      <c r="M33" s="39">
        <f>$J$3+[37]FormattedData!F76*$J$4+$M$4*$J$5+[37]FormattedData!F76^2*$J$6+$M$5*$J$7</f>
        <v>29.937754308891581</v>
      </c>
      <c r="N33" s="39">
        <f>$J$3+[37]FormattedData!G76*$J$4+$M$4*$J$5+[37]FormattedData!G76^2*$J$6+$M$5*$J$7</f>
        <v>32.549445068928932</v>
      </c>
      <c r="O33" s="39">
        <f>$J$3+[37]FormattedData!H76*$J$4+$M$4*$J$5+[37]FormattedData!H76^2*$J$6+$M$5*$J$7</f>
        <v>30.035033087293474</v>
      </c>
      <c r="P33" s="39">
        <f>$J$3+[37]FormattedData!I76*$J$4+$M$4*$J$5+[37]FormattedData!I76^2*$J$6+$M$5*$J$7</f>
        <v>32.357043207559634</v>
      </c>
      <c r="Q33" s="39">
        <f>$J$3+[37]FormattedData!J76*$J$4+$M$4*$J$5+[37]FormattedData!J76^2*$J$6+$M$5*$J$7</f>
        <v>30.617818118408294</v>
      </c>
      <c r="R33" s="39">
        <f>$J$3+[37]FormattedData!K76*$J$4+$M$4*$J$5+[37]FormattedData!K76^2*$J$6+$M$5*$J$7</f>
        <v>31.199081482157588</v>
      </c>
      <c r="S33" s="39">
        <f>$J$3+[37]FormattedData!L76*$J$4+$M$4*$J$5+[37]FormattedData!L76^2*$J$6+$M$5*$J$7</f>
        <v>30.423725515521745</v>
      </c>
      <c r="T33" s="39">
        <f>$J$3+[37]FormattedData!M76*$J$4+$M$4*$J$5+[37]FormattedData!M76^2*$J$6+$M$5*$J$7</f>
        <v>31.971732262365851</v>
      </c>
      <c r="U33" s="39">
        <f>$J$3+[37]FormattedData!N76*$J$4+$M$4*$J$5+[37]FormattedData!N76^2*$J$6+$M$5*$J$7</f>
        <v>29.158002414310896</v>
      </c>
      <c r="V33" s="39">
        <f>$J$3+[37]FormattedData!O76*$J$4+$M$4*$J$5+[37]FormattedData!O76^2*$J$6+$M$5*$J$7</f>
        <v>30.423725515521745</v>
      </c>
      <c r="W33" s="38">
        <f>AVERAGE(K33:V33)</f>
        <v>30.90627297057949</v>
      </c>
      <c r="X33" s="37">
        <f>STDEV(K33:V33)/SQRT(COUNT(K33:V33))</f>
        <v>0.3089958112809702</v>
      </c>
      <c r="Y33" s="36">
        <f>MIN(K33:V33)</f>
        <v>29.158002414310896</v>
      </c>
      <c r="Z33" s="35">
        <f>QUARTILE(K33:V33,1)</f>
        <v>30.253720130277053</v>
      </c>
      <c r="AA33" s="36">
        <f>MEDIAN(K33:V33)</f>
        <v>30.52077181696502</v>
      </c>
      <c r="AB33" s="35">
        <f>QUARTILE(K33:V33,3)</f>
        <v>31.899407206633398</v>
      </c>
      <c r="AC33" s="35">
        <f>MAX(K33:V33)</f>
        <v>32.549445068928932</v>
      </c>
      <c r="AD33" s="35">
        <f>SKEW(K33:V33)</f>
        <v>0.20261675832471418</v>
      </c>
      <c r="AE33" s="35">
        <f>KURT(K33:V33)</f>
        <v>-1.0415238678597767</v>
      </c>
    </row>
    <row r="34" spans="2:31" x14ac:dyDescent="0.2">
      <c r="B34" s="34">
        <f>[37]FormattedData!A92</f>
        <v>401</v>
      </c>
      <c r="C34" s="34" t="str">
        <f>VLOOKUP($B34,[37]TrtCodes!$B$11:I129,2)</f>
        <v>NSH</v>
      </c>
      <c r="D34" s="34">
        <f>VLOOKUP($B34,[37]TrtCodes!$B$11:J129,3)</f>
        <v>7</v>
      </c>
      <c r="E34" s="34">
        <f>VLOOKUP($B34,[37]TrtCodes!$B$11:K129,4)</f>
        <v>2</v>
      </c>
      <c r="F34" s="34">
        <f>VLOOKUP($B34,[37]TrtCodes!$B$11:L129,5)</f>
        <v>1</v>
      </c>
      <c r="G34" s="34">
        <f>VLOOKUP($B34,[37]TrtCodes!$B$11:M129,6)</f>
        <v>2</v>
      </c>
      <c r="H34" s="34">
        <f>VLOOKUP($B34,[37]TrtCodes!$B$11:N129,7)</f>
        <v>3</v>
      </c>
      <c r="I34" s="34">
        <f>[37]FormattedData!B92</f>
        <v>1</v>
      </c>
      <c r="J34" s="37">
        <f>[37]FormattedData!C92</f>
        <v>13.724</v>
      </c>
      <c r="K34" s="39">
        <f>$J$3+[37]FormattedData!D92*$J$4+$M$4*$J$5+[37]FormattedData!D92^2*$J$6+$M$5*$J$7</f>
        <v>51.898003993270805</v>
      </c>
      <c r="L34" s="39">
        <f>$J$3+[37]FormattedData!E92*$J$4+$M$4*$J$5+[37]FormattedData!E92^2*$J$6+$M$5*$J$7</f>
        <v>51.461275633330423</v>
      </c>
      <c r="M34" s="39">
        <f>$J$3+[37]FormattedData!F92*$J$4+$M$4*$J$5+[37]FormattedData!F92^2*$J$6+$M$5*$J$7</f>
        <v>51.198731394911015</v>
      </c>
      <c r="N34" s="39">
        <f>$J$3+[37]FormattedData!G92*$J$4+$M$4*$J$5+[37]FormattedData!G92^2*$J$6+$M$5*$J$7</f>
        <v>51.810742858358587</v>
      </c>
      <c r="O34" s="39">
        <f>$J$3+[37]FormattedData!H92*$J$4+$M$4*$J$5+[37]FormattedData!H92^2*$J$6+$M$5*$J$7</f>
        <v>48.729973957534433</v>
      </c>
      <c r="P34" s="39">
        <f>$J$3+[37]FormattedData!I92*$J$4+$M$4*$J$5+[37]FormattedData!I92^2*$J$6+$M$5*$J$7</f>
        <v>51.723439454908451</v>
      </c>
      <c r="Q34" s="39">
        <f>$J$3+[37]FormattedData!J92*$J$4+$M$4*$J$5+[37]FormattedData!J92^2*$J$6+$M$5*$J$7</f>
        <v>47.66179060669814</v>
      </c>
      <c r="R34" s="39">
        <f>$J$3+[37]FormattedData!K92*$J$4+$M$4*$J$5+[37]FormattedData!K92^2*$J$6+$M$5*$J$7</f>
        <v>51.985222859645091</v>
      </c>
      <c r="S34" s="39">
        <f>$J$3+[37]FormattedData!L92*$J$4+$M$4*$J$5+[37]FormattedData!L92^2*$J$6+$M$5*$J$7</f>
        <v>51.111132111695348</v>
      </c>
      <c r="T34" s="39">
        <f>$J$3+[37]FormattedData!M92*$J$4+$M$4*$J$5+[37]FormattedData!M92^2*$J$6+$M$5*$J$7</f>
        <v>52.246625847540358</v>
      </c>
      <c r="U34" s="39">
        <f>$J$3+[37]FormattedData!N92*$J$4+$M$4*$J$5+[37]FormattedData!N92^2*$J$6+$M$5*$J$7</f>
        <v>46.497723339211674</v>
      </c>
      <c r="V34" s="39">
        <f>$J$3+[37]FormattedData!O92*$J$4+$M$4*$J$5+[37]FormattedData!O92^2*$J$6+$M$5*$J$7</f>
        <v>51.636093782920369</v>
      </c>
      <c r="W34" s="38">
        <f>AVERAGE(K34:V34)</f>
        <v>50.663396320002057</v>
      </c>
      <c r="X34" s="37">
        <f>STDEV(K34:V34)/SQRT(COUNT(K34:V34))</f>
        <v>0.55314928788600248</v>
      </c>
      <c r="Y34" s="36">
        <f>MIN(K34:V34)</f>
        <v>46.497723339211674</v>
      </c>
      <c r="Z34" s="35">
        <f>QUARTILE(K34:V34,1)</f>
        <v>50.515842573155119</v>
      </c>
      <c r="AA34" s="36">
        <f>MEDIAN(K34:V34)</f>
        <v>51.548684708125393</v>
      </c>
      <c r="AB34" s="35">
        <f>QUARTILE(K34:V34,3)</f>
        <v>51.83255814208664</v>
      </c>
      <c r="AC34" s="35">
        <f>MAX(K34:V34)</f>
        <v>52.246625847540358</v>
      </c>
      <c r="AD34" s="35">
        <f>SKEW(K34:V34)</f>
        <v>-1.4579032233208533</v>
      </c>
      <c r="AE34" s="35">
        <f>KURT(K34:V34)</f>
        <v>0.78635285607358085</v>
      </c>
    </row>
    <row r="35" spans="2:31" x14ac:dyDescent="0.2">
      <c r="B35" s="34">
        <f>[37]FormattedData!A90</f>
        <v>402</v>
      </c>
      <c r="C35" s="34" t="str">
        <f>VLOOKUP($B35,[37]TrtCodes!$B$11:I130,2)</f>
        <v>NTH</v>
      </c>
      <c r="D35" s="34">
        <f>VLOOKUP($B35,[37]TrtCodes!$B$11:J130,3)</f>
        <v>9</v>
      </c>
      <c r="E35" s="34">
        <f>VLOOKUP($B35,[37]TrtCodes!$B$11:K130,4)</f>
        <v>2</v>
      </c>
      <c r="F35" s="34">
        <f>VLOOKUP($B35,[37]TrtCodes!$B$11:L130,5)</f>
        <v>2</v>
      </c>
      <c r="G35" s="34">
        <f>VLOOKUP($B35,[37]TrtCodes!$B$11:M130,6)</f>
        <v>2</v>
      </c>
      <c r="H35" s="34">
        <f>VLOOKUP($B35,[37]TrtCodes!$B$11:N130,7)</f>
        <v>3</v>
      </c>
      <c r="I35" s="34">
        <f>[37]FormattedData!B90</f>
        <v>1</v>
      </c>
      <c r="J35" s="37">
        <f>[37]FormattedData!C90</f>
        <v>13.708</v>
      </c>
      <c r="K35" s="39">
        <f>$J$3+[37]FormattedData!D90*$J$4+$M$4*$J$5+[37]FormattedData!D90^2*$J$6+$M$5*$J$7</f>
        <v>52.681452123273843</v>
      </c>
      <c r="L35" s="39">
        <f>$J$3+[37]FormattedData!E90*$J$4+$M$4*$J$5+[37]FormattedData!E90^2*$J$6+$M$5*$J$7</f>
        <v>52.941840666258763</v>
      </c>
      <c r="M35" s="39">
        <f>$J$3+[37]FormattedData!F90*$J$4+$M$4*$J$5+[37]FormattedData!F90^2*$J$6+$M$5*$J$7</f>
        <v>49.350270054416519</v>
      </c>
      <c r="N35" s="39">
        <f>$J$3+[37]FormattedData!G90*$J$4+$M$4*$J$5+[37]FormattedData!G90^2*$J$6+$M$5*$J$7</f>
        <v>52.594571405203013</v>
      </c>
      <c r="O35" s="39">
        <f>$J$3+[37]FormattedData!H90*$J$4+$M$4*$J$5+[37]FormattedData!H90^2*$J$6+$M$5*$J$7</f>
        <v>43.69304348156723</v>
      </c>
      <c r="P35" s="39">
        <f>$J$3+[37]FormattedData!I90*$J$4+$M$4*$J$5+[37]FormattedData!I90^2*$J$6+$M$5*$J$7</f>
        <v>52.855086753801729</v>
      </c>
      <c r="Q35" s="39">
        <f>$J$3+[37]FormattedData!J90*$J$4+$M$4*$J$5+[37]FormattedData!J90^2*$J$6+$M$5*$J$7</f>
        <v>47.483168288694387</v>
      </c>
      <c r="R35" s="39">
        <f>$J$3+[37]FormattedData!K90*$J$4+$M$4*$J$5+[37]FormattedData!K90^2*$J$6+$M$5*$J$7</f>
        <v>52.941840666258763</v>
      </c>
      <c r="S35" s="39">
        <f>$J$3+[37]FormattedData!L90*$J$4+$M$4*$J$5+[37]FormattedData!L90^2*$J$6+$M$5*$J$7</f>
        <v>50.496753610123619</v>
      </c>
      <c r="T35" s="39">
        <f>$J$3+[37]FormattedData!M90*$J$4+$M$4*$J$5+[37]FormattedData!M90^2*$J$6+$M$5*$J$7</f>
        <v>52.333675639762916</v>
      </c>
      <c r="U35" s="39">
        <f>$J$3+[37]FormattedData!N90*$J$4+$M$4*$J$5+[37]FormattedData!N90^2*$J$6+$M$5*$J$7</f>
        <v>46.407883823485669</v>
      </c>
      <c r="V35" s="39">
        <f>$J$3+[37]FormattedData!O90*$J$4+$M$4*$J$5+[37]FormattedData!O90^2*$J$6+$M$5*$J$7</f>
        <v>48.463498745087435</v>
      </c>
      <c r="W35" s="38">
        <f>AVERAGE(K35:V35)</f>
        <v>50.186923771494492</v>
      </c>
      <c r="X35" s="37">
        <f>STDEV(K35:V35)/SQRT(COUNT(K35:V35))</f>
        <v>0.89803786936876884</v>
      </c>
      <c r="Y35" s="36">
        <f>MIN(K35:V35)</f>
        <v>43.69304348156723</v>
      </c>
      <c r="Z35" s="35">
        <f>QUARTILE(K35:V35,1)</f>
        <v>48.218416130989169</v>
      </c>
      <c r="AA35" s="36">
        <f>MEDIAN(K35:V35)</f>
        <v>51.415214624943268</v>
      </c>
      <c r="AB35" s="35">
        <f>QUARTILE(K35:V35,3)</f>
        <v>52.724860780905814</v>
      </c>
      <c r="AC35" s="35">
        <f>MAX(K35:V35)</f>
        <v>52.941840666258763</v>
      </c>
      <c r="AD35" s="35">
        <f>SKEW(K35:V35)</f>
        <v>-0.91702441730991113</v>
      </c>
      <c r="AE35" s="35">
        <f>KURT(K35:V35)</f>
        <v>-0.15605640119550834</v>
      </c>
    </row>
    <row r="36" spans="2:31" x14ac:dyDescent="0.2">
      <c r="B36" s="34">
        <f>[37]FormattedData!A88</f>
        <v>403</v>
      </c>
      <c r="C36" s="34" t="str">
        <f>VLOOKUP($B36,[37]TrtCodes!$B$11:I131,2)</f>
        <v>FDL</v>
      </c>
      <c r="D36" s="34">
        <f>VLOOKUP($B36,[37]TrtCodes!$B$11:J131,3)</f>
        <v>6</v>
      </c>
      <c r="E36" s="34">
        <f>VLOOKUP($B36,[37]TrtCodes!$B$11:K131,4)</f>
        <v>1</v>
      </c>
      <c r="F36" s="34">
        <f>VLOOKUP($B36,[37]TrtCodes!$B$11:L131,5)</f>
        <v>3</v>
      </c>
      <c r="G36" s="34">
        <f>VLOOKUP($B36,[37]TrtCodes!$B$11:M131,6)</f>
        <v>1</v>
      </c>
      <c r="H36" s="34">
        <f>VLOOKUP($B36,[37]TrtCodes!$B$11:N131,7)</f>
        <v>3</v>
      </c>
      <c r="I36" s="34">
        <f>[37]FormattedData!B88</f>
        <v>1</v>
      </c>
      <c r="J36" s="37">
        <f>[37]FormattedData!C88</f>
        <v>13.692</v>
      </c>
      <c r="K36" s="39">
        <f>$J$3+[37]FormattedData!D88*$J$4+$M$4*$J$5+[37]FormattedData!D88^2*$J$6+$M$5*$J$7</f>
        <v>31.392497788437243</v>
      </c>
      <c r="L36" s="39">
        <f>$J$3+[37]FormattedData!E88*$J$4+$M$4*$J$5+[37]FormattedData!E88^2*$J$6+$M$5*$J$7</f>
        <v>31.489142538770174</v>
      </c>
      <c r="M36" s="39">
        <f>$J$3+[37]FormattedData!F88*$J$4+$M$4*$J$5+[37]FormattedData!F88^2*$J$6+$M$5*$J$7</f>
        <v>29.353193999183652</v>
      </c>
      <c r="N36" s="39">
        <f>$J$3+[37]FormattedData!G88*$J$4+$M$4*$J$5+[37]FormattedData!G88^2*$J$6+$M$5*$J$7</f>
        <v>31.971732262365851</v>
      </c>
      <c r="O36" s="39">
        <f>$J$3+[37]FormattedData!H88*$J$4+$M$4*$J$5+[37]FormattedData!H88^2*$J$6+$M$5*$J$7</f>
        <v>30.035033087293474</v>
      </c>
      <c r="P36" s="39">
        <f>$J$3+[37]FormattedData!I88*$J$4+$M$4*$J$5+[37]FormattedData!I88^2*$J$6+$M$5*$J$7</f>
        <v>31.58574502056517</v>
      </c>
      <c r="Q36" s="39">
        <f>$J$3+[37]FormattedData!J88*$J$4+$M$4*$J$5+[37]FormattedData!J88^2*$J$6+$M$5*$J$7</f>
        <v>29.937754308891581</v>
      </c>
      <c r="R36" s="39">
        <f>$J$3+[37]FormattedData!K88*$J$4+$M$4*$J$5+[37]FormattedData!K88^2*$J$6+$M$5*$J$7</f>
        <v>29.645664362458309</v>
      </c>
      <c r="S36" s="39">
        <f>$J$3+[37]FormattedData!L88*$J$4+$M$4*$J$5+[37]FormattedData!L88^2*$J$6+$M$5*$J$7</f>
        <v>29.937754308891581</v>
      </c>
      <c r="T36" s="39">
        <f>$J$3+[37]FormattedData!M88*$J$4+$M$4*$J$5+[37]FormattedData!M88^2*$J$6+$M$5*$J$7</f>
        <v>30.617818118408294</v>
      </c>
      <c r="U36" s="39">
        <f>$J$3+[37]FormattedData!N88*$J$4+$M$4*$J$5+[37]FormattedData!N88^2*$J$6+$M$5*$J$7</f>
        <v>29.840433261951759</v>
      </c>
      <c r="V36" s="39">
        <f>$J$3+[37]FormattedData!O88*$J$4+$M$4*$J$5+[37]FormattedData!O88^2*$J$6+$M$5*$J$7</f>
        <v>30.908640008703632</v>
      </c>
      <c r="W36" s="38">
        <f>AVERAGE(K36:V36)</f>
        <v>30.559617422160063</v>
      </c>
      <c r="X36" s="37">
        <f>STDEV(K36:V36)/SQRT(COUNT(K36:V36))</f>
        <v>0.25504792506942109</v>
      </c>
      <c r="Y36" s="36">
        <f>MIN(K36:V36)</f>
        <v>29.353193999183652</v>
      </c>
      <c r="Z36" s="35">
        <f>QUARTILE(K36:V36,1)</f>
        <v>29.913424047156624</v>
      </c>
      <c r="AA36" s="36">
        <f>MEDIAN(K36:V36)</f>
        <v>30.326425602850883</v>
      </c>
      <c r="AB36" s="35">
        <f>QUARTILE(K36:V36,3)</f>
        <v>31.416658976020475</v>
      </c>
      <c r="AC36" s="35">
        <f>MAX(K36:V36)</f>
        <v>31.971732262365851</v>
      </c>
      <c r="AD36" s="35">
        <f>SKEW(K36:V36)</f>
        <v>0.28524002223568656</v>
      </c>
      <c r="AE36" s="35">
        <f>KURT(K36:V36)</f>
        <v>-1.502604753233054</v>
      </c>
    </row>
    <row r="37" spans="2:31" x14ac:dyDescent="0.2">
      <c r="B37" s="34">
        <f>[37]FormattedData!A86</f>
        <v>404</v>
      </c>
      <c r="C37" s="34" t="str">
        <f>VLOOKUP($B37,[37]TrtCodes!$B$11:I129,2)</f>
        <v>FTH</v>
      </c>
      <c r="D37" s="34">
        <f>VLOOKUP($B37,[37]TrtCodes!$B$11:J129,3)</f>
        <v>3</v>
      </c>
      <c r="E37" s="34">
        <f>VLOOKUP($B37,[37]TrtCodes!$B$11:K129,4)</f>
        <v>1</v>
      </c>
      <c r="F37" s="34">
        <f>VLOOKUP($B37,[37]TrtCodes!$B$11:L129,5)</f>
        <v>2</v>
      </c>
      <c r="G37" s="34">
        <f>VLOOKUP($B37,[37]TrtCodes!$B$11:M129,6)</f>
        <v>2</v>
      </c>
      <c r="H37" s="34">
        <f>VLOOKUP($B37,[37]TrtCodes!$B$11:N129,7)</f>
        <v>3</v>
      </c>
      <c r="I37" s="34">
        <f>[37]FormattedData!B86</f>
        <v>1</v>
      </c>
      <c r="J37" s="37">
        <f>[37]FormattedData!C86</f>
        <v>13.675000000000001</v>
      </c>
      <c r="K37" s="39">
        <f>$J$3+[37]FormattedData!D86*$J$4+$M$4*$J$5+[37]FormattedData!D86^2*$J$6+$M$5*$J$7</f>
        <v>32.26077887406808</v>
      </c>
      <c r="L37" s="39">
        <f>$J$3+[37]FormattedData!E86*$J$4+$M$4*$J$5+[37]FormattedData!E86^2*$J$6+$M$5*$J$7</f>
        <v>32.164472272038594</v>
      </c>
      <c r="M37" s="39">
        <f>$J$3+[37]FormattedData!F86*$J$4+$M$4*$J$5+[37]FormattedData!F86^2*$J$6+$M$5*$J$7</f>
        <v>30.035033087293474</v>
      </c>
      <c r="N37" s="39">
        <f>$J$3+[37]FormattedData!G86*$J$4+$M$4*$J$5+[37]FormattedData!G86^2*$J$6+$M$5*$J$7</f>
        <v>31.682305233822234</v>
      </c>
      <c r="O37" s="39">
        <f>$J$3+[37]FormattedData!H86*$J$4+$M$4*$J$5+[37]FormattedData!H86^2*$J$6+$M$5*$J$7</f>
        <v>31.005496101726212</v>
      </c>
      <c r="P37" s="39">
        <f>$J$3+[37]FormattedData!I86*$J$4+$M$4*$J$5+[37]FormattedData!I86^2*$J$6+$M$5*$J$7</f>
        <v>32.453265272513249</v>
      </c>
      <c r="Q37" s="39">
        <f>$J$3+[37]FormattedData!J86*$J$4+$M$4*$J$5+[37]FormattedData!J86^2*$J$6+$M$5*$J$7</f>
        <v>30.617818118408294</v>
      </c>
      <c r="R37" s="39">
        <f>$J$3+[37]FormattedData!K86*$J$4+$M$4*$J$5+[37]FormattedData!K86^2*$J$6+$M$5*$J$7</f>
        <v>31.489142538770174</v>
      </c>
      <c r="S37" s="39">
        <f>$J$3+[37]FormattedData!L86*$J$4+$M$4*$J$5+[37]FormattedData!L86^2*$J$6+$M$5*$J$7</f>
        <v>30.520792951233982</v>
      </c>
      <c r="T37" s="39">
        <f>$J$3+[37]FormattedData!M86*$J$4+$M$4*$J$5+[37]FormattedData!M86^2*$J$6+$M$5*$J$7</f>
        <v>32.164472272038594</v>
      </c>
      <c r="U37" s="39">
        <f>$J$3+[37]FormattedData!N86*$J$4+$M$4*$J$5+[37]FormattedData!N86^2*$J$6+$M$5*$J$7</f>
        <v>30.714801017044671</v>
      </c>
      <c r="V37" s="39">
        <f>$J$3+[37]FormattedData!O86*$J$4+$M$4*$J$5+[37]FormattedData!O86^2*$J$6+$M$5*$J$7</f>
        <v>30.520792951233982</v>
      </c>
      <c r="W37" s="38">
        <f>AVERAGE(K37:V37)</f>
        <v>31.302430890849305</v>
      </c>
      <c r="X37" s="37">
        <f>STDEV(K37:V37)/SQRT(COUNT(K37:V37))</f>
        <v>0.24055859533408327</v>
      </c>
      <c r="Y37" s="36">
        <f>MIN(K37:V37)</f>
        <v>30.035033087293474</v>
      </c>
      <c r="Z37" s="35">
        <f>QUARTILE(K37:V37,1)</f>
        <v>30.593561826614717</v>
      </c>
      <c r="AA37" s="36">
        <f>MEDIAN(K37:V37)</f>
        <v>31.247319320248195</v>
      </c>
      <c r="AB37" s="35">
        <f>QUARTILE(K37:V37,3)</f>
        <v>32.164472272038594</v>
      </c>
      <c r="AC37" s="35">
        <f>MAX(K37:V37)</f>
        <v>32.453265272513249</v>
      </c>
      <c r="AD37" s="35">
        <f>SKEW(K37:V37)</f>
        <v>3.8834988588035121E-2</v>
      </c>
      <c r="AE37" s="35">
        <f>KURT(K37:V37)</f>
        <v>-1.6160456515965844</v>
      </c>
    </row>
    <row r="38" spans="2:31" x14ac:dyDescent="0.2">
      <c r="B38" s="34">
        <f>[37]FormattedData!A84</f>
        <v>405</v>
      </c>
      <c r="C38" s="34" t="str">
        <f>VLOOKUP($B38,[37]TrtCodes!$B$11:I127,2)</f>
        <v>FDL</v>
      </c>
      <c r="D38" s="34">
        <f>VLOOKUP($B38,[37]TrtCodes!$B$11:J127,3)</f>
        <v>6</v>
      </c>
      <c r="E38" s="34">
        <f>VLOOKUP($B38,[37]TrtCodes!$B$11:K127,4)</f>
        <v>1</v>
      </c>
      <c r="F38" s="34">
        <f>VLOOKUP($B38,[37]TrtCodes!$B$11:L127,5)</f>
        <v>3</v>
      </c>
      <c r="G38" s="34">
        <f>VLOOKUP($B38,[37]TrtCodes!$B$11:M127,6)</f>
        <v>1</v>
      </c>
      <c r="H38" s="34">
        <f>VLOOKUP($B38,[37]TrtCodes!$B$11:N127,7)</f>
        <v>4</v>
      </c>
      <c r="I38" s="34">
        <f>[37]FormattedData!B84</f>
        <v>1</v>
      </c>
      <c r="J38" s="37">
        <f>[37]FormattedData!C84</f>
        <v>13.659000000000001</v>
      </c>
      <c r="K38" s="39">
        <f>$J$3+[37]FormattedData!D84*$J$4+$M$4*$J$5+[37]FormattedData!D84^2*$J$6+$M$5*$J$7</f>
        <v>31.58574502056517</v>
      </c>
      <c r="L38" s="39">
        <f>$J$3+[37]FormattedData!E84*$J$4+$M$4*$J$5+[37]FormattedData!E84^2*$J$6+$M$5*$J$7</f>
        <v>30.132269597157439</v>
      </c>
      <c r="M38" s="39">
        <f>$J$3+[37]FormattedData!F84*$J$4+$M$4*$J$5+[37]FormattedData!F84^2*$J$6+$M$5*$J$7</f>
        <v>30.326615811271576</v>
      </c>
      <c r="N38" s="39">
        <f>$J$3+[37]FormattedData!G84*$J$4+$M$4*$J$5+[37]FormattedData!G84^2*$J$6+$M$5*$J$7</f>
        <v>30.714801017044671</v>
      </c>
      <c r="O38" s="39">
        <f>$J$3+[37]FormattedData!H84*$J$4+$M$4*$J$5+[37]FormattedData!H84^2*$J$6+$M$5*$J$7</f>
        <v>29.840433261951759</v>
      </c>
      <c r="P38" s="39">
        <f>$J$3+[37]FormattedData!I84*$J$4+$M$4*$J$5+[37]FormattedData!I84^2*$J$6+$M$5*$J$7</f>
        <v>31.005496101726212</v>
      </c>
      <c r="Q38" s="39">
        <f>$J$3+[37]FormattedData!J84*$J$4+$M$4*$J$5+[37]FormattedData!J84^2*$J$6+$M$5*$J$7</f>
        <v>29.645664362458309</v>
      </c>
      <c r="R38" s="39">
        <f>$J$3+[37]FormattedData!K84*$J$4+$M$4*$J$5+[37]FormattedData!K84^2*$J$6+$M$5*$J$7</f>
        <v>31.87529885472258</v>
      </c>
      <c r="S38" s="39">
        <f>$J$3+[37]FormattedData!L84*$J$4+$M$4*$J$5+[37]FormattedData!L84^2*$J$6+$M$5*$J$7</f>
        <v>30.132269597157439</v>
      </c>
      <c r="T38" s="39">
        <f>$J$3+[37]FormattedData!M84*$J$4+$M$4*$J$5+[37]FormattedData!M84^2*$J$6+$M$5*$J$7</f>
        <v>30.617818118408294</v>
      </c>
      <c r="U38" s="39">
        <f>$J$3+[37]FormattedData!N84*$J$4+$M$4*$J$5+[37]FormattedData!N84^2*$J$6+$M$5*$J$7</f>
        <v>30.132269597157439</v>
      </c>
      <c r="V38" s="39">
        <f>$J$3+[37]FormattedData!O84*$J$4+$M$4*$J$5+[37]FormattedData!O84^2*$J$6+$M$5*$J$7</f>
        <v>30.520792951233982</v>
      </c>
      <c r="W38" s="38">
        <f>AVERAGE(K38:V38)</f>
        <v>30.544122857571242</v>
      </c>
      <c r="X38" s="37">
        <f>STDEV(K38:V38)/SQRT(COUNT(K38:V38))</f>
        <v>0.1939142891012525</v>
      </c>
      <c r="Y38" s="36">
        <f>MIN(K38:V38)</f>
        <v>29.645664362458309</v>
      </c>
      <c r="Z38" s="35">
        <f>QUARTILE(K38:V38,1)</f>
        <v>30.132269597157439</v>
      </c>
      <c r="AA38" s="36">
        <f>MEDIAN(K38:V38)</f>
        <v>30.423704381252779</v>
      </c>
      <c r="AB38" s="35">
        <f>QUARTILE(K38:V38,3)</f>
        <v>30.787474788215057</v>
      </c>
      <c r="AC38" s="35">
        <f>MAX(K38:V38)</f>
        <v>31.87529885472258</v>
      </c>
      <c r="AD38" s="35">
        <f>SKEW(K38:V38)</f>
        <v>0.82742270862360767</v>
      </c>
      <c r="AE38" s="35">
        <f>KURT(K38:V38)</f>
        <v>0.10615007796539455</v>
      </c>
    </row>
    <row r="39" spans="2:31" x14ac:dyDescent="0.2">
      <c r="B39" s="34">
        <f>[37]FormattedData!A82</f>
        <v>406</v>
      </c>
      <c r="C39" s="34" t="str">
        <f>VLOOKUP($B39,[37]TrtCodes!$B$11:I125,2)</f>
        <v>FTH</v>
      </c>
      <c r="D39" s="34">
        <f>VLOOKUP($B39,[37]TrtCodes!$B$11:J125,3)</f>
        <v>3</v>
      </c>
      <c r="E39" s="34">
        <f>VLOOKUP($B39,[37]TrtCodes!$B$11:K125,4)</f>
        <v>1</v>
      </c>
      <c r="F39" s="34">
        <f>VLOOKUP($B39,[37]TrtCodes!$B$11:L125,5)</f>
        <v>2</v>
      </c>
      <c r="G39" s="34">
        <f>VLOOKUP($B39,[37]TrtCodes!$B$11:M125,6)</f>
        <v>2</v>
      </c>
      <c r="H39" s="34">
        <f>VLOOKUP($B39,[37]TrtCodes!$B$11:N125,7)</f>
        <v>4</v>
      </c>
      <c r="I39" s="34">
        <f>[37]FormattedData!B82</f>
        <v>1</v>
      </c>
      <c r="J39" s="37">
        <f>[37]FormattedData!C82</f>
        <v>13.64</v>
      </c>
      <c r="K39" s="39">
        <f>$J$3+[37]FormattedData!D82*$J$4+$M$4*$J$5+[37]FormattedData!D82^2*$J$6+$M$5*$J$7</f>
        <v>32.357043207559634</v>
      </c>
      <c r="L39" s="39">
        <f>$J$3+[37]FormattedData!E82*$J$4+$M$4*$J$5+[37]FormattedData!E82^2*$J$6+$M$5*$J$7</f>
        <v>32.357043207559634</v>
      </c>
      <c r="M39" s="39">
        <f>$J$3+[37]FormattedData!F82*$J$4+$M$4*$J$5+[37]FormattedData!F82^2*$J$6+$M$5*$J$7</f>
        <v>30.520792951233982</v>
      </c>
      <c r="N39" s="39">
        <f>$J$3+[37]FormattedData!G82*$J$4+$M$4*$J$5+[37]FormattedData!G82^2*$J$6+$M$5*$J$7</f>
        <v>31.778823178541373</v>
      </c>
      <c r="O39" s="39">
        <f>$J$3+[37]FormattedData!H82*$J$4+$M$4*$J$5+[37]FormattedData!H82^2*$J$6+$M$5*$J$7</f>
        <v>32.06812340147119</v>
      </c>
      <c r="P39" s="39">
        <f>$J$3+[37]FormattedData!I82*$J$4+$M$4*$J$5+[37]FormattedData!I82^2*$J$6+$M$5*$J$7</f>
        <v>31.87529885472258</v>
      </c>
      <c r="Q39" s="39">
        <f>$J$3+[37]FormattedData!J82*$J$4+$M$4*$J$5+[37]FormattedData!J82^2*$J$6+$M$5*$J$7</f>
        <v>31.102309926210872</v>
      </c>
      <c r="R39" s="39">
        <f>$J$3+[37]FormattedData!K82*$J$4+$M$4*$J$5+[37]FormattedData!K82^2*$J$6+$M$5*$J$7</f>
        <v>31.489142538770174</v>
      </c>
      <c r="S39" s="39">
        <f>$J$3+[37]FormattedData!L82*$J$4+$M$4*$J$5+[37]FormattedData!L82^2*$J$6+$M$5*$J$7</f>
        <v>29.645664362458309</v>
      </c>
      <c r="T39" s="39">
        <f>$J$3+[37]FormattedData!M82*$J$4+$M$4*$J$5+[37]FormattedData!M82^2*$J$6+$M$5*$J$7</f>
        <v>31.58574502056517</v>
      </c>
      <c r="U39" s="39">
        <f>$J$3+[37]FormattedData!N82*$J$4+$M$4*$J$5+[37]FormattedData!N82^2*$J$6+$M$5*$J$7</f>
        <v>29.548216509904684</v>
      </c>
      <c r="V39" s="39">
        <f>$J$3+[37]FormattedData!O82*$J$4+$M$4*$J$5+[37]FormattedData!O82^2*$J$6+$M$5*$J$7</f>
        <v>31.392497788437243</v>
      </c>
      <c r="W39" s="38">
        <f>AVERAGE(K39:V39)</f>
        <v>31.310058412286242</v>
      </c>
      <c r="X39" s="37">
        <f>STDEV(K39:V39)/SQRT(COUNT(K39:V39))</f>
        <v>0.2747108443904317</v>
      </c>
      <c r="Y39" s="36">
        <f>MIN(K39:V39)</f>
        <v>29.548216509904684</v>
      </c>
      <c r="Z39" s="35">
        <f>QUARTILE(K39:V39,1)</f>
        <v>30.956930682466648</v>
      </c>
      <c r="AA39" s="36">
        <f>MEDIAN(K39:V39)</f>
        <v>31.537443779667672</v>
      </c>
      <c r="AB39" s="35">
        <f>QUARTILE(K39:V39,3)</f>
        <v>31.923504991409732</v>
      </c>
      <c r="AC39" s="35">
        <f>MAX(K39:V39)</f>
        <v>32.357043207559634</v>
      </c>
      <c r="AD39" s="35">
        <f>SKEW(K39:V39)</f>
        <v>-0.95426504142613366</v>
      </c>
      <c r="AE39" s="35">
        <f>KURT(K39:V39)</f>
        <v>-7.7120115657745902E-2</v>
      </c>
    </row>
    <row r="40" spans="2:31" x14ac:dyDescent="0.2">
      <c r="B40" s="34">
        <f>[37]FormattedData!A80</f>
        <v>407</v>
      </c>
      <c r="C40" s="34" t="str">
        <f>VLOOKUP($B40,[37]TrtCodes!$B$11:I123,2)</f>
        <v>NSH</v>
      </c>
      <c r="D40" s="34">
        <f>VLOOKUP($B40,[37]TrtCodes!$B$11:J123,3)</f>
        <v>7</v>
      </c>
      <c r="E40" s="34">
        <f>VLOOKUP($B40,[37]TrtCodes!$B$11:K123,4)</f>
        <v>2</v>
      </c>
      <c r="F40" s="34">
        <f>VLOOKUP($B40,[37]TrtCodes!$B$11:L123,5)</f>
        <v>1</v>
      </c>
      <c r="G40" s="34">
        <f>VLOOKUP($B40,[37]TrtCodes!$B$11:M123,6)</f>
        <v>2</v>
      </c>
      <c r="H40" s="34">
        <f>VLOOKUP($B40,[37]TrtCodes!$B$11:N123,7)</f>
        <v>4</v>
      </c>
      <c r="I40" s="34">
        <f>[37]FormattedData!B80</f>
        <v>1</v>
      </c>
      <c r="J40" s="37">
        <f>[37]FormattedData!C80</f>
        <v>13.622999999999999</v>
      </c>
      <c r="K40" s="39">
        <f>$J$3+[37]FormattedData!D80*$J$4+$M$4*$J$5+[37]FormattedData!D80^2*$J$6+$M$5*$J$7</f>
        <v>51.111132111695348</v>
      </c>
      <c r="L40" s="39">
        <f>$J$3+[37]FormattedData!E80*$J$4+$M$4*$J$5+[37]FormattedData!E80^2*$J$6+$M$5*$J$7</f>
        <v>51.373803155728545</v>
      </c>
      <c r="M40" s="39">
        <f>$J$3+[37]FormattedData!F80*$J$4+$M$4*$J$5+[37]FormattedData!F80^2*$J$6+$M$5*$J$7</f>
        <v>49.438714708390805</v>
      </c>
      <c r="N40" s="39">
        <f>$J$3+[37]FormattedData!G80*$J$4+$M$4*$J$5+[37]FormattedData!G80^2*$J$6+$M$5*$J$7</f>
        <v>50.935806739650225</v>
      </c>
      <c r="O40" s="39">
        <f>$J$3+[37]FormattedData!H80*$J$4+$M$4*$J$5+[37]FormattedData!H80^2*$J$6+$M$5*$J$7</f>
        <v>50.584648773104803</v>
      </c>
      <c r="P40" s="39">
        <f>$J$3+[37]FormattedData!I80*$J$4+$M$4*$J$5+[37]FormattedData!I80^2*$J$6+$M$5*$J$7</f>
        <v>51.636093782920369</v>
      </c>
      <c r="Q40" s="39">
        <f>$J$3+[37]FormattedData!J80*$J$4+$M$4*$J$5+[37]FormattedData!J80^2*$J$6+$M$5*$J$7</f>
        <v>51.198731394911015</v>
      </c>
      <c r="R40" s="39">
        <f>$J$3+[37]FormattedData!K80*$J$4+$M$4*$J$5+[37]FormattedData!K80^2*$J$6+$M$5*$J$7</f>
        <v>52.507648418594243</v>
      </c>
      <c r="S40" s="39">
        <f>$J$3+[37]FormattedData!L80*$J$4+$M$4*$J$5+[37]FormattedData!L80^2*$J$6+$M$5*$J$7</f>
        <v>48.818714491274235</v>
      </c>
      <c r="T40" s="39">
        <f>$J$3+[37]FormattedData!M80*$J$4+$M$4*$J$5+[37]FormattedData!M80^2*$J$6+$M$5*$J$7</f>
        <v>52.855086753801729</v>
      </c>
      <c r="U40" s="39">
        <f>$J$3+[37]FormattedData!N80*$J$4+$M$4*$J$5+[37]FormattedData!N80^2*$J$6+$M$5*$J$7</f>
        <v>49.084682481266071</v>
      </c>
      <c r="V40" s="39">
        <f>$J$3+[37]FormattedData!O80*$J$4+$M$4*$J$5+[37]FormattedData!O80^2*$J$6+$M$5*$J$7</f>
        <v>51.636093782920369</v>
      </c>
      <c r="W40" s="38">
        <f>AVERAGE(K40:V40)</f>
        <v>50.931763049521486</v>
      </c>
      <c r="X40" s="37">
        <f>STDEV(K40:V40)/SQRT(COUNT(K40:V40))</f>
        <v>0.36618400741415758</v>
      </c>
      <c r="Y40" s="36">
        <f>MIN(K40:V40)</f>
        <v>48.818714491274235</v>
      </c>
      <c r="Z40" s="35">
        <f>QUARTILE(K40:V40,1)</f>
        <v>50.298165256926303</v>
      </c>
      <c r="AA40" s="36">
        <f>MEDIAN(K40:V40)</f>
        <v>51.154931753303181</v>
      </c>
      <c r="AB40" s="35">
        <f>QUARTILE(K40:V40,3)</f>
        <v>51.636093782920369</v>
      </c>
      <c r="AC40" s="35">
        <f>MAX(K40:V40)</f>
        <v>52.855086753801729</v>
      </c>
      <c r="AD40" s="35">
        <f>SKEW(K40:V40)</f>
        <v>-0.3884619463479172</v>
      </c>
      <c r="AE40" s="35">
        <f>KURT(K40:V40)</f>
        <v>-0.56754177326716571</v>
      </c>
    </row>
    <row r="41" spans="2:31" x14ac:dyDescent="0.2">
      <c r="B41" s="34">
        <f>[37]FormattedData!A78</f>
        <v>408</v>
      </c>
      <c r="C41" s="34" t="str">
        <f>VLOOKUP($B41,[37]TrtCodes!$B$11:I121,2)</f>
        <v>NTL</v>
      </c>
      <c r="D41" s="34">
        <f>VLOOKUP($B41,[37]TrtCodes!$B$11:J121,3)</f>
        <v>10</v>
      </c>
      <c r="E41" s="34">
        <f>VLOOKUP($B41,[37]TrtCodes!$B$11:K121,4)</f>
        <v>2</v>
      </c>
      <c r="F41" s="34">
        <f>VLOOKUP($B41,[37]TrtCodes!$B$11:L121,5)</f>
        <v>2</v>
      </c>
      <c r="G41" s="34">
        <f>VLOOKUP($B41,[37]TrtCodes!$B$11:M121,6)</f>
        <v>1</v>
      </c>
      <c r="H41" s="34">
        <f>VLOOKUP($B41,[37]TrtCodes!$B$11:N121,7)</f>
        <v>4</v>
      </c>
      <c r="I41" s="34">
        <f>[37]FormattedData!B78</f>
        <v>1</v>
      </c>
      <c r="J41" s="37">
        <f>[37]FormattedData!C78</f>
        <v>13.606</v>
      </c>
      <c r="K41" s="39">
        <f>$J$3+[37]FormattedData!D78*$J$4+$M$4*$J$5+[37]FormattedData!D78^2*$J$6+$M$5*$J$7</f>
        <v>52.855086753801729</v>
      </c>
      <c r="L41" s="39">
        <f>$J$3+[37]FormattedData!E78*$J$4+$M$4*$J$5+[37]FormattedData!E78^2*$J$6+$M$5*$J$7</f>
        <v>48.285637260766435</v>
      </c>
      <c r="M41" s="39">
        <f>$J$3+[37]FormattedData!F78*$J$4+$M$4*$J$5+[37]FormattedData!F78^2*$J$6+$M$5*$J$7</f>
        <v>51.023490559941756</v>
      </c>
      <c r="N41" s="39">
        <f>$J$3+[37]FormattedData!G78*$J$4+$M$4*$J$5+[37]FormattedData!G78^2*$J$6+$M$5*$J$7</f>
        <v>49.79207063890864</v>
      </c>
      <c r="O41" s="39">
        <f>$J$3+[37]FormattedData!H78*$J$4+$M$4*$J$5+[37]FormattedData!H78^2*$J$6+$M$5*$J$7</f>
        <v>51.286288409588742</v>
      </c>
      <c r="P41" s="39">
        <f>$J$3+[37]FormattedData!I78*$J$4+$M$4*$J$5+[37]FormattedData!I78^2*$J$6+$M$5*$J$7</f>
        <v>51.286288409588742</v>
      </c>
      <c r="Q41" s="39">
        <f>$J$3+[37]FormattedData!J78*$J$4+$M$4*$J$5+[37]FormattedData!J78^2*$J$6+$M$5*$J$7</f>
        <v>46.497723339211674</v>
      </c>
      <c r="R41" s="39">
        <f>$J$3+[37]FormattedData!K78*$J$4+$M$4*$J$5+[37]FormattedData!K78^2*$J$6+$M$5*$J$7</f>
        <v>53.461476501704468</v>
      </c>
      <c r="S41" s="39">
        <f>$J$3+[37]FormattedData!L78*$J$4+$M$4*$J$5+[37]FormattedData!L78^2*$J$6+$M$5*$J$7</f>
        <v>47.21491779765428</v>
      </c>
      <c r="T41" s="39">
        <f>$J$3+[37]FormattedData!M78*$J$4+$M$4*$J$5+[37]FormattedData!M78^2*$J$6+$M$5*$J$7</f>
        <v>54.065795091248575</v>
      </c>
      <c r="U41" s="39">
        <f>$J$3+[37]FormattedData!N78*$J$4+$M$4*$J$5+[37]FormattedData!N78^2*$J$6+$M$5*$J$7</f>
        <v>46.856658716736433</v>
      </c>
      <c r="V41" s="39">
        <f>$J$3+[37]FormattedData!O78*$J$4+$M$4*$J$5+[37]FormattedData!O78^2*$J$6+$M$5*$J$7</f>
        <v>45.687646030312024</v>
      </c>
      <c r="W41" s="38">
        <f>AVERAGE(K41:V41)</f>
        <v>49.85942329245529</v>
      </c>
      <c r="X41" s="37">
        <f>STDEV(K41:V41)/SQRT(COUNT(K41:V41))</f>
        <v>0.83605035868101818</v>
      </c>
      <c r="Y41" s="36">
        <f>MIN(K41:V41)</f>
        <v>45.687646030312024</v>
      </c>
      <c r="Z41" s="35">
        <f>QUARTILE(K41:V41,1)</f>
        <v>47.125353027424822</v>
      </c>
      <c r="AA41" s="36">
        <f>MEDIAN(K41:V41)</f>
        <v>50.407780599425195</v>
      </c>
      <c r="AB41" s="35">
        <f>QUARTILE(K41:V41,3)</f>
        <v>51.678487995641987</v>
      </c>
      <c r="AC41" s="35">
        <f>MAX(K41:V41)</f>
        <v>54.065795091248575</v>
      </c>
      <c r="AD41" s="35">
        <f>SKEW(K41:V41)</f>
        <v>-2.0792822730820761E-2</v>
      </c>
      <c r="AE41" s="35">
        <f>KURT(K41:V41)</f>
        <v>-1.4822486332177984</v>
      </c>
    </row>
    <row r="42" spans="2:31" x14ac:dyDescent="0.2">
      <c r="B42" s="50">
        <f>[37]FormattedData!A60</f>
        <v>901</v>
      </c>
      <c r="C42" s="50" t="str">
        <f>VLOOKUP($B42,[37]TrtCodes!$B$11:I103,2)</f>
        <v>WS</v>
      </c>
      <c r="D42" s="50">
        <f>VLOOKUP($B42,[37]TrtCodes!$B$11:J103,3)</f>
        <v>32</v>
      </c>
      <c r="E42" s="50">
        <f>VLOOKUP($B42,[37]TrtCodes!$B$11:K103,4)</f>
        <v>9</v>
      </c>
      <c r="F42" s="50">
        <f>VLOOKUP($B42,[37]TrtCodes!$B$11:L103,5)</f>
        <v>0</v>
      </c>
      <c r="G42" s="50">
        <f>VLOOKUP($B42,[37]TrtCodes!$B$11:M103,6)</f>
        <v>1</v>
      </c>
      <c r="H42" s="50">
        <f>VLOOKUP($B42,[37]TrtCodes!$B$11:N103,7)</f>
        <v>1</v>
      </c>
      <c r="I42" s="50">
        <f>[37]FormattedData!B60</f>
        <v>1</v>
      </c>
      <c r="J42" s="48">
        <f>[37]FormattedData!C60</f>
        <v>13.452999999999999</v>
      </c>
      <c r="K42" s="47">
        <f>$J$3+[37]FormattedData!D60*$J$4+$M$4*$J$5+[37]FormattedData!D60^2*$J$6+$M$5*$J$7</f>
        <v>31.102309926210872</v>
      </c>
      <c r="L42" s="47">
        <f>$J$3+[37]FormattedData!E60*$J$4+$M$4*$J$5+[37]FormattedData!E60^2*$J$6+$M$5*$J$7</f>
        <v>30.035033087293474</v>
      </c>
      <c r="M42" s="47">
        <f>$J$3+[37]FormattedData!F60*$J$4+$M$4*$J$5+[37]FormattedData!F60^2*$J$6+$M$5*$J$7</f>
        <v>30.035033087293474</v>
      </c>
      <c r="N42" s="47">
        <f>$J$3+[37]FormattedData!G60*$J$4+$M$4*$J$5+[37]FormattedData!G60^2*$J$6+$M$5*$J$7</f>
        <v>29.840433261951759</v>
      </c>
      <c r="O42" s="47">
        <f>$J$3+[37]FormattedData!H60*$J$4+$M$4*$J$5+[37]FormattedData!H60^2*$J$6+$M$5*$J$7</f>
        <v>28.864898022967274</v>
      </c>
      <c r="P42" s="47">
        <f>$J$3+[37]FormattedData!I60*$J$4+$M$4*$J$5+[37]FormattedData!I60^2*$J$6+$M$5*$J$7</f>
        <v>28.375545333302618</v>
      </c>
      <c r="Q42" s="47">
        <f>$J$3+[37]FormattedData!J60*$J$4+$M$4*$J$5+[37]FormattedData!J60^2*$J$6+$M$5*$J$7</f>
        <v>28.375545333302618</v>
      </c>
      <c r="R42" s="47">
        <f>$J$3+[37]FormattedData!K60*$J$4+$M$4*$J$5+[37]FormattedData!K60^2*$J$6+$M$5*$J$7</f>
        <v>30.326615811271576</v>
      </c>
      <c r="S42" s="47">
        <f>$J$3+[37]FormattedData!L60*$J$4+$M$4*$J$5+[37]FormattedData!L60^2*$J$6+$M$5*$J$7</f>
        <v>30.035033087293474</v>
      </c>
      <c r="T42" s="47">
        <f>$J$3+[37]FormattedData!M60*$J$4+$M$4*$J$5+[37]FormattedData!M60^2*$J$6+$M$5*$J$7</f>
        <v>30.132269597157439</v>
      </c>
      <c r="U42" s="47">
        <f>$J$3+[37]FormattedData!N60*$J$4+$M$4*$J$5+[37]FormattedData!N60^2*$J$6+$M$5*$J$7</f>
        <v>31.199081482157588</v>
      </c>
      <c r="V42" s="47">
        <f>$J$3+[37]FormattedData!O60*$J$4+$M$4*$J$5+[37]FormattedData!O60^2*$J$6+$M$5*$J$7</f>
        <v>29.840433261951759</v>
      </c>
      <c r="W42" s="49">
        <f>AVERAGE(K42:V42)</f>
        <v>29.846852607679498</v>
      </c>
      <c r="X42" s="48">
        <f>STDEV(K42:V42)/SQRT(COUNT(K42:V42))</f>
        <v>0.26279924774836755</v>
      </c>
      <c r="Y42" s="47">
        <f>MIN(K42:V42)</f>
        <v>28.375545333302618</v>
      </c>
      <c r="Z42" s="46">
        <f>QUARTILE(K42:V42,1)</f>
        <v>29.596549452205636</v>
      </c>
      <c r="AA42" s="47">
        <f>MEDIAN(K42:V42)</f>
        <v>30.035033087293474</v>
      </c>
      <c r="AB42" s="46">
        <f>QUARTILE(K42:V42,3)</f>
        <v>30.180856150685972</v>
      </c>
      <c r="AC42" s="46">
        <f>MAX(K42:V42)</f>
        <v>31.199081482157588</v>
      </c>
      <c r="AD42" s="46">
        <f>SKEW(K42:V42)</f>
        <v>-0.39210109947694693</v>
      </c>
      <c r="AE42" s="46">
        <f>KURT(K42:V42)</f>
        <v>-0.31829956056277586</v>
      </c>
    </row>
    <row r="43" spans="2:31" x14ac:dyDescent="0.2">
      <c r="B43" s="34">
        <f>[37]FormattedData!A58</f>
        <v>902</v>
      </c>
      <c r="C43" s="34" t="str">
        <f>VLOOKUP($B43,[37]TrtCodes!$B$11:I101,2)</f>
        <v>Late</v>
      </c>
      <c r="D43" s="34">
        <f>VLOOKUP($B43,[37]TrtCodes!$B$11:J101,3)</f>
        <v>22</v>
      </c>
      <c r="E43" s="34">
        <f>VLOOKUP($B43,[37]TrtCodes!$B$11:K101,4)</f>
        <v>4</v>
      </c>
      <c r="F43" s="34">
        <f>VLOOKUP($B43,[37]TrtCodes!$B$11:L101,5)</f>
        <v>2</v>
      </c>
      <c r="G43" s="34">
        <f>VLOOKUP($B43,[37]TrtCodes!$B$11:M101,6)</f>
        <v>2</v>
      </c>
      <c r="H43" s="34">
        <f>VLOOKUP($B43,[37]TrtCodes!$B$11:N101,7)</f>
        <v>1</v>
      </c>
      <c r="I43" s="34">
        <f>[37]FormattedData!B58</f>
        <v>1</v>
      </c>
      <c r="J43" s="37">
        <f>[37]FormattedData!C58</f>
        <v>13.436999999999999</v>
      </c>
      <c r="K43" s="39">
        <f>$J$3+[37]FormattedData!D58*$J$4+$M$4*$J$5+[37]FormattedData!D58^2*$J$6+$M$5*$J$7</f>
        <v>31.005496101726212</v>
      </c>
      <c r="L43" s="39">
        <f>$J$3+[37]FormattedData!E58*$J$4+$M$4*$J$5+[37]FormattedData!E58^2*$J$6+$M$5*$J$7</f>
        <v>32.164472272038594</v>
      </c>
      <c r="M43" s="39">
        <f>$J$3+[37]FormattedData!F58*$J$4+$M$4*$J$5+[37]FormattedData!F58^2*$J$6+$M$5*$J$7</f>
        <v>29.060343219067619</v>
      </c>
      <c r="N43" s="39">
        <f>$J$3+[37]FormattedData!G58*$J$4+$M$4*$J$5+[37]FormattedData!G58^2*$J$6+$M$5*$J$7</f>
        <v>31.005496101726212</v>
      </c>
      <c r="O43" s="39">
        <f>$J$3+[37]FormattedData!H58*$J$4+$M$4*$J$5+[37]FormattedData!H58^2*$J$6+$M$5*$J$7</f>
        <v>28.864898022967274</v>
      </c>
      <c r="P43" s="39">
        <f>$J$3+[37]FormattedData!I58*$J$4+$M$4*$J$5+[37]FormattedData!I58^2*$J$6+$M$5*$J$7</f>
        <v>30.811741647143119</v>
      </c>
      <c r="Q43" s="39">
        <f>$J$3+[37]FormattedData!J58*$J$4+$M$4*$J$5+[37]FormattedData!J58^2*$J$6+$M$5*$J$7</f>
        <v>29.255619341016239</v>
      </c>
      <c r="R43" s="39">
        <f>$J$3+[37]FormattedData!K58*$J$4+$M$4*$J$5+[37]FormattedData!K58^2*$J$6+$M$5*$J$7</f>
        <v>32.164472272038594</v>
      </c>
      <c r="S43" s="39">
        <f>$J$3+[37]FormattedData!L58*$J$4+$M$4*$J$5+[37]FormattedData!L58^2*$J$6+$M$5*$J$7</f>
        <v>30.035033087293474</v>
      </c>
      <c r="T43" s="39">
        <f>$J$3+[37]FormattedData!M58*$J$4+$M$4*$J$5+[37]FormattedData!M58^2*$J$6+$M$5*$J$7</f>
        <v>31.102309926210872</v>
      </c>
      <c r="U43" s="39">
        <f>$J$3+[37]FormattedData!N58*$J$4+$M$4*$J$5+[37]FormattedData!N58^2*$J$6+$M$5*$J$7</f>
        <v>29.743069946473994</v>
      </c>
      <c r="V43" s="39">
        <f>$J$3+[37]FormattedData!O58*$J$4+$M$4*$J$5+[37]FormattedData!O58^2*$J$6+$M$5*$J$7</f>
        <v>30.714801017044671</v>
      </c>
      <c r="W43" s="38">
        <f>AVERAGE(K43:V43)</f>
        <v>30.493979412895573</v>
      </c>
      <c r="X43" s="37">
        <f>STDEV(K43:V43)/SQRT(COUNT(K43:V43))</f>
        <v>0.32147203797104618</v>
      </c>
      <c r="Y43" s="36">
        <f>MIN(K43:V43)</f>
        <v>28.864898022967274</v>
      </c>
      <c r="Z43" s="35">
        <f>QUARTILE(K43:V43,1)</f>
        <v>29.621207295109556</v>
      </c>
      <c r="AA43" s="36">
        <f>MEDIAN(K43:V43)</f>
        <v>30.763271332093893</v>
      </c>
      <c r="AB43" s="35">
        <f>QUARTILE(K43:V43,3)</f>
        <v>31.029699557847376</v>
      </c>
      <c r="AC43" s="35">
        <f>MAX(K43:V43)</f>
        <v>32.164472272038594</v>
      </c>
      <c r="AD43" s="35">
        <f>SKEW(K43:V43)</f>
        <v>1.3403303948574455E-2</v>
      </c>
      <c r="AE43" s="35">
        <f>KURT(K43:V43)</f>
        <v>-0.97569195870774639</v>
      </c>
    </row>
    <row r="44" spans="2:31" x14ac:dyDescent="0.2">
      <c r="B44" s="50">
        <f>[37]FormattedData!A56</f>
        <v>903</v>
      </c>
      <c r="C44" s="50" t="str">
        <f>VLOOKUP($B44,[37]TrtCodes!$B$11:I99,2)</f>
        <v>DS</v>
      </c>
      <c r="D44" s="50">
        <f>VLOOKUP($B44,[37]TrtCodes!$B$11:J99,3)</f>
        <v>31</v>
      </c>
      <c r="E44" s="50">
        <f>VLOOKUP($B44,[37]TrtCodes!$B$11:K99,4)</f>
        <v>8</v>
      </c>
      <c r="F44" s="50">
        <f>VLOOKUP($B44,[37]TrtCodes!$B$11:L99,5)</f>
        <v>0</v>
      </c>
      <c r="G44" s="50">
        <f>VLOOKUP($B44,[37]TrtCodes!$B$11:M99,6)</f>
        <v>1</v>
      </c>
      <c r="H44" s="50">
        <f>VLOOKUP($B44,[37]TrtCodes!$B$11:N99,7)</f>
        <v>1</v>
      </c>
      <c r="I44" s="50">
        <f>[37]FormattedData!B56</f>
        <v>1</v>
      </c>
      <c r="J44" s="48">
        <f>[37]FormattedData!C56</f>
        <v>13.428000000000001</v>
      </c>
      <c r="K44" s="47">
        <f>$J$3+[37]FormattedData!D56*$J$4+$M$4*$J$5+[37]FormattedData!D56^2*$J$6+$M$5*$J$7</f>
        <v>53.807055021242967</v>
      </c>
      <c r="L44" s="47">
        <f>$J$3+[37]FormattedData!E56*$J$4+$M$4*$J$5+[37]FormattedData!E56^2*$J$6+$M$5*$J$7</f>
        <v>53.979590669784628</v>
      </c>
      <c r="M44" s="47">
        <f>$J$3+[37]FormattedData!F56*$J$4+$M$4*$J$5+[37]FormattedData!F56^2*$J$6+$M$5*$J$7</f>
        <v>53.89334397978277</v>
      </c>
      <c r="N44" s="47">
        <f>$J$3+[37]FormattedData!G56*$J$4+$M$4*$J$5+[37]FormattedData!G56^2*$J$6+$M$5*$J$7</f>
        <v>53.89334397978277</v>
      </c>
      <c r="O44" s="47">
        <f>$J$3+[37]FormattedData!H56*$J$4+$M$4*$J$5+[37]FormattedData!H56^2*$J$6+$M$5*$J$7</f>
        <v>54.496183170499293</v>
      </c>
      <c r="P44" s="47">
        <f>$J$3+[37]FormattedData!I56*$J$4+$M$4*$J$5+[37]FormattedData!I56^2*$J$6+$M$5*$J$7</f>
        <v>53.979590669784628</v>
      </c>
      <c r="Q44" s="47">
        <f>$J$3+[37]FormattedData!J56*$J$4+$M$4*$J$5+[37]FormattedData!J56^2*$J$6+$M$5*$J$7</f>
        <v>54.151957244174582</v>
      </c>
      <c r="R44" s="47">
        <f>$J$3+[37]FormattedData!K56*$J$4+$M$4*$J$5+[37]FormattedData!K56^2*$J$6+$M$5*$J$7</f>
        <v>54.065795091248575</v>
      </c>
      <c r="S44" s="47">
        <f>$J$3+[37]FormattedData!L56*$J$4+$M$4*$J$5+[37]FormattedData!L56^2*$J$6+$M$5*$J$7</f>
        <v>53.979590669784628</v>
      </c>
      <c r="T44" s="47">
        <f>$J$3+[37]FormattedData!M56*$J$4+$M$4*$J$5+[37]FormattedData!M56^2*$J$6+$M$5*$J$7</f>
        <v>54.238077128562651</v>
      </c>
      <c r="U44" s="47">
        <f>$J$3+[37]FormattedData!N56*$J$4+$M$4*$J$5+[37]FormattedData!N56^2*$J$6+$M$5*$J$7</f>
        <v>54.151957244174582</v>
      </c>
      <c r="V44" s="47">
        <f>$J$3+[37]FormattedData!O56*$J$4+$M$4*$J$5+[37]FormattedData!O56^2*$J$6+$M$5*$J$7</f>
        <v>53.89334397978277</v>
      </c>
      <c r="W44" s="49">
        <f>AVERAGE(K44:V44)</f>
        <v>54.044152404050401</v>
      </c>
      <c r="X44" s="48">
        <f>STDEV(K44:V44)/SQRT(COUNT(K44:V44))</f>
        <v>5.5226815348689513E-2</v>
      </c>
      <c r="Y44" s="47">
        <f>MIN(K44:V44)</f>
        <v>53.807055021242967</v>
      </c>
      <c r="Z44" s="46">
        <f>QUARTILE(K44:V44,1)</f>
        <v>53.89334397978277</v>
      </c>
      <c r="AA44" s="47">
        <f>MEDIAN(K44:V44)</f>
        <v>53.979590669784628</v>
      </c>
      <c r="AB44" s="46">
        <f>QUARTILE(K44:V44,3)</f>
        <v>54.151957244174582</v>
      </c>
      <c r="AC44" s="46">
        <f>MAX(K44:V44)</f>
        <v>54.496183170499293</v>
      </c>
      <c r="AD44" s="46">
        <f>SKEW(K44:V44)</f>
        <v>1.2113070604155427</v>
      </c>
      <c r="AE44" s="46">
        <f>KURT(K44:V44)</f>
        <v>1.6365643532533349</v>
      </c>
    </row>
    <row r="45" spans="2:31" x14ac:dyDescent="0.2">
      <c r="B45" s="34">
        <f>[37]FormattedData!A54</f>
        <v>904</v>
      </c>
      <c r="C45" s="34" t="str">
        <f>VLOOKUP($B45,[37]TrtCodes!$B$11:I97,2)</f>
        <v>Early</v>
      </c>
      <c r="D45" s="34">
        <f>VLOOKUP($B45,[37]TrtCodes!$B$11:J97,3)</f>
        <v>21</v>
      </c>
      <c r="E45" s="34">
        <f>VLOOKUP($B45,[37]TrtCodes!$B$11:K97,4)</f>
        <v>3</v>
      </c>
      <c r="F45" s="34">
        <f>VLOOKUP($B45,[37]TrtCodes!$B$11:L97,5)</f>
        <v>2</v>
      </c>
      <c r="G45" s="34">
        <f>VLOOKUP($B45,[37]TrtCodes!$B$11:M97,6)</f>
        <v>2</v>
      </c>
      <c r="H45" s="34">
        <f>VLOOKUP($B45,[37]TrtCodes!$B$11:N97,7)</f>
        <v>1</v>
      </c>
      <c r="I45" s="34">
        <f>[37]FormattedData!B54</f>
        <v>1</v>
      </c>
      <c r="J45" s="37">
        <f>[37]FormattedData!C54</f>
        <v>13.412000000000001</v>
      </c>
      <c r="K45" s="39">
        <f>$J$3+[37]FormattedData!D54*$J$4+$M$4*$J$5+[37]FormattedData!D54^2*$J$6+$M$5*$J$7</f>
        <v>31.392497788437243</v>
      </c>
      <c r="L45" s="39">
        <f>$J$3+[37]FormattedData!E54*$J$4+$M$4*$J$5+[37]FormattedData!E54^2*$J$6+$M$5*$J$7</f>
        <v>31.392497788437243</v>
      </c>
      <c r="M45" s="39">
        <f>$J$3+[37]FormattedData!F54*$J$4+$M$4*$J$5+[37]FormattedData!F54^2*$J$6+$M$5*$J$7</f>
        <v>28.864898022967274</v>
      </c>
      <c r="N45" s="39">
        <f>$J$3+[37]FormattedData!G54*$J$4+$M$4*$J$5+[37]FormattedData!G54^2*$J$6+$M$5*$J$7</f>
        <v>29.450726388813138</v>
      </c>
      <c r="O45" s="39">
        <f>$J$3+[37]FormattedData!H54*$J$4+$M$4*$J$5+[37]FormattedData!H54^2*$J$6+$M$5*$J$7</f>
        <v>29.450726388813138</v>
      </c>
      <c r="P45" s="39">
        <f>$J$3+[37]FormattedData!I54*$J$4+$M$4*$J$5+[37]FormattedData!I54^2*$J$6+$M$5*$J$7</f>
        <v>31.102309926210872</v>
      </c>
      <c r="Q45" s="39">
        <f>$J$3+[37]FormattedData!J54*$J$4+$M$4*$J$5+[37]FormattedData!J54^2*$J$6+$M$5*$J$7</f>
        <v>29.158002414310896</v>
      </c>
      <c r="R45" s="39">
        <f>$J$3+[37]FormattedData!K54*$J$4+$M$4*$J$5+[37]FormattedData!K54^2*$J$6+$M$5*$J$7</f>
        <v>31.682305233822234</v>
      </c>
      <c r="S45" s="39">
        <f>$J$3+[37]FormattedData!L54*$J$4+$M$4*$J$5+[37]FormattedData!L54^2*$J$6+$M$5*$J$7</f>
        <v>28.864898022967274</v>
      </c>
      <c r="T45" s="39">
        <f>$J$3+[37]FormattedData!M54*$J$4+$M$4*$J$5+[37]FormattedData!M54^2*$J$6+$M$5*$J$7</f>
        <v>31.005496101726212</v>
      </c>
      <c r="U45" s="39">
        <f>$J$3+[37]FormattedData!N54*$J$4+$M$4*$J$5+[37]FormattedData!N54^2*$J$6+$M$5*$J$7</f>
        <v>29.255619341016239</v>
      </c>
      <c r="V45" s="39">
        <f>$J$3+[37]FormattedData!O54*$J$4+$M$4*$J$5+[37]FormattedData!O54^2*$J$6+$M$5*$J$7</f>
        <v>30.617818118408294</v>
      </c>
      <c r="W45" s="38">
        <f>AVERAGE(K45:V45)</f>
        <v>30.18648296132751</v>
      </c>
      <c r="X45" s="37">
        <f>STDEV(K45:V45)/SQRT(COUNT(K45:V45))</f>
        <v>0.31792565896099673</v>
      </c>
      <c r="Y45" s="36">
        <f>MIN(K45:V45)</f>
        <v>28.864898022967274</v>
      </c>
      <c r="Z45" s="35">
        <f>QUARTILE(K45:V45,1)</f>
        <v>29.231215109339903</v>
      </c>
      <c r="AA45" s="36">
        <f>MEDIAN(K45:V45)</f>
        <v>30.034272253610716</v>
      </c>
      <c r="AB45" s="35">
        <f>QUARTILE(K45:V45,3)</f>
        <v>31.174856891767465</v>
      </c>
      <c r="AC45" s="35">
        <f>MAX(K45:V45)</f>
        <v>31.682305233822234</v>
      </c>
      <c r="AD45" s="35">
        <f>SKEW(K45:V45)</f>
        <v>7.7196028297613142E-2</v>
      </c>
      <c r="AE45" s="35">
        <f>KURT(K45:V45)</f>
        <v>-2.0001646677172884</v>
      </c>
    </row>
    <row r="46" spans="2:31" x14ac:dyDescent="0.2">
      <c r="B46" s="50">
        <f>[37]FormattedData!A52</f>
        <v>905</v>
      </c>
      <c r="C46" s="50" t="str">
        <f>VLOOKUP($B46,[37]TrtCodes!$B$11:I95,2)</f>
        <v>WS</v>
      </c>
      <c r="D46" s="50">
        <f>VLOOKUP($B46,[37]TrtCodes!$B$11:J95,3)</f>
        <v>32</v>
      </c>
      <c r="E46" s="50">
        <f>VLOOKUP($B46,[37]TrtCodes!$B$11:K95,4)</f>
        <v>9</v>
      </c>
      <c r="F46" s="50">
        <f>VLOOKUP($B46,[37]TrtCodes!$B$11:L95,5)</f>
        <v>0</v>
      </c>
      <c r="G46" s="50">
        <f>VLOOKUP($B46,[37]TrtCodes!$B$11:M95,6)</f>
        <v>1</v>
      </c>
      <c r="H46" s="50">
        <f>VLOOKUP($B46,[37]TrtCodes!$B$11:N95,7)</f>
        <v>2</v>
      </c>
      <c r="I46" s="50">
        <f>[37]FormattedData!B52</f>
        <v>1</v>
      </c>
      <c r="J46" s="48">
        <f>[37]FormattedData!C52</f>
        <v>13.403</v>
      </c>
      <c r="K46" s="47">
        <f>$J$3+[37]FormattedData!D52*$J$4+$M$4*$J$5+[37]FormattedData!D52^2*$J$6+$M$5*$J$7</f>
        <v>30.326615811271576</v>
      </c>
      <c r="L46" s="47">
        <f>$J$3+[37]FormattedData!E52*$J$4+$M$4*$J$5+[37]FormattedData!E52^2*$J$6+$M$5*$J$7</f>
        <v>30.229463838483468</v>
      </c>
      <c r="M46" s="47">
        <f>$J$3+[37]FormattedData!F52*$J$4+$M$4*$J$5+[37]FormattedData!F52^2*$J$6+$M$5*$J$7</f>
        <v>29.937754308891581</v>
      </c>
      <c r="N46" s="47">
        <f>$J$3+[37]FormattedData!G52*$J$4+$M$4*$J$5+[37]FormattedData!G52^2*$J$6+$M$5*$J$7</f>
        <v>30.326615811271576</v>
      </c>
      <c r="O46" s="47">
        <f>$J$3+[37]FormattedData!H52*$J$4+$M$4*$J$5+[37]FormattedData!H52^2*$J$6+$M$5*$J$7</f>
        <v>30.035033087293474</v>
      </c>
      <c r="P46" s="47">
        <f>$J$3+[37]FormattedData!I52*$J$4+$M$4*$J$5+[37]FormattedData!I52^2*$J$6+$M$5*$J$7</f>
        <v>30.132269597157439</v>
      </c>
      <c r="Q46" s="47">
        <f>$J$3+[37]FormattedData!J52*$J$4+$M$4*$J$5+[37]FormattedData!J52^2*$J$6+$M$5*$J$7</f>
        <v>30.229463838483468</v>
      </c>
      <c r="R46" s="47">
        <f>$J$3+[37]FormattedData!K52*$J$4+$M$4*$J$5+[37]FormattedData!K52^2*$J$6+$M$5*$J$7</f>
        <v>30.423725515521745</v>
      </c>
      <c r="S46" s="47">
        <f>$J$3+[37]FormattedData!L52*$J$4+$M$4*$J$5+[37]FormattedData!L52^2*$J$6+$M$5*$J$7</f>
        <v>30.423725515521745</v>
      </c>
      <c r="T46" s="47">
        <f>$J$3+[37]FormattedData!M52*$J$4+$M$4*$J$5+[37]FormattedData!M52^2*$J$6+$M$5*$J$7</f>
        <v>30.229463838483468</v>
      </c>
      <c r="U46" s="47">
        <f>$J$3+[37]FormattedData!N52*$J$4+$M$4*$J$5+[37]FormattedData!N52^2*$J$6+$M$5*$J$7</f>
        <v>30.423725515521745</v>
      </c>
      <c r="V46" s="47">
        <f>$J$3+[37]FormattedData!O52*$J$4+$M$4*$J$5+[37]FormattedData!O52^2*$J$6+$M$5*$J$7</f>
        <v>30.520792951233982</v>
      </c>
      <c r="W46" s="49">
        <f>AVERAGE(K46:V46)</f>
        <v>30.269887469094609</v>
      </c>
      <c r="X46" s="48">
        <f>STDEV(K46:V46)/SQRT(COUNT(K46:V46))</f>
        <v>4.9977124262078558E-2</v>
      </c>
      <c r="Y46" s="47">
        <f>MIN(K46:V46)</f>
        <v>29.937754308891581</v>
      </c>
      <c r="Z46" s="46">
        <f>QUARTILE(K46:V46,1)</f>
        <v>30.205165278151959</v>
      </c>
      <c r="AA46" s="47">
        <f>MEDIAN(K46:V46)</f>
        <v>30.278039824877524</v>
      </c>
      <c r="AB46" s="46">
        <f>QUARTILE(K46:V46,3)</f>
        <v>30.423725515521745</v>
      </c>
      <c r="AC46" s="46">
        <f>MAX(K46:V46)</f>
        <v>30.520792951233982</v>
      </c>
      <c r="AD46" s="46">
        <f>SKEW(K46:V46)</f>
        <v>-0.53218374368029397</v>
      </c>
      <c r="AE46" s="46">
        <f>KURT(K46:V46)</f>
        <v>-0.30740081343008763</v>
      </c>
    </row>
    <row r="47" spans="2:31" x14ac:dyDescent="0.2">
      <c r="B47" s="34">
        <f>[37]FormattedData!A50</f>
        <v>906</v>
      </c>
      <c r="C47" s="34" t="str">
        <f>VLOOKUP($B47,[37]TrtCodes!$B$11:I93,2)</f>
        <v>Late</v>
      </c>
      <c r="D47" s="34">
        <f>VLOOKUP($B47,[37]TrtCodes!$B$11:J93,3)</f>
        <v>22</v>
      </c>
      <c r="E47" s="34">
        <f>VLOOKUP($B47,[37]TrtCodes!$B$11:K93,4)</f>
        <v>4</v>
      </c>
      <c r="F47" s="34">
        <f>VLOOKUP($B47,[37]TrtCodes!$B$11:L93,5)</f>
        <v>2</v>
      </c>
      <c r="G47" s="34">
        <f>VLOOKUP($B47,[37]TrtCodes!$B$11:M93,6)</f>
        <v>2</v>
      </c>
      <c r="H47" s="34">
        <f>VLOOKUP($B47,[37]TrtCodes!$B$11:N93,7)</f>
        <v>2</v>
      </c>
      <c r="I47" s="34">
        <f>[37]FormattedData!B50</f>
        <v>1</v>
      </c>
      <c r="J47" s="37">
        <f>[37]FormattedData!C50</f>
        <v>13.387</v>
      </c>
      <c r="K47" s="39">
        <f>$J$3+[37]FormattedData!D50*$J$4+$M$4*$J$5+[37]FormattedData!D50^2*$J$6+$M$5*$J$7</f>
        <v>33.508918263499574</v>
      </c>
      <c r="L47" s="39">
        <f>$J$3+[37]FormattedData!E50*$J$4+$M$4*$J$5+[37]FormattedData!E50^2*$J$6+$M$5*$J$7</f>
        <v>33.413161152463204</v>
      </c>
      <c r="M47" s="39">
        <f>$J$3+[37]FormattedData!F50*$J$4+$M$4*$J$5+[37]FormattedData!F50^2*$J$6+$M$5*$J$7</f>
        <v>30.423725515521745</v>
      </c>
      <c r="N47" s="39">
        <f>$J$3+[37]FormattedData!G50*$J$4+$M$4*$J$5+[37]FormattedData!G50^2*$J$6+$M$5*$J$7</f>
        <v>33.029710022938389</v>
      </c>
      <c r="O47" s="39">
        <f>$J$3+[37]FormattedData!H50*$J$4+$M$4*$J$5+[37]FormattedData!H50^2*$J$6+$M$5*$J$7</f>
        <v>32.357043207559634</v>
      </c>
      <c r="P47" s="39">
        <f>$J$3+[37]FormattedData!I50*$J$4+$M$4*$J$5+[37]FormattedData!I50^2*$J$6+$M$5*$J$7</f>
        <v>32.357043207559634</v>
      </c>
      <c r="Q47" s="39">
        <f>$J$3+[37]FormattedData!J50*$J$4+$M$4*$J$5+[37]FormattedData!J50^2*$J$6+$M$5*$J$7</f>
        <v>32.741677856146509</v>
      </c>
      <c r="R47" s="39">
        <f>$J$3+[37]FormattedData!K50*$J$4+$M$4*$J$5+[37]FormattedData!K50^2*$J$6+$M$5*$J$7</f>
        <v>33.508918263499574</v>
      </c>
      <c r="S47" s="39">
        <f>$J$3+[37]FormattedData!L50*$J$4+$M$4*$J$5+[37]FormattedData!L50^2*$J$6+$M$5*$J$7</f>
        <v>31.102309926210872</v>
      </c>
      <c r="T47" s="39">
        <f>$J$3+[37]FormattedData!M50*$J$4+$M$4*$J$5+[37]FormattedData!M50^2*$J$6+$M$5*$J$7</f>
        <v>32.741677856146509</v>
      </c>
      <c r="U47" s="39">
        <f>$J$3+[37]FormattedData!N50*$J$4+$M$4*$J$5+[37]FormattedData!N50^2*$J$6+$M$5*$J$7</f>
        <v>31.489142538770174</v>
      </c>
      <c r="V47" s="39">
        <f>$J$3+[37]FormattedData!O50*$J$4+$M$4*$J$5+[37]FormattedData!O50^2*$J$6+$M$5*$J$7</f>
        <v>30.520792951233982</v>
      </c>
      <c r="W47" s="38">
        <f>AVERAGE(K47:V47)</f>
        <v>32.266176730129153</v>
      </c>
      <c r="X47" s="37">
        <f>STDEV(K47:V47)/SQRT(COUNT(K47:V47))</f>
        <v>0.32398377896876268</v>
      </c>
      <c r="Y47" s="36">
        <f>MIN(K47:V47)</f>
        <v>30.423725515521745</v>
      </c>
      <c r="Z47" s="35">
        <f>QUARTILE(K47:V47,1)</f>
        <v>31.392434385630349</v>
      </c>
      <c r="AA47" s="36">
        <f>MEDIAN(K47:V47)</f>
        <v>32.549360531853068</v>
      </c>
      <c r="AB47" s="35">
        <f>QUARTILE(K47:V47,3)</f>
        <v>33.125572805319592</v>
      </c>
      <c r="AC47" s="35">
        <f>MAX(K47:V47)</f>
        <v>33.508918263499574</v>
      </c>
      <c r="AD47" s="35">
        <f>SKEW(K47:V47)</f>
        <v>-0.58711005742434463</v>
      </c>
      <c r="AE47" s="35">
        <f>KURT(K47:V47)</f>
        <v>-1.0590519839264791</v>
      </c>
    </row>
    <row r="48" spans="2:31" x14ac:dyDescent="0.2">
      <c r="B48" s="50">
        <f>[37]FormattedData!A48</f>
        <v>907</v>
      </c>
      <c r="C48" s="50" t="str">
        <f>VLOOKUP($B48,[37]TrtCodes!$B$11:I91,2)</f>
        <v>DS</v>
      </c>
      <c r="D48" s="50">
        <f>VLOOKUP($B48,[37]TrtCodes!$B$11:J91,3)</f>
        <v>31</v>
      </c>
      <c r="E48" s="50">
        <f>VLOOKUP($B48,[37]TrtCodes!$B$11:K91,4)</f>
        <v>8</v>
      </c>
      <c r="F48" s="50">
        <f>VLOOKUP($B48,[37]TrtCodes!$B$11:L91,5)</f>
        <v>0</v>
      </c>
      <c r="G48" s="50">
        <f>VLOOKUP($B48,[37]TrtCodes!$B$11:M91,6)</f>
        <v>1</v>
      </c>
      <c r="H48" s="50">
        <f>VLOOKUP($B48,[37]TrtCodes!$B$11:N91,7)</f>
        <v>2</v>
      </c>
      <c r="I48" s="50">
        <f>[37]FormattedData!B48</f>
        <v>1</v>
      </c>
      <c r="J48" s="48">
        <f>[37]FormattedData!C48</f>
        <v>13.378</v>
      </c>
      <c r="K48" s="47">
        <f>$J$3+[37]FormattedData!D48*$J$4+$M$4*$J$5+[37]FormattedData!D48^2*$J$6+$M$5*$J$7</f>
        <v>55.52480316983204</v>
      </c>
      <c r="L48" s="47">
        <f>$J$3+[37]FormattedData!E48*$J$4+$M$4*$J$5+[37]FormattedData!E48^2*$J$6+$M$5*$J$7</f>
        <v>55.52480316983204</v>
      </c>
      <c r="M48" s="47">
        <f>$J$3+[37]FormattedData!F48*$J$4+$M$4*$J$5+[37]FormattedData!F48^2*$J$6+$M$5*$J$7</f>
        <v>55.695648076856457</v>
      </c>
      <c r="N48" s="47">
        <f>$J$3+[37]FormattedData!G48*$J$4+$M$4*$J$5+[37]FormattedData!G48^2*$J$6+$M$5*$J$7</f>
        <v>55.695648076856457</v>
      </c>
      <c r="O48" s="47">
        <f>$J$3+[37]FormattedData!H48*$J$4+$M$4*$J$5+[37]FormattedData!H48^2*$J$6+$M$5*$J$7</f>
        <v>55.43931731351293</v>
      </c>
      <c r="P48" s="47">
        <f>$J$3+[37]FormattedData!I48*$J$4+$M$4*$J$5+[37]FormattedData!I48^2*$J$6+$M$5*$J$7</f>
        <v>55.52480316983204</v>
      </c>
      <c r="Q48" s="47">
        <f>$J$3+[37]FormattedData!J48*$J$4+$M$4*$J$5+[37]FormattedData!J48^2*$J$6+$M$5*$J$7</f>
        <v>55.610246757613218</v>
      </c>
      <c r="R48" s="47">
        <f>$J$3+[37]FormattedData!K48*$J$4+$M$4*$J$5+[37]FormattedData!K48^2*$J$6+$M$5*$J$7</f>
        <v>55.43931731351293</v>
      </c>
      <c r="S48" s="47">
        <f>$J$3+[37]FormattedData!L48*$J$4+$M$4*$J$5+[37]FormattedData!L48^2*$J$6+$M$5*$J$7</f>
        <v>54.496183170499293</v>
      </c>
      <c r="T48" s="47">
        <f>$J$3+[37]FormattedData!M48*$J$4+$M$4*$J$5+[37]FormattedData!M48^2*$J$6+$M$5*$J$7</f>
        <v>55.52480316983204</v>
      </c>
      <c r="U48" s="47">
        <f>$J$3+[37]FormattedData!N48*$J$4+$M$4*$J$5+[37]FormattedData!N48^2*$J$6+$M$5*$J$7</f>
        <v>55.951598423358611</v>
      </c>
      <c r="V48" s="47">
        <f>$J$3+[37]FormattedData!O48*$J$4+$M$4*$J$5+[37]FormattedData!O48^2*$J$6+$M$5*$J$7</f>
        <v>55.781007127561772</v>
      </c>
      <c r="W48" s="49">
        <f>AVERAGE(K48:V48)</f>
        <v>55.517348244924989</v>
      </c>
      <c r="X48" s="48">
        <f>STDEV(K48:V48)/SQRT(COUNT(K48:V48))</f>
        <v>0.10245024967871719</v>
      </c>
      <c r="Y48" s="47">
        <f>MIN(K48:V48)</f>
        <v>54.496183170499293</v>
      </c>
      <c r="Z48" s="46">
        <f>QUARTILE(K48:V48,1)</f>
        <v>55.503431705752263</v>
      </c>
      <c r="AA48" s="47">
        <f>MEDIAN(K48:V48)</f>
        <v>55.52480316983204</v>
      </c>
      <c r="AB48" s="46">
        <f>QUARTILE(K48:V48,3)</f>
        <v>55.695648076856457</v>
      </c>
      <c r="AC48" s="46">
        <f>MAX(K48:V48)</f>
        <v>55.951598423358611</v>
      </c>
      <c r="AD48" s="46">
        <f>SKEW(K48:V48)</f>
        <v>-2.3268697624687729</v>
      </c>
      <c r="AE48" s="46">
        <f>KURT(K48:V48)</f>
        <v>7.1902998933492981</v>
      </c>
    </row>
    <row r="49" spans="2:31" ht="13.5" thickBot="1" x14ac:dyDescent="0.25">
      <c r="B49" s="45">
        <f>[37]FormattedData!A46</f>
        <v>908</v>
      </c>
      <c r="C49" s="45" t="str">
        <f>VLOOKUP($B49,[37]TrtCodes!$B$11:I89,2)</f>
        <v>Early</v>
      </c>
      <c r="D49" s="45">
        <f>VLOOKUP($B49,[37]TrtCodes!$B$11:J89,3)</f>
        <v>21</v>
      </c>
      <c r="E49" s="45">
        <f>VLOOKUP($B49,[37]TrtCodes!$B$11:K89,4)</f>
        <v>3</v>
      </c>
      <c r="F49" s="45">
        <f>VLOOKUP($B49,[37]TrtCodes!$B$11:L89,5)</f>
        <v>2</v>
      </c>
      <c r="G49" s="45">
        <f>VLOOKUP($B49,[37]TrtCodes!$B$11:M89,6)</f>
        <v>2</v>
      </c>
      <c r="H49" s="45">
        <f>VLOOKUP($B49,[37]TrtCodes!$B$11:N89,7)</f>
        <v>2</v>
      </c>
      <c r="I49" s="45">
        <f>[37]FormattedData!B46</f>
        <v>1</v>
      </c>
      <c r="J49" s="42">
        <f>[37]FormattedData!C46</f>
        <v>13.361000000000001</v>
      </c>
      <c r="K49" s="44">
        <f>$J$3+[37]FormattedData!D46*$J$4+$M$4*$J$5+[37]FormattedData!D46^2*$J$6+$M$5*$J$7</f>
        <v>32.357043207559634</v>
      </c>
      <c r="L49" s="44">
        <f>$J$3+[37]FormattedData!E46*$J$4+$M$4*$J$5+[37]FormattedData!E46^2*$J$6+$M$5*$J$7</f>
        <v>32.837730846948403</v>
      </c>
      <c r="M49" s="44">
        <f>$J$3+[37]FormattedData!F46*$J$4+$M$4*$J$5+[37]FormattedData!F46^2*$J$6+$M$5*$J$7</f>
        <v>29.840433261951759</v>
      </c>
      <c r="N49" s="44">
        <f>$J$3+[37]FormattedData!G46*$J$4+$M$4*$J$5+[37]FormattedData!G46^2*$J$6+$M$5*$J$7</f>
        <v>32.645582596806683</v>
      </c>
      <c r="O49" s="44">
        <f>$J$3+[37]FormattedData!H46*$J$4+$M$4*$J$5+[37]FormattedData!H46^2*$J$6+$M$5*$J$7</f>
        <v>31.87529885472258</v>
      </c>
      <c r="P49" s="44">
        <f>$J$3+[37]FormattedData!I46*$J$4+$M$4*$J$5+[37]FormattedData!I46^2*$J$6+$M$5*$J$7</f>
        <v>32.645582596806683</v>
      </c>
      <c r="Q49" s="44">
        <f>$J$3+[37]FormattedData!J46*$J$4+$M$4*$J$5+[37]FormattedData!J46^2*$J$6+$M$5*$J$7</f>
        <v>30.908640008703632</v>
      </c>
      <c r="R49" s="44">
        <f>$J$3+[37]FormattedData!K46*$J$4+$M$4*$J$5+[37]FormattedData!K46^2*$J$6+$M$5*$J$7</f>
        <v>32.837730846948403</v>
      </c>
      <c r="S49" s="44">
        <f>$J$3+[37]FormattedData!L46*$J$4+$M$4*$J$5+[37]FormattedData!L46^2*$J$6+$M$5*$J$7</f>
        <v>31.58574502056517</v>
      </c>
      <c r="T49" s="44">
        <f>$J$3+[37]FormattedData!M46*$J$4+$M$4*$J$5+[37]FormattedData!M46^2*$J$6+$M$5*$J$7</f>
        <v>32.164472272038594</v>
      </c>
      <c r="U49" s="44">
        <f>$J$3+[37]FormattedData!N46*$J$4+$M$4*$J$5+[37]FormattedData!N46^2*$J$6+$M$5*$J$7</f>
        <v>31.87529885472258</v>
      </c>
      <c r="V49" s="44">
        <f>$J$3+[37]FormattedData!O46*$J$4+$M$4*$J$5+[37]FormattedData!O46^2*$J$6+$M$5*$J$7</f>
        <v>31.005496101726212</v>
      </c>
      <c r="W49" s="43">
        <f>AVERAGE(K49:V49)</f>
        <v>31.881587872458365</v>
      </c>
      <c r="X49" s="42">
        <f>STDEV(K49:V49)/SQRT(COUNT(K49:V49))</f>
        <v>0.26500363904056429</v>
      </c>
      <c r="Y49" s="41">
        <f>MIN(K49:V49)</f>
        <v>29.840433261951759</v>
      </c>
      <c r="Z49" s="40">
        <f>QUARTILE(K49:V49,1)</f>
        <v>31.44068279085543</v>
      </c>
      <c r="AA49" s="41">
        <f>MEDIAN(K49:V49)</f>
        <v>32.019885563380583</v>
      </c>
      <c r="AB49" s="40">
        <f>QUARTILE(K49:V49,3)</f>
        <v>32.645582596806683</v>
      </c>
      <c r="AC49" s="40">
        <f>MAX(K49:V49)</f>
        <v>32.837730846948403</v>
      </c>
      <c r="AD49" s="40">
        <f>SKEW(K49:V49)</f>
        <v>-1.0369039042208101</v>
      </c>
      <c r="AE49" s="40">
        <f>KURT(K49:V49)</f>
        <v>0.68417916482951568</v>
      </c>
    </row>
    <row r="50" spans="2:31" ht="13.5" thickTop="1" x14ac:dyDescent="0.2">
      <c r="B50" s="34">
        <f>[37]FormattedData!A29</f>
        <v>101</v>
      </c>
      <c r="C50" s="34" t="str">
        <f>VLOOKUP($B50,[37]TrtCodes!$B$11:I72,2)</f>
        <v>FSH</v>
      </c>
      <c r="D50" s="34">
        <f>VLOOKUP($B50,[37]TrtCodes!$B$11:J72,3)</f>
        <v>1</v>
      </c>
      <c r="E50" s="34">
        <f>VLOOKUP($B50,[37]TrtCodes!$B$11:K72,4)</f>
        <v>1</v>
      </c>
      <c r="F50" s="34">
        <f>VLOOKUP($B50,[37]TrtCodes!$B$11:L72,5)</f>
        <v>1</v>
      </c>
      <c r="G50" s="34">
        <f>VLOOKUP($B50,[37]TrtCodes!$B$11:M72,6)</f>
        <v>2</v>
      </c>
      <c r="H50" s="34">
        <f>VLOOKUP($B50,[37]TrtCodes!$B$11:N72,7)</f>
        <v>1</v>
      </c>
      <c r="I50" s="34">
        <f>[37]FormattedData!B29</f>
        <v>2</v>
      </c>
      <c r="J50" s="37">
        <f>[37]FormattedData!C29</f>
        <v>13.204000000000001</v>
      </c>
      <c r="K50" s="39">
        <f>$J$3+[37]FormattedData!D29*$J$4+$M$4*$J$5+[37]FormattedData!D29^2*$J$6+$M$5*$J$7</f>
        <v>30.423725515521745</v>
      </c>
      <c r="L50" s="39">
        <f>$J$3+[37]FormattedData!E29*$J$4+$M$4*$J$5+[37]FormattedData!E29^2*$J$6+$M$5*$J$7</f>
        <v>30.229463838483468</v>
      </c>
      <c r="M50" s="39">
        <f>$J$3+[37]FormattedData!F29*$J$4+$M$4*$J$5+[37]FormattedData!F29^2*$J$6+$M$5*$J$7</f>
        <v>29.743069946473994</v>
      </c>
      <c r="N50" s="39">
        <f>$J$3+[37]FormattedData!G29*$J$4+$M$4*$J$5+[37]FormattedData!G29^2*$J$6+$M$5*$J$7</f>
        <v>29.743069946473994</v>
      </c>
      <c r="O50" s="39">
        <f>$J$3+[37]FormattedData!H29*$J$4+$M$4*$J$5+[37]FormattedData!H29^2*$J$6+$M$5*$J$7</f>
        <v>30.229463838483468</v>
      </c>
      <c r="P50" s="39">
        <f>$J$3+[37]FormattedData!I29*$J$4+$M$4*$J$5+[37]FormattedData!I29^2*$J$6+$M$5*$J$7</f>
        <v>28.767112022110204</v>
      </c>
      <c r="Q50" s="39">
        <f>$J$3+[37]FormattedData!J29*$J$4+$M$4*$J$5+[37]FormattedData!J29^2*$J$6+$M$5*$J$7</f>
        <v>29.645664362458309</v>
      </c>
      <c r="R50" s="39">
        <f>$J$3+[37]FormattedData!K29*$J$4+$M$4*$J$5+[37]FormattedData!K29^2*$J$6+$M$5*$J$7</f>
        <v>29.743069946473994</v>
      </c>
      <c r="S50" s="39">
        <f>$J$3+[37]FormattedData!L29*$J$4+$M$4*$J$5+[37]FormattedData!L29^2*$J$6+$M$5*$J$7</f>
        <v>29.255619341016239</v>
      </c>
      <c r="T50" s="39">
        <f>$J$3+[37]FormattedData!M29*$J$4+$M$4*$J$5+[37]FormattedData!M29^2*$J$6+$M$5*$J$7</f>
        <v>30.035033087293474</v>
      </c>
      <c r="U50" s="39">
        <f>$J$3+[37]FormattedData!N29*$J$4+$M$4*$J$5+[37]FormattedData!N29^2*$J$6+$M$5*$J$7</f>
        <v>28.962641755286413</v>
      </c>
      <c r="V50" s="39">
        <f>$J$3+[37]FormattedData!O29*$J$4+$M$4*$J$5+[37]FormattedData!O29^2*$J$6+$M$5*$J$7</f>
        <v>30.714801017044671</v>
      </c>
      <c r="W50" s="38">
        <f>AVERAGE(K50:V50)</f>
        <v>29.791061218093336</v>
      </c>
      <c r="X50" s="37">
        <f>STDEV(K50:V50)/SQRT(COUNT(K50:V50))</f>
        <v>0.16848194345346909</v>
      </c>
      <c r="Y50" s="36">
        <f>MIN(K50:V50)</f>
        <v>28.767112022110204</v>
      </c>
      <c r="Z50" s="35">
        <f>QUARTILE(K50:V50,1)</f>
        <v>29.548153107097789</v>
      </c>
      <c r="AA50" s="36">
        <f>MEDIAN(K50:V50)</f>
        <v>29.743069946473994</v>
      </c>
      <c r="AB50" s="35">
        <f>QUARTILE(K50:V50,3)</f>
        <v>30.229463838483468</v>
      </c>
      <c r="AC50" s="35">
        <f>MAX(K50:V50)</f>
        <v>30.714801017044671</v>
      </c>
      <c r="AD50" s="35">
        <f>SKEW(K50:V50)</f>
        <v>-0.31525902322458838</v>
      </c>
      <c r="AE50" s="35">
        <f>KURT(K50:V50)</f>
        <v>-0.4770580715495254</v>
      </c>
    </row>
    <row r="51" spans="2:31" x14ac:dyDescent="0.2">
      <c r="B51" s="34">
        <f>[37]FormattedData!A27</f>
        <v>102</v>
      </c>
      <c r="C51" s="34" t="str">
        <f>VLOOKUP($B51,[37]TrtCodes!$B$11:I70,2)</f>
        <v>FTL</v>
      </c>
      <c r="D51" s="34">
        <f>VLOOKUP($B51,[37]TrtCodes!$B$11:J70,3)</f>
        <v>4</v>
      </c>
      <c r="E51" s="34">
        <f>VLOOKUP($B51,[37]TrtCodes!$B$11:K70,4)</f>
        <v>1</v>
      </c>
      <c r="F51" s="34">
        <f>VLOOKUP($B51,[37]TrtCodes!$B$11:L70,5)</f>
        <v>2</v>
      </c>
      <c r="G51" s="34">
        <f>VLOOKUP($B51,[37]TrtCodes!$B$11:M70,6)</f>
        <v>1</v>
      </c>
      <c r="H51" s="34">
        <f>VLOOKUP($B51,[37]TrtCodes!$B$11:N70,7)</f>
        <v>1</v>
      </c>
      <c r="I51" s="34">
        <f>[37]FormattedData!B27</f>
        <v>2</v>
      </c>
      <c r="J51" s="37">
        <f>[37]FormattedData!C27</f>
        <v>13.188000000000001</v>
      </c>
      <c r="K51" s="39">
        <f>$J$3+[37]FormattedData!D27*$J$4+$M$4*$J$5+[37]FormattedData!D27^2*$J$6+$M$5*$J$7</f>
        <v>27.88513593018968</v>
      </c>
      <c r="L51" s="39">
        <f>$J$3+[37]FormattedData!E27*$J$4+$M$4*$J$5+[37]FormattedData!E27^2*$J$6+$M$5*$J$7</f>
        <v>28.669283752715202</v>
      </c>
      <c r="M51" s="39">
        <f>$J$3+[37]FormattedData!F27*$J$4+$M$4*$J$5+[37]FormattedData!F27^2*$J$6+$M$5*$J$7</f>
        <v>28.277547989755888</v>
      </c>
      <c r="N51" s="39">
        <f>$J$3+[37]FormattedData!G27*$J$4+$M$4*$J$5+[37]FormattedData!G27^2*$J$6+$M$5*$J$7</f>
        <v>29.645664362458309</v>
      </c>
      <c r="O51" s="39">
        <f>$J$3+[37]FormattedData!H27*$J$4+$M$4*$J$5+[37]FormattedData!H27^2*$J$6+$M$5*$J$7</f>
        <v>29.158002414310896</v>
      </c>
      <c r="P51" s="39">
        <f>$J$3+[37]FormattedData!I27*$J$4+$M$4*$J$5+[37]FormattedData!I27^2*$J$6+$M$5*$J$7</f>
        <v>28.473500408311409</v>
      </c>
      <c r="Q51" s="39">
        <f>$J$3+[37]FormattedData!J27*$J$4+$M$4*$J$5+[37]FormattedData!J27^2*$J$6+$M$5*$J$7</f>
        <v>30.520792951233982</v>
      </c>
      <c r="R51" s="39">
        <f>$J$3+[37]FormattedData!K27*$J$4+$M$4*$J$5+[37]FormattedData!K27^2*$J$6+$M$5*$J$7</f>
        <v>28.864898022967274</v>
      </c>
      <c r="S51" s="39">
        <f>$J$3+[37]FormattedData!L27*$J$4+$M$4*$J$5+[37]FormattedData!L27^2*$J$6+$M$5*$J$7</f>
        <v>28.571413214782272</v>
      </c>
      <c r="T51" s="39">
        <f>$J$3+[37]FormattedData!M27*$J$4+$M$4*$J$5+[37]FormattedData!M27^2*$J$6+$M$5*$J$7</f>
        <v>29.158002414310896</v>
      </c>
      <c r="U51" s="39">
        <f>$J$3+[37]FormattedData!N27*$J$4+$M$4*$J$5+[37]FormattedData!N27^2*$J$6+$M$5*$J$7</f>
        <v>30.132269597157439</v>
      </c>
      <c r="V51" s="39">
        <f>$J$3+[37]FormattedData!O27*$J$4+$M$4*$J$5+[37]FormattedData!O27^2*$J$6+$M$5*$J$7</f>
        <v>28.571413214782272</v>
      </c>
      <c r="W51" s="38">
        <f>AVERAGE(K51:V51)</f>
        <v>28.993993689414626</v>
      </c>
      <c r="X51" s="37">
        <f>STDEV(K51:V51)/SQRT(COUNT(K51:V51))</f>
        <v>0.2235777336419742</v>
      </c>
      <c r="Y51" s="36">
        <f>MIN(K51:V51)</f>
        <v>27.88513593018968</v>
      </c>
      <c r="Z51" s="35">
        <f>QUARTILE(K51:V51,1)</f>
        <v>28.546935013164557</v>
      </c>
      <c r="AA51" s="36">
        <f>MEDIAN(K51:V51)</f>
        <v>28.767090887841238</v>
      </c>
      <c r="AB51" s="35">
        <f>QUARTILE(K51:V51,3)</f>
        <v>29.279917901347751</v>
      </c>
      <c r="AC51" s="35">
        <f>MAX(K51:V51)</f>
        <v>30.520792951233982</v>
      </c>
      <c r="AD51" s="35">
        <f>SKEW(K51:V51)</f>
        <v>0.76552218782560855</v>
      </c>
      <c r="AE51" s="35">
        <f>KURT(K51:V51)</f>
        <v>3.8129748754576198E-3</v>
      </c>
    </row>
    <row r="52" spans="2:31" x14ac:dyDescent="0.2">
      <c r="B52" s="34">
        <f>[37]FormattedData!A25</f>
        <v>103</v>
      </c>
      <c r="C52" s="34" t="str">
        <f>VLOOKUP($B52,[37]TrtCodes!$B$11:I68,2)</f>
        <v>FDH</v>
      </c>
      <c r="D52" s="34">
        <f>VLOOKUP($B52,[37]TrtCodes!$B$11:J68,3)</f>
        <v>5</v>
      </c>
      <c r="E52" s="34">
        <f>VLOOKUP($B52,[37]TrtCodes!$B$11:K68,4)</f>
        <v>1</v>
      </c>
      <c r="F52" s="34">
        <f>VLOOKUP($B52,[37]TrtCodes!$B$11:L68,5)</f>
        <v>3</v>
      </c>
      <c r="G52" s="34">
        <f>VLOOKUP($B52,[37]TrtCodes!$B$11:M68,6)</f>
        <v>2</v>
      </c>
      <c r="H52" s="34">
        <f>VLOOKUP($B52,[37]TrtCodes!$B$11:N68,7)</f>
        <v>1</v>
      </c>
      <c r="I52" s="34">
        <f>[37]FormattedData!B25</f>
        <v>2</v>
      </c>
      <c r="J52" s="37">
        <f>[37]FormattedData!C25</f>
        <v>13.172000000000001</v>
      </c>
      <c r="K52" s="39">
        <f>$J$3+[37]FormattedData!D25*$J$4+$M$4*$J$5+[37]FormattedData!D25^2*$J$6+$M$5*$J$7</f>
        <v>29.060343219067619</v>
      </c>
      <c r="L52" s="39">
        <f>$J$3+[37]FormattedData!E25*$J$4+$M$4*$J$5+[37]FormattedData!E25^2*$J$6+$M$5*$J$7</f>
        <v>29.060343219067619</v>
      </c>
      <c r="M52" s="39">
        <f>$J$3+[37]FormattedData!F25*$J$4+$M$4*$J$5+[37]FormattedData!F25^2*$J$6+$M$5*$J$7</f>
        <v>30.423725515521745</v>
      </c>
      <c r="N52" s="39">
        <f>$J$3+[37]FormattedData!G25*$J$4+$M$4*$J$5+[37]FormattedData!G25^2*$J$6+$M$5*$J$7</f>
        <v>28.962641755286413</v>
      </c>
      <c r="O52" s="39">
        <f>$J$3+[37]FormattedData!H25*$J$4+$M$4*$J$5+[37]FormattedData!H25^2*$J$6+$M$5*$J$7</f>
        <v>28.767112022110204</v>
      </c>
      <c r="P52" s="39">
        <f>$J$3+[37]FormattedData!I25*$J$4+$M$4*$J$5+[37]FormattedData!I25^2*$J$6+$M$5*$J$7</f>
        <v>29.158002414310896</v>
      </c>
      <c r="Q52" s="39">
        <f>$J$3+[37]FormattedData!J25*$J$4+$M$4*$J$5+[37]FormattedData!J25^2*$J$6+$M$5*$J$7</f>
        <v>29.645664362458309</v>
      </c>
      <c r="R52" s="39">
        <f>$J$3+[37]FormattedData!K25*$J$4+$M$4*$J$5+[37]FormattedData!K25^2*$J$6+$M$5*$J$7</f>
        <v>29.645664362458309</v>
      </c>
      <c r="S52" s="39">
        <f>$J$3+[37]FormattedData!L25*$J$4+$M$4*$J$5+[37]FormattedData!L25^2*$J$6+$M$5*$J$7</f>
        <v>29.158002414310896</v>
      </c>
      <c r="T52" s="39">
        <f>$J$3+[37]FormattedData!M25*$J$4+$M$4*$J$5+[37]FormattedData!M25^2*$J$6+$M$5*$J$7</f>
        <v>28.767112022110204</v>
      </c>
      <c r="U52" s="39">
        <f>$J$3+[37]FormattedData!N25*$J$4+$M$4*$J$5+[37]FormattedData!N25^2*$J$6+$M$5*$J$7</f>
        <v>29.060343219067619</v>
      </c>
      <c r="V52" s="39">
        <f>$J$3+[37]FormattedData!O25*$J$4+$M$4*$J$5+[37]FormattedData!O25^2*$J$6+$M$5*$J$7</f>
        <v>29.743069946473994</v>
      </c>
      <c r="W52" s="38">
        <f>AVERAGE(K52:V52)</f>
        <v>29.287668706020323</v>
      </c>
      <c r="X52" s="37">
        <f>STDEV(K52:V52)/SQRT(COUNT(K52:V52))</f>
        <v>0.1400918397569102</v>
      </c>
      <c r="Y52" s="36">
        <f>MIN(K52:V52)</f>
        <v>28.767112022110204</v>
      </c>
      <c r="Z52" s="35">
        <f>QUARTILE(K52:V52,1)</f>
        <v>29.035917853122317</v>
      </c>
      <c r="AA52" s="36">
        <f>MEDIAN(K52:V52)</f>
        <v>29.109172816689259</v>
      </c>
      <c r="AB52" s="35">
        <f>QUARTILE(K52:V52,3)</f>
        <v>29.645664362458309</v>
      </c>
      <c r="AC52" s="35">
        <f>MAX(K52:V52)</f>
        <v>30.423725515521745</v>
      </c>
      <c r="AD52" s="35">
        <f>SKEW(K52:V52)</f>
        <v>1.2373932967874792</v>
      </c>
      <c r="AE52" s="35">
        <f>KURT(K52:V52)</f>
        <v>1.3878343860275901</v>
      </c>
    </row>
    <row r="53" spans="2:31" x14ac:dyDescent="0.2">
      <c r="B53" s="34">
        <f>[37]FormattedData!A23</f>
        <v>104</v>
      </c>
      <c r="C53" s="34" t="str">
        <f>VLOOKUP($B53,[37]TrtCodes!$B$11:I66,2)</f>
        <v>NTL</v>
      </c>
      <c r="D53" s="34">
        <f>VLOOKUP($B53,[37]TrtCodes!$B$11:J66,3)</f>
        <v>10</v>
      </c>
      <c r="E53" s="34">
        <f>VLOOKUP($B53,[37]TrtCodes!$B$11:K66,4)</f>
        <v>2</v>
      </c>
      <c r="F53" s="34">
        <f>VLOOKUP($B53,[37]TrtCodes!$B$11:L66,5)</f>
        <v>2</v>
      </c>
      <c r="G53" s="34">
        <f>VLOOKUP($B53,[37]TrtCodes!$B$11:M66,6)</f>
        <v>1</v>
      </c>
      <c r="H53" s="34">
        <f>VLOOKUP($B53,[37]TrtCodes!$B$11:N66,7)</f>
        <v>1</v>
      </c>
      <c r="I53" s="34">
        <f>[37]FormattedData!B23</f>
        <v>2</v>
      </c>
      <c r="J53" s="37">
        <f>[37]FormattedData!C23</f>
        <v>13.156000000000001</v>
      </c>
      <c r="K53" s="39">
        <f>$J$3+[37]FormattedData!D23*$J$4+$M$4*$J$5+[37]FormattedData!D23^2*$J$6+$M$5*$J$7</f>
        <v>31.87529885472258</v>
      </c>
      <c r="L53" s="39">
        <f>$J$3+[37]FormattedData!E23*$J$4+$M$4*$J$5+[37]FormattedData!E23^2*$J$6+$M$5*$J$7</f>
        <v>32.453265272513249</v>
      </c>
      <c r="M53" s="39">
        <f>$J$3+[37]FormattedData!F23*$J$4+$M$4*$J$5+[37]FormattedData!F23^2*$J$6+$M$5*$J$7</f>
        <v>32.741677856146509</v>
      </c>
      <c r="N53" s="39">
        <f>$J$3+[37]FormattedData!G23*$J$4+$M$4*$J$5+[37]FormattedData!G23^2*$J$6+$M$5*$J$7</f>
        <v>31.87529885472258</v>
      </c>
      <c r="O53" s="39">
        <f>$J$3+[37]FormattedData!H23*$J$4+$M$4*$J$5+[37]FormattedData!H23^2*$J$6+$M$5*$J$7</f>
        <v>36.36197672445283</v>
      </c>
      <c r="P53" s="39">
        <f>$J$3+[37]FormattedData!I23*$J$4+$M$4*$J$5+[37]FormattedData!I23^2*$J$6+$M$5*$J$7</f>
        <v>32.645582596806683</v>
      </c>
      <c r="Q53" s="39">
        <f>$J$3+[37]FormattedData!J23*$J$4+$M$4*$J$5+[37]FormattedData!J23^2*$J$6+$M$5*$J$7</f>
        <v>31.971732262365851</v>
      </c>
      <c r="R53" s="39">
        <f>$J$3+[37]FormattedData!K23*$J$4+$M$4*$J$5+[37]FormattedData!K23^2*$J$6+$M$5*$J$7</f>
        <v>30.714801017044671</v>
      </c>
      <c r="S53" s="39">
        <f>$J$3+[37]FormattedData!L23*$J$4+$M$4*$J$5+[37]FormattedData!L23^2*$J$6+$M$5*$J$7</f>
        <v>30.908640008703632</v>
      </c>
      <c r="T53" s="39">
        <f>$J$3+[37]FormattedData!M23*$J$4+$M$4*$J$5+[37]FormattedData!M23^2*$J$6+$M$5*$J$7</f>
        <v>29.937754308891581</v>
      </c>
      <c r="U53" s="39">
        <f>$J$3+[37]FormattedData!N23*$J$4+$M$4*$J$5+[37]FormattedData!N23^2*$J$6+$M$5*$J$7</f>
        <v>33.22152012477666</v>
      </c>
      <c r="V53" s="39">
        <f>$J$3+[37]FormattedData!O23*$J$4+$M$4*$J$5+[37]FormattedData!O23^2*$J$6+$M$5*$J$7</f>
        <v>30.132269597157439</v>
      </c>
      <c r="W53" s="38">
        <f>AVERAGE(K53:V53)</f>
        <v>32.069984789858687</v>
      </c>
      <c r="X53" s="37">
        <f>STDEV(K53:V53)/SQRT(COUNT(K53:V53))</f>
        <v>0.49427378063815003</v>
      </c>
      <c r="Y53" s="36">
        <f>MIN(K53:V53)</f>
        <v>29.937754308891581</v>
      </c>
      <c r="Z53" s="35">
        <f>QUARTILE(K53:V53,1)</f>
        <v>30.860180260788891</v>
      </c>
      <c r="AA53" s="36">
        <f>MEDIAN(K53:V53)</f>
        <v>31.923515558544217</v>
      </c>
      <c r="AB53" s="35">
        <f>QUARTILE(K53:V53,3)</f>
        <v>32.669606411641638</v>
      </c>
      <c r="AC53" s="35">
        <f>MAX(K53:V53)</f>
        <v>36.36197672445283</v>
      </c>
      <c r="AD53" s="35">
        <f>SKEW(K53:V53)</f>
        <v>1.3061401087580433</v>
      </c>
      <c r="AE53" s="35">
        <f>KURT(K53:V53)</f>
        <v>2.9591786232435737</v>
      </c>
    </row>
    <row r="54" spans="2:31" x14ac:dyDescent="0.2">
      <c r="B54" s="34">
        <f>[37]FormattedData!A21</f>
        <v>105</v>
      </c>
      <c r="C54" s="34" t="str">
        <f>VLOOKUP($B54,[37]TrtCodes!$B$11:I64,2)</f>
        <v>NDL</v>
      </c>
      <c r="D54" s="34">
        <f>VLOOKUP($B54,[37]TrtCodes!$B$11:J64,3)</f>
        <v>12</v>
      </c>
      <c r="E54" s="34">
        <f>VLOOKUP($B54,[37]TrtCodes!$B$11:K64,4)</f>
        <v>2</v>
      </c>
      <c r="F54" s="34">
        <f>VLOOKUP($B54,[37]TrtCodes!$B$11:L64,5)</f>
        <v>3</v>
      </c>
      <c r="G54" s="34">
        <f>VLOOKUP($B54,[37]TrtCodes!$B$11:M64,6)</f>
        <v>1</v>
      </c>
      <c r="H54" s="34">
        <f>VLOOKUP($B54,[37]TrtCodes!$B$11:N64,7)</f>
        <v>2</v>
      </c>
      <c r="I54" s="34">
        <f>[37]FormattedData!B21</f>
        <v>2</v>
      </c>
      <c r="J54" s="37">
        <f>[37]FormattedData!C21</f>
        <v>13.14</v>
      </c>
      <c r="K54" s="39">
        <f>$J$3+[37]FormattedData!D21*$J$4+$M$4*$J$5+[37]FormattedData!D21^2*$J$6+$M$5*$J$7</f>
        <v>30.908640008703632</v>
      </c>
      <c r="L54" s="39">
        <f>$J$3+[37]FormattedData!E21*$J$4+$M$4*$J$5+[37]FormattedData!E21^2*$J$6+$M$5*$J$7</f>
        <v>30.520792951233982</v>
      </c>
      <c r="M54" s="39">
        <f>$J$3+[37]FormattedData!F21*$J$4+$M$4*$J$5+[37]FormattedData!F21^2*$J$6+$M$5*$J$7</f>
        <v>31.87529885472258</v>
      </c>
      <c r="N54" s="39">
        <f>$J$3+[37]FormattedData!G21*$J$4+$M$4*$J$5+[37]FormattedData!G21^2*$J$6+$M$5*$J$7</f>
        <v>31.58574502056517</v>
      </c>
      <c r="O54" s="39">
        <f>$J$3+[37]FormattedData!H21*$J$4+$M$4*$J$5+[37]FormattedData!H21^2*$J$6+$M$5*$J$7</f>
        <v>32.741677856146509</v>
      </c>
      <c r="P54" s="39">
        <f>$J$3+[37]FormattedData!I21*$J$4+$M$4*$J$5+[37]FormattedData!I21^2*$J$6+$M$5*$J$7</f>
        <v>32.357043207559634</v>
      </c>
      <c r="Q54" s="39">
        <f>$J$3+[37]FormattedData!J21*$J$4+$M$4*$J$5+[37]FormattedData!J21^2*$J$6+$M$5*$J$7</f>
        <v>29.840433261951759</v>
      </c>
      <c r="R54" s="39">
        <f>$J$3+[37]FormattedData!K21*$J$4+$M$4*$J$5+[37]FormattedData!K21^2*$J$6+$M$5*$J$7</f>
        <v>31.199081482157588</v>
      </c>
      <c r="S54" s="39">
        <f>$J$3+[37]FormattedData!L21*$J$4+$M$4*$J$5+[37]FormattedData!L21^2*$J$6+$M$5*$J$7</f>
        <v>31.392497788437243</v>
      </c>
      <c r="T54" s="39">
        <f>$J$3+[37]FormattedData!M21*$J$4+$M$4*$J$5+[37]FormattedData!M21^2*$J$6+$M$5*$J$7</f>
        <v>31.392497788437243</v>
      </c>
      <c r="U54" s="39">
        <f>$J$3+[37]FormattedData!N21*$J$4+$M$4*$J$5+[37]FormattedData!N21^2*$J$6+$M$5*$J$7</f>
        <v>30.035033087293474</v>
      </c>
      <c r="V54" s="39">
        <f>$J$3+[37]FormattedData!O21*$J$4+$M$4*$J$5+[37]FormattedData!O21^2*$J$6+$M$5*$J$7</f>
        <v>31.489142538770174</v>
      </c>
      <c r="W54" s="38">
        <f>AVERAGE(K54:V54)</f>
        <v>31.278156987164916</v>
      </c>
      <c r="X54" s="37">
        <f>STDEV(K54:V54)/SQRT(COUNT(K54:V54))</f>
        <v>0.24857994744234876</v>
      </c>
      <c r="Y54" s="36">
        <f>MIN(K54:V54)</f>
        <v>29.840433261951759</v>
      </c>
      <c r="Z54" s="35">
        <f>QUARTILE(K54:V54,1)</f>
        <v>30.811678244336221</v>
      </c>
      <c r="AA54" s="36">
        <f>MEDIAN(K54:V54)</f>
        <v>31.392497788437243</v>
      </c>
      <c r="AB54" s="35">
        <f>QUARTILE(K54:V54,3)</f>
        <v>31.658133479104521</v>
      </c>
      <c r="AC54" s="35">
        <f>MAX(K54:V54)</f>
        <v>32.741677856146509</v>
      </c>
      <c r="AD54" s="35">
        <f>SKEW(K54:V54)</f>
        <v>-0.1252946922933155</v>
      </c>
      <c r="AE54" s="35">
        <f>KURT(K54:V54)</f>
        <v>-0.2819896979565546</v>
      </c>
    </row>
    <row r="55" spans="2:31" x14ac:dyDescent="0.2">
      <c r="B55" s="34">
        <f>[37]FormattedData!A19</f>
        <v>106</v>
      </c>
      <c r="C55" s="34" t="str">
        <f>VLOOKUP($B55,[37]TrtCodes!$B$11:I62,2)</f>
        <v>NTH</v>
      </c>
      <c r="D55" s="34">
        <f>VLOOKUP($B55,[37]TrtCodes!$B$11:J62,3)</f>
        <v>9</v>
      </c>
      <c r="E55" s="34">
        <f>VLOOKUP($B55,[37]TrtCodes!$B$11:K62,4)</f>
        <v>2</v>
      </c>
      <c r="F55" s="34">
        <f>VLOOKUP($B55,[37]TrtCodes!$B$11:L62,5)</f>
        <v>2</v>
      </c>
      <c r="G55" s="34">
        <f>VLOOKUP($B55,[37]TrtCodes!$B$11:M62,6)</f>
        <v>2</v>
      </c>
      <c r="H55" s="34">
        <f>VLOOKUP($B55,[37]TrtCodes!$B$11:N62,7)</f>
        <v>2</v>
      </c>
      <c r="I55" s="34">
        <f>[37]FormattedData!B19</f>
        <v>2</v>
      </c>
      <c r="J55" s="37">
        <f>[37]FormattedData!C19</f>
        <v>13.122999999999999</v>
      </c>
      <c r="K55" s="39">
        <f>$J$3+[37]FormattedData!D19*$J$4+$M$4*$J$5+[37]FormattedData!D19^2*$J$6+$M$5*$J$7</f>
        <v>33.22152012477666</v>
      </c>
      <c r="L55" s="39">
        <f>$J$3+[37]FormattedData!E19*$J$4+$M$4*$J$5+[37]FormattedData!E19^2*$J$6+$M$5*$J$7</f>
        <v>31.58574502056517</v>
      </c>
      <c r="M55" s="39">
        <f>$J$3+[37]FormattedData!F19*$J$4+$M$4*$J$5+[37]FormattedData!F19^2*$J$6+$M$5*$J$7</f>
        <v>34.082573290421273</v>
      </c>
      <c r="N55" s="39">
        <f>$J$3+[37]FormattedData!G19*$J$4+$M$4*$J$5+[37]FormattedData!G19^2*$J$6+$M$5*$J$7</f>
        <v>33.22152012477666</v>
      </c>
      <c r="O55" s="39">
        <f>$J$3+[37]FormattedData!H19*$J$4+$M$4*$J$5+[37]FormattedData!H19^2*$J$6+$M$5*$J$7</f>
        <v>31.005496101726212</v>
      </c>
      <c r="P55" s="39">
        <f>$J$3+[37]FormattedData!I19*$J$4+$M$4*$J$5+[37]FormattedData!I19^2*$J$6+$M$5*$J$7</f>
        <v>32.453265272513249</v>
      </c>
      <c r="Q55" s="39">
        <f>$J$3+[37]FormattedData!J19*$J$4+$M$4*$J$5+[37]FormattedData!J19^2*$J$6+$M$5*$J$7</f>
        <v>33.029710022938389</v>
      </c>
      <c r="R55" s="39">
        <f>$J$3+[37]FormattedData!K19*$J$4+$M$4*$J$5+[37]FormattedData!K19^2*$J$6+$M$5*$J$7</f>
        <v>34.082573290421273</v>
      </c>
      <c r="S55" s="39">
        <f>$J$3+[37]FormattedData!L19*$J$4+$M$4*$J$5+[37]FormattedData!L19^2*$J$6+$M$5*$J$7</f>
        <v>33.125636208126494</v>
      </c>
      <c r="T55" s="39">
        <f>$J$3+[37]FormattedData!M19*$J$4+$M$4*$J$5+[37]FormattedData!M19^2*$J$6+$M$5*$J$7</f>
        <v>30.326615811271576</v>
      </c>
      <c r="U55" s="39">
        <f>$J$3+[37]FormattedData!N19*$J$4+$M$4*$J$5+[37]FormattedData!N19^2*$J$6+$M$5*$J$7</f>
        <v>35.130322064814479</v>
      </c>
      <c r="V55" s="39">
        <f>$J$3+[37]FormattedData!O19*$J$4+$M$4*$J$5+[37]FormattedData!O19^2*$J$6+$M$5*$J$7</f>
        <v>34.368830178620058</v>
      </c>
      <c r="W55" s="38">
        <f>AVERAGE(K55:V55)</f>
        <v>32.969483959247619</v>
      </c>
      <c r="X55" s="37">
        <f>STDEV(K55:V55)/SQRT(COUNT(K55:V55))</f>
        <v>0.41087118801479866</v>
      </c>
      <c r="Y55" s="36">
        <f>MIN(K55:V55)</f>
        <v>30.326615811271576</v>
      </c>
      <c r="Z55" s="35">
        <f>QUARTILE(K55:V55,1)</f>
        <v>32.236385209526233</v>
      </c>
      <c r="AA55" s="36">
        <f>MEDIAN(K55:V55)</f>
        <v>33.173578166451577</v>
      </c>
      <c r="AB55" s="35">
        <f>QUARTILE(K55:V55,3)</f>
        <v>34.082573290421273</v>
      </c>
      <c r="AC55" s="35">
        <f>MAX(K55:V55)</f>
        <v>35.130322064814479</v>
      </c>
      <c r="AD55" s="35">
        <f>SKEW(K55:V55)</f>
        <v>-0.49937667804190694</v>
      </c>
      <c r="AE55" s="35">
        <f>KURT(K55:V55)</f>
        <v>-0.34266439675019145</v>
      </c>
    </row>
    <row r="56" spans="2:31" x14ac:dyDescent="0.2">
      <c r="B56" s="34">
        <f>[37]FormattedData!A17</f>
        <v>107</v>
      </c>
      <c r="C56" s="34" t="str">
        <f>VLOOKUP($B56,[37]TrtCodes!$B$11:I60,2)</f>
        <v>NTL</v>
      </c>
      <c r="D56" s="34">
        <f>VLOOKUP($B56,[37]TrtCodes!$B$11:J60,3)</f>
        <v>10</v>
      </c>
      <c r="E56" s="34">
        <f>VLOOKUP($B56,[37]TrtCodes!$B$11:K60,4)</f>
        <v>2</v>
      </c>
      <c r="F56" s="34">
        <f>VLOOKUP($B56,[37]TrtCodes!$B$11:L60,5)</f>
        <v>2</v>
      </c>
      <c r="G56" s="34">
        <f>VLOOKUP($B56,[37]TrtCodes!$B$11:M60,6)</f>
        <v>1</v>
      </c>
      <c r="H56" s="34">
        <f>VLOOKUP($B56,[37]TrtCodes!$B$11:N60,7)</f>
        <v>2</v>
      </c>
      <c r="I56" s="34">
        <f>[37]FormattedData!B17</f>
        <v>2</v>
      </c>
      <c r="J56" s="37">
        <f>[37]FormattedData!C17</f>
        <v>13.106999999999999</v>
      </c>
      <c r="K56" s="39">
        <f>$J$3+[37]FormattedData!D17*$J$4+$M$4*$J$5+[37]FormattedData!D17^2*$J$6+$M$5*$J$7</f>
        <v>32.06812340147119</v>
      </c>
      <c r="L56" s="39">
        <f>$J$3+[37]FormattedData!E17*$J$4+$M$4*$J$5+[37]FormattedData!E17^2*$J$6+$M$5*$J$7</f>
        <v>33.413161152463204</v>
      </c>
      <c r="M56" s="39">
        <f>$J$3+[37]FormattedData!F17*$J$4+$M$4*$J$5+[37]FormattedData!F17^2*$J$6+$M$5*$J$7</f>
        <v>32.645582596806683</v>
      </c>
      <c r="N56" s="39">
        <f>$J$3+[37]FormattedData!G17*$J$4+$M$4*$J$5+[37]FormattedData!G17^2*$J$6+$M$5*$J$7</f>
        <v>30.520792951233982</v>
      </c>
      <c r="O56" s="39">
        <f>$J$3+[37]FormattedData!H17*$J$4+$M$4*$J$5+[37]FormattedData!H17^2*$J$6+$M$5*$J$7</f>
        <v>30.714801017044671</v>
      </c>
      <c r="P56" s="39">
        <f>$J$3+[37]FormattedData!I17*$J$4+$M$4*$J$5+[37]FormattedData!I17^2*$J$6+$M$5*$J$7</f>
        <v>31.392497788437243</v>
      </c>
      <c r="Q56" s="39">
        <f>$J$3+[37]FormattedData!J17*$J$4+$M$4*$J$5+[37]FormattedData!J17^2*$J$6+$M$5*$J$7</f>
        <v>31.778823178541373</v>
      </c>
      <c r="R56" s="39">
        <f>$J$3+[37]FormattedData!K17*$J$4+$M$4*$J$5+[37]FormattedData!K17^2*$J$6+$M$5*$J$7</f>
        <v>31.971732262365851</v>
      </c>
      <c r="S56" s="39">
        <f>$J$3+[37]FormattedData!L17*$J$4+$M$4*$J$5+[37]FormattedData!L17^2*$J$6+$M$5*$J$7</f>
        <v>33.125636208126494</v>
      </c>
      <c r="T56" s="39">
        <f>$J$3+[37]FormattedData!M17*$J$4+$M$4*$J$5+[37]FormattedData!M17^2*$J$6+$M$5*$J$7</f>
        <v>32.645582596806683</v>
      </c>
      <c r="U56" s="39">
        <f>$J$3+[37]FormattedData!N17*$J$4+$M$4*$J$5+[37]FormattedData!N17^2*$J$6+$M$5*$J$7</f>
        <v>33.22152012477666</v>
      </c>
      <c r="V56" s="39">
        <f>$J$3+[37]FormattedData!O17*$J$4+$M$4*$J$5+[37]FormattedData!O17^2*$J$6+$M$5*$J$7</f>
        <v>31.682305233822234</v>
      </c>
      <c r="W56" s="38">
        <f>AVERAGE(K56:V56)</f>
        <v>32.098379875991355</v>
      </c>
      <c r="X56" s="37">
        <f>STDEV(K56:V56)/SQRT(COUNT(K56:V56))</f>
        <v>0.27299879535889321</v>
      </c>
      <c r="Y56" s="36">
        <f>MIN(K56:V56)</f>
        <v>30.520792951233982</v>
      </c>
      <c r="Z56" s="35">
        <f>QUARTILE(K56:V56,1)</f>
        <v>31.609853372475985</v>
      </c>
      <c r="AA56" s="36">
        <f>MEDIAN(K56:V56)</f>
        <v>32.019927831918523</v>
      </c>
      <c r="AB56" s="35">
        <f>QUARTILE(K56:V56,3)</f>
        <v>32.765595999636638</v>
      </c>
      <c r="AC56" s="35">
        <f>MAX(K56:V56)</f>
        <v>33.413161152463204</v>
      </c>
      <c r="AD56" s="35">
        <f>SKEW(K56:V56)</f>
        <v>-0.24919482618889532</v>
      </c>
      <c r="AE56" s="35">
        <f>KURT(K56:V56)</f>
        <v>-0.87730015532314098</v>
      </c>
    </row>
    <row r="57" spans="2:31" x14ac:dyDescent="0.2">
      <c r="B57" s="34">
        <f>[37]FormattedData!A15</f>
        <v>108</v>
      </c>
      <c r="C57" s="34" t="str">
        <f>VLOOKUP($B57,[37]TrtCodes!$B$11:I58,2)</f>
        <v>FTH</v>
      </c>
      <c r="D57" s="34">
        <f>VLOOKUP($B57,[37]TrtCodes!$B$11:J58,3)</f>
        <v>3</v>
      </c>
      <c r="E57" s="34">
        <f>VLOOKUP($B57,[37]TrtCodes!$B$11:K58,4)</f>
        <v>1</v>
      </c>
      <c r="F57" s="34">
        <f>VLOOKUP($B57,[37]TrtCodes!$B$11:L58,5)</f>
        <v>2</v>
      </c>
      <c r="G57" s="34">
        <f>VLOOKUP($B57,[37]TrtCodes!$B$11:M58,6)</f>
        <v>2</v>
      </c>
      <c r="H57" s="34">
        <f>VLOOKUP($B57,[37]TrtCodes!$B$11:N58,7)</f>
        <v>2</v>
      </c>
      <c r="I57" s="34">
        <f>[37]FormattedData!B15</f>
        <v>2</v>
      </c>
      <c r="J57" s="37">
        <f>[37]FormattedData!C15</f>
        <v>13.090999999999999</v>
      </c>
      <c r="K57" s="39">
        <f>$J$3+[37]FormattedData!D15*$J$4+$M$4*$J$5+[37]FormattedData!D15^2*$J$6+$M$5*$J$7</f>
        <v>30.326615811271576</v>
      </c>
      <c r="L57" s="39">
        <f>$J$3+[37]FormattedData!E15*$J$4+$M$4*$J$5+[37]FormattedData!E15^2*$J$6+$M$5*$J$7</f>
        <v>31.199081482157588</v>
      </c>
      <c r="M57" s="39">
        <f>$J$3+[37]FormattedData!F15*$J$4+$M$4*$J$5+[37]FormattedData!F15^2*$J$6+$M$5*$J$7</f>
        <v>28.962641755286413</v>
      </c>
      <c r="N57" s="39">
        <f>$J$3+[37]FormattedData!G15*$J$4+$M$4*$J$5+[37]FormattedData!G15^2*$J$6+$M$5*$J$7</f>
        <v>29.548216509904684</v>
      </c>
      <c r="O57" s="39">
        <f>$J$3+[37]FormattedData!H15*$J$4+$M$4*$J$5+[37]FormattedData!H15^2*$J$6+$M$5*$J$7</f>
        <v>30.035033087293474</v>
      </c>
      <c r="P57" s="39">
        <f>$J$3+[37]FormattedData!I15*$J$4+$M$4*$J$5+[37]FormattedData!I15^2*$J$6+$M$5*$J$7</f>
        <v>29.743069946473994</v>
      </c>
      <c r="Q57" s="39">
        <f>$J$3+[37]FormattedData!J15*$J$4+$M$4*$J$5+[37]FormattedData!J15^2*$J$6+$M$5*$J$7</f>
        <v>30.617818118408294</v>
      </c>
      <c r="R57" s="39">
        <f>$J$3+[37]FormattedData!K15*$J$4+$M$4*$J$5+[37]FormattedData!K15^2*$J$6+$M$5*$J$7</f>
        <v>30.132269597157439</v>
      </c>
      <c r="S57" s="39">
        <f>$J$3+[37]FormattedData!L15*$J$4+$M$4*$J$5+[37]FormattedData!L15^2*$J$6+$M$5*$J$7</f>
        <v>31.58574502056517</v>
      </c>
      <c r="T57" s="39">
        <f>$J$3+[37]FormattedData!M15*$J$4+$M$4*$J$5+[37]FormattedData!M15^2*$J$6+$M$5*$J$7</f>
        <v>30.326615811271576</v>
      </c>
      <c r="U57" s="39">
        <f>$J$3+[37]FormattedData!N15*$J$4+$M$4*$J$5+[37]FormattedData!N15^2*$J$6+$M$5*$J$7</f>
        <v>29.937754308891581</v>
      </c>
      <c r="V57" s="39">
        <f>$J$3+[37]FormattedData!O15*$J$4+$M$4*$J$5+[37]FormattedData!O15^2*$J$6+$M$5*$J$7</f>
        <v>30.617818118408294</v>
      </c>
      <c r="W57" s="38">
        <f>AVERAGE(K57:V57)</f>
        <v>30.252723297257504</v>
      </c>
      <c r="X57" s="37">
        <f>STDEV(K57:V57)/SQRT(COUNT(K57:V57))</f>
        <v>0.20470858286091925</v>
      </c>
      <c r="Y57" s="36">
        <f>MIN(K57:V57)</f>
        <v>28.962641755286413</v>
      </c>
      <c r="Z57" s="35">
        <f>QUARTILE(K57:V57,1)</f>
        <v>29.889083218287183</v>
      </c>
      <c r="AA57" s="36">
        <f>MEDIAN(K57:V57)</f>
        <v>30.229442704214506</v>
      </c>
      <c r="AB57" s="35">
        <f>QUARTILE(K57:V57,3)</f>
        <v>30.617818118408294</v>
      </c>
      <c r="AC57" s="35">
        <f>MAX(K57:V57)</f>
        <v>31.58574502056517</v>
      </c>
      <c r="AD57" s="35">
        <f>SKEW(K57:V57)</f>
        <v>0.1963836235913361</v>
      </c>
      <c r="AE57" s="35">
        <f>KURT(K57:V57)</f>
        <v>0.38548559702782548</v>
      </c>
    </row>
    <row r="58" spans="2:31" x14ac:dyDescent="0.2">
      <c r="B58" s="34">
        <f>[37]FormattedData!A31</f>
        <v>201</v>
      </c>
      <c r="C58" s="34" t="str">
        <f>VLOOKUP($B58,[37]TrtCodes!$B$11:I74,2)</f>
        <v>NDL</v>
      </c>
      <c r="D58" s="34">
        <f>VLOOKUP($B58,[37]TrtCodes!$B$11:J74,3)</f>
        <v>12</v>
      </c>
      <c r="E58" s="34">
        <f>VLOOKUP($B58,[37]TrtCodes!$B$11:K74,4)</f>
        <v>2</v>
      </c>
      <c r="F58" s="34">
        <f>VLOOKUP($B58,[37]TrtCodes!$B$11:L74,5)</f>
        <v>3</v>
      </c>
      <c r="G58" s="34">
        <f>VLOOKUP($B58,[37]TrtCodes!$B$11:M74,6)</f>
        <v>1</v>
      </c>
      <c r="H58" s="34">
        <f>VLOOKUP($B58,[37]TrtCodes!$B$11:N74,7)</f>
        <v>1</v>
      </c>
      <c r="I58" s="34">
        <f>[37]FormattedData!B31</f>
        <v>2</v>
      </c>
      <c r="J58" s="37">
        <f>[37]FormattedData!C31</f>
        <v>13.23</v>
      </c>
      <c r="K58" s="39">
        <f>$J$3+[37]FormattedData!D31*$J$4+$M$4*$J$5+[37]FormattedData!D31^2*$J$6+$M$5*$J$7</f>
        <v>31.682305233822234</v>
      </c>
      <c r="L58" s="39">
        <f>$J$3+[37]FormattedData!E31*$J$4+$M$4*$J$5+[37]FormattedData!E31^2*$J$6+$M$5*$J$7</f>
        <v>34.368830178620058</v>
      </c>
      <c r="M58" s="39">
        <f>$J$3+[37]FormattedData!F31*$J$4+$M$4*$J$5+[37]FormattedData!F31^2*$J$6+$M$5*$J$7</f>
        <v>31.778823178541373</v>
      </c>
      <c r="N58" s="39">
        <f>$J$3+[37]FormattedData!G31*$J$4+$M$4*$J$5+[37]FormattedData!G31^2*$J$6+$M$5*$J$7</f>
        <v>30.811741647143119</v>
      </c>
      <c r="O58" s="39">
        <f>$J$3+[37]FormattedData!H31*$J$4+$M$4*$J$5+[37]FormattedData!H31^2*$J$6+$M$5*$J$7</f>
        <v>30.714801017044671</v>
      </c>
      <c r="P58" s="39">
        <f>$J$3+[37]FormattedData!I31*$J$4+$M$4*$J$5+[37]FormattedData!I31^2*$J$6+$M$5*$J$7</f>
        <v>31.102309926210872</v>
      </c>
      <c r="Q58" s="39">
        <f>$J$3+[37]FormattedData!J31*$J$4+$M$4*$J$5+[37]FormattedData!J31^2*$J$6+$M$5*$J$7</f>
        <v>31.199081482157588</v>
      </c>
      <c r="R58" s="39">
        <f>$J$3+[37]FormattedData!K31*$J$4+$M$4*$J$5+[37]FormattedData!K31^2*$J$6+$M$5*$J$7</f>
        <v>31.489142538770174</v>
      </c>
      <c r="S58" s="39">
        <f>$J$3+[37]FormattedData!L31*$J$4+$M$4*$J$5+[37]FormattedData!L31^2*$J$6+$M$5*$J$7</f>
        <v>32.453265272513249</v>
      </c>
      <c r="T58" s="39">
        <f>$J$3+[37]FormattedData!M31*$J$4+$M$4*$J$5+[37]FormattedData!M31^2*$J$6+$M$5*$J$7</f>
        <v>30.035033087293474</v>
      </c>
      <c r="U58" s="39">
        <f>$J$3+[37]FormattedData!N31*$J$4+$M$4*$J$5+[37]FormattedData!N31^2*$J$6+$M$5*$J$7</f>
        <v>33.89152402226577</v>
      </c>
      <c r="V58" s="39">
        <f>$J$3+[37]FormattedData!O31*$J$4+$M$4*$J$5+[37]FormattedData!O31^2*$J$6+$M$5*$J$7</f>
        <v>32.26077887406808</v>
      </c>
      <c r="W58" s="38">
        <f>AVERAGE(K58:V58)</f>
        <v>31.815636371537554</v>
      </c>
      <c r="X58" s="37">
        <f>STDEV(K58:V58)/SQRT(COUNT(K58:V58))</f>
        <v>0.36760616838558335</v>
      </c>
      <c r="Y58" s="36">
        <f>MIN(K58:V58)</f>
        <v>30.035033087293474</v>
      </c>
      <c r="Z58" s="35">
        <f>QUARTILE(K58:V58,1)</f>
        <v>31.029667856443933</v>
      </c>
      <c r="AA58" s="36">
        <f>MEDIAN(K58:V58)</f>
        <v>31.585723886296204</v>
      </c>
      <c r="AB58" s="35">
        <f>QUARTILE(K58:V58,3)</f>
        <v>32.308900473679373</v>
      </c>
      <c r="AC58" s="35">
        <f>MAX(K58:V58)</f>
        <v>34.368830178620058</v>
      </c>
      <c r="AD58" s="35">
        <f>SKEW(K58:V58)</f>
        <v>0.91451567270716094</v>
      </c>
      <c r="AE58" s="35">
        <f>KURT(K58:V58)</f>
        <v>0.41424293710879567</v>
      </c>
    </row>
    <row r="59" spans="2:31" x14ac:dyDescent="0.2">
      <c r="B59" s="34">
        <f>[37]FormattedData!A33</f>
        <v>202</v>
      </c>
      <c r="C59" s="34" t="str">
        <f>VLOOKUP($B59,[37]TrtCodes!$B$11:I76,2)</f>
        <v>NTH</v>
      </c>
      <c r="D59" s="34">
        <f>VLOOKUP($B59,[37]TrtCodes!$B$11:J76,3)</f>
        <v>9</v>
      </c>
      <c r="E59" s="34">
        <f>VLOOKUP($B59,[37]TrtCodes!$B$11:K76,4)</f>
        <v>2</v>
      </c>
      <c r="F59" s="34">
        <f>VLOOKUP($B59,[37]TrtCodes!$B$11:L76,5)</f>
        <v>2</v>
      </c>
      <c r="G59" s="34">
        <f>VLOOKUP($B59,[37]TrtCodes!$B$11:M76,6)</f>
        <v>2</v>
      </c>
      <c r="H59" s="34">
        <f>VLOOKUP($B59,[37]TrtCodes!$B$11:N76,7)</f>
        <v>1</v>
      </c>
      <c r="I59" s="34">
        <f>[37]FormattedData!B33</f>
        <v>2</v>
      </c>
      <c r="J59" s="37">
        <f>[37]FormattedData!C33</f>
        <v>13.246</v>
      </c>
      <c r="K59" s="39">
        <f>$J$3+[37]FormattedData!D33*$J$4+$M$4*$J$5+[37]FormattedData!D33^2*$J$6+$M$5*$J$7</f>
        <v>31.489142538770174</v>
      </c>
      <c r="L59" s="39">
        <f>$J$3+[37]FormattedData!E33*$J$4+$M$4*$J$5+[37]FormattedData!E33^2*$J$6+$M$5*$J$7</f>
        <v>31.392497788437243</v>
      </c>
      <c r="M59" s="39">
        <f>$J$3+[37]FormattedData!F33*$J$4+$M$4*$J$5+[37]FormattedData!F33^2*$J$6+$M$5*$J$7</f>
        <v>30.811741647143119</v>
      </c>
      <c r="N59" s="39">
        <f>$J$3+[37]FormattedData!G33*$J$4+$M$4*$J$5+[37]FormattedData!G33^2*$J$6+$M$5*$J$7</f>
        <v>30.520792951233982</v>
      </c>
      <c r="O59" s="39">
        <f>$J$3+[37]FormattedData!H33*$J$4+$M$4*$J$5+[37]FormattedData!H33^2*$J$6+$M$5*$J$7</f>
        <v>31.489142538770174</v>
      </c>
      <c r="P59" s="39">
        <f>$J$3+[37]FormattedData!I33*$J$4+$M$4*$J$5+[37]FormattedData!I33^2*$J$6+$M$5*$J$7</f>
        <v>32.357043207559634</v>
      </c>
      <c r="Q59" s="39">
        <f>$J$3+[37]FormattedData!J33*$J$4+$M$4*$J$5+[37]FormattedData!J33^2*$J$6+$M$5*$J$7</f>
        <v>33.98706979061248</v>
      </c>
      <c r="R59" s="39">
        <f>$J$3+[37]FormattedData!K33*$J$4+$M$4*$J$5+[37]FormattedData!K33^2*$J$6+$M$5*$J$7</f>
        <v>31.489142538770174</v>
      </c>
      <c r="S59" s="39">
        <f>$J$3+[37]FormattedData!L33*$J$4+$M$4*$J$5+[37]FormattedData!L33^2*$J$6+$M$5*$J$7</f>
        <v>34.178034521692126</v>
      </c>
      <c r="T59" s="39">
        <f>$J$3+[37]FormattedData!M33*$J$4+$M$4*$J$5+[37]FormattedData!M33^2*$J$6+$M$5*$J$7</f>
        <v>30.617818118408294</v>
      </c>
      <c r="U59" s="39">
        <f>$J$3+[37]FormattedData!N33*$J$4+$M$4*$J$5+[37]FormattedData!N33^2*$J$6+$M$5*$J$7</f>
        <v>32.164472272038594</v>
      </c>
      <c r="V59" s="39">
        <f>$J$3+[37]FormattedData!O33*$J$4+$M$4*$J$5+[37]FormattedData!O33^2*$J$6+$M$5*$J$7</f>
        <v>31.682305233822234</v>
      </c>
      <c r="W59" s="38">
        <f>AVERAGE(K59:V59)</f>
        <v>31.848266928938187</v>
      </c>
      <c r="X59" s="37">
        <f>STDEV(K59:V59)/SQRT(COUNT(K59:V59))</f>
        <v>0.34083108887734431</v>
      </c>
      <c r="Y59" s="36">
        <f>MIN(K59:V59)</f>
        <v>30.520792951233982</v>
      </c>
      <c r="Z59" s="35">
        <f>QUARTILE(K59:V59,1)</f>
        <v>31.247308753113714</v>
      </c>
      <c r="AA59" s="36">
        <f>MEDIAN(K59:V59)</f>
        <v>31.489142538770174</v>
      </c>
      <c r="AB59" s="35">
        <f>QUARTILE(K59:V59,3)</f>
        <v>32.212615005918856</v>
      </c>
      <c r="AC59" s="35">
        <f>MAX(K59:V59)</f>
        <v>34.178034521692126</v>
      </c>
      <c r="AD59" s="35">
        <f>SKEW(K59:V59)</f>
        <v>1.1293740161760886</v>
      </c>
      <c r="AE59" s="35">
        <f>KURT(K59:V59)</f>
        <v>0.59771965864795717</v>
      </c>
    </row>
    <row r="60" spans="2:31" x14ac:dyDescent="0.2">
      <c r="B60" s="34">
        <f>[37]FormattedData!A35</f>
        <v>203</v>
      </c>
      <c r="C60" s="34" t="str">
        <f>VLOOKUP($B60,[37]TrtCodes!$B$11:I78,2)</f>
        <v>FTH</v>
      </c>
      <c r="D60" s="34">
        <f>VLOOKUP($B60,[37]TrtCodes!$B$11:J78,3)</f>
        <v>3</v>
      </c>
      <c r="E60" s="34">
        <f>VLOOKUP($B60,[37]TrtCodes!$B$11:K78,4)</f>
        <v>1</v>
      </c>
      <c r="F60" s="34">
        <f>VLOOKUP($B60,[37]TrtCodes!$B$11:L78,5)</f>
        <v>2</v>
      </c>
      <c r="G60" s="34">
        <f>VLOOKUP($B60,[37]TrtCodes!$B$11:M78,6)</f>
        <v>2</v>
      </c>
      <c r="H60" s="34">
        <f>VLOOKUP($B60,[37]TrtCodes!$B$11:N78,7)</f>
        <v>1</v>
      </c>
      <c r="I60" s="34">
        <f>[37]FormattedData!B35</f>
        <v>2</v>
      </c>
      <c r="J60" s="37">
        <f>[37]FormattedData!C35</f>
        <v>13.262</v>
      </c>
      <c r="K60" s="39">
        <f>$J$3+[37]FormattedData!D35*$J$4+$M$4*$J$5+[37]FormattedData!D35^2*$J$6+$M$5*$J$7</f>
        <v>28.571413214782272</v>
      </c>
      <c r="L60" s="39">
        <f>$J$3+[37]FormattedData!E35*$J$4+$M$4*$J$5+[37]FormattedData!E35^2*$J$6+$M$5*$J$7</f>
        <v>29.450726388813138</v>
      </c>
      <c r="M60" s="39">
        <f>$J$3+[37]FormattedData!F35*$J$4+$M$4*$J$5+[37]FormattedData!F35^2*$J$6+$M$5*$J$7</f>
        <v>29.645664362458309</v>
      </c>
      <c r="N60" s="39">
        <f>$J$3+[37]FormattedData!G35*$J$4+$M$4*$J$5+[37]FormattedData!G35^2*$J$6+$M$5*$J$7</f>
        <v>28.375545333302618</v>
      </c>
      <c r="O60" s="39">
        <f>$J$3+[37]FormattedData!H35*$J$4+$M$4*$J$5+[37]FormattedData!H35^2*$J$6+$M$5*$J$7</f>
        <v>28.767112022110204</v>
      </c>
      <c r="P60" s="39">
        <f>$J$3+[37]FormattedData!I35*$J$4+$M$4*$J$5+[37]FormattedData!I35^2*$J$6+$M$5*$J$7</f>
        <v>29.450726388813138</v>
      </c>
      <c r="Q60" s="39">
        <f>$J$3+[37]FormattedData!J35*$J$4+$M$4*$J$5+[37]FormattedData!J35^2*$J$6+$M$5*$J$7</f>
        <v>29.158002414310896</v>
      </c>
      <c r="R60" s="39">
        <f>$J$3+[37]FormattedData!K35*$J$4+$M$4*$J$5+[37]FormattedData!K35^2*$J$6+$M$5*$J$7</f>
        <v>29.645664362458309</v>
      </c>
      <c r="S60" s="39">
        <f>$J$3+[37]FormattedData!L35*$J$4+$M$4*$J$5+[37]FormattedData!L35^2*$J$6+$M$5*$J$7</f>
        <v>29.450726388813138</v>
      </c>
      <c r="T60" s="39">
        <f>$J$3+[37]FormattedData!M35*$J$4+$M$4*$J$5+[37]FormattedData!M35^2*$J$6+$M$5*$J$7</f>
        <v>29.158002414310896</v>
      </c>
      <c r="U60" s="39">
        <f>$J$3+[37]FormattedData!N35*$J$4+$M$4*$J$5+[37]FormattedData!N35^2*$J$6+$M$5*$J$7</f>
        <v>30.229463838483468</v>
      </c>
      <c r="V60" s="39">
        <f>$J$3+[37]FormattedData!O35*$J$4+$M$4*$J$5+[37]FormattedData!O35^2*$J$6+$M$5*$J$7</f>
        <v>30.035033087293474</v>
      </c>
      <c r="W60" s="38">
        <f>AVERAGE(K60:V60)</f>
        <v>29.328173351329156</v>
      </c>
      <c r="X60" s="37">
        <f>STDEV(K60:V60)/SQRT(COUNT(K60:V60))</f>
        <v>0.1607634769693341</v>
      </c>
      <c r="Y60" s="36">
        <f>MIN(K60:V60)</f>
        <v>28.375545333302618</v>
      </c>
      <c r="Z60" s="35">
        <f>QUARTILE(K60:V60,1)</f>
        <v>29.060279816260724</v>
      </c>
      <c r="AA60" s="36">
        <f>MEDIAN(K60:V60)</f>
        <v>29.450726388813138</v>
      </c>
      <c r="AB60" s="35">
        <f>QUARTILE(K60:V60,3)</f>
        <v>29.645664362458309</v>
      </c>
      <c r="AC60" s="35">
        <f>MAX(K60:V60)</f>
        <v>30.229463838483468</v>
      </c>
      <c r="AD60" s="35">
        <f>SKEW(K60:V60)</f>
        <v>-0.20812834620819376</v>
      </c>
      <c r="AE60" s="35">
        <f>KURT(K60:V60)</f>
        <v>-0.45735890584884054</v>
      </c>
    </row>
    <row r="61" spans="2:31" x14ac:dyDescent="0.2">
      <c r="B61" s="34">
        <f>[37]FormattedData!A37</f>
        <v>204</v>
      </c>
      <c r="C61" s="34" t="str">
        <f>VLOOKUP($B61,[37]TrtCodes!$B$11:I80,2)</f>
        <v>NDH</v>
      </c>
      <c r="D61" s="34">
        <f>VLOOKUP($B61,[37]TrtCodes!$B$11:J80,3)</f>
        <v>11</v>
      </c>
      <c r="E61" s="34">
        <f>VLOOKUP($B61,[37]TrtCodes!$B$11:K80,4)</f>
        <v>2</v>
      </c>
      <c r="F61" s="34">
        <f>VLOOKUP($B61,[37]TrtCodes!$B$11:L80,5)</f>
        <v>3</v>
      </c>
      <c r="G61" s="34">
        <f>VLOOKUP($B61,[37]TrtCodes!$B$11:M80,6)</f>
        <v>2</v>
      </c>
      <c r="H61" s="34">
        <f>VLOOKUP($B61,[37]TrtCodes!$B$11:N80,7)</f>
        <v>1</v>
      </c>
      <c r="I61" s="34">
        <f>[37]FormattedData!B37</f>
        <v>2</v>
      </c>
      <c r="J61" s="37">
        <f>[37]FormattedData!C37</f>
        <v>13.278</v>
      </c>
      <c r="K61" s="39">
        <f>$J$3+[37]FormattedData!D37*$J$4+$M$4*$J$5+[37]FormattedData!D37^2*$J$6+$M$5*$J$7</f>
        <v>30.229463838483468</v>
      </c>
      <c r="L61" s="39">
        <f>$J$3+[37]FormattedData!E37*$J$4+$M$4*$J$5+[37]FormattedData!E37^2*$J$6+$M$5*$J$7</f>
        <v>30.908640008703632</v>
      </c>
      <c r="M61" s="39">
        <f>$J$3+[37]FormattedData!F37*$J$4+$M$4*$J$5+[37]FormattedData!F37^2*$J$6+$M$5*$J$7</f>
        <v>30.326615811271576</v>
      </c>
      <c r="N61" s="39">
        <f>$J$3+[37]FormattedData!G37*$J$4+$M$4*$J$5+[37]FormattedData!G37^2*$J$6+$M$5*$J$7</f>
        <v>30.035033087293474</v>
      </c>
      <c r="O61" s="39">
        <f>$J$3+[37]FormattedData!H37*$J$4+$M$4*$J$5+[37]FormattedData!H37^2*$J$6+$M$5*$J$7</f>
        <v>30.035033087293474</v>
      </c>
      <c r="P61" s="39">
        <f>$J$3+[37]FormattedData!I37*$J$4+$M$4*$J$5+[37]FormattedData!I37^2*$J$6+$M$5*$J$7</f>
        <v>30.035033087293474</v>
      </c>
      <c r="Q61" s="39">
        <f>$J$3+[37]FormattedData!J37*$J$4+$M$4*$J$5+[37]FormattedData!J37^2*$J$6+$M$5*$J$7</f>
        <v>30.908640008703632</v>
      </c>
      <c r="R61" s="39">
        <f>$J$3+[37]FormattedData!K37*$J$4+$M$4*$J$5+[37]FormattedData!K37^2*$J$6+$M$5*$J$7</f>
        <v>30.132269597157439</v>
      </c>
      <c r="S61" s="39">
        <f>$J$3+[37]FormattedData!L37*$J$4+$M$4*$J$5+[37]FormattedData!L37^2*$J$6+$M$5*$J$7</f>
        <v>30.617818118408294</v>
      </c>
      <c r="T61" s="39">
        <f>$J$3+[37]FormattedData!M37*$J$4+$M$4*$J$5+[37]FormattedData!M37^2*$J$6+$M$5*$J$7</f>
        <v>28.473500408311409</v>
      </c>
      <c r="U61" s="39">
        <f>$J$3+[37]FormattedData!N37*$J$4+$M$4*$J$5+[37]FormattedData!N37^2*$J$6+$M$5*$J$7</f>
        <v>31.005496101726212</v>
      </c>
      <c r="V61" s="39">
        <f>$J$3+[37]FormattedData!O37*$J$4+$M$4*$J$5+[37]FormattedData!O37^2*$J$6+$M$5*$J$7</f>
        <v>31.102309926210872</v>
      </c>
      <c r="W61" s="38">
        <f>AVERAGE(K61:V61)</f>
        <v>30.317487756738078</v>
      </c>
      <c r="X61" s="37">
        <f>STDEV(K61:V61)/SQRT(COUNT(K61:V61))</f>
        <v>0.2052380394930195</v>
      </c>
      <c r="Y61" s="36">
        <f>MIN(K61:V61)</f>
        <v>28.473500408311409</v>
      </c>
      <c r="Z61" s="35">
        <f>QUARTILE(K61:V61,1)</f>
        <v>30.035033087293474</v>
      </c>
      <c r="AA61" s="36">
        <f>MEDIAN(K61:V61)</f>
        <v>30.278039824877524</v>
      </c>
      <c r="AB61" s="35">
        <f>QUARTILE(K61:V61,3)</f>
        <v>30.908640008703632</v>
      </c>
      <c r="AC61" s="35">
        <f>MAX(K61:V61)</f>
        <v>31.102309926210872</v>
      </c>
      <c r="AD61" s="35">
        <f>SKEW(K61:V61)</f>
        <v>-1.5467515214645369</v>
      </c>
      <c r="AE61" s="35">
        <f>KURT(K61:V61)</f>
        <v>3.6376453314357038</v>
      </c>
    </row>
    <row r="62" spans="2:31" x14ac:dyDescent="0.2">
      <c r="B62" s="34">
        <f>[37]FormattedData!A39</f>
        <v>205</v>
      </c>
      <c r="C62" s="34" t="str">
        <f>VLOOKUP($B62,[37]TrtCodes!$B$11:I82,2)</f>
        <v>FSH</v>
      </c>
      <c r="D62" s="34">
        <f>VLOOKUP($B62,[37]TrtCodes!$B$11:J82,3)</f>
        <v>1</v>
      </c>
      <c r="E62" s="34">
        <f>VLOOKUP($B62,[37]TrtCodes!$B$11:K82,4)</f>
        <v>1</v>
      </c>
      <c r="F62" s="34">
        <f>VLOOKUP($B62,[37]TrtCodes!$B$11:L82,5)</f>
        <v>1</v>
      </c>
      <c r="G62" s="34">
        <f>VLOOKUP($B62,[37]TrtCodes!$B$11:M82,6)</f>
        <v>2</v>
      </c>
      <c r="H62" s="34">
        <f>VLOOKUP($B62,[37]TrtCodes!$B$11:N82,7)</f>
        <v>2</v>
      </c>
      <c r="I62" s="34">
        <f>[37]FormattedData!B39</f>
        <v>2</v>
      </c>
      <c r="J62" s="37">
        <f>[37]FormattedData!C39</f>
        <v>13.292999999999999</v>
      </c>
      <c r="K62" s="39">
        <f>$J$3+[37]FormattedData!D39*$J$4+$M$4*$J$5+[37]FormattedData!D39^2*$J$6+$M$5*$J$7</f>
        <v>31.971732262365851</v>
      </c>
      <c r="L62" s="39">
        <f>$J$3+[37]FormattedData!E39*$J$4+$M$4*$J$5+[37]FormattedData!E39^2*$J$6+$M$5*$J$7</f>
        <v>33.22152012477666</v>
      </c>
      <c r="M62" s="39">
        <f>$J$3+[37]FormattedData!F39*$J$4+$M$4*$J$5+[37]FormattedData!F39^2*$J$6+$M$5*$J$7</f>
        <v>32.164472272038594</v>
      </c>
      <c r="N62" s="39">
        <f>$J$3+[37]FormattedData!G39*$J$4+$M$4*$J$5+[37]FormattedData!G39^2*$J$6+$M$5*$J$7</f>
        <v>28.767112022110204</v>
      </c>
      <c r="O62" s="39">
        <f>$J$3+[37]FormattedData!H39*$J$4+$M$4*$J$5+[37]FormattedData!H39^2*$J$6+$M$5*$J$7</f>
        <v>36.64519027792057</v>
      </c>
      <c r="P62" s="39">
        <f>$J$3+[37]FormattedData!I39*$J$4+$M$4*$J$5+[37]FormattedData!I39^2*$J$6+$M$5*$J$7</f>
        <v>32.357043207559634</v>
      </c>
      <c r="Q62" s="39">
        <f>$J$3+[37]FormattedData!J39*$J$4+$M$4*$J$5+[37]FormattedData!J39^2*$J$6+$M$5*$J$7</f>
        <v>30.132269597157439</v>
      </c>
      <c r="R62" s="39">
        <f>$J$3+[37]FormattedData!K39*$J$4+$M$4*$J$5+[37]FormattedData!K39^2*$J$6+$M$5*$J$7</f>
        <v>29.840433261951759</v>
      </c>
      <c r="S62" s="39">
        <f>$J$3+[37]FormattedData!L39*$J$4+$M$4*$J$5+[37]FormattedData!L39^2*$J$6+$M$5*$J$7</f>
        <v>29.353193999183652</v>
      </c>
      <c r="T62" s="39">
        <f>$J$3+[37]FormattedData!M39*$J$4+$M$4*$J$5+[37]FormattedData!M39^2*$J$6+$M$5*$J$7</f>
        <v>30.035033087293474</v>
      </c>
      <c r="U62" s="39">
        <f>$J$3+[37]FormattedData!N39*$J$4+$M$4*$J$5+[37]FormattedData!N39^2*$J$6+$M$5*$J$7</f>
        <v>34.464164604277109</v>
      </c>
      <c r="V62" s="39">
        <f>$J$3+[37]FormattedData!O39*$J$4+$M$4*$J$5+[37]FormattedData!O39^2*$J$6+$M$5*$J$7</f>
        <v>33.029710022938389</v>
      </c>
      <c r="W62" s="38">
        <f>AVERAGE(K62:V62)</f>
        <v>31.831822894964443</v>
      </c>
      <c r="X62" s="37">
        <f>STDEV(K62:V62)/SQRT(COUNT(K62:V62))</f>
        <v>0.67132066045572225</v>
      </c>
      <c r="Y62" s="36">
        <f>MIN(K62:V62)</f>
        <v>28.767112022110204</v>
      </c>
      <c r="Z62" s="35">
        <f>QUARTILE(K62:V62,1)</f>
        <v>29.986383130958046</v>
      </c>
      <c r="AA62" s="36">
        <f>MEDIAN(K62:V62)</f>
        <v>32.068102267202221</v>
      </c>
      <c r="AB62" s="35">
        <f>QUARTILE(K62:V62,3)</f>
        <v>33.077662548397953</v>
      </c>
      <c r="AC62" s="35">
        <f>MAX(K62:V62)</f>
        <v>36.64519027792057</v>
      </c>
      <c r="AD62" s="35">
        <f>SKEW(K62:V62)</f>
        <v>0.62216028188243055</v>
      </c>
      <c r="AE62" s="35">
        <f>KURT(K62:V62)</f>
        <v>1.3539224573754893E-2</v>
      </c>
    </row>
    <row r="63" spans="2:31" x14ac:dyDescent="0.2">
      <c r="B63" s="34">
        <f>[37]FormattedData!A41</f>
        <v>206</v>
      </c>
      <c r="C63" s="34" t="str">
        <f>VLOOKUP($B63,[37]TrtCodes!$B$11:I84,2)</f>
        <v>NSL</v>
      </c>
      <c r="D63" s="34">
        <f>VLOOKUP($B63,[37]TrtCodes!$B$11:J84,3)</f>
        <v>8</v>
      </c>
      <c r="E63" s="34">
        <f>VLOOKUP($B63,[37]TrtCodes!$B$11:K84,4)</f>
        <v>2</v>
      </c>
      <c r="F63" s="34">
        <f>VLOOKUP($B63,[37]TrtCodes!$B$11:L84,5)</f>
        <v>1</v>
      </c>
      <c r="G63" s="34">
        <f>VLOOKUP($B63,[37]TrtCodes!$B$11:M84,6)</f>
        <v>1</v>
      </c>
      <c r="H63" s="34">
        <f>VLOOKUP($B63,[37]TrtCodes!$B$11:N84,7)</f>
        <v>2</v>
      </c>
      <c r="I63" s="34">
        <f>[37]FormattedData!B41</f>
        <v>2</v>
      </c>
      <c r="J63" s="37">
        <f>[37]FormattedData!C41</f>
        <v>13.308</v>
      </c>
      <c r="K63" s="39">
        <f>$J$3+[37]FormattedData!D41*$J$4+$M$4*$J$5+[37]FormattedData!D41^2*$J$6+$M$5*$J$7</f>
        <v>32.933741569212366</v>
      </c>
      <c r="L63" s="39">
        <f>$J$3+[37]FormattedData!E41*$J$4+$M$4*$J$5+[37]FormattedData!E41^2*$J$6+$M$5*$J$7</f>
        <v>34.178034521692126</v>
      </c>
      <c r="M63" s="39">
        <f>$J$3+[37]FormattedData!F41*$J$4+$M$4*$J$5+[37]FormattedData!F41^2*$J$6+$M$5*$J$7</f>
        <v>32.26077887406808</v>
      </c>
      <c r="N63" s="39">
        <f>$J$3+[37]FormattedData!G41*$J$4+$M$4*$J$5+[37]FormattedData!G41^2*$J$6+$M$5*$J$7</f>
        <v>36.928023414546928</v>
      </c>
      <c r="O63" s="39">
        <f>$J$3+[37]FormattedData!H41*$J$4+$M$4*$J$5+[37]FormattedData!H41^2*$J$6+$M$5*$J$7</f>
        <v>31.58574502056517</v>
      </c>
      <c r="P63" s="39">
        <f>$J$3+[37]FormattedData!I41*$J$4+$M$4*$J$5+[37]FormattedData!I41^2*$J$6+$M$5*$J$7</f>
        <v>31.58574502056517</v>
      </c>
      <c r="Q63" s="39">
        <f>$J$3+[37]FormattedData!J41*$J$4+$M$4*$J$5+[37]FormattedData!J41^2*$J$6+$M$5*$J$7</f>
        <v>32.933741569212366</v>
      </c>
      <c r="R63" s="39">
        <f>$J$3+[37]FormattedData!K41*$J$4+$M$4*$J$5+[37]FormattedData!K41^2*$J$6+$M$5*$J$7</f>
        <v>34.082573290421273</v>
      </c>
      <c r="S63" s="39">
        <f>$J$3+[37]FormattedData!L41*$J$4+$M$4*$J$5+[37]FormattedData!L41^2*$J$6+$M$5*$J$7</f>
        <v>31.392497788437243</v>
      </c>
      <c r="T63" s="39">
        <f>$J$3+[37]FormattedData!M41*$J$4+$M$4*$J$5+[37]FormattedData!M41^2*$J$6+$M$5*$J$7</f>
        <v>31.682305233822234</v>
      </c>
      <c r="U63" s="39">
        <f>$J$3+[37]FormattedData!N41*$J$4+$M$4*$J$5+[37]FormattedData!N41^2*$J$6+$M$5*$J$7</f>
        <v>35.130322064814479</v>
      </c>
      <c r="V63" s="39">
        <f>$J$3+[37]FormattedData!O41*$J$4+$M$4*$J$5+[37]FormattedData!O41^2*$J$6+$M$5*$J$7</f>
        <v>33.029710022938389</v>
      </c>
      <c r="W63" s="38">
        <f>AVERAGE(K63:V63)</f>
        <v>33.143601532524663</v>
      </c>
      <c r="X63" s="37">
        <f>STDEV(K63:V63)/SQRT(COUNT(K63:V63))</f>
        <v>0.48583450211876866</v>
      </c>
      <c r="Y63" s="36">
        <f>MIN(K63:V63)</f>
        <v>31.392497788437243</v>
      </c>
      <c r="Z63" s="35">
        <f>QUARTILE(K63:V63,1)</f>
        <v>31.658165180507968</v>
      </c>
      <c r="AA63" s="36">
        <f>MEDIAN(K63:V63)</f>
        <v>32.933741569212366</v>
      </c>
      <c r="AB63" s="35">
        <f>QUARTILE(K63:V63,3)</f>
        <v>34.106438598238988</v>
      </c>
      <c r="AC63" s="35">
        <f>MAX(K63:V63)</f>
        <v>36.928023414546928</v>
      </c>
      <c r="AD63" s="35">
        <f>SKEW(K63:V63)</f>
        <v>1.0805590292185352</v>
      </c>
      <c r="AE63" s="35">
        <f>KURT(K63:V63)</f>
        <v>0.85681306579196725</v>
      </c>
    </row>
    <row r="64" spans="2:31" x14ac:dyDescent="0.2">
      <c r="B64" s="34">
        <f>[37]FormattedData!A43</f>
        <v>207</v>
      </c>
      <c r="C64" s="34" t="str">
        <f>VLOOKUP($B64,[37]TrtCodes!$B$11:I86,2)</f>
        <v>FTL</v>
      </c>
      <c r="D64" s="34">
        <f>VLOOKUP($B64,[37]TrtCodes!$B$11:J86,3)</f>
        <v>4</v>
      </c>
      <c r="E64" s="34">
        <f>VLOOKUP($B64,[37]TrtCodes!$B$11:K86,4)</f>
        <v>1</v>
      </c>
      <c r="F64" s="34">
        <f>VLOOKUP($B64,[37]TrtCodes!$B$11:L86,5)</f>
        <v>2</v>
      </c>
      <c r="G64" s="34">
        <f>VLOOKUP($B64,[37]TrtCodes!$B$11:M86,6)</f>
        <v>1</v>
      </c>
      <c r="H64" s="34">
        <f>VLOOKUP($B64,[37]TrtCodes!$B$11:N86,7)</f>
        <v>2</v>
      </c>
      <c r="I64" s="34">
        <f>[37]FormattedData!B43</f>
        <v>2</v>
      </c>
      <c r="J64" s="37">
        <f>[37]FormattedData!C43</f>
        <v>13.331</v>
      </c>
      <c r="K64" s="39">
        <f>$J$3+[37]FormattedData!D43*$J$4+$M$4*$J$5+[37]FormattedData!D43^2*$J$6+$M$5*$J$7</f>
        <v>28.375545333302618</v>
      </c>
      <c r="L64" s="39">
        <f>$J$3+[37]FormattedData!E43*$J$4+$M$4*$J$5+[37]FormattedData!E43^2*$J$6+$M$5*$J$7</f>
        <v>28.962641755286413</v>
      </c>
      <c r="M64" s="39">
        <f>$J$3+[37]FormattedData!F43*$J$4+$M$4*$J$5+[37]FormattedData!F43^2*$J$6+$M$5*$J$7</f>
        <v>29.548216509904684</v>
      </c>
      <c r="N64" s="39">
        <f>$J$3+[37]FormattedData!G43*$J$4+$M$4*$J$5+[37]FormattedData!G43^2*$J$6+$M$5*$J$7</f>
        <v>30.229463838483468</v>
      </c>
      <c r="O64" s="39">
        <f>$J$3+[37]FormattedData!H43*$J$4+$M$4*$J$5+[37]FormattedData!H43^2*$J$6+$M$5*$J$7</f>
        <v>29.645664362458309</v>
      </c>
      <c r="P64" s="39">
        <f>$J$3+[37]FormattedData!I43*$J$4+$M$4*$J$5+[37]FormattedData!I43^2*$J$6+$M$5*$J$7</f>
        <v>30.423725515521745</v>
      </c>
      <c r="Q64" s="39">
        <f>$J$3+[37]FormattedData!J43*$J$4+$M$4*$J$5+[37]FormattedData!J43^2*$J$6+$M$5*$J$7</f>
        <v>31.005496101726212</v>
      </c>
      <c r="R64" s="39">
        <f>$J$3+[37]FormattedData!K43*$J$4+$M$4*$J$5+[37]FormattedData!K43^2*$J$6+$M$5*$J$7</f>
        <v>29.060343219067619</v>
      </c>
      <c r="S64" s="39">
        <f>$J$3+[37]FormattedData!L43*$J$4+$M$4*$J$5+[37]FormattedData!L43^2*$J$6+$M$5*$J$7</f>
        <v>31.199081482157588</v>
      </c>
      <c r="T64" s="39">
        <f>$J$3+[37]FormattedData!M43*$J$4+$M$4*$J$5+[37]FormattedData!M43^2*$J$6+$M$5*$J$7</f>
        <v>30.714801017044671</v>
      </c>
      <c r="U64" s="39">
        <f>$J$3+[37]FormattedData!N43*$J$4+$M$4*$J$5+[37]FormattedData!N43^2*$J$6+$M$5*$J$7</f>
        <v>29.060343219067619</v>
      </c>
      <c r="V64" s="39">
        <f>$J$3+[37]FormattedData!O43*$J$4+$M$4*$J$5+[37]FormattedData!O43^2*$J$6+$M$5*$J$7</f>
        <v>29.840433261951759</v>
      </c>
      <c r="W64" s="38">
        <f>AVERAGE(K64:V64)</f>
        <v>29.838812967997725</v>
      </c>
      <c r="X64" s="37">
        <f>STDEV(K64:V64)/SQRT(COUNT(K64:V64))</f>
        <v>0.25696626935579703</v>
      </c>
      <c r="Y64" s="36">
        <f>MIN(K64:V64)</f>
        <v>28.375545333302618</v>
      </c>
      <c r="Z64" s="35">
        <f>QUARTILE(K64:V64,1)</f>
        <v>29.060343219067619</v>
      </c>
      <c r="AA64" s="36">
        <f>MEDIAN(K64:V64)</f>
        <v>29.743048812205032</v>
      </c>
      <c r="AB64" s="35">
        <f>QUARTILE(K64:V64,3)</f>
        <v>30.496494390902477</v>
      </c>
      <c r="AC64" s="35">
        <f>MAX(K64:V64)</f>
        <v>31.199081482157588</v>
      </c>
      <c r="AD64" s="35">
        <f>SKEW(K64:V64)</f>
        <v>3.9583069632330103E-2</v>
      </c>
      <c r="AE64" s="35">
        <f>KURT(K64:V64)</f>
        <v>-1.0411360944750476</v>
      </c>
    </row>
    <row r="65" spans="2:31" x14ac:dyDescent="0.2">
      <c r="B65" s="34">
        <f>[37]FormattedData!A45</f>
        <v>208</v>
      </c>
      <c r="C65" s="34" t="str">
        <f>VLOOKUP($B65,[37]TrtCodes!$B$11:I88,2)</f>
        <v>FSL</v>
      </c>
      <c r="D65" s="34">
        <f>VLOOKUP($B65,[37]TrtCodes!$B$11:J88,3)</f>
        <v>2</v>
      </c>
      <c r="E65" s="34">
        <f>VLOOKUP($B65,[37]TrtCodes!$B$11:K88,4)</f>
        <v>1</v>
      </c>
      <c r="F65" s="34">
        <f>VLOOKUP($B65,[37]TrtCodes!$B$11:L88,5)</f>
        <v>1</v>
      </c>
      <c r="G65" s="34">
        <f>VLOOKUP($B65,[37]TrtCodes!$B$11:M88,6)</f>
        <v>1</v>
      </c>
      <c r="H65" s="34">
        <f>VLOOKUP($B65,[37]TrtCodes!$B$11:N88,7)</f>
        <v>2</v>
      </c>
      <c r="I65" s="34">
        <f>[37]FormattedData!B45</f>
        <v>2</v>
      </c>
      <c r="J65" s="37">
        <f>[37]FormattedData!C45</f>
        <v>13.347</v>
      </c>
      <c r="K65" s="39">
        <f>$J$3+[37]FormattedData!D45*$J$4+$M$4*$J$5+[37]FormattedData!D45^2*$J$6+$M$5*$J$7</f>
        <v>31.58574502056517</v>
      </c>
      <c r="L65" s="39">
        <f>$J$3+[37]FormattedData!E45*$J$4+$M$4*$J$5+[37]FormattedData!E45^2*$J$6+$M$5*$J$7</f>
        <v>28.864898022967274</v>
      </c>
      <c r="M65" s="39">
        <f>$J$3+[37]FormattedData!F45*$J$4+$M$4*$J$5+[37]FormattedData!F45^2*$J$6+$M$5*$J$7</f>
        <v>30.035033087293474</v>
      </c>
      <c r="N65" s="39">
        <f>$J$3+[37]FormattedData!G45*$J$4+$M$4*$J$5+[37]FormattedData!G45^2*$J$6+$M$5*$J$7</f>
        <v>30.035033087293474</v>
      </c>
      <c r="O65" s="39">
        <f>$J$3+[37]FormattedData!H45*$J$4+$M$4*$J$5+[37]FormattedData!H45^2*$J$6+$M$5*$J$7</f>
        <v>31.392497788437243</v>
      </c>
      <c r="P65" s="39">
        <f>$J$3+[37]FormattedData!I45*$J$4+$M$4*$J$5+[37]FormattedData!I45^2*$J$6+$M$5*$J$7</f>
        <v>29.840433261951759</v>
      </c>
      <c r="Q65" s="39">
        <f>$J$3+[37]FormattedData!J45*$J$4+$M$4*$J$5+[37]FormattedData!J45^2*$J$6+$M$5*$J$7</f>
        <v>32.933741569212366</v>
      </c>
      <c r="R65" s="39">
        <f>$J$3+[37]FormattedData!K45*$J$4+$M$4*$J$5+[37]FormattedData!K45^2*$J$6+$M$5*$J$7</f>
        <v>31.58574502056517</v>
      </c>
      <c r="S65" s="39">
        <f>$J$3+[37]FormattedData!L45*$J$4+$M$4*$J$5+[37]FormattedData!L45^2*$J$6+$M$5*$J$7</f>
        <v>30.617818118408294</v>
      </c>
      <c r="T65" s="39">
        <f>$J$3+[37]FormattedData!M45*$J$4+$M$4*$J$5+[37]FormattedData!M45^2*$J$6+$M$5*$J$7</f>
        <v>30.132269597157439</v>
      </c>
      <c r="U65" s="39">
        <f>$J$3+[37]FormattedData!N45*$J$4+$M$4*$J$5+[37]FormattedData!N45^2*$J$6+$M$5*$J$7</f>
        <v>29.743069946473994</v>
      </c>
      <c r="V65" s="39">
        <f>$J$3+[37]FormattedData!O45*$J$4+$M$4*$J$5+[37]FormattedData!O45^2*$J$6+$M$5*$J$7</f>
        <v>29.645664362458309</v>
      </c>
      <c r="W65" s="38">
        <f>AVERAGE(K65:V65)</f>
        <v>30.534329073565335</v>
      </c>
      <c r="X65" s="37">
        <f>STDEV(K65:V65)/SQRT(COUNT(K65:V65))</f>
        <v>0.32632141000330311</v>
      </c>
      <c r="Y65" s="36">
        <f>MIN(K65:V65)</f>
        <v>28.864898022967274</v>
      </c>
      <c r="Z65" s="35">
        <f>QUARTILE(K65:V65,1)</f>
        <v>29.816092433082318</v>
      </c>
      <c r="AA65" s="36">
        <f>MEDIAN(K65:V65)</f>
        <v>30.083651342225458</v>
      </c>
      <c r="AB65" s="35">
        <f>QUARTILE(K65:V65,3)</f>
        <v>31.440809596469226</v>
      </c>
      <c r="AC65" s="35">
        <f>MAX(K65:V65)</f>
        <v>32.933741569212366</v>
      </c>
      <c r="AD65" s="35">
        <f>SKEW(K65:V65)</f>
        <v>0.77585770031450874</v>
      </c>
      <c r="AE65" s="35">
        <f>KURT(K65:V65)</f>
        <v>0.33799932745990624</v>
      </c>
    </row>
    <row r="66" spans="2:31" x14ac:dyDescent="0.2">
      <c r="B66" s="34">
        <f>[37]FormattedData!A63</f>
        <v>301</v>
      </c>
      <c r="C66" s="34" t="str">
        <f>VLOOKUP($B66,[37]TrtCodes!$B$11:I106,2)</f>
        <v>NTL</v>
      </c>
      <c r="D66" s="34">
        <f>VLOOKUP($B66,[37]TrtCodes!$B$11:J106,3)</f>
        <v>10</v>
      </c>
      <c r="E66" s="34">
        <f>VLOOKUP($B66,[37]TrtCodes!$B$11:K106,4)</f>
        <v>2</v>
      </c>
      <c r="F66" s="34">
        <f>VLOOKUP($B66,[37]TrtCodes!$B$11:L106,5)</f>
        <v>2</v>
      </c>
      <c r="G66" s="34">
        <f>VLOOKUP($B66,[37]TrtCodes!$B$11:M106,6)</f>
        <v>1</v>
      </c>
      <c r="H66" s="34">
        <f>VLOOKUP($B66,[37]TrtCodes!$B$11:N106,7)</f>
        <v>3</v>
      </c>
      <c r="I66" s="34">
        <f>[37]FormattedData!B63</f>
        <v>2</v>
      </c>
      <c r="J66" s="37">
        <f>[37]FormattedData!C63</f>
        <v>13.472</v>
      </c>
      <c r="K66" s="39">
        <f>$J$3+[37]FormattedData!D63*$J$4+$M$4*$J$5+[37]FormattedData!D63^2*$J$6+$M$5*$J$7</f>
        <v>31.199081482157588</v>
      </c>
      <c r="L66" s="39">
        <f>$J$3+[37]FormattedData!E63*$J$4+$M$4*$J$5+[37]FormattedData!E63^2*$J$6+$M$5*$J$7</f>
        <v>31.971732262365851</v>
      </c>
      <c r="M66" s="39">
        <f>$J$3+[37]FormattedData!F63*$J$4+$M$4*$J$5+[37]FormattedData!F63^2*$J$6+$M$5*$J$7</f>
        <v>31.489142538770174</v>
      </c>
      <c r="N66" s="39">
        <f>$J$3+[37]FormattedData!G63*$J$4+$M$4*$J$5+[37]FormattedData!G63^2*$J$6+$M$5*$J$7</f>
        <v>33.317361772888901</v>
      </c>
      <c r="O66" s="39">
        <f>$J$3+[37]FormattedData!H63*$J$4+$M$4*$J$5+[37]FormattedData!H63^2*$J$6+$M$5*$J$7</f>
        <v>32.837730846948403</v>
      </c>
      <c r="P66" s="39">
        <f>$J$3+[37]FormattedData!I63*$J$4+$M$4*$J$5+[37]FormattedData!I63^2*$J$6+$M$5*$J$7</f>
        <v>31.005496101726212</v>
      </c>
      <c r="Q66" s="39">
        <f>$J$3+[37]FormattedData!J63*$J$4+$M$4*$J$5+[37]FormattedData!J63^2*$J$6+$M$5*$J$7</f>
        <v>32.933741569212366</v>
      </c>
      <c r="R66" s="39">
        <f>$J$3+[37]FormattedData!K63*$J$4+$M$4*$J$5+[37]FormattedData!K63^2*$J$6+$M$5*$J$7</f>
        <v>31.392497788437243</v>
      </c>
      <c r="S66" s="39">
        <f>$J$3+[37]FormattedData!L63*$J$4+$M$4*$J$5+[37]FormattedData!L63^2*$J$6+$M$5*$J$7</f>
        <v>31.295810769566387</v>
      </c>
      <c r="T66" s="39">
        <f>$J$3+[37]FormattedData!M63*$J$4+$M$4*$J$5+[37]FormattedData!M63^2*$J$6+$M$5*$J$7</f>
        <v>32.549445068928932</v>
      </c>
      <c r="U66" s="39">
        <f>$J$3+[37]FormattedData!N63*$J$4+$M$4*$J$5+[37]FormattedData!N63^2*$J$6+$M$5*$J$7</f>
        <v>31.392497788437243</v>
      </c>
      <c r="V66" s="39">
        <f>$J$3+[37]FormattedData!O63*$J$4+$M$4*$J$5+[37]FormattedData!O63^2*$J$6+$M$5*$J$7</f>
        <v>33.22152012477666</v>
      </c>
      <c r="W66" s="38">
        <f>AVERAGE(K66:V66)</f>
        <v>32.050504842851332</v>
      </c>
      <c r="X66" s="37">
        <f>STDEV(K66:V66)/SQRT(COUNT(K66:V66))</f>
        <v>0.24922279178593934</v>
      </c>
      <c r="Y66" s="36">
        <f>MIN(K66:V66)</f>
        <v>31.005496101726212</v>
      </c>
      <c r="Z66" s="35">
        <f>QUARTILE(K66:V66,1)</f>
        <v>31.36832603371953</v>
      </c>
      <c r="AA66" s="36">
        <f>MEDIAN(K66:V66)</f>
        <v>31.730437400568015</v>
      </c>
      <c r="AB66" s="35">
        <f>QUARTILE(K66:V66,3)</f>
        <v>32.861733527514396</v>
      </c>
      <c r="AC66" s="35">
        <f>MAX(K66:V66)</f>
        <v>33.317361772888901</v>
      </c>
      <c r="AD66" s="35">
        <f>SKEW(K66:V66)</f>
        <v>0.33985255839888379</v>
      </c>
      <c r="AE66" s="35">
        <f>KURT(K66:V66)</f>
        <v>-1.7563593297484483</v>
      </c>
    </row>
    <row r="67" spans="2:31" x14ac:dyDescent="0.2">
      <c r="B67" s="34">
        <f>[37]FormattedData!A65</f>
        <v>302</v>
      </c>
      <c r="C67" s="34" t="str">
        <f>VLOOKUP($B67,[37]TrtCodes!$B$11:I108,2)</f>
        <v>FTL</v>
      </c>
      <c r="D67" s="34">
        <f>VLOOKUP($B67,[37]TrtCodes!$B$11:J108,3)</f>
        <v>4</v>
      </c>
      <c r="E67" s="34">
        <f>VLOOKUP($B67,[37]TrtCodes!$B$11:K108,4)</f>
        <v>1</v>
      </c>
      <c r="F67" s="34">
        <f>VLOOKUP($B67,[37]TrtCodes!$B$11:L108,5)</f>
        <v>2</v>
      </c>
      <c r="G67" s="34">
        <f>VLOOKUP($B67,[37]TrtCodes!$B$11:M108,6)</f>
        <v>1</v>
      </c>
      <c r="H67" s="34">
        <f>VLOOKUP($B67,[37]TrtCodes!$B$11:N108,7)</f>
        <v>3</v>
      </c>
      <c r="I67" s="34">
        <f>[37]FormattedData!B65</f>
        <v>2</v>
      </c>
      <c r="J67" s="37">
        <f>[37]FormattedData!C65</f>
        <v>13.488</v>
      </c>
      <c r="K67" s="39">
        <f>$J$3+[37]FormattedData!D65*$J$4+$M$4*$J$5+[37]FormattedData!D65^2*$J$6+$M$5*$J$7</f>
        <v>28.767112022110204</v>
      </c>
      <c r="L67" s="39">
        <f>$J$3+[37]FormattedData!E65*$J$4+$M$4*$J$5+[37]FormattedData!E65^2*$J$6+$M$5*$J$7</f>
        <v>29.548216509904684</v>
      </c>
      <c r="M67" s="39">
        <f>$J$3+[37]FormattedData!F65*$J$4+$M$4*$J$5+[37]FormattedData!F65^2*$J$6+$M$5*$J$7</f>
        <v>29.743069946473994</v>
      </c>
      <c r="N67" s="39">
        <f>$J$3+[37]FormattedData!G65*$J$4+$M$4*$J$5+[37]FormattedData!G65^2*$J$6+$M$5*$J$7</f>
        <v>29.840433261951759</v>
      </c>
      <c r="O67" s="39">
        <f>$J$3+[37]FormattedData!H65*$J$4+$M$4*$J$5+[37]FormattedData!H65^2*$J$6+$M$5*$J$7</f>
        <v>28.179508377671233</v>
      </c>
      <c r="P67" s="39">
        <f>$J$3+[37]FormattedData!I65*$J$4+$M$4*$J$5+[37]FormattedData!I65^2*$J$6+$M$5*$J$7</f>
        <v>28.962641755286413</v>
      </c>
      <c r="Q67" s="39">
        <f>$J$3+[37]FormattedData!J65*$J$4+$M$4*$J$5+[37]FormattedData!J65^2*$J$6+$M$5*$J$7</f>
        <v>29.450726388813138</v>
      </c>
      <c r="R67" s="39">
        <f>$J$3+[37]FormattedData!K65*$J$4+$M$4*$J$5+[37]FormattedData!K65^2*$J$6+$M$5*$J$7</f>
        <v>31.102309926210872</v>
      </c>
      <c r="S67" s="39">
        <f>$J$3+[37]FormattedData!L65*$J$4+$M$4*$J$5+[37]FormattedData!L65^2*$J$6+$M$5*$J$7</f>
        <v>29.353193999183652</v>
      </c>
      <c r="T67" s="39">
        <f>$J$3+[37]FormattedData!M65*$J$4+$M$4*$J$5+[37]FormattedData!M65^2*$J$6+$M$5*$J$7</f>
        <v>28.571413214782272</v>
      </c>
      <c r="U67" s="39">
        <f>$J$3+[37]FormattedData!N65*$J$4+$M$4*$J$5+[37]FormattedData!N65^2*$J$6+$M$5*$J$7</f>
        <v>30.423725515521745</v>
      </c>
      <c r="V67" s="39">
        <f>$J$3+[37]FormattedData!O65*$J$4+$M$4*$J$5+[37]FormattedData!O65^2*$J$6+$M$5*$J$7</f>
        <v>30.714801017044671</v>
      </c>
      <c r="W67" s="38">
        <f>AVERAGE(K67:V67)</f>
        <v>29.554762661246226</v>
      </c>
      <c r="X67" s="37">
        <f>STDEV(K67:V67)/SQRT(COUNT(K67:V67))</f>
        <v>0.2536633534806475</v>
      </c>
      <c r="Y67" s="36">
        <f>MIN(K67:V67)</f>
        <v>28.179508377671233</v>
      </c>
      <c r="Z67" s="35">
        <f>QUARTILE(K67:V67,1)</f>
        <v>28.913759321992359</v>
      </c>
      <c r="AA67" s="36">
        <f>MEDIAN(K67:V67)</f>
        <v>29.499471449358911</v>
      </c>
      <c r="AB67" s="35">
        <f>QUARTILE(K67:V67,3)</f>
        <v>29.986256325344257</v>
      </c>
      <c r="AC67" s="35">
        <f>MAX(K67:V67)</f>
        <v>31.102309926210872</v>
      </c>
      <c r="AD67" s="35">
        <f>SKEW(K67:V67)</f>
        <v>0.27267692050873771</v>
      </c>
      <c r="AE67" s="35">
        <f>KURT(K67:V67)</f>
        <v>-0.55878698699260854</v>
      </c>
    </row>
    <row r="68" spans="2:31" x14ac:dyDescent="0.2">
      <c r="B68" s="34">
        <f>[37]FormattedData!A67</f>
        <v>303</v>
      </c>
      <c r="C68" s="34" t="str">
        <f>VLOOKUP($B68,[37]TrtCodes!$B$11:I110,2)</f>
        <v>NSL</v>
      </c>
      <c r="D68" s="34">
        <f>VLOOKUP($B68,[37]TrtCodes!$B$11:J110,3)</f>
        <v>8</v>
      </c>
      <c r="E68" s="34">
        <f>VLOOKUP($B68,[37]TrtCodes!$B$11:K110,4)</f>
        <v>2</v>
      </c>
      <c r="F68" s="34">
        <f>VLOOKUP($B68,[37]TrtCodes!$B$11:L110,5)</f>
        <v>1</v>
      </c>
      <c r="G68" s="34">
        <f>VLOOKUP($B68,[37]TrtCodes!$B$11:M110,6)</f>
        <v>1</v>
      </c>
      <c r="H68" s="34">
        <f>VLOOKUP($B68,[37]TrtCodes!$B$11:N110,7)</f>
        <v>3</v>
      </c>
      <c r="I68" s="34">
        <f>[37]FormattedData!B67</f>
        <v>2</v>
      </c>
      <c r="J68" s="37">
        <f>[37]FormattedData!C67</f>
        <v>13.504</v>
      </c>
      <c r="K68" s="39">
        <f>$J$3+[37]FormattedData!D67*$J$4+$M$4*$J$5+[37]FormattedData!D67^2*$J$6+$M$5*$J$7</f>
        <v>33.029710022938389</v>
      </c>
      <c r="L68" s="39">
        <f>$J$3+[37]FormattedData!E67*$J$4+$M$4*$J$5+[37]FormattedData!E67^2*$J$6+$M$5*$J$7</f>
        <v>30.811741647143119</v>
      </c>
      <c r="M68" s="39">
        <f>$J$3+[37]FormattedData!F67*$J$4+$M$4*$J$5+[37]FormattedData!F67^2*$J$6+$M$5*$J$7</f>
        <v>33.98706979061248</v>
      </c>
      <c r="N68" s="39">
        <f>$J$3+[37]FormattedData!G67*$J$4+$M$4*$J$5+[37]FormattedData!G67^2*$J$6+$M$5*$J$7</f>
        <v>34.940202704493458</v>
      </c>
      <c r="O68" s="39">
        <f>$J$3+[37]FormattedData!H67*$J$4+$M$4*$J$5+[37]FormattedData!H67^2*$J$6+$M$5*$J$7</f>
        <v>32.06812340147119</v>
      </c>
      <c r="P68" s="39">
        <f>$J$3+[37]FormattedData!I67*$J$4+$M$4*$J$5+[37]FormattedData!I67^2*$J$6+$M$5*$J$7</f>
        <v>33.508918263499574</v>
      </c>
      <c r="Q68" s="39">
        <f>$J$3+[37]FormattedData!J67*$J$4+$M$4*$J$5+[37]FormattedData!J67^2*$J$6+$M$5*$J$7</f>
        <v>32.933741569212366</v>
      </c>
      <c r="R68" s="39">
        <f>$J$3+[37]FormattedData!K67*$J$4+$M$4*$J$5+[37]FormattedData!K67^2*$J$6+$M$5*$J$7</f>
        <v>32.837730846948403</v>
      </c>
      <c r="S68" s="39">
        <f>$J$3+[37]FormattedData!L67*$J$4+$M$4*$J$5+[37]FormattedData!L67^2*$J$6+$M$5*$J$7</f>
        <v>33.317361772888901</v>
      </c>
      <c r="T68" s="39">
        <f>$J$3+[37]FormattedData!M67*$J$4+$M$4*$J$5+[37]FormattedData!M67^2*$J$6+$M$5*$J$7</f>
        <v>32.933741569212366</v>
      </c>
      <c r="U68" s="39">
        <f>$J$3+[37]FormattedData!N67*$J$4+$M$4*$J$5+[37]FormattedData!N67^2*$J$6+$M$5*$J$7</f>
        <v>40.847743558970961</v>
      </c>
      <c r="V68" s="39">
        <f>$J$3+[37]FormattedData!O67*$J$4+$M$4*$J$5+[37]FormattedData!O67^2*$J$6+$M$5*$J$7</f>
        <v>33.029710022938389</v>
      </c>
      <c r="W68" s="38">
        <f>AVERAGE(K68:V68)</f>
        <v>33.687149597527458</v>
      </c>
      <c r="X68" s="37">
        <f>STDEV(K68:V68)/SQRT(COUNT(K68:V68))</f>
        <v>0.71091671163628534</v>
      </c>
      <c r="Y68" s="36">
        <f>MIN(K68:V68)</f>
        <v>30.811741647143119</v>
      </c>
      <c r="Z68" s="35">
        <f>QUARTILE(K68:V68,1)</f>
        <v>32.909738888646373</v>
      </c>
      <c r="AA68" s="36">
        <f>MEDIAN(K68:V68)</f>
        <v>33.029710022938389</v>
      </c>
      <c r="AB68" s="35">
        <f>QUARTILE(K68:V68,3)</f>
        <v>33.628456145277802</v>
      </c>
      <c r="AC68" s="35">
        <f>MAX(K68:V68)</f>
        <v>40.847743558970961</v>
      </c>
      <c r="AD68" s="35">
        <f>SKEW(K68:V68)</f>
        <v>2.4763257678603301</v>
      </c>
      <c r="AE68" s="35">
        <f>KURT(K68:V68)</f>
        <v>7.569074862591286</v>
      </c>
    </row>
    <row r="69" spans="2:31" x14ac:dyDescent="0.2">
      <c r="B69" s="34">
        <f>[37]FormattedData!A69</f>
        <v>304</v>
      </c>
      <c r="C69" s="34" t="str">
        <f>VLOOKUP($B69,[37]TrtCodes!$B$11:I112,2)</f>
        <v>FSL</v>
      </c>
      <c r="D69" s="34">
        <f>VLOOKUP($B69,[37]TrtCodes!$B$11:J112,3)</f>
        <v>2</v>
      </c>
      <c r="E69" s="34">
        <f>VLOOKUP($B69,[37]TrtCodes!$B$11:K112,4)</f>
        <v>1</v>
      </c>
      <c r="F69" s="34">
        <f>VLOOKUP($B69,[37]TrtCodes!$B$11:L112,5)</f>
        <v>1</v>
      </c>
      <c r="G69" s="34">
        <f>VLOOKUP($B69,[37]TrtCodes!$B$11:M112,6)</f>
        <v>1</v>
      </c>
      <c r="H69" s="34">
        <f>VLOOKUP($B69,[37]TrtCodes!$B$11:N112,7)</f>
        <v>3</v>
      </c>
      <c r="I69" s="34">
        <f>[37]FormattedData!B69</f>
        <v>2</v>
      </c>
      <c r="J69" s="37">
        <f>[37]FormattedData!C69</f>
        <v>13.521000000000001</v>
      </c>
      <c r="K69" s="39">
        <f>$J$3+[37]FormattedData!D69*$J$4+$M$4*$J$5+[37]FormattedData!D69^2*$J$6+$M$5*$J$7</f>
        <v>30.423725515521745</v>
      </c>
      <c r="L69" s="39">
        <f>$J$3+[37]FormattedData!E69*$J$4+$M$4*$J$5+[37]FormattedData!E69^2*$J$6+$M$5*$J$7</f>
        <v>33.700305679958532</v>
      </c>
      <c r="M69" s="39">
        <f>$J$3+[37]FormattedData!F69*$J$4+$M$4*$J$5+[37]FormattedData!F69^2*$J$6+$M$5*$J$7</f>
        <v>29.158002414310896</v>
      </c>
      <c r="N69" s="39">
        <f>$J$3+[37]FormattedData!G69*$J$4+$M$4*$J$5+[37]FormattedData!G69^2*$J$6+$M$5*$J$7</f>
        <v>30.229463838483468</v>
      </c>
      <c r="O69" s="39">
        <f>$J$3+[37]FormattedData!H69*$J$4+$M$4*$J$5+[37]FormattedData!H69^2*$J$6+$M$5*$J$7</f>
        <v>30.520792951233982</v>
      </c>
      <c r="P69" s="39">
        <f>$J$3+[37]FormattedData!I69*$J$4+$M$4*$J$5+[37]FormattedData!I69^2*$J$6+$M$5*$J$7</f>
        <v>28.669283752715202</v>
      </c>
      <c r="Q69" s="39">
        <f>$J$3+[37]FormattedData!J69*$J$4+$M$4*$J$5+[37]FormattedData!J69^2*$J$6+$M$5*$J$7</f>
        <v>29.548216509904684</v>
      </c>
      <c r="R69" s="39">
        <f>$J$3+[37]FormattedData!K69*$J$4+$M$4*$J$5+[37]FormattedData!K69^2*$J$6+$M$5*$J$7</f>
        <v>29.255619341016239</v>
      </c>
      <c r="S69" s="39">
        <f>$J$3+[37]FormattedData!L69*$J$4+$M$4*$J$5+[37]FormattedData!L69^2*$J$6+$M$5*$J$7</f>
        <v>28.962641755286413</v>
      </c>
      <c r="T69" s="39">
        <f>$J$3+[37]FormattedData!M69*$J$4+$M$4*$J$5+[37]FormattedData!M69^2*$J$6+$M$5*$J$7</f>
        <v>28.375545333302618</v>
      </c>
      <c r="U69" s="39">
        <f>$J$3+[37]FormattedData!N69*$J$4+$M$4*$J$5+[37]FormattedData!N69^2*$J$6+$M$5*$J$7</f>
        <v>30.035033087293474</v>
      </c>
      <c r="V69" s="39">
        <f>$J$3+[37]FormattedData!O69*$J$4+$M$4*$J$5+[37]FormattedData!O69^2*$J$6+$M$5*$J$7</f>
        <v>29.450726388813138</v>
      </c>
      <c r="W69" s="38">
        <f>AVERAGE(K69:V69)</f>
        <v>29.860779713986698</v>
      </c>
      <c r="X69" s="37">
        <f>STDEV(K69:V69)/SQRT(COUNT(K69:V69))</f>
        <v>0.40093609588743151</v>
      </c>
      <c r="Y69" s="36">
        <f>MIN(K69:V69)</f>
        <v>28.375545333302618</v>
      </c>
      <c r="Z69" s="35">
        <f>QUARTILE(K69:V69,1)</f>
        <v>29.109162249554775</v>
      </c>
      <c r="AA69" s="36">
        <f>MEDIAN(K69:V69)</f>
        <v>29.499471449358911</v>
      </c>
      <c r="AB69" s="35">
        <f>QUARTILE(K69:V69,3)</f>
        <v>30.278029257743036</v>
      </c>
      <c r="AC69" s="35">
        <f>MAX(K69:V69)</f>
        <v>33.700305679958532</v>
      </c>
      <c r="AD69" s="35">
        <f>SKEW(K69:V69)</f>
        <v>2.0669880204148967</v>
      </c>
      <c r="AE69" s="35">
        <f>KURT(K69:V69)</f>
        <v>5.5195120007515719</v>
      </c>
    </row>
    <row r="70" spans="2:31" x14ac:dyDescent="0.2">
      <c r="B70" s="34">
        <f>[37]FormattedData!A71</f>
        <v>305</v>
      </c>
      <c r="C70" s="34" t="str">
        <f>VLOOKUP($B70,[37]TrtCodes!$B$11:I114,2)</f>
        <v>NDH</v>
      </c>
      <c r="D70" s="34">
        <f>VLOOKUP($B70,[37]TrtCodes!$B$11:J114,3)</f>
        <v>11</v>
      </c>
      <c r="E70" s="34">
        <f>VLOOKUP($B70,[37]TrtCodes!$B$11:K114,4)</f>
        <v>2</v>
      </c>
      <c r="F70" s="34">
        <f>VLOOKUP($B70,[37]TrtCodes!$B$11:L114,5)</f>
        <v>3</v>
      </c>
      <c r="G70" s="34">
        <f>VLOOKUP($B70,[37]TrtCodes!$B$11:M114,6)</f>
        <v>2</v>
      </c>
      <c r="H70" s="34">
        <f>VLOOKUP($B70,[37]TrtCodes!$B$11:N114,7)</f>
        <v>4</v>
      </c>
      <c r="I70" s="34">
        <f>[37]FormattedData!B71</f>
        <v>2</v>
      </c>
      <c r="J70" s="37">
        <f>[37]FormattedData!C71</f>
        <v>13.538</v>
      </c>
      <c r="K70" s="39">
        <f>$J$3+[37]FormattedData!D71*$J$4+$M$4*$J$5+[37]FormattedData!D71^2*$J$6+$M$5*$J$7</f>
        <v>31.102309926210872</v>
      </c>
      <c r="L70" s="39">
        <f>$J$3+[37]FormattedData!E71*$J$4+$M$4*$J$5+[37]FormattedData!E71^2*$J$6+$M$5*$J$7</f>
        <v>32.06812340147119</v>
      </c>
      <c r="M70" s="39">
        <f>$J$3+[37]FormattedData!F71*$J$4+$M$4*$J$5+[37]FormattedData!F71^2*$J$6+$M$5*$J$7</f>
        <v>31.199081482157588</v>
      </c>
      <c r="N70" s="39">
        <f>$J$3+[37]FormattedData!G71*$J$4+$M$4*$J$5+[37]FormattedData!G71^2*$J$6+$M$5*$J$7</f>
        <v>32.06812340147119</v>
      </c>
      <c r="O70" s="39">
        <f>$J$3+[37]FormattedData!H71*$J$4+$M$4*$J$5+[37]FormattedData!H71^2*$J$6+$M$5*$J$7</f>
        <v>31.971732262365851</v>
      </c>
      <c r="P70" s="39">
        <f>$J$3+[37]FormattedData!I71*$J$4+$M$4*$J$5+[37]FormattedData!I71^2*$J$6+$M$5*$J$7</f>
        <v>33.125636208126494</v>
      </c>
      <c r="Q70" s="39">
        <f>$J$3+[37]FormattedData!J71*$J$4+$M$4*$J$5+[37]FormattedData!J71^2*$J$6+$M$5*$J$7</f>
        <v>30.811741647143119</v>
      </c>
      <c r="R70" s="39">
        <f>$J$3+[37]FormattedData!K71*$J$4+$M$4*$J$5+[37]FormattedData!K71^2*$J$6+$M$5*$J$7</f>
        <v>31.58574502056517</v>
      </c>
      <c r="S70" s="39">
        <f>$J$3+[37]FormattedData!L71*$J$4+$M$4*$J$5+[37]FormattedData!L71^2*$J$6+$M$5*$J$7</f>
        <v>30.714801017044671</v>
      </c>
      <c r="T70" s="39">
        <f>$J$3+[37]FormattedData!M71*$J$4+$M$4*$J$5+[37]FormattedData!M71^2*$J$6+$M$5*$J$7</f>
        <v>30.229463838483468</v>
      </c>
      <c r="U70" s="39">
        <f>$J$3+[37]FormattedData!N71*$J$4+$M$4*$J$5+[37]FormattedData!N71^2*$J$6+$M$5*$J$7</f>
        <v>33.22152012477666</v>
      </c>
      <c r="V70" s="39">
        <f>$J$3+[37]FormattedData!O71*$J$4+$M$4*$J$5+[37]FormattedData!O71^2*$J$6+$M$5*$J$7</f>
        <v>31.87529885472258</v>
      </c>
      <c r="W70" s="38">
        <f>AVERAGE(K70:V70)</f>
        <v>31.664464765378238</v>
      </c>
      <c r="X70" s="37">
        <f>STDEV(K70:V70)/SQRT(COUNT(K70:V70))</f>
        <v>0.26473557944871651</v>
      </c>
      <c r="Y70" s="36">
        <f>MIN(K70:V70)</f>
        <v>30.229463838483468</v>
      </c>
      <c r="Z70" s="35">
        <f>QUARTILE(K70:V70,1)</f>
        <v>31.029667856443933</v>
      </c>
      <c r="AA70" s="36">
        <f>MEDIAN(K70:V70)</f>
        <v>31.730521937643875</v>
      </c>
      <c r="AB70" s="35">
        <f>QUARTILE(K70:V70,3)</f>
        <v>32.06812340147119</v>
      </c>
      <c r="AC70" s="35">
        <f>MAX(K70:V70)</f>
        <v>33.22152012477666</v>
      </c>
      <c r="AD70" s="35">
        <f>SKEW(K70:V70)</f>
        <v>0.33296693763832585</v>
      </c>
      <c r="AE70" s="35">
        <f>KURT(K70:V70)</f>
        <v>-0.41772646747876241</v>
      </c>
    </row>
    <row r="71" spans="2:31" x14ac:dyDescent="0.2">
      <c r="B71" s="34">
        <f>[37]FormattedData!A73</f>
        <v>306</v>
      </c>
      <c r="C71" s="34" t="str">
        <f>VLOOKUP($B71,[37]TrtCodes!$B$11:I116,2)</f>
        <v>FTL</v>
      </c>
      <c r="D71" s="34">
        <f>VLOOKUP($B71,[37]TrtCodes!$B$11:J116,3)</f>
        <v>4</v>
      </c>
      <c r="E71" s="34">
        <f>VLOOKUP($B71,[37]TrtCodes!$B$11:K116,4)</f>
        <v>1</v>
      </c>
      <c r="F71" s="34">
        <f>VLOOKUP($B71,[37]TrtCodes!$B$11:L116,5)</f>
        <v>2</v>
      </c>
      <c r="G71" s="34">
        <f>VLOOKUP($B71,[37]TrtCodes!$B$11:M116,6)</f>
        <v>1</v>
      </c>
      <c r="H71" s="34">
        <f>VLOOKUP($B71,[37]TrtCodes!$B$11:N116,7)</f>
        <v>4</v>
      </c>
      <c r="I71" s="34">
        <f>[37]FormattedData!B73</f>
        <v>2</v>
      </c>
      <c r="J71" s="37">
        <f>[37]FormattedData!C73</f>
        <v>13.554</v>
      </c>
      <c r="K71" s="39">
        <f>$J$3+[37]FormattedData!D73*$J$4+$M$4*$J$5+[37]FormattedData!D73^2*$J$6+$M$5*$J$7</f>
        <v>30.229463838483468</v>
      </c>
      <c r="L71" s="39">
        <f>$J$3+[37]FormattedData!E73*$J$4+$M$4*$J$5+[37]FormattedData!E73^2*$J$6+$M$5*$J$7</f>
        <v>29.060343219067619</v>
      </c>
      <c r="M71" s="39">
        <f>$J$3+[37]FormattedData!F73*$J$4+$M$4*$J$5+[37]FormattedData!F73^2*$J$6+$M$5*$J$7</f>
        <v>29.645664362458309</v>
      </c>
      <c r="N71" s="39">
        <f>$J$3+[37]FormattedData!G73*$J$4+$M$4*$J$5+[37]FormattedData!G73^2*$J$6+$M$5*$J$7</f>
        <v>28.767112022110204</v>
      </c>
      <c r="O71" s="39">
        <f>$J$3+[37]FormattedData!H73*$J$4+$M$4*$J$5+[37]FormattedData!H73^2*$J$6+$M$5*$J$7</f>
        <v>30.520792951233982</v>
      </c>
      <c r="P71" s="39">
        <f>$J$3+[37]FormattedData!I73*$J$4+$M$4*$J$5+[37]FormattedData!I73^2*$J$6+$M$5*$J$7</f>
        <v>30.617818118408294</v>
      </c>
      <c r="Q71" s="39">
        <f>$J$3+[37]FormattedData!J73*$J$4+$M$4*$J$5+[37]FormattedData!J73^2*$J$6+$M$5*$J$7</f>
        <v>30.035033087293474</v>
      </c>
      <c r="R71" s="39">
        <f>$J$3+[37]FormattedData!K73*$J$4+$M$4*$J$5+[37]FormattedData!K73^2*$J$6+$M$5*$J$7</f>
        <v>28.375545333302618</v>
      </c>
      <c r="S71" s="39">
        <f>$J$3+[37]FormattedData!L73*$J$4+$M$4*$J$5+[37]FormattedData!L73^2*$J$6+$M$5*$J$7</f>
        <v>28.864898022967274</v>
      </c>
      <c r="T71" s="39">
        <f>$J$3+[37]FormattedData!M73*$J$4+$M$4*$J$5+[37]FormattedData!M73^2*$J$6+$M$5*$J$7</f>
        <v>29.158002414310896</v>
      </c>
      <c r="U71" s="39">
        <f>$J$3+[37]FormattedData!N73*$J$4+$M$4*$J$5+[37]FormattedData!N73^2*$J$6+$M$5*$J$7</f>
        <v>30.229463838483468</v>
      </c>
      <c r="V71" s="39">
        <f>$J$3+[37]FormattedData!O73*$J$4+$M$4*$J$5+[37]FormattedData!O73^2*$J$6+$M$5*$J$7</f>
        <v>29.645664362458309</v>
      </c>
      <c r="W71" s="38">
        <f>AVERAGE(K71:V71)</f>
        <v>29.595816797548157</v>
      </c>
      <c r="X71" s="37">
        <f>STDEV(K71:V71)/SQRT(COUNT(K71:V71))</f>
        <v>0.21478380483344675</v>
      </c>
      <c r="Y71" s="36">
        <f>MIN(K71:V71)</f>
        <v>28.375545333302618</v>
      </c>
      <c r="Z71" s="35">
        <f>QUARTILE(K71:V71,1)</f>
        <v>29.011481920042534</v>
      </c>
      <c r="AA71" s="36">
        <f>MEDIAN(K71:V71)</f>
        <v>29.645664362458309</v>
      </c>
      <c r="AB71" s="35">
        <f>QUARTILE(K71:V71,3)</f>
        <v>30.229463838483468</v>
      </c>
      <c r="AC71" s="35">
        <f>MAX(K71:V71)</f>
        <v>30.617818118408294</v>
      </c>
      <c r="AD71" s="35">
        <f>SKEW(K71:V71)</f>
        <v>-0.14870556552944736</v>
      </c>
      <c r="AE71" s="35">
        <f>KURT(K71:V71)</f>
        <v>-1.3205242938034982</v>
      </c>
    </row>
    <row r="72" spans="2:31" x14ac:dyDescent="0.2">
      <c r="B72" s="34">
        <f>[37]FormattedData!A75</f>
        <v>307</v>
      </c>
      <c r="C72" s="34" t="str">
        <f>VLOOKUP($B72,[37]TrtCodes!$B$11:I118,2)</f>
        <v>NTH</v>
      </c>
      <c r="D72" s="34">
        <f>VLOOKUP($B72,[37]TrtCodes!$B$11:J118,3)</f>
        <v>9</v>
      </c>
      <c r="E72" s="34">
        <f>VLOOKUP($B72,[37]TrtCodes!$B$11:K118,4)</f>
        <v>2</v>
      </c>
      <c r="F72" s="34">
        <f>VLOOKUP($B72,[37]TrtCodes!$B$11:L118,5)</f>
        <v>2</v>
      </c>
      <c r="G72" s="34">
        <f>VLOOKUP($B72,[37]TrtCodes!$B$11:M118,6)</f>
        <v>2</v>
      </c>
      <c r="H72" s="34">
        <f>VLOOKUP($B72,[37]TrtCodes!$B$11:N118,7)</f>
        <v>4</v>
      </c>
      <c r="I72" s="34">
        <f>[37]FormattedData!B75</f>
        <v>2</v>
      </c>
      <c r="J72" s="37">
        <f>[37]FormattedData!C75</f>
        <v>13.57</v>
      </c>
      <c r="K72" s="39">
        <f>$J$3+[37]FormattedData!D75*$J$4+$M$4*$J$5+[37]FormattedData!D75^2*$J$6+$M$5*$J$7</f>
        <v>33.125636208126494</v>
      </c>
      <c r="L72" s="39">
        <f>$J$3+[37]FormattedData!E75*$J$4+$M$4*$J$5+[37]FormattedData!E75^2*$J$6+$M$5*$J$7</f>
        <v>33.508918263499574</v>
      </c>
      <c r="M72" s="39">
        <f>$J$3+[37]FormattedData!F75*$J$4+$M$4*$J$5+[37]FormattedData!F75^2*$J$6+$M$5*$J$7</f>
        <v>32.933741569212366</v>
      </c>
      <c r="N72" s="39">
        <f>$J$3+[37]FormattedData!G75*$J$4+$M$4*$J$5+[37]FormattedData!G75^2*$J$6+$M$5*$J$7</f>
        <v>33.700305679958532</v>
      </c>
      <c r="O72" s="39">
        <f>$J$3+[37]FormattedData!H75*$J$4+$M$4*$J$5+[37]FormattedData!H75^2*$J$6+$M$5*$J$7</f>
        <v>32.837730846948403</v>
      </c>
      <c r="P72" s="39">
        <f>$J$3+[37]FormattedData!I75*$J$4+$M$4*$J$5+[37]FormattedData!I75^2*$J$6+$M$5*$J$7</f>
        <v>32.645582596806683</v>
      </c>
      <c r="Q72" s="39">
        <f>$J$3+[37]FormattedData!J75*$J$4+$M$4*$J$5+[37]FormattedData!J75^2*$J$6+$M$5*$J$7</f>
        <v>32.645582596806683</v>
      </c>
      <c r="R72" s="39">
        <f>$J$3+[37]FormattedData!K75*$J$4+$M$4*$J$5+[37]FormattedData!K75^2*$J$6+$M$5*$J$7</f>
        <v>31.778823178541373</v>
      </c>
      <c r="S72" s="39">
        <f>$J$3+[37]FormattedData!L75*$J$4+$M$4*$J$5+[37]FormattedData!L75^2*$J$6+$M$5*$J$7</f>
        <v>33.795935985381121</v>
      </c>
      <c r="T72" s="39">
        <f>$J$3+[37]FormattedData!M75*$J$4+$M$4*$J$5+[37]FormattedData!M75^2*$J$6+$M$5*$J$7</f>
        <v>33.795935985381121</v>
      </c>
      <c r="U72" s="39">
        <f>$J$3+[37]FormattedData!N75*$J$4+$M$4*$J$5+[37]FormattedData!N75^2*$J$6+$M$5*$J$7</f>
        <v>33.029710022938389</v>
      </c>
      <c r="V72" s="39">
        <f>$J$3+[37]FormattedData!O75*$J$4+$M$4*$J$5+[37]FormattedData!O75^2*$J$6+$M$5*$J$7</f>
        <v>33.317361772888901</v>
      </c>
      <c r="W72" s="38">
        <f>AVERAGE(K72:V72)</f>
        <v>33.092938725540805</v>
      </c>
      <c r="X72" s="37">
        <f>STDEV(K72:V72)/SQRT(COUNT(K72:V72))</f>
        <v>0.16974593459144263</v>
      </c>
      <c r="Y72" s="36">
        <f>MIN(K72:V72)</f>
        <v>31.778823178541373</v>
      </c>
      <c r="Z72" s="35">
        <f>QUARTILE(K72:V72,1)</f>
        <v>32.789693784412975</v>
      </c>
      <c r="AA72" s="36">
        <f>MEDIAN(K72:V72)</f>
        <v>33.077673115532441</v>
      </c>
      <c r="AB72" s="35">
        <f>QUARTILE(K72:V72,3)</f>
        <v>33.556765117614312</v>
      </c>
      <c r="AC72" s="35">
        <f>MAX(K72:V72)</f>
        <v>33.795935985381121</v>
      </c>
      <c r="AD72" s="35">
        <f>SKEW(K72:V72)</f>
        <v>-0.78718154183249445</v>
      </c>
      <c r="AE72" s="35">
        <f>KURT(K72:V72)</f>
        <v>0.8753543249298934</v>
      </c>
    </row>
    <row r="73" spans="2:31" x14ac:dyDescent="0.2">
      <c r="B73" s="34">
        <f>[37]FormattedData!A77</f>
        <v>308</v>
      </c>
      <c r="C73" s="34" t="str">
        <f>VLOOKUP($B73,[37]TrtCodes!$B$11:I120,2)</f>
        <v>FDH</v>
      </c>
      <c r="D73" s="34">
        <f>VLOOKUP($B73,[37]TrtCodes!$B$11:J120,3)</f>
        <v>5</v>
      </c>
      <c r="E73" s="34">
        <f>VLOOKUP($B73,[37]TrtCodes!$B$11:K120,4)</f>
        <v>1</v>
      </c>
      <c r="F73" s="34">
        <f>VLOOKUP($B73,[37]TrtCodes!$B$11:L120,5)</f>
        <v>3</v>
      </c>
      <c r="G73" s="34">
        <f>VLOOKUP($B73,[37]TrtCodes!$B$11:M120,6)</f>
        <v>2</v>
      </c>
      <c r="H73" s="34">
        <f>VLOOKUP($B73,[37]TrtCodes!$B$11:N120,7)</f>
        <v>4</v>
      </c>
      <c r="I73" s="34">
        <f>[37]FormattedData!B77</f>
        <v>2</v>
      </c>
      <c r="J73" s="37">
        <f>[37]FormattedData!C77</f>
        <v>13.589</v>
      </c>
      <c r="K73" s="39">
        <f>$J$3+[37]FormattedData!D77*$J$4+$M$4*$J$5+[37]FormattedData!D77^2*$J$6+$M$5*$J$7</f>
        <v>31.778823178541373</v>
      </c>
      <c r="L73" s="39">
        <f>$J$3+[37]FormattedData!E77*$J$4+$M$4*$J$5+[37]FormattedData!E77^2*$J$6+$M$5*$J$7</f>
        <v>29.353193999183652</v>
      </c>
      <c r="M73" s="39">
        <f>$J$3+[37]FormattedData!F77*$J$4+$M$4*$J$5+[37]FormattedData!F77^2*$J$6+$M$5*$J$7</f>
        <v>30.811741647143119</v>
      </c>
      <c r="N73" s="39">
        <f>$J$3+[37]FormattedData!G77*$J$4+$M$4*$J$5+[37]FormattedData!G77^2*$J$6+$M$5*$J$7</f>
        <v>30.617818118408294</v>
      </c>
      <c r="O73" s="39">
        <f>$J$3+[37]FormattedData!H77*$J$4+$M$4*$J$5+[37]FormattedData!H77^2*$J$6+$M$5*$J$7</f>
        <v>29.353193999183652</v>
      </c>
      <c r="P73" s="39">
        <f>$J$3+[37]FormattedData!I77*$J$4+$M$4*$J$5+[37]FormattedData!I77^2*$J$6+$M$5*$J$7</f>
        <v>30.423725515521745</v>
      </c>
      <c r="Q73" s="39">
        <f>$J$3+[37]FormattedData!J77*$J$4+$M$4*$J$5+[37]FormattedData!J77^2*$J$6+$M$5*$J$7</f>
        <v>30.423725515521745</v>
      </c>
      <c r="R73" s="39">
        <f>$J$3+[37]FormattedData!K77*$J$4+$M$4*$J$5+[37]FormattedData!K77^2*$J$6+$M$5*$J$7</f>
        <v>30.035033087293474</v>
      </c>
      <c r="S73" s="39">
        <f>$J$3+[37]FormattedData!L77*$J$4+$M$4*$J$5+[37]FormattedData!L77^2*$J$6+$M$5*$J$7</f>
        <v>30.908640008703632</v>
      </c>
      <c r="T73" s="39">
        <f>$J$3+[37]FormattedData!M77*$J$4+$M$4*$J$5+[37]FormattedData!M77^2*$J$6+$M$5*$J$7</f>
        <v>30.229463838483468</v>
      </c>
      <c r="U73" s="39">
        <f>$J$3+[37]FormattedData!N77*$J$4+$M$4*$J$5+[37]FormattedData!N77^2*$J$6+$M$5*$J$7</f>
        <v>31.392497788437243</v>
      </c>
      <c r="V73" s="39">
        <f>$J$3+[37]FormattedData!O77*$J$4+$M$4*$J$5+[37]FormattedData!O77^2*$J$6+$M$5*$J$7</f>
        <v>31.005496101726212</v>
      </c>
      <c r="W73" s="38">
        <f>AVERAGE(K73:V73)</f>
        <v>30.527779399845638</v>
      </c>
      <c r="X73" s="37">
        <f>STDEV(K73:V73)/SQRT(COUNT(K73:V73))</f>
        <v>0.21119438946029076</v>
      </c>
      <c r="Y73" s="36">
        <f>MIN(K73:V73)</f>
        <v>29.353193999183652</v>
      </c>
      <c r="Z73" s="35">
        <f>QUARTILE(K73:V73,1)</f>
        <v>30.180856150685969</v>
      </c>
      <c r="AA73" s="36">
        <f>MEDIAN(K73:V73)</f>
        <v>30.52077181696502</v>
      </c>
      <c r="AB73" s="35">
        <f>QUARTILE(K73:V73,3)</f>
        <v>30.932854031959277</v>
      </c>
      <c r="AC73" s="35">
        <f>MAX(K73:V73)</f>
        <v>31.778823178541373</v>
      </c>
      <c r="AD73" s="35">
        <f>SKEW(K73:V73)</f>
        <v>-0.16631315227992394</v>
      </c>
      <c r="AE73" s="35">
        <f>KURT(K73:V73)</f>
        <v>-0.20373407774249008</v>
      </c>
    </row>
    <row r="74" spans="2:31" x14ac:dyDescent="0.2">
      <c r="B74" s="34">
        <f>[37]FormattedData!A93</f>
        <v>401</v>
      </c>
      <c r="C74" s="34" t="str">
        <f>VLOOKUP($B74,[37]TrtCodes!$B$11:I130,2)</f>
        <v>NSH</v>
      </c>
      <c r="D74" s="34">
        <f>VLOOKUP($B74,[37]TrtCodes!$B$11:J130,3)</f>
        <v>7</v>
      </c>
      <c r="E74" s="34">
        <f>VLOOKUP($B74,[37]TrtCodes!$B$11:K130,4)</f>
        <v>2</v>
      </c>
      <c r="F74" s="34">
        <f>VLOOKUP($B74,[37]TrtCodes!$B$11:L130,5)</f>
        <v>1</v>
      </c>
      <c r="G74" s="34">
        <f>VLOOKUP($B74,[37]TrtCodes!$B$11:M130,6)</f>
        <v>2</v>
      </c>
      <c r="H74" s="34">
        <f>VLOOKUP($B74,[37]TrtCodes!$B$11:N130,7)</f>
        <v>3</v>
      </c>
      <c r="I74" s="34">
        <f>[37]FormattedData!B93</f>
        <v>2</v>
      </c>
      <c r="J74" s="37">
        <f>[37]FormattedData!C93</f>
        <v>13.728999999999999</v>
      </c>
      <c r="K74" s="39">
        <f>$J$3+[37]FormattedData!D93*$J$4+$M$4*$J$5+[37]FormattedData!D93^2*$J$6+$M$5*$J$7</f>
        <v>32.933741569212366</v>
      </c>
      <c r="L74" s="39">
        <f>$J$3+[37]FormattedData!E93*$J$4+$M$4*$J$5+[37]FormattedData!E93^2*$J$6+$M$5*$J$7</f>
        <v>34.654706649977442</v>
      </c>
      <c r="M74" s="39">
        <f>$J$3+[37]FormattedData!F93*$J$4+$M$4*$J$5+[37]FormattedData!F93^2*$J$6+$M$5*$J$7</f>
        <v>34.082573290421273</v>
      </c>
      <c r="N74" s="39">
        <f>$J$3+[37]FormattedData!G93*$J$4+$M$4*$J$5+[37]FormattedData!G93^2*$J$6+$M$5*$J$7</f>
        <v>31.005496101726212</v>
      </c>
      <c r="O74" s="39">
        <f>$J$3+[37]FormattedData!H93*$J$4+$M$4*$J$5+[37]FormattedData!H93^2*$J$6+$M$5*$J$7</f>
        <v>36.267487669554399</v>
      </c>
      <c r="P74" s="39">
        <f>$J$3+[37]FormattedData!I93*$J$4+$M$4*$J$5+[37]FormattedData!I93^2*$J$6+$M$5*$J$7</f>
        <v>32.357043207559634</v>
      </c>
      <c r="Q74" s="39">
        <f>$J$3+[37]FormattedData!J93*$J$4+$M$4*$J$5+[37]FormattedData!J93^2*$J$6+$M$5*$J$7</f>
        <v>34.082573290421273</v>
      </c>
      <c r="R74" s="39">
        <f>$J$3+[37]FormattedData!K93*$J$4+$M$4*$J$5+[37]FormattedData!K93^2*$J$6+$M$5*$J$7</f>
        <v>36.928023414546928</v>
      </c>
      <c r="S74" s="39">
        <f>$J$3+[37]FormattedData!L93*$J$4+$M$4*$J$5+[37]FormattedData!L93^2*$J$6+$M$5*$J$7</f>
        <v>40.292348540435512</v>
      </c>
      <c r="T74" s="39">
        <f>$J$3+[37]FormattedData!M93*$J$4+$M$4*$J$5+[37]FormattedData!M93^2*$J$6+$M$5*$J$7</f>
        <v>35.6996657008672</v>
      </c>
      <c r="U74" s="39">
        <f>$J$3+[37]FormattedData!N93*$J$4+$M$4*$J$5+[37]FormattedData!N93^2*$J$6+$M$5*$J$7</f>
        <v>35.604880766203244</v>
      </c>
      <c r="V74" s="39">
        <f>$J$3+[37]FormattedData!O93*$J$4+$M$4*$J$5+[37]FormattedData!O93^2*$J$6+$M$5*$J$7</f>
        <v>40.385020048202918</v>
      </c>
      <c r="W74" s="38">
        <f>AVERAGE(K74:V74)</f>
        <v>35.357796687427367</v>
      </c>
      <c r="X74" s="37">
        <f>STDEV(K74:V74)/SQRT(COUNT(K74:V74))</f>
        <v>0.8287616785030909</v>
      </c>
      <c r="Y74" s="36">
        <f>MIN(K74:V74)</f>
        <v>31.005496101726212</v>
      </c>
      <c r="Z74" s="35">
        <f>QUARTILE(K74:V74,1)</f>
        <v>33.79536536011905</v>
      </c>
      <c r="AA74" s="36">
        <f>MEDIAN(K74:V74)</f>
        <v>35.129793708090347</v>
      </c>
      <c r="AB74" s="35">
        <f>QUARTILE(K74:V74,3)</f>
        <v>36.432621605802531</v>
      </c>
      <c r="AC74" s="35">
        <f>MAX(K74:V74)</f>
        <v>40.385020048202918</v>
      </c>
      <c r="AD74" s="35">
        <f>SKEW(K74:V74)</f>
        <v>0.57022224576739045</v>
      </c>
      <c r="AE74" s="35">
        <f>KURT(K74:V74)</f>
        <v>-4.7425046642352697E-2</v>
      </c>
    </row>
    <row r="75" spans="2:31" x14ac:dyDescent="0.2">
      <c r="B75" s="34">
        <f>[37]FormattedData!A91</f>
        <v>402</v>
      </c>
      <c r="C75" s="34" t="str">
        <f>VLOOKUP($B75,[37]TrtCodes!$B$11:I131,2)</f>
        <v>NTH</v>
      </c>
      <c r="D75" s="34">
        <f>VLOOKUP($B75,[37]TrtCodes!$B$11:J131,3)</f>
        <v>9</v>
      </c>
      <c r="E75" s="34">
        <f>VLOOKUP($B75,[37]TrtCodes!$B$11:K131,4)</f>
        <v>2</v>
      </c>
      <c r="F75" s="34">
        <f>VLOOKUP($B75,[37]TrtCodes!$B$11:L131,5)</f>
        <v>2</v>
      </c>
      <c r="G75" s="34">
        <f>VLOOKUP($B75,[37]TrtCodes!$B$11:M131,6)</f>
        <v>2</v>
      </c>
      <c r="H75" s="34">
        <f>VLOOKUP($B75,[37]TrtCodes!$B$11:N131,7)</f>
        <v>3</v>
      </c>
      <c r="I75" s="34">
        <f>[37]FormattedData!B91</f>
        <v>2</v>
      </c>
      <c r="J75" s="37">
        <f>[37]FormattedData!C91</f>
        <v>13.712</v>
      </c>
      <c r="K75" s="39">
        <f>$J$3+[37]FormattedData!D91*$J$4+$M$4*$J$5+[37]FormattedData!D91^2*$J$6+$M$5*$J$7</f>
        <v>35.035283518922938</v>
      </c>
      <c r="L75" s="39">
        <f>$J$3+[37]FormattedData!E91*$J$4+$M$4*$J$5+[37]FormattedData!E91^2*$J$6+$M$5*$J$7</f>
        <v>33.604633105998026</v>
      </c>
      <c r="M75" s="39">
        <f>$J$3+[37]FormattedData!F91*$J$4+$M$4*$J$5+[37]FormattedData!F91^2*$J$6+$M$5*$J$7</f>
        <v>31.199081482157588</v>
      </c>
      <c r="N75" s="39">
        <f>$J$3+[37]FormattedData!G91*$J$4+$M$4*$J$5+[37]FormattedData!G91^2*$J$6+$M$5*$J$7</f>
        <v>31.87529885472258</v>
      </c>
      <c r="O75" s="39">
        <f>$J$3+[37]FormattedData!H91*$J$4+$M$4*$J$5+[37]FormattedData!H91^2*$J$6+$M$5*$J$7</f>
        <v>35.130322064814479</v>
      </c>
      <c r="P75" s="39">
        <f>$J$3+[37]FormattedData!I91*$J$4+$M$4*$J$5+[37]FormattedData!I91^2*$J$6+$M$5*$J$7</f>
        <v>32.357043207559634</v>
      </c>
      <c r="Q75" s="39">
        <f>$J$3+[37]FormattedData!J91*$J$4+$M$4*$J$5+[37]FormattedData!J91^2*$J$6+$M$5*$J$7</f>
        <v>33.508918263499574</v>
      </c>
      <c r="R75" s="39">
        <f>$J$3+[37]FormattedData!K91*$J$4+$M$4*$J$5+[37]FormattedData!K91^2*$J$6+$M$5*$J$7</f>
        <v>33.029710022938389</v>
      </c>
      <c r="S75" s="39">
        <f>$J$3+[37]FormattedData!L91*$J$4+$M$4*$J$5+[37]FormattedData!L91^2*$J$6+$M$5*$J$7</f>
        <v>32.549445068928932</v>
      </c>
      <c r="T75" s="39">
        <f>$J$3+[37]FormattedData!M91*$J$4+$M$4*$J$5+[37]FormattedData!M91^2*$J$6+$M$5*$J$7</f>
        <v>32.06812340147119</v>
      </c>
      <c r="U75" s="39">
        <f>$J$3+[37]FormattedData!N91*$J$4+$M$4*$J$5+[37]FormattedData!N91^2*$J$6+$M$5*$J$7</f>
        <v>32.453265272513249</v>
      </c>
      <c r="V75" s="39">
        <f>$J$3+[37]FormattedData!O91*$J$4+$M$4*$J$5+[37]FormattedData!O91^2*$J$6+$M$5*$J$7</f>
        <v>33.317361772888901</v>
      </c>
      <c r="W75" s="38">
        <f>AVERAGE(K75:V75)</f>
        <v>33.010707169701298</v>
      </c>
      <c r="X75" s="37">
        <f>STDEV(K75:V75)/SQRT(COUNT(K75:V75))</f>
        <v>0.34484759223266964</v>
      </c>
      <c r="Y75" s="36">
        <f>MIN(K75:V75)</f>
        <v>31.199081482157588</v>
      </c>
      <c r="Z75" s="35">
        <f>QUARTILE(K75:V75,1)</f>
        <v>32.284813256037523</v>
      </c>
      <c r="AA75" s="36">
        <f>MEDIAN(K75:V75)</f>
        <v>32.78957754593366</v>
      </c>
      <c r="AB75" s="35">
        <f>QUARTILE(K75:V75,3)</f>
        <v>33.532846974124183</v>
      </c>
      <c r="AC75" s="35">
        <f>MAX(K75:V75)</f>
        <v>35.130322064814479</v>
      </c>
      <c r="AD75" s="35">
        <f>SKEW(K75:V75)</f>
        <v>0.60063877298339319</v>
      </c>
      <c r="AE75" s="35">
        <f>KURT(K75:V75)</f>
        <v>-0.10809510285251678</v>
      </c>
    </row>
    <row r="76" spans="2:31" x14ac:dyDescent="0.2">
      <c r="B76" s="34">
        <f>[37]FormattedData!A89</f>
        <v>403</v>
      </c>
      <c r="C76" s="34" t="str">
        <f>VLOOKUP($B76,[37]TrtCodes!$B$11:I132,2)</f>
        <v>FDL</v>
      </c>
      <c r="D76" s="34">
        <f>VLOOKUP($B76,[37]TrtCodes!$B$11:J132,3)</f>
        <v>6</v>
      </c>
      <c r="E76" s="34">
        <f>VLOOKUP($B76,[37]TrtCodes!$B$11:K132,4)</f>
        <v>1</v>
      </c>
      <c r="F76" s="34">
        <f>VLOOKUP($B76,[37]TrtCodes!$B$11:L132,5)</f>
        <v>3</v>
      </c>
      <c r="G76" s="34">
        <f>VLOOKUP($B76,[37]TrtCodes!$B$11:M132,6)</f>
        <v>1</v>
      </c>
      <c r="H76" s="34">
        <f>VLOOKUP($B76,[37]TrtCodes!$B$11:N132,7)</f>
        <v>3</v>
      </c>
      <c r="I76" s="34">
        <f>[37]FormattedData!B89</f>
        <v>2</v>
      </c>
      <c r="J76" s="37">
        <f>[37]FormattedData!C89</f>
        <v>13.696</v>
      </c>
      <c r="K76" s="39">
        <f>$J$3+[37]FormattedData!D89*$J$4+$M$4*$J$5+[37]FormattedData!D89^2*$J$6+$M$5*$J$7</f>
        <v>28.962641755286413</v>
      </c>
      <c r="L76" s="39">
        <f>$J$3+[37]FormattedData!E89*$J$4+$M$4*$J$5+[37]FormattedData!E89^2*$J$6+$M$5*$J$7</f>
        <v>28.962641755286413</v>
      </c>
      <c r="M76" s="39">
        <f>$J$3+[37]FormattedData!F89*$J$4+$M$4*$J$5+[37]FormattedData!F89^2*$J$6+$M$5*$J$7</f>
        <v>29.450726388813138</v>
      </c>
      <c r="N76" s="39">
        <f>$J$3+[37]FormattedData!G89*$J$4+$M$4*$J$5+[37]FormattedData!G89^2*$J$6+$M$5*$J$7</f>
        <v>28.767112022110204</v>
      </c>
      <c r="O76" s="39">
        <f>$J$3+[37]FormattedData!H89*$J$4+$M$4*$J$5+[37]FormattedData!H89^2*$J$6+$M$5*$J$7</f>
        <v>30.714801017044671</v>
      </c>
      <c r="P76" s="39">
        <f>$J$3+[37]FormattedData!I89*$J$4+$M$4*$J$5+[37]FormattedData!I89^2*$J$6+$M$5*$J$7</f>
        <v>29.840433261951759</v>
      </c>
      <c r="Q76" s="39">
        <f>$J$3+[37]FormattedData!J89*$J$4+$M$4*$J$5+[37]FormattedData!J89^2*$J$6+$M$5*$J$7</f>
        <v>30.132269597157439</v>
      </c>
      <c r="R76" s="39">
        <f>$J$3+[37]FormattedData!K89*$J$4+$M$4*$J$5+[37]FormattedData!K89^2*$J$6+$M$5*$J$7</f>
        <v>29.937754308891581</v>
      </c>
      <c r="S76" s="39">
        <f>$J$3+[37]FormattedData!L89*$J$4+$M$4*$J$5+[37]FormattedData!L89^2*$J$6+$M$5*$J$7</f>
        <v>29.353193999183652</v>
      </c>
      <c r="T76" s="39">
        <f>$J$3+[37]FormattedData!M89*$J$4+$M$4*$J$5+[37]FormattedData!M89^2*$J$6+$M$5*$J$7</f>
        <v>29.255619341016239</v>
      </c>
      <c r="U76" s="39">
        <f>$J$3+[37]FormattedData!N89*$J$4+$M$4*$J$5+[37]FormattedData!N89^2*$J$6+$M$5*$J$7</f>
        <v>29.450726388813138</v>
      </c>
      <c r="V76" s="39">
        <f>$J$3+[37]FormattedData!O89*$J$4+$M$4*$J$5+[37]FormattedData!O89^2*$J$6+$M$5*$J$7</f>
        <v>29.060343219067619</v>
      </c>
      <c r="W76" s="38">
        <f>AVERAGE(K76:V76)</f>
        <v>29.490688587885188</v>
      </c>
      <c r="X76" s="37">
        <f>STDEV(K76:V76)/SQRT(COUNT(K76:V76))</f>
        <v>0.164594310533279</v>
      </c>
      <c r="Y76" s="36">
        <f>MIN(K76:V76)</f>
        <v>28.767112022110204</v>
      </c>
      <c r="Z76" s="35">
        <f>QUARTILE(K76:V76,1)</f>
        <v>29.035917853122317</v>
      </c>
      <c r="AA76" s="36">
        <f>MEDIAN(K76:V76)</f>
        <v>29.401960193998395</v>
      </c>
      <c r="AB76" s="35">
        <f>QUARTILE(K76:V76,3)</f>
        <v>29.864763523686715</v>
      </c>
      <c r="AC76" s="35">
        <f>MAX(K76:V76)</f>
        <v>30.714801017044671</v>
      </c>
      <c r="AD76" s="35">
        <f>SKEW(K76:V76)</f>
        <v>0.86030408383073287</v>
      </c>
      <c r="AE76" s="35">
        <f>KURT(K76:V76)</f>
        <v>0.34567777224489848</v>
      </c>
    </row>
    <row r="77" spans="2:31" x14ac:dyDescent="0.2">
      <c r="B77" s="34">
        <f>[37]FormattedData!A87</f>
        <v>404</v>
      </c>
      <c r="C77" s="34" t="str">
        <f>VLOOKUP($B77,[37]TrtCodes!$B$11:I130,2)</f>
        <v>FTH</v>
      </c>
      <c r="D77" s="34">
        <f>VLOOKUP($B77,[37]TrtCodes!$B$11:J130,3)</f>
        <v>3</v>
      </c>
      <c r="E77" s="34">
        <f>VLOOKUP($B77,[37]TrtCodes!$B$11:K130,4)</f>
        <v>1</v>
      </c>
      <c r="F77" s="34">
        <f>VLOOKUP($B77,[37]TrtCodes!$B$11:L130,5)</f>
        <v>2</v>
      </c>
      <c r="G77" s="34">
        <f>VLOOKUP($B77,[37]TrtCodes!$B$11:M130,6)</f>
        <v>2</v>
      </c>
      <c r="H77" s="34">
        <f>VLOOKUP($B77,[37]TrtCodes!$B$11:N130,7)</f>
        <v>3</v>
      </c>
      <c r="I77" s="34">
        <f>[37]FormattedData!B87</f>
        <v>2</v>
      </c>
      <c r="J77" s="37">
        <f>[37]FormattedData!C87</f>
        <v>13.68</v>
      </c>
      <c r="K77" s="39">
        <f>$J$3+[37]FormattedData!D87*$J$4+$M$4*$J$5+[37]FormattedData!D87^2*$J$6+$M$5*$J$7</f>
        <v>29.645664362458309</v>
      </c>
      <c r="L77" s="39">
        <f>$J$3+[37]FormattedData!E87*$J$4+$M$4*$J$5+[37]FormattedData!E87^2*$J$6+$M$5*$J$7</f>
        <v>29.158002414310896</v>
      </c>
      <c r="M77" s="39">
        <f>$J$3+[37]FormattedData!F87*$J$4+$M$4*$J$5+[37]FormattedData!F87^2*$J$6+$M$5*$J$7</f>
        <v>32.164472272038594</v>
      </c>
      <c r="N77" s="39">
        <f>$J$3+[37]FormattedData!G87*$J$4+$M$4*$J$5+[37]FormattedData!G87^2*$J$6+$M$5*$J$7</f>
        <v>29.743069946473994</v>
      </c>
      <c r="O77" s="39">
        <f>$J$3+[37]FormattedData!H87*$J$4+$M$4*$J$5+[37]FormattedData!H87^2*$J$6+$M$5*$J$7</f>
        <v>30.423725515521745</v>
      </c>
      <c r="P77" s="39">
        <f>$J$3+[37]FormattedData!I87*$J$4+$M$4*$J$5+[37]FormattedData!I87^2*$J$6+$M$5*$J$7</f>
        <v>30.908640008703632</v>
      </c>
      <c r="Q77" s="39">
        <f>$J$3+[37]FormattedData!J87*$J$4+$M$4*$J$5+[37]FormattedData!J87^2*$J$6+$M$5*$J$7</f>
        <v>28.081426497048646</v>
      </c>
      <c r="R77" s="39">
        <f>$J$3+[37]FormattedData!K87*$J$4+$M$4*$J$5+[37]FormattedData!K87^2*$J$6+$M$5*$J$7</f>
        <v>29.937754308891581</v>
      </c>
      <c r="S77" s="39">
        <f>$J$3+[37]FormattedData!L87*$J$4+$M$4*$J$5+[37]FormattedData!L87^2*$J$6+$M$5*$J$7</f>
        <v>29.840433261951759</v>
      </c>
      <c r="T77" s="39">
        <f>$J$3+[37]FormattedData!M87*$J$4+$M$4*$J$5+[37]FormattedData!M87^2*$J$6+$M$5*$J$7</f>
        <v>29.743069946473994</v>
      </c>
      <c r="U77" s="39">
        <f>$J$3+[37]FormattedData!N87*$J$4+$M$4*$J$5+[37]FormattedData!N87^2*$J$6+$M$5*$J$7</f>
        <v>29.255619341016239</v>
      </c>
      <c r="V77" s="39">
        <f>$J$3+[37]FormattedData!O87*$J$4+$M$4*$J$5+[37]FormattedData!O87^2*$J$6+$M$5*$J$7</f>
        <v>29.158002414310896</v>
      </c>
      <c r="W77" s="38">
        <f>AVERAGE(K77:V77)</f>
        <v>29.838323357433357</v>
      </c>
      <c r="X77" s="37">
        <f>STDEV(K77:V77)/SQRT(COUNT(K77:V77))</f>
        <v>0.29279609194419831</v>
      </c>
      <c r="Y77" s="36">
        <f>MIN(K77:V77)</f>
        <v>28.081426497048646</v>
      </c>
      <c r="Z77" s="35">
        <f>QUARTILE(K77:V77,1)</f>
        <v>29.231215109339903</v>
      </c>
      <c r="AA77" s="36">
        <f>MEDIAN(K77:V77)</f>
        <v>29.743069946473994</v>
      </c>
      <c r="AB77" s="35">
        <f>QUARTILE(K77:V77,3)</f>
        <v>30.059247110549123</v>
      </c>
      <c r="AC77" s="35">
        <f>MAX(K77:V77)</f>
        <v>32.164472272038594</v>
      </c>
      <c r="AD77" s="35">
        <f>SKEW(K77:V77)</f>
        <v>0.81077618300069443</v>
      </c>
      <c r="AE77" s="35">
        <f>KURT(K77:V77)</f>
        <v>2.0386089501819145</v>
      </c>
    </row>
    <row r="78" spans="2:31" x14ac:dyDescent="0.2">
      <c r="B78" s="34">
        <f>[37]FormattedData!A85</f>
        <v>405</v>
      </c>
      <c r="C78" s="34" t="str">
        <f>VLOOKUP($B78,[37]TrtCodes!$B$11:I128,2)</f>
        <v>FDL</v>
      </c>
      <c r="D78" s="34">
        <f>VLOOKUP($B78,[37]TrtCodes!$B$11:J128,3)</f>
        <v>6</v>
      </c>
      <c r="E78" s="34">
        <f>VLOOKUP($B78,[37]TrtCodes!$B$11:K128,4)</f>
        <v>1</v>
      </c>
      <c r="F78" s="34">
        <f>VLOOKUP($B78,[37]TrtCodes!$B$11:L128,5)</f>
        <v>3</v>
      </c>
      <c r="G78" s="34">
        <f>VLOOKUP($B78,[37]TrtCodes!$B$11:M128,6)</f>
        <v>1</v>
      </c>
      <c r="H78" s="34">
        <f>VLOOKUP($B78,[37]TrtCodes!$B$11:N128,7)</f>
        <v>4</v>
      </c>
      <c r="I78" s="34">
        <f>[37]FormattedData!B85</f>
        <v>2</v>
      </c>
      <c r="J78" s="37">
        <f>[37]FormattedData!C85</f>
        <v>13.663</v>
      </c>
      <c r="K78" s="39">
        <f>$J$3+[37]FormattedData!D85*$J$4+$M$4*$J$5+[37]FormattedData!D85^2*$J$6+$M$5*$J$7</f>
        <v>29.743069946473994</v>
      </c>
      <c r="L78" s="39">
        <f>$J$3+[37]FormattedData!E85*$J$4+$M$4*$J$5+[37]FormattedData!E85^2*$J$6+$M$5*$J$7</f>
        <v>28.277547989755888</v>
      </c>
      <c r="M78" s="39">
        <f>$J$3+[37]FormattedData!F85*$J$4+$M$4*$J$5+[37]FormattedData!F85^2*$J$6+$M$5*$J$7</f>
        <v>29.450726388813138</v>
      </c>
      <c r="N78" s="39">
        <f>$J$3+[37]FormattedData!G85*$J$4+$M$4*$J$5+[37]FormattedData!G85^2*$J$6+$M$5*$J$7</f>
        <v>29.548216509904684</v>
      </c>
      <c r="O78" s="39">
        <f>$J$3+[37]FormattedData!H85*$J$4+$M$4*$J$5+[37]FormattedData!H85^2*$J$6+$M$5*$J$7</f>
        <v>28.179508377671233</v>
      </c>
      <c r="P78" s="39">
        <f>$J$3+[37]FormattedData!I85*$J$4+$M$4*$J$5+[37]FormattedData!I85^2*$J$6+$M$5*$J$7</f>
        <v>29.353193999183652</v>
      </c>
      <c r="Q78" s="39">
        <f>$J$3+[37]FormattedData!J85*$J$4+$M$4*$J$5+[37]FormattedData!J85^2*$J$6+$M$5*$J$7</f>
        <v>29.937754308891581</v>
      </c>
      <c r="R78" s="39">
        <f>$J$3+[37]FormattedData!K85*$J$4+$M$4*$J$5+[37]FormattedData!K85^2*$J$6+$M$5*$J$7</f>
        <v>29.840433261951759</v>
      </c>
      <c r="S78" s="39">
        <f>$J$3+[37]FormattedData!L85*$J$4+$M$4*$J$5+[37]FormattedData!L85^2*$J$6+$M$5*$J$7</f>
        <v>30.714801017044671</v>
      </c>
      <c r="T78" s="39">
        <f>$J$3+[37]FormattedData!M85*$J$4+$M$4*$J$5+[37]FormattedData!M85^2*$J$6+$M$5*$J$7</f>
        <v>29.548216509904684</v>
      </c>
      <c r="U78" s="39">
        <f>$J$3+[37]FormattedData!N85*$J$4+$M$4*$J$5+[37]FormattedData!N85^2*$J$6+$M$5*$J$7</f>
        <v>30.520792951233982</v>
      </c>
      <c r="V78" s="39">
        <f>$J$3+[37]FormattedData!O85*$J$4+$M$4*$J$5+[37]FormattedData!O85^2*$J$6+$M$5*$J$7</f>
        <v>30.811741647143119</v>
      </c>
      <c r="W78" s="38">
        <f>AVERAGE(K78:V78)</f>
        <v>29.660500242331036</v>
      </c>
      <c r="X78" s="37">
        <f>STDEV(K78:V78)/SQRT(COUNT(K78:V78))</f>
        <v>0.23935875843542845</v>
      </c>
      <c r="Y78" s="36">
        <f>MIN(K78:V78)</f>
        <v>28.179508377671233</v>
      </c>
      <c r="Z78" s="35">
        <f>QUARTILE(K78:V78,1)</f>
        <v>29.426343291405765</v>
      </c>
      <c r="AA78" s="36">
        <f>MEDIAN(K78:V78)</f>
        <v>29.645643228189339</v>
      </c>
      <c r="AB78" s="35">
        <f>QUARTILE(K78:V78,3)</f>
        <v>30.083513969477181</v>
      </c>
      <c r="AC78" s="35">
        <f>MAX(K78:V78)</f>
        <v>30.811741647143119</v>
      </c>
      <c r="AD78" s="35">
        <f>SKEW(K78:V78)</f>
        <v>-0.49224608109171142</v>
      </c>
      <c r="AE78" s="35">
        <f>KURT(K78:V78)</f>
        <v>-2.398215577847651E-2</v>
      </c>
    </row>
    <row r="79" spans="2:31" x14ac:dyDescent="0.2">
      <c r="B79" s="34">
        <f>[37]FormattedData!A83</f>
        <v>406</v>
      </c>
      <c r="C79" s="34" t="str">
        <f>VLOOKUP($B79,[37]TrtCodes!$B$11:I126,2)</f>
        <v>FTH</v>
      </c>
      <c r="D79" s="34">
        <f>VLOOKUP($B79,[37]TrtCodes!$B$11:J126,3)</f>
        <v>3</v>
      </c>
      <c r="E79" s="34">
        <f>VLOOKUP($B79,[37]TrtCodes!$B$11:K126,4)</f>
        <v>1</v>
      </c>
      <c r="F79" s="34">
        <f>VLOOKUP($B79,[37]TrtCodes!$B$11:L126,5)</f>
        <v>2</v>
      </c>
      <c r="G79" s="34">
        <f>VLOOKUP($B79,[37]TrtCodes!$B$11:M126,6)</f>
        <v>2</v>
      </c>
      <c r="H79" s="34">
        <f>VLOOKUP($B79,[37]TrtCodes!$B$11:N126,7)</f>
        <v>4</v>
      </c>
      <c r="I79" s="34">
        <f>[37]FormattedData!B83</f>
        <v>2</v>
      </c>
      <c r="J79" s="37">
        <f>[37]FormattedData!C83</f>
        <v>13.645</v>
      </c>
      <c r="K79" s="39">
        <f>$J$3+[37]FormattedData!D83*$J$4+$M$4*$J$5+[37]FormattedData!D83^2*$J$6+$M$5*$J$7</f>
        <v>30.132269597157439</v>
      </c>
      <c r="L79" s="39">
        <f>$J$3+[37]FormattedData!E83*$J$4+$M$4*$J$5+[37]FormattedData!E83^2*$J$6+$M$5*$J$7</f>
        <v>29.255619341016239</v>
      </c>
      <c r="M79" s="39">
        <f>$J$3+[37]FormattedData!F83*$J$4+$M$4*$J$5+[37]FormattedData!F83^2*$J$6+$M$5*$J$7</f>
        <v>28.962641755286413</v>
      </c>
      <c r="N79" s="39">
        <f>$J$3+[37]FormattedData!G83*$J$4+$M$4*$J$5+[37]FormattedData!G83^2*$J$6+$M$5*$J$7</f>
        <v>28.962641755286413</v>
      </c>
      <c r="O79" s="39">
        <f>$J$3+[37]FormattedData!H83*$J$4+$M$4*$J$5+[37]FormattedData!H83^2*$J$6+$M$5*$J$7</f>
        <v>32.164472272038594</v>
      </c>
      <c r="P79" s="39">
        <f>$J$3+[37]FormattedData!I83*$J$4+$M$4*$J$5+[37]FormattedData!I83^2*$J$6+$M$5*$J$7</f>
        <v>29.450726388813138</v>
      </c>
      <c r="Q79" s="39">
        <f>$J$3+[37]FormattedData!J83*$J$4+$M$4*$J$5+[37]FormattedData!J83^2*$J$6+$M$5*$J$7</f>
        <v>28.767112022110204</v>
      </c>
      <c r="R79" s="39">
        <f>$J$3+[37]FormattedData!K83*$J$4+$M$4*$J$5+[37]FormattedData!K83^2*$J$6+$M$5*$J$7</f>
        <v>30.132269597157439</v>
      </c>
      <c r="S79" s="39">
        <f>$J$3+[37]FormattedData!L83*$J$4+$M$4*$J$5+[37]FormattedData!L83^2*$J$6+$M$5*$J$7</f>
        <v>31.199081482157588</v>
      </c>
      <c r="T79" s="39">
        <f>$J$3+[37]FormattedData!M83*$J$4+$M$4*$J$5+[37]FormattedData!M83^2*$J$6+$M$5*$J$7</f>
        <v>29.645664362458309</v>
      </c>
      <c r="U79" s="39">
        <f>$J$3+[37]FormattedData!N83*$J$4+$M$4*$J$5+[37]FormattedData!N83^2*$J$6+$M$5*$J$7</f>
        <v>29.548216509904684</v>
      </c>
      <c r="V79" s="39">
        <f>$J$3+[37]FormattedData!O83*$J$4+$M$4*$J$5+[37]FormattedData!O83^2*$J$6+$M$5*$J$7</f>
        <v>30.326615811271576</v>
      </c>
      <c r="W79" s="38">
        <f>AVERAGE(K79:V79)</f>
        <v>29.878944241221504</v>
      </c>
      <c r="X79" s="37">
        <f>STDEV(K79:V79)/SQRT(COUNT(K79:V79))</f>
        <v>0.28796904019275349</v>
      </c>
      <c r="Y79" s="36">
        <f>MIN(K79:V79)</f>
        <v>28.767112022110204</v>
      </c>
      <c r="Z79" s="35">
        <f>QUARTILE(K79:V79,1)</f>
        <v>29.182374944583781</v>
      </c>
      <c r="AA79" s="36">
        <f>MEDIAN(K79:V79)</f>
        <v>29.596940436181498</v>
      </c>
      <c r="AB79" s="35">
        <f>QUARTILE(K79:V79,3)</f>
        <v>30.180856150685972</v>
      </c>
      <c r="AC79" s="35">
        <f>MAX(K79:V79)</f>
        <v>32.164472272038594</v>
      </c>
      <c r="AD79" s="35">
        <f>SKEW(K79:V79)</f>
        <v>1.2175332338699703</v>
      </c>
      <c r="AE79" s="35">
        <f>KURT(K79:V79)</f>
        <v>1.2989368581991689</v>
      </c>
    </row>
    <row r="80" spans="2:31" x14ac:dyDescent="0.2">
      <c r="B80" s="34">
        <f>[37]FormattedData!A81</f>
        <v>407</v>
      </c>
      <c r="C80" s="34" t="str">
        <f>VLOOKUP($B80,[37]TrtCodes!$B$11:I124,2)</f>
        <v>NSH</v>
      </c>
      <c r="D80" s="34">
        <f>VLOOKUP($B80,[37]TrtCodes!$B$11:J124,3)</f>
        <v>7</v>
      </c>
      <c r="E80" s="34">
        <f>VLOOKUP($B80,[37]TrtCodes!$B$11:K124,4)</f>
        <v>2</v>
      </c>
      <c r="F80" s="34">
        <f>VLOOKUP($B80,[37]TrtCodes!$B$11:L124,5)</f>
        <v>1</v>
      </c>
      <c r="G80" s="34">
        <f>VLOOKUP($B80,[37]TrtCodes!$B$11:M124,6)</f>
        <v>2</v>
      </c>
      <c r="H80" s="34">
        <f>VLOOKUP($B80,[37]TrtCodes!$B$11:N124,7)</f>
        <v>4</v>
      </c>
      <c r="I80" s="34">
        <f>[37]FormattedData!B81</f>
        <v>2</v>
      </c>
      <c r="J80" s="37">
        <f>[37]FormattedData!C81</f>
        <v>13.627000000000001</v>
      </c>
      <c r="K80" s="39">
        <f>$J$3+[37]FormattedData!D81*$J$4+$M$4*$J$5+[37]FormattedData!D81^2*$J$6+$M$5*$J$7</f>
        <v>38.803855894998456</v>
      </c>
      <c r="L80" s="39">
        <f>$J$3+[37]FormattedData!E81*$J$4+$M$4*$J$5+[37]FormattedData!E81^2*$J$6+$M$5*$J$7</f>
        <v>33.413161152463204</v>
      </c>
      <c r="M80" s="39">
        <f>$J$3+[37]FormattedData!F81*$J$4+$M$4*$J$5+[37]FormattedData!F81^2*$J$6+$M$5*$J$7</f>
        <v>41.032537083512651</v>
      </c>
      <c r="N80" s="39">
        <f>$J$3+[37]FormattedData!G81*$J$4+$M$4*$J$5+[37]FormattedData!G81^2*$J$6+$M$5*$J$7</f>
        <v>30.811741647143119</v>
      </c>
      <c r="O80" s="39">
        <f>$J$3+[37]FormattedData!H81*$J$4+$M$4*$J$5+[37]FormattedData!H81^2*$J$6+$M$5*$J$7</f>
        <v>34.082573290421273</v>
      </c>
      <c r="P80" s="39">
        <f>$J$3+[37]FormattedData!I81*$J$4+$M$4*$J$5+[37]FormattedData!I81^2*$J$6+$M$5*$J$7</f>
        <v>35.035283518922938</v>
      </c>
      <c r="Q80" s="39">
        <f>$J$3+[37]FormattedData!J81*$J$4+$M$4*$J$5+[37]FormattedData!J81^2*$J$6+$M$5*$J$7</f>
        <v>32.06812340147119</v>
      </c>
      <c r="R80" s="39">
        <f>$J$3+[37]FormattedData!K81*$J$4+$M$4*$J$5+[37]FormattedData!K81^2*$J$6+$M$5*$J$7</f>
        <v>35.98376689363149</v>
      </c>
      <c r="S80" s="39">
        <f>$J$3+[37]FormattedData!L81*$J$4+$M$4*$J$5+[37]FormattedData!L81^2*$J$6+$M$5*$J$7</f>
        <v>37.398566604832226</v>
      </c>
      <c r="T80" s="39">
        <f>$J$3+[37]FormattedData!M81*$J$4+$M$4*$J$5+[37]FormattedData!M81^2*$J$6+$M$5*$J$7</f>
        <v>36.267487669554399</v>
      </c>
      <c r="U80" s="39">
        <f>$J$3+[37]FormattedData!N81*$J$4+$M$4*$J$5+[37]FormattedData!N81^2*$J$6+$M$5*$J$7</f>
        <v>34.178034521692126</v>
      </c>
      <c r="V80" s="39">
        <f>$J$3+[37]FormattedData!O81*$J$4+$M$4*$J$5+[37]FormattedData!O81^2*$J$6+$M$5*$J$7</f>
        <v>34.940202704493458</v>
      </c>
      <c r="W80" s="38">
        <f>AVERAGE(K80:V80)</f>
        <v>35.334611198594708</v>
      </c>
      <c r="X80" s="37">
        <f>STDEV(K80:V80)/SQRT(COUNT(K80:V80))</f>
        <v>0.81659992216445954</v>
      </c>
      <c r="Y80" s="36">
        <f>MIN(K80:V80)</f>
        <v>30.811741647143119</v>
      </c>
      <c r="Z80" s="35">
        <f>QUARTILE(K80:V80,1)</f>
        <v>33.915220255931757</v>
      </c>
      <c r="AA80" s="36">
        <f>MEDIAN(K80:V80)</f>
        <v>34.987743111708198</v>
      </c>
      <c r="AB80" s="35">
        <f>QUARTILE(K80:V80,3)</f>
        <v>36.550257403373855</v>
      </c>
      <c r="AC80" s="35">
        <f>MAX(K80:V80)</f>
        <v>41.032537083512651</v>
      </c>
      <c r="AD80" s="35">
        <f>SKEW(K80:V80)</f>
        <v>0.47497932289743361</v>
      </c>
      <c r="AE80" s="35">
        <f>KURT(K80:V80)</f>
        <v>0.31804224930130953</v>
      </c>
    </row>
    <row r="81" spans="2:31" x14ac:dyDescent="0.2">
      <c r="B81" s="34">
        <f>[37]FormattedData!A79</f>
        <v>408</v>
      </c>
      <c r="C81" s="34" t="str">
        <f>VLOOKUP($B81,[37]TrtCodes!$B$11:I122,2)</f>
        <v>NTL</v>
      </c>
      <c r="D81" s="34">
        <f>VLOOKUP($B81,[37]TrtCodes!$B$11:J122,3)</f>
        <v>10</v>
      </c>
      <c r="E81" s="34">
        <f>VLOOKUP($B81,[37]TrtCodes!$B$11:K122,4)</f>
        <v>2</v>
      </c>
      <c r="F81" s="34">
        <f>VLOOKUP($B81,[37]TrtCodes!$B$11:L122,5)</f>
        <v>2</v>
      </c>
      <c r="G81" s="34">
        <f>VLOOKUP($B81,[37]TrtCodes!$B$11:M122,6)</f>
        <v>1</v>
      </c>
      <c r="H81" s="34">
        <f>VLOOKUP($B81,[37]TrtCodes!$B$11:N122,7)</f>
        <v>4</v>
      </c>
      <c r="I81" s="34">
        <f>[37]FormattedData!B79</f>
        <v>2</v>
      </c>
      <c r="J81" s="37">
        <f>[37]FormattedData!C79</f>
        <v>13.61</v>
      </c>
      <c r="K81" s="39">
        <f>$J$3+[37]FormattedData!D79*$J$4+$M$4*$J$5+[37]FormattedData!D79^2*$J$6+$M$5*$J$7</f>
        <v>31.778823178541373</v>
      </c>
      <c r="L81" s="39">
        <f>$J$3+[37]FormattedData!E79*$J$4+$M$4*$J$5+[37]FormattedData!E79^2*$J$6+$M$5*$J$7</f>
        <v>33.029710022938389</v>
      </c>
      <c r="M81" s="39">
        <f>$J$3+[37]FormattedData!F79*$J$4+$M$4*$J$5+[37]FormattedData!F79^2*$J$6+$M$5*$J$7</f>
        <v>32.549445068928932</v>
      </c>
      <c r="N81" s="39">
        <f>$J$3+[37]FormattedData!G79*$J$4+$M$4*$J$5+[37]FormattedData!G79^2*$J$6+$M$5*$J$7</f>
        <v>32.645582596806683</v>
      </c>
      <c r="O81" s="39">
        <f>$J$3+[37]FormattedData!H79*$J$4+$M$4*$J$5+[37]FormattedData!H79^2*$J$6+$M$5*$J$7</f>
        <v>33.413161152463204</v>
      </c>
      <c r="P81" s="39">
        <f>$J$3+[37]FormattedData!I79*$J$4+$M$4*$J$5+[37]FormattedData!I79^2*$J$6+$M$5*$J$7</f>
        <v>31.102309926210872</v>
      </c>
      <c r="Q81" s="39">
        <f>$J$3+[37]FormattedData!J79*$J$4+$M$4*$J$5+[37]FormattedData!J79^2*$J$6+$M$5*$J$7</f>
        <v>31.102309926210872</v>
      </c>
      <c r="R81" s="39">
        <f>$J$3+[37]FormattedData!K79*$J$4+$M$4*$J$5+[37]FormattedData!K79^2*$J$6+$M$5*$J$7</f>
        <v>34.654706649977442</v>
      </c>
      <c r="S81" s="39">
        <f>$J$3+[37]FormattedData!L79*$J$4+$M$4*$J$5+[37]FormattedData!L79^2*$J$6+$M$5*$J$7</f>
        <v>34.845079621526061</v>
      </c>
      <c r="T81" s="39">
        <f>$J$3+[37]FormattedData!M79*$J$4+$M$4*$J$5+[37]FormattedData!M79^2*$J$6+$M$5*$J$7</f>
        <v>35.794408366993231</v>
      </c>
      <c r="U81" s="39">
        <f>$J$3+[37]FormattedData!N79*$J$4+$M$4*$J$5+[37]FormattedData!N79^2*$J$6+$M$5*$J$7</f>
        <v>32.26077887406808</v>
      </c>
      <c r="V81" s="39">
        <f>$J$3+[37]FormattedData!O79*$J$4+$M$4*$J$5+[37]FormattedData!O79^2*$J$6+$M$5*$J$7</f>
        <v>32.06812340147119</v>
      </c>
      <c r="W81" s="38">
        <f>AVERAGE(K81:V81)</f>
        <v>32.937036565511363</v>
      </c>
      <c r="X81" s="37">
        <f>STDEV(K81:V81)/SQRT(COUNT(K81:V81))</f>
        <v>0.43092821322856817</v>
      </c>
      <c r="Y81" s="36">
        <f>MIN(K81:V81)</f>
        <v>31.102309926210872</v>
      </c>
      <c r="Z81" s="35">
        <f>QUARTILE(K81:V81,1)</f>
        <v>31.995798345738734</v>
      </c>
      <c r="AA81" s="36">
        <f>MEDIAN(K81:V81)</f>
        <v>32.597513832867804</v>
      </c>
      <c r="AB81" s="35">
        <f>QUARTILE(K81:V81,3)</f>
        <v>33.723547526841763</v>
      </c>
      <c r="AC81" s="35">
        <f>MAX(K81:V81)</f>
        <v>35.794408366993231</v>
      </c>
      <c r="AD81" s="35">
        <f>SKEW(K81:V81)</f>
        <v>0.67222454303987256</v>
      </c>
      <c r="AE81" s="35">
        <f>KURT(K81:V81)</f>
        <v>-0.41764193428216068</v>
      </c>
    </row>
    <row r="82" spans="2:31" x14ac:dyDescent="0.2">
      <c r="B82" s="34">
        <f>[37]FormattedData!A59</f>
        <v>902</v>
      </c>
      <c r="C82" s="34" t="str">
        <f>VLOOKUP($B82,[37]TrtCodes!$B$11:I102,2)</f>
        <v>Late</v>
      </c>
      <c r="D82" s="34">
        <f>VLOOKUP($B82,[37]TrtCodes!$B$11:J102,3)</f>
        <v>22</v>
      </c>
      <c r="E82" s="34">
        <f>VLOOKUP($B82,[37]TrtCodes!$B$11:K102,4)</f>
        <v>4</v>
      </c>
      <c r="F82" s="34">
        <f>VLOOKUP($B82,[37]TrtCodes!$B$11:L102,5)</f>
        <v>2</v>
      </c>
      <c r="G82" s="34">
        <f>VLOOKUP($B82,[37]TrtCodes!$B$11:M102,6)</f>
        <v>2</v>
      </c>
      <c r="H82" s="34">
        <f>VLOOKUP($B82,[37]TrtCodes!$B$11:N102,7)</f>
        <v>1</v>
      </c>
      <c r="I82" s="34">
        <f>[37]FormattedData!B59</f>
        <v>2</v>
      </c>
      <c r="J82" s="37">
        <f>[37]FormattedData!C59</f>
        <v>13.441000000000001</v>
      </c>
      <c r="K82" s="39">
        <f>$J$3+[37]FormattedData!D59*$J$4+$M$4*$J$5+[37]FormattedData!D59^2*$J$6+$M$5*$J$7</f>
        <v>28.277547989755888</v>
      </c>
      <c r="L82" s="39">
        <f>$J$3+[37]FormattedData!E59*$J$4+$M$4*$J$5+[37]FormattedData!E59^2*$J$6+$M$5*$J$7</f>
        <v>28.277547989755888</v>
      </c>
      <c r="M82" s="39">
        <f>$J$3+[37]FormattedData!F59*$J$4+$M$4*$J$5+[37]FormattedData!F59^2*$J$6+$M$5*$J$7</f>
        <v>28.081426497048646</v>
      </c>
      <c r="N82" s="39">
        <f>$J$3+[37]FormattedData!G59*$J$4+$M$4*$J$5+[37]FormattedData!G59^2*$J$6+$M$5*$J$7</f>
        <v>29.060343219067619</v>
      </c>
      <c r="O82" s="39">
        <f>$J$3+[37]FormattedData!H59*$J$4+$M$4*$J$5+[37]FormattedData!H59^2*$J$6+$M$5*$J$7</f>
        <v>29.450726388813138</v>
      </c>
      <c r="P82" s="39">
        <f>$J$3+[37]FormattedData!I59*$J$4+$M$4*$J$5+[37]FormattedData!I59^2*$J$6+$M$5*$J$7</f>
        <v>28.767112022110204</v>
      </c>
      <c r="Q82" s="39">
        <f>$J$3+[37]FormattedData!J59*$J$4+$M$4*$J$5+[37]FormattedData!J59^2*$J$6+$M$5*$J$7</f>
        <v>29.937754308891581</v>
      </c>
      <c r="R82" s="39">
        <f>$J$3+[37]FormattedData!K59*$J$4+$M$4*$J$5+[37]FormattedData!K59^2*$J$6+$M$5*$J$7</f>
        <v>27.393669813628463</v>
      </c>
      <c r="S82" s="39">
        <f>$J$3+[37]FormattedData!L59*$J$4+$M$4*$J$5+[37]FormattedData!L59^2*$J$6+$M$5*$J$7</f>
        <v>28.962641755286413</v>
      </c>
      <c r="T82" s="39">
        <f>$J$3+[37]FormattedData!M59*$J$4+$M$4*$J$5+[37]FormattedData!M59^2*$J$6+$M$5*$J$7</f>
        <v>28.473500408311409</v>
      </c>
      <c r="U82" s="39">
        <f>$J$3+[37]FormattedData!N59*$J$4+$M$4*$J$5+[37]FormattedData!N59^2*$J$6+$M$5*$J$7</f>
        <v>28.179508377671233</v>
      </c>
      <c r="V82" s="39">
        <f>$J$3+[37]FormattedData!O59*$J$4+$M$4*$J$5+[37]FormattedData!O59^2*$J$6+$M$5*$J$7</f>
        <v>28.277547989755888</v>
      </c>
      <c r="W82" s="38">
        <f>AVERAGE(K82:V82)</f>
        <v>28.594943896674696</v>
      </c>
      <c r="X82" s="37">
        <f>STDEV(K82:V82)/SQRT(COUNT(K82:V82))</f>
        <v>0.19681668912813027</v>
      </c>
      <c r="Y82" s="36">
        <f>MIN(K82:V82)</f>
        <v>27.393669813628463</v>
      </c>
      <c r="Z82" s="35">
        <f>QUARTILE(K82:V82,1)</f>
        <v>28.253038086734726</v>
      </c>
      <c r="AA82" s="36">
        <f>MEDIAN(K82:V82)</f>
        <v>28.375524199033649</v>
      </c>
      <c r="AB82" s="35">
        <f>QUARTILE(K82:V82,3)</f>
        <v>28.987067121231714</v>
      </c>
      <c r="AC82" s="35">
        <f>MAX(K82:V82)</f>
        <v>29.937754308891581</v>
      </c>
      <c r="AD82" s="35">
        <f>SKEW(K82:V82)</f>
        <v>0.40111540058961315</v>
      </c>
      <c r="AE82" s="35">
        <f>KURT(K82:V82)</f>
        <v>0.39043462603744672</v>
      </c>
    </row>
    <row r="83" spans="2:31" x14ac:dyDescent="0.2">
      <c r="B83" s="34">
        <f>[37]FormattedData!A55</f>
        <v>904</v>
      </c>
      <c r="C83" s="34" t="str">
        <f>VLOOKUP($B83,[37]TrtCodes!$B$11:I98,2)</f>
        <v>Early</v>
      </c>
      <c r="D83" s="34">
        <f>VLOOKUP($B83,[37]TrtCodes!$B$11:J98,3)</f>
        <v>21</v>
      </c>
      <c r="E83" s="34">
        <f>VLOOKUP($B83,[37]TrtCodes!$B$11:K98,4)</f>
        <v>3</v>
      </c>
      <c r="F83" s="34">
        <f>VLOOKUP($B83,[37]TrtCodes!$B$11:L98,5)</f>
        <v>2</v>
      </c>
      <c r="G83" s="34">
        <f>VLOOKUP($B83,[37]TrtCodes!$B$11:M98,6)</f>
        <v>2</v>
      </c>
      <c r="H83" s="34">
        <f>VLOOKUP($B83,[37]TrtCodes!$B$11:N98,7)</f>
        <v>1</v>
      </c>
      <c r="I83" s="34">
        <f>[37]FormattedData!B55</f>
        <v>2</v>
      </c>
      <c r="J83" s="37">
        <f>[37]FormattedData!C55</f>
        <v>13.416</v>
      </c>
      <c r="K83" s="39">
        <f>$J$3+[37]FormattedData!D55*$J$4+$M$4*$J$5+[37]FormattedData!D55^2*$J$6+$M$5*$J$7</f>
        <v>28.669283752715202</v>
      </c>
      <c r="L83" s="39">
        <f>$J$3+[37]FormattedData!E55*$J$4+$M$4*$J$5+[37]FormattedData!E55^2*$J$6+$M$5*$J$7</f>
        <v>29.060343219067619</v>
      </c>
      <c r="M83" s="39">
        <f>$J$3+[37]FormattedData!F55*$J$4+$M$4*$J$5+[37]FormattedData!F55^2*$J$6+$M$5*$J$7</f>
        <v>28.767112022110204</v>
      </c>
      <c r="N83" s="39">
        <f>$J$3+[37]FormattedData!G55*$J$4+$M$4*$J$5+[37]FormattedData!G55^2*$J$6+$M$5*$J$7</f>
        <v>28.962641755286413</v>
      </c>
      <c r="O83" s="39">
        <f>$J$3+[37]FormattedData!H55*$J$4+$M$4*$J$5+[37]FormattedData!H55^2*$J$6+$M$5*$J$7</f>
        <v>28.767112022110204</v>
      </c>
      <c r="P83" s="39">
        <f>$J$3+[37]FormattedData!I55*$J$4+$M$4*$J$5+[37]FormattedData!I55^2*$J$6+$M$5*$J$7</f>
        <v>27.88513593018968</v>
      </c>
      <c r="Q83" s="39">
        <f>$J$3+[37]FormattedData!J55*$J$4+$M$4*$J$5+[37]FormattedData!J55^2*$J$6+$M$5*$J$7</f>
        <v>28.767112022110204</v>
      </c>
      <c r="R83" s="39">
        <f>$J$3+[37]FormattedData!K55*$J$4+$M$4*$J$5+[37]FormattedData!K55^2*$J$6+$M$5*$J$7</f>
        <v>29.840433261951759</v>
      </c>
      <c r="S83" s="39">
        <f>$J$3+[37]FormattedData!L55*$J$4+$M$4*$J$5+[37]FormattedData!L55^2*$J$6+$M$5*$J$7</f>
        <v>27.983302347888131</v>
      </c>
      <c r="T83" s="39">
        <f>$J$3+[37]FormattedData!M55*$J$4+$M$4*$J$5+[37]FormattedData!M55^2*$J$6+$M$5*$J$7</f>
        <v>27.88513593018968</v>
      </c>
      <c r="U83" s="39">
        <f>$J$3+[37]FormattedData!N55*$J$4+$M$4*$J$5+[37]FormattedData!N55^2*$J$6+$M$5*$J$7</f>
        <v>28.571413214782272</v>
      </c>
      <c r="V83" s="39">
        <f>$J$3+[37]FormattedData!O55*$J$4+$M$4*$J$5+[37]FormattedData!O55^2*$J$6+$M$5*$J$7</f>
        <v>28.571413214782272</v>
      </c>
      <c r="W83" s="38">
        <f>AVERAGE(K83:V83)</f>
        <v>28.644203224431973</v>
      </c>
      <c r="X83" s="37">
        <f>STDEV(K83:V83)/SQRT(COUNT(K83:V83))</f>
        <v>0.15933678122318096</v>
      </c>
      <c r="Y83" s="36">
        <f>MIN(K83:V83)</f>
        <v>27.88513593018968</v>
      </c>
      <c r="Z83" s="35">
        <f>QUARTILE(K83:V83,1)</f>
        <v>28.424385498058736</v>
      </c>
      <c r="AA83" s="36">
        <f>MEDIAN(K83:V83)</f>
        <v>28.718197887412703</v>
      </c>
      <c r="AB83" s="35">
        <f>QUARTILE(K83:V83,3)</f>
        <v>28.815994455404258</v>
      </c>
      <c r="AC83" s="35">
        <f>MAX(K83:V83)</f>
        <v>29.840433261951759</v>
      </c>
      <c r="AD83" s="35">
        <f>SKEW(K83:V83)</f>
        <v>0.42656764675595421</v>
      </c>
      <c r="AE83" s="35">
        <f>KURT(K83:V83)</f>
        <v>0.96375968403405476</v>
      </c>
    </row>
    <row r="84" spans="2:31" x14ac:dyDescent="0.2">
      <c r="B84" s="34">
        <f>[37]FormattedData!A51</f>
        <v>906</v>
      </c>
      <c r="C84" s="34" t="str">
        <f>VLOOKUP($B84,[37]TrtCodes!$B$11:I94,2)</f>
        <v>Late</v>
      </c>
      <c r="D84" s="34">
        <f>VLOOKUP($B84,[37]TrtCodes!$B$11:J94,3)</f>
        <v>22</v>
      </c>
      <c r="E84" s="34">
        <f>VLOOKUP($B84,[37]TrtCodes!$B$11:K94,4)</f>
        <v>4</v>
      </c>
      <c r="F84" s="34">
        <f>VLOOKUP($B84,[37]TrtCodes!$B$11:L94,5)</f>
        <v>2</v>
      </c>
      <c r="G84" s="34">
        <f>VLOOKUP($B84,[37]TrtCodes!$B$11:M94,6)</f>
        <v>2</v>
      </c>
      <c r="H84" s="34">
        <f>VLOOKUP($B84,[37]TrtCodes!$B$11:N94,7)</f>
        <v>2</v>
      </c>
      <c r="I84" s="34">
        <f>[37]FormattedData!B51</f>
        <v>2</v>
      </c>
      <c r="J84" s="37">
        <f>[37]FormattedData!C51</f>
        <v>13.391</v>
      </c>
      <c r="K84" s="39">
        <f>$J$3+[37]FormattedData!D51*$J$4+$M$4*$J$5+[37]FormattedData!D51^2*$J$6+$M$5*$J$7</f>
        <v>29.353193999183652</v>
      </c>
      <c r="L84" s="39">
        <f>$J$3+[37]FormattedData!E51*$J$4+$M$4*$J$5+[37]FormattedData!E51^2*$J$6+$M$5*$J$7</f>
        <v>28.473500408311409</v>
      </c>
      <c r="M84" s="39">
        <f>$J$3+[37]FormattedData!F51*$J$4+$M$4*$J$5+[37]FormattedData!F51^2*$J$6+$M$5*$J$7</f>
        <v>27.590383065866742</v>
      </c>
      <c r="N84" s="39">
        <f>$J$3+[37]FormattedData!G51*$J$4+$M$4*$J$5+[37]FormattedData!G51^2*$J$6+$M$5*$J$7</f>
        <v>29.548216509904684</v>
      </c>
      <c r="O84" s="39">
        <f>$J$3+[37]FormattedData!H51*$J$4+$M$4*$J$5+[37]FormattedData!H51^2*$J$6+$M$5*$J$7</f>
        <v>29.158002414310896</v>
      </c>
      <c r="P84" s="39">
        <f>$J$3+[37]FormattedData!I51*$J$4+$M$4*$J$5+[37]FormattedData!I51^2*$J$6+$M$5*$J$7</f>
        <v>28.962641755286413</v>
      </c>
      <c r="Q84" s="39">
        <f>$J$3+[37]FormattedData!J51*$J$4+$M$4*$J$5+[37]FormattedData!J51^2*$J$6+$M$5*$J$7</f>
        <v>28.571413214782272</v>
      </c>
      <c r="R84" s="39">
        <f>$J$3+[37]FormattedData!K51*$J$4+$M$4*$J$5+[37]FormattedData!K51^2*$J$6+$M$5*$J$7</f>
        <v>30.617818118408294</v>
      </c>
      <c r="S84" s="39">
        <f>$J$3+[37]FormattedData!L51*$J$4+$M$4*$J$5+[37]FormattedData!L51^2*$J$6+$M$5*$J$7</f>
        <v>29.255619341016239</v>
      </c>
      <c r="T84" s="39">
        <f>$J$3+[37]FormattedData!M51*$J$4+$M$4*$J$5+[37]FormattedData!M51^2*$J$6+$M$5*$J$7</f>
        <v>29.060343219067619</v>
      </c>
      <c r="U84" s="39">
        <f>$J$3+[37]FormattedData!N51*$J$4+$M$4*$J$5+[37]FormattedData!N51^2*$J$6+$M$5*$J$7</f>
        <v>29.645664362458309</v>
      </c>
      <c r="V84" s="39">
        <f>$J$3+[37]FormattedData!O51*$J$4+$M$4*$J$5+[37]FormattedData!O51^2*$J$6+$M$5*$J$7</f>
        <v>29.255619341016239</v>
      </c>
      <c r="W84" s="38">
        <f>AVERAGE(K84:V84)</f>
        <v>29.124367979134401</v>
      </c>
      <c r="X84" s="37">
        <f>STDEV(K84:V84)/SQRT(COUNT(K84:V84))</f>
        <v>0.2111026085988591</v>
      </c>
      <c r="Y84" s="36">
        <f>MIN(K84:V84)</f>
        <v>27.590383065866742</v>
      </c>
      <c r="Z84" s="35">
        <f>QUARTILE(K84:V84,1)</f>
        <v>28.864834620160376</v>
      </c>
      <c r="AA84" s="36">
        <f>MEDIAN(K84:V84)</f>
        <v>29.206810877663568</v>
      </c>
      <c r="AB84" s="35">
        <f>QUARTILE(K84:V84,3)</f>
        <v>29.40194962686391</v>
      </c>
      <c r="AC84" s="35">
        <f>MAX(K84:V84)</f>
        <v>30.617818118408294</v>
      </c>
      <c r="AD84" s="35">
        <f>SKEW(K84:V84)</f>
        <v>-0.13769152044756999</v>
      </c>
      <c r="AE84" s="35">
        <f>KURT(K84:V84)</f>
        <v>1.9697626412590745</v>
      </c>
    </row>
    <row r="85" spans="2:31" x14ac:dyDescent="0.2">
      <c r="B85" s="34">
        <f>[37]FormattedData!A47</f>
        <v>908</v>
      </c>
      <c r="C85" s="34" t="str">
        <f>VLOOKUP($B85,[37]TrtCodes!$B$11:I90,2)</f>
        <v>Early</v>
      </c>
      <c r="D85" s="34">
        <f>VLOOKUP($B85,[37]TrtCodes!$B$11:J90,3)</f>
        <v>21</v>
      </c>
      <c r="E85" s="34">
        <f>VLOOKUP($B85,[37]TrtCodes!$B$11:K90,4)</f>
        <v>3</v>
      </c>
      <c r="F85" s="34">
        <f>VLOOKUP($B85,[37]TrtCodes!$B$11:L90,5)</f>
        <v>2</v>
      </c>
      <c r="G85" s="34">
        <f>VLOOKUP($B85,[37]TrtCodes!$B$11:M90,6)</f>
        <v>2</v>
      </c>
      <c r="H85" s="34">
        <f>VLOOKUP($B85,[37]TrtCodes!$B$11:N90,7)</f>
        <v>2</v>
      </c>
      <c r="I85" s="34">
        <f>[37]FormattedData!B47</f>
        <v>2</v>
      </c>
      <c r="J85" s="37">
        <f>[37]FormattedData!C47</f>
        <v>13.365</v>
      </c>
      <c r="K85" s="39">
        <f>$J$3+[37]FormattedData!D47*$J$4+$M$4*$J$5+[37]FormattedData!D47^2*$J$6+$M$5*$J$7</f>
        <v>28.571413214782272</v>
      </c>
      <c r="L85" s="39">
        <f>$J$3+[37]FormattedData!E47*$J$4+$M$4*$J$5+[37]FormattedData!E47^2*$J$6+$M$5*$J$7</f>
        <v>29.060343219067619</v>
      </c>
      <c r="M85" s="39">
        <f>$J$3+[37]FormattedData!F47*$J$4+$M$4*$J$5+[37]FormattedData!F47^2*$J$6+$M$5*$J$7</f>
        <v>28.571413214782272</v>
      </c>
      <c r="N85" s="39">
        <f>$J$3+[37]FormattedData!G47*$J$4+$M$4*$J$5+[37]FormattedData!G47^2*$J$6+$M$5*$J$7</f>
        <v>30.035033087293474</v>
      </c>
      <c r="O85" s="39">
        <f>$J$3+[37]FormattedData!H47*$J$4+$M$4*$J$5+[37]FormattedData!H47^2*$J$6+$M$5*$J$7</f>
        <v>29.743069946473994</v>
      </c>
      <c r="P85" s="39">
        <f>$J$3+[37]FormattedData!I47*$J$4+$M$4*$J$5+[37]FormattedData!I47^2*$J$6+$M$5*$J$7</f>
        <v>29.548216509904684</v>
      </c>
      <c r="Q85" s="39">
        <f>$J$3+[37]FormattedData!J47*$J$4+$M$4*$J$5+[37]FormattedData!J47^2*$J$6+$M$5*$J$7</f>
        <v>31.971732262365851</v>
      </c>
      <c r="R85" s="39">
        <f>$J$3+[37]FormattedData!K47*$J$4+$M$4*$J$5+[37]FormattedData!K47^2*$J$6+$M$5*$J$7</f>
        <v>28.767112022110204</v>
      </c>
      <c r="S85" s="39">
        <f>$J$3+[37]FormattedData!L47*$J$4+$M$4*$J$5+[37]FormattedData!L47^2*$J$6+$M$5*$J$7</f>
        <v>30.811741647143119</v>
      </c>
      <c r="T85" s="39">
        <f>$J$3+[37]FormattedData!M47*$J$4+$M$4*$J$5+[37]FormattedData!M47^2*$J$6+$M$5*$J$7</f>
        <v>28.669283752715202</v>
      </c>
      <c r="U85" s="39">
        <f>$J$3+[37]FormattedData!N47*$J$4+$M$4*$J$5+[37]FormattedData!N47^2*$J$6+$M$5*$J$7</f>
        <v>29.158002414310896</v>
      </c>
      <c r="V85" s="39">
        <f>$J$3+[37]FormattedData!O47*$J$4+$M$4*$J$5+[37]FormattedData!O47^2*$J$6+$M$5*$J$7</f>
        <v>29.255619341016239</v>
      </c>
      <c r="W85" s="38">
        <f>AVERAGE(K85:V85)</f>
        <v>29.513581719330485</v>
      </c>
      <c r="X85" s="37">
        <f>STDEV(K85:V85)/SQRT(COUNT(K85:V85))</f>
        <v>0.2951286911234271</v>
      </c>
      <c r="Y85" s="36">
        <f>MIN(K85:V85)</f>
        <v>28.571413214782272</v>
      </c>
      <c r="Z85" s="35">
        <f>QUARTILE(K85:V85,1)</f>
        <v>28.742654954761456</v>
      </c>
      <c r="AA85" s="36">
        <f>MEDIAN(K85:V85)</f>
        <v>29.206810877663568</v>
      </c>
      <c r="AB85" s="35">
        <f>QUARTILE(K85:V85,3)</f>
        <v>29.816060731678864</v>
      </c>
      <c r="AC85" s="35">
        <f>MAX(K85:V85)</f>
        <v>31.971732262365851</v>
      </c>
      <c r="AD85" s="35">
        <f>SKEW(K85:V85)</f>
        <v>1.4649141284429301</v>
      </c>
      <c r="AE85" s="35">
        <f>KURT(K85:V85)</f>
        <v>2.0082015616057749</v>
      </c>
    </row>
    <row r="88" spans="2:31" x14ac:dyDescent="0.2">
      <c r="W88" s="35"/>
    </row>
  </sheetData>
  <autoFilter ref="B9:AE85" xr:uid="{CEB97D6D-A676-4CFD-9C0E-2952F98B612F}"/>
  <conditionalFormatting sqref="K10:V85">
    <cfRule type="cellIs" dxfId="143" priority="1" stopIfTrue="1" operator="lessThan">
      <formula>$W10-$V$5*$X10</formula>
    </cfRule>
    <cfRule type="cellIs" dxfId="142" priority="2" stopIfTrue="1" operator="greaterThan">
      <formula>$W10+$V$5*$X10</formula>
    </cfRule>
  </conditionalFormatting>
  <conditionalFormatting sqref="W10:W85">
    <cfRule type="cellIs" dxfId="141" priority="3" stopIfTrue="1" operator="lessThan">
      <formula>AVERAGE($W$10:$W$41)</formula>
    </cfRule>
    <cfRule type="cellIs" dxfId="14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A7F5-F7EF-462D-9653-5645F7870927}">
  <sheetPr codeName="Sheet7"/>
  <dimension ref="A1:AI88"/>
  <sheetViews>
    <sheetView topLeftCell="A8" workbookViewId="0">
      <pane xSplit="4" ySplit="2" topLeftCell="M30" activePane="bottomRight" state="frozen"/>
      <selection activeCell="A8" sqref="A8"/>
      <selection pane="topRight" activeCell="E8" sqref="E8"/>
      <selection pane="bottomLeft" activeCell="A10" sqref="A10"/>
      <selection pane="bottomRight" activeCell="W89" sqref="W89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[36]FormattedData!A1</f>
        <v>Raw data file name - 'IA162.03R'</v>
      </c>
    </row>
    <row r="2" spans="1:35" ht="15" x14ac:dyDescent="0.25">
      <c r="I2" s="65" t="s">
        <v>136</v>
      </c>
      <c r="J2" s="57"/>
      <c r="P2" s="64">
        <f>[36]AncillaryData!C10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[36]AncillaryData!E25</f>
        <v>33.6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"&amp;[36]AncillaryData!C7</f>
        <v>Time Sequence of Midday IRT Temps - FISE 2003 - DOY 162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"&amp;[36]AncillaryData!E25&amp;", VPD = "&amp;ROUND([36]AncillaryData!E29,1)&amp;", Quality = "&amp;[36]AncillaryData!C20&amp;")"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[36]FormattedData!A28</f>
        <v>101</v>
      </c>
      <c r="C10" s="34" t="str">
        <f>VLOOKUP($B10,[36]TrtCodes!$B$11:I71,2)</f>
        <v>FSH</v>
      </c>
      <c r="D10" s="34">
        <f>VLOOKUP($B10,[36]TrtCodes!$B$11:J71,3)</f>
        <v>1</v>
      </c>
      <c r="E10" s="34">
        <f>VLOOKUP($B10,[36]TrtCodes!$B$11:K71,4)</f>
        <v>1</v>
      </c>
      <c r="F10" s="34">
        <f>VLOOKUP($B10,[36]TrtCodes!$B$11:L71,5)</f>
        <v>1</v>
      </c>
      <c r="G10" s="34">
        <f>VLOOKUP($B10,[36]TrtCodes!$B$11:M71,6)</f>
        <v>2</v>
      </c>
      <c r="H10" s="34">
        <f>VLOOKUP($B10,[36]TrtCodes!$B$11:N71,7)</f>
        <v>1</v>
      </c>
      <c r="I10" s="34">
        <f>[36]FormattedData!B28</f>
        <v>1</v>
      </c>
      <c r="J10" s="37">
        <f>[36]FormattedData!C28</f>
        <v>12.894</v>
      </c>
      <c r="K10" s="39">
        <f>$J$3+[36]FormattedData!D28*$J$4+$M$4*$J$5+[36]FormattedData!D28^2*$J$6+$M$5*$J$7</f>
        <v>35.849006425672016</v>
      </c>
      <c r="L10" s="39">
        <f>$J$3+[36]FormattedData!E28*$J$4+$M$4*$J$5+[36]FormattedData!E28^2*$J$6+$M$5*$J$7</f>
        <v>33.468815924590274</v>
      </c>
      <c r="M10" s="39">
        <f>$J$3+[36]FormattedData!F28*$J$4+$M$4*$J$5+[36]FormattedData!F28^2*$J$6+$M$5*$J$7</f>
        <v>34.328727839710758</v>
      </c>
      <c r="N10" s="39">
        <f>$J$3+[36]FormattedData!G28*$J$4+$M$4*$J$5+[36]FormattedData!G28^2*$J$6+$M$5*$J$7</f>
        <v>30.189361499574169</v>
      </c>
      <c r="O10" s="39">
        <f>$J$3+[36]FormattedData!H28*$J$4+$M$4*$J$5+[36]FormattedData!H28^2*$J$6+$M$5*$J$7</f>
        <v>33.85142168335647</v>
      </c>
      <c r="P10" s="39">
        <f>$J$3+[36]FormattedData!I28*$J$4+$M$4*$J$5+[36]FormattedData!I28^2*$J$6+$M$5*$J$7</f>
        <v>32.028021062561891</v>
      </c>
      <c r="Q10" s="39">
        <f>$J$3+[36]FormattedData!J28*$J$4+$M$4*$J$5+[36]FormattedData!J28^2*$J$6+$M$5*$J$7</f>
        <v>34.519354422486948</v>
      </c>
      <c r="R10" s="39">
        <f>$J$3+[36]FormattedData!K28*$J$4+$M$4*$J$5+[36]FormattedData!K28^2*$J$6+$M$5*$J$7</f>
        <v>35.090219725905179</v>
      </c>
      <c r="S10" s="39">
        <f>$J$3+[36]FormattedData!L28*$J$4+$M$4*$J$5+[36]FormattedData!L28^2*$J$6+$M$5*$J$7</f>
        <v>35.185216003258802</v>
      </c>
      <c r="T10" s="39">
        <f>$J$3+[36]FormattedData!M28*$J$4+$M$4*$J$5+[36]FormattedData!M28^2*$J$6+$M$5*$J$7</f>
        <v>34.042470951511973</v>
      </c>
      <c r="U10" s="39">
        <f>$J$3+[36]FormattedData!N28*$J$4+$M$4*$J$5+[36]FormattedData!N28^2*$J$6+$M$5*$J$7</f>
        <v>34.424062265367809</v>
      </c>
      <c r="V10" s="39">
        <f>$J$3+[36]FormattedData!O28*$J$4+$M$4*$J$5+[36]FormattedData!O28^2*$J$6+$M$5*$J$7</f>
        <v>33.277259433979602</v>
      </c>
      <c r="W10" s="38">
        <f>AVERAGE(K10:V10)</f>
        <v>33.854494769831327</v>
      </c>
      <c r="X10" s="37">
        <f>STDEV(K10:V10)/SQRT(COUNT(K10:V10))</f>
        <v>0.43998756691426411</v>
      </c>
      <c r="Y10" s="36">
        <f>MIN(K10:V10)</f>
        <v>30.189361499574169</v>
      </c>
      <c r="Z10" s="35">
        <f>QUARTILE(K10:V10,1)</f>
        <v>33.420926801937604</v>
      </c>
      <c r="AA10" s="36">
        <f>MEDIAN(K10:V10)</f>
        <v>34.185599395611362</v>
      </c>
      <c r="AB10" s="35">
        <f>QUARTILE(K10:V10,3)</f>
        <v>34.662070748341506</v>
      </c>
      <c r="AC10" s="35">
        <f>MAX(K10:V10)</f>
        <v>35.849006425672016</v>
      </c>
      <c r="AD10" s="35">
        <f>SKEW(K10:V10)</f>
        <v>-1.3189132409517694</v>
      </c>
      <c r="AE10" s="35">
        <f>KURT(K10:V10)</f>
        <v>2.1964724068120587</v>
      </c>
    </row>
    <row r="11" spans="1:35" x14ac:dyDescent="0.2">
      <c r="B11" s="34">
        <f>[36]FormattedData!A26</f>
        <v>102</v>
      </c>
      <c r="C11" s="34" t="str">
        <f>VLOOKUP($B11,[36]TrtCodes!$B$11:I69,2)</f>
        <v>FTL</v>
      </c>
      <c r="D11" s="34">
        <f>VLOOKUP($B11,[36]TrtCodes!$B$11:J69,3)</f>
        <v>4</v>
      </c>
      <c r="E11" s="34">
        <f>VLOOKUP($B11,[36]TrtCodes!$B$11:K69,4)</f>
        <v>1</v>
      </c>
      <c r="F11" s="34">
        <f>VLOOKUP($B11,[36]TrtCodes!$B$11:L69,5)</f>
        <v>2</v>
      </c>
      <c r="G11" s="34">
        <f>VLOOKUP($B11,[36]TrtCodes!$B$11:M69,6)</f>
        <v>1</v>
      </c>
      <c r="H11" s="34">
        <f>VLOOKUP($B11,[36]TrtCodes!$B$11:N69,7)</f>
        <v>1</v>
      </c>
      <c r="I11" s="34">
        <f>[36]FormattedData!B26</f>
        <v>1</v>
      </c>
      <c r="J11" s="37">
        <f>[36]FormattedData!C26</f>
        <v>12.877000000000001</v>
      </c>
      <c r="K11" s="39">
        <f>$J$3+[36]FormattedData!D26*$J$4+$M$4*$J$5+[36]FormattedData!D26^2*$J$6+$M$5*$J$7</f>
        <v>33.564530767088726</v>
      </c>
      <c r="L11" s="39">
        <f>$J$3+[36]FormattedData!E26*$J$4+$M$4*$J$5+[36]FormattedData!E26^2*$J$6+$M$5*$J$7</f>
        <v>31.449040199860875</v>
      </c>
      <c r="M11" s="39">
        <f>$J$3+[36]FormattedData!F26*$J$4+$M$4*$J$5+[36]FormattedData!F26^2*$J$6+$M$5*$J$7</f>
        <v>33.85142168335647</v>
      </c>
      <c r="N11" s="39">
        <f>$J$3+[36]FormattedData!G26*$J$4+$M$4*$J$5+[36]FormattedData!G26^2*$J$6+$M$5*$J$7</f>
        <v>31.158979143248288</v>
      </c>
      <c r="O11" s="39">
        <f>$J$3+[36]FormattedData!H26*$J$4+$M$4*$J$5+[36]FormattedData!H26^2*$J$6+$M$5*$J$7</f>
        <v>35.564778427293945</v>
      </c>
      <c r="P11" s="39">
        <f>$J$3+[36]FormattedData!I26*$J$4+$M$4*$J$5+[36]FormattedData!I26^2*$J$6+$M$5*$J$7</f>
        <v>33.468815924590274</v>
      </c>
      <c r="Q11" s="39">
        <f>$J$3+[36]FormattedData!J26*$J$4+$M$4*$J$5+[36]FormattedData!J26^2*$J$6+$M$5*$J$7</f>
        <v>34.042470951511973</v>
      </c>
      <c r="R11" s="39">
        <f>$J$3+[36]FormattedData!K26*$J$4+$M$4*$J$5+[36]FormattedData!K26^2*$J$6+$M$5*$J$7</f>
        <v>31.352395449527943</v>
      </c>
      <c r="S11" s="39">
        <f>$J$3+[36]FormattedData!L26*$J$4+$M$4*$J$5+[36]FormattedData!L26^2*$J$6+$M$5*$J$7</f>
        <v>34.995181180013638</v>
      </c>
      <c r="T11" s="39">
        <f>$J$3+[36]FormattedData!M26*$J$4+$M$4*$J$5+[36]FormattedData!M26^2*$J$6+$M$5*$J$7</f>
        <v>32.316940868650335</v>
      </c>
      <c r="U11" s="39">
        <f>$J$3+[36]FormattedData!N26*$J$4+$M$4*$J$5+[36]FormattedData!N26^2*$J$6+$M$5*$J$7</f>
        <v>35.185216003258802</v>
      </c>
      <c r="V11" s="39">
        <f>$J$3+[36]FormattedData!O26*$J$4+$M$4*$J$5+[36]FormattedData!O26^2*$J$6+$M$5*$J$7</f>
        <v>30.674698678135371</v>
      </c>
      <c r="W11" s="38">
        <f>AVERAGE(K11:V11)</f>
        <v>33.135372439711389</v>
      </c>
      <c r="X11" s="37">
        <f>STDEV(K11:V11)/SQRT(COUNT(K11:V11))</f>
        <v>0.49118961750444629</v>
      </c>
      <c r="Y11" s="36">
        <f>MIN(K11:V11)</f>
        <v>30.674698678135371</v>
      </c>
      <c r="Z11" s="35">
        <f>QUARTILE(K11:V11,1)</f>
        <v>31.424879012277643</v>
      </c>
      <c r="AA11" s="36">
        <f>MEDIAN(K11:V11)</f>
        <v>33.5166733458395</v>
      </c>
      <c r="AB11" s="35">
        <f>QUARTILE(K11:V11,3)</f>
        <v>34.280648508637391</v>
      </c>
      <c r="AC11" s="35">
        <f>MAX(K11:V11)</f>
        <v>35.564778427293945</v>
      </c>
      <c r="AD11" s="35">
        <f>SKEW(K11:V11)</f>
        <v>-6.6808903278603338E-2</v>
      </c>
      <c r="AE11" s="35">
        <f>KURT(K11:V11)</f>
        <v>-1.4766802904850875</v>
      </c>
    </row>
    <row r="12" spans="1:35" x14ac:dyDescent="0.2">
      <c r="B12" s="34">
        <f>[36]FormattedData!A24</f>
        <v>103</v>
      </c>
      <c r="C12" s="34" t="str">
        <f>VLOOKUP($B12,[36]TrtCodes!$B$11:I67,2)</f>
        <v>FDH</v>
      </c>
      <c r="D12" s="34">
        <f>VLOOKUP($B12,[36]TrtCodes!$B$11:J67,3)</f>
        <v>5</v>
      </c>
      <c r="E12" s="34">
        <f>VLOOKUP($B12,[36]TrtCodes!$B$11:K67,4)</f>
        <v>1</v>
      </c>
      <c r="F12" s="34">
        <f>VLOOKUP($B12,[36]TrtCodes!$B$11:L67,5)</f>
        <v>3</v>
      </c>
      <c r="G12" s="34">
        <f>VLOOKUP($B12,[36]TrtCodes!$B$11:M67,6)</f>
        <v>2</v>
      </c>
      <c r="H12" s="34">
        <f>VLOOKUP($B12,[36]TrtCodes!$B$11:N67,7)</f>
        <v>1</v>
      </c>
      <c r="I12" s="34">
        <f>[36]FormattedData!B24</f>
        <v>1</v>
      </c>
      <c r="J12" s="37">
        <f>[36]FormattedData!C24</f>
        <v>12.861000000000001</v>
      </c>
      <c r="K12" s="39">
        <f>$J$3+[36]FormattedData!D24*$J$4+$M$4*$J$5+[36]FormattedData!D24^2*$J$6+$M$5*$J$7</f>
        <v>35.46995122409205</v>
      </c>
      <c r="L12" s="39">
        <f>$J$3+[36]FormattedData!E24*$J$4+$M$4*$J$5+[36]FormattedData!E24^2*$J$6+$M$5*$J$7</f>
        <v>31.83519651581328</v>
      </c>
      <c r="M12" s="39">
        <f>$J$3+[36]FormattedData!F24*$J$4+$M$4*$J$5+[36]FormattedData!F24^2*$J$6+$M$5*$J$7</f>
        <v>35.754306028083931</v>
      </c>
      <c r="N12" s="39">
        <f>$J$3+[36]FormattedData!G24*$J$4+$M$4*$J$5+[36]FormattedData!G24^2*$J$6+$M$5*$J$7</f>
        <v>30.480690612324683</v>
      </c>
      <c r="O12" s="39">
        <f>$J$3+[36]FormattedData!H24*$J$4+$M$4*$J$5+[36]FormattedData!H24^2*$J$6+$M$5*$J$7</f>
        <v>34.709811931111417</v>
      </c>
      <c r="P12" s="39">
        <f>$J$3+[36]FormattedData!I24*$J$4+$M$4*$J$5+[36]FormattedData!I24^2*$J$6+$M$5*$J$7</f>
        <v>29.994930748384174</v>
      </c>
      <c r="Q12" s="39">
        <f>$J$3+[36]FormattedData!J24*$J$4+$M$4*$J$5+[36]FormattedData!J24^2*$J$6+$M$5*$J$7</f>
        <v>35.849006425672016</v>
      </c>
      <c r="R12" s="39">
        <f>$J$3+[36]FormattedData!K24*$J$4+$M$4*$J$5+[36]FormattedData!K24^2*$J$6+$M$5*$J$7</f>
        <v>31.642202894912934</v>
      </c>
      <c r="S12" s="39">
        <f>$J$3+[36]FormattedData!L24*$J$4+$M$4*$J$5+[36]FormattedData!L24^2*$J$6+$M$5*$J$7</f>
        <v>35.185216003258802</v>
      </c>
      <c r="T12" s="39">
        <f>$J$3+[36]FormattedData!M24*$J$4+$M$4*$J$5+[36]FormattedData!M24^2*$J$6+$M$5*$J$7</f>
        <v>33.468815924590274</v>
      </c>
      <c r="U12" s="39">
        <f>$J$3+[36]FormattedData!N24*$J$4+$M$4*$J$5+[36]FormattedData!N24^2*$J$6+$M$5*$J$7</f>
        <v>35.090219725905179</v>
      </c>
      <c r="V12" s="39">
        <f>$J$3+[36]FormattedData!O24*$J$4+$M$4*$J$5+[36]FormattedData!O24^2*$J$6+$M$5*$J$7</f>
        <v>29.800330923042459</v>
      </c>
      <c r="W12" s="38">
        <f>AVERAGE(K12:V12)</f>
        <v>33.273389913099265</v>
      </c>
      <c r="X12" s="37">
        <f>STDEV(K12:V12)/SQRT(COUNT(K12:V12))</f>
        <v>0.68539885453793781</v>
      </c>
      <c r="Y12" s="36">
        <f>MIN(K12:V12)</f>
        <v>29.800330923042459</v>
      </c>
      <c r="Z12" s="35">
        <f>QUARTILE(K12:V12,1)</f>
        <v>31.351824824265872</v>
      </c>
      <c r="AA12" s="36">
        <f>MEDIAN(K12:V12)</f>
        <v>34.089313927850846</v>
      </c>
      <c r="AB12" s="35">
        <f>QUARTILE(K12:V12,3)</f>
        <v>35.256399808467116</v>
      </c>
      <c r="AC12" s="35">
        <f>MAX(K12:V12)</f>
        <v>35.849006425672016</v>
      </c>
      <c r="AD12" s="35">
        <f>SKEW(K12:V12)</f>
        <v>-0.38564832453036613</v>
      </c>
      <c r="AE12" s="35">
        <f>KURT(K12:V12)</f>
        <v>-1.7182415939425293</v>
      </c>
    </row>
    <row r="13" spans="1:35" x14ac:dyDescent="0.2">
      <c r="B13" s="34">
        <f>[36]FormattedData!A22</f>
        <v>104</v>
      </c>
      <c r="C13" s="34" t="str">
        <f>VLOOKUP($B13,[36]TrtCodes!$B$11:I65,2)</f>
        <v>NTL</v>
      </c>
      <c r="D13" s="34">
        <f>VLOOKUP($B13,[36]TrtCodes!$B$11:J65,3)</f>
        <v>10</v>
      </c>
      <c r="E13" s="34">
        <f>VLOOKUP($B13,[36]TrtCodes!$B$11:K65,4)</f>
        <v>2</v>
      </c>
      <c r="F13" s="34">
        <f>VLOOKUP($B13,[36]TrtCodes!$B$11:L65,5)</f>
        <v>2</v>
      </c>
      <c r="G13" s="34">
        <f>VLOOKUP($B13,[36]TrtCodes!$B$11:M65,6)</f>
        <v>1</v>
      </c>
      <c r="H13" s="34">
        <f>VLOOKUP($B13,[36]TrtCodes!$B$11:N65,7)</f>
        <v>1</v>
      </c>
      <c r="I13" s="34">
        <f>[36]FormattedData!B22</f>
        <v>1</v>
      </c>
      <c r="J13" s="37">
        <f>[36]FormattedData!C22</f>
        <v>12.845000000000001</v>
      </c>
      <c r="K13" s="39">
        <f>$J$3+[36]FormattedData!D22*$J$4+$M$4*$J$5+[36]FormattedData!D22^2*$J$6+$M$5*$J$7</f>
        <v>35.46995122409205</v>
      </c>
      <c r="L13" s="39">
        <f>$J$3+[36]FormattedData!E22*$J$4+$M$4*$J$5+[36]FormattedData!E22^2*$J$6+$M$5*$J$7</f>
        <v>33.085533869217194</v>
      </c>
      <c r="M13" s="39">
        <f>$J$3+[36]FormattedData!F22*$J$4+$M$4*$J$5+[36]FormattedData!F22^2*$J$6+$M$5*$J$7</f>
        <v>35.849006425672016</v>
      </c>
      <c r="N13" s="39">
        <f>$J$3+[36]FormattedData!G22*$J$4+$M$4*$J$5+[36]FormattedData!G22^2*$J$6+$M$5*$J$7</f>
        <v>30.480690612324683</v>
      </c>
      <c r="O13" s="39">
        <f>$J$3+[36]FormattedData!H22*$J$4+$M$4*$J$5+[36]FormattedData!H22^2*$J$6+$M$5*$J$7</f>
        <v>36.60508793901127</v>
      </c>
      <c r="P13" s="39">
        <f>$J$3+[36]FormattedData!I22*$J$4+$M$4*$J$5+[36]FormattedData!I22^2*$J$6+$M$5*$J$7</f>
        <v>31.931629923456551</v>
      </c>
      <c r="Q13" s="39">
        <f>$J$3+[36]FormattedData!J22*$J$4+$M$4*$J$5+[36]FormattedData!J22^2*$J$6+$M$5*$J$7</f>
        <v>36.60508793901127</v>
      </c>
      <c r="R13" s="39">
        <f>$J$3+[36]FormattedData!K22*$J$4+$M$4*$J$5+[36]FormattedData!K22^2*$J$6+$M$5*$J$7</f>
        <v>30.868537669794332</v>
      </c>
      <c r="S13" s="39">
        <f>$J$3+[36]FormattedData!L22*$J$4+$M$4*$J$5+[36]FormattedData!L22^2*$J$6+$M$5*$J$7</f>
        <v>35.849006425672016</v>
      </c>
      <c r="T13" s="39">
        <f>$J$3+[36]FormattedData!M22*$J$4+$M$4*$J$5+[36]FormattedData!M22^2*$J$6+$M$5*$J$7</f>
        <v>31.54564268165587</v>
      </c>
      <c r="U13" s="39">
        <f>$J$3+[36]FormattedData!N22*$J$4+$M$4*$J$5+[36]FormattedData!N22^2*$J$6+$M$5*$J$7</f>
        <v>35.564778427293945</v>
      </c>
      <c r="V13" s="39">
        <f>$J$3+[36]FormattedData!O22*$J$4+$M$4*$J$5+[36]FormattedData!O22^2*$J$6+$M$5*$J$7</f>
        <v>32.124369933129294</v>
      </c>
      <c r="W13" s="38">
        <f>AVERAGE(K13:V13)</f>
        <v>33.831610255860873</v>
      </c>
      <c r="X13" s="37">
        <f>STDEV(K13:V13)/SQRT(COUNT(K13:V13))</f>
        <v>0.68272792111865965</v>
      </c>
      <c r="Y13" s="36">
        <f>MIN(K13:V13)</f>
        <v>30.480690612324683</v>
      </c>
      <c r="Z13" s="35">
        <f>QUARTILE(K13:V13,1)</f>
        <v>31.835133113006382</v>
      </c>
      <c r="AA13" s="36">
        <f>MEDIAN(K13:V13)</f>
        <v>34.277742546654622</v>
      </c>
      <c r="AB13" s="35">
        <f>QUARTILE(K13:V13,3)</f>
        <v>35.849006425672016</v>
      </c>
      <c r="AC13" s="35">
        <f>MAX(K13:V13)</f>
        <v>36.60508793901127</v>
      </c>
      <c r="AD13" s="35">
        <f>SKEW(K13:V13)</f>
        <v>-0.15787410293781565</v>
      </c>
      <c r="AE13" s="35">
        <f>KURT(K13:V13)</f>
        <v>-1.9179320779777571</v>
      </c>
    </row>
    <row r="14" spans="1:35" x14ac:dyDescent="0.2">
      <c r="B14" s="34">
        <f>[36]FormattedData!A20</f>
        <v>105</v>
      </c>
      <c r="C14" s="34" t="str">
        <f>VLOOKUP($B14,[36]TrtCodes!$B$11:I63,2)</f>
        <v>NDL</v>
      </c>
      <c r="D14" s="34">
        <f>VLOOKUP($B14,[36]TrtCodes!$B$11:J63,3)</f>
        <v>12</v>
      </c>
      <c r="E14" s="34">
        <f>VLOOKUP($B14,[36]TrtCodes!$B$11:K63,4)</f>
        <v>2</v>
      </c>
      <c r="F14" s="34">
        <f>VLOOKUP($B14,[36]TrtCodes!$B$11:L63,5)</f>
        <v>3</v>
      </c>
      <c r="G14" s="34">
        <f>VLOOKUP($B14,[36]TrtCodes!$B$11:M63,6)</f>
        <v>1</v>
      </c>
      <c r="H14" s="34">
        <f>VLOOKUP($B14,[36]TrtCodes!$B$11:N63,7)</f>
        <v>2</v>
      </c>
      <c r="I14" s="34">
        <f>[36]FormattedData!B20</f>
        <v>1</v>
      </c>
      <c r="J14" s="37">
        <f>[36]FormattedData!C20</f>
        <v>12.827999999999999</v>
      </c>
      <c r="K14" s="39">
        <f>$J$3+[36]FormattedData!D20*$J$4+$M$4*$J$5+[36]FormattedData!D20^2*$J$6+$M$5*$J$7</f>
        <v>51.945120520735792</v>
      </c>
      <c r="L14" s="39">
        <f>$J$3+[36]FormattedData!E20*$J$4+$M$4*$J$5+[36]FormattedData!E20^2*$J$6+$M$5*$J$7</f>
        <v>35.94366455472219</v>
      </c>
      <c r="M14" s="39">
        <f>$J$3+[36]FormattedData!F20*$J$4+$M$4*$J$5+[36]FormattedData!F20^2*$J$6+$M$5*$J$7</f>
        <v>49.84020161128398</v>
      </c>
      <c r="N14" s="39">
        <f>$J$3+[36]FormattedData!G20*$J$4+$M$4*$J$5+[36]FormattedData!G20^2*$J$6+$M$5*$J$7</f>
        <v>33.277259433979602</v>
      </c>
      <c r="O14" s="39">
        <f>$J$3+[36]FormattedData!H20*$J$4+$M$4*$J$5+[36]FormattedData!H20^2*$J$6+$M$5*$J$7</f>
        <v>48.867310417566813</v>
      </c>
      <c r="P14" s="39">
        <f>$J$3+[36]FormattedData!I20*$J$4+$M$4*$J$5+[36]FormattedData!I20^2*$J$6+$M$5*$J$7</f>
        <v>37.264440164941732</v>
      </c>
      <c r="Q14" s="39">
        <f>$J$3+[36]FormattedData!J20*$J$4+$M$4*$J$5+[36]FormattedData!J20^2*$J$6+$M$5*$J$7</f>
        <v>48.867310417566813</v>
      </c>
      <c r="R14" s="39">
        <f>$J$3+[36]FormattedData!K20*$J$4+$M$4*$J$5+[36]FormattedData!K20^2*$J$6+$M$5*$J$7</f>
        <v>36.321874385543531</v>
      </c>
      <c r="S14" s="39">
        <f>$J$3+[36]FormattedData!L20*$J$4+$M$4*$J$5+[36]FormattedData!L20^2*$J$6+$M$5*$J$7</f>
        <v>49.751968299999341</v>
      </c>
      <c r="T14" s="39">
        <f>$J$3+[36]FormattedData!M20*$J$4+$M$4*$J$5+[36]FormattedData!M20^2*$J$6+$M$5*$J$7</f>
        <v>40.159532425220888</v>
      </c>
      <c r="U14" s="39">
        <f>$J$3+[36]FormattedData!N20*$J$4+$M$4*$J$5+[36]FormattedData!N20^2*$J$6+$M$5*$J$7</f>
        <v>51.158629056001715</v>
      </c>
      <c r="V14" s="39">
        <f>$J$3+[36]FormattedData!O20*$J$4+$M$4*$J$5+[36]FormattedData!O20^2*$J$6+$M$5*$J$7</f>
        <v>40.252246201526212</v>
      </c>
      <c r="W14" s="38">
        <f>AVERAGE(K14:V14)</f>
        <v>43.637463124090722</v>
      </c>
      <c r="X14" s="37">
        <f>STDEV(K14:V14)/SQRT(COUNT(K14:V14))</f>
        <v>2.0232852163851036</v>
      </c>
      <c r="Y14" s="36">
        <f>MIN(K14:V14)</f>
        <v>33.277259433979602</v>
      </c>
      <c r="Z14" s="35">
        <f>QUARTILE(K14:V14,1)</f>
        <v>37.028798720092183</v>
      </c>
      <c r="AA14" s="36">
        <f>MEDIAN(K14:V14)</f>
        <v>44.559778309546516</v>
      </c>
      <c r="AB14" s="35">
        <f>QUARTILE(K14:V14,3)</f>
        <v>49.774026627820504</v>
      </c>
      <c r="AC14" s="35">
        <f>MAX(K14:V14)</f>
        <v>51.945120520735792</v>
      </c>
      <c r="AD14" s="35">
        <f>SKEW(K14:V14)</f>
        <v>-0.17315173301185691</v>
      </c>
      <c r="AE14" s="35">
        <f>KURT(K14:V14)</f>
        <v>-1.9337816987379175</v>
      </c>
    </row>
    <row r="15" spans="1:35" x14ac:dyDescent="0.2">
      <c r="B15" s="34">
        <f>[36]FormattedData!A18</f>
        <v>106</v>
      </c>
      <c r="C15" s="34" t="str">
        <f>VLOOKUP($B15,[36]TrtCodes!$B$11:I61,2)</f>
        <v>NTH</v>
      </c>
      <c r="D15" s="34">
        <f>VLOOKUP($B15,[36]TrtCodes!$B$11:J61,3)</f>
        <v>9</v>
      </c>
      <c r="E15" s="34">
        <f>VLOOKUP($B15,[36]TrtCodes!$B$11:K61,4)</f>
        <v>2</v>
      </c>
      <c r="F15" s="34">
        <f>VLOOKUP($B15,[36]TrtCodes!$B$11:L61,5)</f>
        <v>2</v>
      </c>
      <c r="G15" s="34">
        <f>VLOOKUP($B15,[36]TrtCodes!$B$11:M61,6)</f>
        <v>2</v>
      </c>
      <c r="H15" s="34">
        <f>VLOOKUP($B15,[36]TrtCodes!$B$11:N61,7)</f>
        <v>2</v>
      </c>
      <c r="I15" s="34">
        <f>[36]FormattedData!B18</f>
        <v>1</v>
      </c>
      <c r="J15" s="37">
        <f>[36]FormattedData!C18</f>
        <v>12.811</v>
      </c>
      <c r="K15" s="39">
        <f>$J$3+[36]FormattedData!D18*$J$4+$M$4*$J$5+[36]FormattedData!D18^2*$J$6+$M$5*$J$7</f>
        <v>54.197974789653351</v>
      </c>
      <c r="L15" s="39">
        <f>$J$3+[36]FormattedData!E18*$J$4+$M$4*$J$5+[36]FormattedData!E18^2*$J$6+$M$5*$J$7</f>
        <v>48.689871618625133</v>
      </c>
      <c r="M15" s="39">
        <f>$J$3+[36]FormattedData!F18*$J$4+$M$4*$J$5+[36]FormattedData!F18^2*$J$6+$M$5*$J$7</f>
        <v>54.799630461307807</v>
      </c>
      <c r="N15" s="39">
        <f>$J$3+[36]FormattedData!G18*$J$4+$M$4*$J$5+[36]FormattedData!G18^2*$J$6+$M$5*$J$7</f>
        <v>45.557323758835324</v>
      </c>
      <c r="O15" s="39">
        <f>$J$3+[36]FormattedData!H18*$J$4+$M$4*$J$5+[36]FormattedData!H18^2*$J$6+$M$5*$J$7</f>
        <v>55.228116456351621</v>
      </c>
      <c r="P15" s="39">
        <f>$J$3+[36]FormattedData!I18*$J$4+$M$4*$J$5+[36]FormattedData!I18^2*$J$6+$M$5*$J$7</f>
        <v>45.286410349905552</v>
      </c>
      <c r="Q15" s="39">
        <f>$J$3+[36]FormattedData!J18*$J$4+$M$4*$J$5+[36]FormattedData!J18^2*$J$6+$M$5*$J$7</f>
        <v>55.996728329540829</v>
      </c>
      <c r="R15" s="39">
        <f>$J$3+[36]FormattedData!K18*$J$4+$M$4*$J$5+[36]FormattedData!K18^2*$J$6+$M$5*$J$7</f>
        <v>42.281255340146956</v>
      </c>
      <c r="S15" s="39">
        <f>$J$3+[36]FormattedData!L18*$J$4+$M$4*$J$5+[36]FormattedData!L18^2*$J$6+$M$5*$J$7</f>
        <v>54.456080831589986</v>
      </c>
      <c r="T15" s="39">
        <f>$J$3+[36]FormattedData!M18*$J$4+$M$4*$J$5+[36]FormattedData!M18^2*$J$6+$M$5*$J$7</f>
        <v>39.043670163598264</v>
      </c>
      <c r="U15" s="39">
        <f>$J$3+[36]FormattedData!N18*$J$4+$M$4*$J$5+[36]FormattedData!N18^2*$J$6+$M$5*$J$7</f>
        <v>55.911496084449311</v>
      </c>
      <c r="V15" s="39">
        <f>$J$3+[36]FormattedData!O18*$J$4+$M$4*$J$5+[36]FormattedData!O18^2*$J$6+$M$5*$J$7</f>
        <v>45.557323758835324</v>
      </c>
      <c r="W15" s="38">
        <f>AVERAGE(K15:V15)</f>
        <v>49.750490161903294</v>
      </c>
      <c r="X15" s="37">
        <f>STDEV(K15:V15)/SQRT(COUNT(K15:V15))</f>
        <v>1.7430339023859422</v>
      </c>
      <c r="Y15" s="36">
        <f>MIN(K15:V15)</f>
        <v>39.043670163598264</v>
      </c>
      <c r="Z15" s="35">
        <f>QUARTILE(K15:V15,1)</f>
        <v>45.489595406602881</v>
      </c>
      <c r="AA15" s="36">
        <f>MEDIAN(K15:V15)</f>
        <v>51.443923204139239</v>
      </c>
      <c r="AB15" s="35">
        <f>QUARTILE(K15:V15,3)</f>
        <v>54.90675196006876</v>
      </c>
      <c r="AC15" s="35">
        <f>MAX(K15:V15)</f>
        <v>55.996728329540829</v>
      </c>
      <c r="AD15" s="35">
        <f>SKEW(K15:V15)</f>
        <v>-0.45537264969037089</v>
      </c>
      <c r="AE15" s="35">
        <f>KURT(K15:V15)</f>
        <v>-1.3463461141678863</v>
      </c>
    </row>
    <row r="16" spans="1:35" x14ac:dyDescent="0.2">
      <c r="B16" s="34">
        <f>[36]FormattedData!A16</f>
        <v>107</v>
      </c>
      <c r="C16" s="34" t="str">
        <f>VLOOKUP($B16,[36]TrtCodes!$B$11:I59,2)</f>
        <v>NTL</v>
      </c>
      <c r="D16" s="34">
        <f>VLOOKUP($B16,[36]TrtCodes!$B$11:J59,3)</f>
        <v>10</v>
      </c>
      <c r="E16" s="34">
        <f>VLOOKUP($B16,[36]TrtCodes!$B$11:K59,4)</f>
        <v>2</v>
      </c>
      <c r="F16" s="34">
        <f>VLOOKUP($B16,[36]TrtCodes!$B$11:L59,5)</f>
        <v>2</v>
      </c>
      <c r="G16" s="34">
        <f>VLOOKUP($B16,[36]TrtCodes!$B$11:M59,6)</f>
        <v>1</v>
      </c>
      <c r="H16" s="34">
        <f>VLOOKUP($B16,[36]TrtCodes!$B$11:N59,7)</f>
        <v>2</v>
      </c>
      <c r="I16" s="34">
        <f>[36]FormattedData!B16</f>
        <v>1</v>
      </c>
      <c r="J16" s="37">
        <f>[36]FormattedData!C16</f>
        <v>12.795</v>
      </c>
      <c r="K16" s="39">
        <f>$J$3+[36]FormattedData!D16*$J$4+$M$4*$J$5+[36]FormattedData!D16^2*$J$6+$M$5*$J$7</f>
        <v>35.94366455472219</v>
      </c>
      <c r="L16" s="39">
        <f>$J$3+[36]FormattedData!E16*$J$4+$M$4*$J$5+[36]FormattedData!E16^2*$J$6+$M$5*$J$7</f>
        <v>37.07626515736554</v>
      </c>
      <c r="M16" s="39">
        <f>$J$3+[36]FormattedData!F16*$J$4+$M$4*$J$5+[36]FormattedData!F16^2*$J$6+$M$5*$J$7</f>
        <v>36.510725689726627</v>
      </c>
      <c r="N16" s="39">
        <f>$J$3+[36]FormattedData!G16*$J$4+$M$4*$J$5+[36]FormattedData!G16^2*$J$6+$M$5*$J$7</f>
        <v>33.277259433979602</v>
      </c>
      <c r="O16" s="39">
        <f>$J$3+[36]FormattedData!H16*$J$4+$M$4*$J$5+[36]FormattedData!H16^2*$J$6+$M$5*$J$7</f>
        <v>36.699407919757995</v>
      </c>
      <c r="P16" s="39">
        <f>$J$3+[36]FormattedData!I16*$J$4+$M$4*$J$5+[36]FormattedData!I16^2*$J$6+$M$5*$J$7</f>
        <v>36.699407919757995</v>
      </c>
      <c r="Q16" s="39">
        <f>$J$3+[36]FormattedData!J16*$J$4+$M$4*$J$5+[36]FormattedData!J16^2*$J$6+$M$5*$J$7</f>
        <v>36.510725689726627</v>
      </c>
      <c r="R16" s="39">
        <f>$J$3+[36]FormattedData!K16*$J$4+$M$4*$J$5+[36]FormattedData!K16^2*$J$6+$M$5*$J$7</f>
        <v>31.062207587301572</v>
      </c>
      <c r="S16" s="39">
        <f>$J$3+[36]FormattedData!L16*$J$4+$M$4*$J$5+[36]FormattedData!L16^2*$J$6+$M$5*$J$7</f>
        <v>36.60508793901127</v>
      </c>
      <c r="T16" s="39">
        <f>$J$3+[36]FormattedData!M16*$J$4+$M$4*$J$5+[36]FormattedData!M16^2*$J$6+$M$5*$J$7</f>
        <v>34.042470951511973</v>
      </c>
      <c r="U16" s="39">
        <f>$J$3+[36]FormattedData!N16*$J$4+$M$4*$J$5+[36]FormattedData!N16^2*$J$6+$M$5*$J$7</f>
        <v>36.699407919757995</v>
      </c>
      <c r="V16" s="39">
        <f>$J$3+[36]FormattedData!O16*$J$4+$M$4*$J$5+[36]FormattedData!O16^2*$J$6+$M$5*$J$7</f>
        <v>32.316940868650335</v>
      </c>
      <c r="W16" s="38">
        <f>AVERAGE(K16:V16)</f>
        <v>35.28696430260581</v>
      </c>
      <c r="X16" s="37">
        <f>STDEV(K16:V16)/SQRT(COUNT(K16:V16))</f>
        <v>0.59421302253989383</v>
      </c>
      <c r="Y16" s="36">
        <f>MIN(K16:V16)</f>
        <v>31.062207587301572</v>
      </c>
      <c r="Z16" s="35">
        <f>QUARTILE(K16:V16,1)</f>
        <v>33.851168072128878</v>
      </c>
      <c r="AA16" s="36">
        <f>MEDIAN(K16:V16)</f>
        <v>36.510725689726627</v>
      </c>
      <c r="AB16" s="35">
        <f>QUARTILE(K16:V16,3)</f>
        <v>36.699407919757995</v>
      </c>
      <c r="AC16" s="35">
        <f>MAX(K16:V16)</f>
        <v>37.07626515736554</v>
      </c>
      <c r="AD16" s="35">
        <f>SKEW(K16:V16)</f>
        <v>-1.1410878501327881</v>
      </c>
      <c r="AE16" s="35">
        <f>KURT(K16:V16)</f>
        <v>-0.12768555833927975</v>
      </c>
    </row>
    <row r="17" spans="2:31" x14ac:dyDescent="0.2">
      <c r="B17" s="34">
        <f>[36]FormattedData!A14</f>
        <v>108</v>
      </c>
      <c r="C17" s="34" t="str">
        <f>VLOOKUP($B17,[36]TrtCodes!$B$11:I57,2)</f>
        <v>FTH</v>
      </c>
      <c r="D17" s="34">
        <f>VLOOKUP($B17,[36]TrtCodes!$B$11:J57,3)</f>
        <v>3</v>
      </c>
      <c r="E17" s="34">
        <f>VLOOKUP($B17,[36]TrtCodes!$B$11:K57,4)</f>
        <v>1</v>
      </c>
      <c r="F17" s="34">
        <f>VLOOKUP($B17,[36]TrtCodes!$B$11:L57,5)</f>
        <v>2</v>
      </c>
      <c r="G17" s="34">
        <f>VLOOKUP($B17,[36]TrtCodes!$B$11:M57,6)</f>
        <v>2</v>
      </c>
      <c r="H17" s="34">
        <f>VLOOKUP($B17,[36]TrtCodes!$B$11:N57,7)</f>
        <v>2</v>
      </c>
      <c r="I17" s="34">
        <f>[36]FormattedData!B14</f>
        <v>1</v>
      </c>
      <c r="J17" s="37">
        <f>[36]FormattedData!C14</f>
        <v>12.78</v>
      </c>
      <c r="K17" s="39">
        <f>$J$3+[36]FormattedData!D14*$J$4+$M$4*$J$5+[36]FormattedData!D14^2*$J$6+$M$5*$J$7</f>
        <v>34.424062265367809</v>
      </c>
      <c r="L17" s="39">
        <f>$J$3+[36]FormattedData!E14*$J$4+$M$4*$J$5+[36]FormattedData!E14^2*$J$6+$M$5*$J$7</f>
        <v>32.509342730019632</v>
      </c>
      <c r="M17" s="39">
        <f>$J$3+[36]FormattedData!F14*$J$4+$M$4*$J$5+[36]FormattedData!F14^2*$J$6+$M$5*$J$7</f>
        <v>35.754306028083931</v>
      </c>
      <c r="N17" s="39">
        <f>$J$3+[36]FormattedData!G14*$J$4+$M$4*$J$5+[36]FormattedData!G14^2*$J$6+$M$5*$J$7</f>
        <v>30.383623176612446</v>
      </c>
      <c r="O17" s="39">
        <f>$J$3+[36]FormattedData!H14*$J$4+$M$4*$J$5+[36]FormattedData!H14^2*$J$6+$M$5*$J$7</f>
        <v>36.132854007208728</v>
      </c>
      <c r="P17" s="39">
        <f>$J$3+[36]FormattedData!I14*$J$4+$M$4*$J$5+[36]FormattedData!I14^2*$J$6+$M$5*$J$7</f>
        <v>32.797628508039104</v>
      </c>
      <c r="Q17" s="39">
        <f>$J$3+[36]FormattedData!J14*$J$4+$M$4*$J$5+[36]FormattedData!J14^2*$J$6+$M$5*$J$7</f>
        <v>35.280170012074485</v>
      </c>
      <c r="R17" s="39">
        <f>$J$3+[36]FormattedData!K14*$J$4+$M$4*$J$5+[36]FormattedData!K14^2*$J$6+$M$5*$J$7</f>
        <v>31.54564268165587</v>
      </c>
      <c r="S17" s="39">
        <f>$J$3+[36]FormattedData!L14*$J$4+$M$4*$J$5+[36]FormattedData!L14^2*$J$6+$M$5*$J$7</f>
        <v>34.137932182782826</v>
      </c>
      <c r="T17" s="39">
        <f>$J$3+[36]FormattedData!M14*$J$4+$M$4*$J$5+[36]FormattedData!M14^2*$J$6+$M$5*$J$7</f>
        <v>31.642202894912934</v>
      </c>
      <c r="U17" s="39">
        <f>$J$3+[36]FormattedData!N14*$J$4+$M$4*$J$5+[36]FormattedData!N14^2*$J$6+$M$5*$J$7</f>
        <v>34.709811931111417</v>
      </c>
      <c r="V17" s="39">
        <f>$J$3+[36]FormattedData!O14*$J$4+$M$4*$J$5+[36]FormattedData!O14^2*$J$6+$M$5*$J$7</f>
        <v>29.508114170995384</v>
      </c>
      <c r="W17" s="38">
        <f>AVERAGE(K17:V17)</f>
        <v>33.235474215738712</v>
      </c>
      <c r="X17" s="37">
        <f>STDEV(K17:V17)/SQRT(COUNT(K17:V17))</f>
        <v>0.624379904831598</v>
      </c>
      <c r="Y17" s="36">
        <f>MIN(K17:V17)</f>
        <v>29.508114170995384</v>
      </c>
      <c r="Z17" s="35">
        <f>QUARTILE(K17:V17,1)</f>
        <v>31.618062841598668</v>
      </c>
      <c r="AA17" s="36">
        <f>MEDIAN(K17:V17)</f>
        <v>33.467780345410965</v>
      </c>
      <c r="AB17" s="35">
        <f>QUARTILE(K17:V17,3)</f>
        <v>34.852401451352186</v>
      </c>
      <c r="AC17" s="35">
        <f>MAX(K17:V17)</f>
        <v>36.132854007208728</v>
      </c>
      <c r="AD17" s="35">
        <f>SKEW(K17:V17)</f>
        <v>-0.32176651643099025</v>
      </c>
      <c r="AE17" s="35">
        <f>KURT(K17:V17)</f>
        <v>-1.083722147119762</v>
      </c>
    </row>
    <row r="18" spans="2:31" x14ac:dyDescent="0.2">
      <c r="B18" s="34">
        <f>[36]FormattedData!A30</f>
        <v>201</v>
      </c>
      <c r="C18" s="34" t="str">
        <f>VLOOKUP($B18,[36]TrtCodes!$B$11:I73,2)</f>
        <v>NDL</v>
      </c>
      <c r="D18" s="34">
        <f>VLOOKUP($B18,[36]TrtCodes!$B$11:J73,3)</f>
        <v>12</v>
      </c>
      <c r="E18" s="34">
        <f>VLOOKUP($B18,[36]TrtCodes!$B$11:K73,4)</f>
        <v>2</v>
      </c>
      <c r="F18" s="34">
        <f>VLOOKUP($B18,[36]TrtCodes!$B$11:L73,5)</f>
        <v>3</v>
      </c>
      <c r="G18" s="34">
        <f>VLOOKUP($B18,[36]TrtCodes!$B$11:M73,6)</f>
        <v>1</v>
      </c>
      <c r="H18" s="34">
        <f>VLOOKUP($B18,[36]TrtCodes!$B$11:N73,7)</f>
        <v>1</v>
      </c>
      <c r="I18" s="34">
        <f>[36]FormattedData!B30</f>
        <v>1</v>
      </c>
      <c r="J18" s="37">
        <f>[36]FormattedData!C30</f>
        <v>12.916</v>
      </c>
      <c r="K18" s="39">
        <f>$J$3+[36]FormattedData!D30*$J$4+$M$4*$J$5+[36]FormattedData!D30^2*$J$6+$M$5*$J$7</f>
        <v>53.248331291798323</v>
      </c>
      <c r="L18" s="39">
        <f>$J$3+[36]FormattedData!E30*$J$4+$M$4*$J$5+[36]FormattedData!E30^2*$J$6+$M$5*$J$7</f>
        <v>40.900059116601476</v>
      </c>
      <c r="M18" s="39">
        <f>$J$3+[36]FormattedData!F30*$J$4+$M$4*$J$5+[36]FormattedData!F30^2*$J$6+$M$5*$J$7</f>
        <v>49.84020161128398</v>
      </c>
      <c r="N18" s="39">
        <f>$J$3+[36]FormattedData!G30*$J$4+$M$4*$J$5+[36]FormattedData!G30^2*$J$6+$M$5*$J$7</f>
        <v>37.170373795422606</v>
      </c>
      <c r="O18" s="39">
        <f>$J$3+[36]FormattedData!H30*$J$4+$M$4*$J$5+[36]FormattedData!H30^2*$J$6+$M$5*$J$7</f>
        <v>50.368713839695211</v>
      </c>
      <c r="P18" s="39">
        <f>$J$3+[36]FormattedData!I30*$J$4+$M$4*$J$5+[36]FormattedData!I30^2*$J$6+$M$5*$J$7</f>
        <v>36.699407919757995</v>
      </c>
      <c r="Q18" s="39">
        <f>$J$3+[36]FormattedData!J30*$J$4+$M$4*$J$5+[36]FormattedData!J30^2*$J$6+$M$5*$J$7</f>
        <v>50.983388221032456</v>
      </c>
      <c r="R18" s="39">
        <f>$J$3+[36]FormattedData!K30*$J$4+$M$4*$J$5+[36]FormattedData!K30^2*$J$6+$M$5*$J$7</f>
        <v>37.07626515736554</v>
      </c>
      <c r="S18" s="39">
        <f>$J$3+[36]FormattedData!L30*$J$4+$M$4*$J$5+[36]FormattedData!L30^2*$J$6+$M$5*$J$7</f>
        <v>51.333700816819245</v>
      </c>
      <c r="T18" s="39">
        <f>$J$3+[36]FormattedData!M30*$J$4+$M$4*$J$5+[36]FormattedData!M30^2*$J$6+$M$5*$J$7</f>
        <v>37.827950742759946</v>
      </c>
      <c r="U18" s="39">
        <f>$J$3+[36]FormattedData!N30*$J$4+$M$4*$J$5+[36]FormattedData!N30^2*$J$6+$M$5*$J$7</f>
        <v>51.421173294421124</v>
      </c>
      <c r="V18" s="39">
        <f>$J$3+[36]FormattedData!O30*$J$4+$M$4*$J$5+[36]FormattedData!O30^2*$J$6+$M$5*$J$7</f>
        <v>35.564778427293945</v>
      </c>
      <c r="W18" s="38">
        <f>AVERAGE(K18:V18)</f>
        <v>44.369528686187657</v>
      </c>
      <c r="X18" s="37">
        <f>STDEV(K18:V18)/SQRT(COUNT(K18:V18))</f>
        <v>2.1014488299035605</v>
      </c>
      <c r="Y18" s="36">
        <f>MIN(K18:V18)</f>
        <v>35.564778427293945</v>
      </c>
      <c r="Z18" s="35">
        <f>QUARTILE(K18:V18,1)</f>
        <v>37.146846635908339</v>
      </c>
      <c r="AA18" s="36">
        <f>MEDIAN(K18:V18)</f>
        <v>45.370130363942728</v>
      </c>
      <c r="AB18" s="35">
        <f>QUARTILE(K18:V18,3)</f>
        <v>51.070966369979153</v>
      </c>
      <c r="AC18" s="35">
        <f>MAX(K18:V18)</f>
        <v>53.248331291798323</v>
      </c>
      <c r="AD18" s="35">
        <f>SKEW(K18:V18)</f>
        <v>-4.5037203642553168E-2</v>
      </c>
      <c r="AE18" s="35">
        <f>KURT(K18:V18)</f>
        <v>-2.231790014575715</v>
      </c>
    </row>
    <row r="19" spans="2:31" x14ac:dyDescent="0.2">
      <c r="B19" s="34">
        <f>[36]FormattedData!A32</f>
        <v>202</v>
      </c>
      <c r="C19" s="34" t="str">
        <f>VLOOKUP($B19,[36]TrtCodes!$B$11:I75,2)</f>
        <v>NTH</v>
      </c>
      <c r="D19" s="34">
        <f>VLOOKUP($B19,[36]TrtCodes!$B$11:J75,3)</f>
        <v>9</v>
      </c>
      <c r="E19" s="34">
        <f>VLOOKUP($B19,[36]TrtCodes!$B$11:K75,4)</f>
        <v>2</v>
      </c>
      <c r="F19" s="34">
        <f>VLOOKUP($B19,[36]TrtCodes!$B$11:L75,5)</f>
        <v>2</v>
      </c>
      <c r="G19" s="34">
        <f>VLOOKUP($B19,[36]TrtCodes!$B$11:M75,6)</f>
        <v>2</v>
      </c>
      <c r="H19" s="34">
        <f>VLOOKUP($B19,[36]TrtCodes!$B$11:N75,7)</f>
        <v>1</v>
      </c>
      <c r="I19" s="34">
        <f>[36]FormattedData!B32</f>
        <v>1</v>
      </c>
      <c r="J19" s="37">
        <f>[36]FormattedData!C32</f>
        <v>12.932</v>
      </c>
      <c r="K19" s="39">
        <f>$J$3+[36]FormattedData!D32*$J$4+$M$4*$J$5+[36]FormattedData!D32^2*$J$6+$M$5*$J$7</f>
        <v>35.46995122409205</v>
      </c>
      <c r="L19" s="39">
        <f>$J$3+[36]FormattedData!E32*$J$4+$M$4*$J$5+[36]FormattedData!E32^2*$J$6+$M$5*$J$7</f>
        <v>34.233351145515755</v>
      </c>
      <c r="M19" s="39">
        <f>$J$3+[36]FormattedData!F32*$J$4+$M$4*$J$5+[36]FormattedData!F32^2*$J$6+$M$5*$J$7</f>
        <v>36.132854007208728</v>
      </c>
      <c r="N19" s="39">
        <f>$J$3+[36]FormattedData!G32*$J$4+$M$4*$J$5+[36]FormattedData!G32^2*$J$6+$M$5*$J$7</f>
        <v>30.577715779498995</v>
      </c>
      <c r="O19" s="39">
        <f>$J$3+[36]FormattedData!H32*$J$4+$M$4*$J$5+[36]FormattedData!H32^2*$J$6+$M$5*$J$7</f>
        <v>34.995181180013638</v>
      </c>
      <c r="P19" s="39">
        <f>$J$3+[36]FormattedData!I32*$J$4+$M$4*$J$5+[36]FormattedData!I32^2*$J$6+$M$5*$J$7</f>
        <v>30.383623176612446</v>
      </c>
      <c r="Q19" s="39">
        <f>$J$3+[36]FormattedData!J32*$J$4+$M$4*$J$5+[36]FormattedData!J32^2*$J$6+$M$5*$J$7</f>
        <v>35.46995122409205</v>
      </c>
      <c r="R19" s="39">
        <f>$J$3+[36]FormattedData!K32*$J$4+$M$4*$J$5+[36]FormattedData!K32^2*$J$6+$M$5*$J$7</f>
        <v>30.771639308233819</v>
      </c>
      <c r="S19" s="39">
        <f>$J$3+[36]FormattedData!L32*$J$4+$M$4*$J$5+[36]FormattedData!L32^2*$J$6+$M$5*$J$7</f>
        <v>34.804977282616761</v>
      </c>
      <c r="T19" s="39">
        <f>$J$3+[36]FormattedData!M32*$J$4+$M$4*$J$5+[36]FormattedData!M32^2*$J$6+$M$5*$J$7</f>
        <v>29.897651969982281</v>
      </c>
      <c r="U19" s="39">
        <f>$J$3+[36]FormattedData!N32*$J$4+$M$4*$J$5+[36]FormattedData!N32^2*$J$6+$M$5*$J$7</f>
        <v>34.995181180013638</v>
      </c>
      <c r="V19" s="39">
        <f>$J$3+[36]FormattedData!O32*$J$4+$M$4*$J$5+[36]FormattedData!O32^2*$J$6+$M$5*$J$7</f>
        <v>30.771639308233819</v>
      </c>
      <c r="W19" s="38">
        <f>AVERAGE(K19:V19)</f>
        <v>33.208643065509499</v>
      </c>
      <c r="X19" s="37">
        <f>STDEV(K19:V19)/SQRT(COUNT(K19:V19))</f>
        <v>0.70979583959871817</v>
      </c>
      <c r="Y19" s="36">
        <f>MIN(K19:V19)</f>
        <v>29.897651969982281</v>
      </c>
      <c r="Z19" s="35">
        <f>QUARTILE(K19:V19,1)</f>
        <v>30.723158426050112</v>
      </c>
      <c r="AA19" s="36">
        <f>MEDIAN(K19:V19)</f>
        <v>34.519164214066258</v>
      </c>
      <c r="AB19" s="35">
        <f>QUARTILE(K19:V19,3)</f>
        <v>35.113873691033241</v>
      </c>
      <c r="AC19" s="35">
        <f>MAX(K19:V19)</f>
        <v>36.132854007208728</v>
      </c>
      <c r="AD19" s="35">
        <f>SKEW(K19:V19)</f>
        <v>-0.30323920328552545</v>
      </c>
      <c r="AE19" s="35">
        <f>KURT(K19:V19)</f>
        <v>-2.0686882713545045</v>
      </c>
    </row>
    <row r="20" spans="2:31" x14ac:dyDescent="0.2">
      <c r="B20" s="34">
        <f>[36]FormattedData!A34</f>
        <v>203</v>
      </c>
      <c r="C20" s="34" t="str">
        <f>VLOOKUP($B20,[36]TrtCodes!$B$11:I77,2)</f>
        <v>FTH</v>
      </c>
      <c r="D20" s="34">
        <f>VLOOKUP($B20,[36]TrtCodes!$B$11:J77,3)</f>
        <v>3</v>
      </c>
      <c r="E20" s="34">
        <f>VLOOKUP($B20,[36]TrtCodes!$B$11:K77,4)</f>
        <v>1</v>
      </c>
      <c r="F20" s="34">
        <f>VLOOKUP($B20,[36]TrtCodes!$B$11:L77,5)</f>
        <v>2</v>
      </c>
      <c r="G20" s="34">
        <f>VLOOKUP($B20,[36]TrtCodes!$B$11:M77,6)</f>
        <v>2</v>
      </c>
      <c r="H20" s="34">
        <f>VLOOKUP($B20,[36]TrtCodes!$B$11:N77,7)</f>
        <v>1</v>
      </c>
      <c r="I20" s="34">
        <f>[36]FormattedData!B34</f>
        <v>1</v>
      </c>
      <c r="J20" s="37">
        <f>[36]FormattedData!C34</f>
        <v>12.946999999999999</v>
      </c>
      <c r="K20" s="39">
        <f>$J$3+[36]FormattedData!D34*$J$4+$M$4*$J$5+[36]FormattedData!D34^2*$J$6+$M$5*$J$7</f>
        <v>34.042470951511973</v>
      </c>
      <c r="L20" s="39">
        <f>$J$3+[36]FormattedData!E34*$J$4+$M$4*$J$5+[36]FormattedData!E34^2*$J$6+$M$5*$J$7</f>
        <v>34.709811931111417</v>
      </c>
      <c r="M20" s="39">
        <f>$J$3+[36]FormattedData!F34*$J$4+$M$4*$J$5+[36]FormattedData!F34^2*$J$6+$M$5*$J$7</f>
        <v>35.090219725905179</v>
      </c>
      <c r="N20" s="39">
        <f>$J$3+[36]FormattedData!G34*$J$4+$M$4*$J$5+[36]FormattedData!G34^2*$J$6+$M$5*$J$7</f>
        <v>30.480690612324683</v>
      </c>
      <c r="O20" s="39">
        <f>$J$3+[36]FormattedData!H34*$J$4+$M$4*$J$5+[36]FormattedData!H34^2*$J$6+$M$5*$J$7</f>
        <v>34.804977282616761</v>
      </c>
      <c r="P20" s="39">
        <f>$J$3+[36]FormattedData!I34*$J$4+$M$4*$J$5+[36]FormattedData!I34^2*$J$6+$M$5*$J$7</f>
        <v>31.062207587301572</v>
      </c>
      <c r="Q20" s="39">
        <f>$J$3+[36]FormattedData!J34*$J$4+$M$4*$J$5+[36]FormattedData!J34^2*$J$6+$M$5*$J$7</f>
        <v>36.321874385543531</v>
      </c>
      <c r="R20" s="39">
        <f>$J$3+[36]FormattedData!K34*$J$4+$M$4*$J$5+[36]FormattedData!K34^2*$J$6+$M$5*$J$7</f>
        <v>40.066776380377618</v>
      </c>
      <c r="S20" s="39">
        <f>$J$3+[36]FormattedData!L34*$J$4+$M$4*$J$5+[36]FormattedData!L34^2*$J$6+$M$5*$J$7</f>
        <v>36.699407919757995</v>
      </c>
      <c r="T20" s="39">
        <f>$J$3+[36]FormattedData!M34*$J$4+$M$4*$J$5+[36]FormattedData!M34^2*$J$6+$M$5*$J$7</f>
        <v>30.674698678135371</v>
      </c>
      <c r="U20" s="39">
        <f>$J$3+[36]FormattedData!N34*$J$4+$M$4*$J$5+[36]FormattedData!N34^2*$J$6+$M$5*$J$7</f>
        <v>35.37508175235223</v>
      </c>
      <c r="V20" s="39">
        <f>$J$3+[36]FormattedData!O34*$J$4+$M$4*$J$5+[36]FormattedData!O34^2*$J$6+$M$5*$J$7</f>
        <v>31.931629923456551</v>
      </c>
      <c r="W20" s="38">
        <f>AVERAGE(K20:V20)</f>
        <v>34.27165392753291</v>
      </c>
      <c r="X20" s="37">
        <f>STDEV(K20:V20)/SQRT(COUNT(K20:V20))</f>
        <v>0.82196701297402341</v>
      </c>
      <c r="Y20" s="36">
        <f>MIN(K20:V20)</f>
        <v>30.480690612324683</v>
      </c>
      <c r="Z20" s="35">
        <f>QUARTILE(K20:V20,1)</f>
        <v>31.714274339417805</v>
      </c>
      <c r="AA20" s="36">
        <f>MEDIAN(K20:V20)</f>
        <v>34.757394606864089</v>
      </c>
      <c r="AB20" s="35">
        <f>QUARTILE(K20:V20,3)</f>
        <v>35.611779910650057</v>
      </c>
      <c r="AC20" s="35">
        <f>MAX(K20:V20)</f>
        <v>40.066776380377618</v>
      </c>
      <c r="AD20" s="35">
        <f>SKEW(K20:V20)</f>
        <v>0.34388600906002981</v>
      </c>
      <c r="AE20" s="35">
        <f>KURT(K20:V20)</f>
        <v>2.3551724239553984E-2</v>
      </c>
    </row>
    <row r="21" spans="2:31" x14ac:dyDescent="0.2">
      <c r="B21" s="34">
        <f>[36]FormattedData!A36</f>
        <v>204</v>
      </c>
      <c r="C21" s="34" t="str">
        <f>VLOOKUP($B21,[36]TrtCodes!$B$11:I79,2)</f>
        <v>NDH</v>
      </c>
      <c r="D21" s="34">
        <f>VLOOKUP($B21,[36]TrtCodes!$B$11:J79,3)</f>
        <v>11</v>
      </c>
      <c r="E21" s="34">
        <f>VLOOKUP($B21,[36]TrtCodes!$B$11:K79,4)</f>
        <v>2</v>
      </c>
      <c r="F21" s="34">
        <f>VLOOKUP($B21,[36]TrtCodes!$B$11:L79,5)</f>
        <v>3</v>
      </c>
      <c r="G21" s="34">
        <f>VLOOKUP($B21,[36]TrtCodes!$B$11:M79,6)</f>
        <v>2</v>
      </c>
      <c r="H21" s="34">
        <f>VLOOKUP($B21,[36]TrtCodes!$B$11:N79,7)</f>
        <v>1</v>
      </c>
      <c r="I21" s="34">
        <f>[36]FormattedData!B36</f>
        <v>1</v>
      </c>
      <c r="J21" s="37">
        <f>[36]FormattedData!C36</f>
        <v>12.961</v>
      </c>
      <c r="K21" s="39">
        <f>$J$3+[36]FormattedData!D36*$J$4+$M$4*$J$5+[36]FormattedData!D36^2*$J$6+$M$5*$J$7</f>
        <v>48.512263745531726</v>
      </c>
      <c r="L21" s="39">
        <f>$J$3+[36]FormattedData!E36*$J$4+$M$4*$J$5+[36]FormattedData!E36^2*$J$6+$M$5*$J$7</f>
        <v>42.739540654432226</v>
      </c>
      <c r="M21" s="39">
        <f>$J$3+[36]FormattedData!F36*$J$4+$M$4*$J$5+[36]FormattedData!F36^2*$J$6+$M$5*$J$7</f>
        <v>46.816556377827126</v>
      </c>
      <c r="N21" s="39">
        <f>$J$3+[36]FormattedData!G36*$J$4+$M$4*$J$5+[36]FormattedData!G36^2*$J$6+$M$5*$J$7</f>
        <v>37.921721232513562</v>
      </c>
      <c r="O21" s="39">
        <f>$J$3+[36]FormattedData!H36*$J$4+$M$4*$J$5+[36]FormattedData!H36^2*$J$6+$M$5*$J$7</f>
        <v>51.770640519449287</v>
      </c>
      <c r="P21" s="39">
        <f>$J$3+[36]FormattedData!I36*$J$4+$M$4*$J$5+[36]FormattedData!I36^2*$J$6+$M$5*$J$7</f>
        <v>38.576931141726767</v>
      </c>
      <c r="Q21" s="39">
        <f>$J$3+[36]FormattedData!J36*$J$4+$M$4*$J$5+[36]FormattedData!J36^2*$J$6+$M$5*$J$7</f>
        <v>52.467546079684944</v>
      </c>
      <c r="R21" s="39">
        <f>$J$3+[36]FormattedData!K36*$J$4+$M$4*$J$5+[36]FormattedData!K36^2*$J$6+$M$5*$J$7</f>
        <v>34.614604311068142</v>
      </c>
      <c r="S21" s="39">
        <f>$J$3+[36]FormattedData!L36*$J$4+$M$4*$J$5+[36]FormattedData!L36^2*$J$6+$M$5*$J$7</f>
        <v>50.720209954544082</v>
      </c>
      <c r="T21" s="39">
        <f>$J$3+[36]FormattedData!M36*$J$4+$M$4*$J$5+[36]FormattedData!M36^2*$J$6+$M$5*$J$7</f>
        <v>38.483456531738675</v>
      </c>
      <c r="U21" s="39">
        <f>$J$3+[36]FormattedData!N36*$J$4+$M$4*$J$5+[36]FormattedData!N36^2*$J$6+$M$5*$J$7</f>
        <v>52.119431447870575</v>
      </c>
      <c r="V21" s="39">
        <f>$J$3+[36]FormattedData!O36*$J$4+$M$4*$J$5+[36]FormattedData!O36^2*$J$6+$M$5*$J$7</f>
        <v>35.754306028083931</v>
      </c>
      <c r="W21" s="38">
        <f>AVERAGE(K21:V21)</f>
        <v>44.208100668705924</v>
      </c>
      <c r="X21" s="37">
        <f>STDEV(K21:V21)/SQRT(COUNT(K21:V21))</f>
        <v>1.99506152099083</v>
      </c>
      <c r="Y21" s="36">
        <f>MIN(K21:V21)</f>
        <v>34.614604311068142</v>
      </c>
      <c r="Z21" s="35">
        <f>QUARTILE(K21:V21,1)</f>
        <v>38.343022706932395</v>
      </c>
      <c r="AA21" s="36">
        <f>MEDIAN(K21:V21)</f>
        <v>44.778048516129672</v>
      </c>
      <c r="AB21" s="35">
        <f>QUARTILE(K21:V21,3)</f>
        <v>50.982817595770385</v>
      </c>
      <c r="AC21" s="35">
        <f>MAX(K21:V21)</f>
        <v>52.467546079684944</v>
      </c>
      <c r="AD21" s="35">
        <f>SKEW(K21:V21)</f>
        <v>-7.9346694146732122E-2</v>
      </c>
      <c r="AE21" s="35">
        <f>KURT(K21:V21)</f>
        <v>-1.8745714832108735</v>
      </c>
    </row>
    <row r="22" spans="2:31" x14ac:dyDescent="0.2">
      <c r="B22" s="34">
        <f>[36]FormattedData!A38</f>
        <v>205</v>
      </c>
      <c r="C22" s="34" t="str">
        <f>VLOOKUP($B22,[36]TrtCodes!$B$11:I81,2)</f>
        <v>FSH</v>
      </c>
      <c r="D22" s="34">
        <f>VLOOKUP($B22,[36]TrtCodes!$B$11:J81,3)</f>
        <v>1</v>
      </c>
      <c r="E22" s="34">
        <f>VLOOKUP($B22,[36]TrtCodes!$B$11:K81,4)</f>
        <v>1</v>
      </c>
      <c r="F22" s="34">
        <f>VLOOKUP($B22,[36]TrtCodes!$B$11:L81,5)</f>
        <v>1</v>
      </c>
      <c r="G22" s="34">
        <f>VLOOKUP($B22,[36]TrtCodes!$B$11:M81,6)</f>
        <v>2</v>
      </c>
      <c r="H22" s="34">
        <f>VLOOKUP($B22,[36]TrtCodes!$B$11:N81,7)</f>
        <v>2</v>
      </c>
      <c r="I22" s="34">
        <f>[36]FormattedData!B38</f>
        <v>1</v>
      </c>
      <c r="J22" s="37">
        <f>[36]FormattedData!C38</f>
        <v>12.978</v>
      </c>
      <c r="K22" s="39">
        <f>$J$3+[36]FormattedData!D38*$J$4+$M$4*$J$5+[36]FormattedData!D38^2*$J$6+$M$5*$J$7</f>
        <v>34.709811931111417</v>
      </c>
      <c r="L22" s="39">
        <f>$J$3+[36]FormattedData!E38*$J$4+$M$4*$J$5+[36]FormattedData!E38^2*$J$6+$M$5*$J$7</f>
        <v>38.296380506148694</v>
      </c>
      <c r="M22" s="39">
        <f>$J$3+[36]FormattedData!F38*$J$4+$M$4*$J$5+[36]FormattedData!F38^2*$J$6+$M$5*$J$7</f>
        <v>36.038280415234425</v>
      </c>
      <c r="N22" s="39">
        <f>$J$3+[36]FormattedData!G38*$J$4+$M$4*$J$5+[36]FormattedData!G38^2*$J$6+$M$5*$J$7</f>
        <v>32.605480257897383</v>
      </c>
      <c r="O22" s="39">
        <f>$J$3+[36]FormattedData!H38*$J$4+$M$4*$J$5+[36]FormattedData!H38^2*$J$6+$M$5*$J$7</f>
        <v>35.280170012074485</v>
      </c>
      <c r="P22" s="39">
        <f>$J$3+[36]FormattedData!I38*$J$4+$M$4*$J$5+[36]FormattedData!I38^2*$J$6+$M$5*$J$7</f>
        <v>33.468815924590274</v>
      </c>
      <c r="Q22" s="39">
        <f>$J$3+[36]FormattedData!J38*$J$4+$M$4*$J$5+[36]FormattedData!J38^2*$J$6+$M$5*$J$7</f>
        <v>35.280170012074485</v>
      </c>
      <c r="R22" s="39">
        <f>$J$3+[36]FormattedData!K38*$J$4+$M$4*$J$5+[36]FormattedData!K38^2*$J$6+$M$5*$J$7</f>
        <v>37.827950742759946</v>
      </c>
      <c r="S22" s="39">
        <f>$J$3+[36]FormattedData!L38*$J$4+$M$4*$J$5+[36]FormattedData!L38^2*$J$6+$M$5*$J$7</f>
        <v>35.46995122409205</v>
      </c>
      <c r="T22" s="39">
        <f>$J$3+[36]FormattedData!M38*$J$4+$M$4*$J$5+[36]FormattedData!M38^2*$J$6+$M$5*$J$7</f>
        <v>31.062207587301572</v>
      </c>
      <c r="U22" s="39">
        <f>$J$3+[36]FormattedData!N38*$J$4+$M$4*$J$5+[36]FormattedData!N38^2*$J$6+$M$5*$J$7</f>
        <v>34.995181180013638</v>
      </c>
      <c r="V22" s="39">
        <f>$J$3+[36]FormattedData!O38*$J$4+$M$4*$J$5+[36]FormattedData!O38^2*$J$6+$M$5*$J$7</f>
        <v>34.709811931111417</v>
      </c>
      <c r="W22" s="38">
        <f>AVERAGE(K22:V22)</f>
        <v>34.978684310367477</v>
      </c>
      <c r="X22" s="37">
        <f>STDEV(K22:V22)/SQRT(COUNT(K22:V22))</f>
        <v>0.57778802598073042</v>
      </c>
      <c r="Y22" s="36">
        <f>MIN(K22:V22)</f>
        <v>31.062207587301572</v>
      </c>
      <c r="Z22" s="35">
        <f>QUARTILE(K22:V22,1)</f>
        <v>34.399562929481135</v>
      </c>
      <c r="AA22" s="36">
        <f>MEDIAN(K22:V22)</f>
        <v>35.137675596044062</v>
      </c>
      <c r="AB22" s="35">
        <f>QUARTILE(K22:V22,3)</f>
        <v>35.612033521877642</v>
      </c>
      <c r="AC22" s="35">
        <f>MAX(K22:V22)</f>
        <v>38.296380506148694</v>
      </c>
      <c r="AD22" s="35">
        <f>SKEW(K22:V22)</f>
        <v>-0.21644181407654164</v>
      </c>
      <c r="AE22" s="35">
        <f>KURT(K22:V22)</f>
        <v>0.48919964686777018</v>
      </c>
    </row>
    <row r="23" spans="2:31" x14ac:dyDescent="0.2">
      <c r="B23" s="34">
        <f>[36]FormattedData!A40</f>
        <v>206</v>
      </c>
      <c r="C23" s="34" t="str">
        <f>VLOOKUP($B23,[36]TrtCodes!$B$11:I83,2)</f>
        <v>NSL</v>
      </c>
      <c r="D23" s="34">
        <f>VLOOKUP($B23,[36]TrtCodes!$B$11:J83,3)</f>
        <v>8</v>
      </c>
      <c r="E23" s="34">
        <f>VLOOKUP($B23,[36]TrtCodes!$B$11:K83,4)</f>
        <v>2</v>
      </c>
      <c r="F23" s="34">
        <f>VLOOKUP($B23,[36]TrtCodes!$B$11:L83,5)</f>
        <v>1</v>
      </c>
      <c r="G23" s="34">
        <f>VLOOKUP($B23,[36]TrtCodes!$B$11:M83,6)</f>
        <v>1</v>
      </c>
      <c r="H23" s="34">
        <f>VLOOKUP($B23,[36]TrtCodes!$B$11:N83,7)</f>
        <v>2</v>
      </c>
      <c r="I23" s="34">
        <f>[36]FormattedData!B40</f>
        <v>1</v>
      </c>
      <c r="J23" s="37">
        <f>[36]FormattedData!C40</f>
        <v>12.993</v>
      </c>
      <c r="K23" s="39">
        <f>$J$3+[36]FormattedData!D40*$J$4+$M$4*$J$5+[36]FormattedData!D40^2*$J$6+$M$5*$J$7</f>
        <v>53.248331291798323</v>
      </c>
      <c r="L23" s="39">
        <f>$J$3+[36]FormattedData!E40*$J$4+$M$4*$J$5+[36]FormattedData!E40^2*$J$6+$M$5*$J$7</f>
        <v>51.683337115999151</v>
      </c>
      <c r="M23" s="39">
        <f>$J$3+[36]FormattedData!F40*$J$4+$M$4*$J$5+[36]FormattedData!F40^2*$J$6+$M$5*$J$7</f>
        <v>51.158629056001715</v>
      </c>
      <c r="N23" s="39">
        <f>$J$3+[36]FormattedData!G40*$J$4+$M$4*$J$5+[36]FormattedData!G40^2*$J$6+$M$5*$J$7</f>
        <v>50.983388221032456</v>
      </c>
      <c r="O23" s="39">
        <f>$J$3+[36]FormattedData!H40*$J$4+$M$4*$J$5+[36]FormattedData!H40^2*$J$6+$M$5*$J$7</f>
        <v>54.370087752815714</v>
      </c>
      <c r="P23" s="39">
        <f>$J$3+[36]FormattedData!I40*$J$4+$M$4*$J$5+[36]FormattedData!I40^2*$J$6+$M$5*$J$7</f>
        <v>46.637173226140611</v>
      </c>
      <c r="Q23" s="39">
        <f>$J$3+[36]FormattedData!J40*$J$4+$M$4*$J$5+[36]FormattedData!J40^2*$J$6+$M$5*$J$7</f>
        <v>54.025692752339275</v>
      </c>
      <c r="R23" s="39">
        <f>$J$3+[36]FormattedData!K40*$J$4+$M$4*$J$5+[36]FormattedData!K40^2*$J$6+$M$5*$J$7</f>
        <v>48.512263745531726</v>
      </c>
      <c r="S23" s="39">
        <f>$J$3+[36]FormattedData!L40*$J$4+$M$4*$J$5+[36]FormattedData!L40^2*$J$6+$M$5*$J$7</f>
        <v>55.740904788652472</v>
      </c>
      <c r="T23" s="39">
        <f>$J$3+[36]FormattedData!M40*$J$4+$M$4*$J$5+[36]FormattedData!M40^2*$J$6+$M$5*$J$7</f>
        <v>42.281255340146956</v>
      </c>
      <c r="U23" s="39">
        <f>$J$3+[36]FormattedData!N40*$J$4+$M$4*$J$5+[36]FormattedData!N40^2*$J$6+$M$5*$J$7</f>
        <v>56.167066014110077</v>
      </c>
      <c r="V23" s="39">
        <f>$J$3+[36]FormattedData!O40*$J$4+$M$4*$J$5+[36]FormattedData!O40^2*$J$6+$M$5*$J$7</f>
        <v>54.971151664939129</v>
      </c>
      <c r="W23" s="38">
        <f>AVERAGE(K23:V23)</f>
        <v>51.64827341412564</v>
      </c>
      <c r="X23" s="37">
        <f>STDEV(K23:V23)/SQRT(COUNT(K23:V23))</f>
        <v>1.1908775155495883</v>
      </c>
      <c r="Y23" s="36">
        <f>MIN(K23:V23)</f>
        <v>42.281255340146956</v>
      </c>
      <c r="Z23" s="35">
        <f>QUARTILE(K23:V23,1)</f>
        <v>50.36560710215727</v>
      </c>
      <c r="AA23" s="36">
        <f>MEDIAN(K23:V23)</f>
        <v>52.465834203898737</v>
      </c>
      <c r="AB23" s="35">
        <f>QUARTILE(K23:V23,3)</f>
        <v>54.520353730846566</v>
      </c>
      <c r="AC23" s="35">
        <f>MAX(K23:V23)</f>
        <v>56.167066014110077</v>
      </c>
      <c r="AD23" s="35">
        <f>SKEW(K23:V23)</f>
        <v>-1.1556923067681406</v>
      </c>
      <c r="AE23" s="35">
        <f>KURT(K23:V23)</f>
        <v>1.0476889948546395</v>
      </c>
    </row>
    <row r="24" spans="2:31" x14ac:dyDescent="0.2">
      <c r="B24" s="34">
        <f>[36]FormattedData!A42</f>
        <v>207</v>
      </c>
      <c r="C24" s="34" t="str">
        <f>VLOOKUP($B24,[36]TrtCodes!$B$11:I85,2)</f>
        <v>FTL</v>
      </c>
      <c r="D24" s="34">
        <f>VLOOKUP($B24,[36]TrtCodes!$B$11:J85,3)</f>
        <v>4</v>
      </c>
      <c r="E24" s="34">
        <f>VLOOKUP($B24,[36]TrtCodes!$B$11:K85,4)</f>
        <v>1</v>
      </c>
      <c r="F24" s="34">
        <f>VLOOKUP($B24,[36]TrtCodes!$B$11:L85,5)</f>
        <v>2</v>
      </c>
      <c r="G24" s="34">
        <f>VLOOKUP($B24,[36]TrtCodes!$B$11:M85,6)</f>
        <v>1</v>
      </c>
      <c r="H24" s="34">
        <f>VLOOKUP($B24,[36]TrtCodes!$B$11:N85,7)</f>
        <v>2</v>
      </c>
      <c r="I24" s="34">
        <f>[36]FormattedData!B42</f>
        <v>1</v>
      </c>
      <c r="J24" s="37">
        <f>[36]FormattedData!C42</f>
        <v>13.010999999999999</v>
      </c>
      <c r="K24" s="39">
        <f>$J$3+[36]FormattedData!D42*$J$4+$M$4*$J$5+[36]FormattedData!D42^2*$J$6+$M$5*$J$7</f>
        <v>34.995181180013638</v>
      </c>
      <c r="L24" s="39">
        <f>$J$3+[36]FormattedData!E42*$J$4+$M$4*$J$5+[36]FormattedData!E42^2*$J$6+$M$5*$J$7</f>
        <v>33.85142168335647</v>
      </c>
      <c r="M24" s="39">
        <f>$J$3+[36]FormattedData!F42*$J$4+$M$4*$J$5+[36]FormattedData!F42^2*$J$6+$M$5*$J$7</f>
        <v>38.670363483176928</v>
      </c>
      <c r="N24" s="39">
        <f>$J$3+[36]FormattedData!G42*$J$4+$M$4*$J$5+[36]FormattedData!G42^2*$J$6+$M$5*$J$7</f>
        <v>30.674698678135371</v>
      </c>
      <c r="O24" s="39">
        <f>$J$3+[36]FormattedData!H42*$J$4+$M$4*$J$5+[36]FormattedData!H42^2*$J$6+$M$5*$J$7</f>
        <v>36.321874385543531</v>
      </c>
      <c r="P24" s="39">
        <f>$J$3+[36]FormattedData!I42*$J$4+$M$4*$J$5+[36]FormattedData!I42^2*$J$6+$M$5*$J$7</f>
        <v>31.062207587301572</v>
      </c>
      <c r="Q24" s="39">
        <f>$J$3+[36]FormattedData!J42*$J$4+$M$4*$J$5+[36]FormattedData!J42^2*$J$6+$M$5*$J$7</f>
        <v>35.754306028083931</v>
      </c>
      <c r="R24" s="39">
        <f>$J$3+[36]FormattedData!K42*$J$4+$M$4*$J$5+[36]FormattedData!K42^2*$J$6+$M$5*$J$7</f>
        <v>30.965393762816912</v>
      </c>
      <c r="S24" s="39">
        <f>$J$3+[36]FormattedData!L42*$J$4+$M$4*$J$5+[36]FormattedData!L42^2*$J$6+$M$5*$J$7</f>
        <v>34.328727839710758</v>
      </c>
      <c r="T24" s="39">
        <f>$J$3+[36]FormattedData!M42*$J$4+$M$4*$J$5+[36]FormattedData!M42^2*$J$6+$M$5*$J$7</f>
        <v>35.090219725905179</v>
      </c>
      <c r="U24" s="39">
        <f>$J$3+[36]FormattedData!N42*$J$4+$M$4*$J$5+[36]FormattedData!N42^2*$J$6+$M$5*$J$7</f>
        <v>34.424062265367809</v>
      </c>
      <c r="V24" s="39">
        <f>$J$3+[36]FormattedData!O42*$J$4+$M$4*$J$5+[36]FormattedData!O42^2*$J$6+$M$5*$J$7</f>
        <v>32.316940868650335</v>
      </c>
      <c r="W24" s="38">
        <f>AVERAGE(K24:V24)</f>
        <v>34.037949790671867</v>
      </c>
      <c r="X24" s="37">
        <f>STDEV(K24:V24)/SQRT(COUNT(K24:V24))</f>
        <v>0.69892997367419818</v>
      </c>
      <c r="Y24" s="36">
        <f>MIN(K24:V24)</f>
        <v>30.674698678135371</v>
      </c>
      <c r="Z24" s="35">
        <f>QUARTILE(K24:V24,1)</f>
        <v>32.003257548313144</v>
      </c>
      <c r="AA24" s="36">
        <f>MEDIAN(K24:V24)</f>
        <v>34.37639505253928</v>
      </c>
      <c r="AB24" s="35">
        <f>QUARTILE(K24:V24,3)</f>
        <v>35.256241301449869</v>
      </c>
      <c r="AC24" s="35">
        <f>MAX(K24:V24)</f>
        <v>38.670363483176928</v>
      </c>
      <c r="AD24" s="35">
        <f>SKEW(K24:V24)</f>
        <v>0.15371103366996247</v>
      </c>
      <c r="AE24" s="35">
        <f>KURT(K24:V24)</f>
        <v>-0.35231055442676551</v>
      </c>
    </row>
    <row r="25" spans="2:31" x14ac:dyDescent="0.2">
      <c r="B25" s="34">
        <f>[36]FormattedData!A44</f>
        <v>208</v>
      </c>
      <c r="C25" s="34" t="str">
        <f>VLOOKUP($B25,[36]TrtCodes!$B$11:I87,2)</f>
        <v>FSL</v>
      </c>
      <c r="D25" s="34">
        <f>VLOOKUP($B25,[36]TrtCodes!$B$11:J87,3)</f>
        <v>2</v>
      </c>
      <c r="E25" s="34">
        <f>VLOOKUP($B25,[36]TrtCodes!$B$11:K87,4)</f>
        <v>1</v>
      </c>
      <c r="F25" s="34">
        <f>VLOOKUP($B25,[36]TrtCodes!$B$11:L87,5)</f>
        <v>1</v>
      </c>
      <c r="G25" s="34">
        <f>VLOOKUP($B25,[36]TrtCodes!$B$11:M87,6)</f>
        <v>1</v>
      </c>
      <c r="H25" s="34">
        <f>VLOOKUP($B25,[36]TrtCodes!$B$11:N87,7)</f>
        <v>2</v>
      </c>
      <c r="I25" s="34">
        <f>[36]FormattedData!B44</f>
        <v>1</v>
      </c>
      <c r="J25" s="37">
        <f>[36]FormattedData!C44</f>
        <v>13.031000000000001</v>
      </c>
      <c r="K25" s="39">
        <f>$J$3+[36]FormattedData!D44*$J$4+$M$4*$J$5+[36]FormattedData!D44^2*$J$6+$M$5*$J$7</f>
        <v>34.614604311068142</v>
      </c>
      <c r="L25" s="39">
        <f>$J$3+[36]FormattedData!E44*$J$4+$M$4*$J$5+[36]FormattedData!E44^2*$J$6+$M$5*$J$7</f>
        <v>34.137932182782826</v>
      </c>
      <c r="M25" s="39">
        <f>$J$3+[36]FormattedData!F44*$J$4+$M$4*$J$5+[36]FormattedData!F44^2*$J$6+$M$5*$J$7</f>
        <v>35.185216003258802</v>
      </c>
      <c r="N25" s="39">
        <f>$J$3+[36]FormattedData!G44*$J$4+$M$4*$J$5+[36]FormattedData!G44^2*$J$6+$M$5*$J$7</f>
        <v>35.090219725905179</v>
      </c>
      <c r="O25" s="39">
        <f>$J$3+[36]FormattedData!H44*$J$4+$M$4*$J$5+[36]FormattedData!H44^2*$J$6+$M$5*$J$7</f>
        <v>35.754306028083931</v>
      </c>
      <c r="P25" s="39">
        <f>$J$3+[36]FormattedData!I44*$J$4+$M$4*$J$5+[36]FormattedData!I44^2*$J$6+$M$5*$J$7</f>
        <v>35.46995122409205</v>
      </c>
      <c r="Q25" s="39">
        <f>$J$3+[36]FormattedData!J44*$J$4+$M$4*$J$5+[36]FormattedData!J44^2*$J$6+$M$5*$J$7</f>
        <v>35.185216003258802</v>
      </c>
      <c r="R25" s="39">
        <f>$J$3+[36]FormattedData!K44*$J$4+$M$4*$J$5+[36]FormattedData!K44^2*$J$6+$M$5*$J$7</f>
        <v>35.754306028083931</v>
      </c>
      <c r="S25" s="39">
        <f>$J$3+[36]FormattedData!L44*$J$4+$M$4*$J$5+[36]FormattedData!L44^2*$J$6+$M$5*$J$7</f>
        <v>35.6595633619579</v>
      </c>
      <c r="T25" s="39">
        <f>$J$3+[36]FormattedData!M44*$J$4+$M$4*$J$5+[36]FormattedData!M44^2*$J$6+$M$5*$J$7</f>
        <v>33.277259433979602</v>
      </c>
      <c r="U25" s="39">
        <f>$J$3+[36]FormattedData!N44*$J$4+$M$4*$J$5+[36]FormattedData!N44^2*$J$6+$M$5*$J$7</f>
        <v>35.46995122409205</v>
      </c>
      <c r="V25" s="39">
        <f>$J$3+[36]FormattedData!O44*$J$4+$M$4*$J$5+[36]FormattedData!O44^2*$J$6+$M$5*$J$7</f>
        <v>32.028021062561891</v>
      </c>
      <c r="W25" s="38">
        <f>AVERAGE(K25:V25)</f>
        <v>34.802212215760427</v>
      </c>
      <c r="X25" s="37">
        <f>STDEV(K25:V25)/SQRT(COUNT(K25:V25))</f>
        <v>0.32930345872983174</v>
      </c>
      <c r="Y25" s="36">
        <f>MIN(K25:V25)</f>
        <v>32.028021062561891</v>
      </c>
      <c r="Z25" s="35">
        <f>QUARTILE(K25:V25,1)</f>
        <v>34.495436278996813</v>
      </c>
      <c r="AA25" s="36">
        <f>MEDIAN(K25:V25)</f>
        <v>35.185216003258802</v>
      </c>
      <c r="AB25" s="35">
        <f>QUARTILE(K25:V25,3)</f>
        <v>35.517354258558512</v>
      </c>
      <c r="AC25" s="35">
        <f>MAX(K25:V25)</f>
        <v>35.754306028083931</v>
      </c>
      <c r="AD25" s="35">
        <f>SKEW(K25:V25)</f>
        <v>-1.6247526283336795</v>
      </c>
      <c r="AE25" s="35">
        <f>KURT(K25:V25)</f>
        <v>2.2447059720653835</v>
      </c>
    </row>
    <row r="26" spans="2:31" x14ac:dyDescent="0.2">
      <c r="B26" s="34">
        <f>[36]FormattedData!A62</f>
        <v>301</v>
      </c>
      <c r="C26" s="34" t="str">
        <f>VLOOKUP($B26,[36]TrtCodes!$B$11:I105,2)</f>
        <v>NTL</v>
      </c>
      <c r="D26" s="34">
        <f>VLOOKUP($B26,[36]TrtCodes!$B$11:J105,3)</f>
        <v>10</v>
      </c>
      <c r="E26" s="34">
        <f>VLOOKUP($B26,[36]TrtCodes!$B$11:K105,4)</f>
        <v>2</v>
      </c>
      <c r="F26" s="34">
        <f>VLOOKUP($B26,[36]TrtCodes!$B$11:L105,5)</f>
        <v>2</v>
      </c>
      <c r="G26" s="34">
        <f>VLOOKUP($B26,[36]TrtCodes!$B$11:M105,6)</f>
        <v>1</v>
      </c>
      <c r="H26" s="34">
        <f>VLOOKUP($B26,[36]TrtCodes!$B$11:N105,7)</f>
        <v>3</v>
      </c>
      <c r="I26" s="34">
        <f>[36]FormattedData!B62</f>
        <v>1</v>
      </c>
      <c r="J26" s="37">
        <f>[36]FormattedData!C62</f>
        <v>13.144</v>
      </c>
      <c r="K26" s="39">
        <f>$J$3+[36]FormattedData!D62*$J$4+$M$4*$J$5+[36]FormattedData!D62^2*$J$6+$M$5*$J$7</f>
        <v>54.370087752815714</v>
      </c>
      <c r="L26" s="39">
        <f>$J$3+[36]FormattedData!E62*$J$4+$M$4*$J$5+[36]FormattedData!E62^2*$J$6+$M$5*$J$7</f>
        <v>47.978425681341172</v>
      </c>
      <c r="M26" s="39">
        <f>$J$3+[36]FormattedData!F62*$J$4+$M$4*$J$5+[36]FormattedData!F62^2*$J$6+$M$5*$J$7</f>
        <v>51.945120520735792</v>
      </c>
      <c r="N26" s="39">
        <f>$J$3+[36]FormattedData!G62*$J$4+$M$4*$J$5+[36]FormattedData!G62^2*$J$6+$M$5*$J$7</f>
        <v>47.443065949785087</v>
      </c>
      <c r="O26" s="39">
        <f>$J$3+[36]FormattedData!H62*$J$4+$M$4*$J$5+[36]FormattedData!H62^2*$J$6+$M$5*$J$7</f>
        <v>52.293573300853616</v>
      </c>
      <c r="P26" s="39">
        <f>$J$3+[36]FormattedData!I62*$J$4+$M$4*$J$5+[36]FormattedData!I62^2*$J$6+$M$5*$J$7</f>
        <v>43.65294114265793</v>
      </c>
      <c r="Q26" s="39">
        <f>$J$3+[36]FormattedData!J62*$J$4+$M$4*$J$5+[36]FormattedData!J62^2*$J$6+$M$5*$J$7</f>
        <v>53.507832195486678</v>
      </c>
      <c r="R26" s="39">
        <f>$J$3+[36]FormattedData!K62*$J$4+$M$4*$J$5+[36]FormattedData!K62^2*$J$6+$M$5*$J$7</f>
        <v>47.085314091322417</v>
      </c>
      <c r="S26" s="39">
        <f>$J$3+[36]FormattedData!L62*$J$4+$M$4*$J$5+[36]FormattedData!L62^2*$J$6+$M$5*$J$7</f>
        <v>53.421374162795168</v>
      </c>
      <c r="T26" s="39">
        <f>$J$3+[36]FormattedData!M62*$J$4+$M$4*$J$5+[36]FormattedData!M62^2*$J$6+$M$5*$J$7</f>
        <v>48.867310417566813</v>
      </c>
      <c r="U26" s="39">
        <f>$J$3+[36]FormattedData!N62*$J$4+$M$4*$J$5+[36]FormattedData!N62^2*$J$6+$M$5*$J$7</f>
        <v>53.07511934664975</v>
      </c>
      <c r="V26" s="39">
        <f>$J$3+[36]FormattedData!O62*$J$4+$M$4*$J$5+[36]FormattedData!O62^2*$J$6+$M$5*$J$7</f>
        <v>43.65294114265793</v>
      </c>
      <c r="W26" s="38">
        <f>AVERAGE(K26:V26)</f>
        <v>49.774425475389002</v>
      </c>
      <c r="X26" s="37">
        <f>STDEV(K26:V26)/SQRT(COUNT(K26:V26))</f>
        <v>1.1077257829439968</v>
      </c>
      <c r="Y26" s="36">
        <f>MIN(K26:V26)</f>
        <v>43.65294114265793</v>
      </c>
      <c r="Z26" s="35">
        <f>QUARTILE(K26:V26,1)</f>
        <v>47.353627985169418</v>
      </c>
      <c r="AA26" s="36">
        <f>MEDIAN(K26:V26)</f>
        <v>50.406215469151306</v>
      </c>
      <c r="AB26" s="35">
        <f>QUARTILE(K26:V26,3)</f>
        <v>53.161683050686108</v>
      </c>
      <c r="AC26" s="35">
        <f>MAX(K26:V26)</f>
        <v>54.370087752815714</v>
      </c>
      <c r="AD26" s="35">
        <f>SKEW(K26:V26)</f>
        <v>-0.45884445772573901</v>
      </c>
      <c r="AE26" s="35">
        <f>KURT(K26:V26)</f>
        <v>-1.1991413285295858</v>
      </c>
    </row>
    <row r="27" spans="2:31" x14ac:dyDescent="0.2">
      <c r="B27" s="34">
        <f>[36]FormattedData!A64</f>
        <v>302</v>
      </c>
      <c r="C27" s="34" t="str">
        <f>VLOOKUP($B27,[36]TrtCodes!$B$11:I107,2)</f>
        <v>FTL</v>
      </c>
      <c r="D27" s="34">
        <f>VLOOKUP($B27,[36]TrtCodes!$B$11:J107,3)</f>
        <v>4</v>
      </c>
      <c r="E27" s="34">
        <f>VLOOKUP($B27,[36]TrtCodes!$B$11:K107,4)</f>
        <v>1</v>
      </c>
      <c r="F27" s="34">
        <f>VLOOKUP($B27,[36]TrtCodes!$B$11:L107,5)</f>
        <v>2</v>
      </c>
      <c r="G27" s="34">
        <f>VLOOKUP($B27,[36]TrtCodes!$B$11:M107,6)</f>
        <v>1</v>
      </c>
      <c r="H27" s="34">
        <f>VLOOKUP($B27,[36]TrtCodes!$B$11:N107,7)</f>
        <v>3</v>
      </c>
      <c r="I27" s="34">
        <f>[36]FormattedData!B64</f>
        <v>1</v>
      </c>
      <c r="J27" s="37">
        <f>[36]FormattedData!C64</f>
        <v>13.159000000000001</v>
      </c>
      <c r="K27" s="39">
        <f>$J$3+[36]FormattedData!D64*$J$4+$M$4*$J$5+[36]FormattedData!D64^2*$J$6+$M$5*$J$7</f>
        <v>34.614604311068142</v>
      </c>
      <c r="L27" s="39">
        <f>$J$3+[36]FormattedData!E64*$J$4+$M$4*$J$5+[36]FormattedData!E64^2*$J$6+$M$5*$J$7</f>
        <v>35.37508175235223</v>
      </c>
      <c r="M27" s="39">
        <f>$J$3+[36]FormattedData!F64*$J$4+$M$4*$J$5+[36]FormattedData!F64^2*$J$6+$M$5*$J$7</f>
        <v>35.754306028083931</v>
      </c>
      <c r="N27" s="39">
        <f>$J$3+[36]FormattedData!G64*$J$4+$M$4*$J$5+[36]FormattedData!G64^2*$J$6+$M$5*$J$7</f>
        <v>34.137932182782826</v>
      </c>
      <c r="O27" s="39">
        <f>$J$3+[36]FormattedData!H64*$J$4+$M$4*$J$5+[36]FormattedData!H64^2*$J$6+$M$5*$J$7</f>
        <v>35.754306028083931</v>
      </c>
      <c r="P27" s="39">
        <f>$J$3+[36]FormattedData!I64*$J$4+$M$4*$J$5+[36]FormattedData!I64^2*$J$6+$M$5*$J$7</f>
        <v>32.22067653515878</v>
      </c>
      <c r="Q27" s="39">
        <f>$J$3+[36]FormattedData!J64*$J$4+$M$4*$J$5+[36]FormattedData!J64^2*$J$6+$M$5*$J$7</f>
        <v>35.280170012074485</v>
      </c>
      <c r="R27" s="39">
        <f>$J$3+[36]FormattedData!K64*$J$4+$M$4*$J$5+[36]FormattedData!K64^2*$J$6+$M$5*$J$7</f>
        <v>30.965393762816912</v>
      </c>
      <c r="S27" s="39">
        <f>$J$3+[36]FormattedData!L64*$J$4+$M$4*$J$5+[36]FormattedData!L64^2*$J$6+$M$5*$J$7</f>
        <v>35.090219725905179</v>
      </c>
      <c r="T27" s="39">
        <f>$J$3+[36]FormattedData!M64*$J$4+$M$4*$J$5+[36]FormattedData!M64^2*$J$6+$M$5*$J$7</f>
        <v>31.352395449527943</v>
      </c>
      <c r="U27" s="39">
        <f>$J$3+[36]FormattedData!N64*$J$4+$M$4*$J$5+[36]FormattedData!N64^2*$J$6+$M$5*$J$7</f>
        <v>35.280170012074485</v>
      </c>
      <c r="V27" s="39">
        <f>$J$3+[36]FormattedData!O64*$J$4+$M$4*$J$5+[36]FormattedData!O64^2*$J$6+$M$5*$J$7</f>
        <v>33.277259433979602</v>
      </c>
      <c r="W27" s="38">
        <f>AVERAGE(K27:V27)</f>
        <v>34.091876269492374</v>
      </c>
      <c r="X27" s="37">
        <f>STDEV(K27:V27)/SQRT(COUNT(K27:V27))</f>
        <v>0.49783423540763438</v>
      </c>
      <c r="Y27" s="36">
        <f>MIN(K27:V27)</f>
        <v>30.965393762816912</v>
      </c>
      <c r="Z27" s="35">
        <f>QUARTILE(K27:V27,1)</f>
        <v>33.013113709274393</v>
      </c>
      <c r="AA27" s="36">
        <f>MEDIAN(K27:V27)</f>
        <v>34.85241201848666</v>
      </c>
      <c r="AB27" s="35">
        <f>QUARTILE(K27:V27,3)</f>
        <v>35.303897947143923</v>
      </c>
      <c r="AC27" s="35">
        <f>MAX(K27:V27)</f>
        <v>35.754306028083931</v>
      </c>
      <c r="AD27" s="35">
        <f>SKEW(K27:V27)</f>
        <v>-0.90219821335289219</v>
      </c>
      <c r="AE27" s="35">
        <f>KURT(K27:V27)</f>
        <v>-0.69099430893794089</v>
      </c>
    </row>
    <row r="28" spans="2:31" x14ac:dyDescent="0.2">
      <c r="B28" s="34">
        <f>[36]FormattedData!A66</f>
        <v>303</v>
      </c>
      <c r="C28" s="34" t="str">
        <f>VLOOKUP($B28,[36]TrtCodes!$B$11:I109,2)</f>
        <v>NSL</v>
      </c>
      <c r="D28" s="34">
        <f>VLOOKUP($B28,[36]TrtCodes!$B$11:J109,3)</f>
        <v>8</v>
      </c>
      <c r="E28" s="34">
        <f>VLOOKUP($B28,[36]TrtCodes!$B$11:K109,4)</f>
        <v>2</v>
      </c>
      <c r="F28" s="34">
        <f>VLOOKUP($B28,[36]TrtCodes!$B$11:L109,5)</f>
        <v>1</v>
      </c>
      <c r="G28" s="34">
        <f>VLOOKUP($B28,[36]TrtCodes!$B$11:M109,6)</f>
        <v>1</v>
      </c>
      <c r="H28" s="34">
        <f>VLOOKUP($B28,[36]TrtCodes!$B$11:N109,7)</f>
        <v>3</v>
      </c>
      <c r="I28" s="34">
        <f>[36]FormattedData!B66</f>
        <v>1</v>
      </c>
      <c r="J28" s="37">
        <f>[36]FormattedData!C66</f>
        <v>13.175000000000001</v>
      </c>
      <c r="K28" s="39">
        <f>$J$3+[36]FormattedData!D66*$J$4+$M$4*$J$5+[36]FormattedData!D66^2*$J$6+$M$5*$J$7</f>
        <v>52.728188233897448</v>
      </c>
      <c r="L28" s="39">
        <f>$J$3+[36]FormattedData!E66*$J$4+$M$4*$J$5+[36]FormattedData!E66^2*$J$6+$M$5*$J$7</f>
        <v>54.025692752339275</v>
      </c>
      <c r="M28" s="39">
        <f>$J$3+[36]FormattedData!F66*$J$4+$M$4*$J$5+[36]FormattedData!F66^2*$J$6+$M$5*$J$7</f>
        <v>53.161746453493002</v>
      </c>
      <c r="N28" s="39">
        <f>$J$3+[36]FormattedData!G66*$J$4+$M$4*$J$5+[36]FormattedData!G66^2*$J$6+$M$5*$J$7</f>
        <v>49.575374871816287</v>
      </c>
      <c r="O28" s="39">
        <f>$J$3+[36]FormattedData!H66*$J$4+$M$4*$J$5+[36]FormattedData!H66^2*$J$6+$M$5*$J$7</f>
        <v>53.85324164087347</v>
      </c>
      <c r="P28" s="39">
        <f>$J$3+[36]FormattedData!I66*$J$4+$M$4*$J$5+[36]FormattedData!I66^2*$J$6+$M$5*$J$7</f>
        <v>42.831070911675489</v>
      </c>
      <c r="Q28" s="39">
        <f>$J$3+[36]FormattedData!J66*$J$4+$M$4*$J$5+[36]FormattedData!J66^2*$J$6+$M$5*$J$7</f>
        <v>53.766952682333667</v>
      </c>
      <c r="R28" s="39">
        <f>$J$3+[36]FormattedData!K66*$J$4+$M$4*$J$5+[36]FormattedData!K66^2*$J$6+$M$5*$J$7</f>
        <v>42.922558900380814</v>
      </c>
      <c r="S28" s="39">
        <f>$J$3+[36]FormattedData!L66*$J$4+$M$4*$J$5+[36]FormattedData!L66^2*$J$6+$M$5*$J$7</f>
        <v>53.421374162795168</v>
      </c>
      <c r="T28" s="39">
        <f>$J$3+[36]FormattedData!M66*$J$4+$M$4*$J$5+[36]FormattedData!M66^2*$J$6+$M$5*$J$7</f>
        <v>44.562114777090521</v>
      </c>
      <c r="U28" s="39">
        <f>$J$3+[36]FormattedData!N66*$J$4+$M$4*$J$5+[36]FormattedData!N66^2*$J$6+$M$5*$J$7</f>
        <v>54.713806456685248</v>
      </c>
      <c r="V28" s="39">
        <f>$J$3+[36]FormattedData!O66*$J$4+$M$4*$J$5+[36]FormattedData!O66^2*$J$6+$M$5*$J$7</f>
        <v>47.353691387976312</v>
      </c>
      <c r="W28" s="38">
        <f>AVERAGE(K28:V28)</f>
        <v>50.24298443594639</v>
      </c>
      <c r="X28" s="37">
        <f>STDEV(K28:V28)/SQRT(COUNT(K28:V28))</f>
        <v>1.3318308797125287</v>
      </c>
      <c r="Y28" s="36">
        <f>MIN(K28:V28)</f>
        <v>42.831070911675489</v>
      </c>
      <c r="Z28" s="35">
        <f>QUARTILE(K28:V28,1)</f>
        <v>46.655797235254866</v>
      </c>
      <c r="AA28" s="36">
        <f>MEDIAN(K28:V28)</f>
        <v>52.944967343695225</v>
      </c>
      <c r="AB28" s="35">
        <f>QUARTILE(K28:V28,3)</f>
        <v>53.788524921968616</v>
      </c>
      <c r="AC28" s="35">
        <f>MAX(K28:V28)</f>
        <v>54.713806456685248</v>
      </c>
      <c r="AD28" s="35">
        <f>SKEW(K28:V28)</f>
        <v>-0.77828289336939327</v>
      </c>
      <c r="AE28" s="35">
        <f>KURT(K28:V28)</f>
        <v>-1.2014369453680573</v>
      </c>
    </row>
    <row r="29" spans="2:31" x14ac:dyDescent="0.2">
      <c r="B29" s="34">
        <f>[36]FormattedData!A68</f>
        <v>304</v>
      </c>
      <c r="C29" s="34" t="str">
        <f>VLOOKUP($B29,[36]TrtCodes!$B$11:I111,2)</f>
        <v>FSL</v>
      </c>
      <c r="D29" s="34">
        <f>VLOOKUP($B29,[36]TrtCodes!$B$11:J111,3)</f>
        <v>2</v>
      </c>
      <c r="E29" s="34">
        <f>VLOOKUP($B29,[36]TrtCodes!$B$11:K111,4)</f>
        <v>1</v>
      </c>
      <c r="F29" s="34">
        <f>VLOOKUP($B29,[36]TrtCodes!$B$11:L111,5)</f>
        <v>1</v>
      </c>
      <c r="G29" s="34">
        <f>VLOOKUP($B29,[36]TrtCodes!$B$11:M111,6)</f>
        <v>1</v>
      </c>
      <c r="H29" s="34">
        <f>VLOOKUP($B29,[36]TrtCodes!$B$11:N111,7)</f>
        <v>3</v>
      </c>
      <c r="I29" s="34">
        <f>[36]FormattedData!B68</f>
        <v>1</v>
      </c>
      <c r="J29" s="37">
        <f>[36]FormattedData!C68</f>
        <v>13.194000000000001</v>
      </c>
      <c r="K29" s="39">
        <f>$J$3+[36]FormattedData!D68*$J$4+$M$4*$J$5+[36]FormattedData!D68^2*$J$6+$M$5*$J$7</f>
        <v>34.328727839710758</v>
      </c>
      <c r="L29" s="39">
        <f>$J$3+[36]FormattedData!E68*$J$4+$M$4*$J$5+[36]FormattedData!E68^2*$J$6+$M$5*$J$7</f>
        <v>34.137932182782826</v>
      </c>
      <c r="M29" s="39">
        <f>$J$3+[36]FormattedData!F68*$J$4+$M$4*$J$5+[36]FormattedData!F68^2*$J$6+$M$5*$J$7</f>
        <v>34.900100365584159</v>
      </c>
      <c r="N29" s="39">
        <f>$J$3+[36]FormattedData!G68*$J$4+$M$4*$J$5+[36]FormattedData!G68^2*$J$6+$M$5*$J$7</f>
        <v>33.755833646471821</v>
      </c>
      <c r="O29" s="39">
        <f>$J$3+[36]FormattedData!H68*$J$4+$M$4*$J$5+[36]FormattedData!H68^2*$J$6+$M$5*$J$7</f>
        <v>34.995181180013638</v>
      </c>
      <c r="P29" s="39">
        <f>$J$3+[36]FormattedData!I68*$J$4+$M$4*$J$5+[36]FormattedData!I68^2*$J$6+$M$5*$J$7</f>
        <v>36.416321171904045</v>
      </c>
      <c r="Q29" s="39">
        <f>$J$3+[36]FormattedData!J68*$J$4+$M$4*$J$5+[36]FormattedData!J68^2*$J$6+$M$5*$J$7</f>
        <v>36.510725689726627</v>
      </c>
      <c r="R29" s="39">
        <f>$J$3+[36]FormattedData!K68*$J$4+$M$4*$J$5+[36]FormattedData!K68^2*$J$6+$M$5*$J$7</f>
        <v>31.062207587301572</v>
      </c>
      <c r="S29" s="39">
        <f>$J$3+[36]FormattedData!L68*$J$4+$M$4*$J$5+[36]FormattedData!L68^2*$J$6+$M$5*$J$7</f>
        <v>35.280170012074485</v>
      </c>
      <c r="T29" s="39">
        <f>$J$3+[36]FormattedData!M68*$J$4+$M$4*$J$5+[36]FormattedData!M68^2*$J$6+$M$5*$J$7</f>
        <v>33.755833646471821</v>
      </c>
      <c r="U29" s="39">
        <f>$J$3+[36]FormattedData!N68*$J$4+$M$4*$J$5+[36]FormattedData!N68^2*$J$6+$M$5*$J$7</f>
        <v>35.280170012074485</v>
      </c>
      <c r="V29" s="39">
        <f>$J$3+[36]FormattedData!O68*$J$4+$M$4*$J$5+[36]FormattedData!O68^2*$J$6+$M$5*$J$7</f>
        <v>36.98211425077055</v>
      </c>
      <c r="W29" s="38">
        <f>AVERAGE(K29:V29)</f>
        <v>34.783776465407236</v>
      </c>
      <c r="X29" s="37">
        <f>STDEV(K29:V29)/SQRT(COUNT(K29:V29))</f>
        <v>0.45742090765022603</v>
      </c>
      <c r="Y29" s="36">
        <f>MIN(K29:V29)</f>
        <v>31.062207587301572</v>
      </c>
      <c r="Z29" s="35">
        <f>QUARTILE(K29:V29,1)</f>
        <v>34.042407548705071</v>
      </c>
      <c r="AA29" s="36">
        <f>MEDIAN(K29:V29)</f>
        <v>34.947640772798898</v>
      </c>
      <c r="AB29" s="35">
        <f>QUARTILE(K29:V29,3)</f>
        <v>35.564207802031873</v>
      </c>
      <c r="AC29" s="35">
        <f>MAX(K29:V29)</f>
        <v>36.98211425077055</v>
      </c>
      <c r="AD29" s="35">
        <f>SKEW(K29:V29)</f>
        <v>-0.92403029127813474</v>
      </c>
      <c r="AE29" s="35">
        <f>KURT(K29:V29)</f>
        <v>1.8093976876164302</v>
      </c>
    </row>
    <row r="30" spans="2:31" x14ac:dyDescent="0.2">
      <c r="B30" s="34">
        <f>[36]FormattedData!A70</f>
        <v>305</v>
      </c>
      <c r="C30" s="34" t="str">
        <f>VLOOKUP($B30,[36]TrtCodes!$B$11:I113,2)</f>
        <v>NDH</v>
      </c>
      <c r="D30" s="34">
        <f>VLOOKUP($B30,[36]TrtCodes!$B$11:J113,3)</f>
        <v>11</v>
      </c>
      <c r="E30" s="34">
        <f>VLOOKUP($B30,[36]TrtCodes!$B$11:K113,4)</f>
        <v>2</v>
      </c>
      <c r="F30" s="34">
        <f>VLOOKUP($B30,[36]TrtCodes!$B$11:L113,5)</f>
        <v>3</v>
      </c>
      <c r="G30" s="34">
        <f>VLOOKUP($B30,[36]TrtCodes!$B$11:M113,6)</f>
        <v>2</v>
      </c>
      <c r="H30" s="34">
        <f>VLOOKUP($B30,[36]TrtCodes!$B$11:N113,7)</f>
        <v>4</v>
      </c>
      <c r="I30" s="34">
        <f>[36]FormattedData!B70</f>
        <v>1</v>
      </c>
      <c r="J30" s="37">
        <f>[36]FormattedData!C70</f>
        <v>13.212</v>
      </c>
      <c r="K30" s="39">
        <f>$J$3+[36]FormattedData!D70*$J$4+$M$4*$J$5+[36]FormattedData!D70^2*$J$6+$M$5*$J$7</f>
        <v>44.198952545772656</v>
      </c>
      <c r="L30" s="39">
        <f>$J$3+[36]FormattedData!E70*$J$4+$M$4*$J$5+[36]FormattedData!E70^2*$J$6+$M$5*$J$7</f>
        <v>41.913866255035977</v>
      </c>
      <c r="M30" s="39">
        <f>$J$3+[36]FormattedData!F70*$J$4+$M$4*$J$5+[36]FormattedData!F70^2*$J$6+$M$5*$J$7</f>
        <v>44.198952545772656</v>
      </c>
      <c r="N30" s="39">
        <f>$J$3+[36]FormattedData!G70*$J$4+$M$4*$J$5+[36]FormattedData!G70^2*$J$6+$M$5*$J$7</f>
        <v>49.133151601944846</v>
      </c>
      <c r="O30" s="39">
        <f>$J$3+[36]FormattedData!H70*$J$4+$M$4*$J$5+[36]FormattedData!H70^2*$J$6+$M$5*$J$7</f>
        <v>46.637173226140611</v>
      </c>
      <c r="P30" s="39">
        <f>$J$3+[36]FormattedData!I70*$J$4+$M$4*$J$5+[36]FormattedData!I70^2*$J$6+$M$5*$J$7</f>
        <v>51.071029772786048</v>
      </c>
      <c r="Q30" s="39">
        <f>$J$3+[36]FormattedData!J70*$J$4+$M$4*$J$5+[36]FormattedData!J70^2*$J$6+$M$5*$J$7</f>
        <v>38.576931141726767</v>
      </c>
      <c r="R30" s="39">
        <f>$J$3+[36]FormattedData!K70*$J$4+$M$4*$J$5+[36]FormattedData!K70^2*$J$6+$M$5*$J$7</f>
        <v>50.19271217104319</v>
      </c>
      <c r="S30" s="39">
        <f>$J$3+[36]FormattedData!L70*$J$4+$M$4*$J$5+[36]FormattedData!L70^2*$J$6+$M$5*$J$7</f>
        <v>38.38993965321265</v>
      </c>
      <c r="T30" s="39">
        <f>$J$3+[36]FormattedData!M70*$J$4+$M$4*$J$5+[36]FormattedData!M70^2*$J$6+$M$5*$J$7</f>
        <v>50.720209954544082</v>
      </c>
      <c r="U30" s="39">
        <f>$J$3+[36]FormattedData!N70*$J$4+$M$4*$J$5+[36]FormattedData!N70^2*$J$6+$M$5*$J$7</f>
        <v>36.98211425077055</v>
      </c>
      <c r="V30" s="39">
        <f>$J$3+[36]FormattedData!O70*$J$4+$M$4*$J$5+[36]FormattedData!O70^2*$J$6+$M$5*$J$7</f>
        <v>50.19271217104319</v>
      </c>
      <c r="W30" s="38">
        <f>AVERAGE(K30:V30)</f>
        <v>45.183978774149438</v>
      </c>
      <c r="X30" s="37">
        <f>STDEV(K30:V30)/SQRT(COUNT(K30:V30))</f>
        <v>1.5148422326277815</v>
      </c>
      <c r="Y30" s="36">
        <f>MIN(K30:V30)</f>
        <v>36.98211425077055</v>
      </c>
      <c r="Z30" s="35">
        <f>QUARTILE(K30:V30,1)</f>
        <v>41.079632476708674</v>
      </c>
      <c r="AA30" s="36">
        <f>MEDIAN(K30:V30)</f>
        <v>45.41806288595663</v>
      </c>
      <c r="AB30" s="35">
        <f>QUARTILE(K30:V30,3)</f>
        <v>50.19271217104319</v>
      </c>
      <c r="AC30" s="35">
        <f>MAX(K30:V30)</f>
        <v>51.071029772786048</v>
      </c>
      <c r="AD30" s="35">
        <f>SKEW(K30:V30)</f>
        <v>-0.37819819243386416</v>
      </c>
      <c r="AE30" s="35">
        <f>KURT(K30:V30)</f>
        <v>-1.4721692695886626</v>
      </c>
    </row>
    <row r="31" spans="2:31" x14ac:dyDescent="0.2">
      <c r="B31" s="34">
        <f>[36]FormattedData!A72</f>
        <v>306</v>
      </c>
      <c r="C31" s="34" t="str">
        <f>VLOOKUP($B31,[36]TrtCodes!$B$11:I115,2)</f>
        <v>FTL</v>
      </c>
      <c r="D31" s="34">
        <f>VLOOKUP($B31,[36]TrtCodes!$B$11:J115,3)</f>
        <v>4</v>
      </c>
      <c r="E31" s="34">
        <f>VLOOKUP($B31,[36]TrtCodes!$B$11:K115,4)</f>
        <v>1</v>
      </c>
      <c r="F31" s="34">
        <f>VLOOKUP($B31,[36]TrtCodes!$B$11:L115,5)</f>
        <v>2</v>
      </c>
      <c r="G31" s="34">
        <f>VLOOKUP($B31,[36]TrtCodes!$B$11:M115,6)</f>
        <v>1</v>
      </c>
      <c r="H31" s="34">
        <f>VLOOKUP($B31,[36]TrtCodes!$B$11:N115,7)</f>
        <v>4</v>
      </c>
      <c r="I31" s="34">
        <f>[36]FormattedData!B72</f>
        <v>1</v>
      </c>
      <c r="J31" s="37">
        <f>[36]FormattedData!C72</f>
        <v>13.23</v>
      </c>
      <c r="K31" s="39">
        <f>$J$3+[36]FormattedData!D72*$J$4+$M$4*$J$5+[36]FormattedData!D72^2*$J$6+$M$5*$J$7</f>
        <v>35.37508175235223</v>
      </c>
      <c r="L31" s="39">
        <f>$J$3+[36]FormattedData!E72*$J$4+$M$4*$J$5+[36]FormattedData!E72^2*$J$6+$M$5*$J$7</f>
        <v>33.277259433979602</v>
      </c>
      <c r="M31" s="39">
        <f>$J$3+[36]FormattedData!F72*$J$4+$M$4*$J$5+[36]FormattedData!F72^2*$J$6+$M$5*$J$7</f>
        <v>35.94366455472219</v>
      </c>
      <c r="N31" s="39">
        <f>$J$3+[36]FormattedData!G72*$J$4+$M$4*$J$5+[36]FormattedData!G72^2*$J$6+$M$5*$J$7</f>
        <v>32.70157551723721</v>
      </c>
      <c r="O31" s="39">
        <f>$J$3+[36]FormattedData!H72*$J$4+$M$4*$J$5+[36]FormattedData!H72^2*$J$6+$M$5*$J$7</f>
        <v>36.60508793901127</v>
      </c>
      <c r="P31" s="39">
        <f>$J$3+[36]FormattedData!I72*$J$4+$M$4*$J$5+[36]FormattedData!I72^2*$J$6+$M$5*$J$7</f>
        <v>31.062207587301572</v>
      </c>
      <c r="Q31" s="39">
        <f>$J$3+[36]FormattedData!J72*$J$4+$M$4*$J$5+[36]FormattedData!J72^2*$J$6+$M$5*$J$7</f>
        <v>36.416321171904045</v>
      </c>
      <c r="R31" s="39">
        <f>$J$3+[36]FormattedData!K72*$J$4+$M$4*$J$5+[36]FormattedData!K72^2*$J$6+$M$5*$J$7</f>
        <v>30.868537669794332</v>
      </c>
      <c r="S31" s="39">
        <f>$J$3+[36]FormattedData!L72*$J$4+$M$4*$J$5+[36]FormattedData!L72^2*$J$6+$M$5*$J$7</f>
        <v>36.321874385543531</v>
      </c>
      <c r="T31" s="39">
        <f>$J$3+[36]FormattedData!M72*$J$4+$M$4*$J$5+[36]FormattedData!M72^2*$J$6+$M$5*$J$7</f>
        <v>31.062207587301572</v>
      </c>
      <c r="U31" s="39">
        <f>$J$3+[36]FormattedData!N72*$J$4+$M$4*$J$5+[36]FormattedData!N72^2*$J$6+$M$5*$J$7</f>
        <v>35.754306028083931</v>
      </c>
      <c r="V31" s="39">
        <f>$J$3+[36]FormattedData!O72*$J$4+$M$4*$J$5+[36]FormattedData!O72^2*$J$6+$M$5*$J$7</f>
        <v>32.124369933129294</v>
      </c>
      <c r="W31" s="38">
        <f>AVERAGE(K31:V31)</f>
        <v>33.959374463363396</v>
      </c>
      <c r="X31" s="37">
        <f>STDEV(K31:V31)/SQRT(COUNT(K31:V31))</f>
        <v>0.67158908709274368</v>
      </c>
      <c r="Y31" s="36">
        <f>MIN(K31:V31)</f>
        <v>30.868537669794332</v>
      </c>
      <c r="Z31" s="35">
        <f>QUARTILE(K31:V31,1)</f>
        <v>31.858829346672366</v>
      </c>
      <c r="AA31" s="36">
        <f>MEDIAN(K31:V31)</f>
        <v>34.326170593165912</v>
      </c>
      <c r="AB31" s="35">
        <f>QUARTILE(K31:V31,3)</f>
        <v>36.038217012427523</v>
      </c>
      <c r="AC31" s="35">
        <f>MAX(K31:V31)</f>
        <v>36.60508793901127</v>
      </c>
      <c r="AD31" s="35">
        <f>SKEW(K31:V31)</f>
        <v>-0.2051457303070317</v>
      </c>
      <c r="AE31" s="35">
        <f>KURT(K31:V31)</f>
        <v>-1.9208580552743011</v>
      </c>
    </row>
    <row r="32" spans="2:31" x14ac:dyDescent="0.2">
      <c r="B32" s="34">
        <f>[36]FormattedData!A74</f>
        <v>307</v>
      </c>
      <c r="C32" s="34" t="str">
        <f>VLOOKUP($B32,[36]TrtCodes!$B$11:I117,2)</f>
        <v>NTH</v>
      </c>
      <c r="D32" s="34">
        <f>VLOOKUP($B32,[36]TrtCodes!$B$11:J117,3)</f>
        <v>9</v>
      </c>
      <c r="E32" s="34">
        <f>VLOOKUP($B32,[36]TrtCodes!$B$11:K117,4)</f>
        <v>2</v>
      </c>
      <c r="F32" s="34">
        <f>VLOOKUP($B32,[36]TrtCodes!$B$11:L117,5)</f>
        <v>2</v>
      </c>
      <c r="G32" s="34">
        <f>VLOOKUP($B32,[36]TrtCodes!$B$11:M117,6)</f>
        <v>2</v>
      </c>
      <c r="H32" s="34">
        <f>VLOOKUP($B32,[36]TrtCodes!$B$11:N117,7)</f>
        <v>4</v>
      </c>
      <c r="I32" s="34">
        <f>[36]FormattedData!B74</f>
        <v>1</v>
      </c>
      <c r="J32" s="37">
        <f>[36]FormattedData!C74</f>
        <v>13.247</v>
      </c>
      <c r="K32" s="39">
        <f>$J$3+[36]FormattedData!D74*$J$4+$M$4*$J$5+[36]FormattedData!D74^2*$J$6+$M$5*$J$7</f>
        <v>37.640282957638938</v>
      </c>
      <c r="L32" s="39">
        <f>$J$3+[36]FormattedData!E74*$J$4+$M$4*$J$5+[36]FormattedData!E74^2*$J$6+$M$5*$J$7</f>
        <v>33.85142168335647</v>
      </c>
      <c r="M32" s="39">
        <f>$J$3+[36]FormattedData!F74*$J$4+$M$4*$J$5+[36]FormattedData!F74^2*$J$6+$M$5*$J$7</f>
        <v>37.358464265922926</v>
      </c>
      <c r="N32" s="39">
        <f>$J$3+[36]FormattedData!G74*$J$4+$M$4*$J$5+[36]FormattedData!G74^2*$J$6+$M$5*$J$7</f>
        <v>31.255708430657087</v>
      </c>
      <c r="O32" s="39">
        <f>$J$3+[36]FormattedData!H74*$J$4+$M$4*$J$5+[36]FormattedData!H74^2*$J$6+$M$5*$J$7</f>
        <v>37.264440164941732</v>
      </c>
      <c r="P32" s="39">
        <f>$J$3+[36]FormattedData!I74*$J$4+$M$4*$J$5+[36]FormattedData!I74^2*$J$6+$M$5*$J$7</f>
        <v>32.509342730019632</v>
      </c>
      <c r="Q32" s="39">
        <f>$J$3+[36]FormattedData!J74*$J$4+$M$4*$J$5+[36]FormattedData!J74^2*$J$6+$M$5*$J$7</f>
        <v>37.07626515736554</v>
      </c>
      <c r="R32" s="39">
        <f>$J$3+[36]FormattedData!K74*$J$4+$M$4*$J$5+[36]FormattedData!K74^2*$J$6+$M$5*$J$7</f>
        <v>33.085533869217194</v>
      </c>
      <c r="S32" s="39">
        <f>$J$3+[36]FormattedData!L74*$J$4+$M$4*$J$5+[36]FormattedData!L74^2*$J$6+$M$5*$J$7</f>
        <v>36.98211425077055</v>
      </c>
      <c r="T32" s="39">
        <f>$J$3+[36]FormattedData!M74*$J$4+$M$4*$J$5+[36]FormattedData!M74^2*$J$6+$M$5*$J$7</f>
        <v>33.085533869217194</v>
      </c>
      <c r="U32" s="39">
        <f>$J$3+[36]FormattedData!N74*$J$4+$M$4*$J$5+[36]FormattedData!N74^2*$J$6+$M$5*$J$7</f>
        <v>36.98211425077055</v>
      </c>
      <c r="V32" s="39">
        <f>$J$3+[36]FormattedData!O74*$J$4+$M$4*$J$5+[36]FormattedData!O74^2*$J$6+$M$5*$J$7</f>
        <v>33.18141778586736</v>
      </c>
      <c r="W32" s="38">
        <f>AVERAGE(K32:V32)</f>
        <v>35.022719951312105</v>
      </c>
      <c r="X32" s="37">
        <f>STDEV(K32:V32)/SQRT(COUNT(K32:V32))</f>
        <v>0.68536266140690683</v>
      </c>
      <c r="Y32" s="36">
        <f>MIN(K32:V32)</f>
        <v>31.255708430657087</v>
      </c>
      <c r="Z32" s="35">
        <f>QUARTILE(K32:V32,1)</f>
        <v>33.085533869217194</v>
      </c>
      <c r="AA32" s="36">
        <f>MEDIAN(K32:V32)</f>
        <v>35.416767967063507</v>
      </c>
      <c r="AB32" s="35">
        <f>QUARTILE(K32:V32,3)</f>
        <v>37.123308909259592</v>
      </c>
      <c r="AC32" s="35">
        <f>MAX(K32:V32)</f>
        <v>37.640282957638938</v>
      </c>
      <c r="AD32" s="35">
        <f>SKEW(K32:V32)</f>
        <v>-0.21254620516237085</v>
      </c>
      <c r="AE32" s="35">
        <f>KURT(K32:V32)</f>
        <v>-1.8905923547337848</v>
      </c>
    </row>
    <row r="33" spans="2:31" x14ac:dyDescent="0.2">
      <c r="B33" s="34">
        <f>[36]FormattedData!A76</f>
        <v>308</v>
      </c>
      <c r="C33" s="34" t="str">
        <f>VLOOKUP($B33,[36]TrtCodes!$B$11:I119,2)</f>
        <v>FDH</v>
      </c>
      <c r="D33" s="34">
        <f>VLOOKUP($B33,[36]TrtCodes!$B$11:J119,3)</f>
        <v>5</v>
      </c>
      <c r="E33" s="34">
        <f>VLOOKUP($B33,[36]TrtCodes!$B$11:K119,4)</f>
        <v>1</v>
      </c>
      <c r="F33" s="34">
        <f>VLOOKUP($B33,[36]TrtCodes!$B$11:L119,5)</f>
        <v>3</v>
      </c>
      <c r="G33" s="34">
        <f>VLOOKUP($B33,[36]TrtCodes!$B$11:M119,6)</f>
        <v>2</v>
      </c>
      <c r="H33" s="34">
        <f>VLOOKUP($B33,[36]TrtCodes!$B$11:N119,7)</f>
        <v>4</v>
      </c>
      <c r="I33" s="34">
        <f>[36]FormattedData!B76</f>
        <v>1</v>
      </c>
      <c r="J33" s="37">
        <f>[36]FormattedData!C76</f>
        <v>13.265000000000001</v>
      </c>
      <c r="K33" s="39">
        <f>$J$3+[36]FormattedData!D76*$J$4+$M$4*$J$5+[36]FormattedData!D76^2*$J$6+$M$5*$J$7</f>
        <v>34.614604311068142</v>
      </c>
      <c r="L33" s="39">
        <f>$J$3+[36]FormattedData!E76*$J$4+$M$4*$J$5+[36]FormattedData!E76^2*$J$6+$M$5*$J$7</f>
        <v>32.316940868650335</v>
      </c>
      <c r="M33" s="39">
        <f>$J$3+[36]FormattedData!F76*$J$4+$M$4*$J$5+[36]FormattedData!F76^2*$J$6+$M$5*$J$7</f>
        <v>35.46995122409205</v>
      </c>
      <c r="N33" s="39">
        <f>$J$3+[36]FormattedData!G76*$J$4+$M$4*$J$5+[36]FormattedData!G76^2*$J$6+$M$5*$J$7</f>
        <v>31.83519651581328</v>
      </c>
      <c r="O33" s="39">
        <f>$J$3+[36]FormattedData!H76*$J$4+$M$4*$J$5+[36]FormattedData!H76^2*$J$6+$M$5*$J$7</f>
        <v>36.416321171904045</v>
      </c>
      <c r="P33" s="39">
        <f>$J$3+[36]FormattedData!I76*$J$4+$M$4*$J$5+[36]FormattedData!I76^2*$J$6+$M$5*$J$7</f>
        <v>34.519354422486948</v>
      </c>
      <c r="Q33" s="39">
        <f>$J$3+[36]FormattedData!J76*$J$4+$M$4*$J$5+[36]FormattedData!J76^2*$J$6+$M$5*$J$7</f>
        <v>36.60508793901127</v>
      </c>
      <c r="R33" s="39">
        <f>$J$3+[36]FormattedData!K76*$J$4+$M$4*$J$5+[36]FormattedData!K76^2*$J$6+$M$5*$J$7</f>
        <v>34.137932182782826</v>
      </c>
      <c r="S33" s="39">
        <f>$J$3+[36]FormattedData!L76*$J$4+$M$4*$J$5+[36]FormattedData!L76^2*$J$6+$M$5*$J$7</f>
        <v>37.264440164941732</v>
      </c>
      <c r="T33" s="39">
        <f>$J$3+[36]FormattedData!M76*$J$4+$M$4*$J$5+[36]FormattedData!M76^2*$J$6+$M$5*$J$7</f>
        <v>30.965393762816912</v>
      </c>
      <c r="U33" s="39">
        <f>$J$3+[36]FormattedData!N76*$J$4+$M$4*$J$5+[36]FormattedData!N76^2*$J$6+$M$5*$J$7</f>
        <v>36.416321171904045</v>
      </c>
      <c r="V33" s="39">
        <f>$J$3+[36]FormattedData!O76*$J$4+$M$4*$J$5+[36]FormattedData!O76^2*$J$6+$M$5*$J$7</f>
        <v>31.255708430657087</v>
      </c>
      <c r="W33" s="38">
        <f>AVERAGE(K33:V33)</f>
        <v>34.318104347177389</v>
      </c>
      <c r="X33" s="37">
        <f>STDEV(K33:V33)/SQRT(COUNT(K33:V33))</f>
        <v>0.64545184446113557</v>
      </c>
      <c r="Y33" s="36">
        <f>MIN(K33:V33)</f>
        <v>30.965393762816912</v>
      </c>
      <c r="Z33" s="35">
        <f>QUARTILE(K33:V33,1)</f>
        <v>32.196504780441074</v>
      </c>
      <c r="AA33" s="36">
        <f>MEDIAN(K33:V33)</f>
        <v>34.566979366777545</v>
      </c>
      <c r="AB33" s="35">
        <f>QUARTILE(K33:V33,3)</f>
        <v>36.416321171904045</v>
      </c>
      <c r="AC33" s="35">
        <f>MAX(K33:V33)</f>
        <v>37.264440164941732</v>
      </c>
      <c r="AD33" s="35">
        <f>SKEW(K33:V33)</f>
        <v>-0.31383927754078617</v>
      </c>
      <c r="AE33" s="35">
        <f>KURT(K33:V33)</f>
        <v>-1.4383027837483029</v>
      </c>
    </row>
    <row r="34" spans="2:31" x14ac:dyDescent="0.2">
      <c r="B34" s="34">
        <f>[36]FormattedData!A92</f>
        <v>401</v>
      </c>
      <c r="C34" s="34" t="str">
        <f>VLOOKUP($B34,[36]TrtCodes!$B$11:I129,2)</f>
        <v>NSH</v>
      </c>
      <c r="D34" s="34">
        <f>VLOOKUP($B34,[36]TrtCodes!$B$11:J129,3)</f>
        <v>7</v>
      </c>
      <c r="E34" s="34">
        <f>VLOOKUP($B34,[36]TrtCodes!$B$11:K129,4)</f>
        <v>2</v>
      </c>
      <c r="F34" s="34">
        <f>VLOOKUP($B34,[36]TrtCodes!$B$11:L129,5)</f>
        <v>1</v>
      </c>
      <c r="G34" s="34">
        <f>VLOOKUP($B34,[36]TrtCodes!$B$11:M129,6)</f>
        <v>2</v>
      </c>
      <c r="H34" s="34">
        <f>VLOOKUP($B34,[36]TrtCodes!$B$11:N129,7)</f>
        <v>3</v>
      </c>
      <c r="I34" s="34">
        <f>[36]FormattedData!B92</f>
        <v>1</v>
      </c>
      <c r="J34" s="37">
        <f>[36]FormattedData!C92</f>
        <v>13.425000000000001</v>
      </c>
      <c r="K34" s="39">
        <f>$J$3+[36]FormattedData!D92*$J$4+$M$4*$J$5+[36]FormattedData!D92^2*$J$6+$M$5*$J$7</f>
        <v>53.680621455255945</v>
      </c>
      <c r="L34" s="39">
        <f>$J$3+[36]FormattedData!E92*$J$4+$M$4*$J$5+[36]FormattedData!E92^2*$J$6+$M$5*$J$7</f>
        <v>50.28073413963817</v>
      </c>
      <c r="M34" s="39">
        <f>$J$3+[36]FormattedData!F92*$J$4+$M$4*$J$5+[36]FormattedData!F92^2*$J$6+$M$5*$J$7</f>
        <v>54.197974789653351</v>
      </c>
      <c r="N34" s="39">
        <f>$J$3+[36]FormattedData!G92*$J$4+$M$4*$J$5+[36]FormattedData!G92^2*$J$6+$M$5*$J$7</f>
        <v>48.778612152364936</v>
      </c>
      <c r="O34" s="39">
        <f>$J$3+[36]FormattedData!H92*$J$4+$M$4*$J$5+[36]FormattedData!H92^2*$J$6+$M$5*$J$7</f>
        <v>53.85324164087347</v>
      </c>
      <c r="P34" s="39">
        <f>$J$3+[36]FormattedData!I92*$J$4+$M$4*$J$5+[36]FormattedData!I92^2*$J$6+$M$5*$J$7</f>
        <v>46.726885936252835</v>
      </c>
      <c r="Q34" s="39">
        <f>$J$3+[36]FormattedData!J92*$J$4+$M$4*$J$5+[36]FormattedData!J92^2*$J$6+$M$5*$J$7</f>
        <v>53.766952682333667</v>
      </c>
      <c r="R34" s="39">
        <f>$J$3+[36]FormattedData!K92*$J$4+$M$4*$J$5+[36]FormattedData!K92^2*$J$6+$M$5*$J$7</f>
        <v>49.751968299999341</v>
      </c>
      <c r="S34" s="39">
        <f>$J$3+[36]FormattedData!L92*$J$4+$M$4*$J$5+[36]FormattedData!L92^2*$J$6+$M$5*$J$7</f>
        <v>53.507832195486678</v>
      </c>
      <c r="T34" s="39">
        <f>$J$3+[36]FormattedData!M92*$J$4+$M$4*$J$5+[36]FormattedData!M92^2*$J$6+$M$5*$J$7</f>
        <v>45.286410349905552</v>
      </c>
      <c r="U34" s="39">
        <f>$J$3+[36]FormattedData!N92*$J$4+$M$4*$J$5+[36]FormattedData!N92^2*$J$6+$M$5*$J$7</f>
        <v>52.901738327349463</v>
      </c>
      <c r="V34" s="39">
        <f>$J$3+[36]FormattedData!O92*$J$4+$M$4*$J$5+[36]FormattedData!O92^2*$J$6+$M$5*$J$7</f>
        <v>49.575374871816287</v>
      </c>
      <c r="W34" s="38">
        <f>AVERAGE(K34:V34)</f>
        <v>51.025695570077481</v>
      </c>
      <c r="X34" s="37">
        <f>STDEV(K34:V34)/SQRT(COUNT(K34:V34))</f>
        <v>0.88356781353300295</v>
      </c>
      <c r="Y34" s="36">
        <f>MIN(K34:V34)</f>
        <v>45.286410349905552</v>
      </c>
      <c r="Z34" s="35">
        <f>QUARTILE(K34:V34,1)</f>
        <v>49.376184191953449</v>
      </c>
      <c r="AA34" s="36">
        <f>MEDIAN(K34:V34)</f>
        <v>51.591236233493817</v>
      </c>
      <c r="AB34" s="35">
        <f>QUARTILE(K34:V34,3)</f>
        <v>53.702204262025376</v>
      </c>
      <c r="AC34" s="35">
        <f>MAX(K34:V34)</f>
        <v>54.197974789653351</v>
      </c>
      <c r="AD34" s="35">
        <f>SKEW(K34:V34)</f>
        <v>-0.64535064584590074</v>
      </c>
      <c r="AE34" s="35">
        <f>KURT(K34:V34)</f>
        <v>-0.83558465149306604</v>
      </c>
    </row>
    <row r="35" spans="2:31" x14ac:dyDescent="0.2">
      <c r="B35" s="34">
        <f>[36]FormattedData!A90</f>
        <v>402</v>
      </c>
      <c r="C35" s="34" t="str">
        <f>VLOOKUP($B35,[36]TrtCodes!$B$11:I130,2)</f>
        <v>NTH</v>
      </c>
      <c r="D35" s="34">
        <f>VLOOKUP($B35,[36]TrtCodes!$B$11:J130,3)</f>
        <v>9</v>
      </c>
      <c r="E35" s="34">
        <f>VLOOKUP($B35,[36]TrtCodes!$B$11:K130,4)</f>
        <v>2</v>
      </c>
      <c r="F35" s="34">
        <f>VLOOKUP($B35,[36]TrtCodes!$B$11:L130,5)</f>
        <v>2</v>
      </c>
      <c r="G35" s="34">
        <f>VLOOKUP($B35,[36]TrtCodes!$B$11:M130,6)</f>
        <v>2</v>
      </c>
      <c r="H35" s="34">
        <f>VLOOKUP($B35,[36]TrtCodes!$B$11:N130,7)</f>
        <v>3</v>
      </c>
      <c r="I35" s="34">
        <f>[36]FormattedData!B90</f>
        <v>1</v>
      </c>
      <c r="J35" s="37">
        <f>[36]FormattedData!C90</f>
        <v>13.403</v>
      </c>
      <c r="K35" s="39">
        <f>$J$3+[36]FormattedData!D90*$J$4+$M$4*$J$5+[36]FormattedData!D90^2*$J$6+$M$5*$J$7</f>
        <v>55.228116456351621</v>
      </c>
      <c r="L35" s="39">
        <f>$J$3+[36]FormattedData!E90*$J$4+$M$4*$J$5+[36]FormattedData!E90^2*$J$6+$M$5*$J$7</f>
        <v>45.015116524134399</v>
      </c>
      <c r="M35" s="39">
        <f>$J$3+[36]FormattedData!F90*$J$4+$M$4*$J$5+[36]FormattedData!F90^2*$J$6+$M$5*$J$7</f>
        <v>53.07511934664975</v>
      </c>
      <c r="N35" s="39">
        <f>$J$3+[36]FormattedData!G90*$J$4+$M$4*$J$5+[36]FormattedData!G90^2*$J$6+$M$5*$J$7</f>
        <v>52.641349784364543</v>
      </c>
      <c r="O35" s="39">
        <f>$J$3+[36]FormattedData!H90*$J$4+$M$4*$J$5+[36]FormattedData!H90^2*$J$6+$M$5*$J$7</f>
        <v>54.456080831589986</v>
      </c>
      <c r="P35" s="39">
        <f>$J$3+[36]FormattedData!I90*$J$4+$M$4*$J$5+[36]FormattedData!I90^2*$J$6+$M$5*$J$7</f>
        <v>43.926137052635987</v>
      </c>
      <c r="Q35" s="39">
        <f>$J$3+[36]FormattedData!J90*$J$4+$M$4*$J$5+[36]FormattedData!J90^2*$J$6+$M$5*$J$7</f>
        <v>54.111854905265282</v>
      </c>
      <c r="R35" s="39">
        <f>$J$3+[36]FormattedData!K90*$J$4+$M$4*$J$5+[36]FormattedData!K90^2*$J$6+$M$5*$J$7</f>
        <v>43.288088169822821</v>
      </c>
      <c r="S35" s="39">
        <f>$J$3+[36]FormattedData!L90*$J$4+$M$4*$J$5+[36]FormattedData!L90^2*$J$6+$M$5*$J$7</f>
        <v>52.728188233897448</v>
      </c>
      <c r="T35" s="39">
        <f>$J$3+[36]FormattedData!M90*$J$4+$M$4*$J$5+[36]FormattedData!M90^2*$J$6+$M$5*$J$7</f>
        <v>50.720209954544082</v>
      </c>
      <c r="U35" s="39">
        <f>$J$3+[36]FormattedData!N90*$J$4+$M$4*$J$5+[36]FormattedData!N90^2*$J$6+$M$5*$J$7</f>
        <v>52.814984414892429</v>
      </c>
      <c r="V35" s="39">
        <f>$J$3+[36]FormattedData!O90*$J$4+$M$4*$J$5+[36]FormattedData!O90^2*$J$6+$M$5*$J$7</f>
        <v>40.900059116601476</v>
      </c>
      <c r="W35" s="38">
        <f>AVERAGE(K35:V35)</f>
        <v>49.90877539922915</v>
      </c>
      <c r="X35" s="37">
        <f>STDEV(K35:V35)/SQRT(COUNT(K35:V35))</f>
        <v>1.4717435622260198</v>
      </c>
      <c r="Y35" s="36">
        <f>MIN(K35:V35)</f>
        <v>40.900059116601476</v>
      </c>
      <c r="Z35" s="35">
        <f>QUARTILE(K35:V35,1)</f>
        <v>44.742871656259794</v>
      </c>
      <c r="AA35" s="36">
        <f>MEDIAN(K35:V35)</f>
        <v>52.684769009130996</v>
      </c>
      <c r="AB35" s="35">
        <f>QUARTILE(K35:V35,3)</f>
        <v>53.334303236303633</v>
      </c>
      <c r="AC35" s="35">
        <f>MAX(K35:V35)</f>
        <v>55.228116456351621</v>
      </c>
      <c r="AD35" s="35">
        <f>SKEW(K35:V35)</f>
        <v>-0.76907396917880044</v>
      </c>
      <c r="AE35" s="35">
        <f>KURT(K35:V35)</f>
        <v>-1.1892553356784572</v>
      </c>
    </row>
    <row r="36" spans="2:31" x14ac:dyDescent="0.2">
      <c r="B36" s="34">
        <f>[36]FormattedData!A88</f>
        <v>403</v>
      </c>
      <c r="C36" s="34" t="str">
        <f>VLOOKUP($B36,[36]TrtCodes!$B$11:I131,2)</f>
        <v>FDL</v>
      </c>
      <c r="D36" s="34">
        <f>VLOOKUP($B36,[36]TrtCodes!$B$11:J131,3)</f>
        <v>6</v>
      </c>
      <c r="E36" s="34">
        <f>VLOOKUP($B36,[36]TrtCodes!$B$11:K131,4)</f>
        <v>1</v>
      </c>
      <c r="F36" s="34">
        <f>VLOOKUP($B36,[36]TrtCodes!$B$11:L131,5)</f>
        <v>3</v>
      </c>
      <c r="G36" s="34">
        <f>VLOOKUP($B36,[36]TrtCodes!$B$11:M131,6)</f>
        <v>1</v>
      </c>
      <c r="H36" s="34">
        <f>VLOOKUP($B36,[36]TrtCodes!$B$11:N131,7)</f>
        <v>3</v>
      </c>
      <c r="I36" s="34">
        <f>[36]FormattedData!B88</f>
        <v>1</v>
      </c>
      <c r="J36" s="37">
        <f>[36]FormattedData!C88</f>
        <v>13.387</v>
      </c>
      <c r="K36" s="39">
        <f>$J$3+[36]FormattedData!D88*$J$4+$M$4*$J$5+[36]FormattedData!D88^2*$J$6+$M$5*$J$7</f>
        <v>33.755833646471821</v>
      </c>
      <c r="L36" s="39">
        <f>$J$3+[36]FormattedData!E88*$J$4+$M$4*$J$5+[36]FormattedData!E88^2*$J$6+$M$5*$J$7</f>
        <v>29.702967607564695</v>
      </c>
      <c r="M36" s="39">
        <f>$J$3+[36]FormattedData!F88*$J$4+$M$4*$J$5+[36]FormattedData!F88^2*$J$6+$M$5*$J$7</f>
        <v>34.137932182782826</v>
      </c>
      <c r="N36" s="39">
        <f>$J$3+[36]FormattedData!G88*$J$4+$M$4*$J$5+[36]FormattedData!G88^2*$J$6+$M$5*$J$7</f>
        <v>30.577715779498995</v>
      </c>
      <c r="O36" s="39">
        <f>$J$3+[36]FormattedData!H88*$J$4+$M$4*$J$5+[36]FormattedData!H88^2*$J$6+$M$5*$J$7</f>
        <v>32.893639230303066</v>
      </c>
      <c r="P36" s="39">
        <f>$J$3+[36]FormattedData!I88*$J$4+$M$4*$J$5+[36]FormattedData!I88^2*$J$6+$M$5*$J$7</f>
        <v>30.092167258248143</v>
      </c>
      <c r="Q36" s="39">
        <f>$J$3+[36]FormattedData!J88*$J$4+$M$4*$J$5+[36]FormattedData!J88^2*$J$6+$M$5*$J$7</f>
        <v>34.709811931111417</v>
      </c>
      <c r="R36" s="39">
        <f>$J$3+[36]FormattedData!K88*$J$4+$M$4*$J$5+[36]FormattedData!K88^2*$J$6+$M$5*$J$7</f>
        <v>30.480690612324683</v>
      </c>
      <c r="S36" s="39">
        <f>$J$3+[36]FormattedData!L88*$J$4+$M$4*$J$5+[36]FormattedData!L88^2*$J$6+$M$5*$J$7</f>
        <v>33.85142168335647</v>
      </c>
      <c r="T36" s="39">
        <f>$J$3+[36]FormattedData!M88*$J$4+$M$4*$J$5+[36]FormattedData!M88^2*$J$6+$M$5*$J$7</f>
        <v>29.605562023549009</v>
      </c>
      <c r="U36" s="39">
        <f>$J$3+[36]FormattedData!N88*$J$4+$M$4*$J$5+[36]FormattedData!N88^2*$J$6+$M$5*$J$7</f>
        <v>34.614604311068142</v>
      </c>
      <c r="V36" s="39">
        <f>$J$3+[36]FormattedData!O88*$J$4+$M$4*$J$5+[36]FormattedData!O88^2*$J$6+$M$5*$J$7</f>
        <v>29.994930748384174</v>
      </c>
      <c r="W36" s="38">
        <f>AVERAGE(K36:V36)</f>
        <v>32.034773084555283</v>
      </c>
      <c r="X36" s="37">
        <f>STDEV(K36:V36)/SQRT(COUNT(K36:V36))</f>
        <v>0.60955646108426853</v>
      </c>
      <c r="Y36" s="36">
        <f>MIN(K36:V36)</f>
        <v>29.605562023549009</v>
      </c>
      <c r="Z36" s="35">
        <f>QUARTILE(K36:V36,1)</f>
        <v>30.067858130782149</v>
      </c>
      <c r="AA36" s="36">
        <f>MEDIAN(K36:V36)</f>
        <v>31.73567750490103</v>
      </c>
      <c r="AB36" s="35">
        <f>QUARTILE(K36:V36,3)</f>
        <v>33.923049308213059</v>
      </c>
      <c r="AC36" s="35">
        <f>MAX(K36:V36)</f>
        <v>34.709811931111417</v>
      </c>
      <c r="AD36" s="35">
        <f>SKEW(K36:V36)</f>
        <v>8.8790713711052363E-2</v>
      </c>
      <c r="AE36" s="35">
        <f>KURT(K36:V36)</f>
        <v>-2.1186659271551642</v>
      </c>
    </row>
    <row r="37" spans="2:31" x14ac:dyDescent="0.2">
      <c r="B37" s="34">
        <f>[36]FormattedData!A86</f>
        <v>404</v>
      </c>
      <c r="C37" s="34" t="str">
        <f>VLOOKUP($B37,[36]TrtCodes!$B$11:I129,2)</f>
        <v>FTH</v>
      </c>
      <c r="D37" s="34">
        <f>VLOOKUP($B37,[36]TrtCodes!$B$11:J129,3)</f>
        <v>3</v>
      </c>
      <c r="E37" s="34">
        <f>VLOOKUP($B37,[36]TrtCodes!$B$11:K129,4)</f>
        <v>1</v>
      </c>
      <c r="F37" s="34">
        <f>VLOOKUP($B37,[36]TrtCodes!$B$11:L129,5)</f>
        <v>2</v>
      </c>
      <c r="G37" s="34">
        <f>VLOOKUP($B37,[36]TrtCodes!$B$11:M129,6)</f>
        <v>2</v>
      </c>
      <c r="H37" s="34">
        <f>VLOOKUP($B37,[36]TrtCodes!$B$11:N129,7)</f>
        <v>3</v>
      </c>
      <c r="I37" s="34">
        <f>[36]FormattedData!B86</f>
        <v>1</v>
      </c>
      <c r="J37" s="37">
        <f>[36]FormattedData!C86</f>
        <v>13.37</v>
      </c>
      <c r="K37" s="39">
        <f>$J$3+[36]FormattedData!D86*$J$4+$M$4*$J$5+[36]FormattedData!D86^2*$J$6+$M$5*$J$7</f>
        <v>34.424062265367809</v>
      </c>
      <c r="L37" s="39">
        <f>$J$3+[36]FormattedData!E86*$J$4+$M$4*$J$5+[36]FormattedData!E86^2*$J$6+$M$5*$J$7</f>
        <v>31.83519651581328</v>
      </c>
      <c r="M37" s="39">
        <f>$J$3+[36]FormattedData!F86*$J$4+$M$4*$J$5+[36]FormattedData!F86^2*$J$6+$M$5*$J$7</f>
        <v>33.946967451703181</v>
      </c>
      <c r="N37" s="39">
        <f>$J$3+[36]FormattedData!G86*$J$4+$M$4*$J$5+[36]FormattedData!G86^2*$J$6+$M$5*$J$7</f>
        <v>31.642202894912934</v>
      </c>
      <c r="O37" s="39">
        <f>$J$3+[36]FormattedData!H86*$J$4+$M$4*$J$5+[36]FormattedData!H86^2*$J$6+$M$5*$J$7</f>
        <v>34.424062265367809</v>
      </c>
      <c r="P37" s="39">
        <f>$J$3+[36]FormattedData!I86*$J$4+$M$4*$J$5+[36]FormattedData!I86^2*$J$6+$M$5*$J$7</f>
        <v>33.85142168335647</v>
      </c>
      <c r="Q37" s="39">
        <f>$J$3+[36]FormattedData!J86*$J$4+$M$4*$J$5+[36]FormattedData!J86^2*$J$6+$M$5*$J$7</f>
        <v>34.137932182782826</v>
      </c>
      <c r="R37" s="39">
        <f>$J$3+[36]FormattedData!K86*$J$4+$M$4*$J$5+[36]FormattedData!K86^2*$J$6+$M$5*$J$7</f>
        <v>31.54564268165587</v>
      </c>
      <c r="S37" s="39">
        <f>$J$3+[36]FormattedData!L86*$J$4+$M$4*$J$5+[36]FormattedData!L86^2*$J$6+$M$5*$J$7</f>
        <v>34.042470951511973</v>
      </c>
      <c r="T37" s="39">
        <f>$J$3+[36]FormattedData!M86*$J$4+$M$4*$J$5+[36]FormattedData!M86^2*$J$6+$M$5*$J$7</f>
        <v>30.868537669794332</v>
      </c>
      <c r="U37" s="39">
        <f>$J$3+[36]FormattedData!N86*$J$4+$M$4*$J$5+[36]FormattedData!N86^2*$J$6+$M$5*$J$7</f>
        <v>34.233351145515755</v>
      </c>
      <c r="V37" s="39">
        <f>$J$3+[36]FormattedData!O86*$J$4+$M$4*$J$5+[36]FormattedData!O86^2*$J$6+$M$5*$J$7</f>
        <v>29.897651969982281</v>
      </c>
      <c r="W37" s="38">
        <f>AVERAGE(K37:V37)</f>
        <v>32.904124973147042</v>
      </c>
      <c r="X37" s="37">
        <f>STDEV(K37:V37)/SQRT(COUNT(K37:V37))</f>
        <v>0.46834079596823708</v>
      </c>
      <c r="Y37" s="36">
        <f>MIN(K37:V37)</f>
        <v>29.897651969982281</v>
      </c>
      <c r="Z37" s="35">
        <f>QUARTILE(K37:V37,1)</f>
        <v>31.618062841598668</v>
      </c>
      <c r="AA37" s="36">
        <f>MEDIAN(K37:V37)</f>
        <v>33.899194567529825</v>
      </c>
      <c r="AB37" s="35">
        <f>QUARTILE(K37:V37,3)</f>
        <v>34.16178692346606</v>
      </c>
      <c r="AC37" s="35">
        <f>MAX(K37:V37)</f>
        <v>34.424062265367809</v>
      </c>
      <c r="AD37" s="35">
        <f>SKEW(K37:V37)</f>
        <v>-0.68053266926938571</v>
      </c>
      <c r="AE37" s="35">
        <f>KURT(K37:V37)</f>
        <v>-1.169818583493857</v>
      </c>
    </row>
    <row r="38" spans="2:31" x14ac:dyDescent="0.2">
      <c r="B38" s="34">
        <f>[36]FormattedData!A84</f>
        <v>405</v>
      </c>
      <c r="C38" s="34" t="str">
        <f>VLOOKUP($B38,[36]TrtCodes!$B$11:I127,2)</f>
        <v>FDL</v>
      </c>
      <c r="D38" s="34">
        <f>VLOOKUP($B38,[36]TrtCodes!$B$11:J127,3)</f>
        <v>6</v>
      </c>
      <c r="E38" s="34">
        <f>VLOOKUP($B38,[36]TrtCodes!$B$11:K127,4)</f>
        <v>1</v>
      </c>
      <c r="F38" s="34">
        <f>VLOOKUP($B38,[36]TrtCodes!$B$11:L127,5)</f>
        <v>3</v>
      </c>
      <c r="G38" s="34">
        <f>VLOOKUP($B38,[36]TrtCodes!$B$11:M127,6)</f>
        <v>1</v>
      </c>
      <c r="H38" s="34">
        <f>VLOOKUP($B38,[36]TrtCodes!$B$11:N127,7)</f>
        <v>4</v>
      </c>
      <c r="I38" s="34">
        <f>[36]FormattedData!B84</f>
        <v>1</v>
      </c>
      <c r="J38" s="37">
        <f>[36]FormattedData!C84</f>
        <v>13.352</v>
      </c>
      <c r="K38" s="39">
        <f>$J$3+[36]FormattedData!D84*$J$4+$M$4*$J$5+[36]FormattedData!D84^2*$J$6+$M$5*$J$7</f>
        <v>34.900100365584159</v>
      </c>
      <c r="L38" s="39">
        <f>$J$3+[36]FormattedData!E84*$J$4+$M$4*$J$5+[36]FormattedData!E84^2*$J$6+$M$5*$J$7</f>
        <v>30.965393762816912</v>
      </c>
      <c r="M38" s="39">
        <f>$J$3+[36]FormattedData!F84*$J$4+$M$4*$J$5+[36]FormattedData!F84^2*$J$6+$M$5*$J$7</f>
        <v>34.995181180013638</v>
      </c>
      <c r="N38" s="39">
        <f>$J$3+[36]FormattedData!G84*$J$4+$M$4*$J$5+[36]FormattedData!G84^2*$J$6+$M$5*$J$7</f>
        <v>30.868537669794332</v>
      </c>
      <c r="O38" s="39">
        <f>$J$3+[36]FormattedData!H84*$J$4+$M$4*$J$5+[36]FormattedData!H84^2*$J$6+$M$5*$J$7</f>
        <v>35.090219725905179</v>
      </c>
      <c r="P38" s="39">
        <f>$J$3+[36]FormattedData!I84*$J$4+$M$4*$J$5+[36]FormattedData!I84^2*$J$6+$M$5*$J$7</f>
        <v>30.189361499574169</v>
      </c>
      <c r="Q38" s="39">
        <f>$J$3+[36]FormattedData!J84*$J$4+$M$4*$J$5+[36]FormattedData!J84^2*$J$6+$M$5*$J$7</f>
        <v>34.614604311068142</v>
      </c>
      <c r="R38" s="39">
        <f>$J$3+[36]FormattedData!K84*$J$4+$M$4*$J$5+[36]FormattedData!K84^2*$J$6+$M$5*$J$7</f>
        <v>34.137932182782826</v>
      </c>
      <c r="S38" s="39">
        <f>$J$3+[36]FormattedData!L84*$J$4+$M$4*$J$5+[36]FormattedData!L84^2*$J$6+$M$5*$J$7</f>
        <v>35.090219725905179</v>
      </c>
      <c r="T38" s="39">
        <f>$J$3+[36]FormattedData!M84*$J$4+$M$4*$J$5+[36]FormattedData!M84^2*$J$6+$M$5*$J$7</f>
        <v>30.383623176612446</v>
      </c>
      <c r="U38" s="39">
        <f>$J$3+[36]FormattedData!N84*$J$4+$M$4*$J$5+[36]FormattedData!N84^2*$J$6+$M$5*$J$7</f>
        <v>35.090219725905179</v>
      </c>
      <c r="V38" s="39">
        <f>$J$3+[36]FormattedData!O84*$J$4+$M$4*$J$5+[36]FormattedData!O84^2*$J$6+$M$5*$J$7</f>
        <v>32.22067653515878</v>
      </c>
      <c r="W38" s="38">
        <f>AVERAGE(K38:V38)</f>
        <v>33.212172488426738</v>
      </c>
      <c r="X38" s="37">
        <f>STDEV(K38:V38)/SQRT(COUNT(K38:V38))</f>
        <v>0.60361933201848983</v>
      </c>
      <c r="Y38" s="36">
        <f>MIN(K38:V38)</f>
        <v>30.189361499574169</v>
      </c>
      <c r="Z38" s="35">
        <f>QUARTILE(K38:V38,1)</f>
        <v>30.941179739561267</v>
      </c>
      <c r="AA38" s="36">
        <f>MEDIAN(K38:V38)</f>
        <v>34.376268246925484</v>
      </c>
      <c r="AB38" s="35">
        <f>QUARTILE(K38:V38,3)</f>
        <v>35.01894081648652</v>
      </c>
      <c r="AC38" s="35">
        <f>MAX(K38:V38)</f>
        <v>35.090219725905179</v>
      </c>
      <c r="AD38" s="35">
        <f>SKEW(K38:V38)</f>
        <v>-0.49565882069152761</v>
      </c>
      <c r="AE38" s="35">
        <f>KURT(K38:V38)</f>
        <v>-1.8550254569963358</v>
      </c>
    </row>
    <row r="39" spans="2:31" x14ac:dyDescent="0.2">
      <c r="B39" s="34">
        <f>[36]FormattedData!A82</f>
        <v>406</v>
      </c>
      <c r="C39" s="34" t="str">
        <f>VLOOKUP($B39,[36]TrtCodes!$B$11:I125,2)</f>
        <v>FTH</v>
      </c>
      <c r="D39" s="34">
        <f>VLOOKUP($B39,[36]TrtCodes!$B$11:J125,3)</f>
        <v>3</v>
      </c>
      <c r="E39" s="34">
        <f>VLOOKUP($B39,[36]TrtCodes!$B$11:K125,4)</f>
        <v>1</v>
      </c>
      <c r="F39" s="34">
        <f>VLOOKUP($B39,[36]TrtCodes!$B$11:L125,5)</f>
        <v>2</v>
      </c>
      <c r="G39" s="34">
        <f>VLOOKUP($B39,[36]TrtCodes!$B$11:M125,6)</f>
        <v>2</v>
      </c>
      <c r="H39" s="34">
        <f>VLOOKUP($B39,[36]TrtCodes!$B$11:N125,7)</f>
        <v>4</v>
      </c>
      <c r="I39" s="34">
        <f>[36]FormattedData!B82</f>
        <v>1</v>
      </c>
      <c r="J39" s="37">
        <f>[36]FormattedData!C82</f>
        <v>13.336</v>
      </c>
      <c r="K39" s="39">
        <f>$J$3+[36]FormattedData!D82*$J$4+$M$4*$J$5+[36]FormattedData!D82^2*$J$6+$M$5*$J$7</f>
        <v>34.900100365584159</v>
      </c>
      <c r="L39" s="39">
        <f>$J$3+[36]FormattedData!E82*$J$4+$M$4*$J$5+[36]FormattedData!E82^2*$J$6+$M$5*$J$7</f>
        <v>34.804977282616761</v>
      </c>
      <c r="M39" s="39">
        <f>$J$3+[36]FormattedData!F82*$J$4+$M$4*$J$5+[36]FormattedData!F82^2*$J$6+$M$5*$J$7</f>
        <v>34.804977282616761</v>
      </c>
      <c r="N39" s="39">
        <f>$J$3+[36]FormattedData!G82*$J$4+$M$4*$J$5+[36]FormattedData!G82^2*$J$6+$M$5*$J$7</f>
        <v>30.383623176612446</v>
      </c>
      <c r="O39" s="39">
        <f>$J$3+[36]FormattedData!H82*$J$4+$M$4*$J$5+[36]FormattedData!H82^2*$J$6+$M$5*$J$7</f>
        <v>34.900100365584159</v>
      </c>
      <c r="P39" s="39">
        <f>$J$3+[36]FormattedData!I82*$J$4+$M$4*$J$5+[36]FormattedData!I82^2*$J$6+$M$5*$J$7</f>
        <v>33.373058813553904</v>
      </c>
      <c r="Q39" s="39">
        <f>$J$3+[36]FormattedData!J82*$J$4+$M$4*$J$5+[36]FormattedData!J82^2*$J$6+$M$5*$J$7</f>
        <v>30.480690612324683</v>
      </c>
      <c r="R39" s="39">
        <f>$J$3+[36]FormattedData!K82*$J$4+$M$4*$J$5+[36]FormattedData!K82^2*$J$6+$M$5*$J$7</f>
        <v>33.373058813553904</v>
      </c>
      <c r="S39" s="39">
        <f>$J$3+[36]FormattedData!L82*$J$4+$M$4*$J$5+[36]FormattedData!L82^2*$J$6+$M$5*$J$7</f>
        <v>32.989607684029096</v>
      </c>
      <c r="T39" s="39">
        <f>$J$3+[36]FormattedData!M82*$J$4+$M$4*$J$5+[36]FormattedData!M82^2*$J$6+$M$5*$J$7</f>
        <v>32.124369933129294</v>
      </c>
      <c r="U39" s="39">
        <f>$J$3+[36]FormattedData!N82*$J$4+$M$4*$J$5+[36]FormattedData!N82^2*$J$6+$M$5*$J$7</f>
        <v>32.989607684029096</v>
      </c>
      <c r="V39" s="39">
        <f>$J$3+[36]FormattedData!O82*$J$4+$M$4*$J$5+[36]FormattedData!O82^2*$J$6+$M$5*$J$7</f>
        <v>32.028021062561891</v>
      </c>
      <c r="W39" s="38">
        <f>AVERAGE(K39:V39)</f>
        <v>33.096016089683012</v>
      </c>
      <c r="X39" s="37">
        <f>STDEV(K39:V39)/SQRT(COUNT(K39:V39))</f>
        <v>0.46716748023041227</v>
      </c>
      <c r="Y39" s="36">
        <f>MIN(K39:V39)</f>
        <v>30.383623176612446</v>
      </c>
      <c r="Z39" s="35">
        <f>QUARTILE(K39:V39,1)</f>
        <v>32.100282715487445</v>
      </c>
      <c r="AA39" s="36">
        <f>MEDIAN(K39:V39)</f>
        <v>33.181333248791503</v>
      </c>
      <c r="AB39" s="35">
        <f>QUARTILE(K39:V39,3)</f>
        <v>34.804977282616761</v>
      </c>
      <c r="AC39" s="35">
        <f>MAX(K39:V39)</f>
        <v>34.900100365584159</v>
      </c>
      <c r="AD39" s="35">
        <f>SKEW(K39:V39)</f>
        <v>-0.46880526685744633</v>
      </c>
      <c r="AE39" s="35">
        <f>KURT(K39:V39)</f>
        <v>-0.78570364483488753</v>
      </c>
    </row>
    <row r="40" spans="2:31" x14ac:dyDescent="0.2">
      <c r="B40" s="34">
        <f>[36]FormattedData!A80</f>
        <v>407</v>
      </c>
      <c r="C40" s="34" t="str">
        <f>VLOOKUP($B40,[36]TrtCodes!$B$11:I123,2)</f>
        <v>NSH</v>
      </c>
      <c r="D40" s="34">
        <f>VLOOKUP($B40,[36]TrtCodes!$B$11:J123,3)</f>
        <v>7</v>
      </c>
      <c r="E40" s="34">
        <f>VLOOKUP($B40,[36]TrtCodes!$B$11:K123,4)</f>
        <v>2</v>
      </c>
      <c r="F40" s="34">
        <f>VLOOKUP($B40,[36]TrtCodes!$B$11:L123,5)</f>
        <v>1</v>
      </c>
      <c r="G40" s="34">
        <f>VLOOKUP($B40,[36]TrtCodes!$B$11:M123,6)</f>
        <v>2</v>
      </c>
      <c r="H40" s="34">
        <f>VLOOKUP($B40,[36]TrtCodes!$B$11:N123,7)</f>
        <v>4</v>
      </c>
      <c r="I40" s="34">
        <f>[36]FormattedData!B80</f>
        <v>1</v>
      </c>
      <c r="J40" s="37">
        <f>[36]FormattedData!C80</f>
        <v>13.313000000000001</v>
      </c>
      <c r="K40" s="39">
        <f>$J$3+[36]FormattedData!D80*$J$4+$M$4*$J$5+[36]FormattedData!D80^2*$J$6+$M$5*$J$7</f>
        <v>54.627940183524757</v>
      </c>
      <c r="L40" s="39">
        <f>$J$3+[36]FormattedData!E80*$J$4+$M$4*$J$5+[36]FormattedData!E80^2*$J$6+$M$5*$J$7</f>
        <v>49.84020161128398</v>
      </c>
      <c r="M40" s="39">
        <f>$J$3+[36]FormattedData!F80*$J$4+$M$4*$J$5+[36]FormattedData!F80^2*$J$6+$M$5*$J$7</f>
        <v>54.111854905265282</v>
      </c>
      <c r="N40" s="39">
        <f>$J$3+[36]FormattedData!G80*$J$4+$M$4*$J$5+[36]FormattedData!G80^2*$J$6+$M$5*$J$7</f>
        <v>43.288088169822821</v>
      </c>
      <c r="O40" s="39">
        <f>$J$3+[36]FormattedData!H80*$J$4+$M$4*$J$5+[36]FormattedData!H80^2*$J$6+$M$5*$J$7</f>
        <v>53.507832195486678</v>
      </c>
      <c r="P40" s="39">
        <f>$J$3+[36]FormattedData!I80*$J$4+$M$4*$J$5+[36]FormattedData!I80^2*$J$6+$M$5*$J$7</f>
        <v>50.895704400740925</v>
      </c>
      <c r="Q40" s="39">
        <f>$J$3+[36]FormattedData!J80*$J$4+$M$4*$J$5+[36]FormattedData!J80^2*$J$6+$M$5*$J$7</f>
        <v>54.542031641826341</v>
      </c>
      <c r="R40" s="39">
        <f>$J$3+[36]FormattedData!K80*$J$4+$M$4*$J$5+[36]FormattedData!K80^2*$J$6+$M$5*$J$7</f>
        <v>44.471387622067958</v>
      </c>
      <c r="S40" s="39">
        <f>$J$3+[36]FormattedData!L80*$J$4+$M$4*$J$5+[36]FormattedData!L80^2*$J$6+$M$5*$J$7</f>
        <v>53.334873861565704</v>
      </c>
      <c r="T40" s="39">
        <f>$J$3+[36]FormattedData!M80*$J$4+$M$4*$J$5+[36]FormattedData!M80^2*$J$6+$M$5*$J$7</f>
        <v>48.245534921857129</v>
      </c>
      <c r="U40" s="39">
        <f>$J$3+[36]FormattedData!N80*$J$4+$M$4*$J$5+[36]FormattedData!N80^2*$J$6+$M$5*$J$7</f>
        <v>53.421374162795168</v>
      </c>
      <c r="V40" s="39">
        <f>$J$3+[36]FormattedData!O80*$J$4+$M$4*$J$5+[36]FormattedData!O80^2*$J$6+$M$5*$J$7</f>
        <v>48.955966414230751</v>
      </c>
      <c r="W40" s="38">
        <f>AVERAGE(K40:V40)</f>
        <v>50.770232507538957</v>
      </c>
      <c r="X40" s="37">
        <f>STDEV(K40:V40)/SQRT(COUNT(K40:V40))</f>
        <v>1.1267393882628798</v>
      </c>
      <c r="Y40" s="36">
        <f>MIN(K40:V40)</f>
        <v>43.288088169822821</v>
      </c>
      <c r="Z40" s="35">
        <f>QUARTILE(K40:V40,1)</f>
        <v>48.778358541137344</v>
      </c>
      <c r="AA40" s="36">
        <f>MEDIAN(K40:V40)</f>
        <v>52.115289131153318</v>
      </c>
      <c r="AB40" s="35">
        <f>QUARTILE(K40:V40,3)</f>
        <v>53.658837872931329</v>
      </c>
      <c r="AC40" s="35">
        <f>MAX(K40:V40)</f>
        <v>54.627940183524757</v>
      </c>
      <c r="AD40" s="35">
        <f>SKEW(K40:V40)</f>
        <v>-0.89390570285135629</v>
      </c>
      <c r="AE40" s="35">
        <f>KURT(K40:V40)</f>
        <v>-0.32781862841490561</v>
      </c>
    </row>
    <row r="41" spans="2:31" x14ac:dyDescent="0.2">
      <c r="B41" s="34">
        <f>[36]FormattedData!A78</f>
        <v>408</v>
      </c>
      <c r="C41" s="34" t="str">
        <f>VLOOKUP($B41,[36]TrtCodes!$B$11:I121,2)</f>
        <v>NTL</v>
      </c>
      <c r="D41" s="34">
        <f>VLOOKUP($B41,[36]TrtCodes!$B$11:J121,3)</f>
        <v>10</v>
      </c>
      <c r="E41" s="34">
        <f>VLOOKUP($B41,[36]TrtCodes!$B$11:K121,4)</f>
        <v>2</v>
      </c>
      <c r="F41" s="34">
        <f>VLOOKUP($B41,[36]TrtCodes!$B$11:L121,5)</f>
        <v>2</v>
      </c>
      <c r="G41" s="34">
        <f>VLOOKUP($B41,[36]TrtCodes!$B$11:M121,6)</f>
        <v>1</v>
      </c>
      <c r="H41" s="34">
        <f>VLOOKUP($B41,[36]TrtCodes!$B$11:N121,7)</f>
        <v>4</v>
      </c>
      <c r="I41" s="34">
        <f>[36]FormattedData!B78</f>
        <v>1</v>
      </c>
      <c r="J41" s="37">
        <f>[36]FormattedData!C78</f>
        <v>13.292999999999999</v>
      </c>
      <c r="K41" s="39">
        <f>$J$3+[36]FormattedData!D78*$J$4+$M$4*$J$5+[36]FormattedData!D78^2*$J$6+$M$5*$J$7</f>
        <v>55.484700830922741</v>
      </c>
      <c r="L41" s="39">
        <f>$J$3+[36]FormattedData!E78*$J$4+$M$4*$J$5+[36]FormattedData!E78^2*$J$6+$M$5*$J$7</f>
        <v>49.044580142356772</v>
      </c>
      <c r="M41" s="39">
        <f>$J$3+[36]FormattedData!F78*$J$4+$M$4*$J$5+[36]FormattedData!F78^2*$J$6+$M$5*$J$7</f>
        <v>54.542031641826341</v>
      </c>
      <c r="N41" s="39">
        <f>$J$3+[36]FormattedData!G78*$J$4+$M$4*$J$5+[36]FormattedData!G78^2*$J$6+$M$5*$J$7</f>
        <v>43.288088169822821</v>
      </c>
      <c r="O41" s="39">
        <f>$J$3+[36]FormattedData!H78*$J$4+$M$4*$J$5+[36]FormattedData!H78^2*$J$6+$M$5*$J$7</f>
        <v>55.056848863947891</v>
      </c>
      <c r="P41" s="39">
        <f>$J$3+[36]FormattedData!I78*$J$4+$M$4*$J$5+[36]FormattedData!I78^2*$J$6+$M$5*$J$7</f>
        <v>40.807641220061662</v>
      </c>
      <c r="Q41" s="39">
        <f>$J$3+[36]FormattedData!J78*$J$4+$M$4*$J$5+[36]FormattedData!J78^2*$J$6+$M$5*$J$7</f>
        <v>54.111854905265282</v>
      </c>
      <c r="R41" s="39">
        <f>$J$3+[36]FormattedData!K78*$J$4+$M$4*$J$5+[36]FormattedData!K78^2*$J$6+$M$5*$J$7</f>
        <v>44.562114777090521</v>
      </c>
      <c r="S41" s="39">
        <f>$J$3+[36]FormattedData!L78*$J$4+$M$4*$J$5+[36]FormattedData!L78^2*$J$6+$M$5*$J$7</f>
        <v>53.594247959640278</v>
      </c>
      <c r="T41" s="39">
        <f>$J$3+[36]FormattedData!M78*$J$4+$M$4*$J$5+[36]FormattedData!M78^2*$J$6+$M$5*$J$7</f>
        <v>49.928392654030674</v>
      </c>
      <c r="U41" s="39">
        <f>$J$3+[36]FormattedData!N78*$J$4+$M$4*$J$5+[36]FormattedData!N78^2*$J$6+$M$5*$J$7</f>
        <v>53.248331291798323</v>
      </c>
      <c r="V41" s="39">
        <f>$J$3+[36]FormattedData!O78*$J$4+$M$4*$J$5+[36]FormattedData!O78^2*$J$6+$M$5*$J$7</f>
        <v>48.778612152364936</v>
      </c>
      <c r="W41" s="38">
        <f>AVERAGE(K41:V41)</f>
        <v>50.20395371742736</v>
      </c>
      <c r="X41" s="37">
        <f>STDEV(K41:V41)/SQRT(COUNT(K41:V41))</f>
        <v>1.4504224411506033</v>
      </c>
      <c r="Y41" s="36">
        <f>MIN(K41:V41)</f>
        <v>40.807641220061662</v>
      </c>
      <c r="Z41" s="35">
        <f>QUARTILE(K41:V41,1)</f>
        <v>47.724487808546328</v>
      </c>
      <c r="AA41" s="36">
        <f>MEDIAN(K41:V41)</f>
        <v>51.588361972914498</v>
      </c>
      <c r="AB41" s="35">
        <f>QUARTILE(K41:V41,3)</f>
        <v>54.219399089405549</v>
      </c>
      <c r="AC41" s="35">
        <f>MAX(K41:V41)</f>
        <v>55.484700830922741</v>
      </c>
      <c r="AD41" s="35">
        <f>SKEW(K41:V41)</f>
        <v>-0.75203749938753062</v>
      </c>
      <c r="AE41" s="35">
        <f>KURT(K41:V41)</f>
        <v>-0.75973394391395921</v>
      </c>
    </row>
    <row r="42" spans="2:31" x14ac:dyDescent="0.2">
      <c r="B42" s="50">
        <f>[36]FormattedData!A60</f>
        <v>901</v>
      </c>
      <c r="C42" s="50" t="str">
        <f>VLOOKUP($B42,[36]TrtCodes!$B$11:I103,2)</f>
        <v>WS</v>
      </c>
      <c r="D42" s="50">
        <f>VLOOKUP($B42,[36]TrtCodes!$B$11:J103,3)</f>
        <v>32</v>
      </c>
      <c r="E42" s="50">
        <f>VLOOKUP($B42,[36]TrtCodes!$B$11:K103,4)</f>
        <v>9</v>
      </c>
      <c r="F42" s="50">
        <f>VLOOKUP($B42,[36]TrtCodes!$B$11:L103,5)</f>
        <v>0</v>
      </c>
      <c r="G42" s="50">
        <f>VLOOKUP($B42,[36]TrtCodes!$B$11:M103,6)</f>
        <v>1</v>
      </c>
      <c r="H42" s="50">
        <f>VLOOKUP($B42,[36]TrtCodes!$B$11:N103,7)</f>
        <v>1</v>
      </c>
      <c r="I42" s="50">
        <f>[36]FormattedData!B60</f>
        <v>1</v>
      </c>
      <c r="J42" s="48">
        <f>[36]FormattedData!C60</f>
        <v>13.134</v>
      </c>
      <c r="K42" s="47">
        <f>$J$3+[36]FormattedData!D60*$J$4+$M$4*$J$5+[36]FormattedData!D60^2*$J$6+$M$5*$J$7</f>
        <v>33.660203341049233</v>
      </c>
      <c r="L42" s="47">
        <f>$J$3+[36]FormattedData!E60*$J$4+$M$4*$J$5+[36]FormattedData!E60^2*$J$6+$M$5*$J$7</f>
        <v>33.946967451703181</v>
      </c>
      <c r="M42" s="47">
        <f>$J$3+[36]FormattedData!F60*$J$4+$M$4*$J$5+[36]FormattedData!F60^2*$J$6+$M$5*$J$7</f>
        <v>32.797628508039104</v>
      </c>
      <c r="N42" s="47">
        <f>$J$3+[36]FormattedData!G60*$J$4+$M$4*$J$5+[36]FormattedData!G60^2*$J$6+$M$5*$J$7</f>
        <v>33.18141778586736</v>
      </c>
      <c r="O42" s="47">
        <f>$J$3+[36]FormattedData!H60*$J$4+$M$4*$J$5+[36]FormattedData!H60^2*$J$6+$M$5*$J$7</f>
        <v>33.277259433979602</v>
      </c>
      <c r="P42" s="47">
        <f>$J$3+[36]FormattedData!I60*$J$4+$M$4*$J$5+[36]FormattedData!I60^2*$J$6+$M$5*$J$7</f>
        <v>33.277259433979602</v>
      </c>
      <c r="Q42" s="47">
        <f>$J$3+[36]FormattedData!J60*$J$4+$M$4*$J$5+[36]FormattedData!J60^2*$J$6+$M$5*$J$7</f>
        <v>33.277259433979602</v>
      </c>
      <c r="R42" s="47">
        <f>$J$3+[36]FormattedData!K60*$J$4+$M$4*$J$5+[36]FormattedData!K60^2*$J$6+$M$5*$J$7</f>
        <v>32.893639230303066</v>
      </c>
      <c r="S42" s="47">
        <f>$J$3+[36]FormattedData!L60*$J$4+$M$4*$J$5+[36]FormattedData!L60^2*$J$6+$M$5*$J$7</f>
        <v>32.41316293360395</v>
      </c>
      <c r="T42" s="47">
        <f>$J$3+[36]FormattedData!M60*$J$4+$M$4*$J$5+[36]FormattedData!M60^2*$J$6+$M$5*$J$7</f>
        <v>32.509342730019632</v>
      </c>
      <c r="U42" s="47">
        <f>$J$3+[36]FormattedData!N60*$J$4+$M$4*$J$5+[36]FormattedData!N60^2*$J$6+$M$5*$J$7</f>
        <v>33.755833646471821</v>
      </c>
      <c r="V42" s="47">
        <f>$J$3+[36]FormattedData!O60*$J$4+$M$4*$J$5+[36]FormattedData!O60^2*$J$6+$M$5*$J$7</f>
        <v>32.605480257897383</v>
      </c>
      <c r="W42" s="49">
        <f>AVERAGE(K42:V42)</f>
        <v>33.132954515574461</v>
      </c>
      <c r="X42" s="48">
        <f>STDEV(K42:V42)/SQRT(COUNT(K42:V42))</f>
        <v>0.14429408162690122</v>
      </c>
      <c r="Y42" s="47">
        <f>MIN(K42:V42)</f>
        <v>32.41316293360395</v>
      </c>
      <c r="Z42" s="46">
        <f>QUARTILE(K42:V42,1)</f>
        <v>32.749591445503675</v>
      </c>
      <c r="AA42" s="47">
        <f>MEDIAN(K42:V42)</f>
        <v>33.229338609923481</v>
      </c>
      <c r="AB42" s="46">
        <f>QUARTILE(K42:V42,3)</f>
        <v>33.372995410747009</v>
      </c>
      <c r="AC42" s="46">
        <f>MAX(K42:V42)</f>
        <v>33.946967451703181</v>
      </c>
      <c r="AD42" s="46">
        <f>SKEW(K42:V42)</f>
        <v>0.10755660739053982</v>
      </c>
      <c r="AE42" s="46">
        <f>KURT(K42:V42)</f>
        <v>-1.0517528754375296</v>
      </c>
    </row>
    <row r="43" spans="2:31" x14ac:dyDescent="0.2">
      <c r="B43" s="34">
        <f>[36]FormattedData!A58</f>
        <v>902</v>
      </c>
      <c r="C43" s="34" t="str">
        <f>VLOOKUP($B43,[36]TrtCodes!$B$11:I101,2)</f>
        <v>Late</v>
      </c>
      <c r="D43" s="34">
        <f>VLOOKUP($B43,[36]TrtCodes!$B$11:J101,3)</f>
        <v>22</v>
      </c>
      <c r="E43" s="34">
        <f>VLOOKUP($B43,[36]TrtCodes!$B$11:K101,4)</f>
        <v>4</v>
      </c>
      <c r="F43" s="34">
        <f>VLOOKUP($B43,[36]TrtCodes!$B$11:L101,5)</f>
        <v>2</v>
      </c>
      <c r="G43" s="34">
        <f>VLOOKUP($B43,[36]TrtCodes!$B$11:M101,6)</f>
        <v>2</v>
      </c>
      <c r="H43" s="34">
        <f>VLOOKUP($B43,[36]TrtCodes!$B$11:N101,7)</f>
        <v>1</v>
      </c>
      <c r="I43" s="34">
        <f>[36]FormattedData!B58</f>
        <v>1</v>
      </c>
      <c r="J43" s="37">
        <f>[36]FormattedData!C58</f>
        <v>13.119</v>
      </c>
      <c r="K43" s="39">
        <f>$J$3+[36]FormattedData!D58*$J$4+$M$4*$J$5+[36]FormattedData!D58^2*$J$6+$M$5*$J$7</f>
        <v>34.137932182782826</v>
      </c>
      <c r="L43" s="39">
        <f>$J$3+[36]FormattedData!E58*$J$4+$M$4*$J$5+[36]FormattedData!E58^2*$J$6+$M$5*$J$7</f>
        <v>30.674698678135371</v>
      </c>
      <c r="M43" s="39">
        <f>$J$3+[36]FormattedData!F58*$J$4+$M$4*$J$5+[36]FormattedData!F58^2*$J$6+$M$5*$J$7</f>
        <v>33.373058813553904</v>
      </c>
      <c r="N43" s="39">
        <f>$J$3+[36]FormattedData!G58*$J$4+$M$4*$J$5+[36]FormattedData!G58^2*$J$6+$M$5*$J$7</f>
        <v>29.020240880158319</v>
      </c>
      <c r="O43" s="39">
        <f>$J$3+[36]FormattedData!H58*$J$4+$M$4*$J$5+[36]FormattedData!H58^2*$J$6+$M$5*$J$7</f>
        <v>33.564530767088726</v>
      </c>
      <c r="P43" s="39">
        <f>$J$3+[36]FormattedData!I58*$J$4+$M$4*$J$5+[36]FormattedData!I58^2*$J$6+$M$5*$J$7</f>
        <v>30.771639308233819</v>
      </c>
      <c r="Q43" s="39">
        <f>$J$3+[36]FormattedData!J58*$J$4+$M$4*$J$5+[36]FormattedData!J58^2*$J$6+$M$5*$J$7</f>
        <v>35.46995122409205</v>
      </c>
      <c r="R43" s="39">
        <f>$J$3+[36]FormattedData!K58*$J$4+$M$4*$J$5+[36]FormattedData!K58^2*$J$6+$M$5*$J$7</f>
        <v>30.383623176612446</v>
      </c>
      <c r="S43" s="39">
        <f>$J$3+[36]FormattedData!L58*$J$4+$M$4*$J$5+[36]FormattedData!L58^2*$J$6+$M$5*$J$7</f>
        <v>34.614604311068142</v>
      </c>
      <c r="T43" s="39">
        <f>$J$3+[36]FormattedData!M58*$J$4+$M$4*$J$5+[36]FormattedData!M58^2*$J$6+$M$5*$J$7</f>
        <v>30.189361499574169</v>
      </c>
      <c r="U43" s="39">
        <f>$J$3+[36]FormattedData!N58*$J$4+$M$4*$J$5+[36]FormattedData!N58^2*$J$6+$M$5*$J$7</f>
        <v>33.277259433979602</v>
      </c>
      <c r="V43" s="39">
        <f>$J$3+[36]FormattedData!O58*$J$4+$M$4*$J$5+[36]FormattedData!O58^2*$J$6+$M$5*$J$7</f>
        <v>30.092167258248143</v>
      </c>
      <c r="W43" s="38">
        <f>AVERAGE(K43:V43)</f>
        <v>32.13075562779396</v>
      </c>
      <c r="X43" s="37">
        <f>STDEV(K43:V43)/SQRT(COUNT(K43:V43))</f>
        <v>0.62086154142029448</v>
      </c>
      <c r="Y43" s="36">
        <f>MIN(K43:V43)</f>
        <v>29.020240880158319</v>
      </c>
      <c r="Z43" s="35">
        <f>QUARTILE(K43:V43,1)</f>
        <v>30.335057757352878</v>
      </c>
      <c r="AA43" s="36">
        <f>MEDIAN(K43:V43)</f>
        <v>32.024449371106712</v>
      </c>
      <c r="AB43" s="35">
        <f>QUARTILE(K43:V43,3)</f>
        <v>33.70788112101225</v>
      </c>
      <c r="AC43" s="35">
        <f>MAX(K43:V43)</f>
        <v>35.46995122409205</v>
      </c>
      <c r="AD43" s="35">
        <f>SKEW(K43:V43)</f>
        <v>0.11185020819231975</v>
      </c>
      <c r="AE43" s="35">
        <f>KURT(K43:V43)</f>
        <v>-1.6084035106996826</v>
      </c>
    </row>
    <row r="44" spans="2:31" x14ac:dyDescent="0.2">
      <c r="B44" s="50">
        <f>[36]FormattedData!A56</f>
        <v>903</v>
      </c>
      <c r="C44" s="50" t="str">
        <f>VLOOKUP($B44,[36]TrtCodes!$B$11:I99,2)</f>
        <v>DS</v>
      </c>
      <c r="D44" s="50">
        <f>VLOOKUP($B44,[36]TrtCodes!$B$11:J99,3)</f>
        <v>31</v>
      </c>
      <c r="E44" s="50">
        <f>VLOOKUP($B44,[36]TrtCodes!$B$11:K99,4)</f>
        <v>8</v>
      </c>
      <c r="F44" s="50">
        <f>VLOOKUP($B44,[36]TrtCodes!$B$11:L99,5)</f>
        <v>0</v>
      </c>
      <c r="G44" s="50">
        <f>VLOOKUP($B44,[36]TrtCodes!$B$11:M99,6)</f>
        <v>1</v>
      </c>
      <c r="H44" s="50">
        <f>VLOOKUP($B44,[36]TrtCodes!$B$11:N99,7)</f>
        <v>1</v>
      </c>
      <c r="I44" s="50">
        <f>[36]FormattedData!B56</f>
        <v>1</v>
      </c>
      <c r="J44" s="48">
        <f>[36]FormattedData!C56</f>
        <v>13.113</v>
      </c>
      <c r="K44" s="47">
        <f>$J$3+[36]FormattedData!D56*$J$4+$M$4*$J$5+[36]FormattedData!D56^2*$J$6+$M$5*$J$7</f>
        <v>59.03693830657344</v>
      </c>
      <c r="L44" s="47">
        <f>$J$3+[36]FormattedData!E56*$J$4+$M$4*$J$5+[36]FormattedData!E56^2*$J$6+$M$5*$J$7</f>
        <v>58.785679767781659</v>
      </c>
      <c r="M44" s="47">
        <f>$J$3+[36]FormattedData!F56*$J$4+$M$4*$J$5+[36]FormattedData!F56^2*$J$6+$M$5*$J$7</f>
        <v>58.785679767781659</v>
      </c>
      <c r="N44" s="47">
        <f>$J$3+[36]FormattedData!G56*$J$4+$M$4*$J$5+[36]FormattedData!G56^2*$J$6+$M$5*$J$7</f>
        <v>59.287816428523854</v>
      </c>
      <c r="O44" s="47">
        <f>$J$3+[36]FormattedData!H56*$J$4+$M$4*$J$5+[36]FormattedData!H56^2*$J$6+$M$5*$J$7</f>
        <v>59.120606615761517</v>
      </c>
      <c r="P44" s="47">
        <f>$J$3+[36]FormattedData!I56*$J$4+$M$4*$J$5+[36]FormattedData!I56^2*$J$6+$M$5*$J$7</f>
        <v>58.534040812148476</v>
      </c>
      <c r="Q44" s="47">
        <f>$J$3+[36]FormattedData!J56*$J$4+$M$4*$J$5+[36]FormattedData!J56^2*$J$6+$M$5*$J$7</f>
        <v>57.861143781457713</v>
      </c>
      <c r="R44" s="47">
        <f>$J$3+[36]FormattedData!K56*$J$4+$M$4*$J$5+[36]FormattedData!K56^2*$J$6+$M$5*$J$7</f>
        <v>58.450076623194896</v>
      </c>
      <c r="S44" s="47">
        <f>$J$3+[36]FormattedData!L56*$J$4+$M$4*$J$5+[36]FormattedData!L56^2*$J$6+$M$5*$J$7</f>
        <v>58.029621650357996</v>
      </c>
      <c r="T44" s="47">
        <f>$J$3+[36]FormattedData!M56*$J$4+$M$4*$J$5+[36]FormattedData!M56^2*$J$6+$M$5*$J$7</f>
        <v>58.701842384441854</v>
      </c>
      <c r="U44" s="47">
        <f>$J$3+[36]FormattedData!N56*$J$4+$M$4*$J$5+[36]FormattedData!N56^2*$J$6+$M$5*$J$7</f>
        <v>58.366070165703377</v>
      </c>
      <c r="V44" s="47">
        <f>$J$3+[36]FormattedData!O56*$J$4+$M$4*$J$5+[36]FormattedData!O56^2*$J$6+$M$5*$J$7</f>
        <v>59.287816428523854</v>
      </c>
      <c r="W44" s="49">
        <f>AVERAGE(K44:V44)</f>
        <v>58.687277727687523</v>
      </c>
      <c r="X44" s="48">
        <f>STDEV(K44:V44)/SQRT(COUNT(K44:V44))</f>
        <v>0.13339497592818628</v>
      </c>
      <c r="Y44" s="47">
        <f>MIN(K44:V44)</f>
        <v>57.861143781457713</v>
      </c>
      <c r="Z44" s="46">
        <f>QUARTILE(K44:V44,1)</f>
        <v>58.429075008822018</v>
      </c>
      <c r="AA44" s="47">
        <f>MEDIAN(K44:V44)</f>
        <v>58.743761076111753</v>
      </c>
      <c r="AB44" s="46">
        <f>QUARTILE(K44:V44,3)</f>
        <v>59.057855383870461</v>
      </c>
      <c r="AC44" s="46">
        <f>MAX(K44:V44)</f>
        <v>59.287816428523854</v>
      </c>
      <c r="AD44" s="46">
        <f>SKEW(K44:V44)</f>
        <v>-0.37498762560085586</v>
      </c>
      <c r="AE44" s="46">
        <f>KURT(K44:V44)</f>
        <v>-0.6542396274429696</v>
      </c>
    </row>
    <row r="45" spans="2:31" x14ac:dyDescent="0.2">
      <c r="B45" s="34">
        <f>[36]FormattedData!A54</f>
        <v>904</v>
      </c>
      <c r="C45" s="34" t="str">
        <f>VLOOKUP($B45,[36]TrtCodes!$B$11:I97,2)</f>
        <v>Early</v>
      </c>
      <c r="D45" s="34">
        <f>VLOOKUP($B45,[36]TrtCodes!$B$11:J97,3)</f>
        <v>21</v>
      </c>
      <c r="E45" s="34">
        <f>VLOOKUP($B45,[36]TrtCodes!$B$11:K97,4)</f>
        <v>3</v>
      </c>
      <c r="F45" s="34">
        <f>VLOOKUP($B45,[36]TrtCodes!$B$11:L97,5)</f>
        <v>2</v>
      </c>
      <c r="G45" s="34">
        <f>VLOOKUP($B45,[36]TrtCodes!$B$11:M97,6)</f>
        <v>2</v>
      </c>
      <c r="H45" s="34">
        <f>VLOOKUP($B45,[36]TrtCodes!$B$11:N97,7)</f>
        <v>1</v>
      </c>
      <c r="I45" s="34">
        <f>[36]FormattedData!B54</f>
        <v>1</v>
      </c>
      <c r="J45" s="37">
        <f>[36]FormattedData!C54</f>
        <v>13.096</v>
      </c>
      <c r="K45" s="39">
        <f>$J$3+[36]FormattedData!D54*$J$4+$M$4*$J$5+[36]FormattedData!D54^2*$J$6+$M$5*$J$7</f>
        <v>34.042470951511973</v>
      </c>
      <c r="L45" s="39">
        <f>$J$3+[36]FormattedData!E54*$J$4+$M$4*$J$5+[36]FormattedData!E54^2*$J$6+$M$5*$J$7</f>
        <v>32.316940868650335</v>
      </c>
      <c r="M45" s="39">
        <f>$J$3+[36]FormattedData!F54*$J$4+$M$4*$J$5+[36]FormattedData!F54^2*$J$6+$M$5*$J$7</f>
        <v>33.085533869217194</v>
      </c>
      <c r="N45" s="39">
        <f>$J$3+[36]FormattedData!G54*$J$4+$M$4*$J$5+[36]FormattedData!G54^2*$J$6+$M$5*$J$7</f>
        <v>29.994930748384174</v>
      </c>
      <c r="O45" s="39">
        <f>$J$3+[36]FormattedData!H54*$J$4+$M$4*$J$5+[36]FormattedData!H54^2*$J$6+$M$5*$J$7</f>
        <v>34.614604311068142</v>
      </c>
      <c r="P45" s="39">
        <f>$J$3+[36]FormattedData!I54*$J$4+$M$4*$J$5+[36]FormattedData!I54^2*$J$6+$M$5*$J$7</f>
        <v>32.22067653515878</v>
      </c>
      <c r="Q45" s="39">
        <f>$J$3+[36]FormattedData!J54*$J$4+$M$4*$J$5+[36]FormattedData!J54^2*$J$6+$M$5*$J$7</f>
        <v>34.137932182782826</v>
      </c>
      <c r="R45" s="39">
        <f>$J$3+[36]FormattedData!K54*$J$4+$M$4*$J$5+[36]FormattedData!K54^2*$J$6+$M$5*$J$7</f>
        <v>31.352395449527943</v>
      </c>
      <c r="S45" s="39">
        <f>$J$3+[36]FormattedData!L54*$J$4+$M$4*$J$5+[36]FormattedData!L54^2*$J$6+$M$5*$J$7</f>
        <v>33.946967451703181</v>
      </c>
      <c r="T45" s="39">
        <f>$J$3+[36]FormattedData!M54*$J$4+$M$4*$J$5+[36]FormattedData!M54^2*$J$6+$M$5*$J$7</f>
        <v>30.965393762816912</v>
      </c>
      <c r="U45" s="39">
        <f>$J$3+[36]FormattedData!N54*$J$4+$M$4*$J$5+[36]FormattedData!N54^2*$J$6+$M$5*$J$7</f>
        <v>33.373058813553904</v>
      </c>
      <c r="V45" s="39">
        <f>$J$3+[36]FormattedData!O54*$J$4+$M$4*$J$5+[36]FormattedData!O54^2*$J$6+$M$5*$J$7</f>
        <v>32.509342730019632</v>
      </c>
      <c r="W45" s="38">
        <f>AVERAGE(K45:V45)</f>
        <v>32.713353972866251</v>
      </c>
      <c r="X45" s="37">
        <f>STDEV(K45:V45)/SQRT(COUNT(K45:V45))</f>
        <v>0.41051659301387794</v>
      </c>
      <c r="Y45" s="36">
        <f>MIN(K45:V45)</f>
        <v>29.994930748384174</v>
      </c>
      <c r="Z45" s="35">
        <f>QUARTILE(K45:V45,1)</f>
        <v>32.003606263751074</v>
      </c>
      <c r="AA45" s="36">
        <f>MEDIAN(K45:V45)</f>
        <v>32.797438299618413</v>
      </c>
      <c r="AB45" s="35">
        <f>QUARTILE(K45:V45,3)</f>
        <v>33.970843326655377</v>
      </c>
      <c r="AC45" s="35">
        <f>MAX(K45:V45)</f>
        <v>34.614604311068142</v>
      </c>
      <c r="AD45" s="35">
        <f>SKEW(K45:V45)</f>
        <v>-0.52397448211338205</v>
      </c>
      <c r="AE45" s="35">
        <f>KURT(K45:V45)</f>
        <v>-0.5543821086797811</v>
      </c>
    </row>
    <row r="46" spans="2:31" x14ac:dyDescent="0.2">
      <c r="B46" s="50">
        <f>[36]FormattedData!A52</f>
        <v>905</v>
      </c>
      <c r="C46" s="50" t="str">
        <f>VLOOKUP($B46,[36]TrtCodes!$B$11:I95,2)</f>
        <v>WS</v>
      </c>
      <c r="D46" s="50">
        <f>VLOOKUP($B46,[36]TrtCodes!$B$11:J95,3)</f>
        <v>32</v>
      </c>
      <c r="E46" s="50">
        <f>VLOOKUP($B46,[36]TrtCodes!$B$11:K95,4)</f>
        <v>9</v>
      </c>
      <c r="F46" s="50">
        <f>VLOOKUP($B46,[36]TrtCodes!$B$11:L95,5)</f>
        <v>0</v>
      </c>
      <c r="G46" s="50">
        <f>VLOOKUP($B46,[36]TrtCodes!$B$11:M95,6)</f>
        <v>1</v>
      </c>
      <c r="H46" s="50">
        <f>VLOOKUP($B46,[36]TrtCodes!$B$11:N95,7)</f>
        <v>2</v>
      </c>
      <c r="I46" s="50">
        <f>[36]FormattedData!B52</f>
        <v>1</v>
      </c>
      <c r="J46" s="48">
        <f>[36]FormattedData!C52</f>
        <v>13.09</v>
      </c>
      <c r="K46" s="47">
        <f>$J$3+[36]FormattedData!D52*$J$4+$M$4*$J$5+[36]FormattedData!D52^2*$J$6+$M$5*$J$7</f>
        <v>34.137932182782826</v>
      </c>
      <c r="L46" s="47">
        <f>$J$3+[36]FormattedData!E52*$J$4+$M$4*$J$5+[36]FormattedData!E52^2*$J$6+$M$5*$J$7</f>
        <v>34.137932182782826</v>
      </c>
      <c r="M46" s="47">
        <f>$J$3+[36]FormattedData!F52*$J$4+$M$4*$J$5+[36]FormattedData!F52^2*$J$6+$M$5*$J$7</f>
        <v>33.85142168335647</v>
      </c>
      <c r="N46" s="47">
        <f>$J$3+[36]FormattedData!G52*$J$4+$M$4*$J$5+[36]FormattedData!G52^2*$J$6+$M$5*$J$7</f>
        <v>34.042470951511973</v>
      </c>
      <c r="O46" s="47">
        <f>$J$3+[36]FormattedData!H52*$J$4+$M$4*$J$5+[36]FormattedData!H52^2*$J$6+$M$5*$J$7</f>
        <v>34.233351145515755</v>
      </c>
      <c r="P46" s="47">
        <f>$J$3+[36]FormattedData!I52*$J$4+$M$4*$J$5+[36]FormattedData!I52^2*$J$6+$M$5*$J$7</f>
        <v>34.042470951511973</v>
      </c>
      <c r="Q46" s="47">
        <f>$J$3+[36]FormattedData!J52*$J$4+$M$4*$J$5+[36]FormattedData!J52^2*$J$6+$M$5*$J$7</f>
        <v>36.132854007208728</v>
      </c>
      <c r="R46" s="47">
        <f>$J$3+[36]FormattedData!K52*$J$4+$M$4*$J$5+[36]FormattedData!K52^2*$J$6+$M$5*$J$7</f>
        <v>33.564530767088726</v>
      </c>
      <c r="S46" s="47">
        <f>$J$3+[36]FormattedData!L52*$J$4+$M$4*$J$5+[36]FormattedData!L52^2*$J$6+$M$5*$J$7</f>
        <v>33.564530767088726</v>
      </c>
      <c r="T46" s="47">
        <f>$J$3+[36]FormattedData!M52*$J$4+$M$4*$J$5+[36]FormattedData!M52^2*$J$6+$M$5*$J$7</f>
        <v>33.373058813553904</v>
      </c>
      <c r="U46" s="47">
        <f>$J$3+[36]FormattedData!N52*$J$4+$M$4*$J$5+[36]FormattedData!N52^2*$J$6+$M$5*$J$7</f>
        <v>32.989607684029096</v>
      </c>
      <c r="V46" s="47">
        <f>$J$3+[36]FormattedData!O52*$J$4+$M$4*$J$5+[36]FormattedData!O52^2*$J$6+$M$5*$J$7</f>
        <v>33.085533869217194</v>
      </c>
      <c r="W46" s="49">
        <f>AVERAGE(K46:V46)</f>
        <v>33.929641250470688</v>
      </c>
      <c r="X46" s="48">
        <f>STDEV(K46:V46)/SQRT(COUNT(K46:V46))</f>
        <v>0.23415404597738843</v>
      </c>
      <c r="Y46" s="47">
        <f>MIN(K46:V46)</f>
        <v>32.989607684029096</v>
      </c>
      <c r="Z46" s="46">
        <f>QUARTILE(K46:V46,1)</f>
        <v>33.516662778705019</v>
      </c>
      <c r="AA46" s="47">
        <f>MEDIAN(K46:V46)</f>
        <v>33.946946317434225</v>
      </c>
      <c r="AB46" s="46">
        <f>QUARTILE(K46:V46,3)</f>
        <v>34.137932182782826</v>
      </c>
      <c r="AC46" s="46">
        <f>MAX(K46:V46)</f>
        <v>36.132854007208728</v>
      </c>
      <c r="AD46" s="46">
        <f>SKEW(K46:V46)</f>
        <v>1.848177317972836</v>
      </c>
      <c r="AE46" s="46">
        <f>KURT(K46:V46)</f>
        <v>5.0653948312140678</v>
      </c>
    </row>
    <row r="47" spans="2:31" x14ac:dyDescent="0.2">
      <c r="B47" s="34">
        <f>[36]FormattedData!A50</f>
        <v>906</v>
      </c>
      <c r="C47" s="34" t="str">
        <f>VLOOKUP($B47,[36]TrtCodes!$B$11:I93,2)</f>
        <v>Late</v>
      </c>
      <c r="D47" s="34">
        <f>VLOOKUP($B47,[36]TrtCodes!$B$11:J93,3)</f>
        <v>22</v>
      </c>
      <c r="E47" s="34">
        <f>VLOOKUP($B47,[36]TrtCodes!$B$11:K93,4)</f>
        <v>4</v>
      </c>
      <c r="F47" s="34">
        <f>VLOOKUP($B47,[36]TrtCodes!$B$11:L93,5)</f>
        <v>2</v>
      </c>
      <c r="G47" s="34">
        <f>VLOOKUP($B47,[36]TrtCodes!$B$11:M93,6)</f>
        <v>2</v>
      </c>
      <c r="H47" s="34">
        <f>VLOOKUP($B47,[36]TrtCodes!$B$11:N93,7)</f>
        <v>2</v>
      </c>
      <c r="I47" s="34">
        <f>[36]FormattedData!B50</f>
        <v>1</v>
      </c>
      <c r="J47" s="37">
        <f>[36]FormattedData!C50</f>
        <v>13.074</v>
      </c>
      <c r="K47" s="39">
        <f>$J$3+[36]FormattedData!D50*$J$4+$M$4*$J$5+[36]FormattedData!D50^2*$J$6+$M$5*$J$7</f>
        <v>34.519354422486948</v>
      </c>
      <c r="L47" s="39">
        <f>$J$3+[36]FormattedData!E50*$J$4+$M$4*$J$5+[36]FormattedData!E50^2*$J$6+$M$5*$J$7</f>
        <v>32.893639230303066</v>
      </c>
      <c r="M47" s="39">
        <f>$J$3+[36]FormattedData!F50*$J$4+$M$4*$J$5+[36]FormattedData!F50^2*$J$6+$M$5*$J$7</f>
        <v>33.85142168335647</v>
      </c>
      <c r="N47" s="39">
        <f>$J$3+[36]FormattedData!G50*$J$4+$M$4*$J$5+[36]FormattedData!G50^2*$J$6+$M$5*$J$7</f>
        <v>31.352395449527943</v>
      </c>
      <c r="O47" s="39">
        <f>$J$3+[36]FormattedData!H50*$J$4+$M$4*$J$5+[36]FormattedData!H50^2*$J$6+$M$5*$J$7</f>
        <v>34.614604311068142</v>
      </c>
      <c r="P47" s="39">
        <f>$J$3+[36]FormattedData!I50*$J$4+$M$4*$J$5+[36]FormattedData!I50^2*$J$6+$M$5*$J$7</f>
        <v>36.510725689726627</v>
      </c>
      <c r="Q47" s="39">
        <f>$J$3+[36]FormattedData!J50*$J$4+$M$4*$J$5+[36]FormattedData!J50^2*$J$6+$M$5*$J$7</f>
        <v>35.564778427293945</v>
      </c>
      <c r="R47" s="39">
        <f>$J$3+[36]FormattedData!K50*$J$4+$M$4*$J$5+[36]FormattedData!K50^2*$J$6+$M$5*$J$7</f>
        <v>34.233351145515755</v>
      </c>
      <c r="S47" s="39">
        <f>$J$3+[36]FormattedData!L50*$J$4+$M$4*$J$5+[36]FormattedData!L50^2*$J$6+$M$5*$J$7</f>
        <v>34.233351145515755</v>
      </c>
      <c r="T47" s="39">
        <f>$J$3+[36]FormattedData!M50*$J$4+$M$4*$J$5+[36]FormattedData!M50^2*$J$6+$M$5*$J$7</f>
        <v>32.989607684029096</v>
      </c>
      <c r="U47" s="39">
        <f>$J$3+[36]FormattedData!N50*$J$4+$M$4*$J$5+[36]FormattedData!N50^2*$J$6+$M$5*$J$7</f>
        <v>33.85142168335647</v>
      </c>
      <c r="V47" s="39">
        <f>$J$3+[36]FormattedData!O50*$J$4+$M$4*$J$5+[36]FormattedData!O50^2*$J$6+$M$5*$J$7</f>
        <v>30.383623176612446</v>
      </c>
      <c r="W47" s="38">
        <f>AVERAGE(K47:V47)</f>
        <v>33.74985617073272</v>
      </c>
      <c r="X47" s="37">
        <f>STDEV(K47:V47)/SQRT(COUNT(K47:V47))</f>
        <v>0.485664600744588</v>
      </c>
      <c r="Y47" s="36">
        <f>MIN(K47:V47)</f>
        <v>30.383623176612446</v>
      </c>
      <c r="Z47" s="35">
        <f>QUARTILE(K47:V47,1)</f>
        <v>32.965615570597592</v>
      </c>
      <c r="AA47" s="36">
        <f>MEDIAN(K47:V47)</f>
        <v>34.042386414436109</v>
      </c>
      <c r="AB47" s="35">
        <f>QUARTILE(K47:V47,3)</f>
        <v>34.54316689463225</v>
      </c>
      <c r="AC47" s="35">
        <f>MAX(K47:V47)</f>
        <v>36.510725689726627</v>
      </c>
      <c r="AD47" s="35">
        <f>SKEW(K47:V47)</f>
        <v>-0.5644492149125323</v>
      </c>
      <c r="AE47" s="35">
        <f>KURT(K47:V47)</f>
        <v>0.53542329232115193</v>
      </c>
    </row>
    <row r="48" spans="2:31" x14ac:dyDescent="0.2">
      <c r="B48" s="50">
        <f>[36]FormattedData!A48</f>
        <v>907</v>
      </c>
      <c r="C48" s="50" t="str">
        <f>VLOOKUP($B48,[36]TrtCodes!$B$11:I91,2)</f>
        <v>DS</v>
      </c>
      <c r="D48" s="50">
        <f>VLOOKUP($B48,[36]TrtCodes!$B$11:J91,3)</f>
        <v>31</v>
      </c>
      <c r="E48" s="50">
        <f>VLOOKUP($B48,[36]TrtCodes!$B$11:K91,4)</f>
        <v>8</v>
      </c>
      <c r="F48" s="50">
        <f>VLOOKUP($B48,[36]TrtCodes!$B$11:L91,5)</f>
        <v>0</v>
      </c>
      <c r="G48" s="50">
        <f>VLOOKUP($B48,[36]TrtCodes!$B$11:M91,6)</f>
        <v>1</v>
      </c>
      <c r="H48" s="50">
        <f>VLOOKUP($B48,[36]TrtCodes!$B$11:N91,7)</f>
        <v>2</v>
      </c>
      <c r="I48" s="50">
        <f>[36]FormattedData!B48</f>
        <v>1</v>
      </c>
      <c r="J48" s="48">
        <f>[36]FormattedData!C48</f>
        <v>13.068</v>
      </c>
      <c r="K48" s="47">
        <f>$J$3+[36]FormattedData!D48*$J$4+$M$4*$J$5+[36]FormattedData!D48^2*$J$6+$M$5*$J$7</f>
        <v>58.869474882583518</v>
      </c>
      <c r="L48" s="47">
        <f>$J$3+[36]FormattedData!E48*$J$4+$M$4*$J$5+[36]FormattedData!E48^2*$J$6+$M$5*$J$7</f>
        <v>59.705101261015919</v>
      </c>
      <c r="M48" s="47">
        <f>$J$3+[36]FormattedData!F48*$J$4+$M$4*$J$5+[36]FormattedData!F48^2*$J$6+$M$5*$J$7</f>
        <v>59.538314133632895</v>
      </c>
      <c r="N48" s="47">
        <f>$J$3+[36]FormattedData!G48*$J$4+$M$4*$J$5+[36]FormattedData!G48^2*$J$6+$M$5*$J$7</f>
        <v>59.538314133632895</v>
      </c>
      <c r="O48" s="47">
        <f>$J$3+[36]FormattedData!H48*$J$4+$M$4*$J$5+[36]FormattedData!H48^2*$J$6+$M$5*$J$7</f>
        <v>58.785679767781659</v>
      </c>
      <c r="P48" s="47">
        <f>$J$3+[36]FormattedData!I48*$J$4+$M$4*$J$5+[36]FormattedData!I48^2*$J$6+$M$5*$J$7</f>
        <v>58.450076623194896</v>
      </c>
      <c r="Q48" s="47">
        <f>$J$3+[36]FormattedData!J48*$J$4+$M$4*$J$5+[36]FormattedData!J48^2*$J$6+$M$5*$J$7</f>
        <v>58.534040812148476</v>
      </c>
      <c r="R48" s="47">
        <f>$J$3+[36]FormattedData!K48*$J$4+$M$4*$J$5+[36]FormattedData!K48^2*$J$6+$M$5*$J$7</f>
        <v>58.617962732564131</v>
      </c>
      <c r="S48" s="47">
        <f>$J$3+[36]FormattedData!L48*$J$4+$M$4*$J$5+[36]FormattedData!L48^2*$J$6+$M$5*$J$7</f>
        <v>58.701842384441854</v>
      </c>
      <c r="T48" s="47">
        <f>$J$3+[36]FormattedData!M48*$J$4+$M$4*$J$5+[36]FormattedData!M48^2*$J$6+$M$5*$J$7</f>
        <v>58.785679767781659</v>
      </c>
      <c r="U48" s="47">
        <f>$J$3+[36]FormattedData!N48*$J$4+$M$4*$J$5+[36]FormattedData!N48^2*$J$6+$M$5*$J$7</f>
        <v>58.701842384441854</v>
      </c>
      <c r="V48" s="47">
        <f>$J$3+[36]FormattedData!O48*$J$4+$M$4*$J$5+[36]FormattedData!O48^2*$J$6+$M$5*$J$7</f>
        <v>59.287816428523854</v>
      </c>
      <c r="W48" s="49">
        <f>AVERAGE(K48:V48)</f>
        <v>58.959678775978638</v>
      </c>
      <c r="X48" s="48">
        <f>STDEV(K48:V48)/SQRT(COUNT(K48:V48))</f>
        <v>0.12589816414006397</v>
      </c>
      <c r="Y48" s="47">
        <f>MIN(K48:V48)</f>
        <v>58.450076623194896</v>
      </c>
      <c r="Z48" s="46">
        <f>QUARTILE(K48:V48,1)</f>
        <v>58.680872471472426</v>
      </c>
      <c r="AA48" s="47">
        <f>MEDIAN(K48:V48)</f>
        <v>58.785679767781659</v>
      </c>
      <c r="AB48" s="46">
        <f>QUARTILE(K48:V48,3)</f>
        <v>59.350440854801114</v>
      </c>
      <c r="AC48" s="46">
        <f>MAX(K48:V48)</f>
        <v>59.705101261015919</v>
      </c>
      <c r="AD48" s="46">
        <f>SKEW(K48:V48)</f>
        <v>0.71291425626026839</v>
      </c>
      <c r="AE48" s="46">
        <f>KURT(K48:V48)</f>
        <v>-1.1186011119585721</v>
      </c>
    </row>
    <row r="49" spans="2:31" ht="13.5" thickBot="1" x14ac:dyDescent="0.25">
      <c r="B49" s="45">
        <f>[36]FormattedData!A46</f>
        <v>908</v>
      </c>
      <c r="C49" s="45" t="str">
        <f>VLOOKUP($B49,[36]TrtCodes!$B$11:I89,2)</f>
        <v>Early</v>
      </c>
      <c r="D49" s="45">
        <f>VLOOKUP($B49,[36]TrtCodes!$B$11:J89,3)</f>
        <v>21</v>
      </c>
      <c r="E49" s="45">
        <f>VLOOKUP($B49,[36]TrtCodes!$B$11:K89,4)</f>
        <v>3</v>
      </c>
      <c r="F49" s="45">
        <f>VLOOKUP($B49,[36]TrtCodes!$B$11:L89,5)</f>
        <v>2</v>
      </c>
      <c r="G49" s="45">
        <f>VLOOKUP($B49,[36]TrtCodes!$B$11:M89,6)</f>
        <v>2</v>
      </c>
      <c r="H49" s="45">
        <f>VLOOKUP($B49,[36]TrtCodes!$B$11:N89,7)</f>
        <v>2</v>
      </c>
      <c r="I49" s="45">
        <f>[36]FormattedData!B46</f>
        <v>1</v>
      </c>
      <c r="J49" s="42">
        <f>[36]FormattedData!C46</f>
        <v>13.051</v>
      </c>
      <c r="K49" s="44">
        <f>$J$3+[36]FormattedData!D46*$J$4+$M$4*$J$5+[36]FormattedData!D46^2*$J$6+$M$5*$J$7</f>
        <v>33.85142168335647</v>
      </c>
      <c r="L49" s="44">
        <f>$J$3+[36]FormattedData!E46*$J$4+$M$4*$J$5+[36]FormattedData!E46^2*$J$6+$M$5*$J$7</f>
        <v>32.22067653515878</v>
      </c>
      <c r="M49" s="44">
        <f>$J$3+[36]FormattedData!F46*$J$4+$M$4*$J$5+[36]FormattedData!F46^2*$J$6+$M$5*$J$7</f>
        <v>32.893639230303066</v>
      </c>
      <c r="N49" s="44">
        <f>$J$3+[36]FormattedData!G46*$J$4+$M$4*$J$5+[36]FormattedData!G46^2*$J$6+$M$5*$J$7</f>
        <v>32.605480257897383</v>
      </c>
      <c r="O49" s="44">
        <f>$J$3+[36]FormattedData!H46*$J$4+$M$4*$J$5+[36]FormattedData!H46^2*$J$6+$M$5*$J$7</f>
        <v>34.804977282616761</v>
      </c>
      <c r="P49" s="44">
        <f>$J$3+[36]FormattedData!I46*$J$4+$M$4*$J$5+[36]FormattedData!I46^2*$J$6+$M$5*$J$7</f>
        <v>33.373058813553904</v>
      </c>
      <c r="Q49" s="44">
        <f>$J$3+[36]FormattedData!J46*$J$4+$M$4*$J$5+[36]FormattedData!J46^2*$J$6+$M$5*$J$7</f>
        <v>33.946967451703181</v>
      </c>
      <c r="R49" s="44">
        <f>$J$3+[36]FormattedData!K46*$J$4+$M$4*$J$5+[36]FormattedData!K46^2*$J$6+$M$5*$J$7</f>
        <v>34.424062265367809</v>
      </c>
      <c r="S49" s="44">
        <f>$J$3+[36]FormattedData!L46*$J$4+$M$4*$J$5+[36]FormattedData!L46^2*$J$6+$M$5*$J$7</f>
        <v>34.424062265367809</v>
      </c>
      <c r="T49" s="44">
        <f>$J$3+[36]FormattedData!M46*$J$4+$M$4*$J$5+[36]FormattedData!M46^2*$J$6+$M$5*$J$7</f>
        <v>34.614604311068142</v>
      </c>
      <c r="U49" s="44">
        <f>$J$3+[36]FormattedData!N46*$J$4+$M$4*$J$5+[36]FormattedData!N46^2*$J$6+$M$5*$J$7</f>
        <v>34.233351145515755</v>
      </c>
      <c r="V49" s="44">
        <f>$J$3+[36]FormattedData!O46*$J$4+$M$4*$J$5+[36]FormattedData!O46^2*$J$6+$M$5*$J$7</f>
        <v>30.092167258248143</v>
      </c>
      <c r="W49" s="43">
        <f>AVERAGE(K49:V49)</f>
        <v>33.457039041679771</v>
      </c>
      <c r="X49" s="42">
        <f>STDEV(K49:V49)/SQRT(COUNT(K49:V49))</f>
        <v>0.38852839525166638</v>
      </c>
      <c r="Y49" s="41">
        <f>MIN(K49:V49)</f>
        <v>30.092167258248143</v>
      </c>
      <c r="Z49" s="40">
        <f>QUARTILE(K49:V49,1)</f>
        <v>32.821599487201645</v>
      </c>
      <c r="AA49" s="41">
        <f>MEDIAN(K49:V49)</f>
        <v>33.899194567529825</v>
      </c>
      <c r="AB49" s="40">
        <f>QUARTILE(K49:V49,3)</f>
        <v>34.424062265367809</v>
      </c>
      <c r="AC49" s="40">
        <f>MAX(K49:V49)</f>
        <v>34.804977282616761</v>
      </c>
      <c r="AD49" s="40">
        <f>SKEW(K49:V49)</f>
        <v>-1.5360888176184806</v>
      </c>
      <c r="AE49" s="40">
        <f>KURT(K49:V49)</f>
        <v>2.615237372752711</v>
      </c>
    </row>
    <row r="50" spans="2:31" ht="13.5" thickTop="1" x14ac:dyDescent="0.2">
      <c r="B50" s="34">
        <f>[36]FormattedData!A29</f>
        <v>101</v>
      </c>
      <c r="C50" s="34" t="str">
        <f>VLOOKUP($B50,[36]TrtCodes!$B$11:I72,2)</f>
        <v>FSH</v>
      </c>
      <c r="D50" s="34">
        <f>VLOOKUP($B50,[36]TrtCodes!$B$11:J72,3)</f>
        <v>1</v>
      </c>
      <c r="E50" s="34">
        <f>VLOOKUP($B50,[36]TrtCodes!$B$11:K72,4)</f>
        <v>1</v>
      </c>
      <c r="F50" s="34">
        <f>VLOOKUP($B50,[36]TrtCodes!$B$11:L72,5)</f>
        <v>1</v>
      </c>
      <c r="G50" s="34">
        <f>VLOOKUP($B50,[36]TrtCodes!$B$11:M72,6)</f>
        <v>2</v>
      </c>
      <c r="H50" s="34">
        <f>VLOOKUP($B50,[36]TrtCodes!$B$11:N72,7)</f>
        <v>1</v>
      </c>
      <c r="I50" s="34">
        <f>[36]FormattedData!B29</f>
        <v>2</v>
      </c>
      <c r="J50" s="37">
        <f>[36]FormattedData!C29</f>
        <v>12.898999999999999</v>
      </c>
      <c r="K50" s="39">
        <f>$J$3+[36]FormattedData!D29*$J$4+$M$4*$J$5+[36]FormattedData!D29^2*$J$6+$M$5*$J$7</f>
        <v>27.943200008978831</v>
      </c>
      <c r="L50" s="39">
        <f>$J$3+[36]FormattedData!E29*$J$4+$M$4*$J$5+[36]FormattedData!E29^2*$J$6+$M$5*$J$7</f>
        <v>27.05818058232726</v>
      </c>
      <c r="M50" s="39">
        <f>$J$3+[36]FormattedData!F29*$J$4+$M$4*$J$5+[36]FormattedData!F29^2*$J$6+$M$5*$J$7</f>
        <v>29.702967607564695</v>
      </c>
      <c r="N50" s="39">
        <f>$J$3+[36]FormattedData!G29*$J$4+$M$4*$J$5+[36]FormattedData!G29^2*$J$6+$M$5*$J$7</f>
        <v>29.410624049903838</v>
      </c>
      <c r="O50" s="39">
        <f>$J$3+[36]FormattedData!H29*$J$4+$M$4*$J$5+[36]FormattedData!H29^2*$J$6+$M$5*$J$7</f>
        <v>27.550280726957443</v>
      </c>
      <c r="P50" s="39">
        <f>$J$3+[36]FormattedData!I29*$J$4+$M$4*$J$5+[36]FormattedData!I29^2*$J$6+$M$5*$J$7</f>
        <v>29.313091660274353</v>
      </c>
      <c r="Q50" s="39">
        <f>$J$3+[36]FormattedData!J29*$J$4+$M$4*$J$5+[36]FormattedData!J29^2*$J$6+$M$5*$J$7</f>
        <v>27.550280726957443</v>
      </c>
      <c r="R50" s="39">
        <f>$J$3+[36]FormattedData!K29*$J$4+$M$4*$J$5+[36]FormattedData!K29^2*$J$6+$M$5*$J$7</f>
        <v>26.959633747787436</v>
      </c>
      <c r="S50" s="39">
        <f>$J$3+[36]FormattedData!L29*$J$4+$M$4*$J$5+[36]FormattedData!L29^2*$J$6+$M$5*$J$7</f>
        <v>28.237445650846588</v>
      </c>
      <c r="T50" s="39">
        <f>$J$3+[36]FormattedData!M29*$J$4+$M$4*$J$5+[36]FormattedData!M29^2*$J$6+$M$5*$J$7</f>
        <v>27.746824905043997</v>
      </c>
      <c r="U50" s="39">
        <f>$J$3+[36]FormattedData!N29*$J$4+$M$4*$J$5+[36]FormattedData!N29^2*$J$6+$M$5*$J$7</f>
        <v>27.648573950269686</v>
      </c>
      <c r="V50" s="39">
        <f>$J$3+[36]FormattedData!O29*$J$4+$M$4*$J$5+[36]FormattedData!O29^2*$J$6+$M$5*$J$7</f>
        <v>29.020240880158319</v>
      </c>
      <c r="W50" s="38">
        <f>AVERAGE(K50:V50)</f>
        <v>28.178445374755825</v>
      </c>
      <c r="X50" s="37">
        <f>STDEV(K50:V50)/SQRT(COUNT(K50:V50))</f>
        <v>0.27377872340951448</v>
      </c>
      <c r="Y50" s="36">
        <f>MIN(K50:V50)</f>
        <v>26.959633747787436</v>
      </c>
      <c r="Z50" s="35">
        <f>QUARTILE(K50:V50,1)</f>
        <v>27.550280726957443</v>
      </c>
      <c r="AA50" s="36">
        <f>MEDIAN(K50:V50)</f>
        <v>27.845012457011414</v>
      </c>
      <c r="AB50" s="35">
        <f>QUARTILE(K50:V50,3)</f>
        <v>29.093453575187326</v>
      </c>
      <c r="AC50" s="35">
        <f>MAX(K50:V50)</f>
        <v>29.702967607564695</v>
      </c>
      <c r="AD50" s="35">
        <f>SKEW(K50:V50)</f>
        <v>0.4497824816902744</v>
      </c>
      <c r="AE50" s="35">
        <f>KURT(K50:V50)</f>
        <v>-1.2916700633534637</v>
      </c>
    </row>
    <row r="51" spans="2:31" x14ac:dyDescent="0.2">
      <c r="B51" s="34">
        <f>[36]FormattedData!A27</f>
        <v>102</v>
      </c>
      <c r="C51" s="34" t="str">
        <f>VLOOKUP($B51,[36]TrtCodes!$B$11:I70,2)</f>
        <v>FTL</v>
      </c>
      <c r="D51" s="34">
        <f>VLOOKUP($B51,[36]TrtCodes!$B$11:J70,3)</f>
        <v>4</v>
      </c>
      <c r="E51" s="34">
        <f>VLOOKUP($B51,[36]TrtCodes!$B$11:K70,4)</f>
        <v>1</v>
      </c>
      <c r="F51" s="34">
        <f>VLOOKUP($B51,[36]TrtCodes!$B$11:L70,5)</f>
        <v>2</v>
      </c>
      <c r="G51" s="34">
        <f>VLOOKUP($B51,[36]TrtCodes!$B$11:M70,6)</f>
        <v>1</v>
      </c>
      <c r="H51" s="34">
        <f>VLOOKUP($B51,[36]TrtCodes!$B$11:N70,7)</f>
        <v>1</v>
      </c>
      <c r="I51" s="34">
        <f>[36]FormattedData!B27</f>
        <v>2</v>
      </c>
      <c r="J51" s="37">
        <f>[36]FormattedData!C27</f>
        <v>12.882</v>
      </c>
      <c r="K51" s="39">
        <f>$J$3+[36]FormattedData!D27*$J$4+$M$4*$J$5+[36]FormattedData!D27^2*$J$6+$M$5*$J$7</f>
        <v>27.943200008978831</v>
      </c>
      <c r="L51" s="39">
        <f>$J$3+[36]FormattedData!E27*$J$4+$M$4*$J$5+[36]FormattedData!E27^2*$J$6+$M$5*$J$7</f>
        <v>27.451945235107271</v>
      </c>
      <c r="M51" s="39">
        <f>$J$3+[36]FormattedData!F27*$J$4+$M$4*$J$5+[36]FormattedData!F27^2*$J$6+$M$5*$J$7</f>
        <v>28.041324158139346</v>
      </c>
      <c r="N51" s="39">
        <f>$J$3+[36]FormattedData!G27*$J$4+$M$4*$J$5+[36]FormattedData!G27^2*$J$6+$M$5*$J$7</f>
        <v>27.943200008978831</v>
      </c>
      <c r="O51" s="39">
        <f>$J$3+[36]FormattedData!H27*$J$4+$M$4*$J$5+[36]FormattedData!H27^2*$J$6+$M$5*$J$7</f>
        <v>28.139406038761933</v>
      </c>
      <c r="P51" s="39">
        <f>$J$3+[36]FormattedData!I27*$J$4+$M$4*$J$5+[36]FormattedData!I27^2*$J$6+$M$5*$J$7</f>
        <v>27.84503359128038</v>
      </c>
      <c r="Q51" s="39">
        <f>$J$3+[36]FormattedData!J27*$J$4+$M$4*$J$5+[36]FormattedData!J27^2*$J$6+$M$5*$J$7</f>
        <v>28.041324158139346</v>
      </c>
      <c r="R51" s="39">
        <f>$J$3+[36]FormattedData!K27*$J$4+$M$4*$J$5+[36]FormattedData!K27^2*$J$6+$M$5*$J$7</f>
        <v>28.531310875872972</v>
      </c>
      <c r="S51" s="39">
        <f>$J$3+[36]FormattedData!L27*$J$4+$M$4*$J$5+[36]FormattedData!L27^2*$J$6+$M$5*$J$7</f>
        <v>28.237445650846588</v>
      </c>
      <c r="T51" s="39">
        <f>$J$3+[36]FormattedData!M27*$J$4+$M$4*$J$5+[36]FormattedData!M27^2*$J$6+$M$5*$J$7</f>
        <v>27.648573950269686</v>
      </c>
      <c r="U51" s="39">
        <f>$J$3+[36]FormattedData!N27*$J$4+$M$4*$J$5+[36]FormattedData!N27^2*$J$6+$M$5*$J$7</f>
        <v>29.897651969982281</v>
      </c>
      <c r="V51" s="39">
        <f>$J$3+[36]FormattedData!O27*$J$4+$M$4*$J$5+[36]FormattedData!O27^2*$J$6+$M$5*$J$7</f>
        <v>26.762413273093976</v>
      </c>
      <c r="W51" s="38">
        <f>AVERAGE(K51:V51)</f>
        <v>28.040235743287621</v>
      </c>
      <c r="X51" s="37">
        <f>STDEV(K51:V51)/SQRT(COUNT(K51:V51))</f>
        <v>0.21193783723672918</v>
      </c>
      <c r="Y51" s="36">
        <f>MIN(K51:V51)</f>
        <v>26.762413273093976</v>
      </c>
      <c r="Z51" s="35">
        <f>QUARTILE(K51:V51,1)</f>
        <v>27.795918681027707</v>
      </c>
      <c r="AA51" s="36">
        <f>MEDIAN(K51:V51)</f>
        <v>27.992262083559091</v>
      </c>
      <c r="AB51" s="35">
        <f>QUARTILE(K51:V51,3)</f>
        <v>28.163915941783095</v>
      </c>
      <c r="AC51" s="35">
        <f>MAX(K51:V51)</f>
        <v>29.897651969982281</v>
      </c>
      <c r="AD51" s="35">
        <f>SKEW(K51:V51)</f>
        <v>1.1511293656773594</v>
      </c>
      <c r="AE51" s="35">
        <f>KURT(K51:V51)</f>
        <v>3.9792114553140419</v>
      </c>
    </row>
    <row r="52" spans="2:31" x14ac:dyDescent="0.2">
      <c r="B52" s="34">
        <f>[36]FormattedData!A25</f>
        <v>103</v>
      </c>
      <c r="C52" s="34" t="str">
        <f>VLOOKUP($B52,[36]TrtCodes!$B$11:I68,2)</f>
        <v>FDH</v>
      </c>
      <c r="D52" s="34">
        <f>VLOOKUP($B52,[36]TrtCodes!$B$11:J68,3)</f>
        <v>5</v>
      </c>
      <c r="E52" s="34">
        <f>VLOOKUP($B52,[36]TrtCodes!$B$11:K68,4)</f>
        <v>1</v>
      </c>
      <c r="F52" s="34">
        <f>VLOOKUP($B52,[36]TrtCodes!$B$11:L68,5)</f>
        <v>3</v>
      </c>
      <c r="G52" s="34">
        <f>VLOOKUP($B52,[36]TrtCodes!$B$11:M68,6)</f>
        <v>2</v>
      </c>
      <c r="H52" s="34">
        <f>VLOOKUP($B52,[36]TrtCodes!$B$11:N68,7)</f>
        <v>1</v>
      </c>
      <c r="I52" s="34">
        <f>[36]FormattedData!B25</f>
        <v>2</v>
      </c>
      <c r="J52" s="37">
        <f>[36]FormattedData!C25</f>
        <v>12.866</v>
      </c>
      <c r="K52" s="39">
        <f>$J$3+[36]FormattedData!D25*$J$4+$M$4*$J$5+[36]FormattedData!D25^2*$J$6+$M$5*$J$7</f>
        <v>26.663739632940356</v>
      </c>
      <c r="L52" s="39">
        <f>$J$3+[36]FormattedData!E25*$J$4+$M$4*$J$5+[36]FormattedData!E25^2*$J$6+$M$5*$J$7</f>
        <v>29.215517002106939</v>
      </c>
      <c r="M52" s="39">
        <f>$J$3+[36]FormattedData!F25*$J$4+$M$4*$J$5+[36]FormattedData!F25^2*$J$6+$M$5*$J$7</f>
        <v>26.663739632940356</v>
      </c>
      <c r="N52" s="39">
        <f>$J$3+[36]FormattedData!G25*$J$4+$M$4*$J$5+[36]FormattedData!G25^2*$J$6+$M$5*$J$7</f>
        <v>27.648573950269686</v>
      </c>
      <c r="O52" s="39">
        <f>$J$3+[36]FormattedData!H25*$J$4+$M$4*$J$5+[36]FormattedData!H25^2*$J$6+$M$5*$J$7</f>
        <v>25.97184063280292</v>
      </c>
      <c r="P52" s="39">
        <f>$J$3+[36]FormattedData!I25*$J$4+$M$4*$J$5+[36]FormattedData!I25^2*$J$6+$M$5*$J$7</f>
        <v>29.020240880158319</v>
      </c>
      <c r="Q52" s="39">
        <f>$J$3+[36]FormattedData!J25*$J$4+$M$4*$J$5+[36]FormattedData!J25^2*$J$6+$M$5*$J$7</f>
        <v>28.824795684057975</v>
      </c>
      <c r="R52" s="39">
        <f>$J$3+[36]FormattedData!K25*$J$4+$M$4*$J$5+[36]FormattedData!K25^2*$J$6+$M$5*$J$7</f>
        <v>27.451945235107271</v>
      </c>
      <c r="S52" s="39">
        <f>$J$3+[36]FormattedData!L25*$J$4+$M$4*$J$5+[36]FormattedData!L25^2*$J$6+$M$5*$J$7</f>
        <v>28.531310875872972</v>
      </c>
      <c r="T52" s="39">
        <f>$J$3+[36]FormattedData!M25*$J$4+$M$4*$J$5+[36]FormattedData!M25^2*$J$6+$M$5*$J$7</f>
        <v>27.746824905043997</v>
      </c>
      <c r="U52" s="39">
        <f>$J$3+[36]FormattedData!N25*$J$4+$M$4*$J$5+[36]FormattedData!N25^2*$J$6+$M$5*$J$7</f>
        <v>28.041324158139346</v>
      </c>
      <c r="V52" s="39">
        <f>$J$3+[36]FormattedData!O25*$J$4+$M$4*$J$5+[36]FormattedData!O25^2*$J$6+$M$5*$J$7</f>
        <v>28.433398069402109</v>
      </c>
      <c r="W52" s="38">
        <f>AVERAGE(K52:V52)</f>
        <v>27.851104221570193</v>
      </c>
      <c r="X52" s="37">
        <f>STDEV(K52:V52)/SQRT(COUNT(K52:V52))</f>
        <v>0.29614991878308738</v>
      </c>
      <c r="Y52" s="36">
        <f>MIN(K52:V52)</f>
        <v>25.97184063280292</v>
      </c>
      <c r="Z52" s="35">
        <f>QUARTILE(K52:V52,1)</f>
        <v>27.254893834565543</v>
      </c>
      <c r="AA52" s="36">
        <f>MEDIAN(K52:V52)</f>
        <v>27.89407453159167</v>
      </c>
      <c r="AB52" s="35">
        <f>QUARTILE(K52:V52,3)</f>
        <v>28.604682077919222</v>
      </c>
      <c r="AC52" s="35">
        <f>MAX(K52:V52)</f>
        <v>29.215517002106939</v>
      </c>
      <c r="AD52" s="35">
        <f>SKEW(K52:V52)</f>
        <v>-0.45240666910179766</v>
      </c>
      <c r="AE52" s="35">
        <f>KURT(K52:V52)</f>
        <v>-0.75595524191167129</v>
      </c>
    </row>
    <row r="53" spans="2:31" x14ac:dyDescent="0.2">
      <c r="B53" s="34">
        <f>[36]FormattedData!A23</f>
        <v>104</v>
      </c>
      <c r="C53" s="34" t="str">
        <f>VLOOKUP($B53,[36]TrtCodes!$B$11:I66,2)</f>
        <v>NTL</v>
      </c>
      <c r="D53" s="34">
        <f>VLOOKUP($B53,[36]TrtCodes!$B$11:J66,3)</f>
        <v>10</v>
      </c>
      <c r="E53" s="34">
        <f>VLOOKUP($B53,[36]TrtCodes!$B$11:K66,4)</f>
        <v>2</v>
      </c>
      <c r="F53" s="34">
        <f>VLOOKUP($B53,[36]TrtCodes!$B$11:L66,5)</f>
        <v>2</v>
      </c>
      <c r="G53" s="34">
        <f>VLOOKUP($B53,[36]TrtCodes!$B$11:M66,6)</f>
        <v>1</v>
      </c>
      <c r="H53" s="34">
        <f>VLOOKUP($B53,[36]TrtCodes!$B$11:N66,7)</f>
        <v>1</v>
      </c>
      <c r="I53" s="34">
        <f>[36]FormattedData!B23</f>
        <v>2</v>
      </c>
      <c r="J53" s="37">
        <f>[36]FormattedData!C23</f>
        <v>12.849</v>
      </c>
      <c r="K53" s="39">
        <f>$J$3+[36]FormattedData!D23*$J$4+$M$4*$J$5+[36]FormattedData!D23^2*$J$6+$M$5*$J$7</f>
        <v>29.313091660274353</v>
      </c>
      <c r="L53" s="39">
        <f>$J$3+[36]FormattedData!E23*$J$4+$M$4*$J$5+[36]FormattedData!E23^2*$J$6+$M$5*$J$7</f>
        <v>27.05818058232726</v>
      </c>
      <c r="M53" s="39">
        <f>$J$3+[36]FormattedData!F23*$J$4+$M$4*$J$5+[36]FormattedData!F23^2*$J$6+$M$5*$J$7</f>
        <v>29.117900075401597</v>
      </c>
      <c r="N53" s="39">
        <f>$J$3+[36]FormattedData!G23*$J$4+$M$4*$J$5+[36]FormattedData!G23^2*$J$6+$M$5*$J$7</f>
        <v>26.466265547019315</v>
      </c>
      <c r="O53" s="39">
        <f>$J$3+[36]FormattedData!H23*$J$4+$M$4*$J$5+[36]FormattedData!H23^2*$J$6+$M$5*$J$7</f>
        <v>27.451945235107271</v>
      </c>
      <c r="P53" s="39">
        <f>$J$3+[36]FormattedData!I23*$J$4+$M$4*$J$5+[36]FormattedData!I23^2*$J$6+$M$5*$J$7</f>
        <v>29.313091660274353</v>
      </c>
      <c r="Q53" s="39">
        <f>$J$3+[36]FormattedData!J23*$J$4+$M$4*$J$5+[36]FormattedData!J23^2*$J$6+$M$5*$J$7</f>
        <v>27.746824905043997</v>
      </c>
      <c r="R53" s="39">
        <f>$J$3+[36]FormattedData!K23*$J$4+$M$4*$J$5+[36]FormattedData!K23^2*$J$6+$M$5*$J$7</f>
        <v>28.139406038761933</v>
      </c>
      <c r="S53" s="39">
        <f>$J$3+[36]FormattedData!L23*$J$4+$M$4*$J$5+[36]FormattedData!L23^2*$J$6+$M$5*$J$7</f>
        <v>26.861044644709668</v>
      </c>
      <c r="T53" s="39">
        <f>$J$3+[36]FormattedData!M23*$J$4+$M$4*$J$5+[36]FormattedData!M23^2*$J$6+$M$5*$J$7</f>
        <v>28.433398069402109</v>
      </c>
      <c r="U53" s="39">
        <f>$J$3+[36]FormattedData!N23*$J$4+$M$4*$J$5+[36]FormattedData!N23^2*$J$6+$M$5*$J$7</f>
        <v>27.648573950269686</v>
      </c>
      <c r="V53" s="39">
        <f>$J$3+[36]FormattedData!O23*$J$4+$M$4*$J$5+[36]FormattedData!O23^2*$J$6+$M$5*$J$7</f>
        <v>26.762413273093976</v>
      </c>
      <c r="W53" s="38">
        <f>AVERAGE(K53:V53)</f>
        <v>27.859344636807126</v>
      </c>
      <c r="X53" s="37">
        <f>STDEV(K53:V53)/SQRT(COUNT(K53:V53))</f>
        <v>0.29160148279221032</v>
      </c>
      <c r="Y53" s="36">
        <f>MIN(K53:V53)</f>
        <v>26.466265547019315</v>
      </c>
      <c r="Z53" s="35">
        <f>QUARTILE(K53:V53,1)</f>
        <v>27.008896597922863</v>
      </c>
      <c r="AA53" s="36">
        <f>MEDIAN(K53:V53)</f>
        <v>27.697699427656843</v>
      </c>
      <c r="AB53" s="35">
        <f>QUARTILE(K53:V53,3)</f>
        <v>28.604523570901982</v>
      </c>
      <c r="AC53" s="35">
        <f>MAX(K53:V53)</f>
        <v>29.313091660274353</v>
      </c>
      <c r="AD53" s="35">
        <f>SKEW(K53:V53)</f>
        <v>0.28982358989516332</v>
      </c>
      <c r="AE53" s="35">
        <f>KURT(K53:V53)</f>
        <v>-1.2780449266705793</v>
      </c>
    </row>
    <row r="54" spans="2:31" x14ac:dyDescent="0.2">
      <c r="B54" s="34">
        <f>[36]FormattedData!A21</f>
        <v>105</v>
      </c>
      <c r="C54" s="34" t="str">
        <f>VLOOKUP($B54,[36]TrtCodes!$B$11:I64,2)</f>
        <v>NDL</v>
      </c>
      <c r="D54" s="34">
        <f>VLOOKUP($B54,[36]TrtCodes!$B$11:J64,3)</f>
        <v>12</v>
      </c>
      <c r="E54" s="34">
        <f>VLOOKUP($B54,[36]TrtCodes!$B$11:K64,4)</f>
        <v>2</v>
      </c>
      <c r="F54" s="34">
        <f>VLOOKUP($B54,[36]TrtCodes!$B$11:L64,5)</f>
        <v>3</v>
      </c>
      <c r="G54" s="34">
        <f>VLOOKUP($B54,[36]TrtCodes!$B$11:M64,6)</f>
        <v>1</v>
      </c>
      <c r="H54" s="34">
        <f>VLOOKUP($B54,[36]TrtCodes!$B$11:N64,7)</f>
        <v>2</v>
      </c>
      <c r="I54" s="34">
        <f>[36]FormattedData!B21</f>
        <v>2</v>
      </c>
      <c r="J54" s="37">
        <f>[36]FormattedData!C21</f>
        <v>12.832000000000001</v>
      </c>
      <c r="K54" s="39">
        <f>$J$3+[36]FormattedData!D21*$J$4+$M$4*$J$5+[36]FormattedData!D21^2*$J$6+$M$5*$J$7</f>
        <v>28.139406038761933</v>
      </c>
      <c r="L54" s="39">
        <f>$J$3+[36]FormattedData!E21*$J$4+$M$4*$J$5+[36]FormattedData!E21^2*$J$6+$M$5*$J$7</f>
        <v>28.824795684057975</v>
      </c>
      <c r="M54" s="39">
        <f>$J$3+[36]FormattedData!F21*$J$4+$M$4*$J$5+[36]FormattedData!F21^2*$J$6+$M$5*$J$7</f>
        <v>29.800330923042459</v>
      </c>
      <c r="N54" s="39">
        <f>$J$3+[36]FormattedData!G21*$J$4+$M$4*$J$5+[36]FormattedData!G21^2*$J$6+$M$5*$J$7</f>
        <v>30.577715779498995</v>
      </c>
      <c r="O54" s="39">
        <f>$J$3+[36]FormattedData!H21*$J$4+$M$4*$J$5+[36]FormattedData!H21^2*$J$6+$M$5*$J$7</f>
        <v>28.139406038761933</v>
      </c>
      <c r="P54" s="39">
        <f>$J$3+[36]FormattedData!I21*$J$4+$M$4*$J$5+[36]FormattedData!I21^2*$J$6+$M$5*$J$7</f>
        <v>29.897651969982281</v>
      </c>
      <c r="Q54" s="39">
        <f>$J$3+[36]FormattedData!J21*$J$4+$M$4*$J$5+[36]FormattedData!J21^2*$J$6+$M$5*$J$7</f>
        <v>29.994930748384174</v>
      </c>
      <c r="R54" s="39">
        <f>$J$3+[36]FormattedData!K21*$J$4+$M$4*$J$5+[36]FormattedData!K21^2*$J$6+$M$5*$J$7</f>
        <v>31.255708430657087</v>
      </c>
      <c r="S54" s="39">
        <f>$J$3+[36]FormattedData!L21*$J$4+$M$4*$J$5+[36]FormattedData!L21^2*$J$6+$M$5*$J$7</f>
        <v>28.139406038761933</v>
      </c>
      <c r="T54" s="39">
        <f>$J$3+[36]FormattedData!M21*$J$4+$M$4*$J$5+[36]FormattedData!M21^2*$J$6+$M$5*$J$7</f>
        <v>28.041324158139346</v>
      </c>
      <c r="U54" s="39">
        <f>$J$3+[36]FormattedData!N21*$J$4+$M$4*$J$5+[36]FormattedData!N21^2*$J$6+$M$5*$J$7</f>
        <v>28.727009683200905</v>
      </c>
      <c r="V54" s="39">
        <f>$J$3+[36]FormattedData!O21*$J$4+$M$4*$J$5+[36]FormattedData!O21^2*$J$6+$M$5*$J$7</f>
        <v>28.727009683200905</v>
      </c>
      <c r="W54" s="38">
        <f>AVERAGE(K54:V54)</f>
        <v>29.188724598037492</v>
      </c>
      <c r="X54" s="37">
        <f>STDEV(K54:V54)/SQRT(COUNT(K54:V54))</f>
        <v>0.31269683503280438</v>
      </c>
      <c r="Y54" s="36">
        <f>MIN(K54:V54)</f>
        <v>28.041324158139346</v>
      </c>
      <c r="Z54" s="35">
        <f>QUARTILE(K54:V54,1)</f>
        <v>28.139406038761933</v>
      </c>
      <c r="AA54" s="36">
        <f>MEDIAN(K54:V54)</f>
        <v>28.77590268362944</v>
      </c>
      <c r="AB54" s="35">
        <f>QUARTILE(K54:V54,3)</f>
        <v>29.921971664582756</v>
      </c>
      <c r="AC54" s="35">
        <f>MAX(K54:V54)</f>
        <v>31.255708430657087</v>
      </c>
      <c r="AD54" s="35">
        <f>SKEW(K54:V54)</f>
        <v>0.63499122751506776</v>
      </c>
      <c r="AE54" s="35">
        <f>KURT(K54:V54)</f>
        <v>-0.79776308682067576</v>
      </c>
    </row>
    <row r="55" spans="2:31" x14ac:dyDescent="0.2">
      <c r="B55" s="34">
        <f>[36]FormattedData!A19</f>
        <v>106</v>
      </c>
      <c r="C55" s="34" t="str">
        <f>VLOOKUP($B55,[36]TrtCodes!$B$11:I62,2)</f>
        <v>NTH</v>
      </c>
      <c r="D55" s="34">
        <f>VLOOKUP($B55,[36]TrtCodes!$B$11:J62,3)</f>
        <v>9</v>
      </c>
      <c r="E55" s="34">
        <f>VLOOKUP($B55,[36]TrtCodes!$B$11:K62,4)</f>
        <v>2</v>
      </c>
      <c r="F55" s="34">
        <f>VLOOKUP($B55,[36]TrtCodes!$B$11:L62,5)</f>
        <v>2</v>
      </c>
      <c r="G55" s="34">
        <f>VLOOKUP($B55,[36]TrtCodes!$B$11:M62,6)</f>
        <v>2</v>
      </c>
      <c r="H55" s="34">
        <f>VLOOKUP($B55,[36]TrtCodes!$B$11:N62,7)</f>
        <v>2</v>
      </c>
      <c r="I55" s="34">
        <f>[36]FormattedData!B19</f>
        <v>2</v>
      </c>
      <c r="J55" s="37">
        <f>[36]FormattedData!C19</f>
        <v>12.816000000000001</v>
      </c>
      <c r="K55" s="39">
        <f>$J$3+[36]FormattedData!D19*$J$4+$M$4*$J$5+[36]FormattedData!D19^2*$J$6+$M$5*$J$7</f>
        <v>29.410624049903838</v>
      </c>
      <c r="L55" s="39">
        <f>$J$3+[36]FormattedData!E19*$J$4+$M$4*$J$5+[36]FormattedData!E19^2*$J$6+$M$5*$J$7</f>
        <v>28.727009683200905</v>
      </c>
      <c r="M55" s="39">
        <f>$J$3+[36]FormattedData!F19*$J$4+$M$4*$J$5+[36]FormattedData!F19^2*$J$6+$M$5*$J$7</f>
        <v>27.648573950269686</v>
      </c>
      <c r="N55" s="39">
        <f>$J$3+[36]FormattedData!G19*$J$4+$M$4*$J$5+[36]FormattedData!G19^2*$J$6+$M$5*$J$7</f>
        <v>27.15668514832916</v>
      </c>
      <c r="O55" s="39">
        <f>$J$3+[36]FormattedData!H19*$J$4+$M$4*$J$5+[36]FormattedData!H19^2*$J$6+$M$5*$J$7</f>
        <v>30.480690612324683</v>
      </c>
      <c r="P55" s="39">
        <f>$J$3+[36]FormattedData!I19*$J$4+$M$4*$J$5+[36]FormattedData!I19^2*$J$6+$M$5*$J$7</f>
        <v>28.922539416377113</v>
      </c>
      <c r="Q55" s="39">
        <f>$J$3+[36]FormattedData!J19*$J$4+$M$4*$J$5+[36]FormattedData!J19^2*$J$6+$M$5*$J$7</f>
        <v>28.041324158139346</v>
      </c>
      <c r="R55" s="39">
        <f>$J$3+[36]FormattedData!K19*$J$4+$M$4*$J$5+[36]FormattedData!K19^2*$J$6+$M$5*$J$7</f>
        <v>28.237445650846588</v>
      </c>
      <c r="S55" s="39">
        <f>$J$3+[36]FormattedData!L19*$J$4+$M$4*$J$5+[36]FormattedData!L19^2*$J$6+$M$5*$J$7</f>
        <v>30.577715779498995</v>
      </c>
      <c r="T55" s="39">
        <f>$J$3+[36]FormattedData!M19*$J$4+$M$4*$J$5+[36]FormattedData!M19^2*$J$6+$M$5*$J$7</f>
        <v>28.335442994393318</v>
      </c>
      <c r="U55" s="39">
        <f>$J$3+[36]FormattedData!N19*$J$4+$M$4*$J$5+[36]FormattedData!N19^2*$J$6+$M$5*$J$7</f>
        <v>27.648573950269686</v>
      </c>
      <c r="V55" s="39">
        <f>$J$3+[36]FormattedData!O19*$J$4+$M$4*$J$5+[36]FormattedData!O19^2*$J$6+$M$5*$J$7</f>
        <v>30.868537669794332</v>
      </c>
      <c r="W55" s="38">
        <f>AVERAGE(K55:V55)</f>
        <v>28.837930255278966</v>
      </c>
      <c r="X55" s="37">
        <f>STDEV(K55:V55)/SQRT(COUNT(K55:V55))</f>
        <v>0.35992108173698267</v>
      </c>
      <c r="Y55" s="36">
        <f>MIN(K55:V55)</f>
        <v>27.15668514832916</v>
      </c>
      <c r="Z55" s="35">
        <f>QUARTILE(K55:V55,1)</f>
        <v>27.943136606171933</v>
      </c>
      <c r="AA55" s="36">
        <f>MEDIAN(K55:V55)</f>
        <v>28.531226338797111</v>
      </c>
      <c r="AB55" s="35">
        <f>QUARTILE(K55:V55,3)</f>
        <v>29.67814069050905</v>
      </c>
      <c r="AC55" s="35">
        <f>MAX(K55:V55)</f>
        <v>30.868537669794332</v>
      </c>
      <c r="AD55" s="35">
        <f>SKEW(K55:V55)</f>
        <v>0.52308146358211915</v>
      </c>
      <c r="AE55" s="35">
        <f>KURT(K55:V55)</f>
        <v>-1.0244883868001717</v>
      </c>
    </row>
    <row r="56" spans="2:31" x14ac:dyDescent="0.2">
      <c r="B56" s="34">
        <f>[36]FormattedData!A17</f>
        <v>107</v>
      </c>
      <c r="C56" s="34" t="str">
        <f>VLOOKUP($B56,[36]TrtCodes!$B$11:I60,2)</f>
        <v>NTL</v>
      </c>
      <c r="D56" s="34">
        <f>VLOOKUP($B56,[36]TrtCodes!$B$11:J60,3)</f>
        <v>10</v>
      </c>
      <c r="E56" s="34">
        <f>VLOOKUP($B56,[36]TrtCodes!$B$11:K60,4)</f>
        <v>2</v>
      </c>
      <c r="F56" s="34">
        <f>VLOOKUP($B56,[36]TrtCodes!$B$11:L60,5)</f>
        <v>2</v>
      </c>
      <c r="G56" s="34">
        <f>VLOOKUP($B56,[36]TrtCodes!$B$11:M60,6)</f>
        <v>1</v>
      </c>
      <c r="H56" s="34">
        <f>VLOOKUP($B56,[36]TrtCodes!$B$11:N60,7)</f>
        <v>2</v>
      </c>
      <c r="I56" s="34">
        <f>[36]FormattedData!B17</f>
        <v>2</v>
      </c>
      <c r="J56" s="37">
        <f>[36]FormattedData!C17</f>
        <v>12.8</v>
      </c>
      <c r="K56" s="39">
        <f>$J$3+[36]FormattedData!D17*$J$4+$M$4*$J$5+[36]FormattedData!D17^2*$J$6+$M$5*$J$7</f>
        <v>27.943200008978831</v>
      </c>
      <c r="L56" s="39">
        <f>$J$3+[36]FormattedData!E17*$J$4+$M$4*$J$5+[36]FormattedData!E17^2*$J$6+$M$5*$J$7</f>
        <v>27.648573950269686</v>
      </c>
      <c r="M56" s="39">
        <f>$J$3+[36]FormattedData!F17*$J$4+$M$4*$J$5+[36]FormattedData!F17^2*$J$6+$M$5*$J$7</f>
        <v>27.451945235107271</v>
      </c>
      <c r="N56" s="39">
        <f>$J$3+[36]FormattedData!G17*$J$4+$M$4*$J$5+[36]FormattedData!G17^2*$J$6+$M$5*$J$7</f>
        <v>26.070810152722057</v>
      </c>
      <c r="O56" s="39">
        <f>$J$3+[36]FormattedData!H17*$J$4+$M$4*$J$5+[36]FormattedData!H17^2*$J$6+$M$5*$J$7</f>
        <v>27.255147445793124</v>
      </c>
      <c r="P56" s="39">
        <f>$J$3+[36]FormattedData!I17*$J$4+$M$4*$J$5+[36]FormattedData!I17^2*$J$6+$M$5*$J$7</f>
        <v>27.451945235107271</v>
      </c>
      <c r="Q56" s="39">
        <f>$J$3+[36]FormattedData!J17*$J$4+$M$4*$J$5+[36]FormattedData!J17^2*$J$6+$M$5*$J$7</f>
        <v>27.84503359128038</v>
      </c>
      <c r="R56" s="39">
        <f>$J$3+[36]FormattedData!K17*$J$4+$M$4*$J$5+[36]FormattedData!K17^2*$J$6+$M$5*$J$7</f>
        <v>28.824795684057975</v>
      </c>
      <c r="S56" s="39">
        <f>$J$3+[36]FormattedData!L17*$J$4+$M$4*$J$5+[36]FormattedData!L17^2*$J$6+$M$5*$J$7</f>
        <v>29.605562023549009</v>
      </c>
      <c r="T56" s="39">
        <f>$J$3+[36]FormattedData!M17*$J$4+$M$4*$J$5+[36]FormattedData!M17^2*$J$6+$M$5*$J$7</f>
        <v>27.943200008978831</v>
      </c>
      <c r="U56" s="39">
        <f>$J$3+[36]FormattedData!N17*$J$4+$M$4*$J$5+[36]FormattedData!N17^2*$J$6+$M$5*$J$7</f>
        <v>29.020240880158319</v>
      </c>
      <c r="V56" s="39">
        <f>$J$3+[36]FormattedData!O17*$J$4+$M$4*$J$5+[36]FormattedData!O17^2*$J$6+$M$5*$J$7</f>
        <v>27.353567474719163</v>
      </c>
      <c r="W56" s="38">
        <f>AVERAGE(K56:V56)</f>
        <v>27.86783514089349</v>
      </c>
      <c r="X56" s="37">
        <f>STDEV(K56:V56)/SQRT(COUNT(K56:V56))</f>
        <v>0.26881540605950299</v>
      </c>
      <c r="Y56" s="36">
        <f>MIN(K56:V56)</f>
        <v>26.070810152722057</v>
      </c>
      <c r="Z56" s="35">
        <f>QUARTILE(K56:V56,1)</f>
        <v>27.427350795010245</v>
      </c>
      <c r="AA56" s="36">
        <f>MEDIAN(K56:V56)</f>
        <v>27.746803770775031</v>
      </c>
      <c r="AB56" s="35">
        <f>QUARTILE(K56:V56,3)</f>
        <v>28.163598927748616</v>
      </c>
      <c r="AC56" s="35">
        <f>MAX(K56:V56)</f>
        <v>29.605562023549009</v>
      </c>
      <c r="AD56" s="35">
        <f>SKEW(K56:V56)</f>
        <v>0.17988575787323047</v>
      </c>
      <c r="AE56" s="35">
        <f>KURT(K56:V56)</f>
        <v>0.66550964730295092</v>
      </c>
    </row>
    <row r="57" spans="2:31" x14ac:dyDescent="0.2">
      <c r="B57" s="34">
        <f>[36]FormattedData!A15</f>
        <v>108</v>
      </c>
      <c r="C57" s="34" t="str">
        <f>VLOOKUP($B57,[36]TrtCodes!$B$11:I58,2)</f>
        <v>FTH</v>
      </c>
      <c r="D57" s="34">
        <f>VLOOKUP($B57,[36]TrtCodes!$B$11:J58,3)</f>
        <v>3</v>
      </c>
      <c r="E57" s="34">
        <f>VLOOKUP($B57,[36]TrtCodes!$B$11:K58,4)</f>
        <v>1</v>
      </c>
      <c r="F57" s="34">
        <f>VLOOKUP($B57,[36]TrtCodes!$B$11:L58,5)</f>
        <v>2</v>
      </c>
      <c r="G57" s="34">
        <f>VLOOKUP($B57,[36]TrtCodes!$B$11:M58,6)</f>
        <v>2</v>
      </c>
      <c r="H57" s="34">
        <f>VLOOKUP($B57,[36]TrtCodes!$B$11:N58,7)</f>
        <v>2</v>
      </c>
      <c r="I57" s="34">
        <f>[36]FormattedData!B15</f>
        <v>2</v>
      </c>
      <c r="J57" s="37">
        <f>[36]FormattedData!C15</f>
        <v>12.785</v>
      </c>
      <c r="K57" s="39">
        <f>$J$3+[36]FormattedData!D15*$J$4+$M$4*$J$5+[36]FormattedData!D15^2*$J$6+$M$5*$J$7</f>
        <v>25.97184063280292</v>
      </c>
      <c r="L57" s="39">
        <f>$J$3+[36]FormattedData!E15*$J$4+$M$4*$J$5+[36]FormattedData!E15^2*$J$6+$M$5*$J$7</f>
        <v>26.5650237242488</v>
      </c>
      <c r="M57" s="39">
        <f>$J$3+[36]FormattedData!F15*$J$4+$M$4*$J$5+[36]FormattedData!F15^2*$J$6+$M$5*$J$7</f>
        <v>27.353567474719163</v>
      </c>
      <c r="N57" s="39">
        <f>$J$3+[36]FormattedData!G15*$J$4+$M$4*$J$5+[36]FormattedData!G15^2*$J$6+$M$5*$J$7</f>
        <v>26.26862238694655</v>
      </c>
      <c r="O57" s="39">
        <f>$J$3+[36]FormattedData!H15*$J$4+$M$4*$J$5+[36]FormattedData!H15^2*$J$6+$M$5*$J$7</f>
        <v>28.237445650846588</v>
      </c>
      <c r="P57" s="39">
        <f>$J$3+[36]FormattedData!I15*$J$4+$M$4*$J$5+[36]FormattedData!I15^2*$J$6+$M$5*$J$7</f>
        <v>26.169737404103273</v>
      </c>
      <c r="Q57" s="39">
        <f>$J$3+[36]FormattedData!J15*$J$4+$M$4*$J$5+[36]FormattedData!J15^2*$J$6+$M$5*$J$7</f>
        <v>26.169737404103273</v>
      </c>
      <c r="R57" s="39">
        <f>$J$3+[36]FormattedData!K15*$J$4+$M$4*$J$5+[36]FormattedData!K15^2*$J$6+$M$5*$J$7</f>
        <v>26.070810152722057</v>
      </c>
      <c r="S57" s="39">
        <f>$J$3+[36]FormattedData!L15*$J$4+$M$4*$J$5+[36]FormattedData!L15^2*$J$6+$M$5*$J$7</f>
        <v>27.550280726957443</v>
      </c>
      <c r="T57" s="39">
        <f>$J$3+[36]FormattedData!M15*$J$4+$M$4*$J$5+[36]FormattedData!M15^2*$J$6+$M$5*$J$7</f>
        <v>27.451945235107271</v>
      </c>
      <c r="U57" s="39">
        <f>$J$3+[36]FormattedData!N15*$J$4+$M$4*$J$5+[36]FormattedData!N15^2*$J$6+$M$5*$J$7</f>
        <v>26.959633747787436</v>
      </c>
      <c r="V57" s="39">
        <f>$J$3+[36]FormattedData!O15*$J$4+$M$4*$J$5+[36]FormattedData!O15^2*$J$6+$M$5*$J$7</f>
        <v>27.05818058232726</v>
      </c>
      <c r="W57" s="38">
        <f>AVERAGE(K57:V57)</f>
        <v>26.818902093556005</v>
      </c>
      <c r="X57" s="37">
        <f>STDEV(K57:V57)/SQRT(COUNT(K57:V57))</f>
        <v>0.20958286587280073</v>
      </c>
      <c r="Y57" s="36">
        <f>MIN(K57:V57)</f>
        <v>25.97184063280292</v>
      </c>
      <c r="Z57" s="35">
        <f>QUARTILE(K57:V57,1)</f>
        <v>26.169737404103273</v>
      </c>
      <c r="AA57" s="36">
        <f>MEDIAN(K57:V57)</f>
        <v>26.762328736018119</v>
      </c>
      <c r="AB57" s="35">
        <f>QUARTILE(K57:V57,3)</f>
        <v>27.378161914816189</v>
      </c>
      <c r="AC57" s="35">
        <f>MAX(K57:V57)</f>
        <v>28.237445650846588</v>
      </c>
      <c r="AD57" s="35">
        <f>SKEW(K57:V57)</f>
        <v>0.5450971332609067</v>
      </c>
      <c r="AE57" s="35">
        <f>KURT(K57:V57)</f>
        <v>-0.70957117791345281</v>
      </c>
    </row>
    <row r="58" spans="2:31" x14ac:dyDescent="0.2">
      <c r="B58" s="34">
        <f>[36]FormattedData!A31</f>
        <v>201</v>
      </c>
      <c r="C58" s="34" t="str">
        <f>VLOOKUP($B58,[36]TrtCodes!$B$11:I74,2)</f>
        <v>NDL</v>
      </c>
      <c r="D58" s="34">
        <f>VLOOKUP($B58,[36]TrtCodes!$B$11:J74,3)</f>
        <v>12</v>
      </c>
      <c r="E58" s="34">
        <f>VLOOKUP($B58,[36]TrtCodes!$B$11:K74,4)</f>
        <v>2</v>
      </c>
      <c r="F58" s="34">
        <f>VLOOKUP($B58,[36]TrtCodes!$B$11:L74,5)</f>
        <v>3</v>
      </c>
      <c r="G58" s="34">
        <f>VLOOKUP($B58,[36]TrtCodes!$B$11:M74,6)</f>
        <v>1</v>
      </c>
      <c r="H58" s="34">
        <f>VLOOKUP($B58,[36]TrtCodes!$B$11:N74,7)</f>
        <v>1</v>
      </c>
      <c r="I58" s="34">
        <f>[36]FormattedData!B31</f>
        <v>2</v>
      </c>
      <c r="J58" s="37">
        <f>[36]FormattedData!C31</f>
        <v>12.920999999999999</v>
      </c>
      <c r="K58" s="39">
        <f>$J$3+[36]FormattedData!D31*$J$4+$M$4*$J$5+[36]FormattedData!D31^2*$J$6+$M$5*$J$7</f>
        <v>30.092167258248143</v>
      </c>
      <c r="L58" s="39">
        <f>$J$3+[36]FormattedData!E31*$J$4+$M$4*$J$5+[36]FormattedData!E31^2*$J$6+$M$5*$J$7</f>
        <v>27.05818058232726</v>
      </c>
      <c r="M58" s="39">
        <f>$J$3+[36]FormattedData!F31*$J$4+$M$4*$J$5+[36]FormattedData!F31^2*$J$6+$M$5*$J$7</f>
        <v>29.215517002106939</v>
      </c>
      <c r="N58" s="39">
        <f>$J$3+[36]FormattedData!G31*$J$4+$M$4*$J$5+[36]FormattedData!G31^2*$J$6+$M$5*$J$7</f>
        <v>28.433398069402109</v>
      </c>
      <c r="O58" s="39">
        <f>$J$3+[36]FormattedData!H31*$J$4+$M$4*$J$5+[36]FormattedData!H31^2*$J$6+$M$5*$J$7</f>
        <v>27.05818058232726</v>
      </c>
      <c r="P58" s="39">
        <f>$J$3+[36]FormattedData!I31*$J$4+$M$4*$J$5+[36]FormattedData!I31^2*$J$6+$M$5*$J$7</f>
        <v>29.020240880158319</v>
      </c>
      <c r="Q58" s="39">
        <f>$J$3+[36]FormattedData!J31*$J$4+$M$4*$J$5+[36]FormattedData!J31^2*$J$6+$M$5*$J$7</f>
        <v>27.05818058232726</v>
      </c>
      <c r="R58" s="39">
        <f>$J$3+[36]FormattedData!K31*$J$4+$M$4*$J$5+[36]FormattedData!K31^2*$J$6+$M$5*$J$7</f>
        <v>28.824795684057975</v>
      </c>
      <c r="S58" s="39">
        <f>$J$3+[36]FormattedData!L31*$J$4+$M$4*$J$5+[36]FormattedData!L31^2*$J$6+$M$5*$J$7</f>
        <v>28.335442994393318</v>
      </c>
      <c r="T58" s="39">
        <f>$J$3+[36]FormattedData!M31*$J$4+$M$4*$J$5+[36]FormattedData!M31^2*$J$6+$M$5*$J$7</f>
        <v>27.05818058232726</v>
      </c>
      <c r="U58" s="39">
        <f>$J$3+[36]FormattedData!N31*$J$4+$M$4*$J$5+[36]FormattedData!N31^2*$J$6+$M$5*$J$7</f>
        <v>30.189361499574169</v>
      </c>
      <c r="V58" s="39">
        <f>$J$3+[36]FormattedData!O31*$J$4+$M$4*$J$5+[36]FormattedData!O31^2*$J$6+$M$5*$J$7</f>
        <v>26.762413273093976</v>
      </c>
      <c r="W58" s="38">
        <f>AVERAGE(K58:V58)</f>
        <v>28.258838249195332</v>
      </c>
      <c r="X58" s="37">
        <f>STDEV(K58:V58)/SQRT(COUNT(K58:V58))</f>
        <v>0.35829175680674635</v>
      </c>
      <c r="Y58" s="36">
        <f>MIN(K58:V58)</f>
        <v>26.762413273093976</v>
      </c>
      <c r="Z58" s="35">
        <f>QUARTILE(K58:V58,1)</f>
        <v>27.05818058232726</v>
      </c>
      <c r="AA58" s="36">
        <f>MEDIAN(K58:V58)</f>
        <v>28.384420531897714</v>
      </c>
      <c r="AB58" s="35">
        <f>QUARTILE(K58:V58,3)</f>
        <v>29.069059910645475</v>
      </c>
      <c r="AC58" s="35">
        <f>MAX(K58:V58)</f>
        <v>30.189361499574169</v>
      </c>
      <c r="AD58" s="35">
        <f>SKEW(K58:V58)</f>
        <v>0.26169873612090211</v>
      </c>
      <c r="AE58" s="35">
        <f>KURT(K58:V58)</f>
        <v>-1.3911268259295309</v>
      </c>
    </row>
    <row r="59" spans="2:31" x14ac:dyDescent="0.2">
      <c r="B59" s="34">
        <f>[36]FormattedData!A33</f>
        <v>202</v>
      </c>
      <c r="C59" s="34" t="str">
        <f>VLOOKUP($B59,[36]TrtCodes!$B$11:I76,2)</f>
        <v>NTH</v>
      </c>
      <c r="D59" s="34">
        <f>VLOOKUP($B59,[36]TrtCodes!$B$11:J76,3)</f>
        <v>9</v>
      </c>
      <c r="E59" s="34">
        <f>VLOOKUP($B59,[36]TrtCodes!$B$11:K76,4)</f>
        <v>2</v>
      </c>
      <c r="F59" s="34">
        <f>VLOOKUP($B59,[36]TrtCodes!$B$11:L76,5)</f>
        <v>2</v>
      </c>
      <c r="G59" s="34">
        <f>VLOOKUP($B59,[36]TrtCodes!$B$11:M76,6)</f>
        <v>2</v>
      </c>
      <c r="H59" s="34">
        <f>VLOOKUP($B59,[36]TrtCodes!$B$11:N76,7)</f>
        <v>1</v>
      </c>
      <c r="I59" s="34">
        <f>[36]FormattedData!B33</f>
        <v>2</v>
      </c>
      <c r="J59" s="37">
        <f>[36]FormattedData!C33</f>
        <v>12.936999999999999</v>
      </c>
      <c r="K59" s="39">
        <f>$J$3+[36]FormattedData!D33*$J$4+$M$4*$J$5+[36]FormattedData!D33^2*$J$6+$M$5*$J$7</f>
        <v>27.746824905043997</v>
      </c>
      <c r="L59" s="39">
        <f>$J$3+[36]FormattedData!E33*$J$4+$M$4*$J$5+[36]FormattedData!E33^2*$J$6+$M$5*$J$7</f>
        <v>28.237445650846588</v>
      </c>
      <c r="M59" s="39">
        <f>$J$3+[36]FormattedData!F33*$J$4+$M$4*$J$5+[36]FormattedData!F33^2*$J$6+$M$5*$J$7</f>
        <v>27.353567474719163</v>
      </c>
      <c r="N59" s="39">
        <f>$J$3+[36]FormattedData!G33*$J$4+$M$4*$J$5+[36]FormattedData!G33^2*$J$6+$M$5*$J$7</f>
        <v>29.800330923042459</v>
      </c>
      <c r="O59" s="39">
        <f>$J$3+[36]FormattedData!H33*$J$4+$M$4*$J$5+[36]FormattedData!H33^2*$J$6+$M$5*$J$7</f>
        <v>27.255147445793124</v>
      </c>
      <c r="P59" s="39">
        <f>$J$3+[36]FormattedData!I33*$J$4+$M$4*$J$5+[36]FormattedData!I33^2*$J$6+$M$5*$J$7</f>
        <v>27.451945235107271</v>
      </c>
      <c r="Q59" s="39">
        <f>$J$3+[36]FormattedData!J33*$J$4+$M$4*$J$5+[36]FormattedData!J33^2*$J$6+$M$5*$J$7</f>
        <v>28.824795684057975</v>
      </c>
      <c r="R59" s="39">
        <f>$J$3+[36]FormattedData!K33*$J$4+$M$4*$J$5+[36]FormattedData!K33^2*$J$6+$M$5*$J$7</f>
        <v>27.550280726957443</v>
      </c>
      <c r="S59" s="39">
        <f>$J$3+[36]FormattedData!L33*$J$4+$M$4*$J$5+[36]FormattedData!L33^2*$J$6+$M$5*$J$7</f>
        <v>31.158979143248288</v>
      </c>
      <c r="T59" s="39">
        <f>$J$3+[36]FormattedData!M33*$J$4+$M$4*$J$5+[36]FormattedData!M33^2*$J$6+$M$5*$J$7</f>
        <v>28.629181413805902</v>
      </c>
      <c r="U59" s="39">
        <f>$J$3+[36]FormattedData!N33*$J$4+$M$4*$J$5+[36]FormattedData!N33^2*$J$6+$M$5*$J$7</f>
        <v>29.313091660274353</v>
      </c>
      <c r="V59" s="39">
        <f>$J$3+[36]FormattedData!O33*$J$4+$M$4*$J$5+[36]FormattedData!O33^2*$J$6+$M$5*$J$7</f>
        <v>29.215517002106939</v>
      </c>
      <c r="W59" s="38">
        <f>AVERAGE(K59:V59)</f>
        <v>28.544758938750295</v>
      </c>
      <c r="X59" s="37">
        <f>STDEV(K59:V59)/SQRT(COUNT(K59:V59))</f>
        <v>0.34303471154978665</v>
      </c>
      <c r="Y59" s="36">
        <f>MIN(K59:V59)</f>
        <v>27.255147445793124</v>
      </c>
      <c r="Z59" s="35">
        <f>QUARTILE(K59:V59,1)</f>
        <v>27.525696853994901</v>
      </c>
      <c r="AA59" s="36">
        <f>MEDIAN(K59:V59)</f>
        <v>28.433313532326245</v>
      </c>
      <c r="AB59" s="35">
        <f>QUARTILE(K59:V59,3)</f>
        <v>29.239910666648793</v>
      </c>
      <c r="AC59" s="35">
        <f>MAX(K59:V59)</f>
        <v>31.158979143248288</v>
      </c>
      <c r="AD59" s="35">
        <f>SKEW(K59:V59)</f>
        <v>0.90775496321673266</v>
      </c>
      <c r="AE59" s="35">
        <f>KURT(K59:V59)</f>
        <v>0.49852497451577005</v>
      </c>
    </row>
    <row r="60" spans="2:31" x14ac:dyDescent="0.2">
      <c r="B60" s="34">
        <f>[36]FormattedData!A35</f>
        <v>203</v>
      </c>
      <c r="C60" s="34" t="str">
        <f>VLOOKUP($B60,[36]TrtCodes!$B$11:I78,2)</f>
        <v>FTH</v>
      </c>
      <c r="D60" s="34">
        <f>VLOOKUP($B60,[36]TrtCodes!$B$11:J78,3)</f>
        <v>3</v>
      </c>
      <c r="E60" s="34">
        <f>VLOOKUP($B60,[36]TrtCodes!$B$11:K78,4)</f>
        <v>1</v>
      </c>
      <c r="F60" s="34">
        <f>VLOOKUP($B60,[36]TrtCodes!$B$11:L78,5)</f>
        <v>2</v>
      </c>
      <c r="G60" s="34">
        <f>VLOOKUP($B60,[36]TrtCodes!$B$11:M78,6)</f>
        <v>2</v>
      </c>
      <c r="H60" s="34">
        <f>VLOOKUP($B60,[36]TrtCodes!$B$11:N78,7)</f>
        <v>1</v>
      </c>
      <c r="I60" s="34">
        <f>[36]FormattedData!B35</f>
        <v>2</v>
      </c>
      <c r="J60" s="37">
        <f>[36]FormattedData!C35</f>
        <v>12.951000000000001</v>
      </c>
      <c r="K60" s="39">
        <f>$J$3+[36]FormattedData!D35*$J$4+$M$4*$J$5+[36]FormattedData!D35^2*$J$6+$M$5*$J$7</f>
        <v>27.648573950269686</v>
      </c>
      <c r="L60" s="39">
        <f>$J$3+[36]FormattedData!E35*$J$4+$M$4*$J$5+[36]FormattedData!E35^2*$J$6+$M$5*$J$7</f>
        <v>28.237445650846588</v>
      </c>
      <c r="M60" s="39">
        <f>$J$3+[36]FormattedData!F35*$J$4+$M$4*$J$5+[36]FormattedData!F35^2*$J$6+$M$5*$J$7</f>
        <v>27.05818058232726</v>
      </c>
      <c r="N60" s="39">
        <f>$J$3+[36]FormattedData!G35*$J$4+$M$4*$J$5+[36]FormattedData!G35^2*$J$6+$M$5*$J$7</f>
        <v>28.237445650846588</v>
      </c>
      <c r="O60" s="39">
        <f>$J$3+[36]FormattedData!H35*$J$4+$M$4*$J$5+[36]FormattedData!H35^2*$J$6+$M$5*$J$7</f>
        <v>27.84503359128038</v>
      </c>
      <c r="P60" s="39">
        <f>$J$3+[36]FormattedData!I35*$J$4+$M$4*$J$5+[36]FormattedData!I35^2*$J$6+$M$5*$J$7</f>
        <v>28.824795684057975</v>
      </c>
      <c r="Q60" s="39">
        <f>$J$3+[36]FormattedData!J35*$J$4+$M$4*$J$5+[36]FormattedData!J35^2*$J$6+$M$5*$J$7</f>
        <v>27.746824905043997</v>
      </c>
      <c r="R60" s="39">
        <f>$J$3+[36]FormattedData!K35*$J$4+$M$4*$J$5+[36]FormattedData!K35^2*$J$6+$M$5*$J$7</f>
        <v>28.531310875872972</v>
      </c>
      <c r="S60" s="39">
        <f>$J$3+[36]FormattedData!L35*$J$4+$M$4*$J$5+[36]FormattedData!L35^2*$J$6+$M$5*$J$7</f>
        <v>28.433398069402109</v>
      </c>
      <c r="T60" s="39">
        <f>$J$3+[36]FormattedData!M35*$J$4+$M$4*$J$5+[36]FormattedData!M35^2*$J$6+$M$5*$J$7</f>
        <v>28.335442994393318</v>
      </c>
      <c r="U60" s="39">
        <f>$J$3+[36]FormattedData!N35*$J$4+$M$4*$J$5+[36]FormattedData!N35^2*$J$6+$M$5*$J$7</f>
        <v>28.237445650846588</v>
      </c>
      <c r="V60" s="39">
        <f>$J$3+[36]FormattedData!O35*$J$4+$M$4*$J$5+[36]FormattedData!O35^2*$J$6+$M$5*$J$7</f>
        <v>29.313091660274353</v>
      </c>
      <c r="W60" s="38">
        <f>AVERAGE(K60:V60)</f>
        <v>28.204082438788486</v>
      </c>
      <c r="X60" s="37">
        <f>STDEV(K60:V60)/SQRT(COUNT(K60:V60))</f>
        <v>0.16866513970712971</v>
      </c>
      <c r="Y60" s="36">
        <f>MIN(K60:V60)</f>
        <v>27.05818058232726</v>
      </c>
      <c r="Z60" s="35">
        <f>QUARTILE(K60:V60,1)</f>
        <v>27.820481419721283</v>
      </c>
      <c r="AA60" s="36">
        <f>MEDIAN(K60:V60)</f>
        <v>28.237445650846588</v>
      </c>
      <c r="AB60" s="35">
        <f>QUARTILE(K60:V60,3)</f>
        <v>28.457876271019824</v>
      </c>
      <c r="AC60" s="35">
        <f>MAX(K60:V60)</f>
        <v>29.313091660274353</v>
      </c>
      <c r="AD60" s="35">
        <f>SKEW(K60:V60)</f>
        <v>-9.0459071040399242E-2</v>
      </c>
      <c r="AE60" s="35">
        <f>KURT(K60:V60)</f>
        <v>0.77411680726163645</v>
      </c>
    </row>
    <row r="61" spans="2:31" x14ac:dyDescent="0.2">
      <c r="B61" s="34">
        <f>[36]FormattedData!A37</f>
        <v>204</v>
      </c>
      <c r="C61" s="34" t="str">
        <f>VLOOKUP($B61,[36]TrtCodes!$B$11:I80,2)</f>
        <v>NDH</v>
      </c>
      <c r="D61" s="34">
        <f>VLOOKUP($B61,[36]TrtCodes!$B$11:J80,3)</f>
        <v>11</v>
      </c>
      <c r="E61" s="34">
        <f>VLOOKUP($B61,[36]TrtCodes!$B$11:K80,4)</f>
        <v>2</v>
      </c>
      <c r="F61" s="34">
        <f>VLOOKUP($B61,[36]TrtCodes!$B$11:L80,5)</f>
        <v>3</v>
      </c>
      <c r="G61" s="34">
        <f>VLOOKUP($B61,[36]TrtCodes!$B$11:M80,6)</f>
        <v>2</v>
      </c>
      <c r="H61" s="34">
        <f>VLOOKUP($B61,[36]TrtCodes!$B$11:N80,7)</f>
        <v>1</v>
      </c>
      <c r="I61" s="34">
        <f>[36]FormattedData!B37</f>
        <v>2</v>
      </c>
      <c r="J61" s="37">
        <f>[36]FormattedData!C37</f>
        <v>12.965999999999999</v>
      </c>
      <c r="K61" s="39">
        <f>$J$3+[36]FormattedData!D37*$J$4+$M$4*$J$5+[36]FormattedData!D37^2*$J$6+$M$5*$J$7</f>
        <v>29.117900075401597</v>
      </c>
      <c r="L61" s="39">
        <f>$J$3+[36]FormattedData!E37*$J$4+$M$4*$J$5+[36]FormattedData!E37^2*$J$6+$M$5*$J$7</f>
        <v>28.433398069402109</v>
      </c>
      <c r="M61" s="39">
        <f>$J$3+[36]FormattedData!F37*$J$4+$M$4*$J$5+[36]FormattedData!F37^2*$J$6+$M$5*$J$7</f>
        <v>26.861044644709668</v>
      </c>
      <c r="N61" s="39">
        <f>$J$3+[36]FormattedData!G37*$J$4+$M$4*$J$5+[36]FormattedData!G37^2*$J$6+$M$5*$J$7</f>
        <v>27.05818058232726</v>
      </c>
      <c r="O61" s="39">
        <f>$J$3+[36]FormattedData!H37*$J$4+$M$4*$J$5+[36]FormattedData!H37^2*$J$6+$M$5*$J$7</f>
        <v>29.410624049903838</v>
      </c>
      <c r="P61" s="39">
        <f>$J$3+[36]FormattedData!I37*$J$4+$M$4*$J$5+[36]FormattedData!I37^2*$J$6+$M$5*$J$7</f>
        <v>29.410624049903838</v>
      </c>
      <c r="Q61" s="39">
        <f>$J$3+[36]FormattedData!J37*$J$4+$M$4*$J$5+[36]FormattedData!J37^2*$J$6+$M$5*$J$7</f>
        <v>29.117900075401597</v>
      </c>
      <c r="R61" s="39">
        <f>$J$3+[36]FormattedData!K37*$J$4+$M$4*$J$5+[36]FormattedData!K37^2*$J$6+$M$5*$J$7</f>
        <v>29.117900075401597</v>
      </c>
      <c r="S61" s="39">
        <f>$J$3+[36]FormattedData!L37*$J$4+$M$4*$J$5+[36]FormattedData!L37^2*$J$6+$M$5*$J$7</f>
        <v>27.550280726957443</v>
      </c>
      <c r="T61" s="39">
        <f>$J$3+[36]FormattedData!M37*$J$4+$M$4*$J$5+[36]FormattedData!M37^2*$J$6+$M$5*$J$7</f>
        <v>28.237445650846588</v>
      </c>
      <c r="U61" s="39">
        <f>$J$3+[36]FormattedData!N37*$J$4+$M$4*$J$5+[36]FormattedData!N37^2*$J$6+$M$5*$J$7</f>
        <v>28.824795684057975</v>
      </c>
      <c r="V61" s="39">
        <f>$J$3+[36]FormattedData!O37*$J$4+$M$4*$J$5+[36]FormattedData!O37^2*$J$6+$M$5*$J$7</f>
        <v>28.824795684057975</v>
      </c>
      <c r="W61" s="38">
        <f>AVERAGE(K61:V61)</f>
        <v>28.497074114030955</v>
      </c>
      <c r="X61" s="37">
        <f>STDEV(K61:V61)/SQRT(COUNT(K61:V61))</f>
        <v>0.25753950511834683</v>
      </c>
      <c r="Y61" s="36">
        <f>MIN(K61:V61)</f>
        <v>26.861044644709668</v>
      </c>
      <c r="Z61" s="35">
        <f>QUARTILE(K61:V61,1)</f>
        <v>28.065654419874303</v>
      </c>
      <c r="AA61" s="36">
        <f>MEDIAN(K61:V61)</f>
        <v>28.824795684057975</v>
      </c>
      <c r="AB61" s="35">
        <f>QUARTILE(K61:V61,3)</f>
        <v>29.117900075401597</v>
      </c>
      <c r="AC61" s="35">
        <f>MAX(K61:V61)</f>
        <v>29.410624049903838</v>
      </c>
      <c r="AD61" s="35">
        <f>SKEW(K61:V61)</f>
        <v>-0.90819993218914852</v>
      </c>
      <c r="AE61" s="35">
        <f>KURT(K61:V61)</f>
        <v>-0.52091764295333753</v>
      </c>
    </row>
    <row r="62" spans="2:31" x14ac:dyDescent="0.2">
      <c r="B62" s="34">
        <f>[36]FormattedData!A39</f>
        <v>205</v>
      </c>
      <c r="C62" s="34" t="str">
        <f>VLOOKUP($B62,[36]TrtCodes!$B$11:I82,2)</f>
        <v>FSH</v>
      </c>
      <c r="D62" s="34">
        <f>VLOOKUP($B62,[36]TrtCodes!$B$11:J82,3)</f>
        <v>1</v>
      </c>
      <c r="E62" s="34">
        <f>VLOOKUP($B62,[36]TrtCodes!$B$11:K82,4)</f>
        <v>1</v>
      </c>
      <c r="F62" s="34">
        <f>VLOOKUP($B62,[36]TrtCodes!$B$11:L82,5)</f>
        <v>1</v>
      </c>
      <c r="G62" s="34">
        <f>VLOOKUP($B62,[36]TrtCodes!$B$11:M82,6)</f>
        <v>2</v>
      </c>
      <c r="H62" s="34">
        <f>VLOOKUP($B62,[36]TrtCodes!$B$11:N82,7)</f>
        <v>2</v>
      </c>
      <c r="I62" s="34">
        <f>[36]FormattedData!B39</f>
        <v>2</v>
      </c>
      <c r="J62" s="37">
        <f>[36]FormattedData!C39</f>
        <v>12.983000000000001</v>
      </c>
      <c r="K62" s="39">
        <f>$J$3+[36]FormattedData!D39*$J$4+$M$4*$J$5+[36]FormattedData!D39^2*$J$6+$M$5*$J$7</f>
        <v>26.861044644709668</v>
      </c>
      <c r="L62" s="39">
        <f>$J$3+[36]FormattedData!E39*$J$4+$M$4*$J$5+[36]FormattedData!E39^2*$J$6+$M$5*$J$7</f>
        <v>27.451945235107271</v>
      </c>
      <c r="M62" s="39">
        <f>$J$3+[36]FormattedData!F39*$J$4+$M$4*$J$5+[36]FormattedData!F39^2*$J$6+$M$5*$J$7</f>
        <v>27.648573950269686</v>
      </c>
      <c r="N62" s="39">
        <f>$J$3+[36]FormattedData!G39*$J$4+$M$4*$J$5+[36]FormattedData!G39^2*$J$6+$M$5*$J$7</f>
        <v>26.762413273093976</v>
      </c>
      <c r="O62" s="39">
        <f>$J$3+[36]FormattedData!H39*$J$4+$M$4*$J$5+[36]FormattedData!H39^2*$J$6+$M$5*$J$7</f>
        <v>27.746824905043997</v>
      </c>
      <c r="P62" s="39">
        <f>$J$3+[36]FormattedData!I39*$J$4+$M$4*$J$5+[36]FormattedData!I39^2*$J$6+$M$5*$J$7</f>
        <v>28.433398069402109</v>
      </c>
      <c r="Q62" s="39">
        <f>$J$3+[36]FormattedData!J39*$J$4+$M$4*$J$5+[36]FormattedData!J39^2*$J$6+$M$5*$J$7</f>
        <v>27.84503359128038</v>
      </c>
      <c r="R62" s="39">
        <f>$J$3+[36]FormattedData!K39*$J$4+$M$4*$J$5+[36]FormattedData!K39^2*$J$6+$M$5*$J$7</f>
        <v>27.451945235107271</v>
      </c>
      <c r="S62" s="39">
        <f>$J$3+[36]FormattedData!L39*$J$4+$M$4*$J$5+[36]FormattedData!L39^2*$J$6+$M$5*$J$7</f>
        <v>27.255147445793124</v>
      </c>
      <c r="T62" s="39">
        <f>$J$3+[36]FormattedData!M39*$J$4+$M$4*$J$5+[36]FormattedData!M39^2*$J$6+$M$5*$J$7</f>
        <v>28.433398069402109</v>
      </c>
      <c r="U62" s="39">
        <f>$J$3+[36]FormattedData!N39*$J$4+$M$4*$J$5+[36]FormattedData!N39^2*$J$6+$M$5*$J$7</f>
        <v>26.959633747787436</v>
      </c>
      <c r="V62" s="39">
        <f>$J$3+[36]FormattedData!O39*$J$4+$M$4*$J$5+[36]FormattedData!O39^2*$J$6+$M$5*$J$7</f>
        <v>27.943200008978831</v>
      </c>
      <c r="W62" s="38">
        <f>AVERAGE(K62:V62)</f>
        <v>27.566046514664652</v>
      </c>
      <c r="X62" s="37">
        <f>STDEV(K62:V62)/SQRT(COUNT(K62:V62))</f>
        <v>0.16043157922120729</v>
      </c>
      <c r="Y62" s="36">
        <f>MIN(K62:V62)</f>
        <v>26.762413273093976</v>
      </c>
      <c r="Z62" s="35">
        <f>QUARTILE(K62:V62,1)</f>
        <v>27.181269021291701</v>
      </c>
      <c r="AA62" s="36">
        <f>MEDIAN(K62:V62)</f>
        <v>27.550259592688477</v>
      </c>
      <c r="AB62" s="35">
        <f>QUARTILE(K62:V62,3)</f>
        <v>27.869575195704993</v>
      </c>
      <c r="AC62" s="35">
        <f>MAX(K62:V62)</f>
        <v>28.433398069402109</v>
      </c>
      <c r="AD62" s="35">
        <f>SKEW(K62:V62)</f>
        <v>0.16613986530462838</v>
      </c>
      <c r="AE62" s="35">
        <f>KURT(K62:V62)</f>
        <v>-0.78193300792970932</v>
      </c>
    </row>
    <row r="63" spans="2:31" x14ac:dyDescent="0.2">
      <c r="B63" s="34">
        <f>[36]FormattedData!A41</f>
        <v>206</v>
      </c>
      <c r="C63" s="34" t="str">
        <f>VLOOKUP($B63,[36]TrtCodes!$B$11:I84,2)</f>
        <v>NSL</v>
      </c>
      <c r="D63" s="34">
        <f>VLOOKUP($B63,[36]TrtCodes!$B$11:J84,3)</f>
        <v>8</v>
      </c>
      <c r="E63" s="34">
        <f>VLOOKUP($B63,[36]TrtCodes!$B$11:K84,4)</f>
        <v>2</v>
      </c>
      <c r="F63" s="34">
        <f>VLOOKUP($B63,[36]TrtCodes!$B$11:L84,5)</f>
        <v>1</v>
      </c>
      <c r="G63" s="34">
        <f>VLOOKUP($B63,[36]TrtCodes!$B$11:M84,6)</f>
        <v>1</v>
      </c>
      <c r="H63" s="34">
        <f>VLOOKUP($B63,[36]TrtCodes!$B$11:N84,7)</f>
        <v>2</v>
      </c>
      <c r="I63" s="34">
        <f>[36]FormattedData!B41</f>
        <v>2</v>
      </c>
      <c r="J63" s="37">
        <f>[36]FormattedData!C41</f>
        <v>12.997999999999999</v>
      </c>
      <c r="K63" s="39">
        <f>$J$3+[36]FormattedData!D41*$J$4+$M$4*$J$5+[36]FormattedData!D41^2*$J$6+$M$5*$J$7</f>
        <v>30.771639308233819</v>
      </c>
      <c r="L63" s="39">
        <f>$J$3+[36]FormattedData!E41*$J$4+$M$4*$J$5+[36]FormattedData!E41^2*$J$6+$M$5*$J$7</f>
        <v>28.922539416377113</v>
      </c>
      <c r="M63" s="39">
        <f>$J$3+[36]FormattedData!F41*$J$4+$M$4*$J$5+[36]FormattedData!F41^2*$J$6+$M$5*$J$7</f>
        <v>27.943200008978831</v>
      </c>
      <c r="N63" s="39">
        <f>$J$3+[36]FormattedData!G41*$J$4+$M$4*$J$5+[36]FormattedData!G41^2*$J$6+$M$5*$J$7</f>
        <v>28.727009683200905</v>
      </c>
      <c r="O63" s="39">
        <f>$J$3+[36]FormattedData!H41*$J$4+$M$4*$J$5+[36]FormattedData!H41^2*$J$6+$M$5*$J$7</f>
        <v>29.410624049903838</v>
      </c>
      <c r="P63" s="39">
        <f>$J$3+[36]FormattedData!I41*$J$4+$M$4*$J$5+[36]FormattedData!I41^2*$J$6+$M$5*$J$7</f>
        <v>29.020240880158319</v>
      </c>
      <c r="Q63" s="39">
        <f>$J$3+[36]FormattedData!J41*$J$4+$M$4*$J$5+[36]FormattedData!J41^2*$J$6+$M$5*$J$7</f>
        <v>28.433398069402109</v>
      </c>
      <c r="R63" s="39">
        <f>$J$3+[36]FormattedData!K41*$J$4+$M$4*$J$5+[36]FormattedData!K41^2*$J$6+$M$5*$J$7</f>
        <v>28.237445650846588</v>
      </c>
      <c r="S63" s="39">
        <f>$J$3+[36]FormattedData!L41*$J$4+$M$4*$J$5+[36]FormattedData!L41^2*$J$6+$M$5*$J$7</f>
        <v>30.286513472362277</v>
      </c>
      <c r="T63" s="39">
        <f>$J$3+[36]FormattedData!M41*$J$4+$M$4*$J$5+[36]FormattedData!M41^2*$J$6+$M$5*$J$7</f>
        <v>32.41316293360395</v>
      </c>
      <c r="U63" s="39">
        <f>$J$3+[36]FormattedData!N41*$J$4+$M$4*$J$5+[36]FormattedData!N41^2*$J$6+$M$5*$J$7</f>
        <v>30.383623176612446</v>
      </c>
      <c r="V63" s="39">
        <f>$J$3+[36]FormattedData!O41*$J$4+$M$4*$J$5+[36]FormattedData!O41^2*$J$6+$M$5*$J$7</f>
        <v>34.042470951511973</v>
      </c>
      <c r="W63" s="38">
        <f>AVERAGE(K63:V63)</f>
        <v>29.882655633432677</v>
      </c>
      <c r="X63" s="37">
        <f>STDEV(K63:V63)/SQRT(COUNT(K63:V63))</f>
        <v>0.52731709102415425</v>
      </c>
      <c r="Y63" s="36">
        <f>MIN(K63:V63)</f>
        <v>27.943200008978831</v>
      </c>
      <c r="Z63" s="35">
        <f>QUARTILE(K63:V63,1)</f>
        <v>28.653606779751208</v>
      </c>
      <c r="AA63" s="36">
        <f>MEDIAN(K63:V63)</f>
        <v>29.215432465031078</v>
      </c>
      <c r="AB63" s="35">
        <f>QUARTILE(K63:V63,3)</f>
        <v>30.480627209517788</v>
      </c>
      <c r="AC63" s="35">
        <f>MAX(K63:V63)</f>
        <v>34.042470951511973</v>
      </c>
      <c r="AD63" s="35">
        <f>SKEW(K63:V63)</f>
        <v>1.2727623299859276</v>
      </c>
      <c r="AE63" s="35">
        <f>KURT(K63:V63)</f>
        <v>1.2070165271950426</v>
      </c>
    </row>
    <row r="64" spans="2:31" x14ac:dyDescent="0.2">
      <c r="B64" s="34">
        <f>[36]FormattedData!A43</f>
        <v>207</v>
      </c>
      <c r="C64" s="34" t="str">
        <f>VLOOKUP($B64,[36]TrtCodes!$B$11:I86,2)</f>
        <v>FTL</v>
      </c>
      <c r="D64" s="34">
        <f>VLOOKUP($B64,[36]TrtCodes!$B$11:J86,3)</f>
        <v>4</v>
      </c>
      <c r="E64" s="34">
        <f>VLOOKUP($B64,[36]TrtCodes!$B$11:K86,4)</f>
        <v>1</v>
      </c>
      <c r="F64" s="34">
        <f>VLOOKUP($B64,[36]TrtCodes!$B$11:L86,5)</f>
        <v>2</v>
      </c>
      <c r="G64" s="34">
        <f>VLOOKUP($B64,[36]TrtCodes!$B$11:M86,6)</f>
        <v>1</v>
      </c>
      <c r="H64" s="34">
        <f>VLOOKUP($B64,[36]TrtCodes!$B$11:N86,7)</f>
        <v>2</v>
      </c>
      <c r="I64" s="34">
        <f>[36]FormattedData!B43</f>
        <v>2</v>
      </c>
      <c r="J64" s="37">
        <f>[36]FormattedData!C43</f>
        <v>13.016</v>
      </c>
      <c r="K64" s="39">
        <f>$J$3+[36]FormattedData!D43*$J$4+$M$4*$J$5+[36]FormattedData!D43^2*$J$6+$M$5*$J$7</f>
        <v>26.959633747787436</v>
      </c>
      <c r="L64" s="39">
        <f>$J$3+[36]FormattedData!E43*$J$4+$M$4*$J$5+[36]FormattedData!E43^2*$J$6+$M$5*$J$7</f>
        <v>27.15668514832916</v>
      </c>
      <c r="M64" s="39">
        <f>$J$3+[36]FormattedData!F43*$J$4+$M$4*$J$5+[36]FormattedData!F43^2*$J$6+$M$5*$J$7</f>
        <v>31.062207587301572</v>
      </c>
      <c r="N64" s="39">
        <f>$J$3+[36]FormattedData!G43*$J$4+$M$4*$J$5+[36]FormattedData!G43^2*$J$6+$M$5*$J$7</f>
        <v>26.762413273093976</v>
      </c>
      <c r="O64" s="39">
        <f>$J$3+[36]FormattedData!H43*$J$4+$M$4*$J$5+[36]FormattedData!H43^2*$J$6+$M$5*$J$7</f>
        <v>27.943200008978831</v>
      </c>
      <c r="P64" s="39">
        <f>$J$3+[36]FormattedData!I43*$J$4+$M$4*$J$5+[36]FormattedData!I43^2*$J$6+$M$5*$J$7</f>
        <v>27.353567474719163</v>
      </c>
      <c r="Q64" s="39">
        <f>$J$3+[36]FormattedData!J43*$J$4+$M$4*$J$5+[36]FormattedData!J43^2*$J$6+$M$5*$J$7</f>
        <v>32.989607684029096</v>
      </c>
      <c r="R64" s="39">
        <f>$J$3+[36]FormattedData!K43*$J$4+$M$4*$J$5+[36]FormattedData!K43^2*$J$6+$M$5*$J$7</f>
        <v>27.943200008978831</v>
      </c>
      <c r="S64" s="39">
        <f>$J$3+[36]FormattedData!L43*$J$4+$M$4*$J$5+[36]FormattedData!L43^2*$J$6+$M$5*$J$7</f>
        <v>28.237445650846588</v>
      </c>
      <c r="T64" s="39">
        <f>$J$3+[36]FormattedData!M43*$J$4+$M$4*$J$5+[36]FormattedData!M43^2*$J$6+$M$5*$J$7</f>
        <v>26.762413273093976</v>
      </c>
      <c r="U64" s="39">
        <f>$J$3+[36]FormattedData!N43*$J$4+$M$4*$J$5+[36]FormattedData!N43^2*$J$6+$M$5*$J$7</f>
        <v>28.335442994393318</v>
      </c>
      <c r="V64" s="39">
        <f>$J$3+[36]FormattedData!O43*$J$4+$M$4*$J$5+[36]FormattedData!O43^2*$J$6+$M$5*$J$7</f>
        <v>28.922539416377113</v>
      </c>
      <c r="W64" s="38">
        <f>AVERAGE(K64:V64)</f>
        <v>28.369029688994086</v>
      </c>
      <c r="X64" s="37">
        <f>STDEV(K64:V64)/SQRT(COUNT(K64:V64))</f>
        <v>0.54314040406041264</v>
      </c>
      <c r="Y64" s="36">
        <f>MIN(K64:V64)</f>
        <v>26.762413273093976</v>
      </c>
      <c r="Z64" s="35">
        <f>QUARTILE(K64:V64,1)</f>
        <v>27.107422298193729</v>
      </c>
      <c r="AA64" s="36">
        <f>MEDIAN(K64:V64)</f>
        <v>27.943200008978831</v>
      </c>
      <c r="AB64" s="35">
        <f>QUARTILE(K64:V64,3)</f>
        <v>28.482217099889269</v>
      </c>
      <c r="AC64" s="35">
        <f>MAX(K64:V64)</f>
        <v>32.989607684029096</v>
      </c>
      <c r="AD64" s="35">
        <f>SKEW(K64:V64)</f>
        <v>1.7078516168046221</v>
      </c>
      <c r="AE64" s="35">
        <f>KURT(K64:V64)</f>
        <v>2.6193332419552018</v>
      </c>
    </row>
    <row r="65" spans="2:31" x14ac:dyDescent="0.2">
      <c r="B65" s="34">
        <f>[36]FormattedData!A45</f>
        <v>208</v>
      </c>
      <c r="C65" s="34" t="str">
        <f>VLOOKUP($B65,[36]TrtCodes!$B$11:I88,2)</f>
        <v>FSL</v>
      </c>
      <c r="D65" s="34">
        <f>VLOOKUP($B65,[36]TrtCodes!$B$11:J88,3)</f>
        <v>2</v>
      </c>
      <c r="E65" s="34">
        <f>VLOOKUP($B65,[36]TrtCodes!$B$11:K88,4)</f>
        <v>1</v>
      </c>
      <c r="F65" s="34">
        <f>VLOOKUP($B65,[36]TrtCodes!$B$11:L88,5)</f>
        <v>1</v>
      </c>
      <c r="G65" s="34">
        <f>VLOOKUP($B65,[36]TrtCodes!$B$11:M88,6)</f>
        <v>1</v>
      </c>
      <c r="H65" s="34">
        <f>VLOOKUP($B65,[36]TrtCodes!$B$11:N88,7)</f>
        <v>2</v>
      </c>
      <c r="I65" s="34">
        <f>[36]FormattedData!B45</f>
        <v>2</v>
      </c>
      <c r="J65" s="37">
        <f>[36]FormattedData!C45</f>
        <v>13.035</v>
      </c>
      <c r="K65" s="39">
        <f>$J$3+[36]FormattedData!D45*$J$4+$M$4*$J$5+[36]FormattedData!D45^2*$J$6+$M$5*$J$7</f>
        <v>27.255147445793124</v>
      </c>
      <c r="L65" s="39">
        <f>$J$3+[36]FormattedData!E45*$J$4+$M$4*$J$5+[36]FormattedData!E45^2*$J$6+$M$5*$J$7</f>
        <v>28.139406038761933</v>
      </c>
      <c r="M65" s="39">
        <f>$J$3+[36]FormattedData!F45*$J$4+$M$4*$J$5+[36]FormattedData!F45^2*$J$6+$M$5*$J$7</f>
        <v>28.629181413805902</v>
      </c>
      <c r="N65" s="39">
        <f>$J$3+[36]FormattedData!G45*$J$4+$M$4*$J$5+[36]FormattedData!G45^2*$J$6+$M$5*$J$7</f>
        <v>26.26862238694655</v>
      </c>
      <c r="O65" s="39">
        <f>$J$3+[36]FormattedData!H45*$J$4+$M$4*$J$5+[36]FormattedData!H45^2*$J$6+$M$5*$J$7</f>
        <v>28.922539416377113</v>
      </c>
      <c r="P65" s="39">
        <f>$J$3+[36]FormattedData!I45*$J$4+$M$4*$J$5+[36]FormattedData!I45^2*$J$6+$M$5*$J$7</f>
        <v>29.313091660274353</v>
      </c>
      <c r="Q65" s="39">
        <f>$J$3+[36]FormattedData!J45*$J$4+$M$4*$J$5+[36]FormattedData!J45^2*$J$6+$M$5*$J$7</f>
        <v>27.550280726957443</v>
      </c>
      <c r="R65" s="39">
        <f>$J$3+[36]FormattedData!K45*$J$4+$M$4*$J$5+[36]FormattedData!K45^2*$J$6+$M$5*$J$7</f>
        <v>28.139406038761933</v>
      </c>
      <c r="S65" s="39">
        <f>$J$3+[36]FormattedData!L45*$J$4+$M$4*$J$5+[36]FormattedData!L45^2*$J$6+$M$5*$J$7</f>
        <v>27.255147445793124</v>
      </c>
      <c r="T65" s="39">
        <f>$J$3+[36]FormattedData!M45*$J$4+$M$4*$J$5+[36]FormattedData!M45^2*$J$6+$M$5*$J$7</f>
        <v>27.550280726957443</v>
      </c>
      <c r="U65" s="39">
        <f>$J$3+[36]FormattedData!N45*$J$4+$M$4*$J$5+[36]FormattedData!N45^2*$J$6+$M$5*$J$7</f>
        <v>28.922539416377113</v>
      </c>
      <c r="V65" s="39">
        <f>$J$3+[36]FormattedData!O45*$J$4+$M$4*$J$5+[36]FormattedData!O45^2*$J$6+$M$5*$J$7</f>
        <v>27.353567474719163</v>
      </c>
      <c r="W65" s="38">
        <f>AVERAGE(K65:V65)</f>
        <v>27.941600849293767</v>
      </c>
      <c r="X65" s="37">
        <f>STDEV(K65:V65)/SQRT(COUNT(K65:V65))</f>
        <v>0.2574618009292432</v>
      </c>
      <c r="Y65" s="36">
        <f>MIN(K65:V65)</f>
        <v>26.26862238694655</v>
      </c>
      <c r="Z65" s="35">
        <f>QUARTILE(K65:V65,1)</f>
        <v>27.328962467487653</v>
      </c>
      <c r="AA65" s="36">
        <f>MEDIAN(K65:V65)</f>
        <v>27.844843382859686</v>
      </c>
      <c r="AB65" s="35">
        <f>QUARTILE(K65:V65,3)</f>
        <v>28.702520914448705</v>
      </c>
      <c r="AC65" s="35">
        <f>MAX(K65:V65)</f>
        <v>29.313091660274353</v>
      </c>
      <c r="AD65" s="35">
        <f>SKEW(K65:V65)</f>
        <v>-0.12985254945190156</v>
      </c>
      <c r="AE65" s="35">
        <f>KURT(K65:V65)</f>
        <v>-0.53161485089954308</v>
      </c>
    </row>
    <row r="66" spans="2:31" x14ac:dyDescent="0.2">
      <c r="B66" s="34">
        <f>[36]FormattedData!A63</f>
        <v>301</v>
      </c>
      <c r="C66" s="34" t="str">
        <f>VLOOKUP($B66,[36]TrtCodes!$B$11:I106,2)</f>
        <v>NTL</v>
      </c>
      <c r="D66" s="34">
        <f>VLOOKUP($B66,[36]TrtCodes!$B$11:J106,3)</f>
        <v>10</v>
      </c>
      <c r="E66" s="34">
        <f>VLOOKUP($B66,[36]TrtCodes!$B$11:K106,4)</f>
        <v>2</v>
      </c>
      <c r="F66" s="34">
        <f>VLOOKUP($B66,[36]TrtCodes!$B$11:L106,5)</f>
        <v>2</v>
      </c>
      <c r="G66" s="34">
        <f>VLOOKUP($B66,[36]TrtCodes!$B$11:M106,6)</f>
        <v>1</v>
      </c>
      <c r="H66" s="34">
        <f>VLOOKUP($B66,[36]TrtCodes!$B$11:N106,7)</f>
        <v>3</v>
      </c>
      <c r="I66" s="34">
        <f>[36]FormattedData!B63</f>
        <v>2</v>
      </c>
      <c r="J66" s="37">
        <f>[36]FormattedData!C63</f>
        <v>13.148999999999999</v>
      </c>
      <c r="K66" s="39">
        <f>$J$3+[36]FormattedData!D63*$J$4+$M$4*$J$5+[36]FormattedData!D63^2*$J$6+$M$5*$J$7</f>
        <v>32.893639230303066</v>
      </c>
      <c r="L66" s="39">
        <f>$J$3+[36]FormattedData!E63*$J$4+$M$4*$J$5+[36]FormattedData!E63^2*$J$6+$M$5*$J$7</f>
        <v>27.746824905043997</v>
      </c>
      <c r="M66" s="39">
        <f>$J$3+[36]FormattedData!F63*$J$4+$M$4*$J$5+[36]FormattedData!F63^2*$J$6+$M$5*$J$7</f>
        <v>28.727009683200905</v>
      </c>
      <c r="N66" s="39">
        <f>$J$3+[36]FormattedData!G63*$J$4+$M$4*$J$5+[36]FormattedData!G63^2*$J$6+$M$5*$J$7</f>
        <v>28.922539416377113</v>
      </c>
      <c r="O66" s="39">
        <f>$J$3+[36]FormattedData!H63*$J$4+$M$4*$J$5+[36]FormattedData!H63^2*$J$6+$M$5*$J$7</f>
        <v>27.943200008978831</v>
      </c>
      <c r="P66" s="39">
        <f>$J$3+[36]FormattedData!I63*$J$4+$M$4*$J$5+[36]FormattedData!I63^2*$J$6+$M$5*$J$7</f>
        <v>27.648573950269686</v>
      </c>
      <c r="Q66" s="39">
        <f>$J$3+[36]FormattedData!J63*$J$4+$M$4*$J$5+[36]FormattedData!J63^2*$J$6+$M$5*$J$7</f>
        <v>28.335442994393318</v>
      </c>
      <c r="R66" s="39">
        <f>$J$3+[36]FormattedData!K63*$J$4+$M$4*$J$5+[36]FormattedData!K63^2*$J$6+$M$5*$J$7</f>
        <v>28.139406038761933</v>
      </c>
      <c r="S66" s="39">
        <f>$J$3+[36]FormattedData!L63*$J$4+$M$4*$J$5+[36]FormattedData!L63^2*$J$6+$M$5*$J$7</f>
        <v>32.70157551723721</v>
      </c>
      <c r="T66" s="39">
        <f>$J$3+[36]FormattedData!M63*$J$4+$M$4*$J$5+[36]FormattedData!M63^2*$J$6+$M$5*$J$7</f>
        <v>29.410624049903838</v>
      </c>
      <c r="U66" s="39">
        <f>$J$3+[36]FormattedData!N63*$J$4+$M$4*$J$5+[36]FormattedData!N63^2*$J$6+$M$5*$J$7</f>
        <v>28.335442994393318</v>
      </c>
      <c r="V66" s="39">
        <f>$J$3+[36]FormattedData!O63*$J$4+$M$4*$J$5+[36]FormattedData!O63^2*$J$6+$M$5*$J$7</f>
        <v>29.800330923042459</v>
      </c>
      <c r="W66" s="38">
        <f>AVERAGE(K66:V66)</f>
        <v>29.217050809325471</v>
      </c>
      <c r="X66" s="37">
        <f>STDEV(K66:V66)/SQRT(COUNT(K66:V66))</f>
        <v>0.51730611265045134</v>
      </c>
      <c r="Y66" s="36">
        <f>MIN(K66:V66)</f>
        <v>27.648573950269686</v>
      </c>
      <c r="Z66" s="35">
        <f>QUARTILE(K66:V66,1)</f>
        <v>28.090354531316159</v>
      </c>
      <c r="AA66" s="36">
        <f>MEDIAN(K66:V66)</f>
        <v>28.531226338797111</v>
      </c>
      <c r="AB66" s="35">
        <f>QUARTILE(K66:V66,3)</f>
        <v>29.508050768188493</v>
      </c>
      <c r="AC66" s="35">
        <f>MAX(K66:V66)</f>
        <v>32.893639230303066</v>
      </c>
      <c r="AD66" s="35">
        <f>SKEW(K66:V66)</f>
        <v>1.5230810371057431</v>
      </c>
      <c r="AE66" s="35">
        <f>KURT(K66:V66)</f>
        <v>1.2573793773773794</v>
      </c>
    </row>
    <row r="67" spans="2:31" x14ac:dyDescent="0.2">
      <c r="B67" s="34">
        <f>[36]FormattedData!A65</f>
        <v>302</v>
      </c>
      <c r="C67" s="34" t="str">
        <f>VLOOKUP($B67,[36]TrtCodes!$B$11:I108,2)</f>
        <v>FTL</v>
      </c>
      <c r="D67" s="34">
        <f>VLOOKUP($B67,[36]TrtCodes!$B$11:J108,3)</f>
        <v>4</v>
      </c>
      <c r="E67" s="34">
        <f>VLOOKUP($B67,[36]TrtCodes!$B$11:K108,4)</f>
        <v>1</v>
      </c>
      <c r="F67" s="34">
        <f>VLOOKUP($B67,[36]TrtCodes!$B$11:L108,5)</f>
        <v>2</v>
      </c>
      <c r="G67" s="34">
        <f>VLOOKUP($B67,[36]TrtCodes!$B$11:M108,6)</f>
        <v>1</v>
      </c>
      <c r="H67" s="34">
        <f>VLOOKUP($B67,[36]TrtCodes!$B$11:N108,7)</f>
        <v>3</v>
      </c>
      <c r="I67" s="34">
        <f>[36]FormattedData!B65</f>
        <v>2</v>
      </c>
      <c r="J67" s="37">
        <f>[36]FormattedData!C65</f>
        <v>13.164</v>
      </c>
      <c r="K67" s="39">
        <f>$J$3+[36]FormattedData!D65*$J$4+$M$4*$J$5+[36]FormattedData!D65^2*$J$6+$M$5*$J$7</f>
        <v>26.959633747787436</v>
      </c>
      <c r="L67" s="39">
        <f>$J$3+[36]FormattedData!E65*$J$4+$M$4*$J$5+[36]FormattedData!E65^2*$J$6+$M$5*$J$7</f>
        <v>27.550280726957443</v>
      </c>
      <c r="M67" s="39">
        <f>$J$3+[36]FormattedData!F65*$J$4+$M$4*$J$5+[36]FormattedData!F65^2*$J$6+$M$5*$J$7</f>
        <v>26.861044644709668</v>
      </c>
      <c r="N67" s="39">
        <f>$J$3+[36]FormattedData!G65*$J$4+$M$4*$J$5+[36]FormattedData!G65^2*$J$6+$M$5*$J$7</f>
        <v>27.648573950269686</v>
      </c>
      <c r="O67" s="39">
        <f>$J$3+[36]FormattedData!H65*$J$4+$M$4*$J$5+[36]FormattedData!H65^2*$J$6+$M$5*$J$7</f>
        <v>26.762413273093976</v>
      </c>
      <c r="P67" s="39">
        <f>$J$3+[36]FormattedData!I65*$J$4+$M$4*$J$5+[36]FormattedData!I65^2*$J$6+$M$5*$J$7</f>
        <v>25.97184063280292</v>
      </c>
      <c r="Q67" s="39">
        <f>$J$3+[36]FormattedData!J65*$J$4+$M$4*$J$5+[36]FormattedData!J65^2*$J$6+$M$5*$J$7</f>
        <v>26.959633747787436</v>
      </c>
      <c r="R67" s="39">
        <f>$J$3+[36]FormattedData!K65*$J$4+$M$4*$J$5+[36]FormattedData!K65^2*$J$6+$M$5*$J$7</f>
        <v>26.466265547019315</v>
      </c>
      <c r="S67" s="39">
        <f>$J$3+[36]FormattedData!L65*$J$4+$M$4*$J$5+[36]FormattedData!L65^2*$J$6+$M$5*$J$7</f>
        <v>26.5650237242488</v>
      </c>
      <c r="T67" s="39">
        <f>$J$3+[36]FormattedData!M65*$J$4+$M$4*$J$5+[36]FormattedData!M65^2*$J$6+$M$5*$J$7</f>
        <v>27.943200008978831</v>
      </c>
      <c r="U67" s="39">
        <f>$J$3+[36]FormattedData!N65*$J$4+$M$4*$J$5+[36]FormattedData!N65^2*$J$6+$M$5*$J$7</f>
        <v>27.15668514832916</v>
      </c>
      <c r="V67" s="39">
        <f>$J$3+[36]FormattedData!O65*$J$4+$M$4*$J$5+[36]FormattedData!O65^2*$J$6+$M$5*$J$7</f>
        <v>27.451945235107271</v>
      </c>
      <c r="W67" s="38">
        <f>AVERAGE(K67:V67)</f>
        <v>27.024711698924325</v>
      </c>
      <c r="X67" s="37">
        <f>STDEV(K67:V67)/SQRT(COUNT(K67:V67))</f>
        <v>0.1615447081884322</v>
      </c>
      <c r="Y67" s="36">
        <f>MIN(K67:V67)</f>
        <v>25.97184063280292</v>
      </c>
      <c r="Z67" s="35">
        <f>QUARTILE(K67:V67,1)</f>
        <v>26.713065885882681</v>
      </c>
      <c r="AA67" s="36">
        <f>MEDIAN(K67:V67)</f>
        <v>26.959633747787436</v>
      </c>
      <c r="AB67" s="35">
        <f>QUARTILE(K67:V67,3)</f>
        <v>27.476529108069812</v>
      </c>
      <c r="AC67" s="35">
        <f>MAX(K67:V67)</f>
        <v>27.943200008978831</v>
      </c>
      <c r="AD67" s="35">
        <f>SKEW(K67:V67)</f>
        <v>-0.13589416128151419</v>
      </c>
      <c r="AE67" s="35">
        <f>KURT(K67:V67)</f>
        <v>-0.25845134457708907</v>
      </c>
    </row>
    <row r="68" spans="2:31" x14ac:dyDescent="0.2">
      <c r="B68" s="34">
        <f>[36]FormattedData!A67</f>
        <v>303</v>
      </c>
      <c r="C68" s="34" t="str">
        <f>VLOOKUP($B68,[36]TrtCodes!$B$11:I110,2)</f>
        <v>NSL</v>
      </c>
      <c r="D68" s="34">
        <f>VLOOKUP($B68,[36]TrtCodes!$B$11:J110,3)</f>
        <v>8</v>
      </c>
      <c r="E68" s="34">
        <f>VLOOKUP($B68,[36]TrtCodes!$B$11:K110,4)</f>
        <v>2</v>
      </c>
      <c r="F68" s="34">
        <f>VLOOKUP($B68,[36]TrtCodes!$B$11:L110,5)</f>
        <v>1</v>
      </c>
      <c r="G68" s="34">
        <f>VLOOKUP($B68,[36]TrtCodes!$B$11:M110,6)</f>
        <v>1</v>
      </c>
      <c r="H68" s="34">
        <f>VLOOKUP($B68,[36]TrtCodes!$B$11:N110,7)</f>
        <v>3</v>
      </c>
      <c r="I68" s="34">
        <f>[36]FormattedData!B67</f>
        <v>2</v>
      </c>
      <c r="J68" s="37">
        <f>[36]FormattedData!C67</f>
        <v>13.18</v>
      </c>
      <c r="K68" s="39">
        <f>$J$3+[36]FormattedData!D67*$J$4+$M$4*$J$5+[36]FormattedData!D67^2*$J$6+$M$5*$J$7</f>
        <v>31.54564268165587</v>
      </c>
      <c r="L68" s="39">
        <f>$J$3+[36]FormattedData!E67*$J$4+$M$4*$J$5+[36]FormattedData!E67^2*$J$6+$M$5*$J$7</f>
        <v>29.313091660274353</v>
      </c>
      <c r="M68" s="39">
        <f>$J$3+[36]FormattedData!F67*$J$4+$M$4*$J$5+[36]FormattedData!F67^2*$J$6+$M$5*$J$7</f>
        <v>29.313091660274353</v>
      </c>
      <c r="N68" s="39">
        <f>$J$3+[36]FormattedData!G67*$J$4+$M$4*$J$5+[36]FormattedData!G67^2*$J$6+$M$5*$J$7</f>
        <v>29.410624049903838</v>
      </c>
      <c r="O68" s="39">
        <f>$J$3+[36]FormattedData!H67*$J$4+$M$4*$J$5+[36]FormattedData!H67^2*$J$6+$M$5*$J$7</f>
        <v>29.508114170995384</v>
      </c>
      <c r="P68" s="39">
        <f>$J$3+[36]FormattedData!I67*$J$4+$M$4*$J$5+[36]FormattedData!I67^2*$J$6+$M$5*$J$7</f>
        <v>31.255708430657087</v>
      </c>
      <c r="Q68" s="39">
        <f>$J$3+[36]FormattedData!J67*$J$4+$M$4*$J$5+[36]FormattedData!J67^2*$J$6+$M$5*$J$7</f>
        <v>29.702967607564695</v>
      </c>
      <c r="R68" s="39">
        <f>$J$3+[36]FormattedData!K67*$J$4+$M$4*$J$5+[36]FormattedData!K67^2*$J$6+$M$5*$J$7</f>
        <v>30.868537669794332</v>
      </c>
      <c r="S68" s="39">
        <f>$J$3+[36]FormattedData!L67*$J$4+$M$4*$J$5+[36]FormattedData!L67^2*$J$6+$M$5*$J$7</f>
        <v>29.410624049903838</v>
      </c>
      <c r="T68" s="39">
        <f>$J$3+[36]FormattedData!M67*$J$4+$M$4*$J$5+[36]FormattedData!M67^2*$J$6+$M$5*$J$7</f>
        <v>29.117900075401597</v>
      </c>
      <c r="U68" s="39">
        <f>$J$3+[36]FormattedData!N67*$J$4+$M$4*$J$5+[36]FormattedData!N67^2*$J$6+$M$5*$J$7</f>
        <v>28.335442994393318</v>
      </c>
      <c r="V68" s="39">
        <f>$J$3+[36]FormattedData!O67*$J$4+$M$4*$J$5+[36]FormattedData!O67^2*$J$6+$M$5*$J$7</f>
        <v>28.139406038761933</v>
      </c>
      <c r="W68" s="38">
        <f>AVERAGE(K68:V68)</f>
        <v>29.660095924131713</v>
      </c>
      <c r="X68" s="37">
        <f>STDEV(K68:V68)/SQRT(COUNT(K68:V68))</f>
        <v>0.3054183610282426</v>
      </c>
      <c r="Y68" s="36">
        <f>MIN(K68:V68)</f>
        <v>28.139406038761933</v>
      </c>
      <c r="Z68" s="35">
        <f>QUARTILE(K68:V68,1)</f>
        <v>29.264293764056163</v>
      </c>
      <c r="AA68" s="36">
        <f>MEDIAN(K68:V68)</f>
        <v>29.410624049903838</v>
      </c>
      <c r="AB68" s="35">
        <f>QUARTILE(K68:V68,3)</f>
        <v>29.994360123122103</v>
      </c>
      <c r="AC68" s="35">
        <f>MAX(K68:V68)</f>
        <v>31.54564268165587</v>
      </c>
      <c r="AD68" s="35">
        <f>SKEW(K68:V68)</f>
        <v>0.59067666177403266</v>
      </c>
      <c r="AE68" s="35">
        <f>KURT(K68:V68)</f>
        <v>-0.28502593890430905</v>
      </c>
    </row>
    <row r="69" spans="2:31" x14ac:dyDescent="0.2">
      <c r="B69" s="34">
        <f>[36]FormattedData!A69</f>
        <v>304</v>
      </c>
      <c r="C69" s="34" t="str">
        <f>VLOOKUP($B69,[36]TrtCodes!$B$11:I112,2)</f>
        <v>FSL</v>
      </c>
      <c r="D69" s="34">
        <f>VLOOKUP($B69,[36]TrtCodes!$B$11:J112,3)</f>
        <v>2</v>
      </c>
      <c r="E69" s="34">
        <f>VLOOKUP($B69,[36]TrtCodes!$B$11:K112,4)</f>
        <v>1</v>
      </c>
      <c r="F69" s="34">
        <f>VLOOKUP($B69,[36]TrtCodes!$B$11:L112,5)</f>
        <v>1</v>
      </c>
      <c r="G69" s="34">
        <f>VLOOKUP($B69,[36]TrtCodes!$B$11:M112,6)</f>
        <v>1</v>
      </c>
      <c r="H69" s="34">
        <f>VLOOKUP($B69,[36]TrtCodes!$B$11:N112,7)</f>
        <v>3</v>
      </c>
      <c r="I69" s="34">
        <f>[36]FormattedData!B69</f>
        <v>2</v>
      </c>
      <c r="J69" s="37">
        <f>[36]FormattedData!C69</f>
        <v>13.198</v>
      </c>
      <c r="K69" s="39">
        <f>$J$3+[36]FormattedData!D69*$J$4+$M$4*$J$5+[36]FormattedData!D69^2*$J$6+$M$5*$J$7</f>
        <v>28.041324158139346</v>
      </c>
      <c r="L69" s="39">
        <f>$J$3+[36]FormattedData!E69*$J$4+$M$4*$J$5+[36]FormattedData!E69^2*$J$6+$M$5*$J$7</f>
        <v>28.041324158139346</v>
      </c>
      <c r="M69" s="39">
        <f>$J$3+[36]FormattedData!F69*$J$4+$M$4*$J$5+[36]FormattedData!F69^2*$J$6+$M$5*$J$7</f>
        <v>27.550280726957443</v>
      </c>
      <c r="N69" s="39">
        <f>$J$3+[36]FormattedData!G69*$J$4+$M$4*$J$5+[36]FormattedData!G69^2*$J$6+$M$5*$J$7</f>
        <v>27.84503359128038</v>
      </c>
      <c r="O69" s="39">
        <f>$J$3+[36]FormattedData!H69*$J$4+$M$4*$J$5+[36]FormattedData!H69^2*$J$6+$M$5*$J$7</f>
        <v>27.451945235107271</v>
      </c>
      <c r="P69" s="39">
        <f>$J$3+[36]FormattedData!I69*$J$4+$M$4*$J$5+[36]FormattedData!I69^2*$J$6+$M$5*$J$7</f>
        <v>26.762413273093976</v>
      </c>
      <c r="Q69" s="39">
        <f>$J$3+[36]FormattedData!J69*$J$4+$M$4*$J$5+[36]FormattedData!J69^2*$J$6+$M$5*$J$7</f>
        <v>28.433398069402109</v>
      </c>
      <c r="R69" s="39">
        <f>$J$3+[36]FormattedData!K69*$J$4+$M$4*$J$5+[36]FormattedData!K69^2*$J$6+$M$5*$J$7</f>
        <v>28.922539416377113</v>
      </c>
      <c r="S69" s="39">
        <f>$J$3+[36]FormattedData!L69*$J$4+$M$4*$J$5+[36]FormattedData!L69^2*$J$6+$M$5*$J$7</f>
        <v>27.943200008978831</v>
      </c>
      <c r="T69" s="39">
        <f>$J$3+[36]FormattedData!M69*$J$4+$M$4*$J$5+[36]FormattedData!M69^2*$J$6+$M$5*$J$7</f>
        <v>28.727009683200905</v>
      </c>
      <c r="U69" s="39">
        <f>$J$3+[36]FormattedData!N69*$J$4+$M$4*$J$5+[36]FormattedData!N69^2*$J$6+$M$5*$J$7</f>
        <v>27.943200008978831</v>
      </c>
      <c r="V69" s="39">
        <f>$J$3+[36]FormattedData!O69*$J$4+$M$4*$J$5+[36]FormattedData!O69^2*$J$6+$M$5*$J$7</f>
        <v>29.508114170995384</v>
      </c>
      <c r="W69" s="38">
        <f>AVERAGE(K69:V69)</f>
        <v>28.097481875054243</v>
      </c>
      <c r="X69" s="37">
        <f>STDEV(K69:V69)/SQRT(COUNT(K69:V69))</f>
        <v>0.20954399437450194</v>
      </c>
      <c r="Y69" s="36">
        <f>MIN(K69:V69)</f>
        <v>26.762413273093976</v>
      </c>
      <c r="Z69" s="35">
        <f>QUARTILE(K69:V69,1)</f>
        <v>27.771345375199644</v>
      </c>
      <c r="AA69" s="36">
        <f>MEDIAN(K69:V69)</f>
        <v>27.992262083559091</v>
      </c>
      <c r="AB69" s="35">
        <f>QUARTILE(K69:V69,3)</f>
        <v>28.506800972851806</v>
      </c>
      <c r="AC69" s="35">
        <f>MAX(K69:V69)</f>
        <v>29.508114170995384</v>
      </c>
      <c r="AD69" s="35">
        <f>SKEW(K69:V69)</f>
        <v>0.23381157578106967</v>
      </c>
      <c r="AE69" s="35">
        <f>KURT(K69:V69)</f>
        <v>0.52904042347496993</v>
      </c>
    </row>
    <row r="70" spans="2:31" x14ac:dyDescent="0.2">
      <c r="B70" s="34">
        <f>[36]FormattedData!A71</f>
        <v>305</v>
      </c>
      <c r="C70" s="34" t="str">
        <f>VLOOKUP($B70,[36]TrtCodes!$B$11:I114,2)</f>
        <v>NDH</v>
      </c>
      <c r="D70" s="34">
        <f>VLOOKUP($B70,[36]TrtCodes!$B$11:J114,3)</f>
        <v>11</v>
      </c>
      <c r="E70" s="34">
        <f>VLOOKUP($B70,[36]TrtCodes!$B$11:K114,4)</f>
        <v>2</v>
      </c>
      <c r="F70" s="34">
        <f>VLOOKUP($B70,[36]TrtCodes!$B$11:L114,5)</f>
        <v>3</v>
      </c>
      <c r="G70" s="34">
        <f>VLOOKUP($B70,[36]TrtCodes!$B$11:M114,6)</f>
        <v>2</v>
      </c>
      <c r="H70" s="34">
        <f>VLOOKUP($B70,[36]TrtCodes!$B$11:N114,7)</f>
        <v>4</v>
      </c>
      <c r="I70" s="34">
        <f>[36]FormattedData!B71</f>
        <v>2</v>
      </c>
      <c r="J70" s="37">
        <f>[36]FormattedData!C71</f>
        <v>13.218</v>
      </c>
      <c r="K70" s="39">
        <f>$J$3+[36]FormattedData!D71*$J$4+$M$4*$J$5+[36]FormattedData!D71^2*$J$6+$M$5*$J$7</f>
        <v>30.286513472362277</v>
      </c>
      <c r="L70" s="39">
        <f>$J$3+[36]FormattedData!E71*$J$4+$M$4*$J$5+[36]FormattedData!E71^2*$J$6+$M$5*$J$7</f>
        <v>27.943200008978831</v>
      </c>
      <c r="M70" s="39">
        <f>$J$3+[36]FormattedData!F71*$J$4+$M$4*$J$5+[36]FormattedData!F71^2*$J$6+$M$5*$J$7</f>
        <v>28.237445650846588</v>
      </c>
      <c r="N70" s="39">
        <f>$J$3+[36]FormattedData!G71*$J$4+$M$4*$J$5+[36]FormattedData!G71^2*$J$6+$M$5*$J$7</f>
        <v>27.84503359128038</v>
      </c>
      <c r="O70" s="39">
        <f>$J$3+[36]FormattedData!H71*$J$4+$M$4*$J$5+[36]FormattedData!H71^2*$J$6+$M$5*$J$7</f>
        <v>28.629181413805902</v>
      </c>
      <c r="P70" s="39">
        <f>$J$3+[36]FormattedData!I71*$J$4+$M$4*$J$5+[36]FormattedData!I71^2*$J$6+$M$5*$J$7</f>
        <v>31.158979143248288</v>
      </c>
      <c r="Q70" s="39">
        <f>$J$3+[36]FormattedData!J71*$J$4+$M$4*$J$5+[36]FormattedData!J71^2*$J$6+$M$5*$J$7</f>
        <v>31.062207587301572</v>
      </c>
      <c r="R70" s="39">
        <f>$J$3+[36]FormattedData!K71*$J$4+$M$4*$J$5+[36]FormattedData!K71^2*$J$6+$M$5*$J$7</f>
        <v>30.674698678135371</v>
      </c>
      <c r="S70" s="39">
        <f>$J$3+[36]FormattedData!L71*$J$4+$M$4*$J$5+[36]FormattedData!L71^2*$J$6+$M$5*$J$7</f>
        <v>28.237445650846588</v>
      </c>
      <c r="T70" s="39">
        <f>$J$3+[36]FormattedData!M71*$J$4+$M$4*$J$5+[36]FormattedData!M71^2*$J$6+$M$5*$J$7</f>
        <v>29.508114170995384</v>
      </c>
      <c r="U70" s="39">
        <f>$J$3+[36]FormattedData!N71*$J$4+$M$4*$J$5+[36]FormattedData!N71^2*$J$6+$M$5*$J$7</f>
        <v>28.237445650846588</v>
      </c>
      <c r="V70" s="39">
        <f>$J$3+[36]FormattedData!O71*$J$4+$M$4*$J$5+[36]FormattedData!O71^2*$J$6+$M$5*$J$7</f>
        <v>31.062207587301572</v>
      </c>
      <c r="W70" s="38">
        <f>AVERAGE(K70:V70)</f>
        <v>29.406872717162447</v>
      </c>
      <c r="X70" s="37">
        <f>STDEV(K70:V70)/SQRT(COUNT(K70:V70))</f>
        <v>0.39148809297131992</v>
      </c>
      <c r="Y70" s="36">
        <f>MIN(K70:V70)</f>
        <v>27.84503359128038</v>
      </c>
      <c r="Z70" s="35">
        <f>QUARTILE(K70:V70,1)</f>
        <v>28.237445650846588</v>
      </c>
      <c r="AA70" s="36">
        <f>MEDIAN(K70:V70)</f>
        <v>29.068647792400643</v>
      </c>
      <c r="AB70" s="35">
        <f>QUARTILE(K70:V70,3)</f>
        <v>30.771575905426921</v>
      </c>
      <c r="AC70" s="35">
        <f>MAX(K70:V70)</f>
        <v>31.158979143248288</v>
      </c>
      <c r="AD70" s="35">
        <f>SKEW(K70:V70)</f>
        <v>0.21678015254050523</v>
      </c>
      <c r="AE70" s="35">
        <f>KURT(K70:V70)</f>
        <v>-1.9770517992565981</v>
      </c>
    </row>
    <row r="71" spans="2:31" x14ac:dyDescent="0.2">
      <c r="B71" s="34">
        <f>[36]FormattedData!A73</f>
        <v>306</v>
      </c>
      <c r="C71" s="34" t="str">
        <f>VLOOKUP($B71,[36]TrtCodes!$B$11:I116,2)</f>
        <v>FTL</v>
      </c>
      <c r="D71" s="34">
        <f>VLOOKUP($B71,[36]TrtCodes!$B$11:J116,3)</f>
        <v>4</v>
      </c>
      <c r="E71" s="34">
        <f>VLOOKUP($B71,[36]TrtCodes!$B$11:K116,4)</f>
        <v>1</v>
      </c>
      <c r="F71" s="34">
        <f>VLOOKUP($B71,[36]TrtCodes!$B$11:L116,5)</f>
        <v>2</v>
      </c>
      <c r="G71" s="34">
        <f>VLOOKUP($B71,[36]TrtCodes!$B$11:M116,6)</f>
        <v>1</v>
      </c>
      <c r="H71" s="34">
        <f>VLOOKUP($B71,[36]TrtCodes!$B$11:N116,7)</f>
        <v>4</v>
      </c>
      <c r="I71" s="34">
        <f>[36]FormattedData!B73</f>
        <v>2</v>
      </c>
      <c r="J71" s="37">
        <f>[36]FormattedData!C73</f>
        <v>13.234999999999999</v>
      </c>
      <c r="K71" s="39">
        <f>$J$3+[36]FormattedData!D73*$J$4+$M$4*$J$5+[36]FormattedData!D73^2*$J$6+$M$5*$J$7</f>
        <v>28.824795684057975</v>
      </c>
      <c r="L71" s="39">
        <f>$J$3+[36]FormattedData!E73*$J$4+$M$4*$J$5+[36]FormattedData!E73^2*$J$6+$M$5*$J$7</f>
        <v>29.117900075401597</v>
      </c>
      <c r="M71" s="39">
        <f>$J$3+[36]FormattedData!F73*$J$4+$M$4*$J$5+[36]FormattedData!F73^2*$J$6+$M$5*$J$7</f>
        <v>28.433398069402109</v>
      </c>
      <c r="N71" s="39">
        <f>$J$3+[36]FormattedData!G73*$J$4+$M$4*$J$5+[36]FormattedData!G73^2*$J$6+$M$5*$J$7</f>
        <v>30.383623176612446</v>
      </c>
      <c r="O71" s="39">
        <f>$J$3+[36]FormattedData!H73*$J$4+$M$4*$J$5+[36]FormattedData!H73^2*$J$6+$M$5*$J$7</f>
        <v>30.577715779498995</v>
      </c>
      <c r="P71" s="39">
        <f>$J$3+[36]FormattedData!I73*$J$4+$M$4*$J$5+[36]FormattedData!I73^2*$J$6+$M$5*$J$7</f>
        <v>30.383623176612446</v>
      </c>
      <c r="Q71" s="39">
        <f>$J$3+[36]FormattedData!J73*$J$4+$M$4*$J$5+[36]FormattedData!J73^2*$J$6+$M$5*$J$7</f>
        <v>30.383623176612446</v>
      </c>
      <c r="R71" s="39">
        <f>$J$3+[36]FormattedData!K73*$J$4+$M$4*$J$5+[36]FormattedData!K73^2*$J$6+$M$5*$J$7</f>
        <v>30.868537669794332</v>
      </c>
      <c r="S71" s="39">
        <f>$J$3+[36]FormattedData!L73*$J$4+$M$4*$J$5+[36]FormattedData!L73^2*$J$6+$M$5*$J$7</f>
        <v>31.449040199860875</v>
      </c>
      <c r="T71" s="39">
        <f>$J$3+[36]FormattedData!M73*$J$4+$M$4*$J$5+[36]FormattedData!M73^2*$J$6+$M$5*$J$7</f>
        <v>31.255708430657087</v>
      </c>
      <c r="U71" s="39">
        <f>$J$3+[36]FormattedData!N73*$J$4+$M$4*$J$5+[36]FormattedData!N73^2*$J$6+$M$5*$J$7</f>
        <v>31.158979143248288</v>
      </c>
      <c r="V71" s="39">
        <f>$J$3+[36]FormattedData!O73*$J$4+$M$4*$J$5+[36]FormattedData!O73^2*$J$6+$M$5*$J$7</f>
        <v>30.092167258248143</v>
      </c>
      <c r="W71" s="38">
        <f>AVERAGE(K71:V71)</f>
        <v>30.244092653333894</v>
      </c>
      <c r="X71" s="37">
        <f>STDEV(K71:V71)/SQRT(COUNT(K71:V71))</f>
        <v>0.28145098127287871</v>
      </c>
      <c r="Y71" s="36">
        <f>MIN(K71:V71)</f>
        <v>28.433398069402109</v>
      </c>
      <c r="Z71" s="35">
        <f>QUARTILE(K71:V71,1)</f>
        <v>29.848600462536506</v>
      </c>
      <c r="AA71" s="36">
        <f>MEDIAN(K71:V71)</f>
        <v>30.383623176612446</v>
      </c>
      <c r="AB71" s="35">
        <f>QUARTILE(K71:V71,3)</f>
        <v>30.94114803815782</v>
      </c>
      <c r="AC71" s="35">
        <f>MAX(K71:V71)</f>
        <v>31.449040199860875</v>
      </c>
      <c r="AD71" s="35">
        <f>SKEW(K71:V71)</f>
        <v>-0.75194759776183862</v>
      </c>
      <c r="AE71" s="35">
        <f>KURT(K71:V71)</f>
        <v>-0.46924297965795958</v>
      </c>
    </row>
    <row r="72" spans="2:31" x14ac:dyDescent="0.2">
      <c r="B72" s="34">
        <f>[36]FormattedData!A75</f>
        <v>307</v>
      </c>
      <c r="C72" s="34" t="str">
        <f>VLOOKUP($B72,[36]TrtCodes!$B$11:I118,2)</f>
        <v>NTH</v>
      </c>
      <c r="D72" s="34">
        <f>VLOOKUP($B72,[36]TrtCodes!$B$11:J118,3)</f>
        <v>9</v>
      </c>
      <c r="E72" s="34">
        <f>VLOOKUP($B72,[36]TrtCodes!$B$11:K118,4)</f>
        <v>2</v>
      </c>
      <c r="F72" s="34">
        <f>VLOOKUP($B72,[36]TrtCodes!$B$11:L118,5)</f>
        <v>2</v>
      </c>
      <c r="G72" s="34">
        <f>VLOOKUP($B72,[36]TrtCodes!$B$11:M118,6)</f>
        <v>2</v>
      </c>
      <c r="H72" s="34">
        <f>VLOOKUP($B72,[36]TrtCodes!$B$11:N118,7)</f>
        <v>4</v>
      </c>
      <c r="I72" s="34">
        <f>[36]FormattedData!B75</f>
        <v>2</v>
      </c>
      <c r="J72" s="37">
        <f>[36]FormattedData!C75</f>
        <v>13.253</v>
      </c>
      <c r="K72" s="39">
        <f>$J$3+[36]FormattedData!D75*$J$4+$M$4*$J$5+[36]FormattedData!D75^2*$J$6+$M$5*$J$7</f>
        <v>29.117900075401597</v>
      </c>
      <c r="L72" s="39">
        <f>$J$3+[36]FormattedData!E75*$J$4+$M$4*$J$5+[36]FormattedData!E75^2*$J$6+$M$5*$J$7</f>
        <v>30.674698678135371</v>
      </c>
      <c r="M72" s="39">
        <f>$J$3+[36]FormattedData!F75*$J$4+$M$4*$J$5+[36]FormattedData!F75^2*$J$6+$M$5*$J$7</f>
        <v>30.480690612324683</v>
      </c>
      <c r="N72" s="39">
        <f>$J$3+[36]FormattedData!G75*$J$4+$M$4*$J$5+[36]FormattedData!G75^2*$J$6+$M$5*$J$7</f>
        <v>31.062207587301572</v>
      </c>
      <c r="O72" s="39">
        <f>$J$3+[36]FormattedData!H75*$J$4+$M$4*$J$5+[36]FormattedData!H75^2*$J$6+$M$5*$J$7</f>
        <v>28.531310875872972</v>
      </c>
      <c r="P72" s="39">
        <f>$J$3+[36]FormattedData!I75*$J$4+$M$4*$J$5+[36]FormattedData!I75^2*$J$6+$M$5*$J$7</f>
        <v>31.062207587301572</v>
      </c>
      <c r="Q72" s="39">
        <f>$J$3+[36]FormattedData!J75*$J$4+$M$4*$J$5+[36]FormattedData!J75^2*$J$6+$M$5*$J$7</f>
        <v>29.117900075401597</v>
      </c>
      <c r="R72" s="39">
        <f>$J$3+[36]FormattedData!K75*$J$4+$M$4*$J$5+[36]FormattedData!K75^2*$J$6+$M$5*$J$7</f>
        <v>28.531310875872972</v>
      </c>
      <c r="S72" s="39">
        <f>$J$3+[36]FormattedData!L75*$J$4+$M$4*$J$5+[36]FormattedData!L75^2*$J$6+$M$5*$J$7</f>
        <v>28.531310875872972</v>
      </c>
      <c r="T72" s="39">
        <f>$J$3+[36]FormattedData!M75*$J$4+$M$4*$J$5+[36]FormattedData!M75^2*$J$6+$M$5*$J$7</f>
        <v>30.868537669794332</v>
      </c>
      <c r="U72" s="39">
        <f>$J$3+[36]FormattedData!N75*$J$4+$M$4*$J$5+[36]FormattedData!N75^2*$J$6+$M$5*$J$7</f>
        <v>30.383623176612446</v>
      </c>
      <c r="V72" s="39">
        <f>$J$3+[36]FormattedData!O75*$J$4+$M$4*$J$5+[36]FormattedData!O75^2*$J$6+$M$5*$J$7</f>
        <v>29.313091660274353</v>
      </c>
      <c r="W72" s="38">
        <f>AVERAGE(K72:V72)</f>
        <v>29.806232479180533</v>
      </c>
      <c r="X72" s="37">
        <f>STDEV(K72:V72)/SQRT(COUNT(K72:V72))</f>
        <v>0.30016425729536111</v>
      </c>
      <c r="Y72" s="36">
        <f>MIN(K72:V72)</f>
        <v>28.531310875872972</v>
      </c>
      <c r="Z72" s="35">
        <f>QUARTILE(K72:V72,1)</f>
        <v>28.971252775519439</v>
      </c>
      <c r="AA72" s="36">
        <f>MEDIAN(K72:V72)</f>
        <v>29.848357418443399</v>
      </c>
      <c r="AB72" s="35">
        <f>QUARTILE(K72:V72,3)</f>
        <v>30.723158426050112</v>
      </c>
      <c r="AC72" s="35">
        <f>MAX(K72:V72)</f>
        <v>31.062207587301572</v>
      </c>
      <c r="AD72" s="35">
        <f>SKEW(K72:V72)</f>
        <v>-6.5344948793636851E-2</v>
      </c>
      <c r="AE72" s="35">
        <f>KURT(K72:V72)</f>
        <v>-1.9343011940723263</v>
      </c>
    </row>
    <row r="73" spans="2:31" x14ac:dyDescent="0.2">
      <c r="B73" s="34">
        <f>[36]FormattedData!A77</f>
        <v>308</v>
      </c>
      <c r="C73" s="34" t="str">
        <f>VLOOKUP($B73,[36]TrtCodes!$B$11:I120,2)</f>
        <v>FDH</v>
      </c>
      <c r="D73" s="34">
        <f>VLOOKUP($B73,[36]TrtCodes!$B$11:J120,3)</f>
        <v>5</v>
      </c>
      <c r="E73" s="34">
        <f>VLOOKUP($B73,[36]TrtCodes!$B$11:K120,4)</f>
        <v>1</v>
      </c>
      <c r="F73" s="34">
        <f>VLOOKUP($B73,[36]TrtCodes!$B$11:L120,5)</f>
        <v>3</v>
      </c>
      <c r="G73" s="34">
        <f>VLOOKUP($B73,[36]TrtCodes!$B$11:M120,6)</f>
        <v>2</v>
      </c>
      <c r="H73" s="34">
        <f>VLOOKUP($B73,[36]TrtCodes!$B$11:N120,7)</f>
        <v>4</v>
      </c>
      <c r="I73" s="34">
        <f>[36]FormattedData!B77</f>
        <v>2</v>
      </c>
      <c r="J73" s="37">
        <f>[36]FormattedData!C77</f>
        <v>13.27</v>
      </c>
      <c r="K73" s="39">
        <f>$J$3+[36]FormattedData!D77*$J$4+$M$4*$J$5+[36]FormattedData!D77^2*$J$6+$M$5*$J$7</f>
        <v>28.824795684057975</v>
      </c>
      <c r="L73" s="39">
        <f>$J$3+[36]FormattedData!E77*$J$4+$M$4*$J$5+[36]FormattedData!E77^2*$J$6+$M$5*$J$7</f>
        <v>28.139406038761933</v>
      </c>
      <c r="M73" s="39">
        <f>$J$3+[36]FormattedData!F77*$J$4+$M$4*$J$5+[36]FormattedData!F77^2*$J$6+$M$5*$J$7</f>
        <v>28.922539416377113</v>
      </c>
      <c r="N73" s="39">
        <f>$J$3+[36]FormattedData!G77*$J$4+$M$4*$J$5+[36]FormattedData!G77^2*$J$6+$M$5*$J$7</f>
        <v>30.092167258248143</v>
      </c>
      <c r="O73" s="39">
        <f>$J$3+[36]FormattedData!H77*$J$4+$M$4*$J$5+[36]FormattedData!H77^2*$J$6+$M$5*$J$7</f>
        <v>28.237445650846588</v>
      </c>
      <c r="P73" s="39">
        <f>$J$3+[36]FormattedData!I77*$J$4+$M$4*$J$5+[36]FormattedData!I77^2*$J$6+$M$5*$J$7</f>
        <v>27.943200008978831</v>
      </c>
      <c r="Q73" s="39">
        <f>$J$3+[36]FormattedData!J77*$J$4+$M$4*$J$5+[36]FormattedData!J77^2*$J$6+$M$5*$J$7</f>
        <v>28.335442994393318</v>
      </c>
      <c r="R73" s="39">
        <f>$J$3+[36]FormattedData!K77*$J$4+$M$4*$J$5+[36]FormattedData!K77^2*$J$6+$M$5*$J$7</f>
        <v>29.020240880158319</v>
      </c>
      <c r="S73" s="39">
        <f>$J$3+[36]FormattedData!L77*$J$4+$M$4*$J$5+[36]FormattedData!L77^2*$J$6+$M$5*$J$7</f>
        <v>27.84503359128038</v>
      </c>
      <c r="T73" s="39">
        <f>$J$3+[36]FormattedData!M77*$J$4+$M$4*$J$5+[36]FormattedData!M77^2*$J$6+$M$5*$J$7</f>
        <v>28.629181413805902</v>
      </c>
      <c r="U73" s="39">
        <f>$J$3+[36]FormattedData!N77*$J$4+$M$4*$J$5+[36]FormattedData!N77^2*$J$6+$M$5*$J$7</f>
        <v>27.943200008978831</v>
      </c>
      <c r="V73" s="39">
        <f>$J$3+[36]FormattedData!O77*$J$4+$M$4*$J$5+[36]FormattedData!O77^2*$J$6+$M$5*$J$7</f>
        <v>29.800330923042459</v>
      </c>
      <c r="W73" s="38">
        <f>AVERAGE(K73:V73)</f>
        <v>28.644415322410811</v>
      </c>
      <c r="X73" s="37">
        <f>STDEV(K73:V73)/SQRT(COUNT(K73:V73))</f>
        <v>0.21001502697169744</v>
      </c>
      <c r="Y73" s="36">
        <f>MIN(K73:V73)</f>
        <v>27.84503359128038</v>
      </c>
      <c r="Z73" s="35">
        <f>QUARTILE(K73:V73,1)</f>
        <v>28.090354531316159</v>
      </c>
      <c r="AA73" s="36">
        <f>MEDIAN(K73:V73)</f>
        <v>28.48231220409961</v>
      </c>
      <c r="AB73" s="35">
        <f>QUARTILE(K73:V73,3)</f>
        <v>28.946964782322414</v>
      </c>
      <c r="AC73" s="35">
        <f>MAX(K73:V73)</f>
        <v>30.092167258248143</v>
      </c>
      <c r="AD73" s="35">
        <f>SKEW(K73:V73)</f>
        <v>0.9160363835104357</v>
      </c>
      <c r="AE73" s="35">
        <f>KURT(K73:V73)</f>
        <v>1.6067527026200956E-2</v>
      </c>
    </row>
    <row r="74" spans="2:31" x14ac:dyDescent="0.2">
      <c r="B74" s="34">
        <f>[36]FormattedData!A93</f>
        <v>401</v>
      </c>
      <c r="C74" s="34" t="str">
        <f>VLOOKUP($B74,[36]TrtCodes!$B$11:I130,2)</f>
        <v>NSH</v>
      </c>
      <c r="D74" s="34">
        <f>VLOOKUP($B74,[36]TrtCodes!$B$11:J130,3)</f>
        <v>7</v>
      </c>
      <c r="E74" s="34">
        <f>VLOOKUP($B74,[36]TrtCodes!$B$11:K130,4)</f>
        <v>2</v>
      </c>
      <c r="F74" s="34">
        <f>VLOOKUP($B74,[36]TrtCodes!$B$11:L130,5)</f>
        <v>1</v>
      </c>
      <c r="G74" s="34">
        <f>VLOOKUP($B74,[36]TrtCodes!$B$11:M130,6)</f>
        <v>2</v>
      </c>
      <c r="H74" s="34">
        <f>VLOOKUP($B74,[36]TrtCodes!$B$11:N130,7)</f>
        <v>3</v>
      </c>
      <c r="I74" s="34">
        <f>[36]FormattedData!B93</f>
        <v>2</v>
      </c>
      <c r="J74" s="37">
        <f>[36]FormattedData!C93</f>
        <v>13.43</v>
      </c>
      <c r="K74" s="39">
        <f>$J$3+[36]FormattedData!D93*$J$4+$M$4*$J$5+[36]FormattedData!D93^2*$J$6+$M$5*$J$7</f>
        <v>29.410624049903838</v>
      </c>
      <c r="L74" s="39">
        <f>$J$3+[36]FormattedData!E93*$J$4+$M$4*$J$5+[36]FormattedData!E93^2*$J$6+$M$5*$J$7</f>
        <v>37.264440164941732</v>
      </c>
      <c r="M74" s="39">
        <f>$J$3+[36]FormattedData!F93*$J$4+$M$4*$J$5+[36]FormattedData!F93^2*$J$6+$M$5*$J$7</f>
        <v>30.674698678135371</v>
      </c>
      <c r="N74" s="39">
        <f>$J$3+[36]FormattedData!G93*$J$4+$M$4*$J$5+[36]FormattedData!G93^2*$J$6+$M$5*$J$7</f>
        <v>34.328727839710758</v>
      </c>
      <c r="O74" s="39">
        <f>$J$3+[36]FormattedData!H93*$J$4+$M$4*$J$5+[36]FormattedData!H93^2*$J$6+$M$5*$J$7</f>
        <v>31.931629923456551</v>
      </c>
      <c r="P74" s="39">
        <f>$J$3+[36]FormattedData!I93*$J$4+$M$4*$J$5+[36]FormattedData!I93^2*$J$6+$M$5*$J$7</f>
        <v>31.83519651581328</v>
      </c>
      <c r="Q74" s="39">
        <f>$J$3+[36]FormattedData!J93*$J$4+$M$4*$J$5+[36]FormattedData!J93^2*$J$6+$M$5*$J$7</f>
        <v>29.897651969982281</v>
      </c>
      <c r="R74" s="39">
        <f>$J$3+[36]FormattedData!K93*$J$4+$M$4*$J$5+[36]FormattedData!K93^2*$J$6+$M$5*$J$7</f>
        <v>30.965393762816912</v>
      </c>
      <c r="S74" s="39">
        <f>$J$3+[36]FormattedData!L93*$J$4+$M$4*$J$5+[36]FormattedData!L93^2*$J$6+$M$5*$J$7</f>
        <v>30.771639308233819</v>
      </c>
      <c r="T74" s="39">
        <f>$J$3+[36]FormattedData!M93*$J$4+$M$4*$J$5+[36]FormattedData!M93^2*$J$6+$M$5*$J$7</f>
        <v>30.771639308233819</v>
      </c>
      <c r="U74" s="39">
        <f>$J$3+[36]FormattedData!N93*$J$4+$M$4*$J$5+[36]FormattedData!N93^2*$J$6+$M$5*$J$7</f>
        <v>30.577715779498995</v>
      </c>
      <c r="V74" s="39">
        <f>$J$3+[36]FormattedData!O93*$J$4+$M$4*$J$5+[36]FormattedData!O93^2*$J$6+$M$5*$J$7</f>
        <v>32.124369933129294</v>
      </c>
      <c r="W74" s="38">
        <f>AVERAGE(K74:V74)</f>
        <v>31.712810602821389</v>
      </c>
      <c r="X74" s="37">
        <f>STDEV(K74:V74)/SQRT(COUNT(K74:V74))</f>
        <v>0.62272053554590201</v>
      </c>
      <c r="Y74" s="36">
        <f>MIN(K74:V74)</f>
        <v>29.410624049903838</v>
      </c>
      <c r="Z74" s="35">
        <f>QUARTILE(K74:V74,1)</f>
        <v>30.650452953476275</v>
      </c>
      <c r="AA74" s="36">
        <f>MEDIAN(K74:V74)</f>
        <v>30.868516535525366</v>
      </c>
      <c r="AB74" s="35">
        <f>QUARTILE(K74:V74,3)</f>
        <v>31.979814925874738</v>
      </c>
      <c r="AC74" s="35">
        <f>MAX(K74:V74)</f>
        <v>37.264440164941732</v>
      </c>
      <c r="AD74" s="35">
        <f>SKEW(K74:V74)</f>
        <v>1.8066314800597851</v>
      </c>
      <c r="AE74" s="35">
        <f>KURT(K74:V74)</f>
        <v>3.5378064628694981</v>
      </c>
    </row>
    <row r="75" spans="2:31" x14ac:dyDescent="0.2">
      <c r="B75" s="34">
        <f>[36]FormattedData!A91</f>
        <v>402</v>
      </c>
      <c r="C75" s="34" t="str">
        <f>VLOOKUP($B75,[36]TrtCodes!$B$11:I131,2)</f>
        <v>NTH</v>
      </c>
      <c r="D75" s="34">
        <f>VLOOKUP($B75,[36]TrtCodes!$B$11:J131,3)</f>
        <v>9</v>
      </c>
      <c r="E75" s="34">
        <f>VLOOKUP($B75,[36]TrtCodes!$B$11:K131,4)</f>
        <v>2</v>
      </c>
      <c r="F75" s="34">
        <f>VLOOKUP($B75,[36]TrtCodes!$B$11:L131,5)</f>
        <v>2</v>
      </c>
      <c r="G75" s="34">
        <f>VLOOKUP($B75,[36]TrtCodes!$B$11:M131,6)</f>
        <v>2</v>
      </c>
      <c r="H75" s="34">
        <f>VLOOKUP($B75,[36]TrtCodes!$B$11:N131,7)</f>
        <v>3</v>
      </c>
      <c r="I75" s="34">
        <f>[36]FormattedData!B91</f>
        <v>2</v>
      </c>
      <c r="J75" s="37">
        <f>[36]FormattedData!C91</f>
        <v>13.411</v>
      </c>
      <c r="K75" s="39">
        <f>$J$3+[36]FormattedData!D91*$J$4+$M$4*$J$5+[36]FormattedData!D91^2*$J$6+$M$5*$J$7</f>
        <v>30.965393762816912</v>
      </c>
      <c r="L75" s="39">
        <f>$J$3+[36]FormattedData!E91*$J$4+$M$4*$J$5+[36]FormattedData!E91^2*$J$6+$M$5*$J$7</f>
        <v>28.824795684057975</v>
      </c>
      <c r="M75" s="39">
        <f>$J$3+[36]FormattedData!F91*$J$4+$M$4*$J$5+[36]FormattedData!F91^2*$J$6+$M$5*$J$7</f>
        <v>30.092167258248143</v>
      </c>
      <c r="N75" s="39">
        <f>$J$3+[36]FormattedData!G91*$J$4+$M$4*$J$5+[36]FormattedData!G91^2*$J$6+$M$5*$J$7</f>
        <v>30.674698678135371</v>
      </c>
      <c r="O75" s="39">
        <f>$J$3+[36]FormattedData!H91*$J$4+$M$4*$J$5+[36]FormattedData!H91^2*$J$6+$M$5*$J$7</f>
        <v>29.508114170995384</v>
      </c>
      <c r="P75" s="39">
        <f>$J$3+[36]FormattedData!I91*$J$4+$M$4*$J$5+[36]FormattedData!I91^2*$J$6+$M$5*$J$7</f>
        <v>29.994930748384174</v>
      </c>
      <c r="Q75" s="39">
        <f>$J$3+[36]FormattedData!J91*$J$4+$M$4*$J$5+[36]FormattedData!J91^2*$J$6+$M$5*$J$7</f>
        <v>30.480690612324683</v>
      </c>
      <c r="R75" s="39">
        <f>$J$3+[36]FormattedData!K91*$J$4+$M$4*$J$5+[36]FormattedData!K91^2*$J$6+$M$5*$J$7</f>
        <v>28.531310875872972</v>
      </c>
      <c r="S75" s="39">
        <f>$J$3+[36]FormattedData!L91*$J$4+$M$4*$J$5+[36]FormattedData!L91^2*$J$6+$M$5*$J$7</f>
        <v>31.642202894912934</v>
      </c>
      <c r="T75" s="39">
        <f>$J$3+[36]FormattedData!M91*$J$4+$M$4*$J$5+[36]FormattedData!M91^2*$J$6+$M$5*$J$7</f>
        <v>30.868537669794332</v>
      </c>
      <c r="U75" s="39">
        <f>$J$3+[36]FormattedData!N91*$J$4+$M$4*$J$5+[36]FormattedData!N91^2*$J$6+$M$5*$J$7</f>
        <v>29.117900075401597</v>
      </c>
      <c r="V75" s="39">
        <f>$J$3+[36]FormattedData!O91*$J$4+$M$4*$J$5+[36]FormattedData!O91^2*$J$6+$M$5*$J$7</f>
        <v>29.605562023549009</v>
      </c>
      <c r="W75" s="38">
        <f>AVERAGE(K75:V75)</f>
        <v>30.025525371207788</v>
      </c>
      <c r="X75" s="37">
        <f>STDEV(K75:V75)/SQRT(COUNT(K75:V75))</f>
        <v>0.27225131934330765</v>
      </c>
      <c r="Y75" s="36">
        <f>MIN(K75:V75)</f>
        <v>28.531310875872972</v>
      </c>
      <c r="Z75" s="35">
        <f>QUARTILE(K75:V75,1)</f>
        <v>29.410560647096936</v>
      </c>
      <c r="AA75" s="36">
        <f>MEDIAN(K75:V75)</f>
        <v>30.043549003316159</v>
      </c>
      <c r="AB75" s="35">
        <f>QUARTILE(K75:V75,3)</f>
        <v>30.723158426050112</v>
      </c>
      <c r="AC75" s="35">
        <f>MAX(K75:V75)</f>
        <v>31.642202894912934</v>
      </c>
      <c r="AD75" s="35">
        <f>SKEW(K75:V75)</f>
        <v>-6.0081105442524668E-4</v>
      </c>
      <c r="AE75" s="35">
        <f>KURT(K75:V75)</f>
        <v>-0.81020490780304444</v>
      </c>
    </row>
    <row r="76" spans="2:31" x14ac:dyDescent="0.2">
      <c r="B76" s="34">
        <f>[36]FormattedData!A89</f>
        <v>403</v>
      </c>
      <c r="C76" s="34" t="str">
        <f>VLOOKUP($B76,[36]TrtCodes!$B$11:I132,2)</f>
        <v>FDL</v>
      </c>
      <c r="D76" s="34">
        <f>VLOOKUP($B76,[36]TrtCodes!$B$11:J132,3)</f>
        <v>6</v>
      </c>
      <c r="E76" s="34">
        <f>VLOOKUP($B76,[36]TrtCodes!$B$11:K132,4)</f>
        <v>1</v>
      </c>
      <c r="F76" s="34">
        <f>VLOOKUP($B76,[36]TrtCodes!$B$11:L132,5)</f>
        <v>3</v>
      </c>
      <c r="G76" s="34">
        <f>VLOOKUP($B76,[36]TrtCodes!$B$11:M132,6)</f>
        <v>1</v>
      </c>
      <c r="H76" s="34">
        <f>VLOOKUP($B76,[36]TrtCodes!$B$11:N132,7)</f>
        <v>3</v>
      </c>
      <c r="I76" s="34">
        <f>[36]FormattedData!B89</f>
        <v>2</v>
      </c>
      <c r="J76" s="37">
        <f>[36]FormattedData!C89</f>
        <v>13.391999999999999</v>
      </c>
      <c r="K76" s="39">
        <f>$J$3+[36]FormattedData!D89*$J$4+$M$4*$J$5+[36]FormattedData!D89^2*$J$6+$M$5*$J$7</f>
        <v>29.897651969982281</v>
      </c>
      <c r="L76" s="39">
        <f>$J$3+[36]FormattedData!E89*$J$4+$M$4*$J$5+[36]FormattedData!E89^2*$J$6+$M$5*$J$7</f>
        <v>26.367465101251899</v>
      </c>
      <c r="M76" s="39">
        <f>$J$3+[36]FormattedData!F89*$J$4+$M$4*$J$5+[36]FormattedData!F89^2*$J$6+$M$5*$J$7</f>
        <v>27.15668514832916</v>
      </c>
      <c r="N76" s="39">
        <f>$J$3+[36]FormattedData!G89*$J$4+$M$4*$J$5+[36]FormattedData!G89^2*$J$6+$M$5*$J$7</f>
        <v>27.648573950269686</v>
      </c>
      <c r="O76" s="39">
        <f>$J$3+[36]FormattedData!H89*$J$4+$M$4*$J$5+[36]FormattedData!H89^2*$J$6+$M$5*$J$7</f>
        <v>29.410624049903838</v>
      </c>
      <c r="P76" s="39">
        <f>$J$3+[36]FormattedData!I89*$J$4+$M$4*$J$5+[36]FormattedData!I89^2*$J$6+$M$5*$J$7</f>
        <v>30.189361499574169</v>
      </c>
      <c r="Q76" s="39">
        <f>$J$3+[36]FormattedData!J89*$J$4+$M$4*$J$5+[36]FormattedData!J89^2*$J$6+$M$5*$J$7</f>
        <v>28.727009683200905</v>
      </c>
      <c r="R76" s="39">
        <f>$J$3+[36]FormattedData!K89*$J$4+$M$4*$J$5+[36]FormattedData!K89^2*$J$6+$M$5*$J$7</f>
        <v>27.255147445793124</v>
      </c>
      <c r="S76" s="39">
        <f>$J$3+[36]FormattedData!L89*$J$4+$M$4*$J$5+[36]FormattedData!L89^2*$J$6+$M$5*$J$7</f>
        <v>28.237445650846588</v>
      </c>
      <c r="T76" s="39">
        <f>$J$3+[36]FormattedData!M89*$J$4+$M$4*$J$5+[36]FormattedData!M89^2*$J$6+$M$5*$J$7</f>
        <v>26.861044644709668</v>
      </c>
      <c r="U76" s="39">
        <f>$J$3+[36]FormattedData!N89*$J$4+$M$4*$J$5+[36]FormattedData!N89^2*$J$6+$M$5*$J$7</f>
        <v>27.353567474719163</v>
      </c>
      <c r="V76" s="39">
        <f>$J$3+[36]FormattedData!O89*$J$4+$M$4*$J$5+[36]FormattedData!O89^2*$J$6+$M$5*$J$7</f>
        <v>28.335442994393318</v>
      </c>
      <c r="W76" s="38">
        <f>AVERAGE(K76:V76)</f>
        <v>28.120001634414482</v>
      </c>
      <c r="X76" s="37">
        <f>STDEV(K76:V76)/SQRT(COUNT(K76:V76))</f>
        <v>0.35546211747590722</v>
      </c>
      <c r="Y76" s="36">
        <f>MIN(K76:V76)</f>
        <v>26.367465101251899</v>
      </c>
      <c r="Z76" s="35">
        <f>QUARTILE(K76:V76,1)</f>
        <v>27.230531871427132</v>
      </c>
      <c r="AA76" s="36">
        <f>MEDIAN(K76:V76)</f>
        <v>27.943009800558137</v>
      </c>
      <c r="AB76" s="35">
        <f>QUARTILE(K76:V76,3)</f>
        <v>28.897913274876636</v>
      </c>
      <c r="AC76" s="35">
        <f>MAX(K76:V76)</f>
        <v>30.189361499574169</v>
      </c>
      <c r="AD76" s="35">
        <f>SKEW(K76:V76)</f>
        <v>0.43180420619257964</v>
      </c>
      <c r="AE76" s="35">
        <f>KURT(K76:V76)</f>
        <v>-0.94918424939680568</v>
      </c>
    </row>
    <row r="77" spans="2:31" x14ac:dyDescent="0.2">
      <c r="B77" s="34">
        <f>[36]FormattedData!A87</f>
        <v>404</v>
      </c>
      <c r="C77" s="34" t="str">
        <f>VLOOKUP($B77,[36]TrtCodes!$B$11:I130,2)</f>
        <v>FTH</v>
      </c>
      <c r="D77" s="34">
        <f>VLOOKUP($B77,[36]TrtCodes!$B$11:J130,3)</f>
        <v>3</v>
      </c>
      <c r="E77" s="34">
        <f>VLOOKUP($B77,[36]TrtCodes!$B$11:K130,4)</f>
        <v>1</v>
      </c>
      <c r="F77" s="34">
        <f>VLOOKUP($B77,[36]TrtCodes!$B$11:L130,5)</f>
        <v>2</v>
      </c>
      <c r="G77" s="34">
        <f>VLOOKUP($B77,[36]TrtCodes!$B$11:M130,6)</f>
        <v>2</v>
      </c>
      <c r="H77" s="34">
        <f>VLOOKUP($B77,[36]TrtCodes!$B$11:N130,7)</f>
        <v>3</v>
      </c>
      <c r="I77" s="34">
        <f>[36]FormattedData!B87</f>
        <v>2</v>
      </c>
      <c r="J77" s="37">
        <f>[36]FormattedData!C87</f>
        <v>13.374000000000001</v>
      </c>
      <c r="K77" s="39">
        <f>$J$3+[36]FormattedData!D87*$J$4+$M$4*$J$5+[36]FormattedData!D87^2*$J$6+$M$5*$J$7</f>
        <v>27.84503359128038</v>
      </c>
      <c r="L77" s="39">
        <f>$J$3+[36]FormattedData!E87*$J$4+$M$4*$J$5+[36]FormattedData!E87^2*$J$6+$M$5*$J$7</f>
        <v>27.943200008978831</v>
      </c>
      <c r="M77" s="39">
        <f>$J$3+[36]FormattedData!F87*$J$4+$M$4*$J$5+[36]FormattedData!F87^2*$J$6+$M$5*$J$7</f>
        <v>29.313091660274353</v>
      </c>
      <c r="N77" s="39">
        <f>$J$3+[36]FormattedData!G87*$J$4+$M$4*$J$5+[36]FormattedData!G87^2*$J$6+$M$5*$J$7</f>
        <v>25.872828844345847</v>
      </c>
      <c r="O77" s="39">
        <f>$J$3+[36]FormattedData!H87*$J$4+$M$4*$J$5+[36]FormattedData!H87^2*$J$6+$M$5*$J$7</f>
        <v>27.648573950269686</v>
      </c>
      <c r="P77" s="39">
        <f>$J$3+[36]FormattedData!I87*$J$4+$M$4*$J$5+[36]FormattedData!I87^2*$J$6+$M$5*$J$7</f>
        <v>26.663739632940356</v>
      </c>
      <c r="Q77" s="39">
        <f>$J$3+[36]FormattedData!J87*$J$4+$M$4*$J$5+[36]FormattedData!J87^2*$J$6+$M$5*$J$7</f>
        <v>28.335442994393318</v>
      </c>
      <c r="R77" s="39">
        <f>$J$3+[36]FormattedData!K87*$J$4+$M$4*$J$5+[36]FormattedData!K87^2*$J$6+$M$5*$J$7</f>
        <v>28.922539416377113</v>
      </c>
      <c r="S77" s="39">
        <f>$J$3+[36]FormattedData!L87*$J$4+$M$4*$J$5+[36]FormattedData!L87^2*$J$6+$M$5*$J$7</f>
        <v>27.648573950269686</v>
      </c>
      <c r="T77" s="39">
        <f>$J$3+[36]FormattedData!M87*$J$4+$M$4*$J$5+[36]FormattedData!M87^2*$J$6+$M$5*$J$7</f>
        <v>28.139406038761933</v>
      </c>
      <c r="U77" s="39">
        <f>$J$3+[36]FormattedData!N87*$J$4+$M$4*$J$5+[36]FormattedData!N87^2*$J$6+$M$5*$J$7</f>
        <v>27.550280726957443</v>
      </c>
      <c r="V77" s="39">
        <f>$J$3+[36]FormattedData!O87*$J$4+$M$4*$J$5+[36]FormattedData!O87^2*$J$6+$M$5*$J$7</f>
        <v>25.37713587399152</v>
      </c>
      <c r="W77" s="38">
        <f>AVERAGE(K77:V77)</f>
        <v>27.60498722407004</v>
      </c>
      <c r="X77" s="37">
        <f>STDEV(K77:V77)/SQRT(COUNT(K77:V77))</f>
        <v>0.33144743992514075</v>
      </c>
      <c r="Y77" s="36">
        <f>MIN(K77:V77)</f>
        <v>25.37713587399152</v>
      </c>
      <c r="Z77" s="35">
        <f>QUARTILE(K77:V77,1)</f>
        <v>27.32864545345317</v>
      </c>
      <c r="AA77" s="36">
        <f>MEDIAN(K77:V77)</f>
        <v>27.746803770775031</v>
      </c>
      <c r="AB77" s="35">
        <f>QUARTILE(K77:V77,3)</f>
        <v>28.18841527766978</v>
      </c>
      <c r="AC77" s="35">
        <f>MAX(K77:V77)</f>
        <v>29.313091660274353</v>
      </c>
      <c r="AD77" s="35">
        <f>SKEW(K77:V77)</f>
        <v>-0.66471947346338289</v>
      </c>
      <c r="AE77" s="35">
        <f>KURT(K77:V77)</f>
        <v>0.16748821046045581</v>
      </c>
    </row>
    <row r="78" spans="2:31" x14ac:dyDescent="0.2">
      <c r="B78" s="34">
        <f>[36]FormattedData!A85</f>
        <v>405</v>
      </c>
      <c r="C78" s="34" t="str">
        <f>VLOOKUP($B78,[36]TrtCodes!$B$11:I128,2)</f>
        <v>FDL</v>
      </c>
      <c r="D78" s="34">
        <f>VLOOKUP($B78,[36]TrtCodes!$B$11:J128,3)</f>
        <v>6</v>
      </c>
      <c r="E78" s="34">
        <f>VLOOKUP($B78,[36]TrtCodes!$B$11:K128,4)</f>
        <v>1</v>
      </c>
      <c r="F78" s="34">
        <f>VLOOKUP($B78,[36]TrtCodes!$B$11:L128,5)</f>
        <v>3</v>
      </c>
      <c r="G78" s="34">
        <f>VLOOKUP($B78,[36]TrtCodes!$B$11:M128,6)</f>
        <v>1</v>
      </c>
      <c r="H78" s="34">
        <f>VLOOKUP($B78,[36]TrtCodes!$B$11:N128,7)</f>
        <v>4</v>
      </c>
      <c r="I78" s="34">
        <f>[36]FormattedData!B85</f>
        <v>2</v>
      </c>
      <c r="J78" s="37">
        <f>[36]FormattedData!C85</f>
        <v>13.356999999999999</v>
      </c>
      <c r="K78" s="39">
        <f>$J$3+[36]FormattedData!D85*$J$4+$M$4*$J$5+[36]FormattedData!D85^2*$J$6+$M$5*$J$7</f>
        <v>26.466265547019315</v>
      </c>
      <c r="L78" s="39">
        <f>$J$3+[36]FormattedData!E85*$J$4+$M$4*$J$5+[36]FormattedData!E85^2*$J$6+$M$5*$J$7</f>
        <v>26.466265547019315</v>
      </c>
      <c r="M78" s="39">
        <f>$J$3+[36]FormattedData!F85*$J$4+$M$4*$J$5+[36]FormattedData!F85^2*$J$6+$M$5*$J$7</f>
        <v>26.367465101251899</v>
      </c>
      <c r="N78" s="39">
        <f>$J$3+[36]FormattedData!G85*$J$4+$M$4*$J$5+[36]FormattedData!G85^2*$J$6+$M$5*$J$7</f>
        <v>28.139406038761933</v>
      </c>
      <c r="O78" s="39">
        <f>$J$3+[36]FormattedData!H85*$J$4+$M$4*$J$5+[36]FormattedData!H85^2*$J$6+$M$5*$J$7</f>
        <v>28.041324158139346</v>
      </c>
      <c r="P78" s="39">
        <f>$J$3+[36]FormattedData!I85*$J$4+$M$4*$J$5+[36]FormattedData!I85^2*$J$6+$M$5*$J$7</f>
        <v>27.353567474719163</v>
      </c>
      <c r="Q78" s="39">
        <f>$J$3+[36]FormattedData!J85*$J$4+$M$4*$J$5+[36]FormattedData!J85^2*$J$6+$M$5*$J$7</f>
        <v>25.97184063280292</v>
      </c>
      <c r="R78" s="39">
        <f>$J$3+[36]FormattedData!K85*$J$4+$M$4*$J$5+[36]FormattedData!K85^2*$J$6+$M$5*$J$7</f>
        <v>27.451945235107271</v>
      </c>
      <c r="S78" s="39">
        <f>$J$3+[36]FormattedData!L85*$J$4+$M$4*$J$5+[36]FormattedData!L85^2*$J$6+$M$5*$J$7</f>
        <v>27.353567474719163</v>
      </c>
      <c r="T78" s="39">
        <f>$J$3+[36]FormattedData!M85*$J$4+$M$4*$J$5+[36]FormattedData!M85^2*$J$6+$M$5*$J$7</f>
        <v>25.277870474306859</v>
      </c>
      <c r="U78" s="39">
        <f>$J$3+[36]FormattedData!N85*$J$4+$M$4*$J$5+[36]FormattedData!N85^2*$J$6+$M$5*$J$7</f>
        <v>26.466265547019315</v>
      </c>
      <c r="V78" s="39">
        <f>$J$3+[36]FormattedData!O85*$J$4+$M$4*$J$5+[36]FormattedData!O85^2*$J$6+$M$5*$J$7</f>
        <v>27.255147445793124</v>
      </c>
      <c r="W78" s="38">
        <f>AVERAGE(K78:V78)</f>
        <v>26.884244223054967</v>
      </c>
      <c r="X78" s="37">
        <f>STDEV(K78:V78)/SQRT(COUNT(K78:V78))</f>
        <v>0.24647120955441762</v>
      </c>
      <c r="Y78" s="36">
        <f>MIN(K78:V78)</f>
        <v>25.277870474306859</v>
      </c>
      <c r="Z78" s="35">
        <f>QUARTILE(K78:V78,1)</f>
        <v>26.441565435577459</v>
      </c>
      <c r="AA78" s="36">
        <f>MEDIAN(K78:V78)</f>
        <v>26.86070649640622</v>
      </c>
      <c r="AB78" s="35">
        <f>QUARTILE(K78:V78,3)</f>
        <v>27.378161914816189</v>
      </c>
      <c r="AC78" s="35">
        <f>MAX(K78:V78)</f>
        <v>28.139406038761933</v>
      </c>
      <c r="AD78" s="35">
        <f>SKEW(K78:V78)</f>
        <v>-0.22689076071931222</v>
      </c>
      <c r="AE78" s="35">
        <f>KURT(K78:V78)</f>
        <v>-0.4724024710941106</v>
      </c>
    </row>
    <row r="79" spans="2:31" x14ac:dyDescent="0.2">
      <c r="B79" s="34">
        <f>[36]FormattedData!A83</f>
        <v>406</v>
      </c>
      <c r="C79" s="34" t="str">
        <f>VLOOKUP($B79,[36]TrtCodes!$B$11:I126,2)</f>
        <v>FTH</v>
      </c>
      <c r="D79" s="34">
        <f>VLOOKUP($B79,[36]TrtCodes!$B$11:J126,3)</f>
        <v>3</v>
      </c>
      <c r="E79" s="34">
        <f>VLOOKUP($B79,[36]TrtCodes!$B$11:K126,4)</f>
        <v>1</v>
      </c>
      <c r="F79" s="34">
        <f>VLOOKUP($B79,[36]TrtCodes!$B$11:L126,5)</f>
        <v>2</v>
      </c>
      <c r="G79" s="34">
        <f>VLOOKUP($B79,[36]TrtCodes!$B$11:M126,6)</f>
        <v>2</v>
      </c>
      <c r="H79" s="34">
        <f>VLOOKUP($B79,[36]TrtCodes!$B$11:N126,7)</f>
        <v>4</v>
      </c>
      <c r="I79" s="34">
        <f>[36]FormattedData!B83</f>
        <v>2</v>
      </c>
      <c r="J79" s="37">
        <f>[36]FormattedData!C83</f>
        <v>13.340999999999999</v>
      </c>
      <c r="K79" s="39">
        <f>$J$3+[36]FormattedData!D83*$J$4+$M$4*$J$5+[36]FormattedData!D83^2*$J$6+$M$5*$J$7</f>
        <v>26.959633747787436</v>
      </c>
      <c r="L79" s="39">
        <f>$J$3+[36]FormattedData!E83*$J$4+$M$4*$J$5+[36]FormattedData!E83^2*$J$6+$M$5*$J$7</f>
        <v>27.943200008978831</v>
      </c>
      <c r="M79" s="39">
        <f>$J$3+[36]FormattedData!F83*$J$4+$M$4*$J$5+[36]FormattedData!F83^2*$J$6+$M$5*$J$7</f>
        <v>28.041324158139346</v>
      </c>
      <c r="N79" s="39">
        <f>$J$3+[36]FormattedData!G83*$J$4+$M$4*$J$5+[36]FormattedData!G83^2*$J$6+$M$5*$J$7</f>
        <v>26.26862238694655</v>
      </c>
      <c r="O79" s="39">
        <f>$J$3+[36]FormattedData!H83*$J$4+$M$4*$J$5+[36]FormattedData!H83^2*$J$6+$M$5*$J$7</f>
        <v>26.26862238694655</v>
      </c>
      <c r="P79" s="39">
        <f>$J$3+[36]FormattedData!I83*$J$4+$M$4*$J$5+[36]FormattedData!I83^2*$J$6+$M$5*$J$7</f>
        <v>27.05818058232726</v>
      </c>
      <c r="Q79" s="39">
        <f>$J$3+[36]FormattedData!J83*$J$4+$M$4*$J$5+[36]FormattedData!J83^2*$J$6+$M$5*$J$7</f>
        <v>27.05818058232726</v>
      </c>
      <c r="R79" s="39">
        <f>$J$3+[36]FormattedData!K83*$J$4+$M$4*$J$5+[36]FormattedData!K83^2*$J$6+$M$5*$J$7</f>
        <v>27.451945235107271</v>
      </c>
      <c r="S79" s="39">
        <f>$J$3+[36]FormattedData!L83*$J$4+$M$4*$J$5+[36]FormattedData!L83^2*$J$6+$M$5*$J$7</f>
        <v>27.255147445793124</v>
      </c>
      <c r="T79" s="39">
        <f>$J$3+[36]FormattedData!M83*$J$4+$M$4*$J$5+[36]FormattedData!M83^2*$J$6+$M$5*$J$7</f>
        <v>26.169737404103273</v>
      </c>
      <c r="U79" s="39">
        <f>$J$3+[36]FormattedData!N83*$J$4+$M$4*$J$5+[36]FormattedData!N83^2*$J$6+$M$5*$J$7</f>
        <v>26.959633747787436</v>
      </c>
      <c r="V79" s="39">
        <f>$J$3+[36]FormattedData!O83*$J$4+$M$4*$J$5+[36]FormattedData!O83^2*$J$6+$M$5*$J$7</f>
        <v>27.943200008978831</v>
      </c>
      <c r="W79" s="38">
        <f>AVERAGE(K79:V79)</f>
        <v>27.114785641268597</v>
      </c>
      <c r="X79" s="37">
        <f>STDEV(K79:V79)/SQRT(COUNT(K79:V79))</f>
        <v>0.18957779130864977</v>
      </c>
      <c r="Y79" s="36">
        <f>MIN(K79:V79)</f>
        <v>26.169737404103273</v>
      </c>
      <c r="Z79" s="35">
        <f>QUARTILE(K79:V79,1)</f>
        <v>26.786880907577213</v>
      </c>
      <c r="AA79" s="36">
        <f>MEDIAN(K79:V79)</f>
        <v>27.05818058232726</v>
      </c>
      <c r="AB79" s="35">
        <f>QUARTILE(K79:V79,3)</f>
        <v>27.574758928575161</v>
      </c>
      <c r="AC79" s="35">
        <f>MAX(K79:V79)</f>
        <v>28.041324158139346</v>
      </c>
      <c r="AD79" s="35">
        <f>SKEW(K79:V79)</f>
        <v>-3.4676664235664248E-2</v>
      </c>
      <c r="AE79" s="35">
        <f>KURT(K79:V79)</f>
        <v>-1.0543447797412022</v>
      </c>
    </row>
    <row r="80" spans="2:31" x14ac:dyDescent="0.2">
      <c r="B80" s="34">
        <f>[36]FormattedData!A81</f>
        <v>407</v>
      </c>
      <c r="C80" s="34" t="str">
        <f>VLOOKUP($B80,[36]TrtCodes!$B$11:I124,2)</f>
        <v>NSH</v>
      </c>
      <c r="D80" s="34">
        <f>VLOOKUP($B80,[36]TrtCodes!$B$11:J124,3)</f>
        <v>7</v>
      </c>
      <c r="E80" s="34">
        <f>VLOOKUP($B80,[36]TrtCodes!$B$11:K124,4)</f>
        <v>2</v>
      </c>
      <c r="F80" s="34">
        <f>VLOOKUP($B80,[36]TrtCodes!$B$11:L124,5)</f>
        <v>1</v>
      </c>
      <c r="G80" s="34">
        <f>VLOOKUP($B80,[36]TrtCodes!$B$11:M124,6)</f>
        <v>2</v>
      </c>
      <c r="H80" s="34">
        <f>VLOOKUP($B80,[36]TrtCodes!$B$11:N124,7)</f>
        <v>4</v>
      </c>
      <c r="I80" s="34">
        <f>[36]FormattedData!B81</f>
        <v>2</v>
      </c>
      <c r="J80" s="37">
        <f>[36]FormattedData!C81</f>
        <v>13.319000000000001</v>
      </c>
      <c r="K80" s="39">
        <f>$J$3+[36]FormattedData!D81*$J$4+$M$4*$J$5+[36]FormattedData!D81^2*$J$6+$M$5*$J$7</f>
        <v>28.727009683200905</v>
      </c>
      <c r="L80" s="39">
        <f>$J$3+[36]FormattedData!E81*$J$4+$M$4*$J$5+[36]FormattedData!E81^2*$J$6+$M$5*$J$7</f>
        <v>28.922539416377113</v>
      </c>
      <c r="M80" s="39">
        <f>$J$3+[36]FormattedData!F81*$J$4+$M$4*$J$5+[36]FormattedData!F81^2*$J$6+$M$5*$J$7</f>
        <v>30.577715779498995</v>
      </c>
      <c r="N80" s="39">
        <f>$J$3+[36]FormattedData!G81*$J$4+$M$4*$J$5+[36]FormattedData!G81^2*$J$6+$M$5*$J$7</f>
        <v>28.727009683200905</v>
      </c>
      <c r="O80" s="39">
        <f>$J$3+[36]FormattedData!H81*$J$4+$M$4*$J$5+[36]FormattedData!H81^2*$J$6+$M$5*$J$7</f>
        <v>29.313091660274353</v>
      </c>
      <c r="P80" s="39">
        <f>$J$3+[36]FormattedData!I81*$J$4+$M$4*$J$5+[36]FormattedData!I81^2*$J$6+$M$5*$J$7</f>
        <v>28.139406038761933</v>
      </c>
      <c r="Q80" s="39">
        <f>$J$3+[36]FormattedData!J81*$J$4+$M$4*$J$5+[36]FormattedData!J81^2*$J$6+$M$5*$J$7</f>
        <v>30.480690612324683</v>
      </c>
      <c r="R80" s="39">
        <f>$J$3+[36]FormattedData!K81*$J$4+$M$4*$J$5+[36]FormattedData!K81^2*$J$6+$M$5*$J$7</f>
        <v>30.577715779498995</v>
      </c>
      <c r="S80" s="39">
        <f>$J$3+[36]FormattedData!L81*$J$4+$M$4*$J$5+[36]FormattedData!L81^2*$J$6+$M$5*$J$7</f>
        <v>29.508114170995384</v>
      </c>
      <c r="T80" s="39">
        <f>$J$3+[36]FormattedData!M81*$J$4+$M$4*$J$5+[36]FormattedData!M81^2*$J$6+$M$5*$J$7</f>
        <v>30.189361499574169</v>
      </c>
      <c r="U80" s="39">
        <f>$J$3+[36]FormattedData!N81*$J$4+$M$4*$J$5+[36]FormattedData!N81^2*$J$6+$M$5*$J$7</f>
        <v>29.702967607564695</v>
      </c>
      <c r="V80" s="39">
        <f>$J$3+[36]FormattedData!O81*$J$4+$M$4*$J$5+[36]FormattedData!O81^2*$J$6+$M$5*$J$7</f>
        <v>28.824795684057975</v>
      </c>
      <c r="W80" s="38">
        <f>AVERAGE(K80:V80)</f>
        <v>29.47420146794417</v>
      </c>
      <c r="X80" s="37">
        <f>STDEV(K80:V80)/SQRT(COUNT(K80:V80))</f>
        <v>0.24095345935356571</v>
      </c>
      <c r="Y80" s="36">
        <f>MIN(K80:V80)</f>
        <v>28.139406038761933</v>
      </c>
      <c r="Z80" s="35">
        <f>QUARTILE(K80:V80,1)</f>
        <v>28.800349183843707</v>
      </c>
      <c r="AA80" s="36">
        <f>MEDIAN(K80:V80)</f>
        <v>29.410602915634868</v>
      </c>
      <c r="AB80" s="35">
        <f>QUARTILE(K80:V80,3)</f>
        <v>30.262193777761798</v>
      </c>
      <c r="AC80" s="35">
        <f>MAX(K80:V80)</f>
        <v>30.577715779498995</v>
      </c>
      <c r="AD80" s="35">
        <f>SKEW(K80:V80)</f>
        <v>8.0017041629266941E-2</v>
      </c>
      <c r="AE80" s="35">
        <f>KURT(K80:V80)</f>
        <v>-1.3306730828831386</v>
      </c>
    </row>
    <row r="81" spans="2:31" x14ac:dyDescent="0.2">
      <c r="B81" s="34">
        <f>[36]FormattedData!A79</f>
        <v>408</v>
      </c>
      <c r="C81" s="34" t="str">
        <f>VLOOKUP($B81,[36]TrtCodes!$B$11:I122,2)</f>
        <v>NTL</v>
      </c>
      <c r="D81" s="34">
        <f>VLOOKUP($B81,[36]TrtCodes!$B$11:J122,3)</f>
        <v>10</v>
      </c>
      <c r="E81" s="34">
        <f>VLOOKUP($B81,[36]TrtCodes!$B$11:K122,4)</f>
        <v>2</v>
      </c>
      <c r="F81" s="34">
        <f>VLOOKUP($B81,[36]TrtCodes!$B$11:L122,5)</f>
        <v>2</v>
      </c>
      <c r="G81" s="34">
        <f>VLOOKUP($B81,[36]TrtCodes!$B$11:M122,6)</f>
        <v>1</v>
      </c>
      <c r="H81" s="34">
        <f>VLOOKUP($B81,[36]TrtCodes!$B$11:N122,7)</f>
        <v>4</v>
      </c>
      <c r="I81" s="34">
        <f>[36]FormattedData!B79</f>
        <v>2</v>
      </c>
      <c r="J81" s="37">
        <f>[36]FormattedData!C79</f>
        <v>13.298</v>
      </c>
      <c r="K81" s="39">
        <f>$J$3+[36]FormattedData!D79*$J$4+$M$4*$J$5+[36]FormattedData!D79^2*$J$6+$M$5*$J$7</f>
        <v>29.508114170995384</v>
      </c>
      <c r="L81" s="39">
        <f>$J$3+[36]FormattedData!E79*$J$4+$M$4*$J$5+[36]FormattedData!E79^2*$J$6+$M$5*$J$7</f>
        <v>29.508114170995384</v>
      </c>
      <c r="M81" s="39">
        <f>$J$3+[36]FormattedData!F79*$J$4+$M$4*$J$5+[36]FormattedData!F79^2*$J$6+$M$5*$J$7</f>
        <v>29.994930748384174</v>
      </c>
      <c r="N81" s="39">
        <f>$J$3+[36]FormattedData!G79*$J$4+$M$4*$J$5+[36]FormattedData!G79^2*$J$6+$M$5*$J$7</f>
        <v>27.353567474719163</v>
      </c>
      <c r="O81" s="39">
        <f>$J$3+[36]FormattedData!H79*$J$4+$M$4*$J$5+[36]FormattedData!H79^2*$J$6+$M$5*$J$7</f>
        <v>28.922539416377113</v>
      </c>
      <c r="P81" s="39">
        <f>$J$3+[36]FormattedData!I79*$J$4+$M$4*$J$5+[36]FormattedData!I79^2*$J$6+$M$5*$J$7</f>
        <v>28.824795684057975</v>
      </c>
      <c r="Q81" s="39">
        <f>$J$3+[36]FormattedData!J79*$J$4+$M$4*$J$5+[36]FormattedData!J79^2*$J$6+$M$5*$J$7</f>
        <v>28.433398069402109</v>
      </c>
      <c r="R81" s="39">
        <f>$J$3+[36]FormattedData!K79*$J$4+$M$4*$J$5+[36]FormattedData!K79^2*$J$6+$M$5*$J$7</f>
        <v>29.605562023549009</v>
      </c>
      <c r="S81" s="39">
        <f>$J$3+[36]FormattedData!L79*$J$4+$M$4*$J$5+[36]FormattedData!L79^2*$J$6+$M$5*$J$7</f>
        <v>31.062207587301572</v>
      </c>
      <c r="T81" s="39">
        <f>$J$3+[36]FormattedData!M79*$J$4+$M$4*$J$5+[36]FormattedData!M79^2*$J$6+$M$5*$J$7</f>
        <v>30.577715779498995</v>
      </c>
      <c r="U81" s="39">
        <f>$J$3+[36]FormattedData!N79*$J$4+$M$4*$J$5+[36]FormattedData!N79^2*$J$6+$M$5*$J$7</f>
        <v>28.237445650846588</v>
      </c>
      <c r="V81" s="39">
        <f>$J$3+[36]FormattedData!O79*$J$4+$M$4*$J$5+[36]FormattedData!O79^2*$J$6+$M$5*$J$7</f>
        <v>30.965393762816912</v>
      </c>
      <c r="W81" s="38">
        <f>AVERAGE(K81:V81)</f>
        <v>29.4161487115787</v>
      </c>
      <c r="X81" s="37">
        <f>STDEV(K81:V81)/SQRT(COUNT(K81:V81))</f>
        <v>0.32624376312314252</v>
      </c>
      <c r="Y81" s="36">
        <f>MIN(K81:V81)</f>
        <v>27.353567474719163</v>
      </c>
      <c r="Z81" s="35">
        <f>QUARTILE(K81:V81,1)</f>
        <v>28.72694628039401</v>
      </c>
      <c r="AA81" s="36">
        <f>MEDIAN(K81:V81)</f>
        <v>29.508114170995384</v>
      </c>
      <c r="AB81" s="35">
        <f>QUARTILE(K81:V81,3)</f>
        <v>30.14062700616288</v>
      </c>
      <c r="AC81" s="35">
        <f>MAX(K81:V81)</f>
        <v>31.062207587301572</v>
      </c>
      <c r="AD81" s="35">
        <f>SKEW(K81:V81)</f>
        <v>-0.13155134476678162</v>
      </c>
      <c r="AE81" s="35">
        <f>KURT(K81:V81)</f>
        <v>-0.53854114132800657</v>
      </c>
    </row>
    <row r="82" spans="2:31" x14ac:dyDescent="0.2">
      <c r="B82" s="34">
        <f>[36]FormattedData!A59</f>
        <v>902</v>
      </c>
      <c r="C82" s="34" t="str">
        <f>VLOOKUP($B82,[36]TrtCodes!$B$11:I102,2)</f>
        <v>Late</v>
      </c>
      <c r="D82" s="34">
        <f>VLOOKUP($B82,[36]TrtCodes!$B$11:J102,3)</f>
        <v>22</v>
      </c>
      <c r="E82" s="34">
        <f>VLOOKUP($B82,[36]TrtCodes!$B$11:K102,4)</f>
        <v>4</v>
      </c>
      <c r="F82" s="34">
        <f>VLOOKUP($B82,[36]TrtCodes!$B$11:L102,5)</f>
        <v>2</v>
      </c>
      <c r="G82" s="34">
        <f>VLOOKUP($B82,[36]TrtCodes!$B$11:M102,6)</f>
        <v>2</v>
      </c>
      <c r="H82" s="34">
        <f>VLOOKUP($B82,[36]TrtCodes!$B$11:N102,7)</f>
        <v>1</v>
      </c>
      <c r="I82" s="34">
        <f>[36]FormattedData!B59</f>
        <v>2</v>
      </c>
      <c r="J82" s="37">
        <f>[36]FormattedData!C59</f>
        <v>13.124000000000001</v>
      </c>
      <c r="K82" s="39">
        <f>$J$3+[36]FormattedData!D59*$J$4+$M$4*$J$5+[36]FormattedData!D59^2*$J$6+$M$5*$J$7</f>
        <v>27.255147445793124</v>
      </c>
      <c r="L82" s="39">
        <f>$J$3+[36]FormattedData!E59*$J$4+$M$4*$J$5+[36]FormattedData!E59^2*$J$6+$M$5*$J$7</f>
        <v>26.663739632940356</v>
      </c>
      <c r="M82" s="39">
        <f>$J$3+[36]FormattedData!F59*$J$4+$M$4*$J$5+[36]FormattedData!F59^2*$J$6+$M$5*$J$7</f>
        <v>28.433398069402109</v>
      </c>
      <c r="N82" s="39">
        <f>$J$3+[36]FormattedData!G59*$J$4+$M$4*$J$5+[36]FormattedData!G59^2*$J$6+$M$5*$J$7</f>
        <v>28.531310875872972</v>
      </c>
      <c r="O82" s="39">
        <f>$J$3+[36]FormattedData!H59*$J$4+$M$4*$J$5+[36]FormattedData!H59^2*$J$6+$M$5*$J$7</f>
        <v>28.139406038761933</v>
      </c>
      <c r="P82" s="39">
        <f>$J$3+[36]FormattedData!I59*$J$4+$M$4*$J$5+[36]FormattedData!I59^2*$J$6+$M$5*$J$7</f>
        <v>27.353567474719163</v>
      </c>
      <c r="Q82" s="39">
        <f>$J$3+[36]FormattedData!J59*$J$4+$M$4*$J$5+[36]FormattedData!J59^2*$J$6+$M$5*$J$7</f>
        <v>28.335442994393318</v>
      </c>
      <c r="R82" s="39">
        <f>$J$3+[36]FormattedData!K59*$J$4+$M$4*$J$5+[36]FormattedData!K59^2*$J$6+$M$5*$J$7</f>
        <v>28.139406038761933</v>
      </c>
      <c r="S82" s="39">
        <f>$J$3+[36]FormattedData!L59*$J$4+$M$4*$J$5+[36]FormattedData!L59^2*$J$6+$M$5*$J$7</f>
        <v>28.531310875872972</v>
      </c>
      <c r="T82" s="39">
        <f>$J$3+[36]FormattedData!M59*$J$4+$M$4*$J$5+[36]FormattedData!M59^2*$J$6+$M$5*$J$7</f>
        <v>28.531310875872972</v>
      </c>
      <c r="U82" s="39">
        <f>$J$3+[36]FormattedData!N59*$J$4+$M$4*$J$5+[36]FormattedData!N59^2*$J$6+$M$5*$J$7</f>
        <v>28.041324158139346</v>
      </c>
      <c r="V82" s="39">
        <f>$J$3+[36]FormattedData!O59*$J$4+$M$4*$J$5+[36]FormattedData!O59^2*$J$6+$M$5*$J$7</f>
        <v>27.746824905043997</v>
      </c>
      <c r="W82" s="38">
        <f>AVERAGE(K82:V82)</f>
        <v>27.975182448797849</v>
      </c>
      <c r="X82" s="37">
        <f>STDEV(K82:V82)/SQRT(COUNT(K82:V82))</f>
        <v>0.17413822894997388</v>
      </c>
      <c r="Y82" s="36">
        <f>MIN(K82:V82)</f>
        <v>26.663739632940356</v>
      </c>
      <c r="Z82" s="35">
        <f>QUARTILE(K82:V82,1)</f>
        <v>27.648510547462788</v>
      </c>
      <c r="AA82" s="36">
        <f>MEDIAN(K82:V82)</f>
        <v>28.139406038761933</v>
      </c>
      <c r="AB82" s="35">
        <f>QUARTILE(K82:V82,3)</f>
        <v>28.457876271019824</v>
      </c>
      <c r="AC82" s="35">
        <f>MAX(K82:V82)</f>
        <v>28.531310875872972</v>
      </c>
      <c r="AD82" s="35">
        <f>SKEW(K82:V82)</f>
        <v>-1.0997178797903493</v>
      </c>
      <c r="AE82" s="35">
        <f>KURT(K82:V82)</f>
        <v>0.40323237871681172</v>
      </c>
    </row>
    <row r="83" spans="2:31" x14ac:dyDescent="0.2">
      <c r="B83" s="34">
        <f>[36]FormattedData!A55</f>
        <v>904</v>
      </c>
      <c r="C83" s="34" t="str">
        <f>VLOOKUP($B83,[36]TrtCodes!$B$11:I98,2)</f>
        <v>Early</v>
      </c>
      <c r="D83" s="34">
        <f>VLOOKUP($B83,[36]TrtCodes!$B$11:J98,3)</f>
        <v>21</v>
      </c>
      <c r="E83" s="34">
        <f>VLOOKUP($B83,[36]TrtCodes!$B$11:K98,4)</f>
        <v>3</v>
      </c>
      <c r="F83" s="34">
        <f>VLOOKUP($B83,[36]TrtCodes!$B$11:L98,5)</f>
        <v>2</v>
      </c>
      <c r="G83" s="34">
        <f>VLOOKUP($B83,[36]TrtCodes!$B$11:M98,6)</f>
        <v>2</v>
      </c>
      <c r="H83" s="34">
        <f>VLOOKUP($B83,[36]TrtCodes!$B$11:N98,7)</f>
        <v>1</v>
      </c>
      <c r="I83" s="34">
        <f>[36]FormattedData!B55</f>
        <v>2</v>
      </c>
      <c r="J83" s="37">
        <f>[36]FormattedData!C55</f>
        <v>13.101000000000001</v>
      </c>
      <c r="K83" s="39">
        <f>$J$3+[36]FormattedData!D55*$J$4+$M$4*$J$5+[36]FormattedData!D55^2*$J$6+$M$5*$J$7</f>
        <v>27.05818058232726</v>
      </c>
      <c r="L83" s="39">
        <f>$J$3+[36]FormattedData!E55*$J$4+$M$4*$J$5+[36]FormattedData!E55^2*$J$6+$M$5*$J$7</f>
        <v>27.550280726957443</v>
      </c>
      <c r="M83" s="39">
        <f>$J$3+[36]FormattedData!F55*$J$4+$M$4*$J$5+[36]FormattedData!F55^2*$J$6+$M$5*$J$7</f>
        <v>28.237445650846588</v>
      </c>
      <c r="N83" s="39">
        <f>$J$3+[36]FormattedData!G55*$J$4+$M$4*$J$5+[36]FormattedData!G55^2*$J$6+$M$5*$J$7</f>
        <v>27.05818058232726</v>
      </c>
      <c r="O83" s="39">
        <f>$J$3+[36]FormattedData!H55*$J$4+$M$4*$J$5+[36]FormattedData!H55^2*$J$6+$M$5*$J$7</f>
        <v>28.335442994393318</v>
      </c>
      <c r="P83" s="39">
        <f>$J$3+[36]FormattedData!I55*$J$4+$M$4*$J$5+[36]FormattedData!I55^2*$J$6+$M$5*$J$7</f>
        <v>27.943200008978831</v>
      </c>
      <c r="Q83" s="39">
        <f>$J$3+[36]FormattedData!J55*$J$4+$M$4*$J$5+[36]FormattedData!J55^2*$J$6+$M$5*$J$7</f>
        <v>29.215517002106939</v>
      </c>
      <c r="R83" s="39">
        <f>$J$3+[36]FormattedData!K55*$J$4+$M$4*$J$5+[36]FormattedData!K55^2*$J$6+$M$5*$J$7</f>
        <v>26.663739632940356</v>
      </c>
      <c r="S83" s="39">
        <f>$J$3+[36]FormattedData!L55*$J$4+$M$4*$J$5+[36]FormattedData!L55^2*$J$6+$M$5*$J$7</f>
        <v>27.05818058232726</v>
      </c>
      <c r="T83" s="39">
        <f>$J$3+[36]FormattedData!M55*$J$4+$M$4*$J$5+[36]FormattedData!M55^2*$J$6+$M$5*$J$7</f>
        <v>27.451945235107271</v>
      </c>
      <c r="U83" s="39">
        <f>$J$3+[36]FormattedData!N55*$J$4+$M$4*$J$5+[36]FormattedData!N55^2*$J$6+$M$5*$J$7</f>
        <v>27.550280726957443</v>
      </c>
      <c r="V83" s="39">
        <f>$J$3+[36]FormattedData!O55*$J$4+$M$4*$J$5+[36]FormattedData!O55^2*$J$6+$M$5*$J$7</f>
        <v>26.959633747787436</v>
      </c>
      <c r="W83" s="38">
        <f>AVERAGE(K83:V83)</f>
        <v>27.590168956088117</v>
      </c>
      <c r="X83" s="37">
        <f>STDEV(K83:V83)/SQRT(COUNT(K83:V83))</f>
        <v>0.21084168401089554</v>
      </c>
      <c r="Y83" s="36">
        <f>MIN(K83:V83)</f>
        <v>26.663739632940356</v>
      </c>
      <c r="Z83" s="35">
        <f>QUARTILE(K83:V83,1)</f>
        <v>27.05818058232726</v>
      </c>
      <c r="AA83" s="36">
        <f>MEDIAN(K83:V83)</f>
        <v>27.501112981032357</v>
      </c>
      <c r="AB83" s="35">
        <f>QUARTILE(K83:V83,3)</f>
        <v>28.016761419445771</v>
      </c>
      <c r="AC83" s="35">
        <f>MAX(K83:V83)</f>
        <v>29.215517002106939</v>
      </c>
      <c r="AD83" s="35">
        <f>SKEW(K83:V83)</f>
        <v>0.98631830504261053</v>
      </c>
      <c r="AE83" s="35">
        <f>KURT(K83:V83)</f>
        <v>0.73641902412842342</v>
      </c>
    </row>
    <row r="84" spans="2:31" x14ac:dyDescent="0.2">
      <c r="B84" s="34">
        <f>[36]FormattedData!A51</f>
        <v>906</v>
      </c>
      <c r="C84" s="34" t="str">
        <f>VLOOKUP($B84,[36]TrtCodes!$B$11:I94,2)</f>
        <v>Late</v>
      </c>
      <c r="D84" s="34">
        <f>VLOOKUP($B84,[36]TrtCodes!$B$11:J94,3)</f>
        <v>22</v>
      </c>
      <c r="E84" s="34">
        <f>VLOOKUP($B84,[36]TrtCodes!$B$11:K94,4)</f>
        <v>4</v>
      </c>
      <c r="F84" s="34">
        <f>VLOOKUP($B84,[36]TrtCodes!$B$11:L94,5)</f>
        <v>2</v>
      </c>
      <c r="G84" s="34">
        <f>VLOOKUP($B84,[36]TrtCodes!$B$11:M94,6)</f>
        <v>2</v>
      </c>
      <c r="H84" s="34">
        <f>VLOOKUP($B84,[36]TrtCodes!$B$11:N94,7)</f>
        <v>2</v>
      </c>
      <c r="I84" s="34">
        <f>[36]FormattedData!B51</f>
        <v>2</v>
      </c>
      <c r="J84" s="37">
        <f>[36]FormattedData!C51</f>
        <v>13.079000000000001</v>
      </c>
      <c r="K84" s="39">
        <f>$J$3+[36]FormattedData!D51*$J$4+$M$4*$J$5+[36]FormattedData!D51^2*$J$6+$M$5*$J$7</f>
        <v>28.139406038761933</v>
      </c>
      <c r="L84" s="39">
        <f>$J$3+[36]FormattedData!E51*$J$4+$M$4*$J$5+[36]FormattedData!E51^2*$J$6+$M$5*$J$7</f>
        <v>27.451945235107271</v>
      </c>
      <c r="M84" s="39">
        <f>$J$3+[36]FormattedData!F51*$J$4+$M$4*$J$5+[36]FormattedData!F51^2*$J$6+$M$5*$J$7</f>
        <v>29.800330923042459</v>
      </c>
      <c r="N84" s="39">
        <f>$J$3+[36]FormattedData!G51*$J$4+$M$4*$J$5+[36]FormattedData!G51^2*$J$6+$M$5*$J$7</f>
        <v>28.433398069402109</v>
      </c>
      <c r="O84" s="39">
        <f>$J$3+[36]FormattedData!H51*$J$4+$M$4*$J$5+[36]FormattedData!H51^2*$J$6+$M$5*$J$7</f>
        <v>28.433398069402109</v>
      </c>
      <c r="P84" s="39">
        <f>$J$3+[36]FormattedData!I51*$J$4+$M$4*$J$5+[36]FormattedData!I51^2*$J$6+$M$5*$J$7</f>
        <v>29.020240880158319</v>
      </c>
      <c r="Q84" s="39">
        <f>$J$3+[36]FormattedData!J51*$J$4+$M$4*$J$5+[36]FormattedData!J51^2*$J$6+$M$5*$J$7</f>
        <v>27.746824905043997</v>
      </c>
      <c r="R84" s="39">
        <f>$J$3+[36]FormattedData!K51*$J$4+$M$4*$J$5+[36]FormattedData!K51^2*$J$6+$M$5*$J$7</f>
        <v>26.959633747787436</v>
      </c>
      <c r="S84" s="39">
        <f>$J$3+[36]FormattedData!L51*$J$4+$M$4*$J$5+[36]FormattedData!L51^2*$J$6+$M$5*$J$7</f>
        <v>27.255147445793124</v>
      </c>
      <c r="T84" s="39">
        <f>$J$3+[36]FormattedData!M51*$J$4+$M$4*$J$5+[36]FormattedData!M51^2*$J$6+$M$5*$J$7</f>
        <v>27.451945235107271</v>
      </c>
      <c r="U84" s="39">
        <f>$J$3+[36]FormattedData!N51*$J$4+$M$4*$J$5+[36]FormattedData!N51^2*$J$6+$M$5*$J$7</f>
        <v>27.451945235107271</v>
      </c>
      <c r="V84" s="39">
        <f>$J$3+[36]FormattedData!O51*$J$4+$M$4*$J$5+[36]FormattedData!O51^2*$J$6+$M$5*$J$7</f>
        <v>26.861044644709668</v>
      </c>
      <c r="W84" s="38">
        <f>AVERAGE(K84:V84)</f>
        <v>27.917105035785244</v>
      </c>
      <c r="X84" s="37">
        <f>STDEV(K84:V84)/SQRT(COUNT(K84:V84))</f>
        <v>0.25367454205614465</v>
      </c>
      <c r="Y84" s="36">
        <f>MIN(K84:V84)</f>
        <v>26.861044644709668</v>
      </c>
      <c r="Z84" s="35">
        <f>QUARTILE(K84:V84,1)</f>
        <v>27.402745787778734</v>
      </c>
      <c r="AA84" s="36">
        <f>MEDIAN(K84:V84)</f>
        <v>27.599385070075634</v>
      </c>
      <c r="AB84" s="35">
        <f>QUARTILE(K84:V84,3)</f>
        <v>28.433398069402109</v>
      </c>
      <c r="AC84" s="35">
        <f>MAX(K84:V84)</f>
        <v>29.800330923042459</v>
      </c>
      <c r="AD84" s="35">
        <f>SKEW(K84:V84)</f>
        <v>0.90912885835618173</v>
      </c>
      <c r="AE84" s="35">
        <f>KURT(K84:V84)</f>
        <v>0.35878573272121628</v>
      </c>
    </row>
    <row r="85" spans="2:31" x14ac:dyDescent="0.2">
      <c r="B85" s="34">
        <f>[36]FormattedData!A47</f>
        <v>908</v>
      </c>
      <c r="C85" s="34" t="str">
        <f>VLOOKUP($B85,[36]TrtCodes!$B$11:I90,2)</f>
        <v>Early</v>
      </c>
      <c r="D85" s="34">
        <f>VLOOKUP($B85,[36]TrtCodes!$B$11:J90,3)</f>
        <v>21</v>
      </c>
      <c r="E85" s="34">
        <f>VLOOKUP($B85,[36]TrtCodes!$B$11:K90,4)</f>
        <v>3</v>
      </c>
      <c r="F85" s="34">
        <f>VLOOKUP($B85,[36]TrtCodes!$B$11:L90,5)</f>
        <v>2</v>
      </c>
      <c r="G85" s="34">
        <f>VLOOKUP($B85,[36]TrtCodes!$B$11:M90,6)</f>
        <v>2</v>
      </c>
      <c r="H85" s="34">
        <f>VLOOKUP($B85,[36]TrtCodes!$B$11:N90,7)</f>
        <v>2</v>
      </c>
      <c r="I85" s="34">
        <f>[36]FormattedData!B47</f>
        <v>2</v>
      </c>
      <c r="J85" s="37">
        <f>[36]FormattedData!C47</f>
        <v>13.057</v>
      </c>
      <c r="K85" s="39">
        <f>$J$3+[36]FormattedData!D47*$J$4+$M$4*$J$5+[36]FormattedData!D47^2*$J$6+$M$5*$J$7</f>
        <v>27.550280726957443</v>
      </c>
      <c r="L85" s="39">
        <f>$J$3+[36]FormattedData!E47*$J$4+$M$4*$J$5+[36]FormattedData!E47^2*$J$6+$M$5*$J$7</f>
        <v>27.550280726957443</v>
      </c>
      <c r="M85" s="39">
        <f>$J$3+[36]FormattedData!F47*$J$4+$M$4*$J$5+[36]FormattedData!F47^2*$J$6+$M$5*$J$7</f>
        <v>27.255147445793124</v>
      </c>
      <c r="N85" s="39">
        <f>$J$3+[36]FormattedData!G47*$J$4+$M$4*$J$5+[36]FormattedData!G47^2*$J$6+$M$5*$J$7</f>
        <v>28.041324158139346</v>
      </c>
      <c r="O85" s="39">
        <f>$J$3+[36]FormattedData!H47*$J$4+$M$4*$J$5+[36]FormattedData!H47^2*$J$6+$M$5*$J$7</f>
        <v>28.531310875872972</v>
      </c>
      <c r="P85" s="39">
        <f>$J$3+[36]FormattedData!I47*$J$4+$M$4*$J$5+[36]FormattedData!I47^2*$J$6+$M$5*$J$7</f>
        <v>28.727009683200905</v>
      </c>
      <c r="Q85" s="39">
        <f>$J$3+[36]FormattedData!J47*$J$4+$M$4*$J$5+[36]FormattedData!J47^2*$J$6+$M$5*$J$7</f>
        <v>27.451945235107271</v>
      </c>
      <c r="R85" s="39">
        <f>$J$3+[36]FormattedData!K47*$J$4+$M$4*$J$5+[36]FormattedData!K47^2*$J$6+$M$5*$J$7</f>
        <v>26.169737404103273</v>
      </c>
      <c r="S85" s="39">
        <f>$J$3+[36]FormattedData!L47*$J$4+$M$4*$J$5+[36]FormattedData!L47^2*$J$6+$M$5*$J$7</f>
        <v>27.255147445793124</v>
      </c>
      <c r="T85" s="39">
        <f>$J$3+[36]FormattedData!M47*$J$4+$M$4*$J$5+[36]FormattedData!M47^2*$J$6+$M$5*$J$7</f>
        <v>26.070810152722057</v>
      </c>
      <c r="U85" s="39">
        <f>$J$3+[36]FormattedData!N47*$J$4+$M$4*$J$5+[36]FormattedData!N47^2*$J$6+$M$5*$J$7</f>
        <v>27.255147445793124</v>
      </c>
      <c r="V85" s="39">
        <f>$J$3+[36]FormattedData!O47*$J$4+$M$4*$J$5+[36]FormattedData!O47^2*$J$6+$M$5*$J$7</f>
        <v>28.139406038761933</v>
      </c>
      <c r="W85" s="38">
        <f>AVERAGE(K85:V85)</f>
        <v>27.499795611600163</v>
      </c>
      <c r="X85" s="37">
        <f>STDEV(K85:V85)/SQRT(COUNT(K85:V85))</f>
        <v>0.23468922693513872</v>
      </c>
      <c r="Y85" s="36">
        <f>MIN(K85:V85)</f>
        <v>26.070810152722057</v>
      </c>
      <c r="Z85" s="35">
        <f>QUARTILE(K85:V85,1)</f>
        <v>27.255147445793124</v>
      </c>
      <c r="AA85" s="36">
        <f>MEDIAN(K85:V85)</f>
        <v>27.501112981032357</v>
      </c>
      <c r="AB85" s="35">
        <f>QUARTILE(K85:V85,3)</f>
        <v>28.065844628294993</v>
      </c>
      <c r="AC85" s="35">
        <f>MAX(K85:V85)</f>
        <v>28.727009683200905</v>
      </c>
      <c r="AD85" s="35">
        <f>SKEW(K85:V85)</f>
        <v>-0.39556998434196544</v>
      </c>
      <c r="AE85" s="35">
        <f>KURT(K85:V85)</f>
        <v>-7.8620131970558393E-2</v>
      </c>
    </row>
    <row r="88" spans="2:31" x14ac:dyDescent="0.2">
      <c r="W88" s="35"/>
    </row>
  </sheetData>
  <autoFilter ref="B9:AE85" xr:uid="{90DC7E0D-5549-498A-8135-2715F1006D57}"/>
  <conditionalFormatting sqref="K10:V85">
    <cfRule type="cellIs" dxfId="139" priority="1" stopIfTrue="1" operator="lessThan">
      <formula>$W10-$V$5*$X10</formula>
    </cfRule>
    <cfRule type="cellIs" dxfId="138" priority="2" stopIfTrue="1" operator="greaterThan">
      <formula>$W10+$V$5*$X10</formula>
    </cfRule>
  </conditionalFormatting>
  <conditionalFormatting sqref="W10:W85">
    <cfRule type="cellIs" dxfId="137" priority="3" stopIfTrue="1" operator="lessThan">
      <formula>AVERAGE($W$10:$W$41)</formula>
    </cfRule>
    <cfRule type="cellIs" dxfId="13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A413-FA4E-4C91-B8F9-61D2EBE9CAD6}">
  <sheetPr codeName="Sheet6"/>
  <dimension ref="A1:AI88"/>
  <sheetViews>
    <sheetView topLeftCell="A8" workbookViewId="0">
      <pane xSplit="4" ySplit="2" topLeftCell="L28" activePane="bottomRight" state="frozen"/>
      <selection activeCell="A8" sqref="A8"/>
      <selection pane="topRight" activeCell="E8" sqref="E8"/>
      <selection pane="bottomLeft" activeCell="A10" sqref="A10"/>
      <selection pane="bottomRight" activeCell="T87" sqref="T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[35]FormattedData!A1</f>
        <v>Raw data file name - 'IA163.03R'</v>
      </c>
    </row>
    <row r="2" spans="1:35" ht="15" x14ac:dyDescent="0.25">
      <c r="I2" s="65" t="s">
        <v>136</v>
      </c>
      <c r="J2" s="57"/>
      <c r="P2" s="64">
        <f>[35]AncillaryData!C10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[35]AncillaryData!E25</f>
        <v>36.6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"&amp;[35]AncillaryData!C7</f>
        <v>Time Sequence of Midday IRT Temps - FISE 2003 - DOY 163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"&amp;[35]AncillaryData!E25&amp;", VPD = "&amp;ROUND([35]AncillaryData!E29,1)&amp;", Quality = "&amp;[35]AncillaryData!C20&amp;")"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[35]FormattedData!A28</f>
        <v>101</v>
      </c>
      <c r="C10" s="34" t="str">
        <f>VLOOKUP($B10,[35]TrtCodes!$B$11:I71,2)</f>
        <v>FSH</v>
      </c>
      <c r="D10" s="34">
        <f>VLOOKUP($B10,[35]TrtCodes!$B$11:J71,3)</f>
        <v>1</v>
      </c>
      <c r="E10" s="34">
        <f>VLOOKUP($B10,[35]TrtCodes!$B$11:K71,4)</f>
        <v>1</v>
      </c>
      <c r="F10" s="34">
        <f>VLOOKUP($B10,[35]TrtCodes!$B$11:L71,5)</f>
        <v>1</v>
      </c>
      <c r="G10" s="34">
        <f>VLOOKUP($B10,[35]TrtCodes!$B$11:M71,6)</f>
        <v>2</v>
      </c>
      <c r="H10" s="34">
        <f>VLOOKUP($B10,[35]TrtCodes!$B$11:N71,7)</f>
        <v>1</v>
      </c>
      <c r="I10" s="34">
        <f>[35]FormattedData!B28</f>
        <v>1</v>
      </c>
      <c r="J10" s="37">
        <f>[35]FormattedData!C28</f>
        <v>13.218</v>
      </c>
      <c r="K10" s="39">
        <f>$J$3+[35]FormattedData!D28*$J$4+$M$4*$J$5+[35]FormattedData!D28^2*$J$6+$M$5*$J$7</f>
        <v>38.93730603828206</v>
      </c>
      <c r="L10" s="39">
        <f>$J$3+[35]FormattedData!E28*$J$4+$M$4*$J$5+[35]FormattedData!E28^2*$J$6+$M$5*$J$7</f>
        <v>39.030611574118431</v>
      </c>
      <c r="M10" s="39">
        <f>$J$3+[35]FormattedData!F28*$J$4+$M$4*$J$5+[35]FormattedData!F28^2*$J$6+$M$5*$J$7</f>
        <v>38.93730603828206</v>
      </c>
      <c r="N10" s="39">
        <f>$J$3+[35]FormattedData!G28*$J$4+$M$4*$J$5+[35]FormattedData!G28^2*$J$6+$M$5*$J$7</f>
        <v>39.030611574118431</v>
      </c>
      <c r="O10" s="39">
        <f>$J$3+[35]FormattedData!H28*$J$4+$M$4*$J$5+[35]FormattedData!H28^2*$J$6+$M$5*$J$7</f>
        <v>36.213058685027327</v>
      </c>
      <c r="P10" s="39">
        <f>$J$3+[35]FormattedData!I28*$J$4+$M$4*$J$5+[35]FormattedData!I28^2*$J$6+$M$5*$J$7</f>
        <v>37.532650776184795</v>
      </c>
      <c r="Q10" s="39">
        <f>$J$3+[35]FormattedData!J28*$J$4+$M$4*$J$5+[35]FormattedData!J28^2*$J$6+$M$5*$J$7</f>
        <v>37.06231892858915</v>
      </c>
      <c r="R10" s="39">
        <f>$J$3+[35]FormattedData!K28*$J$4+$M$4*$J$5+[35]FormattedData!K28^2*$J$6+$M$5*$J$7</f>
        <v>38.282983768365405</v>
      </c>
      <c r="S10" s="39">
        <f>$J$3+[35]FormattedData!L28*$J$4+$M$4*$J$5+[35]FormattedData!L28^2*$J$6+$M$5*$J$7</f>
        <v>42.361460017965555</v>
      </c>
      <c r="T10" s="39">
        <f>$J$3+[35]FormattedData!M28*$J$4+$M$4*$J$5+[35]FormattedData!M28^2*$J$6+$M$5*$J$7</f>
        <v>39.030611574118431</v>
      </c>
      <c r="U10" s="39">
        <f>$J$3+[35]FormattedData!N28*$J$4+$M$4*$J$5+[35]FormattedData!N28^2*$J$6+$M$5*$J$7</f>
        <v>42.085981606939221</v>
      </c>
      <c r="V10" s="39">
        <f>$J$3+[35]FormattedData!O28*$J$4+$M$4*$J$5+[35]FormattedData!O28^2*$J$6+$M$5*$J$7</f>
        <v>39.775534193443853</v>
      </c>
      <c r="W10" s="38">
        <f>AVERAGE(K10:V10)</f>
        <v>39.023369564619564</v>
      </c>
      <c r="X10" s="37">
        <f>STDEV(K10:V10)/SQRT(COUNT(K10:V10))</f>
        <v>0.51944859821744138</v>
      </c>
      <c r="Y10" s="36">
        <f>MIN(K10:V10)</f>
        <v>36.213058685027327</v>
      </c>
      <c r="Z10" s="35">
        <f>QUARTILE(K10:V10,1)</f>
        <v>38.095400520320254</v>
      </c>
      <c r="AA10" s="36">
        <f>MEDIAN(K10:V10)</f>
        <v>38.983958806200249</v>
      </c>
      <c r="AB10" s="35">
        <f>QUARTILE(K10:V10,3)</f>
        <v>39.216842228949787</v>
      </c>
      <c r="AC10" s="35">
        <f>MAX(K10:V10)</f>
        <v>42.361460017965555</v>
      </c>
      <c r="AD10" s="35">
        <f>SKEW(K10:V10)</f>
        <v>0.61582796380403049</v>
      </c>
      <c r="AE10" s="35">
        <f>KURT(K10:V10)</f>
        <v>0.39845431990926361</v>
      </c>
    </row>
    <row r="11" spans="1:35" x14ac:dyDescent="0.2">
      <c r="B11" s="34">
        <f>[35]FormattedData!A26</f>
        <v>102</v>
      </c>
      <c r="C11" s="34" t="str">
        <f>VLOOKUP($B11,[35]TrtCodes!$B$11:I69,2)</f>
        <v>FTL</v>
      </c>
      <c r="D11" s="34">
        <f>VLOOKUP($B11,[35]TrtCodes!$B$11:J69,3)</f>
        <v>4</v>
      </c>
      <c r="E11" s="34">
        <f>VLOOKUP($B11,[35]TrtCodes!$B$11:K69,4)</f>
        <v>1</v>
      </c>
      <c r="F11" s="34">
        <f>VLOOKUP($B11,[35]TrtCodes!$B$11:L69,5)</f>
        <v>2</v>
      </c>
      <c r="G11" s="34">
        <f>VLOOKUP($B11,[35]TrtCodes!$B$11:M69,6)</f>
        <v>1</v>
      </c>
      <c r="H11" s="34">
        <f>VLOOKUP($B11,[35]TrtCodes!$B$11:N69,7)</f>
        <v>1</v>
      </c>
      <c r="I11" s="34">
        <f>[35]FormattedData!B26</f>
        <v>1</v>
      </c>
      <c r="J11" s="37">
        <f>[35]FormattedData!C26</f>
        <v>13.201000000000001</v>
      </c>
      <c r="K11" s="39">
        <f>$J$3+[35]FormattedData!D26*$J$4+$M$4*$J$5+[35]FormattedData!D26^2*$J$6+$M$5*$J$7</f>
        <v>38.282983768365405</v>
      </c>
      <c r="L11" s="39">
        <f>$J$3+[35]FormattedData!E26*$J$4+$M$4*$J$5+[35]FormattedData!E26^2*$J$6+$M$5*$J$7</f>
        <v>38.001925910332162</v>
      </c>
      <c r="M11" s="39">
        <f>$J$3+[35]FormattedData!F26*$J$4+$M$4*$J$5+[35]FormattedData!F26^2*$J$6+$M$5*$J$7</f>
        <v>36.590930367545226</v>
      </c>
      <c r="N11" s="39">
        <f>$J$3+[35]FormattedData!G26*$J$4+$M$4*$J$5+[35]FormattedData!G26^2*$J$6+$M$5*$J$7</f>
        <v>37.626590340090125</v>
      </c>
      <c r="O11" s="39">
        <f>$J$3+[35]FormattedData!H26*$J$4+$M$4*$J$5+[35]FormattedData!H26^2*$J$6+$M$5*$J$7</f>
        <v>35.45528643017083</v>
      </c>
      <c r="P11" s="39">
        <f>$J$3+[35]FormattedData!I26*$J$4+$M$4*$J$5+[35]FormattedData!I26^2*$J$6+$M$5*$J$7</f>
        <v>37.250578473241205</v>
      </c>
      <c r="Q11" s="39">
        <f>$J$3+[35]FormattedData!J26*$J$4+$M$4*$J$5+[35]FormattedData!J26^2*$J$6+$M$5*$J$7</f>
        <v>36.779612597576595</v>
      </c>
      <c r="R11" s="39">
        <f>$J$3+[35]FormattedData!K26*$J$4+$M$4*$J$5+[35]FormattedData!K26^2*$J$6+$M$5*$J$7</f>
        <v>37.06231892858915</v>
      </c>
      <c r="S11" s="39">
        <f>$J$3+[35]FormattedData!L26*$J$4+$M$4*$J$5+[35]FormattedData!L26^2*$J$6+$M$5*$J$7</f>
        <v>37.15646983518414</v>
      </c>
      <c r="T11" s="39">
        <f>$J$3+[35]FormattedData!M26*$J$4+$M$4*$J$5+[35]FormattedData!M26^2*$J$6+$M$5*$J$7</f>
        <v>37.344644842760331</v>
      </c>
      <c r="U11" s="39">
        <f>$J$3+[35]FormattedData!N26*$J$4+$M$4*$J$5+[35]FormattedData!N26^2*$J$6+$M$5*$J$7</f>
        <v>35.929211103490616</v>
      </c>
      <c r="V11" s="39">
        <f>$J$3+[35]FormattedData!O26*$J$4+$M$4*$J$5+[35]FormattedData!O26^2*$J$6+$M$5*$J$7</f>
        <v>36.118485093053025</v>
      </c>
      <c r="W11" s="38">
        <f>AVERAGE(K11:V11)</f>
        <v>36.9665864741999</v>
      </c>
      <c r="X11" s="37">
        <f>STDEV(K11:V11)/SQRT(COUNT(K11:V11))</f>
        <v>0.24253651463285356</v>
      </c>
      <c r="Y11" s="36">
        <f>MIN(K11:V11)</f>
        <v>35.45528643017083</v>
      </c>
      <c r="Z11" s="35">
        <f>QUARTILE(K11:V11,1)</f>
        <v>36.472819048922176</v>
      </c>
      <c r="AA11" s="36">
        <f>MEDIAN(K11:V11)</f>
        <v>37.109394381886645</v>
      </c>
      <c r="AB11" s="35">
        <f>QUARTILE(K11:V11,3)</f>
        <v>37.415131217092778</v>
      </c>
      <c r="AC11" s="35">
        <f>MAX(K11:V11)</f>
        <v>38.282983768365405</v>
      </c>
      <c r="AD11" s="35">
        <f>SKEW(K11:V11)</f>
        <v>-0.27124854228752443</v>
      </c>
      <c r="AE11" s="35">
        <f>KURT(K11:V11)</f>
        <v>-0.46505227491190704</v>
      </c>
    </row>
    <row r="12" spans="1:35" x14ac:dyDescent="0.2">
      <c r="B12" s="34">
        <f>[35]FormattedData!A24</f>
        <v>103</v>
      </c>
      <c r="C12" s="34" t="str">
        <f>VLOOKUP($B12,[35]TrtCodes!$B$11:I67,2)</f>
        <v>FDH</v>
      </c>
      <c r="D12" s="34">
        <f>VLOOKUP($B12,[35]TrtCodes!$B$11:J67,3)</f>
        <v>5</v>
      </c>
      <c r="E12" s="34">
        <f>VLOOKUP($B12,[35]TrtCodes!$B$11:K67,4)</f>
        <v>1</v>
      </c>
      <c r="F12" s="34">
        <f>VLOOKUP($B12,[35]TrtCodes!$B$11:L67,5)</f>
        <v>3</v>
      </c>
      <c r="G12" s="34">
        <f>VLOOKUP($B12,[35]TrtCodes!$B$11:M67,6)</f>
        <v>2</v>
      </c>
      <c r="H12" s="34">
        <f>VLOOKUP($B12,[35]TrtCodes!$B$11:N67,7)</f>
        <v>1</v>
      </c>
      <c r="I12" s="34">
        <f>[35]FormattedData!B24</f>
        <v>1</v>
      </c>
      <c r="J12" s="37">
        <f>[35]FormattedData!C24</f>
        <v>13.185</v>
      </c>
      <c r="K12" s="39">
        <f>$J$3+[35]FormattedData!D24*$J$4+$M$4*$J$5+[35]FormattedData!D24^2*$J$6+$M$5*$J$7</f>
        <v>38.001925910332162</v>
      </c>
      <c r="L12" s="39">
        <f>$J$3+[35]FormattedData!E24*$J$4+$M$4*$J$5+[35]FormattedData!E24^2*$J$6+$M$5*$J$7</f>
        <v>34.218136860601426</v>
      </c>
      <c r="M12" s="39">
        <f>$J$3+[35]FormattedData!F24*$J$4+$M$4*$J$5+[35]FormattedData!F24^2*$J$6+$M$5*$J$7</f>
        <v>36.40207906336213</v>
      </c>
      <c r="N12" s="39">
        <f>$J$3+[35]FormattedData!G24*$J$4+$M$4*$J$5+[35]FormattedData!G24^2*$J$6+$M$5*$J$7</f>
        <v>34.599559100305548</v>
      </c>
      <c r="O12" s="39">
        <f>$J$3+[35]FormattedData!H24*$J$4+$M$4*$J$5+[35]FormattedData!H24^2*$J$6+$M$5*$J$7</f>
        <v>34.599559100305548</v>
      </c>
      <c r="P12" s="39">
        <f>$J$3+[35]FormattedData!I24*$J$4+$M$4*$J$5+[35]FormattedData!I24^2*$J$6+$M$5*$J$7</f>
        <v>34.408932517529358</v>
      </c>
      <c r="Q12" s="39">
        <f>$J$3+[35]FormattedData!J24*$J$4+$M$4*$J$5+[35]FormattedData!J24^2*$J$6+$M$5*$J$7</f>
        <v>32.493367611422549</v>
      </c>
      <c r="R12" s="39">
        <f>$J$3+[35]FormattedData!K24*$J$4+$M$4*$J$5+[35]FormattedData!K24^2*$J$6+$M$5*$J$7</f>
        <v>36.779612597576595</v>
      </c>
      <c r="S12" s="39">
        <f>$J$3+[35]FormattedData!L24*$J$4+$M$4*$J$5+[35]FormattedData!L24^2*$J$6+$M$5*$J$7</f>
        <v>32.30088121297738</v>
      </c>
      <c r="T12" s="39">
        <f>$J$3+[35]FormattedData!M24*$J$4+$M$4*$J$5+[35]FormattedData!M24^2*$J$6+$M$5*$J$7</f>
        <v>37.720487635457538</v>
      </c>
      <c r="U12" s="39">
        <f>$J$3+[35]FormattedData!N24*$J$4+$M$4*$J$5+[35]FormattedData!N24^2*$J$6+$M$5*$J$7</f>
        <v>35.834510705902531</v>
      </c>
      <c r="V12" s="39">
        <f>$J$3+[35]FormattedData!O24*$J$4+$M$4*$J$5+[35]FormattedData!O24^2*$J$6+$M$5*$J$7</f>
        <v>34.122675629330573</v>
      </c>
      <c r="W12" s="38">
        <f>AVERAGE(K12:V12)</f>
        <v>35.123477328758611</v>
      </c>
      <c r="X12" s="37">
        <f>STDEV(K12:V12)/SQRT(COUNT(K12:V12))</f>
        <v>0.53426833236655269</v>
      </c>
      <c r="Y12" s="36">
        <f>MIN(K12:V12)</f>
        <v>32.30088121297738</v>
      </c>
      <c r="Z12" s="35">
        <f>QUARTILE(K12:V12,1)</f>
        <v>34.194271552783711</v>
      </c>
      <c r="AA12" s="36">
        <f>MEDIAN(K12:V12)</f>
        <v>34.599559100305548</v>
      </c>
      <c r="AB12" s="35">
        <f>QUARTILE(K12:V12,3)</f>
        <v>36.496462446915743</v>
      </c>
      <c r="AC12" s="35">
        <f>MAX(K12:V12)</f>
        <v>38.001925910332162</v>
      </c>
      <c r="AD12" s="35">
        <f>SKEW(K12:V12)</f>
        <v>9.0834372724580031E-2</v>
      </c>
      <c r="AE12" s="35">
        <f>KURT(K12:V12)</f>
        <v>-0.83690194558011965</v>
      </c>
    </row>
    <row r="13" spans="1:35" x14ac:dyDescent="0.2">
      <c r="B13" s="34">
        <f>[35]FormattedData!A22</f>
        <v>104</v>
      </c>
      <c r="C13" s="34" t="str">
        <f>VLOOKUP($B13,[35]TrtCodes!$B$11:I65,2)</f>
        <v>NTL</v>
      </c>
      <c r="D13" s="34">
        <f>VLOOKUP($B13,[35]TrtCodes!$B$11:J65,3)</f>
        <v>10</v>
      </c>
      <c r="E13" s="34">
        <f>VLOOKUP($B13,[35]TrtCodes!$B$11:K65,4)</f>
        <v>2</v>
      </c>
      <c r="F13" s="34">
        <f>VLOOKUP($B13,[35]TrtCodes!$B$11:L65,5)</f>
        <v>2</v>
      </c>
      <c r="G13" s="34">
        <f>VLOOKUP($B13,[35]TrtCodes!$B$11:M65,6)</f>
        <v>1</v>
      </c>
      <c r="H13" s="34">
        <f>VLOOKUP($B13,[35]TrtCodes!$B$11:N65,7)</f>
        <v>1</v>
      </c>
      <c r="I13" s="34">
        <f>[35]FormattedData!B22</f>
        <v>1</v>
      </c>
      <c r="J13" s="37">
        <f>[35]FormattedData!C22</f>
        <v>13.167999999999999</v>
      </c>
      <c r="K13" s="39">
        <f>$J$3+[35]FormattedData!D22*$J$4+$M$4*$J$5+[35]FormattedData!D22^2*$J$6+$M$5*$J$7</f>
        <v>36.118485093053025</v>
      </c>
      <c r="L13" s="39">
        <f>$J$3+[35]FormattedData!E22*$J$4+$M$4*$J$5+[35]FormattedData!E22^2*$J$6+$M$5*$J$7</f>
        <v>34.694808988886741</v>
      </c>
      <c r="M13" s="39">
        <f>$J$3+[35]FormattedData!F22*$J$4+$M$4*$J$5+[35]FormattedData!F22^2*$J$6+$M$5*$J$7</f>
        <v>35.7397680397765</v>
      </c>
      <c r="N13" s="39">
        <f>$J$3+[35]FormattedData!G22*$J$4+$M$4*$J$5+[35]FormattedData!G22^2*$J$6+$M$5*$J$7</f>
        <v>34.02717212952178</v>
      </c>
      <c r="O13" s="39">
        <f>$J$3+[35]FormattedData!H22*$J$4+$M$4*$J$5+[35]FormattedData!H22^2*$J$6+$M$5*$J$7</f>
        <v>35.644983105112544</v>
      </c>
      <c r="P13" s="39">
        <f>$J$3+[35]FormattedData!I22*$J$4+$M$4*$J$5+[35]FormattedData!I22^2*$J$6+$M$5*$J$7</f>
        <v>36.496525849722644</v>
      </c>
      <c r="Q13" s="39">
        <f>$J$3+[35]FormattedData!J22*$J$4+$M$4*$J$5+[35]FormattedData!J22^2*$J$6+$M$5*$J$7</f>
        <v>34.885181960435361</v>
      </c>
      <c r="R13" s="39">
        <f>$J$3+[35]FormattedData!K22*$J$4+$M$4*$J$5+[35]FormattedData!K22^2*$J$6+$M$5*$J$7</f>
        <v>34.980305043402758</v>
      </c>
      <c r="S13" s="39">
        <f>$J$3+[35]FormattedData!L22*$J$4+$M$4*$J$5+[35]FormattedData!L22^2*$J$6+$M$5*$J$7</f>
        <v>34.218136860601426</v>
      </c>
      <c r="T13" s="39">
        <f>$J$3+[35]FormattedData!M22*$J$4+$M$4*$J$5+[35]FormattedData!M22^2*$J$6+$M$5*$J$7</f>
        <v>36.40207906336213</v>
      </c>
      <c r="U13" s="39">
        <f>$J$3+[35]FormattedData!N22*$J$4+$M$4*$J$5+[35]FormattedData!N22^2*$J$6+$M$5*$J$7</f>
        <v>33.740408018867832</v>
      </c>
      <c r="V13" s="39">
        <f>$J$3+[35]FormattedData!O22*$J$4+$M$4*$J$5+[35]FormattedData!O22^2*$J$6+$M$5*$J$7</f>
        <v>34.599559100305548</v>
      </c>
      <c r="W13" s="38">
        <f>AVERAGE(K13:V13)</f>
        <v>35.128951104420686</v>
      </c>
      <c r="X13" s="37">
        <f>STDEV(K13:V13)/SQRT(COUNT(K13:V13))</f>
        <v>0.27012181689354819</v>
      </c>
      <c r="Y13" s="36">
        <f>MIN(K13:V13)</f>
        <v>33.740408018867832</v>
      </c>
      <c r="Z13" s="35">
        <f>QUARTILE(K13:V13,1)</f>
        <v>34.504203540379521</v>
      </c>
      <c r="AA13" s="36">
        <f>MEDIAN(K13:V13)</f>
        <v>34.932743501919063</v>
      </c>
      <c r="AB13" s="35">
        <f>QUARTILE(K13:V13,3)</f>
        <v>35.834447303095629</v>
      </c>
      <c r="AC13" s="35">
        <f>MAX(K13:V13)</f>
        <v>36.496525849722644</v>
      </c>
      <c r="AD13" s="35">
        <f>SKEW(K13:V13)</f>
        <v>0.12480117986966728</v>
      </c>
      <c r="AE13" s="35">
        <f>KURT(K13:V13)</f>
        <v>-1.3015072216866219</v>
      </c>
    </row>
    <row r="14" spans="1:35" x14ac:dyDescent="0.2">
      <c r="B14" s="34">
        <f>[35]FormattedData!A20</f>
        <v>105</v>
      </c>
      <c r="C14" s="34" t="str">
        <f>VLOOKUP($B14,[35]TrtCodes!$B$11:I63,2)</f>
        <v>NDL</v>
      </c>
      <c r="D14" s="34">
        <f>VLOOKUP($B14,[35]TrtCodes!$B$11:J63,3)</f>
        <v>12</v>
      </c>
      <c r="E14" s="34">
        <f>VLOOKUP($B14,[35]TrtCodes!$B$11:K63,4)</f>
        <v>2</v>
      </c>
      <c r="F14" s="34">
        <f>VLOOKUP($B14,[35]TrtCodes!$B$11:L63,5)</f>
        <v>3</v>
      </c>
      <c r="G14" s="34">
        <f>VLOOKUP($B14,[35]TrtCodes!$B$11:M63,6)</f>
        <v>1</v>
      </c>
      <c r="H14" s="34">
        <f>VLOOKUP($B14,[35]TrtCodes!$B$11:N63,7)</f>
        <v>2</v>
      </c>
      <c r="I14" s="34">
        <f>[35]FormattedData!B20</f>
        <v>1</v>
      </c>
      <c r="J14" s="37">
        <f>[35]FormattedData!C20</f>
        <v>13.151999999999999</v>
      </c>
      <c r="K14" s="39">
        <f>$J$3+[35]FormattedData!D20*$J$4+$M$4*$J$5+[35]FormattedData!D20^2*$J$6+$M$5*$J$7</f>
        <v>54.105897430157874</v>
      </c>
      <c r="L14" s="39">
        <f>$J$3+[35]FormattedData!E20*$J$4+$M$4*$J$5+[35]FormattedData!E20^2*$J$6+$M$5*$J$7</f>
        <v>40.332450879344812</v>
      </c>
      <c r="M14" s="39">
        <f>$J$3+[35]FormattedData!F20*$J$4+$M$4*$J$5+[35]FormattedData!F20^2*$J$6+$M$5*$J$7</f>
        <v>41.902117990232007</v>
      </c>
      <c r="N14" s="39">
        <f>$J$3+[35]FormattedData!G20*$J$4+$M$4*$J$5+[35]FormattedData!G20^2*$J$6+$M$5*$J$7</f>
        <v>50.36093881745677</v>
      </c>
      <c r="O14" s="39">
        <f>$J$3+[35]FormattedData!H20*$J$4+$M$4*$J$5+[35]FormattedData!H20^2*$J$6+$M$5*$J$7</f>
        <v>44.370011184227614</v>
      </c>
      <c r="P14" s="39">
        <f>$J$3+[35]FormattedData!I20*$J$4+$M$4*$J$5+[35]FormattedData!I20^2*$J$6+$M$5*$J$7</f>
        <v>51.326390748498042</v>
      </c>
      <c r="Q14" s="39">
        <f>$J$3+[35]FormattedData!J20*$J$4+$M$4*$J$5+[35]FormattedData!J20^2*$J$6+$M$5*$J$7</f>
        <v>44.279157223591255</v>
      </c>
      <c r="R14" s="39">
        <f>$J$3+[35]FormattedData!K20*$J$4+$M$4*$J$5+[35]FormattedData!K20^2*$J$6+$M$5*$J$7</f>
        <v>45.637528436653923</v>
      </c>
      <c r="S14" s="39">
        <f>$J$3+[35]FormattedData!L20*$J$4+$M$4*$J$5+[35]FormattedData!L20^2*$J$6+$M$5*$J$7</f>
        <v>41.44171924905018</v>
      </c>
      <c r="T14" s="39">
        <f>$J$3+[35]FormattedData!M20*$J$4+$M$4*$J$5+[35]FormattedData!M20^2*$J$6+$M$5*$J$7</f>
        <v>50.800414632362681</v>
      </c>
      <c r="U14" s="39">
        <f>$J$3+[35]FormattedData!N20*$J$4+$M$4*$J$5+[35]FormattedData!N20^2*$J$6+$M$5*$J$7</f>
        <v>42.72817280646963</v>
      </c>
      <c r="V14" s="39">
        <f>$J$3+[35]FormattedData!O20*$J$4+$M$4*$J$5+[35]FormattedData!O20^2*$J$6+$M$5*$J$7</f>
        <v>47.612602920874529</v>
      </c>
      <c r="W14" s="38">
        <f>AVERAGE(K14:V14)</f>
        <v>46.241450193243274</v>
      </c>
      <c r="X14" s="37">
        <f>STDEV(K14:V14)/SQRT(COUNT(K14:V14))</f>
        <v>1.3032150367382653</v>
      </c>
      <c r="Y14" s="36">
        <f>MIN(K14:V14)</f>
        <v>40.332450879344812</v>
      </c>
      <c r="Z14" s="35">
        <f>QUARTILE(K14:V14,1)</f>
        <v>42.521659102410226</v>
      </c>
      <c r="AA14" s="36">
        <f>MEDIAN(K14:V14)</f>
        <v>45.003769810440772</v>
      </c>
      <c r="AB14" s="35">
        <f>QUARTILE(K14:V14,3)</f>
        <v>50.470807771183246</v>
      </c>
      <c r="AC14" s="35">
        <f>MAX(K14:V14)</f>
        <v>54.105897430157874</v>
      </c>
      <c r="AD14" s="35">
        <f>SKEW(K14:V14)</f>
        <v>0.38989339252472749</v>
      </c>
      <c r="AE14" s="35">
        <f>KURT(K14:V14)</f>
        <v>-1.187514250827272</v>
      </c>
    </row>
    <row r="15" spans="1:35" x14ac:dyDescent="0.2">
      <c r="B15" s="34">
        <f>[35]FormattedData!A18</f>
        <v>106</v>
      </c>
      <c r="C15" s="34" t="str">
        <f>VLOOKUP($B15,[35]TrtCodes!$B$11:I61,2)</f>
        <v>NTH</v>
      </c>
      <c r="D15" s="34">
        <f>VLOOKUP($B15,[35]TrtCodes!$B$11:J61,3)</f>
        <v>9</v>
      </c>
      <c r="E15" s="34">
        <f>VLOOKUP($B15,[35]TrtCodes!$B$11:K61,4)</f>
        <v>2</v>
      </c>
      <c r="F15" s="34">
        <f>VLOOKUP($B15,[35]TrtCodes!$B$11:L61,5)</f>
        <v>2</v>
      </c>
      <c r="G15" s="34">
        <f>VLOOKUP($B15,[35]TrtCodes!$B$11:M61,6)</f>
        <v>2</v>
      </c>
      <c r="H15" s="34">
        <f>VLOOKUP($B15,[35]TrtCodes!$B$11:N61,7)</f>
        <v>2</v>
      </c>
      <c r="I15" s="34">
        <f>[35]FormattedData!B18</f>
        <v>1</v>
      </c>
      <c r="J15" s="37">
        <f>[35]FormattedData!C18</f>
        <v>13.135999999999999</v>
      </c>
      <c r="K15" s="39">
        <f>$J$3+[35]FormattedData!D18*$J$4+$M$4*$J$5+[35]FormattedData!D18^2*$J$6+$M$5*$J$7</f>
        <v>37.814342662287011</v>
      </c>
      <c r="L15" s="39">
        <f>$J$3+[35]FormattedData!E18*$J$4+$M$4*$J$5+[35]FormattedData!E18^2*$J$6+$M$5*$J$7</f>
        <v>36.968125753456228</v>
      </c>
      <c r="M15" s="39">
        <f>$J$3+[35]FormattedData!F18*$J$4+$M$4*$J$5+[35]FormattedData!F18^2*$J$6+$M$5*$J$7</f>
        <v>34.694808988886741</v>
      </c>
      <c r="N15" s="39">
        <f>$J$3+[35]FormattedData!G18*$J$4+$M$4*$J$5+[35]FormattedData!G18^2*$J$6+$M$5*$J$7</f>
        <v>37.908155420578545</v>
      </c>
      <c r="O15" s="39">
        <f>$J$3+[35]FormattedData!H18*$J$4+$M$4*$J$5+[35]FormattedData!H18^2*$J$6+$M$5*$J$7</f>
        <v>37.06231892858915</v>
      </c>
      <c r="P15" s="39">
        <f>$J$3+[35]FormattedData!I18*$J$4+$M$4*$J$5+[35]FormattedData!I18^2*$J$6+$M$5*$J$7</f>
        <v>37.438668943741526</v>
      </c>
      <c r="Q15" s="39">
        <f>$J$3+[35]FormattedData!J18*$J$4+$M$4*$J$5+[35]FormattedData!J18^2*$J$6+$M$5*$J$7</f>
        <v>35.644983105112544</v>
      </c>
      <c r="R15" s="39">
        <f>$J$3+[35]FormattedData!K18*$J$4+$M$4*$J$5+[35]FormattedData!K18^2*$J$6+$M$5*$J$7</f>
        <v>37.814342662287011</v>
      </c>
      <c r="S15" s="39">
        <f>$J$3+[35]FormattedData!L18*$J$4+$M$4*$J$5+[35]FormattedData!L18^2*$J$6+$M$5*$J$7</f>
        <v>33.644735444907326</v>
      </c>
      <c r="T15" s="39">
        <f>$J$3+[35]FormattedData!M18*$J$4+$M$4*$J$5+[35]FormattedData!M18^2*$J$6+$M$5*$J$7</f>
        <v>38.095654131547846</v>
      </c>
      <c r="U15" s="39">
        <f>$J$3+[35]FormattedData!N18*$J$4+$M$4*$J$5+[35]FormattedData!N18^2*$J$6+$M$5*$J$7</f>
        <v>33.644735444907326</v>
      </c>
      <c r="V15" s="39">
        <f>$J$3+[35]FormattedData!O18*$J$4+$M$4*$J$5+[35]FormattedData!O18^2*$J$6+$M$5*$J$7</f>
        <v>37.250578473241205</v>
      </c>
      <c r="W15" s="38">
        <f>AVERAGE(K15:V15)</f>
        <v>36.498454163295207</v>
      </c>
      <c r="X15" s="37">
        <f>STDEV(K15:V15)/SQRT(COUNT(K15:V15))</f>
        <v>0.47878183455937379</v>
      </c>
      <c r="Y15" s="36">
        <f>MIN(K15:V15)</f>
        <v>33.644735444907326</v>
      </c>
      <c r="Z15" s="35">
        <f>QUARTILE(K15:V15,1)</f>
        <v>35.407439576056092</v>
      </c>
      <c r="AA15" s="36">
        <f>MEDIAN(K15:V15)</f>
        <v>37.156448700915178</v>
      </c>
      <c r="AB15" s="35">
        <f>QUARTILE(K15:V15,3)</f>
        <v>37.814342662287011</v>
      </c>
      <c r="AC15" s="35">
        <f>MAX(K15:V15)</f>
        <v>38.095654131547846</v>
      </c>
      <c r="AD15" s="35">
        <f>SKEW(K15:V15)</f>
        <v>-0.95636548893616768</v>
      </c>
      <c r="AE15" s="35">
        <f>KURT(K15:V15)</f>
        <v>-0.67103008002272713</v>
      </c>
    </row>
    <row r="16" spans="1:35" x14ac:dyDescent="0.2">
      <c r="B16" s="34">
        <f>[35]FormattedData!A16</f>
        <v>107</v>
      </c>
      <c r="C16" s="34" t="str">
        <f>VLOOKUP($B16,[35]TrtCodes!$B$11:I59,2)</f>
        <v>NTL</v>
      </c>
      <c r="D16" s="34">
        <f>VLOOKUP($B16,[35]TrtCodes!$B$11:J59,3)</f>
        <v>10</v>
      </c>
      <c r="E16" s="34">
        <f>VLOOKUP($B16,[35]TrtCodes!$B$11:K59,4)</f>
        <v>2</v>
      </c>
      <c r="F16" s="34">
        <f>VLOOKUP($B16,[35]TrtCodes!$B$11:L59,5)</f>
        <v>2</v>
      </c>
      <c r="G16" s="34">
        <f>VLOOKUP($B16,[35]TrtCodes!$B$11:M59,6)</f>
        <v>1</v>
      </c>
      <c r="H16" s="34">
        <f>VLOOKUP($B16,[35]TrtCodes!$B$11:N59,7)</f>
        <v>2</v>
      </c>
      <c r="I16" s="34">
        <f>[35]FormattedData!B16</f>
        <v>1</v>
      </c>
      <c r="J16" s="37">
        <f>[35]FormattedData!C16</f>
        <v>13.12</v>
      </c>
      <c r="K16" s="39">
        <f>$J$3+[35]FormattedData!D16*$J$4+$M$4*$J$5+[35]FormattedData!D16^2*$J$6+$M$5*$J$7</f>
        <v>35.834510705902531</v>
      </c>
      <c r="L16" s="39">
        <f>$J$3+[35]FormattedData!E16*$J$4+$M$4*$J$5+[35]FormattedData!E16^2*$J$6+$M$5*$J$7</f>
        <v>37.06231892858915</v>
      </c>
      <c r="M16" s="39">
        <f>$J$3+[35]FormattedData!F16*$J$4+$M$4*$J$5+[35]FormattedData!F16^2*$J$6+$M$5*$J$7</f>
        <v>36.968125753456228</v>
      </c>
      <c r="N16" s="39">
        <f>$J$3+[35]FormattedData!G16*$J$4+$M$4*$J$5+[35]FormattedData!G16^2*$J$6+$M$5*$J$7</f>
        <v>35.7397680397765</v>
      </c>
      <c r="O16" s="39">
        <f>$J$3+[35]FormattedData!H16*$J$4+$M$4*$J$5+[35]FormattedData!H16^2*$J$6+$M$5*$J$7</f>
        <v>34.122675629330573</v>
      </c>
      <c r="P16" s="39">
        <f>$J$3+[35]FormattedData!I16*$J$4+$M$4*$J$5+[35]FormattedData!I16^2*$J$6+$M$5*$J$7</f>
        <v>36.02386923254079</v>
      </c>
      <c r="Q16" s="39">
        <f>$J$3+[35]FormattedData!J16*$J$4+$M$4*$J$5+[35]FormattedData!J16^2*$J$6+$M$5*$J$7</f>
        <v>36.40207906336213</v>
      </c>
      <c r="R16" s="39">
        <f>$J$3+[35]FormattedData!K16*$J$4+$M$4*$J$5+[35]FormattedData!K16^2*$J$6+$M$5*$J$7</f>
        <v>36.307590008463698</v>
      </c>
      <c r="S16" s="39">
        <f>$J$3+[35]FormattedData!L16*$J$4+$M$4*$J$5+[35]FormattedData!L16^2*$J$6+$M$5*$J$7</f>
        <v>34.122675629330573</v>
      </c>
      <c r="T16" s="39">
        <f>$J$3+[35]FormattedData!M16*$J$4+$M$4*$J$5+[35]FormattedData!M16^2*$J$6+$M$5*$J$7</f>
        <v>36.02386923254079</v>
      </c>
      <c r="U16" s="39">
        <f>$J$3+[35]FormattedData!N16*$J$4+$M$4*$J$5+[35]FormattedData!N16^2*$J$6+$M$5*$J$7</f>
        <v>32.589547407838232</v>
      </c>
      <c r="V16" s="39">
        <f>$J$3+[35]FormattedData!O16*$J$4+$M$4*$J$5+[35]FormattedData!O16^2*$J$6+$M$5*$J$7</f>
        <v>35.834510705902531</v>
      </c>
      <c r="W16" s="38">
        <f>AVERAGE(K16:V16)</f>
        <v>35.585961694752804</v>
      </c>
      <c r="X16" s="37">
        <f>STDEV(K16:V16)/SQRT(COUNT(K16:V16))</f>
        <v>0.38007624418392583</v>
      </c>
      <c r="Y16" s="36">
        <f>MIN(K16:V16)</f>
        <v>32.589547407838232</v>
      </c>
      <c r="Z16" s="35">
        <f>QUARTILE(K16:V16,1)</f>
        <v>35.335494937165016</v>
      </c>
      <c r="AA16" s="36">
        <f>MEDIAN(K16:V16)</f>
        <v>35.92918996922166</v>
      </c>
      <c r="AB16" s="35">
        <f>QUARTILE(K16:V16,3)</f>
        <v>36.33121227218831</v>
      </c>
      <c r="AC16" s="35">
        <f>MAX(K16:V16)</f>
        <v>37.06231892858915</v>
      </c>
      <c r="AD16" s="35">
        <f>SKEW(K16:V16)</f>
        <v>-1.2517988936520432</v>
      </c>
      <c r="AE16" s="35">
        <f>KURT(K16:V16)</f>
        <v>1.156945850130124</v>
      </c>
    </row>
    <row r="17" spans="2:31" x14ac:dyDescent="0.2">
      <c r="B17" s="34">
        <f>[35]FormattedData!A14</f>
        <v>108</v>
      </c>
      <c r="C17" s="34" t="str">
        <f>VLOOKUP($B17,[35]TrtCodes!$B$11:I57,2)</f>
        <v>FTH</v>
      </c>
      <c r="D17" s="34">
        <f>VLOOKUP($B17,[35]TrtCodes!$B$11:J57,3)</f>
        <v>3</v>
      </c>
      <c r="E17" s="34">
        <f>VLOOKUP($B17,[35]TrtCodes!$B$11:K57,4)</f>
        <v>1</v>
      </c>
      <c r="F17" s="34">
        <f>VLOOKUP($B17,[35]TrtCodes!$B$11:L57,5)</f>
        <v>2</v>
      </c>
      <c r="G17" s="34">
        <f>VLOOKUP($B17,[35]TrtCodes!$B$11:M57,6)</f>
        <v>2</v>
      </c>
      <c r="H17" s="34">
        <f>VLOOKUP($B17,[35]TrtCodes!$B$11:N57,7)</f>
        <v>2</v>
      </c>
      <c r="I17" s="34">
        <f>[35]FormattedData!B14</f>
        <v>1</v>
      </c>
      <c r="J17" s="37">
        <f>[35]FormattedData!C14</f>
        <v>13.103999999999999</v>
      </c>
      <c r="K17" s="39">
        <f>$J$3+[35]FormattedData!D14*$J$4+$M$4*$J$5+[35]FormattedData!D14^2*$J$6+$M$5*$J$7</f>
        <v>36.779612597576595</v>
      </c>
      <c r="L17" s="39">
        <f>$J$3+[35]FormattedData!E14*$J$4+$M$4*$J$5+[35]FormattedData!E14^2*$J$6+$M$5*$J$7</f>
        <v>35.834510705902531</v>
      </c>
      <c r="M17" s="39">
        <f>$J$3+[35]FormattedData!F14*$J$4+$M$4*$J$5+[35]FormattedData!F14^2*$J$6+$M$5*$J$7</f>
        <v>37.15646983518414</v>
      </c>
      <c r="N17" s="39">
        <f>$J$3+[35]FormattedData!G14*$J$4+$M$4*$J$5+[35]FormattedData!G14^2*$J$6+$M$5*$J$7</f>
        <v>35.360374689893085</v>
      </c>
      <c r="O17" s="39">
        <f>$J$3+[35]FormattedData!H14*$J$4+$M$4*$J$5+[35]FormattedData!H14^2*$J$6+$M$5*$J$7</f>
        <v>39.030611574118431</v>
      </c>
      <c r="P17" s="39">
        <f>$J$3+[35]FormattedData!I14*$J$4+$M$4*$J$5+[35]FormattedData!I14^2*$J$6+$M$5*$J$7</f>
        <v>39.310274570399947</v>
      </c>
      <c r="Q17" s="39">
        <f>$J$3+[35]FormattedData!J14*$J$4+$M$4*$J$5+[35]FormattedData!J14^2*$J$6+$M$5*$J$7</f>
        <v>38.189340084225591</v>
      </c>
      <c r="R17" s="39">
        <f>$J$3+[35]FormattedData!K14*$J$4+$M$4*$J$5+[35]FormattedData!K14^2*$J$6+$M$5*$J$7</f>
        <v>34.218136860601426</v>
      </c>
      <c r="S17" s="39">
        <f>$J$3+[35]FormattedData!L14*$J$4+$M$4*$J$5+[35]FormattedData!L14^2*$J$6+$M$5*$J$7</f>
        <v>35.834510705902531</v>
      </c>
      <c r="T17" s="39">
        <f>$J$3+[35]FormattedData!M14*$J$4+$M$4*$J$5+[35]FormattedData!M14^2*$J$6+$M$5*$J$7</f>
        <v>34.408932517529358</v>
      </c>
      <c r="U17" s="39">
        <f>$J$3+[35]FormattedData!N14*$J$4+$M$4*$J$5+[35]FormattedData!N14^2*$J$6+$M$5*$J$7</f>
        <v>34.885181960435361</v>
      </c>
      <c r="V17" s="39">
        <f>$J$3+[35]FormattedData!O14*$J$4+$M$4*$J$5+[35]FormattedData!O14^2*$J$6+$M$5*$J$7</f>
        <v>31.91540119363188</v>
      </c>
      <c r="W17" s="38">
        <f>AVERAGE(K17:V17)</f>
        <v>36.076946441283411</v>
      </c>
      <c r="X17" s="37">
        <f>STDEV(K17:V17)/SQRT(COUNT(K17:V17))</f>
        <v>0.62101515178770372</v>
      </c>
      <c r="Y17" s="36">
        <f>MIN(K17:V17)</f>
        <v>31.91540119363188</v>
      </c>
      <c r="Z17" s="35">
        <f>QUARTILE(K17:V17,1)</f>
        <v>34.766119599708858</v>
      </c>
      <c r="AA17" s="36">
        <f>MEDIAN(K17:V17)</f>
        <v>35.834510705902531</v>
      </c>
      <c r="AB17" s="35">
        <f>QUARTILE(K17:V17,3)</f>
        <v>37.414687397444503</v>
      </c>
      <c r="AC17" s="35">
        <f>MAX(K17:V17)</f>
        <v>39.310274570399947</v>
      </c>
      <c r="AD17" s="35">
        <f>SKEW(K17:V17)</f>
        <v>-0.16022435736333604</v>
      </c>
      <c r="AE17" s="35">
        <f>KURT(K17:V17)</f>
        <v>-0.14268920054111556</v>
      </c>
    </row>
    <row r="18" spans="2:31" x14ac:dyDescent="0.2">
      <c r="B18" s="34">
        <f>[35]FormattedData!A30</f>
        <v>201</v>
      </c>
      <c r="C18" s="34" t="str">
        <f>VLOOKUP($B18,[35]TrtCodes!$B$11:I73,2)</f>
        <v>NDL</v>
      </c>
      <c r="D18" s="34">
        <f>VLOOKUP($B18,[35]TrtCodes!$B$11:J73,3)</f>
        <v>12</v>
      </c>
      <c r="E18" s="34">
        <f>VLOOKUP($B18,[35]TrtCodes!$B$11:K73,4)</f>
        <v>2</v>
      </c>
      <c r="F18" s="34">
        <f>VLOOKUP($B18,[35]TrtCodes!$B$11:L73,5)</f>
        <v>3</v>
      </c>
      <c r="G18" s="34">
        <f>VLOOKUP($B18,[35]TrtCodes!$B$11:M73,6)</f>
        <v>1</v>
      </c>
      <c r="H18" s="34">
        <f>VLOOKUP($B18,[35]TrtCodes!$B$11:N73,7)</f>
        <v>1</v>
      </c>
      <c r="I18" s="34">
        <f>[35]FormattedData!B30</f>
        <v>1</v>
      </c>
      <c r="J18" s="37">
        <f>[35]FormattedData!C30</f>
        <v>13.239000000000001</v>
      </c>
      <c r="K18" s="39">
        <f>$J$3+[35]FormattedData!D30*$J$4+$M$4*$J$5+[35]FormattedData!D30^2*$J$6+$M$5*$J$7</f>
        <v>51.588808181303655</v>
      </c>
      <c r="L18" s="39">
        <f>$J$3+[35]FormattedData!E30*$J$4+$M$4*$J$5+[35]FormattedData!E30^2*$J$6+$M$5*$J$7</f>
        <v>52.895189092711028</v>
      </c>
      <c r="M18" s="39">
        <f>$J$3+[35]FormattedData!F30*$J$4+$M$4*$J$5+[35]FormattedData!F30^2*$J$6+$M$5*$J$7</f>
        <v>45.908061428742322</v>
      </c>
      <c r="N18" s="39">
        <f>$J$3+[35]FormattedData!G30*$J$4+$M$4*$J$5+[35]FormattedData!G30^2*$J$6+$M$5*$J$7</f>
        <v>46.627622925309062</v>
      </c>
      <c r="O18" s="39">
        <f>$J$3+[35]FormattedData!H30*$J$4+$M$4*$J$5+[35]FormattedData!H30^2*$J$6+$M$5*$J$7</f>
        <v>36.968125753456228</v>
      </c>
      <c r="P18" s="39">
        <f>$J$3+[35]FormattedData!I30*$J$4+$M$4*$J$5+[35]FormattedData!I30^2*$J$6+$M$5*$J$7</f>
        <v>50.800414632362681</v>
      </c>
      <c r="Q18" s="39">
        <f>$J$3+[35]FormattedData!J30*$J$4+$M$4*$J$5+[35]FormattedData!J30^2*$J$6+$M$5*$J$7</f>
        <v>40.332450879344812</v>
      </c>
      <c r="R18" s="39">
        <f>$J$3+[35]FormattedData!K30*$J$4+$M$4*$J$5+[35]FormattedData!K30^2*$J$6+$M$5*$J$7</f>
        <v>46.447986162394969</v>
      </c>
      <c r="S18" s="39">
        <f>$J$3+[35]FormattedData!L30*$J$4+$M$4*$J$5+[35]FormattedData!L30^2*$J$6+$M$5*$J$7</f>
        <v>43.641995980074654</v>
      </c>
      <c r="T18" s="39">
        <f>$J$3+[35]FormattedData!M30*$J$4+$M$4*$J$5+[35]FormattedData!M30^2*$J$6+$M$5*$J$7</f>
        <v>40.332450879344812</v>
      </c>
      <c r="U18" s="39">
        <f>$J$3+[35]FormattedData!N30*$J$4+$M$4*$J$5+[35]FormattedData!N30^2*$J$6+$M$5*$J$7</f>
        <v>45.547266235548598</v>
      </c>
      <c r="V18" s="39">
        <f>$J$3+[35]FormattedData!O30*$J$4+$M$4*$J$5+[35]FormattedData!O30^2*$J$6+$M$5*$J$7</f>
        <v>46.896761055645726</v>
      </c>
      <c r="W18" s="38">
        <f>AVERAGE(K18:V18)</f>
        <v>45.665594433853215</v>
      </c>
      <c r="X18" s="37">
        <f>STDEV(K18:V18)/SQRT(COUNT(K18:V18))</f>
        <v>1.3857221880583814</v>
      </c>
      <c r="Y18" s="36">
        <f>MIN(K18:V18)</f>
        <v>36.968125753456228</v>
      </c>
      <c r="Z18" s="35">
        <f>QUARTILE(K18:V18,1)</f>
        <v>42.814609704892192</v>
      </c>
      <c r="AA18" s="36">
        <f>MEDIAN(K18:V18)</f>
        <v>46.178023795568649</v>
      </c>
      <c r="AB18" s="35">
        <f>QUARTILE(K18:V18,3)</f>
        <v>47.872674449824963</v>
      </c>
      <c r="AC18" s="35">
        <f>MAX(K18:V18)</f>
        <v>52.895189092711028</v>
      </c>
      <c r="AD18" s="35">
        <f>SKEW(K18:V18)</f>
        <v>-0.24190114752880579</v>
      </c>
      <c r="AE18" s="35">
        <f>KURT(K18:V18)</f>
        <v>-0.46658363752897136</v>
      </c>
    </row>
    <row r="19" spans="2:31" x14ac:dyDescent="0.2">
      <c r="B19" s="34">
        <f>[35]FormattedData!A32</f>
        <v>202</v>
      </c>
      <c r="C19" s="34" t="str">
        <f>VLOOKUP($B19,[35]TrtCodes!$B$11:I75,2)</f>
        <v>NTH</v>
      </c>
      <c r="D19" s="34">
        <f>VLOOKUP($B19,[35]TrtCodes!$B$11:J75,3)</f>
        <v>9</v>
      </c>
      <c r="E19" s="34">
        <f>VLOOKUP($B19,[35]TrtCodes!$B$11:K75,4)</f>
        <v>2</v>
      </c>
      <c r="F19" s="34">
        <f>VLOOKUP($B19,[35]TrtCodes!$B$11:L75,5)</f>
        <v>2</v>
      </c>
      <c r="G19" s="34">
        <f>VLOOKUP($B19,[35]TrtCodes!$B$11:M75,6)</f>
        <v>2</v>
      </c>
      <c r="H19" s="34">
        <f>VLOOKUP($B19,[35]TrtCodes!$B$11:N75,7)</f>
        <v>1</v>
      </c>
      <c r="I19" s="34">
        <f>[35]FormattedData!B32</f>
        <v>1</v>
      </c>
      <c r="J19" s="37">
        <f>[35]FormattedData!C32</f>
        <v>13.255000000000001</v>
      </c>
      <c r="K19" s="39">
        <f>$J$3+[35]FormattedData!D32*$J$4+$M$4*$J$5+[35]FormattedData!D32^2*$J$6+$M$5*$J$7</f>
        <v>36.307590008463698</v>
      </c>
      <c r="L19" s="39">
        <f>$J$3+[35]FormattedData!E32*$J$4+$M$4*$J$5+[35]FormattedData!E32^2*$J$6+$M$5*$J$7</f>
        <v>32.397145546468934</v>
      </c>
      <c r="M19" s="39">
        <f>$J$3+[35]FormattedData!F32*$J$4+$M$4*$J$5+[35]FormattedData!F32^2*$J$6+$M$5*$J$7</f>
        <v>35.075385857832238</v>
      </c>
      <c r="N19" s="39">
        <f>$J$3+[35]FormattedData!G32*$J$4+$M$4*$J$5+[35]FormattedData!G32^2*$J$6+$M$5*$J$7</f>
        <v>33.165738547035794</v>
      </c>
      <c r="O19" s="39">
        <f>$J$3+[35]FormattedData!H32*$J$4+$M$4*$J$5+[35]FormattedData!H32^2*$J$6+$M$5*$J$7</f>
        <v>34.885181960435361</v>
      </c>
      <c r="P19" s="39">
        <f>$J$3+[35]FormattedData!I32*$J$4+$M$4*$J$5+[35]FormattedData!I32^2*$J$6+$M$5*$J$7</f>
        <v>33.453263491372503</v>
      </c>
      <c r="Q19" s="39">
        <f>$J$3+[35]FormattedData!J32*$J$4+$M$4*$J$5+[35]FormattedData!J32^2*$J$6+$M$5*$J$7</f>
        <v>33.644735444907326</v>
      </c>
      <c r="R19" s="39">
        <f>$J$3+[35]FormattedData!K32*$J$4+$M$4*$J$5+[35]FormattedData!K32^2*$J$6+$M$5*$J$7</f>
        <v>35.360374689893085</v>
      </c>
      <c r="S19" s="39">
        <f>$J$3+[35]FormattedData!L32*$J$4+$M$4*$J$5+[35]FormattedData!L32^2*$J$6+$M$5*$J$7</f>
        <v>33.357464111798201</v>
      </c>
      <c r="T19" s="39">
        <f>$J$3+[35]FormattedData!M32*$J$4+$M$4*$J$5+[35]FormattedData!M32^2*$J$6+$M$5*$J$7</f>
        <v>36.40207906336213</v>
      </c>
      <c r="U19" s="39">
        <f>$J$3+[35]FormattedData!N32*$J$4+$M$4*$J$5+[35]FormattedData!N32^2*$J$6+$M$5*$J$7</f>
        <v>31.335913108475687</v>
      </c>
      <c r="V19" s="39">
        <f>$J$3+[35]FormattedData!O32*$J$4+$M$4*$J$5+[35]FormattedData!O32^2*$J$6+$M$5*$J$7</f>
        <v>34.980305043402758</v>
      </c>
      <c r="W19" s="38">
        <f>AVERAGE(K19:V19)</f>
        <v>34.197098072787306</v>
      </c>
      <c r="X19" s="37">
        <f>STDEV(K19:V19)/SQRT(COUNT(K19:V19))</f>
        <v>0.44874304594824144</v>
      </c>
      <c r="Y19" s="36">
        <f>MIN(K19:V19)</f>
        <v>31.335913108475687</v>
      </c>
      <c r="Z19" s="35">
        <f>QUARTILE(K19:V19,1)</f>
        <v>33.309532720607599</v>
      </c>
      <c r="AA19" s="36">
        <f>MEDIAN(K19:V19)</f>
        <v>34.264958702671343</v>
      </c>
      <c r="AB19" s="35">
        <f>QUARTILE(K19:V19,3)</f>
        <v>35.146633065847453</v>
      </c>
      <c r="AC19" s="35">
        <f>MAX(K19:V19)</f>
        <v>36.40207906336213</v>
      </c>
      <c r="AD19" s="35">
        <f>SKEW(K19:V19)</f>
        <v>-0.24233914811760776</v>
      </c>
      <c r="AE19" s="35">
        <f>KURT(K19:V19)</f>
        <v>-0.63188095939349154</v>
      </c>
    </row>
    <row r="20" spans="2:31" x14ac:dyDescent="0.2">
      <c r="B20" s="34">
        <f>[35]FormattedData!A34</f>
        <v>203</v>
      </c>
      <c r="C20" s="34" t="str">
        <f>VLOOKUP($B20,[35]TrtCodes!$B$11:I77,2)</f>
        <v>FTH</v>
      </c>
      <c r="D20" s="34">
        <f>VLOOKUP($B20,[35]TrtCodes!$B$11:J77,3)</f>
        <v>3</v>
      </c>
      <c r="E20" s="34">
        <f>VLOOKUP($B20,[35]TrtCodes!$B$11:K77,4)</f>
        <v>1</v>
      </c>
      <c r="F20" s="34">
        <f>VLOOKUP($B20,[35]TrtCodes!$B$11:L77,5)</f>
        <v>2</v>
      </c>
      <c r="G20" s="34">
        <f>VLOOKUP($B20,[35]TrtCodes!$B$11:M77,6)</f>
        <v>2</v>
      </c>
      <c r="H20" s="34">
        <f>VLOOKUP($B20,[35]TrtCodes!$B$11:N77,7)</f>
        <v>1</v>
      </c>
      <c r="I20" s="34">
        <f>[35]FormattedData!B34</f>
        <v>1</v>
      </c>
      <c r="J20" s="37">
        <f>[35]FormattedData!C34</f>
        <v>13.272</v>
      </c>
      <c r="K20" s="39">
        <f>$J$3+[35]FormattedData!D34*$J$4+$M$4*$J$5+[35]FormattedData!D34^2*$J$6+$M$5*$J$7</f>
        <v>35.834510705902531</v>
      </c>
      <c r="L20" s="39">
        <f>$J$3+[35]FormattedData!E34*$J$4+$M$4*$J$5+[35]FormattedData!E34^2*$J$6+$M$5*$J$7</f>
        <v>40.146981058196218</v>
      </c>
      <c r="M20" s="39">
        <f>$J$3+[35]FormattedData!F34*$J$4+$M$4*$J$5+[35]FormattedData!F34^2*$J$6+$M$5*$J$7</f>
        <v>38.095654131547846</v>
      </c>
      <c r="N20" s="39">
        <f>$J$3+[35]FormattedData!G34*$J$4+$M$4*$J$5+[35]FormattedData!G34^2*$J$6+$M$5*$J$7</f>
        <v>34.790016608930017</v>
      </c>
      <c r="O20" s="39">
        <f>$J$3+[35]FormattedData!H34*$J$4+$M$4*$J$5+[35]FormattedData!H34^2*$J$6+$M$5*$J$7</f>
        <v>35.170424403723779</v>
      </c>
      <c r="P20" s="39">
        <f>$J$3+[35]FormattedData!I34*$J$4+$M$4*$J$5+[35]FormattedData!I34^2*$J$6+$M$5*$J$7</f>
        <v>38.001925910332162</v>
      </c>
      <c r="Q20" s="39">
        <f>$J$3+[35]FormattedData!J34*$J$4+$M$4*$J$5+[35]FormattedData!J34^2*$J$6+$M$5*$J$7</f>
        <v>37.344644842760331</v>
      </c>
      <c r="R20" s="39">
        <f>$J$3+[35]FormattedData!K34*$J$4+$M$4*$J$5+[35]FormattedData!K34^2*$J$6+$M$5*$J$7</f>
        <v>42.453201617898465</v>
      </c>
      <c r="S20" s="39">
        <f>$J$3+[35]FormattedData!L34*$J$4+$M$4*$J$5+[35]FormattedData!L34^2*$J$6+$M$5*$J$7</f>
        <v>41.994070932854576</v>
      </c>
      <c r="T20" s="39">
        <f>$J$3+[35]FormattedData!M34*$J$4+$M$4*$J$5+[35]FormattedData!M34^2*$J$6+$M$5*$J$7</f>
        <v>38.47014433103125</v>
      </c>
      <c r="U20" s="39">
        <f>$J$3+[35]FormattedData!N34*$J$4+$M$4*$J$5+[35]FormattedData!N34^2*$J$6+$M$5*$J$7</f>
        <v>34.02717212952178</v>
      </c>
      <c r="V20" s="39">
        <f>$J$3+[35]FormattedData!O34*$J$4+$M$4*$J$5+[35]FormattedData!O34^2*$J$6+$M$5*$J$7</f>
        <v>39.217095840177372</v>
      </c>
      <c r="W20" s="38">
        <f>AVERAGE(K20:V20)</f>
        <v>37.962153542739692</v>
      </c>
      <c r="X20" s="37">
        <f>STDEV(K20:V20)/SQRT(COUNT(K20:V20))</f>
        <v>0.78479945834594866</v>
      </c>
      <c r="Y20" s="36">
        <f>MIN(K20:V20)</f>
        <v>34.02717212952178</v>
      </c>
      <c r="Z20" s="35">
        <f>QUARTILE(K20:V20,1)</f>
        <v>35.668489130357841</v>
      </c>
      <c r="AA20" s="36">
        <f>MEDIAN(K20:V20)</f>
        <v>38.048790020940004</v>
      </c>
      <c r="AB20" s="35">
        <f>QUARTILE(K20:V20,3)</f>
        <v>39.449567144682085</v>
      </c>
      <c r="AC20" s="35">
        <f>MAX(K20:V20)</f>
        <v>42.453201617898465</v>
      </c>
      <c r="AD20" s="35">
        <f>SKEW(K20:V20)</f>
        <v>0.23992750870162427</v>
      </c>
      <c r="AE20" s="35">
        <f>KURT(K20:V20)</f>
        <v>-0.80598934113535226</v>
      </c>
    </row>
    <row r="21" spans="2:31" x14ac:dyDescent="0.2">
      <c r="B21" s="34">
        <f>[35]FormattedData!A36</f>
        <v>204</v>
      </c>
      <c r="C21" s="34" t="str">
        <f>VLOOKUP($B21,[35]TrtCodes!$B$11:I79,2)</f>
        <v>NDH</v>
      </c>
      <c r="D21" s="34">
        <f>VLOOKUP($B21,[35]TrtCodes!$B$11:J79,3)</f>
        <v>11</v>
      </c>
      <c r="E21" s="34">
        <f>VLOOKUP($B21,[35]TrtCodes!$B$11:K79,4)</f>
        <v>2</v>
      </c>
      <c r="F21" s="34">
        <f>VLOOKUP($B21,[35]TrtCodes!$B$11:L79,5)</f>
        <v>3</v>
      </c>
      <c r="G21" s="34">
        <f>VLOOKUP($B21,[35]TrtCodes!$B$11:M79,6)</f>
        <v>2</v>
      </c>
      <c r="H21" s="34">
        <f>VLOOKUP($B21,[35]TrtCodes!$B$11:N79,7)</f>
        <v>1</v>
      </c>
      <c r="I21" s="34">
        <f>[35]FormattedData!B36</f>
        <v>1</v>
      </c>
      <c r="J21" s="37">
        <f>[35]FormattedData!C36</f>
        <v>13.288</v>
      </c>
      <c r="K21" s="39">
        <f>$J$3+[35]FormattedData!D36*$J$4+$M$4*$J$5+[35]FormattedData!D36^2*$J$6+$M$5*$J$7</f>
        <v>50.712604006457354</v>
      </c>
      <c r="L21" s="39">
        <f>$J$3+[35]FormattedData!E36*$J$4+$M$4*$J$5+[35]FormattedData!E36^2*$J$6+$M$5*$J$7</f>
        <v>47.344479235448212</v>
      </c>
      <c r="M21" s="39">
        <f>$J$3+[35]FormattedData!F36*$J$4+$M$4*$J$5+[35]FormattedData!F36^2*$J$6+$M$5*$J$7</f>
        <v>48.147709041203022</v>
      </c>
      <c r="N21" s="39">
        <f>$J$3+[35]FormattedData!G36*$J$4+$M$4*$J$5+[35]FormattedData!G36^2*$J$6+$M$5*$J$7</f>
        <v>47.880346189459459</v>
      </c>
      <c r="O21" s="39">
        <f>$J$3+[35]FormattedData!H36*$J$4+$M$4*$J$5+[35]FormattedData!H36^2*$J$6+$M$5*$J$7</f>
        <v>47.791140701802419</v>
      </c>
      <c r="P21" s="39">
        <f>$J$3+[35]FormattedData!I36*$J$4+$M$4*$J$5+[35]FormattedData!I36^2*$J$6+$M$5*$J$7</f>
        <v>49.124784820175371</v>
      </c>
      <c r="Q21" s="39">
        <f>$J$3+[35]FormattedData!J36*$J$4+$M$4*$J$5+[35]FormattedData!J36^2*$J$6+$M$5*$J$7</f>
        <v>45.547266235548598</v>
      </c>
      <c r="R21" s="39">
        <f>$J$3+[35]FormattedData!K36*$J$4+$M$4*$J$5+[35]FormattedData!K36^2*$J$6+$M$5*$J$7</f>
        <v>48.592468423350326</v>
      </c>
      <c r="S21" s="39">
        <f>$J$3+[35]FormattedData!L36*$J$4+$M$4*$J$5+[35]FormattedData!L36^2*$J$6+$M$5*$J$7</f>
        <v>38.001925910332162</v>
      </c>
      <c r="T21" s="39">
        <f>$J$3+[35]FormattedData!M36*$J$4+$M$4*$J$5+[35]FormattedData!M36^2*$J$6+$M$5*$J$7</f>
        <v>49.743897397995376</v>
      </c>
      <c r="U21" s="39">
        <f>$J$3+[35]FormattedData!N36*$J$4+$M$4*$J$5+[35]FormattedData!N36^2*$J$6+$M$5*$J$7</f>
        <v>35.265420681077401</v>
      </c>
      <c r="V21" s="39">
        <f>$J$3+[35]FormattedData!O36*$J$4+$M$4*$J$5+[35]FormattedData!O36^2*$J$6+$M$5*$J$7</f>
        <v>44.823646959340465</v>
      </c>
      <c r="W21" s="38">
        <f>AVERAGE(K21:V21)</f>
        <v>46.081307466849182</v>
      </c>
      <c r="X21" s="37">
        <f>STDEV(K21:V21)/SQRT(COUNT(K21:V21))</f>
        <v>1.3667717108894166</v>
      </c>
      <c r="Y21" s="36">
        <f>MIN(K21:V21)</f>
        <v>35.265420681077401</v>
      </c>
      <c r="Z21" s="35">
        <f>QUARTILE(K21:V21,1)</f>
        <v>45.366361416496567</v>
      </c>
      <c r="AA21" s="36">
        <f>MEDIAN(K21:V21)</f>
        <v>47.835743445630939</v>
      </c>
      <c r="AB21" s="35">
        <f>QUARTILE(K21:V21,3)</f>
        <v>48.725547522556589</v>
      </c>
      <c r="AC21" s="35">
        <f>MAX(K21:V21)</f>
        <v>50.712604006457354</v>
      </c>
      <c r="AD21" s="35">
        <f>SKEW(K21:V21)</f>
        <v>-1.6246764925653228</v>
      </c>
      <c r="AE21" s="35">
        <f>KURT(K21:V21)</f>
        <v>1.8474985641479815</v>
      </c>
    </row>
    <row r="22" spans="2:31" x14ac:dyDescent="0.2">
      <c r="B22" s="34">
        <f>[35]FormattedData!A38</f>
        <v>205</v>
      </c>
      <c r="C22" s="34" t="str">
        <f>VLOOKUP($B22,[35]TrtCodes!$B$11:I81,2)</f>
        <v>FSH</v>
      </c>
      <c r="D22" s="34">
        <f>VLOOKUP($B22,[35]TrtCodes!$B$11:J81,3)</f>
        <v>1</v>
      </c>
      <c r="E22" s="34">
        <f>VLOOKUP($B22,[35]TrtCodes!$B$11:K81,4)</f>
        <v>1</v>
      </c>
      <c r="F22" s="34">
        <f>VLOOKUP($B22,[35]TrtCodes!$B$11:L81,5)</f>
        <v>1</v>
      </c>
      <c r="G22" s="34">
        <f>VLOOKUP($B22,[35]TrtCodes!$B$11:M81,6)</f>
        <v>2</v>
      </c>
      <c r="H22" s="34">
        <f>VLOOKUP($B22,[35]TrtCodes!$B$11:N81,7)</f>
        <v>2</v>
      </c>
      <c r="I22" s="34">
        <f>[35]FormattedData!B38</f>
        <v>1</v>
      </c>
      <c r="J22" s="37">
        <f>[35]FormattedData!C38</f>
        <v>13.303000000000001</v>
      </c>
      <c r="K22" s="39">
        <f>$J$3+[35]FormattedData!D38*$J$4+$M$4*$J$5+[35]FormattedData!D38^2*$J$6+$M$5*$J$7</f>
        <v>36.213058685027327</v>
      </c>
      <c r="L22" s="39">
        <f>$J$3+[35]FormattedData!E38*$J$4+$M$4*$J$5+[35]FormattedData!E38^2*$J$6+$M$5*$J$7</f>
        <v>41.718085299373072</v>
      </c>
      <c r="M22" s="39">
        <f>$J$3+[35]FormattedData!F38*$J$4+$M$4*$J$5+[35]FormattedData!F38^2*$J$6+$M$5*$J$7</f>
        <v>41.164972781885908</v>
      </c>
      <c r="N22" s="39">
        <f>$J$3+[35]FormattedData!G38*$J$4+$M$4*$J$5+[35]FormattedData!G38^2*$J$6+$M$5*$J$7</f>
        <v>37.720487635457538</v>
      </c>
      <c r="O22" s="39">
        <f>$J$3+[35]FormattedData!H38*$J$4+$M$4*$J$5+[35]FormattedData!H38^2*$J$6+$M$5*$J$7</f>
        <v>38.282983768365405</v>
      </c>
      <c r="P22" s="39">
        <f>$J$3+[35]FormattedData!I38*$J$4+$M$4*$J$5+[35]FormattedData!I38^2*$J$6+$M$5*$J$7</f>
        <v>36.968125753456228</v>
      </c>
      <c r="Q22" s="39">
        <f>$J$3+[35]FormattedData!J38*$J$4+$M$4*$J$5+[35]FormattedData!J38^2*$J$6+$M$5*$J$7</f>
        <v>36.968125753456228</v>
      </c>
      <c r="R22" s="39">
        <f>$J$3+[35]FormattedData!K38*$J$4+$M$4*$J$5+[35]FormattedData!K38^2*$J$6+$M$5*$J$7</f>
        <v>36.496525849722644</v>
      </c>
      <c r="S22" s="39">
        <f>$J$3+[35]FormattedData!L38*$J$4+$M$4*$J$5+[35]FormattedData!L38^2*$J$6+$M$5*$J$7</f>
        <v>44.914247308749239</v>
      </c>
      <c r="T22" s="39">
        <f>$J$3+[35]FormattedData!M38*$J$4+$M$4*$J$5+[35]FormattedData!M38^2*$J$6+$M$5*$J$7</f>
        <v>36.968125753456228</v>
      </c>
      <c r="U22" s="39">
        <f>$J$3+[35]FormattedData!N38*$J$4+$M$4*$J$5+[35]FormattedData!N38^2*$J$6+$M$5*$J$7</f>
        <v>34.218136860601426</v>
      </c>
      <c r="V22" s="39">
        <f>$J$3+[35]FormattedData!O38*$J$4+$M$4*$J$5+[35]FormattedData!O38^2*$J$6+$M$5*$J$7</f>
        <v>39.403411032084591</v>
      </c>
      <c r="W22" s="38">
        <f>AVERAGE(K22:V22)</f>
        <v>38.419690540136315</v>
      </c>
      <c r="X22" s="37">
        <f>STDEV(K22:V22)/SQRT(COUNT(K22:V22))</f>
        <v>0.84661755939326866</v>
      </c>
      <c r="Y22" s="36">
        <f>MIN(K22:V22)</f>
        <v>34.218136860601426</v>
      </c>
      <c r="Z22" s="35">
        <f>QUARTILE(K22:V22,1)</f>
        <v>36.85022577752283</v>
      </c>
      <c r="AA22" s="36">
        <f>MEDIAN(K22:V22)</f>
        <v>37.344306694456883</v>
      </c>
      <c r="AB22" s="35">
        <f>QUARTILE(K22:V22,3)</f>
        <v>39.843801469534924</v>
      </c>
      <c r="AC22" s="35">
        <f>MAX(K22:V22)</f>
        <v>44.914247308749239</v>
      </c>
      <c r="AD22" s="35">
        <f>SKEW(K22:V22)</f>
        <v>0.99430880490023643</v>
      </c>
      <c r="AE22" s="35">
        <f>KURT(K22:V22)</f>
        <v>0.90348751472674937</v>
      </c>
    </row>
    <row r="23" spans="2:31" x14ac:dyDescent="0.2">
      <c r="B23" s="34">
        <f>[35]FormattedData!A40</f>
        <v>206</v>
      </c>
      <c r="C23" s="34" t="str">
        <f>VLOOKUP($B23,[35]TrtCodes!$B$11:I83,2)</f>
        <v>NSL</v>
      </c>
      <c r="D23" s="34">
        <f>VLOOKUP($B23,[35]TrtCodes!$B$11:J83,3)</f>
        <v>8</v>
      </c>
      <c r="E23" s="34">
        <f>VLOOKUP($B23,[35]TrtCodes!$B$11:K83,4)</f>
        <v>2</v>
      </c>
      <c r="F23" s="34">
        <f>VLOOKUP($B23,[35]TrtCodes!$B$11:L83,5)</f>
        <v>1</v>
      </c>
      <c r="G23" s="34">
        <f>VLOOKUP($B23,[35]TrtCodes!$B$11:M83,6)</f>
        <v>1</v>
      </c>
      <c r="H23" s="34">
        <f>VLOOKUP($B23,[35]TrtCodes!$B$11:N83,7)</f>
        <v>2</v>
      </c>
      <c r="I23" s="34">
        <f>[35]FormattedData!B40</f>
        <v>1</v>
      </c>
      <c r="J23" s="37">
        <f>[35]FormattedData!C40</f>
        <v>13.319000000000001</v>
      </c>
      <c r="K23" s="39">
        <f>$J$3+[35]FormattedData!D40*$J$4+$M$4*$J$5+[35]FormattedData!D40^2*$J$6+$M$5*$J$7</f>
        <v>55.47941965242223</v>
      </c>
      <c r="L23" s="39">
        <f>$J$3+[35]FormattedData!E40*$J$4+$M$4*$J$5+[35]FormattedData!E40^2*$J$6+$M$5*$J$7</f>
        <v>54.536285509408586</v>
      </c>
      <c r="M23" s="39">
        <f>$J$3+[35]FormattedData!F40*$J$4+$M$4*$J$5+[35]FormattedData!F40^2*$J$6+$M$5*$J$7</f>
        <v>55.650349096522518</v>
      </c>
      <c r="N23" s="39">
        <f>$J$3+[35]FormattedData!G40*$J$4+$M$4*$J$5+[35]FormattedData!G40^2*$J$6+$M$5*$J$7</f>
        <v>55.051356342757728</v>
      </c>
      <c r="O23" s="39">
        <f>$J$3+[35]FormattedData!H40*$J$4+$M$4*$J$5+[35]FormattedData!H40^2*$J$6+$M$5*$J$7</f>
        <v>54.536285509408586</v>
      </c>
      <c r="P23" s="39">
        <f>$J$3+[35]FormattedData!I40*$J$4+$M$4*$J$5+[35]FormattedData!I40^2*$J$6+$M$5*$J$7</f>
        <v>56.672375203938003</v>
      </c>
      <c r="Q23" s="39">
        <f>$J$3+[35]FormattedData!J40*$J$4+$M$4*$J$5+[35]FormattedData!J40^2*$J$6+$M$5*$J$7</f>
        <v>53.674452637458877</v>
      </c>
      <c r="R23" s="39">
        <f>$J$3+[35]FormattedData!K40*$J$4+$M$4*$J$5+[35]FormattedData!K40^2*$J$6+$M$5*$J$7</f>
        <v>52.286728186449658</v>
      </c>
      <c r="S23" s="39">
        <f>$J$3+[35]FormattedData!L40*$J$4+$M$4*$J$5+[35]FormattedData!L40^2*$J$6+$M$5*$J$7</f>
        <v>54.879835139126406</v>
      </c>
      <c r="T23" s="39">
        <f>$J$3+[35]FormattedData!M40*$J$4+$M$4*$J$5+[35]FormattedData!M40^2*$J$6+$M$5*$J$7</f>
        <v>54.019693008693935</v>
      </c>
      <c r="U23" s="39">
        <f>$J$3+[35]FormattedData!N40*$J$4+$M$4*$J$5+[35]FormattedData!N40^2*$J$6+$M$5*$J$7</f>
        <v>55.735750415765757</v>
      </c>
      <c r="V23" s="39">
        <f>$J$3+[35]FormattedData!O40*$J$4+$M$4*$J$5+[35]FormattedData!O40^2*$J$6+$M$5*$J$7</f>
        <v>54.450292430634313</v>
      </c>
      <c r="W23" s="38">
        <f>AVERAGE(K23:V23)</f>
        <v>54.747735261048888</v>
      </c>
      <c r="X23" s="37">
        <f>STDEV(K23:V23)/SQRT(COUNT(K23:V23))</f>
        <v>0.32632659259032376</v>
      </c>
      <c r="Y23" s="36">
        <f>MIN(K23:V23)</f>
        <v>52.286728186449658</v>
      </c>
      <c r="Z23" s="35">
        <f>QUARTILE(K23:V23,1)</f>
        <v>54.34264257514922</v>
      </c>
      <c r="AA23" s="36">
        <f>MEDIAN(K23:V23)</f>
        <v>54.708060324267493</v>
      </c>
      <c r="AB23" s="35">
        <f>QUARTILE(K23:V23,3)</f>
        <v>55.522152013447304</v>
      </c>
      <c r="AC23" s="35">
        <f>MAX(K23:V23)</f>
        <v>56.672375203938003</v>
      </c>
      <c r="AD23" s="35">
        <f>SKEW(K23:V23)</f>
        <v>-0.55291751991146321</v>
      </c>
      <c r="AE23" s="35">
        <f>KURT(K23:V23)</f>
        <v>1.1712778567253856</v>
      </c>
    </row>
    <row r="24" spans="2:31" x14ac:dyDescent="0.2">
      <c r="B24" s="34">
        <f>[35]FormattedData!A42</f>
        <v>207</v>
      </c>
      <c r="C24" s="34" t="str">
        <f>VLOOKUP($B24,[35]TrtCodes!$B$11:I85,2)</f>
        <v>FTL</v>
      </c>
      <c r="D24" s="34">
        <f>VLOOKUP($B24,[35]TrtCodes!$B$11:J85,3)</f>
        <v>4</v>
      </c>
      <c r="E24" s="34">
        <f>VLOOKUP($B24,[35]TrtCodes!$B$11:K85,4)</f>
        <v>1</v>
      </c>
      <c r="F24" s="34">
        <f>VLOOKUP($B24,[35]TrtCodes!$B$11:L85,5)</f>
        <v>2</v>
      </c>
      <c r="G24" s="34">
        <f>VLOOKUP($B24,[35]TrtCodes!$B$11:M85,6)</f>
        <v>1</v>
      </c>
      <c r="H24" s="34">
        <f>VLOOKUP($B24,[35]TrtCodes!$B$11:N85,7)</f>
        <v>2</v>
      </c>
      <c r="I24" s="34">
        <f>[35]FormattedData!B42</f>
        <v>1</v>
      </c>
      <c r="J24" s="37">
        <f>[35]FormattedData!C42</f>
        <v>13.335000000000001</v>
      </c>
      <c r="K24" s="39">
        <f>$J$3+[35]FormattedData!D42*$J$4+$M$4*$J$5+[35]FormattedData!D42^2*$J$6+$M$5*$J$7</f>
        <v>38.001925910332162</v>
      </c>
      <c r="L24" s="39">
        <f>$J$3+[35]FormattedData!E42*$J$4+$M$4*$J$5+[35]FormattedData!E42^2*$J$6+$M$5*$J$7</f>
        <v>39.217095840177372</v>
      </c>
      <c r="M24" s="39">
        <f>$J$3+[35]FormattedData!F42*$J$4+$M$4*$J$5+[35]FormattedData!F42^2*$J$6+$M$5*$J$7</f>
        <v>39.496505225231303</v>
      </c>
      <c r="N24" s="39">
        <f>$J$3+[35]FormattedData!G42*$J$4+$M$4*$J$5+[35]FormattedData!G42^2*$J$6+$M$5*$J$7</f>
        <v>38.376585183967293</v>
      </c>
      <c r="O24" s="39">
        <f>$J$3+[35]FormattedData!H42*$J$4+$M$4*$J$5+[35]FormattedData!H42^2*$J$6+$M$5*$J$7</f>
        <v>37.250578473241205</v>
      </c>
      <c r="P24" s="39">
        <f>$J$3+[35]FormattedData!I42*$J$4+$M$4*$J$5+[35]FormattedData!I42^2*$J$6+$M$5*$J$7</f>
        <v>38.843958233907756</v>
      </c>
      <c r="Q24" s="39">
        <f>$J$3+[35]FormattedData!J42*$J$4+$M$4*$J$5+[35]FormattedData!J42^2*$J$6+$M$5*$J$7</f>
        <v>37.250578473241205</v>
      </c>
      <c r="R24" s="39">
        <f>$J$3+[35]FormattedData!K42*$J$4+$M$4*$J$5+[35]FormattedData!K42^2*$J$6+$M$5*$J$7</f>
        <v>36.40207906336213</v>
      </c>
      <c r="S24" s="39">
        <f>$J$3+[35]FormattedData!L42*$J$4+$M$4*$J$5+[35]FormattedData!L42^2*$J$6+$M$5*$J$7</f>
        <v>33.644735444907326</v>
      </c>
      <c r="T24" s="39">
        <f>$J$3+[35]FormattedData!M42*$J$4+$M$4*$J$5+[35]FormattedData!M42^2*$J$6+$M$5*$J$7</f>
        <v>37.720487635457538</v>
      </c>
      <c r="U24" s="39">
        <f>$J$3+[35]FormattedData!N42*$J$4+$M$4*$J$5+[35]FormattedData!N42^2*$J$6+$M$5*$J$7</f>
        <v>34.885181960435361</v>
      </c>
      <c r="V24" s="39">
        <f>$J$3+[35]FormattedData!O42*$J$4+$M$4*$J$5+[35]FormattedData!O42^2*$J$6+$M$5*$J$7</f>
        <v>37.15646983518414</v>
      </c>
      <c r="W24" s="38">
        <f>AVERAGE(K24:V24)</f>
        <v>37.35384843995373</v>
      </c>
      <c r="X24" s="37">
        <f>STDEV(K24:V24)/SQRT(COUNT(K24:V24))</f>
        <v>0.49773350965659019</v>
      </c>
      <c r="Y24" s="36">
        <f>MIN(K24:V24)</f>
        <v>33.644735444907326</v>
      </c>
      <c r="Z24" s="35">
        <f>QUARTILE(K24:V24,1)</f>
        <v>36.967872142228636</v>
      </c>
      <c r="AA24" s="36">
        <f>MEDIAN(K24:V24)</f>
        <v>37.485533054349375</v>
      </c>
      <c r="AB24" s="35">
        <f>QUARTILE(K24:V24,3)</f>
        <v>38.493428446452413</v>
      </c>
      <c r="AC24" s="35">
        <f>MAX(K24:V24)</f>
        <v>39.496505225231303</v>
      </c>
      <c r="AD24" s="35">
        <f>SKEW(K24:V24)</f>
        <v>-0.9777181897757794</v>
      </c>
      <c r="AE24" s="35">
        <f>KURT(K24:V24)</f>
        <v>0.71967366499929408</v>
      </c>
    </row>
    <row r="25" spans="2:31" x14ac:dyDescent="0.2">
      <c r="B25" s="34">
        <f>[35]FormattedData!A44</f>
        <v>208</v>
      </c>
      <c r="C25" s="34" t="str">
        <f>VLOOKUP($B25,[35]TrtCodes!$B$11:I87,2)</f>
        <v>FSL</v>
      </c>
      <c r="D25" s="34">
        <f>VLOOKUP($B25,[35]TrtCodes!$B$11:J87,3)</f>
        <v>2</v>
      </c>
      <c r="E25" s="34">
        <f>VLOOKUP($B25,[35]TrtCodes!$B$11:K87,4)</f>
        <v>1</v>
      </c>
      <c r="F25" s="34">
        <f>VLOOKUP($B25,[35]TrtCodes!$B$11:L87,5)</f>
        <v>1</v>
      </c>
      <c r="G25" s="34">
        <f>VLOOKUP($B25,[35]TrtCodes!$B$11:M87,6)</f>
        <v>1</v>
      </c>
      <c r="H25" s="34">
        <f>VLOOKUP($B25,[35]TrtCodes!$B$11:N87,7)</f>
        <v>2</v>
      </c>
      <c r="I25" s="34">
        <f>[35]FormattedData!B44</f>
        <v>1</v>
      </c>
      <c r="J25" s="37">
        <f>[35]FormattedData!C44</f>
        <v>13.351000000000001</v>
      </c>
      <c r="K25" s="39">
        <f>$J$3+[35]FormattedData!D44*$J$4+$M$4*$J$5+[35]FormattedData!D44^2*$J$6+$M$5*$J$7</f>
        <v>36.873890309785374</v>
      </c>
      <c r="L25" s="39">
        <f>$J$3+[35]FormattedData!E44*$J$4+$M$4*$J$5+[35]FormattedData!E44^2*$J$6+$M$5*$J$7</f>
        <v>40.05418274481503</v>
      </c>
      <c r="M25" s="39">
        <f>$J$3+[35]FormattedData!F44*$J$4+$M$4*$J$5+[35]FormattedData!F44^2*$J$6+$M$5*$J$7</f>
        <v>39.123874841416864</v>
      </c>
      <c r="N25" s="39">
        <f>$J$3+[35]FormattedData!G44*$J$4+$M$4*$J$5+[35]FormattedData!G44^2*$J$6+$M$5*$J$7</f>
        <v>41.44171924905018</v>
      </c>
      <c r="O25" s="39">
        <f>$J$3+[35]FormattedData!H44*$J$4+$M$4*$J$5+[35]FormattedData!H44^2*$J$6+$M$5*$J$7</f>
        <v>40.887845897880261</v>
      </c>
      <c r="P25" s="39">
        <f>$J$3+[35]FormattedData!I44*$J$4+$M$4*$J$5+[35]FormattedData!I44^2*$J$6+$M$5*$J$7</f>
        <v>40.517751626341692</v>
      </c>
      <c r="Q25" s="39">
        <f>$J$3+[35]FormattedData!J44*$J$4+$M$4*$J$5+[35]FormattedData!J44^2*$J$6+$M$5*$J$7</f>
        <v>42.361460017965555</v>
      </c>
      <c r="R25" s="39">
        <f>$J$3+[35]FormattedData!K44*$J$4+$M$4*$J$5+[35]FormattedData!K44^2*$J$6+$M$5*$J$7</f>
        <v>43.002763578199414</v>
      </c>
      <c r="S25" s="39">
        <f>$J$3+[35]FormattedData!L44*$J$4+$M$4*$J$5+[35]FormattedData!L44^2*$J$6+$M$5*$J$7</f>
        <v>39.403411032084591</v>
      </c>
      <c r="T25" s="39">
        <f>$J$3+[35]FormattedData!M44*$J$4+$M$4*$J$5+[35]FormattedData!M44^2*$J$6+$M$5*$J$7</f>
        <v>42.361460017965555</v>
      </c>
      <c r="U25" s="39">
        <f>$J$3+[35]FormattedData!N44*$J$4+$M$4*$J$5+[35]FormattedData!N44^2*$J$6+$M$5*$J$7</f>
        <v>40.795385732802508</v>
      </c>
      <c r="V25" s="39">
        <f>$J$3+[35]FormattedData!O44*$J$4+$M$4*$J$5+[35]FormattedData!O44^2*$J$6+$M$5*$J$7</f>
        <v>38.93730603828206</v>
      </c>
      <c r="W25" s="38">
        <f>AVERAGE(K25:V25)</f>
        <v>40.48008759054909</v>
      </c>
      <c r="X25" s="37">
        <f>STDEV(K25:V25)/SQRT(COUNT(K25:V25))</f>
        <v>0.5015100414246062</v>
      </c>
      <c r="Y25" s="36">
        <f>MIN(K25:V25)</f>
        <v>36.873890309785374</v>
      </c>
      <c r="Z25" s="35">
        <f>QUARTILE(K25:V25,1)</f>
        <v>39.333526984417659</v>
      </c>
      <c r="AA25" s="36">
        <f>MEDIAN(K25:V25)</f>
        <v>40.656568679572104</v>
      </c>
      <c r="AB25" s="35">
        <f>QUARTILE(K25:V25,3)</f>
        <v>41.671654441279024</v>
      </c>
      <c r="AC25" s="35">
        <f>MAX(K25:V25)</f>
        <v>43.002763578199414</v>
      </c>
      <c r="AD25" s="35">
        <f>SKEW(K25:V25)</f>
        <v>-0.49992179572044776</v>
      </c>
      <c r="AE25" s="35">
        <f>KURT(K25:V25)</f>
        <v>0.22201044183196661</v>
      </c>
    </row>
    <row r="26" spans="2:31" x14ac:dyDescent="0.2">
      <c r="B26" s="34">
        <f>[35]FormattedData!A62</f>
        <v>301</v>
      </c>
      <c r="C26" s="34" t="str">
        <f>VLOOKUP($B26,[35]TrtCodes!$B$11:I105,2)</f>
        <v>NTL</v>
      </c>
      <c r="D26" s="34">
        <f>VLOOKUP($B26,[35]TrtCodes!$B$11:J105,3)</f>
        <v>10</v>
      </c>
      <c r="E26" s="34">
        <f>VLOOKUP($B26,[35]TrtCodes!$B$11:K105,4)</f>
        <v>2</v>
      </c>
      <c r="F26" s="34">
        <f>VLOOKUP($B26,[35]TrtCodes!$B$11:L105,5)</f>
        <v>2</v>
      </c>
      <c r="G26" s="34">
        <f>VLOOKUP($B26,[35]TrtCodes!$B$11:M105,6)</f>
        <v>1</v>
      </c>
      <c r="H26" s="34">
        <f>VLOOKUP($B26,[35]TrtCodes!$B$11:N105,7)</f>
        <v>3</v>
      </c>
      <c r="I26" s="34">
        <f>[35]FormattedData!B62</f>
        <v>1</v>
      </c>
      <c r="J26" s="37">
        <f>[35]FormattedData!C62</f>
        <v>13.473000000000001</v>
      </c>
      <c r="K26" s="39">
        <f>$J$3+[35]FormattedData!D62*$J$4+$M$4*$J$5+[35]FormattedData!D62^2*$J$6+$M$5*$J$7</f>
        <v>37.250578473241205</v>
      </c>
      <c r="L26" s="39">
        <f>$J$3+[35]FormattedData!E62*$J$4+$M$4*$J$5+[35]FormattedData!E62^2*$J$6+$M$5*$J$7</f>
        <v>35.834510705902531</v>
      </c>
      <c r="M26" s="39">
        <f>$J$3+[35]FormattedData!F62*$J$4+$M$4*$J$5+[35]FormattedData!F62^2*$J$6+$M$5*$J$7</f>
        <v>36.307590008463698</v>
      </c>
      <c r="N26" s="39">
        <f>$J$3+[35]FormattedData!G62*$J$4+$M$4*$J$5+[35]FormattedData!G62^2*$J$6+$M$5*$J$7</f>
        <v>37.06231892858915</v>
      </c>
      <c r="O26" s="39">
        <f>$J$3+[35]FormattedData!H62*$J$4+$M$4*$J$5+[35]FormattedData!H62^2*$J$6+$M$5*$J$7</f>
        <v>35.360374689893085</v>
      </c>
      <c r="P26" s="39">
        <f>$J$3+[35]FormattedData!I62*$J$4+$M$4*$J$5+[35]FormattedData!I62^2*$J$6+$M$5*$J$7</f>
        <v>34.694808988886741</v>
      </c>
      <c r="Q26" s="39">
        <f>$J$3+[35]FormattedData!J62*$J$4+$M$4*$J$5+[35]FormattedData!J62^2*$J$6+$M$5*$J$7</f>
        <v>37.814342662287011</v>
      </c>
      <c r="R26" s="39">
        <f>$J$3+[35]FormattedData!K62*$J$4+$M$4*$J$5+[35]FormattedData!K62^2*$J$6+$M$5*$J$7</f>
        <v>32.877833185857703</v>
      </c>
      <c r="S26" s="39">
        <f>$J$3+[35]FormattedData!L62*$J$4+$M$4*$J$5+[35]FormattedData!L62^2*$J$6+$M$5*$J$7</f>
        <v>36.496525849722644</v>
      </c>
      <c r="T26" s="39">
        <f>$J$3+[35]FormattedData!M62*$J$4+$M$4*$J$5+[35]FormattedData!M62^2*$J$6+$M$5*$J$7</f>
        <v>33.836038324290421</v>
      </c>
      <c r="U26" s="39">
        <f>$J$3+[35]FormattedData!N62*$J$4+$M$4*$J$5+[35]FormattedData!N62^2*$J$6+$M$5*$J$7</f>
        <v>37.15646983518414</v>
      </c>
      <c r="V26" s="39">
        <f>$J$3+[35]FormattedData!O62*$J$4+$M$4*$J$5+[35]FormattedData!O62^2*$J$6+$M$5*$J$7</f>
        <v>32.493367611422549</v>
      </c>
      <c r="W26" s="38">
        <f>AVERAGE(K26:V26)</f>
        <v>35.598729938645072</v>
      </c>
      <c r="X26" s="37">
        <f>STDEV(K26:V26)/SQRT(COUNT(K26:V26))</f>
        <v>0.51196165120280157</v>
      </c>
      <c r="Y26" s="36">
        <f>MIN(K26:V26)</f>
        <v>32.493367611422549</v>
      </c>
      <c r="Z26" s="35">
        <f>QUARTILE(K26:V26,1)</f>
        <v>34.480116322737658</v>
      </c>
      <c r="AA26" s="36">
        <f>MEDIAN(K26:V26)</f>
        <v>36.071050357183111</v>
      </c>
      <c r="AB26" s="35">
        <f>QUARTILE(K26:V26,3)</f>
        <v>37.085856655237897</v>
      </c>
      <c r="AC26" s="35">
        <f>MAX(K26:V26)</f>
        <v>37.814342662287011</v>
      </c>
      <c r="AD26" s="35">
        <f>SKEW(K26:V26)</f>
        <v>-0.64395211078326986</v>
      </c>
      <c r="AE26" s="35">
        <f>KURT(K26:V26)</f>
        <v>-0.83087454935531158</v>
      </c>
    </row>
    <row r="27" spans="2:31" x14ac:dyDescent="0.2">
      <c r="B27" s="34">
        <f>[35]FormattedData!A64</f>
        <v>302</v>
      </c>
      <c r="C27" s="34" t="str">
        <f>VLOOKUP($B27,[35]TrtCodes!$B$11:I107,2)</f>
        <v>FTL</v>
      </c>
      <c r="D27" s="34">
        <f>VLOOKUP($B27,[35]TrtCodes!$B$11:J107,3)</f>
        <v>4</v>
      </c>
      <c r="E27" s="34">
        <f>VLOOKUP($B27,[35]TrtCodes!$B$11:K107,4)</f>
        <v>1</v>
      </c>
      <c r="F27" s="34">
        <f>VLOOKUP($B27,[35]TrtCodes!$B$11:L107,5)</f>
        <v>2</v>
      </c>
      <c r="G27" s="34">
        <f>VLOOKUP($B27,[35]TrtCodes!$B$11:M107,6)</f>
        <v>1</v>
      </c>
      <c r="H27" s="34">
        <f>VLOOKUP($B27,[35]TrtCodes!$B$11:N107,7)</f>
        <v>3</v>
      </c>
      <c r="I27" s="34">
        <f>[35]FormattedData!B64</f>
        <v>1</v>
      </c>
      <c r="J27" s="37">
        <f>[35]FormattedData!C64</f>
        <v>13.489000000000001</v>
      </c>
      <c r="K27" s="39">
        <f>$J$3+[35]FormattedData!D64*$J$4+$M$4*$J$5+[35]FormattedData!D64^2*$J$6+$M$5*$J$7</f>
        <v>37.814342662287011</v>
      </c>
      <c r="L27" s="39">
        <f>$J$3+[35]FormattedData!E64*$J$4+$M$4*$J$5+[35]FormattedData!E64^2*$J$6+$M$5*$J$7</f>
        <v>37.626590340090125</v>
      </c>
      <c r="M27" s="39">
        <f>$J$3+[35]FormattedData!F64*$J$4+$M$4*$J$5+[35]FormattedData!F64^2*$J$6+$M$5*$J$7</f>
        <v>36.873890309785374</v>
      </c>
      <c r="N27" s="39">
        <f>$J$3+[35]FormattedData!G64*$J$4+$M$4*$J$5+[35]FormattedData!G64^2*$J$6+$M$5*$J$7</f>
        <v>36.968125753456228</v>
      </c>
      <c r="O27" s="39">
        <f>$J$3+[35]FormattedData!H64*$J$4+$M$4*$J$5+[35]FormattedData!H64^2*$J$6+$M$5*$J$7</f>
        <v>37.15646983518414</v>
      </c>
      <c r="P27" s="39">
        <f>$J$3+[35]FormattedData!I64*$J$4+$M$4*$J$5+[35]FormattedData!I64^2*$J$6+$M$5*$J$7</f>
        <v>35.929211103490616</v>
      </c>
      <c r="Q27" s="39">
        <f>$J$3+[35]FormattedData!J64*$J$4+$M$4*$J$5+[35]FormattedData!J64^2*$J$6+$M$5*$J$7</f>
        <v>37.15646983518414</v>
      </c>
      <c r="R27" s="39">
        <f>$J$3+[35]FormattedData!K64*$J$4+$M$4*$J$5+[35]FormattedData!K64^2*$J$6+$M$5*$J$7</f>
        <v>37.532650776184795</v>
      </c>
      <c r="S27" s="39">
        <f>$J$3+[35]FormattedData!L64*$J$4+$M$4*$J$5+[35]FormattedData!L64^2*$J$6+$M$5*$J$7</f>
        <v>34.790016608930017</v>
      </c>
      <c r="T27" s="39">
        <f>$J$3+[35]FormattedData!M64*$J$4+$M$4*$J$5+[35]FormattedData!M64^2*$J$6+$M$5*$J$7</f>
        <v>36.968125753456228</v>
      </c>
      <c r="U27" s="39">
        <f>$J$3+[35]FormattedData!N64*$J$4+$M$4*$J$5+[35]FormattedData!N64^2*$J$6+$M$5*$J$7</f>
        <v>33.26162246368596</v>
      </c>
      <c r="V27" s="39">
        <f>$J$3+[35]FormattedData!O64*$J$4+$M$4*$J$5+[35]FormattedData!O64^2*$J$6+$M$5*$J$7</f>
        <v>37.438668943741526</v>
      </c>
      <c r="W27" s="38">
        <f>AVERAGE(K27:V27)</f>
        <v>36.626348698789684</v>
      </c>
      <c r="X27" s="37">
        <f>STDEV(K27:V27)/SQRT(COUNT(K27:V27))</f>
        <v>0.38856297450136063</v>
      </c>
      <c r="Y27" s="36">
        <f>MIN(K27:V27)</f>
        <v>33.26162246368596</v>
      </c>
      <c r="Z27" s="35">
        <f>QUARTILE(K27:V27,1)</f>
        <v>36.637720508211686</v>
      </c>
      <c r="AA27" s="36">
        <f>MEDIAN(K27:V27)</f>
        <v>37.062297794320187</v>
      </c>
      <c r="AB27" s="35">
        <f>QUARTILE(K27:V27,3)</f>
        <v>37.462164401852341</v>
      </c>
      <c r="AC27" s="35">
        <f>MAX(K27:V27)</f>
        <v>37.814342662287011</v>
      </c>
      <c r="AD27" s="35">
        <f>SKEW(K27:V27)</f>
        <v>-1.8015814976783255</v>
      </c>
      <c r="AE27" s="35">
        <f>KURT(K27:V27)</f>
        <v>2.8828065830683878</v>
      </c>
    </row>
    <row r="28" spans="2:31" x14ac:dyDescent="0.2">
      <c r="B28" s="34">
        <f>[35]FormattedData!A66</f>
        <v>303</v>
      </c>
      <c r="C28" s="34" t="str">
        <f>VLOOKUP($B28,[35]TrtCodes!$B$11:I109,2)</f>
        <v>NSL</v>
      </c>
      <c r="D28" s="34">
        <f>VLOOKUP($B28,[35]TrtCodes!$B$11:J109,3)</f>
        <v>8</v>
      </c>
      <c r="E28" s="34">
        <f>VLOOKUP($B28,[35]TrtCodes!$B$11:K109,4)</f>
        <v>2</v>
      </c>
      <c r="F28" s="34">
        <f>VLOOKUP($B28,[35]TrtCodes!$B$11:L109,5)</f>
        <v>1</v>
      </c>
      <c r="G28" s="34">
        <f>VLOOKUP($B28,[35]TrtCodes!$B$11:M109,6)</f>
        <v>1</v>
      </c>
      <c r="H28" s="34">
        <f>VLOOKUP($B28,[35]TrtCodes!$B$11:N109,7)</f>
        <v>3</v>
      </c>
      <c r="I28" s="34">
        <f>[35]FormattedData!B66</f>
        <v>1</v>
      </c>
      <c r="J28" s="37">
        <f>[35]FormattedData!C66</f>
        <v>13.507</v>
      </c>
      <c r="K28" s="39">
        <f>$J$3+[35]FormattedData!D66*$J$4+$M$4*$J$5+[35]FormattedData!D66^2*$J$6+$M$5*$J$7</f>
        <v>56.842121128976224</v>
      </c>
      <c r="L28" s="39">
        <f>$J$3+[35]FormattedData!E66*$J$4+$M$4*$J$5+[35]FormattedData!E66^2*$J$6+$M$5*$J$7</f>
        <v>55.821109466471071</v>
      </c>
      <c r="M28" s="39">
        <f>$J$3+[35]FormattedData!F66*$J$4+$M$4*$J$5+[35]FormattedData!F66^2*$J$6+$M$5*$J$7</f>
        <v>48.325739599675728</v>
      </c>
      <c r="N28" s="39">
        <f>$J$3+[35]FormattedData!G66*$J$4+$M$4*$J$5+[35]FormattedData!G66^2*$J$6+$M$5*$J$7</f>
        <v>56.247270691928676</v>
      </c>
      <c r="O28" s="39">
        <f>$J$3+[35]FormattedData!H66*$J$4+$M$4*$J$5+[35]FormattedData!H66^2*$J$6+$M$5*$J$7</f>
        <v>51.238833733820314</v>
      </c>
      <c r="P28" s="39">
        <f>$J$3+[35]FormattedData!I66*$J$4+$M$4*$J$5+[35]FormattedData!I66^2*$J$6+$M$5*$J$7</f>
        <v>56.332376131406413</v>
      </c>
      <c r="Q28" s="39">
        <f>$J$3+[35]FormattedData!J66*$J$4+$M$4*$J$5+[35]FormattedData!J66^2*$J$6+$M$5*$J$7</f>
        <v>53.760826133074545</v>
      </c>
      <c r="R28" s="39">
        <f>$J$3+[35]FormattedData!K66*$J$4+$M$4*$J$5+[35]FormattedData!K66^2*$J$6+$M$5*$J$7</f>
        <v>56.926930688688429</v>
      </c>
      <c r="S28" s="39">
        <f>$J$3+[35]FormattedData!L66*$J$4+$M$4*$J$5+[35]FormattedData!L66^2*$J$6+$M$5*$J$7</f>
        <v>46.896761055645726</v>
      </c>
      <c r="T28" s="39">
        <f>$J$3+[35]FormattedData!M66*$J$4+$M$4*$J$5+[35]FormattedData!M66^2*$J$6+$M$5*$J$7</f>
        <v>56.842121128976224</v>
      </c>
      <c r="U28" s="39">
        <f>$J$3+[35]FormattedData!N66*$J$4+$M$4*$J$5+[35]FormattedData!N66^2*$J$6+$M$5*$J$7</f>
        <v>56.076933007359429</v>
      </c>
      <c r="V28" s="39">
        <f>$J$3+[35]FormattedData!O66*$J$4+$M$4*$J$5+[35]FormattedData!O66^2*$J$6+$M$5*$J$7</f>
        <v>54.105897430157874</v>
      </c>
      <c r="W28" s="38">
        <f>AVERAGE(K28:V28)</f>
        <v>54.118076683015055</v>
      </c>
      <c r="X28" s="37">
        <f>STDEV(K28:V28)/SQRT(COUNT(K28:V28))</f>
        <v>1.0038596333397036</v>
      </c>
      <c r="Y28" s="36">
        <f>MIN(K28:V28)</f>
        <v>46.896761055645726</v>
      </c>
      <c r="Z28" s="35">
        <f>QUARTILE(K28:V28,1)</f>
        <v>53.130328033260987</v>
      </c>
      <c r="AA28" s="36">
        <f>MEDIAN(K28:V28)</f>
        <v>55.94902123691525</v>
      </c>
      <c r="AB28" s="35">
        <f>QUARTILE(K28:V28,3)</f>
        <v>56.459812380798866</v>
      </c>
      <c r="AC28" s="35">
        <f>MAX(K28:V28)</f>
        <v>56.926930688688429</v>
      </c>
      <c r="AD28" s="35">
        <f>SKEW(K28:V28)</f>
        <v>-1.2951990555279358</v>
      </c>
      <c r="AE28" s="35">
        <f>KURT(K28:V28)</f>
        <v>0.44264743142550067</v>
      </c>
    </row>
    <row r="29" spans="2:31" x14ac:dyDescent="0.2">
      <c r="B29" s="34">
        <f>[35]FormattedData!A68</f>
        <v>304</v>
      </c>
      <c r="C29" s="34" t="str">
        <f>VLOOKUP($B29,[35]TrtCodes!$B$11:I111,2)</f>
        <v>FSL</v>
      </c>
      <c r="D29" s="34">
        <f>VLOOKUP($B29,[35]TrtCodes!$B$11:J111,3)</f>
        <v>2</v>
      </c>
      <c r="E29" s="34">
        <f>VLOOKUP($B29,[35]TrtCodes!$B$11:K111,4)</f>
        <v>1</v>
      </c>
      <c r="F29" s="34">
        <f>VLOOKUP($B29,[35]TrtCodes!$B$11:L111,5)</f>
        <v>1</v>
      </c>
      <c r="G29" s="34">
        <f>VLOOKUP($B29,[35]TrtCodes!$B$11:M111,6)</f>
        <v>1</v>
      </c>
      <c r="H29" s="34">
        <f>VLOOKUP($B29,[35]TrtCodes!$B$11:N111,7)</f>
        <v>3</v>
      </c>
      <c r="I29" s="34">
        <f>[35]FormattedData!B68</f>
        <v>1</v>
      </c>
      <c r="J29" s="37">
        <f>[35]FormattedData!C68</f>
        <v>13.522</v>
      </c>
      <c r="K29" s="39">
        <f>$J$3+[35]FormattedData!D68*$J$4+$M$4*$J$5+[35]FormattedData!D68^2*$J$6+$M$5*$J$7</f>
        <v>36.873890309785374</v>
      </c>
      <c r="L29" s="39">
        <f>$J$3+[35]FormattedData!E68*$J$4+$M$4*$J$5+[35]FormattedData!E68^2*$J$6+$M$5*$J$7</f>
        <v>38.189340084225591</v>
      </c>
      <c r="M29" s="39">
        <f>$J$3+[35]FormattedData!F68*$J$4+$M$4*$J$5+[35]FormattedData!F68^2*$J$6+$M$5*$J$7</f>
        <v>37.250578473241205</v>
      </c>
      <c r="N29" s="39">
        <f>$J$3+[35]FormattedData!G68*$J$4+$M$4*$J$5+[35]FormattedData!G68^2*$J$6+$M$5*$J$7</f>
        <v>40.980263794420075</v>
      </c>
      <c r="O29" s="39">
        <f>$J$3+[35]FormattedData!H68*$J$4+$M$4*$J$5+[35]FormattedData!H68^2*$J$6+$M$5*$J$7</f>
        <v>41.07263942242195</v>
      </c>
      <c r="P29" s="39">
        <f>$J$3+[35]FormattedData!I68*$J$4+$M$4*$J$5+[35]FormattedData!I68^2*$J$6+$M$5*$J$7</f>
        <v>38.001925910332162</v>
      </c>
      <c r="Q29" s="39">
        <f>$J$3+[35]FormattedData!J68*$J$4+$M$4*$J$5+[35]FormattedData!J68^2*$J$6+$M$5*$J$7</f>
        <v>39.868459312438844</v>
      </c>
      <c r="R29" s="39">
        <f>$J$3+[35]FormattedData!K68*$J$4+$M$4*$J$5+[35]FormattedData!K68^2*$J$6+$M$5*$J$7</f>
        <v>38.750568160995527</v>
      </c>
      <c r="S29" s="39">
        <f>$J$3+[35]FormattedData!L68*$J$4+$M$4*$J$5+[35]FormattedData!L68^2*$J$6+$M$5*$J$7</f>
        <v>36.307590008463698</v>
      </c>
      <c r="T29" s="39">
        <f>$J$3+[35]FormattedData!M68*$J$4+$M$4*$J$5+[35]FormattedData!M68^2*$J$6+$M$5*$J$7</f>
        <v>39.217095840177372</v>
      </c>
      <c r="U29" s="39">
        <f>$J$3+[35]FormattedData!N68*$J$4+$M$4*$J$5+[35]FormattedData!N68^2*$J$6+$M$5*$J$7</f>
        <v>36.873890309785374</v>
      </c>
      <c r="V29" s="39">
        <f>$J$3+[35]FormattedData!O68*$J$4+$M$4*$J$5+[35]FormattedData!O68^2*$J$6+$M$5*$J$7</f>
        <v>43.824253392340481</v>
      </c>
      <c r="W29" s="38">
        <f>AVERAGE(K29:V29)</f>
        <v>38.934207918218981</v>
      </c>
      <c r="X29" s="37">
        <f>STDEV(K29:V29)/SQRT(COUNT(K29:V29))</f>
        <v>0.63547809709733738</v>
      </c>
      <c r="Y29" s="36">
        <f>MIN(K29:V29)</f>
        <v>36.307590008463698</v>
      </c>
      <c r="Z29" s="35">
        <f>QUARTILE(K29:V29,1)</f>
        <v>37.156406432377246</v>
      </c>
      <c r="AA29" s="36">
        <f>MEDIAN(K29:V29)</f>
        <v>38.469954122610559</v>
      </c>
      <c r="AB29" s="35">
        <f>QUARTILE(K29:V29,3)</f>
        <v>40.146410432934154</v>
      </c>
      <c r="AC29" s="35">
        <f>MAX(K29:V29)</f>
        <v>43.824253392340481</v>
      </c>
      <c r="AD29" s="35">
        <f>SKEW(K29:V29)</f>
        <v>0.96638295306167066</v>
      </c>
      <c r="AE29" s="35">
        <f>KURT(K29:V29)</f>
        <v>0.68885541704908615</v>
      </c>
    </row>
    <row r="30" spans="2:31" x14ac:dyDescent="0.2">
      <c r="B30" s="34">
        <f>[35]FormattedData!A70</f>
        <v>305</v>
      </c>
      <c r="C30" s="34" t="str">
        <f>VLOOKUP($B30,[35]TrtCodes!$B$11:I113,2)</f>
        <v>NDH</v>
      </c>
      <c r="D30" s="34">
        <f>VLOOKUP($B30,[35]TrtCodes!$B$11:J113,3)</f>
        <v>11</v>
      </c>
      <c r="E30" s="34">
        <f>VLOOKUP($B30,[35]TrtCodes!$B$11:K113,4)</f>
        <v>2</v>
      </c>
      <c r="F30" s="34">
        <f>VLOOKUP($B30,[35]TrtCodes!$B$11:L113,5)</f>
        <v>3</v>
      </c>
      <c r="G30" s="34">
        <f>VLOOKUP($B30,[35]TrtCodes!$B$11:M113,6)</f>
        <v>2</v>
      </c>
      <c r="H30" s="34">
        <f>VLOOKUP($B30,[35]TrtCodes!$B$11:N113,7)</f>
        <v>4</v>
      </c>
      <c r="I30" s="34">
        <f>[35]FormattedData!B70</f>
        <v>1</v>
      </c>
      <c r="J30" s="37">
        <f>[35]FormattedData!C70</f>
        <v>13.539</v>
      </c>
      <c r="K30" s="39">
        <f>$J$3+[35]FormattedData!D70*$J$4+$M$4*$J$5+[35]FormattedData!D70^2*$J$6+$M$5*$J$7</f>
        <v>54.105897430157874</v>
      </c>
      <c r="L30" s="39">
        <f>$J$3+[35]FormattedData!E70*$J$4+$M$4*$J$5+[35]FormattedData!E70^2*$J$6+$M$5*$J$7</f>
        <v>45.998154555695926</v>
      </c>
      <c r="M30" s="39">
        <f>$J$3+[35]FormattedData!F70*$J$4+$M$4*$J$5+[35]FormattedData!F70^2*$J$6+$M$5*$J$7</f>
        <v>45.276226021005037</v>
      </c>
      <c r="N30" s="39">
        <f>$J$3+[35]FormattedData!G70*$J$4+$M$4*$J$5+[35]FormattedData!G70^2*$J$6+$M$5*$J$7</f>
        <v>53.328535969616922</v>
      </c>
      <c r="O30" s="39">
        <f>$J$3+[35]FormattedData!H70*$J$4+$M$4*$J$5+[35]FormattedData!H70^2*$J$6+$M$5*$J$7</f>
        <v>35.834510705902531</v>
      </c>
      <c r="P30" s="39">
        <f>$J$3+[35]FormattedData!I70*$J$4+$M$4*$J$5+[35]FormattedData!I70^2*$J$6+$M$5*$J$7</f>
        <v>52.808392911716048</v>
      </c>
      <c r="Q30" s="39">
        <f>$J$3+[35]FormattedData!J70*$J$4+$M$4*$J$5+[35]FormattedData!J70^2*$J$6+$M$5*$J$7</f>
        <v>48.414691476105197</v>
      </c>
      <c r="R30" s="39">
        <f>$J$3+[35]FormattedData!K70*$J$4+$M$4*$J$5+[35]FormattedData!K70^2*$J$6+$M$5*$J$7</f>
        <v>52.895189092711028</v>
      </c>
      <c r="S30" s="39">
        <f>$J$3+[35]FormattedData!L70*$J$4+$M$4*$J$5+[35]FormattedData!L70^2*$J$6+$M$5*$J$7</f>
        <v>34.122675629330573</v>
      </c>
      <c r="T30" s="39">
        <f>$J$3+[35]FormattedData!M70*$J$4+$M$4*$J$5+[35]FormattedData!M70^2*$J$6+$M$5*$J$7</f>
        <v>43.73314582047653</v>
      </c>
      <c r="U30" s="39">
        <f>$J$3+[35]FormattedData!N70*$J$4+$M$4*$J$5+[35]FormattedData!N70^2*$J$6+$M$5*$J$7</f>
        <v>40.425122387112218</v>
      </c>
      <c r="V30" s="39">
        <f>$J$3+[35]FormattedData!O70*$J$4+$M$4*$J$5+[35]FormattedData!O70^2*$J$6+$M$5*$J$7</f>
        <v>37.532650776184795</v>
      </c>
      <c r="W30" s="38">
        <f>AVERAGE(K30:V30)</f>
        <v>45.372932731334551</v>
      </c>
      <c r="X30" s="37">
        <f>STDEV(K30:V30)/SQRT(COUNT(K30:V30))</f>
        <v>2.073039022281677</v>
      </c>
      <c r="Y30" s="36">
        <f>MIN(K30:V30)</f>
        <v>34.122675629330573</v>
      </c>
      <c r="Z30" s="35">
        <f>QUARTILE(K30:V30,1)</f>
        <v>39.70200448438036</v>
      </c>
      <c r="AA30" s="36">
        <f>MEDIAN(K30:V30)</f>
        <v>45.637190288350482</v>
      </c>
      <c r="AB30" s="35">
        <f>QUARTILE(K30:V30,3)</f>
        <v>52.830091956964793</v>
      </c>
      <c r="AC30" s="35">
        <f>MAX(K30:V30)</f>
        <v>54.105897430157874</v>
      </c>
      <c r="AD30" s="35">
        <f>SKEW(K30:V30)</f>
        <v>-0.25468207975130441</v>
      </c>
      <c r="AE30" s="35">
        <f>KURT(K30:V30)</f>
        <v>-1.376007248376006</v>
      </c>
    </row>
    <row r="31" spans="2:31" x14ac:dyDescent="0.2">
      <c r="B31" s="34">
        <f>[35]FormattedData!A72</f>
        <v>306</v>
      </c>
      <c r="C31" s="34" t="str">
        <f>VLOOKUP($B31,[35]TrtCodes!$B$11:I115,2)</f>
        <v>FTL</v>
      </c>
      <c r="D31" s="34">
        <f>VLOOKUP($B31,[35]TrtCodes!$B$11:J115,3)</f>
        <v>4</v>
      </c>
      <c r="E31" s="34">
        <f>VLOOKUP($B31,[35]TrtCodes!$B$11:K115,4)</f>
        <v>1</v>
      </c>
      <c r="F31" s="34">
        <f>VLOOKUP($B31,[35]TrtCodes!$B$11:L115,5)</f>
        <v>2</v>
      </c>
      <c r="G31" s="34">
        <f>VLOOKUP($B31,[35]TrtCodes!$B$11:M115,6)</f>
        <v>1</v>
      </c>
      <c r="H31" s="34">
        <f>VLOOKUP($B31,[35]TrtCodes!$B$11:N115,7)</f>
        <v>4</v>
      </c>
      <c r="I31" s="34">
        <f>[35]FormattedData!B72</f>
        <v>1</v>
      </c>
      <c r="J31" s="37">
        <f>[35]FormattedData!C72</f>
        <v>13.555</v>
      </c>
      <c r="K31" s="39">
        <f>$J$3+[35]FormattedData!D72*$J$4+$M$4*$J$5+[35]FormattedData!D72^2*$J$6+$M$5*$J$7</f>
        <v>37.344644842760331</v>
      </c>
      <c r="L31" s="39">
        <f>$J$3+[35]FormattedData!E72*$J$4+$M$4*$J$5+[35]FormattedData!E72^2*$J$6+$M$5*$J$7</f>
        <v>39.123874841416864</v>
      </c>
      <c r="M31" s="39">
        <f>$J$3+[35]FormattedData!F72*$J$4+$M$4*$J$5+[35]FormattedData!F72^2*$J$6+$M$5*$J$7</f>
        <v>32.973843908121665</v>
      </c>
      <c r="N31" s="39">
        <f>$J$3+[35]FormattedData!G72*$J$4+$M$4*$J$5+[35]FormattedData!G72^2*$J$6+$M$5*$J$7</f>
        <v>39.310274570399947</v>
      </c>
      <c r="O31" s="39">
        <f>$J$3+[35]FormattedData!H72*$J$4+$M$4*$J$5+[35]FormattedData!H72^2*$J$6+$M$5*$J$7</f>
        <v>37.814342662287011</v>
      </c>
      <c r="P31" s="39">
        <f>$J$3+[35]FormattedData!I72*$J$4+$M$4*$J$5+[35]FormattedData!I72^2*$J$6+$M$5*$J$7</f>
        <v>39.589557149840083</v>
      </c>
      <c r="Q31" s="39">
        <f>$J$3+[35]FormattedData!J72*$J$4+$M$4*$J$5+[35]FormattedData!J72^2*$J$6+$M$5*$J$7</f>
        <v>36.968125753456228</v>
      </c>
      <c r="R31" s="39">
        <f>$J$3+[35]FormattedData!K72*$J$4+$M$4*$J$5+[35]FormattedData!K72^2*$J$6+$M$5*$J$7</f>
        <v>38.93730603828206</v>
      </c>
      <c r="S31" s="39">
        <f>$J$3+[35]FormattedData!L72*$J$4+$M$4*$J$5+[35]FormattedData!L72^2*$J$6+$M$5*$J$7</f>
        <v>33.357464111798201</v>
      </c>
      <c r="T31" s="39">
        <f>$J$3+[35]FormattedData!M72*$J$4+$M$4*$J$5+[35]FormattedData!M72^2*$J$6+$M$5*$J$7</f>
        <v>39.310274570399947</v>
      </c>
      <c r="U31" s="39">
        <f>$J$3+[35]FormattedData!N72*$J$4+$M$4*$J$5+[35]FormattedData!N72^2*$J$6+$M$5*$J$7</f>
        <v>33.740408018867832</v>
      </c>
      <c r="V31" s="39">
        <f>$J$3+[35]FormattedData!O72*$J$4+$M$4*$J$5+[35]FormattedData!O72^2*$J$6+$M$5*$J$7</f>
        <v>38.843958233907756</v>
      </c>
      <c r="W31" s="38">
        <f>AVERAGE(K31:V31)</f>
        <v>37.276172891794822</v>
      </c>
      <c r="X31" s="37">
        <f>STDEV(K31:V31)/SQRT(COUNT(K31:V31))</f>
        <v>0.72307925966125897</v>
      </c>
      <c r="Y31" s="36">
        <f>MIN(K31:V31)</f>
        <v>32.973843908121665</v>
      </c>
      <c r="Z31" s="35">
        <f>QUARTILE(K31:V31,1)</f>
        <v>36.161196319809129</v>
      </c>
      <c r="AA31" s="36">
        <f>MEDIAN(K31:V31)</f>
        <v>38.32915044809738</v>
      </c>
      <c r="AB31" s="35">
        <f>QUARTILE(K31:V31,3)</f>
        <v>39.170474773662633</v>
      </c>
      <c r="AC31" s="35">
        <f>MAX(K31:V31)</f>
        <v>39.589557149840083</v>
      </c>
      <c r="AD31" s="35">
        <f>SKEW(K31:V31)</f>
        <v>-0.97134041210175381</v>
      </c>
      <c r="AE31" s="35">
        <f>KURT(K31:V31)</f>
        <v>-0.73883533721897443</v>
      </c>
    </row>
    <row r="32" spans="2:31" x14ac:dyDescent="0.2">
      <c r="B32" s="34">
        <f>[35]FormattedData!A74</f>
        <v>307</v>
      </c>
      <c r="C32" s="34" t="str">
        <f>VLOOKUP($B32,[35]TrtCodes!$B$11:I117,2)</f>
        <v>NTH</v>
      </c>
      <c r="D32" s="34">
        <f>VLOOKUP($B32,[35]TrtCodes!$B$11:J117,3)</f>
        <v>9</v>
      </c>
      <c r="E32" s="34">
        <f>VLOOKUP($B32,[35]TrtCodes!$B$11:K117,4)</f>
        <v>2</v>
      </c>
      <c r="F32" s="34">
        <f>VLOOKUP($B32,[35]TrtCodes!$B$11:L117,5)</f>
        <v>2</v>
      </c>
      <c r="G32" s="34">
        <f>VLOOKUP($B32,[35]TrtCodes!$B$11:M117,6)</f>
        <v>2</v>
      </c>
      <c r="H32" s="34">
        <f>VLOOKUP($B32,[35]TrtCodes!$B$11:N117,7)</f>
        <v>4</v>
      </c>
      <c r="I32" s="34">
        <f>[35]FormattedData!B74</f>
        <v>1</v>
      </c>
      <c r="J32" s="37">
        <f>[35]FormattedData!C74</f>
        <v>13.571</v>
      </c>
      <c r="K32" s="39">
        <f>$J$3+[35]FormattedData!D74*$J$4+$M$4*$J$5+[35]FormattedData!D74^2*$J$6+$M$5*$J$7</f>
        <v>36.873890309785374</v>
      </c>
      <c r="L32" s="39">
        <f>$J$3+[35]FormattedData!E74*$J$4+$M$4*$J$5+[35]FormattedData!E74^2*$J$6+$M$5*$J$7</f>
        <v>38.376585183967293</v>
      </c>
      <c r="M32" s="39">
        <f>$J$3+[35]FormattedData!F74*$J$4+$M$4*$J$5+[35]FormattedData!F74^2*$J$6+$M$5*$J$7</f>
        <v>35.170424403723779</v>
      </c>
      <c r="N32" s="39">
        <f>$J$3+[35]FormattedData!G74*$J$4+$M$4*$J$5+[35]FormattedData!G74^2*$J$6+$M$5*$J$7</f>
        <v>38.47014433103125</v>
      </c>
      <c r="O32" s="39">
        <f>$J$3+[35]FormattedData!H74*$J$4+$M$4*$J$5+[35]FormattedData!H74^2*$J$6+$M$5*$J$7</f>
        <v>34.02717212952178</v>
      </c>
      <c r="P32" s="39">
        <f>$J$3+[35]FormattedData!I74*$J$4+$M$4*$J$5+[35]FormattedData!I74^2*$J$6+$M$5*$J$7</f>
        <v>38.282983768365405</v>
      </c>
      <c r="Q32" s="39">
        <f>$J$3+[35]FormattedData!J74*$J$4+$M$4*$J$5+[35]FormattedData!J74^2*$J$6+$M$5*$J$7</f>
        <v>32.011834601275147</v>
      </c>
      <c r="R32" s="39">
        <f>$J$3+[35]FormattedData!K74*$J$4+$M$4*$J$5+[35]FormattedData!K74^2*$J$6+$M$5*$J$7</f>
        <v>37.532650776184795</v>
      </c>
      <c r="S32" s="39">
        <f>$J$3+[35]FormattedData!L74*$J$4+$M$4*$J$5+[35]FormattedData!L74^2*$J$6+$M$5*$J$7</f>
        <v>31.818925517450673</v>
      </c>
      <c r="T32" s="39">
        <f>$J$3+[35]FormattedData!M74*$J$4+$M$4*$J$5+[35]FormattedData!M74^2*$J$6+$M$5*$J$7</f>
        <v>38.001925910332162</v>
      </c>
      <c r="U32" s="39">
        <f>$J$3+[35]FormattedData!N74*$J$4+$M$4*$J$5+[35]FormattedData!N74^2*$J$6+$M$5*$J$7</f>
        <v>31.529244877679474</v>
      </c>
      <c r="V32" s="39">
        <f>$J$3+[35]FormattedData!O74*$J$4+$M$4*$J$5+[35]FormattedData!O74^2*$J$6+$M$5*$J$7</f>
        <v>34.122675629330573</v>
      </c>
      <c r="W32" s="38">
        <f>AVERAGE(K32:V32)</f>
        <v>35.518204786553973</v>
      </c>
      <c r="X32" s="37">
        <f>STDEV(K32:V32)/SQRT(COUNT(K32:V32))</f>
        <v>0.7918895997524712</v>
      </c>
      <c r="Y32" s="36">
        <f>MIN(K32:V32)</f>
        <v>31.529244877679474</v>
      </c>
      <c r="Z32" s="35">
        <f>QUARTILE(K32:V32,1)</f>
        <v>33.523337747460118</v>
      </c>
      <c r="AA32" s="36">
        <f>MEDIAN(K32:V32)</f>
        <v>36.022157356754576</v>
      </c>
      <c r="AB32" s="35">
        <f>QUARTILE(K32:V32,3)</f>
        <v>38.072190374840474</v>
      </c>
      <c r="AC32" s="35">
        <f>MAX(K32:V32)</f>
        <v>38.47014433103125</v>
      </c>
      <c r="AD32" s="35">
        <f>SKEW(K32:V32)</f>
        <v>-0.35450099883849517</v>
      </c>
      <c r="AE32" s="35">
        <f>KURT(K32:V32)</f>
        <v>-1.6419213682755829</v>
      </c>
    </row>
    <row r="33" spans="2:31" x14ac:dyDescent="0.2">
      <c r="B33" s="34">
        <f>[35]FormattedData!A76</f>
        <v>308</v>
      </c>
      <c r="C33" s="34" t="str">
        <f>VLOOKUP($B33,[35]TrtCodes!$B$11:I119,2)</f>
        <v>FDH</v>
      </c>
      <c r="D33" s="34">
        <f>VLOOKUP($B33,[35]TrtCodes!$B$11:J119,3)</f>
        <v>5</v>
      </c>
      <c r="E33" s="34">
        <f>VLOOKUP($B33,[35]TrtCodes!$B$11:K119,4)</f>
        <v>1</v>
      </c>
      <c r="F33" s="34">
        <f>VLOOKUP($B33,[35]TrtCodes!$B$11:L119,5)</f>
        <v>3</v>
      </c>
      <c r="G33" s="34">
        <f>VLOOKUP($B33,[35]TrtCodes!$B$11:M119,6)</f>
        <v>2</v>
      </c>
      <c r="H33" s="34">
        <f>VLOOKUP($B33,[35]TrtCodes!$B$11:N119,7)</f>
        <v>4</v>
      </c>
      <c r="I33" s="34">
        <f>[35]FormattedData!B76</f>
        <v>1</v>
      </c>
      <c r="J33" s="37">
        <f>[35]FormattedData!C76</f>
        <v>13.586</v>
      </c>
      <c r="K33" s="39">
        <f>$J$3+[35]FormattedData!D76*$J$4+$M$4*$J$5+[35]FormattedData!D76^2*$J$6+$M$5*$J$7</f>
        <v>39.030611574118431</v>
      </c>
      <c r="L33" s="39">
        <f>$J$3+[35]FormattedData!E76*$J$4+$M$4*$J$5+[35]FormattedData!E76^2*$J$6+$M$5*$J$7</f>
        <v>36.685292616829869</v>
      </c>
      <c r="M33" s="39">
        <f>$J$3+[35]FormattedData!F76*$J$4+$M$4*$J$5+[35]FormattedData!F76^2*$J$6+$M$5*$J$7</f>
        <v>34.599559100305548</v>
      </c>
      <c r="N33" s="39">
        <f>$J$3+[35]FormattedData!G76*$J$4+$M$4*$J$5+[35]FormattedData!G76^2*$J$6+$M$5*$J$7</f>
        <v>36.02386923254079</v>
      </c>
      <c r="O33" s="39">
        <f>$J$3+[35]FormattedData!H76*$J$4+$M$4*$J$5+[35]FormattedData!H76^2*$J$6+$M$5*$J$7</f>
        <v>36.02386923254079</v>
      </c>
      <c r="P33" s="39">
        <f>$J$3+[35]FormattedData!I76*$J$4+$M$4*$J$5+[35]FormattedData!I76^2*$J$6+$M$5*$J$7</f>
        <v>39.68256680591093</v>
      </c>
      <c r="Q33" s="39">
        <f>$J$3+[35]FormattedData!J76*$J$4+$M$4*$J$5+[35]FormattedData!J76^2*$J$6+$M$5*$J$7</f>
        <v>36.02386923254079</v>
      </c>
      <c r="R33" s="39">
        <f>$J$3+[35]FormattedData!K76*$J$4+$M$4*$J$5+[35]FormattedData!K76^2*$J$6+$M$5*$J$7</f>
        <v>38.750568160995527</v>
      </c>
      <c r="S33" s="39">
        <f>$J$3+[35]FormattedData!L76*$J$4+$M$4*$J$5+[35]FormattedData!L76^2*$J$6+$M$5*$J$7</f>
        <v>37.438668943741526</v>
      </c>
      <c r="T33" s="39">
        <f>$J$3+[35]FormattedData!M76*$J$4+$M$4*$J$5+[35]FormattedData!M76^2*$J$6+$M$5*$J$7</f>
        <v>38.189340084225591</v>
      </c>
      <c r="U33" s="39">
        <f>$J$3+[35]FormattedData!N76*$J$4+$M$4*$J$5+[35]FormattedData!N76^2*$J$6+$M$5*$J$7</f>
        <v>34.313555823334354</v>
      </c>
      <c r="V33" s="39">
        <f>$J$3+[35]FormattedData!O76*$J$4+$M$4*$J$5+[35]FormattedData!O76^2*$J$6+$M$5*$J$7</f>
        <v>34.694808988886741</v>
      </c>
      <c r="W33" s="38">
        <f>AVERAGE(K33:V33)</f>
        <v>36.788048316330901</v>
      </c>
      <c r="X33" s="37">
        <f>STDEV(K33:V33)/SQRT(COUNT(K33:V33))</f>
        <v>0.52730341727326702</v>
      </c>
      <c r="Y33" s="36">
        <f>MIN(K33:V33)</f>
        <v>34.313555823334354</v>
      </c>
      <c r="Z33" s="35">
        <f>QUARTILE(K33:V33,1)</f>
        <v>35.691604171627276</v>
      </c>
      <c r="AA33" s="36">
        <f>MEDIAN(K33:V33)</f>
        <v>36.35458092468533</v>
      </c>
      <c r="AB33" s="35">
        <f>QUARTILE(K33:V33,3)</f>
        <v>38.329647103418075</v>
      </c>
      <c r="AC33" s="35">
        <f>MAX(K33:V33)</f>
        <v>39.68256680591093</v>
      </c>
      <c r="AD33" s="35">
        <f>SKEW(K33:V33)</f>
        <v>0.17844856970409917</v>
      </c>
      <c r="AE33" s="35">
        <f>KURT(K33:V33)</f>
        <v>-1.2731383516920607</v>
      </c>
    </row>
    <row r="34" spans="2:31" x14ac:dyDescent="0.2">
      <c r="B34" s="34">
        <f>[35]FormattedData!A92</f>
        <v>401</v>
      </c>
      <c r="C34" s="34" t="str">
        <f>VLOOKUP($B34,[35]TrtCodes!$B$11:I129,2)</f>
        <v>NSH</v>
      </c>
      <c r="D34" s="34">
        <f>VLOOKUP($B34,[35]TrtCodes!$B$11:J129,3)</f>
        <v>7</v>
      </c>
      <c r="E34" s="34">
        <f>VLOOKUP($B34,[35]TrtCodes!$B$11:K129,4)</f>
        <v>2</v>
      </c>
      <c r="F34" s="34">
        <f>VLOOKUP($B34,[35]TrtCodes!$B$11:L129,5)</f>
        <v>1</v>
      </c>
      <c r="G34" s="34">
        <f>VLOOKUP($B34,[35]TrtCodes!$B$11:M129,6)</f>
        <v>2</v>
      </c>
      <c r="H34" s="34">
        <f>VLOOKUP($B34,[35]TrtCodes!$B$11:N129,7)</f>
        <v>3</v>
      </c>
      <c r="I34" s="34">
        <f>[35]FormattedData!B92</f>
        <v>1</v>
      </c>
      <c r="J34" s="37">
        <f>[35]FormattedData!C92</f>
        <v>13.724</v>
      </c>
      <c r="K34" s="39">
        <f>$J$3+[35]FormattedData!D92*$J$4+$M$4*$J$5+[35]FormattedData!D92^2*$J$6+$M$5*$J$7</f>
        <v>55.222708472237322</v>
      </c>
      <c r="L34" s="39">
        <f>$J$3+[35]FormattedData!E92*$J$4+$M$4*$J$5+[35]FormattedData!E92^2*$J$6+$M$5*$J$7</f>
        <v>50.712604006457354</v>
      </c>
      <c r="M34" s="39">
        <f>$J$3+[35]FormattedData!F92*$J$4+$M$4*$J$5+[35]FormattedData!F92^2*$J$6+$M$5*$J$7</f>
        <v>54.450292430634313</v>
      </c>
      <c r="N34" s="39">
        <f>$J$3+[35]FormattedData!G92*$J$4+$M$4*$J$5+[35]FormattedData!G92^2*$J$6+$M$5*$J$7</f>
        <v>55.222708472237322</v>
      </c>
      <c r="O34" s="39">
        <f>$J$3+[35]FormattedData!H92*$J$4+$M$4*$J$5+[35]FormattedData!H92^2*$J$6+$M$5*$J$7</f>
        <v>53.588036873305278</v>
      </c>
      <c r="P34" s="39">
        <f>$J$3+[35]FormattedData!I92*$J$4+$M$4*$J$5+[35]FormattedData!I92^2*$J$6+$M$5*$J$7</f>
        <v>53.415078539384304</v>
      </c>
      <c r="Q34" s="39">
        <f>$J$3+[35]FormattedData!J92*$J$4+$M$4*$J$5+[35]FormattedData!J92^2*$J$6+$M$5*$J$7</f>
        <v>51.588808181303655</v>
      </c>
      <c r="R34" s="39">
        <f>$J$3+[35]FormattedData!K92*$J$4+$M$4*$J$5+[35]FormattedData!K92^2*$J$6+$M$5*$J$7</f>
        <v>55.222708472237322</v>
      </c>
      <c r="S34" s="39">
        <f>$J$3+[35]FormattedData!L92*$J$4+$M$4*$J$5+[35]FormattedData!L92^2*$J$6+$M$5*$J$7</f>
        <v>54.364257083322101</v>
      </c>
      <c r="T34" s="39">
        <f>$J$3+[35]FormattedData!M92*$J$4+$M$4*$J$5+[35]FormattedData!M92^2*$J$6+$M$5*$J$7</f>
        <v>54.794011134503847</v>
      </c>
      <c r="U34" s="39">
        <f>$J$3+[35]FormattedData!N92*$J$4+$M$4*$J$5+[35]FormattedData!N92^2*$J$6+$M$5*$J$7</f>
        <v>47.969509408578581</v>
      </c>
      <c r="V34" s="39">
        <f>$J$3+[35]FormattedData!O92*$J$4+$M$4*$J$5+[35]FormattedData!O92^2*$J$6+$M$5*$J$7</f>
        <v>54.708144861343357</v>
      </c>
      <c r="W34" s="38">
        <f>AVERAGE(K34:V34)</f>
        <v>53.438238994628733</v>
      </c>
      <c r="X34" s="37">
        <f>STDEV(K34:V34)/SQRT(COUNT(K34:V34))</f>
        <v>0.6493877893805724</v>
      </c>
      <c r="Y34" s="36">
        <f>MIN(K34:V34)</f>
        <v>47.969509408578581</v>
      </c>
      <c r="Z34" s="35">
        <f>QUARTILE(K34:V34,1)</f>
        <v>52.958510949864142</v>
      </c>
      <c r="AA34" s="36">
        <f>MEDIAN(K34:V34)</f>
        <v>54.407274756978211</v>
      </c>
      <c r="AB34" s="35">
        <f>QUARTILE(K34:V34,3)</f>
        <v>54.901185468937214</v>
      </c>
      <c r="AC34" s="35">
        <f>MAX(K34:V34)</f>
        <v>55.222708472237322</v>
      </c>
      <c r="AD34" s="35">
        <f>SKEW(K34:V34)</f>
        <v>-1.5975639889251825</v>
      </c>
      <c r="AE34" s="35">
        <f>KURT(K34:V34)</f>
        <v>2.1169444133399198</v>
      </c>
    </row>
    <row r="35" spans="2:31" x14ac:dyDescent="0.2">
      <c r="B35" s="34">
        <f>[35]FormattedData!A90</f>
        <v>402</v>
      </c>
      <c r="C35" s="34" t="str">
        <f>VLOOKUP($B35,[35]TrtCodes!$B$11:I130,2)</f>
        <v>NTH</v>
      </c>
      <c r="D35" s="34">
        <f>VLOOKUP($B35,[35]TrtCodes!$B$11:J130,3)</f>
        <v>9</v>
      </c>
      <c r="E35" s="34">
        <f>VLOOKUP($B35,[35]TrtCodes!$B$11:K130,4)</f>
        <v>2</v>
      </c>
      <c r="F35" s="34">
        <f>VLOOKUP($B35,[35]TrtCodes!$B$11:L130,5)</f>
        <v>2</v>
      </c>
      <c r="G35" s="34">
        <f>VLOOKUP($B35,[35]TrtCodes!$B$11:M130,6)</f>
        <v>2</v>
      </c>
      <c r="H35" s="34">
        <f>VLOOKUP($B35,[35]TrtCodes!$B$11:N130,7)</f>
        <v>3</v>
      </c>
      <c r="I35" s="34">
        <f>[35]FormattedData!B90</f>
        <v>1</v>
      </c>
      <c r="J35" s="37">
        <f>[35]FormattedData!C90</f>
        <v>13.708</v>
      </c>
      <c r="K35" s="39">
        <f>$J$3+[35]FormattedData!D90*$J$4+$M$4*$J$5+[35]FormattedData!D90^2*$J$6+$M$5*$J$7</f>
        <v>56.247270691928676</v>
      </c>
      <c r="L35" s="39">
        <f>$J$3+[35]FormattedData!E90*$J$4+$M$4*$J$5+[35]FormattedData!E90^2*$J$6+$M$5*$J$7</f>
        <v>56.076933007359429</v>
      </c>
      <c r="M35" s="39">
        <f>$J$3+[35]FormattedData!F90*$J$4+$M$4*$J$5+[35]FormattedData!F90^2*$J$6+$M$5*$J$7</f>
        <v>51.501377972239723</v>
      </c>
      <c r="N35" s="39">
        <f>$J$3+[35]FormattedData!G90*$J$4+$M$4*$J$5+[35]FormattedData!G90^2*$J$6+$M$5*$J$7</f>
        <v>56.672375203938003</v>
      </c>
      <c r="O35" s="39">
        <f>$J$3+[35]FormattedData!H90*$J$4+$M$4*$J$5+[35]FormattedData!H90^2*$J$6+$M$5*$J$7</f>
        <v>54.019693008693935</v>
      </c>
      <c r="P35" s="39">
        <f>$J$3+[35]FormattedData!I90*$J$4+$M$4*$J$5+[35]FormattedData!I90^2*$J$6+$M$5*$J$7</f>
        <v>53.068654649087179</v>
      </c>
      <c r="Q35" s="39">
        <f>$J$3+[35]FormattedData!J90*$J$4+$M$4*$J$5+[35]FormattedData!J90^2*$J$6+$M$5*$J$7</f>
        <v>55.137053541766491</v>
      </c>
      <c r="R35" s="39">
        <f>$J$3+[35]FormattedData!K90*$J$4+$M$4*$J$5+[35]FormattedData!K90^2*$J$6+$M$5*$J$7</f>
        <v>51.850845197267887</v>
      </c>
      <c r="S35" s="39">
        <f>$J$3+[35]FormattedData!L90*$J$4+$M$4*$J$5+[35]FormattedData!L90^2*$J$6+$M$5*$J$7</f>
        <v>53.328535969616922</v>
      </c>
      <c r="T35" s="39">
        <f>$J$3+[35]FormattedData!M90*$J$4+$M$4*$J$5+[35]FormattedData!M90^2*$J$6+$M$5*$J$7</f>
        <v>54.278179467471951</v>
      </c>
      <c r="U35" s="39">
        <f>$J$3+[35]FormattedData!N90*$J$4+$M$4*$J$5+[35]FormattedData!N90^2*$J$6+$M$5*$J$7</f>
        <v>51.151234450604647</v>
      </c>
      <c r="V35" s="39">
        <f>$J$3+[35]FormattedData!O90*$J$4+$M$4*$J$5+[35]FormattedData!O90^2*$J$6+$M$5*$J$7</f>
        <v>51.413905494637845</v>
      </c>
      <c r="W35" s="38">
        <f>AVERAGE(K35:V35)</f>
        <v>53.728838221217735</v>
      </c>
      <c r="X35" s="37">
        <f>STDEV(K35:V35)/SQRT(COUNT(K35:V35))</f>
        <v>0.57720184374206651</v>
      </c>
      <c r="Y35" s="36">
        <f>MIN(K35:V35)</f>
        <v>51.151234450604647</v>
      </c>
      <c r="Z35" s="35">
        <f>QUARTILE(K35:V35,1)</f>
        <v>51.76347839101085</v>
      </c>
      <c r="AA35" s="36">
        <f>MEDIAN(K35:V35)</f>
        <v>53.674114489155428</v>
      </c>
      <c r="AB35" s="35">
        <f>QUARTILE(K35:V35,3)</f>
        <v>55.372023408164722</v>
      </c>
      <c r="AC35" s="35">
        <f>MAX(K35:V35)</f>
        <v>56.672375203938003</v>
      </c>
      <c r="AD35" s="35">
        <f>SKEW(K35:V35)</f>
        <v>0.13439777954600396</v>
      </c>
      <c r="AE35" s="35">
        <f>KURT(K35:V35)</f>
        <v>-1.4714507950134137</v>
      </c>
    </row>
    <row r="36" spans="2:31" x14ac:dyDescent="0.2">
      <c r="B36" s="34">
        <f>[35]FormattedData!A88</f>
        <v>403</v>
      </c>
      <c r="C36" s="34" t="str">
        <f>VLOOKUP($B36,[35]TrtCodes!$B$11:I131,2)</f>
        <v>FDL</v>
      </c>
      <c r="D36" s="34">
        <f>VLOOKUP($B36,[35]TrtCodes!$B$11:J131,3)</f>
        <v>6</v>
      </c>
      <c r="E36" s="34">
        <f>VLOOKUP($B36,[35]TrtCodes!$B$11:K131,4)</f>
        <v>1</v>
      </c>
      <c r="F36" s="34">
        <f>VLOOKUP($B36,[35]TrtCodes!$B$11:L131,5)</f>
        <v>3</v>
      </c>
      <c r="G36" s="34">
        <f>VLOOKUP($B36,[35]TrtCodes!$B$11:M131,6)</f>
        <v>1</v>
      </c>
      <c r="H36" s="34">
        <f>VLOOKUP($B36,[35]TrtCodes!$B$11:N131,7)</f>
        <v>3</v>
      </c>
      <c r="I36" s="34">
        <f>[35]FormattedData!B88</f>
        <v>1</v>
      </c>
      <c r="J36" s="37">
        <f>[35]FormattedData!C88</f>
        <v>13.692</v>
      </c>
      <c r="K36" s="39">
        <f>$J$3+[35]FormattedData!D88*$J$4+$M$4*$J$5+[35]FormattedData!D88^2*$J$6+$M$5*$J$7</f>
        <v>35.929211103490616</v>
      </c>
      <c r="L36" s="39">
        <f>$J$3+[35]FormattedData!E88*$J$4+$M$4*$J$5+[35]FormattedData!E88^2*$J$6+$M$5*$J$7</f>
        <v>32.877833185857703</v>
      </c>
      <c r="M36" s="39">
        <f>$J$3+[35]FormattedData!F88*$J$4+$M$4*$J$5+[35]FormattedData!F88^2*$J$6+$M$5*$J$7</f>
        <v>31.62584735947447</v>
      </c>
      <c r="N36" s="39">
        <f>$J$3+[35]FormattedData!G88*$J$4+$M$4*$J$5+[35]FormattedData!G88^2*$J$6+$M$5*$J$7</f>
        <v>34.790016608930017</v>
      </c>
      <c r="O36" s="39">
        <f>$J$3+[35]FormattedData!H88*$J$4+$M$4*$J$5+[35]FormattedData!H88^2*$J$6+$M$5*$J$7</f>
        <v>29.490828727722434</v>
      </c>
      <c r="P36" s="39">
        <f>$J$3+[35]FormattedData!I88*$J$4+$M$4*$J$5+[35]FormattedData!I88^2*$J$6+$M$5*$J$7</f>
        <v>36.685292616829869</v>
      </c>
      <c r="Q36" s="39">
        <f>$J$3+[35]FormattedData!J88*$J$4+$M$4*$J$5+[35]FormattedData!J88^2*$J$6+$M$5*$J$7</f>
        <v>33.26162246368596</v>
      </c>
      <c r="R36" s="39">
        <f>$J$3+[35]FormattedData!K88*$J$4+$M$4*$J$5+[35]FormattedData!K88^2*$J$6+$M$5*$J$7</f>
        <v>37.814342662287011</v>
      </c>
      <c r="S36" s="39">
        <f>$J$3+[35]FormattedData!L88*$J$4+$M$4*$J$5+[35]FormattedData!L88^2*$J$6+$M$5*$J$7</f>
        <v>37.15646983518414</v>
      </c>
      <c r="T36" s="39">
        <f>$J$3+[35]FormattedData!M88*$J$4+$M$4*$J$5+[35]FormattedData!M88^2*$J$6+$M$5*$J$7</f>
        <v>36.590930367545226</v>
      </c>
      <c r="U36" s="39">
        <f>$J$3+[35]FormattedData!N88*$J$4+$M$4*$J$5+[35]FormattedData!N88^2*$J$6+$M$5*$J$7</f>
        <v>35.360374689893085</v>
      </c>
      <c r="V36" s="39">
        <f>$J$3+[35]FormattedData!O88*$J$4+$M$4*$J$5+[35]FormattedData!O88^2*$J$6+$M$5*$J$7</f>
        <v>34.504266943186408</v>
      </c>
      <c r="W36" s="38">
        <f>AVERAGE(K36:V36)</f>
        <v>34.673919713673918</v>
      </c>
      <c r="X36" s="37">
        <f>STDEV(K36:V36)/SQRT(COUNT(K36:V36))</f>
        <v>0.71356333331891975</v>
      </c>
      <c r="Y36" s="36">
        <f>MIN(K36:V36)</f>
        <v>29.490828727722434</v>
      </c>
      <c r="Z36" s="35">
        <f>QUARTILE(K36:V36,1)</f>
        <v>33.165675144228899</v>
      </c>
      <c r="AA36" s="36">
        <f>MEDIAN(K36:V36)</f>
        <v>35.075195649411555</v>
      </c>
      <c r="AB36" s="35">
        <f>QUARTILE(K36:V36,3)</f>
        <v>36.614520929866387</v>
      </c>
      <c r="AC36" s="35">
        <f>MAX(K36:V36)</f>
        <v>37.814342662287011</v>
      </c>
      <c r="AD36" s="35">
        <f>SKEW(K36:V36)</f>
        <v>-0.81200220624195152</v>
      </c>
      <c r="AE36" s="35">
        <f>KURT(K36:V36)</f>
        <v>0.14623300097860614</v>
      </c>
    </row>
    <row r="37" spans="2:31" x14ac:dyDescent="0.2">
      <c r="B37" s="34">
        <f>[35]FormattedData!A86</f>
        <v>404</v>
      </c>
      <c r="C37" s="34" t="str">
        <f>VLOOKUP($B37,[35]TrtCodes!$B$11:I129,2)</f>
        <v>FTH</v>
      </c>
      <c r="D37" s="34">
        <f>VLOOKUP($B37,[35]TrtCodes!$B$11:J129,3)</f>
        <v>3</v>
      </c>
      <c r="E37" s="34">
        <f>VLOOKUP($B37,[35]TrtCodes!$B$11:K129,4)</f>
        <v>1</v>
      </c>
      <c r="F37" s="34">
        <f>VLOOKUP($B37,[35]TrtCodes!$B$11:L129,5)</f>
        <v>2</v>
      </c>
      <c r="G37" s="34">
        <f>VLOOKUP($B37,[35]TrtCodes!$B$11:M129,6)</f>
        <v>2</v>
      </c>
      <c r="H37" s="34">
        <f>VLOOKUP($B37,[35]TrtCodes!$B$11:N129,7)</f>
        <v>3</v>
      </c>
      <c r="I37" s="34">
        <f>[35]FormattedData!B86</f>
        <v>1</v>
      </c>
      <c r="J37" s="37">
        <f>[35]FormattedData!C86</f>
        <v>13.676</v>
      </c>
      <c r="K37" s="39">
        <f>$J$3+[35]FormattedData!D86*$J$4+$M$4*$J$5+[35]FormattedData!D86^2*$J$6+$M$5*$J$7</f>
        <v>35.075385857832238</v>
      </c>
      <c r="L37" s="39">
        <f>$J$3+[35]FormattedData!E86*$J$4+$M$4*$J$5+[35]FormattedData!E86^2*$J$6+$M$5*$J$7</f>
        <v>35.834510705902531</v>
      </c>
      <c r="M37" s="39">
        <f>$J$3+[35]FormattedData!F86*$J$4+$M$4*$J$5+[35]FormattedData!F86^2*$J$6+$M$5*$J$7</f>
        <v>35.360374689893085</v>
      </c>
      <c r="N37" s="39">
        <f>$J$3+[35]FormattedData!G86*$J$4+$M$4*$J$5+[35]FormattedData!G86^2*$J$6+$M$5*$J$7</f>
        <v>36.779612597576595</v>
      </c>
      <c r="O37" s="39">
        <f>$J$3+[35]FormattedData!H86*$J$4+$M$4*$J$5+[35]FormattedData!H86^2*$J$6+$M$5*$J$7</f>
        <v>35.7397680397765</v>
      </c>
      <c r="P37" s="39">
        <f>$J$3+[35]FormattedData!I86*$J$4+$M$4*$J$5+[35]FormattedData!I86^2*$J$6+$M$5*$J$7</f>
        <v>39.217095840177372</v>
      </c>
      <c r="Q37" s="39">
        <f>$J$3+[35]FormattedData!J86*$J$4+$M$4*$J$5+[35]FormattedData!J86^2*$J$6+$M$5*$J$7</f>
        <v>38.376585183967293</v>
      </c>
      <c r="R37" s="39">
        <f>$J$3+[35]FormattedData!K86*$J$4+$M$4*$J$5+[35]FormattedData!K86^2*$J$6+$M$5*$J$7</f>
        <v>40.887845897880261</v>
      </c>
      <c r="S37" s="39">
        <f>$J$3+[35]FormattedData!L86*$J$4+$M$4*$J$5+[35]FormattedData!L86^2*$J$6+$M$5*$J$7</f>
        <v>35.834510705902531</v>
      </c>
      <c r="T37" s="39">
        <f>$J$3+[35]FormattedData!M86*$J$4+$M$4*$J$5+[35]FormattedData!M86^2*$J$6+$M$5*$J$7</f>
        <v>37.814342662287011</v>
      </c>
      <c r="U37" s="39">
        <f>$J$3+[35]FormattedData!N86*$J$4+$M$4*$J$5+[35]FormattedData!N86^2*$J$6+$M$5*$J$7</f>
        <v>36.02386923254079</v>
      </c>
      <c r="V37" s="39">
        <f>$J$3+[35]FormattedData!O86*$J$4+$M$4*$J$5+[35]FormattedData!O86^2*$J$6+$M$5*$J$7</f>
        <v>38.93730603828206</v>
      </c>
      <c r="W37" s="38">
        <f>AVERAGE(K37:V37)</f>
        <v>37.156767287668181</v>
      </c>
      <c r="X37" s="37">
        <f>STDEV(K37:V37)/SQRT(COUNT(K37:V37))</f>
        <v>0.53474768296555819</v>
      </c>
      <c r="Y37" s="36">
        <f>MIN(K37:V37)</f>
        <v>35.075385857832238</v>
      </c>
      <c r="Z37" s="35">
        <f>QUARTILE(K37:V37,1)</f>
        <v>35.810825039371025</v>
      </c>
      <c r="AA37" s="36">
        <f>MEDIAN(K37:V37)</f>
        <v>36.401740915058696</v>
      </c>
      <c r="AB37" s="35">
        <f>QUARTILE(K37:V37,3)</f>
        <v>38.516765397545981</v>
      </c>
      <c r="AC37" s="35">
        <f>MAX(K37:V37)</f>
        <v>40.887845897880261</v>
      </c>
      <c r="AD37" s="35">
        <f>SKEW(K37:V37)</f>
        <v>0.76611737867807073</v>
      </c>
      <c r="AE37" s="35">
        <f>KURT(K37:V37)</f>
        <v>-0.48356466533415121</v>
      </c>
    </row>
    <row r="38" spans="2:31" x14ac:dyDescent="0.2">
      <c r="B38" s="34">
        <f>[35]FormattedData!A84</f>
        <v>405</v>
      </c>
      <c r="C38" s="34" t="str">
        <f>VLOOKUP($B38,[35]TrtCodes!$B$11:I127,2)</f>
        <v>FDL</v>
      </c>
      <c r="D38" s="34">
        <f>VLOOKUP($B38,[35]TrtCodes!$B$11:J127,3)</f>
        <v>6</v>
      </c>
      <c r="E38" s="34">
        <f>VLOOKUP($B38,[35]TrtCodes!$B$11:K127,4)</f>
        <v>1</v>
      </c>
      <c r="F38" s="34">
        <f>VLOOKUP($B38,[35]TrtCodes!$B$11:L127,5)</f>
        <v>3</v>
      </c>
      <c r="G38" s="34">
        <f>VLOOKUP($B38,[35]TrtCodes!$B$11:M127,6)</f>
        <v>1</v>
      </c>
      <c r="H38" s="34">
        <f>VLOOKUP($B38,[35]TrtCodes!$B$11:N127,7)</f>
        <v>4</v>
      </c>
      <c r="I38" s="34">
        <f>[35]FormattedData!B84</f>
        <v>1</v>
      </c>
      <c r="J38" s="37">
        <f>[35]FormattedData!C84</f>
        <v>13.661</v>
      </c>
      <c r="K38" s="39">
        <f>$J$3+[35]FormattedData!D84*$J$4+$M$4*$J$5+[35]FormattedData!D84^2*$J$6+$M$5*$J$7</f>
        <v>35.360374689893085</v>
      </c>
      <c r="L38" s="39">
        <f>$J$3+[35]FormattedData!E84*$J$4+$M$4*$J$5+[35]FormattedData!E84^2*$J$6+$M$5*$J$7</f>
        <v>31.529244877679474</v>
      </c>
      <c r="M38" s="39">
        <f>$J$3+[35]FormattedData!F84*$J$4+$M$4*$J$5+[35]FormattedData!F84^2*$J$6+$M$5*$J$7</f>
        <v>35.360374689893085</v>
      </c>
      <c r="N38" s="39">
        <f>$J$3+[35]FormattedData!G84*$J$4+$M$4*$J$5+[35]FormattedData!G84^2*$J$6+$M$5*$J$7</f>
        <v>36.307590008463698</v>
      </c>
      <c r="O38" s="39">
        <f>$J$3+[35]FormattedData!H84*$J$4+$M$4*$J$5+[35]FormattedData!H84^2*$J$6+$M$5*$J$7</f>
        <v>31.142412265120171</v>
      </c>
      <c r="P38" s="39">
        <f>$J$3+[35]FormattedData!I84*$J$4+$M$4*$J$5+[35]FormattedData!I84^2*$J$6+$M$5*$J$7</f>
        <v>34.313555823334354</v>
      </c>
      <c r="Q38" s="39">
        <f>$J$3+[35]FormattedData!J84*$J$4+$M$4*$J$5+[35]FormattedData!J84^2*$J$6+$M$5*$J$7</f>
        <v>30.560895290143282</v>
      </c>
      <c r="R38" s="39">
        <f>$J$3+[35]FormattedData!K84*$J$4+$M$4*$J$5+[35]FormattedData!K84^2*$J$6+$M$5*$J$7</f>
        <v>36.40207906336213</v>
      </c>
      <c r="S38" s="39">
        <f>$J$3+[35]FormattedData!L84*$J$4+$M$4*$J$5+[35]FormattedData!L84^2*$J$6+$M$5*$J$7</f>
        <v>32.10822574038049</v>
      </c>
      <c r="T38" s="39">
        <f>$J$3+[35]FormattedData!M84*$J$4+$M$4*$J$5+[35]FormattedData!M84^2*$J$6+$M$5*$J$7</f>
        <v>35.265420681077401</v>
      </c>
      <c r="U38" s="39">
        <f>$J$3+[35]FormattedData!N84*$J$4+$M$4*$J$5+[35]FormattedData!N84^2*$J$6+$M$5*$J$7</f>
        <v>32.877833185857703</v>
      </c>
      <c r="V38" s="39">
        <f>$J$3+[35]FormattedData!O84*$J$4+$M$4*$J$5+[35]FormattedData!O84^2*$J$6+$M$5*$J$7</f>
        <v>33.740408018867832</v>
      </c>
      <c r="W38" s="38">
        <f>AVERAGE(K38:V38)</f>
        <v>33.747367861172727</v>
      </c>
      <c r="X38" s="37">
        <f>STDEV(K38:V38)/SQRT(COUNT(K38:V38))</f>
        <v>0.59501248267010731</v>
      </c>
      <c r="Y38" s="36">
        <f>MIN(K38:V38)</f>
        <v>30.560895290143282</v>
      </c>
      <c r="Z38" s="35">
        <f>QUARTILE(K38:V38,1)</f>
        <v>31.963480524705236</v>
      </c>
      <c r="AA38" s="36">
        <f>MEDIAN(K38:V38)</f>
        <v>34.026981921101097</v>
      </c>
      <c r="AB38" s="35">
        <f>QUARTILE(K38:V38,3)</f>
        <v>35.360374689893085</v>
      </c>
      <c r="AC38" s="35">
        <f>MAX(K38:V38)</f>
        <v>36.40207906336213</v>
      </c>
      <c r="AD38" s="35">
        <f>SKEW(K38:V38)</f>
        <v>-0.2297426218309816</v>
      </c>
      <c r="AE38" s="35">
        <f>KURT(K38:V38)</f>
        <v>-1.4778028569795265</v>
      </c>
    </row>
    <row r="39" spans="2:31" x14ac:dyDescent="0.2">
      <c r="B39" s="34">
        <f>[35]FormattedData!A82</f>
        <v>406</v>
      </c>
      <c r="C39" s="34" t="str">
        <f>VLOOKUP($B39,[35]TrtCodes!$B$11:I125,2)</f>
        <v>FTH</v>
      </c>
      <c r="D39" s="34">
        <f>VLOOKUP($B39,[35]TrtCodes!$B$11:J125,3)</f>
        <v>3</v>
      </c>
      <c r="E39" s="34">
        <f>VLOOKUP($B39,[35]TrtCodes!$B$11:K125,4)</f>
        <v>1</v>
      </c>
      <c r="F39" s="34">
        <f>VLOOKUP($B39,[35]TrtCodes!$B$11:L125,5)</f>
        <v>2</v>
      </c>
      <c r="G39" s="34">
        <f>VLOOKUP($B39,[35]TrtCodes!$B$11:M125,6)</f>
        <v>2</v>
      </c>
      <c r="H39" s="34">
        <f>VLOOKUP($B39,[35]TrtCodes!$B$11:N125,7)</f>
        <v>4</v>
      </c>
      <c r="I39" s="34">
        <f>[35]FormattedData!B82</f>
        <v>1</v>
      </c>
      <c r="J39" s="37">
        <f>[35]FormattedData!C82</f>
        <v>13.644</v>
      </c>
      <c r="K39" s="39">
        <f>$J$3+[35]FormattedData!D82*$J$4+$M$4*$J$5+[35]FormattedData!D82^2*$J$6+$M$5*$J$7</f>
        <v>35.929211103490616</v>
      </c>
      <c r="L39" s="39">
        <f>$J$3+[35]FormattedData!E82*$J$4+$M$4*$J$5+[35]FormattedData!E82^2*$J$6+$M$5*$J$7</f>
        <v>35.45528643017083</v>
      </c>
      <c r="M39" s="39">
        <f>$J$3+[35]FormattedData!F82*$J$4+$M$4*$J$5+[35]FormattedData!F82^2*$J$6+$M$5*$J$7</f>
        <v>35.929211103490616</v>
      </c>
      <c r="N39" s="39">
        <f>$J$3+[35]FormattedData!G82*$J$4+$M$4*$J$5+[35]FormattedData!G82^2*$J$6+$M$5*$J$7</f>
        <v>35.170424403723779</v>
      </c>
      <c r="O39" s="39">
        <f>$J$3+[35]FormattedData!H82*$J$4+$M$4*$J$5+[35]FormattedData!H82^2*$J$6+$M$5*$J$7</f>
        <v>36.873890309785374</v>
      </c>
      <c r="P39" s="39">
        <f>$J$3+[35]FormattedData!I82*$J$4+$M$4*$J$5+[35]FormattedData!I82^2*$J$6+$M$5*$J$7</f>
        <v>36.213058685027327</v>
      </c>
      <c r="Q39" s="39">
        <f>$J$3+[35]FormattedData!J82*$J$4+$M$4*$J$5+[35]FormattedData!J82^2*$J$6+$M$5*$J$7</f>
        <v>33.549020602408874</v>
      </c>
      <c r="R39" s="39">
        <f>$J$3+[35]FormattedData!K82*$J$4+$M$4*$J$5+[35]FormattedData!K82^2*$J$6+$M$5*$J$7</f>
        <v>35.644983105112544</v>
      </c>
      <c r="S39" s="39">
        <f>$J$3+[35]FormattedData!L82*$J$4+$M$4*$J$5+[35]FormattedData!L82^2*$J$6+$M$5*$J$7</f>
        <v>32.10822574038049</v>
      </c>
      <c r="T39" s="39">
        <f>$J$3+[35]FormattedData!M82*$J$4+$M$4*$J$5+[35]FormattedData!M82^2*$J$6+$M$5*$J$7</f>
        <v>33.357464111798201</v>
      </c>
      <c r="U39" s="39">
        <f>$J$3+[35]FormattedData!N82*$J$4+$M$4*$J$5+[35]FormattedData!N82^2*$J$6+$M$5*$J$7</f>
        <v>33.549020602408874</v>
      </c>
      <c r="V39" s="39">
        <f>$J$3+[35]FormattedData!O82*$J$4+$M$4*$J$5+[35]FormattedData!O82^2*$J$6+$M$5*$J$7</f>
        <v>36.968125753456228</v>
      </c>
      <c r="W39" s="38">
        <f>AVERAGE(K39:V39)</f>
        <v>35.062326829271143</v>
      </c>
      <c r="X39" s="37">
        <f>STDEV(K39:V39)/SQRT(COUNT(K39:V39))</f>
        <v>0.44772188123507917</v>
      </c>
      <c r="Y39" s="36">
        <f>MIN(K39:V39)</f>
        <v>32.10822574038049</v>
      </c>
      <c r="Z39" s="35">
        <f>QUARTILE(K39:V39,1)</f>
        <v>33.549020602408874</v>
      </c>
      <c r="AA39" s="36">
        <f>MEDIAN(K39:V39)</f>
        <v>35.550134767641687</v>
      </c>
      <c r="AB39" s="35">
        <f>QUARTILE(K39:V39,3)</f>
        <v>36.000172998874795</v>
      </c>
      <c r="AC39" s="35">
        <f>MAX(K39:V39)</f>
        <v>36.968125753456228</v>
      </c>
      <c r="AD39" s="35">
        <f>SKEW(K39:V39)</f>
        <v>-0.63489612870677281</v>
      </c>
      <c r="AE39" s="35">
        <f>KURT(K39:V39)</f>
        <v>-0.70883187630373268</v>
      </c>
    </row>
    <row r="40" spans="2:31" x14ac:dyDescent="0.2">
      <c r="B40" s="34">
        <f>[35]FormattedData!A80</f>
        <v>407</v>
      </c>
      <c r="C40" s="34" t="str">
        <f>VLOOKUP($B40,[35]TrtCodes!$B$11:I123,2)</f>
        <v>NSH</v>
      </c>
      <c r="D40" s="34">
        <f>VLOOKUP($B40,[35]TrtCodes!$B$11:J123,3)</f>
        <v>7</v>
      </c>
      <c r="E40" s="34">
        <f>VLOOKUP($B40,[35]TrtCodes!$B$11:K123,4)</f>
        <v>2</v>
      </c>
      <c r="F40" s="34">
        <f>VLOOKUP($B40,[35]TrtCodes!$B$11:L123,5)</f>
        <v>1</v>
      </c>
      <c r="G40" s="34">
        <f>VLOOKUP($B40,[35]TrtCodes!$B$11:M123,6)</f>
        <v>2</v>
      </c>
      <c r="H40" s="34">
        <f>VLOOKUP($B40,[35]TrtCodes!$B$11:N123,7)</f>
        <v>4</v>
      </c>
      <c r="I40" s="34">
        <f>[35]FormattedData!B80</f>
        <v>1</v>
      </c>
      <c r="J40" s="37">
        <f>[35]FormattedData!C80</f>
        <v>13.624000000000001</v>
      </c>
      <c r="K40" s="39">
        <f>$J$3+[35]FormattedData!D80*$J$4+$M$4*$J$5+[35]FormattedData!D80^2*$J$6+$M$5*$J$7</f>
        <v>55.051356342757728</v>
      </c>
      <c r="L40" s="39">
        <f>$J$3+[35]FormattedData!E80*$J$4+$M$4*$J$5+[35]FormattedData!E80^2*$J$6+$M$5*$J$7</f>
        <v>56.247270691928676</v>
      </c>
      <c r="M40" s="39">
        <f>$J$3+[35]FormattedData!F80*$J$4+$M$4*$J$5+[35]FormattedData!F80^2*$J$6+$M$5*$J$7</f>
        <v>53.068654649087179</v>
      </c>
      <c r="N40" s="39">
        <f>$J$3+[35]FormattedData!G80*$J$4+$M$4*$J$5+[35]FormattedData!G80^2*$J$6+$M$5*$J$7</f>
        <v>56.417439302346203</v>
      </c>
      <c r="O40" s="39">
        <f>$J$3+[35]FormattedData!H80*$J$4+$M$4*$J$5+[35]FormattedData!H80^2*$J$6+$M$5*$J$7</f>
        <v>50.975909078559525</v>
      </c>
      <c r="P40" s="39">
        <f>$J$3+[35]FormattedData!I80*$J$4+$M$4*$J$5+[35]FormattedData!I80^2*$J$6+$M$5*$J$7</f>
        <v>55.051356342757728</v>
      </c>
      <c r="Q40" s="39">
        <f>$J$3+[35]FormattedData!J80*$J$4+$M$4*$J$5+[35]FormattedData!J80^2*$J$6+$M$5*$J$7</f>
        <v>52.895189092711028</v>
      </c>
      <c r="R40" s="39">
        <f>$J$3+[35]FormattedData!K80*$J$4+$M$4*$J$5+[35]FormattedData!K80^2*$J$6+$M$5*$J$7</f>
        <v>54.278179467471951</v>
      </c>
      <c r="S40" s="39">
        <f>$J$3+[35]FormattedData!L80*$J$4+$M$4*$J$5+[35]FormattedData!L80^2*$J$6+$M$5*$J$7</f>
        <v>52.460785502356842</v>
      </c>
      <c r="T40" s="39">
        <f>$J$3+[35]FormattedData!M80*$J$4+$M$4*$J$5+[35]FormattedData!M80^2*$J$6+$M$5*$J$7</f>
        <v>55.051356342757728</v>
      </c>
      <c r="U40" s="39">
        <f>$J$3+[35]FormattedData!N80*$J$4+$M$4*$J$5+[35]FormattedData!N80^2*$J$6+$M$5*$J$7</f>
        <v>52.721554462183143</v>
      </c>
      <c r="V40" s="39">
        <f>$J$3+[35]FormattedData!O80*$J$4+$M$4*$J$5+[35]FormattedData!O80^2*$J$6+$M$5*$J$7</f>
        <v>51.413905494637845</v>
      </c>
      <c r="W40" s="38">
        <f>AVERAGE(K40:V40)</f>
        <v>53.802746397462954</v>
      </c>
      <c r="X40" s="37">
        <f>STDEV(K40:V40)/SQRT(COUNT(K40:V40))</f>
        <v>0.52038295260310874</v>
      </c>
      <c r="Y40" s="36">
        <f>MIN(K40:V40)</f>
        <v>50.975909078559525</v>
      </c>
      <c r="Z40" s="35">
        <f>QUARTILE(K40:V40,1)</f>
        <v>52.656362222226569</v>
      </c>
      <c r="AA40" s="36">
        <f>MEDIAN(K40:V40)</f>
        <v>53.673417058279568</v>
      </c>
      <c r="AB40" s="35">
        <f>QUARTILE(K40:V40,3)</f>
        <v>55.051356342757728</v>
      </c>
      <c r="AC40" s="35">
        <f>MAX(K40:V40)</f>
        <v>56.417439302346203</v>
      </c>
      <c r="AD40" s="35">
        <f>SKEW(K40:V40)</f>
        <v>-4.8686206103505152E-2</v>
      </c>
      <c r="AE40" s="35">
        <f>KURT(K40:V40)</f>
        <v>-1.1713835982937901</v>
      </c>
    </row>
    <row r="41" spans="2:31" x14ac:dyDescent="0.2">
      <c r="B41" s="34">
        <f>[35]FormattedData!A78</f>
        <v>408</v>
      </c>
      <c r="C41" s="34" t="str">
        <f>VLOOKUP($B41,[35]TrtCodes!$B$11:I121,2)</f>
        <v>NTL</v>
      </c>
      <c r="D41" s="34">
        <f>VLOOKUP($B41,[35]TrtCodes!$B$11:J121,3)</f>
        <v>10</v>
      </c>
      <c r="E41" s="34">
        <f>VLOOKUP($B41,[35]TrtCodes!$B$11:K121,4)</f>
        <v>2</v>
      </c>
      <c r="F41" s="34">
        <f>VLOOKUP($B41,[35]TrtCodes!$B$11:L121,5)</f>
        <v>2</v>
      </c>
      <c r="G41" s="34">
        <f>VLOOKUP($B41,[35]TrtCodes!$B$11:M121,6)</f>
        <v>1</v>
      </c>
      <c r="H41" s="34">
        <f>VLOOKUP($B41,[35]TrtCodes!$B$11:N121,7)</f>
        <v>4</v>
      </c>
      <c r="I41" s="34">
        <f>[35]FormattedData!B78</f>
        <v>1</v>
      </c>
      <c r="J41" s="37">
        <f>[35]FormattedData!C78</f>
        <v>13.606</v>
      </c>
      <c r="K41" s="39">
        <f>$J$3+[35]FormattedData!D78*$J$4+$M$4*$J$5+[35]FormattedData!D78^2*$J$6+$M$5*$J$7</f>
        <v>56.417439302346203</v>
      </c>
      <c r="L41" s="39">
        <f>$J$3+[35]FormattedData!E78*$J$4+$M$4*$J$5+[35]FormattedData!E78^2*$J$6+$M$5*$J$7</f>
        <v>57.181105756597475</v>
      </c>
      <c r="M41" s="39">
        <f>$J$3+[35]FormattedData!F78*$J$4+$M$4*$J$5+[35]FormattedData!F78^2*$J$6+$M$5*$J$7</f>
        <v>53.068654649087179</v>
      </c>
      <c r="N41" s="39">
        <f>$J$3+[35]FormattedData!G78*$J$4+$M$4*$J$5+[35]FormattedData!G78^2*$J$6+$M$5*$J$7</f>
        <v>56.247270691928676</v>
      </c>
      <c r="O41" s="39">
        <f>$J$3+[35]FormattedData!H78*$J$4+$M$4*$J$5+[35]FormattedData!H78^2*$J$6+$M$5*$J$7</f>
        <v>50.975909078559525</v>
      </c>
      <c r="P41" s="39">
        <f>$J$3+[35]FormattedData!I78*$J$4+$M$4*$J$5+[35]FormattedData!I78^2*$J$6+$M$5*$J$7</f>
        <v>57.26574624215796</v>
      </c>
      <c r="Q41" s="39">
        <f>$J$3+[35]FormattedData!J78*$J$4+$M$4*$J$5+[35]FormattedData!J78^2*$J$6+$M$5*$J$7</f>
        <v>49.743897397995376</v>
      </c>
      <c r="R41" s="39">
        <f>$J$3+[35]FormattedData!K78*$J$4+$M$4*$J$5+[35]FormattedData!K78^2*$J$6+$M$5*$J$7</f>
        <v>57.941348459276313</v>
      </c>
      <c r="S41" s="39">
        <f>$J$3+[35]FormattedData!L78*$J$4+$M$4*$J$5+[35]FormattedData!L78^2*$J$6+$M$5*$J$7</f>
        <v>45.004805389620088</v>
      </c>
      <c r="T41" s="39">
        <f>$J$3+[35]FormattedData!M78*$J$4+$M$4*$J$5+[35]FormattedData!M78^2*$J$6+$M$5*$J$7</f>
        <v>57.350344459180512</v>
      </c>
      <c r="U41" s="39">
        <f>$J$3+[35]FormattedData!N78*$J$4+$M$4*$J$5+[35]FormattedData!N78^2*$J$6+$M$5*$J$7</f>
        <v>45.908061428742322</v>
      </c>
      <c r="V41" s="39">
        <f>$J$3+[35]FormattedData!O78*$J$4+$M$4*$J$5+[35]FormattedData!O78^2*$J$6+$M$5*$J$7</f>
        <v>47.70189294560744</v>
      </c>
      <c r="W41" s="38">
        <f>AVERAGE(K41:V41)</f>
        <v>52.900539650091595</v>
      </c>
      <c r="X41" s="37">
        <f>STDEV(K41:V41)/SQRT(COUNT(K41:V41))</f>
        <v>1.3983706358497709</v>
      </c>
      <c r="Y41" s="36">
        <f>MIN(K41:V41)</f>
        <v>45.004805389620088</v>
      </c>
      <c r="Z41" s="35">
        <f>QUARTILE(K41:V41,1)</f>
        <v>49.23339628489839</v>
      </c>
      <c r="AA41" s="36">
        <f>MEDIAN(K41:V41)</f>
        <v>54.657962670507928</v>
      </c>
      <c r="AB41" s="35">
        <f>QUARTILE(K41:V41,3)</f>
        <v>57.2022658779876</v>
      </c>
      <c r="AC41" s="35">
        <f>MAX(K41:V41)</f>
        <v>57.941348459276313</v>
      </c>
      <c r="AD41" s="35">
        <f>SKEW(K41:V41)</f>
        <v>-0.53209464220836944</v>
      </c>
      <c r="AE41" s="35">
        <f>KURT(K41:V41)</f>
        <v>-1.4188859150894677</v>
      </c>
    </row>
    <row r="42" spans="2:31" x14ac:dyDescent="0.2">
      <c r="B42" s="50">
        <f>[35]FormattedData!A60</f>
        <v>901</v>
      </c>
      <c r="C42" s="50" t="str">
        <f>VLOOKUP($B42,[35]TrtCodes!$B$11:I103,2)</f>
        <v>WS</v>
      </c>
      <c r="D42" s="50">
        <f>VLOOKUP($B42,[35]TrtCodes!$B$11:J103,3)</f>
        <v>32</v>
      </c>
      <c r="E42" s="50">
        <f>VLOOKUP($B42,[35]TrtCodes!$B$11:K103,4)</f>
        <v>9</v>
      </c>
      <c r="F42" s="50">
        <f>VLOOKUP($B42,[35]TrtCodes!$B$11:L103,5)</f>
        <v>0</v>
      </c>
      <c r="G42" s="50">
        <f>VLOOKUP($B42,[35]TrtCodes!$B$11:M103,6)</f>
        <v>1</v>
      </c>
      <c r="H42" s="50">
        <f>VLOOKUP($B42,[35]TrtCodes!$B$11:N103,7)</f>
        <v>1</v>
      </c>
      <c r="I42" s="50">
        <f>[35]FormattedData!B60</f>
        <v>1</v>
      </c>
      <c r="J42" s="48">
        <f>[35]FormattedData!C60</f>
        <v>13.461</v>
      </c>
      <c r="K42" s="47">
        <f>$J$3+[35]FormattedData!D60*$J$4+$M$4*$J$5+[35]FormattedData!D60^2*$J$6+$M$5*$J$7</f>
        <v>36.02386923254079</v>
      </c>
      <c r="L42" s="47">
        <f>$J$3+[35]FormattedData!E60*$J$4+$M$4*$J$5+[35]FormattedData!E60^2*$J$6+$M$5*$J$7</f>
        <v>36.02386923254079</v>
      </c>
      <c r="M42" s="47">
        <f>$J$3+[35]FormattedData!F60*$J$4+$M$4*$J$5+[35]FormattedData!F60^2*$J$6+$M$5*$J$7</f>
        <v>36.02386923254079</v>
      </c>
      <c r="N42" s="47">
        <f>$J$3+[35]FormattedData!G60*$J$4+$M$4*$J$5+[35]FormattedData!G60^2*$J$6+$M$5*$J$7</f>
        <v>35.7397680397765</v>
      </c>
      <c r="O42" s="47">
        <f>$J$3+[35]FormattedData!H60*$J$4+$M$4*$J$5+[35]FormattedData!H60^2*$J$6+$M$5*$J$7</f>
        <v>35.45528643017083</v>
      </c>
      <c r="P42" s="47">
        <f>$J$3+[35]FormattedData!I60*$J$4+$M$4*$J$5+[35]FormattedData!I60^2*$J$6+$M$5*$J$7</f>
        <v>35.075385857832238</v>
      </c>
      <c r="Q42" s="47">
        <f>$J$3+[35]FormattedData!J60*$J$4+$M$4*$J$5+[35]FormattedData!J60^2*$J$6+$M$5*$J$7</f>
        <v>34.885181960435361</v>
      </c>
      <c r="R42" s="47">
        <f>$J$3+[35]FormattedData!K60*$J$4+$M$4*$J$5+[35]FormattedData!K60^2*$J$6+$M$5*$J$7</f>
        <v>34.790016608930017</v>
      </c>
      <c r="S42" s="47">
        <f>$J$3+[35]FormattedData!L60*$J$4+$M$4*$J$5+[35]FormattedData!L60^2*$J$6+$M$5*$J$7</f>
        <v>35.929211103490616</v>
      </c>
      <c r="T42" s="47">
        <f>$J$3+[35]FormattedData!M60*$J$4+$M$4*$J$5+[35]FormattedData!M60^2*$J$6+$M$5*$J$7</f>
        <v>35.834510705902531</v>
      </c>
      <c r="U42" s="47">
        <f>$J$3+[35]FormattedData!N60*$J$4+$M$4*$J$5+[35]FormattedData!N60^2*$J$6+$M$5*$J$7</f>
        <v>35.834510705902531</v>
      </c>
      <c r="V42" s="47">
        <f>$J$3+[35]FormattedData!O60*$J$4+$M$4*$J$5+[35]FormattedData!O60^2*$J$6+$M$5*$J$7</f>
        <v>35.929211103490616</v>
      </c>
      <c r="W42" s="49">
        <f>AVERAGE(K42:V42)</f>
        <v>35.62872418446279</v>
      </c>
      <c r="X42" s="48">
        <f>STDEV(K42:V42)/SQRT(COUNT(K42:V42))</f>
        <v>0.13310339798245166</v>
      </c>
      <c r="Y42" s="47">
        <f>MIN(K42:V42)</f>
        <v>34.790016608930017</v>
      </c>
      <c r="Z42" s="46">
        <f>QUARTILE(K42:V42,1)</f>
        <v>35.360311287086184</v>
      </c>
      <c r="AA42" s="47">
        <f>MEDIAN(K42:V42)</f>
        <v>35.834510705902531</v>
      </c>
      <c r="AB42" s="46">
        <f>QUARTILE(K42:V42,3)</f>
        <v>35.952875635753159</v>
      </c>
      <c r="AC42" s="46">
        <f>MAX(K42:V42)</f>
        <v>36.02386923254079</v>
      </c>
      <c r="AD42" s="46">
        <f>SKEW(K42:V42)</f>
        <v>-1.0211009800046764</v>
      </c>
      <c r="AE42" s="46">
        <f>KURT(K42:V42)</f>
        <v>-0.58778218009454042</v>
      </c>
    </row>
    <row r="43" spans="2:31" x14ac:dyDescent="0.2">
      <c r="B43" s="34">
        <f>[35]FormattedData!A58</f>
        <v>902</v>
      </c>
      <c r="C43" s="34" t="str">
        <f>VLOOKUP($B43,[35]TrtCodes!$B$11:I101,2)</f>
        <v>Late</v>
      </c>
      <c r="D43" s="34">
        <f>VLOOKUP($B43,[35]TrtCodes!$B$11:J101,3)</f>
        <v>22</v>
      </c>
      <c r="E43" s="34">
        <f>VLOOKUP($B43,[35]TrtCodes!$B$11:K101,4)</f>
        <v>4</v>
      </c>
      <c r="F43" s="34">
        <f>VLOOKUP($B43,[35]TrtCodes!$B$11:L101,5)</f>
        <v>2</v>
      </c>
      <c r="G43" s="34">
        <f>VLOOKUP($B43,[35]TrtCodes!$B$11:M101,6)</f>
        <v>2</v>
      </c>
      <c r="H43" s="34">
        <f>VLOOKUP($B43,[35]TrtCodes!$B$11:N101,7)</f>
        <v>1</v>
      </c>
      <c r="I43" s="34">
        <f>[35]FormattedData!B58</f>
        <v>1</v>
      </c>
      <c r="J43" s="37">
        <f>[35]FormattedData!C58</f>
        <v>13.445</v>
      </c>
      <c r="K43" s="39">
        <f>$J$3+[35]FormattedData!D58*$J$4+$M$4*$J$5+[35]FormattedData!D58^2*$J$6+$M$5*$J$7</f>
        <v>36.873890309785374</v>
      </c>
      <c r="L43" s="39">
        <f>$J$3+[35]FormattedData!E58*$J$4+$M$4*$J$5+[35]FormattedData!E58^2*$J$6+$M$5*$J$7</f>
        <v>36.118485093053025</v>
      </c>
      <c r="M43" s="39">
        <f>$J$3+[35]FormattedData!F58*$J$4+$M$4*$J$5+[35]FormattedData!F58^2*$J$6+$M$5*$J$7</f>
        <v>33.740408018867832</v>
      </c>
      <c r="N43" s="39">
        <f>$J$3+[35]FormattedData!G58*$J$4+$M$4*$J$5+[35]FormattedData!G58^2*$J$6+$M$5*$J$7</f>
        <v>34.408932517529358</v>
      </c>
      <c r="O43" s="39">
        <f>$J$3+[35]FormattedData!H58*$J$4+$M$4*$J$5+[35]FormattedData!H58^2*$J$6+$M$5*$J$7</f>
        <v>34.313555823334354</v>
      </c>
      <c r="P43" s="39">
        <f>$J$3+[35]FormattedData!I58*$J$4+$M$4*$J$5+[35]FormattedData!I58^2*$J$6+$M$5*$J$7</f>
        <v>34.980305043402758</v>
      </c>
      <c r="Q43" s="39">
        <f>$J$3+[35]FormattedData!J58*$J$4+$M$4*$J$5+[35]FormattedData!J58^2*$J$6+$M$5*$J$7</f>
        <v>36.685292616829869</v>
      </c>
      <c r="R43" s="39">
        <f>$J$3+[35]FormattedData!K58*$J$4+$M$4*$J$5+[35]FormattedData!K58^2*$J$6+$M$5*$J$7</f>
        <v>37.438668943741526</v>
      </c>
      <c r="S43" s="39">
        <f>$J$3+[35]FormattedData!L58*$J$4+$M$4*$J$5+[35]FormattedData!L58^2*$J$6+$M$5*$J$7</f>
        <v>35.360374689893085</v>
      </c>
      <c r="T43" s="39">
        <f>$J$3+[35]FormattedData!M58*$J$4+$M$4*$J$5+[35]FormattedData!M58^2*$J$6+$M$5*$J$7</f>
        <v>35.075385857832238</v>
      </c>
      <c r="U43" s="39">
        <f>$J$3+[35]FormattedData!N58*$J$4+$M$4*$J$5+[35]FormattedData!N58^2*$J$6+$M$5*$J$7</f>
        <v>35.265420681077401</v>
      </c>
      <c r="V43" s="39">
        <f>$J$3+[35]FormattedData!O58*$J$4+$M$4*$J$5+[35]FormattedData!O58^2*$J$6+$M$5*$J$7</f>
        <v>33.644735444907326</v>
      </c>
      <c r="W43" s="38">
        <f>AVERAGE(K43:V43)</f>
        <v>35.325454586687847</v>
      </c>
      <c r="X43" s="37">
        <f>STDEV(K43:V43)/SQRT(COUNT(K43:V43))</f>
        <v>0.3559985134217038</v>
      </c>
      <c r="Y43" s="36">
        <f>MIN(K43:V43)</f>
        <v>33.644735444907326</v>
      </c>
      <c r="Z43" s="35">
        <f>QUARTILE(K43:V43,1)</f>
        <v>34.385088343980605</v>
      </c>
      <c r="AA43" s="36">
        <f>MEDIAN(K43:V43)</f>
        <v>35.170403269454823</v>
      </c>
      <c r="AB43" s="35">
        <f>QUARTILE(K43:V43,3)</f>
        <v>36.260186973997236</v>
      </c>
      <c r="AC43" s="35">
        <f>MAX(K43:V43)</f>
        <v>37.438668943741526</v>
      </c>
      <c r="AD43" s="35">
        <f>SKEW(K43:V43)</f>
        <v>0.32398329013513516</v>
      </c>
      <c r="AE43" s="35">
        <f>KURT(K43:V43)</f>
        <v>-0.92870038532409005</v>
      </c>
    </row>
    <row r="44" spans="2:31" x14ac:dyDescent="0.2">
      <c r="B44" s="50">
        <f>[35]FormattedData!A56</f>
        <v>903</v>
      </c>
      <c r="C44" s="50" t="str">
        <f>VLOOKUP($B44,[35]TrtCodes!$B$11:I99,2)</f>
        <v>DS</v>
      </c>
      <c r="D44" s="50">
        <f>VLOOKUP($B44,[35]TrtCodes!$B$11:J99,3)</f>
        <v>31</v>
      </c>
      <c r="E44" s="50">
        <f>VLOOKUP($B44,[35]TrtCodes!$B$11:K99,4)</f>
        <v>8</v>
      </c>
      <c r="F44" s="50">
        <f>VLOOKUP($B44,[35]TrtCodes!$B$11:L99,5)</f>
        <v>0</v>
      </c>
      <c r="G44" s="50">
        <f>VLOOKUP($B44,[35]TrtCodes!$B$11:M99,6)</f>
        <v>1</v>
      </c>
      <c r="H44" s="50">
        <f>VLOOKUP($B44,[35]TrtCodes!$B$11:N99,7)</f>
        <v>1</v>
      </c>
      <c r="I44" s="50">
        <f>[35]FormattedData!B56</f>
        <v>1</v>
      </c>
      <c r="J44" s="48">
        <f>[35]FormattedData!C56</f>
        <v>13.436999999999999</v>
      </c>
      <c r="K44" s="47">
        <f>$J$3+[35]FormattedData!D56*$J$4+$M$4*$J$5+[35]FormattedData!D56^2*$J$6+$M$5*$J$7</f>
        <v>60.533755719430573</v>
      </c>
      <c r="L44" s="47">
        <f>$J$3+[35]FormattedData!E56*$J$4+$M$4*$J$5+[35]FormattedData!E56^2*$J$6+$M$5*$J$7</f>
        <v>60.616705463473814</v>
      </c>
      <c r="M44" s="47">
        <f>$J$3+[35]FormattedData!F56*$J$4+$M$4*$J$5+[35]FormattedData!F56^2*$J$6+$M$5*$J$7</f>
        <v>60.616705463473814</v>
      </c>
      <c r="N44" s="47">
        <f>$J$3+[35]FormattedData!G56*$J$4+$M$4*$J$5+[35]FormattedData!G56^2*$J$6+$M$5*$J$7</f>
        <v>60.367729425730296</v>
      </c>
      <c r="O44" s="47">
        <f>$J$3+[35]FormattedData!H56*$J$4+$M$4*$J$5+[35]FormattedData!H56^2*$J$6+$M$5*$J$7</f>
        <v>60.367729425730296</v>
      </c>
      <c r="P44" s="47">
        <f>$J$3+[35]FormattedData!I56*$J$4+$M$4*$J$5+[35]FormattedData!I56^2*$J$6+$M$5*$J$7</f>
        <v>60.284652876073281</v>
      </c>
      <c r="Q44" s="47">
        <f>$J$3+[35]FormattedData!J56*$J$4+$M$4*$J$5+[35]FormattedData!J56^2*$J$6+$M$5*$J$7</f>
        <v>60.699612938979129</v>
      </c>
      <c r="R44" s="47">
        <f>$J$3+[35]FormattedData!K56*$J$4+$M$4*$J$5+[35]FormattedData!K56^2*$J$6+$M$5*$J$7</f>
        <v>60.533755719430573</v>
      </c>
      <c r="S44" s="47">
        <f>$J$3+[35]FormattedData!L56*$J$4+$M$4*$J$5+[35]FormattedData!L56^2*$J$6+$M$5*$J$7</f>
        <v>60.699612938979129</v>
      </c>
      <c r="T44" s="47">
        <f>$J$3+[35]FormattedData!M56*$J$4+$M$4*$J$5+[35]FormattedData!M56^2*$J$6+$M$5*$J$7</f>
        <v>60.86530108437595</v>
      </c>
      <c r="U44" s="47">
        <f>$J$3+[35]FormattedData!N56*$J$4+$M$4*$J$5+[35]FormattedData!N56^2*$J$6+$M$5*$J$7</f>
        <v>61.113516288436706</v>
      </c>
      <c r="V44" s="47">
        <f>$J$3+[35]FormattedData!O56*$J$4+$M$4*$J$5+[35]FormattedData!O56^2*$J$6+$M$5*$J$7</f>
        <v>60.616705463473814</v>
      </c>
      <c r="W44" s="49">
        <f>AVERAGE(K44:V44)</f>
        <v>60.609648567298954</v>
      </c>
      <c r="X44" s="48">
        <f>STDEV(K44:V44)/SQRT(COUNT(K44:V44))</f>
        <v>6.569954889678821E-2</v>
      </c>
      <c r="Y44" s="47">
        <f>MIN(K44:V44)</f>
        <v>60.284652876073281</v>
      </c>
      <c r="Z44" s="46">
        <f>QUARTILE(K44:V44,1)</f>
        <v>60.492249146005506</v>
      </c>
      <c r="AA44" s="47">
        <f>MEDIAN(K44:V44)</f>
        <v>60.616705463473814</v>
      </c>
      <c r="AB44" s="46">
        <f>QUARTILE(K44:V44,3)</f>
        <v>60.699612938979129</v>
      </c>
      <c r="AC44" s="46">
        <f>MAX(K44:V44)</f>
        <v>61.113516288436706</v>
      </c>
      <c r="AD44" s="46">
        <f>SKEW(K44:V44)</f>
        <v>0.7641215809983003</v>
      </c>
      <c r="AE44" s="46">
        <f>KURT(K44:V44)</f>
        <v>1.072378284979532</v>
      </c>
    </row>
    <row r="45" spans="2:31" x14ac:dyDescent="0.2">
      <c r="B45" s="34">
        <f>[35]FormattedData!A54</f>
        <v>904</v>
      </c>
      <c r="C45" s="34" t="str">
        <f>VLOOKUP($B45,[35]TrtCodes!$B$11:I97,2)</f>
        <v>Early</v>
      </c>
      <c r="D45" s="34">
        <f>VLOOKUP($B45,[35]TrtCodes!$B$11:J97,3)</f>
        <v>21</v>
      </c>
      <c r="E45" s="34">
        <f>VLOOKUP($B45,[35]TrtCodes!$B$11:K97,4)</f>
        <v>3</v>
      </c>
      <c r="F45" s="34">
        <f>VLOOKUP($B45,[35]TrtCodes!$B$11:L97,5)</f>
        <v>2</v>
      </c>
      <c r="G45" s="34">
        <f>VLOOKUP($B45,[35]TrtCodes!$B$11:M97,6)</f>
        <v>2</v>
      </c>
      <c r="H45" s="34">
        <f>VLOOKUP($B45,[35]TrtCodes!$B$11:N97,7)</f>
        <v>1</v>
      </c>
      <c r="I45" s="34">
        <f>[35]FormattedData!B54</f>
        <v>1</v>
      </c>
      <c r="J45" s="37">
        <f>[35]FormattedData!C54</f>
        <v>13.42</v>
      </c>
      <c r="K45" s="39">
        <f>$J$3+[35]FormattedData!D54*$J$4+$M$4*$J$5+[35]FormattedData!D54^2*$J$6+$M$5*$J$7</f>
        <v>39.68256680591093</v>
      </c>
      <c r="L45" s="39">
        <f>$J$3+[35]FormattedData!E54*$J$4+$M$4*$J$5+[35]FormattedData!E54^2*$J$6+$M$5*$J$7</f>
        <v>36.590930367545226</v>
      </c>
      <c r="M45" s="39">
        <f>$J$3+[35]FormattedData!F54*$J$4+$M$4*$J$5+[35]FormattedData!F54^2*$J$6+$M$5*$J$7</f>
        <v>33.549020602408874</v>
      </c>
      <c r="N45" s="39">
        <f>$J$3+[35]FormattedData!G54*$J$4+$M$4*$J$5+[35]FormattedData!G54^2*$J$6+$M$5*$J$7</f>
        <v>35.644983105112544</v>
      </c>
      <c r="O45" s="39">
        <f>$J$3+[35]FormattedData!H54*$J$4+$M$4*$J$5+[35]FormattedData!H54^2*$J$6+$M$5*$J$7</f>
        <v>33.93162636117507</v>
      </c>
      <c r="P45" s="39">
        <f>$J$3+[35]FormattedData!I54*$J$4+$M$4*$J$5+[35]FormattedData!I54^2*$J$6+$M$5*$J$7</f>
        <v>36.40207906336213</v>
      </c>
      <c r="Q45" s="39">
        <f>$J$3+[35]FormattedData!J54*$J$4+$M$4*$J$5+[35]FormattedData!J54^2*$J$6+$M$5*$J$7</f>
        <v>37.06231892858915</v>
      </c>
      <c r="R45" s="39">
        <f>$J$3+[35]FormattedData!K54*$J$4+$M$4*$J$5+[35]FormattedData!K54^2*$J$6+$M$5*$J$7</f>
        <v>38.376585183967293</v>
      </c>
      <c r="S45" s="39">
        <f>$J$3+[35]FormattedData!L54*$J$4+$M$4*$J$5+[35]FormattedData!L54^2*$J$6+$M$5*$J$7</f>
        <v>34.694808988886741</v>
      </c>
      <c r="T45" s="39">
        <f>$J$3+[35]FormattedData!M54*$J$4+$M$4*$J$5+[35]FormattedData!M54^2*$J$6+$M$5*$J$7</f>
        <v>36.873890309785374</v>
      </c>
      <c r="U45" s="39">
        <f>$J$3+[35]FormattedData!N54*$J$4+$M$4*$J$5+[35]FormattedData!N54^2*$J$6+$M$5*$J$7</f>
        <v>35.834510705902531</v>
      </c>
      <c r="V45" s="39">
        <f>$J$3+[35]FormattedData!O54*$J$4+$M$4*$J$5+[35]FormattedData!O54^2*$J$6+$M$5*$J$7</f>
        <v>36.873890309785374</v>
      </c>
      <c r="W45" s="38">
        <f>AVERAGE(K45:V45)</f>
        <v>36.293100894369267</v>
      </c>
      <c r="X45" s="37">
        <f>STDEV(K45:V45)/SQRT(COUNT(K45:V45))</f>
        <v>0.50368137870606544</v>
      </c>
      <c r="Y45" s="36">
        <f>MIN(K45:V45)</f>
        <v>33.549020602408874</v>
      </c>
      <c r="Z45" s="35">
        <f>QUARTILE(K45:V45,1)</f>
        <v>35.407439576056092</v>
      </c>
      <c r="AA45" s="36">
        <f>MEDIAN(K45:V45)</f>
        <v>36.496504715453682</v>
      </c>
      <c r="AB45" s="35">
        <f>QUARTILE(K45:V45,3)</f>
        <v>36.920997464486319</v>
      </c>
      <c r="AC45" s="35">
        <f>MAX(K45:V45)</f>
        <v>39.68256680591093</v>
      </c>
      <c r="AD45" s="35">
        <f>SKEW(K45:V45)</f>
        <v>0.21719175357048687</v>
      </c>
      <c r="AE45" s="35">
        <f>KURT(K45:V45)</f>
        <v>0.14849746625064775</v>
      </c>
    </row>
    <row r="46" spans="2:31" x14ac:dyDescent="0.2">
      <c r="B46" s="50">
        <f>[35]FormattedData!A52</f>
        <v>905</v>
      </c>
      <c r="C46" s="50" t="str">
        <f>VLOOKUP($B46,[35]TrtCodes!$B$11:I95,2)</f>
        <v>WS</v>
      </c>
      <c r="D46" s="50">
        <f>VLOOKUP($B46,[35]TrtCodes!$B$11:J95,3)</f>
        <v>32</v>
      </c>
      <c r="E46" s="50">
        <f>VLOOKUP($B46,[35]TrtCodes!$B$11:K95,4)</f>
        <v>9</v>
      </c>
      <c r="F46" s="50">
        <f>VLOOKUP($B46,[35]TrtCodes!$B$11:L95,5)</f>
        <v>0</v>
      </c>
      <c r="G46" s="50">
        <f>VLOOKUP($B46,[35]TrtCodes!$B$11:M95,6)</f>
        <v>1</v>
      </c>
      <c r="H46" s="50">
        <f>VLOOKUP($B46,[35]TrtCodes!$B$11:N95,7)</f>
        <v>2</v>
      </c>
      <c r="I46" s="50">
        <f>[35]FormattedData!B52</f>
        <v>1</v>
      </c>
      <c r="J46" s="48">
        <f>[35]FormattedData!C52</f>
        <v>13.412000000000001</v>
      </c>
      <c r="K46" s="47">
        <f>$J$3+[35]FormattedData!D52*$J$4+$M$4*$J$5+[35]FormattedData!D52^2*$J$6+$M$5*$J$7</f>
        <v>35.170424403723779</v>
      </c>
      <c r="L46" s="47">
        <f>$J$3+[35]FormattedData!E52*$J$4+$M$4*$J$5+[35]FormattedData!E52^2*$J$6+$M$5*$J$7</f>
        <v>35.170424403723779</v>
      </c>
      <c r="M46" s="47">
        <f>$J$3+[35]FormattedData!F52*$J$4+$M$4*$J$5+[35]FormattedData!F52^2*$J$6+$M$5*$J$7</f>
        <v>34.980305043402758</v>
      </c>
      <c r="N46" s="47">
        <f>$J$3+[35]FormattedData!G52*$J$4+$M$4*$J$5+[35]FormattedData!G52^2*$J$6+$M$5*$J$7</f>
        <v>34.599559100305548</v>
      </c>
      <c r="O46" s="47">
        <f>$J$3+[35]FormattedData!H52*$J$4+$M$4*$J$5+[35]FormattedData!H52^2*$J$6+$M$5*$J$7</f>
        <v>35.075385857832238</v>
      </c>
      <c r="P46" s="47">
        <f>$J$3+[35]FormattedData!I52*$J$4+$M$4*$J$5+[35]FormattedData!I52^2*$J$6+$M$5*$J$7</f>
        <v>35.075385857832238</v>
      </c>
      <c r="Q46" s="47">
        <f>$J$3+[35]FormattedData!J52*$J$4+$M$4*$J$5+[35]FormattedData!J52^2*$J$6+$M$5*$J$7</f>
        <v>35.075385857832238</v>
      </c>
      <c r="R46" s="47">
        <f>$J$3+[35]FormattedData!K52*$J$4+$M$4*$J$5+[35]FormattedData!K52^2*$J$6+$M$5*$J$7</f>
        <v>35.075385857832238</v>
      </c>
      <c r="S46" s="47">
        <f>$J$3+[35]FormattedData!L52*$J$4+$M$4*$J$5+[35]FormattedData!L52^2*$J$6+$M$5*$J$7</f>
        <v>35.170424403723779</v>
      </c>
      <c r="T46" s="47">
        <f>$J$3+[35]FormattedData!M52*$J$4+$M$4*$J$5+[35]FormattedData!M52^2*$J$6+$M$5*$J$7</f>
        <v>35.360374689893085</v>
      </c>
      <c r="U46" s="47">
        <f>$J$3+[35]FormattedData!N52*$J$4+$M$4*$J$5+[35]FormattedData!N52^2*$J$6+$M$5*$J$7</f>
        <v>35.360374689893085</v>
      </c>
      <c r="V46" s="47">
        <f>$J$3+[35]FormattedData!O52*$J$4+$M$4*$J$5+[35]FormattedData!O52^2*$J$6+$M$5*$J$7</f>
        <v>35.170424403723779</v>
      </c>
      <c r="W46" s="49">
        <f>AVERAGE(K46:V46)</f>
        <v>35.106987880809875</v>
      </c>
      <c r="X46" s="48">
        <f>STDEV(K46:V46)/SQRT(COUNT(K46:V46))</f>
        <v>5.6544014754069317E-2</v>
      </c>
      <c r="Y46" s="47">
        <f>MIN(K46:V46)</f>
        <v>34.599559100305548</v>
      </c>
      <c r="Z46" s="46">
        <f>QUARTILE(K46:V46,1)</f>
        <v>35.075385857832238</v>
      </c>
      <c r="AA46" s="47">
        <f>MEDIAN(K46:V46)</f>
        <v>35.122905130778008</v>
      </c>
      <c r="AB46" s="46">
        <f>QUARTILE(K46:V46,3)</f>
        <v>35.170424403723779</v>
      </c>
      <c r="AC46" s="46">
        <f>MAX(K46:V46)</f>
        <v>35.360374689893085</v>
      </c>
      <c r="AD46" s="46">
        <f>SKEW(K46:V46)</f>
        <v>-1.4408273041479867</v>
      </c>
      <c r="AE46" s="46">
        <f>KURT(K46:V46)</f>
        <v>3.9812600269922811</v>
      </c>
    </row>
    <row r="47" spans="2:31" x14ac:dyDescent="0.2">
      <c r="B47" s="34">
        <f>[35]FormattedData!A50</f>
        <v>906</v>
      </c>
      <c r="C47" s="34" t="str">
        <f>VLOOKUP($B47,[35]TrtCodes!$B$11:I93,2)</f>
        <v>Late</v>
      </c>
      <c r="D47" s="34">
        <f>VLOOKUP($B47,[35]TrtCodes!$B$11:J93,3)</f>
        <v>22</v>
      </c>
      <c r="E47" s="34">
        <f>VLOOKUP($B47,[35]TrtCodes!$B$11:K93,4)</f>
        <v>4</v>
      </c>
      <c r="F47" s="34">
        <f>VLOOKUP($B47,[35]TrtCodes!$B$11:L93,5)</f>
        <v>2</v>
      </c>
      <c r="G47" s="34">
        <f>VLOOKUP($B47,[35]TrtCodes!$B$11:M93,6)</f>
        <v>2</v>
      </c>
      <c r="H47" s="34">
        <f>VLOOKUP($B47,[35]TrtCodes!$B$11:N93,7)</f>
        <v>2</v>
      </c>
      <c r="I47" s="34">
        <f>[35]FormattedData!B50</f>
        <v>1</v>
      </c>
      <c r="J47" s="37">
        <f>[35]FormattedData!C50</f>
        <v>13.395</v>
      </c>
      <c r="K47" s="39">
        <f>$J$3+[35]FormattedData!D50*$J$4+$M$4*$J$5+[35]FormattedData!D50^2*$J$6+$M$5*$J$7</f>
        <v>37.438668943741526</v>
      </c>
      <c r="L47" s="39">
        <f>$J$3+[35]FormattedData!E50*$J$4+$M$4*$J$5+[35]FormattedData!E50^2*$J$6+$M$5*$J$7</f>
        <v>38.001925910332162</v>
      </c>
      <c r="M47" s="39">
        <f>$J$3+[35]FormattedData!F50*$J$4+$M$4*$J$5+[35]FormattedData!F50^2*$J$6+$M$5*$J$7</f>
        <v>35.265420681077401</v>
      </c>
      <c r="N47" s="39">
        <f>$J$3+[35]FormattedData!G50*$J$4+$M$4*$J$5+[35]FormattedData!G50^2*$J$6+$M$5*$J$7</f>
        <v>38.001925910332162</v>
      </c>
      <c r="O47" s="39">
        <f>$J$3+[35]FormattedData!H50*$J$4+$M$4*$J$5+[35]FormattedData!H50^2*$J$6+$M$5*$J$7</f>
        <v>39.217095840177372</v>
      </c>
      <c r="P47" s="39">
        <f>$J$3+[35]FormattedData!I50*$J$4+$M$4*$J$5+[35]FormattedData!I50^2*$J$6+$M$5*$J$7</f>
        <v>40.980263794420075</v>
      </c>
      <c r="Q47" s="39">
        <f>$J$3+[35]FormattedData!J50*$J$4+$M$4*$J$5+[35]FormattedData!J50^2*$J$6+$M$5*$J$7</f>
        <v>38.189340084225591</v>
      </c>
      <c r="R47" s="39">
        <f>$J$3+[35]FormattedData!K50*$J$4+$M$4*$J$5+[35]FormattedData!K50^2*$J$6+$M$5*$J$7</f>
        <v>40.610338597033227</v>
      </c>
      <c r="S47" s="39">
        <f>$J$3+[35]FormattedData!L50*$J$4+$M$4*$J$5+[35]FormattedData!L50^2*$J$6+$M$5*$J$7</f>
        <v>35.550155901910649</v>
      </c>
      <c r="T47" s="39">
        <f>$J$3+[35]FormattedData!M50*$J$4+$M$4*$J$5+[35]FormattedData!M50^2*$J$6+$M$5*$J$7</f>
        <v>37.626590340090125</v>
      </c>
      <c r="U47" s="39">
        <f>$J$3+[35]FormattedData!N50*$J$4+$M$4*$J$5+[35]FormattedData!N50^2*$J$6+$M$5*$J$7</f>
        <v>37.438668943741526</v>
      </c>
      <c r="V47" s="39">
        <f>$J$3+[35]FormattedData!O50*$J$4+$M$4*$J$5+[35]FormattedData!O50^2*$J$6+$M$5*$J$7</f>
        <v>35.929211103490616</v>
      </c>
      <c r="W47" s="38">
        <f>AVERAGE(K47:V47)</f>
        <v>37.8541338375477</v>
      </c>
      <c r="X47" s="37">
        <f>STDEV(K47:V47)/SQRT(COUNT(K47:V47))</f>
        <v>0.51855818973852386</v>
      </c>
      <c r="Y47" s="36">
        <f>MIN(K47:V47)</f>
        <v>35.265420681077401</v>
      </c>
      <c r="Z47" s="35">
        <f>QUARTILE(K47:V47,1)</f>
        <v>37.061304483678796</v>
      </c>
      <c r="AA47" s="36">
        <f>MEDIAN(K47:V47)</f>
        <v>37.81425812521114</v>
      </c>
      <c r="AB47" s="35">
        <f>QUARTILE(K47:V47,3)</f>
        <v>38.446279023213535</v>
      </c>
      <c r="AC47" s="35">
        <f>MAX(K47:V47)</f>
        <v>40.980263794420075</v>
      </c>
      <c r="AD47" s="35">
        <f>SKEW(K47:V47)</f>
        <v>0.32368283178263585</v>
      </c>
      <c r="AE47" s="35">
        <f>KURT(K47:V47)</f>
        <v>-0.34746285635795582</v>
      </c>
    </row>
    <row r="48" spans="2:31" x14ac:dyDescent="0.2">
      <c r="B48" s="50">
        <f>[35]FormattedData!A48</f>
        <v>907</v>
      </c>
      <c r="C48" s="50" t="str">
        <f>VLOOKUP($B48,[35]TrtCodes!$B$11:I91,2)</f>
        <v>DS</v>
      </c>
      <c r="D48" s="50">
        <f>VLOOKUP($B48,[35]TrtCodes!$B$11:J91,3)</f>
        <v>31</v>
      </c>
      <c r="E48" s="50">
        <f>VLOOKUP($B48,[35]TrtCodes!$B$11:K91,4)</f>
        <v>8</v>
      </c>
      <c r="F48" s="50">
        <f>VLOOKUP($B48,[35]TrtCodes!$B$11:L91,5)</f>
        <v>0</v>
      </c>
      <c r="G48" s="50">
        <f>VLOOKUP($B48,[35]TrtCodes!$B$11:M91,6)</f>
        <v>1</v>
      </c>
      <c r="H48" s="50">
        <f>VLOOKUP($B48,[35]TrtCodes!$B$11:N91,7)</f>
        <v>2</v>
      </c>
      <c r="I48" s="50">
        <f>[35]FormattedData!B48</f>
        <v>1</v>
      </c>
      <c r="J48" s="48">
        <f>[35]FormattedData!C48</f>
        <v>13.385999999999999</v>
      </c>
      <c r="K48" s="47">
        <f>$J$3+[35]FormattedData!D48*$J$4+$M$4*$J$5+[35]FormattedData!D48^2*$J$6+$M$5*$J$7</f>
        <v>60.699612938979129</v>
      </c>
      <c r="L48" s="47">
        <f>$J$3+[35]FormattedData!E48*$J$4+$M$4*$J$5+[35]FormattedData!E48^2*$J$6+$M$5*$J$7</f>
        <v>60.616705463473814</v>
      </c>
      <c r="M48" s="47">
        <f>$J$3+[35]FormattedData!F48*$J$4+$M$4*$J$5+[35]FormattedData!F48^2*$J$6+$M$5*$J$7</f>
        <v>60.201534057878305</v>
      </c>
      <c r="N48" s="47">
        <f>$J$3+[35]FormattedData!G48*$J$4+$M$4*$J$5+[35]FormattedData!G48^2*$J$6+$M$5*$J$7</f>
        <v>60.367729425730296</v>
      </c>
      <c r="O48" s="47">
        <f>$J$3+[35]FormattedData!H48*$J$4+$M$4*$J$5+[35]FormattedData!H48^2*$J$6+$M$5*$J$7</f>
        <v>60.616705463473814</v>
      </c>
      <c r="P48" s="47">
        <f>$J$3+[35]FormattedData!I48*$J$4+$M$4*$J$5+[35]FormattedData!I48^2*$J$6+$M$5*$J$7</f>
        <v>60.284652876073281</v>
      </c>
      <c r="Q48" s="47">
        <f>$J$3+[35]FormattedData!J48*$J$4+$M$4*$J$5+[35]FormattedData!J48^2*$J$6+$M$5*$J$7</f>
        <v>60.284652876073281</v>
      </c>
      <c r="R48" s="47">
        <f>$J$3+[35]FormattedData!K48*$J$4+$M$4*$J$5+[35]FormattedData!K48^2*$J$6+$M$5*$J$7</f>
        <v>60.118372971145412</v>
      </c>
      <c r="S48" s="47">
        <f>$J$3+[35]FormattedData!L48*$J$4+$M$4*$J$5+[35]FormattedData!L48^2*$J$6+$M$5*$J$7</f>
        <v>60.201534057878305</v>
      </c>
      <c r="T48" s="47">
        <f>$J$3+[35]FormattedData!M48*$J$4+$M$4*$J$5+[35]FormattedData!M48^2*$J$6+$M$5*$J$7</f>
        <v>59.785305938834519</v>
      </c>
      <c r="U48" s="47">
        <f>$J$3+[35]FormattedData!N48*$J$4+$M$4*$J$5+[35]FormattedData!N48^2*$J$6+$M$5*$J$7</f>
        <v>61.030820155621043</v>
      </c>
      <c r="V48" s="47">
        <f>$J$3+[35]FormattedData!O48*$J$4+$M$4*$J$5+[35]FormattedData!O48^2*$J$6+$M$5*$J$7</f>
        <v>60.948081754267463</v>
      </c>
      <c r="W48" s="49">
        <f>AVERAGE(K48:V48)</f>
        <v>60.429642331619057</v>
      </c>
      <c r="X48" s="48">
        <f>STDEV(K48:V48)/SQRT(COUNT(K48:V48))</f>
        <v>0.10426748213832522</v>
      </c>
      <c r="Y48" s="47">
        <f>MIN(K48:V48)</f>
        <v>59.785305938834519</v>
      </c>
      <c r="Z48" s="46">
        <f>QUARTILE(K48:V48,1)</f>
        <v>60.201534057878305</v>
      </c>
      <c r="AA48" s="47">
        <f>MEDIAN(K48:V48)</f>
        <v>60.326191150901792</v>
      </c>
      <c r="AB48" s="46">
        <f>QUARTILE(K48:V48,3)</f>
        <v>60.637432332350144</v>
      </c>
      <c r="AC48" s="46">
        <f>MAX(K48:V48)</f>
        <v>61.030820155621043</v>
      </c>
      <c r="AD48" s="46">
        <f>SKEW(K48:V48)</f>
        <v>0.14272529851459761</v>
      </c>
      <c r="AE48" s="46">
        <f>KURT(K48:V48)</f>
        <v>-0.34213520150344134</v>
      </c>
    </row>
    <row r="49" spans="2:31" ht="13.5" thickBot="1" x14ac:dyDescent="0.25">
      <c r="B49" s="45">
        <f>[35]FormattedData!A46</f>
        <v>908</v>
      </c>
      <c r="C49" s="45" t="str">
        <f>VLOOKUP($B49,[35]TrtCodes!$B$11:I89,2)</f>
        <v>Early</v>
      </c>
      <c r="D49" s="45">
        <f>VLOOKUP($B49,[35]TrtCodes!$B$11:J89,3)</f>
        <v>21</v>
      </c>
      <c r="E49" s="45">
        <f>VLOOKUP($B49,[35]TrtCodes!$B$11:K89,4)</f>
        <v>3</v>
      </c>
      <c r="F49" s="45">
        <f>VLOOKUP($B49,[35]TrtCodes!$B$11:L89,5)</f>
        <v>2</v>
      </c>
      <c r="G49" s="45">
        <f>VLOOKUP($B49,[35]TrtCodes!$B$11:M89,6)</f>
        <v>2</v>
      </c>
      <c r="H49" s="45">
        <f>VLOOKUP($B49,[35]TrtCodes!$B$11:N89,7)</f>
        <v>2</v>
      </c>
      <c r="I49" s="45">
        <f>[35]FormattedData!B46</f>
        <v>1</v>
      </c>
      <c r="J49" s="42">
        <f>[35]FormattedData!C46</f>
        <v>13.369</v>
      </c>
      <c r="K49" s="44">
        <f>$J$3+[35]FormattedData!D46*$J$4+$M$4*$J$5+[35]FormattedData!D46^2*$J$6+$M$5*$J$7</f>
        <v>36.02386923254079</v>
      </c>
      <c r="L49" s="44">
        <f>$J$3+[35]FormattedData!E46*$J$4+$M$4*$J$5+[35]FormattedData!E46^2*$J$6+$M$5*$J$7</f>
        <v>36.02386923254079</v>
      </c>
      <c r="M49" s="44">
        <f>$J$3+[35]FormattedData!F46*$J$4+$M$4*$J$5+[35]FormattedData!F46^2*$J$6+$M$5*$J$7</f>
        <v>32.781780195055809</v>
      </c>
      <c r="N49" s="44">
        <f>$J$3+[35]FormattedData!G46*$J$4+$M$4*$J$5+[35]FormattedData!G46^2*$J$6+$M$5*$J$7</f>
        <v>37.720487635457538</v>
      </c>
      <c r="O49" s="44">
        <f>$J$3+[35]FormattedData!H46*$J$4+$M$4*$J$5+[35]FormattedData!H46^2*$J$6+$M$5*$J$7</f>
        <v>39.030611574118431</v>
      </c>
      <c r="P49" s="44">
        <f>$J$3+[35]FormattedData!I46*$J$4+$M$4*$J$5+[35]FormattedData!I46^2*$J$6+$M$5*$J$7</f>
        <v>40.425122387112218</v>
      </c>
      <c r="Q49" s="44">
        <f>$J$3+[35]FormattedData!J46*$J$4+$M$4*$J$5+[35]FormattedData!J46^2*$J$6+$M$5*$J$7</f>
        <v>36.873890309785374</v>
      </c>
      <c r="R49" s="44">
        <f>$J$3+[35]FormattedData!K46*$J$4+$M$4*$J$5+[35]FormattedData!K46^2*$J$6+$M$5*$J$7</f>
        <v>39.496505225231303</v>
      </c>
      <c r="S49" s="44">
        <f>$J$3+[35]FormattedData!L46*$J$4+$M$4*$J$5+[35]FormattedData!L46^2*$J$6+$M$5*$J$7</f>
        <v>37.344644842760331</v>
      </c>
      <c r="T49" s="44">
        <f>$J$3+[35]FormattedData!M46*$J$4+$M$4*$J$5+[35]FormattedData!M46^2*$J$6+$M$5*$J$7</f>
        <v>39.775534193443853</v>
      </c>
      <c r="U49" s="44">
        <f>$J$3+[35]FormattedData!N46*$J$4+$M$4*$J$5+[35]FormattedData!N46^2*$J$6+$M$5*$J$7</f>
        <v>36.873890309785374</v>
      </c>
      <c r="V49" s="44">
        <f>$J$3+[35]FormattedData!O46*$J$4+$M$4*$J$5+[35]FormattedData!O46^2*$J$6+$M$5*$J$7</f>
        <v>34.980305043402758</v>
      </c>
      <c r="W49" s="43">
        <f>AVERAGE(K49:V49)</f>
        <v>37.279209181769552</v>
      </c>
      <c r="X49" s="42">
        <f>STDEV(K49:V49)/SQRT(COUNT(K49:V49))</f>
        <v>0.63546320687973956</v>
      </c>
      <c r="Y49" s="41">
        <f>MIN(K49:V49)</f>
        <v>32.781780195055809</v>
      </c>
      <c r="Z49" s="40">
        <f>QUARTILE(K49:V49,1)</f>
        <v>36.02386923254079</v>
      </c>
      <c r="AA49" s="41">
        <f>MEDIAN(K49:V49)</f>
        <v>37.109267576272856</v>
      </c>
      <c r="AB49" s="40">
        <f>QUARTILE(K49:V49,3)</f>
        <v>39.147084986896651</v>
      </c>
      <c r="AC49" s="40">
        <f>MAX(K49:V49)</f>
        <v>40.425122387112218</v>
      </c>
      <c r="AD49" s="40">
        <f>SKEW(K49:V49)</f>
        <v>-0.45160143575623962</v>
      </c>
      <c r="AE49" s="40">
        <f>KURT(K49:V49)</f>
        <v>7.6778885963294741E-2</v>
      </c>
    </row>
    <row r="50" spans="2:31" ht="13.5" thickTop="1" x14ac:dyDescent="0.2">
      <c r="B50" s="34">
        <f>[35]FormattedData!A29</f>
        <v>101</v>
      </c>
      <c r="C50" s="34" t="str">
        <f>VLOOKUP($B50,[35]TrtCodes!$B$11:I72,2)</f>
        <v>FSH</v>
      </c>
      <c r="D50" s="34">
        <f>VLOOKUP($B50,[35]TrtCodes!$B$11:J72,3)</f>
        <v>1</v>
      </c>
      <c r="E50" s="34">
        <f>VLOOKUP($B50,[35]TrtCodes!$B$11:K72,4)</f>
        <v>1</v>
      </c>
      <c r="F50" s="34">
        <f>VLOOKUP($B50,[35]TrtCodes!$B$11:L72,5)</f>
        <v>1</v>
      </c>
      <c r="G50" s="34">
        <f>VLOOKUP($B50,[35]TrtCodes!$B$11:M72,6)</f>
        <v>2</v>
      </c>
      <c r="H50" s="34">
        <f>VLOOKUP($B50,[35]TrtCodes!$B$11:N72,7)</f>
        <v>1</v>
      </c>
      <c r="I50" s="34">
        <f>[35]FormattedData!B29</f>
        <v>2</v>
      </c>
      <c r="J50" s="37">
        <f>[35]FormattedData!C29</f>
        <v>13.222</v>
      </c>
      <c r="K50" s="39">
        <f>$J$3+[35]FormattedData!D29*$J$4+$M$4*$J$5+[35]FormattedData!D29^2*$J$6+$M$5*$J$7</f>
        <v>30.269566177392768</v>
      </c>
      <c r="L50" s="39">
        <f>$J$3+[35]FormattedData!E29*$J$4+$M$4*$J$5+[35]FormattedData!E29^2*$J$6+$M$5*$J$7</f>
        <v>30.366718150180876</v>
      </c>
      <c r="M50" s="39">
        <f>$J$3+[35]FormattedData!F29*$J$4+$M$4*$J$5+[35]FormattedData!F29^2*$J$6+$M$5*$J$7</f>
        <v>30.463827854431045</v>
      </c>
      <c r="N50" s="39">
        <f>$J$3+[35]FormattedData!G29*$J$4+$M$4*$J$5+[35]FormattedData!G29^2*$J$6+$M$5*$J$7</f>
        <v>30.07513542620277</v>
      </c>
      <c r="O50" s="39">
        <f>$J$3+[35]FormattedData!H29*$J$4+$M$4*$J$5+[35]FormattedData!H29^2*$J$6+$M$5*$J$7</f>
        <v>31.91540119363188</v>
      </c>
      <c r="P50" s="39">
        <f>$J$3+[35]FormattedData!I29*$J$4+$M$4*$J$5+[35]FormattedData!I29^2*$J$6+$M$5*$J$7</f>
        <v>31.722407572731534</v>
      </c>
      <c r="Q50" s="39">
        <f>$J$3+[35]FormattedData!J29*$J$4+$M$4*$J$5+[35]FormattedData!J29^2*$J$6+$M$5*$J$7</f>
        <v>30.172371936066739</v>
      </c>
      <c r="R50" s="39">
        <f>$J$3+[35]FormattedData!K29*$J$4+$M$4*$J$5+[35]FormattedData!K29^2*$J$6+$M$5*$J$7</f>
        <v>28.611515553691568</v>
      </c>
      <c r="S50" s="39">
        <f>$J$3+[35]FormattedData!L29*$J$4+$M$4*$J$5+[35]FormattedData!L29^2*$J$6+$M$5*$J$7</f>
        <v>31.432600127346543</v>
      </c>
      <c r="T50" s="39">
        <f>$J$3+[35]FormattedData!M29*$J$4+$M$4*$J$5+[35]FormattedData!M29^2*$J$6+$M$5*$J$7</f>
        <v>31.045598440635512</v>
      </c>
      <c r="U50" s="39">
        <f>$J$3+[35]FormattedData!N29*$J$4+$M$4*$J$5+[35]FormattedData!N29^2*$J$6+$M$5*$J$7</f>
        <v>30.560895290143282</v>
      </c>
      <c r="V50" s="39">
        <f>$J$3+[35]FormattedData!O29*$J$4+$M$4*$J$5+[35]FormattedData!O29^2*$J$6+$M$5*$J$7</f>
        <v>29.393296338092949</v>
      </c>
      <c r="W50" s="38">
        <f>AVERAGE(K50:V50)</f>
        <v>30.502444505045617</v>
      </c>
      <c r="X50" s="37">
        <f>STDEV(K50:V50)/SQRT(COUNT(K50:V50))</f>
        <v>0.27275095163624241</v>
      </c>
      <c r="Y50" s="36">
        <f>MIN(K50:V50)</f>
        <v>28.611515553691568</v>
      </c>
      <c r="Z50" s="35">
        <f>QUARTILE(K50:V50,1)</f>
        <v>30.148062808600748</v>
      </c>
      <c r="AA50" s="36">
        <f>MEDIAN(K50:V50)</f>
        <v>30.415273002305959</v>
      </c>
      <c r="AB50" s="35">
        <f>QUARTILE(K50:V50,3)</f>
        <v>31.14234886231327</v>
      </c>
      <c r="AC50" s="35">
        <f>MAX(K50:V50)</f>
        <v>31.91540119363188</v>
      </c>
      <c r="AD50" s="35">
        <f>SKEW(K50:V50)</f>
        <v>-0.34314139928569698</v>
      </c>
      <c r="AE50" s="35">
        <f>KURT(K50:V50)</f>
        <v>0.19469694495059464</v>
      </c>
    </row>
    <row r="51" spans="2:31" x14ac:dyDescent="0.2">
      <c r="B51" s="34">
        <f>[35]FormattedData!A27</f>
        <v>102</v>
      </c>
      <c r="C51" s="34" t="str">
        <f>VLOOKUP($B51,[35]TrtCodes!$B$11:I70,2)</f>
        <v>FTL</v>
      </c>
      <c r="D51" s="34">
        <f>VLOOKUP($B51,[35]TrtCodes!$B$11:J70,3)</f>
        <v>4</v>
      </c>
      <c r="E51" s="34">
        <f>VLOOKUP($B51,[35]TrtCodes!$B$11:K70,4)</f>
        <v>1</v>
      </c>
      <c r="F51" s="34">
        <f>VLOOKUP($B51,[35]TrtCodes!$B$11:L70,5)</f>
        <v>2</v>
      </c>
      <c r="G51" s="34">
        <f>VLOOKUP($B51,[35]TrtCodes!$B$11:M70,6)</f>
        <v>1</v>
      </c>
      <c r="H51" s="34">
        <f>VLOOKUP($B51,[35]TrtCodes!$B$11:N70,7)</f>
        <v>1</v>
      </c>
      <c r="I51" s="34">
        <f>[35]FormattedData!B27</f>
        <v>2</v>
      </c>
      <c r="J51" s="37">
        <f>[35]FormattedData!C27</f>
        <v>13.206</v>
      </c>
      <c r="K51" s="39">
        <f>$J$3+[35]FormattedData!D27*$J$4+$M$4*$J$5+[35]FormattedData!D27^2*$J$6+$M$5*$J$7</f>
        <v>29.685766701367605</v>
      </c>
      <c r="L51" s="39">
        <f>$J$3+[35]FormattedData!E27*$J$4+$M$4*$J$5+[35]FormattedData!E27^2*$J$6+$M$5*$J$7</f>
        <v>30.657920457317594</v>
      </c>
      <c r="M51" s="39">
        <f>$J$3+[35]FormattedData!F27*$J$4+$M$4*$J$5+[35]FormattedData!F27^2*$J$6+$M$5*$J$7</f>
        <v>29.783172285383291</v>
      </c>
      <c r="N51" s="39">
        <f>$J$3+[35]FormattedData!G27*$J$4+$M$4*$J$5+[35]FormattedData!G27^2*$J$6+$M$5*$J$7</f>
        <v>30.754903355953971</v>
      </c>
      <c r="O51" s="39">
        <f>$J$3+[35]FormattedData!H27*$J$4+$M$4*$J$5+[35]FormattedData!H27^2*$J$6+$M$5*$J$7</f>
        <v>29.783172285383291</v>
      </c>
      <c r="P51" s="39">
        <f>$J$3+[35]FormattedData!I27*$J$4+$M$4*$J$5+[35]FormattedData!I27^2*$J$6+$M$5*$J$7</f>
        <v>30.07513542620277</v>
      </c>
      <c r="Q51" s="39">
        <f>$J$3+[35]FormattedData!J27*$J$4+$M$4*$J$5+[35]FormattedData!J27^2*$J$6+$M$5*$J$7</f>
        <v>31.239183821066888</v>
      </c>
      <c r="R51" s="39">
        <f>$J$3+[35]FormattedData!K27*$J$4+$M$4*$J$5+[35]FormattedData!K27^2*$J$6+$M$5*$J$7</f>
        <v>29.58831884881398</v>
      </c>
      <c r="S51" s="39">
        <f>$J$3+[35]FormattedData!L27*$J$4+$M$4*$J$5+[35]FormattedData!L27^2*$J$6+$M$5*$J$7</f>
        <v>29.490828727722434</v>
      </c>
      <c r="T51" s="39">
        <f>$J$3+[35]FormattedData!M27*$J$4+$M$4*$J$5+[35]FormattedData!M27^2*$J$6+$M$5*$J$7</f>
        <v>29.977856647800877</v>
      </c>
      <c r="U51" s="39">
        <f>$J$3+[35]FormattedData!N27*$J$4+$M$4*$J$5+[35]FormattedData!N27^2*$J$6+$M$5*$J$7</f>
        <v>33.069812361847696</v>
      </c>
      <c r="V51" s="39">
        <f>$J$3+[35]FormattedData!O27*$J$4+$M$4*$J$5+[35]FormattedData!O27^2*$J$6+$M$5*$J$7</f>
        <v>29.58831884881398</v>
      </c>
      <c r="W51" s="38">
        <f>AVERAGE(K51:V51)</f>
        <v>30.307865813972864</v>
      </c>
      <c r="X51" s="37">
        <f>STDEV(K51:V51)/SQRT(COUNT(K51:V51))</f>
        <v>0.29672213609337039</v>
      </c>
      <c r="Y51" s="36">
        <f>MIN(K51:V51)</f>
        <v>29.490828727722434</v>
      </c>
      <c r="Z51" s="35">
        <f>QUARTILE(K51:V51,1)</f>
        <v>29.661404738229198</v>
      </c>
      <c r="AA51" s="36">
        <f>MEDIAN(K51:V51)</f>
        <v>29.880514466592082</v>
      </c>
      <c r="AB51" s="35">
        <f>QUARTILE(K51:V51,3)</f>
        <v>30.68216618197669</v>
      </c>
      <c r="AC51" s="35">
        <f>MAX(K51:V51)</f>
        <v>33.069812361847696</v>
      </c>
      <c r="AD51" s="35">
        <f>SKEW(K51:V51)</f>
        <v>2.0231822278444413</v>
      </c>
      <c r="AE51" s="35">
        <f>KURT(K51:V51)</f>
        <v>4.4784746377764186</v>
      </c>
    </row>
    <row r="52" spans="2:31" x14ac:dyDescent="0.2">
      <c r="B52" s="34">
        <f>[35]FormattedData!A25</f>
        <v>103</v>
      </c>
      <c r="C52" s="34" t="str">
        <f>VLOOKUP($B52,[35]TrtCodes!$B$11:I68,2)</f>
        <v>FDH</v>
      </c>
      <c r="D52" s="34">
        <f>VLOOKUP($B52,[35]TrtCodes!$B$11:J68,3)</f>
        <v>5</v>
      </c>
      <c r="E52" s="34">
        <f>VLOOKUP($B52,[35]TrtCodes!$B$11:K68,4)</f>
        <v>1</v>
      </c>
      <c r="F52" s="34">
        <f>VLOOKUP($B52,[35]TrtCodes!$B$11:L68,5)</f>
        <v>3</v>
      </c>
      <c r="G52" s="34">
        <f>VLOOKUP($B52,[35]TrtCodes!$B$11:M68,6)</f>
        <v>2</v>
      </c>
      <c r="H52" s="34">
        <f>VLOOKUP($B52,[35]TrtCodes!$B$11:N68,7)</f>
        <v>1</v>
      </c>
      <c r="I52" s="34">
        <f>[35]FormattedData!B25</f>
        <v>2</v>
      </c>
      <c r="J52" s="37">
        <f>[35]FormattedData!C25</f>
        <v>13.19</v>
      </c>
      <c r="K52" s="39">
        <f>$J$3+[35]FormattedData!D25*$J$4+$M$4*$J$5+[35]FormattedData!D25^2*$J$6+$M$5*$J$7</f>
        <v>28.611515553691568</v>
      </c>
      <c r="L52" s="39">
        <f>$J$3+[35]FormattedData!E25*$J$4+$M$4*$J$5+[35]FormattedData!E25^2*$J$6+$M$5*$J$7</f>
        <v>30.560895290143282</v>
      </c>
      <c r="M52" s="39">
        <f>$J$3+[35]FormattedData!F25*$J$4+$M$4*$J$5+[35]FormattedData!F25^2*$J$6+$M$5*$J$7</f>
        <v>30.269566177392768</v>
      </c>
      <c r="N52" s="39">
        <f>$J$3+[35]FormattedData!G25*$J$4+$M$4*$J$5+[35]FormattedData!G25^2*$J$6+$M$5*$J$7</f>
        <v>29.783172285383291</v>
      </c>
      <c r="O52" s="39">
        <f>$J$3+[35]FormattedData!H25*$J$4+$M$4*$J$5+[35]FormattedData!H25^2*$J$6+$M$5*$J$7</f>
        <v>29.393296338092949</v>
      </c>
      <c r="P52" s="39">
        <f>$J$3+[35]FormattedData!I25*$J$4+$M$4*$J$5+[35]FormattedData!I25^2*$J$6+$M$5*$J$7</f>
        <v>31.432600127346543</v>
      </c>
      <c r="Q52" s="39">
        <f>$J$3+[35]FormattedData!J25*$J$4+$M$4*$J$5+[35]FormattedData!J25^2*$J$6+$M$5*$J$7</f>
        <v>30.463827854431045</v>
      </c>
      <c r="R52" s="39">
        <f>$J$3+[35]FormattedData!K25*$J$4+$M$4*$J$5+[35]FormattedData!K25^2*$J$6+$M$5*$J$7</f>
        <v>29.198104753220193</v>
      </c>
      <c r="S52" s="39">
        <f>$J$3+[35]FormattedData!L25*$J$4+$M$4*$J$5+[35]FormattedData!L25^2*$J$6+$M$5*$J$7</f>
        <v>29.295721679925535</v>
      </c>
      <c r="T52" s="39">
        <f>$J$3+[35]FormattedData!M25*$J$4+$M$4*$J$5+[35]FormattedData!M25^2*$J$6+$M$5*$J$7</f>
        <v>29.295721679925535</v>
      </c>
      <c r="U52" s="39">
        <f>$J$3+[35]FormattedData!N25*$J$4+$M$4*$J$5+[35]FormattedData!N25^2*$J$6+$M$5*$J$7</f>
        <v>30.07513542620277</v>
      </c>
      <c r="V52" s="39">
        <f>$J$3+[35]FormattedData!O25*$J$4+$M$4*$J$5+[35]FormattedData!O25^2*$J$6+$M$5*$J$7</f>
        <v>30.560895290143282</v>
      </c>
      <c r="W52" s="38">
        <f>AVERAGE(K52:V52)</f>
        <v>29.911704371324898</v>
      </c>
      <c r="X52" s="37">
        <f>STDEV(K52:V52)/SQRT(COUNT(K52:V52))</f>
        <v>0.22796013799725684</v>
      </c>
      <c r="Y52" s="36">
        <f>MIN(K52:V52)</f>
        <v>28.611515553691568</v>
      </c>
      <c r="Z52" s="35">
        <f>QUARTILE(K52:V52,1)</f>
        <v>29.295721679925535</v>
      </c>
      <c r="AA52" s="36">
        <f>MEDIAN(K52:V52)</f>
        <v>29.929153855793032</v>
      </c>
      <c r="AB52" s="35">
        <f>QUARTILE(K52:V52,3)</f>
        <v>30.488094713359104</v>
      </c>
      <c r="AC52" s="35">
        <f>MAX(K52:V52)</f>
        <v>31.432600127346543</v>
      </c>
      <c r="AD52" s="35">
        <f>SKEW(K52:V52)</f>
        <v>0.24667609659994783</v>
      </c>
      <c r="AE52" s="35">
        <f>KURT(K52:V52)</f>
        <v>-0.26748652261376371</v>
      </c>
    </row>
    <row r="53" spans="2:31" x14ac:dyDescent="0.2">
      <c r="B53" s="34">
        <f>[35]FormattedData!A23</f>
        <v>104</v>
      </c>
      <c r="C53" s="34" t="str">
        <f>VLOOKUP($B53,[35]TrtCodes!$B$11:I66,2)</f>
        <v>NTL</v>
      </c>
      <c r="D53" s="34">
        <f>VLOOKUP($B53,[35]TrtCodes!$B$11:J66,3)</f>
        <v>10</v>
      </c>
      <c r="E53" s="34">
        <f>VLOOKUP($B53,[35]TrtCodes!$B$11:K66,4)</f>
        <v>2</v>
      </c>
      <c r="F53" s="34">
        <f>VLOOKUP($B53,[35]TrtCodes!$B$11:L66,5)</f>
        <v>2</v>
      </c>
      <c r="G53" s="34">
        <f>VLOOKUP($B53,[35]TrtCodes!$B$11:M66,6)</f>
        <v>1</v>
      </c>
      <c r="H53" s="34">
        <f>VLOOKUP($B53,[35]TrtCodes!$B$11:N66,7)</f>
        <v>1</v>
      </c>
      <c r="I53" s="34">
        <f>[35]FormattedData!B23</f>
        <v>2</v>
      </c>
      <c r="J53" s="37">
        <f>[35]FormattedData!C23</f>
        <v>13.173</v>
      </c>
      <c r="K53" s="39">
        <f>$J$3+[35]FormattedData!D23*$J$4+$M$4*$J$5+[35]FormattedData!D23^2*$J$6+$M$5*$J$7</f>
        <v>29.977856647800877</v>
      </c>
      <c r="L53" s="39">
        <f>$J$3+[35]FormattedData!E23*$J$4+$M$4*$J$5+[35]FormattedData!E23^2*$J$6+$M$5*$J$7</f>
        <v>29.58831884881398</v>
      </c>
      <c r="M53" s="39">
        <f>$J$3+[35]FormattedData!F23*$J$4+$M$4*$J$5+[35]FormattedData!F23^2*$J$6+$M$5*$J$7</f>
        <v>30.948742347612932</v>
      </c>
      <c r="N53" s="39">
        <f>$J$3+[35]FormattedData!G23*$J$4+$M$4*$J$5+[35]FormattedData!G23^2*$J$6+$M$5*$J$7</f>
        <v>29.783172285383291</v>
      </c>
      <c r="O53" s="39">
        <f>$J$3+[35]FormattedData!H23*$J$4+$M$4*$J$5+[35]FormattedData!H23^2*$J$6+$M$5*$J$7</f>
        <v>30.366718150180876</v>
      </c>
      <c r="P53" s="39">
        <f>$J$3+[35]FormattedData!I23*$J$4+$M$4*$J$5+[35]FormattedData!I23^2*$J$6+$M$5*$J$7</f>
        <v>29.783172285383291</v>
      </c>
      <c r="Q53" s="39">
        <f>$J$3+[35]FormattedData!J23*$J$4+$M$4*$J$5+[35]FormattedData!J23^2*$J$6+$M$5*$J$7</f>
        <v>30.269566177392768</v>
      </c>
      <c r="R53" s="39">
        <f>$J$3+[35]FormattedData!K23*$J$4+$M$4*$J$5+[35]FormattedData!K23^2*$J$6+$M$5*$J$7</f>
        <v>31.91540119363188</v>
      </c>
      <c r="S53" s="39">
        <f>$J$3+[35]FormattedData!L23*$J$4+$M$4*$J$5+[35]FormattedData!L23^2*$J$6+$M$5*$J$7</f>
        <v>30.560895290143282</v>
      </c>
      <c r="T53" s="39">
        <f>$J$3+[35]FormattedData!M23*$J$4+$M$4*$J$5+[35]FormattedData!M23^2*$J$6+$M$5*$J$7</f>
        <v>29.977856647800877</v>
      </c>
      <c r="U53" s="39">
        <f>$J$3+[35]FormattedData!N23*$J$4+$M$4*$J$5+[35]FormattedData!N23^2*$J$6+$M$5*$J$7</f>
        <v>29.490828727722434</v>
      </c>
      <c r="V53" s="39">
        <f>$J$3+[35]FormattedData!O23*$J$4+$M$4*$J$5+[35]FormattedData!O23^2*$J$6+$M$5*$J$7</f>
        <v>29.198104753220193</v>
      </c>
      <c r="W53" s="38">
        <f>AVERAGE(K53:V53)</f>
        <v>30.155052779590559</v>
      </c>
      <c r="X53" s="37">
        <f>STDEV(K53:V53)/SQRT(COUNT(K53:V53))</f>
        <v>0.21264764864666763</v>
      </c>
      <c r="Y53" s="36">
        <f>MIN(K53:V53)</f>
        <v>29.198104753220193</v>
      </c>
      <c r="Z53" s="35">
        <f>QUARTILE(K53:V53,1)</f>
        <v>29.734458926240961</v>
      </c>
      <c r="AA53" s="36">
        <f>MEDIAN(K53:V53)</f>
        <v>29.977856647800877</v>
      </c>
      <c r="AB53" s="35">
        <f>QUARTILE(K53:V53,3)</f>
        <v>30.415262435171478</v>
      </c>
      <c r="AC53" s="35">
        <f>MAX(K53:V53)</f>
        <v>31.91540119363188</v>
      </c>
      <c r="AD53" s="35">
        <f>SKEW(K53:V53)</f>
        <v>1.246542929473156</v>
      </c>
      <c r="AE53" s="35">
        <f>KURT(K53:V53)</f>
        <v>1.9634123469503137</v>
      </c>
    </row>
    <row r="54" spans="2:31" x14ac:dyDescent="0.2">
      <c r="B54" s="34">
        <f>[35]FormattedData!A21</f>
        <v>105</v>
      </c>
      <c r="C54" s="34" t="str">
        <f>VLOOKUP($B54,[35]TrtCodes!$B$11:I64,2)</f>
        <v>NDL</v>
      </c>
      <c r="D54" s="34">
        <f>VLOOKUP($B54,[35]TrtCodes!$B$11:J64,3)</f>
        <v>12</v>
      </c>
      <c r="E54" s="34">
        <f>VLOOKUP($B54,[35]TrtCodes!$B$11:K64,4)</f>
        <v>2</v>
      </c>
      <c r="F54" s="34">
        <f>VLOOKUP($B54,[35]TrtCodes!$B$11:L64,5)</f>
        <v>3</v>
      </c>
      <c r="G54" s="34">
        <f>VLOOKUP($B54,[35]TrtCodes!$B$11:M64,6)</f>
        <v>1</v>
      </c>
      <c r="H54" s="34">
        <f>VLOOKUP($B54,[35]TrtCodes!$B$11:N64,7)</f>
        <v>2</v>
      </c>
      <c r="I54" s="34">
        <f>[35]FormattedData!B21</f>
        <v>2</v>
      </c>
      <c r="J54" s="37">
        <f>[35]FormattedData!C21</f>
        <v>13.156000000000001</v>
      </c>
      <c r="K54" s="39">
        <f>$J$3+[35]FormattedData!D21*$J$4+$M$4*$J$5+[35]FormattedData!D21^2*$J$6+$M$5*$J$7</f>
        <v>32.493367611422549</v>
      </c>
      <c r="L54" s="39">
        <f>$J$3+[35]FormattedData!E21*$J$4+$M$4*$J$5+[35]FormattedData!E21^2*$J$6+$M$5*$J$7</f>
        <v>30.754903355953971</v>
      </c>
      <c r="M54" s="39">
        <f>$J$3+[35]FormattedData!F21*$J$4+$M$4*$J$5+[35]FormattedData!F21^2*$J$6+$M$5*$J$7</f>
        <v>31.239183821066888</v>
      </c>
      <c r="N54" s="39">
        <f>$J$3+[35]FormattedData!G21*$J$4+$M$4*$J$5+[35]FormattedData!G21^2*$J$6+$M$5*$J$7</f>
        <v>29.58831884881398</v>
      </c>
      <c r="O54" s="39">
        <f>$J$3+[35]FormattedData!H21*$J$4+$M$4*$J$5+[35]FormattedData!H21^2*$J$6+$M$5*$J$7</f>
        <v>31.529244877679474</v>
      </c>
      <c r="P54" s="39">
        <f>$J$3+[35]FormattedData!I21*$J$4+$M$4*$J$5+[35]FormattedData!I21^2*$J$6+$M$5*$J$7</f>
        <v>31.91540119363188</v>
      </c>
      <c r="Q54" s="39">
        <f>$J$3+[35]FormattedData!J21*$J$4+$M$4*$J$5+[35]FormattedData!J21^2*$J$6+$M$5*$J$7</f>
        <v>29.490828727722434</v>
      </c>
      <c r="R54" s="39">
        <f>$J$3+[35]FormattedData!K21*$J$4+$M$4*$J$5+[35]FormattedData!K21^2*$J$6+$M$5*$J$7</f>
        <v>30.560895290143282</v>
      </c>
      <c r="S54" s="39">
        <f>$J$3+[35]FormattedData!L21*$J$4+$M$4*$J$5+[35]FormattedData!L21^2*$J$6+$M$5*$J$7</f>
        <v>29.002744094195709</v>
      </c>
      <c r="T54" s="39">
        <f>$J$3+[35]FormattedData!M21*$J$4+$M$4*$J$5+[35]FormattedData!M21^2*$J$6+$M$5*$J$7</f>
        <v>28.905000361876571</v>
      </c>
      <c r="U54" s="39">
        <f>$J$3+[35]FormattedData!N21*$J$4+$M$4*$J$5+[35]FormattedData!N21^2*$J$6+$M$5*$J$7</f>
        <v>30.463827854431045</v>
      </c>
      <c r="V54" s="39">
        <f>$J$3+[35]FormattedData!O21*$J$4+$M$4*$J$5+[35]FormattedData!O21^2*$J$6+$M$5*$J$7</f>
        <v>28.709386091624499</v>
      </c>
      <c r="W54" s="38">
        <f>AVERAGE(K54:V54)</f>
        <v>30.387758510713521</v>
      </c>
      <c r="X54" s="37">
        <f>STDEV(K54:V54)/SQRT(COUNT(K54:V54))</f>
        <v>0.36247375778860191</v>
      </c>
      <c r="Y54" s="36">
        <f>MIN(K54:V54)</f>
        <v>28.709386091624499</v>
      </c>
      <c r="Z54" s="35">
        <f>QUARTILE(K54:V54,1)</f>
        <v>29.368807569340753</v>
      </c>
      <c r="AA54" s="36">
        <f>MEDIAN(K54:V54)</f>
        <v>30.512361572287162</v>
      </c>
      <c r="AB54" s="35">
        <f>QUARTILE(K54:V54,3)</f>
        <v>31.311699085220035</v>
      </c>
      <c r="AC54" s="35">
        <f>MAX(K54:V54)</f>
        <v>32.493367611422549</v>
      </c>
      <c r="AD54" s="35">
        <f>SKEW(K54:V54)</f>
        <v>0.17539822710744149</v>
      </c>
      <c r="AE54" s="35">
        <f>KURT(K54:V54)</f>
        <v>-1.1903267089664906</v>
      </c>
    </row>
    <row r="55" spans="2:31" x14ac:dyDescent="0.2">
      <c r="B55" s="34">
        <f>[35]FormattedData!A19</f>
        <v>106</v>
      </c>
      <c r="C55" s="34" t="str">
        <f>VLOOKUP($B55,[35]TrtCodes!$B$11:I62,2)</f>
        <v>NTH</v>
      </c>
      <c r="D55" s="34">
        <f>VLOOKUP($B55,[35]TrtCodes!$B$11:J62,3)</f>
        <v>9</v>
      </c>
      <c r="E55" s="34">
        <f>VLOOKUP($B55,[35]TrtCodes!$B$11:K62,4)</f>
        <v>2</v>
      </c>
      <c r="F55" s="34">
        <f>VLOOKUP($B55,[35]TrtCodes!$B$11:L62,5)</f>
        <v>2</v>
      </c>
      <c r="G55" s="34">
        <f>VLOOKUP($B55,[35]TrtCodes!$B$11:M62,6)</f>
        <v>2</v>
      </c>
      <c r="H55" s="34">
        <f>VLOOKUP($B55,[35]TrtCodes!$B$11:N62,7)</f>
        <v>2</v>
      </c>
      <c r="I55" s="34">
        <f>[35]FormattedData!B19</f>
        <v>2</v>
      </c>
      <c r="J55" s="37">
        <f>[35]FormattedData!C19</f>
        <v>13.141</v>
      </c>
      <c r="K55" s="39">
        <f>$J$3+[35]FormattedData!D19*$J$4+$M$4*$J$5+[35]FormattedData!D19^2*$J$6+$M$5*$J$7</f>
        <v>30.948742347612932</v>
      </c>
      <c r="L55" s="39">
        <f>$J$3+[35]FormattedData!E19*$J$4+$M$4*$J$5+[35]FormattedData!E19^2*$J$6+$M$5*$J$7</f>
        <v>29.783172285383291</v>
      </c>
      <c r="M55" s="39">
        <f>$J$3+[35]FormattedData!F19*$J$4+$M$4*$J$5+[35]FormattedData!F19^2*$J$6+$M$5*$J$7</f>
        <v>29.783172285383291</v>
      </c>
      <c r="N55" s="39">
        <f>$J$3+[35]FormattedData!G19*$J$4+$M$4*$J$5+[35]FormattedData!G19^2*$J$6+$M$5*$J$7</f>
        <v>29.685766701367605</v>
      </c>
      <c r="O55" s="39">
        <f>$J$3+[35]FormattedData!H19*$J$4+$M$4*$J$5+[35]FormattedData!H19^2*$J$6+$M$5*$J$7</f>
        <v>29.58831884881398</v>
      </c>
      <c r="P55" s="39">
        <f>$J$3+[35]FormattedData!I19*$J$4+$M$4*$J$5+[35]FormattedData!I19^2*$J$6+$M$5*$J$7</f>
        <v>30.754903355953971</v>
      </c>
      <c r="Q55" s="39">
        <f>$J$3+[35]FormattedData!J19*$J$4+$M$4*$J$5+[35]FormattedData!J19^2*$J$6+$M$5*$J$7</f>
        <v>30.463827854431045</v>
      </c>
      <c r="R55" s="39">
        <f>$J$3+[35]FormattedData!K19*$J$4+$M$4*$J$5+[35]FormattedData!K19^2*$J$6+$M$5*$J$7</f>
        <v>32.397145546468934</v>
      </c>
      <c r="S55" s="39">
        <f>$J$3+[35]FormattedData!L19*$J$4+$M$4*$J$5+[35]FormattedData!L19^2*$J$6+$M$5*$J$7</f>
        <v>29.880535600861055</v>
      </c>
      <c r="T55" s="39">
        <f>$J$3+[35]FormattedData!M19*$J$4+$M$4*$J$5+[35]FormattedData!M19^2*$J$6+$M$5*$J$7</f>
        <v>30.754903355953971</v>
      </c>
      <c r="U55" s="39">
        <f>$J$3+[35]FormattedData!N19*$J$4+$M$4*$J$5+[35]FormattedData!N19^2*$J$6+$M$5*$J$7</f>
        <v>30.463827854431045</v>
      </c>
      <c r="V55" s="39">
        <f>$J$3+[35]FormattedData!O19*$J$4+$M$4*$J$5+[35]FormattedData!O19^2*$J$6+$M$5*$J$7</f>
        <v>30.754903355953971</v>
      </c>
      <c r="W55" s="38">
        <f>AVERAGE(K55:V55)</f>
        <v>30.438268282717917</v>
      </c>
      <c r="X55" s="37">
        <f>STDEV(K55:V55)/SQRT(COUNT(K55:V55))</f>
        <v>0.22793379793098881</v>
      </c>
      <c r="Y55" s="36">
        <f>MIN(K55:V55)</f>
        <v>29.58831884881398</v>
      </c>
      <c r="Z55" s="35">
        <f>QUARTILE(K55:V55,1)</f>
        <v>29.783172285383291</v>
      </c>
      <c r="AA55" s="36">
        <f>MEDIAN(K55:V55)</f>
        <v>30.463827854431045</v>
      </c>
      <c r="AB55" s="35">
        <f>QUARTILE(K55:V55,3)</f>
        <v>30.754903355953971</v>
      </c>
      <c r="AC55" s="35">
        <f>MAX(K55:V55)</f>
        <v>32.397145546468934</v>
      </c>
      <c r="AD55" s="35">
        <f>SKEW(K55:V55)</f>
        <v>1.3227951176432109</v>
      </c>
      <c r="AE55" s="35">
        <f>KURT(K55:V55)</f>
        <v>2.5058111473172637</v>
      </c>
    </row>
    <row r="56" spans="2:31" x14ac:dyDescent="0.2">
      <c r="B56" s="34">
        <f>[35]FormattedData!A17</f>
        <v>107</v>
      </c>
      <c r="C56" s="34" t="str">
        <f>VLOOKUP($B56,[35]TrtCodes!$B$11:I60,2)</f>
        <v>NTL</v>
      </c>
      <c r="D56" s="34">
        <f>VLOOKUP($B56,[35]TrtCodes!$B$11:J60,3)</f>
        <v>10</v>
      </c>
      <c r="E56" s="34">
        <f>VLOOKUP($B56,[35]TrtCodes!$B$11:K60,4)</f>
        <v>2</v>
      </c>
      <c r="F56" s="34">
        <f>VLOOKUP($B56,[35]TrtCodes!$B$11:L60,5)</f>
        <v>2</v>
      </c>
      <c r="G56" s="34">
        <f>VLOOKUP($B56,[35]TrtCodes!$B$11:M60,6)</f>
        <v>1</v>
      </c>
      <c r="H56" s="34">
        <f>VLOOKUP($B56,[35]TrtCodes!$B$11:N60,7)</f>
        <v>2</v>
      </c>
      <c r="I56" s="34">
        <f>[35]FormattedData!B17</f>
        <v>2</v>
      </c>
      <c r="J56" s="37">
        <f>[35]FormattedData!C17</f>
        <v>13.124000000000001</v>
      </c>
      <c r="K56" s="39">
        <f>$J$3+[35]FormattedData!D17*$J$4+$M$4*$J$5+[35]FormattedData!D17^2*$J$6+$M$5*$J$7</f>
        <v>28.709386091624499</v>
      </c>
      <c r="L56" s="39">
        <f>$J$3+[35]FormattedData!E17*$J$4+$M$4*$J$5+[35]FormattedData!E17^2*$J$6+$M$5*$J$7</f>
        <v>29.002744094195709</v>
      </c>
      <c r="M56" s="39">
        <f>$J$3+[35]FormattedData!F17*$J$4+$M$4*$J$5+[35]FormattedData!F17^2*$J$6+$M$5*$J$7</f>
        <v>28.121528835957943</v>
      </c>
      <c r="N56" s="39">
        <f>$J$3+[35]FormattedData!G17*$J$4+$M$4*$J$5+[35]FormattedData!G17^2*$J$6+$M$5*$J$7</f>
        <v>28.709386091624499</v>
      </c>
      <c r="O56" s="39">
        <f>$J$3+[35]FormattedData!H17*$J$4+$M$4*$J$5+[35]FormattedData!H17^2*$J$6+$M$5*$J$7</f>
        <v>30.560895290143282</v>
      </c>
      <c r="P56" s="39">
        <f>$J$3+[35]FormattedData!I17*$J$4+$M$4*$J$5+[35]FormattedData!I17^2*$J$6+$M$5*$J$7</f>
        <v>29.198104753220193</v>
      </c>
      <c r="Q56" s="39">
        <f>$J$3+[35]FormattedData!J17*$J$4+$M$4*$J$5+[35]FormattedData!J17^2*$J$6+$M$5*$J$7</f>
        <v>32.30088121297738</v>
      </c>
      <c r="R56" s="39">
        <f>$J$3+[35]FormattedData!K17*$J$4+$M$4*$J$5+[35]FormattedData!K17^2*$J$6+$M$5*$J$7</f>
        <v>30.269566177392768</v>
      </c>
      <c r="S56" s="39">
        <f>$J$3+[35]FormattedData!L17*$J$4+$M$4*$J$5+[35]FormattedData!L17^2*$J$6+$M$5*$J$7</f>
        <v>29.880535600861055</v>
      </c>
      <c r="T56" s="39">
        <f>$J$3+[35]FormattedData!M17*$J$4+$M$4*$J$5+[35]FormattedData!M17^2*$J$6+$M$5*$J$7</f>
        <v>29.393296338092949</v>
      </c>
      <c r="U56" s="39">
        <f>$J$3+[35]FormattedData!N17*$J$4+$M$4*$J$5+[35]FormattedData!N17^2*$J$6+$M$5*$J$7</f>
        <v>30.07513542620277</v>
      </c>
      <c r="V56" s="39">
        <f>$J$3+[35]FormattedData!O17*$J$4+$M$4*$J$5+[35]FormattedData!O17^2*$J$6+$M$5*$J$7</f>
        <v>29.685766701367605</v>
      </c>
      <c r="W56" s="38">
        <f>AVERAGE(K56:V56)</f>
        <v>29.658935551138384</v>
      </c>
      <c r="X56" s="37">
        <f>STDEV(K56:V56)/SQRT(COUNT(K56:V56))</f>
        <v>0.31706216584388042</v>
      </c>
      <c r="Y56" s="36">
        <f>MIN(K56:V56)</f>
        <v>28.121528835957943</v>
      </c>
      <c r="Z56" s="35">
        <f>QUARTILE(K56:V56,1)</f>
        <v>28.929404593552906</v>
      </c>
      <c r="AA56" s="36">
        <f>MEDIAN(K56:V56)</f>
        <v>29.539531519730275</v>
      </c>
      <c r="AB56" s="35">
        <f>QUARTILE(K56:V56,3)</f>
        <v>30.12374311400027</v>
      </c>
      <c r="AC56" s="35">
        <f>MAX(K56:V56)</f>
        <v>32.30088121297738</v>
      </c>
      <c r="AD56" s="35">
        <f>SKEW(K56:V56)</f>
        <v>1.1312470041106353</v>
      </c>
      <c r="AE56" s="35">
        <f>KURT(K56:V56)</f>
        <v>2.1386480277323967</v>
      </c>
    </row>
    <row r="57" spans="2:31" x14ac:dyDescent="0.2">
      <c r="B57" s="34">
        <f>[35]FormattedData!A15</f>
        <v>108</v>
      </c>
      <c r="C57" s="34" t="str">
        <f>VLOOKUP($B57,[35]TrtCodes!$B$11:I58,2)</f>
        <v>FTH</v>
      </c>
      <c r="D57" s="34">
        <f>VLOOKUP($B57,[35]TrtCodes!$B$11:J58,3)</f>
        <v>3</v>
      </c>
      <c r="E57" s="34">
        <f>VLOOKUP($B57,[35]TrtCodes!$B$11:K58,4)</f>
        <v>1</v>
      </c>
      <c r="F57" s="34">
        <f>VLOOKUP($B57,[35]TrtCodes!$B$11:L58,5)</f>
        <v>2</v>
      </c>
      <c r="G57" s="34">
        <f>VLOOKUP($B57,[35]TrtCodes!$B$11:M58,6)</f>
        <v>2</v>
      </c>
      <c r="H57" s="34">
        <f>VLOOKUP($B57,[35]TrtCodes!$B$11:N58,7)</f>
        <v>2</v>
      </c>
      <c r="I57" s="34">
        <f>[35]FormattedData!B15</f>
        <v>2</v>
      </c>
      <c r="J57" s="37">
        <f>[35]FormattedData!C15</f>
        <v>13.108000000000001</v>
      </c>
      <c r="K57" s="39">
        <f>$J$3+[35]FormattedData!D15*$J$4+$M$4*$J$5+[35]FormattedData!D15^2*$J$6+$M$5*$J$7</f>
        <v>28.807214361019501</v>
      </c>
      <c r="L57" s="39">
        <f>$J$3+[35]FormattedData!E15*$J$4+$M$4*$J$5+[35]FormattedData!E15^2*$J$6+$M$5*$J$7</f>
        <v>29.58831884881398</v>
      </c>
      <c r="M57" s="39">
        <f>$J$3+[35]FormattedData!F15*$J$4+$M$4*$J$5+[35]FormattedData!F15^2*$J$6+$M$5*$J$7</f>
        <v>29.490828727722434</v>
      </c>
      <c r="N57" s="39">
        <f>$J$3+[35]FormattedData!G15*$J$4+$M$4*$J$5+[35]FormattedData!G15^2*$J$6+$M$5*$J$7</f>
        <v>28.317650328665184</v>
      </c>
      <c r="O57" s="39">
        <f>$J$3+[35]FormattedData!H15*$J$4+$M$4*$J$5+[35]FormattedData!H15^2*$J$6+$M$5*$J$7</f>
        <v>30.463827854431045</v>
      </c>
      <c r="P57" s="39">
        <f>$J$3+[35]FormattedData!I15*$J$4+$M$4*$J$5+[35]FormattedData!I15^2*$J$6+$M$5*$J$7</f>
        <v>29.100445557976915</v>
      </c>
      <c r="Q57" s="39">
        <f>$J$3+[35]FormattedData!J15*$J$4+$M$4*$J$5+[35]FormattedData!J15^2*$J$6+$M$5*$J$7</f>
        <v>29.880535600861055</v>
      </c>
      <c r="R57" s="39">
        <f>$J$3+[35]FormattedData!K15*$J$4+$M$4*$J$5+[35]FormattedData!K15^2*$J$6+$M$5*$J$7</f>
        <v>29.783172285383291</v>
      </c>
      <c r="S57" s="39">
        <f>$J$3+[35]FormattedData!L15*$J$4+$M$4*$J$5+[35]FormattedData!L15^2*$J$6+$M$5*$J$7</f>
        <v>30.463827854431045</v>
      </c>
      <c r="T57" s="39">
        <f>$J$3+[35]FormattedData!M15*$J$4+$M$4*$J$5+[35]FormattedData!M15^2*$J$6+$M$5*$J$7</f>
        <v>29.295721679925535</v>
      </c>
      <c r="U57" s="39">
        <f>$J$3+[35]FormattedData!N15*$J$4+$M$4*$J$5+[35]FormattedData!N15^2*$J$6+$M$5*$J$7</f>
        <v>31.722407572731534</v>
      </c>
      <c r="V57" s="39">
        <f>$J$3+[35]FormattedData!O15*$J$4+$M$4*$J$5+[35]FormattedData!O15^2*$J$6+$M$5*$J$7</f>
        <v>29.393296338092949</v>
      </c>
      <c r="W57" s="38">
        <f>AVERAGE(K57:V57)</f>
        <v>29.692270584171208</v>
      </c>
      <c r="X57" s="37">
        <f>STDEV(K57:V57)/SQRT(COUNT(K57:V57))</f>
        <v>0.25638731229247197</v>
      </c>
      <c r="Y57" s="36">
        <f>MIN(K57:V57)</f>
        <v>28.317650328665184</v>
      </c>
      <c r="Z57" s="35">
        <f>QUARTILE(K57:V57,1)</f>
        <v>29.246902649438379</v>
      </c>
      <c r="AA57" s="36">
        <f>MEDIAN(K57:V57)</f>
        <v>29.539573788268207</v>
      </c>
      <c r="AB57" s="35">
        <f>QUARTILE(K57:V57,3)</f>
        <v>30.026358664253554</v>
      </c>
      <c r="AC57" s="35">
        <f>MAX(K57:V57)</f>
        <v>31.722407572731534</v>
      </c>
      <c r="AD57" s="35">
        <f>SKEW(K57:V57)</f>
        <v>0.88706247083893397</v>
      </c>
      <c r="AE57" s="35">
        <f>KURT(K57:V57)</f>
        <v>1.5476194456473804</v>
      </c>
    </row>
    <row r="58" spans="2:31" x14ac:dyDescent="0.2">
      <c r="B58" s="34">
        <f>[35]FormattedData!A31</f>
        <v>201</v>
      </c>
      <c r="C58" s="34" t="str">
        <f>VLOOKUP($B58,[35]TrtCodes!$B$11:I74,2)</f>
        <v>NDL</v>
      </c>
      <c r="D58" s="34">
        <f>VLOOKUP($B58,[35]TrtCodes!$B$11:J74,3)</f>
        <v>12</v>
      </c>
      <c r="E58" s="34">
        <f>VLOOKUP($B58,[35]TrtCodes!$B$11:K74,4)</f>
        <v>2</v>
      </c>
      <c r="F58" s="34">
        <f>VLOOKUP($B58,[35]TrtCodes!$B$11:L74,5)</f>
        <v>3</v>
      </c>
      <c r="G58" s="34">
        <f>VLOOKUP($B58,[35]TrtCodes!$B$11:M74,6)</f>
        <v>1</v>
      </c>
      <c r="H58" s="34">
        <f>VLOOKUP($B58,[35]TrtCodes!$B$11:N74,7)</f>
        <v>1</v>
      </c>
      <c r="I58" s="34">
        <f>[35]FormattedData!B31</f>
        <v>2</v>
      </c>
      <c r="J58" s="37">
        <f>[35]FormattedData!C31</f>
        <v>13.243</v>
      </c>
      <c r="K58" s="39">
        <f>$J$3+[35]FormattedData!D31*$J$4+$M$4*$J$5+[35]FormattedData!D31^2*$J$6+$M$5*$J$7</f>
        <v>31.239183821066888</v>
      </c>
      <c r="L58" s="39">
        <f>$J$3+[35]FormattedData!E31*$J$4+$M$4*$J$5+[35]FormattedData!E31^2*$J$6+$M$5*$J$7</f>
        <v>30.172371936066739</v>
      </c>
      <c r="M58" s="39">
        <f>$J$3+[35]FormattedData!F31*$J$4+$M$4*$J$5+[35]FormattedData!F31^2*$J$6+$M$5*$J$7</f>
        <v>29.977856647800877</v>
      </c>
      <c r="N58" s="39">
        <f>$J$3+[35]FormattedData!G31*$J$4+$M$4*$J$5+[35]FormattedData!G31^2*$J$6+$M$5*$J$7</f>
        <v>30.560895290143282</v>
      </c>
      <c r="O58" s="39">
        <f>$J$3+[35]FormattedData!H31*$J$4+$M$4*$J$5+[35]FormattedData!H31^2*$J$6+$M$5*$J$7</f>
        <v>30.560895290143282</v>
      </c>
      <c r="P58" s="39">
        <f>$J$3+[35]FormattedData!I31*$J$4+$M$4*$J$5+[35]FormattedData!I31^2*$J$6+$M$5*$J$7</f>
        <v>31.335913108475687</v>
      </c>
      <c r="Q58" s="39">
        <f>$J$3+[35]FormattedData!J31*$J$4+$M$4*$J$5+[35]FormattedData!J31^2*$J$6+$M$5*$J$7</f>
        <v>32.011834601275147</v>
      </c>
      <c r="R58" s="39">
        <f>$J$3+[35]FormattedData!K31*$J$4+$M$4*$J$5+[35]FormattedData!K31^2*$J$6+$M$5*$J$7</f>
        <v>29.295721679925535</v>
      </c>
      <c r="S58" s="39">
        <f>$J$3+[35]FormattedData!L31*$J$4+$M$4*$J$5+[35]FormattedData!L31^2*$J$6+$M$5*$J$7</f>
        <v>29.100445557976915</v>
      </c>
      <c r="T58" s="39">
        <f>$J$3+[35]FormattedData!M31*$J$4+$M$4*$J$5+[35]FormattedData!M31^2*$J$6+$M$5*$J$7</f>
        <v>29.198104753220193</v>
      </c>
      <c r="U58" s="39">
        <f>$J$3+[35]FormattedData!N31*$J$4+$M$4*$J$5+[35]FormattedData!N31^2*$J$6+$M$5*$J$7</f>
        <v>31.045598440635512</v>
      </c>
      <c r="V58" s="39">
        <f>$J$3+[35]FormattedData!O31*$J$4+$M$4*$J$5+[35]FormattedData!O31^2*$J$6+$M$5*$J$7</f>
        <v>30.172371936066739</v>
      </c>
      <c r="W58" s="38">
        <f>AVERAGE(K58:V58)</f>
        <v>30.389266088566401</v>
      </c>
      <c r="X58" s="37">
        <f>STDEV(K58:V58)/SQRT(COUNT(K58:V58))</f>
        <v>0.26514749423222267</v>
      </c>
      <c r="Y58" s="36">
        <f>MIN(K58:V58)</f>
        <v>29.100445557976915</v>
      </c>
      <c r="Z58" s="35">
        <f>QUARTILE(K58:V58,1)</f>
        <v>29.807322905832041</v>
      </c>
      <c r="AA58" s="36">
        <f>MEDIAN(K58:V58)</f>
        <v>30.366633613105009</v>
      </c>
      <c r="AB58" s="35">
        <f>QUARTILE(K58:V58,3)</f>
        <v>31.093994785743355</v>
      </c>
      <c r="AC58" s="35">
        <f>MAX(K58:V58)</f>
        <v>32.011834601275147</v>
      </c>
      <c r="AD58" s="35">
        <f>SKEW(K58:V58)</f>
        <v>0.11238116019159175</v>
      </c>
      <c r="AE58" s="35">
        <f>KURT(K58:V58)</f>
        <v>-0.78344608201896859</v>
      </c>
    </row>
    <row r="59" spans="2:31" x14ac:dyDescent="0.2">
      <c r="B59" s="34">
        <f>[35]FormattedData!A33</f>
        <v>202</v>
      </c>
      <c r="C59" s="34" t="str">
        <f>VLOOKUP($B59,[35]TrtCodes!$B$11:I76,2)</f>
        <v>NTH</v>
      </c>
      <c r="D59" s="34">
        <f>VLOOKUP($B59,[35]TrtCodes!$B$11:J76,3)</f>
        <v>9</v>
      </c>
      <c r="E59" s="34">
        <f>VLOOKUP($B59,[35]TrtCodes!$B$11:K76,4)</f>
        <v>2</v>
      </c>
      <c r="F59" s="34">
        <f>VLOOKUP($B59,[35]TrtCodes!$B$11:L76,5)</f>
        <v>2</v>
      </c>
      <c r="G59" s="34">
        <f>VLOOKUP($B59,[35]TrtCodes!$B$11:M76,6)</f>
        <v>2</v>
      </c>
      <c r="H59" s="34">
        <f>VLOOKUP($B59,[35]TrtCodes!$B$11:N76,7)</f>
        <v>1</v>
      </c>
      <c r="I59" s="34">
        <f>[35]FormattedData!B33</f>
        <v>2</v>
      </c>
      <c r="J59" s="37">
        <f>[35]FormattedData!C33</f>
        <v>13.26</v>
      </c>
      <c r="K59" s="39">
        <f>$J$3+[35]FormattedData!D33*$J$4+$M$4*$J$5+[35]FormattedData!D33^2*$J$6+$M$5*$J$7</f>
        <v>27.728778628088282</v>
      </c>
      <c r="L59" s="39">
        <f>$J$3+[35]FormattedData!E33*$J$4+$M$4*$J$5+[35]FormattedData!E33^2*$J$6+$M$5*$J$7</f>
        <v>29.295721679925535</v>
      </c>
      <c r="M59" s="39">
        <f>$J$3+[35]FormattedData!F33*$J$4+$M$4*$J$5+[35]FormattedData!F33^2*$J$6+$M$5*$J$7</f>
        <v>29.002744094195709</v>
      </c>
      <c r="N59" s="39">
        <f>$J$3+[35]FormattedData!G33*$J$4+$M$4*$J$5+[35]FormattedData!G33^2*$J$6+$M$5*$J$7</f>
        <v>30.172371936066739</v>
      </c>
      <c r="O59" s="39">
        <f>$J$3+[35]FormattedData!H33*$J$4+$M$4*$J$5+[35]FormattedData!H33^2*$J$6+$M$5*$J$7</f>
        <v>30.463827854431045</v>
      </c>
      <c r="P59" s="39">
        <f>$J$3+[35]FormattedData!I33*$J$4+$M$4*$J$5+[35]FormattedData!I33^2*$J$6+$M$5*$J$7</f>
        <v>29.100445557976915</v>
      </c>
      <c r="Q59" s="39">
        <f>$J$3+[35]FormattedData!J33*$J$4+$M$4*$J$5+[35]FormattedData!J33^2*$J$6+$M$5*$J$7</f>
        <v>28.513602747220705</v>
      </c>
      <c r="R59" s="39">
        <f>$J$3+[35]FormattedData!K33*$J$4+$M$4*$J$5+[35]FormattedData!K33^2*$J$6+$M$5*$J$7</f>
        <v>29.58831884881398</v>
      </c>
      <c r="S59" s="39">
        <f>$J$3+[35]FormattedData!L33*$J$4+$M$4*$J$5+[35]FormattedData!L33^2*$J$6+$M$5*$J$7</f>
        <v>28.121528835957943</v>
      </c>
      <c r="T59" s="39">
        <f>$J$3+[35]FormattedData!M33*$J$4+$M$4*$J$5+[35]FormattedData!M33^2*$J$6+$M$5*$J$7</f>
        <v>28.317650328665184</v>
      </c>
      <c r="U59" s="39">
        <f>$J$3+[35]FormattedData!N33*$J$4+$M$4*$J$5+[35]FormattedData!N33^2*$J$6+$M$5*$J$7</f>
        <v>30.560895290143282</v>
      </c>
      <c r="V59" s="39">
        <f>$J$3+[35]FormattedData!O33*$J$4+$M$4*$J$5+[35]FormattedData!O33^2*$J$6+$M$5*$J$7</f>
        <v>31.335913108475687</v>
      </c>
      <c r="W59" s="38">
        <f>AVERAGE(K59:V59)</f>
        <v>29.350149909163409</v>
      </c>
      <c r="X59" s="37">
        <f>STDEV(K59:V59)/SQRT(COUNT(K59:V59))</f>
        <v>0.31947445644486383</v>
      </c>
      <c r="Y59" s="36">
        <f>MIN(K59:V59)</f>
        <v>27.728778628088282</v>
      </c>
      <c r="Z59" s="35">
        <f>QUARTILE(K59:V59,1)</f>
        <v>28.464614642581825</v>
      </c>
      <c r="AA59" s="36">
        <f>MEDIAN(K59:V59)</f>
        <v>29.198083618951223</v>
      </c>
      <c r="AB59" s="35">
        <f>QUARTILE(K59:V59,3)</f>
        <v>30.245235915657815</v>
      </c>
      <c r="AC59" s="35">
        <f>MAX(K59:V59)</f>
        <v>31.335913108475687</v>
      </c>
      <c r="AD59" s="35">
        <f>SKEW(K59:V59)</f>
        <v>0.29739688574973916</v>
      </c>
      <c r="AE59" s="35">
        <f>KURT(K59:V59)</f>
        <v>-0.8261731856017418</v>
      </c>
    </row>
    <row r="60" spans="2:31" x14ac:dyDescent="0.2">
      <c r="B60" s="34">
        <f>[35]FormattedData!A35</f>
        <v>203</v>
      </c>
      <c r="C60" s="34" t="str">
        <f>VLOOKUP($B60,[35]TrtCodes!$B$11:I78,2)</f>
        <v>FTH</v>
      </c>
      <c r="D60" s="34">
        <f>VLOOKUP($B60,[35]TrtCodes!$B$11:J78,3)</f>
        <v>3</v>
      </c>
      <c r="E60" s="34">
        <f>VLOOKUP($B60,[35]TrtCodes!$B$11:K78,4)</f>
        <v>1</v>
      </c>
      <c r="F60" s="34">
        <f>VLOOKUP($B60,[35]TrtCodes!$B$11:L78,5)</f>
        <v>2</v>
      </c>
      <c r="G60" s="34">
        <f>VLOOKUP($B60,[35]TrtCodes!$B$11:M78,6)</f>
        <v>2</v>
      </c>
      <c r="H60" s="34">
        <f>VLOOKUP($B60,[35]TrtCodes!$B$11:N78,7)</f>
        <v>1</v>
      </c>
      <c r="I60" s="34">
        <f>[35]FormattedData!B35</f>
        <v>2</v>
      </c>
      <c r="J60" s="37">
        <f>[35]FormattedData!C35</f>
        <v>13.276</v>
      </c>
      <c r="K60" s="39">
        <f>$J$3+[35]FormattedData!D35*$J$4+$M$4*$J$5+[35]FormattedData!D35^2*$J$6+$M$5*$J$7</f>
        <v>28.219610716580529</v>
      </c>
      <c r="L60" s="39">
        <f>$J$3+[35]FormattedData!E35*$J$4+$M$4*$J$5+[35]FormattedData!E35^2*$J$6+$M$5*$J$7</f>
        <v>28.709386091624499</v>
      </c>
      <c r="M60" s="39">
        <f>$J$3+[35]FormattedData!F35*$J$4+$M$4*$J$5+[35]FormattedData!F35^2*$J$6+$M$5*$J$7</f>
        <v>28.219610716580529</v>
      </c>
      <c r="N60" s="39">
        <f>$J$3+[35]FormattedData!G35*$J$4+$M$4*$J$5+[35]FormattedData!G35^2*$J$6+$M$5*$J$7</f>
        <v>29.490828727722434</v>
      </c>
      <c r="O60" s="39">
        <f>$J$3+[35]FormattedData!H35*$J$4+$M$4*$J$5+[35]FormattedData!H35^2*$J$6+$M$5*$J$7</f>
        <v>31.142412265120171</v>
      </c>
      <c r="P60" s="39">
        <f>$J$3+[35]FormattedData!I35*$J$4+$M$4*$J$5+[35]FormattedData!I35^2*$J$6+$M$5*$J$7</f>
        <v>29.58831884881398</v>
      </c>
      <c r="Q60" s="39">
        <f>$J$3+[35]FormattedData!J35*$J$4+$M$4*$J$5+[35]FormattedData!J35^2*$J$6+$M$5*$J$7</f>
        <v>29.393296338092949</v>
      </c>
      <c r="R60" s="39">
        <f>$J$3+[35]FormattedData!K35*$J$4+$M$4*$J$5+[35]FormattedData!K35^2*$J$6+$M$5*$J$7</f>
        <v>29.393296338092949</v>
      </c>
      <c r="S60" s="39">
        <f>$J$3+[35]FormattedData!L35*$J$4+$M$4*$J$5+[35]FormattedData!L35^2*$J$6+$M$5*$J$7</f>
        <v>28.317650328665184</v>
      </c>
      <c r="T60" s="39">
        <f>$J$3+[35]FormattedData!M35*$J$4+$M$4*$J$5+[35]FormattedData!M35^2*$J$6+$M$5*$J$7</f>
        <v>28.611515553691568</v>
      </c>
      <c r="U60" s="39">
        <f>$J$3+[35]FormattedData!N35*$J$4+$M$4*$J$5+[35]FormattedData!N35^2*$J$6+$M$5*$J$7</f>
        <v>29.490828727722434</v>
      </c>
      <c r="V60" s="39">
        <f>$J$3+[35]FormattedData!O35*$J$4+$M$4*$J$5+[35]FormattedData!O35^2*$J$6+$M$5*$J$7</f>
        <v>29.490828727722434</v>
      </c>
      <c r="W60" s="38">
        <f>AVERAGE(K60:V60)</f>
        <v>29.1722986150358</v>
      </c>
      <c r="X60" s="37">
        <f>STDEV(K60:V60)/SQRT(COUNT(K60:V60))</f>
        <v>0.23885621891922135</v>
      </c>
      <c r="Y60" s="36">
        <f>MIN(K60:V60)</f>
        <v>28.219610716580529</v>
      </c>
      <c r="Z60" s="35">
        <f>QUARTILE(K60:V60,1)</f>
        <v>28.538049247434973</v>
      </c>
      <c r="AA60" s="36">
        <f>MEDIAN(K60:V60)</f>
        <v>29.393296338092949</v>
      </c>
      <c r="AB60" s="35">
        <f>QUARTILE(K60:V60,3)</f>
        <v>29.490828727722434</v>
      </c>
      <c r="AC60" s="35">
        <f>MAX(K60:V60)</f>
        <v>31.142412265120171</v>
      </c>
      <c r="AD60" s="35">
        <f>SKEW(K60:V60)</f>
        <v>1.0029641582802455</v>
      </c>
      <c r="AE60" s="35">
        <f>KURT(K60:V60)</f>
        <v>1.8352550725768353</v>
      </c>
    </row>
    <row r="61" spans="2:31" x14ac:dyDescent="0.2">
      <c r="B61" s="34">
        <f>[35]FormattedData!A37</f>
        <v>204</v>
      </c>
      <c r="C61" s="34" t="str">
        <f>VLOOKUP($B61,[35]TrtCodes!$B$11:I80,2)</f>
        <v>NDH</v>
      </c>
      <c r="D61" s="34">
        <f>VLOOKUP($B61,[35]TrtCodes!$B$11:J80,3)</f>
        <v>11</v>
      </c>
      <c r="E61" s="34">
        <f>VLOOKUP($B61,[35]TrtCodes!$B$11:K80,4)</f>
        <v>2</v>
      </c>
      <c r="F61" s="34">
        <f>VLOOKUP($B61,[35]TrtCodes!$B$11:L80,5)</f>
        <v>3</v>
      </c>
      <c r="G61" s="34">
        <f>VLOOKUP($B61,[35]TrtCodes!$B$11:M80,6)</f>
        <v>2</v>
      </c>
      <c r="H61" s="34">
        <f>VLOOKUP($B61,[35]TrtCodes!$B$11:N80,7)</f>
        <v>1</v>
      </c>
      <c r="I61" s="34">
        <f>[35]FormattedData!B37</f>
        <v>2</v>
      </c>
      <c r="J61" s="37">
        <f>[35]FormattedData!C37</f>
        <v>13.292</v>
      </c>
      <c r="K61" s="39">
        <f>$J$3+[35]FormattedData!D37*$J$4+$M$4*$J$5+[35]FormattedData!D37^2*$J$6+$M$5*$J$7</f>
        <v>31.142412265120171</v>
      </c>
      <c r="L61" s="39">
        <f>$J$3+[35]FormattedData!E37*$J$4+$M$4*$J$5+[35]FormattedData!E37^2*$J$6+$M$5*$J$7</f>
        <v>31.529244877679474</v>
      </c>
      <c r="M61" s="39">
        <f>$J$3+[35]FormattedData!F37*$J$4+$M$4*$J$5+[35]FormattedData!F37^2*$J$6+$M$5*$J$7</f>
        <v>31.62584735947447</v>
      </c>
      <c r="N61" s="39">
        <f>$J$3+[35]FormattedData!G37*$J$4+$M$4*$J$5+[35]FormattedData!G37^2*$J$6+$M$5*$J$7</f>
        <v>30.851843986052419</v>
      </c>
      <c r="O61" s="39">
        <f>$J$3+[35]FormattedData!H37*$J$4+$M$4*$J$5+[35]FormattedData!H37^2*$J$6+$M$5*$J$7</f>
        <v>30.657920457317594</v>
      </c>
      <c r="P61" s="39">
        <f>$J$3+[35]FormattedData!I37*$J$4+$M$4*$J$5+[35]FormattedData!I37^2*$J$6+$M$5*$J$7</f>
        <v>31.045598440635512</v>
      </c>
      <c r="Q61" s="39">
        <f>$J$3+[35]FormattedData!J37*$J$4+$M$4*$J$5+[35]FormattedData!J37^2*$J$6+$M$5*$J$7</f>
        <v>31.529244877679474</v>
      </c>
      <c r="R61" s="39">
        <f>$J$3+[35]FormattedData!K37*$J$4+$M$4*$J$5+[35]FormattedData!K37^2*$J$6+$M$5*$J$7</f>
        <v>32.781780195055809</v>
      </c>
      <c r="S61" s="39">
        <f>$J$3+[35]FormattedData!L37*$J$4+$M$4*$J$5+[35]FormattedData!L37^2*$J$6+$M$5*$J$7</f>
        <v>32.011834601275147</v>
      </c>
      <c r="T61" s="39">
        <f>$J$3+[35]FormattedData!M37*$J$4+$M$4*$J$5+[35]FormattedData!M37^2*$J$6+$M$5*$J$7</f>
        <v>30.948742347612932</v>
      </c>
      <c r="U61" s="39">
        <f>$J$3+[35]FormattedData!N37*$J$4+$M$4*$J$5+[35]FormattedData!N37^2*$J$6+$M$5*$J$7</f>
        <v>31.432600127346543</v>
      </c>
      <c r="V61" s="39">
        <f>$J$3+[35]FormattedData!O37*$J$4+$M$4*$J$5+[35]FormattedData!O37^2*$J$6+$M$5*$J$7</f>
        <v>30.366718150180876</v>
      </c>
      <c r="W61" s="38">
        <f>AVERAGE(K61:V61)</f>
        <v>31.326982307119199</v>
      </c>
      <c r="X61" s="37">
        <f>STDEV(K61:V61)/SQRT(COUNT(K61:V61))</f>
        <v>0.1870741867856251</v>
      </c>
      <c r="Y61" s="36">
        <f>MIN(K61:V61)</f>
        <v>30.366718150180876</v>
      </c>
      <c r="Z61" s="35">
        <f>QUARTILE(K61:V61,1)</f>
        <v>30.924517757222802</v>
      </c>
      <c r="AA61" s="36">
        <f>MEDIAN(K61:V61)</f>
        <v>31.287506196233359</v>
      </c>
      <c r="AB61" s="35">
        <f>QUARTILE(K61:V61,3)</f>
        <v>31.553395498128225</v>
      </c>
      <c r="AC61" s="35">
        <f>MAX(K61:V61)</f>
        <v>32.781780195055809</v>
      </c>
      <c r="AD61" s="35">
        <f>SKEW(K61:V61)</f>
        <v>0.82962950130267044</v>
      </c>
      <c r="AE61" s="35">
        <f>KURT(K61:V61)</f>
        <v>1.1846676688523008</v>
      </c>
    </row>
    <row r="62" spans="2:31" x14ac:dyDescent="0.2">
      <c r="B62" s="34">
        <f>[35]FormattedData!A39</f>
        <v>205</v>
      </c>
      <c r="C62" s="34" t="str">
        <f>VLOOKUP($B62,[35]TrtCodes!$B$11:I82,2)</f>
        <v>FSH</v>
      </c>
      <c r="D62" s="34">
        <f>VLOOKUP($B62,[35]TrtCodes!$B$11:J82,3)</f>
        <v>1</v>
      </c>
      <c r="E62" s="34">
        <f>VLOOKUP($B62,[35]TrtCodes!$B$11:K82,4)</f>
        <v>1</v>
      </c>
      <c r="F62" s="34">
        <f>VLOOKUP($B62,[35]TrtCodes!$B$11:L82,5)</f>
        <v>1</v>
      </c>
      <c r="G62" s="34">
        <f>VLOOKUP($B62,[35]TrtCodes!$B$11:M82,6)</f>
        <v>2</v>
      </c>
      <c r="H62" s="34">
        <f>VLOOKUP($B62,[35]TrtCodes!$B$11:N82,7)</f>
        <v>2</v>
      </c>
      <c r="I62" s="34">
        <f>[35]FormattedData!B39</f>
        <v>2</v>
      </c>
      <c r="J62" s="37">
        <f>[35]FormattedData!C39</f>
        <v>13.307</v>
      </c>
      <c r="K62" s="39">
        <f>$J$3+[35]FormattedData!D39*$J$4+$M$4*$J$5+[35]FormattedData!D39^2*$J$6+$M$5*$J$7</f>
        <v>30.657920457317594</v>
      </c>
      <c r="L62" s="39">
        <f>$J$3+[35]FormattedData!E39*$J$4+$M$4*$J$5+[35]FormattedData!E39^2*$J$6+$M$5*$J$7</f>
        <v>29.685766701367605</v>
      </c>
      <c r="M62" s="39">
        <f>$J$3+[35]FormattedData!F39*$J$4+$M$4*$J$5+[35]FormattedData!F39^2*$J$6+$M$5*$J$7</f>
        <v>30.560895290143282</v>
      </c>
      <c r="N62" s="39">
        <f>$J$3+[35]FormattedData!G39*$J$4+$M$4*$J$5+[35]FormattedData!G39^2*$J$6+$M$5*$J$7</f>
        <v>29.198104753220193</v>
      </c>
      <c r="O62" s="39">
        <f>$J$3+[35]FormattedData!H39*$J$4+$M$4*$J$5+[35]FormattedData!H39^2*$J$6+$M$5*$J$7</f>
        <v>29.977856647800877</v>
      </c>
      <c r="P62" s="39">
        <f>$J$3+[35]FormattedData!I39*$J$4+$M$4*$J$5+[35]FormattedData!I39^2*$J$6+$M$5*$J$7</f>
        <v>28.121528835957943</v>
      </c>
      <c r="Q62" s="39">
        <f>$J$3+[35]FormattedData!J39*$J$4+$M$4*$J$5+[35]FormattedData!J39^2*$J$6+$M$5*$J$7</f>
        <v>28.415647672211911</v>
      </c>
      <c r="R62" s="39">
        <f>$J$3+[35]FormattedData!K39*$J$4+$M$4*$J$5+[35]FormattedData!K39^2*$J$6+$M$5*$J$7</f>
        <v>29.295721679925535</v>
      </c>
      <c r="S62" s="39">
        <f>$J$3+[35]FormattedData!L39*$J$4+$M$4*$J$5+[35]FormattedData!L39^2*$J$6+$M$5*$J$7</f>
        <v>29.977856647800877</v>
      </c>
      <c r="T62" s="39">
        <f>$J$3+[35]FormattedData!M39*$J$4+$M$4*$J$5+[35]FormattedData!M39^2*$J$6+$M$5*$J$7</f>
        <v>29.198104753220193</v>
      </c>
      <c r="U62" s="39">
        <f>$J$3+[35]FormattedData!N39*$J$4+$M$4*$J$5+[35]FormattedData!N39^2*$J$6+$M$5*$J$7</f>
        <v>30.463827854431045</v>
      </c>
      <c r="V62" s="39">
        <f>$J$3+[35]FormattedData!O39*$J$4+$M$4*$J$5+[35]FormattedData!O39^2*$J$6+$M$5*$J$7</f>
        <v>32.204574610947894</v>
      </c>
      <c r="W62" s="38">
        <f>AVERAGE(K62:V62)</f>
        <v>29.813150492028743</v>
      </c>
      <c r="X62" s="37">
        <f>STDEV(K62:V62)/SQRT(COUNT(K62:V62))</f>
        <v>0.3177146714667009</v>
      </c>
      <c r="Y62" s="36">
        <f>MIN(K62:V62)</f>
        <v>28.121528835957943</v>
      </c>
      <c r="Z62" s="35">
        <f>QUARTILE(K62:V62,1)</f>
        <v>29.198104753220193</v>
      </c>
      <c r="AA62" s="36">
        <f>MEDIAN(K62:V62)</f>
        <v>29.831811674584241</v>
      </c>
      <c r="AB62" s="35">
        <f>QUARTILE(K62:V62,3)</f>
        <v>30.488094713359104</v>
      </c>
      <c r="AC62" s="35">
        <f>MAX(K62:V62)</f>
        <v>32.204574610947894</v>
      </c>
      <c r="AD62" s="35">
        <f>SKEW(K62:V62)</f>
        <v>0.55690204449009317</v>
      </c>
      <c r="AE62" s="35">
        <f>KURT(K62:V62)</f>
        <v>0.9142409354943295</v>
      </c>
    </row>
    <row r="63" spans="2:31" x14ac:dyDescent="0.2">
      <c r="B63" s="34">
        <f>[35]FormattedData!A41</f>
        <v>206</v>
      </c>
      <c r="C63" s="34" t="str">
        <f>VLOOKUP($B63,[35]TrtCodes!$B$11:I84,2)</f>
        <v>NSL</v>
      </c>
      <c r="D63" s="34">
        <f>VLOOKUP($B63,[35]TrtCodes!$B$11:J84,3)</f>
        <v>8</v>
      </c>
      <c r="E63" s="34">
        <f>VLOOKUP($B63,[35]TrtCodes!$B$11:K84,4)</f>
        <v>2</v>
      </c>
      <c r="F63" s="34">
        <f>VLOOKUP($B63,[35]TrtCodes!$B$11:L84,5)</f>
        <v>1</v>
      </c>
      <c r="G63" s="34">
        <f>VLOOKUP($B63,[35]TrtCodes!$B$11:M84,6)</f>
        <v>1</v>
      </c>
      <c r="H63" s="34">
        <f>VLOOKUP($B63,[35]TrtCodes!$B$11:N84,7)</f>
        <v>2</v>
      </c>
      <c r="I63" s="34">
        <f>[35]FormattedData!B41</f>
        <v>2</v>
      </c>
      <c r="J63" s="37">
        <f>[35]FormattedData!C41</f>
        <v>13.324</v>
      </c>
      <c r="K63" s="39">
        <f>$J$3+[35]FormattedData!D41*$J$4+$M$4*$J$5+[35]FormattedData!D41^2*$J$6+$M$5*$J$7</f>
        <v>30.754903355953971</v>
      </c>
      <c r="L63" s="39">
        <f>$J$3+[35]FormattedData!E41*$J$4+$M$4*$J$5+[35]FormattedData!E41^2*$J$6+$M$5*$J$7</f>
        <v>31.045598440635512</v>
      </c>
      <c r="M63" s="39">
        <f>$J$3+[35]FormattedData!F41*$J$4+$M$4*$J$5+[35]FormattedData!F41^2*$J$6+$M$5*$J$7</f>
        <v>31.91540119363188</v>
      </c>
      <c r="N63" s="39">
        <f>$J$3+[35]FormattedData!G41*$J$4+$M$4*$J$5+[35]FormattedData!G41^2*$J$6+$M$5*$J$7</f>
        <v>30.657920457317594</v>
      </c>
      <c r="O63" s="39">
        <f>$J$3+[35]FormattedData!H41*$J$4+$M$4*$J$5+[35]FormattedData!H41^2*$J$6+$M$5*$J$7</f>
        <v>31.432600127346543</v>
      </c>
      <c r="P63" s="39">
        <f>$J$3+[35]FormattedData!I41*$J$4+$M$4*$J$5+[35]FormattedData!I41^2*$J$6+$M$5*$J$7</f>
        <v>29.783172285383291</v>
      </c>
      <c r="Q63" s="39">
        <f>$J$3+[35]FormattedData!J41*$J$4+$M$4*$J$5+[35]FormattedData!J41^2*$J$6+$M$5*$J$7</f>
        <v>31.239183821066888</v>
      </c>
      <c r="R63" s="39">
        <f>$J$3+[35]FormattedData!K41*$J$4+$M$4*$J$5+[35]FormattedData!K41^2*$J$6+$M$5*$J$7</f>
        <v>31.045598440635512</v>
      </c>
      <c r="S63" s="39">
        <f>$J$3+[35]FormattedData!L41*$J$4+$M$4*$J$5+[35]FormattedData!L41^2*$J$6+$M$5*$J$7</f>
        <v>30.754903355953971</v>
      </c>
      <c r="T63" s="39">
        <f>$J$3+[35]FormattedData!M41*$J$4+$M$4*$J$5+[35]FormattedData!M41^2*$J$6+$M$5*$J$7</f>
        <v>31.142412265120171</v>
      </c>
      <c r="U63" s="39">
        <f>$J$3+[35]FormattedData!N41*$J$4+$M$4*$J$5+[35]FormattedData!N41^2*$J$6+$M$5*$J$7</f>
        <v>31.239183821066888</v>
      </c>
      <c r="V63" s="39">
        <f>$J$3+[35]FormattedData!O41*$J$4+$M$4*$J$5+[35]FormattedData!O41^2*$J$6+$M$5*$J$7</f>
        <v>31.529244877679474</v>
      </c>
      <c r="W63" s="38">
        <f>AVERAGE(K63:V63)</f>
        <v>31.045010203482644</v>
      </c>
      <c r="X63" s="37">
        <f>STDEV(K63:V63)/SQRT(COUNT(K63:V63))</f>
        <v>0.15417379151764884</v>
      </c>
      <c r="Y63" s="36">
        <f>MIN(K63:V63)</f>
        <v>29.783172285383291</v>
      </c>
      <c r="Z63" s="35">
        <f>QUARTILE(K63:V63,1)</f>
        <v>30.754903355953971</v>
      </c>
      <c r="AA63" s="36">
        <f>MEDIAN(K63:V63)</f>
        <v>31.094005352877844</v>
      </c>
      <c r="AB63" s="35">
        <f>QUARTILE(K63:V63,3)</f>
        <v>31.287537897636803</v>
      </c>
      <c r="AC63" s="35">
        <f>MAX(K63:V63)</f>
        <v>31.91540119363188</v>
      </c>
      <c r="AD63" s="35">
        <f>SKEW(K63:V63)</f>
        <v>-0.90893156022803667</v>
      </c>
      <c r="AE63" s="35">
        <f>KURT(K63:V63)</f>
        <v>2.2152503265103398</v>
      </c>
    </row>
    <row r="64" spans="2:31" x14ac:dyDescent="0.2">
      <c r="B64" s="34">
        <f>[35]FormattedData!A43</f>
        <v>207</v>
      </c>
      <c r="C64" s="34" t="str">
        <f>VLOOKUP($B64,[35]TrtCodes!$B$11:I86,2)</f>
        <v>FTL</v>
      </c>
      <c r="D64" s="34">
        <f>VLOOKUP($B64,[35]TrtCodes!$B$11:J86,3)</f>
        <v>4</v>
      </c>
      <c r="E64" s="34">
        <f>VLOOKUP($B64,[35]TrtCodes!$B$11:K86,4)</f>
        <v>1</v>
      </c>
      <c r="F64" s="34">
        <f>VLOOKUP($B64,[35]TrtCodes!$B$11:L86,5)</f>
        <v>2</v>
      </c>
      <c r="G64" s="34">
        <f>VLOOKUP($B64,[35]TrtCodes!$B$11:M86,6)</f>
        <v>1</v>
      </c>
      <c r="H64" s="34">
        <f>VLOOKUP($B64,[35]TrtCodes!$B$11:N86,7)</f>
        <v>2</v>
      </c>
      <c r="I64" s="34">
        <f>[35]FormattedData!B43</f>
        <v>2</v>
      </c>
      <c r="J64" s="37">
        <f>[35]FormattedData!C43</f>
        <v>13.34</v>
      </c>
      <c r="K64" s="39">
        <f>$J$3+[35]FormattedData!D43*$J$4+$M$4*$J$5+[35]FormattedData!D43^2*$J$6+$M$5*$J$7</f>
        <v>28.611515553691568</v>
      </c>
      <c r="L64" s="39">
        <f>$J$3+[35]FormattedData!E43*$J$4+$M$4*$J$5+[35]FormattedData!E43^2*$J$6+$M$5*$J$7</f>
        <v>28.611515553691568</v>
      </c>
      <c r="M64" s="39">
        <f>$J$3+[35]FormattedData!F43*$J$4+$M$4*$J$5+[35]FormattedData!F43^2*$J$6+$M$5*$J$7</f>
        <v>29.100445557976915</v>
      </c>
      <c r="N64" s="39">
        <f>$J$3+[35]FormattedData!G43*$J$4+$M$4*$J$5+[35]FormattedData!G43^2*$J$6+$M$5*$J$7</f>
        <v>29.100445557976915</v>
      </c>
      <c r="O64" s="39">
        <f>$J$3+[35]FormattedData!H43*$J$4+$M$4*$J$5+[35]FormattedData!H43^2*$J$6+$M$5*$J$7</f>
        <v>30.172371936066739</v>
      </c>
      <c r="P64" s="39">
        <f>$J$3+[35]FormattedData!I43*$J$4+$M$4*$J$5+[35]FormattedData!I43^2*$J$6+$M$5*$J$7</f>
        <v>29.685766701367605</v>
      </c>
      <c r="Q64" s="39">
        <f>$J$3+[35]FormattedData!J43*$J$4+$M$4*$J$5+[35]FormattedData!J43^2*$J$6+$M$5*$J$7</f>
        <v>30.172371936066739</v>
      </c>
      <c r="R64" s="39">
        <f>$J$3+[35]FormattedData!K43*$J$4+$M$4*$J$5+[35]FormattedData!K43^2*$J$6+$M$5*$J$7</f>
        <v>29.880535600861055</v>
      </c>
      <c r="S64" s="39">
        <f>$J$3+[35]FormattedData!L43*$J$4+$M$4*$J$5+[35]FormattedData!L43^2*$J$6+$M$5*$J$7</f>
        <v>29.393296338092949</v>
      </c>
      <c r="T64" s="39">
        <f>$J$3+[35]FormattedData!M43*$J$4+$M$4*$J$5+[35]FormattedData!M43^2*$J$6+$M$5*$J$7</f>
        <v>31.045598440635512</v>
      </c>
      <c r="U64" s="39">
        <f>$J$3+[35]FormattedData!N43*$J$4+$M$4*$J$5+[35]FormattedData!N43^2*$J$6+$M$5*$J$7</f>
        <v>29.685766701367605</v>
      </c>
      <c r="V64" s="39">
        <f>$J$3+[35]FormattedData!O43*$J$4+$M$4*$J$5+[35]FormattedData!O43^2*$J$6+$M$5*$J$7</f>
        <v>29.58831884881398</v>
      </c>
      <c r="W64" s="38">
        <f>AVERAGE(K64:V64)</f>
        <v>29.587329060550758</v>
      </c>
      <c r="X64" s="37">
        <f>STDEV(K64:V64)/SQRT(COUNT(K64:V64))</f>
        <v>0.20099439722284543</v>
      </c>
      <c r="Y64" s="36">
        <f>MIN(K64:V64)</f>
        <v>28.611515553691568</v>
      </c>
      <c r="Z64" s="35">
        <f>QUARTILE(K64:V64,1)</f>
        <v>29.100445557976915</v>
      </c>
      <c r="AA64" s="36">
        <f>MEDIAN(K64:V64)</f>
        <v>29.637042775090791</v>
      </c>
      <c r="AB64" s="35">
        <f>QUARTILE(K64:V64,3)</f>
        <v>29.953494684662477</v>
      </c>
      <c r="AC64" s="35">
        <f>MAX(K64:V64)</f>
        <v>31.045598440635512</v>
      </c>
      <c r="AD64" s="35">
        <f>SKEW(K64:V64)</f>
        <v>0.46287477484746414</v>
      </c>
      <c r="AE64" s="35">
        <f>KURT(K64:V64)</f>
        <v>0.45311731295812496</v>
      </c>
    </row>
    <row r="65" spans="2:31" x14ac:dyDescent="0.2">
      <c r="B65" s="34">
        <f>[35]FormattedData!A45</f>
        <v>208</v>
      </c>
      <c r="C65" s="34" t="str">
        <f>VLOOKUP($B65,[35]TrtCodes!$B$11:I88,2)</f>
        <v>FSL</v>
      </c>
      <c r="D65" s="34">
        <f>VLOOKUP($B65,[35]TrtCodes!$B$11:J88,3)</f>
        <v>2</v>
      </c>
      <c r="E65" s="34">
        <f>VLOOKUP($B65,[35]TrtCodes!$B$11:K88,4)</f>
        <v>1</v>
      </c>
      <c r="F65" s="34">
        <f>VLOOKUP($B65,[35]TrtCodes!$B$11:L88,5)</f>
        <v>1</v>
      </c>
      <c r="G65" s="34">
        <f>VLOOKUP($B65,[35]TrtCodes!$B$11:M88,6)</f>
        <v>1</v>
      </c>
      <c r="H65" s="34">
        <f>VLOOKUP($B65,[35]TrtCodes!$B$11:N88,7)</f>
        <v>2</v>
      </c>
      <c r="I65" s="34">
        <f>[35]FormattedData!B45</f>
        <v>2</v>
      </c>
      <c r="J65" s="37">
        <f>[35]FormattedData!C45</f>
        <v>13.355</v>
      </c>
      <c r="K65" s="39">
        <f>$J$3+[35]FormattedData!D45*$J$4+$M$4*$J$5+[35]FormattedData!D45^2*$J$6+$M$5*$J$7</f>
        <v>30.269566177392768</v>
      </c>
      <c r="L65" s="39">
        <f>$J$3+[35]FormattedData!E45*$J$4+$M$4*$J$5+[35]FormattedData!E45^2*$J$6+$M$5*$J$7</f>
        <v>29.880535600861055</v>
      </c>
      <c r="M65" s="39">
        <f>$J$3+[35]FormattedData!F45*$J$4+$M$4*$J$5+[35]FormattedData!F45^2*$J$6+$M$5*$J$7</f>
        <v>29.977856647800877</v>
      </c>
      <c r="N65" s="39">
        <f>$J$3+[35]FormattedData!G45*$J$4+$M$4*$J$5+[35]FormattedData!G45^2*$J$6+$M$5*$J$7</f>
        <v>29.880535600861055</v>
      </c>
      <c r="O65" s="39">
        <f>$J$3+[35]FormattedData!H45*$J$4+$M$4*$J$5+[35]FormattedData!H45^2*$J$6+$M$5*$J$7</f>
        <v>30.560895290143282</v>
      </c>
      <c r="P65" s="39">
        <f>$J$3+[35]FormattedData!I45*$J$4+$M$4*$J$5+[35]FormattedData!I45^2*$J$6+$M$5*$J$7</f>
        <v>31.045598440635512</v>
      </c>
      <c r="Q65" s="39">
        <f>$J$3+[35]FormattedData!J45*$J$4+$M$4*$J$5+[35]FormattedData!J45^2*$J$6+$M$5*$J$7</f>
        <v>29.685766701367605</v>
      </c>
      <c r="R65" s="39">
        <f>$J$3+[35]FormattedData!K45*$J$4+$M$4*$J$5+[35]FormattedData!K45^2*$J$6+$M$5*$J$7</f>
        <v>29.783172285383291</v>
      </c>
      <c r="S65" s="39">
        <f>$J$3+[35]FormattedData!L45*$J$4+$M$4*$J$5+[35]FormattedData!L45^2*$J$6+$M$5*$J$7</f>
        <v>30.269566177392768</v>
      </c>
      <c r="T65" s="39">
        <f>$J$3+[35]FormattedData!M45*$J$4+$M$4*$J$5+[35]FormattedData!M45^2*$J$6+$M$5*$J$7</f>
        <v>32.204574610947894</v>
      </c>
      <c r="U65" s="39">
        <f>$J$3+[35]FormattedData!N45*$J$4+$M$4*$J$5+[35]FormattedData!N45^2*$J$6+$M$5*$J$7</f>
        <v>29.58831884881398</v>
      </c>
      <c r="V65" s="39">
        <f>$J$3+[35]FormattedData!O45*$J$4+$M$4*$J$5+[35]FormattedData!O45^2*$J$6+$M$5*$J$7</f>
        <v>29.58831884881398</v>
      </c>
      <c r="W65" s="38">
        <f>AVERAGE(K65:V65)</f>
        <v>30.227892102534501</v>
      </c>
      <c r="X65" s="37">
        <f>STDEV(K65:V65)/SQRT(COUNT(K65:V65))</f>
        <v>0.21853327084718605</v>
      </c>
      <c r="Y65" s="36">
        <f>MIN(K65:V65)</f>
        <v>29.58831884881398</v>
      </c>
      <c r="Z65" s="35">
        <f>QUARTILE(K65:V65,1)</f>
        <v>29.758820889379368</v>
      </c>
      <c r="AA65" s="36">
        <f>MEDIAN(K65:V65)</f>
        <v>29.929196124330964</v>
      </c>
      <c r="AB65" s="35">
        <f>QUARTILE(K65:V65,3)</f>
        <v>30.342398455580398</v>
      </c>
      <c r="AC65" s="35">
        <f>MAX(K65:V65)</f>
        <v>32.204574610947894</v>
      </c>
      <c r="AD65" s="35">
        <f>SKEW(K65:V65)</f>
        <v>1.8701590159480759</v>
      </c>
      <c r="AE65" s="35">
        <f>KURT(K65:V65)</f>
        <v>3.7486427286381003</v>
      </c>
    </row>
    <row r="66" spans="2:31" x14ac:dyDescent="0.2">
      <c r="B66" s="34">
        <f>[35]FormattedData!A63</f>
        <v>301</v>
      </c>
      <c r="C66" s="34" t="str">
        <f>VLOOKUP($B66,[35]TrtCodes!$B$11:I106,2)</f>
        <v>NTL</v>
      </c>
      <c r="D66" s="34">
        <f>VLOOKUP($B66,[35]TrtCodes!$B$11:J106,3)</f>
        <v>10</v>
      </c>
      <c r="E66" s="34">
        <f>VLOOKUP($B66,[35]TrtCodes!$B$11:K106,4)</f>
        <v>2</v>
      </c>
      <c r="F66" s="34">
        <f>VLOOKUP($B66,[35]TrtCodes!$B$11:L106,5)</f>
        <v>2</v>
      </c>
      <c r="G66" s="34">
        <f>VLOOKUP($B66,[35]TrtCodes!$B$11:M106,6)</f>
        <v>1</v>
      </c>
      <c r="H66" s="34">
        <f>VLOOKUP($B66,[35]TrtCodes!$B$11:N106,7)</f>
        <v>3</v>
      </c>
      <c r="I66" s="34">
        <f>[35]FormattedData!B63</f>
        <v>2</v>
      </c>
      <c r="J66" s="37">
        <f>[35]FormattedData!C63</f>
        <v>13.478</v>
      </c>
      <c r="K66" s="39">
        <f>$J$3+[35]FormattedData!D63*$J$4+$M$4*$J$5+[35]FormattedData!D63^2*$J$6+$M$5*$J$7</f>
        <v>29.977856647800877</v>
      </c>
      <c r="L66" s="39">
        <f>$J$3+[35]FormattedData!E63*$J$4+$M$4*$J$5+[35]FormattedData!E63^2*$J$6+$M$5*$J$7</f>
        <v>28.513602747220705</v>
      </c>
      <c r="M66" s="39">
        <f>$J$3+[35]FormattedData!F63*$J$4+$M$4*$J$5+[35]FormattedData!F63^2*$J$6+$M$5*$J$7</f>
        <v>29.393296338092949</v>
      </c>
      <c r="N66" s="39">
        <f>$J$3+[35]FormattedData!G63*$J$4+$M$4*$J$5+[35]FormattedData!G63^2*$J$6+$M$5*$J$7</f>
        <v>29.977856647800877</v>
      </c>
      <c r="O66" s="39">
        <f>$J$3+[35]FormattedData!H63*$J$4+$M$4*$J$5+[35]FormattedData!H63^2*$J$6+$M$5*$J$7</f>
        <v>28.317650328665184</v>
      </c>
      <c r="P66" s="39">
        <f>$J$3+[35]FormattedData!I63*$J$4+$M$4*$J$5+[35]FormattedData!I63^2*$J$6+$M$5*$J$7</f>
        <v>29.198104753220193</v>
      </c>
      <c r="Q66" s="39">
        <f>$J$3+[35]FormattedData!J63*$J$4+$M$4*$J$5+[35]FormattedData!J63^2*$J$6+$M$5*$J$7</f>
        <v>29.490828727722434</v>
      </c>
      <c r="R66" s="39">
        <f>$J$3+[35]FormattedData!K63*$J$4+$M$4*$J$5+[35]FormattedData!K63^2*$J$6+$M$5*$J$7</f>
        <v>28.317650328665184</v>
      </c>
      <c r="S66" s="39">
        <f>$J$3+[35]FormattedData!L63*$J$4+$M$4*$J$5+[35]FormattedData!L63^2*$J$6+$M$5*$J$7</f>
        <v>28.709386091624499</v>
      </c>
      <c r="T66" s="39">
        <f>$J$3+[35]FormattedData!M63*$J$4+$M$4*$J$5+[35]FormattedData!M63^2*$J$6+$M$5*$J$7</f>
        <v>29.977856647800877</v>
      </c>
      <c r="U66" s="39">
        <f>$J$3+[35]FormattedData!N63*$J$4+$M$4*$J$5+[35]FormattedData!N63^2*$J$6+$M$5*$J$7</f>
        <v>30.269566177392768</v>
      </c>
      <c r="V66" s="39">
        <f>$J$3+[35]FormattedData!O63*$J$4+$M$4*$J$5+[35]FormattedData!O63^2*$J$6+$M$5*$J$7</f>
        <v>29.198104753220193</v>
      </c>
      <c r="W66" s="38">
        <f>AVERAGE(K66:V66)</f>
        <v>29.278480015768896</v>
      </c>
      <c r="X66" s="37">
        <f>STDEV(K66:V66)/SQRT(COUNT(K66:V66))</f>
        <v>0.19992654777592064</v>
      </c>
      <c r="Y66" s="36">
        <f>MIN(K66:V66)</f>
        <v>28.317650328665184</v>
      </c>
      <c r="Z66" s="35">
        <f>QUARTILE(K66:V66,1)</f>
        <v>28.66044025552355</v>
      </c>
      <c r="AA66" s="36">
        <f>MEDIAN(K66:V66)</f>
        <v>29.295700545656572</v>
      </c>
      <c r="AB66" s="35">
        <f>QUARTILE(K66:V66,3)</f>
        <v>29.977856647800877</v>
      </c>
      <c r="AC66" s="35">
        <f>MAX(K66:V66)</f>
        <v>30.269566177392768</v>
      </c>
      <c r="AD66" s="35">
        <f>SKEW(K66:V66)</f>
        <v>-0.13006571220118412</v>
      </c>
      <c r="AE66" s="35">
        <f>KURT(K66:V66)</f>
        <v>-1.4055522789094379</v>
      </c>
    </row>
    <row r="67" spans="2:31" x14ac:dyDescent="0.2">
      <c r="B67" s="34">
        <f>[35]FormattedData!A65</f>
        <v>302</v>
      </c>
      <c r="C67" s="34" t="str">
        <f>VLOOKUP($B67,[35]TrtCodes!$B$11:I108,2)</f>
        <v>FTL</v>
      </c>
      <c r="D67" s="34">
        <f>VLOOKUP($B67,[35]TrtCodes!$B$11:J108,3)</f>
        <v>4</v>
      </c>
      <c r="E67" s="34">
        <f>VLOOKUP($B67,[35]TrtCodes!$B$11:K108,4)</f>
        <v>1</v>
      </c>
      <c r="F67" s="34">
        <f>VLOOKUP($B67,[35]TrtCodes!$B$11:L108,5)</f>
        <v>2</v>
      </c>
      <c r="G67" s="34">
        <f>VLOOKUP($B67,[35]TrtCodes!$B$11:M108,6)</f>
        <v>1</v>
      </c>
      <c r="H67" s="34">
        <f>VLOOKUP($B67,[35]TrtCodes!$B$11:N108,7)</f>
        <v>3</v>
      </c>
      <c r="I67" s="34">
        <f>[35]FormattedData!B65</f>
        <v>2</v>
      </c>
      <c r="J67" s="37">
        <f>[35]FormattedData!C65</f>
        <v>13.494</v>
      </c>
      <c r="K67" s="39">
        <f>$J$3+[35]FormattedData!D65*$J$4+$M$4*$J$5+[35]FormattedData!D65^2*$J$6+$M$5*$J$7</f>
        <v>28.905000361876571</v>
      </c>
      <c r="L67" s="39">
        <f>$J$3+[35]FormattedData!E65*$J$4+$M$4*$J$5+[35]FormattedData!E65^2*$J$6+$M$5*$J$7</f>
        <v>29.685766701367605</v>
      </c>
      <c r="M67" s="39">
        <f>$J$3+[35]FormattedData!F65*$J$4+$M$4*$J$5+[35]FormattedData!F65^2*$J$6+$M$5*$J$7</f>
        <v>30.269566177392768</v>
      </c>
      <c r="N67" s="39">
        <f>$J$3+[35]FormattedData!G65*$J$4+$M$4*$J$5+[35]FormattedData!G65^2*$J$6+$M$5*$J$7</f>
        <v>27.532149912925867</v>
      </c>
      <c r="O67" s="39">
        <f>$J$3+[35]FormattedData!H65*$J$4+$M$4*$J$5+[35]FormattedData!H65^2*$J$6+$M$5*$J$7</f>
        <v>29.100445557976915</v>
      </c>
      <c r="P67" s="39">
        <f>$J$3+[35]FormattedData!I65*$J$4+$M$4*$J$5+[35]FormattedData!I65^2*$J$6+$M$5*$J$7</f>
        <v>27.925238269098976</v>
      </c>
      <c r="Q67" s="39">
        <f>$J$3+[35]FormattedData!J65*$J$4+$M$4*$J$5+[35]FormattedData!J65^2*$J$6+$M$5*$J$7</f>
        <v>29.490828727722434</v>
      </c>
      <c r="R67" s="39">
        <f>$J$3+[35]FormattedData!K65*$J$4+$M$4*$J$5+[35]FormattedData!K65^2*$J$6+$M$5*$J$7</f>
        <v>30.463827854431045</v>
      </c>
      <c r="S67" s="39">
        <f>$J$3+[35]FormattedData!L65*$J$4+$M$4*$J$5+[35]FormattedData!L65^2*$J$6+$M$5*$J$7</f>
        <v>31.142412265120171</v>
      </c>
      <c r="T67" s="39">
        <f>$J$3+[35]FormattedData!M65*$J$4+$M$4*$J$5+[35]FormattedData!M65^2*$J$6+$M$5*$J$7</f>
        <v>28.709386091624499</v>
      </c>
      <c r="U67" s="39">
        <f>$J$3+[35]FormattedData!N65*$J$4+$M$4*$J$5+[35]FormattedData!N65^2*$J$6+$M$5*$J$7</f>
        <v>27.925238269098976</v>
      </c>
      <c r="V67" s="39">
        <f>$J$3+[35]FormattedData!O65*$J$4+$M$4*$J$5+[35]FormattedData!O65^2*$J$6+$M$5*$J$7</f>
        <v>29.295721679925535</v>
      </c>
      <c r="W67" s="38">
        <f>AVERAGE(K67:V67)</f>
        <v>29.203798489046779</v>
      </c>
      <c r="X67" s="37">
        <f>STDEV(K67:V67)/SQRT(COUNT(K67:V67))</f>
        <v>0.31638506135668476</v>
      </c>
      <c r="Y67" s="36">
        <f>MIN(K67:V67)</f>
        <v>27.532149912925867</v>
      </c>
      <c r="Z67" s="35">
        <f>QUARTILE(K67:V67,1)</f>
        <v>28.513349135993117</v>
      </c>
      <c r="AA67" s="36">
        <f>MEDIAN(K67:V67)</f>
        <v>29.198083618951223</v>
      </c>
      <c r="AB67" s="35">
        <f>QUARTILE(K67:V67,3)</f>
        <v>29.831716570373896</v>
      </c>
      <c r="AC67" s="35">
        <f>MAX(K67:V67)</f>
        <v>31.142412265120171</v>
      </c>
      <c r="AD67" s="35">
        <f>SKEW(K67:V67)</f>
        <v>0.13532879128587003</v>
      </c>
      <c r="AE67" s="35">
        <f>KURT(K67:V67)</f>
        <v>-0.62410848297670585</v>
      </c>
    </row>
    <row r="68" spans="2:31" x14ac:dyDescent="0.2">
      <c r="B68" s="34">
        <f>[35]FormattedData!A67</f>
        <v>303</v>
      </c>
      <c r="C68" s="34" t="str">
        <f>VLOOKUP($B68,[35]TrtCodes!$B$11:I110,2)</f>
        <v>NSL</v>
      </c>
      <c r="D68" s="34">
        <f>VLOOKUP($B68,[35]TrtCodes!$B$11:J110,3)</f>
        <v>8</v>
      </c>
      <c r="E68" s="34">
        <f>VLOOKUP($B68,[35]TrtCodes!$B$11:K110,4)</f>
        <v>2</v>
      </c>
      <c r="F68" s="34">
        <f>VLOOKUP($B68,[35]TrtCodes!$B$11:L110,5)</f>
        <v>1</v>
      </c>
      <c r="G68" s="34">
        <f>VLOOKUP($B68,[35]TrtCodes!$B$11:M110,6)</f>
        <v>1</v>
      </c>
      <c r="H68" s="34">
        <f>VLOOKUP($B68,[35]TrtCodes!$B$11:N110,7)</f>
        <v>3</v>
      </c>
      <c r="I68" s="34">
        <f>[35]FormattedData!B67</f>
        <v>2</v>
      </c>
      <c r="J68" s="37">
        <f>[35]FormattedData!C67</f>
        <v>13.510999999999999</v>
      </c>
      <c r="K68" s="39">
        <f>$J$3+[35]FormattedData!D67*$J$4+$M$4*$J$5+[35]FormattedData!D67^2*$J$6+$M$5*$J$7</f>
        <v>31.142412265120171</v>
      </c>
      <c r="L68" s="39">
        <f>$J$3+[35]FormattedData!E67*$J$4+$M$4*$J$5+[35]FormattedData!E67^2*$J$6+$M$5*$J$7</f>
        <v>29.977856647800877</v>
      </c>
      <c r="M68" s="39">
        <f>$J$3+[35]FormattedData!F67*$J$4+$M$4*$J$5+[35]FormattedData!F67^2*$J$6+$M$5*$J$7</f>
        <v>29.490828727722434</v>
      </c>
      <c r="N68" s="39">
        <f>$J$3+[35]FormattedData!G67*$J$4+$M$4*$J$5+[35]FormattedData!G67^2*$J$6+$M$5*$J$7</f>
        <v>30.851843986052419</v>
      </c>
      <c r="O68" s="39">
        <f>$J$3+[35]FormattedData!H67*$J$4+$M$4*$J$5+[35]FormattedData!H67^2*$J$6+$M$5*$J$7</f>
        <v>30.07513542620277</v>
      </c>
      <c r="P68" s="39">
        <f>$J$3+[35]FormattedData!I67*$J$4+$M$4*$J$5+[35]FormattedData!I67^2*$J$6+$M$5*$J$7</f>
        <v>30.948742347612932</v>
      </c>
      <c r="Q68" s="39">
        <f>$J$3+[35]FormattedData!J67*$J$4+$M$4*$J$5+[35]FormattedData!J67^2*$J$6+$M$5*$J$7</f>
        <v>30.463827854431045</v>
      </c>
      <c r="R68" s="39">
        <f>$J$3+[35]FormattedData!K67*$J$4+$M$4*$J$5+[35]FormattedData!K67^2*$J$6+$M$5*$J$7</f>
        <v>30.172371936066739</v>
      </c>
      <c r="S68" s="39">
        <f>$J$3+[35]FormattedData!L67*$J$4+$M$4*$J$5+[35]FormattedData!L67^2*$J$6+$M$5*$J$7</f>
        <v>31.91540119363188</v>
      </c>
      <c r="T68" s="39">
        <f>$J$3+[35]FormattedData!M67*$J$4+$M$4*$J$5+[35]FormattedData!M67^2*$J$6+$M$5*$J$7</f>
        <v>33.26162246368596</v>
      </c>
      <c r="U68" s="39">
        <f>$J$3+[35]FormattedData!N67*$J$4+$M$4*$J$5+[35]FormattedData!N67^2*$J$6+$M$5*$J$7</f>
        <v>36.685292616829869</v>
      </c>
      <c r="V68" s="39">
        <f>$J$3+[35]FormattedData!O67*$J$4+$M$4*$J$5+[35]FormattedData!O67^2*$J$6+$M$5*$J$7</f>
        <v>32.011834601275147</v>
      </c>
      <c r="W68" s="38">
        <f>AVERAGE(K68:V68)</f>
        <v>31.416430838869349</v>
      </c>
      <c r="X68" s="37">
        <f>STDEV(K68:V68)/SQRT(COUNT(K68:V68))</f>
        <v>0.56684492440051004</v>
      </c>
      <c r="Y68" s="36">
        <f>MIN(K68:V68)</f>
        <v>29.490828727722434</v>
      </c>
      <c r="Z68" s="35">
        <f>QUARTILE(K68:V68,1)</f>
        <v>30.148062808600748</v>
      </c>
      <c r="AA68" s="36">
        <f>MEDIAN(K68:V68)</f>
        <v>30.900293166832675</v>
      </c>
      <c r="AB68" s="35">
        <f>QUARTILE(K68:V68,3)</f>
        <v>31.939509545542698</v>
      </c>
      <c r="AC68" s="35">
        <f>MAX(K68:V68)</f>
        <v>36.685292616829869</v>
      </c>
      <c r="AD68" s="35">
        <f>SKEW(K68:V68)</f>
        <v>1.977779167246031</v>
      </c>
      <c r="AE68" s="35">
        <f>KURT(K68:V68)</f>
        <v>4.5211102019880229</v>
      </c>
    </row>
    <row r="69" spans="2:31" x14ac:dyDescent="0.2">
      <c r="B69" s="34">
        <f>[35]FormattedData!A69</f>
        <v>304</v>
      </c>
      <c r="C69" s="34" t="str">
        <f>VLOOKUP($B69,[35]TrtCodes!$B$11:I112,2)</f>
        <v>FSL</v>
      </c>
      <c r="D69" s="34">
        <f>VLOOKUP($B69,[35]TrtCodes!$B$11:J112,3)</f>
        <v>2</v>
      </c>
      <c r="E69" s="34">
        <f>VLOOKUP($B69,[35]TrtCodes!$B$11:K112,4)</f>
        <v>1</v>
      </c>
      <c r="F69" s="34">
        <f>VLOOKUP($B69,[35]TrtCodes!$B$11:L112,5)</f>
        <v>1</v>
      </c>
      <c r="G69" s="34">
        <f>VLOOKUP($B69,[35]TrtCodes!$B$11:M112,6)</f>
        <v>1</v>
      </c>
      <c r="H69" s="34">
        <f>VLOOKUP($B69,[35]TrtCodes!$B$11:N112,7)</f>
        <v>3</v>
      </c>
      <c r="I69" s="34">
        <f>[35]FormattedData!B69</f>
        <v>2</v>
      </c>
      <c r="J69" s="37">
        <f>[35]FormattedData!C69</f>
        <v>13.526999999999999</v>
      </c>
      <c r="K69" s="39">
        <f>$J$3+[35]FormattedData!D69*$J$4+$M$4*$J$5+[35]FormattedData!D69^2*$J$6+$M$5*$J$7</f>
        <v>32.10822574038049</v>
      </c>
      <c r="L69" s="39">
        <f>$J$3+[35]FormattedData!E69*$J$4+$M$4*$J$5+[35]FormattedData!E69^2*$J$6+$M$5*$J$7</f>
        <v>31.62584735947447</v>
      </c>
      <c r="M69" s="39">
        <f>$J$3+[35]FormattedData!F69*$J$4+$M$4*$J$5+[35]FormattedData!F69^2*$J$6+$M$5*$J$7</f>
        <v>30.366718150180876</v>
      </c>
      <c r="N69" s="39">
        <f>$J$3+[35]FormattedData!G69*$J$4+$M$4*$J$5+[35]FormattedData!G69^2*$J$6+$M$5*$J$7</f>
        <v>29.490828727722434</v>
      </c>
      <c r="O69" s="39">
        <f>$J$3+[35]FormattedData!H69*$J$4+$M$4*$J$5+[35]FormattedData!H69^2*$J$6+$M$5*$J$7</f>
        <v>29.393296338092949</v>
      </c>
      <c r="P69" s="39">
        <f>$J$3+[35]FormattedData!I69*$J$4+$M$4*$J$5+[35]FormattedData!I69^2*$J$6+$M$5*$J$7</f>
        <v>28.905000361876571</v>
      </c>
      <c r="Q69" s="39">
        <f>$J$3+[35]FormattedData!J69*$J$4+$M$4*$J$5+[35]FormattedData!J69^2*$J$6+$M$5*$J$7</f>
        <v>29.685766701367605</v>
      </c>
      <c r="R69" s="39">
        <f>$J$3+[35]FormattedData!K69*$J$4+$M$4*$J$5+[35]FormattedData!K69^2*$J$6+$M$5*$J$7</f>
        <v>28.219610716580529</v>
      </c>
      <c r="S69" s="39">
        <f>$J$3+[35]FormattedData!L69*$J$4+$M$4*$J$5+[35]FormattedData!L69^2*$J$6+$M$5*$J$7</f>
        <v>29.393296338092949</v>
      </c>
      <c r="T69" s="39">
        <f>$J$3+[35]FormattedData!M69*$J$4+$M$4*$J$5+[35]FormattedData!M69^2*$J$6+$M$5*$J$7</f>
        <v>30.07513542620277</v>
      </c>
      <c r="U69" s="39">
        <f>$J$3+[35]FormattedData!N69*$J$4+$M$4*$J$5+[35]FormattedData!N69^2*$J$6+$M$5*$J$7</f>
        <v>31.239183821066888</v>
      </c>
      <c r="V69" s="39">
        <f>$J$3+[35]FormattedData!O69*$J$4+$M$4*$J$5+[35]FormattedData!O69^2*$J$6+$M$5*$J$7</f>
        <v>30.463827854431045</v>
      </c>
      <c r="W69" s="38">
        <f>AVERAGE(K69:V69)</f>
        <v>30.080561461289133</v>
      </c>
      <c r="X69" s="37">
        <f>STDEV(K69:V69)/SQRT(COUNT(K69:V69))</f>
        <v>0.32987532998922059</v>
      </c>
      <c r="Y69" s="36">
        <f>MIN(K69:V69)</f>
        <v>28.219610716580529</v>
      </c>
      <c r="Z69" s="35">
        <f>QUARTILE(K69:V69,1)</f>
        <v>29.393296338092949</v>
      </c>
      <c r="AA69" s="36">
        <f>MEDIAN(K69:V69)</f>
        <v>29.880451063785188</v>
      </c>
      <c r="AB69" s="35">
        <f>QUARTILE(K69:V69,3)</f>
        <v>30.657666846090006</v>
      </c>
      <c r="AC69" s="35">
        <f>MAX(K69:V69)</f>
        <v>32.10822574038049</v>
      </c>
      <c r="AD69" s="35">
        <f>SKEW(K69:V69)</f>
        <v>0.34189133681069672</v>
      </c>
      <c r="AE69" s="35">
        <f>KURT(K69:V69)</f>
        <v>-0.43566933904132243</v>
      </c>
    </row>
    <row r="70" spans="2:31" x14ac:dyDescent="0.2">
      <c r="B70" s="34">
        <f>[35]FormattedData!A71</f>
        <v>305</v>
      </c>
      <c r="C70" s="34" t="str">
        <f>VLOOKUP($B70,[35]TrtCodes!$B$11:I114,2)</f>
        <v>NDH</v>
      </c>
      <c r="D70" s="34">
        <f>VLOOKUP($B70,[35]TrtCodes!$B$11:J114,3)</f>
        <v>11</v>
      </c>
      <c r="E70" s="34">
        <f>VLOOKUP($B70,[35]TrtCodes!$B$11:K114,4)</f>
        <v>2</v>
      </c>
      <c r="F70" s="34">
        <f>VLOOKUP($B70,[35]TrtCodes!$B$11:L114,5)</f>
        <v>3</v>
      </c>
      <c r="G70" s="34">
        <f>VLOOKUP($B70,[35]TrtCodes!$B$11:M114,6)</f>
        <v>2</v>
      </c>
      <c r="H70" s="34">
        <f>VLOOKUP($B70,[35]TrtCodes!$B$11:N114,7)</f>
        <v>4</v>
      </c>
      <c r="I70" s="34">
        <f>[35]FormattedData!B71</f>
        <v>2</v>
      </c>
      <c r="J70" s="37">
        <f>[35]FormattedData!C71</f>
        <v>13.542999999999999</v>
      </c>
      <c r="K70" s="39">
        <f>$J$3+[35]FormattedData!D71*$J$4+$M$4*$J$5+[35]FormattedData!D71^2*$J$6+$M$5*$J$7</f>
        <v>29.783172285383291</v>
      </c>
      <c r="L70" s="39">
        <f>$J$3+[35]FormattedData!E71*$J$4+$M$4*$J$5+[35]FormattedData!E71^2*$J$6+$M$5*$J$7</f>
        <v>30.851843986052419</v>
      </c>
      <c r="M70" s="39">
        <f>$J$3+[35]FormattedData!F71*$J$4+$M$4*$J$5+[35]FormattedData!F71^2*$J$6+$M$5*$J$7</f>
        <v>30.172371936066739</v>
      </c>
      <c r="N70" s="39">
        <f>$J$3+[35]FormattedData!G71*$J$4+$M$4*$J$5+[35]FormattedData!G71^2*$J$6+$M$5*$J$7</f>
        <v>32.204574610947894</v>
      </c>
      <c r="O70" s="39">
        <f>$J$3+[35]FormattedData!H71*$J$4+$M$4*$J$5+[35]FormattedData!H71^2*$J$6+$M$5*$J$7</f>
        <v>29.880535600861055</v>
      </c>
      <c r="P70" s="39">
        <f>$J$3+[35]FormattedData!I71*$J$4+$M$4*$J$5+[35]FormattedData!I71^2*$J$6+$M$5*$J$7</f>
        <v>30.754903355953971</v>
      </c>
      <c r="Q70" s="39">
        <f>$J$3+[35]FormattedData!J71*$J$4+$M$4*$J$5+[35]FormattedData!J71^2*$J$6+$M$5*$J$7</f>
        <v>30.07513542620277</v>
      </c>
      <c r="R70" s="39">
        <f>$J$3+[35]FormattedData!K71*$J$4+$M$4*$J$5+[35]FormattedData!K71^2*$J$6+$M$5*$J$7</f>
        <v>30.754903355953971</v>
      </c>
      <c r="S70" s="39">
        <f>$J$3+[35]FormattedData!L71*$J$4+$M$4*$J$5+[35]FormattedData!L71^2*$J$6+$M$5*$J$7</f>
        <v>32.397145546468934</v>
      </c>
      <c r="T70" s="39">
        <f>$J$3+[35]FormattedData!M71*$J$4+$M$4*$J$5+[35]FormattedData!M71^2*$J$6+$M$5*$J$7</f>
        <v>31.045598440635512</v>
      </c>
      <c r="U70" s="39">
        <f>$J$3+[35]FormattedData!N71*$J$4+$M$4*$J$5+[35]FormattedData!N71^2*$J$6+$M$5*$J$7</f>
        <v>30.172371936066739</v>
      </c>
      <c r="V70" s="39">
        <f>$J$3+[35]FormattedData!O71*$J$4+$M$4*$J$5+[35]FormattedData!O71^2*$J$6+$M$5*$J$7</f>
        <v>31.142412265120171</v>
      </c>
      <c r="W70" s="38">
        <f>AVERAGE(K70:V70)</f>
        <v>30.769580728809458</v>
      </c>
      <c r="X70" s="37">
        <f>STDEV(K70:V70)/SQRT(COUNT(K70:V70))</f>
        <v>0.24447742231025188</v>
      </c>
      <c r="Y70" s="36">
        <f>MIN(K70:V70)</f>
        <v>29.783172285383291</v>
      </c>
      <c r="Z70" s="35">
        <f>QUARTILE(K70:V70,1)</f>
        <v>30.148062808600748</v>
      </c>
      <c r="AA70" s="36">
        <f>MEDIAN(K70:V70)</f>
        <v>30.754903355953971</v>
      </c>
      <c r="AB70" s="35">
        <f>QUARTILE(K70:V70,3)</f>
        <v>31.069801896756676</v>
      </c>
      <c r="AC70" s="35">
        <f>MAX(K70:V70)</f>
        <v>32.397145546468934</v>
      </c>
      <c r="AD70" s="35">
        <f>SKEW(K70:V70)</f>
        <v>0.88296303345517135</v>
      </c>
      <c r="AE70" s="35">
        <f>KURT(K70:V70)</f>
        <v>5.3243162676499978E-2</v>
      </c>
    </row>
    <row r="71" spans="2:31" x14ac:dyDescent="0.2">
      <c r="B71" s="34">
        <f>[35]FormattedData!A73</f>
        <v>306</v>
      </c>
      <c r="C71" s="34" t="str">
        <f>VLOOKUP($B71,[35]TrtCodes!$B$11:I116,2)</f>
        <v>FTL</v>
      </c>
      <c r="D71" s="34">
        <f>VLOOKUP($B71,[35]TrtCodes!$B$11:J116,3)</f>
        <v>4</v>
      </c>
      <c r="E71" s="34">
        <f>VLOOKUP($B71,[35]TrtCodes!$B$11:K116,4)</f>
        <v>1</v>
      </c>
      <c r="F71" s="34">
        <f>VLOOKUP($B71,[35]TrtCodes!$B$11:L116,5)</f>
        <v>2</v>
      </c>
      <c r="G71" s="34">
        <f>VLOOKUP($B71,[35]TrtCodes!$B$11:M116,6)</f>
        <v>1</v>
      </c>
      <c r="H71" s="34">
        <f>VLOOKUP($B71,[35]TrtCodes!$B$11:N116,7)</f>
        <v>4</v>
      </c>
      <c r="I71" s="34">
        <f>[35]FormattedData!B73</f>
        <v>2</v>
      </c>
      <c r="J71" s="37">
        <f>[35]FormattedData!C73</f>
        <v>13.558999999999999</v>
      </c>
      <c r="K71" s="39">
        <f>$J$3+[35]FormattedData!D73*$J$4+$M$4*$J$5+[35]FormattedData!D73^2*$J$6+$M$5*$J$7</f>
        <v>27.925238269098976</v>
      </c>
      <c r="L71" s="39">
        <f>$J$3+[35]FormattedData!E73*$J$4+$M$4*$J$5+[35]FormattedData!E73^2*$J$6+$M$5*$J$7</f>
        <v>29.58831884881398</v>
      </c>
      <c r="M71" s="39">
        <f>$J$3+[35]FormattedData!F73*$J$4+$M$4*$J$5+[35]FormattedData!F73^2*$J$6+$M$5*$J$7</f>
        <v>28.611515553691568</v>
      </c>
      <c r="N71" s="39">
        <f>$J$3+[35]FormattedData!G73*$J$4+$M$4*$J$5+[35]FormattedData!G73^2*$J$6+$M$5*$J$7</f>
        <v>29.58831884881398</v>
      </c>
      <c r="O71" s="39">
        <f>$J$3+[35]FormattedData!H73*$J$4+$M$4*$J$5+[35]FormattedData!H73^2*$J$6+$M$5*$J$7</f>
        <v>29.393296338092949</v>
      </c>
      <c r="P71" s="39">
        <f>$J$3+[35]FormattedData!I73*$J$4+$M$4*$J$5+[35]FormattedData!I73^2*$J$6+$M$5*$J$7</f>
        <v>29.100445557976915</v>
      </c>
      <c r="Q71" s="39">
        <f>$J$3+[35]FormattedData!J73*$J$4+$M$4*$J$5+[35]FormattedData!J73^2*$J$6+$M$5*$J$7</f>
        <v>28.611515553691568</v>
      </c>
      <c r="R71" s="39">
        <f>$J$3+[35]FormattedData!K73*$J$4+$M$4*$J$5+[35]FormattedData!K73^2*$J$6+$M$5*$J$7</f>
        <v>29.295721679925535</v>
      </c>
      <c r="S71" s="39">
        <f>$J$3+[35]FormattedData!L73*$J$4+$M$4*$J$5+[35]FormattedData!L73^2*$J$6+$M$5*$J$7</f>
        <v>28.807214361019501</v>
      </c>
      <c r="T71" s="39">
        <f>$J$3+[35]FormattedData!M73*$J$4+$M$4*$J$5+[35]FormattedData!M73^2*$J$6+$M$5*$J$7</f>
        <v>31.91540119363188</v>
      </c>
      <c r="U71" s="39">
        <f>$J$3+[35]FormattedData!N73*$J$4+$M$4*$J$5+[35]FormattedData!N73^2*$J$6+$M$5*$J$7</f>
        <v>28.121528835957943</v>
      </c>
      <c r="V71" s="39">
        <f>$J$3+[35]FormattedData!O73*$J$4+$M$4*$J$5+[35]FormattedData!O73^2*$J$6+$M$5*$J$7</f>
        <v>28.905000361876571</v>
      </c>
      <c r="W71" s="38">
        <f>AVERAGE(K71:V71)</f>
        <v>29.155292950215941</v>
      </c>
      <c r="X71" s="37">
        <f>STDEV(K71:V71)/SQRT(COUNT(K71:V71))</f>
        <v>0.29425676803745149</v>
      </c>
      <c r="Y71" s="36">
        <f>MIN(K71:V71)</f>
        <v>27.925238269098976</v>
      </c>
      <c r="Z71" s="35">
        <f>QUARTILE(K71:V71,1)</f>
        <v>28.611515553691568</v>
      </c>
      <c r="AA71" s="36">
        <f>MEDIAN(K71:V71)</f>
        <v>29.002722959926743</v>
      </c>
      <c r="AB71" s="35">
        <f>QUARTILE(K71:V71,3)</f>
        <v>29.442051965773206</v>
      </c>
      <c r="AC71" s="35">
        <f>MAX(K71:V71)</f>
        <v>31.91540119363188</v>
      </c>
      <c r="AD71" s="35">
        <f>SKEW(K71:V71)</f>
        <v>1.8396038961596133</v>
      </c>
      <c r="AE71" s="35">
        <f>KURT(K71:V71)</f>
        <v>4.9773383413574379</v>
      </c>
    </row>
    <row r="72" spans="2:31" x14ac:dyDescent="0.2">
      <c r="B72" s="34">
        <f>[35]FormattedData!A75</f>
        <v>307</v>
      </c>
      <c r="C72" s="34" t="str">
        <f>VLOOKUP($B72,[35]TrtCodes!$B$11:I118,2)</f>
        <v>NTH</v>
      </c>
      <c r="D72" s="34">
        <f>VLOOKUP($B72,[35]TrtCodes!$B$11:J118,3)</f>
        <v>9</v>
      </c>
      <c r="E72" s="34">
        <f>VLOOKUP($B72,[35]TrtCodes!$B$11:K118,4)</f>
        <v>2</v>
      </c>
      <c r="F72" s="34">
        <f>VLOOKUP($B72,[35]TrtCodes!$B$11:L118,5)</f>
        <v>2</v>
      </c>
      <c r="G72" s="34">
        <f>VLOOKUP($B72,[35]TrtCodes!$B$11:M118,6)</f>
        <v>2</v>
      </c>
      <c r="H72" s="34">
        <f>VLOOKUP($B72,[35]TrtCodes!$B$11:N118,7)</f>
        <v>4</v>
      </c>
      <c r="I72" s="34">
        <f>[35]FormattedData!B75</f>
        <v>2</v>
      </c>
      <c r="J72" s="37">
        <f>[35]FormattedData!C75</f>
        <v>13.574999999999999</v>
      </c>
      <c r="K72" s="39">
        <f>$J$3+[35]FormattedData!D75*$J$4+$M$4*$J$5+[35]FormattedData!D75^2*$J$6+$M$5*$J$7</f>
        <v>29.880535600861055</v>
      </c>
      <c r="L72" s="39">
        <f>$J$3+[35]FormattedData!E75*$J$4+$M$4*$J$5+[35]FormattedData!E75^2*$J$6+$M$5*$J$7</f>
        <v>29.685766701367605</v>
      </c>
      <c r="M72" s="39">
        <f>$J$3+[35]FormattedData!F75*$J$4+$M$4*$J$5+[35]FormattedData!F75^2*$J$6+$M$5*$J$7</f>
        <v>30.07513542620277</v>
      </c>
      <c r="N72" s="39">
        <f>$J$3+[35]FormattedData!G75*$J$4+$M$4*$J$5+[35]FormattedData!G75^2*$J$6+$M$5*$J$7</f>
        <v>28.023404686797427</v>
      </c>
      <c r="O72" s="39">
        <f>$J$3+[35]FormattedData!H75*$J$4+$M$4*$J$5+[35]FormattedData!H75^2*$J$6+$M$5*$J$7</f>
        <v>30.172371936066739</v>
      </c>
      <c r="P72" s="39">
        <f>$J$3+[35]FormattedData!I75*$J$4+$M$4*$J$5+[35]FormattedData!I75^2*$J$6+$M$5*$J$7</f>
        <v>29.100445557976915</v>
      </c>
      <c r="Q72" s="39">
        <f>$J$3+[35]FormattedData!J75*$J$4+$M$4*$J$5+[35]FormattedData!J75^2*$J$6+$M$5*$J$7</f>
        <v>30.754903355953971</v>
      </c>
      <c r="R72" s="39">
        <f>$J$3+[35]FormattedData!K75*$J$4+$M$4*$J$5+[35]FormattedData!K75^2*$J$6+$M$5*$J$7</f>
        <v>29.783172285383291</v>
      </c>
      <c r="S72" s="39">
        <f>$J$3+[35]FormattedData!L75*$J$4+$M$4*$J$5+[35]FormattedData!L75^2*$J$6+$M$5*$J$7</f>
        <v>30.07513542620277</v>
      </c>
      <c r="T72" s="39">
        <f>$J$3+[35]FormattedData!M75*$J$4+$M$4*$J$5+[35]FormattedData!M75^2*$J$6+$M$5*$J$7</f>
        <v>30.754903355953971</v>
      </c>
      <c r="U72" s="39">
        <f>$J$3+[35]FormattedData!N75*$J$4+$M$4*$J$5+[35]FormattedData!N75^2*$J$6+$M$5*$J$7</f>
        <v>30.948742347612932</v>
      </c>
      <c r="V72" s="39">
        <f>$J$3+[35]FormattedData!O75*$J$4+$M$4*$J$5+[35]FormattedData!O75^2*$J$6+$M$5*$J$7</f>
        <v>30.172371936066739</v>
      </c>
      <c r="W72" s="38">
        <f>AVERAGE(K72:V72)</f>
        <v>29.952240718037178</v>
      </c>
      <c r="X72" s="37">
        <f>STDEV(K72:V72)/SQRT(COUNT(K72:V72))</f>
        <v>0.22961379686259764</v>
      </c>
      <c r="Y72" s="36">
        <f>MIN(K72:V72)</f>
        <v>28.023404686797427</v>
      </c>
      <c r="Z72" s="35">
        <f>QUARTILE(K72:V72,1)</f>
        <v>29.758820889379368</v>
      </c>
      <c r="AA72" s="36">
        <f>MEDIAN(K72:V72)</f>
        <v>30.07513542620277</v>
      </c>
      <c r="AB72" s="35">
        <f>QUARTILE(K72:V72,3)</f>
        <v>30.318004791038547</v>
      </c>
      <c r="AC72" s="35">
        <f>MAX(K72:V72)</f>
        <v>30.948742347612932</v>
      </c>
      <c r="AD72" s="35">
        <f>SKEW(K72:V72)</f>
        <v>-1.2506918053285729</v>
      </c>
      <c r="AE72" s="35">
        <f>KURT(K72:V72)</f>
        <v>2.3422496698880462</v>
      </c>
    </row>
    <row r="73" spans="2:31" x14ac:dyDescent="0.2">
      <c r="B73" s="34">
        <f>[35]FormattedData!A77</f>
        <v>308</v>
      </c>
      <c r="C73" s="34" t="str">
        <f>VLOOKUP($B73,[35]TrtCodes!$B$11:I120,2)</f>
        <v>FDH</v>
      </c>
      <c r="D73" s="34">
        <f>VLOOKUP($B73,[35]TrtCodes!$B$11:J120,3)</f>
        <v>5</v>
      </c>
      <c r="E73" s="34">
        <f>VLOOKUP($B73,[35]TrtCodes!$B$11:K120,4)</f>
        <v>1</v>
      </c>
      <c r="F73" s="34">
        <f>VLOOKUP($B73,[35]TrtCodes!$B$11:L120,5)</f>
        <v>3</v>
      </c>
      <c r="G73" s="34">
        <f>VLOOKUP($B73,[35]TrtCodes!$B$11:M120,6)</f>
        <v>2</v>
      </c>
      <c r="H73" s="34">
        <f>VLOOKUP($B73,[35]TrtCodes!$B$11:N120,7)</f>
        <v>4</v>
      </c>
      <c r="I73" s="34">
        <f>[35]FormattedData!B77</f>
        <v>2</v>
      </c>
      <c r="J73" s="37">
        <f>[35]FormattedData!C77</f>
        <v>13.59</v>
      </c>
      <c r="K73" s="39">
        <f>$J$3+[35]FormattedData!D77*$J$4+$M$4*$J$5+[35]FormattedData!D77^2*$J$6+$M$5*$J$7</f>
        <v>29.100445557976915</v>
      </c>
      <c r="L73" s="39">
        <f>$J$3+[35]FormattedData!E77*$J$4+$M$4*$J$5+[35]FormattedData!E77^2*$J$6+$M$5*$J$7</f>
        <v>29.295721679925535</v>
      </c>
      <c r="M73" s="39">
        <f>$J$3+[35]FormattedData!F77*$J$4+$M$4*$J$5+[35]FormattedData!F77^2*$J$6+$M$5*$J$7</f>
        <v>29.58831884881398</v>
      </c>
      <c r="N73" s="39">
        <f>$J$3+[35]FormattedData!G77*$J$4+$M$4*$J$5+[35]FormattedData!G77^2*$J$6+$M$5*$J$7</f>
        <v>29.490828727722434</v>
      </c>
      <c r="O73" s="39">
        <f>$J$3+[35]FormattedData!H77*$J$4+$M$4*$J$5+[35]FormattedData!H77^2*$J$6+$M$5*$J$7</f>
        <v>29.490828727722434</v>
      </c>
      <c r="P73" s="39">
        <f>$J$3+[35]FormattedData!I77*$J$4+$M$4*$J$5+[35]FormattedData!I77^2*$J$6+$M$5*$J$7</f>
        <v>30.463827854431045</v>
      </c>
      <c r="Q73" s="39">
        <f>$J$3+[35]FormattedData!J77*$J$4+$M$4*$J$5+[35]FormattedData!J77^2*$J$6+$M$5*$J$7</f>
        <v>30.269566177392768</v>
      </c>
      <c r="R73" s="39">
        <f>$J$3+[35]FormattedData!K77*$J$4+$M$4*$J$5+[35]FormattedData!K77^2*$J$6+$M$5*$J$7</f>
        <v>31.239183821066888</v>
      </c>
      <c r="S73" s="39">
        <f>$J$3+[35]FormattedData!L77*$J$4+$M$4*$J$5+[35]FormattedData!L77^2*$J$6+$M$5*$J$7</f>
        <v>29.880535600861055</v>
      </c>
      <c r="T73" s="39">
        <f>$J$3+[35]FormattedData!M77*$J$4+$M$4*$J$5+[35]FormattedData!M77^2*$J$6+$M$5*$J$7</f>
        <v>29.685766701367605</v>
      </c>
      <c r="U73" s="39">
        <f>$J$3+[35]FormattedData!N77*$J$4+$M$4*$J$5+[35]FormattedData!N77^2*$J$6+$M$5*$J$7</f>
        <v>31.239183821066888</v>
      </c>
      <c r="V73" s="39">
        <f>$J$3+[35]FormattedData!O77*$J$4+$M$4*$J$5+[35]FormattedData!O77^2*$J$6+$M$5*$J$7</f>
        <v>31.239183821066888</v>
      </c>
      <c r="W73" s="38">
        <f>AVERAGE(K73:V73)</f>
        <v>30.081949278284537</v>
      </c>
      <c r="X73" s="37">
        <f>STDEV(K73:V73)/SQRT(COUNT(K73:V73))</f>
        <v>0.22896599280001823</v>
      </c>
      <c r="Y73" s="36">
        <f>MIN(K73:V73)</f>
        <v>29.100445557976915</v>
      </c>
      <c r="Z73" s="35">
        <f>QUARTILE(K73:V73,1)</f>
        <v>29.490828727722434</v>
      </c>
      <c r="AA73" s="36">
        <f>MEDIAN(K73:V73)</f>
        <v>29.783151151114332</v>
      </c>
      <c r="AB73" s="35">
        <f>QUARTILE(K73:V73,3)</f>
        <v>30.657666846090006</v>
      </c>
      <c r="AC73" s="35">
        <f>MAX(K73:V73)</f>
        <v>31.239183821066888</v>
      </c>
      <c r="AD73" s="35">
        <f>SKEW(K73:V73)</f>
        <v>0.58510874589509421</v>
      </c>
      <c r="AE73" s="35">
        <f>KURT(K73:V73)</f>
        <v>-1.2292596122714112</v>
      </c>
    </row>
    <row r="74" spans="2:31" x14ac:dyDescent="0.2">
      <c r="B74" s="34">
        <f>[35]FormattedData!A93</f>
        <v>401</v>
      </c>
      <c r="C74" s="34" t="str">
        <f>VLOOKUP($B74,[35]TrtCodes!$B$11:I130,2)</f>
        <v>NSH</v>
      </c>
      <c r="D74" s="34">
        <f>VLOOKUP($B74,[35]TrtCodes!$B$11:J130,3)</f>
        <v>7</v>
      </c>
      <c r="E74" s="34">
        <f>VLOOKUP($B74,[35]TrtCodes!$B$11:K130,4)</f>
        <v>2</v>
      </c>
      <c r="F74" s="34">
        <f>VLOOKUP($B74,[35]TrtCodes!$B$11:L130,5)</f>
        <v>1</v>
      </c>
      <c r="G74" s="34">
        <f>VLOOKUP($B74,[35]TrtCodes!$B$11:M130,6)</f>
        <v>2</v>
      </c>
      <c r="H74" s="34">
        <f>VLOOKUP($B74,[35]TrtCodes!$B$11:N130,7)</f>
        <v>3</v>
      </c>
      <c r="I74" s="34">
        <f>[35]FormattedData!B93</f>
        <v>2</v>
      </c>
      <c r="J74" s="37">
        <f>[35]FormattedData!C93</f>
        <v>13.728999999999999</v>
      </c>
      <c r="K74" s="39">
        <f>$J$3+[35]FormattedData!D93*$J$4+$M$4*$J$5+[35]FormattedData!D93^2*$J$6+$M$5*$J$7</f>
        <v>31.91540119363188</v>
      </c>
      <c r="L74" s="39">
        <f>$J$3+[35]FormattedData!E93*$J$4+$M$4*$J$5+[35]FormattedData!E93^2*$J$6+$M$5*$J$7</f>
        <v>36.307590008463698</v>
      </c>
      <c r="M74" s="39">
        <f>$J$3+[35]FormattedData!F93*$J$4+$M$4*$J$5+[35]FormattedData!F93^2*$J$6+$M$5*$J$7</f>
        <v>33.357464111798201</v>
      </c>
      <c r="N74" s="39">
        <f>$J$3+[35]FormattedData!G93*$J$4+$M$4*$J$5+[35]FormattedData!G93^2*$J$6+$M$5*$J$7</f>
        <v>31.62584735947447</v>
      </c>
      <c r="O74" s="39">
        <f>$J$3+[35]FormattedData!H93*$J$4+$M$4*$J$5+[35]FormattedData!H93^2*$J$6+$M$5*$J$7</f>
        <v>35.360374689893085</v>
      </c>
      <c r="P74" s="39">
        <f>$J$3+[35]FormattedData!I93*$J$4+$M$4*$J$5+[35]FormattedData!I93^2*$J$6+$M$5*$J$7</f>
        <v>31.432600127346543</v>
      </c>
      <c r="Q74" s="39">
        <f>$J$3+[35]FormattedData!J93*$J$4+$M$4*$J$5+[35]FormattedData!J93^2*$J$6+$M$5*$J$7</f>
        <v>33.357464111798201</v>
      </c>
      <c r="R74" s="39">
        <f>$J$3+[35]FormattedData!K93*$J$4+$M$4*$J$5+[35]FormattedData!K93^2*$J$6+$M$5*$J$7</f>
        <v>33.93162636117507</v>
      </c>
      <c r="S74" s="39">
        <f>$J$3+[35]FormattedData!L93*$J$4+$M$4*$J$5+[35]FormattedData!L93^2*$J$6+$M$5*$J$7</f>
        <v>34.694808988886741</v>
      </c>
      <c r="T74" s="39">
        <f>$J$3+[35]FormattedData!M93*$J$4+$M$4*$J$5+[35]FormattedData!M93^2*$J$6+$M$5*$J$7</f>
        <v>35.075385857832238</v>
      </c>
      <c r="U74" s="39">
        <f>$J$3+[35]FormattedData!N93*$J$4+$M$4*$J$5+[35]FormattedData!N93^2*$J$6+$M$5*$J$7</f>
        <v>37.720487635457538</v>
      </c>
      <c r="V74" s="39">
        <f>$J$3+[35]FormattedData!O93*$J$4+$M$4*$J$5+[35]FormattedData!O93^2*$J$6+$M$5*$J$7</f>
        <v>37.438668943741526</v>
      </c>
      <c r="W74" s="38">
        <f>AVERAGE(K74:V74)</f>
        <v>34.351476615791604</v>
      </c>
      <c r="X74" s="37">
        <f>STDEV(K74:V74)/SQRT(COUNT(K74:V74))</f>
        <v>0.61793229605517763</v>
      </c>
      <c r="Y74" s="36">
        <f>MIN(K74:V74)</f>
        <v>31.432600127346543</v>
      </c>
      <c r="Z74" s="35">
        <f>QUARTILE(K74:V74,1)</f>
        <v>32.996948382256619</v>
      </c>
      <c r="AA74" s="36">
        <f>MEDIAN(K74:V74)</f>
        <v>34.313217675030906</v>
      </c>
      <c r="AB74" s="35">
        <f>QUARTILE(K74:V74,3)</f>
        <v>35.597178519535738</v>
      </c>
      <c r="AC74" s="35">
        <f>MAX(K74:V74)</f>
        <v>37.720487635457538</v>
      </c>
      <c r="AD74" s="35">
        <f>SKEW(K74:V74)</f>
        <v>0.16662999566041831</v>
      </c>
      <c r="AE74" s="35">
        <f>KURT(K74:V74)</f>
        <v>-1.0266759332428821</v>
      </c>
    </row>
    <row r="75" spans="2:31" x14ac:dyDescent="0.2">
      <c r="B75" s="34">
        <f>[35]FormattedData!A91</f>
        <v>402</v>
      </c>
      <c r="C75" s="34" t="str">
        <f>VLOOKUP($B75,[35]TrtCodes!$B$11:I131,2)</f>
        <v>NTH</v>
      </c>
      <c r="D75" s="34">
        <f>VLOOKUP($B75,[35]TrtCodes!$B$11:J131,3)</f>
        <v>9</v>
      </c>
      <c r="E75" s="34">
        <f>VLOOKUP($B75,[35]TrtCodes!$B$11:K131,4)</f>
        <v>2</v>
      </c>
      <c r="F75" s="34">
        <f>VLOOKUP($B75,[35]TrtCodes!$B$11:L131,5)</f>
        <v>2</v>
      </c>
      <c r="G75" s="34">
        <f>VLOOKUP($B75,[35]TrtCodes!$B$11:M131,6)</f>
        <v>2</v>
      </c>
      <c r="H75" s="34">
        <f>VLOOKUP($B75,[35]TrtCodes!$B$11:N131,7)</f>
        <v>3</v>
      </c>
      <c r="I75" s="34">
        <f>[35]FormattedData!B91</f>
        <v>2</v>
      </c>
      <c r="J75" s="37">
        <f>[35]FormattedData!C91</f>
        <v>13.712</v>
      </c>
      <c r="K75" s="39">
        <f>$J$3+[35]FormattedData!D91*$J$4+$M$4*$J$5+[35]FormattedData!D91^2*$J$6+$M$5*$J$7</f>
        <v>33.740408018867832</v>
      </c>
      <c r="L75" s="39">
        <f>$J$3+[35]FormattedData!E91*$J$4+$M$4*$J$5+[35]FormattedData!E91^2*$J$6+$M$5*$J$7</f>
        <v>30.366718150180876</v>
      </c>
      <c r="M75" s="39">
        <f>$J$3+[35]FormattedData!F91*$J$4+$M$4*$J$5+[35]FormattedData!F91^2*$J$6+$M$5*$J$7</f>
        <v>32.589547407838232</v>
      </c>
      <c r="N75" s="39">
        <f>$J$3+[35]FormattedData!G91*$J$4+$M$4*$J$5+[35]FormattedData!G91^2*$J$6+$M$5*$J$7</f>
        <v>31.529244877679474</v>
      </c>
      <c r="O75" s="39">
        <f>$J$3+[35]FormattedData!H91*$J$4+$M$4*$J$5+[35]FormattedData!H91^2*$J$6+$M$5*$J$7</f>
        <v>35.45528643017083</v>
      </c>
      <c r="P75" s="39">
        <f>$J$3+[35]FormattedData!I91*$J$4+$M$4*$J$5+[35]FormattedData!I91^2*$J$6+$M$5*$J$7</f>
        <v>32.204574610947894</v>
      </c>
      <c r="Q75" s="39">
        <f>$J$3+[35]FormattedData!J91*$J$4+$M$4*$J$5+[35]FormattedData!J91^2*$J$6+$M$5*$J$7</f>
        <v>34.02717212952178</v>
      </c>
      <c r="R75" s="39">
        <f>$J$3+[35]FormattedData!K91*$J$4+$M$4*$J$5+[35]FormattedData!K91^2*$J$6+$M$5*$J$7</f>
        <v>31.722407572731534</v>
      </c>
      <c r="S75" s="39">
        <f>$J$3+[35]FormattedData!L91*$J$4+$M$4*$J$5+[35]FormattedData!L91^2*$J$6+$M$5*$J$7</f>
        <v>36.118485093053025</v>
      </c>
      <c r="T75" s="39">
        <f>$J$3+[35]FormattedData!M91*$J$4+$M$4*$J$5+[35]FormattedData!M91^2*$J$6+$M$5*$J$7</f>
        <v>34.790016608930017</v>
      </c>
      <c r="U75" s="39">
        <f>$J$3+[35]FormattedData!N91*$J$4+$M$4*$J$5+[35]FormattedData!N91^2*$J$6+$M$5*$J$7</f>
        <v>36.40207906336213</v>
      </c>
      <c r="V75" s="39">
        <f>$J$3+[35]FormattedData!O91*$J$4+$M$4*$J$5+[35]FormattedData!O91^2*$J$6+$M$5*$J$7</f>
        <v>33.549020602408874</v>
      </c>
      <c r="W75" s="38">
        <f>AVERAGE(K75:V75)</f>
        <v>33.541246713807716</v>
      </c>
      <c r="X75" s="37">
        <f>STDEV(K75:V75)/SQRT(COUNT(K75:V75))</f>
        <v>0.55358149013758051</v>
      </c>
      <c r="Y75" s="36">
        <f>MIN(K75:V75)</f>
        <v>30.366718150180876</v>
      </c>
      <c r="Z75" s="35">
        <f>QUARTILE(K75:V75,1)</f>
        <v>32.0840328513938</v>
      </c>
      <c r="AA75" s="36">
        <f>MEDIAN(K75:V75)</f>
        <v>33.644714310638349</v>
      </c>
      <c r="AB75" s="35">
        <f>QUARTILE(K75:V75,3)</f>
        <v>34.956334064240224</v>
      </c>
      <c r="AC75" s="35">
        <f>MAX(K75:V75)</f>
        <v>36.40207906336213</v>
      </c>
      <c r="AD75" s="35">
        <f>SKEW(K75:V75)</f>
        <v>3.2613589586717078E-3</v>
      </c>
      <c r="AE75" s="35">
        <f>KURT(K75:V75)</f>
        <v>-1.0047954989357537</v>
      </c>
    </row>
    <row r="76" spans="2:31" x14ac:dyDescent="0.2">
      <c r="B76" s="34">
        <f>[35]FormattedData!A89</f>
        <v>403</v>
      </c>
      <c r="C76" s="34" t="str">
        <f>VLOOKUP($B76,[35]TrtCodes!$B$11:I132,2)</f>
        <v>FDL</v>
      </c>
      <c r="D76" s="34">
        <f>VLOOKUP($B76,[35]TrtCodes!$B$11:J132,3)</f>
        <v>6</v>
      </c>
      <c r="E76" s="34">
        <f>VLOOKUP($B76,[35]TrtCodes!$B$11:K132,4)</f>
        <v>1</v>
      </c>
      <c r="F76" s="34">
        <f>VLOOKUP($B76,[35]TrtCodes!$B$11:L132,5)</f>
        <v>3</v>
      </c>
      <c r="G76" s="34">
        <f>VLOOKUP($B76,[35]TrtCodes!$B$11:M132,6)</f>
        <v>1</v>
      </c>
      <c r="H76" s="34">
        <f>VLOOKUP($B76,[35]TrtCodes!$B$11:N132,7)</f>
        <v>3</v>
      </c>
      <c r="I76" s="34">
        <f>[35]FormattedData!B89</f>
        <v>2</v>
      </c>
      <c r="J76" s="37">
        <f>[35]FormattedData!C89</f>
        <v>13.696999999999999</v>
      </c>
      <c r="K76" s="39">
        <f>$J$3+[35]FormattedData!D89*$J$4+$M$4*$J$5+[35]FormattedData!D89^2*$J$6+$M$5*$J$7</f>
        <v>27.728778628088282</v>
      </c>
      <c r="L76" s="39">
        <f>$J$3+[35]FormattedData!E89*$J$4+$M$4*$J$5+[35]FormattedData!E89^2*$J$6+$M$5*$J$7</f>
        <v>27.925238269098976</v>
      </c>
      <c r="M76" s="39">
        <f>$J$3+[35]FormattedData!F89*$J$4+$M$4*$J$5+[35]FormattedData!F89^2*$J$6+$M$5*$J$7</f>
        <v>29.295721679925535</v>
      </c>
      <c r="N76" s="39">
        <f>$J$3+[35]FormattedData!G89*$J$4+$M$4*$J$5+[35]FormattedData!G89^2*$J$6+$M$5*$J$7</f>
        <v>28.023404686797427</v>
      </c>
      <c r="O76" s="39">
        <f>$J$3+[35]FormattedData!H89*$J$4+$M$4*$J$5+[35]FormattedData!H89^2*$J$6+$M$5*$J$7</f>
        <v>32.204574610947894</v>
      </c>
      <c r="P76" s="39">
        <f>$J$3+[35]FormattedData!I89*$J$4+$M$4*$J$5+[35]FormattedData!I89^2*$J$6+$M$5*$J$7</f>
        <v>29.295721679925535</v>
      </c>
      <c r="Q76" s="39">
        <f>$J$3+[35]FormattedData!J89*$J$4+$M$4*$J$5+[35]FormattedData!J89^2*$J$6+$M$5*$J$7</f>
        <v>29.783172285383291</v>
      </c>
      <c r="R76" s="39">
        <f>$J$3+[35]FormattedData!K89*$J$4+$M$4*$J$5+[35]FormattedData!K89^2*$J$6+$M$5*$J$7</f>
        <v>27.236889826147756</v>
      </c>
      <c r="S76" s="39">
        <f>$J$3+[35]FormattedData!L89*$J$4+$M$4*$J$5+[35]FormattedData!L89^2*$J$6+$M$5*$J$7</f>
        <v>27.728778628088282</v>
      </c>
      <c r="T76" s="39">
        <f>$J$3+[35]FormattedData!M89*$J$4+$M$4*$J$5+[35]FormattedData!M89^2*$J$6+$M$5*$J$7</f>
        <v>29.002744094195709</v>
      </c>
      <c r="U76" s="39">
        <f>$J$3+[35]FormattedData!N89*$J$4+$M$4*$J$5+[35]FormattedData!N89^2*$J$6+$M$5*$J$7</f>
        <v>29.685766701367605</v>
      </c>
      <c r="V76" s="39">
        <f>$J$3+[35]FormattedData!O89*$J$4+$M$4*$J$5+[35]FormattedData!O89^2*$J$6+$M$5*$J$7</f>
        <v>27.236889826147756</v>
      </c>
      <c r="W76" s="38">
        <f>AVERAGE(K76:V76)</f>
        <v>28.762306743009503</v>
      </c>
      <c r="X76" s="37">
        <f>STDEV(K76:V76)/SQRT(COUNT(K76:V76))</f>
        <v>0.41201500489817638</v>
      </c>
      <c r="Y76" s="36">
        <f>MIN(K76:V76)</f>
        <v>27.236889826147756</v>
      </c>
      <c r="Z76" s="35">
        <f>QUARTILE(K76:V76,1)</f>
        <v>27.728778628088282</v>
      </c>
      <c r="AA76" s="36">
        <f>MEDIAN(K76:V76)</f>
        <v>28.51307439049657</v>
      </c>
      <c r="AB76" s="35">
        <f>QUARTILE(K76:V76,3)</f>
        <v>29.393232935286051</v>
      </c>
      <c r="AC76" s="35">
        <f>MAX(K76:V76)</f>
        <v>32.204574610947894</v>
      </c>
      <c r="AD76" s="35">
        <f>SKEW(K76:V76)</f>
        <v>1.2254488233063778</v>
      </c>
      <c r="AE76" s="35">
        <f>KURT(K76:V76)</f>
        <v>1.9011725221934697</v>
      </c>
    </row>
    <row r="77" spans="2:31" x14ac:dyDescent="0.2">
      <c r="B77" s="34">
        <f>[35]FormattedData!A87</f>
        <v>404</v>
      </c>
      <c r="C77" s="34" t="str">
        <f>VLOOKUP($B77,[35]TrtCodes!$B$11:I130,2)</f>
        <v>FTH</v>
      </c>
      <c r="D77" s="34">
        <f>VLOOKUP($B77,[35]TrtCodes!$B$11:J130,3)</f>
        <v>3</v>
      </c>
      <c r="E77" s="34">
        <f>VLOOKUP($B77,[35]TrtCodes!$B$11:K130,4)</f>
        <v>1</v>
      </c>
      <c r="F77" s="34">
        <f>VLOOKUP($B77,[35]TrtCodes!$B$11:L130,5)</f>
        <v>2</v>
      </c>
      <c r="G77" s="34">
        <f>VLOOKUP($B77,[35]TrtCodes!$B$11:M130,6)</f>
        <v>2</v>
      </c>
      <c r="H77" s="34">
        <f>VLOOKUP($B77,[35]TrtCodes!$B$11:N130,7)</f>
        <v>3</v>
      </c>
      <c r="I77" s="34">
        <f>[35]FormattedData!B87</f>
        <v>2</v>
      </c>
      <c r="J77" s="37">
        <f>[35]FormattedData!C87</f>
        <v>13.680999999999999</v>
      </c>
      <c r="K77" s="39">
        <f>$J$3+[35]FormattedData!D87*$J$4+$M$4*$J$5+[35]FormattedData!D87^2*$J$6+$M$5*$J$7</f>
        <v>29.58831884881398</v>
      </c>
      <c r="L77" s="39">
        <f>$J$3+[35]FormattedData!E87*$J$4+$M$4*$J$5+[35]FormattedData!E87^2*$J$6+$M$5*$J$7</f>
        <v>29.783172285383291</v>
      </c>
      <c r="M77" s="39">
        <f>$J$3+[35]FormattedData!F87*$J$4+$M$4*$J$5+[35]FormattedData!F87^2*$J$6+$M$5*$J$7</f>
        <v>31.045598440635512</v>
      </c>
      <c r="N77" s="39">
        <f>$J$3+[35]FormattedData!G87*$J$4+$M$4*$J$5+[35]FormattedData!G87^2*$J$6+$M$5*$J$7</f>
        <v>30.172371936066739</v>
      </c>
      <c r="O77" s="39">
        <f>$J$3+[35]FormattedData!H87*$J$4+$M$4*$J$5+[35]FormattedData!H87^2*$J$6+$M$5*$J$7</f>
        <v>34.218136860601426</v>
      </c>
      <c r="P77" s="39">
        <f>$J$3+[35]FormattedData!I87*$J$4+$M$4*$J$5+[35]FormattedData!I87^2*$J$6+$M$5*$J$7</f>
        <v>28.611515553691568</v>
      </c>
      <c r="Q77" s="39">
        <f>$J$3+[35]FormattedData!J87*$J$4+$M$4*$J$5+[35]FormattedData!J87^2*$J$6+$M$5*$J$7</f>
        <v>28.807214361019501</v>
      </c>
      <c r="R77" s="39">
        <f>$J$3+[35]FormattedData!K87*$J$4+$M$4*$J$5+[35]FormattedData!K87^2*$J$6+$M$5*$J$7</f>
        <v>28.905000361876571</v>
      </c>
      <c r="S77" s="39">
        <f>$J$3+[35]FormattedData!L87*$J$4+$M$4*$J$5+[35]FormattedData!L87^2*$J$6+$M$5*$J$7</f>
        <v>30.851843986052419</v>
      </c>
      <c r="T77" s="39">
        <f>$J$3+[35]FormattedData!M87*$J$4+$M$4*$J$5+[35]FormattedData!M87^2*$J$6+$M$5*$J$7</f>
        <v>28.611515553691568</v>
      </c>
      <c r="U77" s="39">
        <f>$J$3+[35]FormattedData!N87*$J$4+$M$4*$J$5+[35]FormattedData!N87^2*$J$6+$M$5*$J$7</f>
        <v>28.611515553691568</v>
      </c>
      <c r="V77" s="39">
        <f>$J$3+[35]FormattedData!O87*$J$4+$M$4*$J$5+[35]FormattedData!O87^2*$J$6+$M$5*$J$7</f>
        <v>28.611515553691568</v>
      </c>
      <c r="W77" s="38">
        <f>AVERAGE(K77:V77)</f>
        <v>29.818143274601308</v>
      </c>
      <c r="X77" s="37">
        <f>STDEV(K77:V77)/SQRT(COUNT(K77:V77))</f>
        <v>0.47509374002102772</v>
      </c>
      <c r="Y77" s="36">
        <f>MIN(K77:V77)</f>
        <v>28.611515553691568</v>
      </c>
      <c r="Z77" s="35">
        <f>QUARTILE(K77:V77,1)</f>
        <v>28.611515553691568</v>
      </c>
      <c r="AA77" s="36">
        <f>MEDIAN(K77:V77)</f>
        <v>29.246659605345275</v>
      </c>
      <c r="AB77" s="35">
        <f>QUARTILE(K77:V77,3)</f>
        <v>30.342239948563158</v>
      </c>
      <c r="AC77" s="35">
        <f>MAX(K77:V77)</f>
        <v>34.218136860601426</v>
      </c>
      <c r="AD77" s="35">
        <f>SKEW(K77:V77)</f>
        <v>1.9418475351617088</v>
      </c>
      <c r="AE77" s="35">
        <f>KURT(K77:V77)</f>
        <v>4.3102414683633548</v>
      </c>
    </row>
    <row r="78" spans="2:31" x14ac:dyDescent="0.2">
      <c r="B78" s="34">
        <f>[35]FormattedData!A85</f>
        <v>405</v>
      </c>
      <c r="C78" s="34" t="str">
        <f>VLOOKUP($B78,[35]TrtCodes!$B$11:I128,2)</f>
        <v>FDL</v>
      </c>
      <c r="D78" s="34">
        <f>VLOOKUP($B78,[35]TrtCodes!$B$11:J128,3)</f>
        <v>6</v>
      </c>
      <c r="E78" s="34">
        <f>VLOOKUP($B78,[35]TrtCodes!$B$11:K128,4)</f>
        <v>1</v>
      </c>
      <c r="F78" s="34">
        <f>VLOOKUP($B78,[35]TrtCodes!$B$11:L128,5)</f>
        <v>3</v>
      </c>
      <c r="G78" s="34">
        <f>VLOOKUP($B78,[35]TrtCodes!$B$11:M128,6)</f>
        <v>1</v>
      </c>
      <c r="H78" s="34">
        <f>VLOOKUP($B78,[35]TrtCodes!$B$11:N128,7)</f>
        <v>4</v>
      </c>
      <c r="I78" s="34">
        <f>[35]FormattedData!B85</f>
        <v>2</v>
      </c>
      <c r="J78" s="37">
        <f>[35]FormattedData!C85</f>
        <v>13.664999999999999</v>
      </c>
      <c r="K78" s="39">
        <f>$J$3+[35]FormattedData!D85*$J$4+$M$4*$J$5+[35]FormattedData!D85^2*$J$6+$M$5*$J$7</f>
        <v>30.172371936066739</v>
      </c>
      <c r="L78" s="39">
        <f>$J$3+[35]FormattedData!E85*$J$4+$M$4*$J$5+[35]FormattedData!E85^2*$J$6+$M$5*$J$7</f>
        <v>28.611515553691568</v>
      </c>
      <c r="M78" s="39">
        <f>$J$3+[35]FormattedData!F85*$J$4+$M$4*$J$5+[35]FormattedData!F85^2*$J$6+$M$5*$J$7</f>
        <v>29.002744094195709</v>
      </c>
      <c r="N78" s="39">
        <f>$J$3+[35]FormattedData!G85*$J$4+$M$4*$J$5+[35]FormattedData!G85^2*$J$6+$M$5*$J$7</f>
        <v>30.172371936066739</v>
      </c>
      <c r="O78" s="39">
        <f>$J$3+[35]FormattedData!H85*$J$4+$M$4*$J$5+[35]FormattedData!H85^2*$J$6+$M$5*$J$7</f>
        <v>28.317650328665184</v>
      </c>
      <c r="P78" s="39">
        <f>$J$3+[35]FormattedData!I85*$J$4+$M$4*$J$5+[35]FormattedData!I85^2*$J$6+$M$5*$J$7</f>
        <v>28.415647672211911</v>
      </c>
      <c r="Q78" s="39">
        <f>$J$3+[35]FormattedData!J85*$J$4+$M$4*$J$5+[35]FormattedData!J85^2*$J$6+$M$5*$J$7</f>
        <v>29.295721679925535</v>
      </c>
      <c r="R78" s="39">
        <f>$J$3+[35]FormattedData!K85*$J$4+$M$4*$J$5+[35]FormattedData!K85^2*$J$6+$M$5*$J$7</f>
        <v>30.754903355953971</v>
      </c>
      <c r="S78" s="39">
        <f>$J$3+[35]FormattedData!L85*$J$4+$M$4*$J$5+[35]FormattedData!L85^2*$J$6+$M$5*$J$7</f>
        <v>28.317650328665184</v>
      </c>
      <c r="T78" s="39">
        <f>$J$3+[35]FormattedData!M85*$J$4+$M$4*$J$5+[35]FormattedData!M85^2*$J$6+$M$5*$J$7</f>
        <v>27.925238269098976</v>
      </c>
      <c r="U78" s="39">
        <f>$J$3+[35]FormattedData!N85*$J$4+$M$4*$J$5+[35]FormattedData!N85^2*$J$6+$M$5*$J$7</f>
        <v>29.490828727722434</v>
      </c>
      <c r="V78" s="39">
        <f>$J$3+[35]FormattedData!O85*$J$4+$M$4*$J$5+[35]FormattedData!O85^2*$J$6+$M$5*$J$7</f>
        <v>28.023404686797427</v>
      </c>
      <c r="W78" s="38">
        <f>AVERAGE(K78:V78)</f>
        <v>29.041670714088454</v>
      </c>
      <c r="X78" s="37">
        <f>STDEV(K78:V78)/SQRT(COUNT(K78:V78))</f>
        <v>0.27064139785388308</v>
      </c>
      <c r="Y78" s="36">
        <f>MIN(K78:V78)</f>
        <v>27.925238269098976</v>
      </c>
      <c r="Z78" s="35">
        <f>QUARTILE(K78:V78,1)</f>
        <v>28.317650328665184</v>
      </c>
      <c r="AA78" s="36">
        <f>MEDIAN(K78:V78)</f>
        <v>28.80712982394364</v>
      </c>
      <c r="AB78" s="35">
        <f>QUARTILE(K78:V78,3)</f>
        <v>29.661214529808511</v>
      </c>
      <c r="AC78" s="35">
        <f>MAX(K78:V78)</f>
        <v>30.754903355953971</v>
      </c>
      <c r="AD78" s="35">
        <f>SKEW(K78:V78)</f>
        <v>0.59511546467779386</v>
      </c>
      <c r="AE78" s="35">
        <f>KURT(K78:V78)</f>
        <v>-0.91369178592047451</v>
      </c>
    </row>
    <row r="79" spans="2:31" x14ac:dyDescent="0.2">
      <c r="B79" s="34">
        <f>[35]FormattedData!A83</f>
        <v>406</v>
      </c>
      <c r="C79" s="34" t="str">
        <f>VLOOKUP($B79,[35]TrtCodes!$B$11:I126,2)</f>
        <v>FTH</v>
      </c>
      <c r="D79" s="34">
        <f>VLOOKUP($B79,[35]TrtCodes!$B$11:J126,3)</f>
        <v>3</v>
      </c>
      <c r="E79" s="34">
        <f>VLOOKUP($B79,[35]TrtCodes!$B$11:K126,4)</f>
        <v>1</v>
      </c>
      <c r="F79" s="34">
        <f>VLOOKUP($B79,[35]TrtCodes!$B$11:L126,5)</f>
        <v>2</v>
      </c>
      <c r="G79" s="34">
        <f>VLOOKUP($B79,[35]TrtCodes!$B$11:M126,6)</f>
        <v>2</v>
      </c>
      <c r="H79" s="34">
        <f>VLOOKUP($B79,[35]TrtCodes!$B$11:N126,7)</f>
        <v>4</v>
      </c>
      <c r="I79" s="34">
        <f>[35]FormattedData!B83</f>
        <v>2</v>
      </c>
      <c r="J79" s="37">
        <f>[35]FormattedData!C83</f>
        <v>13.648</v>
      </c>
      <c r="K79" s="39">
        <f>$J$3+[35]FormattedData!D83*$J$4+$M$4*$J$5+[35]FormattedData!D83^2*$J$6+$M$5*$J$7</f>
        <v>29.198104753220193</v>
      </c>
      <c r="L79" s="39">
        <f>$J$3+[35]FormattedData!E83*$J$4+$M$4*$J$5+[35]FormattedData!E83^2*$J$6+$M$5*$J$7</f>
        <v>29.198104753220193</v>
      </c>
      <c r="M79" s="39">
        <f>$J$3+[35]FormattedData!F83*$J$4+$M$4*$J$5+[35]FormattedData!F83^2*$J$6+$M$5*$J$7</f>
        <v>28.905000361876571</v>
      </c>
      <c r="N79" s="39">
        <f>$J$3+[35]FormattedData!G83*$J$4+$M$4*$J$5+[35]FormattedData!G83^2*$J$6+$M$5*$J$7</f>
        <v>29.295721679925535</v>
      </c>
      <c r="O79" s="39">
        <f>$J$3+[35]FormattedData!H83*$J$4+$M$4*$J$5+[35]FormattedData!H83^2*$J$6+$M$5*$J$7</f>
        <v>31.62584735947447</v>
      </c>
      <c r="P79" s="39">
        <f>$J$3+[35]FormattedData!I83*$J$4+$M$4*$J$5+[35]FormattedData!I83^2*$J$6+$M$5*$J$7</f>
        <v>29.100445557976915</v>
      </c>
      <c r="Q79" s="39">
        <f>$J$3+[35]FormattedData!J83*$J$4+$M$4*$J$5+[35]FormattedData!J83^2*$J$6+$M$5*$J$7</f>
        <v>28.905000361876571</v>
      </c>
      <c r="R79" s="39">
        <f>$J$3+[35]FormattedData!K83*$J$4+$M$4*$J$5+[35]FormattedData!K83^2*$J$6+$M$5*$J$7</f>
        <v>28.023404686797427</v>
      </c>
      <c r="S79" s="39">
        <f>$J$3+[35]FormattedData!L83*$J$4+$M$4*$J$5+[35]FormattedData!L83^2*$J$6+$M$5*$J$7</f>
        <v>29.977856647800877</v>
      </c>
      <c r="T79" s="39">
        <f>$J$3+[35]FormattedData!M83*$J$4+$M$4*$J$5+[35]FormattedData!M83^2*$J$6+$M$5*$J$7</f>
        <v>30.172371936066739</v>
      </c>
      <c r="U79" s="39">
        <f>$J$3+[35]FormattedData!N83*$J$4+$M$4*$J$5+[35]FormattedData!N83^2*$J$6+$M$5*$J$7</f>
        <v>28.513602747220705</v>
      </c>
      <c r="V79" s="39">
        <f>$J$3+[35]FormattedData!O83*$J$4+$M$4*$J$5+[35]FormattedData!O83^2*$J$6+$M$5*$J$7</f>
        <v>29.100445557976915</v>
      </c>
      <c r="W79" s="38">
        <f>AVERAGE(K79:V79)</f>
        <v>29.334658866952761</v>
      </c>
      <c r="X79" s="37">
        <f>STDEV(K79:V79)/SQRT(COUNT(K79:V79))</f>
        <v>0.26509384734895974</v>
      </c>
      <c r="Y79" s="36">
        <f>MIN(K79:V79)</f>
        <v>28.023404686797427</v>
      </c>
      <c r="Z79" s="35">
        <f>QUARTILE(K79:V79,1)</f>
        <v>28.905000361876571</v>
      </c>
      <c r="AA79" s="36">
        <f>MEDIAN(K79:V79)</f>
        <v>29.149275155598552</v>
      </c>
      <c r="AB79" s="35">
        <f>QUARTILE(K79:V79,3)</f>
        <v>29.46625542189437</v>
      </c>
      <c r="AC79" s="35">
        <f>MAX(K79:V79)</f>
        <v>31.62584735947447</v>
      </c>
      <c r="AD79" s="35">
        <f>SKEW(K79:V79)</f>
        <v>1.3923745672012371</v>
      </c>
      <c r="AE79" s="35">
        <f>KURT(K79:V79)</f>
        <v>2.9922599267629613</v>
      </c>
    </row>
    <row r="80" spans="2:31" x14ac:dyDescent="0.2">
      <c r="B80" s="34">
        <f>[35]FormattedData!A81</f>
        <v>407</v>
      </c>
      <c r="C80" s="34" t="str">
        <f>VLOOKUP($B80,[35]TrtCodes!$B$11:I124,2)</f>
        <v>NSH</v>
      </c>
      <c r="D80" s="34">
        <f>VLOOKUP($B80,[35]TrtCodes!$B$11:J124,3)</f>
        <v>7</v>
      </c>
      <c r="E80" s="34">
        <f>VLOOKUP($B80,[35]TrtCodes!$B$11:K124,4)</f>
        <v>2</v>
      </c>
      <c r="F80" s="34">
        <f>VLOOKUP($B80,[35]TrtCodes!$B$11:L124,5)</f>
        <v>1</v>
      </c>
      <c r="G80" s="34">
        <f>VLOOKUP($B80,[35]TrtCodes!$B$11:M124,6)</f>
        <v>2</v>
      </c>
      <c r="H80" s="34">
        <f>VLOOKUP($B80,[35]TrtCodes!$B$11:N124,7)</f>
        <v>4</v>
      </c>
      <c r="I80" s="34">
        <f>[35]FormattedData!B81</f>
        <v>2</v>
      </c>
      <c r="J80" s="37">
        <f>[35]FormattedData!C81</f>
        <v>13.629</v>
      </c>
      <c r="K80" s="39">
        <f>$J$3+[35]FormattedData!D81*$J$4+$M$4*$J$5+[35]FormattedData!D81^2*$J$6+$M$5*$J$7</f>
        <v>33.26162246368596</v>
      </c>
      <c r="L80" s="39">
        <f>$J$3+[35]FormattedData!E81*$J$4+$M$4*$J$5+[35]FormattedData!E81^2*$J$6+$M$5*$J$7</f>
        <v>38.095654131547846</v>
      </c>
      <c r="M80" s="39">
        <f>$J$3+[35]FormattedData!F81*$J$4+$M$4*$J$5+[35]FormattedData!F81^2*$J$6+$M$5*$J$7</f>
        <v>34.980305043402758</v>
      </c>
      <c r="N80" s="39">
        <f>$J$3+[35]FormattedData!G81*$J$4+$M$4*$J$5+[35]FormattedData!G81^2*$J$6+$M$5*$J$7</f>
        <v>32.973843908121665</v>
      </c>
      <c r="O80" s="39">
        <f>$J$3+[35]FormattedData!H81*$J$4+$M$4*$J$5+[35]FormattedData!H81^2*$J$6+$M$5*$J$7</f>
        <v>31.045598440635512</v>
      </c>
      <c r="P80" s="39">
        <f>$J$3+[35]FormattedData!I81*$J$4+$M$4*$J$5+[35]FormattedData!I81^2*$J$6+$M$5*$J$7</f>
        <v>37.15646983518414</v>
      </c>
      <c r="Q80" s="39">
        <f>$J$3+[35]FormattedData!J81*$J$4+$M$4*$J$5+[35]FormattedData!J81^2*$J$6+$M$5*$J$7</f>
        <v>32.10822574038049</v>
      </c>
      <c r="R80" s="39">
        <f>$J$3+[35]FormattedData!K81*$J$4+$M$4*$J$5+[35]FormattedData!K81^2*$J$6+$M$5*$J$7</f>
        <v>31.432600127346543</v>
      </c>
      <c r="S80" s="39">
        <f>$J$3+[35]FormattedData!L81*$J$4+$M$4*$J$5+[35]FormattedData!L81^2*$J$6+$M$5*$J$7</f>
        <v>31.62584735947447</v>
      </c>
      <c r="T80" s="39">
        <f>$J$3+[35]FormattedData!M81*$J$4+$M$4*$J$5+[35]FormattedData!M81^2*$J$6+$M$5*$J$7</f>
        <v>32.781780195055809</v>
      </c>
      <c r="U80" s="39">
        <f>$J$3+[35]FormattedData!N81*$J$4+$M$4*$J$5+[35]FormattedData!N81^2*$J$6+$M$5*$J$7</f>
        <v>40.332450879344812</v>
      </c>
      <c r="V80" s="39">
        <f>$J$3+[35]FormattedData!O81*$J$4+$M$4*$J$5+[35]FormattedData!O81^2*$J$6+$M$5*$J$7</f>
        <v>35.550155901910649</v>
      </c>
      <c r="W80" s="38">
        <f>AVERAGE(K80:V80)</f>
        <v>34.278712835507555</v>
      </c>
      <c r="X80" s="37">
        <f>STDEV(K80:V80)/SQRT(COUNT(K80:V80))</f>
        <v>0.85673414594529318</v>
      </c>
      <c r="Y80" s="36">
        <f>MIN(K80:V80)</f>
        <v>31.045598440635512</v>
      </c>
      <c r="Z80" s="35">
        <f>QUARTILE(K80:V80,1)</f>
        <v>31.987631145153983</v>
      </c>
      <c r="AA80" s="36">
        <f>MEDIAN(K80:V80)</f>
        <v>33.117733185903816</v>
      </c>
      <c r="AB80" s="35">
        <f>QUARTILE(K80:V80,3)</f>
        <v>35.951734385229024</v>
      </c>
      <c r="AC80" s="35">
        <f>MAX(K80:V80)</f>
        <v>40.332450879344812</v>
      </c>
      <c r="AD80" s="35">
        <f>SKEW(K80:V80)</f>
        <v>0.881915915490461</v>
      </c>
      <c r="AE80" s="35">
        <f>KURT(K80:V80)</f>
        <v>-0.20999767331766561</v>
      </c>
    </row>
    <row r="81" spans="2:31" x14ac:dyDescent="0.2">
      <c r="B81" s="34">
        <f>[35]FormattedData!A79</f>
        <v>408</v>
      </c>
      <c r="C81" s="34" t="str">
        <f>VLOOKUP($B81,[35]TrtCodes!$B$11:I122,2)</f>
        <v>NTL</v>
      </c>
      <c r="D81" s="34">
        <f>VLOOKUP($B81,[35]TrtCodes!$B$11:J122,3)</f>
        <v>10</v>
      </c>
      <c r="E81" s="34">
        <f>VLOOKUP($B81,[35]TrtCodes!$B$11:K122,4)</f>
        <v>2</v>
      </c>
      <c r="F81" s="34">
        <f>VLOOKUP($B81,[35]TrtCodes!$B$11:L122,5)</f>
        <v>2</v>
      </c>
      <c r="G81" s="34">
        <f>VLOOKUP($B81,[35]TrtCodes!$B$11:M122,6)</f>
        <v>1</v>
      </c>
      <c r="H81" s="34">
        <f>VLOOKUP($B81,[35]TrtCodes!$B$11:N122,7)</f>
        <v>4</v>
      </c>
      <c r="I81" s="34">
        <f>[35]FormattedData!B79</f>
        <v>2</v>
      </c>
      <c r="J81" s="37">
        <f>[35]FormattedData!C79</f>
        <v>13.613</v>
      </c>
      <c r="K81" s="39">
        <f>$J$3+[35]FormattedData!D79*$J$4+$M$4*$J$5+[35]FormattedData!D79^2*$J$6+$M$5*$J$7</f>
        <v>30.463827854431045</v>
      </c>
      <c r="L81" s="39">
        <f>$J$3+[35]FormattedData!E79*$J$4+$M$4*$J$5+[35]FormattedData!E79^2*$J$6+$M$5*$J$7</f>
        <v>31.722407572731534</v>
      </c>
      <c r="M81" s="39">
        <f>$J$3+[35]FormattedData!F79*$J$4+$M$4*$J$5+[35]FormattedData!F79^2*$J$6+$M$5*$J$7</f>
        <v>30.948742347612932</v>
      </c>
      <c r="N81" s="39">
        <f>$J$3+[35]FormattedData!G79*$J$4+$M$4*$J$5+[35]FormattedData!G79^2*$J$6+$M$5*$J$7</f>
        <v>30.269566177392768</v>
      </c>
      <c r="O81" s="39">
        <f>$J$3+[35]FormattedData!H79*$J$4+$M$4*$J$5+[35]FormattedData!H79^2*$J$6+$M$5*$J$7</f>
        <v>30.366718150180876</v>
      </c>
      <c r="P81" s="39">
        <f>$J$3+[35]FormattedData!I79*$J$4+$M$4*$J$5+[35]FormattedData!I79^2*$J$6+$M$5*$J$7</f>
        <v>30.269566177392768</v>
      </c>
      <c r="Q81" s="39">
        <f>$J$3+[35]FormattedData!J79*$J$4+$M$4*$J$5+[35]FormattedData!J79^2*$J$6+$M$5*$J$7</f>
        <v>30.754903355953971</v>
      </c>
      <c r="R81" s="39">
        <f>$J$3+[35]FormattedData!K79*$J$4+$M$4*$J$5+[35]FormattedData!K79^2*$J$6+$M$5*$J$7</f>
        <v>30.269566177392768</v>
      </c>
      <c r="S81" s="39">
        <f>$J$3+[35]FormattedData!L79*$J$4+$M$4*$J$5+[35]FormattedData!L79^2*$J$6+$M$5*$J$7</f>
        <v>31.91540119363188</v>
      </c>
      <c r="T81" s="39">
        <f>$J$3+[35]FormattedData!M79*$J$4+$M$4*$J$5+[35]FormattedData!M79^2*$J$6+$M$5*$J$7</f>
        <v>31.045598440635512</v>
      </c>
      <c r="U81" s="39">
        <f>$J$3+[35]FormattedData!N79*$J$4+$M$4*$J$5+[35]FormattedData!N79^2*$J$6+$M$5*$J$7</f>
        <v>31.335913108475687</v>
      </c>
      <c r="V81" s="39">
        <f>$J$3+[35]FormattedData!O79*$J$4+$M$4*$J$5+[35]FormattedData!O79^2*$J$6+$M$5*$J$7</f>
        <v>30.172371936066739</v>
      </c>
      <c r="W81" s="38">
        <f>AVERAGE(K81:V81)</f>
        <v>30.794548540991531</v>
      </c>
      <c r="X81" s="37">
        <f>STDEV(K81:V81)/SQRT(COUNT(K81:V81))</f>
        <v>0.17418686324656057</v>
      </c>
      <c r="Y81" s="36">
        <f>MIN(K81:V81)</f>
        <v>30.172371936066739</v>
      </c>
      <c r="Z81" s="35">
        <f>QUARTILE(K81:V81,1)</f>
        <v>30.269566177392768</v>
      </c>
      <c r="AA81" s="36">
        <f>MEDIAN(K81:V81)</f>
        <v>30.609365605192508</v>
      </c>
      <c r="AB81" s="35">
        <f>QUARTILE(K81:V81,3)</f>
        <v>31.118177107595557</v>
      </c>
      <c r="AC81" s="35">
        <f>MAX(K81:V81)</f>
        <v>31.91540119363188</v>
      </c>
      <c r="AD81" s="35">
        <f>SKEW(K81:V81)</f>
        <v>0.79233166648857212</v>
      </c>
      <c r="AE81" s="35">
        <f>KURT(K81:V81)</f>
        <v>-0.66564597279634441</v>
      </c>
    </row>
    <row r="82" spans="2:31" x14ac:dyDescent="0.2">
      <c r="B82" s="34">
        <f>[35]FormattedData!A59</f>
        <v>902</v>
      </c>
      <c r="C82" s="34" t="str">
        <f>VLOOKUP($B82,[35]TrtCodes!$B$11:I102,2)</f>
        <v>Late</v>
      </c>
      <c r="D82" s="34">
        <f>VLOOKUP($B82,[35]TrtCodes!$B$11:J102,3)</f>
        <v>22</v>
      </c>
      <c r="E82" s="34">
        <f>VLOOKUP($B82,[35]TrtCodes!$B$11:K102,4)</f>
        <v>4</v>
      </c>
      <c r="F82" s="34">
        <f>VLOOKUP($B82,[35]TrtCodes!$B$11:L102,5)</f>
        <v>2</v>
      </c>
      <c r="G82" s="34">
        <f>VLOOKUP($B82,[35]TrtCodes!$B$11:M102,6)</f>
        <v>2</v>
      </c>
      <c r="H82" s="34">
        <f>VLOOKUP($B82,[35]TrtCodes!$B$11:N102,7)</f>
        <v>1</v>
      </c>
      <c r="I82" s="34">
        <f>[35]FormattedData!B59</f>
        <v>2</v>
      </c>
      <c r="J82" s="37">
        <f>[35]FormattedData!C59</f>
        <v>13.449</v>
      </c>
      <c r="K82" s="39">
        <f>$J$3+[35]FormattedData!D59*$J$4+$M$4*$J$5+[35]FormattedData!D59^2*$J$6+$M$5*$J$7</f>
        <v>29.100445557976915</v>
      </c>
      <c r="L82" s="39">
        <f>$J$3+[35]FormattedData!E59*$J$4+$M$4*$J$5+[35]FormattedData!E59^2*$J$6+$M$5*$J$7</f>
        <v>29.393296338092949</v>
      </c>
      <c r="M82" s="39">
        <f>$J$3+[35]FormattedData!F59*$J$4+$M$4*$J$5+[35]FormattedData!F59^2*$J$6+$M$5*$J$7</f>
        <v>29.977856647800877</v>
      </c>
      <c r="N82" s="39">
        <f>$J$3+[35]FormattedData!G59*$J$4+$M$4*$J$5+[35]FormattedData!G59^2*$J$6+$M$5*$J$7</f>
        <v>29.002744094195709</v>
      </c>
      <c r="O82" s="39">
        <f>$J$3+[35]FormattedData!H59*$J$4+$M$4*$J$5+[35]FormattedData!H59^2*$J$6+$M$5*$J$7</f>
        <v>29.295721679925535</v>
      </c>
      <c r="P82" s="39">
        <f>$J$3+[35]FormattedData!I59*$J$4+$M$4*$J$5+[35]FormattedData!I59^2*$J$6+$M$5*$J$7</f>
        <v>29.58831884881398</v>
      </c>
      <c r="Q82" s="39">
        <f>$J$3+[35]FormattedData!J59*$J$4+$M$4*$J$5+[35]FormattedData!J59^2*$J$6+$M$5*$J$7</f>
        <v>29.198104753220193</v>
      </c>
      <c r="R82" s="39">
        <f>$J$3+[35]FormattedData!K59*$J$4+$M$4*$J$5+[35]FormattedData!K59^2*$J$6+$M$5*$J$7</f>
        <v>28.317650328665184</v>
      </c>
      <c r="S82" s="39">
        <f>$J$3+[35]FormattedData!L59*$J$4+$M$4*$J$5+[35]FormattedData!L59^2*$J$6+$M$5*$J$7</f>
        <v>30.463827854431045</v>
      </c>
      <c r="T82" s="39">
        <f>$J$3+[35]FormattedData!M59*$J$4+$M$4*$J$5+[35]FormattedData!M59^2*$J$6+$M$5*$J$7</f>
        <v>30.172371936066739</v>
      </c>
      <c r="U82" s="39">
        <f>$J$3+[35]FormattedData!N59*$J$4+$M$4*$J$5+[35]FormattedData!N59^2*$J$6+$M$5*$J$7</f>
        <v>29.490828727722434</v>
      </c>
      <c r="V82" s="39">
        <f>$J$3+[35]FormattedData!O59*$J$4+$M$4*$J$5+[35]FormattedData!O59^2*$J$6+$M$5*$J$7</f>
        <v>28.121528835957943</v>
      </c>
      <c r="W82" s="38">
        <f>AVERAGE(K82:V82)</f>
        <v>29.343557966905788</v>
      </c>
      <c r="X82" s="37">
        <f>STDEV(K82:V82)/SQRT(COUNT(K82:V82))</f>
        <v>0.19796094791737637</v>
      </c>
      <c r="Y82" s="36">
        <f>MIN(K82:V82)</f>
        <v>28.121528835957943</v>
      </c>
      <c r="Z82" s="35">
        <f>QUARTILE(K82:V82,1)</f>
        <v>29.076020192031613</v>
      </c>
      <c r="AA82" s="36">
        <f>MEDIAN(K82:V82)</f>
        <v>29.344509009009244</v>
      </c>
      <c r="AB82" s="35">
        <f>QUARTILE(K82:V82,3)</f>
        <v>29.685703298560703</v>
      </c>
      <c r="AC82" s="35">
        <f>MAX(K82:V82)</f>
        <v>30.463827854431045</v>
      </c>
      <c r="AD82" s="35">
        <f>SKEW(K82:V82)</f>
        <v>-0.24131508998006171</v>
      </c>
      <c r="AE82" s="35">
        <f>KURT(K82:V82)</f>
        <v>-6.5823994848977829E-2</v>
      </c>
    </row>
    <row r="83" spans="2:31" x14ac:dyDescent="0.2">
      <c r="B83" s="34">
        <f>[35]FormattedData!A55</f>
        <v>904</v>
      </c>
      <c r="C83" s="34" t="str">
        <f>VLOOKUP($B83,[35]TrtCodes!$B$11:I98,2)</f>
        <v>Early</v>
      </c>
      <c r="D83" s="34">
        <f>VLOOKUP($B83,[35]TrtCodes!$B$11:J98,3)</f>
        <v>21</v>
      </c>
      <c r="E83" s="34">
        <f>VLOOKUP($B83,[35]TrtCodes!$B$11:K98,4)</f>
        <v>3</v>
      </c>
      <c r="F83" s="34">
        <f>VLOOKUP($B83,[35]TrtCodes!$B$11:L98,5)</f>
        <v>2</v>
      </c>
      <c r="G83" s="34">
        <f>VLOOKUP($B83,[35]TrtCodes!$B$11:M98,6)</f>
        <v>2</v>
      </c>
      <c r="H83" s="34">
        <f>VLOOKUP($B83,[35]TrtCodes!$B$11:N98,7)</f>
        <v>1</v>
      </c>
      <c r="I83" s="34">
        <f>[35]FormattedData!B55</f>
        <v>2</v>
      </c>
      <c r="J83" s="37">
        <f>[35]FormattedData!C55</f>
        <v>13.425000000000001</v>
      </c>
      <c r="K83" s="39">
        <f>$J$3+[35]FormattedData!D55*$J$4+$M$4*$J$5+[35]FormattedData!D55^2*$J$6+$M$5*$J$7</f>
        <v>28.415647672211911</v>
      </c>
      <c r="L83" s="39">
        <f>$J$3+[35]FormattedData!E55*$J$4+$M$4*$J$5+[35]FormattedData!E55^2*$J$6+$M$5*$J$7</f>
        <v>28.709386091624499</v>
      </c>
      <c r="M83" s="39">
        <f>$J$3+[35]FormattedData!F55*$J$4+$M$4*$J$5+[35]FormattedData!F55^2*$J$6+$M$5*$J$7</f>
        <v>28.807214361019501</v>
      </c>
      <c r="N83" s="39">
        <f>$J$3+[35]FormattedData!G55*$J$4+$M$4*$J$5+[35]FormattedData!G55^2*$J$6+$M$5*$J$7</f>
        <v>28.905000361876571</v>
      </c>
      <c r="O83" s="39">
        <f>$J$3+[35]FormattedData!H55*$J$4+$M$4*$J$5+[35]FormattedData!H55^2*$J$6+$M$5*$J$7</f>
        <v>28.709386091624499</v>
      </c>
      <c r="P83" s="39">
        <f>$J$3+[35]FormattedData!I55*$J$4+$M$4*$J$5+[35]FormattedData!I55^2*$J$6+$M$5*$J$7</f>
        <v>29.002744094195709</v>
      </c>
      <c r="Q83" s="39">
        <f>$J$3+[35]FormattedData!J55*$J$4+$M$4*$J$5+[35]FormattedData!J55^2*$J$6+$M$5*$J$7</f>
        <v>30.07513542620277</v>
      </c>
      <c r="R83" s="39">
        <f>$J$3+[35]FormattedData!K55*$J$4+$M$4*$J$5+[35]FormattedData!K55^2*$J$6+$M$5*$J$7</f>
        <v>29.198104753220193</v>
      </c>
      <c r="S83" s="39">
        <f>$J$3+[35]FormattedData!L55*$J$4+$M$4*$J$5+[35]FormattedData!L55^2*$J$6+$M$5*$J$7</f>
        <v>29.393296338092949</v>
      </c>
      <c r="T83" s="39">
        <f>$J$3+[35]FormattedData!M55*$J$4+$M$4*$J$5+[35]FormattedData!M55^2*$J$6+$M$5*$J$7</f>
        <v>27.728778628088282</v>
      </c>
      <c r="U83" s="39">
        <f>$J$3+[35]FormattedData!N55*$J$4+$M$4*$J$5+[35]FormattedData!N55^2*$J$6+$M$5*$J$7</f>
        <v>29.002744094195709</v>
      </c>
      <c r="V83" s="39">
        <f>$J$3+[35]FormattedData!O55*$J$4+$M$4*$J$5+[35]FormattedData!O55^2*$J$6+$M$5*$J$7</f>
        <v>27.925238269098976</v>
      </c>
      <c r="W83" s="38">
        <f>AVERAGE(K83:V83)</f>
        <v>28.822723015120967</v>
      </c>
      <c r="X83" s="37">
        <f>STDEV(K83:V83)/SQRT(COUNT(K83:V83))</f>
        <v>0.18049640125060498</v>
      </c>
      <c r="Y83" s="36">
        <f>MIN(K83:V83)</f>
        <v>27.728778628088282</v>
      </c>
      <c r="Z83" s="35">
        <f>QUARTILE(K83:V83,1)</f>
        <v>28.635951486771351</v>
      </c>
      <c r="AA83" s="36">
        <f>MEDIAN(K83:V83)</f>
        <v>28.856107361448036</v>
      </c>
      <c r="AB83" s="35">
        <f>QUARTILE(K83:V83,3)</f>
        <v>29.051584258951831</v>
      </c>
      <c r="AC83" s="35">
        <f>MAX(K83:V83)</f>
        <v>30.07513542620277</v>
      </c>
      <c r="AD83" s="35">
        <f>SKEW(K83:V83)</f>
        <v>5.0390850631357426E-2</v>
      </c>
      <c r="AE83" s="35">
        <f>KURT(K83:V83)</f>
        <v>0.80921452740397193</v>
      </c>
    </row>
    <row r="84" spans="2:31" x14ac:dyDescent="0.2">
      <c r="B84" s="34">
        <f>[35]FormattedData!A51</f>
        <v>906</v>
      </c>
      <c r="C84" s="34" t="str">
        <f>VLOOKUP($B84,[35]TrtCodes!$B$11:I94,2)</f>
        <v>Late</v>
      </c>
      <c r="D84" s="34">
        <f>VLOOKUP($B84,[35]TrtCodes!$B$11:J94,3)</f>
        <v>22</v>
      </c>
      <c r="E84" s="34">
        <f>VLOOKUP($B84,[35]TrtCodes!$B$11:K94,4)</f>
        <v>4</v>
      </c>
      <c r="F84" s="34">
        <f>VLOOKUP($B84,[35]TrtCodes!$B$11:L94,5)</f>
        <v>2</v>
      </c>
      <c r="G84" s="34">
        <f>VLOOKUP($B84,[35]TrtCodes!$B$11:M94,6)</f>
        <v>2</v>
      </c>
      <c r="H84" s="34">
        <f>VLOOKUP($B84,[35]TrtCodes!$B$11:N94,7)</f>
        <v>2</v>
      </c>
      <c r="I84" s="34">
        <f>[35]FormattedData!B51</f>
        <v>2</v>
      </c>
      <c r="J84" s="37">
        <f>[35]FormattedData!C51</f>
        <v>13.4</v>
      </c>
      <c r="K84" s="39">
        <f>$J$3+[35]FormattedData!D51*$J$4+$M$4*$J$5+[35]FormattedData!D51^2*$J$6+$M$5*$J$7</f>
        <v>29.490828727722434</v>
      </c>
      <c r="L84" s="39">
        <f>$J$3+[35]FormattedData!E51*$J$4+$M$4*$J$5+[35]FormattedData!E51^2*$J$6+$M$5*$J$7</f>
        <v>28.023404686797427</v>
      </c>
      <c r="M84" s="39">
        <f>$J$3+[35]FormattedData!F51*$J$4+$M$4*$J$5+[35]FormattedData!F51^2*$J$6+$M$5*$J$7</f>
        <v>31.335913108475687</v>
      </c>
      <c r="N84" s="39">
        <f>$J$3+[35]FormattedData!G51*$J$4+$M$4*$J$5+[35]FormattedData!G51^2*$J$6+$M$5*$J$7</f>
        <v>31.432600127346543</v>
      </c>
      <c r="O84" s="39">
        <f>$J$3+[35]FormattedData!H51*$J$4+$M$4*$J$5+[35]FormattedData!H51^2*$J$6+$M$5*$J$7</f>
        <v>30.172371936066739</v>
      </c>
      <c r="P84" s="39">
        <f>$J$3+[35]FormattedData!I51*$J$4+$M$4*$J$5+[35]FormattedData!I51^2*$J$6+$M$5*$J$7</f>
        <v>29.685766701367605</v>
      </c>
      <c r="Q84" s="39">
        <f>$J$3+[35]FormattedData!J51*$J$4+$M$4*$J$5+[35]FormattedData!J51^2*$J$6+$M$5*$J$7</f>
        <v>31.142412265120171</v>
      </c>
      <c r="R84" s="39">
        <f>$J$3+[35]FormattedData!K51*$J$4+$M$4*$J$5+[35]FormattedData!K51^2*$J$6+$M$5*$J$7</f>
        <v>31.045598440635512</v>
      </c>
      <c r="S84" s="39">
        <f>$J$3+[35]FormattedData!L51*$J$4+$M$4*$J$5+[35]FormattedData!L51^2*$J$6+$M$5*$J$7</f>
        <v>29.100445557976915</v>
      </c>
      <c r="T84" s="39">
        <f>$J$3+[35]FormattedData!M51*$J$4+$M$4*$J$5+[35]FormattedData!M51^2*$J$6+$M$5*$J$7</f>
        <v>29.295721679925535</v>
      </c>
      <c r="U84" s="39">
        <f>$J$3+[35]FormattedData!N51*$J$4+$M$4*$J$5+[35]FormattedData!N51^2*$J$6+$M$5*$J$7</f>
        <v>29.198104753220193</v>
      </c>
      <c r="V84" s="39">
        <f>$J$3+[35]FormattedData!O51*$J$4+$M$4*$J$5+[35]FormattedData!O51^2*$J$6+$M$5*$J$7</f>
        <v>29.198104753220193</v>
      </c>
      <c r="W84" s="38">
        <f>AVERAGE(K84:V84)</f>
        <v>29.926772728156248</v>
      </c>
      <c r="X84" s="37">
        <f>STDEV(K84:V84)/SQRT(COUNT(K84:V84))</f>
        <v>0.31450971016027429</v>
      </c>
      <c r="Y84" s="36">
        <f>MIN(K84:V84)</f>
        <v>28.023404686797427</v>
      </c>
      <c r="Z84" s="35">
        <f>QUARTILE(K84:V84,1)</f>
        <v>29.198104753220193</v>
      </c>
      <c r="AA84" s="36">
        <f>MEDIAN(K84:V84)</f>
        <v>29.588297714545021</v>
      </c>
      <c r="AB84" s="35">
        <f>QUARTILE(K84:V84,3)</f>
        <v>31.069801896756676</v>
      </c>
      <c r="AC84" s="35">
        <f>MAX(K84:V84)</f>
        <v>31.432600127346543</v>
      </c>
      <c r="AD84" s="35">
        <f>SKEW(K84:V84)</f>
        <v>7.1082998664272881E-2</v>
      </c>
      <c r="AE84" s="35">
        <f>KURT(K84:V84)</f>
        <v>-0.99224352417753803</v>
      </c>
    </row>
    <row r="85" spans="2:31" x14ac:dyDescent="0.2">
      <c r="B85" s="34">
        <f>[35]FormattedData!A47</f>
        <v>908</v>
      </c>
      <c r="C85" s="34" t="str">
        <f>VLOOKUP($B85,[35]TrtCodes!$B$11:I90,2)</f>
        <v>Early</v>
      </c>
      <c r="D85" s="34">
        <f>VLOOKUP($B85,[35]TrtCodes!$B$11:J90,3)</f>
        <v>21</v>
      </c>
      <c r="E85" s="34">
        <f>VLOOKUP($B85,[35]TrtCodes!$B$11:K90,4)</f>
        <v>3</v>
      </c>
      <c r="F85" s="34">
        <f>VLOOKUP($B85,[35]TrtCodes!$B$11:L90,5)</f>
        <v>2</v>
      </c>
      <c r="G85" s="34">
        <f>VLOOKUP($B85,[35]TrtCodes!$B$11:M90,6)</f>
        <v>2</v>
      </c>
      <c r="H85" s="34">
        <f>VLOOKUP($B85,[35]TrtCodes!$B$11:N90,7)</f>
        <v>2</v>
      </c>
      <c r="I85" s="34">
        <f>[35]FormattedData!B47</f>
        <v>2</v>
      </c>
      <c r="J85" s="37">
        <f>[35]FormattedData!C47</f>
        <v>13.374000000000001</v>
      </c>
      <c r="K85" s="39">
        <f>$J$3+[35]FormattedData!D47*$J$4+$M$4*$J$5+[35]FormattedData!D47^2*$J$6+$M$5*$J$7</f>
        <v>29.977856647800877</v>
      </c>
      <c r="L85" s="39">
        <f>$J$3+[35]FormattedData!E47*$J$4+$M$4*$J$5+[35]FormattedData!E47^2*$J$6+$M$5*$J$7</f>
        <v>28.317650328665184</v>
      </c>
      <c r="M85" s="39">
        <f>$J$3+[35]FormattedData!F47*$J$4+$M$4*$J$5+[35]FormattedData!F47^2*$J$6+$M$5*$J$7</f>
        <v>31.432600127346543</v>
      </c>
      <c r="N85" s="39">
        <f>$J$3+[35]FormattedData!G47*$J$4+$M$4*$J$5+[35]FormattedData!G47^2*$J$6+$M$5*$J$7</f>
        <v>28.121528835957943</v>
      </c>
      <c r="O85" s="39">
        <f>$J$3+[35]FormattedData!H47*$J$4+$M$4*$J$5+[35]FormattedData!H47^2*$J$6+$M$5*$J$7</f>
        <v>30.754903355953971</v>
      </c>
      <c r="P85" s="39">
        <f>$J$3+[35]FormattedData!I47*$J$4+$M$4*$J$5+[35]FormattedData!I47^2*$J$6+$M$5*$J$7</f>
        <v>29.393296338092949</v>
      </c>
      <c r="Q85" s="39">
        <f>$J$3+[35]FormattedData!J47*$J$4+$M$4*$J$5+[35]FormattedData!J47^2*$J$6+$M$5*$J$7</f>
        <v>28.905000361876571</v>
      </c>
      <c r="R85" s="39">
        <f>$J$3+[35]FormattedData!K47*$J$4+$M$4*$J$5+[35]FormattedData!K47^2*$J$6+$M$5*$J$7</f>
        <v>29.100445557976915</v>
      </c>
      <c r="S85" s="39">
        <f>$J$3+[35]FormattedData!L47*$J$4+$M$4*$J$5+[35]FormattedData!L47^2*$J$6+$M$5*$J$7</f>
        <v>32.877833185857703</v>
      </c>
      <c r="T85" s="39">
        <f>$J$3+[35]FormattedData!M47*$J$4+$M$4*$J$5+[35]FormattedData!M47^2*$J$6+$M$5*$J$7</f>
        <v>29.198104753220193</v>
      </c>
      <c r="U85" s="39">
        <f>$J$3+[35]FormattedData!N47*$J$4+$M$4*$J$5+[35]FormattedData!N47^2*$J$6+$M$5*$J$7</f>
        <v>29.685766701367605</v>
      </c>
      <c r="V85" s="39">
        <f>$J$3+[35]FormattedData!O47*$J$4+$M$4*$J$5+[35]FormattedData!O47^2*$J$6+$M$5*$J$7</f>
        <v>29.58831884881398</v>
      </c>
      <c r="W85" s="38">
        <f>AVERAGE(K85:V85)</f>
        <v>29.779442086910866</v>
      </c>
      <c r="X85" s="37">
        <f>STDEV(K85:V85)/SQRT(COUNT(K85:V85))</f>
        <v>0.38893222950871814</v>
      </c>
      <c r="Y85" s="36">
        <f>MIN(K85:V85)</f>
        <v>28.121528835957943</v>
      </c>
      <c r="Z85" s="35">
        <f>QUARTILE(K85:V85,1)</f>
        <v>29.051584258951827</v>
      </c>
      <c r="AA85" s="36">
        <f>MEDIAN(K85:V85)</f>
        <v>29.490807593453464</v>
      </c>
      <c r="AB85" s="35">
        <f>QUARTILE(K85:V85,3)</f>
        <v>30.17211832483915</v>
      </c>
      <c r="AC85" s="35">
        <f>MAX(K85:V85)</f>
        <v>32.877833185857703</v>
      </c>
      <c r="AD85" s="35">
        <f>SKEW(K85:V85)</f>
        <v>1.1719998240549592</v>
      </c>
      <c r="AE85" s="35">
        <f>KURT(K85:V85)</f>
        <v>1.3989434017336029</v>
      </c>
    </row>
    <row r="88" spans="2:31" x14ac:dyDescent="0.2">
      <c r="W88" s="35"/>
    </row>
  </sheetData>
  <autoFilter ref="B9:AE85" xr:uid="{8B75035B-349E-48B5-A74A-39114E8B0B1D}"/>
  <conditionalFormatting sqref="K10:V85">
    <cfRule type="cellIs" dxfId="135" priority="1" stopIfTrue="1" operator="lessThan">
      <formula>$W10-$V$5*$X10</formula>
    </cfRule>
    <cfRule type="cellIs" dxfId="134" priority="2" stopIfTrue="1" operator="greaterThan">
      <formula>$W10+$V$5*$X10</formula>
    </cfRule>
  </conditionalFormatting>
  <conditionalFormatting sqref="W10:W85">
    <cfRule type="cellIs" dxfId="133" priority="3" stopIfTrue="1" operator="lessThan">
      <formula>AVERAGE($W$10:$W$41)</formula>
    </cfRule>
    <cfRule type="cellIs" dxfId="13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0E55-6A70-4143-A21E-6A107DCD2802}">
  <sheetPr codeName="Sheet5"/>
  <dimension ref="A1:AI88"/>
  <sheetViews>
    <sheetView topLeftCell="A8" workbookViewId="0">
      <pane xSplit="4" ySplit="2" topLeftCell="M28" activePane="bottomRight" state="frozen"/>
      <selection activeCell="A8" sqref="A8"/>
      <selection pane="topRight" activeCell="E8" sqref="E8"/>
      <selection pane="bottomLeft" activeCell="A10" sqref="A10"/>
      <selection pane="bottomRight" activeCell="O87" sqref="O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[34]FormattedData!A1</f>
        <v>Raw data file name - 'IA164.03R'</v>
      </c>
    </row>
    <row r="2" spans="1:35" ht="15" x14ac:dyDescent="0.25">
      <c r="I2" s="65" t="s">
        <v>136</v>
      </c>
      <c r="J2" s="57"/>
      <c r="P2" s="64">
        <f>[34]AncillaryData!C10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[34]AncillaryData!E25</f>
        <v>34.85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"&amp;[34]AncillaryData!C7</f>
        <v>Time Sequence of Midday IRT Temps - FISE 2003 - DOY 164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"&amp;[34]AncillaryData!E25&amp;", VPD = "&amp;ROUND([34]AncillaryData!E29,1)&amp;", Quality = "&amp;[34]AncillaryData!C20&amp;")"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[34]FormattedData!A28</f>
        <v>101</v>
      </c>
      <c r="C10" s="34" t="str">
        <f>VLOOKUP($B10,[34]TrtCodes!$B$11:I71,2)</f>
        <v>FSH</v>
      </c>
      <c r="D10" s="34">
        <f>VLOOKUP($B10,[34]TrtCodes!$B$11:J71,3)</f>
        <v>1</v>
      </c>
      <c r="E10" s="34">
        <f>VLOOKUP($B10,[34]TrtCodes!$B$11:K71,4)</f>
        <v>1</v>
      </c>
      <c r="F10" s="34">
        <f>VLOOKUP($B10,[34]TrtCodes!$B$11:L71,5)</f>
        <v>1</v>
      </c>
      <c r="G10" s="34">
        <f>VLOOKUP($B10,[34]TrtCodes!$B$11:M71,6)</f>
        <v>2</v>
      </c>
      <c r="H10" s="34">
        <f>VLOOKUP($B10,[34]TrtCodes!$B$11:N71,7)</f>
        <v>1</v>
      </c>
      <c r="I10" s="34">
        <f>[34]FormattedData!B28</f>
        <v>1</v>
      </c>
      <c r="J10" s="37">
        <f>[34]FormattedData!C28</f>
        <v>13.202</v>
      </c>
      <c r="K10" s="39">
        <f>$J$3+[34]FormattedData!D28*$J$4+$M$4*$J$5+[34]FormattedData!D28^2*$J$6+$M$5*$J$7</f>
        <v>45.319828965663305</v>
      </c>
      <c r="L10" s="39">
        <f>$J$3+[34]FormattedData!E28*$J$4+$M$4*$J$5+[34]FormattedData!E28^2*$J$6+$M$5*$J$7</f>
        <v>46.041419352050738</v>
      </c>
      <c r="M10" s="39">
        <f>$J$3+[34]FormattedData!F28*$J$4+$M$4*$J$5+[34]FormattedData!F28^2*$J$6+$M$5*$J$7</f>
        <v>43.868532633605646</v>
      </c>
      <c r="N10" s="39">
        <f>$J$3+[34]FormattedData!G28*$J$4+$M$4*$J$5+[34]FormattedData!G28^2*$J$6+$M$5*$J$7</f>
        <v>46.221394263268287</v>
      </c>
      <c r="O10" s="39">
        <f>$J$3+[34]FormattedData!H28*$J$4+$M$4*$J$5+[34]FormattedData!H28^2*$J$6+$M$5*$J$7</f>
        <v>39.170309778116525</v>
      </c>
      <c r="P10" s="39">
        <f>$J$3+[34]FormattedData!I28*$J$4+$M$4*$J$5+[34]FormattedData!I28^2*$J$6+$M$5*$J$7</f>
        <v>46.491039616060128</v>
      </c>
      <c r="Q10" s="39">
        <f>$J$3+[34]FormattedData!J28*$J$4+$M$4*$J$5+[34]FormattedData!J28^2*$J$6+$M$5*$J$7</f>
        <v>44.686218279332913</v>
      </c>
      <c r="R10" s="39">
        <f>$J$3+[34]FormattedData!K28*$J$4+$M$4*$J$5+[34]FormattedData!K28^2*$J$6+$M$5*$J$7</f>
        <v>45.048535139892152</v>
      </c>
      <c r="S10" s="39">
        <f>$J$3+[34]FormattedData!L28*$J$4+$M$4*$J$5+[34]FormattedData!L28^2*$J$6+$M$5*$J$7</f>
        <v>47.833560127398613</v>
      </c>
      <c r="T10" s="39">
        <f>$J$3+[34]FormattedData!M28*$J$4+$M$4*$J$5+[34]FormattedData!M28^2*$J$6+$M$5*$J$7</f>
        <v>46.580836863248216</v>
      </c>
      <c r="U10" s="39">
        <f>$J$3+[34]FormattedData!N28*$J$4+$M$4*$J$5+[34]FormattedData!N28^2*$J$6+$M$5*$J$7</f>
        <v>46.311318316070171</v>
      </c>
      <c r="V10" s="39">
        <f>$J$3+[34]FormattedData!O28*$J$4+$M$4*$J$5+[34]FormattedData!O28^2*$J$6+$M$5*$J$7</f>
        <v>44.414036814265202</v>
      </c>
      <c r="W10" s="38">
        <f>AVERAGE(K10:V10)</f>
        <v>45.165585845747664</v>
      </c>
      <c r="X10" s="37">
        <f>STDEV(K10:V10)/SQRT(COUNT(K10:V10))</f>
        <v>0.63083735673801089</v>
      </c>
      <c r="Y10" s="36">
        <f>MIN(K10:V10)</f>
        <v>39.170309778116525</v>
      </c>
      <c r="Z10" s="35">
        <f>QUARTILE(K10:V10,1)</f>
        <v>44.618172913065983</v>
      </c>
      <c r="AA10" s="36">
        <f>MEDIAN(K10:V10)</f>
        <v>45.680624158857022</v>
      </c>
      <c r="AB10" s="35">
        <f>QUARTILE(K10:V10,3)</f>
        <v>46.356248641067658</v>
      </c>
      <c r="AC10" s="35">
        <f>MAX(K10:V10)</f>
        <v>47.833560127398613</v>
      </c>
      <c r="AD10" s="35">
        <f>SKEW(K10:V10)</f>
        <v>-1.9934740404833926</v>
      </c>
      <c r="AE10" s="35">
        <f>KURT(K10:V10)</f>
        <v>5.3392593801245951</v>
      </c>
    </row>
    <row r="11" spans="1:35" x14ac:dyDescent="0.2">
      <c r="B11" s="34">
        <f>[34]FormattedData!A26</f>
        <v>102</v>
      </c>
      <c r="C11" s="34" t="str">
        <f>VLOOKUP($B11,[34]TrtCodes!$B$11:I69,2)</f>
        <v>FTL</v>
      </c>
      <c r="D11" s="34">
        <f>VLOOKUP($B11,[34]TrtCodes!$B$11:J69,3)</f>
        <v>4</v>
      </c>
      <c r="E11" s="34">
        <f>VLOOKUP($B11,[34]TrtCodes!$B$11:K69,4)</f>
        <v>1</v>
      </c>
      <c r="F11" s="34">
        <f>VLOOKUP($B11,[34]TrtCodes!$B$11:L69,5)</f>
        <v>2</v>
      </c>
      <c r="G11" s="34">
        <f>VLOOKUP($B11,[34]TrtCodes!$B$11:M69,6)</f>
        <v>1</v>
      </c>
      <c r="H11" s="34">
        <f>VLOOKUP($B11,[34]TrtCodes!$B$11:N69,7)</f>
        <v>1</v>
      </c>
      <c r="I11" s="34">
        <f>[34]FormattedData!B26</f>
        <v>1</v>
      </c>
      <c r="J11" s="37">
        <f>[34]FormattedData!C26</f>
        <v>13.186999999999999</v>
      </c>
      <c r="K11" s="39">
        <f>$J$3+[34]FormattedData!D26*$J$4+$M$4*$J$5+[34]FormattedData!D26^2*$J$6+$M$5*$J$7</f>
        <v>48.011844297098925</v>
      </c>
      <c r="L11" s="39">
        <f>$J$3+[34]FormattedData!E26*$J$4+$M$4*$J$5+[34]FormattedData!E26^2*$J$6+$M$5*$J$7</f>
        <v>46.401200100334123</v>
      </c>
      <c r="M11" s="39">
        <f>$J$3+[34]FormattedData!F26*$J$4+$M$4*$J$5+[34]FormattedData!F26^2*$J$6+$M$5*$J$7</f>
        <v>38.610349757484521</v>
      </c>
      <c r="N11" s="39">
        <f>$J$3+[34]FormattedData!G26*$J$4+$M$4*$J$5+[34]FormattedData!G26^2*$J$6+$M$5*$J$7</f>
        <v>47.029189071119667</v>
      </c>
      <c r="O11" s="39">
        <f>$J$3+[34]FormattedData!H26*$J$4+$M$4*$J$5+[34]FormattedData!H26^2*$J$6+$M$5*$J$7</f>
        <v>39.635780743850084</v>
      </c>
      <c r="P11" s="39">
        <f>$J$3+[34]FormattedData!I26*$J$4+$M$4*$J$5+[34]FormattedData!I26^2*$J$6+$M$5*$J$7</f>
        <v>44.595533392848274</v>
      </c>
      <c r="Q11" s="39">
        <f>$J$3+[34]FormattedData!J26*$J$4+$M$4*$J$5+[34]FormattedData!J26^2*$J$6+$M$5*$J$7</f>
        <v>45.229439958944191</v>
      </c>
      <c r="R11" s="39">
        <f>$J$3+[34]FormattedData!K26*$J$4+$M$4*$J$5+[34]FormattedData!K26^2*$J$6+$M$5*$J$7</f>
        <v>46.670591841898364</v>
      </c>
      <c r="S11" s="39">
        <f>$J$3+[34]FormattedData!L26*$J$4+$M$4*$J$5+[34]FormattedData!L26^2*$J$6+$M$5*$J$7</f>
        <v>45.95136849363508</v>
      </c>
      <c r="T11" s="39">
        <f>$J$3+[34]FormattedData!M26*$J$4+$M$4*$J$5+[34]FormattedData!M26^2*$J$6+$M$5*$J$7</f>
        <v>46.491039616060128</v>
      </c>
      <c r="U11" s="39">
        <f>$J$3+[34]FormattedData!N26*$J$4+$M$4*$J$5+[34]FormattedData!N26^2*$J$6+$M$5*$J$7</f>
        <v>38.516875147496428</v>
      </c>
      <c r="V11" s="39">
        <f>$J$3+[34]FormattedData!O26*$J$4+$M$4*$J$5+[34]FormattedData!O26^2*$J$6+$M$5*$J$7</f>
        <v>43.595209918013808</v>
      </c>
      <c r="W11" s="38">
        <f>AVERAGE(K11:V11)</f>
        <v>44.228201861565303</v>
      </c>
      <c r="X11" s="37">
        <f>STDEV(K11:V11)/SQRT(COUNT(K11:V11))</f>
        <v>0.9837557259374563</v>
      </c>
      <c r="Y11" s="36">
        <f>MIN(K11:V11)</f>
        <v>38.516875147496428</v>
      </c>
      <c r="Z11" s="35">
        <f>QUARTILE(K11:V11,1)</f>
        <v>42.605352624472879</v>
      </c>
      <c r="AA11" s="36">
        <f>MEDIAN(K11:V11)</f>
        <v>45.590404226289635</v>
      </c>
      <c r="AB11" s="35">
        <f>QUARTILE(K11:V11,3)</f>
        <v>46.535927672519691</v>
      </c>
      <c r="AC11" s="35">
        <f>MAX(K11:V11)</f>
        <v>48.011844297098925</v>
      </c>
      <c r="AD11" s="35">
        <f>SKEW(K11:V11)</f>
        <v>-0.94266357680476065</v>
      </c>
      <c r="AE11" s="35">
        <f>KURT(K11:V11)</f>
        <v>-0.68542757911003038</v>
      </c>
    </row>
    <row r="12" spans="1:35" x14ac:dyDescent="0.2">
      <c r="B12" s="34">
        <f>[34]FormattedData!A24</f>
        <v>103</v>
      </c>
      <c r="C12" s="34" t="str">
        <f>VLOOKUP($B12,[34]TrtCodes!$B$11:I67,2)</f>
        <v>FDH</v>
      </c>
      <c r="D12" s="34">
        <f>VLOOKUP($B12,[34]TrtCodes!$B$11:J67,3)</f>
        <v>5</v>
      </c>
      <c r="E12" s="34">
        <f>VLOOKUP($B12,[34]TrtCodes!$B$11:K67,4)</f>
        <v>1</v>
      </c>
      <c r="F12" s="34">
        <f>VLOOKUP($B12,[34]TrtCodes!$B$11:L67,5)</f>
        <v>3</v>
      </c>
      <c r="G12" s="34">
        <f>VLOOKUP($B12,[34]TrtCodes!$B$11:M67,6)</f>
        <v>2</v>
      </c>
      <c r="H12" s="34">
        <f>VLOOKUP($B12,[34]TrtCodes!$B$11:N67,7)</f>
        <v>1</v>
      </c>
      <c r="I12" s="34">
        <f>[34]FormattedData!B24</f>
        <v>1</v>
      </c>
      <c r="J12" s="37">
        <f>[34]FormattedData!C24</f>
        <v>13.170999999999999</v>
      </c>
      <c r="K12" s="39">
        <f>$J$3+[34]FormattedData!D24*$J$4+$M$4*$J$5+[34]FormattedData!D24^2*$J$6+$M$5*$J$7</f>
        <v>46.311318316070171</v>
      </c>
      <c r="L12" s="39">
        <f>$J$3+[34]FormattedData!E24*$J$4+$M$4*$J$5+[34]FormattedData!E24^2*$J$6+$M$5*$J$7</f>
        <v>38.79717217184691</v>
      </c>
      <c r="M12" s="39">
        <f>$J$3+[34]FormattedData!F24*$J$4+$M$4*$J$5+[34]FormattedData!F24^2*$J$6+$M$5*$J$7</f>
        <v>40.285664817283966</v>
      </c>
      <c r="N12" s="39">
        <f>$J$3+[34]FormattedData!G24*$J$4+$M$4*$J$5+[34]FormattedData!G24^2*$J$6+$M$5*$J$7</f>
        <v>41.671299237312226</v>
      </c>
      <c r="O12" s="39">
        <f>$J$3+[34]FormattedData!H24*$J$4+$M$4*$J$5+[34]FormattedData!H24^2*$J$6+$M$5*$J$7</f>
        <v>33.789252262229574</v>
      </c>
      <c r="P12" s="39">
        <f>$J$3+[34]FormattedData!I24*$J$4+$M$4*$J$5+[34]FormattedData!I24^2*$J$6+$M$5*$J$7</f>
        <v>42.58977195008967</v>
      </c>
      <c r="Q12" s="39">
        <f>$J$3+[34]FormattedData!J24*$J$4+$M$4*$J$5+[34]FormattedData!J24^2*$J$6+$M$5*$J$7</f>
        <v>32.927057846060819</v>
      </c>
      <c r="R12" s="39">
        <f>$J$3+[34]FormattedData!K24*$J$4+$M$4*$J$5+[34]FormattedData!K24^2*$J$6+$M$5*$J$7</f>
        <v>46.401200100334123</v>
      </c>
      <c r="S12" s="39">
        <f>$J$3+[34]FormattedData!L24*$J$4+$M$4*$J$5+[34]FormattedData!L24^2*$J$6+$M$5*$J$7</f>
        <v>34.17135079854058</v>
      </c>
      <c r="T12" s="39">
        <f>$J$3+[34]FormattedData!M24*$J$4+$M$4*$J$5+[34]FormattedData!M24^2*$J$6+$M$5*$J$7</f>
        <v>44.141474932356118</v>
      </c>
      <c r="U12" s="39">
        <f>$J$3+[34]FormattedData!N24*$J$4+$M$4*$J$5+[34]FormattedData!N24^2*$J$6+$M$5*$J$7</f>
        <v>39.449719163170457</v>
      </c>
      <c r="V12" s="39">
        <f>$J$3+[34]FormattedData!O24*$J$4+$M$4*$J$5+[34]FormattedData!O24^2*$J$6+$M$5*$J$7</f>
        <v>42.039195544878375</v>
      </c>
      <c r="W12" s="38">
        <f>AVERAGE(K12:V12)</f>
        <v>40.214539761681088</v>
      </c>
      <c r="X12" s="37">
        <f>STDEV(K12:V12)/SQRT(COUNT(K12:V12))</f>
        <v>1.335614501459359</v>
      </c>
      <c r="Y12" s="36">
        <f>MIN(K12:V12)</f>
        <v>32.927057846060819</v>
      </c>
      <c r="Z12" s="35">
        <f>QUARTILE(K12:V12,1)</f>
        <v>37.640716828520326</v>
      </c>
      <c r="AA12" s="36">
        <f>MEDIAN(K12:V12)</f>
        <v>40.978482027298099</v>
      </c>
      <c r="AB12" s="35">
        <f>QUARTILE(K12:V12,3)</f>
        <v>42.977697695656282</v>
      </c>
      <c r="AC12" s="35">
        <f>MAX(K12:V12)</f>
        <v>46.401200100334123</v>
      </c>
      <c r="AD12" s="35">
        <f>SKEW(K12:V12)</f>
        <v>-0.363196305061465</v>
      </c>
      <c r="AE12" s="35">
        <f>KURT(K12:V12)</f>
        <v>-0.94025887149975373</v>
      </c>
    </row>
    <row r="13" spans="1:35" x14ac:dyDescent="0.2">
      <c r="B13" s="34">
        <f>[34]FormattedData!A22</f>
        <v>104</v>
      </c>
      <c r="C13" s="34" t="str">
        <f>VLOOKUP($B13,[34]TrtCodes!$B$11:I65,2)</f>
        <v>NTL</v>
      </c>
      <c r="D13" s="34">
        <f>VLOOKUP($B13,[34]TrtCodes!$B$11:J65,3)</f>
        <v>10</v>
      </c>
      <c r="E13" s="34">
        <f>VLOOKUP($B13,[34]TrtCodes!$B$11:K65,4)</f>
        <v>2</v>
      </c>
      <c r="F13" s="34">
        <f>VLOOKUP($B13,[34]TrtCodes!$B$11:L65,5)</f>
        <v>2</v>
      </c>
      <c r="G13" s="34">
        <f>VLOOKUP($B13,[34]TrtCodes!$B$11:M65,6)</f>
        <v>1</v>
      </c>
      <c r="H13" s="34">
        <f>VLOOKUP($B13,[34]TrtCodes!$B$11:N65,7)</f>
        <v>1</v>
      </c>
      <c r="I13" s="34">
        <f>[34]FormattedData!B22</f>
        <v>1</v>
      </c>
      <c r="J13" s="37">
        <f>[34]FormattedData!C22</f>
        <v>13.154999999999999</v>
      </c>
      <c r="K13" s="39">
        <f>$J$3+[34]FormattedData!D22*$J$4+$M$4*$J$5+[34]FormattedData!D22^2*$J$6+$M$5*$J$7</f>
        <v>37.579804278029279</v>
      </c>
      <c r="L13" s="39">
        <f>$J$3+[34]FormattedData!E22*$J$4+$M$4*$J$5+[34]FormattedData!E22^2*$J$6+$M$5*$J$7</f>
        <v>36.827104247724527</v>
      </c>
      <c r="M13" s="39">
        <f>$J$3+[34]FormattedData!F22*$J$4+$M$4*$J$5+[34]FormattedData!F22^2*$J$6+$M$5*$J$7</f>
        <v>35.882425041429769</v>
      </c>
      <c r="N13" s="39">
        <f>$J$3+[34]FormattedData!G22*$J$4+$M$4*$J$5+[34]FormattedData!G22^2*$J$6+$M$5*$J$7</f>
        <v>36.166272622966481</v>
      </c>
      <c r="O13" s="39">
        <f>$J$3+[34]FormattedData!H22*$J$4+$M$4*$J$5+[34]FormattedData!H22^2*$J$6+$M$5*$J$7</f>
        <v>33.406477429311657</v>
      </c>
      <c r="P13" s="39">
        <f>$J$3+[34]FormattedData!I22*$J$4+$M$4*$J$5+[34]FormattedData!I22^2*$J$6+$M$5*$J$7</f>
        <v>38.142554022164745</v>
      </c>
      <c r="Q13" s="39">
        <f>$J$3+[34]FormattedData!J22*$J$4+$M$4*$J$5+[34]FormattedData!J22^2*$J$6+$M$5*$J$7</f>
        <v>36.071699030992178</v>
      </c>
      <c r="R13" s="39">
        <f>$J$3+[34]FormattedData!K22*$J$4+$M$4*$J$5+[34]FormattedData!K22^2*$J$6+$M$5*$J$7</f>
        <v>37.861369358517699</v>
      </c>
      <c r="S13" s="39">
        <f>$J$3+[34]FormattedData!L22*$J$4+$M$4*$J$5+[34]FormattedData!L22^2*$J$6+$M$5*$J$7</f>
        <v>36.355293001301284</v>
      </c>
      <c r="T13" s="39">
        <f>$J$3+[34]FormattedData!M22*$J$4+$M$4*$J$5+[34]FormattedData!M22^2*$J$6+$M$5*$J$7</f>
        <v>37.109683773123294</v>
      </c>
      <c r="U13" s="39">
        <f>$J$3+[34]FormattedData!N22*$J$4+$M$4*$J$5+[34]FormattedData!N22^2*$J$6+$M$5*$J$7</f>
        <v>37.391882881680679</v>
      </c>
      <c r="V13" s="39">
        <f>$J$3+[34]FormattedData!O22*$J$4+$M$4*$J$5+[34]FormattedData!O22^2*$J$6+$M$5*$J$7</f>
        <v>36.827104247724527</v>
      </c>
      <c r="W13" s="38">
        <f>AVERAGE(K13:V13)</f>
        <v>36.635139161247182</v>
      </c>
      <c r="X13" s="37">
        <f>STDEV(K13:V13)/SQRT(COUNT(K13:V13))</f>
        <v>0.36041155650448192</v>
      </c>
      <c r="Y13" s="36">
        <f>MIN(K13:V13)</f>
        <v>33.406477429311657</v>
      </c>
      <c r="Z13" s="35">
        <f>QUARTILE(K13:V13,1)</f>
        <v>36.142629224972907</v>
      </c>
      <c r="AA13" s="36">
        <f>MEDIAN(K13:V13)</f>
        <v>36.827104247724527</v>
      </c>
      <c r="AB13" s="35">
        <f>QUARTILE(K13:V13,3)</f>
        <v>37.438863230767829</v>
      </c>
      <c r="AC13" s="35">
        <f>MAX(K13:V13)</f>
        <v>38.142554022164745</v>
      </c>
      <c r="AD13" s="35">
        <f>SKEW(K13:V13)</f>
        <v>-1.5538804398710329</v>
      </c>
      <c r="AE13" s="35">
        <f>KURT(K13:V13)</f>
        <v>3.6027142768481655</v>
      </c>
    </row>
    <row r="14" spans="1:35" x14ac:dyDescent="0.2">
      <c r="B14" s="34">
        <f>[34]FormattedData!A20</f>
        <v>105</v>
      </c>
      <c r="C14" s="34" t="str">
        <f>VLOOKUP($B14,[34]TrtCodes!$B$11:I63,2)</f>
        <v>NDL</v>
      </c>
      <c r="D14" s="34">
        <f>VLOOKUP($B14,[34]TrtCodes!$B$11:J63,3)</f>
        <v>12</v>
      </c>
      <c r="E14" s="34">
        <f>VLOOKUP($B14,[34]TrtCodes!$B$11:K63,4)</f>
        <v>2</v>
      </c>
      <c r="F14" s="34">
        <f>VLOOKUP($B14,[34]TrtCodes!$B$11:L63,5)</f>
        <v>3</v>
      </c>
      <c r="G14" s="34">
        <f>VLOOKUP($B14,[34]TrtCodes!$B$11:M63,6)</f>
        <v>1</v>
      </c>
      <c r="H14" s="34">
        <f>VLOOKUP($B14,[34]TrtCodes!$B$11:N63,7)</f>
        <v>2</v>
      </c>
      <c r="I14" s="34">
        <f>[34]FormattedData!B20</f>
        <v>1</v>
      </c>
      <c r="J14" s="37">
        <f>[34]FormattedData!C20</f>
        <v>13.135999999999999</v>
      </c>
      <c r="K14" s="39">
        <f>$J$3+[34]FormattedData!D20*$J$4+$M$4*$J$5+[34]FormattedData!D20^2*$J$6+$M$5*$J$7</f>
        <v>54.83304907706556</v>
      </c>
      <c r="L14" s="39">
        <f>$J$3+[34]FormattedData!E20*$J$4+$M$4*$J$5+[34]FormattedData!E20^2*$J$6+$M$5*$J$7</f>
        <v>35.598197043051698</v>
      </c>
      <c r="M14" s="39">
        <f>$J$3+[34]FormattedData!F20*$J$4+$M$4*$J$5+[34]FormattedData!F20^2*$J$6+$M$5*$J$7</f>
        <v>37.673701573396691</v>
      </c>
      <c r="N14" s="39">
        <f>$J$3+[34]FormattedData!G20*$J$4+$M$4*$J$5+[34]FormattedData!G20^2*$J$6+$M$5*$J$7</f>
        <v>45.13900868368713</v>
      </c>
      <c r="O14" s="39">
        <f>$J$3+[34]FormattedData!H20*$J$4+$M$4*$J$5+[34]FormattedData!H20^2*$J$6+$M$5*$J$7</f>
        <v>42.314673955904709</v>
      </c>
      <c r="P14" s="39">
        <f>$J$3+[34]FormattedData!I20*$J$4+$M$4*$J$5+[34]FormattedData!I20^2*$J$6+$M$5*$J$7</f>
        <v>50.226130786800944</v>
      </c>
      <c r="Q14" s="39">
        <f>$J$3+[34]FormattedData!J20*$J$4+$M$4*$J$5+[34]FormattedData!J20^2*$J$6+$M$5*$J$7</f>
        <v>39.356624970023745</v>
      </c>
      <c r="R14" s="39">
        <f>$J$3+[34]FormattedData!K20*$J$4+$M$4*$J$5+[34]FormattedData!K20^2*$J$6+$M$5*$J$7</f>
        <v>51.542022119242809</v>
      </c>
      <c r="S14" s="39">
        <f>$J$3+[34]FormattedData!L20*$J$4+$M$4*$J$5+[34]FormattedData!L20^2*$J$6+$M$5*$J$7</f>
        <v>35.787724643841685</v>
      </c>
      <c r="T14" s="39">
        <f>$J$3+[34]FormattedData!M20*$J$4+$M$4*$J$5+[34]FormattedData!M20^2*$J$6+$M$5*$J$7</f>
        <v>53.021868587026333</v>
      </c>
      <c r="U14" s="39">
        <f>$J$3+[34]FormattedData!N20*$J$4+$M$4*$J$5+[34]FormattedData!N20^2*$J$6+$M$5*$J$7</f>
        <v>43.868532633605646</v>
      </c>
      <c r="V14" s="39">
        <f>$J$3+[34]FormattedData!O20*$J$4+$M$4*$J$5+[34]FormattedData!O20^2*$J$6+$M$5*$J$7</f>
        <v>52.587887682051466</v>
      </c>
      <c r="W14" s="38">
        <f>AVERAGE(K14:V14)</f>
        <v>45.162451812974865</v>
      </c>
      <c r="X14" s="37">
        <f>STDEV(K14:V14)/SQRT(COUNT(K14:V14))</f>
        <v>2.0517949325804681</v>
      </c>
      <c r="Y14" s="36">
        <f>MIN(K14:V14)</f>
        <v>35.598197043051698</v>
      </c>
      <c r="Z14" s="35">
        <f>QUARTILE(K14:V14,1)</f>
        <v>38.935894120866983</v>
      </c>
      <c r="AA14" s="36">
        <f>MEDIAN(K14:V14)</f>
        <v>44.503770658646388</v>
      </c>
      <c r="AB14" s="35">
        <f>QUARTILE(K14:V14,3)</f>
        <v>51.80348850994497</v>
      </c>
      <c r="AC14" s="35">
        <f>MAX(K14:V14)</f>
        <v>54.83304907706556</v>
      </c>
      <c r="AD14" s="35">
        <f>SKEW(K14:V14)</f>
        <v>-4.5864575937757869E-2</v>
      </c>
      <c r="AE14" s="35">
        <f>KURT(K14:V14)</f>
        <v>-1.6650358516448831</v>
      </c>
    </row>
    <row r="15" spans="1:35" x14ac:dyDescent="0.2">
      <c r="B15" s="34">
        <f>[34]FormattedData!A18</f>
        <v>106</v>
      </c>
      <c r="C15" s="34" t="str">
        <f>VLOOKUP($B15,[34]TrtCodes!$B$11:I61,2)</f>
        <v>NTH</v>
      </c>
      <c r="D15" s="34">
        <f>VLOOKUP($B15,[34]TrtCodes!$B$11:J61,3)</f>
        <v>9</v>
      </c>
      <c r="E15" s="34">
        <f>VLOOKUP($B15,[34]TrtCodes!$B$11:K61,4)</f>
        <v>2</v>
      </c>
      <c r="F15" s="34">
        <f>VLOOKUP($B15,[34]TrtCodes!$B$11:L61,5)</f>
        <v>2</v>
      </c>
      <c r="G15" s="34">
        <f>VLOOKUP($B15,[34]TrtCodes!$B$11:M61,6)</f>
        <v>2</v>
      </c>
      <c r="H15" s="34">
        <f>VLOOKUP($B15,[34]TrtCodes!$B$11:N61,7)</f>
        <v>2</v>
      </c>
      <c r="I15" s="34">
        <f>[34]FormattedData!B18</f>
        <v>1</v>
      </c>
      <c r="J15" s="37">
        <f>[34]FormattedData!C18</f>
        <v>13.12</v>
      </c>
      <c r="K15" s="39">
        <f>$J$3+[34]FormattedData!D18*$J$4+$M$4*$J$5+[34]FormattedData!D18^2*$J$6+$M$5*$J$7</f>
        <v>37.391882881680679</v>
      </c>
      <c r="L15" s="39">
        <f>$J$3+[34]FormattedData!E18*$J$4+$M$4*$J$5+[34]FormattedData!E18^2*$J$6+$M$5*$J$7</f>
        <v>36.827104247724527</v>
      </c>
      <c r="M15" s="39">
        <f>$J$3+[34]FormattedData!F18*$J$4+$M$4*$J$5+[34]FormattedData!F18^2*$J$6+$M$5*$J$7</f>
        <v>31.482458815618628</v>
      </c>
      <c r="N15" s="39">
        <f>$J$3+[34]FormattedData!G18*$J$4+$M$4*$J$5+[34]FormattedData!G18^2*$J$6+$M$5*$J$7</f>
        <v>36.827104247724527</v>
      </c>
      <c r="O15" s="39">
        <f>$J$3+[34]FormattedData!H18*$J$4+$M$4*$J$5+[34]FormattedData!H18^2*$J$6+$M$5*$J$7</f>
        <v>35.313588627832239</v>
      </c>
      <c r="P15" s="39">
        <f>$J$3+[34]FormattedData!I18*$J$4+$M$4*$J$5+[34]FormattedData!I18^2*$J$6+$M$5*$J$7</f>
        <v>37.579804278029279</v>
      </c>
      <c r="Q15" s="39">
        <f>$J$3+[34]FormattedData!J18*$J$4+$M$4*$J$5+[34]FormattedData!J18^2*$J$6+$M$5*$J$7</f>
        <v>32.254095150916534</v>
      </c>
      <c r="R15" s="39">
        <f>$J$3+[34]FormattedData!K18*$J$4+$M$4*$J$5+[34]FormattedData!K18^2*$J$6+$M$5*$J$7</f>
        <v>36.921339691395382</v>
      </c>
      <c r="S15" s="39">
        <f>$J$3+[34]FormattedData!L18*$J$4+$M$4*$J$5+[34]FormattedData!L18^2*$J$6+$M$5*$J$7</f>
        <v>32.542761345777386</v>
      </c>
      <c r="T15" s="39">
        <f>$J$3+[34]FormattedData!M18*$J$4+$M$4*$J$5+[34]FormattedData!M18^2*$J$6+$M$5*$J$7</f>
        <v>36.449739787661798</v>
      </c>
      <c r="U15" s="39">
        <f>$J$3+[34]FormattedData!N18*$J$4+$M$4*$J$5+[34]FormattedData!N18^2*$J$6+$M$5*$J$7</f>
        <v>32.734994132994963</v>
      </c>
      <c r="V15" s="39">
        <f>$J$3+[34]FormattedData!O18*$J$4+$M$4*$J$5+[34]FormattedData!O18^2*$J$6+$M$5*$J$7</f>
        <v>35.123638341662932</v>
      </c>
      <c r="W15" s="38">
        <f>AVERAGE(K15:V15)</f>
        <v>35.120709295751574</v>
      </c>
      <c r="X15" s="37">
        <f>STDEV(K15:V15)/SQRT(COUNT(K15:V15))</f>
        <v>0.65056236524616995</v>
      </c>
      <c r="Y15" s="36">
        <f>MIN(K15:V15)</f>
        <v>31.482458815618628</v>
      </c>
      <c r="Z15" s="35">
        <f>QUARTILE(K15:V15,1)</f>
        <v>32.686935936190565</v>
      </c>
      <c r="AA15" s="36">
        <f>MEDIAN(K15:V15)</f>
        <v>35.881664207747022</v>
      </c>
      <c r="AB15" s="35">
        <f>QUARTILE(K15:V15,3)</f>
        <v>36.850663108642237</v>
      </c>
      <c r="AC15" s="35">
        <f>MAX(K15:V15)</f>
        <v>37.579804278029279</v>
      </c>
      <c r="AD15" s="35">
        <f>SKEW(K15:V15)</f>
        <v>-0.55005522150721353</v>
      </c>
      <c r="AE15" s="35">
        <f>KURT(K15:V15)</f>
        <v>-1.5098884720195405</v>
      </c>
    </row>
    <row r="16" spans="1:35" x14ac:dyDescent="0.2">
      <c r="B16" s="34">
        <f>[34]FormattedData!A16</f>
        <v>107</v>
      </c>
      <c r="C16" s="34" t="str">
        <f>VLOOKUP($B16,[34]TrtCodes!$B$11:I59,2)</f>
        <v>NTL</v>
      </c>
      <c r="D16" s="34">
        <f>VLOOKUP($B16,[34]TrtCodes!$B$11:J59,3)</f>
        <v>10</v>
      </c>
      <c r="E16" s="34">
        <f>VLOOKUP($B16,[34]TrtCodes!$B$11:K59,4)</f>
        <v>2</v>
      </c>
      <c r="F16" s="34">
        <f>VLOOKUP($B16,[34]TrtCodes!$B$11:L59,5)</f>
        <v>2</v>
      </c>
      <c r="G16" s="34">
        <f>VLOOKUP($B16,[34]TrtCodes!$B$11:M59,6)</f>
        <v>1</v>
      </c>
      <c r="H16" s="34">
        <f>VLOOKUP($B16,[34]TrtCodes!$B$11:N59,7)</f>
        <v>2</v>
      </c>
      <c r="I16" s="34">
        <f>[34]FormattedData!B16</f>
        <v>1</v>
      </c>
      <c r="J16" s="37">
        <f>[34]FormattedData!C16</f>
        <v>13.103</v>
      </c>
      <c r="K16" s="39">
        <f>$J$3+[34]FormattedData!D16*$J$4+$M$4*$J$5+[34]FormattedData!D16^2*$J$6+$M$5*$J$7</f>
        <v>37.767556600226165</v>
      </c>
      <c r="L16" s="39">
        <f>$J$3+[34]FormattedData!E16*$J$4+$M$4*$J$5+[34]FormattedData!E16^2*$J$6+$M$5*$J$7</f>
        <v>43.595209918013808</v>
      </c>
      <c r="M16" s="39">
        <f>$J$3+[34]FormattedData!F16*$J$4+$M$4*$J$5+[34]FormattedData!F16^2*$J$6+$M$5*$J$7</f>
        <v>43.504017809073993</v>
      </c>
      <c r="N16" s="39">
        <f>$J$3+[34]FormattedData!G16*$J$4+$M$4*$J$5+[34]FormattedData!G16^2*$J$6+$M$5*$J$7</f>
        <v>41.302726633139173</v>
      </c>
      <c r="O16" s="39">
        <f>$J$3+[34]FormattedData!H16*$J$4+$M$4*$J$5+[34]FormattedData!H16^2*$J$6+$M$5*$J$7</f>
        <v>37.767556600226165</v>
      </c>
      <c r="P16" s="39">
        <f>$J$3+[34]FormattedData!I16*$J$4+$M$4*$J$5+[34]FormattedData!I16^2*$J$6+$M$5*$J$7</f>
        <v>40.285664817283966</v>
      </c>
      <c r="Q16" s="39">
        <f>$J$3+[34]FormattedData!J16*$J$4+$M$4*$J$5+[34]FormattedData!J16^2*$J$6+$M$5*$J$7</f>
        <v>38.610349757484521</v>
      </c>
      <c r="R16" s="39">
        <f>$J$3+[34]FormattedData!K16*$J$4+$M$4*$J$5+[34]FormattedData!K16^2*$J$6+$M$5*$J$7</f>
        <v>39.635780743850084</v>
      </c>
      <c r="S16" s="39">
        <f>$J$3+[34]FormattedData!L16*$J$4+$M$4*$J$5+[34]FormattedData!L16^2*$J$6+$M$5*$J$7</f>
        <v>39.821673250377998</v>
      </c>
      <c r="T16" s="39">
        <f>$J$3+[34]FormattedData!M16*$J$4+$M$4*$J$5+[34]FormattedData!M16^2*$J$6+$M$5*$J$7</f>
        <v>40.656097237125991</v>
      </c>
      <c r="U16" s="39">
        <f>$J$3+[34]FormattedData!N16*$J$4+$M$4*$J$5+[34]FormattedData!N16^2*$J$6+$M$5*$J$7</f>
        <v>37.485864714123949</v>
      </c>
      <c r="V16" s="39">
        <f>$J$3+[34]FormattedData!O16*$J$4+$M$4*$J$5+[34]FormattedData!O16^2*$J$6+$M$5*$J$7</f>
        <v>38.516875147496428</v>
      </c>
      <c r="W16" s="38">
        <f>AVERAGE(K16:V16)</f>
        <v>39.91244776903519</v>
      </c>
      <c r="X16" s="37">
        <f>STDEV(K16:V16)/SQRT(COUNT(K16:V16))</f>
        <v>0.60242302173346207</v>
      </c>
      <c r="Y16" s="36">
        <f>MIN(K16:V16)</f>
        <v>37.485864714123949</v>
      </c>
      <c r="Z16" s="35">
        <f>QUARTILE(K16:V16,1)</f>
        <v>38.329545510678862</v>
      </c>
      <c r="AA16" s="36">
        <f>MEDIAN(K16:V16)</f>
        <v>39.728726997114038</v>
      </c>
      <c r="AB16" s="35">
        <f>QUARTILE(K16:V16,3)</f>
        <v>40.817754586129283</v>
      </c>
      <c r="AC16" s="35">
        <f>MAX(K16:V16)</f>
        <v>43.595209918013808</v>
      </c>
      <c r="AD16" s="35">
        <f>SKEW(K16:V16)</f>
        <v>0.72569445021318646</v>
      </c>
      <c r="AE16" s="35">
        <f>KURT(K16:V16)</f>
        <v>-0.3935694299015644</v>
      </c>
    </row>
    <row r="17" spans="2:31" x14ac:dyDescent="0.2">
      <c r="B17" s="34">
        <f>[34]FormattedData!A14</f>
        <v>108</v>
      </c>
      <c r="C17" s="34" t="str">
        <f>VLOOKUP($B17,[34]TrtCodes!$B$11:I57,2)</f>
        <v>FTH</v>
      </c>
      <c r="D17" s="34">
        <f>VLOOKUP($B17,[34]TrtCodes!$B$11:J57,3)</f>
        <v>3</v>
      </c>
      <c r="E17" s="34">
        <f>VLOOKUP($B17,[34]TrtCodes!$B$11:K57,4)</f>
        <v>1</v>
      </c>
      <c r="F17" s="34">
        <f>VLOOKUP($B17,[34]TrtCodes!$B$11:L57,5)</f>
        <v>2</v>
      </c>
      <c r="G17" s="34">
        <f>VLOOKUP($B17,[34]TrtCodes!$B$11:M57,6)</f>
        <v>2</v>
      </c>
      <c r="H17" s="34">
        <f>VLOOKUP($B17,[34]TrtCodes!$B$11:N57,7)</f>
        <v>2</v>
      </c>
      <c r="I17" s="34">
        <f>[34]FormattedData!B14</f>
        <v>1</v>
      </c>
      <c r="J17" s="37">
        <f>[34]FormattedData!C14</f>
        <v>13.087</v>
      </c>
      <c r="K17" s="39">
        <f>$J$3+[34]FormattedData!D14*$J$4+$M$4*$J$5+[34]FormattedData!D14^2*$J$6+$M$5*$J$7</f>
        <v>46.939603166621232</v>
      </c>
      <c r="L17" s="39">
        <f>$J$3+[34]FormattedData!E14*$J$4+$M$4*$J$5+[34]FormattedData!E14^2*$J$6+$M$5*$J$7</f>
        <v>44.595533392848274</v>
      </c>
      <c r="M17" s="39">
        <f>$J$3+[34]FormattedData!F14*$J$4+$M$4*$J$5+[34]FormattedData!F14^2*$J$6+$M$5*$J$7</f>
        <v>42.406415555837619</v>
      </c>
      <c r="N17" s="39">
        <f>$J$3+[34]FormattedData!G14*$J$4+$M$4*$J$5+[34]FormattedData!G14^2*$J$6+$M$5*$J$7</f>
        <v>46.491039616060128</v>
      </c>
      <c r="O17" s="39">
        <f>$J$3+[34]FormattedData!H14*$J$4+$M$4*$J$5+[34]FormattedData!H14^2*$J$6+$M$5*$J$7</f>
        <v>44.414036814265202</v>
      </c>
      <c r="P17" s="39">
        <f>$J$3+[34]FormattedData!I14*$J$4+$M$4*$J$5+[34]FormattedData!I14^2*$J$6+$M$5*$J$7</f>
        <v>47.47648456554284</v>
      </c>
      <c r="Q17" s="39">
        <f>$J$3+[34]FormattedData!J14*$J$4+$M$4*$J$5+[34]FormattedData!J14^2*$J$6+$M$5*$J$7</f>
        <v>45.410175703844494</v>
      </c>
      <c r="R17" s="39">
        <f>$J$3+[34]FormattedData!K14*$J$4+$M$4*$J$5+[34]FormattedData!K14^2*$J$6+$M$5*$J$7</f>
        <v>46.401200100334123</v>
      </c>
      <c r="S17" s="39">
        <f>$J$3+[34]FormattedData!L14*$J$4+$M$4*$J$5+[34]FormattedData!L14^2*$J$6+$M$5*$J$7</f>
        <v>39.914556100835057</v>
      </c>
      <c r="T17" s="39">
        <f>$J$3+[34]FormattedData!M14*$J$4+$M$4*$J$5+[34]FormattedData!M14^2*$J$6+$M$5*$J$7</f>
        <v>44.595533392848274</v>
      </c>
      <c r="U17" s="39">
        <f>$J$3+[34]FormattedData!N14*$J$4+$M$4*$J$5+[34]FormattedData!N14^2*$J$6+$M$5*$J$7</f>
        <v>38.983825512057585</v>
      </c>
      <c r="V17" s="39">
        <f>$J$3+[34]FormattedData!O14*$J$4+$M$4*$J$5+[34]FormattedData!O14^2*$J$6+$M$5*$J$7</f>
        <v>43.047423236305967</v>
      </c>
      <c r="W17" s="38">
        <f>AVERAGE(K17:V17)</f>
        <v>44.222985596450066</v>
      </c>
      <c r="X17" s="37">
        <f>STDEV(K17:V17)/SQRT(COUNT(K17:V17))</f>
        <v>0.77981493214829767</v>
      </c>
      <c r="Y17" s="36">
        <f>MIN(K17:V17)</f>
        <v>38.983825512057585</v>
      </c>
      <c r="Z17" s="35">
        <f>QUARTILE(K17:V17,1)</f>
        <v>42.887171316188883</v>
      </c>
      <c r="AA17" s="36">
        <f>MEDIAN(K17:V17)</f>
        <v>44.595533392848274</v>
      </c>
      <c r="AB17" s="35">
        <f>QUARTILE(K17:V17,3)</f>
        <v>46.423659979265622</v>
      </c>
      <c r="AC17" s="35">
        <f>MAX(K17:V17)</f>
        <v>47.47648456554284</v>
      </c>
      <c r="AD17" s="35">
        <f>SKEW(K17:V17)</f>
        <v>-0.84742716888987957</v>
      </c>
      <c r="AE17" s="35">
        <f>KURT(K17:V17)</f>
        <v>-0.10270364324405712</v>
      </c>
    </row>
    <row r="18" spans="2:31" x14ac:dyDescent="0.2">
      <c r="B18" s="34">
        <f>[34]FormattedData!A30</f>
        <v>201</v>
      </c>
      <c r="C18" s="34" t="str">
        <f>VLOOKUP($B18,[34]TrtCodes!$B$11:I73,2)</f>
        <v>NDL</v>
      </c>
      <c r="D18" s="34">
        <f>VLOOKUP($B18,[34]TrtCodes!$B$11:J73,3)</f>
        <v>12</v>
      </c>
      <c r="E18" s="34">
        <f>VLOOKUP($B18,[34]TrtCodes!$B$11:K73,4)</f>
        <v>2</v>
      </c>
      <c r="F18" s="34">
        <f>VLOOKUP($B18,[34]TrtCodes!$B$11:L73,5)</f>
        <v>3</v>
      </c>
      <c r="G18" s="34">
        <f>VLOOKUP($B18,[34]TrtCodes!$B$11:M73,6)</f>
        <v>1</v>
      </c>
      <c r="H18" s="34">
        <f>VLOOKUP($B18,[34]TrtCodes!$B$11:N73,7)</f>
        <v>1</v>
      </c>
      <c r="I18" s="34">
        <f>[34]FormattedData!B30</f>
        <v>1</v>
      </c>
      <c r="J18" s="37">
        <f>[34]FormattedData!C30</f>
        <v>13.223000000000001</v>
      </c>
      <c r="K18" s="39">
        <f>$J$3+[34]FormattedData!D30*$J$4+$M$4*$J$5+[34]FormattedData!D30^2*$J$6+$M$5*$J$7</f>
        <v>54.059111368097028</v>
      </c>
      <c r="L18" s="39">
        <f>$J$3+[34]FormattedData!E30*$J$4+$M$4*$J$5+[34]FormattedData!E30^2*$J$6+$M$5*$J$7</f>
        <v>50.753628570301835</v>
      </c>
      <c r="M18" s="39">
        <f>$J$3+[34]FormattedData!F30*$J$4+$M$4*$J$5+[34]FormattedData!F30^2*$J$6+$M$5*$J$7</f>
        <v>50.314152755395924</v>
      </c>
      <c r="N18" s="39">
        <f>$J$3+[34]FormattedData!G30*$J$4+$M$4*$J$5+[34]FormattedData!G30^2*$J$6+$M$5*$J$7</f>
        <v>39.170309778116525</v>
      </c>
      <c r="O18" s="39">
        <f>$J$3+[34]FormattedData!H30*$J$4+$M$4*$J$5+[34]FormattedData!H30^2*$J$6+$M$5*$J$7</f>
        <v>48.634507432105153</v>
      </c>
      <c r="P18" s="39">
        <f>$J$3+[34]FormattedData!I30*$J$4+$M$4*$J$5+[34]FormattedData!I30^2*$J$6+$M$5*$J$7</f>
        <v>43.595209918013808</v>
      </c>
      <c r="Q18" s="39">
        <f>$J$3+[34]FormattedData!J30*$J$4+$M$4*$J$5+[34]FormattedData!J30^2*$J$6+$M$5*$J$7</f>
        <v>51.104448388543801</v>
      </c>
      <c r="R18" s="39">
        <f>$J$3+[34]FormattedData!K30*$J$4+$M$4*$J$5+[34]FormattedData!K30^2*$J$6+$M$5*$J$7</f>
        <v>44.686218279332913</v>
      </c>
      <c r="S18" s="39">
        <f>$J$3+[34]FormattedData!L30*$J$4+$M$4*$J$5+[34]FormattedData!L30^2*$J$6+$M$5*$J$7</f>
        <v>50.138066549668032</v>
      </c>
      <c r="T18" s="39">
        <f>$J$3+[34]FormattedData!M30*$J$4+$M$4*$J$5+[34]FormattedData!M30^2*$J$6+$M$5*$J$7</f>
        <v>38.329799121906447</v>
      </c>
      <c r="U18" s="39">
        <f>$J$3+[34]FormattedData!N30*$J$4+$M$4*$J$5+[34]FormattedData!N30^2*$J$6+$M$5*$J$7</f>
        <v>50.929123016498679</v>
      </c>
      <c r="V18" s="39">
        <f>$J$3+[34]FormattedData!O30*$J$4+$M$4*$J$5+[34]FormattedData!O30^2*$J$6+$M$5*$J$7</f>
        <v>37.015532866528304</v>
      </c>
      <c r="W18" s="38">
        <f>AVERAGE(K18:V18)</f>
        <v>46.560842337042367</v>
      </c>
      <c r="X18" s="37">
        <f>STDEV(K18:V18)/SQRT(COUNT(K18:V18))</f>
        <v>1.6753693708526556</v>
      </c>
      <c r="Y18" s="36">
        <f>MIN(K18:V18)</f>
        <v>37.015532866528304</v>
      </c>
      <c r="Z18" s="35">
        <f>QUARTILE(K18:V18,1)</f>
        <v>42.488984883039485</v>
      </c>
      <c r="AA18" s="36">
        <f>MEDIAN(K18:V18)</f>
        <v>49.386286990886589</v>
      </c>
      <c r="AB18" s="35">
        <f>QUARTILE(K18:V18,3)</f>
        <v>50.797502181851044</v>
      </c>
      <c r="AC18" s="35">
        <f>MAX(K18:V18)</f>
        <v>54.059111368097028</v>
      </c>
      <c r="AD18" s="35">
        <f>SKEW(K18:V18)</f>
        <v>-0.60476651534019377</v>
      </c>
      <c r="AE18" s="35">
        <f>KURT(K18:V18)</f>
        <v>-1.1712949704309557</v>
      </c>
    </row>
    <row r="19" spans="2:31" x14ac:dyDescent="0.2">
      <c r="B19" s="34">
        <f>[34]FormattedData!A32</f>
        <v>202</v>
      </c>
      <c r="C19" s="34" t="str">
        <f>VLOOKUP($B19,[34]TrtCodes!$B$11:I75,2)</f>
        <v>NTH</v>
      </c>
      <c r="D19" s="34">
        <f>VLOOKUP($B19,[34]TrtCodes!$B$11:J75,3)</f>
        <v>9</v>
      </c>
      <c r="E19" s="34">
        <f>VLOOKUP($B19,[34]TrtCodes!$B$11:K75,4)</f>
        <v>2</v>
      </c>
      <c r="F19" s="34">
        <f>VLOOKUP($B19,[34]TrtCodes!$B$11:L75,5)</f>
        <v>2</v>
      </c>
      <c r="G19" s="34">
        <f>VLOOKUP($B19,[34]TrtCodes!$B$11:M75,6)</f>
        <v>2</v>
      </c>
      <c r="H19" s="34">
        <f>VLOOKUP($B19,[34]TrtCodes!$B$11:N75,7)</f>
        <v>1</v>
      </c>
      <c r="I19" s="34">
        <f>[34]FormattedData!B32</f>
        <v>1</v>
      </c>
      <c r="J19" s="37">
        <f>[34]FormattedData!C32</f>
        <v>13.239000000000001</v>
      </c>
      <c r="K19" s="39">
        <f>$J$3+[34]FormattedData!D32*$J$4+$M$4*$J$5+[34]FormattedData!D32^2*$J$6+$M$5*$J$7</f>
        <v>38.610349757484521</v>
      </c>
      <c r="L19" s="39">
        <f>$J$3+[34]FormattedData!E32*$J$4+$M$4*$J$5+[34]FormattedData!E32^2*$J$6+$M$5*$J$7</f>
        <v>39.077088779356018</v>
      </c>
      <c r="M19" s="39">
        <f>$J$3+[34]FormattedData!F32*$J$4+$M$4*$J$5+[34]FormattedData!F32^2*$J$6+$M$5*$J$7</f>
        <v>36.732826535515748</v>
      </c>
      <c r="N19" s="39">
        <f>$J$3+[34]FormattedData!G32*$J$4+$M$4*$J$5+[34]FormattedData!G32^2*$J$6+$M$5*$J$7</f>
        <v>37.673701573396691</v>
      </c>
      <c r="O19" s="39">
        <f>$J$3+[34]FormattedData!H32*$J$4+$M$4*$J$5+[34]FormattedData!H32^2*$J$6+$M$5*$J$7</f>
        <v>37.109683773123294</v>
      </c>
      <c r="P19" s="39">
        <f>$J$3+[34]FormattedData!I32*$J$4+$M$4*$J$5+[34]FormattedData!I32^2*$J$6+$M$5*$J$7</f>
        <v>35.882425041429769</v>
      </c>
      <c r="Q19" s="39">
        <f>$J$3+[34]FormattedData!J32*$J$4+$M$4*$J$5+[34]FormattedData!J32^2*$J$6+$M$5*$J$7</f>
        <v>36.732826535515748</v>
      </c>
      <c r="R19" s="39">
        <f>$J$3+[34]FormattedData!K32*$J$4+$M$4*$J$5+[34]FormattedData!K32^2*$J$6+$M$5*$J$7</f>
        <v>39.728748131383007</v>
      </c>
      <c r="S19" s="39">
        <f>$J$3+[34]FormattedData!L32*$J$4+$M$4*$J$5+[34]FormattedData!L32^2*$J$6+$M$5*$J$7</f>
        <v>36.166272622966481</v>
      </c>
      <c r="T19" s="39">
        <f>$J$3+[34]FormattedData!M32*$J$4+$M$4*$J$5+[34]FormattedData!M32^2*$J$6+$M$5*$J$7</f>
        <v>32.831047123796857</v>
      </c>
      <c r="U19" s="39">
        <f>$J$3+[34]FormattedData!N32*$J$4+$M$4*$J$5+[34]FormattedData!N32^2*$J$6+$M$5*$J$7</f>
        <v>36.355293001301284</v>
      </c>
      <c r="V19" s="39">
        <f>$J$3+[34]FormattedData!O32*$J$4+$M$4*$J$5+[34]FormattedData!O32^2*$J$6+$M$5*$J$7</f>
        <v>31.482458815618628</v>
      </c>
      <c r="W19" s="38">
        <f>AVERAGE(K19:V19)</f>
        <v>36.531893474240668</v>
      </c>
      <c r="X19" s="37">
        <f>STDEV(K19:V19)/SQRT(COUNT(K19:V19))</f>
        <v>0.6881900095313217</v>
      </c>
      <c r="Y19" s="36">
        <f>MIN(K19:V19)</f>
        <v>31.482458815618628</v>
      </c>
      <c r="Z19" s="35">
        <f>QUARTILE(K19:V19,1)</f>
        <v>36.095310727582302</v>
      </c>
      <c r="AA19" s="36">
        <f>MEDIAN(K19:V19)</f>
        <v>36.732826535515748</v>
      </c>
      <c r="AB19" s="35">
        <f>QUARTILE(K19:V19,3)</f>
        <v>37.907863619418649</v>
      </c>
      <c r="AC19" s="35">
        <f>MAX(K19:V19)</f>
        <v>39.728748131383007</v>
      </c>
      <c r="AD19" s="35">
        <f>SKEW(K19:V19)</f>
        <v>-0.96560563054654003</v>
      </c>
      <c r="AE19" s="35">
        <f>KURT(K19:V19)</f>
        <v>0.86845944059280633</v>
      </c>
    </row>
    <row r="20" spans="2:31" x14ac:dyDescent="0.2">
      <c r="B20" s="34">
        <f>[34]FormattedData!A34</f>
        <v>203</v>
      </c>
      <c r="C20" s="34" t="str">
        <f>VLOOKUP($B20,[34]TrtCodes!$B$11:I77,2)</f>
        <v>FTH</v>
      </c>
      <c r="D20" s="34">
        <f>VLOOKUP($B20,[34]TrtCodes!$B$11:J77,3)</f>
        <v>3</v>
      </c>
      <c r="E20" s="34">
        <f>VLOOKUP($B20,[34]TrtCodes!$B$11:K77,4)</f>
        <v>1</v>
      </c>
      <c r="F20" s="34">
        <f>VLOOKUP($B20,[34]TrtCodes!$B$11:L77,5)</f>
        <v>2</v>
      </c>
      <c r="G20" s="34">
        <f>VLOOKUP($B20,[34]TrtCodes!$B$11:M77,6)</f>
        <v>2</v>
      </c>
      <c r="H20" s="34">
        <f>VLOOKUP($B20,[34]TrtCodes!$B$11:N77,7)</f>
        <v>1</v>
      </c>
      <c r="I20" s="34">
        <f>[34]FormattedData!B34</f>
        <v>1</v>
      </c>
      <c r="J20" s="37">
        <f>[34]FormattedData!C34</f>
        <v>13.254</v>
      </c>
      <c r="K20" s="39">
        <f>$J$3+[34]FormattedData!D34*$J$4+$M$4*$J$5+[34]FormattedData!D34^2*$J$6+$M$5*$J$7</f>
        <v>45.048535139892152</v>
      </c>
      <c r="L20" s="39">
        <f>$J$3+[34]FormattedData!E34*$J$4+$M$4*$J$5+[34]FormattedData!E34^2*$J$6+$M$5*$J$7</f>
        <v>46.84997499358488</v>
      </c>
      <c r="M20" s="39">
        <f>$J$3+[34]FormattedData!F34*$J$4+$M$4*$J$5+[34]FormattedData!F34^2*$J$6+$M$5*$J$7</f>
        <v>46.041419352050738</v>
      </c>
      <c r="N20" s="39">
        <f>$J$3+[34]FormattedData!G34*$J$4+$M$4*$J$5+[34]FormattedData!G34^2*$J$6+$M$5*$J$7</f>
        <v>43.686359758415684</v>
      </c>
      <c r="O20" s="39">
        <f>$J$3+[34]FormattedData!H34*$J$4+$M$4*$J$5+[34]FormattedData!H34^2*$J$6+$M$5*$J$7</f>
        <v>39.728748131383007</v>
      </c>
      <c r="P20" s="39">
        <f>$J$3+[34]FormattedData!I34*$J$4+$M$4*$J$5+[34]FormattedData!I34^2*$J$6+$M$5*$J$7</f>
        <v>45.13900868368713</v>
      </c>
      <c r="Q20" s="39">
        <f>$J$3+[34]FormattedData!J34*$J$4+$M$4*$J$5+[34]FormattedData!J34^2*$J$6+$M$5*$J$7</f>
        <v>42.955977516138567</v>
      </c>
      <c r="R20" s="39">
        <f>$J$3+[34]FormattedData!K34*$J$4+$M$4*$J$5+[34]FormattedData!K34^2*$J$6+$M$5*$J$7</f>
        <v>50.490069886972073</v>
      </c>
      <c r="S20" s="39">
        <f>$J$3+[34]FormattedData!L34*$J$4+$M$4*$J$5+[34]FormattedData!L34^2*$J$6+$M$5*$J$7</f>
        <v>48.456815021935881</v>
      </c>
      <c r="T20" s="39">
        <f>$J$3+[34]FormattedData!M34*$J$4+$M$4*$J$5+[34]FormattedData!M34^2*$J$6+$M$5*$J$7</f>
        <v>40.563552534972381</v>
      </c>
      <c r="U20" s="39">
        <f>$J$3+[34]FormattedData!N34*$J$4+$M$4*$J$5+[34]FormattedData!N34^2*$J$6+$M$5*$J$7</f>
        <v>40.748599670741662</v>
      </c>
      <c r="V20" s="39">
        <f>$J$3+[34]FormattedData!O34*$J$4+$M$4*$J$5+[34]FormattedData!O34^2*$J$6+$M$5*$J$7</f>
        <v>42.864489527433243</v>
      </c>
      <c r="W20" s="38">
        <f>AVERAGE(K20:V20)</f>
        <v>44.381129184767282</v>
      </c>
      <c r="X20" s="37">
        <f>STDEV(K20:V20)/SQRT(COUNT(K20:V20))</f>
        <v>0.94560272567956605</v>
      </c>
      <c r="Y20" s="36">
        <f>MIN(K20:V20)</f>
        <v>39.728748131383007</v>
      </c>
      <c r="Z20" s="35">
        <f>QUARTILE(K20:V20,1)</f>
        <v>42.335517063260347</v>
      </c>
      <c r="AA20" s="36">
        <f>MEDIAN(K20:V20)</f>
        <v>44.367447449153914</v>
      </c>
      <c r="AB20" s="35">
        <f>QUARTILE(K20:V20,3)</f>
        <v>46.243558262434277</v>
      </c>
      <c r="AC20" s="35">
        <f>MAX(K20:V20)</f>
        <v>50.490069886972073</v>
      </c>
      <c r="AD20" s="35">
        <f>SKEW(K20:V20)</f>
        <v>0.32606170089418424</v>
      </c>
      <c r="AE20" s="35">
        <f>KURT(K20:V20)</f>
        <v>-0.50415752769221633</v>
      </c>
    </row>
    <row r="21" spans="2:31" x14ac:dyDescent="0.2">
      <c r="B21" s="34">
        <f>[34]FormattedData!A36</f>
        <v>204</v>
      </c>
      <c r="C21" s="34" t="str">
        <f>VLOOKUP($B21,[34]TrtCodes!$B$11:I79,2)</f>
        <v>NDH</v>
      </c>
      <c r="D21" s="34">
        <f>VLOOKUP($B21,[34]TrtCodes!$B$11:J79,3)</f>
        <v>11</v>
      </c>
      <c r="E21" s="34">
        <f>VLOOKUP($B21,[34]TrtCodes!$B$11:K79,4)</f>
        <v>2</v>
      </c>
      <c r="F21" s="34">
        <f>VLOOKUP($B21,[34]TrtCodes!$B$11:L79,5)</f>
        <v>3</v>
      </c>
      <c r="G21" s="34">
        <f>VLOOKUP($B21,[34]TrtCodes!$B$11:M79,6)</f>
        <v>2</v>
      </c>
      <c r="H21" s="34">
        <f>VLOOKUP($B21,[34]TrtCodes!$B$11:N79,7)</f>
        <v>1</v>
      </c>
      <c r="I21" s="34">
        <f>[34]FormattedData!B36</f>
        <v>1</v>
      </c>
      <c r="J21" s="37">
        <f>[34]FormattedData!C36</f>
        <v>13.27</v>
      </c>
      <c r="K21" s="39">
        <f>$J$3+[34]FormattedData!D36*$J$4+$M$4*$J$5+[34]FormattedData!D36^2*$J$6+$M$5*$J$7</f>
        <v>46.760304552010588</v>
      </c>
      <c r="L21" s="39">
        <f>$J$3+[34]FormattedData!E36*$J$4+$M$4*$J$5+[34]FormattedData!E36^2*$J$6+$M$5*$J$7</f>
        <v>44.776860897279619</v>
      </c>
      <c r="M21" s="39">
        <f>$J$3+[34]FormattedData!F36*$J$4+$M$4*$J$5+[34]FormattedData!F36^2*$J$6+$M$5*$J$7</f>
        <v>42.222890087433861</v>
      </c>
      <c r="N21" s="39">
        <f>$J$3+[34]FormattedData!G36*$J$4+$M$4*$J$5+[34]FormattedData!G36^2*$J$6+$M$5*$J$7</f>
        <v>48.189959392647502</v>
      </c>
      <c r="O21" s="39">
        <f>$J$3+[34]FormattedData!H36*$J$4+$M$4*$J$5+[34]FormattedData!H36^2*$J$6+$M$5*$J$7</f>
        <v>46.401200100334123</v>
      </c>
      <c r="P21" s="39">
        <f>$J$3+[34]FormattedData!I36*$J$4+$M$4*$J$5+[34]FormattedData!I36^2*$J$6+$M$5*$J$7</f>
        <v>46.939603166621232</v>
      </c>
      <c r="Q21" s="39">
        <f>$J$3+[34]FormattedData!J36*$J$4+$M$4*$J$5+[34]FormattedData!J36^2*$J$6+$M$5*$J$7</f>
        <v>43.138826687935435</v>
      </c>
      <c r="R21" s="39">
        <f>$J$3+[34]FormattedData!K36*$J$4+$M$4*$J$5+[34]FormattedData!K36^2*$J$6+$M$5*$J$7</f>
        <v>47.029189071119667</v>
      </c>
      <c r="S21" s="39">
        <f>$J$3+[34]FormattedData!L36*$J$4+$M$4*$J$5+[34]FormattedData!L36^2*$J$6+$M$5*$J$7</f>
        <v>35.692981977715654</v>
      </c>
      <c r="T21" s="39">
        <f>$J$3+[34]FormattedData!M36*$J$4+$M$4*$J$5+[34]FormattedData!M36^2*$J$6+$M$5*$J$7</f>
        <v>49.961811269788427</v>
      </c>
      <c r="U21" s="39">
        <f>$J$3+[34]FormattedData!N36*$J$4+$M$4*$J$5+[34]FormattedData!N36^2*$J$6+$M$5*$J$7</f>
        <v>37.673701573396691</v>
      </c>
      <c r="V21" s="39">
        <f>$J$3+[34]FormattedData!O36*$J$4+$M$4*$J$5+[34]FormattedData!O36^2*$J$6+$M$5*$J$7</f>
        <v>47.744354639741573</v>
      </c>
      <c r="W21" s="38">
        <f>AVERAGE(K21:V21)</f>
        <v>44.710973618002022</v>
      </c>
      <c r="X21" s="37">
        <f>STDEV(K21:V21)/SQRT(COUNT(K21:V21))</f>
        <v>1.2485976730637802</v>
      </c>
      <c r="Y21" s="36">
        <f>MIN(K21:V21)</f>
        <v>35.692981977715654</v>
      </c>
      <c r="Z21" s="35">
        <f>QUARTILE(K21:V21,1)</f>
        <v>42.909842537810043</v>
      </c>
      <c r="AA21" s="36">
        <f>MEDIAN(K21:V21)</f>
        <v>46.580752326172359</v>
      </c>
      <c r="AB21" s="35">
        <f>QUARTILE(K21:V21,3)</f>
        <v>47.207980463275142</v>
      </c>
      <c r="AC21" s="35">
        <f>MAX(K21:V21)</f>
        <v>49.961811269788427</v>
      </c>
      <c r="AD21" s="35">
        <f>SKEW(K21:V21)</f>
        <v>-1.145178397967612</v>
      </c>
      <c r="AE21" s="35">
        <f>KURT(K21:V21)</f>
        <v>0.55061110908373045</v>
      </c>
    </row>
    <row r="22" spans="2:31" x14ac:dyDescent="0.2">
      <c r="B22" s="34">
        <f>[34]FormattedData!A38</f>
        <v>205</v>
      </c>
      <c r="C22" s="34" t="str">
        <f>VLOOKUP($B22,[34]TrtCodes!$B$11:I81,2)</f>
        <v>FSH</v>
      </c>
      <c r="D22" s="34">
        <f>VLOOKUP($B22,[34]TrtCodes!$B$11:J81,3)</f>
        <v>1</v>
      </c>
      <c r="E22" s="34">
        <f>VLOOKUP($B22,[34]TrtCodes!$B$11:K81,4)</f>
        <v>1</v>
      </c>
      <c r="F22" s="34">
        <f>VLOOKUP($B22,[34]TrtCodes!$B$11:L81,5)</f>
        <v>1</v>
      </c>
      <c r="G22" s="34">
        <f>VLOOKUP($B22,[34]TrtCodes!$B$11:M81,6)</f>
        <v>2</v>
      </c>
      <c r="H22" s="34">
        <f>VLOOKUP($B22,[34]TrtCodes!$B$11:N81,7)</f>
        <v>2</v>
      </c>
      <c r="I22" s="34">
        <f>[34]FormattedData!B38</f>
        <v>1</v>
      </c>
      <c r="J22" s="37">
        <f>[34]FormattedData!C38</f>
        <v>13.284000000000001</v>
      </c>
      <c r="K22" s="39">
        <f>$J$3+[34]FormattedData!D38*$J$4+$M$4*$J$5+[34]FormattedData!D38^2*$J$6+$M$5*$J$7</f>
        <v>44.050536434643902</v>
      </c>
      <c r="L22" s="39">
        <f>$J$3+[34]FormattedData!E38*$J$4+$M$4*$J$5+[34]FormattedData!E38^2*$J$6+$M$5*$J$7</f>
        <v>47.297693173387366</v>
      </c>
      <c r="M22" s="39">
        <f>$J$3+[34]FormattedData!F38*$J$4+$M$4*$J$5+[34]FormattedData!F38^2*$J$6+$M$5*$J$7</f>
        <v>47.297693173387366</v>
      </c>
      <c r="N22" s="39">
        <f>$J$3+[34]FormattedData!G38*$J$4+$M$4*$J$5+[34]FormattedData!G38^2*$J$6+$M$5*$J$7</f>
        <v>44.595533392848274</v>
      </c>
      <c r="O22" s="39">
        <f>$J$3+[34]FormattedData!H38*$J$4+$M$4*$J$5+[34]FormattedData!H38^2*$J$6+$M$5*$J$7</f>
        <v>44.050536434643902</v>
      </c>
      <c r="P22" s="39">
        <f>$J$3+[34]FormattedData!I38*$J$4+$M$4*$J$5+[34]FormattedData!I38^2*$J$6+$M$5*$J$7</f>
        <v>42.772959270189979</v>
      </c>
      <c r="Q22" s="39">
        <f>$J$3+[34]FormattedData!J38*$J$4+$M$4*$J$5+[34]FormattedData!J38^2*$J$6+$M$5*$J$7</f>
        <v>44.686218279332913</v>
      </c>
      <c r="R22" s="39">
        <f>$J$3+[34]FormattedData!K38*$J$4+$M$4*$J$5+[34]FormattedData!K38^2*$J$6+$M$5*$J$7</f>
        <v>45.319828965663305</v>
      </c>
      <c r="S22" s="39">
        <f>$J$3+[34]FormattedData!L38*$J$4+$M$4*$J$5+[34]FormattedData!L38^2*$J$6+$M$5*$J$7</f>
        <v>47.565816858813683</v>
      </c>
      <c r="T22" s="39">
        <f>$J$3+[34]FormattedData!M38*$J$4+$M$4*$J$5+[34]FormattedData!M38^2*$J$6+$M$5*$J$7</f>
        <v>44.050536434643902</v>
      </c>
      <c r="U22" s="39">
        <f>$J$3+[34]FormattedData!N38*$J$4+$M$4*$J$5+[34]FormattedData!N38^2*$J$6+$M$5*$J$7</f>
        <v>39.821673250377998</v>
      </c>
      <c r="V22" s="39">
        <f>$J$3+[34]FormattedData!O38*$J$4+$M$4*$J$5+[34]FormattedData!O38^2*$J$6+$M$5*$J$7</f>
        <v>44.323225122166768</v>
      </c>
      <c r="W22" s="38">
        <f>AVERAGE(K22:V22)</f>
        <v>44.65268756584161</v>
      </c>
      <c r="X22" s="37">
        <f>STDEV(K22:V22)/SQRT(COUNT(K22:V22))</f>
        <v>0.62155889917494267</v>
      </c>
      <c r="Y22" s="36">
        <f>MIN(K22:V22)</f>
        <v>39.821673250377998</v>
      </c>
      <c r="Z22" s="35">
        <f>QUARTILE(K22:V22,1)</f>
        <v>44.050536434643902</v>
      </c>
      <c r="AA22" s="36">
        <f>MEDIAN(K22:V22)</f>
        <v>44.459379257507521</v>
      </c>
      <c r="AB22" s="35">
        <f>QUARTILE(K22:V22,3)</f>
        <v>45.814295017594318</v>
      </c>
      <c r="AC22" s="35">
        <f>MAX(K22:V22)</f>
        <v>47.565816858813683</v>
      </c>
      <c r="AD22" s="35">
        <f>SKEW(K22:V22)</f>
        <v>-0.63446100666544858</v>
      </c>
      <c r="AE22" s="35">
        <f>KURT(K22:V22)</f>
        <v>1.3017948914958994</v>
      </c>
    </row>
    <row r="23" spans="2:31" x14ac:dyDescent="0.2">
      <c r="B23" s="34">
        <f>[34]FormattedData!A40</f>
        <v>206</v>
      </c>
      <c r="C23" s="34" t="str">
        <f>VLOOKUP($B23,[34]TrtCodes!$B$11:I83,2)</f>
        <v>NSL</v>
      </c>
      <c r="D23" s="34">
        <f>VLOOKUP($B23,[34]TrtCodes!$B$11:J83,3)</f>
        <v>8</v>
      </c>
      <c r="E23" s="34">
        <f>VLOOKUP($B23,[34]TrtCodes!$B$11:K83,4)</f>
        <v>2</v>
      </c>
      <c r="F23" s="34">
        <f>VLOOKUP($B23,[34]TrtCodes!$B$11:L83,5)</f>
        <v>1</v>
      </c>
      <c r="G23" s="34">
        <f>VLOOKUP($B23,[34]TrtCodes!$B$11:M83,6)</f>
        <v>1</v>
      </c>
      <c r="H23" s="34">
        <f>VLOOKUP($B23,[34]TrtCodes!$B$11:N83,7)</f>
        <v>2</v>
      </c>
      <c r="I23" s="34">
        <f>[34]FormattedData!B40</f>
        <v>1</v>
      </c>
      <c r="J23" s="37">
        <f>[34]FormattedData!C40</f>
        <v>13.3</v>
      </c>
      <c r="K23" s="39">
        <f>$J$3+[34]FormattedData!D40*$J$4+$M$4*$J$5+[34]FormattedData!D40^2*$J$6+$M$5*$J$7</f>
        <v>56.115336921852169</v>
      </c>
      <c r="L23" s="39">
        <f>$J$3+[34]FormattedData!E40*$J$4+$M$4*$J$5+[34]FormattedData!E40^2*$J$6+$M$5*$J$7</f>
        <v>54.403506368573467</v>
      </c>
      <c r="M23" s="39">
        <f>$J$3+[34]FormattedData!F40*$J$4+$M$4*$J$5+[34]FormattedData!F40^2*$J$6+$M$5*$J$7</f>
        <v>55.859640186577607</v>
      </c>
      <c r="N23" s="39">
        <f>$J$3+[34]FormattedData!G40*$J$4+$M$4*$J$5+[34]FormattedData!G40^2*$J$6+$M$5*$J$7</f>
        <v>55.175922410176476</v>
      </c>
      <c r="O23" s="39">
        <f>$J$3+[34]FormattedData!H40*$J$4+$M$4*$J$5+[34]FormattedData!H40^2*$J$6+$M$5*$J$7</f>
        <v>54.059111368097028</v>
      </c>
      <c r="P23" s="39">
        <f>$J$3+[34]FormattedData!I40*$J$4+$M$4*$J$5+[34]FormattedData!I40^2*$J$6+$M$5*$J$7</f>
        <v>55.261535072109375</v>
      </c>
      <c r="Q23" s="39">
        <f>$J$3+[34]FormattedData!J40*$J$4+$M$4*$J$5+[34]FormattedData!J40^2*$J$6+$M$5*$J$7</f>
        <v>53.714040071013699</v>
      </c>
      <c r="R23" s="39">
        <f>$J$3+[34]FormattedData!K40*$J$4+$M$4*$J$5+[34]FormattedData!K40^2*$J$6+$M$5*$J$7</f>
        <v>51.891320270119266</v>
      </c>
      <c r="S23" s="39">
        <f>$J$3+[34]FormattedData!L40*$J$4+$M$4*$J$5+[34]FormattedData!L40^2*$J$6+$M$5*$J$7</f>
        <v>55.688964353704911</v>
      </c>
      <c r="T23" s="39">
        <f>$J$3+[34]FormattedData!M40*$J$4+$M$4*$J$5+[34]FormattedData!M40^2*$J$6+$M$5*$J$7</f>
        <v>52.587887682051466</v>
      </c>
      <c r="U23" s="39">
        <f>$J$3+[34]FormattedData!N40*$J$4+$M$4*$J$5+[34]FormattedData!N40^2*$J$6+$M$5*$J$7</f>
        <v>56.880144626627569</v>
      </c>
      <c r="V23" s="39">
        <f>$J$3+[34]FormattedData!O40*$J$4+$M$4*$J$5+[34]FormattedData!O40^2*$J$6+$M$5*$J$7</f>
        <v>55.261535072109375</v>
      </c>
      <c r="W23" s="38">
        <f>AVERAGE(K23:V23)</f>
        <v>54.74157870025104</v>
      </c>
      <c r="X23" s="37">
        <f>STDEV(K23:V23)/SQRT(COUNT(K23:V23))</f>
        <v>0.42404874798353603</v>
      </c>
      <c r="Y23" s="36">
        <f>MIN(K23:V23)</f>
        <v>51.891320270119266</v>
      </c>
      <c r="Z23" s="35">
        <f>QUARTILE(K23:V23,1)</f>
        <v>53.972843543826194</v>
      </c>
      <c r="AA23" s="36">
        <f>MEDIAN(K23:V23)</f>
        <v>55.218728741142925</v>
      </c>
      <c r="AB23" s="35">
        <f>QUARTILE(K23:V23,3)</f>
        <v>55.731633311923083</v>
      </c>
      <c r="AC23" s="35">
        <f>MAX(K23:V23)</f>
        <v>56.880144626627569</v>
      </c>
      <c r="AD23" s="35">
        <f>SKEW(K23:V23)</f>
        <v>-0.67464369508805011</v>
      </c>
      <c r="AE23" s="35">
        <f>KURT(K23:V23)</f>
        <v>-0.11143282915738029</v>
      </c>
    </row>
    <row r="24" spans="2:31" x14ac:dyDescent="0.2">
      <c r="B24" s="34">
        <f>[34]FormattedData!A42</f>
        <v>207</v>
      </c>
      <c r="C24" s="34" t="str">
        <f>VLOOKUP($B24,[34]TrtCodes!$B$11:I85,2)</f>
        <v>FTL</v>
      </c>
      <c r="D24" s="34">
        <f>VLOOKUP($B24,[34]TrtCodes!$B$11:J85,3)</f>
        <v>4</v>
      </c>
      <c r="E24" s="34">
        <f>VLOOKUP($B24,[34]TrtCodes!$B$11:K85,4)</f>
        <v>1</v>
      </c>
      <c r="F24" s="34">
        <f>VLOOKUP($B24,[34]TrtCodes!$B$11:L85,5)</f>
        <v>2</v>
      </c>
      <c r="G24" s="34">
        <f>VLOOKUP($B24,[34]TrtCodes!$B$11:M85,6)</f>
        <v>1</v>
      </c>
      <c r="H24" s="34">
        <f>VLOOKUP($B24,[34]TrtCodes!$B$11:N85,7)</f>
        <v>2</v>
      </c>
      <c r="I24" s="34">
        <f>[34]FormattedData!B42</f>
        <v>1</v>
      </c>
      <c r="J24" s="37">
        <f>[34]FormattedData!C42</f>
        <v>13.316000000000001</v>
      </c>
      <c r="K24" s="39">
        <f>$J$3+[34]FormattedData!D42*$J$4+$M$4*$J$5+[34]FormattedData!D42^2*$J$6+$M$5*$J$7</f>
        <v>46.84997499358488</v>
      </c>
      <c r="L24" s="39">
        <f>$J$3+[34]FormattedData!E42*$J$4+$M$4*$J$5+[34]FormattedData!E42^2*$J$6+$M$5*$J$7</f>
        <v>47.11873270708017</v>
      </c>
      <c r="M24" s="39">
        <f>$J$3+[34]FormattedData!F42*$J$4+$M$4*$J$5+[34]FormattedData!F42^2*$J$6+$M$5*$J$7</f>
        <v>43.777467330279634</v>
      </c>
      <c r="N24" s="39">
        <f>$J$3+[34]FormattedData!G42*$J$4+$M$4*$J$5+[34]FormattedData!G42^2*$J$6+$M$5*$J$7</f>
        <v>44.776860897279619</v>
      </c>
      <c r="O24" s="39">
        <f>$J$3+[34]FormattedData!H42*$J$4+$M$4*$J$5+[34]FormattedData!H42^2*$J$6+$M$5*$J$7</f>
        <v>40.378336325051372</v>
      </c>
      <c r="P24" s="39">
        <f>$J$3+[34]FormattedData!I42*$J$4+$M$4*$J$5+[34]FormattedData!I42^2*$J$6+$M$5*$J$7</f>
        <v>44.232371161530409</v>
      </c>
      <c r="Q24" s="39">
        <f>$J$3+[34]FormattedData!J42*$J$4+$M$4*$J$5+[34]FormattedData!J42^2*$J$6+$M$5*$J$7</f>
        <v>44.050536434643902</v>
      </c>
      <c r="R24" s="39">
        <f>$J$3+[34]FormattedData!K42*$J$4+$M$4*$J$5+[34]FormattedData!K42^2*$J$6+$M$5*$J$7</f>
        <v>41.94728487079373</v>
      </c>
      <c r="S24" s="39">
        <f>$J$3+[34]FormattedData!L42*$J$4+$M$4*$J$5+[34]FormattedData!L42^2*$J$6+$M$5*$J$7</f>
        <v>42.49811488723261</v>
      </c>
      <c r="T24" s="39">
        <f>$J$3+[34]FormattedData!M42*$J$4+$M$4*$J$5+[34]FormattedData!M42^2*$J$6+$M$5*$J$7</f>
        <v>37.109683773123294</v>
      </c>
      <c r="U24" s="39">
        <f>$J$3+[34]FormattedData!N42*$J$4+$M$4*$J$5+[34]FormattedData!N42^2*$J$6+$M$5*$J$7</f>
        <v>44.141474932356118</v>
      </c>
      <c r="V24" s="39">
        <f>$J$3+[34]FormattedData!O42*$J$4+$M$4*$J$5+[34]FormattedData!O42^2*$J$6+$M$5*$J$7</f>
        <v>34.362146455468512</v>
      </c>
      <c r="W24" s="38">
        <f>AVERAGE(K24:V24)</f>
        <v>42.603582064035351</v>
      </c>
      <c r="X24" s="37">
        <f>STDEV(K24:V24)/SQRT(COUNT(K24:V24))</f>
        <v>1.0840757771064049</v>
      </c>
      <c r="Y24" s="36">
        <f>MIN(K24:V24)</f>
        <v>34.362146455468512</v>
      </c>
      <c r="Z24" s="35">
        <f>QUARTILE(K24:V24,1)</f>
        <v>41.555047734358141</v>
      </c>
      <c r="AA24" s="36">
        <f>MEDIAN(K24:V24)</f>
        <v>43.914001882461768</v>
      </c>
      <c r="AB24" s="35">
        <f>QUARTILE(K24:V24,3)</f>
        <v>44.368493595467712</v>
      </c>
      <c r="AC24" s="35">
        <f>MAX(K24:V24)</f>
        <v>47.11873270708017</v>
      </c>
      <c r="AD24" s="35">
        <f>SKEW(K24:V24)</f>
        <v>-1.1234565067824316</v>
      </c>
      <c r="AE24" s="35">
        <f>KURT(K24:V24)</f>
        <v>0.98269841635714172</v>
      </c>
    </row>
    <row r="25" spans="2:31" x14ac:dyDescent="0.2">
      <c r="B25" s="34">
        <f>[34]FormattedData!A44</f>
        <v>208</v>
      </c>
      <c r="C25" s="34" t="str">
        <f>VLOOKUP($B25,[34]TrtCodes!$B$11:I87,2)</f>
        <v>FSL</v>
      </c>
      <c r="D25" s="34">
        <f>VLOOKUP($B25,[34]TrtCodes!$B$11:J87,3)</f>
        <v>2</v>
      </c>
      <c r="E25" s="34">
        <f>VLOOKUP($B25,[34]TrtCodes!$B$11:K87,4)</f>
        <v>1</v>
      </c>
      <c r="F25" s="34">
        <f>VLOOKUP($B25,[34]TrtCodes!$B$11:L87,5)</f>
        <v>1</v>
      </c>
      <c r="G25" s="34">
        <f>VLOOKUP($B25,[34]TrtCodes!$B$11:M87,6)</f>
        <v>1</v>
      </c>
      <c r="H25" s="34">
        <f>VLOOKUP($B25,[34]TrtCodes!$B$11:N87,7)</f>
        <v>2</v>
      </c>
      <c r="I25" s="34">
        <f>[34]FormattedData!B44</f>
        <v>1</v>
      </c>
      <c r="J25" s="37">
        <f>[34]FormattedData!C44</f>
        <v>13.331</v>
      </c>
      <c r="K25" s="39">
        <f>$J$3+[34]FormattedData!D44*$J$4+$M$4*$J$5+[34]FormattedData!D44^2*$J$6+$M$5*$J$7</f>
        <v>47.565816858813683</v>
      </c>
      <c r="L25" s="39">
        <f>$J$3+[34]FormattedData!E44*$J$4+$M$4*$J$5+[34]FormattedData!E44^2*$J$6+$M$5*$J$7</f>
        <v>44.867461246688393</v>
      </c>
      <c r="M25" s="39">
        <f>$J$3+[34]FormattedData!F44*$J$4+$M$4*$J$5+[34]FormattedData!F44^2*$J$6+$M$5*$J$7</f>
        <v>46.401200100334123</v>
      </c>
      <c r="N25" s="39">
        <f>$J$3+[34]FormattedData!G44*$J$4+$M$4*$J$5+[34]FormattedData!G44^2*$J$6+$M$5*$J$7</f>
        <v>45.410175703844494</v>
      </c>
      <c r="O25" s="39">
        <f>$J$3+[34]FormattedData!H44*$J$4+$M$4*$J$5+[34]FormattedData!H44^2*$J$6+$M$5*$J$7</f>
        <v>47.11873270708017</v>
      </c>
      <c r="P25" s="39">
        <f>$J$3+[34]FormattedData!I44*$J$4+$M$4*$J$5+[34]FormattedData!I44^2*$J$6+$M$5*$J$7</f>
        <v>48.367905414044351</v>
      </c>
      <c r="Q25" s="39">
        <f>$J$3+[34]FormattedData!J44*$J$4+$M$4*$J$5+[34]FormattedData!J44^2*$J$6+$M$5*$J$7</f>
        <v>48.100922979142176</v>
      </c>
      <c r="R25" s="39">
        <f>$J$3+[34]FormattedData!K44*$J$4+$M$4*$J$5+[34]FormattedData!K44^2*$J$6+$M$5*$J$7</f>
        <v>49.166570217702599</v>
      </c>
      <c r="S25" s="39">
        <f>$J$3+[34]FormattedData!L44*$J$4+$M$4*$J$5+[34]FormattedData!L44^2*$J$6+$M$5*$J$7</f>
        <v>44.776860897279619</v>
      </c>
      <c r="T25" s="39">
        <f>$J$3+[34]FormattedData!M44*$J$4+$M$4*$J$5+[34]FormattedData!M44^2*$J$6+$M$5*$J$7</f>
        <v>48.367905414044351</v>
      </c>
      <c r="U25" s="39">
        <f>$J$3+[34]FormattedData!N44*$J$4+$M$4*$J$5+[34]FormattedData!N44^2*$J$6+$M$5*$J$7</f>
        <v>51.192047671759468</v>
      </c>
      <c r="V25" s="39">
        <f>$J$3+[34]FormattedData!O44*$J$4+$M$4*$J$5+[34]FormattedData!O44^2*$J$6+$M$5*$J$7</f>
        <v>47.297693173387366</v>
      </c>
      <c r="W25" s="38">
        <f>AVERAGE(K25:V25)</f>
        <v>47.386107698676739</v>
      </c>
      <c r="X25" s="37">
        <f>STDEV(K25:V25)/SQRT(COUNT(K25:V25))</f>
        <v>0.53817692537070738</v>
      </c>
      <c r="Y25" s="36">
        <f>MIN(K25:V25)</f>
        <v>44.776860897279619</v>
      </c>
      <c r="Z25" s="35">
        <f>QUARTILE(K25:V25,1)</f>
        <v>46.153444001211717</v>
      </c>
      <c r="AA25" s="36">
        <f>MEDIAN(K25:V25)</f>
        <v>47.431755016100524</v>
      </c>
      <c r="AB25" s="35">
        <f>QUARTILE(K25:V25,3)</f>
        <v>48.367905414044351</v>
      </c>
      <c r="AC25" s="35">
        <f>MAX(K25:V25)</f>
        <v>51.192047671759468</v>
      </c>
      <c r="AD25" s="35">
        <f>SKEW(K25:V25)</f>
        <v>0.34693136173876588</v>
      </c>
      <c r="AE25" s="35">
        <f>KURT(K25:V25)</f>
        <v>0.20314682162869424</v>
      </c>
    </row>
    <row r="26" spans="2:31" x14ac:dyDescent="0.2">
      <c r="B26" s="34">
        <f>[34]FormattedData!A62</f>
        <v>301</v>
      </c>
      <c r="C26" s="34" t="str">
        <f>VLOOKUP($B26,[34]TrtCodes!$B$11:I105,2)</f>
        <v>NTL</v>
      </c>
      <c r="D26" s="34">
        <f>VLOOKUP($B26,[34]TrtCodes!$B$11:J105,3)</f>
        <v>10</v>
      </c>
      <c r="E26" s="34">
        <f>VLOOKUP($B26,[34]TrtCodes!$B$11:K105,4)</f>
        <v>2</v>
      </c>
      <c r="F26" s="34">
        <f>VLOOKUP($B26,[34]TrtCodes!$B$11:L105,5)</f>
        <v>2</v>
      </c>
      <c r="G26" s="34">
        <f>VLOOKUP($B26,[34]TrtCodes!$B$11:M105,6)</f>
        <v>1</v>
      </c>
      <c r="H26" s="34">
        <f>VLOOKUP($B26,[34]TrtCodes!$B$11:N105,7)</f>
        <v>3</v>
      </c>
      <c r="I26" s="34">
        <f>[34]FormattedData!B62</f>
        <v>1</v>
      </c>
      <c r="J26" s="37">
        <f>[34]FormattedData!C62</f>
        <v>13.449</v>
      </c>
      <c r="K26" s="39">
        <f>$J$3+[34]FormattedData!D62*$J$4+$M$4*$J$5+[34]FormattedData!D62^2*$J$6+$M$5*$J$7</f>
        <v>35.313588627832239</v>
      </c>
      <c r="L26" s="39">
        <f>$J$3+[34]FormattedData!E62*$J$4+$M$4*$J$5+[34]FormattedData!E62^2*$J$6+$M$5*$J$7</f>
        <v>35.787724643841685</v>
      </c>
      <c r="M26" s="39">
        <f>$J$3+[34]FormattedData!F62*$J$4+$M$4*$J$5+[34]FormattedData!F62^2*$J$6+$M$5*$J$7</f>
        <v>35.218634619016555</v>
      </c>
      <c r="N26" s="39">
        <f>$J$3+[34]FormattedData!G62*$J$4+$M$4*$J$5+[34]FormattedData!G62^2*$J$6+$M$5*$J$7</f>
        <v>35.313588627832239</v>
      </c>
      <c r="O26" s="39">
        <f>$J$3+[34]FormattedData!H62*$J$4+$M$4*$J$5+[34]FormattedData!H62^2*$J$6+$M$5*$J$7</f>
        <v>32.927057846060819</v>
      </c>
      <c r="P26" s="39">
        <f>$J$3+[34]FormattedData!I62*$J$4+$M$4*$J$5+[34]FormattedData!I62^2*$J$6+$M$5*$J$7</f>
        <v>35.692981977715654</v>
      </c>
      <c r="Q26" s="39">
        <f>$J$3+[34]FormattedData!J62*$J$4+$M$4*$J$5+[34]FormattedData!J62^2*$J$6+$M$5*$J$7</f>
        <v>32.542761345777386</v>
      </c>
      <c r="R26" s="39">
        <f>$J$3+[34]FormattedData!K62*$J$4+$M$4*$J$5+[34]FormattedData!K62^2*$J$6+$M$5*$J$7</f>
        <v>35.787724643841685</v>
      </c>
      <c r="S26" s="39">
        <f>$J$3+[34]FormattedData!L62*$J$4+$M$4*$J$5+[34]FormattedData!L62^2*$J$6+$M$5*$J$7</f>
        <v>32.927057846060819</v>
      </c>
      <c r="T26" s="39">
        <f>$J$3+[34]FormattedData!M62*$J$4+$M$4*$J$5+[34]FormattedData!M62^2*$J$6+$M$5*$J$7</f>
        <v>35.692981977715654</v>
      </c>
      <c r="U26" s="39">
        <f>$J$3+[34]FormattedData!N62*$J$4+$M$4*$J$5+[34]FormattedData!N62^2*$J$6+$M$5*$J$7</f>
        <v>33.59794938284648</v>
      </c>
      <c r="V26" s="39">
        <f>$J$3+[34]FormattedData!O62*$J$4+$M$4*$J$5+[34]FormattedData!O62^2*$J$6+$M$5*$J$7</f>
        <v>32.734994132994963</v>
      </c>
      <c r="W26" s="38">
        <f>AVERAGE(K26:V26)</f>
        <v>34.461420472628014</v>
      </c>
      <c r="X26" s="37">
        <f>STDEV(K26:V26)/SQRT(COUNT(K26:V26))</f>
        <v>0.39593892815619747</v>
      </c>
      <c r="Y26" s="36">
        <f>MIN(K26:V26)</f>
        <v>32.542761345777386</v>
      </c>
      <c r="Z26" s="35">
        <f>QUARTILE(K26:V26,1)</f>
        <v>32.927057846060819</v>
      </c>
      <c r="AA26" s="36">
        <f>MEDIAN(K26:V26)</f>
        <v>35.266111623424393</v>
      </c>
      <c r="AB26" s="35">
        <f>QUARTILE(K26:V26,3)</f>
        <v>35.692981977715654</v>
      </c>
      <c r="AC26" s="35">
        <f>MAX(K26:V26)</f>
        <v>35.787724643841685</v>
      </c>
      <c r="AD26" s="35">
        <f>SKEW(K26:V26)</f>
        <v>-0.42293395506346088</v>
      </c>
      <c r="AE26" s="35">
        <f>KURT(K26:V26)</f>
        <v>-1.9740228637320589</v>
      </c>
    </row>
    <row r="27" spans="2:31" x14ac:dyDescent="0.2">
      <c r="B27" s="34">
        <f>[34]FormattedData!A64</f>
        <v>302</v>
      </c>
      <c r="C27" s="34" t="str">
        <f>VLOOKUP($B27,[34]TrtCodes!$B$11:I107,2)</f>
        <v>FTL</v>
      </c>
      <c r="D27" s="34">
        <f>VLOOKUP($B27,[34]TrtCodes!$B$11:J107,3)</f>
        <v>4</v>
      </c>
      <c r="E27" s="34">
        <f>VLOOKUP($B27,[34]TrtCodes!$B$11:K107,4)</f>
        <v>1</v>
      </c>
      <c r="F27" s="34">
        <f>VLOOKUP($B27,[34]TrtCodes!$B$11:L107,5)</f>
        <v>2</v>
      </c>
      <c r="G27" s="34">
        <f>VLOOKUP($B27,[34]TrtCodes!$B$11:M107,6)</f>
        <v>1</v>
      </c>
      <c r="H27" s="34">
        <f>VLOOKUP($B27,[34]TrtCodes!$B$11:N107,7)</f>
        <v>3</v>
      </c>
      <c r="I27" s="34">
        <f>[34]FormattedData!B64</f>
        <v>1</v>
      </c>
      <c r="J27" s="37">
        <f>[34]FormattedData!C64</f>
        <v>13.464</v>
      </c>
      <c r="K27" s="39">
        <f>$J$3+[34]FormattedData!D64*$J$4+$M$4*$J$5+[34]FormattedData!D64^2*$J$6+$M$5*$J$7</f>
        <v>43.95955566839374</v>
      </c>
      <c r="L27" s="39">
        <f>$J$3+[34]FormattedData!E64*$J$4+$M$4*$J$5+[34]FormattedData!E64^2*$J$6+$M$5*$J$7</f>
        <v>42.955977516138567</v>
      </c>
      <c r="M27" s="39">
        <f>$J$3+[34]FormattedData!F64*$J$4+$M$4*$J$5+[34]FormattedData!F64^2*$J$6+$M$5*$J$7</f>
        <v>44.050536434643902</v>
      </c>
      <c r="N27" s="39">
        <f>$J$3+[34]FormattedData!G64*$J$4+$M$4*$J$5+[34]FormattedData!G64^2*$J$6+$M$5*$J$7</f>
        <v>41.94728487079373</v>
      </c>
      <c r="O27" s="39">
        <f>$J$3+[34]FormattedData!H64*$J$4+$M$4*$J$5+[34]FormattedData!H64^2*$J$6+$M$5*$J$7</f>
        <v>41.579219489075854</v>
      </c>
      <c r="P27" s="39">
        <f>$J$3+[34]FormattedData!I64*$J$4+$M$4*$J$5+[34]FormattedData!I64^2*$J$6+$M$5*$J$7</f>
        <v>41.671299237312226</v>
      </c>
      <c r="Q27" s="39">
        <f>$J$3+[34]FormattedData!J64*$J$4+$M$4*$J$5+[34]FormattedData!J64^2*$J$6+$M$5*$J$7</f>
        <v>41.671299237312226</v>
      </c>
      <c r="R27" s="39">
        <f>$J$3+[34]FormattedData!K64*$J$4+$M$4*$J$5+[34]FormattedData!K64^2*$J$6+$M$5*$J$7</f>
        <v>41.302726633139173</v>
      </c>
      <c r="S27" s="39">
        <f>$J$3+[34]FormattedData!L64*$J$4+$M$4*$J$5+[34]FormattedData!L64^2*$J$6+$M$5*$J$7</f>
        <v>39.635780743850084</v>
      </c>
      <c r="T27" s="39">
        <f>$J$3+[34]FormattedData!M64*$J$4+$M$4*$J$5+[34]FormattedData!M64^2*$J$6+$M$5*$J$7</f>
        <v>42.58977195008967</v>
      </c>
      <c r="U27" s="39">
        <f>$J$3+[34]FormattedData!N64*$J$4+$M$4*$J$5+[34]FormattedData!N64^2*$J$6+$M$5*$J$7</f>
        <v>35.218634619016555</v>
      </c>
      <c r="V27" s="39">
        <f>$J$3+[34]FormattedData!O64*$J$4+$M$4*$J$5+[34]FormattedData!O64^2*$J$6+$M$5*$J$7</f>
        <v>38.610349757484521</v>
      </c>
      <c r="W27" s="38">
        <f>AVERAGE(K27:V27)</f>
        <v>41.266036346437524</v>
      </c>
      <c r="X27" s="37">
        <f>STDEV(K27:V27)/SQRT(COUNT(K27:V27))</f>
        <v>0.71132687504385794</v>
      </c>
      <c r="Y27" s="36">
        <f>MIN(K27:V27)</f>
        <v>35.218634619016555</v>
      </c>
      <c r="Z27" s="35">
        <f>QUARTILE(K27:V27,1)</f>
        <v>40.885990160816903</v>
      </c>
      <c r="AA27" s="36">
        <f>MEDIAN(K27:V27)</f>
        <v>41.671299237312226</v>
      </c>
      <c r="AB27" s="35">
        <f>QUARTILE(K27:V27,3)</f>
        <v>42.681323341601896</v>
      </c>
      <c r="AC27" s="35">
        <f>MAX(K27:V27)</f>
        <v>44.050536434643902</v>
      </c>
      <c r="AD27" s="35">
        <f>SKEW(K27:V27)</f>
        <v>-1.4252104830524512</v>
      </c>
      <c r="AE27" s="35">
        <f>KURT(K27:V27)</f>
        <v>2.4569841215950134</v>
      </c>
    </row>
    <row r="28" spans="2:31" x14ac:dyDescent="0.2">
      <c r="B28" s="34">
        <f>[34]FormattedData!A66</f>
        <v>303</v>
      </c>
      <c r="C28" s="34" t="str">
        <f>VLOOKUP($B28,[34]TrtCodes!$B$11:I109,2)</f>
        <v>NSL</v>
      </c>
      <c r="D28" s="34">
        <f>VLOOKUP($B28,[34]TrtCodes!$B$11:J109,3)</f>
        <v>8</v>
      </c>
      <c r="E28" s="34">
        <f>VLOOKUP($B28,[34]TrtCodes!$B$11:K109,4)</f>
        <v>2</v>
      </c>
      <c r="F28" s="34">
        <f>VLOOKUP($B28,[34]TrtCodes!$B$11:L109,5)</f>
        <v>1</v>
      </c>
      <c r="G28" s="34">
        <f>VLOOKUP($B28,[34]TrtCodes!$B$11:M109,6)</f>
        <v>1</v>
      </c>
      <c r="H28" s="34">
        <f>VLOOKUP($B28,[34]TrtCodes!$B$11:N109,7)</f>
        <v>3</v>
      </c>
      <c r="I28" s="34">
        <f>[34]FormattedData!B66</f>
        <v>1</v>
      </c>
      <c r="J28" s="37">
        <f>[34]FormattedData!C66</f>
        <v>13.48</v>
      </c>
      <c r="K28" s="39">
        <f>$J$3+[34]FormattedData!D66*$J$4+$M$4*$J$5+[34]FormattedData!D66^2*$J$6+$M$5*$J$7</f>
        <v>55.603563034461672</v>
      </c>
      <c r="L28" s="39">
        <f>$J$3+[34]FormattedData!E66*$J$4+$M$4*$J$5+[34]FormattedData!E66^2*$J$6+$M$5*$J$7</f>
        <v>55.004570280696882</v>
      </c>
      <c r="M28" s="39">
        <f>$J$3+[34]FormattedData!F66*$J$4+$M$4*$J$5+[34]FormattedData!F66^2*$J$6+$M$5*$J$7</f>
        <v>50.490069886972073</v>
      </c>
      <c r="N28" s="39">
        <f>$J$3+[34]FormattedData!G66*$J$4+$M$4*$J$5+[34]FormattedData!G66^2*$J$6+$M$5*$J$7</f>
        <v>55.688964353704911</v>
      </c>
      <c r="O28" s="39">
        <f>$J$3+[34]FormattedData!H66*$J$4+$M$4*$J$5+[34]FormattedData!H66^2*$J$6+$M$5*$J$7</f>
        <v>54.747225072443001</v>
      </c>
      <c r="P28" s="39">
        <f>$J$3+[34]FormattedData!I66*$J$4+$M$4*$J$5+[34]FormattedData!I66^2*$J$6+$M$5*$J$7</f>
        <v>55.518119446680494</v>
      </c>
      <c r="Q28" s="39">
        <f>$J$3+[34]FormattedData!J66*$J$4+$M$4*$J$5+[34]FormattedData!J66^2*$J$6+$M$5*$J$7</f>
        <v>52.32699191661137</v>
      </c>
      <c r="R28" s="39">
        <f>$J$3+[34]FormattedData!K66*$J$4+$M$4*$J$5+[34]FormattedData!K66^2*$J$6+$M$5*$J$7</f>
        <v>56.285590069345567</v>
      </c>
      <c r="S28" s="39">
        <f>$J$3+[34]FormattedData!L66*$J$4+$M$4*$J$5+[34]FormattedData!L66^2*$J$6+$M$5*$J$7</f>
        <v>51.279604686437196</v>
      </c>
      <c r="T28" s="39">
        <f>$J$3+[34]FormattedData!M66*$J$4+$M$4*$J$5+[34]FormattedData!M66^2*$J$6+$M$5*$J$7</f>
        <v>55.688964353704911</v>
      </c>
      <c r="U28" s="39">
        <f>$J$3+[34]FormattedData!N66*$J$4+$M$4*$J$5+[34]FormattedData!N66^2*$J$6+$M$5*$J$7</f>
        <v>51.716755731756905</v>
      </c>
      <c r="V28" s="39">
        <f>$J$3+[34]FormattedData!O66*$J$4+$M$4*$J$5+[34]FormattedData!O66^2*$J$6+$M$5*$J$7</f>
        <v>53.195165069250756</v>
      </c>
      <c r="W28" s="38">
        <f>AVERAGE(K28:V28)</f>
        <v>53.96213199183881</v>
      </c>
      <c r="X28" s="37">
        <f>STDEV(K28:V28)/SQRT(COUNT(K28:V28))</f>
        <v>0.58862708063869928</v>
      </c>
      <c r="Y28" s="36">
        <f>MIN(K28:V28)</f>
        <v>50.490069886972073</v>
      </c>
      <c r="Z28" s="35">
        <f>QUARTILE(K28:V28,1)</f>
        <v>52.174432870397752</v>
      </c>
      <c r="AA28" s="36">
        <f>MEDIAN(K28:V28)</f>
        <v>54.875897676569942</v>
      </c>
      <c r="AB28" s="35">
        <f>QUARTILE(K28:V28,3)</f>
        <v>55.62491336427248</v>
      </c>
      <c r="AC28" s="35">
        <f>MAX(K28:V28)</f>
        <v>56.285590069345567</v>
      </c>
      <c r="AD28" s="35">
        <f>SKEW(K28:V28)</f>
        <v>-0.57460319311790342</v>
      </c>
      <c r="AE28" s="35">
        <f>KURT(K28:V28)</f>
        <v>-1.3750457339566546</v>
      </c>
    </row>
    <row r="29" spans="2:31" x14ac:dyDescent="0.2">
      <c r="B29" s="34">
        <f>[34]FormattedData!A68</f>
        <v>304</v>
      </c>
      <c r="C29" s="34" t="str">
        <f>VLOOKUP($B29,[34]TrtCodes!$B$11:I111,2)</f>
        <v>FSL</v>
      </c>
      <c r="D29" s="34">
        <f>VLOOKUP($B29,[34]TrtCodes!$B$11:J111,3)</f>
        <v>2</v>
      </c>
      <c r="E29" s="34">
        <f>VLOOKUP($B29,[34]TrtCodes!$B$11:K111,4)</f>
        <v>1</v>
      </c>
      <c r="F29" s="34">
        <f>VLOOKUP($B29,[34]TrtCodes!$B$11:L111,5)</f>
        <v>1</v>
      </c>
      <c r="G29" s="34">
        <f>VLOOKUP($B29,[34]TrtCodes!$B$11:M111,6)</f>
        <v>1</v>
      </c>
      <c r="H29" s="34">
        <f>VLOOKUP($B29,[34]TrtCodes!$B$11:N111,7)</f>
        <v>3</v>
      </c>
      <c r="I29" s="34">
        <f>[34]FormattedData!B68</f>
        <v>1</v>
      </c>
      <c r="J29" s="37">
        <f>[34]FormattedData!C68</f>
        <v>13.496</v>
      </c>
      <c r="K29" s="39">
        <f>$J$3+[34]FormattedData!D68*$J$4+$M$4*$J$5+[34]FormattedData!D68^2*$J$6+$M$5*$J$7</f>
        <v>45.590742374593077</v>
      </c>
      <c r="L29" s="39">
        <f>$J$3+[34]FormattedData!E68*$J$4+$M$4*$J$5+[34]FormattedData!E68^2*$J$6+$M$5*$J$7</f>
        <v>42.955977516138567</v>
      </c>
      <c r="M29" s="39">
        <f>$J$3+[34]FormattedData!F68*$J$4+$M$4*$J$5+[34]FormattedData!F68^2*$J$6+$M$5*$J$7</f>
        <v>43.777467330279634</v>
      </c>
      <c r="N29" s="39">
        <f>$J$3+[34]FormattedData!G68*$J$4+$M$4*$J$5+[34]FormattedData!G68^2*$J$6+$M$5*$J$7</f>
        <v>44.323225122166768</v>
      </c>
      <c r="O29" s="39">
        <f>$J$3+[34]FormattedData!H68*$J$4+$M$4*$J$5+[34]FormattedData!H68^2*$J$6+$M$5*$J$7</f>
        <v>47.11873270708017</v>
      </c>
      <c r="P29" s="39">
        <f>$J$3+[34]FormattedData!I68*$J$4+$M$4*$J$5+[34]FormattedData!I68^2*$J$6+$M$5*$J$7</f>
        <v>46.939603166621232</v>
      </c>
      <c r="Q29" s="39">
        <f>$J$3+[34]FormattedData!J68*$J$4+$M$4*$J$5+[34]FormattedData!J68^2*$J$6+$M$5*$J$7</f>
        <v>46.131427941928486</v>
      </c>
      <c r="R29" s="39">
        <f>$J$3+[34]FormattedData!K68*$J$4+$M$4*$J$5+[34]FormattedData!K68^2*$J$6+$M$5*$J$7</f>
        <v>40.563552534972381</v>
      </c>
      <c r="S29" s="39">
        <f>$J$3+[34]FormattedData!L68*$J$4+$M$4*$J$5+[34]FormattedData!L68^2*$J$6+$M$5*$J$7</f>
        <v>44.141474932356118</v>
      </c>
      <c r="T29" s="39">
        <f>$J$3+[34]FormattedData!M68*$J$4+$M$4*$J$5+[34]FormattedData!M68^2*$J$6+$M$5*$J$7</f>
        <v>40.378336325051372</v>
      </c>
      <c r="U29" s="39">
        <f>$J$3+[34]FormattedData!N68*$J$4+$M$4*$J$5+[34]FormattedData!N68^2*$J$6+$M$5*$J$7</f>
        <v>43.95955566839374</v>
      </c>
      <c r="V29" s="39">
        <f>$J$3+[34]FormattedData!O68*$J$4+$M$4*$J$5+[34]FormattedData!O68^2*$J$6+$M$5*$J$7</f>
        <v>49.785386915757094</v>
      </c>
      <c r="W29" s="38">
        <f>AVERAGE(K29:V29)</f>
        <v>44.638790211278227</v>
      </c>
      <c r="X29" s="37">
        <f>STDEV(K29:V29)/SQRT(COUNT(K29:V29))</f>
        <v>0.77950315118018076</v>
      </c>
      <c r="Y29" s="36">
        <f>MIN(K29:V29)</f>
        <v>40.378336325051372</v>
      </c>
      <c r="Z29" s="35">
        <f>QUARTILE(K29:V29,1)</f>
        <v>43.572094876744366</v>
      </c>
      <c r="AA29" s="36">
        <f>MEDIAN(K29:V29)</f>
        <v>44.232350027261447</v>
      </c>
      <c r="AB29" s="35">
        <f>QUARTILE(K29:V29,3)</f>
        <v>46.333471748101672</v>
      </c>
      <c r="AC29" s="35">
        <f>MAX(K29:V29)</f>
        <v>49.785386915757094</v>
      </c>
      <c r="AD29" s="35">
        <f>SKEW(K29:V29)</f>
        <v>9.449513512650666E-2</v>
      </c>
      <c r="AE29" s="35">
        <f>KURT(K29:V29)</f>
        <v>7.8582080041481817E-2</v>
      </c>
    </row>
    <row r="30" spans="2:31" x14ac:dyDescent="0.2">
      <c r="B30" s="34">
        <f>[34]FormattedData!A70</f>
        <v>305</v>
      </c>
      <c r="C30" s="34" t="str">
        <f>VLOOKUP($B30,[34]TrtCodes!$B$11:I113,2)</f>
        <v>NDH</v>
      </c>
      <c r="D30" s="34">
        <f>VLOOKUP($B30,[34]TrtCodes!$B$11:J113,3)</f>
        <v>11</v>
      </c>
      <c r="E30" s="34">
        <f>VLOOKUP($B30,[34]TrtCodes!$B$11:K113,4)</f>
        <v>2</v>
      </c>
      <c r="F30" s="34">
        <f>VLOOKUP($B30,[34]TrtCodes!$B$11:L113,5)</f>
        <v>3</v>
      </c>
      <c r="G30" s="34">
        <f>VLOOKUP($B30,[34]TrtCodes!$B$11:M113,6)</f>
        <v>2</v>
      </c>
      <c r="H30" s="34">
        <f>VLOOKUP($B30,[34]TrtCodes!$B$11:N113,7)</f>
        <v>4</v>
      </c>
      <c r="I30" s="34">
        <f>[34]FormattedData!B70</f>
        <v>1</v>
      </c>
      <c r="J30" s="37">
        <f>[34]FormattedData!C70</f>
        <v>13.510999999999999</v>
      </c>
      <c r="K30" s="39">
        <f>$J$3+[34]FormattedData!D70*$J$4+$M$4*$J$5+[34]FormattedData!D70^2*$J$6+$M$5*$J$7</f>
        <v>53.80037129809142</v>
      </c>
      <c r="L30" s="39">
        <f>$J$3+[34]FormattedData!E70*$J$4+$M$4*$J$5+[34]FormattedData!E70^2*$J$6+$M$5*$J$7</f>
        <v>41.671299237312226</v>
      </c>
      <c r="M30" s="39">
        <f>$J$3+[34]FormattedData!F70*$J$4+$M$4*$J$5+[34]FormattedData!F70^2*$J$6+$M$5*$J$7</f>
        <v>48.812030768122689</v>
      </c>
      <c r="N30" s="39">
        <f>$J$3+[34]FormattedData!G70*$J$4+$M$4*$J$5+[34]FormattedData!G70^2*$J$6+$M$5*$J$7</f>
        <v>48.367905414044351</v>
      </c>
      <c r="O30" s="39">
        <f>$J$3+[34]FormattedData!H70*$J$4+$M$4*$J$5+[34]FormattedData!H70^2*$J$6+$M$5*$J$7</f>
        <v>42.955977516138567</v>
      </c>
      <c r="P30" s="39">
        <f>$J$3+[34]FormattedData!I70*$J$4+$M$4*$J$5+[34]FormattedData!I70^2*$J$6+$M$5*$J$7</f>
        <v>51.104448388543801</v>
      </c>
      <c r="Q30" s="39">
        <f>$J$3+[34]FormattedData!J70*$J$4+$M$4*$J$5+[34]FormattedData!J70^2*$J$6+$M$5*$J$7</f>
        <v>42.864489527433243</v>
      </c>
      <c r="R30" s="39">
        <f>$J$3+[34]FormattedData!K70*$J$4+$M$4*$J$5+[34]FormattedData!K70^2*$J$6+$M$5*$J$7</f>
        <v>52.848403030650182</v>
      </c>
      <c r="S30" s="39">
        <f>$J$3+[34]FormattedData!L70*$J$4+$M$4*$J$5+[34]FormattedData!L70^2*$J$6+$M$5*$J$7</f>
        <v>35.882425041429769</v>
      </c>
      <c r="T30" s="39">
        <f>$J$3+[34]FormattedData!M70*$J$4+$M$4*$J$5+[34]FormattedData!M70^2*$J$6+$M$5*$J$7</f>
        <v>46.221394263268287</v>
      </c>
      <c r="U30" s="39">
        <f>$J$3+[34]FormattedData!N70*$J$4+$M$4*$J$5+[34]FormattedData!N70^2*$J$6+$M$5*$J$7</f>
        <v>35.218634619016555</v>
      </c>
      <c r="V30" s="39">
        <f>$J$3+[34]FormattedData!O70*$J$4+$M$4*$J$5+[34]FormattedData!O70^2*$J$6+$M$5*$J$7</f>
        <v>41.94728487079373</v>
      </c>
      <c r="W30" s="38">
        <f>AVERAGE(K30:V30)</f>
        <v>45.141221997903727</v>
      </c>
      <c r="X30" s="37">
        <f>STDEV(K30:V30)/SQRT(COUNT(K30:V30))</f>
        <v>1.7653614403188425</v>
      </c>
      <c r="Y30" s="36">
        <f>MIN(K30:V30)</f>
        <v>35.218634619016555</v>
      </c>
      <c r="Z30" s="35">
        <f>QUARTILE(K30:V30,1)</f>
        <v>41.878288462423356</v>
      </c>
      <c r="AA30" s="36">
        <f>MEDIAN(K30:V30)</f>
        <v>44.588685889703427</v>
      </c>
      <c r="AB30" s="35">
        <f>QUARTILE(K30:V30,3)</f>
        <v>49.385135173227965</v>
      </c>
      <c r="AC30" s="35">
        <f>MAX(K30:V30)</f>
        <v>53.80037129809142</v>
      </c>
      <c r="AD30" s="35">
        <f>SKEW(K30:V30)</f>
        <v>-0.22123775616220426</v>
      </c>
      <c r="AE30" s="35">
        <f>KURT(K30:V30)</f>
        <v>-0.87329442115150879</v>
      </c>
    </row>
    <row r="31" spans="2:31" x14ac:dyDescent="0.2">
      <c r="B31" s="34">
        <f>[34]FormattedData!A72</f>
        <v>306</v>
      </c>
      <c r="C31" s="34" t="str">
        <f>VLOOKUP($B31,[34]TrtCodes!$B$11:I115,2)</f>
        <v>FTL</v>
      </c>
      <c r="D31" s="34">
        <f>VLOOKUP($B31,[34]TrtCodes!$B$11:J115,3)</f>
        <v>4</v>
      </c>
      <c r="E31" s="34">
        <f>VLOOKUP($B31,[34]TrtCodes!$B$11:K115,4)</f>
        <v>1</v>
      </c>
      <c r="F31" s="34">
        <f>VLOOKUP($B31,[34]TrtCodes!$B$11:L115,5)</f>
        <v>2</v>
      </c>
      <c r="G31" s="34">
        <f>VLOOKUP($B31,[34]TrtCodes!$B$11:M115,6)</f>
        <v>1</v>
      </c>
      <c r="H31" s="34">
        <f>VLOOKUP($B31,[34]TrtCodes!$B$11:N115,7)</f>
        <v>4</v>
      </c>
      <c r="I31" s="34">
        <f>[34]FormattedData!B72</f>
        <v>1</v>
      </c>
      <c r="J31" s="37">
        <f>[34]FormattedData!C72</f>
        <v>13.526999999999999</v>
      </c>
      <c r="K31" s="39">
        <f>$J$3+[34]FormattedData!D72*$J$4+$M$4*$J$5+[34]FormattedData!D72^2*$J$6+$M$5*$J$7</f>
        <v>41.671299237312226</v>
      </c>
      <c r="L31" s="39">
        <f>$J$3+[34]FormattedData!E72*$J$4+$M$4*$J$5+[34]FormattedData!E72^2*$J$6+$M$5*$J$7</f>
        <v>40.748599670741662</v>
      </c>
      <c r="M31" s="39">
        <f>$J$3+[34]FormattedData!F72*$J$4+$M$4*$J$5+[34]FormattedData!F72^2*$J$6+$M$5*$J$7</f>
        <v>38.703782098934681</v>
      </c>
      <c r="N31" s="39">
        <f>$J$3+[34]FormattedData!G72*$J$4+$M$4*$J$5+[34]FormattedData!G72^2*$J$6+$M$5*$J$7</f>
        <v>44.232371161530409</v>
      </c>
      <c r="O31" s="39">
        <f>$J$3+[34]FormattedData!H72*$J$4+$M$4*$J$5+[34]FormattedData!H72^2*$J$6+$M$5*$J$7</f>
        <v>39.635780743850084</v>
      </c>
      <c r="P31" s="39">
        <f>$J$3+[34]FormattedData!I72*$J$4+$M$4*$J$5+[34]FormattedData!I72^2*$J$6+$M$5*$J$7</f>
        <v>45.319828965663305</v>
      </c>
      <c r="Q31" s="39">
        <f>$J$3+[34]FormattedData!J72*$J$4+$M$4*$J$5+[34]FormattedData!J72^2*$J$6+$M$5*$J$7</f>
        <v>37.203792411180359</v>
      </c>
      <c r="R31" s="39">
        <f>$J$3+[34]FormattedData!K72*$J$4+$M$4*$J$5+[34]FormattedData!K72^2*$J$6+$M$5*$J$7</f>
        <v>46.760304552010588</v>
      </c>
      <c r="S31" s="39">
        <f>$J$3+[34]FormattedData!L72*$J$4+$M$4*$J$5+[34]FormattedData!L72^2*$J$6+$M$5*$J$7</f>
        <v>36.54414430548438</v>
      </c>
      <c r="T31" s="39">
        <f>$J$3+[34]FormattedData!M72*$J$4+$M$4*$J$5+[34]FormattedData!M72^2*$J$6+$M$5*$J$7</f>
        <v>43.047423236305967</v>
      </c>
      <c r="U31" s="39">
        <f>$J$3+[34]FormattedData!N72*$J$4+$M$4*$J$5+[34]FormattedData!N72^2*$J$6+$M$5*$J$7</f>
        <v>35.408500368109983</v>
      </c>
      <c r="V31" s="39">
        <f>$J$3+[34]FormattedData!O72*$J$4+$M$4*$J$5+[34]FormattedData!O72^2*$J$6+$M$5*$J$7</f>
        <v>41.21047781075108</v>
      </c>
      <c r="W31" s="38">
        <f>AVERAGE(K31:V31)</f>
        <v>40.873858713489561</v>
      </c>
      <c r="X31" s="37">
        <f>STDEV(K31:V31)/SQRT(COUNT(K31:V31))</f>
        <v>1.0280675578356937</v>
      </c>
      <c r="Y31" s="36">
        <f>MIN(K31:V31)</f>
        <v>35.408500368109983</v>
      </c>
      <c r="Z31" s="35">
        <f>QUARTILE(K31:V31,1)</f>
        <v>38.328784676996101</v>
      </c>
      <c r="AA31" s="36">
        <f>MEDIAN(K31:V31)</f>
        <v>40.979538740746371</v>
      </c>
      <c r="AB31" s="35">
        <f>QUARTILE(K31:V31,3)</f>
        <v>43.343660217612076</v>
      </c>
      <c r="AC31" s="35">
        <f>MAX(K31:V31)</f>
        <v>46.760304552010588</v>
      </c>
      <c r="AD31" s="35">
        <f>SKEW(K31:V31)</f>
        <v>8.35053890308914E-2</v>
      </c>
      <c r="AE31" s="35">
        <f>KURT(K31:V31)</f>
        <v>-0.90755792842725969</v>
      </c>
    </row>
    <row r="32" spans="2:31" x14ac:dyDescent="0.2">
      <c r="B32" s="34">
        <f>[34]FormattedData!A74</f>
        <v>307</v>
      </c>
      <c r="C32" s="34" t="str">
        <f>VLOOKUP($B32,[34]TrtCodes!$B$11:I117,2)</f>
        <v>NTH</v>
      </c>
      <c r="D32" s="34">
        <f>VLOOKUP($B32,[34]TrtCodes!$B$11:J117,3)</f>
        <v>9</v>
      </c>
      <c r="E32" s="34">
        <f>VLOOKUP($B32,[34]TrtCodes!$B$11:K117,4)</f>
        <v>2</v>
      </c>
      <c r="F32" s="34">
        <f>VLOOKUP($B32,[34]TrtCodes!$B$11:L117,5)</f>
        <v>2</v>
      </c>
      <c r="G32" s="34">
        <f>VLOOKUP($B32,[34]TrtCodes!$B$11:M117,6)</f>
        <v>2</v>
      </c>
      <c r="H32" s="34">
        <f>VLOOKUP($B32,[34]TrtCodes!$B$11:N117,7)</f>
        <v>4</v>
      </c>
      <c r="I32" s="34">
        <f>[34]FormattedData!B74</f>
        <v>1</v>
      </c>
      <c r="J32" s="37">
        <f>[34]FormattedData!C74</f>
        <v>13.542</v>
      </c>
      <c r="K32" s="39">
        <f>$J$3+[34]FormattedData!D74*$J$4+$M$4*$J$5+[34]FormattedData!D74^2*$J$6+$M$5*$J$7</f>
        <v>37.485864714123949</v>
      </c>
      <c r="L32" s="39">
        <f>$J$3+[34]FormattedData!E74*$J$4+$M$4*$J$5+[34]FormattedData!E74^2*$J$6+$M$5*$J$7</f>
        <v>38.236197706304559</v>
      </c>
      <c r="M32" s="39">
        <f>$J$3+[34]FormattedData!F74*$J$4+$M$4*$J$5+[34]FormattedData!F74^2*$J$6+$M$5*$J$7</f>
        <v>37.579804278029279</v>
      </c>
      <c r="N32" s="39">
        <f>$J$3+[34]FormattedData!G74*$J$4+$M$4*$J$5+[34]FormattedData!G74^2*$J$6+$M$5*$J$7</f>
        <v>39.635780743850084</v>
      </c>
      <c r="O32" s="39">
        <f>$J$3+[34]FormattedData!H74*$J$4+$M$4*$J$5+[34]FormattedData!H74^2*$J$6+$M$5*$J$7</f>
        <v>38.142554022164745</v>
      </c>
      <c r="P32" s="39">
        <f>$J$3+[34]FormattedData!I74*$J$4+$M$4*$J$5+[34]FormattedData!I74^2*$J$6+$M$5*$J$7</f>
        <v>40.470965564280846</v>
      </c>
      <c r="Q32" s="39">
        <f>$J$3+[34]FormattedData!J74*$J$4+$M$4*$J$5+[34]FormattedData!J74^2*$J$6+$M$5*$J$7</f>
        <v>37.485864714123949</v>
      </c>
      <c r="R32" s="39">
        <f>$J$3+[34]FormattedData!K74*$J$4+$M$4*$J$5+[34]FormattedData!K74^2*$J$6+$M$5*$J$7</f>
        <v>39.077088779356018</v>
      </c>
      <c r="S32" s="39">
        <f>$J$3+[34]FormattedData!L74*$J$4+$M$4*$J$5+[34]FormattedData!L74^2*$J$6+$M$5*$J$7</f>
        <v>36.449739787661798</v>
      </c>
      <c r="T32" s="39">
        <f>$J$3+[34]FormattedData!M74*$J$4+$M$4*$J$5+[34]FormattedData!M74^2*$J$6+$M$5*$J$7</f>
        <v>40.748599670741662</v>
      </c>
      <c r="U32" s="39">
        <f>$J$3+[34]FormattedData!N74*$J$4+$M$4*$J$5+[34]FormattedData!N74^2*$J$6+$M$5*$J$7</f>
        <v>35.028599795771392</v>
      </c>
      <c r="V32" s="39">
        <f>$J$3+[34]FormattedData!O74*$J$4+$M$4*$J$5+[34]FormattedData!O74^2*$J$6+$M$5*$J$7</f>
        <v>37.015532866528304</v>
      </c>
      <c r="W32" s="38">
        <f>AVERAGE(K32:V32)</f>
        <v>38.113049386911378</v>
      </c>
      <c r="X32" s="37">
        <f>STDEV(K32:V32)/SQRT(COUNT(K32:V32))</f>
        <v>0.47931497010820578</v>
      </c>
      <c r="Y32" s="36">
        <f>MIN(K32:V32)</f>
        <v>35.028599795771392</v>
      </c>
      <c r="Z32" s="35">
        <f>QUARTILE(K32:V32,1)</f>
        <v>37.368281752225037</v>
      </c>
      <c r="AA32" s="36">
        <f>MEDIAN(K32:V32)</f>
        <v>37.861179150097016</v>
      </c>
      <c r="AB32" s="35">
        <f>QUARTILE(K32:V32,3)</f>
        <v>39.216761770479536</v>
      </c>
      <c r="AC32" s="35">
        <f>MAX(K32:V32)</f>
        <v>40.748599670741662</v>
      </c>
      <c r="AD32" s="35">
        <f>SKEW(K32:V32)</f>
        <v>-1.638217183948474E-3</v>
      </c>
      <c r="AE32" s="35">
        <f>KURT(K32:V32)</f>
        <v>-0.1894325120220679</v>
      </c>
    </row>
    <row r="33" spans="2:31" x14ac:dyDescent="0.2">
      <c r="B33" s="34">
        <f>[34]FormattedData!A76</f>
        <v>308</v>
      </c>
      <c r="C33" s="34" t="str">
        <f>VLOOKUP($B33,[34]TrtCodes!$B$11:I119,2)</f>
        <v>FDH</v>
      </c>
      <c r="D33" s="34">
        <f>VLOOKUP($B33,[34]TrtCodes!$B$11:J119,3)</f>
        <v>5</v>
      </c>
      <c r="E33" s="34">
        <f>VLOOKUP($B33,[34]TrtCodes!$B$11:K119,4)</f>
        <v>1</v>
      </c>
      <c r="F33" s="34">
        <f>VLOOKUP($B33,[34]TrtCodes!$B$11:L119,5)</f>
        <v>3</v>
      </c>
      <c r="G33" s="34">
        <f>VLOOKUP($B33,[34]TrtCodes!$B$11:M119,6)</f>
        <v>2</v>
      </c>
      <c r="H33" s="34">
        <f>VLOOKUP($B33,[34]TrtCodes!$B$11:N119,7)</f>
        <v>4</v>
      </c>
      <c r="I33" s="34">
        <f>[34]FormattedData!B76</f>
        <v>1</v>
      </c>
      <c r="J33" s="37">
        <f>[34]FormattedData!C76</f>
        <v>13.557</v>
      </c>
      <c r="K33" s="39">
        <f>$J$3+[34]FormattedData!D76*$J$4+$M$4*$J$5+[34]FormattedData!D76^2*$J$6+$M$5*$J$7</f>
        <v>43.95955566839374</v>
      </c>
      <c r="L33" s="39">
        <f>$J$3+[34]FormattedData!E76*$J$4+$M$4*$J$5+[34]FormattedData!E76^2*$J$6+$M$5*$J$7</f>
        <v>42.864489527433243</v>
      </c>
      <c r="M33" s="39">
        <f>$J$3+[34]FormattedData!F76*$J$4+$M$4*$J$5+[34]FormattedData!F76^2*$J$6+$M$5*$J$7</f>
        <v>38.048868069487</v>
      </c>
      <c r="N33" s="39">
        <f>$J$3+[34]FormattedData!G76*$J$4+$M$4*$J$5+[34]FormattedData!G76^2*$J$6+$M$5*$J$7</f>
        <v>42.314673955904709</v>
      </c>
      <c r="O33" s="39">
        <f>$J$3+[34]FormattedData!H76*$J$4+$M$4*$J$5+[34]FormattedData!H76^2*$J$6+$M$5*$J$7</f>
        <v>37.861369358517699</v>
      </c>
      <c r="P33" s="39">
        <f>$J$3+[34]FormattedData!I76*$J$4+$M$4*$J$5+[34]FormattedData!I76^2*$J$6+$M$5*$J$7</f>
        <v>44.595533392848274</v>
      </c>
      <c r="Q33" s="39">
        <f>$J$3+[34]FormattedData!J76*$J$4+$M$4*$J$5+[34]FormattedData!J76^2*$J$6+$M$5*$J$7</f>
        <v>38.142554022164745</v>
      </c>
      <c r="R33" s="39">
        <f>$J$3+[34]FormattedData!K76*$J$4+$M$4*$J$5+[34]FormattedData!K76^2*$J$6+$M$5*$J$7</f>
        <v>46.401200100334123</v>
      </c>
      <c r="S33" s="39">
        <f>$J$3+[34]FormattedData!L76*$J$4+$M$4*$J$5+[34]FormattedData!L76^2*$J$6+$M$5*$J$7</f>
        <v>39.542771087779236</v>
      </c>
      <c r="T33" s="39">
        <f>$J$3+[34]FormattedData!M76*$J$4+$M$4*$J$5+[34]FormattedData!M76^2*$J$6+$M$5*$J$7</f>
        <v>43.95955566839374</v>
      </c>
      <c r="U33" s="39">
        <f>$J$3+[34]FormattedData!N76*$J$4+$M$4*$J$5+[34]FormattedData!N76^2*$J$6+$M$5*$J$7</f>
        <v>34.743230546869171</v>
      </c>
      <c r="V33" s="39">
        <f>$J$3+[34]FormattedData!O76*$J$4+$M$4*$J$5+[34]FormattedData!O76^2*$J$6+$M$5*$J$7</f>
        <v>42.772959270189979</v>
      </c>
      <c r="W33" s="38">
        <f>AVERAGE(K33:V33)</f>
        <v>41.26723005569297</v>
      </c>
      <c r="X33" s="37">
        <f>STDEV(K33:V33)/SQRT(COUNT(K33:V33))</f>
        <v>1.011695818105113</v>
      </c>
      <c r="Y33" s="36">
        <f>MIN(K33:V33)</f>
        <v>34.743230546869171</v>
      </c>
      <c r="Z33" s="35">
        <f>QUARTILE(K33:V33,1)</f>
        <v>38.119132533995312</v>
      </c>
      <c r="AA33" s="36">
        <f>MEDIAN(K33:V33)</f>
        <v>42.543816613047341</v>
      </c>
      <c r="AB33" s="35">
        <f>QUARTILE(K33:V33,3)</f>
        <v>43.95955566839374</v>
      </c>
      <c r="AC33" s="35">
        <f>MAX(K33:V33)</f>
        <v>46.401200100334123</v>
      </c>
      <c r="AD33" s="35">
        <f>SKEW(K33:V33)</f>
        <v>-0.42146020607265072</v>
      </c>
      <c r="AE33" s="35">
        <f>KURT(K33:V33)</f>
        <v>-0.8025951562775604</v>
      </c>
    </row>
    <row r="34" spans="2:31" x14ac:dyDescent="0.2">
      <c r="B34" s="34">
        <f>[34]FormattedData!A92</f>
        <v>401</v>
      </c>
      <c r="C34" s="34" t="str">
        <f>VLOOKUP($B34,[34]TrtCodes!$B$11:I129,2)</f>
        <v>NSH</v>
      </c>
      <c r="D34" s="34">
        <f>VLOOKUP($B34,[34]TrtCodes!$B$11:J129,3)</f>
        <v>7</v>
      </c>
      <c r="E34" s="34">
        <f>VLOOKUP($B34,[34]TrtCodes!$B$11:K129,4)</f>
        <v>2</v>
      </c>
      <c r="F34" s="34">
        <f>VLOOKUP($B34,[34]TrtCodes!$B$11:L129,5)</f>
        <v>1</v>
      </c>
      <c r="G34" s="34">
        <f>VLOOKUP($B34,[34]TrtCodes!$B$11:M129,6)</f>
        <v>2</v>
      </c>
      <c r="H34" s="34">
        <f>VLOOKUP($B34,[34]TrtCodes!$B$11:N129,7)</f>
        <v>3</v>
      </c>
      <c r="I34" s="34">
        <f>[34]FormattedData!B92</f>
        <v>1</v>
      </c>
      <c r="J34" s="37">
        <f>[34]FormattedData!C92</f>
        <v>13.69</v>
      </c>
      <c r="K34" s="39">
        <f>$J$3+[34]FormattedData!D92*$J$4+$M$4*$J$5+[34]FormattedData!D92^2*$J$6+$M$5*$J$7</f>
        <v>55.774323404410225</v>
      </c>
      <c r="L34" s="39">
        <f>$J$3+[34]FormattedData!E92*$J$4+$M$4*$J$5+[34]FormattedData!E92^2*$J$6+$M$5*$J$7</f>
        <v>53.80037129809142</v>
      </c>
      <c r="M34" s="39">
        <f>$J$3+[34]FormattedData!F92*$J$4+$M$4*$J$5+[34]FormattedData!F92^2*$J$6+$M$5*$J$7</f>
        <v>56.115336921852169</v>
      </c>
      <c r="N34" s="39">
        <f>$J$3+[34]FormattedData!G92*$J$4+$M$4*$J$5+[34]FormattedData!G92^2*$J$6+$M$5*$J$7</f>
        <v>57.472628025550961</v>
      </c>
      <c r="O34" s="39">
        <f>$J$3+[34]FormattedData!H92*$J$4+$M$4*$J$5+[34]FormattedData!H92^2*$J$6+$M$5*$J$7</f>
        <v>55.090267479705645</v>
      </c>
      <c r="P34" s="39">
        <f>$J$3+[34]FormattedData!I92*$J$4+$M$4*$J$5+[34]FormattedData!I92^2*$J$6+$M$5*$J$7</f>
        <v>57.978822465934563</v>
      </c>
      <c r="Q34" s="39">
        <f>$J$3+[34]FormattedData!J92*$J$4+$M$4*$J$5+[34]FormattedData!J92^2*$J$6+$M$5*$J$7</f>
        <v>51.192047671759468</v>
      </c>
      <c r="R34" s="39">
        <f>$J$3+[34]FormattedData!K92*$J$4+$M$4*$J$5+[34]FormattedData!K92^2*$J$6+$M$5*$J$7</f>
        <v>57.725915454163449</v>
      </c>
      <c r="S34" s="39">
        <f>$J$3+[34]FormattedData!L92*$J$4+$M$4*$J$5+[34]FormattedData!L92^2*$J$6+$M$5*$J$7</f>
        <v>56.455674142687222</v>
      </c>
      <c r="T34" s="39">
        <f>$J$3+[34]FormattedData!M92*$J$4+$M$4*$J$5+[34]FormattedData!M92^2*$J$6+$M$5*$J$7</f>
        <v>57.810260059958416</v>
      </c>
      <c r="U34" s="39">
        <f>$J$3+[34]FormattedData!N92*$J$4+$M$4*$J$5+[34]FormattedData!N92^2*$J$6+$M$5*$J$7</f>
        <v>49.961811269788427</v>
      </c>
      <c r="V34" s="39">
        <f>$J$3+[34]FormattedData!O92*$J$4+$M$4*$J$5+[34]FormattedData!O92^2*$J$6+$M$5*$J$7</f>
        <v>52.587887682051466</v>
      </c>
      <c r="W34" s="38">
        <f>AVERAGE(K34:V34)</f>
        <v>55.163778822996129</v>
      </c>
      <c r="X34" s="37">
        <f>STDEV(K34:V34)/SQRT(COUNT(K34:V34))</f>
        <v>0.7838594172497485</v>
      </c>
      <c r="Y34" s="36">
        <f>MIN(K34:V34)</f>
        <v>49.961811269788427</v>
      </c>
      <c r="Z34" s="35">
        <f>QUARTILE(K34:V34,1)</f>
        <v>53.497250394081433</v>
      </c>
      <c r="AA34" s="36">
        <f>MEDIAN(K34:V34)</f>
        <v>55.944830163131201</v>
      </c>
      <c r="AB34" s="35">
        <f>QUARTILE(K34:V34,3)</f>
        <v>57.535949882704081</v>
      </c>
      <c r="AC34" s="35">
        <f>MAX(K34:V34)</f>
        <v>57.978822465934563</v>
      </c>
      <c r="AD34" s="35">
        <f>SKEW(K34:V34)</f>
        <v>-0.81640056550842799</v>
      </c>
      <c r="AE34" s="35">
        <f>KURT(K34:V34)</f>
        <v>-0.50963097124571233</v>
      </c>
    </row>
    <row r="35" spans="2:31" x14ac:dyDescent="0.2">
      <c r="B35" s="34">
        <f>[34]FormattedData!A90</f>
        <v>402</v>
      </c>
      <c r="C35" s="34" t="str">
        <f>VLOOKUP($B35,[34]TrtCodes!$B$11:I130,2)</f>
        <v>NTH</v>
      </c>
      <c r="D35" s="34">
        <f>VLOOKUP($B35,[34]TrtCodes!$B$11:J130,3)</f>
        <v>9</v>
      </c>
      <c r="E35" s="34">
        <f>VLOOKUP($B35,[34]TrtCodes!$B$11:K130,4)</f>
        <v>2</v>
      </c>
      <c r="F35" s="34">
        <f>VLOOKUP($B35,[34]TrtCodes!$B$11:L130,5)</f>
        <v>2</v>
      </c>
      <c r="G35" s="34">
        <f>VLOOKUP($B35,[34]TrtCodes!$B$11:M130,6)</f>
        <v>2</v>
      </c>
      <c r="H35" s="34">
        <f>VLOOKUP($B35,[34]TrtCodes!$B$11:N130,7)</f>
        <v>3</v>
      </c>
      <c r="I35" s="34">
        <f>[34]FormattedData!B90</f>
        <v>1</v>
      </c>
      <c r="J35" s="37">
        <f>[34]FormattedData!C90</f>
        <v>13.673</v>
      </c>
      <c r="K35" s="39">
        <f>$J$3+[34]FormattedData!D90*$J$4+$M$4*$J$5+[34]FormattedData!D90^2*$J$6+$M$5*$J$7</f>
        <v>38.983825512057585</v>
      </c>
      <c r="L35" s="39">
        <f>$J$3+[34]FormattedData!E90*$J$4+$M$4*$J$5+[34]FormattedData!E90^2*$J$6+$M$5*$J$7</f>
        <v>37.391882881680679</v>
      </c>
      <c r="M35" s="39">
        <f>$J$3+[34]FormattedData!F90*$J$4+$M$4*$J$5+[34]FormattedData!F90^2*$J$6+$M$5*$J$7</f>
        <v>36.638506554769023</v>
      </c>
      <c r="N35" s="39">
        <f>$J$3+[34]FormattedData!G90*$J$4+$M$4*$J$5+[34]FormattedData!G90^2*$J$6+$M$5*$J$7</f>
        <v>38.142554022164745</v>
      </c>
      <c r="O35" s="39">
        <f>$J$3+[34]FormattedData!H90*$J$4+$M$4*$J$5+[34]FormattedData!H90^2*$J$6+$M$5*$J$7</f>
        <v>36.071699030992178</v>
      </c>
      <c r="P35" s="39">
        <f>$J$3+[34]FormattedData!I90*$J$4+$M$4*$J$5+[34]FormattedData!I90^2*$J$6+$M$5*$J$7</f>
        <v>38.236197706304559</v>
      </c>
      <c r="Q35" s="39">
        <f>$J$3+[34]FormattedData!J90*$J$4+$M$4*$J$5+[34]FormattedData!J90^2*$J$6+$M$5*$J$7</f>
        <v>35.882425041429769</v>
      </c>
      <c r="R35" s="39">
        <f>$J$3+[34]FormattedData!K90*$J$4+$M$4*$J$5+[34]FormattedData!K90^2*$J$6+$M$5*$J$7</f>
        <v>38.703782098934681</v>
      </c>
      <c r="S35" s="39">
        <f>$J$3+[34]FormattedData!L90*$J$4+$M$4*$J$5+[34]FormattedData!L90^2*$J$6+$M$5*$J$7</f>
        <v>32.254095150916534</v>
      </c>
      <c r="T35" s="39">
        <f>$J$3+[34]FormattedData!M90*$J$4+$M$4*$J$5+[34]FormattedData!M90^2*$J$6+$M$5*$J$7</f>
        <v>38.610349757484521</v>
      </c>
      <c r="U35" s="39">
        <f>$J$3+[34]FormattedData!N90*$J$4+$M$4*$J$5+[34]FormattedData!N90^2*$J$6+$M$5*$J$7</f>
        <v>35.028599795771392</v>
      </c>
      <c r="V35" s="39">
        <f>$J$3+[34]FormattedData!O90*$J$4+$M$4*$J$5+[34]FormattedData!O90^2*$J$6+$M$5*$J$7</f>
        <v>33.502234540348027</v>
      </c>
      <c r="W35" s="38">
        <f>AVERAGE(K35:V35)</f>
        <v>36.62051267440448</v>
      </c>
      <c r="X35" s="37">
        <f>STDEV(K35:V35)/SQRT(COUNT(K35:V35))</f>
        <v>0.62508491142635114</v>
      </c>
      <c r="Y35" s="36">
        <f>MIN(K35:V35)</f>
        <v>32.254095150916534</v>
      </c>
      <c r="Z35" s="35">
        <f>QUARTILE(K35:V35,1)</f>
        <v>35.668968730015173</v>
      </c>
      <c r="AA35" s="36">
        <f>MEDIAN(K35:V35)</f>
        <v>37.015194718224848</v>
      </c>
      <c r="AB35" s="35">
        <f>QUARTILE(K35:V35,3)</f>
        <v>38.329735719099546</v>
      </c>
      <c r="AC35" s="35">
        <f>MAX(K35:V35)</f>
        <v>38.983825512057585</v>
      </c>
      <c r="AD35" s="35">
        <f>SKEW(K35:V35)</f>
        <v>-0.85796067604755288</v>
      </c>
      <c r="AE35" s="35">
        <f>KURT(K35:V35)</f>
        <v>-0.14064040541389478</v>
      </c>
    </row>
    <row r="36" spans="2:31" x14ac:dyDescent="0.2">
      <c r="B36" s="34">
        <f>[34]FormattedData!A88</f>
        <v>403</v>
      </c>
      <c r="C36" s="34" t="str">
        <f>VLOOKUP($B36,[34]TrtCodes!$B$11:I131,2)</f>
        <v>FDL</v>
      </c>
      <c r="D36" s="34">
        <f>VLOOKUP($B36,[34]TrtCodes!$B$11:J131,3)</f>
        <v>6</v>
      </c>
      <c r="E36" s="34">
        <f>VLOOKUP($B36,[34]TrtCodes!$B$11:K131,4)</f>
        <v>1</v>
      </c>
      <c r="F36" s="34">
        <f>VLOOKUP($B36,[34]TrtCodes!$B$11:L131,5)</f>
        <v>3</v>
      </c>
      <c r="G36" s="34">
        <f>VLOOKUP($B36,[34]TrtCodes!$B$11:M131,6)</f>
        <v>1</v>
      </c>
      <c r="H36" s="34">
        <f>VLOOKUP($B36,[34]TrtCodes!$B$11:N131,7)</f>
        <v>3</v>
      </c>
      <c r="I36" s="34">
        <f>[34]FormattedData!B88</f>
        <v>1</v>
      </c>
      <c r="J36" s="37">
        <f>[34]FormattedData!C88</f>
        <v>13.656000000000001</v>
      </c>
      <c r="K36" s="39">
        <f>$J$3+[34]FormattedData!D88*$J$4+$M$4*$J$5+[34]FormattedData!D88^2*$J$6+$M$5*$J$7</f>
        <v>45.319828965663305</v>
      </c>
      <c r="L36" s="39">
        <f>$J$3+[34]FormattedData!E88*$J$4+$M$4*$J$5+[34]FormattedData!E88^2*$J$6+$M$5*$J$7</f>
        <v>37.297858780699485</v>
      </c>
      <c r="M36" s="39">
        <f>$J$3+[34]FormattedData!F88*$J$4+$M$4*$J$5+[34]FormattedData!F88^2*$J$6+$M$5*$J$7</f>
        <v>40.933477732359229</v>
      </c>
      <c r="N36" s="39">
        <f>$J$3+[34]FormattedData!G88*$J$4+$M$4*$J$5+[34]FormattedData!G88^2*$J$6+$M$5*$J$7</f>
        <v>41.487097472301556</v>
      </c>
      <c r="O36" s="39">
        <f>$J$3+[34]FormattedData!H88*$J$4+$M$4*$J$5+[34]FormattedData!H88^2*$J$6+$M$5*$J$7</f>
        <v>34.266769761273508</v>
      </c>
      <c r="P36" s="39">
        <f>$J$3+[34]FormattedData!I88*$J$4+$M$4*$J$5+[34]FormattedData!I88^2*$J$6+$M$5*$J$7</f>
        <v>42.49811488723261</v>
      </c>
      <c r="Q36" s="39">
        <f>$J$3+[34]FormattedData!J88*$J$4+$M$4*$J$5+[34]FormattedData!J88^2*$J$6+$M$5*$J$7</f>
        <v>41.579219489075854</v>
      </c>
      <c r="R36" s="39">
        <f>$J$3+[34]FormattedData!K88*$J$4+$M$4*$J$5+[34]FormattedData!K88^2*$J$6+$M$5*$J$7</f>
        <v>45.410175703844494</v>
      </c>
      <c r="S36" s="39">
        <f>$J$3+[34]FormattedData!L88*$J$4+$M$4*$J$5+[34]FormattedData!L88^2*$J$6+$M$5*$J$7</f>
        <v>46.401200100334123</v>
      </c>
      <c r="T36" s="39">
        <f>$J$3+[34]FormattedData!M88*$J$4+$M$4*$J$5+[34]FormattedData!M88^2*$J$6+$M$5*$J$7</f>
        <v>46.311318316070171</v>
      </c>
      <c r="U36" s="39">
        <f>$J$3+[34]FormattedData!N88*$J$4+$M$4*$J$5+[34]FormattedData!N88^2*$J$6+$M$5*$J$7</f>
        <v>42.222890087433861</v>
      </c>
      <c r="V36" s="39">
        <f>$J$3+[34]FormattedData!O88*$J$4+$M$4*$J$5+[34]FormattedData!O88^2*$J$6+$M$5*$J$7</f>
        <v>41.394933186989334</v>
      </c>
      <c r="W36" s="38">
        <f>AVERAGE(K36:V36)</f>
        <v>42.093573706939793</v>
      </c>
      <c r="X36" s="37">
        <f>STDEV(K36:V36)/SQRT(COUNT(K36:V36))</f>
        <v>1.0468495283275805</v>
      </c>
      <c r="Y36" s="36">
        <f>MIN(K36:V36)</f>
        <v>34.266769761273508</v>
      </c>
      <c r="Z36" s="35">
        <f>QUARTILE(K36:V36,1)</f>
        <v>41.279569323331806</v>
      </c>
      <c r="AA36" s="36">
        <f>MEDIAN(K36:V36)</f>
        <v>41.901054788254854</v>
      </c>
      <c r="AB36" s="35">
        <f>QUARTILE(K36:V36,3)</f>
        <v>45.342415650208601</v>
      </c>
      <c r="AC36" s="35">
        <f>MAX(K36:V36)</f>
        <v>46.401200100334123</v>
      </c>
      <c r="AD36" s="35">
        <f>SKEW(K36:V36)</f>
        <v>-0.83934661857270354</v>
      </c>
      <c r="AE36" s="35">
        <f>KURT(K36:V36)</f>
        <v>0.68094761569255624</v>
      </c>
    </row>
    <row r="37" spans="2:31" x14ac:dyDescent="0.2">
      <c r="B37" s="34">
        <f>[34]FormattedData!A86</f>
        <v>404</v>
      </c>
      <c r="C37" s="34" t="str">
        <f>VLOOKUP($B37,[34]TrtCodes!$B$11:I129,2)</f>
        <v>FTH</v>
      </c>
      <c r="D37" s="34">
        <f>VLOOKUP($B37,[34]TrtCodes!$B$11:J129,3)</f>
        <v>3</v>
      </c>
      <c r="E37" s="34">
        <f>VLOOKUP($B37,[34]TrtCodes!$B$11:K129,4)</f>
        <v>1</v>
      </c>
      <c r="F37" s="34">
        <f>VLOOKUP($B37,[34]TrtCodes!$B$11:L129,5)</f>
        <v>2</v>
      </c>
      <c r="G37" s="34">
        <f>VLOOKUP($B37,[34]TrtCodes!$B$11:M129,6)</f>
        <v>2</v>
      </c>
      <c r="H37" s="34">
        <f>VLOOKUP($B37,[34]TrtCodes!$B$11:N129,7)</f>
        <v>3</v>
      </c>
      <c r="I37" s="34">
        <f>[34]FormattedData!B86</f>
        <v>1</v>
      </c>
      <c r="J37" s="37">
        <f>[34]FormattedData!C86</f>
        <v>13.64</v>
      </c>
      <c r="K37" s="39">
        <f>$J$3+[34]FormattedData!D86*$J$4+$M$4*$J$5+[34]FormattedData!D86^2*$J$6+$M$5*$J$7</f>
        <v>44.141474932356118</v>
      </c>
      <c r="L37" s="39">
        <f>$J$3+[34]FormattedData!E86*$J$4+$M$4*$J$5+[34]FormattedData!E86^2*$J$6+$M$5*$J$7</f>
        <v>44.232371161530409</v>
      </c>
      <c r="M37" s="39">
        <f>$J$3+[34]FormattedData!F86*$J$4+$M$4*$J$5+[34]FormattedData!F86^2*$J$6+$M$5*$J$7</f>
        <v>42.314673955904709</v>
      </c>
      <c r="N37" s="39">
        <f>$J$3+[34]FormattedData!G86*$J$4+$M$4*$J$5+[34]FormattedData!G86^2*$J$6+$M$5*$J$7</f>
        <v>46.401200100334123</v>
      </c>
      <c r="O37" s="39">
        <f>$J$3+[34]FormattedData!H86*$J$4+$M$4*$J$5+[34]FormattedData!H86^2*$J$6+$M$5*$J$7</f>
        <v>43.95955566839374</v>
      </c>
      <c r="P37" s="39">
        <f>$J$3+[34]FormattedData!I86*$J$4+$M$4*$J$5+[34]FormattedData!I86^2*$J$6+$M$5*$J$7</f>
        <v>43.95955566839374</v>
      </c>
      <c r="Q37" s="39">
        <f>$J$3+[34]FormattedData!J86*$J$4+$M$4*$J$5+[34]FormattedData!J86^2*$J$6+$M$5*$J$7</f>
        <v>45.861275366681475</v>
      </c>
      <c r="R37" s="39">
        <f>$J$3+[34]FormattedData!K86*$J$4+$M$4*$J$5+[34]FormattedData!K86^2*$J$6+$M$5*$J$7</f>
        <v>43.504017809073993</v>
      </c>
      <c r="S37" s="39">
        <f>$J$3+[34]FormattedData!L86*$J$4+$M$4*$J$5+[34]FormattedData!L86^2*$J$6+$M$5*$J$7</f>
        <v>44.504806237825711</v>
      </c>
      <c r="T37" s="39">
        <f>$J$3+[34]FormattedData!M86*$J$4+$M$4*$J$5+[34]FormattedData!M86^2*$J$6+$M$5*$J$7</f>
        <v>43.412783431596246</v>
      </c>
      <c r="U37" s="39">
        <f>$J$3+[34]FormattedData!N86*$J$4+$M$4*$J$5+[34]FormattedData!N86^2*$J$6+$M$5*$J$7</f>
        <v>44.504806237825711</v>
      </c>
      <c r="V37" s="39">
        <f>$J$3+[34]FormattedData!O86*$J$4+$M$4*$J$5+[34]FormattedData!O86^2*$J$6+$M$5*$J$7</f>
        <v>44.504806237825711</v>
      </c>
      <c r="W37" s="38">
        <f>AVERAGE(K37:V37)</f>
        <v>44.275110567311806</v>
      </c>
      <c r="X37" s="37">
        <f>STDEV(K37:V37)/SQRT(COUNT(K37:V37))</f>
        <v>0.30889336375499343</v>
      </c>
      <c r="Y37" s="36">
        <f>MIN(K37:V37)</f>
        <v>42.314673955904709</v>
      </c>
      <c r="Z37" s="35">
        <f>QUARTILE(K37:V37,1)</f>
        <v>43.845671203563803</v>
      </c>
      <c r="AA37" s="36">
        <f>MEDIAN(K37:V37)</f>
        <v>44.186923046943264</v>
      </c>
      <c r="AB37" s="35">
        <f>QUARTILE(K37:V37,3)</f>
        <v>44.504806237825711</v>
      </c>
      <c r="AC37" s="35">
        <f>MAX(K37:V37)</f>
        <v>46.401200100334123</v>
      </c>
      <c r="AD37" s="35">
        <f>SKEW(K37:V37)</f>
        <v>0.43967644088698443</v>
      </c>
      <c r="AE37" s="35">
        <f>KURT(K37:V37)</f>
        <v>1.0712528211965058</v>
      </c>
    </row>
    <row r="38" spans="2:31" x14ac:dyDescent="0.2">
      <c r="B38" s="34">
        <f>[34]FormattedData!A84</f>
        <v>405</v>
      </c>
      <c r="C38" s="34" t="str">
        <f>VLOOKUP($B38,[34]TrtCodes!$B$11:I127,2)</f>
        <v>FDL</v>
      </c>
      <c r="D38" s="34">
        <f>VLOOKUP($B38,[34]TrtCodes!$B$11:J127,3)</f>
        <v>6</v>
      </c>
      <c r="E38" s="34">
        <f>VLOOKUP($B38,[34]TrtCodes!$B$11:K127,4)</f>
        <v>1</v>
      </c>
      <c r="F38" s="34">
        <f>VLOOKUP($B38,[34]TrtCodes!$B$11:L127,5)</f>
        <v>3</v>
      </c>
      <c r="G38" s="34">
        <f>VLOOKUP($B38,[34]TrtCodes!$B$11:M127,6)</f>
        <v>1</v>
      </c>
      <c r="H38" s="34">
        <f>VLOOKUP($B38,[34]TrtCodes!$B$11:N127,7)</f>
        <v>4</v>
      </c>
      <c r="I38" s="34">
        <f>[34]FormattedData!B84</f>
        <v>1</v>
      </c>
      <c r="J38" s="37">
        <f>[34]FormattedData!C84</f>
        <v>13.624000000000001</v>
      </c>
      <c r="K38" s="39">
        <f>$J$3+[34]FormattedData!D84*$J$4+$M$4*$J$5+[34]FormattedData!D84^2*$J$6+$M$5*$J$7</f>
        <v>42.58977195008967</v>
      </c>
      <c r="L38" s="39">
        <f>$J$3+[34]FormattedData!E84*$J$4+$M$4*$J$5+[34]FormattedData!E84^2*$J$6+$M$5*$J$7</f>
        <v>35.598197043051698</v>
      </c>
      <c r="M38" s="39">
        <f>$J$3+[34]FormattedData!F84*$J$4+$M$4*$J$5+[34]FormattedData!F84^2*$J$6+$M$5*$J$7</f>
        <v>40.192951040978642</v>
      </c>
      <c r="N38" s="39">
        <f>$J$3+[34]FormattedData!G84*$J$4+$M$4*$J$5+[34]FormattedData!G84^2*$J$6+$M$5*$J$7</f>
        <v>40.563552534972381</v>
      </c>
      <c r="O38" s="39">
        <f>$J$3+[34]FormattedData!H84*$J$4+$M$4*$J$5+[34]FormattedData!H84^2*$J$6+$M$5*$J$7</f>
        <v>36.166272622966481</v>
      </c>
      <c r="P38" s="39">
        <f>$J$3+[34]FormattedData!I84*$J$4+$M$4*$J$5+[34]FormattedData!I84^2*$J$6+$M$5*$J$7</f>
        <v>41.76333671701066</v>
      </c>
      <c r="Q38" s="39">
        <f>$J$3+[34]FormattedData!J84*$J$4+$M$4*$J$5+[34]FormattedData!J84^2*$J$6+$M$5*$J$7</f>
        <v>33.884840299114224</v>
      </c>
      <c r="R38" s="39">
        <f>$J$3+[34]FormattedData!K84*$J$4+$M$4*$J$5+[34]FormattedData!K84^2*$J$6+$M$5*$J$7</f>
        <v>42.772959270189979</v>
      </c>
      <c r="S38" s="39">
        <f>$J$3+[34]FormattedData!L84*$J$4+$M$4*$J$5+[34]FormattedData!L84^2*$J$6+$M$5*$J$7</f>
        <v>38.610349757484521</v>
      </c>
      <c r="T38" s="39">
        <f>$J$3+[34]FormattedData!M84*$J$4+$M$4*$J$5+[34]FormattedData!M84^2*$J$6+$M$5*$J$7</f>
        <v>45.410175703844494</v>
      </c>
      <c r="U38" s="39">
        <f>$J$3+[34]FormattedData!N84*$J$4+$M$4*$J$5+[34]FormattedData!N84^2*$J$6+$M$5*$J$7</f>
        <v>37.485864714123949</v>
      </c>
      <c r="V38" s="39">
        <f>$J$3+[34]FormattedData!O84*$J$4+$M$4*$J$5+[34]FormattedData!O84^2*$J$6+$M$5*$J$7</f>
        <v>38.890519976221213</v>
      </c>
      <c r="W38" s="38">
        <f>AVERAGE(K38:V38)</f>
        <v>39.494065969170663</v>
      </c>
      <c r="X38" s="37">
        <f>STDEV(K38:V38)/SQRT(COUNT(K38:V38))</f>
        <v>0.97316351139743917</v>
      </c>
      <c r="Y38" s="36">
        <f>MIN(K38:V38)</f>
        <v>33.884840299114224</v>
      </c>
      <c r="Z38" s="35">
        <f>QUARTILE(K38:V38,1)</f>
        <v>37.155966691334584</v>
      </c>
      <c r="AA38" s="36">
        <f>MEDIAN(K38:V38)</f>
        <v>39.541735508599928</v>
      </c>
      <c r="AB38" s="35">
        <f>QUARTILE(K38:V38,3)</f>
        <v>41.969945525280409</v>
      </c>
      <c r="AC38" s="35">
        <f>MAX(K38:V38)</f>
        <v>45.410175703844494</v>
      </c>
      <c r="AD38" s="35">
        <f>SKEW(K38:V38)</f>
        <v>1.0700917162500984E-2</v>
      </c>
      <c r="AE38" s="35">
        <f>KURT(K38:V38)</f>
        <v>-0.59216518816125951</v>
      </c>
    </row>
    <row r="39" spans="2:31" x14ac:dyDescent="0.2">
      <c r="B39" s="34">
        <f>[34]FormattedData!A82</f>
        <v>406</v>
      </c>
      <c r="C39" s="34" t="str">
        <f>VLOOKUP($B39,[34]TrtCodes!$B$11:I125,2)</f>
        <v>FTH</v>
      </c>
      <c r="D39" s="34">
        <f>VLOOKUP($B39,[34]TrtCodes!$B$11:J125,3)</f>
        <v>3</v>
      </c>
      <c r="E39" s="34">
        <f>VLOOKUP($B39,[34]TrtCodes!$B$11:K125,4)</f>
        <v>1</v>
      </c>
      <c r="F39" s="34">
        <f>VLOOKUP($B39,[34]TrtCodes!$B$11:L125,5)</f>
        <v>2</v>
      </c>
      <c r="G39" s="34">
        <f>VLOOKUP($B39,[34]TrtCodes!$B$11:M125,6)</f>
        <v>2</v>
      </c>
      <c r="H39" s="34">
        <f>VLOOKUP($B39,[34]TrtCodes!$B$11:N125,7)</f>
        <v>4</v>
      </c>
      <c r="I39" s="34">
        <f>[34]FormattedData!B82</f>
        <v>1</v>
      </c>
      <c r="J39" s="37">
        <f>[34]FormattedData!C82</f>
        <v>13.608000000000001</v>
      </c>
      <c r="K39" s="39">
        <f>$J$3+[34]FormattedData!D82*$J$4+$M$4*$J$5+[34]FormattedData!D82^2*$J$6+$M$5*$J$7</f>
        <v>42.406415555837619</v>
      </c>
      <c r="L39" s="39">
        <f>$J$3+[34]FormattedData!E82*$J$4+$M$4*$J$5+[34]FormattedData!E82^2*$J$6+$M$5*$J$7</f>
        <v>43.595209918013808</v>
      </c>
      <c r="M39" s="39">
        <f>$J$3+[34]FormattedData!F82*$J$4+$M$4*$J$5+[34]FormattedData!F82^2*$J$6+$M$5*$J$7</f>
        <v>43.504017809073993</v>
      </c>
      <c r="N39" s="39">
        <f>$J$3+[34]FormattedData!G82*$J$4+$M$4*$J$5+[34]FormattedData!G82^2*$J$6+$M$5*$J$7</f>
        <v>42.314673955904709</v>
      </c>
      <c r="O39" s="39">
        <f>$J$3+[34]FormattedData!H82*$J$4+$M$4*$J$5+[34]FormattedData!H82^2*$J$6+$M$5*$J$7</f>
        <v>40.563552534972381</v>
      </c>
      <c r="P39" s="39">
        <f>$J$3+[34]FormattedData!I82*$J$4+$M$4*$J$5+[34]FormattedData!I82^2*$J$6+$M$5*$J$7</f>
        <v>45.319828965663305</v>
      </c>
      <c r="Q39" s="39">
        <f>$J$3+[34]FormattedData!J82*$J$4+$M$4*$J$5+[34]FormattedData!J82^2*$J$6+$M$5*$J$7</f>
        <v>37.203792411180359</v>
      </c>
      <c r="R39" s="39">
        <f>$J$3+[34]FormattedData!K82*$J$4+$M$4*$J$5+[34]FormattedData!K82^2*$J$6+$M$5*$J$7</f>
        <v>46.401200100334123</v>
      </c>
      <c r="S39" s="39">
        <f>$J$3+[34]FormattedData!L82*$J$4+$M$4*$J$5+[34]FormattedData!L82^2*$J$6+$M$5*$J$7</f>
        <v>39.170309778116525</v>
      </c>
      <c r="T39" s="39">
        <f>$J$3+[34]FormattedData!M82*$J$4+$M$4*$J$5+[34]FormattedData!M82^2*$J$6+$M$5*$J$7</f>
        <v>43.23018787102697</v>
      </c>
      <c r="U39" s="39">
        <f>$J$3+[34]FormattedData!N82*$J$4+$M$4*$J$5+[34]FormattedData!N82^2*$J$6+$M$5*$J$7</f>
        <v>35.123638341662932</v>
      </c>
      <c r="V39" s="39">
        <f>$J$3+[34]FormattedData!O82*$J$4+$M$4*$J$5+[34]FormattedData!O82^2*$J$6+$M$5*$J$7</f>
        <v>40.192951040978642</v>
      </c>
      <c r="W39" s="38">
        <f>AVERAGE(K39:V39)</f>
        <v>41.585481523563779</v>
      </c>
      <c r="X39" s="37">
        <f>STDEV(K39:V39)/SQRT(COUNT(K39:V39))</f>
        <v>0.94763721535049406</v>
      </c>
      <c r="Y39" s="36">
        <f>MIN(K39:V39)</f>
        <v>35.123638341662932</v>
      </c>
      <c r="Z39" s="35">
        <f>QUARTILE(K39:V39,1)</f>
        <v>39.937290725263111</v>
      </c>
      <c r="AA39" s="36">
        <f>MEDIAN(K39:V39)</f>
        <v>42.36054475587116</v>
      </c>
      <c r="AB39" s="35">
        <f>QUARTILE(K39:V39,3)</f>
        <v>43.526815836308948</v>
      </c>
      <c r="AC39" s="35">
        <f>MAX(K39:V39)</f>
        <v>46.401200100334123</v>
      </c>
      <c r="AD39" s="35">
        <f>SKEW(K39:V39)</f>
        <v>-0.57812373205344236</v>
      </c>
      <c r="AE39" s="35">
        <f>KURT(K39:V39)</f>
        <v>-6.9436074831183525E-2</v>
      </c>
    </row>
    <row r="40" spans="2:31" x14ac:dyDescent="0.2">
      <c r="B40" s="34">
        <f>[34]FormattedData!A80</f>
        <v>407</v>
      </c>
      <c r="C40" s="34" t="str">
        <f>VLOOKUP($B40,[34]TrtCodes!$B$11:I123,2)</f>
        <v>NSH</v>
      </c>
      <c r="D40" s="34">
        <f>VLOOKUP($B40,[34]TrtCodes!$B$11:J123,3)</f>
        <v>7</v>
      </c>
      <c r="E40" s="34">
        <f>VLOOKUP($B40,[34]TrtCodes!$B$11:K123,4)</f>
        <v>2</v>
      </c>
      <c r="F40" s="34">
        <f>VLOOKUP($B40,[34]TrtCodes!$B$11:L123,5)</f>
        <v>1</v>
      </c>
      <c r="G40" s="34">
        <f>VLOOKUP($B40,[34]TrtCodes!$B$11:M123,6)</f>
        <v>2</v>
      </c>
      <c r="H40" s="34">
        <f>VLOOKUP($B40,[34]TrtCodes!$B$11:N123,7)</f>
        <v>4</v>
      </c>
      <c r="I40" s="34">
        <f>[34]FormattedData!B80</f>
        <v>1</v>
      </c>
      <c r="J40" s="37">
        <f>[34]FormattedData!C80</f>
        <v>13.592000000000001</v>
      </c>
      <c r="K40" s="39">
        <f>$J$3+[34]FormattedData!D80*$J$4+$M$4*$J$5+[34]FormattedData!D80^2*$J$6+$M$5*$J$7</f>
        <v>55.688964353704911</v>
      </c>
      <c r="L40" s="39">
        <f>$J$3+[34]FormattedData!E80*$J$4+$M$4*$J$5+[34]FormattedData!E80^2*$J$6+$M$5*$J$7</f>
        <v>57.810260059958416</v>
      </c>
      <c r="M40" s="39">
        <f>$J$3+[34]FormattedData!F80*$J$4+$M$4*$J$5+[34]FormattedData!F80^2*$J$6+$M$5*$J$7</f>
        <v>54.403506368573467</v>
      </c>
      <c r="N40" s="39">
        <f>$J$3+[34]FormattedData!G80*$J$4+$M$4*$J$5+[34]FormattedData!G80^2*$J$6+$M$5*$J$7</f>
        <v>57.894562397215452</v>
      </c>
      <c r="O40" s="39">
        <f>$J$3+[34]FormattedData!H80*$J$4+$M$4*$J$5+[34]FormattedData!H80^2*$J$6+$M$5*$J$7</f>
        <v>52.32699191661137</v>
      </c>
      <c r="P40" s="39">
        <f>$J$3+[34]FormattedData!I80*$J$4+$M$4*$J$5+[34]FormattedData!I80^2*$J$6+$M$5*$J$7</f>
        <v>56.455674142687222</v>
      </c>
      <c r="Q40" s="39">
        <f>$J$3+[34]FormattedData!J80*$J$4+$M$4*$J$5+[34]FormattedData!J80^2*$J$6+$M$5*$J$7</f>
        <v>51.016806836790209</v>
      </c>
      <c r="R40" s="39">
        <f>$J$3+[34]FormattedData!K80*$J$4+$M$4*$J$5+[34]FormattedData!K80^2*$J$6+$M$5*$J$7</f>
        <v>56.710483238665226</v>
      </c>
      <c r="S40" s="39">
        <f>$J$3+[34]FormattedData!L80*$J$4+$M$4*$J$5+[34]FormattedData!L80^2*$J$6+$M$5*$J$7</f>
        <v>49.873620227041734</v>
      </c>
      <c r="T40" s="39">
        <f>$J$3+[34]FormattedData!M80*$J$4+$M$4*$J$5+[34]FormattedData!M80^2*$J$6+$M$5*$J$7</f>
        <v>58.231349060864282</v>
      </c>
      <c r="U40" s="39">
        <f>$J$3+[34]FormattedData!N80*$J$4+$M$4*$J$5+[34]FormattedData!N80^2*$J$6+$M$5*$J$7</f>
        <v>50.577965049953256</v>
      </c>
      <c r="V40" s="39">
        <f>$J$3+[34]FormattedData!O80*$J$4+$M$4*$J$5+[34]FormattedData!O80^2*$J$6+$M$5*$J$7</f>
        <v>52.152850063628328</v>
      </c>
      <c r="W40" s="38">
        <f>AVERAGE(K40:V40)</f>
        <v>54.428586142974488</v>
      </c>
      <c r="X40" s="37">
        <f>STDEV(K40:V40)/SQRT(COUNT(K40:V40))</f>
        <v>0.89453706647406594</v>
      </c>
      <c r="Y40" s="36">
        <f>MIN(K40:V40)</f>
        <v>49.873620227041734</v>
      </c>
      <c r="Z40" s="35">
        <f>QUARTILE(K40:V40,1)</f>
        <v>51.868839256918797</v>
      </c>
      <c r="AA40" s="36">
        <f>MEDIAN(K40:V40)</f>
        <v>55.046235361139189</v>
      </c>
      <c r="AB40" s="35">
        <f>QUARTILE(K40:V40,3)</f>
        <v>56.985427443988527</v>
      </c>
      <c r="AC40" s="35">
        <f>MAX(K40:V40)</f>
        <v>58.231349060864282</v>
      </c>
      <c r="AD40" s="35">
        <f>SKEW(K40:V40)</f>
        <v>-0.20115740762940396</v>
      </c>
      <c r="AE40" s="35">
        <f>KURT(K40:V40)</f>
        <v>-1.7042342918426043</v>
      </c>
    </row>
    <row r="41" spans="2:31" x14ac:dyDescent="0.2">
      <c r="B41" s="34">
        <f>[34]FormattedData!A78</f>
        <v>408</v>
      </c>
      <c r="C41" s="34" t="str">
        <f>VLOOKUP($B41,[34]TrtCodes!$B$11:I121,2)</f>
        <v>NTL</v>
      </c>
      <c r="D41" s="34">
        <f>VLOOKUP($B41,[34]TrtCodes!$B$11:J121,3)</f>
        <v>10</v>
      </c>
      <c r="E41" s="34">
        <f>VLOOKUP($B41,[34]TrtCodes!$B$11:K121,4)</f>
        <v>2</v>
      </c>
      <c r="F41" s="34">
        <f>VLOOKUP($B41,[34]TrtCodes!$B$11:L121,5)</f>
        <v>2</v>
      </c>
      <c r="G41" s="34">
        <f>VLOOKUP($B41,[34]TrtCodes!$B$11:M121,6)</f>
        <v>1</v>
      </c>
      <c r="H41" s="34">
        <f>VLOOKUP($B41,[34]TrtCodes!$B$11:N121,7)</f>
        <v>4</v>
      </c>
      <c r="I41" s="34">
        <f>[34]FormattedData!B78</f>
        <v>1</v>
      </c>
      <c r="J41" s="37">
        <f>[34]FormattedData!C78</f>
        <v>13.577</v>
      </c>
      <c r="K41" s="39">
        <f>$J$3+[34]FormattedData!D78*$J$4+$M$4*$J$5+[34]FormattedData!D78^2*$J$6+$M$5*$J$7</f>
        <v>37.203792411180359</v>
      </c>
      <c r="L41" s="39">
        <f>$J$3+[34]FormattedData!E78*$J$4+$M$4*$J$5+[34]FormattedData!E78^2*$J$6+$M$5*$J$7</f>
        <v>37.391882881680679</v>
      </c>
      <c r="M41" s="39">
        <f>$J$3+[34]FormattedData!F78*$J$4+$M$4*$J$5+[34]FormattedData!F78^2*$J$6+$M$5*$J$7</f>
        <v>34.933518981341912</v>
      </c>
      <c r="N41" s="39">
        <f>$J$3+[34]FormattedData!G78*$J$4+$M$4*$J$5+[34]FormattedData!G78^2*$J$6+$M$5*$J$7</f>
        <v>36.54414430548438</v>
      </c>
      <c r="O41" s="39">
        <f>$J$3+[34]FormattedData!H78*$J$4+$M$4*$J$5+[34]FormattedData!H78^2*$J$6+$M$5*$J$7</f>
        <v>36.638506554769023</v>
      </c>
      <c r="P41" s="39">
        <f>$J$3+[34]FormattedData!I78*$J$4+$M$4*$J$5+[34]FormattedData!I78^2*$J$6+$M$5*$J$7</f>
        <v>36.449739787661798</v>
      </c>
      <c r="Q41" s="39">
        <f>$J$3+[34]FormattedData!J78*$J$4+$M$4*$J$5+[34]FormattedData!J78^2*$J$6+$M$5*$J$7</f>
        <v>36.355293001301284</v>
      </c>
      <c r="R41" s="39">
        <f>$J$3+[34]FormattedData!K78*$J$4+$M$4*$J$5+[34]FormattedData!K78^2*$J$6+$M$5*$J$7</f>
        <v>37.673701573396691</v>
      </c>
      <c r="S41" s="39">
        <f>$J$3+[34]FormattedData!L78*$J$4+$M$4*$J$5+[34]FormattedData!L78^2*$J$6+$M$5*$J$7</f>
        <v>35.598197043051698</v>
      </c>
      <c r="T41" s="39">
        <f>$J$3+[34]FormattedData!M78*$J$4+$M$4*$J$5+[34]FormattedData!M78^2*$J$6+$M$5*$J$7</f>
        <v>37.015532866528304</v>
      </c>
      <c r="U41" s="39">
        <f>$J$3+[34]FormattedData!N78*$J$4+$M$4*$J$5+[34]FormattedData!N78^2*$J$6+$M$5*$J$7</f>
        <v>35.313588627832239</v>
      </c>
      <c r="V41" s="39">
        <f>$J$3+[34]FormattedData!O78*$J$4+$M$4*$J$5+[34]FormattedData!O78^2*$J$6+$M$5*$J$7</f>
        <v>32.734994132994963</v>
      </c>
      <c r="W41" s="38">
        <f>AVERAGE(K41:V41)</f>
        <v>36.154407680601949</v>
      </c>
      <c r="X41" s="37">
        <f>STDEV(K41:V41)/SQRT(COUNT(K41:V41))</f>
        <v>0.39307905756230482</v>
      </c>
      <c r="Y41" s="36">
        <f>MIN(K41:V41)</f>
        <v>32.734994132994963</v>
      </c>
      <c r="Z41" s="35">
        <f>QUARTILE(K41:V41,1)</f>
        <v>35.527044939246835</v>
      </c>
      <c r="AA41" s="36">
        <f>MEDIAN(K41:V41)</f>
        <v>36.496942046573089</v>
      </c>
      <c r="AB41" s="35">
        <f>QUARTILE(K41:V41,3)</f>
        <v>37.062597752691318</v>
      </c>
      <c r="AC41" s="35">
        <f>MAX(K41:V41)</f>
        <v>37.673701573396691</v>
      </c>
      <c r="AD41" s="35">
        <f>SKEW(K41:V41)</f>
        <v>-1.5194484468929172</v>
      </c>
      <c r="AE41" s="35">
        <f>KURT(K41:V41)</f>
        <v>2.7986278660678678</v>
      </c>
    </row>
    <row r="42" spans="2:31" x14ac:dyDescent="0.2">
      <c r="B42" s="50">
        <f>[34]FormattedData!A60</f>
        <v>901</v>
      </c>
      <c r="C42" s="50" t="str">
        <f>VLOOKUP($B42,[34]TrtCodes!$B$11:I103,2)</f>
        <v>WS</v>
      </c>
      <c r="D42" s="50">
        <f>VLOOKUP($B42,[34]TrtCodes!$B$11:J103,3)</f>
        <v>32</v>
      </c>
      <c r="E42" s="50">
        <f>VLOOKUP($B42,[34]TrtCodes!$B$11:K103,4)</f>
        <v>9</v>
      </c>
      <c r="F42" s="50">
        <f>VLOOKUP($B42,[34]TrtCodes!$B$11:L103,5)</f>
        <v>0</v>
      </c>
      <c r="G42" s="50">
        <f>VLOOKUP($B42,[34]TrtCodes!$B$11:M103,6)</f>
        <v>1</v>
      </c>
      <c r="H42" s="50">
        <f>VLOOKUP($B42,[34]TrtCodes!$B$11:N103,7)</f>
        <v>1</v>
      </c>
      <c r="I42" s="50">
        <f>[34]FormattedData!B60</f>
        <v>1</v>
      </c>
      <c r="J42" s="48">
        <f>[34]FormattedData!C60</f>
        <v>13.438000000000001</v>
      </c>
      <c r="K42" s="47">
        <f>$J$3+[34]FormattedData!D60*$J$4+$M$4*$J$5+[34]FormattedData!D60^2*$J$6+$M$5*$J$7</f>
        <v>37.015532866528304</v>
      </c>
      <c r="L42" s="47">
        <f>$J$3+[34]FormattedData!E60*$J$4+$M$4*$J$5+[34]FormattedData!E60^2*$J$6+$M$5*$J$7</f>
        <v>34.648022926825895</v>
      </c>
      <c r="M42" s="47">
        <f>$J$3+[34]FormattedData!F60*$J$4+$M$4*$J$5+[34]FormattedData!F60^2*$J$6+$M$5*$J$7</f>
        <v>34.743230546869171</v>
      </c>
      <c r="N42" s="47">
        <f>$J$3+[34]FormattedData!G60*$J$4+$M$4*$J$5+[34]FormattedData!G60^2*$J$6+$M$5*$J$7</f>
        <v>35.028599795771392</v>
      </c>
      <c r="O42" s="47">
        <f>$J$3+[34]FormattedData!H60*$J$4+$M$4*$J$5+[34]FormattedData!H60^2*$J$6+$M$5*$J$7</f>
        <v>34.552773038244702</v>
      </c>
      <c r="P42" s="47">
        <f>$J$3+[34]FormattedData!I60*$J$4+$M$4*$J$5+[34]FormattedData!I60^2*$J$6+$M$5*$J$7</f>
        <v>34.743230546869171</v>
      </c>
      <c r="Q42" s="47">
        <f>$J$3+[34]FormattedData!J60*$J$4+$M$4*$J$5+[34]FormattedData!J60^2*$J$6+$M$5*$J$7</f>
        <v>35.123638341662932</v>
      </c>
      <c r="R42" s="47">
        <f>$J$3+[34]FormattedData!K60*$J$4+$M$4*$J$5+[34]FormattedData!K60^2*$J$6+$M$5*$J$7</f>
        <v>35.218634619016555</v>
      </c>
      <c r="S42" s="47">
        <f>$J$3+[34]FormattedData!L60*$J$4+$M$4*$J$5+[34]FormattedData!L60^2*$J$6+$M$5*$J$7</f>
        <v>34.838395898374515</v>
      </c>
      <c r="T42" s="47">
        <f>$J$3+[34]FormattedData!M60*$J$4+$M$4*$J$5+[34]FormattedData!M60^2*$J$6+$M$5*$J$7</f>
        <v>34.933518981341912</v>
      </c>
      <c r="U42" s="47">
        <f>$J$3+[34]FormattedData!N60*$J$4+$M$4*$J$5+[34]FormattedData!N60^2*$J$6+$M$5*$J$7</f>
        <v>35.123638341662932</v>
      </c>
      <c r="V42" s="47">
        <f>$J$3+[34]FormattedData!O60*$J$4+$M$4*$J$5+[34]FormattedData!O60^2*$J$6+$M$5*$J$7</f>
        <v>35.408500368109983</v>
      </c>
      <c r="W42" s="49">
        <f>AVERAGE(K42:V42)</f>
        <v>35.114809689273123</v>
      </c>
      <c r="X42" s="48">
        <f>STDEV(K42:V42)/SQRT(COUNT(K42:V42))</f>
        <v>0.18741783178935423</v>
      </c>
      <c r="Y42" s="47">
        <f>MIN(K42:V42)</f>
        <v>34.552773038244702</v>
      </c>
      <c r="Z42" s="46">
        <f>QUARTILE(K42:V42,1)</f>
        <v>34.743230546869171</v>
      </c>
      <c r="AA42" s="47">
        <f>MEDIAN(K42:V42)</f>
        <v>34.981059388556652</v>
      </c>
      <c r="AB42" s="46">
        <f>QUARTILE(K42:V42,3)</f>
        <v>35.14738741100134</v>
      </c>
      <c r="AC42" s="46">
        <f>MAX(K42:V42)</f>
        <v>37.015532866528304</v>
      </c>
      <c r="AD42" s="46">
        <f>SKEW(K42:V42)</f>
        <v>2.5846859118999568</v>
      </c>
      <c r="AE42" s="46">
        <f>KURT(K42:V42)</f>
        <v>7.7199818523711183</v>
      </c>
    </row>
    <row r="43" spans="2:31" x14ac:dyDescent="0.2">
      <c r="B43" s="34">
        <f>[34]FormattedData!A58</f>
        <v>902</v>
      </c>
      <c r="C43" s="34" t="str">
        <f>VLOOKUP($B43,[34]TrtCodes!$B$11:I101,2)</f>
        <v>Late</v>
      </c>
      <c r="D43" s="34">
        <f>VLOOKUP($B43,[34]TrtCodes!$B$11:J101,3)</f>
        <v>22</v>
      </c>
      <c r="E43" s="34">
        <f>VLOOKUP($B43,[34]TrtCodes!$B$11:K101,4)</f>
        <v>4</v>
      </c>
      <c r="F43" s="34">
        <f>VLOOKUP($B43,[34]TrtCodes!$B$11:L101,5)</f>
        <v>2</v>
      </c>
      <c r="G43" s="34">
        <f>VLOOKUP($B43,[34]TrtCodes!$B$11:M101,6)</f>
        <v>2</v>
      </c>
      <c r="H43" s="34">
        <f>VLOOKUP($B43,[34]TrtCodes!$B$11:N101,7)</f>
        <v>1</v>
      </c>
      <c r="I43" s="34">
        <f>[34]FormattedData!B58</f>
        <v>1</v>
      </c>
      <c r="J43" s="37">
        <f>[34]FormattedData!C58</f>
        <v>13.422000000000001</v>
      </c>
      <c r="K43" s="39">
        <f>$J$3+[34]FormattedData!D58*$J$4+$M$4*$J$5+[34]FormattedData!D58^2*$J$6+$M$5*$J$7</f>
        <v>40.100194996135372</v>
      </c>
      <c r="L43" s="39">
        <f>$J$3+[34]FormattedData!E58*$J$4+$M$4*$J$5+[34]FormattedData!E58^2*$J$6+$M$5*$J$7</f>
        <v>40.656097237125991</v>
      </c>
      <c r="M43" s="39">
        <f>$J$3+[34]FormattedData!F58*$J$4+$M$4*$J$5+[34]FormattedData!F58^2*$J$6+$M$5*$J$7</f>
        <v>38.329799121906447</v>
      </c>
      <c r="N43" s="39">
        <f>$J$3+[34]FormattedData!G58*$J$4+$M$4*$J$5+[34]FormattedData!G58^2*$J$6+$M$5*$J$7</f>
        <v>42.772959270189979</v>
      </c>
      <c r="O43" s="39">
        <f>$J$3+[34]FormattedData!H58*$J$4+$M$4*$J$5+[34]FormattedData!H58^2*$J$6+$M$5*$J$7</f>
        <v>38.142554022164745</v>
      </c>
      <c r="P43" s="39">
        <f>$J$3+[34]FormattedData!I58*$J$4+$M$4*$J$5+[34]FormattedData!I58^2*$J$6+$M$5*$J$7</f>
        <v>43.138826687935435</v>
      </c>
      <c r="Q43" s="39">
        <f>$J$3+[34]FormattedData!J58*$J$4+$M$4*$J$5+[34]FormattedData!J58^2*$J$6+$M$5*$J$7</f>
        <v>38.983825512057585</v>
      </c>
      <c r="R43" s="39">
        <f>$J$3+[34]FormattedData!K58*$J$4+$M$4*$J$5+[34]FormattedData!K58^2*$J$6+$M$5*$J$7</f>
        <v>45.680962307160478</v>
      </c>
      <c r="S43" s="39">
        <f>$J$3+[34]FormattedData!L58*$J$4+$M$4*$J$5+[34]FormattedData!L58^2*$J$6+$M$5*$J$7</f>
        <v>40.470965564280846</v>
      </c>
      <c r="T43" s="39">
        <f>$J$3+[34]FormattedData!M58*$J$4+$M$4*$J$5+[34]FormattedData!M58^2*$J$6+$M$5*$J$7</f>
        <v>45.95136849363508</v>
      </c>
      <c r="U43" s="39">
        <f>$J$3+[34]FormattedData!N58*$J$4+$M$4*$J$5+[34]FormattedData!N58^2*$J$6+$M$5*$J$7</f>
        <v>43.777467330279634</v>
      </c>
      <c r="V43" s="39">
        <f>$J$3+[34]FormattedData!O58*$J$4+$M$4*$J$5+[34]FormattedData!O58^2*$J$6+$M$5*$J$7</f>
        <v>41.94728487079373</v>
      </c>
      <c r="W43" s="38">
        <f>AVERAGE(K43:V43)</f>
        <v>41.662692117805442</v>
      </c>
      <c r="X43" s="37">
        <f>STDEV(K43:V43)/SQRT(COUNT(K43:V43))</f>
        <v>0.76897654798194282</v>
      </c>
      <c r="Y43" s="36">
        <f>MIN(K43:V43)</f>
        <v>38.142554022164745</v>
      </c>
      <c r="Z43" s="35">
        <f>QUARTILE(K43:V43,1)</f>
        <v>39.821102625115927</v>
      </c>
      <c r="AA43" s="36">
        <f>MEDIAN(K43:V43)</f>
        <v>41.301691053959857</v>
      </c>
      <c r="AB43" s="35">
        <f>QUARTILE(K43:V43,3)</f>
        <v>43.298486848521485</v>
      </c>
      <c r="AC43" s="35">
        <f>MAX(K43:V43)</f>
        <v>45.95136849363508</v>
      </c>
      <c r="AD43" s="35">
        <f>SKEW(K43:V43)</f>
        <v>0.29684519137695148</v>
      </c>
      <c r="AE43" s="35">
        <f>KURT(K43:V43)</f>
        <v>-1.0205070662413869</v>
      </c>
    </row>
    <row r="44" spans="2:31" x14ac:dyDescent="0.2">
      <c r="B44" s="50">
        <f>[34]FormattedData!A56</f>
        <v>903</v>
      </c>
      <c r="C44" s="50" t="str">
        <f>VLOOKUP($B44,[34]TrtCodes!$B$11:I99,2)</f>
        <v>DS</v>
      </c>
      <c r="D44" s="50">
        <f>VLOOKUP($B44,[34]TrtCodes!$B$11:J99,3)</f>
        <v>31</v>
      </c>
      <c r="E44" s="50">
        <f>VLOOKUP($B44,[34]TrtCodes!$B$11:K99,4)</f>
        <v>8</v>
      </c>
      <c r="F44" s="50">
        <f>VLOOKUP($B44,[34]TrtCodes!$B$11:L99,5)</f>
        <v>0</v>
      </c>
      <c r="G44" s="50">
        <f>VLOOKUP($B44,[34]TrtCodes!$B$11:M99,6)</f>
        <v>1</v>
      </c>
      <c r="H44" s="50">
        <f>VLOOKUP($B44,[34]TrtCodes!$B$11:N99,7)</f>
        <v>1</v>
      </c>
      <c r="I44" s="50">
        <f>[34]FormattedData!B56</f>
        <v>1</v>
      </c>
      <c r="J44" s="48">
        <f>[34]FormattedData!C56</f>
        <v>13.414</v>
      </c>
      <c r="K44" s="47">
        <f>$J$3+[34]FormattedData!D56*$J$4+$M$4*$J$5+[34]FormattedData!D56^2*$J$6+$M$5*$J$7</f>
        <v>60.320943363669436</v>
      </c>
      <c r="L44" s="47">
        <f>$J$3+[34]FormattedData!E56*$J$4+$M$4*$J$5+[34]FormattedData!E56^2*$J$6+$M$5*$J$7</f>
        <v>60.569919401412953</v>
      </c>
      <c r="M44" s="47">
        <f>$J$3+[34]FormattedData!F56*$J$4+$M$4*$J$5+[34]FormattedData!F56^2*$J$6+$M$5*$J$7</f>
        <v>60.652826876918269</v>
      </c>
      <c r="N44" s="47">
        <f>$J$3+[34]FormattedData!G56*$J$4+$M$4*$J$5+[34]FormattedData!G56^2*$J$6+$M$5*$J$7</f>
        <v>60.652826876918269</v>
      </c>
      <c r="O44" s="47">
        <f>$J$3+[34]FormattedData!H56*$J$4+$M$4*$J$5+[34]FormattedData!H56^2*$J$6+$M$5*$J$7</f>
        <v>60.23786681401242</v>
      </c>
      <c r="P44" s="47">
        <f>$J$3+[34]FormattedData!I56*$J$4+$M$4*$J$5+[34]FormattedData!I56^2*$J$6+$M$5*$J$7</f>
        <v>60.403977644788547</v>
      </c>
      <c r="Q44" s="47">
        <f>$J$3+[34]FormattedData!J56*$J$4+$M$4*$J$5+[34]FormattedData!J56^2*$J$6+$M$5*$J$7</f>
        <v>60.486969657369713</v>
      </c>
      <c r="R44" s="47">
        <f>$J$3+[34]FormattedData!K56*$J$4+$M$4*$J$5+[34]FormattedData!K56^2*$J$6+$M$5*$J$7</f>
        <v>60.320943363669436</v>
      </c>
      <c r="S44" s="47">
        <f>$J$3+[34]FormattedData!L56*$J$4+$M$4*$J$5+[34]FormattedData!L56^2*$J$6+$M$5*$J$7</f>
        <v>60.569919401412953</v>
      </c>
      <c r="T44" s="47">
        <f>$J$3+[34]FormattedData!M56*$J$4+$M$4*$J$5+[34]FormattedData!M56^2*$J$6+$M$5*$J$7</f>
        <v>60.901295692206602</v>
      </c>
      <c r="U44" s="47">
        <f>$J$3+[34]FormattedData!N56*$J$4+$M$4*$J$5+[34]FormattedData!N56^2*$J$6+$M$5*$J$7</f>
        <v>60.735692083885631</v>
      </c>
      <c r="V44" s="47">
        <f>$J$3+[34]FormattedData!O56*$J$4+$M$4*$J$5+[34]FormattedData!O56^2*$J$6+$M$5*$J$7</f>
        <v>60.735692083885631</v>
      </c>
      <c r="W44" s="49">
        <f>AVERAGE(K44:V44)</f>
        <v>60.549072771679157</v>
      </c>
      <c r="X44" s="48">
        <f>STDEV(K44:V44)/SQRT(COUNT(K44:V44))</f>
        <v>5.7863351835969905E-2</v>
      </c>
      <c r="Y44" s="47">
        <f>MIN(K44:V44)</f>
        <v>60.23786681401242</v>
      </c>
      <c r="Z44" s="46">
        <f>QUARTILE(K44:V44,1)</f>
        <v>60.383219074508773</v>
      </c>
      <c r="AA44" s="47">
        <f>MEDIAN(K44:V44)</f>
        <v>60.569919401412953</v>
      </c>
      <c r="AB44" s="46">
        <f>QUARTILE(K44:V44,3)</f>
        <v>60.673543178660111</v>
      </c>
      <c r="AC44" s="46">
        <f>MAX(K44:V44)</f>
        <v>60.901295692206602</v>
      </c>
      <c r="AD44" s="46">
        <f>SKEW(K44:V44)</f>
        <v>2.395547891390248E-2</v>
      </c>
      <c r="AE44" s="46">
        <f>KURT(K44:V44)</f>
        <v>-0.78240523519912886</v>
      </c>
    </row>
    <row r="45" spans="2:31" x14ac:dyDescent="0.2">
      <c r="B45" s="34">
        <f>[34]FormattedData!A54</f>
        <v>904</v>
      </c>
      <c r="C45" s="34" t="str">
        <f>VLOOKUP($B45,[34]TrtCodes!$B$11:I97,2)</f>
        <v>Early</v>
      </c>
      <c r="D45" s="34">
        <f>VLOOKUP($B45,[34]TrtCodes!$B$11:J97,3)</f>
        <v>21</v>
      </c>
      <c r="E45" s="34">
        <f>VLOOKUP($B45,[34]TrtCodes!$B$11:K97,4)</f>
        <v>3</v>
      </c>
      <c r="F45" s="34">
        <f>VLOOKUP($B45,[34]TrtCodes!$B$11:L97,5)</f>
        <v>2</v>
      </c>
      <c r="G45" s="34">
        <f>VLOOKUP($B45,[34]TrtCodes!$B$11:M97,6)</f>
        <v>2</v>
      </c>
      <c r="H45" s="34">
        <f>VLOOKUP($B45,[34]TrtCodes!$B$11:N97,7)</f>
        <v>1</v>
      </c>
      <c r="I45" s="34">
        <f>[34]FormattedData!B54</f>
        <v>1</v>
      </c>
      <c r="J45" s="37">
        <f>[34]FormattedData!C54</f>
        <v>13.397</v>
      </c>
      <c r="K45" s="39">
        <f>$J$3+[34]FormattedData!D54*$J$4+$M$4*$J$5+[34]FormattedData!D54^2*$J$6+$M$5*$J$7</f>
        <v>47.297693173387366</v>
      </c>
      <c r="L45" s="39">
        <f>$J$3+[34]FormattedData!E54*$J$4+$M$4*$J$5+[34]FormattedData!E54^2*$J$6+$M$5*$J$7</f>
        <v>41.302726633139173</v>
      </c>
      <c r="M45" s="39">
        <f>$J$3+[34]FormattedData!F54*$J$4+$M$4*$J$5+[34]FormattedData!F54^2*$J$6+$M$5*$J$7</f>
        <v>38.423358268970404</v>
      </c>
      <c r="N45" s="39">
        <f>$J$3+[34]FormattedData!G54*$J$4+$M$4*$J$5+[34]FormattedData!G54^2*$J$6+$M$5*$J$7</f>
        <v>42.406415555837619</v>
      </c>
      <c r="O45" s="39">
        <f>$J$3+[34]FormattedData!H54*$J$4+$M$4*$J$5+[34]FormattedData!H54^2*$J$6+$M$5*$J$7</f>
        <v>38.610349757484521</v>
      </c>
      <c r="P45" s="39">
        <f>$J$3+[34]FormattedData!I54*$J$4+$M$4*$J$5+[34]FormattedData!I54^2*$J$6+$M$5*$J$7</f>
        <v>44.141474932356118</v>
      </c>
      <c r="Q45" s="39">
        <f>$J$3+[34]FormattedData!J54*$J$4+$M$4*$J$5+[34]FormattedData!J54^2*$J$6+$M$5*$J$7</f>
        <v>41.394933186989334</v>
      </c>
      <c r="R45" s="39">
        <f>$J$3+[34]FormattedData!K54*$J$4+$M$4*$J$5+[34]FormattedData!K54^2*$J$6+$M$5*$J$7</f>
        <v>46.041419352050738</v>
      </c>
      <c r="S45" s="39">
        <f>$J$3+[34]FormattedData!L54*$J$4+$M$4*$J$5+[34]FormattedData!L54^2*$J$6+$M$5*$J$7</f>
        <v>42.314673955904709</v>
      </c>
      <c r="T45" s="39">
        <f>$J$3+[34]FormattedData!M54*$J$4+$M$4*$J$5+[34]FormattedData!M54^2*$J$6+$M$5*$J$7</f>
        <v>45.048535139892152</v>
      </c>
      <c r="U45" s="39">
        <f>$J$3+[34]FormattedData!N54*$J$4+$M$4*$J$5+[34]FormattedData!N54^2*$J$6+$M$5*$J$7</f>
        <v>40.285664817283966</v>
      </c>
      <c r="V45" s="39">
        <f>$J$3+[34]FormattedData!O54*$J$4+$M$4*$J$5+[34]FormattedData!O54^2*$J$6+$M$5*$J$7</f>
        <v>46.401200100334123</v>
      </c>
      <c r="W45" s="38">
        <f>AVERAGE(K45:V45)</f>
        <v>42.805703739469187</v>
      </c>
      <c r="X45" s="37">
        <f>STDEV(K45:V45)/SQRT(COUNT(K45:V45))</f>
        <v>0.86250293856994042</v>
      </c>
      <c r="Y45" s="36">
        <f>MIN(K45:V45)</f>
        <v>38.423358268970404</v>
      </c>
      <c r="Z45" s="35">
        <f>QUARTILE(K45:V45,1)</f>
        <v>41.048461179175369</v>
      </c>
      <c r="AA45" s="36">
        <f>MEDIAN(K45:V45)</f>
        <v>42.36054475587116</v>
      </c>
      <c r="AB45" s="35">
        <f>QUARTILE(K45:V45,3)</f>
        <v>45.296756192931795</v>
      </c>
      <c r="AC45" s="35">
        <f>MAX(K45:V45)</f>
        <v>47.297693173387366</v>
      </c>
      <c r="AD45" s="35">
        <f>SKEW(K45:V45)</f>
        <v>1.7462383734241926E-2</v>
      </c>
      <c r="AE45" s="35">
        <f>KURT(K45:V45)</f>
        <v>-1.1849908011488086</v>
      </c>
    </row>
    <row r="46" spans="2:31" x14ac:dyDescent="0.2">
      <c r="B46" s="50">
        <f>[34]FormattedData!A52</f>
        <v>905</v>
      </c>
      <c r="C46" s="50" t="str">
        <f>VLOOKUP($B46,[34]TrtCodes!$B$11:I95,2)</f>
        <v>WS</v>
      </c>
      <c r="D46" s="50">
        <f>VLOOKUP($B46,[34]TrtCodes!$B$11:J95,3)</f>
        <v>32</v>
      </c>
      <c r="E46" s="50">
        <f>VLOOKUP($B46,[34]TrtCodes!$B$11:K95,4)</f>
        <v>9</v>
      </c>
      <c r="F46" s="50">
        <f>VLOOKUP($B46,[34]TrtCodes!$B$11:L95,5)</f>
        <v>0</v>
      </c>
      <c r="G46" s="50">
        <f>VLOOKUP($B46,[34]TrtCodes!$B$11:M95,6)</f>
        <v>1</v>
      </c>
      <c r="H46" s="50">
        <f>VLOOKUP($B46,[34]TrtCodes!$B$11:N95,7)</f>
        <v>2</v>
      </c>
      <c r="I46" s="50">
        <f>[34]FormattedData!B52</f>
        <v>1</v>
      </c>
      <c r="J46" s="48">
        <f>[34]FormattedData!C52</f>
        <v>13.388999999999999</v>
      </c>
      <c r="K46" s="47">
        <f>$J$3+[34]FormattedData!D52*$J$4+$M$4*$J$5+[34]FormattedData!D52^2*$J$6+$M$5*$J$7</f>
        <v>37.109683773123294</v>
      </c>
      <c r="L46" s="47">
        <f>$J$3+[34]FormattedData!E52*$J$4+$M$4*$J$5+[34]FormattedData!E52^2*$J$6+$M$5*$J$7</f>
        <v>36.921339691395382</v>
      </c>
      <c r="M46" s="47">
        <f>$J$3+[34]FormattedData!F52*$J$4+$M$4*$J$5+[34]FormattedData!F52^2*$J$6+$M$5*$J$7</f>
        <v>36.827104247724527</v>
      </c>
      <c r="N46" s="47">
        <f>$J$3+[34]FormattedData!G52*$J$4+$M$4*$J$5+[34]FormattedData!G52^2*$J$6+$M$5*$J$7</f>
        <v>36.638506554769023</v>
      </c>
      <c r="O46" s="47">
        <f>$J$3+[34]FormattedData!H52*$J$4+$M$4*$J$5+[34]FormattedData!H52^2*$J$6+$M$5*$J$7</f>
        <v>37.203792411180359</v>
      </c>
      <c r="P46" s="47">
        <f>$J$3+[34]FormattedData!I52*$J$4+$M$4*$J$5+[34]FormattedData!I52^2*$J$6+$M$5*$J$7</f>
        <v>37.391882881680679</v>
      </c>
      <c r="Q46" s="47">
        <f>$J$3+[34]FormattedData!J52*$J$4+$M$4*$J$5+[34]FormattedData!J52^2*$J$6+$M$5*$J$7</f>
        <v>42.864489527433243</v>
      </c>
      <c r="R46" s="47">
        <f>$J$3+[34]FormattedData!K52*$J$4+$M$4*$J$5+[34]FormattedData!K52^2*$J$6+$M$5*$J$7</f>
        <v>37.767556600226165</v>
      </c>
      <c r="S46" s="47">
        <f>$J$3+[34]FormattedData!L52*$J$4+$M$4*$J$5+[34]FormattedData!L52^2*$J$6+$M$5*$J$7</f>
        <v>39.635780743850084</v>
      </c>
      <c r="T46" s="47">
        <f>$J$3+[34]FormattedData!M52*$J$4+$M$4*$J$5+[34]FormattedData!M52^2*$J$6+$M$5*$J$7</f>
        <v>39.263488508339101</v>
      </c>
      <c r="U46" s="47">
        <f>$J$3+[34]FormattedData!N52*$J$4+$M$4*$J$5+[34]FormattedData!N52^2*$J$6+$M$5*$J$7</f>
        <v>37.861369358517699</v>
      </c>
      <c r="V46" s="47">
        <f>$J$3+[34]FormattedData!O52*$J$4+$M$4*$J$5+[34]FormattedData!O52^2*$J$6+$M$5*$J$7</f>
        <v>37.391882881680679</v>
      </c>
      <c r="W46" s="49">
        <f>AVERAGE(K46:V46)</f>
        <v>38.073073098326681</v>
      </c>
      <c r="X46" s="48">
        <f>STDEV(K46:V46)/SQRT(COUNT(K46:V46))</f>
        <v>0.5112647104471969</v>
      </c>
      <c r="Y46" s="47">
        <f>MIN(K46:V46)</f>
        <v>36.638506554769023</v>
      </c>
      <c r="Z46" s="46">
        <f>QUARTILE(K46:V46,1)</f>
        <v>37.062597752691318</v>
      </c>
      <c r="AA46" s="47">
        <f>MEDIAN(K46:V46)</f>
        <v>37.391882881680679</v>
      </c>
      <c r="AB46" s="46">
        <f>QUARTILE(K46:V46,3)</f>
        <v>38.211899145973049</v>
      </c>
      <c r="AC46" s="46">
        <f>MAX(K46:V46)</f>
        <v>42.864489527433243</v>
      </c>
      <c r="AD46" s="46">
        <f>SKEW(K46:V46)</f>
        <v>2.0985740662849901</v>
      </c>
      <c r="AE46" s="46">
        <f>KURT(K46:V46)</f>
        <v>4.7000642785656197</v>
      </c>
    </row>
    <row r="47" spans="2:31" x14ac:dyDescent="0.2">
      <c r="B47" s="34">
        <f>[34]FormattedData!A50</f>
        <v>906</v>
      </c>
      <c r="C47" s="34" t="str">
        <f>VLOOKUP($B47,[34]TrtCodes!$B$11:I93,2)</f>
        <v>Late</v>
      </c>
      <c r="D47" s="34">
        <f>VLOOKUP($B47,[34]TrtCodes!$B$11:J93,3)</f>
        <v>22</v>
      </c>
      <c r="E47" s="34">
        <f>VLOOKUP($B47,[34]TrtCodes!$B$11:K93,4)</f>
        <v>4</v>
      </c>
      <c r="F47" s="34">
        <f>VLOOKUP($B47,[34]TrtCodes!$B$11:L93,5)</f>
        <v>2</v>
      </c>
      <c r="G47" s="34">
        <f>VLOOKUP($B47,[34]TrtCodes!$B$11:M93,6)</f>
        <v>2</v>
      </c>
      <c r="H47" s="34">
        <f>VLOOKUP($B47,[34]TrtCodes!$B$11:N93,7)</f>
        <v>2</v>
      </c>
      <c r="I47" s="34">
        <f>[34]FormattedData!B50</f>
        <v>1</v>
      </c>
      <c r="J47" s="37">
        <f>[34]FormattedData!C50</f>
        <v>13.372999999999999</v>
      </c>
      <c r="K47" s="39">
        <f>$J$3+[34]FormattedData!D50*$J$4+$M$4*$J$5+[34]FormattedData!D50^2*$J$6+$M$5*$J$7</f>
        <v>46.580836863248216</v>
      </c>
      <c r="L47" s="39">
        <f>$J$3+[34]FormattedData!E50*$J$4+$M$4*$J$5+[34]FormattedData!E50^2*$J$6+$M$5*$J$7</f>
        <v>44.323225122166768</v>
      </c>
      <c r="M47" s="39">
        <f>$J$3+[34]FormattedData!F50*$J$4+$M$4*$J$5+[34]FormattedData!F50^2*$J$6+$M$5*$J$7</f>
        <v>43.95955566839374</v>
      </c>
      <c r="N47" s="39">
        <f>$J$3+[34]FormattedData!G50*$J$4+$M$4*$J$5+[34]FormattedData!G50^2*$J$6+$M$5*$J$7</f>
        <v>45.229439958944191</v>
      </c>
      <c r="O47" s="39">
        <f>$J$3+[34]FormattedData!H50*$J$4+$M$4*$J$5+[34]FormattedData!H50^2*$J$6+$M$5*$J$7</f>
        <v>45.590742374593077</v>
      </c>
      <c r="P47" s="39">
        <f>$J$3+[34]FormattedData!I50*$J$4+$M$4*$J$5+[34]FormattedData!I50^2*$J$6+$M$5*$J$7</f>
        <v>48.989385029988505</v>
      </c>
      <c r="Q47" s="39">
        <f>$J$3+[34]FormattedData!J50*$J$4+$M$4*$J$5+[34]FormattedData!J50^2*$J$6+$M$5*$J$7</f>
        <v>41.302726633139173</v>
      </c>
      <c r="R47" s="39">
        <f>$J$3+[34]FormattedData!K50*$J$4+$M$4*$J$5+[34]FormattedData!K50^2*$J$6+$M$5*$J$7</f>
        <v>49.343586331264973</v>
      </c>
      <c r="S47" s="39">
        <f>$J$3+[34]FormattedData!L50*$J$4+$M$4*$J$5+[34]FormattedData!L50^2*$J$6+$M$5*$J$7</f>
        <v>45.048535139892152</v>
      </c>
      <c r="T47" s="39">
        <f>$J$3+[34]FormattedData!M50*$J$4+$M$4*$J$5+[34]FormattedData!M50^2*$J$6+$M$5*$J$7</f>
        <v>46.939603166621232</v>
      </c>
      <c r="U47" s="39">
        <f>$J$3+[34]FormattedData!N50*$J$4+$M$4*$J$5+[34]FormattedData!N50^2*$J$6+$M$5*$J$7</f>
        <v>45.410175703844494</v>
      </c>
      <c r="V47" s="39">
        <f>$J$3+[34]FormattedData!O50*$J$4+$M$4*$J$5+[34]FormattedData!O50^2*$J$6+$M$5*$J$7</f>
        <v>41.76333671701066</v>
      </c>
      <c r="W47" s="38">
        <f>AVERAGE(K47:V47)</f>
        <v>45.373429059092267</v>
      </c>
      <c r="X47" s="37">
        <f>STDEV(K47:V47)/SQRT(COUNT(K47:V47))</f>
        <v>0.70511248208440191</v>
      </c>
      <c r="Y47" s="36">
        <f>MIN(K47:V47)</f>
        <v>41.302726633139173</v>
      </c>
      <c r="Z47" s="35">
        <f>QUARTILE(K47:V47,1)</f>
        <v>44.232307758723508</v>
      </c>
      <c r="AA47" s="36">
        <f>MEDIAN(K47:V47)</f>
        <v>45.319807831394343</v>
      </c>
      <c r="AB47" s="35">
        <f>QUARTILE(K47:V47,3)</f>
        <v>46.67052843909147</v>
      </c>
      <c r="AC47" s="35">
        <f>MAX(K47:V47)</f>
        <v>49.343586331264973</v>
      </c>
      <c r="AD47" s="35">
        <f>SKEW(K47:V47)</f>
        <v>-2.2876772316218756E-2</v>
      </c>
      <c r="AE47" s="35">
        <f>KURT(K47:V47)</f>
        <v>-0.15006366603275456</v>
      </c>
    </row>
    <row r="48" spans="2:31" x14ac:dyDescent="0.2">
      <c r="B48" s="50">
        <f>[34]FormattedData!A48</f>
        <v>907</v>
      </c>
      <c r="C48" s="50" t="str">
        <f>VLOOKUP($B48,[34]TrtCodes!$B$11:I91,2)</f>
        <v>DS</v>
      </c>
      <c r="D48" s="50">
        <f>VLOOKUP($B48,[34]TrtCodes!$B$11:J91,3)</f>
        <v>31</v>
      </c>
      <c r="E48" s="50">
        <f>VLOOKUP($B48,[34]TrtCodes!$B$11:K91,4)</f>
        <v>8</v>
      </c>
      <c r="F48" s="50">
        <f>VLOOKUP($B48,[34]TrtCodes!$B$11:L91,5)</f>
        <v>0</v>
      </c>
      <c r="G48" s="50">
        <f>VLOOKUP($B48,[34]TrtCodes!$B$11:M91,6)</f>
        <v>1</v>
      </c>
      <c r="H48" s="50">
        <f>VLOOKUP($B48,[34]TrtCodes!$B$11:N91,7)</f>
        <v>2</v>
      </c>
      <c r="I48" s="50">
        <f>[34]FormattedData!B48</f>
        <v>1</v>
      </c>
      <c r="J48" s="48">
        <f>[34]FormattedData!C48</f>
        <v>13.364000000000001</v>
      </c>
      <c r="K48" s="47">
        <f>$J$3+[34]FormattedData!D48*$J$4+$M$4*$J$5+[34]FormattedData!D48^2*$J$6+$M$5*$J$7</f>
        <v>59.655147447351112</v>
      </c>
      <c r="L48" s="47">
        <f>$J$3+[34]FormattedData!E48*$J$4+$M$4*$J$5+[34]FormattedData!E48^2*$J$6+$M$5*$J$7</f>
        <v>59.988383553813733</v>
      </c>
      <c r="M48" s="47">
        <f>$J$3+[34]FormattedData!F48*$J$4+$M$4*$J$5+[34]FormattedData!F48^2*$J$6+$M$5*$J$7</f>
        <v>60.071586909084552</v>
      </c>
      <c r="N48" s="47">
        <f>$J$3+[34]FormattedData!G48*$J$4+$M$4*$J$5+[34]FormattedData!G48^2*$J$6+$M$5*$J$7</f>
        <v>60.071586909084552</v>
      </c>
      <c r="O48" s="47">
        <f>$J$3+[34]FormattedData!H48*$J$4+$M$4*$J$5+[34]FormattedData!H48^2*$J$6+$M$5*$J$7</f>
        <v>60.154747995817445</v>
      </c>
      <c r="P48" s="47">
        <f>$J$3+[34]FormattedData!I48*$J$4+$M$4*$J$5+[34]FormattedData!I48^2*$J$6+$M$5*$J$7</f>
        <v>60.154747995817445</v>
      </c>
      <c r="Q48" s="47">
        <f>$J$3+[34]FormattedData!J48*$J$4+$M$4*$J$5+[34]FormattedData!J48^2*$J$6+$M$5*$J$7</f>
        <v>59.988383553813733</v>
      </c>
      <c r="R48" s="47">
        <f>$J$3+[34]FormattedData!K48*$J$4+$M$4*$J$5+[34]FormattedData!K48^2*$J$6+$M$5*$J$7</f>
        <v>60.320943363669436</v>
      </c>
      <c r="S48" s="47">
        <f>$J$3+[34]FormattedData!L48*$J$4+$M$4*$J$5+[34]FormattedData!L48^2*$J$6+$M$5*$J$7</f>
        <v>60.071586909084552</v>
      </c>
      <c r="T48" s="47">
        <f>$J$3+[34]FormattedData!M48*$J$4+$M$4*$J$5+[34]FormattedData!M48^2*$J$6+$M$5*$J$7</f>
        <v>59.738519876773658</v>
      </c>
      <c r="U48" s="47">
        <f>$J$3+[34]FormattedData!N48*$J$4+$M$4*$J$5+[34]FormattedData!N48^2*$J$6+$M$5*$J$7</f>
        <v>61.479576862385137</v>
      </c>
      <c r="V48" s="47">
        <f>$J$3+[34]FormattedData!O48*$J$4+$M$4*$J$5+[34]FormattedData!O48^2*$J$6+$M$5*$J$7</f>
        <v>60.984034093560183</v>
      </c>
      <c r="W48" s="49">
        <f>AVERAGE(K48:V48)</f>
        <v>60.223270455854617</v>
      </c>
      <c r="X48" s="48">
        <f>STDEV(K48:V48)/SQRT(COUNT(K48:V48))</f>
        <v>0.14855648953160969</v>
      </c>
      <c r="Y48" s="47">
        <f>MIN(K48:V48)</f>
        <v>59.655147447351112</v>
      </c>
      <c r="Z48" s="46">
        <f>QUARTILE(K48:V48,1)</f>
        <v>59.988383553813733</v>
      </c>
      <c r="AA48" s="47">
        <f>MEDIAN(K48:V48)</f>
        <v>60.071586909084552</v>
      </c>
      <c r="AB48" s="46">
        <f>QUARTILE(K48:V48,3)</f>
        <v>60.196296837780444</v>
      </c>
      <c r="AC48" s="46">
        <f>MAX(K48:V48)</f>
        <v>61.479576862385137</v>
      </c>
      <c r="AD48" s="46">
        <f>SKEW(K48:V48)</f>
        <v>1.6727766890606135</v>
      </c>
      <c r="AE48" s="46">
        <f>KURT(K48:V48)</f>
        <v>2.6917675362696407</v>
      </c>
    </row>
    <row r="49" spans="2:31" ht="13.5" thickBot="1" x14ac:dyDescent="0.25">
      <c r="B49" s="45">
        <f>[34]FormattedData!A46</f>
        <v>908</v>
      </c>
      <c r="C49" s="45" t="str">
        <f>VLOOKUP($B49,[34]TrtCodes!$B$11:I89,2)</f>
        <v>Early</v>
      </c>
      <c r="D49" s="45">
        <f>VLOOKUP($B49,[34]TrtCodes!$B$11:J89,3)</f>
        <v>21</v>
      </c>
      <c r="E49" s="45">
        <f>VLOOKUP($B49,[34]TrtCodes!$B$11:K89,4)</f>
        <v>3</v>
      </c>
      <c r="F49" s="45">
        <f>VLOOKUP($B49,[34]TrtCodes!$B$11:L89,5)</f>
        <v>2</v>
      </c>
      <c r="G49" s="45">
        <f>VLOOKUP($B49,[34]TrtCodes!$B$11:M89,6)</f>
        <v>2</v>
      </c>
      <c r="H49" s="45">
        <f>VLOOKUP($B49,[34]TrtCodes!$B$11:N89,7)</f>
        <v>2</v>
      </c>
      <c r="I49" s="45">
        <f>[34]FormattedData!B46</f>
        <v>1</v>
      </c>
      <c r="J49" s="42">
        <f>[34]FormattedData!C46</f>
        <v>13.348000000000001</v>
      </c>
      <c r="K49" s="44">
        <f>$J$3+[34]FormattedData!D46*$J$4+$M$4*$J$5+[34]FormattedData!D46^2*$J$6+$M$5*$J$7</f>
        <v>44.958019327559242</v>
      </c>
      <c r="L49" s="44">
        <f>$J$3+[34]FormattedData!E46*$J$4+$M$4*$J$5+[34]FormattedData!E46^2*$J$6+$M$5*$J$7</f>
        <v>41.579219489075854</v>
      </c>
      <c r="M49" s="44">
        <f>$J$3+[34]FormattedData!F46*$J$4+$M$4*$J$5+[34]FormattedData!F46^2*$J$6+$M$5*$J$7</f>
        <v>37.673701573396691</v>
      </c>
      <c r="N49" s="44">
        <f>$J$3+[34]FormattedData!G46*$J$4+$M$4*$J$5+[34]FormattedData!G46^2*$J$6+$M$5*$J$7</f>
        <v>44.595533392848274</v>
      </c>
      <c r="O49" s="44">
        <f>$J$3+[34]FormattedData!H46*$J$4+$M$4*$J$5+[34]FormattedData!H46^2*$J$6+$M$5*$J$7</f>
        <v>43.138826687935435</v>
      </c>
      <c r="P49" s="44">
        <f>$J$3+[34]FormattedData!I46*$J$4+$M$4*$J$5+[34]FormattedData!I46^2*$J$6+$M$5*$J$7</f>
        <v>45.861275366681475</v>
      </c>
      <c r="Q49" s="44">
        <f>$J$3+[34]FormattedData!J46*$J$4+$M$4*$J$5+[34]FormattedData!J46^2*$J$6+$M$5*$J$7</f>
        <v>44.776860897279619</v>
      </c>
      <c r="R49" s="44">
        <f>$J$3+[34]FormattedData!K46*$J$4+$M$4*$J$5+[34]FormattedData!K46^2*$J$6+$M$5*$J$7</f>
        <v>43.868532633605646</v>
      </c>
      <c r="S49" s="44">
        <f>$J$3+[34]FormattedData!L46*$J$4+$M$4*$J$5+[34]FormattedData!L46^2*$J$6+$M$5*$J$7</f>
        <v>44.686218279332913</v>
      </c>
      <c r="T49" s="44">
        <f>$J$3+[34]FormattedData!M46*$J$4+$M$4*$J$5+[34]FormattedData!M46^2*$J$6+$M$5*$J$7</f>
        <v>45.500480173487752</v>
      </c>
      <c r="U49" s="44">
        <f>$J$3+[34]FormattedData!N46*$J$4+$M$4*$J$5+[34]FormattedData!N46^2*$J$6+$M$5*$J$7</f>
        <v>44.595533392848274</v>
      </c>
      <c r="V49" s="44">
        <f>$J$3+[34]FormattedData!O46*$J$4+$M$4*$J$5+[34]FormattedData!O46^2*$J$6+$M$5*$J$7</f>
        <v>37.391882881680679</v>
      </c>
      <c r="W49" s="43">
        <f>AVERAGE(K49:V49)</f>
        <v>43.218840341310987</v>
      </c>
      <c r="X49" s="42">
        <f>STDEV(K49:V49)/SQRT(COUNT(K49:V49))</f>
        <v>0.83213460588748889</v>
      </c>
      <c r="Y49" s="41">
        <f>MIN(K49:V49)</f>
        <v>37.391882881680679</v>
      </c>
      <c r="Z49" s="40">
        <f>QUARTILE(K49:V49,1)</f>
        <v>42.748924888220543</v>
      </c>
      <c r="AA49" s="41">
        <f>MEDIAN(K49:V49)</f>
        <v>44.595533392848274</v>
      </c>
      <c r="AB49" s="40">
        <f>QUARTILE(K49:V49,3)</f>
        <v>44.822150504849525</v>
      </c>
      <c r="AC49" s="40">
        <f>MAX(K49:V49)</f>
        <v>45.861275366681475</v>
      </c>
      <c r="AD49" s="40">
        <f>SKEW(K49:V49)</f>
        <v>-1.4789903466053409</v>
      </c>
      <c r="AE49" s="40">
        <f>KURT(K49:V49)</f>
        <v>1.0067398974974324</v>
      </c>
    </row>
    <row r="50" spans="2:31" ht="13.5" thickTop="1" x14ac:dyDescent="0.2">
      <c r="B50" s="34">
        <f>[34]FormattedData!A29</f>
        <v>101</v>
      </c>
      <c r="C50" s="34" t="str">
        <f>VLOOKUP($B50,[34]TrtCodes!$B$11:I72,2)</f>
        <v>FSH</v>
      </c>
      <c r="D50" s="34">
        <f>VLOOKUP($B50,[34]TrtCodes!$B$11:J72,3)</f>
        <v>1</v>
      </c>
      <c r="E50" s="34">
        <f>VLOOKUP($B50,[34]TrtCodes!$B$11:K72,4)</f>
        <v>1</v>
      </c>
      <c r="F50" s="34">
        <f>VLOOKUP($B50,[34]TrtCodes!$B$11:L72,5)</f>
        <v>1</v>
      </c>
      <c r="G50" s="34">
        <f>VLOOKUP($B50,[34]TrtCodes!$B$11:M72,6)</f>
        <v>2</v>
      </c>
      <c r="H50" s="34">
        <f>VLOOKUP($B50,[34]TrtCodes!$B$11:N72,7)</f>
        <v>1</v>
      </c>
      <c r="I50" s="34">
        <f>[34]FormattedData!B29</f>
        <v>2</v>
      </c>
      <c r="J50" s="37">
        <f>[34]FormattedData!C29</f>
        <v>13.207000000000001</v>
      </c>
      <c r="K50" s="39">
        <f>$J$3+[34]FormattedData!D29*$J$4+$M$4*$J$5+[34]FormattedData!D29^2*$J$6+$M$5*$J$7</f>
        <v>29.833749538800209</v>
      </c>
      <c r="L50" s="39">
        <f>$J$3+[34]FormattedData!E29*$J$4+$M$4*$J$5+[34]FormattedData!E29^2*$J$6+$M$5*$J$7</f>
        <v>29.053659495916069</v>
      </c>
      <c r="M50" s="39">
        <f>$J$3+[34]FormattedData!F29*$J$4+$M$4*$J$5+[34]FormattedData!F29^2*$J$6+$M$5*$J$7</f>
        <v>33.59794938284648</v>
      </c>
      <c r="N50" s="39">
        <f>$J$3+[34]FormattedData!G29*$J$4+$M$4*$J$5+[34]FormattedData!G29^2*$J$6+$M$5*$J$7</f>
        <v>29.638980639306759</v>
      </c>
      <c r="O50" s="39">
        <f>$J$3+[34]FormattedData!H29*$J$4+$M$4*$J$5+[34]FormattedData!H29^2*$J$6+$M$5*$J$7</f>
        <v>32.254095150916534</v>
      </c>
      <c r="P50" s="39">
        <f>$J$3+[34]FormattedData!I29*$J$4+$M$4*$J$5+[34]FormattedData!I29^2*$J$6+$M$5*$J$7</f>
        <v>29.736386223322445</v>
      </c>
      <c r="Q50" s="39">
        <f>$J$3+[34]FormattedData!J29*$J$4+$M$4*$J$5+[34]FormattedData!J29^2*$J$6+$M$5*$J$7</f>
        <v>31.385814065285697</v>
      </c>
      <c r="R50" s="39">
        <f>$J$3+[34]FormattedData!K29*$J$4+$M$4*$J$5+[34]FormattedData!K29^2*$J$6+$M$5*$J$7</f>
        <v>32.254095150916534</v>
      </c>
      <c r="S50" s="39">
        <f>$J$3+[34]FormattedData!L29*$J$4+$M$4*$J$5+[34]FormattedData!L29^2*$J$6+$M$5*$J$7</f>
        <v>31.772139455389826</v>
      </c>
      <c r="T50" s="39">
        <f>$J$3+[34]FormattedData!M29*$J$4+$M$4*$J$5+[34]FormattedData!M29^2*$J$6+$M$5*$J$7</f>
        <v>31.095626203059325</v>
      </c>
      <c r="U50" s="39">
        <f>$J$3+[34]FormattedData!N29*$J$4+$M$4*$J$5+[34]FormattedData!N29^2*$J$6+$M$5*$J$7</f>
        <v>30.028349364141924</v>
      </c>
      <c r="V50" s="39">
        <f>$J$3+[34]FormattedData!O29*$J$4+$M$4*$J$5+[34]FormattedData!O29^2*$J$6+$M$5*$J$7</f>
        <v>30.125585874005893</v>
      </c>
      <c r="W50" s="38">
        <f>AVERAGE(K50:V50)</f>
        <v>30.898035878658977</v>
      </c>
      <c r="X50" s="37">
        <f>STDEV(K50:V50)/SQRT(COUNT(K50:V50))</f>
        <v>0.39724874185470704</v>
      </c>
      <c r="Y50" s="36">
        <f>MIN(K50:V50)</f>
        <v>29.053659495916069</v>
      </c>
      <c r="Z50" s="35">
        <f>QUARTILE(K50:V50,1)</f>
        <v>29.809408709930768</v>
      </c>
      <c r="AA50" s="36">
        <f>MEDIAN(K50:V50)</f>
        <v>30.610606038532609</v>
      </c>
      <c r="AB50" s="35">
        <f>QUARTILE(K50:V50,3)</f>
        <v>31.892628379271503</v>
      </c>
      <c r="AC50" s="35">
        <f>MAX(K50:V50)</f>
        <v>33.59794938284648</v>
      </c>
      <c r="AD50" s="35">
        <f>SKEW(K50:V50)</f>
        <v>0.55670623192151625</v>
      </c>
      <c r="AE50" s="35">
        <f>KURT(K50:V50)</f>
        <v>-0.5769227342581611</v>
      </c>
    </row>
    <row r="51" spans="2:31" x14ac:dyDescent="0.2">
      <c r="B51" s="34">
        <f>[34]FormattedData!A27</f>
        <v>102</v>
      </c>
      <c r="C51" s="34" t="str">
        <f>VLOOKUP($B51,[34]TrtCodes!$B$11:I70,2)</f>
        <v>FTL</v>
      </c>
      <c r="D51" s="34">
        <f>VLOOKUP($B51,[34]TrtCodes!$B$11:J70,3)</f>
        <v>4</v>
      </c>
      <c r="E51" s="34">
        <f>VLOOKUP($B51,[34]TrtCodes!$B$11:K70,4)</f>
        <v>1</v>
      </c>
      <c r="F51" s="34">
        <f>VLOOKUP($B51,[34]TrtCodes!$B$11:L70,5)</f>
        <v>2</v>
      </c>
      <c r="G51" s="34">
        <f>VLOOKUP($B51,[34]TrtCodes!$B$11:M70,6)</f>
        <v>1</v>
      </c>
      <c r="H51" s="34">
        <f>VLOOKUP($B51,[34]TrtCodes!$B$11:N70,7)</f>
        <v>1</v>
      </c>
      <c r="I51" s="34">
        <f>[34]FormattedData!B27</f>
        <v>2</v>
      </c>
      <c r="J51" s="37">
        <f>[34]FormattedData!C27</f>
        <v>13.191000000000001</v>
      </c>
      <c r="K51" s="39">
        <f>$J$3+[34]FormattedData!D27*$J$4+$M$4*$J$5+[34]FormattedData!D27^2*$J$6+$M$5*$J$7</f>
        <v>28.172824654519683</v>
      </c>
      <c r="L51" s="39">
        <f>$J$3+[34]FormattedData!E27*$J$4+$M$4*$J$5+[34]FormattedData!E27^2*$J$6+$M$5*$J$7</f>
        <v>29.248935617864689</v>
      </c>
      <c r="M51" s="39">
        <f>$J$3+[34]FormattedData!F27*$J$4+$M$4*$J$5+[34]FormattedData!F27^2*$J$6+$M$5*$J$7</f>
        <v>30.708117293893125</v>
      </c>
      <c r="N51" s="39">
        <f>$J$3+[34]FormattedData!G27*$J$4+$M$4*$J$5+[34]FormattedData!G27^2*$J$6+$M$5*$J$7</f>
        <v>30.417041792370199</v>
      </c>
      <c r="O51" s="39">
        <f>$J$3+[34]FormattedData!H27*$J$4+$M$4*$J$5+[34]FormattedData!H27^2*$J$6+$M$5*$J$7</f>
        <v>29.541532786753134</v>
      </c>
      <c r="P51" s="39">
        <f>$J$3+[34]FormattedData!I27*$J$4+$M$4*$J$5+[34]FormattedData!I27^2*$J$6+$M$5*$J$7</f>
        <v>30.417041792370199</v>
      </c>
      <c r="Q51" s="39">
        <f>$J$3+[34]FormattedData!J27*$J$4+$M$4*$J$5+[34]FormattedData!J27^2*$J$6+$M$5*$J$7</f>
        <v>31.289127046414841</v>
      </c>
      <c r="R51" s="39">
        <f>$J$3+[34]FormattedData!K27*$J$4+$M$4*$J$5+[34]FormattedData!K27^2*$J$6+$M$5*$J$7</f>
        <v>29.931070585740031</v>
      </c>
      <c r="S51" s="39">
        <f>$J$3+[34]FormattedData!L27*$J$4+$M$4*$J$5+[34]FormattedData!L27^2*$J$6+$M$5*$J$7</f>
        <v>29.931070585740031</v>
      </c>
      <c r="T51" s="39">
        <f>$J$3+[34]FormattedData!M27*$J$4+$M$4*$J$5+[34]FormattedData!M27^2*$J$6+$M$5*$J$7</f>
        <v>29.346510276032102</v>
      </c>
      <c r="U51" s="39">
        <f>$J$3+[34]FormattedData!N27*$J$4+$M$4*$J$5+[34]FormattedData!N27^2*$J$6+$M$5*$J$7</f>
        <v>30.805057923991573</v>
      </c>
      <c r="V51" s="39">
        <f>$J$3+[34]FormattedData!O27*$J$4+$M$4*$J$5+[34]FormattedData!O27^2*$J$6+$M$5*$J$7</f>
        <v>29.248935617864689</v>
      </c>
      <c r="W51" s="38">
        <f>AVERAGE(K51:V51)</f>
        <v>29.921438831129521</v>
      </c>
      <c r="X51" s="37">
        <f>STDEV(K51:V51)/SQRT(COUNT(K51:V51))</f>
        <v>0.24922137870101349</v>
      </c>
      <c r="Y51" s="36">
        <f>MIN(K51:V51)</f>
        <v>28.172824654519683</v>
      </c>
      <c r="Z51" s="35">
        <f>QUARTILE(K51:V51,1)</f>
        <v>29.322116611490248</v>
      </c>
      <c r="AA51" s="36">
        <f>MEDIAN(K51:V51)</f>
        <v>29.931070585740031</v>
      </c>
      <c r="AB51" s="35">
        <f>QUARTILE(K51:V51,3)</f>
        <v>30.48981066775093</v>
      </c>
      <c r="AC51" s="35">
        <f>MAX(K51:V51)</f>
        <v>31.289127046414841</v>
      </c>
      <c r="AD51" s="35">
        <f>SKEW(K51:V51)</f>
        <v>-0.376578032318865</v>
      </c>
      <c r="AE51" s="35">
        <f>KURT(K51:V51)</f>
        <v>7.9821322808506956E-2</v>
      </c>
    </row>
    <row r="52" spans="2:31" x14ac:dyDescent="0.2">
      <c r="B52" s="34">
        <f>[34]FormattedData!A25</f>
        <v>103</v>
      </c>
      <c r="C52" s="34" t="str">
        <f>VLOOKUP($B52,[34]TrtCodes!$B$11:I68,2)</f>
        <v>FDH</v>
      </c>
      <c r="D52" s="34">
        <f>VLOOKUP($B52,[34]TrtCodes!$B$11:J68,3)</f>
        <v>5</v>
      </c>
      <c r="E52" s="34">
        <f>VLOOKUP($B52,[34]TrtCodes!$B$11:K68,4)</f>
        <v>1</v>
      </c>
      <c r="F52" s="34">
        <f>VLOOKUP($B52,[34]TrtCodes!$B$11:L68,5)</f>
        <v>3</v>
      </c>
      <c r="G52" s="34">
        <f>VLOOKUP($B52,[34]TrtCodes!$B$11:M68,6)</f>
        <v>2</v>
      </c>
      <c r="H52" s="34">
        <f>VLOOKUP($B52,[34]TrtCodes!$B$11:N68,7)</f>
        <v>1</v>
      </c>
      <c r="I52" s="34">
        <f>[34]FormattedData!B25</f>
        <v>2</v>
      </c>
      <c r="J52" s="37">
        <f>[34]FormattedData!C25</f>
        <v>13.176</v>
      </c>
      <c r="K52" s="39">
        <f>$J$3+[34]FormattedData!D25*$J$4+$M$4*$J$5+[34]FormattedData!D25^2*$J$6+$M$5*$J$7</f>
        <v>32.734994132994963</v>
      </c>
      <c r="L52" s="39">
        <f>$J$3+[34]FormattedData!E25*$J$4+$M$4*$J$5+[34]FormattedData!E25^2*$J$6+$M$5*$J$7</f>
        <v>31.095626203059325</v>
      </c>
      <c r="M52" s="39">
        <f>$J$3+[34]FormattedData!F25*$J$4+$M$4*$J$5+[34]FormattedData!F25^2*$J$6+$M$5*$J$7</f>
        <v>31.192397759006042</v>
      </c>
      <c r="N52" s="39">
        <f>$J$3+[34]FormattedData!G25*$J$4+$M$4*$J$5+[34]FormattedData!G25^2*$J$6+$M$5*$J$7</f>
        <v>32.254095150916534</v>
      </c>
      <c r="O52" s="39">
        <f>$J$3+[34]FormattedData!H25*$J$4+$M$4*$J$5+[34]FormattedData!H25^2*$J$6+$M$5*$J$7</f>
        <v>28.662600029563652</v>
      </c>
      <c r="P52" s="39">
        <f>$J$3+[34]FormattedData!I25*$J$4+$M$4*$J$5+[34]FormattedData!I25^2*$J$6+$M$5*$J$7</f>
        <v>28.270864266604338</v>
      </c>
      <c r="Q52" s="39">
        <f>$J$3+[34]FormattedData!J25*$J$4+$M$4*$J$5+[34]FormattedData!J25^2*$J$6+$M$5*$J$7</f>
        <v>29.638980639306759</v>
      </c>
      <c r="R52" s="39">
        <f>$J$3+[34]FormattedData!K25*$J$4+$M$4*$J$5+[34]FormattedData!K25^2*$J$6+$M$5*$J$7</f>
        <v>28.955958032134863</v>
      </c>
      <c r="S52" s="39">
        <f>$J$3+[34]FormattedData!L25*$J$4+$M$4*$J$5+[34]FormattedData!L25^2*$J$6+$M$5*$J$7</f>
        <v>28.662600029563652</v>
      </c>
      <c r="T52" s="39">
        <f>$J$3+[34]FormattedData!M25*$J$4+$M$4*$J$5+[34]FormattedData!M25^2*$J$6+$M$5*$J$7</f>
        <v>29.444042665661588</v>
      </c>
      <c r="U52" s="39">
        <f>$J$3+[34]FormattedData!N25*$J$4+$M$4*$J$5+[34]FormattedData!N25^2*$J$6+$M$5*$J$7</f>
        <v>30.028349364141924</v>
      </c>
      <c r="V52" s="39">
        <f>$J$3+[34]FormattedData!O25*$J$4+$M$4*$J$5+[34]FormattedData!O25^2*$J$6+$M$5*$J$7</f>
        <v>31.192397759006042</v>
      </c>
      <c r="W52" s="38">
        <f>AVERAGE(K52:V52)</f>
        <v>30.177742169329978</v>
      </c>
      <c r="X52" s="37">
        <f>STDEV(K52:V52)/SQRT(COUNT(K52:V52))</f>
        <v>0.42926549953364923</v>
      </c>
      <c r="Y52" s="36">
        <f>MIN(K52:V52)</f>
        <v>28.270864266604338</v>
      </c>
      <c r="Z52" s="35">
        <f>QUARTILE(K52:V52,1)</f>
        <v>28.88261853149206</v>
      </c>
      <c r="AA52" s="36">
        <f>MEDIAN(K52:V52)</f>
        <v>29.833665001724341</v>
      </c>
      <c r="AB52" s="35">
        <f>QUARTILE(K52:V52,3)</f>
        <v>31.192397759006042</v>
      </c>
      <c r="AC52" s="35">
        <f>MAX(K52:V52)</f>
        <v>32.734994132994963</v>
      </c>
      <c r="AD52" s="35">
        <f>SKEW(K52:V52)</f>
        <v>0.40704048293290873</v>
      </c>
      <c r="AE52" s="35">
        <f>KURT(K52:V52)</f>
        <v>-1.1152613147042794</v>
      </c>
    </row>
    <row r="53" spans="2:31" x14ac:dyDescent="0.2">
      <c r="B53" s="34">
        <f>[34]FormattedData!A23</f>
        <v>104</v>
      </c>
      <c r="C53" s="34" t="str">
        <f>VLOOKUP($B53,[34]TrtCodes!$B$11:I66,2)</f>
        <v>NTL</v>
      </c>
      <c r="D53" s="34">
        <f>VLOOKUP($B53,[34]TrtCodes!$B$11:J66,3)</f>
        <v>10</v>
      </c>
      <c r="E53" s="34">
        <f>VLOOKUP($B53,[34]TrtCodes!$B$11:K66,4)</f>
        <v>2</v>
      </c>
      <c r="F53" s="34">
        <f>VLOOKUP($B53,[34]TrtCodes!$B$11:L66,5)</f>
        <v>2</v>
      </c>
      <c r="G53" s="34">
        <f>VLOOKUP($B53,[34]TrtCodes!$B$11:M66,6)</f>
        <v>1</v>
      </c>
      <c r="H53" s="34">
        <f>VLOOKUP($B53,[34]TrtCodes!$B$11:N66,7)</f>
        <v>1</v>
      </c>
      <c r="I53" s="34">
        <f>[34]FormattedData!B23</f>
        <v>2</v>
      </c>
      <c r="J53" s="37">
        <f>[34]FormattedData!C23</f>
        <v>13.159000000000001</v>
      </c>
      <c r="K53" s="39">
        <f>$J$3+[34]FormattedData!D23*$J$4+$M$4*$J$5+[34]FormattedData!D23^2*$J$6+$M$5*$J$7</f>
        <v>30.222780115331922</v>
      </c>
      <c r="L53" s="39">
        <f>$J$3+[34]FormattedData!E23*$J$4+$M$4*$J$5+[34]FormattedData!E23^2*$J$6+$M$5*$J$7</f>
        <v>28.368861610151065</v>
      </c>
      <c r="M53" s="39">
        <f>$J$3+[34]FormattedData!F23*$J$4+$M$4*$J$5+[34]FormattedData!F23^2*$J$6+$M$5*$J$7</f>
        <v>28.760428298958654</v>
      </c>
      <c r="N53" s="39">
        <f>$J$3+[34]FormattedData!G23*$J$4+$M$4*$J$5+[34]FormattedData!G23^2*$J$6+$M$5*$J$7</f>
        <v>28.564729491630722</v>
      </c>
      <c r="O53" s="39">
        <f>$J$3+[34]FormattedData!H23*$J$4+$M$4*$J$5+[34]FormattedData!H23^2*$J$6+$M$5*$J$7</f>
        <v>30.708117293893125</v>
      </c>
      <c r="P53" s="39">
        <f>$J$3+[34]FormattedData!I23*$J$4+$M$4*$J$5+[34]FormattedData!I23^2*$J$6+$M$5*$J$7</f>
        <v>28.760428298958654</v>
      </c>
      <c r="Q53" s="39">
        <f>$J$3+[34]FormattedData!J23*$J$4+$M$4*$J$5+[34]FormattedData!J23^2*$J$6+$M$5*$J$7</f>
        <v>31.289127046414841</v>
      </c>
      <c r="R53" s="39">
        <f>$J$3+[34]FormattedData!K23*$J$4+$M$4*$J$5+[34]FormattedData!K23^2*$J$6+$M$5*$J$7</f>
        <v>30.222780115331922</v>
      </c>
      <c r="S53" s="39">
        <f>$J$3+[34]FormattedData!L23*$J$4+$M$4*$J$5+[34]FormattedData!L23^2*$J$6+$M$5*$J$7</f>
        <v>28.760428298958654</v>
      </c>
      <c r="T53" s="39">
        <f>$J$3+[34]FormattedData!M23*$J$4+$M$4*$J$5+[34]FormattedData!M23^2*$J$6+$M$5*$J$7</f>
        <v>30.222780115331922</v>
      </c>
      <c r="U53" s="39">
        <f>$J$3+[34]FormattedData!N23*$J$4+$M$4*$J$5+[34]FormattedData!N23^2*$J$6+$M$5*$J$7</f>
        <v>29.444042665661588</v>
      </c>
      <c r="V53" s="39">
        <f>$J$3+[34]FormattedData!O23*$J$4+$M$4*$J$5+[34]FormattedData!O23^2*$J$6+$M$5*$J$7</f>
        <v>30.125585874005893</v>
      </c>
      <c r="W53" s="38">
        <f>AVERAGE(K53:V53)</f>
        <v>29.620840768719081</v>
      </c>
      <c r="X53" s="37">
        <f>STDEV(K53:V53)/SQRT(COUNT(K53:V53))</f>
        <v>0.27855306830144749</v>
      </c>
      <c r="Y53" s="36">
        <f>MIN(K53:V53)</f>
        <v>28.368861610151065</v>
      </c>
      <c r="Z53" s="35">
        <f>QUARTILE(K53:V53,1)</f>
        <v>28.760428298958654</v>
      </c>
      <c r="AA53" s="36">
        <f>MEDIAN(K53:V53)</f>
        <v>29.784814269833738</v>
      </c>
      <c r="AB53" s="35">
        <f>QUARTILE(K53:V53,3)</f>
        <v>30.222780115331922</v>
      </c>
      <c r="AC53" s="35">
        <f>MAX(K53:V53)</f>
        <v>31.289127046414841</v>
      </c>
      <c r="AD53" s="35">
        <f>SKEW(K53:V53)</f>
        <v>0.20089884807503142</v>
      </c>
      <c r="AE53" s="35">
        <f>KURT(K53:V53)</f>
        <v>-1.3163175755403507</v>
      </c>
    </row>
    <row r="54" spans="2:31" x14ac:dyDescent="0.2">
      <c r="B54" s="34">
        <f>[34]FormattedData!A21</f>
        <v>105</v>
      </c>
      <c r="C54" s="34" t="str">
        <f>VLOOKUP($B54,[34]TrtCodes!$B$11:I64,2)</f>
        <v>NDL</v>
      </c>
      <c r="D54" s="34">
        <f>VLOOKUP($B54,[34]TrtCodes!$B$11:J64,3)</f>
        <v>12</v>
      </c>
      <c r="E54" s="34">
        <f>VLOOKUP($B54,[34]TrtCodes!$B$11:K64,4)</f>
        <v>2</v>
      </c>
      <c r="F54" s="34">
        <f>VLOOKUP($B54,[34]TrtCodes!$B$11:L64,5)</f>
        <v>3</v>
      </c>
      <c r="G54" s="34">
        <f>VLOOKUP($B54,[34]TrtCodes!$B$11:M64,6)</f>
        <v>1</v>
      </c>
      <c r="H54" s="34">
        <f>VLOOKUP($B54,[34]TrtCodes!$B$11:N64,7)</f>
        <v>2</v>
      </c>
      <c r="I54" s="34">
        <f>[34]FormattedData!B21</f>
        <v>2</v>
      </c>
      <c r="J54" s="37">
        <f>[34]FormattedData!C21</f>
        <v>13.141</v>
      </c>
      <c r="K54" s="39">
        <f>$J$3+[34]FormattedData!D21*$J$4+$M$4*$J$5+[34]FormattedData!D21^2*$J$6+$M$5*$J$7</f>
        <v>30.028349364141924</v>
      </c>
      <c r="L54" s="39">
        <f>$J$3+[34]FormattedData!E21*$J$4+$M$4*$J$5+[34]FormattedData!E21^2*$J$6+$M$5*$J$7</f>
        <v>30.222780115331922</v>
      </c>
      <c r="M54" s="39">
        <f>$J$3+[34]FormattedData!F21*$J$4+$M$4*$J$5+[34]FormattedData!F21^2*$J$6+$M$5*$J$7</f>
        <v>30.028349364141924</v>
      </c>
      <c r="N54" s="39">
        <f>$J$3+[34]FormattedData!G21*$J$4+$M$4*$J$5+[34]FormattedData!G21^2*$J$6+$M$5*$J$7</f>
        <v>30.708117293893125</v>
      </c>
      <c r="O54" s="39">
        <f>$J$3+[34]FormattedData!H21*$J$4+$M$4*$J$5+[34]FormattedData!H21^2*$J$6+$M$5*$J$7</f>
        <v>29.833749538800209</v>
      </c>
      <c r="P54" s="39">
        <f>$J$3+[34]FormattedData!I21*$J$4+$M$4*$J$5+[34]FormattedData!I21^2*$J$6+$M$5*$J$7</f>
        <v>30.31993208812003</v>
      </c>
      <c r="Q54" s="39">
        <f>$J$3+[34]FormattedData!J21*$J$4+$M$4*$J$5+[34]FormattedData!J21^2*$J$6+$M$5*$J$7</f>
        <v>31.579061297413624</v>
      </c>
      <c r="R54" s="39">
        <f>$J$3+[34]FormattedData!K21*$J$4+$M$4*$J$5+[34]FormattedData!K21^2*$J$6+$M$5*$J$7</f>
        <v>29.346510276032102</v>
      </c>
      <c r="S54" s="39">
        <f>$J$3+[34]FormattedData!L21*$J$4+$M$4*$J$5+[34]FormattedData!L21^2*$J$6+$M$5*$J$7</f>
        <v>30.708117293893125</v>
      </c>
      <c r="T54" s="39">
        <f>$J$3+[34]FormattedData!M21*$J$4+$M$4*$J$5+[34]FormattedData!M21^2*$J$6+$M$5*$J$7</f>
        <v>27.976618624736581</v>
      </c>
      <c r="U54" s="39">
        <f>$J$3+[34]FormattedData!N21*$J$4+$M$4*$J$5+[34]FormattedData!N21^2*$J$6+$M$5*$J$7</f>
        <v>28.662600029563652</v>
      </c>
      <c r="V54" s="39">
        <f>$J$3+[34]FormattedData!O21*$J$4+$M$4*$J$5+[34]FormattedData!O21^2*$J$6+$M$5*$J$7</f>
        <v>29.053659495916069</v>
      </c>
      <c r="W54" s="38">
        <f>AVERAGE(K54:V54)</f>
        <v>29.87232039849869</v>
      </c>
      <c r="X54" s="37">
        <f>STDEV(K54:V54)/SQRT(COUNT(K54:V54))</f>
        <v>0.28454141689215728</v>
      </c>
      <c r="Y54" s="36">
        <f>MIN(K54:V54)</f>
        <v>27.976618624736581</v>
      </c>
      <c r="Z54" s="35">
        <f>QUARTILE(K54:V54,1)</f>
        <v>29.273297581003092</v>
      </c>
      <c r="AA54" s="36">
        <f>MEDIAN(K54:V54)</f>
        <v>30.028349364141924</v>
      </c>
      <c r="AB54" s="35">
        <f>QUARTILE(K54:V54,3)</f>
        <v>30.416978389563305</v>
      </c>
      <c r="AC54" s="35">
        <f>MAX(K54:V54)</f>
        <v>31.579061297413624</v>
      </c>
      <c r="AD54" s="35">
        <f>SKEW(K54:V54)</f>
        <v>-0.3414357239782525</v>
      </c>
      <c r="AE54" s="35">
        <f>KURT(K54:V54)</f>
        <v>0.15663408071565765</v>
      </c>
    </row>
    <row r="55" spans="2:31" x14ac:dyDescent="0.2">
      <c r="B55" s="34">
        <f>[34]FormattedData!A19</f>
        <v>106</v>
      </c>
      <c r="C55" s="34" t="str">
        <f>VLOOKUP($B55,[34]TrtCodes!$B$11:I62,2)</f>
        <v>NTH</v>
      </c>
      <c r="D55" s="34">
        <f>VLOOKUP($B55,[34]TrtCodes!$B$11:J62,3)</f>
        <v>9</v>
      </c>
      <c r="E55" s="34">
        <f>VLOOKUP($B55,[34]TrtCodes!$B$11:K62,4)</f>
        <v>2</v>
      </c>
      <c r="F55" s="34">
        <f>VLOOKUP($B55,[34]TrtCodes!$B$11:L62,5)</f>
        <v>2</v>
      </c>
      <c r="G55" s="34">
        <f>VLOOKUP($B55,[34]TrtCodes!$B$11:M62,6)</f>
        <v>2</v>
      </c>
      <c r="H55" s="34">
        <f>VLOOKUP($B55,[34]TrtCodes!$B$11:N62,7)</f>
        <v>2</v>
      </c>
      <c r="I55" s="34">
        <f>[34]FormattedData!B19</f>
        <v>2</v>
      </c>
      <c r="J55" s="37">
        <f>[34]FormattedData!C19</f>
        <v>13.124000000000001</v>
      </c>
      <c r="K55" s="39">
        <f>$J$3+[34]FormattedData!D19*$J$4+$M$4*$J$5+[34]FormattedData!D19^2*$J$6+$M$5*$J$7</f>
        <v>28.760428298958654</v>
      </c>
      <c r="L55" s="39">
        <f>$J$3+[34]FormattedData!E19*$J$4+$M$4*$J$5+[34]FormattedData!E19^2*$J$6+$M$5*$J$7</f>
        <v>28.760428298958654</v>
      </c>
      <c r="M55" s="39">
        <f>$J$3+[34]FormattedData!F19*$J$4+$M$4*$J$5+[34]FormattedData!F19^2*$J$6+$M$5*$J$7</f>
        <v>29.931070585740031</v>
      </c>
      <c r="N55" s="39">
        <f>$J$3+[34]FormattedData!G19*$J$4+$M$4*$J$5+[34]FormattedData!G19^2*$J$6+$M$5*$J$7</f>
        <v>27.681992566027436</v>
      </c>
      <c r="O55" s="39">
        <f>$J$3+[34]FormattedData!H19*$J$4+$M$4*$J$5+[34]FormattedData!H19^2*$J$6+$M$5*$J$7</f>
        <v>29.444042665661588</v>
      </c>
      <c r="P55" s="39">
        <f>$J$3+[34]FormattedData!I19*$J$4+$M$4*$J$5+[34]FormattedData!I19^2*$J$6+$M$5*$J$7</f>
        <v>29.248935617864689</v>
      </c>
      <c r="Q55" s="39">
        <f>$J$3+[34]FormattedData!J19*$J$4+$M$4*$J$5+[34]FormattedData!J19^2*$J$6+$M$5*$J$7</f>
        <v>29.638980639306759</v>
      </c>
      <c r="R55" s="39">
        <f>$J$3+[34]FormattedData!K19*$J$4+$M$4*$J$5+[34]FormattedData!K19^2*$J$6+$M$5*$J$7</f>
        <v>31.192397759006042</v>
      </c>
      <c r="S55" s="39">
        <f>$J$3+[34]FormattedData!L19*$J$4+$M$4*$J$5+[34]FormattedData!L19^2*$J$6+$M$5*$J$7</f>
        <v>29.833749538800209</v>
      </c>
      <c r="T55" s="39">
        <f>$J$3+[34]FormattedData!M19*$J$4+$M$4*$J$5+[34]FormattedData!M19^2*$J$6+$M$5*$J$7</f>
        <v>29.151318691159346</v>
      </c>
      <c r="U55" s="39">
        <f>$J$3+[34]FormattedData!N19*$J$4+$M$4*$J$5+[34]FormattedData!N19^2*$J$6+$M$5*$J$7</f>
        <v>31.095626203059325</v>
      </c>
      <c r="V55" s="39">
        <f>$J$3+[34]FormattedData!O19*$J$4+$M$4*$J$5+[34]FormattedData!O19^2*$J$6+$M$5*$J$7</f>
        <v>31.675621510670688</v>
      </c>
      <c r="W55" s="38">
        <f>AVERAGE(K55:V55)</f>
        <v>29.701216031267791</v>
      </c>
      <c r="X55" s="37">
        <f>STDEV(K55:V55)/SQRT(COUNT(K55:V55))</f>
        <v>0.33213109490037146</v>
      </c>
      <c r="Y55" s="36">
        <f>MIN(K55:V55)</f>
        <v>27.681992566027436</v>
      </c>
      <c r="Z55" s="35">
        <f>QUARTILE(K55:V55,1)</f>
        <v>29.053596093109174</v>
      </c>
      <c r="AA55" s="36">
        <f>MEDIAN(K55:V55)</f>
        <v>29.541511652484175</v>
      </c>
      <c r="AB55" s="35">
        <f>QUARTILE(K55:V55,3)</f>
        <v>30.222209490069854</v>
      </c>
      <c r="AC55" s="35">
        <f>MAX(K55:V55)</f>
        <v>31.675621510670688</v>
      </c>
      <c r="AD55" s="35">
        <f>SKEW(K55:V55)</f>
        <v>0.25528794589258458</v>
      </c>
      <c r="AE55" s="35">
        <f>KURT(K55:V55)</f>
        <v>-0.23363602940116079</v>
      </c>
    </row>
    <row r="56" spans="2:31" x14ac:dyDescent="0.2">
      <c r="B56" s="34">
        <f>[34]FormattedData!A17</f>
        <v>107</v>
      </c>
      <c r="C56" s="34" t="str">
        <f>VLOOKUP($B56,[34]TrtCodes!$B$11:I60,2)</f>
        <v>NTL</v>
      </c>
      <c r="D56" s="34">
        <f>VLOOKUP($B56,[34]TrtCodes!$B$11:J60,3)</f>
        <v>10</v>
      </c>
      <c r="E56" s="34">
        <f>VLOOKUP($B56,[34]TrtCodes!$B$11:K60,4)</f>
        <v>2</v>
      </c>
      <c r="F56" s="34">
        <f>VLOOKUP($B56,[34]TrtCodes!$B$11:L60,5)</f>
        <v>2</v>
      </c>
      <c r="G56" s="34">
        <f>VLOOKUP($B56,[34]TrtCodes!$B$11:M60,6)</f>
        <v>1</v>
      </c>
      <c r="H56" s="34">
        <f>VLOOKUP($B56,[34]TrtCodes!$B$11:N60,7)</f>
        <v>2</v>
      </c>
      <c r="I56" s="34">
        <f>[34]FormattedData!B17</f>
        <v>2</v>
      </c>
      <c r="J56" s="37">
        <f>[34]FormattedData!C17</f>
        <v>13.106999999999999</v>
      </c>
      <c r="K56" s="39">
        <f>$J$3+[34]FormattedData!D17*$J$4+$M$4*$J$5+[34]FormattedData!D17^2*$J$6+$M$5*$J$7</f>
        <v>28.858214299815725</v>
      </c>
      <c r="L56" s="39">
        <f>$J$3+[34]FormattedData!E17*$J$4+$M$4*$J$5+[34]FormattedData!E17^2*$J$6+$M$5*$J$7</f>
        <v>28.564729491630722</v>
      </c>
      <c r="M56" s="39">
        <f>$J$3+[34]FormattedData!F17*$J$4+$M$4*$J$5+[34]FormattedData!F17^2*$J$6+$M$5*$J$7</f>
        <v>28.955958032134863</v>
      </c>
      <c r="N56" s="39">
        <f>$J$3+[34]FormattedData!G17*$J$4+$M$4*$J$5+[34]FormattedData!G17^2*$J$6+$M$5*$J$7</f>
        <v>30.805057923991573</v>
      </c>
      <c r="O56" s="39">
        <f>$J$3+[34]FormattedData!H17*$J$4+$M$4*$J$5+[34]FormattedData!H17^2*$J$6+$M$5*$J$7</f>
        <v>29.248935617864689</v>
      </c>
      <c r="P56" s="39">
        <f>$J$3+[34]FormattedData!I17*$J$4+$M$4*$J$5+[34]FormattedData!I17^2*$J$6+$M$5*$J$7</f>
        <v>28.858214299815725</v>
      </c>
      <c r="Q56" s="39">
        <f>$J$3+[34]FormattedData!J17*$J$4+$M$4*$J$5+[34]FormattedData!J17^2*$J$6+$M$5*$J$7</f>
        <v>33.023026299786849</v>
      </c>
      <c r="R56" s="39">
        <f>$J$3+[34]FormattedData!K17*$J$4+$M$4*$J$5+[34]FormattedData!K17^2*$J$6+$M$5*$J$7</f>
        <v>29.541532786753134</v>
      </c>
      <c r="S56" s="39">
        <f>$J$3+[34]FormattedData!L17*$J$4+$M$4*$J$5+[34]FormattedData!L17^2*$J$6+$M$5*$J$7</f>
        <v>30.125585874005893</v>
      </c>
      <c r="T56" s="39">
        <f>$J$3+[34]FormattedData!M17*$J$4+$M$4*$J$5+[34]FormattedData!M17^2*$J$6+$M$5*$J$7</f>
        <v>29.346510276032102</v>
      </c>
      <c r="U56" s="39">
        <f>$J$3+[34]FormattedData!N17*$J$4+$M$4*$J$5+[34]FormattedData!N17^2*$J$6+$M$5*$J$7</f>
        <v>29.053659495916069</v>
      </c>
      <c r="V56" s="39">
        <f>$J$3+[34]FormattedData!O17*$J$4+$M$4*$J$5+[34]FormattedData!O17^2*$J$6+$M$5*$J$7</f>
        <v>29.638980639306759</v>
      </c>
      <c r="W56" s="38">
        <f>AVERAGE(K56:V56)</f>
        <v>29.668367086421171</v>
      </c>
      <c r="X56" s="37">
        <f>STDEV(K56:V56)/SQRT(COUNT(K56:V56))</f>
        <v>0.35320418253758146</v>
      </c>
      <c r="Y56" s="36">
        <f>MIN(K56:V56)</f>
        <v>28.564729491630722</v>
      </c>
      <c r="Z56" s="35">
        <f>QUARTILE(K56:V56,1)</f>
        <v>28.93152209905508</v>
      </c>
      <c r="AA56" s="36">
        <f>MEDIAN(K56:V56)</f>
        <v>29.297722946948397</v>
      </c>
      <c r="AB56" s="35">
        <f>QUARTILE(K56:V56,3)</f>
        <v>29.760631947981544</v>
      </c>
      <c r="AC56" s="35">
        <f>MAX(K56:V56)</f>
        <v>33.023026299786849</v>
      </c>
      <c r="AD56" s="35">
        <f>SKEW(K56:V56)</f>
        <v>2.1563492505508801</v>
      </c>
      <c r="AE56" s="35">
        <f>KURT(K56:V56)</f>
        <v>5.1877647310929635</v>
      </c>
    </row>
    <row r="57" spans="2:31" x14ac:dyDescent="0.2">
      <c r="B57" s="34">
        <f>[34]FormattedData!A15</f>
        <v>108</v>
      </c>
      <c r="C57" s="34" t="str">
        <f>VLOOKUP($B57,[34]TrtCodes!$B$11:I58,2)</f>
        <v>FTH</v>
      </c>
      <c r="D57" s="34">
        <f>VLOOKUP($B57,[34]TrtCodes!$B$11:J58,3)</f>
        <v>3</v>
      </c>
      <c r="E57" s="34">
        <f>VLOOKUP($B57,[34]TrtCodes!$B$11:K58,4)</f>
        <v>1</v>
      </c>
      <c r="F57" s="34">
        <f>VLOOKUP($B57,[34]TrtCodes!$B$11:L58,5)</f>
        <v>2</v>
      </c>
      <c r="G57" s="34">
        <f>VLOOKUP($B57,[34]TrtCodes!$B$11:M58,6)</f>
        <v>2</v>
      </c>
      <c r="H57" s="34">
        <f>VLOOKUP($B57,[34]TrtCodes!$B$11:N58,7)</f>
        <v>2</v>
      </c>
      <c r="I57" s="34">
        <f>[34]FormattedData!B15</f>
        <v>2</v>
      </c>
      <c r="J57" s="37">
        <f>[34]FormattedData!C15</f>
        <v>13.090999999999999</v>
      </c>
      <c r="K57" s="39">
        <f>$J$3+[34]FormattedData!D15*$J$4+$M$4*$J$5+[34]FormattedData!D15^2*$J$6+$M$5*$J$7</f>
        <v>28.760428298958654</v>
      </c>
      <c r="L57" s="39">
        <f>$J$3+[34]FormattedData!E15*$J$4+$M$4*$J$5+[34]FormattedData!E15^2*$J$6+$M$5*$J$7</f>
        <v>28.662600029563652</v>
      </c>
      <c r="M57" s="39">
        <f>$J$3+[34]FormattedData!F15*$J$4+$M$4*$J$5+[34]FormattedData!F15^2*$J$6+$M$5*$J$7</f>
        <v>28.564729491630722</v>
      </c>
      <c r="N57" s="39">
        <f>$J$3+[34]FormattedData!G15*$J$4+$M$4*$J$5+[34]FormattedData!G15^2*$J$6+$M$5*$J$7</f>
        <v>27.87845220703813</v>
      </c>
      <c r="O57" s="39">
        <f>$J$3+[34]FormattedData!H15*$J$4+$M$4*$J$5+[34]FormattedData!H15^2*$J$6+$M$5*$J$7</f>
        <v>29.346510276032102</v>
      </c>
      <c r="P57" s="39">
        <f>$J$3+[34]FormattedData!I15*$J$4+$M$4*$J$5+[34]FormattedData!I15^2*$J$6+$M$5*$J$7</f>
        <v>28.466816685159859</v>
      </c>
      <c r="Q57" s="39">
        <f>$J$3+[34]FormattedData!J15*$J$4+$M$4*$J$5+[34]FormattedData!J15^2*$J$6+$M$5*$J$7</f>
        <v>29.248935617864689</v>
      </c>
      <c r="R57" s="39">
        <f>$J$3+[34]FormattedData!K15*$J$4+$M$4*$J$5+[34]FormattedData!K15^2*$J$6+$M$5*$J$7</f>
        <v>28.466816685159859</v>
      </c>
      <c r="S57" s="39">
        <f>$J$3+[34]FormattedData!L15*$J$4+$M$4*$J$5+[34]FormattedData!L15^2*$J$6+$M$5*$J$7</f>
        <v>30.514109228082436</v>
      </c>
      <c r="T57" s="39">
        <f>$J$3+[34]FormattedData!M15*$J$4+$M$4*$J$5+[34]FormattedData!M15^2*$J$6+$M$5*$J$7</f>
        <v>28.662600029563652</v>
      </c>
      <c r="U57" s="39">
        <f>$J$3+[34]FormattedData!N15*$J$4+$M$4*$J$5+[34]FormattedData!N15^2*$J$6+$M$5*$J$7</f>
        <v>30.998812378574666</v>
      </c>
      <c r="V57" s="39">
        <f>$J$3+[34]FormattedData!O15*$J$4+$M$4*$J$5+[34]FormattedData!O15^2*$J$6+$M$5*$J$7</f>
        <v>31.385814065285697</v>
      </c>
      <c r="W57" s="38">
        <f>AVERAGE(K57:V57)</f>
        <v>29.246385416076169</v>
      </c>
      <c r="X57" s="37">
        <f>STDEV(K57:V57)/SQRT(COUNT(K57:V57))</f>
        <v>0.32256578269004421</v>
      </c>
      <c r="Y57" s="36">
        <f>MIN(K57:V57)</f>
        <v>27.87845220703813</v>
      </c>
      <c r="Z57" s="35">
        <f>QUARTILE(K57:V57,1)</f>
        <v>28.540251290013007</v>
      </c>
      <c r="AA57" s="36">
        <f>MEDIAN(K57:V57)</f>
        <v>28.711514164261153</v>
      </c>
      <c r="AB57" s="35">
        <f>QUARTILE(K57:V57,3)</f>
        <v>29.638410014044688</v>
      </c>
      <c r="AC57" s="35">
        <f>MAX(K57:V57)</f>
        <v>31.385814065285697</v>
      </c>
      <c r="AD57" s="35">
        <f>SKEW(K57:V57)</f>
        <v>1.006792670858675</v>
      </c>
      <c r="AE57" s="35">
        <f>KURT(K57:V57)</f>
        <v>-0.22185756186847527</v>
      </c>
    </row>
    <row r="58" spans="2:31" x14ac:dyDescent="0.2">
      <c r="B58" s="34">
        <f>[34]FormattedData!A31</f>
        <v>201</v>
      </c>
      <c r="C58" s="34" t="str">
        <f>VLOOKUP($B58,[34]TrtCodes!$B$11:I74,2)</f>
        <v>NDL</v>
      </c>
      <c r="D58" s="34">
        <f>VLOOKUP($B58,[34]TrtCodes!$B$11:J74,3)</f>
        <v>12</v>
      </c>
      <c r="E58" s="34">
        <f>VLOOKUP($B58,[34]TrtCodes!$B$11:K74,4)</f>
        <v>2</v>
      </c>
      <c r="F58" s="34">
        <f>VLOOKUP($B58,[34]TrtCodes!$B$11:L74,5)</f>
        <v>3</v>
      </c>
      <c r="G58" s="34">
        <f>VLOOKUP($B58,[34]TrtCodes!$B$11:M74,6)</f>
        <v>1</v>
      </c>
      <c r="H58" s="34">
        <f>VLOOKUP($B58,[34]TrtCodes!$B$11:N74,7)</f>
        <v>1</v>
      </c>
      <c r="I58" s="34">
        <f>[34]FormattedData!B31</f>
        <v>2</v>
      </c>
      <c r="J58" s="37">
        <f>[34]FormattedData!C31</f>
        <v>13.227</v>
      </c>
      <c r="K58" s="39">
        <f>$J$3+[34]FormattedData!D31*$J$4+$M$4*$J$5+[34]FormattedData!D31^2*$J$6+$M$5*$J$7</f>
        <v>31.095626203059325</v>
      </c>
      <c r="L58" s="39">
        <f>$J$3+[34]FormattedData!E31*$J$4+$M$4*$J$5+[34]FormattedData!E31^2*$J$6+$M$5*$J$7</f>
        <v>30.514109228082436</v>
      </c>
      <c r="M58" s="39">
        <f>$J$3+[34]FormattedData!F31*$J$4+$M$4*$J$5+[34]FormattedData!F31^2*$J$6+$M$5*$J$7</f>
        <v>31.192397759006042</v>
      </c>
      <c r="N58" s="39">
        <f>$J$3+[34]FormattedData!G31*$J$4+$M$4*$J$5+[34]FormattedData!G31^2*$J$6+$M$5*$J$7</f>
        <v>30.805057923991573</v>
      </c>
      <c r="O58" s="39">
        <f>$J$3+[34]FormattedData!H31*$J$4+$M$4*$J$5+[34]FormattedData!H31^2*$J$6+$M$5*$J$7</f>
        <v>30.417041792370199</v>
      </c>
      <c r="P58" s="39">
        <f>$J$3+[34]FormattedData!I31*$J$4+$M$4*$J$5+[34]FormattedData!I31^2*$J$6+$M$5*$J$7</f>
        <v>31.482458815618628</v>
      </c>
      <c r="Q58" s="39">
        <f>$J$3+[34]FormattedData!J31*$J$4+$M$4*$J$5+[34]FormattedData!J31^2*$J$6+$M$5*$J$7</f>
        <v>30.222780115331922</v>
      </c>
      <c r="R58" s="39">
        <f>$J$3+[34]FormattedData!K31*$J$4+$M$4*$J$5+[34]FormattedData!K31^2*$J$6+$M$5*$J$7</f>
        <v>30.708117293893125</v>
      </c>
      <c r="S58" s="39">
        <f>$J$3+[34]FormattedData!L31*$J$4+$M$4*$J$5+[34]FormattedData!L31^2*$J$6+$M$5*$J$7</f>
        <v>30.514109228082436</v>
      </c>
      <c r="T58" s="39">
        <f>$J$3+[34]FormattedData!M31*$J$4+$M$4*$J$5+[34]FormattedData!M31^2*$J$6+$M$5*$J$7</f>
        <v>28.955958032134863</v>
      </c>
      <c r="U58" s="39">
        <f>$J$3+[34]FormattedData!N31*$J$4+$M$4*$J$5+[34]FormattedData!N31^2*$J$6+$M$5*$J$7</f>
        <v>30.611134395256748</v>
      </c>
      <c r="V58" s="39">
        <f>$J$3+[34]FormattedData!O31*$J$4+$M$4*$J$5+[34]FormattedData!O31^2*$J$6+$M$5*$J$7</f>
        <v>31.289127046414841</v>
      </c>
      <c r="W58" s="38">
        <f>AVERAGE(K58:V58)</f>
        <v>30.650659819436836</v>
      </c>
      <c r="X58" s="37">
        <f>STDEV(K58:V58)/SQRT(COUNT(K58:V58))</f>
        <v>0.19002934666807872</v>
      </c>
      <c r="Y58" s="36">
        <f>MIN(K58:V58)</f>
        <v>28.955958032134863</v>
      </c>
      <c r="Z58" s="35">
        <f>QUARTILE(K58:V58,1)</f>
        <v>30.489842369154378</v>
      </c>
      <c r="AA58" s="36">
        <f>MEDIAN(K58:V58)</f>
        <v>30.659625844574936</v>
      </c>
      <c r="AB58" s="35">
        <f>QUARTILE(K58:V58,3)</f>
        <v>31.119819092046004</v>
      </c>
      <c r="AC58" s="35">
        <f>MAX(K58:V58)</f>
        <v>31.482458815618628</v>
      </c>
      <c r="AD58" s="35">
        <f>SKEW(K58:V58)</f>
        <v>-1.4825793141875303</v>
      </c>
      <c r="AE58" s="35">
        <f>KURT(K58:V58)</f>
        <v>3.5664707736039292</v>
      </c>
    </row>
    <row r="59" spans="2:31" x14ac:dyDescent="0.2">
      <c r="B59" s="34">
        <f>[34]FormattedData!A33</f>
        <v>202</v>
      </c>
      <c r="C59" s="34" t="str">
        <f>VLOOKUP($B59,[34]TrtCodes!$B$11:I76,2)</f>
        <v>NTH</v>
      </c>
      <c r="D59" s="34">
        <f>VLOOKUP($B59,[34]TrtCodes!$B$11:J76,3)</f>
        <v>9</v>
      </c>
      <c r="E59" s="34">
        <f>VLOOKUP($B59,[34]TrtCodes!$B$11:K76,4)</f>
        <v>2</v>
      </c>
      <c r="F59" s="34">
        <f>VLOOKUP($B59,[34]TrtCodes!$B$11:L76,5)</f>
        <v>2</v>
      </c>
      <c r="G59" s="34">
        <f>VLOOKUP($B59,[34]TrtCodes!$B$11:M76,6)</f>
        <v>2</v>
      </c>
      <c r="H59" s="34">
        <f>VLOOKUP($B59,[34]TrtCodes!$B$11:N76,7)</f>
        <v>1</v>
      </c>
      <c r="I59" s="34">
        <f>[34]FormattedData!B33</f>
        <v>2</v>
      </c>
      <c r="J59" s="37">
        <f>[34]FormattedData!C33</f>
        <v>13.243</v>
      </c>
      <c r="K59" s="39">
        <f>$J$3+[34]FormattedData!D33*$J$4+$M$4*$J$5+[34]FormattedData!D33^2*$J$6+$M$5*$J$7</f>
        <v>29.444042665661588</v>
      </c>
      <c r="L59" s="39">
        <f>$J$3+[34]FormattedData!E33*$J$4+$M$4*$J$5+[34]FormattedData!E33^2*$J$6+$M$5*$J$7</f>
        <v>28.955958032134863</v>
      </c>
      <c r="M59" s="39">
        <f>$J$3+[34]FormattedData!F33*$J$4+$M$4*$J$5+[34]FormattedData!F33^2*$J$6+$M$5*$J$7</f>
        <v>28.662600029563652</v>
      </c>
      <c r="N59" s="39">
        <f>$J$3+[34]FormattedData!G33*$J$4+$M$4*$J$5+[34]FormattedData!G33^2*$J$6+$M$5*$J$7</f>
        <v>27.485363850865021</v>
      </c>
      <c r="O59" s="39">
        <f>$J$3+[34]FormattedData!H33*$J$4+$M$4*$J$5+[34]FormattedData!H33^2*$J$6+$M$5*$J$7</f>
        <v>31.385814065285697</v>
      </c>
      <c r="P59" s="39">
        <f>$J$3+[34]FormattedData!I33*$J$4+$M$4*$J$5+[34]FormattedData!I33^2*$J$6+$M$5*$J$7</f>
        <v>31.095626203059325</v>
      </c>
      <c r="Q59" s="39">
        <f>$J$3+[34]FormattedData!J33*$J$4+$M$4*$J$5+[34]FormattedData!J33^2*$J$6+$M$5*$J$7</f>
        <v>28.662600029563652</v>
      </c>
      <c r="R59" s="39">
        <f>$J$3+[34]FormattedData!K33*$J$4+$M$4*$J$5+[34]FormattedData!K33^2*$J$6+$M$5*$J$7</f>
        <v>28.760428298958654</v>
      </c>
      <c r="S59" s="39">
        <f>$J$3+[34]FormattedData!L33*$J$4+$M$4*$J$5+[34]FormattedData!L33^2*$J$6+$M$5*$J$7</f>
        <v>29.151318691159346</v>
      </c>
      <c r="T59" s="39">
        <f>$J$3+[34]FormattedData!M33*$J$4+$M$4*$J$5+[34]FormattedData!M33^2*$J$6+$M$5*$J$7</f>
        <v>29.346510276032102</v>
      </c>
      <c r="U59" s="39">
        <f>$J$3+[34]FormattedData!N33*$J$4+$M$4*$J$5+[34]FormattedData!N33^2*$J$6+$M$5*$J$7</f>
        <v>30.222780115331922</v>
      </c>
      <c r="V59" s="39">
        <f>$J$3+[34]FormattedData!O33*$J$4+$M$4*$J$5+[34]FormattedData!O33^2*$J$6+$M$5*$J$7</f>
        <v>33.310678049737355</v>
      </c>
      <c r="W59" s="38">
        <f>AVERAGE(K59:V59)</f>
        <v>29.70697669227944</v>
      </c>
      <c r="X59" s="37">
        <f>STDEV(K59:V59)/SQRT(COUNT(K59:V59))</f>
        <v>0.45297314891945251</v>
      </c>
      <c r="Y59" s="36">
        <f>MIN(K59:V59)</f>
        <v>27.485363850865021</v>
      </c>
      <c r="Z59" s="35">
        <f>QUARTILE(K59:V59,1)</f>
        <v>28.735971231609902</v>
      </c>
      <c r="AA59" s="36">
        <f>MEDIAN(K59:V59)</f>
        <v>29.248914483595726</v>
      </c>
      <c r="AB59" s="35">
        <f>QUARTILE(K59:V59,3)</f>
        <v>30.440991637263771</v>
      </c>
      <c r="AC59" s="35">
        <f>MAX(K59:V59)</f>
        <v>33.310678049737355</v>
      </c>
      <c r="AD59" s="35">
        <f>SKEW(K59:V59)</f>
        <v>1.1180080783160109</v>
      </c>
      <c r="AE59" s="35">
        <f>KURT(K59:V59)</f>
        <v>1.382421827536767</v>
      </c>
    </row>
    <row r="60" spans="2:31" x14ac:dyDescent="0.2">
      <c r="B60" s="34">
        <f>[34]FormattedData!A35</f>
        <v>203</v>
      </c>
      <c r="C60" s="34" t="str">
        <f>VLOOKUP($B60,[34]TrtCodes!$B$11:I78,2)</f>
        <v>FTH</v>
      </c>
      <c r="D60" s="34">
        <f>VLOOKUP($B60,[34]TrtCodes!$B$11:J78,3)</f>
        <v>3</v>
      </c>
      <c r="E60" s="34">
        <f>VLOOKUP($B60,[34]TrtCodes!$B$11:K78,4)</f>
        <v>1</v>
      </c>
      <c r="F60" s="34">
        <f>VLOOKUP($B60,[34]TrtCodes!$B$11:L78,5)</f>
        <v>2</v>
      </c>
      <c r="G60" s="34">
        <f>VLOOKUP($B60,[34]TrtCodes!$B$11:M78,6)</f>
        <v>2</v>
      </c>
      <c r="H60" s="34">
        <f>VLOOKUP($B60,[34]TrtCodes!$B$11:N78,7)</f>
        <v>1</v>
      </c>
      <c r="I60" s="34">
        <f>[34]FormattedData!B35</f>
        <v>2</v>
      </c>
      <c r="J60" s="37">
        <f>[34]FormattedData!C35</f>
        <v>13.259</v>
      </c>
      <c r="K60" s="39">
        <f>$J$3+[34]FormattedData!D35*$J$4+$M$4*$J$5+[34]FormattedData!D35^2*$J$6+$M$5*$J$7</f>
        <v>29.248935617864689</v>
      </c>
      <c r="L60" s="39">
        <f>$J$3+[34]FormattedData!E35*$J$4+$M$4*$J$5+[34]FormattedData!E35^2*$J$6+$M$5*$J$7</f>
        <v>29.248935617864689</v>
      </c>
      <c r="M60" s="39">
        <f>$J$3+[34]FormattedData!F35*$J$4+$M$4*$J$5+[34]FormattedData!F35^2*$J$6+$M$5*$J$7</f>
        <v>28.466816685159859</v>
      </c>
      <c r="N60" s="39">
        <f>$J$3+[34]FormattedData!G35*$J$4+$M$4*$J$5+[34]FormattedData!G35^2*$J$6+$M$5*$J$7</f>
        <v>29.151318691159346</v>
      </c>
      <c r="O60" s="39">
        <f>$J$3+[34]FormattedData!H35*$J$4+$M$4*$J$5+[34]FormattedData!H35^2*$J$6+$M$5*$J$7</f>
        <v>30.028349364141924</v>
      </c>
      <c r="P60" s="39">
        <f>$J$3+[34]FormattedData!I35*$J$4+$M$4*$J$5+[34]FormattedData!I35^2*$J$6+$M$5*$J$7</f>
        <v>29.638980639306759</v>
      </c>
      <c r="Q60" s="39">
        <f>$J$3+[34]FormattedData!J35*$J$4+$M$4*$J$5+[34]FormattedData!J35^2*$J$6+$M$5*$J$7</f>
        <v>29.248935617864689</v>
      </c>
      <c r="R60" s="39">
        <f>$J$3+[34]FormattedData!K35*$J$4+$M$4*$J$5+[34]FormattedData!K35^2*$J$6+$M$5*$J$7</f>
        <v>28.858214299815725</v>
      </c>
      <c r="S60" s="39">
        <f>$J$3+[34]FormattedData!L35*$J$4+$M$4*$J$5+[34]FormattedData!L35^2*$J$6+$M$5*$J$7</f>
        <v>27.780243520801747</v>
      </c>
      <c r="T60" s="39">
        <f>$J$3+[34]FormattedData!M35*$J$4+$M$4*$J$5+[34]FormattedData!M35^2*$J$6+$M$5*$J$7</f>
        <v>29.541532786753134</v>
      </c>
      <c r="U60" s="39">
        <f>$J$3+[34]FormattedData!N35*$J$4+$M$4*$J$5+[34]FormattedData!N35^2*$J$6+$M$5*$J$7</f>
        <v>30.611134395256748</v>
      </c>
      <c r="V60" s="39">
        <f>$J$3+[34]FormattedData!O35*$J$4+$M$4*$J$5+[34]FormattedData!O35^2*$J$6+$M$5*$J$7</f>
        <v>32.638898873655137</v>
      </c>
      <c r="W60" s="38">
        <f>AVERAGE(K60:V60)</f>
        <v>29.5385246758037</v>
      </c>
      <c r="X60" s="37">
        <f>STDEV(K60:V60)/SQRT(COUNT(K60:V60))</f>
        <v>0.34942904987678591</v>
      </c>
      <c r="Y60" s="36">
        <f>MIN(K60:V60)</f>
        <v>27.780243520801747</v>
      </c>
      <c r="Z60" s="35">
        <f>QUARTILE(K60:V60,1)</f>
        <v>29.078042593323442</v>
      </c>
      <c r="AA60" s="36">
        <f>MEDIAN(K60:V60)</f>
        <v>29.248935617864689</v>
      </c>
      <c r="AB60" s="35">
        <f>QUARTILE(K60:V60,3)</f>
        <v>29.73632282051555</v>
      </c>
      <c r="AC60" s="35">
        <f>MAX(K60:V60)</f>
        <v>32.638898873655137</v>
      </c>
      <c r="AD60" s="35">
        <f>SKEW(K60:V60)</f>
        <v>1.4787932348187571</v>
      </c>
      <c r="AE60" s="35">
        <f>KURT(K60:V60)</f>
        <v>3.6671642382682768</v>
      </c>
    </row>
    <row r="61" spans="2:31" x14ac:dyDescent="0.2">
      <c r="B61" s="34">
        <f>[34]FormattedData!A37</f>
        <v>204</v>
      </c>
      <c r="C61" s="34" t="str">
        <f>VLOOKUP($B61,[34]TrtCodes!$B$11:I80,2)</f>
        <v>NDH</v>
      </c>
      <c r="D61" s="34">
        <f>VLOOKUP($B61,[34]TrtCodes!$B$11:J80,3)</f>
        <v>11</v>
      </c>
      <c r="E61" s="34">
        <f>VLOOKUP($B61,[34]TrtCodes!$B$11:K80,4)</f>
        <v>2</v>
      </c>
      <c r="F61" s="34">
        <f>VLOOKUP($B61,[34]TrtCodes!$B$11:L80,5)</f>
        <v>3</v>
      </c>
      <c r="G61" s="34">
        <f>VLOOKUP($B61,[34]TrtCodes!$B$11:M80,6)</f>
        <v>2</v>
      </c>
      <c r="H61" s="34">
        <f>VLOOKUP($B61,[34]TrtCodes!$B$11:N80,7)</f>
        <v>1</v>
      </c>
      <c r="I61" s="34">
        <f>[34]FormattedData!B37</f>
        <v>2</v>
      </c>
      <c r="J61" s="37">
        <f>[34]FormattedData!C37</f>
        <v>13.273999999999999</v>
      </c>
      <c r="K61" s="39">
        <f>$J$3+[34]FormattedData!D37*$J$4+$M$4*$J$5+[34]FormattedData!D37^2*$J$6+$M$5*$J$7</f>
        <v>30.417041792370199</v>
      </c>
      <c r="L61" s="39">
        <f>$J$3+[34]FormattedData!E37*$J$4+$M$4*$J$5+[34]FormattedData!E37^2*$J$6+$M$5*$J$7</f>
        <v>27.288566061550874</v>
      </c>
      <c r="M61" s="39">
        <f>$J$3+[34]FormattedData!F37*$J$4+$M$4*$J$5+[34]FormattedData!F37^2*$J$6+$M$5*$J$7</f>
        <v>30.708117293893125</v>
      </c>
      <c r="N61" s="39">
        <f>$J$3+[34]FormattedData!G37*$J$4+$M$4*$J$5+[34]FormattedData!G37^2*$J$6+$M$5*$J$7</f>
        <v>30.417041792370199</v>
      </c>
      <c r="O61" s="39">
        <f>$J$3+[34]FormattedData!H37*$J$4+$M$4*$J$5+[34]FormattedData!H37^2*$J$6+$M$5*$J$7</f>
        <v>29.444042665661588</v>
      </c>
      <c r="P61" s="39">
        <f>$J$3+[34]FormattedData!I37*$J$4+$M$4*$J$5+[34]FormattedData!I37^2*$J$6+$M$5*$J$7</f>
        <v>30.125585874005893</v>
      </c>
      <c r="Q61" s="39">
        <f>$J$3+[34]FormattedData!J37*$J$4+$M$4*$J$5+[34]FormattedData!J37^2*$J$6+$M$5*$J$7</f>
        <v>30.514109228082436</v>
      </c>
      <c r="R61" s="39">
        <f>$J$3+[34]FormattedData!K37*$J$4+$M$4*$J$5+[34]FormattedData!K37^2*$J$6+$M$5*$J$7</f>
        <v>29.638980639306759</v>
      </c>
      <c r="S61" s="39">
        <f>$J$3+[34]FormattedData!L37*$J$4+$M$4*$J$5+[34]FormattedData!L37^2*$J$6+$M$5*$J$7</f>
        <v>30.805057923991573</v>
      </c>
      <c r="T61" s="39">
        <f>$J$3+[34]FormattedData!M37*$J$4+$M$4*$J$5+[34]FormattedData!M37^2*$J$6+$M$5*$J$7</f>
        <v>29.638980639306759</v>
      </c>
      <c r="U61" s="39">
        <f>$J$3+[34]FormattedData!N37*$J$4+$M$4*$J$5+[34]FormattedData!N37^2*$J$6+$M$5*$J$7</f>
        <v>28.955958032134863</v>
      </c>
      <c r="V61" s="39">
        <f>$J$3+[34]FormattedData!O37*$J$4+$M$4*$J$5+[34]FormattedData!O37^2*$J$6+$M$5*$J$7</f>
        <v>29.151318691159346</v>
      </c>
      <c r="W61" s="38">
        <f>AVERAGE(K61:V61)</f>
        <v>29.758733386152802</v>
      </c>
      <c r="X61" s="37">
        <f>STDEV(K61:V61)/SQRT(COUNT(K61:V61))</f>
        <v>0.28618278423658078</v>
      </c>
      <c r="Y61" s="36">
        <f>MIN(K61:V61)</f>
        <v>27.288566061550874</v>
      </c>
      <c r="Z61" s="35">
        <f>QUARTILE(K61:V61,1)</f>
        <v>29.370861672036028</v>
      </c>
      <c r="AA61" s="36">
        <f>MEDIAN(K61:V61)</f>
        <v>29.882283256656326</v>
      </c>
      <c r="AB61" s="35">
        <f>QUARTILE(K61:V61,3)</f>
        <v>30.441308651298257</v>
      </c>
      <c r="AC61" s="35">
        <f>MAX(K61:V61)</f>
        <v>30.805057923991573</v>
      </c>
      <c r="AD61" s="35">
        <f>SKEW(K61:V61)</f>
        <v>-1.4327342743134055</v>
      </c>
      <c r="AE61" s="35">
        <f>KURT(K61:V61)</f>
        <v>2.5774744143532855</v>
      </c>
    </row>
    <row r="62" spans="2:31" x14ac:dyDescent="0.2">
      <c r="B62" s="34">
        <f>[34]FormattedData!A39</f>
        <v>205</v>
      </c>
      <c r="C62" s="34" t="str">
        <f>VLOOKUP($B62,[34]TrtCodes!$B$11:I82,2)</f>
        <v>FSH</v>
      </c>
      <c r="D62" s="34">
        <f>VLOOKUP($B62,[34]TrtCodes!$B$11:J82,3)</f>
        <v>1</v>
      </c>
      <c r="E62" s="34">
        <f>VLOOKUP($B62,[34]TrtCodes!$B$11:K82,4)</f>
        <v>1</v>
      </c>
      <c r="F62" s="34">
        <f>VLOOKUP($B62,[34]TrtCodes!$B$11:L82,5)</f>
        <v>1</v>
      </c>
      <c r="G62" s="34">
        <f>VLOOKUP($B62,[34]TrtCodes!$B$11:M82,6)</f>
        <v>2</v>
      </c>
      <c r="H62" s="34">
        <f>VLOOKUP($B62,[34]TrtCodes!$B$11:N82,7)</f>
        <v>2</v>
      </c>
      <c r="I62" s="34">
        <f>[34]FormattedData!B39</f>
        <v>2</v>
      </c>
      <c r="J62" s="37">
        <f>[34]FormattedData!C39</f>
        <v>13.289</v>
      </c>
      <c r="K62" s="39">
        <f>$J$3+[34]FormattedData!D39*$J$4+$M$4*$J$5+[34]FormattedData!D39^2*$J$6+$M$5*$J$7</f>
        <v>32.061439678319644</v>
      </c>
      <c r="L62" s="39">
        <f>$J$3+[34]FormattedData!E39*$J$4+$M$4*$J$5+[34]FormattedData!E39^2*$J$6+$M$5*$J$7</f>
        <v>30.514109228082436</v>
      </c>
      <c r="M62" s="39">
        <f>$J$3+[34]FormattedData!F39*$J$4+$M$4*$J$5+[34]FormattedData!F39^2*$J$6+$M$5*$J$7</f>
        <v>30.901956285552085</v>
      </c>
      <c r="N62" s="39">
        <f>$J$3+[34]FormattedData!G39*$J$4+$M$4*$J$5+[34]FormattedData!G39^2*$J$6+$M$5*$J$7</f>
        <v>28.466816685159859</v>
      </c>
      <c r="O62" s="39">
        <f>$J$3+[34]FormattedData!H39*$J$4+$M$4*$J$5+[34]FormattedData!H39^2*$J$6+$M$5*$J$7</f>
        <v>33.884840299114224</v>
      </c>
      <c r="P62" s="39">
        <f>$J$3+[34]FormattedData!I39*$J$4+$M$4*$J$5+[34]FormattedData!I39^2*$J$6+$M$5*$J$7</f>
        <v>28.760428298958654</v>
      </c>
      <c r="Q62" s="39">
        <f>$J$3+[34]FormattedData!J39*$J$4+$M$4*$J$5+[34]FormattedData!J39^2*$J$6+$M$5*$J$7</f>
        <v>31.192397759006042</v>
      </c>
      <c r="R62" s="39">
        <f>$J$3+[34]FormattedData!K39*$J$4+$M$4*$J$5+[34]FormattedData!K39^2*$J$6+$M$5*$J$7</f>
        <v>29.346510276032102</v>
      </c>
      <c r="S62" s="39">
        <f>$J$3+[34]FormattedData!L39*$J$4+$M$4*$J$5+[34]FormattedData!L39^2*$J$6+$M$5*$J$7</f>
        <v>31.482458815618628</v>
      </c>
      <c r="T62" s="39">
        <f>$J$3+[34]FormattedData!M39*$J$4+$M$4*$J$5+[34]FormattedData!M39^2*$J$6+$M$5*$J$7</f>
        <v>28.564729491630722</v>
      </c>
      <c r="U62" s="39">
        <f>$J$3+[34]FormattedData!N39*$J$4+$M$4*$J$5+[34]FormattedData!N39^2*$J$6+$M$5*$J$7</f>
        <v>29.444042665661588</v>
      </c>
      <c r="V62" s="39">
        <f>$J$3+[34]FormattedData!O39*$J$4+$M$4*$J$5+[34]FormattedData!O39^2*$J$6+$M$5*$J$7</f>
        <v>29.736386223322445</v>
      </c>
      <c r="W62" s="38">
        <f>AVERAGE(K62:V62)</f>
        <v>30.363009642204862</v>
      </c>
      <c r="X62" s="37">
        <f>STDEV(K62:V62)/SQRT(COUNT(K62:V62))</f>
        <v>0.47041532100686012</v>
      </c>
      <c r="Y62" s="36">
        <f>MIN(K62:V62)</f>
        <v>28.466816685159859</v>
      </c>
      <c r="Z62" s="35">
        <f>QUARTILE(K62:V62,1)</f>
        <v>29.19998978176374</v>
      </c>
      <c r="AA62" s="36">
        <f>MEDIAN(K62:V62)</f>
        <v>30.12524772570244</v>
      </c>
      <c r="AB62" s="35">
        <f>QUARTILE(K62:V62,3)</f>
        <v>31.264913023159188</v>
      </c>
      <c r="AC62" s="35">
        <f>MAX(K62:V62)</f>
        <v>33.884840299114224</v>
      </c>
      <c r="AD62" s="35">
        <f>SKEW(K62:V62)</f>
        <v>0.80403724571855006</v>
      </c>
      <c r="AE62" s="35">
        <f>KURT(K62:V62)</f>
        <v>0.35114200783367089</v>
      </c>
    </row>
    <row r="63" spans="2:31" x14ac:dyDescent="0.2">
      <c r="B63" s="34">
        <f>[34]FormattedData!A41</f>
        <v>206</v>
      </c>
      <c r="C63" s="34" t="str">
        <f>VLOOKUP($B63,[34]TrtCodes!$B$11:I84,2)</f>
        <v>NSL</v>
      </c>
      <c r="D63" s="34">
        <f>VLOOKUP($B63,[34]TrtCodes!$B$11:J84,3)</f>
        <v>8</v>
      </c>
      <c r="E63" s="34">
        <f>VLOOKUP($B63,[34]TrtCodes!$B$11:K84,4)</f>
        <v>2</v>
      </c>
      <c r="F63" s="34">
        <f>VLOOKUP($B63,[34]TrtCodes!$B$11:L84,5)</f>
        <v>1</v>
      </c>
      <c r="G63" s="34">
        <f>VLOOKUP($B63,[34]TrtCodes!$B$11:M84,6)</f>
        <v>1</v>
      </c>
      <c r="H63" s="34">
        <f>VLOOKUP($B63,[34]TrtCodes!$B$11:N84,7)</f>
        <v>2</v>
      </c>
      <c r="I63" s="34">
        <f>[34]FormattedData!B41</f>
        <v>2</v>
      </c>
      <c r="J63" s="37">
        <f>[34]FormattedData!C41</f>
        <v>13.304</v>
      </c>
      <c r="K63" s="39">
        <f>$J$3+[34]FormattedData!D41*$J$4+$M$4*$J$5+[34]FormattedData!D41^2*$J$6+$M$5*$J$7</f>
        <v>30.417041792370199</v>
      </c>
      <c r="L63" s="39">
        <f>$J$3+[34]FormattedData!E41*$J$4+$M$4*$J$5+[34]FormattedData!E41^2*$J$6+$M$5*$J$7</f>
        <v>32.157788548887048</v>
      </c>
      <c r="M63" s="39">
        <f>$J$3+[34]FormattedData!F41*$J$4+$M$4*$J$5+[34]FormattedData!F41^2*$J$6+$M$5*$J$7</f>
        <v>31.965048539214305</v>
      </c>
      <c r="N63" s="39">
        <f>$J$3+[34]FormattedData!G41*$J$4+$M$4*$J$5+[34]FormattedData!G41^2*$J$6+$M$5*$J$7</f>
        <v>31.868615131571033</v>
      </c>
      <c r="O63" s="39">
        <f>$J$3+[34]FormattedData!H41*$J$4+$M$4*$J$5+[34]FormattedData!H41^2*$J$6+$M$5*$J$7</f>
        <v>31.192397759006042</v>
      </c>
      <c r="P63" s="39">
        <f>$J$3+[34]FormattedData!I41*$J$4+$M$4*$J$5+[34]FormattedData!I41^2*$J$6+$M$5*$J$7</f>
        <v>30.31993208812003</v>
      </c>
      <c r="Q63" s="39">
        <f>$J$3+[34]FormattedData!J41*$J$4+$M$4*$J$5+[34]FormattedData!J41^2*$J$6+$M$5*$J$7</f>
        <v>32.061439678319644</v>
      </c>
      <c r="R63" s="39">
        <f>$J$3+[34]FormattedData!K41*$J$4+$M$4*$J$5+[34]FormattedData!K41^2*$J$6+$M$5*$J$7</f>
        <v>30.125585874005893</v>
      </c>
      <c r="S63" s="39">
        <f>$J$3+[34]FormattedData!L41*$J$4+$M$4*$J$5+[34]FormattedData!L41^2*$J$6+$M$5*$J$7</f>
        <v>34.648022926825895</v>
      </c>
      <c r="T63" s="39">
        <f>$J$3+[34]FormattedData!M41*$J$4+$M$4*$J$5+[34]FormattedData!M41^2*$J$6+$M$5*$J$7</f>
        <v>30.417041792370199</v>
      </c>
      <c r="U63" s="39">
        <f>$J$3+[34]FormattedData!N41*$J$4+$M$4*$J$5+[34]FormattedData!N41^2*$J$6+$M$5*$J$7</f>
        <v>32.638898873655137</v>
      </c>
      <c r="V63" s="39">
        <f>$J$3+[34]FormattedData!O41*$J$4+$M$4*$J$5+[34]FormattedData!O41^2*$J$6+$M$5*$J$7</f>
        <v>30.805057923991573</v>
      </c>
      <c r="W63" s="38">
        <f>AVERAGE(K63:V63)</f>
        <v>31.551405910694744</v>
      </c>
      <c r="X63" s="37">
        <f>STDEV(K63:V63)/SQRT(COUNT(K63:V63))</f>
        <v>0.37416787250801542</v>
      </c>
      <c r="Y63" s="36">
        <f>MIN(K63:V63)</f>
        <v>30.125585874005893</v>
      </c>
      <c r="Z63" s="35">
        <f>QUARTILE(K63:V63,1)</f>
        <v>30.417041792370199</v>
      </c>
      <c r="AA63" s="36">
        <f>MEDIAN(K63:V63)</f>
        <v>31.530506445288538</v>
      </c>
      <c r="AB63" s="35">
        <f>QUARTILE(K63:V63,3)</f>
        <v>32.085526895961493</v>
      </c>
      <c r="AC63" s="35">
        <f>MAX(K63:V63)</f>
        <v>34.648022926825895</v>
      </c>
      <c r="AD63" s="35">
        <f>SKEW(K63:V63)</f>
        <v>1.1667964122125198</v>
      </c>
      <c r="AE63" s="35">
        <f>KURT(K63:V63)</f>
        <v>1.7540186640365878</v>
      </c>
    </row>
    <row r="64" spans="2:31" x14ac:dyDescent="0.2">
      <c r="B64" s="34">
        <f>[34]FormattedData!A43</f>
        <v>207</v>
      </c>
      <c r="C64" s="34" t="str">
        <f>VLOOKUP($B64,[34]TrtCodes!$B$11:I86,2)</f>
        <v>FTL</v>
      </c>
      <c r="D64" s="34">
        <f>VLOOKUP($B64,[34]TrtCodes!$B$11:J86,3)</f>
        <v>4</v>
      </c>
      <c r="E64" s="34">
        <f>VLOOKUP($B64,[34]TrtCodes!$B$11:K86,4)</f>
        <v>1</v>
      </c>
      <c r="F64" s="34">
        <f>VLOOKUP($B64,[34]TrtCodes!$B$11:L86,5)</f>
        <v>2</v>
      </c>
      <c r="G64" s="34">
        <f>VLOOKUP($B64,[34]TrtCodes!$B$11:M86,6)</f>
        <v>1</v>
      </c>
      <c r="H64" s="34">
        <f>VLOOKUP($B64,[34]TrtCodes!$B$11:N86,7)</f>
        <v>2</v>
      </c>
      <c r="I64" s="34">
        <f>[34]FormattedData!B43</f>
        <v>2</v>
      </c>
      <c r="J64" s="37">
        <f>[34]FormattedData!C43</f>
        <v>13.32</v>
      </c>
      <c r="K64" s="39">
        <f>$J$3+[34]FormattedData!D43*$J$4+$M$4*$J$5+[34]FormattedData!D43^2*$J$6+$M$5*$J$7</f>
        <v>28.368861610151065</v>
      </c>
      <c r="L64" s="39">
        <f>$J$3+[34]FormattedData!E43*$J$4+$M$4*$J$5+[34]FormattedData!E43^2*$J$6+$M$5*$J$7</f>
        <v>28.270864266604338</v>
      </c>
      <c r="M64" s="39">
        <f>$J$3+[34]FormattedData!F43*$J$4+$M$4*$J$5+[34]FormattedData!F43^2*$J$6+$M$5*$J$7</f>
        <v>30.31993208812003</v>
      </c>
      <c r="N64" s="39">
        <f>$J$3+[34]FormattedData!G43*$J$4+$M$4*$J$5+[34]FormattedData!G43^2*$J$6+$M$5*$J$7</f>
        <v>30.31993208812003</v>
      </c>
      <c r="O64" s="39">
        <f>$J$3+[34]FormattedData!H43*$J$4+$M$4*$J$5+[34]FormattedData!H43^2*$J$6+$M$5*$J$7</f>
        <v>27.976618624736581</v>
      </c>
      <c r="P64" s="39">
        <f>$J$3+[34]FormattedData!I43*$J$4+$M$4*$J$5+[34]FormattedData!I43^2*$J$6+$M$5*$J$7</f>
        <v>27.780243520801747</v>
      </c>
      <c r="Q64" s="39">
        <f>$J$3+[34]FormattedData!J43*$J$4+$M$4*$J$5+[34]FormattedData!J43^2*$J$6+$M$5*$J$7</f>
        <v>30.31993208812003</v>
      </c>
      <c r="R64" s="39">
        <f>$J$3+[34]FormattedData!K43*$J$4+$M$4*$J$5+[34]FormattedData!K43^2*$J$6+$M$5*$J$7</f>
        <v>28.760428298958654</v>
      </c>
      <c r="S64" s="39">
        <f>$J$3+[34]FormattedData!L43*$J$4+$M$4*$J$5+[34]FormattedData!L43^2*$J$6+$M$5*$J$7</f>
        <v>28.466816685159859</v>
      </c>
      <c r="T64" s="39">
        <f>$J$3+[34]FormattedData!M43*$J$4+$M$4*$J$5+[34]FormattedData!M43^2*$J$6+$M$5*$J$7</f>
        <v>28.955958032134863</v>
      </c>
      <c r="U64" s="39">
        <f>$J$3+[34]FormattedData!N43*$J$4+$M$4*$J$5+[34]FormattedData!N43^2*$J$6+$M$5*$J$7</f>
        <v>27.976618624736581</v>
      </c>
      <c r="V64" s="39">
        <f>$J$3+[34]FormattedData!O43*$J$4+$M$4*$J$5+[34]FormattedData!O43^2*$J$6+$M$5*$J$7</f>
        <v>29.346510276032102</v>
      </c>
      <c r="W64" s="38">
        <f>AVERAGE(K64:V64)</f>
        <v>28.905226350306325</v>
      </c>
      <c r="X64" s="37">
        <f>STDEV(K64:V64)/SQRT(COUNT(K64:V64))</f>
        <v>0.27654476678806733</v>
      </c>
      <c r="Y64" s="36">
        <f>MIN(K64:V64)</f>
        <v>27.780243520801747</v>
      </c>
      <c r="Z64" s="35">
        <f>QUARTILE(K64:V64,1)</f>
        <v>28.197302856137398</v>
      </c>
      <c r="AA64" s="36">
        <f>MEDIAN(K64:V64)</f>
        <v>28.613622492059257</v>
      </c>
      <c r="AB64" s="35">
        <f>QUARTILE(K64:V64,3)</f>
        <v>29.589865729054083</v>
      </c>
      <c r="AC64" s="35">
        <f>MAX(K64:V64)</f>
        <v>30.31993208812003</v>
      </c>
      <c r="AD64" s="35">
        <f>SKEW(K64:V64)</f>
        <v>0.62763112549686184</v>
      </c>
      <c r="AE64" s="35">
        <f>KURT(K64:V64)</f>
        <v>-1.1472614373004997</v>
      </c>
    </row>
    <row r="65" spans="2:31" x14ac:dyDescent="0.2">
      <c r="B65" s="34">
        <f>[34]FormattedData!A45</f>
        <v>208</v>
      </c>
      <c r="C65" s="34" t="str">
        <f>VLOOKUP($B65,[34]TrtCodes!$B$11:I88,2)</f>
        <v>FSL</v>
      </c>
      <c r="D65" s="34">
        <f>VLOOKUP($B65,[34]TrtCodes!$B$11:J88,3)</f>
        <v>2</v>
      </c>
      <c r="E65" s="34">
        <f>VLOOKUP($B65,[34]TrtCodes!$B$11:K88,4)</f>
        <v>1</v>
      </c>
      <c r="F65" s="34">
        <f>VLOOKUP($B65,[34]TrtCodes!$B$11:L88,5)</f>
        <v>1</v>
      </c>
      <c r="G65" s="34">
        <f>VLOOKUP($B65,[34]TrtCodes!$B$11:M88,6)</f>
        <v>1</v>
      </c>
      <c r="H65" s="34">
        <f>VLOOKUP($B65,[34]TrtCodes!$B$11:N88,7)</f>
        <v>2</v>
      </c>
      <c r="I65" s="34">
        <f>[34]FormattedData!B45</f>
        <v>2</v>
      </c>
      <c r="J65" s="37">
        <f>[34]FormattedData!C45</f>
        <v>13.335000000000001</v>
      </c>
      <c r="K65" s="39">
        <f>$J$3+[34]FormattedData!D45*$J$4+$M$4*$J$5+[34]FormattedData!D45^2*$J$6+$M$5*$J$7</f>
        <v>29.444042665661588</v>
      </c>
      <c r="L65" s="39">
        <f>$J$3+[34]FormattedData!E45*$J$4+$M$4*$J$5+[34]FormattedData!E45^2*$J$6+$M$5*$J$7</f>
        <v>29.638980639306759</v>
      </c>
      <c r="M65" s="39">
        <f>$J$3+[34]FormattedData!F45*$J$4+$M$4*$J$5+[34]FormattedData!F45^2*$J$6+$M$5*$J$7</f>
        <v>31.192397759006042</v>
      </c>
      <c r="N65" s="39">
        <f>$J$3+[34]FormattedData!G45*$J$4+$M$4*$J$5+[34]FormattedData!G45^2*$J$6+$M$5*$J$7</f>
        <v>31.289127046414841</v>
      </c>
      <c r="O65" s="39">
        <f>$J$3+[34]FormattedData!H45*$J$4+$M$4*$J$5+[34]FormattedData!H45^2*$J$6+$M$5*$J$7</f>
        <v>31.675621510670688</v>
      </c>
      <c r="P65" s="39">
        <f>$J$3+[34]FormattedData!I45*$J$4+$M$4*$J$5+[34]FormattedData!I45^2*$J$6+$M$5*$J$7</f>
        <v>31.289127046414841</v>
      </c>
      <c r="Q65" s="39">
        <f>$J$3+[34]FormattedData!J45*$J$4+$M$4*$J$5+[34]FormattedData!J45^2*$J$6+$M$5*$J$7</f>
        <v>31.192397759006042</v>
      </c>
      <c r="R65" s="39">
        <f>$J$3+[34]FormattedData!K45*$J$4+$M$4*$J$5+[34]FormattedData!K45^2*$J$6+$M$5*$J$7</f>
        <v>30.417041792370199</v>
      </c>
      <c r="S65" s="39">
        <f>$J$3+[34]FormattedData!L45*$J$4+$M$4*$J$5+[34]FormattedData!L45^2*$J$6+$M$5*$J$7</f>
        <v>30.611134395256748</v>
      </c>
      <c r="T65" s="39">
        <f>$J$3+[34]FormattedData!M45*$J$4+$M$4*$J$5+[34]FormattedData!M45^2*$J$6+$M$5*$J$7</f>
        <v>32.542761345777386</v>
      </c>
      <c r="U65" s="39">
        <f>$J$3+[34]FormattedData!N45*$J$4+$M$4*$J$5+[34]FormattedData!N45^2*$J$6+$M$5*$J$7</f>
        <v>32.254095150916534</v>
      </c>
      <c r="V65" s="39">
        <f>$J$3+[34]FormattedData!O45*$J$4+$M$4*$J$5+[34]FormattedData!O45^2*$J$6+$M$5*$J$7</f>
        <v>31.965048539214305</v>
      </c>
      <c r="W65" s="38">
        <f>AVERAGE(K65:V65)</f>
        <v>31.125981304167997</v>
      </c>
      <c r="X65" s="37">
        <f>STDEV(K65:V65)/SQRT(COUNT(K65:V65))</f>
        <v>0.2773774805757987</v>
      </c>
      <c r="Y65" s="36">
        <f>MIN(K65:V65)</f>
        <v>29.444042665661588</v>
      </c>
      <c r="Z65" s="35">
        <f>QUARTILE(K65:V65,1)</f>
        <v>30.562611244535113</v>
      </c>
      <c r="AA65" s="36">
        <f>MEDIAN(K65:V65)</f>
        <v>31.240762402710441</v>
      </c>
      <c r="AB65" s="35">
        <f>QUARTILE(K65:V65,3)</f>
        <v>31.747978267806591</v>
      </c>
      <c r="AC65" s="35">
        <f>MAX(K65:V65)</f>
        <v>32.542761345777386</v>
      </c>
      <c r="AD65" s="35">
        <f>SKEW(K65:V65)</f>
        <v>-0.42957109176155678</v>
      </c>
      <c r="AE65" s="35">
        <f>KURT(K65:V65)</f>
        <v>-0.43743775060547119</v>
      </c>
    </row>
    <row r="66" spans="2:31" x14ac:dyDescent="0.2">
      <c r="B66" s="34">
        <f>[34]FormattedData!A63</f>
        <v>301</v>
      </c>
      <c r="C66" s="34" t="str">
        <f>VLOOKUP($B66,[34]TrtCodes!$B$11:I106,2)</f>
        <v>NTL</v>
      </c>
      <c r="D66" s="34">
        <f>VLOOKUP($B66,[34]TrtCodes!$B$11:J106,3)</f>
        <v>10</v>
      </c>
      <c r="E66" s="34">
        <f>VLOOKUP($B66,[34]TrtCodes!$B$11:K106,4)</f>
        <v>2</v>
      </c>
      <c r="F66" s="34">
        <f>VLOOKUP($B66,[34]TrtCodes!$B$11:L106,5)</f>
        <v>2</v>
      </c>
      <c r="G66" s="34">
        <f>VLOOKUP($B66,[34]TrtCodes!$B$11:M106,6)</f>
        <v>1</v>
      </c>
      <c r="H66" s="34">
        <f>VLOOKUP($B66,[34]TrtCodes!$B$11:N106,7)</f>
        <v>3</v>
      </c>
      <c r="I66" s="34">
        <f>[34]FormattedData!B63</f>
        <v>2</v>
      </c>
      <c r="J66" s="37">
        <f>[34]FormattedData!C63</f>
        <v>13.452999999999999</v>
      </c>
      <c r="K66" s="39">
        <f>$J$3+[34]FormattedData!D63*$J$4+$M$4*$J$5+[34]FormattedData!D63^2*$J$6+$M$5*$J$7</f>
        <v>30.708117293893125</v>
      </c>
      <c r="L66" s="39">
        <f>$J$3+[34]FormattedData!E63*$J$4+$M$4*$J$5+[34]FormattedData!E63^2*$J$6+$M$5*$J$7</f>
        <v>29.053659495916069</v>
      </c>
      <c r="M66" s="39">
        <f>$J$3+[34]FormattedData!F63*$J$4+$M$4*$J$5+[34]FormattedData!F63^2*$J$6+$M$5*$J$7</f>
        <v>28.368861610151065</v>
      </c>
      <c r="N66" s="39">
        <f>$J$3+[34]FormattedData!G63*$J$4+$M$4*$J$5+[34]FormattedData!G63^2*$J$6+$M$5*$J$7</f>
        <v>28.662600029563652</v>
      </c>
      <c r="O66" s="39">
        <f>$J$3+[34]FormattedData!H63*$J$4+$M$4*$J$5+[34]FormattedData!H63^2*$J$6+$M$5*$J$7</f>
        <v>28.760428298958654</v>
      </c>
      <c r="P66" s="39">
        <f>$J$3+[34]FormattedData!I63*$J$4+$M$4*$J$5+[34]FormattedData!I63^2*$J$6+$M$5*$J$7</f>
        <v>28.662600029563652</v>
      </c>
      <c r="Q66" s="39">
        <f>$J$3+[34]FormattedData!J63*$J$4+$M$4*$J$5+[34]FormattedData!J63^2*$J$6+$M$5*$J$7</f>
        <v>29.541532786753134</v>
      </c>
      <c r="R66" s="39">
        <f>$J$3+[34]FormattedData!K63*$J$4+$M$4*$J$5+[34]FormattedData!K63^2*$J$6+$M$5*$J$7</f>
        <v>28.955958032134863</v>
      </c>
      <c r="S66" s="39">
        <f>$J$3+[34]FormattedData!L63*$J$4+$M$4*$J$5+[34]FormattedData!L63^2*$J$6+$M$5*$J$7</f>
        <v>28.662600029563652</v>
      </c>
      <c r="T66" s="39">
        <f>$J$3+[34]FormattedData!M63*$J$4+$M$4*$J$5+[34]FormattedData!M63^2*$J$6+$M$5*$J$7</f>
        <v>29.151318691159346</v>
      </c>
      <c r="U66" s="39">
        <f>$J$3+[34]FormattedData!N63*$J$4+$M$4*$J$5+[34]FormattedData!N63^2*$J$6+$M$5*$J$7</f>
        <v>28.564729491630722</v>
      </c>
      <c r="V66" s="39">
        <f>$J$3+[34]FormattedData!O63*$J$4+$M$4*$J$5+[34]FormattedData!O63^2*$J$6+$M$5*$J$7</f>
        <v>28.662600029563652</v>
      </c>
      <c r="W66" s="38">
        <f>AVERAGE(K66:V66)</f>
        <v>28.979583818237629</v>
      </c>
      <c r="X66" s="37">
        <f>STDEV(K66:V66)/SQRT(COUNT(K66:V66))</f>
        <v>0.18120352337367968</v>
      </c>
      <c r="Y66" s="36">
        <f>MIN(K66:V66)</f>
        <v>28.368861610151065</v>
      </c>
      <c r="Z66" s="35">
        <f>QUARTILE(K66:V66,1)</f>
        <v>28.662600029563652</v>
      </c>
      <c r="AA66" s="36">
        <f>MEDIAN(K66:V66)</f>
        <v>28.711514164261153</v>
      </c>
      <c r="AB66" s="35">
        <f>QUARTILE(K66:V66,3)</f>
        <v>29.078074294726889</v>
      </c>
      <c r="AC66" s="35">
        <f>MAX(K66:V66)</f>
        <v>30.708117293893125</v>
      </c>
      <c r="AD66" s="35">
        <f>SKEW(K66:V66)</f>
        <v>2.1658596457258543</v>
      </c>
      <c r="AE66" s="35">
        <f>KURT(K66:V66)</f>
        <v>5.3442946896921111</v>
      </c>
    </row>
    <row r="67" spans="2:31" x14ac:dyDescent="0.2">
      <c r="B67" s="34">
        <f>[34]FormattedData!A65</f>
        <v>302</v>
      </c>
      <c r="C67" s="34" t="str">
        <f>VLOOKUP($B67,[34]TrtCodes!$B$11:I108,2)</f>
        <v>FTL</v>
      </c>
      <c r="D67" s="34">
        <f>VLOOKUP($B67,[34]TrtCodes!$B$11:J108,3)</f>
        <v>4</v>
      </c>
      <c r="E67" s="34">
        <f>VLOOKUP($B67,[34]TrtCodes!$B$11:K108,4)</f>
        <v>1</v>
      </c>
      <c r="F67" s="34">
        <f>VLOOKUP($B67,[34]TrtCodes!$B$11:L108,5)</f>
        <v>2</v>
      </c>
      <c r="G67" s="34">
        <f>VLOOKUP($B67,[34]TrtCodes!$B$11:M108,6)</f>
        <v>1</v>
      </c>
      <c r="H67" s="34">
        <f>VLOOKUP($B67,[34]TrtCodes!$B$11:N108,7)</f>
        <v>3</v>
      </c>
      <c r="I67" s="34">
        <f>[34]FormattedData!B65</f>
        <v>2</v>
      </c>
      <c r="J67" s="37">
        <f>[34]FormattedData!C65</f>
        <v>13.468999999999999</v>
      </c>
      <c r="K67" s="39">
        <f>$J$3+[34]FormattedData!D65*$J$4+$M$4*$J$5+[34]FormattedData!D65^2*$J$6+$M$5*$J$7</f>
        <v>30.514109228082436</v>
      </c>
      <c r="L67" s="39">
        <f>$J$3+[34]FormattedData!E65*$J$4+$M$4*$J$5+[34]FormattedData!E65^2*$J$6+$M$5*$J$7</f>
        <v>30.611134395256748</v>
      </c>
      <c r="M67" s="39">
        <f>$J$3+[34]FormattedData!F65*$J$4+$M$4*$J$5+[34]FormattedData!F65^2*$J$6+$M$5*$J$7</f>
        <v>29.151318691159346</v>
      </c>
      <c r="N67" s="39">
        <f>$J$3+[34]FormattedData!G65*$J$4+$M$4*$J$5+[34]FormattedData!G65^2*$J$6+$M$5*$J$7</f>
        <v>27.681992566027436</v>
      </c>
      <c r="O67" s="39">
        <f>$J$3+[34]FormattedData!H65*$J$4+$M$4*$J$5+[34]FormattedData!H65^2*$J$6+$M$5*$J$7</f>
        <v>28.955958032134863</v>
      </c>
      <c r="P67" s="39">
        <f>$J$3+[34]FormattedData!I65*$J$4+$M$4*$J$5+[34]FormattedData!I65^2*$J$6+$M$5*$J$7</f>
        <v>27.485363850865021</v>
      </c>
      <c r="Q67" s="39">
        <f>$J$3+[34]FormattedData!J65*$J$4+$M$4*$J$5+[34]FormattedData!J65^2*$J$6+$M$5*$J$7</f>
        <v>30.708117293893125</v>
      </c>
      <c r="R67" s="39">
        <f>$J$3+[34]FormattedData!K65*$J$4+$M$4*$J$5+[34]FormattedData!K65^2*$J$6+$M$5*$J$7</f>
        <v>28.172824654519683</v>
      </c>
      <c r="S67" s="39">
        <f>$J$3+[34]FormattedData!L65*$J$4+$M$4*$J$5+[34]FormattedData!L65^2*$J$6+$M$5*$J$7</f>
        <v>33.502234540348027</v>
      </c>
      <c r="T67" s="39">
        <f>$J$3+[34]FormattedData!M65*$J$4+$M$4*$J$5+[34]FormattedData!M65^2*$J$6+$M$5*$J$7</f>
        <v>28.858214299815725</v>
      </c>
      <c r="U67" s="39">
        <f>$J$3+[34]FormattedData!N65*$J$4+$M$4*$J$5+[34]FormattedData!N65^2*$J$6+$M$5*$J$7</f>
        <v>28.858214299815725</v>
      </c>
      <c r="V67" s="39">
        <f>$J$3+[34]FormattedData!O65*$J$4+$M$4*$J$5+[34]FormattedData!O65^2*$J$6+$M$5*$J$7</f>
        <v>28.368861610151065</v>
      </c>
      <c r="W67" s="38">
        <f>AVERAGE(K67:V67)</f>
        <v>29.405695288505758</v>
      </c>
      <c r="X67" s="37">
        <f>STDEV(K67:V67)/SQRT(COUNT(K67:V67))</f>
        <v>0.48679425780582875</v>
      </c>
      <c r="Y67" s="36">
        <f>MIN(K67:V67)</f>
        <v>27.485363850865021</v>
      </c>
      <c r="Z67" s="35">
        <f>QUARTILE(K67:V67,1)</f>
        <v>28.319852371243218</v>
      </c>
      <c r="AA67" s="36">
        <f>MEDIAN(K67:V67)</f>
        <v>28.907086165975294</v>
      </c>
      <c r="AB67" s="35">
        <f>QUARTILE(K67:V67,3)</f>
        <v>30.538365519876013</v>
      </c>
      <c r="AC67" s="35">
        <f>MAX(K67:V67)</f>
        <v>33.502234540348027</v>
      </c>
      <c r="AD67" s="35">
        <f>SKEW(K67:V67)</f>
        <v>1.3295567781618343</v>
      </c>
      <c r="AE67" s="35">
        <f>KURT(K67:V67)</f>
        <v>2.090243600025488</v>
      </c>
    </row>
    <row r="68" spans="2:31" x14ac:dyDescent="0.2">
      <c r="B68" s="34">
        <f>[34]FormattedData!A67</f>
        <v>303</v>
      </c>
      <c r="C68" s="34" t="str">
        <f>VLOOKUP($B68,[34]TrtCodes!$B$11:I110,2)</f>
        <v>NSL</v>
      </c>
      <c r="D68" s="34">
        <f>VLOOKUP($B68,[34]TrtCodes!$B$11:J110,3)</f>
        <v>8</v>
      </c>
      <c r="E68" s="34">
        <f>VLOOKUP($B68,[34]TrtCodes!$B$11:K110,4)</f>
        <v>2</v>
      </c>
      <c r="F68" s="34">
        <f>VLOOKUP($B68,[34]TrtCodes!$B$11:L110,5)</f>
        <v>1</v>
      </c>
      <c r="G68" s="34">
        <f>VLOOKUP($B68,[34]TrtCodes!$B$11:M110,6)</f>
        <v>1</v>
      </c>
      <c r="H68" s="34">
        <f>VLOOKUP($B68,[34]TrtCodes!$B$11:N110,7)</f>
        <v>3</v>
      </c>
      <c r="I68" s="34">
        <f>[34]FormattedData!B67</f>
        <v>2</v>
      </c>
      <c r="J68" s="37">
        <f>[34]FormattedData!C67</f>
        <v>13.484</v>
      </c>
      <c r="K68" s="39">
        <f>$J$3+[34]FormattedData!D67*$J$4+$M$4*$J$5+[34]FormattedData!D67^2*$J$6+$M$5*$J$7</f>
        <v>30.417041792370199</v>
      </c>
      <c r="L68" s="39">
        <f>$J$3+[34]FormattedData!E67*$J$4+$M$4*$J$5+[34]FormattedData!E67^2*$J$6+$M$5*$J$7</f>
        <v>30.417041792370199</v>
      </c>
      <c r="M68" s="39">
        <f>$J$3+[34]FormattedData!F67*$J$4+$M$4*$J$5+[34]FormattedData!F67^2*$J$6+$M$5*$J$7</f>
        <v>29.346510276032102</v>
      </c>
      <c r="N68" s="39">
        <f>$J$3+[34]FormattedData!G67*$J$4+$M$4*$J$5+[34]FormattedData!G67^2*$J$6+$M$5*$J$7</f>
        <v>30.028349364141924</v>
      </c>
      <c r="O68" s="39">
        <f>$J$3+[34]FormattedData!H67*$J$4+$M$4*$J$5+[34]FormattedData!H67^2*$J$6+$M$5*$J$7</f>
        <v>31.289127046414841</v>
      </c>
      <c r="P68" s="39">
        <f>$J$3+[34]FormattedData!I67*$J$4+$M$4*$J$5+[34]FormattedData!I67^2*$J$6+$M$5*$J$7</f>
        <v>31.675621510670688</v>
      </c>
      <c r="Q68" s="39">
        <f>$J$3+[34]FormattedData!J67*$J$4+$M$4*$J$5+[34]FormattedData!J67^2*$J$6+$M$5*$J$7</f>
        <v>33.214836401625114</v>
      </c>
      <c r="R68" s="39">
        <f>$J$3+[34]FormattedData!K67*$J$4+$M$4*$J$5+[34]FormattedData!K67^2*$J$6+$M$5*$J$7</f>
        <v>32.927057846060819</v>
      </c>
      <c r="S68" s="39">
        <f>$J$3+[34]FormattedData!L67*$J$4+$M$4*$J$5+[34]FormattedData!L67^2*$J$6+$M$5*$J$7</f>
        <v>30.805057923991573</v>
      </c>
      <c r="T68" s="39">
        <f>$J$3+[34]FormattedData!M67*$J$4+$M$4*$J$5+[34]FormattedData!M67^2*$J$6+$M$5*$J$7</f>
        <v>30.222780115331922</v>
      </c>
      <c r="U68" s="39">
        <f>$J$3+[34]FormattedData!N67*$J$4+$M$4*$J$5+[34]FormattedData!N67^2*$J$6+$M$5*$J$7</f>
        <v>32.061439678319644</v>
      </c>
      <c r="V68" s="39">
        <f>$J$3+[34]FormattedData!O67*$J$4+$M$4*$J$5+[34]FormattedData!O67^2*$J$6+$M$5*$J$7</f>
        <v>30.028349364141924</v>
      </c>
      <c r="W68" s="38">
        <f>AVERAGE(K68:V68)</f>
        <v>31.036101092622584</v>
      </c>
      <c r="X68" s="37">
        <f>STDEV(K68:V68)/SQRT(COUNT(K68:V68))</f>
        <v>0.35047713922906087</v>
      </c>
      <c r="Y68" s="36">
        <f>MIN(K68:V68)</f>
        <v>29.346510276032102</v>
      </c>
      <c r="Z68" s="35">
        <f>QUARTILE(K68:V68,1)</f>
        <v>30.174172427534423</v>
      </c>
      <c r="AA68" s="36">
        <f>MEDIAN(K68:V68)</f>
        <v>30.611049858180884</v>
      </c>
      <c r="AB68" s="35">
        <f>QUARTILE(K68:V68,3)</f>
        <v>31.772076052582925</v>
      </c>
      <c r="AC68" s="35">
        <f>MAX(K68:V68)</f>
        <v>33.214836401625114</v>
      </c>
      <c r="AD68" s="35">
        <f>SKEW(K68:V68)</f>
        <v>0.64399784413012362</v>
      </c>
      <c r="AE68" s="35">
        <f>KURT(K68:V68)</f>
        <v>-0.58537255175147829</v>
      </c>
    </row>
    <row r="69" spans="2:31" x14ac:dyDescent="0.2">
      <c r="B69" s="34">
        <f>[34]FormattedData!A69</f>
        <v>304</v>
      </c>
      <c r="C69" s="34" t="str">
        <f>VLOOKUP($B69,[34]TrtCodes!$B$11:I112,2)</f>
        <v>FSL</v>
      </c>
      <c r="D69" s="34">
        <f>VLOOKUP($B69,[34]TrtCodes!$B$11:J112,3)</f>
        <v>2</v>
      </c>
      <c r="E69" s="34">
        <f>VLOOKUP($B69,[34]TrtCodes!$B$11:K112,4)</f>
        <v>1</v>
      </c>
      <c r="F69" s="34">
        <f>VLOOKUP($B69,[34]TrtCodes!$B$11:L112,5)</f>
        <v>1</v>
      </c>
      <c r="G69" s="34">
        <f>VLOOKUP($B69,[34]TrtCodes!$B$11:M112,6)</f>
        <v>1</v>
      </c>
      <c r="H69" s="34">
        <f>VLOOKUP($B69,[34]TrtCodes!$B$11:N112,7)</f>
        <v>3</v>
      </c>
      <c r="I69" s="34">
        <f>[34]FormattedData!B69</f>
        <v>2</v>
      </c>
      <c r="J69" s="37">
        <f>[34]FormattedData!C69</f>
        <v>13.5</v>
      </c>
      <c r="K69" s="39">
        <f>$J$3+[34]FormattedData!D69*$J$4+$M$4*$J$5+[34]FormattedData!D69^2*$J$6+$M$5*$J$7</f>
        <v>31.482458815618628</v>
      </c>
      <c r="L69" s="39">
        <f>$J$3+[34]FormattedData!E69*$J$4+$M$4*$J$5+[34]FormattedData!E69^2*$J$6+$M$5*$J$7</f>
        <v>30.514109228082436</v>
      </c>
      <c r="M69" s="39">
        <f>$J$3+[34]FormattedData!F69*$J$4+$M$4*$J$5+[34]FormattedData!F69^2*$J$6+$M$5*$J$7</f>
        <v>30.417041792370199</v>
      </c>
      <c r="N69" s="39">
        <f>$J$3+[34]FormattedData!G69*$J$4+$M$4*$J$5+[34]FormattedData!G69^2*$J$6+$M$5*$J$7</f>
        <v>28.172824654519683</v>
      </c>
      <c r="O69" s="39">
        <f>$J$3+[34]FormattedData!H69*$J$4+$M$4*$J$5+[34]FormattedData!H69^2*$J$6+$M$5*$J$7</f>
        <v>29.248935617864689</v>
      </c>
      <c r="P69" s="39">
        <f>$J$3+[34]FormattedData!I69*$J$4+$M$4*$J$5+[34]FormattedData!I69^2*$J$6+$M$5*$J$7</f>
        <v>29.541532786753134</v>
      </c>
      <c r="Q69" s="39">
        <f>$J$3+[34]FormattedData!J69*$J$4+$M$4*$J$5+[34]FormattedData!J69^2*$J$6+$M$5*$J$7</f>
        <v>28.368861610151065</v>
      </c>
      <c r="R69" s="39">
        <f>$J$3+[34]FormattedData!K69*$J$4+$M$4*$J$5+[34]FormattedData!K69^2*$J$6+$M$5*$J$7</f>
        <v>29.541532786753134</v>
      </c>
      <c r="S69" s="39">
        <f>$J$3+[34]FormattedData!L69*$J$4+$M$4*$J$5+[34]FormattedData!L69^2*$J$6+$M$5*$J$7</f>
        <v>28.955958032134863</v>
      </c>
      <c r="T69" s="39">
        <f>$J$3+[34]FormattedData!M69*$J$4+$M$4*$J$5+[34]FormattedData!M69^2*$J$6+$M$5*$J$7</f>
        <v>30.417041792370199</v>
      </c>
      <c r="U69" s="39">
        <f>$J$3+[34]FormattedData!N69*$J$4+$M$4*$J$5+[34]FormattedData!N69^2*$J$6+$M$5*$J$7</f>
        <v>30.514109228082436</v>
      </c>
      <c r="V69" s="39">
        <f>$J$3+[34]FormattedData!O69*$J$4+$M$4*$J$5+[34]FormattedData!O69^2*$J$6+$M$5*$J$7</f>
        <v>30.901956285552085</v>
      </c>
      <c r="W69" s="38">
        <f>AVERAGE(K69:V69)</f>
        <v>29.839696885854377</v>
      </c>
      <c r="X69" s="37">
        <f>STDEV(K69:V69)/SQRT(COUNT(K69:V69))</f>
        <v>0.29711996898701387</v>
      </c>
      <c r="Y69" s="36">
        <f>MIN(K69:V69)</f>
        <v>28.172824654519683</v>
      </c>
      <c r="Z69" s="35">
        <f>QUARTILE(K69:V69,1)</f>
        <v>29.175691221432231</v>
      </c>
      <c r="AA69" s="36">
        <f>MEDIAN(K69:V69)</f>
        <v>29.979287289561668</v>
      </c>
      <c r="AB69" s="35">
        <f>QUARTILE(K69:V69,3)</f>
        <v>30.514109228082436</v>
      </c>
      <c r="AC69" s="35">
        <f>MAX(K69:V69)</f>
        <v>31.482458815618628</v>
      </c>
      <c r="AD69" s="35">
        <f>SKEW(K69:V69)</f>
        <v>-0.2133461422829718</v>
      </c>
      <c r="AE69" s="35">
        <f>KURT(K69:V69)</f>
        <v>-0.89662437767107983</v>
      </c>
    </row>
    <row r="70" spans="2:31" x14ac:dyDescent="0.2">
      <c r="B70" s="34">
        <f>[34]FormattedData!A71</f>
        <v>305</v>
      </c>
      <c r="C70" s="34" t="str">
        <f>VLOOKUP($B70,[34]TrtCodes!$B$11:I114,2)</f>
        <v>NDH</v>
      </c>
      <c r="D70" s="34">
        <f>VLOOKUP($B70,[34]TrtCodes!$B$11:J114,3)</f>
        <v>11</v>
      </c>
      <c r="E70" s="34">
        <f>VLOOKUP($B70,[34]TrtCodes!$B$11:K114,4)</f>
        <v>2</v>
      </c>
      <c r="F70" s="34">
        <f>VLOOKUP($B70,[34]TrtCodes!$B$11:L114,5)</f>
        <v>3</v>
      </c>
      <c r="G70" s="34">
        <f>VLOOKUP($B70,[34]TrtCodes!$B$11:M114,6)</f>
        <v>2</v>
      </c>
      <c r="H70" s="34">
        <f>VLOOKUP($B70,[34]TrtCodes!$B$11:N114,7)</f>
        <v>4</v>
      </c>
      <c r="I70" s="34">
        <f>[34]FormattedData!B71</f>
        <v>2</v>
      </c>
      <c r="J70" s="37">
        <f>[34]FormattedData!C71</f>
        <v>13.516</v>
      </c>
      <c r="K70" s="39">
        <f>$J$3+[34]FormattedData!D71*$J$4+$M$4*$J$5+[34]FormattedData!D71^2*$J$6+$M$5*$J$7</f>
        <v>31.482458815618628</v>
      </c>
      <c r="L70" s="39">
        <f>$J$3+[34]FormattedData!E71*$J$4+$M$4*$J$5+[34]FormattedData!E71^2*$J$6+$M$5*$J$7</f>
        <v>32.157788548887048</v>
      </c>
      <c r="M70" s="39">
        <f>$J$3+[34]FormattedData!F71*$J$4+$M$4*$J$5+[34]FormattedData!F71^2*$J$6+$M$5*$J$7</f>
        <v>31.385814065285697</v>
      </c>
      <c r="N70" s="39">
        <f>$J$3+[34]FormattedData!G71*$J$4+$M$4*$J$5+[34]FormattedData!G71^2*$J$6+$M$5*$J$7</f>
        <v>32.542761345777386</v>
      </c>
      <c r="O70" s="39">
        <f>$J$3+[34]FormattedData!H71*$J$4+$M$4*$J$5+[34]FormattedData!H71^2*$J$6+$M$5*$J$7</f>
        <v>31.482458815618628</v>
      </c>
      <c r="P70" s="39">
        <f>$J$3+[34]FormattedData!I71*$J$4+$M$4*$J$5+[34]FormattedData!I71^2*$J$6+$M$5*$J$7</f>
        <v>32.542761345777386</v>
      </c>
      <c r="Q70" s="39">
        <f>$J$3+[34]FormattedData!J71*$J$4+$M$4*$J$5+[34]FormattedData!J71^2*$J$6+$M$5*$J$7</f>
        <v>30.028349364141924</v>
      </c>
      <c r="R70" s="39">
        <f>$J$3+[34]FormattedData!K71*$J$4+$M$4*$J$5+[34]FormattedData!K71^2*$J$6+$M$5*$J$7</f>
        <v>31.482458815618628</v>
      </c>
      <c r="S70" s="39">
        <f>$J$3+[34]FormattedData!L71*$J$4+$M$4*$J$5+[34]FormattedData!L71^2*$J$6+$M$5*$J$7</f>
        <v>31.675621510670688</v>
      </c>
      <c r="T70" s="39">
        <f>$J$3+[34]FormattedData!M71*$J$4+$M$4*$J$5+[34]FormattedData!M71^2*$J$6+$M$5*$J$7</f>
        <v>30.708117293893125</v>
      </c>
      <c r="U70" s="39">
        <f>$J$3+[34]FormattedData!N71*$J$4+$M$4*$J$5+[34]FormattedData!N71^2*$J$6+$M$5*$J$7</f>
        <v>32.061439678319644</v>
      </c>
      <c r="V70" s="39">
        <f>$J$3+[34]FormattedData!O71*$J$4+$M$4*$J$5+[34]FormattedData!O71^2*$J$6+$M$5*$J$7</f>
        <v>30.901956285552085</v>
      </c>
      <c r="W70" s="38">
        <f>AVERAGE(K70:V70)</f>
        <v>31.537665490430072</v>
      </c>
      <c r="X70" s="37">
        <f>STDEV(K70:V70)/SQRT(COUNT(K70:V70))</f>
        <v>0.21498542915195956</v>
      </c>
      <c r="Y70" s="36">
        <f>MIN(K70:V70)</f>
        <v>30.028349364141924</v>
      </c>
      <c r="Z70" s="35">
        <f>QUARTILE(K70:V70,1)</f>
        <v>31.264849620352294</v>
      </c>
      <c r="AA70" s="36">
        <f>MEDIAN(K70:V70)</f>
        <v>31.482458815618628</v>
      </c>
      <c r="AB70" s="35">
        <f>QUARTILE(K70:V70,3)</f>
        <v>32.085526895961493</v>
      </c>
      <c r="AC70" s="35">
        <f>MAX(K70:V70)</f>
        <v>32.542761345777386</v>
      </c>
      <c r="AD70" s="35">
        <f>SKEW(K70:V70)</f>
        <v>-0.48980355735230169</v>
      </c>
      <c r="AE70" s="35">
        <f>KURT(K70:V70)</f>
        <v>0.11159990440397394</v>
      </c>
    </row>
    <row r="71" spans="2:31" x14ac:dyDescent="0.2">
      <c r="B71" s="34">
        <f>[34]FormattedData!A73</f>
        <v>306</v>
      </c>
      <c r="C71" s="34" t="str">
        <f>VLOOKUP($B71,[34]TrtCodes!$B$11:I116,2)</f>
        <v>FTL</v>
      </c>
      <c r="D71" s="34">
        <f>VLOOKUP($B71,[34]TrtCodes!$B$11:J116,3)</f>
        <v>4</v>
      </c>
      <c r="E71" s="34">
        <f>VLOOKUP($B71,[34]TrtCodes!$B$11:K116,4)</f>
        <v>1</v>
      </c>
      <c r="F71" s="34">
        <f>VLOOKUP($B71,[34]TrtCodes!$B$11:L116,5)</f>
        <v>2</v>
      </c>
      <c r="G71" s="34">
        <f>VLOOKUP($B71,[34]TrtCodes!$B$11:M116,6)</f>
        <v>1</v>
      </c>
      <c r="H71" s="34">
        <f>VLOOKUP($B71,[34]TrtCodes!$B$11:N116,7)</f>
        <v>4</v>
      </c>
      <c r="I71" s="34">
        <f>[34]FormattedData!B73</f>
        <v>2</v>
      </c>
      <c r="J71" s="37">
        <f>[34]FormattedData!C73</f>
        <v>13.531000000000001</v>
      </c>
      <c r="K71" s="39">
        <f>$J$3+[34]FormattedData!D73*$J$4+$M$4*$J$5+[34]FormattedData!D73^2*$J$6+$M$5*$J$7</f>
        <v>26.697158248698106</v>
      </c>
      <c r="L71" s="39">
        <f>$J$3+[34]FormattedData!E73*$J$4+$M$4*$J$5+[34]FormattedData!E73^2*$J$6+$M$5*$J$7</f>
        <v>29.151318691159346</v>
      </c>
      <c r="M71" s="39">
        <f>$J$3+[34]FormattedData!F73*$J$4+$M$4*$J$5+[34]FormattedData!F73^2*$J$6+$M$5*$J$7</f>
        <v>28.368861610151065</v>
      </c>
      <c r="N71" s="39">
        <f>$J$3+[34]FormattedData!G73*$J$4+$M$4*$J$5+[34]FormattedData!G73^2*$J$6+$M$5*$J$7</f>
        <v>27.485363850865021</v>
      </c>
      <c r="O71" s="39">
        <f>$J$3+[34]FormattedData!H73*$J$4+$M$4*$J$5+[34]FormattedData!H73^2*$J$6+$M$5*$J$7</f>
        <v>28.564729491630722</v>
      </c>
      <c r="P71" s="39">
        <f>$J$3+[34]FormattedData!I73*$J$4+$M$4*$J$5+[34]FormattedData!I73^2*$J$6+$M$5*$J$7</f>
        <v>28.564729491630722</v>
      </c>
      <c r="Q71" s="39">
        <f>$J$3+[34]FormattedData!J73*$J$4+$M$4*$J$5+[34]FormattedData!J73^2*$J$6+$M$5*$J$7</f>
        <v>28.662600029563652</v>
      </c>
      <c r="R71" s="39">
        <f>$J$3+[34]FormattedData!K73*$J$4+$M$4*$J$5+[34]FormattedData!K73^2*$J$6+$M$5*$J$7</f>
        <v>27.19010376408691</v>
      </c>
      <c r="S71" s="39">
        <f>$J$3+[34]FormattedData!L73*$J$4+$M$4*$J$5+[34]FormattedData!L73^2*$J$6+$M$5*$J$7</f>
        <v>29.541532786753134</v>
      </c>
      <c r="T71" s="39">
        <f>$J$3+[34]FormattedData!M73*$J$4+$M$4*$J$5+[34]FormattedData!M73^2*$J$6+$M$5*$J$7</f>
        <v>28.955958032134863</v>
      </c>
      <c r="U71" s="39">
        <f>$J$3+[34]FormattedData!N73*$J$4+$M$4*$J$5+[34]FormattedData!N73^2*$J$6+$M$5*$J$7</f>
        <v>29.638980639306759</v>
      </c>
      <c r="V71" s="39">
        <f>$J$3+[34]FormattedData!O73*$J$4+$M$4*$J$5+[34]FormattedData!O73^2*$J$6+$M$5*$J$7</f>
        <v>27.19010376408691</v>
      </c>
      <c r="W71" s="38">
        <f>AVERAGE(K71:V71)</f>
        <v>28.334286700005595</v>
      </c>
      <c r="X71" s="37">
        <f>STDEV(K71:V71)/SQRT(COUNT(K71:V71))</f>
        <v>0.28133943006120921</v>
      </c>
      <c r="Y71" s="36">
        <f>MIN(K71:V71)</f>
        <v>26.697158248698106</v>
      </c>
      <c r="Z71" s="35">
        <f>QUARTILE(K71:V71,1)</f>
        <v>27.411548829170492</v>
      </c>
      <c r="AA71" s="36">
        <f>MEDIAN(K71:V71)</f>
        <v>28.564729491630722</v>
      </c>
      <c r="AB71" s="35">
        <f>QUARTILE(K71:V71,3)</f>
        <v>29.004798196890984</v>
      </c>
      <c r="AC71" s="35">
        <f>MAX(K71:V71)</f>
        <v>29.638980639306759</v>
      </c>
      <c r="AD71" s="35">
        <f>SKEW(K71:V71)</f>
        <v>-0.37352007107282353</v>
      </c>
      <c r="AE71" s="35">
        <f>KURT(K71:V71)</f>
        <v>-1.1051709412719699</v>
      </c>
    </row>
    <row r="72" spans="2:31" x14ac:dyDescent="0.2">
      <c r="B72" s="34">
        <f>[34]FormattedData!A75</f>
        <v>307</v>
      </c>
      <c r="C72" s="34" t="str">
        <f>VLOOKUP($B72,[34]TrtCodes!$B$11:I118,2)</f>
        <v>NTH</v>
      </c>
      <c r="D72" s="34">
        <f>VLOOKUP($B72,[34]TrtCodes!$B$11:J118,3)</f>
        <v>9</v>
      </c>
      <c r="E72" s="34">
        <f>VLOOKUP($B72,[34]TrtCodes!$B$11:K118,4)</f>
        <v>2</v>
      </c>
      <c r="F72" s="34">
        <f>VLOOKUP($B72,[34]TrtCodes!$B$11:L118,5)</f>
        <v>2</v>
      </c>
      <c r="G72" s="34">
        <f>VLOOKUP($B72,[34]TrtCodes!$B$11:M118,6)</f>
        <v>2</v>
      </c>
      <c r="H72" s="34">
        <f>VLOOKUP($B72,[34]TrtCodes!$B$11:N118,7)</f>
        <v>4</v>
      </c>
      <c r="I72" s="34">
        <f>[34]FormattedData!B75</f>
        <v>2</v>
      </c>
      <c r="J72" s="37">
        <f>[34]FormattedData!C75</f>
        <v>13.545999999999999</v>
      </c>
      <c r="K72" s="39">
        <f>$J$3+[34]FormattedData!D75*$J$4+$M$4*$J$5+[34]FormattedData!D75^2*$J$6+$M$5*$J$7</f>
        <v>28.662600029563652</v>
      </c>
      <c r="L72" s="39">
        <f>$J$3+[34]FormattedData!E75*$J$4+$M$4*$J$5+[34]FormattedData!E75^2*$J$6+$M$5*$J$7</f>
        <v>29.541532786753134</v>
      </c>
      <c r="M72" s="39">
        <f>$J$3+[34]FormattedData!F75*$J$4+$M$4*$J$5+[34]FormattedData!F75^2*$J$6+$M$5*$J$7</f>
        <v>29.931070585740031</v>
      </c>
      <c r="N72" s="39">
        <f>$J$3+[34]FormattedData!G75*$J$4+$M$4*$J$5+[34]FormattedData!G75^2*$J$6+$M$5*$J$7</f>
        <v>27.681992566027436</v>
      </c>
      <c r="O72" s="39">
        <f>$J$3+[34]FormattedData!H75*$J$4+$M$4*$J$5+[34]FormattedData!H75^2*$J$6+$M$5*$J$7</f>
        <v>28.955958032134863</v>
      </c>
      <c r="P72" s="39">
        <f>$J$3+[34]FormattedData!I75*$J$4+$M$4*$J$5+[34]FormattedData!I75^2*$J$6+$M$5*$J$7</f>
        <v>30.611134395256748</v>
      </c>
      <c r="Q72" s="39">
        <f>$J$3+[34]FormattedData!J75*$J$4+$M$4*$J$5+[34]FormattedData!J75^2*$J$6+$M$5*$J$7</f>
        <v>30.125585874005893</v>
      </c>
      <c r="R72" s="39">
        <f>$J$3+[34]FormattedData!K75*$J$4+$M$4*$J$5+[34]FormattedData!K75^2*$J$6+$M$5*$J$7</f>
        <v>30.125585874005893</v>
      </c>
      <c r="S72" s="39">
        <f>$J$3+[34]FormattedData!L75*$J$4+$M$4*$J$5+[34]FormattedData!L75^2*$J$6+$M$5*$J$7</f>
        <v>31.482458815618628</v>
      </c>
      <c r="T72" s="39">
        <f>$J$3+[34]FormattedData!M75*$J$4+$M$4*$J$5+[34]FormattedData!M75^2*$J$6+$M$5*$J$7</f>
        <v>29.833749538800209</v>
      </c>
      <c r="U72" s="39">
        <f>$J$3+[34]FormattedData!N75*$J$4+$M$4*$J$5+[34]FormattedData!N75^2*$J$6+$M$5*$J$7</f>
        <v>30.611134395256748</v>
      </c>
      <c r="V72" s="39">
        <f>$J$3+[34]FormattedData!O75*$J$4+$M$4*$J$5+[34]FormattedData!O75^2*$J$6+$M$5*$J$7</f>
        <v>28.466816685159859</v>
      </c>
      <c r="W72" s="38">
        <f>AVERAGE(K72:V72)</f>
        <v>29.669134964860259</v>
      </c>
      <c r="X72" s="37">
        <f>STDEV(K72:V72)/SQRT(COUNT(K72:V72))</f>
        <v>0.30782217320706223</v>
      </c>
      <c r="Y72" s="36">
        <f>MIN(K72:V72)</f>
        <v>27.681992566027436</v>
      </c>
      <c r="Z72" s="35">
        <f>QUARTILE(K72:V72,1)</f>
        <v>28.88261853149206</v>
      </c>
      <c r="AA72" s="36">
        <f>MEDIAN(K72:V72)</f>
        <v>29.882410062270118</v>
      </c>
      <c r="AB72" s="35">
        <f>QUARTILE(K72:V72,3)</f>
        <v>30.246973004318605</v>
      </c>
      <c r="AC72" s="35">
        <f>MAX(K72:V72)</f>
        <v>31.482458815618628</v>
      </c>
      <c r="AD72" s="35">
        <f>SKEW(K72:V72)</f>
        <v>-0.28093373649728304</v>
      </c>
      <c r="AE72" s="35">
        <f>KURT(K72:V72)</f>
        <v>-0.20067829588751396</v>
      </c>
    </row>
    <row r="73" spans="2:31" x14ac:dyDescent="0.2">
      <c r="B73" s="34">
        <f>[34]FormattedData!A77</f>
        <v>308</v>
      </c>
      <c r="C73" s="34" t="str">
        <f>VLOOKUP($B73,[34]TrtCodes!$B$11:I120,2)</f>
        <v>FDH</v>
      </c>
      <c r="D73" s="34">
        <f>VLOOKUP($B73,[34]TrtCodes!$B$11:J120,3)</f>
        <v>5</v>
      </c>
      <c r="E73" s="34">
        <f>VLOOKUP($B73,[34]TrtCodes!$B$11:K120,4)</f>
        <v>1</v>
      </c>
      <c r="F73" s="34">
        <f>VLOOKUP($B73,[34]TrtCodes!$B$11:L120,5)</f>
        <v>3</v>
      </c>
      <c r="G73" s="34">
        <f>VLOOKUP($B73,[34]TrtCodes!$B$11:M120,6)</f>
        <v>2</v>
      </c>
      <c r="H73" s="34">
        <f>VLOOKUP($B73,[34]TrtCodes!$B$11:N120,7)</f>
        <v>4</v>
      </c>
      <c r="I73" s="34">
        <f>[34]FormattedData!B77</f>
        <v>2</v>
      </c>
      <c r="J73" s="37">
        <f>[34]FormattedData!C77</f>
        <v>13.561999999999999</v>
      </c>
      <c r="K73" s="39">
        <f>$J$3+[34]FormattedData!D77*$J$4+$M$4*$J$5+[34]FormattedData!D77^2*$J$6+$M$5*$J$7</f>
        <v>34.743230546869171</v>
      </c>
      <c r="L73" s="39">
        <f>$J$3+[34]FormattedData!E77*$J$4+$M$4*$J$5+[34]FormattedData!E77^2*$J$6+$M$5*$J$7</f>
        <v>31.482458815618628</v>
      </c>
      <c r="M73" s="39">
        <f>$J$3+[34]FormattedData!F77*$J$4+$M$4*$J$5+[34]FormattedData!F77^2*$J$6+$M$5*$J$7</f>
        <v>29.833749538800209</v>
      </c>
      <c r="N73" s="39">
        <f>$J$3+[34]FormattedData!G77*$J$4+$M$4*$J$5+[34]FormattedData!G77^2*$J$6+$M$5*$J$7</f>
        <v>29.833749538800209</v>
      </c>
      <c r="O73" s="39">
        <f>$J$3+[34]FormattedData!H77*$J$4+$M$4*$J$5+[34]FormattedData!H77^2*$J$6+$M$5*$J$7</f>
        <v>30.514109228082436</v>
      </c>
      <c r="P73" s="39">
        <f>$J$3+[34]FormattedData!I77*$J$4+$M$4*$J$5+[34]FormattedData!I77^2*$J$6+$M$5*$J$7</f>
        <v>29.053659495916069</v>
      </c>
      <c r="Q73" s="39">
        <f>$J$3+[34]FormattedData!J77*$J$4+$M$4*$J$5+[34]FormattedData!J77^2*$J$6+$M$5*$J$7</f>
        <v>28.955958032134863</v>
      </c>
      <c r="R73" s="39">
        <f>$J$3+[34]FormattedData!K77*$J$4+$M$4*$J$5+[34]FormattedData!K77^2*$J$6+$M$5*$J$7</f>
        <v>30.125585874005893</v>
      </c>
      <c r="S73" s="39">
        <f>$J$3+[34]FormattedData!L77*$J$4+$M$4*$J$5+[34]FormattedData!L77^2*$J$6+$M$5*$J$7</f>
        <v>28.760428298958654</v>
      </c>
      <c r="T73" s="39">
        <f>$J$3+[34]FormattedData!M77*$J$4+$M$4*$J$5+[34]FormattedData!M77^2*$J$6+$M$5*$J$7</f>
        <v>29.541532786753134</v>
      </c>
      <c r="U73" s="39">
        <f>$J$3+[34]FormattedData!N77*$J$4+$M$4*$J$5+[34]FormattedData!N77^2*$J$6+$M$5*$J$7</f>
        <v>30.805057923991573</v>
      </c>
      <c r="V73" s="39">
        <f>$J$3+[34]FormattedData!O77*$J$4+$M$4*$J$5+[34]FormattedData!O77^2*$J$6+$M$5*$J$7</f>
        <v>29.248935617864689</v>
      </c>
      <c r="W73" s="38">
        <f>AVERAGE(K73:V73)</f>
        <v>30.241537974816293</v>
      </c>
      <c r="X73" s="37">
        <f>STDEV(K73:V73)/SQRT(COUNT(K73:V73))</f>
        <v>0.47094136640718748</v>
      </c>
      <c r="Y73" s="36">
        <f>MIN(K73:V73)</f>
        <v>28.760428298958654</v>
      </c>
      <c r="Z73" s="35">
        <f>QUARTILE(K73:V73,1)</f>
        <v>29.200116587377533</v>
      </c>
      <c r="AA73" s="36">
        <f>MEDIAN(K73:V73)</f>
        <v>29.833749538800209</v>
      </c>
      <c r="AB73" s="35">
        <f>QUARTILE(K73:V73,3)</f>
        <v>30.58684640205972</v>
      </c>
      <c r="AC73" s="35">
        <f>MAX(K73:V73)</f>
        <v>34.743230546869171</v>
      </c>
      <c r="AD73" s="35">
        <f>SKEW(K73:V73)</f>
        <v>2.1313989510506222</v>
      </c>
      <c r="AE73" s="35">
        <f>KURT(K73:V73)</f>
        <v>5.3982136131274885</v>
      </c>
    </row>
    <row r="74" spans="2:31" x14ac:dyDescent="0.2">
      <c r="B74" s="34">
        <f>[34]FormattedData!A93</f>
        <v>401</v>
      </c>
      <c r="C74" s="34" t="str">
        <f>VLOOKUP($B74,[34]TrtCodes!$B$11:I130,2)</f>
        <v>NSH</v>
      </c>
      <c r="D74" s="34">
        <f>VLOOKUP($B74,[34]TrtCodes!$B$11:J130,3)</f>
        <v>7</v>
      </c>
      <c r="E74" s="34">
        <f>VLOOKUP($B74,[34]TrtCodes!$B$11:K130,4)</f>
        <v>2</v>
      </c>
      <c r="F74" s="34">
        <f>VLOOKUP($B74,[34]TrtCodes!$B$11:L130,5)</f>
        <v>1</v>
      </c>
      <c r="G74" s="34">
        <f>VLOOKUP($B74,[34]TrtCodes!$B$11:M130,6)</f>
        <v>2</v>
      </c>
      <c r="H74" s="34">
        <f>VLOOKUP($B74,[34]TrtCodes!$B$11:N130,7)</f>
        <v>3</v>
      </c>
      <c r="I74" s="34">
        <f>[34]FormattedData!B93</f>
        <v>2</v>
      </c>
      <c r="J74" s="37">
        <f>[34]FormattedData!C93</f>
        <v>13.694000000000001</v>
      </c>
      <c r="K74" s="39">
        <f>$J$3+[34]FormattedData!D93*$J$4+$M$4*$J$5+[34]FormattedData!D93^2*$J$6+$M$5*$J$7</f>
        <v>31.868615131571033</v>
      </c>
      <c r="L74" s="39">
        <f>$J$3+[34]FormattedData!E93*$J$4+$M$4*$J$5+[34]FormattedData!E93^2*$J$6+$M$5*$J$7</f>
        <v>32.927057846060819</v>
      </c>
      <c r="M74" s="39">
        <f>$J$3+[34]FormattedData!F93*$J$4+$M$4*$J$5+[34]FormattedData!F93^2*$J$6+$M$5*$J$7</f>
        <v>32.061439678319644</v>
      </c>
      <c r="N74" s="39">
        <f>$J$3+[34]FormattedData!G93*$J$4+$M$4*$J$5+[34]FormattedData!G93^2*$J$6+$M$5*$J$7</f>
        <v>30.998812378574666</v>
      </c>
      <c r="O74" s="39">
        <f>$J$3+[34]FormattedData!H93*$J$4+$M$4*$J$5+[34]FormattedData!H93^2*$J$6+$M$5*$J$7</f>
        <v>32.638898873655137</v>
      </c>
      <c r="P74" s="39">
        <f>$J$3+[34]FormattedData!I93*$J$4+$M$4*$J$5+[34]FormattedData!I93^2*$J$6+$M$5*$J$7</f>
        <v>32.254095150916534</v>
      </c>
      <c r="Q74" s="39">
        <f>$J$3+[34]FormattedData!J93*$J$4+$M$4*$J$5+[34]FormattedData!J93^2*$J$6+$M$5*$J$7</f>
        <v>31.579061297413624</v>
      </c>
      <c r="R74" s="39">
        <f>$J$3+[34]FormattedData!K93*$J$4+$M$4*$J$5+[34]FormattedData!K93^2*$J$6+$M$5*$J$7</f>
        <v>31.482458815618628</v>
      </c>
      <c r="S74" s="39">
        <f>$J$3+[34]FormattedData!L93*$J$4+$M$4*$J$5+[34]FormattedData!L93^2*$J$6+$M$5*$J$7</f>
        <v>31.675621510670688</v>
      </c>
      <c r="T74" s="39">
        <f>$J$3+[34]FormattedData!M93*$J$4+$M$4*$J$5+[34]FormattedData!M93^2*$J$6+$M$5*$J$7</f>
        <v>32.157788548887048</v>
      </c>
      <c r="U74" s="39">
        <f>$J$3+[34]FormattedData!N93*$J$4+$M$4*$J$5+[34]FormattedData!N93^2*$J$6+$M$5*$J$7</f>
        <v>35.313588627832239</v>
      </c>
      <c r="V74" s="39">
        <f>$J$3+[34]FormattedData!O93*$J$4+$M$4*$J$5+[34]FormattedData!O93^2*$J$6+$M$5*$J$7</f>
        <v>31.192397759006042</v>
      </c>
      <c r="W74" s="38">
        <f>AVERAGE(K74:V74)</f>
        <v>32.179152968210509</v>
      </c>
      <c r="X74" s="37">
        <f>STDEV(K74:V74)/SQRT(COUNT(K74:V74))</f>
        <v>0.32772984392103582</v>
      </c>
      <c r="Y74" s="36">
        <f>MIN(K74:V74)</f>
        <v>30.998812378574666</v>
      </c>
      <c r="Z74" s="35">
        <f>QUARTILE(K74:V74,1)</f>
        <v>31.554910676964873</v>
      </c>
      <c r="AA74" s="36">
        <f>MEDIAN(K74:V74)</f>
        <v>31.965027404945339</v>
      </c>
      <c r="AB74" s="35">
        <f>QUARTILE(K74:V74,3)</f>
        <v>32.350296081601186</v>
      </c>
      <c r="AC74" s="35">
        <f>MAX(K74:V74)</f>
        <v>35.313588627832239</v>
      </c>
      <c r="AD74" s="35">
        <f>SKEW(K74:V74)</f>
        <v>2.086907268285171</v>
      </c>
      <c r="AE74" s="35">
        <f>KURT(K74:V74)</f>
        <v>5.4721645605961804</v>
      </c>
    </row>
    <row r="75" spans="2:31" x14ac:dyDescent="0.2">
      <c r="B75" s="34">
        <f>[34]FormattedData!A91</f>
        <v>402</v>
      </c>
      <c r="C75" s="34" t="str">
        <f>VLOOKUP($B75,[34]TrtCodes!$B$11:I131,2)</f>
        <v>NTH</v>
      </c>
      <c r="D75" s="34">
        <f>VLOOKUP($B75,[34]TrtCodes!$B$11:J131,3)</f>
        <v>9</v>
      </c>
      <c r="E75" s="34">
        <f>VLOOKUP($B75,[34]TrtCodes!$B$11:K131,4)</f>
        <v>2</v>
      </c>
      <c r="F75" s="34">
        <f>VLOOKUP($B75,[34]TrtCodes!$B$11:L131,5)</f>
        <v>2</v>
      </c>
      <c r="G75" s="34">
        <f>VLOOKUP($B75,[34]TrtCodes!$B$11:M131,6)</f>
        <v>2</v>
      </c>
      <c r="H75" s="34">
        <f>VLOOKUP($B75,[34]TrtCodes!$B$11:N131,7)</f>
        <v>3</v>
      </c>
      <c r="I75" s="34">
        <f>[34]FormattedData!B91</f>
        <v>2</v>
      </c>
      <c r="J75" s="37">
        <f>[34]FormattedData!C91</f>
        <v>13.678000000000001</v>
      </c>
      <c r="K75" s="39">
        <f>$J$3+[34]FormattedData!D91*$J$4+$M$4*$J$5+[34]FormattedData!D91^2*$J$6+$M$5*$J$7</f>
        <v>31.192397759006042</v>
      </c>
      <c r="L75" s="39">
        <f>$J$3+[34]FormattedData!E91*$J$4+$M$4*$J$5+[34]FormattedData!E91^2*$J$6+$M$5*$J$7</f>
        <v>29.346510276032102</v>
      </c>
      <c r="M75" s="39">
        <f>$J$3+[34]FormattedData!F91*$J$4+$M$4*$J$5+[34]FormattedData!F91^2*$J$6+$M$5*$J$7</f>
        <v>32.061439678319644</v>
      </c>
      <c r="N75" s="39">
        <f>$J$3+[34]FormattedData!G91*$J$4+$M$4*$J$5+[34]FormattedData!G91^2*$J$6+$M$5*$J$7</f>
        <v>29.151318691159346</v>
      </c>
      <c r="O75" s="39">
        <f>$J$3+[34]FormattedData!H91*$J$4+$M$4*$J$5+[34]FormattedData!H91^2*$J$6+$M$5*$J$7</f>
        <v>31.192397759006042</v>
      </c>
      <c r="P75" s="39">
        <f>$J$3+[34]FormattedData!I91*$J$4+$M$4*$J$5+[34]FormattedData!I91^2*$J$6+$M$5*$J$7</f>
        <v>30.222780115331922</v>
      </c>
      <c r="Q75" s="39">
        <f>$J$3+[34]FormattedData!J91*$J$4+$M$4*$J$5+[34]FormattedData!J91^2*$J$6+$M$5*$J$7</f>
        <v>31.579061297413624</v>
      </c>
      <c r="R75" s="39">
        <f>$J$3+[34]FormattedData!K91*$J$4+$M$4*$J$5+[34]FormattedData!K91^2*$J$6+$M$5*$J$7</f>
        <v>30.222780115331922</v>
      </c>
      <c r="S75" s="39">
        <f>$J$3+[34]FormattedData!L91*$J$4+$M$4*$J$5+[34]FormattedData!L91^2*$J$6+$M$5*$J$7</f>
        <v>31.289127046414841</v>
      </c>
      <c r="T75" s="39">
        <f>$J$3+[34]FormattedData!M91*$J$4+$M$4*$J$5+[34]FormattedData!M91^2*$J$6+$M$5*$J$7</f>
        <v>31.385814065285697</v>
      </c>
      <c r="U75" s="39">
        <f>$J$3+[34]FormattedData!N91*$J$4+$M$4*$J$5+[34]FormattedData!N91^2*$J$6+$M$5*$J$7</f>
        <v>32.350359484408088</v>
      </c>
      <c r="V75" s="39">
        <f>$J$3+[34]FormattedData!O91*$J$4+$M$4*$J$5+[34]FormattedData!O91^2*$J$6+$M$5*$J$7</f>
        <v>31.675621510670688</v>
      </c>
      <c r="W75" s="38">
        <f>AVERAGE(K75:V75)</f>
        <v>30.972467316531663</v>
      </c>
      <c r="X75" s="37">
        <f>STDEV(K75:V75)/SQRT(COUNT(K75:V75))</f>
        <v>0.29386502055328045</v>
      </c>
      <c r="Y75" s="36">
        <f>MIN(K75:V75)</f>
        <v>29.151318691159346</v>
      </c>
      <c r="Z75" s="35">
        <f>QUARTILE(K75:V75,1)</f>
        <v>30.222780115331922</v>
      </c>
      <c r="AA75" s="36">
        <f>MEDIAN(K75:V75)</f>
        <v>31.240762402710441</v>
      </c>
      <c r="AB75" s="35">
        <f>QUARTILE(K75:V75,3)</f>
        <v>31.60320135072789</v>
      </c>
      <c r="AC75" s="35">
        <f>MAX(K75:V75)</f>
        <v>32.350359484408088</v>
      </c>
      <c r="AD75" s="35">
        <f>SKEW(K75:V75)</f>
        <v>-0.68038797985480981</v>
      </c>
      <c r="AE75" s="35">
        <f>KURT(K75:V75)</f>
        <v>-0.50353794001436425</v>
      </c>
    </row>
    <row r="76" spans="2:31" x14ac:dyDescent="0.2">
      <c r="B76" s="34">
        <f>[34]FormattedData!A89</f>
        <v>403</v>
      </c>
      <c r="C76" s="34" t="str">
        <f>VLOOKUP($B76,[34]TrtCodes!$B$11:I132,2)</f>
        <v>FDL</v>
      </c>
      <c r="D76" s="34">
        <f>VLOOKUP($B76,[34]TrtCodes!$B$11:J132,3)</f>
        <v>6</v>
      </c>
      <c r="E76" s="34">
        <f>VLOOKUP($B76,[34]TrtCodes!$B$11:K132,4)</f>
        <v>1</v>
      </c>
      <c r="F76" s="34">
        <f>VLOOKUP($B76,[34]TrtCodes!$B$11:L132,5)</f>
        <v>3</v>
      </c>
      <c r="G76" s="34">
        <f>VLOOKUP($B76,[34]TrtCodes!$B$11:M132,6)</f>
        <v>1</v>
      </c>
      <c r="H76" s="34">
        <f>VLOOKUP($B76,[34]TrtCodes!$B$11:N132,7)</f>
        <v>3</v>
      </c>
      <c r="I76" s="34">
        <f>[34]FormattedData!B89</f>
        <v>2</v>
      </c>
      <c r="J76" s="37">
        <f>[34]FormattedData!C89</f>
        <v>13.661</v>
      </c>
      <c r="K76" s="39">
        <f>$J$3+[34]FormattedData!D89*$J$4+$M$4*$J$5+[34]FormattedData!D89^2*$J$6+$M$5*$J$7</f>
        <v>30.901956285552085</v>
      </c>
      <c r="L76" s="39">
        <f>$J$3+[34]FormattedData!E89*$J$4+$M$4*$J$5+[34]FormattedData!E89^2*$J$6+$M$5*$J$7</f>
        <v>30.222780115331922</v>
      </c>
      <c r="M76" s="39">
        <f>$J$3+[34]FormattedData!F89*$J$4+$M$4*$J$5+[34]FormattedData!F89^2*$J$6+$M$5*$J$7</f>
        <v>30.514109228082436</v>
      </c>
      <c r="N76" s="39">
        <f>$J$3+[34]FormattedData!G89*$J$4+$M$4*$J$5+[34]FormattedData!G89^2*$J$6+$M$5*$J$7</f>
        <v>29.931070585740031</v>
      </c>
      <c r="O76" s="39">
        <f>$J$3+[34]FormattedData!H89*$J$4+$M$4*$J$5+[34]FormattedData!H89^2*$J$6+$M$5*$J$7</f>
        <v>33.693621956806986</v>
      </c>
      <c r="P76" s="39">
        <f>$J$3+[34]FormattedData!I89*$J$4+$M$4*$J$5+[34]FormattedData!I89^2*$J$6+$M$5*$J$7</f>
        <v>31.192397759006042</v>
      </c>
      <c r="Q76" s="39">
        <f>$J$3+[34]FormattedData!J89*$J$4+$M$4*$J$5+[34]FormattedData!J89^2*$J$6+$M$5*$J$7</f>
        <v>31.095626203059325</v>
      </c>
      <c r="R76" s="39">
        <f>$J$3+[34]FormattedData!K89*$J$4+$M$4*$J$5+[34]FormattedData!K89^2*$J$6+$M$5*$J$7</f>
        <v>31.192397759006042</v>
      </c>
      <c r="S76" s="39">
        <f>$J$3+[34]FormattedData!L89*$J$4+$M$4*$J$5+[34]FormattedData!L89^2*$J$6+$M$5*$J$7</f>
        <v>30.125585874005893</v>
      </c>
      <c r="T76" s="39">
        <f>$J$3+[34]FormattedData!M89*$J$4+$M$4*$J$5+[34]FormattedData!M89^2*$J$6+$M$5*$J$7</f>
        <v>30.417041792370199</v>
      </c>
      <c r="U76" s="39">
        <f>$J$3+[34]FormattedData!N89*$J$4+$M$4*$J$5+[34]FormattedData!N89^2*$J$6+$M$5*$J$7</f>
        <v>31.579061297413624</v>
      </c>
      <c r="V76" s="39">
        <f>$J$3+[34]FormattedData!O89*$J$4+$M$4*$J$5+[34]FormattedData!O89^2*$J$6+$M$5*$J$7</f>
        <v>32.061439678319644</v>
      </c>
      <c r="W76" s="38">
        <f>AVERAGE(K76:V76)</f>
        <v>31.077257377891183</v>
      </c>
      <c r="X76" s="37">
        <f>STDEV(K76:V76)/SQRT(COUNT(K76:V76))</f>
        <v>0.29931668074850004</v>
      </c>
      <c r="Y76" s="36">
        <f>MIN(K76:V76)</f>
        <v>29.931070585740031</v>
      </c>
      <c r="Z76" s="35">
        <f>QUARTILE(K76:V76,1)</f>
        <v>30.368476373110632</v>
      </c>
      <c r="AA76" s="36">
        <f>MEDIAN(K76:V76)</f>
        <v>30.998791244305707</v>
      </c>
      <c r="AB76" s="35">
        <f>QUARTILE(K76:V76,3)</f>
        <v>31.289063643607939</v>
      </c>
      <c r="AC76" s="35">
        <f>MAX(K76:V76)</f>
        <v>33.693621956806986</v>
      </c>
      <c r="AD76" s="35">
        <f>SKEW(K76:V76)</f>
        <v>1.5197659855104808</v>
      </c>
      <c r="AE76" s="35">
        <f>KURT(K76:V76)</f>
        <v>2.9512822481294005</v>
      </c>
    </row>
    <row r="77" spans="2:31" x14ac:dyDescent="0.2">
      <c r="B77" s="34">
        <f>[34]FormattedData!A87</f>
        <v>404</v>
      </c>
      <c r="C77" s="34" t="str">
        <f>VLOOKUP($B77,[34]TrtCodes!$B$11:I130,2)</f>
        <v>FTH</v>
      </c>
      <c r="D77" s="34">
        <f>VLOOKUP($B77,[34]TrtCodes!$B$11:J130,3)</f>
        <v>3</v>
      </c>
      <c r="E77" s="34">
        <f>VLOOKUP($B77,[34]TrtCodes!$B$11:K130,4)</f>
        <v>1</v>
      </c>
      <c r="F77" s="34">
        <f>VLOOKUP($B77,[34]TrtCodes!$B$11:L130,5)</f>
        <v>2</v>
      </c>
      <c r="G77" s="34">
        <f>VLOOKUP($B77,[34]TrtCodes!$B$11:M130,6)</f>
        <v>2</v>
      </c>
      <c r="H77" s="34">
        <f>VLOOKUP($B77,[34]TrtCodes!$B$11:N130,7)</f>
        <v>3</v>
      </c>
      <c r="I77" s="34">
        <f>[34]FormattedData!B87</f>
        <v>2</v>
      </c>
      <c r="J77" s="37">
        <f>[34]FormattedData!C87</f>
        <v>13.644</v>
      </c>
      <c r="K77" s="39">
        <f>$J$3+[34]FormattedData!D87*$J$4+$M$4*$J$5+[34]FormattedData!D87^2*$J$6+$M$5*$J$7</f>
        <v>33.980386067460934</v>
      </c>
      <c r="L77" s="39">
        <f>$J$3+[34]FormattedData!E87*$J$4+$M$4*$J$5+[34]FormattedData!E87^2*$J$6+$M$5*$J$7</f>
        <v>31.675621510670688</v>
      </c>
      <c r="M77" s="39">
        <f>$J$3+[34]FormattedData!F87*$J$4+$M$4*$J$5+[34]FormattedData!F87^2*$J$6+$M$5*$J$7</f>
        <v>29.736386223322445</v>
      </c>
      <c r="N77" s="39">
        <f>$J$3+[34]FormattedData!G87*$J$4+$M$4*$J$5+[34]FormattedData!G87^2*$J$6+$M$5*$J$7</f>
        <v>32.638898873655137</v>
      </c>
      <c r="O77" s="39">
        <f>$J$3+[34]FormattedData!H87*$J$4+$M$4*$J$5+[34]FormattedData!H87^2*$J$6+$M$5*$J$7</f>
        <v>30.708117293893125</v>
      </c>
      <c r="P77" s="39">
        <f>$J$3+[34]FormattedData!I87*$J$4+$M$4*$J$5+[34]FormattedData!I87^2*$J$6+$M$5*$J$7</f>
        <v>29.638980639306759</v>
      </c>
      <c r="Q77" s="39">
        <f>$J$3+[34]FormattedData!J87*$J$4+$M$4*$J$5+[34]FormattedData!J87^2*$J$6+$M$5*$J$7</f>
        <v>29.736386223322445</v>
      </c>
      <c r="R77" s="39">
        <f>$J$3+[34]FormattedData!K87*$J$4+$M$4*$J$5+[34]FormattedData!K87^2*$J$6+$M$5*$J$7</f>
        <v>30.222780115331922</v>
      </c>
      <c r="S77" s="39">
        <f>$J$3+[34]FormattedData!L87*$J$4+$M$4*$J$5+[34]FormattedData!L87^2*$J$6+$M$5*$J$7</f>
        <v>34.838395898374515</v>
      </c>
      <c r="T77" s="39">
        <f>$J$3+[34]FormattedData!M87*$J$4+$M$4*$J$5+[34]FormattedData!M87^2*$J$6+$M$5*$J$7</f>
        <v>28.564729491630722</v>
      </c>
      <c r="U77" s="39">
        <f>$J$3+[34]FormattedData!N87*$J$4+$M$4*$J$5+[34]FormattedData!N87^2*$J$6+$M$5*$J$7</f>
        <v>30.222780115331922</v>
      </c>
      <c r="V77" s="39">
        <f>$J$3+[34]FormattedData!O87*$J$4+$M$4*$J$5+[34]FormattedData!O87^2*$J$6+$M$5*$J$7</f>
        <v>29.248935617864689</v>
      </c>
      <c r="W77" s="38">
        <f>AVERAGE(K77:V77)</f>
        <v>30.934366505847109</v>
      </c>
      <c r="X77" s="37">
        <f>STDEV(K77:V77)/SQRT(COUNT(K77:V77))</f>
        <v>0.56436250067338445</v>
      </c>
      <c r="Y77" s="36">
        <f>MIN(K77:V77)</f>
        <v>28.564729491630722</v>
      </c>
      <c r="Z77" s="35">
        <f>QUARTILE(K77:V77,1)</f>
        <v>29.712034827318522</v>
      </c>
      <c r="AA77" s="36">
        <f>MEDIAN(K77:V77)</f>
        <v>30.222780115331922</v>
      </c>
      <c r="AB77" s="35">
        <f>QUARTILE(K77:V77,3)</f>
        <v>31.916440851416802</v>
      </c>
      <c r="AC77" s="35">
        <f>MAX(K77:V77)</f>
        <v>34.838395898374515</v>
      </c>
      <c r="AD77" s="35">
        <f>SKEW(K77:V77)</f>
        <v>1.0027946534346899</v>
      </c>
      <c r="AE77" s="35">
        <f>KURT(K77:V77)</f>
        <v>2.8975134093922605E-3</v>
      </c>
    </row>
    <row r="78" spans="2:31" x14ac:dyDescent="0.2">
      <c r="B78" s="34">
        <f>[34]FormattedData!A85</f>
        <v>405</v>
      </c>
      <c r="C78" s="34" t="str">
        <f>VLOOKUP($B78,[34]TrtCodes!$B$11:I128,2)</f>
        <v>FDL</v>
      </c>
      <c r="D78" s="34">
        <f>VLOOKUP($B78,[34]TrtCodes!$B$11:J128,3)</f>
        <v>6</v>
      </c>
      <c r="E78" s="34">
        <f>VLOOKUP($B78,[34]TrtCodes!$B$11:K128,4)</f>
        <v>1</v>
      </c>
      <c r="F78" s="34">
        <f>VLOOKUP($B78,[34]TrtCodes!$B$11:L128,5)</f>
        <v>3</v>
      </c>
      <c r="G78" s="34">
        <f>VLOOKUP($B78,[34]TrtCodes!$B$11:M128,6)</f>
        <v>1</v>
      </c>
      <c r="H78" s="34">
        <f>VLOOKUP($B78,[34]TrtCodes!$B$11:N128,7)</f>
        <v>4</v>
      </c>
      <c r="I78" s="34">
        <f>[34]FormattedData!B85</f>
        <v>2</v>
      </c>
      <c r="J78" s="37">
        <f>[34]FormattedData!C85</f>
        <v>13.629</v>
      </c>
      <c r="K78" s="39">
        <f>$J$3+[34]FormattedData!D85*$J$4+$M$4*$J$5+[34]FormattedData!D85^2*$J$6+$M$5*$J$7</f>
        <v>29.444042665661588</v>
      </c>
      <c r="L78" s="39">
        <f>$J$3+[34]FormattedData!E85*$J$4+$M$4*$J$5+[34]FormattedData!E85^2*$J$6+$M$5*$J$7</f>
        <v>30.998812378574666</v>
      </c>
      <c r="M78" s="39">
        <f>$J$3+[34]FormattedData!F85*$J$4+$M$4*$J$5+[34]FormattedData!F85^2*$J$6+$M$5*$J$7</f>
        <v>29.833749538800209</v>
      </c>
      <c r="N78" s="39">
        <f>$J$3+[34]FormattedData!G85*$J$4+$M$4*$J$5+[34]FormattedData!G85^2*$J$6+$M$5*$J$7</f>
        <v>30.31993208812003</v>
      </c>
      <c r="O78" s="39">
        <f>$J$3+[34]FormattedData!H85*$J$4+$M$4*$J$5+[34]FormattedData!H85^2*$J$6+$M$5*$J$7</f>
        <v>30.31993208812003</v>
      </c>
      <c r="P78" s="39">
        <f>$J$3+[34]FormattedData!I85*$J$4+$M$4*$J$5+[34]FormattedData!I85^2*$J$6+$M$5*$J$7</f>
        <v>29.346510276032102</v>
      </c>
      <c r="Q78" s="39">
        <f>$J$3+[34]FormattedData!J85*$J$4+$M$4*$J$5+[34]FormattedData!J85^2*$J$6+$M$5*$J$7</f>
        <v>28.760428298958654</v>
      </c>
      <c r="R78" s="39">
        <f>$J$3+[34]FormattedData!K85*$J$4+$M$4*$J$5+[34]FormattedData!K85^2*$J$6+$M$5*$J$7</f>
        <v>30.611134395256748</v>
      </c>
      <c r="S78" s="39">
        <f>$J$3+[34]FormattedData!L85*$J$4+$M$4*$J$5+[34]FormattedData!L85^2*$J$6+$M$5*$J$7</f>
        <v>30.222780115331922</v>
      </c>
      <c r="T78" s="39">
        <f>$J$3+[34]FormattedData!M85*$J$4+$M$4*$J$5+[34]FormattedData!M85^2*$J$6+$M$5*$J$7</f>
        <v>30.998812378574666</v>
      </c>
      <c r="U78" s="39">
        <f>$J$3+[34]FormattedData!N85*$J$4+$M$4*$J$5+[34]FormattedData!N85^2*$J$6+$M$5*$J$7</f>
        <v>30.417041792370199</v>
      </c>
      <c r="V78" s="39">
        <f>$J$3+[34]FormattedData!O85*$J$4+$M$4*$J$5+[34]FormattedData!O85^2*$J$6+$M$5*$J$7</f>
        <v>31.385814065285697</v>
      </c>
      <c r="W78" s="38">
        <f>AVERAGE(K78:V78)</f>
        <v>30.221582506757205</v>
      </c>
      <c r="X78" s="37">
        <f>STDEV(K78:V78)/SQRT(COUNT(K78:V78))</f>
        <v>0.22068445582049626</v>
      </c>
      <c r="Y78" s="36">
        <f>MIN(K78:V78)</f>
        <v>28.760428298958654</v>
      </c>
      <c r="Z78" s="35">
        <f>QUARTILE(K78:V78,1)</f>
        <v>29.736322820515554</v>
      </c>
      <c r="AA78" s="36">
        <f>MEDIAN(K78:V78)</f>
        <v>30.31993208812003</v>
      </c>
      <c r="AB78" s="35">
        <f>QUARTILE(K78:V78,3)</f>
        <v>30.708053891086227</v>
      </c>
      <c r="AC78" s="35">
        <f>MAX(K78:V78)</f>
        <v>31.385814065285697</v>
      </c>
      <c r="AD78" s="35">
        <f>SKEW(K78:V78)</f>
        <v>-0.42302592245790788</v>
      </c>
      <c r="AE78" s="35">
        <f>KURT(K78:V78)</f>
        <v>-0.28509430925116774</v>
      </c>
    </row>
    <row r="79" spans="2:31" x14ac:dyDescent="0.2">
      <c r="B79" s="34">
        <f>[34]FormattedData!A83</f>
        <v>406</v>
      </c>
      <c r="C79" s="34" t="str">
        <f>VLOOKUP($B79,[34]TrtCodes!$B$11:I126,2)</f>
        <v>FTH</v>
      </c>
      <c r="D79" s="34">
        <f>VLOOKUP($B79,[34]TrtCodes!$B$11:J126,3)</f>
        <v>3</v>
      </c>
      <c r="E79" s="34">
        <f>VLOOKUP($B79,[34]TrtCodes!$B$11:K126,4)</f>
        <v>1</v>
      </c>
      <c r="F79" s="34">
        <f>VLOOKUP($B79,[34]TrtCodes!$B$11:L126,5)</f>
        <v>2</v>
      </c>
      <c r="G79" s="34">
        <f>VLOOKUP($B79,[34]TrtCodes!$B$11:M126,6)</f>
        <v>2</v>
      </c>
      <c r="H79" s="34">
        <f>VLOOKUP($B79,[34]TrtCodes!$B$11:N126,7)</f>
        <v>4</v>
      </c>
      <c r="I79" s="34">
        <f>[34]FormattedData!B83</f>
        <v>2</v>
      </c>
      <c r="J79" s="37">
        <f>[34]FormattedData!C83</f>
        <v>13.613</v>
      </c>
      <c r="K79" s="39">
        <f>$J$3+[34]FormattedData!D83*$J$4+$M$4*$J$5+[34]FormattedData!D83^2*$J$6+$M$5*$J$7</f>
        <v>29.248935617864689</v>
      </c>
      <c r="L79" s="39">
        <f>$J$3+[34]FormattedData!E83*$J$4+$M$4*$J$5+[34]FormattedData!E83^2*$J$6+$M$5*$J$7</f>
        <v>28.172824654519683</v>
      </c>
      <c r="M79" s="39">
        <f>$J$3+[34]FormattedData!F83*$J$4+$M$4*$J$5+[34]FormattedData!F83^2*$J$6+$M$5*$J$7</f>
        <v>29.736386223322445</v>
      </c>
      <c r="N79" s="39">
        <f>$J$3+[34]FormattedData!G83*$J$4+$M$4*$J$5+[34]FormattedData!G83^2*$J$6+$M$5*$J$7</f>
        <v>28.368861610151065</v>
      </c>
      <c r="O79" s="39">
        <f>$J$3+[34]FormattedData!H83*$J$4+$M$4*$J$5+[34]FormattedData!H83^2*$J$6+$M$5*$J$7</f>
        <v>29.638980639306759</v>
      </c>
      <c r="P79" s="39">
        <f>$J$3+[34]FormattedData!I83*$J$4+$M$4*$J$5+[34]FormattedData!I83^2*$J$6+$M$5*$J$7</f>
        <v>29.346510276032102</v>
      </c>
      <c r="Q79" s="39">
        <f>$J$3+[34]FormattedData!J83*$J$4+$M$4*$J$5+[34]FormattedData!J83^2*$J$6+$M$5*$J$7</f>
        <v>28.662600029563652</v>
      </c>
      <c r="R79" s="39">
        <f>$J$3+[34]FormattedData!K83*$J$4+$M$4*$J$5+[34]FormattedData!K83^2*$J$6+$M$5*$J$7</f>
        <v>27.87845220703813</v>
      </c>
      <c r="S79" s="39">
        <f>$J$3+[34]FormattedData!L83*$J$4+$M$4*$J$5+[34]FormattedData!L83^2*$J$6+$M$5*$J$7</f>
        <v>29.638980639306759</v>
      </c>
      <c r="T79" s="39">
        <f>$J$3+[34]FormattedData!M83*$J$4+$M$4*$J$5+[34]FormattedData!M83^2*$J$6+$M$5*$J$7</f>
        <v>28.662600029563652</v>
      </c>
      <c r="U79" s="39">
        <f>$J$3+[34]FormattedData!N83*$J$4+$M$4*$J$5+[34]FormattedData!N83^2*$J$6+$M$5*$J$7</f>
        <v>30.901956285552085</v>
      </c>
      <c r="V79" s="39">
        <f>$J$3+[34]FormattedData!O83*$J$4+$M$4*$J$5+[34]FormattedData!O83^2*$J$6+$M$5*$J$7</f>
        <v>30.125585874005893</v>
      </c>
      <c r="W79" s="38">
        <f>AVERAGE(K79:V79)</f>
        <v>29.198556173852239</v>
      </c>
      <c r="X79" s="37">
        <f>STDEV(K79:V79)/SQRT(COUNT(K79:V79))</f>
        <v>0.25406220562365556</v>
      </c>
      <c r="Y79" s="36">
        <f>MIN(K79:V79)</f>
        <v>27.87845220703813</v>
      </c>
      <c r="Z79" s="35">
        <f>QUARTILE(K79:V79,1)</f>
        <v>28.589165424710504</v>
      </c>
      <c r="AA79" s="36">
        <f>MEDIAN(K79:V79)</f>
        <v>29.297722946948397</v>
      </c>
      <c r="AB79" s="35">
        <f>QUARTILE(K79:V79,3)</f>
        <v>29.663332035310681</v>
      </c>
      <c r="AC79" s="35">
        <f>MAX(K79:V79)</f>
        <v>30.901956285552085</v>
      </c>
      <c r="AD79" s="35">
        <f>SKEW(K79:V79)</f>
        <v>0.28968990059953681</v>
      </c>
      <c r="AE79" s="35">
        <f>KURT(K79:V79)</f>
        <v>-0.33009660718656297</v>
      </c>
    </row>
    <row r="80" spans="2:31" x14ac:dyDescent="0.2">
      <c r="B80" s="34">
        <f>[34]FormattedData!A81</f>
        <v>407</v>
      </c>
      <c r="C80" s="34" t="str">
        <f>VLOOKUP($B80,[34]TrtCodes!$B$11:I124,2)</f>
        <v>NSH</v>
      </c>
      <c r="D80" s="34">
        <f>VLOOKUP($B80,[34]TrtCodes!$B$11:J124,3)</f>
        <v>7</v>
      </c>
      <c r="E80" s="34">
        <f>VLOOKUP($B80,[34]TrtCodes!$B$11:K124,4)</f>
        <v>2</v>
      </c>
      <c r="F80" s="34">
        <f>VLOOKUP($B80,[34]TrtCodes!$B$11:L124,5)</f>
        <v>1</v>
      </c>
      <c r="G80" s="34">
        <f>VLOOKUP($B80,[34]TrtCodes!$B$11:M124,6)</f>
        <v>2</v>
      </c>
      <c r="H80" s="34">
        <f>VLOOKUP($B80,[34]TrtCodes!$B$11:N124,7)</f>
        <v>4</v>
      </c>
      <c r="I80" s="34">
        <f>[34]FormattedData!B81</f>
        <v>2</v>
      </c>
      <c r="J80" s="37">
        <f>[34]FormattedData!C81</f>
        <v>13.597</v>
      </c>
      <c r="K80" s="39">
        <f>$J$3+[34]FormattedData!D81*$J$4+$M$4*$J$5+[34]FormattedData!D81^2*$J$6+$M$5*$J$7</f>
        <v>33.023026299786849</v>
      </c>
      <c r="L80" s="39">
        <f>$J$3+[34]FormattedData!E81*$J$4+$M$4*$J$5+[34]FormattedData!E81^2*$J$6+$M$5*$J$7</f>
        <v>33.406477429311657</v>
      </c>
      <c r="M80" s="39">
        <f>$J$3+[34]FormattedData!F81*$J$4+$M$4*$J$5+[34]FormattedData!F81^2*$J$6+$M$5*$J$7</f>
        <v>33.214836401625114</v>
      </c>
      <c r="N80" s="39">
        <f>$J$3+[34]FormattedData!G81*$J$4+$M$4*$J$5+[34]FormattedData!G81^2*$J$6+$M$5*$J$7</f>
        <v>33.023026299786849</v>
      </c>
      <c r="O80" s="39">
        <f>$J$3+[34]FormattedData!H81*$J$4+$M$4*$J$5+[34]FormattedData!H81^2*$J$6+$M$5*$J$7</f>
        <v>34.362146455468512</v>
      </c>
      <c r="P80" s="39">
        <f>$J$3+[34]FormattedData!I81*$J$4+$M$4*$J$5+[34]FormattedData!I81^2*$J$6+$M$5*$J$7</f>
        <v>29.833749538800209</v>
      </c>
      <c r="Q80" s="39">
        <f>$J$3+[34]FormattedData!J81*$J$4+$M$4*$J$5+[34]FormattedData!J81^2*$J$6+$M$5*$J$7</f>
        <v>35.313588627832239</v>
      </c>
      <c r="R80" s="39">
        <f>$J$3+[34]FormattedData!K81*$J$4+$M$4*$J$5+[34]FormattedData!K81^2*$J$6+$M$5*$J$7</f>
        <v>33.214836401625114</v>
      </c>
      <c r="S80" s="39">
        <f>$J$3+[34]FormattedData!L81*$J$4+$M$4*$J$5+[34]FormattedData!L81^2*$J$6+$M$5*$J$7</f>
        <v>31.095626203059325</v>
      </c>
      <c r="T80" s="39">
        <f>$J$3+[34]FormattedData!M81*$J$4+$M$4*$J$5+[34]FormattedData!M81^2*$J$6+$M$5*$J$7</f>
        <v>33.502234540348027</v>
      </c>
      <c r="U80" s="39">
        <f>$J$3+[34]FormattedData!N81*$J$4+$M$4*$J$5+[34]FormattedData!N81^2*$J$6+$M$5*$J$7</f>
        <v>34.266769761273508</v>
      </c>
      <c r="V80" s="39">
        <f>$J$3+[34]FormattedData!O81*$J$4+$M$4*$J$5+[34]FormattedData!O81^2*$J$6+$M$5*$J$7</f>
        <v>31.772139455389826</v>
      </c>
      <c r="W80" s="38">
        <f>AVERAGE(K80:V80)</f>
        <v>33.002371451192268</v>
      </c>
      <c r="X80" s="37">
        <f>STDEV(K80:V80)/SQRT(COUNT(K80:V80))</f>
        <v>0.43067098564921785</v>
      </c>
      <c r="Y80" s="36">
        <f>MIN(K80:V80)</f>
        <v>29.833749538800209</v>
      </c>
      <c r="Z80" s="35">
        <f>QUARTILE(K80:V80,1)</f>
        <v>32.710304588687592</v>
      </c>
      <c r="AA80" s="36">
        <f>MEDIAN(K80:V80)</f>
        <v>33.214836401625114</v>
      </c>
      <c r="AB80" s="35">
        <f>QUARTILE(K80:V80,3)</f>
        <v>33.693368345579401</v>
      </c>
      <c r="AC80" s="35">
        <f>MAX(K80:V80)</f>
        <v>35.313588627832239</v>
      </c>
      <c r="AD80" s="35">
        <f>SKEW(K80:V80)</f>
        <v>-0.77258423558590239</v>
      </c>
      <c r="AE80" s="35">
        <f>KURT(K80:V80)</f>
        <v>0.76707510360097952</v>
      </c>
    </row>
    <row r="81" spans="2:31" x14ac:dyDescent="0.2">
      <c r="B81" s="34">
        <f>[34]FormattedData!A79</f>
        <v>408</v>
      </c>
      <c r="C81" s="34" t="str">
        <f>VLOOKUP($B81,[34]TrtCodes!$B$11:I122,2)</f>
        <v>NTL</v>
      </c>
      <c r="D81" s="34">
        <f>VLOOKUP($B81,[34]TrtCodes!$B$11:J122,3)</f>
        <v>10</v>
      </c>
      <c r="E81" s="34">
        <f>VLOOKUP($B81,[34]TrtCodes!$B$11:K122,4)</f>
        <v>2</v>
      </c>
      <c r="F81" s="34">
        <f>VLOOKUP($B81,[34]TrtCodes!$B$11:L122,5)</f>
        <v>2</v>
      </c>
      <c r="G81" s="34">
        <f>VLOOKUP($B81,[34]TrtCodes!$B$11:M122,6)</f>
        <v>1</v>
      </c>
      <c r="H81" s="34">
        <f>VLOOKUP($B81,[34]TrtCodes!$B$11:N122,7)</f>
        <v>4</v>
      </c>
      <c r="I81" s="34">
        <f>[34]FormattedData!B79</f>
        <v>2</v>
      </c>
      <c r="J81" s="37">
        <f>[34]FormattedData!C79</f>
        <v>13.581</v>
      </c>
      <c r="K81" s="39">
        <f>$J$3+[34]FormattedData!D79*$J$4+$M$4*$J$5+[34]FormattedData!D79^2*$J$6+$M$5*$J$7</f>
        <v>28.564729491630722</v>
      </c>
      <c r="L81" s="39">
        <f>$J$3+[34]FormattedData!E79*$J$4+$M$4*$J$5+[34]FormattedData!E79^2*$J$6+$M$5*$J$7</f>
        <v>27.09159919808501</v>
      </c>
      <c r="M81" s="39">
        <f>$J$3+[34]FormattedData!F79*$J$4+$M$4*$J$5+[34]FormattedData!F79^2*$J$6+$M$5*$J$7</f>
        <v>29.638980639306759</v>
      </c>
      <c r="N81" s="39">
        <f>$J$3+[34]FormattedData!G79*$J$4+$M$4*$J$5+[34]FormattedData!G79^2*$J$6+$M$5*$J$7</f>
        <v>27.09159919808501</v>
      </c>
      <c r="O81" s="39">
        <f>$J$3+[34]FormattedData!H79*$J$4+$M$4*$J$5+[34]FormattedData!H79^2*$J$6+$M$5*$J$7</f>
        <v>28.955958032134863</v>
      </c>
      <c r="P81" s="39">
        <f>$J$3+[34]FormattedData!I79*$J$4+$M$4*$J$5+[34]FormattedData!I79^2*$J$6+$M$5*$J$7</f>
        <v>27.976618624736581</v>
      </c>
      <c r="Q81" s="39">
        <f>$J$3+[34]FormattedData!J79*$J$4+$M$4*$J$5+[34]FormattedData!J79^2*$J$6+$M$5*$J$7</f>
        <v>30.028349364141924</v>
      </c>
      <c r="R81" s="39">
        <f>$J$3+[34]FormattedData!K79*$J$4+$M$4*$J$5+[34]FormattedData!K79^2*$J$6+$M$5*$J$7</f>
        <v>30.125585874005893</v>
      </c>
      <c r="S81" s="39">
        <f>$J$3+[34]FormattedData!L79*$J$4+$M$4*$J$5+[34]FormattedData!L79^2*$J$6+$M$5*$J$7</f>
        <v>29.736386223322445</v>
      </c>
      <c r="T81" s="39">
        <f>$J$3+[34]FormattedData!M79*$J$4+$M$4*$J$5+[34]FormattedData!M79^2*$J$6+$M$5*$J$7</f>
        <v>29.833749538800209</v>
      </c>
      <c r="U81" s="39">
        <f>$J$3+[34]FormattedData!N79*$J$4+$M$4*$J$5+[34]FormattedData!N79^2*$J$6+$M$5*$J$7</f>
        <v>29.736386223322445</v>
      </c>
      <c r="V81" s="39">
        <f>$J$3+[34]FormattedData!O79*$J$4+$M$4*$J$5+[34]FormattedData!O79^2*$J$6+$M$5*$J$7</f>
        <v>28.662600029563652</v>
      </c>
      <c r="W81" s="38">
        <f>AVERAGE(K81:V81)</f>
        <v>28.95354520309462</v>
      </c>
      <c r="X81" s="37">
        <f>STDEV(K81:V81)/SQRT(COUNT(K81:V81))</f>
        <v>0.31530467250498279</v>
      </c>
      <c r="Y81" s="36">
        <f>MIN(K81:V81)</f>
        <v>27.09159919808501</v>
      </c>
      <c r="Z81" s="35">
        <f>QUARTILE(K81:V81,1)</f>
        <v>28.417701774907187</v>
      </c>
      <c r="AA81" s="36">
        <f>MEDIAN(K81:V81)</f>
        <v>29.297469335720812</v>
      </c>
      <c r="AB81" s="35">
        <f>QUARTILE(K81:V81,3)</f>
        <v>29.760727052191886</v>
      </c>
      <c r="AC81" s="35">
        <f>MAX(K81:V81)</f>
        <v>30.125585874005893</v>
      </c>
      <c r="AD81" s="35">
        <f>SKEW(K81:V81)</f>
        <v>-0.76274990211146088</v>
      </c>
      <c r="AE81" s="35">
        <f>KURT(K81:V81)</f>
        <v>-0.73708064176474108</v>
      </c>
    </row>
    <row r="82" spans="2:31" x14ac:dyDescent="0.2">
      <c r="B82" s="34">
        <f>[34]FormattedData!A59</f>
        <v>902</v>
      </c>
      <c r="C82" s="34" t="str">
        <f>VLOOKUP($B82,[34]TrtCodes!$B$11:I102,2)</f>
        <v>Late</v>
      </c>
      <c r="D82" s="34">
        <f>VLOOKUP($B82,[34]TrtCodes!$B$11:J102,3)</f>
        <v>22</v>
      </c>
      <c r="E82" s="34">
        <f>VLOOKUP($B82,[34]TrtCodes!$B$11:K102,4)</f>
        <v>4</v>
      </c>
      <c r="F82" s="34">
        <f>VLOOKUP($B82,[34]TrtCodes!$B$11:L102,5)</f>
        <v>2</v>
      </c>
      <c r="G82" s="34">
        <f>VLOOKUP($B82,[34]TrtCodes!$B$11:M102,6)</f>
        <v>2</v>
      </c>
      <c r="H82" s="34">
        <f>VLOOKUP($B82,[34]TrtCodes!$B$11:N102,7)</f>
        <v>1</v>
      </c>
      <c r="I82" s="34">
        <f>[34]FormattedData!B59</f>
        <v>2</v>
      </c>
      <c r="J82" s="37">
        <f>[34]FormattedData!C59</f>
        <v>13.426</v>
      </c>
      <c r="K82" s="39">
        <f>$J$3+[34]FormattedData!D59*$J$4+$M$4*$J$5+[34]FormattedData!D59^2*$J$6+$M$5*$J$7</f>
        <v>29.248935617864689</v>
      </c>
      <c r="L82" s="39">
        <f>$J$3+[34]FormattedData!E59*$J$4+$M$4*$J$5+[34]FormattedData!E59^2*$J$6+$M$5*$J$7</f>
        <v>28.662600029563652</v>
      </c>
      <c r="M82" s="39">
        <f>$J$3+[34]FormattedData!F59*$J$4+$M$4*$J$5+[34]FormattedData!F59^2*$J$6+$M$5*$J$7</f>
        <v>31.095626203059325</v>
      </c>
      <c r="N82" s="39">
        <f>$J$3+[34]FormattedData!G59*$J$4+$M$4*$J$5+[34]FormattedData!G59^2*$J$6+$M$5*$J$7</f>
        <v>29.444042665661588</v>
      </c>
      <c r="O82" s="39">
        <f>$J$3+[34]FormattedData!H59*$J$4+$M$4*$J$5+[34]FormattedData!H59^2*$J$6+$M$5*$J$7</f>
        <v>30.125585874005893</v>
      </c>
      <c r="P82" s="39">
        <f>$J$3+[34]FormattedData!I59*$J$4+$M$4*$J$5+[34]FormattedData!I59^2*$J$6+$M$5*$J$7</f>
        <v>29.931070585740031</v>
      </c>
      <c r="Q82" s="39">
        <f>$J$3+[34]FormattedData!J59*$J$4+$M$4*$J$5+[34]FormattedData!J59^2*$J$6+$M$5*$J$7</f>
        <v>30.222780115331922</v>
      </c>
      <c r="R82" s="39">
        <f>$J$3+[34]FormattedData!K59*$J$4+$M$4*$J$5+[34]FormattedData!K59^2*$J$6+$M$5*$J$7</f>
        <v>28.760428298958654</v>
      </c>
      <c r="S82" s="39">
        <f>$J$3+[34]FormattedData!L59*$J$4+$M$4*$J$5+[34]FormattedData!L59^2*$J$6+$M$5*$J$7</f>
        <v>29.638980639306759</v>
      </c>
      <c r="T82" s="39">
        <f>$J$3+[34]FormattedData!M59*$J$4+$M$4*$J$5+[34]FormattedData!M59^2*$J$6+$M$5*$J$7</f>
        <v>29.053659495916069</v>
      </c>
      <c r="U82" s="39">
        <f>$J$3+[34]FormattedData!N59*$J$4+$M$4*$J$5+[34]FormattedData!N59^2*$J$6+$M$5*$J$7</f>
        <v>29.053659495916069</v>
      </c>
      <c r="V82" s="39">
        <f>$J$3+[34]FormattedData!O59*$J$4+$M$4*$J$5+[34]FormattedData!O59^2*$J$6+$M$5*$J$7</f>
        <v>29.248935617864689</v>
      </c>
      <c r="W82" s="38">
        <f>AVERAGE(K82:V82)</f>
        <v>29.540525386599111</v>
      </c>
      <c r="X82" s="37">
        <f>STDEV(K82:V82)/SQRT(COUNT(K82:V82))</f>
        <v>0.20265405885154564</v>
      </c>
      <c r="Y82" s="36">
        <f>MIN(K82:V82)</f>
        <v>28.662600029563652</v>
      </c>
      <c r="Z82" s="35">
        <f>QUARTILE(K82:V82,1)</f>
        <v>29.053659495916069</v>
      </c>
      <c r="AA82" s="36">
        <f>MEDIAN(K82:V82)</f>
        <v>29.346489141763136</v>
      </c>
      <c r="AB82" s="35">
        <f>QUARTILE(K82:V82,3)</f>
        <v>29.979699407806496</v>
      </c>
      <c r="AC82" s="35">
        <f>MAX(K82:V82)</f>
        <v>31.095626203059325</v>
      </c>
      <c r="AD82" s="35">
        <f>SKEW(K82:V82)</f>
        <v>0.91645370701192885</v>
      </c>
      <c r="AE82" s="35">
        <f>KURT(K82:V82)</f>
        <v>0.70081574589188467</v>
      </c>
    </row>
    <row r="83" spans="2:31" x14ac:dyDescent="0.2">
      <c r="B83" s="34">
        <f>[34]FormattedData!A55</f>
        <v>904</v>
      </c>
      <c r="C83" s="34" t="str">
        <f>VLOOKUP($B83,[34]TrtCodes!$B$11:I98,2)</f>
        <v>Early</v>
      </c>
      <c r="D83" s="34">
        <f>VLOOKUP($B83,[34]TrtCodes!$B$11:J98,3)</f>
        <v>21</v>
      </c>
      <c r="E83" s="34">
        <f>VLOOKUP($B83,[34]TrtCodes!$B$11:K98,4)</f>
        <v>3</v>
      </c>
      <c r="F83" s="34">
        <f>VLOOKUP($B83,[34]TrtCodes!$B$11:L98,5)</f>
        <v>2</v>
      </c>
      <c r="G83" s="34">
        <f>VLOOKUP($B83,[34]TrtCodes!$B$11:M98,6)</f>
        <v>2</v>
      </c>
      <c r="H83" s="34">
        <f>VLOOKUP($B83,[34]TrtCodes!$B$11:N98,7)</f>
        <v>1</v>
      </c>
      <c r="I83" s="34">
        <f>[34]FormattedData!B55</f>
        <v>2</v>
      </c>
      <c r="J83" s="37">
        <f>[34]FormattedData!C55</f>
        <v>13.401999999999999</v>
      </c>
      <c r="K83" s="39">
        <f>$J$3+[34]FormattedData!D55*$J$4+$M$4*$J$5+[34]FormattedData!D55^2*$J$6+$M$5*$J$7</f>
        <v>30.611134395256748</v>
      </c>
      <c r="L83" s="39">
        <f>$J$3+[34]FormattedData!E55*$J$4+$M$4*$J$5+[34]FormattedData!E55^2*$J$6+$M$5*$J$7</f>
        <v>31.675621510670688</v>
      </c>
      <c r="M83" s="39">
        <f>$J$3+[34]FormattedData!F55*$J$4+$M$4*$J$5+[34]FormattedData!F55^2*$J$6+$M$5*$J$7</f>
        <v>31.579061297413624</v>
      </c>
      <c r="N83" s="39">
        <f>$J$3+[34]FormattedData!G55*$J$4+$M$4*$J$5+[34]FormattedData!G55^2*$J$6+$M$5*$J$7</f>
        <v>28.466816685159859</v>
      </c>
      <c r="O83" s="39">
        <f>$J$3+[34]FormattedData!H55*$J$4+$M$4*$J$5+[34]FormattedData!H55^2*$J$6+$M$5*$J$7</f>
        <v>31.482458815618628</v>
      </c>
      <c r="P83" s="39">
        <f>$J$3+[34]FormattedData!I55*$J$4+$M$4*$J$5+[34]FormattedData!I55^2*$J$6+$M$5*$J$7</f>
        <v>29.346510276032102</v>
      </c>
      <c r="Q83" s="39">
        <f>$J$3+[34]FormattedData!J55*$J$4+$M$4*$J$5+[34]FormattedData!J55^2*$J$6+$M$5*$J$7</f>
        <v>32.542761345777386</v>
      </c>
      <c r="R83" s="39">
        <f>$J$3+[34]FormattedData!K55*$J$4+$M$4*$J$5+[34]FormattedData!K55^2*$J$6+$M$5*$J$7</f>
        <v>30.998812378574666</v>
      </c>
      <c r="S83" s="39">
        <f>$J$3+[34]FormattedData!L55*$J$4+$M$4*$J$5+[34]FormattedData!L55^2*$J$6+$M$5*$J$7</f>
        <v>30.31993208812003</v>
      </c>
      <c r="T83" s="39">
        <f>$J$3+[34]FormattedData!M55*$J$4+$M$4*$J$5+[34]FormattedData!M55^2*$J$6+$M$5*$J$7</f>
        <v>30.222780115331922</v>
      </c>
      <c r="U83" s="39">
        <f>$J$3+[34]FormattedData!N55*$J$4+$M$4*$J$5+[34]FormattedData!N55^2*$J$6+$M$5*$J$7</f>
        <v>32.446581549361703</v>
      </c>
      <c r="V83" s="39">
        <f>$J$3+[34]FormattedData!O55*$J$4+$M$4*$J$5+[34]FormattedData!O55^2*$J$6+$M$5*$J$7</f>
        <v>29.931070585740031</v>
      </c>
      <c r="W83" s="38">
        <f>AVERAGE(K83:V83)</f>
        <v>30.801961753588117</v>
      </c>
      <c r="X83" s="37">
        <f>STDEV(K83:V83)/SQRT(COUNT(K83:V83))</f>
        <v>0.35396093084461028</v>
      </c>
      <c r="Y83" s="36">
        <f>MIN(K83:V83)</f>
        <v>28.466816685159859</v>
      </c>
      <c r="Z83" s="35">
        <f>QUARTILE(K83:V83,1)</f>
        <v>30.149852732933951</v>
      </c>
      <c r="AA83" s="36">
        <f>MEDIAN(K83:V83)</f>
        <v>30.804973386915705</v>
      </c>
      <c r="AB83" s="35">
        <f>QUARTILE(K83:V83,3)</f>
        <v>31.60320135072789</v>
      </c>
      <c r="AC83" s="35">
        <f>MAX(K83:V83)</f>
        <v>32.542761345777386</v>
      </c>
      <c r="AD83" s="35">
        <f>SKEW(K83:V83)</f>
        <v>-0.33184708037161115</v>
      </c>
      <c r="AE83" s="35">
        <f>KURT(K83:V83)</f>
        <v>-0.36462769130822803</v>
      </c>
    </row>
    <row r="84" spans="2:31" x14ac:dyDescent="0.2">
      <c r="B84" s="34">
        <f>[34]FormattedData!A51</f>
        <v>906</v>
      </c>
      <c r="C84" s="34" t="str">
        <f>VLOOKUP($B84,[34]TrtCodes!$B$11:I94,2)</f>
        <v>Late</v>
      </c>
      <c r="D84" s="34">
        <f>VLOOKUP($B84,[34]TrtCodes!$B$11:J94,3)</f>
        <v>22</v>
      </c>
      <c r="E84" s="34">
        <f>VLOOKUP($B84,[34]TrtCodes!$B$11:K94,4)</f>
        <v>4</v>
      </c>
      <c r="F84" s="34">
        <f>VLOOKUP($B84,[34]TrtCodes!$B$11:L94,5)</f>
        <v>2</v>
      </c>
      <c r="G84" s="34">
        <f>VLOOKUP($B84,[34]TrtCodes!$B$11:M94,6)</f>
        <v>2</v>
      </c>
      <c r="H84" s="34">
        <f>VLOOKUP($B84,[34]TrtCodes!$B$11:N94,7)</f>
        <v>2</v>
      </c>
      <c r="I84" s="34">
        <f>[34]FormattedData!B51</f>
        <v>2</v>
      </c>
      <c r="J84" s="37">
        <f>[34]FormattedData!C51</f>
        <v>13.377000000000001</v>
      </c>
      <c r="K84" s="39">
        <f>$J$3+[34]FormattedData!D51*$J$4+$M$4*$J$5+[34]FormattedData!D51^2*$J$6+$M$5*$J$7</f>
        <v>31.868615131571033</v>
      </c>
      <c r="L84" s="39">
        <f>$J$3+[34]FormattedData!E51*$J$4+$M$4*$J$5+[34]FormattedData!E51^2*$J$6+$M$5*$J$7</f>
        <v>30.222780115331922</v>
      </c>
      <c r="M84" s="39">
        <f>$J$3+[34]FormattedData!F51*$J$4+$M$4*$J$5+[34]FormattedData!F51^2*$J$6+$M$5*$J$7</f>
        <v>31.965048539214305</v>
      </c>
      <c r="N84" s="39">
        <f>$J$3+[34]FormattedData!G51*$J$4+$M$4*$J$5+[34]FormattedData!G51^2*$J$6+$M$5*$J$7</f>
        <v>32.254095150916534</v>
      </c>
      <c r="O84" s="39">
        <f>$J$3+[34]FormattedData!H51*$J$4+$M$4*$J$5+[34]FormattedData!H51^2*$J$6+$M$5*$J$7</f>
        <v>32.446581549361703</v>
      </c>
      <c r="P84" s="39">
        <f>$J$3+[34]FormattedData!I51*$J$4+$M$4*$J$5+[34]FormattedData!I51^2*$J$6+$M$5*$J$7</f>
        <v>33.214836401625114</v>
      </c>
      <c r="Q84" s="39">
        <f>$J$3+[34]FormattedData!J51*$J$4+$M$4*$J$5+[34]FormattedData!J51^2*$J$6+$M$5*$J$7</f>
        <v>32.542761345777386</v>
      </c>
      <c r="R84" s="39">
        <f>$J$3+[34]FormattedData!K51*$J$4+$M$4*$J$5+[34]FormattedData!K51^2*$J$6+$M$5*$J$7</f>
        <v>32.061439678319644</v>
      </c>
      <c r="S84" s="39">
        <f>$J$3+[34]FormattedData!L51*$J$4+$M$4*$J$5+[34]FormattedData!L51^2*$J$6+$M$5*$J$7</f>
        <v>32.350359484408088</v>
      </c>
      <c r="T84" s="39">
        <f>$J$3+[34]FormattedData!M51*$J$4+$M$4*$J$5+[34]FormattedData!M51^2*$J$6+$M$5*$J$7</f>
        <v>31.385814065285697</v>
      </c>
      <c r="U84" s="39">
        <f>$J$3+[34]FormattedData!N51*$J$4+$M$4*$J$5+[34]FormattedData!N51^2*$J$6+$M$5*$J$7</f>
        <v>32.542761345777386</v>
      </c>
      <c r="V84" s="39">
        <f>$J$3+[34]FormattedData!O51*$J$4+$M$4*$J$5+[34]FormattedData!O51^2*$J$6+$M$5*$J$7</f>
        <v>32.157788548887048</v>
      </c>
      <c r="W84" s="38">
        <f>AVERAGE(K84:V84)</f>
        <v>32.08440677970632</v>
      </c>
      <c r="X84" s="37">
        <f>STDEV(K84:V84)/SQRT(COUNT(K84:V84))</f>
        <v>0.21229544360839347</v>
      </c>
      <c r="Y84" s="36">
        <f>MIN(K84:V84)</f>
        <v>30.222780115331922</v>
      </c>
      <c r="Z84" s="35">
        <f>QUARTILE(K84:V84,1)</f>
        <v>31.940940187303486</v>
      </c>
      <c r="AA84" s="36">
        <f>MEDIAN(K84:V84)</f>
        <v>32.205941849901791</v>
      </c>
      <c r="AB84" s="35">
        <f>QUARTILE(K84:V84,3)</f>
        <v>32.47062649846562</v>
      </c>
      <c r="AC84" s="35">
        <f>MAX(K84:V84)</f>
        <v>33.214836401625114</v>
      </c>
      <c r="AD84" s="35">
        <f>SKEW(K84:V84)</f>
        <v>-1.3976550867817037</v>
      </c>
      <c r="AE84" s="35">
        <f>KURT(K84:V84)</f>
        <v>3.5063952890791956</v>
      </c>
    </row>
    <row r="85" spans="2:31" x14ac:dyDescent="0.2">
      <c r="B85" s="34">
        <f>[34]FormattedData!A47</f>
        <v>908</v>
      </c>
      <c r="C85" s="34" t="str">
        <f>VLOOKUP($B85,[34]TrtCodes!$B$11:I90,2)</f>
        <v>Early</v>
      </c>
      <c r="D85" s="34">
        <f>VLOOKUP($B85,[34]TrtCodes!$B$11:J90,3)</f>
        <v>21</v>
      </c>
      <c r="E85" s="34">
        <f>VLOOKUP($B85,[34]TrtCodes!$B$11:K90,4)</f>
        <v>3</v>
      </c>
      <c r="F85" s="34">
        <f>VLOOKUP($B85,[34]TrtCodes!$B$11:L90,5)</f>
        <v>2</v>
      </c>
      <c r="G85" s="34">
        <f>VLOOKUP($B85,[34]TrtCodes!$B$11:M90,6)</f>
        <v>2</v>
      </c>
      <c r="H85" s="34">
        <f>VLOOKUP($B85,[34]TrtCodes!$B$11:N90,7)</f>
        <v>2</v>
      </c>
      <c r="I85" s="34">
        <f>[34]FormattedData!B47</f>
        <v>2</v>
      </c>
      <c r="J85" s="37">
        <f>[34]FormattedData!C47</f>
        <v>13.353</v>
      </c>
      <c r="K85" s="39">
        <f>$J$3+[34]FormattedData!D47*$J$4+$M$4*$J$5+[34]FormattedData!D47^2*$J$6+$M$5*$J$7</f>
        <v>29.541532786753134</v>
      </c>
      <c r="L85" s="39">
        <f>$J$3+[34]FormattedData!E47*$J$4+$M$4*$J$5+[34]FormattedData!E47^2*$J$6+$M$5*$J$7</f>
        <v>30.417041792370199</v>
      </c>
      <c r="M85" s="39">
        <f>$J$3+[34]FormattedData!F47*$J$4+$M$4*$J$5+[34]FormattedData!F47^2*$J$6+$M$5*$J$7</f>
        <v>32.638898873655137</v>
      </c>
      <c r="N85" s="39">
        <f>$J$3+[34]FormattedData!G47*$J$4+$M$4*$J$5+[34]FormattedData!G47^2*$J$6+$M$5*$J$7</f>
        <v>29.638980639306759</v>
      </c>
      <c r="O85" s="39">
        <f>$J$3+[34]FormattedData!H47*$J$4+$M$4*$J$5+[34]FormattedData!H47^2*$J$6+$M$5*$J$7</f>
        <v>28.858214299815725</v>
      </c>
      <c r="P85" s="39">
        <f>$J$3+[34]FormattedData!I47*$J$4+$M$4*$J$5+[34]FormattedData!I47^2*$J$6+$M$5*$J$7</f>
        <v>29.444042665661588</v>
      </c>
      <c r="Q85" s="39">
        <f>$J$3+[34]FormattedData!J47*$J$4+$M$4*$J$5+[34]FormattedData!J47^2*$J$6+$M$5*$J$7</f>
        <v>30.514109228082436</v>
      </c>
      <c r="R85" s="39">
        <f>$J$3+[34]FormattedData!K47*$J$4+$M$4*$J$5+[34]FormattedData!K47^2*$J$6+$M$5*$J$7</f>
        <v>28.270864266604338</v>
      </c>
      <c r="S85" s="39">
        <f>$J$3+[34]FormattedData!L47*$J$4+$M$4*$J$5+[34]FormattedData!L47^2*$J$6+$M$5*$J$7</f>
        <v>34.933518981341912</v>
      </c>
      <c r="T85" s="39">
        <f>$J$3+[34]FormattedData!M47*$J$4+$M$4*$J$5+[34]FormattedData!M47^2*$J$6+$M$5*$J$7</f>
        <v>28.074742773897096</v>
      </c>
      <c r="U85" s="39">
        <f>$J$3+[34]FormattedData!N47*$J$4+$M$4*$J$5+[34]FormattedData!N47^2*$J$6+$M$5*$J$7</f>
        <v>29.053659495916069</v>
      </c>
      <c r="V85" s="39">
        <f>$J$3+[34]FormattedData!O47*$J$4+$M$4*$J$5+[34]FormattedData!O47^2*$J$6+$M$5*$J$7</f>
        <v>30.125585874005893</v>
      </c>
      <c r="W85" s="38">
        <f>AVERAGE(K85:V85)</f>
        <v>30.125932639784192</v>
      </c>
      <c r="X85" s="37">
        <f>STDEV(K85:V85)/SQRT(COUNT(K85:V85))</f>
        <v>0.55808431019833304</v>
      </c>
      <c r="Y85" s="36">
        <f>MIN(K85:V85)</f>
        <v>28.074742773897096</v>
      </c>
      <c r="Z85" s="35">
        <f>QUARTILE(K85:V85,1)</f>
        <v>29.004798196890981</v>
      </c>
      <c r="AA85" s="36">
        <f>MEDIAN(K85:V85)</f>
        <v>29.590256713029945</v>
      </c>
      <c r="AB85" s="35">
        <f>QUARTILE(K85:V85,3)</f>
        <v>30.441308651298257</v>
      </c>
      <c r="AC85" s="35">
        <f>MAX(K85:V85)</f>
        <v>34.933518981341912</v>
      </c>
      <c r="AD85" s="35">
        <f>SKEW(K85:V85)</f>
        <v>1.6328926603381604</v>
      </c>
      <c r="AE85" s="35">
        <f>KURT(K85:V85)</f>
        <v>2.8246684957920394</v>
      </c>
    </row>
    <row r="88" spans="2:31" x14ac:dyDescent="0.2">
      <c r="W88" s="35"/>
    </row>
  </sheetData>
  <autoFilter ref="B9:AE85" xr:uid="{6913281B-2481-46AA-B223-57E934AF94A3}"/>
  <conditionalFormatting sqref="K10:V85">
    <cfRule type="cellIs" dxfId="131" priority="1" stopIfTrue="1" operator="lessThan">
      <formula>$W10-$V$5*$X10</formula>
    </cfRule>
    <cfRule type="cellIs" dxfId="130" priority="2" stopIfTrue="1" operator="greaterThan">
      <formula>$W10+$V$5*$X10</formula>
    </cfRule>
  </conditionalFormatting>
  <conditionalFormatting sqref="W10:W85">
    <cfRule type="cellIs" dxfId="129" priority="3" stopIfTrue="1" operator="lessThan">
      <formula>AVERAGE($W$10:$W$41)</formula>
    </cfRule>
    <cfRule type="cellIs" dxfId="12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601F-0984-4B23-B3EC-57AA0A0E97B5}">
  <sheetPr codeName="Sheet4"/>
  <dimension ref="A1:AI88"/>
  <sheetViews>
    <sheetView topLeftCell="A8" workbookViewId="0">
      <pane xSplit="4" ySplit="2" topLeftCell="J28" activePane="bottomRight" state="frozen"/>
      <selection activeCell="A8" sqref="A8"/>
      <selection pane="topRight" activeCell="E8" sqref="E8"/>
      <selection pane="bottomLeft" activeCell="A10" sqref="A10"/>
      <selection pane="bottomRight" activeCell="K88" sqref="K88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[33]FormattedData!A1</f>
        <v>Raw data file name - 'IA167.03R'</v>
      </c>
    </row>
    <row r="2" spans="1:35" ht="15" x14ac:dyDescent="0.25">
      <c r="I2" s="65" t="s">
        <v>136</v>
      </c>
      <c r="J2" s="57"/>
      <c r="P2" s="64">
        <f>[33]AncillaryData!C10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[33]AncillaryData!E25</f>
        <v>39.1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"&amp;[33]AncillaryData!C7</f>
        <v>Time Sequence of Midday IRT Temps - FISE 2003 - DOY 167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"&amp;[33]AncillaryData!E25&amp;", VPD = "&amp;ROUND([33]AncillaryData!E29,1)&amp;", Quality = "&amp;[33]AncillaryData!C20&amp;")"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[33]FormattedData!A28</f>
        <v>101</v>
      </c>
      <c r="C10" s="34" t="str">
        <f>VLOOKUP($B10,[33]TrtCodes!$B$11:I71,2)</f>
        <v>FSH</v>
      </c>
      <c r="D10" s="34">
        <f>VLOOKUP($B10,[33]TrtCodes!$B$11:J71,3)</f>
        <v>1</v>
      </c>
      <c r="E10" s="34">
        <f>VLOOKUP($B10,[33]TrtCodes!$B$11:K71,4)</f>
        <v>1</v>
      </c>
      <c r="F10" s="34">
        <f>VLOOKUP($B10,[33]TrtCodes!$B$11:L71,5)</f>
        <v>1</v>
      </c>
      <c r="G10" s="34">
        <f>VLOOKUP($B10,[33]TrtCodes!$B$11:M71,6)</f>
        <v>2</v>
      </c>
      <c r="H10" s="34">
        <f>VLOOKUP($B10,[33]TrtCodes!$B$11:N71,7)</f>
        <v>1</v>
      </c>
      <c r="I10" s="34">
        <f>[33]FormattedData!B28</f>
        <v>1</v>
      </c>
      <c r="J10" s="37">
        <f>[33]FormattedData!C28</f>
        <v>12.944000000000001</v>
      </c>
      <c r="K10" s="39">
        <f>$J$3+[33]FormattedData!D28*$J$4+$M$4*$J$5+[33]FormattedData!D28^2*$J$6+$M$5*$J$7</f>
        <v>56.654276070127501</v>
      </c>
      <c r="L10" s="39">
        <f>$J$3+[33]FormattedData!E28*$J$4+$M$4*$J$5+[33]FormattedData!E28^2*$J$6+$M$5*$J$7</f>
        <v>44.70915668642462</v>
      </c>
      <c r="M10" s="39">
        <f>$J$3+[33]FormattedData!F28*$J$4+$M$4*$J$5+[33]FormattedData!F28^2*$J$6+$M$5*$J$7</f>
        <v>54.34501669898745</v>
      </c>
      <c r="N10" s="39">
        <f>$J$3+[33]FormattedData!G28*$J$4+$M$4*$J$5+[33]FormattedData!G28^2*$J$6+$M$5*$J$7</f>
        <v>42.336513381010207</v>
      </c>
      <c r="O10" s="39">
        <f>$J$3+[33]FormattedData!H28*$J$4+$M$4*$J$5+[33]FormattedData!H28^2*$J$6+$M$5*$J$7</f>
        <v>48.392576831191235</v>
      </c>
      <c r="P10" s="39">
        <f>$J$3+[33]FormattedData!I28*$J$4+$M$4*$J$5+[33]FormattedData!I28^2*$J$6+$M$5*$J$7</f>
        <v>51.130430130366555</v>
      </c>
      <c r="Q10" s="39">
        <f>$J$3+[33]FormattedData!J28*$J$4+$M$4*$J$5+[33]FormattedData!J28^2*$J$6+$M$5*$J$7</f>
        <v>53.222161255983849</v>
      </c>
      <c r="R10" s="39">
        <f>$J$3+[33]FormattedData!K28*$J$4+$M$4*$J$5+[33]FormattedData!K28^2*$J$6+$M$5*$J$7</f>
        <v>55.118193574273228</v>
      </c>
      <c r="S10" s="39">
        <f>$J$3+[33]FormattedData!L28*$J$4+$M$4*$J$5+[33]FormattedData!L28^2*$J$6+$M$5*$J$7</f>
        <v>54.946672370641906</v>
      </c>
      <c r="T10" s="39">
        <f>$J$3+[33]FormattedData!M28*$J$4+$M$4*$J$5+[33]FormattedData!M28^2*$J$6+$M$5*$J$7</f>
        <v>55.887946697986571</v>
      </c>
      <c r="U10" s="39">
        <f>$J$3+[33]FormattedData!N28*$J$4+$M$4*$J$5+[33]FormattedData!N28^2*$J$6+$M$5*$J$7</f>
        <v>55.54625688393773</v>
      </c>
      <c r="V10" s="39">
        <f>$J$3+[33]FormattedData!O28*$J$4+$M$4*$J$5+[33]FormattedData!O28^2*$J$6+$M$5*$J$7</f>
        <v>52.440615210187715</v>
      </c>
      <c r="W10" s="38">
        <f>AVERAGE(K10:V10)</f>
        <v>52.060817982593221</v>
      </c>
      <c r="X10" s="37">
        <f>STDEV(K10:V10)/SQRT(COUNT(K10:V10))</f>
        <v>1.3348814588325972</v>
      </c>
      <c r="Y10" s="36">
        <f>MIN(K10:V10)</f>
        <v>42.336513381010207</v>
      </c>
      <c r="Z10" s="35">
        <f>QUARTILE(K10:V10,1)</f>
        <v>50.445966805572724</v>
      </c>
      <c r="AA10" s="36">
        <f>MEDIAN(K10:V10)</f>
        <v>53.78358897748565</v>
      </c>
      <c r="AB10" s="35">
        <f>QUARTILE(K10:V10,3)</f>
        <v>55.225209401689355</v>
      </c>
      <c r="AC10" s="35">
        <f>MAX(K10:V10)</f>
        <v>56.654276070127501</v>
      </c>
      <c r="AD10" s="35">
        <f>SKEW(K10:V10)</f>
        <v>-1.2197718833463513</v>
      </c>
      <c r="AE10" s="35">
        <f>KURT(K10:V10)</f>
        <v>0.45997989173211717</v>
      </c>
    </row>
    <row r="11" spans="1:35" x14ac:dyDescent="0.2">
      <c r="B11" s="34">
        <f>[33]FormattedData!A26</f>
        <v>102</v>
      </c>
      <c r="C11" s="34" t="str">
        <f>VLOOKUP($B11,[33]TrtCodes!$B$11:I69,2)</f>
        <v>FTL</v>
      </c>
      <c r="D11" s="34">
        <f>VLOOKUP($B11,[33]TrtCodes!$B$11:J69,3)</f>
        <v>4</v>
      </c>
      <c r="E11" s="34">
        <f>VLOOKUP($B11,[33]TrtCodes!$B$11:K69,4)</f>
        <v>1</v>
      </c>
      <c r="F11" s="34">
        <f>VLOOKUP($B11,[33]TrtCodes!$B$11:L69,5)</f>
        <v>2</v>
      </c>
      <c r="G11" s="34">
        <f>VLOOKUP($B11,[33]TrtCodes!$B$11:M69,6)</f>
        <v>1</v>
      </c>
      <c r="H11" s="34">
        <f>VLOOKUP($B11,[33]TrtCodes!$B$11:N69,7)</f>
        <v>1</v>
      </c>
      <c r="I11" s="34">
        <f>[33]FormattedData!B26</f>
        <v>1</v>
      </c>
      <c r="J11" s="37">
        <f>[33]FormattedData!C26</f>
        <v>12.928000000000001</v>
      </c>
      <c r="K11" s="39">
        <f>$J$3+[33]FormattedData!D26*$J$4+$M$4*$J$5+[33]FormattedData!D26^2*$J$6+$M$5*$J$7</f>
        <v>55.203890773281991</v>
      </c>
      <c r="L11" s="39">
        <f>$J$3+[33]FormattedData!E26*$J$4+$M$4*$J$5+[33]FormattedData!E26^2*$J$6+$M$5*$J$7</f>
        <v>52.614587989019043</v>
      </c>
      <c r="M11" s="39">
        <f>$J$3+[33]FormattedData!F26*$J$4+$M$4*$J$5+[33]FormattedData!F26^2*$J$6+$M$5*$J$7</f>
        <v>48.925654061699035</v>
      </c>
      <c r="N11" s="39">
        <f>$J$3+[33]FormattedData!G26*$J$4+$M$4*$J$5+[33]FormattedData!G26^2*$J$6+$M$5*$J$7</f>
        <v>47.500733297310411</v>
      </c>
      <c r="O11" s="39">
        <f>$J$3+[33]FormattedData!H26*$J$4+$M$4*$J$5+[33]FormattedData!H26^2*$J$6+$M$5*$J$7</f>
        <v>50.51575574902931</v>
      </c>
      <c r="P11" s="39">
        <f>$J$3+[33]FormattedData!I26*$J$4+$M$4*$J$5+[33]FormattedData!I26^2*$J$6+$M$5*$J$7</f>
        <v>51.042746310075024</v>
      </c>
      <c r="Q11" s="39">
        <f>$J$3+[33]FormattedData!J26*$J$4+$M$4*$J$5+[33]FormattedData!J26^2*$J$6+$M$5*$J$7</f>
        <v>53.395373201132422</v>
      </c>
      <c r="R11" s="39">
        <f>$J$3+[33]FormattedData!K26*$J$4+$M$4*$J$5+[33]FormattedData!K26^2*$J$6+$M$5*$J$7</f>
        <v>50.955020221245569</v>
      </c>
      <c r="S11" s="39">
        <f>$J$3+[33]FormattedData!L26*$J$4+$M$4*$J$5+[33]FormattedData!L26^2*$J$6+$M$5*$J$7</f>
        <v>54.172734661673374</v>
      </c>
      <c r="T11" s="39">
        <f>$J$3+[33]FormattedData!M26*$J$4+$M$4*$J$5+[33]FormattedData!M26^2*$J$6+$M$5*$J$7</f>
        <v>47.32185736807908</v>
      </c>
      <c r="U11" s="39">
        <f>$J$3+[33]FormattedData!N26*$J$4+$M$4*$J$5+[33]FormattedData!N26^2*$J$6+$M$5*$J$7</f>
        <v>53.827663364590045</v>
      </c>
      <c r="V11" s="39">
        <f>$J$3+[33]FormattedData!O26*$J$4+$M$4*$J$5+[33]FormattedData!O26^2*$J$6+$M$5*$J$7</f>
        <v>39.563342456746803</v>
      </c>
      <c r="W11" s="38">
        <f>AVERAGE(K11:V11)</f>
        <v>50.419946621156839</v>
      </c>
      <c r="X11" s="37">
        <f>STDEV(K11:V11)/SQRT(COUNT(K11:V11))</f>
        <v>1.2344603086597521</v>
      </c>
      <c r="Y11" s="36">
        <f>MIN(K11:V11)</f>
        <v>39.563342456746803</v>
      </c>
      <c r="Z11" s="35">
        <f>QUARTILE(K11:V11,1)</f>
        <v>48.569423870601881</v>
      </c>
      <c r="AA11" s="36">
        <f>MEDIAN(K11:V11)</f>
        <v>50.998883265660297</v>
      </c>
      <c r="AB11" s="35">
        <f>QUARTILE(K11:V11,3)</f>
        <v>53.503445741996828</v>
      </c>
      <c r="AC11" s="35">
        <f>MAX(K11:V11)</f>
        <v>55.203890773281991</v>
      </c>
      <c r="AD11" s="35">
        <f>SKEW(K11:V11)</f>
        <v>-1.532243328160622</v>
      </c>
      <c r="AE11" s="35">
        <f>KURT(K11:V11)</f>
        <v>3.0447135590477998</v>
      </c>
    </row>
    <row r="12" spans="1:35" x14ac:dyDescent="0.2">
      <c r="B12" s="34">
        <f>[33]FormattedData!A24</f>
        <v>103</v>
      </c>
      <c r="C12" s="34" t="str">
        <f>VLOOKUP($B12,[33]TrtCodes!$B$11:I67,2)</f>
        <v>FDH</v>
      </c>
      <c r="D12" s="34">
        <f>VLOOKUP($B12,[33]TrtCodes!$B$11:J67,3)</f>
        <v>5</v>
      </c>
      <c r="E12" s="34">
        <f>VLOOKUP($B12,[33]TrtCodes!$B$11:K67,4)</f>
        <v>1</v>
      </c>
      <c r="F12" s="34">
        <f>VLOOKUP($B12,[33]TrtCodes!$B$11:L67,5)</f>
        <v>3</v>
      </c>
      <c r="G12" s="34">
        <f>VLOOKUP($B12,[33]TrtCodes!$B$11:M67,6)</f>
        <v>2</v>
      </c>
      <c r="H12" s="34">
        <f>VLOOKUP($B12,[33]TrtCodes!$B$11:N67,7)</f>
        <v>1</v>
      </c>
      <c r="I12" s="34">
        <f>[33]FormattedData!B24</f>
        <v>1</v>
      </c>
      <c r="J12" s="37">
        <f>[33]FormattedData!C24</f>
        <v>12.911</v>
      </c>
      <c r="K12" s="39">
        <f>$J$3+[33]FormattedData!D24*$J$4+$M$4*$J$5+[33]FormattedData!D24^2*$J$6+$M$5*$J$7</f>
        <v>53.741289868974377</v>
      </c>
      <c r="L12" s="39">
        <f>$J$3+[33]FormattedData!E24*$J$4+$M$4*$J$5+[33]FormattedData!E24^2*$J$6+$M$5*$J$7</f>
        <v>41.13947665393745</v>
      </c>
      <c r="M12" s="39">
        <f>$J$3+[33]FormattedData!F24*$J$4+$M$4*$J$5+[33]FormattedData!F24^2*$J$6+$M$5*$J$7</f>
        <v>46.963598287161233</v>
      </c>
      <c r="N12" s="39">
        <f>$J$3+[33]FormattedData!G24*$J$4+$M$4*$J$5+[33]FormattedData!G24^2*$J$6+$M$5*$J$7</f>
        <v>38.068763141847661</v>
      </c>
      <c r="O12" s="39">
        <f>$J$3+[33]FormattedData!H24*$J$4+$M$4*$J$5+[33]FormattedData!H24^2*$J$6+$M$5*$J$7</f>
        <v>37.787324866973037</v>
      </c>
      <c r="P12" s="39">
        <f>$J$3+[33]FormattedData!I24*$J$4+$M$4*$J$5+[33]FormattedData!I24^2*$J$6+$M$5*$J$7</f>
        <v>37.411482074275831</v>
      </c>
      <c r="Q12" s="39">
        <f>$J$3+[33]FormattedData!J24*$J$4+$M$4*$J$5+[33]FormattedData!J24^2*$J$6+$M$5*$J$7</f>
        <v>43.343811164603316</v>
      </c>
      <c r="R12" s="39">
        <f>$J$3+[33]FormattedData!K24*$J$4+$M$4*$J$5+[33]FormattedData!K24^2*$J$6+$M$5*$J$7</f>
        <v>38.256177315741091</v>
      </c>
      <c r="S12" s="39">
        <f>$J$3+[33]FormattedData!L24*$J$4+$M$4*$J$5+[33]FormattedData!L24^2*$J$6+$M$5*$J$7</f>
        <v>43.069600809714913</v>
      </c>
      <c r="T12" s="39">
        <f>$J$3+[33]FormattedData!M24*$J$4+$M$4*$J$5+[33]FormattedData!M24^2*$J$6+$M$5*$J$7</f>
        <v>43.89109062385598</v>
      </c>
      <c r="U12" s="39">
        <f>$J$3+[33]FormattedData!N24*$J$4+$M$4*$J$5+[33]FormattedData!N24^2*$J$6+$M$5*$J$7</f>
        <v>49.280193511278945</v>
      </c>
      <c r="V12" s="39">
        <f>$J$3+[33]FormattedData!O24*$J$4+$M$4*$J$5+[33]FormattedData!O24^2*$J$6+$M$5*$J$7</f>
        <v>35.142223089347738</v>
      </c>
      <c r="W12" s="38">
        <f>AVERAGE(K12:V12)</f>
        <v>42.341252617309287</v>
      </c>
      <c r="X12" s="37">
        <f>STDEV(K12:V12)/SQRT(COUNT(K12:V12))</f>
        <v>1.5970299987882115</v>
      </c>
      <c r="Y12" s="36">
        <f>MIN(K12:V12)</f>
        <v>35.142223089347738</v>
      </c>
      <c r="Z12" s="35">
        <f>QUARTILE(K12:V12,1)</f>
        <v>37.998403573129004</v>
      </c>
      <c r="AA12" s="36">
        <f>MEDIAN(K12:V12)</f>
        <v>42.104538731826182</v>
      </c>
      <c r="AB12" s="35">
        <f>QUARTILE(K12:V12,3)</f>
        <v>44.659217539682295</v>
      </c>
      <c r="AC12" s="35">
        <f>MAX(K12:V12)</f>
        <v>53.741289868974377</v>
      </c>
      <c r="AD12" s="35">
        <f>SKEW(K12:V12)</f>
        <v>0.76302417380003684</v>
      </c>
      <c r="AE12" s="35">
        <f>KURT(K12:V12)</f>
        <v>2.5938766740081221E-3</v>
      </c>
    </row>
    <row r="13" spans="1:35" x14ac:dyDescent="0.2">
      <c r="B13" s="34">
        <f>[33]FormattedData!A22</f>
        <v>104</v>
      </c>
      <c r="C13" s="34" t="str">
        <f>VLOOKUP($B13,[33]TrtCodes!$B$11:I65,2)</f>
        <v>NTL</v>
      </c>
      <c r="D13" s="34">
        <f>VLOOKUP($B13,[33]TrtCodes!$B$11:J65,3)</f>
        <v>10</v>
      </c>
      <c r="E13" s="34">
        <f>VLOOKUP($B13,[33]TrtCodes!$B$11:K65,4)</f>
        <v>2</v>
      </c>
      <c r="F13" s="34">
        <f>VLOOKUP($B13,[33]TrtCodes!$B$11:L65,5)</f>
        <v>2</v>
      </c>
      <c r="G13" s="34">
        <f>VLOOKUP($B13,[33]TrtCodes!$B$11:M65,6)</f>
        <v>1</v>
      </c>
      <c r="H13" s="34">
        <f>VLOOKUP($B13,[33]TrtCodes!$B$11:N65,7)</f>
        <v>1</v>
      </c>
      <c r="I13" s="34">
        <f>[33]FormattedData!B22</f>
        <v>1</v>
      </c>
      <c r="J13" s="37">
        <f>[33]FormattedData!C22</f>
        <v>12.895</v>
      </c>
      <c r="K13" s="39">
        <f>$J$3+[33]FormattedData!D22*$J$4+$M$4*$J$5+[33]FormattedData!D22^2*$J$6+$M$5*$J$7</f>
        <v>53.222161255983849</v>
      </c>
      <c r="L13" s="39">
        <f>$J$3+[33]FormattedData!E22*$J$4+$M$4*$J$5+[33]FormattedData!E22^2*$J$6+$M$5*$J$7</f>
        <v>42.703395243666009</v>
      </c>
      <c r="M13" s="39">
        <f>$J$3+[33]FormattedData!F22*$J$4+$M$4*$J$5+[33]FormattedData!F22^2*$J$6+$M$5*$J$7</f>
        <v>51.305670965335814</v>
      </c>
      <c r="N13" s="39">
        <f>$J$3+[33]FormattedData!G22*$J$4+$M$4*$J$5+[33]FormattedData!G22^2*$J$6+$M$5*$J$7</f>
        <v>38.53698156254675</v>
      </c>
      <c r="O13" s="39">
        <f>$J$3+[33]FormattedData!H22*$J$4+$M$4*$J$5+[33]FormattedData!H22^2*$J$6+$M$5*$J$7</f>
        <v>46.064991787211426</v>
      </c>
      <c r="P13" s="39">
        <f>$J$3+[33]FormattedData!I22*$J$4+$M$4*$J$5+[33]FormattedData!I22^2*$J$6+$M$5*$J$7</f>
        <v>45.071642621135588</v>
      </c>
      <c r="Q13" s="39">
        <f>$J$3+[33]FormattedData!J22*$J$4+$M$4*$J$5+[33]FormattedData!J22^2*$J$6+$M$5*$J$7</f>
        <v>49.280193511278945</v>
      </c>
      <c r="R13" s="39">
        <f>$J$3+[33]FormattedData!K22*$J$4+$M$4*$J$5+[33]FormattedData!K22^2*$J$6+$M$5*$J$7</f>
        <v>44.890484190855958</v>
      </c>
      <c r="S13" s="39">
        <f>$J$3+[33]FormattedData!L22*$J$4+$M$4*$J$5+[33]FormattedData!L22^2*$J$6+$M$5*$J$7</f>
        <v>51.393227980013542</v>
      </c>
      <c r="T13" s="39">
        <f>$J$3+[33]FormattedData!M22*$J$4+$M$4*$J$5+[33]FormattedData!M22^2*$J$6+$M$5*$J$7</f>
        <v>40.028179394411403</v>
      </c>
      <c r="U13" s="39">
        <f>$J$3+[33]FormattedData!N22*$J$4+$M$4*$J$5+[33]FormattedData!N22^2*$J$6+$M$5*$J$7</f>
        <v>51.480742726153345</v>
      </c>
      <c r="V13" s="39">
        <f>$J$3+[33]FormattedData!O22*$J$4+$M$4*$J$5+[33]FormattedData!O22^2*$J$6+$M$5*$J$7</f>
        <v>37.22330706669964</v>
      </c>
      <c r="W13" s="38">
        <f>AVERAGE(K13:V13)</f>
        <v>45.933414858774341</v>
      </c>
      <c r="X13" s="37">
        <f>STDEV(K13:V13)/SQRT(COUNT(K13:V13))</f>
        <v>1.5847186849283661</v>
      </c>
      <c r="Y13" s="36">
        <f>MIN(K13:V13)</f>
        <v>37.22330706669964</v>
      </c>
      <c r="Z13" s="35">
        <f>QUARTILE(K13:V13,1)</f>
        <v>42.034591281352355</v>
      </c>
      <c r="AA13" s="36">
        <f>MEDIAN(K13:V13)</f>
        <v>45.568317204173511</v>
      </c>
      <c r="AB13" s="35">
        <f>QUARTILE(K13:V13,3)</f>
        <v>51.32756021900525</v>
      </c>
      <c r="AC13" s="35">
        <f>MAX(K13:V13)</f>
        <v>53.222161255983849</v>
      </c>
      <c r="AD13" s="35">
        <f>SKEW(K13:V13)</f>
        <v>-0.25955816368769014</v>
      </c>
      <c r="AE13" s="35">
        <f>KURT(K13:V13)</f>
        <v>-1.3107390170287441</v>
      </c>
    </row>
    <row r="14" spans="1:35" x14ac:dyDescent="0.2">
      <c r="B14" s="34">
        <f>[33]FormattedData!A20</f>
        <v>105</v>
      </c>
      <c r="C14" s="34" t="str">
        <f>VLOOKUP($B14,[33]TrtCodes!$B$11:I63,2)</f>
        <v>NDL</v>
      </c>
      <c r="D14" s="34">
        <f>VLOOKUP($B14,[33]TrtCodes!$B$11:J63,3)</f>
        <v>12</v>
      </c>
      <c r="E14" s="34">
        <f>VLOOKUP($B14,[33]TrtCodes!$B$11:K63,4)</f>
        <v>2</v>
      </c>
      <c r="F14" s="34">
        <f>VLOOKUP($B14,[33]TrtCodes!$B$11:L63,5)</f>
        <v>3</v>
      </c>
      <c r="G14" s="34">
        <f>VLOOKUP($B14,[33]TrtCodes!$B$11:M63,6)</f>
        <v>1</v>
      </c>
      <c r="H14" s="34">
        <f>VLOOKUP($B14,[33]TrtCodes!$B$11:N63,7)</f>
        <v>2</v>
      </c>
      <c r="I14" s="34">
        <f>[33]FormattedData!B20</f>
        <v>1</v>
      </c>
      <c r="J14" s="37">
        <f>[33]FormattedData!C20</f>
        <v>12.878</v>
      </c>
      <c r="K14" s="39">
        <f>$J$3+[33]FormattedData!D20*$J$4+$M$4*$J$5+[33]FormattedData!D20^2*$J$6+$M$5*$J$7</f>
        <v>38.817405392511027</v>
      </c>
      <c r="L14" s="39">
        <f>$J$3+[33]FormattedData!E20*$J$4+$M$4*$J$5+[33]FormattedData!E20^2*$J$6+$M$5*$J$7</f>
        <v>32.848617426571309</v>
      </c>
      <c r="M14" s="39">
        <f>$J$3+[33]FormattedData!F20*$J$4+$M$4*$J$5+[33]FormattedData!F20^2*$J$6+$M$5*$J$7</f>
        <v>36.940727541300873</v>
      </c>
      <c r="N14" s="39">
        <f>$J$3+[33]FormattedData!G20*$J$4+$M$4*$J$5+[33]FormattedData!G20^2*$J$6+$M$5*$J$7</f>
        <v>32.944670417373203</v>
      </c>
      <c r="O14" s="39">
        <f>$J$3+[33]FormattedData!H20*$J$4+$M$4*$J$5+[33]FormattedData!H20^2*$J$6+$M$5*$J$7</f>
        <v>36.846449829092094</v>
      </c>
      <c r="P14" s="39">
        <f>$J$3+[33]FormattedData!I20*$J$4+$M$4*$J$5+[33]FormattedData!I20^2*$J$6+$M$5*$J$7</f>
        <v>32.078671832790647</v>
      </c>
      <c r="Q14" s="39">
        <f>$J$3+[33]FormattedData!J20*$J$4+$M$4*$J$5+[33]FormattedData!J20^2*$J$6+$M$5*$J$7</f>
        <v>36.090706464056289</v>
      </c>
      <c r="R14" s="39">
        <f>$J$3+[33]FormattedData!K20*$J$4+$M$4*$J$5+[33]FormattedData!K20^2*$J$6+$M$5*$J$7</f>
        <v>31.112435672151012</v>
      </c>
      <c r="S14" s="39">
        <f>$J$3+[33]FormattedData!L20*$J$4+$M$4*$J$5+[33]FormattedData!L20^2*$J$6+$M$5*$J$7</f>
        <v>33.99846359269057</v>
      </c>
      <c r="T14" s="39">
        <f>$J$3+[33]FormattedData!M20*$J$4+$M$4*$J$5+[33]FormattedData!M20^2*$J$6+$M$5*$J$7</f>
        <v>33.807245250383332</v>
      </c>
      <c r="U14" s="39">
        <f>$J$3+[33]FormattedData!N20*$J$4+$M$4*$J$5+[33]FormattedData!N20^2*$J$6+$M$5*$J$7</f>
        <v>33.711572676422826</v>
      </c>
      <c r="V14" s="39">
        <f>$J$3+[33]FormattedData!O20*$J$4+$M$4*$J$5+[33]FormattedData!O20^2*$J$6+$M$5*$J$7</f>
        <v>34.09400936103728</v>
      </c>
      <c r="W14" s="38">
        <f>AVERAGE(K14:V14)</f>
        <v>34.440914621365039</v>
      </c>
      <c r="X14" s="37">
        <f>STDEV(K14:V14)/SQRT(COUNT(K14:V14))</f>
        <v>0.65478340024542947</v>
      </c>
      <c r="Y14" s="36">
        <f>MIN(K14:V14)</f>
        <v>31.112435672151012</v>
      </c>
      <c r="Z14" s="35">
        <f>QUARTILE(K14:V14,1)</f>
        <v>32.920657169672729</v>
      </c>
      <c r="AA14" s="36">
        <f>MEDIAN(K14:V14)</f>
        <v>33.902854421536951</v>
      </c>
      <c r="AB14" s="35">
        <f>QUARTILE(K14:V14,3)</f>
        <v>36.279642305315242</v>
      </c>
      <c r="AC14" s="35">
        <f>MAX(K14:V14)</f>
        <v>38.817405392511027</v>
      </c>
      <c r="AD14" s="35">
        <f>SKEW(K14:V14)</f>
        <v>0.55754749000901882</v>
      </c>
      <c r="AE14" s="35">
        <f>KURT(K14:V14)</f>
        <v>-0.38639159912958654</v>
      </c>
    </row>
    <row r="15" spans="1:35" x14ac:dyDescent="0.2">
      <c r="B15" s="34">
        <f>[33]FormattedData!A18</f>
        <v>106</v>
      </c>
      <c r="C15" s="34" t="str">
        <f>VLOOKUP($B15,[33]TrtCodes!$B$11:I61,2)</f>
        <v>NTH</v>
      </c>
      <c r="D15" s="34">
        <f>VLOOKUP($B15,[33]TrtCodes!$B$11:J61,3)</f>
        <v>9</v>
      </c>
      <c r="E15" s="34">
        <f>VLOOKUP($B15,[33]TrtCodes!$B$11:K61,4)</f>
        <v>2</v>
      </c>
      <c r="F15" s="34">
        <f>VLOOKUP($B15,[33]TrtCodes!$B$11:L61,5)</f>
        <v>2</v>
      </c>
      <c r="G15" s="34">
        <f>VLOOKUP($B15,[33]TrtCodes!$B$11:M61,6)</f>
        <v>2</v>
      </c>
      <c r="H15" s="34">
        <f>VLOOKUP($B15,[33]TrtCodes!$B$11:N61,7)</f>
        <v>2</v>
      </c>
      <c r="I15" s="34">
        <f>[33]FormattedData!B18</f>
        <v>1</v>
      </c>
      <c r="J15" s="37">
        <f>[33]FormattedData!C18</f>
        <v>12.86</v>
      </c>
      <c r="K15" s="39">
        <f>$J$3+[33]FormattedData!D18*$J$4+$M$4*$J$5+[33]FormattedData!D18^2*$J$6+$M$5*$J$7</f>
        <v>49.722416781150386</v>
      </c>
      <c r="L15" s="39">
        <f>$J$3+[33]FormattedData!E18*$J$4+$M$4*$J$5+[33]FormattedData!E18^2*$J$6+$M$5*$J$7</f>
        <v>37.693427571605625</v>
      </c>
      <c r="M15" s="39">
        <f>$J$3+[33]FormattedData!F18*$J$4+$M$4*$J$5+[33]FormattedData!F18^2*$J$6+$M$5*$J$7</f>
        <v>44.436848415743114</v>
      </c>
      <c r="N15" s="39">
        <f>$J$3+[33]FormattedData!G18*$J$4+$M$4*$J$5+[33]FormattedData!G18^2*$J$6+$M$5*$J$7</f>
        <v>40.12101997633053</v>
      </c>
      <c r="O15" s="39">
        <f>$J$3+[33]FormattedData!H18*$J$4+$M$4*$J$5+[33]FormattedData!H18^2*$J$6+$M$5*$J$7</f>
        <v>49.457209624841319</v>
      </c>
      <c r="P15" s="39">
        <f>$J$3+[33]FormattedData!I18*$J$4+$M$4*$J$5+[33]FormattedData!I18^2*$J$6+$M$5*$J$7</f>
        <v>41.416349926715519</v>
      </c>
      <c r="Q15" s="39">
        <f>$J$3+[33]FormattedData!J18*$J$4+$M$4*$J$5+[33]FormattedData!J18^2*$J$6+$M$5*$J$7</f>
        <v>44.073178961970086</v>
      </c>
      <c r="R15" s="39">
        <f>$J$3+[33]FormattedData!K18*$J$4+$M$4*$J$5+[33]FormattedData!K18^2*$J$6+$M$5*$J$7</f>
        <v>47.411316466963711</v>
      </c>
      <c r="S15" s="39">
        <f>$J$3+[33]FormattedData!L18*$J$4+$M$4*$J$5+[33]FormattedData!L18^2*$J$6+$M$5*$J$7</f>
        <v>44.255098225932464</v>
      </c>
      <c r="T15" s="39">
        <f>$J$3+[33]FormattedData!M18*$J$4+$M$4*$J$5+[33]FormattedData!M18^2*$J$6+$M$5*$J$7</f>
        <v>44.255098225932464</v>
      </c>
      <c r="U15" s="39">
        <f>$J$3+[33]FormattedData!N18*$J$4+$M$4*$J$5+[33]FormattedData!N18^2*$J$6+$M$5*$J$7</f>
        <v>47.232356000656516</v>
      </c>
      <c r="V15" s="39">
        <f>$J$3+[33]FormattedData!O18*$J$4+$M$4*$J$5+[33]FormattedData!O18^2*$J$6+$M$5*$J$7</f>
        <v>42.520038849413964</v>
      </c>
      <c r="W15" s="38">
        <f>AVERAGE(K15:V15)</f>
        <v>44.382863252271306</v>
      </c>
      <c r="X15" s="37">
        <f>STDEV(K15:V15)/SQRT(COUNT(K15:V15))</f>
        <v>1.0548035909939437</v>
      </c>
      <c r="Y15" s="36">
        <f>MIN(K15:V15)</f>
        <v>37.693427571605625</v>
      </c>
      <c r="Z15" s="35">
        <f>QUARTILE(K15:V15,1)</f>
        <v>42.244116618739355</v>
      </c>
      <c r="AA15" s="36">
        <f>MEDIAN(K15:V15)</f>
        <v>44.255098225932464</v>
      </c>
      <c r="AB15" s="35">
        <f>QUARTILE(K15:V15,3)</f>
        <v>47.277096117233313</v>
      </c>
      <c r="AC15" s="35">
        <f>MAX(K15:V15)</f>
        <v>49.722416781150386</v>
      </c>
      <c r="AD15" s="35">
        <f>SKEW(K15:V15)</f>
        <v>-0.16893890124830113</v>
      </c>
      <c r="AE15" s="35">
        <f>KURT(K15:V15)</f>
        <v>-0.45521340164933743</v>
      </c>
    </row>
    <row r="16" spans="1:35" x14ac:dyDescent="0.2">
      <c r="B16" s="34">
        <f>[33]FormattedData!A16</f>
        <v>107</v>
      </c>
      <c r="C16" s="34" t="str">
        <f>VLOOKUP($B16,[33]TrtCodes!$B$11:I59,2)</f>
        <v>NTL</v>
      </c>
      <c r="D16" s="34">
        <f>VLOOKUP($B16,[33]TrtCodes!$B$11:J59,3)</f>
        <v>10</v>
      </c>
      <c r="E16" s="34">
        <f>VLOOKUP($B16,[33]TrtCodes!$B$11:K59,4)</f>
        <v>2</v>
      </c>
      <c r="F16" s="34">
        <f>VLOOKUP($B16,[33]TrtCodes!$B$11:L59,5)</f>
        <v>2</v>
      </c>
      <c r="G16" s="34">
        <f>VLOOKUP($B16,[33]TrtCodes!$B$11:M59,6)</f>
        <v>1</v>
      </c>
      <c r="H16" s="34">
        <f>VLOOKUP($B16,[33]TrtCodes!$B$11:N59,7)</f>
        <v>2</v>
      </c>
      <c r="I16" s="34">
        <f>[33]FormattedData!B16</f>
        <v>1</v>
      </c>
      <c r="J16" s="37">
        <f>[33]FormattedData!C16</f>
        <v>12.842000000000001</v>
      </c>
      <c r="K16" s="39">
        <f>$J$3+[33]FormattedData!D16*$J$4+$M$4*$J$5+[33]FormattedData!D16^2*$J$6+$M$5*$J$7</f>
        <v>54.34501669898745</v>
      </c>
      <c r="L16" s="39">
        <f>$J$3+[33]FormattedData!E16*$J$4+$M$4*$J$5+[33]FormattedData!E16^2*$J$6+$M$5*$J$7</f>
        <v>54.34501669898745</v>
      </c>
      <c r="M16" s="39">
        <f>$J$3+[33]FormattedData!F16*$J$4+$M$4*$J$5+[33]FormattedData!F16^2*$J$6+$M$5*$J$7</f>
        <v>53.048780236683562</v>
      </c>
      <c r="N16" s="39">
        <f>$J$3+[33]FormattedData!G16*$J$4+$M$4*$J$5+[33]FormattedData!G16^2*$J$6+$M$5*$J$7</f>
        <v>41.876960010587005</v>
      </c>
      <c r="O16" s="39">
        <f>$J$3+[33]FormattedData!H16*$J$4+$M$4*$J$5+[33]FormattedData!H16^2*$J$6+$M$5*$J$7</f>
        <v>46.155042645627084</v>
      </c>
      <c r="P16" s="39">
        <f>$J$3+[33]FormattedData!I16*$J$4+$M$4*$J$5+[33]FormattedData!I16^2*$J$6+$M$5*$J$7</f>
        <v>53.222161255983849</v>
      </c>
      <c r="Q16" s="39">
        <f>$J$3+[33]FormattedData!J16*$J$4+$M$4*$J$5+[33]FormattedData!J16^2*$J$6+$M$5*$J$7</f>
        <v>53.741289868974377</v>
      </c>
      <c r="R16" s="39">
        <f>$J$3+[33]FormattedData!K16*$J$4+$M$4*$J$5+[33]FormattedData!K16^2*$J$6+$M$5*$J$7</f>
        <v>38.630498441072774</v>
      </c>
      <c r="S16" s="39">
        <f>$J$3+[33]FormattedData!L16*$J$4+$M$4*$J$5+[33]FormattedData!L16^2*$J$6+$M$5*$J$7</f>
        <v>53.568416072129267</v>
      </c>
      <c r="T16" s="39">
        <f>$J$3+[33]FormattedData!M16*$J$4+$M$4*$J$5+[33]FormattedData!M16^2*$J$6+$M$5*$J$7</f>
        <v>38.817405392511027</v>
      </c>
      <c r="U16" s="39">
        <f>$J$3+[33]FormattedData!N16*$J$4+$M$4*$J$5+[33]FormattedData!N16^2*$J$6+$M$5*$J$7</f>
        <v>53.741289868974377</v>
      </c>
      <c r="V16" s="39">
        <f>$J$3+[33]FormattedData!O16*$J$4+$M$4*$J$5+[33]FormattedData!O16^2*$J$6+$M$5*$J$7</f>
        <v>37.881179893802511</v>
      </c>
      <c r="W16" s="38">
        <f>AVERAGE(K16:V16)</f>
        <v>48.281088090360051</v>
      </c>
      <c r="X16" s="37">
        <f>STDEV(K16:V16)/SQRT(COUNT(K16:V16))</f>
        <v>2.0313027314571319</v>
      </c>
      <c r="Y16" s="36">
        <f>MIN(K16:V16)</f>
        <v>37.881179893802511</v>
      </c>
      <c r="Z16" s="35">
        <f>QUARTILE(K16:V16,1)</f>
        <v>41.112071356068014</v>
      </c>
      <c r="AA16" s="36">
        <f>MEDIAN(K16:V16)</f>
        <v>53.135470746333709</v>
      </c>
      <c r="AB16" s="35">
        <f>QUARTILE(K16:V16,3)</f>
        <v>53.741289868974377</v>
      </c>
      <c r="AC16" s="35">
        <f>MAX(K16:V16)</f>
        <v>54.34501669898745</v>
      </c>
      <c r="AD16" s="35">
        <f>SKEW(K16:V16)</f>
        <v>-0.62468574003078059</v>
      </c>
      <c r="AE16" s="35">
        <f>KURT(K16:V16)</f>
        <v>-1.6891666979505437</v>
      </c>
    </row>
    <row r="17" spans="2:31" x14ac:dyDescent="0.2">
      <c r="B17" s="34">
        <f>[33]FormattedData!A14</f>
        <v>108</v>
      </c>
      <c r="C17" s="34" t="str">
        <f>VLOOKUP($B17,[33]TrtCodes!$B$11:I57,2)</f>
        <v>FTH</v>
      </c>
      <c r="D17" s="34">
        <f>VLOOKUP($B17,[33]TrtCodes!$B$11:J57,3)</f>
        <v>3</v>
      </c>
      <c r="E17" s="34">
        <f>VLOOKUP($B17,[33]TrtCodes!$B$11:K57,4)</f>
        <v>1</v>
      </c>
      <c r="F17" s="34">
        <f>VLOOKUP($B17,[33]TrtCodes!$B$11:L57,5)</f>
        <v>2</v>
      </c>
      <c r="G17" s="34">
        <f>VLOOKUP($B17,[33]TrtCodes!$B$11:M57,6)</f>
        <v>2</v>
      </c>
      <c r="H17" s="34">
        <f>VLOOKUP($B17,[33]TrtCodes!$B$11:N57,7)</f>
        <v>2</v>
      </c>
      <c r="I17" s="34">
        <f>[33]FormattedData!B14</f>
        <v>1</v>
      </c>
      <c r="J17" s="37">
        <f>[33]FormattedData!C14</f>
        <v>12.824999999999999</v>
      </c>
      <c r="K17" s="39">
        <f>$J$3+[33]FormattedData!D14*$J$4+$M$4*$J$5+[33]FormattedData!D14^2*$J$6+$M$5*$J$7</f>
        <v>54.946672370641906</v>
      </c>
      <c r="L17" s="39">
        <f>$J$3+[33]FormattedData!E14*$J$4+$M$4*$J$5+[33]FormattedData!E14^2*$J$6+$M$5*$J$7</f>
        <v>45.343063252520537</v>
      </c>
      <c r="M17" s="39">
        <f>$J$3+[33]FormattedData!F14*$J$4+$M$4*$J$5+[33]FormattedData!F14^2*$J$6+$M$5*$J$7</f>
        <v>51.743033353345169</v>
      </c>
      <c r="N17" s="39">
        <f>$J$3+[33]FormattedData!G14*$J$4+$M$4*$J$5+[33]FormattedData!G14^2*$J$6+$M$5*$J$7</f>
        <v>40.584588857857192</v>
      </c>
      <c r="O17" s="39">
        <f>$J$3+[33]FormattedData!H14*$J$4+$M$4*$J$5+[33]FormattedData!H14^2*$J$6+$M$5*$J$7</f>
        <v>52.092162430069891</v>
      </c>
      <c r="P17" s="39">
        <f>$J$3+[33]FormattedData!I14*$J$4+$M$4*$J$5+[33]FormattedData!I14^2*$J$6+$M$5*$J$7</f>
        <v>45.614103467064098</v>
      </c>
      <c r="Q17" s="39">
        <f>$J$3+[33]FormattedData!J14*$J$4+$M$4*$J$5+[33]FormattedData!J14^2*$J$6+$M$5*$J$7</f>
        <v>45.162158433468498</v>
      </c>
      <c r="R17" s="39">
        <f>$J$3+[33]FormattedData!K14*$J$4+$M$4*$J$5+[33]FormattedData!K14^2*$J$6+$M$5*$J$7</f>
        <v>39.377111801915447</v>
      </c>
      <c r="S17" s="39">
        <f>$J$3+[33]FormattedData!L14*$J$4+$M$4*$J$5+[33]FormattedData!L14^2*$J$6+$M$5*$J$7</f>
        <v>53.222161255983849</v>
      </c>
      <c r="T17" s="39">
        <f>$J$3+[33]FormattedData!M14*$J$4+$M$4*$J$5+[33]FormattedData!M14^2*$J$6+$M$5*$J$7</f>
        <v>38.630498441072774</v>
      </c>
      <c r="U17" s="39">
        <f>$J$3+[33]FormattedData!N14*$J$4+$M$4*$J$5+[33]FormattedData!N14^2*$J$6+$M$5*$J$7</f>
        <v>53.827663364590045</v>
      </c>
      <c r="V17" s="39">
        <f>$J$3+[33]FormattedData!O14*$J$4+$M$4*$J$5+[33]FormattedData!O14^2*$J$6+$M$5*$J$7</f>
        <v>35.711820336628044</v>
      </c>
      <c r="W17" s="38">
        <f>AVERAGE(K17:V17)</f>
        <v>46.354586447096466</v>
      </c>
      <c r="X17" s="37">
        <f>STDEV(K17:V17)/SQRT(COUNT(K17:V17))</f>
        <v>1.939796440635227</v>
      </c>
      <c r="Y17" s="36">
        <f>MIN(K17:V17)</f>
        <v>35.711820336628044</v>
      </c>
      <c r="Z17" s="35">
        <f>QUARTILE(K17:V17,1)</f>
        <v>40.282719593871754</v>
      </c>
      <c r="AA17" s="36">
        <f>MEDIAN(K17:V17)</f>
        <v>45.478583359792317</v>
      </c>
      <c r="AB17" s="35">
        <f>QUARTILE(K17:V17,3)</f>
        <v>52.37466213654838</v>
      </c>
      <c r="AC17" s="35">
        <f>MAX(K17:V17)</f>
        <v>54.946672370641906</v>
      </c>
      <c r="AD17" s="35">
        <f>SKEW(K17:V17)</f>
        <v>-0.17271340448640679</v>
      </c>
      <c r="AE17" s="35">
        <f>KURT(K17:V17)</f>
        <v>-1.5144745282345657</v>
      </c>
    </row>
    <row r="18" spans="2:31" x14ac:dyDescent="0.2">
      <c r="B18" s="34">
        <f>[33]FormattedData!A30</f>
        <v>201</v>
      </c>
      <c r="C18" s="34" t="str">
        <f>VLOOKUP($B18,[33]TrtCodes!$B$11:I73,2)</f>
        <v>NDL</v>
      </c>
      <c r="D18" s="34">
        <f>VLOOKUP($B18,[33]TrtCodes!$B$11:J73,3)</f>
        <v>12</v>
      </c>
      <c r="E18" s="34">
        <f>VLOOKUP($B18,[33]TrtCodes!$B$11:K73,4)</f>
        <v>2</v>
      </c>
      <c r="F18" s="34">
        <f>VLOOKUP($B18,[33]TrtCodes!$B$11:L73,5)</f>
        <v>3</v>
      </c>
      <c r="G18" s="34">
        <f>VLOOKUP($B18,[33]TrtCodes!$B$11:M73,6)</f>
        <v>1</v>
      </c>
      <c r="H18" s="34">
        <f>VLOOKUP($B18,[33]TrtCodes!$B$11:N73,7)</f>
        <v>1</v>
      </c>
      <c r="I18" s="34">
        <f>[33]FormattedData!B30</f>
        <v>1</v>
      </c>
      <c r="J18" s="37">
        <f>[33]FormattedData!C30</f>
        <v>12.967000000000001</v>
      </c>
      <c r="K18" s="39">
        <f>$J$3+[33]FormattedData!D30*$J$4+$M$4*$J$5+[33]FormattedData!D30^2*$J$6+$M$5*$J$7</f>
        <v>39.563342456746803</v>
      </c>
      <c r="L18" s="39">
        <f>$J$3+[33]FormattedData!E30*$J$4+$M$4*$J$5+[33]FormattedData!E30^2*$J$6+$M$5*$J$7</f>
        <v>34.475769749044858</v>
      </c>
      <c r="M18" s="39">
        <f>$J$3+[33]FormattedData!F30*$J$4+$M$4*$J$5+[33]FormattedData!F30^2*$J$6+$M$5*$J$7</f>
        <v>35.522123661686329</v>
      </c>
      <c r="N18" s="39">
        <f>$J$3+[33]FormattedData!G30*$J$4+$M$4*$J$5+[33]FormattedData!G30^2*$J$6+$M$5*$J$7</f>
        <v>33.424301343313701</v>
      </c>
      <c r="O18" s="39">
        <f>$J$3+[33]FormattedData!H30*$J$4+$M$4*$J$5+[33]FormattedData!H30^2*$J$6+$M$5*$J$7</f>
        <v>32.078671832790647</v>
      </c>
      <c r="P18" s="39">
        <f>$J$3+[33]FormattedData!I30*$J$4+$M$4*$J$5+[33]FormattedData!I30^2*$J$6+$M$5*$J$7</f>
        <v>33.520100722888003</v>
      </c>
      <c r="Q18" s="39">
        <f>$J$3+[33]FormattedData!J30*$J$4+$M$4*$J$5+[33]FormattedData!J30^2*$J$6+$M$5*$J$7</f>
        <v>35.996048335006122</v>
      </c>
      <c r="R18" s="39">
        <f>$J$3+[33]FormattedData!K30*$J$4+$M$4*$J$5+[33]FormattedData!K30^2*$J$6+$M$5*$J$7</f>
        <v>36.46891629487763</v>
      </c>
      <c r="S18" s="39">
        <f>$J$3+[33]FormattedData!L30*$J$4+$M$4*$J$5+[33]FormattedData!L30^2*$J$6+$M$5*$J$7</f>
        <v>35.427211921408585</v>
      </c>
      <c r="T18" s="39">
        <f>$J$3+[33]FormattedData!M30*$J$4+$M$4*$J$5+[33]FormattedData!M30^2*$J$6+$M$5*$J$7</f>
        <v>32.078671832790647</v>
      </c>
      <c r="U18" s="39">
        <f>$J$3+[33]FormattedData!N30*$J$4+$M$4*$J$5+[33]FormattedData!N30^2*$J$6+$M$5*$J$7</f>
        <v>36.185322324568524</v>
      </c>
      <c r="V18" s="39">
        <f>$J$3+[33]FormattedData!O30*$J$4+$M$4*$J$5+[33]FormattedData!O30^2*$J$6+$M$5*$J$7</f>
        <v>31.402750339991186</v>
      </c>
      <c r="W18" s="38">
        <f>AVERAGE(K18:V18)</f>
        <v>34.678602567926085</v>
      </c>
      <c r="X18" s="37">
        <f>STDEV(K18:V18)/SQRT(COUNT(K18:V18))</f>
        <v>0.67167105782860603</v>
      </c>
      <c r="Y18" s="36">
        <f>MIN(K18:V18)</f>
        <v>31.402750339991186</v>
      </c>
      <c r="Z18" s="35">
        <f>QUARTILE(K18:V18,1)</f>
        <v>33.087893965682937</v>
      </c>
      <c r="AA18" s="36">
        <f>MEDIAN(K18:V18)</f>
        <v>34.951490835226721</v>
      </c>
      <c r="AB18" s="35">
        <f>QUARTILE(K18:V18,3)</f>
        <v>36.043366832396721</v>
      </c>
      <c r="AC18" s="35">
        <f>MAX(K18:V18)</f>
        <v>39.563342456746803</v>
      </c>
      <c r="AD18" s="35">
        <f>SKEW(K18:V18)</f>
        <v>0.47788120227540026</v>
      </c>
      <c r="AE18" s="35">
        <f>KURT(K18:V18)</f>
        <v>0.26472770330597317</v>
      </c>
    </row>
    <row r="19" spans="2:31" x14ac:dyDescent="0.2">
      <c r="B19" s="34">
        <f>[33]FormattedData!A32</f>
        <v>202</v>
      </c>
      <c r="C19" s="34" t="str">
        <f>VLOOKUP($B19,[33]TrtCodes!$B$11:I75,2)</f>
        <v>NTH</v>
      </c>
      <c r="D19" s="34">
        <f>VLOOKUP($B19,[33]TrtCodes!$B$11:J75,3)</f>
        <v>9</v>
      </c>
      <c r="E19" s="34">
        <f>VLOOKUP($B19,[33]TrtCodes!$B$11:K75,4)</f>
        <v>2</v>
      </c>
      <c r="F19" s="34">
        <f>VLOOKUP($B19,[33]TrtCodes!$B$11:L75,5)</f>
        <v>2</v>
      </c>
      <c r="G19" s="34">
        <f>VLOOKUP($B19,[33]TrtCodes!$B$11:M75,6)</f>
        <v>2</v>
      </c>
      <c r="H19" s="34">
        <f>VLOOKUP($B19,[33]TrtCodes!$B$11:N75,7)</f>
        <v>1</v>
      </c>
      <c r="I19" s="34">
        <f>[33]FormattedData!B32</f>
        <v>1</v>
      </c>
      <c r="J19" s="37">
        <f>[33]FormattedData!C32</f>
        <v>12.981</v>
      </c>
      <c r="K19" s="39">
        <f>$J$3+[33]FormattedData!D32*$J$4+$M$4*$J$5+[33]FormattedData!D32^2*$J$6+$M$5*$J$7</f>
        <v>45.704365668169423</v>
      </c>
      <c r="L19" s="39">
        <f>$J$3+[33]FormattedData!E32*$J$4+$M$4*$J$5+[33]FormattedData!E32^2*$J$6+$M$5*$J$7</f>
        <v>47.32185736807908</v>
      </c>
      <c r="M19" s="39">
        <f>$J$3+[33]FormattedData!F32*$J$4+$M$4*$J$5+[33]FormattedData!F32^2*$J$6+$M$5*$J$7</f>
        <v>51.218071682120147</v>
      </c>
      <c r="N19" s="39">
        <f>$J$3+[33]FormattedData!G32*$J$4+$M$4*$J$5+[33]FormattedData!G32^2*$J$6+$M$5*$J$7</f>
        <v>44.70915668642462</v>
      </c>
      <c r="O19" s="39">
        <f>$J$3+[33]FormattedData!H32*$J$4+$M$4*$J$5+[33]FormattedData!H32^2*$J$6+$M$5*$J$7</f>
        <v>52.179339027906245</v>
      </c>
      <c r="P19" s="39">
        <f>$J$3+[33]FormattedData!I32*$J$4+$M$4*$J$5+[33]FormattedData!I32^2*$J$6+$M$5*$J$7</f>
        <v>43.343811164603316</v>
      </c>
      <c r="Q19" s="39">
        <f>$J$3+[33]FormattedData!J32*$J$4+$M$4*$J$5+[33]FormattedData!J32^2*$J$6+$M$5*$J$7</f>
        <v>52.092162430069891</v>
      </c>
      <c r="R19" s="39">
        <f>$J$3+[33]FormattedData!K32*$J$4+$M$4*$J$5+[33]FormattedData!K32^2*$J$6+$M$5*$J$7</f>
        <v>51.917682428783387</v>
      </c>
      <c r="S19" s="39">
        <f>$J$3+[33]FormattedData!L32*$J$4+$M$4*$J$5+[33]FormattedData!L32^2*$J$6+$M$5*$J$7</f>
        <v>53.048780236683562</v>
      </c>
      <c r="T19" s="39">
        <f>$J$3+[33]FormattedData!M32*$J$4+$M$4*$J$5+[33]FormattedData!M32^2*$J$6+$M$5*$J$7</f>
        <v>42.886582563766325</v>
      </c>
      <c r="U19" s="39">
        <f>$J$3+[33]FormattedData!N32*$J$4+$M$4*$J$5+[33]FormattedData!N32^2*$J$6+$M$5*$J$7</f>
        <v>50.691588343529602</v>
      </c>
      <c r="V19" s="39">
        <f>$J$3+[33]FormattedData!O32*$J$4+$M$4*$J$5+[33]FormattedData!O32^2*$J$6+$M$5*$J$7</f>
        <v>37.787324866973037</v>
      </c>
      <c r="W19" s="38">
        <f>AVERAGE(K19:V19)</f>
        <v>47.741726872259051</v>
      </c>
      <c r="X19" s="37">
        <f>STDEV(K19:V19)/SQRT(COUNT(K19:V19))</f>
        <v>1.4049064146161869</v>
      </c>
      <c r="Y19" s="36">
        <f>MIN(K19:V19)</f>
        <v>37.787324866973037</v>
      </c>
      <c r="Z19" s="35">
        <f>QUARTILE(K19:V19,1)</f>
        <v>44.367820305969296</v>
      </c>
      <c r="AA19" s="36">
        <f>MEDIAN(K19:V19)</f>
        <v>49.006722855804341</v>
      </c>
      <c r="AB19" s="35">
        <f>QUARTILE(K19:V19,3)</f>
        <v>51.961302429105011</v>
      </c>
      <c r="AC19" s="35">
        <f>MAX(K19:V19)</f>
        <v>53.048780236683562</v>
      </c>
      <c r="AD19" s="35">
        <f>SKEW(K19:V19)</f>
        <v>-0.72173658547229369</v>
      </c>
      <c r="AE19" s="35">
        <f>KURT(K19:V19)</f>
        <v>-0.40547022745429873</v>
      </c>
    </row>
    <row r="20" spans="2:31" x14ac:dyDescent="0.2">
      <c r="B20" s="34">
        <f>[33]FormattedData!A34</f>
        <v>203</v>
      </c>
      <c r="C20" s="34" t="str">
        <f>VLOOKUP($B20,[33]TrtCodes!$B$11:I77,2)</f>
        <v>FTH</v>
      </c>
      <c r="D20" s="34">
        <f>VLOOKUP($B20,[33]TrtCodes!$B$11:J77,3)</f>
        <v>3</v>
      </c>
      <c r="E20" s="34">
        <f>VLOOKUP($B20,[33]TrtCodes!$B$11:K77,4)</f>
        <v>1</v>
      </c>
      <c r="F20" s="34">
        <f>VLOOKUP($B20,[33]TrtCodes!$B$11:L77,5)</f>
        <v>2</v>
      </c>
      <c r="G20" s="34">
        <f>VLOOKUP($B20,[33]TrtCodes!$B$11:M77,6)</f>
        <v>2</v>
      </c>
      <c r="H20" s="34">
        <f>VLOOKUP($B20,[33]TrtCodes!$B$11:N77,7)</f>
        <v>1</v>
      </c>
      <c r="I20" s="34">
        <f>[33]FormattedData!B34</f>
        <v>1</v>
      </c>
      <c r="J20" s="37">
        <f>[33]FormattedData!C34</f>
        <v>12.997999999999999</v>
      </c>
      <c r="K20" s="39">
        <f>$J$3+[33]FormattedData!D34*$J$4+$M$4*$J$5+[33]FormattedData!D34^2*$J$6+$M$5*$J$7</f>
        <v>42.611738180808956</v>
      </c>
      <c r="L20" s="39">
        <f>$J$3+[33]FormattedData!E34*$J$4+$M$4*$J$5+[33]FormattedData!E34^2*$J$6+$M$5*$J$7</f>
        <v>54.172734661673374</v>
      </c>
      <c r="M20" s="39">
        <f>$J$3+[33]FormattedData!F34*$J$4+$M$4*$J$5+[33]FormattedData!F34^2*$J$6+$M$5*$J$7</f>
        <v>52.788391693698642</v>
      </c>
      <c r="N20" s="39">
        <f>$J$3+[33]FormattedData!G34*$J$4+$M$4*$J$5+[33]FormattedData!G34^2*$J$6+$M$5*$J$7</f>
        <v>38.910795465423256</v>
      </c>
      <c r="O20" s="39">
        <f>$J$3+[33]FormattedData!H34*$J$4+$M$4*$J$5+[33]FormattedData!H34^2*$J$6+$M$5*$J$7</f>
        <v>50.603693180548419</v>
      </c>
      <c r="P20" s="39">
        <f>$J$3+[33]FormattedData!I34*$J$4+$M$4*$J$5+[33]FormattedData!I34^2*$J$6+$M$5*$J$7</f>
        <v>40.862222964318008</v>
      </c>
      <c r="Q20" s="39">
        <f>$J$3+[33]FormattedData!J34*$J$4+$M$4*$J$5+[33]FormattedData!J34^2*$J$6+$M$5*$J$7</f>
        <v>53.827663364590045</v>
      </c>
      <c r="R20" s="39">
        <f>$J$3+[33]FormattedData!K34*$J$4+$M$4*$J$5+[33]FormattedData!K34^2*$J$6+$M$5*$J$7</f>
        <v>55.63174274025684</v>
      </c>
      <c r="S20" s="39">
        <f>$J$3+[33]FormattedData!L34*$J$4+$M$4*$J$5+[33]FormattedData!L34^2*$J$6+$M$5*$J$7</f>
        <v>54.946672370641906</v>
      </c>
      <c r="T20" s="39">
        <f>$J$3+[33]FormattedData!M34*$J$4+$M$4*$J$5+[33]FormattedData!M34^2*$J$6+$M$5*$J$7</f>
        <v>36.090706464056289</v>
      </c>
      <c r="U20" s="39">
        <f>$J$3+[33]FormattedData!N34*$J$4+$M$4*$J$5+[33]FormattedData!N34^2*$J$6+$M$5*$J$7</f>
        <v>53.654874104820777</v>
      </c>
      <c r="V20" s="39">
        <f>$J$3+[33]FormattedData!O34*$J$4+$M$4*$J$5+[33]FormattedData!O34^2*$J$6+$M$5*$J$7</f>
        <v>40.862222964318008</v>
      </c>
      <c r="W20" s="38">
        <f>AVERAGE(K20:V20)</f>
        <v>47.913621512929545</v>
      </c>
      <c r="X20" s="37">
        <f>STDEV(K20:V20)/SQRT(COUNT(K20:V20))</f>
        <v>2.1240578058098549</v>
      </c>
      <c r="Y20" s="36">
        <f>MIN(K20:V20)</f>
        <v>36.090706464056289</v>
      </c>
      <c r="Z20" s="35">
        <f>QUARTILE(K20:V20,1)</f>
        <v>40.862222964318008</v>
      </c>
      <c r="AA20" s="36">
        <f>MEDIAN(K20:V20)</f>
        <v>51.696042437123531</v>
      </c>
      <c r="AB20" s="35">
        <f>QUARTILE(K20:V20,3)</f>
        <v>53.913931188860879</v>
      </c>
      <c r="AC20" s="35">
        <f>MAX(K20:V20)</f>
        <v>55.63174274025684</v>
      </c>
      <c r="AD20" s="35">
        <f>SKEW(K20:V20)</f>
        <v>-0.45139559089408865</v>
      </c>
      <c r="AE20" s="35">
        <f>KURT(K20:V20)</f>
        <v>-1.7592903627357042</v>
      </c>
    </row>
    <row r="21" spans="2:31" x14ac:dyDescent="0.2">
      <c r="B21" s="34">
        <f>[33]FormattedData!A36</f>
        <v>204</v>
      </c>
      <c r="C21" s="34" t="str">
        <f>VLOOKUP($B21,[33]TrtCodes!$B$11:I79,2)</f>
        <v>NDH</v>
      </c>
      <c r="D21" s="34">
        <f>VLOOKUP($B21,[33]TrtCodes!$B$11:J79,3)</f>
        <v>11</v>
      </c>
      <c r="E21" s="34">
        <f>VLOOKUP($B21,[33]TrtCodes!$B$11:K79,4)</f>
        <v>2</v>
      </c>
      <c r="F21" s="34">
        <f>VLOOKUP($B21,[33]TrtCodes!$B$11:L79,5)</f>
        <v>3</v>
      </c>
      <c r="G21" s="34">
        <f>VLOOKUP($B21,[33]TrtCodes!$B$11:M79,6)</f>
        <v>2</v>
      </c>
      <c r="H21" s="34">
        <f>VLOOKUP($B21,[33]TrtCodes!$B$11:N79,7)</f>
        <v>1</v>
      </c>
      <c r="I21" s="34">
        <f>[33]FormattedData!B36</f>
        <v>1</v>
      </c>
      <c r="J21" s="37">
        <f>[33]FormattedData!C36</f>
        <v>13.013999999999999</v>
      </c>
      <c r="K21" s="39">
        <f>$J$3+[33]FormattedData!D36*$J$4+$M$4*$J$5+[33]FormattedData!D36^2*$J$6+$M$5*$J$7</f>
        <v>35.616993133426149</v>
      </c>
      <c r="L21" s="39">
        <f>$J$3+[33]FormattedData!E36*$J$4+$M$4*$J$5+[33]FormattedData!E36^2*$J$6+$M$5*$J$7</f>
        <v>33.136649593363188</v>
      </c>
      <c r="M21" s="39">
        <f>$J$3+[33]FormattedData!F36*$J$4+$M$4*$J$5+[33]FormattedData!F36^2*$J$6+$M$5*$J$7</f>
        <v>37.034962984971727</v>
      </c>
      <c r="N21" s="39">
        <f>$J$3+[33]FormattedData!G36*$J$4+$M$4*$J$5+[33]FormattedData!G36^2*$J$6+$M$5*$J$7</f>
        <v>32.560204842938049</v>
      </c>
      <c r="O21" s="39">
        <f>$J$3+[33]FormattedData!H36*$J$4+$M$4*$J$5+[33]FormattedData!H36^2*$J$6+$M$5*$J$7</f>
        <v>39.097448805633931</v>
      </c>
      <c r="P21" s="39">
        <f>$J$3+[33]FormattedData!I36*$J$4+$M$4*$J$5+[33]FormattedData!I36^2*$J$6+$M$5*$J$7</f>
        <v>33.232575778551293</v>
      </c>
      <c r="Q21" s="39">
        <f>$J$3+[33]FormattedData!J36*$J$4+$M$4*$J$5+[33]FormattedData!J36^2*$J$6+$M$5*$J$7</f>
        <v>39.190712072932364</v>
      </c>
      <c r="R21" s="39">
        <f>$J$3+[33]FormattedData!K36*$J$4+$M$4*$J$5+[33]FormattedData!K36^2*$J$6+$M$5*$J$7</f>
        <v>29.752603932883105</v>
      </c>
      <c r="S21" s="39">
        <f>$J$3+[33]FormattedData!L36*$J$4+$M$4*$J$5+[33]FormattedData!L36^2*$J$6+$M$5*$J$7</f>
        <v>37.693427571605625</v>
      </c>
      <c r="T21" s="39">
        <f>$J$3+[33]FormattedData!M36*$J$4+$M$4*$J$5+[33]FormattedData!M36^2*$J$6+$M$5*$J$7</f>
        <v>30.821740587469471</v>
      </c>
      <c r="U21" s="39">
        <f>$J$3+[33]FormattedData!N36*$J$4+$M$4*$J$5+[33]FormattedData!N36^2*$J$6+$M$5*$J$7</f>
        <v>37.599488007700295</v>
      </c>
      <c r="V21" s="39">
        <f>$J$3+[33]FormattedData!O36*$J$4+$M$4*$J$5+[33]FormattedData!O36^2*$J$6+$M$5*$J$7</f>
        <v>29.947372832376555</v>
      </c>
      <c r="W21" s="38">
        <f>AVERAGE(K21:V21)</f>
        <v>34.64034834532098</v>
      </c>
      <c r="X21" s="37">
        <f>STDEV(K21:V21)/SQRT(COUNT(K21:V21))</f>
        <v>1.0090617060992972</v>
      </c>
      <c r="Y21" s="36">
        <f>MIN(K21:V21)</f>
        <v>29.752603932883105</v>
      </c>
      <c r="Z21" s="35">
        <f>QUARTILE(K21:V21,1)</f>
        <v>32.125588779070902</v>
      </c>
      <c r="AA21" s="36">
        <f>MEDIAN(K21:V21)</f>
        <v>34.424784455988721</v>
      </c>
      <c r="AB21" s="35">
        <f>QUARTILE(K21:V21,3)</f>
        <v>37.622972898676629</v>
      </c>
      <c r="AC21" s="35">
        <f>MAX(K21:V21)</f>
        <v>39.190712072932364</v>
      </c>
      <c r="AD21" s="35">
        <f>SKEW(K21:V21)</f>
        <v>-0.10013621131418275</v>
      </c>
      <c r="AE21" s="35">
        <f>KURT(K21:V21)</f>
        <v>-1.5878424810383316</v>
      </c>
    </row>
    <row r="22" spans="2:31" x14ac:dyDescent="0.2">
      <c r="B22" s="34">
        <f>[33]FormattedData!A38</f>
        <v>205</v>
      </c>
      <c r="C22" s="34" t="str">
        <f>VLOOKUP($B22,[33]TrtCodes!$B$11:I81,2)</f>
        <v>FSH</v>
      </c>
      <c r="D22" s="34">
        <f>VLOOKUP($B22,[33]TrtCodes!$B$11:J81,3)</f>
        <v>1</v>
      </c>
      <c r="E22" s="34">
        <f>VLOOKUP($B22,[33]TrtCodes!$B$11:K81,4)</f>
        <v>1</v>
      </c>
      <c r="F22" s="34">
        <f>VLOOKUP($B22,[33]TrtCodes!$B$11:L81,5)</f>
        <v>1</v>
      </c>
      <c r="G22" s="34">
        <f>VLOOKUP($B22,[33]TrtCodes!$B$11:M81,6)</f>
        <v>2</v>
      </c>
      <c r="H22" s="34">
        <f>VLOOKUP($B22,[33]TrtCodes!$B$11:N81,7)</f>
        <v>2</v>
      </c>
      <c r="I22" s="34">
        <f>[33]FormattedData!B38</f>
        <v>1</v>
      </c>
      <c r="J22" s="37">
        <f>[33]FormattedData!C38</f>
        <v>13.03</v>
      </c>
      <c r="K22" s="39">
        <f>$J$3+[33]FormattedData!D38*$J$4+$M$4*$J$5+[33]FormattedData!D38^2*$J$6+$M$5*$J$7</f>
        <v>53.654874104820777</v>
      </c>
      <c r="L22" s="39">
        <f>$J$3+[33]FormattedData!E38*$J$4+$M$4*$J$5+[33]FormattedData!E38^2*$J$6+$M$5*$J$7</f>
        <v>52.614587989019043</v>
      </c>
      <c r="M22" s="39">
        <f>$J$3+[33]FormattedData!F38*$J$4+$M$4*$J$5+[33]FormattedData!F38^2*$J$6+$M$5*$J$7</f>
        <v>53.913994591667766</v>
      </c>
      <c r="N22" s="39">
        <f>$J$3+[33]FormattedData!G38*$J$4+$M$4*$J$5+[33]FormattedData!G38^2*$J$6+$M$5*$J$7</f>
        <v>37.505506175257025</v>
      </c>
      <c r="O22" s="39">
        <f>$J$3+[33]FormattedData!H38*$J$4+$M$4*$J$5+[33]FormattedData!H38^2*$J$6+$M$5*$J$7</f>
        <v>52.875230143231548</v>
      </c>
      <c r="P22" s="39">
        <f>$J$3+[33]FormattedData!I38*$J$4+$M$4*$J$5+[33]FormattedData!I38^2*$J$6+$M$5*$J$7</f>
        <v>40.399288110860311</v>
      </c>
      <c r="Q22" s="39">
        <f>$J$3+[33]FormattedData!J38*$J$4+$M$4*$J$5+[33]FormattedData!J38^2*$J$6+$M$5*$J$7</f>
        <v>53.048780236683562</v>
      </c>
      <c r="R22" s="39">
        <f>$J$3+[33]FormattedData!K38*$J$4+$M$4*$J$5+[33]FormattedData!K38^2*$J$6+$M$5*$J$7</f>
        <v>55.375158365685721</v>
      </c>
      <c r="S22" s="39">
        <f>$J$3+[33]FormattedData!L38*$J$4+$M$4*$J$5+[33]FormattedData!L38^2*$J$6+$M$5*$J$7</f>
        <v>54.258896814599382</v>
      </c>
      <c r="T22" s="39">
        <f>$J$3+[33]FormattedData!M38*$J$4+$M$4*$J$5+[33]FormattedData!M38^2*$J$6+$M$5*$J$7</f>
        <v>38.443422415482786</v>
      </c>
      <c r="U22" s="39">
        <f>$J$3+[33]FormattedData!N38*$J$4+$M$4*$J$5+[33]FormattedData!N38^2*$J$6+$M$5*$J$7</f>
        <v>52.788391693698642</v>
      </c>
      <c r="V22" s="39">
        <f>$J$3+[33]FormattedData!O38*$J$4+$M$4*$J$5+[33]FormattedData!O38^2*$J$6+$M$5*$J$7</f>
        <v>43.89109062385598</v>
      </c>
      <c r="W22" s="38">
        <f>AVERAGE(K22:V22)</f>
        <v>49.064101772071872</v>
      </c>
      <c r="X22" s="37">
        <f>STDEV(K22:V22)/SQRT(COUNT(K22:V22))</f>
        <v>1.9781565374689472</v>
      </c>
      <c r="Y22" s="36">
        <f>MIN(K22:V22)</f>
        <v>37.505506175257025</v>
      </c>
      <c r="Z22" s="35">
        <f>QUARTILE(K22:V22,1)</f>
        <v>43.018139995607065</v>
      </c>
      <c r="AA22" s="36">
        <f>MEDIAN(K22:V22)</f>
        <v>52.831810918465095</v>
      </c>
      <c r="AB22" s="35">
        <f>QUARTILE(K22:V22,3)</f>
        <v>53.719654226532526</v>
      </c>
      <c r="AC22" s="35">
        <f>MAX(K22:V22)</f>
        <v>55.375158365685721</v>
      </c>
      <c r="AD22" s="35">
        <f>SKEW(K22:V22)</f>
        <v>-0.92005237192148903</v>
      </c>
      <c r="AE22" s="35">
        <f>KURT(K22:V22)</f>
        <v>-1.0995992021952676</v>
      </c>
    </row>
    <row r="23" spans="2:31" x14ac:dyDescent="0.2">
      <c r="B23" s="34">
        <f>[33]FormattedData!A40</f>
        <v>206</v>
      </c>
      <c r="C23" s="34" t="str">
        <f>VLOOKUP($B23,[33]TrtCodes!$B$11:I83,2)</f>
        <v>NSL</v>
      </c>
      <c r="D23" s="34">
        <f>VLOOKUP($B23,[33]TrtCodes!$B$11:J83,3)</f>
        <v>8</v>
      </c>
      <c r="E23" s="34">
        <f>VLOOKUP($B23,[33]TrtCodes!$B$11:K83,4)</f>
        <v>2</v>
      </c>
      <c r="F23" s="34">
        <f>VLOOKUP($B23,[33]TrtCodes!$B$11:L83,5)</f>
        <v>1</v>
      </c>
      <c r="G23" s="34">
        <f>VLOOKUP($B23,[33]TrtCodes!$B$11:M83,6)</f>
        <v>1</v>
      </c>
      <c r="H23" s="34">
        <f>VLOOKUP($B23,[33]TrtCodes!$B$11:N83,7)</f>
        <v>2</v>
      </c>
      <c r="I23" s="34">
        <f>[33]FormattedData!B40</f>
        <v>1</v>
      </c>
      <c r="J23" s="37">
        <f>[33]FormattedData!C40</f>
        <v>13.045999999999999</v>
      </c>
      <c r="K23" s="39">
        <f>$J$3+[33]FormattedData!D40*$J$4+$M$4*$J$5+[33]FormattedData!D40^2*$J$6+$M$5*$J$7</f>
        <v>36.657767599060726</v>
      </c>
      <c r="L23" s="39">
        <f>$J$3+[33]FormattedData!E40*$J$4+$M$4*$J$5+[33]FormattedData!E40^2*$J$6+$M$5*$J$7</f>
        <v>37.974992652094045</v>
      </c>
      <c r="M23" s="39">
        <f>$J$3+[33]FormattedData!F40*$J$4+$M$4*$J$5+[33]FormattedData!F40^2*$J$6+$M$5*$J$7</f>
        <v>36.563363081238144</v>
      </c>
      <c r="N23" s="39">
        <f>$J$3+[33]FormattedData!G40*$J$4+$M$4*$J$5+[33]FormattedData!G40^2*$J$6+$M$5*$J$7</f>
        <v>36.846449829092094</v>
      </c>
      <c r="O23" s="39">
        <f>$J$3+[33]FormattedData!H40*$J$4+$M$4*$J$5+[33]FormattedData!H40^2*$J$6+$M$5*$J$7</f>
        <v>38.256177315741091</v>
      </c>
      <c r="P23" s="39">
        <f>$J$3+[33]FormattedData!I40*$J$4+$M$4*$J$5+[33]FormattedData!I40^2*$J$6+$M$5*$J$7</f>
        <v>35.237261635239278</v>
      </c>
      <c r="Q23" s="39">
        <f>$J$3+[33]FormattedData!J40*$J$4+$M$4*$J$5+[33]FormattedData!J40^2*$J$6+$M$5*$J$7</f>
        <v>38.349820999880905</v>
      </c>
      <c r="R23" s="39">
        <f>$J$3+[33]FormattedData!K40*$J$4+$M$4*$J$5+[33]FormattedData!K40^2*$J$6+$M$5*$J$7</f>
        <v>33.232575778551293</v>
      </c>
      <c r="S23" s="39">
        <f>$J$3+[33]FormattedData!L40*$J$4+$M$4*$J$5+[33]FormattedData!L40^2*$J$6+$M$5*$J$7</f>
        <v>37.693427571605625</v>
      </c>
      <c r="T23" s="39">
        <f>$J$3+[33]FormattedData!M40*$J$4+$M$4*$J$5+[33]FormattedData!M40^2*$J$6+$M$5*$J$7</f>
        <v>35.711820336628044</v>
      </c>
      <c r="U23" s="39">
        <f>$J$3+[33]FormattedData!N40*$J$4+$M$4*$J$5+[33]FormattedData!N40^2*$J$6+$M$5*$J$7</f>
        <v>37.22330706669964</v>
      </c>
      <c r="V23" s="39">
        <f>$J$3+[33]FormattedData!O40*$J$4+$M$4*$J$5+[33]FormattedData!O40^2*$J$6+$M$5*$J$7</f>
        <v>34.284974092116926</v>
      </c>
      <c r="W23" s="38">
        <f>AVERAGE(K23:V23)</f>
        <v>36.502661496495648</v>
      </c>
      <c r="X23" s="37">
        <f>STDEV(K23:V23)/SQRT(COUNT(K23:V23))</f>
        <v>0.46527953843384806</v>
      </c>
      <c r="Y23" s="36">
        <f>MIN(K23:V23)</f>
        <v>33.232575778551293</v>
      </c>
      <c r="Z23" s="35">
        <f>QUARTILE(K23:V23,1)</f>
        <v>35.593180661280854</v>
      </c>
      <c r="AA23" s="36">
        <f>MEDIAN(K23:V23)</f>
        <v>36.752108714076414</v>
      </c>
      <c r="AB23" s="35">
        <f>QUARTILE(K23:V23,3)</f>
        <v>37.763818841727726</v>
      </c>
      <c r="AC23" s="35">
        <f>MAX(K23:V23)</f>
        <v>38.349820999880905</v>
      </c>
      <c r="AD23" s="35">
        <f>SKEW(K23:V23)</f>
        <v>-0.81817671224064081</v>
      </c>
      <c r="AE23" s="35">
        <f>KURT(K23:V23)</f>
        <v>-7.3702910838068902E-2</v>
      </c>
    </row>
    <row r="24" spans="2:31" x14ac:dyDescent="0.2">
      <c r="B24" s="34">
        <f>[33]FormattedData!A42</f>
        <v>207</v>
      </c>
      <c r="C24" s="34" t="str">
        <f>VLOOKUP($B24,[33]TrtCodes!$B$11:I85,2)</f>
        <v>FTL</v>
      </c>
      <c r="D24" s="34">
        <f>VLOOKUP($B24,[33]TrtCodes!$B$11:J85,3)</f>
        <v>4</v>
      </c>
      <c r="E24" s="34">
        <f>VLOOKUP($B24,[33]TrtCodes!$B$11:K85,4)</f>
        <v>1</v>
      </c>
      <c r="F24" s="34">
        <f>VLOOKUP($B24,[33]TrtCodes!$B$11:L85,5)</f>
        <v>2</v>
      </c>
      <c r="G24" s="34">
        <f>VLOOKUP($B24,[33]TrtCodes!$B$11:M85,6)</f>
        <v>1</v>
      </c>
      <c r="H24" s="34">
        <f>VLOOKUP($B24,[33]TrtCodes!$B$11:N85,7)</f>
        <v>2</v>
      </c>
      <c r="I24" s="34">
        <f>[33]FormattedData!B42</f>
        <v>1</v>
      </c>
      <c r="J24" s="37">
        <f>[33]FormattedData!C42</f>
        <v>13.063000000000001</v>
      </c>
      <c r="K24" s="39">
        <f>$J$3+[33]FormattedData!D42*$J$4+$M$4*$J$5+[33]FormattedData!D42^2*$J$6+$M$5*$J$7</f>
        <v>47.590107859119186</v>
      </c>
      <c r="L24" s="39">
        <f>$J$3+[33]FormattedData!E42*$J$4+$M$4*$J$5+[33]FormattedData!E42^2*$J$6+$M$5*$J$7</f>
        <v>44.527660107841555</v>
      </c>
      <c r="M24" s="39">
        <f>$J$3+[33]FormattedData!F42*$J$4+$M$4*$J$5+[33]FormattedData!F42^2*$J$6+$M$5*$J$7</f>
        <v>53.222161255983849</v>
      </c>
      <c r="N24" s="39">
        <f>$J$3+[33]FormattedData!G42*$J$4+$M$4*$J$5+[33]FormattedData!G42^2*$J$6+$M$5*$J$7</f>
        <v>34.189512860846072</v>
      </c>
      <c r="O24" s="39">
        <f>$J$3+[33]FormattedData!H42*$J$4+$M$4*$J$5+[33]FormattedData!H42^2*$J$6+$M$5*$J$7</f>
        <v>52.266473357204674</v>
      </c>
      <c r="P24" s="39">
        <f>$J$3+[33]FormattedData!I42*$J$4+$M$4*$J$5+[33]FormattedData!I42^2*$J$6+$M$5*$J$7</f>
        <v>36.090706464056289</v>
      </c>
      <c r="Q24" s="39">
        <f>$J$3+[33]FormattedData!J42*$J$4+$M$4*$J$5+[33]FormattedData!J42^2*$J$6+$M$5*$J$7</f>
        <v>52.527622733872342</v>
      </c>
      <c r="R24" s="39">
        <f>$J$3+[33]FormattedData!K42*$J$4+$M$4*$J$5+[33]FormattedData!K42^2*$J$6+$M$5*$J$7</f>
        <v>33.711572676422826</v>
      </c>
      <c r="S24" s="39">
        <f>$J$3+[33]FormattedData!L42*$J$4+$M$4*$J$5+[33]FormattedData!L42^2*$J$6+$M$5*$J$7</f>
        <v>52.004943563695605</v>
      </c>
      <c r="T24" s="39">
        <f>$J$3+[33]FormattedData!M42*$J$4+$M$4*$J$5+[33]FormattedData!M42^2*$J$6+$M$5*$J$7</f>
        <v>38.817405392511027</v>
      </c>
      <c r="U24" s="39">
        <f>$J$3+[33]FormattedData!N42*$J$4+$M$4*$J$5+[33]FormattedData!N42^2*$J$6+$M$5*$J$7</f>
        <v>51.655645412819155</v>
      </c>
      <c r="V24" s="39">
        <f>$J$3+[33]FormattedData!O42*$J$4+$M$4*$J$5+[33]FormattedData!O42^2*$J$6+$M$5*$J$7</f>
        <v>36.090706464056289</v>
      </c>
      <c r="W24" s="38">
        <f>AVERAGE(K24:V24)</f>
        <v>44.391209845702406</v>
      </c>
      <c r="X24" s="37">
        <f>STDEV(K24:V24)/SQRT(COUNT(K24:V24))</f>
        <v>2.3260587448984409</v>
      </c>
      <c r="Y24" s="36">
        <f>MIN(K24:V24)</f>
        <v>33.711572676422826</v>
      </c>
      <c r="Z24" s="35">
        <f>QUARTILE(K24:V24,1)</f>
        <v>36.090706464056289</v>
      </c>
      <c r="AA24" s="36">
        <f>MEDIAN(K24:V24)</f>
        <v>46.058883983480371</v>
      </c>
      <c r="AB24" s="35">
        <f>QUARTILE(K24:V24,3)</f>
        <v>52.070326012072869</v>
      </c>
      <c r="AC24" s="35">
        <f>MAX(K24:V24)</f>
        <v>53.222161255983849</v>
      </c>
      <c r="AD24" s="35">
        <f>SKEW(K24:V24)</f>
        <v>-0.21343175273453818</v>
      </c>
      <c r="AE24" s="35">
        <f>KURT(K24:V24)</f>
        <v>-1.9826450648246827</v>
      </c>
    </row>
    <row r="25" spans="2:31" x14ac:dyDescent="0.2">
      <c r="B25" s="34">
        <f>[33]FormattedData!A44</f>
        <v>208</v>
      </c>
      <c r="C25" s="34" t="str">
        <f>VLOOKUP($B25,[33]TrtCodes!$B$11:I87,2)</f>
        <v>FSL</v>
      </c>
      <c r="D25" s="34">
        <f>VLOOKUP($B25,[33]TrtCodes!$B$11:J87,3)</f>
        <v>2</v>
      </c>
      <c r="E25" s="34">
        <f>VLOOKUP($B25,[33]TrtCodes!$B$11:K87,4)</f>
        <v>1</v>
      </c>
      <c r="F25" s="34">
        <f>VLOOKUP($B25,[33]TrtCodes!$B$11:L87,5)</f>
        <v>1</v>
      </c>
      <c r="G25" s="34">
        <f>VLOOKUP($B25,[33]TrtCodes!$B$11:M87,6)</f>
        <v>1</v>
      </c>
      <c r="H25" s="34">
        <f>VLOOKUP($B25,[33]TrtCodes!$B$11:N87,7)</f>
        <v>2</v>
      </c>
      <c r="I25" s="34">
        <f>[33]FormattedData!B44</f>
        <v>1</v>
      </c>
      <c r="J25" s="37">
        <f>[33]FormattedData!C44</f>
        <v>13.08</v>
      </c>
      <c r="K25" s="39">
        <f>$J$3+[33]FormattedData!D44*$J$4+$M$4*$J$5+[33]FormattedData!D44^2*$J$6+$M$5*$J$7</f>
        <v>52.527622733872342</v>
      </c>
      <c r="L25" s="39">
        <f>$J$3+[33]FormattedData!E44*$J$4+$M$4*$J$5+[33]FormattedData!E44^2*$J$6+$M$5*$J$7</f>
        <v>44.981084540264739</v>
      </c>
      <c r="M25" s="39">
        <f>$J$3+[33]FormattedData!F44*$J$4+$M$4*$J$5+[33]FormattedData!F44^2*$J$6+$M$5*$J$7</f>
        <v>53.654874104820777</v>
      </c>
      <c r="N25" s="39">
        <f>$J$3+[33]FormattedData!G44*$J$4+$M$4*$J$5+[33]FormattedData!G44^2*$J$6+$M$5*$J$7</f>
        <v>43.343811164603316</v>
      </c>
      <c r="O25" s="39">
        <f>$J$3+[33]FormattedData!H44*$J$4+$M$4*$J$5+[33]FormattedData!H44^2*$J$6+$M$5*$J$7</f>
        <v>53.481915770899803</v>
      </c>
      <c r="P25" s="39">
        <f>$J$3+[33]FormattedData!I44*$J$4+$M$4*$J$5+[33]FormattedData!I44^2*$J$6+$M$5*$J$7</f>
        <v>48.303582686223848</v>
      </c>
      <c r="Q25" s="39">
        <f>$J$3+[33]FormattedData!J44*$J$4+$M$4*$J$5+[33]FormattedData!J44^2*$J$6+$M$5*$J$7</f>
        <v>55.460728759080688</v>
      </c>
      <c r="R25" s="39">
        <f>$J$3+[33]FormattedData!K44*$J$4+$M$4*$J$5+[33]FormattedData!K44^2*$J$6+$M$5*$J$7</f>
        <v>44.799841572909259</v>
      </c>
      <c r="S25" s="39">
        <f>$J$3+[33]FormattedData!L44*$J$4+$M$4*$J$5+[33]FormattedData!L44^2*$J$6+$M$5*$J$7</f>
        <v>54.086530240209427</v>
      </c>
      <c r="T25" s="39">
        <f>$J$3+[33]FormattedData!M44*$J$4+$M$4*$J$5+[33]FormattedData!M44^2*$J$6+$M$5*$J$7</f>
        <v>44.436848415743114</v>
      </c>
      <c r="U25" s="39">
        <f>$J$3+[33]FormattedData!N44*$J$4+$M$4*$J$5+[33]FormattedData!N44^2*$J$6+$M$5*$J$7</f>
        <v>52.266473357204674</v>
      </c>
      <c r="V25" s="39">
        <f>$J$3+[33]FormattedData!O44*$J$4+$M$4*$J$5+[33]FormattedData!O44^2*$J$6+$M$5*$J$7</f>
        <v>42.520038849413964</v>
      </c>
      <c r="W25" s="38">
        <f>AVERAGE(K25:V25)</f>
        <v>49.155279349603823</v>
      </c>
      <c r="X25" s="37">
        <f>STDEV(K25:V25)/SQRT(COUNT(K25:V25))</f>
        <v>1.4069001723023358</v>
      </c>
      <c r="Y25" s="36">
        <f>MIN(K25:V25)</f>
        <v>42.520038849413964</v>
      </c>
      <c r="Z25" s="35">
        <f>QUARTILE(K25:V25,1)</f>
        <v>44.709093283617719</v>
      </c>
      <c r="AA25" s="36">
        <f>MEDIAN(K25:V25)</f>
        <v>50.285028021714261</v>
      </c>
      <c r="AB25" s="35">
        <f>QUARTILE(K25:V25,3)</f>
        <v>53.525155354380047</v>
      </c>
      <c r="AC25" s="35">
        <f>MAX(K25:V25)</f>
        <v>55.460728759080688</v>
      </c>
      <c r="AD25" s="35">
        <f>SKEW(K25:V25)</f>
        <v>-0.13027939753040077</v>
      </c>
      <c r="AE25" s="35">
        <f>KURT(K25:V25)</f>
        <v>-1.9681614122480466</v>
      </c>
    </row>
    <row r="26" spans="2:31" x14ac:dyDescent="0.2">
      <c r="B26" s="34">
        <f>[33]FormattedData!A62</f>
        <v>301</v>
      </c>
      <c r="C26" s="34" t="str">
        <f>VLOOKUP($B26,[33]TrtCodes!$B$11:I105,2)</f>
        <v>NTL</v>
      </c>
      <c r="D26" s="34">
        <f>VLOOKUP($B26,[33]TrtCodes!$B$11:J105,3)</f>
        <v>10</v>
      </c>
      <c r="E26" s="34">
        <f>VLOOKUP($B26,[33]TrtCodes!$B$11:K105,4)</f>
        <v>2</v>
      </c>
      <c r="F26" s="34">
        <f>VLOOKUP($B26,[33]TrtCodes!$B$11:L105,5)</f>
        <v>2</v>
      </c>
      <c r="G26" s="34">
        <f>VLOOKUP($B26,[33]TrtCodes!$B$11:M105,6)</f>
        <v>1</v>
      </c>
      <c r="H26" s="34">
        <f>VLOOKUP($B26,[33]TrtCodes!$B$11:N105,7)</f>
        <v>3</v>
      </c>
      <c r="I26" s="34">
        <f>[33]FormattedData!B62</f>
        <v>1</v>
      </c>
      <c r="J26" s="37">
        <f>[33]FormattedData!C62</f>
        <v>13.196</v>
      </c>
      <c r="K26" s="39">
        <f>$J$3+[33]FormattedData!D62*$J$4+$M$4*$J$5+[33]FormattedData!D62^2*$J$6+$M$5*$J$7</f>
        <v>49.457209624841319</v>
      </c>
      <c r="L26" s="39">
        <f>$J$3+[33]FormattedData!E62*$J$4+$M$4*$J$5+[33]FormattedData!E62^2*$J$6+$M$5*$J$7</f>
        <v>38.910795465423256</v>
      </c>
      <c r="M26" s="39">
        <f>$J$3+[33]FormattedData!F62*$J$4+$M$4*$J$5+[33]FormattedData!F62^2*$J$6+$M$5*$J$7</f>
        <v>40.306574334554988</v>
      </c>
      <c r="N26" s="39">
        <f>$J$3+[33]FormattedData!G62*$J$4+$M$4*$J$5+[33]FormattedData!G62^2*$J$6+$M$5*$J$7</f>
        <v>44.890484190855958</v>
      </c>
      <c r="O26" s="39">
        <f>$J$3+[33]FormattedData!H62*$J$4+$M$4*$J$5+[33]FormattedData!H62^2*$J$6+$M$5*$J$7</f>
        <v>47.590107859119186</v>
      </c>
      <c r="P26" s="39">
        <f>$J$3+[33]FormattedData!I62*$J$4+$M$4*$J$5+[33]FormattedData!I62^2*$J$6+$M$5*$J$7</f>
        <v>36.752129848345369</v>
      </c>
      <c r="Q26" s="39">
        <f>$J$3+[33]FormattedData!J62*$J$4+$M$4*$J$5+[33]FormattedData!J62^2*$J$6+$M$5*$J$7</f>
        <v>42.428297249481055</v>
      </c>
      <c r="R26" s="39">
        <f>$J$3+[33]FormattedData!K62*$J$4+$M$4*$J$5+[33]FormattedData!K62^2*$J$6+$M$5*$J$7</f>
        <v>46.963598287161233</v>
      </c>
      <c r="S26" s="39">
        <f>$J$3+[33]FormattedData!L62*$J$4+$M$4*$J$5+[33]FormattedData!L62^2*$J$6+$M$5*$J$7</f>
        <v>35.142223089347738</v>
      </c>
      <c r="T26" s="39">
        <f>$J$3+[33]FormattedData!M62*$J$4+$M$4*$J$5+[33]FormattedData!M62^2*$J$6+$M$5*$J$7</f>
        <v>48.125467590675271</v>
      </c>
      <c r="U26" s="39">
        <f>$J$3+[33]FormattedData!N62*$J$4+$M$4*$J$5+[33]FormattedData!N62^2*$J$6+$M$5*$J$7</f>
        <v>38.723973051060867</v>
      </c>
      <c r="V26" s="39">
        <f>$J$3+[33]FormattedData!O62*$J$4+$M$4*$J$5+[33]FormattedData!O62^2*$J$6+$M$5*$J$7</f>
        <v>44.164159728220241</v>
      </c>
      <c r="W26" s="38">
        <f>AVERAGE(K26:V26)</f>
        <v>42.787918359923871</v>
      </c>
      <c r="X26" s="37">
        <f>STDEV(K26:V26)/SQRT(COUNT(K26:V26))</f>
        <v>1.3830756131960875</v>
      </c>
      <c r="Y26" s="36">
        <f>MIN(K26:V26)</f>
        <v>35.142223089347738</v>
      </c>
      <c r="Z26" s="35">
        <f>QUARTILE(K26:V26,1)</f>
        <v>38.86408986183266</v>
      </c>
      <c r="AA26" s="36">
        <f>MEDIAN(K26:V26)</f>
        <v>43.296228488850645</v>
      </c>
      <c r="AB26" s="35">
        <f>QUARTILE(K26:V26,3)</f>
        <v>47.120225680150725</v>
      </c>
      <c r="AC26" s="35">
        <f>MAX(K26:V26)</f>
        <v>49.457209624841319</v>
      </c>
      <c r="AD26" s="35">
        <f>SKEW(K26:V26)</f>
        <v>-0.16207134123044731</v>
      </c>
      <c r="AE26" s="35">
        <f>KURT(K26:V26)</f>
        <v>-1.3627991814832834</v>
      </c>
    </row>
    <row r="27" spans="2:31" x14ac:dyDescent="0.2">
      <c r="B27" s="34">
        <f>[33]FormattedData!A64</f>
        <v>302</v>
      </c>
      <c r="C27" s="34" t="str">
        <f>VLOOKUP($B27,[33]TrtCodes!$B$11:I107,2)</f>
        <v>FTL</v>
      </c>
      <c r="D27" s="34">
        <f>VLOOKUP($B27,[33]TrtCodes!$B$11:J107,3)</f>
        <v>4</v>
      </c>
      <c r="E27" s="34">
        <f>VLOOKUP($B27,[33]TrtCodes!$B$11:K107,4)</f>
        <v>1</v>
      </c>
      <c r="F27" s="34">
        <f>VLOOKUP($B27,[33]TrtCodes!$B$11:L107,5)</f>
        <v>2</v>
      </c>
      <c r="G27" s="34">
        <f>VLOOKUP($B27,[33]TrtCodes!$B$11:M107,6)</f>
        <v>1</v>
      </c>
      <c r="H27" s="34">
        <f>VLOOKUP($B27,[33]TrtCodes!$B$11:N107,7)</f>
        <v>3</v>
      </c>
      <c r="I27" s="34">
        <f>[33]FormattedData!B64</f>
        <v>1</v>
      </c>
      <c r="J27" s="37">
        <f>[33]FormattedData!C64</f>
        <v>13.214</v>
      </c>
      <c r="K27" s="39">
        <f>$J$3+[33]FormattedData!D64*$J$4+$M$4*$J$5+[33]FormattedData!D64^2*$J$6+$M$5*$J$7</f>
        <v>47.679440152390029</v>
      </c>
      <c r="L27" s="39">
        <f>$J$3+[33]FormattedData!E64*$J$4+$M$4*$J$5+[33]FormattedData!E64^2*$J$6+$M$5*$J$7</f>
        <v>49.191622051690871</v>
      </c>
      <c r="M27" s="39">
        <f>$J$3+[33]FormattedData!F64*$J$4+$M$4*$J$5+[33]FormattedData!F64^2*$J$6+$M$5*$J$7</f>
        <v>52.701510975627812</v>
      </c>
      <c r="N27" s="39">
        <f>$J$3+[33]FormattedData!G64*$J$4+$M$4*$J$5+[33]FormattedData!G64^2*$J$6+$M$5*$J$7</f>
        <v>42.060908164370076</v>
      </c>
      <c r="O27" s="39">
        <f>$J$3+[33]FormattedData!H64*$J$4+$M$4*$J$5+[33]FormattedData!H64^2*$J$6+$M$5*$J$7</f>
        <v>53.568416072129267</v>
      </c>
      <c r="P27" s="39">
        <f>$J$3+[33]FormattedData!I64*$J$4+$M$4*$J$5+[33]FormattedData!I64^2*$J$6+$M$5*$J$7</f>
        <v>39.470248263600091</v>
      </c>
      <c r="Q27" s="39">
        <f>$J$3+[33]FormattedData!J64*$J$4+$M$4*$J$5+[33]FormattedData!J64^2*$J$6+$M$5*$J$7</f>
        <v>53.913994591667766</v>
      </c>
      <c r="R27" s="39">
        <f>$J$3+[33]FormattedData!K64*$J$4+$M$4*$J$5+[33]FormattedData!K64^2*$J$6+$M$5*$J$7</f>
        <v>38.723973051060867</v>
      </c>
      <c r="S27" s="39">
        <f>$J$3+[33]FormattedData!L64*$J$4+$M$4*$J$5+[33]FormattedData!L64^2*$J$6+$M$5*$J$7</f>
        <v>53.568416072129267</v>
      </c>
      <c r="T27" s="39">
        <f>$J$3+[33]FormattedData!M64*$J$4+$M$4*$J$5+[33]FormattedData!M64^2*$J$6+$M$5*$J$7</f>
        <v>40.12101997633053</v>
      </c>
      <c r="U27" s="39">
        <f>$J$3+[33]FormattedData!N64*$J$4+$M$4*$J$5+[33]FormattedData!N64^2*$J$6+$M$5*$J$7</f>
        <v>52.788391693698642</v>
      </c>
      <c r="V27" s="39">
        <f>$J$3+[33]FormattedData!O64*$J$4+$M$4*$J$5+[33]FormattedData!O64^2*$J$6+$M$5*$J$7</f>
        <v>38.256177315741091</v>
      </c>
      <c r="W27" s="38">
        <f>AVERAGE(K27:V27)</f>
        <v>46.83700986503635</v>
      </c>
      <c r="X27" s="37">
        <f>STDEV(K27:V27)/SQRT(COUNT(K27:V27))</f>
        <v>1.90376317097393</v>
      </c>
      <c r="Y27" s="36">
        <f>MIN(K27:V27)</f>
        <v>38.256177315741091</v>
      </c>
      <c r="Z27" s="35">
        <f>QUARTILE(K27:V27,1)</f>
        <v>39.958327048147922</v>
      </c>
      <c r="AA27" s="36">
        <f>MEDIAN(K27:V27)</f>
        <v>48.43553110204045</v>
      </c>
      <c r="AB27" s="35">
        <f>QUARTILE(K27:V27,3)</f>
        <v>52.983397788306299</v>
      </c>
      <c r="AC27" s="35">
        <f>MAX(K27:V27)</f>
        <v>53.913994591667766</v>
      </c>
      <c r="AD27" s="35">
        <f>SKEW(K27:V27)</f>
        <v>-0.22321595834458874</v>
      </c>
      <c r="AE27" s="35">
        <f>KURT(K27:V27)</f>
        <v>-2.0059100523681939</v>
      </c>
    </row>
    <row r="28" spans="2:31" x14ac:dyDescent="0.2">
      <c r="B28" s="34">
        <f>[33]FormattedData!A66</f>
        <v>303</v>
      </c>
      <c r="C28" s="34" t="str">
        <f>VLOOKUP($B28,[33]TrtCodes!$B$11:I109,2)</f>
        <v>NSL</v>
      </c>
      <c r="D28" s="34">
        <f>VLOOKUP($B28,[33]TrtCodes!$B$11:J109,3)</f>
        <v>8</v>
      </c>
      <c r="E28" s="34">
        <f>VLOOKUP($B28,[33]TrtCodes!$B$11:K109,4)</f>
        <v>2</v>
      </c>
      <c r="F28" s="34">
        <f>VLOOKUP($B28,[33]TrtCodes!$B$11:L109,5)</f>
        <v>1</v>
      </c>
      <c r="G28" s="34">
        <f>VLOOKUP($B28,[33]TrtCodes!$B$11:M109,6)</f>
        <v>1</v>
      </c>
      <c r="H28" s="34">
        <f>VLOOKUP($B28,[33]TrtCodes!$B$11:N109,7)</f>
        <v>3</v>
      </c>
      <c r="I28" s="34">
        <f>[33]FormattedData!B66</f>
        <v>1</v>
      </c>
      <c r="J28" s="37">
        <f>[33]FormattedData!C66</f>
        <v>13.23</v>
      </c>
      <c r="K28" s="39">
        <f>$J$3+[33]FormattedData!D66*$J$4+$M$4*$J$5+[33]FormattedData!D66^2*$J$6+$M$5*$J$7</f>
        <v>36.090706464056289</v>
      </c>
      <c r="L28" s="39">
        <f>$J$3+[33]FormattedData!E66*$J$4+$M$4*$J$5+[33]FormattedData!E66^2*$J$6+$M$5*$J$7</f>
        <v>37.12915616010465</v>
      </c>
      <c r="M28" s="39">
        <f>$J$3+[33]FormattedData!F66*$J$4+$M$4*$J$5+[33]FormattedData!F66^2*$J$6+$M$5*$J$7</f>
        <v>36.940727541300873</v>
      </c>
      <c r="N28" s="39">
        <f>$J$3+[33]FormattedData!G66*$J$4+$M$4*$J$5+[33]FormattedData!G66^2*$J$6+$M$5*$J$7</f>
        <v>33.136649593363188</v>
      </c>
      <c r="O28" s="39">
        <f>$J$3+[33]FormattedData!H66*$J$4+$M$4*$J$5+[33]FormattedData!H66^2*$J$6+$M$5*$J$7</f>
        <v>37.693427571605625</v>
      </c>
      <c r="P28" s="39">
        <f>$J$3+[33]FormattedData!I66*$J$4+$M$4*$J$5+[33]FormattedData!I66^2*$J$6+$M$5*$J$7</f>
        <v>32.17506297189599</v>
      </c>
      <c r="Q28" s="39">
        <f>$J$3+[33]FormattedData!J66*$J$4+$M$4*$J$5+[33]FormattedData!J66^2*$J$6+$M$5*$J$7</f>
        <v>37.317415704756705</v>
      </c>
      <c r="R28" s="39">
        <f>$J$3+[33]FormattedData!K66*$J$4+$M$4*$J$5+[33]FormattedData!K66^2*$J$6+$M$5*$J$7</f>
        <v>31.402750339991186</v>
      </c>
      <c r="S28" s="39">
        <f>$J$3+[33]FormattedData!L66*$J$4+$M$4*$J$5+[33]FormattedData!L66^2*$J$6+$M$5*$J$7</f>
        <v>37.974992652094045</v>
      </c>
      <c r="T28" s="39">
        <f>$J$3+[33]FormattedData!M66*$J$4+$M$4*$J$5+[33]FormattedData!M66^2*$J$6+$M$5*$J$7</f>
        <v>31.885762748966172</v>
      </c>
      <c r="U28" s="39">
        <f>$J$3+[33]FormattedData!N66*$J$4+$M$4*$J$5+[33]FormattedData!N66^2*$J$6+$M$5*$J$7</f>
        <v>37.787324866973037</v>
      </c>
      <c r="V28" s="39">
        <f>$J$3+[33]FormattedData!O66*$J$4+$M$4*$J$5+[33]FormattedData!O66^2*$J$6+$M$5*$J$7</f>
        <v>33.520100722888003</v>
      </c>
      <c r="W28" s="38">
        <f>AVERAGE(K28:V28)</f>
        <v>35.254506444832984</v>
      </c>
      <c r="X28" s="37">
        <f>STDEV(K28:V28)/SQRT(COUNT(K28:V28))</f>
        <v>0.74993909342739584</v>
      </c>
      <c r="Y28" s="36">
        <f>MIN(K28:V28)</f>
        <v>31.402750339991186</v>
      </c>
      <c r="Z28" s="35">
        <f>QUARTILE(K28:V28,1)</f>
        <v>32.896252937996387</v>
      </c>
      <c r="AA28" s="36">
        <f>MEDIAN(K28:V28)</f>
        <v>36.515717002678585</v>
      </c>
      <c r="AB28" s="35">
        <f>QUARTILE(K28:V28,3)</f>
        <v>37.411418671468937</v>
      </c>
      <c r="AC28" s="35">
        <f>MAX(K28:V28)</f>
        <v>37.974992652094045</v>
      </c>
      <c r="AD28" s="35">
        <f>SKEW(K28:V28)</f>
        <v>-0.42097027875837245</v>
      </c>
      <c r="AE28" s="35">
        <f>KURT(K28:V28)</f>
        <v>-1.8249644582207161</v>
      </c>
    </row>
    <row r="29" spans="2:31" x14ac:dyDescent="0.2">
      <c r="B29" s="34">
        <f>[33]FormattedData!A68</f>
        <v>304</v>
      </c>
      <c r="C29" s="34" t="str">
        <f>VLOOKUP($B29,[33]TrtCodes!$B$11:I111,2)</f>
        <v>FSL</v>
      </c>
      <c r="D29" s="34">
        <f>VLOOKUP($B29,[33]TrtCodes!$B$11:J111,3)</f>
        <v>2</v>
      </c>
      <c r="E29" s="34">
        <f>VLOOKUP($B29,[33]TrtCodes!$B$11:K111,4)</f>
        <v>1</v>
      </c>
      <c r="F29" s="34">
        <f>VLOOKUP($B29,[33]TrtCodes!$B$11:L111,5)</f>
        <v>1</v>
      </c>
      <c r="G29" s="34">
        <f>VLOOKUP($B29,[33]TrtCodes!$B$11:M111,6)</f>
        <v>1</v>
      </c>
      <c r="H29" s="34">
        <f>VLOOKUP($B29,[33]TrtCodes!$B$11:N111,7)</f>
        <v>3</v>
      </c>
      <c r="I29" s="34">
        <f>[33]FormattedData!B68</f>
        <v>1</v>
      </c>
      <c r="J29" s="37">
        <f>[33]FormattedData!C68</f>
        <v>13.244999999999999</v>
      </c>
      <c r="K29" s="39">
        <f>$J$3+[33]FormattedData!D68*$J$4+$M$4*$J$5+[33]FormattedData!D68^2*$J$6+$M$5*$J$7</f>
        <v>50.163583337573542</v>
      </c>
      <c r="L29" s="39">
        <f>$J$3+[33]FormattedData!E68*$J$4+$M$4*$J$5+[33]FormattedData!E68^2*$J$6+$M$5*$J$7</f>
        <v>51.568215203755223</v>
      </c>
      <c r="M29" s="39">
        <f>$J$3+[33]FormattedData!F68*$J$4+$M$4*$J$5+[33]FormattedData!F68^2*$J$6+$M$5*$J$7</f>
        <v>50.163583337573542</v>
      </c>
      <c r="N29" s="39">
        <f>$J$3+[33]FormattedData!G68*$J$4+$M$4*$J$5+[33]FormattedData!G68^2*$J$6+$M$5*$J$7</f>
        <v>44.527660107841555</v>
      </c>
      <c r="O29" s="39">
        <f>$J$3+[33]FormattedData!H68*$J$4+$M$4*$J$5+[33]FormattedData!H68^2*$J$6+$M$5*$J$7</f>
        <v>51.917682428783387</v>
      </c>
      <c r="P29" s="39">
        <f>$J$3+[33]FormattedData!I68*$J$4+$M$4*$J$5+[33]FormattedData!I68^2*$J$6+$M$5*$J$7</f>
        <v>53.568416072129267</v>
      </c>
      <c r="Q29" s="39">
        <f>$J$3+[33]FormattedData!J68*$J$4+$M$4*$J$5+[33]FormattedData!J68^2*$J$6+$M$5*$J$7</f>
        <v>53.568416072129267</v>
      </c>
      <c r="R29" s="39">
        <f>$J$3+[33]FormattedData!K68*$J$4+$M$4*$J$5+[33]FormattedData!K68^2*$J$6+$M$5*$J$7</f>
        <v>43.069600809714913</v>
      </c>
      <c r="S29" s="39">
        <f>$J$3+[33]FormattedData!L68*$J$4+$M$4*$J$5+[33]FormattedData!L68^2*$J$6+$M$5*$J$7</f>
        <v>51.218071682120147</v>
      </c>
      <c r="T29" s="39">
        <f>$J$3+[33]FormattedData!M68*$J$4+$M$4*$J$5+[33]FormattedData!M68^2*$J$6+$M$5*$J$7</f>
        <v>44.527660107841555</v>
      </c>
      <c r="U29" s="39">
        <f>$J$3+[33]FormattedData!N68*$J$4+$M$4*$J$5+[33]FormattedData!N68^2*$J$6+$M$5*$J$7</f>
        <v>53.222161255983849</v>
      </c>
      <c r="V29" s="39">
        <f>$J$3+[33]FormattedData!O68*$J$4+$M$4*$J$5+[33]FormattedData!O68^2*$J$6+$M$5*$J$7</f>
        <v>49.722416781150386</v>
      </c>
      <c r="W29" s="38">
        <f>AVERAGE(K29:V29)</f>
        <v>49.769788933049718</v>
      </c>
      <c r="X29" s="37">
        <f>STDEV(K29:V29)/SQRT(COUNT(K29:V29))</f>
        <v>1.0691545076997377</v>
      </c>
      <c r="Y29" s="36">
        <f>MIN(K29:V29)</f>
        <v>43.069600809714913</v>
      </c>
      <c r="Z29" s="35">
        <f>QUARTILE(K29:V29,1)</f>
        <v>48.423727612823178</v>
      </c>
      <c r="AA29" s="36">
        <f>MEDIAN(K29:V29)</f>
        <v>50.690827509846841</v>
      </c>
      <c r="AB29" s="35">
        <f>QUARTILE(K29:V29,3)</f>
        <v>52.243802135583501</v>
      </c>
      <c r="AC29" s="35">
        <f>MAX(K29:V29)</f>
        <v>53.568416072129267</v>
      </c>
      <c r="AD29" s="35">
        <f>SKEW(K29:V29)</f>
        <v>-0.90022991058195967</v>
      </c>
      <c r="AE29" s="35">
        <f>KURT(K29:V29)</f>
        <v>-0.58273360691153897</v>
      </c>
    </row>
    <row r="30" spans="2:31" x14ac:dyDescent="0.2">
      <c r="B30" s="34">
        <f>[33]FormattedData!A70</f>
        <v>305</v>
      </c>
      <c r="C30" s="34" t="str">
        <f>VLOOKUP($B30,[33]TrtCodes!$B$11:I113,2)</f>
        <v>NDH</v>
      </c>
      <c r="D30" s="34">
        <f>VLOOKUP($B30,[33]TrtCodes!$B$11:J113,3)</f>
        <v>11</v>
      </c>
      <c r="E30" s="34">
        <f>VLOOKUP($B30,[33]TrtCodes!$B$11:K113,4)</f>
        <v>2</v>
      </c>
      <c r="F30" s="34">
        <f>VLOOKUP($B30,[33]TrtCodes!$B$11:L113,5)</f>
        <v>3</v>
      </c>
      <c r="G30" s="34">
        <f>VLOOKUP($B30,[33]TrtCodes!$B$11:M113,6)</f>
        <v>2</v>
      </c>
      <c r="H30" s="34">
        <f>VLOOKUP($B30,[33]TrtCodes!$B$11:N113,7)</f>
        <v>4</v>
      </c>
      <c r="I30" s="34">
        <f>[33]FormattedData!B70</f>
        <v>1</v>
      </c>
      <c r="J30" s="37">
        <f>[33]FormattedData!C70</f>
        <v>13.262</v>
      </c>
      <c r="K30" s="39">
        <f>$J$3+[33]FormattedData!D70*$J$4+$M$4*$J$5+[33]FormattedData!D70^2*$J$6+$M$5*$J$7</f>
        <v>36.374427239979198</v>
      </c>
      <c r="L30" s="39">
        <f>$J$3+[33]FormattedData!E70*$J$4+$M$4*$J$5+[33]FormattedData!E70^2*$J$6+$M$5*$J$7</f>
        <v>31.885762748966172</v>
      </c>
      <c r="M30" s="39">
        <f>$J$3+[33]FormattedData!F70*$J$4+$M$4*$J$5+[33]FormattedData!F70^2*$J$6+$M$5*$J$7</f>
        <v>36.563363081238144</v>
      </c>
      <c r="N30" s="39">
        <f>$J$3+[33]FormattedData!G70*$J$4+$M$4*$J$5+[33]FormattedData!G70^2*$J$6+$M$5*$J$7</f>
        <v>32.078671832790647</v>
      </c>
      <c r="O30" s="39">
        <f>$J$3+[33]FormattedData!H70*$J$4+$M$4*$J$5+[33]FormattedData!H70^2*$J$6+$M$5*$J$7</f>
        <v>33.99846359269057</v>
      </c>
      <c r="P30" s="39">
        <f>$J$3+[33]FormattedData!I70*$J$4+$M$4*$J$5+[33]FormattedData!I70^2*$J$6+$M$5*$J$7</f>
        <v>34.189512860846072</v>
      </c>
      <c r="Q30" s="39">
        <f>$J$3+[33]FormattedData!J70*$J$4+$M$4*$J$5+[33]FormattedData!J70^2*$J$6+$M$5*$J$7</f>
        <v>36.752129848345369</v>
      </c>
      <c r="R30" s="39">
        <f>$J$3+[33]FormattedData!K70*$J$4+$M$4*$J$5+[33]FormattedData!K70^2*$J$6+$M$5*$J$7</f>
        <v>32.078671832790647</v>
      </c>
      <c r="S30" s="39">
        <f>$J$3+[33]FormattedData!L70*$J$4+$M$4*$J$5+[33]FormattedData!L70^2*$J$6+$M$5*$J$7</f>
        <v>36.279895916542827</v>
      </c>
      <c r="T30" s="39">
        <f>$J$3+[33]FormattedData!M70*$J$4+$M$4*$J$5+[33]FormattedData!M70^2*$J$6+$M$5*$J$7</f>
        <v>32.752522167231483</v>
      </c>
      <c r="U30" s="39">
        <f>$J$3+[33]FormattedData!N70*$J$4+$M$4*$J$5+[33]FormattedData!N70^2*$J$6+$M$5*$J$7</f>
        <v>38.53698156254675</v>
      </c>
      <c r="V30" s="39">
        <f>$J$3+[33]FormattedData!O70*$J$4+$M$4*$J$5+[33]FormattedData!O70^2*$J$6+$M$5*$J$7</f>
        <v>30.336403408908268</v>
      </c>
      <c r="W30" s="38">
        <f>AVERAGE(K30:V30)</f>
        <v>34.318900507739677</v>
      </c>
      <c r="X30" s="37">
        <f>STDEV(K30:V30)/SQRT(COUNT(K30:V30))</f>
        <v>0.73449514616589484</v>
      </c>
      <c r="Y30" s="36">
        <f>MIN(K30:V30)</f>
        <v>30.336403408908268</v>
      </c>
      <c r="Z30" s="35">
        <f>QUARTILE(K30:V30,1)</f>
        <v>32.078671832790647</v>
      </c>
      <c r="AA30" s="36">
        <f>MEDIAN(K30:V30)</f>
        <v>34.093988226768317</v>
      </c>
      <c r="AB30" s="35">
        <f>QUARTILE(K30:V30,3)</f>
        <v>36.421661200293933</v>
      </c>
      <c r="AC30" s="35">
        <f>MAX(K30:V30)</f>
        <v>38.53698156254675</v>
      </c>
      <c r="AD30" s="35">
        <f>SKEW(K30:V30)</f>
        <v>8.6467805537038173E-2</v>
      </c>
      <c r="AE30" s="35">
        <f>KURT(K30:V30)</f>
        <v>-1.2035356652986819</v>
      </c>
    </row>
    <row r="31" spans="2:31" x14ac:dyDescent="0.2">
      <c r="B31" s="34">
        <f>[33]FormattedData!A72</f>
        <v>306</v>
      </c>
      <c r="C31" s="34" t="str">
        <f>VLOOKUP($B31,[33]TrtCodes!$B$11:I115,2)</f>
        <v>FTL</v>
      </c>
      <c r="D31" s="34">
        <f>VLOOKUP($B31,[33]TrtCodes!$B$11:J115,3)</f>
        <v>4</v>
      </c>
      <c r="E31" s="34">
        <f>VLOOKUP($B31,[33]TrtCodes!$B$11:K115,4)</f>
        <v>1</v>
      </c>
      <c r="F31" s="34">
        <f>VLOOKUP($B31,[33]TrtCodes!$B$11:L115,5)</f>
        <v>2</v>
      </c>
      <c r="G31" s="34">
        <f>VLOOKUP($B31,[33]TrtCodes!$B$11:M115,6)</f>
        <v>1</v>
      </c>
      <c r="H31" s="34">
        <f>VLOOKUP($B31,[33]TrtCodes!$B$11:N115,7)</f>
        <v>4</v>
      </c>
      <c r="I31" s="34">
        <f>[33]FormattedData!B72</f>
        <v>1</v>
      </c>
      <c r="J31" s="37">
        <f>[33]FormattedData!C72</f>
        <v>13.278</v>
      </c>
      <c r="K31" s="39">
        <f>$J$3+[33]FormattedData!D72*$J$4+$M$4*$J$5+[33]FormattedData!D72^2*$J$6+$M$5*$J$7</f>
        <v>49.722416781150386</v>
      </c>
      <c r="L31" s="39">
        <f>$J$3+[33]FormattedData!E72*$J$4+$M$4*$J$5+[33]FormattedData!E72^2*$J$6+$M$5*$J$7</f>
        <v>38.068763141847661</v>
      </c>
      <c r="M31" s="39">
        <f>$J$3+[33]FormattedData!F72*$J$4+$M$4*$J$5+[33]FormattedData!F72^2*$J$6+$M$5*$J$7</f>
        <v>48.925654061699035</v>
      </c>
      <c r="N31" s="39">
        <f>$J$3+[33]FormattedData!G72*$J$4+$M$4*$J$5+[33]FormattedData!G72^2*$J$6+$M$5*$J$7</f>
        <v>38.443422415482786</v>
      </c>
      <c r="O31" s="39">
        <f>$J$3+[33]FormattedData!H72*$J$4+$M$4*$J$5+[33]FormattedData!H72^2*$J$6+$M$5*$J$7</f>
        <v>52.440615210187715</v>
      </c>
      <c r="P31" s="39">
        <f>$J$3+[33]FormattedData!I72*$J$4+$M$4*$J$5+[33]FormattedData!I72^2*$J$6+$M$5*$J$7</f>
        <v>36.563363081238144</v>
      </c>
      <c r="Q31" s="39">
        <f>$J$3+[33]FormattedData!J72*$J$4+$M$4*$J$5+[33]FormattedData!J72^2*$J$6+$M$5*$J$7</f>
        <v>50.163583337573542</v>
      </c>
      <c r="R31" s="39">
        <f>$J$3+[33]FormattedData!K72*$J$4+$M$4*$J$5+[33]FormattedData!K72^2*$J$6+$M$5*$J$7</f>
        <v>38.723973051060867</v>
      </c>
      <c r="S31" s="39">
        <f>$J$3+[33]FormattedData!L72*$J$4+$M$4*$J$5+[33]FormattedData!L72^2*$J$6+$M$5*$J$7</f>
        <v>51.218071682120147</v>
      </c>
      <c r="T31" s="39">
        <f>$J$3+[33]FormattedData!M72*$J$4+$M$4*$J$5+[33]FormattedData!M72^2*$J$6+$M$5*$J$7</f>
        <v>38.443422415482786</v>
      </c>
      <c r="U31" s="39">
        <f>$J$3+[33]FormattedData!N72*$J$4+$M$4*$J$5+[33]FormattedData!N72^2*$J$6+$M$5*$J$7</f>
        <v>51.305670965335814</v>
      </c>
      <c r="V31" s="39">
        <f>$J$3+[33]FormattedData!O72*$J$4+$M$4*$J$5+[33]FormattedData!O72^2*$J$6+$M$5*$J$7</f>
        <v>36.940727541300873</v>
      </c>
      <c r="W31" s="38">
        <f>AVERAGE(K31:V31)</f>
        <v>44.246640307039968</v>
      </c>
      <c r="X31" s="37">
        <f>STDEV(K31:V31)/SQRT(COUNT(K31:V31))</f>
        <v>1.947977413483426</v>
      </c>
      <c r="Y31" s="36">
        <f>MIN(K31:V31)</f>
        <v>36.563363081238144</v>
      </c>
      <c r="Z31" s="35">
        <f>QUARTILE(K31:V31,1)</f>
        <v>38.349757597074003</v>
      </c>
      <c r="AA31" s="36">
        <f>MEDIAN(K31:V31)</f>
        <v>43.824813556379951</v>
      </c>
      <c r="AB31" s="35">
        <f>QUARTILE(K31:V31,3)</f>
        <v>50.427205423710191</v>
      </c>
      <c r="AC31" s="35">
        <f>MAX(K31:V31)</f>
        <v>52.440615210187715</v>
      </c>
      <c r="AD31" s="35">
        <f>SKEW(K31:V31)</f>
        <v>2.6936791894841796E-2</v>
      </c>
      <c r="AE31" s="35">
        <f>KURT(K31:V31)</f>
        <v>-2.289511388478032</v>
      </c>
    </row>
    <row r="32" spans="2:31" x14ac:dyDescent="0.2">
      <c r="B32" s="34">
        <f>[33]FormattedData!A74</f>
        <v>307</v>
      </c>
      <c r="C32" s="34" t="str">
        <f>VLOOKUP($B32,[33]TrtCodes!$B$11:I117,2)</f>
        <v>NTH</v>
      </c>
      <c r="D32" s="34">
        <f>VLOOKUP($B32,[33]TrtCodes!$B$11:J117,3)</f>
        <v>9</v>
      </c>
      <c r="E32" s="34">
        <f>VLOOKUP($B32,[33]TrtCodes!$B$11:K117,4)</f>
        <v>2</v>
      </c>
      <c r="F32" s="34">
        <f>VLOOKUP($B32,[33]TrtCodes!$B$11:L117,5)</f>
        <v>2</v>
      </c>
      <c r="G32" s="34">
        <f>VLOOKUP($B32,[33]TrtCodes!$B$11:M117,6)</f>
        <v>2</v>
      </c>
      <c r="H32" s="34">
        <f>VLOOKUP($B32,[33]TrtCodes!$B$11:N117,7)</f>
        <v>4</v>
      </c>
      <c r="I32" s="34">
        <f>[33]FormattedData!B74</f>
        <v>1</v>
      </c>
      <c r="J32" s="37">
        <f>[33]FormattedData!C74</f>
        <v>13.295</v>
      </c>
      <c r="K32" s="39">
        <f>$J$3+[33]FormattedData!D74*$J$4+$M$4*$J$5+[33]FormattedData!D74^2*$J$6+$M$5*$J$7</f>
        <v>47.679440152390029</v>
      </c>
      <c r="L32" s="39">
        <f>$J$3+[33]FormattedData!E74*$J$4+$M$4*$J$5+[33]FormattedData!E74^2*$J$6+$M$5*$J$7</f>
        <v>39.74940403742643</v>
      </c>
      <c r="M32" s="39">
        <f>$J$3+[33]FormattedData!F74*$J$4+$M$4*$J$5+[33]FormattedData!F74^2*$J$6+$M$5*$J$7</f>
        <v>50.779441237972854</v>
      </c>
      <c r="N32" s="39">
        <f>$J$3+[33]FormattedData!G74*$J$4+$M$4*$J$5+[33]FormattedData!G74^2*$J$6+$M$5*$J$7</f>
        <v>35.996048335006122</v>
      </c>
      <c r="O32" s="39">
        <f>$J$3+[33]FormattedData!H74*$J$4+$M$4*$J$5+[33]FormattedData!H74^2*$J$6+$M$5*$J$7</f>
        <v>51.568215203755223</v>
      </c>
      <c r="P32" s="39">
        <f>$J$3+[33]FormattedData!I74*$J$4+$M$4*$J$5+[33]FormattedData!I74^2*$J$6+$M$5*$J$7</f>
        <v>36.279895916542827</v>
      </c>
      <c r="Q32" s="39">
        <f>$J$3+[33]FormattedData!J74*$J$4+$M$4*$J$5+[33]FormattedData!J74^2*$J$6+$M$5*$J$7</f>
        <v>53.481915770899803</v>
      </c>
      <c r="R32" s="39">
        <f>$J$3+[33]FormattedData!K74*$J$4+$M$4*$J$5+[33]FormattedData!K74^2*$J$6+$M$5*$J$7</f>
        <v>34.666396331821048</v>
      </c>
      <c r="S32" s="39">
        <f>$J$3+[33]FormattedData!L74*$J$4+$M$4*$J$5+[33]FormattedData!L74^2*$J$6+$M$5*$J$7</f>
        <v>51.655645412819155</v>
      </c>
      <c r="T32" s="39">
        <f>$J$3+[33]FormattedData!M74*$J$4+$M$4*$J$5+[33]FormattedData!M74^2*$J$6+$M$5*$J$7</f>
        <v>41.876960010587005</v>
      </c>
      <c r="U32" s="39">
        <f>$J$3+[33]FormattedData!N74*$J$4+$M$4*$J$5+[33]FormattedData!N74^2*$J$6+$M$5*$J$7</f>
        <v>45.704365668169423</v>
      </c>
      <c r="V32" s="39">
        <f>$J$3+[33]FormattedData!O74*$J$4+$M$4*$J$5+[33]FormattedData!O74^2*$J$6+$M$5*$J$7</f>
        <v>44.981084540264739</v>
      </c>
      <c r="W32" s="38">
        <f>AVERAGE(K32:V32)</f>
        <v>44.534901051471223</v>
      </c>
      <c r="X32" s="37">
        <f>STDEV(K32:V32)/SQRT(COUNT(K32:V32))</f>
        <v>1.9444576427917042</v>
      </c>
      <c r="Y32" s="36">
        <f>MIN(K32:V32)</f>
        <v>34.666396331821048</v>
      </c>
      <c r="Z32" s="35">
        <f>QUARTILE(K32:V32,1)</f>
        <v>38.882027007205529</v>
      </c>
      <c r="AA32" s="36">
        <f>MEDIAN(K32:V32)</f>
        <v>45.342725104217081</v>
      </c>
      <c r="AB32" s="35">
        <f>QUARTILE(K32:V32,3)</f>
        <v>50.97663472941845</v>
      </c>
      <c r="AC32" s="35">
        <f>MAX(K32:V32)</f>
        <v>53.481915770899803</v>
      </c>
      <c r="AD32" s="35">
        <f>SKEW(K32:V32)</f>
        <v>-0.20457445400281052</v>
      </c>
      <c r="AE32" s="35">
        <f>KURT(K32:V32)</f>
        <v>-1.5023012071261563</v>
      </c>
    </row>
    <row r="33" spans="2:31" x14ac:dyDescent="0.2">
      <c r="B33" s="34">
        <f>[33]FormattedData!A76</f>
        <v>308</v>
      </c>
      <c r="C33" s="34" t="str">
        <f>VLOOKUP($B33,[33]TrtCodes!$B$11:I119,2)</f>
        <v>FDH</v>
      </c>
      <c r="D33" s="34">
        <f>VLOOKUP($B33,[33]TrtCodes!$B$11:J119,3)</f>
        <v>5</v>
      </c>
      <c r="E33" s="34">
        <f>VLOOKUP($B33,[33]TrtCodes!$B$11:K119,4)</f>
        <v>1</v>
      </c>
      <c r="F33" s="34">
        <f>VLOOKUP($B33,[33]TrtCodes!$B$11:L119,5)</f>
        <v>3</v>
      </c>
      <c r="G33" s="34">
        <f>VLOOKUP($B33,[33]TrtCodes!$B$11:M119,6)</f>
        <v>2</v>
      </c>
      <c r="H33" s="34">
        <f>VLOOKUP($B33,[33]TrtCodes!$B$11:N119,7)</f>
        <v>4</v>
      </c>
      <c r="I33" s="34">
        <f>[33]FormattedData!B76</f>
        <v>1</v>
      </c>
      <c r="J33" s="37">
        <f>[33]FormattedData!C76</f>
        <v>13.311999999999999</v>
      </c>
      <c r="K33" s="39">
        <f>$J$3+[33]FormattedData!D76*$J$4+$M$4*$J$5+[33]FormattedData!D76^2*$J$6+$M$5*$J$7</f>
        <v>40.862222964318008</v>
      </c>
      <c r="L33" s="39">
        <f>$J$3+[33]FormattedData!E76*$J$4+$M$4*$J$5+[33]FormattedData!E76^2*$J$6+$M$5*$J$7</f>
        <v>43.708833211590154</v>
      </c>
      <c r="M33" s="39">
        <f>$J$3+[33]FormattedData!F76*$J$4+$M$4*$J$5+[33]FormattedData!F76^2*$J$6+$M$5*$J$7</f>
        <v>45.162158433468498</v>
      </c>
      <c r="N33" s="39">
        <f>$J$3+[33]FormattedData!G76*$J$4+$M$4*$J$5+[33]FormattedData!G76^2*$J$6+$M$5*$J$7</f>
        <v>38.443422415482786</v>
      </c>
      <c r="O33" s="39">
        <f>$J$3+[33]FormattedData!H76*$J$4+$M$4*$J$5+[33]FormattedData!H76^2*$J$6+$M$5*$J$7</f>
        <v>51.042746310075024</v>
      </c>
      <c r="P33" s="39">
        <f>$J$3+[33]FormattedData!I76*$J$4+$M$4*$J$5+[33]FormattedData!I76^2*$J$6+$M$5*$J$7</f>
        <v>43.43513007915692</v>
      </c>
      <c r="Q33" s="39">
        <f>$J$3+[33]FormattedData!J76*$J$4+$M$4*$J$5+[33]FormattedData!J76^2*$J$6+$M$5*$J$7</f>
        <v>53.481915770899803</v>
      </c>
      <c r="R33" s="39">
        <f>$J$3+[33]FormattedData!K76*$J$4+$M$4*$J$5+[33]FormattedData!K76^2*$J$6+$M$5*$J$7</f>
        <v>39.656394381355582</v>
      </c>
      <c r="S33" s="39">
        <f>$J$3+[33]FormattedData!L76*$J$4+$M$4*$J$5+[33]FormattedData!L76^2*$J$6+$M$5*$J$7</f>
        <v>53.222161255983849</v>
      </c>
      <c r="T33" s="39">
        <f>$J$3+[33]FormattedData!M76*$J$4+$M$4*$J$5+[33]FormattedData!M76^2*$J$6+$M$5*$J$7</f>
        <v>35.806605271292</v>
      </c>
      <c r="U33" s="39">
        <f>$J$3+[33]FormattedData!N76*$J$4+$M$4*$J$5+[33]FormattedData!N76^2*$J$6+$M$5*$J$7</f>
        <v>51.917682428783387</v>
      </c>
      <c r="V33" s="39">
        <f>$J$3+[33]FormattedData!O76*$J$4+$M$4*$J$5+[33]FormattedData!O76^2*$J$6+$M$5*$J$7</f>
        <v>38.162491363063346</v>
      </c>
      <c r="W33" s="38">
        <f>AVERAGE(K33:V33)</f>
        <v>44.575146990455785</v>
      </c>
      <c r="X33" s="37">
        <f>STDEV(K33:V33)/SQRT(COUNT(K33:V33))</f>
        <v>1.8377898212738557</v>
      </c>
      <c r="Y33" s="36">
        <f>MIN(K33:V33)</f>
        <v>35.806605271292</v>
      </c>
      <c r="Z33" s="35">
        <f>QUARTILE(K33:V33,1)</f>
        <v>39.353151389887387</v>
      </c>
      <c r="AA33" s="36">
        <f>MEDIAN(K33:V33)</f>
        <v>43.57198164537354</v>
      </c>
      <c r="AB33" s="35">
        <f>QUARTILE(K33:V33,3)</f>
        <v>51.261480339752111</v>
      </c>
      <c r="AC33" s="35">
        <f>MAX(K33:V33)</f>
        <v>53.481915770899803</v>
      </c>
      <c r="AD33" s="35">
        <f>SKEW(K33:V33)</f>
        <v>0.28706297763039751</v>
      </c>
      <c r="AE33" s="35">
        <f>KURT(K33:V33)</f>
        <v>-1.5071355724002737</v>
      </c>
    </row>
    <row r="34" spans="2:31" x14ac:dyDescent="0.2">
      <c r="B34" s="34">
        <f>[33]FormattedData!A92</f>
        <v>401</v>
      </c>
      <c r="C34" s="34" t="str">
        <f>VLOOKUP($B34,[33]TrtCodes!$B$11:I129,2)</f>
        <v>NSH</v>
      </c>
      <c r="D34" s="34">
        <f>VLOOKUP($B34,[33]TrtCodes!$B$11:J129,3)</f>
        <v>7</v>
      </c>
      <c r="E34" s="34">
        <f>VLOOKUP($B34,[33]TrtCodes!$B$11:K129,4)</f>
        <v>2</v>
      </c>
      <c r="F34" s="34">
        <f>VLOOKUP($B34,[33]TrtCodes!$B$11:L129,5)</f>
        <v>1</v>
      </c>
      <c r="G34" s="34">
        <f>VLOOKUP($B34,[33]TrtCodes!$B$11:M129,6)</f>
        <v>2</v>
      </c>
      <c r="H34" s="34">
        <f>VLOOKUP($B34,[33]TrtCodes!$B$11:N129,7)</f>
        <v>3</v>
      </c>
      <c r="I34" s="34">
        <f>[33]FormattedData!B92</f>
        <v>1</v>
      </c>
      <c r="J34" s="37">
        <f>[33]FormattedData!C92</f>
        <v>13.456</v>
      </c>
      <c r="K34" s="39">
        <f>$J$3+[33]FormattedData!D92*$J$4+$M$4*$J$5+[33]FormattedData!D92^2*$J$6+$M$5*$J$7</f>
        <v>56.399213362921913</v>
      </c>
      <c r="L34" s="39">
        <f>$J$3+[33]FormattedData!E92*$J$4+$M$4*$J$5+[33]FormattedData!E92^2*$J$6+$M$5*$J$7</f>
        <v>54.774982092858863</v>
      </c>
      <c r="M34" s="39">
        <f>$J$3+[33]FormattedData!F92*$J$4+$M$4*$J$5+[33]FormattedData!F92^2*$J$6+$M$5*$J$7</f>
        <v>56.399213362921913</v>
      </c>
      <c r="N34" s="39">
        <f>$J$3+[33]FormattedData!G92*$J$4+$M$4*$J$5+[33]FormattedData!G92^2*$J$6+$M$5*$J$7</f>
        <v>51.042746310075024</v>
      </c>
      <c r="O34" s="39">
        <f>$J$3+[33]FormattedData!H92*$J$4+$M$4*$J$5+[33]FormattedData!H92^2*$J$6+$M$5*$J$7</f>
        <v>57.417181690696005</v>
      </c>
      <c r="P34" s="39">
        <f>$J$3+[33]FormattedData!I92*$J$4+$M$4*$J$5+[33]FormattedData!I92^2*$J$6+$M$5*$J$7</f>
        <v>48.659305654865825</v>
      </c>
      <c r="Q34" s="39">
        <f>$J$3+[33]FormattedData!J92*$J$4+$M$4*$J$5+[33]FormattedData!J92^2*$J$6+$M$5*$J$7</f>
        <v>57.163260234014544</v>
      </c>
      <c r="R34" s="39">
        <f>$J$3+[33]FormattedData!K92*$J$4+$M$4*$J$5+[33]FormattedData!K92^2*$J$6+$M$5*$J$7</f>
        <v>50.51575574902931</v>
      </c>
      <c r="S34" s="39">
        <f>$J$3+[33]FormattedData!L92*$J$4+$M$4*$J$5+[33]FormattedData!L92^2*$J$6+$M$5*$J$7</f>
        <v>57.247942988112968</v>
      </c>
      <c r="T34" s="39">
        <f>$J$3+[33]FormattedData!M92*$J$4+$M$4*$J$5+[33]FormattedData!M92^2*$J$6+$M$5*$J$7</f>
        <v>50.163583337573542</v>
      </c>
      <c r="U34" s="39">
        <f>$J$3+[33]FormattedData!N92*$J$4+$M$4*$J$5+[33]FormattedData!N92^2*$J$6+$M$5*$J$7</f>
        <v>54.34501669898745</v>
      </c>
      <c r="V34" s="39">
        <f>$J$3+[33]FormattedData!O92*$J$4+$M$4*$J$5+[33]FormattedData!O92^2*$J$6+$M$5*$J$7</f>
        <v>53.395373201132422</v>
      </c>
      <c r="W34" s="38">
        <f>AVERAGE(K34:V34)</f>
        <v>53.960297890265821</v>
      </c>
      <c r="X34" s="37">
        <f>STDEV(K34:V34)/SQRT(COUNT(K34:V34))</f>
        <v>0.90845205388911177</v>
      </c>
      <c r="Y34" s="36">
        <f>MIN(K34:V34)</f>
        <v>48.659305654865825</v>
      </c>
      <c r="Z34" s="35">
        <f>QUARTILE(K34:V34,1)</f>
        <v>50.910998669813594</v>
      </c>
      <c r="AA34" s="36">
        <f>MEDIAN(K34:V34)</f>
        <v>54.559999395923157</v>
      </c>
      <c r="AB34" s="35">
        <f>QUARTILE(K34:V34,3)</f>
        <v>56.59022508069507</v>
      </c>
      <c r="AC34" s="35">
        <f>MAX(K34:V34)</f>
        <v>57.417181690696005</v>
      </c>
      <c r="AD34" s="35">
        <f>SKEW(K34:V34)</f>
        <v>-0.45594737232971727</v>
      </c>
      <c r="AE34" s="35">
        <f>KURT(K34:V34)</f>
        <v>-1.3874063013295626</v>
      </c>
    </row>
    <row r="35" spans="2:31" x14ac:dyDescent="0.2">
      <c r="B35" s="34">
        <f>[33]FormattedData!A90</f>
        <v>402</v>
      </c>
      <c r="C35" s="34" t="str">
        <f>VLOOKUP($B35,[33]TrtCodes!$B$11:I130,2)</f>
        <v>NTH</v>
      </c>
      <c r="D35" s="34">
        <f>VLOOKUP($B35,[33]TrtCodes!$B$11:J130,3)</f>
        <v>9</v>
      </c>
      <c r="E35" s="34">
        <f>VLOOKUP($B35,[33]TrtCodes!$B$11:K130,4)</f>
        <v>2</v>
      </c>
      <c r="F35" s="34">
        <f>VLOOKUP($B35,[33]TrtCodes!$B$11:L130,5)</f>
        <v>2</v>
      </c>
      <c r="G35" s="34">
        <f>VLOOKUP($B35,[33]TrtCodes!$B$11:M130,6)</f>
        <v>2</v>
      </c>
      <c r="H35" s="34">
        <f>VLOOKUP($B35,[33]TrtCodes!$B$11:N130,7)</f>
        <v>3</v>
      </c>
      <c r="I35" s="34">
        <f>[33]FormattedData!B90</f>
        <v>1</v>
      </c>
      <c r="J35" s="37">
        <f>[33]FormattedData!C90</f>
        <v>13.441000000000001</v>
      </c>
      <c r="K35" s="39">
        <f>$J$3+[33]FormattedData!D90*$J$4+$M$4*$J$5+[33]FormattedData!D90^2*$J$6+$M$5*$J$7</f>
        <v>45.252631977263476</v>
      </c>
      <c r="L35" s="39">
        <f>$J$3+[33]FormattedData!E90*$J$4+$M$4*$J$5+[33]FormattedData!E90^2*$J$6+$M$5*$J$7</f>
        <v>43.43513007915692</v>
      </c>
      <c r="M35" s="39">
        <f>$J$3+[33]FormattedData!F90*$J$4+$M$4*$J$5+[33]FormattedData!F90^2*$J$6+$M$5*$J$7</f>
        <v>44.527660107841555</v>
      </c>
      <c r="N35" s="39">
        <f>$J$3+[33]FormattedData!G90*$J$4+$M$4*$J$5+[33]FormattedData!G90^2*$J$6+$M$5*$J$7</f>
        <v>44.164159728220241</v>
      </c>
      <c r="O35" s="39">
        <f>$J$3+[33]FormattedData!H90*$J$4+$M$4*$J$5+[33]FormattedData!H90^2*$J$6+$M$5*$J$7</f>
        <v>43.43513007915692</v>
      </c>
      <c r="P35" s="39">
        <f>$J$3+[33]FormattedData!I90*$J$4+$M$4*$J$5+[33]FormattedData!I90^2*$J$6+$M$5*$J$7</f>
        <v>42.244687244001433</v>
      </c>
      <c r="Q35" s="39">
        <f>$J$3+[33]FormattedData!J90*$J$4+$M$4*$J$5+[33]FormattedData!J90^2*$J$6+$M$5*$J$7</f>
        <v>40.954683129395761</v>
      </c>
      <c r="R35" s="39">
        <f>$J$3+[33]FormattedData!K90*$J$4+$M$4*$J$5+[33]FormattedData!K90^2*$J$6+$M$5*$J$7</f>
        <v>40.862222964318008</v>
      </c>
      <c r="S35" s="39">
        <f>$J$3+[33]FormattedData!L90*$J$4+$M$4*$J$5+[33]FormattedData!L90^2*$J$6+$M$5*$J$7</f>
        <v>39.004143269797559</v>
      </c>
      <c r="T35" s="39">
        <f>$J$3+[33]FormattedData!M90*$J$4+$M$4*$J$5+[33]FormattedData!M90^2*$J$6+$M$5*$J$7</f>
        <v>43.526406725172592</v>
      </c>
      <c r="U35" s="39">
        <f>$J$3+[33]FormattedData!N90*$J$4+$M$4*$J$5+[33]FormattedData!N90^2*$J$6+$M$5*$J$7</f>
        <v>39.470248263600091</v>
      </c>
      <c r="V35" s="39">
        <f>$J$3+[33]FormattedData!O90*$J$4+$M$4*$J$5+[33]FormattedData!O90^2*$J$6+$M$5*$J$7</f>
        <v>35.237261635239278</v>
      </c>
      <c r="W35" s="38">
        <f>AVERAGE(K35:V35)</f>
        <v>41.842863766930314</v>
      </c>
      <c r="X35" s="37">
        <f>STDEV(K35:V35)/SQRT(COUNT(K35:V35))</f>
        <v>0.83194554625702677</v>
      </c>
      <c r="Y35" s="36">
        <f>MIN(K35:V35)</f>
        <v>35.237261635239278</v>
      </c>
      <c r="Z35" s="35">
        <f>QUARTILE(K35:V35,1)</f>
        <v>40.514229289138527</v>
      </c>
      <c r="AA35" s="36">
        <f>MEDIAN(K35:V35)</f>
        <v>42.839908661579173</v>
      </c>
      <c r="AB35" s="35">
        <f>QUARTILE(K35:V35,3)</f>
        <v>43.685844975934501</v>
      </c>
      <c r="AC35" s="35">
        <f>MAX(K35:V35)</f>
        <v>45.252631977263476</v>
      </c>
      <c r="AD35" s="35">
        <f>SKEW(K35:V35)</f>
        <v>-1.1015127800094391</v>
      </c>
      <c r="AE35" s="35">
        <f>KURT(K35:V35)</f>
        <v>1.0815573824020346</v>
      </c>
    </row>
    <row r="36" spans="2:31" x14ac:dyDescent="0.2">
      <c r="B36" s="34">
        <f>[33]FormattedData!A88</f>
        <v>403</v>
      </c>
      <c r="C36" s="34" t="str">
        <f>VLOOKUP($B36,[33]TrtCodes!$B$11:I131,2)</f>
        <v>FDL</v>
      </c>
      <c r="D36" s="34">
        <f>VLOOKUP($B36,[33]TrtCodes!$B$11:J131,3)</f>
        <v>6</v>
      </c>
      <c r="E36" s="34">
        <f>VLOOKUP($B36,[33]TrtCodes!$B$11:K131,4)</f>
        <v>1</v>
      </c>
      <c r="F36" s="34">
        <f>VLOOKUP($B36,[33]TrtCodes!$B$11:L131,5)</f>
        <v>3</v>
      </c>
      <c r="G36" s="34">
        <f>VLOOKUP($B36,[33]TrtCodes!$B$11:M131,6)</f>
        <v>1</v>
      </c>
      <c r="H36" s="34">
        <f>VLOOKUP($B36,[33]TrtCodes!$B$11:N131,7)</f>
        <v>3</v>
      </c>
      <c r="I36" s="34">
        <f>[33]FormattedData!B88</f>
        <v>1</v>
      </c>
      <c r="J36" s="37">
        <f>[33]FormattedData!C88</f>
        <v>13.423</v>
      </c>
      <c r="K36" s="39">
        <f>$J$3+[33]FormattedData!D88*$J$4+$M$4*$J$5+[33]FormattedData!D88^2*$J$6+$M$5*$J$7</f>
        <v>52.179339027906245</v>
      </c>
      <c r="L36" s="39">
        <f>$J$3+[33]FormattedData!E88*$J$4+$M$4*$J$5+[33]FormattedData!E88^2*$J$6+$M$5*$J$7</f>
        <v>37.22330706669964</v>
      </c>
      <c r="M36" s="39">
        <f>$J$3+[33]FormattedData!F88*$J$4+$M$4*$J$5+[33]FormattedData!F88^2*$J$6+$M$5*$J$7</f>
        <v>48.214546272718522</v>
      </c>
      <c r="N36" s="39">
        <f>$J$3+[33]FormattedData!G88*$J$4+$M$4*$J$5+[33]FormattedData!G88^2*$J$6+$M$5*$J$7</f>
        <v>35.142223089347738</v>
      </c>
      <c r="O36" s="39">
        <f>$J$3+[33]FormattedData!H88*$J$4+$M$4*$J$5+[33]FormattedData!H88^2*$J$6+$M$5*$J$7</f>
        <v>43.89109062385598</v>
      </c>
      <c r="P36" s="39">
        <f>$J$3+[33]FormattedData!I88*$J$4+$M$4*$J$5+[33]FormattedData!I88^2*$J$6+$M$5*$J$7</f>
        <v>38.723973051060867</v>
      </c>
      <c r="Q36" s="39">
        <f>$J$3+[33]FormattedData!J88*$J$4+$M$4*$J$5+[33]FormattedData!J88^2*$J$6+$M$5*$J$7</f>
        <v>46.873927845586934</v>
      </c>
      <c r="R36" s="39">
        <f>$J$3+[33]FormattedData!K88*$J$4+$M$4*$J$5+[33]FormattedData!K88^2*$J$6+$M$5*$J$7</f>
        <v>38.723973051060867</v>
      </c>
      <c r="S36" s="39">
        <f>$J$3+[33]FormattedData!L88*$J$4+$M$4*$J$5+[33]FormattedData!L88^2*$J$6+$M$5*$J$7</f>
        <v>53.308788362827102</v>
      </c>
      <c r="T36" s="39">
        <f>$J$3+[33]FormattedData!M88*$J$4+$M$4*$J$5+[33]FormattedData!M88^2*$J$6+$M$5*$J$7</f>
        <v>42.611738180808956</v>
      </c>
      <c r="U36" s="39">
        <f>$J$3+[33]FormattedData!N88*$J$4+$M$4*$J$5+[33]FormattedData!N88^2*$J$6+$M$5*$J$7</f>
        <v>48.036346640094081</v>
      </c>
      <c r="V36" s="39">
        <f>$J$3+[33]FormattedData!O88*$J$4+$M$4*$J$5+[33]FormattedData!O88^2*$J$6+$M$5*$J$7</f>
        <v>38.910795465423256</v>
      </c>
      <c r="W36" s="38">
        <f>AVERAGE(K36:V36)</f>
        <v>43.653337389782514</v>
      </c>
      <c r="X36" s="37">
        <f>STDEV(K36:V36)/SQRT(COUNT(K36:V36))</f>
        <v>1.745823627905843</v>
      </c>
      <c r="Y36" s="36">
        <f>MIN(K36:V36)</f>
        <v>35.142223089347738</v>
      </c>
      <c r="Z36" s="35">
        <f>QUARTILE(K36:V36,1)</f>
        <v>38.723973051060867</v>
      </c>
      <c r="AA36" s="36">
        <f>MEDIAN(K36:V36)</f>
        <v>43.251414402332472</v>
      </c>
      <c r="AB36" s="35">
        <f>QUARTILE(K36:V36,3)</f>
        <v>48.080896548250195</v>
      </c>
      <c r="AC36" s="35">
        <f>MAX(K36:V36)</f>
        <v>53.308788362827102</v>
      </c>
      <c r="AD36" s="35">
        <f>SKEW(K36:V36)</f>
        <v>0.24793083787289033</v>
      </c>
      <c r="AE36" s="35">
        <f>KURT(K36:V36)</f>
        <v>-1.2616420468694178</v>
      </c>
    </row>
    <row r="37" spans="2:31" x14ac:dyDescent="0.2">
      <c r="B37" s="34">
        <f>[33]FormattedData!A86</f>
        <v>404</v>
      </c>
      <c r="C37" s="34" t="str">
        <f>VLOOKUP($B37,[33]TrtCodes!$B$11:I129,2)</f>
        <v>FTH</v>
      </c>
      <c r="D37" s="34">
        <f>VLOOKUP($B37,[33]TrtCodes!$B$11:J129,3)</f>
        <v>3</v>
      </c>
      <c r="E37" s="34">
        <f>VLOOKUP($B37,[33]TrtCodes!$B$11:K129,4)</f>
        <v>1</v>
      </c>
      <c r="F37" s="34">
        <f>VLOOKUP($B37,[33]TrtCodes!$B$11:L129,5)</f>
        <v>2</v>
      </c>
      <c r="G37" s="34">
        <f>VLOOKUP($B37,[33]TrtCodes!$B$11:M129,6)</f>
        <v>2</v>
      </c>
      <c r="H37" s="34">
        <f>VLOOKUP($B37,[33]TrtCodes!$B$11:N129,7)</f>
        <v>3</v>
      </c>
      <c r="I37" s="34">
        <f>[33]FormattedData!B86</f>
        <v>1</v>
      </c>
      <c r="J37" s="37">
        <f>[33]FormattedData!C86</f>
        <v>13.406000000000001</v>
      </c>
      <c r="K37" s="39">
        <f>$J$3+[33]FormattedData!D86*$J$4+$M$4*$J$5+[33]FormattedData!D86^2*$J$6+$M$5*$J$7</f>
        <v>55.717186328038018</v>
      </c>
      <c r="L37" s="39">
        <f>$J$3+[33]FormattedData!E86*$J$4+$M$4*$J$5+[33]FormattedData!E86^2*$J$6+$M$5*$J$7</f>
        <v>46.963598287161233</v>
      </c>
      <c r="M37" s="39">
        <f>$J$3+[33]FormattedData!F86*$J$4+$M$4*$J$5+[33]FormattedData!F86^2*$J$6+$M$5*$J$7</f>
        <v>52.092162430069891</v>
      </c>
      <c r="N37" s="39">
        <f>$J$3+[33]FormattedData!G86*$J$4+$M$4*$J$5+[33]FormattedData!G86^2*$J$6+$M$5*$J$7</f>
        <v>40.862222964318008</v>
      </c>
      <c r="O37" s="39">
        <f>$J$3+[33]FormattedData!H86*$J$4+$M$4*$J$5+[33]FormattedData!H86^2*$J$6+$M$5*$J$7</f>
        <v>48.570438315512234</v>
      </c>
      <c r="P37" s="39">
        <f>$J$3+[33]FormattedData!I86*$J$4+$M$4*$J$5+[33]FormattedData!I86^2*$J$6+$M$5*$J$7</f>
        <v>51.917682428783387</v>
      </c>
      <c r="Q37" s="39">
        <f>$J$3+[33]FormattedData!J86*$J$4+$M$4*$J$5+[33]FormattedData!J86^2*$J$6+$M$5*$J$7</f>
        <v>53.308788362827102</v>
      </c>
      <c r="R37" s="39">
        <f>$J$3+[33]FormattedData!K86*$J$4+$M$4*$J$5+[33]FormattedData!K86^2*$J$6+$M$5*$J$7</f>
        <v>40.12101997633053</v>
      </c>
      <c r="S37" s="39">
        <f>$J$3+[33]FormattedData!L86*$J$4+$M$4*$J$5+[33]FormattedData!L86^2*$J$6+$M$5*$J$7</f>
        <v>51.218071682120147</v>
      </c>
      <c r="T37" s="39">
        <f>$J$3+[33]FormattedData!M86*$J$4+$M$4*$J$5+[33]FormattedData!M86^2*$J$6+$M$5*$J$7</f>
        <v>44.073178961970086</v>
      </c>
      <c r="U37" s="39">
        <f>$J$3+[33]FormattedData!N86*$J$4+$M$4*$J$5+[33]FormattedData!N86^2*$J$6+$M$5*$J$7</f>
        <v>52.701510975627812</v>
      </c>
      <c r="V37" s="39">
        <f>$J$3+[33]FormattedData!O86*$J$4+$M$4*$J$5+[33]FormattedData!O86^2*$J$6+$M$5*$J$7</f>
        <v>41.968955221747507</v>
      </c>
      <c r="W37" s="38">
        <f>AVERAGE(K37:V37)</f>
        <v>48.292901327875491</v>
      </c>
      <c r="X37" s="37">
        <f>STDEV(K37:V37)/SQRT(COUNT(K37:V37))</f>
        <v>1.5508601338017436</v>
      </c>
      <c r="Y37" s="36">
        <f>MIN(K37:V37)</f>
        <v>40.12101997633053</v>
      </c>
      <c r="Z37" s="35">
        <f>QUARTILE(K37:V37,1)</f>
        <v>43.547123026914441</v>
      </c>
      <c r="AA37" s="36">
        <f>MEDIAN(K37:V37)</f>
        <v>49.894254998816194</v>
      </c>
      <c r="AB37" s="35">
        <f>QUARTILE(K37:V37,3)</f>
        <v>52.244499566459368</v>
      </c>
      <c r="AC37" s="35">
        <f>MAX(K37:V37)</f>
        <v>55.717186328038018</v>
      </c>
      <c r="AD37" s="35">
        <f>SKEW(K37:V37)</f>
        <v>-0.37835190359541149</v>
      </c>
      <c r="AE37" s="35">
        <f>KURT(K37:V37)</f>
        <v>-1.3981151305564485</v>
      </c>
    </row>
    <row r="38" spans="2:31" x14ac:dyDescent="0.2">
      <c r="B38" s="34">
        <f>[33]FormattedData!A84</f>
        <v>405</v>
      </c>
      <c r="C38" s="34" t="str">
        <f>VLOOKUP($B38,[33]TrtCodes!$B$11:I127,2)</f>
        <v>FDL</v>
      </c>
      <c r="D38" s="34">
        <f>VLOOKUP($B38,[33]TrtCodes!$B$11:J127,3)</f>
        <v>6</v>
      </c>
      <c r="E38" s="34">
        <f>VLOOKUP($B38,[33]TrtCodes!$B$11:K127,4)</f>
        <v>1</v>
      </c>
      <c r="F38" s="34">
        <f>VLOOKUP($B38,[33]TrtCodes!$B$11:L127,5)</f>
        <v>3</v>
      </c>
      <c r="G38" s="34">
        <f>VLOOKUP($B38,[33]TrtCodes!$B$11:M127,6)</f>
        <v>1</v>
      </c>
      <c r="H38" s="34">
        <f>VLOOKUP($B38,[33]TrtCodes!$B$11:N127,7)</f>
        <v>4</v>
      </c>
      <c r="I38" s="34">
        <f>[33]FormattedData!B84</f>
        <v>1</v>
      </c>
      <c r="J38" s="37">
        <f>[33]FormattedData!C84</f>
        <v>13.388999999999999</v>
      </c>
      <c r="K38" s="39">
        <f>$J$3+[33]FormattedData!D84*$J$4+$M$4*$J$5+[33]FormattedData!D84^2*$J$6+$M$5*$J$7</f>
        <v>47.679440152390029</v>
      </c>
      <c r="L38" s="39">
        <f>$J$3+[33]FormattedData!E84*$J$4+$M$4*$J$5+[33]FormattedData!E84^2*$J$6+$M$5*$J$7</f>
        <v>41.784922530888572</v>
      </c>
      <c r="M38" s="39">
        <f>$J$3+[33]FormattedData!F84*$J$4+$M$4*$J$5+[33]FormattedData!F84^2*$J$6+$M$5*$J$7</f>
        <v>51.743033353345169</v>
      </c>
      <c r="N38" s="39">
        <f>$J$3+[33]FormattedData!G84*$J$4+$M$4*$J$5+[33]FormattedData!G84^2*$J$6+$M$5*$J$7</f>
        <v>37.505506175257025</v>
      </c>
      <c r="O38" s="39">
        <f>$J$3+[33]FormattedData!H84*$J$4+$M$4*$J$5+[33]FormattedData!H84^2*$J$6+$M$5*$J$7</f>
        <v>51.655645412819155</v>
      </c>
      <c r="P38" s="39">
        <f>$J$3+[33]FormattedData!I84*$J$4+$M$4*$J$5+[33]FormattedData!I84^2*$J$6+$M$5*$J$7</f>
        <v>33.807245250383332</v>
      </c>
      <c r="Q38" s="39">
        <f>$J$3+[33]FormattedData!J84*$J$4+$M$4*$J$5+[33]FormattedData!J84^2*$J$6+$M$5*$J$7</f>
        <v>50.251689843244378</v>
      </c>
      <c r="R38" s="39">
        <f>$J$3+[33]FormattedData!K84*$J$4+$M$4*$J$5+[33]FormattedData!K84^2*$J$6+$M$5*$J$7</f>
        <v>47.76873017712294</v>
      </c>
      <c r="S38" s="39">
        <f>$J$3+[33]FormattedData!L84*$J$4+$M$4*$J$5+[33]FormattedData!L84^2*$J$6+$M$5*$J$7</f>
        <v>46.155042645627084</v>
      </c>
      <c r="T38" s="39">
        <f>$J$3+[33]FormattedData!M84*$J$4+$M$4*$J$5+[33]FormattedData!M84^2*$J$6+$M$5*$J$7</f>
        <v>37.317415704756705</v>
      </c>
      <c r="U38" s="39">
        <f>$J$3+[33]FormattedData!N84*$J$4+$M$4*$J$5+[33]FormattedData!N84^2*$J$6+$M$5*$J$7</f>
        <v>39.190712072932364</v>
      </c>
      <c r="V38" s="39">
        <f>$J$3+[33]FormattedData!O84*$J$4+$M$4*$J$5+[33]FormattedData!O84^2*$J$6+$M$5*$J$7</f>
        <v>39.563342456746803</v>
      </c>
      <c r="W38" s="38">
        <f>AVERAGE(K38:V38)</f>
        <v>43.701893814626125</v>
      </c>
      <c r="X38" s="37">
        <f>STDEV(K38:V38)/SQRT(COUNT(K38:V38))</f>
        <v>1.7994399114145931</v>
      </c>
      <c r="Y38" s="36">
        <f>MIN(K38:V38)</f>
        <v>33.807245250383332</v>
      </c>
      <c r="Z38" s="35">
        <f>QUARTILE(K38:V38,1)</f>
        <v>38.769410598513531</v>
      </c>
      <c r="AA38" s="36">
        <f>MEDIAN(K38:V38)</f>
        <v>43.969982588257828</v>
      </c>
      <c r="AB38" s="35">
        <f>QUARTILE(K38:V38,3)</f>
        <v>48.389470093653301</v>
      </c>
      <c r="AC38" s="35">
        <f>MAX(K38:V38)</f>
        <v>51.743033353345169</v>
      </c>
      <c r="AD38" s="35">
        <f>SKEW(K38:V38)</f>
        <v>-8.4479988050166294E-2</v>
      </c>
      <c r="AE38" s="35">
        <f>KURT(K38:V38)</f>
        <v>-1.5257939320982259</v>
      </c>
    </row>
    <row r="39" spans="2:31" x14ac:dyDescent="0.2">
      <c r="B39" s="34">
        <f>[33]FormattedData!A82</f>
        <v>406</v>
      </c>
      <c r="C39" s="34" t="str">
        <f>VLOOKUP($B39,[33]TrtCodes!$B$11:I125,2)</f>
        <v>FTH</v>
      </c>
      <c r="D39" s="34">
        <f>VLOOKUP($B39,[33]TrtCodes!$B$11:J125,3)</f>
        <v>3</v>
      </c>
      <c r="E39" s="34">
        <f>VLOOKUP($B39,[33]TrtCodes!$B$11:K125,4)</f>
        <v>1</v>
      </c>
      <c r="F39" s="34">
        <f>VLOOKUP($B39,[33]TrtCodes!$B$11:L125,5)</f>
        <v>2</v>
      </c>
      <c r="G39" s="34">
        <f>VLOOKUP($B39,[33]TrtCodes!$B$11:M125,6)</f>
        <v>2</v>
      </c>
      <c r="H39" s="34">
        <f>VLOOKUP($B39,[33]TrtCodes!$B$11:N125,7)</f>
        <v>4</v>
      </c>
      <c r="I39" s="34">
        <f>[33]FormattedData!B82</f>
        <v>1</v>
      </c>
      <c r="J39" s="37">
        <f>[33]FormattedData!C82</f>
        <v>13.372999999999999</v>
      </c>
      <c r="K39" s="39">
        <f>$J$3+[33]FormattedData!D82*$J$4+$M$4*$J$5+[33]FormattedData!D82^2*$J$6+$M$5*$J$7</f>
        <v>56.058537993783411</v>
      </c>
      <c r="L39" s="39">
        <f>$J$3+[33]FormattedData!E82*$J$4+$M$4*$J$5+[33]FormattedData!E82^2*$J$6+$M$5*$J$7</f>
        <v>47.232356000656516</v>
      </c>
      <c r="M39" s="39">
        <f>$J$3+[33]FormattedData!F82*$J$4+$M$4*$J$5+[33]FormattedData!F82^2*$J$6+$M$5*$J$7</f>
        <v>52.875230143231548</v>
      </c>
      <c r="N39" s="39">
        <f>$J$3+[33]FormattedData!G82*$J$4+$M$4*$J$5+[33]FormattedData!G82^2*$J$6+$M$5*$J$7</f>
        <v>36.563363081238144</v>
      </c>
      <c r="O39" s="39">
        <f>$J$3+[33]FormattedData!H82*$J$4+$M$4*$J$5+[33]FormattedData!H82^2*$J$6+$M$5*$J$7</f>
        <v>51.568215203755223</v>
      </c>
      <c r="P39" s="39">
        <f>$J$3+[33]FormattedData!I82*$J$4+$M$4*$J$5+[33]FormattedData!I82^2*$J$6+$M$5*$J$7</f>
        <v>37.22330706669964</v>
      </c>
      <c r="Q39" s="39">
        <f>$J$3+[33]FormattedData!J82*$J$4+$M$4*$J$5+[33]FormattedData!J82^2*$J$6+$M$5*$J$7</f>
        <v>49.10300832356485</v>
      </c>
      <c r="R39" s="39">
        <f>$J$3+[33]FormattedData!K82*$J$4+$M$4*$J$5+[33]FormattedData!K82^2*$J$6+$M$5*$J$7</f>
        <v>48.036346640094081</v>
      </c>
      <c r="S39" s="39">
        <f>$J$3+[33]FormattedData!L82*$J$4+$M$4*$J$5+[33]FormattedData!L82^2*$J$6+$M$5*$J$7</f>
        <v>49.545654278815604</v>
      </c>
      <c r="T39" s="39">
        <f>$J$3+[33]FormattedData!M82*$J$4+$M$4*$J$5+[33]FormattedData!M82^2*$J$6+$M$5*$J$7</f>
        <v>41.13947665393745</v>
      </c>
      <c r="U39" s="39">
        <f>$J$3+[33]FormattedData!N82*$J$4+$M$4*$J$5+[33]FormattedData!N82^2*$J$6+$M$5*$J$7</f>
        <v>50.867251863878181</v>
      </c>
      <c r="V39" s="39">
        <f>$J$3+[33]FormattedData!O82*$J$4+$M$4*$J$5+[33]FormattedData!O82^2*$J$6+$M$5*$J$7</f>
        <v>40.399288110860311</v>
      </c>
      <c r="W39" s="38">
        <f>AVERAGE(K39:V39)</f>
        <v>46.717669613376245</v>
      </c>
      <c r="X39" s="37">
        <f>STDEV(K39:V39)/SQRT(COUNT(K39:V39))</f>
        <v>1.8379344285169985</v>
      </c>
      <c r="Y39" s="36">
        <f>MIN(K39:V39)</f>
        <v>36.563363081238144</v>
      </c>
      <c r="Z39" s="35">
        <f>QUARTILE(K39:V39,1)</f>
        <v>40.954429518168169</v>
      </c>
      <c r="AA39" s="36">
        <f>MEDIAN(K39:V39)</f>
        <v>48.569677481829466</v>
      </c>
      <c r="AB39" s="35">
        <f>QUARTILE(K39:V39,3)</f>
        <v>51.04249269884744</v>
      </c>
      <c r="AC39" s="35">
        <f>MAX(K39:V39)</f>
        <v>56.058537993783411</v>
      </c>
      <c r="AD39" s="35">
        <f>SKEW(K39:V39)</f>
        <v>-0.44636800722214903</v>
      </c>
      <c r="AE39" s="35">
        <f>KURT(K39:V39)</f>
        <v>-1.0298900901654324</v>
      </c>
    </row>
    <row r="40" spans="2:31" x14ac:dyDescent="0.2">
      <c r="B40" s="34">
        <f>[33]FormattedData!A80</f>
        <v>407</v>
      </c>
      <c r="C40" s="34" t="str">
        <f>VLOOKUP($B40,[33]TrtCodes!$B$11:I123,2)</f>
        <v>NSH</v>
      </c>
      <c r="D40" s="34">
        <f>VLOOKUP($B40,[33]TrtCodes!$B$11:J123,3)</f>
        <v>7</v>
      </c>
      <c r="E40" s="34">
        <f>VLOOKUP($B40,[33]TrtCodes!$B$11:K123,4)</f>
        <v>2</v>
      </c>
      <c r="F40" s="34">
        <f>VLOOKUP($B40,[33]TrtCodes!$B$11:L123,5)</f>
        <v>1</v>
      </c>
      <c r="G40" s="34">
        <f>VLOOKUP($B40,[33]TrtCodes!$B$11:M123,6)</f>
        <v>2</v>
      </c>
      <c r="H40" s="34">
        <f>VLOOKUP($B40,[33]TrtCodes!$B$11:N123,7)</f>
        <v>4</v>
      </c>
      <c r="I40" s="34">
        <f>[33]FormattedData!B80</f>
        <v>1</v>
      </c>
      <c r="J40" s="37">
        <f>[33]FormattedData!C80</f>
        <v>13.356</v>
      </c>
      <c r="K40" s="39">
        <f>$J$3+[33]FormattedData!D80*$J$4+$M$4*$J$5+[33]FormattedData!D80^2*$J$6+$M$5*$J$7</f>
        <v>57.839538747739802</v>
      </c>
      <c r="L40" s="39">
        <f>$J$3+[33]FormattedData!E80*$J$4+$M$4*$J$5+[33]FormattedData!E80^2*$J$6+$M$5*$J$7</f>
        <v>59.601899076468563</v>
      </c>
      <c r="M40" s="39">
        <f>$J$3+[33]FormattedData!F80*$J$4+$M$4*$J$5+[33]FormattedData!F80^2*$J$6+$M$5*$J$7</f>
        <v>56.314107923444176</v>
      </c>
      <c r="N40" s="39">
        <f>$J$3+[33]FormattedData!G80*$J$4+$M$4*$J$5+[33]FormattedData!G80^2*$J$6+$M$5*$J$7</f>
        <v>52.440615210187715</v>
      </c>
      <c r="O40" s="39">
        <f>$J$3+[33]FormattedData!H80*$J$4+$M$4*$J$5+[33]FormattedData!H80^2*$J$6+$M$5*$J$7</f>
        <v>56.314107923444176</v>
      </c>
      <c r="P40" s="39">
        <f>$J$3+[33]FormattedData!I80*$J$4+$M$4*$J$5+[33]FormattedData!I80^2*$J$6+$M$5*$J$7</f>
        <v>57.670722730536085</v>
      </c>
      <c r="Q40" s="39">
        <f>$J$3+[33]FormattedData!J80*$J$4+$M$4*$J$5+[33]FormattedData!J80^2*$J$6+$M$5*$J$7</f>
        <v>58.848884293775946</v>
      </c>
      <c r="R40" s="39">
        <f>$J$3+[33]FormattedData!K80*$J$4+$M$4*$J$5+[33]FormattedData!K80^2*$J$6+$M$5*$J$7</f>
        <v>56.739212435453496</v>
      </c>
      <c r="S40" s="39">
        <f>$J$3+[33]FormattedData!L80*$J$4+$M$4*$J$5+[33]FormattedData!L80^2*$J$6+$M$5*$J$7</f>
        <v>56.908958360491717</v>
      </c>
      <c r="T40" s="39">
        <f>$J$3+[33]FormattedData!M80*$J$4+$M$4*$J$5+[33]FormattedData!M80^2*$J$6+$M$5*$J$7</f>
        <v>53.827663364590045</v>
      </c>
      <c r="U40" s="39">
        <f>$J$3+[33]FormattedData!N80*$J$4+$M$4*$J$5+[33]FormattedData!N80^2*$J$6+$M$5*$J$7</f>
        <v>55.97326348015396</v>
      </c>
      <c r="V40" s="39">
        <f>$J$3+[33]FormattedData!O80*$J$4+$M$4*$J$5+[33]FormattedData!O80^2*$J$6+$M$5*$J$7</f>
        <v>46.424941609646517</v>
      </c>
      <c r="W40" s="38">
        <f>AVERAGE(K40:V40)</f>
        <v>55.741992929661023</v>
      </c>
      <c r="X40" s="37">
        <f>STDEV(K40:V40)/SQRT(COUNT(K40:V40))</f>
        <v>1.0191608127027423</v>
      </c>
      <c r="Y40" s="36">
        <f>MIN(K40:V40)</f>
        <v>46.424941609646517</v>
      </c>
      <c r="Z40" s="35">
        <f>QUARTILE(K40:V40,1)</f>
        <v>55.43686345126298</v>
      </c>
      <c r="AA40" s="36">
        <f>MEDIAN(K40:V40)</f>
        <v>56.526660179448839</v>
      </c>
      <c r="AB40" s="35">
        <f>QUARTILE(K40:V40,3)</f>
        <v>57.712926734837012</v>
      </c>
      <c r="AC40" s="35">
        <f>MAX(K40:V40)</f>
        <v>59.601899076468563</v>
      </c>
      <c r="AD40" s="35">
        <f>SKEW(K40:V40)</f>
        <v>-1.8467009127883949</v>
      </c>
      <c r="AE40" s="35">
        <f>KURT(K40:V40)</f>
        <v>4.1003076717872649</v>
      </c>
    </row>
    <row r="41" spans="2:31" x14ac:dyDescent="0.2">
      <c r="B41" s="34">
        <f>[33]FormattedData!A78</f>
        <v>408</v>
      </c>
      <c r="C41" s="34" t="str">
        <f>VLOOKUP($B41,[33]TrtCodes!$B$11:I121,2)</f>
        <v>NTL</v>
      </c>
      <c r="D41" s="34">
        <f>VLOOKUP($B41,[33]TrtCodes!$B$11:J121,3)</f>
        <v>10</v>
      </c>
      <c r="E41" s="34">
        <f>VLOOKUP($B41,[33]TrtCodes!$B$11:K121,4)</f>
        <v>2</v>
      </c>
      <c r="F41" s="34">
        <f>VLOOKUP($B41,[33]TrtCodes!$B$11:L121,5)</f>
        <v>2</v>
      </c>
      <c r="G41" s="34">
        <f>VLOOKUP($B41,[33]TrtCodes!$B$11:M121,6)</f>
        <v>1</v>
      </c>
      <c r="H41" s="34">
        <f>VLOOKUP($B41,[33]TrtCodes!$B$11:N121,7)</f>
        <v>4</v>
      </c>
      <c r="I41" s="34">
        <f>[33]FormattedData!B78</f>
        <v>1</v>
      </c>
      <c r="J41" s="37">
        <f>[33]FormattedData!C78</f>
        <v>13.34</v>
      </c>
      <c r="K41" s="39">
        <f>$J$3+[33]FormattedData!D78*$J$4+$M$4*$J$5+[33]FormattedData!D78^2*$J$6+$M$5*$J$7</f>
        <v>45.071642621135588</v>
      </c>
      <c r="L41" s="39">
        <f>$J$3+[33]FormattedData!E78*$J$4+$M$4*$J$5+[33]FormattedData!E78^2*$J$6+$M$5*$J$7</f>
        <v>38.068763141847661</v>
      </c>
      <c r="M41" s="39">
        <f>$J$3+[33]FormattedData!F78*$J$4+$M$4*$J$5+[33]FormattedData!F78^2*$J$6+$M$5*$J$7</f>
        <v>41.50855648056568</v>
      </c>
      <c r="N41" s="39">
        <f>$J$3+[33]FormattedData!G78*$J$4+$M$4*$J$5+[33]FormattedData!G78^2*$J$6+$M$5*$J$7</f>
        <v>41.600720765877902</v>
      </c>
      <c r="O41" s="39">
        <f>$J$3+[33]FormattedData!H78*$J$4+$M$4*$J$5+[33]FormattedData!H78^2*$J$6+$M$5*$J$7</f>
        <v>45.614103467064098</v>
      </c>
      <c r="P41" s="39">
        <f>$J$3+[33]FormattedData!I78*$J$4+$M$4*$J$5+[33]FormattedData!I78^2*$J$6+$M$5*$J$7</f>
        <v>42.795010037985129</v>
      </c>
      <c r="Q41" s="39">
        <f>$J$3+[33]FormattedData!J78*$J$4+$M$4*$J$5+[33]FormattedData!J78^2*$J$6+$M$5*$J$7</f>
        <v>46.604662909636474</v>
      </c>
      <c r="R41" s="39">
        <f>$J$3+[33]FormattedData!K78*$J$4+$M$4*$J$5+[33]FormattedData!K78^2*$J$6+$M$5*$J$7</f>
        <v>42.795010037985129</v>
      </c>
      <c r="S41" s="39">
        <f>$J$3+[33]FormattedData!L78*$J$4+$M$4*$J$5+[33]FormattedData!L78^2*$J$6+$M$5*$J$7</f>
        <v>41.324101104327426</v>
      </c>
      <c r="T41" s="39">
        <f>$J$3+[33]FormattedData!M78*$J$4+$M$4*$J$5+[33]FormattedData!M78^2*$J$6+$M$5*$J$7</f>
        <v>44.890484190855958</v>
      </c>
      <c r="U41" s="39">
        <f>$J$3+[33]FormattedData!N78*$J$4+$M$4*$J$5+[33]FormattedData!N78^2*$J$6+$M$5*$J$7</f>
        <v>43.161046529882313</v>
      </c>
      <c r="V41" s="39">
        <f>$J$3+[33]FormattedData!O78*$J$4+$M$4*$J$5+[33]FormattedData!O78^2*$J$6+$M$5*$J$7</f>
        <v>37.881179893802511</v>
      </c>
      <c r="W41" s="38">
        <f>AVERAGE(K41:V41)</f>
        <v>42.609606765080486</v>
      </c>
      <c r="X41" s="37">
        <f>STDEV(K41:V41)/SQRT(COUNT(K41:V41))</f>
        <v>0.79527153719720833</v>
      </c>
      <c r="Y41" s="36">
        <f>MIN(K41:V41)</f>
        <v>37.881179893802511</v>
      </c>
      <c r="Z41" s="35">
        <f>QUARTILE(K41:V41,1)</f>
        <v>41.462442636506118</v>
      </c>
      <c r="AA41" s="36">
        <f>MEDIAN(K41:V41)</f>
        <v>42.795010037985129</v>
      </c>
      <c r="AB41" s="35">
        <f>QUARTILE(K41:V41,3)</f>
        <v>44.935773798425863</v>
      </c>
      <c r="AC41" s="35">
        <f>MAX(K41:V41)</f>
        <v>46.604662909636474</v>
      </c>
      <c r="AD41" s="35">
        <f>SKEW(K41:V41)</f>
        <v>-0.44859925802195816</v>
      </c>
      <c r="AE41" s="35">
        <f>KURT(K41:V41)</f>
        <v>-0.39379110154410801</v>
      </c>
    </row>
    <row r="42" spans="2:31" x14ac:dyDescent="0.2">
      <c r="B42" s="50">
        <f>[33]FormattedData!A60</f>
        <v>901</v>
      </c>
      <c r="C42" s="50" t="str">
        <f>VLOOKUP($B42,[33]TrtCodes!$B$11:I103,2)</f>
        <v>WS</v>
      </c>
      <c r="D42" s="50">
        <f>VLOOKUP($B42,[33]TrtCodes!$B$11:J103,3)</f>
        <v>32</v>
      </c>
      <c r="E42" s="50">
        <f>VLOOKUP($B42,[33]TrtCodes!$B$11:K103,4)</f>
        <v>9</v>
      </c>
      <c r="F42" s="50">
        <f>VLOOKUP($B42,[33]TrtCodes!$B$11:L103,5)</f>
        <v>0</v>
      </c>
      <c r="G42" s="50">
        <f>VLOOKUP($B42,[33]TrtCodes!$B$11:M103,6)</f>
        <v>1</v>
      </c>
      <c r="H42" s="50">
        <f>VLOOKUP($B42,[33]TrtCodes!$B$11:N103,7)</f>
        <v>1</v>
      </c>
      <c r="I42" s="50">
        <f>[33]FormattedData!B60</f>
        <v>1</v>
      </c>
      <c r="J42" s="48">
        <f>[33]FormattedData!C60</f>
        <v>13.183</v>
      </c>
      <c r="K42" s="47">
        <f>$J$3+[33]FormattedData!D60*$J$4+$M$4*$J$5+[33]FormattedData!D60^2*$J$6+$M$5*$J$7</f>
        <v>35.901347937418031</v>
      </c>
      <c r="L42" s="47">
        <f>$J$3+[33]FormattedData!E60*$J$4+$M$4*$J$5+[33]FormattedData!E60^2*$J$6+$M$5*$J$7</f>
        <v>36.846449829092094</v>
      </c>
      <c r="M42" s="47">
        <f>$J$3+[33]FormattedData!F60*$J$4+$M$4*$J$5+[33]FormattedData!F60^2*$J$6+$M$5*$J$7</f>
        <v>36.846449829092094</v>
      </c>
      <c r="N42" s="47">
        <f>$J$3+[33]FormattedData!G60*$J$4+$M$4*$J$5+[33]FormattedData!G60^2*$J$6+$M$5*$J$7</f>
        <v>36.846449829092094</v>
      </c>
      <c r="O42" s="47">
        <f>$J$3+[33]FormattedData!H60*$J$4+$M$4*$J$5+[33]FormattedData!H60^2*$J$6+$M$5*$J$7</f>
        <v>37.599488007700295</v>
      </c>
      <c r="P42" s="47">
        <f>$J$3+[33]FormattedData!I60*$J$4+$M$4*$J$5+[33]FormattedData!I60^2*$J$6+$M$5*$J$7</f>
        <v>37.505506175257025</v>
      </c>
      <c r="Q42" s="47">
        <f>$J$3+[33]FormattedData!J60*$J$4+$M$4*$J$5+[33]FormattedData!J60^2*$J$6+$M$5*$J$7</f>
        <v>36.846449829092094</v>
      </c>
      <c r="R42" s="47">
        <f>$J$3+[33]FormattedData!K60*$J$4+$M$4*$J$5+[33]FormattedData!K60^2*$J$6+$M$5*$J$7</f>
        <v>37.034962984971727</v>
      </c>
      <c r="S42" s="47">
        <f>$J$3+[33]FormattedData!L60*$J$4+$M$4*$J$5+[33]FormattedData!L60^2*$J$6+$M$5*$J$7</f>
        <v>36.940727541300873</v>
      </c>
      <c r="T42" s="47">
        <f>$J$3+[33]FormattedData!M60*$J$4+$M$4*$J$5+[33]FormattedData!M60^2*$J$6+$M$5*$J$7</f>
        <v>37.22330706669964</v>
      </c>
      <c r="U42" s="47">
        <f>$J$3+[33]FormattedData!N60*$J$4+$M$4*$J$5+[33]FormattedData!N60^2*$J$6+$M$5*$J$7</f>
        <v>37.693427571605625</v>
      </c>
      <c r="V42" s="47">
        <f>$J$3+[33]FormattedData!O60*$J$4+$M$4*$J$5+[33]FormattedData!O60^2*$J$6+$M$5*$J$7</f>
        <v>37.881179893802511</v>
      </c>
      <c r="W42" s="49">
        <f>AVERAGE(K42:V42)</f>
        <v>37.097145541260346</v>
      </c>
      <c r="X42" s="48">
        <f>STDEV(K42:V42)/SQRT(COUNT(K42:V42))</f>
        <v>0.1536165964227254</v>
      </c>
      <c r="Y42" s="47">
        <f>MIN(K42:V42)</f>
        <v>35.901347937418031</v>
      </c>
      <c r="Z42" s="46">
        <f>QUARTILE(K42:V42,1)</f>
        <v>36.846449829092094</v>
      </c>
      <c r="AA42" s="47">
        <f>MEDIAN(K42:V42)</f>
        <v>36.9878452631363</v>
      </c>
      <c r="AB42" s="46">
        <f>QUARTILE(K42:V42,3)</f>
        <v>37.529001633367841</v>
      </c>
      <c r="AC42" s="46">
        <f>MAX(K42:V42)</f>
        <v>37.881179893802511</v>
      </c>
      <c r="AD42" s="46">
        <f>SKEW(K42:V42)</f>
        <v>-0.64153059427084702</v>
      </c>
      <c r="AE42" s="46">
        <f>KURT(K42:V42)</f>
        <v>1.1880991086374895</v>
      </c>
    </row>
    <row r="43" spans="2:31" x14ac:dyDescent="0.2">
      <c r="B43" s="34">
        <f>[33]FormattedData!A58</f>
        <v>902</v>
      </c>
      <c r="C43" s="34" t="str">
        <f>VLOOKUP($B43,[33]TrtCodes!$B$11:I101,2)</f>
        <v>Late</v>
      </c>
      <c r="D43" s="34">
        <f>VLOOKUP($B43,[33]TrtCodes!$B$11:J101,3)</f>
        <v>22</v>
      </c>
      <c r="E43" s="34">
        <f>VLOOKUP($B43,[33]TrtCodes!$B$11:K101,4)</f>
        <v>4</v>
      </c>
      <c r="F43" s="34">
        <f>VLOOKUP($B43,[33]TrtCodes!$B$11:L101,5)</f>
        <v>2</v>
      </c>
      <c r="G43" s="34">
        <f>VLOOKUP($B43,[33]TrtCodes!$B$11:M101,6)</f>
        <v>2</v>
      </c>
      <c r="H43" s="34">
        <f>VLOOKUP($B43,[33]TrtCodes!$B$11:N101,7)</f>
        <v>1</v>
      </c>
      <c r="I43" s="34">
        <f>[33]FormattedData!B58</f>
        <v>1</v>
      </c>
      <c r="J43" s="37">
        <f>[33]FormattedData!C58</f>
        <v>13.167999999999999</v>
      </c>
      <c r="K43" s="39">
        <f>$J$3+[33]FormattedData!D58*$J$4+$M$4*$J$5+[33]FormattedData!D58^2*$J$6+$M$5*$J$7</f>
        <v>54.774982092858863</v>
      </c>
      <c r="L43" s="39">
        <f>$J$3+[33]FormattedData!E58*$J$4+$M$4*$J$5+[33]FormattedData!E58^2*$J$6+$M$5*$J$7</f>
        <v>47.76873017712294</v>
      </c>
      <c r="M43" s="39">
        <f>$J$3+[33]FormattedData!F58*$J$4+$M$4*$J$5+[33]FormattedData!F58^2*$J$6+$M$5*$J$7</f>
        <v>50.51575574902931</v>
      </c>
      <c r="N43" s="39">
        <f>$J$3+[33]FormattedData!G58*$J$4+$M$4*$J$5+[33]FormattedData!G58^2*$J$6+$M$5*$J$7</f>
        <v>46.335017556844633</v>
      </c>
      <c r="O43" s="39">
        <f>$J$3+[33]FormattedData!H58*$J$4+$M$4*$J$5+[33]FormattedData!H58^2*$J$6+$M$5*$J$7</f>
        <v>52.614587989019043</v>
      </c>
      <c r="P43" s="39">
        <f>$J$3+[33]FormattedData!I58*$J$4+$M$4*$J$5+[33]FormattedData!I58^2*$J$6+$M$5*$J$7</f>
        <v>47.947183420974959</v>
      </c>
      <c r="Q43" s="39">
        <f>$J$3+[33]FormattedData!J58*$J$4+$M$4*$J$5+[33]FormattedData!J58^2*$J$6+$M$5*$J$7</f>
        <v>52.788391693698642</v>
      </c>
      <c r="R43" s="39">
        <f>$J$3+[33]FormattedData!K58*$J$4+$M$4*$J$5+[33]FormattedData!K58^2*$J$6+$M$5*$J$7</f>
        <v>48.481528707620697</v>
      </c>
      <c r="S43" s="39">
        <f>$J$3+[33]FormattedData!L58*$J$4+$M$4*$J$5+[33]FormattedData!L58^2*$J$6+$M$5*$J$7</f>
        <v>46.604662909636474</v>
      </c>
      <c r="T43" s="39">
        <f>$J$3+[33]FormattedData!M58*$J$4+$M$4*$J$5+[33]FormattedData!M58^2*$J$6+$M$5*$J$7</f>
        <v>51.393227980013542</v>
      </c>
      <c r="U43" s="39">
        <f>$J$3+[33]FormattedData!N58*$J$4+$M$4*$J$5+[33]FormattedData!N58^2*$J$6+$M$5*$J$7</f>
        <v>51.480742726153345</v>
      </c>
      <c r="V43" s="39">
        <f>$J$3+[33]FormattedData!O58*$J$4+$M$4*$J$5+[33]FormattedData!O58^2*$J$6+$M$5*$J$7</f>
        <v>37.505506175257025</v>
      </c>
      <c r="W43" s="38">
        <f>AVERAGE(K43:V43)</f>
        <v>49.017526431519116</v>
      </c>
      <c r="X43" s="37">
        <f>STDEV(K43:V43)/SQRT(COUNT(K43:V43))</f>
        <v>1.2991822901451395</v>
      </c>
      <c r="Y43" s="36">
        <f>MIN(K43:V43)</f>
        <v>37.505506175257025</v>
      </c>
      <c r="Z43" s="35">
        <f>QUARTILE(K43:V43,1)</f>
        <v>47.477713360251322</v>
      </c>
      <c r="AA43" s="36">
        <f>MEDIAN(K43:V43)</f>
        <v>49.498642228325004</v>
      </c>
      <c r="AB43" s="35">
        <f>QUARTILE(K43:V43,3)</f>
        <v>51.764204041869768</v>
      </c>
      <c r="AC43" s="35">
        <f>MAX(K43:V43)</f>
        <v>54.774982092858863</v>
      </c>
      <c r="AD43" s="35">
        <f>SKEW(K43:V43)</f>
        <v>-1.4835003895378274</v>
      </c>
      <c r="AE43" s="35">
        <f>KURT(K43:V43)</f>
        <v>3.339475929583557</v>
      </c>
    </row>
    <row r="44" spans="2:31" x14ac:dyDescent="0.2">
      <c r="B44" s="50">
        <f>[33]FormattedData!A56</f>
        <v>903</v>
      </c>
      <c r="C44" s="50" t="str">
        <f>VLOOKUP($B44,[33]TrtCodes!$B$11:I99,2)</f>
        <v>DS</v>
      </c>
      <c r="D44" s="50">
        <f>VLOOKUP($B44,[33]TrtCodes!$B$11:J99,3)</f>
        <v>31</v>
      </c>
      <c r="E44" s="50">
        <f>VLOOKUP($B44,[33]TrtCodes!$B$11:K99,4)</f>
        <v>8</v>
      </c>
      <c r="F44" s="50">
        <f>VLOOKUP($B44,[33]TrtCodes!$B$11:L99,5)</f>
        <v>0</v>
      </c>
      <c r="G44" s="50">
        <f>VLOOKUP($B44,[33]TrtCodes!$B$11:M99,6)</f>
        <v>1</v>
      </c>
      <c r="H44" s="50">
        <f>VLOOKUP($B44,[33]TrtCodes!$B$11:N99,7)</f>
        <v>1</v>
      </c>
      <c r="I44" s="50">
        <f>[33]FormattedData!B56</f>
        <v>1</v>
      </c>
      <c r="J44" s="48">
        <f>[33]FormattedData!C56</f>
        <v>13.162000000000001</v>
      </c>
      <c r="K44" s="47">
        <f>$J$3+[33]FormattedData!D56*$J$4+$M$4*$J$5+[33]FormattedData!D56^2*$J$6+$M$5*$J$7</f>
        <v>63.641582634283786</v>
      </c>
      <c r="L44" s="47">
        <f>$J$3+[33]FormattedData!E56*$J$4+$M$4*$J$5+[33]FormattedData!E56^2*$J$6+$M$5*$J$7</f>
        <v>63.722968442423571</v>
      </c>
      <c r="M44" s="47">
        <f>$J$3+[33]FormattedData!F56*$J$4+$M$4*$J$5+[33]FormattedData!F56^2*$J$6+$M$5*$J$7</f>
        <v>63.722968442423571</v>
      </c>
      <c r="N44" s="47">
        <f>$J$3+[33]FormattedData!G56*$J$4+$M$4*$J$5+[33]FormattedData!G56^2*$J$6+$M$5*$J$7</f>
        <v>63.152380146148502</v>
      </c>
      <c r="O44" s="47">
        <f>$J$3+[33]FormattedData!H56*$J$4+$M$4*$J$5+[33]FormattedData!H56^2*$J$6+$M$5*$J$7</f>
        <v>63.722968442423571</v>
      </c>
      <c r="P44" s="47">
        <f>$J$3+[33]FormattedData!I56*$J$4+$M$4*$J$5+[33]FormattedData!I56^2*$J$6+$M$5*$J$7</f>
        <v>63.804311982025432</v>
      </c>
      <c r="Q44" s="47">
        <f>$J$3+[33]FormattedData!J56*$J$4+$M$4*$J$5+[33]FormattedData!J56^2*$J$6+$M$5*$J$7</f>
        <v>63.397171598636831</v>
      </c>
      <c r="R44" s="47">
        <f>$J$3+[33]FormattedData!K56*$J$4+$M$4*$J$5+[33]FormattedData!K56^2*$J$6+$M$5*$J$7</f>
        <v>63.152380146148502</v>
      </c>
      <c r="S44" s="47">
        <f>$J$3+[33]FormattedData!L56*$J$4+$M$4*$J$5+[33]FormattedData!L56^2*$J$6+$M$5*$J$7</f>
        <v>63.560154557606054</v>
      </c>
      <c r="T44" s="47">
        <f>$J$3+[33]FormattedData!M56*$J$4+$M$4*$J$5+[33]FormattedData!M56^2*$J$6+$M$5*$J$7</f>
        <v>62.825399783299702</v>
      </c>
      <c r="U44" s="47">
        <f>$J$3+[33]FormattedData!N56*$J$4+$M$4*$J$5+[33]FormattedData!N56^2*$J$6+$M$5*$J$7</f>
        <v>63.0706984582432</v>
      </c>
      <c r="V44" s="47">
        <f>$J$3+[33]FormattedData!O56*$J$4+$M$4*$J$5+[33]FormattedData!O56^2*$J$6+$M$5*$J$7</f>
        <v>63.722968442423571</v>
      </c>
      <c r="W44" s="49">
        <f>AVERAGE(K44:V44)</f>
        <v>63.457996089673856</v>
      </c>
      <c r="X44" s="48">
        <f>STDEV(K44:V44)/SQRT(COUNT(K44:V44))</f>
        <v>9.4772288129668036E-2</v>
      </c>
      <c r="Y44" s="47">
        <f>MIN(K44:V44)</f>
        <v>62.825399783299702</v>
      </c>
      <c r="Z44" s="46">
        <f>QUARTILE(K44:V44,1)</f>
        <v>63.152380146148502</v>
      </c>
      <c r="AA44" s="47">
        <f>MEDIAN(K44:V44)</f>
        <v>63.600868595944917</v>
      </c>
      <c r="AB44" s="46">
        <f>QUARTILE(K44:V44,3)</f>
        <v>63.722968442423571</v>
      </c>
      <c r="AC44" s="46">
        <f>MAX(K44:V44)</f>
        <v>63.804311982025432</v>
      </c>
      <c r="AD44" s="46">
        <f>SKEW(K44:V44)</f>
        <v>-0.75643127244130015</v>
      </c>
      <c r="AE44" s="46">
        <f>KURT(K44:V44)</f>
        <v>-0.83957900588998413</v>
      </c>
    </row>
    <row r="45" spans="2:31" x14ac:dyDescent="0.2">
      <c r="B45" s="34">
        <f>[33]FormattedData!A54</f>
        <v>904</v>
      </c>
      <c r="C45" s="34" t="str">
        <f>VLOOKUP($B45,[33]TrtCodes!$B$11:I97,2)</f>
        <v>Early</v>
      </c>
      <c r="D45" s="34">
        <f>VLOOKUP($B45,[33]TrtCodes!$B$11:J97,3)</f>
        <v>21</v>
      </c>
      <c r="E45" s="34">
        <f>VLOOKUP($B45,[33]TrtCodes!$B$11:K97,4)</f>
        <v>3</v>
      </c>
      <c r="F45" s="34">
        <f>VLOOKUP($B45,[33]TrtCodes!$B$11:L97,5)</f>
        <v>2</v>
      </c>
      <c r="G45" s="34">
        <f>VLOOKUP($B45,[33]TrtCodes!$B$11:M97,6)</f>
        <v>2</v>
      </c>
      <c r="H45" s="34">
        <f>VLOOKUP($B45,[33]TrtCodes!$B$11:N97,7)</f>
        <v>1</v>
      </c>
      <c r="I45" s="34">
        <f>[33]FormattedData!B54</f>
        <v>1</v>
      </c>
      <c r="J45" s="37">
        <f>[33]FormattedData!C54</f>
        <v>13.145</v>
      </c>
      <c r="K45" s="39">
        <f>$J$3+[33]FormattedData!D54*$J$4+$M$4*$J$5+[33]FormattedData!D54^2*$J$6+$M$5*$J$7</f>
        <v>57.501737639180625</v>
      </c>
      <c r="L45" s="39">
        <f>$J$3+[33]FormattedData!E54*$J$4+$M$4*$J$5+[33]FormattedData!E54^2*$J$6+$M$5*$J$7</f>
        <v>44.527660107841555</v>
      </c>
      <c r="M45" s="39">
        <f>$J$3+[33]FormattedData!F54*$J$4+$M$4*$J$5+[33]FormattedData!F54^2*$J$6+$M$5*$J$7</f>
        <v>49.545654278815604</v>
      </c>
      <c r="N45" s="39">
        <f>$J$3+[33]FormattedData!G54*$J$4+$M$4*$J$5+[33]FormattedData!G54^2*$J$6+$M$5*$J$7</f>
        <v>41.600720765877902</v>
      </c>
      <c r="O45" s="39">
        <f>$J$3+[33]FormattedData!H54*$J$4+$M$4*$J$5+[33]FormattedData!H54^2*$J$6+$M$5*$J$7</f>
        <v>50.075434563364773</v>
      </c>
      <c r="P45" s="39">
        <f>$J$3+[33]FormattedData!I54*$J$4+$M$4*$J$5+[33]FormattedData!I54^2*$J$6+$M$5*$J$7</f>
        <v>47.232356000656516</v>
      </c>
      <c r="Q45" s="39">
        <f>$J$3+[33]FormattedData!J54*$J$4+$M$4*$J$5+[33]FormattedData!J54^2*$J$6+$M$5*$J$7</f>
        <v>47.411316466963711</v>
      </c>
      <c r="R45" s="39">
        <f>$J$3+[33]FormattedData!K54*$J$4+$M$4*$J$5+[33]FormattedData!K54^2*$J$6+$M$5*$J$7</f>
        <v>49.810734629510875</v>
      </c>
      <c r="S45" s="39">
        <f>$J$3+[33]FormattedData!L54*$J$4+$M$4*$J$5+[33]FormattedData!L54^2*$J$6+$M$5*$J$7</f>
        <v>52.353565417965157</v>
      </c>
      <c r="T45" s="39">
        <f>$J$3+[33]FormattedData!M54*$J$4+$M$4*$J$5+[33]FormattedData!M54^2*$J$6+$M$5*$J$7</f>
        <v>46.963598287161233</v>
      </c>
      <c r="U45" s="39">
        <f>$J$3+[33]FormattedData!N54*$J$4+$M$4*$J$5+[33]FormattedData!N54^2*$J$6+$M$5*$J$7</f>
        <v>46.963598287161233</v>
      </c>
      <c r="V45" s="39">
        <f>$J$3+[33]FormattedData!O54*$J$4+$M$4*$J$5+[33]FormattedData!O54^2*$J$6+$M$5*$J$7</f>
        <v>44.255098225932464</v>
      </c>
      <c r="W45" s="38">
        <f>AVERAGE(K45:V45)</f>
        <v>48.186789555869304</v>
      </c>
      <c r="X45" s="37">
        <f>STDEV(K45:V45)/SQRT(COUNT(K45:V45))</f>
        <v>1.1962991942387318</v>
      </c>
      <c r="Y45" s="36">
        <f>MIN(K45:V45)</f>
        <v>41.600720765877902</v>
      </c>
      <c r="Z45" s="35">
        <f>QUARTILE(K45:V45,1)</f>
        <v>46.35461374233131</v>
      </c>
      <c r="AA45" s="36">
        <f>MEDIAN(K45:V45)</f>
        <v>47.321836233810117</v>
      </c>
      <c r="AB45" s="35">
        <f>QUARTILE(K45:V45,3)</f>
        <v>49.876909612974352</v>
      </c>
      <c r="AC45" s="35">
        <f>MAX(K45:V45)</f>
        <v>57.501737639180625</v>
      </c>
      <c r="AD45" s="35">
        <f>SKEW(K45:V45)</f>
        <v>0.75671623111794273</v>
      </c>
      <c r="AE45" s="35">
        <f>KURT(K45:V45)</f>
        <v>1.3942186874874336</v>
      </c>
    </row>
    <row r="46" spans="2:31" x14ac:dyDescent="0.2">
      <c r="B46" s="50">
        <f>[33]FormattedData!A52</f>
        <v>905</v>
      </c>
      <c r="C46" s="50" t="str">
        <f>VLOOKUP($B46,[33]TrtCodes!$B$11:I95,2)</f>
        <v>WS</v>
      </c>
      <c r="D46" s="50">
        <f>VLOOKUP($B46,[33]TrtCodes!$B$11:J95,3)</f>
        <v>32</v>
      </c>
      <c r="E46" s="50">
        <f>VLOOKUP($B46,[33]TrtCodes!$B$11:K95,4)</f>
        <v>9</v>
      </c>
      <c r="F46" s="50">
        <f>VLOOKUP($B46,[33]TrtCodes!$B$11:L95,5)</f>
        <v>0</v>
      </c>
      <c r="G46" s="50">
        <f>VLOOKUP($B46,[33]TrtCodes!$B$11:M95,6)</f>
        <v>1</v>
      </c>
      <c r="H46" s="50">
        <f>VLOOKUP($B46,[33]TrtCodes!$B$11:N95,7)</f>
        <v>2</v>
      </c>
      <c r="I46" s="50">
        <f>[33]FormattedData!B52</f>
        <v>1</v>
      </c>
      <c r="J46" s="48">
        <f>[33]FormattedData!C52</f>
        <v>13.138999999999999</v>
      </c>
      <c r="K46" s="47">
        <f>$J$3+[33]FormattedData!D52*$J$4+$M$4*$J$5+[33]FormattedData!D52^2*$J$6+$M$5*$J$7</f>
        <v>36.752129848345369</v>
      </c>
      <c r="L46" s="47">
        <f>$J$3+[33]FormattedData!E52*$J$4+$M$4*$J$5+[33]FormattedData!E52^2*$J$6+$M$5*$J$7</f>
        <v>37.317415704756705</v>
      </c>
      <c r="M46" s="47">
        <f>$J$3+[33]FormattedData!F52*$J$4+$M$4*$J$5+[33]FormattedData!F52^2*$J$6+$M$5*$J$7</f>
        <v>37.693427571605625</v>
      </c>
      <c r="N46" s="47">
        <f>$J$3+[33]FormattedData!G52*$J$4+$M$4*$J$5+[33]FormattedData!G52^2*$J$6+$M$5*$J$7</f>
        <v>37.693427571605625</v>
      </c>
      <c r="O46" s="47">
        <f>$J$3+[33]FormattedData!H52*$J$4+$M$4*$J$5+[33]FormattedData!H52^2*$J$6+$M$5*$J$7</f>
        <v>37.693427571605625</v>
      </c>
      <c r="P46" s="47">
        <f>$J$3+[33]FormattedData!I52*$J$4+$M$4*$J$5+[33]FormattedData!I52^2*$J$6+$M$5*$J$7</f>
        <v>37.693427571605625</v>
      </c>
      <c r="Q46" s="47">
        <f>$J$3+[33]FormattedData!J52*$J$4+$M$4*$J$5+[33]FormattedData!J52^2*$J$6+$M$5*$J$7</f>
        <v>38.723973051060867</v>
      </c>
      <c r="R46" s="47">
        <f>$J$3+[33]FormattedData!K52*$J$4+$M$4*$J$5+[33]FormattedData!K52^2*$J$6+$M$5*$J$7</f>
        <v>38.349820999880905</v>
      </c>
      <c r="S46" s="47">
        <f>$J$3+[33]FormattedData!L52*$J$4+$M$4*$J$5+[33]FormattedData!L52^2*$J$6+$M$5*$J$7</f>
        <v>38.349820999880905</v>
      </c>
      <c r="T46" s="47">
        <f>$J$3+[33]FormattedData!M52*$J$4+$M$4*$J$5+[33]FormattedData!M52^2*$J$6+$M$5*$J$7</f>
        <v>37.693427571605625</v>
      </c>
      <c r="U46" s="47">
        <f>$J$3+[33]FormattedData!N52*$J$4+$M$4*$J$5+[33]FormattedData!N52^2*$J$6+$M$5*$J$7</f>
        <v>38.256177315741091</v>
      </c>
      <c r="V46" s="47">
        <f>$J$3+[33]FormattedData!O52*$J$4+$M$4*$J$5+[33]FormattedData!O52^2*$J$6+$M$5*$J$7</f>
        <v>38.256177315741091</v>
      </c>
      <c r="W46" s="49">
        <f>AVERAGE(K46:V46)</f>
        <v>37.872721091119587</v>
      </c>
      <c r="X46" s="48">
        <f>STDEV(K46:V46)/SQRT(COUNT(K46:V46))</f>
        <v>0.15566999705550283</v>
      </c>
      <c r="Y46" s="47">
        <f>MIN(K46:V46)</f>
        <v>36.752129848345369</v>
      </c>
      <c r="Z46" s="46">
        <f>QUARTILE(K46:V46,1)</f>
        <v>37.693427571605625</v>
      </c>
      <c r="AA46" s="47">
        <f>MEDIAN(K46:V46)</f>
        <v>37.693427571605625</v>
      </c>
      <c r="AB46" s="46">
        <f>QUARTILE(K46:V46,3)</f>
        <v>38.279588236776043</v>
      </c>
      <c r="AC46" s="46">
        <f>MAX(K46:V46)</f>
        <v>38.723973051060867</v>
      </c>
      <c r="AD46" s="46">
        <f>SKEW(K46:V46)</f>
        <v>-0.4594196577040488</v>
      </c>
      <c r="AE46" s="46">
        <f>KURT(K46:V46)</f>
        <v>0.34390696542548049</v>
      </c>
    </row>
    <row r="47" spans="2:31" x14ac:dyDescent="0.2">
      <c r="B47" s="34">
        <f>[33]FormattedData!A50</f>
        <v>906</v>
      </c>
      <c r="C47" s="34" t="str">
        <f>VLOOKUP($B47,[33]TrtCodes!$B$11:I93,2)</f>
        <v>Late</v>
      </c>
      <c r="D47" s="34">
        <f>VLOOKUP($B47,[33]TrtCodes!$B$11:J93,3)</f>
        <v>22</v>
      </c>
      <c r="E47" s="34">
        <f>VLOOKUP($B47,[33]TrtCodes!$B$11:K93,4)</f>
        <v>4</v>
      </c>
      <c r="F47" s="34">
        <f>VLOOKUP($B47,[33]TrtCodes!$B$11:L93,5)</f>
        <v>2</v>
      </c>
      <c r="G47" s="34">
        <f>VLOOKUP($B47,[33]TrtCodes!$B$11:M93,6)</f>
        <v>2</v>
      </c>
      <c r="H47" s="34">
        <f>VLOOKUP($B47,[33]TrtCodes!$B$11:N93,7)</f>
        <v>2</v>
      </c>
      <c r="I47" s="34">
        <f>[33]FormattedData!B50</f>
        <v>1</v>
      </c>
      <c r="J47" s="37">
        <f>[33]FormattedData!C50</f>
        <v>13.124000000000001</v>
      </c>
      <c r="K47" s="39">
        <f>$J$3+[33]FormattedData!D50*$J$4+$M$4*$J$5+[33]FormattedData!D50^2*$J$6+$M$5*$J$7</f>
        <v>55.887946697986571</v>
      </c>
      <c r="L47" s="39">
        <f>$J$3+[33]FormattedData!E50*$J$4+$M$4*$J$5+[33]FormattedData!E50^2*$J$6+$M$5*$J$7</f>
        <v>44.436848415743114</v>
      </c>
      <c r="M47" s="39">
        <f>$J$3+[33]FormattedData!F50*$J$4+$M$4*$J$5+[33]FormattedData!F50^2*$J$6+$M$5*$J$7</f>
        <v>52.004943563695605</v>
      </c>
      <c r="N47" s="39">
        <f>$J$3+[33]FormattedData!G50*$J$4+$M$4*$J$5+[33]FormattedData!G50^2*$J$6+$M$5*$J$7</f>
        <v>42.336513381010207</v>
      </c>
      <c r="O47" s="39">
        <f>$J$3+[33]FormattedData!H50*$J$4+$M$4*$J$5+[33]FormattedData!H50^2*$J$6+$M$5*$J$7</f>
        <v>53.048780236683562</v>
      </c>
      <c r="P47" s="39">
        <f>$J$3+[33]FormattedData!I50*$J$4+$M$4*$J$5+[33]FormattedData!I50^2*$J$6+$M$5*$J$7</f>
        <v>44.890484190855958</v>
      </c>
      <c r="Q47" s="39">
        <f>$J$3+[33]FormattedData!J50*$J$4+$M$4*$J$5+[33]FormattedData!J50^2*$J$6+$M$5*$J$7</f>
        <v>51.655645412819155</v>
      </c>
      <c r="R47" s="39">
        <f>$J$3+[33]FormattedData!K50*$J$4+$M$4*$J$5+[33]FormattedData!K50^2*$J$6+$M$5*$J$7</f>
        <v>51.305670965335814</v>
      </c>
      <c r="S47" s="39">
        <f>$J$3+[33]FormattedData!L50*$J$4+$M$4*$J$5+[33]FormattedData!L50^2*$J$6+$M$5*$J$7</f>
        <v>52.092162430069891</v>
      </c>
      <c r="T47" s="39">
        <f>$J$3+[33]FormattedData!M50*$J$4+$M$4*$J$5+[33]FormattedData!M50^2*$J$6+$M$5*$J$7</f>
        <v>51.218071682120147</v>
      </c>
      <c r="U47" s="39">
        <f>$J$3+[33]FormattedData!N50*$J$4+$M$4*$J$5+[33]FormattedData!N50^2*$J$6+$M$5*$J$7</f>
        <v>51.568215203755223</v>
      </c>
      <c r="V47" s="39">
        <f>$J$3+[33]FormattedData!O50*$J$4+$M$4*$J$5+[33]FormattedData!O50^2*$J$6+$M$5*$J$7</f>
        <v>38.256177315741091</v>
      </c>
      <c r="W47" s="38">
        <f>AVERAGE(K47:V47)</f>
        <v>49.058454957984686</v>
      </c>
      <c r="X47" s="37">
        <f>STDEV(K47:V47)/SQRT(COUNT(K47:V47))</f>
        <v>1.5171069369793071</v>
      </c>
      <c r="Y47" s="36">
        <f>MIN(K47:V47)</f>
        <v>38.256177315741091</v>
      </c>
      <c r="Z47" s="35">
        <f>QUARTILE(K47:V47,1)</f>
        <v>44.777075247077747</v>
      </c>
      <c r="AA47" s="36">
        <f>MEDIAN(K47:V47)</f>
        <v>51.436943084545518</v>
      </c>
      <c r="AB47" s="35">
        <f>QUARTILE(K47:V47,3)</f>
        <v>52.026748280289176</v>
      </c>
      <c r="AC47" s="35">
        <f>MAX(K47:V47)</f>
        <v>55.887946697986571</v>
      </c>
      <c r="AD47" s="35">
        <f>SKEW(K47:V47)</f>
        <v>-0.93572385373180655</v>
      </c>
      <c r="AE47" s="35">
        <f>KURT(K47:V47)</f>
        <v>-8.0141688517371357E-2</v>
      </c>
    </row>
    <row r="48" spans="2:31" x14ac:dyDescent="0.2">
      <c r="B48" s="50">
        <f>[33]FormattedData!A48</f>
        <v>907</v>
      </c>
      <c r="C48" s="50" t="str">
        <f>VLOOKUP($B48,[33]TrtCodes!$B$11:I91,2)</f>
        <v>DS</v>
      </c>
      <c r="D48" s="50">
        <f>VLOOKUP($B48,[33]TrtCodes!$B$11:J91,3)</f>
        <v>31</v>
      </c>
      <c r="E48" s="50">
        <f>VLOOKUP($B48,[33]TrtCodes!$B$11:K91,4)</f>
        <v>8</v>
      </c>
      <c r="F48" s="50">
        <f>VLOOKUP($B48,[33]TrtCodes!$B$11:L91,5)</f>
        <v>0</v>
      </c>
      <c r="G48" s="50">
        <f>VLOOKUP($B48,[33]TrtCodes!$B$11:M91,6)</f>
        <v>1</v>
      </c>
      <c r="H48" s="50">
        <f>VLOOKUP($B48,[33]TrtCodes!$B$11:N91,7)</f>
        <v>2</v>
      </c>
      <c r="I48" s="50">
        <f>[33]FormattedData!B48</f>
        <v>1</v>
      </c>
      <c r="J48" s="48">
        <f>[33]FormattedData!C48</f>
        <v>13.117000000000001</v>
      </c>
      <c r="K48" s="47">
        <f>$J$3+[33]FormattedData!D48*$J$4+$M$4*$J$5+[33]FormattedData!D48^2*$J$6+$M$5*$J$7</f>
        <v>63.152380146148502</v>
      </c>
      <c r="L48" s="47">
        <f>$J$3+[33]FormattedData!E48*$J$4+$M$4*$J$5+[33]FormattedData!E48^2*$J$6+$M$5*$J$7</f>
        <v>63.152380146148502</v>
      </c>
      <c r="M48" s="47">
        <f>$J$3+[33]FormattedData!F48*$J$4+$M$4*$J$5+[33]FormattedData!F48^2*$J$6+$M$5*$J$7</f>
        <v>63.0706984582432</v>
      </c>
      <c r="N48" s="47">
        <f>$J$3+[33]FormattedData!G48*$J$4+$M$4*$J$5+[33]FormattedData!G48^2*$J$6+$M$5*$J$7</f>
        <v>63.885613253089346</v>
      </c>
      <c r="O48" s="47">
        <f>$J$3+[33]FormattedData!H48*$J$4+$M$4*$J$5+[33]FormattedData!H48^2*$J$6+$M$5*$J$7</f>
        <v>63.885613253089346</v>
      </c>
      <c r="P48" s="47">
        <f>$J$3+[33]FormattedData!I48*$J$4+$M$4*$J$5+[33]FormattedData!I48^2*$J$6+$M$5*$J$7</f>
        <v>63.560154557606054</v>
      </c>
      <c r="Q48" s="47">
        <f>$J$3+[33]FormattedData!J48*$J$4+$M$4*$J$5+[33]FormattedData!J48^2*$J$6+$M$5*$J$7</f>
        <v>63.152380146148502</v>
      </c>
      <c r="R48" s="47">
        <f>$J$3+[33]FormattedData!K48*$J$4+$M$4*$J$5+[33]FormattedData!K48^2*$J$6+$M$5*$J$7</f>
        <v>63.152380146148502</v>
      </c>
      <c r="S48" s="47">
        <f>$J$3+[33]FormattedData!L48*$J$4+$M$4*$J$5+[33]FormattedData!L48^2*$J$6+$M$5*$J$7</f>
        <v>63.560154557606054</v>
      </c>
      <c r="T48" s="47">
        <f>$J$3+[33]FormattedData!M48*$J$4+$M$4*$J$5+[33]FormattedData!M48^2*$J$6+$M$5*$J$7</f>
        <v>63.722968442423571</v>
      </c>
      <c r="U48" s="47">
        <f>$J$3+[33]FormattedData!N48*$J$4+$M$4*$J$5+[33]FormattedData!N48^2*$J$6+$M$5*$J$7</f>
        <v>63.804311982025432</v>
      </c>
      <c r="V48" s="47">
        <f>$J$3+[33]FormattedData!O48*$J$4+$M$4*$J$5+[33]FormattedData!O48^2*$J$6+$M$5*$J$7</f>
        <v>63.722968442423571</v>
      </c>
      <c r="W48" s="49">
        <f>AVERAGE(K48:V48)</f>
        <v>63.485166960925056</v>
      </c>
      <c r="X48" s="48">
        <f>STDEV(K48:V48)/SQRT(COUNT(K48:V48))</f>
        <v>9.3811778630623011E-2</v>
      </c>
      <c r="Y48" s="47">
        <f>MIN(K48:V48)</f>
        <v>63.0706984582432</v>
      </c>
      <c r="Z48" s="46">
        <f>QUARTILE(K48:V48,1)</f>
        <v>63.152380146148502</v>
      </c>
      <c r="AA48" s="47">
        <f>MEDIAN(K48:V48)</f>
        <v>63.560154557606054</v>
      </c>
      <c r="AB48" s="46">
        <f>QUARTILE(K48:V48,3)</f>
        <v>63.74330432732404</v>
      </c>
      <c r="AC48" s="46">
        <f>MAX(K48:V48)</f>
        <v>63.885613253089346</v>
      </c>
      <c r="AD48" s="46">
        <f>SKEW(K48:V48)</f>
        <v>-9.5189322367318543E-2</v>
      </c>
      <c r="AE48" s="46">
        <f>KURT(K48:V48)</f>
        <v>-1.9588191916914623</v>
      </c>
    </row>
    <row r="49" spans="2:31" ht="13.5" thickBot="1" x14ac:dyDescent="0.25">
      <c r="B49" s="45">
        <f>[33]FormattedData!A46</f>
        <v>908</v>
      </c>
      <c r="C49" s="45" t="str">
        <f>VLOOKUP($B49,[33]TrtCodes!$B$11:I89,2)</f>
        <v>Early</v>
      </c>
      <c r="D49" s="45">
        <f>VLOOKUP($B49,[33]TrtCodes!$B$11:J89,3)</f>
        <v>21</v>
      </c>
      <c r="E49" s="45">
        <f>VLOOKUP($B49,[33]TrtCodes!$B$11:K89,4)</f>
        <v>3</v>
      </c>
      <c r="F49" s="45">
        <f>VLOOKUP($B49,[33]TrtCodes!$B$11:L89,5)</f>
        <v>2</v>
      </c>
      <c r="G49" s="45">
        <f>VLOOKUP($B49,[33]TrtCodes!$B$11:M89,6)</f>
        <v>2</v>
      </c>
      <c r="H49" s="45">
        <f>VLOOKUP($B49,[33]TrtCodes!$B$11:N89,7)</f>
        <v>2</v>
      </c>
      <c r="I49" s="45">
        <f>[33]FormattedData!B46</f>
        <v>1</v>
      </c>
      <c r="J49" s="42">
        <f>[33]FormattedData!C46</f>
        <v>13.101000000000001</v>
      </c>
      <c r="K49" s="44">
        <f>$J$3+[33]FormattedData!D46*$J$4+$M$4*$J$5+[33]FormattedData!D46^2*$J$6+$M$5*$J$7</f>
        <v>54.68907355116044</v>
      </c>
      <c r="L49" s="44">
        <f>$J$3+[33]FormattedData!E46*$J$4+$M$4*$J$5+[33]FormattedData!E46^2*$J$6+$M$5*$J$7</f>
        <v>42.795010037985129</v>
      </c>
      <c r="M49" s="44">
        <f>$J$3+[33]FormattedData!F46*$J$4+$M$4*$J$5+[33]FormattedData!F46^2*$J$6+$M$5*$J$7</f>
        <v>50.955020221245569</v>
      </c>
      <c r="N49" s="44">
        <f>$J$3+[33]FormattedData!G46*$J$4+$M$4*$J$5+[33]FormattedData!G46^2*$J$6+$M$5*$J$7</f>
        <v>40.028179394411403</v>
      </c>
      <c r="O49" s="44">
        <f>$J$3+[33]FormattedData!H46*$J$4+$M$4*$J$5+[33]FormattedData!H46^2*$J$6+$M$5*$J$7</f>
        <v>52.527622733872342</v>
      </c>
      <c r="P49" s="44">
        <f>$J$3+[33]FormattedData!I46*$J$4+$M$4*$J$5+[33]FormattedData!I46^2*$J$6+$M$5*$J$7</f>
        <v>45.884763264766285</v>
      </c>
      <c r="Q49" s="44">
        <f>$J$3+[33]FormattedData!J46*$J$4+$M$4*$J$5+[33]FormattedData!J46^2*$J$6+$M$5*$J$7</f>
        <v>51.130430130366555</v>
      </c>
      <c r="R49" s="44">
        <f>$J$3+[33]FormattedData!K46*$J$4+$M$4*$J$5+[33]FormattedData!K46^2*$J$6+$M$5*$J$7</f>
        <v>42.703395243666009</v>
      </c>
      <c r="S49" s="44">
        <f>$J$3+[33]FormattedData!L46*$J$4+$M$4*$J$5+[33]FormattedData!L46^2*$J$6+$M$5*$J$7</f>
        <v>50.779441237972854</v>
      </c>
      <c r="T49" s="44">
        <f>$J$3+[33]FormattedData!M46*$J$4+$M$4*$J$5+[33]FormattedData!M46^2*$J$6+$M$5*$J$7</f>
        <v>45.974898660257821</v>
      </c>
      <c r="U49" s="44">
        <f>$J$3+[33]FormattedData!N46*$J$4+$M$4*$J$5+[33]FormattedData!N46^2*$J$6+$M$5*$J$7</f>
        <v>53.308788362827102</v>
      </c>
      <c r="V49" s="44">
        <f>$J$3+[33]FormattedData!O46*$J$4+$M$4*$J$5+[33]FormattedData!O46^2*$J$6+$M$5*$J$7</f>
        <v>35.616993133426149</v>
      </c>
      <c r="W49" s="43">
        <f>AVERAGE(K49:V49)</f>
        <v>47.199467997663135</v>
      </c>
      <c r="X49" s="42">
        <f>STDEV(K49:V49)/SQRT(COUNT(K49:V49))</f>
        <v>1.7246060303178412</v>
      </c>
      <c r="Y49" s="41">
        <f>MIN(K49:V49)</f>
        <v>35.616993133426149</v>
      </c>
      <c r="Z49" s="40">
        <f>QUARTILE(K49:V49,1)</f>
        <v>42.772106339405347</v>
      </c>
      <c r="AA49" s="41">
        <f>MEDIAN(K49:V49)</f>
        <v>48.377169949115341</v>
      </c>
      <c r="AB49" s="40">
        <f>QUARTILE(K49:V49,3)</f>
        <v>51.479728281242998</v>
      </c>
      <c r="AC49" s="40">
        <f>MAX(K49:V49)</f>
        <v>54.68907355116044</v>
      </c>
      <c r="AD49" s="40">
        <f>SKEW(K49:V49)</f>
        <v>-0.58532785404832521</v>
      </c>
      <c r="AE49" s="40">
        <f>KURT(K49:V49)</f>
        <v>-0.64647922013137959</v>
      </c>
    </row>
    <row r="50" spans="2:31" ht="13.5" thickTop="1" x14ac:dyDescent="0.2">
      <c r="B50" s="34">
        <f>[33]FormattedData!A29</f>
        <v>101</v>
      </c>
      <c r="C50" s="34" t="str">
        <f>VLOOKUP($B50,[33]TrtCodes!$B$11:I72,2)</f>
        <v>FSH</v>
      </c>
      <c r="D50" s="34">
        <f>VLOOKUP($B50,[33]TrtCodes!$B$11:J72,3)</f>
        <v>1</v>
      </c>
      <c r="E50" s="34">
        <f>VLOOKUP($B50,[33]TrtCodes!$B$11:K72,4)</f>
        <v>1</v>
      </c>
      <c r="F50" s="34">
        <f>VLOOKUP($B50,[33]TrtCodes!$B$11:L72,5)</f>
        <v>1</v>
      </c>
      <c r="G50" s="34">
        <f>VLOOKUP($B50,[33]TrtCodes!$B$11:M72,6)</f>
        <v>2</v>
      </c>
      <c r="H50" s="34">
        <f>VLOOKUP($B50,[33]TrtCodes!$B$11:N72,7)</f>
        <v>1</v>
      </c>
      <c r="I50" s="34">
        <f>[33]FormattedData!B29</f>
        <v>2</v>
      </c>
      <c r="J50" s="37">
        <f>[33]FormattedData!C29</f>
        <v>12.949</v>
      </c>
      <c r="K50" s="39">
        <f>$J$3+[33]FormattedData!D29*$J$4+$M$4*$J$5+[33]FormattedData!D29^2*$J$6+$M$5*$J$7</f>
        <v>29.460133569608448</v>
      </c>
      <c r="L50" s="39">
        <f>$J$3+[33]FormattedData!E29*$J$4+$M$4*$J$5+[33]FormattedData!E29^2*$J$6+$M$5*$J$7</f>
        <v>29.069581325711209</v>
      </c>
      <c r="M50" s="39">
        <f>$J$3+[33]FormattedData!F29*$J$4+$M$4*$J$5+[33]FormattedData!F29^2*$J$6+$M$5*$J$7</f>
        <v>31.209249496635671</v>
      </c>
      <c r="N50" s="39">
        <f>$J$3+[33]FormattedData!G29*$J$4+$M$4*$J$5+[33]FormattedData!G29^2*$J$6+$M$5*$J$7</f>
        <v>28.97183759339207</v>
      </c>
      <c r="O50" s="39">
        <f>$J$3+[33]FormattedData!H29*$J$4+$M$4*$J$5+[33]FormattedData!H29^2*$J$6+$M$5*$J$7</f>
        <v>29.362558911441035</v>
      </c>
      <c r="P50" s="39">
        <f>$J$3+[33]FormattedData!I29*$J$4+$M$4*$J$5+[33]FormattedData!I29^2*$J$6+$M$5*$J$7</f>
        <v>28.580439978736205</v>
      </c>
      <c r="Q50" s="39">
        <f>$J$3+[33]FormattedData!J29*$J$4+$M$4*$J$5+[33]FormattedData!J29^2*$J$6+$M$5*$J$7</f>
        <v>29.85000951689879</v>
      </c>
      <c r="R50" s="39">
        <f>$J$3+[33]FormattedData!K29*$J$4+$M$4*$J$5+[33]FormattedData!K29^2*$J$6+$M$5*$J$7</f>
        <v>30.433555381696376</v>
      </c>
      <c r="S50" s="39">
        <f>$J$3+[33]FormattedData!L29*$J$4+$M$4*$J$5+[33]FormattedData!L29^2*$J$6+$M$5*$J$7</f>
        <v>29.752603932883105</v>
      </c>
      <c r="T50" s="39">
        <f>$J$3+[33]FormattedData!M29*$J$4+$M$4*$J$5+[33]FormattedData!M29^2*$J$6+$M$5*$J$7</f>
        <v>31.015579579128431</v>
      </c>
      <c r="U50" s="39">
        <f>$J$3+[33]FormattedData!N29*$J$4+$M$4*$J$5+[33]FormattedData!N29^2*$J$6+$M$5*$J$7</f>
        <v>29.557665959237934</v>
      </c>
      <c r="V50" s="39">
        <f>$J$3+[33]FormattedData!O29*$J$4+$M$4*$J$5+[33]FormattedData!O29^2*$J$6+$M$5*$J$7</f>
        <v>28.580439978736205</v>
      </c>
      <c r="W50" s="38">
        <f>AVERAGE(K50:V50)</f>
        <v>29.653637935342118</v>
      </c>
      <c r="X50" s="37">
        <f>STDEV(K50:V50)/SQRT(COUNT(K50:V50))</f>
        <v>0.24881998415739112</v>
      </c>
      <c r="Y50" s="36">
        <f>MIN(K50:V50)</f>
        <v>28.580439978736205</v>
      </c>
      <c r="Z50" s="35">
        <f>QUARTILE(K50:V50,1)</f>
        <v>29.045145392631426</v>
      </c>
      <c r="AA50" s="36">
        <f>MEDIAN(K50:V50)</f>
        <v>29.508899764423191</v>
      </c>
      <c r="AB50" s="35">
        <f>QUARTILE(K50:V50,3)</f>
        <v>29.995895983098187</v>
      </c>
      <c r="AC50" s="35">
        <f>MAX(K50:V50)</f>
        <v>31.209249496635671</v>
      </c>
      <c r="AD50" s="35">
        <f>SKEW(K50:V50)</f>
        <v>0.63927844757796726</v>
      </c>
      <c r="AE50" s="35">
        <f>KURT(K50:V50)</f>
        <v>-0.41838242608550313</v>
      </c>
    </row>
    <row r="51" spans="2:31" x14ac:dyDescent="0.2">
      <c r="B51" s="34">
        <f>[33]FormattedData!A27</f>
        <v>102</v>
      </c>
      <c r="C51" s="34" t="str">
        <f>VLOOKUP($B51,[33]TrtCodes!$B$11:I70,2)</f>
        <v>FTL</v>
      </c>
      <c r="D51" s="34">
        <f>VLOOKUP($B51,[33]TrtCodes!$B$11:J70,3)</f>
        <v>4</v>
      </c>
      <c r="E51" s="34">
        <f>VLOOKUP($B51,[33]TrtCodes!$B$11:K70,4)</f>
        <v>1</v>
      </c>
      <c r="F51" s="34">
        <f>VLOOKUP($B51,[33]TrtCodes!$B$11:L70,5)</f>
        <v>2</v>
      </c>
      <c r="G51" s="34">
        <f>VLOOKUP($B51,[33]TrtCodes!$B$11:M70,6)</f>
        <v>1</v>
      </c>
      <c r="H51" s="34">
        <f>VLOOKUP($B51,[33]TrtCodes!$B$11:N70,7)</f>
        <v>1</v>
      </c>
      <c r="I51" s="34">
        <f>[33]FormattedData!B27</f>
        <v>2</v>
      </c>
      <c r="J51" s="37">
        <f>[33]FormattedData!C27</f>
        <v>12.933</v>
      </c>
      <c r="K51" s="39">
        <f>$J$3+[33]FormattedData!D27*$J$4+$M$4*$J$5+[33]FormattedData!D27^2*$J$6+$M$5*$J$7</f>
        <v>30.044693879316377</v>
      </c>
      <c r="L51" s="39">
        <f>$J$3+[33]FormattedData!E27*$J$4+$M$4*$J$5+[33]FormattedData!E27^2*$J$6+$M$5*$J$7</f>
        <v>30.724757688833094</v>
      </c>
      <c r="M51" s="39">
        <f>$J$3+[33]FormattedData!F27*$J$4+$M$4*$J$5+[33]FormattedData!F27^2*$J$6+$M$5*$J$7</f>
        <v>30.821740587469471</v>
      </c>
      <c r="N51" s="39">
        <f>$J$3+[33]FormattedData!G27*$J$4+$M$4*$J$5+[33]FormattedData!G27^2*$J$6+$M$5*$J$7</f>
        <v>28.874051592535</v>
      </c>
      <c r="O51" s="39">
        <f>$J$3+[33]FormattedData!H27*$J$4+$M$4*$J$5+[33]FormattedData!H27^2*$J$6+$M$5*$J$7</f>
        <v>29.85000951689879</v>
      </c>
      <c r="P51" s="39">
        <f>$J$3+[33]FormattedData!I27*$J$4+$M$4*$J$5+[33]FormattedData!I27^2*$J$6+$M$5*$J$7</f>
        <v>29.65515608032948</v>
      </c>
      <c r="Q51" s="39">
        <f>$J$3+[33]FormattedData!J27*$J$4+$M$4*$J$5+[33]FormattedData!J27^2*$J$6+$M$5*$J$7</f>
        <v>31.015579579128431</v>
      </c>
      <c r="R51" s="39">
        <f>$J$3+[33]FormattedData!K27*$J$4+$M$4*$J$5+[33]FormattedData!K27^2*$J$6+$M$5*$J$7</f>
        <v>30.821740587469471</v>
      </c>
      <c r="S51" s="39">
        <f>$J$3+[33]FormattedData!L27*$J$4+$M$4*$J$5+[33]FormattedData!L27^2*$J$6+$M$5*$J$7</f>
        <v>29.460133569608448</v>
      </c>
      <c r="T51" s="39">
        <f>$J$3+[33]FormattedData!M27*$J$4+$M$4*$J$5+[33]FormattedData!M27^2*$J$6+$M$5*$J$7</f>
        <v>28.286447948096029</v>
      </c>
      <c r="U51" s="39">
        <f>$J$3+[33]FormattedData!N27*$J$4+$M$4*$J$5+[33]FormattedData!N27^2*$J$6+$M$5*$J$7</f>
        <v>28.678352785207068</v>
      </c>
      <c r="V51" s="39">
        <f>$J$3+[33]FormattedData!O27*$J$4+$M$4*$J$5+[33]FormattedData!O27^2*$J$6+$M$5*$J$7</f>
        <v>29.752603932883105</v>
      </c>
      <c r="W51" s="38">
        <f>AVERAGE(K51:V51)</f>
        <v>29.8321056456479</v>
      </c>
      <c r="X51" s="37">
        <f>STDEV(K51:V51)/SQRT(COUNT(K51:V51))</f>
        <v>0.26134519447747334</v>
      </c>
      <c r="Y51" s="36">
        <f>MIN(K51:V51)</f>
        <v>28.286447948096029</v>
      </c>
      <c r="Z51" s="35">
        <f>QUARTILE(K51:V51,1)</f>
        <v>29.313613075340086</v>
      </c>
      <c r="AA51" s="36">
        <f>MEDIAN(K51:V51)</f>
        <v>29.801306724890949</v>
      </c>
      <c r="AB51" s="35">
        <f>QUARTILE(K51:V51,3)</f>
        <v>30.74900341349219</v>
      </c>
      <c r="AC51" s="35">
        <f>MAX(K51:V51)</f>
        <v>31.015579579128431</v>
      </c>
      <c r="AD51" s="35">
        <f>SKEW(K51:V51)</f>
        <v>-0.27175180107515262</v>
      </c>
      <c r="AE51" s="35">
        <f>KURT(K51:V51)</f>
        <v>-1.0169671359992605</v>
      </c>
    </row>
    <row r="52" spans="2:31" x14ac:dyDescent="0.2">
      <c r="B52" s="34">
        <f>[33]FormattedData!A25</f>
        <v>103</v>
      </c>
      <c r="C52" s="34" t="str">
        <f>VLOOKUP($B52,[33]TrtCodes!$B$11:I68,2)</f>
        <v>FDH</v>
      </c>
      <c r="D52" s="34">
        <f>VLOOKUP($B52,[33]TrtCodes!$B$11:J68,3)</f>
        <v>5</v>
      </c>
      <c r="E52" s="34">
        <f>VLOOKUP($B52,[33]TrtCodes!$B$11:K68,4)</f>
        <v>1</v>
      </c>
      <c r="F52" s="34">
        <f>VLOOKUP($B52,[33]TrtCodes!$B$11:L68,5)</f>
        <v>3</v>
      </c>
      <c r="G52" s="34">
        <f>VLOOKUP($B52,[33]TrtCodes!$B$11:M68,6)</f>
        <v>2</v>
      </c>
      <c r="H52" s="34">
        <f>VLOOKUP($B52,[33]TrtCodes!$B$11:N68,7)</f>
        <v>1</v>
      </c>
      <c r="I52" s="34">
        <f>[33]FormattedData!B25</f>
        <v>2</v>
      </c>
      <c r="J52" s="37">
        <f>[33]FormattedData!C25</f>
        <v>12.917</v>
      </c>
      <c r="K52" s="39">
        <f>$J$3+[33]FormattedData!D25*$J$4+$M$4*$J$5+[33]FormattedData!D25^2*$J$6+$M$5*$J$7</f>
        <v>29.85000951689879</v>
      </c>
      <c r="L52" s="39">
        <f>$J$3+[33]FormattedData!E25*$J$4+$M$4*$J$5+[33]FormattedData!E25^2*$J$6+$M$5*$J$7</f>
        <v>30.530665085946545</v>
      </c>
      <c r="M52" s="39">
        <f>$J$3+[33]FormattedData!F25*$J$4+$M$4*$J$5+[33]FormattedData!F25^2*$J$6+$M$5*$J$7</f>
        <v>29.460133569608448</v>
      </c>
      <c r="N52" s="39">
        <f>$J$3+[33]FormattedData!G25*$J$4+$M$4*$J$5+[33]FormattedData!G25^2*$J$6+$M$5*$J$7</f>
        <v>29.264941984735692</v>
      </c>
      <c r="O52" s="39">
        <f>$J$3+[33]FormattedData!H25*$J$4+$M$4*$J$5+[33]FormattedData!H25^2*$J$6+$M$5*$J$7</f>
        <v>29.069581325711209</v>
      </c>
      <c r="P52" s="39">
        <f>$J$3+[33]FormattedData!I25*$J$4+$M$4*$J$5+[33]FormattedData!I25^2*$J$6+$M$5*$J$7</f>
        <v>29.85000951689879</v>
      </c>
      <c r="Q52" s="39">
        <f>$J$3+[33]FormattedData!J25*$J$4+$M$4*$J$5+[33]FormattedData!J25^2*$J$6+$M$5*$J$7</f>
        <v>29.362558911441035</v>
      </c>
      <c r="R52" s="39">
        <f>$J$3+[33]FormattedData!K25*$J$4+$M$4*$J$5+[33]FormattedData!K25^2*$J$6+$M$5*$J$7</f>
        <v>28.776223323139998</v>
      </c>
      <c r="S52" s="39">
        <f>$J$3+[33]FormattedData!L25*$J$4+$M$4*$J$5+[33]FormattedData!L25^2*$J$6+$M$5*$J$7</f>
        <v>30.14197265771827</v>
      </c>
      <c r="T52" s="39">
        <f>$J$3+[33]FormattedData!M25*$J$4+$M$4*$J$5+[33]FormattedData!M25^2*$J$6+$M$5*$J$7</f>
        <v>30.239209167582239</v>
      </c>
      <c r="U52" s="39">
        <f>$J$3+[33]FormattedData!N25*$J$4+$M$4*$J$5+[33]FormattedData!N25^2*$J$6+$M$5*$J$7</f>
        <v>31.306021052582388</v>
      </c>
      <c r="V52" s="39">
        <f>$J$3+[33]FormattedData!O25*$J$4+$M$4*$J$5+[33]FormattedData!O25^2*$J$6+$M$5*$J$7</f>
        <v>30.336403408908268</v>
      </c>
      <c r="W52" s="38">
        <f>AVERAGE(K52:V52)</f>
        <v>29.848977460097633</v>
      </c>
      <c r="X52" s="37">
        <f>STDEV(K52:V52)/SQRT(COUNT(K52:V52))</f>
        <v>0.20505998737312192</v>
      </c>
      <c r="Y52" s="36">
        <f>MIN(K52:V52)</f>
        <v>28.776223323139998</v>
      </c>
      <c r="Z52" s="35">
        <f>QUARTILE(K52:V52,1)</f>
        <v>29.338154679764699</v>
      </c>
      <c r="AA52" s="36">
        <f>MEDIAN(K52:V52)</f>
        <v>29.85000951689879</v>
      </c>
      <c r="AB52" s="35">
        <f>QUARTILE(K52:V52,3)</f>
        <v>30.263507727913748</v>
      </c>
      <c r="AC52" s="35">
        <f>MAX(K52:V52)</f>
        <v>31.306021052582388</v>
      </c>
      <c r="AD52" s="35">
        <f>SKEW(K52:V52)</f>
        <v>0.46546065245806445</v>
      </c>
      <c r="AE52" s="35">
        <f>KURT(K52:V52)</f>
        <v>0.11221330312612032</v>
      </c>
    </row>
    <row r="53" spans="2:31" x14ac:dyDescent="0.2">
      <c r="B53" s="34">
        <f>[33]FormattedData!A23</f>
        <v>104</v>
      </c>
      <c r="C53" s="34" t="str">
        <f>VLOOKUP($B53,[33]TrtCodes!$B$11:I66,2)</f>
        <v>NTL</v>
      </c>
      <c r="D53" s="34">
        <f>VLOOKUP($B53,[33]TrtCodes!$B$11:J66,3)</f>
        <v>10</v>
      </c>
      <c r="E53" s="34">
        <f>VLOOKUP($B53,[33]TrtCodes!$B$11:K66,4)</f>
        <v>2</v>
      </c>
      <c r="F53" s="34">
        <f>VLOOKUP($B53,[33]TrtCodes!$B$11:L66,5)</f>
        <v>2</v>
      </c>
      <c r="G53" s="34">
        <f>VLOOKUP($B53,[33]TrtCodes!$B$11:M66,6)</f>
        <v>1</v>
      </c>
      <c r="H53" s="34">
        <f>VLOOKUP($B53,[33]TrtCodes!$B$11:N66,7)</f>
        <v>1</v>
      </c>
      <c r="I53" s="34">
        <f>[33]FormattedData!B23</f>
        <v>2</v>
      </c>
      <c r="J53" s="37">
        <f>[33]FormattedData!C23</f>
        <v>12.9</v>
      </c>
      <c r="K53" s="39">
        <f>$J$3+[33]FormattedData!D23*$J$4+$M$4*$J$5+[33]FormattedData!D23^2*$J$6+$M$5*$J$7</f>
        <v>30.530665085946545</v>
      </c>
      <c r="L53" s="39">
        <f>$J$3+[33]FormattedData!E23*$J$4+$M$4*$J$5+[33]FormattedData!E23^2*$J$6+$M$5*$J$7</f>
        <v>29.557665959237934</v>
      </c>
      <c r="M53" s="39">
        <f>$J$3+[33]FormattedData!F23*$J$4+$M$4*$J$5+[33]FormattedData!F23^2*$J$6+$M$5*$J$7</f>
        <v>30.14197265771827</v>
      </c>
      <c r="N53" s="39">
        <f>$J$3+[33]FormattedData!G23*$J$4+$M$4*$J$5+[33]FormattedData!G23^2*$J$6+$M$5*$J$7</f>
        <v>30.336403408908268</v>
      </c>
      <c r="O53" s="39">
        <f>$J$3+[33]FormattedData!H23*$J$4+$M$4*$J$5+[33]FormattedData!H23^2*$J$6+$M$5*$J$7</f>
        <v>30.14197265771827</v>
      </c>
      <c r="P53" s="39">
        <f>$J$3+[33]FormattedData!I23*$J$4+$M$4*$J$5+[33]FormattedData!I23^2*$J$6+$M$5*$J$7</f>
        <v>30.14197265771827</v>
      </c>
      <c r="Q53" s="39">
        <f>$J$3+[33]FormattedData!J23*$J$4+$M$4*$J$5+[33]FormattedData!J23^2*$J$6+$M$5*$J$7</f>
        <v>31.306021052582388</v>
      </c>
      <c r="R53" s="39">
        <f>$J$3+[33]FormattedData!K23*$J$4+$M$4*$J$5+[33]FormattedData!K23^2*$J$6+$M$5*$J$7</f>
        <v>29.947372832376555</v>
      </c>
      <c r="S53" s="39">
        <f>$J$3+[33]FormattedData!L23*$J$4+$M$4*$J$5+[33]FormattedData!L23^2*$J$6+$M$5*$J$7</f>
        <v>31.885762748966172</v>
      </c>
      <c r="T53" s="39">
        <f>$J$3+[33]FormattedData!M23*$J$4+$M$4*$J$5+[33]FormattedData!M23^2*$J$6+$M$5*$J$7</f>
        <v>30.14197265771827</v>
      </c>
      <c r="U53" s="39">
        <f>$J$3+[33]FormattedData!N23*$J$4+$M$4*$J$5+[33]FormattedData!N23^2*$J$6+$M$5*$J$7</f>
        <v>30.724757688833094</v>
      </c>
      <c r="V53" s="39">
        <f>$J$3+[33]FormattedData!O23*$J$4+$M$4*$J$5+[33]FormattedData!O23^2*$J$6+$M$5*$J$7</f>
        <v>31.112435672151012</v>
      </c>
      <c r="W53" s="38">
        <f>AVERAGE(K53:V53)</f>
        <v>30.497414589989589</v>
      </c>
      <c r="X53" s="37">
        <f>STDEV(K53:V53)/SQRT(COUNT(K53:V53))</f>
        <v>0.189283944293307</v>
      </c>
      <c r="Y53" s="36">
        <f>MIN(K53:V53)</f>
        <v>29.557665959237934</v>
      </c>
      <c r="Z53" s="35">
        <f>QUARTILE(K53:V53,1)</f>
        <v>30.14197265771827</v>
      </c>
      <c r="AA53" s="36">
        <f>MEDIAN(K53:V53)</f>
        <v>30.239188033313269</v>
      </c>
      <c r="AB53" s="35">
        <f>QUARTILE(K53:V53,3)</f>
        <v>30.821677184662573</v>
      </c>
      <c r="AC53" s="35">
        <f>MAX(K53:V53)</f>
        <v>31.885762748966172</v>
      </c>
      <c r="AD53" s="35">
        <f>SKEW(K53:V53)</f>
        <v>0.87804971216990291</v>
      </c>
      <c r="AE53" s="35">
        <f>KURT(K53:V53)</f>
        <v>0.42034041160475066</v>
      </c>
    </row>
    <row r="54" spans="2:31" x14ac:dyDescent="0.2">
      <c r="B54" s="34">
        <f>[33]FormattedData!A21</f>
        <v>105</v>
      </c>
      <c r="C54" s="34" t="str">
        <f>VLOOKUP($B54,[33]TrtCodes!$B$11:I64,2)</f>
        <v>NDL</v>
      </c>
      <c r="D54" s="34">
        <f>VLOOKUP($B54,[33]TrtCodes!$B$11:J64,3)</f>
        <v>12</v>
      </c>
      <c r="E54" s="34">
        <f>VLOOKUP($B54,[33]TrtCodes!$B$11:K64,4)</f>
        <v>2</v>
      </c>
      <c r="F54" s="34">
        <f>VLOOKUP($B54,[33]TrtCodes!$B$11:L64,5)</f>
        <v>3</v>
      </c>
      <c r="G54" s="34">
        <f>VLOOKUP($B54,[33]TrtCodes!$B$11:M64,6)</f>
        <v>1</v>
      </c>
      <c r="H54" s="34">
        <f>VLOOKUP($B54,[33]TrtCodes!$B$11:N64,7)</f>
        <v>2</v>
      </c>
      <c r="I54" s="34">
        <f>[33]FormattedData!B21</f>
        <v>2</v>
      </c>
      <c r="J54" s="37">
        <f>[33]FormattedData!C21</f>
        <v>12.882999999999999</v>
      </c>
      <c r="K54" s="39">
        <f>$J$3+[33]FormattedData!D21*$J$4+$M$4*$J$5+[33]FormattedData!D21^2*$J$6+$M$5*$J$7</f>
        <v>29.167282789492415</v>
      </c>
      <c r="L54" s="39">
        <f>$J$3+[33]FormattedData!E21*$J$4+$M$4*$J$5+[33]FormattedData!E21^2*$J$6+$M$5*$J$7</f>
        <v>28.286447948096029</v>
      </c>
      <c r="M54" s="39">
        <f>$J$3+[33]FormattedData!F21*$J$4+$M$4*$J$5+[33]FormattedData!F21^2*$J$6+$M$5*$J$7</f>
        <v>30.433555381696376</v>
      </c>
      <c r="N54" s="39">
        <f>$J$3+[33]FormattedData!G21*$J$4+$M$4*$J$5+[33]FormattedData!G21^2*$J$6+$M$5*$J$7</f>
        <v>30.14197265771827</v>
      </c>
      <c r="O54" s="39">
        <f>$J$3+[33]FormattedData!H21*$J$4+$M$4*$J$5+[33]FormattedData!H21^2*$J$6+$M$5*$J$7</f>
        <v>31.885762748966172</v>
      </c>
      <c r="P54" s="39">
        <f>$J$3+[33]FormattedData!I21*$J$4+$M$4*$J$5+[33]FormattedData!I21^2*$J$6+$M$5*$J$7</f>
        <v>30.918681217567919</v>
      </c>
      <c r="Q54" s="39">
        <f>$J$3+[33]FormattedData!J21*$J$4+$M$4*$J$5+[33]FormattedData!J21^2*$J$6+$M$5*$J$7</f>
        <v>32.078671832790647</v>
      </c>
      <c r="R54" s="39">
        <f>$J$3+[33]FormattedData!K21*$J$4+$M$4*$J$5+[33]FormattedData!K21^2*$J$6+$M$5*$J$7</f>
        <v>31.209249496635671</v>
      </c>
      <c r="S54" s="39">
        <f>$J$3+[33]FormattedData!L21*$J$4+$M$4*$J$5+[33]FormattedData!L21^2*$J$6+$M$5*$J$7</f>
        <v>30.433555381696376</v>
      </c>
      <c r="T54" s="39">
        <f>$J$3+[33]FormattedData!M21*$J$4+$M$4*$J$5+[33]FormattedData!M21^2*$J$6+$M$5*$J$7</f>
        <v>29.85000951689879</v>
      </c>
      <c r="U54" s="39">
        <f>$J$3+[33]FormattedData!N21*$J$4+$M$4*$J$5+[33]FormattedData!N21^2*$J$6+$M$5*$J$7</f>
        <v>29.264941984735692</v>
      </c>
      <c r="V54" s="39">
        <f>$J$3+[33]FormattedData!O21*$J$4+$M$4*$J$5+[33]FormattedData!O21^2*$J$6+$M$5*$J$7</f>
        <v>29.362558911441035</v>
      </c>
      <c r="W54" s="38">
        <f>AVERAGE(K54:V54)</f>
        <v>30.252724155644618</v>
      </c>
      <c r="X54" s="37">
        <f>STDEV(K54:V54)/SQRT(COUNT(K54:V54))</f>
        <v>0.33042347948916206</v>
      </c>
      <c r="Y54" s="36">
        <f>MIN(K54:V54)</f>
        <v>28.286447948096029</v>
      </c>
      <c r="Z54" s="35">
        <f>QUARTILE(K54:V54,1)</f>
        <v>29.338154679764699</v>
      </c>
      <c r="AA54" s="36">
        <f>MEDIAN(K54:V54)</f>
        <v>30.287764019707325</v>
      </c>
      <c r="AB54" s="35">
        <f>QUARTILE(K54:V54,3)</f>
        <v>30.991323287334858</v>
      </c>
      <c r="AC54" s="35">
        <f>MAX(K54:V54)</f>
        <v>32.078671832790647</v>
      </c>
      <c r="AD54" s="35">
        <f>SKEW(K54:V54)</f>
        <v>7.3359471349719971E-2</v>
      </c>
      <c r="AE54" s="35">
        <f>KURT(K54:V54)</f>
        <v>-0.61779257672160082</v>
      </c>
    </row>
    <row r="55" spans="2:31" x14ac:dyDescent="0.2">
      <c r="B55" s="34">
        <f>[33]FormattedData!A19</f>
        <v>106</v>
      </c>
      <c r="C55" s="34" t="str">
        <f>VLOOKUP($B55,[33]TrtCodes!$B$11:I62,2)</f>
        <v>NTH</v>
      </c>
      <c r="D55" s="34">
        <f>VLOOKUP($B55,[33]TrtCodes!$B$11:J62,3)</f>
        <v>9</v>
      </c>
      <c r="E55" s="34">
        <f>VLOOKUP($B55,[33]TrtCodes!$B$11:K62,4)</f>
        <v>2</v>
      </c>
      <c r="F55" s="34">
        <f>VLOOKUP($B55,[33]TrtCodes!$B$11:L62,5)</f>
        <v>2</v>
      </c>
      <c r="G55" s="34">
        <f>VLOOKUP($B55,[33]TrtCodes!$B$11:M62,6)</f>
        <v>2</v>
      </c>
      <c r="H55" s="34">
        <f>VLOOKUP($B55,[33]TrtCodes!$B$11:N62,7)</f>
        <v>2</v>
      </c>
      <c r="I55" s="34">
        <f>[33]FormattedData!B19</f>
        <v>2</v>
      </c>
      <c r="J55" s="37">
        <f>[33]FormattedData!C19</f>
        <v>12.865</v>
      </c>
      <c r="K55" s="39">
        <f>$J$3+[33]FormattedData!D19*$J$4+$M$4*$J$5+[33]FormattedData!D19^2*$J$6+$M$5*$J$7</f>
        <v>29.362558911441035</v>
      </c>
      <c r="L55" s="39">
        <f>$J$3+[33]FormattedData!E19*$J$4+$M$4*$J$5+[33]FormattedData!E19^2*$J$6+$M$5*$J$7</f>
        <v>28.482484903727411</v>
      </c>
      <c r="M55" s="39">
        <f>$J$3+[33]FormattedData!F19*$J$4+$M$4*$J$5+[33]FormattedData!F19^2*$J$6+$M$5*$J$7</f>
        <v>29.947372832376555</v>
      </c>
      <c r="N55" s="39">
        <f>$J$3+[33]FormattedData!G19*$J$4+$M$4*$J$5+[33]FormattedData!G19^2*$J$6+$M$5*$J$7</f>
        <v>29.362558911441035</v>
      </c>
      <c r="O55" s="39">
        <f>$J$3+[33]FormattedData!H19*$J$4+$M$4*$J$5+[33]FormattedData!H19^2*$J$6+$M$5*$J$7</f>
        <v>29.460133569608448</v>
      </c>
      <c r="P55" s="39">
        <f>$J$3+[33]FormattedData!I19*$J$4+$M$4*$J$5+[33]FormattedData!I19^2*$J$6+$M$5*$J$7</f>
        <v>30.530665085946545</v>
      </c>
      <c r="Q55" s="39">
        <f>$J$3+[33]FormattedData!J19*$J$4+$M$4*$J$5+[33]FormattedData!J19^2*$J$6+$M$5*$J$7</f>
        <v>28.286447948096029</v>
      </c>
      <c r="R55" s="39">
        <f>$J$3+[33]FormattedData!K19*$J$4+$M$4*$J$5+[33]FormattedData!K19^2*$J$6+$M$5*$J$7</f>
        <v>29.069581325711209</v>
      </c>
      <c r="S55" s="39">
        <f>$J$3+[33]FormattedData!L19*$J$4+$M$4*$J$5+[33]FormattedData!L19^2*$J$6+$M$5*$J$7</f>
        <v>29.557665959237934</v>
      </c>
      <c r="T55" s="39">
        <f>$J$3+[33]FormattedData!M19*$J$4+$M$4*$J$5+[33]FormattedData!M19^2*$J$6+$M$5*$J$7</f>
        <v>28.97183759339207</v>
      </c>
      <c r="U55" s="39">
        <f>$J$3+[33]FormattedData!N19*$J$4+$M$4*$J$5+[33]FormattedData!N19^2*$J$6+$M$5*$J$7</f>
        <v>27.697322636291538</v>
      </c>
      <c r="V55" s="39">
        <f>$J$3+[33]FormattedData!O19*$J$4+$M$4*$J$5+[33]FormattedData!O19^2*$J$6+$M$5*$J$7</f>
        <v>27.992075500614476</v>
      </c>
      <c r="W55" s="38">
        <f>AVERAGE(K55:V55)</f>
        <v>29.060058764823683</v>
      </c>
      <c r="X55" s="37">
        <f>STDEV(K55:V55)/SQRT(COUNT(K55:V55))</f>
        <v>0.23802010955021644</v>
      </c>
      <c r="Y55" s="36">
        <f>MIN(K55:V55)</f>
        <v>27.697322636291538</v>
      </c>
      <c r="Z55" s="35">
        <f>QUARTILE(K55:V55,1)</f>
        <v>28.433475664819564</v>
      </c>
      <c r="AA55" s="36">
        <f>MEDIAN(K55:V55)</f>
        <v>29.21607011857612</v>
      </c>
      <c r="AB55" s="35">
        <f>QUARTILE(K55:V55,3)</f>
        <v>29.484516667015818</v>
      </c>
      <c r="AC55" s="35">
        <f>MAX(K55:V55)</f>
        <v>30.530665085946545</v>
      </c>
      <c r="AD55" s="35">
        <f>SKEW(K55:V55)</f>
        <v>-5.5167653014930769E-2</v>
      </c>
      <c r="AE55" s="35">
        <f>KURT(K55:V55)</f>
        <v>-0.41264932453727265</v>
      </c>
    </row>
    <row r="56" spans="2:31" x14ac:dyDescent="0.2">
      <c r="B56" s="34">
        <f>[33]FormattedData!A17</f>
        <v>107</v>
      </c>
      <c r="C56" s="34" t="str">
        <f>VLOOKUP($B56,[33]TrtCodes!$B$11:I60,2)</f>
        <v>NTL</v>
      </c>
      <c r="D56" s="34">
        <f>VLOOKUP($B56,[33]TrtCodes!$B$11:J60,3)</f>
        <v>10</v>
      </c>
      <c r="E56" s="34">
        <f>VLOOKUP($B56,[33]TrtCodes!$B$11:K60,4)</f>
        <v>2</v>
      </c>
      <c r="F56" s="34">
        <f>VLOOKUP($B56,[33]TrtCodes!$B$11:L60,5)</f>
        <v>2</v>
      </c>
      <c r="G56" s="34">
        <f>VLOOKUP($B56,[33]TrtCodes!$B$11:M60,6)</f>
        <v>1</v>
      </c>
      <c r="H56" s="34">
        <f>VLOOKUP($B56,[33]TrtCodes!$B$11:N60,7)</f>
        <v>2</v>
      </c>
      <c r="I56" s="34">
        <f>[33]FormattedData!B17</f>
        <v>2</v>
      </c>
      <c r="J56" s="37">
        <f>[33]FormattedData!C17</f>
        <v>12.847</v>
      </c>
      <c r="K56" s="39">
        <f>$J$3+[33]FormattedData!D17*$J$4+$M$4*$J$5+[33]FormattedData!D17^2*$J$6+$M$5*$J$7</f>
        <v>29.460133569608448</v>
      </c>
      <c r="L56" s="39">
        <f>$J$3+[33]FormattedData!E17*$J$4+$M$4*$J$5+[33]FormattedData!E17^2*$J$6+$M$5*$J$7</f>
        <v>28.97183759339207</v>
      </c>
      <c r="M56" s="39">
        <f>$J$3+[33]FormattedData!F17*$J$4+$M$4*$J$5+[33]FormattedData!F17^2*$J$6+$M$5*$J$7</f>
        <v>28.580439978736205</v>
      </c>
      <c r="N56" s="39">
        <f>$J$3+[33]FormattedData!G17*$J$4+$M$4*$J$5+[33]FormattedData!G17^2*$J$6+$M$5*$J$7</f>
        <v>28.286447948096029</v>
      </c>
      <c r="O56" s="39">
        <f>$J$3+[33]FormattedData!H17*$J$4+$M$4*$J$5+[33]FormattedData!H17^2*$J$6+$M$5*$J$7</f>
        <v>28.776223323139998</v>
      </c>
      <c r="P56" s="39">
        <f>$J$3+[33]FormattedData!I17*$J$4+$M$4*$J$5+[33]FormattedData!I17^2*$J$6+$M$5*$J$7</f>
        <v>30.239209167582239</v>
      </c>
      <c r="Q56" s="39">
        <f>$J$3+[33]FormattedData!J17*$J$4+$M$4*$J$5+[33]FormattedData!J17^2*$J$6+$M$5*$J$7</f>
        <v>29.65515608032948</v>
      </c>
      <c r="R56" s="39">
        <f>$J$3+[33]FormattedData!K17*$J$4+$M$4*$J$5+[33]FormattedData!K17^2*$J$6+$M$5*$J$7</f>
        <v>29.069581325711209</v>
      </c>
      <c r="S56" s="39">
        <f>$J$3+[33]FormattedData!L17*$J$4+$M$4*$J$5+[33]FormattedData!L17^2*$J$6+$M$5*$J$7</f>
        <v>29.460133569608448</v>
      </c>
      <c r="T56" s="39">
        <f>$J$3+[33]FormattedData!M17*$J$4+$M$4*$J$5+[33]FormattedData!M17^2*$J$6+$M$5*$J$7</f>
        <v>27.992075500614476</v>
      </c>
      <c r="U56" s="39">
        <f>$J$3+[33]FormattedData!N17*$J$4+$M$4*$J$5+[33]FormattedData!N17^2*$J$6+$M$5*$J$7</f>
        <v>29.167282789492415</v>
      </c>
      <c r="V56" s="39">
        <f>$J$3+[33]FormattedData!O17*$J$4+$M$4*$J$5+[33]FormattedData!O17^2*$J$6+$M$5*$J$7</f>
        <v>30.14197265771827</v>
      </c>
      <c r="W56" s="38">
        <f>AVERAGE(K56:V56)</f>
        <v>29.150041125335772</v>
      </c>
      <c r="X56" s="37">
        <f>STDEV(K56:V56)/SQRT(COUNT(K56:V56))</f>
        <v>0.1986137809793197</v>
      </c>
      <c r="Y56" s="36">
        <f>MIN(K56:V56)</f>
        <v>27.992075500614476</v>
      </c>
      <c r="Z56" s="35">
        <f>QUARTILE(K56:V56,1)</f>
        <v>28.72727748703905</v>
      </c>
      <c r="AA56" s="36">
        <f>MEDIAN(K56:V56)</f>
        <v>29.118432057601812</v>
      </c>
      <c r="AB56" s="35">
        <f>QUARTILE(K56:V56,3)</f>
        <v>29.508889197288706</v>
      </c>
      <c r="AC56" s="35">
        <f>MAX(K56:V56)</f>
        <v>30.239209167582239</v>
      </c>
      <c r="AD56" s="35">
        <f>SKEW(K56:V56)</f>
        <v>5.5568250419530743E-3</v>
      </c>
      <c r="AE56" s="35">
        <f>KURT(K56:V56)</f>
        <v>-0.56014294343367954</v>
      </c>
    </row>
    <row r="57" spans="2:31" x14ac:dyDescent="0.2">
      <c r="B57" s="34">
        <f>[33]FormattedData!A15</f>
        <v>108</v>
      </c>
      <c r="C57" s="34" t="str">
        <f>VLOOKUP($B57,[33]TrtCodes!$B$11:I58,2)</f>
        <v>FTH</v>
      </c>
      <c r="D57" s="34">
        <f>VLOOKUP($B57,[33]TrtCodes!$B$11:J58,3)</f>
        <v>3</v>
      </c>
      <c r="E57" s="34">
        <f>VLOOKUP($B57,[33]TrtCodes!$B$11:K58,4)</f>
        <v>1</v>
      </c>
      <c r="F57" s="34">
        <f>VLOOKUP($B57,[33]TrtCodes!$B$11:L58,5)</f>
        <v>2</v>
      </c>
      <c r="G57" s="34">
        <f>VLOOKUP($B57,[33]TrtCodes!$B$11:M58,6)</f>
        <v>2</v>
      </c>
      <c r="H57" s="34">
        <f>VLOOKUP($B57,[33]TrtCodes!$B$11:N58,7)</f>
        <v>2</v>
      </c>
      <c r="I57" s="34">
        <f>[33]FormattedData!B15</f>
        <v>2</v>
      </c>
      <c r="J57" s="37">
        <f>[33]FormattedData!C15</f>
        <v>12.83</v>
      </c>
      <c r="K57" s="39">
        <f>$J$3+[33]FormattedData!D15*$J$4+$M$4*$J$5+[33]FormattedData!D15^2*$J$6+$M$5*$J$7</f>
        <v>28.97183759339207</v>
      </c>
      <c r="L57" s="39">
        <f>$J$3+[33]FormattedData!E15*$J$4+$M$4*$J$5+[33]FormattedData!E15^2*$J$6+$M$5*$J$7</f>
        <v>27.303727057663256</v>
      </c>
      <c r="M57" s="39">
        <f>$J$3+[33]FormattedData!F15*$J$4+$M$4*$J$5+[33]FormattedData!F15^2*$J$6+$M$5*$J$7</f>
        <v>28.580439978736205</v>
      </c>
      <c r="N57" s="39">
        <f>$J$3+[33]FormattedData!G15*$J$4+$M$4*$J$5+[33]FormattedData!G15^2*$J$6+$M$5*$J$7</f>
        <v>27.500609384053259</v>
      </c>
      <c r="O57" s="39">
        <f>$J$3+[33]FormattedData!H15*$J$4+$M$4*$J$5+[33]FormattedData!H15^2*$J$6+$M$5*$J$7</f>
        <v>28.090241918312927</v>
      </c>
      <c r="P57" s="39">
        <f>$J$3+[33]FormattedData!I15*$J$4+$M$4*$J$5+[33]FormattedData!I15^2*$J$6+$M$5*$J$7</f>
        <v>28.482484903727411</v>
      </c>
      <c r="Q57" s="39">
        <f>$J$3+[33]FormattedData!J15*$J$4+$M$4*$J$5+[33]FormattedData!J15^2*$J$6+$M$5*$J$7</f>
        <v>30.14197265771827</v>
      </c>
      <c r="R57" s="39">
        <f>$J$3+[33]FormattedData!K15*$J$4+$M$4*$J$5+[33]FormattedData!K15^2*$J$6+$M$5*$J$7</f>
        <v>29.167282789492415</v>
      </c>
      <c r="S57" s="39">
        <f>$J$3+[33]FormattedData!L15*$J$4+$M$4*$J$5+[33]FormattedData!L15^2*$J$6+$M$5*$J$7</f>
        <v>28.384487560180684</v>
      </c>
      <c r="T57" s="39">
        <f>$J$3+[33]FormattedData!M15*$J$4+$M$4*$J$5+[33]FormattedData!M15^2*$J$6+$M$5*$J$7</f>
        <v>28.286447948096029</v>
      </c>
      <c r="U57" s="39">
        <f>$J$3+[33]FormattedData!N15*$J$4+$M$4*$J$5+[33]FormattedData!N15^2*$J$6+$M$5*$J$7</f>
        <v>28.874051592535</v>
      </c>
      <c r="V57" s="39">
        <f>$J$3+[33]FormattedData!O15*$J$4+$M$4*$J$5+[33]FormattedData!O15^2*$J$6+$M$5*$J$7</f>
        <v>28.580439978736205</v>
      </c>
      <c r="W57" s="38">
        <f>AVERAGE(K57:V57)</f>
        <v>28.530335280220314</v>
      </c>
      <c r="X57" s="37">
        <f>STDEV(K57:V57)/SQRT(COUNT(K57:V57))</f>
        <v>0.21607362119455542</v>
      </c>
      <c r="Y57" s="36">
        <f>MIN(K57:V57)</f>
        <v>27.303727057663256</v>
      </c>
      <c r="Z57" s="35">
        <f>QUARTILE(K57:V57,1)</f>
        <v>28.237396440650254</v>
      </c>
      <c r="AA57" s="36">
        <f>MEDIAN(K57:V57)</f>
        <v>28.53146244123181</v>
      </c>
      <c r="AB57" s="35">
        <f>QUARTILE(K57:V57,3)</f>
        <v>28.898498092749268</v>
      </c>
      <c r="AC57" s="35">
        <f>MAX(K57:V57)</f>
        <v>30.14197265771827</v>
      </c>
      <c r="AD57" s="35">
        <f>SKEW(K57:V57)</f>
        <v>0.39828579044938545</v>
      </c>
      <c r="AE57" s="35">
        <f>KURT(K57:V57)</f>
        <v>1.1838763208108851</v>
      </c>
    </row>
    <row r="58" spans="2:31" x14ac:dyDescent="0.2">
      <c r="B58" s="34">
        <f>[33]FormattedData!A31</f>
        <v>201</v>
      </c>
      <c r="C58" s="34" t="str">
        <f>VLOOKUP($B58,[33]TrtCodes!$B$11:I74,2)</f>
        <v>NDL</v>
      </c>
      <c r="D58" s="34">
        <f>VLOOKUP($B58,[33]TrtCodes!$B$11:J74,3)</f>
        <v>12</v>
      </c>
      <c r="E58" s="34">
        <f>VLOOKUP($B58,[33]TrtCodes!$B$11:K74,4)</f>
        <v>2</v>
      </c>
      <c r="F58" s="34">
        <f>VLOOKUP($B58,[33]TrtCodes!$B$11:L74,5)</f>
        <v>3</v>
      </c>
      <c r="G58" s="34">
        <f>VLOOKUP($B58,[33]TrtCodes!$B$11:M74,6)</f>
        <v>1</v>
      </c>
      <c r="H58" s="34">
        <f>VLOOKUP($B58,[33]TrtCodes!$B$11:N74,7)</f>
        <v>1</v>
      </c>
      <c r="I58" s="34">
        <f>[33]FormattedData!B31</f>
        <v>2</v>
      </c>
      <c r="J58" s="37">
        <f>[33]FormattedData!C31</f>
        <v>12.972</v>
      </c>
      <c r="K58" s="39">
        <f>$J$3+[33]FormattedData!D31*$J$4+$M$4*$J$5+[33]FormattedData!D31^2*$J$6+$M$5*$J$7</f>
        <v>29.167282789492415</v>
      </c>
      <c r="L58" s="39">
        <f>$J$3+[33]FormattedData!E31*$J$4+$M$4*$J$5+[33]FormattedData!E31^2*$J$6+$M$5*$J$7</f>
        <v>28.188366067473442</v>
      </c>
      <c r="M58" s="39">
        <f>$J$3+[33]FormattedData!F31*$J$4+$M$4*$J$5+[33]FormattedData!F31^2*$J$6+$M$5*$J$7</f>
        <v>27.992075500614476</v>
      </c>
      <c r="N58" s="39">
        <f>$J$3+[33]FormattedData!G31*$J$4+$M$4*$J$5+[33]FormattedData!G31^2*$J$6+$M$5*$J$7</f>
        <v>29.167282789492415</v>
      </c>
      <c r="O58" s="39">
        <f>$J$3+[33]FormattedData!H31*$J$4+$M$4*$J$5+[33]FormattedData!H31^2*$J$6+$M$5*$J$7</f>
        <v>29.167282789492415</v>
      </c>
      <c r="P58" s="39">
        <f>$J$3+[33]FormattedData!I31*$J$4+$M$4*$J$5+[33]FormattedData!I31^2*$J$6+$M$5*$J$7</f>
        <v>30.239209167582239</v>
      </c>
      <c r="Q58" s="39">
        <f>$J$3+[33]FormattedData!J31*$J$4+$M$4*$J$5+[33]FormattedData!J31^2*$J$6+$M$5*$J$7</f>
        <v>29.167282789492415</v>
      </c>
      <c r="R58" s="39">
        <f>$J$3+[33]FormattedData!K31*$J$4+$M$4*$J$5+[33]FormattedData!K31^2*$J$6+$M$5*$J$7</f>
        <v>29.65515608032948</v>
      </c>
      <c r="S58" s="39">
        <f>$J$3+[33]FormattedData!L31*$J$4+$M$4*$J$5+[33]FormattedData!L31^2*$J$6+$M$5*$J$7</f>
        <v>30.239209167582239</v>
      </c>
      <c r="T58" s="39">
        <f>$J$3+[33]FormattedData!M31*$J$4+$M$4*$J$5+[33]FormattedData!M31^2*$J$6+$M$5*$J$7</f>
        <v>28.776223323139998</v>
      </c>
      <c r="U58" s="39">
        <f>$J$3+[33]FormattedData!N31*$J$4+$M$4*$J$5+[33]FormattedData!N31^2*$J$6+$M$5*$J$7</f>
        <v>29.752603932883105</v>
      </c>
      <c r="V58" s="39">
        <f>$J$3+[33]FormattedData!O31*$J$4+$M$4*$J$5+[33]FormattedData!O31^2*$J$6+$M$5*$J$7</f>
        <v>30.336403408908268</v>
      </c>
      <c r="W58" s="38">
        <f>AVERAGE(K58:V58)</f>
        <v>29.320698150540242</v>
      </c>
      <c r="X58" s="37">
        <f>STDEV(K58:V58)/SQRT(COUNT(K58:V58))</f>
        <v>0.22114370211923348</v>
      </c>
      <c r="Y58" s="36">
        <f>MIN(K58:V58)</f>
        <v>27.992075500614476</v>
      </c>
      <c r="Z58" s="35">
        <f>QUARTILE(K58:V58,1)</f>
        <v>29.069517922904311</v>
      </c>
      <c r="AA58" s="36">
        <f>MEDIAN(K58:V58)</f>
        <v>29.167282789492415</v>
      </c>
      <c r="AB58" s="35">
        <f>QUARTILE(K58:V58,3)</f>
        <v>29.87425524155789</v>
      </c>
      <c r="AC58" s="35">
        <f>MAX(K58:V58)</f>
        <v>30.336403408908268</v>
      </c>
      <c r="AD58" s="35">
        <f>SKEW(K58:V58)</f>
        <v>-0.30510986694473874</v>
      </c>
      <c r="AE58" s="35">
        <f>KURT(K58:V58)</f>
        <v>-0.65426602929083177</v>
      </c>
    </row>
    <row r="59" spans="2:31" x14ac:dyDescent="0.2">
      <c r="B59" s="34">
        <f>[33]FormattedData!A33</f>
        <v>202</v>
      </c>
      <c r="C59" s="34" t="str">
        <f>VLOOKUP($B59,[33]TrtCodes!$B$11:I76,2)</f>
        <v>NTH</v>
      </c>
      <c r="D59" s="34">
        <f>VLOOKUP($B59,[33]TrtCodes!$B$11:J76,3)</f>
        <v>9</v>
      </c>
      <c r="E59" s="34">
        <f>VLOOKUP($B59,[33]TrtCodes!$B$11:K76,4)</f>
        <v>2</v>
      </c>
      <c r="F59" s="34">
        <f>VLOOKUP($B59,[33]TrtCodes!$B$11:L76,5)</f>
        <v>2</v>
      </c>
      <c r="G59" s="34">
        <f>VLOOKUP($B59,[33]TrtCodes!$B$11:M76,6)</f>
        <v>2</v>
      </c>
      <c r="H59" s="34">
        <f>VLOOKUP($B59,[33]TrtCodes!$B$11:N76,7)</f>
        <v>1</v>
      </c>
      <c r="I59" s="34">
        <f>[33]FormattedData!B33</f>
        <v>2</v>
      </c>
      <c r="J59" s="37">
        <f>[33]FormattedData!C33</f>
        <v>12.986000000000001</v>
      </c>
      <c r="K59" s="39">
        <f>$J$3+[33]FormattedData!D33*$J$4+$M$4*$J$5+[33]FormattedData!D33^2*$J$6+$M$5*$J$7</f>
        <v>28.580439978736205</v>
      </c>
      <c r="L59" s="39">
        <f>$J$3+[33]FormattedData!E33*$J$4+$M$4*$J$5+[33]FormattedData!E33^2*$J$6+$M$5*$J$7</f>
        <v>29.167282789492415</v>
      </c>
      <c r="M59" s="39">
        <f>$J$3+[33]FormattedData!F33*$J$4+$M$4*$J$5+[33]FormattedData!F33^2*$J$6+$M$5*$J$7</f>
        <v>29.65515608032948</v>
      </c>
      <c r="N59" s="39">
        <f>$J$3+[33]FormattedData!G33*$J$4+$M$4*$J$5+[33]FormattedData!G33^2*$J$6+$M$5*$J$7</f>
        <v>29.947372832376555</v>
      </c>
      <c r="O59" s="39">
        <f>$J$3+[33]FormattedData!H33*$J$4+$M$4*$J$5+[33]FormattedData!H33^2*$J$6+$M$5*$J$7</f>
        <v>30.239209167582239</v>
      </c>
      <c r="P59" s="39">
        <f>$J$3+[33]FormattedData!I33*$J$4+$M$4*$J$5+[33]FormattedData!I33^2*$J$6+$M$5*$J$7</f>
        <v>30.336403408908268</v>
      </c>
      <c r="Q59" s="39">
        <f>$J$3+[33]FormattedData!J33*$J$4+$M$4*$J$5+[33]FormattedData!J33^2*$J$6+$M$5*$J$7</f>
        <v>28.482484903727411</v>
      </c>
      <c r="R59" s="39">
        <f>$J$3+[33]FormattedData!K33*$J$4+$M$4*$J$5+[33]FormattedData!K33^2*$J$6+$M$5*$J$7</f>
        <v>28.776223323139998</v>
      </c>
      <c r="S59" s="39">
        <f>$J$3+[33]FormattedData!L33*$J$4+$M$4*$J$5+[33]FormattedData!L33^2*$J$6+$M$5*$J$7</f>
        <v>29.362558911441035</v>
      </c>
      <c r="T59" s="39">
        <f>$J$3+[33]FormattedData!M33*$J$4+$M$4*$J$5+[33]FormattedData!M33^2*$J$6+$M$5*$J$7</f>
        <v>29.65515608032948</v>
      </c>
      <c r="U59" s="39">
        <f>$J$3+[33]FormattedData!N33*$J$4+$M$4*$J$5+[33]FormattedData!N33^2*$J$6+$M$5*$J$7</f>
        <v>27.992075500614476</v>
      </c>
      <c r="V59" s="39">
        <f>$J$3+[33]FormattedData!O33*$J$4+$M$4*$J$5+[33]FormattedData!O33^2*$J$6+$M$5*$J$7</f>
        <v>29.460133569608448</v>
      </c>
      <c r="W59" s="38">
        <f>AVERAGE(K59:V59)</f>
        <v>29.304541378857166</v>
      </c>
      <c r="X59" s="37">
        <f>STDEV(K59:V59)/SQRT(COUNT(K59:V59))</f>
        <v>0.21044033847388821</v>
      </c>
      <c r="Y59" s="36">
        <f>MIN(K59:V59)</f>
        <v>27.992075500614476</v>
      </c>
      <c r="Z59" s="35">
        <f>QUARTILE(K59:V59,1)</f>
        <v>28.72727748703905</v>
      </c>
      <c r="AA59" s="36">
        <f>MEDIAN(K59:V59)</f>
        <v>29.411346240524743</v>
      </c>
      <c r="AB59" s="35">
        <f>QUARTILE(K59:V59,3)</f>
        <v>29.72821026834125</v>
      </c>
      <c r="AC59" s="35">
        <f>MAX(K59:V59)</f>
        <v>30.336403408908268</v>
      </c>
      <c r="AD59" s="35">
        <f>SKEW(K59:V59)</f>
        <v>-0.30273287058340537</v>
      </c>
      <c r="AE59" s="35">
        <f>KURT(K59:V59)</f>
        <v>-0.75496688794322742</v>
      </c>
    </row>
    <row r="60" spans="2:31" x14ac:dyDescent="0.2">
      <c r="B60" s="34">
        <f>[33]FormattedData!A35</f>
        <v>203</v>
      </c>
      <c r="C60" s="34" t="str">
        <f>VLOOKUP($B60,[33]TrtCodes!$B$11:I78,2)</f>
        <v>FTH</v>
      </c>
      <c r="D60" s="34">
        <f>VLOOKUP($B60,[33]TrtCodes!$B$11:J78,3)</f>
        <v>3</v>
      </c>
      <c r="E60" s="34">
        <f>VLOOKUP($B60,[33]TrtCodes!$B$11:K78,4)</f>
        <v>1</v>
      </c>
      <c r="F60" s="34">
        <f>VLOOKUP($B60,[33]TrtCodes!$B$11:L78,5)</f>
        <v>2</v>
      </c>
      <c r="G60" s="34">
        <f>VLOOKUP($B60,[33]TrtCodes!$B$11:M78,6)</f>
        <v>2</v>
      </c>
      <c r="H60" s="34">
        <f>VLOOKUP($B60,[33]TrtCodes!$B$11:N78,7)</f>
        <v>1</v>
      </c>
      <c r="I60" s="34">
        <f>[33]FormattedData!B35</f>
        <v>2</v>
      </c>
      <c r="J60" s="37">
        <f>[33]FormattedData!C35</f>
        <v>13.003</v>
      </c>
      <c r="K60" s="39">
        <f>$J$3+[33]FormattedData!D35*$J$4+$M$4*$J$5+[33]FormattedData!D35^2*$J$6+$M$5*$J$7</f>
        <v>29.264941984735692</v>
      </c>
      <c r="L60" s="39">
        <f>$J$3+[33]FormattedData!E35*$J$4+$M$4*$J$5+[33]FormattedData!E35^2*$J$6+$M$5*$J$7</f>
        <v>29.85000951689879</v>
      </c>
      <c r="M60" s="39">
        <f>$J$3+[33]FormattedData!F35*$J$4+$M$4*$J$5+[33]FormattedData!F35^2*$J$6+$M$5*$J$7</f>
        <v>29.362558911441035</v>
      </c>
      <c r="N60" s="39">
        <f>$J$3+[33]FormattedData!G35*$J$4+$M$4*$J$5+[33]FormattedData!G35^2*$J$6+$M$5*$J$7</f>
        <v>29.460133569608448</v>
      </c>
      <c r="O60" s="39">
        <f>$J$3+[33]FormattedData!H35*$J$4+$M$4*$J$5+[33]FormattedData!H35^2*$J$6+$M$5*$J$7</f>
        <v>29.65515608032948</v>
      </c>
      <c r="P60" s="39">
        <f>$J$3+[33]FormattedData!I35*$J$4+$M$4*$J$5+[33]FormattedData!I35^2*$J$6+$M$5*$J$7</f>
        <v>30.336403408908268</v>
      </c>
      <c r="Q60" s="39">
        <f>$J$3+[33]FormattedData!J35*$J$4+$M$4*$J$5+[33]FormattedData!J35^2*$J$6+$M$5*$J$7</f>
        <v>29.752603932883105</v>
      </c>
      <c r="R60" s="39">
        <f>$J$3+[33]FormattedData!K35*$J$4+$M$4*$J$5+[33]FormattedData!K35^2*$J$6+$M$5*$J$7</f>
        <v>28.776223323139998</v>
      </c>
      <c r="S60" s="39">
        <f>$J$3+[33]FormattedData!L35*$J$4+$M$4*$J$5+[33]FormattedData!L35^2*$J$6+$M$5*$J$7</f>
        <v>30.14197265771827</v>
      </c>
      <c r="T60" s="39">
        <f>$J$3+[33]FormattedData!M35*$J$4+$M$4*$J$5+[33]FormattedData!M35^2*$J$6+$M$5*$J$7</f>
        <v>30.821740587469471</v>
      </c>
      <c r="U60" s="39">
        <f>$J$3+[33]FormattedData!N35*$J$4+$M$4*$J$5+[33]FormattedData!N35^2*$J$6+$M$5*$J$7</f>
        <v>29.947372832376555</v>
      </c>
      <c r="V60" s="39">
        <f>$J$3+[33]FormattedData!O35*$J$4+$M$4*$J$5+[33]FormattedData!O35^2*$J$6+$M$5*$J$7</f>
        <v>28.482484903727411</v>
      </c>
      <c r="W60" s="38">
        <f>AVERAGE(K60:V60)</f>
        <v>29.65430014243638</v>
      </c>
      <c r="X60" s="37">
        <f>STDEV(K60:V60)/SQRT(COUNT(K60:V60))</f>
        <v>0.18705144128728457</v>
      </c>
      <c r="Y60" s="36">
        <f>MIN(K60:V60)</f>
        <v>28.482484903727411</v>
      </c>
      <c r="Z60" s="35">
        <f>QUARTILE(K60:V60,1)</f>
        <v>29.338154679764699</v>
      </c>
      <c r="AA60" s="36">
        <f>MEDIAN(K60:V60)</f>
        <v>29.70388000660629</v>
      </c>
      <c r="AB60" s="35">
        <f>QUARTILE(K60:V60,3)</f>
        <v>29.996022788711983</v>
      </c>
      <c r="AC60" s="35">
        <f>MAX(K60:V60)</f>
        <v>30.821740587469471</v>
      </c>
      <c r="AD60" s="35">
        <f>SKEW(K60:V60)</f>
        <v>-0.12799137231576677</v>
      </c>
      <c r="AE60" s="35">
        <f>KURT(K60:V60)</f>
        <v>0.12429178432748333</v>
      </c>
    </row>
    <row r="61" spans="2:31" x14ac:dyDescent="0.2">
      <c r="B61" s="34">
        <f>[33]FormattedData!A37</f>
        <v>204</v>
      </c>
      <c r="C61" s="34" t="str">
        <f>VLOOKUP($B61,[33]TrtCodes!$B$11:I80,2)</f>
        <v>NDH</v>
      </c>
      <c r="D61" s="34">
        <f>VLOOKUP($B61,[33]TrtCodes!$B$11:J80,3)</f>
        <v>11</v>
      </c>
      <c r="E61" s="34">
        <f>VLOOKUP($B61,[33]TrtCodes!$B$11:K80,4)</f>
        <v>2</v>
      </c>
      <c r="F61" s="34">
        <f>VLOOKUP($B61,[33]TrtCodes!$B$11:L80,5)</f>
        <v>3</v>
      </c>
      <c r="G61" s="34">
        <f>VLOOKUP($B61,[33]TrtCodes!$B$11:M80,6)</f>
        <v>2</v>
      </c>
      <c r="H61" s="34">
        <f>VLOOKUP($B61,[33]TrtCodes!$B$11:N80,7)</f>
        <v>1</v>
      </c>
      <c r="I61" s="34">
        <f>[33]FormattedData!B37</f>
        <v>2</v>
      </c>
      <c r="J61" s="37">
        <f>[33]FormattedData!C37</f>
        <v>13.019</v>
      </c>
      <c r="K61" s="39">
        <f>$J$3+[33]FormattedData!D37*$J$4+$M$4*$J$5+[33]FormattedData!D37^2*$J$6+$M$5*$J$7</f>
        <v>26.613307456353411</v>
      </c>
      <c r="L61" s="39">
        <f>$J$3+[33]FormattedData!E37*$J$4+$M$4*$J$5+[33]FormattedData!E37^2*$J$6+$M$5*$J$7</f>
        <v>28.482484903727411</v>
      </c>
      <c r="M61" s="39">
        <f>$J$3+[33]FormattedData!F37*$J$4+$M$4*$J$5+[33]FormattedData!F37^2*$J$6+$M$5*$J$7</f>
        <v>27.106675657121528</v>
      </c>
      <c r="N61" s="39">
        <f>$J$3+[33]FormattedData!G37*$J$4+$M$4*$J$5+[33]FormattedData!G37^2*$J$6+$M$5*$J$7</f>
        <v>27.893866814378093</v>
      </c>
      <c r="O61" s="39">
        <f>$J$3+[33]FormattedData!H37*$J$4+$M$4*$J$5+[33]FormattedData!H37^2*$J$6+$M$5*$J$7</f>
        <v>27.992075500614476</v>
      </c>
      <c r="P61" s="39">
        <f>$J$3+[33]FormattedData!I37*$J$4+$M$4*$J$5+[33]FormattedData!I37^2*$J$6+$M$5*$J$7</f>
        <v>26.613307456353411</v>
      </c>
      <c r="Q61" s="39">
        <f>$J$3+[33]FormattedData!J37*$J$4+$M$4*$J$5+[33]FormattedData!J37^2*$J$6+$M$5*$J$7</f>
        <v>28.384487560180684</v>
      </c>
      <c r="R61" s="39">
        <f>$J$3+[33]FormattedData!K37*$J$4+$M$4*$J$5+[33]FormattedData!K37^2*$J$6+$M$5*$J$7</f>
        <v>28.874051592535</v>
      </c>
      <c r="S61" s="39">
        <f>$J$3+[33]FormattedData!L37*$J$4+$M$4*$J$5+[33]FormattedData!L37^2*$J$6+$M$5*$J$7</f>
        <v>29.65515608032948</v>
      </c>
      <c r="T61" s="39">
        <f>$J$3+[33]FormattedData!M37*$J$4+$M$4*$J$5+[33]FormattedData!M37^2*$J$6+$M$5*$J$7</f>
        <v>28.776223323139998</v>
      </c>
      <c r="U61" s="39">
        <f>$J$3+[33]FormattedData!N37*$J$4+$M$4*$J$5+[33]FormattedData!N37^2*$J$6+$M$5*$J$7</f>
        <v>29.069581325711209</v>
      </c>
      <c r="V61" s="39">
        <f>$J$3+[33]FormattedData!O37*$J$4+$M$4*$J$5+[33]FormattedData!O37^2*$J$6+$M$5*$J$7</f>
        <v>27.697322636291538</v>
      </c>
      <c r="W61" s="38">
        <f>AVERAGE(K61:V61)</f>
        <v>28.096545025561351</v>
      </c>
      <c r="X61" s="37">
        <f>STDEV(K61:V61)/SQRT(COUNT(K61:V61))</f>
        <v>0.27887228530066599</v>
      </c>
      <c r="Y61" s="36">
        <f>MIN(K61:V61)</f>
        <v>26.613307456353411</v>
      </c>
      <c r="Z61" s="35">
        <f>QUARTILE(K61:V61,1)</f>
        <v>27.549660891499038</v>
      </c>
      <c r="AA61" s="36">
        <f>MEDIAN(K61:V61)</f>
        <v>28.188281530397582</v>
      </c>
      <c r="AB61" s="35">
        <f>QUARTILE(K61:V61,3)</f>
        <v>28.800680390488751</v>
      </c>
      <c r="AC61" s="35">
        <f>MAX(K61:V61)</f>
        <v>29.65515608032948</v>
      </c>
      <c r="AD61" s="35">
        <f>SKEW(K61:V61)</f>
        <v>-0.24156311015849749</v>
      </c>
      <c r="AE61" s="35">
        <f>KURT(K61:V61)</f>
        <v>-0.76343718493738733</v>
      </c>
    </row>
    <row r="62" spans="2:31" x14ac:dyDescent="0.2">
      <c r="B62" s="34">
        <f>[33]FormattedData!A39</f>
        <v>205</v>
      </c>
      <c r="C62" s="34" t="str">
        <f>VLOOKUP($B62,[33]TrtCodes!$B$11:I82,2)</f>
        <v>FSH</v>
      </c>
      <c r="D62" s="34">
        <f>VLOOKUP($B62,[33]TrtCodes!$B$11:J82,3)</f>
        <v>1</v>
      </c>
      <c r="E62" s="34">
        <f>VLOOKUP($B62,[33]TrtCodes!$B$11:K82,4)</f>
        <v>1</v>
      </c>
      <c r="F62" s="34">
        <f>VLOOKUP($B62,[33]TrtCodes!$B$11:L82,5)</f>
        <v>1</v>
      </c>
      <c r="G62" s="34">
        <f>VLOOKUP($B62,[33]TrtCodes!$B$11:M82,6)</f>
        <v>2</v>
      </c>
      <c r="H62" s="34">
        <f>VLOOKUP($B62,[33]TrtCodes!$B$11:N82,7)</f>
        <v>2</v>
      </c>
      <c r="I62" s="34">
        <f>[33]FormattedData!B39</f>
        <v>2</v>
      </c>
      <c r="J62" s="37">
        <f>[33]FormattedData!C39</f>
        <v>13.035</v>
      </c>
      <c r="K62" s="39">
        <f>$J$3+[33]FormattedData!D39*$J$4+$M$4*$J$5+[33]FormattedData!D39^2*$J$6+$M$5*$J$7</f>
        <v>29.947372832376555</v>
      </c>
      <c r="L62" s="39">
        <f>$J$3+[33]FormattedData!E39*$J$4+$M$4*$J$5+[33]FormattedData!E39^2*$J$6+$M$5*$J$7</f>
        <v>29.264941984735692</v>
      </c>
      <c r="M62" s="39">
        <f>$J$3+[33]FormattedData!F39*$J$4+$M$4*$J$5+[33]FormattedData!F39^2*$J$6+$M$5*$J$7</f>
        <v>28.090241918312927</v>
      </c>
      <c r="N62" s="39">
        <f>$J$3+[33]FormattedData!G39*$J$4+$M$4*$J$5+[33]FormattedData!G39^2*$J$6+$M$5*$J$7</f>
        <v>29.65515608032948</v>
      </c>
      <c r="O62" s="39">
        <f>$J$3+[33]FormattedData!H39*$J$4+$M$4*$J$5+[33]FormattedData!H39^2*$J$6+$M$5*$J$7</f>
        <v>29.069581325711209</v>
      </c>
      <c r="P62" s="39">
        <f>$J$3+[33]FormattedData!I39*$J$4+$M$4*$J$5+[33]FormattedData!I39^2*$J$6+$M$5*$J$7</f>
        <v>27.992075500614476</v>
      </c>
      <c r="Q62" s="39">
        <f>$J$3+[33]FormattedData!J39*$J$4+$M$4*$J$5+[33]FormattedData!J39^2*$J$6+$M$5*$J$7</f>
        <v>29.460133569608448</v>
      </c>
      <c r="R62" s="39">
        <f>$J$3+[33]FormattedData!K39*$J$4+$M$4*$J$5+[33]FormattedData!K39^2*$J$6+$M$5*$J$7</f>
        <v>29.069581325711209</v>
      </c>
      <c r="S62" s="39">
        <f>$J$3+[33]FormattedData!L39*$J$4+$M$4*$J$5+[33]FormattedData!L39^2*$J$6+$M$5*$J$7</f>
        <v>29.167282789492415</v>
      </c>
      <c r="T62" s="39">
        <f>$J$3+[33]FormattedData!M39*$J$4+$M$4*$J$5+[33]FormattedData!M39^2*$J$6+$M$5*$J$7</f>
        <v>28.384487560180684</v>
      </c>
      <c r="U62" s="39">
        <f>$J$3+[33]FormattedData!N39*$J$4+$M$4*$J$5+[33]FormattedData!N39^2*$J$6+$M$5*$J$7</f>
        <v>28.188366067473442</v>
      </c>
      <c r="V62" s="39">
        <f>$J$3+[33]FormattedData!O39*$J$4+$M$4*$J$5+[33]FormattedData!O39^2*$J$6+$M$5*$J$7</f>
        <v>29.069581325711209</v>
      </c>
      <c r="W62" s="38">
        <f>AVERAGE(K62:V62)</f>
        <v>28.946566856688147</v>
      </c>
      <c r="X62" s="37">
        <f>STDEV(K62:V62)/SQRT(COUNT(K62:V62))</f>
        <v>0.18459796000475065</v>
      </c>
      <c r="Y62" s="36">
        <f>MIN(K62:V62)</f>
        <v>27.992075500614476</v>
      </c>
      <c r="Z62" s="35">
        <f>QUARTILE(K62:V62,1)</f>
        <v>28.335457187003875</v>
      </c>
      <c r="AA62" s="36">
        <f>MEDIAN(K62:V62)</f>
        <v>29.069581325711209</v>
      </c>
      <c r="AB62" s="35">
        <f>QUARTILE(K62:V62,3)</f>
        <v>29.313739880953882</v>
      </c>
      <c r="AC62" s="35">
        <f>MAX(K62:V62)</f>
        <v>29.947372832376555</v>
      </c>
      <c r="AD62" s="35">
        <f>SKEW(K62:V62)</f>
        <v>-0.23726179089300595</v>
      </c>
      <c r="AE62" s="35">
        <f>KURT(K62:V62)</f>
        <v>-1.0778360573658072</v>
      </c>
    </row>
    <row r="63" spans="2:31" x14ac:dyDescent="0.2">
      <c r="B63" s="34">
        <f>[33]FormattedData!A41</f>
        <v>206</v>
      </c>
      <c r="C63" s="34" t="str">
        <f>VLOOKUP($B63,[33]TrtCodes!$B$11:I84,2)</f>
        <v>NSL</v>
      </c>
      <c r="D63" s="34">
        <f>VLOOKUP($B63,[33]TrtCodes!$B$11:J84,3)</f>
        <v>8</v>
      </c>
      <c r="E63" s="34">
        <f>VLOOKUP($B63,[33]TrtCodes!$B$11:K84,4)</f>
        <v>2</v>
      </c>
      <c r="F63" s="34">
        <f>VLOOKUP($B63,[33]TrtCodes!$B$11:L84,5)</f>
        <v>1</v>
      </c>
      <c r="G63" s="34">
        <f>VLOOKUP($B63,[33]TrtCodes!$B$11:M84,6)</f>
        <v>1</v>
      </c>
      <c r="H63" s="34">
        <f>VLOOKUP($B63,[33]TrtCodes!$B$11:N84,7)</f>
        <v>2</v>
      </c>
      <c r="I63" s="34">
        <f>[33]FormattedData!B41</f>
        <v>2</v>
      </c>
      <c r="J63" s="37">
        <f>[33]FormattedData!C41</f>
        <v>13.051</v>
      </c>
      <c r="K63" s="39">
        <f>$J$3+[33]FormattedData!D41*$J$4+$M$4*$J$5+[33]FormattedData!D41^2*$J$6+$M$5*$J$7</f>
        <v>27.205222491661356</v>
      </c>
      <c r="L63" s="39">
        <f>$J$3+[33]FormattedData!E41*$J$4+$M$4*$J$5+[33]FormattedData!E41^2*$J$6+$M$5*$J$7</f>
        <v>26.316779313437369</v>
      </c>
      <c r="M63" s="39">
        <f>$J$3+[33]FormattedData!F41*$J$4+$M$4*$J$5+[33]FormattedData!F41^2*$J$6+$M$5*$J$7</f>
        <v>28.580439978736205</v>
      </c>
      <c r="N63" s="39">
        <f>$J$3+[33]FormattedData!G41*$J$4+$M$4*$J$5+[33]FormattedData!G41^2*$J$6+$M$5*$J$7</f>
        <v>27.598987144441367</v>
      </c>
      <c r="O63" s="39">
        <f>$J$3+[33]FormattedData!H41*$J$4+$M$4*$J$5+[33]FormattedData!H41^2*$J$6+$M$5*$J$7</f>
        <v>27.697322636291538</v>
      </c>
      <c r="P63" s="39">
        <f>$J$3+[33]FormattedData!I41*$J$4+$M$4*$J$5+[33]FormattedData!I41^2*$J$6+$M$5*$J$7</f>
        <v>27.106675657121528</v>
      </c>
      <c r="Q63" s="39">
        <f>$J$3+[33]FormattedData!J41*$J$4+$M$4*$J$5+[33]FormattedData!J41^2*$J$6+$M$5*$J$7</f>
        <v>28.776223323139998</v>
      </c>
      <c r="R63" s="39">
        <f>$J$3+[33]FormattedData!K41*$J$4+$M$4*$J$5+[33]FormattedData!K41^2*$J$6+$M$5*$J$7</f>
        <v>27.106675657121528</v>
      </c>
      <c r="S63" s="39">
        <f>$J$3+[33]FormattedData!L41*$J$4+$M$4*$J$5+[33]FormattedData!L41^2*$J$6+$M$5*$J$7</f>
        <v>27.40218935512722</v>
      </c>
      <c r="T63" s="39">
        <f>$J$3+[33]FormattedData!M41*$J$4+$M$4*$J$5+[33]FormattedData!M41^2*$J$6+$M$5*$J$7</f>
        <v>28.482484903727411</v>
      </c>
      <c r="U63" s="39">
        <f>$J$3+[33]FormattedData!N41*$J$4+$M$4*$J$5+[33]FormattedData!N41^2*$J$6+$M$5*$J$7</f>
        <v>27.893866814378093</v>
      </c>
      <c r="V63" s="39">
        <f>$J$3+[33]FormattedData!O41*$J$4+$M$4*$J$5+[33]FormattedData!O41^2*$J$6+$M$5*$J$7</f>
        <v>28.580439978736205</v>
      </c>
      <c r="W63" s="38">
        <f>AVERAGE(K63:V63)</f>
        <v>27.72894227115999</v>
      </c>
      <c r="X63" s="37">
        <f>STDEV(K63:V63)/SQRT(COUNT(K63:V63))</f>
        <v>0.21863028510868698</v>
      </c>
      <c r="Y63" s="36">
        <f>MIN(K63:V63)</f>
        <v>26.316779313437369</v>
      </c>
      <c r="Z63" s="35">
        <f>QUARTILE(K63:V63,1)</f>
        <v>27.180585783026398</v>
      </c>
      <c r="AA63" s="36">
        <f>MEDIAN(K63:V63)</f>
        <v>27.648154890366452</v>
      </c>
      <c r="AB63" s="35">
        <f>QUARTILE(K63:V63,3)</f>
        <v>28.50697367247961</v>
      </c>
      <c r="AC63" s="35">
        <f>MAX(K63:V63)</f>
        <v>28.776223323139998</v>
      </c>
      <c r="AD63" s="35">
        <f>SKEW(K63:V63)</f>
        <v>-0.16650114481916936</v>
      </c>
      <c r="AE63" s="35">
        <f>KURT(K63:V63)</f>
        <v>-0.70889918305143462</v>
      </c>
    </row>
    <row r="64" spans="2:31" x14ac:dyDescent="0.2">
      <c r="B64" s="34">
        <f>[33]FormattedData!A43</f>
        <v>207</v>
      </c>
      <c r="C64" s="34" t="str">
        <f>VLOOKUP($B64,[33]TrtCodes!$B$11:I86,2)</f>
        <v>FTL</v>
      </c>
      <c r="D64" s="34">
        <f>VLOOKUP($B64,[33]TrtCodes!$B$11:J86,3)</f>
        <v>4</v>
      </c>
      <c r="E64" s="34">
        <f>VLOOKUP($B64,[33]TrtCodes!$B$11:K86,4)</f>
        <v>1</v>
      </c>
      <c r="F64" s="34">
        <f>VLOOKUP($B64,[33]TrtCodes!$B$11:L86,5)</f>
        <v>2</v>
      </c>
      <c r="G64" s="34">
        <f>VLOOKUP($B64,[33]TrtCodes!$B$11:M86,6)</f>
        <v>1</v>
      </c>
      <c r="H64" s="34">
        <f>VLOOKUP($B64,[33]TrtCodes!$B$11:N86,7)</f>
        <v>2</v>
      </c>
      <c r="I64" s="34">
        <f>[33]FormattedData!B43</f>
        <v>2</v>
      </c>
      <c r="J64" s="37">
        <f>[33]FormattedData!C43</f>
        <v>13.068</v>
      </c>
      <c r="K64" s="39">
        <f>$J$3+[33]FormattedData!D43*$J$4+$M$4*$J$5+[33]FormattedData!D43^2*$J$6+$M$5*$J$7</f>
        <v>28.384487560180684</v>
      </c>
      <c r="L64" s="39">
        <f>$J$3+[33]FormattedData!E43*$J$4+$M$4*$J$5+[33]FormattedData!E43^2*$J$6+$M$5*$J$7</f>
        <v>27.992075500614476</v>
      </c>
      <c r="M64" s="39">
        <f>$J$3+[33]FormattedData!F43*$J$4+$M$4*$J$5+[33]FormattedData!F43^2*$J$6+$M$5*$J$7</f>
        <v>27.697322636291538</v>
      </c>
      <c r="N64" s="39">
        <f>$J$3+[33]FormattedData!G43*$J$4+$M$4*$J$5+[33]FormattedData!G43^2*$J$6+$M$5*$J$7</f>
        <v>29.85000951689879</v>
      </c>
      <c r="O64" s="39">
        <f>$J$3+[33]FormattedData!H43*$J$4+$M$4*$J$5+[33]FormattedData!H43^2*$J$6+$M$5*$J$7</f>
        <v>28.678352785207068</v>
      </c>
      <c r="P64" s="39">
        <f>$J$3+[33]FormattedData!I43*$J$4+$M$4*$J$5+[33]FormattedData!I43^2*$J$6+$M$5*$J$7</f>
        <v>28.482484903727411</v>
      </c>
      <c r="Q64" s="39">
        <f>$J$3+[33]FormattedData!J43*$J$4+$M$4*$J$5+[33]FormattedData!J43^2*$J$6+$M$5*$J$7</f>
        <v>27.992075500614476</v>
      </c>
      <c r="R64" s="39">
        <f>$J$3+[33]FormattedData!K43*$J$4+$M$4*$J$5+[33]FormattedData!K43^2*$J$6+$M$5*$J$7</f>
        <v>28.188366067473442</v>
      </c>
      <c r="S64" s="39">
        <f>$J$3+[33]FormattedData!L43*$J$4+$M$4*$J$5+[33]FormattedData!L43^2*$J$6+$M$5*$J$7</f>
        <v>28.580439978736205</v>
      </c>
      <c r="T64" s="39">
        <f>$J$3+[33]FormattedData!M43*$J$4+$M$4*$J$5+[33]FormattedData!M43^2*$J$6+$M$5*$J$7</f>
        <v>27.598987144441367</v>
      </c>
      <c r="U64" s="39">
        <f>$J$3+[33]FormattedData!N43*$J$4+$M$4*$J$5+[33]FormattedData!N43^2*$J$6+$M$5*$J$7</f>
        <v>28.874051592535</v>
      </c>
      <c r="V64" s="39">
        <f>$J$3+[33]FormattedData!O43*$J$4+$M$4*$J$5+[33]FormattedData!O43^2*$J$6+$M$5*$J$7</f>
        <v>27.40218935512722</v>
      </c>
      <c r="W64" s="38">
        <f>AVERAGE(K64:V64)</f>
        <v>28.310070211820644</v>
      </c>
      <c r="X64" s="37">
        <f>STDEV(K64:V64)/SQRT(COUNT(K64:V64))</f>
        <v>0.19179937898838464</v>
      </c>
      <c r="Y64" s="36">
        <f>MIN(K64:V64)</f>
        <v>27.40218935512722</v>
      </c>
      <c r="Z64" s="35">
        <f>QUARTILE(K64:V64,1)</f>
        <v>27.918387284533743</v>
      </c>
      <c r="AA64" s="36">
        <f>MEDIAN(K64:V64)</f>
        <v>28.286426813827063</v>
      </c>
      <c r="AB64" s="35">
        <f>QUARTILE(K64:V64,3)</f>
        <v>28.60491818035392</v>
      </c>
      <c r="AC64" s="35">
        <f>MAX(K64:V64)</f>
        <v>29.85000951689879</v>
      </c>
      <c r="AD64" s="35">
        <f>SKEW(K64:V64)</f>
        <v>0.93075728130691282</v>
      </c>
      <c r="AE64" s="35">
        <f>KURT(K64:V64)</f>
        <v>1.5024958701123019</v>
      </c>
    </row>
    <row r="65" spans="2:31" x14ac:dyDescent="0.2">
      <c r="B65" s="34">
        <f>[33]FormattedData!A45</f>
        <v>208</v>
      </c>
      <c r="C65" s="34" t="str">
        <f>VLOOKUP($B65,[33]TrtCodes!$B$11:I88,2)</f>
        <v>FSL</v>
      </c>
      <c r="D65" s="34">
        <f>VLOOKUP($B65,[33]TrtCodes!$B$11:J88,3)</f>
        <v>2</v>
      </c>
      <c r="E65" s="34">
        <f>VLOOKUP($B65,[33]TrtCodes!$B$11:K88,4)</f>
        <v>1</v>
      </c>
      <c r="F65" s="34">
        <f>VLOOKUP($B65,[33]TrtCodes!$B$11:L88,5)</f>
        <v>1</v>
      </c>
      <c r="G65" s="34">
        <f>VLOOKUP($B65,[33]TrtCodes!$B$11:M88,6)</f>
        <v>1</v>
      </c>
      <c r="H65" s="34">
        <f>VLOOKUP($B65,[33]TrtCodes!$B$11:N88,7)</f>
        <v>2</v>
      </c>
      <c r="I65" s="34">
        <f>[33]FormattedData!B45</f>
        <v>2</v>
      </c>
      <c r="J65" s="37">
        <f>[33]FormattedData!C45</f>
        <v>13.085000000000001</v>
      </c>
      <c r="K65" s="39">
        <f>$J$3+[33]FormattedData!D45*$J$4+$M$4*$J$5+[33]FormattedData!D45^2*$J$6+$M$5*$J$7</f>
        <v>30.433555381696376</v>
      </c>
      <c r="L65" s="39">
        <f>$J$3+[33]FormattedData!E45*$J$4+$M$4*$J$5+[33]FormattedData!E45^2*$J$6+$M$5*$J$7</f>
        <v>29.85000951689879</v>
      </c>
      <c r="M65" s="39">
        <f>$J$3+[33]FormattedData!F45*$J$4+$M$4*$J$5+[33]FormattedData!F45^2*$J$6+$M$5*$J$7</f>
        <v>31.112435672151012</v>
      </c>
      <c r="N65" s="39">
        <f>$J$3+[33]FormattedData!G45*$J$4+$M$4*$J$5+[33]FormattedData!G45^2*$J$6+$M$5*$J$7</f>
        <v>28.580439978736205</v>
      </c>
      <c r="O65" s="39">
        <f>$J$3+[33]FormattedData!H45*$J$4+$M$4*$J$5+[33]FormattedData!H45^2*$J$6+$M$5*$J$7</f>
        <v>31.306021052582388</v>
      </c>
      <c r="P65" s="39">
        <f>$J$3+[33]FormattedData!I45*$J$4+$M$4*$J$5+[33]FormattedData!I45^2*$J$6+$M$5*$J$7</f>
        <v>29.947372832376555</v>
      </c>
      <c r="Q65" s="39">
        <f>$J$3+[33]FormattedData!J45*$J$4+$M$4*$J$5+[33]FormattedData!J45^2*$J$6+$M$5*$J$7</f>
        <v>28.776223323139998</v>
      </c>
      <c r="R65" s="39">
        <f>$J$3+[33]FormattedData!K45*$J$4+$M$4*$J$5+[33]FormattedData!K45^2*$J$6+$M$5*$J$7</f>
        <v>27.598987144441367</v>
      </c>
      <c r="S65" s="39">
        <f>$J$3+[33]FormattedData!L45*$J$4+$M$4*$J$5+[33]FormattedData!L45^2*$J$6+$M$5*$J$7</f>
        <v>29.069581325711209</v>
      </c>
      <c r="T65" s="39">
        <f>$J$3+[33]FormattedData!M45*$J$4+$M$4*$J$5+[33]FormattedData!M45^2*$J$6+$M$5*$J$7</f>
        <v>29.362558911441035</v>
      </c>
      <c r="U65" s="39">
        <f>$J$3+[33]FormattedData!N45*$J$4+$M$4*$J$5+[33]FormattedData!N45^2*$J$6+$M$5*$J$7</f>
        <v>29.557665959237934</v>
      </c>
      <c r="V65" s="39">
        <f>$J$3+[33]FormattedData!O45*$J$4+$M$4*$J$5+[33]FormattedData!O45^2*$J$6+$M$5*$J$7</f>
        <v>28.678352785207068</v>
      </c>
      <c r="W65" s="38">
        <f>AVERAGE(K65:V65)</f>
        <v>29.522766990301658</v>
      </c>
      <c r="X65" s="37">
        <f>STDEV(K65:V65)/SQRT(COUNT(K65:V65))</f>
        <v>0.31280123126277082</v>
      </c>
      <c r="Y65" s="36">
        <f>MIN(K65:V65)</f>
        <v>27.598987144441367</v>
      </c>
      <c r="Z65" s="35">
        <f>QUARTILE(K65:V65,1)</f>
        <v>28.751755688656765</v>
      </c>
      <c r="AA65" s="36">
        <f>MEDIAN(K65:V65)</f>
        <v>29.460112435339482</v>
      </c>
      <c r="AB65" s="35">
        <f>QUARTILE(K65:V65,3)</f>
        <v>30.06891846970651</v>
      </c>
      <c r="AC65" s="35">
        <f>MAX(K65:V65)</f>
        <v>31.306021052582388</v>
      </c>
      <c r="AD65" s="35">
        <f>SKEW(K65:V65)</f>
        <v>0.12717625360127857</v>
      </c>
      <c r="AE65" s="35">
        <f>KURT(K65:V65)</f>
        <v>-0.30964439137324673</v>
      </c>
    </row>
    <row r="66" spans="2:31" x14ac:dyDescent="0.2">
      <c r="B66" s="34">
        <f>[33]FormattedData!A63</f>
        <v>301</v>
      </c>
      <c r="C66" s="34" t="str">
        <f>VLOOKUP($B66,[33]TrtCodes!$B$11:I106,2)</f>
        <v>NTL</v>
      </c>
      <c r="D66" s="34">
        <f>VLOOKUP($B66,[33]TrtCodes!$B$11:J106,3)</f>
        <v>10</v>
      </c>
      <c r="E66" s="34">
        <f>VLOOKUP($B66,[33]TrtCodes!$B$11:K106,4)</f>
        <v>2</v>
      </c>
      <c r="F66" s="34">
        <f>VLOOKUP($B66,[33]TrtCodes!$B$11:L106,5)</f>
        <v>2</v>
      </c>
      <c r="G66" s="34">
        <f>VLOOKUP($B66,[33]TrtCodes!$B$11:M106,6)</f>
        <v>1</v>
      </c>
      <c r="H66" s="34">
        <f>VLOOKUP($B66,[33]TrtCodes!$B$11:N106,7)</f>
        <v>3</v>
      </c>
      <c r="I66" s="34">
        <f>[33]FormattedData!B63</f>
        <v>2</v>
      </c>
      <c r="J66" s="37">
        <f>[33]FormattedData!C63</f>
        <v>13.202</v>
      </c>
      <c r="K66" s="39">
        <f>$J$3+[33]FormattedData!D63*$J$4+$M$4*$J$5+[33]FormattedData!D63^2*$J$6+$M$5*$J$7</f>
        <v>28.874051592535</v>
      </c>
      <c r="L66" s="39">
        <f>$J$3+[33]FormattedData!E63*$J$4+$M$4*$J$5+[33]FormattedData!E63^2*$J$6+$M$5*$J$7</f>
        <v>28.286447948096029</v>
      </c>
      <c r="M66" s="39">
        <f>$J$3+[33]FormattedData!F63*$J$4+$M$4*$J$5+[33]FormattedData!F63^2*$J$6+$M$5*$J$7</f>
        <v>28.482484903727411</v>
      </c>
      <c r="N66" s="39">
        <f>$J$3+[33]FormattedData!G63*$J$4+$M$4*$J$5+[33]FormattedData!G63^2*$J$6+$M$5*$J$7</f>
        <v>28.776223323139998</v>
      </c>
      <c r="O66" s="39">
        <f>$J$3+[33]FormattedData!H63*$J$4+$M$4*$J$5+[33]FormattedData!H63^2*$J$6+$M$5*$J$7</f>
        <v>27.795615859603782</v>
      </c>
      <c r="P66" s="39">
        <f>$J$3+[33]FormattedData!I63*$J$4+$M$4*$J$5+[33]FormattedData!I63^2*$J$6+$M$5*$J$7</f>
        <v>27.500609384053259</v>
      </c>
      <c r="Q66" s="39">
        <f>$J$3+[33]FormattedData!J63*$J$4+$M$4*$J$5+[33]FormattedData!J63^2*$J$6+$M$5*$J$7</f>
        <v>29.85000951689879</v>
      </c>
      <c r="R66" s="39">
        <f>$J$3+[33]FormattedData!K63*$J$4+$M$4*$J$5+[33]FormattedData!K63^2*$J$6+$M$5*$J$7</f>
        <v>28.090241918312927</v>
      </c>
      <c r="S66" s="39">
        <f>$J$3+[33]FormattedData!L63*$J$4+$M$4*$J$5+[33]FormattedData!L63^2*$J$6+$M$5*$J$7</f>
        <v>31.982238425147379</v>
      </c>
      <c r="T66" s="39">
        <f>$J$3+[33]FormattedData!M63*$J$4+$M$4*$J$5+[33]FormattedData!M63^2*$J$6+$M$5*$J$7</f>
        <v>30.724757688833094</v>
      </c>
      <c r="U66" s="39">
        <f>$J$3+[33]FormattedData!N63*$J$4+$M$4*$J$5+[33]FormattedData!N63^2*$J$6+$M$5*$J$7</f>
        <v>28.188366067473442</v>
      </c>
      <c r="V66" s="39">
        <f>$J$3+[33]FormattedData!O63*$J$4+$M$4*$J$5+[33]FormattedData!O63^2*$J$6+$M$5*$J$7</f>
        <v>28.188366067473442</v>
      </c>
      <c r="W66" s="38">
        <f>AVERAGE(K66:V66)</f>
        <v>28.894951057941213</v>
      </c>
      <c r="X66" s="37">
        <f>STDEV(K66:V66)/SQRT(COUNT(K66:V66))</f>
        <v>0.38084254440166204</v>
      </c>
      <c r="Y66" s="36">
        <f>MIN(K66:V66)</f>
        <v>27.500609384053259</v>
      </c>
      <c r="Z66" s="35">
        <f>QUARTILE(K66:V66,1)</f>
        <v>28.163835030183314</v>
      </c>
      <c r="AA66" s="36">
        <f>MEDIAN(K66:V66)</f>
        <v>28.384466425911718</v>
      </c>
      <c r="AB66" s="35">
        <f>QUARTILE(K66:V66,3)</f>
        <v>29.118041073625946</v>
      </c>
      <c r="AC66" s="35">
        <f>MAX(K66:V66)</f>
        <v>31.982238425147379</v>
      </c>
      <c r="AD66" s="35">
        <f>SKEW(K66:V66)</f>
        <v>1.4661629295132437</v>
      </c>
      <c r="AE66" s="35">
        <f>KURT(K66:V66)</f>
        <v>1.6476185404724699</v>
      </c>
    </row>
    <row r="67" spans="2:31" x14ac:dyDescent="0.2">
      <c r="B67" s="34">
        <f>[33]FormattedData!A65</f>
        <v>302</v>
      </c>
      <c r="C67" s="34" t="str">
        <f>VLOOKUP($B67,[33]TrtCodes!$B$11:I108,2)</f>
        <v>FTL</v>
      </c>
      <c r="D67" s="34">
        <f>VLOOKUP($B67,[33]TrtCodes!$B$11:J108,3)</f>
        <v>4</v>
      </c>
      <c r="E67" s="34">
        <f>VLOOKUP($B67,[33]TrtCodes!$B$11:K108,4)</f>
        <v>1</v>
      </c>
      <c r="F67" s="34">
        <f>VLOOKUP($B67,[33]TrtCodes!$B$11:L108,5)</f>
        <v>2</v>
      </c>
      <c r="G67" s="34">
        <f>VLOOKUP($B67,[33]TrtCodes!$B$11:M108,6)</f>
        <v>1</v>
      </c>
      <c r="H67" s="34">
        <f>VLOOKUP($B67,[33]TrtCodes!$B$11:N108,7)</f>
        <v>3</v>
      </c>
      <c r="I67" s="34">
        <f>[33]FormattedData!B65</f>
        <v>2</v>
      </c>
      <c r="J67" s="37">
        <f>[33]FormattedData!C65</f>
        <v>13.218999999999999</v>
      </c>
      <c r="K67" s="39">
        <f>$J$3+[33]FormattedData!D65*$J$4+$M$4*$J$5+[33]FormattedData!D65^2*$J$6+$M$5*$J$7</f>
        <v>29.557665959237934</v>
      </c>
      <c r="L67" s="39">
        <f>$J$3+[33]FormattedData!E65*$J$4+$M$4*$J$5+[33]FormattedData!E65^2*$J$6+$M$5*$J$7</f>
        <v>28.580439978736205</v>
      </c>
      <c r="M67" s="39">
        <f>$J$3+[33]FormattedData!F65*$J$4+$M$4*$J$5+[33]FormattedData!F65^2*$J$6+$M$5*$J$7</f>
        <v>29.65515608032948</v>
      </c>
      <c r="N67" s="39">
        <f>$J$3+[33]FormattedData!G65*$J$4+$M$4*$J$5+[33]FormattedData!G65^2*$J$6+$M$5*$J$7</f>
        <v>29.264941984735692</v>
      </c>
      <c r="O67" s="39">
        <f>$J$3+[33]FormattedData!H65*$J$4+$M$4*$J$5+[33]FormattedData!H65^2*$J$6+$M$5*$J$7</f>
        <v>29.362558911441035</v>
      </c>
      <c r="P67" s="39">
        <f>$J$3+[33]FormattedData!I65*$J$4+$M$4*$J$5+[33]FormattedData!I65^2*$J$6+$M$5*$J$7</f>
        <v>29.752603932883105</v>
      </c>
      <c r="Q67" s="39">
        <f>$J$3+[33]FormattedData!J65*$J$4+$M$4*$J$5+[33]FormattedData!J65^2*$J$6+$M$5*$J$7</f>
        <v>31.306021052582388</v>
      </c>
      <c r="R67" s="39">
        <f>$J$3+[33]FormattedData!K65*$J$4+$M$4*$J$5+[33]FormattedData!K65^2*$J$6+$M$5*$J$7</f>
        <v>28.090241918312927</v>
      </c>
      <c r="S67" s="39">
        <f>$J$3+[33]FormattedData!L65*$J$4+$M$4*$J$5+[33]FormattedData!L65^2*$J$6+$M$5*$J$7</f>
        <v>29.264941984735692</v>
      </c>
      <c r="T67" s="39">
        <f>$J$3+[33]FormattedData!M65*$J$4+$M$4*$J$5+[33]FormattedData!M65^2*$J$6+$M$5*$J$7</f>
        <v>28.286447948096029</v>
      </c>
      <c r="U67" s="39">
        <f>$J$3+[33]FormattedData!N65*$J$4+$M$4*$J$5+[33]FormattedData!N65^2*$J$6+$M$5*$J$7</f>
        <v>29.362558911441035</v>
      </c>
      <c r="V67" s="39">
        <f>$J$3+[33]FormattedData!O65*$J$4+$M$4*$J$5+[33]FormattedData!O65^2*$J$6+$M$5*$J$7</f>
        <v>28.090241918312927</v>
      </c>
      <c r="W67" s="38">
        <f>AVERAGE(K67:V67)</f>
        <v>29.214485048403713</v>
      </c>
      <c r="X67" s="37">
        <f>STDEV(K67:V67)/SQRT(COUNT(K67:V67))</f>
        <v>0.25843517548155442</v>
      </c>
      <c r="Y67" s="36">
        <f>MIN(K67:V67)</f>
        <v>28.090241918312927</v>
      </c>
      <c r="Z67" s="35">
        <f>QUARTILE(K67:V67,1)</f>
        <v>28.506941971076159</v>
      </c>
      <c r="AA67" s="36">
        <f>MEDIAN(K67:V67)</f>
        <v>29.313750448088363</v>
      </c>
      <c r="AB67" s="35">
        <f>QUARTILE(K67:V67,3)</f>
        <v>29.582038489510822</v>
      </c>
      <c r="AC67" s="35">
        <f>MAX(K67:V67)</f>
        <v>31.306021052582388</v>
      </c>
      <c r="AD67" s="35">
        <f>SKEW(K67:V67)</f>
        <v>0.84260674473550012</v>
      </c>
      <c r="AE67" s="35">
        <f>KURT(K67:V67)</f>
        <v>1.6999309723191063</v>
      </c>
    </row>
    <row r="68" spans="2:31" x14ac:dyDescent="0.2">
      <c r="B68" s="34">
        <f>[33]FormattedData!A67</f>
        <v>303</v>
      </c>
      <c r="C68" s="34" t="str">
        <f>VLOOKUP($B68,[33]TrtCodes!$B$11:I110,2)</f>
        <v>NSL</v>
      </c>
      <c r="D68" s="34">
        <f>VLOOKUP($B68,[33]TrtCodes!$B$11:J110,3)</f>
        <v>8</v>
      </c>
      <c r="E68" s="34">
        <f>VLOOKUP($B68,[33]TrtCodes!$B$11:K110,4)</f>
        <v>2</v>
      </c>
      <c r="F68" s="34">
        <f>VLOOKUP($B68,[33]TrtCodes!$B$11:L110,5)</f>
        <v>1</v>
      </c>
      <c r="G68" s="34">
        <f>VLOOKUP($B68,[33]TrtCodes!$B$11:M110,6)</f>
        <v>1</v>
      </c>
      <c r="H68" s="34">
        <f>VLOOKUP($B68,[33]TrtCodes!$B$11:N110,7)</f>
        <v>3</v>
      </c>
      <c r="I68" s="34">
        <f>[33]FormattedData!B67</f>
        <v>2</v>
      </c>
      <c r="J68" s="37">
        <f>[33]FormattedData!C67</f>
        <v>13.234999999999999</v>
      </c>
      <c r="K68" s="39">
        <f>$J$3+[33]FormattedData!D67*$J$4+$M$4*$J$5+[33]FormattedData!D67^2*$J$6+$M$5*$J$7</f>
        <v>28.874051592535</v>
      </c>
      <c r="L68" s="39">
        <f>$J$3+[33]FormattedData!E67*$J$4+$M$4*$J$5+[33]FormattedData!E67^2*$J$6+$M$5*$J$7</f>
        <v>28.090241918312927</v>
      </c>
      <c r="M68" s="39">
        <f>$J$3+[33]FormattedData!F67*$J$4+$M$4*$J$5+[33]FormattedData!F67^2*$J$6+$M$5*$J$7</f>
        <v>27.106675657121528</v>
      </c>
      <c r="N68" s="39">
        <f>$J$3+[33]FormattedData!G67*$J$4+$M$4*$J$5+[33]FormattedData!G67^2*$J$6+$M$5*$J$7</f>
        <v>27.598987144441367</v>
      </c>
      <c r="O68" s="39">
        <f>$J$3+[33]FormattedData!H67*$J$4+$M$4*$J$5+[33]FormattedData!H67^2*$J$6+$M$5*$J$7</f>
        <v>27.697322636291538</v>
      </c>
      <c r="P68" s="39">
        <f>$J$3+[33]FormattedData!I67*$J$4+$M$4*$J$5+[33]FormattedData!I67^2*$J$6+$M$5*$J$7</f>
        <v>27.303727057663256</v>
      </c>
      <c r="Q68" s="39">
        <f>$J$3+[33]FormattedData!J67*$J$4+$M$4*$J$5+[33]FormattedData!J67^2*$J$6+$M$5*$J$7</f>
        <v>27.795615859603782</v>
      </c>
      <c r="R68" s="39">
        <f>$J$3+[33]FormattedData!K67*$J$4+$M$4*$J$5+[33]FormattedData!K67^2*$J$6+$M$5*$J$7</f>
        <v>27.598987144441367</v>
      </c>
      <c r="S68" s="39">
        <f>$J$3+[33]FormattedData!L67*$J$4+$M$4*$J$5+[33]FormattedData!L67^2*$J$6+$M$5*$J$7</f>
        <v>28.580439978736205</v>
      </c>
      <c r="T68" s="39">
        <f>$J$3+[33]FormattedData!M67*$J$4+$M$4*$J$5+[33]FormattedData!M67^2*$J$6+$M$5*$J$7</f>
        <v>27.500609384053259</v>
      </c>
      <c r="U68" s="39">
        <f>$J$3+[33]FormattedData!N67*$J$4+$M$4*$J$5+[33]FormattedData!N67^2*$J$6+$M$5*$J$7</f>
        <v>29.264941984735692</v>
      </c>
      <c r="V68" s="39">
        <f>$J$3+[33]FormattedData!O67*$J$4+$M$4*$J$5+[33]FormattedData!O67^2*$J$6+$M$5*$J$7</f>
        <v>27.795615859603782</v>
      </c>
      <c r="W68" s="38">
        <f>AVERAGE(K68:V68)</f>
        <v>27.933934684794973</v>
      </c>
      <c r="X68" s="37">
        <f>STDEV(K68:V68)/SQRT(COUNT(K68:V68))</f>
        <v>0.18840881592806266</v>
      </c>
      <c r="Y68" s="36">
        <f>MIN(K68:V68)</f>
        <v>27.106675657121528</v>
      </c>
      <c r="Z68" s="35">
        <f>QUARTILE(K68:V68,1)</f>
        <v>27.574392704344341</v>
      </c>
      <c r="AA68" s="36">
        <f>MEDIAN(K68:V68)</f>
        <v>27.746469247947658</v>
      </c>
      <c r="AB68" s="35">
        <f>QUARTILE(K68:V68,3)</f>
        <v>28.212791433418747</v>
      </c>
      <c r="AC68" s="35">
        <f>MAX(K68:V68)</f>
        <v>29.264941984735692</v>
      </c>
      <c r="AD68" s="35">
        <f>SKEW(K68:V68)</f>
        <v>0.96975057459932945</v>
      </c>
      <c r="AE68" s="35">
        <f>KURT(K68:V68)</f>
        <v>0.12225085604940489</v>
      </c>
    </row>
    <row r="69" spans="2:31" x14ac:dyDescent="0.2">
      <c r="B69" s="34">
        <f>[33]FormattedData!A69</f>
        <v>304</v>
      </c>
      <c r="C69" s="34" t="str">
        <f>VLOOKUP($B69,[33]TrtCodes!$B$11:I112,2)</f>
        <v>FSL</v>
      </c>
      <c r="D69" s="34">
        <f>VLOOKUP($B69,[33]TrtCodes!$B$11:J112,3)</f>
        <v>2</v>
      </c>
      <c r="E69" s="34">
        <f>VLOOKUP($B69,[33]TrtCodes!$B$11:K112,4)</f>
        <v>1</v>
      </c>
      <c r="F69" s="34">
        <f>VLOOKUP($B69,[33]TrtCodes!$B$11:L112,5)</f>
        <v>1</v>
      </c>
      <c r="G69" s="34">
        <f>VLOOKUP($B69,[33]TrtCodes!$B$11:M112,6)</f>
        <v>1</v>
      </c>
      <c r="H69" s="34">
        <f>VLOOKUP($B69,[33]TrtCodes!$B$11:N112,7)</f>
        <v>3</v>
      </c>
      <c r="I69" s="34">
        <f>[33]FormattedData!B69</f>
        <v>2</v>
      </c>
      <c r="J69" s="37">
        <f>[33]FormattedData!C69</f>
        <v>13.25</v>
      </c>
      <c r="K69" s="39">
        <f>$J$3+[33]FormattedData!D69*$J$4+$M$4*$J$5+[33]FormattedData!D69^2*$J$6+$M$5*$J$7</f>
        <v>30.239209167582239</v>
      </c>
      <c r="L69" s="39">
        <f>$J$3+[33]FormattedData!E69*$J$4+$M$4*$J$5+[33]FormattedData!E69^2*$J$6+$M$5*$J$7</f>
        <v>29.752603932883105</v>
      </c>
      <c r="M69" s="39">
        <f>$J$3+[33]FormattedData!F69*$J$4+$M$4*$J$5+[33]FormattedData!F69^2*$J$6+$M$5*$J$7</f>
        <v>29.362558911441035</v>
      </c>
      <c r="N69" s="39">
        <f>$J$3+[33]FormattedData!G69*$J$4+$M$4*$J$5+[33]FormattedData!G69^2*$J$6+$M$5*$J$7</f>
        <v>28.188366067473442</v>
      </c>
      <c r="O69" s="39">
        <f>$J$3+[33]FormattedData!H69*$J$4+$M$4*$J$5+[33]FormattedData!H69^2*$J$6+$M$5*$J$7</f>
        <v>29.167282789492415</v>
      </c>
      <c r="P69" s="39">
        <f>$J$3+[33]FormattedData!I69*$J$4+$M$4*$J$5+[33]FormattedData!I69^2*$J$6+$M$5*$J$7</f>
        <v>28.580439978736205</v>
      </c>
      <c r="Q69" s="39">
        <f>$J$3+[33]FormattedData!J69*$J$4+$M$4*$J$5+[33]FormattedData!J69^2*$J$6+$M$5*$J$7</f>
        <v>28.678352785207068</v>
      </c>
      <c r="R69" s="39">
        <f>$J$3+[33]FormattedData!K69*$J$4+$M$4*$J$5+[33]FormattedData!K69^2*$J$6+$M$5*$J$7</f>
        <v>27.40218935512722</v>
      </c>
      <c r="S69" s="39">
        <f>$J$3+[33]FormattedData!L69*$J$4+$M$4*$J$5+[33]FormattedData!L69^2*$J$6+$M$5*$J$7</f>
        <v>29.85000951689879</v>
      </c>
      <c r="T69" s="39">
        <f>$J$3+[33]FormattedData!M69*$J$4+$M$4*$J$5+[33]FormattedData!M69^2*$J$6+$M$5*$J$7</f>
        <v>29.752603932883105</v>
      </c>
      <c r="U69" s="39">
        <f>$J$3+[33]FormattedData!N69*$J$4+$M$4*$J$5+[33]FormattedData!N69^2*$J$6+$M$5*$J$7</f>
        <v>28.97183759339207</v>
      </c>
      <c r="V69" s="39">
        <f>$J$3+[33]FormattedData!O69*$J$4+$M$4*$J$5+[33]FormattedData!O69^2*$J$6+$M$5*$J$7</f>
        <v>29.85000951689879</v>
      </c>
      <c r="W69" s="38">
        <f>AVERAGE(K69:V69)</f>
        <v>29.149621962334624</v>
      </c>
      <c r="X69" s="37">
        <f>STDEV(K69:V69)/SQRT(COUNT(K69:V69))</f>
        <v>0.23830712859988007</v>
      </c>
      <c r="Y69" s="36">
        <f>MIN(K69:V69)</f>
        <v>27.40218935512722</v>
      </c>
      <c r="Z69" s="35">
        <f>QUARTILE(K69:V69,1)</f>
        <v>28.653874583589353</v>
      </c>
      <c r="AA69" s="36">
        <f>MEDIAN(K69:V69)</f>
        <v>29.264920850466723</v>
      </c>
      <c r="AB69" s="35">
        <f>QUARTILE(K69:V69,3)</f>
        <v>29.776955328887027</v>
      </c>
      <c r="AC69" s="35">
        <f>MAX(K69:V69)</f>
        <v>30.239209167582239</v>
      </c>
      <c r="AD69" s="35">
        <f>SKEW(K69:V69)</f>
        <v>-0.79307944173033684</v>
      </c>
      <c r="AE69" s="35">
        <f>KURT(K69:V69)</f>
        <v>0.20455048207555837</v>
      </c>
    </row>
    <row r="70" spans="2:31" x14ac:dyDescent="0.2">
      <c r="B70" s="34">
        <f>[33]FormattedData!A71</f>
        <v>305</v>
      </c>
      <c r="C70" s="34" t="str">
        <f>VLOOKUP($B70,[33]TrtCodes!$B$11:I114,2)</f>
        <v>NDH</v>
      </c>
      <c r="D70" s="34">
        <f>VLOOKUP($B70,[33]TrtCodes!$B$11:J114,3)</f>
        <v>11</v>
      </c>
      <c r="E70" s="34">
        <f>VLOOKUP($B70,[33]TrtCodes!$B$11:K114,4)</f>
        <v>2</v>
      </c>
      <c r="F70" s="34">
        <f>VLOOKUP($B70,[33]TrtCodes!$B$11:L114,5)</f>
        <v>3</v>
      </c>
      <c r="G70" s="34">
        <f>VLOOKUP($B70,[33]TrtCodes!$B$11:M114,6)</f>
        <v>2</v>
      </c>
      <c r="H70" s="34">
        <f>VLOOKUP($B70,[33]TrtCodes!$B$11:N114,7)</f>
        <v>4</v>
      </c>
      <c r="I70" s="34">
        <f>[33]FormattedData!B71</f>
        <v>2</v>
      </c>
      <c r="J70" s="37">
        <f>[33]FormattedData!C71</f>
        <v>13.266999999999999</v>
      </c>
      <c r="K70" s="39">
        <f>$J$3+[33]FormattedData!D71*$J$4+$M$4*$J$5+[33]FormattedData!D71^2*$J$6+$M$5*$J$7</f>
        <v>30.044693879316377</v>
      </c>
      <c r="L70" s="39">
        <f>$J$3+[33]FormattedData!E71*$J$4+$M$4*$J$5+[33]FormattedData!E71^2*$J$6+$M$5*$J$7</f>
        <v>30.044693879316377</v>
      </c>
      <c r="M70" s="39">
        <f>$J$3+[33]FormattedData!F71*$J$4+$M$4*$J$5+[33]FormattedData!F71^2*$J$6+$M$5*$J$7</f>
        <v>30.044693879316377</v>
      </c>
      <c r="N70" s="39">
        <f>$J$3+[33]FormattedData!G71*$J$4+$M$4*$J$5+[33]FormattedData!G71^2*$J$6+$M$5*$J$7</f>
        <v>30.336403408908268</v>
      </c>
      <c r="O70" s="39">
        <f>$J$3+[33]FormattedData!H71*$J$4+$M$4*$J$5+[33]FormattedData!H71^2*$J$6+$M$5*$J$7</f>
        <v>30.530665085946545</v>
      </c>
      <c r="P70" s="39">
        <f>$J$3+[33]FormattedData!I71*$J$4+$M$4*$J$5+[33]FormattedData!I71^2*$J$6+$M$5*$J$7</f>
        <v>30.821740587469471</v>
      </c>
      <c r="Q70" s="39">
        <f>$J$3+[33]FormattedData!J71*$J$4+$M$4*$J$5+[33]FormattedData!J71^2*$J$6+$M$5*$J$7</f>
        <v>29.557665959237934</v>
      </c>
      <c r="R70" s="39">
        <f>$J$3+[33]FormattedData!K71*$J$4+$M$4*$J$5+[33]FormattedData!K71^2*$J$6+$M$5*$J$7</f>
        <v>28.874051592535</v>
      </c>
      <c r="S70" s="39">
        <f>$J$3+[33]FormattedData!L71*$J$4+$M$4*$J$5+[33]FormattedData!L71^2*$J$6+$M$5*$J$7</f>
        <v>29.557665959237934</v>
      </c>
      <c r="T70" s="39">
        <f>$J$3+[33]FormattedData!M71*$J$4+$M$4*$J$5+[33]FormattedData!M71^2*$J$6+$M$5*$J$7</f>
        <v>29.069581325711209</v>
      </c>
      <c r="U70" s="39">
        <f>$J$3+[33]FormattedData!N71*$J$4+$M$4*$J$5+[33]FormattedData!N71^2*$J$6+$M$5*$J$7</f>
        <v>28.776223323139998</v>
      </c>
      <c r="V70" s="39">
        <f>$J$3+[33]FormattedData!O71*$J$4+$M$4*$J$5+[33]FormattedData!O71^2*$J$6+$M$5*$J$7</f>
        <v>29.752603932883105</v>
      </c>
      <c r="W70" s="38">
        <f>AVERAGE(K70:V70)</f>
        <v>29.784223567751553</v>
      </c>
      <c r="X70" s="37">
        <f>STDEV(K70:V70)/SQRT(COUNT(K70:V70))</f>
        <v>0.18669576990112449</v>
      </c>
      <c r="Y70" s="36">
        <f>MIN(K70:V70)</f>
        <v>28.776223323139998</v>
      </c>
      <c r="Z70" s="35">
        <f>QUARTILE(K70:V70,1)</f>
        <v>29.435644800856252</v>
      </c>
      <c r="AA70" s="36">
        <f>MEDIAN(K70:V70)</f>
        <v>29.898648906099741</v>
      </c>
      <c r="AB70" s="35">
        <f>QUARTILE(K70:V70,3)</f>
        <v>30.117621261714348</v>
      </c>
      <c r="AC70" s="35">
        <f>MAX(K70:V70)</f>
        <v>30.821740587469471</v>
      </c>
      <c r="AD70" s="35">
        <f>SKEW(K70:V70)</f>
        <v>-0.16629810834371592</v>
      </c>
      <c r="AE70" s="35">
        <f>KURT(K70:V70)</f>
        <v>-0.82614703294298542</v>
      </c>
    </row>
    <row r="71" spans="2:31" x14ac:dyDescent="0.2">
      <c r="B71" s="34">
        <f>[33]FormattedData!A73</f>
        <v>306</v>
      </c>
      <c r="C71" s="34" t="str">
        <f>VLOOKUP($B71,[33]TrtCodes!$B$11:I116,2)</f>
        <v>FTL</v>
      </c>
      <c r="D71" s="34">
        <f>VLOOKUP($B71,[33]TrtCodes!$B$11:J116,3)</f>
        <v>4</v>
      </c>
      <c r="E71" s="34">
        <f>VLOOKUP($B71,[33]TrtCodes!$B$11:K116,4)</f>
        <v>1</v>
      </c>
      <c r="F71" s="34">
        <f>VLOOKUP($B71,[33]TrtCodes!$B$11:L116,5)</f>
        <v>2</v>
      </c>
      <c r="G71" s="34">
        <f>VLOOKUP($B71,[33]TrtCodes!$B$11:M116,6)</f>
        <v>1</v>
      </c>
      <c r="H71" s="34">
        <f>VLOOKUP($B71,[33]TrtCodes!$B$11:N116,7)</f>
        <v>4</v>
      </c>
      <c r="I71" s="34">
        <f>[33]FormattedData!B73</f>
        <v>2</v>
      </c>
      <c r="J71" s="37">
        <f>[33]FormattedData!C73</f>
        <v>13.282999999999999</v>
      </c>
      <c r="K71" s="39">
        <f>$J$3+[33]FormattedData!D73*$J$4+$M$4*$J$5+[33]FormattedData!D73^2*$J$6+$M$5*$J$7</f>
        <v>28.482484903727411</v>
      </c>
      <c r="L71" s="39">
        <f>$J$3+[33]FormattedData!E73*$J$4+$M$4*$J$5+[33]FormattedData!E73^2*$J$6+$M$5*$J$7</f>
        <v>28.678352785207068</v>
      </c>
      <c r="M71" s="39">
        <f>$J$3+[33]FormattedData!F73*$J$4+$M$4*$J$5+[33]FormattedData!F73^2*$J$6+$M$5*$J$7</f>
        <v>28.286447948096029</v>
      </c>
      <c r="N71" s="39">
        <f>$J$3+[33]FormattedData!G73*$J$4+$M$4*$J$5+[33]FormattedData!G73^2*$J$6+$M$5*$J$7</f>
        <v>28.776223323139998</v>
      </c>
      <c r="O71" s="39">
        <f>$J$3+[33]FormattedData!H73*$J$4+$M$4*$J$5+[33]FormattedData!H73^2*$J$6+$M$5*$J$7</f>
        <v>28.776223323139998</v>
      </c>
      <c r="P71" s="39">
        <f>$J$3+[33]FormattedData!I73*$J$4+$M$4*$J$5+[33]FormattedData!I73^2*$J$6+$M$5*$J$7</f>
        <v>28.286447948096029</v>
      </c>
      <c r="Q71" s="39">
        <f>$J$3+[33]FormattedData!J73*$J$4+$M$4*$J$5+[33]FormattedData!J73^2*$J$6+$M$5*$J$7</f>
        <v>27.697322636291538</v>
      </c>
      <c r="R71" s="39">
        <f>$J$3+[33]FormattedData!K73*$J$4+$M$4*$J$5+[33]FormattedData!K73^2*$J$6+$M$5*$J$7</f>
        <v>28.776223323139998</v>
      </c>
      <c r="S71" s="39">
        <f>$J$3+[33]FormattedData!L73*$J$4+$M$4*$J$5+[33]FormattedData!L73^2*$J$6+$M$5*$J$7</f>
        <v>30.433555381696376</v>
      </c>
      <c r="T71" s="39">
        <f>$J$3+[33]FormattedData!M73*$J$4+$M$4*$J$5+[33]FormattedData!M73^2*$J$6+$M$5*$J$7</f>
        <v>29.460133569608448</v>
      </c>
      <c r="U71" s="39">
        <f>$J$3+[33]FormattedData!N73*$J$4+$M$4*$J$5+[33]FormattedData!N73^2*$J$6+$M$5*$J$7</f>
        <v>28.482484903727411</v>
      </c>
      <c r="V71" s="39">
        <f>$J$3+[33]FormattedData!O73*$J$4+$M$4*$J$5+[33]FormattedData!O73^2*$J$6+$M$5*$J$7</f>
        <v>30.044693879316377</v>
      </c>
      <c r="W71" s="38">
        <f>AVERAGE(K71:V71)</f>
        <v>28.848382827098888</v>
      </c>
      <c r="X71" s="37">
        <f>STDEV(K71:V71)/SQRT(COUNT(K71:V71))</f>
        <v>0.22338555624689263</v>
      </c>
      <c r="Y71" s="36">
        <f>MIN(K71:V71)</f>
        <v>27.697322636291538</v>
      </c>
      <c r="Z71" s="35">
        <f>QUARTILE(K71:V71,1)</f>
        <v>28.433475664819564</v>
      </c>
      <c r="AA71" s="36">
        <f>MEDIAN(K71:V71)</f>
        <v>28.727288054173535</v>
      </c>
      <c r="AB71" s="35">
        <f>QUARTILE(K71:V71,3)</f>
        <v>28.947200884757109</v>
      </c>
      <c r="AC71" s="35">
        <f>MAX(K71:V71)</f>
        <v>30.433555381696376</v>
      </c>
      <c r="AD71" s="35">
        <f>SKEW(K71:V71)</f>
        <v>0.92762945079654147</v>
      </c>
      <c r="AE71" s="35">
        <f>KURT(K71:V71)</f>
        <v>0.57820214873589659</v>
      </c>
    </row>
    <row r="72" spans="2:31" x14ac:dyDescent="0.2">
      <c r="B72" s="34">
        <f>[33]FormattedData!A75</f>
        <v>307</v>
      </c>
      <c r="C72" s="34" t="str">
        <f>VLOOKUP($B72,[33]TrtCodes!$B$11:I118,2)</f>
        <v>NTH</v>
      </c>
      <c r="D72" s="34">
        <f>VLOOKUP($B72,[33]TrtCodes!$B$11:J118,3)</f>
        <v>9</v>
      </c>
      <c r="E72" s="34">
        <f>VLOOKUP($B72,[33]TrtCodes!$B$11:K118,4)</f>
        <v>2</v>
      </c>
      <c r="F72" s="34">
        <f>VLOOKUP($B72,[33]TrtCodes!$B$11:L118,5)</f>
        <v>2</v>
      </c>
      <c r="G72" s="34">
        <f>VLOOKUP($B72,[33]TrtCodes!$B$11:M118,6)</f>
        <v>2</v>
      </c>
      <c r="H72" s="34">
        <f>VLOOKUP($B72,[33]TrtCodes!$B$11:N118,7)</f>
        <v>4</v>
      </c>
      <c r="I72" s="34">
        <f>[33]FormattedData!B75</f>
        <v>2</v>
      </c>
      <c r="J72" s="37">
        <f>[33]FormattedData!C75</f>
        <v>13.3</v>
      </c>
      <c r="K72" s="39">
        <f>$J$3+[33]FormattedData!D75*$J$4+$M$4*$J$5+[33]FormattedData!D75^2*$J$6+$M$5*$J$7</f>
        <v>30.044693879316377</v>
      </c>
      <c r="L72" s="39">
        <f>$J$3+[33]FormattedData!E75*$J$4+$M$4*$J$5+[33]FormattedData!E75^2*$J$6+$M$5*$J$7</f>
        <v>29.362558911441035</v>
      </c>
      <c r="M72" s="39">
        <f>$J$3+[33]FormattedData!F75*$J$4+$M$4*$J$5+[33]FormattedData!F75^2*$J$6+$M$5*$J$7</f>
        <v>28.384487560180684</v>
      </c>
      <c r="N72" s="39">
        <f>$J$3+[33]FormattedData!G75*$J$4+$M$4*$J$5+[33]FormattedData!G75^2*$J$6+$M$5*$J$7</f>
        <v>29.167282789492415</v>
      </c>
      <c r="O72" s="39">
        <f>$J$3+[33]FormattedData!H75*$J$4+$M$4*$J$5+[33]FormattedData!H75^2*$J$6+$M$5*$J$7</f>
        <v>29.069581325711209</v>
      </c>
      <c r="P72" s="39">
        <f>$J$3+[33]FormattedData!I75*$J$4+$M$4*$J$5+[33]FormattedData!I75^2*$J$6+$M$5*$J$7</f>
        <v>29.752603932883105</v>
      </c>
      <c r="Q72" s="39">
        <f>$J$3+[33]FormattedData!J75*$J$4+$M$4*$J$5+[33]FormattedData!J75^2*$J$6+$M$5*$J$7</f>
        <v>29.65515608032948</v>
      </c>
      <c r="R72" s="39">
        <f>$J$3+[33]FormattedData!K75*$J$4+$M$4*$J$5+[33]FormattedData!K75^2*$J$6+$M$5*$J$7</f>
        <v>28.482484903727411</v>
      </c>
      <c r="S72" s="39">
        <f>$J$3+[33]FormattedData!L75*$J$4+$M$4*$J$5+[33]FormattedData!L75^2*$J$6+$M$5*$J$7</f>
        <v>29.069581325711209</v>
      </c>
      <c r="T72" s="39">
        <f>$J$3+[33]FormattedData!M75*$J$4+$M$4*$J$5+[33]FormattedData!M75^2*$J$6+$M$5*$J$7</f>
        <v>31.596082109194974</v>
      </c>
      <c r="U72" s="39">
        <f>$J$3+[33]FormattedData!N75*$J$4+$M$4*$J$5+[33]FormattedData!N75^2*$J$6+$M$5*$J$7</f>
        <v>28.580439978736205</v>
      </c>
      <c r="V72" s="39">
        <f>$J$3+[33]FormattedData!O75*$J$4+$M$4*$J$5+[33]FormattedData!O75^2*$J$6+$M$5*$J$7</f>
        <v>26.909455182428072</v>
      </c>
      <c r="W72" s="38">
        <f>AVERAGE(K72:V72)</f>
        <v>29.172867331596013</v>
      </c>
      <c r="X72" s="37">
        <f>STDEV(K72:V72)/SQRT(COUNT(K72:V72))</f>
        <v>0.32368935864045151</v>
      </c>
      <c r="Y72" s="36">
        <f>MIN(K72:V72)</f>
        <v>26.909455182428072</v>
      </c>
      <c r="Z72" s="35">
        <f>QUARTILE(K72:V72,1)</f>
        <v>28.555951209984006</v>
      </c>
      <c r="AA72" s="36">
        <f>MEDIAN(K72:V72)</f>
        <v>29.118432057601812</v>
      </c>
      <c r="AB72" s="35">
        <f>QUARTILE(K72:V72,3)</f>
        <v>29.679518043467887</v>
      </c>
      <c r="AC72" s="35">
        <f>MAX(K72:V72)</f>
        <v>31.596082109194974</v>
      </c>
      <c r="AD72" s="35">
        <f>SKEW(K72:V72)</f>
        <v>0.19970531162833086</v>
      </c>
      <c r="AE72" s="35">
        <f>KURT(K72:V72)</f>
        <v>2.1676833414253842</v>
      </c>
    </row>
    <row r="73" spans="2:31" x14ac:dyDescent="0.2">
      <c r="B73" s="34">
        <f>[33]FormattedData!A77</f>
        <v>308</v>
      </c>
      <c r="C73" s="34" t="str">
        <f>VLOOKUP($B73,[33]TrtCodes!$B$11:I120,2)</f>
        <v>FDH</v>
      </c>
      <c r="D73" s="34">
        <f>VLOOKUP($B73,[33]TrtCodes!$B$11:J120,3)</f>
        <v>5</v>
      </c>
      <c r="E73" s="34">
        <f>VLOOKUP($B73,[33]TrtCodes!$B$11:K120,4)</f>
        <v>1</v>
      </c>
      <c r="F73" s="34">
        <f>VLOOKUP($B73,[33]TrtCodes!$B$11:L120,5)</f>
        <v>3</v>
      </c>
      <c r="G73" s="34">
        <f>VLOOKUP($B73,[33]TrtCodes!$B$11:M120,6)</f>
        <v>2</v>
      </c>
      <c r="H73" s="34">
        <f>VLOOKUP($B73,[33]TrtCodes!$B$11:N120,7)</f>
        <v>4</v>
      </c>
      <c r="I73" s="34">
        <f>[33]FormattedData!B77</f>
        <v>2</v>
      </c>
      <c r="J73" s="37">
        <f>[33]FormattedData!C77</f>
        <v>13.316000000000001</v>
      </c>
      <c r="K73" s="39">
        <f>$J$3+[33]FormattedData!D77*$J$4+$M$4*$J$5+[33]FormattedData!D77^2*$J$6+$M$5*$J$7</f>
        <v>28.874051592535</v>
      </c>
      <c r="L73" s="39">
        <f>$J$3+[33]FormattedData!E77*$J$4+$M$4*$J$5+[33]FormattedData!E77^2*$J$6+$M$5*$J$7</f>
        <v>29.557665959237934</v>
      </c>
      <c r="M73" s="39">
        <f>$J$3+[33]FormattedData!F77*$J$4+$M$4*$J$5+[33]FormattedData!F77^2*$J$6+$M$5*$J$7</f>
        <v>27.303727057663256</v>
      </c>
      <c r="N73" s="39">
        <f>$J$3+[33]FormattedData!G77*$J$4+$M$4*$J$5+[33]FormattedData!G77^2*$J$6+$M$5*$J$7</f>
        <v>28.384487560180684</v>
      </c>
      <c r="O73" s="39">
        <f>$J$3+[33]FormattedData!H77*$J$4+$M$4*$J$5+[33]FormattedData!H77^2*$J$6+$M$5*$J$7</f>
        <v>28.776223323139998</v>
      </c>
      <c r="P73" s="39">
        <f>$J$3+[33]FormattedData!I77*$J$4+$M$4*$J$5+[33]FormattedData!I77^2*$J$6+$M$5*$J$7</f>
        <v>29.460133569608448</v>
      </c>
      <c r="Q73" s="39">
        <f>$J$3+[33]FormattedData!J77*$J$4+$M$4*$J$5+[33]FormattedData!J77^2*$J$6+$M$5*$J$7</f>
        <v>29.65515608032948</v>
      </c>
      <c r="R73" s="39">
        <f>$J$3+[33]FormattedData!K77*$J$4+$M$4*$J$5+[33]FormattedData!K77^2*$J$6+$M$5*$J$7</f>
        <v>28.678352785207068</v>
      </c>
      <c r="S73" s="39">
        <f>$J$3+[33]FormattedData!L77*$J$4+$M$4*$J$5+[33]FormattedData!L77^2*$J$6+$M$5*$J$7</f>
        <v>30.14197265771827</v>
      </c>
      <c r="T73" s="39">
        <f>$J$3+[33]FormattedData!M77*$J$4+$M$4*$J$5+[33]FormattedData!M77^2*$J$6+$M$5*$J$7</f>
        <v>28.384487560180684</v>
      </c>
      <c r="U73" s="39">
        <f>$J$3+[33]FormattedData!N77*$J$4+$M$4*$J$5+[33]FormattedData!N77^2*$J$6+$M$5*$J$7</f>
        <v>29.752603932883105</v>
      </c>
      <c r="V73" s="39">
        <f>$J$3+[33]FormattedData!O77*$J$4+$M$4*$J$5+[33]FormattedData!O77^2*$J$6+$M$5*$J$7</f>
        <v>26.810781542274452</v>
      </c>
      <c r="W73" s="38">
        <f>AVERAGE(K73:V73)</f>
        <v>28.814970301746531</v>
      </c>
      <c r="X73" s="37">
        <f>STDEV(K73:V73)/SQRT(COUNT(K73:V73))</f>
        <v>0.28878995833231036</v>
      </c>
      <c r="Y73" s="36">
        <f>MIN(K73:V73)</f>
        <v>26.810781542274452</v>
      </c>
      <c r="Z73" s="35">
        <f>QUARTILE(K73:V73,1)</f>
        <v>28.384487560180684</v>
      </c>
      <c r="AA73" s="36">
        <f>MEDIAN(K73:V73)</f>
        <v>28.825137457837499</v>
      </c>
      <c r="AB73" s="35">
        <f>QUARTILE(K73:V73,3)</f>
        <v>29.582038489510822</v>
      </c>
      <c r="AC73" s="35">
        <f>MAX(K73:V73)</f>
        <v>30.14197265771827</v>
      </c>
      <c r="AD73" s="35">
        <f>SKEW(K73:V73)</f>
        <v>-0.78793791985477757</v>
      </c>
      <c r="AE73" s="35">
        <f>KURT(K73:V73)</f>
        <v>9.9466922674956493E-2</v>
      </c>
    </row>
    <row r="74" spans="2:31" x14ac:dyDescent="0.2">
      <c r="B74" s="34">
        <f>[33]FormattedData!A93</f>
        <v>401</v>
      </c>
      <c r="C74" s="34" t="str">
        <f>VLOOKUP($B74,[33]TrtCodes!$B$11:I130,2)</f>
        <v>NSH</v>
      </c>
      <c r="D74" s="34">
        <f>VLOOKUP($B74,[33]TrtCodes!$B$11:J130,3)</f>
        <v>7</v>
      </c>
      <c r="E74" s="34">
        <f>VLOOKUP($B74,[33]TrtCodes!$B$11:K130,4)</f>
        <v>2</v>
      </c>
      <c r="F74" s="34">
        <f>VLOOKUP($B74,[33]TrtCodes!$B$11:L130,5)</f>
        <v>1</v>
      </c>
      <c r="G74" s="34">
        <f>VLOOKUP($B74,[33]TrtCodes!$B$11:M130,6)</f>
        <v>2</v>
      </c>
      <c r="H74" s="34">
        <f>VLOOKUP($B74,[33]TrtCodes!$B$11:N130,7)</f>
        <v>3</v>
      </c>
      <c r="I74" s="34">
        <f>[33]FormattedData!B93</f>
        <v>2</v>
      </c>
      <c r="J74" s="37">
        <f>[33]FormattedData!C93</f>
        <v>13.461</v>
      </c>
      <c r="K74" s="39">
        <f>$J$3+[33]FormattedData!D93*$J$4+$M$4*$J$5+[33]FormattedData!D93^2*$J$6+$M$5*$J$7</f>
        <v>31.015579579128431</v>
      </c>
      <c r="L74" s="39">
        <f>$J$3+[33]FormattedData!E93*$J$4+$M$4*$J$5+[33]FormattedData!E93^2*$J$6+$M$5*$J$7</f>
        <v>29.65515608032948</v>
      </c>
      <c r="M74" s="39">
        <f>$J$3+[33]FormattedData!F93*$J$4+$M$4*$J$5+[33]FormattedData!F93^2*$J$6+$M$5*$J$7</f>
        <v>31.596082109194974</v>
      </c>
      <c r="N74" s="39">
        <f>$J$3+[33]FormattedData!G93*$J$4+$M$4*$J$5+[33]FormattedData!G93^2*$J$6+$M$5*$J$7</f>
        <v>30.336403408908268</v>
      </c>
      <c r="O74" s="39">
        <f>$J$3+[33]FormattedData!H93*$J$4+$M$4*$J$5+[33]FormattedData!H93^2*$J$6+$M$5*$J$7</f>
        <v>33.99846359269057</v>
      </c>
      <c r="P74" s="39">
        <f>$J$3+[33]FormattedData!I93*$J$4+$M$4*$J$5+[33]FormattedData!I93^2*$J$6+$M$5*$J$7</f>
        <v>31.209249496635671</v>
      </c>
      <c r="Q74" s="39">
        <f>$J$3+[33]FormattedData!J93*$J$4+$M$4*$J$5+[33]FormattedData!J93^2*$J$6+$M$5*$J$7</f>
        <v>30.14197265771827</v>
      </c>
      <c r="R74" s="39">
        <f>$J$3+[33]FormattedData!K93*$J$4+$M$4*$J$5+[33]FormattedData!K93^2*$J$6+$M$5*$J$7</f>
        <v>28.678352785207068</v>
      </c>
      <c r="S74" s="39">
        <f>$J$3+[33]FormattedData!L93*$J$4+$M$4*$J$5+[33]FormattedData!L93^2*$J$6+$M$5*$J$7</f>
        <v>32.36771844449288</v>
      </c>
      <c r="T74" s="39">
        <f>$J$3+[33]FormattedData!M93*$J$4+$M$4*$J$5+[33]FormattedData!M93^2*$J$6+$M$5*$J$7</f>
        <v>31.596082109194974</v>
      </c>
      <c r="U74" s="39">
        <f>$J$3+[33]FormattedData!N93*$J$4+$M$4*$J$5+[33]FormattedData!N93^2*$J$6+$M$5*$J$7</f>
        <v>31.112435672151012</v>
      </c>
      <c r="V74" s="39">
        <f>$J$3+[33]FormattedData!O93*$J$4+$M$4*$J$5+[33]FormattedData!O93^2*$J$6+$M$5*$J$7</f>
        <v>31.112435672151012</v>
      </c>
      <c r="W74" s="38">
        <f>AVERAGE(K74:V74)</f>
        <v>31.068327633983557</v>
      </c>
      <c r="X74" s="37">
        <f>STDEV(K74:V74)/SQRT(COUNT(K74:V74))</f>
        <v>0.38886563256424961</v>
      </c>
      <c r="Y74" s="36">
        <f>MIN(K74:V74)</f>
        <v>28.678352785207068</v>
      </c>
      <c r="Z74" s="35">
        <f>QUARTILE(K74:V74,1)</f>
        <v>30.287795721110768</v>
      </c>
      <c r="AA74" s="36">
        <f>MEDIAN(K74:V74)</f>
        <v>31.112435672151012</v>
      </c>
      <c r="AB74" s="35">
        <f>QUARTILE(K74:V74,3)</f>
        <v>31.596082109194974</v>
      </c>
      <c r="AC74" s="35">
        <f>MAX(K74:V74)</f>
        <v>33.99846359269057</v>
      </c>
      <c r="AD74" s="35">
        <f>SKEW(K74:V74)</f>
        <v>0.4457229709937624</v>
      </c>
      <c r="AE74" s="35">
        <f>KURT(K74:V74)</f>
        <v>1.4393248583948326</v>
      </c>
    </row>
    <row r="75" spans="2:31" x14ac:dyDescent="0.2">
      <c r="B75" s="34">
        <f>[33]FormattedData!A91</f>
        <v>402</v>
      </c>
      <c r="C75" s="34" t="str">
        <f>VLOOKUP($B75,[33]TrtCodes!$B$11:I131,2)</f>
        <v>NTH</v>
      </c>
      <c r="D75" s="34">
        <f>VLOOKUP($B75,[33]TrtCodes!$B$11:J131,3)</f>
        <v>9</v>
      </c>
      <c r="E75" s="34">
        <f>VLOOKUP($B75,[33]TrtCodes!$B$11:K131,4)</f>
        <v>2</v>
      </c>
      <c r="F75" s="34">
        <f>VLOOKUP($B75,[33]TrtCodes!$B$11:L131,5)</f>
        <v>2</v>
      </c>
      <c r="G75" s="34">
        <f>VLOOKUP($B75,[33]TrtCodes!$B$11:M131,6)</f>
        <v>2</v>
      </c>
      <c r="H75" s="34">
        <f>VLOOKUP($B75,[33]TrtCodes!$B$11:N131,7)</f>
        <v>3</v>
      </c>
      <c r="I75" s="34">
        <f>[33]FormattedData!B91</f>
        <v>2</v>
      </c>
      <c r="J75" s="37">
        <f>[33]FormattedData!C91</f>
        <v>13.446</v>
      </c>
      <c r="K75" s="39">
        <f>$J$3+[33]FormattedData!D91*$J$4+$M$4*$J$5+[33]FormattedData!D91^2*$J$6+$M$5*$J$7</f>
        <v>30.433555381696376</v>
      </c>
      <c r="L75" s="39">
        <f>$J$3+[33]FormattedData!E91*$J$4+$M$4*$J$5+[33]FormattedData!E91^2*$J$6+$M$5*$J$7</f>
        <v>30.336403408908268</v>
      </c>
      <c r="M75" s="39">
        <f>$J$3+[33]FormattedData!F91*$J$4+$M$4*$J$5+[33]FormattedData!F91^2*$J$6+$M$5*$J$7</f>
        <v>29.460133569608448</v>
      </c>
      <c r="N75" s="39">
        <f>$J$3+[33]FormattedData!G91*$J$4+$M$4*$J$5+[33]FormattedData!G91^2*$J$6+$M$5*$J$7</f>
        <v>30.044693879316377</v>
      </c>
      <c r="O75" s="39">
        <f>$J$3+[33]FormattedData!H91*$J$4+$M$4*$J$5+[33]FormattedData!H91^2*$J$6+$M$5*$J$7</f>
        <v>29.460133569608448</v>
      </c>
      <c r="P75" s="39">
        <f>$J$3+[33]FormattedData!I91*$J$4+$M$4*$J$5+[33]FormattedData!I91^2*$J$6+$M$5*$J$7</f>
        <v>31.596082109194974</v>
      </c>
      <c r="Q75" s="39">
        <f>$J$3+[33]FormattedData!J91*$J$4+$M$4*$J$5+[33]FormattedData!J91^2*$J$6+$M$5*$J$7</f>
        <v>31.209249496635671</v>
      </c>
      <c r="R75" s="39">
        <f>$J$3+[33]FormattedData!K91*$J$4+$M$4*$J$5+[33]FormattedData!K91^2*$J$6+$M$5*$J$7</f>
        <v>29.460133569608448</v>
      </c>
      <c r="S75" s="39">
        <f>$J$3+[33]FormattedData!L91*$J$4+$M$4*$J$5+[33]FormattedData!L91^2*$J$6+$M$5*$J$7</f>
        <v>29.069581325711209</v>
      </c>
      <c r="T75" s="39">
        <f>$J$3+[33]FormattedData!M91*$J$4+$M$4*$J$5+[33]FormattedData!M91^2*$J$6+$M$5*$J$7</f>
        <v>29.85000951689879</v>
      </c>
      <c r="U75" s="39">
        <f>$J$3+[33]FormattedData!N91*$J$4+$M$4*$J$5+[33]FormattedData!N91^2*$J$6+$M$5*$J$7</f>
        <v>29.167282789492415</v>
      </c>
      <c r="V75" s="39">
        <f>$J$3+[33]FormattedData!O91*$J$4+$M$4*$J$5+[33]FormattedData!O91^2*$J$6+$M$5*$J$7</f>
        <v>28.286447948096029</v>
      </c>
      <c r="W75" s="38">
        <f>AVERAGE(K75:V75)</f>
        <v>29.864475547064625</v>
      </c>
      <c r="X75" s="37">
        <f>STDEV(K75:V75)/SQRT(COUNT(K75:V75))</f>
        <v>0.26805580761364528</v>
      </c>
      <c r="Y75" s="36">
        <f>MIN(K75:V75)</f>
        <v>28.286447948096029</v>
      </c>
      <c r="Z75" s="35">
        <f>QUARTILE(K75:V75,1)</f>
        <v>29.386920874579438</v>
      </c>
      <c r="AA75" s="36">
        <f>MEDIAN(K75:V75)</f>
        <v>29.655071543253619</v>
      </c>
      <c r="AB75" s="35">
        <f>QUARTILE(K75:V75,3)</f>
        <v>30.360691402105296</v>
      </c>
      <c r="AC75" s="35">
        <f>MAX(K75:V75)</f>
        <v>31.596082109194974</v>
      </c>
      <c r="AD75" s="35">
        <f>SKEW(K75:V75)</f>
        <v>0.40198152045256363</v>
      </c>
      <c r="AE75" s="35">
        <f>KURT(K75:V75)</f>
        <v>6.4297352811540698E-2</v>
      </c>
    </row>
    <row r="76" spans="2:31" x14ac:dyDescent="0.2">
      <c r="B76" s="34">
        <f>[33]FormattedData!A89</f>
        <v>403</v>
      </c>
      <c r="C76" s="34" t="str">
        <f>VLOOKUP($B76,[33]TrtCodes!$B$11:I132,2)</f>
        <v>FDL</v>
      </c>
      <c r="D76" s="34">
        <f>VLOOKUP($B76,[33]TrtCodes!$B$11:J132,3)</f>
        <v>6</v>
      </c>
      <c r="E76" s="34">
        <f>VLOOKUP($B76,[33]TrtCodes!$B$11:K132,4)</f>
        <v>1</v>
      </c>
      <c r="F76" s="34">
        <f>VLOOKUP($B76,[33]TrtCodes!$B$11:L132,5)</f>
        <v>3</v>
      </c>
      <c r="G76" s="34">
        <f>VLOOKUP($B76,[33]TrtCodes!$B$11:M132,6)</f>
        <v>1</v>
      </c>
      <c r="H76" s="34">
        <f>VLOOKUP($B76,[33]TrtCodes!$B$11:N132,7)</f>
        <v>3</v>
      </c>
      <c r="I76" s="34">
        <f>[33]FormattedData!B89</f>
        <v>2</v>
      </c>
      <c r="J76" s="37">
        <f>[33]FormattedData!C89</f>
        <v>13.429</v>
      </c>
      <c r="K76" s="39">
        <f>$J$3+[33]FormattedData!D89*$J$4+$M$4*$J$5+[33]FormattedData!D89^2*$J$6+$M$5*$J$7</f>
        <v>29.362558911441035</v>
      </c>
      <c r="L76" s="39">
        <f>$J$3+[33]FormattedData!E89*$J$4+$M$4*$J$5+[33]FormattedData!E89^2*$J$6+$M$5*$J$7</f>
        <v>27.697322636291538</v>
      </c>
      <c r="M76" s="39">
        <f>$J$3+[33]FormattedData!F89*$J$4+$M$4*$J$5+[33]FormattedData!F89^2*$J$6+$M$5*$J$7</f>
        <v>29.167282789492415</v>
      </c>
      <c r="N76" s="39">
        <f>$J$3+[33]FormattedData!G89*$J$4+$M$4*$J$5+[33]FormattedData!G89^2*$J$6+$M$5*$J$7</f>
        <v>29.65515608032948</v>
      </c>
      <c r="O76" s="39">
        <f>$J$3+[33]FormattedData!H89*$J$4+$M$4*$J$5+[33]FormattedData!H89^2*$J$6+$M$5*$J$7</f>
        <v>29.069581325711209</v>
      </c>
      <c r="P76" s="39">
        <f>$J$3+[33]FormattedData!I89*$J$4+$M$4*$J$5+[33]FormattedData!I89^2*$J$6+$M$5*$J$7</f>
        <v>27.697322636291538</v>
      </c>
      <c r="Q76" s="39">
        <f>$J$3+[33]FormattedData!J89*$J$4+$M$4*$J$5+[33]FormattedData!J89^2*$J$6+$M$5*$J$7</f>
        <v>29.167282789492415</v>
      </c>
      <c r="R76" s="39">
        <f>$J$3+[33]FormattedData!K89*$J$4+$M$4*$J$5+[33]FormattedData!K89^2*$J$6+$M$5*$J$7</f>
        <v>28.286447948096029</v>
      </c>
      <c r="S76" s="39">
        <f>$J$3+[33]FormattedData!L89*$J$4+$M$4*$J$5+[33]FormattedData!L89^2*$J$6+$M$5*$J$7</f>
        <v>29.167282789492415</v>
      </c>
      <c r="T76" s="39">
        <f>$J$3+[33]FormattedData!M89*$J$4+$M$4*$J$5+[33]FormattedData!M89^2*$J$6+$M$5*$J$7</f>
        <v>28.482484903727411</v>
      </c>
      <c r="U76" s="39">
        <f>$J$3+[33]FormattedData!N89*$J$4+$M$4*$J$5+[33]FormattedData!N89^2*$J$6+$M$5*$J$7</f>
        <v>30.918681217567919</v>
      </c>
      <c r="V76" s="39">
        <f>$J$3+[33]FormattedData!O89*$J$4+$M$4*$J$5+[33]FormattedData!O89^2*$J$6+$M$5*$J$7</f>
        <v>30.336403408908268</v>
      </c>
      <c r="W76" s="38">
        <f>AVERAGE(K76:V76)</f>
        <v>29.083983953070135</v>
      </c>
      <c r="X76" s="37">
        <f>STDEV(K76:V76)/SQRT(COUNT(K76:V76))</f>
        <v>0.27802138674984034</v>
      </c>
      <c r="Y76" s="36">
        <f>MIN(K76:V76)</f>
        <v>27.697322636291538</v>
      </c>
      <c r="Z76" s="35">
        <f>QUARTILE(K76:V76,1)</f>
        <v>28.433475664819564</v>
      </c>
      <c r="AA76" s="36">
        <f>MEDIAN(K76:V76)</f>
        <v>29.167282789492415</v>
      </c>
      <c r="AB76" s="35">
        <f>QUARTILE(K76:V76,3)</f>
        <v>29.435708203663147</v>
      </c>
      <c r="AC76" s="35">
        <f>MAX(K76:V76)</f>
        <v>30.918681217567919</v>
      </c>
      <c r="AD76" s="35">
        <f>SKEW(K76:V76)</f>
        <v>0.27994999380298824</v>
      </c>
      <c r="AE76" s="35">
        <f>KURT(K76:V76)</f>
        <v>-3.4423478674857844E-2</v>
      </c>
    </row>
    <row r="77" spans="2:31" x14ac:dyDescent="0.2">
      <c r="B77" s="34">
        <f>[33]FormattedData!A87</f>
        <v>404</v>
      </c>
      <c r="C77" s="34" t="str">
        <f>VLOOKUP($B77,[33]TrtCodes!$B$11:I130,2)</f>
        <v>FTH</v>
      </c>
      <c r="D77" s="34">
        <f>VLOOKUP($B77,[33]TrtCodes!$B$11:J130,3)</f>
        <v>3</v>
      </c>
      <c r="E77" s="34">
        <f>VLOOKUP($B77,[33]TrtCodes!$B$11:K130,4)</f>
        <v>1</v>
      </c>
      <c r="F77" s="34">
        <f>VLOOKUP($B77,[33]TrtCodes!$B$11:L130,5)</f>
        <v>2</v>
      </c>
      <c r="G77" s="34">
        <f>VLOOKUP($B77,[33]TrtCodes!$B$11:M130,6)</f>
        <v>2</v>
      </c>
      <c r="H77" s="34">
        <f>VLOOKUP($B77,[33]TrtCodes!$B$11:N130,7)</f>
        <v>3</v>
      </c>
      <c r="I77" s="34">
        <f>[33]FormattedData!B87</f>
        <v>2</v>
      </c>
      <c r="J77" s="37">
        <f>[33]FormattedData!C87</f>
        <v>13.411</v>
      </c>
      <c r="K77" s="39">
        <f>$J$3+[33]FormattedData!D87*$J$4+$M$4*$J$5+[33]FormattedData!D87^2*$J$6+$M$5*$J$7</f>
        <v>31.596082109194974</v>
      </c>
      <c r="L77" s="39">
        <f>$J$3+[33]FormattedData!E87*$J$4+$M$4*$J$5+[33]FormattedData!E87^2*$J$6+$M$5*$J$7</f>
        <v>31.499437358862043</v>
      </c>
      <c r="M77" s="39">
        <f>$J$3+[33]FormattedData!F87*$J$4+$M$4*$J$5+[33]FormattedData!F87^2*$J$6+$M$5*$J$7</f>
        <v>29.069581325711209</v>
      </c>
      <c r="N77" s="39">
        <f>$J$3+[33]FormattedData!G87*$J$4+$M$4*$J$5+[33]FormattedData!G87^2*$J$6+$M$5*$J$7</f>
        <v>29.069581325711209</v>
      </c>
      <c r="O77" s="39">
        <f>$J$3+[33]FormattedData!H87*$J$4+$M$4*$J$5+[33]FormattedData!H87^2*$J$6+$M$5*$J$7</f>
        <v>29.362558911441035</v>
      </c>
      <c r="P77" s="39">
        <f>$J$3+[33]FormattedData!I87*$J$4+$M$4*$J$5+[33]FormattedData!I87^2*$J$6+$M$5*$J$7</f>
        <v>30.044693879316377</v>
      </c>
      <c r="Q77" s="39">
        <f>$J$3+[33]FormattedData!J87*$J$4+$M$4*$J$5+[33]FormattedData!J87^2*$J$6+$M$5*$J$7</f>
        <v>29.947372832376555</v>
      </c>
      <c r="R77" s="39">
        <f>$J$3+[33]FormattedData!K87*$J$4+$M$4*$J$5+[33]FormattedData!K87^2*$J$6+$M$5*$J$7</f>
        <v>31.885762748966172</v>
      </c>
      <c r="S77" s="39">
        <f>$J$3+[33]FormattedData!L87*$J$4+$M$4*$J$5+[33]FormattedData!L87^2*$J$6+$M$5*$J$7</f>
        <v>30.433555381696376</v>
      </c>
      <c r="T77" s="39">
        <f>$J$3+[33]FormattedData!M87*$J$4+$M$4*$J$5+[33]FormattedData!M87^2*$J$6+$M$5*$J$7</f>
        <v>29.947372832376555</v>
      </c>
      <c r="U77" s="39">
        <f>$J$3+[33]FormattedData!N87*$J$4+$M$4*$J$5+[33]FormattedData!N87^2*$J$6+$M$5*$J$7</f>
        <v>29.947372832376555</v>
      </c>
      <c r="V77" s="39">
        <f>$J$3+[33]FormattedData!O87*$J$4+$M$4*$J$5+[33]FormattedData!O87^2*$J$6+$M$5*$J$7</f>
        <v>31.209249496635671</v>
      </c>
      <c r="W77" s="38">
        <f>AVERAGE(K77:V77)</f>
        <v>30.33438508622206</v>
      </c>
      <c r="X77" s="37">
        <f>STDEV(K77:V77)/SQRT(COUNT(K77:V77))</f>
        <v>0.28614974068961685</v>
      </c>
      <c r="Y77" s="36">
        <f>MIN(K77:V77)</f>
        <v>29.069581325711209</v>
      </c>
      <c r="Z77" s="35">
        <f>QUARTILE(K77:V77,1)</f>
        <v>29.801169352142676</v>
      </c>
      <c r="AA77" s="36">
        <f>MEDIAN(K77:V77)</f>
        <v>29.996033355846464</v>
      </c>
      <c r="AB77" s="35">
        <f>QUARTILE(K77:V77,3)</f>
        <v>31.281796462192265</v>
      </c>
      <c r="AC77" s="35">
        <f>MAX(K77:V77)</f>
        <v>31.885762748966172</v>
      </c>
      <c r="AD77" s="35">
        <f>SKEW(K77:V77)</f>
        <v>0.31714340147061559</v>
      </c>
      <c r="AE77" s="35">
        <f>KURT(K77:V77)</f>
        <v>-1.2849119535713527</v>
      </c>
    </row>
    <row r="78" spans="2:31" x14ac:dyDescent="0.2">
      <c r="B78" s="34">
        <f>[33]FormattedData!A85</f>
        <v>405</v>
      </c>
      <c r="C78" s="34" t="str">
        <f>VLOOKUP($B78,[33]TrtCodes!$B$11:I128,2)</f>
        <v>FDL</v>
      </c>
      <c r="D78" s="34">
        <f>VLOOKUP($B78,[33]TrtCodes!$B$11:J128,3)</f>
        <v>6</v>
      </c>
      <c r="E78" s="34">
        <f>VLOOKUP($B78,[33]TrtCodes!$B$11:K128,4)</f>
        <v>1</v>
      </c>
      <c r="F78" s="34">
        <f>VLOOKUP($B78,[33]TrtCodes!$B$11:L128,5)</f>
        <v>3</v>
      </c>
      <c r="G78" s="34">
        <f>VLOOKUP($B78,[33]TrtCodes!$B$11:M128,6)</f>
        <v>1</v>
      </c>
      <c r="H78" s="34">
        <f>VLOOKUP($B78,[33]TrtCodes!$B$11:N128,7)</f>
        <v>4</v>
      </c>
      <c r="I78" s="34">
        <f>[33]FormattedData!B85</f>
        <v>2</v>
      </c>
      <c r="J78" s="37">
        <f>[33]FormattedData!C85</f>
        <v>13.394</v>
      </c>
      <c r="K78" s="39">
        <f>$J$3+[33]FormattedData!D85*$J$4+$M$4*$J$5+[33]FormattedData!D85^2*$J$6+$M$5*$J$7</f>
        <v>30.821740587469471</v>
      </c>
      <c r="L78" s="39">
        <f>$J$3+[33]FormattedData!E85*$J$4+$M$4*$J$5+[33]FormattedData!E85^2*$J$6+$M$5*$J$7</f>
        <v>30.336403408908268</v>
      </c>
      <c r="M78" s="39">
        <f>$J$3+[33]FormattedData!F85*$J$4+$M$4*$J$5+[33]FormattedData!F85^2*$J$6+$M$5*$J$7</f>
        <v>30.14197265771827</v>
      </c>
      <c r="N78" s="39">
        <f>$J$3+[33]FormattedData!G85*$J$4+$M$4*$J$5+[33]FormattedData!G85^2*$J$6+$M$5*$J$7</f>
        <v>28.384487560180684</v>
      </c>
      <c r="O78" s="39">
        <f>$J$3+[33]FormattedData!H85*$J$4+$M$4*$J$5+[33]FormattedData!H85^2*$J$6+$M$5*$J$7</f>
        <v>28.580439978736205</v>
      </c>
      <c r="P78" s="39">
        <f>$J$3+[33]FormattedData!I85*$J$4+$M$4*$J$5+[33]FormattedData!I85^2*$J$6+$M$5*$J$7</f>
        <v>30.239209167582239</v>
      </c>
      <c r="Q78" s="39">
        <f>$J$3+[33]FormattedData!J85*$J$4+$M$4*$J$5+[33]FormattedData!J85^2*$J$6+$M$5*$J$7</f>
        <v>29.947372832376555</v>
      </c>
      <c r="R78" s="39">
        <f>$J$3+[33]FormattedData!K85*$J$4+$M$4*$J$5+[33]FormattedData!K85^2*$J$6+$M$5*$J$7</f>
        <v>27.40218935512722</v>
      </c>
      <c r="S78" s="39">
        <f>$J$3+[33]FormattedData!L85*$J$4+$M$4*$J$5+[33]FormattedData!L85^2*$J$6+$M$5*$J$7</f>
        <v>30.14197265771827</v>
      </c>
      <c r="T78" s="39">
        <f>$J$3+[33]FormattedData!M85*$J$4+$M$4*$J$5+[33]FormattedData!M85^2*$J$6+$M$5*$J$7</f>
        <v>29.167282789492415</v>
      </c>
      <c r="U78" s="39">
        <f>$J$3+[33]FormattedData!N85*$J$4+$M$4*$J$5+[33]FormattedData!N85^2*$J$6+$M$5*$J$7</f>
        <v>30.530665085946545</v>
      </c>
      <c r="V78" s="39">
        <f>$J$3+[33]FormattedData!O85*$J$4+$M$4*$J$5+[33]FormattedData!O85^2*$J$6+$M$5*$J$7</f>
        <v>29.167282789492415</v>
      </c>
      <c r="W78" s="38">
        <f>AVERAGE(K78:V78)</f>
        <v>29.571751572562377</v>
      </c>
      <c r="X78" s="37">
        <f>STDEV(K78:V78)/SQRT(COUNT(K78:V78))</f>
        <v>0.29810080608495948</v>
      </c>
      <c r="Y78" s="36">
        <f>MIN(K78:V78)</f>
        <v>27.40218935512722</v>
      </c>
      <c r="Z78" s="35">
        <f>QUARTILE(K78:V78,1)</f>
        <v>29.020572086803362</v>
      </c>
      <c r="AA78" s="36">
        <f>MEDIAN(K78:V78)</f>
        <v>30.044672745047414</v>
      </c>
      <c r="AB78" s="35">
        <f>QUARTILE(K78:V78,3)</f>
        <v>30.263507727913748</v>
      </c>
      <c r="AC78" s="35">
        <f>MAX(K78:V78)</f>
        <v>30.821740587469471</v>
      </c>
      <c r="AD78" s="35">
        <f>SKEW(K78:V78)</f>
        <v>-0.89052247639538007</v>
      </c>
      <c r="AE78" s="35">
        <f>KURT(K78:V78)</f>
        <v>1.5806176570852593E-2</v>
      </c>
    </row>
    <row r="79" spans="2:31" x14ac:dyDescent="0.2">
      <c r="B79" s="34">
        <f>[33]FormattedData!A83</f>
        <v>406</v>
      </c>
      <c r="C79" s="34" t="str">
        <f>VLOOKUP($B79,[33]TrtCodes!$B$11:I126,2)</f>
        <v>FTH</v>
      </c>
      <c r="D79" s="34">
        <f>VLOOKUP($B79,[33]TrtCodes!$B$11:J126,3)</f>
        <v>3</v>
      </c>
      <c r="E79" s="34">
        <f>VLOOKUP($B79,[33]TrtCodes!$B$11:K126,4)</f>
        <v>1</v>
      </c>
      <c r="F79" s="34">
        <f>VLOOKUP($B79,[33]TrtCodes!$B$11:L126,5)</f>
        <v>2</v>
      </c>
      <c r="G79" s="34">
        <f>VLOOKUP($B79,[33]TrtCodes!$B$11:M126,6)</f>
        <v>2</v>
      </c>
      <c r="H79" s="34">
        <f>VLOOKUP($B79,[33]TrtCodes!$B$11:N126,7)</f>
        <v>4</v>
      </c>
      <c r="I79" s="34">
        <f>[33]FormattedData!B83</f>
        <v>2</v>
      </c>
      <c r="J79" s="37">
        <f>[33]FormattedData!C83</f>
        <v>13.378</v>
      </c>
      <c r="K79" s="39">
        <f>$J$3+[33]FormattedData!D83*$J$4+$M$4*$J$5+[33]FormattedData!D83^2*$J$6+$M$5*$J$7</f>
        <v>29.362558911441035</v>
      </c>
      <c r="L79" s="39">
        <f>$J$3+[33]FormattedData!E83*$J$4+$M$4*$J$5+[33]FormattedData!E83^2*$J$6+$M$5*$J$7</f>
        <v>28.776223323139998</v>
      </c>
      <c r="M79" s="39">
        <f>$J$3+[33]FormattedData!F83*$J$4+$M$4*$J$5+[33]FormattedData!F83^2*$J$6+$M$5*$J$7</f>
        <v>28.580439978736205</v>
      </c>
      <c r="N79" s="39">
        <f>$J$3+[33]FormattedData!G83*$J$4+$M$4*$J$5+[33]FormattedData!G83^2*$J$6+$M$5*$J$7</f>
        <v>28.188366067473442</v>
      </c>
      <c r="O79" s="39">
        <f>$J$3+[33]FormattedData!H83*$J$4+$M$4*$J$5+[33]FormattedData!H83^2*$J$6+$M$5*$J$7</f>
        <v>29.264941984735692</v>
      </c>
      <c r="P79" s="39">
        <f>$J$3+[33]FormattedData!I83*$J$4+$M$4*$J$5+[33]FormattedData!I83^2*$J$6+$M$5*$J$7</f>
        <v>29.460133569608448</v>
      </c>
      <c r="Q79" s="39">
        <f>$J$3+[33]FormattedData!J83*$J$4+$M$4*$J$5+[33]FormattedData!J83^2*$J$6+$M$5*$J$7</f>
        <v>29.069581325711209</v>
      </c>
      <c r="R79" s="39">
        <f>$J$3+[33]FormattedData!K83*$J$4+$M$4*$J$5+[33]FormattedData!K83^2*$J$6+$M$5*$J$7</f>
        <v>28.384487560180684</v>
      </c>
      <c r="S79" s="39">
        <f>$J$3+[33]FormattedData!L83*$J$4+$M$4*$J$5+[33]FormattedData!L83^2*$J$6+$M$5*$J$7</f>
        <v>29.069581325711209</v>
      </c>
      <c r="T79" s="39">
        <f>$J$3+[33]FormattedData!M83*$J$4+$M$4*$J$5+[33]FormattedData!M83^2*$J$6+$M$5*$J$7</f>
        <v>29.65515608032948</v>
      </c>
      <c r="U79" s="39">
        <f>$J$3+[33]FormattedData!N83*$J$4+$M$4*$J$5+[33]FormattedData!N83^2*$J$6+$M$5*$J$7</f>
        <v>29.264941984735692</v>
      </c>
      <c r="V79" s="39">
        <f>$J$3+[33]FormattedData!O83*$J$4+$M$4*$J$5+[33]FormattedData!O83^2*$J$6+$M$5*$J$7</f>
        <v>28.874051592535</v>
      </c>
      <c r="W79" s="38">
        <f>AVERAGE(K79:V79)</f>
        <v>28.99587197536151</v>
      </c>
      <c r="X79" s="37">
        <f>STDEV(K79:V79)/SQRT(COUNT(K79:V79))</f>
        <v>0.12915351796935698</v>
      </c>
      <c r="Y79" s="36">
        <f>MIN(K79:V79)</f>
        <v>28.188366067473442</v>
      </c>
      <c r="Z79" s="35">
        <f>QUARTILE(K79:V79,1)</f>
        <v>28.72727748703905</v>
      </c>
      <c r="AA79" s="36">
        <f>MEDIAN(K79:V79)</f>
        <v>29.069581325711209</v>
      </c>
      <c r="AB79" s="35">
        <f>QUARTILE(K79:V79,3)</f>
        <v>29.289346216412028</v>
      </c>
      <c r="AC79" s="35">
        <f>MAX(K79:V79)</f>
        <v>29.65515608032948</v>
      </c>
      <c r="AD79" s="35">
        <f>SKEW(K79:V79)</f>
        <v>-0.4427760509846333</v>
      </c>
      <c r="AE79" s="35">
        <f>KURT(K79:V79)</f>
        <v>-0.64622302628005324</v>
      </c>
    </row>
    <row r="80" spans="2:31" x14ac:dyDescent="0.2">
      <c r="B80" s="34">
        <f>[33]FormattedData!A81</f>
        <v>407</v>
      </c>
      <c r="C80" s="34" t="str">
        <f>VLOOKUP($B80,[33]TrtCodes!$B$11:I124,2)</f>
        <v>NSH</v>
      </c>
      <c r="D80" s="34">
        <f>VLOOKUP($B80,[33]TrtCodes!$B$11:J124,3)</f>
        <v>7</v>
      </c>
      <c r="E80" s="34">
        <f>VLOOKUP($B80,[33]TrtCodes!$B$11:K124,4)</f>
        <v>2</v>
      </c>
      <c r="F80" s="34">
        <f>VLOOKUP($B80,[33]TrtCodes!$B$11:L124,5)</f>
        <v>1</v>
      </c>
      <c r="G80" s="34">
        <f>VLOOKUP($B80,[33]TrtCodes!$B$11:M124,6)</f>
        <v>2</v>
      </c>
      <c r="H80" s="34">
        <f>VLOOKUP($B80,[33]TrtCodes!$B$11:N124,7)</f>
        <v>4</v>
      </c>
      <c r="I80" s="34">
        <f>[33]FormattedData!B81</f>
        <v>2</v>
      </c>
      <c r="J80" s="37">
        <f>[33]FormattedData!C81</f>
        <v>13.361000000000001</v>
      </c>
      <c r="K80" s="39">
        <f>$J$3+[33]FormattedData!D81*$J$4+$M$4*$J$5+[33]FormattedData!D81^2*$J$6+$M$5*$J$7</f>
        <v>30.044693879316377</v>
      </c>
      <c r="L80" s="39">
        <f>$J$3+[33]FormattedData!E81*$J$4+$M$4*$J$5+[33]FormattedData!E81^2*$J$6+$M$5*$J$7</f>
        <v>30.239209167582239</v>
      </c>
      <c r="M80" s="39">
        <f>$J$3+[33]FormattedData!F81*$J$4+$M$4*$J$5+[33]FormattedData!F81^2*$J$6+$M$5*$J$7</f>
        <v>30.239209167582239</v>
      </c>
      <c r="N80" s="39">
        <f>$J$3+[33]FormattedData!G81*$J$4+$M$4*$J$5+[33]FormattedData!G81^2*$J$6+$M$5*$J$7</f>
        <v>29.069581325711209</v>
      </c>
      <c r="O80" s="39">
        <f>$J$3+[33]FormattedData!H81*$J$4+$M$4*$J$5+[33]FormattedData!H81^2*$J$6+$M$5*$J$7</f>
        <v>30.336403408908268</v>
      </c>
      <c r="P80" s="39">
        <f>$J$3+[33]FormattedData!I81*$J$4+$M$4*$J$5+[33]FormattedData!I81^2*$J$6+$M$5*$J$7</f>
        <v>30.433555381696376</v>
      </c>
      <c r="Q80" s="39">
        <f>$J$3+[33]FormattedData!J81*$J$4+$M$4*$J$5+[33]FormattedData!J81^2*$J$6+$M$5*$J$7</f>
        <v>30.044693879316377</v>
      </c>
      <c r="R80" s="39">
        <f>$J$3+[33]FormattedData!K81*$J$4+$M$4*$J$5+[33]FormattedData!K81^2*$J$6+$M$5*$J$7</f>
        <v>31.112435672151012</v>
      </c>
      <c r="S80" s="39">
        <f>$J$3+[33]FormattedData!L81*$J$4+$M$4*$J$5+[33]FormattedData!L81^2*$J$6+$M$5*$J$7</f>
        <v>30.433555381696376</v>
      </c>
      <c r="T80" s="39">
        <f>$J$3+[33]FormattedData!M81*$J$4+$M$4*$J$5+[33]FormattedData!M81^2*$J$6+$M$5*$J$7</f>
        <v>30.14197265771827</v>
      </c>
      <c r="U80" s="39">
        <f>$J$3+[33]FormattedData!N81*$J$4+$M$4*$J$5+[33]FormattedData!N81^2*$J$6+$M$5*$J$7</f>
        <v>30.530665085946545</v>
      </c>
      <c r="V80" s="39">
        <f>$J$3+[33]FormattedData!O81*$J$4+$M$4*$J$5+[33]FormattedData!O81^2*$J$6+$M$5*$J$7</f>
        <v>29.85000951689879</v>
      </c>
      <c r="W80" s="38">
        <f>AVERAGE(K80:V80)</f>
        <v>30.206332043710344</v>
      </c>
      <c r="X80" s="37">
        <f>STDEV(K80:V80)/SQRT(COUNT(K80:V80))</f>
        <v>0.1382827809218303</v>
      </c>
      <c r="Y80" s="36">
        <f>MIN(K80:V80)</f>
        <v>29.069581325711209</v>
      </c>
      <c r="Z80" s="35">
        <f>QUARTILE(K80:V80,1)</f>
        <v>30.044693879316377</v>
      </c>
      <c r="AA80" s="36">
        <f>MEDIAN(K80:V80)</f>
        <v>30.239209167582239</v>
      </c>
      <c r="AB80" s="35">
        <f>QUARTILE(K80:V80,3)</f>
        <v>30.433555381696376</v>
      </c>
      <c r="AC80" s="35">
        <f>MAX(K80:V80)</f>
        <v>31.112435672151012</v>
      </c>
      <c r="AD80" s="35">
        <f>SKEW(K80:V80)</f>
        <v>-0.71365758376770805</v>
      </c>
      <c r="AE80" s="35">
        <f>KURT(K80:V80)</f>
        <v>3.083328175394751</v>
      </c>
    </row>
    <row r="81" spans="2:31" x14ac:dyDescent="0.2">
      <c r="B81" s="34">
        <f>[33]FormattedData!A79</f>
        <v>408</v>
      </c>
      <c r="C81" s="34" t="str">
        <f>VLOOKUP($B81,[33]TrtCodes!$B$11:I122,2)</f>
        <v>NTL</v>
      </c>
      <c r="D81" s="34">
        <f>VLOOKUP($B81,[33]TrtCodes!$B$11:J122,3)</f>
        <v>10</v>
      </c>
      <c r="E81" s="34">
        <f>VLOOKUP($B81,[33]TrtCodes!$B$11:K122,4)</f>
        <v>2</v>
      </c>
      <c r="F81" s="34">
        <f>VLOOKUP($B81,[33]TrtCodes!$B$11:L122,5)</f>
        <v>2</v>
      </c>
      <c r="G81" s="34">
        <f>VLOOKUP($B81,[33]TrtCodes!$B$11:M122,6)</f>
        <v>1</v>
      </c>
      <c r="H81" s="34">
        <f>VLOOKUP($B81,[33]TrtCodes!$B$11:N122,7)</f>
        <v>4</v>
      </c>
      <c r="I81" s="34">
        <f>[33]FormattedData!B79</f>
        <v>2</v>
      </c>
      <c r="J81" s="37">
        <f>[33]FormattedData!C79</f>
        <v>13.345000000000001</v>
      </c>
      <c r="K81" s="39">
        <f>$J$3+[33]FormattedData!D79*$J$4+$M$4*$J$5+[33]FormattedData!D79^2*$J$6+$M$5*$J$7</f>
        <v>28.286447948096029</v>
      </c>
      <c r="L81" s="39">
        <f>$J$3+[33]FormattedData!E79*$J$4+$M$4*$J$5+[33]FormattedData!E79^2*$J$6+$M$5*$J$7</f>
        <v>29.65515608032948</v>
      </c>
      <c r="M81" s="39">
        <f>$J$3+[33]FormattedData!F79*$J$4+$M$4*$J$5+[33]FormattedData!F79^2*$J$6+$M$5*$J$7</f>
        <v>30.044693879316377</v>
      </c>
      <c r="N81" s="39">
        <f>$J$3+[33]FormattedData!G79*$J$4+$M$4*$J$5+[33]FormattedData!G79^2*$J$6+$M$5*$J$7</f>
        <v>28.97183759339207</v>
      </c>
      <c r="O81" s="39">
        <f>$J$3+[33]FormattedData!H79*$J$4+$M$4*$J$5+[33]FormattedData!H79^2*$J$6+$M$5*$J$7</f>
        <v>30.239209167582239</v>
      </c>
      <c r="P81" s="39">
        <f>$J$3+[33]FormattedData!I79*$J$4+$M$4*$J$5+[33]FormattedData!I79^2*$J$6+$M$5*$J$7</f>
        <v>33.807245250383332</v>
      </c>
      <c r="Q81" s="39">
        <f>$J$3+[33]FormattedData!J79*$J$4+$M$4*$J$5+[33]FormattedData!J79^2*$J$6+$M$5*$J$7</f>
        <v>28.874051592535</v>
      </c>
      <c r="R81" s="39">
        <f>$J$3+[33]FormattedData!K79*$J$4+$M$4*$J$5+[33]FormattedData!K79^2*$J$6+$M$5*$J$7</f>
        <v>28.580439978736205</v>
      </c>
      <c r="S81" s="39">
        <f>$J$3+[33]FormattedData!L79*$J$4+$M$4*$J$5+[33]FormattedData!L79^2*$J$6+$M$5*$J$7</f>
        <v>29.069581325711209</v>
      </c>
      <c r="T81" s="39">
        <f>$J$3+[33]FormattedData!M79*$J$4+$M$4*$J$5+[33]FormattedData!M79^2*$J$6+$M$5*$J$7</f>
        <v>28.776223323139998</v>
      </c>
      <c r="U81" s="39">
        <f>$J$3+[33]FormattedData!N79*$J$4+$M$4*$J$5+[33]FormattedData!N79^2*$J$6+$M$5*$J$7</f>
        <v>28.188366067473442</v>
      </c>
      <c r="V81" s="39">
        <f>$J$3+[33]FormattedData!O79*$J$4+$M$4*$J$5+[33]FormattedData!O79^2*$J$6+$M$5*$J$7</f>
        <v>29.264941984735692</v>
      </c>
      <c r="W81" s="38">
        <f>AVERAGE(K81:V81)</f>
        <v>29.479849515952594</v>
      </c>
      <c r="X81" s="37">
        <f>STDEV(K81:V81)/SQRT(COUNT(K81:V81))</f>
        <v>0.43422256439137558</v>
      </c>
      <c r="Y81" s="36">
        <f>MIN(K81:V81)</f>
        <v>28.188366067473442</v>
      </c>
      <c r="Z81" s="35">
        <f>QUARTILE(K81:V81,1)</f>
        <v>28.72727748703905</v>
      </c>
      <c r="AA81" s="36">
        <f>MEDIAN(K81:V81)</f>
        <v>29.020709459551639</v>
      </c>
      <c r="AB81" s="35">
        <f>QUARTILE(K81:V81,3)</f>
        <v>29.752540530076203</v>
      </c>
      <c r="AC81" s="35">
        <f>MAX(K81:V81)</f>
        <v>33.807245250383332</v>
      </c>
      <c r="AD81" s="35">
        <f>SKEW(K81:V81)</f>
        <v>2.4456319793174046</v>
      </c>
      <c r="AE81" s="35">
        <f>KURT(K81:V81)</f>
        <v>6.956984332039081</v>
      </c>
    </row>
    <row r="82" spans="2:31" x14ac:dyDescent="0.2">
      <c r="B82" s="34">
        <f>[33]FormattedData!A59</f>
        <v>902</v>
      </c>
      <c r="C82" s="34" t="str">
        <f>VLOOKUP($B82,[33]TrtCodes!$B$11:I102,2)</f>
        <v>Late</v>
      </c>
      <c r="D82" s="34">
        <f>VLOOKUP($B82,[33]TrtCodes!$B$11:J102,3)</f>
        <v>22</v>
      </c>
      <c r="E82" s="34">
        <f>VLOOKUP($B82,[33]TrtCodes!$B$11:K102,4)</f>
        <v>4</v>
      </c>
      <c r="F82" s="34">
        <f>VLOOKUP($B82,[33]TrtCodes!$B$11:L102,5)</f>
        <v>2</v>
      </c>
      <c r="G82" s="34">
        <f>VLOOKUP($B82,[33]TrtCodes!$B$11:M102,6)</f>
        <v>2</v>
      </c>
      <c r="H82" s="34">
        <f>VLOOKUP($B82,[33]TrtCodes!$B$11:N102,7)</f>
        <v>1</v>
      </c>
      <c r="I82" s="34">
        <f>[33]FormattedData!B59</f>
        <v>2</v>
      </c>
      <c r="J82" s="37">
        <f>[33]FormattedData!C59</f>
        <v>13.173</v>
      </c>
      <c r="K82" s="39">
        <f>$J$3+[33]FormattedData!D59*$J$4+$M$4*$J$5+[33]FormattedData!D59^2*$J$6+$M$5*$J$7</f>
        <v>30.044693879316377</v>
      </c>
      <c r="L82" s="39">
        <f>$J$3+[33]FormattedData!E59*$J$4+$M$4*$J$5+[33]FormattedData!E59^2*$J$6+$M$5*$J$7</f>
        <v>30.724757688833094</v>
      </c>
      <c r="M82" s="39">
        <f>$J$3+[33]FormattedData!F59*$J$4+$M$4*$J$5+[33]FormattedData!F59^2*$J$6+$M$5*$J$7</f>
        <v>29.947372832376555</v>
      </c>
      <c r="N82" s="39">
        <f>$J$3+[33]FormattedData!G59*$J$4+$M$4*$J$5+[33]FormattedData!G59^2*$J$6+$M$5*$J$7</f>
        <v>27.40218935512722</v>
      </c>
      <c r="O82" s="39">
        <f>$J$3+[33]FormattedData!H59*$J$4+$M$4*$J$5+[33]FormattedData!H59^2*$J$6+$M$5*$J$7</f>
        <v>31.015579579128431</v>
      </c>
      <c r="P82" s="39">
        <f>$J$3+[33]FormattedData!I59*$J$4+$M$4*$J$5+[33]FormattedData!I59^2*$J$6+$M$5*$J$7</f>
        <v>28.580439978736205</v>
      </c>
      <c r="Q82" s="39">
        <f>$J$3+[33]FormattedData!J59*$J$4+$M$4*$J$5+[33]FormattedData!J59^2*$J$6+$M$5*$J$7</f>
        <v>30.433555381696376</v>
      </c>
      <c r="R82" s="39">
        <f>$J$3+[33]FormattedData!K59*$J$4+$M$4*$J$5+[33]FormattedData!K59^2*$J$6+$M$5*$J$7</f>
        <v>27.106675657121528</v>
      </c>
      <c r="S82" s="39">
        <f>$J$3+[33]FormattedData!L59*$J$4+$M$4*$J$5+[33]FormattedData!L59^2*$J$6+$M$5*$J$7</f>
        <v>28.286447948096029</v>
      </c>
      <c r="T82" s="39">
        <f>$J$3+[33]FormattedData!M59*$J$4+$M$4*$J$5+[33]FormattedData!M59^2*$J$6+$M$5*$J$7</f>
        <v>28.874051592535</v>
      </c>
      <c r="U82" s="39">
        <f>$J$3+[33]FormattedData!N59*$J$4+$M$4*$J$5+[33]FormattedData!N59^2*$J$6+$M$5*$J$7</f>
        <v>29.069581325711209</v>
      </c>
      <c r="V82" s="39">
        <f>$J$3+[33]FormattedData!O59*$J$4+$M$4*$J$5+[33]FormattedData!O59^2*$J$6+$M$5*$J$7</f>
        <v>28.678352785207068</v>
      </c>
      <c r="W82" s="38">
        <f>AVERAGE(K82:V82)</f>
        <v>29.180308166990425</v>
      </c>
      <c r="X82" s="37">
        <f>STDEV(K82:V82)/SQRT(COUNT(K82:V82))</f>
        <v>0.36554467331374502</v>
      </c>
      <c r="Y82" s="36">
        <f>MIN(K82:V82)</f>
        <v>27.106675657121528</v>
      </c>
      <c r="Z82" s="35">
        <f>QUARTILE(K82:V82,1)</f>
        <v>28.506941971076159</v>
      </c>
      <c r="AA82" s="36">
        <f>MEDIAN(K82:V82)</f>
        <v>28.971816459123104</v>
      </c>
      <c r="AB82" s="35">
        <f>QUARTILE(K82:V82,3)</f>
        <v>30.141909254911376</v>
      </c>
      <c r="AC82" s="35">
        <f>MAX(K82:V82)</f>
        <v>31.015579579128431</v>
      </c>
      <c r="AD82" s="35">
        <f>SKEW(K82:V82)</f>
        <v>-0.14473265237072194</v>
      </c>
      <c r="AE82" s="35">
        <f>KURT(K82:V82)</f>
        <v>-0.98541406098142348</v>
      </c>
    </row>
    <row r="83" spans="2:31" x14ac:dyDescent="0.2">
      <c r="B83" s="34">
        <f>[33]FormattedData!A55</f>
        <v>904</v>
      </c>
      <c r="C83" s="34" t="str">
        <f>VLOOKUP($B83,[33]TrtCodes!$B$11:I98,2)</f>
        <v>Early</v>
      </c>
      <c r="D83" s="34">
        <f>VLOOKUP($B83,[33]TrtCodes!$B$11:J98,3)</f>
        <v>21</v>
      </c>
      <c r="E83" s="34">
        <f>VLOOKUP($B83,[33]TrtCodes!$B$11:K98,4)</f>
        <v>3</v>
      </c>
      <c r="F83" s="34">
        <f>VLOOKUP($B83,[33]TrtCodes!$B$11:L98,5)</f>
        <v>2</v>
      </c>
      <c r="G83" s="34">
        <f>VLOOKUP($B83,[33]TrtCodes!$B$11:M98,6)</f>
        <v>2</v>
      </c>
      <c r="H83" s="34">
        <f>VLOOKUP($B83,[33]TrtCodes!$B$11:N98,7)</f>
        <v>1</v>
      </c>
      <c r="I83" s="34">
        <f>[33]FormattedData!B55</f>
        <v>2</v>
      </c>
      <c r="J83" s="37">
        <f>[33]FormattedData!C55</f>
        <v>13.15</v>
      </c>
      <c r="K83" s="39">
        <f>$J$3+[33]FormattedData!D55*$J$4+$M$4*$J$5+[33]FormattedData!D55^2*$J$6+$M$5*$J$7</f>
        <v>30.433555381696376</v>
      </c>
      <c r="L83" s="39">
        <f>$J$3+[33]FormattedData!E55*$J$4+$M$4*$J$5+[33]FormattedData!E55^2*$J$6+$M$5*$J$7</f>
        <v>31.596082109194974</v>
      </c>
      <c r="M83" s="39">
        <f>$J$3+[33]FormattedData!F55*$J$4+$M$4*$J$5+[33]FormattedData!F55^2*$J$6+$M$5*$J$7</f>
        <v>29.167282789492415</v>
      </c>
      <c r="N83" s="39">
        <f>$J$3+[33]FormattedData!G55*$J$4+$M$4*$J$5+[33]FormattedData!G55^2*$J$6+$M$5*$J$7</f>
        <v>29.460133569608448</v>
      </c>
      <c r="O83" s="39">
        <f>$J$3+[33]FormattedData!H55*$J$4+$M$4*$J$5+[33]FormattedData!H55^2*$J$6+$M$5*$J$7</f>
        <v>30.044693879316377</v>
      </c>
      <c r="P83" s="39">
        <f>$J$3+[33]FormattedData!I55*$J$4+$M$4*$J$5+[33]FormattedData!I55^2*$J$6+$M$5*$J$7</f>
        <v>31.209249496635671</v>
      </c>
      <c r="Q83" s="39">
        <f>$J$3+[33]FormattedData!J55*$J$4+$M$4*$J$5+[33]FormattedData!J55^2*$J$6+$M$5*$J$7</f>
        <v>30.336403408908268</v>
      </c>
      <c r="R83" s="39">
        <f>$J$3+[33]FormattedData!K55*$J$4+$M$4*$J$5+[33]FormattedData!K55^2*$J$6+$M$5*$J$7</f>
        <v>27.598987144441367</v>
      </c>
      <c r="S83" s="39">
        <f>$J$3+[33]FormattedData!L55*$J$4+$M$4*$J$5+[33]FormattedData!L55^2*$J$6+$M$5*$J$7</f>
        <v>28.776223323139998</v>
      </c>
      <c r="T83" s="39">
        <f>$J$3+[33]FormattedData!M55*$J$4+$M$4*$J$5+[33]FormattedData!M55^2*$J$6+$M$5*$J$7</f>
        <v>30.336403408908268</v>
      </c>
      <c r="U83" s="39">
        <f>$J$3+[33]FormattedData!N55*$J$4+$M$4*$J$5+[33]FormattedData!N55^2*$J$6+$M$5*$J$7</f>
        <v>28.678352785207068</v>
      </c>
      <c r="V83" s="39">
        <f>$J$3+[33]FormattedData!O55*$J$4+$M$4*$J$5+[33]FormattedData!O55^2*$J$6+$M$5*$J$7</f>
        <v>28.384487560180684</v>
      </c>
      <c r="W83" s="38">
        <f>AVERAGE(K83:V83)</f>
        <v>29.668487904727488</v>
      </c>
      <c r="X83" s="37">
        <f>STDEV(K83:V83)/SQRT(COUNT(K83:V83))</f>
        <v>0.34499955135964672</v>
      </c>
      <c r="Y83" s="36">
        <f>MIN(K83:V83)</f>
        <v>27.598987144441367</v>
      </c>
      <c r="Z83" s="35">
        <f>QUARTILE(K83:V83,1)</f>
        <v>28.751755688656765</v>
      </c>
      <c r="AA83" s="36">
        <f>MEDIAN(K83:V83)</f>
        <v>29.752413724462414</v>
      </c>
      <c r="AB83" s="35">
        <f>QUARTILE(K83:V83,3)</f>
        <v>30.360691402105296</v>
      </c>
      <c r="AC83" s="35">
        <f>MAX(K83:V83)</f>
        <v>31.596082109194974</v>
      </c>
      <c r="AD83" s="35">
        <f>SKEW(K83:V83)</f>
        <v>-5.6197185515657638E-2</v>
      </c>
      <c r="AE83" s="35">
        <f>KURT(K83:V83)</f>
        <v>-0.71789645463536012</v>
      </c>
    </row>
    <row r="84" spans="2:31" x14ac:dyDescent="0.2">
      <c r="B84" s="34">
        <f>[33]FormattedData!A51</f>
        <v>906</v>
      </c>
      <c r="C84" s="34" t="str">
        <f>VLOOKUP($B84,[33]TrtCodes!$B$11:I94,2)</f>
        <v>Late</v>
      </c>
      <c r="D84" s="34">
        <f>VLOOKUP($B84,[33]TrtCodes!$B$11:J94,3)</f>
        <v>22</v>
      </c>
      <c r="E84" s="34">
        <f>VLOOKUP($B84,[33]TrtCodes!$B$11:K94,4)</f>
        <v>4</v>
      </c>
      <c r="F84" s="34">
        <f>VLOOKUP($B84,[33]TrtCodes!$B$11:L94,5)</f>
        <v>2</v>
      </c>
      <c r="G84" s="34">
        <f>VLOOKUP($B84,[33]TrtCodes!$B$11:M94,6)</f>
        <v>2</v>
      </c>
      <c r="H84" s="34">
        <f>VLOOKUP($B84,[33]TrtCodes!$B$11:N94,7)</f>
        <v>2</v>
      </c>
      <c r="I84" s="34">
        <f>[33]FormattedData!B51</f>
        <v>2</v>
      </c>
      <c r="J84" s="37">
        <f>[33]FormattedData!C51</f>
        <v>13.129</v>
      </c>
      <c r="K84" s="39">
        <f>$J$3+[33]FormattedData!D51*$J$4+$M$4*$J$5+[33]FormattedData!D51^2*$J$6+$M$5*$J$7</f>
        <v>27.795615859603782</v>
      </c>
      <c r="L84" s="39">
        <f>$J$3+[33]FormattedData!E51*$J$4+$M$4*$J$5+[33]FormattedData!E51^2*$J$6+$M$5*$J$7</f>
        <v>28.090241918312927</v>
      </c>
      <c r="M84" s="39">
        <f>$J$3+[33]FormattedData!F51*$J$4+$M$4*$J$5+[33]FormattedData!F51^2*$J$6+$M$5*$J$7</f>
        <v>28.188366067473442</v>
      </c>
      <c r="N84" s="39">
        <f>$J$3+[33]FormattedData!G51*$J$4+$M$4*$J$5+[33]FormattedData!G51^2*$J$6+$M$5*$J$7</f>
        <v>30.530665085946545</v>
      </c>
      <c r="O84" s="39">
        <f>$J$3+[33]FormattedData!H51*$J$4+$M$4*$J$5+[33]FormattedData!H51^2*$J$6+$M$5*$J$7</f>
        <v>28.580439978736205</v>
      </c>
      <c r="P84" s="39">
        <f>$J$3+[33]FormattedData!I51*$J$4+$M$4*$J$5+[33]FormattedData!I51^2*$J$6+$M$5*$J$7</f>
        <v>29.069581325711209</v>
      </c>
      <c r="Q84" s="39">
        <f>$J$3+[33]FormattedData!J51*$J$4+$M$4*$J$5+[33]FormattedData!J51^2*$J$6+$M$5*$J$7</f>
        <v>28.286447948096029</v>
      </c>
      <c r="R84" s="39">
        <f>$J$3+[33]FormattedData!K51*$J$4+$M$4*$J$5+[33]FormattedData!K51^2*$J$6+$M$5*$J$7</f>
        <v>27.795615859603782</v>
      </c>
      <c r="S84" s="39">
        <f>$J$3+[33]FormattedData!L51*$J$4+$M$4*$J$5+[33]FormattedData!L51^2*$J$6+$M$5*$J$7</f>
        <v>30.044693879316377</v>
      </c>
      <c r="T84" s="39">
        <f>$J$3+[33]FormattedData!M51*$J$4+$M$4*$J$5+[33]FormattedData!M51^2*$J$6+$M$5*$J$7</f>
        <v>29.167282789492415</v>
      </c>
      <c r="U84" s="39">
        <f>$J$3+[33]FormattedData!N51*$J$4+$M$4*$J$5+[33]FormattedData!N51^2*$J$6+$M$5*$J$7</f>
        <v>29.362558911441035</v>
      </c>
      <c r="V84" s="39">
        <f>$J$3+[33]FormattedData!O51*$J$4+$M$4*$J$5+[33]FormattedData!O51^2*$J$6+$M$5*$J$7</f>
        <v>27.106675657121528</v>
      </c>
      <c r="W84" s="38">
        <f>AVERAGE(K84:V84)</f>
        <v>28.668182106737934</v>
      </c>
      <c r="X84" s="37">
        <f>STDEV(K84:V84)/SQRT(COUNT(K84:V84))</f>
        <v>0.28781719688522422</v>
      </c>
      <c r="Y84" s="36">
        <f>MIN(K84:V84)</f>
        <v>27.106675657121528</v>
      </c>
      <c r="Z84" s="35">
        <f>QUARTILE(K84:V84,1)</f>
        <v>28.016585403635641</v>
      </c>
      <c r="AA84" s="36">
        <f>MEDIAN(K84:V84)</f>
        <v>28.433443963416117</v>
      </c>
      <c r="AB84" s="35">
        <f>QUARTILE(K84:V84,3)</f>
        <v>29.216101819979571</v>
      </c>
      <c r="AC84" s="35">
        <f>MAX(K84:V84)</f>
        <v>30.530665085946545</v>
      </c>
      <c r="AD84" s="35">
        <f>SKEW(K84:V84)</f>
        <v>0.45092422242866204</v>
      </c>
      <c r="AE84" s="35">
        <f>KURT(K84:V84)</f>
        <v>-0.32834999509695617</v>
      </c>
    </row>
    <row r="85" spans="2:31" x14ac:dyDescent="0.2">
      <c r="B85" s="34">
        <f>[33]FormattedData!A47</f>
        <v>908</v>
      </c>
      <c r="C85" s="34" t="str">
        <f>VLOOKUP($B85,[33]TrtCodes!$B$11:I90,2)</f>
        <v>Early</v>
      </c>
      <c r="D85" s="34">
        <f>VLOOKUP($B85,[33]TrtCodes!$B$11:J90,3)</f>
        <v>21</v>
      </c>
      <c r="E85" s="34">
        <f>VLOOKUP($B85,[33]TrtCodes!$B$11:K90,4)</f>
        <v>3</v>
      </c>
      <c r="F85" s="34">
        <f>VLOOKUP($B85,[33]TrtCodes!$B$11:L90,5)</f>
        <v>2</v>
      </c>
      <c r="G85" s="34">
        <f>VLOOKUP($B85,[33]TrtCodes!$B$11:M90,6)</f>
        <v>2</v>
      </c>
      <c r="H85" s="34">
        <f>VLOOKUP($B85,[33]TrtCodes!$B$11:N90,7)</f>
        <v>2</v>
      </c>
      <c r="I85" s="34">
        <f>[33]FormattedData!B47</f>
        <v>2</v>
      </c>
      <c r="J85" s="37">
        <f>[33]FormattedData!C47</f>
        <v>13.106</v>
      </c>
      <c r="K85" s="39">
        <f>$J$3+[33]FormattedData!D47*$J$4+$M$4*$J$5+[33]FormattedData!D47^2*$J$6+$M$5*$J$7</f>
        <v>27.992075500614476</v>
      </c>
      <c r="L85" s="39">
        <f>$J$3+[33]FormattedData!E47*$J$4+$M$4*$J$5+[33]FormattedData!E47^2*$J$6+$M$5*$J$7</f>
        <v>27.40218935512722</v>
      </c>
      <c r="M85" s="39">
        <f>$J$3+[33]FormattedData!F47*$J$4+$M$4*$J$5+[33]FormattedData!F47^2*$J$6+$M$5*$J$7</f>
        <v>27.795615859603782</v>
      </c>
      <c r="N85" s="39">
        <f>$J$3+[33]FormattedData!G47*$J$4+$M$4*$J$5+[33]FormattedData!G47^2*$J$6+$M$5*$J$7</f>
        <v>28.188366067473442</v>
      </c>
      <c r="O85" s="39">
        <f>$J$3+[33]FormattedData!H47*$J$4+$M$4*$J$5+[33]FormattedData!H47^2*$J$6+$M$5*$J$7</f>
        <v>27.205222491661356</v>
      </c>
      <c r="P85" s="39">
        <f>$J$3+[33]FormattedData!I47*$J$4+$M$4*$J$5+[33]FormattedData!I47^2*$J$6+$M$5*$J$7</f>
        <v>29.264941984735692</v>
      </c>
      <c r="Q85" s="39">
        <f>$J$3+[33]FormattedData!J47*$J$4+$M$4*$J$5+[33]FormattedData!J47^2*$J$6+$M$5*$J$7</f>
        <v>30.336403408908268</v>
      </c>
      <c r="R85" s="39">
        <f>$J$3+[33]FormattedData!K47*$J$4+$M$4*$J$5+[33]FormattedData!K47^2*$J$6+$M$5*$J$7</f>
        <v>28.090241918312927</v>
      </c>
      <c r="S85" s="39">
        <f>$J$3+[33]FormattedData!L47*$J$4+$M$4*$J$5+[33]FormattedData!L47^2*$J$6+$M$5*$J$7</f>
        <v>29.557665959237934</v>
      </c>
      <c r="T85" s="39">
        <f>$J$3+[33]FormattedData!M47*$J$4+$M$4*$J$5+[33]FormattedData!M47^2*$J$6+$M$5*$J$7</f>
        <v>27.598987144441367</v>
      </c>
      <c r="U85" s="39">
        <f>$J$3+[33]FormattedData!N47*$J$4+$M$4*$J$5+[33]FormattedData!N47^2*$J$6+$M$5*$J$7</f>
        <v>29.460133569608448</v>
      </c>
      <c r="V85" s="39">
        <f>$J$3+[33]FormattedData!O47*$J$4+$M$4*$J$5+[33]FormattedData!O47^2*$J$6+$M$5*$J$7</f>
        <v>28.384487560180684</v>
      </c>
      <c r="W85" s="38">
        <f>AVERAGE(K85:V85)</f>
        <v>28.439694234992132</v>
      </c>
      <c r="X85" s="37">
        <f>STDEV(K85:V85)/SQRT(COUNT(K85:V85))</f>
        <v>0.28444992176582362</v>
      </c>
      <c r="Y85" s="36">
        <f>MIN(K85:V85)</f>
        <v>27.205222491661356</v>
      </c>
      <c r="Z85" s="35">
        <f>QUARTILE(K85:V85,1)</f>
        <v>27.746458680813177</v>
      </c>
      <c r="AA85" s="36">
        <f>MEDIAN(K85:V85)</f>
        <v>28.139303992893183</v>
      </c>
      <c r="AB85" s="35">
        <f>QUARTILE(K85:V85,3)</f>
        <v>29.313739880953882</v>
      </c>
      <c r="AC85" s="35">
        <f>MAX(K85:V85)</f>
        <v>30.336403408908268</v>
      </c>
      <c r="AD85" s="35">
        <f>SKEW(K85:V85)</f>
        <v>0.6656213876449546</v>
      </c>
      <c r="AE85" s="35">
        <f>KURT(K85:V85)</f>
        <v>-0.64622599029148775</v>
      </c>
    </row>
    <row r="88" spans="2:31" x14ac:dyDescent="0.2">
      <c r="W88" s="35"/>
    </row>
  </sheetData>
  <autoFilter ref="B9:AE85" xr:uid="{A73E4DA1-39C9-4712-8983-D8BC69BE5D56}"/>
  <conditionalFormatting sqref="K10:V85">
    <cfRule type="cellIs" dxfId="127" priority="1" stopIfTrue="1" operator="lessThan">
      <formula>$W10-$V$5*$X10</formula>
    </cfRule>
    <cfRule type="cellIs" dxfId="126" priority="2" stopIfTrue="1" operator="greaterThan">
      <formula>$W10+$V$5*$X10</formula>
    </cfRule>
  </conditionalFormatting>
  <conditionalFormatting sqref="W10:W85">
    <cfRule type="cellIs" dxfId="125" priority="3" stopIfTrue="1" operator="lessThan">
      <formula>AVERAGE($W$10:$W$41)</formula>
    </cfRule>
    <cfRule type="cellIs" dxfId="12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DB7F-E435-43D3-AD7C-24ADE6B1D646}">
  <sheetPr codeName="Sheet3"/>
  <dimension ref="A1:AI88"/>
  <sheetViews>
    <sheetView topLeftCell="A8" workbookViewId="0">
      <pane xSplit="4" ySplit="2" topLeftCell="J28" activePane="bottomRight" state="frozen"/>
      <selection activeCell="A8" sqref="A8"/>
      <selection pane="topRight" activeCell="E8" sqref="E8"/>
      <selection pane="bottomLeft" activeCell="A10" sqref="A10"/>
      <selection pane="bottomRight" activeCell="M87" sqref="M87"/>
    </sheetView>
  </sheetViews>
  <sheetFormatPr defaultRowHeight="12.75" x14ac:dyDescent="0.2"/>
  <cols>
    <col min="1" max="8" width="9.140625" style="34"/>
    <col min="9" max="9" width="6" style="34" customWidth="1"/>
    <col min="10" max="10" width="10.42578125" style="34" customWidth="1"/>
    <col min="11" max="22" width="6" style="34" customWidth="1"/>
    <col min="23" max="32" width="9.140625" style="34"/>
    <col min="33" max="33" width="13.85546875" style="34" customWidth="1"/>
    <col min="34" max="16384" width="9.140625" style="34"/>
  </cols>
  <sheetData>
    <row r="1" spans="1:35" ht="15.75" x14ac:dyDescent="0.25">
      <c r="A1" s="66" t="str">
        <f>[32]FormattedData!A1</f>
        <v>Raw data file name - 'IA168.03R'</v>
      </c>
    </row>
    <row r="2" spans="1:35" ht="15" x14ac:dyDescent="0.25">
      <c r="I2" s="65" t="s">
        <v>136</v>
      </c>
      <c r="J2" s="57"/>
      <c r="P2" s="64">
        <f>[32]AncillaryData!C10</f>
        <v>5481</v>
      </c>
    </row>
    <row r="3" spans="1:35" x14ac:dyDescent="0.2">
      <c r="A3" s="63"/>
      <c r="I3" s="56" t="s">
        <v>135</v>
      </c>
      <c r="J3" s="60">
        <f>VLOOKUP($P$2,[2]Sheet1!$C$9:$L$12,2,0)</f>
        <v>-1.6531146818483371</v>
      </c>
      <c r="T3" s="57" t="s">
        <v>134</v>
      </c>
      <c r="U3" s="57"/>
      <c r="V3" s="57"/>
      <c r="W3" s="57"/>
      <c r="X3" s="57"/>
      <c r="AI3" s="34" t="s">
        <v>133</v>
      </c>
    </row>
    <row r="4" spans="1:35" x14ac:dyDescent="0.2">
      <c r="I4" s="56" t="s">
        <v>132</v>
      </c>
      <c r="J4" s="60">
        <f>VLOOKUP($P$2,[2]Sheet1!$C$9:$L$12,3,0)</f>
        <v>1.0981139989847872</v>
      </c>
      <c r="L4" s="62" t="s">
        <v>131</v>
      </c>
      <c r="M4" s="61">
        <f>[32]AncillaryData!E25</f>
        <v>39.200000000000003</v>
      </c>
      <c r="T4" s="57" t="s">
        <v>130</v>
      </c>
      <c r="U4" s="57"/>
      <c r="V4" s="57" t="s">
        <v>129</v>
      </c>
      <c r="W4" s="57"/>
      <c r="X4" s="57"/>
      <c r="AI4" s="34" t="str">
        <f>"Time Sequence of Midday IRT Temps - FISE 2003 - DOY "&amp;[32]AncillaryData!C7</f>
        <v>Time Sequence of Midday IRT Temps - FISE 2003 - DOY 168</v>
      </c>
    </row>
    <row r="5" spans="1:35" x14ac:dyDescent="0.2">
      <c r="I5" s="56" t="s">
        <v>128</v>
      </c>
      <c r="J5" s="60">
        <f>VLOOKUP($P$2,[2]Sheet1!$C$9:$L$12,4,0)</f>
        <v>2.673489260619941E-2</v>
      </c>
      <c r="L5" s="59" t="s">
        <v>127</v>
      </c>
      <c r="M5" s="58"/>
      <c r="T5" s="57" t="s">
        <v>126</v>
      </c>
      <c r="U5" s="57"/>
      <c r="V5" s="57">
        <v>5</v>
      </c>
      <c r="W5" s="57"/>
      <c r="X5" s="57"/>
      <c r="AI5" s="34" t="e">
        <f>"(Ta = "&amp;[32]AncillaryData!E25&amp;", VPD = "&amp;ROUND([32]AncillaryData!E29,1)&amp;", Quality = "&amp;[32]AncillaryData!C20&amp;")"</f>
        <v>#NAME?</v>
      </c>
    </row>
    <row r="6" spans="1:35" x14ac:dyDescent="0.2">
      <c r="I6" s="56" t="s">
        <v>125</v>
      </c>
      <c r="J6" s="55">
        <f>VLOOKUP($P$2,[2]Sheet1!$C$9:$L$12,5,0)</f>
        <v>-2.1134268965570043E-3</v>
      </c>
      <c r="T6" s="57" t="s">
        <v>124</v>
      </c>
      <c r="U6" s="57"/>
      <c r="V6" s="57">
        <v>5</v>
      </c>
      <c r="W6" s="57"/>
      <c r="X6" s="57"/>
    </row>
    <row r="7" spans="1:35" x14ac:dyDescent="0.2">
      <c r="I7" s="56" t="s">
        <v>123</v>
      </c>
      <c r="J7" s="55"/>
    </row>
    <row r="9" spans="1:35" x14ac:dyDescent="0.2">
      <c r="B9" s="51" t="s">
        <v>122</v>
      </c>
      <c r="C9" s="54" t="s">
        <v>121</v>
      </c>
      <c r="D9" s="54" t="s">
        <v>120</v>
      </c>
      <c r="E9" s="53" t="s">
        <v>119</v>
      </c>
      <c r="F9" s="54" t="s">
        <v>118</v>
      </c>
      <c r="G9" s="53" t="s">
        <v>117</v>
      </c>
      <c r="H9" s="53" t="s">
        <v>116</v>
      </c>
      <c r="I9" s="51" t="s">
        <v>115</v>
      </c>
      <c r="J9" s="51" t="s">
        <v>114</v>
      </c>
      <c r="K9" s="52" t="s">
        <v>113</v>
      </c>
      <c r="L9" s="52" t="s">
        <v>112</v>
      </c>
      <c r="M9" s="52" t="s">
        <v>111</v>
      </c>
      <c r="N9" s="52" t="s">
        <v>110</v>
      </c>
      <c r="O9" s="52" t="s">
        <v>109</v>
      </c>
      <c r="P9" s="52" t="s">
        <v>108</v>
      </c>
      <c r="Q9" s="52" t="s">
        <v>107</v>
      </c>
      <c r="R9" s="52" t="s">
        <v>106</v>
      </c>
      <c r="S9" s="52" t="s">
        <v>105</v>
      </c>
      <c r="T9" s="52" t="s">
        <v>104</v>
      </c>
      <c r="U9" s="52" t="s">
        <v>103</v>
      </c>
      <c r="V9" s="52" t="s">
        <v>102</v>
      </c>
      <c r="W9" s="51" t="s">
        <v>101</v>
      </c>
      <c r="X9" s="51" t="s">
        <v>100</v>
      </c>
      <c r="Y9" s="51" t="s">
        <v>99</v>
      </c>
      <c r="Z9" s="51" t="s">
        <v>98</v>
      </c>
      <c r="AA9" s="51" t="s">
        <v>97</v>
      </c>
      <c r="AB9" s="51" t="s">
        <v>96</v>
      </c>
      <c r="AC9" s="51" t="s">
        <v>95</v>
      </c>
      <c r="AD9" s="51" t="s">
        <v>94</v>
      </c>
      <c r="AE9" s="51" t="s">
        <v>93</v>
      </c>
      <c r="AF9" s="51"/>
    </row>
    <row r="10" spans="1:35" x14ac:dyDescent="0.2">
      <c r="B10" s="34">
        <f>[32]FormattedData!A28</f>
        <v>101</v>
      </c>
      <c r="C10" s="34" t="str">
        <f>VLOOKUP($B10,[32]TrtCodes!$B$11:I71,2)</f>
        <v>FSH</v>
      </c>
      <c r="D10" s="34">
        <f>VLOOKUP($B10,[32]TrtCodes!$B$11:J71,3)</f>
        <v>1</v>
      </c>
      <c r="E10" s="34">
        <f>VLOOKUP($B10,[32]TrtCodes!$B$11:K71,4)</f>
        <v>1</v>
      </c>
      <c r="F10" s="34">
        <f>VLOOKUP($B10,[32]TrtCodes!$B$11:L71,5)</f>
        <v>1</v>
      </c>
      <c r="G10" s="34">
        <f>VLOOKUP($B10,[32]TrtCodes!$B$11:M71,6)</f>
        <v>2</v>
      </c>
      <c r="H10" s="34">
        <f>VLOOKUP($B10,[32]TrtCodes!$B$11:N71,7)</f>
        <v>1</v>
      </c>
      <c r="I10" s="34">
        <f>[32]FormattedData!B28</f>
        <v>1</v>
      </c>
      <c r="J10" s="37">
        <f>[32]FormattedData!C28</f>
        <v>13.17</v>
      </c>
      <c r="K10" s="39">
        <f>$J$3+[32]FormattedData!D28*$J$4+$M$4*$J$5+[32]FormattedData!D28^2*$J$6+$M$5*$J$7</f>
        <v>56.996441409464538</v>
      </c>
      <c r="L10" s="39">
        <f>$J$3+[32]FormattedData!E28*$J$4+$M$4*$J$5+[32]FormattedData!E28^2*$J$6+$M$5*$J$7</f>
        <v>54.605796230184708</v>
      </c>
      <c r="M10" s="39">
        <f>$J$3+[32]FormattedData!F28*$J$4+$M$4*$J$5+[32]FormattedData!F28^2*$J$6+$M$5*$J$7</f>
        <v>53.6575475940814</v>
      </c>
      <c r="N10" s="39">
        <f>$J$3+[32]FormattedData!G28*$J$4+$M$4*$J$5+[32]FormattedData!G28^2*$J$6+$M$5*$J$7</f>
        <v>47.949856910235582</v>
      </c>
      <c r="O10" s="39">
        <f>$J$3+[32]FormattedData!H28*$J$4+$M$4*$J$5+[32]FormattedData!H28^2*$J$6+$M$5*$J$7</f>
        <v>51.483416215413968</v>
      </c>
      <c r="P10" s="39">
        <f>$J$3+[32]FormattedData!I28*$J$4+$M$4*$J$5+[32]FormattedData!I28^2*$J$6+$M$5*$J$7</f>
        <v>52.269146846465297</v>
      </c>
      <c r="Q10" s="39">
        <f>$J$3+[32]FormattedData!J28*$J$4+$M$4*$J$5+[32]FormattedData!J28^2*$J$6+$M$5*$J$7</f>
        <v>53.224834745244472</v>
      </c>
      <c r="R10" s="39">
        <f>$J$3+[32]FormattedData!K28*$J$4+$M$4*$J$5+[32]FormattedData!K28^2*$J$6+$M$5*$J$7</f>
        <v>52.877903632492171</v>
      </c>
      <c r="S10" s="39">
        <f>$J$3+[32]FormattedData!L28*$J$4+$M$4*$J$5+[32]FormattedData!L28^2*$J$6+$M$5*$J$7</f>
        <v>49.459883114101942</v>
      </c>
      <c r="T10" s="39">
        <f>$J$3+[32]FormattedData!M28*$J$4+$M$4*$J$5+[32]FormattedData!M28^2*$J$6+$M$5*$J$7</f>
        <v>55.548930373198353</v>
      </c>
      <c r="U10" s="39">
        <f>$J$3+[32]FormattedData!N28*$J$4+$M$4*$J$5+[32]FormattedData!N28^2*$J$6+$M$5*$J$7</f>
        <v>51.22074517138077</v>
      </c>
      <c r="V10" s="39">
        <f>$J$3+[32]FormattedData!O28*$J$4+$M$4*$J$5+[32]FormattedData!O28^2*$J$6+$M$5*$J$7</f>
        <v>51.308344454596437</v>
      </c>
      <c r="W10" s="38">
        <f>AVERAGE(K10:V10)</f>
        <v>52.550237224738304</v>
      </c>
      <c r="X10" s="37">
        <f>STDEV(K10:V10)/SQRT(COUNT(K10:V10))</f>
        <v>0.72829996955146836</v>
      </c>
      <c r="Y10" s="36">
        <f>MIN(K10:V10)</f>
        <v>47.949856910235582</v>
      </c>
      <c r="Z10" s="35">
        <f>QUARTILE(K10:V10,1)</f>
        <v>51.28644463379252</v>
      </c>
      <c r="AA10" s="36">
        <f>MEDIAN(K10:V10)</f>
        <v>52.573525239478734</v>
      </c>
      <c r="AB10" s="35">
        <f>QUARTILE(K10:V10,3)</f>
        <v>53.894609753107225</v>
      </c>
      <c r="AC10" s="35">
        <f>MAX(K10:V10)</f>
        <v>56.996441409464538</v>
      </c>
      <c r="AD10" s="35">
        <f>SKEW(K10:V10)</f>
        <v>-4.8435131346361855E-2</v>
      </c>
      <c r="AE10" s="35">
        <f>KURT(K10:V10)</f>
        <v>5.6069282423187872E-4</v>
      </c>
    </row>
    <row r="11" spans="1:35" x14ac:dyDescent="0.2">
      <c r="B11" s="34">
        <f>[32]FormattedData!A26</f>
        <v>102</v>
      </c>
      <c r="C11" s="34" t="str">
        <f>VLOOKUP($B11,[32]TrtCodes!$B$11:I69,2)</f>
        <v>FTL</v>
      </c>
      <c r="D11" s="34">
        <f>VLOOKUP($B11,[32]TrtCodes!$B$11:J69,3)</f>
        <v>4</v>
      </c>
      <c r="E11" s="34">
        <f>VLOOKUP($B11,[32]TrtCodes!$B$11:K69,4)</f>
        <v>1</v>
      </c>
      <c r="F11" s="34">
        <f>VLOOKUP($B11,[32]TrtCodes!$B$11:L69,5)</f>
        <v>2</v>
      </c>
      <c r="G11" s="34">
        <f>VLOOKUP($B11,[32]TrtCodes!$B$11:M69,6)</f>
        <v>1</v>
      </c>
      <c r="H11" s="34">
        <f>VLOOKUP($B11,[32]TrtCodes!$B$11:N69,7)</f>
        <v>1</v>
      </c>
      <c r="I11" s="34">
        <f>[32]FormattedData!B26</f>
        <v>1</v>
      </c>
      <c r="J11" s="37">
        <f>[32]FormattedData!C26</f>
        <v>13.154999999999999</v>
      </c>
      <c r="K11" s="39">
        <f>$J$3+[32]FormattedData!D26*$J$4+$M$4*$J$5+[32]FormattedData!D26^2*$J$6+$M$5*$J$7</f>
        <v>56.656949559388124</v>
      </c>
      <c r="L11" s="39">
        <f>$J$3+[32]FormattedData!E26*$J$4+$M$4*$J$5+[32]FormattedData!E26^2*$J$6+$M$5*$J$7</f>
        <v>52.617261478279666</v>
      </c>
      <c r="M11" s="39">
        <f>$J$3+[32]FormattedData!F26*$J$4+$M$4*$J$5+[32]FormattedData!F26^2*$J$6+$M$5*$J$7</f>
        <v>47.055899949458201</v>
      </c>
      <c r="N11" s="39">
        <f>$J$3+[32]FormattedData!G26*$J$4+$M$4*$J$5+[32]FormattedData!G26^2*$J$6+$M$5*$J$7</f>
        <v>56.571970925524191</v>
      </c>
      <c r="O11" s="39">
        <f>$J$3+[32]FormattedData!H26*$J$4+$M$4*$J$5+[32]FormattedData!H26^2*$J$6+$M$5*$J$7</f>
        <v>49.371396191589717</v>
      </c>
      <c r="P11" s="39">
        <f>$J$3+[32]FormattedData!I26*$J$4+$M$4*$J$5+[32]FormattedData!I26^2*$J$6+$M$5*$J$7</f>
        <v>57.41985517995662</v>
      </c>
      <c r="Q11" s="39">
        <f>$J$3+[32]FormattedData!J26*$J$4+$M$4*$J$5+[32]FormattedData!J26^2*$J$6+$M$5*$J$7</f>
        <v>48.48420219688132</v>
      </c>
      <c r="R11" s="39">
        <f>$J$3+[32]FormattedData!K26*$J$4+$M$4*$J$5+[32]FormattedData!K26^2*$J$6+$M$5*$J$7</f>
        <v>56.656949559388124</v>
      </c>
      <c r="S11" s="39">
        <f>$J$3+[32]FormattedData!L26*$J$4+$M$4*$J$5+[32]FormattedData!L26^2*$J$6+$M$5*$J$7</f>
        <v>44.530333597102171</v>
      </c>
      <c r="T11" s="39">
        <f>$J$3+[32]FormattedData!M26*$J$4+$M$4*$J$5+[32]FormattedData!M26^2*$J$6+$M$5*$J$7</f>
        <v>56.316781412704799</v>
      </c>
      <c r="U11" s="39">
        <f>$J$3+[32]FormattedData!N26*$J$4+$M$4*$J$5+[32]FormattedData!N26^2*$J$6+$M$5*$J$7</f>
        <v>44.075852451230709</v>
      </c>
      <c r="V11" s="39">
        <f>$J$3+[32]FormattedData!O26*$J$4+$M$4*$J$5+[32]FormattedData!O26^2*$J$6+$M$5*$J$7</f>
        <v>41.97162871100813</v>
      </c>
      <c r="W11" s="38">
        <f>AVERAGE(K11:V11)</f>
        <v>50.977423434375986</v>
      </c>
      <c r="X11" s="37">
        <f>STDEV(K11:V11)/SQRT(COUNT(K11:V11))</f>
        <v>1.6582907980505475</v>
      </c>
      <c r="Y11" s="36">
        <f>MIN(K11:V11)</f>
        <v>41.97162871100813</v>
      </c>
      <c r="Z11" s="35">
        <f>QUARTILE(K11:V11,1)</f>
        <v>46.424508361369192</v>
      </c>
      <c r="AA11" s="36">
        <f>MEDIAN(K11:V11)</f>
        <v>50.994328834934691</v>
      </c>
      <c r="AB11" s="35">
        <f>QUARTILE(K11:V11,3)</f>
        <v>56.593215583990172</v>
      </c>
      <c r="AC11" s="35">
        <f>MAX(K11:V11)</f>
        <v>57.41985517995662</v>
      </c>
      <c r="AD11" s="35">
        <f>SKEW(K11:V11)</f>
        <v>-0.25409392682512483</v>
      </c>
      <c r="AE11" s="35">
        <f>KURT(K11:V11)</f>
        <v>-1.6515698764443321</v>
      </c>
    </row>
    <row r="12" spans="1:35" x14ac:dyDescent="0.2">
      <c r="B12" s="34">
        <f>[32]FormattedData!A24</f>
        <v>103</v>
      </c>
      <c r="C12" s="34" t="str">
        <f>VLOOKUP($B12,[32]TrtCodes!$B$11:I67,2)</f>
        <v>FDH</v>
      </c>
      <c r="D12" s="34">
        <f>VLOOKUP($B12,[32]TrtCodes!$B$11:J67,3)</f>
        <v>5</v>
      </c>
      <c r="E12" s="34">
        <f>VLOOKUP($B12,[32]TrtCodes!$B$11:K67,4)</f>
        <v>1</v>
      </c>
      <c r="F12" s="34">
        <f>VLOOKUP($B12,[32]TrtCodes!$B$11:L67,5)</f>
        <v>3</v>
      </c>
      <c r="G12" s="34">
        <f>VLOOKUP($B12,[32]TrtCodes!$B$11:M67,6)</f>
        <v>2</v>
      </c>
      <c r="H12" s="34">
        <f>VLOOKUP($B12,[32]TrtCodes!$B$11:N67,7)</f>
        <v>1</v>
      </c>
      <c r="I12" s="34">
        <f>[32]FormattedData!B24</f>
        <v>1</v>
      </c>
      <c r="J12" s="37">
        <f>[32]FormattedData!C24</f>
        <v>13.138999999999999</v>
      </c>
      <c r="K12" s="39">
        <f>$J$3+[32]FormattedData!D24*$J$4+$M$4*$J$5+[32]FormattedData!D24^2*$J$6+$M$5*$J$7</f>
        <v>55.80526113654188</v>
      </c>
      <c r="L12" s="39">
        <f>$J$3+[32]FormattedData!E24*$J$4+$M$4*$J$5+[32]FormattedData!E24^2*$J$6+$M$5*$J$7</f>
        <v>41.511229969826303</v>
      </c>
      <c r="M12" s="39">
        <f>$J$3+[32]FormattedData!F24*$J$4+$M$4*$J$5+[32]FormattedData!F24^2*$J$6+$M$5*$J$7</f>
        <v>50.606366669809042</v>
      </c>
      <c r="N12" s="39">
        <f>$J$3+[32]FormattedData!G24*$J$4+$M$4*$J$5+[32]FormattedData!G24^2*$J$6+$M$5*$J$7</f>
        <v>48.306256175484471</v>
      </c>
      <c r="O12" s="39">
        <f>$J$3+[32]FormattedData!H24*$J$4+$M$4*$J$5+[32]FormattedData!H24^2*$J$6+$M$5*$J$7</f>
        <v>34.096682850297903</v>
      </c>
      <c r="P12" s="39">
        <f>$J$3+[32]FormattedData!I24*$J$4+$M$4*$J$5+[32]FormattedData!I24^2*$J$6+$M$5*$J$7</f>
        <v>50.254363332505001</v>
      </c>
      <c r="Q12" s="39">
        <f>$J$3+[32]FormattedData!J24*$J$4+$M$4*$J$5+[32]FormattedData!J24^2*$J$6+$M$5*$J$7</f>
        <v>43.437803568417543</v>
      </c>
      <c r="R12" s="39">
        <f>$J$3+[32]FormattedData!K24*$J$4+$M$4*$J$5+[32]FormattedData!K24^2*$J$6+$M$5*$J$7</f>
        <v>46.517496883171091</v>
      </c>
      <c r="S12" s="39">
        <f>$J$3+[32]FormattedData!L24*$J$4+$M$4*$J$5+[32]FormattedData!L24^2*$J$6+$M$5*$J$7</f>
        <v>35.049815764178881</v>
      </c>
      <c r="T12" s="39">
        <f>$J$3+[32]FormattedData!M24*$J$4+$M$4*$J$5+[32]FormattedData!M24^2*$J$6+$M$5*$J$7</f>
        <v>47.324530857339695</v>
      </c>
      <c r="U12" s="39">
        <f>$J$3+[32]FormattedData!N24*$J$4+$M$4*$J$5+[32]FormattedData!N24^2*$J$6+$M$5*$J$7</f>
        <v>45.977572149518444</v>
      </c>
      <c r="V12" s="39">
        <f>$J$3+[32]FormattedData!O24*$J$4+$M$4*$J$5+[32]FormattedData!O24^2*$J$6+$M$5*$J$7</f>
        <v>40.123693465591153</v>
      </c>
      <c r="W12" s="38">
        <f>AVERAGE(K12:V12)</f>
        <v>44.917589401890119</v>
      </c>
      <c r="X12" s="37">
        <f>STDEV(K12:V12)/SQRT(COUNT(K12:V12))</f>
        <v>1.8496189200939788</v>
      </c>
      <c r="Y12" s="36">
        <f>MIN(K12:V12)</f>
        <v>34.096682850297903</v>
      </c>
      <c r="Z12" s="35">
        <f>QUARTILE(K12:V12,1)</f>
        <v>41.164345843767514</v>
      </c>
      <c r="AA12" s="36">
        <f>MEDIAN(K12:V12)</f>
        <v>46.247534516344771</v>
      </c>
      <c r="AB12" s="35">
        <f>QUARTILE(K12:V12,3)</f>
        <v>48.793282964739603</v>
      </c>
      <c r="AC12" s="35">
        <f>MAX(K12:V12)</f>
        <v>55.80526113654188</v>
      </c>
      <c r="AD12" s="35">
        <f>SKEW(K12:V12)</f>
        <v>-0.2886345862427025</v>
      </c>
      <c r="AE12" s="35">
        <f>KURT(K12:V12)</f>
        <v>-0.29874360330295158</v>
      </c>
    </row>
    <row r="13" spans="1:35" x14ac:dyDescent="0.2">
      <c r="B13" s="34">
        <f>[32]FormattedData!A22</f>
        <v>104</v>
      </c>
      <c r="C13" s="34" t="str">
        <f>VLOOKUP($B13,[32]TrtCodes!$B$11:I65,2)</f>
        <v>NTL</v>
      </c>
      <c r="D13" s="34">
        <f>VLOOKUP($B13,[32]TrtCodes!$B$11:J65,3)</f>
        <v>10</v>
      </c>
      <c r="E13" s="34">
        <f>VLOOKUP($B13,[32]TrtCodes!$B$11:K65,4)</f>
        <v>2</v>
      </c>
      <c r="F13" s="34">
        <f>VLOOKUP($B13,[32]TrtCodes!$B$11:L65,5)</f>
        <v>2</v>
      </c>
      <c r="G13" s="34">
        <f>VLOOKUP($B13,[32]TrtCodes!$B$11:M65,6)</f>
        <v>1</v>
      </c>
      <c r="H13" s="34">
        <f>VLOOKUP($B13,[32]TrtCodes!$B$11:N65,7)</f>
        <v>1</v>
      </c>
      <c r="I13" s="34">
        <f>[32]FormattedData!B22</f>
        <v>1</v>
      </c>
      <c r="J13" s="37">
        <f>[32]FormattedData!C22</f>
        <v>13.122999999999999</v>
      </c>
      <c r="K13" s="39">
        <f>$J$3+[32]FormattedData!D22*$J$4+$M$4*$J$5+[32]FormattedData!D22^2*$J$6+$M$5*$J$7</f>
        <v>55.206564262542614</v>
      </c>
      <c r="L13" s="39">
        <f>$J$3+[32]FormattedData!E22*$J$4+$M$4*$J$5+[32]FormattedData!E22^2*$J$6+$M$5*$J$7</f>
        <v>54.002957039468193</v>
      </c>
      <c r="M13" s="39">
        <f>$J$3+[32]FormattedData!F22*$J$4+$M$4*$J$5+[32]FormattedData!F22^2*$J$6+$M$5*$J$7</f>
        <v>45.436125748500274</v>
      </c>
      <c r="N13" s="39">
        <f>$J$3+[32]FormattedData!G22*$J$4+$M$4*$J$5+[32]FormattedData!G22^2*$J$6+$M$5*$J$7</f>
        <v>46.337691046105256</v>
      </c>
      <c r="O13" s="39">
        <f>$J$3+[32]FormattedData!H22*$J$4+$M$4*$J$5+[32]FormattedData!H22^2*$J$6+$M$5*$J$7</f>
        <v>36.660441088321349</v>
      </c>
      <c r="P13" s="39">
        <f>$J$3+[32]FormattedData!I22*$J$4+$M$4*$J$5+[32]FormattedData!I22^2*$J$6+$M$5*$J$7</f>
        <v>53.743963358235</v>
      </c>
      <c r="Q13" s="39">
        <f>$J$3+[32]FormattedData!J22*$J$4+$M$4*$J$5+[32]FormattedData!J22^2*$J$6+$M$5*$J$7</f>
        <v>54.347690188248073</v>
      </c>
      <c r="R13" s="39">
        <f>$J$3+[32]FormattedData!K22*$J$4+$M$4*$J$5+[32]FormattedData!K22^2*$J$6+$M$5*$J$7</f>
        <v>52.704184464888435</v>
      </c>
      <c r="S13" s="39">
        <f>$J$3+[32]FormattedData!L22*$J$4+$M$4*$J$5+[32]FormattedData!L22^2*$J$6+$M$5*$J$7</f>
        <v>47.324530857339695</v>
      </c>
      <c r="T13" s="39">
        <f>$J$3+[32]FormattedData!M22*$J$4+$M$4*$J$5+[32]FormattedData!M22^2*$J$6+$M$5*$J$7</f>
        <v>52.877903632492171</v>
      </c>
      <c r="U13" s="39">
        <f>$J$3+[32]FormattedData!N22*$J$4+$M$4*$J$5+[32]FormattedData!N22^2*$J$6+$M$5*$J$7</f>
        <v>48.395250320451851</v>
      </c>
      <c r="V13" s="39">
        <f>$J$3+[32]FormattedData!O22*$J$4+$M$4*$J$5+[32]FormattedData!O22^2*$J$6+$M$5*$J$7</f>
        <v>42.522712338674587</v>
      </c>
      <c r="W13" s="38">
        <f>AVERAGE(K13:V13)</f>
        <v>49.130001195438957</v>
      </c>
      <c r="X13" s="37">
        <f>STDEV(K13:V13)/SQRT(COUNT(K13:V13))</f>
        <v>1.6523451892651735</v>
      </c>
      <c r="Y13" s="36">
        <f>MIN(K13:V13)</f>
        <v>36.660441088321349</v>
      </c>
      <c r="Z13" s="35">
        <f>QUARTILE(K13:V13,1)</f>
        <v>46.112299721704012</v>
      </c>
      <c r="AA13" s="36">
        <f>MEDIAN(K13:V13)</f>
        <v>50.549717392670146</v>
      </c>
      <c r="AB13" s="35">
        <f>QUARTILE(K13:V13,3)</f>
        <v>53.808711778543298</v>
      </c>
      <c r="AC13" s="35">
        <f>MAX(K13:V13)</f>
        <v>55.206564262542614</v>
      </c>
      <c r="AD13" s="35">
        <f>SKEW(K13:V13)</f>
        <v>-0.94653564176138627</v>
      </c>
      <c r="AE13" s="35">
        <f>KURT(K13:V13)</f>
        <v>0.34466563244263781</v>
      </c>
    </row>
    <row r="14" spans="1:35" x14ac:dyDescent="0.2">
      <c r="B14" s="34">
        <f>[32]FormattedData!A20</f>
        <v>105</v>
      </c>
      <c r="C14" s="34" t="str">
        <f>VLOOKUP($B14,[32]TrtCodes!$B$11:I63,2)</f>
        <v>NDL</v>
      </c>
      <c r="D14" s="34">
        <f>VLOOKUP($B14,[32]TrtCodes!$B$11:J63,3)</f>
        <v>12</v>
      </c>
      <c r="E14" s="34">
        <f>VLOOKUP($B14,[32]TrtCodes!$B$11:K63,4)</f>
        <v>2</v>
      </c>
      <c r="F14" s="34">
        <f>VLOOKUP($B14,[32]TrtCodes!$B$11:L63,5)</f>
        <v>3</v>
      </c>
      <c r="G14" s="34">
        <f>VLOOKUP($B14,[32]TrtCodes!$B$11:M63,6)</f>
        <v>1</v>
      </c>
      <c r="H14" s="34">
        <f>VLOOKUP($B14,[32]TrtCodes!$B$11:N63,7)</f>
        <v>2</v>
      </c>
      <c r="I14" s="34">
        <f>[32]FormattedData!B20</f>
        <v>1</v>
      </c>
      <c r="J14" s="37">
        <f>[32]FormattedData!C20</f>
        <v>13.106999999999999</v>
      </c>
      <c r="K14" s="39">
        <f>$J$3+[32]FormattedData!D20*$J$4+$M$4*$J$5+[32]FormattedData!D20^2*$J$6+$M$5*$J$7</f>
        <v>40.123693465591153</v>
      </c>
      <c r="L14" s="39">
        <f>$J$3+[32]FormattedData!E20*$J$4+$M$4*$J$5+[32]FormattedData!E20^2*$J$6+$M$5*$J$7</f>
        <v>32.755195656492106</v>
      </c>
      <c r="M14" s="39">
        <f>$J$3+[32]FormattedData!F20*$J$4+$M$4*$J$5+[32]FormattedData!F20^2*$J$6+$M$5*$J$7</f>
        <v>35.998721824266738</v>
      </c>
      <c r="N14" s="39">
        <f>$J$3+[32]FormattedData!G20*$J$4+$M$4*$J$5+[32]FormattedData!G20^2*$J$6+$M$5*$J$7</f>
        <v>33.522774212148626</v>
      </c>
      <c r="O14" s="39">
        <f>$J$3+[32]FormattedData!H20*$J$4+$M$4*$J$5+[32]FormattedData!H20^2*$J$6+$M$5*$J$7</f>
        <v>37.696101060866248</v>
      </c>
      <c r="P14" s="39">
        <f>$J$3+[32]FormattedData!I20*$J$4+$M$4*$J$5+[32]FormattedData!I20^2*$J$6+$M$5*$J$7</f>
        <v>34.287647581377549</v>
      </c>
      <c r="Q14" s="39">
        <f>$J$3+[32]FormattedData!J20*$J$4+$M$4*$J$5+[32]FormattedData!J20^2*$J$6+$M$5*$J$7</f>
        <v>35.619666622686772</v>
      </c>
      <c r="R14" s="39">
        <f>$J$3+[32]FormattedData!K20*$J$4+$M$4*$J$5+[32]FormattedData!K20^2*$J$6+$M$5*$J$7</f>
        <v>32.755195656492106</v>
      </c>
      <c r="S14" s="39">
        <f>$J$3+[32]FormattedData!L20*$J$4+$M$4*$J$5+[32]FormattedData!L20^2*$J$6+$M$5*$J$7</f>
        <v>33.426974832574324</v>
      </c>
      <c r="T14" s="39">
        <f>$J$3+[32]FormattedData!M20*$J$4+$M$4*$J$5+[32]FormattedData!M20^2*$J$6+$M$5*$J$7</f>
        <v>37.977666141354668</v>
      </c>
      <c r="U14" s="39">
        <f>$J$3+[32]FormattedData!N20*$J$4+$M$4*$J$5+[32]FormattedData!N20^2*$J$6+$M$5*$J$7</f>
        <v>34.85952732970614</v>
      </c>
      <c r="V14" s="39">
        <f>$J$3+[32]FormattedData!O20*$J$4+$M$4*$J$5+[32]FormattedData!O20^2*$J$6+$M$5*$J$7</f>
        <v>32.177736461156613</v>
      </c>
      <c r="W14" s="38">
        <f>AVERAGE(K14:V14)</f>
        <v>35.100075070392755</v>
      </c>
      <c r="X14" s="37">
        <f>STDEV(K14:V14)/SQRT(COUNT(K14:V14))</f>
        <v>0.7117849436191126</v>
      </c>
      <c r="Y14" s="36">
        <f>MIN(K14:V14)</f>
        <v>32.177736461156613</v>
      </c>
      <c r="Z14" s="35">
        <f>QUARTILE(K14:V14,1)</f>
        <v>33.259030038553767</v>
      </c>
      <c r="AA14" s="36">
        <f>MEDIAN(K14:V14)</f>
        <v>34.573587455541841</v>
      </c>
      <c r="AB14" s="35">
        <f>QUARTILE(K14:V14,3)</f>
        <v>36.423066633416617</v>
      </c>
      <c r="AC14" s="35">
        <f>MAX(K14:V14)</f>
        <v>40.123693465591153</v>
      </c>
      <c r="AD14" s="35">
        <f>SKEW(K14:V14)</f>
        <v>0.79372150888990389</v>
      </c>
      <c r="AE14" s="35">
        <f>KURT(K14:V14)</f>
        <v>-0.19875898582154505</v>
      </c>
    </row>
    <row r="15" spans="1:35" x14ac:dyDescent="0.2">
      <c r="B15" s="34">
        <f>[32]FormattedData!A18</f>
        <v>106</v>
      </c>
      <c r="C15" s="34" t="str">
        <f>VLOOKUP($B15,[32]TrtCodes!$B$11:I61,2)</f>
        <v>NTH</v>
      </c>
      <c r="D15" s="34">
        <f>VLOOKUP($B15,[32]TrtCodes!$B$11:J61,3)</f>
        <v>9</v>
      </c>
      <c r="E15" s="34">
        <f>VLOOKUP($B15,[32]TrtCodes!$B$11:K61,4)</f>
        <v>2</v>
      </c>
      <c r="F15" s="34">
        <f>VLOOKUP($B15,[32]TrtCodes!$B$11:L61,5)</f>
        <v>2</v>
      </c>
      <c r="G15" s="34">
        <f>VLOOKUP($B15,[32]TrtCodes!$B$11:M61,6)</f>
        <v>2</v>
      </c>
      <c r="H15" s="34">
        <f>VLOOKUP($B15,[32]TrtCodes!$B$11:N61,7)</f>
        <v>2</v>
      </c>
      <c r="I15" s="34">
        <f>[32]FormattedData!B18</f>
        <v>1</v>
      </c>
      <c r="J15" s="37">
        <f>[32]FormattedData!C18</f>
        <v>13.093</v>
      </c>
      <c r="K15" s="39">
        <f>$J$3+[32]FormattedData!D18*$J$4+$M$4*$J$5+[32]FormattedData!D18^2*$J$6+$M$5*$J$7</f>
        <v>52.617261478279666</v>
      </c>
      <c r="L15" s="39">
        <f>$J$3+[32]FormattedData!E18*$J$4+$M$4*$J$5+[32]FormattedData!E18^2*$J$6+$M$5*$J$7</f>
        <v>49.105681812825473</v>
      </c>
      <c r="M15" s="39">
        <f>$J$3+[32]FormattedData!F18*$J$4+$M$4*$J$5+[32]FormattedData!F18^2*$J$6+$M$5*$J$7</f>
        <v>44.530333597102171</v>
      </c>
      <c r="N15" s="39">
        <f>$J$3+[32]FormattedData!G18*$J$4+$M$4*$J$5+[32]FormattedData!G18^2*$J$6+$M$5*$J$7</f>
        <v>51.745706842605792</v>
      </c>
      <c r="O15" s="39">
        <f>$J$3+[32]FormattedData!H18*$J$4+$M$4*$J$5+[32]FormattedData!H18^2*$J$6+$M$5*$J$7</f>
        <v>46.247724724765455</v>
      </c>
      <c r="P15" s="39">
        <f>$J$3+[32]FormattedData!I18*$J$4+$M$4*$J$5+[32]FormattedData!I18^2*$J$6+$M$5*$J$7</f>
        <v>49.725090270411009</v>
      </c>
      <c r="Q15" s="39">
        <f>$J$3+[32]FormattedData!J18*$J$4+$M$4*$J$5+[32]FormattedData!J18^2*$J$6+$M$5*$J$7</f>
        <v>52.269146846465297</v>
      </c>
      <c r="R15" s="39">
        <f>$J$3+[32]FormattedData!K18*$J$4+$M$4*$J$5+[32]FormattedData!K18^2*$J$6+$M$5*$J$7</f>
        <v>46.337691046105256</v>
      </c>
      <c r="S15" s="39">
        <f>$J$3+[32]FormattedData!L18*$J$4+$M$4*$J$5+[32]FormattedData!L18^2*$J$6+$M$5*$J$7</f>
        <v>49.548327768076234</v>
      </c>
      <c r="T15" s="39">
        <f>$J$3+[32]FormattedData!M18*$J$4+$M$4*$J$5+[32]FormattedData!M18^2*$J$6+$M$5*$J$7</f>
        <v>46.607336398897097</v>
      </c>
      <c r="U15" s="39">
        <f>$J$3+[32]FormattedData!N18*$J$4+$M$4*$J$5+[32]FormattedData!N18^2*$J$6+$M$5*$J$7</f>
        <v>51.133103619627178</v>
      </c>
      <c r="V15" s="39">
        <f>$J$3+[32]FormattedData!O18*$J$4+$M$4*$J$5+[32]FormattedData!O18^2*$J$6+$M$5*$J$7</f>
        <v>39.659067870616205</v>
      </c>
      <c r="W15" s="38">
        <f>AVERAGE(K15:V15)</f>
        <v>48.293872689648076</v>
      </c>
      <c r="X15" s="37">
        <f>STDEV(K15:V15)/SQRT(COUNT(K15:V15))</f>
        <v>1.0952162351639265</v>
      </c>
      <c r="Y15" s="36">
        <f>MIN(K15:V15)</f>
        <v>39.659067870616205</v>
      </c>
      <c r="Z15" s="35">
        <f>QUARTILE(K15:V15,1)</f>
        <v>46.315199465770306</v>
      </c>
      <c r="AA15" s="36">
        <f>MEDIAN(K15:V15)</f>
        <v>49.327004790450857</v>
      </c>
      <c r="AB15" s="35">
        <f>QUARTILE(K15:V15,3)</f>
        <v>51.28625442537183</v>
      </c>
      <c r="AC15" s="35">
        <f>MAX(K15:V15)</f>
        <v>52.617261478279666</v>
      </c>
      <c r="AD15" s="35">
        <f>SKEW(K15:V15)</f>
        <v>-1.0085627616760482</v>
      </c>
      <c r="AE15" s="35">
        <f>KURT(K15:V15)</f>
        <v>0.99635368154303361</v>
      </c>
    </row>
    <row r="16" spans="1:35" x14ac:dyDescent="0.2">
      <c r="B16" s="34">
        <f>[32]FormattedData!A16</f>
        <v>107</v>
      </c>
      <c r="C16" s="34" t="str">
        <f>VLOOKUP($B16,[32]TrtCodes!$B$11:I59,2)</f>
        <v>NTL</v>
      </c>
      <c r="D16" s="34">
        <f>VLOOKUP($B16,[32]TrtCodes!$B$11:J59,3)</f>
        <v>10</v>
      </c>
      <c r="E16" s="34">
        <f>VLOOKUP($B16,[32]TrtCodes!$B$11:K59,4)</f>
        <v>2</v>
      </c>
      <c r="F16" s="34">
        <f>VLOOKUP($B16,[32]TrtCodes!$B$11:L59,5)</f>
        <v>2</v>
      </c>
      <c r="G16" s="34">
        <f>VLOOKUP($B16,[32]TrtCodes!$B$11:M59,6)</f>
        <v>1</v>
      </c>
      <c r="H16" s="34">
        <f>VLOOKUP($B16,[32]TrtCodes!$B$11:N59,7)</f>
        <v>2</v>
      </c>
      <c r="I16" s="34">
        <f>[32]FormattedData!B16</f>
        <v>1</v>
      </c>
      <c r="J16" s="37">
        <f>[32]FormattedData!C16</f>
        <v>13.076000000000001</v>
      </c>
      <c r="K16" s="39">
        <f>$J$3+[32]FormattedData!D16*$J$4+$M$4*$J$5+[32]FormattedData!D16^2*$J$6+$M$5*$J$7</f>
        <v>55.80526113654188</v>
      </c>
      <c r="L16" s="39">
        <f>$J$3+[32]FormattedData!E16*$J$4+$M$4*$J$5+[32]FormattedData!E16^2*$J$6+$M$5*$J$7</f>
        <v>55.890620187247194</v>
      </c>
      <c r="M16" s="39">
        <f>$J$3+[32]FormattedData!F16*$J$4+$M$4*$J$5+[32]FormattedData!F16^2*$J$6+$M$5*$J$7</f>
        <v>55.377831854946344</v>
      </c>
      <c r="N16" s="39">
        <f>$J$3+[32]FormattedData!G16*$J$4+$M$4*$J$5+[32]FormattedData!G16^2*$J$6+$M$5*$J$7</f>
        <v>49.371396191589717</v>
      </c>
      <c r="O16" s="39">
        <f>$J$3+[32]FormattedData!H16*$J$4+$M$4*$J$5+[32]FormattedData!H16^2*$J$6+$M$5*$J$7</f>
        <v>48.128141079935894</v>
      </c>
      <c r="P16" s="39">
        <f>$J$3+[32]FormattedData!I16*$J$4+$M$4*$J$5+[32]FormattedData!I16^2*$J$6+$M$5*$J$7</f>
        <v>54.605796230184708</v>
      </c>
      <c r="Q16" s="39">
        <f>$J$3+[32]FormattedData!J16*$J$4+$M$4*$J$5+[32]FormattedData!J16^2*$J$6+$M$5*$J$7</f>
        <v>55.035127595987149</v>
      </c>
      <c r="R16" s="39">
        <f>$J$3+[32]FormattedData!K16*$J$4+$M$4*$J$5+[32]FormattedData!K16^2*$J$6+$M$5*$J$7</f>
        <v>49.371396191589717</v>
      </c>
      <c r="S16" s="39">
        <f>$J$3+[32]FormattedData!L16*$J$4+$M$4*$J$5+[32]FormattedData!L16^2*$J$6+$M$5*$J$7</f>
        <v>53.398046690393045</v>
      </c>
      <c r="T16" s="39">
        <f>$J$3+[32]FormattedData!M16*$J$4+$M$4*$J$5+[32]FormattedData!M16^2*$J$6+$M$5*$J$7</f>
        <v>48.928327550959658</v>
      </c>
      <c r="U16" s="39">
        <f>$J$3+[32]FormattedData!N16*$J$4+$M$4*$J$5+[32]FormattedData!N16^2*$J$6+$M$5*$J$7</f>
        <v>53.138165369863302</v>
      </c>
      <c r="V16" s="39">
        <f>$J$3+[32]FormattedData!O16*$J$4+$M$4*$J$5+[32]FormattedData!O16^2*$J$6+$M$5*$J$7</f>
        <v>41.326774593588048</v>
      </c>
      <c r="W16" s="38">
        <f>AVERAGE(K16:V16)</f>
        <v>51.698073722735558</v>
      </c>
      <c r="X16" s="37">
        <f>STDEV(K16:V16)/SQRT(COUNT(K16:V16))</f>
        <v>1.2653548436958491</v>
      </c>
      <c r="Y16" s="36">
        <f>MIN(K16:V16)</f>
        <v>41.326774593588048</v>
      </c>
      <c r="Z16" s="35">
        <f>QUARTILE(K16:V16,1)</f>
        <v>49.260629031432202</v>
      </c>
      <c r="AA16" s="36">
        <f>MEDIAN(K16:V16)</f>
        <v>53.268106030128173</v>
      </c>
      <c r="AB16" s="35">
        <f>QUARTILE(K16:V16,3)</f>
        <v>55.120803660726949</v>
      </c>
      <c r="AC16" s="35">
        <f>MAX(K16:V16)</f>
        <v>55.890620187247194</v>
      </c>
      <c r="AD16" s="35">
        <f>SKEW(K16:V16)</f>
        <v>-1.2241661424755297</v>
      </c>
      <c r="AE16" s="35">
        <f>KURT(K16:V16)</f>
        <v>1.4452671651436448</v>
      </c>
    </row>
    <row r="17" spans="2:31" x14ac:dyDescent="0.2">
      <c r="B17" s="34">
        <f>[32]FormattedData!A14</f>
        <v>108</v>
      </c>
      <c r="C17" s="34" t="str">
        <f>VLOOKUP($B17,[32]TrtCodes!$B$11:I57,2)</f>
        <v>FTH</v>
      </c>
      <c r="D17" s="34">
        <f>VLOOKUP($B17,[32]TrtCodes!$B$11:J57,3)</f>
        <v>3</v>
      </c>
      <c r="E17" s="34">
        <f>VLOOKUP($B17,[32]TrtCodes!$B$11:K57,4)</f>
        <v>1</v>
      </c>
      <c r="F17" s="34">
        <f>VLOOKUP($B17,[32]TrtCodes!$B$11:L57,5)</f>
        <v>2</v>
      </c>
      <c r="G17" s="34">
        <f>VLOOKUP($B17,[32]TrtCodes!$B$11:M57,6)</f>
        <v>2</v>
      </c>
      <c r="H17" s="34">
        <f>VLOOKUP($B17,[32]TrtCodes!$B$11:N57,7)</f>
        <v>2</v>
      </c>
      <c r="I17" s="34">
        <f>[32]FormattedData!B14</f>
        <v>1</v>
      </c>
      <c r="J17" s="37">
        <f>[32]FormattedData!C14</f>
        <v>13.06</v>
      </c>
      <c r="K17" s="39">
        <f>$J$3+[32]FormattedData!D14*$J$4+$M$4*$J$5+[32]FormattedData!D14^2*$J$6+$M$5*$J$7</f>
        <v>56.656949559388124</v>
      </c>
      <c r="L17" s="39">
        <f>$J$3+[32]FormattedData!E14*$J$4+$M$4*$J$5+[32]FormattedData!E14^2*$J$6+$M$5*$J$7</f>
        <v>49.989917009878702</v>
      </c>
      <c r="M17" s="39">
        <f>$J$3+[32]FormattedData!F14*$J$4+$M$4*$J$5+[32]FormattedData!F14^2*$J$6+$M$5*$J$7</f>
        <v>46.876601334847557</v>
      </c>
      <c r="N17" s="39">
        <f>$J$3+[32]FormattedData!G14*$J$4+$M$4*$J$5+[32]FormattedData!G14^2*$J$6+$M$5*$J$7</f>
        <v>43.255123470772403</v>
      </c>
      <c r="O17" s="39">
        <f>$J$3+[32]FormattedData!H14*$J$4+$M$4*$J$5+[32]FormattedData!H14^2*$J$6+$M$5*$J$7</f>
        <v>54.175408150933997</v>
      </c>
      <c r="P17" s="39">
        <f>$J$3+[32]FormattedData!I14*$J$4+$M$4*$J$5+[32]FormattedData!I14^2*$J$6+$M$5*$J$7</f>
        <v>47.771403666383563</v>
      </c>
      <c r="Q17" s="39">
        <f>$J$3+[32]FormattedData!J14*$J$4+$M$4*$J$5+[32]FormattedData!J14^2*$J$6+$M$5*$J$7</f>
        <v>55.719859817298641</v>
      </c>
      <c r="R17" s="39">
        <f>$J$3+[32]FormattedData!K14*$J$4+$M$4*$J$5+[32]FormattedData!K14^2*$J$6+$M$5*$J$7</f>
        <v>38.071436631108284</v>
      </c>
      <c r="S17" s="39">
        <f>$J$3+[32]FormattedData!L14*$J$4+$M$4*$J$5+[32]FormattedData!L14^2*$J$6+$M$5*$J$7</f>
        <v>54.089203729470057</v>
      </c>
      <c r="T17" s="39">
        <f>$J$3+[32]FormattedData!M14*$J$4+$M$4*$J$5+[32]FormattedData!M14^2*$J$6+$M$5*$J$7</f>
        <v>36.943401030561496</v>
      </c>
      <c r="U17" s="39">
        <f>$J$3+[32]FormattedData!N14*$J$4+$M$4*$J$5+[32]FormattedData!N14^2*$J$6+$M$5*$J$7</f>
        <v>54.519803151410436</v>
      </c>
      <c r="V17" s="39">
        <f>$J$3+[32]FormattedData!O14*$J$4+$M$4*$J$5+[32]FormattedData!O14^2*$J$6+$M$5*$J$7</f>
        <v>46.697133646085184</v>
      </c>
      <c r="W17" s="38">
        <f>AVERAGE(K17:V17)</f>
        <v>48.730520099844874</v>
      </c>
      <c r="X17" s="37">
        <f>STDEV(K17:V17)/SQRT(COUNT(K17:V17))</f>
        <v>1.938773262575866</v>
      </c>
      <c r="Y17" s="36">
        <f>MIN(K17:V17)</f>
        <v>36.943401030561496</v>
      </c>
      <c r="Z17" s="35">
        <f>QUARTILE(K17:V17,1)</f>
        <v>45.836631102256987</v>
      </c>
      <c r="AA17" s="36">
        <f>MEDIAN(K17:V17)</f>
        <v>48.880660338131136</v>
      </c>
      <c r="AB17" s="35">
        <f>QUARTILE(K17:V17,3)</f>
        <v>54.26150690105311</v>
      </c>
      <c r="AC17" s="35">
        <f>MAX(K17:V17)</f>
        <v>56.656949559388124</v>
      </c>
      <c r="AD17" s="35">
        <f>SKEW(K17:V17)</f>
        <v>-0.60417306197079423</v>
      </c>
      <c r="AE17" s="35">
        <f>KURT(K17:V17)</f>
        <v>-0.75694213224927775</v>
      </c>
    </row>
    <row r="18" spans="2:31" x14ac:dyDescent="0.2">
      <c r="B18" s="34">
        <f>[32]FormattedData!A30</f>
        <v>201</v>
      </c>
      <c r="C18" s="34" t="str">
        <f>VLOOKUP($B18,[32]TrtCodes!$B$11:I73,2)</f>
        <v>NDL</v>
      </c>
      <c r="D18" s="34">
        <f>VLOOKUP($B18,[32]TrtCodes!$B$11:J73,3)</f>
        <v>12</v>
      </c>
      <c r="E18" s="34">
        <f>VLOOKUP($B18,[32]TrtCodes!$B$11:K73,4)</f>
        <v>2</v>
      </c>
      <c r="F18" s="34">
        <f>VLOOKUP($B18,[32]TrtCodes!$B$11:L73,5)</f>
        <v>3</v>
      </c>
      <c r="G18" s="34">
        <f>VLOOKUP($B18,[32]TrtCodes!$B$11:M73,6)</f>
        <v>1</v>
      </c>
      <c r="H18" s="34">
        <f>VLOOKUP($B18,[32]TrtCodes!$B$11:N73,7)</f>
        <v>1</v>
      </c>
      <c r="I18" s="34">
        <f>[32]FormattedData!B30</f>
        <v>1</v>
      </c>
      <c r="J18" s="37">
        <f>[32]FormattedData!C30</f>
        <v>13.19</v>
      </c>
      <c r="K18" s="39">
        <f>$J$3+[32]FormattedData!D30*$J$4+$M$4*$J$5+[32]FormattedData!D30^2*$J$6+$M$5*$J$7</f>
        <v>36.566036570498767</v>
      </c>
      <c r="L18" s="39">
        <f>$J$3+[32]FormattedData!E30*$J$4+$M$4*$J$5+[32]FormattedData!E30^2*$J$6+$M$5*$J$7</f>
        <v>38.446095904743416</v>
      </c>
      <c r="M18" s="39">
        <f>$J$3+[32]FormattedData!F30*$J$4+$M$4*$J$5+[32]FormattedData!F30^2*$J$6+$M$5*$J$7</f>
        <v>32.659058128614355</v>
      </c>
      <c r="N18" s="39">
        <f>$J$3+[32]FormattedData!G30*$J$4+$M$4*$J$5+[32]FormattedData!G30^2*$J$6+$M$5*$J$7</f>
        <v>34.954692681211483</v>
      </c>
      <c r="O18" s="39">
        <f>$J$3+[32]FormattedData!H30*$J$4+$M$4*$J$5+[32]FormattedData!H30^2*$J$6+$M$5*$J$7</f>
        <v>30.339076898168891</v>
      </c>
      <c r="P18" s="39">
        <f>$J$3+[32]FormattedData!I30*$J$4+$M$4*$J$5+[32]FormattedData!I30^2*$J$6+$M$5*$J$7</f>
        <v>36.943401030561496</v>
      </c>
      <c r="Q18" s="39">
        <f>$J$3+[32]FormattedData!J30*$J$4+$M$4*$J$5+[32]FormattedData!J30^2*$J$6+$M$5*$J$7</f>
        <v>32.370391933753503</v>
      </c>
      <c r="R18" s="39">
        <f>$J$3+[32]FormattedData!K30*$J$4+$M$4*$J$5+[32]FormattedData!K30^2*$J$6+$M$5*$J$7</f>
        <v>36.377100729239821</v>
      </c>
      <c r="S18" s="39">
        <f>$J$3+[32]FormattedData!L30*$J$4+$M$4*$J$5+[32]FormattedData!L30^2*$J$6+$M$5*$J$7</f>
        <v>32.947343906633826</v>
      </c>
      <c r="T18" s="39">
        <f>$J$3+[32]FormattedData!M30*$J$4+$M$4*$J$5+[32]FormattedData!M30^2*$J$6+$M$5*$J$7</f>
        <v>36.754803337605992</v>
      </c>
      <c r="U18" s="39">
        <f>$J$3+[32]FormattedData!N30*$J$4+$M$4*$J$5+[32]FormattedData!N30^2*$J$6+$M$5*$J$7</f>
        <v>35.239935124499901</v>
      </c>
      <c r="V18" s="39">
        <f>$J$3+[32]FormattedData!O30*$J$4+$M$4*$J$5+[32]FormattedData!O30^2*$J$6+$M$5*$J$7</f>
        <v>31.502110848122665</v>
      </c>
      <c r="W18" s="38">
        <f>AVERAGE(K18:V18)</f>
        <v>34.591670591137834</v>
      </c>
      <c r="X18" s="37">
        <f>STDEV(K18:V18)/SQRT(COUNT(K18:V18))</f>
        <v>0.73704518667692798</v>
      </c>
      <c r="Y18" s="36">
        <f>MIN(K18:V18)</f>
        <v>30.339076898168891</v>
      </c>
      <c r="Z18" s="35">
        <f>QUARTILE(K18:V18,1)</f>
        <v>32.586891579899145</v>
      </c>
      <c r="AA18" s="36">
        <f>MEDIAN(K18:V18)</f>
        <v>35.097313902855689</v>
      </c>
      <c r="AB18" s="35">
        <f>QUARTILE(K18:V18,3)</f>
        <v>36.61322826227557</v>
      </c>
      <c r="AC18" s="35">
        <f>MAX(K18:V18)</f>
        <v>38.446095904743416</v>
      </c>
      <c r="AD18" s="35">
        <f>SKEW(K18:V18)</f>
        <v>-0.22889059507040396</v>
      </c>
      <c r="AE18" s="35">
        <f>KURT(K18:V18)</f>
        <v>-1.2058279436127455</v>
      </c>
    </row>
    <row r="19" spans="2:31" x14ac:dyDescent="0.2">
      <c r="B19" s="34">
        <f>[32]FormattedData!A32</f>
        <v>202</v>
      </c>
      <c r="C19" s="34" t="str">
        <f>VLOOKUP($B19,[32]TrtCodes!$B$11:I75,2)</f>
        <v>NTH</v>
      </c>
      <c r="D19" s="34">
        <f>VLOOKUP($B19,[32]TrtCodes!$B$11:J75,3)</f>
        <v>9</v>
      </c>
      <c r="E19" s="34">
        <f>VLOOKUP($B19,[32]TrtCodes!$B$11:K75,4)</f>
        <v>2</v>
      </c>
      <c r="F19" s="34">
        <f>VLOOKUP($B19,[32]TrtCodes!$B$11:L75,5)</f>
        <v>2</v>
      </c>
      <c r="G19" s="34">
        <f>VLOOKUP($B19,[32]TrtCodes!$B$11:M75,6)</f>
        <v>2</v>
      </c>
      <c r="H19" s="34">
        <f>VLOOKUP($B19,[32]TrtCodes!$B$11:N75,7)</f>
        <v>1</v>
      </c>
      <c r="I19" s="34">
        <f>[32]FormattedData!B32</f>
        <v>1</v>
      </c>
      <c r="J19" s="37">
        <f>[32]FormattedData!C32</f>
        <v>13.205</v>
      </c>
      <c r="K19" s="39">
        <f>$J$3+[32]FormattedData!D32*$J$4+$M$4*$J$5+[32]FormattedData!D32^2*$J$6+$M$5*$J$7</f>
        <v>55.719859817298641</v>
      </c>
      <c r="L19" s="39">
        <f>$J$3+[32]FormattedData!E32*$J$4+$M$4*$J$5+[32]FormattedData!E32^2*$J$6+$M$5*$J$7</f>
        <v>55.292219193013445</v>
      </c>
      <c r="M19" s="39">
        <f>$J$3+[32]FormattedData!F32*$J$4+$M$4*$J$5+[32]FormattedData!F32^2*$J$6+$M$5*$J$7</f>
        <v>48.839587017219856</v>
      </c>
      <c r="N19" s="39">
        <f>$J$3+[32]FormattedData!G32*$J$4+$M$4*$J$5+[32]FormattedData!G32^2*$J$6+$M$5*$J$7</f>
        <v>51.658318902079778</v>
      </c>
      <c r="O19" s="39">
        <f>$J$3+[32]FormattedData!H32*$J$4+$M$4*$J$5+[32]FormattedData!H32^2*$J$6+$M$5*$J$7</f>
        <v>51.745706842605792</v>
      </c>
      <c r="P19" s="39">
        <f>$J$3+[32]FormattedData!I32*$J$4+$M$4*$J$5+[32]FormattedData!I32^2*$J$6+$M$5*$J$7</f>
        <v>43.802656541252652</v>
      </c>
      <c r="Q19" s="39">
        <f>$J$3+[32]FormattedData!J32*$J$4+$M$4*$J$5+[32]FormattedData!J32^2*$J$6+$M$5*$J$7</f>
        <v>52.007617052956235</v>
      </c>
      <c r="R19" s="39">
        <f>$J$3+[32]FormattedData!K32*$J$4+$M$4*$J$5+[32]FormattedData!K32^2*$J$6+$M$5*$J$7</f>
        <v>53.6575475940814</v>
      </c>
      <c r="S19" s="39">
        <f>$J$3+[32]FormattedData!L32*$J$4+$M$4*$J$5+[32]FormattedData!L32^2*$J$6+$M$5*$J$7</f>
        <v>53.398046690393045</v>
      </c>
      <c r="T19" s="39">
        <f>$J$3+[32]FormattedData!M32*$J$4+$M$4*$J$5+[32]FormattedData!M32^2*$J$6+$M$5*$J$7</f>
        <v>46.966271776421848</v>
      </c>
      <c r="U19" s="39">
        <f>$J$3+[32]FormattedData!N32*$J$4+$M$4*$J$5+[32]FormattedData!N32^2*$J$6+$M$5*$J$7</f>
        <v>49.901683698594063</v>
      </c>
      <c r="V19" s="39">
        <f>$J$3+[32]FormattedData!O32*$J$4+$M$4*$J$5+[32]FormattedData!O32^2*$J$6+$M$5*$J$7</f>
        <v>38.913468954683879</v>
      </c>
      <c r="W19" s="38">
        <f>AVERAGE(K19:V19)</f>
        <v>50.158582006716721</v>
      </c>
      <c r="X19" s="37">
        <f>STDEV(K19:V19)/SQRT(COUNT(K19:V19))</f>
        <v>1.4223672784454677</v>
      </c>
      <c r="Y19" s="36">
        <f>MIN(K19:V19)</f>
        <v>38.913468954683879</v>
      </c>
      <c r="Z19" s="35">
        <f>QUARTILE(K19:V19,1)</f>
        <v>48.371258207020354</v>
      </c>
      <c r="AA19" s="36">
        <f>MEDIAN(K19:V19)</f>
        <v>51.702012872342785</v>
      </c>
      <c r="AB19" s="35">
        <f>QUARTILE(K19:V19,3)</f>
        <v>53.462921916315132</v>
      </c>
      <c r="AC19" s="35">
        <f>MAX(K19:V19)</f>
        <v>55.719859817298641</v>
      </c>
      <c r="AD19" s="35">
        <f>SKEW(K19:V19)</f>
        <v>-1.1999418549336418</v>
      </c>
      <c r="AE19" s="35">
        <f>KURT(K19:V19)</f>
        <v>1.2236458231788996</v>
      </c>
    </row>
    <row r="20" spans="2:31" x14ac:dyDescent="0.2">
      <c r="B20" s="34">
        <f>[32]FormattedData!A34</f>
        <v>203</v>
      </c>
      <c r="C20" s="34" t="str">
        <f>VLOOKUP($B20,[32]TrtCodes!$B$11:I77,2)</f>
        <v>FTH</v>
      </c>
      <c r="D20" s="34">
        <f>VLOOKUP($B20,[32]TrtCodes!$B$11:J77,3)</f>
        <v>3</v>
      </c>
      <c r="E20" s="34">
        <f>VLOOKUP($B20,[32]TrtCodes!$B$11:K77,4)</f>
        <v>1</v>
      </c>
      <c r="F20" s="34">
        <f>VLOOKUP($B20,[32]TrtCodes!$B$11:L77,5)</f>
        <v>2</v>
      </c>
      <c r="G20" s="34">
        <f>VLOOKUP($B20,[32]TrtCodes!$B$11:M77,6)</f>
        <v>2</v>
      </c>
      <c r="H20" s="34">
        <f>VLOOKUP($B20,[32]TrtCodes!$B$11:N77,7)</f>
        <v>1</v>
      </c>
      <c r="I20" s="34">
        <f>[32]FormattedData!B34</f>
        <v>1</v>
      </c>
      <c r="J20" s="37">
        <f>[32]FormattedData!C34</f>
        <v>13.221</v>
      </c>
      <c r="K20" s="39">
        <f>$J$3+[32]FormattedData!D34*$J$4+$M$4*$J$5+[32]FormattedData!D34^2*$J$6+$M$5*$J$7</f>
        <v>50.518429238289933</v>
      </c>
      <c r="L20" s="39">
        <f>$J$3+[32]FormattedData!E34*$J$4+$M$4*$J$5+[32]FormattedData!E34^2*$J$6+$M$5*$J$7</f>
        <v>56.826780021502195</v>
      </c>
      <c r="M20" s="39">
        <f>$J$3+[32]FormattedData!F34*$J$4+$M$4*$J$5+[32]FormattedData!F34^2*$J$6+$M$5*$J$7</f>
        <v>50.166256826834164</v>
      </c>
      <c r="N20" s="39">
        <f>$J$3+[32]FormattedData!G34*$J$4+$M$4*$J$5+[32]FormattedData!G34^2*$J$6+$M$5*$J$7</f>
        <v>53.224834745244472</v>
      </c>
      <c r="O20" s="39">
        <f>$J$3+[32]FormattedData!H34*$J$4+$M$4*$J$5+[32]FormattedData!H34^2*$J$6+$M$5*$J$7</f>
        <v>38.165164852323969</v>
      </c>
      <c r="P20" s="39">
        <f>$J$3+[32]FormattedData!I34*$J$4+$M$4*$J$5+[32]FormattedData!I34^2*$J$6+$M$5*$J$7</f>
        <v>53.57108956138989</v>
      </c>
      <c r="Q20" s="39">
        <f>$J$3+[32]FormattedData!J34*$J$4+$M$4*$J$5+[32]FormattedData!J34^2*$J$6+$M$5*$J$7</f>
        <v>40.679849317809349</v>
      </c>
      <c r="R20" s="39">
        <f>$J$3+[32]FormattedData!K34*$J$4+$M$4*$J$5+[32]FormattedData!K34^2*$J$6+$M$5*$J$7</f>
        <v>55.292219193013445</v>
      </c>
      <c r="S20" s="39">
        <f>$J$3+[32]FormattedData!L34*$J$4+$M$4*$J$5+[32]FormattedData!L34^2*$J$6+$M$5*$J$7</f>
        <v>55.548930373198353</v>
      </c>
      <c r="T20" s="39">
        <f>$J$3+[32]FormattedData!M34*$J$4+$M$4*$J$5+[32]FormattedData!M34^2*$J$6+$M$5*$J$7</f>
        <v>44.439521905003737</v>
      </c>
      <c r="U20" s="39">
        <f>$J$3+[32]FormattedData!N34*$J$4+$M$4*$J$5+[32]FormattedData!N34^2*$J$6+$M$5*$J$7</f>
        <v>47.592781348379809</v>
      </c>
      <c r="V20" s="39">
        <f>$J$3+[32]FormattedData!O34*$J$4+$M$4*$J$5+[32]FormattedData!O34^2*$J$6+$M$5*$J$7</f>
        <v>50.078108052625396</v>
      </c>
      <c r="W20" s="38">
        <f>AVERAGE(K20:V20)</f>
        <v>49.675330452967899</v>
      </c>
      <c r="X20" s="37">
        <f>STDEV(K20:V20)/SQRT(COUNT(K20:V20))</f>
        <v>1.7215987874567007</v>
      </c>
      <c r="Y20" s="36">
        <f>MIN(K20:V20)</f>
        <v>38.165164852323969</v>
      </c>
      <c r="Z20" s="35">
        <f>QUARTILE(K20:V20,1)</f>
        <v>46.804466487535791</v>
      </c>
      <c r="AA20" s="36">
        <f>MEDIAN(K20:V20)</f>
        <v>50.342343032562049</v>
      </c>
      <c r="AB20" s="35">
        <f>QUARTILE(K20:V20,3)</f>
        <v>54.001371969295775</v>
      </c>
      <c r="AC20" s="35">
        <f>MAX(K20:V20)</f>
        <v>56.826780021502195</v>
      </c>
      <c r="AD20" s="35">
        <f>SKEW(K20:V20)</f>
        <v>-0.79982574471858259</v>
      </c>
      <c r="AE20" s="35">
        <f>KURT(K20:V20)</f>
        <v>-0.28875902546386678</v>
      </c>
    </row>
    <row r="21" spans="2:31" x14ac:dyDescent="0.2">
      <c r="B21" s="34">
        <f>[32]FormattedData!A36</f>
        <v>204</v>
      </c>
      <c r="C21" s="34" t="str">
        <f>VLOOKUP($B21,[32]TrtCodes!$B$11:I79,2)</f>
        <v>NDH</v>
      </c>
      <c r="D21" s="34">
        <f>VLOOKUP($B21,[32]TrtCodes!$B$11:J79,3)</f>
        <v>11</v>
      </c>
      <c r="E21" s="34">
        <f>VLOOKUP($B21,[32]TrtCodes!$B$11:K79,4)</f>
        <v>2</v>
      </c>
      <c r="F21" s="34">
        <f>VLOOKUP($B21,[32]TrtCodes!$B$11:L79,5)</f>
        <v>3</v>
      </c>
      <c r="G21" s="34">
        <f>VLOOKUP($B21,[32]TrtCodes!$B$11:M79,6)</f>
        <v>2</v>
      </c>
      <c r="H21" s="34">
        <f>VLOOKUP($B21,[32]TrtCodes!$B$11:N79,7)</f>
        <v>1</v>
      </c>
      <c r="I21" s="34">
        <f>[32]FormattedData!B36</f>
        <v>1</v>
      </c>
      <c r="J21" s="37">
        <f>[32]FormattedData!C36</f>
        <v>13.236000000000001</v>
      </c>
      <c r="K21" s="39">
        <f>$J$3+[32]FormattedData!D36*$J$4+$M$4*$J$5+[32]FormattedData!D36^2*$J$6+$M$5*$J$7</f>
        <v>35.998721824266738</v>
      </c>
      <c r="L21" s="39">
        <f>$J$3+[32]FormattedData!E36*$J$4+$M$4*$J$5+[32]FormattedData!E36^2*$J$6+$M$5*$J$7</f>
        <v>36.187995813829147</v>
      </c>
      <c r="M21" s="39">
        <f>$J$3+[32]FormattedData!F36*$J$4+$M$4*$J$5+[32]FormattedData!F36^2*$J$6+$M$5*$J$7</f>
        <v>32.466656267245057</v>
      </c>
      <c r="N21" s="39">
        <f>$J$3+[32]FormattedData!G36*$J$4+$M$4*$J$5+[32]FormattedData!G36^2*$J$6+$M$5*$J$7</f>
        <v>35.904021426678653</v>
      </c>
      <c r="O21" s="39">
        <f>$J$3+[32]FormattedData!H36*$J$4+$M$4*$J$5+[32]FormattedData!H36^2*$J$6+$M$5*$J$7</f>
        <v>35.998721824266738</v>
      </c>
      <c r="P21" s="39">
        <f>$J$3+[32]FormattedData!I36*$J$4+$M$4*$J$5+[32]FormattedData!I36^2*$J$6+$M$5*$J$7</f>
        <v>37.03763647423235</v>
      </c>
      <c r="Q21" s="39">
        <f>$J$3+[32]FormattedData!J36*$J$4+$M$4*$J$5+[32]FormattedData!J36^2*$J$6+$M$5*$J$7</f>
        <v>33.043354628897788</v>
      </c>
      <c r="R21" s="39">
        <f>$J$3+[32]FormattedData!K36*$J$4+$M$4*$J$5+[32]FormattedData!K36^2*$J$6+$M$5*$J$7</f>
        <v>36.943401030561496</v>
      </c>
      <c r="S21" s="39">
        <f>$J$3+[32]FormattedData!L36*$J$4+$M$4*$J$5+[32]FormattedData!L36^2*$J$6+$M$5*$J$7</f>
        <v>32.562878332198672</v>
      </c>
      <c r="T21" s="39">
        <f>$J$3+[32]FormattedData!M36*$J$4+$M$4*$J$5+[32]FormattedData!M36^2*$J$6+$M$5*$J$7</f>
        <v>34.287647581377549</v>
      </c>
      <c r="U21" s="39">
        <f>$J$3+[32]FormattedData!N36*$J$4+$M$4*$J$5+[32]FormattedData!N36^2*$J$6+$M$5*$J$7</f>
        <v>34.096682850297903</v>
      </c>
      <c r="V21" s="39">
        <f>$J$3+[32]FormattedData!O36*$J$4+$M$4*$J$5+[32]FormattedData!O36^2*$J$6+$M$5*$J$7</f>
        <v>32.370391933753503</v>
      </c>
      <c r="W21" s="38">
        <f>AVERAGE(K21:V21)</f>
        <v>34.741509165633808</v>
      </c>
      <c r="X21" s="37">
        <f>STDEV(K21:V21)/SQRT(COUNT(K21:V21))</f>
        <v>0.52059522468196295</v>
      </c>
      <c r="Y21" s="36">
        <f>MIN(K21:V21)</f>
        <v>32.370391933753503</v>
      </c>
      <c r="Z21" s="35">
        <f>QUARTILE(K21:V21,1)</f>
        <v>32.923235554723007</v>
      </c>
      <c r="AA21" s="36">
        <f>MEDIAN(K21:V21)</f>
        <v>35.095834504028105</v>
      </c>
      <c r="AB21" s="35">
        <f>QUARTILE(K21:V21,3)</f>
        <v>36.046040321657344</v>
      </c>
      <c r="AC21" s="35">
        <f>MAX(K21:V21)</f>
        <v>37.03763647423235</v>
      </c>
      <c r="AD21" s="35">
        <f>SKEW(K21:V21)</f>
        <v>-0.173902503594419</v>
      </c>
      <c r="AE21" s="35">
        <f>KURT(K21:V21)</f>
        <v>-1.7695592630130825</v>
      </c>
    </row>
    <row r="22" spans="2:31" x14ac:dyDescent="0.2">
      <c r="B22" s="34">
        <f>[32]FormattedData!A38</f>
        <v>205</v>
      </c>
      <c r="C22" s="34" t="str">
        <f>VLOOKUP($B22,[32]TrtCodes!$B$11:I81,2)</f>
        <v>FSH</v>
      </c>
      <c r="D22" s="34">
        <f>VLOOKUP($B22,[32]TrtCodes!$B$11:J81,3)</f>
        <v>1</v>
      </c>
      <c r="E22" s="34">
        <f>VLOOKUP($B22,[32]TrtCodes!$B$11:K81,4)</f>
        <v>1</v>
      </c>
      <c r="F22" s="34">
        <f>VLOOKUP($B22,[32]TrtCodes!$B$11:L81,5)</f>
        <v>1</v>
      </c>
      <c r="G22" s="34">
        <f>VLOOKUP($B22,[32]TrtCodes!$B$11:M81,6)</f>
        <v>2</v>
      </c>
      <c r="H22" s="34">
        <f>VLOOKUP($B22,[32]TrtCodes!$B$11:N81,7)</f>
        <v>2</v>
      </c>
      <c r="I22" s="34">
        <f>[32]FormattedData!B38</f>
        <v>1</v>
      </c>
      <c r="J22" s="37">
        <f>[32]FormattedData!C38</f>
        <v>13.252000000000001</v>
      </c>
      <c r="K22" s="39">
        <f>$J$3+[32]FormattedData!D38*$J$4+$M$4*$J$5+[32]FormattedData!D38^2*$J$6+$M$5*$J$7</f>
        <v>55.719859817298641</v>
      </c>
      <c r="L22" s="39">
        <f>$J$3+[32]FormattedData!E38*$J$4+$M$4*$J$5+[32]FormattedData!E38^2*$J$6+$M$5*$J$7</f>
        <v>54.347690188248073</v>
      </c>
      <c r="M22" s="39">
        <f>$J$3+[32]FormattedData!F38*$J$4+$M$4*$J$5+[32]FormattedData!F38^2*$J$6+$M$5*$J$7</f>
        <v>54.949345859902529</v>
      </c>
      <c r="N22" s="39">
        <f>$J$3+[32]FormattedData!G38*$J$4+$M$4*$J$5+[32]FormattedData!G38^2*$J$6+$M$5*$J$7</f>
        <v>50.166256826834164</v>
      </c>
      <c r="O22" s="39">
        <f>$J$3+[32]FormattedData!H38*$J$4+$M$4*$J$5+[32]FormattedData!H38^2*$J$6+$M$5*$J$7</f>
        <v>54.002957039468193</v>
      </c>
      <c r="P22" s="39">
        <f>$J$3+[32]FormattedData!I38*$J$4+$M$4*$J$5+[32]FormattedData!I38^2*$J$6+$M$5*$J$7</f>
        <v>49.194295540951494</v>
      </c>
      <c r="Q22" s="39">
        <f>$J$3+[32]FormattedData!J38*$J$4+$M$4*$J$5+[32]FormattedData!J38^2*$J$6+$M$5*$J$7</f>
        <v>52.269146846465297</v>
      </c>
      <c r="R22" s="39">
        <f>$J$3+[32]FormattedData!K38*$J$4+$M$4*$J$5+[32]FormattedData!K38^2*$J$6+$M$5*$J$7</f>
        <v>58.935395166376367</v>
      </c>
      <c r="S22" s="39">
        <f>$J$3+[32]FormattedData!L38*$J$4+$M$4*$J$5+[32]FormattedData!L38^2*$J$6+$M$5*$J$7</f>
        <v>56.911631849752332</v>
      </c>
      <c r="T22" s="39">
        <f>$J$3+[32]FormattedData!M38*$J$4+$M$4*$J$5+[32]FormattedData!M38^2*$J$6+$M$5*$J$7</f>
        <v>52.269146846465297</v>
      </c>
      <c r="U22" s="39">
        <f>$J$3+[32]FormattedData!N38*$J$4+$M$4*$J$5+[32]FormattedData!N38^2*$J$6+$M$5*$J$7</f>
        <v>47.860651422578542</v>
      </c>
      <c r="V22" s="39">
        <f>$J$3+[32]FormattedData!O38*$J$4+$M$4*$J$5+[32]FormattedData!O38^2*$J$6+$M$5*$J$7</f>
        <v>55.719859817298641</v>
      </c>
      <c r="W22" s="38">
        <f>AVERAGE(K22:V22)</f>
        <v>53.528853101803293</v>
      </c>
      <c r="X22" s="37">
        <f>STDEV(K22:V22)/SQRT(COUNT(K22:V22))</f>
        <v>0.94782706570016539</v>
      </c>
      <c r="Y22" s="36">
        <f>MIN(K22:V22)</f>
        <v>47.860651422578542</v>
      </c>
      <c r="Z22" s="35">
        <f>QUARTILE(K22:V22,1)</f>
        <v>51.743424341557514</v>
      </c>
      <c r="AA22" s="36">
        <f>MEDIAN(K22:V22)</f>
        <v>54.175323613858133</v>
      </c>
      <c r="AB22" s="35">
        <f>QUARTILE(K22:V22,3)</f>
        <v>55.719859817298641</v>
      </c>
      <c r="AC22" s="35">
        <f>MAX(K22:V22)</f>
        <v>58.935395166376367</v>
      </c>
      <c r="AD22" s="35">
        <f>SKEW(K22:V22)</f>
        <v>-0.25970185090235925</v>
      </c>
      <c r="AE22" s="35">
        <f>KURT(K22:V22)</f>
        <v>-0.57026825134134773</v>
      </c>
    </row>
    <row r="23" spans="2:31" x14ac:dyDescent="0.2">
      <c r="B23" s="34">
        <f>[32]FormattedData!A40</f>
        <v>206</v>
      </c>
      <c r="C23" s="34" t="str">
        <f>VLOOKUP($B23,[32]TrtCodes!$B$11:I83,2)</f>
        <v>NSL</v>
      </c>
      <c r="D23" s="34">
        <f>VLOOKUP($B23,[32]TrtCodes!$B$11:J83,3)</f>
        <v>8</v>
      </c>
      <c r="E23" s="34">
        <f>VLOOKUP($B23,[32]TrtCodes!$B$11:K83,4)</f>
        <v>2</v>
      </c>
      <c r="F23" s="34">
        <f>VLOOKUP($B23,[32]TrtCodes!$B$11:L83,5)</f>
        <v>1</v>
      </c>
      <c r="G23" s="34">
        <f>VLOOKUP($B23,[32]TrtCodes!$B$11:M83,6)</f>
        <v>1</v>
      </c>
      <c r="H23" s="34">
        <f>VLOOKUP($B23,[32]TrtCodes!$B$11:N83,7)</f>
        <v>2</v>
      </c>
      <c r="I23" s="34">
        <f>[32]FormattedData!B40</f>
        <v>1</v>
      </c>
      <c r="J23" s="37">
        <f>[32]FormattedData!C40</f>
        <v>13.268000000000001</v>
      </c>
      <c r="K23" s="39">
        <f>$J$3+[32]FormattedData!D40*$J$4+$M$4*$J$5+[32]FormattedData!D40^2*$J$6+$M$5*$J$7</f>
        <v>38.82007888177165</v>
      </c>
      <c r="L23" s="39">
        <f>$J$3+[32]FormattedData!E40*$J$4+$M$4*$J$5+[32]FormattedData!E40^2*$J$6+$M$5*$J$7</f>
        <v>40.864896453578631</v>
      </c>
      <c r="M23" s="39">
        <f>$J$3+[32]FormattedData!F40*$J$4+$M$4*$J$5+[32]FormattedData!F40^2*$J$6+$M$5*$J$7</f>
        <v>37.225980555960263</v>
      </c>
      <c r="N23" s="39">
        <f>$J$3+[32]FormattedData!G40*$J$4+$M$4*$J$5+[32]FormattedData!G40^2*$J$6+$M$5*$J$7</f>
        <v>40.21649177897234</v>
      </c>
      <c r="O23" s="39">
        <f>$J$3+[32]FormattedData!H40*$J$4+$M$4*$J$5+[32]FormattedData!H40^2*$J$6+$M$5*$J$7</f>
        <v>41.695516271912823</v>
      </c>
      <c r="P23" s="39">
        <f>$J$3+[32]FormattedData!I40*$J$4+$M$4*$J$5+[32]FormattedData!I40^2*$J$6+$M$5*$J$7</f>
        <v>40.21649177897234</v>
      </c>
      <c r="Q23" s="39">
        <f>$J$3+[32]FormattedData!J40*$J$4+$M$4*$J$5+[32]FormattedData!J40^2*$J$6+$M$5*$J$7</f>
        <v>39.006816759058182</v>
      </c>
      <c r="R23" s="39">
        <f>$J$3+[32]FormattedData!K40*$J$4+$M$4*$J$5+[32]FormattedData!K40^2*$J$6+$M$5*$J$7</f>
        <v>41.049774515196198</v>
      </c>
      <c r="S23" s="39">
        <f>$J$3+[32]FormattedData!L40*$J$4+$M$4*$J$5+[32]FormattedData!L40^2*$J$6+$M$5*$J$7</f>
        <v>37.03763647423235</v>
      </c>
      <c r="T23" s="39">
        <f>$J$3+[32]FormattedData!M40*$J$4+$M$4*$J$5+[32]FormattedData!M40^2*$J$6+$M$5*$J$7</f>
        <v>43.072274298975536</v>
      </c>
      <c r="U23" s="39">
        <f>$J$3+[32]FormattedData!N40*$J$4+$M$4*$J$5+[32]FormattedData!N40^2*$J$6+$M$5*$J$7</f>
        <v>39.37978529117607</v>
      </c>
      <c r="V23" s="39">
        <f>$J$3+[32]FormattedData!O40*$J$4+$M$4*$J$5+[32]FormattedData!O40^2*$J$6+$M$5*$J$7</f>
        <v>43.255123470772403</v>
      </c>
      <c r="W23" s="38">
        <f>AVERAGE(K23:V23)</f>
        <v>40.153405544214891</v>
      </c>
      <c r="X23" s="37">
        <f>STDEV(K23:V23)/SQRT(COUNT(K23:V23))</f>
        <v>0.57606922247179959</v>
      </c>
      <c r="Y23" s="36">
        <f>MIN(K23:V23)</f>
        <v>37.03763647423235</v>
      </c>
      <c r="Z23" s="35">
        <f>QUARTILE(K23:V23,1)</f>
        <v>38.960132289736549</v>
      </c>
      <c r="AA23" s="36">
        <f>MEDIAN(K23:V23)</f>
        <v>40.21649177897234</v>
      </c>
      <c r="AB23" s="35">
        <f>QUARTILE(K23:V23,3)</f>
        <v>41.211209954375356</v>
      </c>
      <c r="AC23" s="35">
        <f>MAX(K23:V23)</f>
        <v>43.255123470772403</v>
      </c>
      <c r="AD23" s="35">
        <f>SKEW(K23:V23)</f>
        <v>-3.0097503309271189E-3</v>
      </c>
      <c r="AE23" s="35">
        <f>KURT(K23:V23)</f>
        <v>-0.60890420284005842</v>
      </c>
    </row>
    <row r="24" spans="2:31" x14ac:dyDescent="0.2">
      <c r="B24" s="34">
        <f>[32]FormattedData!A42</f>
        <v>207</v>
      </c>
      <c r="C24" s="34" t="str">
        <f>VLOOKUP($B24,[32]TrtCodes!$B$11:I85,2)</f>
        <v>FTL</v>
      </c>
      <c r="D24" s="34">
        <f>VLOOKUP($B24,[32]TrtCodes!$B$11:J85,3)</f>
        <v>4</v>
      </c>
      <c r="E24" s="34">
        <f>VLOOKUP($B24,[32]TrtCodes!$B$11:K85,4)</f>
        <v>1</v>
      </c>
      <c r="F24" s="34">
        <f>VLOOKUP($B24,[32]TrtCodes!$B$11:L85,5)</f>
        <v>2</v>
      </c>
      <c r="G24" s="34">
        <f>VLOOKUP($B24,[32]TrtCodes!$B$11:M85,6)</f>
        <v>1</v>
      </c>
      <c r="H24" s="34">
        <f>VLOOKUP($B24,[32]TrtCodes!$B$11:N85,7)</f>
        <v>2</v>
      </c>
      <c r="I24" s="34">
        <f>[32]FormattedData!B42</f>
        <v>1</v>
      </c>
      <c r="J24" s="37">
        <f>[32]FormattedData!C42</f>
        <v>13.285</v>
      </c>
      <c r="K24" s="39">
        <f>$J$3+[32]FormattedData!D42*$J$4+$M$4*$J$5+[32]FormattedData!D42^2*$J$6+$M$5*$J$7</f>
        <v>52.007617052956235</v>
      </c>
      <c r="L24" s="39">
        <f>$J$3+[32]FormattedData!E42*$J$4+$M$4*$J$5+[32]FormattedData!E42^2*$J$6+$M$5*$J$7</f>
        <v>50.782114727233477</v>
      </c>
      <c r="M24" s="39">
        <f>$J$3+[32]FormattedData!F42*$J$4+$M$4*$J$5+[32]FormattedData!F42^2*$J$6+$M$5*$J$7</f>
        <v>53.916668080928389</v>
      </c>
      <c r="N24" s="39">
        <f>$J$3+[32]FormattedData!G42*$J$4+$M$4*$J$5+[32]FormattedData!G42^2*$J$6+$M$5*$J$7</f>
        <v>40.957356618656384</v>
      </c>
      <c r="O24" s="39">
        <f>$J$3+[32]FormattedData!H42*$J$4+$M$4*$J$5+[32]FormattedData!H42^2*$J$6+$M$5*$J$7</f>
        <v>52.35623890722578</v>
      </c>
      <c r="P24" s="39">
        <f>$J$3+[32]FormattedData!I42*$J$4+$M$4*$J$5+[32]FormattedData!I42^2*$J$6+$M$5*$J$7</f>
        <v>44.348667944367378</v>
      </c>
      <c r="Q24" s="39">
        <f>$J$3+[32]FormattedData!J42*$J$4+$M$4*$J$5+[32]FormattedData!J42^2*$J$6+$M$5*$J$7</f>
        <v>51.570888693015846</v>
      </c>
      <c r="R24" s="39">
        <f>$J$3+[32]FormattedData!K42*$J$4+$M$4*$J$5+[32]FormattedData!K42^2*$J$6+$M$5*$J$7</f>
        <v>44.166833217480871</v>
      </c>
      <c r="S24" s="39">
        <f>$J$3+[32]FormattedData!L42*$J$4+$M$4*$J$5+[32]FormattedData!L42^2*$J$6+$M$5*$J$7</f>
        <v>50.342427569637913</v>
      </c>
      <c r="T24" s="39">
        <f>$J$3+[32]FormattedData!M42*$J$4+$M$4*$J$5+[32]FormattedData!M42^2*$J$6+$M$5*$J$7</f>
        <v>46.157716134887707</v>
      </c>
      <c r="U24" s="39">
        <f>$J$3+[32]FormattedData!N42*$J$4+$M$4*$J$5+[32]FormattedData!N42^2*$J$6+$M$5*$J$7</f>
        <v>51.308344454596437</v>
      </c>
      <c r="V24" s="39">
        <f>$J$3+[32]FormattedData!O42*$J$4+$M$4*$J$5+[32]FormattedData!O42^2*$J$6+$M$5*$J$7</f>
        <v>41.787596020149195</v>
      </c>
      <c r="W24" s="38">
        <f>AVERAGE(K24:V24)</f>
        <v>48.308539118427966</v>
      </c>
      <c r="X24" s="37">
        <f>STDEV(K24:V24)/SQRT(COUNT(K24:V24))</f>
        <v>1.3068529367069477</v>
      </c>
      <c r="Y24" s="36">
        <f>MIN(K24:V24)</f>
        <v>40.957356618656384</v>
      </c>
      <c r="Z24" s="35">
        <f>QUARTILE(K24:V24,1)</f>
        <v>44.303209262645751</v>
      </c>
      <c r="AA24" s="36">
        <f>MEDIAN(K24:V24)</f>
        <v>50.562271148435698</v>
      </c>
      <c r="AB24" s="35">
        <f>QUARTILE(K24:V24,3)</f>
        <v>51.680070783000943</v>
      </c>
      <c r="AC24" s="35">
        <f>MAX(K24:V24)</f>
        <v>53.916668080928389</v>
      </c>
      <c r="AD24" s="35">
        <f>SKEW(K24:V24)</f>
        <v>-0.51624529746253323</v>
      </c>
      <c r="AE24" s="35">
        <f>KURT(K24:V24)</f>
        <v>-1.4133247688368131</v>
      </c>
    </row>
    <row r="25" spans="2:31" x14ac:dyDescent="0.2">
      <c r="B25" s="34">
        <f>[32]FormattedData!A44</f>
        <v>208</v>
      </c>
      <c r="C25" s="34" t="str">
        <f>VLOOKUP($B25,[32]TrtCodes!$B$11:I87,2)</f>
        <v>FSL</v>
      </c>
      <c r="D25" s="34">
        <f>VLOOKUP($B25,[32]TrtCodes!$B$11:J87,3)</f>
        <v>2</v>
      </c>
      <c r="E25" s="34">
        <f>VLOOKUP($B25,[32]TrtCodes!$B$11:K87,4)</f>
        <v>1</v>
      </c>
      <c r="F25" s="34">
        <f>VLOOKUP($B25,[32]TrtCodes!$B$11:L87,5)</f>
        <v>1</v>
      </c>
      <c r="G25" s="34">
        <f>VLOOKUP($B25,[32]TrtCodes!$B$11:M87,6)</f>
        <v>1</v>
      </c>
      <c r="H25" s="34">
        <f>VLOOKUP($B25,[32]TrtCodes!$B$11:N87,7)</f>
        <v>2</v>
      </c>
      <c r="I25" s="34">
        <f>[32]FormattedData!B44</f>
        <v>1</v>
      </c>
      <c r="J25" s="37">
        <f>[32]FormattedData!C44</f>
        <v>13.302</v>
      </c>
      <c r="K25" s="39">
        <f>$J$3+[32]FormattedData!D44*$J$4+$M$4*$J$5+[32]FormattedData!D44^2*$J$6+$M$5*$J$7</f>
        <v>54.605796230184708</v>
      </c>
      <c r="L25" s="39">
        <f>$J$3+[32]FormattedData!E44*$J$4+$M$4*$J$5+[32]FormattedData!E44^2*$J$6+$M$5*$J$7</f>
        <v>55.975936969414576</v>
      </c>
      <c r="M25" s="39">
        <f>$J$3+[32]FormattedData!F44*$J$4+$M$4*$J$5+[32]FormattedData!F44^2*$J$6+$M$5*$J$7</f>
        <v>44.348667944367378</v>
      </c>
      <c r="N25" s="39">
        <f>$J$3+[32]FormattedData!G44*$J$4+$M$4*$J$5+[32]FormattedData!G44^2*$J$6+$M$5*$J$7</f>
        <v>56.316781412704799</v>
      </c>
      <c r="O25" s="39">
        <f>$J$3+[32]FormattedData!H44*$J$4+$M$4*$J$5+[32]FormattedData!H44^2*$J$6+$M$5*$J$7</f>
        <v>51.658318902079778</v>
      </c>
      <c r="P25" s="39">
        <f>$J$3+[32]FormattedData!I44*$J$4+$M$4*$J$5+[32]FormattedData!I44^2*$J$6+$M$5*$J$7</f>
        <v>57.6733962197967</v>
      </c>
      <c r="Q25" s="39">
        <f>$J$3+[32]FormattedData!J44*$J$4+$M$4*$J$5+[32]FormattedData!J44^2*$J$6+$M$5*$J$7</f>
        <v>54.175408150933997</v>
      </c>
      <c r="R25" s="39">
        <f>$J$3+[32]FormattedData!K44*$J$4+$M$4*$J$5+[32]FormattedData!K44^2*$J$6+$M$5*$J$7</f>
        <v>57.081208700638818</v>
      </c>
      <c r="S25" s="39">
        <f>$J$3+[32]FormattedData!L44*$J$4+$M$4*$J$5+[32]FormattedData!L44^2*$J$6+$M$5*$J$7</f>
        <v>45.436125748500274</v>
      </c>
      <c r="T25" s="39">
        <f>$J$3+[32]FormattedData!M44*$J$4+$M$4*$J$5+[32]FormattedData!M44^2*$J$6+$M$5*$J$7</f>
        <v>56.656949559388124</v>
      </c>
      <c r="U25" s="39">
        <f>$J$3+[32]FormattedData!N44*$J$4+$M$4*$J$5+[32]FormattedData!N44^2*$J$6+$M$5*$J$7</f>
        <v>50.782114727233477</v>
      </c>
      <c r="V25" s="39">
        <f>$J$3+[32]FormattedData!O44*$J$4+$M$4*$J$5+[32]FormattedData!O44^2*$J$6+$M$5*$J$7</f>
        <v>52.094835919330514</v>
      </c>
      <c r="W25" s="38">
        <f>AVERAGE(K25:V25)</f>
        <v>53.067128373714432</v>
      </c>
      <c r="X25" s="37">
        <f>STDEV(K25:V25)/SQRT(COUNT(K25:V25))</f>
        <v>1.2769212888234489</v>
      </c>
      <c r="Y25" s="36">
        <f>MIN(K25:V25)</f>
        <v>44.348667944367378</v>
      </c>
      <c r="Z25" s="35">
        <f>QUARTILE(K25:V25,1)</f>
        <v>51.439267858368204</v>
      </c>
      <c r="AA25" s="36">
        <f>MEDIAN(K25:V25)</f>
        <v>54.390602190559349</v>
      </c>
      <c r="AB25" s="35">
        <f>QUARTILE(K25:V25,3)</f>
        <v>56.401823449375627</v>
      </c>
      <c r="AC25" s="35">
        <f>MAX(K25:V25)</f>
        <v>57.6733962197967</v>
      </c>
      <c r="AD25" s="35">
        <f>SKEW(K25:V25)</f>
        <v>-1.0715212295068335</v>
      </c>
      <c r="AE25" s="35">
        <f>KURT(K25:V25)</f>
        <v>0.19249437287641502</v>
      </c>
    </row>
    <row r="26" spans="2:31" x14ac:dyDescent="0.2">
      <c r="B26" s="34">
        <f>[32]FormattedData!A62</f>
        <v>301</v>
      </c>
      <c r="C26" s="34" t="str">
        <f>VLOOKUP($B26,[32]TrtCodes!$B$11:I105,2)</f>
        <v>NTL</v>
      </c>
      <c r="D26" s="34">
        <f>VLOOKUP($B26,[32]TrtCodes!$B$11:J105,3)</f>
        <v>10</v>
      </c>
      <c r="E26" s="34">
        <f>VLOOKUP($B26,[32]TrtCodes!$B$11:K105,4)</f>
        <v>2</v>
      </c>
      <c r="F26" s="34">
        <f>VLOOKUP($B26,[32]TrtCodes!$B$11:L105,5)</f>
        <v>2</v>
      </c>
      <c r="G26" s="34">
        <f>VLOOKUP($B26,[32]TrtCodes!$B$11:M105,6)</f>
        <v>1</v>
      </c>
      <c r="H26" s="34">
        <f>VLOOKUP($B26,[32]TrtCodes!$B$11:N105,7)</f>
        <v>3</v>
      </c>
      <c r="I26" s="34">
        <f>[32]FormattedData!B62</f>
        <v>1</v>
      </c>
      <c r="J26" s="37">
        <f>[32]FormattedData!C62</f>
        <v>13.423999999999999</v>
      </c>
      <c r="K26" s="39">
        <f>$J$3+[32]FormattedData!D62*$J$4+$M$4*$J$5+[32]FormattedData!D62^2*$J$6+$M$5*$J$7</f>
        <v>50.957693710506192</v>
      </c>
      <c r="L26" s="39">
        <f>$J$3+[32]FormattedData!E62*$J$4+$M$4*$J$5+[32]FormattedData!E62^2*$J$6+$M$5*$J$7</f>
        <v>52.443288699448338</v>
      </c>
      <c r="M26" s="39">
        <f>$J$3+[32]FormattedData!F62*$J$4+$M$4*$J$5+[32]FormattedData!F62^2*$J$6+$M$5*$J$7</f>
        <v>43.620314591910962</v>
      </c>
      <c r="N26" s="39">
        <f>$J$3+[32]FormattedData!G62*$J$4+$M$4*$J$5+[32]FormattedData!G62^2*$J$6+$M$5*$J$7</f>
        <v>54.347690188248073</v>
      </c>
      <c r="O26" s="39">
        <f>$J$3+[32]FormattedData!H62*$J$4+$M$4*$J$5+[32]FormattedData!H62^2*$J$6+$M$5*$J$7</f>
        <v>36.943401030561496</v>
      </c>
      <c r="P26" s="39">
        <f>$J$3+[32]FormattedData!I62*$J$4+$M$4*$J$5+[32]FormattedData!I62^2*$J$6+$M$5*$J$7</f>
        <v>52.704184464888435</v>
      </c>
      <c r="Q26" s="39">
        <f>$J$3+[32]FormattedData!J62*$J$4+$M$4*$J$5+[32]FormattedData!J62^2*$J$6+$M$5*$J$7</f>
        <v>35.14489657860836</v>
      </c>
      <c r="R26" s="39">
        <f>$J$3+[32]FormattedData!K62*$J$4+$M$4*$J$5+[32]FormattedData!K62^2*$J$6+$M$5*$J$7</f>
        <v>51.833052514593874</v>
      </c>
      <c r="S26" s="39">
        <f>$J$3+[32]FormattedData!L62*$J$4+$M$4*$J$5+[32]FormattedData!L62^2*$J$6+$M$5*$J$7</f>
        <v>37.03763647423235</v>
      </c>
      <c r="T26" s="39">
        <f>$J$3+[32]FormattedData!M62*$J$4+$M$4*$J$5+[32]FormattedData!M62^2*$J$6+$M$5*$J$7</f>
        <v>51.133103619627178</v>
      </c>
      <c r="U26" s="39">
        <f>$J$3+[32]FormattedData!N62*$J$4+$M$4*$J$5+[32]FormattedData!N62^2*$J$6+$M$5*$J$7</f>
        <v>37.977666141354668</v>
      </c>
      <c r="V26" s="39">
        <f>$J$3+[32]FormattedData!O62*$J$4+$M$4*$J$5+[32]FormattedData!O62^2*$J$6+$M$5*$J$7</f>
        <v>49.105681812825473</v>
      </c>
      <c r="W26" s="38">
        <f>AVERAGE(K26:V26)</f>
        <v>46.104050818900447</v>
      </c>
      <c r="X26" s="37">
        <f>STDEV(K26:V26)/SQRT(COUNT(K26:V26))</f>
        <v>2.1334515895194355</v>
      </c>
      <c r="Y26" s="36">
        <f>MIN(K26:V26)</f>
        <v>35.14489657860836</v>
      </c>
      <c r="Z26" s="35">
        <f>QUARTILE(K26:V26,1)</f>
        <v>37.742658724574085</v>
      </c>
      <c r="AA26" s="36">
        <f>MEDIAN(K26:V26)</f>
        <v>50.031687761665836</v>
      </c>
      <c r="AB26" s="35">
        <f>QUARTILE(K26:V26,3)</f>
        <v>51.985611560807492</v>
      </c>
      <c r="AC26" s="35">
        <f>MAX(K26:V26)</f>
        <v>54.347690188248073</v>
      </c>
      <c r="AD26" s="35">
        <f>SKEW(K26:V26)</f>
        <v>-0.49269772214191782</v>
      </c>
      <c r="AE26" s="35">
        <f>KURT(K26:V26)</f>
        <v>-1.7564554366121503</v>
      </c>
    </row>
    <row r="27" spans="2:31" x14ac:dyDescent="0.2">
      <c r="B27" s="34">
        <f>[32]FormattedData!A64</f>
        <v>302</v>
      </c>
      <c r="C27" s="34" t="str">
        <f>VLOOKUP($B27,[32]TrtCodes!$B$11:I107,2)</f>
        <v>FTL</v>
      </c>
      <c r="D27" s="34">
        <f>VLOOKUP($B27,[32]TrtCodes!$B$11:J107,3)</f>
        <v>4</v>
      </c>
      <c r="E27" s="34">
        <f>VLOOKUP($B27,[32]TrtCodes!$B$11:K107,4)</f>
        <v>1</v>
      </c>
      <c r="F27" s="34">
        <f>VLOOKUP($B27,[32]TrtCodes!$B$11:L107,5)</f>
        <v>2</v>
      </c>
      <c r="G27" s="34">
        <f>VLOOKUP($B27,[32]TrtCodes!$B$11:M107,6)</f>
        <v>1</v>
      </c>
      <c r="H27" s="34">
        <f>VLOOKUP($B27,[32]TrtCodes!$B$11:N107,7)</f>
        <v>3</v>
      </c>
      <c r="I27" s="34">
        <f>[32]FormattedData!B64</f>
        <v>1</v>
      </c>
      <c r="J27" s="37">
        <f>[32]FormattedData!C64</f>
        <v>13.44</v>
      </c>
      <c r="K27" s="39">
        <f>$J$3+[32]FormattedData!D64*$J$4+$M$4*$J$5+[32]FormattedData!D64^2*$J$6+$M$5*$J$7</f>
        <v>54.175408150933997</v>
      </c>
      <c r="L27" s="39">
        <f>$J$3+[32]FormattedData!E64*$J$4+$M$4*$J$5+[32]FormattedData!E64^2*$J$6+$M$5*$J$7</f>
        <v>46.337691046105256</v>
      </c>
      <c r="M27" s="39">
        <f>$J$3+[32]FormattedData!F64*$J$4+$M$4*$J$5+[32]FormattedData!F64^2*$J$6+$M$5*$J$7</f>
        <v>50.869925353138804</v>
      </c>
      <c r="N27" s="39">
        <f>$J$3+[32]FormattedData!G64*$J$4+$M$4*$J$5+[32]FormattedData!G64^2*$J$6+$M$5*$J$7</f>
        <v>54.261570303860005</v>
      </c>
      <c r="O27" s="39">
        <f>$J$3+[32]FormattedData!H64*$J$4+$M$4*$J$5+[32]FormattedData!H64^2*$J$6+$M$5*$J$7</f>
        <v>46.42761509890714</v>
      </c>
      <c r="P27" s="39">
        <f>$J$3+[32]FormattedData!I64*$J$4+$M$4*$J$5+[32]FormattedData!I64^2*$J$6+$M$5*$J$7</f>
        <v>52.877903632492171</v>
      </c>
      <c r="Q27" s="39">
        <f>$J$3+[32]FormattedData!J64*$J$4+$M$4*$J$5+[32]FormattedData!J64^2*$J$6+$M$5*$J$7</f>
        <v>50.694261832790225</v>
      </c>
      <c r="R27" s="39">
        <f>$J$3+[32]FormattedData!K64*$J$4+$M$4*$J$5+[32]FormattedData!K64^2*$J$6+$M$5*$J$7</f>
        <v>55.80526113654188</v>
      </c>
      <c r="S27" s="39">
        <f>$J$3+[32]FormattedData!L64*$J$4+$M$4*$J$5+[32]FormattedData!L64^2*$J$6+$M$5*$J$7</f>
        <v>49.017025816161535</v>
      </c>
      <c r="T27" s="39">
        <f>$J$3+[32]FormattedData!M64*$J$4+$M$4*$J$5+[32]FormattedData!M64^2*$J$6+$M$5*$J$7</f>
        <v>52.35623890722578</v>
      </c>
      <c r="U27" s="39">
        <f>$J$3+[32]FormattedData!N64*$J$4+$M$4*$J$5+[32]FormattedData!N64^2*$J$6+$M$5*$J$7</f>
        <v>46.337691046105256</v>
      </c>
      <c r="V27" s="39">
        <f>$J$3+[32]FormattedData!O64*$J$4+$M$4*$J$5+[32]FormattedData!O64^2*$J$6+$M$5*$J$7</f>
        <v>50.957693710506192</v>
      </c>
      <c r="W27" s="38">
        <f>AVERAGE(K27:V27)</f>
        <v>50.843190502897357</v>
      </c>
      <c r="X27" s="37">
        <f>STDEV(K27:V27)/SQRT(COUNT(K27:V27))</f>
        <v>0.94270626185933648</v>
      </c>
      <c r="Y27" s="36">
        <f>MIN(K27:V27)</f>
        <v>46.337691046105256</v>
      </c>
      <c r="Z27" s="35">
        <f>QUARTILE(K27:V27,1)</f>
        <v>48.369673136847936</v>
      </c>
      <c r="AA27" s="36">
        <f>MEDIAN(K27:V27)</f>
        <v>50.913809531822494</v>
      </c>
      <c r="AB27" s="35">
        <f>QUARTILE(K27:V27,3)</f>
        <v>53.202279762102627</v>
      </c>
      <c r="AC27" s="35">
        <f>MAX(K27:V27)</f>
        <v>55.80526113654188</v>
      </c>
      <c r="AD27" s="35">
        <f>SKEW(K27:V27)</f>
        <v>-0.20077100411907692</v>
      </c>
      <c r="AE27" s="35">
        <f>KURT(K27:V27)</f>
        <v>-1.1183111489587927</v>
      </c>
    </row>
    <row r="28" spans="2:31" x14ac:dyDescent="0.2">
      <c r="B28" s="34">
        <f>[32]FormattedData!A66</f>
        <v>303</v>
      </c>
      <c r="C28" s="34" t="str">
        <f>VLOOKUP($B28,[32]TrtCodes!$B$11:I109,2)</f>
        <v>NSL</v>
      </c>
      <c r="D28" s="34">
        <f>VLOOKUP($B28,[32]TrtCodes!$B$11:J109,3)</f>
        <v>8</v>
      </c>
      <c r="E28" s="34">
        <f>VLOOKUP($B28,[32]TrtCodes!$B$11:K109,4)</f>
        <v>2</v>
      </c>
      <c r="F28" s="34">
        <f>VLOOKUP($B28,[32]TrtCodes!$B$11:L109,5)</f>
        <v>1</v>
      </c>
      <c r="G28" s="34">
        <f>VLOOKUP($B28,[32]TrtCodes!$B$11:M109,6)</f>
        <v>1</v>
      </c>
      <c r="H28" s="34">
        <f>VLOOKUP($B28,[32]TrtCodes!$B$11:N109,7)</f>
        <v>3</v>
      </c>
      <c r="I28" s="34">
        <f>[32]FormattedData!B66</f>
        <v>1</v>
      </c>
      <c r="J28" s="37">
        <f>[32]FormattedData!C66</f>
        <v>13.456</v>
      </c>
      <c r="K28" s="39">
        <f>$J$3+[32]FormattedData!D66*$J$4+$M$4*$J$5+[32]FormattedData!D66^2*$J$6+$M$5*$J$7</f>
        <v>39.286606560953494</v>
      </c>
      <c r="L28" s="39">
        <f>$J$3+[32]FormattedData!E66*$J$4+$M$4*$J$5+[32]FormattedData!E66^2*$J$6+$M$5*$J$7</f>
        <v>40.864896453578631</v>
      </c>
      <c r="M28" s="39">
        <f>$J$3+[32]FormattedData!F66*$J$4+$M$4*$J$5+[32]FormattedData!F66^2*$J$6+$M$5*$J$7</f>
        <v>34.954692681211483</v>
      </c>
      <c r="N28" s="39">
        <f>$J$3+[32]FormattedData!G66*$J$4+$M$4*$J$5+[32]FormattedData!G66^2*$J$6+$M$5*$J$7</f>
        <v>38.633171930333397</v>
      </c>
      <c r="O28" s="39">
        <f>$J$3+[32]FormattedData!H66*$J$4+$M$4*$J$5+[32]FormattedData!H66^2*$J$6+$M$5*$J$7</f>
        <v>35.429885410669208</v>
      </c>
      <c r="P28" s="39">
        <f>$J$3+[32]FormattedData!I66*$J$4+$M$4*$J$5+[32]FormattedData!I66^2*$J$6+$M$5*$J$7</f>
        <v>39.193385562192987</v>
      </c>
      <c r="Q28" s="39">
        <f>$J$3+[32]FormattedData!J66*$J$4+$M$4*$J$5+[32]FormattedData!J66^2*$J$6+$M$5*$J$7</f>
        <v>37.03763647423235</v>
      </c>
      <c r="R28" s="39">
        <f>$J$3+[32]FormattedData!K66*$J$4+$M$4*$J$5+[32]FormattedData!K66^2*$J$6+$M$5*$J$7</f>
        <v>36.754803337605992</v>
      </c>
      <c r="S28" s="39">
        <f>$J$3+[32]FormattedData!L66*$J$4+$M$4*$J$5+[32]FormattedData!L66^2*$J$6+$M$5*$J$7</f>
        <v>35.049815764178881</v>
      </c>
      <c r="T28" s="39">
        <f>$J$3+[32]FormattedData!M66*$J$4+$M$4*$J$5+[32]FormattedData!M66^2*$J$6+$M$5*$J$7</f>
        <v>38.726646540321489</v>
      </c>
      <c r="U28" s="39">
        <f>$J$3+[32]FormattedData!N66*$J$4+$M$4*$J$5+[32]FormattedData!N66^2*$J$6+$M$5*$J$7</f>
        <v>34.669069821081671</v>
      </c>
      <c r="V28" s="39">
        <f>$J$3+[32]FormattedData!O66*$J$4+$M$4*$J$5+[32]FormattedData!O66^2*$J$6+$M$5*$J$7</f>
        <v>37.883853383063133</v>
      </c>
      <c r="W28" s="38">
        <f>AVERAGE(K28:V28)</f>
        <v>37.373705326618563</v>
      </c>
      <c r="X28" s="37">
        <f>STDEV(K28:V28)/SQRT(COUNT(K28:V28))</f>
        <v>0.58825213477045457</v>
      </c>
      <c r="Y28" s="36">
        <f>MIN(K28:V28)</f>
        <v>34.669069821081671</v>
      </c>
      <c r="Z28" s="35">
        <f>QUARTILE(K28:V28,1)</f>
        <v>35.334867999046622</v>
      </c>
      <c r="AA28" s="36">
        <f>MEDIAN(K28:V28)</f>
        <v>37.460744928647742</v>
      </c>
      <c r="AB28" s="35">
        <f>QUARTILE(K28:V28,3)</f>
        <v>38.843331295789362</v>
      </c>
      <c r="AC28" s="35">
        <f>MAX(K28:V28)</f>
        <v>40.864896453578631</v>
      </c>
      <c r="AD28" s="35">
        <f>SKEW(K28:V28)</f>
        <v>7.8317966899713098E-2</v>
      </c>
      <c r="AE28" s="35">
        <f>KURT(K28:V28)</f>
        <v>-1.1985981131730927</v>
      </c>
    </row>
    <row r="29" spans="2:31" x14ac:dyDescent="0.2">
      <c r="B29" s="34">
        <f>[32]FormattedData!A68</f>
        <v>304</v>
      </c>
      <c r="C29" s="34" t="str">
        <f>VLOOKUP($B29,[32]TrtCodes!$B$11:I111,2)</f>
        <v>FSL</v>
      </c>
      <c r="D29" s="34">
        <f>VLOOKUP($B29,[32]TrtCodes!$B$11:J111,3)</f>
        <v>2</v>
      </c>
      <c r="E29" s="34">
        <f>VLOOKUP($B29,[32]TrtCodes!$B$11:K111,4)</f>
        <v>1</v>
      </c>
      <c r="F29" s="34">
        <f>VLOOKUP($B29,[32]TrtCodes!$B$11:L111,5)</f>
        <v>1</v>
      </c>
      <c r="G29" s="34">
        <f>VLOOKUP($B29,[32]TrtCodes!$B$11:M111,6)</f>
        <v>1</v>
      </c>
      <c r="H29" s="34">
        <f>VLOOKUP($B29,[32]TrtCodes!$B$11:N111,7)</f>
        <v>3</v>
      </c>
      <c r="I29" s="34">
        <f>[32]FormattedData!B68</f>
        <v>1</v>
      </c>
      <c r="J29" s="37">
        <f>[32]FormattedData!C68</f>
        <v>13.472</v>
      </c>
      <c r="K29" s="39">
        <f>$J$3+[32]FormattedData!D68*$J$4+$M$4*$J$5+[32]FormattedData!D68^2*$J$6+$M$5*$J$7</f>
        <v>54.175408150933997</v>
      </c>
      <c r="L29" s="39">
        <f>$J$3+[32]FormattedData!E68*$J$4+$M$4*$J$5+[32]FormattedData!E68^2*$J$6+$M$5*$J$7</f>
        <v>54.691747040421063</v>
      </c>
      <c r="M29" s="39">
        <f>$J$3+[32]FormattedData!F68*$J$4+$M$4*$J$5+[32]FormattedData!F68^2*$J$6+$M$5*$J$7</f>
        <v>52.094835919330514</v>
      </c>
      <c r="N29" s="39">
        <f>$J$3+[32]FormattedData!G68*$J$4+$M$4*$J$5+[32]FormattedData!G68^2*$J$6+$M$5*$J$7</f>
        <v>55.46340224834131</v>
      </c>
      <c r="O29" s="39">
        <f>$J$3+[32]FormattedData!H68*$J$4+$M$4*$J$5+[32]FormattedData!H68^2*$J$6+$M$5*$J$7</f>
        <v>49.459883114101942</v>
      </c>
      <c r="P29" s="39">
        <f>$J$3+[32]FormattedData!I68*$J$4+$M$4*$J$5+[32]FormattedData!I68^2*$J$6+$M$5*$J$7</f>
        <v>56.996441409464538</v>
      </c>
      <c r="Q29" s="39">
        <f>$J$3+[32]FormattedData!J68*$J$4+$M$4*$J$5+[32]FormattedData!J68^2*$J$6+$M$5*$J$7</f>
        <v>48.661979144126448</v>
      </c>
      <c r="R29" s="39">
        <f>$J$3+[32]FormattedData!K68*$J$4+$M$4*$J$5+[32]FormattedData!K68^2*$J$6+$M$5*$J$7</f>
        <v>56.571970925524191</v>
      </c>
      <c r="S29" s="39">
        <f>$J$3+[32]FormattedData!L68*$J$4+$M$4*$J$5+[32]FormattedData!L68^2*$J$6+$M$5*$J$7</f>
        <v>37.414155563536454</v>
      </c>
      <c r="T29" s="39">
        <f>$J$3+[32]FormattedData!M68*$J$4+$M$4*$J$5+[32]FormattedData!M68^2*$J$6+$M$5*$J$7</f>
        <v>55.46340224834131</v>
      </c>
      <c r="U29" s="39">
        <f>$J$3+[32]FormattedData!N68*$J$4+$M$4*$J$5+[32]FormattedData!N68^2*$J$6+$M$5*$J$7</f>
        <v>47.771403666383563</v>
      </c>
      <c r="V29" s="39">
        <f>$J$3+[32]FormattedData!O68*$J$4+$M$4*$J$5+[32]FormattedData!O68^2*$J$6+$M$5*$J$7</f>
        <v>56.486950023122326</v>
      </c>
      <c r="W29" s="38">
        <f>AVERAGE(K29:V29)</f>
        <v>52.104298287802294</v>
      </c>
      <c r="X29" s="37">
        <f>STDEV(K29:V29)/SQRT(COUNT(K29:V29))</f>
        <v>1.6285083260913633</v>
      </c>
      <c r="Y29" s="36">
        <f>MIN(K29:V29)</f>
        <v>37.414155563536454</v>
      </c>
      <c r="Z29" s="35">
        <f>QUARTILE(K29:V29,1)</f>
        <v>49.260407121608068</v>
      </c>
      <c r="AA29" s="36">
        <f>MEDIAN(K29:V29)</f>
        <v>54.433577595677534</v>
      </c>
      <c r="AB29" s="35">
        <f>QUARTILE(K29:V29,3)</f>
        <v>55.719289192036562</v>
      </c>
      <c r="AC29" s="35">
        <f>MAX(K29:V29)</f>
        <v>56.996441409464538</v>
      </c>
      <c r="AD29" s="35">
        <f>SKEW(K29:V29)</f>
        <v>-1.7732854556579689</v>
      </c>
      <c r="AE29" s="35">
        <f>KURT(K29:V29)</f>
        <v>3.5544612719475399</v>
      </c>
    </row>
    <row r="30" spans="2:31" x14ac:dyDescent="0.2">
      <c r="B30" s="34">
        <f>[32]FormattedData!A70</f>
        <v>305</v>
      </c>
      <c r="C30" s="34" t="str">
        <f>VLOOKUP($B30,[32]TrtCodes!$B$11:I113,2)</f>
        <v>NDH</v>
      </c>
      <c r="D30" s="34">
        <f>VLOOKUP($B30,[32]TrtCodes!$B$11:J113,3)</f>
        <v>11</v>
      </c>
      <c r="E30" s="34">
        <f>VLOOKUP($B30,[32]TrtCodes!$B$11:K113,4)</f>
        <v>2</v>
      </c>
      <c r="F30" s="34">
        <f>VLOOKUP($B30,[32]TrtCodes!$B$11:L113,5)</f>
        <v>3</v>
      </c>
      <c r="G30" s="34">
        <f>VLOOKUP($B30,[32]TrtCodes!$B$11:M113,6)</f>
        <v>2</v>
      </c>
      <c r="H30" s="34">
        <f>VLOOKUP($B30,[32]TrtCodes!$B$11:N113,7)</f>
        <v>4</v>
      </c>
      <c r="I30" s="34">
        <f>[32]FormattedData!B70</f>
        <v>1</v>
      </c>
      <c r="J30" s="37">
        <f>[32]FormattedData!C70</f>
        <v>13.488</v>
      </c>
      <c r="K30" s="39">
        <f>$J$3+[32]FormattedData!D70*$J$4+$M$4*$J$5+[32]FormattedData!D70^2*$J$6+$M$5*$J$7</f>
        <v>35.334931401853524</v>
      </c>
      <c r="L30" s="39">
        <f>$J$3+[32]FormattedData!E70*$J$4+$M$4*$J$5+[32]FormattedData!E70^2*$J$6+$M$5*$J$7</f>
        <v>35.334931401853524</v>
      </c>
      <c r="M30" s="39">
        <f>$J$3+[32]FormattedData!F70*$J$4+$M$4*$J$5+[32]FormattedData!F70^2*$J$6+$M$5*$J$7</f>
        <v>29.365232400701654</v>
      </c>
      <c r="N30" s="39">
        <f>$J$3+[32]FormattedData!G70*$J$4+$M$4*$J$5+[32]FormattedData!G70^2*$J$6+$M$5*$J$7</f>
        <v>36.943401030561496</v>
      </c>
      <c r="O30" s="39">
        <f>$J$3+[32]FormattedData!H70*$J$4+$M$4*$J$5+[32]FormattedData!H70^2*$J$6+$M$5*$J$7</f>
        <v>28.778896812400617</v>
      </c>
      <c r="P30" s="39">
        <f>$J$3+[32]FormattedData!I70*$J$4+$M$4*$J$5+[32]FormattedData!I70^2*$J$6+$M$5*$J$7</f>
        <v>35.809278760552623</v>
      </c>
      <c r="Q30" s="39">
        <f>$J$3+[32]FormattedData!J70*$J$4+$M$4*$J$5+[32]FormattedData!J70^2*$J$6+$M$5*$J$7</f>
        <v>30.047367368576996</v>
      </c>
      <c r="R30" s="39">
        <f>$J$3+[32]FormattedData!K70*$J$4+$M$4*$J$5+[32]FormattedData!K70^2*$J$6+$M$5*$J$7</f>
        <v>34.669069821081671</v>
      </c>
      <c r="S30" s="39">
        <f>$J$3+[32]FormattedData!L70*$J$4+$M$4*$J$5+[32]FormattedData!L70^2*$J$6+$M$5*$J$7</f>
        <v>29.365232400701654</v>
      </c>
      <c r="T30" s="39">
        <f>$J$3+[32]FormattedData!M70*$J$4+$M$4*$J$5+[32]FormattedData!M70^2*$J$6+$M$5*$J$7</f>
        <v>30.047367368576996</v>
      </c>
      <c r="U30" s="39">
        <f>$J$3+[32]FormattedData!N70*$J$4+$M$4*$J$5+[32]FormattedData!N70^2*$J$6+$M$5*$J$7</f>
        <v>29.267615473996312</v>
      </c>
      <c r="V30" s="39">
        <f>$J$3+[32]FormattedData!O70*$J$4+$M$4*$J$5+[32]FormattedData!O70^2*$J$6+$M$5*$J$7</f>
        <v>33.331133184462082</v>
      </c>
      <c r="W30" s="38">
        <f>AVERAGE(K30:V30)</f>
        <v>32.357871452109933</v>
      </c>
      <c r="X30" s="37">
        <f>STDEV(K30:V30)/SQRT(COUNT(K30:V30))</f>
        <v>0.90412069629868208</v>
      </c>
      <c r="Y30" s="36">
        <f>MIN(K30:V30)</f>
        <v>28.778896812400617</v>
      </c>
      <c r="Z30" s="35">
        <f>QUARTILE(K30:V30,1)</f>
        <v>29.365232400701654</v>
      </c>
      <c r="AA30" s="36">
        <f>MEDIAN(K30:V30)</f>
        <v>31.689250276519537</v>
      </c>
      <c r="AB30" s="35">
        <f>QUARTILE(K30:V30,3)</f>
        <v>35.334931401853524</v>
      </c>
      <c r="AC30" s="35">
        <f>MAX(K30:V30)</f>
        <v>36.943401030561496</v>
      </c>
      <c r="AD30" s="35">
        <f>SKEW(K30:V30)</f>
        <v>0.17735183346831049</v>
      </c>
      <c r="AE30" s="35">
        <f>KURT(K30:V30)</f>
        <v>-1.9973195939171271</v>
      </c>
    </row>
    <row r="31" spans="2:31" x14ac:dyDescent="0.2">
      <c r="B31" s="34">
        <f>[32]FormattedData!A72</f>
        <v>306</v>
      </c>
      <c r="C31" s="34" t="str">
        <f>VLOOKUP($B31,[32]TrtCodes!$B$11:I115,2)</f>
        <v>FTL</v>
      </c>
      <c r="D31" s="34">
        <f>VLOOKUP($B31,[32]TrtCodes!$B$11:J115,3)</f>
        <v>4</v>
      </c>
      <c r="E31" s="34">
        <f>VLOOKUP($B31,[32]TrtCodes!$B$11:K115,4)</f>
        <v>1</v>
      </c>
      <c r="F31" s="34">
        <f>VLOOKUP($B31,[32]TrtCodes!$B$11:L115,5)</f>
        <v>2</v>
      </c>
      <c r="G31" s="34">
        <f>VLOOKUP($B31,[32]TrtCodes!$B$11:M115,6)</f>
        <v>1</v>
      </c>
      <c r="H31" s="34">
        <f>VLOOKUP($B31,[32]TrtCodes!$B$11:N115,7)</f>
        <v>4</v>
      </c>
      <c r="I31" s="34">
        <f>[32]FormattedData!B72</f>
        <v>1</v>
      </c>
      <c r="J31" s="37">
        <f>[32]FormattedData!C72</f>
        <v>13.505000000000001</v>
      </c>
      <c r="K31" s="39">
        <f>$J$3+[32]FormattedData!D72*$J$4+$M$4*$J$5+[32]FormattedData!D72^2*$J$6+$M$5*$J$7</f>
        <v>52.269146846465297</v>
      </c>
      <c r="L31" s="39">
        <f>$J$3+[32]FormattedData!E72*$J$4+$M$4*$J$5+[32]FormattedData!E72^2*$J$6+$M$5*$J$7</f>
        <v>47.949856910235582</v>
      </c>
      <c r="M31" s="39">
        <f>$J$3+[32]FormattedData!F72*$J$4+$M$4*$J$5+[32]FormattedData!F72^2*$J$6+$M$5*$J$7</f>
        <v>50.606366669809042</v>
      </c>
      <c r="N31" s="39">
        <f>$J$3+[32]FormattedData!G72*$J$4+$M$4*$J$5+[32]FormattedData!G72^2*$J$6+$M$5*$J$7</f>
        <v>40.864896453578631</v>
      </c>
      <c r="O31" s="39">
        <f>$J$3+[32]FormattedData!H72*$J$4+$M$4*$J$5+[32]FormattedData!H72^2*$J$6+$M$5*$J$7</f>
        <v>52.35623890722578</v>
      </c>
      <c r="P31" s="39">
        <f>$J$3+[32]FormattedData!I72*$J$4+$M$4*$J$5+[32]FormattedData!I72^2*$J$6+$M$5*$J$7</f>
        <v>45.977572149518444</v>
      </c>
      <c r="Q31" s="39">
        <f>$J$3+[32]FormattedData!J72*$J$4+$M$4*$J$5+[32]FormattedData!J72^2*$J$6+$M$5*$J$7</f>
        <v>48.928327550959658</v>
      </c>
      <c r="R31" s="39">
        <f>$J$3+[32]FormattedData!K72*$J$4+$M$4*$J$5+[32]FormattedData!K72^2*$J$6+$M$5*$J$7</f>
        <v>50.166256826834164</v>
      </c>
      <c r="S31" s="39">
        <f>$J$3+[32]FormattedData!L72*$J$4+$M$4*$J$5+[32]FormattedData!L72^2*$J$6+$M$5*$J$7</f>
        <v>48.839587017219856</v>
      </c>
      <c r="T31" s="39">
        <f>$J$3+[32]FormattedData!M72*$J$4+$M$4*$J$5+[32]FormattedData!M72^2*$J$6+$M$5*$J$7</f>
        <v>39.193385562192987</v>
      </c>
      <c r="U31" s="39">
        <f>$J$3+[32]FormattedData!N72*$J$4+$M$4*$J$5+[32]FormattedData!N72^2*$J$6+$M$5*$J$7</f>
        <v>50.078108052625396</v>
      </c>
      <c r="V31" s="39">
        <f>$J$3+[32]FormattedData!O72*$J$4+$M$4*$J$5+[32]FormattedData!O72^2*$J$6+$M$5*$J$7</f>
        <v>44.348667944367378</v>
      </c>
      <c r="W31" s="38">
        <f>AVERAGE(K31:V31)</f>
        <v>47.631534240919358</v>
      </c>
      <c r="X31" s="37">
        <f>STDEV(K31:V31)/SQRT(COUNT(K31:V31))</f>
        <v>1.2273258389002877</v>
      </c>
      <c r="Y31" s="36">
        <f>MIN(K31:V31)</f>
        <v>39.193385562192987</v>
      </c>
      <c r="Z31" s="35">
        <f>QUARTILE(K31:V31,1)</f>
        <v>45.570346098230679</v>
      </c>
      <c r="AA31" s="36">
        <f>MEDIAN(K31:V31)</f>
        <v>48.88395728408976</v>
      </c>
      <c r="AB31" s="35">
        <f>QUARTILE(K31:V31,3)</f>
        <v>50.27628428757788</v>
      </c>
      <c r="AC31" s="35">
        <f>MAX(K31:V31)</f>
        <v>52.35623890722578</v>
      </c>
      <c r="AD31" s="35">
        <f>SKEW(K31:V31)</f>
        <v>-0.97108866511718039</v>
      </c>
      <c r="AE31" s="35">
        <f>KURT(K31:V31)</f>
        <v>2.3091282197463592E-2</v>
      </c>
    </row>
    <row r="32" spans="2:31" x14ac:dyDescent="0.2">
      <c r="B32" s="34">
        <f>[32]FormattedData!A74</f>
        <v>307</v>
      </c>
      <c r="C32" s="34" t="str">
        <f>VLOOKUP($B32,[32]TrtCodes!$B$11:I117,2)</f>
        <v>NTH</v>
      </c>
      <c r="D32" s="34">
        <f>VLOOKUP($B32,[32]TrtCodes!$B$11:J117,3)</f>
        <v>9</v>
      </c>
      <c r="E32" s="34">
        <f>VLOOKUP($B32,[32]TrtCodes!$B$11:K117,4)</f>
        <v>2</v>
      </c>
      <c r="F32" s="34">
        <f>VLOOKUP($B32,[32]TrtCodes!$B$11:L117,5)</f>
        <v>2</v>
      </c>
      <c r="G32" s="34">
        <f>VLOOKUP($B32,[32]TrtCodes!$B$11:M117,6)</f>
        <v>2</v>
      </c>
      <c r="H32" s="34">
        <f>VLOOKUP($B32,[32]TrtCodes!$B$11:N117,7)</f>
        <v>4</v>
      </c>
      <c r="I32" s="34">
        <f>[32]FormattedData!B74</f>
        <v>1</v>
      </c>
      <c r="J32" s="37">
        <f>[32]FormattedData!C74</f>
        <v>13.522</v>
      </c>
      <c r="K32" s="39">
        <f>$J$3+[32]FormattedData!D74*$J$4+$M$4*$J$5+[32]FormattedData!D74^2*$J$6+$M$5*$J$7</f>
        <v>54.605796230184708</v>
      </c>
      <c r="L32" s="39">
        <f>$J$3+[32]FormattedData!E74*$J$4+$M$4*$J$5+[32]FormattedData!E74^2*$J$6+$M$5*$J$7</f>
        <v>54.261570303860005</v>
      </c>
      <c r="M32" s="39">
        <f>$J$3+[32]FormattedData!F74*$J$4+$M$4*$J$5+[32]FormattedData!F74^2*$J$6+$M$5*$J$7</f>
        <v>34.573777663962531</v>
      </c>
      <c r="N32" s="39">
        <f>$J$3+[32]FormattedData!G74*$J$4+$M$4*$J$5+[32]FormattedData!G74^2*$J$6+$M$5*$J$7</f>
        <v>53.57108956138989</v>
      </c>
      <c r="O32" s="39">
        <f>$J$3+[32]FormattedData!H74*$J$4+$M$4*$J$5+[32]FormattedData!H74^2*$J$6+$M$5*$J$7</f>
        <v>42.889256053026948</v>
      </c>
      <c r="P32" s="39">
        <f>$J$3+[32]FormattedData!I74*$J$4+$M$4*$J$5+[32]FormattedData!I74^2*$J$6+$M$5*$J$7</f>
        <v>52.269146846465297</v>
      </c>
      <c r="Q32" s="39">
        <f>$J$3+[32]FormattedData!J74*$J$4+$M$4*$J$5+[32]FormattedData!J74^2*$J$6+$M$5*$J$7</f>
        <v>49.989917009878702</v>
      </c>
      <c r="R32" s="39">
        <f>$J$3+[32]FormattedData!K74*$J$4+$M$4*$J$5+[32]FormattedData!K74^2*$J$6+$M$5*$J$7</f>
        <v>39.006816759058182</v>
      </c>
      <c r="S32" s="39">
        <f>$J$3+[32]FormattedData!L74*$J$4+$M$4*$J$5+[32]FormattedData!L74^2*$J$6+$M$5*$J$7</f>
        <v>52.877903632492171</v>
      </c>
      <c r="T32" s="39">
        <f>$J$3+[32]FormattedData!M74*$J$4+$M$4*$J$5+[32]FormattedData!M74^2*$J$6+$M$5*$J$7</f>
        <v>48.128141079935894</v>
      </c>
      <c r="U32" s="39">
        <f>$J$3+[32]FormattedData!N74*$J$4+$M$4*$J$5+[32]FormattedData!N74^2*$J$6+$M$5*$J$7</f>
        <v>53.743963358235</v>
      </c>
      <c r="V32" s="39">
        <f>$J$3+[32]FormattedData!O74*$J$4+$M$4*$J$5+[32]FormattedData!O74^2*$J$6+$M$5*$J$7</f>
        <v>43.072274298975536</v>
      </c>
      <c r="W32" s="38">
        <f>AVERAGE(K32:V32)</f>
        <v>48.249137733122069</v>
      </c>
      <c r="X32" s="37">
        <f>STDEV(K32:V32)/SQRT(COUNT(K32:V32))</f>
        <v>1.9533728579572995</v>
      </c>
      <c r="Y32" s="36">
        <f>MIN(K32:V32)</f>
        <v>34.573777663962531</v>
      </c>
      <c r="Z32" s="35">
        <f>QUARTILE(K32:V32,1)</f>
        <v>43.026519737488385</v>
      </c>
      <c r="AA32" s="36">
        <f>MEDIAN(K32:V32)</f>
        <v>51.129531928172</v>
      </c>
      <c r="AB32" s="35">
        <f>QUARTILE(K32:V32,3)</f>
        <v>53.614308010601164</v>
      </c>
      <c r="AC32" s="35">
        <f>MAX(K32:V32)</f>
        <v>54.605796230184708</v>
      </c>
      <c r="AD32" s="35">
        <f>SKEW(K32:V32)</f>
        <v>-0.94342584566114518</v>
      </c>
      <c r="AE32" s="35">
        <f>KURT(K32:V32)</f>
        <v>-0.33563574175104716</v>
      </c>
    </row>
    <row r="33" spans="2:31" x14ac:dyDescent="0.2">
      <c r="B33" s="34">
        <f>[32]FormattedData!A76</f>
        <v>308</v>
      </c>
      <c r="C33" s="34" t="str">
        <f>VLOOKUP($B33,[32]TrtCodes!$B$11:I119,2)</f>
        <v>FDH</v>
      </c>
      <c r="D33" s="34">
        <f>VLOOKUP($B33,[32]TrtCodes!$B$11:J119,3)</f>
        <v>5</v>
      </c>
      <c r="E33" s="34">
        <f>VLOOKUP($B33,[32]TrtCodes!$B$11:K119,4)</f>
        <v>1</v>
      </c>
      <c r="F33" s="34">
        <f>VLOOKUP($B33,[32]TrtCodes!$B$11:L119,5)</f>
        <v>3</v>
      </c>
      <c r="G33" s="34">
        <f>VLOOKUP($B33,[32]TrtCodes!$B$11:M119,6)</f>
        <v>2</v>
      </c>
      <c r="H33" s="34">
        <f>VLOOKUP($B33,[32]TrtCodes!$B$11:N119,7)</f>
        <v>4</v>
      </c>
      <c r="I33" s="34">
        <f>[32]FormattedData!B76</f>
        <v>1</v>
      </c>
      <c r="J33" s="37">
        <f>[32]FormattedData!C76</f>
        <v>13.538</v>
      </c>
      <c r="K33" s="39">
        <f>$J$3+[32]FormattedData!D76*$J$4+$M$4*$J$5+[32]FormattedData!D76^2*$J$6+$M$5*$J$7</f>
        <v>47.324530857339695</v>
      </c>
      <c r="L33" s="39">
        <f>$J$3+[32]FormattedData!E76*$J$4+$M$4*$J$5+[32]FormattedData!E76^2*$J$6+$M$5*$J$7</f>
        <v>41.142150143198073</v>
      </c>
      <c r="M33" s="39">
        <f>$J$3+[32]FormattedData!F76*$J$4+$M$4*$J$5+[32]FormattedData!F76^2*$J$6+$M$5*$J$7</f>
        <v>37.320089194017328</v>
      </c>
      <c r="N33" s="39">
        <f>$J$3+[32]FormattedData!G76*$J$4+$M$4*$J$5+[32]FormattedData!G76^2*$J$6+$M$5*$J$7</f>
        <v>48.661979144126448</v>
      </c>
      <c r="O33" s="39">
        <f>$J$3+[32]FormattedData!H76*$J$4+$M$4*$J$5+[32]FormattedData!H76^2*$J$6+$M$5*$J$7</f>
        <v>34.287647581377549</v>
      </c>
      <c r="P33" s="39">
        <f>$J$3+[32]FormattedData!I76*$J$4+$M$4*$J$5+[32]FormattedData!I76^2*$J$6+$M$5*$J$7</f>
        <v>50.694261832790225</v>
      </c>
      <c r="Q33" s="39">
        <f>$J$3+[32]FormattedData!J76*$J$4+$M$4*$J$5+[32]FormattedData!J76^2*$J$6+$M$5*$J$7</f>
        <v>40.587262347117814</v>
      </c>
      <c r="R33" s="39">
        <f>$J$3+[32]FormattedData!K76*$J$4+$M$4*$J$5+[32]FormattedData!K76^2*$J$6+$M$5*$J$7</f>
        <v>44.711830175685243</v>
      </c>
      <c r="S33" s="39">
        <f>$J$3+[32]FormattedData!L76*$J$4+$M$4*$J$5+[32]FormattedData!L76^2*$J$6+$M$5*$J$7</f>
        <v>48.128141079935894</v>
      </c>
      <c r="T33" s="39">
        <f>$J$3+[32]FormattedData!M76*$J$4+$M$4*$J$5+[32]FormattedData!M76^2*$J$6+$M$5*$J$7</f>
        <v>44.530333597102171</v>
      </c>
      <c r="U33" s="39">
        <f>$J$3+[32]FormattedData!N76*$J$4+$M$4*$J$5+[32]FormattedData!N76^2*$J$6+$M$5*$J$7</f>
        <v>51.570888693015846</v>
      </c>
      <c r="V33" s="39">
        <f>$J$3+[32]FormattedData!O76*$J$4+$M$4*$J$5+[32]FormattedData!O76^2*$J$6+$M$5*$J$7</f>
        <v>36.187995813829147</v>
      </c>
      <c r="W33" s="38">
        <f>AVERAGE(K33:V33)</f>
        <v>43.762259204961282</v>
      </c>
      <c r="X33" s="37">
        <f>STDEV(K33:V33)/SQRT(COUNT(K33:V33))</f>
        <v>1.6784322588961313</v>
      </c>
      <c r="Y33" s="36">
        <f>MIN(K33:V33)</f>
        <v>34.287647581377549</v>
      </c>
      <c r="Z33" s="35">
        <f>QUARTILE(K33:V33,1)</f>
        <v>39.770469058842693</v>
      </c>
      <c r="AA33" s="36">
        <f>MEDIAN(K33:V33)</f>
        <v>44.621081886393711</v>
      </c>
      <c r="AB33" s="35">
        <f>QUARTILE(K33:V33,3)</f>
        <v>48.261600595983531</v>
      </c>
      <c r="AC33" s="35">
        <f>MAX(K33:V33)</f>
        <v>51.570888693015846</v>
      </c>
      <c r="AD33" s="35">
        <f>SKEW(K33:V33)</f>
        <v>-0.30293505093112949</v>
      </c>
      <c r="AE33" s="35">
        <f>KURT(K33:V33)</f>
        <v>-1.2274700250540072</v>
      </c>
    </row>
    <row r="34" spans="2:31" x14ac:dyDescent="0.2">
      <c r="B34" s="34">
        <f>[32]FormattedData!A92</f>
        <v>401</v>
      </c>
      <c r="C34" s="34" t="str">
        <f>VLOOKUP($B34,[32]TrtCodes!$B$11:I129,2)</f>
        <v>NSH</v>
      </c>
      <c r="D34" s="34">
        <f>VLOOKUP($B34,[32]TrtCodes!$B$11:J129,3)</f>
        <v>7</v>
      </c>
      <c r="E34" s="34">
        <f>VLOOKUP($B34,[32]TrtCodes!$B$11:K129,4)</f>
        <v>2</v>
      </c>
      <c r="F34" s="34">
        <f>VLOOKUP($B34,[32]TrtCodes!$B$11:L129,5)</f>
        <v>1</v>
      </c>
      <c r="G34" s="34">
        <f>VLOOKUP($B34,[32]TrtCodes!$B$11:M129,6)</f>
        <v>2</v>
      </c>
      <c r="H34" s="34">
        <f>VLOOKUP($B34,[32]TrtCodes!$B$11:N129,7)</f>
        <v>3</v>
      </c>
      <c r="I34" s="34">
        <f>[32]FormattedData!B92</f>
        <v>1</v>
      </c>
      <c r="J34" s="37">
        <f>[32]FormattedData!C92</f>
        <v>13.679</v>
      </c>
      <c r="K34" s="39">
        <f>$J$3+[32]FormattedData!D92*$J$4+$M$4*$J$5+[32]FormattedData!D92^2*$J$6+$M$5*$J$7</f>
        <v>36.849123318352717</v>
      </c>
      <c r="L34" s="39">
        <f>$J$3+[32]FormattedData!E92*$J$4+$M$4*$J$5+[32]FormattedData!E92^2*$J$6+$M$5*$J$7</f>
        <v>37.320089194017328</v>
      </c>
      <c r="M34" s="39">
        <f>$J$3+[32]FormattedData!F92*$J$4+$M$4*$J$5+[32]FormattedData!F92^2*$J$6+$M$5*$J$7</f>
        <v>35.619666622686772</v>
      </c>
      <c r="N34" s="39">
        <f>$J$3+[32]FormattedData!G92*$J$4+$M$4*$J$5+[32]FormattedData!G92^2*$J$6+$M$5*$J$7</f>
        <v>36.566036570498767</v>
      </c>
      <c r="O34" s="39">
        <f>$J$3+[32]FormattedData!H92*$J$4+$M$4*$J$5+[32]FormattedData!H92^2*$J$6+$M$5*$J$7</f>
        <v>36.28256940580345</v>
      </c>
      <c r="P34" s="39">
        <f>$J$3+[32]FormattedData!I92*$J$4+$M$4*$J$5+[32]FormattedData!I92^2*$J$6+$M$5*$J$7</f>
        <v>37.131829649365272</v>
      </c>
      <c r="Q34" s="39">
        <f>$J$3+[32]FormattedData!J92*$J$4+$M$4*$J$5+[32]FormattedData!J92^2*$J$6+$M$5*$J$7</f>
        <v>36.377100729239821</v>
      </c>
      <c r="R34" s="39">
        <f>$J$3+[32]FormattedData!K92*$J$4+$M$4*$J$5+[32]FormattedData!K92^2*$J$6+$M$5*$J$7</f>
        <v>37.414155563536454</v>
      </c>
      <c r="S34" s="39">
        <f>$J$3+[32]FormattedData!L92*$J$4+$M$4*$J$5+[32]FormattedData!L92^2*$J$6+$M$5*$J$7</f>
        <v>35.809278760552623</v>
      </c>
      <c r="T34" s="39">
        <f>$J$3+[32]FormattedData!M92*$J$4+$M$4*$J$5+[32]FormattedData!M92^2*$J$6+$M$5*$J$7</f>
        <v>38.165164852323969</v>
      </c>
      <c r="U34" s="39">
        <f>$J$3+[32]FormattedData!N92*$J$4+$M$4*$J$5+[32]FormattedData!N92^2*$J$6+$M$5*$J$7</f>
        <v>32.466656267245057</v>
      </c>
      <c r="V34" s="39">
        <f>$J$3+[32]FormattedData!O92*$J$4+$M$4*$J$5+[32]FormattedData!O92^2*$J$6+$M$5*$J$7</f>
        <v>35.14489657860836</v>
      </c>
      <c r="W34" s="38">
        <f>AVERAGE(K34:V34)</f>
        <v>36.26221395935255</v>
      </c>
      <c r="X34" s="37">
        <f>STDEV(K34:V34)/SQRT(COUNT(K34:V34))</f>
        <v>0.42235433931068433</v>
      </c>
      <c r="Y34" s="36">
        <f>MIN(K34:V34)</f>
        <v>32.466656267245057</v>
      </c>
      <c r="Z34" s="35">
        <f>QUARTILE(K34:V34,1)</f>
        <v>35.76187572608616</v>
      </c>
      <c r="AA34" s="36">
        <f>MEDIAN(K34:V34)</f>
        <v>36.471568649869297</v>
      </c>
      <c r="AB34" s="35">
        <f>QUARTILE(K34:V34,3)</f>
        <v>37.178894535528286</v>
      </c>
      <c r="AC34" s="35">
        <f>MAX(K34:V34)</f>
        <v>38.165164852323969</v>
      </c>
      <c r="AD34" s="35">
        <f>SKEW(K34:V34)</f>
        <v>-1.6002097212634738</v>
      </c>
      <c r="AE34" s="35">
        <f>KURT(K34:V34)</f>
        <v>3.7432846760246283</v>
      </c>
    </row>
    <row r="35" spans="2:31" x14ac:dyDescent="0.2">
      <c r="B35" s="34">
        <f>[32]FormattedData!A90</f>
        <v>402</v>
      </c>
      <c r="C35" s="34" t="str">
        <f>VLOOKUP($B35,[32]TrtCodes!$B$11:I130,2)</f>
        <v>NTH</v>
      </c>
      <c r="D35" s="34">
        <f>VLOOKUP($B35,[32]TrtCodes!$B$11:J130,3)</f>
        <v>9</v>
      </c>
      <c r="E35" s="34">
        <f>VLOOKUP($B35,[32]TrtCodes!$B$11:K130,4)</f>
        <v>2</v>
      </c>
      <c r="F35" s="34">
        <f>VLOOKUP($B35,[32]TrtCodes!$B$11:L130,5)</f>
        <v>2</v>
      </c>
      <c r="G35" s="34">
        <f>VLOOKUP($B35,[32]TrtCodes!$B$11:M130,6)</f>
        <v>2</v>
      </c>
      <c r="H35" s="34">
        <f>VLOOKUP($B35,[32]TrtCodes!$B$11:N130,7)</f>
        <v>3</v>
      </c>
      <c r="I35" s="34">
        <f>[32]FormattedData!B90</f>
        <v>1</v>
      </c>
      <c r="J35" s="37">
        <f>[32]FormattedData!C90</f>
        <v>13.662000000000001</v>
      </c>
      <c r="K35" s="39">
        <f>$J$3+[32]FormattedData!D90*$J$4+$M$4*$J$5+[32]FormattedData!D90^2*$J$6+$M$5*$J$7</f>
        <v>52.182012517166868</v>
      </c>
      <c r="L35" s="39">
        <f>$J$3+[32]FormattedData!E90*$J$4+$M$4*$J$5+[32]FormattedData!E90^2*$J$6+$M$5*$J$7</f>
        <v>45.34573674178116</v>
      </c>
      <c r="M35" s="39">
        <f>$J$3+[32]FormattedData!F90*$J$4+$M$4*$J$5+[32]FormattedData!F90^2*$J$6+$M$5*$J$7</f>
        <v>47.413989956224334</v>
      </c>
      <c r="N35" s="39">
        <f>$J$3+[32]FormattedData!G90*$J$4+$M$4*$J$5+[32]FormattedData!G90^2*$J$6+$M$5*$J$7</f>
        <v>49.989917009878702</v>
      </c>
      <c r="O35" s="39">
        <f>$J$3+[32]FormattedData!H90*$J$4+$M$4*$J$5+[32]FormattedData!H90^2*$J$6+$M$5*$J$7</f>
        <v>44.530333597102171</v>
      </c>
      <c r="P35" s="39">
        <f>$J$3+[32]FormattedData!I90*$J$4+$M$4*$J$5+[32]FormattedData!I90^2*$J$6+$M$5*$J$7</f>
        <v>49.459883114101942</v>
      </c>
      <c r="Q35" s="39">
        <f>$J$3+[32]FormattedData!J90*$J$4+$M$4*$J$5+[32]FormattedData!J90^2*$J$6+$M$5*$J$7</f>
        <v>44.893157680116587</v>
      </c>
      <c r="R35" s="39">
        <f>$J$3+[32]FormattedData!K90*$J$4+$M$4*$J$5+[32]FormattedData!K90^2*$J$6+$M$5*$J$7</f>
        <v>48.750804214942121</v>
      </c>
      <c r="S35" s="39">
        <f>$J$3+[32]FormattedData!L90*$J$4+$M$4*$J$5+[32]FormattedData!L90^2*$J$6+$M$5*$J$7</f>
        <v>42.706068732926639</v>
      </c>
      <c r="T35" s="39">
        <f>$J$3+[32]FormattedData!M90*$J$4+$M$4*$J$5+[32]FormattedData!M90^2*$J$6+$M$5*$J$7</f>
        <v>50.166256826834164</v>
      </c>
      <c r="U35" s="39">
        <f>$J$3+[32]FormattedData!N90*$J$4+$M$4*$J$5+[32]FormattedData!N90^2*$J$6+$M$5*$J$7</f>
        <v>40.587262347117814</v>
      </c>
      <c r="V35" s="39">
        <f>$J$3+[32]FormattedData!O90*$J$4+$M$4*$J$5+[32]FormattedData!O90^2*$J$6+$M$5*$J$7</f>
        <v>43.072274298975536</v>
      </c>
      <c r="W35" s="38">
        <f>AVERAGE(K35:V35)</f>
        <v>46.591474753097337</v>
      </c>
      <c r="X35" s="37">
        <f>STDEV(K35:V35)/SQRT(COUNT(K35:V35))</f>
        <v>1.0348684442107634</v>
      </c>
      <c r="Y35" s="36">
        <f>MIN(K35:V35)</f>
        <v>40.587262347117814</v>
      </c>
      <c r="Z35" s="35">
        <f>QUARTILE(K35:V35,1)</f>
        <v>44.16581877257051</v>
      </c>
      <c r="AA35" s="36">
        <f>MEDIAN(K35:V35)</f>
        <v>46.379863349002747</v>
      </c>
      <c r="AB35" s="35">
        <f>QUARTILE(K35:V35,3)</f>
        <v>49.592391588046134</v>
      </c>
      <c r="AC35" s="35">
        <f>MAX(K35:V35)</f>
        <v>52.182012517166868</v>
      </c>
      <c r="AD35" s="35">
        <f>SKEW(K35:V35)</f>
        <v>-9.5658594544650852E-2</v>
      </c>
      <c r="AE35" s="35">
        <f>KURT(K35:V35)</f>
        <v>-1.1013304644204083</v>
      </c>
    </row>
    <row r="36" spans="2:31" x14ac:dyDescent="0.2">
      <c r="B36" s="34">
        <f>[32]FormattedData!A88</f>
        <v>403</v>
      </c>
      <c r="C36" s="34" t="str">
        <f>VLOOKUP($B36,[32]TrtCodes!$B$11:I131,2)</f>
        <v>FDL</v>
      </c>
      <c r="D36" s="34">
        <f>VLOOKUP($B36,[32]TrtCodes!$B$11:J131,3)</f>
        <v>6</v>
      </c>
      <c r="E36" s="34">
        <f>VLOOKUP($B36,[32]TrtCodes!$B$11:K131,4)</f>
        <v>1</v>
      </c>
      <c r="F36" s="34">
        <f>VLOOKUP($B36,[32]TrtCodes!$B$11:L131,5)</f>
        <v>3</v>
      </c>
      <c r="G36" s="34">
        <f>VLOOKUP($B36,[32]TrtCodes!$B$11:M131,6)</f>
        <v>1</v>
      </c>
      <c r="H36" s="34">
        <f>VLOOKUP($B36,[32]TrtCodes!$B$11:N131,7)</f>
        <v>3</v>
      </c>
      <c r="I36" s="34">
        <f>[32]FormattedData!B88</f>
        <v>1</v>
      </c>
      <c r="J36" s="37">
        <f>[32]FormattedData!C88</f>
        <v>13.645</v>
      </c>
      <c r="K36" s="39">
        <f>$J$3+[32]FormattedData!D88*$J$4+$M$4*$J$5+[32]FormattedData!D88^2*$J$6+$M$5*$J$7</f>
        <v>53.311461852087724</v>
      </c>
      <c r="L36" s="39">
        <f>$J$3+[32]FormattedData!E88*$J$4+$M$4*$J$5+[32]FormattedData!E88^2*$J$6+$M$5*$J$7</f>
        <v>39.286606560953494</v>
      </c>
      <c r="M36" s="39">
        <f>$J$3+[32]FormattedData!F88*$J$4+$M$4*$J$5+[32]FormattedData!F88^2*$J$6+$M$5*$J$7</f>
        <v>33.809918739643955</v>
      </c>
      <c r="N36" s="39">
        <f>$J$3+[32]FormattedData!G88*$J$4+$M$4*$J$5+[32]FormattedData!G88^2*$J$6+$M$5*$J$7</f>
        <v>49.459883114101942</v>
      </c>
      <c r="O36" s="39">
        <f>$J$3+[32]FormattedData!H88*$J$4+$M$4*$J$5+[32]FormattedData!H88^2*$J$6+$M$5*$J$7</f>
        <v>34.096682850297903</v>
      </c>
      <c r="P36" s="39">
        <f>$J$3+[32]FormattedData!I88*$J$4+$M$4*$J$5+[32]FormattedData!I88^2*$J$6+$M$5*$J$7</f>
        <v>49.63673015351258</v>
      </c>
      <c r="Q36" s="39">
        <f>$J$3+[32]FormattedData!J88*$J$4+$M$4*$J$5+[32]FormattedData!J88^2*$J$6+$M$5*$J$7</f>
        <v>44.530333597102171</v>
      </c>
      <c r="R36" s="39">
        <f>$J$3+[32]FormattedData!K88*$J$4+$M$4*$J$5+[32]FormattedData!K88^2*$J$6+$M$5*$J$7</f>
        <v>52.877903632492171</v>
      </c>
      <c r="S36" s="39">
        <f>$J$3+[32]FormattedData!L88*$J$4+$M$4*$J$5+[32]FormattedData!L88^2*$J$6+$M$5*$J$7</f>
        <v>47.413989956224334</v>
      </c>
      <c r="T36" s="39">
        <f>$J$3+[32]FormattedData!M88*$J$4+$M$4*$J$5+[32]FormattedData!M88^2*$J$6+$M$5*$J$7</f>
        <v>54.089203729470057</v>
      </c>
      <c r="U36" s="39">
        <f>$J$3+[32]FormattedData!N88*$J$4+$M$4*$J$5+[32]FormattedData!N88^2*$J$6+$M$5*$J$7</f>
        <v>41.23448350266203</v>
      </c>
      <c r="V36" s="39">
        <f>$J$3+[32]FormattedData!O88*$J$4+$M$4*$J$5+[32]FormattedData!O88^2*$J$6+$M$5*$J$7</f>
        <v>50.869925353138804</v>
      </c>
      <c r="W36" s="38">
        <f>AVERAGE(K36:V36)</f>
        <v>45.884760253473935</v>
      </c>
      <c r="X36" s="37">
        <f>STDEV(K36:V36)/SQRT(COUNT(K36:V36))</f>
        <v>2.091066466856895</v>
      </c>
      <c r="Y36" s="36">
        <f>MIN(K36:V36)</f>
        <v>33.809918739643955</v>
      </c>
      <c r="Z36" s="35">
        <f>QUARTILE(K36:V36,1)</f>
        <v>40.747514267234898</v>
      </c>
      <c r="AA36" s="36">
        <f>MEDIAN(K36:V36)</f>
        <v>48.436936535163142</v>
      </c>
      <c r="AB36" s="35">
        <f>QUARTILE(K36:V36,3)</f>
        <v>51.371919922977142</v>
      </c>
      <c r="AC36" s="35">
        <f>MAX(K36:V36)</f>
        <v>54.089203729470057</v>
      </c>
      <c r="AD36" s="35">
        <f>SKEW(K36:V36)</f>
        <v>-0.6483878114434487</v>
      </c>
      <c r="AE36" s="35">
        <f>KURT(K36:V36)</f>
        <v>-0.94935529129889051</v>
      </c>
    </row>
    <row r="37" spans="2:31" x14ac:dyDescent="0.2">
      <c r="B37" s="34">
        <f>[32]FormattedData!A86</f>
        <v>404</v>
      </c>
      <c r="C37" s="34" t="str">
        <f>VLOOKUP($B37,[32]TrtCodes!$B$11:I129,2)</f>
        <v>FTH</v>
      </c>
      <c r="D37" s="34">
        <f>VLOOKUP($B37,[32]TrtCodes!$B$11:J129,3)</f>
        <v>3</v>
      </c>
      <c r="E37" s="34">
        <f>VLOOKUP($B37,[32]TrtCodes!$B$11:K129,4)</f>
        <v>1</v>
      </c>
      <c r="F37" s="34">
        <f>VLOOKUP($B37,[32]TrtCodes!$B$11:L129,5)</f>
        <v>2</v>
      </c>
      <c r="G37" s="34">
        <f>VLOOKUP($B37,[32]TrtCodes!$B$11:M129,6)</f>
        <v>2</v>
      </c>
      <c r="H37" s="34">
        <f>VLOOKUP($B37,[32]TrtCodes!$B$11:N129,7)</f>
        <v>3</v>
      </c>
      <c r="I37" s="34">
        <f>[32]FormattedData!B86</f>
        <v>1</v>
      </c>
      <c r="J37" s="37">
        <f>[32]FormattedData!C86</f>
        <v>13.628</v>
      </c>
      <c r="K37" s="39">
        <f>$J$3+[32]FormattedData!D86*$J$4+$M$4*$J$5+[32]FormattedData!D86^2*$J$6+$M$5*$J$7</f>
        <v>55.120867063533851</v>
      </c>
      <c r="L37" s="39">
        <f>$J$3+[32]FormattedData!E86*$J$4+$M$4*$J$5+[32]FormattedData!E86^2*$J$6+$M$5*$J$7</f>
        <v>49.194295540951494</v>
      </c>
      <c r="M37" s="39">
        <f>$J$3+[32]FormattedData!F86*$J$4+$M$4*$J$5+[32]FormattedData!F86^2*$J$6+$M$5*$J$7</f>
        <v>43.437803568417543</v>
      </c>
      <c r="N37" s="39">
        <f>$J$3+[32]FormattedData!G86*$J$4+$M$4*$J$5+[32]FormattedData!G86^2*$J$6+$M$5*$J$7</f>
        <v>52.791065182959265</v>
      </c>
      <c r="O37" s="39">
        <f>$J$3+[32]FormattedData!H86*$J$4+$M$4*$J$5+[32]FormattedData!H86^2*$J$6+$M$5*$J$7</f>
        <v>45.074316110396211</v>
      </c>
      <c r="P37" s="39">
        <f>$J$3+[32]FormattedData!I86*$J$4+$M$4*$J$5+[32]FormattedData!I86^2*$J$6+$M$5*$J$7</f>
        <v>55.46340224834131</v>
      </c>
      <c r="Q37" s="39">
        <f>$J$3+[32]FormattedData!J86*$J$4+$M$4*$J$5+[32]FormattedData!J86^2*$J$6+$M$5*$J$7</f>
        <v>48.395250320451851</v>
      </c>
      <c r="R37" s="39">
        <f>$J$3+[32]FormattedData!K86*$J$4+$M$4*$J$5+[32]FormattedData!K86^2*$J$6+$M$5*$J$7</f>
        <v>55.890620187247194</v>
      </c>
      <c r="S37" s="39">
        <f>$J$3+[32]FormattedData!L86*$J$4+$M$4*$J$5+[32]FormattedData!L86^2*$J$6+$M$5*$J$7</f>
        <v>36.943401030561496</v>
      </c>
      <c r="T37" s="39">
        <f>$J$3+[32]FormattedData!M86*$J$4+$M$4*$J$5+[32]FormattedData!M86^2*$J$6+$M$5*$J$7</f>
        <v>53.916668080928389</v>
      </c>
      <c r="U37" s="39">
        <f>$J$3+[32]FormattedData!N86*$J$4+$M$4*$J$5+[32]FormattedData!N86^2*$J$6+$M$5*$J$7</f>
        <v>39.193385562192987</v>
      </c>
      <c r="V37" s="39">
        <f>$J$3+[32]FormattedData!O86*$J$4+$M$4*$J$5+[32]FormattedData!O86^2*$J$6+$M$5*$J$7</f>
        <v>50.869925353138804</v>
      </c>
      <c r="W37" s="38">
        <f>AVERAGE(K37:V37)</f>
        <v>48.857583354093371</v>
      </c>
      <c r="X37" s="37">
        <f>STDEV(K37:V37)/SQRT(COUNT(K37:V37))</f>
        <v>1.8602786150280166</v>
      </c>
      <c r="Y37" s="36">
        <f>MIN(K37:V37)</f>
        <v>36.943401030561496</v>
      </c>
      <c r="Z37" s="35">
        <f>QUARTILE(K37:V37,1)</f>
        <v>44.665187974901542</v>
      </c>
      <c r="AA37" s="36">
        <f>MEDIAN(K37:V37)</f>
        <v>50.032110447045149</v>
      </c>
      <c r="AB37" s="35">
        <f>QUARTILE(K37:V37,3)</f>
        <v>54.217717826579758</v>
      </c>
      <c r="AC37" s="35">
        <f>MAX(K37:V37)</f>
        <v>55.890620187247194</v>
      </c>
      <c r="AD37" s="35">
        <f>SKEW(K37:V37)</f>
        <v>-0.70395386749913869</v>
      </c>
      <c r="AE37" s="35">
        <f>KURT(K37:V37)</f>
        <v>-0.67627190189840425</v>
      </c>
    </row>
    <row r="38" spans="2:31" x14ac:dyDescent="0.2">
      <c r="B38" s="34">
        <f>[32]FormattedData!A84</f>
        <v>405</v>
      </c>
      <c r="C38" s="34" t="str">
        <f>VLOOKUP($B38,[32]TrtCodes!$B$11:I127,2)</f>
        <v>FDL</v>
      </c>
      <c r="D38" s="34">
        <f>VLOOKUP($B38,[32]TrtCodes!$B$11:J127,3)</f>
        <v>6</v>
      </c>
      <c r="E38" s="34">
        <f>VLOOKUP($B38,[32]TrtCodes!$B$11:K127,4)</f>
        <v>1</v>
      </c>
      <c r="F38" s="34">
        <f>VLOOKUP($B38,[32]TrtCodes!$B$11:L127,5)</f>
        <v>3</v>
      </c>
      <c r="G38" s="34">
        <f>VLOOKUP($B38,[32]TrtCodes!$B$11:M127,6)</f>
        <v>1</v>
      </c>
      <c r="H38" s="34">
        <f>VLOOKUP($B38,[32]TrtCodes!$B$11:N127,7)</f>
        <v>4</v>
      </c>
      <c r="I38" s="34">
        <f>[32]FormattedData!B84</f>
        <v>1</v>
      </c>
      <c r="J38" s="37">
        <f>[32]FormattedData!C84</f>
        <v>13.612</v>
      </c>
      <c r="K38" s="39">
        <f>$J$3+[32]FormattedData!D84*$J$4+$M$4*$J$5+[32]FormattedData!D84^2*$J$6+$M$5*$J$7</f>
        <v>49.989917009878702</v>
      </c>
      <c r="L38" s="39">
        <f>$J$3+[32]FormattedData!E84*$J$4+$M$4*$J$5+[32]FormattedData!E84^2*$J$6+$M$5*$J$7</f>
        <v>41.97162871100813</v>
      </c>
      <c r="M38" s="39">
        <f>$J$3+[32]FormattedData!F84*$J$4+$M$4*$J$5+[32]FormattedData!F84^2*$J$6+$M$5*$J$7</f>
        <v>48.217219761979145</v>
      </c>
      <c r="N38" s="39">
        <f>$J$3+[32]FormattedData!G84*$J$4+$M$4*$J$5+[32]FormattedData!G84^2*$J$6+$M$5*$J$7</f>
        <v>51.308344454596437</v>
      </c>
      <c r="O38" s="39">
        <f>$J$3+[32]FormattedData!H84*$J$4+$M$4*$J$5+[32]FormattedData!H84^2*$J$6+$M$5*$J$7</f>
        <v>35.714493825888667</v>
      </c>
      <c r="P38" s="39">
        <f>$J$3+[32]FormattedData!I84*$J$4+$M$4*$J$5+[32]FormattedData!I84^2*$J$6+$M$5*$J$7</f>
        <v>50.694261832790225</v>
      </c>
      <c r="Q38" s="39">
        <f>$J$3+[32]FormattedData!J84*$J$4+$M$4*$J$5+[32]FormattedData!J84^2*$J$6+$M$5*$J$7</f>
        <v>36.849123318352717</v>
      </c>
      <c r="R38" s="39">
        <f>$J$3+[32]FormattedData!K84*$J$4+$M$4*$J$5+[32]FormattedData!K84^2*$J$6+$M$5*$J$7</f>
        <v>54.002957039468193</v>
      </c>
      <c r="S38" s="39">
        <f>$J$3+[32]FormattedData!L84*$J$4+$M$4*$J$5+[32]FormattedData!L84^2*$J$6+$M$5*$J$7</f>
        <v>36.660441088321349</v>
      </c>
      <c r="T38" s="39">
        <f>$J$3+[32]FormattedData!M84*$J$4+$M$4*$J$5+[32]FormattedData!M84^2*$J$6+$M$5*$J$7</f>
        <v>52.617261478279666</v>
      </c>
      <c r="U38" s="39">
        <f>$J$3+[32]FormattedData!N84*$J$4+$M$4*$J$5+[32]FormattedData!N84^2*$J$6+$M$5*$J$7</f>
        <v>34.192186350106695</v>
      </c>
      <c r="V38" s="39">
        <f>$J$3+[32]FormattedData!O84*$J$4+$M$4*$J$5+[32]FormattedData!O84^2*$J$6+$M$5*$J$7</f>
        <v>39.006816759058182</v>
      </c>
      <c r="W38" s="38">
        <f>AVERAGE(K38:V38)</f>
        <v>44.268720969144006</v>
      </c>
      <c r="X38" s="37">
        <f>STDEV(K38:V38)/SQRT(COUNT(K38:V38))</f>
        <v>2.1746334667062164</v>
      </c>
      <c r="Y38" s="36">
        <f>MIN(K38:V38)</f>
        <v>34.192186350106695</v>
      </c>
      <c r="Z38" s="35">
        <f>QUARTILE(K38:V38,1)</f>
        <v>36.801952760844877</v>
      </c>
      <c r="AA38" s="36">
        <f>MEDIAN(K38:V38)</f>
        <v>45.094424236493637</v>
      </c>
      <c r="AB38" s="35">
        <f>QUARTILE(K38:V38,3)</f>
        <v>50.847782488241776</v>
      </c>
      <c r="AC38" s="35">
        <f>MAX(K38:V38)</f>
        <v>54.002957039468193</v>
      </c>
      <c r="AD38" s="35">
        <f>SKEW(K38:V38)</f>
        <v>-7.363107819807331E-2</v>
      </c>
      <c r="AE38" s="35">
        <f>KURT(K38:V38)</f>
        <v>-1.9708322926376423</v>
      </c>
    </row>
    <row r="39" spans="2:31" x14ac:dyDescent="0.2">
      <c r="B39" s="34">
        <f>[32]FormattedData!A82</f>
        <v>406</v>
      </c>
      <c r="C39" s="34" t="str">
        <f>VLOOKUP($B39,[32]TrtCodes!$B$11:I125,2)</f>
        <v>FTH</v>
      </c>
      <c r="D39" s="34">
        <f>VLOOKUP($B39,[32]TrtCodes!$B$11:J125,3)</f>
        <v>3</v>
      </c>
      <c r="E39" s="34">
        <f>VLOOKUP($B39,[32]TrtCodes!$B$11:K125,4)</f>
        <v>1</v>
      </c>
      <c r="F39" s="34">
        <f>VLOOKUP($B39,[32]TrtCodes!$B$11:L125,5)</f>
        <v>2</v>
      </c>
      <c r="G39" s="34">
        <f>VLOOKUP($B39,[32]TrtCodes!$B$11:M125,6)</f>
        <v>2</v>
      </c>
      <c r="H39" s="34">
        <f>VLOOKUP($B39,[32]TrtCodes!$B$11:N125,7)</f>
        <v>4</v>
      </c>
      <c r="I39" s="34">
        <f>[32]FormattedData!B82</f>
        <v>1</v>
      </c>
      <c r="J39" s="37">
        <f>[32]FormattedData!C82</f>
        <v>13.596</v>
      </c>
      <c r="K39" s="39">
        <f>$J$3+[32]FormattedData!D82*$J$4+$M$4*$J$5+[32]FormattedData!D82^2*$J$6+$M$5*$J$7</f>
        <v>55.634416229517463</v>
      </c>
      <c r="L39" s="39">
        <f>$J$3+[32]FormattedData!E82*$J$4+$M$4*$J$5+[32]FormattedData!E82^2*$J$6+$M$5*$J$7</f>
        <v>54.175408150933997</v>
      </c>
      <c r="M39" s="39">
        <f>$J$3+[32]FormattedData!F82*$J$4+$M$4*$J$5+[32]FormattedData!F82^2*$J$6+$M$5*$J$7</f>
        <v>49.548327768076234</v>
      </c>
      <c r="N39" s="39">
        <f>$J$3+[32]FormattedData!G82*$J$4+$M$4*$J$5+[32]FormattedData!G82^2*$J$6+$M$5*$J$7</f>
        <v>41.23448350266203</v>
      </c>
      <c r="O39" s="39">
        <f>$J$3+[32]FormattedData!H82*$J$4+$M$4*$J$5+[32]FormattedData!H82^2*$J$6+$M$5*$J$7</f>
        <v>44.530333597102171</v>
      </c>
      <c r="P39" s="39">
        <f>$J$3+[32]FormattedData!I82*$J$4+$M$4*$J$5+[32]FormattedData!I82^2*$J$6+$M$5*$J$7</f>
        <v>52.094835919330514</v>
      </c>
      <c r="Q39" s="39">
        <f>$J$3+[32]FormattedData!J82*$J$4+$M$4*$J$5+[32]FormattedData!J82^2*$J$6+$M$5*$J$7</f>
        <v>44.893157680116587</v>
      </c>
      <c r="R39" s="39">
        <f>$J$3+[32]FormattedData!K82*$J$4+$M$4*$J$5+[32]FormattedData!K82^2*$J$6+$M$5*$J$7</f>
        <v>56.231633704689138</v>
      </c>
      <c r="S39" s="39">
        <f>$J$3+[32]FormattedData!L82*$J$4+$M$4*$J$5+[32]FormattedData!L82^2*$J$6+$M$5*$J$7</f>
        <v>39.752077526687053</v>
      </c>
      <c r="T39" s="39">
        <f>$J$3+[32]FormattedData!M82*$J$4+$M$4*$J$5+[32]FormattedData!M82^2*$J$6+$M$5*$J$7</f>
        <v>54.519803151410436</v>
      </c>
      <c r="U39" s="39">
        <f>$J$3+[32]FormattedData!N82*$J$4+$M$4*$J$5+[32]FormattedData!N82^2*$J$6+$M$5*$J$7</f>
        <v>36.187995813829147</v>
      </c>
      <c r="V39" s="39">
        <f>$J$3+[32]FormattedData!O82*$J$4+$M$4*$J$5+[32]FormattedData!O82^2*$J$6+$M$5*$J$7</f>
        <v>54.605796230184708</v>
      </c>
      <c r="W39" s="38">
        <f>AVERAGE(K39:V39)</f>
        <v>48.617355772878291</v>
      </c>
      <c r="X39" s="37">
        <f>STDEV(K39:V39)/SQRT(COUNT(K39:V39))</f>
        <v>2.022469510081828</v>
      </c>
      <c r="Y39" s="36">
        <f>MIN(K39:V39)</f>
        <v>36.187995813829147</v>
      </c>
      <c r="Z39" s="35">
        <f>QUARTILE(K39:V39,1)</f>
        <v>43.706371073492136</v>
      </c>
      <c r="AA39" s="36">
        <f>MEDIAN(K39:V39)</f>
        <v>50.82158184370337</v>
      </c>
      <c r="AB39" s="35">
        <f>QUARTILE(K39:V39,3)</f>
        <v>54.541301421104002</v>
      </c>
      <c r="AC39" s="35">
        <f>MAX(K39:V39)</f>
        <v>56.231633704689138</v>
      </c>
      <c r="AD39" s="35">
        <f>SKEW(K39:V39)</f>
        <v>-0.54479755698198951</v>
      </c>
      <c r="AE39" s="35">
        <f>KURT(K39:V39)</f>
        <v>-1.2292989001479762</v>
      </c>
    </row>
    <row r="40" spans="2:31" x14ac:dyDescent="0.2">
      <c r="B40" s="34">
        <f>[32]FormattedData!A80</f>
        <v>407</v>
      </c>
      <c r="C40" s="34" t="str">
        <f>VLOOKUP($B40,[32]TrtCodes!$B$11:I123,2)</f>
        <v>NSH</v>
      </c>
      <c r="D40" s="34">
        <f>VLOOKUP($B40,[32]TrtCodes!$B$11:J123,3)</f>
        <v>7</v>
      </c>
      <c r="E40" s="34">
        <f>VLOOKUP($B40,[32]TrtCodes!$B$11:K123,4)</f>
        <v>2</v>
      </c>
      <c r="F40" s="34">
        <f>VLOOKUP($B40,[32]TrtCodes!$B$11:L123,5)</f>
        <v>1</v>
      </c>
      <c r="G40" s="34">
        <f>VLOOKUP($B40,[32]TrtCodes!$B$11:M123,6)</f>
        <v>2</v>
      </c>
      <c r="H40" s="34">
        <f>VLOOKUP($B40,[32]TrtCodes!$B$11:N123,7)</f>
        <v>4</v>
      </c>
      <c r="I40" s="34">
        <f>[32]FormattedData!B80</f>
        <v>1</v>
      </c>
      <c r="J40" s="37">
        <f>[32]FormattedData!C80</f>
        <v>13.574999999999999</v>
      </c>
      <c r="K40" s="39">
        <f>$J$3+[32]FormattedData!D80*$J$4+$M$4*$J$5+[32]FormattedData!D80^2*$J$6+$M$5*$J$7</f>
        <v>38.165164852323969</v>
      </c>
      <c r="L40" s="39">
        <f>$J$3+[32]FormattedData!E80*$J$4+$M$4*$J$5+[32]FormattedData!E80^2*$J$6+$M$5*$J$7</f>
        <v>38.258850805001714</v>
      </c>
      <c r="M40" s="39">
        <f>$J$3+[32]FormattedData!F80*$J$4+$M$4*$J$5+[32]FormattedData!F80^2*$J$6+$M$5*$J$7</f>
        <v>36.849123318352717</v>
      </c>
      <c r="N40" s="39">
        <f>$J$3+[32]FormattedData!G80*$J$4+$M$4*$J$5+[32]FormattedData!G80^2*$J$6+$M$5*$J$7</f>
        <v>38.633171930333397</v>
      </c>
      <c r="O40" s="39">
        <f>$J$3+[32]FormattedData!H80*$J$4+$M$4*$J$5+[32]FormattedData!H80^2*$J$6+$M$5*$J$7</f>
        <v>33.235249267811916</v>
      </c>
      <c r="P40" s="39">
        <f>$J$3+[32]FormattedData!I80*$J$4+$M$4*$J$5+[32]FormattedData!I80^2*$J$6+$M$5*$J$7</f>
        <v>38.165164852323969</v>
      </c>
      <c r="Q40" s="39">
        <f>$J$3+[32]FormattedData!J80*$J$4+$M$4*$J$5+[32]FormattedData!J80^2*$J$6+$M$5*$J$7</f>
        <v>34.669069821081671</v>
      </c>
      <c r="R40" s="39">
        <f>$J$3+[32]FormattedData!K80*$J$4+$M$4*$J$5+[32]FormattedData!K80^2*$J$6+$M$5*$J$7</f>
        <v>38.352494489141527</v>
      </c>
      <c r="S40" s="39">
        <f>$J$3+[32]FormattedData!L80*$J$4+$M$4*$J$5+[32]FormattedData!L80^2*$J$6+$M$5*$J$7</f>
        <v>33.043354628897788</v>
      </c>
      <c r="T40" s="39">
        <f>$J$3+[32]FormattedData!M80*$J$4+$M$4*$J$5+[32]FormattedData!M80^2*$J$6+$M$5*$J$7</f>
        <v>38.726646540321489</v>
      </c>
      <c r="U40" s="39">
        <f>$J$3+[32]FormattedData!N80*$J$4+$M$4*$J$5+[32]FormattedData!N80^2*$J$6+$M$5*$J$7</f>
        <v>35.714493825888667</v>
      </c>
      <c r="V40" s="39">
        <f>$J$3+[32]FormattedData!O80*$J$4+$M$4*$J$5+[32]FormattedData!O80^2*$J$6+$M$5*$J$7</f>
        <v>36.377100729239821</v>
      </c>
      <c r="W40" s="38">
        <f>AVERAGE(K40:V40)</f>
        <v>36.682490421726548</v>
      </c>
      <c r="X40" s="37">
        <f>STDEV(K40:V40)/SQRT(COUNT(K40:V40))</f>
        <v>0.60234953713912487</v>
      </c>
      <c r="Y40" s="36">
        <f>MIN(K40:V40)</f>
        <v>33.043354628897788</v>
      </c>
      <c r="Z40" s="35">
        <f>QUARTILE(K40:V40,1)</f>
        <v>35.45313782468692</v>
      </c>
      <c r="AA40" s="36">
        <f>MEDIAN(K40:V40)</f>
        <v>37.507144085338339</v>
      </c>
      <c r="AB40" s="35">
        <f>QUARTILE(K40:V40,3)</f>
        <v>38.282261726036666</v>
      </c>
      <c r="AC40" s="35">
        <f>MAX(K40:V40)</f>
        <v>38.726646540321489</v>
      </c>
      <c r="AD40" s="35">
        <f>SKEW(K40:V40)</f>
        <v>-0.80687431238122287</v>
      </c>
      <c r="AE40" s="35">
        <f>KURT(K40:V40)</f>
        <v>-0.79576391257423396</v>
      </c>
    </row>
    <row r="41" spans="2:31" x14ac:dyDescent="0.2">
      <c r="B41" s="34">
        <f>[32]FormattedData!A78</f>
        <v>408</v>
      </c>
      <c r="C41" s="34" t="str">
        <f>VLOOKUP($B41,[32]TrtCodes!$B$11:I121,2)</f>
        <v>NTL</v>
      </c>
      <c r="D41" s="34">
        <f>VLOOKUP($B41,[32]TrtCodes!$B$11:J121,3)</f>
        <v>10</v>
      </c>
      <c r="E41" s="34">
        <f>VLOOKUP($B41,[32]TrtCodes!$B$11:K121,4)</f>
        <v>2</v>
      </c>
      <c r="F41" s="34">
        <f>VLOOKUP($B41,[32]TrtCodes!$B$11:L121,5)</f>
        <v>2</v>
      </c>
      <c r="G41" s="34">
        <f>VLOOKUP($B41,[32]TrtCodes!$B$11:M121,6)</f>
        <v>1</v>
      </c>
      <c r="H41" s="34">
        <f>VLOOKUP($B41,[32]TrtCodes!$B$11:N121,7)</f>
        <v>4</v>
      </c>
      <c r="I41" s="34">
        <f>[32]FormattedData!B78</f>
        <v>1</v>
      </c>
      <c r="J41" s="37">
        <f>[32]FormattedData!C78</f>
        <v>13.558999999999999</v>
      </c>
      <c r="K41" s="39">
        <f>$J$3+[32]FormattedData!D78*$J$4+$M$4*$J$5+[32]FormattedData!D78^2*$J$6+$M$5*$J$7</f>
        <v>48.839587017219856</v>
      </c>
      <c r="L41" s="39">
        <f>$J$3+[32]FormattedData!E78*$J$4+$M$4*$J$5+[32]FormattedData!E78^2*$J$6+$M$5*$J$7</f>
        <v>39.37978529117607</v>
      </c>
      <c r="M41" s="39">
        <f>$J$3+[32]FormattedData!F78*$J$4+$M$4*$J$5+[32]FormattedData!F78^2*$J$6+$M$5*$J$7</f>
        <v>49.194295540951494</v>
      </c>
      <c r="N41" s="39">
        <f>$J$3+[32]FormattedData!G78*$J$4+$M$4*$J$5+[32]FormattedData!G78^2*$J$6+$M$5*$J$7</f>
        <v>49.371396191589717</v>
      </c>
      <c r="O41" s="39">
        <f>$J$3+[32]FormattedData!H78*$J$4+$M$4*$J$5+[32]FormattedData!H78^2*$J$6+$M$5*$J$7</f>
        <v>47.324530857339695</v>
      </c>
      <c r="P41" s="39">
        <f>$J$3+[32]FormattedData!I78*$J$4+$M$4*$J$5+[32]FormattedData!I78^2*$J$6+$M$5*$J$7</f>
        <v>46.247724724765455</v>
      </c>
      <c r="Q41" s="39">
        <f>$J$3+[32]FormattedData!J78*$J$4+$M$4*$J$5+[32]FormattedData!J78^2*$J$6+$M$5*$J$7</f>
        <v>48.395250320451851</v>
      </c>
      <c r="R41" s="39">
        <f>$J$3+[32]FormattedData!K78*$J$4+$M$4*$J$5+[32]FormattedData!K78^2*$J$6+$M$5*$J$7</f>
        <v>47.592781348379809</v>
      </c>
      <c r="S41" s="39">
        <f>$J$3+[32]FormattedData!L78*$J$4+$M$4*$J$5+[32]FormattedData!L78^2*$J$6+$M$5*$J$7</f>
        <v>41.879633499847628</v>
      </c>
      <c r="T41" s="39">
        <f>$J$3+[32]FormattedData!M78*$J$4+$M$4*$J$5+[32]FormattedData!M78^2*$J$6+$M$5*$J$7</f>
        <v>48.128141079935894</v>
      </c>
      <c r="U41" s="39">
        <f>$J$3+[32]FormattedData!N78*$J$4+$M$4*$J$5+[32]FormattedData!N78^2*$J$6+$M$5*$J$7</f>
        <v>46.876601334847557</v>
      </c>
      <c r="V41" s="39">
        <f>$J$3+[32]FormattedData!O78*$J$4+$M$4*$J$5+[32]FormattedData!O78^2*$J$6+$M$5*$J$7</f>
        <v>39.286606560953494</v>
      </c>
      <c r="W41" s="38">
        <f>AVERAGE(K41:V41)</f>
        <v>46.043027813954872</v>
      </c>
      <c r="X41" s="37">
        <f>STDEV(K41:V41)/SQRT(COUNT(K41:V41))</f>
        <v>1.0690994821530519</v>
      </c>
      <c r="Y41" s="36">
        <f>MIN(K41:V41)</f>
        <v>39.286606560953494</v>
      </c>
      <c r="Z41" s="35">
        <f>QUARTILE(K41:V41,1)</f>
        <v>45.155701918535996</v>
      </c>
      <c r="AA41" s="36">
        <f>MEDIAN(K41:V41)</f>
        <v>47.458656102859749</v>
      </c>
      <c r="AB41" s="35">
        <f>QUARTILE(K41:V41,3)</f>
        <v>48.506334494643852</v>
      </c>
      <c r="AC41" s="35">
        <f>MAX(K41:V41)</f>
        <v>49.371396191589717</v>
      </c>
      <c r="AD41" s="35">
        <f>SKEW(K41:V41)</f>
        <v>-1.198174717669573</v>
      </c>
      <c r="AE41" s="35">
        <f>KURT(K41:V41)</f>
        <v>-9.9354357026058882E-2</v>
      </c>
    </row>
    <row r="42" spans="2:31" x14ac:dyDescent="0.2">
      <c r="B42" s="50">
        <f>[32]FormattedData!A60</f>
        <v>901</v>
      </c>
      <c r="C42" s="50" t="str">
        <f>VLOOKUP($B42,[32]TrtCodes!$B$11:I103,2)</f>
        <v>WS</v>
      </c>
      <c r="D42" s="50">
        <f>VLOOKUP($B42,[32]TrtCodes!$B$11:J103,3)</f>
        <v>32</v>
      </c>
      <c r="E42" s="50">
        <f>VLOOKUP($B42,[32]TrtCodes!$B$11:K103,4)</f>
        <v>9</v>
      </c>
      <c r="F42" s="50">
        <f>VLOOKUP($B42,[32]TrtCodes!$B$11:L103,5)</f>
        <v>0</v>
      </c>
      <c r="G42" s="50">
        <f>VLOOKUP($B42,[32]TrtCodes!$B$11:M103,6)</f>
        <v>1</v>
      </c>
      <c r="H42" s="50">
        <f>VLOOKUP($B42,[32]TrtCodes!$B$11:N103,7)</f>
        <v>1</v>
      </c>
      <c r="I42" s="50">
        <f>[32]FormattedData!B60</f>
        <v>1</v>
      </c>
      <c r="J42" s="48">
        <f>[32]FormattedData!C60</f>
        <v>13.413</v>
      </c>
      <c r="K42" s="47">
        <f>$J$3+[32]FormattedData!D60*$J$4+$M$4*$J$5+[32]FormattedData!D60^2*$J$6+$M$5*$J$7</f>
        <v>44.802515062169881</v>
      </c>
      <c r="L42" s="47">
        <f>$J$3+[32]FormattedData!E60*$J$4+$M$4*$J$5+[32]FormattedData!E60^2*$J$6+$M$5*$J$7</f>
        <v>46.337691046105256</v>
      </c>
      <c r="M42" s="47">
        <f>$J$3+[32]FormattedData!F60*$J$4+$M$4*$J$5+[32]FormattedData!F60^2*$J$6+$M$5*$J$7</f>
        <v>46.607336398897097</v>
      </c>
      <c r="N42" s="47">
        <f>$J$3+[32]FormattedData!G60*$J$4+$M$4*$J$5+[32]FormattedData!G60^2*$J$6+$M$5*$J$7</f>
        <v>44.802515062169881</v>
      </c>
      <c r="O42" s="47">
        <f>$J$3+[32]FormattedData!H60*$J$4+$M$4*$J$5+[32]FormattedData!H60^2*$J$6+$M$5*$J$7</f>
        <v>43.346484653863939</v>
      </c>
      <c r="P42" s="47">
        <f>$J$3+[32]FormattedData!I60*$J$4+$M$4*$J$5+[32]FormattedData!I60^2*$J$6+$M$5*$J$7</f>
        <v>43.802656541252652</v>
      </c>
      <c r="Q42" s="47">
        <f>$J$3+[32]FormattedData!J60*$J$4+$M$4*$J$5+[32]FormattedData!J60^2*$J$6+$M$5*$J$7</f>
        <v>43.255123470772403</v>
      </c>
      <c r="R42" s="47">
        <f>$J$3+[32]FormattedData!K60*$J$4+$M$4*$J$5+[32]FormattedData!K60^2*$J$6+$M$5*$J$7</f>
        <v>46.157716134887707</v>
      </c>
      <c r="S42" s="47">
        <f>$J$3+[32]FormattedData!L60*$J$4+$M$4*$J$5+[32]FormattedData!L60^2*$J$6+$M$5*$J$7</f>
        <v>45.887436754026908</v>
      </c>
      <c r="T42" s="47">
        <f>$J$3+[32]FormattedData!M60*$J$4+$M$4*$J$5+[32]FormattedData!M60^2*$J$6+$M$5*$J$7</f>
        <v>45.436125748500274</v>
      </c>
      <c r="U42" s="47">
        <f>$J$3+[32]FormattedData!N60*$J$4+$M$4*$J$5+[32]FormattedData!N60^2*$J$6+$M$5*$J$7</f>
        <v>43.255123470772403</v>
      </c>
      <c r="V42" s="47">
        <f>$J$3+[32]FormattedData!O60*$J$4+$M$4*$J$5+[32]FormattedData!O60^2*$J$6+$M$5*$J$7</f>
        <v>44.257771715193087</v>
      </c>
      <c r="W42" s="49">
        <f>AVERAGE(K42:V42)</f>
        <v>44.829041338217621</v>
      </c>
      <c r="X42" s="48">
        <f>STDEV(K42:V42)/SQRT(COUNT(K42:V42))</f>
        <v>0.3612490701066865</v>
      </c>
      <c r="Y42" s="47">
        <f>MIN(K42:V42)</f>
        <v>43.255123470772403</v>
      </c>
      <c r="Z42" s="46">
        <f>QUARTILE(K42:V42,1)</f>
        <v>43.688613569405476</v>
      </c>
      <c r="AA42" s="47">
        <f>MEDIAN(K42:V42)</f>
        <v>44.802515062169881</v>
      </c>
      <c r="AB42" s="46">
        <f>QUARTILE(K42:V42,3)</f>
        <v>45.955006599242111</v>
      </c>
      <c r="AC42" s="46">
        <f>MAX(K42:V42)</f>
        <v>46.607336398897097</v>
      </c>
      <c r="AD42" s="46">
        <f>SKEW(K42:V42)</f>
        <v>2.7166885863633135E-2</v>
      </c>
      <c r="AE42" s="46">
        <f>KURT(K42:V42)</f>
        <v>-1.5911382363546616</v>
      </c>
    </row>
    <row r="43" spans="2:31" x14ac:dyDescent="0.2">
      <c r="B43" s="34">
        <f>[32]FormattedData!A58</f>
        <v>902</v>
      </c>
      <c r="C43" s="34" t="str">
        <f>VLOOKUP($B43,[32]TrtCodes!$B$11:I101,2)</f>
        <v>Late</v>
      </c>
      <c r="D43" s="34">
        <f>VLOOKUP($B43,[32]TrtCodes!$B$11:J101,3)</f>
        <v>22</v>
      </c>
      <c r="E43" s="34">
        <f>VLOOKUP($B43,[32]TrtCodes!$B$11:K101,4)</f>
        <v>4</v>
      </c>
      <c r="F43" s="34">
        <f>VLOOKUP($B43,[32]TrtCodes!$B$11:L101,5)</f>
        <v>2</v>
      </c>
      <c r="G43" s="34">
        <f>VLOOKUP($B43,[32]TrtCodes!$B$11:M101,6)</f>
        <v>2</v>
      </c>
      <c r="H43" s="34">
        <f>VLOOKUP($B43,[32]TrtCodes!$B$11:N101,7)</f>
        <v>1</v>
      </c>
      <c r="I43" s="34">
        <f>[32]FormattedData!B58</f>
        <v>1</v>
      </c>
      <c r="J43" s="37">
        <f>[32]FormattedData!C58</f>
        <v>13.396000000000001</v>
      </c>
      <c r="K43" s="39">
        <f>$J$3+[32]FormattedData!D58*$J$4+$M$4*$J$5+[32]FormattedData!D58^2*$J$6+$M$5*$J$7</f>
        <v>55.890620187247194</v>
      </c>
      <c r="L43" s="39">
        <f>$J$3+[32]FormattedData!E58*$J$4+$M$4*$J$5+[32]FormattedData!E58^2*$J$6+$M$5*$J$7</f>
        <v>50.430449538232892</v>
      </c>
      <c r="M43" s="39">
        <f>$J$3+[32]FormattedData!F58*$J$4+$M$4*$J$5+[32]FormattedData!F58^2*$J$6+$M$5*$J$7</f>
        <v>46.42761509890714</v>
      </c>
      <c r="N43" s="39">
        <f>$J$3+[32]FormattedData!G58*$J$4+$M$4*$J$5+[32]FormattedData!G58^2*$J$6+$M$5*$J$7</f>
        <v>54.691747040421063</v>
      </c>
      <c r="O43" s="39">
        <f>$J$3+[32]FormattedData!H58*$J$4+$M$4*$J$5+[32]FormattedData!H58^2*$J$6+$M$5*$J$7</f>
        <v>45.526472486681463</v>
      </c>
      <c r="P43" s="39">
        <f>$J$3+[32]FormattedData!I58*$J$4+$M$4*$J$5+[32]FormattedData!I58^2*$J$6+$M$5*$J$7</f>
        <v>54.175408150933997</v>
      </c>
      <c r="Q43" s="39">
        <f>$J$3+[32]FormattedData!J58*$J$4+$M$4*$J$5+[32]FormattedData!J58^2*$J$6+$M$5*$J$7</f>
        <v>41.603394255138525</v>
      </c>
      <c r="R43" s="39">
        <f>$J$3+[32]FormattedData!K58*$J$4+$M$4*$J$5+[32]FormattedData!K58^2*$J$6+$M$5*$J$7</f>
        <v>56.741885924714111</v>
      </c>
      <c r="S43" s="39">
        <f>$J$3+[32]FormattedData!L58*$J$4+$M$4*$J$5+[32]FormattedData!L58^2*$J$6+$M$5*$J$7</f>
        <v>42.614411670069579</v>
      </c>
      <c r="T43" s="39">
        <f>$J$3+[32]FormattedData!M58*$J$4+$M$4*$J$5+[32]FormattedData!M58^2*$J$6+$M$5*$J$7</f>
        <v>56.316781412704799</v>
      </c>
      <c r="U43" s="39">
        <f>$J$3+[32]FormattedData!N58*$J$4+$M$4*$J$5+[32]FormattedData!N58^2*$J$6+$M$5*$J$7</f>
        <v>45.616776956324721</v>
      </c>
      <c r="V43" s="39">
        <f>$J$3+[32]FormattedData!O58*$J$4+$M$4*$J$5+[32]FormattedData!O58^2*$J$6+$M$5*$J$7</f>
        <v>44.348667944367378</v>
      </c>
      <c r="W43" s="38">
        <f>AVERAGE(K43:V43)</f>
        <v>49.532019222145244</v>
      </c>
      <c r="X43" s="37">
        <f>STDEV(K43:V43)/SQRT(COUNT(K43:V43))</f>
        <v>1.6652244848473676</v>
      </c>
      <c r="Y43" s="36">
        <f>MIN(K43:V43)</f>
        <v>41.603394255138525</v>
      </c>
      <c r="Z43" s="35">
        <f>QUARTILE(K43:V43,1)</f>
        <v>45.232021351102944</v>
      </c>
      <c r="AA43" s="36">
        <f>MEDIAN(K43:V43)</f>
        <v>48.429032318570016</v>
      </c>
      <c r="AB43" s="35">
        <f>QUARTILE(K43:V43,3)</f>
        <v>54.991465327127599</v>
      </c>
      <c r="AC43" s="35">
        <f>MAX(K43:V43)</f>
        <v>56.741885924714111</v>
      </c>
      <c r="AD43" s="35">
        <f>SKEW(K43:V43)</f>
        <v>3.3811599633930586E-2</v>
      </c>
      <c r="AE43" s="35">
        <f>KURT(K43:V43)</f>
        <v>-1.873200955155061</v>
      </c>
    </row>
    <row r="44" spans="2:31" x14ac:dyDescent="0.2">
      <c r="B44" s="50">
        <f>[32]FormattedData!A56</f>
        <v>903</v>
      </c>
      <c r="C44" s="50" t="str">
        <f>VLOOKUP($B44,[32]TrtCodes!$B$11:I99,2)</f>
        <v>DS</v>
      </c>
      <c r="D44" s="50">
        <f>VLOOKUP($B44,[32]TrtCodes!$B$11:J99,3)</f>
        <v>31</v>
      </c>
      <c r="E44" s="50">
        <f>VLOOKUP($B44,[32]TrtCodes!$B$11:K99,4)</f>
        <v>8</v>
      </c>
      <c r="F44" s="50">
        <f>VLOOKUP($B44,[32]TrtCodes!$B$11:L99,5)</f>
        <v>0</v>
      </c>
      <c r="G44" s="50">
        <f>VLOOKUP($B44,[32]TrtCodes!$B$11:M99,6)</f>
        <v>1</v>
      </c>
      <c r="H44" s="50">
        <f>VLOOKUP($B44,[32]TrtCodes!$B$11:N99,7)</f>
        <v>1</v>
      </c>
      <c r="I44" s="50">
        <f>[32]FormattedData!B56</f>
        <v>1</v>
      </c>
      <c r="J44" s="48">
        <f>[32]FormattedData!C56</f>
        <v>13.388</v>
      </c>
      <c r="K44" s="47">
        <f>$J$3+[32]FormattedData!D56*$J$4+$M$4*$J$5+[32]FormattedData!D56^2*$J$6+$M$5*$J$7</f>
        <v>63.725641931684187</v>
      </c>
      <c r="L44" s="47">
        <f>$J$3+[32]FormattedData!E56*$J$4+$M$4*$J$5+[32]FormattedData!E56^2*$J$6+$M$5*$J$7</f>
        <v>63.806985471286048</v>
      </c>
      <c r="M44" s="47">
        <f>$J$3+[32]FormattedData!F56*$J$4+$M$4*$J$5+[32]FormattedData!F56^2*$J$6+$M$5*$J$7</f>
        <v>63.806985471286048</v>
      </c>
      <c r="N44" s="47">
        <f>$J$3+[32]FormattedData!G56*$J$4+$M$4*$J$5+[32]FormattedData!G56^2*$J$6+$M$5*$J$7</f>
        <v>63.806985471286048</v>
      </c>
      <c r="O44" s="47">
        <f>$J$3+[32]FormattedData!H56*$J$4+$M$4*$J$5+[32]FormattedData!H56^2*$J$6+$M$5*$J$7</f>
        <v>63.073371947503816</v>
      </c>
      <c r="P44" s="47">
        <f>$J$3+[32]FormattedData!I56*$J$4+$M$4*$J$5+[32]FormattedData!I56^2*$J$6+$M$5*$J$7</f>
        <v>63.644256123544402</v>
      </c>
      <c r="Q44" s="47">
        <f>$J$3+[32]FormattedData!J56*$J$4+$M$4*$J$5+[32]FormattedData!J56^2*$J$6+$M$5*$J$7</f>
        <v>63.644256123544402</v>
      </c>
      <c r="R44" s="47">
        <f>$J$3+[32]FormattedData!K56*$J$4+$M$4*$J$5+[32]FormattedData!K56^2*$J$6+$M$5*$J$7</f>
        <v>63.56282804686667</v>
      </c>
      <c r="S44" s="47">
        <f>$J$3+[32]FormattedData!L56*$J$4+$M$4*$J$5+[32]FormattedData!L56^2*$J$6+$M$5*$J$7</f>
        <v>63.56282804686667</v>
      </c>
      <c r="T44" s="47">
        <f>$J$3+[32]FormattedData!M56*$J$4+$M$4*$J$5+[32]FormattedData!M56^2*$J$6+$M$5*$J$7</f>
        <v>64.05076247886403</v>
      </c>
      <c r="U44" s="47">
        <f>$J$3+[32]FormattedData!N56*$J$4+$M$4*$J$5+[32]FormattedData!N56^2*$J$6+$M$5*$J$7</f>
        <v>63.888286742349962</v>
      </c>
      <c r="V44" s="47">
        <f>$J$3+[32]FormattedData!O56*$J$4+$M$4*$J$5+[32]FormattedData!O56^2*$J$6+$M$5*$J$7</f>
        <v>63.725641931684187</v>
      </c>
      <c r="W44" s="49">
        <f>AVERAGE(K44:V44)</f>
        <v>63.691569148897202</v>
      </c>
      <c r="X44" s="48">
        <f>STDEV(K44:V44)/SQRT(COUNT(K44:V44))</f>
        <v>6.9073726454455669E-2</v>
      </c>
      <c r="Y44" s="47">
        <f>MIN(K44:V44)</f>
        <v>63.073371947503816</v>
      </c>
      <c r="Z44" s="46">
        <f>QUARTILE(K44:V44,1)</f>
        <v>63.623899104374971</v>
      </c>
      <c r="AA44" s="47">
        <f>MEDIAN(K44:V44)</f>
        <v>63.725641931684187</v>
      </c>
      <c r="AB44" s="46">
        <f>QUARTILE(K44:V44,3)</f>
        <v>63.806985471286048</v>
      </c>
      <c r="AC44" s="46">
        <f>MAX(K44:V44)</f>
        <v>64.05076247886403</v>
      </c>
      <c r="AD44" s="46">
        <f>SKEW(K44:V44)</f>
        <v>-1.4499661546038565</v>
      </c>
      <c r="AE44" s="46">
        <f>KURT(K44:V44)</f>
        <v>3.9121953818211317</v>
      </c>
    </row>
    <row r="45" spans="2:31" x14ac:dyDescent="0.2">
      <c r="B45" s="34">
        <f>[32]FormattedData!A54</f>
        <v>904</v>
      </c>
      <c r="C45" s="34" t="str">
        <f>VLOOKUP($B45,[32]TrtCodes!$B$11:I97,2)</f>
        <v>Early</v>
      </c>
      <c r="D45" s="34">
        <f>VLOOKUP($B45,[32]TrtCodes!$B$11:J97,3)</f>
        <v>21</v>
      </c>
      <c r="E45" s="34">
        <f>VLOOKUP($B45,[32]TrtCodes!$B$11:K97,4)</f>
        <v>3</v>
      </c>
      <c r="F45" s="34">
        <f>VLOOKUP($B45,[32]TrtCodes!$B$11:L97,5)</f>
        <v>2</v>
      </c>
      <c r="G45" s="34">
        <f>VLOOKUP($B45,[32]TrtCodes!$B$11:M97,6)</f>
        <v>2</v>
      </c>
      <c r="H45" s="34">
        <f>VLOOKUP($B45,[32]TrtCodes!$B$11:N97,7)</f>
        <v>1</v>
      </c>
      <c r="I45" s="34">
        <f>[32]FormattedData!B54</f>
        <v>1</v>
      </c>
      <c r="J45" s="37">
        <f>[32]FormattedData!C54</f>
        <v>13.371</v>
      </c>
      <c r="K45" s="39">
        <f>$J$3+[32]FormattedData!D54*$J$4+$M$4*$J$5+[32]FormattedData!D54^2*$J$6+$M$5*$J$7</f>
        <v>57.250616477373583</v>
      </c>
      <c r="L45" s="39">
        <f>$J$3+[32]FormattedData!E54*$J$4+$M$4*$J$5+[32]FormattedData!E54^2*$J$6+$M$5*$J$7</f>
        <v>46.067665276472049</v>
      </c>
      <c r="M45" s="39">
        <f>$J$3+[32]FormattedData!F54*$J$4+$M$4*$J$5+[32]FormattedData!F54^2*$J$6+$M$5*$J$7</f>
        <v>50.869925353138804</v>
      </c>
      <c r="N45" s="39">
        <f>$J$3+[32]FormattedData!G54*$J$4+$M$4*$J$5+[32]FormattedData!G54^2*$J$6+$M$5*$J$7</f>
        <v>46.607336398897097</v>
      </c>
      <c r="O45" s="39">
        <f>$J$3+[32]FormattedData!H54*$J$4+$M$4*$J$5+[32]FormattedData!H54^2*$J$6+$M$5*$J$7</f>
        <v>47.324530857339695</v>
      </c>
      <c r="P45" s="39">
        <f>$J$3+[32]FormattedData!I54*$J$4+$M$4*$J$5+[32]FormattedData!I54^2*$J$6+$M$5*$J$7</f>
        <v>54.089203729470057</v>
      </c>
      <c r="Q45" s="39">
        <f>$J$3+[32]FormattedData!J54*$J$4+$M$4*$J$5+[32]FormattedData!J54^2*$J$6+$M$5*$J$7</f>
        <v>40.77239401996296</v>
      </c>
      <c r="R45" s="39">
        <f>$J$3+[32]FormattedData!K54*$J$4+$M$4*$J$5+[32]FormattedData!K54^2*$J$6+$M$5*$J$7</f>
        <v>59.521073330692836</v>
      </c>
      <c r="S45" s="39">
        <f>$J$3+[32]FormattedData!L54*$J$4+$M$4*$J$5+[32]FormattedData!L54^2*$J$6+$M$5*$J$7</f>
        <v>40.679849317809349</v>
      </c>
      <c r="T45" s="39">
        <f>$J$3+[32]FormattedData!M54*$J$4+$M$4*$J$5+[32]FormattedData!M54^2*$J$6+$M$5*$J$7</f>
        <v>55.548930373198353</v>
      </c>
      <c r="U45" s="39">
        <f>$J$3+[32]FormattedData!N54*$J$4+$M$4*$J$5+[32]FormattedData!N54^2*$J$6+$M$5*$J$7</f>
        <v>41.142150143198073</v>
      </c>
      <c r="V45" s="39">
        <f>$J$3+[32]FormattedData!O54*$J$4+$M$4*$J$5+[32]FormattedData!O54^2*$J$6+$M$5*$J$7</f>
        <v>56.656949559388124</v>
      </c>
      <c r="W45" s="38">
        <f>AVERAGE(K45:V45)</f>
        <v>49.710885403078407</v>
      </c>
      <c r="X45" s="37">
        <f>STDEV(K45:V45)/SQRT(COUNT(K45:V45))</f>
        <v>1.9836646821911803</v>
      </c>
      <c r="Y45" s="36">
        <f>MIN(K45:V45)</f>
        <v>40.679849317809349</v>
      </c>
      <c r="Z45" s="35">
        <f>QUARTILE(K45:V45,1)</f>
        <v>44.836286493153551</v>
      </c>
      <c r="AA45" s="36">
        <f>MEDIAN(K45:V45)</f>
        <v>49.097228105239253</v>
      </c>
      <c r="AB45" s="35">
        <f>QUARTILE(K45:V45,3)</f>
        <v>55.825935169745797</v>
      </c>
      <c r="AC45" s="35">
        <f>MAX(K45:V45)</f>
        <v>59.521073330692836</v>
      </c>
      <c r="AD45" s="35">
        <f>SKEW(K45:V45)</f>
        <v>-6.0304243302579663E-2</v>
      </c>
      <c r="AE45" s="35">
        <f>KURT(K45:V45)</f>
        <v>-1.5541015204318605</v>
      </c>
    </row>
    <row r="46" spans="2:31" x14ac:dyDescent="0.2">
      <c r="B46" s="50">
        <f>[32]FormattedData!A52</f>
        <v>905</v>
      </c>
      <c r="C46" s="50" t="str">
        <f>VLOOKUP($B46,[32]TrtCodes!$B$11:I95,2)</f>
        <v>WS</v>
      </c>
      <c r="D46" s="50">
        <f>VLOOKUP($B46,[32]TrtCodes!$B$11:J95,3)</f>
        <v>32</v>
      </c>
      <c r="E46" s="50">
        <f>VLOOKUP($B46,[32]TrtCodes!$B$11:K95,4)</f>
        <v>9</v>
      </c>
      <c r="F46" s="50">
        <f>VLOOKUP($B46,[32]TrtCodes!$B$11:L95,5)</f>
        <v>0</v>
      </c>
      <c r="G46" s="50">
        <f>VLOOKUP($B46,[32]TrtCodes!$B$11:M95,6)</f>
        <v>1</v>
      </c>
      <c r="H46" s="50">
        <f>VLOOKUP($B46,[32]TrtCodes!$B$11:N95,7)</f>
        <v>2</v>
      </c>
      <c r="I46" s="50">
        <f>[32]FormattedData!B52</f>
        <v>1</v>
      </c>
      <c r="J46" s="48">
        <f>[32]FormattedData!C52</f>
        <v>13.363</v>
      </c>
      <c r="K46" s="47">
        <f>$J$3+[32]FormattedData!D52*$J$4+$M$4*$J$5+[32]FormattedData!D52^2*$J$6+$M$5*$J$7</f>
        <v>37.883853383063133</v>
      </c>
      <c r="L46" s="47">
        <f>$J$3+[32]FormattedData!E52*$J$4+$M$4*$J$5+[32]FormattedData!E52^2*$J$6+$M$5*$J$7</f>
        <v>37.883853383063133</v>
      </c>
      <c r="M46" s="47">
        <f>$J$3+[32]FormattedData!F52*$J$4+$M$4*$J$5+[32]FormattedData!F52^2*$J$6+$M$5*$J$7</f>
        <v>37.320089194017328</v>
      </c>
      <c r="N46" s="47">
        <f>$J$3+[32]FormattedData!G52*$J$4+$M$4*$J$5+[32]FormattedData!G52^2*$J$6+$M$5*$J$7</f>
        <v>37.78999835623366</v>
      </c>
      <c r="O46" s="47">
        <f>$J$3+[32]FormattedData!H52*$J$4+$M$4*$J$5+[32]FormattedData!H52^2*$J$6+$M$5*$J$7</f>
        <v>38.165164852323969</v>
      </c>
      <c r="P46" s="47">
        <f>$J$3+[32]FormattedData!I52*$J$4+$M$4*$J$5+[32]FormattedData!I52^2*$J$6+$M$5*$J$7</f>
        <v>37.78999835623366</v>
      </c>
      <c r="Q46" s="47">
        <f>$J$3+[32]FormattedData!J52*$J$4+$M$4*$J$5+[32]FormattedData!J52^2*$J$6+$M$5*$J$7</f>
        <v>37.883853383063133</v>
      </c>
      <c r="R46" s="47">
        <f>$J$3+[32]FormattedData!K52*$J$4+$M$4*$J$5+[32]FormattedData!K52^2*$J$6+$M$5*$J$7</f>
        <v>37.602161496960917</v>
      </c>
      <c r="S46" s="47">
        <f>$J$3+[32]FormattedData!L52*$J$4+$M$4*$J$5+[32]FormattedData!L52^2*$J$6+$M$5*$J$7</f>
        <v>37.602161496960917</v>
      </c>
      <c r="T46" s="47">
        <f>$J$3+[32]FormattedData!M52*$J$4+$M$4*$J$5+[32]FormattedData!M52^2*$J$6+$M$5*$J$7</f>
        <v>37.508179664517648</v>
      </c>
      <c r="U46" s="47">
        <f>$J$3+[32]FormattedData!N52*$J$4+$M$4*$J$5+[32]FormattedData!N52^2*$J$6+$M$5*$J$7</f>
        <v>37.602161496960917</v>
      </c>
      <c r="V46" s="47">
        <f>$J$3+[32]FormattedData!O52*$J$4+$M$4*$J$5+[32]FormattedData!O52^2*$J$6+$M$5*$J$7</f>
        <v>37.320089194017328</v>
      </c>
      <c r="W46" s="49">
        <f>AVERAGE(K46:V46)</f>
        <v>37.695963688117978</v>
      </c>
      <c r="X46" s="48">
        <f>STDEV(K46:V46)/SQRT(COUNT(K46:V46))</f>
        <v>7.2193188099668654E-2</v>
      </c>
      <c r="Y46" s="47">
        <f>MIN(K46:V46)</f>
        <v>37.320089194017328</v>
      </c>
      <c r="Z46" s="46">
        <f>QUARTILE(K46:V46,1)</f>
        <v>37.578666038850102</v>
      </c>
      <c r="AA46" s="47">
        <f>MEDIAN(K46:V46)</f>
        <v>37.696079926597292</v>
      </c>
      <c r="AB46" s="46">
        <f>QUARTILE(K46:V46,3)</f>
        <v>37.883853383063133</v>
      </c>
      <c r="AC46" s="46">
        <f>MAX(K46:V46)</f>
        <v>38.165164852323969</v>
      </c>
      <c r="AD46" s="46">
        <f>SKEW(K46:V46)</f>
        <v>6.661077383378855E-2</v>
      </c>
      <c r="AE46" s="46">
        <f>KURT(K46:V46)</f>
        <v>-0.25631118637497519</v>
      </c>
    </row>
    <row r="47" spans="2:31" x14ac:dyDescent="0.2">
      <c r="B47" s="34">
        <f>[32]FormattedData!A50</f>
        <v>906</v>
      </c>
      <c r="C47" s="34" t="str">
        <f>VLOOKUP($B47,[32]TrtCodes!$B$11:I93,2)</f>
        <v>Late</v>
      </c>
      <c r="D47" s="34">
        <f>VLOOKUP($B47,[32]TrtCodes!$B$11:J93,3)</f>
        <v>22</v>
      </c>
      <c r="E47" s="34">
        <f>VLOOKUP($B47,[32]TrtCodes!$B$11:K93,4)</f>
        <v>4</v>
      </c>
      <c r="F47" s="34">
        <f>VLOOKUP($B47,[32]TrtCodes!$B$11:L93,5)</f>
        <v>2</v>
      </c>
      <c r="G47" s="34">
        <f>VLOOKUP($B47,[32]TrtCodes!$B$11:M93,6)</f>
        <v>2</v>
      </c>
      <c r="H47" s="34">
        <f>VLOOKUP($B47,[32]TrtCodes!$B$11:N93,7)</f>
        <v>2</v>
      </c>
      <c r="I47" s="34">
        <f>[32]FormattedData!B50</f>
        <v>1</v>
      </c>
      <c r="J47" s="37">
        <f>[32]FormattedData!C50</f>
        <v>13.346</v>
      </c>
      <c r="K47" s="39">
        <f>$J$3+[32]FormattedData!D50*$J$4+$M$4*$J$5+[32]FormattedData!D50^2*$J$6+$M$5*$J$7</f>
        <v>56.656949559388124</v>
      </c>
      <c r="L47" s="39">
        <f>$J$3+[32]FormattedData!E50*$J$4+$M$4*$J$5+[32]FormattedData!E50^2*$J$6+$M$5*$J$7</f>
        <v>55.719859817298641</v>
      </c>
      <c r="M47" s="39">
        <f>$J$3+[32]FormattedData!F50*$J$4+$M$4*$J$5+[32]FormattedData!F50^2*$J$6+$M$5*$J$7</f>
        <v>39.006816759058182</v>
      </c>
      <c r="N47" s="39">
        <f>$J$3+[32]FormattedData!G50*$J$4+$M$4*$J$5+[32]FormattedData!G50^2*$J$6+$M$5*$J$7</f>
        <v>56.146443728135552</v>
      </c>
      <c r="O47" s="39">
        <f>$J$3+[32]FormattedData!H50*$J$4+$M$4*$J$5+[32]FormattedData!H50^2*$J$6+$M$5*$J$7</f>
        <v>41.695516271912823</v>
      </c>
      <c r="P47" s="39">
        <f>$J$3+[32]FormattedData!I50*$J$4+$M$4*$J$5+[32]FormattedData!I50^2*$J$6+$M$5*$J$7</f>
        <v>57.504411128441241</v>
      </c>
      <c r="Q47" s="39">
        <f>$J$3+[32]FormattedData!J50*$J$4+$M$4*$J$5+[32]FormattedData!J50^2*$J$6+$M$5*$J$7</f>
        <v>41.23448350266203</v>
      </c>
      <c r="R47" s="39">
        <f>$J$3+[32]FormattedData!K50*$J$4+$M$4*$J$5+[32]FormattedData!K50^2*$J$6+$M$5*$J$7</f>
        <v>58.431736838268627</v>
      </c>
      <c r="S47" s="39">
        <f>$J$3+[32]FormattedData!L50*$J$4+$M$4*$J$5+[32]FormattedData!L50^2*$J$6+$M$5*$J$7</f>
        <v>41.511229969826303</v>
      </c>
      <c r="T47" s="39">
        <f>$J$3+[32]FormattedData!M50*$J$4+$M$4*$J$5+[32]FormattedData!M50^2*$J$6+$M$5*$J$7</f>
        <v>56.996441409464538</v>
      </c>
      <c r="U47" s="39">
        <f>$J$3+[32]FormattedData!N50*$J$4+$M$4*$J$5+[32]FormattedData!N50^2*$J$6+$M$5*$J$7</f>
        <v>45.707039157430046</v>
      </c>
      <c r="V47" s="39">
        <f>$J$3+[32]FormattedData!O50*$J$4+$M$4*$J$5+[32]FormattedData!O50^2*$J$6+$M$5*$J$7</f>
        <v>49.725090270411009</v>
      </c>
      <c r="W47" s="38">
        <f>AVERAGE(K47:V47)</f>
        <v>50.02800153435809</v>
      </c>
      <c r="X47" s="37">
        <f>STDEV(K47:V47)/SQRT(COUNT(K47:V47))</f>
        <v>2.2162875253328851</v>
      </c>
      <c r="Y47" s="36">
        <f>MIN(K47:V47)</f>
        <v>39.006816759058182</v>
      </c>
      <c r="Z47" s="35">
        <f>QUARTILE(K47:V47,1)</f>
        <v>41.649444696391193</v>
      </c>
      <c r="AA47" s="36">
        <f>MEDIAN(K47:V47)</f>
        <v>52.722475043854828</v>
      </c>
      <c r="AB47" s="35">
        <f>QUARTILE(K47:V47,3)</f>
        <v>56.741822521907224</v>
      </c>
      <c r="AC47" s="35">
        <f>MAX(K47:V47)</f>
        <v>58.431736838268627</v>
      </c>
      <c r="AD47" s="35">
        <f>SKEW(K47:V47)</f>
        <v>-0.2991994265907717</v>
      </c>
      <c r="AE47" s="35">
        <f>KURT(K47:V47)</f>
        <v>-1.9462926949482626</v>
      </c>
    </row>
    <row r="48" spans="2:31" x14ac:dyDescent="0.2">
      <c r="B48" s="50">
        <f>[32]FormattedData!A48</f>
        <v>907</v>
      </c>
      <c r="C48" s="50" t="str">
        <f>VLOOKUP($B48,[32]TrtCodes!$B$11:I91,2)</f>
        <v>DS</v>
      </c>
      <c r="D48" s="50">
        <f>VLOOKUP($B48,[32]TrtCodes!$B$11:J91,3)</f>
        <v>31</v>
      </c>
      <c r="E48" s="50">
        <f>VLOOKUP($B48,[32]TrtCodes!$B$11:K91,4)</f>
        <v>8</v>
      </c>
      <c r="F48" s="50">
        <f>VLOOKUP($B48,[32]TrtCodes!$B$11:L91,5)</f>
        <v>0</v>
      </c>
      <c r="G48" s="50">
        <f>VLOOKUP($B48,[32]TrtCodes!$B$11:M91,6)</f>
        <v>1</v>
      </c>
      <c r="H48" s="50">
        <f>VLOOKUP($B48,[32]TrtCodes!$B$11:N91,7)</f>
        <v>2</v>
      </c>
      <c r="I48" s="50">
        <f>[32]FormattedData!B48</f>
        <v>1</v>
      </c>
      <c r="J48" s="48">
        <f>[32]FormattedData!C48</f>
        <v>13.339</v>
      </c>
      <c r="K48" s="47">
        <f>$J$3+[32]FormattedData!D48*$J$4+$M$4*$J$5+[32]FormattedData!D48^2*$J$6+$M$5*$J$7</f>
        <v>63.888286742349962</v>
      </c>
      <c r="L48" s="47">
        <f>$J$3+[32]FormattedData!E48*$J$4+$M$4*$J$5+[32]FormattedData!E48^2*$J$6+$M$5*$J$7</f>
        <v>64.05076247886403</v>
      </c>
      <c r="M48" s="47">
        <f>$J$3+[32]FormattedData!F48*$J$4+$M$4*$J$5+[32]FormattedData!F48^2*$J$6+$M$5*$J$7</f>
        <v>64.213069141226356</v>
      </c>
      <c r="N48" s="47">
        <f>$J$3+[32]FormattedData!G48*$J$4+$M$4*$J$5+[32]FormattedData!G48^2*$J$6+$M$5*$J$7</f>
        <v>63.969545744875951</v>
      </c>
      <c r="O48" s="47">
        <f>$J$3+[32]FormattedData!H48*$J$4+$M$4*$J$5+[32]FormattedData!H48^2*$J$6+$M$5*$J$7</f>
        <v>63.31829020560594</v>
      </c>
      <c r="P48" s="47">
        <f>$J$3+[32]FormattedData!I48*$J$4+$M$4*$J$5+[32]FormattedData!I48^2*$J$6+$M$5*$J$7</f>
        <v>64.213069141226356</v>
      </c>
      <c r="Q48" s="47">
        <f>$J$3+[32]FormattedData!J48*$J$4+$M$4*$J$5+[32]FormattedData!J48^2*$J$6+$M$5*$J$7</f>
        <v>64.131936944314148</v>
      </c>
      <c r="R48" s="47">
        <f>$J$3+[32]FormattedData!K48*$J$4+$M$4*$J$5+[32]FormattedData!K48^2*$J$6+$M$5*$J$7</f>
        <v>63.806985471286048</v>
      </c>
      <c r="S48" s="47">
        <f>$J$3+[32]FormattedData!L48*$J$4+$M$4*$J$5+[32]FormattedData!L48^2*$J$6+$M$5*$J$7</f>
        <v>63.806985471286048</v>
      </c>
      <c r="T48" s="47">
        <f>$J$3+[32]FormattedData!M48*$J$4+$M$4*$J$5+[32]FormattedData!M48^2*$J$6+$M$5*$J$7</f>
        <v>64.456212120735373</v>
      </c>
      <c r="U48" s="47">
        <f>$J$3+[32]FormattedData!N48*$J$4+$M$4*$J$5+[32]FormattedData!N48^2*$J$6+$M$5*$J$7</f>
        <v>64.213069141226356</v>
      </c>
      <c r="V48" s="47">
        <f>$J$3+[32]FormattedData!O48*$J$4+$M$4*$J$5+[32]FormattedData!O48^2*$J$6+$M$5*$J$7</f>
        <v>64.375206729436954</v>
      </c>
      <c r="W48" s="49">
        <f>AVERAGE(K48:V48)</f>
        <v>64.036951611036116</v>
      </c>
      <c r="X48" s="48">
        <f>STDEV(K48:V48)/SQRT(COUNT(K48:V48))</f>
        <v>8.8820079780782338E-2</v>
      </c>
      <c r="Y48" s="47">
        <f>MIN(K48:V48)</f>
        <v>63.31829020560594</v>
      </c>
      <c r="Z48" s="46">
        <f>QUARTILE(K48:V48,1)</f>
        <v>63.867961424583982</v>
      </c>
      <c r="AA48" s="47">
        <f>MEDIAN(K48:V48)</f>
        <v>64.091349711589089</v>
      </c>
      <c r="AB48" s="46">
        <f>QUARTILE(K48:V48,3)</f>
        <v>64.213069141226356</v>
      </c>
      <c r="AC48" s="46">
        <f>MAX(K48:V48)</f>
        <v>64.456212120735373</v>
      </c>
      <c r="AD48" s="46">
        <f>SKEW(K48:V48)</f>
        <v>-1.0091191022141366</v>
      </c>
      <c r="AE48" s="46">
        <f>KURT(K48:V48)</f>
        <v>1.5896673555030087</v>
      </c>
    </row>
    <row r="49" spans="2:31" ht="13.5" thickBot="1" x14ac:dyDescent="0.25">
      <c r="B49" s="45">
        <f>[32]FormattedData!A46</f>
        <v>908</v>
      </c>
      <c r="C49" s="45" t="str">
        <f>VLOOKUP($B49,[32]TrtCodes!$B$11:I89,2)</f>
        <v>Early</v>
      </c>
      <c r="D49" s="45">
        <f>VLOOKUP($B49,[32]TrtCodes!$B$11:J89,3)</f>
        <v>21</v>
      </c>
      <c r="E49" s="45">
        <f>VLOOKUP($B49,[32]TrtCodes!$B$11:K89,4)</f>
        <v>3</v>
      </c>
      <c r="F49" s="45">
        <f>VLOOKUP($B49,[32]TrtCodes!$B$11:L89,5)</f>
        <v>2</v>
      </c>
      <c r="G49" s="45">
        <f>VLOOKUP($B49,[32]TrtCodes!$B$11:M89,6)</f>
        <v>2</v>
      </c>
      <c r="H49" s="45">
        <f>VLOOKUP($B49,[32]TrtCodes!$B$11:N89,7)</f>
        <v>2</v>
      </c>
      <c r="I49" s="45">
        <f>[32]FormattedData!B46</f>
        <v>1</v>
      </c>
      <c r="J49" s="42">
        <f>[32]FormattedData!C46</f>
        <v>13.32</v>
      </c>
      <c r="K49" s="44">
        <f>$J$3+[32]FormattedData!D46*$J$4+$M$4*$J$5+[32]FormattedData!D46^2*$J$6+$M$5*$J$7</f>
        <v>47.145485853956636</v>
      </c>
      <c r="L49" s="44">
        <f>$J$3+[32]FormattedData!E46*$J$4+$M$4*$J$5+[32]FormattedData!E46^2*$J$6+$M$5*$J$7</f>
        <v>53.830336853850667</v>
      </c>
      <c r="M49" s="44">
        <f>$J$3+[32]FormattedData!F46*$J$4+$M$4*$J$5+[32]FormattedData!F46^2*$J$6+$M$5*$J$7</f>
        <v>35.239935124499901</v>
      </c>
      <c r="N49" s="44">
        <f>$J$3+[32]FormattedData!G46*$J$4+$M$4*$J$5+[32]FormattedData!G46^2*$J$6+$M$5*$J$7</f>
        <v>55.292219193013445</v>
      </c>
      <c r="O49" s="44">
        <f>$J$3+[32]FormattedData!H46*$J$4+$M$4*$J$5+[32]FormattedData!H46^2*$J$6+$M$5*$J$7</f>
        <v>38.726646540321489</v>
      </c>
      <c r="P49" s="44">
        <f>$J$3+[32]FormattedData!I46*$J$4+$M$4*$J$5+[32]FormattedData!I46^2*$J$6+$M$5*$J$7</f>
        <v>55.377831854946344</v>
      </c>
      <c r="Q49" s="44">
        <f>$J$3+[32]FormattedData!J46*$J$4+$M$4*$J$5+[32]FormattedData!J46^2*$J$6+$M$5*$J$7</f>
        <v>38.446095904743416</v>
      </c>
      <c r="R49" s="44">
        <f>$J$3+[32]FormattedData!K46*$J$4+$M$4*$J$5+[32]FormattedData!K46^2*$J$6+$M$5*$J$7</f>
        <v>56.316781412704799</v>
      </c>
      <c r="S49" s="44">
        <f>$J$3+[32]FormattedData!L46*$J$4+$M$4*$J$5+[32]FormattedData!L46^2*$J$6+$M$5*$J$7</f>
        <v>36.566036570498767</v>
      </c>
      <c r="T49" s="44">
        <f>$J$3+[32]FormattedData!M46*$J$4+$M$4*$J$5+[32]FormattedData!M46^2*$J$6+$M$5*$J$7</f>
        <v>55.206564262542614</v>
      </c>
      <c r="U49" s="44">
        <f>$J$3+[32]FormattedData!N46*$J$4+$M$4*$J$5+[32]FormattedData!N46^2*$J$6+$M$5*$J$7</f>
        <v>44.439521905003737</v>
      </c>
      <c r="V49" s="44">
        <f>$J$3+[32]FormattedData!O46*$J$4+$M$4*$J$5+[32]FormattedData!O46^2*$J$6+$M$5*$J$7</f>
        <v>51.833052514593874</v>
      </c>
      <c r="W49" s="43">
        <f>AVERAGE(K49:V49)</f>
        <v>47.368375665889637</v>
      </c>
      <c r="X49" s="42">
        <f>STDEV(K49:V49)/SQRT(COUNT(K49:V49))</f>
        <v>2.3945078492024647</v>
      </c>
      <c r="Y49" s="41">
        <f>MIN(K49:V49)</f>
        <v>35.239935124499901</v>
      </c>
      <c r="Z49" s="40">
        <f>QUARTILE(K49:V49,1)</f>
        <v>38.656508881426973</v>
      </c>
      <c r="AA49" s="41">
        <f>MEDIAN(K49:V49)</f>
        <v>49.489269184275258</v>
      </c>
      <c r="AB49" s="40">
        <f>QUARTILE(K49:V49,3)</f>
        <v>55.227977995160323</v>
      </c>
      <c r="AC49" s="40">
        <f>MAX(K49:V49)</f>
        <v>56.316781412704799</v>
      </c>
      <c r="AD49" s="40">
        <f>SKEW(K49:V49)</f>
        <v>-0.35498554156139678</v>
      </c>
      <c r="AE49" s="40">
        <f>KURT(K49:V49)</f>
        <v>-1.7822761022411497</v>
      </c>
    </row>
    <row r="50" spans="2:31" ht="13.5" thickTop="1" x14ac:dyDescent="0.2">
      <c r="B50" s="34">
        <f>[32]FormattedData!A29</f>
        <v>101</v>
      </c>
      <c r="C50" s="34" t="str">
        <f>VLOOKUP($B50,[32]TrtCodes!$B$11:I72,2)</f>
        <v>FSH</v>
      </c>
      <c r="D50" s="34">
        <f>VLOOKUP($B50,[32]TrtCodes!$B$11:J72,3)</f>
        <v>1</v>
      </c>
      <c r="E50" s="34">
        <f>VLOOKUP($B50,[32]TrtCodes!$B$11:K72,4)</f>
        <v>1</v>
      </c>
      <c r="F50" s="34">
        <f>VLOOKUP($B50,[32]TrtCodes!$B$11:L72,5)</f>
        <v>1</v>
      </c>
      <c r="G50" s="34">
        <f>VLOOKUP($B50,[32]TrtCodes!$B$11:M72,6)</f>
        <v>2</v>
      </c>
      <c r="H50" s="34">
        <f>VLOOKUP($B50,[32]TrtCodes!$B$11:N72,7)</f>
        <v>1</v>
      </c>
      <c r="I50" s="34">
        <f>[32]FormattedData!B29</f>
        <v>2</v>
      </c>
      <c r="J50" s="37">
        <f>[32]FormattedData!C29</f>
        <v>13.175000000000001</v>
      </c>
      <c r="K50" s="39">
        <f>$J$3+[32]FormattedData!D29*$J$4+$M$4*$J$5+[32]FormattedData!D29^2*$J$6+$M$5*$J$7</f>
        <v>30.630406010919405</v>
      </c>
      <c r="L50" s="39">
        <f>$J$3+[32]FormattedData!E29*$J$4+$M$4*$J$5+[32]FormattedData!E29^2*$J$6+$M$5*$J$7</f>
        <v>30.241882656842861</v>
      </c>
      <c r="M50" s="39">
        <f>$J$3+[32]FormattedData!F29*$J$4+$M$4*$J$5+[32]FormattedData!F29^2*$J$6+$M$5*$J$7</f>
        <v>30.533338575207168</v>
      </c>
      <c r="N50" s="39">
        <f>$J$3+[32]FormattedData!G29*$J$4+$M$4*$J$5+[32]FormattedData!G29^2*$J$6+$M$5*$J$7</f>
        <v>30.630406010919405</v>
      </c>
      <c r="O50" s="39">
        <f>$J$3+[32]FormattedData!H29*$J$4+$M$4*$J$5+[32]FormattedData!H29^2*$J$6+$M$5*$J$7</f>
        <v>34.478443238305481</v>
      </c>
      <c r="P50" s="39">
        <f>$J$3+[32]FormattedData!I29*$J$4+$M$4*$J$5+[32]FormattedData!I29^2*$J$6+$M$5*$J$7</f>
        <v>32.659058128614355</v>
      </c>
      <c r="Q50" s="39">
        <f>$J$3+[32]FormattedData!J29*$J$4+$M$4*$J$5+[32]FormattedData!J29^2*$J$6+$M$5*$J$7</f>
        <v>34.001137081951192</v>
      </c>
      <c r="R50" s="39">
        <f>$J$3+[32]FormattedData!K29*$J$4+$M$4*$J$5+[32]FormattedData!K29^2*$J$6+$M$5*$J$7</f>
        <v>31.211922985896294</v>
      </c>
      <c r="S50" s="39">
        <f>$J$3+[32]FormattedData!L29*$J$4+$M$4*$J$5+[32]FormattedData!L29^2*$J$6+$M$5*$J$7</f>
        <v>32.755195656492106</v>
      </c>
      <c r="T50" s="39">
        <f>$J$3+[32]FormattedData!M29*$J$4+$M$4*$J$5+[32]FormattedData!M29^2*$J$6+$M$5*$J$7</f>
        <v>32.562878332198672</v>
      </c>
      <c r="U50" s="39">
        <f>$J$3+[32]FormattedData!N29*$J$4+$M$4*$J$5+[32]FormattedData!N29^2*$J$6+$M$5*$J$7</f>
        <v>33.139323082623818</v>
      </c>
      <c r="V50" s="39">
        <f>$J$3+[32]FormattedData!O29*$J$4+$M$4*$J$5+[32]FormattedData!O29^2*$J$6+$M$5*$J$7</f>
        <v>31.211922985896294</v>
      </c>
      <c r="W50" s="38">
        <f>AVERAGE(K50:V50)</f>
        <v>32.004659562155588</v>
      </c>
      <c r="X50" s="37">
        <f>STDEV(K50:V50)/SQRT(COUNT(K50:V50))</f>
        <v>0.41744456759040566</v>
      </c>
      <c r="Y50" s="36">
        <f>MIN(K50:V50)</f>
        <v>30.241882656842861</v>
      </c>
      <c r="Z50" s="35">
        <f>QUARTILE(K50:V50,1)</f>
        <v>30.630406010919405</v>
      </c>
      <c r="AA50" s="36">
        <f>MEDIAN(K50:V50)</f>
        <v>31.887400659047483</v>
      </c>
      <c r="AB50" s="35">
        <f>QUARTILE(K50:V50,3)</f>
        <v>32.851227513025037</v>
      </c>
      <c r="AC50" s="35">
        <f>MAX(K50:V50)</f>
        <v>34.478443238305481</v>
      </c>
      <c r="AD50" s="35">
        <f>SKEW(K50:V50)</f>
        <v>0.38184271191810365</v>
      </c>
      <c r="AE50" s="35">
        <f>KURT(K50:V50)</f>
        <v>-1.2276780205051447</v>
      </c>
    </row>
    <row r="51" spans="2:31" x14ac:dyDescent="0.2">
      <c r="B51" s="34">
        <f>[32]FormattedData!A27</f>
        <v>102</v>
      </c>
      <c r="C51" s="34" t="str">
        <f>VLOOKUP($B51,[32]TrtCodes!$B$11:I70,2)</f>
        <v>FTL</v>
      </c>
      <c r="D51" s="34">
        <f>VLOOKUP($B51,[32]TrtCodes!$B$11:J70,3)</f>
        <v>4</v>
      </c>
      <c r="E51" s="34">
        <f>VLOOKUP($B51,[32]TrtCodes!$B$11:K70,4)</f>
        <v>1</v>
      </c>
      <c r="F51" s="34">
        <f>VLOOKUP($B51,[32]TrtCodes!$B$11:L70,5)</f>
        <v>2</v>
      </c>
      <c r="G51" s="34">
        <f>VLOOKUP($B51,[32]TrtCodes!$B$11:M70,6)</f>
        <v>1</v>
      </c>
      <c r="H51" s="34">
        <f>VLOOKUP($B51,[32]TrtCodes!$B$11:N70,7)</f>
        <v>1</v>
      </c>
      <c r="I51" s="34">
        <f>[32]FormattedData!B27</f>
        <v>2</v>
      </c>
      <c r="J51" s="37">
        <f>[32]FormattedData!C27</f>
        <v>13.159000000000001</v>
      </c>
      <c r="K51" s="39">
        <f>$J$3+[32]FormattedData!D27*$J$4+$M$4*$J$5+[32]FormattedData!D27^2*$J$6+$M$5*$J$7</f>
        <v>30.241882656842861</v>
      </c>
      <c r="L51" s="39">
        <f>$J$3+[32]FormattedData!E27*$J$4+$M$4*$J$5+[32]FormattedData!E27^2*$J$6+$M$5*$J$7</f>
        <v>29.657829569590099</v>
      </c>
      <c r="M51" s="39">
        <f>$J$3+[32]FormattedData!F27*$J$4+$M$4*$J$5+[32]FormattedData!F27^2*$J$6+$M$5*$J$7</f>
        <v>29.365232400701654</v>
      </c>
      <c r="N51" s="39">
        <f>$J$3+[32]FormattedData!G27*$J$4+$M$4*$J$5+[32]FormattedData!G27^2*$J$6+$M$5*$J$7</f>
        <v>29.657829569590099</v>
      </c>
      <c r="O51" s="39">
        <f>$J$3+[32]FormattedData!H27*$J$4+$M$4*$J$5+[32]FormattedData!H27^2*$J$6+$M$5*$J$7</f>
        <v>32.274085331724017</v>
      </c>
      <c r="P51" s="39">
        <f>$J$3+[32]FormattedData!I27*$J$4+$M$4*$J$5+[32]FormattedData!I27^2*$J$6+$M$5*$J$7</f>
        <v>32.177736461156613</v>
      </c>
      <c r="Q51" s="39">
        <f>$J$3+[32]FormattedData!J27*$J$4+$M$4*$J$5+[32]FormattedData!J27^2*$J$6+$M$5*$J$7</f>
        <v>32.370391933753503</v>
      </c>
      <c r="R51" s="39">
        <f>$J$3+[32]FormattedData!K27*$J$4+$M$4*$J$5+[32]FormattedData!K27^2*$J$6+$M$5*$J$7</f>
        <v>32.755195656492106</v>
      </c>
      <c r="S51" s="39">
        <f>$J$3+[32]FormattedData!L27*$J$4+$M$4*$J$5+[32]FormattedData!L27^2*$J$6+$M$5*$J$7</f>
        <v>30.436228870956999</v>
      </c>
      <c r="T51" s="39">
        <f>$J$3+[32]FormattedData!M27*$J$4+$M$4*$J$5+[32]FormattedData!M27^2*$J$6+$M$5*$J$7</f>
        <v>30.630406010919405</v>
      </c>
      <c r="U51" s="39">
        <f>$J$3+[32]FormattedData!N27*$J$4+$M$4*$J$5+[32]FormattedData!N27^2*$J$6+$M$5*$J$7</f>
        <v>33.714246165683448</v>
      </c>
      <c r="V51" s="39">
        <f>$J$3+[32]FormattedData!O27*$J$4+$M$4*$J$5+[32]FormattedData!O27^2*$J$6+$M$5*$J$7</f>
        <v>30.241882656842861</v>
      </c>
      <c r="W51" s="38">
        <f>AVERAGE(K51:V51)</f>
        <v>31.126912273687804</v>
      </c>
      <c r="X51" s="37">
        <f>STDEV(K51:V51)/SQRT(COUNT(K51:V51))</f>
        <v>0.4176242642274518</v>
      </c>
      <c r="Y51" s="36">
        <f>MIN(K51:V51)</f>
        <v>29.365232400701654</v>
      </c>
      <c r="Z51" s="35">
        <f>QUARTILE(K51:V51,1)</f>
        <v>30.095869385029673</v>
      </c>
      <c r="AA51" s="36">
        <f>MEDIAN(K51:V51)</f>
        <v>30.533317440938202</v>
      </c>
      <c r="AB51" s="35">
        <f>QUARTILE(K51:V51,3)</f>
        <v>32.298161982231392</v>
      </c>
      <c r="AC51" s="35">
        <f>MAX(K51:V51)</f>
        <v>33.714246165683448</v>
      </c>
      <c r="AD51" s="35">
        <f>SKEW(K51:V51)</f>
        <v>0.45337228180990596</v>
      </c>
      <c r="AE51" s="35">
        <f>KURT(K51:V51)</f>
        <v>-1.2400549565828629</v>
      </c>
    </row>
    <row r="52" spans="2:31" x14ac:dyDescent="0.2">
      <c r="B52" s="34">
        <f>[32]FormattedData!A25</f>
        <v>103</v>
      </c>
      <c r="C52" s="34" t="str">
        <f>VLOOKUP($B52,[32]TrtCodes!$B$11:I68,2)</f>
        <v>FDH</v>
      </c>
      <c r="D52" s="34">
        <f>VLOOKUP($B52,[32]TrtCodes!$B$11:J68,3)</f>
        <v>5</v>
      </c>
      <c r="E52" s="34">
        <f>VLOOKUP($B52,[32]TrtCodes!$B$11:K68,4)</f>
        <v>1</v>
      </c>
      <c r="F52" s="34">
        <f>VLOOKUP($B52,[32]TrtCodes!$B$11:L68,5)</f>
        <v>3</v>
      </c>
      <c r="G52" s="34">
        <f>VLOOKUP($B52,[32]TrtCodes!$B$11:M68,6)</f>
        <v>2</v>
      </c>
      <c r="H52" s="34">
        <f>VLOOKUP($B52,[32]TrtCodes!$B$11:N68,7)</f>
        <v>1</v>
      </c>
      <c r="I52" s="34">
        <f>[32]FormattedData!B25</f>
        <v>2</v>
      </c>
      <c r="J52" s="37">
        <f>[32]FormattedData!C25</f>
        <v>13.143000000000001</v>
      </c>
      <c r="K52" s="39">
        <f>$J$3+[32]FormattedData!D25*$J$4+$M$4*$J$5+[32]FormattedData!D25^2*$J$6+$M$5*$J$7</f>
        <v>33.331133184462082</v>
      </c>
      <c r="L52" s="39">
        <f>$J$3+[32]FormattedData!E25*$J$4+$M$4*$J$5+[32]FormattedData!E25^2*$J$6+$M$5*$J$7</f>
        <v>30.727431178093717</v>
      </c>
      <c r="M52" s="39">
        <f>$J$3+[32]FormattedData!F25*$J$4+$M$4*$J$5+[32]FormattedData!F25^2*$J$6+$M$5*$J$7</f>
        <v>31.984911914408002</v>
      </c>
      <c r="N52" s="39">
        <f>$J$3+[32]FormattedData!G25*$J$4+$M$4*$J$5+[32]FormattedData!G25^2*$J$6+$M$5*$J$7</f>
        <v>29.657829569590099</v>
      </c>
      <c r="O52" s="39">
        <f>$J$3+[32]FormattedData!H25*$J$4+$M$4*$J$5+[32]FormattedData!H25^2*$J$6+$M$5*$J$7</f>
        <v>30.241882656842861</v>
      </c>
      <c r="P52" s="39">
        <f>$J$3+[32]FormattedData!I25*$J$4+$M$4*$J$5+[32]FormattedData!I25^2*$J$6+$M$5*$J$7</f>
        <v>30.241882656842861</v>
      </c>
      <c r="Q52" s="39">
        <f>$J$3+[32]FormattedData!J25*$J$4+$M$4*$J$5+[32]FormattedData!J25^2*$J$6+$M$5*$J$7</f>
        <v>29.755277422143724</v>
      </c>
      <c r="R52" s="39">
        <f>$J$3+[32]FormattedData!K25*$J$4+$M$4*$J$5+[32]FormattedData!K25^2*$J$6+$M$5*$J$7</f>
        <v>29.365232400701654</v>
      </c>
      <c r="S52" s="39">
        <f>$J$3+[32]FormattedData!L25*$J$4+$M$4*$J$5+[32]FormattedData!L25^2*$J$6+$M$5*$J$7</f>
        <v>29.560339448498553</v>
      </c>
      <c r="T52" s="39">
        <f>$J$3+[32]FormattedData!M25*$J$4+$M$4*$J$5+[32]FormattedData!M25^2*$J$6+$M$5*$J$7</f>
        <v>31.984911914408002</v>
      </c>
      <c r="U52" s="39">
        <f>$J$3+[32]FormattedData!N25*$J$4+$M$4*$J$5+[32]FormattedData!N25^2*$J$6+$M$5*$J$7</f>
        <v>32.370391933753503</v>
      </c>
      <c r="V52" s="39">
        <f>$J$3+[32]FormattedData!O25*$J$4+$M$4*$J$5+[32]FormattedData!O25^2*$J$6+$M$5*$J$7</f>
        <v>31.115109161411635</v>
      </c>
      <c r="W52" s="38">
        <f>AVERAGE(K52:V52)</f>
        <v>30.86136112009639</v>
      </c>
      <c r="X52" s="37">
        <f>STDEV(K52:V52)/SQRT(COUNT(K52:V52))</f>
        <v>0.37289287931815279</v>
      </c>
      <c r="Y52" s="36">
        <f>MIN(K52:V52)</f>
        <v>29.365232400701654</v>
      </c>
      <c r="Z52" s="35">
        <f>QUARTILE(K52:V52,1)</f>
        <v>29.730915459005317</v>
      </c>
      <c r="AA52" s="36">
        <f>MEDIAN(K52:V52)</f>
        <v>30.484656917468289</v>
      </c>
      <c r="AB52" s="35">
        <f>QUARTILE(K52:V52,3)</f>
        <v>31.984911914408002</v>
      </c>
      <c r="AC52" s="35">
        <f>MAX(K52:V52)</f>
        <v>33.331133184462082</v>
      </c>
      <c r="AD52" s="35">
        <f>SKEW(K52:V52)</f>
        <v>0.61894450277728563</v>
      </c>
      <c r="AE52" s="35">
        <f>KURT(K52:V52)</f>
        <v>-0.78755582120263057</v>
      </c>
    </row>
    <row r="53" spans="2:31" x14ac:dyDescent="0.2">
      <c r="B53" s="34">
        <f>[32]FormattedData!A23</f>
        <v>104</v>
      </c>
      <c r="C53" s="34" t="str">
        <f>VLOOKUP($B53,[32]TrtCodes!$B$11:I66,2)</f>
        <v>NTL</v>
      </c>
      <c r="D53" s="34">
        <f>VLOOKUP($B53,[32]TrtCodes!$B$11:J66,3)</f>
        <v>10</v>
      </c>
      <c r="E53" s="34">
        <f>VLOOKUP($B53,[32]TrtCodes!$B$11:K66,4)</f>
        <v>2</v>
      </c>
      <c r="F53" s="34">
        <f>VLOOKUP($B53,[32]TrtCodes!$B$11:L66,5)</f>
        <v>2</v>
      </c>
      <c r="G53" s="34">
        <f>VLOOKUP($B53,[32]TrtCodes!$B$11:M66,6)</f>
        <v>1</v>
      </c>
      <c r="H53" s="34">
        <f>VLOOKUP($B53,[32]TrtCodes!$B$11:N66,7)</f>
        <v>1</v>
      </c>
      <c r="I53" s="34">
        <f>[32]FormattedData!B23</f>
        <v>2</v>
      </c>
      <c r="J53" s="37">
        <f>[32]FormattedData!C23</f>
        <v>13.127000000000001</v>
      </c>
      <c r="K53" s="39">
        <f>$J$3+[32]FormattedData!D23*$J$4+$M$4*$J$5+[32]FormattedData!D23^2*$J$6+$M$5*$J$7</f>
        <v>30.047367368576996</v>
      </c>
      <c r="L53" s="39">
        <f>$J$3+[32]FormattedData!E23*$J$4+$M$4*$J$5+[32]FormattedData!E23^2*$J$6+$M$5*$J$7</f>
        <v>32.370391933753503</v>
      </c>
      <c r="M53" s="39">
        <f>$J$3+[32]FormattedData!F23*$J$4+$M$4*$J$5+[32]FormattedData!F23^2*$J$6+$M$5*$J$7</f>
        <v>31.211922985896294</v>
      </c>
      <c r="N53" s="39">
        <f>$J$3+[32]FormattedData!G23*$J$4+$M$4*$J$5+[32]FormattedData!G23^2*$J$6+$M$5*$J$7</f>
        <v>30.339076898168891</v>
      </c>
      <c r="O53" s="39">
        <f>$J$3+[32]FormattedData!H23*$J$4+$M$4*$J$5+[32]FormattedData!H23^2*$J$6+$M$5*$J$7</f>
        <v>32.274085331724017</v>
      </c>
      <c r="P53" s="39">
        <f>$J$3+[32]FormattedData!I23*$J$4+$M$4*$J$5+[32]FormattedData!I23^2*$J$6+$M$5*$J$7</f>
        <v>31.115109161411635</v>
      </c>
      <c r="Q53" s="39">
        <f>$J$3+[32]FormattedData!J23*$J$4+$M$4*$J$5+[32]FormattedData!J23^2*$J$6+$M$5*$J$7</f>
        <v>32.851290915831932</v>
      </c>
      <c r="R53" s="39">
        <f>$J$3+[32]FormattedData!K23*$J$4+$M$4*$J$5+[32]FormattedData!K23^2*$J$6+$M$5*$J$7</f>
        <v>30.630406010919405</v>
      </c>
      <c r="S53" s="39">
        <f>$J$3+[32]FormattedData!L23*$J$4+$M$4*$J$5+[32]FormattedData!L23^2*$J$6+$M$5*$J$7</f>
        <v>29.950046321637174</v>
      </c>
      <c r="T53" s="39">
        <f>$J$3+[32]FormattedData!M23*$J$4+$M$4*$J$5+[32]FormattedData!M23^2*$J$6+$M$5*$J$7</f>
        <v>30.241882656842861</v>
      </c>
      <c r="U53" s="39">
        <f>$J$3+[32]FormattedData!N23*$J$4+$M$4*$J$5+[32]FormattedData!N23^2*$J$6+$M$5*$J$7</f>
        <v>31.695358080250593</v>
      </c>
      <c r="V53" s="39">
        <f>$J$3+[32]FormattedData!O23*$J$4+$M$4*$J$5+[32]FormattedData!O23^2*$J$6+$M$5*$J$7</f>
        <v>31.695358080250593</v>
      </c>
      <c r="W53" s="38">
        <f>AVERAGE(K53:V53)</f>
        <v>31.201857978771987</v>
      </c>
      <c r="X53" s="37">
        <f>STDEV(K53:V53)/SQRT(COUNT(K53:V53))</f>
        <v>0.2836833706781694</v>
      </c>
      <c r="Y53" s="36">
        <f>MIN(K53:V53)</f>
        <v>29.950046321637174</v>
      </c>
      <c r="Z53" s="35">
        <f>QUARTILE(K53:V53,1)</f>
        <v>30.314778337837382</v>
      </c>
      <c r="AA53" s="36">
        <f>MEDIAN(K53:V53)</f>
        <v>31.163516073653966</v>
      </c>
      <c r="AB53" s="35">
        <f>QUARTILE(K53:V53,3)</f>
        <v>31.840039893118949</v>
      </c>
      <c r="AC53" s="35">
        <f>MAX(K53:V53)</f>
        <v>32.851290915831932</v>
      </c>
      <c r="AD53" s="35">
        <f>SKEW(K53:V53)</f>
        <v>0.26917206258362858</v>
      </c>
      <c r="AE53" s="35">
        <f>KURT(K53:V53)</f>
        <v>-1.2540868199309307</v>
      </c>
    </row>
    <row r="54" spans="2:31" x14ac:dyDescent="0.2">
      <c r="B54" s="34">
        <f>[32]FormattedData!A21</f>
        <v>105</v>
      </c>
      <c r="C54" s="34" t="str">
        <f>VLOOKUP($B54,[32]TrtCodes!$B$11:I64,2)</f>
        <v>NDL</v>
      </c>
      <c r="D54" s="34">
        <f>VLOOKUP($B54,[32]TrtCodes!$B$11:J64,3)</f>
        <v>12</v>
      </c>
      <c r="E54" s="34">
        <f>VLOOKUP($B54,[32]TrtCodes!$B$11:K64,4)</f>
        <v>2</v>
      </c>
      <c r="F54" s="34">
        <f>VLOOKUP($B54,[32]TrtCodes!$B$11:L64,5)</f>
        <v>3</v>
      </c>
      <c r="G54" s="34">
        <f>VLOOKUP($B54,[32]TrtCodes!$B$11:M64,6)</f>
        <v>1</v>
      </c>
      <c r="H54" s="34">
        <f>VLOOKUP($B54,[32]TrtCodes!$B$11:N64,7)</f>
        <v>2</v>
      </c>
      <c r="I54" s="34">
        <f>[32]FormattedData!B21</f>
        <v>2</v>
      </c>
      <c r="J54" s="37">
        <f>[32]FormattedData!C21</f>
        <v>13.112</v>
      </c>
      <c r="K54" s="39">
        <f>$J$3+[32]FormattedData!D21*$J$4+$M$4*$J$5+[32]FormattedData!D21^2*$J$6+$M$5*$J$7</f>
        <v>28.87672508179562</v>
      </c>
      <c r="L54" s="39">
        <f>$J$3+[32]FormattedData!E21*$J$4+$M$4*$J$5+[32]FormattedData!E21^2*$J$6+$M$5*$J$7</f>
        <v>28.583113467996824</v>
      </c>
      <c r="M54" s="39">
        <f>$J$3+[32]FormattedData!F21*$J$4+$M$4*$J$5+[32]FormattedData!F21^2*$J$6+$M$5*$J$7</f>
        <v>30.339076898168891</v>
      </c>
      <c r="N54" s="39">
        <f>$J$3+[32]FormattedData!G21*$J$4+$M$4*$J$5+[32]FormattedData!G21^2*$J$6+$M$5*$J$7</f>
        <v>29.169956278753034</v>
      </c>
      <c r="O54" s="39">
        <f>$J$3+[32]FormattedData!H21*$J$4+$M$4*$J$5+[32]FormattedData!H21^2*$J$6+$M$5*$J$7</f>
        <v>28.583113467996824</v>
      </c>
      <c r="P54" s="39">
        <f>$J$3+[32]FormattedData!I21*$J$4+$M$4*$J$5+[32]FormattedData!I21^2*$J$6+$M$5*$J$7</f>
        <v>28.97451108265269</v>
      </c>
      <c r="Q54" s="39">
        <f>$J$3+[32]FormattedData!J21*$J$4+$M$4*$J$5+[32]FormattedData!J21^2*$J$6+$M$5*$J$7</f>
        <v>28.289121437356648</v>
      </c>
      <c r="R54" s="39">
        <f>$J$3+[32]FormattedData!K21*$J$4+$M$4*$J$5+[32]FormattedData!K21^2*$J$6+$M$5*$J$7</f>
        <v>30.047367368576996</v>
      </c>
      <c r="S54" s="39">
        <f>$J$3+[32]FormattedData!L21*$J$4+$M$4*$J$5+[32]FormattedData!L21^2*$J$6+$M$5*$J$7</f>
        <v>30.144646146978893</v>
      </c>
      <c r="T54" s="39">
        <f>$J$3+[32]FormattedData!M21*$J$4+$M$4*$J$5+[32]FormattedData!M21^2*$J$6+$M$5*$J$7</f>
        <v>29.267615473996312</v>
      </c>
      <c r="U54" s="39">
        <f>$J$3+[32]FormattedData!N21*$J$4+$M$4*$J$5+[32]FormattedData!N21^2*$J$6+$M$5*$J$7</f>
        <v>29.072254814971828</v>
      </c>
      <c r="V54" s="39">
        <f>$J$3+[32]FormattedData!O21*$J$4+$M$4*$J$5+[32]FormattedData!O21^2*$J$6+$M$5*$J$7</f>
        <v>29.950046321637174</v>
      </c>
      <c r="W54" s="38">
        <f>AVERAGE(K54:V54)</f>
        <v>29.274795653406812</v>
      </c>
      <c r="X54" s="37">
        <f>STDEV(K54:V54)/SQRT(COUNT(K54:V54))</f>
        <v>0.19792988819627749</v>
      </c>
      <c r="Y54" s="36">
        <f>MIN(K54:V54)</f>
        <v>28.289121437356648</v>
      </c>
      <c r="Z54" s="35">
        <f>QUARTILE(K54:V54,1)</f>
        <v>28.803322178345923</v>
      </c>
      <c r="AA54" s="36">
        <f>MEDIAN(K54:V54)</f>
        <v>29.121105546862431</v>
      </c>
      <c r="AB54" s="35">
        <f>QUARTILE(K54:V54,3)</f>
        <v>29.974376583372131</v>
      </c>
      <c r="AC54" s="35">
        <f>MAX(K54:V54)</f>
        <v>30.339076898168891</v>
      </c>
      <c r="AD54" s="35">
        <f>SKEW(K54:V54)</f>
        <v>0.30919744781483555</v>
      </c>
      <c r="AE54" s="35">
        <f>KURT(K54:V54)</f>
        <v>-1.2837759361277667</v>
      </c>
    </row>
    <row r="55" spans="2:31" x14ac:dyDescent="0.2">
      <c r="B55" s="34">
        <f>[32]FormattedData!A19</f>
        <v>106</v>
      </c>
      <c r="C55" s="34" t="str">
        <f>VLOOKUP($B55,[32]TrtCodes!$B$11:I62,2)</f>
        <v>NTH</v>
      </c>
      <c r="D55" s="34">
        <f>VLOOKUP($B55,[32]TrtCodes!$B$11:J62,3)</f>
        <v>9</v>
      </c>
      <c r="E55" s="34">
        <f>VLOOKUP($B55,[32]TrtCodes!$B$11:K62,4)</f>
        <v>2</v>
      </c>
      <c r="F55" s="34">
        <f>VLOOKUP($B55,[32]TrtCodes!$B$11:L62,5)</f>
        <v>2</v>
      </c>
      <c r="G55" s="34">
        <f>VLOOKUP($B55,[32]TrtCodes!$B$11:M62,6)</f>
        <v>2</v>
      </c>
      <c r="H55" s="34">
        <f>VLOOKUP($B55,[32]TrtCodes!$B$11:N62,7)</f>
        <v>2</v>
      </c>
      <c r="I55" s="34">
        <f>[32]FormattedData!B19</f>
        <v>2</v>
      </c>
      <c r="J55" s="37">
        <f>[32]FormattedData!C19</f>
        <v>13.097</v>
      </c>
      <c r="K55" s="39">
        <f>$J$3+[32]FormattedData!D19*$J$4+$M$4*$J$5+[32]FormattedData!D19^2*$J$6+$M$5*$J$7</f>
        <v>29.072254814971828</v>
      </c>
      <c r="L55" s="39">
        <f>$J$3+[32]FormattedData!E19*$J$4+$M$4*$J$5+[32]FormattedData!E19^2*$J$6+$M$5*$J$7</f>
        <v>31.211922985896294</v>
      </c>
      <c r="M55" s="39">
        <f>$J$3+[32]FormattedData!F19*$J$4+$M$4*$J$5+[32]FormattedData!F19^2*$J$6+$M$5*$J$7</f>
        <v>31.888436238226795</v>
      </c>
      <c r="N55" s="39">
        <f>$J$3+[32]FormattedData!G19*$J$4+$M$4*$J$5+[32]FormattedData!G19^2*$J$6+$M$5*$J$7</f>
        <v>31.211922985896294</v>
      </c>
      <c r="O55" s="39">
        <f>$J$3+[32]FormattedData!H19*$J$4+$M$4*$J$5+[32]FormattedData!H19^2*$J$6+$M$5*$J$7</f>
        <v>29.85268300615941</v>
      </c>
      <c r="P55" s="39">
        <f>$J$3+[32]FormattedData!I19*$J$4+$M$4*$J$5+[32]FormattedData!I19^2*$J$6+$M$5*$J$7</f>
        <v>30.144646146978893</v>
      </c>
      <c r="Q55" s="39">
        <f>$J$3+[32]FormattedData!J19*$J$4+$M$4*$J$5+[32]FormattedData!J19^2*$J$6+$M$5*$J$7</f>
        <v>30.241882656842861</v>
      </c>
      <c r="R55" s="39">
        <f>$J$3+[32]FormattedData!K19*$J$4+$M$4*$J$5+[32]FormattedData!K19^2*$J$6+$M$5*$J$7</f>
        <v>29.560339448498553</v>
      </c>
      <c r="S55" s="39">
        <f>$J$3+[32]FormattedData!L19*$J$4+$M$4*$J$5+[32]FormattedData!L19^2*$J$6+$M$5*$J$7</f>
        <v>30.921354706828541</v>
      </c>
      <c r="T55" s="39">
        <f>$J$3+[32]FormattedData!M19*$J$4+$M$4*$J$5+[32]FormattedData!M19^2*$J$6+$M$5*$J$7</f>
        <v>29.462807058869068</v>
      </c>
      <c r="U55" s="39">
        <f>$J$3+[32]FormattedData!N19*$J$4+$M$4*$J$5+[32]FormattedData!N19^2*$J$6+$M$5*$J$7</f>
        <v>30.533338575207168</v>
      </c>
      <c r="V55" s="39">
        <f>$J$3+[32]FormattedData!O19*$J$4+$M$4*$J$5+[32]FormattedData!O19^2*$J$6+$M$5*$J$7</f>
        <v>28.87672508179562</v>
      </c>
      <c r="W55" s="38">
        <f>AVERAGE(K55:V55)</f>
        <v>30.248192808847609</v>
      </c>
      <c r="X55" s="37">
        <f>STDEV(K55:V55)/SQRT(COUNT(K55:V55))</f>
        <v>0.26972659995564885</v>
      </c>
      <c r="Y55" s="36">
        <f>MIN(K55:V55)</f>
        <v>28.87672508179562</v>
      </c>
      <c r="Z55" s="35">
        <f>QUARTILE(K55:V55,1)</f>
        <v>29.53595635109118</v>
      </c>
      <c r="AA55" s="36">
        <f>MEDIAN(K55:V55)</f>
        <v>30.193264401910877</v>
      </c>
      <c r="AB55" s="35">
        <f>QUARTILE(K55:V55,3)</f>
        <v>30.99399677659548</v>
      </c>
      <c r="AC55" s="35">
        <f>MAX(K55:V55)</f>
        <v>31.888436238226795</v>
      </c>
      <c r="AD55" s="35">
        <f>SKEW(K55:V55)</f>
        <v>0.19427461052210926</v>
      </c>
      <c r="AE55" s="35">
        <f>KURT(K55:V55)</f>
        <v>-0.87957163988082199</v>
      </c>
    </row>
    <row r="56" spans="2:31" x14ac:dyDescent="0.2">
      <c r="B56" s="34">
        <f>[32]FormattedData!A17</f>
        <v>107</v>
      </c>
      <c r="C56" s="34" t="str">
        <f>VLOOKUP($B56,[32]TrtCodes!$B$11:I60,2)</f>
        <v>NTL</v>
      </c>
      <c r="D56" s="34">
        <f>VLOOKUP($B56,[32]TrtCodes!$B$11:J60,3)</f>
        <v>10</v>
      </c>
      <c r="E56" s="34">
        <f>VLOOKUP($B56,[32]TrtCodes!$B$11:K60,4)</f>
        <v>2</v>
      </c>
      <c r="F56" s="34">
        <f>VLOOKUP($B56,[32]TrtCodes!$B$11:L60,5)</f>
        <v>2</v>
      </c>
      <c r="G56" s="34">
        <f>VLOOKUP($B56,[32]TrtCodes!$B$11:M60,6)</f>
        <v>1</v>
      </c>
      <c r="H56" s="34">
        <f>VLOOKUP($B56,[32]TrtCodes!$B$11:N60,7)</f>
        <v>2</v>
      </c>
      <c r="I56" s="34">
        <f>[32]FormattedData!B17</f>
        <v>2</v>
      </c>
      <c r="J56" s="37">
        <f>[32]FormattedData!C17</f>
        <v>13.081</v>
      </c>
      <c r="K56" s="39">
        <f>$J$3+[32]FormattedData!D17*$J$4+$M$4*$J$5+[32]FormattedData!D17^2*$J$6+$M$5*$J$7</f>
        <v>31.695358080250593</v>
      </c>
      <c r="L56" s="39">
        <f>$J$3+[32]FormattedData!E17*$J$4+$M$4*$J$5+[32]FormattedData!E17^2*$J$6+$M$5*$J$7</f>
        <v>30.241882656842861</v>
      </c>
      <c r="M56" s="39">
        <f>$J$3+[32]FormattedData!F17*$J$4+$M$4*$J$5+[32]FormattedData!F17^2*$J$6+$M$5*$J$7</f>
        <v>31.502110848122665</v>
      </c>
      <c r="N56" s="39">
        <f>$J$3+[32]FormattedData!G17*$J$4+$M$4*$J$5+[32]FormattedData!G17^2*$J$6+$M$5*$J$7</f>
        <v>32.177736461156613</v>
      </c>
      <c r="O56" s="39">
        <f>$J$3+[32]FormattedData!H17*$J$4+$M$4*$J$5+[32]FormattedData!H17^2*$J$6+$M$5*$J$7</f>
        <v>29.657829569590099</v>
      </c>
      <c r="P56" s="39">
        <f>$J$3+[32]FormattedData!I17*$J$4+$M$4*$J$5+[32]FormattedData!I17^2*$J$6+$M$5*$J$7</f>
        <v>29.950046321637174</v>
      </c>
      <c r="Q56" s="39">
        <f>$J$3+[32]FormattedData!J17*$J$4+$M$4*$J$5+[32]FormattedData!J17^2*$J$6+$M$5*$J$7</f>
        <v>30.241882656842861</v>
      </c>
      <c r="R56" s="39">
        <f>$J$3+[32]FormattedData!K17*$J$4+$M$4*$J$5+[32]FormattedData!K17^2*$J$6+$M$5*$J$7</f>
        <v>30.339076898168891</v>
      </c>
      <c r="S56" s="39">
        <f>$J$3+[32]FormattedData!L17*$J$4+$M$4*$J$5+[32]FormattedData!L17^2*$J$6+$M$5*$J$7</f>
        <v>30.533338575207168</v>
      </c>
      <c r="T56" s="39">
        <f>$J$3+[32]FormattedData!M17*$J$4+$M$4*$J$5+[32]FormattedData!M17^2*$J$6+$M$5*$J$7</f>
        <v>30.047367368576996</v>
      </c>
      <c r="U56" s="39">
        <f>$J$3+[32]FormattedData!N17*$J$4+$M$4*$J$5+[32]FormattedData!N17^2*$J$6+$M$5*$J$7</f>
        <v>30.241882656842861</v>
      </c>
      <c r="V56" s="39">
        <f>$J$3+[32]FormattedData!O17*$J$4+$M$4*$J$5+[32]FormattedData!O17^2*$J$6+$M$5*$J$7</f>
        <v>31.502110848122665</v>
      </c>
      <c r="W56" s="38">
        <f>AVERAGE(K56:V56)</f>
        <v>30.677551911780117</v>
      </c>
      <c r="X56" s="37">
        <f>STDEV(K56:V56)/SQRT(COUNT(K56:V56))</f>
        <v>0.23544436509871758</v>
      </c>
      <c r="Y56" s="36">
        <f>MIN(K56:V56)</f>
        <v>29.657829569590099</v>
      </c>
      <c r="Z56" s="35">
        <f>QUARTILE(K56:V56,1)</f>
        <v>30.193253834776396</v>
      </c>
      <c r="AA56" s="36">
        <f>MEDIAN(K56:V56)</f>
        <v>30.290479777505876</v>
      </c>
      <c r="AB56" s="35">
        <f>QUARTILE(K56:V56,3)</f>
        <v>31.502110848122665</v>
      </c>
      <c r="AC56" s="35">
        <f>MAX(K56:V56)</f>
        <v>32.177736461156613</v>
      </c>
      <c r="AD56" s="35">
        <f>SKEW(K56:V56)</f>
        <v>0.71709225419626688</v>
      </c>
      <c r="AE56" s="35">
        <f>KURT(K56:V56)</f>
        <v>-0.93404364399180873</v>
      </c>
    </row>
    <row r="57" spans="2:31" x14ac:dyDescent="0.2">
      <c r="B57" s="34">
        <f>[32]FormattedData!A15</f>
        <v>108</v>
      </c>
      <c r="C57" s="34" t="str">
        <f>VLOOKUP($B57,[32]TrtCodes!$B$11:I58,2)</f>
        <v>FTH</v>
      </c>
      <c r="D57" s="34">
        <f>VLOOKUP($B57,[32]TrtCodes!$B$11:J58,3)</f>
        <v>3</v>
      </c>
      <c r="E57" s="34">
        <f>VLOOKUP($B57,[32]TrtCodes!$B$11:K58,4)</f>
        <v>1</v>
      </c>
      <c r="F57" s="34">
        <f>VLOOKUP($B57,[32]TrtCodes!$B$11:L58,5)</f>
        <v>2</v>
      </c>
      <c r="G57" s="34">
        <f>VLOOKUP($B57,[32]TrtCodes!$B$11:M58,6)</f>
        <v>2</v>
      </c>
      <c r="H57" s="34">
        <f>VLOOKUP($B57,[32]TrtCodes!$B$11:N58,7)</f>
        <v>2</v>
      </c>
      <c r="I57" s="34">
        <f>[32]FormattedData!B15</f>
        <v>2</v>
      </c>
      <c r="J57" s="37">
        <f>[32]FormattedData!C15</f>
        <v>13.064</v>
      </c>
      <c r="K57" s="39">
        <f>$J$3+[32]FormattedData!D15*$J$4+$M$4*$J$5+[32]FormattedData!D15^2*$J$6+$M$5*$J$7</f>
        <v>30.241882656842861</v>
      </c>
      <c r="L57" s="39">
        <f>$J$3+[32]FormattedData!E15*$J$4+$M$4*$J$5+[32]FormattedData!E15^2*$J$6+$M$5*$J$7</f>
        <v>30.241882656842861</v>
      </c>
      <c r="M57" s="39">
        <f>$J$3+[32]FormattedData!F15*$J$4+$M$4*$J$5+[32]FormattedData!F15^2*$J$6+$M$5*$J$7</f>
        <v>28.97451108265269</v>
      </c>
      <c r="N57" s="39">
        <f>$J$3+[32]FormattedData!G15*$J$4+$M$4*$J$5+[32]FormattedData!G15^2*$J$6+$M$5*$J$7</f>
        <v>30.824414076730093</v>
      </c>
      <c r="O57" s="39">
        <f>$J$3+[32]FormattedData!H15*$J$4+$M$4*$J$5+[32]FormattedData!H15^2*$J$6+$M$5*$J$7</f>
        <v>28.778896812400617</v>
      </c>
      <c r="P57" s="39">
        <f>$J$3+[32]FormattedData!I15*$J$4+$M$4*$J$5+[32]FormattedData!I15^2*$J$6+$M$5*$J$7</f>
        <v>29.462807058869068</v>
      </c>
      <c r="Q57" s="39">
        <f>$J$3+[32]FormattedData!J15*$J$4+$M$4*$J$5+[32]FormattedData!J15^2*$J$6+$M$5*$J$7</f>
        <v>30.047367368576996</v>
      </c>
      <c r="R57" s="39">
        <f>$J$3+[32]FormattedData!K15*$J$4+$M$4*$J$5+[32]FormattedData!K15^2*$J$6+$M$5*$J$7</f>
        <v>30.436228870956999</v>
      </c>
      <c r="S57" s="39">
        <f>$J$3+[32]FormattedData!L15*$J$4+$M$4*$J$5+[32]FormattedData!L15^2*$J$6+$M$5*$J$7</f>
        <v>31.018253068389054</v>
      </c>
      <c r="T57" s="39">
        <f>$J$3+[32]FormattedData!M15*$J$4+$M$4*$J$5+[32]FormattedData!M15^2*$J$6+$M$5*$J$7</f>
        <v>32.274085331724017</v>
      </c>
      <c r="U57" s="39">
        <f>$J$3+[32]FormattedData!N15*$J$4+$M$4*$J$5+[32]FormattedData!N15^2*$J$6+$M$5*$J$7</f>
        <v>31.30869454184301</v>
      </c>
      <c r="V57" s="39">
        <f>$J$3+[32]FormattedData!O15*$J$4+$M$4*$J$5+[32]FormattedData!O15^2*$J$6+$M$5*$J$7</f>
        <v>30.241882656842861</v>
      </c>
      <c r="W57" s="38">
        <f>AVERAGE(K57:V57)</f>
        <v>30.320908848555927</v>
      </c>
      <c r="X57" s="37">
        <f>STDEV(K57:V57)/SQRT(COUNT(K57:V57))</f>
        <v>0.28289910446990535</v>
      </c>
      <c r="Y57" s="36">
        <f>MIN(K57:V57)</f>
        <v>28.778896812400617</v>
      </c>
      <c r="Z57" s="35">
        <f>QUARTILE(K57:V57,1)</f>
        <v>29.901227291150015</v>
      </c>
      <c r="AA57" s="36">
        <f>MEDIAN(K57:V57)</f>
        <v>30.241882656842861</v>
      </c>
      <c r="AB57" s="35">
        <f>QUARTILE(K57:V57,3)</f>
        <v>30.872873824644834</v>
      </c>
      <c r="AC57" s="35">
        <f>MAX(K57:V57)</f>
        <v>32.274085331724017</v>
      </c>
      <c r="AD57" s="35">
        <f>SKEW(K57:V57)</f>
        <v>0.24597696227746693</v>
      </c>
      <c r="AE57" s="35">
        <f>KURT(K57:V57)</f>
        <v>0.28808058620918242</v>
      </c>
    </row>
    <row r="58" spans="2:31" x14ac:dyDescent="0.2">
      <c r="B58" s="34">
        <f>[32]FormattedData!A31</f>
        <v>201</v>
      </c>
      <c r="C58" s="34" t="str">
        <f>VLOOKUP($B58,[32]TrtCodes!$B$11:I74,2)</f>
        <v>NDL</v>
      </c>
      <c r="D58" s="34">
        <f>VLOOKUP($B58,[32]TrtCodes!$B$11:J74,3)</f>
        <v>12</v>
      </c>
      <c r="E58" s="34">
        <f>VLOOKUP($B58,[32]TrtCodes!$B$11:K74,4)</f>
        <v>2</v>
      </c>
      <c r="F58" s="34">
        <f>VLOOKUP($B58,[32]TrtCodes!$B$11:L74,5)</f>
        <v>3</v>
      </c>
      <c r="G58" s="34">
        <f>VLOOKUP($B58,[32]TrtCodes!$B$11:M74,6)</f>
        <v>1</v>
      </c>
      <c r="H58" s="34">
        <f>VLOOKUP($B58,[32]TrtCodes!$B$11:N74,7)</f>
        <v>1</v>
      </c>
      <c r="I58" s="34">
        <f>[32]FormattedData!B31</f>
        <v>2</v>
      </c>
      <c r="J58" s="37">
        <f>[32]FormattedData!C31</f>
        <v>13.194000000000001</v>
      </c>
      <c r="K58" s="39">
        <f>$J$3+[32]FormattedData!D31*$J$4+$M$4*$J$5+[32]FormattedData!D31^2*$J$6+$M$5*$J$7</f>
        <v>28.191039556734061</v>
      </c>
      <c r="L58" s="39">
        <f>$J$3+[32]FormattedData!E31*$J$4+$M$4*$J$5+[32]FormattedData!E31^2*$J$6+$M$5*$J$7</f>
        <v>28.97451108265269</v>
      </c>
      <c r="M58" s="39">
        <f>$J$3+[32]FormattedData!F31*$J$4+$M$4*$J$5+[32]FormattedData!F31^2*$J$6+$M$5*$J$7</f>
        <v>30.436228870956999</v>
      </c>
      <c r="N58" s="39">
        <f>$J$3+[32]FormattedData!G31*$J$4+$M$4*$J$5+[32]FormattedData!G31^2*$J$6+$M$5*$J$7</f>
        <v>28.681026274467687</v>
      </c>
      <c r="O58" s="39">
        <f>$J$3+[32]FormattedData!H31*$J$4+$M$4*$J$5+[32]FormattedData!H31^2*$J$6+$M$5*$J$7</f>
        <v>29.365232400701654</v>
      </c>
      <c r="P58" s="39">
        <f>$J$3+[32]FormattedData!I31*$J$4+$M$4*$J$5+[32]FormattedData!I31^2*$J$6+$M$5*$J$7</f>
        <v>30.047367368576996</v>
      </c>
      <c r="Q58" s="39">
        <f>$J$3+[32]FormattedData!J31*$J$4+$M$4*$J$5+[32]FormattedData!J31^2*$J$6+$M$5*$J$7</f>
        <v>29.85268300615941</v>
      </c>
      <c r="R58" s="39">
        <f>$J$3+[32]FormattedData!K31*$J$4+$M$4*$J$5+[32]FormattedData!K31^2*$J$6+$M$5*$J$7</f>
        <v>29.755277422143724</v>
      </c>
      <c r="S58" s="39">
        <f>$J$3+[32]FormattedData!L31*$J$4+$M$4*$J$5+[32]FormattedData!L31^2*$J$6+$M$5*$J$7</f>
        <v>29.169956278753034</v>
      </c>
      <c r="T58" s="39">
        <f>$J$3+[32]FormattedData!M31*$J$4+$M$4*$J$5+[32]FormattedData!M31^2*$J$6+$M$5*$J$7</f>
        <v>30.921354706828541</v>
      </c>
      <c r="U58" s="39">
        <f>$J$3+[32]FormattedData!N31*$J$4+$M$4*$J$5+[32]FormattedData!N31^2*$J$6+$M$5*$J$7</f>
        <v>31.405423829251809</v>
      </c>
      <c r="V58" s="39">
        <f>$J$3+[32]FormattedData!O31*$J$4+$M$4*$J$5+[32]FormattedData!O31^2*$J$6+$M$5*$J$7</f>
        <v>31.695358080250593</v>
      </c>
      <c r="W58" s="38">
        <f>AVERAGE(K58:V58)</f>
        <v>29.874621573123093</v>
      </c>
      <c r="X58" s="37">
        <f>STDEV(K58:V58)/SQRT(COUNT(K58:V58))</f>
        <v>0.31309068982023636</v>
      </c>
      <c r="Y58" s="36">
        <f>MIN(K58:V58)</f>
        <v>28.191039556734061</v>
      </c>
      <c r="Z58" s="35">
        <f>QUARTILE(K58:V58,1)</f>
        <v>29.12109497972795</v>
      </c>
      <c r="AA58" s="36">
        <f>MEDIAN(K58:V58)</f>
        <v>29.803980214151565</v>
      </c>
      <c r="AB58" s="35">
        <f>QUARTILE(K58:V58,3)</f>
        <v>30.557510329924884</v>
      </c>
      <c r="AC58" s="35">
        <f>MAX(K58:V58)</f>
        <v>31.695358080250593</v>
      </c>
      <c r="AD58" s="35">
        <f>SKEW(K58:V58)</f>
        <v>0.27932706718358691</v>
      </c>
      <c r="AE58" s="35">
        <f>KURT(K58:V58)</f>
        <v>-0.75175330701288523</v>
      </c>
    </row>
    <row r="59" spans="2:31" x14ac:dyDescent="0.2">
      <c r="B59" s="34">
        <f>[32]FormattedData!A33</f>
        <v>202</v>
      </c>
      <c r="C59" s="34" t="str">
        <f>VLOOKUP($B59,[32]TrtCodes!$B$11:I76,2)</f>
        <v>NTH</v>
      </c>
      <c r="D59" s="34">
        <f>VLOOKUP($B59,[32]TrtCodes!$B$11:J76,3)</f>
        <v>9</v>
      </c>
      <c r="E59" s="34">
        <f>VLOOKUP($B59,[32]TrtCodes!$B$11:K76,4)</f>
        <v>2</v>
      </c>
      <c r="F59" s="34">
        <f>VLOOKUP($B59,[32]TrtCodes!$B$11:L76,5)</f>
        <v>2</v>
      </c>
      <c r="G59" s="34">
        <f>VLOOKUP($B59,[32]TrtCodes!$B$11:M76,6)</f>
        <v>2</v>
      </c>
      <c r="H59" s="34">
        <f>VLOOKUP($B59,[32]TrtCodes!$B$11:N76,7)</f>
        <v>1</v>
      </c>
      <c r="I59" s="34">
        <f>[32]FormattedData!B33</f>
        <v>2</v>
      </c>
      <c r="J59" s="37">
        <f>[32]FormattedData!C33</f>
        <v>13.209</v>
      </c>
      <c r="K59" s="39">
        <f>$J$3+[32]FormattedData!D33*$J$4+$M$4*$J$5+[32]FormattedData!D33^2*$J$6+$M$5*$J$7</f>
        <v>30.921354706828541</v>
      </c>
      <c r="L59" s="39">
        <f>$J$3+[32]FormattedData!E33*$J$4+$M$4*$J$5+[32]FormattedData!E33^2*$J$6+$M$5*$J$7</f>
        <v>30.824414076730093</v>
      </c>
      <c r="M59" s="39">
        <f>$J$3+[32]FormattedData!F33*$J$4+$M$4*$J$5+[32]FormattedData!F33^2*$J$6+$M$5*$J$7</f>
        <v>30.533338575207168</v>
      </c>
      <c r="N59" s="39">
        <f>$J$3+[32]FormattedData!G33*$J$4+$M$4*$J$5+[32]FormattedData!G33^2*$J$6+$M$5*$J$7</f>
        <v>29.85268300615941</v>
      </c>
      <c r="O59" s="39">
        <f>$J$3+[32]FormattedData!H33*$J$4+$M$4*$J$5+[32]FormattedData!H33^2*$J$6+$M$5*$J$7</f>
        <v>31.695358080250593</v>
      </c>
      <c r="P59" s="39">
        <f>$J$3+[32]FormattedData!I33*$J$4+$M$4*$J$5+[32]FormattedData!I33^2*$J$6+$M$5*$J$7</f>
        <v>32.274085331724017</v>
      </c>
      <c r="Q59" s="39">
        <f>$J$3+[32]FormattedData!J33*$J$4+$M$4*$J$5+[32]FormattedData!J33^2*$J$6+$M$5*$J$7</f>
        <v>32.562878332198672</v>
      </c>
      <c r="R59" s="39">
        <f>$J$3+[32]FormattedData!K33*$J$4+$M$4*$J$5+[32]FormattedData!K33^2*$J$6+$M$5*$J$7</f>
        <v>31.30869454184301</v>
      </c>
      <c r="S59" s="39">
        <f>$J$3+[32]FormattedData!L33*$J$4+$M$4*$J$5+[32]FormattedData!L33^2*$J$6+$M$5*$J$7</f>
        <v>29.267615473996312</v>
      </c>
      <c r="T59" s="39">
        <f>$J$3+[32]FormattedData!M33*$J$4+$M$4*$J$5+[32]FormattedData!M33^2*$J$6+$M$5*$J$7</f>
        <v>30.339076898168891</v>
      </c>
      <c r="U59" s="39">
        <f>$J$3+[32]FormattedData!N33*$J$4+$M$4*$J$5+[32]FormattedData!N33^2*$J$6+$M$5*$J$7</f>
        <v>30.339076898168891</v>
      </c>
      <c r="V59" s="39">
        <f>$J$3+[32]FormattedData!O33*$J$4+$M$4*$J$5+[32]FormattedData!O33^2*$J$6+$M$5*$J$7</f>
        <v>30.630406010919405</v>
      </c>
      <c r="W59" s="38">
        <f>AVERAGE(K59:V59)</f>
        <v>30.879081827682921</v>
      </c>
      <c r="X59" s="37">
        <f>STDEV(K59:V59)/SQRT(COUNT(K59:V59))</f>
        <v>0.27595237381477333</v>
      </c>
      <c r="Y59" s="36">
        <f>MIN(K59:V59)</f>
        <v>29.267615473996312</v>
      </c>
      <c r="Z59" s="35">
        <f>QUARTILE(K59:V59,1)</f>
        <v>30.339076898168891</v>
      </c>
      <c r="AA59" s="36">
        <f>MEDIAN(K59:V59)</f>
        <v>30.727410043824747</v>
      </c>
      <c r="AB59" s="35">
        <f>QUARTILE(K59:V59,3)</f>
        <v>31.405360426444908</v>
      </c>
      <c r="AC59" s="35">
        <f>MAX(K59:V59)</f>
        <v>32.562878332198672</v>
      </c>
      <c r="AD59" s="35">
        <f>SKEW(K59:V59)</f>
        <v>0.30897169543492292</v>
      </c>
      <c r="AE59" s="35">
        <f>KURT(K59:V59)</f>
        <v>-0.19410406189068619</v>
      </c>
    </row>
    <row r="60" spans="2:31" x14ac:dyDescent="0.2">
      <c r="B60" s="34">
        <f>[32]FormattedData!A35</f>
        <v>203</v>
      </c>
      <c r="C60" s="34" t="str">
        <f>VLOOKUP($B60,[32]TrtCodes!$B$11:I78,2)</f>
        <v>FTH</v>
      </c>
      <c r="D60" s="34">
        <f>VLOOKUP($B60,[32]TrtCodes!$B$11:J78,3)</f>
        <v>3</v>
      </c>
      <c r="E60" s="34">
        <f>VLOOKUP($B60,[32]TrtCodes!$B$11:K78,4)</f>
        <v>1</v>
      </c>
      <c r="F60" s="34">
        <f>VLOOKUP($B60,[32]TrtCodes!$B$11:L78,5)</f>
        <v>2</v>
      </c>
      <c r="G60" s="34">
        <f>VLOOKUP($B60,[32]TrtCodes!$B$11:M78,6)</f>
        <v>2</v>
      </c>
      <c r="H60" s="34">
        <f>VLOOKUP($B60,[32]TrtCodes!$B$11:N78,7)</f>
        <v>1</v>
      </c>
      <c r="I60" s="34">
        <f>[32]FormattedData!B35</f>
        <v>2</v>
      </c>
      <c r="J60" s="37">
        <f>[32]FormattedData!C35</f>
        <v>13.225</v>
      </c>
      <c r="K60" s="39">
        <f>$J$3+[32]FormattedData!D35*$J$4+$M$4*$J$5+[32]FormattedData!D35^2*$J$6+$M$5*$J$7</f>
        <v>28.191039556734061</v>
      </c>
      <c r="L60" s="39">
        <f>$J$3+[32]FormattedData!E35*$J$4+$M$4*$J$5+[32]FormattedData!E35^2*$J$6+$M$5*$J$7</f>
        <v>30.533338575207168</v>
      </c>
      <c r="M60" s="39">
        <f>$J$3+[32]FormattedData!F35*$J$4+$M$4*$J$5+[32]FormattedData!F35^2*$J$6+$M$5*$J$7</f>
        <v>29.072254814971828</v>
      </c>
      <c r="N60" s="39">
        <f>$J$3+[32]FormattedData!G35*$J$4+$M$4*$J$5+[32]FormattedData!G35^2*$J$6+$M$5*$J$7</f>
        <v>28.97451108265269</v>
      </c>
      <c r="O60" s="39">
        <f>$J$3+[32]FormattedData!H35*$J$4+$M$4*$J$5+[32]FormattedData!H35^2*$J$6+$M$5*$J$7</f>
        <v>29.950046321637174</v>
      </c>
      <c r="P60" s="39">
        <f>$J$3+[32]FormattedData!I35*$J$4+$M$4*$J$5+[32]FormattedData!I35^2*$J$6+$M$5*$J$7</f>
        <v>31.30869454184301</v>
      </c>
      <c r="Q60" s="39">
        <f>$J$3+[32]FormattedData!J35*$J$4+$M$4*$J$5+[32]FormattedData!J35^2*$J$6+$M$5*$J$7</f>
        <v>30.047367368576996</v>
      </c>
      <c r="R60" s="39">
        <f>$J$3+[32]FormattedData!K35*$J$4+$M$4*$J$5+[32]FormattedData!K35^2*$J$6+$M$5*$J$7</f>
        <v>29.169956278753034</v>
      </c>
      <c r="S60" s="39">
        <f>$J$3+[32]FormattedData!L35*$J$4+$M$4*$J$5+[32]FormattedData!L35^2*$J$6+$M$5*$J$7</f>
        <v>29.462807058869068</v>
      </c>
      <c r="T60" s="39">
        <f>$J$3+[32]FormattedData!M35*$J$4+$M$4*$J$5+[32]FormattedData!M35^2*$J$6+$M$5*$J$7</f>
        <v>28.97451108265269</v>
      </c>
      <c r="U60" s="39">
        <f>$J$3+[32]FormattedData!N35*$J$4+$M$4*$J$5+[32]FormattedData!N35^2*$J$6+$M$5*$J$7</f>
        <v>29.755277422143724</v>
      </c>
      <c r="V60" s="39">
        <f>$J$3+[32]FormattedData!O35*$J$4+$M$4*$J$5+[32]FormattedData!O35^2*$J$6+$M$5*$J$7</f>
        <v>32.08134532205127</v>
      </c>
      <c r="W60" s="38">
        <f>AVERAGE(K60:V60)</f>
        <v>29.793429118841061</v>
      </c>
      <c r="X60" s="37">
        <f>STDEV(K60:V60)/SQRT(COUNT(K60:V60))</f>
        <v>0.31497417532062849</v>
      </c>
      <c r="Y60" s="36">
        <f>MIN(K60:V60)</f>
        <v>28.191039556734061</v>
      </c>
      <c r="Z60" s="35">
        <f>QUARTILE(K60:V60,1)</f>
        <v>29.047818881892042</v>
      </c>
      <c r="AA60" s="36">
        <f>MEDIAN(K60:V60)</f>
        <v>29.609042240506398</v>
      </c>
      <c r="AB60" s="35">
        <f>QUARTILE(K60:V60,3)</f>
        <v>30.168860170234538</v>
      </c>
      <c r="AC60" s="35">
        <f>MAX(K60:V60)</f>
        <v>32.08134532205127</v>
      </c>
      <c r="AD60" s="35">
        <f>SKEW(K60:V60)</f>
        <v>0.84102657210891485</v>
      </c>
      <c r="AE60" s="35">
        <f>KURT(K60:V60)</f>
        <v>0.51423598790673708</v>
      </c>
    </row>
    <row r="61" spans="2:31" x14ac:dyDescent="0.2">
      <c r="B61" s="34">
        <f>[32]FormattedData!A37</f>
        <v>204</v>
      </c>
      <c r="C61" s="34" t="str">
        <f>VLOOKUP($B61,[32]TrtCodes!$B$11:I80,2)</f>
        <v>NDH</v>
      </c>
      <c r="D61" s="34">
        <f>VLOOKUP($B61,[32]TrtCodes!$B$11:J80,3)</f>
        <v>11</v>
      </c>
      <c r="E61" s="34">
        <f>VLOOKUP($B61,[32]TrtCodes!$B$11:K80,4)</f>
        <v>2</v>
      </c>
      <c r="F61" s="34">
        <f>VLOOKUP($B61,[32]TrtCodes!$B$11:L80,5)</f>
        <v>3</v>
      </c>
      <c r="G61" s="34">
        <f>VLOOKUP($B61,[32]TrtCodes!$B$11:M80,6)</f>
        <v>2</v>
      </c>
      <c r="H61" s="34">
        <f>VLOOKUP($B61,[32]TrtCodes!$B$11:N80,7)</f>
        <v>1</v>
      </c>
      <c r="I61" s="34">
        <f>[32]FormattedData!B37</f>
        <v>2</v>
      </c>
      <c r="J61" s="37">
        <f>[32]FormattedData!C37</f>
        <v>13.241</v>
      </c>
      <c r="K61" s="39">
        <f>$J$3+[32]FormattedData!D37*$J$4+$M$4*$J$5+[32]FormattedData!D37^2*$J$6+$M$5*$J$7</f>
        <v>29.950046321637174</v>
      </c>
      <c r="L61" s="39">
        <f>$J$3+[32]FormattedData!E37*$J$4+$M$4*$J$5+[32]FormattedData!E37^2*$J$6+$M$5*$J$7</f>
        <v>30.339076898168891</v>
      </c>
      <c r="M61" s="39">
        <f>$J$3+[32]FormattedData!F37*$J$4+$M$4*$J$5+[32]FormattedData!F37^2*$J$6+$M$5*$J$7</f>
        <v>30.144646146978893</v>
      </c>
      <c r="N61" s="39">
        <f>$J$3+[32]FormattedData!G37*$J$4+$M$4*$J$5+[32]FormattedData!G37^2*$J$6+$M$5*$J$7</f>
        <v>30.630406010919405</v>
      </c>
      <c r="O61" s="39">
        <f>$J$3+[32]FormattedData!H37*$J$4+$M$4*$J$5+[32]FormattedData!H37^2*$J$6+$M$5*$J$7</f>
        <v>30.436228870956999</v>
      </c>
      <c r="P61" s="39">
        <f>$J$3+[32]FormattedData!I37*$J$4+$M$4*$J$5+[32]FormattedData!I37^2*$J$6+$M$5*$J$7</f>
        <v>30.824414076730093</v>
      </c>
      <c r="Q61" s="39">
        <f>$J$3+[32]FormattedData!J37*$J$4+$M$4*$J$5+[32]FormattedData!J37^2*$J$6+$M$5*$J$7</f>
        <v>32.274085331724017</v>
      </c>
      <c r="R61" s="39">
        <f>$J$3+[32]FormattedData!K37*$J$4+$M$4*$J$5+[32]FormattedData!K37^2*$J$6+$M$5*$J$7</f>
        <v>34.383066544110477</v>
      </c>
      <c r="S61" s="39">
        <f>$J$3+[32]FormattedData!L37*$J$4+$M$4*$J$5+[32]FormattedData!L37^2*$J$6+$M$5*$J$7</f>
        <v>32.177736461156613</v>
      </c>
      <c r="T61" s="39">
        <f>$J$3+[32]FormattedData!M37*$J$4+$M$4*$J$5+[32]FormattedData!M37^2*$J$6+$M$5*$J$7</f>
        <v>32.177736461156613</v>
      </c>
      <c r="U61" s="39">
        <f>$J$3+[32]FormattedData!N37*$J$4+$M$4*$J$5+[32]FormattedData!N37^2*$J$6+$M$5*$J$7</f>
        <v>30.339076898168891</v>
      </c>
      <c r="V61" s="39">
        <f>$J$3+[32]FormattedData!O37*$J$4+$M$4*$J$5+[32]FormattedData!O37^2*$J$6+$M$5*$J$7</f>
        <v>31.791918293507656</v>
      </c>
      <c r="W61" s="38">
        <f>AVERAGE(K61:V61)</f>
        <v>31.289036526267978</v>
      </c>
      <c r="X61" s="37">
        <f>STDEV(K61:V61)/SQRT(COUNT(K61:V61))</f>
        <v>0.37598484709622176</v>
      </c>
      <c r="Y61" s="36">
        <f>MIN(K61:V61)</f>
        <v>29.950046321637174</v>
      </c>
      <c r="Z61" s="35">
        <f>QUARTILE(K61:V61,1)</f>
        <v>30.339076898168891</v>
      </c>
      <c r="AA61" s="36">
        <f>MEDIAN(K61:V61)</f>
        <v>30.727410043824747</v>
      </c>
      <c r="AB61" s="35">
        <f>QUARTILE(K61:V61,3)</f>
        <v>32.177736461156613</v>
      </c>
      <c r="AC61" s="35">
        <f>MAX(K61:V61)</f>
        <v>34.383066544110477</v>
      </c>
      <c r="AD61" s="35">
        <f>SKEW(K61:V61)</f>
        <v>1.2583574202218195</v>
      </c>
      <c r="AE61" s="35">
        <f>KURT(K61:V61)</f>
        <v>1.5091251774467835</v>
      </c>
    </row>
    <row r="62" spans="2:31" x14ac:dyDescent="0.2">
      <c r="B62" s="34">
        <f>[32]FormattedData!A39</f>
        <v>205</v>
      </c>
      <c r="C62" s="34" t="str">
        <f>VLOOKUP($B62,[32]TrtCodes!$B$11:I82,2)</f>
        <v>FSH</v>
      </c>
      <c r="D62" s="34">
        <f>VLOOKUP($B62,[32]TrtCodes!$B$11:J82,3)</f>
        <v>1</v>
      </c>
      <c r="E62" s="34">
        <f>VLOOKUP($B62,[32]TrtCodes!$B$11:K82,4)</f>
        <v>1</v>
      </c>
      <c r="F62" s="34">
        <f>VLOOKUP($B62,[32]TrtCodes!$B$11:L82,5)</f>
        <v>1</v>
      </c>
      <c r="G62" s="34">
        <f>VLOOKUP($B62,[32]TrtCodes!$B$11:M82,6)</f>
        <v>2</v>
      </c>
      <c r="H62" s="34">
        <f>VLOOKUP($B62,[32]TrtCodes!$B$11:N82,7)</f>
        <v>2</v>
      </c>
      <c r="I62" s="34">
        <f>[32]FormattedData!B39</f>
        <v>2</v>
      </c>
      <c r="J62" s="37">
        <f>[32]FormattedData!C39</f>
        <v>13.256</v>
      </c>
      <c r="K62" s="39">
        <f>$J$3+[32]FormattedData!D39*$J$4+$M$4*$J$5+[32]FormattedData!D39^2*$J$6+$M$5*$J$7</f>
        <v>30.630406010919405</v>
      </c>
      <c r="L62" s="39">
        <f>$J$3+[32]FormattedData!E39*$J$4+$M$4*$J$5+[32]FormattedData!E39^2*$J$6+$M$5*$J$7</f>
        <v>30.533338575207168</v>
      </c>
      <c r="M62" s="39">
        <f>$J$3+[32]FormattedData!F39*$J$4+$M$4*$J$5+[32]FormattedData!F39^2*$J$6+$M$5*$J$7</f>
        <v>29.657829569590099</v>
      </c>
      <c r="N62" s="39">
        <f>$J$3+[32]FormattedData!G39*$J$4+$M$4*$J$5+[32]FormattedData!G39^2*$J$6+$M$5*$J$7</f>
        <v>31.405423829251809</v>
      </c>
      <c r="O62" s="39">
        <f>$J$3+[32]FormattedData!H39*$J$4+$M$4*$J$5+[32]FormattedData!H39^2*$J$6+$M$5*$J$7</f>
        <v>31.888436238226795</v>
      </c>
      <c r="P62" s="39">
        <f>$J$3+[32]FormattedData!I39*$J$4+$M$4*$J$5+[32]FormattedData!I39^2*$J$6+$M$5*$J$7</f>
        <v>33.426974832574324</v>
      </c>
      <c r="Q62" s="39">
        <f>$J$3+[32]FormattedData!J39*$J$4+$M$4*$J$5+[32]FormattedData!J39^2*$J$6+$M$5*$J$7</f>
        <v>29.85268300615941</v>
      </c>
      <c r="R62" s="39">
        <f>$J$3+[32]FormattedData!K39*$J$4+$M$4*$J$5+[32]FormattedData!K39^2*$J$6+$M$5*$J$7</f>
        <v>30.241882656842861</v>
      </c>
      <c r="S62" s="39">
        <f>$J$3+[32]FormattedData!L39*$J$4+$M$4*$J$5+[32]FormattedData!L39^2*$J$6+$M$5*$J$7</f>
        <v>30.241882656842861</v>
      </c>
      <c r="T62" s="39">
        <f>$J$3+[32]FormattedData!M39*$J$4+$M$4*$J$5+[32]FormattedData!M39^2*$J$6+$M$5*$J$7</f>
        <v>30.921354706828541</v>
      </c>
      <c r="U62" s="39">
        <f>$J$3+[32]FormattedData!N39*$J$4+$M$4*$J$5+[32]FormattedData!N39^2*$J$6+$M$5*$J$7</f>
        <v>32.177736461156613</v>
      </c>
      <c r="V62" s="39">
        <f>$J$3+[32]FormattedData!O39*$J$4+$M$4*$J$5+[32]FormattedData!O39^2*$J$6+$M$5*$J$7</f>
        <v>30.144646146978893</v>
      </c>
      <c r="W62" s="38">
        <f>AVERAGE(K62:V62)</f>
        <v>30.926882890881561</v>
      </c>
      <c r="X62" s="37">
        <f>STDEV(K62:V62)/SQRT(COUNT(K62:V62))</f>
        <v>0.32011164671237907</v>
      </c>
      <c r="Y62" s="36">
        <f>MIN(K62:V62)</f>
        <v>29.657829569590099</v>
      </c>
      <c r="Z62" s="35">
        <f>QUARTILE(K62:V62,1)</f>
        <v>30.217573529376871</v>
      </c>
      <c r="AA62" s="36">
        <f>MEDIAN(K62:V62)</f>
        <v>30.581872293063284</v>
      </c>
      <c r="AB62" s="35">
        <f>QUARTILE(K62:V62,3)</f>
        <v>31.526176931495556</v>
      </c>
      <c r="AC62" s="35">
        <f>MAX(K62:V62)</f>
        <v>33.426974832574324</v>
      </c>
      <c r="AD62" s="35">
        <f>SKEW(K62:V62)</f>
        <v>1.1273098319881034</v>
      </c>
      <c r="AE62" s="35">
        <f>KURT(K62:V62)</f>
        <v>0.88501995435766823</v>
      </c>
    </row>
    <row r="63" spans="2:31" x14ac:dyDescent="0.2">
      <c r="B63" s="34">
        <f>[32]FormattedData!A41</f>
        <v>206</v>
      </c>
      <c r="C63" s="34" t="str">
        <f>VLOOKUP($B63,[32]TrtCodes!$B$11:I84,2)</f>
        <v>NSL</v>
      </c>
      <c r="D63" s="34">
        <f>VLOOKUP($B63,[32]TrtCodes!$B$11:J84,3)</f>
        <v>8</v>
      </c>
      <c r="E63" s="34">
        <f>VLOOKUP($B63,[32]TrtCodes!$B$11:K84,4)</f>
        <v>2</v>
      </c>
      <c r="F63" s="34">
        <f>VLOOKUP($B63,[32]TrtCodes!$B$11:L84,5)</f>
        <v>1</v>
      </c>
      <c r="G63" s="34">
        <f>VLOOKUP($B63,[32]TrtCodes!$B$11:M84,6)</f>
        <v>1</v>
      </c>
      <c r="H63" s="34">
        <f>VLOOKUP($B63,[32]TrtCodes!$B$11:N84,7)</f>
        <v>2</v>
      </c>
      <c r="I63" s="34">
        <f>[32]FormattedData!B41</f>
        <v>2</v>
      </c>
      <c r="J63" s="37">
        <f>[32]FormattedData!C41</f>
        <v>13.273</v>
      </c>
      <c r="K63" s="39">
        <f>$J$3+[32]FormattedData!D41*$J$4+$M$4*$J$5+[32]FormattedData!D41^2*$J$6+$M$5*$J$7</f>
        <v>29.169956278753034</v>
      </c>
      <c r="L63" s="39">
        <f>$J$3+[32]FormattedData!E41*$J$4+$M$4*$J$5+[32]FormattedData!E41^2*$J$6+$M$5*$J$7</f>
        <v>29.365232400701654</v>
      </c>
      <c r="M63" s="39">
        <f>$J$3+[32]FormattedData!F41*$J$4+$M$4*$J$5+[32]FormattedData!F41^2*$J$6+$M$5*$J$7</f>
        <v>29.072254814971828</v>
      </c>
      <c r="N63" s="39">
        <f>$J$3+[32]FormattedData!G41*$J$4+$M$4*$J$5+[32]FormattedData!G41^2*$J$6+$M$5*$J$7</f>
        <v>28.87672508179562</v>
      </c>
      <c r="O63" s="39">
        <f>$J$3+[32]FormattedData!H41*$J$4+$M$4*$J$5+[32]FormattedData!H41^2*$J$6+$M$5*$J$7</f>
        <v>31.018253068389054</v>
      </c>
      <c r="P63" s="39">
        <f>$J$3+[32]FormattedData!I41*$J$4+$M$4*$J$5+[32]FormattedData!I41^2*$J$6+$M$5*$J$7</f>
        <v>30.630406010919405</v>
      </c>
      <c r="Q63" s="39">
        <f>$J$3+[32]FormattedData!J41*$J$4+$M$4*$J$5+[32]FormattedData!J41^2*$J$6+$M$5*$J$7</f>
        <v>29.365232400701654</v>
      </c>
      <c r="R63" s="39">
        <f>$J$3+[32]FormattedData!K41*$J$4+$M$4*$J$5+[32]FormattedData!K41^2*$J$6+$M$5*$J$7</f>
        <v>29.267615473996312</v>
      </c>
      <c r="S63" s="39">
        <f>$J$3+[32]FormattedData!L41*$J$4+$M$4*$J$5+[32]FormattedData!L41^2*$J$6+$M$5*$J$7</f>
        <v>30.241882656842861</v>
      </c>
      <c r="T63" s="39">
        <f>$J$3+[32]FormattedData!M41*$J$4+$M$4*$J$5+[32]FormattedData!M41^2*$J$6+$M$5*$J$7</f>
        <v>28.87672508179562</v>
      </c>
      <c r="U63" s="39">
        <f>$J$3+[32]FormattedData!N41*$J$4+$M$4*$J$5+[32]FormattedData!N41^2*$J$6+$M$5*$J$7</f>
        <v>28.191039556734061</v>
      </c>
      <c r="V63" s="39">
        <f>$J$3+[32]FormattedData!O41*$J$4+$M$4*$J$5+[32]FormattedData!O41^2*$J$6+$M$5*$J$7</f>
        <v>28.681026274467687</v>
      </c>
      <c r="W63" s="38">
        <f>AVERAGE(K63:V63)</f>
        <v>29.39636242500573</v>
      </c>
      <c r="X63" s="37">
        <f>STDEV(K63:V63)/SQRT(COUNT(K63:V63))</f>
        <v>0.23912199998277434</v>
      </c>
      <c r="Y63" s="36">
        <f>MIN(K63:V63)</f>
        <v>28.191039556734061</v>
      </c>
      <c r="Z63" s="35">
        <f>QUARTILE(K63:V63,1)</f>
        <v>28.87672508179562</v>
      </c>
      <c r="AA63" s="36">
        <f>MEDIAN(K63:V63)</f>
        <v>29.218785876374675</v>
      </c>
      <c r="AB63" s="35">
        <f>QUARTILE(K63:V63,3)</f>
        <v>29.584394964736955</v>
      </c>
      <c r="AC63" s="35">
        <f>MAX(K63:V63)</f>
        <v>31.018253068389054</v>
      </c>
      <c r="AD63" s="35">
        <f>SKEW(K63:V63)</f>
        <v>0.82620399055038451</v>
      </c>
      <c r="AE63" s="35">
        <f>KURT(K63:V63)</f>
        <v>7.7429790126553932E-2</v>
      </c>
    </row>
    <row r="64" spans="2:31" x14ac:dyDescent="0.2">
      <c r="B64" s="34">
        <f>[32]FormattedData!A43</f>
        <v>207</v>
      </c>
      <c r="C64" s="34" t="str">
        <f>VLOOKUP($B64,[32]TrtCodes!$B$11:I86,2)</f>
        <v>FTL</v>
      </c>
      <c r="D64" s="34">
        <f>VLOOKUP($B64,[32]TrtCodes!$B$11:J86,3)</f>
        <v>4</v>
      </c>
      <c r="E64" s="34">
        <f>VLOOKUP($B64,[32]TrtCodes!$B$11:K86,4)</f>
        <v>1</v>
      </c>
      <c r="F64" s="34">
        <f>VLOOKUP($B64,[32]TrtCodes!$B$11:L86,5)</f>
        <v>2</v>
      </c>
      <c r="G64" s="34">
        <f>VLOOKUP($B64,[32]TrtCodes!$B$11:M86,6)</f>
        <v>1</v>
      </c>
      <c r="H64" s="34">
        <f>VLOOKUP($B64,[32]TrtCodes!$B$11:N86,7)</f>
        <v>2</v>
      </c>
      <c r="I64" s="34">
        <f>[32]FormattedData!B43</f>
        <v>2</v>
      </c>
      <c r="J64" s="37">
        <f>[32]FormattedData!C43</f>
        <v>13.289</v>
      </c>
      <c r="K64" s="39">
        <f>$J$3+[32]FormattedData!D43*$J$4+$M$4*$J$5+[32]FormattedData!D43^2*$J$6+$M$5*$J$7</f>
        <v>29.072254814971828</v>
      </c>
      <c r="L64" s="39">
        <f>$J$3+[32]FormattedData!E43*$J$4+$M$4*$J$5+[32]FormattedData!E43^2*$J$6+$M$5*$J$7</f>
        <v>28.092915407573546</v>
      </c>
      <c r="M64" s="39">
        <f>$J$3+[32]FormattedData!F43*$J$4+$M$4*$J$5+[32]FormattedData!F43^2*$J$6+$M$5*$J$7</f>
        <v>27.503282873313879</v>
      </c>
      <c r="N64" s="39">
        <f>$J$3+[32]FormattedData!G43*$J$4+$M$4*$J$5+[32]FormattedData!G43^2*$J$6+$M$5*$J$7</f>
        <v>28.87672508179562</v>
      </c>
      <c r="O64" s="39">
        <f>$J$3+[32]FormattedData!H43*$J$4+$M$4*$J$5+[32]FormattedData!H43^2*$J$6+$M$5*$J$7</f>
        <v>30.921354706828541</v>
      </c>
      <c r="P64" s="39">
        <f>$J$3+[32]FormattedData!I43*$J$4+$M$4*$J$5+[32]FormattedData!I43^2*$J$6+$M$5*$J$7</f>
        <v>28.87672508179562</v>
      </c>
      <c r="Q64" s="39">
        <f>$J$3+[32]FormattedData!J43*$J$4+$M$4*$J$5+[32]FormattedData!J43^2*$J$6+$M$5*$J$7</f>
        <v>29.657829569590099</v>
      </c>
      <c r="R64" s="39">
        <f>$J$3+[32]FormattedData!K43*$J$4+$M$4*$J$5+[32]FormattedData!K43^2*$J$6+$M$5*$J$7</f>
        <v>28.485158392988033</v>
      </c>
      <c r="S64" s="39">
        <f>$J$3+[32]FormattedData!L43*$J$4+$M$4*$J$5+[32]FormattedData!L43^2*$J$6+$M$5*$J$7</f>
        <v>30.339076898168891</v>
      </c>
      <c r="T64" s="39">
        <f>$J$3+[32]FormattedData!M43*$J$4+$M$4*$J$5+[32]FormattedData!M43^2*$J$6+$M$5*$J$7</f>
        <v>29.950046321637174</v>
      </c>
      <c r="U64" s="39">
        <f>$J$3+[32]FormattedData!N43*$J$4+$M$4*$J$5+[32]FormattedData!N43^2*$J$6+$M$5*$J$7</f>
        <v>29.267615473996312</v>
      </c>
      <c r="V64" s="39">
        <f>$J$3+[32]FormattedData!O43*$J$4+$M$4*$J$5+[32]FormattedData!O43^2*$J$6+$M$5*$J$7</f>
        <v>29.85268300615941</v>
      </c>
      <c r="W64" s="38">
        <f>AVERAGE(K64:V64)</f>
        <v>29.241305635734914</v>
      </c>
      <c r="X64" s="37">
        <f>STDEV(K64:V64)/SQRT(COUNT(K64:V64))</f>
        <v>0.2791171783642441</v>
      </c>
      <c r="Y64" s="36">
        <f>MIN(K64:V64)</f>
        <v>27.503282873313879</v>
      </c>
      <c r="Z64" s="35">
        <f>QUARTILE(K64:V64,1)</f>
        <v>28.778833409593723</v>
      </c>
      <c r="AA64" s="36">
        <f>MEDIAN(K64:V64)</f>
        <v>29.169935144484072</v>
      </c>
      <c r="AB64" s="35">
        <f>QUARTILE(K64:V64,3)</f>
        <v>29.877023835028851</v>
      </c>
      <c r="AC64" s="35">
        <f>MAX(K64:V64)</f>
        <v>30.921354706828541</v>
      </c>
      <c r="AD64" s="35">
        <f>SKEW(K64:V64)</f>
        <v>-6.9621304805840764E-2</v>
      </c>
      <c r="AE64" s="35">
        <f>KURT(K64:V64)</f>
        <v>-0.23484421607033834</v>
      </c>
    </row>
    <row r="65" spans="2:31" x14ac:dyDescent="0.2">
      <c r="B65" s="34">
        <f>[32]FormattedData!A45</f>
        <v>208</v>
      </c>
      <c r="C65" s="34" t="str">
        <f>VLOOKUP($B65,[32]TrtCodes!$B$11:I88,2)</f>
        <v>FSL</v>
      </c>
      <c r="D65" s="34">
        <f>VLOOKUP($B65,[32]TrtCodes!$B$11:J88,3)</f>
        <v>2</v>
      </c>
      <c r="E65" s="34">
        <f>VLOOKUP($B65,[32]TrtCodes!$B$11:K88,4)</f>
        <v>1</v>
      </c>
      <c r="F65" s="34">
        <f>VLOOKUP($B65,[32]TrtCodes!$B$11:L88,5)</f>
        <v>1</v>
      </c>
      <c r="G65" s="34">
        <f>VLOOKUP($B65,[32]TrtCodes!$B$11:M88,6)</f>
        <v>1</v>
      </c>
      <c r="H65" s="34">
        <f>VLOOKUP($B65,[32]TrtCodes!$B$11:N88,7)</f>
        <v>2</v>
      </c>
      <c r="I65" s="34">
        <f>[32]FormattedData!B45</f>
        <v>2</v>
      </c>
      <c r="J65" s="37">
        <f>[32]FormattedData!C45</f>
        <v>13.305999999999999</v>
      </c>
      <c r="K65" s="39">
        <f>$J$3+[32]FormattedData!D45*$J$4+$M$4*$J$5+[32]FormattedData!D45^2*$J$6+$M$5*$J$7</f>
        <v>29.950046321637174</v>
      </c>
      <c r="L65" s="39">
        <f>$J$3+[32]FormattedData!E45*$J$4+$M$4*$J$5+[32]FormattedData!E45^2*$J$6+$M$5*$J$7</f>
        <v>30.047367368576996</v>
      </c>
      <c r="M65" s="39">
        <f>$J$3+[32]FormattedData!F45*$J$4+$M$4*$J$5+[32]FormattedData!F45^2*$J$6+$M$5*$J$7</f>
        <v>31.30869454184301</v>
      </c>
      <c r="N65" s="39">
        <f>$J$3+[32]FormattedData!G45*$J$4+$M$4*$J$5+[32]FormattedData!G45^2*$J$6+$M$5*$J$7</f>
        <v>29.267615473996312</v>
      </c>
      <c r="O65" s="39">
        <f>$J$3+[32]FormattedData!H45*$J$4+$M$4*$J$5+[32]FormattedData!H45^2*$J$6+$M$5*$J$7</f>
        <v>29.950046321637174</v>
      </c>
      <c r="P65" s="39">
        <f>$J$3+[32]FormattedData!I45*$J$4+$M$4*$J$5+[32]FormattedData!I45^2*$J$6+$M$5*$J$7</f>
        <v>28.87672508179562</v>
      </c>
      <c r="Q65" s="39">
        <f>$J$3+[32]FormattedData!J45*$J$4+$M$4*$J$5+[32]FormattedData!J45^2*$J$6+$M$5*$J$7</f>
        <v>30.727431178093717</v>
      </c>
      <c r="R65" s="39">
        <f>$J$3+[32]FormattedData!K45*$J$4+$M$4*$J$5+[32]FormattedData!K45^2*$J$6+$M$5*$J$7</f>
        <v>31.115109161411635</v>
      </c>
      <c r="S65" s="39">
        <f>$J$3+[32]FormattedData!L45*$J$4+$M$4*$J$5+[32]FormattedData!L45^2*$J$6+$M$5*$J$7</f>
        <v>31.211922985896294</v>
      </c>
      <c r="T65" s="39">
        <f>$J$3+[32]FormattedData!M45*$J$4+$M$4*$J$5+[32]FormattedData!M45^2*$J$6+$M$5*$J$7</f>
        <v>31.888436238226795</v>
      </c>
      <c r="U65" s="39">
        <f>$J$3+[32]FormattedData!N45*$J$4+$M$4*$J$5+[32]FormattedData!N45^2*$J$6+$M$5*$J$7</f>
        <v>31.018253068389054</v>
      </c>
      <c r="V65" s="39">
        <f>$J$3+[32]FormattedData!O45*$J$4+$M$4*$J$5+[32]FormattedData!O45^2*$J$6+$M$5*$J$7</f>
        <v>31.598755598455597</v>
      </c>
      <c r="W65" s="38">
        <f>AVERAGE(K65:V65)</f>
        <v>30.580033611663282</v>
      </c>
      <c r="X65" s="37">
        <f>STDEV(K65:V65)/SQRT(COUNT(K65:V65))</f>
        <v>0.27360131418729844</v>
      </c>
      <c r="Y65" s="36">
        <f>MIN(K65:V65)</f>
        <v>28.87672508179562</v>
      </c>
      <c r="Z65" s="35">
        <f>QUARTILE(K65:V65,1)</f>
        <v>29.950046321637174</v>
      </c>
      <c r="AA65" s="36">
        <f>MEDIAN(K65:V65)</f>
        <v>30.872842123241384</v>
      </c>
      <c r="AB65" s="35">
        <f>QUARTILE(K65:V65,3)</f>
        <v>31.236115874882973</v>
      </c>
      <c r="AC65" s="35">
        <f>MAX(K65:V65)</f>
        <v>31.888436238226795</v>
      </c>
      <c r="AD65" s="35">
        <f>SKEW(K65:V65)</f>
        <v>-0.47110355841828372</v>
      </c>
      <c r="AE65" s="35">
        <f>KURT(K65:V65)</f>
        <v>-0.84092527888472057</v>
      </c>
    </row>
    <row r="66" spans="2:31" x14ac:dyDescent="0.2">
      <c r="B66" s="34">
        <f>[32]FormattedData!A63</f>
        <v>301</v>
      </c>
      <c r="C66" s="34" t="str">
        <f>VLOOKUP($B66,[32]TrtCodes!$B$11:I106,2)</f>
        <v>NTL</v>
      </c>
      <c r="D66" s="34">
        <f>VLOOKUP($B66,[32]TrtCodes!$B$11:J106,3)</f>
        <v>10</v>
      </c>
      <c r="E66" s="34">
        <f>VLOOKUP($B66,[32]TrtCodes!$B$11:K106,4)</f>
        <v>2</v>
      </c>
      <c r="F66" s="34">
        <f>VLOOKUP($B66,[32]TrtCodes!$B$11:L106,5)</f>
        <v>2</v>
      </c>
      <c r="G66" s="34">
        <f>VLOOKUP($B66,[32]TrtCodes!$B$11:M106,6)</f>
        <v>1</v>
      </c>
      <c r="H66" s="34">
        <f>VLOOKUP($B66,[32]TrtCodes!$B$11:N106,7)</f>
        <v>3</v>
      </c>
      <c r="I66" s="34">
        <f>[32]FormattedData!B63</f>
        <v>2</v>
      </c>
      <c r="J66" s="37">
        <f>[32]FormattedData!C63</f>
        <v>13.429</v>
      </c>
      <c r="K66" s="39">
        <f>$J$3+[32]FormattedData!D63*$J$4+$M$4*$J$5+[32]FormattedData!D63^2*$J$6+$M$5*$J$7</f>
        <v>29.755277422143724</v>
      </c>
      <c r="L66" s="39">
        <f>$J$3+[32]FormattedData!E63*$J$4+$M$4*$J$5+[32]FormattedData!E63^2*$J$6+$M$5*$J$7</f>
        <v>30.144646146978893</v>
      </c>
      <c r="M66" s="39">
        <f>$J$3+[32]FormattedData!F63*$J$4+$M$4*$J$5+[32]FormattedData!F63^2*$J$6+$M$5*$J$7</f>
        <v>28.681026274467687</v>
      </c>
      <c r="N66" s="39">
        <f>$J$3+[32]FormattedData!G63*$J$4+$M$4*$J$5+[32]FormattedData!G63^2*$J$6+$M$5*$J$7</f>
        <v>27.798289348864401</v>
      </c>
      <c r="O66" s="39">
        <f>$J$3+[32]FormattedData!H63*$J$4+$M$4*$J$5+[32]FormattedData!H63^2*$J$6+$M$5*$J$7</f>
        <v>30.241882656842861</v>
      </c>
      <c r="P66" s="39">
        <f>$J$3+[32]FormattedData!I63*$J$4+$M$4*$J$5+[32]FormattedData!I63^2*$J$6+$M$5*$J$7</f>
        <v>30.533338575207168</v>
      </c>
      <c r="Q66" s="39">
        <f>$J$3+[32]FormattedData!J63*$J$4+$M$4*$J$5+[32]FormattedData!J63^2*$J$6+$M$5*$J$7</f>
        <v>30.047367368576996</v>
      </c>
      <c r="R66" s="39">
        <f>$J$3+[32]FormattedData!K63*$J$4+$M$4*$J$5+[32]FormattedData!K63^2*$J$6+$M$5*$J$7</f>
        <v>30.241882656842861</v>
      </c>
      <c r="S66" s="39">
        <f>$J$3+[32]FormattedData!L63*$J$4+$M$4*$J$5+[32]FormattedData!L63^2*$J$6+$M$5*$J$7</f>
        <v>29.072254814971828</v>
      </c>
      <c r="T66" s="39">
        <f>$J$3+[32]FormattedData!M63*$J$4+$M$4*$J$5+[32]FormattedData!M63^2*$J$6+$M$5*$J$7</f>
        <v>28.778896812400617</v>
      </c>
      <c r="U66" s="39">
        <f>$J$3+[32]FormattedData!N63*$J$4+$M$4*$J$5+[32]FormattedData!N63^2*$J$6+$M$5*$J$7</f>
        <v>30.144646146978893</v>
      </c>
      <c r="V66" s="39">
        <f>$J$3+[32]FormattedData!O63*$J$4+$M$4*$J$5+[32]FormattedData!O63^2*$J$6+$M$5*$J$7</f>
        <v>30.727431178093717</v>
      </c>
      <c r="W66" s="38">
        <f>AVERAGE(K66:V66)</f>
        <v>29.680578283530803</v>
      </c>
      <c r="X66" s="37">
        <f>STDEV(K66:V66)/SQRT(COUNT(K66:V66))</f>
        <v>0.25745345600343827</v>
      </c>
      <c r="Y66" s="36">
        <f>MIN(K66:V66)</f>
        <v>27.798289348864401</v>
      </c>
      <c r="Z66" s="35">
        <f>QUARTILE(K66:V66,1)</f>
        <v>28.998915314329025</v>
      </c>
      <c r="AA66" s="36">
        <f>MEDIAN(K66:V66)</f>
        <v>30.096006757777943</v>
      </c>
      <c r="AB66" s="35">
        <f>QUARTILE(K66:V66,3)</f>
        <v>30.241882656842861</v>
      </c>
      <c r="AC66" s="35">
        <f>MAX(K66:V66)</f>
        <v>30.727431178093717</v>
      </c>
      <c r="AD66" s="35">
        <f>SKEW(K66:V66)</f>
        <v>-0.96195888617210079</v>
      </c>
      <c r="AE66" s="35">
        <f>KURT(K66:V66)</f>
        <v>4.860940163877725E-2</v>
      </c>
    </row>
    <row r="67" spans="2:31" x14ac:dyDescent="0.2">
      <c r="B67" s="34">
        <f>[32]FormattedData!A65</f>
        <v>302</v>
      </c>
      <c r="C67" s="34" t="str">
        <f>VLOOKUP($B67,[32]TrtCodes!$B$11:I108,2)</f>
        <v>FTL</v>
      </c>
      <c r="D67" s="34">
        <f>VLOOKUP($B67,[32]TrtCodes!$B$11:J108,3)</f>
        <v>4</v>
      </c>
      <c r="E67" s="34">
        <f>VLOOKUP($B67,[32]TrtCodes!$B$11:K108,4)</f>
        <v>1</v>
      </c>
      <c r="F67" s="34">
        <f>VLOOKUP($B67,[32]TrtCodes!$B$11:L108,5)</f>
        <v>2</v>
      </c>
      <c r="G67" s="34">
        <f>VLOOKUP($B67,[32]TrtCodes!$B$11:M108,6)</f>
        <v>1</v>
      </c>
      <c r="H67" s="34">
        <f>VLOOKUP($B67,[32]TrtCodes!$B$11:N108,7)</f>
        <v>3</v>
      </c>
      <c r="I67" s="34">
        <f>[32]FormattedData!B65</f>
        <v>2</v>
      </c>
      <c r="J67" s="37">
        <f>[32]FormattedData!C65</f>
        <v>13.445</v>
      </c>
      <c r="K67" s="39">
        <f>$J$3+[32]FormattedData!D65*$J$4+$M$4*$J$5+[32]FormattedData!D65^2*$J$6+$M$5*$J$7</f>
        <v>31.30869454184301</v>
      </c>
      <c r="L67" s="39">
        <f>$J$3+[32]FormattedData!E65*$J$4+$M$4*$J$5+[32]FormattedData!E65^2*$J$6+$M$5*$J$7</f>
        <v>30.630406010919405</v>
      </c>
      <c r="M67" s="39">
        <f>$J$3+[32]FormattedData!F65*$J$4+$M$4*$J$5+[32]FormattedData!F65^2*$J$6+$M$5*$J$7</f>
        <v>30.047367368576996</v>
      </c>
      <c r="N67" s="39">
        <f>$J$3+[32]FormattedData!G65*$J$4+$M$4*$J$5+[32]FormattedData!G65^2*$J$6+$M$5*$J$7</f>
        <v>29.657829569590099</v>
      </c>
      <c r="O67" s="39">
        <f>$J$3+[32]FormattedData!H65*$J$4+$M$4*$J$5+[32]FormattedData!H65^2*$J$6+$M$5*$J$7</f>
        <v>30.727431178093717</v>
      </c>
      <c r="P67" s="39">
        <f>$J$3+[32]FormattedData!I65*$J$4+$M$4*$J$5+[32]FormattedData!I65^2*$J$6+$M$5*$J$7</f>
        <v>28.485158392988033</v>
      </c>
      <c r="Q67" s="39">
        <f>$J$3+[32]FormattedData!J65*$J$4+$M$4*$J$5+[32]FormattedData!J65^2*$J$6+$M$5*$J$7</f>
        <v>28.87672508179562</v>
      </c>
      <c r="R67" s="39">
        <f>$J$3+[32]FormattedData!K65*$J$4+$M$4*$J$5+[32]FormattedData!K65^2*$J$6+$M$5*$J$7</f>
        <v>28.778896812400617</v>
      </c>
      <c r="S67" s="39">
        <f>$J$3+[32]FormattedData!L65*$J$4+$M$4*$J$5+[32]FormattedData!L65^2*$J$6+$M$5*$J$7</f>
        <v>30.047367368576996</v>
      </c>
      <c r="T67" s="39">
        <f>$J$3+[32]FormattedData!M65*$J$4+$M$4*$J$5+[32]FormattedData!M65^2*$J$6+$M$5*$J$7</f>
        <v>29.462807058869068</v>
      </c>
      <c r="U67" s="39">
        <f>$J$3+[32]FormattedData!N65*$J$4+$M$4*$J$5+[32]FormattedData!N65^2*$J$6+$M$5*$J$7</f>
        <v>29.462807058869068</v>
      </c>
      <c r="V67" s="39">
        <f>$J$3+[32]FormattedData!O65*$J$4+$M$4*$J$5+[32]FormattedData!O65^2*$J$6+$M$5*$J$7</f>
        <v>30.727431178093717</v>
      </c>
      <c r="W67" s="38">
        <f>AVERAGE(K67:V67)</f>
        <v>29.851076801718033</v>
      </c>
      <c r="X67" s="37">
        <f>STDEV(K67:V67)/SQRT(COUNT(K67:V67))</f>
        <v>0.25596775711322362</v>
      </c>
      <c r="Y67" s="36">
        <f>MIN(K67:V67)</f>
        <v>28.485158392988033</v>
      </c>
      <c r="Z67" s="35">
        <f>QUARTILE(K67:V67,1)</f>
        <v>29.316286564600706</v>
      </c>
      <c r="AA67" s="36">
        <f>MEDIAN(K67:V67)</f>
        <v>29.852598469083546</v>
      </c>
      <c r="AB67" s="35">
        <f>QUARTILE(K67:V67,3)</f>
        <v>30.654662302712982</v>
      </c>
      <c r="AC67" s="35">
        <f>MAX(K67:V67)</f>
        <v>31.30869454184301</v>
      </c>
      <c r="AD67" s="35">
        <f>SKEW(K67:V67)</f>
        <v>1.5832276918399103E-2</v>
      </c>
      <c r="AE67" s="35">
        <f>KURT(K67:V67)</f>
        <v>-1.0212657297935723</v>
      </c>
    </row>
    <row r="68" spans="2:31" x14ac:dyDescent="0.2">
      <c r="B68" s="34">
        <f>[32]FormattedData!A67</f>
        <v>303</v>
      </c>
      <c r="C68" s="34" t="str">
        <f>VLOOKUP($B68,[32]TrtCodes!$B$11:I110,2)</f>
        <v>NSL</v>
      </c>
      <c r="D68" s="34">
        <f>VLOOKUP($B68,[32]TrtCodes!$B$11:J110,3)</f>
        <v>8</v>
      </c>
      <c r="E68" s="34">
        <f>VLOOKUP($B68,[32]TrtCodes!$B$11:K110,4)</f>
        <v>2</v>
      </c>
      <c r="F68" s="34">
        <f>VLOOKUP($B68,[32]TrtCodes!$B$11:L110,5)</f>
        <v>1</v>
      </c>
      <c r="G68" s="34">
        <f>VLOOKUP($B68,[32]TrtCodes!$B$11:M110,6)</f>
        <v>1</v>
      </c>
      <c r="H68" s="34">
        <f>VLOOKUP($B68,[32]TrtCodes!$B$11:N110,7)</f>
        <v>3</v>
      </c>
      <c r="I68" s="34">
        <f>[32]FormattedData!B67</f>
        <v>2</v>
      </c>
      <c r="J68" s="37">
        <f>[32]FormattedData!C67</f>
        <v>13.461</v>
      </c>
      <c r="K68" s="39">
        <f>$J$3+[32]FormattedData!D67*$J$4+$M$4*$J$5+[32]FormattedData!D67^2*$J$6+$M$5*$J$7</f>
        <v>27.601660633701986</v>
      </c>
      <c r="L68" s="39">
        <f>$J$3+[32]FormattedData!E67*$J$4+$M$4*$J$5+[32]FormattedData!E67^2*$J$6+$M$5*$J$7</f>
        <v>28.191039556734061</v>
      </c>
      <c r="M68" s="39">
        <f>$J$3+[32]FormattedData!F67*$J$4+$M$4*$J$5+[32]FormattedData!F67^2*$J$6+$M$5*$J$7</f>
        <v>27.601660633701986</v>
      </c>
      <c r="N68" s="39">
        <f>$J$3+[32]FormattedData!G67*$J$4+$M$4*$J$5+[32]FormattedData!G67^2*$J$6+$M$5*$J$7</f>
        <v>28.87672508179562</v>
      </c>
      <c r="O68" s="39">
        <f>$J$3+[32]FormattedData!H67*$J$4+$M$4*$J$5+[32]FormattedData!H67^2*$J$6+$M$5*$J$7</f>
        <v>28.97451108265269</v>
      </c>
      <c r="P68" s="39">
        <f>$J$3+[32]FormattedData!I67*$J$4+$M$4*$J$5+[32]FormattedData!I67^2*$J$6+$M$5*$J$7</f>
        <v>27.896540303638712</v>
      </c>
      <c r="Q68" s="39">
        <f>$J$3+[32]FormattedData!J67*$J$4+$M$4*$J$5+[32]FormattedData!J67^2*$J$6+$M$5*$J$7</f>
        <v>28.681026274467687</v>
      </c>
      <c r="R68" s="39">
        <f>$J$3+[32]FormattedData!K67*$J$4+$M$4*$J$5+[32]FormattedData!K67^2*$J$6+$M$5*$J$7</f>
        <v>28.583113467996824</v>
      </c>
      <c r="S68" s="39">
        <f>$J$3+[32]FormattedData!L67*$J$4+$M$4*$J$5+[32]FormattedData!L67^2*$J$6+$M$5*$J$7</f>
        <v>27.601660633701986</v>
      </c>
      <c r="T68" s="39">
        <f>$J$3+[32]FormattedData!M67*$J$4+$M$4*$J$5+[32]FormattedData!M67^2*$J$6+$M$5*$J$7</f>
        <v>29.072254814971828</v>
      </c>
      <c r="U68" s="39">
        <f>$J$3+[32]FormattedData!N67*$J$4+$M$4*$J$5+[32]FormattedData!N67^2*$J$6+$M$5*$J$7</f>
        <v>27.207895980921975</v>
      </c>
      <c r="V68" s="39">
        <f>$J$3+[32]FormattedData!O67*$J$4+$M$4*$J$5+[32]FormattedData!O67^2*$J$6+$M$5*$J$7</f>
        <v>28.485158392988033</v>
      </c>
      <c r="W68" s="38">
        <f>AVERAGE(K68:V68)</f>
        <v>28.231103904772784</v>
      </c>
      <c r="X68" s="37">
        <f>STDEV(K68:V68)/SQRT(COUNT(K68:V68))</f>
        <v>0.18292632333553188</v>
      </c>
      <c r="Y68" s="36">
        <f>MIN(K68:V68)</f>
        <v>27.207895980921975</v>
      </c>
      <c r="Z68" s="35">
        <f>QUARTILE(K68:V68,1)</f>
        <v>27.601660633701986</v>
      </c>
      <c r="AA68" s="36">
        <f>MEDIAN(K68:V68)</f>
        <v>28.338098974861047</v>
      </c>
      <c r="AB68" s="35">
        <f>QUARTILE(K68:V68,3)</f>
        <v>28.729950976299669</v>
      </c>
      <c r="AC68" s="35">
        <f>MAX(K68:V68)</f>
        <v>29.072254814971828</v>
      </c>
      <c r="AD68" s="35">
        <f>SKEW(K68:V68)</f>
        <v>-0.18466567181030524</v>
      </c>
      <c r="AE68" s="35">
        <f>KURT(K68:V68)</f>
        <v>-1.4729977616449612</v>
      </c>
    </row>
    <row r="69" spans="2:31" x14ac:dyDescent="0.2">
      <c r="B69" s="34">
        <f>[32]FormattedData!A69</f>
        <v>304</v>
      </c>
      <c r="C69" s="34" t="str">
        <f>VLOOKUP($B69,[32]TrtCodes!$B$11:I112,2)</f>
        <v>FSL</v>
      </c>
      <c r="D69" s="34">
        <f>VLOOKUP($B69,[32]TrtCodes!$B$11:J112,3)</f>
        <v>2</v>
      </c>
      <c r="E69" s="34">
        <f>VLOOKUP($B69,[32]TrtCodes!$B$11:K112,4)</f>
        <v>1</v>
      </c>
      <c r="F69" s="34">
        <f>VLOOKUP($B69,[32]TrtCodes!$B$11:L112,5)</f>
        <v>1</v>
      </c>
      <c r="G69" s="34">
        <f>VLOOKUP($B69,[32]TrtCodes!$B$11:M112,6)</f>
        <v>1</v>
      </c>
      <c r="H69" s="34">
        <f>VLOOKUP($B69,[32]TrtCodes!$B$11:N112,7)</f>
        <v>3</v>
      </c>
      <c r="I69" s="34">
        <f>[32]FormattedData!B69</f>
        <v>2</v>
      </c>
      <c r="J69" s="37">
        <f>[32]FormattedData!C69</f>
        <v>13.476000000000001</v>
      </c>
      <c r="K69" s="39">
        <f>$J$3+[32]FormattedData!D69*$J$4+$M$4*$J$5+[32]FormattedData!D69^2*$J$6+$M$5*$J$7</f>
        <v>29.365232400701654</v>
      </c>
      <c r="L69" s="39">
        <f>$J$3+[32]FormattedData!E69*$J$4+$M$4*$J$5+[32]FormattedData!E69^2*$J$6+$M$5*$J$7</f>
        <v>29.950046321637174</v>
      </c>
      <c r="M69" s="39">
        <f>$J$3+[32]FormattedData!F69*$J$4+$M$4*$J$5+[32]FormattedData!F69^2*$J$6+$M$5*$J$7</f>
        <v>29.365232400701654</v>
      </c>
      <c r="N69" s="39">
        <f>$J$3+[32]FormattedData!G69*$J$4+$M$4*$J$5+[32]FormattedData!G69^2*$J$6+$M$5*$J$7</f>
        <v>29.755277422143724</v>
      </c>
      <c r="O69" s="39">
        <f>$J$3+[32]FormattedData!H69*$J$4+$M$4*$J$5+[32]FormattedData!H69^2*$J$6+$M$5*$J$7</f>
        <v>29.072254814971828</v>
      </c>
      <c r="P69" s="39">
        <f>$J$3+[32]FormattedData!I69*$J$4+$M$4*$J$5+[32]FormattedData!I69^2*$J$6+$M$5*$J$7</f>
        <v>29.950046321637174</v>
      </c>
      <c r="Q69" s="39">
        <f>$J$3+[32]FormattedData!J69*$J$4+$M$4*$J$5+[32]FormattedData!J69^2*$J$6+$M$5*$J$7</f>
        <v>28.485158392988033</v>
      </c>
      <c r="R69" s="39">
        <f>$J$3+[32]FormattedData!K69*$J$4+$M$4*$J$5+[32]FormattedData!K69^2*$J$6+$M$5*$J$7</f>
        <v>28.97451108265269</v>
      </c>
      <c r="S69" s="39">
        <f>$J$3+[32]FormattedData!L69*$J$4+$M$4*$J$5+[32]FormattedData!L69^2*$J$6+$M$5*$J$7</f>
        <v>30.727431178093717</v>
      </c>
      <c r="T69" s="39">
        <f>$J$3+[32]FormattedData!M69*$J$4+$M$4*$J$5+[32]FormattedData!M69^2*$J$6+$M$5*$J$7</f>
        <v>27.994748989875095</v>
      </c>
      <c r="U69" s="39">
        <f>$J$3+[32]FormattedData!N69*$J$4+$M$4*$J$5+[32]FormattedData!N69^2*$J$6+$M$5*$J$7</f>
        <v>29.365232400701654</v>
      </c>
      <c r="V69" s="39">
        <f>$J$3+[32]FormattedData!O69*$J$4+$M$4*$J$5+[32]FormattedData!O69^2*$J$6+$M$5*$J$7</f>
        <v>29.755277422143724</v>
      </c>
      <c r="W69" s="38">
        <f>AVERAGE(K69:V69)</f>
        <v>29.39670409568734</v>
      </c>
      <c r="X69" s="37">
        <f>STDEV(K69:V69)/SQRT(COUNT(K69:V69))</f>
        <v>0.20822552663446642</v>
      </c>
      <c r="Y69" s="36">
        <f>MIN(K69:V69)</f>
        <v>27.994748989875095</v>
      </c>
      <c r="Z69" s="35">
        <f>QUARTILE(K69:V69,1)</f>
        <v>29.047818881892042</v>
      </c>
      <c r="AA69" s="36">
        <f>MEDIAN(K69:V69)</f>
        <v>29.365232400701654</v>
      </c>
      <c r="AB69" s="35">
        <f>QUARTILE(K69:V69,3)</f>
        <v>29.803969647017087</v>
      </c>
      <c r="AC69" s="35">
        <f>MAX(K69:V69)</f>
        <v>30.727431178093717</v>
      </c>
      <c r="AD69" s="35">
        <f>SKEW(K69:V69)</f>
        <v>-0.24268097902848518</v>
      </c>
      <c r="AE69" s="35">
        <f>KURT(K69:V69)</f>
        <v>0.59592204187009035</v>
      </c>
    </row>
    <row r="70" spans="2:31" x14ac:dyDescent="0.2">
      <c r="B70" s="34">
        <f>[32]FormattedData!A71</f>
        <v>305</v>
      </c>
      <c r="C70" s="34" t="str">
        <f>VLOOKUP($B70,[32]TrtCodes!$B$11:I114,2)</f>
        <v>NDH</v>
      </c>
      <c r="D70" s="34">
        <f>VLOOKUP($B70,[32]TrtCodes!$B$11:J114,3)</f>
        <v>11</v>
      </c>
      <c r="E70" s="34">
        <f>VLOOKUP($B70,[32]TrtCodes!$B$11:K114,4)</f>
        <v>2</v>
      </c>
      <c r="F70" s="34">
        <f>VLOOKUP($B70,[32]TrtCodes!$B$11:L114,5)</f>
        <v>3</v>
      </c>
      <c r="G70" s="34">
        <f>VLOOKUP($B70,[32]TrtCodes!$B$11:M114,6)</f>
        <v>2</v>
      </c>
      <c r="H70" s="34">
        <f>VLOOKUP($B70,[32]TrtCodes!$B$11:N114,7)</f>
        <v>4</v>
      </c>
      <c r="I70" s="34">
        <f>[32]FormattedData!B71</f>
        <v>2</v>
      </c>
      <c r="J70" s="37">
        <f>[32]FormattedData!C71</f>
        <v>13.493</v>
      </c>
      <c r="K70" s="39">
        <f>$J$3+[32]FormattedData!D71*$J$4+$M$4*$J$5+[32]FormattedData!D71^2*$J$6+$M$5*$J$7</f>
        <v>26.912128671688691</v>
      </c>
      <c r="L70" s="39">
        <f>$J$3+[32]FormattedData!E71*$J$4+$M$4*$J$5+[32]FormattedData!E71^2*$J$6+$M$5*$J$7</f>
        <v>28.191039556734061</v>
      </c>
      <c r="M70" s="39">
        <f>$J$3+[32]FormattedData!F71*$J$4+$M$4*$J$5+[32]FormattedData!F71^2*$J$6+$M$5*$J$7</f>
        <v>27.404862844387839</v>
      </c>
      <c r="N70" s="39">
        <f>$J$3+[32]FormattedData!G71*$J$4+$M$4*$J$5+[32]FormattedData!G71^2*$J$6+$M$5*$J$7</f>
        <v>27.798289348864401</v>
      </c>
      <c r="O70" s="39">
        <f>$J$3+[32]FormattedData!H71*$J$4+$M$4*$J$5+[32]FormattedData!H71^2*$J$6+$M$5*$J$7</f>
        <v>26.319452802697988</v>
      </c>
      <c r="P70" s="39">
        <f>$J$3+[32]FormattedData!I71*$J$4+$M$4*$J$5+[32]FormattedData!I71^2*$J$6+$M$5*$J$7</f>
        <v>28.289121437356648</v>
      </c>
      <c r="Q70" s="39">
        <f>$J$3+[32]FormattedData!J71*$J$4+$M$4*$J$5+[32]FormattedData!J71^2*$J$6+$M$5*$J$7</f>
        <v>27.404862844387839</v>
      </c>
      <c r="R70" s="39">
        <f>$J$3+[32]FormattedData!K71*$J$4+$M$4*$J$5+[32]FormattedData!K71^2*$J$6+$M$5*$J$7</f>
        <v>28.191039556734061</v>
      </c>
      <c r="S70" s="39">
        <f>$J$3+[32]FormattedData!L71*$J$4+$M$4*$J$5+[32]FormattedData!L71^2*$J$6+$M$5*$J$7</f>
        <v>28.289121437356648</v>
      </c>
      <c r="T70" s="39">
        <f>$J$3+[32]FormattedData!M71*$J$4+$M$4*$J$5+[32]FormattedData!M71^2*$J$6+$M$5*$J$7</f>
        <v>29.365232400701654</v>
      </c>
      <c r="U70" s="39">
        <f>$J$3+[32]FormattedData!N71*$J$4+$M$4*$J$5+[32]FormattedData!N71^2*$J$6+$M$5*$J$7</f>
        <v>28.681026274467687</v>
      </c>
      <c r="V70" s="39">
        <f>$J$3+[32]FormattedData!O71*$J$4+$M$4*$J$5+[32]FormattedData!O71^2*$J$6+$M$5*$J$7</f>
        <v>27.306400546923875</v>
      </c>
      <c r="W70" s="38">
        <f>AVERAGE(K70:V70)</f>
        <v>27.84604814352512</v>
      </c>
      <c r="X70" s="37">
        <f>STDEV(K70:V70)/SQRT(COUNT(K70:V70))</f>
        <v>0.23870330903178572</v>
      </c>
      <c r="Y70" s="36">
        <f>MIN(K70:V70)</f>
        <v>26.319452802697988</v>
      </c>
      <c r="Z70" s="35">
        <f>QUARTILE(K70:V70,1)</f>
        <v>27.380247270021847</v>
      </c>
      <c r="AA70" s="36">
        <f>MEDIAN(K70:V70)</f>
        <v>27.994664452799231</v>
      </c>
      <c r="AB70" s="35">
        <f>QUARTILE(K70:V70,3)</f>
        <v>28.289121437356648</v>
      </c>
      <c r="AC70" s="35">
        <f>MAX(K70:V70)</f>
        <v>29.365232400701654</v>
      </c>
      <c r="AD70" s="35">
        <f>SKEW(K70:V70)</f>
        <v>-6.8868197701068154E-2</v>
      </c>
      <c r="AE70" s="35">
        <f>KURT(K70:V70)</f>
        <v>0.10243029033224538</v>
      </c>
    </row>
    <row r="71" spans="2:31" x14ac:dyDescent="0.2">
      <c r="B71" s="34">
        <f>[32]FormattedData!A73</f>
        <v>306</v>
      </c>
      <c r="C71" s="34" t="str">
        <f>VLOOKUP($B71,[32]TrtCodes!$B$11:I116,2)</f>
        <v>FTL</v>
      </c>
      <c r="D71" s="34">
        <f>VLOOKUP($B71,[32]TrtCodes!$B$11:J116,3)</f>
        <v>4</v>
      </c>
      <c r="E71" s="34">
        <f>VLOOKUP($B71,[32]TrtCodes!$B$11:K116,4)</f>
        <v>1</v>
      </c>
      <c r="F71" s="34">
        <f>VLOOKUP($B71,[32]TrtCodes!$B$11:L116,5)</f>
        <v>2</v>
      </c>
      <c r="G71" s="34">
        <f>VLOOKUP($B71,[32]TrtCodes!$B$11:M116,6)</f>
        <v>1</v>
      </c>
      <c r="H71" s="34">
        <f>VLOOKUP($B71,[32]TrtCodes!$B$11:N116,7)</f>
        <v>4</v>
      </c>
      <c r="I71" s="34">
        <f>[32]FormattedData!B73</f>
        <v>2</v>
      </c>
      <c r="J71" s="37">
        <f>[32]FormattedData!C73</f>
        <v>13.51</v>
      </c>
      <c r="K71" s="39">
        <f>$J$3+[32]FormattedData!D73*$J$4+$M$4*$J$5+[32]FormattedData!D73^2*$J$6+$M$5*$J$7</f>
        <v>28.289121437356648</v>
      </c>
      <c r="L71" s="39">
        <f>$J$3+[32]FormattedData!E73*$J$4+$M$4*$J$5+[32]FormattedData!E73^2*$J$6+$M$5*$J$7</f>
        <v>28.191039556734061</v>
      </c>
      <c r="M71" s="39">
        <f>$J$3+[32]FormattedData!F73*$J$4+$M$4*$J$5+[32]FormattedData!F73^2*$J$6+$M$5*$J$7</f>
        <v>28.191039556734061</v>
      </c>
      <c r="N71" s="39">
        <f>$J$3+[32]FormattedData!G73*$J$4+$M$4*$J$5+[32]FormattedData!G73^2*$J$6+$M$5*$J$7</f>
        <v>28.387161049441303</v>
      </c>
      <c r="O71" s="39">
        <f>$J$3+[32]FormattedData!H73*$J$4+$M$4*$J$5+[32]FormattedData!H73^2*$J$6+$M$5*$J$7</f>
        <v>28.092915407573546</v>
      </c>
      <c r="P71" s="39">
        <f>$J$3+[32]FormattedData!I73*$J$4+$M$4*$J$5+[32]FormattedData!I73^2*$J$6+$M$5*$J$7</f>
        <v>29.365232400701654</v>
      </c>
      <c r="Q71" s="39">
        <f>$J$3+[32]FormattedData!J73*$J$4+$M$4*$J$5+[32]FormattedData!J73^2*$J$6+$M$5*$J$7</f>
        <v>29.462807058869068</v>
      </c>
      <c r="R71" s="39">
        <f>$J$3+[32]FormattedData!K73*$J$4+$M$4*$J$5+[32]FormattedData!K73^2*$J$6+$M$5*$J$7</f>
        <v>27.207895980921975</v>
      </c>
      <c r="S71" s="39">
        <f>$J$3+[32]FormattedData!L73*$J$4+$M$4*$J$5+[32]FormattedData!L73^2*$J$6+$M$5*$J$7</f>
        <v>29.169956278753034</v>
      </c>
      <c r="T71" s="39">
        <f>$J$3+[32]FormattedData!M73*$J$4+$M$4*$J$5+[32]FormattedData!M73^2*$J$6+$M$5*$J$7</f>
        <v>28.681026274467687</v>
      </c>
      <c r="U71" s="39">
        <f>$J$3+[32]FormattedData!N73*$J$4+$M$4*$J$5+[32]FormattedData!N73^2*$J$6+$M$5*$J$7</f>
        <v>27.699996125552158</v>
      </c>
      <c r="V71" s="39">
        <f>$J$3+[32]FormattedData!O73*$J$4+$M$4*$J$5+[32]FormattedData!O73^2*$J$6+$M$5*$J$7</f>
        <v>27.994748989875095</v>
      </c>
      <c r="W71" s="38">
        <f>AVERAGE(K71:V71)</f>
        <v>28.394411676415029</v>
      </c>
      <c r="X71" s="37">
        <f>STDEV(K71:V71)/SQRT(COUNT(K71:V71))</f>
        <v>0.19466561637484087</v>
      </c>
      <c r="Y71" s="36">
        <f>MIN(K71:V71)</f>
        <v>27.207895980921975</v>
      </c>
      <c r="Z71" s="35">
        <f>QUARTILE(K71:V71,1)</f>
        <v>28.068373803148933</v>
      </c>
      <c r="AA71" s="36">
        <f>MEDIAN(K71:V71)</f>
        <v>28.240080497045355</v>
      </c>
      <c r="AB71" s="35">
        <f>QUARTILE(K71:V71,3)</f>
        <v>28.803258775539025</v>
      </c>
      <c r="AC71" s="35">
        <f>MAX(K71:V71)</f>
        <v>29.462807058869068</v>
      </c>
      <c r="AD71" s="35">
        <f>SKEW(K71:V71)</f>
        <v>0.18145256445153254</v>
      </c>
      <c r="AE71" s="35">
        <f>KURT(K71:V71)</f>
        <v>-0.36679598996983609</v>
      </c>
    </row>
    <row r="72" spans="2:31" x14ac:dyDescent="0.2">
      <c r="B72" s="34">
        <f>[32]FormattedData!A75</f>
        <v>307</v>
      </c>
      <c r="C72" s="34" t="str">
        <f>VLOOKUP($B72,[32]TrtCodes!$B$11:I118,2)</f>
        <v>NTH</v>
      </c>
      <c r="D72" s="34">
        <f>VLOOKUP($B72,[32]TrtCodes!$B$11:J118,3)</f>
        <v>9</v>
      </c>
      <c r="E72" s="34">
        <f>VLOOKUP($B72,[32]TrtCodes!$B$11:K118,4)</f>
        <v>2</v>
      </c>
      <c r="F72" s="34">
        <f>VLOOKUP($B72,[32]TrtCodes!$B$11:L118,5)</f>
        <v>2</v>
      </c>
      <c r="G72" s="34">
        <f>VLOOKUP($B72,[32]TrtCodes!$B$11:M118,6)</f>
        <v>2</v>
      </c>
      <c r="H72" s="34">
        <f>VLOOKUP($B72,[32]TrtCodes!$B$11:N118,7)</f>
        <v>4</v>
      </c>
      <c r="I72" s="34">
        <f>[32]FormattedData!B75</f>
        <v>2</v>
      </c>
      <c r="J72" s="37">
        <f>[32]FormattedData!C75</f>
        <v>13.526</v>
      </c>
      <c r="K72" s="39">
        <f>$J$3+[32]FormattedData!D75*$J$4+$M$4*$J$5+[32]FormattedData!D75^2*$J$6+$M$5*$J$7</f>
        <v>31.502110848122665</v>
      </c>
      <c r="L72" s="39">
        <f>$J$3+[32]FormattedData!E75*$J$4+$M$4*$J$5+[32]FormattedData!E75^2*$J$6+$M$5*$J$7</f>
        <v>29.85268300615941</v>
      </c>
      <c r="M72" s="39">
        <f>$J$3+[32]FormattedData!F75*$J$4+$M$4*$J$5+[32]FormattedData!F75^2*$J$6+$M$5*$J$7</f>
        <v>31.30869454184301</v>
      </c>
      <c r="N72" s="39">
        <f>$J$3+[32]FormattedData!G75*$J$4+$M$4*$J$5+[32]FormattedData!G75^2*$J$6+$M$5*$J$7</f>
        <v>29.462807058869068</v>
      </c>
      <c r="O72" s="39">
        <f>$J$3+[32]FormattedData!H75*$J$4+$M$4*$J$5+[32]FormattedData!H75^2*$J$6+$M$5*$J$7</f>
        <v>28.97451108265269</v>
      </c>
      <c r="P72" s="39">
        <f>$J$3+[32]FormattedData!I75*$J$4+$M$4*$J$5+[32]FormattedData!I75^2*$J$6+$M$5*$J$7</f>
        <v>29.365232400701654</v>
      </c>
      <c r="Q72" s="39">
        <f>$J$3+[32]FormattedData!J75*$J$4+$M$4*$J$5+[32]FormattedData!J75^2*$J$6+$M$5*$J$7</f>
        <v>30.047367368576996</v>
      </c>
      <c r="R72" s="39">
        <f>$J$3+[32]FormattedData!K75*$J$4+$M$4*$J$5+[32]FormattedData!K75^2*$J$6+$M$5*$J$7</f>
        <v>29.85268300615941</v>
      </c>
      <c r="S72" s="39">
        <f>$J$3+[32]FormattedData!L75*$J$4+$M$4*$J$5+[32]FormattedData!L75^2*$J$6+$M$5*$J$7</f>
        <v>29.072254814971828</v>
      </c>
      <c r="T72" s="39">
        <f>$J$3+[32]FormattedData!M75*$J$4+$M$4*$J$5+[32]FormattedData!M75^2*$J$6+$M$5*$J$7</f>
        <v>28.092915407573546</v>
      </c>
      <c r="U72" s="39">
        <f>$J$3+[32]FormattedData!N75*$J$4+$M$4*$J$5+[32]FormattedData!N75^2*$J$6+$M$5*$J$7</f>
        <v>28.681026274467687</v>
      </c>
      <c r="V72" s="39">
        <f>$J$3+[32]FormattedData!O75*$J$4+$M$4*$J$5+[32]FormattedData!O75^2*$J$6+$M$5*$J$7</f>
        <v>29.365232400701654</v>
      </c>
      <c r="W72" s="38">
        <f>AVERAGE(K72:V72)</f>
        <v>29.631459850899969</v>
      </c>
      <c r="X72" s="37">
        <f>STDEV(K72:V72)/SQRT(COUNT(K72:V72))</f>
        <v>0.28561791881503634</v>
      </c>
      <c r="Y72" s="36">
        <f>MIN(K72:V72)</f>
        <v>28.092915407573546</v>
      </c>
      <c r="Z72" s="35">
        <f>QUARTILE(K72:V72,1)</f>
        <v>29.047818881892042</v>
      </c>
      <c r="AA72" s="36">
        <f>MEDIAN(K72:V72)</f>
        <v>29.414019729785359</v>
      </c>
      <c r="AB72" s="35">
        <f>QUARTILE(K72:V72,3)</f>
        <v>29.901354096763807</v>
      </c>
      <c r="AC72" s="35">
        <f>MAX(K72:V72)</f>
        <v>31.502110848122665</v>
      </c>
      <c r="AD72" s="35">
        <f>SKEW(K72:V72)</f>
        <v>0.71594155327629072</v>
      </c>
      <c r="AE72" s="35">
        <f>KURT(K72:V72)</f>
        <v>0.39116318874635247</v>
      </c>
    </row>
    <row r="73" spans="2:31" x14ac:dyDescent="0.2">
      <c r="B73" s="34">
        <f>[32]FormattedData!A77</f>
        <v>308</v>
      </c>
      <c r="C73" s="34" t="str">
        <f>VLOOKUP($B73,[32]TrtCodes!$B$11:I120,2)</f>
        <v>FDH</v>
      </c>
      <c r="D73" s="34">
        <f>VLOOKUP($B73,[32]TrtCodes!$B$11:J120,3)</f>
        <v>5</v>
      </c>
      <c r="E73" s="34">
        <f>VLOOKUP($B73,[32]TrtCodes!$B$11:K120,4)</f>
        <v>1</v>
      </c>
      <c r="F73" s="34">
        <f>VLOOKUP($B73,[32]TrtCodes!$B$11:L120,5)</f>
        <v>3</v>
      </c>
      <c r="G73" s="34">
        <f>VLOOKUP($B73,[32]TrtCodes!$B$11:M120,6)</f>
        <v>2</v>
      </c>
      <c r="H73" s="34">
        <f>VLOOKUP($B73,[32]TrtCodes!$B$11:N120,7)</f>
        <v>4</v>
      </c>
      <c r="I73" s="34">
        <f>[32]FormattedData!B77</f>
        <v>2</v>
      </c>
      <c r="J73" s="37">
        <f>[32]FormattedData!C77</f>
        <v>13.542</v>
      </c>
      <c r="K73" s="39">
        <f>$J$3+[32]FormattedData!D77*$J$4+$M$4*$J$5+[32]FormattedData!D77^2*$J$6+$M$5*$J$7</f>
        <v>30.436228870956999</v>
      </c>
      <c r="L73" s="39">
        <f>$J$3+[32]FormattedData!E77*$J$4+$M$4*$J$5+[32]FormattedData!E77^2*$J$6+$M$5*$J$7</f>
        <v>30.339076898168891</v>
      </c>
      <c r="M73" s="39">
        <f>$J$3+[32]FormattedData!F77*$J$4+$M$4*$J$5+[32]FormattedData!F77^2*$J$6+$M$5*$J$7</f>
        <v>29.950046321637174</v>
      </c>
      <c r="N73" s="39">
        <f>$J$3+[32]FormattedData!G77*$J$4+$M$4*$J$5+[32]FormattedData!G77^2*$J$6+$M$5*$J$7</f>
        <v>30.727431178093717</v>
      </c>
      <c r="O73" s="39">
        <f>$J$3+[32]FormattedData!H77*$J$4+$M$4*$J$5+[32]FormattedData!H77^2*$J$6+$M$5*$J$7</f>
        <v>30.921354706828541</v>
      </c>
      <c r="P73" s="39">
        <f>$J$3+[32]FormattedData!I77*$J$4+$M$4*$J$5+[32]FormattedData!I77^2*$J$6+$M$5*$J$7</f>
        <v>31.598755598455597</v>
      </c>
      <c r="Q73" s="39">
        <f>$J$3+[32]FormattedData!J77*$J$4+$M$4*$J$5+[32]FormattedData!J77^2*$J$6+$M$5*$J$7</f>
        <v>32.755195656492106</v>
      </c>
      <c r="R73" s="39">
        <f>$J$3+[32]FormattedData!K77*$J$4+$M$4*$J$5+[32]FormattedData!K77^2*$J$6+$M$5*$J$7</f>
        <v>31.984911914408002</v>
      </c>
      <c r="S73" s="39">
        <f>$J$3+[32]FormattedData!L77*$J$4+$M$4*$J$5+[32]FormattedData!L77^2*$J$6+$M$5*$J$7</f>
        <v>30.630406010919405</v>
      </c>
      <c r="T73" s="39">
        <f>$J$3+[32]FormattedData!M77*$J$4+$M$4*$J$5+[32]FormattedData!M77^2*$J$6+$M$5*$J$7</f>
        <v>30.533338575207168</v>
      </c>
      <c r="U73" s="39">
        <f>$J$3+[32]FormattedData!N77*$J$4+$M$4*$J$5+[32]FormattedData!N77^2*$J$6+$M$5*$J$7</f>
        <v>31.211922985896294</v>
      </c>
      <c r="V73" s="39">
        <f>$J$3+[32]FormattedData!O77*$J$4+$M$4*$J$5+[32]FormattedData!O77^2*$J$6+$M$5*$J$7</f>
        <v>30.921354706828541</v>
      </c>
      <c r="W73" s="38">
        <f>AVERAGE(K73:V73)</f>
        <v>31.000835285324371</v>
      </c>
      <c r="X73" s="37">
        <f>STDEV(K73:V73)/SQRT(COUNT(K73:V73))</f>
        <v>0.22617154601962131</v>
      </c>
      <c r="Y73" s="36">
        <f>MIN(K73:V73)</f>
        <v>29.950046321637174</v>
      </c>
      <c r="Z73" s="35">
        <f>QUARTILE(K73:V73,1)</f>
        <v>30.509061149144625</v>
      </c>
      <c r="AA73" s="36">
        <f>MEDIAN(K73:V73)</f>
        <v>30.824392942461131</v>
      </c>
      <c r="AB73" s="35">
        <f>QUARTILE(K73:V73,3)</f>
        <v>31.30863113903612</v>
      </c>
      <c r="AC73" s="35">
        <f>MAX(K73:V73)</f>
        <v>32.755195656492106</v>
      </c>
      <c r="AD73" s="35">
        <f>SKEW(K73:V73)</f>
        <v>1.0822625353924324</v>
      </c>
      <c r="AE73" s="35">
        <f>KURT(K73:V73)</f>
        <v>1.037305799280519</v>
      </c>
    </row>
    <row r="74" spans="2:31" x14ac:dyDescent="0.2">
      <c r="B74" s="34">
        <f>[32]FormattedData!A93</f>
        <v>401</v>
      </c>
      <c r="C74" s="34" t="str">
        <f>VLOOKUP($B74,[32]TrtCodes!$B$11:I130,2)</f>
        <v>NSH</v>
      </c>
      <c r="D74" s="34">
        <f>VLOOKUP($B74,[32]TrtCodes!$B$11:J130,3)</f>
        <v>7</v>
      </c>
      <c r="E74" s="34">
        <f>VLOOKUP($B74,[32]TrtCodes!$B$11:K130,4)</f>
        <v>2</v>
      </c>
      <c r="F74" s="34">
        <f>VLOOKUP($B74,[32]TrtCodes!$B$11:L130,5)</f>
        <v>1</v>
      </c>
      <c r="G74" s="34">
        <f>VLOOKUP($B74,[32]TrtCodes!$B$11:M130,6)</f>
        <v>2</v>
      </c>
      <c r="H74" s="34">
        <f>VLOOKUP($B74,[32]TrtCodes!$B$11:N130,7)</f>
        <v>3</v>
      </c>
      <c r="I74" s="34">
        <f>[32]FormattedData!B93</f>
        <v>2</v>
      </c>
      <c r="J74" s="37">
        <f>[32]FormattedData!C93</f>
        <v>13.683999999999999</v>
      </c>
      <c r="K74" s="39">
        <f>$J$3+[32]FormattedData!D93*$J$4+$M$4*$J$5+[32]FormattedData!D93^2*$J$6+$M$5*$J$7</f>
        <v>30.533338575207168</v>
      </c>
      <c r="L74" s="39">
        <f>$J$3+[32]FormattedData!E93*$J$4+$M$4*$J$5+[32]FormattedData!E93^2*$J$6+$M$5*$J$7</f>
        <v>28.387161049441303</v>
      </c>
      <c r="M74" s="39">
        <f>$J$3+[32]FormattedData!F93*$J$4+$M$4*$J$5+[32]FormattedData!F93^2*$J$6+$M$5*$J$7</f>
        <v>29.657829569590099</v>
      </c>
      <c r="N74" s="39">
        <f>$J$3+[32]FormattedData!G93*$J$4+$M$4*$J$5+[32]FormattedData!G93^2*$J$6+$M$5*$J$7</f>
        <v>29.657829569590099</v>
      </c>
      <c r="O74" s="39">
        <f>$J$3+[32]FormattedData!H93*$J$4+$M$4*$J$5+[32]FormattedData!H93^2*$J$6+$M$5*$J$7</f>
        <v>28.778896812400617</v>
      </c>
      <c r="P74" s="39">
        <f>$J$3+[32]FormattedData!I93*$J$4+$M$4*$J$5+[32]FormattedData!I93^2*$J$6+$M$5*$J$7</f>
        <v>30.533338575207168</v>
      </c>
      <c r="Q74" s="39">
        <f>$J$3+[32]FormattedData!J93*$J$4+$M$4*$J$5+[32]FormattedData!J93^2*$J$6+$M$5*$J$7</f>
        <v>30.047367368576996</v>
      </c>
      <c r="R74" s="39">
        <f>$J$3+[32]FormattedData!K93*$J$4+$M$4*$J$5+[32]FormattedData!K93^2*$J$6+$M$5*$J$7</f>
        <v>30.533338575207168</v>
      </c>
      <c r="S74" s="39">
        <f>$J$3+[32]FormattedData!L93*$J$4+$M$4*$J$5+[32]FormattedData!L93^2*$J$6+$M$5*$J$7</f>
        <v>30.630406010919405</v>
      </c>
      <c r="T74" s="39">
        <f>$J$3+[32]FormattedData!M93*$J$4+$M$4*$J$5+[32]FormattedData!M93^2*$J$6+$M$5*$J$7</f>
        <v>30.144646146978893</v>
      </c>
      <c r="U74" s="39">
        <f>$J$3+[32]FormattedData!N93*$J$4+$M$4*$J$5+[32]FormattedData!N93^2*$J$6+$M$5*$J$7</f>
        <v>31.888436238226795</v>
      </c>
      <c r="V74" s="39">
        <f>$J$3+[32]FormattedData!O93*$J$4+$M$4*$J$5+[32]FormattedData!O93^2*$J$6+$M$5*$J$7</f>
        <v>30.533338575207168</v>
      </c>
      <c r="W74" s="38">
        <f>AVERAGE(K74:V74)</f>
        <v>30.110493922212736</v>
      </c>
      <c r="X74" s="37">
        <f>STDEV(K74:V74)/SQRT(COUNT(K74:V74))</f>
        <v>0.26549790678647928</v>
      </c>
      <c r="Y74" s="36">
        <f>MIN(K74:V74)</f>
        <v>28.387161049441303</v>
      </c>
      <c r="Z74" s="35">
        <f>QUARTILE(K74:V74,1)</f>
        <v>29.657829569590099</v>
      </c>
      <c r="AA74" s="36">
        <f>MEDIAN(K74:V74)</f>
        <v>30.33899236109303</v>
      </c>
      <c r="AB74" s="35">
        <f>QUARTILE(K74:V74,3)</f>
        <v>30.533338575207168</v>
      </c>
      <c r="AC74" s="35">
        <f>MAX(K74:V74)</f>
        <v>31.888436238226795</v>
      </c>
      <c r="AD74" s="35">
        <f>SKEW(K74:V74)</f>
        <v>-0.22461074865791217</v>
      </c>
      <c r="AE74" s="35">
        <f>KURT(K74:V74)</f>
        <v>0.86499751825050186</v>
      </c>
    </row>
    <row r="75" spans="2:31" x14ac:dyDescent="0.2">
      <c r="B75" s="34">
        <f>[32]FormattedData!A91</f>
        <v>402</v>
      </c>
      <c r="C75" s="34" t="str">
        <f>VLOOKUP($B75,[32]TrtCodes!$B$11:I131,2)</f>
        <v>NTH</v>
      </c>
      <c r="D75" s="34">
        <f>VLOOKUP($B75,[32]TrtCodes!$B$11:J131,3)</f>
        <v>9</v>
      </c>
      <c r="E75" s="34">
        <f>VLOOKUP($B75,[32]TrtCodes!$B$11:K131,4)</f>
        <v>2</v>
      </c>
      <c r="F75" s="34">
        <f>VLOOKUP($B75,[32]TrtCodes!$B$11:L131,5)</f>
        <v>2</v>
      </c>
      <c r="G75" s="34">
        <f>VLOOKUP($B75,[32]TrtCodes!$B$11:M131,6)</f>
        <v>2</v>
      </c>
      <c r="H75" s="34">
        <f>VLOOKUP($B75,[32]TrtCodes!$B$11:N131,7)</f>
        <v>3</v>
      </c>
      <c r="I75" s="34">
        <f>[32]FormattedData!B91</f>
        <v>2</v>
      </c>
      <c r="J75" s="37">
        <f>[32]FormattedData!C91</f>
        <v>13.666</v>
      </c>
      <c r="K75" s="39">
        <f>$J$3+[32]FormattedData!D91*$J$4+$M$4*$J$5+[32]FormattedData!D91^2*$J$6+$M$5*$J$7</f>
        <v>30.824414076730093</v>
      </c>
      <c r="L75" s="39">
        <f>$J$3+[32]FormattedData!E91*$J$4+$M$4*$J$5+[32]FormattedData!E91^2*$J$6+$M$5*$J$7</f>
        <v>30.047367368576996</v>
      </c>
      <c r="M75" s="39">
        <f>$J$3+[32]FormattedData!F91*$J$4+$M$4*$J$5+[32]FormattedData!F91^2*$J$6+$M$5*$J$7</f>
        <v>32.370391933753503</v>
      </c>
      <c r="N75" s="39">
        <f>$J$3+[32]FormattedData!G91*$J$4+$M$4*$J$5+[32]FormattedData!G91^2*$J$6+$M$5*$J$7</f>
        <v>31.018253068389054</v>
      </c>
      <c r="O75" s="39">
        <f>$J$3+[32]FormattedData!H91*$J$4+$M$4*$J$5+[32]FormattedData!H91^2*$J$6+$M$5*$J$7</f>
        <v>30.533338575207168</v>
      </c>
      <c r="P75" s="39">
        <f>$J$3+[32]FormattedData!I91*$J$4+$M$4*$J$5+[32]FormattedData!I91^2*$J$6+$M$5*$J$7</f>
        <v>30.436228870956999</v>
      </c>
      <c r="Q75" s="39">
        <f>$J$3+[32]FormattedData!J91*$J$4+$M$4*$J$5+[32]FormattedData!J91^2*$J$6+$M$5*$J$7</f>
        <v>31.211922985896294</v>
      </c>
      <c r="R75" s="39">
        <f>$J$3+[32]FormattedData!K91*$J$4+$M$4*$J$5+[32]FormattedData!K91^2*$J$6+$M$5*$J$7</f>
        <v>29.560339448498553</v>
      </c>
      <c r="S75" s="39">
        <f>$J$3+[32]FormattedData!L91*$J$4+$M$4*$J$5+[32]FormattedData!L91^2*$J$6+$M$5*$J$7</f>
        <v>30.241882656842861</v>
      </c>
      <c r="T75" s="39">
        <f>$J$3+[32]FormattedData!M91*$J$4+$M$4*$J$5+[32]FormattedData!M91^2*$J$6+$M$5*$J$7</f>
        <v>30.047367368576996</v>
      </c>
      <c r="U75" s="39">
        <f>$J$3+[32]FormattedData!N91*$J$4+$M$4*$J$5+[32]FormattedData!N91^2*$J$6+$M$5*$J$7</f>
        <v>29.462807058869068</v>
      </c>
      <c r="V75" s="39">
        <f>$J$3+[32]FormattedData!O91*$J$4+$M$4*$J$5+[32]FormattedData!O91^2*$J$6+$M$5*$J$7</f>
        <v>28.778896812400617</v>
      </c>
      <c r="W75" s="38">
        <f>AVERAGE(K75:V75)</f>
        <v>30.377767518724852</v>
      </c>
      <c r="X75" s="37">
        <f>STDEV(K75:V75)/SQRT(COUNT(K75:V75))</f>
        <v>0.2697111869451817</v>
      </c>
      <c r="Y75" s="36">
        <f>MIN(K75:V75)</f>
        <v>28.778896812400617</v>
      </c>
      <c r="Z75" s="35">
        <f>QUARTILE(K75:V75,1)</f>
        <v>29.925610388557384</v>
      </c>
      <c r="AA75" s="36">
        <f>MEDIAN(K75:V75)</f>
        <v>30.339055763899928</v>
      </c>
      <c r="AB75" s="35">
        <f>QUARTILE(K75:V75,3)</f>
        <v>30.872873824644834</v>
      </c>
      <c r="AC75" s="35">
        <f>MAX(K75:V75)</f>
        <v>32.370391933753503</v>
      </c>
      <c r="AD75" s="35">
        <f>SKEW(K75:V75)</f>
        <v>0.45128755947214666</v>
      </c>
      <c r="AE75" s="35">
        <f>KURT(K75:V75)</f>
        <v>0.96370513804883462</v>
      </c>
    </row>
    <row r="76" spans="2:31" x14ac:dyDescent="0.2">
      <c r="B76" s="34">
        <f>[32]FormattedData!A89</f>
        <v>403</v>
      </c>
      <c r="C76" s="34" t="str">
        <f>VLOOKUP($B76,[32]TrtCodes!$B$11:I132,2)</f>
        <v>FDL</v>
      </c>
      <c r="D76" s="34">
        <f>VLOOKUP($B76,[32]TrtCodes!$B$11:J132,3)</f>
        <v>6</v>
      </c>
      <c r="E76" s="34">
        <f>VLOOKUP($B76,[32]TrtCodes!$B$11:K132,4)</f>
        <v>1</v>
      </c>
      <c r="F76" s="34">
        <f>VLOOKUP($B76,[32]TrtCodes!$B$11:L132,5)</f>
        <v>3</v>
      </c>
      <c r="G76" s="34">
        <f>VLOOKUP($B76,[32]TrtCodes!$B$11:M132,6)</f>
        <v>1</v>
      </c>
      <c r="H76" s="34">
        <f>VLOOKUP($B76,[32]TrtCodes!$B$11:N132,7)</f>
        <v>3</v>
      </c>
      <c r="I76" s="34">
        <f>[32]FormattedData!B89</f>
        <v>2</v>
      </c>
      <c r="J76" s="37">
        <f>[32]FormattedData!C89</f>
        <v>13.648999999999999</v>
      </c>
      <c r="K76" s="39">
        <f>$J$3+[32]FormattedData!D89*$J$4+$M$4*$J$5+[32]FormattedData!D89^2*$J$6+$M$5*$J$7</f>
        <v>29.169956278753034</v>
      </c>
      <c r="L76" s="39">
        <f>$J$3+[32]FormattedData!E89*$J$4+$M$4*$J$5+[32]FormattedData!E89^2*$J$6+$M$5*$J$7</f>
        <v>30.241882656842861</v>
      </c>
      <c r="M76" s="39">
        <f>$J$3+[32]FormattedData!F89*$J$4+$M$4*$J$5+[32]FormattedData!F89^2*$J$6+$M$5*$J$7</f>
        <v>31.115109161411635</v>
      </c>
      <c r="N76" s="39">
        <f>$J$3+[32]FormattedData!G89*$J$4+$M$4*$J$5+[32]FormattedData!G89^2*$J$6+$M$5*$J$7</f>
        <v>29.755277422143724</v>
      </c>
      <c r="O76" s="39">
        <f>$J$3+[32]FormattedData!H89*$J$4+$M$4*$J$5+[32]FormattedData!H89^2*$J$6+$M$5*$J$7</f>
        <v>31.115109161411635</v>
      </c>
      <c r="P76" s="39">
        <f>$J$3+[32]FormattedData!I89*$J$4+$M$4*$J$5+[32]FormattedData!I89^2*$J$6+$M$5*$J$7</f>
        <v>28.97451108265269</v>
      </c>
      <c r="Q76" s="39">
        <f>$J$3+[32]FormattedData!J89*$J$4+$M$4*$J$5+[32]FormattedData!J89^2*$J$6+$M$5*$J$7</f>
        <v>30.921354706828541</v>
      </c>
      <c r="R76" s="39">
        <f>$J$3+[32]FormattedData!K89*$J$4+$M$4*$J$5+[32]FormattedData!K89^2*$J$6+$M$5*$J$7</f>
        <v>29.072254814971828</v>
      </c>
      <c r="S76" s="39">
        <f>$J$3+[32]FormattedData!L89*$J$4+$M$4*$J$5+[32]FormattedData!L89^2*$J$6+$M$5*$J$7</f>
        <v>28.778896812400617</v>
      </c>
      <c r="T76" s="39">
        <f>$J$3+[32]FormattedData!M89*$J$4+$M$4*$J$5+[32]FormattedData!M89^2*$J$6+$M$5*$J$7</f>
        <v>30.339076898168891</v>
      </c>
      <c r="U76" s="39">
        <f>$J$3+[32]FormattedData!N89*$J$4+$M$4*$J$5+[32]FormattedData!N89^2*$J$6+$M$5*$J$7</f>
        <v>29.072254814971828</v>
      </c>
      <c r="V76" s="39">
        <f>$J$3+[32]FormattedData!O89*$J$4+$M$4*$J$5+[32]FormattedData!O89^2*$J$6+$M$5*$J$7</f>
        <v>30.339076898168891</v>
      </c>
      <c r="W76" s="38">
        <f>AVERAGE(K76:V76)</f>
        <v>29.907896725727184</v>
      </c>
      <c r="X76" s="37">
        <f>STDEV(K76:V76)/SQRT(COUNT(K76:V76))</f>
        <v>0.25428886606953499</v>
      </c>
      <c r="Y76" s="36">
        <f>MIN(K76:V76)</f>
        <v>28.778896812400617</v>
      </c>
      <c r="Z76" s="35">
        <f>QUARTILE(K76:V76,1)</f>
        <v>29.072254814971828</v>
      </c>
      <c r="AA76" s="36">
        <f>MEDIAN(K76:V76)</f>
        <v>29.998580039493291</v>
      </c>
      <c r="AB76" s="35">
        <f>QUARTILE(K76:V76,3)</f>
        <v>30.484646350333804</v>
      </c>
      <c r="AC76" s="35">
        <f>MAX(K76:V76)</f>
        <v>31.115109161411635</v>
      </c>
      <c r="AD76" s="35">
        <f>SKEW(K76:V76)</f>
        <v>0.14882620206717159</v>
      </c>
      <c r="AE76" s="35">
        <f>KURT(K76:V76)</f>
        <v>-1.6673999961880055</v>
      </c>
    </row>
    <row r="77" spans="2:31" x14ac:dyDescent="0.2">
      <c r="B77" s="34">
        <f>[32]FormattedData!A87</f>
        <v>404</v>
      </c>
      <c r="C77" s="34" t="str">
        <f>VLOOKUP($B77,[32]TrtCodes!$B$11:I130,2)</f>
        <v>FTH</v>
      </c>
      <c r="D77" s="34">
        <f>VLOOKUP($B77,[32]TrtCodes!$B$11:J130,3)</f>
        <v>3</v>
      </c>
      <c r="E77" s="34">
        <f>VLOOKUP($B77,[32]TrtCodes!$B$11:K130,4)</f>
        <v>1</v>
      </c>
      <c r="F77" s="34">
        <f>VLOOKUP($B77,[32]TrtCodes!$B$11:L130,5)</f>
        <v>2</v>
      </c>
      <c r="G77" s="34">
        <f>VLOOKUP($B77,[32]TrtCodes!$B$11:M130,6)</f>
        <v>2</v>
      </c>
      <c r="H77" s="34">
        <f>VLOOKUP($B77,[32]TrtCodes!$B$11:N130,7)</f>
        <v>3</v>
      </c>
      <c r="I77" s="34">
        <f>[32]FormattedData!B87</f>
        <v>2</v>
      </c>
      <c r="J77" s="37">
        <f>[32]FormattedData!C87</f>
        <v>13.632999999999999</v>
      </c>
      <c r="K77" s="39">
        <f>$J$3+[32]FormattedData!D87*$J$4+$M$4*$J$5+[32]FormattedData!D87^2*$J$6+$M$5*$J$7</f>
        <v>29.657829569590099</v>
      </c>
      <c r="L77" s="39">
        <f>$J$3+[32]FormattedData!E87*$J$4+$M$4*$J$5+[32]FormattedData!E87^2*$J$6+$M$5*$J$7</f>
        <v>31.405423829251809</v>
      </c>
      <c r="M77" s="39">
        <f>$J$3+[32]FormattedData!F87*$J$4+$M$4*$J$5+[32]FormattedData!F87^2*$J$6+$M$5*$J$7</f>
        <v>29.755277422143724</v>
      </c>
      <c r="N77" s="39">
        <f>$J$3+[32]FormattedData!G87*$J$4+$M$4*$J$5+[32]FormattedData!G87^2*$J$6+$M$5*$J$7</f>
        <v>29.755277422143724</v>
      </c>
      <c r="O77" s="39">
        <f>$J$3+[32]FormattedData!H87*$J$4+$M$4*$J$5+[32]FormattedData!H87^2*$J$6+$M$5*$J$7</f>
        <v>31.598755598455597</v>
      </c>
      <c r="P77" s="39">
        <f>$J$3+[32]FormattedData!I87*$J$4+$M$4*$J$5+[32]FormattedData!I87^2*$J$6+$M$5*$J$7</f>
        <v>29.267615473996312</v>
      </c>
      <c r="Q77" s="39">
        <f>$J$3+[32]FormattedData!J87*$J$4+$M$4*$J$5+[32]FormattedData!J87^2*$J$6+$M$5*$J$7</f>
        <v>30.824414076730093</v>
      </c>
      <c r="R77" s="39">
        <f>$J$3+[32]FormattedData!K87*$J$4+$M$4*$J$5+[32]FormattedData!K87^2*$J$6+$M$5*$J$7</f>
        <v>29.072254814971828</v>
      </c>
      <c r="S77" s="39">
        <f>$J$3+[32]FormattedData!L87*$J$4+$M$4*$J$5+[32]FormattedData!L87^2*$J$6+$M$5*$J$7</f>
        <v>29.462807058869068</v>
      </c>
      <c r="T77" s="39">
        <f>$J$3+[32]FormattedData!M87*$J$4+$M$4*$J$5+[32]FormattedData!M87^2*$J$6+$M$5*$J$7</f>
        <v>29.267615473996312</v>
      </c>
      <c r="U77" s="39">
        <f>$J$3+[32]FormattedData!N87*$J$4+$M$4*$J$5+[32]FormattedData!N87^2*$J$6+$M$5*$J$7</f>
        <v>32.274085331724017</v>
      </c>
      <c r="V77" s="39">
        <f>$J$3+[32]FormattedData!O87*$J$4+$M$4*$J$5+[32]FormattedData!O87^2*$J$6+$M$5*$J$7</f>
        <v>28.485158392988033</v>
      </c>
      <c r="W77" s="38">
        <f>AVERAGE(K77:V77)</f>
        <v>30.068876205405047</v>
      </c>
      <c r="X77" s="37">
        <f>STDEV(K77:V77)/SQRT(COUNT(K77:V77))</f>
        <v>0.33798754503963002</v>
      </c>
      <c r="Y77" s="36">
        <f>MIN(K77:V77)</f>
        <v>28.485158392988033</v>
      </c>
      <c r="Z77" s="35">
        <f>QUARTILE(K77:V77,1)</f>
        <v>29.267615473996312</v>
      </c>
      <c r="AA77" s="36">
        <f>MEDIAN(K77:V77)</f>
        <v>29.706553495866913</v>
      </c>
      <c r="AB77" s="35">
        <f>QUARTILE(K77:V77,3)</f>
        <v>30.969666514860521</v>
      </c>
      <c r="AC77" s="35">
        <f>MAX(K77:V77)</f>
        <v>32.274085331724017</v>
      </c>
      <c r="AD77" s="35">
        <f>SKEW(K77:V77)</f>
        <v>0.73262162625792493</v>
      </c>
      <c r="AE77" s="35">
        <f>KURT(K77:V77)</f>
        <v>-0.60136260658844698</v>
      </c>
    </row>
    <row r="78" spans="2:31" x14ac:dyDescent="0.2">
      <c r="B78" s="34">
        <f>[32]FormattedData!A85</f>
        <v>405</v>
      </c>
      <c r="C78" s="34" t="str">
        <f>VLOOKUP($B78,[32]TrtCodes!$B$11:I128,2)</f>
        <v>FDL</v>
      </c>
      <c r="D78" s="34">
        <f>VLOOKUP($B78,[32]TrtCodes!$B$11:J128,3)</f>
        <v>6</v>
      </c>
      <c r="E78" s="34">
        <f>VLOOKUP($B78,[32]TrtCodes!$B$11:K128,4)</f>
        <v>1</v>
      </c>
      <c r="F78" s="34">
        <f>VLOOKUP($B78,[32]TrtCodes!$B$11:L128,5)</f>
        <v>3</v>
      </c>
      <c r="G78" s="34">
        <f>VLOOKUP($B78,[32]TrtCodes!$B$11:M128,6)</f>
        <v>1</v>
      </c>
      <c r="H78" s="34">
        <f>VLOOKUP($B78,[32]TrtCodes!$B$11:N128,7)</f>
        <v>4</v>
      </c>
      <c r="I78" s="34">
        <f>[32]FormattedData!B85</f>
        <v>2</v>
      </c>
      <c r="J78" s="37">
        <f>[32]FormattedData!C85</f>
        <v>13.617000000000001</v>
      </c>
      <c r="K78" s="39">
        <f>$J$3+[32]FormattedData!D85*$J$4+$M$4*$J$5+[32]FormattedData!D85^2*$J$6+$M$5*$J$7</f>
        <v>29.950046321637174</v>
      </c>
      <c r="L78" s="39">
        <f>$J$3+[32]FormattedData!E85*$J$4+$M$4*$J$5+[32]FormattedData!E85^2*$J$6+$M$5*$J$7</f>
        <v>29.072254814971828</v>
      </c>
      <c r="M78" s="39">
        <f>$J$3+[32]FormattedData!F85*$J$4+$M$4*$J$5+[32]FormattedData!F85^2*$J$6+$M$5*$J$7</f>
        <v>31.888436238226795</v>
      </c>
      <c r="N78" s="39">
        <f>$J$3+[32]FormattedData!G85*$J$4+$M$4*$J$5+[32]FormattedData!G85^2*$J$6+$M$5*$J$7</f>
        <v>29.755277422143724</v>
      </c>
      <c r="O78" s="39">
        <f>$J$3+[32]FormattedData!H85*$J$4+$M$4*$J$5+[32]FormattedData!H85^2*$J$6+$M$5*$J$7</f>
        <v>30.436228870956999</v>
      </c>
      <c r="P78" s="39">
        <f>$J$3+[32]FormattedData!I85*$J$4+$M$4*$J$5+[32]FormattedData!I85^2*$J$6+$M$5*$J$7</f>
        <v>28.583113467996824</v>
      </c>
      <c r="Q78" s="39">
        <f>$J$3+[32]FormattedData!J85*$J$4+$M$4*$J$5+[32]FormattedData!J85^2*$J$6+$M$5*$J$7</f>
        <v>28.191039556734061</v>
      </c>
      <c r="R78" s="39">
        <f>$J$3+[32]FormattedData!K85*$J$4+$M$4*$J$5+[32]FormattedData!K85^2*$J$6+$M$5*$J$7</f>
        <v>28.092915407573546</v>
      </c>
      <c r="S78" s="39">
        <f>$J$3+[32]FormattedData!L85*$J$4+$M$4*$J$5+[32]FormattedData!L85^2*$J$6+$M$5*$J$7</f>
        <v>28.97451108265269</v>
      </c>
      <c r="T78" s="39">
        <f>$J$3+[32]FormattedData!M85*$J$4+$M$4*$J$5+[32]FormattedData!M85^2*$J$6+$M$5*$J$7</f>
        <v>28.87672508179562</v>
      </c>
      <c r="U78" s="39">
        <f>$J$3+[32]FormattedData!N85*$J$4+$M$4*$J$5+[32]FormattedData!N85^2*$J$6+$M$5*$J$7</f>
        <v>29.950046321637174</v>
      </c>
      <c r="V78" s="39">
        <f>$J$3+[32]FormattedData!O85*$J$4+$M$4*$J$5+[32]FormattedData!O85^2*$J$6+$M$5*$J$7</f>
        <v>28.289121437356648</v>
      </c>
      <c r="W78" s="38">
        <f>AVERAGE(K78:V78)</f>
        <v>29.338309668640253</v>
      </c>
      <c r="X78" s="37">
        <f>STDEV(K78:V78)/SQRT(COUNT(K78:V78))</f>
        <v>0.32081129893091243</v>
      </c>
      <c r="Y78" s="36">
        <f>MIN(K78:V78)</f>
        <v>28.092915407573546</v>
      </c>
      <c r="Z78" s="35">
        <f>QUARTILE(K78:V78,1)</f>
        <v>28.509615460336782</v>
      </c>
      <c r="AA78" s="36">
        <f>MEDIAN(K78:V78)</f>
        <v>29.023382948812259</v>
      </c>
      <c r="AB78" s="35">
        <f>QUARTILE(K78:V78,3)</f>
        <v>29.950046321637174</v>
      </c>
      <c r="AC78" s="35">
        <f>MAX(K78:V78)</f>
        <v>31.888436238226795</v>
      </c>
      <c r="AD78" s="35">
        <f>SKEW(K78:V78)</f>
        <v>1.0527358944651997</v>
      </c>
      <c r="AE78" s="35">
        <f>KURT(K78:V78)</f>
        <v>1.1110576639496204</v>
      </c>
    </row>
    <row r="79" spans="2:31" x14ac:dyDescent="0.2">
      <c r="B79" s="34">
        <f>[32]FormattedData!A83</f>
        <v>406</v>
      </c>
      <c r="C79" s="34" t="str">
        <f>VLOOKUP($B79,[32]TrtCodes!$B$11:I126,2)</f>
        <v>FTH</v>
      </c>
      <c r="D79" s="34">
        <f>VLOOKUP($B79,[32]TrtCodes!$B$11:J126,3)</f>
        <v>3</v>
      </c>
      <c r="E79" s="34">
        <f>VLOOKUP($B79,[32]TrtCodes!$B$11:K126,4)</f>
        <v>1</v>
      </c>
      <c r="F79" s="34">
        <f>VLOOKUP($B79,[32]TrtCodes!$B$11:L126,5)</f>
        <v>2</v>
      </c>
      <c r="G79" s="34">
        <f>VLOOKUP($B79,[32]TrtCodes!$B$11:M126,6)</f>
        <v>2</v>
      </c>
      <c r="H79" s="34">
        <f>VLOOKUP($B79,[32]TrtCodes!$B$11:N126,7)</f>
        <v>4</v>
      </c>
      <c r="I79" s="34">
        <f>[32]FormattedData!B83</f>
        <v>2</v>
      </c>
      <c r="J79" s="37">
        <f>[32]FormattedData!C83</f>
        <v>13.6</v>
      </c>
      <c r="K79" s="39">
        <f>$J$3+[32]FormattedData!D83*$J$4+$M$4*$J$5+[32]FormattedData!D83^2*$J$6+$M$5*$J$7</f>
        <v>30.824414076730093</v>
      </c>
      <c r="L79" s="39">
        <f>$J$3+[32]FormattedData!E83*$J$4+$M$4*$J$5+[32]FormattedData!E83^2*$J$6+$M$5*$J$7</f>
        <v>29.950046321637174</v>
      </c>
      <c r="M79" s="39">
        <f>$J$3+[32]FormattedData!F83*$J$4+$M$4*$J$5+[32]FormattedData!F83^2*$J$6+$M$5*$J$7</f>
        <v>29.072254814971828</v>
      </c>
      <c r="N79" s="39">
        <f>$J$3+[32]FormattedData!G83*$J$4+$M$4*$J$5+[32]FormattedData!G83^2*$J$6+$M$5*$J$7</f>
        <v>30.144646146978893</v>
      </c>
      <c r="O79" s="39">
        <f>$J$3+[32]FormattedData!H83*$J$4+$M$4*$J$5+[32]FormattedData!H83^2*$J$6+$M$5*$J$7</f>
        <v>29.560339448498553</v>
      </c>
      <c r="P79" s="39">
        <f>$J$3+[32]FormattedData!I83*$J$4+$M$4*$J$5+[32]FormattedData!I83^2*$J$6+$M$5*$J$7</f>
        <v>29.462807058869068</v>
      </c>
      <c r="Q79" s="39">
        <f>$J$3+[32]FormattedData!J83*$J$4+$M$4*$J$5+[32]FormattedData!J83^2*$J$6+$M$5*$J$7</f>
        <v>29.072254814971828</v>
      </c>
      <c r="R79" s="39">
        <f>$J$3+[32]FormattedData!K83*$J$4+$M$4*$J$5+[32]FormattedData!K83^2*$J$6+$M$5*$J$7</f>
        <v>29.560339448498553</v>
      </c>
      <c r="S79" s="39">
        <f>$J$3+[32]FormattedData!L83*$J$4+$M$4*$J$5+[32]FormattedData!L83^2*$J$6+$M$5*$J$7</f>
        <v>30.144646146978893</v>
      </c>
      <c r="T79" s="39">
        <f>$J$3+[32]FormattedData!M83*$J$4+$M$4*$J$5+[32]FormattedData!M83^2*$J$6+$M$5*$J$7</f>
        <v>30.144646146978893</v>
      </c>
      <c r="U79" s="39">
        <f>$J$3+[32]FormattedData!N83*$J$4+$M$4*$J$5+[32]FormattedData!N83^2*$J$6+$M$5*$J$7</f>
        <v>28.778896812400617</v>
      </c>
      <c r="V79" s="39">
        <f>$J$3+[32]FormattedData!O83*$J$4+$M$4*$J$5+[32]FormattedData!O83^2*$J$6+$M$5*$J$7</f>
        <v>29.657829569590099</v>
      </c>
      <c r="W79" s="38">
        <f>AVERAGE(K79:V79)</f>
        <v>29.697760067258709</v>
      </c>
      <c r="X79" s="37">
        <f>STDEV(K79:V79)/SQRT(COUNT(K79:V79))</f>
        <v>0.16636735211279266</v>
      </c>
      <c r="Y79" s="36">
        <f>MIN(K79:V79)</f>
        <v>28.778896812400617</v>
      </c>
      <c r="Z79" s="35">
        <f>QUARTILE(K79:V79,1)</f>
        <v>29.365168997894756</v>
      </c>
      <c r="AA79" s="36">
        <f>MEDIAN(K79:V79)</f>
        <v>29.609084509044326</v>
      </c>
      <c r="AB79" s="35">
        <f>QUARTILE(K79:V79,3)</f>
        <v>30.144646146978893</v>
      </c>
      <c r="AC79" s="35">
        <f>MAX(K79:V79)</f>
        <v>30.824414076730093</v>
      </c>
      <c r="AD79" s="35">
        <f>SKEW(K79:V79)</f>
        <v>0.24530330098287936</v>
      </c>
      <c r="AE79" s="35">
        <f>KURT(K79:V79)</f>
        <v>-9.4144900736491177E-2</v>
      </c>
    </row>
    <row r="80" spans="2:31" x14ac:dyDescent="0.2">
      <c r="B80" s="34">
        <f>[32]FormattedData!A81</f>
        <v>407</v>
      </c>
      <c r="C80" s="34" t="str">
        <f>VLOOKUP($B80,[32]TrtCodes!$B$11:I124,2)</f>
        <v>NSH</v>
      </c>
      <c r="D80" s="34">
        <f>VLOOKUP($B80,[32]TrtCodes!$B$11:J124,3)</f>
        <v>7</v>
      </c>
      <c r="E80" s="34">
        <f>VLOOKUP($B80,[32]TrtCodes!$B$11:K124,4)</f>
        <v>2</v>
      </c>
      <c r="F80" s="34">
        <f>VLOOKUP($B80,[32]TrtCodes!$B$11:L124,5)</f>
        <v>1</v>
      </c>
      <c r="G80" s="34">
        <f>VLOOKUP($B80,[32]TrtCodes!$B$11:M124,6)</f>
        <v>2</v>
      </c>
      <c r="H80" s="34">
        <f>VLOOKUP($B80,[32]TrtCodes!$B$11:N124,7)</f>
        <v>4</v>
      </c>
      <c r="I80" s="34">
        <f>[32]FormattedData!B81</f>
        <v>2</v>
      </c>
      <c r="J80" s="37">
        <f>[32]FormattedData!C81</f>
        <v>13.58</v>
      </c>
      <c r="K80" s="39">
        <f>$J$3+[32]FormattedData!D81*$J$4+$M$4*$J$5+[32]FormattedData!D81^2*$J$6+$M$5*$J$7</f>
        <v>29.462807058869068</v>
      </c>
      <c r="L80" s="39">
        <f>$J$3+[32]FormattedData!E81*$J$4+$M$4*$J$5+[32]FormattedData!E81^2*$J$6+$M$5*$J$7</f>
        <v>28.092915407573546</v>
      </c>
      <c r="M80" s="39">
        <f>$J$3+[32]FormattedData!F81*$J$4+$M$4*$J$5+[32]FormattedData!F81^2*$J$6+$M$5*$J$7</f>
        <v>29.267615473996312</v>
      </c>
      <c r="N80" s="39">
        <f>$J$3+[32]FormattedData!G81*$J$4+$M$4*$J$5+[32]FormattedData!G81^2*$J$6+$M$5*$J$7</f>
        <v>29.169956278753034</v>
      </c>
      <c r="O80" s="39">
        <f>$J$3+[32]FormattedData!H81*$J$4+$M$4*$J$5+[32]FormattedData!H81^2*$J$6+$M$5*$J$7</f>
        <v>28.289121437356648</v>
      </c>
      <c r="P80" s="39">
        <f>$J$3+[32]FormattedData!I81*$J$4+$M$4*$J$5+[32]FormattedData!I81^2*$J$6+$M$5*$J$7</f>
        <v>29.365232400701654</v>
      </c>
      <c r="Q80" s="39">
        <f>$J$3+[32]FormattedData!J81*$J$4+$M$4*$J$5+[32]FormattedData!J81^2*$J$6+$M$5*$J$7</f>
        <v>30.144646146978893</v>
      </c>
      <c r="R80" s="39">
        <f>$J$3+[32]FormattedData!K81*$J$4+$M$4*$J$5+[32]FormattedData!K81^2*$J$6+$M$5*$J$7</f>
        <v>29.072254814971828</v>
      </c>
      <c r="S80" s="39">
        <f>$J$3+[32]FormattedData!L81*$J$4+$M$4*$J$5+[32]FormattedData!L81^2*$J$6+$M$5*$J$7</f>
        <v>27.994748989875095</v>
      </c>
      <c r="T80" s="39">
        <f>$J$3+[32]FormattedData!M81*$J$4+$M$4*$J$5+[32]FormattedData!M81^2*$J$6+$M$5*$J$7</f>
        <v>29.365232400701654</v>
      </c>
      <c r="U80" s="39">
        <f>$J$3+[32]FormattedData!N81*$J$4+$M$4*$J$5+[32]FormattedData!N81^2*$J$6+$M$5*$J$7</f>
        <v>29.657829569590099</v>
      </c>
      <c r="V80" s="39">
        <f>$J$3+[32]FormattedData!O81*$J$4+$M$4*$J$5+[32]FormattedData!O81^2*$J$6+$M$5*$J$7</f>
        <v>28.97451108265269</v>
      </c>
      <c r="W80" s="38">
        <f>AVERAGE(K80:V80)</f>
        <v>29.071405921835041</v>
      </c>
      <c r="X80" s="37">
        <f>STDEV(K80:V80)/SQRT(COUNT(K80:V80))</f>
        <v>0.18683574594172853</v>
      </c>
      <c r="Y80" s="36">
        <f>MIN(K80:V80)</f>
        <v>27.994748989875095</v>
      </c>
      <c r="Z80" s="35">
        <f>QUARTILE(K80:V80,1)</f>
        <v>28.803163671328679</v>
      </c>
      <c r="AA80" s="36">
        <f>MEDIAN(K80:V80)</f>
        <v>29.218785876374675</v>
      </c>
      <c r="AB80" s="35">
        <f>QUARTILE(K80:V80,3)</f>
        <v>29.389626065243508</v>
      </c>
      <c r="AC80" s="35">
        <f>MAX(K80:V80)</f>
        <v>30.144646146978893</v>
      </c>
      <c r="AD80" s="35">
        <f>SKEW(K80:V80)</f>
        <v>-0.44562200352657755</v>
      </c>
      <c r="AE80" s="35">
        <f>KURT(K80:V80)</f>
        <v>-0.33350488173169435</v>
      </c>
    </row>
    <row r="81" spans="2:31" x14ac:dyDescent="0.2">
      <c r="B81" s="34">
        <f>[32]FormattedData!A79</f>
        <v>408</v>
      </c>
      <c r="C81" s="34" t="str">
        <f>VLOOKUP($B81,[32]TrtCodes!$B$11:I122,2)</f>
        <v>NTL</v>
      </c>
      <c r="D81" s="34">
        <f>VLOOKUP($B81,[32]TrtCodes!$B$11:J122,3)</f>
        <v>10</v>
      </c>
      <c r="E81" s="34">
        <f>VLOOKUP($B81,[32]TrtCodes!$B$11:K122,4)</f>
        <v>2</v>
      </c>
      <c r="F81" s="34">
        <f>VLOOKUP($B81,[32]TrtCodes!$B$11:L122,5)</f>
        <v>2</v>
      </c>
      <c r="G81" s="34">
        <f>VLOOKUP($B81,[32]TrtCodes!$B$11:M122,6)</f>
        <v>1</v>
      </c>
      <c r="H81" s="34">
        <f>VLOOKUP($B81,[32]TrtCodes!$B$11:N122,7)</f>
        <v>4</v>
      </c>
      <c r="I81" s="34">
        <f>[32]FormattedData!B79</f>
        <v>2</v>
      </c>
      <c r="J81" s="37">
        <f>[32]FormattedData!C79</f>
        <v>13.564</v>
      </c>
      <c r="K81" s="39">
        <f>$J$3+[32]FormattedData!D79*$J$4+$M$4*$J$5+[32]FormattedData!D79^2*$J$6+$M$5*$J$7</f>
        <v>27.601660633701986</v>
      </c>
      <c r="L81" s="39">
        <f>$J$3+[32]FormattedData!E79*$J$4+$M$4*$J$5+[32]FormattedData!E79^2*$J$6+$M$5*$J$7</f>
        <v>29.560339448498553</v>
      </c>
      <c r="M81" s="39">
        <f>$J$3+[32]FormattedData!F79*$J$4+$M$4*$J$5+[32]FormattedData!F79^2*$J$6+$M$5*$J$7</f>
        <v>28.681026274467687</v>
      </c>
      <c r="N81" s="39">
        <f>$J$3+[32]FormattedData!G79*$J$4+$M$4*$J$5+[32]FormattedData!G79^2*$J$6+$M$5*$J$7</f>
        <v>29.072254814971828</v>
      </c>
      <c r="O81" s="39">
        <f>$J$3+[32]FormattedData!H79*$J$4+$M$4*$J$5+[32]FormattedData!H79^2*$J$6+$M$5*$J$7</f>
        <v>27.798289348864401</v>
      </c>
      <c r="P81" s="39">
        <f>$J$3+[32]FormattedData!I79*$J$4+$M$4*$J$5+[32]FormattedData!I79^2*$J$6+$M$5*$J$7</f>
        <v>28.87672508179562</v>
      </c>
      <c r="Q81" s="39">
        <f>$J$3+[32]FormattedData!J79*$J$4+$M$4*$J$5+[32]FormattedData!J79^2*$J$6+$M$5*$J$7</f>
        <v>27.503282873313879</v>
      </c>
      <c r="R81" s="39">
        <f>$J$3+[32]FormattedData!K79*$J$4+$M$4*$J$5+[32]FormattedData!K79^2*$J$6+$M$5*$J$7</f>
        <v>27.994748989875095</v>
      </c>
      <c r="S81" s="39">
        <f>$J$3+[32]FormattedData!L79*$J$4+$M$4*$J$5+[32]FormattedData!L79^2*$J$6+$M$5*$J$7</f>
        <v>31.018253068389054</v>
      </c>
      <c r="T81" s="39">
        <f>$J$3+[32]FormattedData!M79*$J$4+$M$4*$J$5+[32]FormattedData!M79^2*$J$6+$M$5*$J$7</f>
        <v>29.657829569590099</v>
      </c>
      <c r="U81" s="39">
        <f>$J$3+[32]FormattedData!N79*$J$4+$M$4*$J$5+[32]FormattedData!N79^2*$J$6+$M$5*$J$7</f>
        <v>29.267615473996312</v>
      </c>
      <c r="V81" s="39">
        <f>$J$3+[32]FormattedData!O79*$J$4+$M$4*$J$5+[32]FormattedData!O79^2*$J$6+$M$5*$J$7</f>
        <v>28.289121437356648</v>
      </c>
      <c r="W81" s="38">
        <f>AVERAGE(K81:V81)</f>
        <v>28.776762251235098</v>
      </c>
      <c r="X81" s="37">
        <f>STDEV(K81:V81)/SQRT(COUNT(K81:V81))</f>
        <v>0.29607694633175818</v>
      </c>
      <c r="Y81" s="36">
        <f>MIN(K81:V81)</f>
        <v>27.503282873313879</v>
      </c>
      <c r="Z81" s="35">
        <f>QUARTILE(K81:V81,1)</f>
        <v>27.945634079622423</v>
      </c>
      <c r="AA81" s="36">
        <f>MEDIAN(K81:V81)</f>
        <v>28.778875678131655</v>
      </c>
      <c r="AB81" s="35">
        <f>QUARTILE(K81:V81,3)</f>
        <v>29.340796467621871</v>
      </c>
      <c r="AC81" s="35">
        <f>MAX(K81:V81)</f>
        <v>31.018253068389054</v>
      </c>
      <c r="AD81" s="35">
        <f>SKEW(K81:V81)</f>
        <v>0.74339801298221075</v>
      </c>
      <c r="AE81" s="35">
        <f>KURT(K81:V81)</f>
        <v>0.54806932446406087</v>
      </c>
    </row>
    <row r="82" spans="2:31" x14ac:dyDescent="0.2">
      <c r="B82" s="34">
        <f>[32]FormattedData!A59</f>
        <v>902</v>
      </c>
      <c r="C82" s="34" t="str">
        <f>VLOOKUP($B82,[32]TrtCodes!$B$11:I102,2)</f>
        <v>Late</v>
      </c>
      <c r="D82" s="34">
        <f>VLOOKUP($B82,[32]TrtCodes!$B$11:J102,3)</f>
        <v>22</v>
      </c>
      <c r="E82" s="34">
        <f>VLOOKUP($B82,[32]TrtCodes!$B$11:K102,4)</f>
        <v>4</v>
      </c>
      <c r="F82" s="34">
        <f>VLOOKUP($B82,[32]TrtCodes!$B$11:L102,5)</f>
        <v>2</v>
      </c>
      <c r="G82" s="34">
        <f>VLOOKUP($B82,[32]TrtCodes!$B$11:M102,6)</f>
        <v>2</v>
      </c>
      <c r="H82" s="34">
        <f>VLOOKUP($B82,[32]TrtCodes!$B$11:N102,7)</f>
        <v>1</v>
      </c>
      <c r="I82" s="34">
        <f>[32]FormattedData!B59</f>
        <v>2</v>
      </c>
      <c r="J82" s="37">
        <f>[32]FormattedData!C59</f>
        <v>13.401</v>
      </c>
      <c r="K82" s="39">
        <f>$J$3+[32]FormattedData!D59*$J$4+$M$4*$J$5+[32]FormattedData!D59^2*$J$6+$M$5*$J$7</f>
        <v>30.824414076730093</v>
      </c>
      <c r="L82" s="39">
        <f>$J$3+[32]FormattedData!E59*$J$4+$M$4*$J$5+[32]FormattedData!E59^2*$J$6+$M$5*$J$7</f>
        <v>30.824414076730093</v>
      </c>
      <c r="M82" s="39">
        <f>$J$3+[32]FormattedData!F59*$J$4+$M$4*$J$5+[32]FormattedData!F59^2*$J$6+$M$5*$J$7</f>
        <v>31.405423829251809</v>
      </c>
      <c r="N82" s="39">
        <f>$J$3+[32]FormattedData!G59*$J$4+$M$4*$J$5+[32]FormattedData!G59^2*$J$6+$M$5*$J$7</f>
        <v>31.018253068389054</v>
      </c>
      <c r="O82" s="39">
        <f>$J$3+[32]FormattedData!H59*$J$4+$M$4*$J$5+[32]FormattedData!H59^2*$J$6+$M$5*$J$7</f>
        <v>30.921354706828541</v>
      </c>
      <c r="P82" s="39">
        <f>$J$3+[32]FormattedData!I59*$J$4+$M$4*$J$5+[32]FormattedData!I59^2*$J$6+$M$5*$J$7</f>
        <v>30.533338575207168</v>
      </c>
      <c r="Q82" s="39">
        <f>$J$3+[32]FormattedData!J59*$J$4+$M$4*$J$5+[32]FormattedData!J59^2*$J$6+$M$5*$J$7</f>
        <v>29.755277422143724</v>
      </c>
      <c r="R82" s="39">
        <f>$J$3+[32]FormattedData!K59*$J$4+$M$4*$J$5+[32]FormattedData!K59^2*$J$6+$M$5*$J$7</f>
        <v>30.921354706828541</v>
      </c>
      <c r="S82" s="39">
        <f>$J$3+[32]FormattedData!L59*$J$4+$M$4*$J$5+[32]FormattedData!L59^2*$J$6+$M$5*$J$7</f>
        <v>29.85268300615941</v>
      </c>
      <c r="T82" s="39">
        <f>$J$3+[32]FormattedData!M59*$J$4+$M$4*$J$5+[32]FormattedData!M59^2*$J$6+$M$5*$J$7</f>
        <v>29.072254814971828</v>
      </c>
      <c r="U82" s="39">
        <f>$J$3+[32]FormattedData!N59*$J$4+$M$4*$J$5+[32]FormattedData!N59^2*$J$6+$M$5*$J$7</f>
        <v>30.047367368576996</v>
      </c>
      <c r="V82" s="39">
        <f>$J$3+[32]FormattedData!O59*$J$4+$M$4*$J$5+[32]FormattedData!O59^2*$J$6+$M$5*$J$7</f>
        <v>28.778896812400617</v>
      </c>
      <c r="W82" s="38">
        <f>AVERAGE(K82:V82)</f>
        <v>30.329586038684823</v>
      </c>
      <c r="X82" s="37">
        <f>STDEV(K82:V82)/SQRT(COUNT(K82:V82))</f>
        <v>0.23813873221484366</v>
      </c>
      <c r="Y82" s="36">
        <f>MIN(K82:V82)</f>
        <v>28.778896812400617</v>
      </c>
      <c r="Z82" s="35">
        <f>QUARTILE(K82:V82,1)</f>
        <v>29.828331610155487</v>
      </c>
      <c r="AA82" s="36">
        <f>MEDIAN(K82:V82)</f>
        <v>30.678876325968631</v>
      </c>
      <c r="AB82" s="35">
        <f>QUARTILE(K82:V82,3)</f>
        <v>30.921354706828541</v>
      </c>
      <c r="AC82" s="35">
        <f>MAX(K82:V82)</f>
        <v>31.405423829251809</v>
      </c>
      <c r="AD82" s="35">
        <f>SKEW(K82:V82)</f>
        <v>-0.73840190308772369</v>
      </c>
      <c r="AE82" s="35">
        <f>KURT(K82:V82)</f>
        <v>-0.50154121666695195</v>
      </c>
    </row>
    <row r="83" spans="2:31" x14ac:dyDescent="0.2">
      <c r="B83" s="34">
        <f>[32]FormattedData!A55</f>
        <v>904</v>
      </c>
      <c r="C83" s="34" t="str">
        <f>VLOOKUP($B83,[32]TrtCodes!$B$11:I98,2)</f>
        <v>Early</v>
      </c>
      <c r="D83" s="34">
        <f>VLOOKUP($B83,[32]TrtCodes!$B$11:J98,3)</f>
        <v>21</v>
      </c>
      <c r="E83" s="34">
        <f>VLOOKUP($B83,[32]TrtCodes!$B$11:K98,4)</f>
        <v>3</v>
      </c>
      <c r="F83" s="34">
        <f>VLOOKUP($B83,[32]TrtCodes!$B$11:L98,5)</f>
        <v>2</v>
      </c>
      <c r="G83" s="34">
        <f>VLOOKUP($B83,[32]TrtCodes!$B$11:M98,6)</f>
        <v>2</v>
      </c>
      <c r="H83" s="34">
        <f>VLOOKUP($B83,[32]TrtCodes!$B$11:N98,7)</f>
        <v>1</v>
      </c>
      <c r="I83" s="34">
        <f>[32]FormattedData!B55</f>
        <v>2</v>
      </c>
      <c r="J83" s="37">
        <f>[32]FormattedData!C55</f>
        <v>13.375999999999999</v>
      </c>
      <c r="K83" s="39">
        <f>$J$3+[32]FormattedData!D55*$J$4+$M$4*$J$5+[32]FormattedData!D55^2*$J$6+$M$5*$J$7</f>
        <v>29.169956278753034</v>
      </c>
      <c r="L83" s="39">
        <f>$J$3+[32]FormattedData!E55*$J$4+$M$4*$J$5+[32]FormattedData!E55^2*$J$6+$M$5*$J$7</f>
        <v>28.485158392988033</v>
      </c>
      <c r="M83" s="39">
        <f>$J$3+[32]FormattedData!F55*$J$4+$M$4*$J$5+[32]FormattedData!F55^2*$J$6+$M$5*$J$7</f>
        <v>29.755277422143724</v>
      </c>
      <c r="N83" s="39">
        <f>$J$3+[32]FormattedData!G55*$J$4+$M$4*$J$5+[32]FormattedData!G55^2*$J$6+$M$5*$J$7</f>
        <v>28.97451108265269</v>
      </c>
      <c r="O83" s="39">
        <f>$J$3+[32]FormattedData!H55*$J$4+$M$4*$J$5+[32]FormattedData!H55^2*$J$6+$M$5*$J$7</f>
        <v>29.169956278753034</v>
      </c>
      <c r="P83" s="39">
        <f>$J$3+[32]FormattedData!I55*$J$4+$M$4*$J$5+[32]FormattedData!I55^2*$J$6+$M$5*$J$7</f>
        <v>31.018253068389054</v>
      </c>
      <c r="Q83" s="39">
        <f>$J$3+[32]FormattedData!J55*$J$4+$M$4*$J$5+[32]FormattedData!J55^2*$J$6+$M$5*$J$7</f>
        <v>29.657829569590099</v>
      </c>
      <c r="R83" s="39">
        <f>$J$3+[32]FormattedData!K55*$J$4+$M$4*$J$5+[32]FormattedData!K55^2*$J$6+$M$5*$J$7</f>
        <v>29.267615473996312</v>
      </c>
      <c r="S83" s="39">
        <f>$J$3+[32]FormattedData!L55*$J$4+$M$4*$J$5+[32]FormattedData!L55^2*$J$6+$M$5*$J$7</f>
        <v>28.485158392988033</v>
      </c>
      <c r="T83" s="39">
        <f>$J$3+[32]FormattedData!M55*$J$4+$M$4*$J$5+[32]FormattedData!M55^2*$J$6+$M$5*$J$7</f>
        <v>28.681026274467687</v>
      </c>
      <c r="U83" s="39">
        <f>$J$3+[32]FormattedData!N55*$J$4+$M$4*$J$5+[32]FormattedData!N55^2*$J$6+$M$5*$J$7</f>
        <v>32.08134532205127</v>
      </c>
      <c r="V83" s="39">
        <f>$J$3+[32]FormattedData!O55*$J$4+$M$4*$J$5+[32]FormattedData!O55^2*$J$6+$M$5*$J$7</f>
        <v>28.681026274467687</v>
      </c>
      <c r="W83" s="38">
        <f>AVERAGE(K83:V83)</f>
        <v>29.452259485936718</v>
      </c>
      <c r="X83" s="37">
        <f>STDEV(K83:V83)/SQRT(COUNT(K83:V83))</f>
        <v>0.31358635045576011</v>
      </c>
      <c r="Y83" s="36">
        <f>MIN(K83:V83)</f>
        <v>28.485158392988033</v>
      </c>
      <c r="Z83" s="35">
        <f>QUARTILE(K83:V83,1)</f>
        <v>28.681026274467687</v>
      </c>
      <c r="AA83" s="36">
        <f>MEDIAN(K83:V83)</f>
        <v>29.169956278753034</v>
      </c>
      <c r="AB83" s="35">
        <f>QUARTILE(K83:V83,3)</f>
        <v>29.682191532728506</v>
      </c>
      <c r="AC83" s="35">
        <f>MAX(K83:V83)</f>
        <v>32.08134532205127</v>
      </c>
      <c r="AD83" s="35">
        <f>SKEW(K83:V83)</f>
        <v>1.6307887043409059</v>
      </c>
      <c r="AE83" s="35">
        <f>KURT(K83:V83)</f>
        <v>2.3403963069784357</v>
      </c>
    </row>
    <row r="84" spans="2:31" x14ac:dyDescent="0.2">
      <c r="B84" s="34">
        <f>[32]FormattedData!A51</f>
        <v>906</v>
      </c>
      <c r="C84" s="34" t="str">
        <f>VLOOKUP($B84,[32]TrtCodes!$B$11:I94,2)</f>
        <v>Late</v>
      </c>
      <c r="D84" s="34">
        <f>VLOOKUP($B84,[32]TrtCodes!$B$11:J94,3)</f>
        <v>22</v>
      </c>
      <c r="E84" s="34">
        <f>VLOOKUP($B84,[32]TrtCodes!$B$11:K94,4)</f>
        <v>4</v>
      </c>
      <c r="F84" s="34">
        <f>VLOOKUP($B84,[32]TrtCodes!$B$11:L94,5)</f>
        <v>2</v>
      </c>
      <c r="G84" s="34">
        <f>VLOOKUP($B84,[32]TrtCodes!$B$11:M94,6)</f>
        <v>2</v>
      </c>
      <c r="H84" s="34">
        <f>VLOOKUP($B84,[32]TrtCodes!$B$11:N94,7)</f>
        <v>2</v>
      </c>
      <c r="I84" s="34">
        <f>[32]FormattedData!B51</f>
        <v>2</v>
      </c>
      <c r="J84" s="37">
        <f>[32]FormattedData!C51</f>
        <v>13.351000000000001</v>
      </c>
      <c r="K84" s="39">
        <f>$J$3+[32]FormattedData!D51*$J$4+$M$4*$J$5+[32]FormattedData!D51^2*$J$6+$M$5*$J$7</f>
        <v>33.235249267811916</v>
      </c>
      <c r="L84" s="39">
        <f>$J$3+[32]FormattedData!E51*$J$4+$M$4*$J$5+[32]FormattedData!E51^2*$J$6+$M$5*$J$7</f>
        <v>30.824414076730093</v>
      </c>
      <c r="M84" s="39">
        <f>$J$3+[32]FormattedData!F51*$J$4+$M$4*$J$5+[32]FormattedData!F51^2*$J$6+$M$5*$J$7</f>
        <v>32.274085331724017</v>
      </c>
      <c r="N84" s="39">
        <f>$J$3+[32]FormattedData!G51*$J$4+$M$4*$J$5+[32]FormattedData!G51^2*$J$6+$M$5*$J$7</f>
        <v>31.888436238226795</v>
      </c>
      <c r="O84" s="39">
        <f>$J$3+[32]FormattedData!H51*$J$4+$M$4*$J$5+[32]FormattedData!H51^2*$J$6+$M$5*$J$7</f>
        <v>31.598755598455597</v>
      </c>
      <c r="P84" s="39">
        <f>$J$3+[32]FormattedData!I51*$J$4+$M$4*$J$5+[32]FormattedData!I51^2*$J$6+$M$5*$J$7</f>
        <v>32.08134532205127</v>
      </c>
      <c r="Q84" s="39">
        <f>$J$3+[32]FormattedData!J51*$J$4+$M$4*$J$5+[32]FormattedData!J51^2*$J$6+$M$5*$J$7</f>
        <v>31.502110848122665</v>
      </c>
      <c r="R84" s="39">
        <f>$J$3+[32]FormattedData!K51*$J$4+$M$4*$J$5+[32]FormattedData!K51^2*$J$6+$M$5*$J$7</f>
        <v>30.241882656842861</v>
      </c>
      <c r="S84" s="39">
        <f>$J$3+[32]FormattedData!L51*$J$4+$M$4*$J$5+[32]FormattedData!L51^2*$J$6+$M$5*$J$7</f>
        <v>31.115109161411635</v>
      </c>
      <c r="T84" s="39">
        <f>$J$3+[32]FormattedData!M51*$J$4+$M$4*$J$5+[32]FormattedData!M51^2*$J$6+$M$5*$J$7</f>
        <v>31.791918293507656</v>
      </c>
      <c r="U84" s="39">
        <f>$J$3+[32]FormattedData!N51*$J$4+$M$4*$J$5+[32]FormattedData!N51^2*$J$6+$M$5*$J$7</f>
        <v>31.888436238226795</v>
      </c>
      <c r="V84" s="39">
        <f>$J$3+[32]FormattedData!O51*$J$4+$M$4*$J$5+[32]FormattedData!O51^2*$J$6+$M$5*$J$7</f>
        <v>31.405423829251809</v>
      </c>
      <c r="W84" s="38">
        <f>AVERAGE(K84:V84)</f>
        <v>31.653930571863594</v>
      </c>
      <c r="X84" s="37">
        <f>STDEV(K84:V84)/SQRT(COUNT(K84:V84))</f>
        <v>0.21771932670496441</v>
      </c>
      <c r="Y84" s="36">
        <f>MIN(K84:V84)</f>
        <v>30.241882656842861</v>
      </c>
      <c r="Z84" s="35">
        <f>QUARTILE(K84:V84,1)</f>
        <v>31.332845162291765</v>
      </c>
      <c r="AA84" s="36">
        <f>MEDIAN(K84:V84)</f>
        <v>31.695336945981627</v>
      </c>
      <c r="AB84" s="35">
        <f>QUARTILE(K84:V84,3)</f>
        <v>31.936663509182914</v>
      </c>
      <c r="AC84" s="35">
        <f>MAX(K84:V84)</f>
        <v>33.235249267811916</v>
      </c>
      <c r="AD84" s="35">
        <f>SKEW(K84:V84)</f>
        <v>0.18754073488251652</v>
      </c>
      <c r="AE84" s="35">
        <f>KURT(K84:V84)</f>
        <v>1.313181964526561</v>
      </c>
    </row>
    <row r="85" spans="2:31" x14ac:dyDescent="0.2">
      <c r="B85" s="34">
        <f>[32]FormattedData!A47</f>
        <v>908</v>
      </c>
      <c r="C85" s="34" t="str">
        <f>VLOOKUP($B85,[32]TrtCodes!$B$11:I90,2)</f>
        <v>Early</v>
      </c>
      <c r="D85" s="34">
        <f>VLOOKUP($B85,[32]TrtCodes!$B$11:J90,3)</f>
        <v>21</v>
      </c>
      <c r="E85" s="34">
        <f>VLOOKUP($B85,[32]TrtCodes!$B$11:K90,4)</f>
        <v>3</v>
      </c>
      <c r="F85" s="34">
        <f>VLOOKUP($B85,[32]TrtCodes!$B$11:L90,5)</f>
        <v>2</v>
      </c>
      <c r="G85" s="34">
        <f>VLOOKUP($B85,[32]TrtCodes!$B$11:M90,6)</f>
        <v>2</v>
      </c>
      <c r="H85" s="34">
        <f>VLOOKUP($B85,[32]TrtCodes!$B$11:N90,7)</f>
        <v>2</v>
      </c>
      <c r="I85" s="34">
        <f>[32]FormattedData!B47</f>
        <v>2</v>
      </c>
      <c r="J85" s="37">
        <f>[32]FormattedData!C47</f>
        <v>13.326000000000001</v>
      </c>
      <c r="K85" s="39">
        <f>$J$3+[32]FormattedData!D47*$J$4+$M$4*$J$5+[32]FormattedData!D47^2*$J$6+$M$5*$J$7</f>
        <v>31.115109161411635</v>
      </c>
      <c r="L85" s="39">
        <f>$J$3+[32]FormattedData!E47*$J$4+$M$4*$J$5+[32]FormattedData!E47^2*$J$6+$M$5*$J$7</f>
        <v>29.950046321637174</v>
      </c>
      <c r="M85" s="39">
        <f>$J$3+[32]FormattedData!F47*$J$4+$M$4*$J$5+[32]FormattedData!F47^2*$J$6+$M$5*$J$7</f>
        <v>32.466656267245057</v>
      </c>
      <c r="N85" s="39">
        <f>$J$3+[32]FormattedData!G47*$J$4+$M$4*$J$5+[32]FormattedData!G47^2*$J$6+$M$5*$J$7</f>
        <v>31.502110848122665</v>
      </c>
      <c r="O85" s="39">
        <f>$J$3+[32]FormattedData!H47*$J$4+$M$4*$J$5+[32]FormattedData!H47^2*$J$6+$M$5*$J$7</f>
        <v>31.115109161411635</v>
      </c>
      <c r="P85" s="39">
        <f>$J$3+[32]FormattedData!I47*$J$4+$M$4*$J$5+[32]FormattedData!I47^2*$J$6+$M$5*$J$7</f>
        <v>30.436228870956999</v>
      </c>
      <c r="Q85" s="39">
        <f>$J$3+[32]FormattedData!J47*$J$4+$M$4*$J$5+[32]FormattedData!J47^2*$J$6+$M$5*$J$7</f>
        <v>32.562878332198672</v>
      </c>
      <c r="R85" s="39">
        <f>$J$3+[32]FormattedData!K47*$J$4+$M$4*$J$5+[32]FormattedData!K47^2*$J$6+$M$5*$J$7</f>
        <v>30.533338575207168</v>
      </c>
      <c r="S85" s="39">
        <f>$J$3+[32]FormattedData!L47*$J$4+$M$4*$J$5+[32]FormattedData!L47^2*$J$6+$M$5*$J$7</f>
        <v>31.598755598455597</v>
      </c>
      <c r="T85" s="39">
        <f>$J$3+[32]FormattedData!M47*$J$4+$M$4*$J$5+[32]FormattedData!M47^2*$J$6+$M$5*$J$7</f>
        <v>32.08134532205127</v>
      </c>
      <c r="U85" s="39">
        <f>$J$3+[32]FormattedData!N47*$J$4+$M$4*$J$5+[32]FormattedData!N47^2*$J$6+$M$5*$J$7</f>
        <v>31.695358080250593</v>
      </c>
      <c r="V85" s="39">
        <f>$J$3+[32]FormattedData!O47*$J$4+$M$4*$J$5+[32]FormattedData!O47^2*$J$6+$M$5*$J$7</f>
        <v>31.502110848122665</v>
      </c>
      <c r="W85" s="38">
        <f>AVERAGE(K85:V85)</f>
        <v>31.37992061558926</v>
      </c>
      <c r="X85" s="37">
        <f>STDEV(K85:V85)/SQRT(COUNT(K85:V85))</f>
        <v>0.2309676019096312</v>
      </c>
      <c r="Y85" s="36">
        <f>MIN(K85:V85)</f>
        <v>29.950046321637174</v>
      </c>
      <c r="Z85" s="35">
        <f>QUARTILE(K85:V85,1)</f>
        <v>30.969666514860517</v>
      </c>
      <c r="AA85" s="36">
        <f>MEDIAN(K85:V85)</f>
        <v>31.502110848122665</v>
      </c>
      <c r="AB85" s="35">
        <f>QUARTILE(K85:V85,3)</f>
        <v>31.791854890700762</v>
      </c>
      <c r="AC85" s="35">
        <f>MAX(K85:V85)</f>
        <v>32.562878332198672</v>
      </c>
      <c r="AD85" s="35">
        <f>SKEW(K85:V85)</f>
        <v>-0.22966313624759752</v>
      </c>
      <c r="AE85" s="35">
        <f>KURT(K85:V85)</f>
        <v>-0.53245429748133599</v>
      </c>
    </row>
    <row r="88" spans="2:31" x14ac:dyDescent="0.2">
      <c r="W88" s="35"/>
    </row>
  </sheetData>
  <autoFilter ref="B9:AE85" xr:uid="{FD1CD71B-3A2B-4903-A25A-15C09345B7C7}"/>
  <conditionalFormatting sqref="K10:V85">
    <cfRule type="cellIs" dxfId="123" priority="1" stopIfTrue="1" operator="lessThan">
      <formula>$W10-$V$5*$X10</formula>
    </cfRule>
    <cfRule type="cellIs" dxfId="122" priority="2" stopIfTrue="1" operator="greaterThan">
      <formula>$W10+$V$5*$X10</formula>
    </cfRule>
  </conditionalFormatting>
  <conditionalFormatting sqref="W10:W85">
    <cfRule type="cellIs" dxfId="121" priority="3" stopIfTrue="1" operator="lessThan">
      <formula>AVERAGE($W$10:$W$41)</formula>
    </cfRule>
    <cfRule type="cellIs" dxfId="12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DADF-EFBF-4271-82EF-D4A8D01D27FD}">
  <sheetPr codeName="Sheet32"/>
  <dimension ref="A1:AI88"/>
  <sheetViews>
    <sheetView topLeftCell="A8" workbookViewId="0">
      <pane xSplit="4" ySplit="2" topLeftCell="M40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[1]FormattedData!A1</f>
        <v>Raw data file name - 'IA169.03R'</v>
      </c>
    </row>
    <row r="2" spans="1:35" ht="15" x14ac:dyDescent="0.25">
      <c r="I2" s="32" t="s">
        <v>136</v>
      </c>
      <c r="J2" s="24"/>
      <c r="P2" s="31">
        <f>[1]AncillaryData!C10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[1]AncillaryData!E25</f>
        <v>39.700000000000003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"&amp;[1]AncillaryData!C7</f>
        <v>Time Sequence of Midday IRT Temps - FISE 2003 - DOY 169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"&amp;[1]AncillaryData!E25&amp;", VPD = "&amp;ROUND([1]AncillaryData!E29,1)&amp;", Quality = "&amp;[1]AncillaryData!C20&amp;")"</f>
        <v>(Ta = 39.7, VPD = 6.4,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[1]FormattedData!A28</f>
        <v>101</v>
      </c>
      <c r="C10" s="1" t="str">
        <f>VLOOKUP($B10,[1]TrtCodes!$B$11:I71,2)</f>
        <v>FSH</v>
      </c>
      <c r="D10" s="1">
        <f>VLOOKUP($B10,[1]TrtCodes!$B$11:J71,3)</f>
        <v>1</v>
      </c>
      <c r="E10" s="1">
        <f>VLOOKUP($B10,[1]TrtCodes!$B$11:K71,4)</f>
        <v>1</v>
      </c>
      <c r="F10" s="1">
        <f>VLOOKUP($B10,[1]TrtCodes!$B$11:L71,5)</f>
        <v>1</v>
      </c>
      <c r="G10" s="1">
        <f>VLOOKUP($B10,[1]TrtCodes!$B$11:M71,6)</f>
        <v>2</v>
      </c>
      <c r="H10" s="1">
        <f>VLOOKUP($B10,[1]TrtCodes!$B$11:N71,7)</f>
        <v>1</v>
      </c>
      <c r="I10" s="1">
        <f>[1]FormattedData!B28</f>
        <v>1</v>
      </c>
      <c r="J10" s="4">
        <f>[1]FormattedData!C28</f>
        <v>12.984999999999999</v>
      </c>
      <c r="K10" s="6">
        <f>$J$3+[1]FormattedData!D28*$J$4+$M$4*$J$5+[1]FormattedData!D28^2*$J$6+$M$5*$J$7</f>
        <v>56.585338371827291</v>
      </c>
      <c r="L10" s="6">
        <f>$J$3+[1]FormattedData!E28*$J$4+$M$4*$J$5+[1]FormattedData!E28^2*$J$6+$M$5*$J$7</f>
        <v>43.724874147153876</v>
      </c>
      <c r="M10" s="6">
        <f>$J$3+[1]FormattedData!F28*$J$4+$M$4*$J$5+[1]FormattedData!F28^2*$J$6+$M$5*$J$7</f>
        <v>54.876889301583077</v>
      </c>
      <c r="N10" s="6">
        <f>$J$3+[1]FormattedData!G28*$J$4+$M$4*$J$5+[1]FormattedData!G28^2*$J$6+$M$5*$J$7</f>
        <v>41.616761701441625</v>
      </c>
      <c r="O10" s="6">
        <f>$J$3+[1]FormattedData!H28*$J$4+$M$4*$J$5+[1]FormattedData!H28^2*$J$6+$M$5*$J$7</f>
        <v>46.171083581190807</v>
      </c>
      <c r="P10" s="6">
        <f>$J$3+[1]FormattedData!I28*$J$4+$M$4*$J$5+[1]FormattedData!I28^2*$J$6+$M$5*$J$7</f>
        <v>54.876889301583077</v>
      </c>
      <c r="Q10" s="6">
        <f>$J$3+[1]FormattedData!J28*$J$4+$M$4*$J$5+[1]FormattedData!J28^2*$J$6+$M$5*$J$7</f>
        <v>49.473250560405042</v>
      </c>
      <c r="R10" s="6">
        <f>$J$3+[1]FormattedData!K28*$J$4+$M$4*$J$5+[1]FormattedData!K28^2*$J$6+$M$5*$J$7</f>
        <v>55.81862858284498</v>
      </c>
      <c r="S10" s="6">
        <f>$J$3+[1]FormattedData!L28*$J$4+$M$4*$J$5+[1]FormattedData!L28^2*$J$6+$M$5*$J$7</f>
        <v>54.361057634551173</v>
      </c>
      <c r="T10" s="6">
        <f>$J$3+[1]FormattedData!M28*$J$4+$M$4*$J$5+[1]FormattedData!M28^2*$J$6+$M$5*$J$7</f>
        <v>54.016324485771293</v>
      </c>
      <c r="U10" s="6">
        <f>$J$3+[1]FormattedData!N28*$J$4+$M$4*$J$5+[1]FormattedData!N28^2*$J$6+$M$5*$J$7</f>
        <v>54.274937750163105</v>
      </c>
      <c r="V10" s="6">
        <f>$J$3+[1]FormattedData!O28*$J$4+$M$4*$J$5+[1]FormattedData!O28^2*$J$6+$M$5*$J$7</f>
        <v>52.282514292768397</v>
      </c>
      <c r="W10" s="5">
        <f t="shared" ref="W10:W41" si="0">AVERAGE(K10:V10)</f>
        <v>51.506545809273653</v>
      </c>
      <c r="X10" s="4">
        <f t="shared" ref="X10:X41" si="1">STDEV(K10:V10)/SQRT(COUNT(K10:V10))</f>
        <v>1.458474868515965</v>
      </c>
      <c r="Y10" s="3">
        <f t="shared" ref="Y10:Y41" si="2">MIN(K10:V10)</f>
        <v>41.616761701441625</v>
      </c>
      <c r="Z10" s="2">
        <f t="shared" ref="Z10:Z41" si="3">QUARTILE(K10:V10,1)</f>
        <v>48.647708815601483</v>
      </c>
      <c r="AA10" s="3">
        <f t="shared" ref="AA10:AA41" si="4">MEDIAN(K10:V10)</f>
        <v>54.145631117967199</v>
      </c>
      <c r="AB10" s="2">
        <f t="shared" ref="AB10:AB41" si="5">QUARTILE(K10:V10,3)</f>
        <v>54.876889301583077</v>
      </c>
      <c r="AC10" s="2">
        <f t="shared" ref="AC10:AC41" si="6">MAX(K10:V10)</f>
        <v>56.585338371827291</v>
      </c>
      <c r="AD10" s="2">
        <f t="shared" ref="AD10:AD41" si="7">SKEW(K10:V10)</f>
        <v>-1.0576315989375569</v>
      </c>
      <c r="AE10" s="2">
        <f t="shared" ref="AE10:AE41" si="8">KURT(K10:V10)</f>
        <v>-0.28599920122306965</v>
      </c>
    </row>
    <row r="11" spans="1:35" x14ac:dyDescent="0.2">
      <c r="B11" s="1">
        <f>[1]FormattedData!A26</f>
        <v>102</v>
      </c>
      <c r="C11" s="1" t="str">
        <f>VLOOKUP($B11,[1]TrtCodes!$B$11:I69,2)</f>
        <v>FTL</v>
      </c>
      <c r="D11" s="1">
        <f>VLOOKUP($B11,[1]TrtCodes!$B$11:J69,3)</f>
        <v>4</v>
      </c>
      <c r="E11" s="1">
        <f>VLOOKUP($B11,[1]TrtCodes!$B$11:K69,4)</f>
        <v>1</v>
      </c>
      <c r="F11" s="1">
        <f>VLOOKUP($B11,[1]TrtCodes!$B$11:L69,5)</f>
        <v>2</v>
      </c>
      <c r="G11" s="1">
        <f>VLOOKUP($B11,[1]TrtCodes!$B$11:M69,6)</f>
        <v>1</v>
      </c>
      <c r="H11" s="1">
        <f>VLOOKUP($B11,[1]TrtCodes!$B$11:N69,7)</f>
        <v>1</v>
      </c>
      <c r="I11" s="1">
        <f>[1]FormattedData!B26</f>
        <v>1</v>
      </c>
      <c r="J11" s="4">
        <f>[1]FormattedData!C26</f>
        <v>12.97</v>
      </c>
      <c r="K11" s="6">
        <f>$J$3+[1]FormattedData!D26*$J$4+$M$4*$J$5+[1]FormattedData!D26^2*$J$6+$M$5*$J$7</f>
        <v>56.074578929347133</v>
      </c>
      <c r="L11" s="6">
        <f>$J$3+[1]FormattedData!E26*$J$4+$M$4*$J$5+[1]FormattedData!E26^2*$J$6+$M$5*$J$7</f>
        <v>41.24785094896513</v>
      </c>
      <c r="M11" s="6">
        <f>$J$3+[1]FormattedData!F26*$J$4+$M$4*$J$5+[1]FormattedData!F26^2*$J$6+$M$5*$J$7</f>
        <v>55.048495042290249</v>
      </c>
      <c r="N11" s="6">
        <f>$J$3+[1]FormattedData!G26*$J$4+$M$4*$J$5+[1]FormattedData!G26^2*$J$6+$M$5*$J$7</f>
        <v>40.600629793420914</v>
      </c>
      <c r="O11" s="6">
        <f>$J$3+[1]FormattedData!H26*$J$4+$M$4*$J$5+[1]FormattedData!H26^2*$J$6+$M$5*$J$7</f>
        <v>53.7573308045381</v>
      </c>
      <c r="P11" s="6">
        <f>$J$3+[1]FormattedData!I26*$J$4+$M$4*$J$5+[1]FormattedData!I26^2*$J$6+$M$5*$J$7</f>
        <v>44.180200663783964</v>
      </c>
      <c r="Q11" s="6">
        <f>$J$3+[1]FormattedData!J26*$J$4+$M$4*$J$5+[1]FormattedData!J26^2*$J$6+$M$5*$J$7</f>
        <v>55.391199301249443</v>
      </c>
      <c r="R11" s="6">
        <f>$J$3+[1]FormattedData!K26*$J$4+$M$4*$J$5+[1]FormattedData!K26^2*$J$6+$M$5*$J$7</f>
        <v>54.274937750163105</v>
      </c>
      <c r="S11" s="6">
        <f>$J$3+[1]FormattedData!L26*$J$4+$M$4*$J$5+[1]FormattedData!L26^2*$J$6+$M$5*$J$7</f>
        <v>52.630628924582766</v>
      </c>
      <c r="T11" s="6">
        <f>$J$3+[1]FormattedData!M26*$J$4+$M$4*$J$5+[1]FormattedData!M26^2*$J$6+$M$5*$J$7</f>
        <v>52.282514292768397</v>
      </c>
      <c r="U11" s="6">
        <f>$J$3+[1]FormattedData!N26*$J$4+$M$4*$J$5+[1]FormattedData!N26^2*$J$6+$M$5*$J$7</f>
        <v>48.230587208282245</v>
      </c>
      <c r="V11" s="6">
        <f>$J$3+[1]FormattedData!O26*$J$4+$M$4*$J$5+[1]FormattedData!O26^2*$J$6+$M$5*$J$7</f>
        <v>43.998196862745715</v>
      </c>
      <c r="W11" s="5">
        <f t="shared" si="0"/>
        <v>49.809762543511432</v>
      </c>
      <c r="X11" s="4">
        <f t="shared" si="1"/>
        <v>1.6821524484521679</v>
      </c>
      <c r="Y11" s="3">
        <f t="shared" si="2"/>
        <v>40.600629793420914</v>
      </c>
      <c r="Z11" s="2">
        <f t="shared" si="3"/>
        <v>44.134699713524398</v>
      </c>
      <c r="AA11" s="3">
        <f t="shared" si="4"/>
        <v>52.456571608675581</v>
      </c>
      <c r="AB11" s="2">
        <f t="shared" si="5"/>
        <v>54.468327073194892</v>
      </c>
      <c r="AC11" s="2">
        <f t="shared" si="6"/>
        <v>56.074578929347133</v>
      </c>
      <c r="AD11" s="2">
        <f t="shared" si="7"/>
        <v>-0.57099422968942382</v>
      </c>
      <c r="AE11" s="2">
        <f t="shared" si="8"/>
        <v>-1.4745522068991872</v>
      </c>
    </row>
    <row r="12" spans="1:35" x14ac:dyDescent="0.2">
      <c r="B12" s="1">
        <f>[1]FormattedData!A24</f>
        <v>103</v>
      </c>
      <c r="C12" s="1" t="str">
        <f>VLOOKUP($B12,[1]TrtCodes!$B$11:I67,2)</f>
        <v>FDH</v>
      </c>
      <c r="D12" s="1">
        <f>VLOOKUP($B12,[1]TrtCodes!$B$11:J67,3)</f>
        <v>5</v>
      </c>
      <c r="E12" s="1">
        <f>VLOOKUP($B12,[1]TrtCodes!$B$11:K67,4)</f>
        <v>1</v>
      </c>
      <c r="F12" s="1">
        <f>VLOOKUP($B12,[1]TrtCodes!$B$11:L67,5)</f>
        <v>3</v>
      </c>
      <c r="G12" s="1">
        <f>VLOOKUP($B12,[1]TrtCodes!$B$11:M67,6)</f>
        <v>2</v>
      </c>
      <c r="H12" s="1">
        <f>VLOOKUP($B12,[1]TrtCodes!$B$11:N67,7)</f>
        <v>1</v>
      </c>
      <c r="I12" s="1">
        <f>[1]FormattedData!B24</f>
        <v>1</v>
      </c>
      <c r="J12" s="4">
        <f>[1]FormattedData!C24</f>
        <v>12.954000000000001</v>
      </c>
      <c r="K12" s="6">
        <f>$J$3+[1]FormattedData!D24*$J$4+$M$4*$J$5+[1]FormattedData!D24^2*$J$6+$M$5*$J$7</f>
        <v>55.305586639316545</v>
      </c>
      <c r="L12" s="6">
        <f>$J$3+[1]FormattedData!E24*$J$4+$M$4*$J$5+[1]FormattedData!E24^2*$J$6+$M$5*$J$7</f>
        <v>41.063141961499298</v>
      </c>
      <c r="M12" s="6">
        <f>$J$3+[1]FormattedData!F24*$J$4+$M$4*$J$5+[1]FormattedData!F24^2*$J$6+$M$5*$J$7</f>
        <v>51.671686348382877</v>
      </c>
      <c r="N12" s="6">
        <f>$J$3+[1]FormattedData!G24*$J$4+$M$4*$J$5+[1]FormattedData!G24^2*$J$6+$M$5*$J$7</f>
        <v>36.201363260132247</v>
      </c>
      <c r="O12" s="6">
        <f>$J$3+[1]FormattedData!H24*$J$4+$M$4*$J$5+[1]FormattedData!H24^2*$J$6+$M$5*$J$7</f>
        <v>45.990939595821544</v>
      </c>
      <c r="P12" s="6">
        <f>$J$3+[1]FormattedData!I24*$J$4+$M$4*$J$5+[1]FormattedData!I24^2*$J$6+$M$5*$J$7</f>
        <v>35.253302570803001</v>
      </c>
      <c r="Q12" s="6">
        <f>$J$3+[1]FormattedData!J24*$J$4+$M$4*$J$5+[1]FormattedData!J24^2*$J$6+$M$5*$J$7</f>
        <v>46.171083581190807</v>
      </c>
      <c r="R12" s="6">
        <f>$J$3+[1]FormattedData!K24*$J$4+$M$4*$J$5+[1]FormattedData!K24^2*$J$6+$M$5*$J$7</f>
        <v>36.484957230441353</v>
      </c>
      <c r="S12" s="6">
        <f>$J$3+[1]FormattedData!L24*$J$4+$M$4*$J$5+[1]FormattedData!L24^2*$J$6+$M$5*$J$7</f>
        <v>50.795482173536577</v>
      </c>
      <c r="T12" s="6">
        <f>$J$3+[1]FormattedData!M24*$J$4+$M$4*$J$5+[1]FormattedData!M24^2*$J$6+$M$5*$J$7</f>
        <v>42.076949099933799</v>
      </c>
      <c r="U12" s="6">
        <f>$J$3+[1]FormattedData!N24*$J$4+$M$4*$J$5+[1]FormattedData!N24^2*$J$6+$M$5*$J$7</f>
        <v>54.188775597237097</v>
      </c>
      <c r="V12" s="6">
        <f>$J$3+[1]FormattedData!O24*$J$4+$M$4*$J$5+[1]FormattedData!O24^2*$J$6+$M$5*$J$7</f>
        <v>34.682437267384771</v>
      </c>
      <c r="W12" s="5">
        <f t="shared" si="0"/>
        <v>44.15714211047333</v>
      </c>
      <c r="X12" s="4">
        <f t="shared" si="1"/>
        <v>2.1984523851162598</v>
      </c>
      <c r="Y12" s="3">
        <f t="shared" si="2"/>
        <v>34.682437267384771</v>
      </c>
      <c r="Z12" s="2">
        <f t="shared" si="3"/>
        <v>36.414058737864075</v>
      </c>
      <c r="AA12" s="3">
        <f t="shared" si="4"/>
        <v>44.033944347877672</v>
      </c>
      <c r="AB12" s="2">
        <f t="shared" si="5"/>
        <v>51.01453321724815</v>
      </c>
      <c r="AC12" s="2">
        <f t="shared" si="6"/>
        <v>55.305586639316545</v>
      </c>
      <c r="AD12" s="2">
        <f t="shared" si="7"/>
        <v>0.14229498151582612</v>
      </c>
      <c r="AE12" s="2">
        <f t="shared" si="8"/>
        <v>-1.5665938990042472</v>
      </c>
    </row>
    <row r="13" spans="1:35" x14ac:dyDescent="0.2">
      <c r="B13" s="1">
        <f>[1]FormattedData!A22</f>
        <v>104</v>
      </c>
      <c r="C13" s="1" t="str">
        <f>VLOOKUP($B13,[1]TrtCodes!$B$11:I65,2)</f>
        <v>NTL</v>
      </c>
      <c r="D13" s="1">
        <f>VLOOKUP($B13,[1]TrtCodes!$B$11:J65,3)</f>
        <v>10</v>
      </c>
      <c r="E13" s="1">
        <f>VLOOKUP($B13,[1]TrtCodes!$B$11:K65,4)</f>
        <v>2</v>
      </c>
      <c r="F13" s="1">
        <f>VLOOKUP($B13,[1]TrtCodes!$B$11:L65,5)</f>
        <v>2</v>
      </c>
      <c r="G13" s="1">
        <f>VLOOKUP($B13,[1]TrtCodes!$B$11:M65,6)</f>
        <v>1</v>
      </c>
      <c r="H13" s="1">
        <f>VLOOKUP($B13,[1]TrtCodes!$B$11:N65,7)</f>
        <v>1</v>
      </c>
      <c r="I13" s="1">
        <f>[1]FormattedData!B22</f>
        <v>1</v>
      </c>
      <c r="J13" s="4">
        <f>[1]FormattedData!C22</f>
        <v>12.939</v>
      </c>
      <c r="K13" s="6">
        <f>$J$3+[1]FormattedData!D22*$J$4+$M$4*$J$5+[1]FormattedData!D22^2*$J$6+$M$5*$J$7</f>
        <v>56.159811174438651</v>
      </c>
      <c r="L13" s="6">
        <f>$J$3+[1]FormattedData!E22*$J$4+$M$4*$J$5+[1]FormattedData!E22^2*$J$6+$M$5*$J$7</f>
        <v>47.606148794682909</v>
      </c>
      <c r="M13" s="6">
        <f>$J$3+[1]FormattedData!F22*$J$4+$M$4*$J$5+[1]FormattedData!F22^2*$J$6+$M$5*$J$7</f>
        <v>52.978067259790251</v>
      </c>
      <c r="N13" s="6">
        <f>$J$3+[1]FormattedData!G22*$J$4+$M$4*$J$5+[1]FormattedData!G22^2*$J$6+$M$5*$J$7</f>
        <v>40.044220329975126</v>
      </c>
      <c r="O13" s="6">
        <f>$J$3+[1]FormattedData!H22*$J$4+$M$4*$J$5+[1]FormattedData!H22^2*$J$6+$M$5*$J$7</f>
        <v>45.268672912827199</v>
      </c>
      <c r="P13" s="6">
        <f>$J$3+[1]FormattedData!I22*$J$4+$M$4*$J$5+[1]FormattedData!I22^2*$J$6+$M$5*$J$7</f>
        <v>47.606148794682909</v>
      </c>
      <c r="Q13" s="6">
        <f>$J$3+[1]FormattedData!J22*$J$4+$M$4*$J$5+[1]FormattedData!J22^2*$J$6+$M$5*$J$7</f>
        <v>51.058787245638747</v>
      </c>
      <c r="R13" s="6">
        <f>$J$3+[1]FormattedData!K22*$J$4+$M$4*$J$5+[1]FormattedData!K22^2*$J$6+$M$5*$J$7</f>
        <v>44.725197621988343</v>
      </c>
      <c r="S13" s="6">
        <f>$J$3+[1]FormattedData!L22*$J$4+$M$4*$J$5+[1]FormattedData!L22^2*$J$6+$M$5*$J$7</f>
        <v>53.151532816166402</v>
      </c>
      <c r="T13" s="6">
        <f>$J$3+[1]FormattedData!M22*$J$4+$M$4*$J$5+[1]FormattedData!M22^2*$J$6+$M$5*$J$7</f>
        <v>42.902623499330048</v>
      </c>
      <c r="U13" s="6">
        <f>$J$3+[1]FormattedData!N22*$J$4+$M$4*$J$5+[1]FormattedData!N22^2*$J$6+$M$5*$J$7</f>
        <v>52.978067259790251</v>
      </c>
      <c r="V13" s="6">
        <f>$J$3+[1]FormattedData!O22*$J$4+$M$4*$J$5+[1]FormattedData!O22^2*$J$6+$M$5*$J$7</f>
        <v>39.299974007256594</v>
      </c>
      <c r="W13" s="5">
        <f t="shared" si="0"/>
        <v>47.81493764304728</v>
      </c>
      <c r="X13" s="4">
        <f t="shared" si="1"/>
        <v>1.5932888702709731</v>
      </c>
      <c r="Y13" s="3">
        <f t="shared" si="2"/>
        <v>39.299974007256594</v>
      </c>
      <c r="Z13" s="2">
        <f t="shared" si="3"/>
        <v>44.269554091323769</v>
      </c>
      <c r="AA13" s="3">
        <f t="shared" si="4"/>
        <v>47.606148794682909</v>
      </c>
      <c r="AB13" s="2">
        <f t="shared" si="5"/>
        <v>52.978067259790251</v>
      </c>
      <c r="AC13" s="2">
        <f t="shared" si="6"/>
        <v>56.159811174438651</v>
      </c>
      <c r="AD13" s="2">
        <f t="shared" si="7"/>
        <v>-0.13538499617299449</v>
      </c>
      <c r="AE13" s="2">
        <f t="shared" si="8"/>
        <v>-1.1787519324256168</v>
      </c>
    </row>
    <row r="14" spans="1:35" x14ac:dyDescent="0.2">
      <c r="B14" s="1">
        <f>[1]FormattedData!A20</f>
        <v>105</v>
      </c>
      <c r="C14" s="1" t="str">
        <f>VLOOKUP($B14,[1]TrtCodes!$B$11:I63,2)</f>
        <v>NDL</v>
      </c>
      <c r="D14" s="1">
        <f>VLOOKUP($B14,[1]TrtCodes!$B$11:J63,3)</f>
        <v>12</v>
      </c>
      <c r="E14" s="1">
        <f>VLOOKUP($B14,[1]TrtCodes!$B$11:K63,4)</f>
        <v>2</v>
      </c>
      <c r="F14" s="1">
        <f>VLOOKUP($B14,[1]TrtCodes!$B$11:L63,5)</f>
        <v>3</v>
      </c>
      <c r="G14" s="1">
        <f>VLOOKUP($B14,[1]TrtCodes!$B$11:M63,6)</f>
        <v>1</v>
      </c>
      <c r="H14" s="1">
        <f>VLOOKUP($B14,[1]TrtCodes!$B$11:N63,7)</f>
        <v>2</v>
      </c>
      <c r="I14" s="1">
        <f>[1]FormattedData!B20</f>
        <v>1</v>
      </c>
      <c r="J14" s="4">
        <f>[1]FormattedData!C20</f>
        <v>12.925000000000001</v>
      </c>
      <c r="K14" s="6">
        <f>$J$3+[1]FormattedData!D20*$J$4+$M$4*$J$5+[1]FormattedData!D20^2*$J$6+$M$5*$J$7</f>
        <v>38.646539376636497</v>
      </c>
      <c r="L14" s="6">
        <f>$J$3+[1]FormattedData!E20*$J$4+$M$4*$J$5+[1]FormattedData!E20^2*$J$6+$M$5*$J$7</f>
        <v>33.536141658451726</v>
      </c>
      <c r="M14" s="6">
        <f>$J$3+[1]FormattedData!F20*$J$4+$M$4*$J$5+[1]FormattedData!F20^2*$J$6+$M$5*$J$7</f>
        <v>38.83344632807475</v>
      </c>
      <c r="N14" s="6">
        <f>$J$3+[1]FormattedData!G20*$J$4+$M$4*$J$5+[1]FormattedData!G20^2*$J$6+$M$5*$J$7</f>
        <v>33.248616714115016</v>
      </c>
      <c r="O14" s="6">
        <f>$J$3+[1]FormattedData!H20*$J$4+$M$4*$J$5+[1]FormattedData!H20^2*$J$6+$M$5*$J$7</f>
        <v>40.693216764112449</v>
      </c>
      <c r="P14" s="6">
        <f>$J$3+[1]FormattedData!I20*$J$4+$M$4*$J$5+[1]FormattedData!I20^2*$J$6+$M$5*$J$7</f>
        <v>33.823286185947055</v>
      </c>
      <c r="Q14" s="6">
        <f>$J$3+[1]FormattedData!J20*$J$4+$M$4*$J$5+[1]FormattedData!J20^2*$J$6+$M$5*$J$7</f>
        <v>37.05100392053545</v>
      </c>
      <c r="R14" s="6">
        <f>$J$3+[1]FormattedData!K20*$J$4+$M$4*$J$5+[1]FormattedData!K20^2*$J$6+$M$5*$J$7</f>
        <v>33.152690528926911</v>
      </c>
      <c r="S14" s="6">
        <f>$J$3+[1]FormattedData!L20*$J$4+$M$4*$J$5+[1]FormattedData!L20^2*$J$6+$M$5*$J$7</f>
        <v>34.014504528254292</v>
      </c>
      <c r="T14" s="6">
        <f>$J$3+[1]FormattedData!M20*$J$4+$M$4*$J$5+[1]FormattedData!M20^2*$J$6+$M$5*$J$7</f>
        <v>36.484957230441353</v>
      </c>
      <c r="U14" s="6">
        <f>$J$3+[1]FormattedData!N20*$J$4+$M$4*$J$5+[1]FormattedData!N20^2*$J$6+$M$5*$J$7</f>
        <v>38.178532298627069</v>
      </c>
      <c r="V14" s="6">
        <f>$J$3+[1]FormattedData!O20*$J$4+$M$4*$J$5+[1]FormattedData!O20^2*$J$6+$M$5*$J$7</f>
        <v>35.15826402491146</v>
      </c>
      <c r="W14" s="5">
        <f t="shared" si="0"/>
        <v>36.068433296586164</v>
      </c>
      <c r="X14" s="4">
        <f t="shared" si="1"/>
        <v>0.74987445709937228</v>
      </c>
      <c r="Y14" s="3">
        <f t="shared" si="2"/>
        <v>33.152690528926911</v>
      </c>
      <c r="Z14" s="2">
        <f t="shared" si="3"/>
        <v>33.751500054073219</v>
      </c>
      <c r="AA14" s="3">
        <f t="shared" si="4"/>
        <v>35.821610627676407</v>
      </c>
      <c r="AB14" s="2">
        <f t="shared" si="5"/>
        <v>38.295534068129427</v>
      </c>
      <c r="AC14" s="2">
        <f t="shared" si="6"/>
        <v>40.693216764112449</v>
      </c>
      <c r="AD14" s="2">
        <f t="shared" si="7"/>
        <v>0.39474067499703969</v>
      </c>
      <c r="AE14" s="2">
        <f t="shared" si="8"/>
        <v>-1.2598695249664407</v>
      </c>
    </row>
    <row r="15" spans="1:35" x14ac:dyDescent="0.2">
      <c r="B15" s="1">
        <f>[1]FormattedData!A18</f>
        <v>106</v>
      </c>
      <c r="C15" s="1" t="str">
        <f>VLOOKUP($B15,[1]TrtCodes!$B$11:I61,2)</f>
        <v>NTH</v>
      </c>
      <c r="D15" s="1">
        <f>VLOOKUP($B15,[1]TrtCodes!$B$11:J61,3)</f>
        <v>9</v>
      </c>
      <c r="E15" s="1">
        <f>VLOOKUP($B15,[1]TrtCodes!$B$11:K61,4)</f>
        <v>2</v>
      </c>
      <c r="F15" s="1">
        <f>VLOOKUP($B15,[1]TrtCodes!$B$11:L61,5)</f>
        <v>2</v>
      </c>
      <c r="G15" s="1">
        <f>VLOOKUP($B15,[1]TrtCodes!$B$11:M61,6)</f>
        <v>2</v>
      </c>
      <c r="H15" s="1">
        <f>VLOOKUP($B15,[1]TrtCodes!$B$11:N61,7)</f>
        <v>2</v>
      </c>
      <c r="I15" s="1">
        <f>[1]FormattedData!B18</f>
        <v>1</v>
      </c>
      <c r="J15" s="4">
        <f>[1]FormattedData!C18</f>
        <v>12.909000000000001</v>
      </c>
      <c r="K15" s="6">
        <f>$J$3+[1]FormattedData!D18*$J$4+$M$4*$J$5+[1]FormattedData!D18^2*$J$6+$M$5*$J$7</f>
        <v>54.016324485771293</v>
      </c>
      <c r="L15" s="6">
        <f>$J$3+[1]FormattedData!E18*$J$4+$M$4*$J$5+[1]FormattedData!E18^2*$J$6+$M$5*$J$7</f>
        <v>38.553022498110472</v>
      </c>
      <c r="M15" s="6">
        <f>$J$3+[1]FormattedData!F18*$J$4+$M$4*$J$5+[1]FormattedData!F18^2*$J$6+$M$5*$J$7</f>
        <v>51.321711900899537</v>
      </c>
      <c r="N15" s="6">
        <f>$J$3+[1]FormattedData!G18*$J$4+$M$4*$J$5+[1]FormattedData!G18^2*$J$6+$M$5*$J$7</f>
        <v>40.32261527011871</v>
      </c>
      <c r="O15" s="6">
        <f>$J$3+[1]FormattedData!H18*$J$4+$M$4*$J$5+[1]FormattedData!H18^2*$J$6+$M$5*$J$7</f>
        <v>52.978067259790251</v>
      </c>
      <c r="P15" s="6">
        <f>$J$3+[1]FormattedData!I18*$J$4+$M$4*$J$5+[1]FormattedData!I18^2*$J$6+$M$5*$J$7</f>
        <v>39.39315273747917</v>
      </c>
      <c r="Q15" s="6">
        <f>$J$3+[1]FormattedData!J18*$J$4+$M$4*$J$5+[1]FormattedData!J18^2*$J$6+$M$5*$J$7</f>
        <v>46.351058492408356</v>
      </c>
      <c r="R15" s="6">
        <f>$J$3+[1]FormattedData!K18*$J$4+$M$4*$J$5+[1]FormattedData!K18^2*$J$6+$M$5*$J$7</f>
        <v>41.155517589501173</v>
      </c>
      <c r="S15" s="6">
        <f>$J$3+[1]FormattedData!L18*$J$4+$M$4*$J$5+[1]FormattedData!L18^2*$J$6+$M$5*$J$7</f>
        <v>52.020984499259328</v>
      </c>
      <c r="T15" s="6">
        <f>$J$3+[1]FormattedData!M18*$J$4+$M$4*$J$5+[1]FormattedData!M18^2*$J$6+$M$5*$J$7</f>
        <v>38.365861935444627</v>
      </c>
      <c r="U15" s="6">
        <f>$J$3+[1]FormattedData!N18*$J$4+$M$4*$J$5+[1]FormattedData!N18^2*$J$6+$M$5*$J$7</f>
        <v>53.151532816166402</v>
      </c>
      <c r="V15" s="6">
        <f>$J$3+[1]FormattedData!O18*$J$4+$M$4*$J$5+[1]FormattedData!O18^2*$J$6+$M$5*$J$7</f>
        <v>44.452889351306837</v>
      </c>
      <c r="W15" s="5">
        <f t="shared" si="0"/>
        <v>46.006894903021355</v>
      </c>
      <c r="X15" s="4">
        <f t="shared" si="1"/>
        <v>1.8345961351827218</v>
      </c>
      <c r="Y15" s="3">
        <f t="shared" si="2"/>
        <v>38.365861935444627</v>
      </c>
      <c r="Z15" s="2">
        <f t="shared" si="3"/>
        <v>40.090249636958823</v>
      </c>
      <c r="AA15" s="3">
        <f t="shared" si="4"/>
        <v>45.401973921857596</v>
      </c>
      <c r="AB15" s="2">
        <f t="shared" si="5"/>
        <v>52.260255189392055</v>
      </c>
      <c r="AC15" s="2">
        <f t="shared" si="6"/>
        <v>54.016324485771293</v>
      </c>
      <c r="AD15" s="2">
        <f t="shared" si="7"/>
        <v>5.6880090962610381E-2</v>
      </c>
      <c r="AE15" s="2">
        <f t="shared" si="8"/>
        <v>-1.9853019157649578</v>
      </c>
    </row>
    <row r="16" spans="1:35" x14ac:dyDescent="0.2">
      <c r="B16" s="1">
        <f>[1]FormattedData!A16</f>
        <v>107</v>
      </c>
      <c r="C16" s="1" t="str">
        <f>VLOOKUP($B16,[1]TrtCodes!$B$11:I59,2)</f>
        <v>NTL</v>
      </c>
      <c r="D16" s="1">
        <f>VLOOKUP($B16,[1]TrtCodes!$B$11:J59,3)</f>
        <v>10</v>
      </c>
      <c r="E16" s="1">
        <f>VLOOKUP($B16,[1]TrtCodes!$B$11:K59,4)</f>
        <v>2</v>
      </c>
      <c r="F16" s="1">
        <f>VLOOKUP($B16,[1]TrtCodes!$B$11:L59,5)</f>
        <v>2</v>
      </c>
      <c r="G16" s="1">
        <f>VLOOKUP($B16,[1]TrtCodes!$B$11:M59,6)</f>
        <v>1</v>
      </c>
      <c r="H16" s="1">
        <f>VLOOKUP($B16,[1]TrtCodes!$B$11:N59,7)</f>
        <v>2</v>
      </c>
      <c r="I16" s="1">
        <f>[1]FormattedData!B16</f>
        <v>1</v>
      </c>
      <c r="J16" s="4">
        <f>[1]FormattedData!C16</f>
        <v>12.894</v>
      </c>
      <c r="K16" s="6">
        <f>$J$3+[1]FormattedData!D16*$J$4+$M$4*$J$5+[1]FormattedData!D16^2*$J$6+$M$5*$J$7</f>
        <v>55.562297819501453</v>
      </c>
      <c r="L16" s="6">
        <f>$J$3+[1]FormattedData!E16*$J$4+$M$4*$J$5+[1]FormattedData!E16^2*$J$6+$M$5*$J$7</f>
        <v>49.826775565074598</v>
      </c>
      <c r="M16" s="6">
        <f>$J$3+[1]FormattedData!F16*$J$4+$M$4*$J$5+[1]FormattedData!F16^2*$J$6+$M$5*$J$7</f>
        <v>55.219931708845714</v>
      </c>
      <c r="N16" s="6">
        <f>$J$3+[1]FormattedData!G16*$J$4+$M$4*$J$5+[1]FormattedData!G16^2*$J$6+$M$5*$J$7</f>
        <v>38.272218251304814</v>
      </c>
      <c r="O16" s="6">
        <f>$J$3+[1]FormattedData!H16*$J$4+$M$4*$J$5+[1]FormattedData!H16^2*$J$6+$M$5*$J$7</f>
        <v>53.843704300153767</v>
      </c>
      <c r="P16" s="6">
        <f>$J$3+[1]FormattedData!I16*$J$4+$M$4*$J$5+[1]FormattedData!I16^2*$J$6+$M$5*$J$7</f>
        <v>44.63447046696578</v>
      </c>
      <c r="Q16" s="6">
        <f>$J$3+[1]FormattedData!J16*$J$4+$M$4*$J$5+[1]FormattedData!J16^2*$J$6+$M$5*$J$7</f>
        <v>55.47676969464441</v>
      </c>
      <c r="R16" s="6">
        <f>$J$3+[1]FormattedData!K16*$J$4+$M$4*$J$5+[1]FormattedData!K16^2*$J$6+$M$5*$J$7</f>
        <v>37.991033587657768</v>
      </c>
      <c r="S16" s="6">
        <f>$J$3+[1]FormattedData!L16*$J$4+$M$4*$J$5+[1]FormattedData!L16^2*$J$6+$M$5*$J$7</f>
        <v>54.705114486724163</v>
      </c>
      <c r="T16" s="6">
        <f>$J$3+[1]FormattedData!M16*$J$4+$M$4*$J$5+[1]FormattedData!M16^2*$J$6+$M$5*$J$7</f>
        <v>44.089219897533809</v>
      </c>
      <c r="U16" s="6">
        <f>$J$3+[1]FormattedData!N16*$J$4+$M$4*$J$5+[1]FormattedData!N16^2*$J$6+$M$5*$J$7</f>
        <v>54.533170597713536</v>
      </c>
      <c r="V16" s="6">
        <f>$J$3+[1]FormattedData!O16*$J$4+$M$4*$J$5+[1]FormattedData!O16^2*$J$6+$M$5*$J$7</f>
        <v>38.459463351046509</v>
      </c>
      <c r="W16" s="5">
        <f t="shared" si="0"/>
        <v>48.551180810597181</v>
      </c>
      <c r="X16" s="4">
        <f t="shared" si="1"/>
        <v>2.1304983893184506</v>
      </c>
      <c r="Y16" s="3">
        <f t="shared" si="2"/>
        <v>37.991033587657768</v>
      </c>
      <c r="Z16" s="2">
        <f t="shared" si="3"/>
        <v>42.681780760911984</v>
      </c>
      <c r="AA16" s="3">
        <f t="shared" si="4"/>
        <v>51.835239932614186</v>
      </c>
      <c r="AB16" s="2">
        <f t="shared" si="5"/>
        <v>54.833818792254547</v>
      </c>
      <c r="AC16" s="2">
        <f t="shared" si="6"/>
        <v>55.562297819501453</v>
      </c>
      <c r="AD16" s="2">
        <f t="shared" si="7"/>
        <v>-0.50734937864723562</v>
      </c>
      <c r="AE16" s="2">
        <f t="shared" si="8"/>
        <v>-1.6538849658177637</v>
      </c>
    </row>
    <row r="17" spans="2:31" x14ac:dyDescent="0.2">
      <c r="B17" s="1">
        <f>[1]FormattedData!A14</f>
        <v>108</v>
      </c>
      <c r="C17" s="1" t="str">
        <f>VLOOKUP($B17,[1]TrtCodes!$B$11:I57,2)</f>
        <v>FTH</v>
      </c>
      <c r="D17" s="1">
        <f>VLOOKUP($B17,[1]TrtCodes!$B$11:J57,3)</f>
        <v>3</v>
      </c>
      <c r="E17" s="1">
        <f>VLOOKUP($B17,[1]TrtCodes!$B$11:K57,4)</f>
        <v>1</v>
      </c>
      <c r="F17" s="1">
        <f>VLOOKUP($B17,[1]TrtCodes!$B$11:L57,5)</f>
        <v>2</v>
      </c>
      <c r="G17" s="1">
        <f>VLOOKUP($B17,[1]TrtCodes!$B$11:M57,6)</f>
        <v>2</v>
      </c>
      <c r="H17" s="1">
        <f>VLOOKUP($B17,[1]TrtCodes!$B$11:N57,7)</f>
        <v>2</v>
      </c>
      <c r="I17" s="1">
        <f>[1]FormattedData!B14</f>
        <v>1</v>
      </c>
      <c r="J17" s="4">
        <f>[1]FormattedData!C14</f>
        <v>12.88</v>
      </c>
      <c r="K17" s="6">
        <f>$J$3+[1]FormattedData!D14*$J$4+$M$4*$J$5+[1]FormattedData!D14^2*$J$6+$M$5*$J$7</f>
        <v>56.670317005691224</v>
      </c>
      <c r="L17" s="6">
        <f>$J$3+[1]FormattedData!E14*$J$4+$M$4*$J$5+[1]FormattedData!E14^2*$J$6+$M$5*$J$7</f>
        <v>54.447135250401324</v>
      </c>
      <c r="M17" s="6">
        <f>$J$3+[1]FormattedData!F14*$J$4+$M$4*$J$5+[1]FormattedData!F14^2*$J$6+$M$5*$J$7</f>
        <v>47.963224356538682</v>
      </c>
      <c r="N17" s="6">
        <f>$J$3+[1]FormattedData!G14*$J$4+$M$4*$J$5+[1]FormattedData!G14^2*$J$6+$M$5*$J$7</f>
        <v>43.085641745278636</v>
      </c>
      <c r="O17" s="6">
        <f>$J$3+[1]FormattedData!H14*$J$4+$M$4*$J$5+[1]FormattedData!H14^2*$J$6+$M$5*$J$7</f>
        <v>51.671686348382877</v>
      </c>
      <c r="P17" s="6">
        <f>$J$3+[1]FormattedData!I14*$J$4+$M$4*$J$5+[1]FormattedData!I14^2*$J$6+$M$5*$J$7</f>
        <v>45.63014440262782</v>
      </c>
      <c r="Q17" s="6">
        <f>$J$3+[1]FormattedData!J14*$J$4+$M$4*$J$5+[1]FormattedData!J14^2*$J$6+$M$5*$J$7</f>
        <v>51.409268915577265</v>
      </c>
      <c r="R17" s="6">
        <f>$J$3+[1]FormattedData!K14*$J$4+$M$4*$J$5+[1]FormattedData!K14^2*$J$6+$M$5*$J$7</f>
        <v>42.627779116372679</v>
      </c>
      <c r="S17" s="6">
        <f>$J$3+[1]FormattedData!L14*$J$4+$M$4*$J$5+[1]FormattedData!L14^2*$J$6+$M$5*$J$7</f>
        <v>50.355795015941013</v>
      </c>
      <c r="T17" s="6">
        <f>$J$3+[1]FormattedData!M14*$J$4+$M$4*$J$5+[1]FormattedData!M14^2*$J$6+$M$5*$J$7</f>
        <v>45.539839932984563</v>
      </c>
      <c r="U17" s="6">
        <f>$J$3+[1]FormattedData!N14*$J$4+$M$4*$J$5+[1]FormattedData!N14^2*$J$6+$M$5*$J$7</f>
        <v>52.978067259790251</v>
      </c>
      <c r="V17" s="6">
        <f>$J$3+[1]FormattedData!O14*$J$4+$M$4*$J$5+[1]FormattedData!O14^2*$J$6+$M$5*$J$7</f>
        <v>40.50800055419144</v>
      </c>
      <c r="W17" s="5">
        <f t="shared" si="0"/>
        <v>48.573908325314811</v>
      </c>
      <c r="X17" s="4">
        <f t="shared" si="1"/>
        <v>1.4797484052002243</v>
      </c>
      <c r="Y17" s="3">
        <f t="shared" si="2"/>
        <v>40.50800055419144</v>
      </c>
      <c r="Z17" s="2">
        <f t="shared" si="3"/>
        <v>44.926290386058085</v>
      </c>
      <c r="AA17" s="3">
        <f t="shared" si="4"/>
        <v>49.159509686239844</v>
      </c>
      <c r="AB17" s="2">
        <f t="shared" si="5"/>
        <v>51.998281576234717</v>
      </c>
      <c r="AC17" s="2">
        <f t="shared" si="6"/>
        <v>56.670317005691224</v>
      </c>
      <c r="AD17" s="2">
        <f t="shared" si="7"/>
        <v>-6.2396533068509653E-2</v>
      </c>
      <c r="AE17" s="2">
        <f t="shared" si="8"/>
        <v>-1.1621933125830441</v>
      </c>
    </row>
    <row r="18" spans="2:31" x14ac:dyDescent="0.2">
      <c r="B18" s="1">
        <f>[1]FormattedData!A30</f>
        <v>201</v>
      </c>
      <c r="C18" s="1" t="str">
        <f>VLOOKUP($B18,[1]TrtCodes!$B$11:I73,2)</f>
        <v>NDL</v>
      </c>
      <c r="D18" s="1">
        <f>VLOOKUP($B18,[1]TrtCodes!$B$11:J73,3)</f>
        <v>12</v>
      </c>
      <c r="E18" s="1">
        <f>VLOOKUP($B18,[1]TrtCodes!$B$11:K73,4)</f>
        <v>2</v>
      </c>
      <c r="F18" s="1">
        <f>VLOOKUP($B18,[1]TrtCodes!$B$11:L73,5)</f>
        <v>3</v>
      </c>
      <c r="G18" s="1">
        <f>VLOOKUP($B18,[1]TrtCodes!$B$11:M73,6)</f>
        <v>1</v>
      </c>
      <c r="H18" s="1">
        <f>VLOOKUP($B18,[1]TrtCodes!$B$11:N73,7)</f>
        <v>1</v>
      </c>
      <c r="I18" s="1">
        <f>[1]FormattedData!B30</f>
        <v>1</v>
      </c>
      <c r="J18" s="4">
        <f>[1]FormattedData!C30</f>
        <v>13.007</v>
      </c>
      <c r="K18" s="6">
        <f>$J$3+[1]FormattedData!D30*$J$4+$M$4*$J$5+[1]FormattedData!D30^2*$J$6+$M$5*$J$7</f>
        <v>42.627779116372679</v>
      </c>
      <c r="L18" s="6">
        <f>$J$3+[1]FormattedData!E30*$J$4+$M$4*$J$5+[1]FormattedData!E30^2*$J$6+$M$5*$J$7</f>
        <v>32.864658362135032</v>
      </c>
      <c r="M18" s="6">
        <f>$J$3+[1]FormattedData!F30*$J$4+$M$4*$J$5+[1]FormattedData!F30^2*$J$6+$M$5*$J$7</f>
        <v>39.113489741197654</v>
      </c>
      <c r="N18" s="6">
        <f>$J$3+[1]FormattedData!G30*$J$4+$M$4*$J$5+[1]FormattedData!G30^2*$J$6+$M$5*$J$7</f>
        <v>31.805285739810756</v>
      </c>
      <c r="O18" s="6">
        <f>$J$3+[1]FormattedData!H30*$J$4+$M$4*$J$5+[1]FormattedData!H30^2*$J$6+$M$5*$J$7</f>
        <v>38.646539376636497</v>
      </c>
      <c r="P18" s="6">
        <f>$J$3+[1]FormattedData!I30*$J$4+$M$4*$J$5+[1]FormattedData!I30^2*$J$6+$M$5*$J$7</f>
        <v>31.031620514692154</v>
      </c>
      <c r="Q18" s="6">
        <f>$J$3+[1]FormattedData!J30*$J$4+$M$4*$J$5+[1]FormattedData!J30^2*$J$6+$M$5*$J$7</f>
        <v>38.459463351046509</v>
      </c>
      <c r="R18" s="6">
        <f>$J$3+[1]FormattedData!K30*$J$4+$M$4*$J$5+[1]FormattedData!K30^2*$J$6+$M$5*$J$7</f>
        <v>31.418791275554909</v>
      </c>
      <c r="S18" s="6">
        <f>$J$3+[1]FormattedData!L30*$J$4+$M$4*$J$5+[1]FormattedData!L30^2*$J$6+$M$5*$J$7</f>
        <v>39.206753008496086</v>
      </c>
      <c r="T18" s="6">
        <f>$J$3+[1]FormattedData!M30*$J$4+$M$4*$J$5+[1]FormattedData!M30^2*$J$6+$M$5*$J$7</f>
        <v>31.612123044758697</v>
      </c>
      <c r="U18" s="6">
        <f>$J$3+[1]FormattedData!N30*$J$4+$M$4*$J$5+[1]FormattedData!N30^2*$J$6+$M$5*$J$7</f>
        <v>40.137060911894253</v>
      </c>
      <c r="V18" s="6">
        <f>$J$3+[1]FormattedData!O30*$J$4+$M$4*$J$5+[1]FormattedData!O30^2*$J$6+$M$5*$J$7</f>
        <v>38.365861935444627</v>
      </c>
      <c r="W18" s="5">
        <f t="shared" si="0"/>
        <v>36.274118864836652</v>
      </c>
      <c r="X18" s="4">
        <f t="shared" si="1"/>
        <v>1.2032792281623421</v>
      </c>
      <c r="Y18" s="3">
        <f t="shared" si="2"/>
        <v>31.031620514692154</v>
      </c>
      <c r="Z18" s="2">
        <f t="shared" si="3"/>
        <v>31.756995066047743</v>
      </c>
      <c r="AA18" s="3">
        <f t="shared" si="4"/>
        <v>38.412662643245568</v>
      </c>
      <c r="AB18" s="2">
        <f t="shared" si="5"/>
        <v>39.13680555802226</v>
      </c>
      <c r="AC18" s="2">
        <f t="shared" si="6"/>
        <v>42.627779116372679</v>
      </c>
      <c r="AD18" s="2">
        <f t="shared" si="7"/>
        <v>-0.14092727481185183</v>
      </c>
      <c r="AE18" s="2">
        <f t="shared" si="8"/>
        <v>-1.7457962411956873</v>
      </c>
    </row>
    <row r="19" spans="2:31" x14ac:dyDescent="0.2">
      <c r="B19" s="1">
        <f>[1]FormattedData!A32</f>
        <v>202</v>
      </c>
      <c r="C19" s="1" t="str">
        <f>VLOOKUP($B19,[1]TrtCodes!$B$11:I75,2)</f>
        <v>NTH</v>
      </c>
      <c r="D19" s="1">
        <f>VLOOKUP($B19,[1]TrtCodes!$B$11:J75,3)</f>
        <v>9</v>
      </c>
      <c r="E19" s="1">
        <f>VLOOKUP($B19,[1]TrtCodes!$B$11:K75,4)</f>
        <v>2</v>
      </c>
      <c r="F19" s="1">
        <f>VLOOKUP($B19,[1]TrtCodes!$B$11:L75,5)</f>
        <v>2</v>
      </c>
      <c r="G19" s="1">
        <f>VLOOKUP($B19,[1]TrtCodes!$B$11:M75,6)</f>
        <v>2</v>
      </c>
      <c r="H19" s="1">
        <f>VLOOKUP($B19,[1]TrtCodes!$B$11:N75,7)</f>
        <v>1</v>
      </c>
      <c r="I19" s="1">
        <f>[1]FormattedData!B32</f>
        <v>1</v>
      </c>
      <c r="J19" s="4">
        <f>[1]FormattedData!C32</f>
        <v>13.021000000000001</v>
      </c>
      <c r="K19" s="6">
        <f>$J$3+[1]FormattedData!D32*$J$4+$M$4*$J$5+[1]FormattedData!D32^2*$J$6+$M$5*$J$7</f>
        <v>48.941694997262758</v>
      </c>
      <c r="L19" s="6">
        <f>$J$3+[1]FormattedData!E32*$J$4+$M$4*$J$5+[1]FormattedData!E32^2*$J$6+$M$5*$J$7</f>
        <v>43.724874147153876</v>
      </c>
      <c r="M19" s="6">
        <f>$J$3+[1]FormattedData!F32*$J$4+$M$4*$J$5+[1]FormattedData!F32^2*$J$6+$M$5*$J$7</f>
        <v>52.804432629262365</v>
      </c>
      <c r="N19" s="6">
        <f>$J$3+[1]FormattedData!G32*$J$4+$M$4*$J$5+[1]FormattedData!G32^2*$J$6+$M$5*$J$7</f>
        <v>35.727861272191767</v>
      </c>
      <c r="O19" s="6">
        <f>$J$3+[1]FormattedData!H32*$J$4+$M$4*$J$5+[1]FormattedData!H32^2*$J$6+$M$5*$J$7</f>
        <v>54.619163676487815</v>
      </c>
      <c r="P19" s="6">
        <f>$J$3+[1]FormattedData!I32*$J$4+$M$4*$J$5+[1]FormattedData!I32^2*$J$6+$M$5*$J$7</f>
        <v>37.80336580253676</v>
      </c>
      <c r="Q19" s="6">
        <f>$J$3+[1]FormattedData!J32*$J$4+$M$4*$J$5+[1]FormattedData!J32^2*$J$6+$M$5*$J$7</f>
        <v>53.930035527231489</v>
      </c>
      <c r="R19" s="6">
        <f>$J$3+[1]FormattedData!K32*$J$4+$M$4*$J$5+[1]FormattedData!K32^2*$J$6+$M$5*$J$7</f>
        <v>39.486289199163814</v>
      </c>
      <c r="S19" s="6">
        <f>$J$3+[1]FormattedData!L32*$J$4+$M$4*$J$5+[1]FormattedData!L32^2*$J$6+$M$5*$J$7</f>
        <v>51.846419960896974</v>
      </c>
      <c r="T19" s="6">
        <f>$J$3+[1]FormattedData!M32*$J$4+$M$4*$J$5+[1]FormattedData!M32^2*$J$6+$M$5*$J$7</f>
        <v>38.926836400986979</v>
      </c>
      <c r="U19" s="6">
        <f>$J$3+[1]FormattedData!N32*$J$4+$M$4*$J$5+[1]FormattedData!N32^2*$J$6+$M$5*$J$7</f>
        <v>51.759074288908892</v>
      </c>
      <c r="V19" s="6">
        <f>$J$3+[1]FormattedData!O32*$J$4+$M$4*$J$5+[1]FormattedData!O32^2*$J$6+$M$5*$J$7</f>
        <v>37.05100392053545</v>
      </c>
      <c r="W19" s="5">
        <f t="shared" si="0"/>
        <v>45.551754318551581</v>
      </c>
      <c r="X19" s="4">
        <f t="shared" si="1"/>
        <v>2.1452665263595674</v>
      </c>
      <c r="Y19" s="3">
        <f t="shared" si="2"/>
        <v>35.727861272191767</v>
      </c>
      <c r="Z19" s="2">
        <f t="shared" si="3"/>
        <v>38.645968751374426</v>
      </c>
      <c r="AA19" s="3">
        <f t="shared" si="4"/>
        <v>46.333284572208314</v>
      </c>
      <c r="AB19" s="2">
        <f t="shared" si="5"/>
        <v>52.085923127988323</v>
      </c>
      <c r="AC19" s="2">
        <f t="shared" si="6"/>
        <v>54.619163676487815</v>
      </c>
      <c r="AD19" s="2">
        <f t="shared" si="7"/>
        <v>-8.1051035112298012E-2</v>
      </c>
      <c r="AE19" s="2">
        <f t="shared" si="8"/>
        <v>-2.0146501690431715</v>
      </c>
    </row>
    <row r="20" spans="2:31" x14ac:dyDescent="0.2">
      <c r="B20" s="1">
        <f>[1]FormattedData!A34</f>
        <v>203</v>
      </c>
      <c r="C20" s="1" t="str">
        <f>VLOOKUP($B20,[1]TrtCodes!$B$11:I77,2)</f>
        <v>FTH</v>
      </c>
      <c r="D20" s="1">
        <f>VLOOKUP($B20,[1]TrtCodes!$B$11:J77,3)</f>
        <v>3</v>
      </c>
      <c r="E20" s="1">
        <f>VLOOKUP($B20,[1]TrtCodes!$B$11:K77,4)</f>
        <v>1</v>
      </c>
      <c r="F20" s="1">
        <f>VLOOKUP($B20,[1]TrtCodes!$B$11:L77,5)</f>
        <v>2</v>
      </c>
      <c r="G20" s="1">
        <f>VLOOKUP($B20,[1]TrtCodes!$B$11:M77,6)</f>
        <v>2</v>
      </c>
      <c r="H20" s="1">
        <f>VLOOKUP($B20,[1]TrtCodes!$B$11:N77,7)</f>
        <v>1</v>
      </c>
      <c r="I20" s="1">
        <f>[1]FormattedData!B34</f>
        <v>1</v>
      </c>
      <c r="J20" s="4">
        <f>[1]FormattedData!C34</f>
        <v>13.037000000000001</v>
      </c>
      <c r="K20" s="6">
        <f>$J$3+[1]FormattedData!D34*$J$4+$M$4*$J$5+[1]FormattedData!D34^2*$J$6+$M$5*$J$7</f>
        <v>56.415254298485635</v>
      </c>
      <c r="L20" s="6">
        <f>$J$3+[1]FormattedData!E34*$J$4+$M$4*$J$5+[1]FormattedData!E34^2*$J$6+$M$5*$J$7</f>
        <v>49.65009759981568</v>
      </c>
      <c r="M20" s="6">
        <f>$J$3+[1]FormattedData!F34*$J$4+$M$4*$J$5+[1]FormattedData!F34^2*$J$6+$M$5*$J$7</f>
        <v>54.447135250401324</v>
      </c>
      <c r="N20" s="6">
        <f>$J$3+[1]FormattedData!G34*$J$4+$M$4*$J$5+[1]FormattedData!G34^2*$J$6+$M$5*$J$7</f>
        <v>35.727861272191767</v>
      </c>
      <c r="O20" s="6">
        <f>$J$3+[1]FormattedData!H34*$J$4+$M$4*$J$5+[1]FormattedData!H34^2*$J$6+$M$5*$J$7</f>
        <v>52.978067259790251</v>
      </c>
      <c r="P20" s="6">
        <f>$J$3+[1]FormattedData!I34*$J$4+$M$4*$J$5+[1]FormattedData!I34^2*$J$6+$M$5*$J$7</f>
        <v>35.633034068989872</v>
      </c>
      <c r="Q20" s="6">
        <f>$J$3+[1]FormattedData!J34*$J$4+$M$4*$J$5+[1]FormattedData!J34^2*$J$6+$M$5*$J$7</f>
        <v>54.962713306205629</v>
      </c>
      <c r="R20" s="6">
        <f>$J$3+[1]FormattedData!K34*$J$4+$M$4*$J$5+[1]FormattedData!K34^2*$J$6+$M$5*$J$7</f>
        <v>52.456656145751438</v>
      </c>
      <c r="S20" s="6">
        <f>$J$3+[1]FormattedData!L34*$J$4+$M$4*$J$5+[1]FormattedData!L34^2*$J$6+$M$5*$J$7</f>
        <v>56.159811174438651</v>
      </c>
      <c r="T20" s="6">
        <f>$J$3+[1]FormattedData!M34*$J$4+$M$4*$J$5+[1]FormattedData!M34^2*$J$6+$M$5*$J$7</f>
        <v>34.587145110265631</v>
      </c>
      <c r="U20" s="6">
        <f>$J$3+[1]FormattedData!N34*$J$4+$M$4*$J$5+[1]FormattedData!N34^2*$J$6+$M$5*$J$7</f>
        <v>54.361057634551173</v>
      </c>
      <c r="V20" s="6">
        <f>$J$3+[1]FormattedData!O34*$J$4+$M$4*$J$5+[1]FormattedData!O34^2*$J$6+$M$5*$J$7</f>
        <v>38.740013986624589</v>
      </c>
      <c r="W20" s="5">
        <f t="shared" si="0"/>
        <v>48.00990392562597</v>
      </c>
      <c r="X20" s="4">
        <f t="shared" si="1"/>
        <v>2.5885394886050164</v>
      </c>
      <c r="Y20" s="3">
        <f t="shared" si="2"/>
        <v>34.587145110265631</v>
      </c>
      <c r="Z20" s="2">
        <f t="shared" si="3"/>
        <v>37.986975808016382</v>
      </c>
      <c r="AA20" s="3">
        <f t="shared" si="4"/>
        <v>52.717361702770845</v>
      </c>
      <c r="AB20" s="2">
        <f t="shared" si="5"/>
        <v>54.576029764352398</v>
      </c>
      <c r="AC20" s="2">
        <f t="shared" si="6"/>
        <v>56.415254298485635</v>
      </c>
      <c r="AD20" s="2">
        <f t="shared" si="7"/>
        <v>-0.71937558967295212</v>
      </c>
      <c r="AE20" s="2">
        <f t="shared" si="8"/>
        <v>-1.5434254357582375</v>
      </c>
    </row>
    <row r="21" spans="2:31" x14ac:dyDescent="0.2">
      <c r="B21" s="1">
        <f>[1]FormattedData!A36</f>
        <v>204</v>
      </c>
      <c r="C21" s="1" t="str">
        <f>VLOOKUP($B21,[1]TrtCodes!$B$11:I79,2)</f>
        <v>NDH</v>
      </c>
      <c r="D21" s="1">
        <f>VLOOKUP($B21,[1]TrtCodes!$B$11:J79,3)</f>
        <v>11</v>
      </c>
      <c r="E21" s="1">
        <f>VLOOKUP($B21,[1]TrtCodes!$B$11:K79,4)</f>
        <v>2</v>
      </c>
      <c r="F21" s="1">
        <f>VLOOKUP($B21,[1]TrtCodes!$B$11:L79,5)</f>
        <v>3</v>
      </c>
      <c r="G21" s="1">
        <f>VLOOKUP($B21,[1]TrtCodes!$B$11:M79,6)</f>
        <v>2</v>
      </c>
      <c r="H21" s="1">
        <f>VLOOKUP($B21,[1]TrtCodes!$B$11:N79,7)</f>
        <v>1</v>
      </c>
      <c r="I21" s="1">
        <f>[1]FormattedData!B36</f>
        <v>1</v>
      </c>
      <c r="J21" s="4">
        <f>[1]FormattedData!C36</f>
        <v>13.053000000000001</v>
      </c>
      <c r="K21" s="6">
        <f>$J$3+[1]FormattedData!D36*$J$4+$M$4*$J$5+[1]FormattedData!D36^2*$J$6+$M$5*$J$7</f>
        <v>31.515478294425765</v>
      </c>
      <c r="L21" s="6">
        <f>$J$3+[1]FormattedData!E36*$J$4+$M$4*$J$5+[1]FormattedData!E36^2*$J$6+$M$5*$J$7</f>
        <v>34.587145110265631</v>
      </c>
      <c r="M21" s="6">
        <f>$J$3+[1]FormattedData!F36*$J$4+$M$4*$J$5+[1]FormattedData!F36^2*$J$6+$M$5*$J$7</f>
        <v>40.785761466266059</v>
      </c>
      <c r="N21" s="6">
        <f>$J$3+[1]FormattedData!G36*$J$4+$M$4*$J$5+[1]FormattedData!G36^2*$J$6+$M$5*$J$7</f>
        <v>34.87289477600924</v>
      </c>
      <c r="O21" s="6">
        <f>$J$3+[1]FormattedData!H36*$J$4+$M$4*$J$5+[1]FormattedData!H36^2*$J$6+$M$5*$J$7</f>
        <v>43.542447660736315</v>
      </c>
      <c r="P21" s="6">
        <f>$J$3+[1]FormattedData!I36*$J$4+$M$4*$J$5+[1]FormattedData!I36^2*$J$6+$M$5*$J$7</f>
        <v>34.777687155965964</v>
      </c>
      <c r="Q21" s="6">
        <f>$J$3+[1]FormattedData!J36*$J$4+$M$4*$J$5+[1]FormattedData!J36^2*$J$6+$M$5*$J$7</f>
        <v>41.24785094896513</v>
      </c>
      <c r="R21" s="6">
        <f>$J$3+[1]FormattedData!K36*$J$4+$M$4*$J$5+[1]FormattedData!K36^2*$J$6+$M$5*$J$7</f>
        <v>31.901803684529895</v>
      </c>
      <c r="S21" s="6">
        <f>$J$3+[1]FormattedData!L36*$J$4+$M$4*$J$5+[1]FormattedData!L36^2*$J$6+$M$5*$J$7</f>
        <v>39.951337479518067</v>
      </c>
      <c r="T21" s="6">
        <f>$J$3+[1]FormattedData!M36*$J$4+$M$4*$J$5+[1]FormattedData!M36^2*$J$6+$M$5*$J$7</f>
        <v>32.960711352936926</v>
      </c>
      <c r="U21" s="6">
        <f>$J$3+[1]FormattedData!N36*$J$4+$M$4*$J$5+[1]FormattedData!N36^2*$J$6+$M$5*$J$7</f>
        <v>38.553022498110472</v>
      </c>
      <c r="V21" s="6">
        <f>$J$3+[1]FormattedData!O36*$J$4+$M$4*$J$5+[1]FormattedData!O36^2*$J$6+$M$5*$J$7</f>
        <v>33.056722075200888</v>
      </c>
      <c r="W21" s="5">
        <f t="shared" si="0"/>
        <v>36.479405208577532</v>
      </c>
      <c r="X21" s="4">
        <f t="shared" si="1"/>
        <v>1.1879186369541082</v>
      </c>
      <c r="Y21" s="3">
        <f t="shared" si="2"/>
        <v>31.515478294425765</v>
      </c>
      <c r="Z21" s="2">
        <f t="shared" si="3"/>
        <v>33.032719394634896</v>
      </c>
      <c r="AA21" s="3">
        <f t="shared" si="4"/>
        <v>34.825290965987605</v>
      </c>
      <c r="AB21" s="2">
        <f t="shared" si="5"/>
        <v>40.159943476205065</v>
      </c>
      <c r="AC21" s="2">
        <f t="shared" si="6"/>
        <v>43.542447660736315</v>
      </c>
      <c r="AD21" s="2">
        <f t="shared" si="7"/>
        <v>0.42841531768330365</v>
      </c>
      <c r="AE21" s="2">
        <f t="shared" si="8"/>
        <v>-1.3527762702434676</v>
      </c>
    </row>
    <row r="22" spans="2:31" x14ac:dyDescent="0.2">
      <c r="B22" s="1">
        <f>[1]FormattedData!A38</f>
        <v>205</v>
      </c>
      <c r="C22" s="1" t="str">
        <f>VLOOKUP($B22,[1]TrtCodes!$B$11:I81,2)</f>
        <v>FSH</v>
      </c>
      <c r="D22" s="1">
        <f>VLOOKUP($B22,[1]TrtCodes!$B$11:J81,3)</f>
        <v>1</v>
      </c>
      <c r="E22" s="1">
        <f>VLOOKUP($B22,[1]TrtCodes!$B$11:K81,4)</f>
        <v>1</v>
      </c>
      <c r="F22" s="1">
        <f>VLOOKUP($B22,[1]TrtCodes!$B$11:L81,5)</f>
        <v>1</v>
      </c>
      <c r="G22" s="1">
        <f>VLOOKUP($B22,[1]TrtCodes!$B$11:M81,6)</f>
        <v>2</v>
      </c>
      <c r="H22" s="1">
        <f>VLOOKUP($B22,[1]TrtCodes!$B$11:N81,7)</f>
        <v>2</v>
      </c>
      <c r="I22" s="1">
        <f>[1]FormattedData!B38</f>
        <v>1</v>
      </c>
      <c r="J22" s="4">
        <f>[1]FormattedData!C38</f>
        <v>13.066000000000001</v>
      </c>
      <c r="K22" s="6">
        <f>$J$3+[1]FormattedData!D38*$J$4+$M$4*$J$5+[1]FormattedData!D38^2*$J$6+$M$5*$J$7</f>
        <v>45.539839932984563</v>
      </c>
      <c r="L22" s="6">
        <f>$J$3+[1]FormattedData!E38*$J$4+$M$4*$J$5+[1]FormattedData!E38^2*$J$6+$M$5*$J$7</f>
        <v>55.733227263601741</v>
      </c>
      <c r="M22" s="6">
        <f>$J$3+[1]FormattedData!F38*$J$4+$M$4*$J$5+[1]FormattedData!F38^2*$J$6+$M$5*$J$7</f>
        <v>54.876889301583077</v>
      </c>
      <c r="N22" s="6">
        <f>$J$3+[1]FormattedData!G38*$J$4+$M$4*$J$5+[1]FormattedData!G38^2*$J$6+$M$5*$J$7</f>
        <v>37.333456640320428</v>
      </c>
      <c r="O22" s="6">
        <f>$J$3+[1]FormattedData!H38*$J$4+$M$4*$J$5+[1]FormattedData!H38^2*$J$6+$M$5*$J$7</f>
        <v>55.47676969464441</v>
      </c>
      <c r="P22" s="6">
        <f>$J$3+[1]FormattedData!I38*$J$4+$M$4*$J$5+[1]FormattedData!I38^2*$J$6+$M$5*$J$7</f>
        <v>38.553022498110472</v>
      </c>
      <c r="Q22" s="6">
        <f>$J$3+[1]FormattedData!J38*$J$4+$M$4*$J$5+[1]FormattedData!J38^2*$J$6+$M$5*$J$7</f>
        <v>55.903987633550294</v>
      </c>
      <c r="R22" s="6">
        <f>$J$3+[1]FormattedData!K38*$J$4+$M$4*$J$5+[1]FormattedData!K38^2*$J$6+$M$5*$J$7</f>
        <v>52.978067259790251</v>
      </c>
      <c r="S22" s="6">
        <f>$J$3+[1]FormattedData!L38*$J$4+$M$4*$J$5+[1]FormattedData!L38^2*$J$6+$M$5*$J$7</f>
        <v>56.500317469425426</v>
      </c>
      <c r="T22" s="6">
        <f>$J$3+[1]FormattedData!M38*$J$4+$M$4*$J$5+[1]FormattedData!M38^2*$J$6+$M$5*$J$7</f>
        <v>36.29593685210655</v>
      </c>
      <c r="U22" s="6">
        <f>$J$3+[1]FormattedData!N38*$J$4+$M$4*$J$5+[1]FormattedData!N38^2*$J$6+$M$5*$J$7</f>
        <v>54.10257117577315</v>
      </c>
      <c r="V22" s="6">
        <f>$J$3+[1]FormattedData!O38*$J$4+$M$4*$J$5+[1]FormattedData!O38^2*$J$6+$M$5*$J$7</f>
        <v>42.444338185044778</v>
      </c>
      <c r="W22" s="5">
        <f t="shared" si="0"/>
        <v>48.811535325577921</v>
      </c>
      <c r="X22" s="4">
        <f t="shared" si="1"/>
        <v>2.3496739904602286</v>
      </c>
      <c r="Y22" s="3">
        <f t="shared" si="2"/>
        <v>36.29593685210655</v>
      </c>
      <c r="Z22" s="2">
        <f t="shared" si="3"/>
        <v>41.471509263311205</v>
      </c>
      <c r="AA22" s="3">
        <f t="shared" si="4"/>
        <v>53.5403192177817</v>
      </c>
      <c r="AB22" s="2">
        <f t="shared" si="5"/>
        <v>55.540884086883743</v>
      </c>
      <c r="AC22" s="2">
        <f t="shared" si="6"/>
        <v>56.500317469425426</v>
      </c>
      <c r="AD22" s="2">
        <f t="shared" si="7"/>
        <v>-0.59936098319216902</v>
      </c>
      <c r="AE22" s="2">
        <f t="shared" si="8"/>
        <v>-1.6115460700840991</v>
      </c>
    </row>
    <row r="23" spans="2:31" x14ac:dyDescent="0.2">
      <c r="B23" s="1">
        <f>[1]FormattedData!A40</f>
        <v>206</v>
      </c>
      <c r="C23" s="1" t="str">
        <f>VLOOKUP($B23,[1]TrtCodes!$B$11:I83,2)</f>
        <v>NSL</v>
      </c>
      <c r="D23" s="1">
        <f>VLOOKUP($B23,[1]TrtCodes!$B$11:J83,3)</f>
        <v>8</v>
      </c>
      <c r="E23" s="1">
        <f>VLOOKUP($B23,[1]TrtCodes!$B$11:K83,4)</f>
        <v>2</v>
      </c>
      <c r="F23" s="1">
        <f>VLOOKUP($B23,[1]TrtCodes!$B$11:L83,5)</f>
        <v>1</v>
      </c>
      <c r="G23" s="1">
        <f>VLOOKUP($B23,[1]TrtCodes!$B$11:M83,6)</f>
        <v>1</v>
      </c>
      <c r="H23" s="1">
        <f>VLOOKUP($B23,[1]TrtCodes!$B$11:N83,7)</f>
        <v>2</v>
      </c>
      <c r="I23" s="1">
        <f>[1]FormattedData!B40</f>
        <v>1</v>
      </c>
      <c r="J23" s="4">
        <f>[1]FormattedData!C40</f>
        <v>13.082000000000001</v>
      </c>
      <c r="K23" s="6">
        <f>$J$3+[1]FormattedData!D40*$J$4+$M$4*$J$5+[1]FormattedData!D40^2*$J$6+$M$5*$J$7</f>
        <v>44.089219897533809</v>
      </c>
      <c r="L23" s="6">
        <f>$J$3+[1]FormattedData!E40*$J$4+$M$4*$J$5+[1]FormattedData!E40^2*$J$6+$M$5*$J$7</f>
        <v>45.63014440262782</v>
      </c>
      <c r="M23" s="6">
        <f>$J$3+[1]FormattedData!F40*$J$4+$M$4*$J$5+[1]FormattedData!F40^2*$J$6+$M$5*$J$7</f>
        <v>45.539839932984563</v>
      </c>
      <c r="N23" s="6">
        <f>$J$3+[1]FormattedData!G40*$J$4+$M$4*$J$5+[1]FormattedData!G40^2*$J$6+$M$5*$J$7</f>
        <v>43.998196862745715</v>
      </c>
      <c r="O23" s="6">
        <f>$J$3+[1]FormattedData!H40*$J$4+$M$4*$J$5+[1]FormattedData!H40^2*$J$6+$M$5*$J$7</f>
        <v>48.675346590429548</v>
      </c>
      <c r="P23" s="6">
        <f>$J$3+[1]FormattedData!I40*$J$4+$M$4*$J$5+[1]FormattedData!I40^2*$J$6+$M$5*$J$7</f>
        <v>40.32261527011871</v>
      </c>
      <c r="Q23" s="6">
        <f>$J$3+[1]FormattedData!J40*$J$4+$M$4*$J$5+[1]FormattedData!J40^2*$J$6+$M$5*$J$7</f>
        <v>47.963224356538682</v>
      </c>
      <c r="R23" s="6">
        <f>$J$3+[1]FormattedData!K40*$J$4+$M$4*$J$5+[1]FormattedData!K40^2*$J$6+$M$5*$J$7</f>
        <v>36.201363260132247</v>
      </c>
      <c r="S23" s="6">
        <f>$J$3+[1]FormattedData!L40*$J$4+$M$4*$J$5+[1]FormattedData!L40^2*$J$6+$M$5*$J$7</f>
        <v>45.449493194803374</v>
      </c>
      <c r="T23" s="6">
        <f>$J$3+[1]FormattedData!M40*$J$4+$M$4*$J$5+[1]FormattedData!M40^2*$J$6+$M$5*$J$7</f>
        <v>36.579404016801867</v>
      </c>
      <c r="U23" s="6">
        <f>$J$3+[1]FormattedData!N40*$J$4+$M$4*$J$5+[1]FormattedData!N40^2*$J$6+$M$5*$J$7</f>
        <v>48.408617766754958</v>
      </c>
      <c r="V23" s="6">
        <f>$J$3+[1]FormattedData!O40*$J$4+$M$4*$J$5+[1]FormattedData!O40^2*$J$6+$M$5*$J$7</f>
        <v>47.248396936220239</v>
      </c>
      <c r="W23" s="5">
        <f t="shared" si="0"/>
        <v>44.175488540640963</v>
      </c>
      <c r="X23" s="4">
        <f t="shared" si="1"/>
        <v>1.2423373057571065</v>
      </c>
      <c r="Y23" s="3">
        <f t="shared" si="2"/>
        <v>36.201363260132247</v>
      </c>
      <c r="Z23" s="2">
        <f t="shared" si="3"/>
        <v>43.079301464588966</v>
      </c>
      <c r="AA23" s="3">
        <f t="shared" si="4"/>
        <v>45.494666563893972</v>
      </c>
      <c r="AB23" s="2">
        <f t="shared" si="5"/>
        <v>47.427103791299849</v>
      </c>
      <c r="AC23" s="2">
        <f t="shared" si="6"/>
        <v>48.675346590429548</v>
      </c>
      <c r="AD23" s="2">
        <f t="shared" si="7"/>
        <v>-1.0190150284858042</v>
      </c>
      <c r="AE23" s="2">
        <f t="shared" si="8"/>
        <v>-6.9065638838319288E-2</v>
      </c>
    </row>
    <row r="24" spans="2:31" x14ac:dyDescent="0.2">
      <c r="B24" s="1">
        <f>[1]FormattedData!A42</f>
        <v>207</v>
      </c>
      <c r="C24" s="1" t="str">
        <f>VLOOKUP($B24,[1]TrtCodes!$B$11:I85,2)</f>
        <v>FTL</v>
      </c>
      <c r="D24" s="1">
        <f>VLOOKUP($B24,[1]TrtCodes!$B$11:J85,3)</f>
        <v>4</v>
      </c>
      <c r="E24" s="1">
        <f>VLOOKUP($B24,[1]TrtCodes!$B$11:K85,4)</f>
        <v>1</v>
      </c>
      <c r="F24" s="1">
        <f>VLOOKUP($B24,[1]TrtCodes!$B$11:L85,5)</f>
        <v>2</v>
      </c>
      <c r="G24" s="1">
        <f>VLOOKUP($B24,[1]TrtCodes!$B$11:M85,6)</f>
        <v>1</v>
      </c>
      <c r="H24" s="1">
        <f>VLOOKUP($B24,[1]TrtCodes!$B$11:N85,7)</f>
        <v>2</v>
      </c>
      <c r="I24" s="1">
        <f>[1]FormattedData!B42</f>
        <v>1</v>
      </c>
      <c r="J24" s="4">
        <f>[1]FormattedData!C42</f>
        <v>13.097</v>
      </c>
      <c r="K24" s="6">
        <f>$J$3+[1]FormattedData!D42*$J$4+$M$4*$J$5+[1]FormattedData!D42^2*$J$6+$M$5*$J$7</f>
        <v>39.765444972990153</v>
      </c>
      <c r="L24" s="6">
        <f>$J$3+[1]FormattedData!E42*$J$4+$M$4*$J$5+[1]FormattedData!E42^2*$J$6+$M$5*$J$7</f>
        <v>55.391199301249443</v>
      </c>
      <c r="M24" s="6">
        <f>$J$3+[1]FormattedData!F42*$J$4+$M$4*$J$5+[1]FormattedData!F42^2*$J$6+$M$5*$J$7</f>
        <v>49.915051144897163</v>
      </c>
      <c r="N24" s="6">
        <f>$J$3+[1]FormattedData!G42*$J$4+$M$4*$J$5+[1]FormattedData!G42^2*$J$6+$M$5*$J$7</f>
        <v>35.633034068989872</v>
      </c>
      <c r="O24" s="6">
        <f>$J$3+[1]FormattedData!H42*$J$4+$M$4*$J$5+[1]FormattedData!H42^2*$J$6+$M$5*$J$7</f>
        <v>50.531796684593033</v>
      </c>
      <c r="P24" s="6">
        <f>$J$3+[1]FormattedData!I42*$J$4+$M$4*$J$5+[1]FormattedData!I42^2*$J$6+$M$5*$J$7</f>
        <v>34.110050296601003</v>
      </c>
      <c r="Q24" s="6">
        <f>$J$3+[1]FormattedData!J42*$J$4+$M$4*$J$5+[1]FormattedData!J42^2*$J$6+$M$5*$J$7</f>
        <v>54.188775597237097</v>
      </c>
      <c r="R24" s="6">
        <f>$J$3+[1]FormattedData!K42*$J$4+$M$4*$J$5+[1]FormattedData!K42^2*$J$6+$M$5*$J$7</f>
        <v>31.515478294425765</v>
      </c>
      <c r="S24" s="6">
        <f>$J$3+[1]FormattedData!L42*$J$4+$M$4*$J$5+[1]FormattedData!L42^2*$J$6+$M$5*$J$7</f>
        <v>53.497956706463526</v>
      </c>
      <c r="T24" s="6">
        <f>$J$3+[1]FormattedData!M42*$J$4+$M$4*$J$5+[1]FormattedData!M42^2*$J$6+$M$5*$J$7</f>
        <v>33.727613611986548</v>
      </c>
      <c r="U24" s="6">
        <f>$J$3+[1]FormattedData!N42*$J$4+$M$4*$J$5+[1]FormattedData!N42^2*$J$6+$M$5*$J$7</f>
        <v>54.791023028422586</v>
      </c>
      <c r="V24" s="6">
        <f>$J$3+[1]FormattedData!O42*$J$4+$M$4*$J$5+[1]FormattedData!O42^2*$J$6+$M$5*$J$7</f>
        <v>39.858412360523076</v>
      </c>
      <c r="W24" s="5">
        <f t="shared" si="0"/>
        <v>44.4104863390316</v>
      </c>
      <c r="X24" s="4">
        <f t="shared" si="1"/>
        <v>2.7249475553070699</v>
      </c>
      <c r="Y24" s="3">
        <f t="shared" si="2"/>
        <v>31.515478294425765</v>
      </c>
      <c r="Z24" s="2">
        <f t="shared" si="3"/>
        <v>35.252288125892655</v>
      </c>
      <c r="AA24" s="3">
        <f t="shared" si="4"/>
        <v>44.886731752710119</v>
      </c>
      <c r="AB24" s="2">
        <f t="shared" si="5"/>
        <v>53.670661429156922</v>
      </c>
      <c r="AC24" s="2">
        <f t="shared" si="6"/>
        <v>55.391199301249443</v>
      </c>
      <c r="AD24" s="2">
        <f t="shared" si="7"/>
        <v>-0.10413494699800523</v>
      </c>
      <c r="AE24" s="2">
        <f t="shared" si="8"/>
        <v>-1.9852183262747607</v>
      </c>
    </row>
    <row r="25" spans="2:31" x14ac:dyDescent="0.2">
      <c r="B25" s="1">
        <f>[1]FormattedData!A44</f>
        <v>208</v>
      </c>
      <c r="C25" s="1" t="str">
        <f>VLOOKUP($B25,[1]TrtCodes!$B$11:I87,2)</f>
        <v>FSL</v>
      </c>
      <c r="D25" s="1">
        <f>VLOOKUP($B25,[1]TrtCodes!$B$11:J87,3)</f>
        <v>2</v>
      </c>
      <c r="E25" s="1">
        <f>VLOOKUP($B25,[1]TrtCodes!$B$11:K87,4)</f>
        <v>1</v>
      </c>
      <c r="F25" s="1">
        <f>VLOOKUP($B25,[1]TrtCodes!$B$11:L87,5)</f>
        <v>1</v>
      </c>
      <c r="G25" s="1">
        <f>VLOOKUP($B25,[1]TrtCodes!$B$11:M87,6)</f>
        <v>1</v>
      </c>
      <c r="H25" s="1">
        <f>VLOOKUP($B25,[1]TrtCodes!$B$11:N87,7)</f>
        <v>2</v>
      </c>
      <c r="I25" s="1">
        <f>[1]FormattedData!B44</f>
        <v>1</v>
      </c>
      <c r="J25" s="4">
        <f>[1]FormattedData!C44</f>
        <v>13.114000000000001</v>
      </c>
      <c r="K25" s="6">
        <f>$J$3+[1]FormattedData!D44*$J$4+$M$4*$J$5+[1]FormattedData!D44^2*$J$6+$M$5*$J$7</f>
        <v>48.141508526238994</v>
      </c>
      <c r="L25" s="6">
        <f>$J$3+[1]FormattedData!E44*$J$4+$M$4*$J$5+[1]FormattedData!E44^2*$J$6+$M$5*$J$7</f>
        <v>46.620703845200197</v>
      </c>
      <c r="M25" s="6">
        <f>$J$3+[1]FormattedData!F44*$J$4+$M$4*$J$5+[1]FormattedData!F44^2*$J$6+$M$5*$J$7</f>
        <v>52.978067259790251</v>
      </c>
      <c r="N25" s="6">
        <f>$J$3+[1]FormattedData!G44*$J$4+$M$4*$J$5+[1]FormattedData!G44^2*$J$6+$M$5*$J$7</f>
        <v>41.708883718215922</v>
      </c>
      <c r="O25" s="6">
        <f>$J$3+[1]FormattedData!H44*$J$4+$M$4*$J$5+[1]FormattedData!H44^2*$J$6+$M$5*$J$7</f>
        <v>55.647783675820563</v>
      </c>
      <c r="P25" s="6">
        <f>$J$3+[1]FormattedData!I44*$J$4+$M$4*$J$5+[1]FormattedData!I44^2*$J$6+$M$5*$J$7</f>
        <v>46.171083581190807</v>
      </c>
      <c r="Q25" s="6">
        <f>$J$3+[1]FormattedData!J44*$J$4+$M$4*$J$5+[1]FormattedData!J44^2*$J$6+$M$5*$J$7</f>
        <v>56.585338371827291</v>
      </c>
      <c r="R25" s="6">
        <f>$J$3+[1]FormattedData!K44*$J$4+$M$4*$J$5+[1]FormattedData!K44^2*$J$6+$M$5*$J$7</f>
        <v>42.902623499330048</v>
      </c>
      <c r="S25" s="6">
        <f>$J$3+[1]FormattedData!L44*$J$4+$M$4*$J$5+[1]FormattedData!L44^2*$J$6+$M$5*$J$7</f>
        <v>55.134234509836951</v>
      </c>
      <c r="T25" s="6">
        <f>$J$3+[1]FormattedData!M44*$J$4+$M$4*$J$5+[1]FormattedData!M44^2*$J$6+$M$5*$J$7</f>
        <v>45.178199369032221</v>
      </c>
      <c r="U25" s="6">
        <f>$J$3+[1]FormattedData!N44*$J$4+$M$4*$J$5+[1]FormattedData!N44^2*$J$6+$M$5*$J$7</f>
        <v>53.064821172247285</v>
      </c>
      <c r="V25" s="6">
        <f>$J$3+[1]FormattedData!O44*$J$4+$M$4*$J$5+[1]FormattedData!O44^2*$J$6+$M$5*$J$7</f>
        <v>50.179624273137264</v>
      </c>
      <c r="W25" s="5">
        <f t="shared" si="0"/>
        <v>49.526072650155648</v>
      </c>
      <c r="X25" s="4">
        <f t="shared" si="1"/>
        <v>1.4799745502152375</v>
      </c>
      <c r="Y25" s="3">
        <f t="shared" si="2"/>
        <v>41.708883718215922</v>
      </c>
      <c r="Z25" s="2">
        <f t="shared" si="3"/>
        <v>45.922862528151157</v>
      </c>
      <c r="AA25" s="3">
        <f t="shared" si="4"/>
        <v>49.160566399688129</v>
      </c>
      <c r="AB25" s="2">
        <f t="shared" si="5"/>
        <v>53.582174506644705</v>
      </c>
      <c r="AC25" s="2">
        <f t="shared" si="6"/>
        <v>56.585338371827291</v>
      </c>
      <c r="AD25" s="2">
        <f t="shared" si="7"/>
        <v>-5.8361103908909299E-2</v>
      </c>
      <c r="AE25" s="2">
        <f t="shared" si="8"/>
        <v>-1.4345089138748115</v>
      </c>
    </row>
    <row r="26" spans="2:31" x14ac:dyDescent="0.2">
      <c r="B26" s="1">
        <f>[1]FormattedData!A62</f>
        <v>301</v>
      </c>
      <c r="C26" s="1" t="str">
        <f>VLOOKUP($B26,[1]TrtCodes!$B$11:I105,2)</f>
        <v>NTL</v>
      </c>
      <c r="D26" s="1">
        <f>VLOOKUP($B26,[1]TrtCodes!$B$11:J105,3)</f>
        <v>10</v>
      </c>
      <c r="E26" s="1">
        <f>VLOOKUP($B26,[1]TrtCodes!$B$11:K105,4)</f>
        <v>2</v>
      </c>
      <c r="F26" s="1">
        <f>VLOOKUP($B26,[1]TrtCodes!$B$11:L105,5)</f>
        <v>2</v>
      </c>
      <c r="G26" s="1">
        <f>VLOOKUP($B26,[1]TrtCodes!$B$11:M105,6)</f>
        <v>1</v>
      </c>
      <c r="H26" s="1">
        <f>VLOOKUP($B26,[1]TrtCodes!$B$11:N105,7)</f>
        <v>3</v>
      </c>
      <c r="I26" s="1">
        <f>[1]FormattedData!B62</f>
        <v>1</v>
      </c>
      <c r="J26" s="4">
        <f>[1]FormattedData!C62</f>
        <v>13.225</v>
      </c>
      <c r="K26" s="6">
        <f>$J$3+[1]FormattedData!D62*$J$4+$M$4*$J$5+[1]FormattedData!D62^2*$J$6+$M$5*$J$7</f>
        <v>43.268490917075503</v>
      </c>
      <c r="L26" s="6">
        <f>$J$3+[1]FormattedData!E62*$J$4+$M$4*$J$5+[1]FormattedData!E62^2*$J$6+$M$5*$J$7</f>
        <v>42.811050973548852</v>
      </c>
      <c r="M26" s="6">
        <f>$J$3+[1]FormattedData!F62*$J$4+$M$4*$J$5+[1]FormattedData!F62^2*$J$6+$M$5*$J$7</f>
        <v>52.020984499259328</v>
      </c>
      <c r="N26" s="6">
        <f>$J$3+[1]FormattedData!G62*$J$4+$M$4*$J$5+[1]FormattedData!G62^2*$J$6+$M$5*$J$7</f>
        <v>43.085641745278636</v>
      </c>
      <c r="O26" s="6">
        <f>$J$3+[1]FormattedData!H62*$J$4+$M$4*$J$5+[1]FormattedData!H62^2*$J$6+$M$5*$J$7</f>
        <v>50.531796684593033</v>
      </c>
      <c r="P26" s="6">
        <f>$J$3+[1]FormattedData!I62*$J$4+$M$4*$J$5+[1]FormattedData!I62^2*$J$6+$M$5*$J$7</f>
        <v>41.063141961499298</v>
      </c>
      <c r="Q26" s="6">
        <f>$J$3+[1]FormattedData!J62*$J$4+$M$4*$J$5+[1]FormattedData!J62^2*$J$6+$M$5*$J$7</f>
        <v>51.759074288908892</v>
      </c>
      <c r="R26" s="6">
        <f>$J$3+[1]FormattedData!K62*$J$4+$M$4*$J$5+[1]FormattedData!K62^2*$J$6+$M$5*$J$7</f>
        <v>35.822646206855723</v>
      </c>
      <c r="S26" s="6">
        <f>$J$3+[1]FormattedData!L62*$J$4+$M$4*$J$5+[1]FormattedData!L62^2*$J$6+$M$5*$J$7</f>
        <v>52.020984499259328</v>
      </c>
      <c r="T26" s="6">
        <f>$J$3+[1]FormattedData!M62*$J$4+$M$4*$J$5+[1]FormattedData!M62^2*$J$6+$M$5*$J$7</f>
        <v>35.633034068989872</v>
      </c>
      <c r="U26" s="6">
        <f>$J$3+[1]FormattedData!N62*$J$4+$M$4*$J$5+[1]FormattedData!N62^2*$J$6+$M$5*$J$7</f>
        <v>52.804432629262365</v>
      </c>
      <c r="V26" s="6">
        <f>$J$3+[1]FormattedData!O62*$J$4+$M$4*$J$5+[1]FormattedData!O62^2*$J$6+$M$5*$J$7</f>
        <v>34.777687155965964</v>
      </c>
      <c r="W26" s="5">
        <f t="shared" si="0"/>
        <v>44.633247135874733</v>
      </c>
      <c r="X26" s="4">
        <f t="shared" si="1"/>
        <v>2.0180664627589415</v>
      </c>
      <c r="Y26" s="3">
        <f t="shared" si="2"/>
        <v>34.777687155965964</v>
      </c>
      <c r="Z26" s="2">
        <f t="shared" si="3"/>
        <v>39.753018022838404</v>
      </c>
      <c r="AA26" s="3">
        <f t="shared" si="4"/>
        <v>43.177066331177073</v>
      </c>
      <c r="AB26" s="2">
        <f t="shared" si="5"/>
        <v>51.824551841496501</v>
      </c>
      <c r="AC26" s="2">
        <f t="shared" si="6"/>
        <v>52.804432629262365</v>
      </c>
      <c r="AD26" s="2">
        <f t="shared" si="7"/>
        <v>-0.16253514345926931</v>
      </c>
      <c r="AE26" s="2">
        <f t="shared" si="8"/>
        <v>-1.6311920574201375</v>
      </c>
    </row>
    <row r="27" spans="2:31" x14ac:dyDescent="0.2">
      <c r="B27" s="1">
        <f>[1]FormattedData!A64</f>
        <v>302</v>
      </c>
      <c r="C27" s="1" t="str">
        <f>VLOOKUP($B27,[1]TrtCodes!$B$11:I107,2)</f>
        <v>FTL</v>
      </c>
      <c r="D27" s="1">
        <f>VLOOKUP($B27,[1]TrtCodes!$B$11:J107,3)</f>
        <v>4</v>
      </c>
      <c r="E27" s="1">
        <f>VLOOKUP($B27,[1]TrtCodes!$B$11:K107,4)</f>
        <v>1</v>
      </c>
      <c r="F27" s="1">
        <f>VLOOKUP($B27,[1]TrtCodes!$B$11:L107,5)</f>
        <v>2</v>
      </c>
      <c r="G27" s="1">
        <f>VLOOKUP($B27,[1]TrtCodes!$B$11:M107,6)</f>
        <v>1</v>
      </c>
      <c r="H27" s="1">
        <f>VLOOKUP($B27,[1]TrtCodes!$B$11:N107,7)</f>
        <v>3</v>
      </c>
      <c r="I27" s="1">
        <f>[1]FormattedData!B64</f>
        <v>1</v>
      </c>
      <c r="J27" s="4">
        <f>[1]FormattedData!C64</f>
        <v>13.24</v>
      </c>
      <c r="K27" s="6">
        <f>$J$3+[1]FormattedData!D64*$J$4+$M$4*$J$5+[1]FormattedData!D64^2*$J$6+$M$5*$J$7</f>
        <v>44.90652512641968</v>
      </c>
      <c r="L27" s="6">
        <f>$J$3+[1]FormattedData!E64*$J$4+$M$4*$J$5+[1]FormattedData!E64^2*$J$6+$M$5*$J$7</f>
        <v>56.500317469425426</v>
      </c>
      <c r="M27" s="6">
        <f>$J$3+[1]FormattedData!F64*$J$4+$M$4*$J$5+[1]FormattedData!F64^2*$J$6+$M$5*$J$7</f>
        <v>50.795482173536577</v>
      </c>
      <c r="N27" s="6">
        <f>$J$3+[1]FormattedData!G64*$J$4+$M$4*$J$5+[1]FormattedData!G64^2*$J$6+$M$5*$J$7</f>
        <v>41.155517589501173</v>
      </c>
      <c r="O27" s="6">
        <f>$J$3+[1]FormattedData!H64*$J$4+$M$4*$J$5+[1]FormattedData!H64^2*$J$6+$M$5*$J$7</f>
        <v>54.533170597713536</v>
      </c>
      <c r="P27" s="6">
        <f>$J$3+[1]FormattedData!I64*$J$4+$M$4*$J$5+[1]FormattedData!I64^2*$J$6+$M$5*$J$7</f>
        <v>37.145197095668372</v>
      </c>
      <c r="Q27" s="6">
        <f>$J$3+[1]FormattedData!J64*$J$4+$M$4*$J$5+[1]FormattedData!J64^2*$J$6+$M$5*$J$7</f>
        <v>56.755253371017218</v>
      </c>
      <c r="R27" s="6">
        <f>$J$3+[1]FormattedData!K64*$J$4+$M$4*$J$5+[1]FormattedData!K64^2*$J$6+$M$5*$J$7</f>
        <v>35.253302570803001</v>
      </c>
      <c r="S27" s="6">
        <f>$J$3+[1]FormattedData!L64*$J$4+$M$4*$J$5+[1]FormattedData!L64^2*$J$6+$M$5*$J$7</f>
        <v>54.619163676487815</v>
      </c>
      <c r="T27" s="6">
        <f>$J$3+[1]FormattedData!M64*$J$4+$M$4*$J$5+[1]FormattedData!M64^2*$J$6+$M$5*$J$7</f>
        <v>37.145197095668372</v>
      </c>
      <c r="U27" s="6">
        <f>$J$3+[1]FormattedData!N64*$J$4+$M$4*$J$5+[1]FormattedData!N64^2*$J$6+$M$5*$J$7</f>
        <v>54.962713306205629</v>
      </c>
      <c r="V27" s="6">
        <f>$J$3+[1]FormattedData!O64*$J$4+$M$4*$J$5+[1]FormattedData!O64^2*$J$6+$M$5*$J$7</f>
        <v>40.87826389988173</v>
      </c>
      <c r="W27" s="5">
        <f t="shared" si="0"/>
        <v>47.05417533102738</v>
      </c>
      <c r="X27" s="4">
        <f t="shared" si="1"/>
        <v>2.4405538816457288</v>
      </c>
      <c r="Y27" s="3">
        <f t="shared" si="2"/>
        <v>35.253302570803001</v>
      </c>
      <c r="Z27" s="2">
        <f t="shared" si="3"/>
        <v>39.944997198828389</v>
      </c>
      <c r="AA27" s="3">
        <f t="shared" si="4"/>
        <v>47.851003649978125</v>
      </c>
      <c r="AB27" s="2">
        <f t="shared" si="5"/>
        <v>54.705051083917269</v>
      </c>
      <c r="AC27" s="2">
        <f t="shared" si="6"/>
        <v>56.755253371017218</v>
      </c>
      <c r="AD27" s="2">
        <f t="shared" si="7"/>
        <v>-0.15992266996936189</v>
      </c>
      <c r="AE27" s="2">
        <f t="shared" si="8"/>
        <v>-1.9145706763358517</v>
      </c>
    </row>
    <row r="28" spans="2:31" x14ac:dyDescent="0.2">
      <c r="B28" s="1">
        <f>[1]FormattedData!A66</f>
        <v>303</v>
      </c>
      <c r="C28" s="1" t="str">
        <f>VLOOKUP($B28,[1]TrtCodes!$B$11:I109,2)</f>
        <v>NSL</v>
      </c>
      <c r="D28" s="1">
        <f>VLOOKUP($B28,[1]TrtCodes!$B$11:J109,3)</f>
        <v>8</v>
      </c>
      <c r="E28" s="1">
        <f>VLOOKUP($B28,[1]TrtCodes!$B$11:K109,4)</f>
        <v>2</v>
      </c>
      <c r="F28" s="1">
        <f>VLOOKUP($B28,[1]TrtCodes!$B$11:L109,5)</f>
        <v>1</v>
      </c>
      <c r="G28" s="1">
        <f>VLOOKUP($B28,[1]TrtCodes!$B$11:M109,6)</f>
        <v>1</v>
      </c>
      <c r="H28" s="1">
        <f>VLOOKUP($B28,[1]TrtCodes!$B$11:N109,7)</f>
        <v>3</v>
      </c>
      <c r="I28" s="1">
        <f>[1]FormattedData!B66</f>
        <v>1</v>
      </c>
      <c r="J28" s="4">
        <f>[1]FormattedData!C66</f>
        <v>13.254</v>
      </c>
      <c r="K28" s="6">
        <f>$J$3+[1]FormattedData!D66*$J$4+$M$4*$J$5+[1]FormattedData!D66^2*$J$6+$M$5*$J$7</f>
        <v>45.63014440262782</v>
      </c>
      <c r="L28" s="6">
        <f>$J$3+[1]FormattedData!E66*$J$4+$M$4*$J$5+[1]FormattedData!E66^2*$J$6+$M$5*$J$7</f>
        <v>40.87826389988173</v>
      </c>
      <c r="M28" s="6">
        <f>$J$3+[1]FormattedData!F66*$J$4+$M$4*$J$5+[1]FormattedData!F66^2*$J$6+$M$5*$J$7</f>
        <v>44.90652512641968</v>
      </c>
      <c r="N28" s="6">
        <f>$J$3+[1]FormattedData!G66*$J$4+$M$4*$J$5+[1]FormattedData!G66^2*$J$6+$M$5*$J$7</f>
        <v>40.785761466266059</v>
      </c>
      <c r="O28" s="6">
        <f>$J$3+[1]FormattedData!H66*$J$4+$M$4*$J$5+[1]FormattedData!H66^2*$J$6+$M$5*$J$7</f>
        <v>43.907131559419703</v>
      </c>
      <c r="P28" s="6">
        <f>$J$3+[1]FormattedData!I66*$J$4+$M$4*$J$5+[1]FormattedData!I66^2*$J$6+$M$5*$J$7</f>
        <v>36.201363260132247</v>
      </c>
      <c r="Q28" s="6">
        <f>$J$3+[1]FormattedData!J66*$J$4+$M$4*$J$5+[1]FormattedData!J66^2*$J$6+$M$5*$J$7</f>
        <v>45.900804200330008</v>
      </c>
      <c r="R28" s="6">
        <f>$J$3+[1]FormattedData!K66*$J$4+$M$4*$J$5+[1]FormattedData!K66^2*$J$6+$M$5*$J$7</f>
        <v>36.768170783909092</v>
      </c>
      <c r="S28" s="6">
        <f>$J$3+[1]FormattedData!L66*$J$4+$M$4*$J$5+[1]FormattedData!L66^2*$J$6+$M$5*$J$7</f>
        <v>44.63447046696578</v>
      </c>
      <c r="T28" s="6">
        <f>$J$3+[1]FormattedData!M66*$J$4+$M$4*$J$5+[1]FormattedData!M66^2*$J$6+$M$5*$J$7</f>
        <v>35.253302570803001</v>
      </c>
      <c r="U28" s="6">
        <f>$J$3+[1]FormattedData!N66*$J$4+$M$4*$J$5+[1]FormattedData!N66^2*$J$6+$M$5*$J$7</f>
        <v>44.362035390670478</v>
      </c>
      <c r="V28" s="6">
        <f>$J$3+[1]FormattedData!O66*$J$4+$M$4*$J$5+[1]FormattedData!O66^2*$J$6+$M$5*$J$7</f>
        <v>38.553022498110472</v>
      </c>
      <c r="W28" s="5">
        <f t="shared" si="0"/>
        <v>41.481749635461341</v>
      </c>
      <c r="X28" s="4">
        <f t="shared" si="1"/>
        <v>1.1378620889390736</v>
      </c>
      <c r="Y28" s="3">
        <f t="shared" si="2"/>
        <v>35.253302570803001</v>
      </c>
      <c r="Z28" s="2">
        <f t="shared" si="3"/>
        <v>38.106809569560127</v>
      </c>
      <c r="AA28" s="3">
        <f t="shared" si="4"/>
        <v>42.39269772965072</v>
      </c>
      <c r="AB28" s="2">
        <f t="shared" si="5"/>
        <v>44.702484131829252</v>
      </c>
      <c r="AC28" s="2">
        <f t="shared" si="6"/>
        <v>45.900804200330008</v>
      </c>
      <c r="AD28" s="2">
        <f t="shared" si="7"/>
        <v>-0.44872523613473564</v>
      </c>
      <c r="AE28" s="2">
        <f t="shared" si="8"/>
        <v>-1.508867098723802</v>
      </c>
    </row>
    <row r="29" spans="2:31" x14ac:dyDescent="0.2">
      <c r="B29" s="1">
        <f>[1]FormattedData!A68</f>
        <v>304</v>
      </c>
      <c r="C29" s="1" t="str">
        <f>VLOOKUP($B29,[1]TrtCodes!$B$11:I111,2)</f>
        <v>FSL</v>
      </c>
      <c r="D29" s="1">
        <f>VLOOKUP($B29,[1]TrtCodes!$B$11:J111,3)</f>
        <v>2</v>
      </c>
      <c r="E29" s="1">
        <f>VLOOKUP($B29,[1]TrtCodes!$B$11:K111,4)</f>
        <v>1</v>
      </c>
      <c r="F29" s="1">
        <f>VLOOKUP($B29,[1]TrtCodes!$B$11:L111,5)</f>
        <v>1</v>
      </c>
      <c r="G29" s="1">
        <f>VLOOKUP($B29,[1]TrtCodes!$B$11:M111,6)</f>
        <v>1</v>
      </c>
      <c r="H29" s="1">
        <f>VLOOKUP($B29,[1]TrtCodes!$B$11:N111,7)</f>
        <v>3</v>
      </c>
      <c r="I29" s="1">
        <f>[1]FormattedData!B68</f>
        <v>1</v>
      </c>
      <c r="J29" s="4">
        <f>[1]FormattedData!C68</f>
        <v>13.272</v>
      </c>
      <c r="K29" s="6">
        <f>$J$3+[1]FormattedData!D68*$J$4+$M$4*$J$5+[1]FormattedData!D68^2*$J$6+$M$5*$J$7</f>
        <v>50.091475498928496</v>
      </c>
      <c r="L29" s="6">
        <f>$J$3+[1]FormattedData!E68*$J$4+$M$4*$J$5+[1]FormattedData!E68^2*$J$6+$M$5*$J$7</f>
        <v>52.108203365633614</v>
      </c>
      <c r="M29" s="6">
        <f>$J$3+[1]FormattedData!F68*$J$4+$M$4*$J$5+[1]FormattedData!F68^2*$J$6+$M$5*$J$7</f>
        <v>52.195379963469968</v>
      </c>
      <c r="N29" s="6">
        <f>$J$3+[1]FormattedData!G68*$J$4+$M$4*$J$5+[1]FormattedData!G68^2*$J$6+$M$5*$J$7</f>
        <v>39.299974007256594</v>
      </c>
      <c r="O29" s="6">
        <f>$J$3+[1]FormattedData!H68*$J$4+$M$4*$J$5+[1]FormattedData!H68^2*$J$6+$M$5*$J$7</f>
        <v>54.705114486724163</v>
      </c>
      <c r="P29" s="6">
        <f>$J$3+[1]FormattedData!I68*$J$4+$M$4*$J$5+[1]FormattedData!I68^2*$J$6+$M$5*$J$7</f>
        <v>48.49756964318442</v>
      </c>
      <c r="Q29" s="6">
        <f>$J$3+[1]FormattedData!J68*$J$4+$M$4*$J$5+[1]FormattedData!J68^2*$J$6+$M$5*$J$7</f>
        <v>56.245001150992238</v>
      </c>
      <c r="R29" s="6">
        <f>$J$3+[1]FormattedData!K68*$J$4+$M$4*$J$5+[1]FormattedData!K68^2*$J$6+$M$5*$J$7</f>
        <v>36.106747399620012</v>
      </c>
      <c r="S29" s="6">
        <f>$J$3+[1]FormattedData!L68*$J$4+$M$4*$J$5+[1]FormattedData!L68^2*$J$6+$M$5*$J$7</f>
        <v>55.47676969464441</v>
      </c>
      <c r="T29" s="6">
        <f>$J$3+[1]FormattedData!M68*$J$4+$M$4*$J$5+[1]FormattedData!M68^2*$J$6+$M$5*$J$7</f>
        <v>41.155517589501173</v>
      </c>
      <c r="U29" s="6">
        <f>$J$3+[1]FormattedData!N68*$J$4+$M$4*$J$5+[1]FormattedData!N68^2*$J$6+$M$5*$J$7</f>
        <v>55.391199301249443</v>
      </c>
      <c r="V29" s="6">
        <f>$J$3+[1]FormattedData!O68*$J$4+$M$4*$J$5+[1]FormattedData!O68^2*$J$6+$M$5*$J$7</f>
        <v>42.719436179229731</v>
      </c>
      <c r="W29" s="5">
        <f t="shared" si="0"/>
        <v>48.666032356702857</v>
      </c>
      <c r="X29" s="4">
        <f t="shared" si="1"/>
        <v>2.0396058069510854</v>
      </c>
      <c r="Y29" s="3">
        <f t="shared" si="2"/>
        <v>36.106747399620012</v>
      </c>
      <c r="Z29" s="2">
        <f t="shared" si="3"/>
        <v>42.328456531797592</v>
      </c>
      <c r="AA29" s="3">
        <f t="shared" si="4"/>
        <v>51.099839432281058</v>
      </c>
      <c r="AB29" s="2">
        <f t="shared" si="5"/>
        <v>54.876635690355485</v>
      </c>
      <c r="AC29" s="2">
        <f t="shared" si="6"/>
        <v>56.245001150992238</v>
      </c>
      <c r="AD29" s="2">
        <f t="shared" si="7"/>
        <v>-0.64126373236974776</v>
      </c>
      <c r="AE29" s="2">
        <f t="shared" si="8"/>
        <v>-1.1161145149353291</v>
      </c>
    </row>
    <row r="30" spans="2:31" x14ac:dyDescent="0.2">
      <c r="B30" s="1">
        <f>[1]FormattedData!A70</f>
        <v>305</v>
      </c>
      <c r="C30" s="1" t="str">
        <f>VLOOKUP($B30,[1]TrtCodes!$B$11:I113,2)</f>
        <v>NDH</v>
      </c>
      <c r="D30" s="1">
        <f>VLOOKUP($B30,[1]TrtCodes!$B$11:J113,3)</f>
        <v>11</v>
      </c>
      <c r="E30" s="1">
        <f>VLOOKUP($B30,[1]TrtCodes!$B$11:K113,4)</f>
        <v>2</v>
      </c>
      <c r="F30" s="1">
        <f>VLOOKUP($B30,[1]TrtCodes!$B$11:L113,5)</f>
        <v>3</v>
      </c>
      <c r="G30" s="1">
        <f>VLOOKUP($B30,[1]TrtCodes!$B$11:M113,6)</f>
        <v>2</v>
      </c>
      <c r="H30" s="1">
        <f>VLOOKUP($B30,[1]TrtCodes!$B$11:N113,7)</f>
        <v>4</v>
      </c>
      <c r="I30" s="1">
        <f>[1]FormattedData!B70</f>
        <v>1</v>
      </c>
      <c r="J30" s="4">
        <f>[1]FormattedData!C70</f>
        <v>13.287000000000001</v>
      </c>
      <c r="K30" s="6">
        <f>$J$3+[1]FormattedData!D70*$J$4+$M$4*$J$5+[1]FormattedData!D70^2*$J$6+$M$5*$J$7</f>
        <v>34.205553796409795</v>
      </c>
      <c r="L30" s="6">
        <f>$J$3+[1]FormattedData!E70*$J$4+$M$4*$J$5+[1]FormattedData!E70^2*$J$6+$M$5*$J$7</f>
        <v>32.480023713548157</v>
      </c>
      <c r="M30" s="6">
        <f>$J$3+[1]FormattedData!F70*$J$4+$M$4*$J$5+[1]FormattedData!F70^2*$J$6+$M$5*$J$7</f>
        <v>38.553022498110472</v>
      </c>
      <c r="N30" s="6">
        <f>$J$3+[1]FormattedData!G70*$J$4+$M$4*$J$5+[1]FormattedData!G70^2*$J$6+$M$5*$J$7</f>
        <v>31.418791275554909</v>
      </c>
      <c r="O30" s="6">
        <f>$J$3+[1]FormattedData!H70*$J$4+$M$4*$J$5+[1]FormattedData!H70^2*$J$6+$M$5*$J$7</f>
        <v>39.299974007256594</v>
      </c>
      <c r="P30" s="6">
        <f>$J$3+[1]FormattedData!I70*$J$4+$M$4*$J$5+[1]FormattedData!I70^2*$J$6+$M$5*$J$7</f>
        <v>34.396433990413577</v>
      </c>
      <c r="Q30" s="6">
        <f>$J$3+[1]FormattedData!J70*$J$4+$M$4*$J$5+[1]FormattedData!J70^2*$J$6+$M$5*$J$7</f>
        <v>39.858412360523076</v>
      </c>
      <c r="R30" s="6">
        <f>$J$3+[1]FormattedData!K70*$J$4+$M$4*$J$5+[1]FormattedData!K70^2*$J$6+$M$5*$J$7</f>
        <v>30.740798624396817</v>
      </c>
      <c r="S30" s="6">
        <f>$J$3+[1]FormattedData!L70*$J$4+$M$4*$J$5+[1]FormattedData!L70^2*$J$6+$M$5*$J$7</f>
        <v>39.765444972990153</v>
      </c>
      <c r="T30" s="6">
        <f>$J$3+[1]FormattedData!M70*$J$4+$M$4*$J$5+[1]FormattedData!M70^2*$J$6+$M$5*$J$7</f>
        <v>31.031620514692154</v>
      </c>
      <c r="U30" s="6">
        <f>$J$3+[1]FormattedData!N70*$J$4+$M$4*$J$5+[1]FormattedData!N70^2*$J$6+$M$5*$J$7</f>
        <v>38.459463351046509</v>
      </c>
      <c r="V30" s="6">
        <f>$J$3+[1]FormattedData!O70*$J$4+$M$4*$J$5+[1]FormattedData!O70^2*$J$6+$M$5*$J$7</f>
        <v>30.837781523033193</v>
      </c>
      <c r="W30" s="5">
        <f t="shared" si="0"/>
        <v>35.087276718997948</v>
      </c>
      <c r="X30" s="4">
        <f t="shared" si="1"/>
        <v>1.1033266831864947</v>
      </c>
      <c r="Y30" s="3">
        <f t="shared" si="2"/>
        <v>30.740798624396817</v>
      </c>
      <c r="Z30" s="2">
        <f t="shared" si="3"/>
        <v>31.32199858533922</v>
      </c>
      <c r="AA30" s="3">
        <f t="shared" si="4"/>
        <v>34.300993893411686</v>
      </c>
      <c r="AB30" s="2">
        <f t="shared" si="5"/>
        <v>38.739760375397005</v>
      </c>
      <c r="AC30" s="2">
        <f t="shared" si="6"/>
        <v>39.858412360523076</v>
      </c>
      <c r="AD30" s="2">
        <f t="shared" si="7"/>
        <v>0.140800420934932</v>
      </c>
      <c r="AE30" s="2">
        <f t="shared" si="8"/>
        <v>-1.9898019676644862</v>
      </c>
    </row>
    <row r="31" spans="2:31" x14ac:dyDescent="0.2">
      <c r="B31" s="1">
        <f>[1]FormattedData!A72</f>
        <v>306</v>
      </c>
      <c r="C31" s="1" t="str">
        <f>VLOOKUP($B31,[1]TrtCodes!$B$11:I115,2)</f>
        <v>FTL</v>
      </c>
      <c r="D31" s="1">
        <f>VLOOKUP($B31,[1]TrtCodes!$B$11:J115,3)</f>
        <v>4</v>
      </c>
      <c r="E31" s="1">
        <f>VLOOKUP($B31,[1]TrtCodes!$B$11:K115,4)</f>
        <v>1</v>
      </c>
      <c r="F31" s="1">
        <f>VLOOKUP($B31,[1]TrtCodes!$B$11:L115,5)</f>
        <v>2</v>
      </c>
      <c r="G31" s="1">
        <f>VLOOKUP($B31,[1]TrtCodes!$B$11:M115,6)</f>
        <v>1</v>
      </c>
      <c r="H31" s="1">
        <f>VLOOKUP($B31,[1]TrtCodes!$B$11:N115,7)</f>
        <v>4</v>
      </c>
      <c r="I31" s="1">
        <f>[1]FormattedData!B72</f>
        <v>1</v>
      </c>
      <c r="J31" s="4">
        <f>[1]FormattedData!C72</f>
        <v>13.301</v>
      </c>
      <c r="K31" s="6">
        <f>$J$3+[1]FormattedData!D72*$J$4+$M$4*$J$5+[1]FormattedData!D72^2*$J$6+$M$5*$J$7</f>
        <v>43.177087465446036</v>
      </c>
      <c r="L31" s="6">
        <f>$J$3+[1]FormattedData!E72*$J$4+$M$4*$J$5+[1]FormattedData!E72^2*$J$6+$M$5*$J$7</f>
        <v>50.971061156809292</v>
      </c>
      <c r="M31" s="6">
        <f>$J$3+[1]FormattedData!F72*$J$4+$M$4*$J$5+[1]FormattedData!F72^2*$J$6+$M$5*$J$7</f>
        <v>47.695481087953752</v>
      </c>
      <c r="N31" s="6">
        <f>$J$3+[1]FormattedData!G72*$J$4+$M$4*$J$5+[1]FormattedData!G72^2*$J$6+$M$5*$J$7</f>
        <v>41.063141961499298</v>
      </c>
      <c r="O31" s="6">
        <f>$J$3+[1]FormattedData!H72*$J$4+$M$4*$J$5+[1]FormattedData!H72^2*$J$6+$M$5*$J$7</f>
        <v>54.016324485771293</v>
      </c>
      <c r="P31" s="6">
        <f>$J$3+[1]FormattedData!I72*$J$4+$M$4*$J$5+[1]FormattedData!I72^2*$J$6+$M$5*$J$7</f>
        <v>36.484957230441353</v>
      </c>
      <c r="Q31" s="6">
        <f>$J$3+[1]FormattedData!J72*$J$4+$M$4*$J$5+[1]FormattedData!J72^2*$J$6+$M$5*$J$7</f>
        <v>54.705114486724163</v>
      </c>
      <c r="R31" s="6">
        <f>$J$3+[1]FormattedData!K72*$J$4+$M$4*$J$5+[1]FormattedData!K72^2*$J$6+$M$5*$J$7</f>
        <v>33.823286185947055</v>
      </c>
      <c r="S31" s="6">
        <f>$J$3+[1]FormattedData!L72*$J$4+$M$4*$J$5+[1]FormattedData!L72^2*$J$6+$M$5*$J$7</f>
        <v>54.274937750163105</v>
      </c>
      <c r="T31" s="6">
        <f>$J$3+[1]FormattedData!M72*$J$4+$M$4*$J$5+[1]FormattedData!M72^2*$J$6+$M$5*$J$7</f>
        <v>35.15826402491146</v>
      </c>
      <c r="U31" s="6">
        <f>$J$3+[1]FormattedData!N72*$J$4+$M$4*$J$5+[1]FormattedData!N72^2*$J$6+$M$5*$J$7</f>
        <v>53.238202191547572</v>
      </c>
      <c r="V31" s="6">
        <f>$J$3+[1]FormattedData!O72*$J$4+$M$4*$J$5+[1]FormattedData!O72^2*$J$6+$M$5*$J$7</f>
        <v>37.615528943264017</v>
      </c>
      <c r="W31" s="5">
        <f t="shared" si="0"/>
        <v>45.185282247539867</v>
      </c>
      <c r="X31" s="4">
        <f t="shared" si="1"/>
        <v>2.3669440112470279</v>
      </c>
      <c r="Y31" s="3">
        <f t="shared" si="2"/>
        <v>33.823286185947055</v>
      </c>
      <c r="Z31" s="2">
        <f t="shared" si="3"/>
        <v>37.332886015058349</v>
      </c>
      <c r="AA31" s="3">
        <f t="shared" si="4"/>
        <v>45.436284276699894</v>
      </c>
      <c r="AB31" s="2">
        <f t="shared" si="5"/>
        <v>53.432732765103502</v>
      </c>
      <c r="AC31" s="2">
        <f t="shared" si="6"/>
        <v>54.705114486724163</v>
      </c>
      <c r="AD31" s="2">
        <f t="shared" si="7"/>
        <v>-0.12095528599209447</v>
      </c>
      <c r="AE31" s="2">
        <f t="shared" si="8"/>
        <v>-1.851565861677325</v>
      </c>
    </row>
    <row r="32" spans="2:31" x14ac:dyDescent="0.2">
      <c r="B32" s="1">
        <f>[1]FormattedData!A74</f>
        <v>307</v>
      </c>
      <c r="C32" s="1" t="str">
        <f>VLOOKUP($B32,[1]TrtCodes!$B$11:I117,2)</f>
        <v>NTH</v>
      </c>
      <c r="D32" s="1">
        <f>VLOOKUP($B32,[1]TrtCodes!$B$11:J117,3)</f>
        <v>9</v>
      </c>
      <c r="E32" s="1">
        <f>VLOOKUP($B32,[1]TrtCodes!$B$11:K117,4)</f>
        <v>2</v>
      </c>
      <c r="F32" s="1">
        <f>VLOOKUP($B32,[1]TrtCodes!$B$11:L117,5)</f>
        <v>2</v>
      </c>
      <c r="G32" s="1">
        <f>VLOOKUP($B32,[1]TrtCodes!$B$11:M117,6)</f>
        <v>2</v>
      </c>
      <c r="H32" s="1">
        <f>VLOOKUP($B32,[1]TrtCodes!$B$11:N117,7)</f>
        <v>4</v>
      </c>
      <c r="I32" s="1">
        <f>[1]FormattedData!B74</f>
        <v>1</v>
      </c>
      <c r="J32" s="4">
        <f>[1]FormattedData!C74</f>
        <v>13.317</v>
      </c>
      <c r="K32" s="6">
        <f>$J$3+[1]FormattedData!D74*$J$4+$M$4*$J$5+[1]FormattedData!D74^2*$J$6+$M$5*$J$7</f>
        <v>43.542447660736315</v>
      </c>
      <c r="L32" s="6">
        <f>$J$3+[1]FormattedData!E74*$J$4+$M$4*$J$5+[1]FormattedData!E74^2*$J$6+$M$5*$J$7</f>
        <v>46.889968781150657</v>
      </c>
      <c r="M32" s="6">
        <f>$J$3+[1]FormattedData!F74*$J$4+$M$4*$J$5+[1]FormattedData!F74^2*$J$6+$M$5*$J$7</f>
        <v>52.543663669436064</v>
      </c>
      <c r="N32" s="6">
        <f>$J$3+[1]FormattedData!G74*$J$4+$M$4*$J$5+[1]FormattedData!G74^2*$J$6+$M$5*$J$7</f>
        <v>35.15826402491146</v>
      </c>
      <c r="O32" s="6">
        <f>$J$3+[1]FormattedData!H74*$J$4+$M$4*$J$5+[1]FormattedData!H74^2*$J$6+$M$5*$J$7</f>
        <v>55.134234509836951</v>
      </c>
      <c r="P32" s="6">
        <f>$J$3+[1]FormattedData!I74*$J$4+$M$4*$J$5+[1]FormattedData!I74^2*$J$6+$M$5*$J$7</f>
        <v>32.768563102795206</v>
      </c>
      <c r="Q32" s="6">
        <f>$J$3+[1]FormattedData!J74*$J$4+$M$4*$J$5+[1]FormattedData!J74^2*$J$6+$M$5*$J$7</f>
        <v>55.647783675820563</v>
      </c>
      <c r="R32" s="6">
        <f>$J$3+[1]FormattedData!K74*$J$4+$M$4*$J$5+[1]FormattedData!K74^2*$J$6+$M$5*$J$7</f>
        <v>33.248616714115016</v>
      </c>
      <c r="S32" s="6">
        <f>$J$3+[1]FormattedData!L74*$J$4+$M$4*$J$5+[1]FormattedData!L74^2*$J$6+$M$5*$J$7</f>
        <v>54.876889301583077</v>
      </c>
      <c r="T32" s="6">
        <f>$J$3+[1]FormattedData!M74*$J$4+$M$4*$J$5+[1]FormattedData!M74^2*$J$6+$M$5*$J$7</f>
        <v>38.553022498110472</v>
      </c>
      <c r="U32" s="6">
        <f>$J$3+[1]FormattedData!N74*$J$4+$M$4*$J$5+[1]FormattedData!N74^2*$J$6+$M$5*$J$7</f>
        <v>55.81862858284498</v>
      </c>
      <c r="V32" s="6">
        <f>$J$3+[1]FormattedData!O74*$J$4+$M$4*$J$5+[1]FormattedData!O74^2*$J$6+$M$5*$J$7</f>
        <v>40.044220329975126</v>
      </c>
      <c r="W32" s="5">
        <f t="shared" si="0"/>
        <v>45.352191904276317</v>
      </c>
      <c r="X32" s="4">
        <f t="shared" si="1"/>
        <v>2.672070190334201</v>
      </c>
      <c r="Y32" s="3">
        <f t="shared" si="2"/>
        <v>32.768563102795206</v>
      </c>
      <c r="Z32" s="2">
        <f t="shared" si="3"/>
        <v>37.704332879810721</v>
      </c>
      <c r="AA32" s="3">
        <f t="shared" si="4"/>
        <v>45.216208220943486</v>
      </c>
      <c r="AB32" s="2">
        <f t="shared" si="5"/>
        <v>54.941225603646544</v>
      </c>
      <c r="AC32" s="2">
        <f t="shared" si="6"/>
        <v>55.81862858284498</v>
      </c>
      <c r="AD32" s="2">
        <f t="shared" si="7"/>
        <v>-0.12122325781451791</v>
      </c>
      <c r="AE32" s="2">
        <f t="shared" si="8"/>
        <v>-1.8100022835370986</v>
      </c>
    </row>
    <row r="33" spans="2:31" x14ac:dyDescent="0.2">
      <c r="B33" s="1">
        <f>[1]FormattedData!A76</f>
        <v>308</v>
      </c>
      <c r="C33" s="1" t="str">
        <f>VLOOKUP($B33,[1]TrtCodes!$B$11:I119,2)</f>
        <v>FDH</v>
      </c>
      <c r="D33" s="1">
        <f>VLOOKUP($B33,[1]TrtCodes!$B$11:J119,3)</f>
        <v>5</v>
      </c>
      <c r="E33" s="1">
        <f>VLOOKUP($B33,[1]TrtCodes!$B$11:K119,4)</f>
        <v>1</v>
      </c>
      <c r="F33" s="1">
        <f>VLOOKUP($B33,[1]TrtCodes!$B$11:L119,5)</f>
        <v>3</v>
      </c>
      <c r="G33" s="1">
        <f>VLOOKUP($B33,[1]TrtCodes!$B$11:M119,6)</f>
        <v>2</v>
      </c>
      <c r="H33" s="1">
        <f>VLOOKUP($B33,[1]TrtCodes!$B$11:N119,7)</f>
        <v>4</v>
      </c>
      <c r="I33" s="1">
        <f>[1]FormattedData!B76</f>
        <v>1</v>
      </c>
      <c r="J33" s="4">
        <f>[1]FormattedData!C76</f>
        <v>13.332000000000001</v>
      </c>
      <c r="K33" s="6">
        <f>$J$3+[1]FormattedData!D76*$J$4+$M$4*$J$5+[1]FormattedData!D76^2*$J$6+$M$5*$J$7</f>
        <v>46.351058492408356</v>
      </c>
      <c r="L33" s="6">
        <f>$J$3+[1]FormattedData!E76*$J$4+$M$4*$J$5+[1]FormattedData!E76^2*$J$6+$M$5*$J$7</f>
        <v>39.579383392310525</v>
      </c>
      <c r="M33" s="6">
        <f>$J$3+[1]FormattedData!F76*$J$4+$M$4*$J$5+[1]FormattedData!F76^2*$J$6+$M$5*$J$7</f>
        <v>52.717551911191535</v>
      </c>
      <c r="N33" s="6">
        <f>$J$3+[1]FormattedData!G76*$J$4+$M$4*$J$5+[1]FormattedData!G76^2*$J$6+$M$5*$J$7</f>
        <v>37.05100392053545</v>
      </c>
      <c r="O33" s="6">
        <f>$J$3+[1]FormattedData!H76*$J$4+$M$4*$J$5+[1]FormattedData!H76^2*$J$6+$M$5*$J$7</f>
        <v>52.630628924582766</v>
      </c>
      <c r="P33" s="6">
        <f>$J$3+[1]FormattedData!I76*$J$4+$M$4*$J$5+[1]FormattedData!I76^2*$J$6+$M$5*$J$7</f>
        <v>41.616761701441625</v>
      </c>
      <c r="Q33" s="6">
        <f>$J$3+[1]FormattedData!J76*$J$4+$M$4*$J$5+[1]FormattedData!J76^2*$J$6+$M$5*$J$7</f>
        <v>56.245001150992238</v>
      </c>
      <c r="R33" s="6">
        <f>$J$3+[1]FormattedData!K76*$J$4+$M$4*$J$5+[1]FormattedData!K76^2*$J$6+$M$5*$J$7</f>
        <v>39.020184205361282</v>
      </c>
      <c r="S33" s="6">
        <f>$J$3+[1]FormattedData!L76*$J$4+$M$4*$J$5+[1]FormattedData!L76^2*$J$6+$M$5*$J$7</f>
        <v>55.305586639316545</v>
      </c>
      <c r="T33" s="6">
        <f>$J$3+[1]FormattedData!M76*$J$4+$M$4*$J$5+[1]FormattedData!M76^2*$J$6+$M$5*$J$7</f>
        <v>34.777687155965964</v>
      </c>
      <c r="U33" s="6">
        <f>$J$3+[1]FormattedData!N76*$J$4+$M$4*$J$5+[1]FormattedData!N76^2*$J$6+$M$5*$J$7</f>
        <v>53.151532816166402</v>
      </c>
      <c r="V33" s="6">
        <f>$J$3+[1]FormattedData!O76*$J$4+$M$4*$J$5+[1]FormattedData!O76^2*$J$6+$M$5*$J$7</f>
        <v>44.362035390670478</v>
      </c>
      <c r="W33" s="5">
        <f t="shared" si="0"/>
        <v>46.067367975078589</v>
      </c>
      <c r="X33" s="4">
        <f t="shared" si="1"/>
        <v>2.2185864764337992</v>
      </c>
      <c r="Y33" s="3">
        <f t="shared" si="2"/>
        <v>34.777687155965964</v>
      </c>
      <c r="Z33" s="2">
        <f t="shared" si="3"/>
        <v>39.439583595573211</v>
      </c>
      <c r="AA33" s="3">
        <f t="shared" si="4"/>
        <v>45.35654694153942</v>
      </c>
      <c r="AB33" s="2">
        <f t="shared" si="5"/>
        <v>52.826047137435253</v>
      </c>
      <c r="AC33" s="2">
        <f t="shared" si="6"/>
        <v>56.245001150992238</v>
      </c>
      <c r="AD33" s="2">
        <f t="shared" si="7"/>
        <v>-2.7177768679643943E-2</v>
      </c>
      <c r="AE33" s="2">
        <f t="shared" si="8"/>
        <v>-1.692027615754649</v>
      </c>
    </row>
    <row r="34" spans="2:31" x14ac:dyDescent="0.2">
      <c r="B34" s="1">
        <f>[1]FormattedData!A92</f>
        <v>401</v>
      </c>
      <c r="C34" s="1" t="str">
        <f>VLOOKUP($B34,[1]TrtCodes!$B$11:I129,2)</f>
        <v>NSH</v>
      </c>
      <c r="D34" s="1">
        <f>VLOOKUP($B34,[1]TrtCodes!$B$11:J129,3)</f>
        <v>7</v>
      </c>
      <c r="E34" s="1">
        <f>VLOOKUP($B34,[1]TrtCodes!$B$11:K129,4)</f>
        <v>2</v>
      </c>
      <c r="F34" s="1">
        <f>VLOOKUP($B34,[1]TrtCodes!$B$11:L129,5)</f>
        <v>1</v>
      </c>
      <c r="G34" s="1">
        <f>VLOOKUP($B34,[1]TrtCodes!$B$11:M129,6)</f>
        <v>2</v>
      </c>
      <c r="H34" s="1">
        <f>VLOOKUP($B34,[1]TrtCodes!$B$11:N129,7)</f>
        <v>3</v>
      </c>
      <c r="I34" s="1">
        <f>[1]FormattedData!B92</f>
        <v>1</v>
      </c>
      <c r="J34" s="4">
        <f>[1]FormattedData!C92</f>
        <v>13.467000000000001</v>
      </c>
      <c r="K34" s="6">
        <f>$J$3+[1]FormattedData!D92*$J$4+$M$4*$J$5+[1]FormattedData!D92^2*$J$6+$M$5*$J$7</f>
        <v>37.427523009839554</v>
      </c>
      <c r="L34" s="6">
        <f>$J$3+[1]FormattedData!E92*$J$4+$M$4*$J$5+[1]FormattedData!E92^2*$J$6+$M$5*$J$7</f>
        <v>33.056722075200888</v>
      </c>
      <c r="M34" s="6">
        <f>$J$3+[1]FormattedData!F92*$J$4+$M$4*$J$5+[1]FormattedData!F92^2*$J$6+$M$5*$J$7</f>
        <v>36.579404016801867</v>
      </c>
      <c r="N34" s="6">
        <f>$J$3+[1]FormattedData!G92*$J$4+$M$4*$J$5+[1]FormattedData!G92^2*$J$6+$M$5*$J$7</f>
        <v>33.248616714115016</v>
      </c>
      <c r="O34" s="6">
        <f>$J$3+[1]FormattedData!H92*$J$4+$M$4*$J$5+[1]FormattedData!H92^2*$J$6+$M$5*$J$7</f>
        <v>36.106747399620012</v>
      </c>
      <c r="P34" s="6">
        <f>$J$3+[1]FormattedData!I92*$J$4+$M$4*$J$5+[1]FormattedData!I92^2*$J$6+$M$5*$J$7</f>
        <v>33.440342278877424</v>
      </c>
      <c r="Q34" s="6">
        <f>$J$3+[1]FormattedData!J92*$J$4+$M$4*$J$5+[1]FormattedData!J92^2*$J$6+$M$5*$J$7</f>
        <v>36.012089270569845</v>
      </c>
      <c r="R34" s="6">
        <f>$J$3+[1]FormattedData!K92*$J$4+$M$4*$J$5+[1]FormattedData!K92^2*$J$6+$M$5*$J$7</f>
        <v>32.576245778501772</v>
      </c>
      <c r="S34" s="6">
        <f>$J$3+[1]FormattedData!L92*$J$4+$M$4*$J$5+[1]FormattedData!L92^2*$J$6+$M$5*$J$7</f>
        <v>36.862490764655817</v>
      </c>
      <c r="T34" s="6">
        <f>$J$3+[1]FormattedData!M92*$J$4+$M$4*$J$5+[1]FormattedData!M92^2*$J$6+$M$5*$J$7</f>
        <v>29.671197015893199</v>
      </c>
      <c r="U34" s="6">
        <f>$J$3+[1]FormattedData!N92*$J$4+$M$4*$J$5+[1]FormattedData!N92^2*$J$6+$M$5*$J$7</f>
        <v>36.484957230441353</v>
      </c>
      <c r="V34" s="6">
        <f>$J$3+[1]FormattedData!O92*$J$4+$M$4*$J$5+[1]FormattedData!O92^2*$J$6+$M$5*$J$7</f>
        <v>31.515478294425765</v>
      </c>
      <c r="W34" s="5">
        <f t="shared" si="0"/>
        <v>34.415151154078544</v>
      </c>
      <c r="X34" s="4">
        <f t="shared" si="1"/>
        <v>0.71718522428932696</v>
      </c>
      <c r="Y34" s="3">
        <f t="shared" si="2"/>
        <v>29.671197015893199</v>
      </c>
      <c r="Z34" s="2">
        <f t="shared" si="3"/>
        <v>32.936603001026107</v>
      </c>
      <c r="AA34" s="3">
        <f t="shared" si="4"/>
        <v>34.726215774723634</v>
      </c>
      <c r="AB34" s="2">
        <f t="shared" si="5"/>
        <v>36.508568927031483</v>
      </c>
      <c r="AC34" s="2">
        <f t="shared" si="6"/>
        <v>37.427523009839554</v>
      </c>
      <c r="AD34" s="2">
        <f t="shared" si="7"/>
        <v>-0.51557262481547583</v>
      </c>
      <c r="AE34" s="2">
        <f t="shared" si="8"/>
        <v>-0.85683887474211762</v>
      </c>
    </row>
    <row r="35" spans="2:31" x14ac:dyDescent="0.2">
      <c r="B35" s="1">
        <f>[1]FormattedData!A90</f>
        <v>402</v>
      </c>
      <c r="C35" s="1" t="str">
        <f>VLOOKUP($B35,[1]TrtCodes!$B$11:I130,2)</f>
        <v>NTH</v>
      </c>
      <c r="D35" s="1">
        <f>VLOOKUP($B35,[1]TrtCodes!$B$11:J130,3)</f>
        <v>9</v>
      </c>
      <c r="E35" s="1">
        <f>VLOOKUP($B35,[1]TrtCodes!$B$11:K130,4)</f>
        <v>2</v>
      </c>
      <c r="F35" s="1">
        <f>VLOOKUP($B35,[1]TrtCodes!$B$11:L130,5)</f>
        <v>2</v>
      </c>
      <c r="G35" s="1">
        <f>VLOOKUP($B35,[1]TrtCodes!$B$11:M130,6)</f>
        <v>2</v>
      </c>
      <c r="H35" s="1">
        <f>VLOOKUP($B35,[1]TrtCodes!$B$11:N130,7)</f>
        <v>3</v>
      </c>
      <c r="I35" s="1">
        <f>[1]FormattedData!B90</f>
        <v>1</v>
      </c>
      <c r="J35" s="4">
        <f>[1]FormattedData!C90</f>
        <v>13.452</v>
      </c>
      <c r="K35" s="6">
        <f>$J$3+[1]FormattedData!D90*$J$4+$M$4*$J$5+[1]FormattedData!D90^2*$J$6+$M$5*$J$7</f>
        <v>45.087683556699311</v>
      </c>
      <c r="L35" s="6">
        <f>$J$3+[1]FormattedData!E90*$J$4+$M$4*$J$5+[1]FormattedData!E90^2*$J$6+$M$5*$J$7</f>
        <v>46.44098254521024</v>
      </c>
      <c r="M35" s="6">
        <f>$J$3+[1]FormattedData!F90*$J$4+$M$4*$J$5+[1]FormattedData!F90^2*$J$6+$M$5*$J$7</f>
        <v>49.826775565074598</v>
      </c>
      <c r="N35" s="6">
        <f>$J$3+[1]FormattedData!G90*$J$4+$M$4*$J$5+[1]FormattedData!G90^2*$J$6+$M$5*$J$7</f>
        <v>43.816023987555752</v>
      </c>
      <c r="O35" s="6">
        <f>$J$3+[1]FormattedData!H90*$J$4+$M$4*$J$5+[1]FormattedData!H90^2*$J$6+$M$5*$J$7</f>
        <v>51.23411261768387</v>
      </c>
      <c r="P35" s="6">
        <f>$J$3+[1]FormattedData!I90*$J$4+$M$4*$J$5+[1]FormattedData!I90^2*$J$6+$M$5*$J$7</f>
        <v>36.768170783909092</v>
      </c>
      <c r="Q35" s="6">
        <f>$J$3+[1]FormattedData!J90*$J$4+$M$4*$J$5+[1]FormattedData!J90^2*$J$6+$M$5*$J$7</f>
        <v>49.826775565074598</v>
      </c>
      <c r="R35" s="6">
        <f>$J$3+[1]FormattedData!K90*$J$4+$M$4*$J$5+[1]FormattedData!K90^2*$J$6+$M$5*$J$7</f>
        <v>36.29593685210655</v>
      </c>
      <c r="S35" s="6">
        <f>$J$3+[1]FormattedData!L90*$J$4+$M$4*$J$5+[1]FormattedData!L90^2*$J$6+$M$5*$J$7</f>
        <v>47.606148794682909</v>
      </c>
      <c r="T35" s="6">
        <f>$J$3+[1]FormattedData!M90*$J$4+$M$4*$J$5+[1]FormattedData!M90^2*$J$6+$M$5*$J$7</f>
        <v>41.524597416129403</v>
      </c>
      <c r="U35" s="6">
        <f>$J$3+[1]FormattedData!N90*$J$4+$M$4*$J$5+[1]FormattedData!N90^2*$J$6+$M$5*$J$7</f>
        <v>49.296234446842668</v>
      </c>
      <c r="V35" s="6">
        <f>$J$3+[1]FormattedData!O90*$J$4+$M$4*$J$5+[1]FormattedData!O90^2*$J$6+$M$5*$J$7</f>
        <v>33.536141658451726</v>
      </c>
      <c r="W35" s="5">
        <f t="shared" si="0"/>
        <v>44.271631982451716</v>
      </c>
      <c r="X35" s="4">
        <f t="shared" si="1"/>
        <v>1.7295366435792814</v>
      </c>
      <c r="Y35" s="3">
        <f t="shared" si="2"/>
        <v>33.536141658451726</v>
      </c>
      <c r="Z35" s="2">
        <f t="shared" si="3"/>
        <v>40.335490758074329</v>
      </c>
      <c r="AA35" s="3">
        <f t="shared" si="4"/>
        <v>45.764333050954775</v>
      </c>
      <c r="AB35" s="2">
        <f t="shared" si="5"/>
        <v>49.428869726400649</v>
      </c>
      <c r="AC35" s="2">
        <f t="shared" si="6"/>
        <v>51.23411261768387</v>
      </c>
      <c r="AD35" s="2">
        <f t="shared" si="7"/>
        <v>-0.67609534313526942</v>
      </c>
      <c r="AE35" s="2">
        <f t="shared" si="8"/>
        <v>-0.90328891990010662</v>
      </c>
    </row>
    <row r="36" spans="2:31" x14ac:dyDescent="0.2">
      <c r="B36" s="1">
        <f>[1]FormattedData!A88</f>
        <v>403</v>
      </c>
      <c r="C36" s="1" t="str">
        <f>VLOOKUP($B36,[1]TrtCodes!$B$11:I131,2)</f>
        <v>FDL</v>
      </c>
      <c r="D36" s="1">
        <f>VLOOKUP($B36,[1]TrtCodes!$B$11:J131,3)</f>
        <v>6</v>
      </c>
      <c r="E36" s="1">
        <f>VLOOKUP($B36,[1]TrtCodes!$B$11:K131,4)</f>
        <v>1</v>
      </c>
      <c r="F36" s="1">
        <f>VLOOKUP($B36,[1]TrtCodes!$B$11:L131,5)</f>
        <v>3</v>
      </c>
      <c r="G36" s="1">
        <f>VLOOKUP($B36,[1]TrtCodes!$B$11:M131,6)</f>
        <v>1</v>
      </c>
      <c r="H36" s="1">
        <f>VLOOKUP($B36,[1]TrtCodes!$B$11:N131,7)</f>
        <v>3</v>
      </c>
      <c r="I36" s="1">
        <f>[1]FormattedData!B88</f>
        <v>1</v>
      </c>
      <c r="J36" s="4">
        <f>[1]FormattedData!C88</f>
        <v>13.436</v>
      </c>
      <c r="K36" s="6">
        <f>$J$3+[1]FormattedData!D88*$J$4+$M$4*$J$5+[1]FormattedData!D88^2*$J$6+$M$5*$J$7</f>
        <v>53.238202191547572</v>
      </c>
      <c r="L36" s="6">
        <f>$J$3+[1]FormattedData!E88*$J$4+$M$4*$J$5+[1]FormattedData!E88^2*$J$6+$M$5*$J$7</f>
        <v>46.979639222724956</v>
      </c>
      <c r="M36" s="6">
        <f>$J$3+[1]FormattedData!F88*$J$4+$M$4*$J$5+[1]FormattedData!F88^2*$J$6+$M$5*$J$7</f>
        <v>36.390468175542921</v>
      </c>
      <c r="N36" s="6">
        <f>$J$3+[1]FormattedData!G88*$J$4+$M$4*$J$5+[1]FormattedData!G88^2*$J$6+$M$5*$J$7</f>
        <v>40.600629793420914</v>
      </c>
      <c r="O36" s="6">
        <f>$J$3+[1]FormattedData!H88*$J$4+$M$4*$J$5+[1]FormattedData!H88^2*$J$6+$M$5*$J$7</f>
        <v>35.727861272191767</v>
      </c>
      <c r="P36" s="6">
        <f>$J$3+[1]FormattedData!I88*$J$4+$M$4*$J$5+[1]FormattedData!I88^2*$J$6+$M$5*$J$7</f>
        <v>42.994153756573311</v>
      </c>
      <c r="Q36" s="6">
        <f>$J$3+[1]FormattedData!J88*$J$4+$M$4*$J$5+[1]FormattedData!J88^2*$J$6+$M$5*$J$7</f>
        <v>46.620703845200197</v>
      </c>
      <c r="R36" s="6">
        <f>$J$3+[1]FormattedData!K88*$J$4+$M$4*$J$5+[1]FormattedData!K88^2*$J$6+$M$5*$J$7</f>
        <v>46.351058492408356</v>
      </c>
      <c r="S36" s="6">
        <f>$J$3+[1]FormattedData!L88*$J$4+$M$4*$J$5+[1]FormattedData!L88^2*$J$6+$M$5*$J$7</f>
        <v>52.195379963469968</v>
      </c>
      <c r="T36" s="6">
        <f>$J$3+[1]FormattedData!M88*$J$4+$M$4*$J$5+[1]FormattedData!M88^2*$J$6+$M$5*$J$7</f>
        <v>51.584256139318946</v>
      </c>
      <c r="U36" s="6">
        <f>$J$3+[1]FormattedData!N88*$J$4+$M$4*$J$5+[1]FormattedData!N88^2*$J$6+$M$5*$J$7</f>
        <v>48.408617766754958</v>
      </c>
      <c r="V36" s="6">
        <f>$J$3+[1]FormattedData!O88*$J$4+$M$4*$J$5+[1]FormattedData!O88^2*$J$6+$M$5*$J$7</f>
        <v>40.32261527011871</v>
      </c>
      <c r="W36" s="5">
        <f t="shared" si="0"/>
        <v>45.117798824106046</v>
      </c>
      <c r="X36" s="4">
        <f t="shared" si="1"/>
        <v>1.7148404487980915</v>
      </c>
      <c r="Y36" s="3">
        <f t="shared" si="2"/>
        <v>35.727861272191767</v>
      </c>
      <c r="Z36" s="2">
        <f t="shared" si="3"/>
        <v>40.531126162595363</v>
      </c>
      <c r="AA36" s="3">
        <f t="shared" si="4"/>
        <v>46.485881168804276</v>
      </c>
      <c r="AB36" s="2">
        <f t="shared" si="5"/>
        <v>49.202527359895953</v>
      </c>
      <c r="AC36" s="2">
        <f t="shared" si="6"/>
        <v>53.238202191547572</v>
      </c>
      <c r="AD36" s="2">
        <f t="shared" si="7"/>
        <v>-0.25859207805139994</v>
      </c>
      <c r="AE36" s="2">
        <f t="shared" si="8"/>
        <v>-1.0870145645288605</v>
      </c>
    </row>
    <row r="37" spans="2:31" x14ac:dyDescent="0.2">
      <c r="B37" s="1">
        <f>[1]FormattedData!A86</f>
        <v>404</v>
      </c>
      <c r="C37" s="1" t="str">
        <f>VLOOKUP($B37,[1]TrtCodes!$B$11:I129,2)</f>
        <v>FTH</v>
      </c>
      <c r="D37" s="1">
        <f>VLOOKUP($B37,[1]TrtCodes!$B$11:J129,3)</f>
        <v>3</v>
      </c>
      <c r="E37" s="1">
        <f>VLOOKUP($B37,[1]TrtCodes!$B$11:K129,4)</f>
        <v>1</v>
      </c>
      <c r="F37" s="1">
        <f>VLOOKUP($B37,[1]TrtCodes!$B$11:L129,5)</f>
        <v>2</v>
      </c>
      <c r="G37" s="1">
        <f>VLOOKUP($B37,[1]TrtCodes!$B$11:M129,6)</f>
        <v>2</v>
      </c>
      <c r="H37" s="1">
        <f>VLOOKUP($B37,[1]TrtCodes!$B$11:N129,7)</f>
        <v>3</v>
      </c>
      <c r="I37" s="1">
        <f>[1]FormattedData!B86</f>
        <v>1</v>
      </c>
      <c r="J37" s="4">
        <f>[1]FormattedData!C86</f>
        <v>13.419</v>
      </c>
      <c r="K37" s="6">
        <f>$J$3+[1]FormattedData!D86*$J$4+$M$4*$J$5+[1]FormattedData!D86^2*$J$6+$M$5*$J$7</f>
        <v>57.094576146941925</v>
      </c>
      <c r="L37" s="6">
        <f>$J$3+[1]FormattedData!E86*$J$4+$M$4*$J$5+[1]FormattedData!E86^2*$J$6+$M$5*$J$7</f>
        <v>43.451171014720643</v>
      </c>
      <c r="M37" s="6">
        <f>$J$3+[1]FormattedData!F86*$J$4+$M$4*$J$5+[1]FormattedData!F86^2*$J$6+$M$5*$J$7</f>
        <v>52.630628924582766</v>
      </c>
      <c r="N37" s="6">
        <f>$J$3+[1]FormattedData!G86*$J$4+$M$4*$J$5+[1]FormattedData!G86^2*$J$6+$M$5*$J$7</f>
        <v>43.451171014720643</v>
      </c>
      <c r="O37" s="6">
        <f>$J$3+[1]FormattedData!H86*$J$4+$M$4*$J$5+[1]FormattedData!H86^2*$J$6+$M$5*$J$7</f>
        <v>47.784771112686663</v>
      </c>
      <c r="P37" s="6">
        <f>$J$3+[1]FormattedData!I86*$J$4+$M$4*$J$5+[1]FormattedData!I86^2*$J$6+$M$5*$J$7</f>
        <v>48.49756964318442</v>
      </c>
      <c r="Q37" s="6">
        <f>$J$3+[1]FormattedData!J86*$J$4+$M$4*$J$5+[1]FormattedData!J86^2*$J$6+$M$5*$J$7</f>
        <v>54.962713306205629</v>
      </c>
      <c r="R37" s="6">
        <f>$J$3+[1]FormattedData!K86*$J$4+$M$4*$J$5+[1]FormattedData!K86^2*$J$6+$M$5*$J$7</f>
        <v>48.141508526238994</v>
      </c>
      <c r="S37" s="6">
        <f>$J$3+[1]FormattedData!L86*$J$4+$M$4*$J$5+[1]FormattedData!L86^2*$J$6+$M$5*$J$7</f>
        <v>45.35910418808426</v>
      </c>
      <c r="T37" s="6">
        <f>$J$3+[1]FormattedData!M86*$J$4+$M$4*$J$5+[1]FormattedData!M86^2*$J$6+$M$5*$J$7</f>
        <v>49.207662987254594</v>
      </c>
      <c r="U37" s="6">
        <f>$J$3+[1]FormattedData!N86*$J$4+$M$4*$J$5+[1]FormattedData!N86^2*$J$6+$M$5*$J$7</f>
        <v>50.795482173536577</v>
      </c>
      <c r="V37" s="6">
        <f>$J$3+[1]FormattedData!O86*$J$4+$M$4*$J$5+[1]FormattedData!O86^2*$J$6+$M$5*$J$7</f>
        <v>43.359852100167039</v>
      </c>
      <c r="W37" s="5">
        <f t="shared" si="0"/>
        <v>48.72801759486034</v>
      </c>
      <c r="X37" s="4">
        <f t="shared" si="1"/>
        <v>1.3077548084450037</v>
      </c>
      <c r="Y37" s="3">
        <f t="shared" si="2"/>
        <v>43.359852100167039</v>
      </c>
      <c r="Z37" s="2">
        <f t="shared" si="3"/>
        <v>44.882120894743352</v>
      </c>
      <c r="AA37" s="3">
        <f t="shared" si="4"/>
        <v>48.319539084711707</v>
      </c>
      <c r="AB37" s="2">
        <f t="shared" si="5"/>
        <v>51.254268861298122</v>
      </c>
      <c r="AC37" s="2">
        <f t="shared" si="6"/>
        <v>57.094576146941925</v>
      </c>
      <c r="AD37" s="2">
        <f t="shared" si="7"/>
        <v>0.47936851091351307</v>
      </c>
      <c r="AE37" s="2">
        <f t="shared" si="8"/>
        <v>-0.60180709721475711</v>
      </c>
    </row>
    <row r="38" spans="2:31" x14ac:dyDescent="0.2">
      <c r="B38" s="1">
        <f>[1]FormattedData!A84</f>
        <v>405</v>
      </c>
      <c r="C38" s="1" t="str">
        <f>VLOOKUP($B38,[1]TrtCodes!$B$11:I127,2)</f>
        <v>FDL</v>
      </c>
      <c r="D38" s="1">
        <f>VLOOKUP($B38,[1]TrtCodes!$B$11:J127,3)</f>
        <v>6</v>
      </c>
      <c r="E38" s="1">
        <f>VLOOKUP($B38,[1]TrtCodes!$B$11:K127,4)</f>
        <v>1</v>
      </c>
      <c r="F38" s="1">
        <f>VLOOKUP($B38,[1]TrtCodes!$B$11:L127,5)</f>
        <v>3</v>
      </c>
      <c r="G38" s="1">
        <f>VLOOKUP($B38,[1]TrtCodes!$B$11:M127,6)</f>
        <v>1</v>
      </c>
      <c r="H38" s="1">
        <f>VLOOKUP($B38,[1]TrtCodes!$B$11:N127,7)</f>
        <v>4</v>
      </c>
      <c r="I38" s="1">
        <f>[1]FormattedData!B84</f>
        <v>1</v>
      </c>
      <c r="J38" s="4">
        <f>[1]FormattedData!C84</f>
        <v>13.401999999999999</v>
      </c>
      <c r="K38" s="6">
        <f>$J$3+[1]FormattedData!D84*$J$4+$M$4*$J$5+[1]FormattedData!D84^2*$J$6+$M$5*$J$7</f>
        <v>55.134234509836951</v>
      </c>
      <c r="L38" s="6">
        <f>$J$3+[1]FormattedData!E84*$J$4+$M$4*$J$5+[1]FormattedData!E84^2*$J$6+$M$5*$J$7</f>
        <v>45.178199369032221</v>
      </c>
      <c r="M38" s="6">
        <f>$J$3+[1]FormattedData!F84*$J$4+$M$4*$J$5+[1]FormattedData!F84^2*$J$6+$M$5*$J$7</f>
        <v>48.586479251075957</v>
      </c>
      <c r="N38" s="6">
        <f>$J$3+[1]FormattedData!G84*$J$4+$M$4*$J$5+[1]FormattedData!G84^2*$J$6+$M$5*$J$7</f>
        <v>41.98499615731123</v>
      </c>
      <c r="O38" s="6">
        <f>$J$3+[1]FormattedData!H84*$J$4+$M$4*$J$5+[1]FormattedData!H84^2*$J$6+$M$5*$J$7</f>
        <v>45.268672912827199</v>
      </c>
      <c r="P38" s="6">
        <f>$J$3+[1]FormattedData!I84*$J$4+$M$4*$J$5+[1]FormattedData!I84^2*$J$6+$M$5*$J$7</f>
        <v>36.29593685210655</v>
      </c>
      <c r="Q38" s="6">
        <f>$J$3+[1]FormattedData!J84*$J$4+$M$4*$J$5+[1]FormattedData!J84^2*$J$6+$M$5*$J$7</f>
        <v>44.725197621988343</v>
      </c>
      <c r="R38" s="6">
        <f>$J$3+[1]FormattedData!K84*$J$4+$M$4*$J$5+[1]FormattedData!K84^2*$J$6+$M$5*$J$7</f>
        <v>46.351058492408356</v>
      </c>
      <c r="S38" s="6">
        <f>$J$3+[1]FormattedData!L84*$J$4+$M$4*$J$5+[1]FormattedData!L84^2*$J$6+$M$5*$J$7</f>
        <v>53.411414136696145</v>
      </c>
      <c r="T38" s="6">
        <f>$J$3+[1]FormattedData!M84*$J$4+$M$4*$J$5+[1]FormattedData!M84^2*$J$6+$M$5*$J$7</f>
        <v>35.727861272191767</v>
      </c>
      <c r="U38" s="6">
        <f>$J$3+[1]FormattedData!N84*$J$4+$M$4*$J$5+[1]FormattedData!N84^2*$J$6+$M$5*$J$7</f>
        <v>52.020984499259328</v>
      </c>
      <c r="V38" s="6">
        <f>$J$3+[1]FormattedData!O84*$J$4+$M$4*$J$5+[1]FormattedData!O84^2*$J$6+$M$5*$J$7</f>
        <v>39.39315273747917</v>
      </c>
      <c r="W38" s="5">
        <f t="shared" si="0"/>
        <v>45.3398489843511</v>
      </c>
      <c r="X38" s="4">
        <f t="shared" si="1"/>
        <v>1.8226079330878617</v>
      </c>
      <c r="Y38" s="3">
        <f t="shared" si="2"/>
        <v>35.727861272191767</v>
      </c>
      <c r="Z38" s="2">
        <f t="shared" si="3"/>
        <v>41.337035302353215</v>
      </c>
      <c r="AA38" s="3">
        <f t="shared" si="4"/>
        <v>45.223436140929707</v>
      </c>
      <c r="AB38" s="2">
        <f t="shared" si="5"/>
        <v>49.4451055631218</v>
      </c>
      <c r="AC38" s="2">
        <f t="shared" si="6"/>
        <v>55.134234509836951</v>
      </c>
      <c r="AD38" s="2">
        <f t="shared" si="7"/>
        <v>-3.3437503158461335E-2</v>
      </c>
      <c r="AE38" s="2">
        <f t="shared" si="8"/>
        <v>-0.84470598311734024</v>
      </c>
    </row>
    <row r="39" spans="2:31" x14ac:dyDescent="0.2">
      <c r="B39" s="1">
        <f>[1]FormattedData!A82</f>
        <v>406</v>
      </c>
      <c r="C39" s="1" t="str">
        <f>VLOOKUP($B39,[1]TrtCodes!$B$11:I125,2)</f>
        <v>FTH</v>
      </c>
      <c r="D39" s="1">
        <f>VLOOKUP($B39,[1]TrtCodes!$B$11:J125,3)</f>
        <v>3</v>
      </c>
      <c r="E39" s="1">
        <f>VLOOKUP($B39,[1]TrtCodes!$B$11:K125,4)</f>
        <v>1</v>
      </c>
      <c r="F39" s="1">
        <f>VLOOKUP($B39,[1]TrtCodes!$B$11:L125,5)</f>
        <v>2</v>
      </c>
      <c r="G39" s="1">
        <f>VLOOKUP($B39,[1]TrtCodes!$B$11:M125,6)</f>
        <v>2</v>
      </c>
      <c r="H39" s="1">
        <f>VLOOKUP($B39,[1]TrtCodes!$B$11:N125,7)</f>
        <v>4</v>
      </c>
      <c r="I39" s="1">
        <f>[1]FormattedData!B82</f>
        <v>1</v>
      </c>
      <c r="J39" s="4">
        <f>[1]FormattedData!C82</f>
        <v>13.385</v>
      </c>
      <c r="K39" s="6">
        <f>$J$3+[1]FormattedData!D82*$J$4+$M$4*$J$5+[1]FormattedData!D82^2*$J$6+$M$5*$J$7</f>
        <v>56.245001150992238</v>
      </c>
      <c r="L39" s="6">
        <f>$J$3+[1]FormattedData!E82*$J$4+$M$4*$J$5+[1]FormattedData!E82^2*$J$6+$M$5*$J$7</f>
        <v>45.63014440262782</v>
      </c>
      <c r="M39" s="6">
        <f>$J$3+[1]FormattedData!F82*$J$4+$M$4*$J$5+[1]FormattedData!F82^2*$J$6+$M$5*$J$7</f>
        <v>53.6709150403845</v>
      </c>
      <c r="N39" s="6">
        <f>$J$3+[1]FormattedData!G82*$J$4+$M$4*$J$5+[1]FormattedData!G82^2*$J$6+$M$5*$J$7</f>
        <v>36.484957230441353</v>
      </c>
      <c r="O39" s="6">
        <f>$J$3+[1]FormattedData!H82*$J$4+$M$4*$J$5+[1]FormattedData!H82^2*$J$6+$M$5*$J$7</f>
        <v>50.003284456181802</v>
      </c>
      <c r="P39" s="6">
        <f>$J$3+[1]FormattedData!I82*$J$4+$M$4*$J$5+[1]FormattedData!I82^2*$J$6+$M$5*$J$7</f>
        <v>39.951337479518067</v>
      </c>
      <c r="Q39" s="6">
        <f>$J$3+[1]FormattedData!J82*$J$4+$M$4*$J$5+[1]FormattedData!J82^2*$J$6+$M$5*$J$7</f>
        <v>53.324829298390824</v>
      </c>
      <c r="R39" s="6">
        <f>$J$3+[1]FormattedData!K82*$J$4+$M$4*$J$5+[1]FormattedData!K82^2*$J$6+$M$5*$J$7</f>
        <v>40.600629793420914</v>
      </c>
      <c r="S39" s="6">
        <f>$J$3+[1]FormattedData!L82*$J$4+$M$4*$J$5+[1]FormattedData!L82^2*$J$6+$M$5*$J$7</f>
        <v>53.6709150403845</v>
      </c>
      <c r="T39" s="6">
        <f>$J$3+[1]FormattedData!M82*$J$4+$M$4*$J$5+[1]FormattedData!M82^2*$J$6+$M$5*$J$7</f>
        <v>42.627779116372679</v>
      </c>
      <c r="U39" s="6">
        <f>$J$3+[1]FormattedData!N82*$J$4+$M$4*$J$5+[1]FormattedData!N82^2*$J$6+$M$5*$J$7</f>
        <v>51.584256139318946</v>
      </c>
      <c r="V39" s="6">
        <f>$J$3+[1]FormattedData!O82*$J$4+$M$4*$J$5+[1]FormattedData!O82^2*$J$6+$M$5*$J$7</f>
        <v>41.98499615731123</v>
      </c>
      <c r="W39" s="5">
        <f t="shared" si="0"/>
        <v>47.148253775445404</v>
      </c>
      <c r="X39" s="4">
        <f t="shared" si="1"/>
        <v>1.9298137151998933</v>
      </c>
      <c r="Y39" s="3">
        <f t="shared" si="2"/>
        <v>36.484957230441353</v>
      </c>
      <c r="Z39" s="2">
        <f t="shared" si="3"/>
        <v>41.638904566338653</v>
      </c>
      <c r="AA39" s="3">
        <f t="shared" si="4"/>
        <v>47.816714429404811</v>
      </c>
      <c r="AB39" s="2">
        <f t="shared" si="5"/>
        <v>53.411350733889243</v>
      </c>
      <c r="AC39" s="2">
        <f t="shared" si="6"/>
        <v>56.245001150992238</v>
      </c>
      <c r="AD39" s="2">
        <f t="shared" si="7"/>
        <v>-0.16267284608398996</v>
      </c>
      <c r="AE39" s="2">
        <f t="shared" si="8"/>
        <v>-1.5906278811405645</v>
      </c>
    </row>
    <row r="40" spans="2:31" x14ac:dyDescent="0.2">
      <c r="B40" s="1">
        <f>[1]FormattedData!A80</f>
        <v>407</v>
      </c>
      <c r="C40" s="1" t="str">
        <f>VLOOKUP($B40,[1]TrtCodes!$B$11:I123,2)</f>
        <v>NSH</v>
      </c>
      <c r="D40" s="1">
        <f>VLOOKUP($B40,[1]TrtCodes!$B$11:J123,3)</f>
        <v>7</v>
      </c>
      <c r="E40" s="1">
        <f>VLOOKUP($B40,[1]TrtCodes!$B$11:K123,4)</f>
        <v>2</v>
      </c>
      <c r="F40" s="1">
        <f>VLOOKUP($B40,[1]TrtCodes!$B$11:L123,5)</f>
        <v>1</v>
      </c>
      <c r="G40" s="1">
        <f>VLOOKUP($B40,[1]TrtCodes!$B$11:M123,6)</f>
        <v>2</v>
      </c>
      <c r="H40" s="1">
        <f>VLOOKUP($B40,[1]TrtCodes!$B$11:N123,7)</f>
        <v>4</v>
      </c>
      <c r="I40" s="1">
        <f>[1]FormattedData!B80</f>
        <v>1</v>
      </c>
      <c r="J40" s="4">
        <f>[1]FormattedData!C80</f>
        <v>13.371</v>
      </c>
      <c r="K40" s="6">
        <f>$J$3+[1]FormattedData!D80*$J$4+$M$4*$J$5+[1]FormattedData!D80^2*$J$6+$M$5*$J$7</f>
        <v>38.83344632807475</v>
      </c>
      <c r="L40" s="6">
        <f>$J$3+[1]FormattedData!E80*$J$4+$M$4*$J$5+[1]FormattedData!E80^2*$J$6+$M$5*$J$7</f>
        <v>37.897220829366233</v>
      </c>
      <c r="M40" s="6">
        <f>$J$3+[1]FormattedData!F80*$J$4+$M$4*$J$5+[1]FormattedData!F80^2*$J$6+$M$5*$J$7</f>
        <v>38.178532298627069</v>
      </c>
      <c r="N40" s="6">
        <f>$J$3+[1]FormattedData!G80*$J$4+$M$4*$J$5+[1]FormattedData!G80^2*$J$6+$M$5*$J$7</f>
        <v>36.012089270569845</v>
      </c>
      <c r="O40" s="6">
        <f>$J$3+[1]FormattedData!H80*$J$4+$M$4*$J$5+[1]FormattedData!H80^2*$J$6+$M$5*$J$7</f>
        <v>38.459463351046509</v>
      </c>
      <c r="P40" s="6">
        <f>$J$3+[1]FormattedData!I80*$J$4+$M$4*$J$5+[1]FormattedData!I80^2*$J$6+$M$5*$J$7</f>
        <v>40.044220329975126</v>
      </c>
      <c r="Q40" s="6">
        <f>$J$3+[1]FormattedData!J80*$J$4+$M$4*$J$5+[1]FormattedData!J80^2*$J$6+$M$5*$J$7</f>
        <v>39.113489741197654</v>
      </c>
      <c r="R40" s="6">
        <f>$J$3+[1]FormattedData!K80*$J$4+$M$4*$J$5+[1]FormattedData!K80^2*$J$6+$M$5*$J$7</f>
        <v>34.682437267384771</v>
      </c>
      <c r="S40" s="6">
        <f>$J$3+[1]FormattedData!L80*$J$4+$M$4*$J$5+[1]FormattedData!L80^2*$J$6+$M$5*$J$7</f>
        <v>38.459463351046509</v>
      </c>
      <c r="T40" s="6">
        <f>$J$3+[1]FormattedData!M80*$J$4+$M$4*$J$5+[1]FormattedData!M80^2*$J$6+$M$5*$J$7</f>
        <v>35.633034068989872</v>
      </c>
      <c r="U40" s="6">
        <f>$J$3+[1]FormattedData!N80*$J$4+$M$4*$J$5+[1]FormattedData!N80^2*$J$6+$M$5*$J$7</f>
        <v>38.084804077411384</v>
      </c>
      <c r="V40" s="6">
        <f>$J$3+[1]FormattedData!O80*$J$4+$M$4*$J$5+[1]FormattedData!O80^2*$J$6+$M$5*$J$7</f>
        <v>34.682437267384771</v>
      </c>
      <c r="W40" s="5">
        <f t="shared" si="0"/>
        <v>37.506719848422875</v>
      </c>
      <c r="X40" s="4">
        <f t="shared" si="1"/>
        <v>0.51663266665145202</v>
      </c>
      <c r="Y40" s="3">
        <f t="shared" si="2"/>
        <v>34.682437267384771</v>
      </c>
      <c r="Z40" s="2">
        <f t="shared" si="3"/>
        <v>35.917325470174852</v>
      </c>
      <c r="AA40" s="3">
        <f t="shared" si="4"/>
        <v>38.131668188019226</v>
      </c>
      <c r="AB40" s="2">
        <f t="shared" si="5"/>
        <v>38.552959095303571</v>
      </c>
      <c r="AC40" s="2">
        <f t="shared" si="6"/>
        <v>40.044220329975126</v>
      </c>
      <c r="AD40" s="2">
        <f t="shared" si="7"/>
        <v>-0.56837650227953085</v>
      </c>
      <c r="AE40" s="2">
        <f t="shared" si="8"/>
        <v>-0.99542960592757401</v>
      </c>
    </row>
    <row r="41" spans="2:31" x14ac:dyDescent="0.2">
      <c r="B41" s="1">
        <f>[1]FormattedData!A78</f>
        <v>408</v>
      </c>
      <c r="C41" s="1" t="str">
        <f>VLOOKUP($B41,[1]TrtCodes!$B$11:I121,2)</f>
        <v>NTL</v>
      </c>
      <c r="D41" s="1">
        <f>VLOOKUP($B41,[1]TrtCodes!$B$11:J121,3)</f>
        <v>10</v>
      </c>
      <c r="E41" s="1">
        <f>VLOOKUP($B41,[1]TrtCodes!$B$11:K121,4)</f>
        <v>2</v>
      </c>
      <c r="F41" s="1">
        <f>VLOOKUP($B41,[1]TrtCodes!$B$11:L121,5)</f>
        <v>2</v>
      </c>
      <c r="G41" s="1">
        <f>VLOOKUP($B41,[1]TrtCodes!$B$11:M121,6)</f>
        <v>1</v>
      </c>
      <c r="H41" s="1">
        <f>VLOOKUP($B41,[1]TrtCodes!$B$11:N121,7)</f>
        <v>4</v>
      </c>
      <c r="I41" s="1">
        <f>[1]FormattedData!B78</f>
        <v>1</v>
      </c>
      <c r="J41" s="4">
        <f>[1]FormattedData!C78</f>
        <v>13.355</v>
      </c>
      <c r="K41" s="6">
        <f>$J$3+[1]FormattedData!D78*$J$4+$M$4*$J$5+[1]FormattedData!D78^2*$J$6+$M$5*$J$7</f>
        <v>53.7573308045381</v>
      </c>
      <c r="L41" s="6">
        <f>$J$3+[1]FormattedData!E78*$J$4+$M$4*$J$5+[1]FormattedData!E78^2*$J$6+$M$5*$J$7</f>
        <v>41.24785094896513</v>
      </c>
      <c r="M41" s="6">
        <f>$J$3+[1]FormattedData!F78*$J$4+$M$4*$J$5+[1]FormattedData!F78^2*$J$6+$M$5*$J$7</f>
        <v>53.6709150403845</v>
      </c>
      <c r="N41" s="6">
        <f>$J$3+[1]FormattedData!G78*$J$4+$M$4*$J$5+[1]FormattedData!G78^2*$J$6+$M$5*$J$7</f>
        <v>37.05100392053545</v>
      </c>
      <c r="O41" s="6">
        <f>$J$3+[1]FormattedData!H78*$J$4+$M$4*$J$5+[1]FormattedData!H78^2*$J$6+$M$5*$J$7</f>
        <v>52.020984499259328</v>
      </c>
      <c r="P41" s="6">
        <f>$J$3+[1]FormattedData!I78*$J$4+$M$4*$J$5+[1]FormattedData!I78^2*$J$6+$M$5*$J$7</f>
        <v>36.106747399620012</v>
      </c>
      <c r="Q41" s="6">
        <f>$J$3+[1]FormattedData!J78*$J$4+$M$4*$J$5+[1]FormattedData!J78^2*$J$6+$M$5*$J$7</f>
        <v>51.496783661717068</v>
      </c>
      <c r="R41" s="6">
        <f>$J$3+[1]FormattedData!K78*$J$4+$M$4*$J$5+[1]FormattedData!K78^2*$J$6+$M$5*$J$7</f>
        <v>40.415329046424034</v>
      </c>
      <c r="S41" s="6">
        <f>$J$3+[1]FormattedData!L78*$J$4+$M$4*$J$5+[1]FormattedData!L78^2*$J$6+$M$5*$J$7</f>
        <v>48.052387575657804</v>
      </c>
      <c r="T41" s="6">
        <f>$J$3+[1]FormattedData!M78*$J$4+$M$4*$J$5+[1]FormattedData!M78^2*$J$6+$M$5*$J$7</f>
        <v>40.785761466266059</v>
      </c>
      <c r="U41" s="6">
        <f>$J$3+[1]FormattedData!N78*$J$4+$M$4*$J$5+[1]FormattedData!N78^2*$J$6+$M$5*$J$7</f>
        <v>51.321711900899537</v>
      </c>
      <c r="V41" s="6">
        <f>$J$3+[1]FormattedData!O78*$J$4+$M$4*$J$5+[1]FormattedData!O78^2*$J$6+$M$5*$J$7</f>
        <v>39.579383392310525</v>
      </c>
      <c r="W41" s="5">
        <f t="shared" si="0"/>
        <v>45.458849138048123</v>
      </c>
      <c r="X41" s="4">
        <f t="shared" si="1"/>
        <v>1.9745537167464189</v>
      </c>
      <c r="Y41" s="3">
        <f t="shared" si="2"/>
        <v>36.106747399620012</v>
      </c>
      <c r="Z41" s="2">
        <f t="shared" si="3"/>
        <v>40.206342632895655</v>
      </c>
      <c r="AA41" s="3">
        <f t="shared" si="4"/>
        <v>44.650119262311463</v>
      </c>
      <c r="AB41" s="2">
        <f t="shared" si="5"/>
        <v>51.627833871102631</v>
      </c>
      <c r="AC41" s="2">
        <f t="shared" si="6"/>
        <v>53.7573308045381</v>
      </c>
      <c r="AD41" s="2">
        <f t="shared" si="7"/>
        <v>-2.5097946148705461E-2</v>
      </c>
      <c r="AE41" s="2">
        <f t="shared" si="8"/>
        <v>-1.9471187171191047</v>
      </c>
    </row>
    <row r="42" spans="2:31" x14ac:dyDescent="0.2">
      <c r="B42" s="17">
        <f>[1]FormattedData!A60</f>
        <v>901</v>
      </c>
      <c r="C42" s="17" t="str">
        <f>VLOOKUP($B42,[1]TrtCodes!$B$11:I103,2)</f>
        <v>WS</v>
      </c>
      <c r="D42" s="17">
        <f>VLOOKUP($B42,[1]TrtCodes!$B$11:J103,3)</f>
        <v>32</v>
      </c>
      <c r="E42" s="17">
        <f>VLOOKUP($B42,[1]TrtCodes!$B$11:K103,4)</f>
        <v>9</v>
      </c>
      <c r="F42" s="17">
        <f>VLOOKUP($B42,[1]TrtCodes!$B$11:L103,5)</f>
        <v>0</v>
      </c>
      <c r="G42" s="17">
        <f>VLOOKUP($B42,[1]TrtCodes!$B$11:M103,6)</f>
        <v>1</v>
      </c>
      <c r="H42" s="17">
        <f>VLOOKUP($B42,[1]TrtCodes!$B$11:N103,7)</f>
        <v>1</v>
      </c>
      <c r="I42" s="17">
        <f>[1]FormattedData!B60</f>
        <v>1</v>
      </c>
      <c r="J42" s="15">
        <f>[1]FormattedData!C60</f>
        <v>13.215999999999999</v>
      </c>
      <c r="K42" s="14">
        <f>$J$3+[1]FormattedData!D60*$J$4+$M$4*$J$5+[1]FormattedData!D60^2*$J$6+$M$5*$J$7</f>
        <v>51.321711900899537</v>
      </c>
      <c r="L42" s="14">
        <f>$J$3+[1]FormattedData!E60*$J$4+$M$4*$J$5+[1]FormattedData!E60^2*$J$6+$M$5*$J$7</f>
        <v>51.23411261768387</v>
      </c>
      <c r="M42" s="14">
        <f>$J$3+[1]FormattedData!F60*$J$4+$M$4*$J$5+[1]FormattedData!F60^2*$J$6+$M$5*$J$7</f>
        <v>49.826775565074598</v>
      </c>
      <c r="N42" s="14">
        <f>$J$3+[1]FormattedData!G60*$J$4+$M$4*$J$5+[1]FormattedData!G60^2*$J$6+$M$5*$J$7</f>
        <v>50.883292799441904</v>
      </c>
      <c r="O42" s="14">
        <f>$J$3+[1]FormattedData!H60*$J$4+$M$4*$J$5+[1]FormattedData!H60^2*$J$6+$M$5*$J$7</f>
        <v>50.267730778808101</v>
      </c>
      <c r="P42" s="14">
        <f>$J$3+[1]FormattedData!I60*$J$4+$M$4*$J$5+[1]FormattedData!I60^2*$J$6+$M$5*$J$7</f>
        <v>50.619734116112141</v>
      </c>
      <c r="Q42" s="14">
        <f>$J$3+[1]FormattedData!J60*$J$4+$M$4*$J$5+[1]FormattedData!J60^2*$J$6+$M$5*$J$7</f>
        <v>51.496783661717068</v>
      </c>
      <c r="R42" s="14">
        <f>$J$3+[1]FormattedData!K60*$J$4+$M$4*$J$5+[1]FormattedData!K60^2*$J$6+$M$5*$J$7</f>
        <v>51.671686348382877</v>
      </c>
      <c r="S42" s="14">
        <f>$J$3+[1]FormattedData!L60*$J$4+$M$4*$J$5+[1]FormattedData!L60^2*$J$6+$M$5*$J$7</f>
        <v>49.738457716714109</v>
      </c>
      <c r="T42" s="14">
        <f>$J$3+[1]FormattedData!M60*$J$4+$M$4*$J$5+[1]FormattedData!M60^2*$J$6+$M$5*$J$7</f>
        <v>51.23411261768387</v>
      </c>
      <c r="U42" s="14">
        <f>$J$3+[1]FormattedData!N60*$J$4+$M$4*$J$5+[1]FormattedData!N60^2*$J$6+$M$5*$J$7</f>
        <v>51.23411261768387</v>
      </c>
      <c r="V42" s="14">
        <f>$J$3+[1]FormattedData!O60*$J$4+$M$4*$J$5+[1]FormattedData!O60^2*$J$6+$M$5*$J$7</f>
        <v>51.584256139318946</v>
      </c>
      <c r="W42" s="16">
        <f t="shared" ref="W42:W73" si="9">AVERAGE(K42:V42)</f>
        <v>50.926063906626744</v>
      </c>
      <c r="X42" s="15">
        <f t="shared" ref="X42:X73" si="10">STDEV(K42:V42)/SQRT(COUNT(K42:V42))</f>
        <v>0.19274774250421758</v>
      </c>
      <c r="Y42" s="14">
        <f t="shared" ref="Y42:Y73" si="11">MIN(K42:V42)</f>
        <v>49.738457716714109</v>
      </c>
      <c r="Z42" s="13">
        <f t="shared" ref="Z42:Z73" si="12">QUARTILE(K42:V42,1)</f>
        <v>50.531733281786131</v>
      </c>
      <c r="AA42" s="14">
        <f t="shared" ref="AA42:AA73" si="13">MEDIAN(K42:V42)</f>
        <v>51.23411261768387</v>
      </c>
      <c r="AB42" s="13">
        <f t="shared" ref="AB42:AB73" si="14">QUARTILE(K42:V42,3)</f>
        <v>51.36547984110392</v>
      </c>
      <c r="AC42" s="13">
        <f t="shared" ref="AC42:AC73" si="15">MAX(K42:V42)</f>
        <v>51.671686348382877</v>
      </c>
      <c r="AD42" s="13">
        <f t="shared" ref="AD42:AD73" si="16">SKEW(K42:V42)</f>
        <v>-0.83644338232056159</v>
      </c>
      <c r="AE42" s="13">
        <f t="shared" ref="AE42:AE73" si="17">KURT(K42:V42)</f>
        <v>-0.62378050720454636</v>
      </c>
    </row>
    <row r="43" spans="2:31" x14ac:dyDescent="0.2">
      <c r="B43" s="1">
        <f>[1]FormattedData!A58</f>
        <v>902</v>
      </c>
      <c r="C43" s="1" t="str">
        <f>VLOOKUP($B43,[1]TrtCodes!$B$11:I101,2)</f>
        <v>Late</v>
      </c>
      <c r="D43" s="1">
        <f>VLOOKUP($B43,[1]TrtCodes!$B$11:J101,3)</f>
        <v>22</v>
      </c>
      <c r="E43" s="1">
        <f>VLOOKUP($B43,[1]TrtCodes!$B$11:K101,4)</f>
        <v>4</v>
      </c>
      <c r="F43" s="1">
        <f>VLOOKUP($B43,[1]TrtCodes!$B$11:L101,5)</f>
        <v>2</v>
      </c>
      <c r="G43" s="1">
        <f>VLOOKUP($B43,[1]TrtCodes!$B$11:M101,6)</f>
        <v>2</v>
      </c>
      <c r="H43" s="1">
        <f>VLOOKUP($B43,[1]TrtCodes!$B$11:N101,7)</f>
        <v>1</v>
      </c>
      <c r="I43" s="1">
        <f>[1]FormattedData!B58</f>
        <v>1</v>
      </c>
      <c r="J43" s="4">
        <f>[1]FormattedData!C58</f>
        <v>13.202999999999999</v>
      </c>
      <c r="K43" s="6">
        <f>$J$3+[1]FormattedData!D58*$J$4+$M$4*$J$5+[1]FormattedData!D58^2*$J$6+$M$5*$J$7</f>
        <v>57.771192808970632</v>
      </c>
      <c r="L43" s="6">
        <f>$J$3+[1]FormattedData!E58*$J$4+$M$4*$J$5+[1]FormattedData!E58^2*$J$6+$M$5*$J$7</f>
        <v>41.155517589501173</v>
      </c>
      <c r="M43" s="6">
        <f>$J$3+[1]FormattedData!F58*$J$4+$M$4*$J$5+[1]FormattedData!F58^2*$J$6+$M$5*$J$7</f>
        <v>53.324829298390824</v>
      </c>
      <c r="N43" s="6">
        <f>$J$3+[1]FormattedData!G58*$J$4+$M$4*$J$5+[1]FormattedData!G58^2*$J$6+$M$5*$J$7</f>
        <v>39.113489741197654</v>
      </c>
      <c r="O43" s="6">
        <f>$J$3+[1]FormattedData!H58*$J$4+$M$4*$J$5+[1]FormattedData!H58^2*$J$6+$M$5*$J$7</f>
        <v>54.361057634551173</v>
      </c>
      <c r="P43" s="6">
        <f>$J$3+[1]FormattedData!I58*$J$4+$M$4*$J$5+[1]FormattedData!I58^2*$J$6+$M$5*$J$7</f>
        <v>40.415329046424034</v>
      </c>
      <c r="Q43" s="6">
        <f>$J$3+[1]FormattedData!J58*$J$4+$M$4*$J$5+[1]FormattedData!J58^2*$J$6+$M$5*$J$7</f>
        <v>55.647783675820563</v>
      </c>
      <c r="R43" s="6">
        <f>$J$3+[1]FormattedData!K58*$J$4+$M$4*$J$5+[1]FormattedData!K58^2*$J$6+$M$5*$J$7</f>
        <v>39.299974007256594</v>
      </c>
      <c r="S43" s="6">
        <f>$J$3+[1]FormattedData!L58*$J$4+$M$4*$J$5+[1]FormattedData!L58^2*$J$6+$M$5*$J$7</f>
        <v>51.584256139318946</v>
      </c>
      <c r="T43" s="6">
        <f>$J$3+[1]FormattedData!M58*$J$4+$M$4*$J$5+[1]FormattedData!M58^2*$J$6+$M$5*$J$7</f>
        <v>44.452889351306837</v>
      </c>
      <c r="U43" s="6">
        <f>$J$3+[1]FormattedData!N58*$J$4+$M$4*$J$5+[1]FormattedData!N58^2*$J$6+$M$5*$J$7</f>
        <v>53.7573308045381</v>
      </c>
      <c r="V43" s="6">
        <f>$J$3+[1]FormattedData!O58*$J$4+$M$4*$J$5+[1]FormattedData!O58^2*$J$6+$M$5*$J$7</f>
        <v>38.084804077411384</v>
      </c>
      <c r="W43" s="5">
        <f t="shared" si="9"/>
        <v>47.414037847890661</v>
      </c>
      <c r="X43" s="4">
        <f t="shared" si="10"/>
        <v>2.1925890839564675</v>
      </c>
      <c r="Y43" s="3">
        <f t="shared" si="11"/>
        <v>38.084804077411384</v>
      </c>
      <c r="Z43" s="2">
        <f t="shared" si="12"/>
        <v>40.136490286632174</v>
      </c>
      <c r="AA43" s="3">
        <f t="shared" si="13"/>
        <v>48.018572745312895</v>
      </c>
      <c r="AB43" s="2">
        <f t="shared" si="14"/>
        <v>53.908262512041368</v>
      </c>
      <c r="AC43" s="2">
        <f t="shared" si="15"/>
        <v>57.771192808970632</v>
      </c>
      <c r="AD43" s="2">
        <f t="shared" si="16"/>
        <v>1.6844386046952404E-3</v>
      </c>
      <c r="AE43" s="2">
        <f t="shared" si="17"/>
        <v>-2.0333035356330127</v>
      </c>
    </row>
    <row r="44" spans="2:31" x14ac:dyDescent="0.2">
      <c r="B44" s="17">
        <f>[1]FormattedData!A56</f>
        <v>903</v>
      </c>
      <c r="C44" s="17" t="str">
        <f>VLOOKUP($B44,[1]TrtCodes!$B$11:I99,2)</f>
        <v>DS</v>
      </c>
      <c r="D44" s="17">
        <f>VLOOKUP($B44,[1]TrtCodes!$B$11:J99,3)</f>
        <v>31</v>
      </c>
      <c r="E44" s="17">
        <f>VLOOKUP($B44,[1]TrtCodes!$B$11:K99,4)</f>
        <v>8</v>
      </c>
      <c r="F44" s="17">
        <f>VLOOKUP($B44,[1]TrtCodes!$B$11:L99,5)</f>
        <v>0</v>
      </c>
      <c r="G44" s="17">
        <f>VLOOKUP($B44,[1]TrtCodes!$B$11:M99,6)</f>
        <v>1</v>
      </c>
      <c r="H44" s="17">
        <f>VLOOKUP($B44,[1]TrtCodes!$B$11:N99,7)</f>
        <v>1</v>
      </c>
      <c r="I44" s="17">
        <f>[1]FormattedData!B56</f>
        <v>1</v>
      </c>
      <c r="J44" s="15">
        <f>[1]FormattedData!C56</f>
        <v>13.196</v>
      </c>
      <c r="K44" s="14">
        <f>$J$3+[1]FormattedData!D56*$J$4+$M$4*$J$5+[1]FormattedData!D56^2*$J$6+$M$5*$J$7</f>
        <v>63.086739393806923</v>
      </c>
      <c r="L44" s="14">
        <f>$J$3+[1]FormattedData!E56*$J$4+$M$4*$J$5+[1]FormattedData!E56^2*$J$6+$M$5*$J$7</f>
        <v>62.267597745167656</v>
      </c>
      <c r="M44" s="14">
        <f>$J$3+[1]FormattedData!F56*$J$4+$M$4*$J$5+[1]FormattedData!F56^2*$J$6+$M$5*$J$7</f>
        <v>62.349702118452271</v>
      </c>
      <c r="N44" s="14">
        <f>$J$3+[1]FormattedData!G56*$J$4+$M$4*$J$5+[1]FormattedData!G56^2*$J$6+$M$5*$J$7</f>
        <v>63.005015437363681</v>
      </c>
      <c r="O44" s="14">
        <f>$J$3+[1]FormattedData!H56*$J$4+$M$4*$J$5+[1]FormattedData!H56^2*$J$6+$M$5*$J$7</f>
        <v>62.923249212382522</v>
      </c>
      <c r="P44" s="14">
        <f>$J$3+[1]FormattedData!I56*$J$4+$M$4*$J$5+[1]FormattedData!I56^2*$J$6+$M$5*$J$7</f>
        <v>63.168421081712225</v>
      </c>
      <c r="Q44" s="14">
        <f>$J$3+[1]FormattedData!J56*$J$4+$M$4*$J$5+[1]FormattedData!J56^2*$J$6+$M$5*$J$7</f>
        <v>62.759589956806387</v>
      </c>
      <c r="R44" s="14">
        <f>$J$3+[1]FormattedData!K56*$J$4+$M$4*$J$5+[1]FormattedData!K56^2*$J$6+$M$5*$J$7</f>
        <v>62.677696926211425</v>
      </c>
      <c r="S44" s="14">
        <f>$J$3+[1]FormattedData!L56*$J$4+$M$4*$J$5+[1]FormattedData!L56^2*$J$6+$M$5*$J$7</f>
        <v>62.349702118452271</v>
      </c>
      <c r="T44" s="14">
        <f>$J$3+[1]FormattedData!M56*$J$4+$M$4*$J$5+[1]FormattedData!M56^2*$J$6+$M$5*$J$7</f>
        <v>62.759589956806387</v>
      </c>
      <c r="U44" s="14">
        <f>$J$3+[1]FormattedData!N56*$J$4+$M$4*$J$5+[1]FormattedData!N56^2*$J$6+$M$5*$J$7</f>
        <v>62.595761627078538</v>
      </c>
      <c r="V44" s="14">
        <f>$J$3+[1]FormattedData!O56*$J$4+$M$4*$J$5+[1]FormattedData!O56^2*$J$6+$M$5*$J$7</f>
        <v>63.086739393806923</v>
      </c>
      <c r="W44" s="16">
        <f t="shared" si="9"/>
        <v>62.752483747337273</v>
      </c>
      <c r="X44" s="15">
        <f t="shared" si="10"/>
        <v>9.042102879968042E-2</v>
      </c>
      <c r="Y44" s="14">
        <f t="shared" si="11"/>
        <v>62.267597745167656</v>
      </c>
      <c r="Z44" s="13">
        <f t="shared" si="12"/>
        <v>62.534246749921969</v>
      </c>
      <c r="AA44" s="14">
        <f t="shared" si="13"/>
        <v>62.759589956806387</v>
      </c>
      <c r="AB44" s="13">
        <f t="shared" si="14"/>
        <v>63.025446426474488</v>
      </c>
      <c r="AC44" s="13">
        <f t="shared" si="15"/>
        <v>63.168421081712225</v>
      </c>
      <c r="AD44" s="13">
        <f t="shared" si="16"/>
        <v>-0.28833912017748481</v>
      </c>
      <c r="AE44" s="13">
        <f t="shared" si="17"/>
        <v>-1.2771814356755584</v>
      </c>
    </row>
    <row r="45" spans="2:31" x14ac:dyDescent="0.2">
      <c r="B45" s="1">
        <f>[1]FormattedData!A54</f>
        <v>904</v>
      </c>
      <c r="C45" s="1" t="str">
        <f>VLOOKUP($B45,[1]TrtCodes!$B$11:I97,2)</f>
        <v>Early</v>
      </c>
      <c r="D45" s="1">
        <f>VLOOKUP($B45,[1]TrtCodes!$B$11:J97,3)</f>
        <v>21</v>
      </c>
      <c r="E45" s="1">
        <f>VLOOKUP($B45,[1]TrtCodes!$B$11:K97,4)</f>
        <v>3</v>
      </c>
      <c r="F45" s="1">
        <f>VLOOKUP($B45,[1]TrtCodes!$B$11:L97,5)</f>
        <v>2</v>
      </c>
      <c r="G45" s="1">
        <f>VLOOKUP($B45,[1]TrtCodes!$B$11:M97,6)</f>
        <v>2</v>
      </c>
      <c r="H45" s="1">
        <f>VLOOKUP($B45,[1]TrtCodes!$B$11:N97,7)</f>
        <v>1</v>
      </c>
      <c r="I45" s="1">
        <f>[1]FormattedData!B54</f>
        <v>1</v>
      </c>
      <c r="J45" s="4">
        <f>[1]FormattedData!C54</f>
        <v>13.182</v>
      </c>
      <c r="K45" s="6">
        <f>$J$3+[1]FormattedData!D54*$J$4+$M$4*$J$5+[1]FormattedData!D54^2*$J$6+$M$5*$J$7</f>
        <v>57.686763666099807</v>
      </c>
      <c r="L45" s="6">
        <f>$J$3+[1]FormattedData!E54*$J$4+$M$4*$J$5+[1]FormattedData!E54^2*$J$6+$M$5*$J$7</f>
        <v>44.63447046696578</v>
      </c>
      <c r="M45" s="6">
        <f>$J$3+[1]FormattedData!F54*$J$4+$M$4*$J$5+[1]FormattedData!F54^2*$J$6+$M$5*$J$7</f>
        <v>52.108203365633614</v>
      </c>
      <c r="N45" s="6">
        <f>$J$3+[1]FormattedData!G54*$J$4+$M$4*$J$5+[1]FormattedData!G54^2*$J$6+$M$5*$J$7</f>
        <v>36.012089270569845</v>
      </c>
      <c r="O45" s="6">
        <f>$J$3+[1]FormattedData!H54*$J$4+$M$4*$J$5+[1]FormattedData!H54^2*$J$6+$M$5*$J$7</f>
        <v>53.843704300153767</v>
      </c>
      <c r="P45" s="6">
        <f>$J$3+[1]FormattedData!I54*$J$4+$M$4*$J$5+[1]FormattedData!I54^2*$J$6+$M$5*$J$7</f>
        <v>37.897220829366233</v>
      </c>
      <c r="Q45" s="6">
        <f>$J$3+[1]FormattedData!J54*$J$4+$M$4*$J$5+[1]FormattedData!J54^2*$J$6+$M$5*$J$7</f>
        <v>55.989304415717683</v>
      </c>
      <c r="R45" s="6">
        <f>$J$3+[1]FormattedData!K54*$J$4+$M$4*$J$5+[1]FormattedData!K54^2*$J$6+$M$5*$J$7</f>
        <v>39.206753008496086</v>
      </c>
      <c r="S45" s="6">
        <f>$J$3+[1]FormattedData!L54*$J$4+$M$4*$J$5+[1]FormattedData!L54^2*$J$6+$M$5*$J$7</f>
        <v>53.238202191547572</v>
      </c>
      <c r="T45" s="6">
        <f>$J$3+[1]FormattedData!M54*$J$4+$M$4*$J$5+[1]FormattedData!M54^2*$J$6+$M$5*$J$7</f>
        <v>35.538164597250052</v>
      </c>
      <c r="U45" s="6">
        <f>$J$3+[1]FormattedData!N54*$J$4+$M$4*$J$5+[1]FormattedData!N54^2*$J$6+$M$5*$J$7</f>
        <v>53.324829298390824</v>
      </c>
      <c r="V45" s="6">
        <f>$J$3+[1]FormattedData!O54*$J$4+$M$4*$J$5+[1]FormattedData!O54^2*$J$6+$M$5*$J$7</f>
        <v>40.785761466266059</v>
      </c>
      <c r="W45" s="5">
        <f t="shared" si="9"/>
        <v>46.68878890637145</v>
      </c>
      <c r="X45" s="4">
        <f t="shared" si="10"/>
        <v>2.4395984776255299</v>
      </c>
      <c r="Y45" s="3">
        <f t="shared" si="11"/>
        <v>35.538164597250052</v>
      </c>
      <c r="Z45" s="2">
        <f t="shared" si="12"/>
        <v>38.879369963713621</v>
      </c>
      <c r="AA45" s="3">
        <f t="shared" si="13"/>
        <v>48.371336916299697</v>
      </c>
      <c r="AB45" s="2">
        <f t="shared" si="14"/>
        <v>53.454548048831562</v>
      </c>
      <c r="AC45" s="2">
        <f t="shared" si="15"/>
        <v>57.686763666099807</v>
      </c>
      <c r="AD45" s="2">
        <f t="shared" si="16"/>
        <v>-0.12341951019673333</v>
      </c>
      <c r="AE45" s="2">
        <f t="shared" si="17"/>
        <v>-1.9274350019181954</v>
      </c>
    </row>
    <row r="46" spans="2:31" x14ac:dyDescent="0.2">
      <c r="B46" s="17">
        <f>[1]FormattedData!A52</f>
        <v>905</v>
      </c>
      <c r="C46" s="17" t="str">
        <f>VLOOKUP($B46,[1]TrtCodes!$B$11:I95,2)</f>
        <v>WS</v>
      </c>
      <c r="D46" s="17">
        <f>VLOOKUP($B46,[1]TrtCodes!$B$11:J95,3)</f>
        <v>32</v>
      </c>
      <c r="E46" s="17">
        <f>VLOOKUP($B46,[1]TrtCodes!$B$11:K95,4)</f>
        <v>9</v>
      </c>
      <c r="F46" s="17">
        <f>VLOOKUP($B46,[1]TrtCodes!$B$11:L95,5)</f>
        <v>0</v>
      </c>
      <c r="G46" s="17">
        <f>VLOOKUP($B46,[1]TrtCodes!$B$11:M95,6)</f>
        <v>1</v>
      </c>
      <c r="H46" s="17">
        <f>VLOOKUP($B46,[1]TrtCodes!$B$11:N95,7)</f>
        <v>2</v>
      </c>
      <c r="I46" s="17">
        <f>[1]FormattedData!B52</f>
        <v>1</v>
      </c>
      <c r="J46" s="15">
        <f>[1]FormattedData!C52</f>
        <v>13.176</v>
      </c>
      <c r="K46" s="14">
        <f>$J$3+[1]FormattedData!D52*$J$4+$M$4*$J$5+[1]FormattedData!D52^2*$J$6+$M$5*$J$7</f>
        <v>39.206753008496086</v>
      </c>
      <c r="L46" s="14">
        <f>$J$3+[1]FormattedData!E52*$J$4+$M$4*$J$5+[1]FormattedData!E52^2*$J$6+$M$5*$J$7</f>
        <v>39.486289199163814</v>
      </c>
      <c r="M46" s="14">
        <f>$J$3+[1]FormattedData!F52*$J$4+$M$4*$J$5+[1]FormattedData!F52^2*$J$6+$M$5*$J$7</f>
        <v>37.80336580253676</v>
      </c>
      <c r="N46" s="14">
        <f>$J$3+[1]FormattedData!G52*$J$4+$M$4*$J$5+[1]FormattedData!G52^2*$J$6+$M$5*$J$7</f>
        <v>37.709468507169348</v>
      </c>
      <c r="O46" s="14">
        <f>$J$3+[1]FormattedData!H52*$J$4+$M$4*$J$5+[1]FormattedData!H52^2*$J$6+$M$5*$J$7</f>
        <v>40.693216764112449</v>
      </c>
      <c r="P46" s="14">
        <f>$J$3+[1]FormattedData!I52*$J$4+$M$4*$J$5+[1]FormattedData!I52^2*$J$6+$M$5*$J$7</f>
        <v>38.740013986624589</v>
      </c>
      <c r="Q46" s="14">
        <f>$J$3+[1]FormattedData!J52*$J$4+$M$4*$J$5+[1]FormattedData!J52^2*$J$6+$M$5*$J$7</f>
        <v>43.451171014720643</v>
      </c>
      <c r="R46" s="14">
        <f>$J$3+[1]FormattedData!K52*$J$4+$M$4*$J$5+[1]FormattedData!K52^2*$J$6+$M$5*$J$7</f>
        <v>38.83344632807475</v>
      </c>
      <c r="S46" s="14">
        <f>$J$3+[1]FormattedData!L52*$J$4+$M$4*$J$5+[1]FormattedData!L52^2*$J$6+$M$5*$J$7</f>
        <v>37.333456640320428</v>
      </c>
      <c r="T46" s="14">
        <f>$J$3+[1]FormattedData!M52*$J$4+$M$4*$J$5+[1]FormattedData!M52^2*$J$6+$M$5*$J$7</f>
        <v>37.239348002263363</v>
      </c>
      <c r="U46" s="14">
        <f>$J$3+[1]FormattedData!N52*$J$4+$M$4*$J$5+[1]FormattedData!N52^2*$J$6+$M$5*$J$7</f>
        <v>37.05100392053545</v>
      </c>
      <c r="V46" s="14">
        <f>$J$3+[1]FormattedData!O52*$J$4+$M$4*$J$5+[1]FormattedData!O52^2*$J$6+$M$5*$J$7</f>
        <v>37.05100392053545</v>
      </c>
      <c r="W46" s="16">
        <f t="shared" si="9"/>
        <v>38.716544757879419</v>
      </c>
      <c r="X46" s="15">
        <f t="shared" si="10"/>
        <v>0.54119774129793274</v>
      </c>
      <c r="Y46" s="14">
        <f t="shared" si="11"/>
        <v>37.05100392053545</v>
      </c>
      <c r="Z46" s="13">
        <f t="shared" si="12"/>
        <v>37.309929480806161</v>
      </c>
      <c r="AA46" s="14">
        <f t="shared" si="13"/>
        <v>38.271689894580675</v>
      </c>
      <c r="AB46" s="13">
        <f t="shared" si="14"/>
        <v>39.276637056163018</v>
      </c>
      <c r="AC46" s="13">
        <f t="shared" si="15"/>
        <v>43.451171014720643</v>
      </c>
      <c r="AD46" s="13">
        <f t="shared" si="16"/>
        <v>1.6148622329102136</v>
      </c>
      <c r="AE46" s="13">
        <f t="shared" si="17"/>
        <v>2.902157623216433</v>
      </c>
    </row>
    <row r="47" spans="2:31" x14ac:dyDescent="0.2">
      <c r="B47" s="1">
        <f>[1]FormattedData!A50</f>
        <v>906</v>
      </c>
      <c r="C47" s="1" t="str">
        <f>VLOOKUP($B47,[1]TrtCodes!$B$11:I93,2)</f>
        <v>Late</v>
      </c>
      <c r="D47" s="1">
        <f>VLOOKUP($B47,[1]TrtCodes!$B$11:J93,3)</f>
        <v>22</v>
      </c>
      <c r="E47" s="1">
        <f>VLOOKUP($B47,[1]TrtCodes!$B$11:K93,4)</f>
        <v>4</v>
      </c>
      <c r="F47" s="1">
        <f>VLOOKUP($B47,[1]TrtCodes!$B$11:L93,5)</f>
        <v>2</v>
      </c>
      <c r="G47" s="1">
        <f>VLOOKUP($B47,[1]TrtCodes!$B$11:M93,6)</f>
        <v>2</v>
      </c>
      <c r="H47" s="1">
        <f>VLOOKUP($B47,[1]TrtCodes!$B$11:N93,7)</f>
        <v>2</v>
      </c>
      <c r="I47" s="1">
        <f>[1]FormattedData!B50</f>
        <v>1</v>
      </c>
      <c r="J47" s="4">
        <f>[1]FormattedData!C50</f>
        <v>13.162000000000001</v>
      </c>
      <c r="K47" s="6">
        <f>$J$3+[1]FormattedData!D50*$J$4+$M$4*$J$5+[1]FormattedData!D50^2*$J$6+$M$5*$J$7</f>
        <v>57.602292254691037</v>
      </c>
      <c r="L47" s="6">
        <f>$J$3+[1]FormattedData!E50*$J$4+$M$4*$J$5+[1]FormattedData!E50^2*$J$6+$M$5*$J$7</f>
        <v>51.23411261768387</v>
      </c>
      <c r="M47" s="6">
        <f>$J$3+[1]FormattedData!F50*$J$4+$M$4*$J$5+[1]FormattedData!F50^2*$J$6+$M$5*$J$7</f>
        <v>49.915051144897163</v>
      </c>
      <c r="N47" s="6">
        <f>$J$3+[1]FormattedData!G50*$J$4+$M$4*$J$5+[1]FormattedData!G50^2*$J$6+$M$5*$J$7</f>
        <v>37.709468507169348</v>
      </c>
      <c r="O47" s="6">
        <f>$J$3+[1]FormattedData!H50*$J$4+$M$4*$J$5+[1]FormattedData!H50^2*$J$6+$M$5*$J$7</f>
        <v>50.267730778808101</v>
      </c>
      <c r="P47" s="6">
        <f>$J$3+[1]FormattedData!I50*$J$4+$M$4*$J$5+[1]FormattedData!I50^2*$J$6+$M$5*$J$7</f>
        <v>42.444338185044778</v>
      </c>
      <c r="Q47" s="6">
        <f>$J$3+[1]FormattedData!J50*$J$4+$M$4*$J$5+[1]FormattedData!J50^2*$J$6+$M$5*$J$7</f>
        <v>53.238202191547572</v>
      </c>
      <c r="R47" s="6">
        <f>$J$3+[1]FormattedData!K50*$J$4+$M$4*$J$5+[1]FormattedData!K50^2*$J$6+$M$5*$J$7</f>
        <v>40.044220329975126</v>
      </c>
      <c r="S47" s="6">
        <f>$J$3+[1]FormattedData!L50*$J$4+$M$4*$J$5+[1]FormattedData!L50^2*$J$6+$M$5*$J$7</f>
        <v>52.020984499259328</v>
      </c>
      <c r="T47" s="6">
        <f>$J$3+[1]FormattedData!M50*$J$4+$M$4*$J$5+[1]FormattedData!M50^2*$J$6+$M$5*$J$7</f>
        <v>44.63447046696578</v>
      </c>
      <c r="U47" s="6">
        <f>$J$3+[1]FormattedData!N50*$J$4+$M$4*$J$5+[1]FormattedData!N50^2*$J$6+$M$5*$J$7</f>
        <v>55.647783675820563</v>
      </c>
      <c r="V47" s="6">
        <f>$J$3+[1]FormattedData!O50*$J$4+$M$4*$J$5+[1]FormattedData!O50^2*$J$6+$M$5*$J$7</f>
        <v>34.87289477600924</v>
      </c>
      <c r="W47" s="5">
        <f t="shared" si="9"/>
        <v>47.469295785655987</v>
      </c>
      <c r="X47" s="4">
        <f t="shared" si="10"/>
        <v>2.1211274200633894</v>
      </c>
      <c r="Y47" s="3">
        <f t="shared" si="11"/>
        <v>34.87289477600924</v>
      </c>
      <c r="Z47" s="2">
        <f t="shared" si="12"/>
        <v>41.844308721277365</v>
      </c>
      <c r="AA47" s="3">
        <f t="shared" si="13"/>
        <v>50.091390961852632</v>
      </c>
      <c r="AB47" s="2">
        <f t="shared" si="14"/>
        <v>52.325288922331389</v>
      </c>
      <c r="AC47" s="2">
        <f t="shared" si="15"/>
        <v>57.602292254691037</v>
      </c>
      <c r="AD47" s="2">
        <f t="shared" si="16"/>
        <v>-0.4189952171790659</v>
      </c>
      <c r="AE47" s="2">
        <f t="shared" si="17"/>
        <v>-1.0686607772241161</v>
      </c>
    </row>
    <row r="48" spans="2:31" x14ac:dyDescent="0.2">
      <c r="B48" s="17">
        <f>[1]FormattedData!A48</f>
        <v>907</v>
      </c>
      <c r="C48" s="17" t="str">
        <f>VLOOKUP($B48,[1]TrtCodes!$B$11:I91,2)</f>
        <v>DS</v>
      </c>
      <c r="D48" s="17">
        <f>VLOOKUP($B48,[1]TrtCodes!$B$11:J91,3)</f>
        <v>31</v>
      </c>
      <c r="E48" s="17">
        <f>VLOOKUP($B48,[1]TrtCodes!$B$11:K91,4)</f>
        <v>8</v>
      </c>
      <c r="F48" s="17">
        <f>VLOOKUP($B48,[1]TrtCodes!$B$11:L91,5)</f>
        <v>0</v>
      </c>
      <c r="G48" s="17">
        <f>VLOOKUP($B48,[1]TrtCodes!$B$11:M91,6)</f>
        <v>1</v>
      </c>
      <c r="H48" s="17">
        <f>VLOOKUP($B48,[1]TrtCodes!$B$11:N91,7)</f>
        <v>2</v>
      </c>
      <c r="I48" s="17">
        <f>[1]FormattedData!B48</f>
        <v>1</v>
      </c>
      <c r="J48" s="15">
        <f>[1]FormattedData!C48</f>
        <v>13.154999999999999</v>
      </c>
      <c r="K48" s="14">
        <f>$J$3+[1]FormattedData!D48*$J$4+$M$4*$J$5+[1]FormattedData!D48^2*$J$6+$M$5*$J$7</f>
        <v>62.431764223198968</v>
      </c>
      <c r="L48" s="14">
        <f>$J$3+[1]FormattedData!E48*$J$4+$M$4*$J$5+[1]FormattedData!E48^2*$J$6+$M$5*$J$7</f>
        <v>63.331657651909048</v>
      </c>
      <c r="M48" s="14">
        <f>$J$3+[1]FormattedData!F48*$J$4+$M$4*$J$5+[1]FormattedData!F48^2*$J$6+$M$5*$J$7</f>
        <v>63.413212534200554</v>
      </c>
      <c r="N48" s="14">
        <f>$J$3+[1]FormattedData!G48*$J$4+$M$4*$J$5+[1]FormattedData!G48^2*$J$6+$M$5*$J$7</f>
        <v>63.494725147954128</v>
      </c>
      <c r="O48" s="14">
        <f>$J$3+[1]FormattedData!H48*$J$4+$M$4*$J$5+[1]FormattedData!H48^2*$J$6+$M$5*$J$7</f>
        <v>63.576195493169777</v>
      </c>
      <c r="P48" s="14">
        <f>$J$3+[1]FormattedData!I48*$J$4+$M$4*$J$5+[1]FormattedData!I48^2*$J$6+$M$5*$J$7</f>
        <v>62.759589956806387</v>
      </c>
      <c r="Q48" s="14">
        <f>$J$3+[1]FormattedData!J48*$J$4+$M$4*$J$5+[1]FormattedData!J48^2*$J$6+$M$5*$J$7</f>
        <v>62.349702118452271</v>
      </c>
      <c r="R48" s="14">
        <f>$J$3+[1]FormattedData!K48*$J$4+$M$4*$J$5+[1]FormattedData!K48^2*$J$6+$M$5*$J$7</f>
        <v>63.331657651909048</v>
      </c>
      <c r="S48" s="14">
        <f>$J$3+[1]FormattedData!L48*$J$4+$M$4*$J$5+[1]FormattedData!L48^2*$J$6+$M$5*$J$7</f>
        <v>63.005015437363681</v>
      </c>
      <c r="T48" s="14">
        <f>$J$3+[1]FormattedData!M48*$J$4+$M$4*$J$5+[1]FormattedData!M48^2*$J$6+$M$5*$J$7</f>
        <v>62.923249212382522</v>
      </c>
      <c r="U48" s="14">
        <f>$J$3+[1]FormattedData!N48*$J$4+$M$4*$J$5+[1]FormattedData!N48^2*$J$6+$M$5*$J$7</f>
        <v>63.005015437363681</v>
      </c>
      <c r="V48" s="14">
        <f>$J$3+[1]FormattedData!O48*$J$4+$M$4*$J$5+[1]FormattedData!O48^2*$J$6+$M$5*$J$7</f>
        <v>63.657623569847509</v>
      </c>
      <c r="W48" s="16">
        <f t="shared" si="9"/>
        <v>63.106617369546463</v>
      </c>
      <c r="X48" s="15">
        <f t="shared" si="10"/>
        <v>0.12531993072739964</v>
      </c>
      <c r="Y48" s="14">
        <f t="shared" si="11"/>
        <v>62.349702118452271</v>
      </c>
      <c r="Z48" s="13">
        <f t="shared" si="12"/>
        <v>62.882334398488489</v>
      </c>
      <c r="AA48" s="14">
        <f t="shared" si="13"/>
        <v>63.168336544636361</v>
      </c>
      <c r="AB48" s="13">
        <f t="shared" si="14"/>
        <v>63.433590687638947</v>
      </c>
      <c r="AC48" s="13">
        <f t="shared" si="15"/>
        <v>63.657623569847509</v>
      </c>
      <c r="AD48" s="13">
        <f t="shared" si="16"/>
        <v>-0.54688444586740037</v>
      </c>
      <c r="AE48" s="13">
        <f t="shared" si="17"/>
        <v>-0.79929392488637996</v>
      </c>
    </row>
    <row r="49" spans="2:31" ht="13.5" thickBot="1" x14ac:dyDescent="0.25">
      <c r="B49" s="12">
        <f>[1]FormattedData!A46</f>
        <v>908</v>
      </c>
      <c r="C49" s="12" t="str">
        <f>VLOOKUP($B49,[1]TrtCodes!$B$11:I89,2)</f>
        <v>Early</v>
      </c>
      <c r="D49" s="12">
        <f>VLOOKUP($B49,[1]TrtCodes!$B$11:J89,3)</f>
        <v>21</v>
      </c>
      <c r="E49" s="12">
        <f>VLOOKUP($B49,[1]TrtCodes!$B$11:K89,4)</f>
        <v>3</v>
      </c>
      <c r="F49" s="12">
        <f>VLOOKUP($B49,[1]TrtCodes!$B$11:L89,5)</f>
        <v>2</v>
      </c>
      <c r="G49" s="12">
        <f>VLOOKUP($B49,[1]TrtCodes!$B$11:M89,6)</f>
        <v>2</v>
      </c>
      <c r="H49" s="12">
        <f>VLOOKUP($B49,[1]TrtCodes!$B$11:N89,7)</f>
        <v>2</v>
      </c>
      <c r="I49" s="12">
        <f>[1]FormattedData!B46</f>
        <v>1</v>
      </c>
      <c r="J49" s="9">
        <f>[1]FormattedData!C46</f>
        <v>13.135999999999999</v>
      </c>
      <c r="K49" s="11">
        <f>$J$3+[1]FormattedData!D46*$J$4+$M$4*$J$5+[1]FormattedData!D46^2*$J$6+$M$5*$J$7</f>
        <v>56.330148859007899</v>
      </c>
      <c r="L49" s="11">
        <f>$J$3+[1]FormattedData!E46*$J$4+$M$4*$J$5+[1]FormattedData!E46^2*$J$6+$M$5*$J$7</f>
        <v>43.724874147153876</v>
      </c>
      <c r="M49" s="11">
        <f>$J$3+[1]FormattedData!F46*$J$4+$M$4*$J$5+[1]FormattedData!F46^2*$J$6+$M$5*$J$7</f>
        <v>51.058787245638747</v>
      </c>
      <c r="N49" s="11">
        <f>$J$3+[1]FormattedData!G46*$J$4+$M$4*$J$5+[1]FormattedData!G46^2*$J$6+$M$5*$J$7</f>
        <v>37.427523009839554</v>
      </c>
      <c r="O49" s="11">
        <f>$J$3+[1]FormattedData!H46*$J$4+$M$4*$J$5+[1]FormattedData!H46^2*$J$6+$M$5*$J$7</f>
        <v>52.717551911191535</v>
      </c>
      <c r="P49" s="11">
        <f>$J$3+[1]FormattedData!I46*$J$4+$M$4*$J$5+[1]FormattedData!I46^2*$J$6+$M$5*$J$7</f>
        <v>38.740013986624589</v>
      </c>
      <c r="Q49" s="11">
        <f>$J$3+[1]FormattedData!J46*$J$4+$M$4*$J$5+[1]FormattedData!J46^2*$J$6+$M$5*$J$7</f>
        <v>54.016324485771293</v>
      </c>
      <c r="R49" s="11">
        <f>$J$3+[1]FormattedData!K46*$J$4+$M$4*$J$5+[1]FormattedData!K46^2*$J$6+$M$5*$J$7</f>
        <v>38.553022498110472</v>
      </c>
      <c r="S49" s="11">
        <f>$J$3+[1]FormattedData!L46*$J$4+$M$4*$J$5+[1]FormattedData!L46^2*$J$6+$M$5*$J$7</f>
        <v>53.930035527231489</v>
      </c>
      <c r="T49" s="11">
        <f>$J$3+[1]FormattedData!M46*$J$4+$M$4*$J$5+[1]FormattedData!M46^2*$J$6+$M$5*$J$7</f>
        <v>43.633682038214062</v>
      </c>
      <c r="U49" s="11">
        <f>$J$3+[1]FormattedData!N46*$J$4+$M$4*$J$5+[1]FormattedData!N46^2*$J$6+$M$5*$J$7</f>
        <v>53.497956706463526</v>
      </c>
      <c r="V49" s="11">
        <f>$J$3+[1]FormattedData!O46*$J$4+$M$4*$J$5+[1]FormattedData!O46^2*$J$6+$M$5*$J$7</f>
        <v>40.22985922527544</v>
      </c>
      <c r="W49" s="10">
        <f t="shared" si="9"/>
        <v>46.988314970043525</v>
      </c>
      <c r="X49" s="9">
        <f t="shared" si="10"/>
        <v>2.086748053172323</v>
      </c>
      <c r="Y49" s="8">
        <f t="shared" si="11"/>
        <v>37.427523009839554</v>
      </c>
      <c r="Z49" s="7">
        <f t="shared" si="12"/>
        <v>39.857397915612729</v>
      </c>
      <c r="AA49" s="8">
        <f t="shared" si="13"/>
        <v>47.391830696396312</v>
      </c>
      <c r="AB49" s="7">
        <f t="shared" si="14"/>
        <v>53.605976411655519</v>
      </c>
      <c r="AC49" s="7">
        <f t="shared" si="15"/>
        <v>56.330148859007899</v>
      </c>
      <c r="AD49" s="7">
        <f t="shared" si="16"/>
        <v>-0.11213741766216732</v>
      </c>
      <c r="AE49" s="7">
        <f t="shared" si="17"/>
        <v>-1.9616257202611558</v>
      </c>
    </row>
    <row r="50" spans="2:31" ht="13.5" thickTop="1" x14ac:dyDescent="0.2">
      <c r="B50" s="1">
        <f>[1]FormattedData!A29</f>
        <v>101</v>
      </c>
      <c r="C50" s="1" t="str">
        <f>VLOOKUP($B50,[1]TrtCodes!$B$11:I72,2)</f>
        <v>FSH</v>
      </c>
      <c r="D50" s="1">
        <f>VLOOKUP($B50,[1]TrtCodes!$B$11:J72,3)</f>
        <v>1</v>
      </c>
      <c r="E50" s="1">
        <f>VLOOKUP($B50,[1]TrtCodes!$B$11:K72,4)</f>
        <v>1</v>
      </c>
      <c r="F50" s="1">
        <f>VLOOKUP($B50,[1]TrtCodes!$B$11:L72,5)</f>
        <v>1</v>
      </c>
      <c r="G50" s="1">
        <f>VLOOKUP($B50,[1]TrtCodes!$B$11:M72,6)</f>
        <v>2</v>
      </c>
      <c r="H50" s="1">
        <f>VLOOKUP($B50,[1]TrtCodes!$B$11:N72,7)</f>
        <v>1</v>
      </c>
      <c r="I50" s="1">
        <f>[1]FormattedData!B29</f>
        <v>2</v>
      </c>
      <c r="J50" s="4">
        <f>[1]FormattedData!C29</f>
        <v>12.99</v>
      </c>
      <c r="K50" s="6">
        <f>$J$3+[1]FormattedData!D29*$J$4+$M$4*$J$5+[1]FormattedData!D29^2*$J$6+$M$5*$J$7</f>
        <v>29.671197015893199</v>
      </c>
      <c r="L50" s="6">
        <f>$J$3+[1]FormattedData!E29*$J$4+$M$4*$J$5+[1]FormattedData!E29^2*$J$6+$M$5*$J$7</f>
        <v>32.191103907459713</v>
      </c>
      <c r="M50" s="6">
        <f>$J$3+[1]FormattedData!F29*$J$4+$M$4*$J$5+[1]FormattedData!F29^2*$J$6+$M$5*$J$7</f>
        <v>29.671197015893199</v>
      </c>
      <c r="N50" s="6">
        <f>$J$3+[1]FormattedData!G29*$J$4+$M$4*$J$5+[1]FormattedData!G29^2*$J$6+$M$5*$J$7</f>
        <v>30.449596317260099</v>
      </c>
      <c r="O50" s="6">
        <f>$J$3+[1]FormattedData!H29*$J$4+$M$4*$J$5+[1]FormattedData!H29^2*$J$6+$M$5*$J$7</f>
        <v>31.805285739810756</v>
      </c>
      <c r="P50" s="6">
        <f>$J$3+[1]FormattedData!I29*$J$4+$M$4*$J$5+[1]FormattedData!I29^2*$J$6+$M$5*$J$7</f>
        <v>29.768644868446824</v>
      </c>
      <c r="Q50" s="6">
        <f>$J$3+[1]FormattedData!J29*$J$4+$M$4*$J$5+[1]FormattedData!J29^2*$J$6+$M$5*$J$7</f>
        <v>29.183323725056134</v>
      </c>
      <c r="R50" s="6">
        <f>$J$3+[1]FormattedData!K29*$J$4+$M$4*$J$5+[1]FormattedData!K29^2*$J$6+$M$5*$J$7</f>
        <v>28.98787852895579</v>
      </c>
      <c r="S50" s="6">
        <f>$J$3+[1]FormattedData!L29*$J$4+$M$4*$J$5+[1]FormattedData!L29^2*$J$6+$M$5*$J$7</f>
        <v>30.837781523033193</v>
      </c>
      <c r="T50" s="6">
        <f>$J$3+[1]FormattedData!M29*$J$4+$M$4*$J$5+[1]FormattedData!M29^2*$J$6+$M$5*$J$7</f>
        <v>29.280982920299412</v>
      </c>
      <c r="U50" s="6">
        <f>$J$3+[1]FormattedData!N29*$J$4+$M$4*$J$5+[1]FormattedData!N29^2*$J$6+$M$5*$J$7</f>
        <v>31.418791275554909</v>
      </c>
      <c r="V50" s="6">
        <f>$J$3+[1]FormattedData!O29*$J$4+$M$4*$J$5+[1]FormattedData!O29^2*$J$6+$M$5*$J$7</f>
        <v>30.060734814880096</v>
      </c>
      <c r="W50" s="5">
        <f t="shared" si="9"/>
        <v>30.277209804378611</v>
      </c>
      <c r="X50" s="4">
        <f t="shared" si="10"/>
        <v>0.30817897853212572</v>
      </c>
      <c r="Y50" s="3">
        <f t="shared" si="11"/>
        <v>28.98787852895579</v>
      </c>
      <c r="Z50" s="2">
        <f t="shared" si="12"/>
        <v>29.573643491994751</v>
      </c>
      <c r="AA50" s="3">
        <f t="shared" si="13"/>
        <v>29.91468984166346</v>
      </c>
      <c r="AB50" s="2">
        <f t="shared" si="14"/>
        <v>30.983033961163621</v>
      </c>
      <c r="AC50" s="2">
        <f t="shared" si="15"/>
        <v>32.191103907459713</v>
      </c>
      <c r="AD50" s="2">
        <f t="shared" si="16"/>
        <v>0.64734519724589767</v>
      </c>
      <c r="AE50" s="2">
        <f t="shared" si="17"/>
        <v>-0.8564640759553761</v>
      </c>
    </row>
    <row r="51" spans="2:31" x14ac:dyDescent="0.2">
      <c r="B51" s="1">
        <f>[1]FormattedData!A27</f>
        <v>102</v>
      </c>
      <c r="C51" s="1" t="str">
        <f>VLOOKUP($B51,[1]TrtCodes!$B$11:I70,2)</f>
        <v>FTL</v>
      </c>
      <c r="D51" s="1">
        <f>VLOOKUP($B51,[1]TrtCodes!$B$11:J70,3)</f>
        <v>4</v>
      </c>
      <c r="E51" s="1">
        <f>VLOOKUP($B51,[1]TrtCodes!$B$11:K70,4)</f>
        <v>1</v>
      </c>
      <c r="F51" s="1">
        <f>VLOOKUP($B51,[1]TrtCodes!$B$11:L70,5)</f>
        <v>2</v>
      </c>
      <c r="G51" s="1">
        <f>VLOOKUP($B51,[1]TrtCodes!$B$11:M70,6)</f>
        <v>1</v>
      </c>
      <c r="H51" s="1">
        <f>VLOOKUP($B51,[1]TrtCodes!$B$11:N70,7)</f>
        <v>1</v>
      </c>
      <c r="I51" s="1">
        <f>[1]FormattedData!B27</f>
        <v>2</v>
      </c>
      <c r="J51" s="4">
        <f>[1]FormattedData!C27</f>
        <v>12.975</v>
      </c>
      <c r="K51" s="6">
        <f>$J$3+[1]FormattedData!D27*$J$4+$M$4*$J$5+[1]FormattedData!D27^2*$J$6+$M$5*$J$7</f>
        <v>28.498525839291133</v>
      </c>
      <c r="L51" s="6">
        <f>$J$3+[1]FormattedData!E27*$J$4+$M$4*$J$5+[1]FormattedData!E27^2*$J$6+$M$5*$J$7</f>
        <v>28.106282853876646</v>
      </c>
      <c r="M51" s="6">
        <f>$J$3+[1]FormattedData!F27*$J$4+$M$4*$J$5+[1]FormattedData!F27^2*$J$6+$M$5*$J$7</f>
        <v>28.89009252809872</v>
      </c>
      <c r="N51" s="6">
        <f>$J$3+[1]FormattedData!G27*$J$4+$M$4*$J$5+[1]FormattedData!G27^2*$J$6+$M$5*$J$7</f>
        <v>28.596480914299924</v>
      </c>
      <c r="O51" s="6">
        <f>$J$3+[1]FormattedData!H27*$J$4+$M$4*$J$5+[1]FormattedData!H27^2*$J$6+$M$5*$J$7</f>
        <v>29.671197015893199</v>
      </c>
      <c r="P51" s="6">
        <f>$J$3+[1]FormattedData!I27*$J$4+$M$4*$J$5+[1]FormattedData!I27^2*$J$6+$M$5*$J$7</f>
        <v>28.106282853876646</v>
      </c>
      <c r="Q51" s="6">
        <f>$J$3+[1]FormattedData!J27*$J$4+$M$4*$J$5+[1]FormattedData!J27^2*$J$6+$M$5*$J$7</f>
        <v>31.32206198814611</v>
      </c>
      <c r="R51" s="6">
        <f>$J$3+[1]FormattedData!K27*$J$4+$M$4*$J$5+[1]FormattedData!K27^2*$J$6+$M$5*$J$7</f>
        <v>30.158013593281993</v>
      </c>
      <c r="S51" s="6">
        <f>$J$3+[1]FormattedData!L27*$J$4+$M$4*$J$5+[1]FormattedData!L27^2*$J$6+$M$5*$J$7</f>
        <v>30.060734814880096</v>
      </c>
      <c r="T51" s="6">
        <f>$J$3+[1]FormattedData!M27*$J$4+$M$4*$J$5+[1]FormattedData!M27^2*$J$6+$M$5*$J$7</f>
        <v>29.86605045246251</v>
      </c>
      <c r="U51" s="6">
        <f>$J$3+[1]FormattedData!N27*$J$4+$M$4*$J$5+[1]FormattedData!N27^2*$J$6+$M$5*$J$7</f>
        <v>29.183323725056134</v>
      </c>
      <c r="V51" s="6">
        <f>$J$3+[1]FormattedData!O27*$J$4+$M$4*$J$5+[1]FormattedData!O27^2*$J$6+$M$5*$J$7</f>
        <v>30.643773457222505</v>
      </c>
      <c r="W51" s="5">
        <f t="shared" si="9"/>
        <v>29.425235003032132</v>
      </c>
      <c r="X51" s="4">
        <f t="shared" si="10"/>
        <v>0.29705906862585113</v>
      </c>
      <c r="Y51" s="3">
        <f t="shared" si="11"/>
        <v>28.106282853876646</v>
      </c>
      <c r="Z51" s="2">
        <f t="shared" si="12"/>
        <v>28.571992145547725</v>
      </c>
      <c r="AA51" s="3">
        <f t="shared" si="13"/>
        <v>29.427260370474666</v>
      </c>
      <c r="AB51" s="2">
        <f t="shared" si="14"/>
        <v>30.085054509480571</v>
      </c>
      <c r="AC51" s="2">
        <f t="shared" si="15"/>
        <v>31.32206198814611</v>
      </c>
      <c r="AD51" s="2">
        <f t="shared" si="16"/>
        <v>0.32668974785129495</v>
      </c>
      <c r="AE51" s="2">
        <f t="shared" si="17"/>
        <v>-0.8026188774074412</v>
      </c>
    </row>
    <row r="52" spans="2:31" x14ac:dyDescent="0.2">
      <c r="B52" s="1">
        <f>[1]FormattedData!A25</f>
        <v>103</v>
      </c>
      <c r="C52" s="1" t="str">
        <f>VLOOKUP($B52,[1]TrtCodes!$B$11:I68,2)</f>
        <v>FDH</v>
      </c>
      <c r="D52" s="1">
        <f>VLOOKUP($B52,[1]TrtCodes!$B$11:J68,3)</f>
        <v>5</v>
      </c>
      <c r="E52" s="1">
        <f>VLOOKUP($B52,[1]TrtCodes!$B$11:K68,4)</f>
        <v>1</v>
      </c>
      <c r="F52" s="1">
        <f>VLOOKUP($B52,[1]TrtCodes!$B$11:L68,5)</f>
        <v>3</v>
      </c>
      <c r="G52" s="1">
        <f>VLOOKUP($B52,[1]TrtCodes!$B$11:M68,6)</f>
        <v>2</v>
      </c>
      <c r="H52" s="1">
        <f>VLOOKUP($B52,[1]TrtCodes!$B$11:N68,7)</f>
        <v>1</v>
      </c>
      <c r="I52" s="1">
        <f>[1]FormattedData!B25</f>
        <v>2</v>
      </c>
      <c r="J52" s="4">
        <f>[1]FormattedData!C25</f>
        <v>12.959</v>
      </c>
      <c r="K52" s="6">
        <f>$J$3+[1]FormattedData!D25*$J$4+$M$4*$J$5+[1]FormattedData!D25^2*$J$6+$M$5*$J$7</f>
        <v>31.225290432199394</v>
      </c>
      <c r="L52" s="6">
        <f>$J$3+[1]FormattedData!E25*$J$4+$M$4*$J$5+[1]FormattedData!E25^2*$J$6+$M$5*$J$7</f>
        <v>31.418791275554909</v>
      </c>
      <c r="M52" s="6">
        <f>$J$3+[1]FormattedData!F25*$J$4+$M$4*$J$5+[1]FormattedData!F25^2*$J$6+$M$5*$J$7</f>
        <v>29.86605045246251</v>
      </c>
      <c r="N52" s="6">
        <f>$J$3+[1]FormattedData!G25*$J$4+$M$4*$J$5+[1]FormattedData!G25^2*$J$6+$M$5*$J$7</f>
        <v>30.837781523033193</v>
      </c>
      <c r="O52" s="6">
        <f>$J$3+[1]FormattedData!H25*$J$4+$M$4*$J$5+[1]FormattedData!H25^2*$J$6+$M$5*$J$7</f>
        <v>31.225290432199394</v>
      </c>
      <c r="P52" s="6">
        <f>$J$3+[1]FormattedData!I25*$J$4+$M$4*$J$5+[1]FormattedData!I25^2*$J$6+$M$5*$J$7</f>
        <v>29.768644868446824</v>
      </c>
      <c r="Q52" s="6">
        <f>$J$3+[1]FormattedData!J25*$J$4+$M$4*$J$5+[1]FormattedData!J25^2*$J$6+$M$5*$J$7</f>
        <v>30.255250103145961</v>
      </c>
      <c r="R52" s="6">
        <f>$J$3+[1]FormattedData!K25*$J$4+$M$4*$J$5+[1]FormattedData!K25^2*$J$6+$M$5*$J$7</f>
        <v>29.183323725056134</v>
      </c>
      <c r="S52" s="6">
        <f>$J$3+[1]FormattedData!L25*$J$4+$M$4*$J$5+[1]FormattedData!L25^2*$J$6+$M$5*$J$7</f>
        <v>30.255250103145961</v>
      </c>
      <c r="T52" s="6">
        <f>$J$3+[1]FormattedData!M25*$J$4+$M$4*$J$5+[1]FormattedData!M25^2*$J$6+$M$5*$J$7</f>
        <v>29.183323725056134</v>
      </c>
      <c r="U52" s="6">
        <f>$J$3+[1]FormattedData!N25*$J$4+$M$4*$J$5+[1]FormattedData!N25^2*$J$6+$M$5*$J$7</f>
        <v>30.449596317260099</v>
      </c>
      <c r="V52" s="6">
        <f>$J$3+[1]FormattedData!O25*$J$4+$M$4*$J$5+[1]FormattedData!O25^2*$J$6+$M$5*$J$7</f>
        <v>28.89009252809872</v>
      </c>
      <c r="W52" s="5">
        <f t="shared" si="9"/>
        <v>30.213223790471602</v>
      </c>
      <c r="X52" s="4">
        <f t="shared" si="10"/>
        <v>0.2483532409420954</v>
      </c>
      <c r="Y52" s="3">
        <f t="shared" si="11"/>
        <v>28.89009252809872</v>
      </c>
      <c r="Z52" s="2">
        <f t="shared" si="12"/>
        <v>29.622314582599152</v>
      </c>
      <c r="AA52" s="3">
        <f t="shared" si="13"/>
        <v>30.255250103145961</v>
      </c>
      <c r="AB52" s="2">
        <f t="shared" si="14"/>
        <v>30.934658750324743</v>
      </c>
      <c r="AC52" s="2">
        <f t="shared" si="15"/>
        <v>31.418791275554909</v>
      </c>
      <c r="AD52" s="2">
        <f t="shared" si="16"/>
        <v>-9.3967163497605463E-2</v>
      </c>
      <c r="AE52" s="2">
        <f t="shared" si="17"/>
        <v>-1.2333026977006032</v>
      </c>
    </row>
    <row r="53" spans="2:31" x14ac:dyDescent="0.2">
      <c r="B53" s="1">
        <f>[1]FormattedData!A23</f>
        <v>104</v>
      </c>
      <c r="C53" s="1" t="str">
        <f>VLOOKUP($B53,[1]TrtCodes!$B$11:I66,2)</f>
        <v>NTL</v>
      </c>
      <c r="D53" s="1">
        <f>VLOOKUP($B53,[1]TrtCodes!$B$11:J66,3)</f>
        <v>10</v>
      </c>
      <c r="E53" s="1">
        <f>VLOOKUP($B53,[1]TrtCodes!$B$11:K66,4)</f>
        <v>2</v>
      </c>
      <c r="F53" s="1">
        <f>VLOOKUP($B53,[1]TrtCodes!$B$11:L66,5)</f>
        <v>2</v>
      </c>
      <c r="G53" s="1">
        <f>VLOOKUP($B53,[1]TrtCodes!$B$11:M66,6)</f>
        <v>1</v>
      </c>
      <c r="H53" s="1">
        <f>VLOOKUP($B53,[1]TrtCodes!$B$11:N66,7)</f>
        <v>1</v>
      </c>
      <c r="I53" s="1">
        <f>[1]FormattedData!B23</f>
        <v>2</v>
      </c>
      <c r="J53" s="4">
        <f>[1]FormattedData!C23</f>
        <v>12.944000000000001</v>
      </c>
      <c r="K53" s="6">
        <f>$J$3+[1]FormattedData!D23*$J$4+$M$4*$J$5+[1]FormattedData!D23^2*$J$6+$M$5*$J$7</f>
        <v>32.768563102795206</v>
      </c>
      <c r="L53" s="6">
        <f>$J$3+[1]FormattedData!E23*$J$4+$M$4*$J$5+[1]FormattedData!E23^2*$J$6+$M$5*$J$7</f>
        <v>30.837781523033193</v>
      </c>
      <c r="M53" s="6">
        <f>$J$3+[1]FormattedData!F23*$J$4+$M$4*$J$5+[1]FormattedData!F23^2*$J$6+$M$5*$J$7</f>
        <v>31.998279360711102</v>
      </c>
      <c r="N53" s="6">
        <f>$J$3+[1]FormattedData!G23*$J$4+$M$4*$J$5+[1]FormattedData!G23^2*$J$6+$M$5*$J$7</f>
        <v>31.998279360711102</v>
      </c>
      <c r="O53" s="6">
        <f>$J$3+[1]FormattedData!H23*$J$4+$M$4*$J$5+[1]FormattedData!H23^2*$J$6+$M$5*$J$7</f>
        <v>31.612123044758697</v>
      </c>
      <c r="P53" s="6">
        <f>$J$3+[1]FormattedData!I23*$J$4+$M$4*$J$5+[1]FormattedData!I23^2*$J$6+$M$5*$J$7</f>
        <v>30.643773457222505</v>
      </c>
      <c r="Q53" s="6">
        <f>$J$3+[1]FormattedData!J23*$J$4+$M$4*$J$5+[1]FormattedData!J23^2*$J$6+$M$5*$J$7</f>
        <v>31.031620514692154</v>
      </c>
      <c r="R53" s="6">
        <f>$J$3+[1]FormattedData!K23*$J$4+$M$4*$J$5+[1]FormattedData!K23^2*$J$6+$M$5*$J$7</f>
        <v>30.158013593281993</v>
      </c>
      <c r="S53" s="6">
        <f>$J$3+[1]FormattedData!L23*$J$4+$M$4*$J$5+[1]FormattedData!L23^2*$J$6+$M$5*$J$7</f>
        <v>29.280982920299412</v>
      </c>
      <c r="T53" s="6">
        <f>$J$3+[1]FormattedData!M23*$J$4+$M$4*$J$5+[1]FormattedData!M23^2*$J$6+$M$5*$J$7</f>
        <v>29.768644868446824</v>
      </c>
      <c r="U53" s="6">
        <f>$J$3+[1]FormattedData!N23*$J$4+$M$4*$J$5+[1]FormattedData!N23^2*$J$6+$M$5*$J$7</f>
        <v>29.768644868446824</v>
      </c>
      <c r="V53" s="6">
        <f>$J$3+[1]FormattedData!O23*$J$4+$M$4*$J$5+[1]FormattedData!O23^2*$J$6+$M$5*$J$7</f>
        <v>31.225290432199394</v>
      </c>
      <c r="W53" s="5">
        <f t="shared" si="9"/>
        <v>30.924333087216535</v>
      </c>
      <c r="X53" s="4">
        <f t="shared" si="10"/>
        <v>0.30560827600023305</v>
      </c>
      <c r="Y53" s="3">
        <f t="shared" si="11"/>
        <v>29.280982920299412</v>
      </c>
      <c r="Z53" s="2">
        <f t="shared" si="12"/>
        <v>30.060671412073201</v>
      </c>
      <c r="AA53" s="3">
        <f t="shared" si="13"/>
        <v>30.934701018862675</v>
      </c>
      <c r="AB53" s="2">
        <f t="shared" si="14"/>
        <v>31.708662123746798</v>
      </c>
      <c r="AC53" s="2">
        <f t="shared" si="15"/>
        <v>32.768563102795206</v>
      </c>
      <c r="AD53" s="2">
        <f t="shared" si="16"/>
        <v>0.10167367554127638</v>
      </c>
      <c r="AE53" s="2">
        <f t="shared" si="17"/>
        <v>-0.81271942433983702</v>
      </c>
    </row>
    <row r="54" spans="2:31" x14ac:dyDescent="0.2">
      <c r="B54" s="1">
        <f>[1]FormattedData!A21</f>
        <v>105</v>
      </c>
      <c r="C54" s="1" t="str">
        <f>VLOOKUP($B54,[1]TrtCodes!$B$11:I64,2)</f>
        <v>NDL</v>
      </c>
      <c r="D54" s="1">
        <f>VLOOKUP($B54,[1]TrtCodes!$B$11:J64,3)</f>
        <v>12</v>
      </c>
      <c r="E54" s="1">
        <f>VLOOKUP($B54,[1]TrtCodes!$B$11:K64,4)</f>
        <v>2</v>
      </c>
      <c r="F54" s="1">
        <f>VLOOKUP($B54,[1]TrtCodes!$B$11:L64,5)</f>
        <v>3</v>
      </c>
      <c r="G54" s="1">
        <f>VLOOKUP($B54,[1]TrtCodes!$B$11:M64,6)</f>
        <v>1</v>
      </c>
      <c r="H54" s="1">
        <f>VLOOKUP($B54,[1]TrtCodes!$B$11:N64,7)</f>
        <v>2</v>
      </c>
      <c r="I54" s="1">
        <f>[1]FormattedData!B21</f>
        <v>2</v>
      </c>
      <c r="J54" s="4">
        <f>[1]FormattedData!C21</f>
        <v>12.929</v>
      </c>
      <c r="K54" s="6">
        <f>$J$3+[1]FormattedData!D21*$J$4+$M$4*$J$5+[1]FormattedData!D21^2*$J$6+$M$5*$J$7</f>
        <v>31.418791275554909</v>
      </c>
      <c r="L54" s="6">
        <f>$J$3+[1]FormattedData!E21*$J$4+$M$4*$J$5+[1]FormattedData!E21^2*$J$6+$M$5*$J$7</f>
        <v>29.183323725056134</v>
      </c>
      <c r="M54" s="6">
        <f>$J$3+[1]FormattedData!F21*$J$4+$M$4*$J$5+[1]FormattedData!F21^2*$J$6+$M$5*$J$7</f>
        <v>31.515478294425765</v>
      </c>
      <c r="N54" s="6">
        <f>$J$3+[1]FormattedData!G21*$J$4+$M$4*$J$5+[1]FormattedData!G21^2*$J$6+$M$5*$J$7</f>
        <v>31.805285739810756</v>
      </c>
      <c r="O54" s="6">
        <f>$J$3+[1]FormattedData!H21*$J$4+$M$4*$J$5+[1]FormattedData!H21^2*$J$6+$M$5*$J$7</f>
        <v>33.248616714115016</v>
      </c>
      <c r="P54" s="6">
        <f>$J$3+[1]FormattedData!I21*$J$4+$M$4*$J$5+[1]FormattedData!I21^2*$J$6+$M$5*$J$7</f>
        <v>29.963413767940274</v>
      </c>
      <c r="Q54" s="6">
        <f>$J$3+[1]FormattedData!J21*$J$4+$M$4*$J$5+[1]FormattedData!J21^2*$J$6+$M$5*$J$7</f>
        <v>33.248616714115016</v>
      </c>
      <c r="R54" s="6">
        <f>$J$3+[1]FormattedData!K21*$J$4+$M$4*$J$5+[1]FormattedData!K21^2*$J$6+$M$5*$J$7</f>
        <v>32.864658362135032</v>
      </c>
      <c r="S54" s="6">
        <f>$J$3+[1]FormattedData!L21*$J$4+$M$4*$J$5+[1]FormattedData!L21^2*$J$6+$M$5*$J$7</f>
        <v>32.383759380056603</v>
      </c>
      <c r="T54" s="6">
        <f>$J$3+[1]FormattedData!M21*$J$4+$M$4*$J$5+[1]FormattedData!M21^2*$J$6+$M$5*$J$7</f>
        <v>31.515478294425765</v>
      </c>
      <c r="U54" s="6">
        <f>$J$3+[1]FormattedData!N21*$J$4+$M$4*$J$5+[1]FormattedData!N21^2*$J$6+$M$5*$J$7</f>
        <v>30.060734814880096</v>
      </c>
      <c r="V54" s="6">
        <f>$J$3+[1]FormattedData!O21*$J$4+$M$4*$J$5+[1]FormattedData!O21^2*$J$6+$M$5*$J$7</f>
        <v>31.805285739810756</v>
      </c>
      <c r="W54" s="5">
        <f t="shared" si="9"/>
        <v>31.584453568527177</v>
      </c>
      <c r="X54" s="4">
        <f t="shared" si="10"/>
        <v>0.37604499159243893</v>
      </c>
      <c r="Y54" s="3">
        <f t="shared" si="11"/>
        <v>29.183323725056134</v>
      </c>
      <c r="Z54" s="2">
        <f t="shared" si="12"/>
        <v>31.079277160386205</v>
      </c>
      <c r="AA54" s="3">
        <f t="shared" si="13"/>
        <v>31.660382017118259</v>
      </c>
      <c r="AB54" s="2">
        <f t="shared" si="14"/>
        <v>32.50398412557621</v>
      </c>
      <c r="AC54" s="2">
        <f t="shared" si="15"/>
        <v>33.248616714115016</v>
      </c>
      <c r="AD54" s="2">
        <f t="shared" si="16"/>
        <v>-0.48354945265037103</v>
      </c>
      <c r="AE54" s="2">
        <f t="shared" si="17"/>
        <v>-0.53244370268363816</v>
      </c>
    </row>
    <row r="55" spans="2:31" x14ac:dyDescent="0.2">
      <c r="B55" s="1">
        <f>[1]FormattedData!A19</f>
        <v>106</v>
      </c>
      <c r="C55" s="1" t="str">
        <f>VLOOKUP($B55,[1]TrtCodes!$B$11:I62,2)</f>
        <v>NTH</v>
      </c>
      <c r="D55" s="1">
        <f>VLOOKUP($B55,[1]TrtCodes!$B$11:J62,3)</f>
        <v>9</v>
      </c>
      <c r="E55" s="1">
        <f>VLOOKUP($B55,[1]TrtCodes!$B$11:K62,4)</f>
        <v>2</v>
      </c>
      <c r="F55" s="1">
        <f>VLOOKUP($B55,[1]TrtCodes!$B$11:L62,5)</f>
        <v>2</v>
      </c>
      <c r="G55" s="1">
        <f>VLOOKUP($B55,[1]TrtCodes!$B$11:M62,6)</f>
        <v>2</v>
      </c>
      <c r="H55" s="1">
        <f>VLOOKUP($B55,[1]TrtCodes!$B$11:N62,7)</f>
        <v>2</v>
      </c>
      <c r="I55" s="1">
        <f>[1]FormattedData!B19</f>
        <v>2</v>
      </c>
      <c r="J55" s="4">
        <f>[1]FormattedData!C19</f>
        <v>12.913</v>
      </c>
      <c r="K55" s="6">
        <f>$J$3+[1]FormattedData!D19*$J$4+$M$4*$J$5+[1]FormattedData!D19^2*$J$6+$M$5*$J$7</f>
        <v>30.255250103145961</v>
      </c>
      <c r="L55" s="6">
        <f>$J$3+[1]FormattedData!E19*$J$4+$M$4*$J$5+[1]FormattedData!E19^2*$J$6+$M$5*$J$7</f>
        <v>31.708725526553692</v>
      </c>
      <c r="M55" s="6">
        <f>$J$3+[1]FormattedData!F19*$J$4+$M$4*$J$5+[1]FormattedData!F19^2*$J$6+$M$5*$J$7</f>
        <v>30.158013593281993</v>
      </c>
      <c r="N55" s="6">
        <f>$J$3+[1]FormattedData!G19*$J$4+$M$4*$J$5+[1]FormattedData!G19^2*$J$6+$M$5*$J$7</f>
        <v>30.546706021510268</v>
      </c>
      <c r="O55" s="6">
        <f>$J$3+[1]FormattedData!H19*$J$4+$M$4*$J$5+[1]FormattedData!H19^2*$J$6+$M$5*$J$7</f>
        <v>29.671197015893199</v>
      </c>
      <c r="P55" s="6">
        <f>$J$3+[1]FormattedData!I19*$J$4+$M$4*$J$5+[1]FormattedData!I19^2*$J$6+$M$5*$J$7</f>
        <v>30.449596317260099</v>
      </c>
      <c r="Q55" s="6">
        <f>$J$3+[1]FormattedData!J19*$J$4+$M$4*$J$5+[1]FormattedData!J19^2*$J$6+$M$5*$J$7</f>
        <v>31.998279360711102</v>
      </c>
      <c r="R55" s="6">
        <f>$J$3+[1]FormattedData!K19*$J$4+$M$4*$J$5+[1]FormattedData!K19^2*$J$6+$M$5*$J$7</f>
        <v>31.128476607714735</v>
      </c>
      <c r="S55" s="6">
        <f>$J$3+[1]FormattedData!L19*$J$4+$M$4*$J$5+[1]FormattedData!L19^2*$J$6+$M$5*$J$7</f>
        <v>31.998279360711102</v>
      </c>
      <c r="T55" s="6">
        <f>$J$3+[1]FormattedData!M19*$J$4+$M$4*$J$5+[1]FormattedData!M19^2*$J$6+$M$5*$J$7</f>
        <v>29.768644868446824</v>
      </c>
      <c r="U55" s="6">
        <f>$J$3+[1]FormattedData!N19*$J$4+$M$4*$J$5+[1]FormattedData!N19^2*$J$6+$M$5*$J$7</f>
        <v>31.32206198814611</v>
      </c>
      <c r="V55" s="6">
        <f>$J$3+[1]FormattedData!O19*$J$4+$M$4*$J$5+[1]FormattedData!O19^2*$J$6+$M$5*$J$7</f>
        <v>30.546706021510268</v>
      </c>
      <c r="W55" s="5">
        <f t="shared" si="9"/>
        <v>30.79599473207378</v>
      </c>
      <c r="X55" s="4">
        <f t="shared" si="10"/>
        <v>0.23638164171478068</v>
      </c>
      <c r="Y55" s="3">
        <f t="shared" si="11"/>
        <v>29.671197015893199</v>
      </c>
      <c r="Z55" s="2">
        <f t="shared" si="12"/>
        <v>30.230940975679971</v>
      </c>
      <c r="AA55" s="3">
        <f t="shared" si="13"/>
        <v>30.546706021510268</v>
      </c>
      <c r="AB55" s="2">
        <f t="shared" si="14"/>
        <v>31.418727872748008</v>
      </c>
      <c r="AC55" s="2">
        <f t="shared" si="15"/>
        <v>31.998279360711102</v>
      </c>
      <c r="AD55" s="2">
        <f t="shared" si="16"/>
        <v>0.2822950097227786</v>
      </c>
      <c r="AE55" s="2">
        <f t="shared" si="17"/>
        <v>-1.2470973638642864</v>
      </c>
    </row>
    <row r="56" spans="2:31" x14ac:dyDescent="0.2">
      <c r="B56" s="1">
        <f>[1]FormattedData!A17</f>
        <v>107</v>
      </c>
      <c r="C56" s="1" t="str">
        <f>VLOOKUP($B56,[1]TrtCodes!$B$11:I60,2)</f>
        <v>NTL</v>
      </c>
      <c r="D56" s="1">
        <f>VLOOKUP($B56,[1]TrtCodes!$B$11:J60,3)</f>
        <v>10</v>
      </c>
      <c r="E56" s="1">
        <f>VLOOKUP($B56,[1]TrtCodes!$B$11:K60,4)</f>
        <v>2</v>
      </c>
      <c r="F56" s="1">
        <f>VLOOKUP($B56,[1]TrtCodes!$B$11:L60,5)</f>
        <v>2</v>
      </c>
      <c r="G56" s="1">
        <f>VLOOKUP($B56,[1]TrtCodes!$B$11:M60,6)</f>
        <v>1</v>
      </c>
      <c r="H56" s="1">
        <f>VLOOKUP($B56,[1]TrtCodes!$B$11:N60,7)</f>
        <v>2</v>
      </c>
      <c r="I56" s="1">
        <f>[1]FormattedData!B17</f>
        <v>2</v>
      </c>
      <c r="J56" s="4">
        <f>[1]FormattedData!C17</f>
        <v>12.898</v>
      </c>
      <c r="K56" s="6">
        <f>$J$3+[1]FormattedData!D17*$J$4+$M$4*$J$5+[1]FormattedData!D17^2*$J$6+$M$5*$J$7</f>
        <v>31.901803684529895</v>
      </c>
      <c r="L56" s="6">
        <f>$J$3+[1]FormattedData!E17*$J$4+$M$4*$J$5+[1]FormattedData!E17^2*$J$6+$M$5*$J$7</f>
        <v>31.225290432199394</v>
      </c>
      <c r="M56" s="6">
        <f>$J$3+[1]FormattedData!F17*$J$4+$M$4*$J$5+[1]FormattedData!F17^2*$J$6+$M$5*$J$7</f>
        <v>31.32206198814611</v>
      </c>
      <c r="N56" s="6">
        <f>$J$3+[1]FormattedData!G17*$J$4+$M$4*$J$5+[1]FormattedData!G17^2*$J$6+$M$5*$J$7</f>
        <v>30.643773457222505</v>
      </c>
      <c r="O56" s="6">
        <f>$J$3+[1]FormattedData!H17*$J$4+$M$4*$J$5+[1]FormattedData!H17^2*$J$6+$M$5*$J$7</f>
        <v>30.837781523033193</v>
      </c>
      <c r="P56" s="6">
        <f>$J$3+[1]FormattedData!I17*$J$4+$M$4*$J$5+[1]FormattedData!I17^2*$J$6+$M$5*$J$7</f>
        <v>30.449596317260099</v>
      </c>
      <c r="Q56" s="6">
        <f>$J$3+[1]FormattedData!J17*$J$4+$M$4*$J$5+[1]FormattedData!J17^2*$J$6+$M$5*$J$7</f>
        <v>33.536141658451726</v>
      </c>
      <c r="R56" s="6">
        <f>$J$3+[1]FormattedData!K17*$J$4+$M$4*$J$5+[1]FormattedData!K17^2*$J$6+$M$5*$J$7</f>
        <v>31.418791275554909</v>
      </c>
      <c r="S56" s="6">
        <f>$J$3+[1]FormattedData!L17*$J$4+$M$4*$J$5+[1]FormattedData!L17^2*$J$6+$M$5*$J$7</f>
        <v>31.708725526553692</v>
      </c>
      <c r="T56" s="6">
        <f>$J$3+[1]FormattedData!M17*$J$4+$M$4*$J$5+[1]FormattedData!M17^2*$J$6+$M$5*$J$7</f>
        <v>29.963413767940274</v>
      </c>
      <c r="U56" s="6">
        <f>$J$3+[1]FormattedData!N17*$J$4+$M$4*$J$5+[1]FormattedData!N17^2*$J$6+$M$5*$J$7</f>
        <v>31.708725526553692</v>
      </c>
      <c r="V56" s="6">
        <f>$J$3+[1]FormattedData!O17*$J$4+$M$4*$J$5+[1]FormattedData!O17^2*$J$6+$M$5*$J$7</f>
        <v>31.998279360711102</v>
      </c>
      <c r="W56" s="5">
        <f t="shared" si="9"/>
        <v>31.392865376513043</v>
      </c>
      <c r="X56" s="4">
        <f t="shared" si="10"/>
        <v>0.26478728776333954</v>
      </c>
      <c r="Y56" s="3">
        <f t="shared" si="11"/>
        <v>29.963413767940274</v>
      </c>
      <c r="Z56" s="2">
        <f t="shared" si="12"/>
        <v>30.78927950658052</v>
      </c>
      <c r="AA56" s="3">
        <f t="shared" si="13"/>
        <v>31.37042663185051</v>
      </c>
      <c r="AB56" s="2">
        <f t="shared" si="14"/>
        <v>31.756995066047743</v>
      </c>
      <c r="AC56" s="2">
        <f t="shared" si="15"/>
        <v>33.536141658451726</v>
      </c>
      <c r="AD56" s="2">
        <f t="shared" si="16"/>
        <v>0.83481771948481398</v>
      </c>
      <c r="AE56" s="2">
        <f t="shared" si="17"/>
        <v>1.9103354920708133</v>
      </c>
    </row>
    <row r="57" spans="2:31" x14ac:dyDescent="0.2">
      <c r="B57" s="1">
        <f>[1]FormattedData!A15</f>
        <v>108</v>
      </c>
      <c r="C57" s="1" t="str">
        <f>VLOOKUP($B57,[1]TrtCodes!$B$11:I58,2)</f>
        <v>FTH</v>
      </c>
      <c r="D57" s="1">
        <f>VLOOKUP($B57,[1]TrtCodes!$B$11:J58,3)</f>
        <v>3</v>
      </c>
      <c r="E57" s="1">
        <f>VLOOKUP($B57,[1]TrtCodes!$B$11:K58,4)</f>
        <v>1</v>
      </c>
      <c r="F57" s="1">
        <f>VLOOKUP($B57,[1]TrtCodes!$B$11:L58,5)</f>
        <v>2</v>
      </c>
      <c r="G57" s="1">
        <f>VLOOKUP($B57,[1]TrtCodes!$B$11:M58,6)</f>
        <v>2</v>
      </c>
      <c r="H57" s="1">
        <f>VLOOKUP($B57,[1]TrtCodes!$B$11:N58,7)</f>
        <v>2</v>
      </c>
      <c r="I57" s="1">
        <f>[1]FormattedData!B15</f>
        <v>2</v>
      </c>
      <c r="J57" s="4">
        <f>[1]FormattedData!C15</f>
        <v>12.885</v>
      </c>
      <c r="K57" s="6">
        <f>$J$3+[1]FormattedData!D15*$J$4+$M$4*$J$5+[1]FormattedData!D15^2*$J$6+$M$5*$J$7</f>
        <v>31.515478294425765</v>
      </c>
      <c r="L57" s="6">
        <f>$J$3+[1]FormattedData!E15*$J$4+$M$4*$J$5+[1]FormattedData!E15^2*$J$6+$M$5*$J$7</f>
        <v>31.031620514692154</v>
      </c>
      <c r="M57" s="6">
        <f>$J$3+[1]FormattedData!F15*$J$4+$M$4*$J$5+[1]FormattedData!F15^2*$J$6+$M$5*$J$7</f>
        <v>30.837781523033193</v>
      </c>
      <c r="N57" s="6">
        <f>$J$3+[1]FormattedData!G15*$J$4+$M$4*$J$5+[1]FormattedData!G15^2*$J$6+$M$5*$J$7</f>
        <v>31.708725526553692</v>
      </c>
      <c r="O57" s="6">
        <f>$J$3+[1]FormattedData!H15*$J$4+$M$4*$J$5+[1]FormattedData!H15^2*$J$6+$M$5*$J$7</f>
        <v>32.576245778501772</v>
      </c>
      <c r="P57" s="6">
        <f>$J$3+[1]FormattedData!I15*$J$4+$M$4*$J$5+[1]FormattedData!I15^2*$J$6+$M$5*$J$7</f>
        <v>33.344500630765182</v>
      </c>
      <c r="Q57" s="6">
        <f>$J$3+[1]FormattedData!J15*$J$4+$M$4*$J$5+[1]FormattedData!J15^2*$J$6+$M$5*$J$7</f>
        <v>32.960711352936926</v>
      </c>
      <c r="R57" s="6">
        <f>$J$3+[1]FormattedData!K15*$J$4+$M$4*$J$5+[1]FormattedData!K15^2*$J$6+$M$5*$J$7</f>
        <v>31.418791275554909</v>
      </c>
      <c r="S57" s="6">
        <f>$J$3+[1]FormattedData!L15*$J$4+$M$4*$J$5+[1]FormattedData!L15^2*$J$6+$M$5*$J$7</f>
        <v>32.191103907459713</v>
      </c>
      <c r="T57" s="6">
        <f>$J$3+[1]FormattedData!M15*$J$4+$M$4*$J$5+[1]FormattedData!M15^2*$J$6+$M$5*$J$7</f>
        <v>30.643773457222505</v>
      </c>
      <c r="U57" s="6">
        <f>$J$3+[1]FormattedData!N15*$J$4+$M$4*$J$5+[1]FormattedData!N15^2*$J$6+$M$5*$J$7</f>
        <v>33.536141658451726</v>
      </c>
      <c r="V57" s="6">
        <f>$J$3+[1]FormattedData!O15*$J$4+$M$4*$J$5+[1]FormattedData!O15^2*$J$6+$M$5*$J$7</f>
        <v>32.09471276835437</v>
      </c>
      <c r="W57" s="5">
        <f t="shared" si="9"/>
        <v>31.988298890662662</v>
      </c>
      <c r="X57" s="4">
        <f t="shared" si="10"/>
        <v>0.27868133203410816</v>
      </c>
      <c r="Y57" s="3">
        <f t="shared" si="11"/>
        <v>30.643773457222505</v>
      </c>
      <c r="Z57" s="2">
        <f t="shared" si="12"/>
        <v>31.32199858533922</v>
      </c>
      <c r="AA57" s="3">
        <f t="shared" si="13"/>
        <v>31.901719147454031</v>
      </c>
      <c r="AB57" s="2">
        <f t="shared" si="14"/>
        <v>32.67236217211056</v>
      </c>
      <c r="AC57" s="2">
        <f t="shared" si="15"/>
        <v>33.536141658451726</v>
      </c>
      <c r="AD57" s="2">
        <f t="shared" si="16"/>
        <v>0.26599672676640834</v>
      </c>
      <c r="AE57" s="2">
        <f t="shared" si="17"/>
        <v>-1.1019890351041615</v>
      </c>
    </row>
    <row r="58" spans="2:31" x14ac:dyDescent="0.2">
      <c r="B58" s="1">
        <f>[1]FormattedData!A31</f>
        <v>201</v>
      </c>
      <c r="C58" s="1" t="str">
        <f>VLOOKUP($B58,[1]TrtCodes!$B$11:I74,2)</f>
        <v>NDL</v>
      </c>
      <c r="D58" s="1">
        <f>VLOOKUP($B58,[1]TrtCodes!$B$11:J74,3)</f>
        <v>12</v>
      </c>
      <c r="E58" s="1">
        <f>VLOOKUP($B58,[1]TrtCodes!$B$11:K74,4)</f>
        <v>2</v>
      </c>
      <c r="F58" s="1">
        <f>VLOOKUP($B58,[1]TrtCodes!$B$11:L74,5)</f>
        <v>3</v>
      </c>
      <c r="G58" s="1">
        <f>VLOOKUP($B58,[1]TrtCodes!$B$11:M74,6)</f>
        <v>1</v>
      </c>
      <c r="H58" s="1">
        <f>VLOOKUP($B58,[1]TrtCodes!$B$11:N74,7)</f>
        <v>1</v>
      </c>
      <c r="I58" s="1">
        <f>[1]FormattedData!B31</f>
        <v>2</v>
      </c>
      <c r="J58" s="4">
        <f>[1]FormattedData!C31</f>
        <v>13.010999999999999</v>
      </c>
      <c r="K58" s="6">
        <f>$J$3+[1]FormattedData!D31*$J$4+$M$4*$J$5+[1]FormattedData!D31^2*$J$6+$M$5*$J$7</f>
        <v>30.740798624396817</v>
      </c>
      <c r="L58" s="6">
        <f>$J$3+[1]FormattedData!E31*$J$4+$M$4*$J$5+[1]FormattedData!E31^2*$J$6+$M$5*$J$7</f>
        <v>29.86605045246251</v>
      </c>
      <c r="M58" s="6">
        <f>$J$3+[1]FormattedData!F31*$J$4+$M$4*$J$5+[1]FormattedData!F31^2*$J$6+$M$5*$J$7</f>
        <v>29.378599847004754</v>
      </c>
      <c r="N58" s="6">
        <f>$J$3+[1]FormattedData!G31*$J$4+$M$4*$J$5+[1]FormattedData!G31^2*$J$6+$M$5*$J$7</f>
        <v>28.204407003037161</v>
      </c>
      <c r="O58" s="6">
        <f>$J$3+[1]FormattedData!H31*$J$4+$M$4*$J$5+[1]FormattedData!H31^2*$J$6+$M$5*$J$7</f>
        <v>29.768644868446824</v>
      </c>
      <c r="P58" s="6">
        <f>$J$3+[1]FormattedData!I31*$J$4+$M$4*$J$5+[1]FormattedData!I31^2*$J$6+$M$5*$J$7</f>
        <v>30.255250103145961</v>
      </c>
      <c r="Q58" s="6">
        <f>$J$3+[1]FormattedData!J31*$J$4+$M$4*$J$5+[1]FormattedData!J31^2*$J$6+$M$5*$J$7</f>
        <v>28.694393720770787</v>
      </c>
      <c r="R58" s="6">
        <f>$J$3+[1]FormattedData!K31*$J$4+$M$4*$J$5+[1]FormattedData!K31^2*$J$6+$M$5*$J$7</f>
        <v>28.596480914299924</v>
      </c>
      <c r="S58" s="6">
        <f>$J$3+[1]FormattedData!L31*$J$4+$M$4*$J$5+[1]FormattedData!L31^2*$J$6+$M$5*$J$7</f>
        <v>28.596480914299924</v>
      </c>
      <c r="T58" s="6">
        <f>$J$3+[1]FormattedData!M31*$J$4+$M$4*$J$5+[1]FormattedData!M31^2*$J$6+$M$5*$J$7</f>
        <v>29.573706894801653</v>
      </c>
      <c r="U58" s="6">
        <f>$J$3+[1]FormattedData!N31*$J$4+$M$4*$J$5+[1]FormattedData!N31^2*$J$6+$M$5*$J$7</f>
        <v>29.183323725056134</v>
      </c>
      <c r="V58" s="6">
        <f>$J$3+[1]FormattedData!O31*$J$4+$M$4*$J$5+[1]FormattedData!O31^2*$J$6+$M$5*$J$7</f>
        <v>27.024127489607483</v>
      </c>
      <c r="W58" s="5">
        <f t="shared" si="9"/>
        <v>29.156855379777497</v>
      </c>
      <c r="X58" s="4">
        <f t="shared" si="10"/>
        <v>0.29016483821929601</v>
      </c>
      <c r="Y58" s="3">
        <f t="shared" si="11"/>
        <v>27.024127489607483</v>
      </c>
      <c r="Z58" s="2">
        <f t="shared" si="12"/>
        <v>28.596480914299924</v>
      </c>
      <c r="AA58" s="3">
        <f t="shared" si="13"/>
        <v>29.280961786030446</v>
      </c>
      <c r="AB58" s="2">
        <f t="shared" si="14"/>
        <v>29.792996264450746</v>
      </c>
      <c r="AC58" s="2">
        <f t="shared" si="15"/>
        <v>30.740798624396817</v>
      </c>
      <c r="AD58" s="2">
        <f t="shared" si="16"/>
        <v>-0.54219934086563348</v>
      </c>
      <c r="AE58" s="2">
        <f t="shared" si="17"/>
        <v>0.58690838023720904</v>
      </c>
    </row>
    <row r="59" spans="2:31" x14ac:dyDescent="0.2">
      <c r="B59" s="1">
        <f>[1]FormattedData!A33</f>
        <v>202</v>
      </c>
      <c r="C59" s="1" t="str">
        <f>VLOOKUP($B59,[1]TrtCodes!$B$11:I76,2)</f>
        <v>NTH</v>
      </c>
      <c r="D59" s="1">
        <f>VLOOKUP($B59,[1]TrtCodes!$B$11:J76,3)</f>
        <v>9</v>
      </c>
      <c r="E59" s="1">
        <f>VLOOKUP($B59,[1]TrtCodes!$B$11:K76,4)</f>
        <v>2</v>
      </c>
      <c r="F59" s="1">
        <f>VLOOKUP($B59,[1]TrtCodes!$B$11:L76,5)</f>
        <v>2</v>
      </c>
      <c r="G59" s="1">
        <f>VLOOKUP($B59,[1]TrtCodes!$B$11:M76,6)</f>
        <v>2</v>
      </c>
      <c r="H59" s="1">
        <f>VLOOKUP($B59,[1]TrtCodes!$B$11:N76,7)</f>
        <v>1</v>
      </c>
      <c r="I59" s="1">
        <f>[1]FormattedData!B33</f>
        <v>2</v>
      </c>
      <c r="J59" s="4">
        <f>[1]FormattedData!C33</f>
        <v>13.025</v>
      </c>
      <c r="K59" s="6">
        <f>$J$3+[1]FormattedData!D33*$J$4+$M$4*$J$5+[1]FormattedData!D33^2*$J$6+$M$5*$J$7</f>
        <v>28.89009252809872</v>
      </c>
      <c r="L59" s="6">
        <f>$J$3+[1]FormattedData!E33*$J$4+$M$4*$J$5+[1]FormattedData!E33^2*$J$6+$M$5*$J$7</f>
        <v>28.302488883659748</v>
      </c>
      <c r="M59" s="6">
        <f>$J$3+[1]FormattedData!F33*$J$4+$M$4*$J$5+[1]FormattedData!F33^2*$J$6+$M$5*$J$7</f>
        <v>29.085622261274928</v>
      </c>
      <c r="N59" s="6">
        <f>$J$3+[1]FormattedData!G33*$J$4+$M$4*$J$5+[1]FormattedData!G33^2*$J$6+$M$5*$J$7</f>
        <v>29.378599847004754</v>
      </c>
      <c r="O59" s="6">
        <f>$J$3+[1]FormattedData!H33*$J$4+$M$4*$J$5+[1]FormattedData!H33^2*$J$6+$M$5*$J$7</f>
        <v>29.378599847004754</v>
      </c>
      <c r="P59" s="6">
        <f>$J$3+[1]FormattedData!I33*$J$4+$M$4*$J$5+[1]FormattedData!I33^2*$J$6+$M$5*$J$7</f>
        <v>29.671197015893199</v>
      </c>
      <c r="Q59" s="6">
        <f>$J$3+[1]FormattedData!J33*$J$4+$M$4*$J$5+[1]FormattedData!J33^2*$J$6+$M$5*$J$7</f>
        <v>31.805285739810756</v>
      </c>
      <c r="R59" s="6">
        <f>$J$3+[1]FormattedData!K33*$J$4+$M$4*$J$5+[1]FormattedData!K33^2*$J$6+$M$5*$J$7</f>
        <v>29.768644868446824</v>
      </c>
      <c r="S59" s="6">
        <f>$J$3+[1]FormattedData!L33*$J$4+$M$4*$J$5+[1]FormattedData!L33^2*$J$6+$M$5*$J$7</f>
        <v>29.573706894801653</v>
      </c>
      <c r="T59" s="6">
        <f>$J$3+[1]FormattedData!M33*$J$4+$M$4*$J$5+[1]FormattedData!M33^2*$J$6+$M$5*$J$7</f>
        <v>28.302488883659748</v>
      </c>
      <c r="U59" s="6">
        <f>$J$3+[1]FormattedData!N33*$J$4+$M$4*$J$5+[1]FormattedData!N33^2*$J$6+$M$5*$J$7</f>
        <v>29.476174505172168</v>
      </c>
      <c r="V59" s="6">
        <f>$J$3+[1]FormattedData!O33*$J$4+$M$4*$J$5+[1]FormattedData!O33^2*$J$6+$M$5*$J$7</f>
        <v>28.89009252809872</v>
      </c>
      <c r="W59" s="5">
        <f t="shared" si="9"/>
        <v>29.376916150243826</v>
      </c>
      <c r="X59" s="4">
        <f t="shared" si="10"/>
        <v>0.26188782120474002</v>
      </c>
      <c r="Y59" s="3">
        <f t="shared" si="11"/>
        <v>28.302488883659748</v>
      </c>
      <c r="Z59" s="2">
        <f t="shared" si="12"/>
        <v>28.89009252809872</v>
      </c>
      <c r="AA59" s="3">
        <f t="shared" si="13"/>
        <v>29.378599847004754</v>
      </c>
      <c r="AB59" s="2">
        <f t="shared" si="14"/>
        <v>29.598079425074538</v>
      </c>
      <c r="AC59" s="2">
        <f t="shared" si="15"/>
        <v>31.805285739810756</v>
      </c>
      <c r="AD59" s="2">
        <f t="shared" si="16"/>
        <v>1.7062579686250581</v>
      </c>
      <c r="AE59" s="2">
        <f t="shared" si="17"/>
        <v>4.7116443171413529</v>
      </c>
    </row>
    <row r="60" spans="2:31" x14ac:dyDescent="0.2">
      <c r="B60" s="1">
        <f>[1]FormattedData!A35</f>
        <v>203</v>
      </c>
      <c r="C60" s="1" t="str">
        <f>VLOOKUP($B60,[1]TrtCodes!$B$11:I78,2)</f>
        <v>FTH</v>
      </c>
      <c r="D60" s="1">
        <f>VLOOKUP($B60,[1]TrtCodes!$B$11:J78,3)</f>
        <v>3</v>
      </c>
      <c r="E60" s="1">
        <f>VLOOKUP($B60,[1]TrtCodes!$B$11:K78,4)</f>
        <v>1</v>
      </c>
      <c r="F60" s="1">
        <f>VLOOKUP($B60,[1]TrtCodes!$B$11:L78,5)</f>
        <v>2</v>
      </c>
      <c r="G60" s="1">
        <f>VLOOKUP($B60,[1]TrtCodes!$B$11:M78,6)</f>
        <v>2</v>
      </c>
      <c r="H60" s="1">
        <f>VLOOKUP($B60,[1]TrtCodes!$B$11:N78,7)</f>
        <v>1</v>
      </c>
      <c r="I60" s="1">
        <f>[1]FormattedData!B35</f>
        <v>2</v>
      </c>
      <c r="J60" s="4">
        <f>[1]FormattedData!C35</f>
        <v>13.041</v>
      </c>
      <c r="K60" s="6">
        <f>$J$3+[1]FormattedData!D35*$J$4+$M$4*$J$5+[1]FormattedData!D35^2*$J$6+$M$5*$J$7</f>
        <v>27.811656795167501</v>
      </c>
      <c r="L60" s="6">
        <f>$J$3+[1]FormattedData!E35*$J$4+$M$4*$J$5+[1]FormattedData!E35^2*$J$6+$M$5*$J$7</f>
        <v>29.378599847004754</v>
      </c>
      <c r="M60" s="6">
        <f>$J$3+[1]FormattedData!F35*$J$4+$M$4*$J$5+[1]FormattedData!F35^2*$J$6+$M$5*$J$7</f>
        <v>29.085622261274928</v>
      </c>
      <c r="N60" s="6">
        <f>$J$3+[1]FormattedData!G35*$J$4+$M$4*$J$5+[1]FormattedData!G35^2*$J$6+$M$5*$J$7</f>
        <v>28.204407003037161</v>
      </c>
      <c r="O60" s="6">
        <f>$J$3+[1]FormattedData!H35*$J$4+$M$4*$J$5+[1]FormattedData!H35^2*$J$6+$M$5*$J$7</f>
        <v>28.400528495744403</v>
      </c>
      <c r="P60" s="6">
        <f>$J$3+[1]FormattedData!I35*$J$4+$M$4*$J$5+[1]FormattedData!I35^2*$J$6+$M$5*$J$7</f>
        <v>28.204407003037161</v>
      </c>
      <c r="Q60" s="6">
        <f>$J$3+[1]FormattedData!J35*$J$4+$M$4*$J$5+[1]FormattedData!J35^2*$J$6+$M$5*$J$7</f>
        <v>29.280982920299412</v>
      </c>
      <c r="R60" s="6">
        <f>$J$3+[1]FormattedData!K35*$J$4+$M$4*$J$5+[1]FormattedData!K35^2*$J$6+$M$5*$J$7</f>
        <v>28.89009252809872</v>
      </c>
      <c r="S60" s="6">
        <f>$J$3+[1]FormattedData!L35*$J$4+$M$4*$J$5+[1]FormattedData!L35^2*$J$6+$M$5*$J$7</f>
        <v>29.085622261274928</v>
      </c>
      <c r="T60" s="6">
        <f>$J$3+[1]FormattedData!M35*$J$4+$M$4*$J$5+[1]FormattedData!M35^2*$J$6+$M$5*$J$7</f>
        <v>29.768644868446824</v>
      </c>
      <c r="U60" s="6">
        <f>$J$3+[1]FormattedData!N35*$J$4+$M$4*$J$5+[1]FormattedData!N35^2*$J$6+$M$5*$J$7</f>
        <v>29.476174505172168</v>
      </c>
      <c r="V60" s="6">
        <f>$J$3+[1]FormattedData!O35*$J$4+$M$4*$J$5+[1]FormattedData!O35^2*$J$6+$M$5*$J$7</f>
        <v>28.302488883659748</v>
      </c>
      <c r="W60" s="5">
        <f t="shared" si="9"/>
        <v>28.824102281018146</v>
      </c>
      <c r="X60" s="4">
        <f t="shared" si="10"/>
        <v>0.17878572098832574</v>
      </c>
      <c r="Y60" s="3">
        <f t="shared" si="11"/>
        <v>27.811656795167501</v>
      </c>
      <c r="Z60" s="2">
        <f t="shared" si="12"/>
        <v>28.277968413504102</v>
      </c>
      <c r="AA60" s="3">
        <f t="shared" si="13"/>
        <v>28.987857394686824</v>
      </c>
      <c r="AB60" s="2">
        <f t="shared" si="14"/>
        <v>29.305387151975747</v>
      </c>
      <c r="AC60" s="2">
        <f t="shared" si="15"/>
        <v>29.768644868446824</v>
      </c>
      <c r="AD60" s="2">
        <f t="shared" si="16"/>
        <v>-0.14227028555592708</v>
      </c>
      <c r="AE60" s="2">
        <f t="shared" si="17"/>
        <v>-1.2742810791688699</v>
      </c>
    </row>
    <row r="61" spans="2:31" x14ac:dyDescent="0.2">
      <c r="B61" s="1">
        <f>[1]FormattedData!A37</f>
        <v>204</v>
      </c>
      <c r="C61" s="1" t="str">
        <f>VLOOKUP($B61,[1]TrtCodes!$B$11:I80,2)</f>
        <v>NDH</v>
      </c>
      <c r="D61" s="1">
        <f>VLOOKUP($B61,[1]TrtCodes!$B$11:J80,3)</f>
        <v>11</v>
      </c>
      <c r="E61" s="1">
        <f>VLOOKUP($B61,[1]TrtCodes!$B$11:K80,4)</f>
        <v>2</v>
      </c>
      <c r="F61" s="1">
        <f>VLOOKUP($B61,[1]TrtCodes!$B$11:L80,5)</f>
        <v>3</v>
      </c>
      <c r="G61" s="1">
        <f>VLOOKUP($B61,[1]TrtCodes!$B$11:M80,6)</f>
        <v>2</v>
      </c>
      <c r="H61" s="1">
        <f>VLOOKUP($B61,[1]TrtCodes!$B$11:N80,7)</f>
        <v>1</v>
      </c>
      <c r="I61" s="1">
        <f>[1]FormattedData!B37</f>
        <v>2</v>
      </c>
      <c r="J61" s="4">
        <f>[1]FormattedData!C37</f>
        <v>13.057</v>
      </c>
      <c r="K61" s="6">
        <f>$J$3+[1]FormattedData!D37*$J$4+$M$4*$J$5+[1]FormattedData!D37^2*$J$6+$M$5*$J$7</f>
        <v>30.740798624396817</v>
      </c>
      <c r="L61" s="6">
        <f>$J$3+[1]FormattedData!E37*$J$4+$M$4*$J$5+[1]FormattedData!E37^2*$J$6+$M$5*$J$7</f>
        <v>30.546706021510268</v>
      </c>
      <c r="M61" s="6">
        <f>$J$3+[1]FormattedData!F37*$J$4+$M$4*$J$5+[1]FormattedData!F37^2*$J$6+$M$5*$J$7</f>
        <v>29.476174505172168</v>
      </c>
      <c r="N61" s="6">
        <f>$J$3+[1]FormattedData!G37*$J$4+$M$4*$J$5+[1]FormattedData!G37^2*$J$6+$M$5*$J$7</f>
        <v>30.934722153131641</v>
      </c>
      <c r="O61" s="6">
        <f>$J$3+[1]FormattedData!H37*$J$4+$M$4*$J$5+[1]FormattedData!H37^2*$J$6+$M$5*$J$7</f>
        <v>29.378599847004754</v>
      </c>
      <c r="P61" s="6">
        <f>$J$3+[1]FormattedData!I37*$J$4+$M$4*$J$5+[1]FormattedData!I37^2*$J$6+$M$5*$J$7</f>
        <v>30.740798624396817</v>
      </c>
      <c r="Q61" s="6">
        <f>$J$3+[1]FormattedData!J37*$J$4+$M$4*$J$5+[1]FormattedData!J37^2*$J$6+$M$5*$J$7</f>
        <v>31.708725526553692</v>
      </c>
      <c r="R61" s="6">
        <f>$J$3+[1]FormattedData!K37*$J$4+$M$4*$J$5+[1]FormattedData!K37^2*$J$6+$M$5*$J$7</f>
        <v>30.934722153131641</v>
      </c>
      <c r="S61" s="6">
        <f>$J$3+[1]FormattedData!L37*$J$4+$M$4*$J$5+[1]FormattedData!L37^2*$J$6+$M$5*$J$7</f>
        <v>31.031620514692154</v>
      </c>
      <c r="T61" s="6">
        <f>$J$3+[1]FormattedData!M37*$J$4+$M$4*$J$5+[1]FormattedData!M37^2*$J$6+$M$5*$J$7</f>
        <v>31.32206198814611</v>
      </c>
      <c r="U61" s="6">
        <f>$J$3+[1]FormattedData!N37*$J$4+$M$4*$J$5+[1]FormattedData!N37^2*$J$6+$M$5*$J$7</f>
        <v>30.546706021510268</v>
      </c>
      <c r="V61" s="6">
        <f>$J$3+[1]FormattedData!O37*$J$4+$M$4*$J$5+[1]FormattedData!O37^2*$J$6+$M$5*$J$7</f>
        <v>30.255250103145961</v>
      </c>
      <c r="W61" s="5">
        <f t="shared" si="9"/>
        <v>30.634740506899359</v>
      </c>
      <c r="X61" s="4">
        <f t="shared" si="10"/>
        <v>0.19589577957138743</v>
      </c>
      <c r="Y61" s="3">
        <f t="shared" si="11"/>
        <v>29.378599847004754</v>
      </c>
      <c r="Z61" s="2">
        <f t="shared" si="12"/>
        <v>30.473842041919191</v>
      </c>
      <c r="AA61" s="3">
        <f t="shared" si="13"/>
        <v>30.740798624396817</v>
      </c>
      <c r="AB61" s="2">
        <f t="shared" si="14"/>
        <v>30.958946743521771</v>
      </c>
      <c r="AC61" s="2">
        <f t="shared" si="15"/>
        <v>31.708725526553692</v>
      </c>
      <c r="AD61" s="2">
        <f t="shared" si="16"/>
        <v>-0.667051527484259</v>
      </c>
      <c r="AE61" s="2">
        <f t="shared" si="17"/>
        <v>0.35606958941465816</v>
      </c>
    </row>
    <row r="62" spans="2:31" x14ac:dyDescent="0.2">
      <c r="B62" s="1">
        <f>[1]FormattedData!A39</f>
        <v>205</v>
      </c>
      <c r="C62" s="1" t="str">
        <f>VLOOKUP($B62,[1]TrtCodes!$B$11:I82,2)</f>
        <v>FSH</v>
      </c>
      <c r="D62" s="1">
        <f>VLOOKUP($B62,[1]TrtCodes!$B$11:J82,3)</f>
        <v>1</v>
      </c>
      <c r="E62" s="1">
        <f>VLOOKUP($B62,[1]TrtCodes!$B$11:K82,4)</f>
        <v>1</v>
      </c>
      <c r="F62" s="1">
        <f>VLOOKUP($B62,[1]TrtCodes!$B$11:L82,5)</f>
        <v>1</v>
      </c>
      <c r="G62" s="1">
        <f>VLOOKUP($B62,[1]TrtCodes!$B$11:M82,6)</f>
        <v>2</v>
      </c>
      <c r="H62" s="1">
        <f>VLOOKUP($B62,[1]TrtCodes!$B$11:N82,7)</f>
        <v>2</v>
      </c>
      <c r="I62" s="1">
        <f>[1]FormattedData!B39</f>
        <v>2</v>
      </c>
      <c r="J62" s="4">
        <f>[1]FormattedData!C39</f>
        <v>13.071</v>
      </c>
      <c r="K62" s="6">
        <f>$J$3+[1]FormattedData!D39*$J$4+$M$4*$J$5+[1]FormattedData!D39^2*$J$6+$M$5*$J$7</f>
        <v>29.963413767940274</v>
      </c>
      <c r="L62" s="6">
        <f>$J$3+[1]FormattedData!E39*$J$4+$M$4*$J$5+[1]FormattedData!E39^2*$J$6+$M$5*$J$7</f>
        <v>29.378599847004754</v>
      </c>
      <c r="M62" s="6">
        <f>$J$3+[1]FormattedData!F39*$J$4+$M$4*$J$5+[1]FormattedData!F39^2*$J$6+$M$5*$J$7</f>
        <v>29.378599847004754</v>
      </c>
      <c r="N62" s="6">
        <f>$J$3+[1]FormattedData!G39*$J$4+$M$4*$J$5+[1]FormattedData!G39^2*$J$6+$M$5*$J$7</f>
        <v>29.378599847004754</v>
      </c>
      <c r="O62" s="6">
        <f>$J$3+[1]FormattedData!H39*$J$4+$M$4*$J$5+[1]FormattedData!H39^2*$J$6+$M$5*$J$7</f>
        <v>29.280982920299412</v>
      </c>
      <c r="P62" s="6">
        <f>$J$3+[1]FormattedData!I39*$J$4+$M$4*$J$5+[1]FormattedData!I39^2*$J$6+$M$5*$J$7</f>
        <v>28.302488883659748</v>
      </c>
      <c r="Q62" s="6">
        <f>$J$3+[1]FormattedData!J39*$J$4+$M$4*$J$5+[1]FormattedData!J39^2*$J$6+$M$5*$J$7</f>
        <v>30.060734814880096</v>
      </c>
      <c r="R62" s="6">
        <f>$J$3+[1]FormattedData!K39*$J$4+$M$4*$J$5+[1]FormattedData!K39^2*$J$6+$M$5*$J$7</f>
        <v>28.98787852895579</v>
      </c>
      <c r="S62" s="6">
        <f>$J$3+[1]FormattedData!L39*$J$4+$M$4*$J$5+[1]FormattedData!L39^2*$J$6+$M$5*$J$7</f>
        <v>30.546706021510268</v>
      </c>
      <c r="T62" s="6">
        <f>$J$3+[1]FormattedData!M39*$J$4+$M$4*$J$5+[1]FormattedData!M39^2*$J$6+$M$5*$J$7</f>
        <v>28.694393720770787</v>
      </c>
      <c r="U62" s="6">
        <f>$J$3+[1]FormattedData!N39*$J$4+$M$4*$J$5+[1]FormattedData!N39^2*$J$6+$M$5*$J$7</f>
        <v>30.740798624396817</v>
      </c>
      <c r="V62" s="6">
        <f>$J$3+[1]FormattedData!O39*$J$4+$M$4*$J$5+[1]FormattedData!O39^2*$J$6+$M$5*$J$7</f>
        <v>28.302488883659748</v>
      </c>
      <c r="W62" s="5">
        <f t="shared" si="9"/>
        <v>29.417973808923932</v>
      </c>
      <c r="X62" s="4">
        <f t="shared" si="10"/>
        <v>0.22954383487153601</v>
      </c>
      <c r="Y62" s="3">
        <f t="shared" si="11"/>
        <v>28.302488883659748</v>
      </c>
      <c r="Z62" s="2">
        <f t="shared" si="12"/>
        <v>28.91450732690954</v>
      </c>
      <c r="AA62" s="3">
        <f t="shared" si="13"/>
        <v>29.378599847004754</v>
      </c>
      <c r="AB62" s="2">
        <f t="shared" si="14"/>
        <v>29.98774402967523</v>
      </c>
      <c r="AC62" s="2">
        <f t="shared" si="15"/>
        <v>30.740798624396817</v>
      </c>
      <c r="AD62" s="2">
        <f t="shared" si="16"/>
        <v>0.2047132784065093</v>
      </c>
      <c r="AE62" s="2">
        <f t="shared" si="17"/>
        <v>-0.74228048503188493</v>
      </c>
    </row>
    <row r="63" spans="2:31" x14ac:dyDescent="0.2">
      <c r="B63" s="1">
        <f>[1]FormattedData!A41</f>
        <v>206</v>
      </c>
      <c r="C63" s="1" t="str">
        <f>VLOOKUP($B63,[1]TrtCodes!$B$11:I84,2)</f>
        <v>NSL</v>
      </c>
      <c r="D63" s="1">
        <f>VLOOKUP($B63,[1]TrtCodes!$B$11:J84,3)</f>
        <v>8</v>
      </c>
      <c r="E63" s="1">
        <f>VLOOKUP($B63,[1]TrtCodes!$B$11:K84,4)</f>
        <v>2</v>
      </c>
      <c r="F63" s="1">
        <f>VLOOKUP($B63,[1]TrtCodes!$B$11:L84,5)</f>
        <v>1</v>
      </c>
      <c r="G63" s="1">
        <f>VLOOKUP($B63,[1]TrtCodes!$B$11:M84,6)</f>
        <v>1</v>
      </c>
      <c r="H63" s="1">
        <f>VLOOKUP($B63,[1]TrtCodes!$B$11:N84,7)</f>
        <v>2</v>
      </c>
      <c r="I63" s="1">
        <f>[1]FormattedData!B41</f>
        <v>2</v>
      </c>
      <c r="J63" s="4">
        <f>[1]FormattedData!C41</f>
        <v>13.086</v>
      </c>
      <c r="K63" s="6">
        <f>$J$3+[1]FormattedData!D41*$J$4+$M$4*$J$5+[1]FormattedData!D41^2*$J$6+$M$5*$J$7</f>
        <v>29.085622261274928</v>
      </c>
      <c r="L63" s="6">
        <f>$J$3+[1]FormattedData!E41*$J$4+$M$4*$J$5+[1]FormattedData!E41^2*$J$6+$M$5*$J$7</f>
        <v>27.418230290690939</v>
      </c>
      <c r="M63" s="6">
        <f>$J$3+[1]FormattedData!F41*$J$4+$M$4*$J$5+[1]FormattedData!F41^2*$J$6+$M$5*$J$7</f>
        <v>30.740798624396817</v>
      </c>
      <c r="N63" s="6">
        <f>$J$3+[1]FormattedData!G41*$J$4+$M$4*$J$5+[1]FormattedData!G41^2*$J$6+$M$5*$J$7</f>
        <v>29.671197015893199</v>
      </c>
      <c r="O63" s="6">
        <f>$J$3+[1]FormattedData!H41*$J$4+$M$4*$J$5+[1]FormattedData!H41^2*$J$6+$M$5*$J$7</f>
        <v>31.998279360711102</v>
      </c>
      <c r="P63" s="6">
        <f>$J$3+[1]FormattedData!I41*$J$4+$M$4*$J$5+[1]FormattedData!I41^2*$J$6+$M$5*$J$7</f>
        <v>28.400528495744403</v>
      </c>
      <c r="Q63" s="6">
        <f>$J$3+[1]FormattedData!J41*$J$4+$M$4*$J$5+[1]FormattedData!J41^2*$J$6+$M$5*$J$7</f>
        <v>30.158013593281993</v>
      </c>
      <c r="R63" s="6">
        <f>$J$3+[1]FormattedData!K41*$J$4+$M$4*$J$5+[1]FormattedData!K41^2*$J$6+$M$5*$J$7</f>
        <v>28.89009252809872</v>
      </c>
      <c r="S63" s="6">
        <f>$J$3+[1]FormattedData!L41*$J$4+$M$4*$J$5+[1]FormattedData!L41^2*$J$6+$M$5*$J$7</f>
        <v>29.085622261274928</v>
      </c>
      <c r="T63" s="6">
        <f>$J$3+[1]FormattedData!M41*$J$4+$M$4*$J$5+[1]FormattedData!M41^2*$J$6+$M$5*$J$7</f>
        <v>28.694393720770787</v>
      </c>
      <c r="U63" s="6">
        <f>$J$3+[1]FormattedData!N41*$J$4+$M$4*$J$5+[1]FormattedData!N41^2*$J$6+$M$5*$J$7</f>
        <v>28.498525839291133</v>
      </c>
      <c r="V63" s="6">
        <f>$J$3+[1]FormattedData!O41*$J$4+$M$4*$J$5+[1]FormattedData!O41^2*$J$6+$M$5*$J$7</f>
        <v>29.085622261274928</v>
      </c>
      <c r="W63" s="5">
        <f t="shared" si="9"/>
        <v>29.310577187725318</v>
      </c>
      <c r="X63" s="4">
        <f t="shared" si="10"/>
        <v>0.34700414605674929</v>
      </c>
      <c r="Y63" s="3">
        <f t="shared" si="11"/>
        <v>27.418230290690939</v>
      </c>
      <c r="Z63" s="2">
        <f t="shared" si="12"/>
        <v>28.645426750400873</v>
      </c>
      <c r="AA63" s="3">
        <f t="shared" si="13"/>
        <v>29.085622261274928</v>
      </c>
      <c r="AB63" s="2">
        <f t="shared" si="14"/>
        <v>29.792901160240397</v>
      </c>
      <c r="AC63" s="2">
        <f t="shared" si="15"/>
        <v>31.998279360711102</v>
      </c>
      <c r="AD63" s="2">
        <f t="shared" si="16"/>
        <v>0.91625319973579178</v>
      </c>
      <c r="AE63" s="2">
        <f t="shared" si="17"/>
        <v>1.3272124897061834</v>
      </c>
    </row>
    <row r="64" spans="2:31" x14ac:dyDescent="0.2">
      <c r="B64" s="1">
        <f>[1]FormattedData!A43</f>
        <v>207</v>
      </c>
      <c r="C64" s="1" t="str">
        <f>VLOOKUP($B64,[1]TrtCodes!$B$11:I86,2)</f>
        <v>FTL</v>
      </c>
      <c r="D64" s="1">
        <f>VLOOKUP($B64,[1]TrtCodes!$B$11:J86,3)</f>
        <v>4</v>
      </c>
      <c r="E64" s="1">
        <f>VLOOKUP($B64,[1]TrtCodes!$B$11:K86,4)</f>
        <v>1</v>
      </c>
      <c r="F64" s="1">
        <f>VLOOKUP($B64,[1]TrtCodes!$B$11:L86,5)</f>
        <v>2</v>
      </c>
      <c r="G64" s="1">
        <f>VLOOKUP($B64,[1]TrtCodes!$B$11:M86,6)</f>
        <v>1</v>
      </c>
      <c r="H64" s="1">
        <f>VLOOKUP($B64,[1]TrtCodes!$B$11:N86,7)</f>
        <v>2</v>
      </c>
      <c r="I64" s="1">
        <f>[1]FormattedData!B43</f>
        <v>2</v>
      </c>
      <c r="J64" s="4">
        <f>[1]FormattedData!C43</f>
        <v>13.102</v>
      </c>
      <c r="K64" s="6">
        <f>$J$3+[1]FormattedData!D43*$J$4+$M$4*$J$5+[1]FormattedData!D43^2*$J$6+$M$5*$J$7</f>
        <v>27.122716592685251</v>
      </c>
      <c r="L64" s="6">
        <f>$J$3+[1]FormattedData!E43*$J$4+$M$4*$J$5+[1]FormattedData!E43^2*$J$6+$M$5*$J$7</f>
        <v>28.204407003037161</v>
      </c>
      <c r="M64" s="6">
        <f>$J$3+[1]FormattedData!F43*$J$4+$M$4*$J$5+[1]FormattedData!F43^2*$J$6+$M$5*$J$7</f>
        <v>27.713363571855258</v>
      </c>
      <c r="N64" s="6">
        <f>$J$3+[1]FormattedData!G43*$J$4+$M$4*$J$5+[1]FormattedData!G43^2*$J$6+$M$5*$J$7</f>
        <v>28.596480914299924</v>
      </c>
      <c r="O64" s="6">
        <f>$J$3+[1]FormattedData!H43*$J$4+$M$4*$J$5+[1]FormattedData!H43^2*$J$6+$M$5*$J$7</f>
        <v>29.963413767940274</v>
      </c>
      <c r="P64" s="6">
        <f>$J$3+[1]FormattedData!I43*$J$4+$M$4*$J$5+[1]FormattedData!I43^2*$J$6+$M$5*$J$7</f>
        <v>27.221263427225075</v>
      </c>
      <c r="Q64" s="6">
        <f>$J$3+[1]FormattedData!J43*$J$4+$M$4*$J$5+[1]FormattedData!J43^2*$J$6+$M$5*$J$7</f>
        <v>28.694393720770787</v>
      </c>
      <c r="R64" s="6">
        <f>$J$3+[1]FormattedData!K43*$J$4+$M$4*$J$5+[1]FormattedData!K43^2*$J$6+$M$5*$J$7</f>
        <v>27.221263427225075</v>
      </c>
      <c r="S64" s="6">
        <f>$J$3+[1]FormattedData!L43*$J$4+$M$4*$J$5+[1]FormattedData!L43^2*$J$6+$M$5*$J$7</f>
        <v>27.811656795167501</v>
      </c>
      <c r="T64" s="6">
        <f>$J$3+[1]FormattedData!M43*$J$4+$M$4*$J$5+[1]FormattedData!M43^2*$J$6+$M$5*$J$7</f>
        <v>28.89009252809872</v>
      </c>
      <c r="U64" s="6">
        <f>$J$3+[1]FormattedData!N43*$J$4+$M$4*$J$5+[1]FormattedData!N43^2*$J$6+$M$5*$J$7</f>
        <v>29.085622261274928</v>
      </c>
      <c r="V64" s="6">
        <f>$J$3+[1]FormattedData!O43*$J$4+$M$4*$J$5+[1]FormattedData!O43^2*$J$6+$M$5*$J$7</f>
        <v>27.909907749941812</v>
      </c>
      <c r="W64" s="5">
        <f t="shared" si="9"/>
        <v>28.202881813293477</v>
      </c>
      <c r="X64" s="4">
        <f t="shared" si="10"/>
        <v>0.25105676200719346</v>
      </c>
      <c r="Y64" s="3">
        <f t="shared" si="11"/>
        <v>27.122716592685251</v>
      </c>
      <c r="Z64" s="2">
        <f t="shared" si="12"/>
        <v>27.590338535697711</v>
      </c>
      <c r="AA64" s="3">
        <f t="shared" si="13"/>
        <v>28.057157376489485</v>
      </c>
      <c r="AB64" s="2">
        <f t="shared" si="14"/>
        <v>28.743318422602769</v>
      </c>
      <c r="AC64" s="2">
        <f t="shared" si="15"/>
        <v>29.963413767940274</v>
      </c>
      <c r="AD64" s="2">
        <f t="shared" si="16"/>
        <v>0.54637347760436672</v>
      </c>
      <c r="AE64" s="2">
        <f t="shared" si="17"/>
        <v>-0.22504446144465851</v>
      </c>
    </row>
    <row r="65" spans="2:31" x14ac:dyDescent="0.2">
      <c r="B65" s="1">
        <f>[1]FormattedData!A45</f>
        <v>208</v>
      </c>
      <c r="C65" s="1" t="str">
        <f>VLOOKUP($B65,[1]TrtCodes!$B$11:I88,2)</f>
        <v>FSL</v>
      </c>
      <c r="D65" s="1">
        <f>VLOOKUP($B65,[1]TrtCodes!$B$11:J88,3)</f>
        <v>2</v>
      </c>
      <c r="E65" s="1">
        <f>VLOOKUP($B65,[1]TrtCodes!$B$11:K88,4)</f>
        <v>1</v>
      </c>
      <c r="F65" s="1">
        <f>VLOOKUP($B65,[1]TrtCodes!$B$11:L88,5)</f>
        <v>1</v>
      </c>
      <c r="G65" s="1">
        <f>VLOOKUP($B65,[1]TrtCodes!$B$11:M88,6)</f>
        <v>1</v>
      </c>
      <c r="H65" s="1">
        <f>VLOOKUP($B65,[1]TrtCodes!$B$11:N88,7)</f>
        <v>2</v>
      </c>
      <c r="I65" s="1">
        <f>[1]FormattedData!B45</f>
        <v>2</v>
      </c>
      <c r="J65" s="4">
        <f>[1]FormattedData!C45</f>
        <v>13.119</v>
      </c>
      <c r="K65" s="6">
        <f>$J$3+[1]FormattedData!D45*$J$4+$M$4*$J$5+[1]FormattedData!D45^2*$J$6+$M$5*$J$7</f>
        <v>27.811656795167501</v>
      </c>
      <c r="L65" s="6">
        <f>$J$3+[1]FormattedData!E45*$J$4+$M$4*$J$5+[1]FormattedData!E45^2*$J$6+$M$5*$J$7</f>
        <v>27.909907749941812</v>
      </c>
      <c r="M65" s="6">
        <f>$J$3+[1]FormattedData!F45*$J$4+$M$4*$J$5+[1]FormattedData!F45^2*$J$6+$M$5*$J$7</f>
        <v>30.255250103145961</v>
      </c>
      <c r="N65" s="6">
        <f>$J$3+[1]FormattedData!G45*$J$4+$M$4*$J$5+[1]FormattedData!G45^2*$J$6+$M$5*$J$7</f>
        <v>28.106282853876646</v>
      </c>
      <c r="O65" s="6">
        <f>$J$3+[1]FormattedData!H45*$J$4+$M$4*$J$5+[1]FormattedData!H45^2*$J$6+$M$5*$J$7</f>
        <v>29.671197015893199</v>
      </c>
      <c r="P65" s="6">
        <f>$J$3+[1]FormattedData!I45*$J$4+$M$4*$J$5+[1]FormattedData!I45^2*$J$6+$M$5*$J$7</f>
        <v>28.498525839291133</v>
      </c>
      <c r="Q65" s="6">
        <f>$J$3+[1]FormattedData!J45*$J$4+$M$4*$J$5+[1]FormattedData!J45^2*$J$6+$M$5*$J$7</f>
        <v>28.008116436178195</v>
      </c>
      <c r="R65" s="6">
        <f>$J$3+[1]FormattedData!K45*$J$4+$M$4*$J$5+[1]FormattedData!K45^2*$J$6+$M$5*$J$7</f>
        <v>27.909907749941812</v>
      </c>
      <c r="S65" s="6">
        <f>$J$3+[1]FormattedData!L45*$J$4+$M$4*$J$5+[1]FormattedData!L45^2*$J$6+$M$5*$J$7</f>
        <v>27.909907749941812</v>
      </c>
      <c r="T65" s="6">
        <f>$J$3+[1]FormattedData!M45*$J$4+$M$4*$J$5+[1]FormattedData!M45^2*$J$6+$M$5*$J$7</f>
        <v>27.516650319616978</v>
      </c>
      <c r="U65" s="6">
        <f>$J$3+[1]FormattedData!N45*$J$4+$M$4*$J$5+[1]FormattedData!N45^2*$J$6+$M$5*$J$7</f>
        <v>29.671197015893199</v>
      </c>
      <c r="V65" s="6">
        <f>$J$3+[1]FormattedData!O45*$J$4+$M$4*$J$5+[1]FormattedData!O45^2*$J$6+$M$5*$J$7</f>
        <v>27.221263427225075</v>
      </c>
      <c r="W65" s="5">
        <f t="shared" si="9"/>
        <v>28.374155254676111</v>
      </c>
      <c r="X65" s="4">
        <f t="shared" si="10"/>
        <v>0.27732237838562579</v>
      </c>
      <c r="Y65" s="3">
        <f t="shared" si="11"/>
        <v>27.221263427225075</v>
      </c>
      <c r="Z65" s="2">
        <f t="shared" si="12"/>
        <v>27.885345011248234</v>
      </c>
      <c r="AA65" s="3">
        <f t="shared" si="13"/>
        <v>27.959012093060004</v>
      </c>
      <c r="AB65" s="2">
        <f t="shared" si="14"/>
        <v>28.79169363344165</v>
      </c>
      <c r="AC65" s="2">
        <f t="shared" si="15"/>
        <v>30.255250103145961</v>
      </c>
      <c r="AD65" s="2">
        <f t="shared" si="16"/>
        <v>1.0228629120067227</v>
      </c>
      <c r="AE65" s="2">
        <f t="shared" si="17"/>
        <v>-0.19414084127051368</v>
      </c>
    </row>
    <row r="66" spans="2:31" x14ac:dyDescent="0.2">
      <c r="B66" s="1">
        <f>[1]FormattedData!A63</f>
        <v>301</v>
      </c>
      <c r="C66" s="1" t="str">
        <f>VLOOKUP($B66,[1]TrtCodes!$B$11:I106,2)</f>
        <v>NTL</v>
      </c>
      <c r="D66" s="1">
        <f>VLOOKUP($B66,[1]TrtCodes!$B$11:J106,3)</f>
        <v>10</v>
      </c>
      <c r="E66" s="1">
        <f>VLOOKUP($B66,[1]TrtCodes!$B$11:K106,4)</f>
        <v>2</v>
      </c>
      <c r="F66" s="1">
        <f>VLOOKUP($B66,[1]TrtCodes!$B$11:L106,5)</f>
        <v>2</v>
      </c>
      <c r="G66" s="1">
        <f>VLOOKUP($B66,[1]TrtCodes!$B$11:M106,6)</f>
        <v>1</v>
      </c>
      <c r="H66" s="1">
        <f>VLOOKUP($B66,[1]TrtCodes!$B$11:N106,7)</f>
        <v>3</v>
      </c>
      <c r="I66" s="1">
        <f>[1]FormattedData!B63</f>
        <v>2</v>
      </c>
      <c r="J66" s="4">
        <f>[1]FormattedData!C63</f>
        <v>13.23</v>
      </c>
      <c r="K66" s="6">
        <f>$J$3+[1]FormattedData!D63*$J$4+$M$4*$J$5+[1]FormattedData!D63^2*$J$6+$M$5*$J$7</f>
        <v>29.280982920299412</v>
      </c>
      <c r="L66" s="6">
        <f>$J$3+[1]FormattedData!E63*$J$4+$M$4*$J$5+[1]FormattedData!E63^2*$J$6+$M$5*$J$7</f>
        <v>29.86605045246251</v>
      </c>
      <c r="M66" s="6">
        <f>$J$3+[1]FormattedData!F63*$J$4+$M$4*$J$5+[1]FormattedData!F63^2*$J$6+$M$5*$J$7</f>
        <v>30.158013593281993</v>
      </c>
      <c r="N66" s="6">
        <f>$J$3+[1]FormattedData!G63*$J$4+$M$4*$J$5+[1]FormattedData!G63^2*$J$6+$M$5*$J$7</f>
        <v>28.596480914299924</v>
      </c>
      <c r="O66" s="6">
        <f>$J$3+[1]FormattedData!H63*$J$4+$M$4*$J$5+[1]FormattedData!H63^2*$J$6+$M$5*$J$7</f>
        <v>29.476174505172168</v>
      </c>
      <c r="P66" s="6">
        <f>$J$3+[1]FormattedData!I63*$J$4+$M$4*$J$5+[1]FormattedData!I63^2*$J$6+$M$5*$J$7</f>
        <v>29.573706894801653</v>
      </c>
      <c r="Q66" s="6">
        <f>$J$3+[1]FormattedData!J63*$J$4+$M$4*$J$5+[1]FormattedData!J63^2*$J$6+$M$5*$J$7</f>
        <v>29.963413767940274</v>
      </c>
      <c r="R66" s="6">
        <f>$J$3+[1]FormattedData!K63*$J$4+$M$4*$J$5+[1]FormattedData!K63^2*$J$6+$M$5*$J$7</f>
        <v>29.085622261274928</v>
      </c>
      <c r="S66" s="6">
        <f>$J$3+[1]FormattedData!L63*$J$4+$M$4*$J$5+[1]FormattedData!L63^2*$J$6+$M$5*$J$7</f>
        <v>30.060734814880096</v>
      </c>
      <c r="T66" s="6">
        <f>$J$3+[1]FormattedData!M63*$J$4+$M$4*$J$5+[1]FormattedData!M63^2*$J$6+$M$5*$J$7</f>
        <v>29.768644868446824</v>
      </c>
      <c r="U66" s="6">
        <f>$J$3+[1]FormattedData!N63*$J$4+$M$4*$J$5+[1]FormattedData!N63^2*$J$6+$M$5*$J$7</f>
        <v>30.352444344471991</v>
      </c>
      <c r="V66" s="6">
        <f>$J$3+[1]FormattedData!O63*$J$4+$M$4*$J$5+[1]FormattedData!O63^2*$J$6+$M$5*$J$7</f>
        <v>29.280982920299412</v>
      </c>
      <c r="W66" s="5">
        <f t="shared" si="9"/>
        <v>29.62193768813593</v>
      </c>
      <c r="X66" s="4">
        <f t="shared" si="10"/>
        <v>0.14581405436528586</v>
      </c>
      <c r="Y66" s="3">
        <f t="shared" si="11"/>
        <v>28.596480914299924</v>
      </c>
      <c r="Z66" s="2">
        <f t="shared" si="12"/>
        <v>29.280982920299412</v>
      </c>
      <c r="AA66" s="3">
        <f t="shared" si="13"/>
        <v>29.671175881624237</v>
      </c>
      <c r="AB66" s="2">
        <f t="shared" si="14"/>
        <v>29.98774402967523</v>
      </c>
      <c r="AC66" s="2">
        <f t="shared" si="15"/>
        <v>30.352444344471991</v>
      </c>
      <c r="AD66" s="2">
        <f t="shared" si="16"/>
        <v>-0.53259170014632451</v>
      </c>
      <c r="AE66" s="2">
        <f t="shared" si="17"/>
        <v>-6.8231696248280738E-2</v>
      </c>
    </row>
    <row r="67" spans="2:31" x14ac:dyDescent="0.2">
      <c r="B67" s="1">
        <f>[1]FormattedData!A65</f>
        <v>302</v>
      </c>
      <c r="C67" s="1" t="str">
        <f>VLOOKUP($B67,[1]TrtCodes!$B$11:I108,2)</f>
        <v>FTL</v>
      </c>
      <c r="D67" s="1">
        <f>VLOOKUP($B67,[1]TrtCodes!$B$11:J108,3)</f>
        <v>4</v>
      </c>
      <c r="E67" s="1">
        <f>VLOOKUP($B67,[1]TrtCodes!$B$11:K108,4)</f>
        <v>1</v>
      </c>
      <c r="F67" s="1">
        <f>VLOOKUP($B67,[1]TrtCodes!$B$11:L108,5)</f>
        <v>2</v>
      </c>
      <c r="G67" s="1">
        <f>VLOOKUP($B67,[1]TrtCodes!$B$11:M108,6)</f>
        <v>1</v>
      </c>
      <c r="H67" s="1">
        <f>VLOOKUP($B67,[1]TrtCodes!$B$11:N108,7)</f>
        <v>3</v>
      </c>
      <c r="I67" s="1">
        <f>[1]FormattedData!B65</f>
        <v>2</v>
      </c>
      <c r="J67" s="4">
        <f>[1]FormattedData!C65</f>
        <v>13.244999999999999</v>
      </c>
      <c r="K67" s="6">
        <f>$J$3+[1]FormattedData!D65*$J$4+$M$4*$J$5+[1]FormattedData!D65^2*$J$6+$M$5*$J$7</f>
        <v>30.352444344471991</v>
      </c>
      <c r="L67" s="6">
        <f>$J$3+[1]FormattedData!E65*$J$4+$M$4*$J$5+[1]FormattedData!E65^2*$J$6+$M$5*$J$7</f>
        <v>29.378599847004754</v>
      </c>
      <c r="M67" s="6">
        <f>$J$3+[1]FormattedData!F65*$J$4+$M$4*$J$5+[1]FormattedData!F65^2*$J$6+$M$5*$J$7</f>
        <v>30.060734814880096</v>
      </c>
      <c r="N67" s="6">
        <f>$J$3+[1]FormattedData!G65*$J$4+$M$4*$J$5+[1]FormattedData!G65^2*$J$6+$M$5*$J$7</f>
        <v>28.89009252809872</v>
      </c>
      <c r="O67" s="6">
        <f>$J$3+[1]FormattedData!H65*$J$4+$M$4*$J$5+[1]FormattedData!H65^2*$J$6+$M$5*$J$7</f>
        <v>29.378599847004754</v>
      </c>
      <c r="P67" s="6">
        <f>$J$3+[1]FormattedData!I65*$J$4+$M$4*$J$5+[1]FormattedData!I65^2*$J$6+$M$5*$J$7</f>
        <v>29.86605045246251</v>
      </c>
      <c r="Q67" s="6">
        <f>$J$3+[1]FormattedData!J65*$J$4+$M$4*$J$5+[1]FormattedData!J65^2*$J$6+$M$5*$J$7</f>
        <v>29.963413767940274</v>
      </c>
      <c r="R67" s="6">
        <f>$J$3+[1]FormattedData!K65*$J$4+$M$4*$J$5+[1]FormattedData!K65^2*$J$6+$M$5*$J$7</f>
        <v>29.476174505172168</v>
      </c>
      <c r="S67" s="6">
        <f>$J$3+[1]FormattedData!L65*$J$4+$M$4*$J$5+[1]FormattedData!L65^2*$J$6+$M$5*$J$7</f>
        <v>30.643773457222505</v>
      </c>
      <c r="T67" s="6">
        <f>$J$3+[1]FormattedData!M65*$J$4+$M$4*$J$5+[1]FormattedData!M65^2*$J$6+$M$5*$J$7</f>
        <v>29.378599847004754</v>
      </c>
      <c r="U67" s="6">
        <f>$J$3+[1]FormattedData!N65*$J$4+$M$4*$J$5+[1]FormattedData!N65^2*$J$6+$M$5*$J$7</f>
        <v>29.378599847004754</v>
      </c>
      <c r="V67" s="6">
        <f>$J$3+[1]FormattedData!O65*$J$4+$M$4*$J$5+[1]FormattedData!O65^2*$J$6+$M$5*$J$7</f>
        <v>28.498525839291133</v>
      </c>
      <c r="W67" s="5">
        <f t="shared" si="9"/>
        <v>29.605467424796529</v>
      </c>
      <c r="X67" s="4">
        <f t="shared" si="10"/>
        <v>0.17405643019720088</v>
      </c>
      <c r="Y67" s="3">
        <f t="shared" si="11"/>
        <v>28.498525839291133</v>
      </c>
      <c r="Z67" s="2">
        <f t="shared" si="12"/>
        <v>29.378599847004754</v>
      </c>
      <c r="AA67" s="3">
        <f t="shared" si="13"/>
        <v>29.427387176088459</v>
      </c>
      <c r="AB67" s="2">
        <f t="shared" si="14"/>
        <v>29.98774402967523</v>
      </c>
      <c r="AC67" s="2">
        <f t="shared" si="15"/>
        <v>30.643773457222505</v>
      </c>
      <c r="AD67" s="2">
        <f t="shared" si="16"/>
        <v>-3.8438838254276866E-2</v>
      </c>
      <c r="AE67" s="2">
        <f t="shared" si="17"/>
        <v>-8.4892071070157282E-2</v>
      </c>
    </row>
    <row r="68" spans="2:31" x14ac:dyDescent="0.2">
      <c r="B68" s="1">
        <f>[1]FormattedData!A67</f>
        <v>303</v>
      </c>
      <c r="C68" s="1" t="str">
        <f>VLOOKUP($B68,[1]TrtCodes!$B$11:I110,2)</f>
        <v>NSL</v>
      </c>
      <c r="D68" s="1">
        <f>VLOOKUP($B68,[1]TrtCodes!$B$11:J110,3)</f>
        <v>8</v>
      </c>
      <c r="E68" s="1">
        <f>VLOOKUP($B68,[1]TrtCodes!$B$11:K110,4)</f>
        <v>2</v>
      </c>
      <c r="F68" s="1">
        <f>VLOOKUP($B68,[1]TrtCodes!$B$11:L110,5)</f>
        <v>1</v>
      </c>
      <c r="G68" s="1">
        <f>VLOOKUP($B68,[1]TrtCodes!$B$11:M110,6)</f>
        <v>1</v>
      </c>
      <c r="H68" s="1">
        <f>VLOOKUP($B68,[1]TrtCodes!$B$11:N110,7)</f>
        <v>3</v>
      </c>
      <c r="I68" s="1">
        <f>[1]FormattedData!B67</f>
        <v>2</v>
      </c>
      <c r="J68" s="4">
        <f>[1]FormattedData!C67</f>
        <v>13.260999999999999</v>
      </c>
      <c r="K68" s="6">
        <f>$J$3+[1]FormattedData!D67*$J$4+$M$4*$J$5+[1]FormattedData!D67^2*$J$6+$M$5*$J$7</f>
        <v>31.225290432199394</v>
      </c>
      <c r="L68" s="6">
        <f>$J$3+[1]FormattedData!E67*$J$4+$M$4*$J$5+[1]FormattedData!E67^2*$J$6+$M$5*$J$7</f>
        <v>30.837781523033193</v>
      </c>
      <c r="M68" s="6">
        <f>$J$3+[1]FormattedData!F67*$J$4+$M$4*$J$5+[1]FormattedData!F67^2*$J$6+$M$5*$J$7</f>
        <v>30.158013593281993</v>
      </c>
      <c r="N68" s="6">
        <f>$J$3+[1]FormattedData!G67*$J$4+$M$4*$J$5+[1]FormattedData!G67^2*$J$6+$M$5*$J$7</f>
        <v>29.768644868446824</v>
      </c>
      <c r="O68" s="6">
        <f>$J$3+[1]FormattedData!H67*$J$4+$M$4*$J$5+[1]FormattedData!H67^2*$J$6+$M$5*$J$7</f>
        <v>29.963413767940274</v>
      </c>
      <c r="P68" s="6">
        <f>$J$3+[1]FormattedData!I67*$J$4+$M$4*$J$5+[1]FormattedData!I67^2*$J$6+$M$5*$J$7</f>
        <v>28.792264258703717</v>
      </c>
      <c r="Q68" s="6">
        <f>$J$3+[1]FormattedData!J67*$J$4+$M$4*$J$5+[1]FormattedData!J67^2*$J$6+$M$5*$J$7</f>
        <v>30.449596317260099</v>
      </c>
      <c r="R68" s="6">
        <f>$J$3+[1]FormattedData!K67*$J$4+$M$4*$J$5+[1]FormattedData!K67^2*$J$6+$M$5*$J$7</f>
        <v>29.183323725056134</v>
      </c>
      <c r="S68" s="6">
        <f>$J$3+[1]FormattedData!L67*$J$4+$M$4*$J$5+[1]FormattedData!L67^2*$J$6+$M$5*$J$7</f>
        <v>30.740798624396817</v>
      </c>
      <c r="T68" s="6">
        <f>$J$3+[1]FormattedData!M67*$J$4+$M$4*$J$5+[1]FormattedData!M67^2*$J$6+$M$5*$J$7</f>
        <v>28.302488883659748</v>
      </c>
      <c r="U68" s="6">
        <f>$J$3+[1]FormattedData!N67*$J$4+$M$4*$J$5+[1]FormattedData!N67^2*$J$6+$M$5*$J$7</f>
        <v>28.98787852895579</v>
      </c>
      <c r="V68" s="6">
        <f>$J$3+[1]FormattedData!O67*$J$4+$M$4*$J$5+[1]FormattedData!O67^2*$J$6+$M$5*$J$7</f>
        <v>28.302488883659748</v>
      </c>
      <c r="W68" s="5">
        <f t="shared" si="9"/>
        <v>29.725998617216145</v>
      </c>
      <c r="X68" s="4">
        <f t="shared" si="10"/>
        <v>0.28927951955008241</v>
      </c>
      <c r="Y68" s="3">
        <f t="shared" si="11"/>
        <v>28.302488883659748</v>
      </c>
      <c r="Z68" s="2">
        <f t="shared" si="12"/>
        <v>28.938974961392773</v>
      </c>
      <c r="AA68" s="3">
        <f t="shared" si="13"/>
        <v>29.866029318193547</v>
      </c>
      <c r="AB68" s="2">
        <f t="shared" si="14"/>
        <v>30.522396894044277</v>
      </c>
      <c r="AC68" s="2">
        <f t="shared" si="15"/>
        <v>31.225290432199394</v>
      </c>
      <c r="AD68" s="2">
        <f t="shared" si="16"/>
        <v>-9.5693645550252671E-2</v>
      </c>
      <c r="AE68" s="2">
        <f t="shared" si="17"/>
        <v>-1.3284810636812479</v>
      </c>
    </row>
    <row r="69" spans="2:31" x14ac:dyDescent="0.2">
      <c r="B69" s="1">
        <f>[1]FormattedData!A69</f>
        <v>304</v>
      </c>
      <c r="C69" s="1" t="str">
        <f>VLOOKUP($B69,[1]TrtCodes!$B$11:I112,2)</f>
        <v>FSL</v>
      </c>
      <c r="D69" s="1">
        <f>VLOOKUP($B69,[1]TrtCodes!$B$11:J112,3)</f>
        <v>2</v>
      </c>
      <c r="E69" s="1">
        <f>VLOOKUP($B69,[1]TrtCodes!$B$11:K112,4)</f>
        <v>1</v>
      </c>
      <c r="F69" s="1">
        <f>VLOOKUP($B69,[1]TrtCodes!$B$11:L112,5)</f>
        <v>1</v>
      </c>
      <c r="G69" s="1">
        <f>VLOOKUP($B69,[1]TrtCodes!$B$11:M112,6)</f>
        <v>1</v>
      </c>
      <c r="H69" s="1">
        <f>VLOOKUP($B69,[1]TrtCodes!$B$11:N112,7)</f>
        <v>3</v>
      </c>
      <c r="I69" s="1">
        <f>[1]FormattedData!B69</f>
        <v>2</v>
      </c>
      <c r="J69" s="4">
        <f>[1]FormattedData!C69</f>
        <v>13.276999999999999</v>
      </c>
      <c r="K69" s="6">
        <f>$J$3+[1]FormattedData!D69*$J$4+$M$4*$J$5+[1]FormattedData!D69^2*$J$6+$M$5*$J$7</f>
        <v>29.378599847004754</v>
      </c>
      <c r="L69" s="6">
        <f>$J$3+[1]FormattedData!E69*$J$4+$M$4*$J$5+[1]FormattedData!E69^2*$J$6+$M$5*$J$7</f>
        <v>29.671197015893199</v>
      </c>
      <c r="M69" s="6">
        <f>$J$3+[1]FormattedData!F69*$J$4+$M$4*$J$5+[1]FormattedData!F69^2*$J$6+$M$5*$J$7</f>
        <v>29.963413767940274</v>
      </c>
      <c r="N69" s="6">
        <f>$J$3+[1]FormattedData!G69*$J$4+$M$4*$J$5+[1]FormattedData!G69^2*$J$6+$M$5*$J$7</f>
        <v>28.98787852895579</v>
      </c>
      <c r="O69" s="6">
        <f>$J$3+[1]FormattedData!H69*$J$4+$M$4*$J$5+[1]FormattedData!H69^2*$J$6+$M$5*$J$7</f>
        <v>28.792264258703717</v>
      </c>
      <c r="P69" s="6">
        <f>$J$3+[1]FormattedData!I69*$J$4+$M$4*$J$5+[1]FormattedData!I69^2*$J$6+$M$5*$J$7</f>
        <v>28.89009252809872</v>
      </c>
      <c r="Q69" s="6">
        <f>$J$3+[1]FormattedData!J69*$J$4+$M$4*$J$5+[1]FormattedData!J69^2*$J$6+$M$5*$J$7</f>
        <v>28.89009252809872</v>
      </c>
      <c r="R69" s="6">
        <f>$J$3+[1]FormattedData!K69*$J$4+$M$4*$J$5+[1]FormattedData!K69^2*$J$6+$M$5*$J$7</f>
        <v>27.909907749941812</v>
      </c>
      <c r="S69" s="6">
        <f>$J$3+[1]FormattedData!L69*$J$4+$M$4*$J$5+[1]FormattedData!L69^2*$J$6+$M$5*$J$7</f>
        <v>29.378599847004754</v>
      </c>
      <c r="T69" s="6">
        <f>$J$3+[1]FormattedData!M69*$J$4+$M$4*$J$5+[1]FormattedData!M69^2*$J$6+$M$5*$J$7</f>
        <v>31.418791275554909</v>
      </c>
      <c r="U69" s="6">
        <f>$J$3+[1]FormattedData!N69*$J$4+$M$4*$J$5+[1]FormattedData!N69^2*$J$6+$M$5*$J$7</f>
        <v>30.643773457222505</v>
      </c>
      <c r="V69" s="6">
        <f>$J$3+[1]FormattedData!O69*$J$4+$M$4*$J$5+[1]FormattedData!O69^2*$J$6+$M$5*$J$7</f>
        <v>28.694393720770787</v>
      </c>
      <c r="W69" s="5">
        <f t="shared" si="9"/>
        <v>29.384917043765828</v>
      </c>
      <c r="X69" s="4">
        <f t="shared" si="10"/>
        <v>0.27232323627016258</v>
      </c>
      <c r="Y69" s="3">
        <f t="shared" si="11"/>
        <v>27.909907749941812</v>
      </c>
      <c r="Z69" s="2">
        <f t="shared" si="12"/>
        <v>28.865635460749971</v>
      </c>
      <c r="AA69" s="3">
        <f t="shared" si="13"/>
        <v>29.18323918798027</v>
      </c>
      <c r="AB69" s="2">
        <f t="shared" si="14"/>
        <v>29.744251203904966</v>
      </c>
      <c r="AC69" s="2">
        <f t="shared" si="15"/>
        <v>31.418791275554909</v>
      </c>
      <c r="AD69" s="2">
        <f t="shared" si="16"/>
        <v>0.85426141514605169</v>
      </c>
      <c r="AE69" s="2">
        <f t="shared" si="17"/>
        <v>0.93511680237580919</v>
      </c>
    </row>
    <row r="70" spans="2:31" x14ac:dyDescent="0.2">
      <c r="B70" s="1">
        <f>[1]FormattedData!A71</f>
        <v>305</v>
      </c>
      <c r="C70" s="1" t="str">
        <f>VLOOKUP($B70,[1]TrtCodes!$B$11:I114,2)</f>
        <v>NDH</v>
      </c>
      <c r="D70" s="1">
        <f>VLOOKUP($B70,[1]TrtCodes!$B$11:J114,3)</f>
        <v>11</v>
      </c>
      <c r="E70" s="1">
        <f>VLOOKUP($B70,[1]TrtCodes!$B$11:K114,4)</f>
        <v>2</v>
      </c>
      <c r="F70" s="1">
        <f>VLOOKUP($B70,[1]TrtCodes!$B$11:L114,5)</f>
        <v>3</v>
      </c>
      <c r="G70" s="1">
        <f>VLOOKUP($B70,[1]TrtCodes!$B$11:M114,6)</f>
        <v>2</v>
      </c>
      <c r="H70" s="1">
        <f>VLOOKUP($B70,[1]TrtCodes!$B$11:N114,7)</f>
        <v>4</v>
      </c>
      <c r="I70" s="1">
        <f>[1]FormattedData!B71</f>
        <v>2</v>
      </c>
      <c r="J70" s="4">
        <f>[1]FormattedData!C71</f>
        <v>13.292</v>
      </c>
      <c r="K70" s="6">
        <f>$J$3+[1]FormattedData!D71*$J$4+$M$4*$J$5+[1]FormattedData!D71^2*$J$6+$M$5*$J$7</f>
        <v>31.128476607714735</v>
      </c>
      <c r="L70" s="6">
        <f>$J$3+[1]FormattedData!E71*$J$4+$M$4*$J$5+[1]FormattedData!E71^2*$J$6+$M$5*$J$7</f>
        <v>29.573706894801653</v>
      </c>
      <c r="M70" s="6">
        <f>$J$3+[1]FormattedData!F71*$J$4+$M$4*$J$5+[1]FormattedData!F71^2*$J$6+$M$5*$J$7</f>
        <v>30.060734814880096</v>
      </c>
      <c r="N70" s="6">
        <f>$J$3+[1]FormattedData!G71*$J$4+$M$4*$J$5+[1]FormattedData!G71^2*$J$6+$M$5*$J$7</f>
        <v>30.546706021510268</v>
      </c>
      <c r="O70" s="6">
        <f>$J$3+[1]FormattedData!H71*$J$4+$M$4*$J$5+[1]FormattedData!H71^2*$J$6+$M$5*$J$7</f>
        <v>32.383759380056603</v>
      </c>
      <c r="P70" s="6">
        <f>$J$3+[1]FormattedData!I71*$J$4+$M$4*$J$5+[1]FormattedData!I71^2*$J$6+$M$5*$J$7</f>
        <v>31.418791275554909</v>
      </c>
      <c r="Q70" s="6">
        <f>$J$3+[1]FormattedData!J71*$J$4+$M$4*$J$5+[1]FormattedData!J71^2*$J$6+$M$5*$J$7</f>
        <v>32.480023713548157</v>
      </c>
      <c r="R70" s="6">
        <f>$J$3+[1]FormattedData!K71*$J$4+$M$4*$J$5+[1]FormattedData!K71^2*$J$6+$M$5*$J$7</f>
        <v>31.612123044758697</v>
      </c>
      <c r="S70" s="6">
        <f>$J$3+[1]FormattedData!L71*$J$4+$M$4*$J$5+[1]FormattedData!L71^2*$J$6+$M$5*$J$7</f>
        <v>31.901803684529895</v>
      </c>
      <c r="T70" s="6">
        <f>$J$3+[1]FormattedData!M71*$J$4+$M$4*$J$5+[1]FormattedData!M71^2*$J$6+$M$5*$J$7</f>
        <v>31.128476607714735</v>
      </c>
      <c r="U70" s="6">
        <f>$J$3+[1]FormattedData!N71*$J$4+$M$4*$J$5+[1]FormattedData!N71^2*$J$6+$M$5*$J$7</f>
        <v>30.449596317260099</v>
      </c>
      <c r="V70" s="6">
        <f>$J$3+[1]FormattedData!O71*$J$4+$M$4*$J$5+[1]FormattedData!O71^2*$J$6+$M$5*$J$7</f>
        <v>28.89009252809872</v>
      </c>
      <c r="W70" s="5">
        <f t="shared" si="9"/>
        <v>30.96452424086905</v>
      </c>
      <c r="X70" s="4">
        <f t="shared" si="10"/>
        <v>0.31817616228866136</v>
      </c>
      <c r="Y70" s="3">
        <f t="shared" si="11"/>
        <v>28.89009252809872</v>
      </c>
      <c r="Z70" s="2">
        <f t="shared" si="12"/>
        <v>30.352380941665096</v>
      </c>
      <c r="AA70" s="3">
        <f t="shared" si="13"/>
        <v>31.128476607714735</v>
      </c>
      <c r="AB70" s="2">
        <f t="shared" si="14"/>
        <v>31.684543204701498</v>
      </c>
      <c r="AC70" s="2">
        <f t="shared" si="15"/>
        <v>32.480023713548157</v>
      </c>
      <c r="AD70" s="2">
        <f t="shared" si="16"/>
        <v>-0.40964637965877465</v>
      </c>
      <c r="AE70" s="2">
        <f t="shared" si="17"/>
        <v>-0.47231496698891684</v>
      </c>
    </row>
    <row r="71" spans="2:31" x14ac:dyDescent="0.2">
      <c r="B71" s="1">
        <f>[1]FormattedData!A73</f>
        <v>306</v>
      </c>
      <c r="C71" s="1" t="str">
        <f>VLOOKUP($B71,[1]TrtCodes!$B$11:I116,2)</f>
        <v>FTL</v>
      </c>
      <c r="D71" s="1">
        <f>VLOOKUP($B71,[1]TrtCodes!$B$11:J116,3)</f>
        <v>4</v>
      </c>
      <c r="E71" s="1">
        <f>VLOOKUP($B71,[1]TrtCodes!$B$11:K116,4)</f>
        <v>1</v>
      </c>
      <c r="F71" s="1">
        <f>VLOOKUP($B71,[1]TrtCodes!$B$11:L116,5)</f>
        <v>2</v>
      </c>
      <c r="G71" s="1">
        <f>VLOOKUP($B71,[1]TrtCodes!$B$11:M116,6)</f>
        <v>1</v>
      </c>
      <c r="H71" s="1">
        <f>VLOOKUP($B71,[1]TrtCodes!$B$11:N116,7)</f>
        <v>4</v>
      </c>
      <c r="I71" s="1">
        <f>[1]FormattedData!B73</f>
        <v>2</v>
      </c>
      <c r="J71" s="4">
        <f>[1]FormattedData!C73</f>
        <v>13.305999999999999</v>
      </c>
      <c r="K71" s="6">
        <f>$J$3+[1]FormattedData!D73*$J$4+$M$4*$J$5+[1]FormattedData!D73^2*$J$6+$M$5*$J$7</f>
        <v>31.128476607714735</v>
      </c>
      <c r="L71" s="6">
        <f>$J$3+[1]FormattedData!E73*$J$4+$M$4*$J$5+[1]FormattedData!E73^2*$J$6+$M$5*$J$7</f>
        <v>28.89009252809872</v>
      </c>
      <c r="M71" s="6">
        <f>$J$3+[1]FormattedData!F73*$J$4+$M$4*$J$5+[1]FormattedData!F73^2*$J$6+$M$5*$J$7</f>
        <v>30.740798624396817</v>
      </c>
      <c r="N71" s="6">
        <f>$J$3+[1]FormattedData!G73*$J$4+$M$4*$J$5+[1]FormattedData!G73^2*$J$6+$M$5*$J$7</f>
        <v>30.158013593281993</v>
      </c>
      <c r="O71" s="6">
        <f>$J$3+[1]FormattedData!H73*$J$4+$M$4*$J$5+[1]FormattedData!H73^2*$J$6+$M$5*$J$7</f>
        <v>31.225290432199394</v>
      </c>
      <c r="P71" s="6">
        <f>$J$3+[1]FormattedData!I73*$J$4+$M$4*$J$5+[1]FormattedData!I73^2*$J$6+$M$5*$J$7</f>
        <v>31.225290432199394</v>
      </c>
      <c r="Q71" s="6">
        <f>$J$3+[1]FormattedData!J73*$J$4+$M$4*$J$5+[1]FormattedData!J73^2*$J$6+$M$5*$J$7</f>
        <v>29.573706894801653</v>
      </c>
      <c r="R71" s="6">
        <f>$J$3+[1]FormattedData!K73*$J$4+$M$4*$J$5+[1]FormattedData!K73^2*$J$6+$M$5*$J$7</f>
        <v>29.085622261274928</v>
      </c>
      <c r="S71" s="6">
        <f>$J$3+[1]FormattedData!L73*$J$4+$M$4*$J$5+[1]FormattedData!L73^2*$J$6+$M$5*$J$7</f>
        <v>27.909907749941812</v>
      </c>
      <c r="T71" s="6">
        <f>$J$3+[1]FormattedData!M73*$J$4+$M$4*$J$5+[1]FormattedData!M73^2*$J$6+$M$5*$J$7</f>
        <v>29.573706894801653</v>
      </c>
      <c r="U71" s="6">
        <f>$J$3+[1]FormattedData!N73*$J$4+$M$4*$J$5+[1]FormattedData!N73^2*$J$6+$M$5*$J$7</f>
        <v>28.89009252809872</v>
      </c>
      <c r="V71" s="6">
        <f>$J$3+[1]FormattedData!O73*$J$4+$M$4*$J$5+[1]FormattedData!O73^2*$J$6+$M$5*$J$7</f>
        <v>26.925496117991791</v>
      </c>
      <c r="W71" s="5">
        <f t="shared" si="9"/>
        <v>29.610541222066797</v>
      </c>
      <c r="X71" s="4">
        <f t="shared" si="10"/>
        <v>0.39422087679422951</v>
      </c>
      <c r="Y71" s="3">
        <f t="shared" si="11"/>
        <v>26.925496117991791</v>
      </c>
      <c r="Z71" s="2">
        <f t="shared" si="12"/>
        <v>28.89009252809872</v>
      </c>
      <c r="AA71" s="3">
        <f t="shared" si="13"/>
        <v>29.573706894801653</v>
      </c>
      <c r="AB71" s="2">
        <f t="shared" si="14"/>
        <v>30.837718120226295</v>
      </c>
      <c r="AC71" s="2">
        <f t="shared" si="15"/>
        <v>31.225290432199394</v>
      </c>
      <c r="AD71" s="2">
        <f t="shared" si="16"/>
        <v>-0.49871537633618307</v>
      </c>
      <c r="AE71" s="2">
        <f t="shared" si="17"/>
        <v>-0.33699202397451211</v>
      </c>
    </row>
    <row r="72" spans="2:31" x14ac:dyDescent="0.2">
      <c r="B72" s="1">
        <f>[1]FormattedData!A75</f>
        <v>307</v>
      </c>
      <c r="C72" s="1" t="str">
        <f>VLOOKUP($B72,[1]TrtCodes!$B$11:I118,2)</f>
        <v>NTH</v>
      </c>
      <c r="D72" s="1">
        <f>VLOOKUP($B72,[1]TrtCodes!$B$11:J118,3)</f>
        <v>9</v>
      </c>
      <c r="E72" s="1">
        <f>VLOOKUP($B72,[1]TrtCodes!$B$11:K118,4)</f>
        <v>2</v>
      </c>
      <c r="F72" s="1">
        <f>VLOOKUP($B72,[1]TrtCodes!$B$11:L118,5)</f>
        <v>2</v>
      </c>
      <c r="G72" s="1">
        <f>VLOOKUP($B72,[1]TrtCodes!$B$11:M118,6)</f>
        <v>2</v>
      </c>
      <c r="H72" s="1">
        <f>VLOOKUP($B72,[1]TrtCodes!$B$11:N118,7)</f>
        <v>4</v>
      </c>
      <c r="I72" s="1">
        <f>[1]FormattedData!B75</f>
        <v>2</v>
      </c>
      <c r="J72" s="4">
        <f>[1]FormattedData!C75</f>
        <v>13.321999999999999</v>
      </c>
      <c r="K72" s="6">
        <f>$J$3+[1]FormattedData!D75*$J$4+$M$4*$J$5+[1]FormattedData!D75^2*$J$6+$M$5*$J$7</f>
        <v>30.255250103145961</v>
      </c>
      <c r="L72" s="6">
        <f>$J$3+[1]FormattedData!E75*$J$4+$M$4*$J$5+[1]FormattedData!E75^2*$J$6+$M$5*$J$7</f>
        <v>28.008116436178195</v>
      </c>
      <c r="M72" s="6">
        <f>$J$3+[1]FormattedData!F75*$J$4+$M$4*$J$5+[1]FormattedData!F75^2*$J$6+$M$5*$J$7</f>
        <v>30.352444344471991</v>
      </c>
      <c r="N72" s="6">
        <f>$J$3+[1]FormattedData!G75*$J$4+$M$4*$J$5+[1]FormattedData!G75^2*$J$6+$M$5*$J$7</f>
        <v>27.811656795167501</v>
      </c>
      <c r="O72" s="6">
        <f>$J$3+[1]FormattedData!H75*$J$4+$M$4*$J$5+[1]FormattedData!H75^2*$J$6+$M$5*$J$7</f>
        <v>30.060734814880096</v>
      </c>
      <c r="P72" s="6">
        <f>$J$3+[1]FormattedData!I75*$J$4+$M$4*$J$5+[1]FormattedData!I75^2*$J$6+$M$5*$J$7</f>
        <v>29.963413767940274</v>
      </c>
      <c r="Q72" s="6">
        <f>$J$3+[1]FormattedData!J75*$J$4+$M$4*$J$5+[1]FormattedData!J75^2*$J$6+$M$5*$J$7</f>
        <v>30.352444344471991</v>
      </c>
      <c r="R72" s="6">
        <f>$J$3+[1]FormattedData!K75*$J$4+$M$4*$J$5+[1]FormattedData!K75^2*$J$6+$M$5*$J$7</f>
        <v>27.122716592685251</v>
      </c>
      <c r="S72" s="6">
        <f>$J$3+[1]FormattedData!L75*$J$4+$M$4*$J$5+[1]FormattedData!L75^2*$J$6+$M$5*$J$7</f>
        <v>28.694393720770787</v>
      </c>
      <c r="T72" s="6">
        <f>$J$3+[1]FormattedData!M75*$J$4+$M$4*$J$5+[1]FormattedData!M75^2*$J$6+$M$5*$J$7</f>
        <v>29.476174505172168</v>
      </c>
      <c r="U72" s="6">
        <f>$J$3+[1]FormattedData!N75*$J$4+$M$4*$J$5+[1]FormattedData!N75^2*$J$6+$M$5*$J$7</f>
        <v>28.792264258703717</v>
      </c>
      <c r="V72" s="6">
        <f>$J$3+[1]FormattedData!O75*$J$4+$M$4*$J$5+[1]FormattedData!O75^2*$J$6+$M$5*$J$7</f>
        <v>28.694393720770787</v>
      </c>
      <c r="W72" s="5">
        <f t="shared" si="9"/>
        <v>29.132000283696559</v>
      </c>
      <c r="X72" s="4">
        <f t="shared" si="10"/>
        <v>0.3192672959846668</v>
      </c>
      <c r="Y72" s="3">
        <f t="shared" si="11"/>
        <v>27.122716592685251</v>
      </c>
      <c r="Z72" s="2">
        <f t="shared" si="12"/>
        <v>28.522824399622639</v>
      </c>
      <c r="AA72" s="3">
        <f t="shared" si="13"/>
        <v>29.134219381937942</v>
      </c>
      <c r="AB72" s="2">
        <f t="shared" si="14"/>
        <v>30.109363636946561</v>
      </c>
      <c r="AC72" s="2">
        <f t="shared" si="15"/>
        <v>30.352444344471991</v>
      </c>
      <c r="AD72" s="2">
        <f t="shared" si="16"/>
        <v>-0.44922252665489765</v>
      </c>
      <c r="AE72" s="2">
        <f t="shared" si="17"/>
        <v>-1.0543446422454648</v>
      </c>
    </row>
    <row r="73" spans="2:31" x14ac:dyDescent="0.2">
      <c r="B73" s="1">
        <f>[1]FormattedData!A77</f>
        <v>308</v>
      </c>
      <c r="C73" s="1" t="str">
        <f>VLOOKUP($B73,[1]TrtCodes!$B$11:I120,2)</f>
        <v>FDH</v>
      </c>
      <c r="D73" s="1">
        <f>VLOOKUP($B73,[1]TrtCodes!$B$11:J120,3)</f>
        <v>5</v>
      </c>
      <c r="E73" s="1">
        <f>VLOOKUP($B73,[1]TrtCodes!$B$11:K120,4)</f>
        <v>1</v>
      </c>
      <c r="F73" s="1">
        <f>VLOOKUP($B73,[1]TrtCodes!$B$11:L120,5)</f>
        <v>3</v>
      </c>
      <c r="G73" s="1">
        <f>VLOOKUP($B73,[1]TrtCodes!$B$11:M120,6)</f>
        <v>2</v>
      </c>
      <c r="H73" s="1">
        <f>VLOOKUP($B73,[1]TrtCodes!$B$11:N120,7)</f>
        <v>4</v>
      </c>
      <c r="I73" s="1">
        <f>[1]FormattedData!B77</f>
        <v>2</v>
      </c>
      <c r="J73" s="4">
        <f>[1]FormattedData!C77</f>
        <v>13.337</v>
      </c>
      <c r="K73" s="6">
        <f>$J$3+[1]FormattedData!D77*$J$4+$M$4*$J$5+[1]FormattedData!D77^2*$J$6+$M$5*$J$7</f>
        <v>29.768644868446824</v>
      </c>
      <c r="L73" s="6">
        <f>$J$3+[1]FormattedData!E77*$J$4+$M$4*$J$5+[1]FormattedData!E77^2*$J$6+$M$5*$J$7</f>
        <v>31.32206198814611</v>
      </c>
      <c r="M73" s="6">
        <f>$J$3+[1]FormattedData!F77*$J$4+$M$4*$J$5+[1]FormattedData!F77^2*$J$6+$M$5*$J$7</f>
        <v>32.09471276835437</v>
      </c>
      <c r="N73" s="6">
        <f>$J$3+[1]FormattedData!G77*$J$4+$M$4*$J$5+[1]FormattedData!G77^2*$J$6+$M$5*$J$7</f>
        <v>30.449596317260099</v>
      </c>
      <c r="O73" s="6">
        <f>$J$3+[1]FormattedData!H77*$J$4+$M$4*$J$5+[1]FormattedData!H77^2*$J$6+$M$5*$J$7</f>
        <v>32.09471276835437</v>
      </c>
      <c r="P73" s="6">
        <f>$J$3+[1]FormattedData!I77*$J$4+$M$4*$J$5+[1]FormattedData!I77^2*$J$6+$M$5*$J$7</f>
        <v>31.128476607714735</v>
      </c>
      <c r="Q73" s="6">
        <f>$J$3+[1]FormattedData!J77*$J$4+$M$4*$J$5+[1]FormattedData!J77^2*$J$6+$M$5*$J$7</f>
        <v>33.536141658451726</v>
      </c>
      <c r="R73" s="6">
        <f>$J$3+[1]FormattedData!K77*$J$4+$M$4*$J$5+[1]FormattedData!K77^2*$J$6+$M$5*$J$7</f>
        <v>30.255250103145961</v>
      </c>
      <c r="S73" s="6">
        <f>$J$3+[1]FormattedData!L77*$J$4+$M$4*$J$5+[1]FormattedData!L77^2*$J$6+$M$5*$J$7</f>
        <v>30.060734814880096</v>
      </c>
      <c r="T73" s="6">
        <f>$J$3+[1]FormattedData!M77*$J$4+$M$4*$J$5+[1]FormattedData!M77^2*$J$6+$M$5*$J$7</f>
        <v>29.476174505172168</v>
      </c>
      <c r="U73" s="6">
        <f>$J$3+[1]FormattedData!N77*$J$4+$M$4*$J$5+[1]FormattedData!N77^2*$J$6+$M$5*$J$7</f>
        <v>30.837781523033193</v>
      </c>
      <c r="V73" s="6">
        <f>$J$3+[1]FormattedData!O77*$J$4+$M$4*$J$5+[1]FormattedData!O77^2*$J$6+$M$5*$J$7</f>
        <v>30.060734814880096</v>
      </c>
      <c r="W73" s="5">
        <f t="shared" si="9"/>
        <v>30.923751894819976</v>
      </c>
      <c r="X73" s="4">
        <f t="shared" si="10"/>
        <v>0.34118666261255898</v>
      </c>
      <c r="Y73" s="3">
        <f t="shared" si="11"/>
        <v>29.476174505172168</v>
      </c>
      <c r="Z73" s="2">
        <f t="shared" si="12"/>
        <v>30.060734814880096</v>
      </c>
      <c r="AA73" s="3">
        <f t="shared" si="13"/>
        <v>30.643688920146644</v>
      </c>
      <c r="AB73" s="2">
        <f t="shared" si="14"/>
        <v>31.515224683198177</v>
      </c>
      <c r="AC73" s="2">
        <f t="shared" si="15"/>
        <v>33.536141658451726</v>
      </c>
      <c r="AD73" s="2">
        <f t="shared" si="16"/>
        <v>0.98090618327529777</v>
      </c>
      <c r="AE73" s="2">
        <f t="shared" si="17"/>
        <v>0.64170147032822999</v>
      </c>
    </row>
    <row r="74" spans="2:31" x14ac:dyDescent="0.2">
      <c r="B74" s="1">
        <f>[1]FormattedData!A93</f>
        <v>401</v>
      </c>
      <c r="C74" s="1" t="str">
        <f>VLOOKUP($B74,[1]TrtCodes!$B$11:I130,2)</f>
        <v>NSH</v>
      </c>
      <c r="D74" s="1">
        <f>VLOOKUP($B74,[1]TrtCodes!$B$11:J130,3)</f>
        <v>7</v>
      </c>
      <c r="E74" s="1">
        <f>VLOOKUP($B74,[1]TrtCodes!$B$11:K130,4)</f>
        <v>2</v>
      </c>
      <c r="F74" s="1">
        <f>VLOOKUP($B74,[1]TrtCodes!$B$11:L130,5)</f>
        <v>1</v>
      </c>
      <c r="G74" s="1">
        <f>VLOOKUP($B74,[1]TrtCodes!$B$11:M130,6)</f>
        <v>2</v>
      </c>
      <c r="H74" s="1">
        <f>VLOOKUP($B74,[1]TrtCodes!$B$11:N130,7)</f>
        <v>3</v>
      </c>
      <c r="I74" s="1">
        <f>[1]FormattedData!B93</f>
        <v>2</v>
      </c>
      <c r="J74" s="4">
        <f>[1]FormattedData!C93</f>
        <v>13.472</v>
      </c>
      <c r="K74" s="6">
        <f>$J$3+[1]FormattedData!D93*$J$4+$M$4*$J$5+[1]FormattedData!D93^2*$J$6+$M$5*$J$7</f>
        <v>27.221263427225075</v>
      </c>
      <c r="L74" s="6">
        <f>$J$3+[1]FormattedData!E93*$J$4+$M$4*$J$5+[1]FormattedData!E93^2*$J$6+$M$5*$J$7</f>
        <v>26.826822477838171</v>
      </c>
      <c r="M74" s="6">
        <f>$J$3+[1]FormattedData!F93*$J$4+$M$4*$J$5+[1]FormattedData!F93^2*$J$6+$M$5*$J$7</f>
        <v>26.826822477838171</v>
      </c>
      <c r="N74" s="6">
        <f>$J$3+[1]FormattedData!G93*$J$4+$M$4*$J$5+[1]FormattedData!G93^2*$J$6+$M$5*$J$7</f>
        <v>26.925496117991791</v>
      </c>
      <c r="O74" s="6">
        <f>$J$3+[1]FormattedData!H93*$J$4+$M$4*$J$5+[1]FormattedData!H93^2*$J$6+$M$5*$J$7</f>
        <v>29.378599847004754</v>
      </c>
      <c r="P74" s="6">
        <f>$J$3+[1]FormattedData!I93*$J$4+$M$4*$J$5+[1]FormattedData!I93^2*$J$6+$M$5*$J$7</f>
        <v>29.86605045246251</v>
      </c>
      <c r="Q74" s="6">
        <f>$J$3+[1]FormattedData!J93*$J$4+$M$4*$J$5+[1]FormattedData!J93^2*$J$6+$M$5*$J$7</f>
        <v>29.183323725056134</v>
      </c>
      <c r="R74" s="6">
        <f>$J$3+[1]FormattedData!K93*$J$4+$M$4*$J$5+[1]FormattedData!K93^2*$J$6+$M$5*$J$7</f>
        <v>27.122716592685251</v>
      </c>
      <c r="S74" s="6">
        <f>$J$3+[1]FormattedData!L93*$J$4+$M$4*$J$5+[1]FormattedData!L93^2*$J$6+$M$5*$J$7</f>
        <v>27.713363571855258</v>
      </c>
      <c r="T74" s="6">
        <f>$J$3+[1]FormattedData!M93*$J$4+$M$4*$J$5+[1]FormattedData!M93^2*$J$6+$M$5*$J$7</f>
        <v>28.498525839291133</v>
      </c>
      <c r="U74" s="6">
        <f>$J$3+[1]FormattedData!N93*$J$4+$M$4*$J$5+[1]FormattedData!N93^2*$J$6+$M$5*$J$7</f>
        <v>27.811656795167501</v>
      </c>
      <c r="V74" s="6">
        <f>$J$3+[1]FormattedData!O93*$J$4+$M$4*$J$5+[1]FormattedData!O93^2*$J$6+$M$5*$J$7</f>
        <v>27.221263427225075</v>
      </c>
      <c r="W74" s="5">
        <f t="shared" ref="W74:W105" si="18">AVERAGE(K74:V74)</f>
        <v>27.882992062636735</v>
      </c>
      <c r="X74" s="4">
        <f t="shared" ref="X74:X85" si="19">STDEV(K74:V74)/SQRT(COUNT(K74:V74))</f>
        <v>0.31230503326147224</v>
      </c>
      <c r="Y74" s="3">
        <f t="shared" ref="Y74:Y85" si="20">MIN(K74:V74)</f>
        <v>26.826822477838171</v>
      </c>
      <c r="Z74" s="2">
        <f t="shared" ref="Z74:Z85" si="21">QUARTILE(K74:V74,1)</f>
        <v>27.073411474011884</v>
      </c>
      <c r="AA74" s="3">
        <f t="shared" ref="AA74:AA85" si="22">MEDIAN(K74:V74)</f>
        <v>27.467313499540168</v>
      </c>
      <c r="AB74" s="2">
        <f t="shared" ref="AB74:AB85" si="23">QUARTILE(K74:V74,3)</f>
        <v>28.669725310732382</v>
      </c>
      <c r="AC74" s="2">
        <f t="shared" ref="AC74:AC85" si="24">MAX(K74:V74)</f>
        <v>29.86605045246251</v>
      </c>
      <c r="AD74" s="2">
        <f t="shared" ref="AD74:AD85" si="25">SKEW(K74:V74)</f>
        <v>0.80273935939389163</v>
      </c>
      <c r="AE74" s="2">
        <f t="shared" ref="AE74:AE85" si="26">KURT(K74:V74)</f>
        <v>-0.86789626126597508</v>
      </c>
    </row>
    <row r="75" spans="2:31" x14ac:dyDescent="0.2">
      <c r="B75" s="1">
        <f>[1]FormattedData!A91</f>
        <v>402</v>
      </c>
      <c r="C75" s="1" t="str">
        <f>VLOOKUP($B75,[1]TrtCodes!$B$11:I131,2)</f>
        <v>NTH</v>
      </c>
      <c r="D75" s="1">
        <f>VLOOKUP($B75,[1]TrtCodes!$B$11:J131,3)</f>
        <v>9</v>
      </c>
      <c r="E75" s="1">
        <f>VLOOKUP($B75,[1]TrtCodes!$B$11:K131,4)</f>
        <v>2</v>
      </c>
      <c r="F75" s="1">
        <f>VLOOKUP($B75,[1]TrtCodes!$B$11:L131,5)</f>
        <v>2</v>
      </c>
      <c r="G75" s="1">
        <f>VLOOKUP($B75,[1]TrtCodes!$B$11:M131,6)</f>
        <v>2</v>
      </c>
      <c r="H75" s="1">
        <f>VLOOKUP($B75,[1]TrtCodes!$B$11:N131,7)</f>
        <v>3</v>
      </c>
      <c r="I75" s="1">
        <f>[1]FormattedData!B91</f>
        <v>2</v>
      </c>
      <c r="J75" s="4">
        <f>[1]FormattedData!C91</f>
        <v>13.456</v>
      </c>
      <c r="K75" s="6">
        <f>$J$3+[1]FormattedData!D91*$J$4+$M$4*$J$5+[1]FormattedData!D91^2*$J$6+$M$5*$J$7</f>
        <v>28.498525839291133</v>
      </c>
      <c r="L75" s="6">
        <f>$J$3+[1]FormattedData!E91*$J$4+$M$4*$J$5+[1]FormattedData!E91^2*$J$6+$M$5*$J$7</f>
        <v>29.085622261274928</v>
      </c>
      <c r="M75" s="6">
        <f>$J$3+[1]FormattedData!F91*$J$4+$M$4*$J$5+[1]FormattedData!F91^2*$J$6+$M$5*$J$7</f>
        <v>29.573706894801653</v>
      </c>
      <c r="N75" s="6">
        <f>$J$3+[1]FormattedData!G91*$J$4+$M$4*$J$5+[1]FormattedData!G91^2*$J$6+$M$5*$J$7</f>
        <v>28.98787852895579</v>
      </c>
      <c r="O75" s="6">
        <f>$J$3+[1]FormattedData!H91*$J$4+$M$4*$J$5+[1]FormattedData!H91^2*$J$6+$M$5*$J$7</f>
        <v>29.476174505172168</v>
      </c>
      <c r="P75" s="6">
        <f>$J$3+[1]FormattedData!I91*$J$4+$M$4*$J$5+[1]FormattedData!I91^2*$J$6+$M$5*$J$7</f>
        <v>29.183323725056134</v>
      </c>
      <c r="Q75" s="6">
        <f>$J$3+[1]FormattedData!J91*$J$4+$M$4*$J$5+[1]FormattedData!J91^2*$J$6+$M$5*$J$7</f>
        <v>30.060734814880096</v>
      </c>
      <c r="R75" s="6">
        <f>$J$3+[1]FormattedData!K91*$J$4+$M$4*$J$5+[1]FormattedData!K91^2*$J$6+$M$5*$J$7</f>
        <v>27.516650319616978</v>
      </c>
      <c r="S75" s="6">
        <f>$J$3+[1]FormattedData!L91*$J$4+$M$4*$J$5+[1]FormattedData!L91^2*$J$6+$M$5*$J$7</f>
        <v>29.573706894801653</v>
      </c>
      <c r="T75" s="6">
        <f>$J$3+[1]FormattedData!M91*$J$4+$M$4*$J$5+[1]FormattedData!M91^2*$J$6+$M$5*$J$7</f>
        <v>29.183323725056134</v>
      </c>
      <c r="U75" s="6">
        <f>$J$3+[1]FormattedData!N91*$J$4+$M$4*$J$5+[1]FormattedData!N91^2*$J$6+$M$5*$J$7</f>
        <v>29.963413767940274</v>
      </c>
      <c r="V75" s="6">
        <f>$J$3+[1]FormattedData!O91*$J$4+$M$4*$J$5+[1]FormattedData!O91^2*$J$6+$M$5*$J$7</f>
        <v>28.89009252809872</v>
      </c>
      <c r="W75" s="5">
        <f t="shared" si="18"/>
        <v>29.166096150412141</v>
      </c>
      <c r="X75" s="4">
        <f t="shared" si="19"/>
        <v>0.19744324389307163</v>
      </c>
      <c r="Y75" s="3">
        <f t="shared" si="20"/>
        <v>27.516650319616978</v>
      </c>
      <c r="Z75" s="2">
        <f t="shared" si="21"/>
        <v>28.963432028741522</v>
      </c>
      <c r="AA75" s="3">
        <f t="shared" si="22"/>
        <v>29.183323725056134</v>
      </c>
      <c r="AB75" s="2">
        <f t="shared" si="23"/>
        <v>29.573706894801653</v>
      </c>
      <c r="AC75" s="2">
        <f t="shared" si="24"/>
        <v>30.060734814880096</v>
      </c>
      <c r="AD75" s="2">
        <f t="shared" si="25"/>
        <v>-1.1674527058856514</v>
      </c>
      <c r="AE75" s="2">
        <f t="shared" si="26"/>
        <v>2.2430600434964365</v>
      </c>
    </row>
    <row r="76" spans="2:31" x14ac:dyDescent="0.2">
      <c r="B76" s="1">
        <f>[1]FormattedData!A89</f>
        <v>403</v>
      </c>
      <c r="C76" s="1" t="str">
        <f>VLOOKUP($B76,[1]TrtCodes!$B$11:I132,2)</f>
        <v>FDL</v>
      </c>
      <c r="D76" s="1">
        <f>VLOOKUP($B76,[1]TrtCodes!$B$11:J132,3)</f>
        <v>6</v>
      </c>
      <c r="E76" s="1">
        <f>VLOOKUP($B76,[1]TrtCodes!$B$11:K132,4)</f>
        <v>1</v>
      </c>
      <c r="F76" s="1">
        <f>VLOOKUP($B76,[1]TrtCodes!$B$11:L132,5)</f>
        <v>3</v>
      </c>
      <c r="G76" s="1">
        <f>VLOOKUP($B76,[1]TrtCodes!$B$11:M132,6)</f>
        <v>1</v>
      </c>
      <c r="H76" s="1">
        <f>VLOOKUP($B76,[1]TrtCodes!$B$11:N132,7)</f>
        <v>3</v>
      </c>
      <c r="I76" s="1">
        <f>[1]FormattedData!B89</f>
        <v>2</v>
      </c>
      <c r="J76" s="4">
        <f>[1]FormattedData!C89</f>
        <v>13.44</v>
      </c>
      <c r="K76" s="6">
        <f>$J$3+[1]FormattedData!D89*$J$4+$M$4*$J$5+[1]FormattedData!D89^2*$J$6+$M$5*$J$7</f>
        <v>28.596480914299924</v>
      </c>
      <c r="L76" s="6">
        <f>$J$3+[1]FormattedData!E89*$J$4+$M$4*$J$5+[1]FormattedData!E89^2*$J$6+$M$5*$J$7</f>
        <v>28.106282853876646</v>
      </c>
      <c r="M76" s="6">
        <f>$J$3+[1]FormattedData!F89*$J$4+$M$4*$J$5+[1]FormattedData!F89^2*$J$6+$M$5*$J$7</f>
        <v>30.546706021510268</v>
      </c>
      <c r="N76" s="6">
        <f>$J$3+[1]FormattedData!G89*$J$4+$M$4*$J$5+[1]FormattedData!G89^2*$J$6+$M$5*$J$7</f>
        <v>28.400528495744403</v>
      </c>
      <c r="O76" s="6">
        <f>$J$3+[1]FormattedData!H89*$J$4+$M$4*$J$5+[1]FormattedData!H89^2*$J$6+$M$5*$J$7</f>
        <v>27.122716592685251</v>
      </c>
      <c r="P76" s="6">
        <f>$J$3+[1]FormattedData!I89*$J$4+$M$4*$J$5+[1]FormattedData!I89^2*$J$6+$M$5*$J$7</f>
        <v>29.671197015893199</v>
      </c>
      <c r="Q76" s="6">
        <f>$J$3+[1]FormattedData!J89*$J$4+$M$4*$J$5+[1]FormattedData!J89^2*$J$6+$M$5*$J$7</f>
        <v>30.934722153131641</v>
      </c>
      <c r="R76" s="6">
        <f>$J$3+[1]FormattedData!K89*$J$4+$M$4*$J$5+[1]FormattedData!K89^2*$J$6+$M$5*$J$7</f>
        <v>28.98787852895579</v>
      </c>
      <c r="S76" s="6">
        <f>$J$3+[1]FormattedData!L89*$J$4+$M$4*$J$5+[1]FormattedData!L89^2*$J$6+$M$5*$J$7</f>
        <v>29.378599847004754</v>
      </c>
      <c r="T76" s="6">
        <f>$J$3+[1]FormattedData!M89*$J$4+$M$4*$J$5+[1]FormattedData!M89^2*$J$6+$M$5*$J$7</f>
        <v>29.573706894801653</v>
      </c>
      <c r="U76" s="6">
        <f>$J$3+[1]FormattedData!N89*$J$4+$M$4*$J$5+[1]FormattedData!N89^2*$J$6+$M$5*$J$7</f>
        <v>28.792264258703717</v>
      </c>
      <c r="V76" s="6">
        <f>$J$3+[1]FormattedData!O89*$J$4+$M$4*$J$5+[1]FormattedData!O89^2*$J$6+$M$5*$J$7</f>
        <v>28.89009252809872</v>
      </c>
      <c r="W76" s="5">
        <f t="shared" si="18"/>
        <v>29.083431342058827</v>
      </c>
      <c r="X76" s="4">
        <f t="shared" si="19"/>
        <v>0.29994192021660093</v>
      </c>
      <c r="Y76" s="3">
        <f t="shared" si="20"/>
        <v>27.122716592685251</v>
      </c>
      <c r="Z76" s="2">
        <f t="shared" si="21"/>
        <v>28.547492809661044</v>
      </c>
      <c r="AA76" s="3">
        <f t="shared" si="22"/>
        <v>28.938985528527255</v>
      </c>
      <c r="AB76" s="2">
        <f t="shared" si="23"/>
        <v>29.598079425074538</v>
      </c>
      <c r="AC76" s="2">
        <f t="shared" si="24"/>
        <v>30.934722153131641</v>
      </c>
      <c r="AD76" s="2">
        <f t="shared" si="25"/>
        <v>8.6276243359505705E-2</v>
      </c>
      <c r="AE76" s="2">
        <f t="shared" si="26"/>
        <v>0.35920344148689853</v>
      </c>
    </row>
    <row r="77" spans="2:31" x14ac:dyDescent="0.2">
      <c r="B77" s="1">
        <f>[1]FormattedData!A87</f>
        <v>404</v>
      </c>
      <c r="C77" s="1" t="str">
        <f>VLOOKUP($B77,[1]TrtCodes!$B$11:I130,2)</f>
        <v>FTH</v>
      </c>
      <c r="D77" s="1">
        <f>VLOOKUP($B77,[1]TrtCodes!$B$11:J130,3)</f>
        <v>3</v>
      </c>
      <c r="E77" s="1">
        <f>VLOOKUP($B77,[1]TrtCodes!$B$11:K130,4)</f>
        <v>1</v>
      </c>
      <c r="F77" s="1">
        <f>VLOOKUP($B77,[1]TrtCodes!$B$11:L130,5)</f>
        <v>2</v>
      </c>
      <c r="G77" s="1">
        <f>VLOOKUP($B77,[1]TrtCodes!$B$11:M130,6)</f>
        <v>2</v>
      </c>
      <c r="H77" s="1">
        <f>VLOOKUP($B77,[1]TrtCodes!$B$11:N130,7)</f>
        <v>3</v>
      </c>
      <c r="I77" s="1">
        <f>[1]FormattedData!B87</f>
        <v>2</v>
      </c>
      <c r="J77" s="4">
        <f>[1]FormattedData!C87</f>
        <v>13.423999999999999</v>
      </c>
      <c r="K77" s="6">
        <f>$J$3+[1]FormattedData!D87*$J$4+$M$4*$J$5+[1]FormattedData!D87^2*$J$6+$M$5*$J$7</f>
        <v>29.476174505172168</v>
      </c>
      <c r="L77" s="6">
        <f>$J$3+[1]FormattedData!E87*$J$4+$M$4*$J$5+[1]FormattedData!E87^2*$J$6+$M$5*$J$7</f>
        <v>28.498525839291133</v>
      </c>
      <c r="M77" s="6">
        <f>$J$3+[1]FormattedData!F87*$J$4+$M$4*$J$5+[1]FormattedData!F87^2*$J$6+$M$5*$J$7</f>
        <v>29.085622261274928</v>
      </c>
      <c r="N77" s="6">
        <f>$J$3+[1]FormattedData!G87*$J$4+$M$4*$J$5+[1]FormattedData!G87^2*$J$6+$M$5*$J$7</f>
        <v>28.106282853876646</v>
      </c>
      <c r="O77" s="6">
        <f>$J$3+[1]FormattedData!H87*$J$4+$M$4*$J$5+[1]FormattedData!H87^2*$J$6+$M$5*$J$7</f>
        <v>29.280982920299412</v>
      </c>
      <c r="P77" s="6">
        <f>$J$3+[1]FormattedData!I87*$J$4+$M$4*$J$5+[1]FormattedData!I87^2*$J$6+$M$5*$J$7</f>
        <v>30.158013593281993</v>
      </c>
      <c r="Q77" s="6">
        <f>$J$3+[1]FormattedData!J87*$J$4+$M$4*$J$5+[1]FormattedData!J87^2*$J$6+$M$5*$J$7</f>
        <v>29.963413767940274</v>
      </c>
      <c r="R77" s="6">
        <f>$J$3+[1]FormattedData!K87*$J$4+$M$4*$J$5+[1]FormattedData!K87^2*$J$6+$M$5*$J$7</f>
        <v>27.909907749941812</v>
      </c>
      <c r="S77" s="6">
        <f>$J$3+[1]FormattedData!L87*$J$4+$M$4*$J$5+[1]FormattedData!L87^2*$J$6+$M$5*$J$7</f>
        <v>30.255250103145961</v>
      </c>
      <c r="T77" s="6">
        <f>$J$3+[1]FormattedData!M87*$J$4+$M$4*$J$5+[1]FormattedData!M87^2*$J$6+$M$5*$J$7</f>
        <v>28.204407003037161</v>
      </c>
      <c r="U77" s="6">
        <f>$J$3+[1]FormattedData!N87*$J$4+$M$4*$J$5+[1]FormattedData!N87^2*$J$6+$M$5*$J$7</f>
        <v>29.768644868446824</v>
      </c>
      <c r="V77" s="6">
        <f>$J$3+[1]FormattedData!O87*$J$4+$M$4*$J$5+[1]FormattedData!O87^2*$J$6+$M$5*$J$7</f>
        <v>28.302488883659748</v>
      </c>
      <c r="W77" s="5">
        <f t="shared" si="18"/>
        <v>29.084142862447337</v>
      </c>
      <c r="X77" s="4">
        <f t="shared" si="19"/>
        <v>0.24651651185734297</v>
      </c>
      <c r="Y77" s="3">
        <f t="shared" si="20"/>
        <v>27.909907749941812</v>
      </c>
      <c r="Z77" s="2">
        <f t="shared" si="21"/>
        <v>28.277968413504102</v>
      </c>
      <c r="AA77" s="3">
        <f t="shared" si="22"/>
        <v>29.183302590787171</v>
      </c>
      <c r="AB77" s="2">
        <f t="shared" si="23"/>
        <v>29.817337093320187</v>
      </c>
      <c r="AC77" s="2">
        <f t="shared" si="24"/>
        <v>30.255250103145961</v>
      </c>
      <c r="AD77" s="2">
        <f t="shared" si="25"/>
        <v>-7.9432046384362491E-5</v>
      </c>
      <c r="AE77" s="2">
        <f t="shared" si="26"/>
        <v>-1.6751348180017205</v>
      </c>
    </row>
    <row r="78" spans="2:31" x14ac:dyDescent="0.2">
      <c r="B78" s="1">
        <f>[1]FormattedData!A85</f>
        <v>405</v>
      </c>
      <c r="C78" s="1" t="str">
        <f>VLOOKUP($B78,[1]TrtCodes!$B$11:I128,2)</f>
        <v>FDL</v>
      </c>
      <c r="D78" s="1">
        <f>VLOOKUP($B78,[1]TrtCodes!$B$11:J128,3)</f>
        <v>6</v>
      </c>
      <c r="E78" s="1">
        <f>VLOOKUP($B78,[1]TrtCodes!$B$11:K128,4)</f>
        <v>1</v>
      </c>
      <c r="F78" s="1">
        <f>VLOOKUP($B78,[1]TrtCodes!$B$11:L128,5)</f>
        <v>3</v>
      </c>
      <c r="G78" s="1">
        <f>VLOOKUP($B78,[1]TrtCodes!$B$11:M128,6)</f>
        <v>1</v>
      </c>
      <c r="H78" s="1">
        <f>VLOOKUP($B78,[1]TrtCodes!$B$11:N128,7)</f>
        <v>4</v>
      </c>
      <c r="I78" s="1">
        <f>[1]FormattedData!B85</f>
        <v>2</v>
      </c>
      <c r="J78" s="4">
        <f>[1]FormattedData!C85</f>
        <v>13.407</v>
      </c>
      <c r="K78" s="6">
        <f>$J$3+[1]FormattedData!D85*$J$4+$M$4*$J$5+[1]FormattedData!D85^2*$J$6+$M$5*$J$7</f>
        <v>29.183323725056134</v>
      </c>
      <c r="L78" s="6">
        <f>$J$3+[1]FormattedData!E85*$J$4+$M$4*$J$5+[1]FormattedData!E85^2*$J$6+$M$5*$J$7</f>
        <v>29.963413767940274</v>
      </c>
      <c r="M78" s="6">
        <f>$J$3+[1]FormattedData!F85*$J$4+$M$4*$J$5+[1]FormattedData!F85^2*$J$6+$M$5*$J$7</f>
        <v>30.740798624396817</v>
      </c>
      <c r="N78" s="6">
        <f>$J$3+[1]FormattedData!G85*$J$4+$M$4*$J$5+[1]FormattedData!G85^2*$J$6+$M$5*$J$7</f>
        <v>30.546706021510268</v>
      </c>
      <c r="O78" s="6">
        <f>$J$3+[1]FormattedData!H85*$J$4+$M$4*$J$5+[1]FormattedData!H85^2*$J$6+$M$5*$J$7</f>
        <v>31.418791275554909</v>
      </c>
      <c r="P78" s="6">
        <f>$J$3+[1]FormattedData!I85*$J$4+$M$4*$J$5+[1]FormattedData!I85^2*$J$6+$M$5*$J$7</f>
        <v>28.596480914299924</v>
      </c>
      <c r="Q78" s="6">
        <f>$J$3+[1]FormattedData!J85*$J$4+$M$4*$J$5+[1]FormattedData!J85^2*$J$6+$M$5*$J$7</f>
        <v>29.671197015893199</v>
      </c>
      <c r="R78" s="6">
        <f>$J$3+[1]FormattedData!K85*$J$4+$M$4*$J$5+[1]FormattedData!K85^2*$J$6+$M$5*$J$7</f>
        <v>30.740798624396817</v>
      </c>
      <c r="S78" s="6">
        <f>$J$3+[1]FormattedData!L85*$J$4+$M$4*$J$5+[1]FormattedData!L85^2*$J$6+$M$5*$J$7</f>
        <v>29.280982920299412</v>
      </c>
      <c r="T78" s="6">
        <f>$J$3+[1]FormattedData!M85*$J$4+$M$4*$J$5+[1]FormattedData!M85^2*$J$6+$M$5*$J$7</f>
        <v>28.400528495744403</v>
      </c>
      <c r="U78" s="6">
        <f>$J$3+[1]FormattedData!N85*$J$4+$M$4*$J$5+[1]FormattedData!N85^2*$J$6+$M$5*$J$7</f>
        <v>29.183323725056134</v>
      </c>
      <c r="V78" s="6">
        <f>$J$3+[1]FormattedData!O85*$J$4+$M$4*$J$5+[1]FormattedData!O85^2*$J$6+$M$5*$J$7</f>
        <v>27.909907749941812</v>
      </c>
      <c r="W78" s="5">
        <f t="shared" si="18"/>
        <v>29.636354405007513</v>
      </c>
      <c r="X78" s="4">
        <f t="shared" si="19"/>
        <v>0.30993132497651515</v>
      </c>
      <c r="Y78" s="3">
        <f t="shared" si="20"/>
        <v>27.909907749941812</v>
      </c>
      <c r="Z78" s="2">
        <f t="shared" si="21"/>
        <v>29.036613022367082</v>
      </c>
      <c r="AA78" s="3">
        <f t="shared" si="22"/>
        <v>29.476089968096304</v>
      </c>
      <c r="AB78" s="2">
        <f t="shared" si="23"/>
        <v>30.595229172231903</v>
      </c>
      <c r="AC78" s="2">
        <f t="shared" si="24"/>
        <v>31.418791275554909</v>
      </c>
      <c r="AD78" s="2">
        <f t="shared" si="25"/>
        <v>6.6836029412674525E-2</v>
      </c>
      <c r="AE78" s="2">
        <f t="shared" si="26"/>
        <v>-0.91974813860369631</v>
      </c>
    </row>
    <row r="79" spans="2:31" x14ac:dyDescent="0.2">
      <c r="B79" s="1">
        <f>[1]FormattedData!A83</f>
        <v>406</v>
      </c>
      <c r="C79" s="1" t="str">
        <f>VLOOKUP($B79,[1]TrtCodes!$B$11:I126,2)</f>
        <v>FTH</v>
      </c>
      <c r="D79" s="1">
        <f>VLOOKUP($B79,[1]TrtCodes!$B$11:J126,3)</f>
        <v>3</v>
      </c>
      <c r="E79" s="1">
        <f>VLOOKUP($B79,[1]TrtCodes!$B$11:K126,4)</f>
        <v>1</v>
      </c>
      <c r="F79" s="1">
        <f>VLOOKUP($B79,[1]TrtCodes!$B$11:L126,5)</f>
        <v>2</v>
      </c>
      <c r="G79" s="1">
        <f>VLOOKUP($B79,[1]TrtCodes!$B$11:M126,6)</f>
        <v>2</v>
      </c>
      <c r="H79" s="1">
        <f>VLOOKUP($B79,[1]TrtCodes!$B$11:N126,7)</f>
        <v>4</v>
      </c>
      <c r="I79" s="1">
        <f>[1]FormattedData!B83</f>
        <v>2</v>
      </c>
      <c r="J79" s="4">
        <f>[1]FormattedData!C83</f>
        <v>13.39</v>
      </c>
      <c r="K79" s="6">
        <f>$J$3+[1]FormattedData!D83*$J$4+$M$4*$J$5+[1]FormattedData!D83^2*$J$6+$M$5*$J$7</f>
        <v>31.805285739810756</v>
      </c>
      <c r="L79" s="6">
        <f>$J$3+[1]FormattedData!E83*$J$4+$M$4*$J$5+[1]FormattedData!E83^2*$J$6+$M$5*$J$7</f>
        <v>31.225290432199394</v>
      </c>
      <c r="M79" s="6">
        <f>$J$3+[1]FormattedData!F83*$J$4+$M$4*$J$5+[1]FormattedData!F83^2*$J$6+$M$5*$J$7</f>
        <v>29.86605045246251</v>
      </c>
      <c r="N79" s="6">
        <f>$J$3+[1]FormattedData!G83*$J$4+$M$4*$J$5+[1]FormattedData!G83^2*$J$6+$M$5*$J$7</f>
        <v>30.158013593281993</v>
      </c>
      <c r="O79" s="6">
        <f>$J$3+[1]FormattedData!H83*$J$4+$M$4*$J$5+[1]FormattedData!H83^2*$J$6+$M$5*$J$7</f>
        <v>29.378599847004754</v>
      </c>
      <c r="P79" s="6">
        <f>$J$3+[1]FormattedData!I83*$J$4+$M$4*$J$5+[1]FormattedData!I83^2*$J$6+$M$5*$J$7</f>
        <v>29.378599847004754</v>
      </c>
      <c r="Q79" s="6">
        <f>$J$3+[1]FormattedData!J83*$J$4+$M$4*$J$5+[1]FormattedData!J83^2*$J$6+$M$5*$J$7</f>
        <v>32.191103907459713</v>
      </c>
      <c r="R79" s="6">
        <f>$J$3+[1]FormattedData!K83*$J$4+$M$4*$J$5+[1]FormattedData!K83^2*$J$6+$M$5*$J$7</f>
        <v>29.378599847004754</v>
      </c>
      <c r="S79" s="6">
        <f>$J$3+[1]FormattedData!L83*$J$4+$M$4*$J$5+[1]FormattedData!L83^2*$J$6+$M$5*$J$7</f>
        <v>29.280982920299412</v>
      </c>
      <c r="T79" s="6">
        <f>$J$3+[1]FormattedData!M83*$J$4+$M$4*$J$5+[1]FormattedData!M83^2*$J$6+$M$5*$J$7</f>
        <v>31.031620514692154</v>
      </c>
      <c r="U79" s="6">
        <f>$J$3+[1]FormattedData!N83*$J$4+$M$4*$J$5+[1]FormattedData!N83^2*$J$6+$M$5*$J$7</f>
        <v>31.32206198814611</v>
      </c>
      <c r="V79" s="6">
        <f>$J$3+[1]FormattedData!O83*$J$4+$M$4*$J$5+[1]FormattedData!O83^2*$J$6+$M$5*$J$7</f>
        <v>28.792264258703717</v>
      </c>
      <c r="W79" s="5">
        <f t="shared" si="18"/>
        <v>30.317372779005836</v>
      </c>
      <c r="X79" s="4">
        <f t="shared" si="19"/>
        <v>0.32961925929036662</v>
      </c>
      <c r="Y79" s="3">
        <f t="shared" si="20"/>
        <v>28.792264258703717</v>
      </c>
      <c r="Z79" s="2">
        <f t="shared" si="21"/>
        <v>29.378599847004754</v>
      </c>
      <c r="AA79" s="3">
        <f t="shared" si="22"/>
        <v>30.012032022872251</v>
      </c>
      <c r="AB79" s="2">
        <f t="shared" si="23"/>
        <v>31.249483321186073</v>
      </c>
      <c r="AC79" s="2">
        <f t="shared" si="24"/>
        <v>32.191103907459713</v>
      </c>
      <c r="AD79" s="2">
        <f t="shared" si="25"/>
        <v>0.34887339117731542</v>
      </c>
      <c r="AE79" s="2">
        <f t="shared" si="26"/>
        <v>-1.4264366514882281</v>
      </c>
    </row>
    <row r="80" spans="2:31" x14ac:dyDescent="0.2">
      <c r="B80" s="1">
        <f>[1]FormattedData!A81</f>
        <v>407</v>
      </c>
      <c r="C80" s="1" t="str">
        <f>VLOOKUP($B80,[1]TrtCodes!$B$11:I124,2)</f>
        <v>NSH</v>
      </c>
      <c r="D80" s="1">
        <f>VLOOKUP($B80,[1]TrtCodes!$B$11:J124,3)</f>
        <v>7</v>
      </c>
      <c r="E80" s="1">
        <f>VLOOKUP($B80,[1]TrtCodes!$B$11:K124,4)</f>
        <v>2</v>
      </c>
      <c r="F80" s="1">
        <f>VLOOKUP($B80,[1]TrtCodes!$B$11:L124,5)</f>
        <v>1</v>
      </c>
      <c r="G80" s="1">
        <f>VLOOKUP($B80,[1]TrtCodes!$B$11:M124,6)</f>
        <v>2</v>
      </c>
      <c r="H80" s="1">
        <f>VLOOKUP($B80,[1]TrtCodes!$B$11:N124,7)</f>
        <v>4</v>
      </c>
      <c r="I80" s="1">
        <f>[1]FormattedData!B81</f>
        <v>2</v>
      </c>
      <c r="J80" s="4">
        <f>[1]FormattedData!C81</f>
        <v>13.375</v>
      </c>
      <c r="K80" s="6">
        <f>$J$3+[1]FormattedData!D81*$J$4+$M$4*$J$5+[1]FormattedData!D81^2*$J$6+$M$5*$J$7</f>
        <v>30.449596317260099</v>
      </c>
      <c r="L80" s="6">
        <f>$J$3+[1]FormattedData!E81*$J$4+$M$4*$J$5+[1]FormattedData!E81^2*$J$6+$M$5*$J$7</f>
        <v>29.86605045246251</v>
      </c>
      <c r="M80" s="6">
        <f>$J$3+[1]FormattedData!F81*$J$4+$M$4*$J$5+[1]FormattedData!F81^2*$J$6+$M$5*$J$7</f>
        <v>30.449596317260099</v>
      </c>
      <c r="N80" s="6">
        <f>$J$3+[1]FormattedData!G81*$J$4+$M$4*$J$5+[1]FormattedData!G81^2*$J$6+$M$5*$J$7</f>
        <v>28.89009252809872</v>
      </c>
      <c r="O80" s="6">
        <f>$J$3+[1]FormattedData!H81*$J$4+$M$4*$J$5+[1]FormattedData!H81^2*$J$6+$M$5*$J$7</f>
        <v>30.255250103145961</v>
      </c>
      <c r="P80" s="6">
        <f>$J$3+[1]FormattedData!I81*$J$4+$M$4*$J$5+[1]FormattedData!I81^2*$J$6+$M$5*$J$7</f>
        <v>30.546706021510268</v>
      </c>
      <c r="Q80" s="6">
        <f>$J$3+[1]FormattedData!J81*$J$4+$M$4*$J$5+[1]FormattedData!J81^2*$J$6+$M$5*$J$7</f>
        <v>30.255250103145961</v>
      </c>
      <c r="R80" s="6">
        <f>$J$3+[1]FormattedData!K81*$J$4+$M$4*$J$5+[1]FormattedData!K81^2*$J$6+$M$5*$J$7</f>
        <v>29.378599847004754</v>
      </c>
      <c r="S80" s="6">
        <f>$J$3+[1]FormattedData!L81*$J$4+$M$4*$J$5+[1]FormattedData!L81^2*$J$6+$M$5*$J$7</f>
        <v>29.768644868446824</v>
      </c>
      <c r="T80" s="6">
        <f>$J$3+[1]FormattedData!M81*$J$4+$M$4*$J$5+[1]FormattedData!M81^2*$J$6+$M$5*$J$7</f>
        <v>30.060734814880096</v>
      </c>
      <c r="U80" s="6">
        <f>$J$3+[1]FormattedData!N81*$J$4+$M$4*$J$5+[1]FormattedData!N81^2*$J$6+$M$5*$J$7</f>
        <v>30.837781523033193</v>
      </c>
      <c r="V80" s="6">
        <f>$J$3+[1]FormattedData!O81*$J$4+$M$4*$J$5+[1]FormattedData!O81^2*$J$6+$M$5*$J$7</f>
        <v>29.86605045246251</v>
      </c>
      <c r="W80" s="5">
        <f t="shared" si="18"/>
        <v>30.052029445725918</v>
      </c>
      <c r="X80" s="4">
        <f t="shared" si="19"/>
        <v>0.15603979548866098</v>
      </c>
      <c r="Y80" s="3">
        <f t="shared" si="20"/>
        <v>28.89009252809872</v>
      </c>
      <c r="Z80" s="2">
        <f t="shared" si="21"/>
        <v>29.841699056458587</v>
      </c>
      <c r="AA80" s="3">
        <f t="shared" si="22"/>
        <v>30.15799245901303</v>
      </c>
      <c r="AB80" s="2">
        <f t="shared" si="23"/>
        <v>30.449596317260099</v>
      </c>
      <c r="AC80" s="2">
        <f t="shared" si="24"/>
        <v>30.837781523033193</v>
      </c>
      <c r="AD80" s="2">
        <f t="shared" si="25"/>
        <v>-0.80202030062811713</v>
      </c>
      <c r="AE80" s="2">
        <f t="shared" si="26"/>
        <v>0.63972685128228512</v>
      </c>
    </row>
    <row r="81" spans="2:31" x14ac:dyDescent="0.2">
      <c r="B81" s="1">
        <f>[1]FormattedData!A79</f>
        <v>408</v>
      </c>
      <c r="C81" s="1" t="str">
        <f>VLOOKUP($B81,[1]TrtCodes!$B$11:I122,2)</f>
        <v>NTL</v>
      </c>
      <c r="D81" s="1">
        <f>VLOOKUP($B81,[1]TrtCodes!$B$11:J122,3)</f>
        <v>10</v>
      </c>
      <c r="E81" s="1">
        <f>VLOOKUP($B81,[1]TrtCodes!$B$11:K122,4)</f>
        <v>2</v>
      </c>
      <c r="F81" s="1">
        <f>VLOOKUP($B81,[1]TrtCodes!$B$11:L122,5)</f>
        <v>2</v>
      </c>
      <c r="G81" s="1">
        <f>VLOOKUP($B81,[1]TrtCodes!$B$11:M122,6)</f>
        <v>1</v>
      </c>
      <c r="H81" s="1">
        <f>VLOOKUP($B81,[1]TrtCodes!$B$11:N122,7)</f>
        <v>4</v>
      </c>
      <c r="I81" s="1">
        <f>[1]FormattedData!B79</f>
        <v>2</v>
      </c>
      <c r="J81" s="4">
        <f>[1]FormattedData!C79</f>
        <v>13.359</v>
      </c>
      <c r="K81" s="6">
        <f>$J$3+[1]FormattedData!D79*$J$4+$M$4*$J$5+[1]FormattedData!D79^2*$J$6+$M$5*$J$7</f>
        <v>27.713363571855258</v>
      </c>
      <c r="L81" s="6">
        <f>$J$3+[1]FormattedData!E79*$J$4+$M$4*$J$5+[1]FormattedData!E79^2*$J$6+$M$5*$J$7</f>
        <v>30.158013593281993</v>
      </c>
      <c r="M81" s="6">
        <f>$J$3+[1]FormattedData!F79*$J$4+$M$4*$J$5+[1]FormattedData!F79^2*$J$6+$M$5*$J$7</f>
        <v>30.740798624396817</v>
      </c>
      <c r="N81" s="6">
        <f>$J$3+[1]FormattedData!G79*$J$4+$M$4*$J$5+[1]FormattedData!G79^2*$J$6+$M$5*$J$7</f>
        <v>29.280982920299412</v>
      </c>
      <c r="O81" s="6">
        <f>$J$3+[1]FormattedData!H79*$J$4+$M$4*$J$5+[1]FormattedData!H79^2*$J$6+$M$5*$J$7</f>
        <v>29.476174505172168</v>
      </c>
      <c r="P81" s="6">
        <f>$J$3+[1]FormattedData!I79*$J$4+$M$4*$J$5+[1]FormattedData!I79^2*$J$6+$M$5*$J$7</f>
        <v>28.596480914299924</v>
      </c>
      <c r="Q81" s="6">
        <f>$J$3+[1]FormattedData!J79*$J$4+$M$4*$J$5+[1]FormattedData!J79^2*$J$6+$M$5*$J$7</f>
        <v>29.671197015893199</v>
      </c>
      <c r="R81" s="6">
        <f>$J$3+[1]FormattedData!K79*$J$4+$M$4*$J$5+[1]FormattedData!K79^2*$J$6+$M$5*$J$7</f>
        <v>28.106282853876646</v>
      </c>
      <c r="S81" s="6">
        <f>$J$3+[1]FormattedData!L79*$J$4+$M$4*$J$5+[1]FormattedData!L79^2*$J$6+$M$5*$J$7</f>
        <v>29.573706894801653</v>
      </c>
      <c r="T81" s="6">
        <f>$J$3+[1]FormattedData!M79*$J$4+$M$4*$J$5+[1]FormattedData!M79^2*$J$6+$M$5*$J$7</f>
        <v>28.694393720770787</v>
      </c>
      <c r="U81" s="6">
        <f>$J$3+[1]FormattedData!N79*$J$4+$M$4*$J$5+[1]FormattedData!N79^2*$J$6+$M$5*$J$7</f>
        <v>30.352444344471991</v>
      </c>
      <c r="V81" s="6">
        <f>$J$3+[1]FormattedData!O79*$J$4+$M$4*$J$5+[1]FormattedData!O79^2*$J$6+$M$5*$J$7</f>
        <v>29.476174505172168</v>
      </c>
      <c r="W81" s="5">
        <f t="shared" si="18"/>
        <v>29.320001122024326</v>
      </c>
      <c r="X81" s="4">
        <f t="shared" si="19"/>
        <v>0.2610314572667683</v>
      </c>
      <c r="Y81" s="3">
        <f t="shared" si="20"/>
        <v>27.713363571855258</v>
      </c>
      <c r="Z81" s="2">
        <f t="shared" si="21"/>
        <v>28.669915519153072</v>
      </c>
      <c r="AA81" s="3">
        <f t="shared" si="22"/>
        <v>29.476174505172168</v>
      </c>
      <c r="AB81" s="2">
        <f t="shared" si="23"/>
        <v>29.792901160240397</v>
      </c>
      <c r="AC81" s="2">
        <f t="shared" si="24"/>
        <v>30.740798624396817</v>
      </c>
      <c r="AD81" s="2">
        <f t="shared" si="25"/>
        <v>-0.28541788423301301</v>
      </c>
      <c r="AE81" s="2">
        <f t="shared" si="26"/>
        <v>-0.50134008692218268</v>
      </c>
    </row>
    <row r="82" spans="2:31" x14ac:dyDescent="0.2">
      <c r="B82" s="1">
        <f>[1]FormattedData!A59</f>
        <v>902</v>
      </c>
      <c r="C82" s="1" t="str">
        <f>VLOOKUP($B82,[1]TrtCodes!$B$11:I102,2)</f>
        <v>Late</v>
      </c>
      <c r="D82" s="1">
        <f>VLOOKUP($B82,[1]TrtCodes!$B$11:J102,3)</f>
        <v>22</v>
      </c>
      <c r="E82" s="1">
        <f>VLOOKUP($B82,[1]TrtCodes!$B$11:K102,4)</f>
        <v>4</v>
      </c>
      <c r="F82" s="1">
        <f>VLOOKUP($B82,[1]TrtCodes!$B$11:L102,5)</f>
        <v>2</v>
      </c>
      <c r="G82" s="1">
        <f>VLOOKUP($B82,[1]TrtCodes!$B$11:M102,6)</f>
        <v>2</v>
      </c>
      <c r="H82" s="1">
        <f>VLOOKUP($B82,[1]TrtCodes!$B$11:N102,7)</f>
        <v>1</v>
      </c>
      <c r="I82" s="1">
        <f>[1]FormattedData!B59</f>
        <v>2</v>
      </c>
      <c r="J82" s="4">
        <f>[1]FormattedData!C59</f>
        <v>13.207000000000001</v>
      </c>
      <c r="K82" s="6">
        <f>$J$3+[1]FormattedData!D59*$J$4+$M$4*$J$5+[1]FormattedData!D59^2*$J$6+$M$5*$J$7</f>
        <v>29.280982920299412</v>
      </c>
      <c r="L82" s="6">
        <f>$J$3+[1]FormattedData!E59*$J$4+$M$4*$J$5+[1]FormattedData!E59^2*$J$6+$M$5*$J$7</f>
        <v>30.352444344471991</v>
      </c>
      <c r="M82" s="6">
        <f>$J$3+[1]FormattedData!F59*$J$4+$M$4*$J$5+[1]FormattedData!F59^2*$J$6+$M$5*$J$7</f>
        <v>29.768644868446824</v>
      </c>
      <c r="N82" s="6">
        <f>$J$3+[1]FormattedData!G59*$J$4+$M$4*$J$5+[1]FormattedData!G59^2*$J$6+$M$5*$J$7</f>
        <v>29.963413767940274</v>
      </c>
      <c r="O82" s="6">
        <f>$J$3+[1]FormattedData!H59*$J$4+$M$4*$J$5+[1]FormattedData!H59^2*$J$6+$M$5*$J$7</f>
        <v>31.998279360711102</v>
      </c>
      <c r="P82" s="6">
        <f>$J$3+[1]FormattedData!I59*$J$4+$M$4*$J$5+[1]FormattedData!I59^2*$J$6+$M$5*$J$7</f>
        <v>30.740798624396817</v>
      </c>
      <c r="Q82" s="6">
        <f>$J$3+[1]FormattedData!J59*$J$4+$M$4*$J$5+[1]FormattedData!J59^2*$J$6+$M$5*$J$7</f>
        <v>29.378599847004754</v>
      </c>
      <c r="R82" s="6">
        <f>$J$3+[1]FormattedData!K59*$J$4+$M$4*$J$5+[1]FormattedData!K59^2*$J$6+$M$5*$J$7</f>
        <v>30.449596317260099</v>
      </c>
      <c r="S82" s="6">
        <f>$J$3+[1]FormattedData!L59*$J$4+$M$4*$J$5+[1]FormattedData!L59^2*$J$6+$M$5*$J$7</f>
        <v>30.158013593281993</v>
      </c>
      <c r="T82" s="6">
        <f>$J$3+[1]FormattedData!M59*$J$4+$M$4*$J$5+[1]FormattedData!M59^2*$J$6+$M$5*$J$7</f>
        <v>29.573706894801653</v>
      </c>
      <c r="U82" s="6">
        <f>$J$3+[1]FormattedData!N59*$J$4+$M$4*$J$5+[1]FormattedData!N59^2*$J$6+$M$5*$J$7</f>
        <v>30.449596317260099</v>
      </c>
      <c r="V82" s="6">
        <f>$J$3+[1]FormattedData!O59*$J$4+$M$4*$J$5+[1]FormattedData!O59^2*$J$6+$M$5*$J$7</f>
        <v>30.255250103145961</v>
      </c>
      <c r="W82" s="5">
        <f t="shared" si="18"/>
        <v>30.197443913251746</v>
      </c>
      <c r="X82" s="4">
        <f t="shared" si="19"/>
        <v>0.21020226036039513</v>
      </c>
      <c r="Y82" s="3">
        <f t="shared" si="20"/>
        <v>29.280982920299412</v>
      </c>
      <c r="Z82" s="2">
        <f t="shared" si="21"/>
        <v>29.719910375035532</v>
      </c>
      <c r="AA82" s="3">
        <f t="shared" si="22"/>
        <v>30.206631848213977</v>
      </c>
      <c r="AB82" s="2">
        <f t="shared" si="23"/>
        <v>30.449596317260099</v>
      </c>
      <c r="AC82" s="2">
        <f t="shared" si="24"/>
        <v>31.998279360711102</v>
      </c>
      <c r="AD82" s="2">
        <f t="shared" si="25"/>
        <v>1.2385450597594423</v>
      </c>
      <c r="AE82" s="2">
        <f t="shared" si="26"/>
        <v>2.6680985057797519</v>
      </c>
    </row>
    <row r="83" spans="2:31" x14ac:dyDescent="0.2">
      <c r="B83" s="1">
        <f>[1]FormattedData!A55</f>
        <v>904</v>
      </c>
      <c r="C83" s="1" t="str">
        <f>VLOOKUP($B83,[1]TrtCodes!$B$11:I98,2)</f>
        <v>Early</v>
      </c>
      <c r="D83" s="1">
        <f>VLOOKUP($B83,[1]TrtCodes!$B$11:J98,3)</f>
        <v>21</v>
      </c>
      <c r="E83" s="1">
        <f>VLOOKUP($B83,[1]TrtCodes!$B$11:K98,4)</f>
        <v>3</v>
      </c>
      <c r="F83" s="1">
        <f>VLOOKUP($B83,[1]TrtCodes!$B$11:L98,5)</f>
        <v>2</v>
      </c>
      <c r="G83" s="1">
        <f>VLOOKUP($B83,[1]TrtCodes!$B$11:M98,6)</f>
        <v>2</v>
      </c>
      <c r="H83" s="1">
        <f>VLOOKUP($B83,[1]TrtCodes!$B$11:N98,7)</f>
        <v>1</v>
      </c>
      <c r="I83" s="1">
        <f>[1]FormattedData!B55</f>
        <v>2</v>
      </c>
      <c r="J83" s="4">
        <f>[1]FormattedData!C55</f>
        <v>13.186999999999999</v>
      </c>
      <c r="K83" s="6">
        <f>$J$3+[1]FormattedData!D55*$J$4+$M$4*$J$5+[1]FormattedData!D55^2*$J$6+$M$5*$J$7</f>
        <v>28.498525839291133</v>
      </c>
      <c r="L83" s="6">
        <f>$J$3+[1]FormattedData!E55*$J$4+$M$4*$J$5+[1]FormattedData!E55^2*$J$6+$M$5*$J$7</f>
        <v>28.302488883659748</v>
      </c>
      <c r="M83" s="6">
        <f>$J$3+[1]FormattedData!F55*$J$4+$M$4*$J$5+[1]FormattedData!F55^2*$J$6+$M$5*$J$7</f>
        <v>29.280982920299412</v>
      </c>
      <c r="N83" s="6">
        <f>$J$3+[1]FormattedData!G55*$J$4+$M$4*$J$5+[1]FormattedData!G55^2*$J$6+$M$5*$J$7</f>
        <v>29.378599847004754</v>
      </c>
      <c r="O83" s="6">
        <f>$J$3+[1]FormattedData!H55*$J$4+$M$4*$J$5+[1]FormattedData!H55^2*$J$6+$M$5*$J$7</f>
        <v>28.694393720770787</v>
      </c>
      <c r="P83" s="6">
        <f>$J$3+[1]FormattedData!I55*$J$4+$M$4*$J$5+[1]FormattedData!I55^2*$J$6+$M$5*$J$7</f>
        <v>29.378599847004754</v>
      </c>
      <c r="Q83" s="6">
        <f>$J$3+[1]FormattedData!J55*$J$4+$M$4*$J$5+[1]FormattedData!J55^2*$J$6+$M$5*$J$7</f>
        <v>28.596480914299924</v>
      </c>
      <c r="R83" s="6">
        <f>$J$3+[1]FormattedData!K55*$J$4+$M$4*$J$5+[1]FormattedData!K55^2*$J$6+$M$5*$J$7</f>
        <v>27.516650319616978</v>
      </c>
      <c r="S83" s="6">
        <f>$J$3+[1]FormattedData!L55*$J$4+$M$4*$J$5+[1]FormattedData!L55^2*$J$6+$M$5*$J$7</f>
        <v>29.476174505172168</v>
      </c>
      <c r="T83" s="6">
        <f>$J$3+[1]FormattedData!M55*$J$4+$M$4*$J$5+[1]FormattedData!M55^2*$J$6+$M$5*$J$7</f>
        <v>28.694393720770787</v>
      </c>
      <c r="U83" s="6">
        <f>$J$3+[1]FormattedData!N55*$J$4+$M$4*$J$5+[1]FormattedData!N55^2*$J$6+$M$5*$J$7</f>
        <v>28.98787852895579</v>
      </c>
      <c r="V83" s="6">
        <f>$J$3+[1]FormattedData!O55*$J$4+$M$4*$J$5+[1]FormattedData!O55^2*$J$6+$M$5*$J$7</f>
        <v>28.792264258703717</v>
      </c>
      <c r="W83" s="5">
        <f t="shared" si="18"/>
        <v>28.799786108795828</v>
      </c>
      <c r="X83" s="4">
        <f t="shared" si="19"/>
        <v>0.16149363212375428</v>
      </c>
      <c r="Y83" s="3">
        <f t="shared" si="20"/>
        <v>27.516650319616978</v>
      </c>
      <c r="Z83" s="2">
        <f t="shared" si="21"/>
        <v>28.571992145547725</v>
      </c>
      <c r="AA83" s="3">
        <f t="shared" si="22"/>
        <v>28.74332898973725</v>
      </c>
      <c r="AB83" s="2">
        <f t="shared" si="23"/>
        <v>29.305387151975747</v>
      </c>
      <c r="AC83" s="2">
        <f t="shared" si="24"/>
        <v>29.476174505172168</v>
      </c>
      <c r="AD83" s="2">
        <f t="shared" si="25"/>
        <v>-0.90866053690496362</v>
      </c>
      <c r="AE83" s="2">
        <f t="shared" si="26"/>
        <v>1.228715228089964</v>
      </c>
    </row>
    <row r="84" spans="2:31" x14ac:dyDescent="0.2">
      <c r="B84" s="1">
        <f>[1]FormattedData!A51</f>
        <v>906</v>
      </c>
      <c r="C84" s="1" t="str">
        <f>VLOOKUP($B84,[1]TrtCodes!$B$11:I94,2)</f>
        <v>Late</v>
      </c>
      <c r="D84" s="1">
        <f>VLOOKUP($B84,[1]TrtCodes!$B$11:J94,3)</f>
        <v>22</v>
      </c>
      <c r="E84" s="1">
        <f>VLOOKUP($B84,[1]TrtCodes!$B$11:K94,4)</f>
        <v>4</v>
      </c>
      <c r="F84" s="1">
        <f>VLOOKUP($B84,[1]TrtCodes!$B$11:L94,5)</f>
        <v>2</v>
      </c>
      <c r="G84" s="1">
        <f>VLOOKUP($B84,[1]TrtCodes!$B$11:M94,6)</f>
        <v>2</v>
      </c>
      <c r="H84" s="1">
        <f>VLOOKUP($B84,[1]TrtCodes!$B$11:N94,7)</f>
        <v>2</v>
      </c>
      <c r="I84" s="1">
        <f>[1]FormattedData!B51</f>
        <v>2</v>
      </c>
      <c r="J84" s="4">
        <f>[1]FormattedData!C51</f>
        <v>13.166</v>
      </c>
      <c r="K84" s="6">
        <f>$J$3+[1]FormattedData!D51*$J$4+$M$4*$J$5+[1]FormattedData!D51^2*$J$6+$M$5*$J$7</f>
        <v>28.694393720770787</v>
      </c>
      <c r="L84" s="6">
        <f>$J$3+[1]FormattedData!E51*$J$4+$M$4*$J$5+[1]FormattedData!E51^2*$J$6+$M$5*$J$7</f>
        <v>29.963413767940274</v>
      </c>
      <c r="M84" s="6">
        <f>$J$3+[1]FormattedData!F51*$J$4+$M$4*$J$5+[1]FormattedData!F51^2*$J$6+$M$5*$J$7</f>
        <v>28.694393720770787</v>
      </c>
      <c r="N84" s="6">
        <f>$J$3+[1]FormattedData!G51*$J$4+$M$4*$J$5+[1]FormattedData!G51^2*$J$6+$M$5*$J$7</f>
        <v>29.378599847004754</v>
      </c>
      <c r="O84" s="6">
        <f>$J$3+[1]FormattedData!H51*$J$4+$M$4*$J$5+[1]FormattedData!H51^2*$J$6+$M$5*$J$7</f>
        <v>27.811656795167501</v>
      </c>
      <c r="P84" s="6">
        <f>$J$3+[1]FormattedData!I51*$J$4+$M$4*$J$5+[1]FormattedData!I51^2*$J$6+$M$5*$J$7</f>
        <v>28.008116436178195</v>
      </c>
      <c r="Q84" s="6">
        <f>$J$3+[1]FormattedData!J51*$J$4+$M$4*$J$5+[1]FormattedData!J51^2*$J$6+$M$5*$J$7</f>
        <v>28.400528495744403</v>
      </c>
      <c r="R84" s="6">
        <f>$J$3+[1]FormattedData!K51*$J$4+$M$4*$J$5+[1]FormattedData!K51^2*$J$6+$M$5*$J$7</f>
        <v>27.811656795167501</v>
      </c>
      <c r="S84" s="6">
        <f>$J$3+[1]FormattedData!L51*$J$4+$M$4*$J$5+[1]FormattedData!L51^2*$J$6+$M$5*$J$7</f>
        <v>28.106282853876646</v>
      </c>
      <c r="T84" s="6">
        <f>$J$3+[1]FormattedData!M51*$J$4+$M$4*$J$5+[1]FormattedData!M51^2*$J$6+$M$5*$J$7</f>
        <v>28.106282853876646</v>
      </c>
      <c r="U84" s="6">
        <f>$J$3+[1]FormattedData!N51*$J$4+$M$4*$J$5+[1]FormattedData!N51^2*$J$6+$M$5*$J$7</f>
        <v>28.596480914299924</v>
      </c>
      <c r="V84" s="6">
        <f>$J$3+[1]FormattedData!O51*$J$4+$M$4*$J$5+[1]FormattedData!O51^2*$J$6+$M$5*$J$7</f>
        <v>28.98787852895579</v>
      </c>
      <c r="W84" s="5">
        <f t="shared" si="18"/>
        <v>28.546640394146095</v>
      </c>
      <c r="X84" s="4">
        <f t="shared" si="19"/>
        <v>0.18909330373400202</v>
      </c>
      <c r="Y84" s="3">
        <f t="shared" si="20"/>
        <v>27.811656795167501</v>
      </c>
      <c r="Z84" s="2">
        <f t="shared" si="21"/>
        <v>28.081741249452033</v>
      </c>
      <c r="AA84" s="3">
        <f t="shared" si="22"/>
        <v>28.498504705022164</v>
      </c>
      <c r="AB84" s="2">
        <f t="shared" si="23"/>
        <v>28.767764922817037</v>
      </c>
      <c r="AC84" s="2">
        <f t="shared" si="24"/>
        <v>29.963413767940274</v>
      </c>
      <c r="AD84" s="2">
        <f t="shared" si="25"/>
        <v>0.92687150424503739</v>
      </c>
      <c r="AE84" s="2">
        <f t="shared" si="26"/>
        <v>0.49469944597463833</v>
      </c>
    </row>
    <row r="85" spans="2:31" x14ac:dyDescent="0.2">
      <c r="B85" s="1">
        <f>[1]FormattedData!A47</f>
        <v>908</v>
      </c>
      <c r="C85" s="1" t="str">
        <f>VLOOKUP($B85,[1]TrtCodes!$B$11:I90,2)</f>
        <v>Early</v>
      </c>
      <c r="D85" s="1">
        <f>VLOOKUP($B85,[1]TrtCodes!$B$11:J90,3)</f>
        <v>21</v>
      </c>
      <c r="E85" s="1">
        <f>VLOOKUP($B85,[1]TrtCodes!$B$11:K90,4)</f>
        <v>3</v>
      </c>
      <c r="F85" s="1">
        <f>VLOOKUP($B85,[1]TrtCodes!$B$11:L90,5)</f>
        <v>2</v>
      </c>
      <c r="G85" s="1">
        <f>VLOOKUP($B85,[1]TrtCodes!$B$11:M90,6)</f>
        <v>2</v>
      </c>
      <c r="H85" s="1">
        <f>VLOOKUP($B85,[1]TrtCodes!$B$11:N90,7)</f>
        <v>2</v>
      </c>
      <c r="I85" s="1">
        <f>[1]FormattedData!B47</f>
        <v>2</v>
      </c>
      <c r="J85" s="4">
        <f>[1]FormattedData!C47</f>
        <v>13.145</v>
      </c>
      <c r="K85" s="6">
        <f>$J$3+[1]FormattedData!D47*$J$4+$M$4*$J$5+[1]FormattedData!D47^2*$J$6+$M$5*$J$7</f>
        <v>30.740798624396817</v>
      </c>
      <c r="L85" s="6">
        <f>$J$3+[1]FormattedData!E47*$J$4+$M$4*$J$5+[1]FormattedData!E47^2*$J$6+$M$5*$J$7</f>
        <v>28.302488883659748</v>
      </c>
      <c r="M85" s="6">
        <f>$J$3+[1]FormattedData!F47*$J$4+$M$4*$J$5+[1]FormattedData!F47^2*$J$6+$M$5*$J$7</f>
        <v>29.378599847004754</v>
      </c>
      <c r="N85" s="6">
        <f>$J$3+[1]FormattedData!G47*$J$4+$M$4*$J$5+[1]FormattedData!G47^2*$J$6+$M$5*$J$7</f>
        <v>28.204407003037161</v>
      </c>
      <c r="O85" s="6">
        <f>$J$3+[1]FormattedData!H47*$J$4+$M$4*$J$5+[1]FormattedData!H47^2*$J$6+$M$5*$J$7</f>
        <v>27.418230290690939</v>
      </c>
      <c r="P85" s="6">
        <f>$J$3+[1]FormattedData!I47*$J$4+$M$4*$J$5+[1]FormattedData!I47^2*$J$6+$M$5*$J$7</f>
        <v>27.615028080005086</v>
      </c>
      <c r="Q85" s="6">
        <f>$J$3+[1]FormattedData!J47*$J$4+$M$4*$J$5+[1]FormattedData!J47^2*$J$6+$M$5*$J$7</f>
        <v>29.378599847004754</v>
      </c>
      <c r="R85" s="6">
        <f>$J$3+[1]FormattedData!K47*$J$4+$M$4*$J$5+[1]FormattedData!K47^2*$J$6+$M$5*$J$7</f>
        <v>27.909907749941812</v>
      </c>
      <c r="S85" s="6">
        <f>$J$3+[1]FormattedData!L47*$J$4+$M$4*$J$5+[1]FormattedData!L47^2*$J$6+$M$5*$J$7</f>
        <v>28.400528495744403</v>
      </c>
      <c r="T85" s="6">
        <f>$J$3+[1]FormattedData!M47*$J$4+$M$4*$J$5+[1]FormattedData!M47^2*$J$6+$M$5*$J$7</f>
        <v>28.204407003037161</v>
      </c>
      <c r="U85" s="6">
        <f>$J$3+[1]FormattedData!N47*$J$4+$M$4*$J$5+[1]FormattedData!N47^2*$J$6+$M$5*$J$7</f>
        <v>29.183323725056134</v>
      </c>
      <c r="V85" s="6">
        <f>$J$3+[1]FormattedData!O47*$J$4+$M$4*$J$5+[1]FormattedData!O47^2*$J$6+$M$5*$J$7</f>
        <v>26.728106569146615</v>
      </c>
      <c r="W85" s="5">
        <f t="shared" si="18"/>
        <v>28.455368843227117</v>
      </c>
      <c r="X85" s="4">
        <f t="shared" si="19"/>
        <v>0.30985032734248291</v>
      </c>
      <c r="Y85" s="3">
        <f t="shared" si="20"/>
        <v>26.728106569146615</v>
      </c>
      <c r="Z85" s="2">
        <f t="shared" si="21"/>
        <v>27.836187832457632</v>
      </c>
      <c r="AA85" s="3">
        <f t="shared" si="22"/>
        <v>28.253447943348455</v>
      </c>
      <c r="AB85" s="2">
        <f t="shared" si="23"/>
        <v>29.23214275554329</v>
      </c>
      <c r="AC85" s="2">
        <f t="shared" si="24"/>
        <v>30.740798624396817</v>
      </c>
      <c r="AD85" s="2">
        <f t="shared" si="25"/>
        <v>0.60315023976644233</v>
      </c>
      <c r="AE85" s="2">
        <f t="shared" si="26"/>
        <v>0.67613614243760445</v>
      </c>
    </row>
    <row r="88" spans="2:31" x14ac:dyDescent="0.2">
      <c r="W88" s="2"/>
    </row>
  </sheetData>
  <autoFilter ref="B9:AE85" xr:uid="{7B682649-A03F-4AC6-91D1-FA3506A3CFE5}"/>
  <conditionalFormatting sqref="K10:V85">
    <cfRule type="cellIs" dxfId="119" priority="1" stopIfTrue="1" operator="lessThan">
      <formula>$W10-$V$5*$X10</formula>
    </cfRule>
    <cfRule type="cellIs" dxfId="118" priority="2" stopIfTrue="1" operator="greaterThan">
      <formula>$W10+$V$5*$X10</formula>
    </cfRule>
  </conditionalFormatting>
  <conditionalFormatting sqref="W10:W85">
    <cfRule type="cellIs" dxfId="117" priority="3" stopIfTrue="1" operator="lessThan">
      <formula>AVERAGE($W$10:$W$41)</formula>
    </cfRule>
    <cfRule type="cellIs" dxfId="11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C33F-F7F1-4A96-9C42-F070D17C43D7}">
  <sheetPr codeName="Sheet31"/>
  <dimension ref="A1:AI88"/>
  <sheetViews>
    <sheetView topLeftCell="A8" workbookViewId="0">
      <pane xSplit="4" ySplit="2" topLeftCell="J39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[3]FormattedData!A1</f>
        <v>Raw data file name - 'IA170.03R'</v>
      </c>
    </row>
    <row r="2" spans="1:35" ht="15" x14ac:dyDescent="0.25">
      <c r="I2" s="32" t="s">
        <v>136</v>
      </c>
      <c r="J2" s="24"/>
      <c r="P2" s="31">
        <f>[3]AncillaryData!C10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[3]AncillaryData!E25</f>
        <v>37.35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"&amp;[3]AncillaryData!C7</f>
        <v>Time Sequence of Midday IRT Temps - FISE 2003 - DOY 170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"&amp;[3]AncillaryData!E25&amp;", VPD = "&amp;ROUND([3]AncillaryData!E29,1)&amp;", Quality = "&amp;[3]AncillaryData!C20&amp;")"</f>
        <v>(Ta = 37.35, VPD = 5.8,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[3]FormattedData!A28</f>
        <v>101</v>
      </c>
      <c r="C10" s="1" t="str">
        <f>VLOOKUP($B10,[3]TrtCodes!$B$11:I71,2)</f>
        <v>FSH</v>
      </c>
      <c r="D10" s="1">
        <f>VLOOKUP($B10,[3]TrtCodes!$B$11:J71,3)</f>
        <v>1</v>
      </c>
      <c r="E10" s="1">
        <f>VLOOKUP($B10,[3]TrtCodes!$B$11:K71,4)</f>
        <v>1</v>
      </c>
      <c r="F10" s="1">
        <f>VLOOKUP($B10,[3]TrtCodes!$B$11:L71,5)</f>
        <v>1</v>
      </c>
      <c r="G10" s="1">
        <f>VLOOKUP($B10,[3]TrtCodes!$B$11:M71,6)</f>
        <v>2</v>
      </c>
      <c r="H10" s="1">
        <f>VLOOKUP($B10,[3]TrtCodes!$B$11:N71,7)</f>
        <v>1</v>
      </c>
      <c r="I10" s="1">
        <f>[3]FormattedData!B28</f>
        <v>1</v>
      </c>
      <c r="J10" s="4">
        <f>[3]FormattedData!C28</f>
        <v>13.244999999999999</v>
      </c>
      <c r="K10" s="6">
        <f>$J$3+[3]FormattedData!D28*$J$4+$M$4*$J$5+[3]FormattedData!D28^2*$J$6+$M$5*$J$7</f>
        <v>52.654724913566966</v>
      </c>
      <c r="L10" s="6">
        <f>$J$3+[3]FormattedData!E28*$J$4+$M$4*$J$5+[3]FormattedData!E28^2*$J$6+$M$5*$J$7</f>
        <v>45.477012935359994</v>
      </c>
      <c r="M10" s="6">
        <f>$J$3+[3]FormattedData!F28*$J$4+$M$4*$J$5+[3]FormattedData!F28^2*$J$6+$M$5*$J$7</f>
        <v>49.852224147272594</v>
      </c>
      <c r="N10" s="6">
        <f>$J$3+[3]FormattedData!G28*$J$4+$M$4*$J$5+[3]FormattedData!G28^2*$J$6+$M$5*$J$7</f>
        <v>45.747799538675977</v>
      </c>
      <c r="O10" s="6">
        <f>$J$3+[3]FormattedData!H28*$J$4+$M$4*$J$5+[3]FormattedData!H28^2*$J$6+$M$5*$J$7</f>
        <v>45.386666197178805</v>
      </c>
      <c r="P10" s="6">
        <f>$J$3+[3]FormattedData!I28*$J$4+$M$4*$J$5+[3]FormattedData!I28^2*$J$6+$M$5*$J$7</f>
        <v>53.001994174622716</v>
      </c>
      <c r="Q10" s="6">
        <f>$J$3+[3]FormattedData!J28*$J$4+$M$4*$J$5+[3]FormattedData!J28^2*$J$6+$M$5*$J$7</f>
        <v>45.928112598196975</v>
      </c>
      <c r="R10" s="6">
        <f>$J$3+[3]FormattedData!K28*$J$4+$M$4*$J$5+[3]FormattedData!K28^2*$J$6+$M$5*$J$7</f>
        <v>49.498868216754758</v>
      </c>
      <c r="S10" s="6">
        <f>$J$3+[3]FormattedData!L28*$J$4+$M$4*$J$5+[3]FormattedData!L28^2*$J$6+$M$5*$J$7</f>
        <v>50.820465801817335</v>
      </c>
      <c r="T10" s="6">
        <f>$J$3+[3]FormattedData!M28*$J$4+$M$4*$J$5+[3]FormattedData!M28^2*$J$6+$M$5*$J$7</f>
        <v>50.908234159184723</v>
      </c>
      <c r="U10" s="6">
        <f>$J$3+[3]FormattedData!N28*$J$4+$M$4*$J$5+[3]FormattedData!N28^2*$J$6+$M$5*$J$7</f>
        <v>49.587270602191111</v>
      </c>
      <c r="V10" s="6">
        <f>$J$3+[3]FormattedData!O28*$J$4+$M$4*$J$5+[3]FormattedData!O28^2*$J$6+$M$5*$J$7</f>
        <v>49.587270602191111</v>
      </c>
      <c r="W10" s="5">
        <f t="shared" ref="W10:W41" si="0">AVERAGE(K10:V10)</f>
        <v>49.037553657251095</v>
      </c>
      <c r="X10" s="4">
        <f t="shared" ref="X10:X41" si="1">STDEV(K10:V10)/SQRT(COUNT(K10:V10))</f>
        <v>0.79514316262360796</v>
      </c>
      <c r="Y10" s="3">
        <f t="shared" ref="Y10:Y41" si="2">MIN(K10:V10)</f>
        <v>45.386666197178805</v>
      </c>
      <c r="Z10" s="2">
        <f t="shared" ref="Z10:Z41" si="3">QUARTILE(K10:V10,1)</f>
        <v>45.883034333316729</v>
      </c>
      <c r="AA10" s="3">
        <f t="shared" ref="AA10:AA41" si="4">MEDIAN(K10:V10)</f>
        <v>49.587270602191111</v>
      </c>
      <c r="AB10" s="2">
        <f t="shared" ref="AB10:AB41" si="5">QUARTILE(K10:V10,3)</f>
        <v>50.842407891159183</v>
      </c>
      <c r="AC10" s="2">
        <f t="shared" ref="AC10:AC41" si="6">MAX(K10:V10)</f>
        <v>53.001994174622716</v>
      </c>
      <c r="AD10" s="2">
        <f t="shared" ref="AD10:AD41" si="7">SKEW(K10:V10)</f>
        <v>-0.1913096718234211</v>
      </c>
      <c r="AE10" s="2">
        <f t="shared" ref="AE10:AE41" si="8">KURT(K10:V10)</f>
        <v>-1.3226768790666341</v>
      </c>
    </row>
    <row r="11" spans="1:35" x14ac:dyDescent="0.2">
      <c r="B11" s="1">
        <f>[3]FormattedData!A26</f>
        <v>102</v>
      </c>
      <c r="C11" s="1" t="str">
        <f>VLOOKUP($B11,[3]TrtCodes!$B$11:I69,2)</f>
        <v>FTL</v>
      </c>
      <c r="D11" s="1">
        <f>VLOOKUP($B11,[3]TrtCodes!$B$11:J69,3)</f>
        <v>4</v>
      </c>
      <c r="E11" s="1">
        <f>VLOOKUP($B11,[3]TrtCodes!$B$11:K69,4)</f>
        <v>1</v>
      </c>
      <c r="F11" s="1">
        <f>VLOOKUP($B11,[3]TrtCodes!$B$11:L69,5)</f>
        <v>2</v>
      </c>
      <c r="G11" s="1">
        <f>VLOOKUP($B11,[3]TrtCodes!$B$11:M69,6)</f>
        <v>1</v>
      </c>
      <c r="H11" s="1">
        <f>VLOOKUP($B11,[3]TrtCodes!$B$11:N69,7)</f>
        <v>1</v>
      </c>
      <c r="I11" s="1">
        <f>[3]FormattedData!B26</f>
        <v>1</v>
      </c>
      <c r="J11" s="4">
        <f>[3]FormattedData!C26</f>
        <v>13.228999999999999</v>
      </c>
      <c r="K11" s="6">
        <f>$J$3+[3]FormattedData!D26*$J$4+$M$4*$J$5+[3]FormattedData!D26^2*$J$6+$M$5*$J$7</f>
        <v>53.608088042759931</v>
      </c>
      <c r="L11" s="6">
        <f>$J$3+[3]FormattedData!E26*$J$4+$M$4*$J$5+[3]FormattedData!E26^2*$J$6+$M$5*$J$7</f>
        <v>50.732655175912008</v>
      </c>
      <c r="M11" s="6">
        <f>$J$3+[3]FormattedData!F26*$J$4+$M$4*$J$5+[3]FormattedData!F26^2*$J$6+$M$5*$J$7</f>
        <v>43.935369865121146</v>
      </c>
      <c r="N11" s="6">
        <f>$J$3+[3]FormattedData!G26*$J$4+$M$4*$J$5+[3]FormattedData!G26^2*$J$6+$M$5*$J$7</f>
        <v>52.654724913566966</v>
      </c>
      <c r="O11" s="6">
        <f>$J$3+[3]FormattedData!H26*$J$4+$M$4*$J$5+[3]FormattedData!H26^2*$J$6+$M$5*$J$7</f>
        <v>46.468037331849622</v>
      </c>
      <c r="P11" s="6">
        <f>$J$3+[3]FormattedData!I26*$J$4+$M$4*$J$5+[3]FormattedData!I26^2*$J$6+$M$5*$J$7</f>
        <v>52.741605631637796</v>
      </c>
      <c r="Q11" s="6">
        <f>$J$3+[3]FormattedData!J26*$J$4+$M$4*$J$5+[3]FormattedData!J26^2*$J$6+$M$5*$J$7</f>
        <v>52.132552965845399</v>
      </c>
      <c r="R11" s="6">
        <f>$J$3+[3]FormattedData!K26*$J$4+$M$4*$J$5+[3]FormattedData!K26^2*$J$6+$M$5*$J$7</f>
        <v>51.433956664092499</v>
      </c>
      <c r="S11" s="6">
        <f>$J$3+[3]FormattedData!L26*$J$4+$M$4*$J$5+[3]FormattedData!L26^2*$J$6+$M$5*$J$7</f>
        <v>45.20584591520263</v>
      </c>
      <c r="T11" s="6">
        <f>$J$3+[3]FormattedData!M26*$J$4+$M$4*$J$5+[3]FormattedData!M26^2*$J$6+$M$5*$J$7</f>
        <v>51.346441917952696</v>
      </c>
      <c r="U11" s="6">
        <f>$J$3+[3]FormattedData!N26*$J$4+$M$4*$J$5+[3]FormattedData!N26^2*$J$6+$M$5*$J$7</f>
        <v>46.647674094763715</v>
      </c>
      <c r="V11" s="6">
        <f>$J$3+[3]FormattedData!O26*$J$4+$M$4*$J$5+[3]FormattedData!O26^2*$J$6+$M$5*$J$7</f>
        <v>43.388344017096074</v>
      </c>
      <c r="W11" s="5">
        <f t="shared" si="0"/>
        <v>49.191274711316709</v>
      </c>
      <c r="X11" s="4">
        <f t="shared" si="1"/>
        <v>1.0866895290412275</v>
      </c>
      <c r="Y11" s="3">
        <f t="shared" si="2"/>
        <v>43.388344017096074</v>
      </c>
      <c r="Z11" s="2">
        <f t="shared" si="3"/>
        <v>46.152489477687872</v>
      </c>
      <c r="AA11" s="3">
        <f t="shared" si="4"/>
        <v>51.039548546932352</v>
      </c>
      <c r="AB11" s="2">
        <f t="shared" si="5"/>
        <v>52.263095952775792</v>
      </c>
      <c r="AC11" s="2">
        <f t="shared" si="6"/>
        <v>53.608088042759931</v>
      </c>
      <c r="AD11" s="2">
        <f t="shared" si="7"/>
        <v>-0.4451964743252278</v>
      </c>
      <c r="AE11" s="2">
        <f t="shared" si="8"/>
        <v>-1.6345739158083501</v>
      </c>
    </row>
    <row r="12" spans="1:35" x14ac:dyDescent="0.2">
      <c r="B12" s="1">
        <f>[3]FormattedData!A24</f>
        <v>103</v>
      </c>
      <c r="C12" s="1" t="str">
        <f>VLOOKUP($B12,[3]TrtCodes!$B$11:I67,2)</f>
        <v>FDH</v>
      </c>
      <c r="D12" s="1">
        <f>VLOOKUP($B12,[3]TrtCodes!$B$11:J67,3)</f>
        <v>5</v>
      </c>
      <c r="E12" s="1">
        <f>VLOOKUP($B12,[3]TrtCodes!$B$11:K67,4)</f>
        <v>1</v>
      </c>
      <c r="F12" s="1">
        <f>VLOOKUP($B12,[3]TrtCodes!$B$11:L67,5)</f>
        <v>3</v>
      </c>
      <c r="G12" s="1">
        <f>VLOOKUP($B12,[3]TrtCodes!$B$11:M67,6)</f>
        <v>2</v>
      </c>
      <c r="H12" s="1">
        <f>VLOOKUP($B12,[3]TrtCodes!$B$11:N67,7)</f>
        <v>1</v>
      </c>
      <c r="I12" s="1">
        <f>[3]FormattedData!B24</f>
        <v>1</v>
      </c>
      <c r="J12" s="4">
        <f>[3]FormattedData!C24</f>
        <v>13.21</v>
      </c>
      <c r="K12" s="6">
        <f>$J$3+[3]FormattedData!D24*$J$4+$M$4*$J$5+[3]FormattedData!D24^2*$J$6+$M$5*$J$7</f>
        <v>51.171285620059301</v>
      </c>
      <c r="L12" s="6">
        <f>$J$3+[3]FormattedData!E24*$J$4+$M$4*$J$5+[3]FormattedData!E24^2*$J$6+$M$5*$J$7</f>
        <v>41.277315042266579</v>
      </c>
      <c r="M12" s="6">
        <f>$J$3+[3]FormattedData!F24*$J$4+$M$4*$J$5+[3]FormattedData!F24^2*$J$6+$M$5*$J$7</f>
        <v>40.63038976648788</v>
      </c>
      <c r="N12" s="6">
        <f>$J$3+[3]FormattedData!G24*$J$4+$M$4*$J$5+[3]FormattedData!G24^2*$J$6+$M$5*$J$7</f>
        <v>47.006440398136732</v>
      </c>
      <c r="O12" s="6">
        <f>$J$3+[3]FormattedData!H24*$J$4+$M$4*$J$5+[3]FormattedData!H24^2*$J$6+$M$5*$J$7</f>
        <v>37.646641509544779</v>
      </c>
      <c r="P12" s="6">
        <f>$J$3+[3]FormattedData!I24*$J$4+$M$4*$J$5+[3]FormattedData!I24^2*$J$6+$M$5*$J$7</f>
        <v>47.811191871257073</v>
      </c>
      <c r="Q12" s="6">
        <f>$J$3+[3]FormattedData!J24*$J$4+$M$4*$J$5+[3]FormattedData!J24^2*$J$6+$M$5*$J$7</f>
        <v>36.516577019177298</v>
      </c>
      <c r="R12" s="6">
        <f>$J$3+[3]FormattedData!K24*$J$4+$M$4*$J$5+[3]FormattedData!K24^2*$J$6+$M$5*$J$7</f>
        <v>45.477012935359994</v>
      </c>
      <c r="S12" s="6">
        <f>$J$3+[3]FormattedData!L24*$J$4+$M$4*$J$5+[3]FormattedData!L24^2*$J$6+$M$5*$J$7</f>
        <v>39.143926010871517</v>
      </c>
      <c r="T12" s="6">
        <f>$J$3+[3]FormattedData!M24*$J$4+$M$4*$J$5+[3]FormattedData!M24^2*$J$6+$M$5*$J$7</f>
        <v>47.096026302635167</v>
      </c>
      <c r="U12" s="6">
        <f>$J$3+[3]FormattedData!N24*$J$4+$M$4*$J$5+[3]FormattedData!N24^2*$J$6+$M$5*$J$7</f>
        <v>48.078681528614425</v>
      </c>
      <c r="V12" s="6">
        <f>$J$3+[3]FormattedData!O24*$J$4+$M$4*$J$5+[3]FormattedData!O24^2*$J$6+$M$5*$J$7</f>
        <v>46.01820572515058</v>
      </c>
      <c r="W12" s="5">
        <f t="shared" si="0"/>
        <v>43.989474477463439</v>
      </c>
      <c r="X12" s="4">
        <f t="shared" si="1"/>
        <v>1.3656532000809911</v>
      </c>
      <c r="Y12" s="3">
        <f t="shared" si="2"/>
        <v>36.516577019177298</v>
      </c>
      <c r="Z12" s="2">
        <f t="shared" si="3"/>
        <v>40.258773827583788</v>
      </c>
      <c r="AA12" s="3">
        <f t="shared" si="4"/>
        <v>45.747609330255287</v>
      </c>
      <c r="AB12" s="2">
        <f t="shared" si="5"/>
        <v>47.274817694790642</v>
      </c>
      <c r="AC12" s="2">
        <f t="shared" si="6"/>
        <v>51.171285620059301</v>
      </c>
      <c r="AD12" s="2">
        <f t="shared" si="7"/>
        <v>-0.28893500597292859</v>
      </c>
      <c r="AE12" s="2">
        <f t="shared" si="8"/>
        <v>-1.2582244511374112</v>
      </c>
    </row>
    <row r="13" spans="1:35" x14ac:dyDescent="0.2">
      <c r="B13" s="1">
        <f>[3]FormattedData!A22</f>
        <v>104</v>
      </c>
      <c r="C13" s="1" t="str">
        <f>VLOOKUP($B13,[3]TrtCodes!$B$11:I65,2)</f>
        <v>NTL</v>
      </c>
      <c r="D13" s="1">
        <f>VLOOKUP($B13,[3]TrtCodes!$B$11:J65,3)</f>
        <v>10</v>
      </c>
      <c r="E13" s="1">
        <f>VLOOKUP($B13,[3]TrtCodes!$B$11:K65,4)</f>
        <v>2</v>
      </c>
      <c r="F13" s="1">
        <f>VLOOKUP($B13,[3]TrtCodes!$B$11:L65,5)</f>
        <v>2</v>
      </c>
      <c r="G13" s="1">
        <f>VLOOKUP($B13,[3]TrtCodes!$B$11:M65,6)</f>
        <v>1</v>
      </c>
      <c r="H13" s="1">
        <f>VLOOKUP($B13,[3]TrtCodes!$B$11:N65,7)</f>
        <v>1</v>
      </c>
      <c r="I13" s="1">
        <f>[3]FormattedData!B22</f>
        <v>1</v>
      </c>
      <c r="J13" s="4">
        <f>[3]FormattedData!C22</f>
        <v>13.194000000000001</v>
      </c>
      <c r="K13" s="6">
        <f>$J$3+[3]FormattedData!D22*$J$4+$M$4*$J$5+[3]FormattedData!D22^2*$J$6+$M$5*$J$7</f>
        <v>51.696247291284323</v>
      </c>
      <c r="L13" s="6">
        <f>$J$3+[3]FormattedData!E22*$J$4+$M$4*$J$5+[3]FormattedData!E22^2*$J$6+$M$5*$J$7</f>
        <v>47.721944115062094</v>
      </c>
      <c r="M13" s="6">
        <f>$J$3+[3]FormattedData!F22*$J$4+$M$4*$J$5+[3]FormattedData!F22^2*$J$6+$M$5*$J$7</f>
        <v>46.557876847575628</v>
      </c>
      <c r="N13" s="6">
        <f>$J$3+[3]FormattedData!G22*$J$4+$M$4*$J$5+[3]FormattedData!G22^2*$J$6+$M$5*$J$7</f>
        <v>39.050662743573085</v>
      </c>
      <c r="O13" s="6">
        <f>$J$3+[3]FormattedData!H22*$J$4+$M$4*$J$5+[3]FormattedData!H22^2*$J$6+$M$5*$J$7</f>
        <v>46.557876847575628</v>
      </c>
      <c r="P13" s="6">
        <f>$J$3+[3]FormattedData!I22*$J$4+$M$4*$J$5+[3]FormattedData!I22^2*$J$6+$M$5*$J$7</f>
        <v>49.940457458557233</v>
      </c>
      <c r="Q13" s="6">
        <f>$J$3+[3]FormattedData!J22*$J$4+$M$4*$J$5+[3]FormattedData!J22^2*$J$6+$M$5*$J$7</f>
        <v>48.701344663620652</v>
      </c>
      <c r="R13" s="6">
        <f>$J$3+[3]FormattedData!K22*$J$4+$M$4*$J$5+[3]FormattedData!K22^2*$J$6+$M$5*$J$7</f>
        <v>46.468037331849622</v>
      </c>
      <c r="S13" s="6">
        <f>$J$3+[3]FormattedData!L22*$J$4+$M$4*$J$5+[3]FormattedData!L22^2*$J$6+$M$5*$J$7</f>
        <v>45.928112598196975</v>
      </c>
      <c r="T13" s="6">
        <f>$J$3+[3]FormattedData!M22*$J$4+$M$4*$J$5+[3]FormattedData!M22^2*$J$6+$M$5*$J$7</f>
        <v>45.657579606108577</v>
      </c>
      <c r="U13" s="6">
        <f>$J$3+[3]FormattedData!N22*$J$4+$M$4*$J$5+[3]FormattedData!N22^2*$J$6+$M$5*$J$7</f>
        <v>46.916812225100387</v>
      </c>
      <c r="V13" s="6">
        <f>$J$3+[3]FormattedData!O22*$J$4+$M$4*$J$5+[3]FormattedData!O22^2*$J$6+$M$5*$J$7</f>
        <v>48.790127465898387</v>
      </c>
      <c r="W13" s="5">
        <f t="shared" si="0"/>
        <v>46.998923266200222</v>
      </c>
      <c r="X13" s="4">
        <f t="shared" si="1"/>
        <v>0.88824476335394653</v>
      </c>
      <c r="Y13" s="3">
        <f t="shared" si="2"/>
        <v>39.050662743573085</v>
      </c>
      <c r="Z13" s="2">
        <f t="shared" si="3"/>
        <v>46.333056148436462</v>
      </c>
      <c r="AA13" s="3">
        <f t="shared" si="4"/>
        <v>46.737344536338007</v>
      </c>
      <c r="AB13" s="2">
        <f t="shared" si="5"/>
        <v>48.723540364190086</v>
      </c>
      <c r="AC13" s="2">
        <f t="shared" si="6"/>
        <v>51.696247291284323</v>
      </c>
      <c r="AD13" s="2">
        <f t="shared" si="7"/>
        <v>-1.3703274190274308</v>
      </c>
      <c r="AE13" s="2">
        <f t="shared" si="8"/>
        <v>4.0116663310877527</v>
      </c>
    </row>
    <row r="14" spans="1:35" x14ac:dyDescent="0.2">
      <c r="B14" s="1">
        <f>[3]FormattedData!A20</f>
        <v>105</v>
      </c>
      <c r="C14" s="1" t="str">
        <f>VLOOKUP($B14,[3]TrtCodes!$B$11:I63,2)</f>
        <v>NDL</v>
      </c>
      <c r="D14" s="1">
        <f>VLOOKUP($B14,[3]TrtCodes!$B$11:J63,3)</f>
        <v>12</v>
      </c>
      <c r="E14" s="1">
        <f>VLOOKUP($B14,[3]TrtCodes!$B$11:K63,4)</f>
        <v>2</v>
      </c>
      <c r="F14" s="1">
        <f>VLOOKUP($B14,[3]TrtCodes!$B$11:L63,5)</f>
        <v>3</v>
      </c>
      <c r="G14" s="1">
        <f>VLOOKUP($B14,[3]TrtCodes!$B$11:M63,6)</f>
        <v>1</v>
      </c>
      <c r="H14" s="1">
        <f>VLOOKUP($B14,[3]TrtCodes!$B$11:N63,7)</f>
        <v>2</v>
      </c>
      <c r="I14" s="1">
        <f>[3]FormattedData!B20</f>
        <v>1</v>
      </c>
      <c r="J14" s="4">
        <f>[3]FormattedData!C20</f>
        <v>13.178000000000001</v>
      </c>
      <c r="K14" s="6">
        <f>$J$3+[3]FormattedData!D20*$J$4+$M$4*$J$5+[3]FormattedData!D20^2*$J$6+$M$5*$J$7</f>
        <v>39.143926010871517</v>
      </c>
      <c r="L14" s="6">
        <f>$J$3+[3]FormattedData!E20*$J$4+$M$4*$J$5+[3]FormattedData!E20^2*$J$6+$M$5*$J$7</f>
        <v>31.742458742186187</v>
      </c>
      <c r="M14" s="6">
        <f>$J$3+[3]FormattedData!F20*$J$4+$M$4*$J$5+[3]FormattedData!F20^2*$J$6+$M$5*$J$7</f>
        <v>36.705343786284523</v>
      </c>
      <c r="N14" s="6">
        <f>$J$3+[3]FormattedData!G20*$J$4+$M$4*$J$5+[3]FormattedData!G20^2*$J$6+$M$5*$J$7</f>
        <v>38.770619330450181</v>
      </c>
      <c r="O14" s="6">
        <f>$J$3+[3]FormattedData!H20*$J$4+$M$4*$J$5+[3]FormattedData!H20^2*$J$6+$M$5*$J$7</f>
        <v>40.074233914269684</v>
      </c>
      <c r="P14" s="6">
        <f>$J$3+[3]FormattedData!I20*$J$4+$M$4*$J$5+[3]FormattedData!I20^2*$J$6+$M$5*$J$7</f>
        <v>41.830173948526159</v>
      </c>
      <c r="Q14" s="6">
        <f>$J$3+[3]FormattedData!J20*$J$4+$M$4*$J$5+[3]FormattedData!J20^2*$J$6+$M$5*$J$7</f>
        <v>32.993895077576319</v>
      </c>
      <c r="R14" s="6">
        <f>$J$3+[3]FormattedData!K20*$J$4+$M$4*$J$5+[3]FormattedData!K20^2*$J$6+$M$5*$J$7</f>
        <v>38.583712379011928</v>
      </c>
      <c r="S14" s="6">
        <f>$J$3+[3]FormattedData!L20*$J$4+$M$4*$J$5+[3]FormattedData!L20^2*$J$6+$M$5*$J$7</f>
        <v>35.570207071365303</v>
      </c>
      <c r="T14" s="6">
        <f>$J$3+[3]FormattedData!M20*$J$4+$M$4*$J$5+[3]FormattedData!M20^2*$J$6+$M$5*$J$7</f>
        <v>42.56495211874811</v>
      </c>
      <c r="U14" s="6">
        <f>$J$3+[3]FormattedData!N20*$J$4+$M$4*$J$5+[3]FormattedData!N20^2*$J$6+$M$5*$J$7</f>
        <v>35.949262272945276</v>
      </c>
      <c r="V14" s="6">
        <f>$J$3+[3]FormattedData!O20*$J$4+$M$4*$J$5+[3]FormattedData!O20^2*$J$6+$M$5*$J$7</f>
        <v>44.299208393045909</v>
      </c>
      <c r="W14" s="5">
        <f t="shared" si="0"/>
        <v>38.18566608710676</v>
      </c>
      <c r="X14" s="4">
        <f t="shared" si="1"/>
        <v>1.0917196401481275</v>
      </c>
      <c r="Y14" s="3">
        <f t="shared" si="2"/>
        <v>31.742458742186187</v>
      </c>
      <c r="Z14" s="2">
        <f t="shared" si="3"/>
        <v>35.854498472550283</v>
      </c>
      <c r="AA14" s="3">
        <f t="shared" si="4"/>
        <v>38.677165854731058</v>
      </c>
      <c r="AB14" s="2">
        <f t="shared" si="5"/>
        <v>40.513218922833801</v>
      </c>
      <c r="AC14" s="2">
        <f t="shared" si="6"/>
        <v>44.299208393045909</v>
      </c>
      <c r="AD14" s="2">
        <f t="shared" si="7"/>
        <v>-0.14316268568157731</v>
      </c>
      <c r="AE14" s="2">
        <f t="shared" si="8"/>
        <v>-0.58105811862609302</v>
      </c>
    </row>
    <row r="15" spans="1:35" x14ac:dyDescent="0.2">
      <c r="B15" s="1">
        <f>[3]FormattedData!A18</f>
        <v>106</v>
      </c>
      <c r="C15" s="1" t="str">
        <f>VLOOKUP($B15,[3]TrtCodes!$B$11:I61,2)</f>
        <v>NTH</v>
      </c>
      <c r="D15" s="1">
        <f>VLOOKUP($B15,[3]TrtCodes!$B$11:J61,3)</f>
        <v>9</v>
      </c>
      <c r="E15" s="1">
        <f>VLOOKUP($B15,[3]TrtCodes!$B$11:K61,4)</f>
        <v>2</v>
      </c>
      <c r="F15" s="1">
        <f>VLOOKUP($B15,[3]TrtCodes!$B$11:L61,5)</f>
        <v>2</v>
      </c>
      <c r="G15" s="1">
        <f>VLOOKUP($B15,[3]TrtCodes!$B$11:M61,6)</f>
        <v>2</v>
      </c>
      <c r="H15" s="1">
        <f>VLOOKUP($B15,[3]TrtCodes!$B$11:N61,7)</f>
        <v>2</v>
      </c>
      <c r="I15" s="1">
        <f>[3]FormattedData!B18</f>
        <v>1</v>
      </c>
      <c r="J15" s="4">
        <f>[3]FormattedData!C18</f>
        <v>13.163</v>
      </c>
      <c r="K15" s="6">
        <f>$J$3+[3]FormattedData!D18*$J$4+$M$4*$J$5+[3]FormattedData!D18^2*$J$6+$M$5*$J$7</f>
        <v>51.346441917952696</v>
      </c>
      <c r="L15" s="6">
        <f>$J$3+[3]FormattedData!E18*$J$4+$M$4*$J$5+[3]FormattedData!E18^2*$J$6+$M$5*$J$7</f>
        <v>42.381511187420209</v>
      </c>
      <c r="M15" s="6">
        <f>$J$3+[3]FormattedData!F18*$J$4+$M$4*$J$5+[3]FormattedData!F18^2*$J$6+$M$5*$J$7</f>
        <v>48.345790769130389</v>
      </c>
      <c r="N15" s="6">
        <f>$J$3+[3]FormattedData!G18*$J$4+$M$4*$J$5+[3]FormattedData!G18^2*$J$6+$M$5*$J$7</f>
        <v>41.830173948526159</v>
      </c>
      <c r="O15" s="6">
        <f>$J$3+[3]FormattedData!H18*$J$4+$M$4*$J$5+[3]FormattedData!H18^2*$J$6+$M$5*$J$7</f>
        <v>50.732655175912008</v>
      </c>
      <c r="P15" s="6">
        <f>$J$3+[3]FormattedData!I18*$J$4+$M$4*$J$5+[3]FormattedData!I18^2*$J$6+$M$5*$J$7</f>
        <v>46.468037331849622</v>
      </c>
      <c r="Q15" s="6">
        <f>$J$3+[3]FormattedData!J18*$J$4+$M$4*$J$5+[3]FormattedData!J18^2*$J$6+$M$5*$J$7</f>
        <v>42.381511187420209</v>
      </c>
      <c r="R15" s="6">
        <f>$J$3+[3]FormattedData!K18*$J$4+$M$4*$J$5+[3]FormattedData!K18^2*$J$6+$M$5*$J$7</f>
        <v>45.837977202705439</v>
      </c>
      <c r="S15" s="6">
        <f>$J$3+[3]FormattedData!L18*$J$4+$M$4*$J$5+[3]FormattedData!L18^2*$J$6+$M$5*$J$7</f>
        <v>40.167032227650871</v>
      </c>
      <c r="T15" s="6">
        <f>$J$3+[3]FormattedData!M18*$J$4+$M$4*$J$5+[3]FormattedData!M18^2*$J$6+$M$5*$J$7</f>
        <v>44.208312163871618</v>
      </c>
      <c r="U15" s="6">
        <f>$J$3+[3]FormattedData!N18*$J$4+$M$4*$J$5+[3]FormattedData!N18^2*$J$6+$M$5*$J$7</f>
        <v>40.72293446864149</v>
      </c>
      <c r="V15" s="6">
        <f>$J$3+[3]FormattedData!O18*$J$4+$M$4*$J$5+[3]FormattedData!O18^2*$J$6+$M$5*$J$7</f>
        <v>46.737429073413864</v>
      </c>
      <c r="W15" s="5">
        <f t="shared" si="0"/>
        <v>45.096650554541213</v>
      </c>
      <c r="X15" s="4">
        <f t="shared" si="1"/>
        <v>1.0875928406251107</v>
      </c>
      <c r="Y15" s="3">
        <f t="shared" si="2"/>
        <v>40.167032227650871</v>
      </c>
      <c r="Z15" s="2">
        <f t="shared" si="3"/>
        <v>42.2436768776967</v>
      </c>
      <c r="AA15" s="3">
        <f t="shared" si="4"/>
        <v>45.023144683288528</v>
      </c>
      <c r="AB15" s="2">
        <f t="shared" si="5"/>
        <v>47.139519497342995</v>
      </c>
      <c r="AC15" s="2">
        <f t="shared" si="6"/>
        <v>51.346441917952696</v>
      </c>
      <c r="AD15" s="2">
        <f t="shared" si="7"/>
        <v>0.3790176791612454</v>
      </c>
      <c r="AE15" s="2">
        <f t="shared" si="8"/>
        <v>-1.0325483206145685</v>
      </c>
    </row>
    <row r="16" spans="1:35" x14ac:dyDescent="0.2">
      <c r="B16" s="1">
        <f>[3]FormattedData!A16</f>
        <v>107</v>
      </c>
      <c r="C16" s="1" t="str">
        <f>VLOOKUP($B16,[3]TrtCodes!$B$11:I59,2)</f>
        <v>NTL</v>
      </c>
      <c r="D16" s="1">
        <f>VLOOKUP($B16,[3]TrtCodes!$B$11:J59,3)</f>
        <v>10</v>
      </c>
      <c r="E16" s="1">
        <f>VLOOKUP($B16,[3]TrtCodes!$B$11:K59,4)</f>
        <v>2</v>
      </c>
      <c r="F16" s="1">
        <f>VLOOKUP($B16,[3]TrtCodes!$B$11:L59,5)</f>
        <v>2</v>
      </c>
      <c r="G16" s="1">
        <f>VLOOKUP($B16,[3]TrtCodes!$B$11:M59,6)</f>
        <v>1</v>
      </c>
      <c r="H16" s="1">
        <f>VLOOKUP($B16,[3]TrtCodes!$B$11:N59,7)</f>
        <v>2</v>
      </c>
      <c r="I16" s="1">
        <f>[3]FormattedData!B16</f>
        <v>1</v>
      </c>
      <c r="J16" s="4">
        <f>[3]FormattedData!C16</f>
        <v>13.147</v>
      </c>
      <c r="K16" s="6">
        <f>$J$3+[3]FormattedData!D16*$J$4+$M$4*$J$5+[3]FormattedData!D16^2*$J$6+$M$5*$J$7</f>
        <v>53.262002300766255</v>
      </c>
      <c r="L16" s="6">
        <f>$J$3+[3]FormattedData!E16*$J$4+$M$4*$J$5+[3]FormattedData!E16^2*$J$6+$M$5*$J$7</f>
        <v>48.790127465898387</v>
      </c>
      <c r="M16" s="6">
        <f>$J$3+[3]FormattedData!F16*$J$4+$M$4*$J$5+[3]FormattedData!F16^2*$J$6+$M$5*$J$7</f>
        <v>47.364530404902865</v>
      </c>
      <c r="N16" s="6">
        <f>$J$3+[3]FormattedData!G16*$J$4+$M$4*$J$5+[3]FormattedData!G16^2*$J$6+$M$5*$J$7</f>
        <v>48.523652253451388</v>
      </c>
      <c r="O16" s="6">
        <f>$J$3+[3]FormattedData!H16*$J$4+$M$4*$J$5+[3]FormattedData!H16^2*$J$6+$M$5*$J$7</f>
        <v>38.490195500485903</v>
      </c>
      <c r="P16" s="6">
        <f>$J$3+[3]FormattedData!I16*$J$4+$M$4*$J$5+[3]FormattedData!I16^2*$J$6+$M$5*$J$7</f>
        <v>47.900397358914113</v>
      </c>
      <c r="Q16" s="6">
        <f>$J$3+[3]FormattedData!J16*$J$4+$M$4*$J$5+[3]FormattedData!J16^2*$J$6+$M$5*$J$7</f>
        <v>40.72293446864149</v>
      </c>
      <c r="R16" s="6">
        <f>$J$3+[3]FormattedData!K16*$J$4+$M$4*$J$5+[3]FormattedData!K16^2*$J$6+$M$5*$J$7</f>
        <v>50.028648501303927</v>
      </c>
      <c r="S16" s="6">
        <f>$J$3+[3]FormattedData!L16*$J$4+$M$4*$J$5+[3]FormattedData!L16^2*$J$6+$M$5*$J$7</f>
        <v>45.477012935359994</v>
      </c>
      <c r="T16" s="6">
        <f>$J$3+[3]FormattedData!M16*$J$4+$M$4*$J$5+[3]FormattedData!M16^2*$J$6+$M$5*$J$7</f>
        <v>48.345790769130389</v>
      </c>
      <c r="U16" s="6">
        <f>$J$3+[3]FormattedData!N16*$J$4+$M$4*$J$5+[3]FormattedData!N16^2*$J$6+$M$5*$J$7</f>
        <v>46.288231494783787</v>
      </c>
      <c r="V16" s="6">
        <f>$J$3+[3]FormattedData!O16*$J$4+$M$4*$J$5+[3]FormattedData!O16^2*$J$6+$M$5*$J$7</f>
        <v>44.390062353682268</v>
      </c>
      <c r="W16" s="5">
        <f t="shared" si="0"/>
        <v>46.631965483943397</v>
      </c>
      <c r="X16" s="4">
        <f t="shared" si="1"/>
        <v>1.1563298053498468</v>
      </c>
      <c r="Y16" s="3">
        <f t="shared" si="2"/>
        <v>38.490195500485903</v>
      </c>
      <c r="Z16" s="2">
        <f t="shared" si="3"/>
        <v>45.205275289940559</v>
      </c>
      <c r="AA16" s="3">
        <f t="shared" si="4"/>
        <v>47.632463881908492</v>
      </c>
      <c r="AB16" s="2">
        <f t="shared" si="5"/>
        <v>48.590271056563139</v>
      </c>
      <c r="AC16" s="2">
        <f t="shared" si="6"/>
        <v>53.262002300766255</v>
      </c>
      <c r="AD16" s="2">
        <f t="shared" si="7"/>
        <v>-0.68566274798874038</v>
      </c>
      <c r="AE16" s="2">
        <f t="shared" si="8"/>
        <v>0.71126862616234732</v>
      </c>
    </row>
    <row r="17" spans="2:31" x14ac:dyDescent="0.2">
      <c r="B17" s="1">
        <f>[3]FormattedData!A14</f>
        <v>108</v>
      </c>
      <c r="C17" s="1" t="str">
        <f>VLOOKUP($B17,[3]TrtCodes!$B$11:I57,2)</f>
        <v>FTH</v>
      </c>
      <c r="D17" s="1">
        <f>VLOOKUP($B17,[3]TrtCodes!$B$11:J57,3)</f>
        <v>3</v>
      </c>
      <c r="E17" s="1">
        <f>VLOOKUP($B17,[3]TrtCodes!$B$11:K57,4)</f>
        <v>1</v>
      </c>
      <c r="F17" s="1">
        <f>VLOOKUP($B17,[3]TrtCodes!$B$11:L57,5)</f>
        <v>2</v>
      </c>
      <c r="G17" s="1">
        <f>VLOOKUP($B17,[3]TrtCodes!$B$11:M57,6)</f>
        <v>2</v>
      </c>
      <c r="H17" s="1">
        <f>VLOOKUP($B17,[3]TrtCodes!$B$11:N57,7)</f>
        <v>2</v>
      </c>
      <c r="I17" s="1">
        <f>[3]FormattedData!B14</f>
        <v>1</v>
      </c>
      <c r="J17" s="4">
        <f>[3]FormattedData!C14</f>
        <v>13.13</v>
      </c>
      <c r="K17" s="6">
        <f>$J$3+[3]FormattedData!D14*$J$4+$M$4*$J$5+[3]FormattedData!D14^2*$J$6+$M$5*$J$7</f>
        <v>53.175375193923003</v>
      </c>
      <c r="L17" s="6">
        <f>$J$3+[3]FormattedData!E14*$J$4+$M$4*$J$5+[3]FormattedData!E14^2*$J$6+$M$5*$J$7</f>
        <v>42.473252787353118</v>
      </c>
      <c r="M17" s="6">
        <f>$J$3+[3]FormattedData!F14*$J$4+$M$4*$J$5+[3]FormattedData!F14^2*$J$6+$M$5*$J$7</f>
        <v>46.647674094763715</v>
      </c>
      <c r="N17" s="6">
        <f>$J$3+[3]FormattedData!G14*$J$4+$M$4*$J$5+[3]FormattedData!G14^2*$J$6+$M$5*$J$7</f>
        <v>40.537802795796345</v>
      </c>
      <c r="O17" s="6">
        <f>$J$3+[3]FormattedData!H14*$J$4+$M$4*$J$5+[3]FormattedData!H14^2*$J$6+$M$5*$J$7</f>
        <v>48.256796624163002</v>
      </c>
      <c r="P17" s="6">
        <f>$J$3+[3]FormattedData!I14*$J$4+$M$4*$J$5+[3]FormattedData!I14^2*$J$6+$M$5*$J$7</f>
        <v>47.900397358914113</v>
      </c>
      <c r="Q17" s="6">
        <f>$J$3+[3]FormattedData!J14*$J$4+$M$4*$J$5+[3]FormattedData!J14^2*$J$6+$M$5*$J$7</f>
        <v>51.083644068305709</v>
      </c>
      <c r="R17" s="6">
        <f>$J$3+[3]FormattedData!K14*$J$4+$M$4*$J$5+[3]FormattedData!K14^2*$J$6+$M$5*$J$7</f>
        <v>40.815436902257161</v>
      </c>
      <c r="S17" s="6">
        <f>$J$3+[3]FormattedData!L14*$J$4+$M$4*$J$5+[3]FormattedData!L14^2*$J$6+$M$5*$J$7</f>
        <v>50.820465801817335</v>
      </c>
      <c r="T17" s="6">
        <f>$J$3+[3]FormattedData!M14*$J$4+$M$4*$J$5+[3]FormattedData!M14^2*$J$6+$M$5*$J$7</f>
        <v>38.209391253680245</v>
      </c>
      <c r="U17" s="6">
        <f>$J$3+[3]FormattedData!N14*$J$4+$M$4*$J$5+[3]FormattedData!N14^2*$J$6+$M$5*$J$7</f>
        <v>51.521429141694377</v>
      </c>
      <c r="V17" s="6">
        <f>$J$3+[3]FormattedData!O14*$J$4+$M$4*$J$5+[3]FormattedData!O14^2*$J$6+$M$5*$J$7</f>
        <v>39.702617975365584</v>
      </c>
      <c r="W17" s="5">
        <f t="shared" si="0"/>
        <v>45.92869033316947</v>
      </c>
      <c r="X17" s="4">
        <f t="shared" si="1"/>
        <v>1.5315358261401011</v>
      </c>
      <c r="Y17" s="3">
        <f t="shared" si="2"/>
        <v>38.209391253680245</v>
      </c>
      <c r="Z17" s="2">
        <f t="shared" si="3"/>
        <v>40.746028375641956</v>
      </c>
      <c r="AA17" s="3">
        <f t="shared" si="4"/>
        <v>47.274035726838918</v>
      </c>
      <c r="AB17" s="2">
        <f t="shared" si="5"/>
        <v>50.88626036843943</v>
      </c>
      <c r="AC17" s="2">
        <f t="shared" si="6"/>
        <v>53.175375193923003</v>
      </c>
      <c r="AD17" s="2">
        <f t="shared" si="7"/>
        <v>-0.14811251996984048</v>
      </c>
      <c r="AE17" s="2">
        <f t="shared" si="8"/>
        <v>-1.6896431348751397</v>
      </c>
    </row>
    <row r="18" spans="2:31" x14ac:dyDescent="0.2">
      <c r="B18" s="1">
        <f>[3]FormattedData!A30</f>
        <v>201</v>
      </c>
      <c r="C18" s="1" t="str">
        <f>VLOOKUP($B18,[3]TrtCodes!$B$11:I73,2)</f>
        <v>NDL</v>
      </c>
      <c r="D18" s="1">
        <f>VLOOKUP($B18,[3]TrtCodes!$B$11:J73,3)</f>
        <v>12</v>
      </c>
      <c r="E18" s="1">
        <f>VLOOKUP($B18,[3]TrtCodes!$B$11:K73,4)</f>
        <v>2</v>
      </c>
      <c r="F18" s="1">
        <f>VLOOKUP($B18,[3]TrtCodes!$B$11:L73,5)</f>
        <v>3</v>
      </c>
      <c r="G18" s="1">
        <f>VLOOKUP($B18,[3]TrtCodes!$B$11:M73,6)</f>
        <v>1</v>
      </c>
      <c r="H18" s="1">
        <f>VLOOKUP($B18,[3]TrtCodes!$B$11:N73,7)</f>
        <v>1</v>
      </c>
      <c r="I18" s="1">
        <f>[3]FormattedData!B30</f>
        <v>1</v>
      </c>
      <c r="J18" s="4">
        <f>[3]FormattedData!C30</f>
        <v>13.266</v>
      </c>
      <c r="K18" s="6">
        <f>$J$3+[3]FormattedData!D30*$J$4+$M$4*$J$5+[3]FormattedData!D30^2*$J$6+$M$5*$J$7</f>
        <v>46.01820572515058</v>
      </c>
      <c r="L18" s="6">
        <f>$J$3+[3]FormattedData!E30*$J$4+$M$4*$J$5+[3]FormattedData!E30^2*$J$6+$M$5*$J$7</f>
        <v>37.270629642695859</v>
      </c>
      <c r="M18" s="6">
        <f>$J$3+[3]FormattedData!F30*$J$4+$M$4*$J$5+[3]FormattedData!F30^2*$J$6+$M$5*$J$7</f>
        <v>42.197901181940587</v>
      </c>
      <c r="N18" s="6">
        <f>$J$3+[3]FormattedData!G30*$J$4+$M$4*$J$5+[3]FormattedData!G30^2*$J$6+$M$5*$J$7</f>
        <v>32.320932382432034</v>
      </c>
      <c r="O18" s="6">
        <f>$J$3+[3]FormattedData!H30*$J$4+$M$4*$J$5+[3]FormattedData!H30^2*$J$6+$M$5*$J$7</f>
        <v>43.29702510254247</v>
      </c>
      <c r="P18" s="6">
        <f>$J$3+[3]FormattedData!I30*$J$4+$M$4*$J$5+[3]FormattedData!I30^2*$J$6+$M$5*$J$7</f>
        <v>33.089863531302342</v>
      </c>
      <c r="Q18" s="6">
        <f>$J$3+[3]FormattedData!J30*$J$4+$M$4*$J$5+[3]FormattedData!J30^2*$J$6+$M$5*$J$7</f>
        <v>42.56495211874811</v>
      </c>
      <c r="R18" s="6">
        <f>$J$3+[3]FormattedData!K30*$J$4+$M$4*$J$5+[3]FormattedData!K30^2*$J$6+$M$5*$J$7</f>
        <v>33.569071771863527</v>
      </c>
      <c r="S18" s="6">
        <f>$J$3+[3]FormattedData!L30*$J$4+$M$4*$J$5+[3]FormattedData!L30^2*$J$6+$M$5*$J$7</f>
        <v>42.839796501705479</v>
      </c>
      <c r="T18" s="6">
        <f>$J$3+[3]FormattedData!M30*$J$4+$M$4*$J$5+[3]FormattedData!M30^2*$J$6+$M$5*$J$7</f>
        <v>33.664786614361979</v>
      </c>
      <c r="U18" s="6">
        <f>$J$3+[3]FormattedData!N30*$J$4+$M$4*$J$5+[3]FormattedData!N30^2*$J$6+$M$5*$J$7</f>
        <v>41.830173948526159</v>
      </c>
      <c r="V18" s="6">
        <f>$J$3+[3]FormattedData!O30*$J$4+$M$4*$J$5+[3]FormattedData!O30^2*$J$6+$M$5*$J$7</f>
        <v>37.834393831741664</v>
      </c>
      <c r="W18" s="5">
        <f t="shared" si="0"/>
        <v>38.874811029417572</v>
      </c>
      <c r="X18" s="4">
        <f t="shared" si="1"/>
        <v>1.3900878719345418</v>
      </c>
      <c r="Y18" s="3">
        <f t="shared" si="2"/>
        <v>32.320932382432034</v>
      </c>
      <c r="Z18" s="2">
        <f t="shared" si="3"/>
        <v>33.64085790373737</v>
      </c>
      <c r="AA18" s="3">
        <f t="shared" si="4"/>
        <v>39.832283890133908</v>
      </c>
      <c r="AB18" s="2">
        <f t="shared" si="5"/>
        <v>42.633663214487456</v>
      </c>
      <c r="AC18" s="2">
        <f t="shared" si="6"/>
        <v>46.01820572515058</v>
      </c>
      <c r="AD18" s="2">
        <f t="shared" si="7"/>
        <v>-0.14172126327344864</v>
      </c>
      <c r="AE18" s="2">
        <f t="shared" si="8"/>
        <v>-1.6539333979287645</v>
      </c>
    </row>
    <row r="19" spans="2:31" x14ac:dyDescent="0.2">
      <c r="B19" s="1">
        <f>[3]FormattedData!A32</f>
        <v>202</v>
      </c>
      <c r="C19" s="1" t="str">
        <f>VLOOKUP($B19,[3]TrtCodes!$B$11:I75,2)</f>
        <v>NTH</v>
      </c>
      <c r="D19" s="1">
        <f>VLOOKUP($B19,[3]TrtCodes!$B$11:J75,3)</f>
        <v>9</v>
      </c>
      <c r="E19" s="1">
        <f>VLOOKUP($B19,[3]TrtCodes!$B$11:K75,4)</f>
        <v>2</v>
      </c>
      <c r="F19" s="1">
        <f>VLOOKUP($B19,[3]TrtCodes!$B$11:L75,5)</f>
        <v>2</v>
      </c>
      <c r="G19" s="1">
        <f>VLOOKUP($B19,[3]TrtCodes!$B$11:M75,6)</f>
        <v>2</v>
      </c>
      <c r="H19" s="1">
        <f>VLOOKUP($B19,[3]TrtCodes!$B$11:N75,7)</f>
        <v>1</v>
      </c>
      <c r="I19" s="1">
        <f>[3]FormattedData!B32</f>
        <v>1</v>
      </c>
      <c r="J19" s="4">
        <f>[3]FormattedData!C32</f>
        <v>13.282</v>
      </c>
      <c r="K19" s="6">
        <f>$J$3+[3]FormattedData!D32*$J$4+$M$4*$J$5+[3]FormattedData!D32^2*$J$6+$M$5*$J$7</f>
        <v>52.567801926958197</v>
      </c>
      <c r="L19" s="6">
        <f>$J$3+[3]FormattedData!E32*$J$4+$M$4*$J$5+[3]FormattedData!E32^2*$J$6+$M$5*$J$7</f>
        <v>52.480836671811495</v>
      </c>
      <c r="M19" s="6">
        <f>$J$3+[3]FormattedData!F32*$J$4+$M$4*$J$5+[3]FormattedData!F32^2*$J$6+$M$5*$J$7</f>
        <v>39.981393332350557</v>
      </c>
      <c r="N19" s="6">
        <f>$J$3+[3]FormattedData!G32*$J$4+$M$4*$J$5+[3]FormattedData!G32^2*$J$6+$M$5*$J$7</f>
        <v>45.837977202705439</v>
      </c>
      <c r="O19" s="6">
        <f>$J$3+[3]FormattedData!H32*$J$4+$M$4*$J$5+[3]FormattedData!H32^2*$J$6+$M$5*$J$7</f>
        <v>40.815436902257161</v>
      </c>
      <c r="P19" s="6">
        <f>$J$3+[3]FormattedData!I32*$J$4+$M$4*$J$5+[3]FormattedData!I32^2*$J$6+$M$5*$J$7</f>
        <v>50.292968018316444</v>
      </c>
      <c r="Q19" s="6">
        <f>$J$3+[3]FormattedData!J32*$J$4+$M$4*$J$5+[3]FormattedData!J32^2*$J$6+$M$5*$J$7</f>
        <v>44.480874045780709</v>
      </c>
      <c r="R19" s="6">
        <f>$J$3+[3]FormattedData!K32*$J$4+$M$4*$J$5+[3]FormattedData!K32^2*$J$6+$M$5*$J$7</f>
        <v>50.732655175912008</v>
      </c>
      <c r="S19" s="6">
        <f>$J$3+[3]FormattedData!L32*$J$4+$M$4*$J$5+[3]FormattedData!L32^2*$J$6+$M$5*$J$7</f>
        <v>48.878867999638189</v>
      </c>
      <c r="T19" s="6">
        <f>$J$3+[3]FormattedData!M32*$J$4+$M$4*$J$5+[3]FormattedData!M32^2*$J$6+$M$5*$J$7</f>
        <v>45.386666197178805</v>
      </c>
      <c r="U19" s="6">
        <f>$J$3+[3]FormattedData!N32*$J$4+$M$4*$J$5+[3]FormattedData!N32^2*$J$6+$M$5*$J$7</f>
        <v>48.167760210657676</v>
      </c>
      <c r="V19" s="6">
        <f>$J$3+[3]FormattedData!O32*$J$4+$M$4*$J$5+[3]FormattedData!O32^2*$J$6+$M$5*$J$7</f>
        <v>38.021977079786815</v>
      </c>
      <c r="W19" s="5">
        <f t="shared" si="0"/>
        <v>46.470434563612791</v>
      </c>
      <c r="X19" s="4">
        <f t="shared" si="1"/>
        <v>1.4189159608992401</v>
      </c>
      <c r="Y19" s="3">
        <f t="shared" si="2"/>
        <v>38.021977079786815</v>
      </c>
      <c r="Z19" s="2">
        <f t="shared" si="3"/>
        <v>43.564514759899822</v>
      </c>
      <c r="AA19" s="3">
        <f t="shared" si="4"/>
        <v>47.002868706681554</v>
      </c>
      <c r="AB19" s="2">
        <f t="shared" si="5"/>
        <v>50.402889807715333</v>
      </c>
      <c r="AC19" s="2">
        <f t="shared" si="6"/>
        <v>52.567801926958197</v>
      </c>
      <c r="AD19" s="2">
        <f t="shared" si="7"/>
        <v>-0.4322629124378678</v>
      </c>
      <c r="AE19" s="2">
        <f t="shared" si="8"/>
        <v>-1.0151229006819382</v>
      </c>
    </row>
    <row r="20" spans="2:31" x14ac:dyDescent="0.2">
      <c r="B20" s="1">
        <f>[3]FormattedData!A34</f>
        <v>203</v>
      </c>
      <c r="C20" s="1" t="str">
        <f>VLOOKUP($B20,[3]TrtCodes!$B$11:I77,2)</f>
        <v>FTH</v>
      </c>
      <c r="D20" s="1">
        <f>VLOOKUP($B20,[3]TrtCodes!$B$11:J77,3)</f>
        <v>3</v>
      </c>
      <c r="E20" s="1">
        <f>VLOOKUP($B20,[3]TrtCodes!$B$11:K77,4)</f>
        <v>1</v>
      </c>
      <c r="F20" s="1">
        <f>VLOOKUP($B20,[3]TrtCodes!$B$11:L77,5)</f>
        <v>2</v>
      </c>
      <c r="G20" s="1">
        <f>VLOOKUP($B20,[3]TrtCodes!$B$11:M77,6)</f>
        <v>2</v>
      </c>
      <c r="H20" s="1">
        <f>VLOOKUP($B20,[3]TrtCodes!$B$11:N77,7)</f>
        <v>1</v>
      </c>
      <c r="I20" s="1">
        <f>[3]FormattedData!B34</f>
        <v>1</v>
      </c>
      <c r="J20" s="4">
        <f>[3]FormattedData!C34</f>
        <v>13.297000000000001</v>
      </c>
      <c r="K20" s="6">
        <f>$J$3+[3]FormattedData!D34*$J$4+$M$4*$J$5+[3]FormattedData!D34^2*$J$6+$M$5*$J$7</f>
        <v>52.828444081170701</v>
      </c>
      <c r="L20" s="6">
        <f>$J$3+[3]FormattedData!E34*$J$4+$M$4*$J$5+[3]FormattedData!E34^2*$J$6+$M$5*$J$7</f>
        <v>49.056222261504004</v>
      </c>
      <c r="M20" s="6">
        <f>$J$3+[3]FormattedData!F34*$J$4+$M$4*$J$5+[3]FormattedData!F34^2*$J$6+$M$5*$J$7</f>
        <v>50.644802281468756</v>
      </c>
      <c r="N20" s="6">
        <f>$J$3+[3]FormattedData!G34*$J$4+$M$4*$J$5+[3]FormattedData!G34^2*$J$6+$M$5*$J$7</f>
        <v>39.702617975365584</v>
      </c>
      <c r="O20" s="6">
        <f>$J$3+[3]FormattedData!H34*$J$4+$M$4*$J$5+[3]FormattedData!H34^2*$J$6+$M$5*$J$7</f>
        <v>45.567317405003251</v>
      </c>
      <c r="P20" s="6">
        <f>$J$3+[3]FormattedData!I34*$J$4+$M$4*$J$5+[3]FormattedData!I34^2*$J$6+$M$5*$J$7</f>
        <v>47.364530404902865</v>
      </c>
      <c r="Q20" s="6">
        <f>$J$3+[3]FormattedData!J34*$J$4+$M$4*$J$5+[3]FormattedData!J34^2*$J$6+$M$5*$J$7</f>
        <v>43.205663919450934</v>
      </c>
      <c r="R20" s="6">
        <f>$J$3+[3]FormattedData!K34*$J$4+$M$4*$J$5+[3]FormattedData!K34^2*$J$6+$M$5*$J$7</f>
        <v>53.262002300766255</v>
      </c>
      <c r="S20" s="6">
        <f>$J$3+[3]FormattedData!L34*$J$4+$M$4*$J$5+[3]FormattedData!L34^2*$J$6+$M$5*$J$7</f>
        <v>51.608859350758308</v>
      </c>
      <c r="T20" s="6">
        <f>$J$3+[3]FormattedData!M34*$J$4+$M$4*$J$5+[3]FormattedData!M34^2*$J$6+$M$5*$J$7</f>
        <v>42.56495211874811</v>
      </c>
      <c r="U20" s="6">
        <f>$J$3+[3]FormattedData!N34*$J$4+$M$4*$J$5+[3]FormattedData!N34^2*$J$6+$M$5*$J$7</f>
        <v>39.702617975365584</v>
      </c>
      <c r="V20" s="6">
        <f>$J$3+[3]FormattedData!O34*$J$4+$M$4*$J$5+[3]FormattedData!O34^2*$J$6+$M$5*$J$7</f>
        <v>44.02639289990924</v>
      </c>
      <c r="W20" s="5">
        <f t="shared" si="0"/>
        <v>46.627868581201142</v>
      </c>
      <c r="X20" s="4">
        <f t="shared" si="1"/>
        <v>1.4085073652481912</v>
      </c>
      <c r="Y20" s="3">
        <f t="shared" si="2"/>
        <v>39.702617975365584</v>
      </c>
      <c r="Z20" s="2">
        <f t="shared" si="3"/>
        <v>43.045485969275227</v>
      </c>
      <c r="AA20" s="3">
        <f t="shared" si="4"/>
        <v>46.465923904953058</v>
      </c>
      <c r="AB20" s="2">
        <f t="shared" si="5"/>
        <v>50.885816548791141</v>
      </c>
      <c r="AC20" s="2">
        <f t="shared" si="6"/>
        <v>53.262002300766255</v>
      </c>
      <c r="AD20" s="2">
        <f t="shared" si="7"/>
        <v>-5.3263099022241876E-2</v>
      </c>
      <c r="AE20" s="2">
        <f t="shared" si="8"/>
        <v>-1.4245684436212356</v>
      </c>
    </row>
    <row r="21" spans="2:31" x14ac:dyDescent="0.2">
      <c r="B21" s="1">
        <f>[3]FormattedData!A36</f>
        <v>204</v>
      </c>
      <c r="C21" s="1" t="str">
        <f>VLOOKUP($B21,[3]TrtCodes!$B$11:I79,2)</f>
        <v>NDH</v>
      </c>
      <c r="D21" s="1">
        <f>VLOOKUP($B21,[3]TrtCodes!$B$11:J79,3)</f>
        <v>11</v>
      </c>
      <c r="E21" s="1">
        <f>VLOOKUP($B21,[3]TrtCodes!$B$11:K79,4)</f>
        <v>2</v>
      </c>
      <c r="F21" s="1">
        <f>VLOOKUP($B21,[3]TrtCodes!$B$11:L79,5)</f>
        <v>3</v>
      </c>
      <c r="G21" s="1">
        <f>VLOOKUP($B21,[3]TrtCodes!$B$11:M79,6)</f>
        <v>2</v>
      </c>
      <c r="H21" s="1">
        <f>VLOOKUP($B21,[3]TrtCodes!$B$11:N79,7)</f>
        <v>1</v>
      </c>
      <c r="I21" s="1">
        <f>[3]FormattedData!B36</f>
        <v>1</v>
      </c>
      <c r="J21" s="4">
        <f>[3]FormattedData!C36</f>
        <v>13.313000000000001</v>
      </c>
      <c r="K21" s="6">
        <f>$J$3+[3]FormattedData!D36*$J$4+$M$4*$J$5+[3]FormattedData!D36^2*$J$6+$M$5*$J$7</f>
        <v>45.115372371407652</v>
      </c>
      <c r="L21" s="6">
        <f>$J$3+[3]FormattedData!E36*$J$4+$M$4*$J$5+[3]FormattedData!E36^2*$J$6+$M$5*$J$7</f>
        <v>35.475337599625483</v>
      </c>
      <c r="M21" s="6">
        <f>$J$3+[3]FormattedData!F36*$J$4+$M$4*$J$5+[3]FormattedData!F36^2*$J$6+$M$5*$J$7</f>
        <v>35.854561875357184</v>
      </c>
      <c r="N21" s="6">
        <f>$J$3+[3]FormattedData!G36*$J$4+$M$4*$J$5+[3]FormattedData!G36^2*$J$6+$M$5*$J$7</f>
        <v>35.380425859347739</v>
      </c>
      <c r="O21" s="6">
        <f>$J$3+[3]FormattedData!H36*$J$4+$M$4*$J$5+[3]FormattedData!H36^2*$J$6+$M$5*$J$7</f>
        <v>44.571643469341211</v>
      </c>
      <c r="P21" s="6">
        <f>$J$3+[3]FormattedData!I36*$J$4+$M$4*$J$5+[3]FormattedData!I36^2*$J$6+$M$5*$J$7</f>
        <v>36.516577019177298</v>
      </c>
      <c r="Q21" s="6">
        <f>$J$3+[3]FormattedData!J36*$J$4+$M$4*$J$5+[3]FormattedData!J36^2*$J$6+$M$5*$J$7</f>
        <v>42.381511187420209</v>
      </c>
      <c r="R21" s="6">
        <f>$J$3+[3]FormattedData!K36*$J$4+$M$4*$J$5+[3]FormattedData!K36^2*$J$6+$M$5*$J$7</f>
        <v>32.513418780877203</v>
      </c>
      <c r="S21" s="6">
        <f>$J$3+[3]FormattedData!L36*$J$4+$M$4*$J$5+[3]FormattedData!L36^2*$J$6+$M$5*$J$7</f>
        <v>42.656609181605162</v>
      </c>
      <c r="T21" s="6">
        <f>$J$3+[3]FormattedData!M36*$J$4+$M$4*$J$5+[3]FormattedData!M36^2*$J$6+$M$5*$J$7</f>
        <v>32.897884355312357</v>
      </c>
      <c r="U21" s="6">
        <f>$J$3+[3]FormattedData!N36*$J$4+$M$4*$J$5+[3]FormattedData!N36^2*$J$6+$M$5*$J$7</f>
        <v>42.839796501705479</v>
      </c>
      <c r="V21" s="6">
        <f>$J$3+[3]FormattedData!O36*$J$4+$M$4*$J$5+[3]FormattedData!O36^2*$J$6+$M$5*$J$7</f>
        <v>31.838976686905326</v>
      </c>
      <c r="W21" s="5">
        <f t="shared" si="0"/>
        <v>38.17017624067352</v>
      </c>
      <c r="X21" s="4">
        <f t="shared" si="1"/>
        <v>1.4352295908672001</v>
      </c>
      <c r="Y21" s="3">
        <f t="shared" si="2"/>
        <v>31.838976686905326</v>
      </c>
      <c r="Z21" s="2">
        <f t="shared" si="3"/>
        <v>34.75979048333889</v>
      </c>
      <c r="AA21" s="3">
        <f t="shared" si="4"/>
        <v>36.185569447267241</v>
      </c>
      <c r="AB21" s="2">
        <f t="shared" si="5"/>
        <v>42.702406011630245</v>
      </c>
      <c r="AC21" s="2">
        <f t="shared" si="6"/>
        <v>45.115372371407652</v>
      </c>
      <c r="AD21" s="2">
        <f t="shared" si="7"/>
        <v>0.19935489930821759</v>
      </c>
      <c r="AE21" s="2">
        <f t="shared" si="8"/>
        <v>-1.7757330146791528</v>
      </c>
    </row>
    <row r="22" spans="2:31" x14ac:dyDescent="0.2">
      <c r="B22" s="1">
        <f>[3]FormattedData!A38</f>
        <v>205</v>
      </c>
      <c r="C22" s="1" t="str">
        <f>VLOOKUP($B22,[3]TrtCodes!$B$11:I81,2)</f>
        <v>FSH</v>
      </c>
      <c r="D22" s="1">
        <f>VLOOKUP($B22,[3]TrtCodes!$B$11:J81,3)</f>
        <v>1</v>
      </c>
      <c r="E22" s="1">
        <f>VLOOKUP($B22,[3]TrtCodes!$B$11:K81,4)</f>
        <v>1</v>
      </c>
      <c r="F22" s="1">
        <f>VLOOKUP($B22,[3]TrtCodes!$B$11:L81,5)</f>
        <v>1</v>
      </c>
      <c r="G22" s="1">
        <f>VLOOKUP($B22,[3]TrtCodes!$B$11:M81,6)</f>
        <v>2</v>
      </c>
      <c r="H22" s="1">
        <f>VLOOKUP($B22,[3]TrtCodes!$B$11:N81,7)</f>
        <v>2</v>
      </c>
      <c r="I22" s="1">
        <f>[3]FormattedData!B38</f>
        <v>1</v>
      </c>
      <c r="J22" s="4">
        <f>[3]FormattedData!C38</f>
        <v>13.327999999999999</v>
      </c>
      <c r="K22" s="6">
        <f>$J$3+[3]FormattedData!D38*$J$4+$M$4*$J$5+[3]FormattedData!D38^2*$J$6+$M$5*$J$7</f>
        <v>52.219687295143828</v>
      </c>
      <c r="L22" s="6">
        <f>$J$3+[3]FormattedData!E38*$J$4+$M$4*$J$5+[3]FormattedData!E38^2*$J$6+$M$5*$J$7</f>
        <v>53.175375193923003</v>
      </c>
      <c r="M22" s="6">
        <f>$J$3+[3]FormattedData!F38*$J$4+$M$4*$J$5+[3]FormattedData!F38^2*$J$6+$M$5*$J$7</f>
        <v>50.116797275512695</v>
      </c>
      <c r="N22" s="6">
        <f>$J$3+[3]FormattedData!G38*$J$4+$M$4*$J$5+[3]FormattedData!G38^2*$J$6+$M$5*$J$7</f>
        <v>48.967566264840066</v>
      </c>
      <c r="O22" s="6">
        <f>$J$3+[3]FormattedData!H38*$J$4+$M$4*$J$5+[3]FormattedData!H38^2*$J$6+$M$5*$J$7</f>
        <v>48.256796624163002</v>
      </c>
      <c r="P22" s="6">
        <f>$J$3+[3]FormattedData!I38*$J$4+$M$4*$J$5+[3]FormattedData!I38^2*$J$6+$M$5*$J$7</f>
        <v>46.647674094763715</v>
      </c>
      <c r="Q22" s="6">
        <f>$J$3+[3]FormattedData!J38*$J$4+$M$4*$J$5+[3]FormattedData!J38^2*$J$6+$M$5*$J$7</f>
        <v>48.256796624163002</v>
      </c>
      <c r="R22" s="6">
        <f>$J$3+[3]FormattedData!K38*$J$4+$M$4*$J$5+[3]FormattedData!K38^2*$J$6+$M$5*$J$7</f>
        <v>52.132552965845399</v>
      </c>
      <c r="S22" s="6">
        <f>$J$3+[3]FormattedData!L38*$J$4+$M$4*$J$5+[3]FormattedData!L38^2*$J$6+$M$5*$J$7</f>
        <v>52.045376368009045</v>
      </c>
      <c r="T22" s="6">
        <f>$J$3+[3]FormattedData!M38*$J$4+$M$4*$J$5+[3]FormattedData!M38^2*$J$6+$M$5*$J$7</f>
        <v>42.106032776393874</v>
      </c>
      <c r="U22" s="6">
        <f>$J$3+[3]FormattedData!N38*$J$4+$M$4*$J$5+[3]FormattedData!N38^2*$J$6+$M$5*$J$7</f>
        <v>50.468969686968464</v>
      </c>
      <c r="V22" s="6">
        <f>$J$3+[3]FormattedData!O38*$J$4+$M$4*$J$5+[3]FormattedData!O38^2*$J$6+$M$5*$J$7</f>
        <v>44.02639289990924</v>
      </c>
      <c r="W22" s="5">
        <f t="shared" si="0"/>
        <v>49.035001505802938</v>
      </c>
      <c r="X22" s="4">
        <f t="shared" si="1"/>
        <v>0.98926242695833722</v>
      </c>
      <c r="Y22" s="3">
        <f t="shared" si="2"/>
        <v>42.106032776393874</v>
      </c>
      <c r="Z22" s="2">
        <f t="shared" si="3"/>
        <v>47.85451599181318</v>
      </c>
      <c r="AA22" s="3">
        <f t="shared" si="4"/>
        <v>49.542181770176384</v>
      </c>
      <c r="AB22" s="2">
        <f t="shared" si="5"/>
        <v>52.067170517468135</v>
      </c>
      <c r="AC22" s="2">
        <f t="shared" si="6"/>
        <v>53.175375193923003</v>
      </c>
      <c r="AD22" s="2">
        <f t="shared" si="7"/>
        <v>-0.83589085447265343</v>
      </c>
      <c r="AE22" s="2">
        <f t="shared" si="8"/>
        <v>1.5997823249149334E-2</v>
      </c>
    </row>
    <row r="23" spans="2:31" x14ac:dyDescent="0.2">
      <c r="B23" s="1">
        <f>[3]FormattedData!A40</f>
        <v>206</v>
      </c>
      <c r="C23" s="1" t="str">
        <f>VLOOKUP($B23,[3]TrtCodes!$B$11:I83,2)</f>
        <v>NSL</v>
      </c>
      <c r="D23" s="1">
        <f>VLOOKUP($B23,[3]TrtCodes!$B$11:J83,3)</f>
        <v>8</v>
      </c>
      <c r="E23" s="1">
        <f>VLOOKUP($B23,[3]TrtCodes!$B$11:K83,4)</f>
        <v>2</v>
      </c>
      <c r="F23" s="1">
        <f>VLOOKUP($B23,[3]TrtCodes!$B$11:L83,5)</f>
        <v>1</v>
      </c>
      <c r="G23" s="1">
        <f>VLOOKUP($B23,[3]TrtCodes!$B$11:M83,6)</f>
        <v>1</v>
      </c>
      <c r="H23" s="1">
        <f>VLOOKUP($B23,[3]TrtCodes!$B$11:N83,7)</f>
        <v>2</v>
      </c>
      <c r="I23" s="1">
        <f>[3]FormattedData!B40</f>
        <v>1</v>
      </c>
      <c r="J23" s="4">
        <f>[3]FormattedData!C40</f>
        <v>13.343</v>
      </c>
      <c r="K23" s="6">
        <f>$J$3+[3]FormattedData!D40*$J$4+$M$4*$J$5+[3]FormattedData!D40^2*$J$6+$M$5*$J$7</f>
        <v>48.523652253451388</v>
      </c>
      <c r="L23" s="6">
        <f>$J$3+[3]FormattedData!E40*$J$4+$M$4*$J$5+[3]FormattedData!E40^2*$J$6+$M$5*$J$7</f>
        <v>44.753055510848412</v>
      </c>
      <c r="M23" s="6">
        <f>$J$3+[3]FormattedData!F40*$J$4+$M$4*$J$5+[3]FormattedData!F40^2*$J$6+$M$5*$J$7</f>
        <v>49.144835989630025</v>
      </c>
      <c r="N23" s="6">
        <f>$J$3+[3]FormattedData!G40*$J$4+$M$4*$J$5+[3]FormattedData!G40^2*$J$6+$M$5*$J$7</f>
        <v>45.837977202705439</v>
      </c>
      <c r="O23" s="6">
        <f>$J$3+[3]FormattedData!H40*$J$4+$M$4*$J$5+[3]FormattedData!H40^2*$J$6+$M$5*$J$7</f>
        <v>48.523652253451388</v>
      </c>
      <c r="P23" s="6">
        <f>$J$3+[3]FormattedData!I40*$J$4+$M$4*$J$5+[3]FormattedData!I40^2*$J$6+$M$5*$J$7</f>
        <v>44.299208393045909</v>
      </c>
      <c r="Q23" s="6">
        <f>$J$3+[3]FormattedData!J40*$J$4+$M$4*$J$5+[3]FormattedData!J40^2*$J$6+$M$5*$J$7</f>
        <v>48.345790769130389</v>
      </c>
      <c r="R23" s="6">
        <f>$J$3+[3]FormattedData!K40*$J$4+$M$4*$J$5+[3]FormattedData!K40^2*$J$6+$M$5*$J$7</f>
        <v>43.388344017096074</v>
      </c>
      <c r="S23" s="6">
        <f>$J$3+[3]FormattedData!L40*$J$4+$M$4*$J$5+[3]FormattedData!L40^2*$J$6+$M$5*$J$7</f>
        <v>45.747799538675977</v>
      </c>
      <c r="T23" s="6">
        <f>$J$3+[3]FormattedData!M40*$J$4+$M$4*$J$5+[3]FormattedData!M40^2*$J$6+$M$5*$J$7</f>
        <v>48.256796624163002</v>
      </c>
      <c r="U23" s="6">
        <f>$J$3+[3]FormattedData!N40*$J$4+$M$4*$J$5+[3]FormattedData!N40^2*$J$6+$M$5*$J$7</f>
        <v>44.662370624363774</v>
      </c>
      <c r="V23" s="6">
        <f>$J$3+[3]FormattedData!O40*$J$4+$M$4*$J$5+[3]FormattedData!O40^2*$J$6+$M$5*$J$7</f>
        <v>45.567317405003251</v>
      </c>
      <c r="W23" s="5">
        <f t="shared" si="0"/>
        <v>46.42090004846375</v>
      </c>
      <c r="X23" s="4">
        <f t="shared" si="1"/>
        <v>0.58017924722793413</v>
      </c>
      <c r="Y23" s="3">
        <f t="shared" si="2"/>
        <v>43.388344017096074</v>
      </c>
      <c r="Z23" s="2">
        <f t="shared" si="3"/>
        <v>44.730384289227253</v>
      </c>
      <c r="AA23" s="3">
        <f t="shared" si="4"/>
        <v>45.792888370690704</v>
      </c>
      <c r="AB23" s="2">
        <f t="shared" si="5"/>
        <v>48.390256140210639</v>
      </c>
      <c r="AC23" s="2">
        <f t="shared" si="6"/>
        <v>49.144835989630025</v>
      </c>
      <c r="AD23" s="2">
        <f t="shared" si="7"/>
        <v>4.681766547593344E-2</v>
      </c>
      <c r="AE23" s="2">
        <f t="shared" si="8"/>
        <v>-1.6938888561893632</v>
      </c>
    </row>
    <row r="24" spans="2:31" x14ac:dyDescent="0.2">
      <c r="B24" s="1">
        <f>[3]FormattedData!A42</f>
        <v>207</v>
      </c>
      <c r="C24" s="1" t="str">
        <f>VLOOKUP($B24,[3]TrtCodes!$B$11:I85,2)</f>
        <v>FTL</v>
      </c>
      <c r="D24" s="1">
        <f>VLOOKUP($B24,[3]TrtCodes!$B$11:J85,3)</f>
        <v>4</v>
      </c>
      <c r="E24" s="1">
        <f>VLOOKUP($B24,[3]TrtCodes!$B$11:K85,4)</f>
        <v>1</v>
      </c>
      <c r="F24" s="1">
        <f>VLOOKUP($B24,[3]TrtCodes!$B$11:L85,5)</f>
        <v>2</v>
      </c>
      <c r="G24" s="1">
        <f>VLOOKUP($B24,[3]TrtCodes!$B$11:M85,6)</f>
        <v>1</v>
      </c>
      <c r="H24" s="1">
        <f>VLOOKUP($B24,[3]TrtCodes!$B$11:N85,7)</f>
        <v>2</v>
      </c>
      <c r="I24" s="1">
        <f>[3]FormattedData!B42</f>
        <v>1</v>
      </c>
      <c r="J24" s="4">
        <f>[3]FormattedData!C42</f>
        <v>13.359</v>
      </c>
      <c r="K24" s="6">
        <f>$J$3+[3]FormattedData!D42*$J$4+$M$4*$J$5+[3]FormattedData!D42^2*$J$6+$M$5*$J$7</f>
        <v>53.521630010068421</v>
      </c>
      <c r="L24" s="6">
        <f>$J$3+[3]FormattedData!E42*$J$4+$M$4*$J$5+[3]FormattedData!E42^2*$J$6+$M$5*$J$7</f>
        <v>44.117373666159395</v>
      </c>
      <c r="M24" s="6">
        <f>$J$3+[3]FormattedData!F42*$J$4+$M$4*$J$5+[3]FormattedData!F42^2*$J$6+$M$5*$J$7</f>
        <v>43.570855040589493</v>
      </c>
      <c r="N24" s="6">
        <f>$J$3+[3]FormattedData!G42*$J$4+$M$4*$J$5+[3]FormattedData!G42^2*$J$6+$M$5*$J$7</f>
        <v>43.022814747654067</v>
      </c>
      <c r="O24" s="6">
        <f>$J$3+[3]FormattedData!H42*$J$4+$M$4*$J$5+[3]FormattedData!H42^2*$J$6+$M$5*$J$7</f>
        <v>46.557876847575628</v>
      </c>
      <c r="P24" s="6">
        <f>$J$3+[3]FormattedData!I42*$J$4+$M$4*$J$5+[3]FormattedData!I42^2*$J$6+$M$5*$J$7</f>
        <v>48.523652253451388</v>
      </c>
      <c r="Q24" s="6">
        <f>$J$3+[3]FormattedData!J42*$J$4+$M$4*$J$5+[3]FormattedData!J42^2*$J$6+$M$5*$J$7</f>
        <v>46.468037331849622</v>
      </c>
      <c r="R24" s="6">
        <f>$J$3+[3]FormattedData!K42*$J$4+$M$4*$J$5+[3]FormattedData!K42^2*$J$6+$M$5*$J$7</f>
        <v>44.390062353682268</v>
      </c>
      <c r="S24" s="6">
        <f>$J$3+[3]FormattedData!L42*$J$4+$M$4*$J$5+[3]FormattedData!L42^2*$J$6+$M$5*$J$7</f>
        <v>45.296277190459691</v>
      </c>
      <c r="T24" s="6">
        <f>$J$3+[3]FormattedData!M42*$J$4+$M$4*$J$5+[3]FormattedData!M42^2*$J$6+$M$5*$J$7</f>
        <v>46.827141783526088</v>
      </c>
      <c r="U24" s="6">
        <f>$J$3+[3]FormattedData!N42*$J$4+$M$4*$J$5+[3]FormattedData!N42^2*$J$6+$M$5*$J$7</f>
        <v>43.114260467821467</v>
      </c>
      <c r="V24" s="6">
        <f>$J$3+[3]FormattedData!O42*$J$4+$M$4*$J$5+[3]FormattedData!O42^2*$J$6+$M$5*$J$7</f>
        <v>39.609608319294736</v>
      </c>
      <c r="W24" s="5">
        <f t="shared" si="0"/>
        <v>45.418299167677681</v>
      </c>
      <c r="X24" s="4">
        <f t="shared" si="1"/>
        <v>0.9949039093525115</v>
      </c>
      <c r="Y24" s="3">
        <f t="shared" si="2"/>
        <v>39.609608319294736</v>
      </c>
      <c r="Z24" s="2">
        <f t="shared" si="3"/>
        <v>43.456706397397483</v>
      </c>
      <c r="AA24" s="3">
        <f t="shared" si="4"/>
        <v>44.843169772070979</v>
      </c>
      <c r="AB24" s="2">
        <f t="shared" si="5"/>
        <v>46.625193081563239</v>
      </c>
      <c r="AC24" s="2">
        <f t="shared" si="6"/>
        <v>53.521630010068421</v>
      </c>
      <c r="AD24" s="2">
        <f t="shared" si="7"/>
        <v>0.89515529609855349</v>
      </c>
      <c r="AE24" s="2">
        <f t="shared" si="8"/>
        <v>2.2510419861562196</v>
      </c>
    </row>
    <row r="25" spans="2:31" x14ac:dyDescent="0.2">
      <c r="B25" s="1">
        <f>[3]FormattedData!A44</f>
        <v>208</v>
      </c>
      <c r="C25" s="1" t="str">
        <f>VLOOKUP($B25,[3]TrtCodes!$B$11:I87,2)</f>
        <v>FSL</v>
      </c>
      <c r="D25" s="1">
        <f>VLOOKUP($B25,[3]TrtCodes!$B$11:J87,3)</f>
        <v>2</v>
      </c>
      <c r="E25" s="1">
        <f>VLOOKUP($B25,[3]TrtCodes!$B$11:K87,4)</f>
        <v>1</v>
      </c>
      <c r="F25" s="1">
        <f>VLOOKUP($B25,[3]TrtCodes!$B$11:L87,5)</f>
        <v>1</v>
      </c>
      <c r="G25" s="1">
        <f>VLOOKUP($B25,[3]TrtCodes!$B$11:M87,6)</f>
        <v>1</v>
      </c>
      <c r="H25" s="1">
        <f>VLOOKUP($B25,[3]TrtCodes!$B$11:N87,7)</f>
        <v>2</v>
      </c>
      <c r="I25" s="1">
        <f>[3]FormattedData!B44</f>
        <v>1</v>
      </c>
      <c r="J25" s="4">
        <f>[3]FormattedData!C44</f>
        <v>13.375</v>
      </c>
      <c r="K25" s="6">
        <f>$J$3+[3]FormattedData!D44*$J$4+$M$4*$J$5+[3]FormattedData!D44^2*$J$6+$M$5*$J$7</f>
        <v>49.67563071908954</v>
      </c>
      <c r="L25" s="6">
        <f>$J$3+[3]FormattedData!E44*$J$4+$M$4*$J$5+[3]FormattedData!E44^2*$J$6+$M$5*$J$7</f>
        <v>52.306779355904311</v>
      </c>
      <c r="M25" s="6">
        <f>$J$3+[3]FormattedData!F44*$J$4+$M$4*$J$5+[3]FormattedData!F44^2*$J$6+$M$5*$J$7</f>
        <v>46.827141783526088</v>
      </c>
      <c r="N25" s="6">
        <f>$J$3+[3]FormattedData!G44*$J$4+$M$4*$J$5+[3]FormattedData!G44^2*$J$6+$M$5*$J$7</f>
        <v>49.144835989630025</v>
      </c>
      <c r="O25" s="6">
        <f>$J$3+[3]FormattedData!H44*$J$4+$M$4*$J$5+[3]FormattedData!H44^2*$J$6+$M$5*$J$7</f>
        <v>47.364530404902865</v>
      </c>
      <c r="P25" s="6">
        <f>$J$3+[3]FormattedData!I44*$J$4+$M$4*$J$5+[3]FormattedData!I44^2*$J$6+$M$5*$J$7</f>
        <v>52.741605631637796</v>
      </c>
      <c r="Q25" s="6">
        <f>$J$3+[3]FormattedData!J44*$J$4+$M$4*$J$5+[3]FormattedData!J44^2*$J$6+$M$5*$J$7</f>
        <v>51.433956664092499</v>
      </c>
      <c r="R25" s="6">
        <f>$J$3+[3]FormattedData!K44*$J$4+$M$4*$J$5+[3]FormattedData!K44^2*$J$6+$M$5*$J$7</f>
        <v>52.219687295143828</v>
      </c>
      <c r="S25" s="6">
        <f>$J$3+[3]FormattedData!L44*$J$4+$M$4*$J$5+[3]FormattedData!L44^2*$J$6+$M$5*$J$7</f>
        <v>50.028648501303927</v>
      </c>
      <c r="T25" s="6">
        <f>$J$3+[3]FormattedData!M44*$J$4+$M$4*$J$5+[3]FormattedData!M44^2*$J$6+$M$5*$J$7</f>
        <v>51.433956664092499</v>
      </c>
      <c r="U25" s="6">
        <f>$J$3+[3]FormattedData!N44*$J$4+$M$4*$J$5+[3]FormattedData!N44^2*$J$6+$M$5*$J$7</f>
        <v>50.644802281468756</v>
      </c>
      <c r="V25" s="6">
        <f>$J$3+[3]FormattedData!O44*$J$4+$M$4*$J$5+[3]FormattedData!O44^2*$J$6+$M$5*$J$7</f>
        <v>42.931326758948742</v>
      </c>
      <c r="W25" s="5">
        <f t="shared" si="0"/>
        <v>49.729408504145077</v>
      </c>
      <c r="X25" s="4">
        <f t="shared" si="1"/>
        <v>0.822185063279948</v>
      </c>
      <c r="Y25" s="3">
        <f t="shared" si="2"/>
        <v>42.931326758948742</v>
      </c>
      <c r="Z25" s="2">
        <f t="shared" si="3"/>
        <v>48.699759593448235</v>
      </c>
      <c r="AA25" s="3">
        <f t="shared" si="4"/>
        <v>50.336725391386338</v>
      </c>
      <c r="AB25" s="2">
        <f t="shared" si="5"/>
        <v>51.630389321855333</v>
      </c>
      <c r="AC25" s="2">
        <f t="shared" si="6"/>
        <v>52.741605631637796</v>
      </c>
      <c r="AD25" s="2">
        <f t="shared" si="7"/>
        <v>-1.3289232524886443</v>
      </c>
      <c r="AE25" s="2">
        <f t="shared" si="8"/>
        <v>1.7631837028502231</v>
      </c>
    </row>
    <row r="26" spans="2:31" x14ac:dyDescent="0.2">
      <c r="B26" s="1">
        <f>[3]FormattedData!A62</f>
        <v>301</v>
      </c>
      <c r="C26" s="1" t="str">
        <f>VLOOKUP($B26,[3]TrtCodes!$B$11:I105,2)</f>
        <v>NTL</v>
      </c>
      <c r="D26" s="1">
        <f>VLOOKUP($B26,[3]TrtCodes!$B$11:J105,3)</f>
        <v>10</v>
      </c>
      <c r="E26" s="1">
        <f>VLOOKUP($B26,[3]TrtCodes!$B$11:K105,4)</f>
        <v>2</v>
      </c>
      <c r="F26" s="1">
        <f>VLOOKUP($B26,[3]TrtCodes!$B$11:L105,5)</f>
        <v>2</v>
      </c>
      <c r="G26" s="1">
        <f>VLOOKUP($B26,[3]TrtCodes!$B$11:M105,6)</f>
        <v>1</v>
      </c>
      <c r="H26" s="1">
        <f>VLOOKUP($B26,[3]TrtCodes!$B$11:N105,7)</f>
        <v>3</v>
      </c>
      <c r="I26" s="1">
        <f>[3]FormattedData!B62</f>
        <v>1</v>
      </c>
      <c r="J26" s="4">
        <f>[3]FormattedData!C62</f>
        <v>13.499000000000001</v>
      </c>
      <c r="K26" s="6">
        <f>$J$3+[3]FormattedData!D62*$J$4+$M$4*$J$5+[3]FormattedData!D62^2*$J$6+$M$5*$J$7</f>
        <v>47.900397358914113</v>
      </c>
      <c r="L26" s="6">
        <f>$J$3+[3]FormattedData!E62*$J$4+$M$4*$J$5+[3]FormattedData!E62^2*$J$6+$M$5*$J$7</f>
        <v>45.115372371407652</v>
      </c>
      <c r="M26" s="6">
        <f>$J$3+[3]FormattedData!F62*$J$4+$M$4*$J$5+[3]FormattedData!F62^2*$J$6+$M$5*$J$7</f>
        <v>47.811191871257073</v>
      </c>
      <c r="N26" s="6">
        <f>$J$3+[3]FormattedData!G62*$J$4+$M$4*$J$5+[3]FormattedData!G62^2*$J$6+$M$5*$J$7</f>
        <v>41.461770418504834</v>
      </c>
      <c r="O26" s="6">
        <f>$J$3+[3]FormattedData!H62*$J$4+$M$4*$J$5+[3]FormattedData!H62^2*$J$6+$M$5*$J$7</f>
        <v>49.233407449218099</v>
      </c>
      <c r="P26" s="6">
        <f>$J$3+[3]FormattedData!I62*$J$4+$M$4*$J$5+[3]FormattedData!I62^2*$J$6+$M$5*$J$7</f>
        <v>34.714860158341395</v>
      </c>
      <c r="Q26" s="6">
        <f>$J$3+[3]FormattedData!J62*$J$4+$M$4*$J$5+[3]FormattedData!J62^2*$J$6+$M$5*$J$7</f>
        <v>48.878867999638189</v>
      </c>
      <c r="R26" s="6">
        <f>$J$3+[3]FormattedData!K62*$J$4+$M$4*$J$5+[3]FormattedData!K62^2*$J$6+$M$5*$J$7</f>
        <v>40.352502048799465</v>
      </c>
      <c r="S26" s="6">
        <f>$J$3+[3]FormattedData!L62*$J$4+$M$4*$J$5+[3]FormattedData!L62^2*$J$6+$M$5*$J$7</f>
        <v>42.748223975924283</v>
      </c>
      <c r="T26" s="6">
        <f>$J$3+[3]FormattedData!M62*$J$4+$M$4*$J$5+[3]FormattedData!M62^2*$J$6+$M$5*$J$7</f>
        <v>41.461770418504834</v>
      </c>
      <c r="U26" s="6">
        <f>$J$3+[3]FormattedData!N62*$J$4+$M$4*$J$5+[3]FormattedData!N62^2*$J$6+$M$5*$J$7</f>
        <v>47.811191871257073</v>
      </c>
      <c r="V26" s="6">
        <f>$J$3+[3]FormattedData!O62*$J$4+$M$4*$J$5+[3]FormattedData!O62^2*$J$6+$M$5*$J$7</f>
        <v>35.949262272945276</v>
      </c>
      <c r="W26" s="5">
        <f t="shared" si="0"/>
        <v>43.619901517892693</v>
      </c>
      <c r="X26" s="4">
        <f t="shared" si="1"/>
        <v>1.4400924144951364</v>
      </c>
      <c r="Y26" s="3">
        <f t="shared" si="2"/>
        <v>34.714860158341395</v>
      </c>
      <c r="Z26" s="2">
        <f t="shared" si="3"/>
        <v>41.18445332607849</v>
      </c>
      <c r="AA26" s="3">
        <f t="shared" si="4"/>
        <v>43.931798173665968</v>
      </c>
      <c r="AB26" s="2">
        <f t="shared" si="5"/>
        <v>47.833493243171333</v>
      </c>
      <c r="AC26" s="2">
        <f t="shared" si="6"/>
        <v>49.233407449218099</v>
      </c>
      <c r="AD26" s="2">
        <f t="shared" si="7"/>
        <v>-0.5815126586562146</v>
      </c>
      <c r="AE26" s="2">
        <f t="shared" si="8"/>
        <v>-0.8213887104277231</v>
      </c>
    </row>
    <row r="27" spans="2:31" x14ac:dyDescent="0.2">
      <c r="B27" s="1">
        <f>[3]FormattedData!A64</f>
        <v>302</v>
      </c>
      <c r="C27" s="1" t="str">
        <f>VLOOKUP($B27,[3]TrtCodes!$B$11:I107,2)</f>
        <v>FTL</v>
      </c>
      <c r="D27" s="1">
        <f>VLOOKUP($B27,[3]TrtCodes!$B$11:J107,3)</f>
        <v>4</v>
      </c>
      <c r="E27" s="1">
        <f>VLOOKUP($B27,[3]TrtCodes!$B$11:K107,4)</f>
        <v>1</v>
      </c>
      <c r="F27" s="1">
        <f>VLOOKUP($B27,[3]TrtCodes!$B$11:L107,5)</f>
        <v>2</v>
      </c>
      <c r="G27" s="1">
        <f>VLOOKUP($B27,[3]TrtCodes!$B$11:M107,6)</f>
        <v>1</v>
      </c>
      <c r="H27" s="1">
        <f>VLOOKUP($B27,[3]TrtCodes!$B$11:N107,7)</f>
        <v>3</v>
      </c>
      <c r="I27" s="1">
        <f>[3]FormattedData!B64</f>
        <v>1</v>
      </c>
      <c r="J27" s="4">
        <f>[3]FormattedData!C64</f>
        <v>13.516</v>
      </c>
      <c r="K27" s="6">
        <f>$J$3+[3]FormattedData!D64*$J$4+$M$4*$J$5+[3]FormattedData!D64^2*$J$6+$M$5*$J$7</f>
        <v>50.204903781183532</v>
      </c>
      <c r="L27" s="6">
        <f>$J$3+[3]FormattedData!E64*$J$4+$M$4*$J$5+[3]FormattedData!E64^2*$J$6+$M$5*$J$7</f>
        <v>49.410423562780473</v>
      </c>
      <c r="M27" s="6">
        <f>$J$3+[3]FormattedData!F64*$J$4+$M$4*$J$5+[3]FormattedData!F64^2*$J$6+$M$5*$J$7</f>
        <v>45.024856559074742</v>
      </c>
      <c r="N27" s="6">
        <f>$J$3+[3]FormattedData!G64*$J$4+$M$4*$J$5+[3]FormattedData!G64^2*$J$6+$M$5*$J$7</f>
        <v>47.811191871257073</v>
      </c>
      <c r="O27" s="6">
        <f>$J$3+[3]FormattedData!H64*$J$4+$M$4*$J$5+[3]FormattedData!H64^2*$J$6+$M$5*$J$7</f>
        <v>38.39663635342194</v>
      </c>
      <c r="P27" s="6">
        <f>$J$3+[3]FormattedData!I64*$J$4+$M$4*$J$5+[3]FormattedData!I64^2*$J$6+$M$5*$J$7</f>
        <v>44.299208393045909</v>
      </c>
      <c r="Q27" s="6">
        <f>$J$3+[3]FormattedData!J64*$J$4+$M$4*$J$5+[3]FormattedData!J64^2*$J$6+$M$5*$J$7</f>
        <v>38.770619330450181</v>
      </c>
      <c r="R27" s="6">
        <f>$J$3+[3]FormattedData!K64*$J$4+$M$4*$J$5+[3]FormattedData!K64^2*$J$6+$M$5*$J$7</f>
        <v>51.433956664092499</v>
      </c>
      <c r="S27" s="6">
        <f>$J$3+[3]FormattedData!L64*$J$4+$M$4*$J$5+[3]FormattedData!L64^2*$J$6+$M$5*$J$7</f>
        <v>41.277315042266579</v>
      </c>
      <c r="T27" s="6">
        <f>$J$3+[3]FormattedData!M64*$J$4+$M$4*$J$5+[3]FormattedData!M64^2*$J$6+$M$5*$J$7</f>
        <v>48.790127465898387</v>
      </c>
      <c r="U27" s="6">
        <f>$J$3+[3]FormattedData!N64*$J$4+$M$4*$J$5+[3]FormattedData!N64^2*$J$6+$M$5*$J$7</f>
        <v>40.167032227650871</v>
      </c>
      <c r="V27" s="6">
        <f>$J$3+[3]FormattedData!O64*$J$4+$M$4*$J$5+[3]FormattedData!O64^2*$J$6+$M$5*$J$7</f>
        <v>45.024856559074742</v>
      </c>
      <c r="W27" s="5">
        <f t="shared" si="0"/>
        <v>45.050927317516404</v>
      </c>
      <c r="X27" s="4">
        <f t="shared" si="1"/>
        <v>1.3208505664863333</v>
      </c>
      <c r="Y27" s="3">
        <f t="shared" si="2"/>
        <v>38.39663635342194</v>
      </c>
      <c r="Z27" s="2">
        <f t="shared" si="3"/>
        <v>40.999744338612651</v>
      </c>
      <c r="AA27" s="3">
        <f t="shared" si="4"/>
        <v>45.024856559074742</v>
      </c>
      <c r="AB27" s="2">
        <f t="shared" si="5"/>
        <v>48.945201490118905</v>
      </c>
      <c r="AC27" s="2">
        <f t="shared" si="6"/>
        <v>51.433956664092499</v>
      </c>
      <c r="AD27" s="2">
        <f t="shared" si="7"/>
        <v>-0.18207219938333938</v>
      </c>
      <c r="AE27" s="2">
        <f t="shared" si="8"/>
        <v>-1.4201331510274149</v>
      </c>
    </row>
    <row r="28" spans="2:31" x14ac:dyDescent="0.2">
      <c r="B28" s="1">
        <f>[3]FormattedData!A66</f>
        <v>303</v>
      </c>
      <c r="C28" s="1" t="str">
        <f>VLOOKUP($B28,[3]TrtCodes!$B$11:I109,2)</f>
        <v>NSL</v>
      </c>
      <c r="D28" s="1">
        <f>VLOOKUP($B28,[3]TrtCodes!$B$11:J109,3)</f>
        <v>8</v>
      </c>
      <c r="E28" s="1">
        <f>VLOOKUP($B28,[3]TrtCodes!$B$11:K109,4)</f>
        <v>2</v>
      </c>
      <c r="F28" s="1">
        <f>VLOOKUP($B28,[3]TrtCodes!$B$11:L109,5)</f>
        <v>1</v>
      </c>
      <c r="G28" s="1">
        <f>VLOOKUP($B28,[3]TrtCodes!$B$11:M109,6)</f>
        <v>1</v>
      </c>
      <c r="H28" s="1">
        <f>VLOOKUP($B28,[3]TrtCodes!$B$11:N109,7)</f>
        <v>3</v>
      </c>
      <c r="I28" s="1">
        <f>[3]FormattedData!B66</f>
        <v>1</v>
      </c>
      <c r="J28" s="4">
        <f>[3]FormattedData!C66</f>
        <v>13.531000000000001</v>
      </c>
      <c r="K28" s="6">
        <f>$J$3+[3]FormattedData!D66*$J$4+$M$4*$J$5+[3]FormattedData!D66^2*$J$6+$M$5*$J$7</f>
        <v>47.364530404902865</v>
      </c>
      <c r="L28" s="6">
        <f>$J$3+[3]FormattedData!E66*$J$4+$M$4*$J$5+[3]FormattedData!E66^2*$J$6+$M$5*$J$7</f>
        <v>43.479620663111746</v>
      </c>
      <c r="M28" s="6">
        <f>$J$3+[3]FormattedData!F66*$J$4+$M$4*$J$5+[3]FormattedData!F66^2*$J$6+$M$5*$J$7</f>
        <v>43.205663919450934</v>
      </c>
      <c r="N28" s="6">
        <f>$J$3+[3]FormattedData!G66*$J$4+$M$4*$J$5+[3]FormattedData!G66^2*$J$6+$M$5*$J$7</f>
        <v>46.737429073413864</v>
      </c>
      <c r="O28" s="6">
        <f>$J$3+[3]FormattedData!H66*$J$4+$M$4*$J$5+[3]FormattedData!H66^2*$J$6+$M$5*$J$7</f>
        <v>43.662047149529307</v>
      </c>
      <c r="P28" s="6">
        <f>$J$3+[3]FormattedData!I66*$J$4+$M$4*$J$5+[3]FormattedData!I66^2*$J$6+$M$5*$J$7</f>
        <v>46.378155547585671</v>
      </c>
      <c r="Q28" s="6">
        <f>$J$3+[3]FormattedData!J66*$J$4+$M$4*$J$5+[3]FormattedData!J66^2*$J$6+$M$5*$J$7</f>
        <v>43.753196989931183</v>
      </c>
      <c r="R28" s="6">
        <f>$J$3+[3]FormattedData!K66*$J$4+$M$4*$J$5+[3]FormattedData!K66^2*$J$6+$M$5*$J$7</f>
        <v>47.275071306018233</v>
      </c>
      <c r="S28" s="6">
        <f>$J$3+[3]FormattedData!L66*$J$4+$M$4*$J$5+[3]FormattedData!L66^2*$J$6+$M$5*$J$7</f>
        <v>41.277315042266579</v>
      </c>
      <c r="T28" s="6">
        <f>$J$3+[3]FormattedData!M66*$J$4+$M$4*$J$5+[3]FormattedData!M66^2*$J$6+$M$5*$J$7</f>
        <v>47.632654090329183</v>
      </c>
      <c r="U28" s="6">
        <f>$J$3+[3]FormattedData!N66*$J$4+$M$4*$J$5+[3]FormattedData!N66^2*$J$6+$M$5*$J$7</f>
        <v>40.907897067334915</v>
      </c>
      <c r="V28" s="6">
        <f>$J$3+[3]FormattedData!O66*$J$4+$M$4*$J$5+[3]FormattedData!O66^2*$J$6+$M$5*$J$7</f>
        <v>46.108256583566238</v>
      </c>
      <c r="W28" s="5">
        <f t="shared" si="0"/>
        <v>44.815153153120065</v>
      </c>
      <c r="X28" s="4">
        <f t="shared" si="1"/>
        <v>0.69037498865321911</v>
      </c>
      <c r="Y28" s="3">
        <f t="shared" si="2"/>
        <v>40.907897067334915</v>
      </c>
      <c r="Z28" s="2">
        <f t="shared" si="3"/>
        <v>43.411131477196541</v>
      </c>
      <c r="AA28" s="3">
        <f t="shared" si="4"/>
        <v>44.930726786748707</v>
      </c>
      <c r="AB28" s="2">
        <f t="shared" si="5"/>
        <v>46.871839631564953</v>
      </c>
      <c r="AC28" s="2">
        <f t="shared" si="6"/>
        <v>47.632654090329183</v>
      </c>
      <c r="AD28" s="2">
        <f t="shared" si="7"/>
        <v>-0.36934104198185269</v>
      </c>
      <c r="AE28" s="2">
        <f t="shared" si="8"/>
        <v>-1.3022565005011426</v>
      </c>
    </row>
    <row r="29" spans="2:31" x14ac:dyDescent="0.2">
      <c r="B29" s="1">
        <f>[3]FormattedData!A68</f>
        <v>304</v>
      </c>
      <c r="C29" s="1" t="str">
        <f>VLOOKUP($B29,[3]TrtCodes!$B$11:I111,2)</f>
        <v>FSL</v>
      </c>
      <c r="D29" s="1">
        <f>VLOOKUP($B29,[3]TrtCodes!$B$11:J111,3)</f>
        <v>2</v>
      </c>
      <c r="E29" s="1">
        <f>VLOOKUP($B29,[3]TrtCodes!$B$11:K111,4)</f>
        <v>1</v>
      </c>
      <c r="F29" s="1">
        <f>VLOOKUP($B29,[3]TrtCodes!$B$11:L111,5)</f>
        <v>1</v>
      </c>
      <c r="G29" s="1">
        <f>VLOOKUP($B29,[3]TrtCodes!$B$11:M111,6)</f>
        <v>1</v>
      </c>
      <c r="H29" s="1">
        <f>VLOOKUP($B29,[3]TrtCodes!$B$11:N111,7)</f>
        <v>3</v>
      </c>
      <c r="I29" s="1">
        <f>[3]FormattedData!B68</f>
        <v>1</v>
      </c>
      <c r="J29" s="4">
        <f>[3]FormattedData!C68</f>
        <v>13.548</v>
      </c>
      <c r="K29" s="6">
        <f>$J$3+[3]FormattedData!D68*$J$4+$M$4*$J$5+[3]FormattedData!D68^2*$J$6+$M$5*$J$7</f>
        <v>51.783592963272405</v>
      </c>
      <c r="L29" s="6">
        <f>$J$3+[3]FormattedData!E68*$J$4+$M$4*$J$5+[3]FormattedData!E68^2*$J$6+$M$5*$J$7</f>
        <v>51.958157501634759</v>
      </c>
      <c r="M29" s="6">
        <f>$J$3+[3]FormattedData!F68*$J$4+$M$4*$J$5+[3]FormattedData!F68^2*$J$6+$M$5*$J$7</f>
        <v>41.277315042266579</v>
      </c>
      <c r="N29" s="6">
        <f>$J$3+[3]FormattedData!G68*$J$4+$M$4*$J$5+[3]FormattedData!G68^2*$J$6+$M$5*$J$7</f>
        <v>46.827141783526088</v>
      </c>
      <c r="O29" s="6">
        <f>$J$3+[3]FormattedData!H68*$J$4+$M$4*$J$5+[3]FormattedData!H68^2*$J$6+$M$5*$J$7</f>
        <v>47.275071306018233</v>
      </c>
      <c r="P29" s="6">
        <f>$J$3+[3]FormattedData!I68*$J$4+$M$4*$J$5+[3]FormattedData!I68^2*$J$6+$M$5*$J$7</f>
        <v>52.915240262165682</v>
      </c>
      <c r="Q29" s="6">
        <f>$J$3+[3]FormattedData!J68*$J$4+$M$4*$J$5+[3]FormattedData!J68^2*$J$6+$M$5*$J$7</f>
        <v>47.364530404902865</v>
      </c>
      <c r="R29" s="6">
        <f>$J$3+[3]FormattedData!K68*$J$4+$M$4*$J$5+[3]FormattedData!K68^2*$J$6+$M$5*$J$7</f>
        <v>49.763948567450029</v>
      </c>
      <c r="S29" s="6">
        <f>$J$3+[3]FormattedData!L68*$J$4+$M$4*$J$5+[3]FormattedData!L68^2*$J$6+$M$5*$J$7</f>
        <v>39.795585362898507</v>
      </c>
      <c r="T29" s="6">
        <f>$J$3+[3]FormattedData!M68*$J$4+$M$4*$J$5+[3]FormattedData!M68^2*$J$6+$M$5*$J$7</f>
        <v>49.410423562780473</v>
      </c>
      <c r="U29" s="6">
        <f>$J$3+[3]FormattedData!N68*$J$4+$M$4*$J$5+[3]FormattedData!N68^2*$J$6+$M$5*$J$7</f>
        <v>44.934298478203893</v>
      </c>
      <c r="V29" s="6">
        <f>$J$3+[3]FormattedData!O68*$J$4+$M$4*$J$5+[3]FormattedData!O68^2*$J$6+$M$5*$J$7</f>
        <v>50.556907118487572</v>
      </c>
      <c r="W29" s="5">
        <f t="shared" si="0"/>
        <v>47.821851029467247</v>
      </c>
      <c r="X29" s="4">
        <f t="shared" si="1"/>
        <v>1.1985164120892957</v>
      </c>
      <c r="Y29" s="3">
        <f t="shared" si="2"/>
        <v>39.795585362898507</v>
      </c>
      <c r="Z29" s="2">
        <f t="shared" si="3"/>
        <v>46.353930957195537</v>
      </c>
      <c r="AA29" s="3">
        <f t="shared" si="4"/>
        <v>48.387476983841665</v>
      </c>
      <c r="AB29" s="2">
        <f t="shared" si="5"/>
        <v>50.863578579683782</v>
      </c>
      <c r="AC29" s="2">
        <f t="shared" si="6"/>
        <v>52.915240262165682</v>
      </c>
      <c r="AD29" s="2">
        <f t="shared" si="7"/>
        <v>-0.8015172243895744</v>
      </c>
      <c r="AE29" s="2">
        <f t="shared" si="8"/>
        <v>-0.13864343393232703</v>
      </c>
    </row>
    <row r="30" spans="2:31" x14ac:dyDescent="0.2">
      <c r="B30" s="1">
        <f>[3]FormattedData!A70</f>
        <v>305</v>
      </c>
      <c r="C30" s="1" t="str">
        <f>VLOOKUP($B30,[3]TrtCodes!$B$11:I113,2)</f>
        <v>NDH</v>
      </c>
      <c r="D30" s="1">
        <f>VLOOKUP($B30,[3]TrtCodes!$B$11:J113,3)</f>
        <v>11</v>
      </c>
      <c r="E30" s="1">
        <f>VLOOKUP($B30,[3]TrtCodes!$B$11:K113,4)</f>
        <v>2</v>
      </c>
      <c r="F30" s="1">
        <f>VLOOKUP($B30,[3]TrtCodes!$B$11:L113,5)</f>
        <v>3</v>
      </c>
      <c r="G30" s="1">
        <f>VLOOKUP($B30,[3]TrtCodes!$B$11:M113,6)</f>
        <v>2</v>
      </c>
      <c r="H30" s="1">
        <f>VLOOKUP($B30,[3]TrtCodes!$B$11:N113,7)</f>
        <v>4</v>
      </c>
      <c r="I30" s="1">
        <f>[3]FormattedData!B70</f>
        <v>1</v>
      </c>
      <c r="J30" s="4">
        <f>[3]FormattedData!C70</f>
        <v>13.564</v>
      </c>
      <c r="K30" s="6">
        <f>$J$3+[3]FormattedData!D70*$J$4+$M$4*$J$5+[3]FormattedData!D70^2*$J$6+$M$5*$J$7</f>
        <v>39.330325739854601</v>
      </c>
      <c r="L30" s="6">
        <f>$J$3+[3]FormattedData!E70*$J$4+$M$4*$J$5+[3]FormattedData!E70^2*$J$6+$M$5*$J$7</f>
        <v>38.021977079786815</v>
      </c>
      <c r="M30" s="6">
        <f>$J$3+[3]FormattedData!F70*$J$4+$M$4*$J$5+[3]FormattedData!F70^2*$J$6+$M$5*$J$7</f>
        <v>36.893941479240027</v>
      </c>
      <c r="N30" s="6">
        <f>$J$3+[3]FormattedData!G70*$J$4+$M$4*$J$5+[3]FormattedData!G70^2*$J$6+$M$5*$J$7</f>
        <v>36.043920401995443</v>
      </c>
      <c r="O30" s="6">
        <f>$J$3+[3]FormattedData!H70*$J$4+$M$4*$J$5+[3]FormattedData!H70^2*$J$6+$M$5*$J$7</f>
        <v>41.922169159686661</v>
      </c>
      <c r="P30" s="6">
        <f>$J$3+[3]FormattedData!I70*$J$4+$M$4*$J$5+[3]FormattedData!I70^2*$J$6+$M$5*$J$7</f>
        <v>32.513418780877203</v>
      </c>
      <c r="Q30" s="6">
        <f>$J$3+[3]FormattedData!J70*$J$4+$M$4*$J$5+[3]FormattedData!J70^2*$J$6+$M$5*$J$7</f>
        <v>42.28972731894936</v>
      </c>
      <c r="R30" s="6">
        <f>$J$3+[3]FormattedData!K70*$J$4+$M$4*$J$5+[3]FormattedData!K70^2*$J$6+$M$5*$J$7</f>
        <v>31.838976686905326</v>
      </c>
      <c r="S30" s="6">
        <f>$J$3+[3]FormattedData!L70*$J$4+$M$4*$J$5+[3]FormattedData!L70^2*$J$6+$M$5*$J$7</f>
        <v>38.303034937820058</v>
      </c>
      <c r="T30" s="6">
        <f>$J$3+[3]FormattedData!M70*$J$4+$M$4*$J$5+[3]FormattedData!M70^2*$J$6+$M$5*$J$7</f>
        <v>31.35596427793034</v>
      </c>
      <c r="U30" s="6">
        <f>$J$3+[3]FormattedData!N70*$J$4+$M$4*$J$5+[3]FormattedData!N70^2*$J$6+$M$5*$J$7</f>
        <v>38.583712379011928</v>
      </c>
      <c r="V30" s="6">
        <f>$J$3+[3]FormattedData!O70*$J$4+$M$4*$J$5+[3]FormattedData!O70^2*$J$6+$M$5*$J$7</f>
        <v>31.259234990521541</v>
      </c>
      <c r="W30" s="5">
        <f t="shared" si="0"/>
        <v>36.529700269381614</v>
      </c>
      <c r="X30" s="4">
        <f t="shared" si="1"/>
        <v>1.1439502064143383</v>
      </c>
      <c r="Y30" s="3">
        <f t="shared" si="2"/>
        <v>31.259234990521541</v>
      </c>
      <c r="Z30" s="2">
        <f t="shared" si="3"/>
        <v>32.34480825738423</v>
      </c>
      <c r="AA30" s="3">
        <f t="shared" si="4"/>
        <v>37.457959279513418</v>
      </c>
      <c r="AB30" s="2">
        <f t="shared" si="5"/>
        <v>38.770365719222596</v>
      </c>
      <c r="AC30" s="2">
        <f t="shared" si="6"/>
        <v>42.28972731894936</v>
      </c>
      <c r="AD30" s="2">
        <f t="shared" si="7"/>
        <v>-0.1148365722179048</v>
      </c>
      <c r="AE30" s="2">
        <f t="shared" si="8"/>
        <v>-1.3028913452602429</v>
      </c>
    </row>
    <row r="31" spans="2:31" x14ac:dyDescent="0.2">
      <c r="B31" s="1">
        <f>[3]FormattedData!A72</f>
        <v>306</v>
      </c>
      <c r="C31" s="1" t="str">
        <f>VLOOKUP($B31,[3]TrtCodes!$B$11:I115,2)</f>
        <v>FTL</v>
      </c>
      <c r="D31" s="1">
        <f>VLOOKUP($B31,[3]TrtCodes!$B$11:J115,3)</f>
        <v>4</v>
      </c>
      <c r="E31" s="1">
        <f>VLOOKUP($B31,[3]TrtCodes!$B$11:K115,4)</f>
        <v>1</v>
      </c>
      <c r="F31" s="1">
        <f>VLOOKUP($B31,[3]TrtCodes!$B$11:L115,5)</f>
        <v>2</v>
      </c>
      <c r="G31" s="1">
        <f>VLOOKUP($B31,[3]TrtCodes!$B$11:M115,6)</f>
        <v>1</v>
      </c>
      <c r="H31" s="1">
        <f>VLOOKUP($B31,[3]TrtCodes!$B$11:N115,7)</f>
        <v>4</v>
      </c>
      <c r="I31" s="1">
        <f>[3]FormattedData!B72</f>
        <v>1</v>
      </c>
      <c r="J31" s="4">
        <f>[3]FormattedData!C72</f>
        <v>13.58</v>
      </c>
      <c r="K31" s="6">
        <f>$J$3+[3]FormattedData!D72*$J$4+$M$4*$J$5+[3]FormattedData!D72^2*$J$6+$M$5*$J$7</f>
        <v>50.644802281468756</v>
      </c>
      <c r="L31" s="6">
        <f>$J$3+[3]FormattedData!E72*$J$4+$M$4*$J$5+[3]FormattedData!E72^2*$J$6+$M$5*$J$7</f>
        <v>42.197901181940587</v>
      </c>
      <c r="M31" s="6">
        <f>$J$3+[3]FormattedData!F72*$J$4+$M$4*$J$5+[3]FormattedData!F72^2*$J$6+$M$5*$J$7</f>
        <v>48.078681528614425</v>
      </c>
      <c r="N31" s="6">
        <f>$J$3+[3]FormattedData!G72*$J$4+$M$4*$J$5+[3]FormattedData!G72^2*$J$6+$M$5*$J$7</f>
        <v>41.000314963874729</v>
      </c>
      <c r="O31" s="6">
        <f>$J$3+[3]FormattedData!H72*$J$4+$M$4*$J$5+[3]FormattedData!H72^2*$J$6+$M$5*$J$7</f>
        <v>47.096026302635167</v>
      </c>
      <c r="P31" s="6">
        <f>$J$3+[3]FormattedData!I72*$J$4+$M$4*$J$5+[3]FormattedData!I72^2*$J$6+$M$5*$J$7</f>
        <v>49.67563071908954</v>
      </c>
      <c r="Q31" s="6">
        <f>$J$3+[3]FormattedData!J72*$J$4+$M$4*$J$5+[3]FormattedData!J72^2*$J$6+$M$5*$J$7</f>
        <v>36.138536262507678</v>
      </c>
      <c r="R31" s="6">
        <f>$J$3+[3]FormattedData!K72*$J$4+$M$4*$J$5+[3]FormattedData!K72^2*$J$6+$M$5*$J$7</f>
        <v>48.345790769130389</v>
      </c>
      <c r="S31" s="6">
        <f>$J$3+[3]FormattedData!L72*$J$4+$M$4*$J$5+[3]FormattedData!L72^2*$J$6+$M$5*$J$7</f>
        <v>40.537802795796345</v>
      </c>
      <c r="T31" s="6">
        <f>$J$3+[3]FormattedData!M72*$J$4+$M$4*$J$5+[3]FormattedData!M72^2*$J$6+$M$5*$J$7</f>
        <v>45.477012935359994</v>
      </c>
      <c r="U31" s="6">
        <f>$J$3+[3]FormattedData!N72*$J$4+$M$4*$J$5+[3]FormattedData!N72^2*$J$6+$M$5*$J$7</f>
        <v>44.753055510848412</v>
      </c>
      <c r="V31" s="6">
        <f>$J$3+[3]FormattedData!O72*$J$4+$M$4*$J$5+[3]FormattedData!O72^2*$J$6+$M$5*$J$7</f>
        <v>48.256796624163002</v>
      </c>
      <c r="W31" s="5">
        <f t="shared" si="0"/>
        <v>45.183529322952417</v>
      </c>
      <c r="X31" s="4">
        <f t="shared" si="1"/>
        <v>1.2660133986173665</v>
      </c>
      <c r="Y31" s="3">
        <f t="shared" si="2"/>
        <v>36.138536262507678</v>
      </c>
      <c r="Z31" s="2">
        <f t="shared" si="3"/>
        <v>41.898504627424124</v>
      </c>
      <c r="AA31" s="3">
        <f t="shared" si="4"/>
        <v>46.28651961899758</v>
      </c>
      <c r="AB31" s="2">
        <f t="shared" si="5"/>
        <v>48.279045160404849</v>
      </c>
      <c r="AC31" s="2">
        <f t="shared" si="6"/>
        <v>50.644802281468756</v>
      </c>
      <c r="AD31" s="2">
        <f t="shared" si="7"/>
        <v>-0.76911021170695282</v>
      </c>
      <c r="AE31" s="2">
        <f t="shared" si="8"/>
        <v>-0.15095372258466266</v>
      </c>
    </row>
    <row r="32" spans="2:31" x14ac:dyDescent="0.2">
      <c r="B32" s="1">
        <f>[3]FormattedData!A74</f>
        <v>307</v>
      </c>
      <c r="C32" s="1" t="str">
        <f>VLOOKUP($B32,[3]TrtCodes!$B$11:I117,2)</f>
        <v>NTH</v>
      </c>
      <c r="D32" s="1">
        <f>VLOOKUP($B32,[3]TrtCodes!$B$11:J117,3)</f>
        <v>9</v>
      </c>
      <c r="E32" s="1">
        <f>VLOOKUP($B32,[3]TrtCodes!$B$11:K117,4)</f>
        <v>2</v>
      </c>
      <c r="F32" s="1">
        <f>VLOOKUP($B32,[3]TrtCodes!$B$11:L117,5)</f>
        <v>2</v>
      </c>
      <c r="G32" s="1">
        <f>VLOOKUP($B32,[3]TrtCodes!$B$11:M117,6)</f>
        <v>2</v>
      </c>
      <c r="H32" s="1">
        <f>VLOOKUP($B32,[3]TrtCodes!$B$11:N117,7)</f>
        <v>4</v>
      </c>
      <c r="I32" s="1">
        <f>[3]FormattedData!B74</f>
        <v>1</v>
      </c>
      <c r="J32" s="4">
        <f>[3]FormattedData!C74</f>
        <v>13.596</v>
      </c>
      <c r="K32" s="6">
        <f>$J$3+[3]FormattedData!D74*$J$4+$M$4*$J$5+[3]FormattedData!D74^2*$J$6+$M$5*$J$7</f>
        <v>51.87089636672254</v>
      </c>
      <c r="L32" s="6">
        <f>$J$3+[3]FormattedData!E74*$J$4+$M$4*$J$5+[3]FormattedData!E74^2*$J$6+$M$5*$J$7</f>
        <v>41.277315042266579</v>
      </c>
      <c r="M32" s="6">
        <f>$J$3+[3]FormattedData!F74*$J$4+$M$4*$J$5+[3]FormattedData!F74^2*$J$6+$M$5*$J$7</f>
        <v>45.20584591520263</v>
      </c>
      <c r="N32" s="6">
        <f>$J$3+[3]FormattedData!G74*$J$4+$M$4*$J$5+[3]FormattedData!G74^2*$J$6+$M$5*$J$7</f>
        <v>40.907897067334915</v>
      </c>
      <c r="O32" s="6">
        <f>$J$3+[3]FormattedData!H74*$J$4+$M$4*$J$5+[3]FormattedData!H74^2*$J$6+$M$5*$J$7</f>
        <v>47.989560578033235</v>
      </c>
      <c r="P32" s="6">
        <f>$J$3+[3]FormattedData!I74*$J$4+$M$4*$J$5+[3]FormattedData!I74^2*$J$6+$M$5*$J$7</f>
        <v>40.72293446864149</v>
      </c>
      <c r="Q32" s="6">
        <f>$J$3+[3]FormattedData!J74*$J$4+$M$4*$J$5+[3]FormattedData!J74^2*$J$6+$M$5*$J$7</f>
        <v>44.480874045780709</v>
      </c>
      <c r="R32" s="6">
        <f>$J$3+[3]FormattedData!K74*$J$4+$M$4*$J$5+[3]FormattedData!K74^2*$J$6+$M$5*$J$7</f>
        <v>40.815436902257161</v>
      </c>
      <c r="S32" s="6">
        <f>$J$3+[3]FormattedData!L74*$J$4+$M$4*$J$5+[3]FormattedData!L74^2*$J$6+$M$5*$J$7</f>
        <v>47.632654090329183</v>
      </c>
      <c r="T32" s="6">
        <f>$J$3+[3]FormattedData!M74*$J$4+$M$4*$J$5+[3]FormattedData!M74^2*$J$6+$M$5*$J$7</f>
        <v>46.108256583566238</v>
      </c>
      <c r="U32" s="6">
        <f>$J$3+[3]FormattedData!N74*$J$4+$M$4*$J$5+[3]FormattedData!N74^2*$J$6+$M$5*$J$7</f>
        <v>48.523652253451388</v>
      </c>
      <c r="V32" s="6">
        <f>$J$3+[3]FormattedData!O74*$J$4+$M$4*$J$5+[3]FormattedData!O74^2*$J$6+$M$5*$J$7</f>
        <v>37.458720113196179</v>
      </c>
      <c r="W32" s="5">
        <f t="shared" si="0"/>
        <v>44.41617028556518</v>
      </c>
      <c r="X32" s="4">
        <f t="shared" si="1"/>
        <v>1.2192333139168436</v>
      </c>
      <c r="Y32" s="3">
        <f t="shared" si="2"/>
        <v>37.458720113196179</v>
      </c>
      <c r="Z32" s="2">
        <f t="shared" si="3"/>
        <v>40.88478202606548</v>
      </c>
      <c r="AA32" s="3">
        <f t="shared" si="4"/>
        <v>44.84335998049167</v>
      </c>
      <c r="AB32" s="2">
        <f t="shared" si="5"/>
        <v>47.721880712255199</v>
      </c>
      <c r="AC32" s="2">
        <f t="shared" si="6"/>
        <v>51.87089636672254</v>
      </c>
      <c r="AD32" s="2">
        <f t="shared" si="7"/>
        <v>8.6696695261593237E-2</v>
      </c>
      <c r="AE32" s="2">
        <f t="shared" si="8"/>
        <v>-0.76624699394423024</v>
      </c>
    </row>
    <row r="33" spans="2:31" x14ac:dyDescent="0.2">
      <c r="B33" s="1">
        <f>[3]FormattedData!A76</f>
        <v>308</v>
      </c>
      <c r="C33" s="1" t="str">
        <f>VLOOKUP($B33,[3]TrtCodes!$B$11:I119,2)</f>
        <v>FDH</v>
      </c>
      <c r="D33" s="1">
        <f>VLOOKUP($B33,[3]TrtCodes!$B$11:J119,3)</f>
        <v>5</v>
      </c>
      <c r="E33" s="1">
        <f>VLOOKUP($B33,[3]TrtCodes!$B$11:K119,4)</f>
        <v>1</v>
      </c>
      <c r="F33" s="1">
        <f>VLOOKUP($B33,[3]TrtCodes!$B$11:L119,5)</f>
        <v>3</v>
      </c>
      <c r="G33" s="1">
        <f>VLOOKUP($B33,[3]TrtCodes!$B$11:M119,6)</f>
        <v>2</v>
      </c>
      <c r="H33" s="1">
        <f>VLOOKUP($B33,[3]TrtCodes!$B$11:N119,7)</f>
        <v>4</v>
      </c>
      <c r="I33" s="1">
        <f>[3]FormattedData!B76</f>
        <v>1</v>
      </c>
      <c r="J33" s="4">
        <f>[3]FormattedData!C76</f>
        <v>13.613</v>
      </c>
      <c r="K33" s="6">
        <f>$J$3+[3]FormattedData!D76*$J$4+$M$4*$J$5+[3]FormattedData!D76^2*$J$6+$M$5*$J$7</f>
        <v>48.434742645559851</v>
      </c>
      <c r="L33" s="6">
        <f>$J$3+[3]FormattedData!E76*$J$4+$M$4*$J$5+[3]FormattedData!E76^2*$J$6+$M$5*$J$7</f>
        <v>42.839796501705479</v>
      </c>
      <c r="M33" s="6">
        <f>$J$3+[3]FormattedData!F76*$J$4+$M$4*$J$5+[3]FormattedData!F76^2*$J$6+$M$5*$J$7</f>
        <v>40.907897067334915</v>
      </c>
      <c r="N33" s="6">
        <f>$J$3+[3]FormattedData!G76*$J$4+$M$4*$J$5+[3]FormattedData!G76^2*$J$6+$M$5*$J$7</f>
        <v>45.567317405003251</v>
      </c>
      <c r="O33" s="6">
        <f>$J$3+[3]FormattedData!H76*$J$4+$M$4*$J$5+[3]FormattedData!H76^2*$J$6+$M$5*$J$7</f>
        <v>47.275071306018233</v>
      </c>
      <c r="P33" s="6">
        <f>$J$3+[3]FormattedData!I76*$J$4+$M$4*$J$5+[3]FormattedData!I76^2*$J$6+$M$5*$J$7</f>
        <v>46.647674094763715</v>
      </c>
      <c r="Q33" s="6">
        <f>$J$3+[3]FormattedData!J76*$J$4+$M$4*$J$5+[3]FormattedData!J76^2*$J$6+$M$5*$J$7</f>
        <v>44.208312163871618</v>
      </c>
      <c r="R33" s="6">
        <f>$J$3+[3]FormattedData!K76*$J$4+$M$4*$J$5+[3]FormattedData!K76^2*$J$6+$M$5*$J$7</f>
        <v>45.296277190459691</v>
      </c>
      <c r="S33" s="6">
        <f>$J$3+[3]FormattedData!L76*$J$4+$M$4*$J$5+[3]FormattedData!L76^2*$J$6+$M$5*$J$7</f>
        <v>50.204903781183532</v>
      </c>
      <c r="T33" s="6">
        <f>$J$3+[3]FormattedData!M76*$J$4+$M$4*$J$5+[3]FormattedData!M76^2*$J$6+$M$5*$J$7</f>
        <v>40.537802795796345</v>
      </c>
      <c r="U33" s="6">
        <f>$J$3+[3]FormattedData!N76*$J$4+$M$4*$J$5+[3]FormattedData!N76^2*$J$6+$M$5*$J$7</f>
        <v>49.852224147272594</v>
      </c>
      <c r="V33" s="6">
        <f>$J$3+[3]FormattedData!O76*$J$4+$M$4*$J$5+[3]FormattedData!O76^2*$J$6+$M$5*$J$7</f>
        <v>40.907897067334915</v>
      </c>
      <c r="W33" s="5">
        <f t="shared" si="0"/>
        <v>45.223326347192007</v>
      </c>
      <c r="X33" s="4">
        <f t="shared" si="1"/>
        <v>0.98791768219819953</v>
      </c>
      <c r="Y33" s="3">
        <f t="shared" si="2"/>
        <v>40.537802795796345</v>
      </c>
      <c r="Z33" s="2">
        <f t="shared" si="3"/>
        <v>42.356821643112838</v>
      </c>
      <c r="AA33" s="3">
        <f t="shared" si="4"/>
        <v>45.431797297731471</v>
      </c>
      <c r="AB33" s="2">
        <f t="shared" si="5"/>
        <v>47.564989140903634</v>
      </c>
      <c r="AC33" s="2">
        <f t="shared" si="6"/>
        <v>50.204903781183532</v>
      </c>
      <c r="AD33" s="2">
        <f t="shared" si="7"/>
        <v>-2.9102178628978001E-2</v>
      </c>
      <c r="AE33" s="2">
        <f t="shared" si="8"/>
        <v>-1.2623113123238432</v>
      </c>
    </row>
    <row r="34" spans="2:31" x14ac:dyDescent="0.2">
      <c r="B34" s="1">
        <f>[3]FormattedData!A92</f>
        <v>401</v>
      </c>
      <c r="C34" s="1" t="str">
        <f>VLOOKUP($B34,[3]TrtCodes!$B$11:I129,2)</f>
        <v>NSH</v>
      </c>
      <c r="D34" s="1">
        <f>VLOOKUP($B34,[3]TrtCodes!$B$11:J129,3)</f>
        <v>7</v>
      </c>
      <c r="E34" s="1">
        <f>VLOOKUP($B34,[3]TrtCodes!$B$11:K129,4)</f>
        <v>2</v>
      </c>
      <c r="F34" s="1">
        <f>VLOOKUP($B34,[3]TrtCodes!$B$11:L129,5)</f>
        <v>1</v>
      </c>
      <c r="G34" s="1">
        <f>VLOOKUP($B34,[3]TrtCodes!$B$11:M129,6)</f>
        <v>2</v>
      </c>
      <c r="H34" s="1">
        <f>VLOOKUP($B34,[3]TrtCodes!$B$11:N129,7)</f>
        <v>3</v>
      </c>
      <c r="I34" s="1">
        <f>[3]FormattedData!B92</f>
        <v>1</v>
      </c>
      <c r="J34" s="4">
        <f>[3]FormattedData!C92</f>
        <v>13.750999999999999</v>
      </c>
      <c r="K34" s="6">
        <f>$J$3+[3]FormattedData!D92*$J$4+$M$4*$J$5+[3]FormattedData!D92^2*$J$6+$M$5*$J$7</f>
        <v>37.176521004638793</v>
      </c>
      <c r="L34" s="6">
        <f>$J$3+[3]FormattedData!E92*$J$4+$M$4*$J$5+[3]FormattedData!E92^2*$J$6+$M$5*$J$7</f>
        <v>39.888510481893498</v>
      </c>
      <c r="M34" s="6">
        <f>$J$3+[3]FormattedData!F92*$J$4+$M$4*$J$5+[3]FormattedData!F92^2*$J$6+$M$5*$J$7</f>
        <v>40.907897067334915</v>
      </c>
      <c r="N34" s="6">
        <f>$J$3+[3]FormattedData!G92*$J$4+$M$4*$J$5+[3]FormattedData!G92^2*$J$6+$M$5*$J$7</f>
        <v>42.01412210230923</v>
      </c>
      <c r="O34" s="6">
        <f>$J$3+[3]FormattedData!H92*$J$4+$M$4*$J$5+[3]FormattedData!H92^2*$J$6+$M$5*$J$7</f>
        <v>37.740538804912191</v>
      </c>
      <c r="P34" s="6">
        <f>$J$3+[3]FormattedData!I92*$J$4+$M$4*$J$5+[3]FormattedData!I92^2*$J$6+$M$5*$J$7</f>
        <v>38.67718698900002</v>
      </c>
      <c r="Q34" s="6">
        <f>$J$3+[3]FormattedData!J92*$J$4+$M$4*$J$5+[3]FormattedData!J92^2*$J$6+$M$5*$J$7</f>
        <v>35.665034274567198</v>
      </c>
      <c r="R34" s="6">
        <f>$J$3+[3]FormattedData!K92*$J$4+$M$4*$J$5+[3]FormattedData!K92^2*$J$6+$M$5*$J$7</f>
        <v>38.770619330450181</v>
      </c>
      <c r="S34" s="6">
        <f>$J$3+[3]FormattedData!L92*$J$4+$M$4*$J$5+[3]FormattedData!L92^2*$J$6+$M$5*$J$7</f>
        <v>37.740538804912191</v>
      </c>
      <c r="T34" s="6">
        <f>$J$3+[3]FormattedData!M92*$J$4+$M$4*$J$5+[3]FormattedData!M92^2*$J$6+$M$5*$J$7</f>
        <v>35.949262272945276</v>
      </c>
      <c r="U34" s="6">
        <f>$J$3+[3]FormattedData!N92*$J$4+$M$4*$J$5+[3]FormattedData!N92^2*$J$6+$M$5*$J$7</f>
        <v>32.320932382432034</v>
      </c>
      <c r="V34" s="6">
        <f>$J$3+[3]FormattedData!O92*$J$4+$M$4*$J$5+[3]FormattedData!O92^2*$J$6+$M$5*$J$7</f>
        <v>35.854561875357184</v>
      </c>
      <c r="W34" s="5">
        <f t="shared" si="0"/>
        <v>37.725477115896062</v>
      </c>
      <c r="X34" s="4">
        <f t="shared" si="1"/>
        <v>0.75683080174212536</v>
      </c>
      <c r="Y34" s="3">
        <f t="shared" si="2"/>
        <v>32.320932382432034</v>
      </c>
      <c r="Z34" s="2">
        <f t="shared" si="3"/>
        <v>35.925587173548251</v>
      </c>
      <c r="AA34" s="3">
        <f t="shared" si="4"/>
        <v>37.740538804912191</v>
      </c>
      <c r="AB34" s="2">
        <f t="shared" si="5"/>
        <v>39.050092118311014</v>
      </c>
      <c r="AC34" s="2">
        <f t="shared" si="6"/>
        <v>42.01412210230923</v>
      </c>
      <c r="AD34" s="2">
        <f t="shared" si="7"/>
        <v>-0.33715360560544816</v>
      </c>
      <c r="AE34" s="2">
        <f t="shared" si="8"/>
        <v>0.49680945795158404</v>
      </c>
    </row>
    <row r="35" spans="2:31" x14ac:dyDescent="0.2">
      <c r="B35" s="1">
        <f>[3]FormattedData!A90</f>
        <v>402</v>
      </c>
      <c r="C35" s="1" t="str">
        <f>VLOOKUP($B35,[3]TrtCodes!$B$11:I130,2)</f>
        <v>NTH</v>
      </c>
      <c r="D35" s="1">
        <f>VLOOKUP($B35,[3]TrtCodes!$B$11:J130,3)</f>
        <v>9</v>
      </c>
      <c r="E35" s="1">
        <f>VLOOKUP($B35,[3]TrtCodes!$B$11:K130,4)</f>
        <v>2</v>
      </c>
      <c r="F35" s="1">
        <f>VLOOKUP($B35,[3]TrtCodes!$B$11:L130,5)</f>
        <v>2</v>
      </c>
      <c r="G35" s="1">
        <f>VLOOKUP($B35,[3]TrtCodes!$B$11:M130,6)</f>
        <v>2</v>
      </c>
      <c r="H35" s="1">
        <f>VLOOKUP($B35,[3]TrtCodes!$B$11:N130,7)</f>
        <v>3</v>
      </c>
      <c r="I35" s="1">
        <f>[3]FormattedData!B90</f>
        <v>1</v>
      </c>
      <c r="J35" s="4">
        <f>[3]FormattedData!C90</f>
        <v>13.734999999999999</v>
      </c>
      <c r="K35" s="6">
        <f>$J$3+[3]FormattedData!D90*$J$4+$M$4*$J$5+[3]FormattedData!D90^2*$J$6+$M$5*$J$7</f>
        <v>50.644802281468756</v>
      </c>
      <c r="L35" s="6">
        <f>$J$3+[3]FormattedData!E90*$J$4+$M$4*$J$5+[3]FormattedData!E90^2*$J$6+$M$5*$J$7</f>
        <v>46.557876847575628</v>
      </c>
      <c r="M35" s="6">
        <f>$J$3+[3]FormattedData!F90*$J$4+$M$4*$J$5+[3]FormattedData!F90^2*$J$6+$M$5*$J$7</f>
        <v>36.138536262507678</v>
      </c>
      <c r="N35" s="6">
        <f>$J$3+[3]FormattedData!G90*$J$4+$M$4*$J$5+[3]FormattedData!G90^2*$J$6+$M$5*$J$7</f>
        <v>50.556907118487572</v>
      </c>
      <c r="O35" s="6">
        <f>$J$3+[3]FormattedData!H90*$J$4+$M$4*$J$5+[3]FormattedData!H90^2*$J$6+$M$5*$J$7</f>
        <v>41.553934703817056</v>
      </c>
      <c r="P35" s="6">
        <f>$J$3+[3]FormattedData!I90*$J$4+$M$4*$J$5+[3]FormattedData!I90^2*$J$6+$M$5*$J$7</f>
        <v>45.657579606108577</v>
      </c>
      <c r="Q35" s="6">
        <f>$J$3+[3]FormattedData!J90*$J$4+$M$4*$J$5+[3]FormattedData!J90^2*$J$6+$M$5*$J$7</f>
        <v>43.935369865121146</v>
      </c>
      <c r="R35" s="6">
        <f>$J$3+[3]FormattedData!K90*$J$4+$M$4*$J$5+[3]FormattedData!K90^2*$J$6+$M$5*$J$7</f>
        <v>45.115372371407652</v>
      </c>
      <c r="S35" s="6">
        <f>$J$3+[3]FormattedData!L90*$J$4+$M$4*$J$5+[3]FormattedData!L90^2*$J$6+$M$5*$J$7</f>
        <v>43.753196989931183</v>
      </c>
      <c r="T35" s="6">
        <f>$J$3+[3]FormattedData!M90*$J$4+$M$4*$J$5+[3]FormattedData!M90^2*$J$6+$M$5*$J$7</f>
        <v>47.811191871257073</v>
      </c>
      <c r="U35" s="6">
        <f>$J$3+[3]FormattedData!N90*$J$4+$M$4*$J$5+[3]FormattedData!N90^2*$J$6+$M$5*$J$7</f>
        <v>44.208312163871618</v>
      </c>
      <c r="V35" s="6">
        <f>$J$3+[3]FormattedData!O90*$J$4+$M$4*$J$5+[3]FormattedData!O90^2*$J$6+$M$5*$J$7</f>
        <v>41.922169159686661</v>
      </c>
      <c r="W35" s="5">
        <f t="shared" si="0"/>
        <v>44.821270770103375</v>
      </c>
      <c r="X35" s="4">
        <f t="shared" si="1"/>
        <v>1.1557624224338521</v>
      </c>
      <c r="Y35" s="3">
        <f t="shared" si="2"/>
        <v>36.138536262507678</v>
      </c>
      <c r="Z35" s="2">
        <f t="shared" si="3"/>
        <v>43.295440032370053</v>
      </c>
      <c r="AA35" s="3">
        <f t="shared" si="4"/>
        <v>44.661842267639635</v>
      </c>
      <c r="AB35" s="2">
        <f t="shared" si="5"/>
        <v>46.871205603495987</v>
      </c>
      <c r="AC35" s="2">
        <f t="shared" si="6"/>
        <v>50.644802281468756</v>
      </c>
      <c r="AD35" s="2">
        <f t="shared" si="7"/>
        <v>-0.50522979496572185</v>
      </c>
      <c r="AE35" s="2">
        <f t="shared" si="8"/>
        <v>0.99069624002481316</v>
      </c>
    </row>
    <row r="36" spans="2:31" x14ac:dyDescent="0.2">
      <c r="B36" s="1">
        <f>[3]FormattedData!A88</f>
        <v>403</v>
      </c>
      <c r="C36" s="1" t="str">
        <f>VLOOKUP($B36,[3]TrtCodes!$B$11:I131,2)</f>
        <v>FDL</v>
      </c>
      <c r="D36" s="1">
        <f>VLOOKUP($B36,[3]TrtCodes!$B$11:J131,3)</f>
        <v>6</v>
      </c>
      <c r="E36" s="1">
        <f>VLOOKUP($B36,[3]TrtCodes!$B$11:K131,4)</f>
        <v>1</v>
      </c>
      <c r="F36" s="1">
        <f>VLOOKUP($B36,[3]TrtCodes!$B$11:L131,5)</f>
        <v>3</v>
      </c>
      <c r="G36" s="1">
        <f>VLOOKUP($B36,[3]TrtCodes!$B$11:M131,6)</f>
        <v>1</v>
      </c>
      <c r="H36" s="1">
        <f>VLOOKUP($B36,[3]TrtCodes!$B$11:N131,7)</f>
        <v>3</v>
      </c>
      <c r="I36" s="1">
        <f>[3]FormattedData!B88</f>
        <v>1</v>
      </c>
      <c r="J36" s="4">
        <f>[3]FormattedData!C88</f>
        <v>13.718999999999999</v>
      </c>
      <c r="K36" s="6">
        <f>$J$3+[3]FormattedData!D88*$J$4+$M$4*$J$5+[3]FormattedData!D88^2*$J$6+$M$5*$J$7</f>
        <v>40.167032227650871</v>
      </c>
      <c r="L36" s="6">
        <f>$J$3+[3]FormattedData!E88*$J$4+$M$4*$J$5+[3]FormattedData!E88^2*$J$6+$M$5*$J$7</f>
        <v>35.285471850532055</v>
      </c>
      <c r="M36" s="6">
        <f>$J$3+[3]FormattedData!F88*$J$4+$M$4*$J$5+[3]FormattedData!F88^2*$J$6+$M$5*$J$7</f>
        <v>48.523652253451388</v>
      </c>
      <c r="N36" s="6">
        <f>$J$3+[3]FormattedData!G88*$J$4+$M$4*$J$5+[3]FormattedData!G88^2*$J$6+$M$5*$J$7</f>
        <v>37.928206590033199</v>
      </c>
      <c r="O36" s="6">
        <f>$J$3+[3]FormattedData!H88*$J$4+$M$4*$J$5+[3]FormattedData!H88^2*$J$6+$M$5*$J$7</f>
        <v>46.01820572515058</v>
      </c>
      <c r="P36" s="6">
        <f>$J$3+[3]FormattedData!I88*$J$4+$M$4*$J$5+[3]FormattedData!I88^2*$J$6+$M$5*$J$7</f>
        <v>41.553934703817056</v>
      </c>
      <c r="Q36" s="6">
        <f>$J$3+[3]FormattedData!J88*$J$4+$M$4*$J$5+[3]FormattedData!J88^2*$J$6+$M$5*$J$7</f>
        <v>39.702617975365584</v>
      </c>
      <c r="R36" s="6">
        <f>$J$3+[3]FormattedData!K88*$J$4+$M$4*$J$5+[3]FormattedData!K88^2*$J$6+$M$5*$J$7</f>
        <v>47.453947235249565</v>
      </c>
      <c r="S36" s="6">
        <f>$J$3+[3]FormattedData!L88*$J$4+$M$4*$J$5+[3]FormattedData!L88^2*$J$6+$M$5*$J$7</f>
        <v>47.989560578033235</v>
      </c>
      <c r="T36" s="6">
        <f>$J$3+[3]FormattedData!M88*$J$4+$M$4*$J$5+[3]FormattedData!M88^2*$J$6+$M$5*$J$7</f>
        <v>45.296277190459691</v>
      </c>
      <c r="U36" s="6">
        <f>$J$3+[3]FormattedData!N88*$J$4+$M$4*$J$5+[3]FormattedData!N88^2*$J$6+$M$5*$J$7</f>
        <v>41.000314963874729</v>
      </c>
      <c r="V36" s="6">
        <f>$J$3+[3]FormattedData!O88*$J$4+$M$4*$J$5+[3]FormattedData!O88^2*$J$6+$M$5*$J$7</f>
        <v>41.000314963874729</v>
      </c>
      <c r="W36" s="5">
        <f t="shared" si="0"/>
        <v>42.659961354791058</v>
      </c>
      <c r="X36" s="4">
        <f t="shared" si="1"/>
        <v>1.2384713427867751</v>
      </c>
      <c r="Y36" s="3">
        <f t="shared" si="2"/>
        <v>35.285471850532055</v>
      </c>
      <c r="Z36" s="2">
        <f t="shared" si="3"/>
        <v>40.050928664579551</v>
      </c>
      <c r="AA36" s="3">
        <f t="shared" si="4"/>
        <v>41.277124833845889</v>
      </c>
      <c r="AB36" s="2">
        <f t="shared" si="5"/>
        <v>46.377141102675324</v>
      </c>
      <c r="AC36" s="2">
        <f t="shared" si="6"/>
        <v>48.523652253451388</v>
      </c>
      <c r="AD36" s="2">
        <f t="shared" si="7"/>
        <v>-5.453326590021311E-2</v>
      </c>
      <c r="AE36" s="2">
        <f t="shared" si="8"/>
        <v>-1.1107334048914912</v>
      </c>
    </row>
    <row r="37" spans="2:31" x14ac:dyDescent="0.2">
      <c r="B37" s="1">
        <f>[3]FormattedData!A86</f>
        <v>404</v>
      </c>
      <c r="C37" s="1" t="str">
        <f>VLOOKUP($B37,[3]TrtCodes!$B$11:I129,2)</f>
        <v>FTH</v>
      </c>
      <c r="D37" s="1">
        <f>VLOOKUP($B37,[3]TrtCodes!$B$11:J129,3)</f>
        <v>3</v>
      </c>
      <c r="E37" s="1">
        <f>VLOOKUP($B37,[3]TrtCodes!$B$11:K129,4)</f>
        <v>1</v>
      </c>
      <c r="F37" s="1">
        <f>VLOOKUP($B37,[3]TrtCodes!$B$11:L129,5)</f>
        <v>2</v>
      </c>
      <c r="G37" s="1">
        <f>VLOOKUP($B37,[3]TrtCodes!$B$11:M129,6)</f>
        <v>2</v>
      </c>
      <c r="H37" s="1">
        <f>VLOOKUP($B37,[3]TrtCodes!$B$11:N129,7)</f>
        <v>3</v>
      </c>
      <c r="I37" s="1">
        <f>[3]FormattedData!B86</f>
        <v>1</v>
      </c>
      <c r="J37" s="4">
        <f>[3]FormattedData!C86</f>
        <v>13.702</v>
      </c>
      <c r="K37" s="6">
        <f>$J$3+[3]FormattedData!D86*$J$4+$M$4*$J$5+[3]FormattedData!D86^2*$J$6+$M$5*$J$7</f>
        <v>51.958157501634759</v>
      </c>
      <c r="L37" s="6">
        <f>$J$3+[3]FormattedData!E86*$J$4+$M$4*$J$5+[3]FormattedData!E86^2*$J$6+$M$5*$J$7</f>
        <v>39.609608319294736</v>
      </c>
      <c r="M37" s="6">
        <f>$J$3+[3]FormattedData!F86*$J$4+$M$4*$J$5+[3]FormattedData!F86^2*$J$6+$M$5*$J$7</f>
        <v>45.477012935359994</v>
      </c>
      <c r="N37" s="6">
        <f>$J$3+[3]FormattedData!G86*$J$4+$M$4*$J$5+[3]FormattedData!G86^2*$J$6+$M$5*$J$7</f>
        <v>46.647674094763715</v>
      </c>
      <c r="O37" s="6">
        <f>$J$3+[3]FormattedData!H86*$J$4+$M$4*$J$5+[3]FormattedData!H86^2*$J$6+$M$5*$J$7</f>
        <v>44.571643469341211</v>
      </c>
      <c r="P37" s="6">
        <f>$J$3+[3]FormattedData!I86*$J$4+$M$4*$J$5+[3]FormattedData!I86^2*$J$6+$M$5*$J$7</f>
        <v>51.958157501634759</v>
      </c>
      <c r="Q37" s="6">
        <f>$J$3+[3]FormattedData!J86*$J$4+$M$4*$J$5+[3]FormattedData!J86^2*$J$6+$M$5*$J$7</f>
        <v>42.56495211874811</v>
      </c>
      <c r="R37" s="6">
        <f>$J$3+[3]FormattedData!K86*$J$4+$M$4*$J$5+[3]FormattedData!K86^2*$J$6+$M$5*$J$7</f>
        <v>51.346441917952696</v>
      </c>
      <c r="S37" s="6">
        <f>$J$3+[3]FormattedData!L86*$J$4+$M$4*$J$5+[3]FormattedData!L86^2*$J$6+$M$5*$J$7</f>
        <v>41.738136468827726</v>
      </c>
      <c r="T37" s="6">
        <f>$J$3+[3]FormattedData!M86*$J$4+$M$4*$J$5+[3]FormattedData!M86^2*$J$6+$M$5*$J$7</f>
        <v>50.644802281468756</v>
      </c>
      <c r="U37" s="6">
        <f>$J$3+[3]FormattedData!N86*$J$4+$M$4*$J$5+[3]FormattedData!N86^2*$J$6+$M$5*$J$7</f>
        <v>43.753196989931183</v>
      </c>
      <c r="V37" s="6">
        <f>$J$3+[3]FormattedData!O86*$J$4+$M$4*$J$5+[3]FormattedData!O86^2*$J$6+$M$5*$J$7</f>
        <v>50.556907118487572</v>
      </c>
      <c r="W37" s="5">
        <f t="shared" si="0"/>
        <v>46.735557559787104</v>
      </c>
      <c r="X37" s="4">
        <f t="shared" si="1"/>
        <v>1.2733046908898311</v>
      </c>
      <c r="Y37" s="3">
        <f t="shared" si="2"/>
        <v>39.609608319294736</v>
      </c>
      <c r="Z37" s="2">
        <f t="shared" si="3"/>
        <v>43.456135772135411</v>
      </c>
      <c r="AA37" s="3">
        <f t="shared" si="4"/>
        <v>46.062343515061855</v>
      </c>
      <c r="AB37" s="2">
        <f t="shared" si="5"/>
        <v>50.820212190589743</v>
      </c>
      <c r="AC37" s="2">
        <f t="shared" si="6"/>
        <v>51.958157501634759</v>
      </c>
      <c r="AD37" s="2">
        <f t="shared" si="7"/>
        <v>-0.12633587122703574</v>
      </c>
      <c r="AE37" s="2">
        <f t="shared" si="8"/>
        <v>-1.5376555819567712</v>
      </c>
    </row>
    <row r="38" spans="2:31" x14ac:dyDescent="0.2">
      <c r="B38" s="1">
        <f>[3]FormattedData!A84</f>
        <v>405</v>
      </c>
      <c r="C38" s="1" t="str">
        <f>VLOOKUP($B38,[3]TrtCodes!$B$11:I127,2)</f>
        <v>FDL</v>
      </c>
      <c r="D38" s="1">
        <f>VLOOKUP($B38,[3]TrtCodes!$B$11:J127,3)</f>
        <v>6</v>
      </c>
      <c r="E38" s="1">
        <f>VLOOKUP($B38,[3]TrtCodes!$B$11:K127,4)</f>
        <v>1</v>
      </c>
      <c r="F38" s="1">
        <f>VLOOKUP($B38,[3]TrtCodes!$B$11:L127,5)</f>
        <v>3</v>
      </c>
      <c r="G38" s="1">
        <f>VLOOKUP($B38,[3]TrtCodes!$B$11:M127,6)</f>
        <v>1</v>
      </c>
      <c r="H38" s="1">
        <f>VLOOKUP($B38,[3]TrtCodes!$B$11:N127,7)</f>
        <v>4</v>
      </c>
      <c r="I38" s="1">
        <f>[3]FormattedData!B84</f>
        <v>1</v>
      </c>
      <c r="J38" s="4">
        <f>[3]FormattedData!C84</f>
        <v>13.685</v>
      </c>
      <c r="K38" s="6">
        <f>$J$3+[3]FormattedData!D84*$J$4+$M$4*$J$5+[3]FormattedData!D84^2*$J$6+$M$5*$J$7</f>
        <v>50.468969686968464</v>
      </c>
      <c r="L38" s="6">
        <f>$J$3+[3]FormattedData!E84*$J$4+$M$4*$J$5+[3]FormattedData!E84^2*$J$6+$M$5*$J$7</f>
        <v>39.702617975365584</v>
      </c>
      <c r="M38" s="6">
        <f>$J$3+[3]FormattedData!F84*$J$4+$M$4*$J$5+[3]FormattedData!F84^2*$J$6+$M$5*$J$7</f>
        <v>34.905233129890014</v>
      </c>
      <c r="N38" s="6">
        <f>$J$3+[3]FormattedData!G84*$J$4+$M$4*$J$5+[3]FormattedData!G84^2*$J$6+$M$5*$J$7</f>
        <v>48.434742645559851</v>
      </c>
      <c r="O38" s="6">
        <f>$J$3+[3]FormattedData!H84*$J$4+$M$4*$J$5+[3]FormattedData!H84^2*$J$6+$M$5*$J$7</f>
        <v>35.665034274567198</v>
      </c>
      <c r="P38" s="6">
        <f>$J$3+[3]FormattedData!I84*$J$4+$M$4*$J$5+[3]FormattedData!I84^2*$J$6+$M$5*$J$7</f>
        <v>43.388344017096074</v>
      </c>
      <c r="Q38" s="6">
        <f>$J$3+[3]FormattedData!J84*$J$4+$M$4*$J$5+[3]FormattedData!J84^2*$J$6+$M$5*$J$7</f>
        <v>35.475337599625483</v>
      </c>
      <c r="R38" s="6">
        <f>$J$3+[3]FormattedData!K84*$J$4+$M$4*$J$5+[3]FormattedData!K84^2*$J$6+$M$5*$J$7</f>
        <v>49.763948567450029</v>
      </c>
      <c r="S38" s="6">
        <f>$J$3+[3]FormattedData!L84*$J$4+$M$4*$J$5+[3]FormattedData!L84^2*$J$6+$M$5*$J$7</f>
        <v>42.839796501705479</v>
      </c>
      <c r="T38" s="6">
        <f>$J$3+[3]FormattedData!M84*$J$4+$M$4*$J$5+[3]FormattedData!M84^2*$J$6+$M$5*$J$7</f>
        <v>45.386666197178805</v>
      </c>
      <c r="U38" s="6">
        <f>$J$3+[3]FormattedData!N84*$J$4+$M$4*$J$5+[3]FormattedData!N84^2*$J$6+$M$5*$J$7</f>
        <v>36.61098153699988</v>
      </c>
      <c r="V38" s="6">
        <f>$J$3+[3]FormattedData!O84*$J$4+$M$4*$J$5+[3]FormattedData!O84^2*$J$6+$M$5*$J$7</f>
        <v>41.738136468827726</v>
      </c>
      <c r="W38" s="5">
        <f t="shared" si="0"/>
        <v>42.031650716769555</v>
      </c>
      <c r="X38" s="4">
        <f t="shared" si="1"/>
        <v>1.6397645932655771</v>
      </c>
      <c r="Y38" s="3">
        <f t="shared" si="2"/>
        <v>34.905233129890014</v>
      </c>
      <c r="Z38" s="2">
        <f t="shared" si="3"/>
        <v>36.374494721391713</v>
      </c>
      <c r="AA38" s="3">
        <f t="shared" si="4"/>
        <v>42.288966485266599</v>
      </c>
      <c r="AB38" s="2">
        <f t="shared" si="5"/>
        <v>46.148685309274065</v>
      </c>
      <c r="AC38" s="2">
        <f t="shared" si="6"/>
        <v>50.468969686968464</v>
      </c>
      <c r="AD38" s="2">
        <f t="shared" si="7"/>
        <v>0.174104163256802</v>
      </c>
      <c r="AE38" s="2">
        <f t="shared" si="8"/>
        <v>-1.3972082479136203</v>
      </c>
    </row>
    <row r="39" spans="2:31" x14ac:dyDescent="0.2">
      <c r="B39" s="1">
        <f>[3]FormattedData!A82</f>
        <v>406</v>
      </c>
      <c r="C39" s="1" t="str">
        <f>VLOOKUP($B39,[3]TrtCodes!$B$11:I125,2)</f>
        <v>FTH</v>
      </c>
      <c r="D39" s="1">
        <f>VLOOKUP($B39,[3]TrtCodes!$B$11:J125,3)</f>
        <v>3</v>
      </c>
      <c r="E39" s="1">
        <f>VLOOKUP($B39,[3]TrtCodes!$B$11:K125,4)</f>
        <v>1</v>
      </c>
      <c r="F39" s="1">
        <f>VLOOKUP($B39,[3]TrtCodes!$B$11:L125,5)</f>
        <v>2</v>
      </c>
      <c r="G39" s="1">
        <f>VLOOKUP($B39,[3]TrtCodes!$B$11:M125,6)</f>
        <v>2</v>
      </c>
      <c r="H39" s="1">
        <f>VLOOKUP($B39,[3]TrtCodes!$B$11:N125,7)</f>
        <v>4</v>
      </c>
      <c r="I39" s="1">
        <f>[3]FormattedData!B82</f>
        <v>1</v>
      </c>
      <c r="J39" s="4">
        <f>[3]FormattedData!C82</f>
        <v>13.669</v>
      </c>
      <c r="K39" s="6">
        <f>$J$3+[3]FormattedData!D82*$J$4+$M$4*$J$5+[3]FormattedData!D82^2*$J$6+$M$5*$J$7</f>
        <v>52.480836671811495</v>
      </c>
      <c r="L39" s="6">
        <f>$J$3+[3]FormattedData!E82*$J$4+$M$4*$J$5+[3]FormattedData!E82^2*$J$6+$M$5*$J$7</f>
        <v>46.557876847575628</v>
      </c>
      <c r="M39" s="6">
        <f>$J$3+[3]FormattedData!F82*$J$4+$M$4*$J$5+[3]FormattedData!F82^2*$J$6+$M$5*$J$7</f>
        <v>46.557876847575628</v>
      </c>
      <c r="N39" s="6">
        <f>$J$3+[3]FormattedData!G82*$J$4+$M$4*$J$5+[3]FormattedData!G82^2*$J$6+$M$5*$J$7</f>
        <v>42.28972731894936</v>
      </c>
      <c r="O39" s="6">
        <f>$J$3+[3]FormattedData!H82*$J$4+$M$4*$J$5+[3]FormattedData!H82^2*$J$6+$M$5*$J$7</f>
        <v>46.468037331849622</v>
      </c>
      <c r="P39" s="6">
        <f>$J$3+[3]FormattedData!I82*$J$4+$M$4*$J$5+[3]FormattedData!I82^2*$J$6+$M$5*$J$7</f>
        <v>44.299208393045909</v>
      </c>
      <c r="Q39" s="6">
        <f>$J$3+[3]FormattedData!J82*$J$4+$M$4*$J$5+[3]FormattedData!J82^2*$J$6+$M$5*$J$7</f>
        <v>47.18556993859567</v>
      </c>
      <c r="R39" s="6">
        <f>$J$3+[3]FormattedData!K82*$J$4+$M$4*$J$5+[3]FormattedData!K82^2*$J$6+$M$5*$J$7</f>
        <v>48.612519592804979</v>
      </c>
      <c r="S39" s="6">
        <f>$J$3+[3]FormattedData!L82*$J$4+$M$4*$J$5+[3]FormattedData!L82^2*$J$6+$M$5*$J$7</f>
        <v>46.916812225100387</v>
      </c>
      <c r="T39" s="6">
        <f>$J$3+[3]FormattedData!M82*$J$4+$M$4*$J$5+[3]FormattedData!M82^2*$J$6+$M$5*$J$7</f>
        <v>38.39663635342194</v>
      </c>
      <c r="U39" s="6">
        <f>$J$3+[3]FormattedData!N82*$J$4+$M$4*$J$5+[3]FormattedData!N82^2*$J$6+$M$5*$J$7</f>
        <v>49.321936640268248</v>
      </c>
      <c r="V39" s="6">
        <f>$J$3+[3]FormattedData!O82*$J$4+$M$4*$J$5+[3]FormattedData!O82^2*$J$6+$M$5*$J$7</f>
        <v>45.657579606108577</v>
      </c>
      <c r="W39" s="5">
        <f t="shared" si="0"/>
        <v>46.228718147258945</v>
      </c>
      <c r="X39" s="4">
        <f t="shared" si="1"/>
        <v>1.0184244385942445</v>
      </c>
      <c r="Y39" s="3">
        <f t="shared" si="2"/>
        <v>38.39663635342194</v>
      </c>
      <c r="Z39" s="2">
        <f t="shared" si="3"/>
        <v>45.31798680284291</v>
      </c>
      <c r="AA39" s="3">
        <f t="shared" si="4"/>
        <v>46.557876847575628</v>
      </c>
      <c r="AB39" s="2">
        <f t="shared" si="5"/>
        <v>47.542307352148001</v>
      </c>
      <c r="AC39" s="2">
        <f t="shared" si="6"/>
        <v>52.480836671811495</v>
      </c>
      <c r="AD39" s="2">
        <f t="shared" si="7"/>
        <v>-0.64620498415942174</v>
      </c>
      <c r="AE39" s="2">
        <f t="shared" si="8"/>
        <v>1.7346257526003601</v>
      </c>
    </row>
    <row r="40" spans="2:31" x14ac:dyDescent="0.2">
      <c r="B40" s="1">
        <f>[3]FormattedData!A80</f>
        <v>407</v>
      </c>
      <c r="C40" s="1" t="str">
        <f>VLOOKUP($B40,[3]TrtCodes!$B$11:I123,2)</f>
        <v>NSH</v>
      </c>
      <c r="D40" s="1">
        <f>VLOOKUP($B40,[3]TrtCodes!$B$11:J123,3)</f>
        <v>7</v>
      </c>
      <c r="E40" s="1">
        <f>VLOOKUP($B40,[3]TrtCodes!$B$11:K123,4)</f>
        <v>2</v>
      </c>
      <c r="F40" s="1">
        <f>VLOOKUP($B40,[3]TrtCodes!$B$11:L123,5)</f>
        <v>1</v>
      </c>
      <c r="G40" s="1">
        <f>VLOOKUP($B40,[3]TrtCodes!$B$11:M123,6)</f>
        <v>2</v>
      </c>
      <c r="H40" s="1">
        <f>VLOOKUP($B40,[3]TrtCodes!$B$11:N123,7)</f>
        <v>4</v>
      </c>
      <c r="I40" s="1">
        <f>[3]FormattedData!B80</f>
        <v>1</v>
      </c>
      <c r="J40" s="4">
        <f>[3]FormattedData!C80</f>
        <v>13.651999999999999</v>
      </c>
      <c r="K40" s="6">
        <f>$J$3+[3]FormattedData!D80*$J$4+$M$4*$J$5+[3]FormattedData!D80^2*$J$6+$M$5*$J$7</f>
        <v>33.473314660827157</v>
      </c>
      <c r="L40" s="6">
        <f>$J$3+[3]FormattedData!E80*$J$4+$M$4*$J$5+[3]FormattedData!E80^2*$J$6+$M$5*$J$7</f>
        <v>39.702617975365584</v>
      </c>
      <c r="M40" s="6">
        <f>$J$3+[3]FormattedData!F80*$J$4+$M$4*$J$5+[3]FormattedData!F80^2*$J$6+$M$5*$J$7</f>
        <v>37.552701945639448</v>
      </c>
      <c r="N40" s="6">
        <f>$J$3+[3]FormattedData!G80*$J$4+$M$4*$J$5+[3]FormattedData!G80^2*$J$6+$M$5*$J$7</f>
        <v>36.988176922910881</v>
      </c>
      <c r="O40" s="6">
        <f>$J$3+[3]FormattedData!H80*$J$4+$M$4*$J$5+[3]FormattedData!H80^2*$J$6+$M$5*$J$7</f>
        <v>35.665034274567198</v>
      </c>
      <c r="P40" s="6">
        <f>$J$3+[3]FormattedData!I80*$J$4+$M$4*$J$5+[3]FormattedData!I80^2*$J$6+$M$5*$J$7</f>
        <v>37.364696012214985</v>
      </c>
      <c r="Q40" s="6">
        <f>$J$3+[3]FormattedData!J80*$J$4+$M$4*$J$5+[3]FormattedData!J80^2*$J$6+$M$5*$J$7</f>
        <v>36.516577019177298</v>
      </c>
      <c r="R40" s="6">
        <f>$J$3+[3]FormattedData!K80*$J$4+$M$4*$J$5+[3]FormattedData!K80^2*$J$6+$M$5*$J$7</f>
        <v>36.893941479240027</v>
      </c>
      <c r="S40" s="6">
        <f>$J$3+[3]FormattedData!L80*$J$4+$M$4*$J$5+[3]FormattedData!L80^2*$J$6+$M$5*$J$7</f>
        <v>33.185789716490447</v>
      </c>
      <c r="T40" s="6">
        <f>$J$3+[3]FormattedData!M80*$J$4+$M$4*$J$5+[3]FormattedData!M80^2*$J$6+$M$5*$J$7</f>
        <v>40.907897067334915</v>
      </c>
      <c r="U40" s="6">
        <f>$J$3+[3]FormattedData!N80*$J$4+$M$4*$J$5+[3]FormattedData!N80^2*$J$6+$M$5*$J$7</f>
        <v>33.377515281252855</v>
      </c>
      <c r="V40" s="6">
        <f>$J$3+[3]FormattedData!O80*$J$4+$M$4*$J$5+[3]FormattedData!O80^2*$J$6+$M$5*$J$7</f>
        <v>34.524318112641062</v>
      </c>
      <c r="W40" s="5">
        <f t="shared" si="0"/>
        <v>36.346048372305155</v>
      </c>
      <c r="X40" s="4">
        <f t="shared" si="1"/>
        <v>0.70789261849436202</v>
      </c>
      <c r="Y40" s="3">
        <f t="shared" si="2"/>
        <v>33.185789716490447</v>
      </c>
      <c r="Z40" s="2">
        <f t="shared" si="3"/>
        <v>34.261567249687587</v>
      </c>
      <c r="AA40" s="3">
        <f t="shared" si="4"/>
        <v>36.705259249208666</v>
      </c>
      <c r="AB40" s="2">
        <f t="shared" si="5"/>
        <v>37.411697495571104</v>
      </c>
      <c r="AC40" s="2">
        <f t="shared" si="6"/>
        <v>40.907897067334915</v>
      </c>
      <c r="AD40" s="2">
        <f t="shared" si="7"/>
        <v>0.35664749348988861</v>
      </c>
      <c r="AE40" s="2">
        <f t="shared" si="8"/>
        <v>-0.45913784704114757</v>
      </c>
    </row>
    <row r="41" spans="2:31" x14ac:dyDescent="0.2">
      <c r="B41" s="1">
        <f>[3]FormattedData!A78</f>
        <v>408</v>
      </c>
      <c r="C41" s="1" t="str">
        <f>VLOOKUP($B41,[3]TrtCodes!$B$11:I121,2)</f>
        <v>NTL</v>
      </c>
      <c r="D41" s="1">
        <f>VLOOKUP($B41,[3]TrtCodes!$B$11:J121,3)</f>
        <v>10</v>
      </c>
      <c r="E41" s="1">
        <f>VLOOKUP($B41,[3]TrtCodes!$B$11:K121,4)</f>
        <v>2</v>
      </c>
      <c r="F41" s="1">
        <f>VLOOKUP($B41,[3]TrtCodes!$B$11:L121,5)</f>
        <v>2</v>
      </c>
      <c r="G41" s="1">
        <f>VLOOKUP($B41,[3]TrtCodes!$B$11:M121,6)</f>
        <v>1</v>
      </c>
      <c r="H41" s="1">
        <f>VLOOKUP($B41,[3]TrtCodes!$B$11:N121,7)</f>
        <v>4</v>
      </c>
      <c r="I41" s="1">
        <f>[3]FormattedData!B78</f>
        <v>1</v>
      </c>
      <c r="J41" s="4">
        <f>[3]FormattedData!C78</f>
        <v>13.632999999999999</v>
      </c>
      <c r="K41" s="6">
        <f>$J$3+[3]FormattedData!D78*$J$4+$M$4*$J$5+[3]FormattedData!D78^2*$J$6+$M$5*$J$7</f>
        <v>49.67563071908954</v>
      </c>
      <c r="L41" s="6">
        <f>$J$3+[3]FormattedData!E78*$J$4+$M$4*$J$5+[3]FormattedData!E78^2*$J$6+$M$5*$J$7</f>
        <v>37.646641509544779</v>
      </c>
      <c r="M41" s="6">
        <f>$J$3+[3]FormattedData!F78*$J$4+$M$4*$J$5+[3]FormattedData!F78^2*$J$6+$M$5*$J$7</f>
        <v>48.434742645559851</v>
      </c>
      <c r="N41" s="6">
        <f>$J$3+[3]FormattedData!G78*$J$4+$M$4*$J$5+[3]FormattedData!G78^2*$J$6+$M$5*$J$7</f>
        <v>38.67718698900002</v>
      </c>
      <c r="O41" s="6">
        <f>$J$3+[3]FormattedData!H78*$J$4+$M$4*$J$5+[3]FormattedData!H78^2*$J$6+$M$5*$J$7</f>
        <v>47.900397358914113</v>
      </c>
      <c r="P41" s="6">
        <f>$J$3+[3]FormattedData!I78*$J$4+$M$4*$J$5+[3]FormattedData!I78^2*$J$6+$M$5*$J$7</f>
        <v>35.949262272945276</v>
      </c>
      <c r="Q41" s="6">
        <f>$J$3+[3]FormattedData!J78*$J$4+$M$4*$J$5+[3]FormattedData!J78^2*$J$6+$M$5*$J$7</f>
        <v>47.18556993859567</v>
      </c>
      <c r="R41" s="6">
        <f>$J$3+[3]FormattedData!K78*$J$4+$M$4*$J$5+[3]FormattedData!K78^2*$J$6+$M$5*$J$7</f>
        <v>49.233407449218099</v>
      </c>
      <c r="S41" s="6">
        <f>$J$3+[3]FormattedData!L78*$J$4+$M$4*$J$5+[3]FormattedData!L78^2*$J$6+$M$5*$J$7</f>
        <v>37.082370098043803</v>
      </c>
      <c r="T41" s="6">
        <f>$J$3+[3]FormattedData!M78*$J$4+$M$4*$J$5+[3]FormattedData!M78^2*$J$6+$M$5*$J$7</f>
        <v>50.732655175912008</v>
      </c>
      <c r="U41" s="6">
        <f>$J$3+[3]FormattedData!N78*$J$4+$M$4*$J$5+[3]FormattedData!N78^2*$J$6+$M$5*$J$7</f>
        <v>36.893941479240027</v>
      </c>
      <c r="V41" s="6">
        <f>$J$3+[3]FormattedData!O78*$J$4+$M$4*$J$5+[3]FormattedData!O78^2*$J$6+$M$5*$J$7</f>
        <v>44.662370624363774</v>
      </c>
      <c r="W41" s="5">
        <f t="shared" si="0"/>
        <v>43.672848021702237</v>
      </c>
      <c r="X41" s="4">
        <f t="shared" si="1"/>
        <v>1.6988717879290651</v>
      </c>
      <c r="Y41" s="3">
        <f t="shared" si="2"/>
        <v>35.949262272945276</v>
      </c>
      <c r="Z41" s="2">
        <f t="shared" si="3"/>
        <v>37.505573656669533</v>
      </c>
      <c r="AA41" s="3">
        <f t="shared" si="4"/>
        <v>45.923970281479725</v>
      </c>
      <c r="AB41" s="2">
        <f t="shared" si="5"/>
        <v>48.634408846474415</v>
      </c>
      <c r="AC41" s="2">
        <f t="shared" si="6"/>
        <v>50.732655175912008</v>
      </c>
      <c r="AD41" s="2">
        <f t="shared" si="7"/>
        <v>-0.23232979236175849</v>
      </c>
      <c r="AE41" s="2">
        <f t="shared" si="8"/>
        <v>-2.0334308330906872</v>
      </c>
    </row>
    <row r="42" spans="2:31" x14ac:dyDescent="0.2">
      <c r="B42" s="17">
        <f>[3]FormattedData!A60</f>
        <v>901</v>
      </c>
      <c r="C42" s="17" t="str">
        <f>VLOOKUP($B42,[3]TrtCodes!$B$11:I103,2)</f>
        <v>WS</v>
      </c>
      <c r="D42" s="17">
        <f>VLOOKUP($B42,[3]TrtCodes!$B$11:J103,3)</f>
        <v>32</v>
      </c>
      <c r="E42" s="17">
        <f>VLOOKUP($B42,[3]TrtCodes!$B$11:K103,4)</f>
        <v>9</v>
      </c>
      <c r="F42" s="17">
        <f>VLOOKUP($B42,[3]TrtCodes!$B$11:L103,5)</f>
        <v>0</v>
      </c>
      <c r="G42" s="17">
        <f>VLOOKUP($B42,[3]TrtCodes!$B$11:M103,6)</f>
        <v>1</v>
      </c>
      <c r="H42" s="17">
        <f>VLOOKUP($B42,[3]TrtCodes!$B$11:N103,7)</f>
        <v>1</v>
      </c>
      <c r="I42" s="17">
        <f>[3]FormattedData!B60</f>
        <v>1</v>
      </c>
      <c r="J42" s="15">
        <f>[3]FormattedData!C60</f>
        <v>13.488</v>
      </c>
      <c r="K42" s="14">
        <f>$J$3+[3]FormattedData!D60*$J$4+$M$4*$J$5+[3]FormattedData!D60^2*$J$6+$M$5*$J$7</f>
        <v>48.345790769130389</v>
      </c>
      <c r="L42" s="14">
        <f>$J$3+[3]FormattedData!E60*$J$4+$M$4*$J$5+[3]FormattedData!E60^2*$J$6+$M$5*$J$7</f>
        <v>48.256796624163002</v>
      </c>
      <c r="M42" s="14">
        <f>$J$3+[3]FormattedData!F60*$J$4+$M$4*$J$5+[3]FormattedData!F60^2*$J$6+$M$5*$J$7</f>
        <v>48.256796624163002</v>
      </c>
      <c r="N42" s="14">
        <f>$J$3+[3]FormattedData!G60*$J$4+$M$4*$J$5+[3]FormattedData!G60^2*$J$6+$M$5*$J$7</f>
        <v>47.989560578033235</v>
      </c>
      <c r="O42" s="14">
        <f>$J$3+[3]FormattedData!H60*$J$4+$M$4*$J$5+[3]FormattedData!H60^2*$J$6+$M$5*$J$7</f>
        <v>48.434742645559851</v>
      </c>
      <c r="P42" s="14">
        <f>$J$3+[3]FormattedData!I60*$J$4+$M$4*$J$5+[3]FormattedData!I60^2*$J$6+$M$5*$J$7</f>
        <v>48.523652253451388</v>
      </c>
      <c r="Q42" s="14">
        <f>$J$3+[3]FormattedData!J60*$J$4+$M$4*$J$5+[3]FormattedData!J60^2*$J$6+$M$5*$J$7</f>
        <v>48.878867999638189</v>
      </c>
      <c r="R42" s="14">
        <f>$J$3+[3]FormattedData!K60*$J$4+$M$4*$J$5+[3]FormattedData!K60^2*$J$6+$M$5*$J$7</f>
        <v>47.811191871257073</v>
      </c>
      <c r="S42" s="14">
        <f>$J$3+[3]FormattedData!L60*$J$4+$M$4*$J$5+[3]FormattedData!L60^2*$J$6+$M$5*$J$7</f>
        <v>46.827141783526088</v>
      </c>
      <c r="T42" s="14">
        <f>$J$3+[3]FormattedData!M60*$J$4+$M$4*$J$5+[3]FormattedData!M60^2*$J$6+$M$5*$J$7</f>
        <v>47.006440398136732</v>
      </c>
      <c r="U42" s="14">
        <f>$J$3+[3]FormattedData!N60*$J$4+$M$4*$J$5+[3]FormattedData!N60^2*$J$6+$M$5*$J$7</f>
        <v>48.434742645559851</v>
      </c>
      <c r="V42" s="14">
        <f>$J$3+[3]FormattedData!O60*$J$4+$M$4*$J$5+[3]FormattedData!O60^2*$J$6+$M$5*$J$7</f>
        <v>48.256796624163002</v>
      </c>
      <c r="W42" s="16">
        <f t="shared" ref="W42:W73" si="9">AVERAGE(K42:V42)</f>
        <v>48.085210068065152</v>
      </c>
      <c r="X42" s="15">
        <f t="shared" ref="X42:X73" si="10">STDEV(K42:V42)/SQRT(COUNT(K42:V42))</f>
        <v>0.17523605842287579</v>
      </c>
      <c r="Y42" s="14">
        <f t="shared" ref="Y42:Y73" si="11">MIN(K42:V42)</f>
        <v>46.827141783526088</v>
      </c>
      <c r="Z42" s="13">
        <f t="shared" ref="Z42:Z73" si="12">QUARTILE(K42:V42,1)</f>
        <v>47.944968401339196</v>
      </c>
      <c r="AA42" s="14">
        <f t="shared" ref="AA42:AA73" si="13">MEDIAN(K42:V42)</f>
        <v>48.256796624163002</v>
      </c>
      <c r="AB42" s="13">
        <f t="shared" ref="AB42:AB73" si="14">QUARTILE(K42:V42,3)</f>
        <v>48.434742645559851</v>
      </c>
      <c r="AC42" s="13">
        <f t="shared" ref="AC42:AC73" si="15">MAX(K42:V42)</f>
        <v>48.878867999638189</v>
      </c>
      <c r="AD42" s="13">
        <f t="shared" ref="AD42:AD73" si="16">SKEW(K42:V42)</f>
        <v>-1.2512210378447342</v>
      </c>
      <c r="AE42" s="13">
        <f t="shared" ref="AE42:AE73" si="17">KURT(K42:V42)</f>
        <v>0.99828704333151475</v>
      </c>
    </row>
    <row r="43" spans="2:31" x14ac:dyDescent="0.2">
      <c r="B43" s="1">
        <f>[3]FormattedData!A58</f>
        <v>902</v>
      </c>
      <c r="C43" s="1" t="str">
        <f>VLOOKUP($B43,[3]TrtCodes!$B$11:I101,2)</f>
        <v>Late</v>
      </c>
      <c r="D43" s="1">
        <f>VLOOKUP($B43,[3]TrtCodes!$B$11:J101,3)</f>
        <v>22</v>
      </c>
      <c r="E43" s="1">
        <f>VLOOKUP($B43,[3]TrtCodes!$B$11:K101,4)</f>
        <v>4</v>
      </c>
      <c r="F43" s="1">
        <f>VLOOKUP($B43,[3]TrtCodes!$B$11:L101,5)</f>
        <v>2</v>
      </c>
      <c r="G43" s="1">
        <f>VLOOKUP($B43,[3]TrtCodes!$B$11:M101,6)</f>
        <v>2</v>
      </c>
      <c r="H43" s="1">
        <f>VLOOKUP($B43,[3]TrtCodes!$B$11:N101,7)</f>
        <v>1</v>
      </c>
      <c r="I43" s="1">
        <f>[3]FormattedData!B58</f>
        <v>1</v>
      </c>
      <c r="J43" s="4">
        <f>[3]FormattedData!C58</f>
        <v>13.465999999999999</v>
      </c>
      <c r="K43" s="6">
        <f>$J$3+[3]FormattedData!D58*$J$4+$M$4*$J$5+[3]FormattedData!D58^2*$J$6+$M$5*$J$7</f>
        <v>51.958157501634759</v>
      </c>
      <c r="L43" s="6">
        <f>$J$3+[3]FormattedData!E58*$J$4+$M$4*$J$5+[3]FormattedData!E58^2*$J$6+$M$5*$J$7</f>
        <v>48.345790769130389</v>
      </c>
      <c r="M43" s="6">
        <f>$J$3+[3]FormattedData!F58*$J$4+$M$4*$J$5+[3]FormattedData!F58^2*$J$6+$M$5*$J$7</f>
        <v>45.567317405003251</v>
      </c>
      <c r="N43" s="6">
        <f>$J$3+[3]FormattedData!G58*$J$4+$M$4*$J$5+[3]FormattedData!G58^2*$J$6+$M$5*$J$7</f>
        <v>48.878867999638189</v>
      </c>
      <c r="O43" s="6">
        <f>$J$3+[3]FormattedData!H58*$J$4+$M$4*$J$5+[3]FormattedData!H58^2*$J$6+$M$5*$J$7</f>
        <v>46.737429073413864</v>
      </c>
      <c r="P43" s="6">
        <f>$J$3+[3]FormattedData!I58*$J$4+$M$4*$J$5+[3]FormattedData!I58^2*$J$6+$M$5*$J$7</f>
        <v>48.701344663620652</v>
      </c>
      <c r="Q43" s="6">
        <f>$J$3+[3]FormattedData!J58*$J$4+$M$4*$J$5+[3]FormattedData!J58^2*$J$6+$M$5*$J$7</f>
        <v>48.167760210657676</v>
      </c>
      <c r="R43" s="6">
        <f>$J$3+[3]FormattedData!K58*$J$4+$M$4*$J$5+[3]FormattedData!K58^2*$J$6+$M$5*$J$7</f>
        <v>44.390062353682268</v>
      </c>
      <c r="S43" s="6">
        <f>$J$3+[3]FormattedData!L58*$J$4+$M$4*$J$5+[3]FormattedData!L58^2*$J$6+$M$5*$J$7</f>
        <v>46.378155547585671</v>
      </c>
      <c r="T43" s="6">
        <f>$J$3+[3]FormattedData!M58*$J$4+$M$4*$J$5+[3]FormattedData!M58^2*$J$6+$M$5*$J$7</f>
        <v>46.647674094763715</v>
      </c>
      <c r="U43" s="6">
        <f>$J$3+[3]FormattedData!N58*$J$4+$M$4*$J$5+[3]FormattedData!N58^2*$J$6+$M$5*$J$7</f>
        <v>50.292968018316444</v>
      </c>
      <c r="V43" s="6">
        <f>$J$3+[3]FormattedData!O58*$J$4+$M$4*$J$5+[3]FormattedData!O58^2*$J$6+$M$5*$J$7</f>
        <v>44.117373666159395</v>
      </c>
      <c r="W43" s="5">
        <f t="shared" si="9"/>
        <v>47.515241775300524</v>
      </c>
      <c r="X43" s="4">
        <f t="shared" si="10"/>
        <v>0.67191757779999306</v>
      </c>
      <c r="Y43" s="3">
        <f t="shared" si="11"/>
        <v>44.117373666159395</v>
      </c>
      <c r="Z43" s="2">
        <f t="shared" si="12"/>
        <v>46.175446011940068</v>
      </c>
      <c r="AA43" s="3">
        <f t="shared" si="13"/>
        <v>47.45259464203577</v>
      </c>
      <c r="AB43" s="2">
        <f t="shared" si="14"/>
        <v>48.745725497625038</v>
      </c>
      <c r="AC43" s="2">
        <f t="shared" si="15"/>
        <v>51.958157501634759</v>
      </c>
      <c r="AD43" s="2">
        <f t="shared" si="16"/>
        <v>0.29803120953580792</v>
      </c>
      <c r="AE43" s="2">
        <f t="shared" si="17"/>
        <v>-0.27011783152416191</v>
      </c>
    </row>
    <row r="44" spans="2:31" x14ac:dyDescent="0.2">
      <c r="B44" s="17">
        <f>[3]FormattedData!A56</f>
        <v>903</v>
      </c>
      <c r="C44" s="17" t="str">
        <f>VLOOKUP($B44,[3]TrtCodes!$B$11:I99,2)</f>
        <v>DS</v>
      </c>
      <c r="D44" s="17">
        <f>VLOOKUP($B44,[3]TrtCodes!$B$11:J99,3)</f>
        <v>31</v>
      </c>
      <c r="E44" s="17">
        <f>VLOOKUP($B44,[3]TrtCodes!$B$11:K99,4)</f>
        <v>8</v>
      </c>
      <c r="F44" s="17">
        <f>VLOOKUP($B44,[3]TrtCodes!$B$11:L99,5)</f>
        <v>0</v>
      </c>
      <c r="G44" s="17">
        <f>VLOOKUP($B44,[3]TrtCodes!$B$11:M99,6)</f>
        <v>1</v>
      </c>
      <c r="H44" s="17">
        <f>VLOOKUP($B44,[3]TrtCodes!$B$11:N99,7)</f>
        <v>1</v>
      </c>
      <c r="I44" s="17">
        <f>[3]FormattedData!B56</f>
        <v>1</v>
      </c>
      <c r="J44" s="15">
        <f>[3]FormattedData!C56</f>
        <v>13.458</v>
      </c>
      <c r="K44" s="14">
        <f>$J$3+[3]FormattedData!D56*$J$4+$M$4*$J$5+[3]FormattedData!D56^2*$J$6+$M$5*$J$7</f>
        <v>55.670400265977172</v>
      </c>
      <c r="L44" s="14">
        <f>$J$3+[3]FormattedData!E56*$J$4+$M$4*$J$5+[3]FormattedData!E56^2*$J$6+$M$5*$J$7</f>
        <v>56.096984176814082</v>
      </c>
      <c r="M44" s="14">
        <f>$J$3+[3]FormattedData!F56*$J$4+$M$4*$J$5+[3]FormattedData!F56^2*$J$6+$M$5*$J$7</f>
        <v>55.841160635925725</v>
      </c>
      <c r="N44" s="14">
        <f>$J$3+[3]FormattedData!G56*$J$4+$M$4*$J$5+[3]FormattedData!G56^2*$J$6+$M$5*$J$7</f>
        <v>55.841160635925725</v>
      </c>
      <c r="O44" s="14">
        <f>$J$3+[3]FormattedData!H56*$J$4+$M$4*$J$5+[3]FormattedData!H56^2*$J$6+$M$5*$J$7</f>
        <v>55.926477418093114</v>
      </c>
      <c r="P44" s="14">
        <f>$J$3+[3]FormattedData!I56*$J$4+$M$4*$J$5+[3]FormattedData!I56^2*$J$6+$M$5*$J$7</f>
        <v>56.26732186138333</v>
      </c>
      <c r="Q44" s="14">
        <f>$J$3+[3]FormattedData!J56*$J$4+$M$4*$J$5+[3]FormattedData!J56^2*$J$6+$M$5*$J$7</f>
        <v>56.26732186138333</v>
      </c>
      <c r="R44" s="14">
        <f>$J$3+[3]FormattedData!K56*$J$4+$M$4*$J$5+[3]FormattedData!K56^2*$J$6+$M$5*$J$7</f>
        <v>55.841160635925725</v>
      </c>
      <c r="S44" s="14">
        <f>$J$3+[3]FormattedData!L56*$J$4+$M$4*$J$5+[3]FormattedData!L56^2*$J$6+$M$5*$J$7</f>
        <v>56.26732186138333</v>
      </c>
      <c r="T44" s="14">
        <f>$J$3+[3]FormattedData!M56*$J$4+$M$4*$J$5+[3]FormattedData!M56^2*$J$6+$M$5*$J$7</f>
        <v>56.26732186138333</v>
      </c>
      <c r="U44" s="14">
        <f>$J$3+[3]FormattedData!N56*$J$4+$M$4*$J$5+[3]FormattedData!N56^2*$J$6+$M$5*$J$7</f>
        <v>56.096984176814082</v>
      </c>
      <c r="V44" s="14">
        <f>$J$3+[3]FormattedData!O56*$J$4+$M$4*$J$5+[3]FormattedData!O56^2*$J$6+$M$5*$J$7</f>
        <v>56.352427300861066</v>
      </c>
      <c r="W44" s="16">
        <f t="shared" si="9"/>
        <v>56.061336890989175</v>
      </c>
      <c r="X44" s="15">
        <f t="shared" si="10"/>
        <v>6.5911188460981457E-2</v>
      </c>
      <c r="Y44" s="14">
        <f t="shared" si="11"/>
        <v>55.670400265977172</v>
      </c>
      <c r="Z44" s="13">
        <f t="shared" si="12"/>
        <v>55.841160635925725</v>
      </c>
      <c r="AA44" s="14">
        <f t="shared" si="13"/>
        <v>56.096984176814082</v>
      </c>
      <c r="AB44" s="13">
        <f t="shared" si="14"/>
        <v>56.26732186138333</v>
      </c>
      <c r="AC44" s="13">
        <f t="shared" si="15"/>
        <v>56.352427300861066</v>
      </c>
      <c r="AD44" s="13">
        <f t="shared" si="16"/>
        <v>-0.3162487160466162</v>
      </c>
      <c r="AE44" s="13">
        <f t="shared" si="17"/>
        <v>-1.4170507521834632</v>
      </c>
    </row>
    <row r="45" spans="2:31" x14ac:dyDescent="0.2">
      <c r="B45" s="1">
        <f>[3]FormattedData!A54</f>
        <v>904</v>
      </c>
      <c r="C45" s="1" t="str">
        <f>VLOOKUP($B45,[3]TrtCodes!$B$11:I97,2)</f>
        <v>Early</v>
      </c>
      <c r="D45" s="1">
        <f>VLOOKUP($B45,[3]TrtCodes!$B$11:J97,3)</f>
        <v>21</v>
      </c>
      <c r="E45" s="1">
        <f>VLOOKUP($B45,[3]TrtCodes!$B$11:K97,4)</f>
        <v>3</v>
      </c>
      <c r="F45" s="1">
        <f>VLOOKUP($B45,[3]TrtCodes!$B$11:L97,5)</f>
        <v>2</v>
      </c>
      <c r="G45" s="1">
        <f>VLOOKUP($B45,[3]TrtCodes!$B$11:M97,6)</f>
        <v>2</v>
      </c>
      <c r="H45" s="1">
        <f>VLOOKUP($B45,[3]TrtCodes!$B$11:N97,7)</f>
        <v>1</v>
      </c>
      <c r="I45" s="1">
        <f>[3]FormattedData!B54</f>
        <v>1</v>
      </c>
      <c r="J45" s="4">
        <f>[3]FormattedData!C54</f>
        <v>13.442</v>
      </c>
      <c r="K45" s="6">
        <f>$J$3+[3]FormattedData!D54*$J$4+$M$4*$J$5+[3]FormattedData!D54^2*$J$6+$M$5*$J$7</f>
        <v>54.814062303958508</v>
      </c>
      <c r="L45" s="6">
        <f>$J$3+[3]FormattedData!E54*$J$4+$M$4*$J$5+[3]FormattedData!E54^2*$J$6+$M$5*$J$7</f>
        <v>45.296277190459691</v>
      </c>
      <c r="M45" s="6">
        <f>$J$3+[3]FormattedData!F54*$J$4+$M$4*$J$5+[3]FormattedData!F54^2*$J$6+$M$5*$J$7</f>
        <v>45.567317405003251</v>
      </c>
      <c r="N45" s="6">
        <f>$J$3+[3]FormattedData!G54*$J$4+$M$4*$J$5+[3]FormattedData!G54^2*$J$6+$M$5*$J$7</f>
        <v>51.521429141694377</v>
      </c>
      <c r="O45" s="6">
        <f>$J$3+[3]FormattedData!H54*$J$4+$M$4*$J$5+[3]FormattedData!H54^2*$J$6+$M$5*$J$7</f>
        <v>35.475337599625483</v>
      </c>
      <c r="P45" s="6">
        <f>$J$3+[3]FormattedData!I54*$J$4+$M$4*$J$5+[3]FormattedData!I54^2*$J$6+$M$5*$J$7</f>
        <v>52.393829148126869</v>
      </c>
      <c r="Q45" s="6">
        <f>$J$3+[3]FormattedData!J54*$J$4+$M$4*$J$5+[3]FormattedData!J54^2*$J$6+$M$5*$J$7</f>
        <v>40.815436902257161</v>
      </c>
      <c r="R45" s="6">
        <f>$J$3+[3]FormattedData!K54*$J$4+$M$4*$J$5+[3]FormattedData!K54^2*$J$6+$M$5*$J$7</f>
        <v>55.670400265977172</v>
      </c>
      <c r="S45" s="6">
        <f>$J$3+[3]FormattedData!L54*$J$4+$M$4*$J$5+[3]FormattedData!L54^2*$J$6+$M$5*$J$7</f>
        <v>40.074233914269684</v>
      </c>
      <c r="T45" s="6">
        <f>$J$3+[3]FormattedData!M54*$J$4+$M$4*$J$5+[3]FormattedData!M54^2*$J$6+$M$5*$J$7</f>
        <v>47.900397358914113</v>
      </c>
      <c r="U45" s="6">
        <f>$J$3+[3]FormattedData!N54*$J$4+$M$4*$J$5+[3]FormattedData!N54^2*$J$6+$M$5*$J$7</f>
        <v>47.364530404902865</v>
      </c>
      <c r="V45" s="6">
        <f>$J$3+[3]FormattedData!O54*$J$4+$M$4*$J$5+[3]FormattedData!O54^2*$J$6+$M$5*$J$7</f>
        <v>51.608859350758308</v>
      </c>
      <c r="W45" s="5">
        <f t="shared" si="9"/>
        <v>47.375175915495618</v>
      </c>
      <c r="X45" s="4">
        <f t="shared" si="10"/>
        <v>1.8054135226930457</v>
      </c>
      <c r="Y45" s="3">
        <f t="shared" si="11"/>
        <v>35.475337599625483</v>
      </c>
      <c r="Z45" s="2">
        <f t="shared" si="12"/>
        <v>44.176067118409058</v>
      </c>
      <c r="AA45" s="3">
        <f t="shared" si="13"/>
        <v>47.632463881908492</v>
      </c>
      <c r="AB45" s="2">
        <f t="shared" si="14"/>
        <v>51.805101800100445</v>
      </c>
      <c r="AC45" s="2">
        <f t="shared" si="15"/>
        <v>55.670400265977172</v>
      </c>
      <c r="AD45" s="2">
        <f t="shared" si="16"/>
        <v>-0.49734964332504566</v>
      </c>
      <c r="AE45" s="2">
        <f t="shared" si="17"/>
        <v>-0.54970884417815968</v>
      </c>
    </row>
    <row r="46" spans="2:31" x14ac:dyDescent="0.2">
      <c r="B46" s="17">
        <f>[3]FormattedData!A52</f>
        <v>905</v>
      </c>
      <c r="C46" s="17" t="str">
        <f>VLOOKUP($B46,[3]TrtCodes!$B$11:I95,2)</f>
        <v>WS</v>
      </c>
      <c r="D46" s="17">
        <f>VLOOKUP($B46,[3]TrtCodes!$B$11:J95,3)</f>
        <v>32</v>
      </c>
      <c r="E46" s="17">
        <f>VLOOKUP($B46,[3]TrtCodes!$B$11:K95,4)</f>
        <v>9</v>
      </c>
      <c r="F46" s="17">
        <f>VLOOKUP($B46,[3]TrtCodes!$B$11:L95,5)</f>
        <v>0</v>
      </c>
      <c r="G46" s="17">
        <f>VLOOKUP($B46,[3]TrtCodes!$B$11:M95,6)</f>
        <v>1</v>
      </c>
      <c r="H46" s="17">
        <f>VLOOKUP($B46,[3]TrtCodes!$B$11:N95,7)</f>
        <v>2</v>
      </c>
      <c r="I46" s="17">
        <f>[3]FormattedData!B52</f>
        <v>1</v>
      </c>
      <c r="J46" s="15">
        <f>[3]FormattedData!C52</f>
        <v>13.433</v>
      </c>
      <c r="K46" s="14">
        <f>$J$3+[3]FormattedData!D52*$J$4+$M$4*$J$5+[3]FormattedData!D52^2*$J$6+$M$5*$J$7</f>
        <v>46.108256583566238</v>
      </c>
      <c r="L46" s="14">
        <f>$J$3+[3]FormattedData!E52*$J$4+$M$4*$J$5+[3]FormattedData!E52^2*$J$6+$M$5*$J$7</f>
        <v>46.108256583566238</v>
      </c>
      <c r="M46" s="14">
        <f>$J$3+[3]FormattedData!F52*$J$4+$M$4*$J$5+[3]FormattedData!F52^2*$J$6+$M$5*$J$7</f>
        <v>47.364530404902865</v>
      </c>
      <c r="N46" s="14">
        <f>$J$3+[3]FormattedData!G52*$J$4+$M$4*$J$5+[3]FormattedData!G52^2*$J$6+$M$5*$J$7</f>
        <v>47.364530404902865</v>
      </c>
      <c r="O46" s="14">
        <f>$J$3+[3]FormattedData!H52*$J$4+$M$4*$J$5+[3]FormattedData!H52^2*$J$6+$M$5*$J$7</f>
        <v>47.989560578033235</v>
      </c>
      <c r="P46" s="14">
        <f>$J$3+[3]FormattedData!I52*$J$4+$M$4*$J$5+[3]FormattedData!I52^2*$J$6+$M$5*$J$7</f>
        <v>47.721944115062094</v>
      </c>
      <c r="Q46" s="14">
        <f>$J$3+[3]FormattedData!J52*$J$4+$M$4*$J$5+[3]FormattedData!J52^2*$J$6+$M$5*$J$7</f>
        <v>48.878867999638189</v>
      </c>
      <c r="R46" s="14">
        <f>$J$3+[3]FormattedData!K52*$J$4+$M$4*$J$5+[3]FormattedData!K52^2*$J$6+$M$5*$J$7</f>
        <v>47.900397358914113</v>
      </c>
      <c r="S46" s="14">
        <f>$J$3+[3]FormattedData!L52*$J$4+$M$4*$J$5+[3]FormattedData!L52^2*$J$6+$M$5*$J$7</f>
        <v>48.256796624163002</v>
      </c>
      <c r="T46" s="14">
        <f>$J$3+[3]FormattedData!M52*$J$4+$M$4*$J$5+[3]FormattedData!M52^2*$J$6+$M$5*$J$7</f>
        <v>48.167760210657676</v>
      </c>
      <c r="U46" s="14">
        <f>$J$3+[3]FormattedData!N52*$J$4+$M$4*$J$5+[3]FormattedData!N52^2*$J$6+$M$5*$J$7</f>
        <v>47.811191871257073</v>
      </c>
      <c r="V46" s="14">
        <f>$J$3+[3]FormattedData!O52*$J$4+$M$4*$J$5+[3]FormattedData!O52^2*$J$6+$M$5*$J$7</f>
        <v>47.900397358914113</v>
      </c>
      <c r="W46" s="16">
        <f t="shared" si="9"/>
        <v>47.631040841131473</v>
      </c>
      <c r="X46" s="15">
        <f t="shared" si="10"/>
        <v>0.2356626711306026</v>
      </c>
      <c r="Y46" s="14">
        <f t="shared" si="11"/>
        <v>46.108256583566238</v>
      </c>
      <c r="Z46" s="13">
        <f t="shared" si="12"/>
        <v>47.364530404902865</v>
      </c>
      <c r="AA46" s="14">
        <f t="shared" si="13"/>
        <v>47.855794615085593</v>
      </c>
      <c r="AB46" s="13">
        <f t="shared" si="14"/>
        <v>48.034110486189348</v>
      </c>
      <c r="AC46" s="13">
        <f t="shared" si="15"/>
        <v>48.878867999638189</v>
      </c>
      <c r="AD46" s="13">
        <f t="shared" si="16"/>
        <v>-0.93555340585400459</v>
      </c>
      <c r="AE46" s="13">
        <f t="shared" si="17"/>
        <v>0.73970739606867308</v>
      </c>
    </row>
    <row r="47" spans="2:31" x14ac:dyDescent="0.2">
      <c r="B47" s="1">
        <f>[3]FormattedData!A50</f>
        <v>906</v>
      </c>
      <c r="C47" s="1" t="str">
        <f>VLOOKUP($B47,[3]TrtCodes!$B$11:I93,2)</f>
        <v>Late</v>
      </c>
      <c r="D47" s="1">
        <f>VLOOKUP($B47,[3]TrtCodes!$B$11:J93,3)</f>
        <v>22</v>
      </c>
      <c r="E47" s="1">
        <f>VLOOKUP($B47,[3]TrtCodes!$B$11:K93,4)</f>
        <v>4</v>
      </c>
      <c r="F47" s="1">
        <f>VLOOKUP($B47,[3]TrtCodes!$B$11:L93,5)</f>
        <v>2</v>
      </c>
      <c r="G47" s="1">
        <f>VLOOKUP($B47,[3]TrtCodes!$B$11:M93,6)</f>
        <v>2</v>
      </c>
      <c r="H47" s="1">
        <f>VLOOKUP($B47,[3]TrtCodes!$B$11:N93,7)</f>
        <v>2</v>
      </c>
      <c r="I47" s="1">
        <f>[3]FormattedData!B50</f>
        <v>1</v>
      </c>
      <c r="J47" s="4">
        <f>[3]FormattedData!C50</f>
        <v>13.417</v>
      </c>
      <c r="K47" s="6">
        <f>$J$3+[3]FormattedData!D50*$J$4+$M$4*$J$5+[3]FormattedData!D50^2*$J$6+$M$5*$J$7</f>
        <v>53.262002300766255</v>
      </c>
      <c r="L47" s="6">
        <f>$J$3+[3]FormattedData!E50*$J$4+$M$4*$J$5+[3]FormattedData!E50^2*$J$6+$M$5*$J$7</f>
        <v>46.288231494783787</v>
      </c>
      <c r="M47" s="6">
        <f>$J$3+[3]FormattedData!F50*$J$4+$M$4*$J$5+[3]FormattedData!F50^2*$J$6+$M$5*$J$7</f>
        <v>41.277315042266579</v>
      </c>
      <c r="N47" s="6">
        <f>$J$3+[3]FormattedData!G50*$J$4+$M$4*$J$5+[3]FormattedData!G50^2*$J$6+$M$5*$J$7</f>
        <v>49.940457458557233</v>
      </c>
      <c r="O47" s="6">
        <f>$J$3+[3]FormattedData!H50*$J$4+$M$4*$J$5+[3]FormattedData!H50^2*$J$6+$M$5*$J$7</f>
        <v>47.18556993859567</v>
      </c>
      <c r="P47" s="6">
        <f>$J$3+[3]FormattedData!I50*$J$4+$M$4*$J$5+[3]FormattedData!I50^2*$J$6+$M$5*$J$7</f>
        <v>50.204903781183532</v>
      </c>
      <c r="Q47" s="6">
        <f>$J$3+[3]FormattedData!J50*$J$4+$M$4*$J$5+[3]FormattedData!J50^2*$J$6+$M$5*$J$7</f>
        <v>45.657579606108577</v>
      </c>
      <c r="R47" s="6">
        <f>$J$3+[3]FormattedData!K50*$J$4+$M$4*$J$5+[3]FormattedData!K50^2*$J$6+$M$5*$J$7</f>
        <v>50.028648501303927</v>
      </c>
      <c r="S47" s="6">
        <f>$J$3+[3]FormattedData!L50*$J$4+$M$4*$J$5+[3]FormattedData!L50^2*$J$6+$M$5*$J$7</f>
        <v>52.132552965845399</v>
      </c>
      <c r="T47" s="6">
        <f>$J$3+[3]FormattedData!M50*$J$4+$M$4*$J$5+[3]FormattedData!M50^2*$J$6+$M$5*$J$7</f>
        <v>45.567317405003251</v>
      </c>
      <c r="U47" s="6">
        <f>$J$3+[3]FormattedData!N50*$J$4+$M$4*$J$5+[3]FormattedData!N50^2*$J$6+$M$5*$J$7</f>
        <v>52.132552965845399</v>
      </c>
      <c r="V47" s="6">
        <f>$J$3+[3]FormattedData!O50*$J$4+$M$4*$J$5+[3]FormattedData!O50^2*$J$6+$M$5*$J$7</f>
        <v>35.095437027286891</v>
      </c>
      <c r="W47" s="5">
        <f t="shared" si="9"/>
        <v>47.397714040628877</v>
      </c>
      <c r="X47" s="4">
        <f t="shared" si="10"/>
        <v>1.4998854261908521</v>
      </c>
      <c r="Y47" s="3">
        <f t="shared" si="11"/>
        <v>35.095437027286891</v>
      </c>
      <c r="Z47" s="2">
        <f t="shared" si="12"/>
        <v>45.635014055832244</v>
      </c>
      <c r="AA47" s="3">
        <f t="shared" si="13"/>
        <v>48.563013698576455</v>
      </c>
      <c r="AB47" s="2">
        <f t="shared" si="14"/>
        <v>50.686816077349</v>
      </c>
      <c r="AC47" s="2">
        <f t="shared" si="15"/>
        <v>53.262002300766255</v>
      </c>
      <c r="AD47" s="2">
        <f t="shared" si="16"/>
        <v>-1.2702289828404669</v>
      </c>
      <c r="AE47" s="2">
        <f t="shared" si="17"/>
        <v>1.733323591821474</v>
      </c>
    </row>
    <row r="48" spans="2:31" x14ac:dyDescent="0.2">
      <c r="B48" s="17">
        <f>[3]FormattedData!A48</f>
        <v>907</v>
      </c>
      <c r="C48" s="17" t="str">
        <f>VLOOKUP($B48,[3]TrtCodes!$B$11:I91,2)</f>
        <v>DS</v>
      </c>
      <c r="D48" s="17">
        <f>VLOOKUP($B48,[3]TrtCodes!$B$11:J91,3)</f>
        <v>31</v>
      </c>
      <c r="E48" s="17">
        <f>VLOOKUP($B48,[3]TrtCodes!$B$11:K91,4)</f>
        <v>8</v>
      </c>
      <c r="F48" s="17">
        <f>VLOOKUP($B48,[3]TrtCodes!$B$11:L91,5)</f>
        <v>0</v>
      </c>
      <c r="G48" s="17">
        <f>VLOOKUP($B48,[3]TrtCodes!$B$11:M91,6)</f>
        <v>1</v>
      </c>
      <c r="H48" s="17">
        <f>VLOOKUP($B48,[3]TrtCodes!$B$11:N91,7)</f>
        <v>2</v>
      </c>
      <c r="I48" s="17">
        <f>[3]FormattedData!B48</f>
        <v>1</v>
      </c>
      <c r="J48" s="15">
        <f>[3]FormattedData!C48</f>
        <v>13.409000000000001</v>
      </c>
      <c r="K48" s="14">
        <f>$J$3+[3]FormattedData!D48*$J$4+$M$4*$J$5+[3]FormattedData!D48^2*$J$6+$M$5*$J$7</f>
        <v>55.926477418093114</v>
      </c>
      <c r="L48" s="14">
        <f>$J$3+[3]FormattedData!E48*$J$4+$M$4*$J$5+[3]FormattedData!E48^2*$J$6+$M$5*$J$7</f>
        <v>55.584956678195994</v>
      </c>
      <c r="M48" s="14">
        <f>$J$3+[3]FormattedData!F48*$J$4+$M$4*$J$5+[3]FormattedData!F48^2*$J$6+$M$5*$J$7</f>
        <v>55.841160635925725</v>
      </c>
      <c r="N48" s="14">
        <f>$J$3+[3]FormattedData!G48*$J$4+$M$4*$J$5+[3]FormattedData!G48^2*$J$6+$M$5*$J$7</f>
        <v>56.011751931722564</v>
      </c>
      <c r="O48" s="14">
        <f>$J$3+[3]FormattedData!H48*$J$4+$M$4*$J$5+[3]FormattedData!H48^2*$J$6+$M$5*$J$7</f>
        <v>56.011751931722564</v>
      </c>
      <c r="P48" s="14">
        <f>$J$3+[3]FormattedData!I48*$J$4+$M$4*$J$5+[3]FormattedData!I48^2*$J$6+$M$5*$J$7</f>
        <v>56.182174153367669</v>
      </c>
      <c r="Q48" s="14">
        <f>$J$3+[3]FormattedData!J48*$J$4+$M$4*$J$5+[3]FormattedData!J48^2*$J$6+$M$5*$J$7</f>
        <v>56.011751931722564</v>
      </c>
      <c r="R48" s="14">
        <f>$J$3+[3]FormattedData!K48*$J$4+$M$4*$J$5+[3]FormattedData!K48^2*$J$6+$M$5*$J$7</f>
        <v>55.328372303624874</v>
      </c>
      <c r="S48" s="14">
        <f>$J$3+[3]FormattedData!L48*$J$4+$M$4*$J$5+[3]FormattedData!L48^2*$J$6+$M$5*$J$7</f>
        <v>55.071407512212382</v>
      </c>
      <c r="T48" s="14">
        <f>$J$3+[3]FormattedData!M48*$J$4+$M$4*$J$5+[3]FormattedData!M48^2*$J$6+$M$5*$J$7</f>
        <v>56.182174153367669</v>
      </c>
      <c r="U48" s="14">
        <f>$J$3+[3]FormattedData!N48*$J$4+$M$4*$J$5+[3]FormattedData!N48^2*$J$6+$M$5*$J$7</f>
        <v>55.926477418093114</v>
      </c>
      <c r="V48" s="14">
        <f>$J$3+[3]FormattedData!O48*$J$4+$M$4*$J$5+[3]FormattedData!O48^2*$J$6+$M$5*$J$7</f>
        <v>55.755801585220411</v>
      </c>
      <c r="W48" s="16">
        <f t="shared" si="9"/>
        <v>55.819521471105723</v>
      </c>
      <c r="X48" s="15">
        <f t="shared" si="10"/>
        <v>9.7593073472498584E-2</v>
      </c>
      <c r="Y48" s="14">
        <f t="shared" si="11"/>
        <v>55.071407512212382</v>
      </c>
      <c r="Z48" s="13">
        <f t="shared" si="12"/>
        <v>55.713090358464306</v>
      </c>
      <c r="AA48" s="14">
        <f t="shared" si="13"/>
        <v>55.926477418093114</v>
      </c>
      <c r="AB48" s="13">
        <f t="shared" si="14"/>
        <v>56.011751931722564</v>
      </c>
      <c r="AC48" s="13">
        <f t="shared" si="15"/>
        <v>56.182174153367669</v>
      </c>
      <c r="AD48" s="13">
        <f t="shared" si="16"/>
        <v>-1.2173756170767085</v>
      </c>
      <c r="AE48" s="13">
        <f t="shared" si="17"/>
        <v>0.95372396963931383</v>
      </c>
    </row>
    <row r="49" spans="2:31" ht="13.5" thickBot="1" x14ac:dyDescent="0.25">
      <c r="B49" s="12">
        <f>[3]FormattedData!A46</f>
        <v>908</v>
      </c>
      <c r="C49" s="12" t="str">
        <f>VLOOKUP($B49,[3]TrtCodes!$B$11:I89,2)</f>
        <v>Early</v>
      </c>
      <c r="D49" s="12">
        <f>VLOOKUP($B49,[3]TrtCodes!$B$11:J89,3)</f>
        <v>21</v>
      </c>
      <c r="E49" s="12">
        <f>VLOOKUP($B49,[3]TrtCodes!$B$11:K89,4)</f>
        <v>3</v>
      </c>
      <c r="F49" s="12">
        <f>VLOOKUP($B49,[3]TrtCodes!$B$11:L89,5)</f>
        <v>2</v>
      </c>
      <c r="G49" s="12">
        <f>VLOOKUP($B49,[3]TrtCodes!$B$11:M89,6)</f>
        <v>2</v>
      </c>
      <c r="H49" s="12">
        <f>VLOOKUP($B49,[3]TrtCodes!$B$11:N89,7)</f>
        <v>2</v>
      </c>
      <c r="I49" s="12">
        <f>[3]FormattedData!B46</f>
        <v>1</v>
      </c>
      <c r="J49" s="9">
        <f>[3]FormattedData!C46</f>
        <v>13.391999999999999</v>
      </c>
      <c r="K49" s="11">
        <f>$J$3+[3]FormattedData!D46*$J$4+$M$4*$J$5+[3]FormattedData!D46^2*$J$6+$M$5*$J$7</f>
        <v>52.219687295143828</v>
      </c>
      <c r="L49" s="11">
        <f>$J$3+[3]FormattedData!E46*$J$4+$M$4*$J$5+[3]FormattedData!E46^2*$J$6+$M$5*$J$7</f>
        <v>42.473252787353118</v>
      </c>
      <c r="M49" s="11">
        <f>$J$3+[3]FormattedData!F46*$J$4+$M$4*$J$5+[3]FormattedData!F46^2*$J$6+$M$5*$J$7</f>
        <v>44.843698128795111</v>
      </c>
      <c r="N49" s="11">
        <f>$J$3+[3]FormattedData!G46*$J$4+$M$4*$J$5+[3]FormattedData!G46^2*$J$6+$M$5*$J$7</f>
        <v>44.934298478203893</v>
      </c>
      <c r="O49" s="11">
        <f>$J$3+[3]FormattedData!H46*$J$4+$M$4*$J$5+[3]FormattedData!H46^2*$J$6+$M$5*$J$7</f>
        <v>48.256796624163002</v>
      </c>
      <c r="P49" s="11">
        <f>$J$3+[3]FormattedData!I46*$J$4+$M$4*$J$5+[3]FormattedData!I46^2*$J$6+$M$5*$J$7</f>
        <v>47.453947235249565</v>
      </c>
      <c r="Q49" s="11">
        <f>$J$3+[3]FormattedData!J46*$J$4+$M$4*$J$5+[3]FormattedData!J46^2*$J$6+$M$5*$J$7</f>
        <v>41.092690591876604</v>
      </c>
      <c r="R49" s="11">
        <f>$J$3+[3]FormattedData!K46*$J$4+$M$4*$J$5+[3]FormattedData!K46^2*$J$6+$M$5*$J$7</f>
        <v>50.908234159184723</v>
      </c>
      <c r="S49" s="11">
        <f>$J$3+[3]FormattedData!L46*$J$4+$M$4*$J$5+[3]FormattedData!L46^2*$J$6+$M$5*$J$7</f>
        <v>40.167032227650871</v>
      </c>
      <c r="T49" s="11">
        <f>$J$3+[3]FormattedData!M46*$J$4+$M$4*$J$5+[3]FormattedData!M46^2*$J$6+$M$5*$J$7</f>
        <v>46.916812225100387</v>
      </c>
      <c r="U49" s="11">
        <f>$J$3+[3]FormattedData!N46*$J$4+$M$4*$J$5+[3]FormattedData!N46^2*$J$6+$M$5*$J$7</f>
        <v>44.299208393045909</v>
      </c>
      <c r="V49" s="11">
        <f>$J$3+[3]FormattedData!O46*$J$4+$M$4*$J$5+[3]FormattedData!O46^2*$J$6+$M$5*$J$7</f>
        <v>37.270629642695859</v>
      </c>
      <c r="W49" s="10">
        <f t="shared" si="9"/>
        <v>45.069690649038563</v>
      </c>
      <c r="X49" s="9">
        <f t="shared" si="10"/>
        <v>1.2689404498323968</v>
      </c>
      <c r="Y49" s="8">
        <f t="shared" si="11"/>
        <v>37.270629642695859</v>
      </c>
      <c r="Z49" s="7">
        <f t="shared" si="12"/>
        <v>42.128112238483993</v>
      </c>
      <c r="AA49" s="8">
        <f t="shared" si="13"/>
        <v>44.888998303499505</v>
      </c>
      <c r="AB49" s="7">
        <f t="shared" si="14"/>
        <v>47.654659582477926</v>
      </c>
      <c r="AC49" s="7">
        <f t="shared" si="15"/>
        <v>52.219687295143828</v>
      </c>
      <c r="AD49" s="7">
        <f t="shared" si="16"/>
        <v>-7.2331587756961663E-2</v>
      </c>
      <c r="AE49" s="7">
        <f t="shared" si="17"/>
        <v>-0.44757366504123208</v>
      </c>
    </row>
    <row r="50" spans="2:31" ht="13.5" thickTop="1" x14ac:dyDescent="0.2">
      <c r="B50" s="1">
        <f>[3]FormattedData!A29</f>
        <v>101</v>
      </c>
      <c r="C50" s="1" t="str">
        <f>VLOOKUP($B50,[3]TrtCodes!$B$11:I72,2)</f>
        <v>FSH</v>
      </c>
      <c r="D50" s="1">
        <f>VLOOKUP($B50,[3]TrtCodes!$B$11:J72,3)</f>
        <v>1</v>
      </c>
      <c r="E50" s="1">
        <f>VLOOKUP($B50,[3]TrtCodes!$B$11:K72,4)</f>
        <v>1</v>
      </c>
      <c r="F50" s="1">
        <f>VLOOKUP($B50,[3]TrtCodes!$B$11:L72,5)</f>
        <v>1</v>
      </c>
      <c r="G50" s="1">
        <f>VLOOKUP($B50,[3]TrtCodes!$B$11:M72,6)</f>
        <v>2</v>
      </c>
      <c r="H50" s="1">
        <f>VLOOKUP($B50,[3]TrtCodes!$B$11:N72,7)</f>
        <v>1</v>
      </c>
      <c r="I50" s="1">
        <f>[3]FormattedData!B29</f>
        <v>2</v>
      </c>
      <c r="J50" s="4">
        <f>[3]FormattedData!C29</f>
        <v>13.249000000000001</v>
      </c>
      <c r="K50" s="6">
        <f>$J$3+[3]FormattedData!D29*$J$4+$M$4*$J$5+[3]FormattedData!D29^2*$J$6+$M$5*$J$7</f>
        <v>32.513418780877203</v>
      </c>
      <c r="L50" s="6">
        <f>$J$3+[3]FormattedData!E29*$J$4+$M$4*$J$5+[3]FormattedData!E29^2*$J$6+$M$5*$J$7</f>
        <v>32.897884355312357</v>
      </c>
      <c r="M50" s="6">
        <f>$J$3+[3]FormattedData!F29*$J$4+$M$4*$J$5+[3]FormattedData!F29^2*$J$6+$M$5*$J$7</f>
        <v>32.993895077576319</v>
      </c>
      <c r="N50" s="6">
        <f>$J$3+[3]FormattedData!G29*$J$4+$M$4*$J$5+[3]FormattedData!G29^2*$J$6+$M$5*$J$7</f>
        <v>34.714860158341395</v>
      </c>
      <c r="O50" s="6">
        <f>$J$3+[3]FormattedData!H29*$J$4+$M$4*$J$5+[3]FormattedData!H29^2*$J$6+$M$5*$J$7</f>
        <v>34.047223298976434</v>
      </c>
      <c r="P50" s="6">
        <f>$J$3+[3]FormattedData!I29*$J$4+$M$4*$J$5+[3]FormattedData!I29^2*$J$6+$M$5*$J$7</f>
        <v>32.801831364510463</v>
      </c>
      <c r="Q50" s="6">
        <f>$J$3+[3]FormattedData!J29*$J$4+$M$4*$J$5+[3]FormattedData!J29^2*$J$6+$M$5*$J$7</f>
        <v>33.951677530629723</v>
      </c>
      <c r="R50" s="6">
        <f>$J$3+[3]FormattedData!K29*$J$4+$M$4*$J$5+[3]FormattedData!K29^2*$J$6+$M$5*$J$7</f>
        <v>33.185789716490447</v>
      </c>
      <c r="S50" s="6">
        <f>$J$3+[3]FormattedData!L29*$J$4+$M$4*$J$5+[3]FormattedData!L29^2*$J$6+$M$5*$J$7</f>
        <v>33.760459188322486</v>
      </c>
      <c r="T50" s="6">
        <f>$J$3+[3]FormattedData!M29*$J$4+$M$4*$J$5+[3]FormattedData!M29^2*$J$6+$M$5*$J$7</f>
        <v>33.089863531302342</v>
      </c>
      <c r="U50" s="6">
        <f>$J$3+[3]FormattedData!N29*$J$4+$M$4*$J$5+[3]FormattedData!N29^2*$J$6+$M$5*$J$7</f>
        <v>32.705736105170637</v>
      </c>
      <c r="V50" s="6">
        <f>$J$3+[3]FormattedData!O29*$J$4+$M$4*$J$5+[3]FormattedData!O29^2*$J$6+$M$5*$J$7</f>
        <v>33.377515281252855</v>
      </c>
      <c r="W50" s="5">
        <f t="shared" si="9"/>
        <v>33.336679532396886</v>
      </c>
      <c r="X50" s="4">
        <f t="shared" si="10"/>
        <v>0.18908416187358118</v>
      </c>
      <c r="Y50" s="3">
        <f t="shared" si="11"/>
        <v>32.513418780877203</v>
      </c>
      <c r="Z50" s="2">
        <f t="shared" si="12"/>
        <v>32.873871107611883</v>
      </c>
      <c r="AA50" s="3">
        <f t="shared" si="13"/>
        <v>33.137826623896395</v>
      </c>
      <c r="AB50" s="2">
        <f t="shared" si="14"/>
        <v>33.808263773899299</v>
      </c>
      <c r="AC50" s="2">
        <f t="shared" si="15"/>
        <v>34.714860158341395</v>
      </c>
      <c r="AD50" s="2">
        <f t="shared" si="16"/>
        <v>0.84620050805447589</v>
      </c>
      <c r="AE50" s="2">
        <f t="shared" si="17"/>
        <v>6.9462153488046852E-2</v>
      </c>
    </row>
    <row r="51" spans="2:31" x14ac:dyDescent="0.2">
      <c r="B51" s="1">
        <f>[3]FormattedData!A27</f>
        <v>102</v>
      </c>
      <c r="C51" s="1" t="str">
        <f>VLOOKUP($B51,[3]TrtCodes!$B$11:I70,2)</f>
        <v>FTL</v>
      </c>
      <c r="D51" s="1">
        <f>VLOOKUP($B51,[3]TrtCodes!$B$11:J70,3)</f>
        <v>4</v>
      </c>
      <c r="E51" s="1">
        <f>VLOOKUP($B51,[3]TrtCodes!$B$11:K70,4)</f>
        <v>1</v>
      </c>
      <c r="F51" s="1">
        <f>VLOOKUP($B51,[3]TrtCodes!$B$11:L70,5)</f>
        <v>2</v>
      </c>
      <c r="G51" s="1">
        <f>VLOOKUP($B51,[3]TrtCodes!$B$11:M70,6)</f>
        <v>1</v>
      </c>
      <c r="H51" s="1">
        <f>VLOOKUP($B51,[3]TrtCodes!$B$11:N70,7)</f>
        <v>1</v>
      </c>
      <c r="I51" s="1">
        <f>[3]FormattedData!B27</f>
        <v>2</v>
      </c>
      <c r="J51" s="4">
        <f>[3]FormattedData!C27</f>
        <v>13.233000000000001</v>
      </c>
      <c r="K51" s="6">
        <f>$J$3+[3]FormattedData!D27*$J$4+$M$4*$J$5+[3]FormattedData!D27^2*$J$6+$M$5*$J$7</f>
        <v>33.951677530629723</v>
      </c>
      <c r="L51" s="6">
        <f>$J$3+[3]FormattedData!E27*$J$4+$M$4*$J$5+[3]FormattedData!E27^2*$J$6+$M$5*$J$7</f>
        <v>33.089863531302342</v>
      </c>
      <c r="M51" s="6">
        <f>$J$3+[3]FormattedData!F27*$J$4+$M$4*$J$5+[3]FormattedData!F27^2*$J$6+$M$5*$J$7</f>
        <v>33.951677530629723</v>
      </c>
      <c r="N51" s="6">
        <f>$J$3+[3]FormattedData!G27*$J$4+$M$4*$J$5+[3]FormattedData!G27^2*$J$6+$M$5*$J$7</f>
        <v>34.333606992789008</v>
      </c>
      <c r="O51" s="6">
        <f>$J$3+[3]FormattedData!H27*$J$4+$M$4*$J$5+[3]FormattedData!H27^2*$J$6+$M$5*$J$7</f>
        <v>34.428983686984012</v>
      </c>
      <c r="P51" s="6">
        <f>$J$3+[3]FormattedData!I27*$J$4+$M$4*$J$5+[3]FormattedData!I27^2*$J$6+$M$5*$J$7</f>
        <v>33.089863531302342</v>
      </c>
      <c r="Q51" s="6">
        <f>$J$3+[3]FormattedData!J27*$J$4+$M$4*$J$5+[3]FormattedData!J27^2*$J$6+$M$5*$J$7</f>
        <v>37.458720113196179</v>
      </c>
      <c r="R51" s="6">
        <f>$J$3+[3]FormattedData!K27*$J$4+$M$4*$J$5+[3]FormattedData!K27^2*$J$6+$M$5*$J$7</f>
        <v>35.570207071365303</v>
      </c>
      <c r="S51" s="6">
        <f>$J$3+[3]FormattedData!L27*$J$4+$M$4*$J$5+[3]FormattedData!L27^2*$J$6+$M$5*$J$7</f>
        <v>34.714860158341395</v>
      </c>
      <c r="T51" s="6">
        <f>$J$3+[3]FormattedData!M27*$J$4+$M$4*$J$5+[3]FormattedData!M27^2*$J$6+$M$5*$J$7</f>
        <v>34.238188030056079</v>
      </c>
      <c r="U51" s="6">
        <f>$J$3+[3]FormattedData!N27*$J$4+$M$4*$J$5+[3]FormattedData!N27^2*$J$6+$M$5*$J$7</f>
        <v>36.043920401995443</v>
      </c>
      <c r="V51" s="6">
        <f>$J$3+[3]FormattedData!O27*$J$4+$M$4*$J$5+[3]FormattedData!O27^2*$J$6+$M$5*$J$7</f>
        <v>33.664786614361979</v>
      </c>
      <c r="W51" s="5">
        <f t="shared" si="9"/>
        <v>34.544696266079463</v>
      </c>
      <c r="X51" s="4">
        <f t="shared" si="10"/>
        <v>0.36600206514369771</v>
      </c>
      <c r="Y51" s="3">
        <f t="shared" si="11"/>
        <v>33.089863531302342</v>
      </c>
      <c r="Z51" s="2">
        <f t="shared" si="12"/>
        <v>33.879954801562789</v>
      </c>
      <c r="AA51" s="3">
        <f t="shared" si="13"/>
        <v>34.285897511422547</v>
      </c>
      <c r="AB51" s="2">
        <f t="shared" si="14"/>
        <v>34.928696886597372</v>
      </c>
      <c r="AC51" s="2">
        <f t="shared" si="15"/>
        <v>37.458720113196179</v>
      </c>
      <c r="AD51" s="2">
        <f t="shared" si="16"/>
        <v>1.1722872947572442</v>
      </c>
      <c r="AE51" s="2">
        <f t="shared" si="17"/>
        <v>1.3379919222495689</v>
      </c>
    </row>
    <row r="52" spans="2:31" x14ac:dyDescent="0.2">
      <c r="B52" s="1">
        <f>[3]FormattedData!A25</f>
        <v>103</v>
      </c>
      <c r="C52" s="1" t="str">
        <f>VLOOKUP($B52,[3]TrtCodes!$B$11:I68,2)</f>
        <v>FDH</v>
      </c>
      <c r="D52" s="1">
        <f>VLOOKUP($B52,[3]TrtCodes!$B$11:J68,3)</f>
        <v>5</v>
      </c>
      <c r="E52" s="1">
        <f>VLOOKUP($B52,[3]TrtCodes!$B$11:K68,4)</f>
        <v>1</v>
      </c>
      <c r="F52" s="1">
        <f>VLOOKUP($B52,[3]TrtCodes!$B$11:L68,5)</f>
        <v>3</v>
      </c>
      <c r="G52" s="1">
        <f>VLOOKUP($B52,[3]TrtCodes!$B$11:M68,6)</f>
        <v>2</v>
      </c>
      <c r="H52" s="1">
        <f>VLOOKUP($B52,[3]TrtCodes!$B$11:N68,7)</f>
        <v>1</v>
      </c>
      <c r="I52" s="1">
        <f>[3]FormattedData!B25</f>
        <v>2</v>
      </c>
      <c r="J52" s="4">
        <f>[3]FormattedData!C25</f>
        <v>13.215</v>
      </c>
      <c r="K52" s="6">
        <f>$J$3+[3]FormattedData!D25*$J$4+$M$4*$J$5+[3]FormattedData!D25^2*$J$6+$M$5*$J$7</f>
        <v>35.095437027286891</v>
      </c>
      <c r="L52" s="6">
        <f>$J$3+[3]FormattedData!E25*$J$4+$M$4*$J$5+[3]FormattedData!E25^2*$J$6+$M$5*$J$7</f>
        <v>33.760459188322486</v>
      </c>
      <c r="M52" s="6">
        <f>$J$3+[3]FormattedData!F25*$J$4+$M$4*$J$5+[3]FormattedData!F25^2*$J$6+$M$5*$J$7</f>
        <v>34.714860158341395</v>
      </c>
      <c r="N52" s="6">
        <f>$J$3+[3]FormattedData!G25*$J$4+$M$4*$J$5+[3]FormattedData!G25^2*$J$6+$M$5*$J$7</f>
        <v>34.428983686984012</v>
      </c>
      <c r="O52" s="6">
        <f>$J$3+[3]FormattedData!H25*$J$4+$M$4*$J$5+[3]FormattedData!H25^2*$J$6+$M$5*$J$7</f>
        <v>34.810067778384671</v>
      </c>
      <c r="P52" s="6">
        <f>$J$3+[3]FormattedData!I25*$J$4+$M$4*$J$5+[3]FormattedData!I25^2*$J$6+$M$5*$J$7</f>
        <v>34.238188030056079</v>
      </c>
      <c r="Q52" s="6">
        <f>$J$3+[3]FormattedData!J25*$J$4+$M$4*$J$5+[3]FormattedData!J25^2*$J$6+$M$5*$J$7</f>
        <v>34.142726798785226</v>
      </c>
      <c r="R52" s="6">
        <f>$J$3+[3]FormattedData!K25*$J$4+$M$4*$J$5+[3]FormattedData!K25^2*$J$6+$M$5*$J$7</f>
        <v>35.190475573178432</v>
      </c>
      <c r="S52" s="6">
        <f>$J$3+[3]FormattedData!L25*$J$4+$M$4*$J$5+[3]FormattedData!L25^2*$J$6+$M$5*$J$7</f>
        <v>32.513418780877203</v>
      </c>
      <c r="T52" s="6">
        <f>$J$3+[3]FormattedData!M25*$J$4+$M$4*$J$5+[3]FormattedData!M25^2*$J$6+$M$5*$J$7</f>
        <v>33.856089493745074</v>
      </c>
      <c r="U52" s="6">
        <f>$J$3+[3]FormattedData!N25*$J$4+$M$4*$J$5+[3]FormattedData!N25^2*$J$6+$M$5*$J$7</f>
        <v>33.089863531302342</v>
      </c>
      <c r="V52" s="6">
        <f>$J$3+[3]FormattedData!O25*$J$4+$M$4*$J$5+[3]FormattedData!O25^2*$J$6+$M$5*$J$7</f>
        <v>32.320932382432034</v>
      </c>
      <c r="W52" s="5">
        <f t="shared" si="9"/>
        <v>34.013458535807985</v>
      </c>
      <c r="X52" s="4">
        <f t="shared" si="10"/>
        <v>0.27495230065940052</v>
      </c>
      <c r="Y52" s="3">
        <f t="shared" si="11"/>
        <v>32.320932382432034</v>
      </c>
      <c r="Z52" s="2">
        <f t="shared" si="12"/>
        <v>33.592810274067446</v>
      </c>
      <c r="AA52" s="3">
        <f t="shared" si="13"/>
        <v>34.190457414420649</v>
      </c>
      <c r="AB52" s="2">
        <f t="shared" si="14"/>
        <v>34.738662063352216</v>
      </c>
      <c r="AC52" s="2">
        <f t="shared" si="15"/>
        <v>35.190475573178432</v>
      </c>
      <c r="AD52" s="2">
        <f t="shared" si="16"/>
        <v>-0.65634459395545275</v>
      </c>
      <c r="AE52" s="2">
        <f t="shared" si="17"/>
        <v>-0.59289278624449926</v>
      </c>
    </row>
    <row r="53" spans="2:31" x14ac:dyDescent="0.2">
      <c r="B53" s="1">
        <f>[3]FormattedData!A23</f>
        <v>104</v>
      </c>
      <c r="C53" s="1" t="str">
        <f>VLOOKUP($B53,[3]TrtCodes!$B$11:I66,2)</f>
        <v>NTL</v>
      </c>
      <c r="D53" s="1">
        <f>VLOOKUP($B53,[3]TrtCodes!$B$11:J66,3)</f>
        <v>10</v>
      </c>
      <c r="E53" s="1">
        <f>VLOOKUP($B53,[3]TrtCodes!$B$11:K66,4)</f>
        <v>2</v>
      </c>
      <c r="F53" s="1">
        <f>VLOOKUP($B53,[3]TrtCodes!$B$11:L66,5)</f>
        <v>2</v>
      </c>
      <c r="G53" s="1">
        <f>VLOOKUP($B53,[3]TrtCodes!$B$11:M66,6)</f>
        <v>1</v>
      </c>
      <c r="H53" s="1">
        <f>VLOOKUP($B53,[3]TrtCodes!$B$11:N66,7)</f>
        <v>1</v>
      </c>
      <c r="I53" s="1">
        <f>[3]FormattedData!B23</f>
        <v>2</v>
      </c>
      <c r="J53" s="4">
        <f>[3]FormattedData!C23</f>
        <v>13.198</v>
      </c>
      <c r="K53" s="6">
        <f>$J$3+[3]FormattedData!D23*$J$4+$M$4*$J$5+[3]FormattedData!D23^2*$J$6+$M$5*$J$7</f>
        <v>33.089863531302342</v>
      </c>
      <c r="L53" s="6">
        <f>$J$3+[3]FormattedData!E23*$J$4+$M$4*$J$5+[3]FormattedData!E23^2*$J$6+$M$5*$J$7</f>
        <v>34.047223298976434</v>
      </c>
      <c r="M53" s="6">
        <f>$J$3+[3]FormattedData!F23*$J$4+$M$4*$J$5+[3]FormattedData!F23^2*$J$6+$M$5*$J$7</f>
        <v>31.065649610090166</v>
      </c>
      <c r="N53" s="6">
        <f>$J$3+[3]FormattedData!G23*$J$4+$M$4*$J$5+[3]FormattedData!G23^2*$J$6+$M$5*$J$7</f>
        <v>33.185789716490447</v>
      </c>
      <c r="O53" s="6">
        <f>$J$3+[3]FormattedData!H23*$J$4+$M$4*$J$5+[3]FormattedData!H23^2*$J$6+$M$5*$J$7</f>
        <v>32.993895077576319</v>
      </c>
      <c r="P53" s="6">
        <f>$J$3+[3]FormattedData!I23*$J$4+$M$4*$J$5+[3]FormattedData!I23^2*$J$6+$M$5*$J$7</f>
        <v>32.224625780402548</v>
      </c>
      <c r="Q53" s="6">
        <f>$J$3+[3]FormattedData!J23*$J$4+$M$4*$J$5+[3]FormattedData!J23^2*$J$6+$M$5*$J$7</f>
        <v>32.705736105170637</v>
      </c>
      <c r="R53" s="6">
        <f>$J$3+[3]FormattedData!K23*$J$4+$M$4*$J$5+[3]FormattedData!K23^2*$J$6+$M$5*$J$7</f>
        <v>30.774954525408624</v>
      </c>
      <c r="S53" s="6">
        <f>$J$3+[3]FormattedData!L23*$J$4+$M$4*$J$5+[3]FormattedData!L23^2*$J$6+$M$5*$J$7</f>
        <v>32.513418780877203</v>
      </c>
      <c r="T53" s="6">
        <f>$J$3+[3]FormattedData!M23*$J$4+$M$4*$J$5+[3]FormattedData!M23^2*$J$6+$M$5*$J$7</f>
        <v>32.801831364510463</v>
      </c>
      <c r="U53" s="6">
        <f>$J$3+[3]FormattedData!N23*$J$4+$M$4*$J$5+[3]FormattedData!N23^2*$J$6+$M$5*$J$7</f>
        <v>35.759819209231154</v>
      </c>
      <c r="V53" s="6">
        <f>$J$3+[3]FormattedData!O23*$J$4+$M$4*$J$5+[3]FormattedData!O23^2*$J$6+$M$5*$J$7</f>
        <v>32.417196715923588</v>
      </c>
      <c r="W53" s="5">
        <f t="shared" si="9"/>
        <v>32.79833364299666</v>
      </c>
      <c r="X53" s="4">
        <f t="shared" si="10"/>
        <v>0.37197165487553435</v>
      </c>
      <c r="Y53" s="3">
        <f t="shared" si="11"/>
        <v>30.774954525408624</v>
      </c>
      <c r="Z53" s="2">
        <f t="shared" si="12"/>
        <v>32.369053982043326</v>
      </c>
      <c r="AA53" s="3">
        <f t="shared" si="13"/>
        <v>32.753783734840553</v>
      </c>
      <c r="AB53" s="2">
        <f t="shared" si="14"/>
        <v>33.113845077599365</v>
      </c>
      <c r="AC53" s="2">
        <f t="shared" si="15"/>
        <v>35.759819209231154</v>
      </c>
      <c r="AD53" s="2">
        <f t="shared" si="16"/>
        <v>0.72701574095425947</v>
      </c>
      <c r="AE53" s="2">
        <f t="shared" si="17"/>
        <v>1.9852320486466768</v>
      </c>
    </row>
    <row r="54" spans="2:31" x14ac:dyDescent="0.2">
      <c r="B54" s="1">
        <f>[3]FormattedData!A21</f>
        <v>105</v>
      </c>
      <c r="C54" s="1" t="str">
        <f>VLOOKUP($B54,[3]TrtCodes!$B$11:I64,2)</f>
        <v>NDL</v>
      </c>
      <c r="D54" s="1">
        <f>VLOOKUP($B54,[3]TrtCodes!$B$11:J64,3)</f>
        <v>12</v>
      </c>
      <c r="E54" s="1">
        <f>VLOOKUP($B54,[3]TrtCodes!$B$11:K64,4)</f>
        <v>2</v>
      </c>
      <c r="F54" s="1">
        <f>VLOOKUP($B54,[3]TrtCodes!$B$11:L64,5)</f>
        <v>3</v>
      </c>
      <c r="G54" s="1">
        <f>VLOOKUP($B54,[3]TrtCodes!$B$11:M64,6)</f>
        <v>1</v>
      </c>
      <c r="H54" s="1">
        <f>VLOOKUP($B54,[3]TrtCodes!$B$11:N64,7)</f>
        <v>2</v>
      </c>
      <c r="I54" s="1">
        <f>[3]FormattedData!B21</f>
        <v>2</v>
      </c>
      <c r="J54" s="4">
        <f>[3]FormattedData!C21</f>
        <v>13.183</v>
      </c>
      <c r="K54" s="6">
        <f>$J$3+[3]FormattedData!D21*$J$4+$M$4*$J$5+[3]FormattedData!D21^2*$J$6+$M$5*$J$7</f>
        <v>30.38676931963553</v>
      </c>
      <c r="L54" s="6">
        <f>$J$3+[3]FormattedData!E21*$J$4+$M$4*$J$5+[3]FormattedData!E21^2*$J$6+$M$5*$J$7</f>
        <v>31.35596427793034</v>
      </c>
      <c r="M54" s="6">
        <f>$J$3+[3]FormattedData!F21*$J$4+$M$4*$J$5+[3]FormattedData!F21^2*$J$6+$M$5*$J$7</f>
        <v>32.513418780877203</v>
      </c>
      <c r="N54" s="6">
        <f>$J$3+[3]FormattedData!G21*$J$4+$M$4*$J$5+[3]FormattedData!G21^2*$J$6+$M$5*$J$7</f>
        <v>32.031885770729801</v>
      </c>
      <c r="O54" s="6">
        <f>$J$3+[3]FormattedData!H21*$J$4+$M$4*$J$5+[3]FormattedData!H21^2*$J$6+$M$5*$J$7</f>
        <v>29.022795263650359</v>
      </c>
      <c r="P54" s="6">
        <f>$J$3+[3]FormattedData!I21*$J$4+$M$4*$J$5+[3]FormattedData!I21^2*$J$6+$M$5*$J$7</f>
        <v>30.774954525408624</v>
      </c>
      <c r="Q54" s="6">
        <f>$J$3+[3]FormattedData!J21*$J$4+$M$4*$J$5+[3]FormattedData!J21^2*$J$6+$M$5*$J$7</f>
        <v>31.645898528929123</v>
      </c>
      <c r="R54" s="6">
        <f>$J$3+[3]FormattedData!K21*$J$4+$M$4*$J$5+[3]FormattedData!K21^2*$J$6+$M$5*$J$7</f>
        <v>30.38676931963553</v>
      </c>
      <c r="S54" s="6">
        <f>$J$3+[3]FormattedData!L21*$J$4+$M$4*$J$5+[3]FormattedData!L21^2*$J$6+$M$5*$J$7</f>
        <v>29.705817870822255</v>
      </c>
      <c r="T54" s="6">
        <f>$J$3+[3]FormattedData!M21*$J$4+$M$4*$J$5+[3]FormattedData!M21^2*$J$6+$M$5*$J$7</f>
        <v>29.413347507547599</v>
      </c>
      <c r="U54" s="6">
        <f>$J$3+[3]FormattedData!N21*$J$4+$M$4*$J$5+[3]FormattedData!N21^2*$J$6+$M$5*$J$7</f>
        <v>30.38676931963553</v>
      </c>
      <c r="V54" s="6">
        <f>$J$3+[3]FormattedData!O21*$J$4+$M$4*$J$5+[3]FormattedData!O21^2*$J$6+$M$5*$J$7</f>
        <v>29.803223454837941</v>
      </c>
      <c r="W54" s="5">
        <f t="shared" si="9"/>
        <v>30.618967828303315</v>
      </c>
      <c r="X54" s="4">
        <f t="shared" si="10"/>
        <v>0.31224603241291204</v>
      </c>
      <c r="Y54" s="3">
        <f t="shared" si="11"/>
        <v>29.022795263650359</v>
      </c>
      <c r="Z54" s="2">
        <f t="shared" si="12"/>
        <v>29.778872058834018</v>
      </c>
      <c r="AA54" s="3">
        <f t="shared" si="13"/>
        <v>30.38676931963553</v>
      </c>
      <c r="AB54" s="2">
        <f t="shared" si="14"/>
        <v>31.428447840680036</v>
      </c>
      <c r="AC54" s="2">
        <f t="shared" si="15"/>
        <v>32.513418780877203</v>
      </c>
      <c r="AD54" s="2">
        <f t="shared" si="16"/>
        <v>0.340155812594856</v>
      </c>
      <c r="AE54" s="2">
        <f t="shared" si="17"/>
        <v>-0.80726002944364028</v>
      </c>
    </row>
    <row r="55" spans="2:31" x14ac:dyDescent="0.2">
      <c r="B55" s="1">
        <f>[3]FormattedData!A19</f>
        <v>106</v>
      </c>
      <c r="C55" s="1" t="str">
        <f>VLOOKUP($B55,[3]TrtCodes!$B$11:I62,2)</f>
        <v>NTH</v>
      </c>
      <c r="D55" s="1">
        <f>VLOOKUP($B55,[3]TrtCodes!$B$11:J62,3)</f>
        <v>9</v>
      </c>
      <c r="E55" s="1">
        <f>VLOOKUP($B55,[3]TrtCodes!$B$11:K62,4)</f>
        <v>2</v>
      </c>
      <c r="F55" s="1">
        <f>VLOOKUP($B55,[3]TrtCodes!$B$11:L62,5)</f>
        <v>2</v>
      </c>
      <c r="G55" s="1">
        <f>VLOOKUP($B55,[3]TrtCodes!$B$11:M62,6)</f>
        <v>2</v>
      </c>
      <c r="H55" s="1">
        <f>VLOOKUP($B55,[3]TrtCodes!$B$11:N62,7)</f>
        <v>2</v>
      </c>
      <c r="I55" s="1">
        <f>[3]FormattedData!B19</f>
        <v>2</v>
      </c>
      <c r="J55" s="4">
        <f>[3]FormattedData!C19</f>
        <v>13.167</v>
      </c>
      <c r="K55" s="6">
        <f>$J$3+[3]FormattedData!D19*$J$4+$M$4*$J$5+[3]FormattedData!D19^2*$J$6+$M$5*$J$7</f>
        <v>32.320932382432034</v>
      </c>
      <c r="L55" s="6">
        <f>$J$3+[3]FormattedData!E19*$J$4+$M$4*$J$5+[3]FormattedData!E19^2*$J$6+$M$5*$J$7</f>
        <v>30.580946459597936</v>
      </c>
      <c r="M55" s="6">
        <f>$J$3+[3]FormattedData!F19*$J$4+$M$4*$J$5+[3]FormattedData!F19^2*$J$6+$M$5*$J$7</f>
        <v>33.856089493745074</v>
      </c>
      <c r="N55" s="6">
        <f>$J$3+[3]FormattedData!G19*$J$4+$M$4*$J$5+[3]FormattedData!G19^2*$J$6+$M$5*$J$7</f>
        <v>34.142726798785226</v>
      </c>
      <c r="O55" s="6">
        <f>$J$3+[3]FormattedData!H19*$J$4+$M$4*$J$5+[3]FormattedData!H19^2*$J$6+$M$5*$J$7</f>
        <v>32.705736105170637</v>
      </c>
      <c r="P55" s="6">
        <f>$J$3+[3]FormattedData!I19*$J$4+$M$4*$J$5+[3]FormattedData!I19^2*$J$6+$M$5*$J$7</f>
        <v>33.377515281252855</v>
      </c>
      <c r="Q55" s="6">
        <f>$J$3+[3]FormattedData!J19*$J$4+$M$4*$J$5+[3]FormattedData!J19^2*$J$6+$M$5*$J$7</f>
        <v>34.333606992789008</v>
      </c>
      <c r="R55" s="6">
        <f>$J$3+[3]FormattedData!K19*$J$4+$M$4*$J$5+[3]FormattedData!K19^2*$J$6+$M$5*$J$7</f>
        <v>32.128276909835144</v>
      </c>
      <c r="S55" s="6">
        <f>$J$3+[3]FormattedData!L19*$J$4+$M$4*$J$5+[3]FormattedData!L19^2*$J$6+$M$5*$J$7</f>
        <v>31.935452363086533</v>
      </c>
      <c r="T55" s="6">
        <f>$J$3+[3]FormattedData!M19*$J$4+$M$4*$J$5+[3]FormattedData!M19^2*$J$6+$M$5*$J$7</f>
        <v>31.935452363086533</v>
      </c>
      <c r="U55" s="6">
        <f>$J$3+[3]FormattedData!N19*$J$4+$M$4*$J$5+[3]FormattedData!N19^2*$J$6+$M$5*$J$7</f>
        <v>34.047223298976434</v>
      </c>
      <c r="V55" s="6">
        <f>$J$3+[3]FormattedData!O19*$J$4+$M$4*$J$5+[3]FormattedData!O19^2*$J$6+$M$5*$J$7</f>
        <v>32.031885770729801</v>
      </c>
      <c r="W55" s="5">
        <f t="shared" si="9"/>
        <v>32.782987018290605</v>
      </c>
      <c r="X55" s="4">
        <f t="shared" si="10"/>
        <v>0.33546094400355092</v>
      </c>
      <c r="Y55" s="3">
        <f t="shared" si="11"/>
        <v>30.580946459597936</v>
      </c>
      <c r="Z55" s="2">
        <f t="shared" si="12"/>
        <v>32.007777418818982</v>
      </c>
      <c r="AA55" s="3">
        <f t="shared" si="13"/>
        <v>32.513334243801339</v>
      </c>
      <c r="AB55" s="2">
        <f t="shared" si="14"/>
        <v>33.90387294505291</v>
      </c>
      <c r="AC55" s="2">
        <f t="shared" si="15"/>
        <v>34.333606992789008</v>
      </c>
      <c r="AD55" s="2">
        <f t="shared" si="16"/>
        <v>-0.20784733854576351</v>
      </c>
      <c r="AE55" s="2">
        <f t="shared" si="17"/>
        <v>-0.72409282962818233</v>
      </c>
    </row>
    <row r="56" spans="2:31" x14ac:dyDescent="0.2">
      <c r="B56" s="1">
        <f>[3]FormattedData!A17</f>
        <v>107</v>
      </c>
      <c r="C56" s="1" t="str">
        <f>VLOOKUP($B56,[3]TrtCodes!$B$11:I60,2)</f>
        <v>NTL</v>
      </c>
      <c r="D56" s="1">
        <f>VLOOKUP($B56,[3]TrtCodes!$B$11:J60,3)</f>
        <v>10</v>
      </c>
      <c r="E56" s="1">
        <f>VLOOKUP($B56,[3]TrtCodes!$B$11:K60,4)</f>
        <v>2</v>
      </c>
      <c r="F56" s="1">
        <f>VLOOKUP($B56,[3]TrtCodes!$B$11:L60,5)</f>
        <v>2</v>
      </c>
      <c r="G56" s="1">
        <f>VLOOKUP($B56,[3]TrtCodes!$B$11:M60,6)</f>
        <v>1</v>
      </c>
      <c r="H56" s="1">
        <f>VLOOKUP($B56,[3]TrtCodes!$B$11:N60,7)</f>
        <v>2</v>
      </c>
      <c r="I56" s="1">
        <f>[3]FormattedData!B17</f>
        <v>2</v>
      </c>
      <c r="J56" s="4">
        <f>[3]FormattedData!C17</f>
        <v>13.151</v>
      </c>
      <c r="K56" s="6">
        <f>$J$3+[3]FormattedData!D17*$J$4+$M$4*$J$5+[3]FormattedData!D17^2*$J$6+$M$5*$J$7</f>
        <v>31.162463434574825</v>
      </c>
      <c r="L56" s="6">
        <f>$J$3+[3]FormattedData!E17*$J$4+$M$4*$J$5+[3]FormattedData!E17^2*$J$6+$M$5*$J$7</f>
        <v>31.162463434574825</v>
      </c>
      <c r="M56" s="6">
        <f>$J$3+[3]FormattedData!F17*$J$4+$M$4*$J$5+[3]FormattedData!F17^2*$J$6+$M$5*$J$7</f>
        <v>31.452651296801196</v>
      </c>
      <c r="N56" s="6">
        <f>$J$3+[3]FormattedData!G17*$J$4+$M$4*$J$5+[3]FormattedData!G17^2*$J$6+$M$5*$J$7</f>
        <v>31.35596427793034</v>
      </c>
      <c r="O56" s="6">
        <f>$J$3+[3]FormattedData!H17*$J$4+$M$4*$J$5+[3]FormattedData!H17^2*$J$6+$M$5*$J$7</f>
        <v>33.185789716490447</v>
      </c>
      <c r="P56" s="6">
        <f>$J$3+[3]FormattedData!I17*$J$4+$M$4*$J$5+[3]FormattedData!I17^2*$J$6+$M$5*$J$7</f>
        <v>30.483879023885699</v>
      </c>
      <c r="Q56" s="6">
        <f>$J$3+[3]FormattedData!J17*$J$4+$M$4*$J$5+[3]FormattedData!J17^2*$J$6+$M$5*$J$7</f>
        <v>32.705736105170637</v>
      </c>
      <c r="R56" s="6">
        <f>$J$3+[3]FormattedData!K17*$J$4+$M$4*$J$5+[3]FormattedData!K17^2*$J$6+$M$5*$J$7</f>
        <v>30.289617346847422</v>
      </c>
      <c r="S56" s="6">
        <f>$J$3+[3]FormattedData!L17*$J$4+$M$4*$J$5+[3]FormattedData!L17^2*$J$6+$M$5*$J$7</f>
        <v>33.185789716490447</v>
      </c>
      <c r="T56" s="6">
        <f>$J$3+[3]FormattedData!M17*$J$4+$M$4*$J$5+[3]FormattedData!M17^2*$J$6+$M$5*$J$7</f>
        <v>32.224625780402548</v>
      </c>
      <c r="U56" s="6">
        <f>$J$3+[3]FormattedData!N17*$J$4+$M$4*$J$5+[3]FormattedData!N17^2*$J$6+$M$5*$J$7</f>
        <v>31.742458742186187</v>
      </c>
      <c r="V56" s="6">
        <f>$J$3+[3]FormattedData!O17*$J$4+$M$4*$J$5+[3]FormattedData!O17^2*$J$6+$M$5*$J$7</f>
        <v>30.38676931963553</v>
      </c>
      <c r="W56" s="5">
        <f t="shared" si="9"/>
        <v>31.61151734958251</v>
      </c>
      <c r="X56" s="4">
        <f t="shared" si="10"/>
        <v>0.2959303438686825</v>
      </c>
      <c r="Y56" s="3">
        <f t="shared" si="11"/>
        <v>30.289617346847422</v>
      </c>
      <c r="Z56" s="2">
        <f t="shared" si="12"/>
        <v>30.992817331902543</v>
      </c>
      <c r="AA56" s="3">
        <f t="shared" si="13"/>
        <v>31.404307787365767</v>
      </c>
      <c r="AB56" s="2">
        <f t="shared" si="14"/>
        <v>32.344903361594568</v>
      </c>
      <c r="AC56" s="2">
        <f t="shared" si="15"/>
        <v>33.185789716490447</v>
      </c>
      <c r="AD56" s="2">
        <f t="shared" si="16"/>
        <v>0.36082477481151126</v>
      </c>
      <c r="AE56" s="2">
        <f t="shared" si="17"/>
        <v>-1.0561263580505145</v>
      </c>
    </row>
    <row r="57" spans="2:31" x14ac:dyDescent="0.2">
      <c r="B57" s="1">
        <f>[3]FormattedData!A15</f>
        <v>108</v>
      </c>
      <c r="C57" s="1" t="str">
        <f>VLOOKUP($B57,[3]TrtCodes!$B$11:I58,2)</f>
        <v>FTH</v>
      </c>
      <c r="D57" s="1">
        <f>VLOOKUP($B57,[3]TrtCodes!$B$11:J58,3)</f>
        <v>3</v>
      </c>
      <c r="E57" s="1">
        <f>VLOOKUP($B57,[3]TrtCodes!$B$11:K58,4)</f>
        <v>1</v>
      </c>
      <c r="F57" s="1">
        <f>VLOOKUP($B57,[3]TrtCodes!$B$11:L58,5)</f>
        <v>2</v>
      </c>
      <c r="G57" s="1">
        <f>VLOOKUP($B57,[3]TrtCodes!$B$11:M58,6)</f>
        <v>2</v>
      </c>
      <c r="H57" s="1">
        <f>VLOOKUP($B57,[3]TrtCodes!$B$11:N58,7)</f>
        <v>2</v>
      </c>
      <c r="I57" s="1">
        <f>[3]FormattedData!B15</f>
        <v>2</v>
      </c>
      <c r="J57" s="4">
        <f>[3]FormattedData!C15</f>
        <v>13.135</v>
      </c>
      <c r="K57" s="6">
        <f>$J$3+[3]FormattedData!D15*$J$4+$M$4*$J$5+[3]FormattedData!D15^2*$J$6+$M$5*$J$7</f>
        <v>29.997907817255527</v>
      </c>
      <c r="L57" s="6">
        <f>$J$3+[3]FormattedData!E15*$J$4+$M$4*$J$5+[3]FormattedData!E15^2*$J$6+$M$5*$J$7</f>
        <v>30.38676931963553</v>
      </c>
      <c r="M57" s="6">
        <f>$J$3+[3]FormattedData!F15*$J$4+$M$4*$J$5+[3]FormattedData!F15^2*$J$6+$M$5*$J$7</f>
        <v>34.238188030056079</v>
      </c>
      <c r="N57" s="6">
        <f>$J$3+[3]FormattedData!G15*$J$4+$M$4*$J$5+[3]FormattedData!G15^2*$J$6+$M$5*$J$7</f>
        <v>33.185789716490447</v>
      </c>
      <c r="O57" s="6">
        <f>$J$3+[3]FormattedData!H15*$J$4+$M$4*$J$5+[3]FormattedData!H15^2*$J$6+$M$5*$J$7</f>
        <v>32.513418780877203</v>
      </c>
      <c r="P57" s="6">
        <f>$J$3+[3]FormattedData!I15*$J$4+$M$4*$J$5+[3]FormattedData!I15^2*$J$6+$M$5*$J$7</f>
        <v>33.760459188322486</v>
      </c>
      <c r="Q57" s="6">
        <f>$J$3+[3]FormattedData!J15*$J$4+$M$4*$J$5+[3]FormattedData!J15^2*$J$6+$M$5*$J$7</f>
        <v>33.377515281252855</v>
      </c>
      <c r="R57" s="6">
        <f>$J$3+[3]FormattedData!K15*$J$4+$M$4*$J$5+[3]FormattedData!K15^2*$J$6+$M$5*$J$7</f>
        <v>32.031885770729801</v>
      </c>
      <c r="S57" s="6">
        <f>$J$3+[3]FormattedData!L15*$J$4+$M$4*$J$5+[3]FormattedData!L15^2*$J$6+$M$5*$J$7</f>
        <v>32.320932382432034</v>
      </c>
      <c r="T57" s="6">
        <f>$J$3+[3]FormattedData!M15*$J$4+$M$4*$J$5+[3]FormattedData!M15^2*$J$6+$M$5*$J$7</f>
        <v>31.935452363086533</v>
      </c>
      <c r="U57" s="6">
        <f>$J$3+[3]FormattedData!N15*$J$4+$M$4*$J$5+[3]FormattedData!N15^2*$J$6+$M$5*$J$7</f>
        <v>32.609598577292886</v>
      </c>
      <c r="V57" s="6">
        <f>$J$3+[3]FormattedData!O15*$J$4+$M$4*$J$5+[3]FormattedData!O15^2*$J$6+$M$5*$J$7</f>
        <v>32.224625780402548</v>
      </c>
      <c r="W57" s="5">
        <f t="shared" si="9"/>
        <v>32.381878583986158</v>
      </c>
      <c r="X57" s="4">
        <f t="shared" si="10"/>
        <v>0.35957788615516156</v>
      </c>
      <c r="Y57" s="3">
        <f t="shared" si="11"/>
        <v>29.997907817255527</v>
      </c>
      <c r="Z57" s="2">
        <f t="shared" si="12"/>
        <v>32.007777418818982</v>
      </c>
      <c r="AA57" s="3">
        <f t="shared" si="13"/>
        <v>32.417175581654618</v>
      </c>
      <c r="AB57" s="2">
        <f t="shared" si="14"/>
        <v>33.233721107681049</v>
      </c>
      <c r="AC57" s="2">
        <f t="shared" si="15"/>
        <v>34.238188030056079</v>
      </c>
      <c r="AD57" s="2">
        <f t="shared" si="16"/>
        <v>-0.6259406197400712</v>
      </c>
      <c r="AE57" s="2">
        <f t="shared" si="17"/>
        <v>0.22717280474165324</v>
      </c>
    </row>
    <row r="58" spans="2:31" x14ac:dyDescent="0.2">
      <c r="B58" s="1">
        <f>[3]FormattedData!A31</f>
        <v>201</v>
      </c>
      <c r="C58" s="1" t="str">
        <f>VLOOKUP($B58,[3]TrtCodes!$B$11:I74,2)</f>
        <v>NDL</v>
      </c>
      <c r="D58" s="1">
        <f>VLOOKUP($B58,[3]TrtCodes!$B$11:J74,3)</f>
        <v>12</v>
      </c>
      <c r="E58" s="1">
        <f>VLOOKUP($B58,[3]TrtCodes!$B$11:K74,4)</f>
        <v>2</v>
      </c>
      <c r="F58" s="1">
        <f>VLOOKUP($B58,[3]TrtCodes!$B$11:L74,5)</f>
        <v>3</v>
      </c>
      <c r="G58" s="1">
        <f>VLOOKUP($B58,[3]TrtCodes!$B$11:M74,6)</f>
        <v>1</v>
      </c>
      <c r="H58" s="1">
        <f>VLOOKUP($B58,[3]TrtCodes!$B$11:N74,7)</f>
        <v>1</v>
      </c>
      <c r="I58" s="1">
        <f>[3]FormattedData!B31</f>
        <v>2</v>
      </c>
      <c r="J58" s="4">
        <f>[3]FormattedData!C31</f>
        <v>13.271000000000001</v>
      </c>
      <c r="K58" s="6">
        <f>$J$3+[3]FormattedData!D31*$J$4+$M$4*$J$5+[3]FormattedData!D31^2*$J$6+$M$5*$J$7</f>
        <v>32.513418780877203</v>
      </c>
      <c r="L58" s="6">
        <f>$J$3+[3]FormattedData!E31*$J$4+$M$4*$J$5+[3]FormattedData!E31^2*$J$6+$M$5*$J$7</f>
        <v>30.289617346847422</v>
      </c>
      <c r="M58" s="6">
        <f>$J$3+[3]FormattedData!F31*$J$4+$M$4*$J$5+[3]FormattedData!F31^2*$J$6+$M$5*$J$7</f>
        <v>31.742458742186187</v>
      </c>
      <c r="N58" s="6">
        <f>$J$3+[3]FormattedData!G31*$J$4+$M$4*$J$5+[3]FormattedData!G31^2*$J$6+$M$5*$J$7</f>
        <v>32.224625780402548</v>
      </c>
      <c r="O58" s="6">
        <f>$J$3+[3]FormattedData!H31*$J$4+$M$4*$J$5+[3]FormattedData!H31^2*$J$6+$M$5*$J$7</f>
        <v>32.801831364510463</v>
      </c>
      <c r="P58" s="6">
        <f>$J$3+[3]FormattedData!I31*$J$4+$M$4*$J$5+[3]FormattedData!I31^2*$J$6+$M$5*$J$7</f>
        <v>31.645898528929123</v>
      </c>
      <c r="Q58" s="6">
        <f>$J$3+[3]FormattedData!J31*$J$4+$M$4*$J$5+[3]FormattedData!J31^2*$J$6+$M$5*$J$7</f>
        <v>31.645898528929123</v>
      </c>
      <c r="R58" s="6">
        <f>$J$3+[3]FormattedData!K31*$J$4+$M$4*$J$5+[3]FormattedData!K31^2*$J$6+$M$5*$J$7</f>
        <v>32.031885770729801</v>
      </c>
      <c r="S58" s="6">
        <f>$J$3+[3]FormattedData!L31*$J$4+$M$4*$J$5+[3]FormattedData!L31^2*$J$6+$M$5*$J$7</f>
        <v>30.483879023885699</v>
      </c>
      <c r="T58" s="6">
        <f>$J$3+[3]FormattedData!M31*$J$4+$M$4*$J$5+[3]FormattedData!M31^2*$J$6+$M$5*$J$7</f>
        <v>33.089863531302342</v>
      </c>
      <c r="U58" s="6">
        <f>$J$3+[3]FormattedData!N31*$J$4+$M$4*$J$5+[3]FormattedData!N31^2*$J$6+$M$5*$J$7</f>
        <v>32.320932382432034</v>
      </c>
      <c r="V58" s="6">
        <f>$J$3+[3]FormattedData!O31*$J$4+$M$4*$J$5+[3]FormattedData!O31^2*$J$6+$M$5*$J$7</f>
        <v>31.838976686905326</v>
      </c>
      <c r="W58" s="5">
        <f t="shared" si="9"/>
        <v>31.885773872328105</v>
      </c>
      <c r="X58" s="4">
        <f t="shared" si="10"/>
        <v>0.24088375767904915</v>
      </c>
      <c r="Y58" s="3">
        <f t="shared" si="11"/>
        <v>30.289617346847422</v>
      </c>
      <c r="Z58" s="2">
        <f t="shared" si="12"/>
        <v>31.645898528929123</v>
      </c>
      <c r="AA58" s="3">
        <f t="shared" si="13"/>
        <v>31.935431228817563</v>
      </c>
      <c r="AB58" s="2">
        <f t="shared" si="14"/>
        <v>32.369053982043326</v>
      </c>
      <c r="AC58" s="2">
        <f t="shared" si="15"/>
        <v>33.089863531302342</v>
      </c>
      <c r="AD58" s="2">
        <f t="shared" si="16"/>
        <v>-0.74468411567654347</v>
      </c>
      <c r="AE58" s="2">
        <f t="shared" si="17"/>
        <v>0.31245228251742763</v>
      </c>
    </row>
    <row r="59" spans="2:31" x14ac:dyDescent="0.2">
      <c r="B59" s="1">
        <f>[3]FormattedData!A33</f>
        <v>202</v>
      </c>
      <c r="C59" s="1" t="str">
        <f>VLOOKUP($B59,[3]TrtCodes!$B$11:I76,2)</f>
        <v>NTH</v>
      </c>
      <c r="D59" s="1">
        <f>VLOOKUP($B59,[3]TrtCodes!$B$11:J76,3)</f>
        <v>9</v>
      </c>
      <c r="E59" s="1">
        <f>VLOOKUP($B59,[3]TrtCodes!$B$11:K76,4)</f>
        <v>2</v>
      </c>
      <c r="F59" s="1">
        <f>VLOOKUP($B59,[3]TrtCodes!$B$11:L76,5)</f>
        <v>2</v>
      </c>
      <c r="G59" s="1">
        <f>VLOOKUP($B59,[3]TrtCodes!$B$11:M76,6)</f>
        <v>2</v>
      </c>
      <c r="H59" s="1">
        <f>VLOOKUP($B59,[3]TrtCodes!$B$11:N76,7)</f>
        <v>1</v>
      </c>
      <c r="I59" s="1">
        <f>[3]FormattedData!B33</f>
        <v>2</v>
      </c>
      <c r="J59" s="4">
        <f>[3]FormattedData!C33</f>
        <v>13.286</v>
      </c>
      <c r="K59" s="6">
        <f>$J$3+[3]FormattedData!D33*$J$4+$M$4*$J$5+[3]FormattedData!D33^2*$J$6+$M$5*$J$7</f>
        <v>33.473314660827157</v>
      </c>
      <c r="L59" s="6">
        <f>$J$3+[3]FormattedData!E33*$J$4+$M$4*$J$5+[3]FormattedData!E33^2*$J$6+$M$5*$J$7</f>
        <v>32.897884355312357</v>
      </c>
      <c r="M59" s="6">
        <f>$J$3+[3]FormattedData!F33*$J$4+$M$4*$J$5+[3]FormattedData!F33^2*$J$6+$M$5*$J$7</f>
        <v>33.089863531302342</v>
      </c>
      <c r="N59" s="6">
        <f>$J$3+[3]FormattedData!G33*$J$4+$M$4*$J$5+[3]FormattedData!G33^2*$J$6+$M$5*$J$7</f>
        <v>34.142726798785226</v>
      </c>
      <c r="O59" s="6">
        <f>$J$3+[3]FormattedData!H33*$J$4+$M$4*$J$5+[3]FormattedData!H33^2*$J$6+$M$5*$J$7</f>
        <v>32.801831364510463</v>
      </c>
      <c r="P59" s="6">
        <f>$J$3+[3]FormattedData!I33*$J$4+$M$4*$J$5+[3]FormattedData!I33^2*$J$6+$M$5*$J$7</f>
        <v>34.238188030056079</v>
      </c>
      <c r="Q59" s="6">
        <f>$J$3+[3]FormattedData!J33*$J$4+$M$4*$J$5+[3]FormattedData!J33^2*$J$6+$M$5*$J$7</f>
        <v>32.897884355312357</v>
      </c>
      <c r="R59" s="6">
        <f>$J$3+[3]FormattedData!K33*$J$4+$M$4*$J$5+[3]FormattedData!K33^2*$J$6+$M$5*$J$7</f>
        <v>32.320932382432034</v>
      </c>
      <c r="S59" s="6">
        <f>$J$3+[3]FormattedData!L33*$J$4+$M$4*$J$5+[3]FormattedData!L33^2*$J$6+$M$5*$J$7</f>
        <v>32.993895077576319</v>
      </c>
      <c r="T59" s="6">
        <f>$J$3+[3]FormattedData!M33*$J$4+$M$4*$J$5+[3]FormattedData!M33^2*$J$6+$M$5*$J$7</f>
        <v>32.224625780402548</v>
      </c>
      <c r="U59" s="6">
        <f>$J$3+[3]FormattedData!N33*$J$4+$M$4*$J$5+[3]FormattedData!N33^2*$J$6+$M$5*$J$7</f>
        <v>32.897884355312357</v>
      </c>
      <c r="V59" s="6">
        <f>$J$3+[3]FormattedData!O33*$J$4+$M$4*$J$5+[3]FormattedData!O33^2*$J$6+$M$5*$J$7</f>
        <v>33.281673633140613</v>
      </c>
      <c r="W59" s="5">
        <f t="shared" si="9"/>
        <v>33.105058693747488</v>
      </c>
      <c r="X59" s="4">
        <f t="shared" si="10"/>
        <v>0.17732988744139191</v>
      </c>
      <c r="Y59" s="3">
        <f t="shared" si="11"/>
        <v>32.224625780402548</v>
      </c>
      <c r="Z59" s="2">
        <f t="shared" si="12"/>
        <v>32.873871107611883</v>
      </c>
      <c r="AA59" s="3">
        <f t="shared" si="13"/>
        <v>32.945889716444341</v>
      </c>
      <c r="AB59" s="2">
        <f t="shared" si="14"/>
        <v>33.329583890062253</v>
      </c>
      <c r="AC59" s="2">
        <f t="shared" si="15"/>
        <v>34.238188030056079</v>
      </c>
      <c r="AD59" s="2">
        <f t="shared" si="16"/>
        <v>0.66223153529597689</v>
      </c>
      <c r="AE59" s="2">
        <f t="shared" si="17"/>
        <v>0.19443803837250062</v>
      </c>
    </row>
    <row r="60" spans="2:31" x14ac:dyDescent="0.2">
      <c r="B60" s="1">
        <f>[3]FormattedData!A35</f>
        <v>203</v>
      </c>
      <c r="C60" s="1" t="str">
        <f>VLOOKUP($B60,[3]TrtCodes!$B$11:I78,2)</f>
        <v>FTH</v>
      </c>
      <c r="D60" s="1">
        <f>VLOOKUP($B60,[3]TrtCodes!$B$11:J78,3)</f>
        <v>3</v>
      </c>
      <c r="E60" s="1">
        <f>VLOOKUP($B60,[3]TrtCodes!$B$11:K78,4)</f>
        <v>1</v>
      </c>
      <c r="F60" s="1">
        <f>VLOOKUP($B60,[3]TrtCodes!$B$11:L78,5)</f>
        <v>2</v>
      </c>
      <c r="G60" s="1">
        <f>VLOOKUP($B60,[3]TrtCodes!$B$11:M78,6)</f>
        <v>2</v>
      </c>
      <c r="H60" s="1">
        <f>VLOOKUP($B60,[3]TrtCodes!$B$11:N78,7)</f>
        <v>1</v>
      </c>
      <c r="I60" s="1">
        <f>[3]FormattedData!B35</f>
        <v>2</v>
      </c>
      <c r="J60" s="4">
        <f>[3]FormattedData!C35</f>
        <v>13.302</v>
      </c>
      <c r="K60" s="6">
        <f>$J$3+[3]FormattedData!D35*$J$4+$M$4*$J$5+[3]FormattedData!D35^2*$J$6+$M$5*$J$7</f>
        <v>32.801831364510463</v>
      </c>
      <c r="L60" s="6">
        <f>$J$3+[3]FormattedData!E35*$J$4+$M$4*$J$5+[3]FormattedData!E35^2*$J$6+$M$5*$J$7</f>
        <v>31.838976686905326</v>
      </c>
      <c r="M60" s="6">
        <f>$J$3+[3]FormattedData!F35*$J$4+$M$4*$J$5+[3]FormattedData!F35^2*$J$6+$M$5*$J$7</f>
        <v>32.993895077576319</v>
      </c>
      <c r="N60" s="6">
        <f>$J$3+[3]FormattedData!G35*$J$4+$M$4*$J$5+[3]FormattedData!G35^2*$J$6+$M$5*$J$7</f>
        <v>32.031885770729801</v>
      </c>
      <c r="O60" s="6">
        <f>$J$3+[3]FormattedData!H35*$J$4+$M$4*$J$5+[3]FormattedData!H35^2*$J$6+$M$5*$J$7</f>
        <v>33.951677530629723</v>
      </c>
      <c r="P60" s="6">
        <f>$J$3+[3]FormattedData!I35*$J$4+$M$4*$J$5+[3]FormattedData!I35^2*$J$6+$M$5*$J$7</f>
        <v>32.705736105170637</v>
      </c>
      <c r="Q60" s="6">
        <f>$J$3+[3]FormattedData!J35*$J$4+$M$4*$J$5+[3]FormattedData!J35^2*$J$6+$M$5*$J$7</f>
        <v>32.705736105170637</v>
      </c>
      <c r="R60" s="6">
        <f>$J$3+[3]FormattedData!K35*$J$4+$M$4*$J$5+[3]FormattedData!K35^2*$J$6+$M$5*$J$7</f>
        <v>32.513418780877203</v>
      </c>
      <c r="S60" s="6">
        <f>$J$3+[3]FormattedData!L35*$J$4+$M$4*$J$5+[3]FormattedData!L35^2*$J$6+$M$5*$J$7</f>
        <v>34.047223298976434</v>
      </c>
      <c r="T60" s="6">
        <f>$J$3+[3]FormattedData!M35*$J$4+$M$4*$J$5+[3]FormattedData!M35^2*$J$6+$M$5*$J$7</f>
        <v>33.089863531302342</v>
      </c>
      <c r="U60" s="6">
        <f>$J$3+[3]FormattedData!N35*$J$4+$M$4*$J$5+[3]FormattedData!N35^2*$J$6+$M$5*$J$7</f>
        <v>34.524318112641062</v>
      </c>
      <c r="V60" s="6">
        <f>$J$3+[3]FormattedData!O35*$J$4+$M$4*$J$5+[3]FormattedData!O35^2*$J$6+$M$5*$J$7</f>
        <v>31.549296047134128</v>
      </c>
      <c r="W60" s="5">
        <f t="shared" si="9"/>
        <v>32.896154867635339</v>
      </c>
      <c r="X60" s="4">
        <f t="shared" si="10"/>
        <v>0.26174814807478697</v>
      </c>
      <c r="Y60" s="3">
        <f t="shared" si="11"/>
        <v>31.549296047134128</v>
      </c>
      <c r="Z60" s="2">
        <f t="shared" si="12"/>
        <v>32.393035528340349</v>
      </c>
      <c r="AA60" s="3">
        <f t="shared" si="13"/>
        <v>32.753783734840553</v>
      </c>
      <c r="AB60" s="2">
        <f t="shared" si="14"/>
        <v>33.305317031134187</v>
      </c>
      <c r="AC60" s="2">
        <f t="shared" si="15"/>
        <v>34.524318112641062</v>
      </c>
      <c r="AD60" s="2">
        <f t="shared" si="16"/>
        <v>0.39283346082201909</v>
      </c>
      <c r="AE60" s="2">
        <f t="shared" si="17"/>
        <v>-0.5020305547963746</v>
      </c>
    </row>
    <row r="61" spans="2:31" x14ac:dyDescent="0.2">
      <c r="B61" s="1">
        <f>[3]FormattedData!A37</f>
        <v>204</v>
      </c>
      <c r="C61" s="1" t="str">
        <f>VLOOKUP($B61,[3]TrtCodes!$B$11:I80,2)</f>
        <v>NDH</v>
      </c>
      <c r="D61" s="1">
        <f>VLOOKUP($B61,[3]TrtCodes!$B$11:J80,3)</f>
        <v>11</v>
      </c>
      <c r="E61" s="1">
        <f>VLOOKUP($B61,[3]TrtCodes!$B$11:K80,4)</f>
        <v>2</v>
      </c>
      <c r="F61" s="1">
        <f>VLOOKUP($B61,[3]TrtCodes!$B$11:L80,5)</f>
        <v>3</v>
      </c>
      <c r="G61" s="1">
        <f>VLOOKUP($B61,[3]TrtCodes!$B$11:M80,6)</f>
        <v>2</v>
      </c>
      <c r="H61" s="1">
        <f>VLOOKUP($B61,[3]TrtCodes!$B$11:N80,7)</f>
        <v>1</v>
      </c>
      <c r="I61" s="1">
        <f>[3]FormattedData!B37</f>
        <v>2</v>
      </c>
      <c r="J61" s="4">
        <f>[3]FormattedData!C37</f>
        <v>13.317</v>
      </c>
      <c r="K61" s="6">
        <f>$J$3+[3]FormattedData!D37*$J$4+$M$4*$J$5+[3]FormattedData!D37^2*$J$6+$M$5*$J$7</f>
        <v>31.065649610090166</v>
      </c>
      <c r="L61" s="6">
        <f>$J$3+[3]FormattedData!E37*$J$4+$M$4*$J$5+[3]FormattedData!E37^2*$J$6+$M$5*$J$7</f>
        <v>31.162463434574825</v>
      </c>
      <c r="M61" s="6">
        <f>$J$3+[3]FormattedData!F37*$J$4+$M$4*$J$5+[3]FormattedData!F37^2*$J$6+$M$5*$J$7</f>
        <v>32.801831364510463</v>
      </c>
      <c r="N61" s="6">
        <f>$J$3+[3]FormattedData!G37*$J$4+$M$4*$J$5+[3]FormattedData!G37^2*$J$6+$M$5*$J$7</f>
        <v>31.645898528929123</v>
      </c>
      <c r="O61" s="6">
        <f>$J$3+[3]FormattedData!H37*$J$4+$M$4*$J$5+[3]FormattedData!H37^2*$J$6+$M$5*$J$7</f>
        <v>32.224625780402548</v>
      </c>
      <c r="P61" s="6">
        <f>$J$3+[3]FormattedData!I37*$J$4+$M$4*$J$5+[3]FormattedData!I37^2*$J$6+$M$5*$J$7</f>
        <v>32.128276909835144</v>
      </c>
      <c r="Q61" s="6">
        <f>$J$3+[3]FormattedData!J37*$J$4+$M$4*$J$5+[3]FormattedData!J37^2*$J$6+$M$5*$J$7</f>
        <v>32.320932382432034</v>
      </c>
      <c r="R61" s="6">
        <f>$J$3+[3]FormattedData!K37*$J$4+$M$4*$J$5+[3]FormattedData!K37^2*$J$6+$M$5*$J$7</f>
        <v>31.935452363086533</v>
      </c>
      <c r="S61" s="6">
        <f>$J$3+[3]FormattedData!L37*$J$4+$M$4*$J$5+[3]FormattedData!L37^2*$J$6+$M$5*$J$7</f>
        <v>31.645898528929123</v>
      </c>
      <c r="T61" s="6">
        <f>$J$3+[3]FormattedData!M37*$J$4+$M$4*$J$5+[3]FormattedData!M37^2*$J$6+$M$5*$J$7</f>
        <v>29.510879897177084</v>
      </c>
      <c r="U61" s="6">
        <f>$J$3+[3]FormattedData!N37*$J$4+$M$4*$J$5+[3]FormattedData!N37^2*$J$6+$M$5*$J$7</f>
        <v>31.838976686905326</v>
      </c>
      <c r="V61" s="6">
        <f>$J$3+[3]FormattedData!O37*$J$4+$M$4*$J$5+[3]FormattedData!O37^2*$J$6+$M$5*$J$7</f>
        <v>31.065649610090166</v>
      </c>
      <c r="W61" s="5">
        <f t="shared" si="9"/>
        <v>31.612211258080208</v>
      </c>
      <c r="X61" s="4">
        <f t="shared" si="10"/>
        <v>0.24514003161271011</v>
      </c>
      <c r="Y61" s="3">
        <f t="shared" si="11"/>
        <v>29.510879897177084</v>
      </c>
      <c r="Z61" s="2">
        <f t="shared" si="12"/>
        <v>31.138259978453661</v>
      </c>
      <c r="AA61" s="3">
        <f t="shared" si="13"/>
        <v>31.742437607917225</v>
      </c>
      <c r="AB61" s="2">
        <f t="shared" si="14"/>
        <v>32.152364127476993</v>
      </c>
      <c r="AC61" s="2">
        <f t="shared" si="15"/>
        <v>32.801831364510463</v>
      </c>
      <c r="AD61" s="2">
        <f t="shared" si="16"/>
        <v>-1.2904799325924143</v>
      </c>
      <c r="AE61" s="2">
        <f t="shared" si="17"/>
        <v>2.6928068835545034</v>
      </c>
    </row>
    <row r="62" spans="2:31" x14ac:dyDescent="0.2">
      <c r="B62" s="1">
        <f>[3]FormattedData!A39</f>
        <v>205</v>
      </c>
      <c r="C62" s="1" t="str">
        <f>VLOOKUP($B62,[3]TrtCodes!$B$11:I82,2)</f>
        <v>FSH</v>
      </c>
      <c r="D62" s="1">
        <f>VLOOKUP($B62,[3]TrtCodes!$B$11:J82,3)</f>
        <v>1</v>
      </c>
      <c r="E62" s="1">
        <f>VLOOKUP($B62,[3]TrtCodes!$B$11:K82,4)</f>
        <v>1</v>
      </c>
      <c r="F62" s="1">
        <f>VLOOKUP($B62,[3]TrtCodes!$B$11:L82,5)</f>
        <v>1</v>
      </c>
      <c r="G62" s="1">
        <f>VLOOKUP($B62,[3]TrtCodes!$B$11:M82,6)</f>
        <v>2</v>
      </c>
      <c r="H62" s="1">
        <f>VLOOKUP($B62,[3]TrtCodes!$B$11:N82,7)</f>
        <v>2</v>
      </c>
      <c r="I62" s="1">
        <f>[3]FormattedData!B39</f>
        <v>2</v>
      </c>
      <c r="J62" s="4">
        <f>[3]FormattedData!C39</f>
        <v>13.332000000000001</v>
      </c>
      <c r="K62" s="6">
        <f>$J$3+[3]FormattedData!D39*$J$4+$M$4*$J$5+[3]FormattedData!D39^2*$J$6+$M$5*$J$7</f>
        <v>32.609598577292886</v>
      </c>
      <c r="L62" s="6">
        <f>$J$3+[3]FormattedData!E39*$J$4+$M$4*$J$5+[3]FormattedData!E39^2*$J$6+$M$5*$J$7</f>
        <v>33.473314660827157</v>
      </c>
      <c r="M62" s="6">
        <f>$J$3+[3]FormattedData!F39*$J$4+$M$4*$J$5+[3]FormattedData!F39^2*$J$6+$M$5*$J$7</f>
        <v>31.549296047134128</v>
      </c>
      <c r="N62" s="6">
        <f>$J$3+[3]FormattedData!G39*$J$4+$M$4*$J$5+[3]FormattedData!G39^2*$J$6+$M$5*$J$7</f>
        <v>31.742458742186187</v>
      </c>
      <c r="O62" s="6">
        <f>$J$3+[3]FormattedData!H39*$J$4+$M$4*$J$5+[3]FormattedData!H39^2*$J$6+$M$5*$J$7</f>
        <v>36.705343786284523</v>
      </c>
      <c r="P62" s="6">
        <f>$J$3+[3]FormattedData!I39*$J$4+$M$4*$J$5+[3]FormattedData!I39^2*$J$6+$M$5*$J$7</f>
        <v>30.968793517067585</v>
      </c>
      <c r="Q62" s="6">
        <f>$J$3+[3]FormattedData!J39*$J$4+$M$4*$J$5+[3]FormattedData!J39^2*$J$6+$M$5*$J$7</f>
        <v>32.609598577292886</v>
      </c>
      <c r="R62" s="6">
        <f>$J$3+[3]FormattedData!K39*$J$4+$M$4*$J$5+[3]FormattedData!K39^2*$J$6+$M$5*$J$7</f>
        <v>31.452651296801196</v>
      </c>
      <c r="S62" s="6">
        <f>$J$3+[3]FormattedData!L39*$J$4+$M$4*$J$5+[3]FormattedData!L39^2*$J$6+$M$5*$J$7</f>
        <v>37.458720113196179</v>
      </c>
      <c r="T62" s="6">
        <f>$J$3+[3]FormattedData!M39*$J$4+$M$4*$J$5+[3]FormattedData!M39^2*$J$6+$M$5*$J$7</f>
        <v>32.993895077576319</v>
      </c>
      <c r="U62" s="6">
        <f>$J$3+[3]FormattedData!N39*$J$4+$M$4*$J$5+[3]FormattedData!N39^2*$J$6+$M$5*$J$7</f>
        <v>32.224625780402548</v>
      </c>
      <c r="V62" s="6">
        <f>$J$3+[3]FormattedData!O39*$J$4+$M$4*$J$5+[3]FormattedData!O39^2*$J$6+$M$5*$J$7</f>
        <v>33.473314660827157</v>
      </c>
      <c r="W62" s="5">
        <f t="shared" si="9"/>
        <v>33.105134236407402</v>
      </c>
      <c r="X62" s="4">
        <f t="shared" si="10"/>
        <v>0.58411602092175763</v>
      </c>
      <c r="Y62" s="3">
        <f t="shared" si="11"/>
        <v>30.968793517067585</v>
      </c>
      <c r="Z62" s="2">
        <f t="shared" si="12"/>
        <v>31.694168068423174</v>
      </c>
      <c r="AA62" s="3">
        <f t="shared" si="13"/>
        <v>32.609598577292886</v>
      </c>
      <c r="AB62" s="2">
        <f t="shared" si="14"/>
        <v>33.473314660827157</v>
      </c>
      <c r="AC62" s="2">
        <f t="shared" si="15"/>
        <v>37.458720113196179</v>
      </c>
      <c r="AD62" s="2">
        <f t="shared" si="16"/>
        <v>1.4194317042886022</v>
      </c>
      <c r="AE62" s="2">
        <f t="shared" si="17"/>
        <v>1.283303287668371</v>
      </c>
    </row>
    <row r="63" spans="2:31" x14ac:dyDescent="0.2">
      <c r="B63" s="1">
        <f>[3]FormattedData!A41</f>
        <v>206</v>
      </c>
      <c r="C63" s="1" t="str">
        <f>VLOOKUP($B63,[3]TrtCodes!$B$11:I84,2)</f>
        <v>NSL</v>
      </c>
      <c r="D63" s="1">
        <f>VLOOKUP($B63,[3]TrtCodes!$B$11:J84,3)</f>
        <v>8</v>
      </c>
      <c r="E63" s="1">
        <f>VLOOKUP($B63,[3]TrtCodes!$B$11:K84,4)</f>
        <v>2</v>
      </c>
      <c r="F63" s="1">
        <f>VLOOKUP($B63,[3]TrtCodes!$B$11:L84,5)</f>
        <v>1</v>
      </c>
      <c r="G63" s="1">
        <f>VLOOKUP($B63,[3]TrtCodes!$B$11:M84,6)</f>
        <v>1</v>
      </c>
      <c r="H63" s="1">
        <f>VLOOKUP($B63,[3]TrtCodes!$B$11:N84,7)</f>
        <v>2</v>
      </c>
      <c r="I63" s="1">
        <f>[3]FormattedData!B41</f>
        <v>2</v>
      </c>
      <c r="J63" s="4">
        <f>[3]FormattedData!C41</f>
        <v>13.347</v>
      </c>
      <c r="K63" s="6">
        <f>$J$3+[3]FormattedData!D41*$J$4+$M$4*$J$5+[3]FormattedData!D41^2*$J$6+$M$5*$J$7</f>
        <v>32.224625780402548</v>
      </c>
      <c r="L63" s="6">
        <f>$J$3+[3]FormattedData!E41*$J$4+$M$4*$J$5+[3]FormattedData!E41^2*$J$6+$M$5*$J$7</f>
        <v>37.458720113196179</v>
      </c>
      <c r="M63" s="6">
        <f>$J$3+[3]FormattedData!F41*$J$4+$M$4*$J$5+[3]FormattedData!F41^2*$J$6+$M$5*$J$7</f>
        <v>32.801831364510463</v>
      </c>
      <c r="N63" s="6">
        <f>$J$3+[3]FormattedData!G41*$J$4+$M$4*$J$5+[3]FormattedData!G41^2*$J$6+$M$5*$J$7</f>
        <v>32.128276909835144</v>
      </c>
      <c r="O63" s="6">
        <f>$J$3+[3]FormattedData!H41*$J$4+$M$4*$J$5+[3]FormattedData!H41^2*$J$6+$M$5*$J$7</f>
        <v>31.259234990521541</v>
      </c>
      <c r="P63" s="6">
        <f>$J$3+[3]FormattedData!I41*$J$4+$M$4*$J$5+[3]FormattedData!I41^2*$J$6+$M$5*$J$7</f>
        <v>32.801831364510463</v>
      </c>
      <c r="Q63" s="6">
        <f>$J$3+[3]FormattedData!J41*$J$4+$M$4*$J$5+[3]FormattedData!J41^2*$J$6+$M$5*$J$7</f>
        <v>33.856089493745074</v>
      </c>
      <c r="R63" s="6">
        <f>$J$3+[3]FormattedData!K41*$J$4+$M$4*$J$5+[3]FormattedData!K41^2*$J$6+$M$5*$J$7</f>
        <v>36.138536262507678</v>
      </c>
      <c r="S63" s="6">
        <f>$J$3+[3]FormattedData!L41*$J$4+$M$4*$J$5+[3]FormattedData!L41^2*$J$6+$M$5*$J$7</f>
        <v>34.810067778384671</v>
      </c>
      <c r="T63" s="6">
        <f>$J$3+[3]FormattedData!M41*$J$4+$M$4*$J$5+[3]FormattedData!M41^2*$J$6+$M$5*$J$7</f>
        <v>34.047223298976434</v>
      </c>
      <c r="U63" s="6">
        <f>$J$3+[3]FormattedData!N41*$J$4+$M$4*$J$5+[3]FormattedData!N41^2*$J$6+$M$5*$J$7</f>
        <v>32.609598577292886</v>
      </c>
      <c r="V63" s="6">
        <f>$J$3+[3]FormattedData!O41*$J$4+$M$4*$J$5+[3]FormattedData!O41^2*$J$6+$M$5*$J$7</f>
        <v>32.031885770729801</v>
      </c>
      <c r="W63" s="5">
        <f t="shared" si="9"/>
        <v>33.51399347538441</v>
      </c>
      <c r="X63" s="4">
        <f t="shared" si="10"/>
        <v>0.53104958836627958</v>
      </c>
      <c r="Y63" s="3">
        <f t="shared" si="11"/>
        <v>31.259234990521541</v>
      </c>
      <c r="Z63" s="2">
        <f t="shared" si="12"/>
        <v>32.200538562760698</v>
      </c>
      <c r="AA63" s="3">
        <f t="shared" si="13"/>
        <v>32.801831364510463</v>
      </c>
      <c r="AB63" s="2">
        <f t="shared" si="14"/>
        <v>34.237934418828495</v>
      </c>
      <c r="AC63" s="2">
        <f t="shared" si="15"/>
        <v>37.458720113196179</v>
      </c>
      <c r="AD63" s="2">
        <f t="shared" si="16"/>
        <v>1.0662012418551294</v>
      </c>
      <c r="AE63" s="2">
        <f t="shared" si="17"/>
        <v>0.51828802784209405</v>
      </c>
    </row>
    <row r="64" spans="2:31" x14ac:dyDescent="0.2">
      <c r="B64" s="1">
        <f>[3]FormattedData!A43</f>
        <v>207</v>
      </c>
      <c r="C64" s="1" t="str">
        <f>VLOOKUP($B64,[3]TrtCodes!$B$11:I86,2)</f>
        <v>FTL</v>
      </c>
      <c r="D64" s="1">
        <f>VLOOKUP($B64,[3]TrtCodes!$B$11:J86,3)</f>
        <v>4</v>
      </c>
      <c r="E64" s="1">
        <f>VLOOKUP($B64,[3]TrtCodes!$B$11:K86,4)</f>
        <v>1</v>
      </c>
      <c r="F64" s="1">
        <f>VLOOKUP($B64,[3]TrtCodes!$B$11:L86,5)</f>
        <v>2</v>
      </c>
      <c r="G64" s="1">
        <f>VLOOKUP($B64,[3]TrtCodes!$B$11:M86,6)</f>
        <v>1</v>
      </c>
      <c r="H64" s="1">
        <f>VLOOKUP($B64,[3]TrtCodes!$B$11:N86,7)</f>
        <v>2</v>
      </c>
      <c r="I64" s="1">
        <f>[3]FormattedData!B43</f>
        <v>2</v>
      </c>
      <c r="J64" s="4">
        <f>[3]FormattedData!C43</f>
        <v>13.363</v>
      </c>
      <c r="K64" s="6">
        <f>$J$3+[3]FormattedData!D43*$J$4+$M$4*$J$5+[3]FormattedData!D43^2*$J$6+$M$5*$J$7</f>
        <v>31.742458742186187</v>
      </c>
      <c r="L64" s="6">
        <f>$J$3+[3]FormattedData!E43*$J$4+$M$4*$J$5+[3]FormattedData!E43^2*$J$6+$M$5*$J$7</f>
        <v>31.259234990521541</v>
      </c>
      <c r="M64" s="6">
        <f>$J$3+[3]FormattedData!F43*$J$4+$M$4*$J$5+[3]FormattedData!F43^2*$J$6+$M$5*$J$7</f>
        <v>31.549296047134128</v>
      </c>
      <c r="N64" s="6">
        <f>$J$3+[3]FormattedData!G43*$J$4+$M$4*$J$5+[3]FormattedData!G43^2*$J$6+$M$5*$J$7</f>
        <v>32.897884355312357</v>
      </c>
      <c r="O64" s="6">
        <f>$J$3+[3]FormattedData!H43*$J$4+$M$4*$J$5+[3]FormattedData!H43^2*$J$6+$M$5*$J$7</f>
        <v>31.838976686905326</v>
      </c>
      <c r="P64" s="6">
        <f>$J$3+[3]FormattedData!I43*$J$4+$M$4*$J$5+[3]FormattedData!I43^2*$J$6+$M$5*$J$7</f>
        <v>32.128276909835144</v>
      </c>
      <c r="Q64" s="6">
        <f>$J$3+[3]FormattedData!J43*$J$4+$M$4*$J$5+[3]FormattedData!J43^2*$J$6+$M$5*$J$7</f>
        <v>31.935452363086533</v>
      </c>
      <c r="R64" s="6">
        <f>$J$3+[3]FormattedData!K43*$J$4+$M$4*$J$5+[3]FormattedData!K43^2*$J$6+$M$5*$J$7</f>
        <v>31.452651296801196</v>
      </c>
      <c r="S64" s="6">
        <f>$J$3+[3]FormattedData!L43*$J$4+$M$4*$J$5+[3]FormattedData!L43^2*$J$6+$M$5*$J$7</f>
        <v>33.377515281252855</v>
      </c>
      <c r="T64" s="6">
        <f>$J$3+[3]FormattedData!M43*$J$4+$M$4*$J$5+[3]FormattedData!M43^2*$J$6+$M$5*$J$7</f>
        <v>31.35596427793034</v>
      </c>
      <c r="U64" s="6">
        <f>$J$3+[3]FormattedData!N43*$J$4+$M$4*$J$5+[3]FormattedData!N43^2*$J$6+$M$5*$J$7</f>
        <v>32.993895077576319</v>
      </c>
      <c r="V64" s="6">
        <f>$J$3+[3]FormattedData!O43*$J$4+$M$4*$J$5+[3]FormattedData!O43^2*$J$6+$M$5*$J$7</f>
        <v>31.645898528929123</v>
      </c>
      <c r="W64" s="5">
        <f t="shared" si="9"/>
        <v>32.014792046455923</v>
      </c>
      <c r="X64" s="4">
        <f t="shared" si="10"/>
        <v>0.20213727565167983</v>
      </c>
      <c r="Y64" s="3">
        <f t="shared" si="11"/>
        <v>31.259234990521541</v>
      </c>
      <c r="Z64" s="2">
        <f t="shared" si="12"/>
        <v>31.525134859550896</v>
      </c>
      <c r="AA64" s="3">
        <f t="shared" si="13"/>
        <v>31.790717714545757</v>
      </c>
      <c r="AB64" s="2">
        <f t="shared" si="14"/>
        <v>32.320678771204449</v>
      </c>
      <c r="AC64" s="2">
        <f t="shared" si="15"/>
        <v>33.377515281252855</v>
      </c>
      <c r="AD64" s="2">
        <f t="shared" si="16"/>
        <v>0.98094736638847069</v>
      </c>
      <c r="AE64" s="2">
        <f t="shared" si="17"/>
        <v>-0.32219347076964233</v>
      </c>
    </row>
    <row r="65" spans="2:31" x14ac:dyDescent="0.2">
      <c r="B65" s="1">
        <f>[3]FormattedData!A45</f>
        <v>208</v>
      </c>
      <c r="C65" s="1" t="str">
        <f>VLOOKUP($B65,[3]TrtCodes!$B$11:I88,2)</f>
        <v>FSL</v>
      </c>
      <c r="D65" s="1">
        <f>VLOOKUP($B65,[3]TrtCodes!$B$11:J88,3)</f>
        <v>2</v>
      </c>
      <c r="E65" s="1">
        <f>VLOOKUP($B65,[3]TrtCodes!$B$11:K88,4)</f>
        <v>1</v>
      </c>
      <c r="F65" s="1">
        <f>VLOOKUP($B65,[3]TrtCodes!$B$11:L88,5)</f>
        <v>1</v>
      </c>
      <c r="G65" s="1">
        <f>VLOOKUP($B65,[3]TrtCodes!$B$11:M88,6)</f>
        <v>1</v>
      </c>
      <c r="H65" s="1">
        <f>VLOOKUP($B65,[3]TrtCodes!$B$11:N88,7)</f>
        <v>2</v>
      </c>
      <c r="I65" s="1">
        <f>[3]FormattedData!B45</f>
        <v>2</v>
      </c>
      <c r="J65" s="4">
        <f>[3]FormattedData!C45</f>
        <v>13.379</v>
      </c>
      <c r="K65" s="6">
        <f>$J$3+[3]FormattedData!D45*$J$4+$M$4*$J$5+[3]FormattedData!D45^2*$J$6+$M$5*$J$7</f>
        <v>34.524318112641062</v>
      </c>
      <c r="L65" s="6">
        <f>$J$3+[3]FormattedData!E45*$J$4+$M$4*$J$5+[3]FormattedData!E45^2*$J$6+$M$5*$J$7</f>
        <v>33.569071771863527</v>
      </c>
      <c r="M65" s="6">
        <f>$J$3+[3]FormattedData!F45*$J$4+$M$4*$J$5+[3]FormattedData!F45^2*$J$6+$M$5*$J$7</f>
        <v>32.897884355312357</v>
      </c>
      <c r="N65" s="6">
        <f>$J$3+[3]FormattedData!G45*$J$4+$M$4*$J$5+[3]FormattedData!G45^2*$J$6+$M$5*$J$7</f>
        <v>32.417196715923588</v>
      </c>
      <c r="O65" s="6">
        <f>$J$3+[3]FormattedData!H45*$J$4+$M$4*$J$5+[3]FormattedData!H45^2*$J$6+$M$5*$J$7</f>
        <v>34.524318112641062</v>
      </c>
      <c r="P65" s="6">
        <f>$J$3+[3]FormattedData!I45*$J$4+$M$4*$J$5+[3]FormattedData!I45^2*$J$6+$M$5*$J$7</f>
        <v>33.089863531302342</v>
      </c>
      <c r="Q65" s="6">
        <f>$J$3+[3]FormattedData!J45*$J$4+$M$4*$J$5+[3]FormattedData!J45^2*$J$6+$M$5*$J$7</f>
        <v>33.951677530629723</v>
      </c>
      <c r="R65" s="6">
        <f>$J$3+[3]FormattedData!K45*$J$4+$M$4*$J$5+[3]FormattedData!K45^2*$J$6+$M$5*$J$7</f>
        <v>32.897884355312357</v>
      </c>
      <c r="S65" s="6">
        <f>$J$3+[3]FormattedData!L45*$J$4+$M$4*$J$5+[3]FormattedData!L45^2*$J$6+$M$5*$J$7</f>
        <v>33.951677530629723</v>
      </c>
      <c r="T65" s="6">
        <f>$J$3+[3]FormattedData!M45*$J$4+$M$4*$J$5+[3]FormattedData!M45^2*$J$6+$M$5*$J$7</f>
        <v>33.664786614361979</v>
      </c>
      <c r="U65" s="6">
        <f>$J$3+[3]FormattedData!N45*$J$4+$M$4*$J$5+[3]FormattedData!N45^2*$J$6+$M$5*$J$7</f>
        <v>35.000356212857412</v>
      </c>
      <c r="V65" s="6">
        <f>$J$3+[3]FormattedData!O45*$J$4+$M$4*$J$5+[3]FormattedData!O45^2*$J$6+$M$5*$J$7</f>
        <v>32.513418780877203</v>
      </c>
      <c r="W65" s="5">
        <f t="shared" si="9"/>
        <v>33.583537802029362</v>
      </c>
      <c r="X65" s="4">
        <f t="shared" si="10"/>
        <v>0.24222509851298371</v>
      </c>
      <c r="Y65" s="3">
        <f t="shared" si="11"/>
        <v>32.417196715923588</v>
      </c>
      <c r="Z65" s="2">
        <f t="shared" si="12"/>
        <v>32.897884355312357</v>
      </c>
      <c r="AA65" s="3">
        <f t="shared" si="13"/>
        <v>33.616929193112753</v>
      </c>
      <c r="AB65" s="2">
        <f t="shared" si="14"/>
        <v>34.094837676132556</v>
      </c>
      <c r="AC65" s="2">
        <f t="shared" si="15"/>
        <v>35.000356212857412</v>
      </c>
      <c r="AD65" s="2">
        <f t="shared" si="16"/>
        <v>0.19067976537071385</v>
      </c>
      <c r="AE65" s="2">
        <f t="shared" si="17"/>
        <v>-1.0782878304863854</v>
      </c>
    </row>
    <row r="66" spans="2:31" x14ac:dyDescent="0.2">
      <c r="B66" s="1">
        <f>[3]FormattedData!A63</f>
        <v>301</v>
      </c>
      <c r="C66" s="1" t="str">
        <f>VLOOKUP($B66,[3]TrtCodes!$B$11:I106,2)</f>
        <v>NTL</v>
      </c>
      <c r="D66" s="1">
        <f>VLOOKUP($B66,[3]TrtCodes!$B$11:J106,3)</f>
        <v>10</v>
      </c>
      <c r="E66" s="1">
        <f>VLOOKUP($B66,[3]TrtCodes!$B$11:K106,4)</f>
        <v>2</v>
      </c>
      <c r="F66" s="1">
        <f>VLOOKUP($B66,[3]TrtCodes!$B$11:L106,5)</f>
        <v>2</v>
      </c>
      <c r="G66" s="1">
        <f>VLOOKUP($B66,[3]TrtCodes!$B$11:M106,6)</f>
        <v>1</v>
      </c>
      <c r="H66" s="1">
        <f>VLOOKUP($B66,[3]TrtCodes!$B$11:N106,7)</f>
        <v>3</v>
      </c>
      <c r="I66" s="1">
        <f>[3]FormattedData!B63</f>
        <v>2</v>
      </c>
      <c r="J66" s="4">
        <f>[3]FormattedData!C63</f>
        <v>13.503</v>
      </c>
      <c r="K66" s="6">
        <f>$J$3+[3]FormattedData!D63*$J$4+$M$4*$J$5+[3]FormattedData!D63^2*$J$6+$M$5*$J$7</f>
        <v>32.417196715923588</v>
      </c>
      <c r="L66" s="6">
        <f>$J$3+[3]FormattedData!E63*$J$4+$M$4*$J$5+[3]FormattedData!E63^2*$J$6+$M$5*$J$7</f>
        <v>30.968793517067585</v>
      </c>
      <c r="M66" s="6">
        <f>$J$3+[3]FormattedData!F63*$J$4+$M$4*$J$5+[3]FormattedData!F63^2*$J$6+$M$5*$J$7</f>
        <v>31.452651296801196</v>
      </c>
      <c r="N66" s="6">
        <f>$J$3+[3]FormattedData!G63*$J$4+$M$4*$J$5+[3]FormattedData!G63^2*$J$6+$M$5*$J$7</f>
        <v>31.452651296801196</v>
      </c>
      <c r="O66" s="6">
        <f>$J$3+[3]FormattedData!H63*$J$4+$M$4*$J$5+[3]FormattedData!H63^2*$J$6+$M$5*$J$7</f>
        <v>33.951677530629723</v>
      </c>
      <c r="P66" s="6">
        <f>$J$3+[3]FormattedData!I63*$J$4+$M$4*$J$5+[3]FormattedData!I63^2*$J$6+$M$5*$J$7</f>
        <v>31.452651296801196</v>
      </c>
      <c r="Q66" s="6">
        <f>$J$3+[3]FormattedData!J63*$J$4+$M$4*$J$5+[3]FormattedData!J63^2*$J$6+$M$5*$J$7</f>
        <v>32.609598577292886</v>
      </c>
      <c r="R66" s="6">
        <f>$J$3+[3]FormattedData!K63*$J$4+$M$4*$J$5+[3]FormattedData!K63^2*$J$6+$M$5*$J$7</f>
        <v>31.259234990521541</v>
      </c>
      <c r="S66" s="6">
        <f>$J$3+[3]FormattedData!L63*$J$4+$M$4*$J$5+[3]FormattedData!L63^2*$J$6+$M$5*$J$7</f>
        <v>33.951677530629723</v>
      </c>
      <c r="T66" s="6">
        <f>$J$3+[3]FormattedData!M63*$J$4+$M$4*$J$5+[3]FormattedData!M63^2*$J$6+$M$5*$J$7</f>
        <v>30.774954525408624</v>
      </c>
      <c r="U66" s="6">
        <f>$J$3+[3]FormattedData!N63*$J$4+$M$4*$J$5+[3]FormattedData!N63^2*$J$6+$M$5*$J$7</f>
        <v>31.549296047134128</v>
      </c>
      <c r="V66" s="6">
        <f>$J$3+[3]FormattedData!O63*$J$4+$M$4*$J$5+[3]FormattedData!O63^2*$J$6+$M$5*$J$7</f>
        <v>31.35596427793034</v>
      </c>
      <c r="W66" s="5">
        <f t="shared" si="9"/>
        <v>31.933028966911817</v>
      </c>
      <c r="X66" s="4">
        <f t="shared" si="10"/>
        <v>0.31066249296569554</v>
      </c>
      <c r="Y66" s="3">
        <f t="shared" si="11"/>
        <v>30.774954525408624</v>
      </c>
      <c r="Z66" s="2">
        <f t="shared" si="12"/>
        <v>31.331781956078139</v>
      </c>
      <c r="AA66" s="3">
        <f t="shared" si="13"/>
        <v>31.452651296801196</v>
      </c>
      <c r="AB66" s="2">
        <f t="shared" si="14"/>
        <v>32.46529718126591</v>
      </c>
      <c r="AC66" s="2">
        <f t="shared" si="15"/>
        <v>33.951677530629723</v>
      </c>
      <c r="AD66" s="2">
        <f t="shared" si="16"/>
        <v>1.1849788087939703</v>
      </c>
      <c r="AE66" s="2">
        <f t="shared" si="17"/>
        <v>0.27077693831655214</v>
      </c>
    </row>
    <row r="67" spans="2:31" x14ac:dyDescent="0.2">
      <c r="B67" s="1">
        <f>[3]FormattedData!A65</f>
        <v>302</v>
      </c>
      <c r="C67" s="1" t="str">
        <f>VLOOKUP($B67,[3]TrtCodes!$B$11:I108,2)</f>
        <v>FTL</v>
      </c>
      <c r="D67" s="1">
        <f>VLOOKUP($B67,[3]TrtCodes!$B$11:J108,3)</f>
        <v>4</v>
      </c>
      <c r="E67" s="1">
        <f>VLOOKUP($B67,[3]TrtCodes!$B$11:K108,4)</f>
        <v>1</v>
      </c>
      <c r="F67" s="1">
        <f>VLOOKUP($B67,[3]TrtCodes!$B$11:L108,5)</f>
        <v>2</v>
      </c>
      <c r="G67" s="1">
        <f>VLOOKUP($B67,[3]TrtCodes!$B$11:M108,6)</f>
        <v>1</v>
      </c>
      <c r="H67" s="1">
        <f>VLOOKUP($B67,[3]TrtCodes!$B$11:N108,7)</f>
        <v>3</v>
      </c>
      <c r="I67" s="1">
        <f>[3]FormattedData!B65</f>
        <v>2</v>
      </c>
      <c r="J67" s="4">
        <f>[3]FormattedData!C65</f>
        <v>13.52</v>
      </c>
      <c r="K67" s="6">
        <f>$J$3+[3]FormattedData!D65*$J$4+$M$4*$J$5+[3]FormattedData!D65^2*$J$6+$M$5*$J$7</f>
        <v>32.224625780402548</v>
      </c>
      <c r="L67" s="6">
        <f>$J$3+[3]FormattedData!E65*$J$4+$M$4*$J$5+[3]FormattedData!E65^2*$J$6+$M$5*$J$7</f>
        <v>33.473314660827157</v>
      </c>
      <c r="M67" s="6">
        <f>$J$3+[3]FormattedData!F65*$J$4+$M$4*$J$5+[3]FormattedData!F65^2*$J$6+$M$5*$J$7</f>
        <v>34.333606992789008</v>
      </c>
      <c r="N67" s="6">
        <f>$J$3+[3]FormattedData!G65*$J$4+$M$4*$J$5+[3]FormattedData!G65^2*$J$6+$M$5*$J$7</f>
        <v>32.224625780402548</v>
      </c>
      <c r="O67" s="6">
        <f>$J$3+[3]FormattedData!H65*$J$4+$M$4*$J$5+[3]FormattedData!H65^2*$J$6+$M$5*$J$7</f>
        <v>31.645898528929123</v>
      </c>
      <c r="P67" s="6">
        <f>$J$3+[3]FormattedData!I65*$J$4+$M$4*$J$5+[3]FormattedData!I65^2*$J$6+$M$5*$J$7</f>
        <v>32.801831364510463</v>
      </c>
      <c r="Q67" s="6">
        <f>$J$3+[3]FormattedData!J65*$J$4+$M$4*$J$5+[3]FormattedData!J65^2*$J$6+$M$5*$J$7</f>
        <v>31.645898528929123</v>
      </c>
      <c r="R67" s="6">
        <f>$J$3+[3]FormattedData!K65*$J$4+$M$4*$J$5+[3]FormattedData!K65^2*$J$6+$M$5*$J$7</f>
        <v>32.801831364510463</v>
      </c>
      <c r="S67" s="6">
        <f>$J$3+[3]FormattedData!L65*$J$4+$M$4*$J$5+[3]FormattedData!L65^2*$J$6+$M$5*$J$7</f>
        <v>34.142726798785226</v>
      </c>
      <c r="T67" s="6">
        <f>$J$3+[3]FormattedData!M65*$J$4+$M$4*$J$5+[3]FormattedData!M65^2*$J$6+$M$5*$J$7</f>
        <v>32.513418780877203</v>
      </c>
      <c r="U67" s="6">
        <f>$J$3+[3]FormattedData!N65*$J$4+$M$4*$J$5+[3]FormattedData!N65^2*$J$6+$M$5*$J$7</f>
        <v>32.993895077576319</v>
      </c>
      <c r="V67" s="6">
        <f>$J$3+[3]FormattedData!O65*$J$4+$M$4*$J$5+[3]FormattedData!O65^2*$J$6+$M$5*$J$7</f>
        <v>31.259234990521541</v>
      </c>
      <c r="W67" s="5">
        <f t="shared" si="9"/>
        <v>32.67174238742173</v>
      </c>
      <c r="X67" s="4">
        <f t="shared" si="10"/>
        <v>0.2783952543553263</v>
      </c>
      <c r="Y67" s="3">
        <f t="shared" si="11"/>
        <v>31.259234990521541</v>
      </c>
      <c r="Z67" s="2">
        <f t="shared" si="12"/>
        <v>32.079943967534192</v>
      </c>
      <c r="AA67" s="3">
        <f t="shared" si="13"/>
        <v>32.657625072693833</v>
      </c>
      <c r="AB67" s="2">
        <f t="shared" si="14"/>
        <v>33.113749973389027</v>
      </c>
      <c r="AC67" s="2">
        <f t="shared" si="15"/>
        <v>34.333606992789008</v>
      </c>
      <c r="AD67" s="2">
        <f t="shared" si="16"/>
        <v>0.38500560335163103</v>
      </c>
      <c r="AE67" s="2">
        <f t="shared" si="17"/>
        <v>-0.57028091860398433</v>
      </c>
    </row>
    <row r="68" spans="2:31" x14ac:dyDescent="0.2">
      <c r="B68" s="1">
        <f>[3]FormattedData!A67</f>
        <v>303</v>
      </c>
      <c r="C68" s="1" t="str">
        <f>VLOOKUP($B68,[3]TrtCodes!$B$11:I110,2)</f>
        <v>NSL</v>
      </c>
      <c r="D68" s="1">
        <f>VLOOKUP($B68,[3]TrtCodes!$B$11:J110,3)</f>
        <v>8</v>
      </c>
      <c r="E68" s="1">
        <f>VLOOKUP($B68,[3]TrtCodes!$B$11:K110,4)</f>
        <v>2</v>
      </c>
      <c r="F68" s="1">
        <f>VLOOKUP($B68,[3]TrtCodes!$B$11:L110,5)</f>
        <v>1</v>
      </c>
      <c r="G68" s="1">
        <f>VLOOKUP($B68,[3]TrtCodes!$B$11:M110,6)</f>
        <v>1</v>
      </c>
      <c r="H68" s="1">
        <f>VLOOKUP($B68,[3]TrtCodes!$B$11:N110,7)</f>
        <v>3</v>
      </c>
      <c r="I68" s="1">
        <f>[3]FormattedData!B67</f>
        <v>2</v>
      </c>
      <c r="J68" s="4">
        <f>[3]FormattedData!C67</f>
        <v>13.536</v>
      </c>
      <c r="K68" s="6">
        <f>$J$3+[3]FormattedData!D67*$J$4+$M$4*$J$5+[3]FormattedData!D67^2*$J$6+$M$5*$J$7</f>
        <v>30.677971626772248</v>
      </c>
      <c r="L68" s="6">
        <f>$J$3+[3]FormattedData!E67*$J$4+$M$4*$J$5+[3]FormattedData!E67^2*$J$6+$M$5*$J$7</f>
        <v>32.993895077576319</v>
      </c>
      <c r="M68" s="6">
        <f>$J$3+[3]FormattedData!F67*$J$4+$M$4*$J$5+[3]FormattedData!F67^2*$J$6+$M$5*$J$7</f>
        <v>35.475337599625483</v>
      </c>
      <c r="N68" s="6">
        <f>$J$3+[3]FormattedData!G67*$J$4+$M$4*$J$5+[3]FormattedData!G67^2*$J$6+$M$5*$J$7</f>
        <v>31.065649610090166</v>
      </c>
      <c r="O68" s="6">
        <f>$J$3+[3]FormattedData!H67*$J$4+$M$4*$J$5+[3]FormattedData!H67^2*$J$6+$M$5*$J$7</f>
        <v>31.35596427793034</v>
      </c>
      <c r="P68" s="6">
        <f>$J$3+[3]FormattedData!I67*$J$4+$M$4*$J$5+[3]FormattedData!I67^2*$J$6+$M$5*$J$7</f>
        <v>30.871895155507072</v>
      </c>
      <c r="Q68" s="6">
        <f>$J$3+[3]FormattedData!J67*$J$4+$M$4*$J$5+[3]FormattedData!J67^2*$J$6+$M$5*$J$7</f>
        <v>32.417196715923588</v>
      </c>
      <c r="R68" s="6">
        <f>$J$3+[3]FormattedData!K67*$J$4+$M$4*$J$5+[3]FormattedData!K67^2*$J$6+$M$5*$J$7</f>
        <v>32.320932382432034</v>
      </c>
      <c r="S68" s="6">
        <f>$J$3+[3]FormattedData!L67*$J$4+$M$4*$J$5+[3]FormattedData!L67^2*$J$6+$M$5*$J$7</f>
        <v>32.513418780877203</v>
      </c>
      <c r="T68" s="6">
        <f>$J$3+[3]FormattedData!M67*$J$4+$M$4*$J$5+[3]FormattedData!M67^2*$J$6+$M$5*$J$7</f>
        <v>30.968793517067585</v>
      </c>
      <c r="U68" s="6">
        <f>$J$3+[3]FormattedData!N67*$J$4+$M$4*$J$5+[3]FormattedData!N67^2*$J$6+$M$5*$J$7</f>
        <v>33.281673633140613</v>
      </c>
      <c r="V68" s="6">
        <f>$J$3+[3]FormattedData!O67*$J$4+$M$4*$J$5+[3]FormattedData!O67^2*$J$6+$M$5*$J$7</f>
        <v>31.259234990521541</v>
      </c>
      <c r="W68" s="5">
        <f t="shared" si="9"/>
        <v>32.100163613955353</v>
      </c>
      <c r="X68" s="4">
        <f t="shared" si="10"/>
        <v>0.39932741307628056</v>
      </c>
      <c r="Y68" s="3">
        <f t="shared" si="11"/>
        <v>30.677971626772248</v>
      </c>
      <c r="Z68" s="2">
        <f t="shared" si="12"/>
        <v>31.04143558683452</v>
      </c>
      <c r="AA68" s="3">
        <f t="shared" si="13"/>
        <v>31.838448330181187</v>
      </c>
      <c r="AB68" s="2">
        <f t="shared" si="14"/>
        <v>32.633537855051983</v>
      </c>
      <c r="AC68" s="2">
        <f t="shared" si="15"/>
        <v>35.475337599625483</v>
      </c>
      <c r="AD68" s="2">
        <f t="shared" si="16"/>
        <v>1.3449297119416674</v>
      </c>
      <c r="AE68" s="2">
        <f t="shared" si="17"/>
        <v>2.0929288955331566</v>
      </c>
    </row>
    <row r="69" spans="2:31" x14ac:dyDescent="0.2">
      <c r="B69" s="1">
        <f>[3]FormattedData!A69</f>
        <v>304</v>
      </c>
      <c r="C69" s="1" t="str">
        <f>VLOOKUP($B69,[3]TrtCodes!$B$11:I112,2)</f>
        <v>FSL</v>
      </c>
      <c r="D69" s="1">
        <f>VLOOKUP($B69,[3]TrtCodes!$B$11:J112,3)</f>
        <v>2</v>
      </c>
      <c r="E69" s="1">
        <f>VLOOKUP($B69,[3]TrtCodes!$B$11:K112,4)</f>
        <v>1</v>
      </c>
      <c r="F69" s="1">
        <f>VLOOKUP($B69,[3]TrtCodes!$B$11:L112,5)</f>
        <v>1</v>
      </c>
      <c r="G69" s="1">
        <f>VLOOKUP($B69,[3]TrtCodes!$B$11:M112,6)</f>
        <v>1</v>
      </c>
      <c r="H69" s="1">
        <f>VLOOKUP($B69,[3]TrtCodes!$B$11:N112,7)</f>
        <v>3</v>
      </c>
      <c r="I69" s="1">
        <f>[3]FormattedData!B69</f>
        <v>2</v>
      </c>
      <c r="J69" s="4">
        <f>[3]FormattedData!C69</f>
        <v>13.552</v>
      </c>
      <c r="K69" s="6">
        <f>$J$3+[3]FormattedData!D69*$J$4+$M$4*$J$5+[3]FormattedData!D69^2*$J$6+$M$5*$J$7</f>
        <v>34.810067778384671</v>
      </c>
      <c r="L69" s="6">
        <f>$J$3+[3]FormattedData!E69*$J$4+$M$4*$J$5+[3]FormattedData!E69^2*$J$6+$M$5*$J$7</f>
        <v>31.838976686905326</v>
      </c>
      <c r="M69" s="6">
        <f>$J$3+[3]FormattedData!F69*$J$4+$M$4*$J$5+[3]FormattedData!F69^2*$J$6+$M$5*$J$7</f>
        <v>34.142726798785226</v>
      </c>
      <c r="N69" s="6">
        <f>$J$3+[3]FormattedData!G69*$J$4+$M$4*$J$5+[3]FormattedData!G69^2*$J$6+$M$5*$J$7</f>
        <v>31.549296047134128</v>
      </c>
      <c r="O69" s="6">
        <f>$J$3+[3]FormattedData!H69*$J$4+$M$4*$J$5+[3]FormattedData!H69^2*$J$6+$M$5*$J$7</f>
        <v>36.327641177918352</v>
      </c>
      <c r="P69" s="6">
        <f>$J$3+[3]FormattedData!I69*$J$4+$M$4*$J$5+[3]FormattedData!I69^2*$J$6+$M$5*$J$7</f>
        <v>31.162463434574825</v>
      </c>
      <c r="Q69" s="6">
        <f>$J$3+[3]FormattedData!J69*$J$4+$M$4*$J$5+[3]FormattedData!J69^2*$J$6+$M$5*$J$7</f>
        <v>33.760459188322486</v>
      </c>
      <c r="R69" s="6">
        <f>$J$3+[3]FormattedData!K69*$J$4+$M$4*$J$5+[3]FormattedData!K69^2*$J$6+$M$5*$J$7</f>
        <v>32.417196715923588</v>
      </c>
      <c r="S69" s="6">
        <f>$J$3+[3]FormattedData!L69*$J$4+$M$4*$J$5+[3]FormattedData!L69^2*$J$6+$M$5*$J$7</f>
        <v>36.327641177918352</v>
      </c>
      <c r="T69" s="6">
        <f>$J$3+[3]FormattedData!M69*$J$4+$M$4*$J$5+[3]FormattedData!M69^2*$J$6+$M$5*$J$7</f>
        <v>31.742458742186187</v>
      </c>
      <c r="U69" s="6">
        <f>$J$3+[3]FormattedData!N69*$J$4+$M$4*$J$5+[3]FormattedData!N69^2*$J$6+$M$5*$J$7</f>
        <v>34.333606992789008</v>
      </c>
      <c r="V69" s="6">
        <f>$J$3+[3]FormattedData!O69*$J$4+$M$4*$J$5+[3]FormattedData!O69^2*$J$6+$M$5*$J$7</f>
        <v>35.190475573178432</v>
      </c>
      <c r="W69" s="5">
        <f t="shared" si="9"/>
        <v>33.633584192835052</v>
      </c>
      <c r="X69" s="4">
        <f t="shared" si="10"/>
        <v>0.53524655033896573</v>
      </c>
      <c r="Y69" s="3">
        <f t="shared" si="11"/>
        <v>31.162463434574825</v>
      </c>
      <c r="Z69" s="2">
        <f t="shared" si="12"/>
        <v>31.814847200725541</v>
      </c>
      <c r="AA69" s="3">
        <f t="shared" si="13"/>
        <v>33.951592993553859</v>
      </c>
      <c r="AB69" s="2">
        <f t="shared" si="14"/>
        <v>34.905169727083113</v>
      </c>
      <c r="AC69" s="2">
        <f t="shared" si="15"/>
        <v>36.327641177918352</v>
      </c>
      <c r="AD69" s="2">
        <f t="shared" si="16"/>
        <v>0.11121732052809156</v>
      </c>
      <c r="AE69" s="2">
        <f t="shared" si="17"/>
        <v>-1.4339339040359937</v>
      </c>
    </row>
    <row r="70" spans="2:31" x14ac:dyDescent="0.2">
      <c r="B70" s="1">
        <f>[3]FormattedData!A71</f>
        <v>305</v>
      </c>
      <c r="C70" s="1" t="str">
        <f>VLOOKUP($B70,[3]TrtCodes!$B$11:I114,2)</f>
        <v>NDH</v>
      </c>
      <c r="D70" s="1">
        <f>VLOOKUP($B70,[3]TrtCodes!$B$11:J114,3)</f>
        <v>11</v>
      </c>
      <c r="E70" s="1">
        <f>VLOOKUP($B70,[3]TrtCodes!$B$11:K114,4)</f>
        <v>2</v>
      </c>
      <c r="F70" s="1">
        <f>VLOOKUP($B70,[3]TrtCodes!$B$11:L114,5)</f>
        <v>3</v>
      </c>
      <c r="G70" s="1">
        <f>VLOOKUP($B70,[3]TrtCodes!$B$11:M114,6)</f>
        <v>2</v>
      </c>
      <c r="H70" s="1">
        <f>VLOOKUP($B70,[3]TrtCodes!$B$11:N114,7)</f>
        <v>4</v>
      </c>
      <c r="I70" s="1">
        <f>[3]FormattedData!B71</f>
        <v>2</v>
      </c>
      <c r="J70" s="4">
        <f>[3]FormattedData!C71</f>
        <v>13.569000000000001</v>
      </c>
      <c r="K70" s="6">
        <f>$J$3+[3]FormattedData!D71*$J$4+$M$4*$J$5+[3]FormattedData!D71^2*$J$6+$M$5*$J$7</f>
        <v>29.997907817255527</v>
      </c>
      <c r="L70" s="6">
        <f>$J$3+[3]FormattedData!E71*$J$4+$M$4*$J$5+[3]FormattedData!E71^2*$J$6+$M$5*$J$7</f>
        <v>31.838976686905326</v>
      </c>
      <c r="M70" s="6">
        <f>$J$3+[3]FormattedData!F71*$J$4+$M$4*$J$5+[3]FormattedData!F71^2*$J$6+$M$5*$J$7</f>
        <v>30.38676931963553</v>
      </c>
      <c r="N70" s="6">
        <f>$J$3+[3]FormattedData!G71*$J$4+$M$4*$J$5+[3]FormattedData!G71^2*$J$6+$M$5*$J$7</f>
        <v>29.413347507547599</v>
      </c>
      <c r="O70" s="6">
        <f>$J$3+[3]FormattedData!H71*$J$4+$M$4*$J$5+[3]FormattedData!H71^2*$J$6+$M$5*$J$7</f>
        <v>30.677971626772248</v>
      </c>
      <c r="P70" s="6">
        <f>$J$3+[3]FormattedData!I71*$J$4+$M$4*$J$5+[3]FormattedData!I71^2*$J$6+$M$5*$J$7</f>
        <v>30.289617346847422</v>
      </c>
      <c r="Q70" s="6">
        <f>$J$3+[3]FormattedData!J71*$J$4+$M$4*$J$5+[3]FormattedData!J71^2*$J$6+$M$5*$J$7</f>
        <v>30.580946459597936</v>
      </c>
      <c r="R70" s="6">
        <f>$J$3+[3]FormattedData!K71*$J$4+$M$4*$J$5+[3]FormattedData!K71^2*$J$6+$M$5*$J$7</f>
        <v>30.774954525408624</v>
      </c>
      <c r="S70" s="6">
        <f>$J$3+[3]FormattedData!L71*$J$4+$M$4*$J$5+[3]FormattedData!L71^2*$J$6+$M$5*$J$7</f>
        <v>29.803223454837941</v>
      </c>
      <c r="T70" s="6">
        <f>$J$3+[3]FormattedData!M71*$J$4+$M$4*$J$5+[3]FormattedData!M71^2*$J$6+$M$5*$J$7</f>
        <v>30.580946459597936</v>
      </c>
      <c r="U70" s="6">
        <f>$J$3+[3]FormattedData!N71*$J$4+$M$4*$J$5+[3]FormattedData!N71^2*$J$6+$M$5*$J$7</f>
        <v>30.774954525408624</v>
      </c>
      <c r="V70" s="6">
        <f>$J$3+[3]FormattedData!O71*$J$4+$M$4*$J$5+[3]FormattedData!O71^2*$J$6+$M$5*$J$7</f>
        <v>30.09518659565742</v>
      </c>
      <c r="W70" s="5">
        <f t="shared" si="9"/>
        <v>30.434566860456016</v>
      </c>
      <c r="X70" s="4">
        <f t="shared" si="10"/>
        <v>0.17574134861688631</v>
      </c>
      <c r="Y70" s="3">
        <f t="shared" si="11"/>
        <v>29.413347507547599</v>
      </c>
      <c r="Z70" s="2">
        <f t="shared" si="12"/>
        <v>30.070866901056945</v>
      </c>
      <c r="AA70" s="3">
        <f t="shared" si="13"/>
        <v>30.483857889616733</v>
      </c>
      <c r="AB70" s="2">
        <f t="shared" si="14"/>
        <v>30.702217351431344</v>
      </c>
      <c r="AC70" s="2">
        <f t="shared" si="15"/>
        <v>31.838976686905326</v>
      </c>
      <c r="AD70" s="2">
        <f t="shared" si="16"/>
        <v>0.69015089972799692</v>
      </c>
      <c r="AE70" s="2">
        <f t="shared" si="17"/>
        <v>1.9527277922366952</v>
      </c>
    </row>
    <row r="71" spans="2:31" x14ac:dyDescent="0.2">
      <c r="B71" s="1">
        <f>[3]FormattedData!A73</f>
        <v>306</v>
      </c>
      <c r="C71" s="1" t="str">
        <f>VLOOKUP($B71,[3]TrtCodes!$B$11:I116,2)</f>
        <v>FTL</v>
      </c>
      <c r="D71" s="1">
        <f>VLOOKUP($B71,[3]TrtCodes!$B$11:J116,3)</f>
        <v>4</v>
      </c>
      <c r="E71" s="1">
        <f>VLOOKUP($B71,[3]TrtCodes!$B$11:K116,4)</f>
        <v>1</v>
      </c>
      <c r="F71" s="1">
        <f>VLOOKUP($B71,[3]TrtCodes!$B$11:L116,5)</f>
        <v>2</v>
      </c>
      <c r="G71" s="1">
        <f>VLOOKUP($B71,[3]TrtCodes!$B$11:M116,6)</f>
        <v>1</v>
      </c>
      <c r="H71" s="1">
        <f>VLOOKUP($B71,[3]TrtCodes!$B$11:N116,7)</f>
        <v>4</v>
      </c>
      <c r="I71" s="1">
        <f>[3]FormattedData!B73</f>
        <v>2</v>
      </c>
      <c r="J71" s="4">
        <f>[3]FormattedData!C73</f>
        <v>13.584</v>
      </c>
      <c r="K71" s="6">
        <f>$J$3+[3]FormattedData!D73*$J$4+$M$4*$J$5+[3]FormattedData!D73^2*$J$6+$M$5*$J$7</f>
        <v>34.047223298976434</v>
      </c>
      <c r="L71" s="6">
        <f>$J$3+[3]FormattedData!E73*$J$4+$M$4*$J$5+[3]FormattedData!E73^2*$J$6+$M$5*$J$7</f>
        <v>31.838976686905326</v>
      </c>
      <c r="M71" s="6">
        <f>$J$3+[3]FormattedData!F73*$J$4+$M$4*$J$5+[3]FormattedData!F73^2*$J$6+$M$5*$J$7</f>
        <v>32.993895077576319</v>
      </c>
      <c r="N71" s="6">
        <f>$J$3+[3]FormattedData!G73*$J$4+$M$4*$J$5+[3]FormattedData!G73^2*$J$6+$M$5*$J$7</f>
        <v>32.320932382432034</v>
      </c>
      <c r="O71" s="6">
        <f>$J$3+[3]FormattedData!H73*$J$4+$M$4*$J$5+[3]FormattedData!H73^2*$J$6+$M$5*$J$7</f>
        <v>33.377515281252855</v>
      </c>
      <c r="P71" s="6">
        <f>$J$3+[3]FormattedData!I73*$J$4+$M$4*$J$5+[3]FormattedData!I73^2*$J$6+$M$5*$J$7</f>
        <v>32.031885770729801</v>
      </c>
      <c r="Q71" s="6">
        <f>$J$3+[3]FormattedData!J73*$J$4+$M$4*$J$5+[3]FormattedData!J73^2*$J$6+$M$5*$J$7</f>
        <v>32.031885770729801</v>
      </c>
      <c r="R71" s="6">
        <f>$J$3+[3]FormattedData!K73*$J$4+$M$4*$J$5+[3]FormattedData!K73^2*$J$6+$M$5*$J$7</f>
        <v>33.856089493745074</v>
      </c>
      <c r="S71" s="6">
        <f>$J$3+[3]FormattedData!L73*$J$4+$M$4*$J$5+[3]FormattedData!L73^2*$J$6+$M$5*$J$7</f>
        <v>32.513418780877203</v>
      </c>
      <c r="T71" s="6">
        <f>$J$3+[3]FormattedData!M73*$J$4+$M$4*$J$5+[3]FormattedData!M73^2*$J$6+$M$5*$J$7</f>
        <v>32.031885770729801</v>
      </c>
      <c r="U71" s="6">
        <f>$J$3+[3]FormattedData!N73*$J$4+$M$4*$J$5+[3]FormattedData!N73^2*$J$6+$M$5*$J$7</f>
        <v>32.993895077576319</v>
      </c>
      <c r="V71" s="6">
        <f>$J$3+[3]FormattedData!O73*$J$4+$M$4*$J$5+[3]FormattedData!O73^2*$J$6+$M$5*$J$7</f>
        <v>32.705736105170637</v>
      </c>
      <c r="W71" s="5">
        <f t="shared" si="9"/>
        <v>32.728611624725126</v>
      </c>
      <c r="X71" s="4">
        <f t="shared" si="10"/>
        <v>0.21377796383218567</v>
      </c>
      <c r="Y71" s="3">
        <f t="shared" si="11"/>
        <v>31.838976686905326</v>
      </c>
      <c r="Z71" s="2">
        <f t="shared" si="12"/>
        <v>32.031885770729801</v>
      </c>
      <c r="AA71" s="3">
        <f t="shared" si="13"/>
        <v>32.609577443023923</v>
      </c>
      <c r="AB71" s="2">
        <f t="shared" si="14"/>
        <v>33.089800128495455</v>
      </c>
      <c r="AC71" s="2">
        <f t="shared" si="15"/>
        <v>34.047223298976434</v>
      </c>
      <c r="AD71" s="2">
        <f t="shared" si="16"/>
        <v>0.60171779886134469</v>
      </c>
      <c r="AE71" s="2">
        <f t="shared" si="17"/>
        <v>-0.79047495453442274</v>
      </c>
    </row>
    <row r="72" spans="2:31" x14ac:dyDescent="0.2">
      <c r="B72" s="1">
        <f>[3]FormattedData!A75</f>
        <v>307</v>
      </c>
      <c r="C72" s="1" t="str">
        <f>VLOOKUP($B72,[3]TrtCodes!$B$11:I118,2)</f>
        <v>NTH</v>
      </c>
      <c r="D72" s="1">
        <f>VLOOKUP($B72,[3]TrtCodes!$B$11:J118,3)</f>
        <v>9</v>
      </c>
      <c r="E72" s="1">
        <f>VLOOKUP($B72,[3]TrtCodes!$B$11:K118,4)</f>
        <v>2</v>
      </c>
      <c r="F72" s="1">
        <f>VLOOKUP($B72,[3]TrtCodes!$B$11:L118,5)</f>
        <v>2</v>
      </c>
      <c r="G72" s="1">
        <f>VLOOKUP($B72,[3]TrtCodes!$B$11:M118,6)</f>
        <v>2</v>
      </c>
      <c r="H72" s="1">
        <f>VLOOKUP($B72,[3]TrtCodes!$B$11:N118,7)</f>
        <v>4</v>
      </c>
      <c r="I72" s="1">
        <f>[3]FormattedData!B75</f>
        <v>2</v>
      </c>
      <c r="J72" s="4">
        <f>[3]FormattedData!C75</f>
        <v>13.601000000000001</v>
      </c>
      <c r="K72" s="6">
        <f>$J$3+[3]FormattedData!D75*$J$4+$M$4*$J$5+[3]FormattedData!D75^2*$J$6+$M$5*$J$7</f>
        <v>33.185789716490447</v>
      </c>
      <c r="L72" s="6">
        <f>$J$3+[3]FormattedData!E75*$J$4+$M$4*$J$5+[3]FormattedData!E75^2*$J$6+$M$5*$J$7</f>
        <v>33.760459188322486</v>
      </c>
      <c r="M72" s="6">
        <f>$J$3+[3]FormattedData!F75*$J$4+$M$4*$J$5+[3]FormattedData!F75^2*$J$6+$M$5*$J$7</f>
        <v>32.224625780402548</v>
      </c>
      <c r="N72" s="6">
        <f>$J$3+[3]FormattedData!G75*$J$4+$M$4*$J$5+[3]FormattedData!G75^2*$J$6+$M$5*$J$7</f>
        <v>32.513418780877203</v>
      </c>
      <c r="O72" s="6">
        <f>$J$3+[3]FormattedData!H75*$J$4+$M$4*$J$5+[3]FormattedData!H75^2*$J$6+$M$5*$J$7</f>
        <v>31.838976686905326</v>
      </c>
      <c r="P72" s="6">
        <f>$J$3+[3]FormattedData!I75*$J$4+$M$4*$J$5+[3]FormattedData!I75^2*$J$6+$M$5*$J$7</f>
        <v>32.031885770729801</v>
      </c>
      <c r="Q72" s="6">
        <f>$J$3+[3]FormattedData!J75*$J$4+$M$4*$J$5+[3]FormattedData!J75^2*$J$6+$M$5*$J$7</f>
        <v>32.801831364510463</v>
      </c>
      <c r="R72" s="6">
        <f>$J$3+[3]FormattedData!K75*$J$4+$M$4*$J$5+[3]FormattedData!K75^2*$J$6+$M$5*$J$7</f>
        <v>35.000356212857412</v>
      </c>
      <c r="S72" s="6">
        <f>$J$3+[3]FormattedData!L75*$J$4+$M$4*$J$5+[3]FormattedData!L75^2*$J$6+$M$5*$J$7</f>
        <v>30.483879023885699</v>
      </c>
      <c r="T72" s="6">
        <f>$J$3+[3]FormattedData!M75*$J$4+$M$4*$J$5+[3]FormattedData!M75^2*$J$6+$M$5*$J$7</f>
        <v>32.417196715923588</v>
      </c>
      <c r="U72" s="6">
        <f>$J$3+[3]FormattedData!N75*$J$4+$M$4*$J$5+[3]FormattedData!N75^2*$J$6+$M$5*$J$7</f>
        <v>31.645898528929123</v>
      </c>
      <c r="V72" s="6">
        <f>$J$3+[3]FormattedData!O75*$J$4+$M$4*$J$5+[3]FormattedData!O75^2*$J$6+$M$5*$J$7</f>
        <v>32.417196715923588</v>
      </c>
      <c r="W72" s="5">
        <f t="shared" si="9"/>
        <v>32.526792873813143</v>
      </c>
      <c r="X72" s="4">
        <f t="shared" si="10"/>
        <v>0.32489361458000643</v>
      </c>
      <c r="Y72" s="3">
        <f t="shared" si="11"/>
        <v>30.483879023885699</v>
      </c>
      <c r="Z72" s="2">
        <f t="shared" si="12"/>
        <v>31.983658499773682</v>
      </c>
      <c r="AA72" s="3">
        <f t="shared" si="13"/>
        <v>32.417196715923588</v>
      </c>
      <c r="AB72" s="2">
        <f t="shared" si="14"/>
        <v>32.897820952505455</v>
      </c>
      <c r="AC72" s="2">
        <f t="shared" si="15"/>
        <v>35.000356212857412</v>
      </c>
      <c r="AD72" s="2">
        <f t="shared" si="16"/>
        <v>0.58407068417694008</v>
      </c>
      <c r="AE72" s="2">
        <f t="shared" si="17"/>
        <v>1.6884155260122533</v>
      </c>
    </row>
    <row r="73" spans="2:31" x14ac:dyDescent="0.2">
      <c r="B73" s="1">
        <f>[3]FormattedData!A77</f>
        <v>308</v>
      </c>
      <c r="C73" s="1" t="str">
        <f>VLOOKUP($B73,[3]TrtCodes!$B$11:I120,2)</f>
        <v>FDH</v>
      </c>
      <c r="D73" s="1">
        <f>VLOOKUP($B73,[3]TrtCodes!$B$11:J120,3)</f>
        <v>5</v>
      </c>
      <c r="E73" s="1">
        <f>VLOOKUP($B73,[3]TrtCodes!$B$11:K120,4)</f>
        <v>1</v>
      </c>
      <c r="F73" s="1">
        <f>VLOOKUP($B73,[3]TrtCodes!$B$11:L120,5)</f>
        <v>3</v>
      </c>
      <c r="G73" s="1">
        <f>VLOOKUP($B73,[3]TrtCodes!$B$11:M120,6)</f>
        <v>2</v>
      </c>
      <c r="H73" s="1">
        <f>VLOOKUP($B73,[3]TrtCodes!$B$11:N120,7)</f>
        <v>4</v>
      </c>
      <c r="I73" s="1">
        <f>[3]FormattedData!B77</f>
        <v>2</v>
      </c>
      <c r="J73" s="4">
        <f>[3]FormattedData!C77</f>
        <v>13.617000000000001</v>
      </c>
      <c r="K73" s="6">
        <f>$J$3+[3]FormattedData!D77*$J$4+$M$4*$J$5+[3]FormattedData!D77^2*$J$6+$M$5*$J$7</f>
        <v>34.238188030056079</v>
      </c>
      <c r="L73" s="6">
        <f>$J$3+[3]FormattedData!E77*$J$4+$M$4*$J$5+[3]FormattedData!E77^2*$J$6+$M$5*$J$7</f>
        <v>34.428983686984012</v>
      </c>
      <c r="M73" s="6">
        <f>$J$3+[3]FormattedData!F77*$J$4+$M$4*$J$5+[3]FormattedData!F77^2*$J$6+$M$5*$J$7</f>
        <v>34.333606992789008</v>
      </c>
      <c r="N73" s="6">
        <f>$J$3+[3]FormattedData!G77*$J$4+$M$4*$J$5+[3]FormattedData!G77^2*$J$6+$M$5*$J$7</f>
        <v>35.665034274567198</v>
      </c>
      <c r="O73" s="6">
        <f>$J$3+[3]FormattedData!H77*$J$4+$M$4*$J$5+[3]FormattedData!H77^2*$J$6+$M$5*$J$7</f>
        <v>34.333606992789008</v>
      </c>
      <c r="P73" s="6">
        <f>$J$3+[3]FormattedData!I77*$J$4+$M$4*$J$5+[3]FormattedData!I77^2*$J$6+$M$5*$J$7</f>
        <v>35.095437027286891</v>
      </c>
      <c r="Q73" s="6">
        <f>$J$3+[3]FormattedData!J77*$J$4+$M$4*$J$5+[3]FormattedData!J77^2*$J$6+$M$5*$J$7</f>
        <v>37.646641509544779</v>
      </c>
      <c r="R73" s="6">
        <f>$J$3+[3]FormattedData!K77*$J$4+$M$4*$J$5+[3]FormattedData!K77^2*$J$6+$M$5*$J$7</f>
        <v>35.854561875357184</v>
      </c>
      <c r="S73" s="6">
        <f>$J$3+[3]FormattedData!L77*$J$4+$M$4*$J$5+[3]FormattedData!L77^2*$J$6+$M$5*$J$7</f>
        <v>36.327641177918352</v>
      </c>
      <c r="T73" s="6">
        <f>$J$3+[3]FormattedData!M77*$J$4+$M$4*$J$5+[3]FormattedData!M77^2*$J$6+$M$5*$J$7</f>
        <v>36.988176922910881</v>
      </c>
      <c r="U73" s="6">
        <f>$J$3+[3]FormattedData!N77*$J$4+$M$4*$J$5+[3]FormattedData!N77^2*$J$6+$M$5*$J$7</f>
        <v>35.854561875357184</v>
      </c>
      <c r="V73" s="6">
        <f>$J$3+[3]FormattedData!O77*$J$4+$M$4*$J$5+[3]FormattedData!O77^2*$J$6+$M$5*$J$7</f>
        <v>34.714860158341395</v>
      </c>
      <c r="W73" s="5">
        <f t="shared" si="9"/>
        <v>35.456775043658503</v>
      </c>
      <c r="X73" s="4">
        <f t="shared" si="10"/>
        <v>0.3257192564958285</v>
      </c>
      <c r="Y73" s="3">
        <f t="shared" si="11"/>
        <v>34.238188030056079</v>
      </c>
      <c r="Z73" s="2">
        <f t="shared" si="12"/>
        <v>34.405139513435259</v>
      </c>
      <c r="AA73" s="3">
        <f t="shared" si="13"/>
        <v>35.380235650927048</v>
      </c>
      <c r="AB73" s="2">
        <f t="shared" si="14"/>
        <v>35.972831700997475</v>
      </c>
      <c r="AC73" s="2">
        <f t="shared" si="15"/>
        <v>37.646641509544779</v>
      </c>
      <c r="AD73" s="2">
        <f t="shared" si="16"/>
        <v>0.66098893367425837</v>
      </c>
      <c r="AE73" s="2">
        <f t="shared" si="17"/>
        <v>-0.53850489023068837</v>
      </c>
    </row>
    <row r="74" spans="2:31" x14ac:dyDescent="0.2">
      <c r="B74" s="1">
        <f>[3]FormattedData!A93</f>
        <v>401</v>
      </c>
      <c r="C74" s="1" t="str">
        <f>VLOOKUP($B74,[3]TrtCodes!$B$11:I130,2)</f>
        <v>NSH</v>
      </c>
      <c r="D74" s="1">
        <f>VLOOKUP($B74,[3]TrtCodes!$B$11:J130,3)</f>
        <v>7</v>
      </c>
      <c r="E74" s="1">
        <f>VLOOKUP($B74,[3]TrtCodes!$B$11:K130,4)</f>
        <v>2</v>
      </c>
      <c r="F74" s="1">
        <f>VLOOKUP($B74,[3]TrtCodes!$B$11:L130,5)</f>
        <v>1</v>
      </c>
      <c r="G74" s="1">
        <f>VLOOKUP($B74,[3]TrtCodes!$B$11:M130,6)</f>
        <v>2</v>
      </c>
      <c r="H74" s="1">
        <f>VLOOKUP($B74,[3]TrtCodes!$B$11:N130,7)</f>
        <v>3</v>
      </c>
      <c r="I74" s="1">
        <f>[3]FormattedData!B93</f>
        <v>2</v>
      </c>
      <c r="J74" s="4">
        <f>[3]FormattedData!C93</f>
        <v>13.756</v>
      </c>
      <c r="K74" s="6">
        <f>$J$3+[3]FormattedData!D93*$J$4+$M$4*$J$5+[3]FormattedData!D93^2*$J$6+$M$5*$J$7</f>
        <v>34.047223298976434</v>
      </c>
      <c r="L74" s="6">
        <f>$J$3+[3]FormattedData!E93*$J$4+$M$4*$J$5+[3]FormattedData!E93^2*$J$6+$M$5*$J$7</f>
        <v>30.968793517067585</v>
      </c>
      <c r="M74" s="6">
        <f>$J$3+[3]FormattedData!F93*$J$4+$M$4*$J$5+[3]FormattedData!F93^2*$J$6+$M$5*$J$7</f>
        <v>31.742458742186187</v>
      </c>
      <c r="N74" s="6">
        <f>$J$3+[3]FormattedData!G93*$J$4+$M$4*$J$5+[3]FormattedData!G93^2*$J$6+$M$5*$J$7</f>
        <v>30.968793517067585</v>
      </c>
      <c r="O74" s="6">
        <f>$J$3+[3]FormattedData!H93*$J$4+$M$4*$J$5+[3]FormattedData!H93^2*$J$6+$M$5*$J$7</f>
        <v>35.380425859347739</v>
      </c>
      <c r="P74" s="6">
        <f>$J$3+[3]FormattedData!I93*$J$4+$M$4*$J$5+[3]FormattedData!I93^2*$J$6+$M$5*$J$7</f>
        <v>31.162463434574825</v>
      </c>
      <c r="Q74" s="6">
        <f>$J$3+[3]FormattedData!J93*$J$4+$M$4*$J$5+[3]FormattedData!J93^2*$J$6+$M$5*$J$7</f>
        <v>33.281673633140613</v>
      </c>
      <c r="R74" s="6">
        <f>$J$3+[3]FormattedData!K93*$J$4+$M$4*$J$5+[3]FormattedData!K93^2*$J$6+$M$5*$J$7</f>
        <v>31.742458742186187</v>
      </c>
      <c r="S74" s="6">
        <f>$J$3+[3]FormattedData!L93*$J$4+$M$4*$J$5+[3]FormattedData!L93^2*$J$6+$M$5*$J$7</f>
        <v>31.35596427793034</v>
      </c>
      <c r="T74" s="6">
        <f>$J$3+[3]FormattedData!M93*$J$4+$M$4*$J$5+[3]FormattedData!M93^2*$J$6+$M$5*$J$7</f>
        <v>30.677971626772248</v>
      </c>
      <c r="U74" s="6">
        <f>$J$3+[3]FormattedData!N93*$J$4+$M$4*$J$5+[3]FormattedData!N93^2*$J$6+$M$5*$J$7</f>
        <v>31.259234990521541</v>
      </c>
      <c r="V74" s="6">
        <f>$J$3+[3]FormattedData!O93*$J$4+$M$4*$J$5+[3]FormattedData!O93^2*$J$6+$M$5*$J$7</f>
        <v>32.128276909835144</v>
      </c>
      <c r="W74" s="5">
        <f t="shared" ref="W74:W105" si="18">AVERAGE(K74:V74)</f>
        <v>32.059644879133863</v>
      </c>
      <c r="X74" s="4">
        <f t="shared" ref="X74:X85" si="19">STDEV(K74:V74)/SQRT(COUNT(K74:V74))</f>
        <v>0.4165789995931688</v>
      </c>
      <c r="Y74" s="3">
        <f t="shared" ref="Y74:Y85" si="20">MIN(K74:V74)</f>
        <v>30.677971626772248</v>
      </c>
      <c r="Z74" s="2">
        <f t="shared" ref="Z74:Z85" si="21">QUARTILE(K74:V74,1)</f>
        <v>31.114045955198016</v>
      </c>
      <c r="AA74" s="3">
        <f t="shared" ref="AA74:AA85" si="22">MEDIAN(K74:V74)</f>
        <v>31.549211510058264</v>
      </c>
      <c r="AB74" s="2">
        <f t="shared" ref="AB74:AB85" si="23">QUARTILE(K74:V74,3)</f>
        <v>32.416626090661509</v>
      </c>
      <c r="AC74" s="2">
        <f t="shared" ref="AC74:AC85" si="24">MAX(K74:V74)</f>
        <v>35.380425859347739</v>
      </c>
      <c r="AD74" s="2">
        <f t="shared" ref="AD74:AD85" si="25">SKEW(K74:V74)</f>
        <v>1.4308712939604951</v>
      </c>
      <c r="AE74" s="2">
        <f t="shared" ref="AE74:AE85" si="26">KURT(K74:V74)</f>
        <v>1.3169332794516269</v>
      </c>
    </row>
    <row r="75" spans="2:31" x14ac:dyDescent="0.2">
      <c r="B75" s="1">
        <f>[3]FormattedData!A91</f>
        <v>402</v>
      </c>
      <c r="C75" s="1" t="str">
        <f>VLOOKUP($B75,[3]TrtCodes!$B$11:I131,2)</f>
        <v>NTH</v>
      </c>
      <c r="D75" s="1">
        <f>VLOOKUP($B75,[3]TrtCodes!$B$11:J131,3)</f>
        <v>9</v>
      </c>
      <c r="E75" s="1">
        <f>VLOOKUP($B75,[3]TrtCodes!$B$11:K131,4)</f>
        <v>2</v>
      </c>
      <c r="F75" s="1">
        <f>VLOOKUP($B75,[3]TrtCodes!$B$11:L131,5)</f>
        <v>2</v>
      </c>
      <c r="G75" s="1">
        <f>VLOOKUP($B75,[3]TrtCodes!$B$11:M131,6)</f>
        <v>2</v>
      </c>
      <c r="H75" s="1">
        <f>VLOOKUP($B75,[3]TrtCodes!$B$11:N131,7)</f>
        <v>3</v>
      </c>
      <c r="I75" s="1">
        <f>[3]FormattedData!B91</f>
        <v>2</v>
      </c>
      <c r="J75" s="4">
        <f>[3]FormattedData!C91</f>
        <v>13.74</v>
      </c>
      <c r="K75" s="6">
        <f>$J$3+[3]FormattedData!D91*$J$4+$M$4*$J$5+[3]FormattedData!D91^2*$J$6+$M$5*$J$7</f>
        <v>31.259234990521541</v>
      </c>
      <c r="L75" s="6">
        <f>$J$3+[3]FormattedData!E91*$J$4+$M$4*$J$5+[3]FormattedData!E91^2*$J$6+$M$5*$J$7</f>
        <v>32.705736105170637</v>
      </c>
      <c r="M75" s="6">
        <f>$J$3+[3]FormattedData!F91*$J$4+$M$4*$J$5+[3]FormattedData!F91^2*$J$6+$M$5*$J$7</f>
        <v>32.128276909835144</v>
      </c>
      <c r="N75" s="6">
        <f>$J$3+[3]FormattedData!G91*$J$4+$M$4*$J$5+[3]FormattedData!G91^2*$J$6+$M$5*$J$7</f>
        <v>31.838976686905326</v>
      </c>
      <c r="O75" s="6">
        <f>$J$3+[3]FormattedData!H91*$J$4+$M$4*$J$5+[3]FormattedData!H91^2*$J$6+$M$5*$J$7</f>
        <v>32.705736105170637</v>
      </c>
      <c r="P75" s="6">
        <f>$J$3+[3]FormattedData!I91*$J$4+$M$4*$J$5+[3]FormattedData!I91^2*$J$6+$M$5*$J$7</f>
        <v>32.801831364510463</v>
      </c>
      <c r="Q75" s="6">
        <f>$J$3+[3]FormattedData!J91*$J$4+$M$4*$J$5+[3]FormattedData!J91^2*$J$6+$M$5*$J$7</f>
        <v>31.162463434574825</v>
      </c>
      <c r="R75" s="6">
        <f>$J$3+[3]FormattedData!K91*$J$4+$M$4*$J$5+[3]FormattedData!K91^2*$J$6+$M$5*$J$7</f>
        <v>32.609598577292886</v>
      </c>
      <c r="S75" s="6">
        <f>$J$3+[3]FormattedData!L91*$J$4+$M$4*$J$5+[3]FormattedData!L91^2*$J$6+$M$5*$J$7</f>
        <v>32.417196715923588</v>
      </c>
      <c r="T75" s="6">
        <f>$J$3+[3]FormattedData!M91*$J$4+$M$4*$J$5+[3]FormattedData!M91^2*$J$6+$M$5*$J$7</f>
        <v>35.095437027286891</v>
      </c>
      <c r="U75" s="6">
        <f>$J$3+[3]FormattedData!N91*$J$4+$M$4*$J$5+[3]FormattedData!N91^2*$J$6+$M$5*$J$7</f>
        <v>33.951677530629723</v>
      </c>
      <c r="V75" s="6">
        <f>$J$3+[3]FormattedData!O91*$J$4+$M$4*$J$5+[3]FormattedData!O91^2*$J$6+$M$5*$J$7</f>
        <v>32.609598577292886</v>
      </c>
      <c r="W75" s="5">
        <f t="shared" si="18"/>
        <v>32.60714700209288</v>
      </c>
      <c r="X75" s="4">
        <f t="shared" si="19"/>
        <v>0.31159613461780372</v>
      </c>
      <c r="Y75" s="3">
        <f t="shared" si="20"/>
        <v>31.162463434574825</v>
      </c>
      <c r="Z75" s="2">
        <f t="shared" si="21"/>
        <v>32.055951854102688</v>
      </c>
      <c r="AA75" s="3">
        <f t="shared" si="22"/>
        <v>32.609598577292886</v>
      </c>
      <c r="AB75" s="2">
        <f t="shared" si="23"/>
        <v>32.729759920005591</v>
      </c>
      <c r="AC75" s="2">
        <f t="shared" si="24"/>
        <v>35.095437027286891</v>
      </c>
      <c r="AD75" s="2">
        <f t="shared" si="25"/>
        <v>1.0246406979667964</v>
      </c>
      <c r="AE75" s="2">
        <f t="shared" si="26"/>
        <v>1.7317395010812318</v>
      </c>
    </row>
    <row r="76" spans="2:31" x14ac:dyDescent="0.2">
      <c r="B76" s="1">
        <f>[3]FormattedData!A89</f>
        <v>403</v>
      </c>
      <c r="C76" s="1" t="str">
        <f>VLOOKUP($B76,[3]TrtCodes!$B$11:I132,2)</f>
        <v>FDL</v>
      </c>
      <c r="D76" s="1">
        <f>VLOOKUP($B76,[3]TrtCodes!$B$11:J132,3)</f>
        <v>6</v>
      </c>
      <c r="E76" s="1">
        <f>VLOOKUP($B76,[3]TrtCodes!$B$11:K132,4)</f>
        <v>1</v>
      </c>
      <c r="F76" s="1">
        <f>VLOOKUP($B76,[3]TrtCodes!$B$11:L132,5)</f>
        <v>3</v>
      </c>
      <c r="G76" s="1">
        <f>VLOOKUP($B76,[3]TrtCodes!$B$11:M132,6)</f>
        <v>1</v>
      </c>
      <c r="H76" s="1">
        <f>VLOOKUP($B76,[3]TrtCodes!$B$11:N132,7)</f>
        <v>3</v>
      </c>
      <c r="I76" s="1">
        <f>[3]FormattedData!B89</f>
        <v>2</v>
      </c>
      <c r="J76" s="4">
        <f>[3]FormattedData!C89</f>
        <v>13.724</v>
      </c>
      <c r="K76" s="6">
        <f>$J$3+[3]FormattedData!D89*$J$4+$M$4*$J$5+[3]FormattedData!D89^2*$J$6+$M$5*$J$7</f>
        <v>34.238188030056079</v>
      </c>
      <c r="L76" s="6">
        <f>$J$3+[3]FormattedData!E89*$J$4+$M$4*$J$5+[3]FormattedData!E89^2*$J$6+$M$5*$J$7</f>
        <v>33.473314660827157</v>
      </c>
      <c r="M76" s="6">
        <f>$J$3+[3]FormattedData!F89*$J$4+$M$4*$J$5+[3]FormattedData!F89^2*$J$6+$M$5*$J$7</f>
        <v>32.705736105170637</v>
      </c>
      <c r="N76" s="6">
        <f>$J$3+[3]FormattedData!G89*$J$4+$M$4*$J$5+[3]FormattedData!G89^2*$J$6+$M$5*$J$7</f>
        <v>33.185789716490447</v>
      </c>
      <c r="O76" s="6">
        <f>$J$3+[3]FormattedData!H89*$J$4+$M$4*$J$5+[3]FormattedData!H89^2*$J$6+$M$5*$J$7</f>
        <v>36.422130232816784</v>
      </c>
      <c r="P76" s="6">
        <f>$J$3+[3]FormattedData!I89*$J$4+$M$4*$J$5+[3]FormattedData!I89^2*$J$6+$M$5*$J$7</f>
        <v>32.417196715923588</v>
      </c>
      <c r="Q76" s="6">
        <f>$J$3+[3]FormattedData!J89*$J$4+$M$4*$J$5+[3]FormattedData!J89^2*$J$6+$M$5*$J$7</f>
        <v>33.856089493745074</v>
      </c>
      <c r="R76" s="6">
        <f>$J$3+[3]FormattedData!K89*$J$4+$M$4*$J$5+[3]FormattedData!K89^2*$J$6+$M$5*$J$7</f>
        <v>33.473314660827157</v>
      </c>
      <c r="S76" s="6">
        <f>$J$3+[3]FormattedData!L89*$J$4+$M$4*$J$5+[3]FormattedData!L89^2*$J$6+$M$5*$J$7</f>
        <v>34.905233129890014</v>
      </c>
      <c r="T76" s="6">
        <f>$J$3+[3]FormattedData!M89*$J$4+$M$4*$J$5+[3]FormattedData!M89^2*$J$6+$M$5*$J$7</f>
        <v>33.760459188322486</v>
      </c>
      <c r="U76" s="6">
        <f>$J$3+[3]FormattedData!N89*$J$4+$M$4*$J$5+[3]FormattedData!N89^2*$J$6+$M$5*$J$7</f>
        <v>34.142726798785226</v>
      </c>
      <c r="V76" s="6">
        <f>$J$3+[3]FormattedData!O89*$J$4+$M$4*$J$5+[3]FormattedData!O89^2*$J$6+$M$5*$J$7</f>
        <v>33.569071771863527</v>
      </c>
      <c r="W76" s="5">
        <f t="shared" si="18"/>
        <v>33.845770875393185</v>
      </c>
      <c r="X76" s="4">
        <f t="shared" si="19"/>
        <v>0.30326174566667657</v>
      </c>
      <c r="Y76" s="3">
        <f t="shared" si="20"/>
        <v>32.417196715923588</v>
      </c>
      <c r="Z76" s="2">
        <f t="shared" si="21"/>
        <v>33.401433424742976</v>
      </c>
      <c r="AA76" s="3">
        <f t="shared" si="22"/>
        <v>33.66476548009301</v>
      </c>
      <c r="AB76" s="2">
        <f t="shared" si="23"/>
        <v>34.166592106602941</v>
      </c>
      <c r="AC76" s="2">
        <f t="shared" si="24"/>
        <v>36.422130232816784</v>
      </c>
      <c r="AD76" s="2">
        <f t="shared" si="25"/>
        <v>1.2765761802327178</v>
      </c>
      <c r="AE76" s="2">
        <f t="shared" si="26"/>
        <v>2.6215197591839479</v>
      </c>
    </row>
    <row r="77" spans="2:31" x14ac:dyDescent="0.2">
      <c r="B77" s="1">
        <f>[3]FormattedData!A87</f>
        <v>404</v>
      </c>
      <c r="C77" s="1" t="str">
        <f>VLOOKUP($B77,[3]TrtCodes!$B$11:I130,2)</f>
        <v>FTH</v>
      </c>
      <c r="D77" s="1">
        <f>VLOOKUP($B77,[3]TrtCodes!$B$11:J130,3)</f>
        <v>3</v>
      </c>
      <c r="E77" s="1">
        <f>VLOOKUP($B77,[3]TrtCodes!$B$11:K130,4)</f>
        <v>1</v>
      </c>
      <c r="F77" s="1">
        <f>VLOOKUP($B77,[3]TrtCodes!$B$11:L130,5)</f>
        <v>2</v>
      </c>
      <c r="G77" s="1">
        <f>VLOOKUP($B77,[3]TrtCodes!$B$11:M130,6)</f>
        <v>2</v>
      </c>
      <c r="H77" s="1">
        <f>VLOOKUP($B77,[3]TrtCodes!$B$11:N130,7)</f>
        <v>3</v>
      </c>
      <c r="I77" s="1">
        <f>[3]FormattedData!B87</f>
        <v>2</v>
      </c>
      <c r="J77" s="4">
        <f>[3]FormattedData!C87</f>
        <v>13.707000000000001</v>
      </c>
      <c r="K77" s="6">
        <f>$J$3+[3]FormattedData!D87*$J$4+$M$4*$J$5+[3]FormattedData!D87^2*$J$6+$M$5*$J$7</f>
        <v>33.760459188322486</v>
      </c>
      <c r="L77" s="6">
        <f>$J$3+[3]FormattedData!E87*$J$4+$M$4*$J$5+[3]FormattedData!E87^2*$J$6+$M$5*$J$7</f>
        <v>34.905233129890014</v>
      </c>
      <c r="M77" s="6">
        <f>$J$3+[3]FormattedData!F87*$J$4+$M$4*$J$5+[3]FormattedData!F87^2*$J$6+$M$5*$J$7</f>
        <v>32.609598577292886</v>
      </c>
      <c r="N77" s="6">
        <f>$J$3+[3]FormattedData!G87*$J$4+$M$4*$J$5+[3]FormattedData!G87^2*$J$6+$M$5*$J$7</f>
        <v>33.856089493745074</v>
      </c>
      <c r="O77" s="6">
        <f>$J$3+[3]FormattedData!H87*$J$4+$M$4*$J$5+[3]FormattedData!H87^2*$J$6+$M$5*$J$7</f>
        <v>34.142726798785226</v>
      </c>
      <c r="P77" s="6">
        <f>$J$3+[3]FormattedData!I87*$J$4+$M$4*$J$5+[3]FormattedData!I87^2*$J$6+$M$5*$J$7</f>
        <v>33.569071771863527</v>
      </c>
      <c r="Q77" s="6">
        <f>$J$3+[3]FormattedData!J87*$J$4+$M$4*$J$5+[3]FormattedData!J87^2*$J$6+$M$5*$J$7</f>
        <v>35.759819209231154</v>
      </c>
      <c r="R77" s="6">
        <f>$J$3+[3]FormattedData!K87*$J$4+$M$4*$J$5+[3]FormattedData!K87^2*$J$6+$M$5*$J$7</f>
        <v>32.993895077576319</v>
      </c>
      <c r="S77" s="6">
        <f>$J$3+[3]FormattedData!L87*$J$4+$M$4*$J$5+[3]FormattedData!L87^2*$J$6+$M$5*$J$7</f>
        <v>32.513418780877203</v>
      </c>
      <c r="T77" s="6">
        <f>$J$3+[3]FormattedData!M87*$J$4+$M$4*$J$5+[3]FormattedData!M87^2*$J$6+$M$5*$J$7</f>
        <v>33.281673633140613</v>
      </c>
      <c r="U77" s="6">
        <f>$J$3+[3]FormattedData!N87*$J$4+$M$4*$J$5+[3]FormattedData!N87^2*$J$6+$M$5*$J$7</f>
        <v>34.810067778384671</v>
      </c>
      <c r="V77" s="6">
        <f>$J$3+[3]FormattedData!O87*$J$4+$M$4*$J$5+[3]FormattedData!O87^2*$J$6+$M$5*$J$7</f>
        <v>33.951677530629723</v>
      </c>
      <c r="W77" s="5">
        <f t="shared" si="18"/>
        <v>33.846144247478236</v>
      </c>
      <c r="X77" s="4">
        <f t="shared" si="19"/>
        <v>0.27861176769529572</v>
      </c>
      <c r="Y77" s="3">
        <f t="shared" si="20"/>
        <v>32.513418780877203</v>
      </c>
      <c r="Z77" s="2">
        <f t="shared" si="21"/>
        <v>33.209728994249538</v>
      </c>
      <c r="AA77" s="3">
        <f t="shared" si="22"/>
        <v>33.80827434103378</v>
      </c>
      <c r="AB77" s="2">
        <f t="shared" si="23"/>
        <v>34.309562043685091</v>
      </c>
      <c r="AC77" s="2">
        <f t="shared" si="24"/>
        <v>35.759819209231154</v>
      </c>
      <c r="AD77" s="2">
        <f t="shared" si="25"/>
        <v>0.49027535735595218</v>
      </c>
      <c r="AE77" s="2">
        <f t="shared" si="26"/>
        <v>-9.8229365417714209E-2</v>
      </c>
    </row>
    <row r="78" spans="2:31" x14ac:dyDescent="0.2">
      <c r="B78" s="1">
        <f>[3]FormattedData!A85</f>
        <v>405</v>
      </c>
      <c r="C78" s="1" t="str">
        <f>VLOOKUP($B78,[3]TrtCodes!$B$11:I128,2)</f>
        <v>FDL</v>
      </c>
      <c r="D78" s="1">
        <f>VLOOKUP($B78,[3]TrtCodes!$B$11:J128,3)</f>
        <v>6</v>
      </c>
      <c r="E78" s="1">
        <f>VLOOKUP($B78,[3]TrtCodes!$B$11:K128,4)</f>
        <v>1</v>
      </c>
      <c r="F78" s="1">
        <f>VLOOKUP($B78,[3]TrtCodes!$B$11:L128,5)</f>
        <v>3</v>
      </c>
      <c r="G78" s="1">
        <f>VLOOKUP($B78,[3]TrtCodes!$B$11:M128,6)</f>
        <v>1</v>
      </c>
      <c r="H78" s="1">
        <f>VLOOKUP($B78,[3]TrtCodes!$B$11:N128,7)</f>
        <v>4</v>
      </c>
      <c r="I78" s="1">
        <f>[3]FormattedData!B85</f>
        <v>2</v>
      </c>
      <c r="J78" s="4">
        <f>[3]FormattedData!C85</f>
        <v>13.69</v>
      </c>
      <c r="K78" s="6">
        <f>$J$3+[3]FormattedData!D85*$J$4+$M$4*$J$5+[3]FormattedData!D85^2*$J$6+$M$5*$J$7</f>
        <v>35.095437027286891</v>
      </c>
      <c r="L78" s="6">
        <f>$J$3+[3]FormattedData!E85*$J$4+$M$4*$J$5+[3]FormattedData!E85^2*$J$6+$M$5*$J$7</f>
        <v>36.233109854481981</v>
      </c>
      <c r="M78" s="6">
        <f>$J$3+[3]FormattedData!F85*$J$4+$M$4*$J$5+[3]FormattedData!F85^2*$J$6+$M$5*$J$7</f>
        <v>33.760459188322486</v>
      </c>
      <c r="N78" s="6">
        <f>$J$3+[3]FormattedData!G85*$J$4+$M$4*$J$5+[3]FormattedData!G85^2*$J$6+$M$5*$J$7</f>
        <v>34.905233129890014</v>
      </c>
      <c r="O78" s="6">
        <f>$J$3+[3]FormattedData!H85*$J$4+$M$4*$J$5+[3]FormattedData!H85^2*$J$6+$M$5*$J$7</f>
        <v>33.185789716490447</v>
      </c>
      <c r="P78" s="6">
        <f>$J$3+[3]FormattedData!I85*$J$4+$M$4*$J$5+[3]FormattedData!I85^2*$J$6+$M$5*$J$7</f>
        <v>33.569071771863527</v>
      </c>
      <c r="Q78" s="6">
        <f>$J$3+[3]FormattedData!J85*$J$4+$M$4*$J$5+[3]FormattedData!J85^2*$J$6+$M$5*$J$7</f>
        <v>34.238188030056079</v>
      </c>
      <c r="R78" s="6">
        <f>$J$3+[3]FormattedData!K85*$J$4+$M$4*$J$5+[3]FormattedData!K85^2*$J$6+$M$5*$J$7</f>
        <v>34.238188030056079</v>
      </c>
      <c r="S78" s="6">
        <f>$J$3+[3]FormattedData!L85*$J$4+$M$4*$J$5+[3]FormattedData!L85^2*$J$6+$M$5*$J$7</f>
        <v>34.142726798785226</v>
      </c>
      <c r="T78" s="6">
        <f>$J$3+[3]FormattedData!M85*$J$4+$M$4*$J$5+[3]FormattedData!M85^2*$J$6+$M$5*$J$7</f>
        <v>33.856089493745074</v>
      </c>
      <c r="U78" s="6">
        <f>$J$3+[3]FormattedData!N85*$J$4+$M$4*$J$5+[3]FormattedData!N85^2*$J$6+$M$5*$J$7</f>
        <v>32.609598577292886</v>
      </c>
      <c r="V78" s="6">
        <f>$J$3+[3]FormattedData!O85*$J$4+$M$4*$J$5+[3]FormattedData!O85^2*$J$6+$M$5*$J$7</f>
        <v>33.664786614361979</v>
      </c>
      <c r="W78" s="5">
        <f t="shared" si="18"/>
        <v>34.124889852719384</v>
      </c>
      <c r="X78" s="4">
        <f t="shared" si="19"/>
        <v>0.27420945490570764</v>
      </c>
      <c r="Y78" s="3">
        <f t="shared" si="20"/>
        <v>32.609598577292886</v>
      </c>
      <c r="Z78" s="2">
        <f t="shared" si="21"/>
        <v>33.64085790373737</v>
      </c>
      <c r="AA78" s="3">
        <f t="shared" si="22"/>
        <v>33.999408146265154</v>
      </c>
      <c r="AB78" s="2">
        <f t="shared" si="23"/>
        <v>34.404949305014561</v>
      </c>
      <c r="AC78" s="2">
        <f t="shared" si="24"/>
        <v>36.233109854481981</v>
      </c>
      <c r="AD78" s="2">
        <f t="shared" si="25"/>
        <v>0.77872598260432968</v>
      </c>
      <c r="AE78" s="2">
        <f t="shared" si="26"/>
        <v>1.2362704383692229</v>
      </c>
    </row>
    <row r="79" spans="2:31" x14ac:dyDescent="0.2">
      <c r="B79" s="1">
        <f>[3]FormattedData!A83</f>
        <v>406</v>
      </c>
      <c r="C79" s="1" t="str">
        <f>VLOOKUP($B79,[3]TrtCodes!$B$11:I126,2)</f>
        <v>FTH</v>
      </c>
      <c r="D79" s="1">
        <f>VLOOKUP($B79,[3]TrtCodes!$B$11:J126,3)</f>
        <v>3</v>
      </c>
      <c r="E79" s="1">
        <f>VLOOKUP($B79,[3]TrtCodes!$B$11:K126,4)</f>
        <v>1</v>
      </c>
      <c r="F79" s="1">
        <f>VLOOKUP($B79,[3]TrtCodes!$B$11:L126,5)</f>
        <v>2</v>
      </c>
      <c r="G79" s="1">
        <f>VLOOKUP($B79,[3]TrtCodes!$B$11:M126,6)</f>
        <v>2</v>
      </c>
      <c r="H79" s="1">
        <f>VLOOKUP($B79,[3]TrtCodes!$B$11:N126,7)</f>
        <v>4</v>
      </c>
      <c r="I79" s="1">
        <f>[3]FormattedData!B83</f>
        <v>2</v>
      </c>
      <c r="J79" s="4">
        <f>[3]FormattedData!C83</f>
        <v>13.673</v>
      </c>
      <c r="K79" s="6">
        <f>$J$3+[3]FormattedData!D83*$J$4+$M$4*$J$5+[3]FormattedData!D83^2*$J$6+$M$5*$J$7</f>
        <v>35.665034274567198</v>
      </c>
      <c r="L79" s="6">
        <f>$J$3+[3]FormattedData!E83*$J$4+$M$4*$J$5+[3]FormattedData!E83^2*$J$6+$M$5*$J$7</f>
        <v>32.417196715923588</v>
      </c>
      <c r="M79" s="6">
        <f>$J$3+[3]FormattedData!F83*$J$4+$M$4*$J$5+[3]FormattedData!F83^2*$J$6+$M$5*$J$7</f>
        <v>33.856089493745074</v>
      </c>
      <c r="N79" s="6">
        <f>$J$3+[3]FormattedData!G83*$J$4+$M$4*$J$5+[3]FormattedData!G83^2*$J$6+$M$5*$J$7</f>
        <v>34.238188030056079</v>
      </c>
      <c r="O79" s="6">
        <f>$J$3+[3]FormattedData!H83*$J$4+$M$4*$J$5+[3]FormattedData!H83^2*$J$6+$M$5*$J$7</f>
        <v>32.609598577292886</v>
      </c>
      <c r="P79" s="6">
        <f>$J$3+[3]FormattedData!I83*$J$4+$M$4*$J$5+[3]FormattedData!I83^2*$J$6+$M$5*$J$7</f>
        <v>32.128276909835144</v>
      </c>
      <c r="Q79" s="6">
        <f>$J$3+[3]FormattedData!J83*$J$4+$M$4*$J$5+[3]FormattedData!J83^2*$J$6+$M$5*$J$7</f>
        <v>36.893941479240027</v>
      </c>
      <c r="R79" s="6">
        <f>$J$3+[3]FormattedData!K83*$J$4+$M$4*$J$5+[3]FormattedData!K83^2*$J$6+$M$5*$J$7</f>
        <v>33.664786614361979</v>
      </c>
      <c r="S79" s="6">
        <f>$J$3+[3]FormattedData!L83*$J$4+$M$4*$J$5+[3]FormattedData!L83^2*$J$6+$M$5*$J$7</f>
        <v>33.377515281252855</v>
      </c>
      <c r="T79" s="6">
        <f>$J$3+[3]FormattedData!M83*$J$4+$M$4*$J$5+[3]FormattedData!M83^2*$J$6+$M$5*$J$7</f>
        <v>33.281673633140613</v>
      </c>
      <c r="U79" s="6">
        <f>$J$3+[3]FormattedData!N83*$J$4+$M$4*$J$5+[3]FormattedData!N83^2*$J$6+$M$5*$J$7</f>
        <v>33.569071771863527</v>
      </c>
      <c r="V79" s="6">
        <f>$J$3+[3]FormattedData!O83*$J$4+$M$4*$J$5+[3]FormattedData!O83^2*$J$6+$M$5*$J$7</f>
        <v>32.609598577292886</v>
      </c>
      <c r="W79" s="5">
        <f t="shared" si="18"/>
        <v>33.692580946547658</v>
      </c>
      <c r="X79" s="4">
        <f t="shared" si="19"/>
        <v>0.40044667711555804</v>
      </c>
      <c r="Y79" s="3">
        <f t="shared" si="20"/>
        <v>32.128276909835144</v>
      </c>
      <c r="Z79" s="2">
        <f t="shared" si="21"/>
        <v>32.609598577292886</v>
      </c>
      <c r="AA79" s="3">
        <f t="shared" si="22"/>
        <v>33.473293526558194</v>
      </c>
      <c r="AB79" s="2">
        <f t="shared" si="23"/>
        <v>33.951614127822822</v>
      </c>
      <c r="AC79" s="2">
        <f t="shared" si="24"/>
        <v>36.893941479240027</v>
      </c>
      <c r="AD79" s="2">
        <f t="shared" si="25"/>
        <v>1.312072596715361</v>
      </c>
      <c r="AE79" s="2">
        <f t="shared" si="26"/>
        <v>1.5705140264489055</v>
      </c>
    </row>
    <row r="80" spans="2:31" x14ac:dyDescent="0.2">
      <c r="B80" s="1">
        <f>[3]FormattedData!A81</f>
        <v>407</v>
      </c>
      <c r="C80" s="1" t="str">
        <f>VLOOKUP($B80,[3]TrtCodes!$B$11:I124,2)</f>
        <v>NSH</v>
      </c>
      <c r="D80" s="1">
        <f>VLOOKUP($B80,[3]TrtCodes!$B$11:J124,3)</f>
        <v>7</v>
      </c>
      <c r="E80" s="1">
        <f>VLOOKUP($B80,[3]TrtCodes!$B$11:K124,4)</f>
        <v>2</v>
      </c>
      <c r="F80" s="1">
        <f>VLOOKUP($B80,[3]TrtCodes!$B$11:L124,5)</f>
        <v>1</v>
      </c>
      <c r="G80" s="1">
        <f>VLOOKUP($B80,[3]TrtCodes!$B$11:M124,6)</f>
        <v>2</v>
      </c>
      <c r="H80" s="1">
        <f>VLOOKUP($B80,[3]TrtCodes!$B$11:N124,7)</f>
        <v>4</v>
      </c>
      <c r="I80" s="1">
        <f>[3]FormattedData!B81</f>
        <v>2</v>
      </c>
      <c r="J80" s="4">
        <f>[3]FormattedData!C81</f>
        <v>13.657</v>
      </c>
      <c r="K80" s="6">
        <f>$J$3+[3]FormattedData!D81*$J$4+$M$4*$J$5+[3]FormattedData!D81^2*$J$6+$M$5*$J$7</f>
        <v>29.705817870822255</v>
      </c>
      <c r="L80" s="6">
        <f>$J$3+[3]FormattedData!E81*$J$4+$M$4*$J$5+[3]FormattedData!E81^2*$J$6+$M$5*$J$7</f>
        <v>31.452651296801196</v>
      </c>
      <c r="M80" s="6">
        <f>$J$3+[3]FormattedData!F81*$J$4+$M$4*$J$5+[3]FormattedData!F81^2*$J$6+$M$5*$J$7</f>
        <v>33.760459188322486</v>
      </c>
      <c r="N80" s="6">
        <f>$J$3+[3]FormattedData!G81*$J$4+$M$4*$J$5+[3]FormattedData!G81^2*$J$6+$M$5*$J$7</f>
        <v>30.483879023885699</v>
      </c>
      <c r="O80" s="6">
        <f>$J$3+[3]FormattedData!H81*$J$4+$M$4*$J$5+[3]FormattedData!H81^2*$J$6+$M$5*$J$7</f>
        <v>30.09518659565742</v>
      </c>
      <c r="P80" s="6">
        <f>$J$3+[3]FormattedData!I81*$J$4+$M$4*$J$5+[3]FormattedData!I81^2*$J$6+$M$5*$J$7</f>
        <v>32.801831364510463</v>
      </c>
      <c r="Q80" s="6">
        <f>$J$3+[3]FormattedData!J81*$J$4+$M$4*$J$5+[3]FormattedData!J81^2*$J$6+$M$5*$J$7</f>
        <v>30.289617346847422</v>
      </c>
      <c r="R80" s="6">
        <f>$J$3+[3]FormattedData!K81*$J$4+$M$4*$J$5+[3]FormattedData!K81^2*$J$6+$M$5*$J$7</f>
        <v>33.185789716490447</v>
      </c>
      <c r="S80" s="6">
        <f>$J$3+[3]FormattedData!L81*$J$4+$M$4*$J$5+[3]FormattedData!L81^2*$J$6+$M$5*$J$7</f>
        <v>30.483879023885699</v>
      </c>
      <c r="T80" s="6">
        <f>$J$3+[3]FormattedData!M81*$J$4+$M$4*$J$5+[3]FormattedData!M81^2*$J$6+$M$5*$J$7</f>
        <v>32.897884355312357</v>
      </c>
      <c r="U80" s="6">
        <f>$J$3+[3]FormattedData!N81*$J$4+$M$4*$J$5+[3]FormattedData!N81^2*$J$6+$M$5*$J$7</f>
        <v>37.270629642695859</v>
      </c>
      <c r="V80" s="6">
        <f>$J$3+[3]FormattedData!O81*$J$4+$M$4*$J$5+[3]FormattedData!O81^2*$J$6+$M$5*$J$7</f>
        <v>36.327641177918352</v>
      </c>
      <c r="W80" s="5">
        <f t="shared" si="18"/>
        <v>32.396272216929134</v>
      </c>
      <c r="X80" s="4">
        <f t="shared" si="19"/>
        <v>0.71399383227324242</v>
      </c>
      <c r="Y80" s="3">
        <f t="shared" si="20"/>
        <v>29.705817870822255</v>
      </c>
      <c r="Z80" s="2">
        <f t="shared" si="21"/>
        <v>30.435313604626131</v>
      </c>
      <c r="AA80" s="3">
        <f t="shared" si="22"/>
        <v>32.127241330655828</v>
      </c>
      <c r="AB80" s="2">
        <f t="shared" si="23"/>
        <v>33.329457084448457</v>
      </c>
      <c r="AC80" s="2">
        <f t="shared" si="24"/>
        <v>37.270629642695859</v>
      </c>
      <c r="AD80" s="2">
        <f t="shared" si="25"/>
        <v>0.89375042316849485</v>
      </c>
      <c r="AE80" s="2">
        <f t="shared" si="26"/>
        <v>-9.6376187930521162E-2</v>
      </c>
    </row>
    <row r="81" spans="2:31" x14ac:dyDescent="0.2">
      <c r="B81" s="1">
        <f>[3]FormattedData!A79</f>
        <v>408</v>
      </c>
      <c r="C81" s="1" t="str">
        <f>VLOOKUP($B81,[3]TrtCodes!$B$11:I122,2)</f>
        <v>NTL</v>
      </c>
      <c r="D81" s="1">
        <f>VLOOKUP($B81,[3]TrtCodes!$B$11:J122,3)</f>
        <v>10</v>
      </c>
      <c r="E81" s="1">
        <f>VLOOKUP($B81,[3]TrtCodes!$B$11:K122,4)</f>
        <v>2</v>
      </c>
      <c r="F81" s="1">
        <f>VLOOKUP($B81,[3]TrtCodes!$B$11:L122,5)</f>
        <v>2</v>
      </c>
      <c r="G81" s="1">
        <f>VLOOKUP($B81,[3]TrtCodes!$B$11:M122,6)</f>
        <v>1</v>
      </c>
      <c r="H81" s="1">
        <f>VLOOKUP($B81,[3]TrtCodes!$B$11:N122,7)</f>
        <v>4</v>
      </c>
      <c r="I81" s="1">
        <f>[3]FormattedData!B79</f>
        <v>2</v>
      </c>
      <c r="J81" s="4">
        <f>[3]FormattedData!C79</f>
        <v>13.638</v>
      </c>
      <c r="K81" s="6">
        <f>$J$3+[3]FormattedData!D79*$J$4+$M$4*$J$5+[3]FormattedData!D79^2*$J$6+$M$5*$J$7</f>
        <v>30.483879023885699</v>
      </c>
      <c r="L81" s="6">
        <f>$J$3+[3]FormattedData!E79*$J$4+$M$4*$J$5+[3]FormattedData!E79^2*$J$6+$M$5*$J$7</f>
        <v>31.935452363086533</v>
      </c>
      <c r="M81" s="6">
        <f>$J$3+[3]FormattedData!F79*$J$4+$M$4*$J$5+[3]FormattedData!F79^2*$J$6+$M$5*$J$7</f>
        <v>33.951677530629723</v>
      </c>
      <c r="N81" s="6">
        <f>$J$3+[3]FormattedData!G79*$J$4+$M$4*$J$5+[3]FormattedData!G79^2*$J$6+$M$5*$J$7</f>
        <v>32.417196715923588</v>
      </c>
      <c r="O81" s="6">
        <f>$J$3+[3]FormattedData!H79*$J$4+$M$4*$J$5+[3]FormattedData!H79^2*$J$6+$M$5*$J$7</f>
        <v>34.142726798785226</v>
      </c>
      <c r="P81" s="6">
        <f>$J$3+[3]FormattedData!I79*$J$4+$M$4*$J$5+[3]FormattedData!I79^2*$J$6+$M$5*$J$7</f>
        <v>31.452651296801196</v>
      </c>
      <c r="Q81" s="6">
        <f>$J$3+[3]FormattedData!J79*$J$4+$M$4*$J$5+[3]FormattedData!J79^2*$J$6+$M$5*$J$7</f>
        <v>32.513418780877203</v>
      </c>
      <c r="R81" s="6">
        <f>$J$3+[3]FormattedData!K79*$J$4+$M$4*$J$5+[3]FormattedData!K79^2*$J$6+$M$5*$J$7</f>
        <v>32.320932382432034</v>
      </c>
      <c r="S81" s="6">
        <f>$J$3+[3]FormattedData!L79*$J$4+$M$4*$J$5+[3]FormattedData!L79^2*$J$6+$M$5*$J$7</f>
        <v>33.856089493745074</v>
      </c>
      <c r="T81" s="6">
        <f>$J$3+[3]FormattedData!M79*$J$4+$M$4*$J$5+[3]FormattedData!M79^2*$J$6+$M$5*$J$7</f>
        <v>32.897884355312357</v>
      </c>
      <c r="U81" s="6">
        <f>$J$3+[3]FormattedData!N79*$J$4+$M$4*$J$5+[3]FormattedData!N79^2*$J$6+$M$5*$J$7</f>
        <v>33.377515281252855</v>
      </c>
      <c r="V81" s="6">
        <f>$J$3+[3]FormattedData!O79*$J$4+$M$4*$J$5+[3]FormattedData!O79^2*$J$6+$M$5*$J$7</f>
        <v>34.905233129890014</v>
      </c>
      <c r="W81" s="5">
        <f t="shared" si="18"/>
        <v>32.854554762718458</v>
      </c>
      <c r="X81" s="4">
        <f t="shared" si="19"/>
        <v>0.36274812797741346</v>
      </c>
      <c r="Y81" s="3">
        <f t="shared" si="20"/>
        <v>30.483879023885699</v>
      </c>
      <c r="Z81" s="2">
        <f t="shared" si="21"/>
        <v>32.22456237759566</v>
      </c>
      <c r="AA81" s="3">
        <f t="shared" si="22"/>
        <v>32.70565156809478</v>
      </c>
      <c r="AB81" s="2">
        <f t="shared" si="23"/>
        <v>33.879986502966233</v>
      </c>
      <c r="AC81" s="2">
        <f t="shared" si="24"/>
        <v>34.905233129890014</v>
      </c>
      <c r="AD81" s="2">
        <f t="shared" si="25"/>
        <v>-0.21446502395431311</v>
      </c>
      <c r="AE81" s="2">
        <f t="shared" si="26"/>
        <v>-0.28815290528317439</v>
      </c>
    </row>
    <row r="82" spans="2:31" x14ac:dyDescent="0.2">
      <c r="B82" s="1">
        <f>[3]FormattedData!A59</f>
        <v>902</v>
      </c>
      <c r="C82" s="1" t="str">
        <f>VLOOKUP($B82,[3]TrtCodes!$B$11:I102,2)</f>
        <v>Late</v>
      </c>
      <c r="D82" s="1">
        <f>VLOOKUP($B82,[3]TrtCodes!$B$11:J102,3)</f>
        <v>22</v>
      </c>
      <c r="E82" s="1">
        <f>VLOOKUP($B82,[3]TrtCodes!$B$11:K102,4)</f>
        <v>4</v>
      </c>
      <c r="F82" s="1">
        <f>VLOOKUP($B82,[3]TrtCodes!$B$11:L102,5)</f>
        <v>2</v>
      </c>
      <c r="G82" s="1">
        <f>VLOOKUP($B82,[3]TrtCodes!$B$11:M102,6)</f>
        <v>2</v>
      </c>
      <c r="H82" s="1">
        <f>VLOOKUP($B82,[3]TrtCodes!$B$11:N102,7)</f>
        <v>1</v>
      </c>
      <c r="I82" s="1">
        <f>[3]FormattedData!B59</f>
        <v>2</v>
      </c>
      <c r="J82" s="4">
        <f>[3]FormattedData!C59</f>
        <v>13.471</v>
      </c>
      <c r="K82" s="6">
        <f>$J$3+[3]FormattedData!D59*$J$4+$M$4*$J$5+[3]FormattedData!D59^2*$J$6+$M$5*$J$7</f>
        <v>33.185789716490447</v>
      </c>
      <c r="L82" s="6">
        <f>$J$3+[3]FormattedData!E59*$J$4+$M$4*$J$5+[3]FormattedData!E59^2*$J$6+$M$5*$J$7</f>
        <v>32.897884355312357</v>
      </c>
      <c r="M82" s="6">
        <f>$J$3+[3]FormattedData!F59*$J$4+$M$4*$J$5+[3]FormattedData!F59^2*$J$6+$M$5*$J$7</f>
        <v>32.705736105170637</v>
      </c>
      <c r="N82" s="6">
        <f>$J$3+[3]FormattedData!G59*$J$4+$M$4*$J$5+[3]FormattedData!G59^2*$J$6+$M$5*$J$7</f>
        <v>33.473314660827157</v>
      </c>
      <c r="O82" s="6">
        <f>$J$3+[3]FormattedData!H59*$J$4+$M$4*$J$5+[3]FormattedData!H59^2*$J$6+$M$5*$J$7</f>
        <v>32.224625780402548</v>
      </c>
      <c r="P82" s="6">
        <f>$J$3+[3]FormattedData!I59*$J$4+$M$4*$J$5+[3]FormattedData!I59^2*$J$6+$M$5*$J$7</f>
        <v>32.513418780877203</v>
      </c>
      <c r="Q82" s="6">
        <f>$J$3+[3]FormattedData!J59*$J$4+$M$4*$J$5+[3]FormattedData!J59^2*$J$6+$M$5*$J$7</f>
        <v>33.281673633140613</v>
      </c>
      <c r="R82" s="6">
        <f>$J$3+[3]FormattedData!K59*$J$4+$M$4*$J$5+[3]FormattedData!K59^2*$J$6+$M$5*$J$7</f>
        <v>33.185789716490447</v>
      </c>
      <c r="S82" s="6">
        <f>$J$3+[3]FormattedData!L59*$J$4+$M$4*$J$5+[3]FormattedData!L59^2*$J$6+$M$5*$J$7</f>
        <v>32.224625780402548</v>
      </c>
      <c r="T82" s="6">
        <f>$J$3+[3]FormattedData!M59*$J$4+$M$4*$J$5+[3]FormattedData!M59^2*$J$6+$M$5*$J$7</f>
        <v>31.549296047134128</v>
      </c>
      <c r="U82" s="6">
        <f>$J$3+[3]FormattedData!N59*$J$4+$M$4*$J$5+[3]FormattedData!N59^2*$J$6+$M$5*$J$7</f>
        <v>33.760459188322486</v>
      </c>
      <c r="V82" s="6">
        <f>$J$3+[3]FormattedData!O59*$J$4+$M$4*$J$5+[3]FormattedData!O59^2*$J$6+$M$5*$J$7</f>
        <v>31.549296047134128</v>
      </c>
      <c r="W82" s="5">
        <f t="shared" si="18"/>
        <v>32.712659150975391</v>
      </c>
      <c r="X82" s="4">
        <f t="shared" si="19"/>
        <v>0.20789708012803854</v>
      </c>
      <c r="Y82" s="3">
        <f t="shared" si="20"/>
        <v>31.549296047134128</v>
      </c>
      <c r="Z82" s="2">
        <f t="shared" si="21"/>
        <v>32.224625780402548</v>
      </c>
      <c r="AA82" s="3">
        <f t="shared" si="22"/>
        <v>32.8018102302415</v>
      </c>
      <c r="AB82" s="2">
        <f t="shared" si="23"/>
        <v>33.209760695652989</v>
      </c>
      <c r="AC82" s="2">
        <f t="shared" si="24"/>
        <v>33.760459188322486</v>
      </c>
      <c r="AD82" s="2">
        <f t="shared" si="25"/>
        <v>-0.40786722232525546</v>
      </c>
      <c r="AE82" s="2">
        <f t="shared" si="26"/>
        <v>-0.79699922117905597</v>
      </c>
    </row>
    <row r="83" spans="2:31" x14ac:dyDescent="0.2">
      <c r="B83" s="1">
        <f>[3]FormattedData!A55</f>
        <v>904</v>
      </c>
      <c r="C83" s="1" t="str">
        <f>VLOOKUP($B83,[3]TrtCodes!$B$11:I98,2)</f>
        <v>Early</v>
      </c>
      <c r="D83" s="1">
        <f>VLOOKUP($B83,[3]TrtCodes!$B$11:J98,3)</f>
        <v>21</v>
      </c>
      <c r="E83" s="1">
        <f>VLOOKUP($B83,[3]TrtCodes!$B$11:K98,4)</f>
        <v>3</v>
      </c>
      <c r="F83" s="1">
        <f>VLOOKUP($B83,[3]TrtCodes!$B$11:L98,5)</f>
        <v>2</v>
      </c>
      <c r="G83" s="1">
        <f>VLOOKUP($B83,[3]TrtCodes!$B$11:M98,6)</f>
        <v>2</v>
      </c>
      <c r="H83" s="1">
        <f>VLOOKUP($B83,[3]TrtCodes!$B$11:N98,7)</f>
        <v>1</v>
      </c>
      <c r="I83" s="1">
        <f>[3]FormattedData!B55</f>
        <v>2</v>
      </c>
      <c r="J83" s="4">
        <f>[3]FormattedData!C55</f>
        <v>13.446</v>
      </c>
      <c r="K83" s="6">
        <f>$J$3+[3]FormattedData!D55*$J$4+$M$4*$J$5+[3]FormattedData!D55^2*$J$6+$M$5*$J$7</f>
        <v>32.897884355312357</v>
      </c>
      <c r="L83" s="6">
        <f>$J$3+[3]FormattedData!E55*$J$4+$M$4*$J$5+[3]FormattedData!E55^2*$J$6+$M$5*$J$7</f>
        <v>31.452651296801196</v>
      </c>
      <c r="M83" s="6">
        <f>$J$3+[3]FormattedData!F55*$J$4+$M$4*$J$5+[3]FormattedData!F55^2*$J$6+$M$5*$J$7</f>
        <v>32.031885770729801</v>
      </c>
      <c r="N83" s="6">
        <f>$J$3+[3]FormattedData!G55*$J$4+$M$4*$J$5+[3]FormattedData!G55^2*$J$6+$M$5*$J$7</f>
        <v>30.968793517067585</v>
      </c>
      <c r="O83" s="6">
        <f>$J$3+[3]FormattedData!H55*$J$4+$M$4*$J$5+[3]FormattedData!H55^2*$J$6+$M$5*$J$7</f>
        <v>32.897884355312357</v>
      </c>
      <c r="P83" s="6">
        <f>$J$3+[3]FormattedData!I55*$J$4+$M$4*$J$5+[3]FormattedData!I55^2*$J$6+$M$5*$J$7</f>
        <v>31.645898528929123</v>
      </c>
      <c r="Q83" s="6">
        <f>$J$3+[3]FormattedData!J55*$J$4+$M$4*$J$5+[3]FormattedData!J55^2*$J$6+$M$5*$J$7</f>
        <v>33.377515281252855</v>
      </c>
      <c r="R83" s="6">
        <f>$J$3+[3]FormattedData!K55*$J$4+$M$4*$J$5+[3]FormattedData!K55^2*$J$6+$M$5*$J$7</f>
        <v>31.645898528929123</v>
      </c>
      <c r="S83" s="6">
        <f>$J$3+[3]FormattedData!L55*$J$4+$M$4*$J$5+[3]FormattedData!L55^2*$J$6+$M$5*$J$7</f>
        <v>32.993895077576319</v>
      </c>
      <c r="T83" s="6">
        <f>$J$3+[3]FormattedData!M55*$J$4+$M$4*$J$5+[3]FormattedData!M55^2*$J$6+$M$5*$J$7</f>
        <v>31.935452363086533</v>
      </c>
      <c r="U83" s="6">
        <f>$J$3+[3]FormattedData!N55*$J$4+$M$4*$J$5+[3]FormattedData!N55^2*$J$6+$M$5*$J$7</f>
        <v>31.452651296801196</v>
      </c>
      <c r="V83" s="6">
        <f>$J$3+[3]FormattedData!O55*$J$4+$M$4*$J$5+[3]FormattedData!O55^2*$J$6+$M$5*$J$7</f>
        <v>31.259234990521541</v>
      </c>
      <c r="W83" s="5">
        <f t="shared" si="18"/>
        <v>32.046637113526664</v>
      </c>
      <c r="X83" s="4">
        <f t="shared" si="19"/>
        <v>0.22927632826872607</v>
      </c>
      <c r="Y83" s="3">
        <f t="shared" si="20"/>
        <v>30.968793517067585</v>
      </c>
      <c r="Z83" s="2">
        <f t="shared" si="21"/>
        <v>31.452651296801196</v>
      </c>
      <c r="AA83" s="3">
        <f t="shared" si="22"/>
        <v>31.790675446007828</v>
      </c>
      <c r="AB83" s="2">
        <f t="shared" si="23"/>
        <v>32.897884355312357</v>
      </c>
      <c r="AC83" s="2">
        <f t="shared" si="24"/>
        <v>33.377515281252855</v>
      </c>
      <c r="AD83" s="2">
        <f t="shared" si="25"/>
        <v>0.46843317800821188</v>
      </c>
      <c r="AE83" s="2">
        <f t="shared" si="26"/>
        <v>-1.2505439225386961</v>
      </c>
    </row>
    <row r="84" spans="2:31" x14ac:dyDescent="0.2">
      <c r="B84" s="1">
        <f>[3]FormattedData!A51</f>
        <v>906</v>
      </c>
      <c r="C84" s="1" t="str">
        <f>VLOOKUP($B84,[3]TrtCodes!$B$11:I94,2)</f>
        <v>Late</v>
      </c>
      <c r="D84" s="1">
        <f>VLOOKUP($B84,[3]TrtCodes!$B$11:J94,3)</f>
        <v>22</v>
      </c>
      <c r="E84" s="1">
        <f>VLOOKUP($B84,[3]TrtCodes!$B$11:K94,4)</f>
        <v>4</v>
      </c>
      <c r="F84" s="1">
        <f>VLOOKUP($B84,[3]TrtCodes!$B$11:L94,5)</f>
        <v>2</v>
      </c>
      <c r="G84" s="1">
        <f>VLOOKUP($B84,[3]TrtCodes!$B$11:M94,6)</f>
        <v>2</v>
      </c>
      <c r="H84" s="1">
        <f>VLOOKUP($B84,[3]TrtCodes!$B$11:N94,7)</f>
        <v>2</v>
      </c>
      <c r="I84" s="1">
        <f>[3]FormattedData!B51</f>
        <v>2</v>
      </c>
      <c r="J84" s="4">
        <f>[3]FormattedData!C51</f>
        <v>13.420999999999999</v>
      </c>
      <c r="K84" s="6">
        <f>$J$3+[3]FormattedData!D51*$J$4+$M$4*$J$5+[3]FormattedData!D51^2*$J$6+$M$5*$J$7</f>
        <v>30.289617346847422</v>
      </c>
      <c r="L84" s="6">
        <f>$J$3+[3]FormattedData!E51*$J$4+$M$4*$J$5+[3]FormattedData!E51^2*$J$6+$M$5*$J$7</f>
        <v>32.320932382432034</v>
      </c>
      <c r="M84" s="6">
        <f>$J$3+[3]FormattedData!F51*$J$4+$M$4*$J$5+[3]FormattedData!F51^2*$J$6+$M$5*$J$7</f>
        <v>34.047223298976434</v>
      </c>
      <c r="N84" s="6">
        <f>$J$3+[3]FormattedData!G51*$J$4+$M$4*$J$5+[3]FormattedData!G51^2*$J$6+$M$5*$J$7</f>
        <v>32.224625780402548</v>
      </c>
      <c r="O84" s="6">
        <f>$J$3+[3]FormattedData!H51*$J$4+$M$4*$J$5+[3]FormattedData!H51^2*$J$6+$M$5*$J$7</f>
        <v>31.162463434574825</v>
      </c>
      <c r="P84" s="6">
        <f>$J$3+[3]FormattedData!I51*$J$4+$M$4*$J$5+[3]FormattedData!I51^2*$J$6+$M$5*$J$7</f>
        <v>31.645898528929123</v>
      </c>
      <c r="Q84" s="6">
        <f>$J$3+[3]FormattedData!J51*$J$4+$M$4*$J$5+[3]FormattedData!J51^2*$J$6+$M$5*$J$7</f>
        <v>31.549296047134128</v>
      </c>
      <c r="R84" s="6">
        <f>$J$3+[3]FormattedData!K51*$J$4+$M$4*$J$5+[3]FormattedData!K51^2*$J$6+$M$5*$J$7</f>
        <v>31.935452363086533</v>
      </c>
      <c r="S84" s="6">
        <f>$J$3+[3]FormattedData!L51*$J$4+$M$4*$J$5+[3]FormattedData!L51^2*$J$6+$M$5*$J$7</f>
        <v>31.742458742186187</v>
      </c>
      <c r="T84" s="6">
        <f>$J$3+[3]FormattedData!M51*$J$4+$M$4*$J$5+[3]FormattedData!M51^2*$J$6+$M$5*$J$7</f>
        <v>32.993895077576319</v>
      </c>
      <c r="U84" s="6">
        <f>$J$3+[3]FormattedData!N51*$J$4+$M$4*$J$5+[3]FormattedData!N51^2*$J$6+$M$5*$J$7</f>
        <v>31.742458742186187</v>
      </c>
      <c r="V84" s="6">
        <f>$J$3+[3]FormattedData!O51*$J$4+$M$4*$J$5+[3]FormattedData!O51^2*$J$6+$M$5*$J$7</f>
        <v>32.513418780877203</v>
      </c>
      <c r="W84" s="5">
        <f t="shared" si="18"/>
        <v>32.013978377100742</v>
      </c>
      <c r="X84" s="4">
        <f t="shared" si="19"/>
        <v>0.27088349727432326</v>
      </c>
      <c r="Y84" s="3">
        <f t="shared" si="20"/>
        <v>30.289617346847422</v>
      </c>
      <c r="Z84" s="2">
        <f t="shared" si="21"/>
        <v>31.621747908480373</v>
      </c>
      <c r="AA84" s="3">
        <f t="shared" si="22"/>
        <v>31.83895555263636</v>
      </c>
      <c r="AB84" s="2">
        <f t="shared" si="23"/>
        <v>32.369053982043326</v>
      </c>
      <c r="AC84" s="2">
        <f t="shared" si="24"/>
        <v>34.047223298976434</v>
      </c>
      <c r="AD84" s="2">
        <f t="shared" si="25"/>
        <v>0.47187354566832018</v>
      </c>
      <c r="AE84" s="2">
        <f t="shared" si="26"/>
        <v>1.5614266723046928</v>
      </c>
    </row>
    <row r="85" spans="2:31" x14ac:dyDescent="0.2">
      <c r="B85" s="1">
        <f>[3]FormattedData!A47</f>
        <v>908</v>
      </c>
      <c r="C85" s="1" t="str">
        <f>VLOOKUP($B85,[3]TrtCodes!$B$11:I90,2)</f>
        <v>Early</v>
      </c>
      <c r="D85" s="1">
        <f>VLOOKUP($B85,[3]TrtCodes!$B$11:J90,3)</f>
        <v>21</v>
      </c>
      <c r="E85" s="1">
        <f>VLOOKUP($B85,[3]TrtCodes!$B$11:K90,4)</f>
        <v>3</v>
      </c>
      <c r="F85" s="1">
        <f>VLOOKUP($B85,[3]TrtCodes!$B$11:L90,5)</f>
        <v>2</v>
      </c>
      <c r="G85" s="1">
        <f>VLOOKUP($B85,[3]TrtCodes!$B$11:M90,6)</f>
        <v>2</v>
      </c>
      <c r="H85" s="1">
        <f>VLOOKUP($B85,[3]TrtCodes!$B$11:N90,7)</f>
        <v>2</v>
      </c>
      <c r="I85" s="1">
        <f>[3]FormattedData!B47</f>
        <v>2</v>
      </c>
      <c r="J85" s="4">
        <f>[3]FormattedData!C47</f>
        <v>13.397</v>
      </c>
      <c r="K85" s="6">
        <f>$J$3+[3]FormattedData!D47*$J$4+$M$4*$J$5+[3]FormattedData!D47^2*$J$6+$M$5*$J$7</f>
        <v>31.549296047134128</v>
      </c>
      <c r="L85" s="6">
        <f>$J$3+[3]FormattedData!E47*$J$4+$M$4*$J$5+[3]FormattedData!E47^2*$J$6+$M$5*$J$7</f>
        <v>32.320932382432034</v>
      </c>
      <c r="M85" s="6">
        <f>$J$3+[3]FormattedData!F47*$J$4+$M$4*$J$5+[3]FormattedData!F47^2*$J$6+$M$5*$J$7</f>
        <v>33.089863531302342</v>
      </c>
      <c r="N85" s="6">
        <f>$J$3+[3]FormattedData!G47*$J$4+$M$4*$J$5+[3]FormattedData!G47^2*$J$6+$M$5*$J$7</f>
        <v>31.35596427793034</v>
      </c>
      <c r="O85" s="6">
        <f>$J$3+[3]FormattedData!H47*$J$4+$M$4*$J$5+[3]FormattedData!H47^2*$J$6+$M$5*$J$7</f>
        <v>30.774954525408624</v>
      </c>
      <c r="P85" s="6">
        <f>$J$3+[3]FormattedData!I47*$J$4+$M$4*$J$5+[3]FormattedData!I47^2*$J$6+$M$5*$J$7</f>
        <v>32.128276909835144</v>
      </c>
      <c r="Q85" s="6">
        <f>$J$3+[3]FormattedData!J47*$J$4+$M$4*$J$5+[3]FormattedData!J47^2*$J$6+$M$5*$J$7</f>
        <v>32.417196715923588</v>
      </c>
      <c r="R85" s="6">
        <f>$J$3+[3]FormattedData!K47*$J$4+$M$4*$J$5+[3]FormattedData!K47^2*$J$6+$M$5*$J$7</f>
        <v>32.609598577292886</v>
      </c>
      <c r="S85" s="6">
        <f>$J$3+[3]FormattedData!L47*$J$4+$M$4*$J$5+[3]FormattedData!L47^2*$J$6+$M$5*$J$7</f>
        <v>32.993895077576319</v>
      </c>
      <c r="T85" s="6">
        <f>$J$3+[3]FormattedData!M47*$J$4+$M$4*$J$5+[3]FormattedData!M47^2*$J$6+$M$5*$J$7</f>
        <v>33.089863531302342</v>
      </c>
      <c r="U85" s="6">
        <f>$J$3+[3]FormattedData!N47*$J$4+$M$4*$J$5+[3]FormattedData!N47^2*$J$6+$M$5*$J$7</f>
        <v>33.377515281252855</v>
      </c>
      <c r="V85" s="6">
        <f>$J$3+[3]FormattedData!O47*$J$4+$M$4*$J$5+[3]FormattedData!O47^2*$J$6+$M$5*$J$7</f>
        <v>31.935452363086533</v>
      </c>
      <c r="W85" s="5">
        <f t="shared" si="18"/>
        <v>32.30356743503976</v>
      </c>
      <c r="X85" s="4">
        <f t="shared" si="19"/>
        <v>0.22934487592999775</v>
      </c>
      <c r="Y85" s="3">
        <f t="shared" si="20"/>
        <v>30.774954525408624</v>
      </c>
      <c r="Z85" s="2">
        <f t="shared" si="21"/>
        <v>31.838913284098432</v>
      </c>
      <c r="AA85" s="3">
        <f t="shared" si="22"/>
        <v>32.369064549177807</v>
      </c>
      <c r="AB85" s="2">
        <f t="shared" si="23"/>
        <v>33.017887191007823</v>
      </c>
      <c r="AC85" s="2">
        <f t="shared" si="24"/>
        <v>33.377515281252855</v>
      </c>
      <c r="AD85" s="2">
        <f t="shared" si="25"/>
        <v>-0.50842553416031178</v>
      </c>
      <c r="AE85" s="2">
        <f t="shared" si="26"/>
        <v>-0.49734553897279499</v>
      </c>
    </row>
    <row r="88" spans="2:31" x14ac:dyDescent="0.2">
      <c r="W88" s="2"/>
    </row>
  </sheetData>
  <autoFilter ref="B9:AE85" xr:uid="{88F12189-404E-4D01-BCF8-6195C21F81C4}"/>
  <conditionalFormatting sqref="K10:V85">
    <cfRule type="cellIs" dxfId="115" priority="1" stopIfTrue="1" operator="lessThan">
      <formula>$W10-$V$5*$X10</formula>
    </cfRule>
    <cfRule type="cellIs" dxfId="114" priority="2" stopIfTrue="1" operator="greaterThan">
      <formula>$W10+$V$5*$X10</formula>
    </cfRule>
  </conditionalFormatting>
  <conditionalFormatting sqref="W10:W85">
    <cfRule type="cellIs" dxfId="113" priority="3" stopIfTrue="1" operator="lessThan">
      <formula>AVERAGE($W$10:$W$41)</formula>
    </cfRule>
    <cfRule type="cellIs" dxfId="11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3311-A357-4A84-991C-CFB460584DC6}">
  <sheetPr codeName="Sheet30"/>
  <dimension ref="A1:AI88"/>
  <sheetViews>
    <sheetView topLeftCell="A8" workbookViewId="0">
      <pane xSplit="4" ySplit="2" topLeftCell="O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[4]FormattedData!A1</f>
        <v>Raw data file name - 'IA171.03R'</v>
      </c>
    </row>
    <row r="2" spans="1:35" ht="15" x14ac:dyDescent="0.25">
      <c r="I2" s="32" t="s">
        <v>136</v>
      </c>
      <c r="J2" s="24"/>
      <c r="P2" s="31">
        <f>[4]AncillaryData!C10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[4]AncillaryData!E25</f>
        <v>35.1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"&amp;[4]AncillaryData!C7</f>
        <v>Time Sequence of Midday IRT Temps - FISE 2003 - DOY 171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"&amp;[4]AncillaryData!E25&amp;", VPD = "&amp;ROUND([4]AncillaryData!E29,1)&amp;", Quality = "&amp;[4]AncillaryData!C20&amp;")"</f>
        <v>(Ta = 35.1, VPD = 4.9,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[4]FormattedData!A28</f>
        <v>101</v>
      </c>
      <c r="C10" s="1" t="str">
        <f>VLOOKUP($B10,[4]TrtCodes!$B$11:I71,2)</f>
        <v>FSH</v>
      </c>
      <c r="D10" s="1">
        <f>VLOOKUP($B10,[4]TrtCodes!$B$11:J71,3)</f>
        <v>1</v>
      </c>
      <c r="E10" s="1">
        <f>VLOOKUP($B10,[4]TrtCodes!$B$11:K71,4)</f>
        <v>1</v>
      </c>
      <c r="F10" s="1">
        <f>VLOOKUP($B10,[4]TrtCodes!$B$11:L71,5)</f>
        <v>1</v>
      </c>
      <c r="G10" s="1">
        <f>VLOOKUP($B10,[4]TrtCodes!$B$11:M71,6)</f>
        <v>2</v>
      </c>
      <c r="H10" s="1">
        <f>VLOOKUP($B10,[4]TrtCodes!$B$11:N71,7)</f>
        <v>1</v>
      </c>
      <c r="I10" s="1">
        <f>[4]FormattedData!B28</f>
        <v>1</v>
      </c>
      <c r="J10" s="4">
        <f>[4]FormattedData!C28</f>
        <v>13.02</v>
      </c>
      <c r="K10" s="6">
        <f>$J$3+[4]FormattedData!D28*$J$4+$M$4*$J$5+[4]FormattedData!D28^2*$J$6+$M$5*$J$7</f>
        <v>50.848080650820769</v>
      </c>
      <c r="L10" s="6">
        <f>$J$3+[4]FormattedData!E28*$J$4+$M$4*$J$5+[4]FormattedData!E28^2*$J$6+$M$5*$J$7</f>
        <v>42.779642993341525</v>
      </c>
      <c r="M10" s="6">
        <f>$J$3+[4]FormattedData!F28*$J$4+$M$4*$J$5+[4]FormattedData!F28^2*$J$6+$M$5*$J$7</f>
        <v>50.672501667548055</v>
      </c>
      <c r="N10" s="6">
        <f>$J$3+[4]FormattedData!G28*$J$4+$M$4*$J$5+[4]FormattedData!G28^2*$J$6+$M$5*$J$7</f>
        <v>36.172956346118028</v>
      </c>
      <c r="O10" s="6">
        <f>$J$3+[4]FormattedData!H28*$J$4+$M$4*$J$5+[4]FormattedData!H28^2*$J$6+$M$5*$J$7</f>
        <v>50.584648773104803</v>
      </c>
      <c r="P10" s="6">
        <f>$J$3+[4]FormattedData!I28*$J$4+$M$4*$J$5+[4]FormattedData!I28^2*$J$6+$M$5*$J$7</f>
        <v>35.6996657008672</v>
      </c>
      <c r="Q10" s="6">
        <f>$J$3+[4]FormattedData!J28*$J$4+$M$4*$J$5+[4]FormattedData!J28^2*$J$6+$M$5*$J$7</f>
        <v>50.760312293453381</v>
      </c>
      <c r="R10" s="6">
        <f>$J$3+[4]FormattedData!K28*$J$4+$M$4*$J$5+[4]FormattedData!K28^2*$J$6+$M$5*$J$7</f>
        <v>35.889108764581323</v>
      </c>
      <c r="S10" s="6">
        <f>$J$3+[4]FormattedData!L28*$J$4+$M$4*$J$5+[4]FormattedData!L28^2*$J$6+$M$5*$J$7</f>
        <v>50.056643767148742</v>
      </c>
      <c r="T10" s="6">
        <f>$J$3+[4]FormattedData!M28*$J$4+$M$4*$J$5+[4]FormattedData!M28^2*$J$6+$M$5*$J$7</f>
        <v>39.921239823986603</v>
      </c>
      <c r="U10" s="6">
        <f>$J$3+[4]FormattedData!N28*$J$4+$M$4*$J$5+[4]FormattedData!N28^2*$J$6+$M$5*$J$7</f>
        <v>49.438714708390805</v>
      </c>
      <c r="V10" s="6">
        <f>$J$3+[4]FormattedData!O28*$J$4+$M$4*$J$5+[4]FormattedData!O28^2*$J$6+$M$5*$J$7</f>
        <v>39.083772502507564</v>
      </c>
      <c r="W10" s="5">
        <f t="shared" ref="W10:W41" si="0">AVERAGE(K10:V10)</f>
        <v>44.325607332655728</v>
      </c>
      <c r="X10" s="4">
        <f t="shared" ref="X10:X41" si="1">STDEV(K10:V10)/SQRT(COUNT(K10:V10))</f>
        <v>1.914276083062372</v>
      </c>
      <c r="Y10" s="3">
        <f t="shared" ref="Y10:Y41" si="2">MIN(K10:V10)</f>
        <v>35.6996657008672</v>
      </c>
      <c r="Z10" s="2">
        <f t="shared" ref="Z10:Z41" si="3">QUARTILE(K10:V10,1)</f>
        <v>38.356068463410182</v>
      </c>
      <c r="AA10" s="3">
        <f t="shared" ref="AA10:AA41" si="4">MEDIAN(K10:V10)</f>
        <v>46.109178850866165</v>
      </c>
      <c r="AB10" s="2">
        <f t="shared" ref="AB10:AB41" si="5">QUARTILE(K10:V10,3)</f>
        <v>50.606611996715614</v>
      </c>
      <c r="AC10" s="2">
        <f t="shared" ref="AC10:AC41" si="6">MAX(K10:V10)</f>
        <v>50.848080650820769</v>
      </c>
      <c r="AD10" s="2">
        <f t="shared" ref="AD10:AD41" si="7">SKEW(K10:V10)</f>
        <v>-0.24340788357818308</v>
      </c>
      <c r="AE10" s="2">
        <f t="shared" ref="AE10:AE41" si="8">KURT(K10:V10)</f>
        <v>-2.0285865862199204</v>
      </c>
    </row>
    <row r="11" spans="1:35" x14ac:dyDescent="0.2">
      <c r="B11" s="1">
        <f>[4]FormattedData!A26</f>
        <v>102</v>
      </c>
      <c r="C11" s="1" t="str">
        <f>VLOOKUP($B11,[4]TrtCodes!$B$11:I69,2)</f>
        <v>FTL</v>
      </c>
      <c r="D11" s="1">
        <f>VLOOKUP($B11,[4]TrtCodes!$B$11:J69,3)</f>
        <v>4</v>
      </c>
      <c r="E11" s="1">
        <f>VLOOKUP($B11,[4]TrtCodes!$B$11:K69,4)</f>
        <v>1</v>
      </c>
      <c r="F11" s="1">
        <f>VLOOKUP($B11,[4]TrtCodes!$B$11:L69,5)</f>
        <v>2</v>
      </c>
      <c r="G11" s="1">
        <f>VLOOKUP($B11,[4]TrtCodes!$B$11:M69,6)</f>
        <v>1</v>
      </c>
      <c r="H11" s="1">
        <f>VLOOKUP($B11,[4]TrtCodes!$B$11:N69,7)</f>
        <v>1</v>
      </c>
      <c r="I11" s="1">
        <f>[4]FormattedData!B26</f>
        <v>1</v>
      </c>
      <c r="J11" s="4">
        <f>[4]FormattedData!C26</f>
        <v>13.003</v>
      </c>
      <c r="K11" s="6">
        <f>$J$3+[4]FormattedData!D26*$J$4+$M$4*$J$5+[4]FormattedData!D26^2*$J$6+$M$5*$J$7</f>
        <v>51.198731394911015</v>
      </c>
      <c r="L11" s="6">
        <f>$J$3+[4]FormattedData!E26*$J$4+$M$4*$J$5+[4]FormattedData!E26^2*$J$6+$M$5*$J$7</f>
        <v>38.710465822086228</v>
      </c>
      <c r="M11" s="6">
        <f>$J$3+[4]FormattedData!F26*$J$4+$M$4*$J$5+[4]FormattedData!F26^2*$J$6+$M$5*$J$7</f>
        <v>49.79207063890864</v>
      </c>
      <c r="N11" s="6">
        <f>$J$3+[4]FormattedData!G26*$J$4+$M$4*$J$5+[4]FormattedData!G26^2*$J$6+$M$5*$J$7</f>
        <v>38.149237745316292</v>
      </c>
      <c r="O11" s="6">
        <f>$J$3+[4]FormattedData!H26*$J$4+$M$4*$J$5+[4]FormattedData!H26^2*$J$6+$M$5*$J$7</f>
        <v>49.88030395019328</v>
      </c>
      <c r="P11" s="6">
        <f>$J$3+[4]FormattedData!I26*$J$4+$M$4*$J$5+[4]FormattedData!I26^2*$J$6+$M$5*$J$7</f>
        <v>45.145692406838677</v>
      </c>
      <c r="Q11" s="6">
        <f>$J$3+[4]FormattedData!J26*$J$4+$M$4*$J$5+[4]FormattedData!J26^2*$J$6+$M$5*$J$7</f>
        <v>51.461275633330423</v>
      </c>
      <c r="R11" s="6">
        <f>$J$3+[4]FormattedData!K26*$J$4+$M$4*$J$5+[4]FormattedData!K26^2*$J$6+$M$5*$J$7</f>
        <v>38.89720369937276</v>
      </c>
      <c r="S11" s="6">
        <f>$J$3+[4]FormattedData!L26*$J$4+$M$4*$J$5+[4]FormattedData!L26^2*$J$6+$M$5*$J$7</f>
        <v>49.968494992939974</v>
      </c>
      <c r="T11" s="6">
        <f>$J$3+[4]FormattedData!M26*$J$4+$M$4*$J$5+[4]FormattedData!M26^2*$J$6+$M$5*$J$7</f>
        <v>40.106878719286918</v>
      </c>
      <c r="U11" s="6">
        <f>$J$3+[4]FormattedData!N26*$J$4+$M$4*$J$5+[4]FormattedData!N26^2*$J$6+$M$5*$J$7</f>
        <v>50.056643767148742</v>
      </c>
      <c r="V11" s="6">
        <f>$J$3+[4]FormattedData!O26*$J$4+$M$4*$J$5+[4]FormattedData!O26^2*$J$6+$M$5*$J$7</f>
        <v>36.833787970876074</v>
      </c>
      <c r="W11" s="5">
        <f t="shared" si="0"/>
        <v>45.01673222843408</v>
      </c>
      <c r="X11" s="4">
        <f t="shared" si="1"/>
        <v>1.7223840019565773</v>
      </c>
      <c r="Y11" s="3">
        <f t="shared" si="2"/>
        <v>36.833787970876074</v>
      </c>
      <c r="Z11" s="2">
        <f t="shared" si="3"/>
        <v>38.850519230051127</v>
      </c>
      <c r="AA11" s="3">
        <f t="shared" si="4"/>
        <v>47.468881522873659</v>
      </c>
      <c r="AB11" s="2">
        <f t="shared" si="5"/>
        <v>49.990532186492167</v>
      </c>
      <c r="AC11" s="2">
        <f t="shared" si="6"/>
        <v>51.461275633330423</v>
      </c>
      <c r="AD11" s="2">
        <f t="shared" si="7"/>
        <v>-0.25313071164657608</v>
      </c>
      <c r="AE11" s="2">
        <f t="shared" si="8"/>
        <v>-2.0706991318072383</v>
      </c>
    </row>
    <row r="12" spans="1:35" x14ac:dyDescent="0.2">
      <c r="B12" s="1">
        <f>[4]FormattedData!A24</f>
        <v>103</v>
      </c>
      <c r="C12" s="1" t="str">
        <f>VLOOKUP($B12,[4]TrtCodes!$B$11:I67,2)</f>
        <v>FDH</v>
      </c>
      <c r="D12" s="1">
        <f>VLOOKUP($B12,[4]TrtCodes!$B$11:J67,3)</f>
        <v>5</v>
      </c>
      <c r="E12" s="1">
        <f>VLOOKUP($B12,[4]TrtCodes!$B$11:K67,4)</f>
        <v>1</v>
      </c>
      <c r="F12" s="1">
        <f>VLOOKUP($B12,[4]TrtCodes!$B$11:L67,5)</f>
        <v>3</v>
      </c>
      <c r="G12" s="1">
        <f>VLOOKUP($B12,[4]TrtCodes!$B$11:M67,6)</f>
        <v>2</v>
      </c>
      <c r="H12" s="1">
        <f>VLOOKUP($B12,[4]TrtCodes!$B$11:N67,7)</f>
        <v>1</v>
      </c>
      <c r="I12" s="1">
        <f>[4]FormattedData!B24</f>
        <v>1</v>
      </c>
      <c r="J12" s="4">
        <f>[4]FormattedData!C24</f>
        <v>12.984999999999999</v>
      </c>
      <c r="K12" s="6">
        <f>$J$3+[4]FormattedData!D24*$J$4+$M$4*$J$5+[4]FormattedData!D24^2*$J$6+$M$5*$J$7</f>
        <v>50.23281450995249</v>
      </c>
      <c r="L12" s="6">
        <f>$J$3+[4]FormattedData!E24*$J$4+$M$4*$J$5+[4]FormattedData!E24^2*$J$6+$M$5*$J$7</f>
        <v>43.601893641165354</v>
      </c>
      <c r="M12" s="6">
        <f>$J$3+[4]FormattedData!F24*$J$4+$M$4*$J$5+[4]FormattedData!F24^2*$J$6+$M$5*$J$7</f>
        <v>41.124870442976608</v>
      </c>
      <c r="N12" s="6">
        <f>$J$3+[4]FormattedData!G24*$J$4+$M$4*$J$5+[4]FormattedData!G24^2*$J$6+$M$5*$J$7</f>
        <v>35.41518409126153</v>
      </c>
      <c r="O12" s="6">
        <f>$J$3+[4]FormattedData!H24*$J$4+$M$4*$J$5+[4]FormattedData!H24^2*$J$6+$M$5*$J$7</f>
        <v>44.057220157795442</v>
      </c>
      <c r="P12" s="6">
        <f>$J$3+[4]FormattedData!I24*$J$4+$M$4*$J$5+[4]FormattedData!I24^2*$J$6+$M$5*$J$7</f>
        <v>34.559456761396248</v>
      </c>
      <c r="Q12" s="6">
        <f>$J$3+[4]FormattedData!J24*$J$4+$M$4*$J$5+[4]FormattedData!J24^2*$J$6+$M$5*$J$7</f>
        <v>48.285637260766435</v>
      </c>
      <c r="R12" s="6">
        <f>$J$3+[4]FormattedData!K24*$J$4+$M$4*$J$5+[4]FormattedData!K24^2*$J$6+$M$5*$J$7</f>
        <v>35.604880766203244</v>
      </c>
      <c r="S12" s="6">
        <f>$J$3+[4]FormattedData!L24*$J$4+$M$4*$J$5+[4]FormattedData!L24^2*$J$6+$M$5*$J$7</f>
        <v>48.285637260766435</v>
      </c>
      <c r="T12" s="6">
        <f>$J$3+[4]FormattedData!M24*$J$4+$M$4*$J$5+[4]FormattedData!M24^2*$J$6+$M$5*$J$7</f>
        <v>35.225318342168102</v>
      </c>
      <c r="U12" s="6">
        <f>$J$3+[4]FormattedData!N24*$J$4+$M$4*$J$5+[4]FormattedData!N24^2*$J$6+$M$5*$J$7</f>
        <v>48.552366084441026</v>
      </c>
      <c r="V12" s="6">
        <f>$J$3+[4]FormattedData!O24*$J$4+$M$4*$J$5+[4]FormattedData!O24^2*$J$6+$M$5*$J$7</f>
        <v>35.320272350983785</v>
      </c>
      <c r="W12" s="5">
        <f t="shared" si="0"/>
        <v>41.688795972489714</v>
      </c>
      <c r="X12" s="4">
        <f t="shared" si="1"/>
        <v>1.7970244962277881</v>
      </c>
      <c r="Y12" s="3">
        <f t="shared" si="2"/>
        <v>34.559456761396248</v>
      </c>
      <c r="Z12" s="2">
        <f t="shared" si="3"/>
        <v>35.391456156192092</v>
      </c>
      <c r="AA12" s="3">
        <f t="shared" si="4"/>
        <v>42.363382042070981</v>
      </c>
      <c r="AB12" s="2">
        <f t="shared" si="5"/>
        <v>48.285637260766435</v>
      </c>
      <c r="AC12" s="2">
        <f t="shared" si="6"/>
        <v>50.23281450995249</v>
      </c>
      <c r="AD12" s="2">
        <f t="shared" si="7"/>
        <v>8.0736636073341056E-2</v>
      </c>
      <c r="AE12" s="2">
        <f t="shared" si="8"/>
        <v>-1.9059606234755408</v>
      </c>
    </row>
    <row r="13" spans="1:35" x14ac:dyDescent="0.2">
      <c r="B13" s="1">
        <f>[4]FormattedData!A22</f>
        <v>104</v>
      </c>
      <c r="C13" s="1" t="str">
        <f>VLOOKUP($B13,[4]TrtCodes!$B$11:I65,2)</f>
        <v>NTL</v>
      </c>
      <c r="D13" s="1">
        <f>VLOOKUP($B13,[4]TrtCodes!$B$11:J65,3)</f>
        <v>10</v>
      </c>
      <c r="E13" s="1">
        <f>VLOOKUP($B13,[4]TrtCodes!$B$11:K65,4)</f>
        <v>2</v>
      </c>
      <c r="F13" s="1">
        <f>VLOOKUP($B13,[4]TrtCodes!$B$11:L65,5)</f>
        <v>2</v>
      </c>
      <c r="G13" s="1">
        <f>VLOOKUP($B13,[4]TrtCodes!$B$11:M65,6)</f>
        <v>1</v>
      </c>
      <c r="H13" s="1">
        <f>VLOOKUP($B13,[4]TrtCodes!$B$11:N65,7)</f>
        <v>1</v>
      </c>
      <c r="I13" s="1">
        <f>[4]FormattedData!B22</f>
        <v>1</v>
      </c>
      <c r="J13" s="4">
        <f>[4]FormattedData!C22</f>
        <v>12.967000000000001</v>
      </c>
      <c r="K13" s="6">
        <f>$J$3+[4]FormattedData!D22*$J$4+$M$4*$J$5+[4]FormattedData!D22^2*$J$6+$M$5*$J$7</f>
        <v>50.672501667548055</v>
      </c>
      <c r="L13" s="6">
        <f>$J$3+[4]FormattedData!E22*$J$4+$M$4*$J$5+[4]FormattedData!E22^2*$J$6+$M$5*$J$7</f>
        <v>39.270172231490648</v>
      </c>
      <c r="M13" s="6">
        <f>$J$3+[4]FormattedData!F22*$J$4+$M$4*$J$5+[4]FormattedData!F22^2*$J$6+$M$5*$J$7</f>
        <v>49.527117093827158</v>
      </c>
      <c r="N13" s="6">
        <f>$J$3+[4]FormattedData!G22*$J$4+$M$4*$J$5+[4]FormattedData!G22^2*$J$6+$M$5*$J$7</f>
        <v>32.549445068928932</v>
      </c>
      <c r="O13" s="6">
        <f>$J$3+[4]FormattedData!H22*$J$4+$M$4*$J$5+[4]FormattedData!H22^2*$J$6+$M$5*$J$7</f>
        <v>48.552366084441026</v>
      </c>
      <c r="P13" s="6">
        <f>$J$3+[4]FormattedData!I22*$J$4+$M$4*$J$5+[4]FormattedData!I22^2*$J$6+$M$5*$J$7</f>
        <v>35.889108764581323</v>
      </c>
      <c r="Q13" s="6">
        <f>$J$3+[4]FormattedData!J22*$J$4+$M$4*$J$5+[4]FormattedData!J22^2*$J$6+$M$5*$J$7</f>
        <v>50.496753610123619</v>
      </c>
      <c r="R13" s="6">
        <f>$J$3+[4]FormattedData!K22*$J$4+$M$4*$J$5+[4]FormattedData!K22^2*$J$6+$M$5*$J$7</f>
        <v>34.845079621526061</v>
      </c>
      <c r="S13" s="6">
        <f>$J$3+[4]FormattedData!L22*$J$4+$M$4*$J$5+[4]FormattedData!L22^2*$J$6+$M$5*$J$7</f>
        <v>49.084682481266071</v>
      </c>
      <c r="T13" s="6">
        <f>$J$3+[4]FormattedData!M22*$J$4+$M$4*$J$5+[4]FormattedData!M22^2*$J$6+$M$5*$J$7</f>
        <v>34.368830178620058</v>
      </c>
      <c r="U13" s="6">
        <f>$J$3+[4]FormattedData!N22*$J$4+$M$4*$J$5+[4]FormattedData!N22^2*$J$6+$M$5*$J$7</f>
        <v>48.107606702293722</v>
      </c>
      <c r="V13" s="6">
        <f>$J$3+[4]FormattedData!O22*$J$4+$M$4*$J$5+[4]FormattedData!O22^2*$J$6+$M$5*$J$7</f>
        <v>34.940202704493458</v>
      </c>
      <c r="W13" s="5">
        <f t="shared" si="0"/>
        <v>42.358655517428339</v>
      </c>
      <c r="X13" s="4">
        <f t="shared" si="1"/>
        <v>2.1782784355066118</v>
      </c>
      <c r="Y13" s="3">
        <f t="shared" si="2"/>
        <v>32.549445068928932</v>
      </c>
      <c r="Z13" s="2">
        <f t="shared" si="3"/>
        <v>34.916421933751607</v>
      </c>
      <c r="AA13" s="3">
        <f t="shared" si="4"/>
        <v>43.688889466892185</v>
      </c>
      <c r="AB13" s="2">
        <f t="shared" si="5"/>
        <v>49.195291134406347</v>
      </c>
      <c r="AC13" s="2">
        <f t="shared" si="6"/>
        <v>50.672501667548055</v>
      </c>
      <c r="AD13" s="2">
        <f t="shared" si="7"/>
        <v>-9.4628982368583928E-2</v>
      </c>
      <c r="AE13" s="2">
        <f t="shared" si="8"/>
        <v>-2.1957485867718347</v>
      </c>
    </row>
    <row r="14" spans="1:35" x14ac:dyDescent="0.2">
      <c r="B14" s="1">
        <f>[4]FormattedData!A20</f>
        <v>105</v>
      </c>
      <c r="C14" s="1" t="str">
        <f>VLOOKUP($B14,[4]TrtCodes!$B$11:I63,2)</f>
        <v>NDL</v>
      </c>
      <c r="D14" s="1">
        <f>VLOOKUP($B14,[4]TrtCodes!$B$11:J63,3)</f>
        <v>12</v>
      </c>
      <c r="E14" s="1">
        <f>VLOOKUP($B14,[4]TrtCodes!$B$11:K63,4)</f>
        <v>2</v>
      </c>
      <c r="F14" s="1">
        <f>VLOOKUP($B14,[4]TrtCodes!$B$11:L63,5)</f>
        <v>3</v>
      </c>
      <c r="G14" s="1">
        <f>VLOOKUP($B14,[4]TrtCodes!$B$11:M63,6)</f>
        <v>1</v>
      </c>
      <c r="H14" s="1">
        <f>VLOOKUP($B14,[4]TrtCodes!$B$11:N63,7)</f>
        <v>2</v>
      </c>
      <c r="I14" s="1">
        <f>[4]FormattedData!B20</f>
        <v>1</v>
      </c>
      <c r="J14" s="4">
        <f>[4]FormattedData!C20</f>
        <v>12.948</v>
      </c>
      <c r="K14" s="6">
        <f>$J$3+[4]FormattedData!D20*$J$4+$M$4*$J$5+[4]FormattedData!D20^2*$J$6+$M$5*$J$7</f>
        <v>38.43004199212195</v>
      </c>
      <c r="L14" s="6">
        <f>$J$3+[4]FormattedData!E20*$J$4+$M$4*$J$5+[4]FormattedData!E20^2*$J$6+$M$5*$J$7</f>
        <v>31.682305233822234</v>
      </c>
      <c r="M14" s="6">
        <f>$J$3+[4]FormattedData!F20*$J$4+$M$4*$J$5+[4]FormattedData!F20^2*$J$6+$M$5*$J$7</f>
        <v>40.01408040590573</v>
      </c>
      <c r="N14" s="6">
        <f>$J$3+[4]FormattedData!G20*$J$4+$M$4*$J$5+[4]FormattedData!G20^2*$J$6+$M$5*$J$7</f>
        <v>29.158002414310896</v>
      </c>
      <c r="O14" s="6">
        <f>$J$3+[4]FormattedData!H20*$J$4+$M$4*$J$5+[4]FormattedData!H20^2*$J$6+$M$5*$J$7</f>
        <v>43.145510411086981</v>
      </c>
      <c r="P14" s="6">
        <f>$J$3+[4]FormattedData!I20*$J$4+$M$4*$J$5+[4]FormattedData!I20^2*$J$6+$M$5*$J$7</f>
        <v>30.229463838483468</v>
      </c>
      <c r="Q14" s="6">
        <f>$J$3+[4]FormattedData!J20*$J$4+$M$4*$J$5+[4]FormattedData!J20^2*$J$6+$M$5*$J$7</f>
        <v>43.328190508732121</v>
      </c>
      <c r="R14" s="6">
        <f>$J$3+[4]FormattedData!K20*$J$4+$M$4*$J$5+[4]FormattedData!K20^2*$J$6+$M$5*$J$7</f>
        <v>30.908640008703632</v>
      </c>
      <c r="S14" s="6">
        <f>$J$3+[4]FormattedData!L20*$J$4+$M$4*$J$5+[4]FormattedData!L20^2*$J$6+$M$5*$J$7</f>
        <v>45.145692406838677</v>
      </c>
      <c r="T14" s="6">
        <f>$J$3+[4]FormattedData!M20*$J$4+$M$4*$J$5+[4]FormattedData!M20^2*$J$6+$M$5*$J$7</f>
        <v>35.41518409126153</v>
      </c>
      <c r="U14" s="6">
        <f>$J$3+[4]FormattedData!N20*$J$4+$M$4*$J$5+[4]FormattedData!N20^2*$J$6+$M$5*$J$7</f>
        <v>45.507163896639298</v>
      </c>
      <c r="V14" s="6">
        <f>$J$3+[4]FormattedData!O20*$J$4+$M$4*$J$5+[4]FormattedData!O20^2*$J$6+$M$5*$J$7</f>
        <v>32.837730846948403</v>
      </c>
      <c r="W14" s="5">
        <f t="shared" si="0"/>
        <v>37.150167171237911</v>
      </c>
      <c r="X14" s="4">
        <f t="shared" si="1"/>
        <v>1.7836638546112813</v>
      </c>
      <c r="Y14" s="3">
        <f t="shared" si="2"/>
        <v>29.158002414310896</v>
      </c>
      <c r="Z14" s="2">
        <f t="shared" si="3"/>
        <v>31.488888927542583</v>
      </c>
      <c r="AA14" s="3">
        <f t="shared" si="4"/>
        <v>36.92261304169174</v>
      </c>
      <c r="AB14" s="2">
        <f t="shared" si="5"/>
        <v>43.191180435498268</v>
      </c>
      <c r="AC14" s="2">
        <f t="shared" si="6"/>
        <v>45.507163896639298</v>
      </c>
      <c r="AD14" s="2">
        <f t="shared" si="7"/>
        <v>0.10990789358319857</v>
      </c>
      <c r="AE14" s="2">
        <f t="shared" si="8"/>
        <v>-1.7712437667553091</v>
      </c>
    </row>
    <row r="15" spans="1:35" x14ac:dyDescent="0.2">
      <c r="B15" s="1">
        <f>[4]FormattedData!A18</f>
        <v>106</v>
      </c>
      <c r="C15" s="1" t="str">
        <f>VLOOKUP($B15,[4]TrtCodes!$B$11:I61,2)</f>
        <v>NTH</v>
      </c>
      <c r="D15" s="1">
        <f>VLOOKUP($B15,[4]TrtCodes!$B$11:J61,3)</f>
        <v>9</v>
      </c>
      <c r="E15" s="1">
        <f>VLOOKUP($B15,[4]TrtCodes!$B$11:K61,4)</f>
        <v>2</v>
      </c>
      <c r="F15" s="1">
        <f>VLOOKUP($B15,[4]TrtCodes!$B$11:L61,5)</f>
        <v>2</v>
      </c>
      <c r="G15" s="1">
        <f>VLOOKUP($B15,[4]TrtCodes!$B$11:M61,6)</f>
        <v>2</v>
      </c>
      <c r="H15" s="1">
        <f>VLOOKUP($B15,[4]TrtCodes!$B$11:N61,7)</f>
        <v>2</v>
      </c>
      <c r="I15" s="1">
        <f>[4]FormattedData!B18</f>
        <v>1</v>
      </c>
      <c r="J15" s="4">
        <f>[4]FormattedData!C18</f>
        <v>12.929</v>
      </c>
      <c r="K15" s="6">
        <f>$J$3+[4]FormattedData!D18*$J$4+$M$4*$J$5+[4]FormattedData!D18^2*$J$6+$M$5*$J$7</f>
        <v>49.703795059086076</v>
      </c>
      <c r="L15" s="6">
        <f>$J$3+[4]FormattedData!E18*$J$4+$M$4*$J$5+[4]FormattedData!E18^2*$J$6+$M$5*$J$7</f>
        <v>36.833787970876074</v>
      </c>
      <c r="M15" s="6">
        <f>$J$3+[4]FormattedData!F18*$J$4+$M$4*$J$5+[4]FormattedData!F18^2*$J$6+$M$5*$J$7</f>
        <v>47.393793726885612</v>
      </c>
      <c r="N15" s="6">
        <f>$J$3+[4]FormattedData!G18*$J$4+$M$4*$J$5+[4]FormattedData!G18^2*$J$6+$M$5*$J$7</f>
        <v>35.320272350983785</v>
      </c>
      <c r="O15" s="6">
        <f>$J$3+[4]FormattedData!H18*$J$4+$M$4*$J$5+[4]FormattedData!H18^2*$J$6+$M$5*$J$7</f>
        <v>49.615477210725587</v>
      </c>
      <c r="P15" s="6">
        <f>$J$3+[4]FormattedData!I18*$J$4+$M$4*$J$5+[4]FormattedData!I18^2*$J$6+$M$5*$J$7</f>
        <v>36.739510258667295</v>
      </c>
      <c r="Q15" s="6">
        <f>$J$3+[4]FormattedData!J18*$J$4+$M$4*$J$5+[4]FormattedData!J18^2*$J$6+$M$5*$J$7</f>
        <v>47.035872794271214</v>
      </c>
      <c r="R15" s="6">
        <f>$J$3+[4]FormattedData!K18*$J$4+$M$4*$J$5+[4]FormattedData!K18^2*$J$6+$M$5*$J$7</f>
        <v>37.680385296548238</v>
      </c>
      <c r="S15" s="6">
        <f>$J$3+[4]FormattedData!L18*$J$4+$M$4*$J$5+[4]FormattedData!L18^2*$J$6+$M$5*$J$7</f>
        <v>46.587520586399762</v>
      </c>
      <c r="T15" s="6">
        <f>$J$3+[4]FormattedData!M18*$J$4+$M$4*$J$5+[4]FormattedData!M18^2*$J$6+$M$5*$J$7</f>
        <v>37.868053081669245</v>
      </c>
      <c r="U15" s="6">
        <f>$J$3+[4]FormattedData!N18*$J$4+$M$4*$J$5+[4]FormattedData!N18^2*$J$6+$M$5*$J$7</f>
        <v>48.107606702293722</v>
      </c>
      <c r="V15" s="6">
        <f>$J$3+[4]FormattedData!O18*$J$4+$M$4*$J$5+[4]FormattedData!O18^2*$J$6+$M$5*$J$7</f>
        <v>39.456402886322003</v>
      </c>
      <c r="W15" s="5">
        <f t="shared" si="0"/>
        <v>42.69520649372739</v>
      </c>
      <c r="X15" s="4">
        <f t="shared" si="1"/>
        <v>1.6640782330497033</v>
      </c>
      <c r="Y15" s="3">
        <f t="shared" si="2"/>
        <v>35.320272350983785</v>
      </c>
      <c r="Z15" s="2">
        <f t="shared" si="3"/>
        <v>37.468735965130193</v>
      </c>
      <c r="AA15" s="3">
        <f t="shared" si="4"/>
        <v>43.021961736360879</v>
      </c>
      <c r="AB15" s="2">
        <f t="shared" si="5"/>
        <v>47.572246970737638</v>
      </c>
      <c r="AC15" s="2">
        <f t="shared" si="6"/>
        <v>49.703795059086076</v>
      </c>
      <c r="AD15" s="2">
        <f t="shared" si="7"/>
        <v>-4.3310912753850789E-3</v>
      </c>
      <c r="AE15" s="2">
        <f t="shared" si="8"/>
        <v>-2.1327507598990199</v>
      </c>
    </row>
    <row r="16" spans="1:35" x14ac:dyDescent="0.2">
      <c r="B16" s="1">
        <f>[4]FormattedData!A16</f>
        <v>107</v>
      </c>
      <c r="C16" s="1" t="str">
        <f>VLOOKUP($B16,[4]TrtCodes!$B$11:I59,2)</f>
        <v>NTL</v>
      </c>
      <c r="D16" s="1">
        <f>VLOOKUP($B16,[4]TrtCodes!$B$11:J59,3)</f>
        <v>10</v>
      </c>
      <c r="E16" s="1">
        <f>VLOOKUP($B16,[4]TrtCodes!$B$11:K59,4)</f>
        <v>2</v>
      </c>
      <c r="F16" s="1">
        <f>VLOOKUP($B16,[4]TrtCodes!$B$11:L59,5)</f>
        <v>2</v>
      </c>
      <c r="G16" s="1">
        <f>VLOOKUP($B16,[4]TrtCodes!$B$11:M59,6)</f>
        <v>1</v>
      </c>
      <c r="H16" s="1">
        <f>VLOOKUP($B16,[4]TrtCodes!$B$11:N59,7)</f>
        <v>2</v>
      </c>
      <c r="I16" s="1">
        <f>[4]FormattedData!B16</f>
        <v>1</v>
      </c>
      <c r="J16" s="4">
        <f>[4]FormattedData!C16</f>
        <v>12.911</v>
      </c>
      <c r="K16" s="6">
        <f>$J$3+[4]FormattedData!D16*$J$4+$M$4*$J$5+[4]FormattedData!D16^2*$J$6+$M$5*$J$7</f>
        <v>51.198731394911015</v>
      </c>
      <c r="L16" s="6">
        <f>$J$3+[4]FormattedData!E16*$J$4+$M$4*$J$5+[4]FormattedData!E16^2*$J$6+$M$5*$J$7</f>
        <v>45.145692406838677</v>
      </c>
      <c r="M16" s="6">
        <f>$J$3+[4]FormattedData!F16*$J$4+$M$4*$J$5+[4]FormattedData!F16^2*$J$6+$M$5*$J$7</f>
        <v>49.88030395019328</v>
      </c>
      <c r="N16" s="6">
        <f>$J$3+[4]FormattedData!G16*$J$4+$M$4*$J$5+[4]FormattedData!G16^2*$J$6+$M$5*$J$7</f>
        <v>35.889108764581323</v>
      </c>
      <c r="O16" s="6">
        <f>$J$3+[4]FormattedData!H16*$J$4+$M$4*$J$5+[4]FormattedData!H16^2*$J$6+$M$5*$J$7</f>
        <v>45.958052216786626</v>
      </c>
      <c r="P16" s="6">
        <f>$J$3+[4]FormattedData!I16*$J$4+$M$4*$J$5+[4]FormattedData!I16^2*$J$6+$M$5*$J$7</f>
        <v>38.242881429456105</v>
      </c>
      <c r="Q16" s="6">
        <f>$J$3+[4]FormattedData!J16*$J$4+$M$4*$J$5+[4]FormattedData!J16^2*$J$6+$M$5*$J$7</f>
        <v>50.32083647854747</v>
      </c>
      <c r="R16" s="6">
        <f>$J$3+[4]FormattedData!K16*$J$4+$M$4*$J$5+[4]FormattedData!K16^2*$J$6+$M$5*$J$7</f>
        <v>34.559456761396248</v>
      </c>
      <c r="S16" s="6">
        <f>$J$3+[4]FormattedData!L16*$J$4+$M$4*$J$5+[4]FormattedData!L16^2*$J$6+$M$5*$J$7</f>
        <v>50.144750272819579</v>
      </c>
      <c r="T16" s="6">
        <f>$J$3+[4]FormattedData!M16*$J$4+$M$4*$J$5+[4]FormattedData!M16^2*$J$6+$M$5*$J$7</f>
        <v>35.889108764581323</v>
      </c>
      <c r="U16" s="6">
        <f>$J$3+[4]FormattedData!N16*$J$4+$M$4*$J$5+[4]FormattedData!N16^2*$J$6+$M$5*$J$7</f>
        <v>49.173253940854146</v>
      </c>
      <c r="V16" s="6">
        <f>$J$3+[4]FormattedData!O16*$J$4+$M$4*$J$5+[4]FormattedData!O16^2*$J$6+$M$5*$J$7</f>
        <v>33.413161152463204</v>
      </c>
      <c r="W16" s="5">
        <f t="shared" si="0"/>
        <v>43.317944794452409</v>
      </c>
      <c r="X16" s="4">
        <f t="shared" si="1"/>
        <v>2.0530094745487673</v>
      </c>
      <c r="Y16" s="3">
        <f t="shared" si="2"/>
        <v>33.413161152463204</v>
      </c>
      <c r="Z16" s="2">
        <f t="shared" si="3"/>
        <v>35.889108764581323</v>
      </c>
      <c r="AA16" s="3">
        <f t="shared" si="4"/>
        <v>45.551872311812652</v>
      </c>
      <c r="AB16" s="2">
        <f t="shared" si="5"/>
        <v>49.946415530849855</v>
      </c>
      <c r="AC16" s="2">
        <f t="shared" si="6"/>
        <v>51.198731394911015</v>
      </c>
      <c r="AD16" s="2">
        <f t="shared" si="7"/>
        <v>-0.2836737849842062</v>
      </c>
      <c r="AE16" s="2">
        <f t="shared" si="8"/>
        <v>-1.9520846328152897</v>
      </c>
    </row>
    <row r="17" spans="2:31" x14ac:dyDescent="0.2">
      <c r="B17" s="1">
        <f>[4]FormattedData!A14</f>
        <v>108</v>
      </c>
      <c r="C17" s="1" t="str">
        <f>VLOOKUP($B17,[4]TrtCodes!$B$11:I57,2)</f>
        <v>FTH</v>
      </c>
      <c r="D17" s="1">
        <f>VLOOKUP($B17,[4]TrtCodes!$B$11:J57,3)</f>
        <v>3</v>
      </c>
      <c r="E17" s="1">
        <f>VLOOKUP($B17,[4]TrtCodes!$B$11:K57,4)</f>
        <v>1</v>
      </c>
      <c r="F17" s="1">
        <f>VLOOKUP($B17,[4]TrtCodes!$B$11:L57,5)</f>
        <v>2</v>
      </c>
      <c r="G17" s="1">
        <f>VLOOKUP($B17,[4]TrtCodes!$B$11:M57,6)</f>
        <v>2</v>
      </c>
      <c r="H17" s="1">
        <f>VLOOKUP($B17,[4]TrtCodes!$B$11:N57,7)</f>
        <v>2</v>
      </c>
      <c r="I17" s="1">
        <f>[4]FormattedData!B14</f>
        <v>1</v>
      </c>
      <c r="J17" s="4">
        <f>[4]FormattedData!C14</f>
        <v>12.895</v>
      </c>
      <c r="K17" s="6">
        <f>$J$3+[4]FormattedData!D14*$J$4+$M$4*$J$5+[4]FormattedData!D14^2*$J$6+$M$5*$J$7</f>
        <v>49.79207063890864</v>
      </c>
      <c r="L17" s="6">
        <f>$J$3+[4]FormattedData!E14*$J$4+$M$4*$J$5+[4]FormattedData!E14^2*$J$6+$M$5*$J$7</f>
        <v>35.889108764581323</v>
      </c>
      <c r="M17" s="6">
        <f>$J$3+[4]FormattedData!F14*$J$4+$M$4*$J$5+[4]FormattedData!F14^2*$J$6+$M$5*$J$7</f>
        <v>50.760312293453381</v>
      </c>
      <c r="N17" s="6">
        <f>$J$3+[4]FormattedData!G14*$J$4+$M$4*$J$5+[4]FormattedData!G14^2*$J$6+$M$5*$J$7</f>
        <v>35.794408366993231</v>
      </c>
      <c r="O17" s="6">
        <f>$J$3+[4]FormattedData!H14*$J$4+$M$4*$J$5+[4]FormattedData!H14^2*$J$6+$M$5*$J$7</f>
        <v>50.760312293453381</v>
      </c>
      <c r="P17" s="6">
        <f>$J$3+[4]FormattedData!I14*$J$4+$M$4*$J$5+[4]FormattedData!I14^2*$J$6+$M$5*$J$7</f>
        <v>36.739510258667295</v>
      </c>
      <c r="Q17" s="6">
        <f>$J$3+[4]FormattedData!J14*$J$4+$M$4*$J$5+[4]FormattedData!J14^2*$J$6+$M$5*$J$7</f>
        <v>50.848080650820769</v>
      </c>
      <c r="R17" s="6">
        <f>$J$3+[4]FormattedData!K14*$J$4+$M$4*$J$5+[4]FormattedData!K14^2*$J$6+$M$5*$J$7</f>
        <v>33.508918263499574</v>
      </c>
      <c r="S17" s="6">
        <f>$J$3+[4]FormattedData!L14*$J$4+$M$4*$J$5+[4]FormattedData!L14^2*$J$6+$M$5*$J$7</f>
        <v>49.084682481266071</v>
      </c>
      <c r="T17" s="6">
        <f>$J$3+[4]FormattedData!M14*$J$4+$M$4*$J$5+[4]FormattedData!M14^2*$J$6+$M$5*$J$7</f>
        <v>34.749914270020717</v>
      </c>
      <c r="U17" s="6">
        <f>$J$3+[4]FormattedData!N14*$J$4+$M$4*$J$5+[4]FormattedData!N14^2*$J$6+$M$5*$J$7</f>
        <v>49.703795059086076</v>
      </c>
      <c r="V17" s="6">
        <f>$J$3+[4]FormattedData!O14*$J$4+$M$4*$J$5+[4]FormattedData!O14^2*$J$6+$M$5*$J$7</f>
        <v>34.464164604277109</v>
      </c>
      <c r="W17" s="5">
        <f t="shared" si="0"/>
        <v>42.674606495418963</v>
      </c>
      <c r="X17" s="4">
        <f t="shared" si="1"/>
        <v>2.2722756496191692</v>
      </c>
      <c r="Y17" s="3">
        <f t="shared" si="2"/>
        <v>33.508918263499574</v>
      </c>
      <c r="Z17" s="2">
        <f t="shared" si="3"/>
        <v>35.533284842750106</v>
      </c>
      <c r="AA17" s="3">
        <f t="shared" si="4"/>
        <v>42.912096369966683</v>
      </c>
      <c r="AB17" s="2">
        <f t="shared" si="5"/>
        <v>50.034131052544822</v>
      </c>
      <c r="AC17" s="2">
        <f t="shared" si="6"/>
        <v>50.848080650820769</v>
      </c>
      <c r="AD17" s="2">
        <f t="shared" si="7"/>
        <v>-2.0979308743186417E-2</v>
      </c>
      <c r="AE17" s="2">
        <f t="shared" si="8"/>
        <v>-2.3563498084051053</v>
      </c>
    </row>
    <row r="18" spans="2:31" x14ac:dyDescent="0.2">
      <c r="B18" s="1">
        <f>[4]FormattedData!A30</f>
        <v>201</v>
      </c>
      <c r="C18" s="1" t="str">
        <f>VLOOKUP($B18,[4]TrtCodes!$B$11:I73,2)</f>
        <v>NDL</v>
      </c>
      <c r="D18" s="1">
        <f>VLOOKUP($B18,[4]TrtCodes!$B$11:J73,3)</f>
        <v>12</v>
      </c>
      <c r="E18" s="1">
        <f>VLOOKUP($B18,[4]TrtCodes!$B$11:K73,4)</f>
        <v>2</v>
      </c>
      <c r="F18" s="1">
        <f>VLOOKUP($B18,[4]TrtCodes!$B$11:L73,5)</f>
        <v>3</v>
      </c>
      <c r="G18" s="1">
        <f>VLOOKUP($B18,[4]TrtCodes!$B$11:M73,6)</f>
        <v>1</v>
      </c>
      <c r="H18" s="1">
        <f>VLOOKUP($B18,[4]TrtCodes!$B$11:N73,7)</f>
        <v>1</v>
      </c>
      <c r="I18" s="1">
        <f>[4]FormattedData!B30</f>
        <v>1</v>
      </c>
      <c r="J18" s="4">
        <f>[4]FormattedData!C30</f>
        <v>13.042</v>
      </c>
      <c r="K18" s="6">
        <f>$J$3+[4]FormattedData!D30*$J$4+$M$4*$J$5+[4]FormattedData!D30^2*$J$6+$M$5*$J$7</f>
        <v>48.374589137195898</v>
      </c>
      <c r="L18" s="6">
        <f>$J$3+[4]FormattedData!E30*$J$4+$M$4*$J$5+[4]FormattedData!E30^2*$J$6+$M$5*$J$7</f>
        <v>35.225318342168102</v>
      </c>
      <c r="M18" s="6">
        <f>$J$3+[4]FormattedData!F30*$J$4+$M$4*$J$5+[4]FormattedData!F30^2*$J$6+$M$5*$J$7</f>
        <v>44.692902002484459</v>
      </c>
      <c r="N18" s="6">
        <f>$J$3+[4]FormattedData!G30*$J$4+$M$4*$J$5+[4]FormattedData!G30^2*$J$6+$M$5*$J$7</f>
        <v>31.971732262365851</v>
      </c>
      <c r="O18" s="6">
        <f>$J$3+[4]FormattedData!H30*$J$4+$M$4*$J$5+[4]FormattedData!H30^2*$J$6+$M$5*$J$7</f>
        <v>45.326512688814852</v>
      </c>
      <c r="P18" s="6">
        <f>$J$3+[4]FormattedData!I30*$J$4+$M$4*$J$5+[4]FormattedData!I30^2*$J$6+$M$5*$J$7</f>
        <v>30.908640008703632</v>
      </c>
      <c r="Q18" s="6">
        <f>$J$3+[4]FormattedData!J30*$J$4+$M$4*$J$5+[4]FormattedData!J30^2*$J$6+$M$5*$J$7</f>
        <v>45.777823694341485</v>
      </c>
      <c r="R18" s="6">
        <f>$J$3+[4]FormattedData!K30*$J$4+$M$4*$J$5+[4]FormattedData!K30^2*$J$6+$M$5*$J$7</f>
        <v>31.392497788437243</v>
      </c>
      <c r="S18" s="6">
        <f>$J$3+[4]FormattedData!L30*$J$4+$M$4*$J$5+[4]FormattedData!L30^2*$J$6+$M$5*$J$7</f>
        <v>45.236123682095737</v>
      </c>
      <c r="T18" s="6">
        <f>$J$3+[4]FormattedData!M30*$J$4+$M$4*$J$5+[4]FormattedData!M30^2*$J$6+$M$5*$J$7</f>
        <v>32.26077887406808</v>
      </c>
      <c r="U18" s="6">
        <f>$J$3+[4]FormattedData!N30*$J$4+$M$4*$J$5+[4]FormattedData!N30^2*$J$6+$M$5*$J$7</f>
        <v>42.321357679056256</v>
      </c>
      <c r="V18" s="6">
        <f>$J$3+[4]FormattedData!O30*$J$4+$M$4*$J$5+[4]FormattedData!O30^2*$J$6+$M$5*$J$7</f>
        <v>31.58574502056517</v>
      </c>
      <c r="W18" s="5">
        <f t="shared" si="0"/>
        <v>38.7561684316914</v>
      </c>
      <c r="X18" s="4">
        <f t="shared" si="1"/>
        <v>2.027911607964036</v>
      </c>
      <c r="Y18" s="3">
        <f t="shared" si="2"/>
        <v>30.908640008703632</v>
      </c>
      <c r="Z18" s="2">
        <f t="shared" si="3"/>
        <v>31.875235451915682</v>
      </c>
      <c r="AA18" s="3">
        <f t="shared" si="4"/>
        <v>38.773338010612179</v>
      </c>
      <c r="AB18" s="2">
        <f t="shared" si="5"/>
        <v>45.258720933775514</v>
      </c>
      <c r="AC18" s="2">
        <f t="shared" si="6"/>
        <v>48.374589137195898</v>
      </c>
      <c r="AD18" s="2">
        <f t="shared" si="7"/>
        <v>5.1842613988616039E-2</v>
      </c>
      <c r="AE18" s="2">
        <f t="shared" si="8"/>
        <v>-2.127769270564964</v>
      </c>
    </row>
    <row r="19" spans="2:31" x14ac:dyDescent="0.2">
      <c r="B19" s="1">
        <f>[4]FormattedData!A32</f>
        <v>202</v>
      </c>
      <c r="C19" s="1" t="str">
        <f>VLOOKUP($B19,[4]TrtCodes!$B$11:I75,2)</f>
        <v>NTH</v>
      </c>
      <c r="D19" s="1">
        <f>VLOOKUP($B19,[4]TrtCodes!$B$11:J75,3)</f>
        <v>9</v>
      </c>
      <c r="E19" s="1">
        <f>VLOOKUP($B19,[4]TrtCodes!$B$11:K75,4)</f>
        <v>2</v>
      </c>
      <c r="F19" s="1">
        <f>VLOOKUP($B19,[4]TrtCodes!$B$11:L75,5)</f>
        <v>2</v>
      </c>
      <c r="G19" s="1">
        <f>VLOOKUP($B19,[4]TrtCodes!$B$11:M75,6)</f>
        <v>2</v>
      </c>
      <c r="H19" s="1">
        <f>VLOOKUP($B19,[4]TrtCodes!$B$11:N75,7)</f>
        <v>1</v>
      </c>
      <c r="I19" s="1">
        <f>[4]FormattedData!B32</f>
        <v>1</v>
      </c>
      <c r="J19" s="4">
        <f>[4]FormattedData!C32</f>
        <v>13.057</v>
      </c>
      <c r="K19" s="6">
        <f>$J$3+[4]FormattedData!D32*$J$4+$M$4*$J$5+[4]FormattedData!D32^2*$J$6+$M$5*$J$7</f>
        <v>45.145692406838677</v>
      </c>
      <c r="L19" s="6">
        <f>$J$3+[4]FormattedData!E32*$J$4+$M$4*$J$5+[4]FormattedData!E32^2*$J$6+$M$5*$J$7</f>
        <v>41.5859032122274</v>
      </c>
      <c r="M19" s="6">
        <f>$J$3+[4]FormattedData!F32*$J$4+$M$4*$J$5+[4]FormattedData!F32^2*$J$6+$M$5*$J$7</f>
        <v>49.084682481266071</v>
      </c>
      <c r="N19" s="6">
        <f>$J$3+[4]FormattedData!G32*$J$4+$M$4*$J$5+[4]FormattedData!G32^2*$J$6+$M$5*$J$7</f>
        <v>34.940202704493458</v>
      </c>
      <c r="O19" s="6">
        <f>$J$3+[4]FormattedData!H32*$J$4+$M$4*$J$5+[4]FormattedData!H32^2*$J$6+$M$5*$J$7</f>
        <v>50.760312293453381</v>
      </c>
      <c r="P19" s="6">
        <f>$J$3+[4]FormattedData!I32*$J$4+$M$4*$J$5+[4]FormattedData!I32^2*$J$6+$M$5*$J$7</f>
        <v>35.035283518922938</v>
      </c>
      <c r="Q19" s="6">
        <f>$J$3+[4]FormattedData!J32*$J$4+$M$4*$J$5+[4]FormattedData!J32^2*$J$6+$M$5*$J$7</f>
        <v>51.023490559941756</v>
      </c>
      <c r="R19" s="6">
        <f>$J$3+[4]FormattedData!K32*$J$4+$M$4*$J$5+[4]FormattedData!K32^2*$J$6+$M$5*$J$7</f>
        <v>40.385020048202918</v>
      </c>
      <c r="S19" s="6">
        <f>$J$3+[4]FormattedData!L32*$J$4+$M$4*$J$5+[4]FormattedData!L32^2*$J$6+$M$5*$J$7</f>
        <v>48.107606702293722</v>
      </c>
      <c r="T19" s="6">
        <f>$J$3+[4]FormattedData!M32*$J$4+$M$4*$J$5+[4]FormattedData!M32^2*$J$6+$M$5*$J$7</f>
        <v>36.36197672445283</v>
      </c>
      <c r="U19" s="6">
        <f>$J$3+[4]FormattedData!N32*$J$4+$M$4*$J$5+[4]FormattedData!N32^2*$J$6+$M$5*$J$7</f>
        <v>50.056643767148742</v>
      </c>
      <c r="V19" s="6">
        <f>$J$3+[4]FormattedData!O32*$J$4+$M$4*$J$5+[4]FormattedData!O32^2*$J$6+$M$5*$J$7</f>
        <v>36.64519027792057</v>
      </c>
      <c r="W19" s="5">
        <f t="shared" si="0"/>
        <v>43.261000391430201</v>
      </c>
      <c r="X19" s="4">
        <f t="shared" si="1"/>
        <v>1.8728005444012248</v>
      </c>
      <c r="Y19" s="3">
        <f t="shared" si="2"/>
        <v>34.940202704493458</v>
      </c>
      <c r="Z19" s="2">
        <f t="shared" si="3"/>
        <v>36.574386889553637</v>
      </c>
      <c r="AA19" s="3">
        <f t="shared" si="4"/>
        <v>43.365797809533035</v>
      </c>
      <c r="AB19" s="2">
        <f t="shared" si="5"/>
        <v>49.327672802736743</v>
      </c>
      <c r="AC19" s="2">
        <f t="shared" si="6"/>
        <v>51.023490559941756</v>
      </c>
      <c r="AD19" s="2">
        <f t="shared" si="7"/>
        <v>-0.10296359424932906</v>
      </c>
      <c r="AE19" s="2">
        <f t="shared" si="8"/>
        <v>-1.8744231465443297</v>
      </c>
    </row>
    <row r="20" spans="2:31" x14ac:dyDescent="0.2">
      <c r="B20" s="1">
        <f>[4]FormattedData!A34</f>
        <v>203</v>
      </c>
      <c r="C20" s="1" t="str">
        <f>VLOOKUP($B20,[4]TrtCodes!$B$11:I77,2)</f>
        <v>FTH</v>
      </c>
      <c r="D20" s="1">
        <f>VLOOKUP($B20,[4]TrtCodes!$B$11:J77,3)</f>
        <v>3</v>
      </c>
      <c r="E20" s="1">
        <f>VLOOKUP($B20,[4]TrtCodes!$B$11:K77,4)</f>
        <v>1</v>
      </c>
      <c r="F20" s="1">
        <f>VLOOKUP($B20,[4]TrtCodes!$B$11:L77,5)</f>
        <v>2</v>
      </c>
      <c r="G20" s="1">
        <f>VLOOKUP($B20,[4]TrtCodes!$B$11:M77,6)</f>
        <v>2</v>
      </c>
      <c r="H20" s="1">
        <f>VLOOKUP($B20,[4]TrtCodes!$B$11:N77,7)</f>
        <v>1</v>
      </c>
      <c r="I20" s="1">
        <f>[4]FormattedData!B34</f>
        <v>1</v>
      </c>
      <c r="J20" s="4">
        <f>[4]FormattedData!C34</f>
        <v>13.073</v>
      </c>
      <c r="K20" s="6">
        <f>$J$3+[4]FormattedData!D34*$J$4+$M$4*$J$5+[4]FormattedData!D34^2*$J$6+$M$5*$J$7</f>
        <v>45.777823694341485</v>
      </c>
      <c r="L20" s="6">
        <f>$J$3+[4]FormattedData!E34*$J$4+$M$4*$J$5+[4]FormattedData!E34^2*$J$6+$M$5*$J$7</f>
        <v>43.236871594178517</v>
      </c>
      <c r="M20" s="6">
        <f>$J$3+[4]FormattedData!F34*$J$4+$M$4*$J$5+[4]FormattedData!F34^2*$J$6+$M$5*$J$7</f>
        <v>49.88030395019328</v>
      </c>
      <c r="N20" s="6">
        <f>$J$3+[4]FormattedData!G34*$J$4+$M$4*$J$5+[4]FormattedData!G34^2*$J$6+$M$5*$J$7</f>
        <v>35.035283518922938</v>
      </c>
      <c r="O20" s="6">
        <f>$J$3+[4]FormattedData!H34*$J$4+$M$4*$J$5+[4]FormattedData!H34^2*$J$6+$M$5*$J$7</f>
        <v>50.23281450995249</v>
      </c>
      <c r="P20" s="6">
        <f>$J$3+[4]FormattedData!I34*$J$4+$M$4*$J$5+[4]FormattedData!I34^2*$J$6+$M$5*$J$7</f>
        <v>34.749914270020717</v>
      </c>
      <c r="Q20" s="6">
        <f>$J$3+[4]FormattedData!J34*$J$4+$M$4*$J$5+[4]FormattedData!J34^2*$J$6+$M$5*$J$7</f>
        <v>50.584648773104803</v>
      </c>
      <c r="R20" s="6">
        <f>$J$3+[4]FormattedData!K34*$J$4+$M$4*$J$5+[4]FormattedData!K34^2*$J$6+$M$5*$J$7</f>
        <v>49.350270054416519</v>
      </c>
      <c r="S20" s="6">
        <f>$J$3+[4]FormattedData!L34*$J$4+$M$4*$J$5+[4]FormattedData!L34^2*$J$6+$M$5*$J$7</f>
        <v>51.461275633330423</v>
      </c>
      <c r="T20" s="6">
        <f>$J$3+[4]FormattedData!M34*$J$4+$M$4*$J$5+[4]FormattedData!M34^2*$J$6+$M$5*$J$7</f>
        <v>34.464164604277109</v>
      </c>
      <c r="U20" s="6">
        <f>$J$3+[4]FormattedData!N34*$J$4+$M$4*$J$5+[4]FormattedData!N34^2*$J$6+$M$5*$J$7</f>
        <v>48.107606702293722</v>
      </c>
      <c r="V20" s="6">
        <f>$J$3+[4]FormattedData!O34*$J$4+$M$4*$J$5+[4]FormattedData!O34^2*$J$6+$M$5*$J$7</f>
        <v>37.304542503851032</v>
      </c>
      <c r="W20" s="5">
        <f t="shared" si="0"/>
        <v>44.182126650740258</v>
      </c>
      <c r="X20" s="4">
        <f t="shared" si="1"/>
        <v>1.9904859375171435</v>
      </c>
      <c r="Y20" s="3">
        <f t="shared" si="2"/>
        <v>34.464164604277109</v>
      </c>
      <c r="Z20" s="2">
        <f t="shared" si="3"/>
        <v>36.73722775761901</v>
      </c>
      <c r="AA20" s="3">
        <f t="shared" si="4"/>
        <v>46.9427151983176</v>
      </c>
      <c r="AB20" s="2">
        <f t="shared" si="5"/>
        <v>49.968431590133079</v>
      </c>
      <c r="AC20" s="2">
        <f t="shared" si="6"/>
        <v>51.461275633330423</v>
      </c>
      <c r="AD20" s="2">
        <f t="shared" si="7"/>
        <v>-0.52945123131469141</v>
      </c>
      <c r="AE20" s="2">
        <f t="shared" si="8"/>
        <v>-1.6693835313859102</v>
      </c>
    </row>
    <row r="21" spans="2:31" x14ac:dyDescent="0.2">
      <c r="B21" s="1">
        <f>[4]FormattedData!A36</f>
        <v>204</v>
      </c>
      <c r="C21" s="1" t="str">
        <f>VLOOKUP($B21,[4]TrtCodes!$B$11:I79,2)</f>
        <v>NDH</v>
      </c>
      <c r="D21" s="1">
        <f>VLOOKUP($B21,[4]TrtCodes!$B$11:J79,3)</f>
        <v>11</v>
      </c>
      <c r="E21" s="1">
        <f>VLOOKUP($B21,[4]TrtCodes!$B$11:K79,4)</f>
        <v>2</v>
      </c>
      <c r="F21" s="1">
        <f>VLOOKUP($B21,[4]TrtCodes!$B$11:L79,5)</f>
        <v>3</v>
      </c>
      <c r="G21" s="1">
        <f>VLOOKUP($B21,[4]TrtCodes!$B$11:M79,6)</f>
        <v>2</v>
      </c>
      <c r="H21" s="1">
        <f>VLOOKUP($B21,[4]TrtCodes!$B$11:N79,7)</f>
        <v>1</v>
      </c>
      <c r="I21" s="1">
        <f>[4]FormattedData!B36</f>
        <v>1</v>
      </c>
      <c r="J21" s="4">
        <f>[4]FormattedData!C36</f>
        <v>13.089</v>
      </c>
      <c r="K21" s="6">
        <f>$J$3+[4]FormattedData!D36*$J$4+$M$4*$J$5+[4]FormattedData!D36^2*$J$6+$M$5*$J$7</f>
        <v>34.559456761396248</v>
      </c>
      <c r="L21" s="6">
        <f>$J$3+[4]FormattedData!E36*$J$4+$M$4*$J$5+[4]FormattedData!E36^2*$J$6+$M$5*$J$7</f>
        <v>35.889108764581323</v>
      </c>
      <c r="M21" s="6">
        <f>$J$3+[4]FormattedData!F36*$J$4+$M$4*$J$5+[4]FormattedData!F36^2*$J$6+$M$5*$J$7</f>
        <v>39.642464467001631</v>
      </c>
      <c r="N21" s="6">
        <f>$J$3+[4]FormattedData!G36*$J$4+$M$4*$J$5+[4]FormattedData!G36^2*$J$6+$M$5*$J$7</f>
        <v>31.392497788437243</v>
      </c>
      <c r="O21" s="6">
        <f>$J$3+[4]FormattedData!H36*$J$4+$M$4*$J$5+[4]FormattedData!H36^2*$J$6+$M$5*$J$7</f>
        <v>45.687646030312024</v>
      </c>
      <c r="P21" s="6">
        <f>$J$3+[4]FormattedData!I36*$J$4+$M$4*$J$5+[4]FormattedData!I36^2*$J$6+$M$5*$J$7</f>
        <v>32.06812340147119</v>
      </c>
      <c r="Q21" s="6">
        <f>$J$3+[4]FormattedData!J36*$J$4+$M$4*$J$5+[4]FormattedData!J36^2*$J$6+$M$5*$J$7</f>
        <v>44.511489960977258</v>
      </c>
      <c r="R21" s="6">
        <f>$J$3+[4]FormattedData!K36*$J$4+$M$4*$J$5+[4]FormattedData!K36^2*$J$6+$M$5*$J$7</f>
        <v>29.840433261951759</v>
      </c>
      <c r="S21" s="6">
        <f>$J$3+[4]FormattedData!L36*$J$4+$M$4*$J$5+[4]FormattedData!L36^2*$J$6+$M$5*$J$7</f>
        <v>46.228077986419834</v>
      </c>
      <c r="T21" s="6">
        <f>$J$3+[4]FormattedData!M36*$J$4+$M$4*$J$5+[4]FormattedData!M36^2*$J$6+$M$5*$J$7</f>
        <v>30.908640008703632</v>
      </c>
      <c r="U21" s="6">
        <f>$J$3+[4]FormattedData!N36*$J$4+$M$4*$J$5+[4]FormattedData!N36^2*$J$6+$M$5*$J$7</f>
        <v>45.055218863043699</v>
      </c>
      <c r="V21" s="6">
        <f>$J$3+[4]FormattedData!O36*$J$4+$M$4*$J$5+[4]FormattedData!O36^2*$J$6+$M$5*$J$7</f>
        <v>29.937754308891581</v>
      </c>
      <c r="W21" s="5">
        <f t="shared" si="0"/>
        <v>37.143409300265617</v>
      </c>
      <c r="X21" s="4">
        <f t="shared" si="1"/>
        <v>1.9264401697787499</v>
      </c>
      <c r="Y21" s="3">
        <f t="shared" si="2"/>
        <v>29.840433261951759</v>
      </c>
      <c r="Z21" s="2">
        <f t="shared" si="3"/>
        <v>31.27153334350384</v>
      </c>
      <c r="AA21" s="3">
        <f t="shared" si="4"/>
        <v>35.224282762988786</v>
      </c>
      <c r="AB21" s="2">
        <f t="shared" si="5"/>
        <v>44.64742218649387</v>
      </c>
      <c r="AC21" s="2">
        <f t="shared" si="6"/>
        <v>46.228077986419834</v>
      </c>
      <c r="AD21" s="2">
        <f t="shared" si="7"/>
        <v>0.34440684911051711</v>
      </c>
      <c r="AE21" s="2">
        <f t="shared" si="8"/>
        <v>-1.8165175150492496</v>
      </c>
    </row>
    <row r="22" spans="2:31" x14ac:dyDescent="0.2">
      <c r="B22" s="1">
        <f>[4]FormattedData!A38</f>
        <v>205</v>
      </c>
      <c r="C22" s="1" t="str">
        <f>VLOOKUP($B22,[4]TrtCodes!$B$11:I81,2)</f>
        <v>FSH</v>
      </c>
      <c r="D22" s="1">
        <f>VLOOKUP($B22,[4]TrtCodes!$B$11:J81,3)</f>
        <v>1</v>
      </c>
      <c r="E22" s="1">
        <f>VLOOKUP($B22,[4]TrtCodes!$B$11:K81,4)</f>
        <v>1</v>
      </c>
      <c r="F22" s="1">
        <f>VLOOKUP($B22,[4]TrtCodes!$B$11:L81,5)</f>
        <v>1</v>
      </c>
      <c r="G22" s="1">
        <f>VLOOKUP($B22,[4]TrtCodes!$B$11:M81,6)</f>
        <v>2</v>
      </c>
      <c r="H22" s="1">
        <f>VLOOKUP($B22,[4]TrtCodes!$B$11:N81,7)</f>
        <v>2</v>
      </c>
      <c r="I22" s="1">
        <f>[4]FormattedData!B38</f>
        <v>1</v>
      </c>
      <c r="J22" s="4">
        <f>[4]FormattedData!C38</f>
        <v>13.103999999999999</v>
      </c>
      <c r="K22" s="6">
        <f>$J$3+[4]FormattedData!D38*$J$4+$M$4*$J$5+[4]FormattedData!D38^2*$J$6+$M$5*$J$7</f>
        <v>46.587520586399762</v>
      </c>
      <c r="L22" s="6">
        <f>$J$3+[4]FormattedData!E38*$J$4+$M$4*$J$5+[4]FormattedData!E38^2*$J$6+$M$5*$J$7</f>
        <v>47.125416430231716</v>
      </c>
      <c r="M22" s="6">
        <f>$J$3+[4]FormattedData!F38*$J$4+$M$4*$J$5+[4]FormattedData!F38^2*$J$6+$M$5*$J$7</f>
        <v>49.350270054416519</v>
      </c>
      <c r="N22" s="6">
        <f>$J$3+[4]FormattedData!G38*$J$4+$M$4*$J$5+[4]FormattedData!G38^2*$J$6+$M$5*$J$7</f>
        <v>36.078382754143725</v>
      </c>
      <c r="O22" s="6">
        <f>$J$3+[4]FormattedData!H38*$J$4+$M$4*$J$5+[4]FormattedData!H38^2*$J$6+$M$5*$J$7</f>
        <v>49.615477210725587</v>
      </c>
      <c r="P22" s="6">
        <f>$J$3+[4]FormattedData!I38*$J$4+$M$4*$J$5+[4]FormattedData!I38^2*$J$6+$M$5*$J$7</f>
        <v>36.267487669554399</v>
      </c>
      <c r="Q22" s="6">
        <f>$J$3+[4]FormattedData!J38*$J$4+$M$4*$J$5+[4]FormattedData!J38^2*$J$6+$M$5*$J$7</f>
        <v>49.79207063890864</v>
      </c>
      <c r="R22" s="6">
        <f>$J$3+[4]FormattedData!K38*$J$4+$M$4*$J$5+[4]FormattedData!K38^2*$J$6+$M$5*$J$7</f>
        <v>48.374589137195898</v>
      </c>
      <c r="S22" s="6">
        <f>$J$3+[4]FormattedData!L38*$J$4+$M$4*$J$5+[4]FormattedData!L38^2*$J$6+$M$5*$J$7</f>
        <v>50.584648773104803</v>
      </c>
      <c r="T22" s="6">
        <f>$J$3+[4]FormattedData!M38*$J$4+$M$4*$J$5+[4]FormattedData!M38^2*$J$6+$M$5*$J$7</f>
        <v>34.464164604277109</v>
      </c>
      <c r="U22" s="6">
        <f>$J$3+[4]FormattedData!N38*$J$4+$M$4*$J$5+[4]FormattedData!N38^2*$J$6+$M$5*$J$7</f>
        <v>50.144750272819579</v>
      </c>
      <c r="V22" s="6">
        <f>$J$3+[4]FormattedData!O38*$J$4+$M$4*$J$5+[4]FormattedData!O38^2*$J$6+$M$5*$J$7</f>
        <v>40.01408040590573</v>
      </c>
      <c r="W22" s="5">
        <f t="shared" si="0"/>
        <v>44.866571544806959</v>
      </c>
      <c r="X22" s="4">
        <f t="shared" si="1"/>
        <v>1.8065018429245039</v>
      </c>
      <c r="Y22" s="3">
        <f t="shared" si="2"/>
        <v>34.464164604277109</v>
      </c>
      <c r="Z22" s="2">
        <f t="shared" si="3"/>
        <v>39.077432221817901</v>
      </c>
      <c r="AA22" s="3">
        <f t="shared" si="4"/>
        <v>47.750002783713811</v>
      </c>
      <c r="AB22" s="2">
        <f t="shared" si="5"/>
        <v>49.65962556777135</v>
      </c>
      <c r="AC22" s="2">
        <f t="shared" si="6"/>
        <v>50.584648773104803</v>
      </c>
      <c r="AD22" s="2">
        <f t="shared" si="7"/>
        <v>-0.82082921437359446</v>
      </c>
      <c r="AE22" s="2">
        <f t="shared" si="8"/>
        <v>-1.2355882475033422</v>
      </c>
    </row>
    <row r="23" spans="2:31" x14ac:dyDescent="0.2">
      <c r="B23" s="1">
        <f>[4]FormattedData!A40</f>
        <v>206</v>
      </c>
      <c r="C23" s="1" t="str">
        <f>VLOOKUP($B23,[4]TrtCodes!$B$11:I83,2)</f>
        <v>NSL</v>
      </c>
      <c r="D23" s="1">
        <f>VLOOKUP($B23,[4]TrtCodes!$B$11:J83,3)</f>
        <v>8</v>
      </c>
      <c r="E23" s="1">
        <f>VLOOKUP($B23,[4]TrtCodes!$B$11:K83,4)</f>
        <v>2</v>
      </c>
      <c r="F23" s="1">
        <f>VLOOKUP($B23,[4]TrtCodes!$B$11:L83,5)</f>
        <v>1</v>
      </c>
      <c r="G23" s="1">
        <f>VLOOKUP($B23,[4]TrtCodes!$B$11:M83,6)</f>
        <v>1</v>
      </c>
      <c r="H23" s="1">
        <f>VLOOKUP($B23,[4]TrtCodes!$B$11:N83,7)</f>
        <v>2</v>
      </c>
      <c r="I23" s="1">
        <f>[4]FormattedData!B40</f>
        <v>1</v>
      </c>
      <c r="J23" s="4">
        <f>[4]FormattedData!C40</f>
        <v>13.121</v>
      </c>
      <c r="K23" s="6">
        <f>$J$3+[4]FormattedData!D40*$J$4+$M$4*$J$5+[4]FormattedData!D40^2*$J$6+$M$5*$J$7</f>
        <v>46.856658716736433</v>
      </c>
      <c r="L23" s="6">
        <f>$J$3+[4]FormattedData!E40*$J$4+$M$4*$J$5+[4]FormattedData!E40^2*$J$6+$M$5*$J$7</f>
        <v>38.990509235209132</v>
      </c>
      <c r="M23" s="6">
        <f>$J$3+[4]FormattedData!F40*$J$4+$M$4*$J$5+[4]FormattedData!F40^2*$J$6+$M$5*$J$7</f>
        <v>47.483168288694387</v>
      </c>
      <c r="N23" s="6">
        <f>$J$3+[4]FormattedData!G40*$J$4+$M$4*$J$5+[4]FormattedData!G40^2*$J$6+$M$5*$J$7</f>
        <v>41.032537083512651</v>
      </c>
      <c r="O23" s="6">
        <f>$J$3+[4]FormattedData!H40*$J$4+$M$4*$J$5+[4]FormattedData!H40^2*$J$6+$M$5*$J$7</f>
        <v>49.527117093827158</v>
      </c>
      <c r="P23" s="6">
        <f>$J$3+[4]FormattedData!I40*$J$4+$M$4*$J$5+[4]FormattedData!I40^2*$J$6+$M$5*$J$7</f>
        <v>35.604880766203244</v>
      </c>
      <c r="Q23" s="6">
        <f>$J$3+[4]FormattedData!J40*$J$4+$M$4*$J$5+[4]FormattedData!J40^2*$J$6+$M$5*$J$7</f>
        <v>48.907412756476113</v>
      </c>
      <c r="R23" s="6">
        <f>$J$3+[4]FormattedData!K40*$J$4+$M$4*$J$5+[4]FormattedData!K40^2*$J$6+$M$5*$J$7</f>
        <v>37.210476134331905</v>
      </c>
      <c r="S23" s="6">
        <f>$J$3+[4]FormattedData!L40*$J$4+$M$4*$J$5+[4]FormattedData!L40^2*$J$6+$M$5*$J$7</f>
        <v>48.374589137195898</v>
      </c>
      <c r="T23" s="6">
        <f>$J$3+[4]FormattedData!M40*$J$4+$M$4*$J$5+[4]FormattedData!M40^2*$J$6+$M$5*$J$7</f>
        <v>35.41518409126153</v>
      </c>
      <c r="U23" s="6">
        <f>$J$3+[4]FormattedData!N40*$J$4+$M$4*$J$5+[4]FormattedData!N40^2*$J$6+$M$5*$J$7</f>
        <v>49.350270054416519</v>
      </c>
      <c r="V23" s="6">
        <f>$J$3+[4]FormattedData!O40*$J$4+$M$4*$J$5+[4]FormattedData!O40^2*$J$6+$M$5*$J$7</f>
        <v>48.552366084441026</v>
      </c>
      <c r="W23" s="5">
        <f t="shared" si="0"/>
        <v>43.942097453525491</v>
      </c>
      <c r="X23" s="4">
        <f t="shared" si="1"/>
        <v>1.6686650155580987</v>
      </c>
      <c r="Y23" s="3">
        <f t="shared" si="2"/>
        <v>35.41518409126153</v>
      </c>
      <c r="Z23" s="2">
        <f t="shared" si="3"/>
        <v>38.545500959989823</v>
      </c>
      <c r="AA23" s="3">
        <f t="shared" si="4"/>
        <v>47.16991350271541</v>
      </c>
      <c r="AB23" s="2">
        <f t="shared" si="5"/>
        <v>48.641127752449798</v>
      </c>
      <c r="AC23" s="2">
        <f t="shared" si="6"/>
        <v>49.527117093827158</v>
      </c>
      <c r="AD23" s="2">
        <f t="shared" si="7"/>
        <v>-0.53179108051091317</v>
      </c>
      <c r="AE23" s="2">
        <f t="shared" si="8"/>
        <v>-1.7260221485382456</v>
      </c>
    </row>
    <row r="24" spans="2:31" x14ac:dyDescent="0.2">
      <c r="B24" s="1">
        <f>[4]FormattedData!A42</f>
        <v>207</v>
      </c>
      <c r="C24" s="1" t="str">
        <f>VLOOKUP($B24,[4]TrtCodes!$B$11:I85,2)</f>
        <v>FTL</v>
      </c>
      <c r="D24" s="1">
        <f>VLOOKUP($B24,[4]TrtCodes!$B$11:J85,3)</f>
        <v>4</v>
      </c>
      <c r="E24" s="1">
        <f>VLOOKUP($B24,[4]TrtCodes!$B$11:K85,4)</f>
        <v>1</v>
      </c>
      <c r="F24" s="1">
        <f>VLOOKUP($B24,[4]TrtCodes!$B$11:L85,5)</f>
        <v>2</v>
      </c>
      <c r="G24" s="1">
        <f>VLOOKUP($B24,[4]TrtCodes!$B$11:M85,6)</f>
        <v>1</v>
      </c>
      <c r="H24" s="1">
        <f>VLOOKUP($B24,[4]TrtCodes!$B$11:N85,7)</f>
        <v>2</v>
      </c>
      <c r="I24" s="1">
        <f>[4]FormattedData!B42</f>
        <v>1</v>
      </c>
      <c r="J24" s="4">
        <f>[4]FormattedData!C42</f>
        <v>13.137</v>
      </c>
      <c r="K24" s="6">
        <f>$J$3+[4]FormattedData!D42*$J$4+$M$4*$J$5+[4]FormattedData!D42^2*$J$6+$M$5*$J$7</f>
        <v>47.035872794271214</v>
      </c>
      <c r="L24" s="6">
        <f>$J$3+[4]FormattedData!E42*$J$4+$M$4*$J$5+[4]FormattedData!E42^2*$J$6+$M$5*$J$7</f>
        <v>43.966239391545287</v>
      </c>
      <c r="M24" s="6">
        <f>$J$3+[4]FormattedData!F42*$J$4+$M$4*$J$5+[4]FormattedData!F42^2*$J$6+$M$5*$J$7</f>
        <v>47.57250058196523</v>
      </c>
      <c r="N24" s="6">
        <f>$J$3+[4]FormattedData!G42*$J$4+$M$4*$J$5+[4]FormattedData!G42^2*$J$6+$M$5*$J$7</f>
        <v>33.029710022938389</v>
      </c>
      <c r="O24" s="6">
        <f>$J$3+[4]FormattedData!H42*$J$4+$M$4*$J$5+[4]FormattedData!H42^2*$J$6+$M$5*$J$7</f>
        <v>49.88030395019328</v>
      </c>
      <c r="P24" s="6">
        <f>$J$3+[4]FormattedData!I42*$J$4+$M$4*$J$5+[4]FormattedData!I42^2*$J$6+$M$5*$J$7</f>
        <v>33.317361772888901</v>
      </c>
      <c r="Q24" s="6">
        <f>$J$3+[4]FormattedData!J42*$J$4+$M$4*$J$5+[4]FormattedData!J42^2*$J$6+$M$5*$J$7</f>
        <v>50.056643767148742</v>
      </c>
      <c r="R24" s="6">
        <f>$J$3+[4]FormattedData!K42*$J$4+$M$4*$J$5+[4]FormattedData!K42^2*$J$6+$M$5*$J$7</f>
        <v>31.971732262365851</v>
      </c>
      <c r="S24" s="6">
        <f>$J$3+[4]FormattedData!L42*$J$4+$M$4*$J$5+[4]FormattedData!L42^2*$J$6+$M$5*$J$7</f>
        <v>49.438714708390805</v>
      </c>
      <c r="T24" s="6">
        <f>$J$3+[4]FormattedData!M42*$J$4+$M$4*$J$5+[4]FormattedData!M42^2*$J$6+$M$5*$J$7</f>
        <v>34.559456761396248</v>
      </c>
      <c r="U24" s="6">
        <f>$J$3+[4]FormattedData!N42*$J$4+$M$4*$J$5+[4]FormattedData!N42^2*$J$6+$M$5*$J$7</f>
        <v>49.615477210725587</v>
      </c>
      <c r="V24" s="6">
        <f>$J$3+[4]FormattedData!O42*$J$4+$M$4*$J$5+[4]FormattedData!O42^2*$J$6+$M$5*$J$7</f>
        <v>35.889108764581323</v>
      </c>
      <c r="W24" s="5">
        <f t="shared" si="0"/>
        <v>42.194426832367576</v>
      </c>
      <c r="X24" s="4">
        <f t="shared" si="1"/>
        <v>2.2178495252723063</v>
      </c>
      <c r="Y24" s="3">
        <f t="shared" si="2"/>
        <v>31.971732262365851</v>
      </c>
      <c r="Z24" s="2">
        <f t="shared" si="3"/>
        <v>34.248933014269412</v>
      </c>
      <c r="AA24" s="3">
        <f t="shared" si="4"/>
        <v>45.50105609290825</v>
      </c>
      <c r="AB24" s="2">
        <f t="shared" si="5"/>
        <v>49.4829053339745</v>
      </c>
      <c r="AC24" s="2">
        <f t="shared" si="6"/>
        <v>50.056643767148742</v>
      </c>
      <c r="AD24" s="2">
        <f t="shared" si="7"/>
        <v>-0.29585211512108639</v>
      </c>
      <c r="AE24" s="2">
        <f t="shared" si="8"/>
        <v>-2.0588267287744069</v>
      </c>
    </row>
    <row r="25" spans="2:31" x14ac:dyDescent="0.2">
      <c r="B25" s="1">
        <f>[4]FormattedData!A44</f>
        <v>208</v>
      </c>
      <c r="C25" s="1" t="str">
        <f>VLOOKUP($B25,[4]TrtCodes!$B$11:I87,2)</f>
        <v>FSL</v>
      </c>
      <c r="D25" s="1">
        <f>VLOOKUP($B25,[4]TrtCodes!$B$11:J87,3)</f>
        <v>2</v>
      </c>
      <c r="E25" s="1">
        <f>VLOOKUP($B25,[4]TrtCodes!$B$11:K87,4)</f>
        <v>1</v>
      </c>
      <c r="F25" s="1">
        <f>VLOOKUP($B25,[4]TrtCodes!$B$11:L87,5)</f>
        <v>1</v>
      </c>
      <c r="G25" s="1">
        <f>VLOOKUP($B25,[4]TrtCodes!$B$11:M87,6)</f>
        <v>1</v>
      </c>
      <c r="H25" s="1">
        <f>VLOOKUP($B25,[4]TrtCodes!$B$11:N87,7)</f>
        <v>2</v>
      </c>
      <c r="I25" s="1">
        <f>[4]FormattedData!B44</f>
        <v>1</v>
      </c>
      <c r="J25" s="4">
        <f>[4]FormattedData!C44</f>
        <v>13.154999999999999</v>
      </c>
      <c r="K25" s="6">
        <f>$J$3+[4]FormattedData!D44*$J$4+$M$4*$J$5+[4]FormattedData!D44^2*$J$6+$M$5*$J$7</f>
        <v>46.228077986419834</v>
      </c>
      <c r="L25" s="6">
        <f>$J$3+[4]FormattedData!E44*$J$4+$M$4*$J$5+[4]FormattedData!E44^2*$J$6+$M$5*$J$7</f>
        <v>44.057220157795442</v>
      </c>
      <c r="M25" s="6">
        <f>$J$3+[4]FormattedData!F44*$J$4+$M$4*$J$5+[4]FormattedData!F44^2*$J$6+$M$5*$J$7</f>
        <v>48.107606702293722</v>
      </c>
      <c r="N25" s="6">
        <f>$J$3+[4]FormattedData!G44*$J$4+$M$4*$J$5+[4]FormattedData!G44^2*$J$6+$M$5*$J$7</f>
        <v>40.477649287432392</v>
      </c>
      <c r="O25" s="6">
        <f>$J$3+[4]FormattedData!H44*$J$4+$M$4*$J$5+[4]FormattedData!H44^2*$J$6+$M$5*$J$7</f>
        <v>49.88030395019328</v>
      </c>
      <c r="P25" s="6">
        <f>$J$3+[4]FormattedData!I44*$J$4+$M$4*$J$5+[4]FormattedData!I44^2*$J$6+$M$5*$J$7</f>
        <v>40.570236258123927</v>
      </c>
      <c r="Q25" s="6">
        <f>$J$3+[4]FormattedData!J44*$J$4+$M$4*$J$5+[4]FormattedData!J44^2*$J$6+$M$5*$J$7</f>
        <v>50.760312293453381</v>
      </c>
      <c r="R25" s="6">
        <f>$J$3+[4]FormattedData!K44*$J$4+$M$4*$J$5+[4]FormattedData!K44^2*$J$6+$M$5*$J$7</f>
        <v>39.176993501268072</v>
      </c>
      <c r="S25" s="6">
        <f>$J$3+[4]FormattedData!L44*$J$4+$M$4*$J$5+[4]FormattedData!L44^2*$J$6+$M$5*$J$7</f>
        <v>49.79207063890864</v>
      </c>
      <c r="T25" s="6">
        <f>$J$3+[4]FormattedData!M44*$J$4+$M$4*$J$5+[4]FormattedData!M44^2*$J$6+$M$5*$J$7</f>
        <v>38.710465822086228</v>
      </c>
      <c r="U25" s="6">
        <f>$J$3+[4]FormattedData!N44*$J$4+$M$4*$J$5+[4]FormattedData!N44^2*$J$6+$M$5*$J$7</f>
        <v>48.729973957534433</v>
      </c>
      <c r="V25" s="6">
        <f>$J$3+[4]FormattedData!O44*$J$4+$M$4*$J$5+[4]FormattedData!O44^2*$J$6+$M$5*$J$7</f>
        <v>42.229573810585407</v>
      </c>
      <c r="W25" s="5">
        <f t="shared" si="0"/>
        <v>44.89337369717456</v>
      </c>
      <c r="X25" s="4">
        <f t="shared" si="1"/>
        <v>1.311396372278012</v>
      </c>
      <c r="Y25" s="3">
        <f t="shared" si="2"/>
        <v>38.710465822086228</v>
      </c>
      <c r="Z25" s="2">
        <f t="shared" si="3"/>
        <v>40.547089515451042</v>
      </c>
      <c r="AA25" s="3">
        <f t="shared" si="4"/>
        <v>45.142649072107638</v>
      </c>
      <c r="AB25" s="2">
        <f t="shared" si="5"/>
        <v>48.995498127877987</v>
      </c>
      <c r="AC25" s="2">
        <f t="shared" si="6"/>
        <v>50.760312293453381</v>
      </c>
      <c r="AD25" s="2">
        <f t="shared" si="7"/>
        <v>-8.6062017313748712E-2</v>
      </c>
      <c r="AE25" s="2">
        <f t="shared" si="8"/>
        <v>-1.8077417448396438</v>
      </c>
    </row>
    <row r="26" spans="2:31" x14ac:dyDescent="0.2">
      <c r="B26" s="1">
        <f>[4]FormattedData!A62</f>
        <v>301</v>
      </c>
      <c r="C26" s="1" t="str">
        <f>VLOOKUP($B26,[4]TrtCodes!$B$11:I105,2)</f>
        <v>NTL</v>
      </c>
      <c r="D26" s="1">
        <f>VLOOKUP($B26,[4]TrtCodes!$B$11:J105,3)</f>
        <v>10</v>
      </c>
      <c r="E26" s="1">
        <f>VLOOKUP($B26,[4]TrtCodes!$B$11:K105,4)</f>
        <v>2</v>
      </c>
      <c r="F26" s="1">
        <f>VLOOKUP($B26,[4]TrtCodes!$B$11:L105,5)</f>
        <v>2</v>
      </c>
      <c r="G26" s="1">
        <f>VLOOKUP($B26,[4]TrtCodes!$B$11:M105,6)</f>
        <v>1</v>
      </c>
      <c r="H26" s="1">
        <f>VLOOKUP($B26,[4]TrtCodes!$B$11:N105,7)</f>
        <v>3</v>
      </c>
      <c r="I26" s="1">
        <f>[4]FormattedData!B62</f>
        <v>1</v>
      </c>
      <c r="J26" s="4">
        <f>[4]FormattedData!C62</f>
        <v>13.279</v>
      </c>
      <c r="K26" s="6">
        <f>$J$3+[4]FormattedData!D62*$J$4+$M$4*$J$5+[4]FormattedData!D62^2*$J$6+$M$5*$J$7</f>
        <v>43.054106959457513</v>
      </c>
      <c r="L26" s="6">
        <f>$J$3+[4]FormattedData!E62*$J$4+$M$4*$J$5+[4]FormattedData!E62^2*$J$6+$M$5*$J$7</f>
        <v>41.677982960463773</v>
      </c>
      <c r="M26" s="6">
        <f>$J$3+[4]FormattedData!F62*$J$4+$M$4*$J$5+[4]FormattedData!F62^2*$J$6+$M$5*$J$7</f>
        <v>48.907412756476113</v>
      </c>
      <c r="N26" s="6">
        <f>$J$3+[4]FormattedData!G62*$J$4+$M$4*$J$5+[4]FormattedData!G62^2*$J$6+$M$5*$J$7</f>
        <v>35.130322064814479</v>
      </c>
      <c r="O26" s="6">
        <f>$J$3+[4]FormattedData!H62*$J$4+$M$4*$J$5+[4]FormattedData!H62^2*$J$6+$M$5*$J$7</f>
        <v>50.23281450995249</v>
      </c>
      <c r="P26" s="6">
        <f>$J$3+[4]FormattedData!I62*$J$4+$M$4*$J$5+[4]FormattedData!I62^2*$J$6+$M$5*$J$7</f>
        <v>32.645582596806683</v>
      </c>
      <c r="Q26" s="6">
        <f>$J$3+[4]FormattedData!J62*$J$4+$M$4*$J$5+[4]FormattedData!J62^2*$J$6+$M$5*$J$7</f>
        <v>50.672501667548055</v>
      </c>
      <c r="R26" s="6">
        <f>$J$3+[4]FormattedData!K62*$J$4+$M$4*$J$5+[4]FormattedData!K62^2*$J$6+$M$5*$J$7</f>
        <v>33.413161152463204</v>
      </c>
      <c r="S26" s="6">
        <f>$J$3+[4]FormattedData!L62*$J$4+$M$4*$J$5+[4]FormattedData!L62^2*$J$6+$M$5*$J$7</f>
        <v>48.907412756476113</v>
      </c>
      <c r="T26" s="6">
        <f>$J$3+[4]FormattedData!M62*$J$4+$M$4*$J$5+[4]FormattedData!M62^2*$J$6+$M$5*$J$7</f>
        <v>34.749914270020717</v>
      </c>
      <c r="U26" s="6">
        <f>$J$3+[4]FormattedData!N62*$J$4+$M$4*$J$5+[4]FormattedData!N62^2*$J$6+$M$5*$J$7</f>
        <v>49.261783131904295</v>
      </c>
      <c r="V26" s="6">
        <f>$J$3+[4]FormattedData!O62*$J$4+$M$4*$J$5+[4]FormattedData!O62^2*$J$6+$M$5*$J$7</f>
        <v>35.130322064814479</v>
      </c>
      <c r="W26" s="5">
        <f t="shared" si="0"/>
        <v>41.981943074266496</v>
      </c>
      <c r="X26" s="4">
        <f t="shared" si="1"/>
        <v>2.1329810184170714</v>
      </c>
      <c r="Y26" s="3">
        <f t="shared" si="2"/>
        <v>32.645582596806683</v>
      </c>
      <c r="Z26" s="2">
        <f t="shared" si="3"/>
        <v>35.035220116116037</v>
      </c>
      <c r="AA26" s="3">
        <f t="shared" si="4"/>
        <v>42.366044959960647</v>
      </c>
      <c r="AB26" s="2">
        <f t="shared" si="5"/>
        <v>48.996005350333157</v>
      </c>
      <c r="AC26" s="2">
        <f t="shared" si="6"/>
        <v>50.672501667548055</v>
      </c>
      <c r="AD26" s="2">
        <f t="shared" si="7"/>
        <v>-5.2773419882301172E-2</v>
      </c>
      <c r="AE26" s="2">
        <f t="shared" si="8"/>
        <v>-2.0306692810527949</v>
      </c>
    </row>
    <row r="27" spans="2:31" x14ac:dyDescent="0.2">
      <c r="B27" s="1">
        <f>[4]FormattedData!A64</f>
        <v>302</v>
      </c>
      <c r="C27" s="1" t="str">
        <f>VLOOKUP($B27,[4]TrtCodes!$B$11:I107,2)</f>
        <v>FTL</v>
      </c>
      <c r="D27" s="1">
        <f>VLOOKUP($B27,[4]TrtCodes!$B$11:J107,3)</f>
        <v>4</v>
      </c>
      <c r="E27" s="1">
        <f>VLOOKUP($B27,[4]TrtCodes!$B$11:K107,4)</f>
        <v>1</v>
      </c>
      <c r="F27" s="1">
        <f>VLOOKUP($B27,[4]TrtCodes!$B$11:L107,5)</f>
        <v>2</v>
      </c>
      <c r="G27" s="1">
        <f>VLOOKUP($B27,[4]TrtCodes!$B$11:M107,6)</f>
        <v>1</v>
      </c>
      <c r="H27" s="1">
        <f>VLOOKUP($B27,[4]TrtCodes!$B$11:N107,7)</f>
        <v>3</v>
      </c>
      <c r="I27" s="1">
        <f>[4]FormattedData!B64</f>
        <v>1</v>
      </c>
      <c r="J27" s="4">
        <f>[4]FormattedData!C64</f>
        <v>13.297000000000001</v>
      </c>
      <c r="K27" s="6">
        <f>$J$3+[4]FormattedData!D64*$J$4+$M$4*$J$5+[4]FormattedData!D64^2*$J$6+$M$5*$J$7</f>
        <v>45.867959089833022</v>
      </c>
      <c r="L27" s="6">
        <f>$J$3+[4]FormattedData!E64*$J$4+$M$4*$J$5+[4]FormattedData!E64^2*$J$6+$M$5*$J$7</f>
        <v>40.662780960277537</v>
      </c>
      <c r="M27" s="6">
        <f>$J$3+[4]FormattedData!F64*$J$4+$M$4*$J$5+[4]FormattedData!F64^2*$J$6+$M$5*$J$7</f>
        <v>49.968494992939974</v>
      </c>
      <c r="N27" s="6">
        <f>$J$3+[4]FormattedData!G64*$J$4+$M$4*$J$5+[4]FormattedData!G64^2*$J$6+$M$5*$J$7</f>
        <v>35.6996657008672</v>
      </c>
      <c r="O27" s="6">
        <f>$J$3+[4]FormattedData!H64*$J$4+$M$4*$J$5+[4]FormattedData!H64^2*$J$6+$M$5*$J$7</f>
        <v>48.996068753140051</v>
      </c>
      <c r="P27" s="6">
        <f>$J$3+[4]FormattedData!I64*$J$4+$M$4*$J$5+[4]FormattedData!I64^2*$J$6+$M$5*$J$7</f>
        <v>36.456423510813345</v>
      </c>
      <c r="Q27" s="6">
        <f>$J$3+[4]FormattedData!J64*$J$4+$M$4*$J$5+[4]FormattedData!J64^2*$J$6+$M$5*$J$7</f>
        <v>50.496753610123619</v>
      </c>
      <c r="R27" s="6">
        <f>$J$3+[4]FormattedData!K64*$J$4+$M$4*$J$5+[4]FormattedData!K64^2*$J$6+$M$5*$J$7</f>
        <v>34.464164604277109</v>
      </c>
      <c r="S27" s="6">
        <f>$J$3+[4]FormattedData!L64*$J$4+$M$4*$J$5+[4]FormattedData!L64^2*$J$6+$M$5*$J$7</f>
        <v>49.79207063890864</v>
      </c>
      <c r="T27" s="6">
        <f>$J$3+[4]FormattedData!M64*$J$4+$M$4*$J$5+[4]FormattedData!M64^2*$J$6+$M$5*$J$7</f>
        <v>36.267487669554399</v>
      </c>
      <c r="U27" s="6">
        <f>$J$3+[4]FormattedData!N64*$J$4+$M$4*$J$5+[4]FormattedData!N64^2*$J$6+$M$5*$J$7</f>
        <v>48.285637260766435</v>
      </c>
      <c r="V27" s="6">
        <f>$J$3+[4]FormattedData!O64*$J$4+$M$4*$J$5+[4]FormattedData!O64^2*$J$6+$M$5*$J$7</f>
        <v>42.229573810585407</v>
      </c>
      <c r="W27" s="5">
        <f t="shared" si="0"/>
        <v>43.265590050173898</v>
      </c>
      <c r="X27" s="4">
        <f t="shared" si="1"/>
        <v>1.8309618820705156</v>
      </c>
      <c r="Y27" s="3">
        <f t="shared" si="2"/>
        <v>34.464164604277109</v>
      </c>
      <c r="Z27" s="2">
        <f t="shared" si="3"/>
        <v>36.40918955049861</v>
      </c>
      <c r="AA27" s="3">
        <f t="shared" si="4"/>
        <v>44.048766450209214</v>
      </c>
      <c r="AB27" s="2">
        <f t="shared" si="5"/>
        <v>49.195069224582198</v>
      </c>
      <c r="AC27" s="2">
        <f t="shared" si="6"/>
        <v>50.496753610123619</v>
      </c>
      <c r="AD27" s="2">
        <f t="shared" si="7"/>
        <v>-0.21483731944437232</v>
      </c>
      <c r="AE27" s="2">
        <f t="shared" si="8"/>
        <v>-1.8718720188434697</v>
      </c>
    </row>
    <row r="28" spans="2:31" x14ac:dyDescent="0.2">
      <c r="B28" s="1">
        <f>[4]FormattedData!A66</f>
        <v>303</v>
      </c>
      <c r="C28" s="1" t="str">
        <f>VLOOKUP($B28,[4]TrtCodes!$B$11:I109,2)</f>
        <v>NSL</v>
      </c>
      <c r="D28" s="1">
        <f>VLOOKUP($B28,[4]TrtCodes!$B$11:J109,3)</f>
        <v>8</v>
      </c>
      <c r="E28" s="1">
        <f>VLOOKUP($B28,[4]TrtCodes!$B$11:K109,4)</f>
        <v>2</v>
      </c>
      <c r="F28" s="1">
        <f>VLOOKUP($B28,[4]TrtCodes!$B$11:L109,5)</f>
        <v>1</v>
      </c>
      <c r="G28" s="1">
        <f>VLOOKUP($B28,[4]TrtCodes!$B$11:M109,6)</f>
        <v>1</v>
      </c>
      <c r="H28" s="1">
        <f>VLOOKUP($B28,[4]TrtCodes!$B$11:N109,7)</f>
        <v>3</v>
      </c>
      <c r="I28" s="1">
        <f>[4]FormattedData!B66</f>
        <v>1</v>
      </c>
      <c r="J28" s="4">
        <f>[4]FormattedData!C66</f>
        <v>13.314</v>
      </c>
      <c r="K28" s="6">
        <f>$J$3+[4]FormattedData!D66*$J$4+$M$4*$J$5+[4]FormattedData!D66^2*$J$6+$M$5*$J$7</f>
        <v>43.145510411086981</v>
      </c>
      <c r="L28" s="6">
        <f>$J$3+[4]FormattedData!E66*$J$4+$M$4*$J$5+[4]FormattedData!E66^2*$J$6+$M$5*$J$7</f>
        <v>43.054106959457513</v>
      </c>
      <c r="M28" s="6">
        <f>$J$3+[4]FormattedData!F66*$J$4+$M$4*$J$5+[4]FormattedData!F66^2*$J$6+$M$5*$J$7</f>
        <v>46.318002039221717</v>
      </c>
      <c r="N28" s="6">
        <f>$J$3+[4]FormattedData!G66*$J$4+$M$4*$J$5+[4]FormattedData!G66^2*$J$6+$M$5*$J$7</f>
        <v>37.586488001180825</v>
      </c>
      <c r="O28" s="6">
        <f>$J$3+[4]FormattedData!H66*$J$4+$M$4*$J$5+[4]FormattedData!H66^2*$J$6+$M$5*$J$7</f>
        <v>47.57250058196523</v>
      </c>
      <c r="P28" s="6">
        <f>$J$3+[4]FormattedData!I66*$J$4+$M$4*$J$5+[4]FormattedData!I66^2*$J$6+$M$5*$J$7</f>
        <v>34.368830178620058</v>
      </c>
      <c r="Q28" s="6">
        <f>$J$3+[4]FormattedData!J66*$J$4+$M$4*$J$5+[4]FormattedData!J66^2*$J$6+$M$5*$J$7</f>
        <v>47.57250058196523</v>
      </c>
      <c r="R28" s="6">
        <f>$J$3+[4]FormattedData!K66*$J$4+$M$4*$J$5+[4]FormattedData!K66^2*$J$6+$M$5*$J$7</f>
        <v>34.559456761396248</v>
      </c>
      <c r="S28" s="6">
        <f>$J$3+[4]FormattedData!L66*$J$4+$M$4*$J$5+[4]FormattedData!L66^2*$J$6+$M$5*$J$7</f>
        <v>47.393793726885612</v>
      </c>
      <c r="T28" s="6">
        <f>$J$3+[4]FormattedData!M66*$J$4+$M$4*$J$5+[4]FormattedData!M66^2*$J$6+$M$5*$J$7</f>
        <v>37.774240323377711</v>
      </c>
      <c r="U28" s="6">
        <f>$J$3+[4]FormattedData!N66*$J$4+$M$4*$J$5+[4]FormattedData!N66^2*$J$6+$M$5*$J$7</f>
        <v>47.840243850550159</v>
      </c>
      <c r="V28" s="6">
        <f>$J$3+[4]FormattedData!O66*$J$4+$M$4*$J$5+[4]FormattedData!O66^2*$J$6+$M$5*$J$7</f>
        <v>43.145510411086981</v>
      </c>
      <c r="W28" s="5">
        <f t="shared" si="0"/>
        <v>42.527598652232861</v>
      </c>
      <c r="X28" s="4">
        <f t="shared" si="1"/>
        <v>1.4956500088212967</v>
      </c>
      <c r="Y28" s="3">
        <f t="shared" si="2"/>
        <v>34.368830178620058</v>
      </c>
      <c r="Z28" s="2">
        <f t="shared" si="3"/>
        <v>37.727302242828486</v>
      </c>
      <c r="AA28" s="3">
        <f t="shared" si="4"/>
        <v>43.145510411086981</v>
      </c>
      <c r="AB28" s="2">
        <f t="shared" si="5"/>
        <v>47.438470440655514</v>
      </c>
      <c r="AC28" s="2">
        <f t="shared" si="6"/>
        <v>47.840243850550159</v>
      </c>
      <c r="AD28" s="2">
        <f t="shared" si="7"/>
        <v>-0.54905652822537643</v>
      </c>
      <c r="AE28" s="2">
        <f t="shared" si="8"/>
        <v>-1.3155204717280347</v>
      </c>
    </row>
    <row r="29" spans="2:31" x14ac:dyDescent="0.2">
      <c r="B29" s="1">
        <f>[4]FormattedData!A68</f>
        <v>304</v>
      </c>
      <c r="C29" s="1" t="str">
        <f>VLOOKUP($B29,[4]TrtCodes!$B$11:I111,2)</f>
        <v>FSL</v>
      </c>
      <c r="D29" s="1">
        <f>VLOOKUP($B29,[4]TrtCodes!$B$11:J111,3)</f>
        <v>2</v>
      </c>
      <c r="E29" s="1">
        <f>VLOOKUP($B29,[4]TrtCodes!$B$11:K111,4)</f>
        <v>1</v>
      </c>
      <c r="F29" s="1">
        <f>VLOOKUP($B29,[4]TrtCodes!$B$11:L111,5)</f>
        <v>1</v>
      </c>
      <c r="G29" s="1">
        <f>VLOOKUP($B29,[4]TrtCodes!$B$11:M111,6)</f>
        <v>1</v>
      </c>
      <c r="H29" s="1">
        <f>VLOOKUP($B29,[4]TrtCodes!$B$11:N111,7)</f>
        <v>3</v>
      </c>
      <c r="I29" s="1">
        <f>[4]FormattedData!B68</f>
        <v>1</v>
      </c>
      <c r="J29" s="4">
        <f>[4]FormattedData!C68</f>
        <v>13.331</v>
      </c>
      <c r="K29" s="6">
        <f>$J$3+[4]FormattedData!D68*$J$4+$M$4*$J$5+[4]FormattedData!D68^2*$J$6+$M$5*$J$7</f>
        <v>46.407883823485669</v>
      </c>
      <c r="L29" s="6">
        <f>$J$3+[4]FormattedData!E68*$J$4+$M$4*$J$5+[4]FormattedData!E68^2*$J$6+$M$5*$J$7</f>
        <v>45.236123682095737</v>
      </c>
      <c r="M29" s="6">
        <f>$J$3+[4]FormattedData!F68*$J$4+$M$4*$J$5+[4]FormattedData!F68^2*$J$6+$M$5*$J$7</f>
        <v>47.393793726885612</v>
      </c>
      <c r="N29" s="6">
        <f>$J$3+[4]FormattedData!G68*$J$4+$M$4*$J$5+[4]FormattedData!G68^2*$J$6+$M$5*$J$7</f>
        <v>36.739510258667295</v>
      </c>
      <c r="O29" s="6">
        <f>$J$3+[4]FormattedData!H68*$J$4+$M$4*$J$5+[4]FormattedData!H68^2*$J$6+$M$5*$J$7</f>
        <v>50.056643767148742</v>
      </c>
      <c r="P29" s="6">
        <f>$J$3+[4]FormattedData!I68*$J$4+$M$4*$J$5+[4]FormattedData!I68^2*$J$6+$M$5*$J$7</f>
        <v>41.124870442976608</v>
      </c>
      <c r="Q29" s="6">
        <f>$J$3+[4]FormattedData!J68*$J$4+$M$4*$J$5+[4]FormattedData!J68^2*$J$6+$M$5*$J$7</f>
        <v>51.723439454908451</v>
      </c>
      <c r="R29" s="6">
        <f>$J$3+[4]FormattedData!K68*$J$4+$M$4*$J$5+[4]FormattedData!K68^2*$J$6+$M$5*$J$7</f>
        <v>39.642464467001631</v>
      </c>
      <c r="S29" s="6">
        <f>$J$3+[4]FormattedData!L68*$J$4+$M$4*$J$5+[4]FormattedData!L68^2*$J$6+$M$5*$J$7</f>
        <v>50.496753610123619</v>
      </c>
      <c r="T29" s="6">
        <f>$J$3+[4]FormattedData!M68*$J$4+$M$4*$J$5+[4]FormattedData!M68^2*$J$6+$M$5*$J$7</f>
        <v>44.602217115999821</v>
      </c>
      <c r="U29" s="6">
        <f>$J$3+[4]FormattedData!N68*$J$4+$M$4*$J$5+[4]FormattedData!N68^2*$J$6+$M$5*$J$7</f>
        <v>50.496753610123619</v>
      </c>
      <c r="V29" s="6">
        <f>$J$3+[4]FormattedData!O68*$J$4+$M$4*$J$5+[4]FormattedData!O68^2*$J$6+$M$5*$J$7</f>
        <v>47.66179060669814</v>
      </c>
      <c r="W29" s="5">
        <f t="shared" si="0"/>
        <v>45.965187047176236</v>
      </c>
      <c r="X29" s="4">
        <f t="shared" si="1"/>
        <v>1.367897245263199</v>
      </c>
      <c r="Y29" s="3">
        <f t="shared" si="2"/>
        <v>36.739510258667295</v>
      </c>
      <c r="Z29" s="2">
        <f t="shared" si="3"/>
        <v>43.732880447744016</v>
      </c>
      <c r="AA29" s="3">
        <f t="shared" si="4"/>
        <v>46.90083877518564</v>
      </c>
      <c r="AB29" s="2">
        <f t="shared" si="5"/>
        <v>50.166671227892465</v>
      </c>
      <c r="AC29" s="2">
        <f t="shared" si="6"/>
        <v>51.723439454908451</v>
      </c>
      <c r="AD29" s="2">
        <f t="shared" si="7"/>
        <v>-0.71863291320186984</v>
      </c>
      <c r="AE29" s="2">
        <f t="shared" si="8"/>
        <v>-0.39826251136633317</v>
      </c>
    </row>
    <row r="30" spans="2:31" x14ac:dyDescent="0.2">
      <c r="B30" s="1">
        <f>[4]FormattedData!A70</f>
        <v>305</v>
      </c>
      <c r="C30" s="1" t="str">
        <f>VLOOKUP($B30,[4]TrtCodes!$B$11:I113,2)</f>
        <v>NDH</v>
      </c>
      <c r="D30" s="1">
        <f>VLOOKUP($B30,[4]TrtCodes!$B$11:J113,3)</f>
        <v>11</v>
      </c>
      <c r="E30" s="1">
        <f>VLOOKUP($B30,[4]TrtCodes!$B$11:K113,4)</f>
        <v>2</v>
      </c>
      <c r="F30" s="1">
        <f>VLOOKUP($B30,[4]TrtCodes!$B$11:L113,5)</f>
        <v>3</v>
      </c>
      <c r="G30" s="1">
        <f>VLOOKUP($B30,[4]TrtCodes!$B$11:M113,6)</f>
        <v>2</v>
      </c>
      <c r="H30" s="1">
        <f>VLOOKUP($B30,[4]TrtCodes!$B$11:N113,7)</f>
        <v>4</v>
      </c>
      <c r="I30" s="1">
        <f>[4]FormattedData!B70</f>
        <v>1</v>
      </c>
      <c r="J30" s="4">
        <f>[4]FormattedData!C70</f>
        <v>13.348000000000001</v>
      </c>
      <c r="K30" s="6">
        <f>$J$3+[4]FormattedData!D70*$J$4+$M$4*$J$5+[4]FormattedData!D70^2*$J$6+$M$5*$J$7</f>
        <v>38.710465822086228</v>
      </c>
      <c r="L30" s="6">
        <f>$J$3+[4]FormattedData!E70*$J$4+$M$4*$J$5+[4]FormattedData!E70^2*$J$6+$M$5*$J$7</f>
        <v>34.940202704493458</v>
      </c>
      <c r="M30" s="6">
        <f>$J$3+[4]FormattedData!F70*$J$4+$M$4*$J$5+[4]FormattedData!F70^2*$J$6+$M$5*$J$7</f>
        <v>44.602217115999821</v>
      </c>
      <c r="N30" s="6">
        <f>$J$3+[4]FormattedData!G70*$J$4+$M$4*$J$5+[4]FormattedData!G70^2*$J$6+$M$5*$J$7</f>
        <v>32.26077887406808</v>
      </c>
      <c r="O30" s="6">
        <f>$J$3+[4]FormattedData!H70*$J$4+$M$4*$J$5+[4]FormattedData!H70^2*$J$6+$M$5*$J$7</f>
        <v>47.483168288694387</v>
      </c>
      <c r="P30" s="6">
        <f>$J$3+[4]FormattedData!I70*$J$4+$M$4*$J$5+[4]FormattedData!I70^2*$J$6+$M$5*$J$7</f>
        <v>32.26077887406808</v>
      </c>
      <c r="Q30" s="6">
        <f>$J$3+[4]FormattedData!J70*$J$4+$M$4*$J$5+[4]FormattedData!J70^2*$J$6+$M$5*$J$7</f>
        <v>45.597426097744624</v>
      </c>
      <c r="R30" s="6">
        <f>$J$3+[4]FormattedData!K70*$J$4+$M$4*$J$5+[4]FormattedData!K70^2*$J$6+$M$5*$J$7</f>
        <v>31.102309926210872</v>
      </c>
      <c r="S30" s="6">
        <f>$J$3+[4]FormattedData!L70*$J$4+$M$4*$J$5+[4]FormattedData!L70^2*$J$6+$M$5*$J$7</f>
        <v>44.239054884681956</v>
      </c>
      <c r="T30" s="6">
        <f>$J$3+[4]FormattedData!M70*$J$4+$M$4*$J$5+[4]FormattedData!M70^2*$J$6+$M$5*$J$7</f>
        <v>31.199081482157588</v>
      </c>
      <c r="U30" s="6">
        <f>$J$3+[4]FormattedData!N70*$J$4+$M$4*$J$5+[4]FormattedData!N70^2*$J$6+$M$5*$J$7</f>
        <v>42.321357679056256</v>
      </c>
      <c r="V30" s="6">
        <f>$J$3+[4]FormattedData!O70*$J$4+$M$4*$J$5+[4]FormattedData!O70^2*$J$6+$M$5*$J$7</f>
        <v>31.87529885472258</v>
      </c>
      <c r="W30" s="5">
        <f t="shared" si="0"/>
        <v>38.049345050331986</v>
      </c>
      <c r="X30" s="4">
        <f t="shared" si="1"/>
        <v>1.8584336398741041</v>
      </c>
      <c r="Y30" s="3">
        <f t="shared" si="2"/>
        <v>31.102309926210872</v>
      </c>
      <c r="Z30" s="2">
        <f t="shared" si="3"/>
        <v>32.164408869231707</v>
      </c>
      <c r="AA30" s="3">
        <f t="shared" si="4"/>
        <v>36.825334263289847</v>
      </c>
      <c r="AB30" s="2">
        <f t="shared" si="5"/>
        <v>44.32984544251142</v>
      </c>
      <c r="AC30" s="2">
        <f t="shared" si="6"/>
        <v>47.483168288694387</v>
      </c>
      <c r="AD30" s="2">
        <f t="shared" si="7"/>
        <v>0.22746902770969085</v>
      </c>
      <c r="AE30" s="2">
        <f t="shared" si="8"/>
        <v>-1.9110610258961951</v>
      </c>
    </row>
    <row r="31" spans="2:31" x14ac:dyDescent="0.2">
      <c r="B31" s="1">
        <f>[4]FormattedData!A72</f>
        <v>306</v>
      </c>
      <c r="C31" s="1" t="str">
        <f>VLOOKUP($B31,[4]TrtCodes!$B$11:I115,2)</f>
        <v>FTL</v>
      </c>
      <c r="D31" s="1">
        <f>VLOOKUP($B31,[4]TrtCodes!$B$11:J115,3)</f>
        <v>4</v>
      </c>
      <c r="E31" s="1">
        <f>VLOOKUP($B31,[4]TrtCodes!$B$11:K115,4)</f>
        <v>1</v>
      </c>
      <c r="F31" s="1">
        <f>VLOOKUP($B31,[4]TrtCodes!$B$11:L115,5)</f>
        <v>2</v>
      </c>
      <c r="G31" s="1">
        <f>VLOOKUP($B31,[4]TrtCodes!$B$11:M115,6)</f>
        <v>1</v>
      </c>
      <c r="H31" s="1">
        <f>VLOOKUP($B31,[4]TrtCodes!$B$11:N115,7)</f>
        <v>4</v>
      </c>
      <c r="I31" s="1">
        <f>[4]FormattedData!B72</f>
        <v>1</v>
      </c>
      <c r="J31" s="4">
        <f>[4]FormattedData!C72</f>
        <v>13.364000000000001</v>
      </c>
      <c r="K31" s="6">
        <f>$J$3+[4]FormattedData!D72*$J$4+$M$4*$J$5+[4]FormattedData!D72^2*$J$6+$M$5*$J$7</f>
        <v>43.784151053431181</v>
      </c>
      <c r="L31" s="6">
        <f>$J$3+[4]FormattedData!E72*$J$4+$M$4*$J$5+[4]FormattedData!E72^2*$J$6+$M$5*$J$7</f>
        <v>43.145510411086981</v>
      </c>
      <c r="M31" s="6">
        <f>$J$3+[4]FormattedData!F72*$J$4+$M$4*$J$5+[4]FormattedData!F72^2*$J$6+$M$5*$J$7</f>
        <v>49.350270054416519</v>
      </c>
      <c r="N31" s="6">
        <f>$J$3+[4]FormattedData!G72*$J$4+$M$4*$J$5+[4]FormattedData!G72^2*$J$6+$M$5*$J$7</f>
        <v>35.225318342168102</v>
      </c>
      <c r="O31" s="6">
        <f>$J$3+[4]FormattedData!H72*$J$4+$M$4*$J$5+[4]FormattedData!H72^2*$J$6+$M$5*$J$7</f>
        <v>51.198731394911015</v>
      </c>
      <c r="P31" s="6">
        <f>$J$3+[4]FormattedData!I72*$J$4+$M$4*$J$5+[4]FormattedData!I72^2*$J$6+$M$5*$J$7</f>
        <v>34.464164604277109</v>
      </c>
      <c r="Q31" s="6">
        <f>$J$3+[4]FormattedData!J72*$J$4+$M$4*$J$5+[4]FormattedData!J72^2*$J$6+$M$5*$J$7</f>
        <v>50.672501667548055</v>
      </c>
      <c r="R31" s="6">
        <f>$J$3+[4]FormattedData!K72*$J$4+$M$4*$J$5+[4]FormattedData!K72^2*$J$6+$M$5*$J$7</f>
        <v>34.178034521692126</v>
      </c>
      <c r="S31" s="6">
        <f>$J$3+[4]FormattedData!L72*$J$4+$M$4*$J$5+[4]FormattedData!L72^2*$J$6+$M$5*$J$7</f>
        <v>49.261783131904295</v>
      </c>
      <c r="T31" s="6">
        <f>$J$3+[4]FormattedData!M72*$J$4+$M$4*$J$5+[4]FormattedData!M72^2*$J$6+$M$5*$J$7</f>
        <v>33.317361772888901</v>
      </c>
      <c r="U31" s="6">
        <f>$J$3+[4]FormattedData!N72*$J$4+$M$4*$J$5+[4]FormattedData!N72^2*$J$6+$M$5*$J$7</f>
        <v>49.703795059086076</v>
      </c>
      <c r="V31" s="6">
        <f>$J$3+[4]FormattedData!O72*$J$4+$M$4*$J$5+[4]FormattedData!O72^2*$J$6+$M$5*$J$7</f>
        <v>40.570236258123927</v>
      </c>
      <c r="W31" s="5">
        <f t="shared" si="0"/>
        <v>42.905988189294526</v>
      </c>
      <c r="X31" s="4">
        <f t="shared" si="1"/>
        <v>2.0631758439867767</v>
      </c>
      <c r="Y31" s="3">
        <f t="shared" si="2"/>
        <v>33.317361772888901</v>
      </c>
      <c r="Z31" s="2">
        <f t="shared" si="3"/>
        <v>35.035029907695353</v>
      </c>
      <c r="AA31" s="3">
        <f t="shared" si="4"/>
        <v>43.464830732259081</v>
      </c>
      <c r="AB31" s="2">
        <f t="shared" si="5"/>
        <v>49.43865130558391</v>
      </c>
      <c r="AC31" s="2">
        <f t="shared" si="6"/>
        <v>51.198731394911015</v>
      </c>
      <c r="AD31" s="2">
        <f t="shared" si="7"/>
        <v>-0.21992103005806304</v>
      </c>
      <c r="AE31" s="2">
        <f t="shared" si="8"/>
        <v>-1.8166421232953138</v>
      </c>
    </row>
    <row r="32" spans="2:31" x14ac:dyDescent="0.2">
      <c r="B32" s="1">
        <f>[4]FormattedData!A74</f>
        <v>307</v>
      </c>
      <c r="C32" s="1" t="str">
        <f>VLOOKUP($B32,[4]TrtCodes!$B$11:I117,2)</f>
        <v>NTH</v>
      </c>
      <c r="D32" s="1">
        <f>VLOOKUP($B32,[4]TrtCodes!$B$11:J117,3)</f>
        <v>9</v>
      </c>
      <c r="E32" s="1">
        <f>VLOOKUP($B32,[4]TrtCodes!$B$11:K117,4)</f>
        <v>2</v>
      </c>
      <c r="F32" s="1">
        <f>VLOOKUP($B32,[4]TrtCodes!$B$11:L117,5)</f>
        <v>2</v>
      </c>
      <c r="G32" s="1">
        <f>VLOOKUP($B32,[4]TrtCodes!$B$11:M117,6)</f>
        <v>2</v>
      </c>
      <c r="H32" s="1">
        <f>VLOOKUP($B32,[4]TrtCodes!$B$11:N117,7)</f>
        <v>4</v>
      </c>
      <c r="I32" s="1">
        <f>[4]FormattedData!B74</f>
        <v>1</v>
      </c>
      <c r="J32" s="4">
        <f>[4]FormattedData!C74</f>
        <v>13.379</v>
      </c>
      <c r="K32" s="6">
        <f>$J$3+[4]FormattedData!D74*$J$4+$M$4*$J$5+[4]FormattedData!D74^2*$J$6+$M$5*$J$7</f>
        <v>53.11522168555905</v>
      </c>
      <c r="L32" s="6">
        <f>$J$3+[4]FormattedData!E74*$J$4+$M$4*$J$5+[4]FormattedData!E74^2*$J$6+$M$5*$J$7</f>
        <v>40.847743558970961</v>
      </c>
      <c r="M32" s="6">
        <f>$J$3+[4]FormattedData!F74*$J$4+$M$4*$J$5+[4]FormattedData!F74^2*$J$6+$M$5*$J$7</f>
        <v>50.496753610123619</v>
      </c>
      <c r="N32" s="6">
        <f>$J$3+[4]FormattedData!G74*$J$4+$M$4*$J$5+[4]FormattedData!G74^2*$J$6+$M$5*$J$7</f>
        <v>33.98706979061248</v>
      </c>
      <c r="O32" s="6">
        <f>$J$3+[4]FormattedData!H74*$J$4+$M$4*$J$5+[4]FormattedData!H74^2*$J$6+$M$5*$J$7</f>
        <v>51.373803155728545</v>
      </c>
      <c r="P32" s="6">
        <f>$J$3+[4]FormattedData!I74*$J$4+$M$4*$J$5+[4]FormattedData!I74^2*$J$6+$M$5*$J$7</f>
        <v>33.700305679958532</v>
      </c>
      <c r="Q32" s="6">
        <f>$J$3+[4]FormattedData!J74*$J$4+$M$4*$J$5+[4]FormattedData!J74^2*$J$6+$M$5*$J$7</f>
        <v>50.935806739650225</v>
      </c>
      <c r="R32" s="6">
        <f>$J$3+[4]FormattedData!K74*$J$4+$M$4*$J$5+[4]FormattedData!K74^2*$J$6+$M$5*$J$7</f>
        <v>34.559456761396248</v>
      </c>
      <c r="S32" s="6">
        <f>$J$3+[4]FormattedData!L74*$J$4+$M$4*$J$5+[4]FormattedData!L74^2*$J$6+$M$5*$J$7</f>
        <v>48.285637260766435</v>
      </c>
      <c r="T32" s="6">
        <f>$J$3+[4]FormattedData!M74*$J$4+$M$4*$J$5+[4]FormattedData!M74^2*$J$6+$M$5*$J$7</f>
        <v>37.11636749627484</v>
      </c>
      <c r="U32" s="6">
        <f>$J$3+[4]FormattedData!N74*$J$4+$M$4*$J$5+[4]FormattedData!N74^2*$J$6+$M$5*$J$7</f>
        <v>50.760312293453381</v>
      </c>
      <c r="V32" s="6">
        <f>$J$3+[4]FormattedData!O74*$J$4+$M$4*$J$5+[4]FormattedData!O74^2*$J$6+$M$5*$J$7</f>
        <v>40.940161455510776</v>
      </c>
      <c r="W32" s="5">
        <f t="shared" si="0"/>
        <v>43.843219957333751</v>
      </c>
      <c r="X32" s="4">
        <f t="shared" si="1"/>
        <v>2.2253652600264524</v>
      </c>
      <c r="Y32" s="3">
        <f t="shared" si="2"/>
        <v>33.700305679958532</v>
      </c>
      <c r="Z32" s="2">
        <f t="shared" si="3"/>
        <v>36.477139812555194</v>
      </c>
      <c r="AA32" s="3">
        <f t="shared" si="4"/>
        <v>44.612899358138606</v>
      </c>
      <c r="AB32" s="2">
        <f t="shared" si="5"/>
        <v>50.804185905002591</v>
      </c>
      <c r="AC32" s="2">
        <f t="shared" si="6"/>
        <v>53.11522168555905</v>
      </c>
      <c r="AD32" s="2">
        <f t="shared" si="7"/>
        <v>-0.20543496970830538</v>
      </c>
      <c r="AE32" s="2">
        <f t="shared" si="8"/>
        <v>-1.9172942579322849</v>
      </c>
    </row>
    <row r="33" spans="2:31" x14ac:dyDescent="0.2">
      <c r="B33" s="1">
        <f>[4]FormattedData!A76</f>
        <v>308</v>
      </c>
      <c r="C33" s="1" t="str">
        <f>VLOOKUP($B33,[4]TrtCodes!$B$11:I119,2)</f>
        <v>FDH</v>
      </c>
      <c r="D33" s="1">
        <f>VLOOKUP($B33,[4]TrtCodes!$B$11:J119,3)</f>
        <v>5</v>
      </c>
      <c r="E33" s="1">
        <f>VLOOKUP($B33,[4]TrtCodes!$B$11:K119,4)</f>
        <v>1</v>
      </c>
      <c r="F33" s="1">
        <f>VLOOKUP($B33,[4]TrtCodes!$B$11:L119,5)</f>
        <v>3</v>
      </c>
      <c r="G33" s="1">
        <f>VLOOKUP($B33,[4]TrtCodes!$B$11:M119,6)</f>
        <v>2</v>
      </c>
      <c r="H33" s="1">
        <f>VLOOKUP($B33,[4]TrtCodes!$B$11:N119,7)</f>
        <v>4</v>
      </c>
      <c r="I33" s="1">
        <f>[4]FormattedData!B76</f>
        <v>1</v>
      </c>
      <c r="J33" s="4">
        <f>[4]FormattedData!C76</f>
        <v>13.398</v>
      </c>
      <c r="K33" s="6">
        <f>$J$3+[4]FormattedData!D76*$J$4+$M$4*$J$5+[4]FormattedData!D76^2*$J$6+$M$5*$J$7</f>
        <v>45.867959089833022</v>
      </c>
      <c r="L33" s="6">
        <f>$J$3+[4]FormattedData!E76*$J$4+$M$4*$J$5+[4]FormattedData!E76^2*$J$6+$M$5*$J$7</f>
        <v>41.309410356290719</v>
      </c>
      <c r="M33" s="6">
        <f>$J$3+[4]FormattedData!F76*$J$4+$M$4*$J$5+[4]FormattedData!F76^2*$J$6+$M$5*$J$7</f>
        <v>48.374589137195898</v>
      </c>
      <c r="N33" s="6">
        <f>$J$3+[4]FormattedData!G76*$J$4+$M$4*$J$5+[4]FormattedData!G76^2*$J$6+$M$5*$J$7</f>
        <v>39.270172231490648</v>
      </c>
      <c r="O33" s="6">
        <f>$J$3+[4]FormattedData!H76*$J$4+$M$4*$J$5+[4]FormattedData!H76^2*$J$6+$M$5*$J$7</f>
        <v>49.968494992939974</v>
      </c>
      <c r="P33" s="6">
        <f>$J$3+[4]FormattedData!I76*$J$4+$M$4*$J$5+[4]FormattedData!I76^2*$J$6+$M$5*$J$7</f>
        <v>38.617033480636067</v>
      </c>
      <c r="Q33" s="6">
        <f>$J$3+[4]FormattedData!J76*$J$4+$M$4*$J$5+[4]FormattedData!J76^2*$J$6+$M$5*$J$7</f>
        <v>51.286288409588742</v>
      </c>
      <c r="R33" s="6">
        <f>$J$3+[4]FormattedData!K76*$J$4+$M$4*$J$5+[4]FormattedData!K76^2*$J$6+$M$5*$J$7</f>
        <v>38.89720369937276</v>
      </c>
      <c r="S33" s="6">
        <f>$J$3+[4]FormattedData!L76*$J$4+$M$4*$J$5+[4]FormattedData!L76^2*$J$6+$M$5*$J$7</f>
        <v>51.636093782920369</v>
      </c>
      <c r="T33" s="6">
        <f>$J$3+[4]FormattedData!M76*$J$4+$M$4*$J$5+[4]FormattedData!M76^2*$J$6+$M$5*$J$7</f>
        <v>35.51005356300135</v>
      </c>
      <c r="U33" s="6">
        <f>$J$3+[4]FormattedData!N76*$J$4+$M$4*$J$5+[4]FormattedData!N76^2*$J$6+$M$5*$J$7</f>
        <v>49.703795059086076</v>
      </c>
      <c r="V33" s="6">
        <f>$J$3+[4]FormattedData!O76*$J$4+$M$4*$J$5+[4]FormattedData!O76^2*$J$6+$M$5*$J$7</f>
        <v>42.68807046756033</v>
      </c>
      <c r="W33" s="5">
        <f t="shared" si="0"/>
        <v>44.427430355826338</v>
      </c>
      <c r="X33" s="4">
        <f t="shared" si="1"/>
        <v>1.6478080710808198</v>
      </c>
      <c r="Y33" s="3">
        <f t="shared" si="2"/>
        <v>35.51005356300135</v>
      </c>
      <c r="Z33" s="2">
        <f t="shared" si="3"/>
        <v>39.176930098461177</v>
      </c>
      <c r="AA33" s="3">
        <f t="shared" si="4"/>
        <v>44.278014778696672</v>
      </c>
      <c r="AB33" s="2">
        <f t="shared" si="5"/>
        <v>49.769970042549552</v>
      </c>
      <c r="AC33" s="2">
        <f t="shared" si="6"/>
        <v>51.636093782920369</v>
      </c>
      <c r="AD33" s="2">
        <f t="shared" si="7"/>
        <v>-9.8757352366048781E-2</v>
      </c>
      <c r="AE33" s="2">
        <f t="shared" si="8"/>
        <v>-1.6455275079317175</v>
      </c>
    </row>
    <row r="34" spans="2:31" x14ac:dyDescent="0.2">
      <c r="B34" s="1">
        <f>[4]FormattedData!A92</f>
        <v>401</v>
      </c>
      <c r="C34" s="1" t="str">
        <f>VLOOKUP($B34,[4]TrtCodes!$B$11:I129,2)</f>
        <v>NSH</v>
      </c>
      <c r="D34" s="1">
        <f>VLOOKUP($B34,[4]TrtCodes!$B$11:J129,3)</f>
        <v>7</v>
      </c>
      <c r="E34" s="1">
        <f>VLOOKUP($B34,[4]TrtCodes!$B$11:K129,4)</f>
        <v>2</v>
      </c>
      <c r="F34" s="1">
        <f>VLOOKUP($B34,[4]TrtCodes!$B$11:L129,5)</f>
        <v>1</v>
      </c>
      <c r="G34" s="1">
        <f>VLOOKUP($B34,[4]TrtCodes!$B$11:M129,6)</f>
        <v>2</v>
      </c>
      <c r="H34" s="1">
        <f>VLOOKUP($B34,[4]TrtCodes!$B$11:N129,7)</f>
        <v>3</v>
      </c>
      <c r="I34" s="1">
        <f>[4]FormattedData!B92</f>
        <v>1</v>
      </c>
      <c r="J34" s="4">
        <f>[4]FormattedData!C92</f>
        <v>13.545999999999999</v>
      </c>
      <c r="K34" s="6">
        <f>$J$3+[4]FormattedData!D92*$J$4+$M$4*$J$5+[4]FormattedData!D92^2*$J$6+$M$5*$J$7</f>
        <v>46.497723339211674</v>
      </c>
      <c r="L34" s="6">
        <f>$J$3+[4]FormattedData!E92*$J$4+$M$4*$J$5+[4]FormattedData!E92^2*$J$6+$M$5*$J$7</f>
        <v>39.921239823986603</v>
      </c>
      <c r="M34" s="6">
        <f>$J$3+[4]FormattedData!F92*$J$4+$M$4*$J$5+[4]FormattedData!F92^2*$J$6+$M$5*$J$7</f>
        <v>45.958052216786626</v>
      </c>
      <c r="N34" s="6">
        <f>$J$3+[4]FormattedData!G92*$J$4+$M$4*$J$5+[4]FormattedData!G92^2*$J$6+$M$5*$J$7</f>
        <v>37.680385296548238</v>
      </c>
      <c r="O34" s="6">
        <f>$J$3+[4]FormattedData!H92*$J$4+$M$4*$J$5+[4]FormattedData!H92^2*$J$6+$M$5*$J$7</f>
        <v>44.692902002484459</v>
      </c>
      <c r="P34" s="6">
        <f>$J$3+[4]FormattedData!I92*$J$4+$M$4*$J$5+[4]FormattedData!I92^2*$J$6+$M$5*$J$7</f>
        <v>40.847743558970961</v>
      </c>
      <c r="Q34" s="6">
        <f>$J$3+[4]FormattedData!J92*$J$4+$M$4*$J$5+[4]FormattedData!J92^2*$J$6+$M$5*$J$7</f>
        <v>42.596455673241209</v>
      </c>
      <c r="R34" s="6">
        <f>$J$3+[4]FormattedData!K92*$J$4+$M$4*$J$5+[4]FormattedData!K92^2*$J$6+$M$5*$J$7</f>
        <v>39.549454810930783</v>
      </c>
      <c r="S34" s="6">
        <f>$J$3+[4]FormattedData!L92*$J$4+$M$4*$J$5+[4]FormattedData!L92^2*$J$6+$M$5*$J$7</f>
        <v>42.962661239290114</v>
      </c>
      <c r="T34" s="6">
        <f>$J$3+[4]FormattedData!M92*$J$4+$M$4*$J$5+[4]FormattedData!M92^2*$J$6+$M$5*$J$7</f>
        <v>35.6996657008672</v>
      </c>
      <c r="U34" s="6">
        <f>$J$3+[4]FormattedData!N92*$J$4+$M$4*$J$5+[4]FormattedData!N92^2*$J$6+$M$5*$J$7</f>
        <v>43.419467154747792</v>
      </c>
      <c r="V34" s="6">
        <f>$J$3+[4]FormattedData!O92*$J$4+$M$4*$J$5+[4]FormattedData!O92^2*$J$6+$M$5*$J$7</f>
        <v>38.055551792638546</v>
      </c>
      <c r="W34" s="5">
        <f t="shared" si="0"/>
        <v>41.490108550808678</v>
      </c>
      <c r="X34" s="4">
        <f t="shared" si="1"/>
        <v>0.98815320154748931</v>
      </c>
      <c r="Y34" s="3">
        <f t="shared" si="2"/>
        <v>35.6996657008672</v>
      </c>
      <c r="Z34" s="2">
        <f t="shared" si="3"/>
        <v>39.175979056357725</v>
      </c>
      <c r="AA34" s="3">
        <f t="shared" si="4"/>
        <v>41.722099616106085</v>
      </c>
      <c r="AB34" s="2">
        <f t="shared" si="5"/>
        <v>43.737825866681959</v>
      </c>
      <c r="AC34" s="2">
        <f t="shared" si="6"/>
        <v>46.497723339211674</v>
      </c>
      <c r="AD34" s="2">
        <f t="shared" si="7"/>
        <v>-0.11436105462423</v>
      </c>
      <c r="AE34" s="2">
        <f t="shared" si="8"/>
        <v>-0.99533127191118131</v>
      </c>
    </row>
    <row r="35" spans="2:31" x14ac:dyDescent="0.2">
      <c r="B35" s="1">
        <f>[4]FormattedData!A90</f>
        <v>402</v>
      </c>
      <c r="C35" s="1" t="str">
        <f>VLOOKUP($B35,[4]TrtCodes!$B$11:I130,2)</f>
        <v>NTH</v>
      </c>
      <c r="D35" s="1">
        <f>VLOOKUP($B35,[4]TrtCodes!$B$11:J130,3)</f>
        <v>9</v>
      </c>
      <c r="E35" s="1">
        <f>VLOOKUP($B35,[4]TrtCodes!$B$11:K130,4)</f>
        <v>2</v>
      </c>
      <c r="F35" s="1">
        <f>VLOOKUP($B35,[4]TrtCodes!$B$11:L130,5)</f>
        <v>2</v>
      </c>
      <c r="G35" s="1">
        <f>VLOOKUP($B35,[4]TrtCodes!$B$11:M130,6)</f>
        <v>2</v>
      </c>
      <c r="H35" s="1">
        <f>VLOOKUP($B35,[4]TrtCodes!$B$11:N130,7)</f>
        <v>3</v>
      </c>
      <c r="I35" s="1">
        <f>[4]FormattedData!B90</f>
        <v>1</v>
      </c>
      <c r="J35" s="4">
        <f>[4]FormattedData!C90</f>
        <v>13.529</v>
      </c>
      <c r="K35" s="6">
        <f>$J$3+[4]FormattedData!D90*$J$4+$M$4*$J$5+[4]FormattedData!D90^2*$J$6+$M$5*$J$7</f>
        <v>51.636093782920369</v>
      </c>
      <c r="L35" s="6">
        <f>$J$3+[4]FormattedData!E90*$J$4+$M$4*$J$5+[4]FormattedData!E90^2*$J$6+$M$5*$J$7</f>
        <v>38.43004199212195</v>
      </c>
      <c r="M35" s="6">
        <f>$J$3+[4]FormattedData!F90*$J$4+$M$4*$J$5+[4]FormattedData!F90^2*$J$6+$M$5*$J$7</f>
        <v>49.438714708390805</v>
      </c>
      <c r="N35" s="6">
        <f>$J$3+[4]FormattedData!G90*$J$4+$M$4*$J$5+[4]FormattedData!G90^2*$J$6+$M$5*$J$7</f>
        <v>40.477649287432392</v>
      </c>
      <c r="O35" s="6">
        <f>$J$3+[4]FormattedData!H90*$J$4+$M$4*$J$5+[4]FormattedData!H90^2*$J$6+$M$5*$J$7</f>
        <v>49.703795059086076</v>
      </c>
      <c r="P35" s="6">
        <f>$J$3+[4]FormattedData!I90*$J$4+$M$4*$J$5+[4]FormattedData!I90^2*$J$6+$M$5*$J$7</f>
        <v>33.98706979061248</v>
      </c>
      <c r="Q35" s="6">
        <f>$J$3+[4]FormattedData!J90*$J$4+$M$4*$J$5+[4]FormattedData!J90^2*$J$6+$M$5*$J$7</f>
        <v>47.57250058196523</v>
      </c>
      <c r="R35" s="6">
        <f>$J$3+[4]FormattedData!K90*$J$4+$M$4*$J$5+[4]FormattedData!K90^2*$J$6+$M$5*$J$7</f>
        <v>35.6996657008672</v>
      </c>
      <c r="S35" s="6">
        <f>$J$3+[4]FormattedData!L90*$J$4+$M$4*$J$5+[4]FormattedData!L90^2*$J$6+$M$5*$J$7</f>
        <v>48.552366084441026</v>
      </c>
      <c r="T35" s="6">
        <f>$J$3+[4]FormattedData!M90*$J$4+$M$4*$J$5+[4]FormattedData!M90^2*$J$6+$M$5*$J$7</f>
        <v>37.774240323377711</v>
      </c>
      <c r="U35" s="6">
        <f>$J$3+[4]FormattedData!N90*$J$4+$M$4*$J$5+[4]FormattedData!N90^2*$J$6+$M$5*$J$7</f>
        <v>48.552366084441026</v>
      </c>
      <c r="V35" s="6">
        <f>$J$3+[4]FormattedData!O90*$J$4+$M$4*$J$5+[4]FormattedData!O90^2*$J$6+$M$5*$J$7</f>
        <v>35.225318342168102</v>
      </c>
      <c r="W35" s="5">
        <f t="shared" si="0"/>
        <v>43.087485144818693</v>
      </c>
      <c r="X35" s="4">
        <f t="shared" si="1"/>
        <v>1.9325408917663198</v>
      </c>
      <c r="Y35" s="3">
        <f t="shared" si="2"/>
        <v>33.98706979061248</v>
      </c>
      <c r="Z35" s="2">
        <f t="shared" si="3"/>
        <v>37.255596667750083</v>
      </c>
      <c r="AA35" s="3">
        <f t="shared" si="4"/>
        <v>44.025074934698807</v>
      </c>
      <c r="AB35" s="2">
        <f t="shared" si="5"/>
        <v>48.773953240428469</v>
      </c>
      <c r="AC35" s="2">
        <f t="shared" si="6"/>
        <v>51.636093782920369</v>
      </c>
      <c r="AD35" s="2">
        <f t="shared" si="7"/>
        <v>-0.11799199346340788</v>
      </c>
      <c r="AE35" s="2">
        <f t="shared" si="8"/>
        <v>-1.9900168666623417</v>
      </c>
    </row>
    <row r="36" spans="2:31" x14ac:dyDescent="0.2">
      <c r="B36" s="1">
        <f>[4]FormattedData!A88</f>
        <v>403</v>
      </c>
      <c r="C36" s="1" t="str">
        <f>VLOOKUP($B36,[4]TrtCodes!$B$11:I131,2)</f>
        <v>FDL</v>
      </c>
      <c r="D36" s="1">
        <f>VLOOKUP($B36,[4]TrtCodes!$B$11:J131,3)</f>
        <v>6</v>
      </c>
      <c r="E36" s="1">
        <f>VLOOKUP($B36,[4]TrtCodes!$B$11:K131,4)</f>
        <v>1</v>
      </c>
      <c r="F36" s="1">
        <f>VLOOKUP($B36,[4]TrtCodes!$B$11:L131,5)</f>
        <v>3</v>
      </c>
      <c r="G36" s="1">
        <f>VLOOKUP($B36,[4]TrtCodes!$B$11:M131,6)</f>
        <v>1</v>
      </c>
      <c r="H36" s="1">
        <f>VLOOKUP($B36,[4]TrtCodes!$B$11:N131,7)</f>
        <v>3</v>
      </c>
      <c r="I36" s="1">
        <f>[4]FormattedData!B88</f>
        <v>1</v>
      </c>
      <c r="J36" s="4">
        <f>[4]FormattedData!C88</f>
        <v>13.510999999999999</v>
      </c>
      <c r="K36" s="6">
        <f>$J$3+[4]FormattedData!D88*$J$4+$M$4*$J$5+[4]FormattedData!D88^2*$J$6+$M$5*$J$7</f>
        <v>52.594571405203013</v>
      </c>
      <c r="L36" s="6">
        <f>$J$3+[4]FormattedData!E88*$J$4+$M$4*$J$5+[4]FormattedData!E88^2*$J$6+$M$5*$J$7</f>
        <v>38.89720369937276</v>
      </c>
      <c r="M36" s="6">
        <f>$J$3+[4]FormattedData!F88*$J$4+$M$4*$J$5+[4]FormattedData!F88^2*$J$6+$M$5*$J$7</f>
        <v>46.946286889772779</v>
      </c>
      <c r="N36" s="6">
        <f>$J$3+[4]FormattedData!G88*$J$4+$M$4*$J$5+[4]FormattedData!G88^2*$J$6+$M$5*$J$7</f>
        <v>36.078382754143725</v>
      </c>
      <c r="O36" s="6">
        <f>$J$3+[4]FormattedData!H88*$J$4+$M$4*$J$5+[4]FormattedData!H88^2*$J$6+$M$5*$J$7</f>
        <v>49.968494992939974</v>
      </c>
      <c r="P36" s="6">
        <f>$J$3+[4]FormattedData!I88*$J$4+$M$4*$J$5+[4]FormattedData!I88^2*$J$6+$M$5*$J$7</f>
        <v>37.586488001180825</v>
      </c>
      <c r="Q36" s="6">
        <f>$J$3+[4]FormattedData!J88*$J$4+$M$4*$J$5+[4]FormattedData!J88^2*$J$6+$M$5*$J$7</f>
        <v>50.672501667548055</v>
      </c>
      <c r="R36" s="6">
        <f>$J$3+[4]FormattedData!K88*$J$4+$M$4*$J$5+[4]FormattedData!K88^2*$J$6+$M$5*$J$7</f>
        <v>34.845079621526061</v>
      </c>
      <c r="S36" s="6">
        <f>$J$3+[4]FormattedData!L88*$J$4+$M$4*$J$5+[4]FormattedData!L88^2*$J$6+$M$5*$J$7</f>
        <v>48.641191155256699</v>
      </c>
      <c r="T36" s="6">
        <f>$J$3+[4]FormattedData!M88*$J$4+$M$4*$J$5+[4]FormattedData!M88^2*$J$6+$M$5*$J$7</f>
        <v>37.774240323377711</v>
      </c>
      <c r="U36" s="6">
        <f>$J$3+[4]FormattedData!N88*$J$4+$M$4*$J$5+[4]FormattedData!N88^2*$J$6+$M$5*$J$7</f>
        <v>50.672501667548055</v>
      </c>
      <c r="V36" s="6">
        <f>$J$3+[4]FormattedData!O88*$J$4+$M$4*$J$5+[4]FormattedData!O88^2*$J$6+$M$5*$J$7</f>
        <v>36.64519027792057</v>
      </c>
      <c r="W36" s="5">
        <f t="shared" si="0"/>
        <v>43.443511037982518</v>
      </c>
      <c r="X36" s="4">
        <f t="shared" si="1"/>
        <v>2.0068609819114331</v>
      </c>
      <c r="Y36" s="3">
        <f t="shared" si="2"/>
        <v>34.845079621526061</v>
      </c>
      <c r="Z36" s="2">
        <f t="shared" si="3"/>
        <v>37.351163570365763</v>
      </c>
      <c r="AA36" s="3">
        <f t="shared" si="4"/>
        <v>42.921745294572773</v>
      </c>
      <c r="AB36" s="2">
        <f t="shared" si="5"/>
        <v>50.144496661591994</v>
      </c>
      <c r="AC36" s="2">
        <f t="shared" si="6"/>
        <v>52.594571405203013</v>
      </c>
      <c r="AD36" s="2">
        <f t="shared" si="7"/>
        <v>5.0827688739637326E-2</v>
      </c>
      <c r="AE36" s="2">
        <f t="shared" si="8"/>
        <v>-2.1208379939033044</v>
      </c>
    </row>
    <row r="37" spans="2:31" x14ac:dyDescent="0.2">
      <c r="B37" s="1">
        <f>[4]FormattedData!A86</f>
        <v>404</v>
      </c>
      <c r="C37" s="1" t="str">
        <f>VLOOKUP($B37,[4]TrtCodes!$B$11:I129,2)</f>
        <v>FTH</v>
      </c>
      <c r="D37" s="1">
        <f>VLOOKUP($B37,[4]TrtCodes!$B$11:J129,3)</f>
        <v>3</v>
      </c>
      <c r="E37" s="1">
        <f>VLOOKUP($B37,[4]TrtCodes!$B$11:K129,4)</f>
        <v>1</v>
      </c>
      <c r="F37" s="1">
        <f>VLOOKUP($B37,[4]TrtCodes!$B$11:L129,5)</f>
        <v>2</v>
      </c>
      <c r="G37" s="1">
        <f>VLOOKUP($B37,[4]TrtCodes!$B$11:M129,6)</f>
        <v>2</v>
      </c>
      <c r="H37" s="1">
        <f>VLOOKUP($B37,[4]TrtCodes!$B$11:N129,7)</f>
        <v>3</v>
      </c>
      <c r="I37" s="1">
        <f>[4]FormattedData!B86</f>
        <v>1</v>
      </c>
      <c r="J37" s="4">
        <f>[4]FormattedData!C86</f>
        <v>13.493</v>
      </c>
      <c r="K37" s="6">
        <f>$J$3+[4]FormattedData!D86*$J$4+$M$4*$J$5+[4]FormattedData!D86^2*$J$6+$M$5*$J$7</f>
        <v>53.028552310177879</v>
      </c>
      <c r="L37" s="6">
        <f>$J$3+[4]FormattedData!E86*$J$4+$M$4*$J$5+[4]FormattedData!E86^2*$J$6+$M$5*$J$7</f>
        <v>53.201848792402302</v>
      </c>
      <c r="M37" s="6">
        <f>$J$3+[4]FormattedData!F86*$J$4+$M$4*$J$5+[4]FormattedData!F86^2*$J$6+$M$5*$J$7</f>
        <v>48.729973957534433</v>
      </c>
      <c r="N37" s="6">
        <f>$J$3+[4]FormattedData!G86*$J$4+$M$4*$J$5+[4]FormattedData!G86^2*$J$6+$M$5*$J$7</f>
        <v>35.41518409126153</v>
      </c>
      <c r="O37" s="6">
        <f>$J$3+[4]FormattedData!H86*$J$4+$M$4*$J$5+[4]FormattedData!H86^2*$J$6+$M$5*$J$7</f>
        <v>51.286288409588742</v>
      </c>
      <c r="P37" s="6">
        <f>$J$3+[4]FormattedData!I86*$J$4+$M$4*$J$5+[4]FormattedData!I86^2*$J$6+$M$5*$J$7</f>
        <v>40.755283393893208</v>
      </c>
      <c r="Q37" s="6">
        <f>$J$3+[4]FormattedData!J86*$J$4+$M$4*$J$5+[4]FormattedData!J86^2*$J$6+$M$5*$J$7</f>
        <v>50.584648773104803</v>
      </c>
      <c r="R37" s="6">
        <f>$J$3+[4]FormattedData!K86*$J$4+$M$4*$J$5+[4]FormattedData!K86^2*$J$6+$M$5*$J$7</f>
        <v>36.456423510813345</v>
      </c>
      <c r="S37" s="6">
        <f>$J$3+[4]FormattedData!L86*$J$4+$M$4*$J$5+[4]FormattedData!L86^2*$J$6+$M$5*$J$7</f>
        <v>50.848080650820769</v>
      </c>
      <c r="T37" s="6">
        <f>$J$3+[4]FormattedData!M86*$J$4+$M$4*$J$5+[4]FormattedData!M86^2*$J$6+$M$5*$J$7</f>
        <v>38.149237745316292</v>
      </c>
      <c r="U37" s="6">
        <f>$J$3+[4]FormattedData!N86*$J$4+$M$4*$J$5+[4]FormattedData!N86^2*$J$6+$M$5*$J$7</f>
        <v>50.848080650820769</v>
      </c>
      <c r="V37" s="6">
        <f>$J$3+[4]FormattedData!O86*$J$4+$M$4*$J$5+[4]FormattedData!O86^2*$J$6+$M$5*$J$7</f>
        <v>43.419467154747792</v>
      </c>
      <c r="W37" s="5">
        <f t="shared" si="0"/>
        <v>46.060255786706819</v>
      </c>
      <c r="X37" s="4">
        <f t="shared" si="1"/>
        <v>1.953176964981217</v>
      </c>
      <c r="Y37" s="3">
        <f t="shared" si="2"/>
        <v>35.41518409126153</v>
      </c>
      <c r="Z37" s="2">
        <f t="shared" si="3"/>
        <v>40.103771981748977</v>
      </c>
      <c r="AA37" s="3">
        <f t="shared" si="4"/>
        <v>49.657311365319615</v>
      </c>
      <c r="AB37" s="2">
        <f t="shared" si="5"/>
        <v>50.957632590512759</v>
      </c>
      <c r="AC37" s="2">
        <f t="shared" si="6"/>
        <v>53.201848792402302</v>
      </c>
      <c r="AD37" s="2">
        <f t="shared" si="7"/>
        <v>-0.55591913238201129</v>
      </c>
      <c r="AE37" s="2">
        <f t="shared" si="8"/>
        <v>-1.5271681623994686</v>
      </c>
    </row>
    <row r="38" spans="2:31" x14ac:dyDescent="0.2">
      <c r="B38" s="1">
        <f>[4]FormattedData!A84</f>
        <v>405</v>
      </c>
      <c r="C38" s="1" t="str">
        <f>VLOOKUP($B38,[4]TrtCodes!$B$11:I127,2)</f>
        <v>FDL</v>
      </c>
      <c r="D38" s="1">
        <f>VLOOKUP($B38,[4]TrtCodes!$B$11:J127,3)</f>
        <v>6</v>
      </c>
      <c r="E38" s="1">
        <f>VLOOKUP($B38,[4]TrtCodes!$B$11:K127,4)</f>
        <v>1</v>
      </c>
      <c r="F38" s="1">
        <f>VLOOKUP($B38,[4]TrtCodes!$B$11:L127,5)</f>
        <v>3</v>
      </c>
      <c r="G38" s="1">
        <f>VLOOKUP($B38,[4]TrtCodes!$B$11:M127,6)</f>
        <v>1</v>
      </c>
      <c r="H38" s="1">
        <f>VLOOKUP($B38,[4]TrtCodes!$B$11:N127,7)</f>
        <v>4</v>
      </c>
      <c r="I38" s="1">
        <f>[4]FormattedData!B84</f>
        <v>1</v>
      </c>
      <c r="J38" s="4">
        <f>[4]FormattedData!C84</f>
        <v>13.475</v>
      </c>
      <c r="K38" s="6">
        <f>$J$3+[4]FormattedData!D84*$J$4+$M$4*$J$5+[4]FormattedData!D84^2*$J$6+$M$5*$J$7</f>
        <v>51.548705842394355</v>
      </c>
      <c r="L38" s="6">
        <f>$J$3+[4]FormattedData!E84*$J$4+$M$4*$J$5+[4]FormattedData!E84^2*$J$6+$M$5*$J$7</f>
        <v>39.921239823986603</v>
      </c>
      <c r="M38" s="6">
        <f>$J$3+[4]FormattedData!F84*$J$4+$M$4*$J$5+[4]FormattedData!F84^2*$J$6+$M$5*$J$7</f>
        <v>50.848080650820769</v>
      </c>
      <c r="N38" s="6">
        <f>$J$3+[4]FormattedData!G84*$J$4+$M$4*$J$5+[4]FormattedData!G84^2*$J$6+$M$5*$J$7</f>
        <v>35.130322064814479</v>
      </c>
      <c r="O38" s="6">
        <f>$J$3+[4]FormattedData!H84*$J$4+$M$4*$J$5+[4]FormattedData!H84^2*$J$6+$M$5*$J$7</f>
        <v>50.23281450995249</v>
      </c>
      <c r="P38" s="6">
        <f>$J$3+[4]FormattedData!I84*$J$4+$M$4*$J$5+[4]FormattedData!I84^2*$J$6+$M$5*$J$7</f>
        <v>34.273453484425055</v>
      </c>
      <c r="Q38" s="6">
        <f>$J$3+[4]FormattedData!J84*$J$4+$M$4*$J$5+[4]FormattedData!J84^2*$J$6+$M$5*$J$7</f>
        <v>50.144750272819579</v>
      </c>
      <c r="R38" s="6">
        <f>$J$3+[4]FormattedData!K84*$J$4+$M$4*$J$5+[4]FormattedData!K84^2*$J$6+$M$5*$J$7</f>
        <v>37.02221658967985</v>
      </c>
      <c r="S38" s="6">
        <f>$J$3+[4]FormattedData!L84*$J$4+$M$4*$J$5+[4]FormattedData!L84^2*$J$6+$M$5*$J$7</f>
        <v>50.144750272819579</v>
      </c>
      <c r="T38" s="6">
        <f>$J$3+[4]FormattedData!M84*$J$4+$M$4*$J$5+[4]FormattedData!M84^2*$J$6+$M$5*$J$7</f>
        <v>35.604880766203244</v>
      </c>
      <c r="U38" s="6">
        <f>$J$3+[4]FormattedData!N84*$J$4+$M$4*$J$5+[4]FormattedData!N84^2*$J$6+$M$5*$J$7</f>
        <v>49.261783131904295</v>
      </c>
      <c r="V38" s="6">
        <f>$J$3+[4]FormattedData!O84*$J$4+$M$4*$J$5+[4]FormattedData!O84^2*$J$6+$M$5*$J$7</f>
        <v>42.504798610384157</v>
      </c>
      <c r="W38" s="5">
        <f t="shared" si="0"/>
        <v>43.8864830016837</v>
      </c>
      <c r="X38" s="4">
        <f t="shared" si="1"/>
        <v>2.0543580419091083</v>
      </c>
      <c r="Y38" s="3">
        <f t="shared" si="2"/>
        <v>34.273453484425055</v>
      </c>
      <c r="Z38" s="2">
        <f t="shared" si="3"/>
        <v>36.667882633810699</v>
      </c>
      <c r="AA38" s="3">
        <f t="shared" si="4"/>
        <v>45.883290871144226</v>
      </c>
      <c r="AB38" s="2">
        <f t="shared" si="5"/>
        <v>50.16676633210281</v>
      </c>
      <c r="AC38" s="2">
        <f t="shared" si="6"/>
        <v>51.548705842394355</v>
      </c>
      <c r="AD38" s="2">
        <f t="shared" si="7"/>
        <v>-0.25053649557257068</v>
      </c>
      <c r="AE38" s="2">
        <f t="shared" si="8"/>
        <v>-2.0112683931924349</v>
      </c>
    </row>
    <row r="39" spans="2:31" x14ac:dyDescent="0.2">
      <c r="B39" s="1">
        <f>[4]FormattedData!A82</f>
        <v>406</v>
      </c>
      <c r="C39" s="1" t="str">
        <f>VLOOKUP($B39,[4]TrtCodes!$B$11:I125,2)</f>
        <v>FTH</v>
      </c>
      <c r="D39" s="1">
        <f>VLOOKUP($B39,[4]TrtCodes!$B$11:J125,3)</f>
        <v>3</v>
      </c>
      <c r="E39" s="1">
        <f>VLOOKUP($B39,[4]TrtCodes!$B$11:K125,4)</f>
        <v>1</v>
      </c>
      <c r="F39" s="1">
        <f>VLOOKUP($B39,[4]TrtCodes!$B$11:L125,5)</f>
        <v>2</v>
      </c>
      <c r="G39" s="1">
        <f>VLOOKUP($B39,[4]TrtCodes!$B$11:M125,6)</f>
        <v>2</v>
      </c>
      <c r="H39" s="1">
        <f>VLOOKUP($B39,[4]TrtCodes!$B$11:N125,7)</f>
        <v>4</v>
      </c>
      <c r="I39" s="1">
        <f>[4]FormattedData!B82</f>
        <v>1</v>
      </c>
      <c r="J39" s="4">
        <f>[4]FormattedData!C82</f>
        <v>13.457000000000001</v>
      </c>
      <c r="K39" s="6">
        <f>$J$3+[4]FormattedData!D82*$J$4+$M$4*$J$5+[4]FormattedData!D82^2*$J$6+$M$5*$J$7</f>
        <v>54.410190091725013</v>
      </c>
      <c r="L39" s="6">
        <f>$J$3+[4]FormattedData!E82*$J$4+$M$4*$J$5+[4]FormattedData!E82^2*$J$6+$M$5*$J$7</f>
        <v>41.124870442976608</v>
      </c>
      <c r="M39" s="6">
        <f>$J$3+[4]FormattedData!F82*$J$4+$M$4*$J$5+[4]FormattedData!F82^2*$J$6+$M$5*$J$7</f>
        <v>51.636093782920369</v>
      </c>
      <c r="N39" s="6">
        <f>$J$3+[4]FormattedData!G82*$J$4+$M$4*$J$5+[4]FormattedData!G82^2*$J$6+$M$5*$J$7</f>
        <v>35.225318342168102</v>
      </c>
      <c r="O39" s="6">
        <f>$J$3+[4]FormattedData!H82*$J$4+$M$4*$J$5+[4]FormattedData!H82^2*$J$6+$M$5*$J$7</f>
        <v>49.173253940854146</v>
      </c>
      <c r="P39" s="6">
        <f>$J$3+[4]FormattedData!I82*$J$4+$M$4*$J$5+[4]FormattedData!I82^2*$J$6+$M$5*$J$7</f>
        <v>37.492548437275495</v>
      </c>
      <c r="Q39" s="6">
        <f>$J$3+[4]FormattedData!J82*$J$4+$M$4*$J$5+[4]FormattedData!J82^2*$J$6+$M$5*$J$7</f>
        <v>42.229573810585407</v>
      </c>
      <c r="R39" s="6">
        <f>$J$3+[4]FormattedData!K82*$J$4+$M$4*$J$5+[4]FormattedData!K82^2*$J$6+$M$5*$J$7</f>
        <v>39.921239823986603</v>
      </c>
      <c r="S39" s="6">
        <f>$J$3+[4]FormattedData!L82*$J$4+$M$4*$J$5+[4]FormattedData!L82^2*$J$6+$M$5*$J$7</f>
        <v>45.326512688814852</v>
      </c>
      <c r="T39" s="6">
        <f>$J$3+[4]FormattedData!M82*$J$4+$M$4*$J$5+[4]FormattedData!M82^2*$J$6+$M$5*$J$7</f>
        <v>36.928023414546928</v>
      </c>
      <c r="U39" s="6">
        <f>$J$3+[4]FormattedData!N82*$J$4+$M$4*$J$5+[4]FormattedData!N82^2*$J$6+$M$5*$J$7</f>
        <v>49.527117093827158</v>
      </c>
      <c r="V39" s="6">
        <f>$J$3+[4]FormattedData!O82*$J$4+$M$4*$J$5+[4]FormattedData!O82^2*$J$6+$M$5*$J$7</f>
        <v>35.6996657008672</v>
      </c>
      <c r="W39" s="5">
        <f t="shared" si="0"/>
        <v>43.22453396421232</v>
      </c>
      <c r="X39" s="4">
        <f t="shared" si="1"/>
        <v>1.9164844324364991</v>
      </c>
      <c r="Y39" s="3">
        <f t="shared" si="2"/>
        <v>35.225318342168102</v>
      </c>
      <c r="Z39" s="2">
        <f t="shared" si="3"/>
        <v>37.351417181593355</v>
      </c>
      <c r="AA39" s="3">
        <f t="shared" si="4"/>
        <v>41.677222126781004</v>
      </c>
      <c r="AB39" s="2">
        <f t="shared" si="5"/>
        <v>49.2617197290974</v>
      </c>
      <c r="AC39" s="2">
        <f t="shared" si="6"/>
        <v>54.410190091725013</v>
      </c>
      <c r="AD39" s="2">
        <f t="shared" si="7"/>
        <v>0.38872639757272043</v>
      </c>
      <c r="AE39" s="2">
        <f t="shared" si="8"/>
        <v>-1.3076790147616828</v>
      </c>
    </row>
    <row r="40" spans="2:31" x14ac:dyDescent="0.2">
      <c r="B40" s="1">
        <f>[4]FormattedData!A80</f>
        <v>407</v>
      </c>
      <c r="C40" s="1" t="str">
        <f>VLOOKUP($B40,[4]TrtCodes!$B$11:I123,2)</f>
        <v>NSH</v>
      </c>
      <c r="D40" s="1">
        <f>VLOOKUP($B40,[4]TrtCodes!$B$11:J123,3)</f>
        <v>7</v>
      </c>
      <c r="E40" s="1">
        <f>VLOOKUP($B40,[4]TrtCodes!$B$11:K123,4)</f>
        <v>2</v>
      </c>
      <c r="F40" s="1">
        <f>VLOOKUP($B40,[4]TrtCodes!$B$11:L123,5)</f>
        <v>1</v>
      </c>
      <c r="G40" s="1">
        <f>VLOOKUP($B40,[4]TrtCodes!$B$11:M123,6)</f>
        <v>2</v>
      </c>
      <c r="H40" s="1">
        <f>VLOOKUP($B40,[4]TrtCodes!$B$11:N123,7)</f>
        <v>4</v>
      </c>
      <c r="I40" s="1">
        <f>[4]FormattedData!B80</f>
        <v>1</v>
      </c>
      <c r="J40" s="4">
        <f>[4]FormattedData!C80</f>
        <v>13.439</v>
      </c>
      <c r="K40" s="6">
        <f>$J$3+[4]FormattedData!D80*$J$4+$M$4*$J$5+[4]FormattedData!D80^2*$J$6+$M$5*$J$7</f>
        <v>45.145692406838677</v>
      </c>
      <c r="L40" s="6">
        <f>$J$3+[4]FormattedData!E80*$J$4+$M$4*$J$5+[4]FormattedData!E80^2*$J$6+$M$5*$J$7</f>
        <v>39.642464467001631</v>
      </c>
      <c r="M40" s="6">
        <f>$J$3+[4]FormattedData!F80*$J$4+$M$4*$J$5+[4]FormattedData!F80^2*$J$6+$M$5*$J$7</f>
        <v>44.874144969839939</v>
      </c>
      <c r="N40" s="6">
        <f>$J$3+[4]FormattedData!G80*$J$4+$M$4*$J$5+[4]FormattedData!G80^2*$J$6+$M$5*$J$7</f>
        <v>40.847743558970961</v>
      </c>
      <c r="O40" s="6">
        <f>$J$3+[4]FormattedData!H80*$J$4+$M$4*$J$5+[4]FormattedData!H80^2*$J$6+$M$5*$J$7</f>
        <v>43.69304348156723</v>
      </c>
      <c r="P40" s="6">
        <f>$J$3+[4]FormattedData!I80*$J$4+$M$4*$J$5+[4]FormattedData!I80^2*$J$6+$M$5*$J$7</f>
        <v>43.784151053431181</v>
      </c>
      <c r="Q40" s="6">
        <f>$J$3+[4]FormattedData!J80*$J$4+$M$4*$J$5+[4]FormattedData!J80^2*$J$6+$M$5*$J$7</f>
        <v>46.138111665080032</v>
      </c>
      <c r="R40" s="6">
        <f>$J$3+[4]FormattedData!K80*$J$4+$M$4*$J$5+[4]FormattedData!K80^2*$J$6+$M$5*$J$7</f>
        <v>39.083772502507564</v>
      </c>
      <c r="S40" s="6">
        <f>$J$3+[4]FormattedData!L80*$J$4+$M$4*$J$5+[4]FormattedData!L80^2*$J$6+$M$5*$J$7</f>
        <v>44.329908845318315</v>
      </c>
      <c r="T40" s="6">
        <f>$J$3+[4]FormattedData!M80*$J$4+$M$4*$J$5+[4]FormattedData!M80^2*$J$6+$M$5*$J$7</f>
        <v>36.64519027792057</v>
      </c>
      <c r="U40" s="6">
        <f>$J$3+[4]FormattedData!N80*$J$4+$M$4*$J$5+[4]FormattedData!N80^2*$J$6+$M$5*$J$7</f>
        <v>44.239054884681956</v>
      </c>
      <c r="V40" s="6">
        <f>$J$3+[4]FormattedData!O80*$J$4+$M$4*$J$5+[4]FormattedData!O80^2*$J$6+$M$5*$J$7</f>
        <v>42.596455673241209</v>
      </c>
      <c r="W40" s="5">
        <f t="shared" si="0"/>
        <v>42.584977815533271</v>
      </c>
      <c r="X40" s="4">
        <f t="shared" si="1"/>
        <v>0.83523223453944939</v>
      </c>
      <c r="Y40" s="3">
        <f t="shared" si="2"/>
        <v>36.64519027792057</v>
      </c>
      <c r="Z40" s="2">
        <f t="shared" si="3"/>
        <v>40.546423785978632</v>
      </c>
      <c r="AA40" s="3">
        <f t="shared" si="4"/>
        <v>43.738597267499202</v>
      </c>
      <c r="AB40" s="2">
        <f t="shared" si="5"/>
        <v>44.465967876448723</v>
      </c>
      <c r="AC40" s="2">
        <f t="shared" si="6"/>
        <v>46.138111665080032</v>
      </c>
      <c r="AD40" s="2">
        <f t="shared" si="7"/>
        <v>-0.88563149276797237</v>
      </c>
      <c r="AE40" s="2">
        <f t="shared" si="8"/>
        <v>-0.14501577578079372</v>
      </c>
    </row>
    <row r="41" spans="2:31" x14ac:dyDescent="0.2">
      <c r="B41" s="1">
        <f>[4]FormattedData!A78</f>
        <v>408</v>
      </c>
      <c r="C41" s="1" t="str">
        <f>VLOOKUP($B41,[4]TrtCodes!$B$11:I121,2)</f>
        <v>NTL</v>
      </c>
      <c r="D41" s="1">
        <f>VLOOKUP($B41,[4]TrtCodes!$B$11:J121,3)</f>
        <v>10</v>
      </c>
      <c r="E41" s="1">
        <f>VLOOKUP($B41,[4]TrtCodes!$B$11:K121,4)</f>
        <v>2</v>
      </c>
      <c r="F41" s="1">
        <f>VLOOKUP($B41,[4]TrtCodes!$B$11:L121,5)</f>
        <v>2</v>
      </c>
      <c r="G41" s="1">
        <f>VLOOKUP($B41,[4]TrtCodes!$B$11:M121,6)</f>
        <v>1</v>
      </c>
      <c r="H41" s="1">
        <f>VLOOKUP($B41,[4]TrtCodes!$B$11:N121,7)</f>
        <v>4</v>
      </c>
      <c r="I41" s="1">
        <f>[4]FormattedData!B78</f>
        <v>1</v>
      </c>
      <c r="J41" s="4">
        <f>[4]FormattedData!C78</f>
        <v>13.422000000000001</v>
      </c>
      <c r="K41" s="6">
        <f>$J$3+[4]FormattedData!D78*$J$4+$M$4*$J$5+[4]FormattedData!D78^2*$J$6+$M$5*$J$7</f>
        <v>52.159533786779875</v>
      </c>
      <c r="L41" s="6">
        <f>$J$3+[4]FormattedData!E78*$J$4+$M$4*$J$5+[4]FormattedData!E78^2*$J$6+$M$5*$J$7</f>
        <v>39.642464467001631</v>
      </c>
      <c r="M41" s="6">
        <f>$J$3+[4]FormattedData!F78*$J$4+$M$4*$J$5+[4]FormattedData!F78^2*$J$6+$M$5*$J$7</f>
        <v>50.760312293453381</v>
      </c>
      <c r="N41" s="6">
        <f>$J$3+[4]FormattedData!G78*$J$4+$M$4*$J$5+[4]FormattedData!G78^2*$J$6+$M$5*$J$7</f>
        <v>38.710465822086228</v>
      </c>
      <c r="O41" s="6">
        <f>$J$3+[4]FormattedData!H78*$J$4+$M$4*$J$5+[4]FormattedData!H78^2*$J$6+$M$5*$J$7</f>
        <v>48.107606702293722</v>
      </c>
      <c r="P41" s="6">
        <f>$J$3+[4]FormattedData!I78*$J$4+$M$4*$J$5+[4]FormattedData!I78^2*$J$6+$M$5*$J$7</f>
        <v>37.774240323377711</v>
      </c>
      <c r="Q41" s="6">
        <f>$J$3+[4]FormattedData!J78*$J$4+$M$4*$J$5+[4]FormattedData!J78^2*$J$6+$M$5*$J$7</f>
        <v>45.958052216786626</v>
      </c>
      <c r="R41" s="6">
        <f>$J$3+[4]FormattedData!K78*$J$4+$M$4*$J$5+[4]FormattedData!K78^2*$J$6+$M$5*$J$7</f>
        <v>36.833787970876074</v>
      </c>
      <c r="S41" s="6">
        <f>$J$3+[4]FormattedData!L78*$J$4+$M$4*$J$5+[4]FormattedData!L78^2*$J$6+$M$5*$J$7</f>
        <v>49.703795059086076</v>
      </c>
      <c r="T41" s="6">
        <f>$J$3+[4]FormattedData!M78*$J$4+$M$4*$J$5+[4]FormattedData!M78^2*$J$6+$M$5*$J$7</f>
        <v>36.456423510813345</v>
      </c>
      <c r="U41" s="6">
        <f>$J$3+[4]FormattedData!N78*$J$4+$M$4*$J$5+[4]FormattedData!N78^2*$J$6+$M$5*$J$7</f>
        <v>50.056643767148742</v>
      </c>
      <c r="V41" s="6">
        <f>$J$3+[4]FormattedData!O78*$J$4+$M$4*$J$5+[4]FormattedData!O78^2*$J$6+$M$5*$J$7</f>
        <v>43.145510411086981</v>
      </c>
      <c r="W41" s="5">
        <f t="shared" si="0"/>
        <v>44.109069694232538</v>
      </c>
      <c r="X41" s="4">
        <f t="shared" si="1"/>
        <v>1.7337499590147769</v>
      </c>
      <c r="Y41" s="3">
        <f t="shared" si="2"/>
        <v>36.456423510813345</v>
      </c>
      <c r="Z41" s="2">
        <f t="shared" si="3"/>
        <v>38.476409447409097</v>
      </c>
      <c r="AA41" s="3">
        <f t="shared" si="4"/>
        <v>44.5517813139368</v>
      </c>
      <c r="AB41" s="2">
        <f t="shared" si="5"/>
        <v>49.792007236101739</v>
      </c>
      <c r="AC41" s="2">
        <f t="shared" si="6"/>
        <v>52.159533786779875</v>
      </c>
      <c r="AD41" s="2">
        <f t="shared" si="7"/>
        <v>-3.175091875747009E-2</v>
      </c>
      <c r="AE41" s="2">
        <f t="shared" si="8"/>
        <v>-1.884146791650517</v>
      </c>
    </row>
    <row r="42" spans="2:31" x14ac:dyDescent="0.2">
      <c r="B42" s="17">
        <f>[4]FormattedData!A60</f>
        <v>901</v>
      </c>
      <c r="C42" s="17" t="str">
        <f>VLOOKUP($B42,[4]TrtCodes!$B$11:I103,2)</f>
        <v>WS</v>
      </c>
      <c r="D42" s="17">
        <f>VLOOKUP($B42,[4]TrtCodes!$B$11:J103,3)</f>
        <v>32</v>
      </c>
      <c r="E42" s="17">
        <f>VLOOKUP($B42,[4]TrtCodes!$B$11:K103,4)</f>
        <v>9</v>
      </c>
      <c r="F42" s="17">
        <f>VLOOKUP($B42,[4]TrtCodes!$B$11:L103,5)</f>
        <v>0</v>
      </c>
      <c r="G42" s="17">
        <f>VLOOKUP($B42,[4]TrtCodes!$B$11:M103,6)</f>
        <v>1</v>
      </c>
      <c r="H42" s="17">
        <f>VLOOKUP($B42,[4]TrtCodes!$B$11:N103,7)</f>
        <v>1</v>
      </c>
      <c r="I42" s="17">
        <f>[4]FormattedData!B60</f>
        <v>1</v>
      </c>
      <c r="J42" s="15">
        <f>[4]FormattedData!C60</f>
        <v>13.27</v>
      </c>
      <c r="K42" s="14">
        <f>$J$3+[4]FormattedData!D60*$J$4+$M$4*$J$5+[4]FormattedData!D60^2*$J$6+$M$5*$J$7</f>
        <v>29.840433261951759</v>
      </c>
      <c r="L42" s="14">
        <f>$J$3+[4]FormattedData!E60*$J$4+$M$4*$J$5+[4]FormattedData!E60^2*$J$6+$M$5*$J$7</f>
        <v>29.450726388813138</v>
      </c>
      <c r="M42" s="14">
        <f>$J$3+[4]FormattedData!F60*$J$4+$M$4*$J$5+[4]FormattedData!F60^2*$J$6+$M$5*$J$7</f>
        <v>29.548216509904684</v>
      </c>
      <c r="N42" s="14">
        <f>$J$3+[4]FormattedData!G60*$J$4+$M$4*$J$5+[4]FormattedData!G60^2*$J$6+$M$5*$J$7</f>
        <v>29.450726388813138</v>
      </c>
      <c r="O42" s="14">
        <f>$J$3+[4]FormattedData!H60*$J$4+$M$4*$J$5+[4]FormattedData!H60^2*$J$6+$M$5*$J$7</f>
        <v>29.937754308891581</v>
      </c>
      <c r="P42" s="14">
        <f>$J$3+[4]FormattedData!I60*$J$4+$M$4*$J$5+[4]FormattedData!I60^2*$J$6+$M$5*$J$7</f>
        <v>28.962641755286413</v>
      </c>
      <c r="Q42" s="14">
        <f>$J$3+[4]FormattedData!J60*$J$4+$M$4*$J$5+[4]FormattedData!J60^2*$J$6+$M$5*$J$7</f>
        <v>29.743069946473994</v>
      </c>
      <c r="R42" s="14">
        <f>$J$3+[4]FormattedData!K60*$J$4+$M$4*$J$5+[4]FormattedData!K60^2*$J$6+$M$5*$J$7</f>
        <v>28.669283752715202</v>
      </c>
      <c r="S42" s="14">
        <f>$J$3+[4]FormattedData!L60*$J$4+$M$4*$J$5+[4]FormattedData!L60^2*$J$6+$M$5*$J$7</f>
        <v>28.767112022110204</v>
      </c>
      <c r="T42" s="14">
        <f>$J$3+[4]FormattedData!M60*$J$4+$M$4*$J$5+[4]FormattedData!M60^2*$J$6+$M$5*$J$7</f>
        <v>29.645664362458309</v>
      </c>
      <c r="U42" s="14">
        <f>$J$3+[4]FormattedData!N60*$J$4+$M$4*$J$5+[4]FormattedData!N60^2*$J$6+$M$5*$J$7</f>
        <v>29.450726388813138</v>
      </c>
      <c r="V42" s="14">
        <f>$J$3+[4]FormattedData!O60*$J$4+$M$4*$J$5+[4]FormattedData!O60^2*$J$6+$M$5*$J$7</f>
        <v>29.645664362458309</v>
      </c>
      <c r="W42" s="16">
        <f t="shared" ref="W42:W73" si="9">AVERAGE(K42:V42)</f>
        <v>29.426001620724161</v>
      </c>
      <c r="X42" s="15">
        <f t="shared" ref="X42:X73" si="10">STDEV(K42:V42)/SQRT(COUNT(K42:V42))</f>
        <v>0.11898912555152062</v>
      </c>
      <c r="Y42" s="14">
        <f t="shared" ref="Y42:Y73" si="11">MIN(K42:V42)</f>
        <v>28.669283752715202</v>
      </c>
      <c r="Z42" s="13">
        <f t="shared" ref="Z42:Z73" si="12">QUARTILE(K42:V42,1)</f>
        <v>29.328705230431456</v>
      </c>
      <c r="AA42" s="14">
        <f t="shared" ref="AA42:AA73" si="13">MEDIAN(K42:V42)</f>
        <v>29.499471449358911</v>
      </c>
      <c r="AB42" s="13">
        <f t="shared" ref="AB42:AB73" si="14">QUARTILE(K42:V42,3)</f>
        <v>29.670015758462231</v>
      </c>
      <c r="AC42" s="13">
        <f t="shared" ref="AC42:AC73" si="15">MAX(K42:V42)</f>
        <v>29.937754308891581</v>
      </c>
      <c r="AD42" s="13">
        <f t="shared" ref="AD42:AD73" si="16">SKEW(K42:V42)</f>
        <v>-0.87030446021216046</v>
      </c>
      <c r="AE42" s="13">
        <f t="shared" ref="AE42:AE73" si="17">KURT(K42:V42)</f>
        <v>-0.34568943847299183</v>
      </c>
    </row>
    <row r="43" spans="2:31" x14ac:dyDescent="0.2">
      <c r="B43" s="1">
        <f>[4]FormattedData!A58</f>
        <v>902</v>
      </c>
      <c r="C43" s="1" t="str">
        <f>VLOOKUP($B43,[4]TrtCodes!$B$11:I101,2)</f>
        <v>Late</v>
      </c>
      <c r="D43" s="1">
        <f>VLOOKUP($B43,[4]TrtCodes!$B$11:J101,3)</f>
        <v>22</v>
      </c>
      <c r="E43" s="1">
        <f>VLOOKUP($B43,[4]TrtCodes!$B$11:K101,4)</f>
        <v>4</v>
      </c>
      <c r="F43" s="1">
        <f>VLOOKUP($B43,[4]TrtCodes!$B$11:L101,5)</f>
        <v>2</v>
      </c>
      <c r="G43" s="1">
        <f>VLOOKUP($B43,[4]TrtCodes!$B$11:M101,6)</f>
        <v>2</v>
      </c>
      <c r="H43" s="1">
        <f>VLOOKUP($B43,[4]TrtCodes!$B$11:N101,7)</f>
        <v>1</v>
      </c>
      <c r="I43" s="1">
        <f>[4]FormattedData!B58</f>
        <v>1</v>
      </c>
      <c r="J43" s="4">
        <f>[4]FormattedData!C58</f>
        <v>13.256</v>
      </c>
      <c r="K43" s="6">
        <f>$J$3+[4]FormattedData!D58*$J$4+$M$4*$J$5+[4]FormattedData!D58^2*$J$6+$M$5*$J$7</f>
        <v>53.201848792402302</v>
      </c>
      <c r="L43" s="6">
        <f>$J$3+[4]FormattedData!E58*$J$4+$M$4*$J$5+[4]FormattedData!E58^2*$J$6+$M$5*$J$7</f>
        <v>40.292348540435512</v>
      </c>
      <c r="M43" s="6">
        <f>$J$3+[4]FormattedData!F58*$J$4+$M$4*$J$5+[4]FormattedData!F58^2*$J$6+$M$5*$J$7</f>
        <v>49.79207063890864</v>
      </c>
      <c r="N43" s="6">
        <f>$J$3+[4]FormattedData!G58*$J$4+$M$4*$J$5+[4]FormattedData!G58^2*$J$6+$M$5*$J$7</f>
        <v>37.210476134331905</v>
      </c>
      <c r="O43" s="6">
        <f>$J$3+[4]FormattedData!H58*$J$4+$M$4*$J$5+[4]FormattedData!H58^2*$J$6+$M$5*$J$7</f>
        <v>49.173253940854146</v>
      </c>
      <c r="P43" s="6">
        <f>$J$3+[4]FormattedData!I58*$J$4+$M$4*$J$5+[4]FormattedData!I58^2*$J$6+$M$5*$J$7</f>
        <v>37.586488001180825</v>
      </c>
      <c r="Q43" s="6">
        <f>$J$3+[4]FormattedData!J58*$J$4+$M$4*$J$5+[4]FormattedData!J58^2*$J$6+$M$5*$J$7</f>
        <v>51.198731394911015</v>
      </c>
      <c r="R43" s="6">
        <f>$J$3+[4]FormattedData!K58*$J$4+$M$4*$J$5+[4]FormattedData!K58^2*$J$6+$M$5*$J$7</f>
        <v>37.11636749627484</v>
      </c>
      <c r="S43" s="6">
        <f>$J$3+[4]FormattedData!L58*$J$4+$M$4*$J$5+[4]FormattedData!L58^2*$J$6+$M$5*$J$7</f>
        <v>47.125416430231716</v>
      </c>
      <c r="T43" s="6">
        <f>$J$3+[4]FormattedData!M58*$J$4+$M$4*$J$5+[4]FormattedData!M58^2*$J$6+$M$5*$J$7</f>
        <v>36.928023414546928</v>
      </c>
      <c r="U43" s="6">
        <f>$J$3+[4]FormattedData!N58*$J$4+$M$4*$J$5+[4]FormattedData!N58^2*$J$6+$M$5*$J$7</f>
        <v>49.438714708390805</v>
      </c>
      <c r="V43" s="6">
        <f>$J$3+[4]FormattedData!O58*$J$4+$M$4*$J$5+[4]FormattedData!O58^2*$J$6+$M$5*$J$7</f>
        <v>34.464164604277109</v>
      </c>
      <c r="W43" s="5">
        <f t="shared" si="9"/>
        <v>43.627325341395483</v>
      </c>
      <c r="X43" s="4">
        <f t="shared" si="10"/>
        <v>1.9920190344516966</v>
      </c>
      <c r="Y43" s="3">
        <f t="shared" si="11"/>
        <v>34.464164604277109</v>
      </c>
      <c r="Z43" s="2">
        <f t="shared" si="12"/>
        <v>37.186948974817639</v>
      </c>
      <c r="AA43" s="3">
        <f t="shared" si="13"/>
        <v>43.708882485333618</v>
      </c>
      <c r="AB43" s="2">
        <f t="shared" si="14"/>
        <v>49.527053691020264</v>
      </c>
      <c r="AC43" s="2">
        <f t="shared" si="15"/>
        <v>53.201848792402302</v>
      </c>
      <c r="AD43" s="2">
        <f t="shared" si="16"/>
        <v>2.9174070801725432E-2</v>
      </c>
      <c r="AE43" s="2">
        <f t="shared" si="17"/>
        <v>-1.9913882198130732</v>
      </c>
    </row>
    <row r="44" spans="2:31" x14ac:dyDescent="0.2">
      <c r="B44" s="17">
        <f>[4]FormattedData!A56</f>
        <v>903</v>
      </c>
      <c r="C44" s="17" t="str">
        <f>VLOOKUP($B44,[4]TrtCodes!$B$11:I99,2)</f>
        <v>DS</v>
      </c>
      <c r="D44" s="17">
        <f>VLOOKUP($B44,[4]TrtCodes!$B$11:J99,3)</f>
        <v>31</v>
      </c>
      <c r="E44" s="17">
        <f>VLOOKUP($B44,[4]TrtCodes!$B$11:K99,4)</f>
        <v>8</v>
      </c>
      <c r="F44" s="17">
        <f>VLOOKUP($B44,[4]TrtCodes!$B$11:L99,5)</f>
        <v>0</v>
      </c>
      <c r="G44" s="17">
        <f>VLOOKUP($B44,[4]TrtCodes!$B$11:M99,6)</f>
        <v>1</v>
      </c>
      <c r="H44" s="17">
        <f>VLOOKUP($B44,[4]TrtCodes!$B$11:N99,7)</f>
        <v>1</v>
      </c>
      <c r="I44" s="17">
        <f>[4]FormattedData!B56</f>
        <v>1</v>
      </c>
      <c r="J44" s="15">
        <f>[4]FormattedData!C56</f>
        <v>13.25</v>
      </c>
      <c r="K44" s="14">
        <f>$J$3+[4]FormattedData!D56*$J$4+$M$4*$J$5+[4]FormattedData!D56^2*$J$6+$M$5*$J$7</f>
        <v>53.028552310177879</v>
      </c>
      <c r="L44" s="14">
        <f>$J$3+[4]FormattedData!E56*$J$4+$M$4*$J$5+[4]FormattedData!E56^2*$J$6+$M$5*$J$7</f>
        <v>54.151957244174582</v>
      </c>
      <c r="M44" s="14">
        <f>$J$3+[4]FormattedData!F56*$J$4+$M$4*$J$5+[4]FormattedData!F56^2*$J$6+$M$5*$J$7</f>
        <v>53.720723794165245</v>
      </c>
      <c r="N44" s="14">
        <f>$J$3+[4]FormattedData!G56*$J$4+$M$4*$J$5+[4]FormattedData!G56^2*$J$6+$M$5*$J$7</f>
        <v>53.201848792402302</v>
      </c>
      <c r="O44" s="14">
        <f>$J$3+[4]FormattedData!H56*$J$4+$M$4*$J$5+[4]FormattedData!H56^2*$J$6+$M$5*$J$7</f>
        <v>53.461476501704468</v>
      </c>
      <c r="P44" s="14">
        <f>$J$3+[4]FormattedData!I56*$J$4+$M$4*$J$5+[4]FormattedData!I56^2*$J$6+$M$5*$J$7</f>
        <v>53.547934534395978</v>
      </c>
      <c r="Q44" s="14">
        <f>$J$3+[4]FormattedData!J56*$J$4+$M$4*$J$5+[4]FormattedData!J56^2*$J$6+$M$5*$J$7</f>
        <v>53.028552310177879</v>
      </c>
      <c r="R44" s="14">
        <f>$J$3+[4]FormattedData!K56*$J$4+$M$4*$J$5+[4]FormattedData!K56^2*$J$6+$M$5*$J$7</f>
        <v>53.374976200475004</v>
      </c>
      <c r="S44" s="14">
        <f>$J$3+[4]FormattedData!L56*$J$4+$M$4*$J$5+[4]FormattedData!L56^2*$J$6+$M$5*$J$7</f>
        <v>53.028552310177879</v>
      </c>
      <c r="T44" s="14">
        <f>$J$3+[4]FormattedData!M56*$J$4+$M$4*$J$5+[4]FormattedData!M56^2*$J$6+$M$5*$J$7</f>
        <v>52.941840666258763</v>
      </c>
      <c r="U44" s="14">
        <f>$J$3+[4]FormattedData!N56*$J$4+$M$4*$J$5+[4]FormattedData!N56^2*$J$6+$M$5*$J$7</f>
        <v>52.594571405203013</v>
      </c>
      <c r="V44" s="14">
        <f>$J$3+[4]FormattedData!O56*$J$4+$M$4*$J$5+[4]FormattedData!O56^2*$J$6+$M$5*$J$7</f>
        <v>52.507648418594243</v>
      </c>
      <c r="W44" s="16">
        <f t="shared" si="9"/>
        <v>53.215719540658945</v>
      </c>
      <c r="X44" s="15">
        <f t="shared" si="10"/>
        <v>0.13470458067635982</v>
      </c>
      <c r="Y44" s="14">
        <f t="shared" si="11"/>
        <v>52.507648418594243</v>
      </c>
      <c r="Z44" s="13">
        <f t="shared" si="12"/>
        <v>53.006874399198097</v>
      </c>
      <c r="AA44" s="14">
        <f t="shared" si="13"/>
        <v>53.115200551290087</v>
      </c>
      <c r="AB44" s="13">
        <f t="shared" si="14"/>
        <v>53.483091009877342</v>
      </c>
      <c r="AC44" s="13">
        <f t="shared" si="15"/>
        <v>54.151957244174582</v>
      </c>
      <c r="AD44" s="13">
        <f t="shared" si="16"/>
        <v>0.39738166986606344</v>
      </c>
      <c r="AE44" s="13">
        <f t="shared" si="17"/>
        <v>0.15220522345106779</v>
      </c>
    </row>
    <row r="45" spans="2:31" x14ac:dyDescent="0.2">
      <c r="B45" s="1">
        <f>[4]FormattedData!A54</f>
        <v>904</v>
      </c>
      <c r="C45" s="1" t="str">
        <f>VLOOKUP($B45,[4]TrtCodes!$B$11:I97,2)</f>
        <v>Early</v>
      </c>
      <c r="D45" s="1">
        <f>VLOOKUP($B45,[4]TrtCodes!$B$11:J97,3)</f>
        <v>21</v>
      </c>
      <c r="E45" s="1">
        <f>VLOOKUP($B45,[4]TrtCodes!$B$11:K97,4)</f>
        <v>3</v>
      </c>
      <c r="F45" s="1">
        <f>VLOOKUP($B45,[4]TrtCodes!$B$11:L97,5)</f>
        <v>2</v>
      </c>
      <c r="G45" s="1">
        <f>VLOOKUP($B45,[4]TrtCodes!$B$11:M97,6)</f>
        <v>2</v>
      </c>
      <c r="H45" s="1">
        <f>VLOOKUP($B45,[4]TrtCodes!$B$11:N97,7)</f>
        <v>1</v>
      </c>
      <c r="I45" s="1">
        <f>[4]FormattedData!B54</f>
        <v>1</v>
      </c>
      <c r="J45" s="4">
        <f>[4]FormattedData!C54</f>
        <v>13.234999999999999</v>
      </c>
      <c r="K45" s="6">
        <f>$J$3+[4]FormattedData!D54*$J$4+$M$4*$J$5+[4]FormattedData!D54^2*$J$6+$M$5*$J$7</f>
        <v>52.159533786779875</v>
      </c>
      <c r="L45" s="6">
        <f>$J$3+[4]FormattedData!E54*$J$4+$M$4*$J$5+[4]FormattedData!E54^2*$J$6+$M$5*$J$7</f>
        <v>34.178034521692126</v>
      </c>
      <c r="M45" s="6">
        <f>$J$3+[4]FormattedData!F54*$J$4+$M$4*$J$5+[4]FormattedData!F54^2*$J$6+$M$5*$J$7</f>
        <v>49.438714708390805</v>
      </c>
      <c r="N45" s="6">
        <f>$J$3+[4]FormattedData!G54*$J$4+$M$4*$J$5+[4]FormattedData!G54^2*$J$6+$M$5*$J$7</f>
        <v>33.795935985381121</v>
      </c>
      <c r="O45" s="6">
        <f>$J$3+[4]FormattedData!H54*$J$4+$M$4*$J$5+[4]FormattedData!H54^2*$J$6+$M$5*$J$7</f>
        <v>49.527117093827158</v>
      </c>
      <c r="P45" s="6">
        <f>$J$3+[4]FormattedData!I54*$J$4+$M$4*$J$5+[4]FormattedData!I54^2*$J$6+$M$5*$J$7</f>
        <v>33.89152402226577</v>
      </c>
      <c r="Q45" s="6">
        <f>$J$3+[4]FormattedData!J54*$J$4+$M$4*$J$5+[4]FormattedData!J54^2*$J$6+$M$5*$J$7</f>
        <v>53.634350298549577</v>
      </c>
      <c r="R45" s="6">
        <f>$J$3+[4]FormattedData!K54*$J$4+$M$4*$J$5+[4]FormattedData!K54^2*$J$6+$M$5*$J$7</f>
        <v>35.41518409126153</v>
      </c>
      <c r="S45" s="6">
        <f>$J$3+[4]FormattedData!L54*$J$4+$M$4*$J$5+[4]FormattedData!L54^2*$J$6+$M$5*$J$7</f>
        <v>49.968494992939974</v>
      </c>
      <c r="T45" s="6">
        <f>$J$3+[4]FormattedData!M54*$J$4+$M$4*$J$5+[4]FormattedData!M54^2*$J$6+$M$5*$J$7</f>
        <v>33.700305679958532</v>
      </c>
      <c r="U45" s="6">
        <f>$J$3+[4]FormattedData!N54*$J$4+$M$4*$J$5+[4]FormattedData!N54^2*$J$6+$M$5*$J$7</f>
        <v>49.968494992939974</v>
      </c>
      <c r="V45" s="6">
        <f>$J$3+[4]FormattedData!O54*$J$4+$M$4*$J$5+[4]FormattedData!O54^2*$J$6+$M$5*$J$7</f>
        <v>37.680385296548238</v>
      </c>
      <c r="W45" s="5">
        <f t="shared" si="9"/>
        <v>42.77983962254455</v>
      </c>
      <c r="X45" s="4">
        <f t="shared" si="10"/>
        <v>2.4547468228385099</v>
      </c>
      <c r="Y45" s="3">
        <f t="shared" si="11"/>
        <v>33.700305679958532</v>
      </c>
      <c r="Z45" s="2">
        <f t="shared" si="12"/>
        <v>34.106406896835537</v>
      </c>
      <c r="AA45" s="3">
        <f t="shared" si="13"/>
        <v>43.559550002469521</v>
      </c>
      <c r="AB45" s="2">
        <f t="shared" si="14"/>
        <v>49.968494992939974</v>
      </c>
      <c r="AC45" s="2">
        <f t="shared" si="15"/>
        <v>53.634350298549577</v>
      </c>
      <c r="AD45" s="2">
        <f t="shared" si="16"/>
        <v>1.8664713090514963E-2</v>
      </c>
      <c r="AE45" s="2">
        <f t="shared" si="17"/>
        <v>-2.235788217374612</v>
      </c>
    </row>
    <row r="46" spans="2:31" x14ac:dyDescent="0.2">
      <c r="B46" s="17">
        <f>[4]FormattedData!A52</f>
        <v>905</v>
      </c>
      <c r="C46" s="17" t="str">
        <f>VLOOKUP($B46,[4]TrtCodes!$B$11:I95,2)</f>
        <v>WS</v>
      </c>
      <c r="D46" s="17">
        <f>VLOOKUP($B46,[4]TrtCodes!$B$11:J95,3)</f>
        <v>32</v>
      </c>
      <c r="E46" s="17">
        <f>VLOOKUP($B46,[4]TrtCodes!$B$11:K95,4)</f>
        <v>9</v>
      </c>
      <c r="F46" s="17">
        <f>VLOOKUP($B46,[4]TrtCodes!$B$11:L95,5)</f>
        <v>0</v>
      </c>
      <c r="G46" s="17">
        <f>VLOOKUP($B46,[4]TrtCodes!$B$11:M95,6)</f>
        <v>1</v>
      </c>
      <c r="H46" s="17">
        <f>VLOOKUP($B46,[4]TrtCodes!$B$11:N95,7)</f>
        <v>2</v>
      </c>
      <c r="I46" s="17">
        <f>[4]FormattedData!B52</f>
        <v>1</v>
      </c>
      <c r="J46" s="15">
        <f>[4]FormattedData!C52</f>
        <v>13.228999999999999</v>
      </c>
      <c r="K46" s="14">
        <f>$J$3+[4]FormattedData!D52*$J$4+$M$4*$J$5+[4]FormattedData!D52^2*$J$6+$M$5*$J$7</f>
        <v>29.255619341016239</v>
      </c>
      <c r="L46" s="14">
        <f>$J$3+[4]FormattedData!E52*$J$4+$M$4*$J$5+[4]FormattedData!E52^2*$J$6+$M$5*$J$7</f>
        <v>28.864898022967274</v>
      </c>
      <c r="M46" s="14">
        <f>$J$3+[4]FormattedData!F52*$J$4+$M$4*$J$5+[4]FormattedData!F52^2*$J$6+$M$5*$J$7</f>
        <v>28.864898022967274</v>
      </c>
      <c r="N46" s="14">
        <f>$J$3+[4]FormattedData!G52*$J$4+$M$4*$J$5+[4]FormattedData!G52^2*$J$6+$M$5*$J$7</f>
        <v>28.962641755286413</v>
      </c>
      <c r="O46" s="14">
        <f>$J$3+[4]FormattedData!H52*$J$4+$M$4*$J$5+[4]FormattedData!H52^2*$J$6+$M$5*$J$7</f>
        <v>28.864898022967274</v>
      </c>
      <c r="P46" s="14">
        <f>$J$3+[4]FormattedData!I52*$J$4+$M$4*$J$5+[4]FormattedData!I52^2*$J$6+$M$5*$J$7</f>
        <v>29.060343219067619</v>
      </c>
      <c r="Q46" s="14">
        <f>$J$3+[4]FormattedData!J52*$J$4+$M$4*$J$5+[4]FormattedData!J52^2*$J$6+$M$5*$J$7</f>
        <v>29.353193999183652</v>
      </c>
      <c r="R46" s="14">
        <f>$J$3+[4]FormattedData!K52*$J$4+$M$4*$J$5+[4]FormattedData!K52^2*$J$6+$M$5*$J$7</f>
        <v>29.450726388813138</v>
      </c>
      <c r="S46" s="14">
        <f>$J$3+[4]FormattedData!L52*$J$4+$M$4*$J$5+[4]FormattedData!L52^2*$J$6+$M$5*$J$7</f>
        <v>29.060343219067619</v>
      </c>
      <c r="T46" s="14">
        <f>$J$3+[4]FormattedData!M52*$J$4+$M$4*$J$5+[4]FormattedData!M52^2*$J$6+$M$5*$J$7</f>
        <v>28.767112022110204</v>
      </c>
      <c r="U46" s="14">
        <f>$J$3+[4]FormattedData!N52*$J$4+$M$4*$J$5+[4]FormattedData!N52^2*$J$6+$M$5*$J$7</f>
        <v>28.767112022110204</v>
      </c>
      <c r="V46" s="14">
        <f>$J$3+[4]FormattedData!O52*$J$4+$M$4*$J$5+[4]FormattedData!O52^2*$J$6+$M$5*$J$7</f>
        <v>28.962641755286413</v>
      </c>
      <c r="W46" s="16">
        <f t="shared" si="9"/>
        <v>29.019535649236946</v>
      </c>
      <c r="X46" s="15">
        <f t="shared" si="10"/>
        <v>6.5248183836145501E-2</v>
      </c>
      <c r="Y46" s="14">
        <f t="shared" si="11"/>
        <v>28.767112022110204</v>
      </c>
      <c r="Z46" s="13">
        <f t="shared" si="12"/>
        <v>28.864898022967274</v>
      </c>
      <c r="AA46" s="14">
        <f t="shared" si="13"/>
        <v>28.962641755286413</v>
      </c>
      <c r="AB46" s="13">
        <f t="shared" si="14"/>
        <v>29.109162249554775</v>
      </c>
      <c r="AC46" s="13">
        <f t="shared" si="15"/>
        <v>29.450726388813138</v>
      </c>
      <c r="AD46" s="13">
        <f t="shared" si="16"/>
        <v>0.82172839569322575</v>
      </c>
      <c r="AE46" s="13">
        <f t="shared" si="17"/>
        <v>-0.41506371383599028</v>
      </c>
    </row>
    <row r="47" spans="2:31" x14ac:dyDescent="0.2">
      <c r="B47" s="1">
        <f>[4]FormattedData!A50</f>
        <v>906</v>
      </c>
      <c r="C47" s="1" t="str">
        <f>VLOOKUP($B47,[4]TrtCodes!$B$11:I93,2)</f>
        <v>Late</v>
      </c>
      <c r="D47" s="1">
        <f>VLOOKUP($B47,[4]TrtCodes!$B$11:J93,3)</f>
        <v>22</v>
      </c>
      <c r="E47" s="1">
        <f>VLOOKUP($B47,[4]TrtCodes!$B$11:K93,4)</f>
        <v>4</v>
      </c>
      <c r="F47" s="1">
        <f>VLOOKUP($B47,[4]TrtCodes!$B$11:L93,5)</f>
        <v>2</v>
      </c>
      <c r="G47" s="1">
        <f>VLOOKUP($B47,[4]TrtCodes!$B$11:M93,6)</f>
        <v>2</v>
      </c>
      <c r="H47" s="1">
        <f>VLOOKUP($B47,[4]TrtCodes!$B$11:N93,7)</f>
        <v>2</v>
      </c>
      <c r="I47" s="1">
        <f>[4]FormattedData!B50</f>
        <v>1</v>
      </c>
      <c r="J47" s="4">
        <f>[4]FormattedData!C50</f>
        <v>13.212999999999999</v>
      </c>
      <c r="K47" s="6">
        <f>$J$3+[4]FormattedData!D50*$J$4+$M$4*$J$5+[4]FormattedData!D50^2*$J$6+$M$5*$J$7</f>
        <v>51.198731394911015</v>
      </c>
      <c r="L47" s="6">
        <f>$J$3+[4]FormattedData!E50*$J$4+$M$4*$J$5+[4]FormattedData!E50^2*$J$6+$M$5*$J$7</f>
        <v>38.710465822086228</v>
      </c>
      <c r="M47" s="6">
        <f>$J$3+[4]FormattedData!F50*$J$4+$M$4*$J$5+[4]FormattedData!F50^2*$J$6+$M$5*$J$7</f>
        <v>49.79207063890864</v>
      </c>
      <c r="N47" s="6">
        <f>$J$3+[4]FormattedData!G50*$J$4+$M$4*$J$5+[4]FormattedData!G50^2*$J$6+$M$5*$J$7</f>
        <v>34.082573290421273</v>
      </c>
      <c r="O47" s="6">
        <f>$J$3+[4]FormattedData!H50*$J$4+$M$4*$J$5+[4]FormattedData!H50^2*$J$6+$M$5*$J$7</f>
        <v>49.703795059086076</v>
      </c>
      <c r="P47" s="6">
        <f>$J$3+[4]FormattedData!I50*$J$4+$M$4*$J$5+[4]FormattedData!I50^2*$J$6+$M$5*$J$7</f>
        <v>35.98376689363149</v>
      </c>
      <c r="Q47" s="6">
        <f>$J$3+[4]FormattedData!J50*$J$4+$M$4*$J$5+[4]FormattedData!J50^2*$J$6+$M$5*$J$7</f>
        <v>50.848080650820769</v>
      </c>
      <c r="R47" s="6">
        <f>$J$3+[4]FormattedData!K50*$J$4+$M$4*$J$5+[4]FormattedData!K50^2*$J$6+$M$5*$J$7</f>
        <v>37.11636749627484</v>
      </c>
      <c r="S47" s="6">
        <f>$J$3+[4]FormattedData!L50*$J$4+$M$4*$J$5+[4]FormattedData!L50^2*$J$6+$M$5*$J$7</f>
        <v>48.729973957534433</v>
      </c>
      <c r="T47" s="6">
        <f>$J$3+[4]FormattedData!M50*$J$4+$M$4*$J$5+[4]FormattedData!M50^2*$J$6+$M$5*$J$7</f>
        <v>38.242881429456105</v>
      </c>
      <c r="U47" s="6">
        <f>$J$3+[4]FormattedData!N50*$J$4+$M$4*$J$5+[4]FormattedData!N50^2*$J$6+$M$5*$J$7</f>
        <v>50.144750272819579</v>
      </c>
      <c r="V47" s="6">
        <f>$J$3+[4]FormattedData!O50*$J$4+$M$4*$J$5+[4]FormattedData!O50^2*$J$6+$M$5*$J$7</f>
        <v>34.845079621526061</v>
      </c>
      <c r="W47" s="5">
        <f t="shared" si="9"/>
        <v>43.28321137728971</v>
      </c>
      <c r="X47" s="4">
        <f t="shared" si="10"/>
        <v>2.0847577732443341</v>
      </c>
      <c r="Y47" s="3">
        <f t="shared" si="11"/>
        <v>34.082573290421273</v>
      </c>
      <c r="Z47" s="2">
        <f t="shared" si="12"/>
        <v>36.833217345614003</v>
      </c>
      <c r="AA47" s="3">
        <f t="shared" si="13"/>
        <v>43.72021988981033</v>
      </c>
      <c r="AB47" s="2">
        <f t="shared" si="14"/>
        <v>49.880240547386379</v>
      </c>
      <c r="AC47" s="2">
        <f t="shared" si="15"/>
        <v>51.198731394911015</v>
      </c>
      <c r="AD47" s="2">
        <f t="shared" si="16"/>
        <v>-7.9025620050218001E-2</v>
      </c>
      <c r="AE47" s="2">
        <f t="shared" si="17"/>
        <v>-2.214607980653108</v>
      </c>
    </row>
    <row r="48" spans="2:31" x14ac:dyDescent="0.2">
      <c r="B48" s="17">
        <f>[4]FormattedData!A48</f>
        <v>907</v>
      </c>
      <c r="C48" s="17" t="str">
        <f>VLOOKUP($B48,[4]TrtCodes!$B$11:I91,2)</f>
        <v>DS</v>
      </c>
      <c r="D48" s="17">
        <f>VLOOKUP($B48,[4]TrtCodes!$B$11:J91,3)</f>
        <v>31</v>
      </c>
      <c r="E48" s="17">
        <f>VLOOKUP($B48,[4]TrtCodes!$B$11:K91,4)</f>
        <v>8</v>
      </c>
      <c r="F48" s="17">
        <f>VLOOKUP($B48,[4]TrtCodes!$B$11:L91,5)</f>
        <v>0</v>
      </c>
      <c r="G48" s="17">
        <f>VLOOKUP($B48,[4]TrtCodes!$B$11:M91,6)</f>
        <v>1</v>
      </c>
      <c r="H48" s="17">
        <f>VLOOKUP($B48,[4]TrtCodes!$B$11:N91,7)</f>
        <v>2</v>
      </c>
      <c r="I48" s="17">
        <f>[4]FormattedData!B48</f>
        <v>1</v>
      </c>
      <c r="J48" s="15">
        <f>[4]FormattedData!C48</f>
        <v>13.207000000000001</v>
      </c>
      <c r="K48" s="14">
        <f>$J$3+[4]FormattedData!D48*$J$4+$M$4*$J$5+[4]FormattedData!D48^2*$J$6+$M$5*$J$7</f>
        <v>53.201848792402302</v>
      </c>
      <c r="L48" s="14">
        <f>$J$3+[4]FormattedData!E48*$J$4+$M$4*$J$5+[4]FormattedData!E48^2*$J$6+$M$5*$J$7</f>
        <v>53.634350298549577</v>
      </c>
      <c r="M48" s="14">
        <f>$J$3+[4]FormattedData!F48*$J$4+$M$4*$J$5+[4]FormattedData!F48^2*$J$6+$M$5*$J$7</f>
        <v>52.941840666258763</v>
      </c>
      <c r="N48" s="14">
        <f>$J$3+[4]FormattedData!G48*$J$4+$M$4*$J$5+[4]FormattedData!G48^2*$J$6+$M$5*$J$7</f>
        <v>53.201848792402302</v>
      </c>
      <c r="O48" s="14">
        <f>$J$3+[4]FormattedData!H48*$J$4+$M$4*$J$5+[4]FormattedData!H48^2*$J$6+$M$5*$J$7</f>
        <v>53.288433630707623</v>
      </c>
      <c r="P48" s="14">
        <f>$J$3+[4]FormattedData!I48*$J$4+$M$4*$J$5+[4]FormattedData!I48^2*$J$6+$M$5*$J$7</f>
        <v>52.333675639762916</v>
      </c>
      <c r="Q48" s="14">
        <f>$J$3+[4]FormattedData!J48*$J$4+$M$4*$J$5+[4]FormattedData!J48^2*$J$6+$M$5*$J$7</f>
        <v>51.985222859645091</v>
      </c>
      <c r="R48" s="14">
        <f>$J$3+[4]FormattedData!K48*$J$4+$M$4*$J$5+[4]FormattedData!K48^2*$J$6+$M$5*$J$7</f>
        <v>53.028552310177879</v>
      </c>
      <c r="S48" s="14">
        <f>$J$3+[4]FormattedData!L48*$J$4+$M$4*$J$5+[4]FormattedData!L48^2*$J$6+$M$5*$J$7</f>
        <v>52.941840666258763</v>
      </c>
      <c r="T48" s="14">
        <f>$J$3+[4]FormattedData!M48*$J$4+$M$4*$J$5+[4]FormattedData!M48^2*$J$6+$M$5*$J$7</f>
        <v>52.855086753801729</v>
      </c>
      <c r="U48" s="14">
        <f>$J$3+[4]FormattedData!N48*$J$4+$M$4*$J$5+[4]FormattedData!N48^2*$J$6+$M$5*$J$7</f>
        <v>52.855086753801729</v>
      </c>
      <c r="V48" s="14">
        <f>$J$3+[4]FormattedData!O48*$J$4+$M$4*$J$5+[4]FormattedData!O48^2*$J$6+$M$5*$J$7</f>
        <v>52.855086753801729</v>
      </c>
      <c r="W48" s="16">
        <f t="shared" si="9"/>
        <v>52.926906159797539</v>
      </c>
      <c r="X48" s="15">
        <f t="shared" si="10"/>
        <v>0.12453879193324881</v>
      </c>
      <c r="Y48" s="14">
        <f t="shared" si="11"/>
        <v>51.985222859645091</v>
      </c>
      <c r="Z48" s="13">
        <f t="shared" si="12"/>
        <v>52.855086753801729</v>
      </c>
      <c r="AA48" s="14">
        <f t="shared" si="13"/>
        <v>52.941840666258763</v>
      </c>
      <c r="AB48" s="13">
        <f t="shared" si="14"/>
        <v>53.201848792402302</v>
      </c>
      <c r="AC48" s="13">
        <f t="shared" si="15"/>
        <v>53.634350298549577</v>
      </c>
      <c r="AD48" s="13">
        <f t="shared" si="16"/>
        <v>-0.81653940513493106</v>
      </c>
      <c r="AE48" s="13">
        <f t="shared" si="17"/>
        <v>1.3770694711245781</v>
      </c>
    </row>
    <row r="49" spans="2:31" ht="13.5" thickBot="1" x14ac:dyDescent="0.25">
      <c r="B49" s="12">
        <f>[4]FormattedData!A46</f>
        <v>908</v>
      </c>
      <c r="C49" s="12" t="str">
        <f>VLOOKUP($B49,[4]TrtCodes!$B$11:I89,2)</f>
        <v>Early</v>
      </c>
      <c r="D49" s="12">
        <f>VLOOKUP($B49,[4]TrtCodes!$B$11:J89,3)</f>
        <v>21</v>
      </c>
      <c r="E49" s="12">
        <f>VLOOKUP($B49,[4]TrtCodes!$B$11:K89,4)</f>
        <v>3</v>
      </c>
      <c r="F49" s="12">
        <f>VLOOKUP($B49,[4]TrtCodes!$B$11:L89,5)</f>
        <v>2</v>
      </c>
      <c r="G49" s="12">
        <f>VLOOKUP($B49,[4]TrtCodes!$B$11:M89,6)</f>
        <v>2</v>
      </c>
      <c r="H49" s="12">
        <f>VLOOKUP($B49,[4]TrtCodes!$B$11:N89,7)</f>
        <v>2</v>
      </c>
      <c r="I49" s="12">
        <f>[4]FormattedData!B46</f>
        <v>1</v>
      </c>
      <c r="J49" s="9">
        <f>[4]FormattedData!C46</f>
        <v>13.193</v>
      </c>
      <c r="K49" s="11">
        <f>$J$3+[4]FormattedData!D46*$J$4+$M$4*$J$5+[4]FormattedData!D46^2*$J$6+$M$5*$J$7</f>
        <v>51.461275633330423</v>
      </c>
      <c r="L49" s="11">
        <f>$J$3+[4]FormattedData!E46*$J$4+$M$4*$J$5+[4]FormattedData!E46^2*$J$6+$M$5*$J$7</f>
        <v>41.217161533902626</v>
      </c>
      <c r="M49" s="11">
        <f>$J$3+[4]FormattedData!F46*$J$4+$M$4*$J$5+[4]FormattedData!F46^2*$J$6+$M$5*$J$7</f>
        <v>48.729973957534433</v>
      </c>
      <c r="N49" s="11">
        <f>$J$3+[4]FormattedData!G46*$J$4+$M$4*$J$5+[4]FormattedData!G46^2*$J$6+$M$5*$J$7</f>
        <v>34.464164604277109</v>
      </c>
      <c r="O49" s="11">
        <f>$J$3+[4]FormattedData!H46*$J$4+$M$4*$J$5+[4]FormattedData!H46^2*$J$6+$M$5*$J$7</f>
        <v>50.056643767148742</v>
      </c>
      <c r="P49" s="11">
        <f>$J$3+[4]FormattedData!I46*$J$4+$M$4*$J$5+[4]FormattedData!I46^2*$J$6+$M$5*$J$7</f>
        <v>34.940202704493458</v>
      </c>
      <c r="Q49" s="11">
        <f>$J$3+[4]FormattedData!J46*$J$4+$M$4*$J$5+[4]FormattedData!J46^2*$J$6+$M$5*$J$7</f>
        <v>50.935806739650225</v>
      </c>
      <c r="R49" s="11">
        <f>$J$3+[4]FormattedData!K46*$J$4+$M$4*$J$5+[4]FormattedData!K46^2*$J$6+$M$5*$J$7</f>
        <v>34.845079621526061</v>
      </c>
      <c r="S49" s="11">
        <f>$J$3+[4]FormattedData!L46*$J$4+$M$4*$J$5+[4]FormattedData!L46^2*$J$6+$M$5*$J$7</f>
        <v>49.703795059086076</v>
      </c>
      <c r="T49" s="11">
        <f>$J$3+[4]FormattedData!M46*$J$4+$M$4*$J$5+[4]FormattedData!M46^2*$J$6+$M$5*$J$7</f>
        <v>37.774240323377711</v>
      </c>
      <c r="U49" s="11">
        <f>$J$3+[4]FormattedData!N46*$J$4+$M$4*$J$5+[4]FormattedData!N46^2*$J$6+$M$5*$J$7</f>
        <v>50.32083647854747</v>
      </c>
      <c r="V49" s="11">
        <f>$J$3+[4]FormattedData!O46*$J$4+$M$4*$J$5+[4]FormattedData!O46^2*$J$6+$M$5*$J$7</f>
        <v>35.035283518922938</v>
      </c>
      <c r="W49" s="10">
        <f t="shared" si="9"/>
        <v>43.290371995149769</v>
      </c>
      <c r="X49" s="9">
        <f t="shared" si="10"/>
        <v>2.1549275659283422</v>
      </c>
      <c r="Y49" s="8">
        <f t="shared" si="11"/>
        <v>34.464164604277109</v>
      </c>
      <c r="Z49" s="7">
        <f t="shared" si="12"/>
        <v>35.011513315315568</v>
      </c>
      <c r="AA49" s="8">
        <f t="shared" si="13"/>
        <v>44.973567745718526</v>
      </c>
      <c r="AB49" s="7">
        <f t="shared" si="14"/>
        <v>50.122691944998422</v>
      </c>
      <c r="AC49" s="7">
        <f t="shared" si="15"/>
        <v>51.461275633330423</v>
      </c>
      <c r="AD49" s="7">
        <f t="shared" si="16"/>
        <v>-0.14083171765269431</v>
      </c>
      <c r="AE49" s="7">
        <f t="shared" si="17"/>
        <v>-2.1767574755899228</v>
      </c>
    </row>
    <row r="50" spans="2:31" ht="13.5" thickTop="1" x14ac:dyDescent="0.2">
      <c r="B50" s="1">
        <f>[4]FormattedData!A29</f>
        <v>101</v>
      </c>
      <c r="C50" s="1" t="str">
        <f>VLOOKUP($B50,[4]TrtCodes!$B$11:I72,2)</f>
        <v>FSH</v>
      </c>
      <c r="D50" s="1">
        <f>VLOOKUP($B50,[4]TrtCodes!$B$11:J72,3)</f>
        <v>1</v>
      </c>
      <c r="E50" s="1">
        <f>VLOOKUP($B50,[4]TrtCodes!$B$11:K72,4)</f>
        <v>1</v>
      </c>
      <c r="F50" s="1">
        <f>VLOOKUP($B50,[4]TrtCodes!$B$11:L72,5)</f>
        <v>1</v>
      </c>
      <c r="G50" s="1">
        <f>VLOOKUP($B50,[4]TrtCodes!$B$11:M72,6)</f>
        <v>2</v>
      </c>
      <c r="H50" s="1">
        <f>VLOOKUP($B50,[4]TrtCodes!$B$11:N72,7)</f>
        <v>1</v>
      </c>
      <c r="I50" s="1">
        <f>[4]FormattedData!B29</f>
        <v>2</v>
      </c>
      <c r="J50" s="4">
        <f>[4]FormattedData!C29</f>
        <v>13.025</v>
      </c>
      <c r="K50" s="6">
        <f>$J$3+[4]FormattedData!D29*$J$4+$M$4*$J$5+[4]FormattedData!D29^2*$J$6+$M$5*$J$7</f>
        <v>32.26077887406808</v>
      </c>
      <c r="L50" s="6">
        <f>$J$3+[4]FormattedData!E29*$J$4+$M$4*$J$5+[4]FormattedData!E29^2*$J$6+$M$5*$J$7</f>
        <v>33.508918263499574</v>
      </c>
      <c r="M50" s="6">
        <f>$J$3+[4]FormattedData!F29*$J$4+$M$4*$J$5+[4]FormattedData!F29^2*$J$6+$M$5*$J$7</f>
        <v>31.778823178541373</v>
      </c>
      <c r="N50" s="6">
        <f>$J$3+[4]FormattedData!G29*$J$4+$M$4*$J$5+[4]FormattedData!G29^2*$J$6+$M$5*$J$7</f>
        <v>32.164472272038594</v>
      </c>
      <c r="O50" s="6">
        <f>$J$3+[4]FormattedData!H29*$J$4+$M$4*$J$5+[4]FormattedData!H29^2*$J$6+$M$5*$J$7</f>
        <v>31.295810769566387</v>
      </c>
      <c r="P50" s="6">
        <f>$J$3+[4]FormattedData!I29*$J$4+$M$4*$J$5+[4]FormattedData!I29^2*$J$6+$M$5*$J$7</f>
        <v>32.549445068928932</v>
      </c>
      <c r="Q50" s="6">
        <f>$J$3+[4]FormattedData!J29*$J$4+$M$4*$J$5+[4]FormattedData!J29^2*$J$6+$M$5*$J$7</f>
        <v>31.682305233822234</v>
      </c>
      <c r="R50" s="6">
        <f>$J$3+[4]FormattedData!K29*$J$4+$M$4*$J$5+[4]FormattedData!K29^2*$J$6+$M$5*$J$7</f>
        <v>31.392497788437243</v>
      </c>
      <c r="S50" s="6">
        <f>$J$3+[4]FormattedData!L29*$J$4+$M$4*$J$5+[4]FormattedData!L29^2*$J$6+$M$5*$J$7</f>
        <v>32.453265272513249</v>
      </c>
      <c r="T50" s="6">
        <f>$J$3+[4]FormattedData!M29*$J$4+$M$4*$J$5+[4]FormattedData!M29^2*$J$6+$M$5*$J$7</f>
        <v>31.295810769566387</v>
      </c>
      <c r="U50" s="6">
        <f>$J$3+[4]FormattedData!N29*$J$4+$M$4*$J$5+[4]FormattedData!N29^2*$J$6+$M$5*$J$7</f>
        <v>32.933741569212366</v>
      </c>
      <c r="V50" s="6">
        <f>$J$3+[4]FormattedData!O29*$J$4+$M$4*$J$5+[4]FormattedData!O29^2*$J$6+$M$5*$J$7</f>
        <v>31.58574502056517</v>
      </c>
      <c r="W50" s="5">
        <f t="shared" si="9"/>
        <v>32.075134506729967</v>
      </c>
      <c r="X50" s="4">
        <f t="shared" si="10"/>
        <v>0.20161547513827183</v>
      </c>
      <c r="Y50" s="3">
        <f t="shared" si="11"/>
        <v>31.295810769566387</v>
      </c>
      <c r="Z50" s="2">
        <f t="shared" si="12"/>
        <v>31.537433212533188</v>
      </c>
      <c r="AA50" s="3">
        <f t="shared" si="13"/>
        <v>31.971647725289984</v>
      </c>
      <c r="AB50" s="2">
        <f t="shared" si="14"/>
        <v>32.477310221617174</v>
      </c>
      <c r="AC50" s="2">
        <f t="shared" si="15"/>
        <v>33.508918263499574</v>
      </c>
      <c r="AD50" s="2">
        <f t="shared" si="16"/>
        <v>0.7300150755797985</v>
      </c>
      <c r="AE50" s="2">
        <f t="shared" si="17"/>
        <v>-0.13550975066684945</v>
      </c>
    </row>
    <row r="51" spans="2:31" x14ac:dyDescent="0.2">
      <c r="B51" s="1">
        <f>[4]FormattedData!A27</f>
        <v>102</v>
      </c>
      <c r="C51" s="1" t="str">
        <f>VLOOKUP($B51,[4]TrtCodes!$B$11:I70,2)</f>
        <v>FTL</v>
      </c>
      <c r="D51" s="1">
        <f>VLOOKUP($B51,[4]TrtCodes!$B$11:J70,3)</f>
        <v>4</v>
      </c>
      <c r="E51" s="1">
        <f>VLOOKUP($B51,[4]TrtCodes!$B$11:K70,4)</f>
        <v>1</v>
      </c>
      <c r="F51" s="1">
        <f>VLOOKUP($B51,[4]TrtCodes!$B$11:L70,5)</f>
        <v>2</v>
      </c>
      <c r="G51" s="1">
        <f>VLOOKUP($B51,[4]TrtCodes!$B$11:M70,6)</f>
        <v>1</v>
      </c>
      <c r="H51" s="1">
        <f>VLOOKUP($B51,[4]TrtCodes!$B$11:N70,7)</f>
        <v>1</v>
      </c>
      <c r="I51" s="1">
        <f>[4]FormattedData!B27</f>
        <v>2</v>
      </c>
      <c r="J51" s="4">
        <f>[4]FormattedData!C27</f>
        <v>13.007</v>
      </c>
      <c r="K51" s="6">
        <f>$J$3+[4]FormattedData!D27*$J$4+$M$4*$J$5+[4]FormattedData!D27^2*$J$6+$M$5*$J$7</f>
        <v>31.682305233822234</v>
      </c>
      <c r="L51" s="6">
        <f>$J$3+[4]FormattedData!E27*$J$4+$M$4*$J$5+[4]FormattedData!E27^2*$J$6+$M$5*$J$7</f>
        <v>30.326615811271576</v>
      </c>
      <c r="M51" s="6">
        <f>$J$3+[4]FormattedData!F27*$J$4+$M$4*$J$5+[4]FormattedData!F27^2*$J$6+$M$5*$J$7</f>
        <v>30.811741647143119</v>
      </c>
      <c r="N51" s="6">
        <f>$J$3+[4]FormattedData!G27*$J$4+$M$4*$J$5+[4]FormattedData!G27^2*$J$6+$M$5*$J$7</f>
        <v>31.199081482157588</v>
      </c>
      <c r="O51" s="6">
        <f>$J$3+[4]FormattedData!H27*$J$4+$M$4*$J$5+[4]FormattedData!H27^2*$J$6+$M$5*$J$7</f>
        <v>31.199081482157588</v>
      </c>
      <c r="P51" s="6">
        <f>$J$3+[4]FormattedData!I27*$J$4+$M$4*$J$5+[4]FormattedData!I27^2*$J$6+$M$5*$J$7</f>
        <v>30.811741647143119</v>
      </c>
      <c r="Q51" s="6">
        <f>$J$3+[4]FormattedData!J27*$J$4+$M$4*$J$5+[4]FormattedData!J27^2*$J$6+$M$5*$J$7</f>
        <v>30.132269597157439</v>
      </c>
      <c r="R51" s="6">
        <f>$J$3+[4]FormattedData!K27*$J$4+$M$4*$J$5+[4]FormattedData!K27^2*$J$6+$M$5*$J$7</f>
        <v>31.102309926210872</v>
      </c>
      <c r="S51" s="6">
        <f>$J$3+[4]FormattedData!L27*$J$4+$M$4*$J$5+[4]FormattedData!L27^2*$J$6+$M$5*$J$7</f>
        <v>31.005496101726212</v>
      </c>
      <c r="T51" s="6">
        <f>$J$3+[4]FormattedData!M27*$J$4+$M$4*$J$5+[4]FormattedData!M27^2*$J$6+$M$5*$J$7</f>
        <v>32.453265272513249</v>
      </c>
      <c r="U51" s="6">
        <f>$J$3+[4]FormattedData!N27*$J$4+$M$4*$J$5+[4]FormattedData!N27^2*$J$6+$M$5*$J$7</f>
        <v>31.392497788437243</v>
      </c>
      <c r="V51" s="6">
        <f>$J$3+[4]FormattedData!O27*$J$4+$M$4*$J$5+[4]FormattedData!O27^2*$J$6+$M$5*$J$7</f>
        <v>31.199081482157588</v>
      </c>
      <c r="W51" s="5">
        <f t="shared" si="9"/>
        <v>31.109623955991484</v>
      </c>
      <c r="X51" s="4">
        <f t="shared" si="10"/>
        <v>0.17394810545870576</v>
      </c>
      <c r="Y51" s="3">
        <f t="shared" si="11"/>
        <v>30.132269597157439</v>
      </c>
      <c r="Z51" s="2">
        <f t="shared" si="12"/>
        <v>30.811741647143119</v>
      </c>
      <c r="AA51" s="3">
        <f t="shared" si="13"/>
        <v>31.15069570418423</v>
      </c>
      <c r="AB51" s="2">
        <f t="shared" si="14"/>
        <v>31.247435558727503</v>
      </c>
      <c r="AC51" s="2">
        <f t="shared" si="15"/>
        <v>32.453265272513249</v>
      </c>
      <c r="AD51" s="2">
        <f t="shared" si="16"/>
        <v>0.58373122426623125</v>
      </c>
      <c r="AE51" s="2">
        <f t="shared" si="17"/>
        <v>1.5575865030376068</v>
      </c>
    </row>
    <row r="52" spans="2:31" x14ac:dyDescent="0.2">
      <c r="B52" s="1">
        <f>[4]FormattedData!A25</f>
        <v>103</v>
      </c>
      <c r="C52" s="1" t="str">
        <f>VLOOKUP($B52,[4]TrtCodes!$B$11:I68,2)</f>
        <v>FDH</v>
      </c>
      <c r="D52" s="1">
        <f>VLOOKUP($B52,[4]TrtCodes!$B$11:J68,3)</f>
        <v>5</v>
      </c>
      <c r="E52" s="1">
        <f>VLOOKUP($B52,[4]TrtCodes!$B$11:K68,4)</f>
        <v>1</v>
      </c>
      <c r="F52" s="1">
        <f>VLOOKUP($B52,[4]TrtCodes!$B$11:L68,5)</f>
        <v>3</v>
      </c>
      <c r="G52" s="1">
        <f>VLOOKUP($B52,[4]TrtCodes!$B$11:M68,6)</f>
        <v>2</v>
      </c>
      <c r="H52" s="1">
        <f>VLOOKUP($B52,[4]TrtCodes!$B$11:N68,7)</f>
        <v>1</v>
      </c>
      <c r="I52" s="1">
        <f>[4]FormattedData!B25</f>
        <v>2</v>
      </c>
      <c r="J52" s="4">
        <f>[4]FormattedData!C25</f>
        <v>12.99</v>
      </c>
      <c r="K52" s="6">
        <f>$J$3+[4]FormattedData!D25*$J$4+$M$4*$J$5+[4]FormattedData!D25^2*$J$6+$M$5*$J$7</f>
        <v>31.971732262365851</v>
      </c>
      <c r="L52" s="6">
        <f>$J$3+[4]FormattedData!E25*$J$4+$M$4*$J$5+[4]FormattedData!E25^2*$J$6+$M$5*$J$7</f>
        <v>30.617818118408294</v>
      </c>
      <c r="M52" s="6">
        <f>$J$3+[4]FormattedData!F25*$J$4+$M$4*$J$5+[4]FormattedData!F25^2*$J$6+$M$5*$J$7</f>
        <v>31.005496101726212</v>
      </c>
      <c r="N52" s="6">
        <f>$J$3+[4]FormattedData!G25*$J$4+$M$4*$J$5+[4]FormattedData!G25^2*$J$6+$M$5*$J$7</f>
        <v>30.326615811271576</v>
      </c>
      <c r="O52" s="6">
        <f>$J$3+[4]FormattedData!H25*$J$4+$M$4*$J$5+[4]FormattedData!H25^2*$J$6+$M$5*$J$7</f>
        <v>32.164472272038594</v>
      </c>
      <c r="P52" s="6">
        <f>$J$3+[4]FormattedData!I25*$J$4+$M$4*$J$5+[4]FormattedData!I25^2*$J$6+$M$5*$J$7</f>
        <v>31.295810769566387</v>
      </c>
      <c r="Q52" s="6">
        <f>$J$3+[4]FormattedData!J25*$J$4+$M$4*$J$5+[4]FormattedData!J25^2*$J$6+$M$5*$J$7</f>
        <v>31.392497788437243</v>
      </c>
      <c r="R52" s="6">
        <f>$J$3+[4]FormattedData!K25*$J$4+$M$4*$J$5+[4]FormattedData!K25^2*$J$6+$M$5*$J$7</f>
        <v>30.908640008703632</v>
      </c>
      <c r="S52" s="6">
        <f>$J$3+[4]FormattedData!L25*$J$4+$M$4*$J$5+[4]FormattedData!L25^2*$J$6+$M$5*$J$7</f>
        <v>31.102309926210872</v>
      </c>
      <c r="T52" s="6">
        <f>$J$3+[4]FormattedData!M25*$J$4+$M$4*$J$5+[4]FormattedData!M25^2*$J$6+$M$5*$J$7</f>
        <v>30.423725515521745</v>
      </c>
      <c r="U52" s="6">
        <f>$J$3+[4]FormattedData!N25*$J$4+$M$4*$J$5+[4]FormattedData!N25^2*$J$6+$M$5*$J$7</f>
        <v>32.645582596806683</v>
      </c>
      <c r="V52" s="6">
        <f>$J$3+[4]FormattedData!O25*$J$4+$M$4*$J$5+[4]FormattedData!O25^2*$J$6+$M$5*$J$7</f>
        <v>31.199081482157588</v>
      </c>
      <c r="W52" s="5">
        <f t="shared" si="9"/>
        <v>31.254481887767891</v>
      </c>
      <c r="X52" s="4">
        <f t="shared" si="10"/>
        <v>0.20343092503259294</v>
      </c>
      <c r="Y52" s="3">
        <f t="shared" si="11"/>
        <v>30.326615811271576</v>
      </c>
      <c r="Z52" s="2">
        <f t="shared" si="12"/>
        <v>30.835934536129798</v>
      </c>
      <c r="AA52" s="3">
        <f t="shared" si="13"/>
        <v>31.15069570418423</v>
      </c>
      <c r="AB52" s="2">
        <f t="shared" si="14"/>
        <v>31.537306406919395</v>
      </c>
      <c r="AC52" s="2">
        <f t="shared" si="15"/>
        <v>32.645582596806683</v>
      </c>
      <c r="AD52" s="2">
        <f t="shared" si="16"/>
        <v>0.66287249246445779</v>
      </c>
      <c r="AE52" s="2">
        <f t="shared" si="17"/>
        <v>-0.13829231368918249</v>
      </c>
    </row>
    <row r="53" spans="2:31" x14ac:dyDescent="0.2">
      <c r="B53" s="1">
        <f>[4]FormattedData!A23</f>
        <v>104</v>
      </c>
      <c r="C53" s="1" t="str">
        <f>VLOOKUP($B53,[4]TrtCodes!$B$11:I66,2)</f>
        <v>NTL</v>
      </c>
      <c r="D53" s="1">
        <f>VLOOKUP($B53,[4]TrtCodes!$B$11:J66,3)</f>
        <v>10</v>
      </c>
      <c r="E53" s="1">
        <f>VLOOKUP($B53,[4]TrtCodes!$B$11:K66,4)</f>
        <v>2</v>
      </c>
      <c r="F53" s="1">
        <f>VLOOKUP($B53,[4]TrtCodes!$B$11:L66,5)</f>
        <v>2</v>
      </c>
      <c r="G53" s="1">
        <f>VLOOKUP($B53,[4]TrtCodes!$B$11:M66,6)</f>
        <v>1</v>
      </c>
      <c r="H53" s="1">
        <f>VLOOKUP($B53,[4]TrtCodes!$B$11:N66,7)</f>
        <v>1</v>
      </c>
      <c r="I53" s="1">
        <f>[4]FormattedData!B23</f>
        <v>2</v>
      </c>
      <c r="J53" s="4">
        <f>[4]FormattedData!C23</f>
        <v>12.972</v>
      </c>
      <c r="K53" s="6">
        <f>$J$3+[4]FormattedData!D23*$J$4+$M$4*$J$5+[4]FormattedData!D23^2*$J$6+$M$5*$J$7</f>
        <v>29.255619341016239</v>
      </c>
      <c r="L53" s="6">
        <f>$J$3+[4]FormattedData!E23*$J$4+$M$4*$J$5+[4]FormattedData!E23^2*$J$6+$M$5*$J$7</f>
        <v>28.767112022110204</v>
      </c>
      <c r="M53" s="6">
        <f>$J$3+[4]FormattedData!F23*$J$4+$M$4*$J$5+[4]FormattedData!F23^2*$J$6+$M$5*$J$7</f>
        <v>28.962641755286413</v>
      </c>
      <c r="N53" s="6">
        <f>$J$3+[4]FormattedData!G23*$J$4+$M$4*$J$5+[4]FormattedData!G23^2*$J$6+$M$5*$J$7</f>
        <v>30.520792951233982</v>
      </c>
      <c r="O53" s="6">
        <f>$J$3+[4]FormattedData!H23*$J$4+$M$4*$J$5+[4]FormattedData!H23^2*$J$6+$M$5*$J$7</f>
        <v>28.179508377671233</v>
      </c>
      <c r="P53" s="6">
        <f>$J$3+[4]FormattedData!I23*$J$4+$M$4*$J$5+[4]FormattedData!I23^2*$J$6+$M$5*$J$7</f>
        <v>28.864898022967274</v>
      </c>
      <c r="Q53" s="6">
        <f>$J$3+[4]FormattedData!J23*$J$4+$M$4*$J$5+[4]FormattedData!J23^2*$J$6+$M$5*$J$7</f>
        <v>30.617818118408294</v>
      </c>
      <c r="R53" s="6">
        <f>$J$3+[4]FormattedData!K23*$J$4+$M$4*$J$5+[4]FormattedData!K23^2*$J$6+$M$5*$J$7</f>
        <v>30.132269597157439</v>
      </c>
      <c r="S53" s="6">
        <f>$J$3+[4]FormattedData!L23*$J$4+$M$4*$J$5+[4]FormattedData!L23^2*$J$6+$M$5*$J$7</f>
        <v>30.520792951233982</v>
      </c>
      <c r="T53" s="6">
        <f>$J$3+[4]FormattedData!M23*$J$4+$M$4*$J$5+[4]FormattedData!M23^2*$J$6+$M$5*$J$7</f>
        <v>30.132269597157439</v>
      </c>
      <c r="U53" s="6">
        <f>$J$3+[4]FormattedData!N23*$J$4+$M$4*$J$5+[4]FormattedData!N23^2*$J$6+$M$5*$J$7</f>
        <v>29.743069946473994</v>
      </c>
      <c r="V53" s="6">
        <f>$J$3+[4]FormattedData!O23*$J$4+$M$4*$J$5+[4]FormattedData!O23^2*$J$6+$M$5*$J$7</f>
        <v>29.450726388813138</v>
      </c>
      <c r="W53" s="5">
        <f t="shared" si="9"/>
        <v>29.595626589127466</v>
      </c>
      <c r="X53" s="4">
        <f t="shared" si="10"/>
        <v>0.23220801652882664</v>
      </c>
      <c r="Y53" s="3">
        <f t="shared" si="11"/>
        <v>28.179508377671233</v>
      </c>
      <c r="Z53" s="2">
        <f t="shared" si="12"/>
        <v>28.938205822206626</v>
      </c>
      <c r="AA53" s="3">
        <f t="shared" si="13"/>
        <v>29.596898167643566</v>
      </c>
      <c r="AB53" s="2">
        <f t="shared" si="14"/>
        <v>30.229400435676574</v>
      </c>
      <c r="AC53" s="2">
        <f t="shared" si="15"/>
        <v>30.617818118408294</v>
      </c>
      <c r="AD53" s="2">
        <f t="shared" si="16"/>
        <v>-0.23697516368567045</v>
      </c>
      <c r="AE53" s="2">
        <f t="shared" si="17"/>
        <v>-1.1444482396292437</v>
      </c>
    </row>
    <row r="54" spans="2:31" x14ac:dyDescent="0.2">
      <c r="B54" s="1">
        <f>[4]FormattedData!A21</f>
        <v>105</v>
      </c>
      <c r="C54" s="1" t="str">
        <f>VLOOKUP($B54,[4]TrtCodes!$B$11:I64,2)</f>
        <v>NDL</v>
      </c>
      <c r="D54" s="1">
        <f>VLOOKUP($B54,[4]TrtCodes!$B$11:J64,3)</f>
        <v>12</v>
      </c>
      <c r="E54" s="1">
        <f>VLOOKUP($B54,[4]TrtCodes!$B$11:K64,4)</f>
        <v>2</v>
      </c>
      <c r="F54" s="1">
        <f>VLOOKUP($B54,[4]TrtCodes!$B$11:L64,5)</f>
        <v>3</v>
      </c>
      <c r="G54" s="1">
        <f>VLOOKUP($B54,[4]TrtCodes!$B$11:M64,6)</f>
        <v>1</v>
      </c>
      <c r="H54" s="1">
        <f>VLOOKUP($B54,[4]TrtCodes!$B$11:N64,7)</f>
        <v>2</v>
      </c>
      <c r="I54" s="1">
        <f>[4]FormattedData!B21</f>
        <v>2</v>
      </c>
      <c r="J54" s="4">
        <f>[4]FormattedData!C21</f>
        <v>12.952999999999999</v>
      </c>
      <c r="K54" s="6">
        <f>$J$3+[4]FormattedData!D21*$J$4+$M$4*$J$5+[4]FormattedData!D21^2*$J$6+$M$5*$J$7</f>
        <v>27.983302347888131</v>
      </c>
      <c r="L54" s="6">
        <f>$J$3+[4]FormattedData!E21*$J$4+$M$4*$J$5+[4]FormattedData!E21^2*$J$6+$M$5*$J$7</f>
        <v>27.295249784702424</v>
      </c>
      <c r="M54" s="6">
        <f>$J$3+[4]FormattedData!F21*$J$4+$M$4*$J$5+[4]FormattedData!F21^2*$J$6+$M$5*$J$7</f>
        <v>28.473500408311409</v>
      </c>
      <c r="N54" s="6">
        <f>$J$3+[4]FormattedData!G21*$J$4+$M$4*$J$5+[4]FormattedData!G21^2*$J$6+$M$5*$J$7</f>
        <v>28.375545333302618</v>
      </c>
      <c r="O54" s="6">
        <f>$J$3+[4]FormattedData!H21*$J$4+$M$4*$J$5+[4]FormattedData!H21^2*$J$6+$M$5*$J$7</f>
        <v>28.571413214782272</v>
      </c>
      <c r="P54" s="6">
        <f>$J$3+[4]FormattedData!I21*$J$4+$M$4*$J$5+[4]FormattedData!I21^2*$J$6+$M$5*$J$7</f>
        <v>27.786927243953297</v>
      </c>
      <c r="Q54" s="6">
        <f>$J$3+[4]FormattedData!J21*$J$4+$M$4*$J$5+[4]FormattedData!J21^2*$J$6+$M$5*$J$7</f>
        <v>28.473500408311409</v>
      </c>
      <c r="R54" s="6">
        <f>$J$3+[4]FormattedData!K21*$J$4+$M$4*$J$5+[4]FormattedData!K21^2*$J$6+$M$5*$J$7</f>
        <v>29.353193999183652</v>
      </c>
      <c r="S54" s="6">
        <f>$J$3+[4]FormattedData!L21*$J$4+$M$4*$J$5+[4]FormattedData!L21^2*$J$6+$M$5*$J$7</f>
        <v>28.179508377671233</v>
      </c>
      <c r="T54" s="6">
        <f>$J$3+[4]FormattedData!M21*$J$4+$M$4*$J$5+[4]FormattedData!M21^2*$J$6+$M$5*$J$7</f>
        <v>27.492047574016571</v>
      </c>
      <c r="U54" s="6">
        <f>$J$3+[4]FormattedData!N21*$J$4+$M$4*$J$5+[4]FormattedData!N21^2*$J$6+$M$5*$J$7</f>
        <v>28.962641755286413</v>
      </c>
      <c r="V54" s="6">
        <f>$J$3+[4]FormattedData!O21*$J$4+$M$4*$J$5+[4]FormattedData!O21^2*$J$6+$M$5*$J$7</f>
        <v>27.688676289178986</v>
      </c>
      <c r="W54" s="5">
        <f t="shared" si="9"/>
        <v>28.219625561382372</v>
      </c>
      <c r="X54" s="4">
        <f t="shared" si="10"/>
        <v>0.17460896114465316</v>
      </c>
      <c r="Y54" s="3">
        <f t="shared" si="11"/>
        <v>27.295249784702424</v>
      </c>
      <c r="Z54" s="2">
        <f t="shared" si="12"/>
        <v>27.762364505259718</v>
      </c>
      <c r="AA54" s="3">
        <f t="shared" si="13"/>
        <v>28.277526855486926</v>
      </c>
      <c r="AB54" s="2">
        <f t="shared" si="14"/>
        <v>28.497978609929124</v>
      </c>
      <c r="AC54" s="2">
        <f t="shared" si="15"/>
        <v>29.353193999183652</v>
      </c>
      <c r="AD54" s="2">
        <f t="shared" si="16"/>
        <v>0.26023512374763758</v>
      </c>
      <c r="AE54" s="2">
        <f t="shared" si="17"/>
        <v>-0.37431163256795053</v>
      </c>
    </row>
    <row r="55" spans="2:31" x14ac:dyDescent="0.2">
      <c r="B55" s="1">
        <f>[4]FormattedData!A19</f>
        <v>106</v>
      </c>
      <c r="C55" s="1" t="str">
        <f>VLOOKUP($B55,[4]TrtCodes!$B$11:I62,2)</f>
        <v>NTH</v>
      </c>
      <c r="D55" s="1">
        <f>VLOOKUP($B55,[4]TrtCodes!$B$11:J62,3)</f>
        <v>9</v>
      </c>
      <c r="E55" s="1">
        <f>VLOOKUP($B55,[4]TrtCodes!$B$11:K62,4)</f>
        <v>2</v>
      </c>
      <c r="F55" s="1">
        <f>VLOOKUP($B55,[4]TrtCodes!$B$11:L62,5)</f>
        <v>2</v>
      </c>
      <c r="G55" s="1">
        <f>VLOOKUP($B55,[4]TrtCodes!$B$11:M62,6)</f>
        <v>2</v>
      </c>
      <c r="H55" s="1">
        <f>VLOOKUP($B55,[4]TrtCodes!$B$11:N62,7)</f>
        <v>2</v>
      </c>
      <c r="I55" s="1">
        <f>[4]FormattedData!B19</f>
        <v>2</v>
      </c>
      <c r="J55" s="4">
        <f>[4]FormattedData!C19</f>
        <v>12.933</v>
      </c>
      <c r="K55" s="6">
        <f>$J$3+[4]FormattedData!D19*$J$4+$M$4*$J$5+[4]FormattedData!D19^2*$J$6+$M$5*$J$7</f>
        <v>28.962641755286413</v>
      </c>
      <c r="L55" s="6">
        <f>$J$3+[4]FormattedData!E19*$J$4+$M$4*$J$5+[4]FormattedData!E19^2*$J$6+$M$5*$J$7</f>
        <v>29.548216509904684</v>
      </c>
      <c r="M55" s="6">
        <f>$J$3+[4]FormattedData!F19*$J$4+$M$4*$J$5+[4]FormattedData!F19^2*$J$6+$M$5*$J$7</f>
        <v>28.767112022110204</v>
      </c>
      <c r="N55" s="6">
        <f>$J$3+[4]FormattedData!G19*$J$4+$M$4*$J$5+[4]FormattedData!G19^2*$J$6+$M$5*$J$7</f>
        <v>29.548216509904684</v>
      </c>
      <c r="O55" s="6">
        <f>$J$3+[4]FormattedData!H19*$J$4+$M$4*$J$5+[4]FormattedData!H19^2*$J$6+$M$5*$J$7</f>
        <v>29.645664362458309</v>
      </c>
      <c r="P55" s="6">
        <f>$J$3+[4]FormattedData!I19*$J$4+$M$4*$J$5+[4]FormattedData!I19^2*$J$6+$M$5*$J$7</f>
        <v>29.060343219067619</v>
      </c>
      <c r="Q55" s="6">
        <f>$J$3+[4]FormattedData!J19*$J$4+$M$4*$J$5+[4]FormattedData!J19^2*$J$6+$M$5*$J$7</f>
        <v>29.548216509904684</v>
      </c>
      <c r="R55" s="6">
        <f>$J$3+[4]FormattedData!K19*$J$4+$M$4*$J$5+[4]FormattedData!K19^2*$J$6+$M$5*$J$7</f>
        <v>29.158002414310896</v>
      </c>
      <c r="S55" s="6">
        <f>$J$3+[4]FormattedData!L19*$J$4+$M$4*$J$5+[4]FormattedData!L19^2*$J$6+$M$5*$J$7</f>
        <v>28.962641755286413</v>
      </c>
      <c r="T55" s="6">
        <f>$J$3+[4]FormattedData!M19*$J$4+$M$4*$J$5+[4]FormattedData!M19^2*$J$6+$M$5*$J$7</f>
        <v>31.199081482157588</v>
      </c>
      <c r="U55" s="6">
        <f>$J$3+[4]FormattedData!N19*$J$4+$M$4*$J$5+[4]FormattedData!N19^2*$J$6+$M$5*$J$7</f>
        <v>30.229463838483468</v>
      </c>
      <c r="V55" s="6">
        <f>$J$3+[4]FormattedData!O19*$J$4+$M$4*$J$5+[4]FormattedData!O19^2*$J$6+$M$5*$J$7</f>
        <v>29.060343219067619</v>
      </c>
      <c r="W55" s="5">
        <f t="shared" si="9"/>
        <v>29.474161966495217</v>
      </c>
      <c r="X55" s="4">
        <f t="shared" si="10"/>
        <v>0.19573807100246729</v>
      </c>
      <c r="Y55" s="3">
        <f t="shared" si="11"/>
        <v>28.767112022110204</v>
      </c>
      <c r="Z55" s="2">
        <f t="shared" si="12"/>
        <v>29.035917853122317</v>
      </c>
      <c r="AA55" s="3">
        <f t="shared" si="13"/>
        <v>29.353109462107788</v>
      </c>
      <c r="AB55" s="2">
        <f t="shared" si="14"/>
        <v>29.572578473043091</v>
      </c>
      <c r="AC55" s="2">
        <f t="shared" si="15"/>
        <v>31.199081482157588</v>
      </c>
      <c r="AD55" s="2">
        <f t="shared" si="16"/>
        <v>1.6709181270814399</v>
      </c>
      <c r="AE55" s="2">
        <f t="shared" si="17"/>
        <v>3.1488841010229116</v>
      </c>
    </row>
    <row r="56" spans="2:31" x14ac:dyDescent="0.2">
      <c r="B56" s="1">
        <f>[4]FormattedData!A17</f>
        <v>107</v>
      </c>
      <c r="C56" s="1" t="str">
        <f>VLOOKUP($B56,[4]TrtCodes!$B$11:I60,2)</f>
        <v>NTL</v>
      </c>
      <c r="D56" s="1">
        <f>VLOOKUP($B56,[4]TrtCodes!$B$11:J60,3)</f>
        <v>10</v>
      </c>
      <c r="E56" s="1">
        <f>VLOOKUP($B56,[4]TrtCodes!$B$11:K60,4)</f>
        <v>2</v>
      </c>
      <c r="F56" s="1">
        <f>VLOOKUP($B56,[4]TrtCodes!$B$11:L60,5)</f>
        <v>2</v>
      </c>
      <c r="G56" s="1">
        <f>VLOOKUP($B56,[4]TrtCodes!$B$11:M60,6)</f>
        <v>1</v>
      </c>
      <c r="H56" s="1">
        <f>VLOOKUP($B56,[4]TrtCodes!$B$11:N60,7)</f>
        <v>2</v>
      </c>
      <c r="I56" s="1">
        <f>[4]FormattedData!B17</f>
        <v>2</v>
      </c>
      <c r="J56" s="4">
        <f>[4]FormattedData!C17</f>
        <v>12.916</v>
      </c>
      <c r="K56" s="6">
        <f>$J$3+[4]FormattedData!D17*$J$4+$M$4*$J$5+[4]FormattedData!D17^2*$J$6+$M$5*$J$7</f>
        <v>29.840433261951759</v>
      </c>
      <c r="L56" s="6">
        <f>$J$3+[4]FormattedData!E17*$J$4+$M$4*$J$5+[4]FormattedData!E17^2*$J$6+$M$5*$J$7</f>
        <v>30.035033087293474</v>
      </c>
      <c r="M56" s="6">
        <f>$J$3+[4]FormattedData!F17*$J$4+$M$4*$J$5+[4]FormattedData!F17^2*$J$6+$M$5*$J$7</f>
        <v>28.962641755286413</v>
      </c>
      <c r="N56" s="6">
        <f>$J$3+[4]FormattedData!G17*$J$4+$M$4*$J$5+[4]FormattedData!G17^2*$J$6+$M$5*$J$7</f>
        <v>29.060343219067619</v>
      </c>
      <c r="O56" s="6">
        <f>$J$3+[4]FormattedData!H17*$J$4+$M$4*$J$5+[4]FormattedData!H17^2*$J$6+$M$5*$J$7</f>
        <v>30.617818118408294</v>
      </c>
      <c r="P56" s="6">
        <f>$J$3+[4]FormattedData!I17*$J$4+$M$4*$J$5+[4]FormattedData!I17^2*$J$6+$M$5*$J$7</f>
        <v>28.669283752715202</v>
      </c>
      <c r="Q56" s="6">
        <f>$J$3+[4]FormattedData!J17*$J$4+$M$4*$J$5+[4]FormattedData!J17^2*$J$6+$M$5*$J$7</f>
        <v>28.669283752715202</v>
      </c>
      <c r="R56" s="6">
        <f>$J$3+[4]FormattedData!K17*$J$4+$M$4*$J$5+[4]FormattedData!K17^2*$J$6+$M$5*$J$7</f>
        <v>29.353193999183652</v>
      </c>
      <c r="S56" s="6">
        <f>$J$3+[4]FormattedData!L17*$J$4+$M$4*$J$5+[4]FormattedData!L17^2*$J$6+$M$5*$J$7</f>
        <v>29.743069946473994</v>
      </c>
      <c r="T56" s="6">
        <f>$J$3+[4]FormattedData!M17*$J$4+$M$4*$J$5+[4]FormattedData!M17^2*$J$6+$M$5*$J$7</f>
        <v>30.811741647143119</v>
      </c>
      <c r="U56" s="6">
        <f>$J$3+[4]FormattedData!N17*$J$4+$M$4*$J$5+[4]FormattedData!N17^2*$J$6+$M$5*$J$7</f>
        <v>28.375545333302618</v>
      </c>
      <c r="V56" s="6">
        <f>$J$3+[4]FormattedData!O17*$J$4+$M$4*$J$5+[4]FormattedData!O17^2*$J$6+$M$5*$J$7</f>
        <v>28.473500408311409</v>
      </c>
      <c r="W56" s="5">
        <f t="shared" si="9"/>
        <v>29.384324023487732</v>
      </c>
      <c r="X56" s="4">
        <f t="shared" si="10"/>
        <v>0.23793195442574747</v>
      </c>
      <c r="Y56" s="3">
        <f t="shared" si="11"/>
        <v>28.375545333302618</v>
      </c>
      <c r="Z56" s="2">
        <f t="shared" si="12"/>
        <v>28.669283752715202</v>
      </c>
      <c r="AA56" s="3">
        <f t="shared" si="13"/>
        <v>29.206768609125636</v>
      </c>
      <c r="AB56" s="2">
        <f t="shared" si="14"/>
        <v>29.889083218287187</v>
      </c>
      <c r="AC56" s="2">
        <f t="shared" si="15"/>
        <v>30.811741647143119</v>
      </c>
      <c r="AD56" s="2">
        <f t="shared" si="16"/>
        <v>0.50254076016718108</v>
      </c>
      <c r="AE56" s="2">
        <f t="shared" si="17"/>
        <v>-0.96211197936256454</v>
      </c>
    </row>
    <row r="57" spans="2:31" x14ac:dyDescent="0.2">
      <c r="B57" s="1">
        <f>[4]FormattedData!A15</f>
        <v>108</v>
      </c>
      <c r="C57" s="1" t="str">
        <f>VLOOKUP($B57,[4]TrtCodes!$B$11:I58,2)</f>
        <v>FTH</v>
      </c>
      <c r="D57" s="1">
        <f>VLOOKUP($B57,[4]TrtCodes!$B$11:J58,3)</f>
        <v>3</v>
      </c>
      <c r="E57" s="1">
        <f>VLOOKUP($B57,[4]TrtCodes!$B$11:K58,4)</f>
        <v>1</v>
      </c>
      <c r="F57" s="1">
        <f>VLOOKUP($B57,[4]TrtCodes!$B$11:L58,5)</f>
        <v>2</v>
      </c>
      <c r="G57" s="1">
        <f>VLOOKUP($B57,[4]TrtCodes!$B$11:M58,6)</f>
        <v>2</v>
      </c>
      <c r="H57" s="1">
        <f>VLOOKUP($B57,[4]TrtCodes!$B$11:N58,7)</f>
        <v>2</v>
      </c>
      <c r="I57" s="1">
        <f>[4]FormattedData!B15</f>
        <v>2</v>
      </c>
      <c r="J57" s="4">
        <f>[4]FormattedData!C15</f>
        <v>12.9</v>
      </c>
      <c r="K57" s="6">
        <f>$J$3+[4]FormattedData!D15*$J$4+$M$4*$J$5+[4]FormattedData!D15^2*$J$6+$M$5*$J$7</f>
        <v>30.811741647143119</v>
      </c>
      <c r="L57" s="6">
        <f>$J$3+[4]FormattedData!E15*$J$4+$M$4*$J$5+[4]FormattedData!E15^2*$J$6+$M$5*$J$7</f>
        <v>30.132269597157439</v>
      </c>
      <c r="M57" s="6">
        <f>$J$3+[4]FormattedData!F15*$J$4+$M$4*$J$5+[4]FormattedData!F15^2*$J$6+$M$5*$J$7</f>
        <v>29.937754308891581</v>
      </c>
      <c r="N57" s="6">
        <f>$J$3+[4]FormattedData!G15*$J$4+$M$4*$J$5+[4]FormattedData!G15^2*$J$6+$M$5*$J$7</f>
        <v>30.520792951233982</v>
      </c>
      <c r="O57" s="6">
        <f>$J$3+[4]FormattedData!H15*$J$4+$M$4*$J$5+[4]FormattedData!H15^2*$J$6+$M$5*$J$7</f>
        <v>31.392497788437243</v>
      </c>
      <c r="P57" s="6">
        <f>$J$3+[4]FormattedData!I15*$J$4+$M$4*$J$5+[4]FormattedData!I15^2*$J$6+$M$5*$J$7</f>
        <v>31.199081482157588</v>
      </c>
      <c r="Q57" s="6">
        <f>$J$3+[4]FormattedData!J15*$J$4+$M$4*$J$5+[4]FormattedData!J15^2*$J$6+$M$5*$J$7</f>
        <v>31.58574502056517</v>
      </c>
      <c r="R57" s="6">
        <f>$J$3+[4]FormattedData!K15*$J$4+$M$4*$J$5+[4]FormattedData!K15^2*$J$6+$M$5*$J$7</f>
        <v>31.102309926210872</v>
      </c>
      <c r="S57" s="6">
        <f>$J$3+[4]FormattedData!L15*$J$4+$M$4*$J$5+[4]FormattedData!L15^2*$J$6+$M$5*$J$7</f>
        <v>30.908640008703632</v>
      </c>
      <c r="T57" s="6">
        <f>$J$3+[4]FormattedData!M15*$J$4+$M$4*$J$5+[4]FormattedData!M15^2*$J$6+$M$5*$J$7</f>
        <v>30.714801017044671</v>
      </c>
      <c r="U57" s="6">
        <f>$J$3+[4]FormattedData!N15*$J$4+$M$4*$J$5+[4]FormattedData!N15^2*$J$6+$M$5*$J$7</f>
        <v>30.423725515521745</v>
      </c>
      <c r="V57" s="6">
        <f>$J$3+[4]FormattedData!O15*$J$4+$M$4*$J$5+[4]FormattedData!O15^2*$J$6+$M$5*$J$7</f>
        <v>30.908640008703632</v>
      </c>
      <c r="W57" s="5">
        <f t="shared" si="9"/>
        <v>30.803166605980891</v>
      </c>
      <c r="X57" s="4">
        <f t="shared" si="10"/>
        <v>0.14192556951469426</v>
      </c>
      <c r="Y57" s="3">
        <f t="shared" si="11"/>
        <v>29.937754308891581</v>
      </c>
      <c r="Z57" s="2">
        <f t="shared" si="12"/>
        <v>30.496526092305924</v>
      </c>
      <c r="AA57" s="3">
        <f t="shared" si="13"/>
        <v>30.860190827923375</v>
      </c>
      <c r="AB57" s="2">
        <f t="shared" si="14"/>
        <v>31.126502815197551</v>
      </c>
      <c r="AC57" s="2">
        <f t="shared" si="15"/>
        <v>31.58574502056517</v>
      </c>
      <c r="AD57" s="2">
        <f t="shared" si="16"/>
        <v>-0.23208231370574492</v>
      </c>
      <c r="AE57" s="2">
        <f t="shared" si="17"/>
        <v>-0.47550746577984659</v>
      </c>
    </row>
    <row r="58" spans="2:31" x14ac:dyDescent="0.2">
      <c r="B58" s="1">
        <f>[4]FormattedData!A31</f>
        <v>201</v>
      </c>
      <c r="C58" s="1" t="str">
        <f>VLOOKUP($B58,[4]TrtCodes!$B$11:I74,2)</f>
        <v>NDL</v>
      </c>
      <c r="D58" s="1">
        <f>VLOOKUP($B58,[4]TrtCodes!$B$11:J74,3)</f>
        <v>12</v>
      </c>
      <c r="E58" s="1">
        <f>VLOOKUP($B58,[4]TrtCodes!$B$11:K74,4)</f>
        <v>2</v>
      </c>
      <c r="F58" s="1">
        <f>VLOOKUP($B58,[4]TrtCodes!$B$11:L74,5)</f>
        <v>3</v>
      </c>
      <c r="G58" s="1">
        <f>VLOOKUP($B58,[4]TrtCodes!$B$11:M74,6)</f>
        <v>1</v>
      </c>
      <c r="H58" s="1">
        <f>VLOOKUP($B58,[4]TrtCodes!$B$11:N74,7)</f>
        <v>1</v>
      </c>
      <c r="I58" s="1">
        <f>[4]FormattedData!B31</f>
        <v>2</v>
      </c>
      <c r="J58" s="4">
        <f>[4]FormattedData!C31</f>
        <v>13.045999999999999</v>
      </c>
      <c r="K58" s="6">
        <f>$J$3+[4]FormattedData!D31*$J$4+$M$4*$J$5+[4]FormattedData!D31^2*$J$6+$M$5*$J$7</f>
        <v>28.277547989755888</v>
      </c>
      <c r="L58" s="6">
        <f>$J$3+[4]FormattedData!E31*$J$4+$M$4*$J$5+[4]FormattedData!E31^2*$J$6+$M$5*$J$7</f>
        <v>29.060343219067619</v>
      </c>
      <c r="M58" s="6">
        <f>$J$3+[4]FormattedData!F31*$J$4+$M$4*$J$5+[4]FormattedData!F31^2*$J$6+$M$5*$J$7</f>
        <v>29.255619341016239</v>
      </c>
      <c r="N58" s="6">
        <f>$J$3+[4]FormattedData!G31*$J$4+$M$4*$J$5+[4]FormattedData!G31^2*$J$6+$M$5*$J$7</f>
        <v>31.005496101726212</v>
      </c>
      <c r="O58" s="6">
        <f>$J$3+[4]FormattedData!H31*$J$4+$M$4*$J$5+[4]FormattedData!H31^2*$J$6+$M$5*$J$7</f>
        <v>31.682305233822234</v>
      </c>
      <c r="P58" s="6">
        <f>$J$3+[4]FormattedData!I31*$J$4+$M$4*$J$5+[4]FormattedData!I31^2*$J$6+$M$5*$J$7</f>
        <v>29.060343219067619</v>
      </c>
      <c r="Q58" s="6">
        <f>$J$3+[4]FormattedData!J31*$J$4+$M$4*$J$5+[4]FormattedData!J31^2*$J$6+$M$5*$J$7</f>
        <v>29.353193999183652</v>
      </c>
      <c r="R58" s="6">
        <f>$J$3+[4]FormattedData!K31*$J$4+$M$4*$J$5+[4]FormattedData!K31^2*$J$6+$M$5*$J$7</f>
        <v>28.962641755286413</v>
      </c>
      <c r="S58" s="6">
        <f>$J$3+[4]FormattedData!L31*$J$4+$M$4*$J$5+[4]FormattedData!L31^2*$J$6+$M$5*$J$7</f>
        <v>30.617818118408294</v>
      </c>
      <c r="T58" s="6">
        <f>$J$3+[4]FormattedData!M31*$J$4+$M$4*$J$5+[4]FormattedData!M31^2*$J$6+$M$5*$J$7</f>
        <v>28.669283752715202</v>
      </c>
      <c r="U58" s="6">
        <f>$J$3+[4]FormattedData!N31*$J$4+$M$4*$J$5+[4]FormattedData!N31^2*$J$6+$M$5*$J$7</f>
        <v>29.937754308891581</v>
      </c>
      <c r="V58" s="6">
        <f>$J$3+[4]FormattedData!O31*$J$4+$M$4*$J$5+[4]FormattedData!O31^2*$J$6+$M$5*$J$7</f>
        <v>27.393669813628463</v>
      </c>
      <c r="W58" s="5">
        <f t="shared" si="9"/>
        <v>29.439668071047453</v>
      </c>
      <c r="X58" s="4">
        <f t="shared" si="10"/>
        <v>0.34601815882566073</v>
      </c>
      <c r="Y58" s="3">
        <f t="shared" si="11"/>
        <v>27.393669813628463</v>
      </c>
      <c r="Z58" s="2">
        <f t="shared" si="12"/>
        <v>28.88930225464361</v>
      </c>
      <c r="AA58" s="3">
        <f t="shared" si="13"/>
        <v>29.15798128004193</v>
      </c>
      <c r="AB58" s="2">
        <f t="shared" si="14"/>
        <v>30.107770261270758</v>
      </c>
      <c r="AC58" s="2">
        <f t="shared" si="15"/>
        <v>31.682305233822234</v>
      </c>
      <c r="AD58" s="2">
        <f t="shared" si="16"/>
        <v>0.38394904821323578</v>
      </c>
      <c r="AE58" s="2">
        <f t="shared" si="17"/>
        <v>1.9266122920492457E-2</v>
      </c>
    </row>
    <row r="59" spans="2:31" x14ac:dyDescent="0.2">
      <c r="B59" s="1">
        <f>[4]FormattedData!A33</f>
        <v>202</v>
      </c>
      <c r="C59" s="1" t="str">
        <f>VLOOKUP($B59,[4]TrtCodes!$B$11:I76,2)</f>
        <v>NTH</v>
      </c>
      <c r="D59" s="1">
        <f>VLOOKUP($B59,[4]TrtCodes!$B$11:J76,3)</f>
        <v>9</v>
      </c>
      <c r="E59" s="1">
        <f>VLOOKUP($B59,[4]TrtCodes!$B$11:K76,4)</f>
        <v>2</v>
      </c>
      <c r="F59" s="1">
        <f>VLOOKUP($B59,[4]TrtCodes!$B$11:L76,5)</f>
        <v>2</v>
      </c>
      <c r="G59" s="1">
        <f>VLOOKUP($B59,[4]TrtCodes!$B$11:M76,6)</f>
        <v>2</v>
      </c>
      <c r="H59" s="1">
        <f>VLOOKUP($B59,[4]TrtCodes!$B$11:N76,7)</f>
        <v>1</v>
      </c>
      <c r="I59" s="1">
        <f>[4]FormattedData!B33</f>
        <v>2</v>
      </c>
      <c r="J59" s="4">
        <f>[4]FormattedData!C33</f>
        <v>13.061999999999999</v>
      </c>
      <c r="K59" s="6">
        <f>$J$3+[4]FormattedData!D33*$J$4+$M$4*$J$5+[4]FormattedData!D33^2*$J$6+$M$5*$J$7</f>
        <v>31.87529885472258</v>
      </c>
      <c r="L59" s="6">
        <f>$J$3+[4]FormattedData!E33*$J$4+$M$4*$J$5+[4]FormattedData!E33^2*$J$6+$M$5*$J$7</f>
        <v>30.714801017044671</v>
      </c>
      <c r="M59" s="6">
        <f>$J$3+[4]FormattedData!F33*$J$4+$M$4*$J$5+[4]FormattedData!F33^2*$J$6+$M$5*$J$7</f>
        <v>31.87529885472258</v>
      </c>
      <c r="N59" s="6">
        <f>$J$3+[4]FormattedData!G33*$J$4+$M$4*$J$5+[4]FormattedData!G33^2*$J$6+$M$5*$J$7</f>
        <v>30.617818118408294</v>
      </c>
      <c r="O59" s="6">
        <f>$J$3+[4]FormattedData!H33*$J$4+$M$4*$J$5+[4]FormattedData!H33^2*$J$6+$M$5*$J$7</f>
        <v>31.58574502056517</v>
      </c>
      <c r="P59" s="6">
        <f>$J$3+[4]FormattedData!I33*$J$4+$M$4*$J$5+[4]FormattedData!I33^2*$J$6+$M$5*$J$7</f>
        <v>31.778823178541373</v>
      </c>
      <c r="Q59" s="6">
        <f>$J$3+[4]FormattedData!J33*$J$4+$M$4*$J$5+[4]FormattedData!J33^2*$J$6+$M$5*$J$7</f>
        <v>31.005496101726212</v>
      </c>
      <c r="R59" s="6">
        <f>$J$3+[4]FormattedData!K33*$J$4+$M$4*$J$5+[4]FormattedData!K33^2*$J$6+$M$5*$J$7</f>
        <v>30.132269597157439</v>
      </c>
      <c r="S59" s="6">
        <f>$J$3+[4]FormattedData!L33*$J$4+$M$4*$J$5+[4]FormattedData!L33^2*$J$6+$M$5*$J$7</f>
        <v>30.908640008703632</v>
      </c>
      <c r="T59" s="6">
        <f>$J$3+[4]FormattedData!M33*$J$4+$M$4*$J$5+[4]FormattedData!M33^2*$J$6+$M$5*$J$7</f>
        <v>31.295810769566387</v>
      </c>
      <c r="U59" s="6">
        <f>$J$3+[4]FormattedData!N33*$J$4+$M$4*$J$5+[4]FormattedData!N33^2*$J$6+$M$5*$J$7</f>
        <v>33.413161152463204</v>
      </c>
      <c r="V59" s="6">
        <f>$J$3+[4]FormattedData!O33*$J$4+$M$4*$J$5+[4]FormattedData!O33^2*$J$6+$M$5*$J$7</f>
        <v>31.392497788437243</v>
      </c>
      <c r="W59" s="5">
        <f t="shared" si="9"/>
        <v>31.382971705171567</v>
      </c>
      <c r="X59" s="4">
        <f t="shared" si="10"/>
        <v>0.24270556188919409</v>
      </c>
      <c r="Y59" s="3">
        <f t="shared" si="11"/>
        <v>30.132269597157439</v>
      </c>
      <c r="Z59" s="2">
        <f t="shared" si="12"/>
        <v>30.860180260788891</v>
      </c>
      <c r="AA59" s="3">
        <f t="shared" si="13"/>
        <v>31.344154279001813</v>
      </c>
      <c r="AB59" s="2">
        <f t="shared" si="14"/>
        <v>31.802942097586673</v>
      </c>
      <c r="AC59" s="2">
        <f t="shared" si="15"/>
        <v>33.413161152463204</v>
      </c>
      <c r="AD59" s="2">
        <f t="shared" si="16"/>
        <v>1.0670227259771703</v>
      </c>
      <c r="AE59" s="2">
        <f t="shared" si="17"/>
        <v>2.3343933050565546</v>
      </c>
    </row>
    <row r="60" spans="2:31" x14ac:dyDescent="0.2">
      <c r="B60" s="1">
        <f>[4]FormattedData!A35</f>
        <v>203</v>
      </c>
      <c r="C60" s="1" t="str">
        <f>VLOOKUP($B60,[4]TrtCodes!$B$11:I78,2)</f>
        <v>FTH</v>
      </c>
      <c r="D60" s="1">
        <f>VLOOKUP($B60,[4]TrtCodes!$B$11:J78,3)</f>
        <v>3</v>
      </c>
      <c r="E60" s="1">
        <f>VLOOKUP($B60,[4]TrtCodes!$B$11:K78,4)</f>
        <v>1</v>
      </c>
      <c r="F60" s="1">
        <f>VLOOKUP($B60,[4]TrtCodes!$B$11:L78,5)</f>
        <v>2</v>
      </c>
      <c r="G60" s="1">
        <f>VLOOKUP($B60,[4]TrtCodes!$B$11:M78,6)</f>
        <v>2</v>
      </c>
      <c r="H60" s="1">
        <f>VLOOKUP($B60,[4]TrtCodes!$B$11:N78,7)</f>
        <v>1</v>
      </c>
      <c r="I60" s="1">
        <f>[4]FormattedData!B35</f>
        <v>2</v>
      </c>
      <c r="J60" s="4">
        <f>[4]FormattedData!C35</f>
        <v>13.077999999999999</v>
      </c>
      <c r="K60" s="6">
        <f>$J$3+[4]FormattedData!D35*$J$4+$M$4*$J$5+[4]FormattedData!D35^2*$J$6+$M$5*$J$7</f>
        <v>30.714801017044671</v>
      </c>
      <c r="L60" s="6">
        <f>$J$3+[4]FormattedData!E35*$J$4+$M$4*$J$5+[4]FormattedData!E35^2*$J$6+$M$5*$J$7</f>
        <v>30.132269597157439</v>
      </c>
      <c r="M60" s="6">
        <f>$J$3+[4]FormattedData!F35*$J$4+$M$4*$J$5+[4]FormattedData!F35^2*$J$6+$M$5*$J$7</f>
        <v>31.199081482157588</v>
      </c>
      <c r="N60" s="6">
        <f>$J$3+[4]FormattedData!G35*$J$4+$M$4*$J$5+[4]FormattedData!G35^2*$J$6+$M$5*$J$7</f>
        <v>30.229463838483468</v>
      </c>
      <c r="O60" s="6">
        <f>$J$3+[4]FormattedData!H35*$J$4+$M$4*$J$5+[4]FormattedData!H35^2*$J$6+$M$5*$J$7</f>
        <v>30.132269597157439</v>
      </c>
      <c r="P60" s="6">
        <f>$J$3+[4]FormattedData!I35*$J$4+$M$4*$J$5+[4]FormattedData!I35^2*$J$6+$M$5*$J$7</f>
        <v>30.617818118408294</v>
      </c>
      <c r="Q60" s="6">
        <f>$J$3+[4]FormattedData!J35*$J$4+$M$4*$J$5+[4]FormattedData!J35^2*$J$6+$M$5*$J$7</f>
        <v>29.840433261951759</v>
      </c>
      <c r="R60" s="6">
        <f>$J$3+[4]FormattedData!K35*$J$4+$M$4*$J$5+[4]FormattedData!K35^2*$J$6+$M$5*$J$7</f>
        <v>29.937754308891581</v>
      </c>
      <c r="S60" s="6">
        <f>$J$3+[4]FormattedData!L35*$J$4+$M$4*$J$5+[4]FormattedData!L35^2*$J$6+$M$5*$J$7</f>
        <v>31.58574502056517</v>
      </c>
      <c r="T60" s="6">
        <f>$J$3+[4]FormattedData!M35*$J$4+$M$4*$J$5+[4]FormattedData!M35^2*$J$6+$M$5*$J$7</f>
        <v>30.617818118408294</v>
      </c>
      <c r="U60" s="6">
        <f>$J$3+[4]FormattedData!N35*$J$4+$M$4*$J$5+[4]FormattedData!N35^2*$J$6+$M$5*$J$7</f>
        <v>29.937754308891581</v>
      </c>
      <c r="V60" s="6">
        <f>$J$3+[4]FormattedData!O35*$J$4+$M$4*$J$5+[4]FormattedData!O35^2*$J$6+$M$5*$J$7</f>
        <v>29.937754308891581</v>
      </c>
      <c r="W60" s="5">
        <f t="shared" si="9"/>
        <v>30.406913581500735</v>
      </c>
      <c r="X60" s="4">
        <f t="shared" si="10"/>
        <v>0.15965179758050435</v>
      </c>
      <c r="Y60" s="3">
        <f t="shared" si="11"/>
        <v>29.840433261951759</v>
      </c>
      <c r="Z60" s="2">
        <f t="shared" si="12"/>
        <v>29.937754308891581</v>
      </c>
      <c r="AA60" s="3">
        <f t="shared" si="13"/>
        <v>30.180866717820454</v>
      </c>
      <c r="AB60" s="2">
        <f t="shared" si="14"/>
        <v>30.64206384306739</v>
      </c>
      <c r="AC60" s="2">
        <f t="shared" si="15"/>
        <v>31.58574502056517</v>
      </c>
      <c r="AD60" s="2">
        <f t="shared" si="16"/>
        <v>1.0606153801860416</v>
      </c>
      <c r="AE60" s="2">
        <f t="shared" si="17"/>
        <v>0.34350975957405172</v>
      </c>
    </row>
    <row r="61" spans="2:31" x14ac:dyDescent="0.2">
      <c r="B61" s="1">
        <f>[4]FormattedData!A37</f>
        <v>204</v>
      </c>
      <c r="C61" s="1" t="str">
        <f>VLOOKUP($B61,[4]TrtCodes!$B$11:I80,2)</f>
        <v>NDH</v>
      </c>
      <c r="D61" s="1">
        <f>VLOOKUP($B61,[4]TrtCodes!$B$11:J80,3)</f>
        <v>11</v>
      </c>
      <c r="E61" s="1">
        <f>VLOOKUP($B61,[4]TrtCodes!$B$11:K80,4)</f>
        <v>2</v>
      </c>
      <c r="F61" s="1">
        <f>VLOOKUP($B61,[4]TrtCodes!$B$11:L80,5)</f>
        <v>3</v>
      </c>
      <c r="G61" s="1">
        <f>VLOOKUP($B61,[4]TrtCodes!$B$11:M80,6)</f>
        <v>2</v>
      </c>
      <c r="H61" s="1">
        <f>VLOOKUP($B61,[4]TrtCodes!$B$11:N80,7)</f>
        <v>1</v>
      </c>
      <c r="I61" s="1">
        <f>[4]FormattedData!B37</f>
        <v>2</v>
      </c>
      <c r="J61" s="4">
        <f>[4]FormattedData!C37</f>
        <v>13.093999999999999</v>
      </c>
      <c r="K61" s="6">
        <f>$J$3+[4]FormattedData!D37*$J$4+$M$4*$J$5+[4]FormattedData!D37^2*$J$6+$M$5*$J$7</f>
        <v>30.035033087293474</v>
      </c>
      <c r="L61" s="6">
        <f>$J$3+[4]FormattedData!E37*$J$4+$M$4*$J$5+[4]FormattedData!E37^2*$J$6+$M$5*$J$7</f>
        <v>28.277547989755888</v>
      </c>
      <c r="M61" s="6">
        <f>$J$3+[4]FormattedData!F37*$J$4+$M$4*$J$5+[4]FormattedData!F37^2*$J$6+$M$5*$J$7</f>
        <v>28.669283752715202</v>
      </c>
      <c r="N61" s="6">
        <f>$J$3+[4]FormattedData!G37*$J$4+$M$4*$J$5+[4]FormattedData!G37^2*$J$6+$M$5*$J$7</f>
        <v>27.492047574016571</v>
      </c>
      <c r="O61" s="6">
        <f>$J$3+[4]FormattedData!H37*$J$4+$M$4*$J$5+[4]FormattedData!H37^2*$J$6+$M$5*$J$7</f>
        <v>29.450726388813138</v>
      </c>
      <c r="P61" s="6">
        <f>$J$3+[4]FormattedData!I37*$J$4+$M$4*$J$5+[4]FormattedData!I37^2*$J$6+$M$5*$J$7</f>
        <v>28.864898022967274</v>
      </c>
      <c r="Q61" s="6">
        <f>$J$3+[4]FormattedData!J37*$J$4+$M$4*$J$5+[4]FormattedData!J37^2*$J$6+$M$5*$J$7</f>
        <v>27.09828292123656</v>
      </c>
      <c r="R61" s="6">
        <f>$J$3+[4]FormattedData!K37*$J$4+$M$4*$J$5+[4]FormattedData!K37^2*$J$6+$M$5*$J$7</f>
        <v>28.864898022967274</v>
      </c>
      <c r="S61" s="6">
        <f>$J$3+[4]FormattedData!L37*$J$4+$M$4*$J$5+[4]FormattedData!L37^2*$J$6+$M$5*$J$7</f>
        <v>29.548216509904684</v>
      </c>
      <c r="T61" s="6">
        <f>$J$3+[4]FormattedData!M37*$J$4+$M$4*$J$5+[4]FormattedData!M37^2*$J$6+$M$5*$J$7</f>
        <v>28.962641755286413</v>
      </c>
      <c r="U61" s="6">
        <f>$J$3+[4]FormattedData!N37*$J$4+$M$4*$J$5+[4]FormattedData!N37^2*$J$6+$M$5*$J$7</f>
        <v>27.492047574016571</v>
      </c>
      <c r="V61" s="6">
        <f>$J$3+[4]FormattedData!O37*$J$4+$M$4*$J$5+[4]FormattedData!O37^2*$J$6+$M$5*$J$7</f>
        <v>28.767112022110204</v>
      </c>
      <c r="W61" s="5">
        <f t="shared" si="9"/>
        <v>28.626894635090277</v>
      </c>
      <c r="X61" s="4">
        <f t="shared" si="10"/>
        <v>0.25808611314444341</v>
      </c>
      <c r="Y61" s="3">
        <f t="shared" si="11"/>
        <v>27.09828292123656</v>
      </c>
      <c r="Z61" s="2">
        <f t="shared" si="12"/>
        <v>28.081172885821058</v>
      </c>
      <c r="AA61" s="3">
        <f t="shared" si="13"/>
        <v>28.816005022538739</v>
      </c>
      <c r="AB61" s="2">
        <f t="shared" si="14"/>
        <v>29.084662913668094</v>
      </c>
      <c r="AC61" s="2">
        <f t="shared" si="15"/>
        <v>30.035033087293474</v>
      </c>
      <c r="AD61" s="2">
        <f t="shared" si="16"/>
        <v>-0.35670340974413267</v>
      </c>
      <c r="AE61" s="2">
        <f t="shared" si="17"/>
        <v>-0.59896140522711816</v>
      </c>
    </row>
    <row r="62" spans="2:31" x14ac:dyDescent="0.2">
      <c r="B62" s="1">
        <f>[4]FormattedData!A39</f>
        <v>205</v>
      </c>
      <c r="C62" s="1" t="str">
        <f>VLOOKUP($B62,[4]TrtCodes!$B$11:I82,2)</f>
        <v>FSH</v>
      </c>
      <c r="D62" s="1">
        <f>VLOOKUP($B62,[4]TrtCodes!$B$11:J82,3)</f>
        <v>1</v>
      </c>
      <c r="E62" s="1">
        <f>VLOOKUP($B62,[4]TrtCodes!$B$11:K82,4)</f>
        <v>1</v>
      </c>
      <c r="F62" s="1">
        <f>VLOOKUP($B62,[4]TrtCodes!$B$11:L82,5)</f>
        <v>1</v>
      </c>
      <c r="G62" s="1">
        <f>VLOOKUP($B62,[4]TrtCodes!$B$11:M82,6)</f>
        <v>2</v>
      </c>
      <c r="H62" s="1">
        <f>VLOOKUP($B62,[4]TrtCodes!$B$11:N82,7)</f>
        <v>2</v>
      </c>
      <c r="I62" s="1">
        <f>[4]FormattedData!B39</f>
        <v>2</v>
      </c>
      <c r="J62" s="4">
        <f>[4]FormattedData!C39</f>
        <v>13.109</v>
      </c>
      <c r="K62" s="6">
        <f>$J$3+[4]FormattedData!D39*$J$4+$M$4*$J$5+[4]FormattedData!D39^2*$J$6+$M$5*$J$7</f>
        <v>32.645582596806683</v>
      </c>
      <c r="L62" s="6">
        <f>$J$3+[4]FormattedData!E39*$J$4+$M$4*$J$5+[4]FormattedData!E39^2*$J$6+$M$5*$J$7</f>
        <v>30.132269597157439</v>
      </c>
      <c r="M62" s="6">
        <f>$J$3+[4]FormattedData!F39*$J$4+$M$4*$J$5+[4]FormattedData!F39^2*$J$6+$M$5*$J$7</f>
        <v>30.811741647143119</v>
      </c>
      <c r="N62" s="6">
        <f>$J$3+[4]FormattedData!G39*$J$4+$M$4*$J$5+[4]FormattedData!G39^2*$J$6+$M$5*$J$7</f>
        <v>29.353193999183652</v>
      </c>
      <c r="O62" s="6">
        <f>$J$3+[4]FormattedData!H39*$J$4+$M$4*$J$5+[4]FormattedData!H39^2*$J$6+$M$5*$J$7</f>
        <v>30.229463838483468</v>
      </c>
      <c r="P62" s="6">
        <f>$J$3+[4]FormattedData!I39*$J$4+$M$4*$J$5+[4]FormattedData!I39^2*$J$6+$M$5*$J$7</f>
        <v>29.937754308891581</v>
      </c>
      <c r="Q62" s="6">
        <f>$J$3+[4]FormattedData!J39*$J$4+$M$4*$J$5+[4]FormattedData!J39^2*$J$6+$M$5*$J$7</f>
        <v>30.035033087293474</v>
      </c>
      <c r="R62" s="6">
        <f>$J$3+[4]FormattedData!K39*$J$4+$M$4*$J$5+[4]FormattedData!K39^2*$J$6+$M$5*$J$7</f>
        <v>29.450726388813138</v>
      </c>
      <c r="S62" s="6">
        <f>$J$3+[4]FormattedData!L39*$J$4+$M$4*$J$5+[4]FormattedData!L39^2*$J$6+$M$5*$J$7</f>
        <v>29.743069946473994</v>
      </c>
      <c r="T62" s="6">
        <f>$J$3+[4]FormattedData!M39*$J$4+$M$4*$J$5+[4]FormattedData!M39^2*$J$6+$M$5*$J$7</f>
        <v>30.132269597157439</v>
      </c>
      <c r="U62" s="6">
        <f>$J$3+[4]FormattedData!N39*$J$4+$M$4*$J$5+[4]FormattedData!N39^2*$J$6+$M$5*$J$7</f>
        <v>28.473500408311409</v>
      </c>
      <c r="V62" s="6">
        <f>$J$3+[4]FormattedData!O39*$J$4+$M$4*$J$5+[4]FormattedData!O39^2*$J$6+$M$5*$J$7</f>
        <v>29.937754308891581</v>
      </c>
      <c r="W62" s="5">
        <f t="shared" si="9"/>
        <v>30.07352997705058</v>
      </c>
      <c r="X62" s="4">
        <f t="shared" si="10"/>
        <v>0.28611882943510192</v>
      </c>
      <c r="Y62" s="3">
        <f t="shared" si="11"/>
        <v>28.473500408311409</v>
      </c>
      <c r="Z62" s="2">
        <f t="shared" si="12"/>
        <v>29.66998405705878</v>
      </c>
      <c r="AA62" s="3">
        <f t="shared" si="13"/>
        <v>29.986393698092527</v>
      </c>
      <c r="AB62" s="2">
        <f t="shared" si="14"/>
        <v>30.156568157488948</v>
      </c>
      <c r="AC62" s="2">
        <f t="shared" si="15"/>
        <v>32.645582596806683</v>
      </c>
      <c r="AD62" s="2">
        <f t="shared" si="16"/>
        <v>1.41945583953619</v>
      </c>
      <c r="AE62" s="2">
        <f t="shared" si="17"/>
        <v>4.3019766388759582</v>
      </c>
    </row>
    <row r="63" spans="2:31" x14ac:dyDescent="0.2">
      <c r="B63" s="1">
        <f>[4]FormattedData!A41</f>
        <v>206</v>
      </c>
      <c r="C63" s="1" t="str">
        <f>VLOOKUP($B63,[4]TrtCodes!$B$11:I84,2)</f>
        <v>NSL</v>
      </c>
      <c r="D63" s="1">
        <f>VLOOKUP($B63,[4]TrtCodes!$B$11:J84,3)</f>
        <v>8</v>
      </c>
      <c r="E63" s="1">
        <f>VLOOKUP($B63,[4]TrtCodes!$B$11:K84,4)</f>
        <v>2</v>
      </c>
      <c r="F63" s="1">
        <f>VLOOKUP($B63,[4]TrtCodes!$B$11:L84,5)</f>
        <v>1</v>
      </c>
      <c r="G63" s="1">
        <f>VLOOKUP($B63,[4]TrtCodes!$B$11:M84,6)</f>
        <v>1</v>
      </c>
      <c r="H63" s="1">
        <f>VLOOKUP($B63,[4]TrtCodes!$B$11:N84,7)</f>
        <v>2</v>
      </c>
      <c r="I63" s="1">
        <f>[4]FormattedData!B41</f>
        <v>2</v>
      </c>
      <c r="J63" s="4">
        <f>[4]FormattedData!C41</f>
        <v>13.125</v>
      </c>
      <c r="K63" s="6">
        <f>$J$3+[4]FormattedData!D41*$J$4+$M$4*$J$5+[4]FormattedData!D41^2*$J$6+$M$5*$J$7</f>
        <v>29.645664362458309</v>
      </c>
      <c r="L63" s="6">
        <f>$J$3+[4]FormattedData!E41*$J$4+$M$4*$J$5+[4]FormattedData!E41^2*$J$6+$M$5*$J$7</f>
        <v>30.520792951233982</v>
      </c>
      <c r="M63" s="6">
        <f>$J$3+[4]FormattedData!F41*$J$4+$M$4*$J$5+[4]FormattedData!F41^2*$J$6+$M$5*$J$7</f>
        <v>29.158002414310896</v>
      </c>
      <c r="N63" s="6">
        <f>$J$3+[4]FormattedData!G41*$J$4+$M$4*$J$5+[4]FormattedData!G41^2*$J$6+$M$5*$J$7</f>
        <v>29.645664362458309</v>
      </c>
      <c r="O63" s="6">
        <f>$J$3+[4]FormattedData!H41*$J$4+$M$4*$J$5+[4]FormattedData!H41^2*$J$6+$M$5*$J$7</f>
        <v>29.450726388813138</v>
      </c>
      <c r="P63" s="6">
        <f>$J$3+[4]FormattedData!I41*$J$4+$M$4*$J$5+[4]FormattedData!I41^2*$J$6+$M$5*$J$7</f>
        <v>30.229463838483468</v>
      </c>
      <c r="Q63" s="6">
        <f>$J$3+[4]FormattedData!J41*$J$4+$M$4*$J$5+[4]FormattedData!J41^2*$J$6+$M$5*$J$7</f>
        <v>31.199081482157588</v>
      </c>
      <c r="R63" s="6">
        <f>$J$3+[4]FormattedData!K41*$J$4+$M$4*$J$5+[4]FormattedData!K41^2*$J$6+$M$5*$J$7</f>
        <v>29.255619341016239</v>
      </c>
      <c r="S63" s="6">
        <f>$J$3+[4]FormattedData!L41*$J$4+$M$4*$J$5+[4]FormattedData!L41^2*$J$6+$M$5*$J$7</f>
        <v>30.714801017044671</v>
      </c>
      <c r="T63" s="6">
        <f>$J$3+[4]FormattedData!M41*$J$4+$M$4*$J$5+[4]FormattedData!M41^2*$J$6+$M$5*$J$7</f>
        <v>32.549445068928932</v>
      </c>
      <c r="U63" s="6">
        <f>$J$3+[4]FormattedData!N41*$J$4+$M$4*$J$5+[4]FormattedData!N41^2*$J$6+$M$5*$J$7</f>
        <v>29.937754308891581</v>
      </c>
      <c r="V63" s="6">
        <f>$J$3+[4]FormattedData!O41*$J$4+$M$4*$J$5+[4]FormattedData!O41^2*$J$6+$M$5*$J$7</f>
        <v>29.060343219067619</v>
      </c>
      <c r="W63" s="5">
        <f t="shared" si="9"/>
        <v>30.113946562905397</v>
      </c>
      <c r="X63" s="4">
        <f t="shared" si="10"/>
        <v>0.29283335129125965</v>
      </c>
      <c r="Y63" s="3">
        <f t="shared" si="11"/>
        <v>29.060343219067619</v>
      </c>
      <c r="Z63" s="2">
        <f t="shared" si="12"/>
        <v>29.401949626863914</v>
      </c>
      <c r="AA63" s="3">
        <f t="shared" si="13"/>
        <v>29.791709335674945</v>
      </c>
      <c r="AB63" s="2">
        <f t="shared" si="14"/>
        <v>30.569294967686655</v>
      </c>
      <c r="AC63" s="2">
        <f t="shared" si="15"/>
        <v>32.549445068928932</v>
      </c>
      <c r="AD63" s="2">
        <f t="shared" si="16"/>
        <v>1.3410667828752749</v>
      </c>
      <c r="AE63" s="2">
        <f t="shared" si="17"/>
        <v>1.8641360101991955</v>
      </c>
    </row>
    <row r="64" spans="2:31" x14ac:dyDescent="0.2">
      <c r="B64" s="1">
        <f>[4]FormattedData!A43</f>
        <v>207</v>
      </c>
      <c r="C64" s="1" t="str">
        <f>VLOOKUP($B64,[4]TrtCodes!$B$11:I86,2)</f>
        <v>FTL</v>
      </c>
      <c r="D64" s="1">
        <f>VLOOKUP($B64,[4]TrtCodes!$B$11:J86,3)</f>
        <v>4</v>
      </c>
      <c r="E64" s="1">
        <f>VLOOKUP($B64,[4]TrtCodes!$B$11:K86,4)</f>
        <v>1</v>
      </c>
      <c r="F64" s="1">
        <f>VLOOKUP($B64,[4]TrtCodes!$B$11:L86,5)</f>
        <v>2</v>
      </c>
      <c r="G64" s="1">
        <f>VLOOKUP($B64,[4]TrtCodes!$B$11:M86,6)</f>
        <v>1</v>
      </c>
      <c r="H64" s="1">
        <f>VLOOKUP($B64,[4]TrtCodes!$B$11:N86,7)</f>
        <v>2</v>
      </c>
      <c r="I64" s="1">
        <f>[4]FormattedData!B43</f>
        <v>2</v>
      </c>
      <c r="J64" s="4">
        <f>[4]FormattedData!C43</f>
        <v>13.141999999999999</v>
      </c>
      <c r="K64" s="6">
        <f>$J$3+[4]FormattedData!D43*$J$4+$M$4*$J$5+[4]FormattedData!D43^2*$J$6+$M$5*$J$7</f>
        <v>31.58574502056517</v>
      </c>
      <c r="L64" s="6">
        <f>$J$3+[4]FormattedData!E43*$J$4+$M$4*$J$5+[4]FormattedData!E43^2*$J$6+$M$5*$J$7</f>
        <v>30.326615811271576</v>
      </c>
      <c r="M64" s="6">
        <f>$J$3+[4]FormattedData!F43*$J$4+$M$4*$J$5+[4]FormattedData!F43^2*$J$6+$M$5*$J$7</f>
        <v>29.840433261951759</v>
      </c>
      <c r="N64" s="6">
        <f>$J$3+[4]FormattedData!G43*$J$4+$M$4*$J$5+[4]FormattedData!G43^2*$J$6+$M$5*$J$7</f>
        <v>30.520792951233982</v>
      </c>
      <c r="O64" s="6">
        <f>$J$3+[4]FormattedData!H43*$J$4+$M$4*$J$5+[4]FormattedData!H43^2*$J$6+$M$5*$J$7</f>
        <v>31.199081482157588</v>
      </c>
      <c r="P64" s="6">
        <f>$J$3+[4]FormattedData!I43*$J$4+$M$4*$J$5+[4]FormattedData!I43^2*$J$6+$M$5*$J$7</f>
        <v>29.840433261951759</v>
      </c>
      <c r="Q64" s="6">
        <f>$J$3+[4]FormattedData!J43*$J$4+$M$4*$J$5+[4]FormattedData!J43^2*$J$6+$M$5*$J$7</f>
        <v>30.714801017044671</v>
      </c>
      <c r="R64" s="6">
        <f>$J$3+[4]FormattedData!K43*$J$4+$M$4*$J$5+[4]FormattedData!K43^2*$J$6+$M$5*$J$7</f>
        <v>29.450726388813138</v>
      </c>
      <c r="S64" s="6">
        <f>$J$3+[4]FormattedData!L43*$J$4+$M$4*$J$5+[4]FormattedData!L43^2*$J$6+$M$5*$J$7</f>
        <v>29.743069946473994</v>
      </c>
      <c r="T64" s="6">
        <f>$J$3+[4]FormattedData!M43*$J$4+$M$4*$J$5+[4]FormattedData!M43^2*$J$6+$M$5*$J$7</f>
        <v>29.158002414310896</v>
      </c>
      <c r="U64" s="6">
        <f>$J$3+[4]FormattedData!N43*$J$4+$M$4*$J$5+[4]FormattedData!N43^2*$J$6+$M$5*$J$7</f>
        <v>31.778823178541373</v>
      </c>
      <c r="V64" s="6">
        <f>$J$3+[4]FormattedData!O43*$J$4+$M$4*$J$5+[4]FormattedData!O43^2*$J$6+$M$5*$J$7</f>
        <v>30.811741647143119</v>
      </c>
      <c r="W64" s="5">
        <f t="shared" si="9"/>
        <v>30.414188865121584</v>
      </c>
      <c r="X64" s="4">
        <f t="shared" si="10"/>
        <v>0.24204514254749418</v>
      </c>
      <c r="Y64" s="3">
        <f t="shared" si="11"/>
        <v>29.158002414310896</v>
      </c>
      <c r="Z64" s="2">
        <f t="shared" si="12"/>
        <v>29.816092433082318</v>
      </c>
      <c r="AA64" s="3">
        <f t="shared" si="13"/>
        <v>30.423704381252779</v>
      </c>
      <c r="AB64" s="2">
        <f t="shared" si="14"/>
        <v>30.908576605896737</v>
      </c>
      <c r="AC64" s="2">
        <f t="shared" si="15"/>
        <v>31.778823178541373</v>
      </c>
      <c r="AD64" s="2">
        <f t="shared" si="16"/>
        <v>0.21591838946076322</v>
      </c>
      <c r="AE64" s="2">
        <f t="shared" si="17"/>
        <v>-0.99309833141875314</v>
      </c>
    </row>
    <row r="65" spans="2:31" x14ac:dyDescent="0.2">
      <c r="B65" s="1">
        <f>[4]FormattedData!A45</f>
        <v>208</v>
      </c>
      <c r="C65" s="1" t="str">
        <f>VLOOKUP($B65,[4]TrtCodes!$B$11:I88,2)</f>
        <v>FSL</v>
      </c>
      <c r="D65" s="1">
        <f>VLOOKUP($B65,[4]TrtCodes!$B$11:J88,3)</f>
        <v>2</v>
      </c>
      <c r="E65" s="1">
        <f>VLOOKUP($B65,[4]TrtCodes!$B$11:K88,4)</f>
        <v>1</v>
      </c>
      <c r="F65" s="1">
        <f>VLOOKUP($B65,[4]TrtCodes!$B$11:L88,5)</f>
        <v>1</v>
      </c>
      <c r="G65" s="1">
        <f>VLOOKUP($B65,[4]TrtCodes!$B$11:M88,6)</f>
        <v>1</v>
      </c>
      <c r="H65" s="1">
        <f>VLOOKUP($B65,[4]TrtCodes!$B$11:N88,7)</f>
        <v>2</v>
      </c>
      <c r="I65" s="1">
        <f>[4]FormattedData!B45</f>
        <v>2</v>
      </c>
      <c r="J65" s="4">
        <f>[4]FormattedData!C45</f>
        <v>13.16</v>
      </c>
      <c r="K65" s="6">
        <f>$J$3+[4]FormattedData!D45*$J$4+$M$4*$J$5+[4]FormattedData!D45^2*$J$6+$M$5*$J$7</f>
        <v>31.489142538770174</v>
      </c>
      <c r="L65" s="6">
        <f>$J$3+[4]FormattedData!E45*$J$4+$M$4*$J$5+[4]FormattedData!E45^2*$J$6+$M$5*$J$7</f>
        <v>29.743069946473994</v>
      </c>
      <c r="M65" s="6">
        <f>$J$3+[4]FormattedData!F45*$J$4+$M$4*$J$5+[4]FormattedData!F45^2*$J$6+$M$5*$J$7</f>
        <v>31.682305233822234</v>
      </c>
      <c r="N65" s="6">
        <f>$J$3+[4]FormattedData!G45*$J$4+$M$4*$J$5+[4]FormattedData!G45^2*$J$6+$M$5*$J$7</f>
        <v>31.005496101726212</v>
      </c>
      <c r="O65" s="6">
        <f>$J$3+[4]FormattedData!H45*$J$4+$M$4*$J$5+[4]FormattedData!H45^2*$J$6+$M$5*$J$7</f>
        <v>32.357043207559634</v>
      </c>
      <c r="P65" s="6">
        <f>$J$3+[4]FormattedData!I45*$J$4+$M$4*$J$5+[4]FormattedData!I45^2*$J$6+$M$5*$J$7</f>
        <v>33.413161152463204</v>
      </c>
      <c r="Q65" s="6">
        <f>$J$3+[4]FormattedData!J45*$J$4+$M$4*$J$5+[4]FormattedData!J45^2*$J$6+$M$5*$J$7</f>
        <v>31.392497788437243</v>
      </c>
      <c r="R65" s="6">
        <f>$J$3+[4]FormattedData!K45*$J$4+$M$4*$J$5+[4]FormattedData!K45^2*$J$6+$M$5*$J$7</f>
        <v>30.617818118408294</v>
      </c>
      <c r="S65" s="6">
        <f>$J$3+[4]FormattedData!L45*$J$4+$M$4*$J$5+[4]FormattedData!L45^2*$J$6+$M$5*$J$7</f>
        <v>31.778823178541373</v>
      </c>
      <c r="T65" s="6">
        <f>$J$3+[4]FormattedData!M45*$J$4+$M$4*$J$5+[4]FormattedData!M45^2*$J$6+$M$5*$J$7</f>
        <v>30.326615811271576</v>
      </c>
      <c r="U65" s="6">
        <f>$J$3+[4]FormattedData!N45*$J$4+$M$4*$J$5+[4]FormattedData!N45^2*$J$6+$M$5*$J$7</f>
        <v>29.548216509904684</v>
      </c>
      <c r="V65" s="6">
        <f>$J$3+[4]FormattedData!O45*$J$4+$M$4*$J$5+[4]FormattedData!O45^2*$J$6+$M$5*$J$7</f>
        <v>29.450726388813138</v>
      </c>
      <c r="W65" s="5">
        <f t="shared" si="9"/>
        <v>31.067076331349313</v>
      </c>
      <c r="X65" s="4">
        <f t="shared" si="10"/>
        <v>0.34557461769539305</v>
      </c>
      <c r="Y65" s="3">
        <f t="shared" si="11"/>
        <v>29.450726388813138</v>
      </c>
      <c r="Z65" s="2">
        <f t="shared" si="12"/>
        <v>30.18072934507218</v>
      </c>
      <c r="AA65" s="3">
        <f t="shared" si="13"/>
        <v>31.198996945081728</v>
      </c>
      <c r="AB65" s="2">
        <f t="shared" si="14"/>
        <v>31.706434720002019</v>
      </c>
      <c r="AC65" s="2">
        <f t="shared" si="15"/>
        <v>33.413161152463204</v>
      </c>
      <c r="AD65" s="2">
        <f t="shared" si="16"/>
        <v>0.33182004470867033</v>
      </c>
      <c r="AE65" s="2">
        <f t="shared" si="17"/>
        <v>-0.26832030717328426</v>
      </c>
    </row>
    <row r="66" spans="2:31" x14ac:dyDescent="0.2">
      <c r="B66" s="1">
        <f>[4]FormattedData!A63</f>
        <v>301</v>
      </c>
      <c r="C66" s="1" t="str">
        <f>VLOOKUP($B66,[4]TrtCodes!$B$11:I106,2)</f>
        <v>NTL</v>
      </c>
      <c r="D66" s="1">
        <f>VLOOKUP($B66,[4]TrtCodes!$B$11:J106,3)</f>
        <v>10</v>
      </c>
      <c r="E66" s="1">
        <f>VLOOKUP($B66,[4]TrtCodes!$B$11:K106,4)</f>
        <v>2</v>
      </c>
      <c r="F66" s="1">
        <f>VLOOKUP($B66,[4]TrtCodes!$B$11:L106,5)</f>
        <v>2</v>
      </c>
      <c r="G66" s="1">
        <f>VLOOKUP($B66,[4]TrtCodes!$B$11:M106,6)</f>
        <v>1</v>
      </c>
      <c r="H66" s="1">
        <f>VLOOKUP($B66,[4]TrtCodes!$B$11:N106,7)</f>
        <v>3</v>
      </c>
      <c r="I66" s="1">
        <f>[4]FormattedData!B63</f>
        <v>2</v>
      </c>
      <c r="J66" s="4">
        <f>[4]FormattedData!C63</f>
        <v>13.284000000000001</v>
      </c>
      <c r="K66" s="6">
        <f>$J$3+[4]FormattedData!D63*$J$4+$M$4*$J$5+[4]FormattedData!D63^2*$J$6+$M$5*$J$7</f>
        <v>30.229463838483468</v>
      </c>
      <c r="L66" s="6">
        <f>$J$3+[4]FormattedData!E63*$J$4+$M$4*$J$5+[4]FormattedData!E63^2*$J$6+$M$5*$J$7</f>
        <v>30.035033087293474</v>
      </c>
      <c r="M66" s="6">
        <f>$J$3+[4]FormattedData!F63*$J$4+$M$4*$J$5+[4]FormattedData!F63^2*$J$6+$M$5*$J$7</f>
        <v>31.392497788437243</v>
      </c>
      <c r="N66" s="6">
        <f>$J$3+[4]FormattedData!G63*$J$4+$M$4*$J$5+[4]FormattedData!G63^2*$J$6+$M$5*$J$7</f>
        <v>28.864898022967274</v>
      </c>
      <c r="O66" s="6">
        <f>$J$3+[4]FormattedData!H63*$J$4+$M$4*$J$5+[4]FormattedData!H63^2*$J$6+$M$5*$J$7</f>
        <v>29.158002414310896</v>
      </c>
      <c r="P66" s="6">
        <f>$J$3+[4]FormattedData!I63*$J$4+$M$4*$J$5+[4]FormattedData!I63^2*$J$6+$M$5*$J$7</f>
        <v>31.102309926210872</v>
      </c>
      <c r="Q66" s="6">
        <f>$J$3+[4]FormattedData!J63*$J$4+$M$4*$J$5+[4]FormattedData!J63^2*$J$6+$M$5*$J$7</f>
        <v>30.908640008703632</v>
      </c>
      <c r="R66" s="6">
        <f>$J$3+[4]FormattedData!K63*$J$4+$M$4*$J$5+[4]FormattedData!K63^2*$J$6+$M$5*$J$7</f>
        <v>30.520792951233982</v>
      </c>
      <c r="S66" s="6">
        <f>$J$3+[4]FormattedData!L63*$J$4+$M$4*$J$5+[4]FormattedData!L63^2*$J$6+$M$5*$J$7</f>
        <v>31.392497788437243</v>
      </c>
      <c r="T66" s="6">
        <f>$J$3+[4]FormattedData!M63*$J$4+$M$4*$J$5+[4]FormattedData!M63^2*$J$6+$M$5*$J$7</f>
        <v>30.811741647143119</v>
      </c>
      <c r="U66" s="6">
        <f>$J$3+[4]FormattedData!N63*$J$4+$M$4*$J$5+[4]FormattedData!N63^2*$J$6+$M$5*$J$7</f>
        <v>31.005496101726212</v>
      </c>
      <c r="V66" s="6">
        <f>$J$3+[4]FormattedData!O63*$J$4+$M$4*$J$5+[4]FormattedData!O63^2*$J$6+$M$5*$J$7</f>
        <v>31.489142538770174</v>
      </c>
      <c r="W66" s="5">
        <f t="shared" si="9"/>
        <v>30.575876342809796</v>
      </c>
      <c r="X66" s="4">
        <f t="shared" si="10"/>
        <v>0.24846843571286853</v>
      </c>
      <c r="Y66" s="3">
        <f t="shared" si="11"/>
        <v>28.864898022967274</v>
      </c>
      <c r="Z66" s="2">
        <f t="shared" si="12"/>
        <v>30.180856150685969</v>
      </c>
      <c r="AA66" s="3">
        <f t="shared" si="13"/>
        <v>30.860190827923375</v>
      </c>
      <c r="AB66" s="2">
        <f t="shared" si="14"/>
        <v>31.174856891767465</v>
      </c>
      <c r="AC66" s="2">
        <f t="shared" si="15"/>
        <v>31.489142538770174</v>
      </c>
      <c r="AD66" s="2">
        <f t="shared" si="16"/>
        <v>-1.0150522903438675</v>
      </c>
      <c r="AE66" s="2">
        <f t="shared" si="17"/>
        <v>0.10753588769950451</v>
      </c>
    </row>
    <row r="67" spans="2:31" x14ac:dyDescent="0.2">
      <c r="B67" s="1">
        <f>[4]FormattedData!A65</f>
        <v>302</v>
      </c>
      <c r="C67" s="1" t="str">
        <f>VLOOKUP($B67,[4]TrtCodes!$B$11:I108,2)</f>
        <v>FTL</v>
      </c>
      <c r="D67" s="1">
        <f>VLOOKUP($B67,[4]TrtCodes!$B$11:J108,3)</f>
        <v>4</v>
      </c>
      <c r="E67" s="1">
        <f>VLOOKUP($B67,[4]TrtCodes!$B$11:K108,4)</f>
        <v>1</v>
      </c>
      <c r="F67" s="1">
        <f>VLOOKUP($B67,[4]TrtCodes!$B$11:L108,5)</f>
        <v>2</v>
      </c>
      <c r="G67" s="1">
        <f>VLOOKUP($B67,[4]TrtCodes!$B$11:M108,6)</f>
        <v>1</v>
      </c>
      <c r="H67" s="1">
        <f>VLOOKUP($B67,[4]TrtCodes!$B$11:N108,7)</f>
        <v>3</v>
      </c>
      <c r="I67" s="1">
        <f>[4]FormattedData!B65</f>
        <v>2</v>
      </c>
      <c r="J67" s="4">
        <f>[4]FormattedData!C65</f>
        <v>13.303000000000001</v>
      </c>
      <c r="K67" s="6">
        <f>$J$3+[4]FormattedData!D65*$J$4+$M$4*$J$5+[4]FormattedData!D65^2*$J$6+$M$5*$J$7</f>
        <v>30.423725515521745</v>
      </c>
      <c r="L67" s="6">
        <f>$J$3+[4]FormattedData!E65*$J$4+$M$4*$J$5+[4]FormattedData!E65^2*$J$6+$M$5*$J$7</f>
        <v>29.840433261951759</v>
      </c>
      <c r="M67" s="6">
        <f>$J$3+[4]FormattedData!F65*$J$4+$M$4*$J$5+[4]FormattedData!F65^2*$J$6+$M$5*$J$7</f>
        <v>30.423725515521745</v>
      </c>
      <c r="N67" s="6">
        <f>$J$3+[4]FormattedData!G65*$J$4+$M$4*$J$5+[4]FormattedData!G65^2*$J$6+$M$5*$J$7</f>
        <v>31.102309926210872</v>
      </c>
      <c r="O67" s="6">
        <f>$J$3+[4]FormattedData!H65*$J$4+$M$4*$J$5+[4]FormattedData!H65^2*$J$6+$M$5*$J$7</f>
        <v>30.908640008703632</v>
      </c>
      <c r="P67" s="6">
        <f>$J$3+[4]FormattedData!I65*$J$4+$M$4*$J$5+[4]FormattedData!I65^2*$J$6+$M$5*$J$7</f>
        <v>30.617818118408294</v>
      </c>
      <c r="Q67" s="6">
        <f>$J$3+[4]FormattedData!J65*$J$4+$M$4*$J$5+[4]FormattedData!J65^2*$J$6+$M$5*$J$7</f>
        <v>30.229463838483468</v>
      </c>
      <c r="R67" s="6">
        <f>$J$3+[4]FormattedData!K65*$J$4+$M$4*$J$5+[4]FormattedData!K65^2*$J$6+$M$5*$J$7</f>
        <v>29.060343219067619</v>
      </c>
      <c r="S67" s="6">
        <f>$J$3+[4]FormattedData!L65*$J$4+$M$4*$J$5+[4]FormattedData!L65^2*$J$6+$M$5*$J$7</f>
        <v>30.035033087293474</v>
      </c>
      <c r="T67" s="6">
        <f>$J$3+[4]FormattedData!M65*$J$4+$M$4*$J$5+[4]FormattedData!M65^2*$J$6+$M$5*$J$7</f>
        <v>29.158002414310896</v>
      </c>
      <c r="U67" s="6">
        <f>$J$3+[4]FormattedData!N65*$J$4+$M$4*$J$5+[4]FormattedData!N65^2*$J$6+$M$5*$J$7</f>
        <v>30.132269597157439</v>
      </c>
      <c r="V67" s="6">
        <f>$J$3+[4]FormattedData!O65*$J$4+$M$4*$J$5+[4]FormattedData!O65^2*$J$6+$M$5*$J$7</f>
        <v>30.229463838483468</v>
      </c>
      <c r="W67" s="5">
        <f t="shared" si="9"/>
        <v>30.180102361759538</v>
      </c>
      <c r="X67" s="4">
        <f t="shared" si="10"/>
        <v>0.17696223652913595</v>
      </c>
      <c r="Y67" s="3">
        <f t="shared" si="11"/>
        <v>29.060343219067619</v>
      </c>
      <c r="Z67" s="2">
        <f t="shared" si="12"/>
        <v>29.986383130958046</v>
      </c>
      <c r="AA67" s="3">
        <f t="shared" si="13"/>
        <v>30.229463838483468</v>
      </c>
      <c r="AB67" s="2">
        <f t="shared" si="14"/>
        <v>30.472248666243381</v>
      </c>
      <c r="AC67" s="2">
        <f t="shared" si="15"/>
        <v>31.102309926210872</v>
      </c>
      <c r="AD67" s="2">
        <f t="shared" si="16"/>
        <v>-0.58254249784604395</v>
      </c>
      <c r="AE67" s="2">
        <f t="shared" si="17"/>
        <v>0.12439261071806218</v>
      </c>
    </row>
    <row r="68" spans="2:31" x14ac:dyDescent="0.2">
      <c r="B68" s="1">
        <f>[4]FormattedData!A67</f>
        <v>303</v>
      </c>
      <c r="C68" s="1" t="str">
        <f>VLOOKUP($B68,[4]TrtCodes!$B$11:I110,2)</f>
        <v>NSL</v>
      </c>
      <c r="D68" s="1">
        <f>VLOOKUP($B68,[4]TrtCodes!$B$11:J110,3)</f>
        <v>8</v>
      </c>
      <c r="E68" s="1">
        <f>VLOOKUP($B68,[4]TrtCodes!$B$11:K110,4)</f>
        <v>2</v>
      </c>
      <c r="F68" s="1">
        <f>VLOOKUP($B68,[4]TrtCodes!$B$11:L110,5)</f>
        <v>1</v>
      </c>
      <c r="G68" s="1">
        <f>VLOOKUP($B68,[4]TrtCodes!$B$11:M110,6)</f>
        <v>1</v>
      </c>
      <c r="H68" s="1">
        <f>VLOOKUP($B68,[4]TrtCodes!$B$11:N110,7)</f>
        <v>3</v>
      </c>
      <c r="I68" s="1">
        <f>[4]FormattedData!B67</f>
        <v>2</v>
      </c>
      <c r="J68" s="4">
        <f>[4]FormattedData!C67</f>
        <v>13.319000000000001</v>
      </c>
      <c r="K68" s="6">
        <f>$J$3+[4]FormattedData!D67*$J$4+$M$4*$J$5+[4]FormattedData!D67^2*$J$6+$M$5*$J$7</f>
        <v>29.353193999183652</v>
      </c>
      <c r="L68" s="6">
        <f>$J$3+[4]FormattedData!E67*$J$4+$M$4*$J$5+[4]FormattedData!E67^2*$J$6+$M$5*$J$7</f>
        <v>29.450726388813138</v>
      </c>
      <c r="M68" s="6">
        <f>$J$3+[4]FormattedData!F67*$J$4+$M$4*$J$5+[4]FormattedData!F67^2*$J$6+$M$5*$J$7</f>
        <v>29.353193999183652</v>
      </c>
      <c r="N68" s="6">
        <f>$J$3+[4]FormattedData!G67*$J$4+$M$4*$J$5+[4]FormattedData!G67^2*$J$6+$M$5*$J$7</f>
        <v>29.060343219067619</v>
      </c>
      <c r="O68" s="6">
        <f>$J$3+[4]FormattedData!H67*$J$4+$M$4*$J$5+[4]FormattedData!H67^2*$J$6+$M$5*$J$7</f>
        <v>28.277547989755888</v>
      </c>
      <c r="P68" s="6">
        <f>$J$3+[4]FormattedData!I67*$J$4+$M$4*$J$5+[4]FormattedData!I67^2*$J$6+$M$5*$J$7</f>
        <v>29.353193999183652</v>
      </c>
      <c r="Q68" s="6">
        <f>$J$3+[4]FormattedData!J67*$J$4+$M$4*$J$5+[4]FormattedData!J67^2*$J$6+$M$5*$J$7</f>
        <v>31.87529885472258</v>
      </c>
      <c r="R68" s="6">
        <f>$J$3+[4]FormattedData!K67*$J$4+$M$4*$J$5+[4]FormattedData!K67^2*$J$6+$M$5*$J$7</f>
        <v>29.548216509904684</v>
      </c>
      <c r="S68" s="6">
        <f>$J$3+[4]FormattedData!L67*$J$4+$M$4*$J$5+[4]FormattedData!L67^2*$J$6+$M$5*$J$7</f>
        <v>31.102309926210872</v>
      </c>
      <c r="T68" s="6">
        <f>$J$3+[4]FormattedData!M67*$J$4+$M$4*$J$5+[4]FormattedData!M67^2*$J$6+$M$5*$J$7</f>
        <v>30.908640008703632</v>
      </c>
      <c r="U68" s="6">
        <f>$J$3+[4]FormattedData!N67*$J$4+$M$4*$J$5+[4]FormattedData!N67^2*$J$6+$M$5*$J$7</f>
        <v>29.158002414310896</v>
      </c>
      <c r="V68" s="6">
        <f>$J$3+[4]FormattedData!O67*$J$4+$M$4*$J$5+[4]FormattedData!O67^2*$J$6+$M$5*$J$7</f>
        <v>29.450726388813138</v>
      </c>
      <c r="W68" s="5">
        <f t="shared" si="9"/>
        <v>29.740949474821111</v>
      </c>
      <c r="X68" s="4">
        <f t="shared" si="10"/>
        <v>0.29353532898673251</v>
      </c>
      <c r="Y68" s="3">
        <f t="shared" si="11"/>
        <v>28.277547989755888</v>
      </c>
      <c r="Z68" s="2">
        <f t="shared" si="12"/>
        <v>29.304396102965462</v>
      </c>
      <c r="AA68" s="3">
        <f t="shared" si="13"/>
        <v>29.401960193998395</v>
      </c>
      <c r="AB68" s="2">
        <f t="shared" si="14"/>
        <v>29.888322384604422</v>
      </c>
      <c r="AC68" s="2">
        <f t="shared" si="15"/>
        <v>31.87529885472258</v>
      </c>
      <c r="AD68" s="2">
        <f t="shared" si="16"/>
        <v>1.03344322162721</v>
      </c>
      <c r="AE68" s="2">
        <f t="shared" si="17"/>
        <v>0.54266414770488147</v>
      </c>
    </row>
    <row r="69" spans="2:31" x14ac:dyDescent="0.2">
      <c r="B69" s="1">
        <f>[4]FormattedData!A69</f>
        <v>304</v>
      </c>
      <c r="C69" s="1" t="str">
        <f>VLOOKUP($B69,[4]TrtCodes!$B$11:I112,2)</f>
        <v>FSL</v>
      </c>
      <c r="D69" s="1">
        <f>VLOOKUP($B69,[4]TrtCodes!$B$11:J112,3)</f>
        <v>2</v>
      </c>
      <c r="E69" s="1">
        <f>VLOOKUP($B69,[4]TrtCodes!$B$11:K112,4)</f>
        <v>1</v>
      </c>
      <c r="F69" s="1">
        <f>VLOOKUP($B69,[4]TrtCodes!$B$11:L112,5)</f>
        <v>1</v>
      </c>
      <c r="G69" s="1">
        <f>VLOOKUP($B69,[4]TrtCodes!$B$11:M112,6)</f>
        <v>1</v>
      </c>
      <c r="H69" s="1">
        <f>VLOOKUP($B69,[4]TrtCodes!$B$11:N112,7)</f>
        <v>3</v>
      </c>
      <c r="I69" s="1">
        <f>[4]FormattedData!B69</f>
        <v>2</v>
      </c>
      <c r="J69" s="4">
        <f>[4]FormattedData!C69</f>
        <v>13.336</v>
      </c>
      <c r="K69" s="6">
        <f>$J$3+[4]FormattedData!D69*$J$4+$M$4*$J$5+[4]FormattedData!D69^2*$J$6+$M$5*$J$7</f>
        <v>34.178034521692126</v>
      </c>
      <c r="L69" s="6">
        <f>$J$3+[4]FormattedData!E69*$J$4+$M$4*$J$5+[4]FormattedData!E69^2*$J$6+$M$5*$J$7</f>
        <v>29.353193999183652</v>
      </c>
      <c r="M69" s="6">
        <f>$J$3+[4]FormattedData!F69*$J$4+$M$4*$J$5+[4]FormattedData!F69^2*$J$6+$M$5*$J$7</f>
        <v>30.229463838483468</v>
      </c>
      <c r="N69" s="6">
        <f>$J$3+[4]FormattedData!G69*$J$4+$M$4*$J$5+[4]FormattedData!G69^2*$J$6+$M$5*$J$7</f>
        <v>32.837730846948403</v>
      </c>
      <c r="O69" s="6">
        <f>$J$3+[4]FormattedData!H69*$J$4+$M$4*$J$5+[4]FormattedData!H69^2*$J$6+$M$5*$J$7</f>
        <v>31.199081482157588</v>
      </c>
      <c r="P69" s="6">
        <f>$J$3+[4]FormattedData!I69*$J$4+$M$4*$J$5+[4]FormattedData!I69^2*$J$6+$M$5*$J$7</f>
        <v>31.58574502056517</v>
      </c>
      <c r="Q69" s="6">
        <f>$J$3+[4]FormattedData!J69*$J$4+$M$4*$J$5+[4]FormattedData!J69^2*$J$6+$M$5*$J$7</f>
        <v>30.423725515521745</v>
      </c>
      <c r="R69" s="6">
        <f>$J$3+[4]FormattedData!K69*$J$4+$M$4*$J$5+[4]FormattedData!K69^2*$J$6+$M$5*$J$7</f>
        <v>30.908640008703632</v>
      </c>
      <c r="S69" s="6">
        <f>$J$3+[4]FormattedData!L69*$J$4+$M$4*$J$5+[4]FormattedData!L69^2*$J$6+$M$5*$J$7</f>
        <v>29.743069946473994</v>
      </c>
      <c r="T69" s="6">
        <f>$J$3+[4]FormattedData!M69*$J$4+$M$4*$J$5+[4]FormattedData!M69^2*$J$6+$M$5*$J$7</f>
        <v>29.645664362458309</v>
      </c>
      <c r="U69" s="6">
        <f>$J$3+[4]FormattedData!N69*$J$4+$M$4*$J$5+[4]FormattedData!N69^2*$J$6+$M$5*$J$7</f>
        <v>30.423725515521745</v>
      </c>
      <c r="V69" s="6">
        <f>$J$3+[4]FormattedData!O69*$J$4+$M$4*$J$5+[4]FormattedData!O69^2*$J$6+$M$5*$J$7</f>
        <v>29.840433261951759</v>
      </c>
      <c r="W69" s="5">
        <f t="shared" si="9"/>
        <v>30.864042359971801</v>
      </c>
      <c r="X69" s="4">
        <f t="shared" si="10"/>
        <v>0.4117129349288835</v>
      </c>
      <c r="Y69" s="3">
        <f t="shared" si="11"/>
        <v>29.353193999183652</v>
      </c>
      <c r="Z69" s="2">
        <f t="shared" si="12"/>
        <v>29.816092433082318</v>
      </c>
      <c r="AA69" s="3">
        <f t="shared" si="13"/>
        <v>30.423725515521745</v>
      </c>
      <c r="AB69" s="2">
        <f t="shared" si="14"/>
        <v>31.295747366759485</v>
      </c>
      <c r="AC69" s="2">
        <f t="shared" si="15"/>
        <v>34.178034521692126</v>
      </c>
      <c r="AD69" s="2">
        <f t="shared" si="16"/>
        <v>1.3662750577570508</v>
      </c>
      <c r="AE69" s="2">
        <f t="shared" si="17"/>
        <v>1.5423578885441991</v>
      </c>
    </row>
    <row r="70" spans="2:31" x14ac:dyDescent="0.2">
      <c r="B70" s="1">
        <f>[4]FormattedData!A71</f>
        <v>305</v>
      </c>
      <c r="C70" s="1" t="str">
        <f>VLOOKUP($B70,[4]TrtCodes!$B$11:I114,2)</f>
        <v>NDH</v>
      </c>
      <c r="D70" s="1">
        <f>VLOOKUP($B70,[4]TrtCodes!$B$11:J114,3)</f>
        <v>11</v>
      </c>
      <c r="E70" s="1">
        <f>VLOOKUP($B70,[4]TrtCodes!$B$11:K114,4)</f>
        <v>2</v>
      </c>
      <c r="F70" s="1">
        <f>VLOOKUP($B70,[4]TrtCodes!$B$11:L114,5)</f>
        <v>3</v>
      </c>
      <c r="G70" s="1">
        <f>VLOOKUP($B70,[4]TrtCodes!$B$11:M114,6)</f>
        <v>2</v>
      </c>
      <c r="H70" s="1">
        <f>VLOOKUP($B70,[4]TrtCodes!$B$11:N114,7)</f>
        <v>4</v>
      </c>
      <c r="I70" s="1">
        <f>[4]FormattedData!B71</f>
        <v>2</v>
      </c>
      <c r="J70" s="4">
        <f>[4]FormattedData!C71</f>
        <v>13.353</v>
      </c>
      <c r="K70" s="6">
        <f>$J$3+[4]FormattedData!D71*$J$4+$M$4*$J$5+[4]FormattedData!D71^2*$J$6+$M$5*$J$7</f>
        <v>29.255619341016239</v>
      </c>
      <c r="L70" s="6">
        <f>$J$3+[4]FormattedData!E71*$J$4+$M$4*$J$5+[4]FormattedData!E71^2*$J$6+$M$5*$J$7</f>
        <v>29.255619341016239</v>
      </c>
      <c r="M70" s="6">
        <f>$J$3+[4]FormattedData!F71*$J$4+$M$4*$J$5+[4]FormattedData!F71^2*$J$6+$M$5*$J$7</f>
        <v>28.473500408311409</v>
      </c>
      <c r="N70" s="6">
        <f>$J$3+[4]FormattedData!G71*$J$4+$M$4*$J$5+[4]FormattedData!G71^2*$J$6+$M$5*$J$7</f>
        <v>29.450726388813138</v>
      </c>
      <c r="O70" s="6">
        <f>$J$3+[4]FormattedData!H71*$J$4+$M$4*$J$5+[4]FormattedData!H71^2*$J$6+$M$5*$J$7</f>
        <v>30.035033087293474</v>
      </c>
      <c r="P70" s="6">
        <f>$J$3+[4]FormattedData!I71*$J$4+$M$4*$J$5+[4]FormattedData!I71^2*$J$6+$M$5*$J$7</f>
        <v>29.548216509904684</v>
      </c>
      <c r="Q70" s="6">
        <f>$J$3+[4]FormattedData!J71*$J$4+$M$4*$J$5+[4]FormattedData!J71^2*$J$6+$M$5*$J$7</f>
        <v>29.840433261951759</v>
      </c>
      <c r="R70" s="6">
        <f>$J$3+[4]FormattedData!K71*$J$4+$M$4*$J$5+[4]FormattedData!K71^2*$J$6+$M$5*$J$7</f>
        <v>29.255619341016239</v>
      </c>
      <c r="S70" s="6">
        <f>$J$3+[4]FormattedData!L71*$J$4+$M$4*$J$5+[4]FormattedData!L71^2*$J$6+$M$5*$J$7</f>
        <v>29.548216509904684</v>
      </c>
      <c r="T70" s="6">
        <f>$J$3+[4]FormattedData!M71*$J$4+$M$4*$J$5+[4]FormattedData!M71^2*$J$6+$M$5*$J$7</f>
        <v>28.571413214782272</v>
      </c>
      <c r="U70" s="6">
        <f>$J$3+[4]FormattedData!N71*$J$4+$M$4*$J$5+[4]FormattedData!N71^2*$J$6+$M$5*$J$7</f>
        <v>31.87529885472258</v>
      </c>
      <c r="V70" s="6">
        <f>$J$3+[4]FormattedData!O71*$J$4+$M$4*$J$5+[4]FormattedData!O71^2*$J$6+$M$5*$J$7</f>
        <v>29.548216509904684</v>
      </c>
      <c r="W70" s="5">
        <f t="shared" si="9"/>
        <v>29.554826064053117</v>
      </c>
      <c r="X70" s="4">
        <f t="shared" si="10"/>
        <v>0.24791054143351049</v>
      </c>
      <c r="Y70" s="3">
        <f t="shared" si="11"/>
        <v>28.473500408311409</v>
      </c>
      <c r="Z70" s="2">
        <f t="shared" si="12"/>
        <v>29.255619341016239</v>
      </c>
      <c r="AA70" s="3">
        <f t="shared" si="13"/>
        <v>29.499471449358911</v>
      </c>
      <c r="AB70" s="2">
        <f t="shared" si="14"/>
        <v>29.621270697916451</v>
      </c>
      <c r="AC70" s="2">
        <f t="shared" si="15"/>
        <v>31.87529885472258</v>
      </c>
      <c r="AD70" s="2">
        <f t="shared" si="16"/>
        <v>1.779562590543597</v>
      </c>
      <c r="AE70" s="2">
        <f t="shared" si="17"/>
        <v>5.0575093932467929</v>
      </c>
    </row>
    <row r="71" spans="2:31" x14ac:dyDescent="0.2">
      <c r="B71" s="1">
        <f>[4]FormattedData!A73</f>
        <v>306</v>
      </c>
      <c r="C71" s="1" t="str">
        <f>VLOOKUP($B71,[4]TrtCodes!$B$11:I116,2)</f>
        <v>FTL</v>
      </c>
      <c r="D71" s="1">
        <f>VLOOKUP($B71,[4]TrtCodes!$B$11:J116,3)</f>
        <v>4</v>
      </c>
      <c r="E71" s="1">
        <f>VLOOKUP($B71,[4]TrtCodes!$B$11:K116,4)</f>
        <v>1</v>
      </c>
      <c r="F71" s="1">
        <f>VLOOKUP($B71,[4]TrtCodes!$B$11:L116,5)</f>
        <v>2</v>
      </c>
      <c r="G71" s="1">
        <f>VLOOKUP($B71,[4]TrtCodes!$B$11:M116,6)</f>
        <v>1</v>
      </c>
      <c r="H71" s="1">
        <f>VLOOKUP($B71,[4]TrtCodes!$B$11:N116,7)</f>
        <v>4</v>
      </c>
      <c r="I71" s="1">
        <f>[4]FormattedData!B73</f>
        <v>2</v>
      </c>
      <c r="J71" s="4">
        <f>[4]FormattedData!C73</f>
        <v>13.369</v>
      </c>
      <c r="K71" s="6">
        <f>$J$3+[4]FormattedData!D73*$J$4+$M$4*$J$5+[4]FormattedData!D73^2*$J$6+$M$5*$J$7</f>
        <v>33.795935985381121</v>
      </c>
      <c r="L71" s="6">
        <f>$J$3+[4]FormattedData!E73*$J$4+$M$4*$J$5+[4]FormattedData!E73^2*$J$6+$M$5*$J$7</f>
        <v>30.811741647143119</v>
      </c>
      <c r="M71" s="6">
        <f>$J$3+[4]FormattedData!F73*$J$4+$M$4*$J$5+[4]FormattedData!F73^2*$J$6+$M$5*$J$7</f>
        <v>30.520792951233982</v>
      </c>
      <c r="N71" s="6">
        <f>$J$3+[4]FormattedData!G73*$J$4+$M$4*$J$5+[4]FormattedData!G73^2*$J$6+$M$5*$J$7</f>
        <v>31.102309926210872</v>
      </c>
      <c r="O71" s="6">
        <f>$J$3+[4]FormattedData!H73*$J$4+$M$4*$J$5+[4]FormattedData!H73^2*$J$6+$M$5*$J$7</f>
        <v>30.423725515521745</v>
      </c>
      <c r="P71" s="6">
        <f>$J$3+[4]FormattedData!I73*$J$4+$M$4*$J$5+[4]FormattedData!I73^2*$J$6+$M$5*$J$7</f>
        <v>31.392497788437243</v>
      </c>
      <c r="Q71" s="6">
        <f>$J$3+[4]FormattedData!J73*$J$4+$M$4*$J$5+[4]FormattedData!J73^2*$J$6+$M$5*$J$7</f>
        <v>31.87529885472258</v>
      </c>
      <c r="R71" s="6">
        <f>$J$3+[4]FormattedData!K73*$J$4+$M$4*$J$5+[4]FormattedData!K73^2*$J$6+$M$5*$J$7</f>
        <v>31.778823178541373</v>
      </c>
      <c r="S71" s="6">
        <f>$J$3+[4]FormattedData!L73*$J$4+$M$4*$J$5+[4]FormattedData!L73^2*$J$6+$M$5*$J$7</f>
        <v>32.645582596806683</v>
      </c>
      <c r="T71" s="6">
        <f>$J$3+[4]FormattedData!M73*$J$4+$M$4*$J$5+[4]FormattedData!M73^2*$J$6+$M$5*$J$7</f>
        <v>29.645664362458309</v>
      </c>
      <c r="U71" s="6">
        <f>$J$3+[4]FormattedData!N73*$J$4+$M$4*$J$5+[4]FormattedData!N73^2*$J$6+$M$5*$J$7</f>
        <v>31.392497788437243</v>
      </c>
      <c r="V71" s="6">
        <f>$J$3+[4]FormattedData!O73*$J$4+$M$4*$J$5+[4]FormattedData!O73^2*$J$6+$M$5*$J$7</f>
        <v>30.714801017044671</v>
      </c>
      <c r="W71" s="5">
        <f t="shared" si="9"/>
        <v>31.341639300994913</v>
      </c>
      <c r="X71" s="4">
        <f t="shared" si="10"/>
        <v>0.31776465364826234</v>
      </c>
      <c r="Y71" s="3">
        <f t="shared" si="11"/>
        <v>29.645664362458309</v>
      </c>
      <c r="Z71" s="2">
        <f t="shared" si="12"/>
        <v>30.666299000591998</v>
      </c>
      <c r="AA71" s="3">
        <f t="shared" si="13"/>
        <v>31.247403857324059</v>
      </c>
      <c r="AB71" s="2">
        <f t="shared" si="14"/>
        <v>31.802942097586673</v>
      </c>
      <c r="AC71" s="2">
        <f t="shared" si="15"/>
        <v>33.795935985381121</v>
      </c>
      <c r="AD71" s="2">
        <f t="shared" si="16"/>
        <v>0.86885668554716167</v>
      </c>
      <c r="AE71" s="2">
        <f t="shared" si="17"/>
        <v>1.2219535586963932</v>
      </c>
    </row>
    <row r="72" spans="2:31" x14ac:dyDescent="0.2">
      <c r="B72" s="1">
        <f>[4]FormattedData!A75</f>
        <v>307</v>
      </c>
      <c r="C72" s="1" t="str">
        <f>VLOOKUP($B72,[4]TrtCodes!$B$11:I118,2)</f>
        <v>NTH</v>
      </c>
      <c r="D72" s="1">
        <f>VLOOKUP($B72,[4]TrtCodes!$B$11:J118,3)</f>
        <v>9</v>
      </c>
      <c r="E72" s="1">
        <f>VLOOKUP($B72,[4]TrtCodes!$B$11:K118,4)</f>
        <v>2</v>
      </c>
      <c r="F72" s="1">
        <f>VLOOKUP($B72,[4]TrtCodes!$B$11:L118,5)</f>
        <v>2</v>
      </c>
      <c r="G72" s="1">
        <f>VLOOKUP($B72,[4]TrtCodes!$B$11:M118,6)</f>
        <v>2</v>
      </c>
      <c r="H72" s="1">
        <f>VLOOKUP($B72,[4]TrtCodes!$B$11:N118,7)</f>
        <v>4</v>
      </c>
      <c r="I72" s="1">
        <f>[4]FormattedData!B75</f>
        <v>2</v>
      </c>
      <c r="J72" s="4">
        <f>[4]FormattedData!C75</f>
        <v>13.387</v>
      </c>
      <c r="K72" s="6">
        <f>$J$3+[4]FormattedData!D75*$J$4+$M$4*$J$5+[4]FormattedData!D75^2*$J$6+$M$5*$J$7</f>
        <v>32.837730846948403</v>
      </c>
      <c r="L72" s="6">
        <f>$J$3+[4]FormattedData!E75*$J$4+$M$4*$J$5+[4]FormattedData!E75^2*$J$6+$M$5*$J$7</f>
        <v>32.549445068928932</v>
      </c>
      <c r="M72" s="6">
        <f>$J$3+[4]FormattedData!F75*$J$4+$M$4*$J$5+[4]FormattedData!F75^2*$J$6+$M$5*$J$7</f>
        <v>32.741677856146509</v>
      </c>
      <c r="N72" s="6">
        <f>$J$3+[4]FormattedData!G75*$J$4+$M$4*$J$5+[4]FormattedData!G75^2*$J$6+$M$5*$J$7</f>
        <v>31.489142538770174</v>
      </c>
      <c r="O72" s="6">
        <f>$J$3+[4]FormattedData!H75*$J$4+$M$4*$J$5+[4]FormattedData!H75^2*$J$6+$M$5*$J$7</f>
        <v>30.714801017044671</v>
      </c>
      <c r="P72" s="6">
        <f>$J$3+[4]FormattedData!I75*$J$4+$M$4*$J$5+[4]FormattedData!I75^2*$J$6+$M$5*$J$7</f>
        <v>32.453265272513249</v>
      </c>
      <c r="Q72" s="6">
        <f>$J$3+[4]FormattedData!J75*$J$4+$M$4*$J$5+[4]FormattedData!J75^2*$J$6+$M$5*$J$7</f>
        <v>31.102309926210872</v>
      </c>
      <c r="R72" s="6">
        <f>$J$3+[4]FormattedData!K75*$J$4+$M$4*$J$5+[4]FormattedData!K75^2*$J$6+$M$5*$J$7</f>
        <v>31.392497788437243</v>
      </c>
      <c r="S72" s="6">
        <f>$J$3+[4]FormattedData!L75*$J$4+$M$4*$J$5+[4]FormattedData!L75^2*$J$6+$M$5*$J$7</f>
        <v>51.723439454908451</v>
      </c>
      <c r="T72" s="6">
        <f>$J$3+[4]FormattedData!M75*$J$4+$M$4*$J$5+[4]FormattedData!M75^2*$J$6+$M$5*$J$7</f>
        <v>31.971732262365851</v>
      </c>
      <c r="U72" s="6">
        <f>$J$3+[4]FormattedData!N75*$J$4+$M$4*$J$5+[4]FormattedData!N75^2*$J$6+$M$5*$J$7</f>
        <v>30.229463838483468</v>
      </c>
      <c r="V72" s="6">
        <f>$J$3+[4]FormattedData!O75*$J$4+$M$4*$J$5+[4]FormattedData!O75^2*$J$6+$M$5*$J$7</f>
        <v>31.392497788437243</v>
      </c>
      <c r="W72" s="5">
        <f t="shared" si="9"/>
        <v>33.383166971599586</v>
      </c>
      <c r="X72" s="4">
        <f t="shared" si="10"/>
        <v>1.6841681389177154</v>
      </c>
      <c r="Y72" s="3">
        <f t="shared" si="11"/>
        <v>30.229463838483468</v>
      </c>
      <c r="Z72" s="2">
        <f t="shared" si="12"/>
        <v>31.319950822880649</v>
      </c>
      <c r="AA72" s="3">
        <f t="shared" si="13"/>
        <v>31.730437400568015</v>
      </c>
      <c r="AB72" s="2">
        <f t="shared" si="14"/>
        <v>32.597503265733323</v>
      </c>
      <c r="AC72" s="2">
        <f t="shared" si="15"/>
        <v>51.723439454908451</v>
      </c>
      <c r="AD72" s="2">
        <f t="shared" si="16"/>
        <v>3.3399212737550834</v>
      </c>
      <c r="AE72" s="2">
        <f t="shared" si="17"/>
        <v>11.38638637135017</v>
      </c>
    </row>
    <row r="73" spans="2:31" x14ac:dyDescent="0.2">
      <c r="B73" s="1">
        <f>[4]FormattedData!A77</f>
        <v>308</v>
      </c>
      <c r="C73" s="1" t="str">
        <f>VLOOKUP($B73,[4]TrtCodes!$B$11:I120,2)</f>
        <v>FDH</v>
      </c>
      <c r="D73" s="1">
        <f>VLOOKUP($B73,[4]TrtCodes!$B$11:J120,3)</f>
        <v>5</v>
      </c>
      <c r="E73" s="1">
        <f>VLOOKUP($B73,[4]TrtCodes!$B$11:K120,4)</f>
        <v>1</v>
      </c>
      <c r="F73" s="1">
        <f>VLOOKUP($B73,[4]TrtCodes!$B$11:L120,5)</f>
        <v>3</v>
      </c>
      <c r="G73" s="1">
        <f>VLOOKUP($B73,[4]TrtCodes!$B$11:M120,6)</f>
        <v>2</v>
      </c>
      <c r="H73" s="1">
        <f>VLOOKUP($B73,[4]TrtCodes!$B$11:N120,7)</f>
        <v>4</v>
      </c>
      <c r="I73" s="1">
        <f>[4]FormattedData!B77</f>
        <v>2</v>
      </c>
      <c r="J73" s="4">
        <f>[4]FormattedData!C77</f>
        <v>13.401999999999999</v>
      </c>
      <c r="K73" s="6">
        <f>$J$3+[4]FormattedData!D77*$J$4+$M$4*$J$5+[4]FormattedData!D77^2*$J$6+$M$5*$J$7</f>
        <v>33.22152012477666</v>
      </c>
      <c r="L73" s="6">
        <f>$J$3+[4]FormattedData!E77*$J$4+$M$4*$J$5+[4]FormattedData!E77^2*$J$6+$M$5*$J$7</f>
        <v>34.082573290421273</v>
      </c>
      <c r="M73" s="6">
        <f>$J$3+[4]FormattedData!F77*$J$4+$M$4*$J$5+[4]FormattedData!F77^2*$J$6+$M$5*$J$7</f>
        <v>32.741677856146509</v>
      </c>
      <c r="N73" s="6">
        <f>$J$3+[4]FormattedData!G77*$J$4+$M$4*$J$5+[4]FormattedData!G77^2*$J$6+$M$5*$J$7</f>
        <v>32.26077887406808</v>
      </c>
      <c r="O73" s="6">
        <f>$J$3+[4]FormattedData!H77*$J$4+$M$4*$J$5+[4]FormattedData!H77^2*$J$6+$M$5*$J$7</f>
        <v>34.559456761396248</v>
      </c>
      <c r="P73" s="6">
        <f>$J$3+[4]FormattedData!I77*$J$4+$M$4*$J$5+[4]FormattedData!I77^2*$J$6+$M$5*$J$7</f>
        <v>35.794408366993231</v>
      </c>
      <c r="Q73" s="6">
        <f>$J$3+[4]FormattedData!J77*$J$4+$M$4*$J$5+[4]FormattedData!J77^2*$J$6+$M$5*$J$7</f>
        <v>33.508918263499574</v>
      </c>
      <c r="R73" s="6">
        <f>$J$3+[4]FormattedData!K77*$J$4+$M$4*$J$5+[4]FormattedData!K77^2*$J$6+$M$5*$J$7</f>
        <v>34.273453484425055</v>
      </c>
      <c r="S73" s="6">
        <f>$J$3+[4]FormattedData!L77*$J$4+$M$4*$J$5+[4]FormattedData!L77^2*$J$6+$M$5*$J$7</f>
        <v>33.317361772888901</v>
      </c>
      <c r="T73" s="6">
        <f>$J$3+[4]FormattedData!M77*$J$4+$M$4*$J$5+[4]FormattedData!M77^2*$J$6+$M$5*$J$7</f>
        <v>34.464164604277109</v>
      </c>
      <c r="U73" s="6">
        <f>$J$3+[4]FormattedData!N77*$J$4+$M$4*$J$5+[4]FormattedData!N77^2*$J$6+$M$5*$J$7</f>
        <v>32.741677856146509</v>
      </c>
      <c r="V73" s="6">
        <f>$J$3+[4]FormattedData!O77*$J$4+$M$4*$J$5+[4]FormattedData!O77^2*$J$6+$M$5*$J$7</f>
        <v>34.178034521692126</v>
      </c>
      <c r="W73" s="5">
        <f t="shared" si="9"/>
        <v>33.762002148060937</v>
      </c>
      <c r="X73" s="4">
        <f t="shared" si="10"/>
        <v>0.28453503072618674</v>
      </c>
      <c r="Y73" s="3">
        <f t="shared" si="11"/>
        <v>32.26077887406808</v>
      </c>
      <c r="Z73" s="2">
        <f t="shared" si="12"/>
        <v>33.101559557619126</v>
      </c>
      <c r="AA73" s="3">
        <f t="shared" si="13"/>
        <v>33.795745776960423</v>
      </c>
      <c r="AB73" s="2">
        <f t="shared" si="14"/>
        <v>34.321131264388072</v>
      </c>
      <c r="AC73" s="2">
        <f t="shared" si="15"/>
        <v>35.794408366993231</v>
      </c>
      <c r="AD73" s="2">
        <f t="shared" si="16"/>
        <v>0.42351326750574753</v>
      </c>
      <c r="AE73" s="2">
        <f t="shared" si="17"/>
        <v>0.17279601654579135</v>
      </c>
    </row>
    <row r="74" spans="2:31" x14ac:dyDescent="0.2">
      <c r="B74" s="1">
        <f>[4]FormattedData!A93</f>
        <v>401</v>
      </c>
      <c r="C74" s="1" t="str">
        <f>VLOOKUP($B74,[4]TrtCodes!$B$11:I130,2)</f>
        <v>NSH</v>
      </c>
      <c r="D74" s="1">
        <f>VLOOKUP($B74,[4]TrtCodes!$B$11:J130,3)</f>
        <v>7</v>
      </c>
      <c r="E74" s="1">
        <f>VLOOKUP($B74,[4]TrtCodes!$B$11:K130,4)</f>
        <v>2</v>
      </c>
      <c r="F74" s="1">
        <f>VLOOKUP($B74,[4]TrtCodes!$B$11:L130,5)</f>
        <v>1</v>
      </c>
      <c r="G74" s="1">
        <f>VLOOKUP($B74,[4]TrtCodes!$B$11:M130,6)</f>
        <v>2</v>
      </c>
      <c r="H74" s="1">
        <f>VLOOKUP($B74,[4]TrtCodes!$B$11:N130,7)</f>
        <v>3</v>
      </c>
      <c r="I74" s="1">
        <f>[4]FormattedData!B93</f>
        <v>2</v>
      </c>
      <c r="J74" s="4">
        <f>[4]FormattedData!C93</f>
        <v>13.551</v>
      </c>
      <c r="K74" s="6">
        <f>$J$3+[4]FormattedData!D93*$J$4+$M$4*$J$5+[4]FormattedData!D93^2*$J$6+$M$5*$J$7</f>
        <v>30.908640008703632</v>
      </c>
      <c r="L74" s="6">
        <f>$J$3+[4]FormattedData!E93*$J$4+$M$4*$J$5+[4]FormattedData!E93^2*$J$6+$M$5*$J$7</f>
        <v>30.035033087293474</v>
      </c>
      <c r="M74" s="6">
        <f>$J$3+[4]FormattedData!F93*$J$4+$M$4*$J$5+[4]FormattedData!F93^2*$J$6+$M$5*$J$7</f>
        <v>32.453265272513249</v>
      </c>
      <c r="N74" s="6">
        <f>$J$3+[4]FormattedData!G93*$J$4+$M$4*$J$5+[4]FormattedData!G93^2*$J$6+$M$5*$J$7</f>
        <v>30.035033087293474</v>
      </c>
      <c r="O74" s="6">
        <f>$J$3+[4]FormattedData!H93*$J$4+$M$4*$J$5+[4]FormattedData!H93^2*$J$6+$M$5*$J$7</f>
        <v>30.520792951233982</v>
      </c>
      <c r="P74" s="6">
        <f>$J$3+[4]FormattedData!I93*$J$4+$M$4*$J$5+[4]FormattedData!I93^2*$J$6+$M$5*$J$7</f>
        <v>29.840433261951759</v>
      </c>
      <c r="Q74" s="6">
        <f>$J$3+[4]FormattedData!J93*$J$4+$M$4*$J$5+[4]FormattedData!J93^2*$J$6+$M$5*$J$7</f>
        <v>30.617818118408294</v>
      </c>
      <c r="R74" s="6">
        <f>$J$3+[4]FormattedData!K93*$J$4+$M$4*$J$5+[4]FormattedData!K93^2*$J$6+$M$5*$J$7</f>
        <v>31.199081482157588</v>
      </c>
      <c r="S74" s="6">
        <f>$J$3+[4]FormattedData!L93*$J$4+$M$4*$J$5+[4]FormattedData!L93^2*$J$6+$M$5*$J$7</f>
        <v>31.58574502056517</v>
      </c>
      <c r="T74" s="6">
        <f>$J$3+[4]FormattedData!M93*$J$4+$M$4*$J$5+[4]FormattedData!M93^2*$J$6+$M$5*$J$7</f>
        <v>31.971732262365851</v>
      </c>
      <c r="U74" s="6">
        <f>$J$3+[4]FormattedData!N93*$J$4+$M$4*$J$5+[4]FormattedData!N93^2*$J$6+$M$5*$J$7</f>
        <v>32.357043207559634</v>
      </c>
      <c r="V74" s="6">
        <f>$J$3+[4]FormattedData!O93*$J$4+$M$4*$J$5+[4]FormattedData!O93^2*$J$6+$M$5*$J$7</f>
        <v>30.423725515521745</v>
      </c>
      <c r="W74" s="5">
        <f t="shared" ref="W74:W105" si="18">AVERAGE(K74:V74)</f>
        <v>30.995695272963985</v>
      </c>
      <c r="X74" s="4">
        <f t="shared" ref="X74:X85" si="19">STDEV(K74:V74)/SQRT(COUNT(K74:V74))</f>
        <v>0.26405028113426349</v>
      </c>
      <c r="Y74" s="3">
        <f t="shared" ref="Y74:Y85" si="20">MIN(K74:V74)</f>
        <v>29.840433261951759</v>
      </c>
      <c r="Z74" s="2">
        <f t="shared" ref="Z74:Z85" si="21">QUARTILE(K74:V74,1)</f>
        <v>30.326552408464678</v>
      </c>
      <c r="AA74" s="3">
        <f t="shared" ref="AA74:AA85" si="22">MEDIAN(K74:V74)</f>
        <v>30.763229063555961</v>
      </c>
      <c r="AB74" s="2">
        <f t="shared" ref="AB74:AB85" si="23">QUARTILE(K74:V74,3)</f>
        <v>31.68224183101534</v>
      </c>
      <c r="AC74" s="2">
        <f t="shared" ref="AC74:AC85" si="24">MAX(K74:V74)</f>
        <v>32.453265272513249</v>
      </c>
      <c r="AD74" s="2">
        <f t="shared" ref="AD74:AD85" si="25">SKEW(K74:V74)</f>
        <v>0.44180927971979056</v>
      </c>
      <c r="AE74" s="2">
        <f t="shared" ref="AE74:AE85" si="26">KURT(K74:V74)</f>
        <v>-1.1876833995136131</v>
      </c>
    </row>
    <row r="75" spans="2:31" x14ac:dyDescent="0.2">
      <c r="B75" s="1">
        <f>[4]FormattedData!A91</f>
        <v>402</v>
      </c>
      <c r="C75" s="1" t="str">
        <f>VLOOKUP($B75,[4]TrtCodes!$B$11:I131,2)</f>
        <v>NTH</v>
      </c>
      <c r="D75" s="1">
        <f>VLOOKUP($B75,[4]TrtCodes!$B$11:J131,3)</f>
        <v>9</v>
      </c>
      <c r="E75" s="1">
        <f>VLOOKUP($B75,[4]TrtCodes!$B$11:K131,4)</f>
        <v>2</v>
      </c>
      <c r="F75" s="1">
        <f>VLOOKUP($B75,[4]TrtCodes!$B$11:L131,5)</f>
        <v>2</v>
      </c>
      <c r="G75" s="1">
        <f>VLOOKUP($B75,[4]TrtCodes!$B$11:M131,6)</f>
        <v>2</v>
      </c>
      <c r="H75" s="1">
        <f>VLOOKUP($B75,[4]TrtCodes!$B$11:N131,7)</f>
        <v>3</v>
      </c>
      <c r="I75" s="1">
        <f>[4]FormattedData!B91</f>
        <v>2</v>
      </c>
      <c r="J75" s="4">
        <f>[4]FormattedData!C91</f>
        <v>13.532999999999999</v>
      </c>
      <c r="K75" s="6">
        <f>$J$3+[4]FormattedData!D91*$J$4+$M$4*$J$5+[4]FormattedData!D91^2*$J$6+$M$5*$J$7</f>
        <v>29.645664362458309</v>
      </c>
      <c r="L75" s="6">
        <f>$J$3+[4]FormattedData!E91*$J$4+$M$4*$J$5+[4]FormattedData!E91^2*$J$6+$M$5*$J$7</f>
        <v>28.767112022110204</v>
      </c>
      <c r="M75" s="6">
        <f>$J$3+[4]FormattedData!F91*$J$4+$M$4*$J$5+[4]FormattedData!F91^2*$J$6+$M$5*$J$7</f>
        <v>29.255619341016239</v>
      </c>
      <c r="N75" s="6">
        <f>$J$3+[4]FormattedData!G91*$J$4+$M$4*$J$5+[4]FormattedData!G91^2*$J$6+$M$5*$J$7</f>
        <v>28.571413214782272</v>
      </c>
      <c r="O75" s="6">
        <f>$J$3+[4]FormattedData!H91*$J$4+$M$4*$J$5+[4]FormattedData!H91^2*$J$6+$M$5*$J$7</f>
        <v>30.035033087293474</v>
      </c>
      <c r="P75" s="6">
        <f>$J$3+[4]FormattedData!I91*$J$4+$M$4*$J$5+[4]FormattedData!I91^2*$J$6+$M$5*$J$7</f>
        <v>29.158002414310896</v>
      </c>
      <c r="Q75" s="6">
        <f>$J$3+[4]FormattedData!J91*$J$4+$M$4*$J$5+[4]FormattedData!J91^2*$J$6+$M$5*$J$7</f>
        <v>30.229463838483468</v>
      </c>
      <c r="R75" s="6">
        <f>$J$3+[4]FormattedData!K91*$J$4+$M$4*$J$5+[4]FormattedData!K91^2*$J$6+$M$5*$J$7</f>
        <v>29.450726388813138</v>
      </c>
      <c r="S75" s="6">
        <f>$J$3+[4]FormattedData!L91*$J$4+$M$4*$J$5+[4]FormattedData!L91^2*$J$6+$M$5*$J$7</f>
        <v>30.229463838483468</v>
      </c>
      <c r="T75" s="6">
        <f>$J$3+[4]FormattedData!M91*$J$4+$M$4*$J$5+[4]FormattedData!M91^2*$J$6+$M$5*$J$7</f>
        <v>29.840433261951759</v>
      </c>
      <c r="U75" s="6">
        <f>$J$3+[4]FormattedData!N91*$J$4+$M$4*$J$5+[4]FormattedData!N91^2*$J$6+$M$5*$J$7</f>
        <v>29.060343219067619</v>
      </c>
      <c r="V75" s="6">
        <f>$J$3+[4]FormattedData!O91*$J$4+$M$4*$J$5+[4]FormattedData!O91^2*$J$6+$M$5*$J$7</f>
        <v>29.450726388813138</v>
      </c>
      <c r="W75" s="5">
        <f t="shared" si="18"/>
        <v>29.474500114798662</v>
      </c>
      <c r="X75" s="4">
        <f t="shared" si="19"/>
        <v>0.15700901570949477</v>
      </c>
      <c r="Y75" s="3">
        <f t="shared" si="20"/>
        <v>28.571413214782272</v>
      </c>
      <c r="Z75" s="2">
        <f t="shared" si="21"/>
        <v>29.133587615500076</v>
      </c>
      <c r="AA75" s="3">
        <f t="shared" si="22"/>
        <v>29.450726388813138</v>
      </c>
      <c r="AB75" s="2">
        <f t="shared" si="23"/>
        <v>29.889083218287187</v>
      </c>
      <c r="AC75" s="2">
        <f t="shared" si="24"/>
        <v>30.229463838483468</v>
      </c>
      <c r="AD75" s="2">
        <f t="shared" si="25"/>
        <v>-7.6623696721587975E-2</v>
      </c>
      <c r="AE75" s="2">
        <f t="shared" si="26"/>
        <v>-0.92804842028165613</v>
      </c>
    </row>
    <row r="76" spans="2:31" x14ac:dyDescent="0.2">
      <c r="B76" s="1">
        <f>[4]FormattedData!A89</f>
        <v>403</v>
      </c>
      <c r="C76" s="1" t="str">
        <f>VLOOKUP($B76,[4]TrtCodes!$B$11:I132,2)</f>
        <v>FDL</v>
      </c>
      <c r="D76" s="1">
        <f>VLOOKUP($B76,[4]TrtCodes!$B$11:J132,3)</f>
        <v>6</v>
      </c>
      <c r="E76" s="1">
        <f>VLOOKUP($B76,[4]TrtCodes!$B$11:K132,4)</f>
        <v>1</v>
      </c>
      <c r="F76" s="1">
        <f>VLOOKUP($B76,[4]TrtCodes!$B$11:L132,5)</f>
        <v>3</v>
      </c>
      <c r="G76" s="1">
        <f>VLOOKUP($B76,[4]TrtCodes!$B$11:M132,6)</f>
        <v>1</v>
      </c>
      <c r="H76" s="1">
        <f>VLOOKUP($B76,[4]TrtCodes!$B$11:N132,7)</f>
        <v>3</v>
      </c>
      <c r="I76" s="1">
        <f>[4]FormattedData!B89</f>
        <v>2</v>
      </c>
      <c r="J76" s="4">
        <f>[4]FormattedData!C89</f>
        <v>13.515000000000001</v>
      </c>
      <c r="K76" s="6">
        <f>$J$3+[4]FormattedData!D89*$J$4+$M$4*$J$5+[4]FormattedData!D89^2*$J$6+$M$5*$J$7</f>
        <v>31.58574502056517</v>
      </c>
      <c r="L76" s="6">
        <f>$J$3+[4]FormattedData!E89*$J$4+$M$4*$J$5+[4]FormattedData!E89^2*$J$6+$M$5*$J$7</f>
        <v>30.520792951233982</v>
      </c>
      <c r="M76" s="6">
        <f>$J$3+[4]FormattedData!F89*$J$4+$M$4*$J$5+[4]FormattedData!F89^2*$J$6+$M$5*$J$7</f>
        <v>30.714801017044671</v>
      </c>
      <c r="N76" s="6">
        <f>$J$3+[4]FormattedData!G89*$J$4+$M$4*$J$5+[4]FormattedData!G89^2*$J$6+$M$5*$J$7</f>
        <v>30.811741647143119</v>
      </c>
      <c r="O76" s="6">
        <f>$J$3+[4]FormattedData!H89*$J$4+$M$4*$J$5+[4]FormattedData!H89^2*$J$6+$M$5*$J$7</f>
        <v>30.520792951233982</v>
      </c>
      <c r="P76" s="6">
        <f>$J$3+[4]FormattedData!I89*$J$4+$M$4*$J$5+[4]FormattedData!I89^2*$J$6+$M$5*$J$7</f>
        <v>28.571413214782272</v>
      </c>
      <c r="Q76" s="6">
        <f>$J$3+[4]FormattedData!J89*$J$4+$M$4*$J$5+[4]FormattedData!J89^2*$J$6+$M$5*$J$7</f>
        <v>30.714801017044671</v>
      </c>
      <c r="R76" s="6">
        <f>$J$3+[4]FormattedData!K89*$J$4+$M$4*$J$5+[4]FormattedData!K89^2*$J$6+$M$5*$J$7</f>
        <v>30.132269597157439</v>
      </c>
      <c r="S76" s="6">
        <f>$J$3+[4]FormattedData!L89*$J$4+$M$4*$J$5+[4]FormattedData!L89^2*$J$6+$M$5*$J$7</f>
        <v>33.604633105998026</v>
      </c>
      <c r="T76" s="6">
        <f>$J$3+[4]FormattedData!M89*$J$4+$M$4*$J$5+[4]FormattedData!M89^2*$J$6+$M$5*$J$7</f>
        <v>32.453265272513249</v>
      </c>
      <c r="U76" s="6">
        <f>$J$3+[4]FormattedData!N89*$J$4+$M$4*$J$5+[4]FormattedData!N89^2*$J$6+$M$5*$J$7</f>
        <v>29.645664362458309</v>
      </c>
      <c r="V76" s="6">
        <f>$J$3+[4]FormattedData!O89*$J$4+$M$4*$J$5+[4]FormattedData!O89^2*$J$6+$M$5*$J$7</f>
        <v>29.548216509904684</v>
      </c>
      <c r="W76" s="5">
        <f t="shared" si="18"/>
        <v>30.735344722256631</v>
      </c>
      <c r="X76" s="4">
        <f t="shared" si="19"/>
        <v>0.38581838315253947</v>
      </c>
      <c r="Y76" s="3">
        <f t="shared" si="20"/>
        <v>28.571413214782272</v>
      </c>
      <c r="Z76" s="2">
        <f t="shared" si="21"/>
        <v>30.010618288482657</v>
      </c>
      <c r="AA76" s="3">
        <f t="shared" si="22"/>
        <v>30.617796984139325</v>
      </c>
      <c r="AB76" s="2">
        <f t="shared" si="23"/>
        <v>31.005242490498631</v>
      </c>
      <c r="AC76" s="2">
        <f t="shared" si="24"/>
        <v>33.604633105998026</v>
      </c>
      <c r="AD76" s="2">
        <f t="shared" si="25"/>
        <v>0.72970062762324828</v>
      </c>
      <c r="AE76" s="2">
        <f t="shared" si="26"/>
        <v>1.0272187293488413</v>
      </c>
    </row>
    <row r="77" spans="2:31" x14ac:dyDescent="0.2">
      <c r="B77" s="1">
        <f>[4]FormattedData!A87</f>
        <v>404</v>
      </c>
      <c r="C77" s="1" t="str">
        <f>VLOOKUP($B77,[4]TrtCodes!$B$11:I130,2)</f>
        <v>FTH</v>
      </c>
      <c r="D77" s="1">
        <f>VLOOKUP($B77,[4]TrtCodes!$B$11:J130,3)</f>
        <v>3</v>
      </c>
      <c r="E77" s="1">
        <f>VLOOKUP($B77,[4]TrtCodes!$B$11:K130,4)</f>
        <v>1</v>
      </c>
      <c r="F77" s="1">
        <f>VLOOKUP($B77,[4]TrtCodes!$B$11:L130,5)</f>
        <v>2</v>
      </c>
      <c r="G77" s="1">
        <f>VLOOKUP($B77,[4]TrtCodes!$B$11:M130,6)</f>
        <v>2</v>
      </c>
      <c r="H77" s="1">
        <f>VLOOKUP($B77,[4]TrtCodes!$B$11:N130,7)</f>
        <v>3</v>
      </c>
      <c r="I77" s="1">
        <f>[4]FormattedData!B87</f>
        <v>2</v>
      </c>
      <c r="J77" s="4">
        <f>[4]FormattedData!C87</f>
        <v>13.499000000000001</v>
      </c>
      <c r="K77" s="6">
        <f>$J$3+[4]FormattedData!D87*$J$4+$M$4*$J$5+[4]FormattedData!D87^2*$J$6+$M$5*$J$7</f>
        <v>30.617818118408294</v>
      </c>
      <c r="L77" s="6">
        <f>$J$3+[4]FormattedData!E87*$J$4+$M$4*$J$5+[4]FormattedData!E87^2*$J$6+$M$5*$J$7</f>
        <v>29.840433261951759</v>
      </c>
      <c r="M77" s="6">
        <f>$J$3+[4]FormattedData!F87*$J$4+$M$4*$J$5+[4]FormattedData!F87^2*$J$6+$M$5*$J$7</f>
        <v>32.26077887406808</v>
      </c>
      <c r="N77" s="6">
        <f>$J$3+[4]FormattedData!G87*$J$4+$M$4*$J$5+[4]FormattedData!G87^2*$J$6+$M$5*$J$7</f>
        <v>30.035033087293474</v>
      </c>
      <c r="O77" s="6">
        <f>$J$3+[4]FormattedData!H87*$J$4+$M$4*$J$5+[4]FormattedData!H87^2*$J$6+$M$5*$J$7</f>
        <v>30.714801017044671</v>
      </c>
      <c r="P77" s="6">
        <f>$J$3+[4]FormattedData!I87*$J$4+$M$4*$J$5+[4]FormattedData!I87^2*$J$6+$M$5*$J$7</f>
        <v>31.005496101726212</v>
      </c>
      <c r="Q77" s="6">
        <f>$J$3+[4]FormattedData!J87*$J$4+$M$4*$J$5+[4]FormattedData!J87^2*$J$6+$M$5*$J$7</f>
        <v>30.811741647143119</v>
      </c>
      <c r="R77" s="6">
        <f>$J$3+[4]FormattedData!K87*$J$4+$M$4*$J$5+[4]FormattedData!K87^2*$J$6+$M$5*$J$7</f>
        <v>33.125636208126494</v>
      </c>
      <c r="S77" s="6">
        <f>$J$3+[4]FormattedData!L87*$J$4+$M$4*$J$5+[4]FormattedData!L87^2*$J$6+$M$5*$J$7</f>
        <v>31.971732262365851</v>
      </c>
      <c r="T77" s="6">
        <f>$J$3+[4]FormattedData!M87*$J$4+$M$4*$J$5+[4]FormattedData!M87^2*$J$6+$M$5*$J$7</f>
        <v>32.453265272513249</v>
      </c>
      <c r="U77" s="6">
        <f>$J$3+[4]FormattedData!N87*$J$4+$M$4*$J$5+[4]FormattedData!N87^2*$J$6+$M$5*$J$7</f>
        <v>32.549445068928932</v>
      </c>
      <c r="V77" s="6">
        <f>$J$3+[4]FormattedData!O87*$J$4+$M$4*$J$5+[4]FormattedData!O87^2*$J$6+$M$5*$J$7</f>
        <v>31.102309926210872</v>
      </c>
      <c r="W77" s="5">
        <f t="shared" si="18"/>
        <v>31.374040903815082</v>
      </c>
      <c r="X77" s="4">
        <f t="shared" si="19"/>
        <v>0.30692923622030238</v>
      </c>
      <c r="Y77" s="3">
        <f t="shared" si="20"/>
        <v>29.840433261951759</v>
      </c>
      <c r="Z77" s="2">
        <f t="shared" si="21"/>
        <v>30.690555292385575</v>
      </c>
      <c r="AA77" s="3">
        <f t="shared" si="22"/>
        <v>31.053903013968544</v>
      </c>
      <c r="AB77" s="2">
        <f t="shared" si="23"/>
        <v>32.308900473679373</v>
      </c>
      <c r="AC77" s="2">
        <f t="shared" si="24"/>
        <v>33.125636208126494</v>
      </c>
      <c r="AD77" s="2">
        <f t="shared" si="25"/>
        <v>0.19886798153107457</v>
      </c>
      <c r="AE77" s="2">
        <f t="shared" si="26"/>
        <v>-1.2207308856301218</v>
      </c>
    </row>
    <row r="78" spans="2:31" x14ac:dyDescent="0.2">
      <c r="B78" s="1">
        <f>[4]FormattedData!A85</f>
        <v>405</v>
      </c>
      <c r="C78" s="1" t="str">
        <f>VLOOKUP($B78,[4]TrtCodes!$B$11:I128,2)</f>
        <v>FDL</v>
      </c>
      <c r="D78" s="1">
        <f>VLOOKUP($B78,[4]TrtCodes!$B$11:J128,3)</f>
        <v>6</v>
      </c>
      <c r="E78" s="1">
        <f>VLOOKUP($B78,[4]TrtCodes!$B$11:K128,4)</f>
        <v>1</v>
      </c>
      <c r="F78" s="1">
        <f>VLOOKUP($B78,[4]TrtCodes!$B$11:L128,5)</f>
        <v>3</v>
      </c>
      <c r="G78" s="1">
        <f>VLOOKUP($B78,[4]TrtCodes!$B$11:M128,6)</f>
        <v>1</v>
      </c>
      <c r="H78" s="1">
        <f>VLOOKUP($B78,[4]TrtCodes!$B$11:N128,7)</f>
        <v>4</v>
      </c>
      <c r="I78" s="1">
        <f>[4]FormattedData!B85</f>
        <v>2</v>
      </c>
      <c r="J78" s="4">
        <f>[4]FormattedData!C85</f>
        <v>13.48</v>
      </c>
      <c r="K78" s="6">
        <f>$J$3+[4]FormattedData!D85*$J$4+$M$4*$J$5+[4]FormattedData!D85^2*$J$6+$M$5*$J$7</f>
        <v>32.06812340147119</v>
      </c>
      <c r="L78" s="6">
        <f>$J$3+[4]FormattedData!E85*$J$4+$M$4*$J$5+[4]FormattedData!E85^2*$J$6+$M$5*$J$7</f>
        <v>31.005496101726212</v>
      </c>
      <c r="M78" s="6">
        <f>$J$3+[4]FormattedData!F85*$J$4+$M$4*$J$5+[4]FormattedData!F85^2*$J$6+$M$5*$J$7</f>
        <v>31.489142538770174</v>
      </c>
      <c r="N78" s="6">
        <f>$J$3+[4]FormattedData!G85*$J$4+$M$4*$J$5+[4]FormattedData!G85^2*$J$6+$M$5*$J$7</f>
        <v>31.102309926210872</v>
      </c>
      <c r="O78" s="6">
        <f>$J$3+[4]FormattedData!H85*$J$4+$M$4*$J$5+[4]FormattedData!H85^2*$J$6+$M$5*$J$7</f>
        <v>31.682305233822234</v>
      </c>
      <c r="P78" s="6">
        <f>$J$3+[4]FormattedData!I85*$J$4+$M$4*$J$5+[4]FormattedData!I85^2*$J$6+$M$5*$J$7</f>
        <v>32.453265272513249</v>
      </c>
      <c r="Q78" s="6">
        <f>$J$3+[4]FormattedData!J85*$J$4+$M$4*$J$5+[4]FormattedData!J85^2*$J$6+$M$5*$J$7</f>
        <v>31.005496101726212</v>
      </c>
      <c r="R78" s="6">
        <f>$J$3+[4]FormattedData!K85*$J$4+$M$4*$J$5+[4]FormattedData!K85^2*$J$6+$M$5*$J$7</f>
        <v>30.132269597157439</v>
      </c>
      <c r="S78" s="6">
        <f>$J$3+[4]FormattedData!L85*$J$4+$M$4*$J$5+[4]FormattedData!L85^2*$J$6+$M$5*$J$7</f>
        <v>32.933741569212366</v>
      </c>
      <c r="T78" s="6">
        <f>$J$3+[4]FormattedData!M85*$J$4+$M$4*$J$5+[4]FormattedData!M85^2*$J$6+$M$5*$J$7</f>
        <v>31.295810769566387</v>
      </c>
      <c r="U78" s="6">
        <f>$J$3+[4]FormattedData!N85*$J$4+$M$4*$J$5+[4]FormattedData!N85^2*$J$6+$M$5*$J$7</f>
        <v>31.392497788437243</v>
      </c>
      <c r="V78" s="6">
        <f>$J$3+[4]FormattedData!O85*$J$4+$M$4*$J$5+[4]FormattedData!O85^2*$J$6+$M$5*$J$7</f>
        <v>31.489142538770174</v>
      </c>
      <c r="W78" s="5">
        <f t="shared" si="18"/>
        <v>31.50413340328198</v>
      </c>
      <c r="X78" s="4">
        <f t="shared" si="19"/>
        <v>0.21126462189102574</v>
      </c>
      <c r="Y78" s="3">
        <f t="shared" si="20"/>
        <v>30.132269597157439</v>
      </c>
      <c r="Z78" s="2">
        <f t="shared" si="21"/>
        <v>31.078106470089708</v>
      </c>
      <c r="AA78" s="3">
        <f t="shared" si="22"/>
        <v>31.440820163603711</v>
      </c>
      <c r="AB78" s="2">
        <f t="shared" si="23"/>
        <v>31.778759775734471</v>
      </c>
      <c r="AC78" s="2">
        <f t="shared" si="24"/>
        <v>32.933741569212366</v>
      </c>
      <c r="AD78" s="2">
        <f t="shared" si="25"/>
        <v>0.29410692550436057</v>
      </c>
      <c r="AE78" s="2">
        <f t="shared" si="26"/>
        <v>0.79208826688843814</v>
      </c>
    </row>
    <row r="79" spans="2:31" x14ac:dyDescent="0.2">
      <c r="B79" s="1">
        <f>[4]FormattedData!A83</f>
        <v>406</v>
      </c>
      <c r="C79" s="1" t="str">
        <f>VLOOKUP($B79,[4]TrtCodes!$B$11:I126,2)</f>
        <v>FTH</v>
      </c>
      <c r="D79" s="1">
        <f>VLOOKUP($B79,[4]TrtCodes!$B$11:J126,3)</f>
        <v>3</v>
      </c>
      <c r="E79" s="1">
        <f>VLOOKUP($B79,[4]TrtCodes!$B$11:K126,4)</f>
        <v>1</v>
      </c>
      <c r="F79" s="1">
        <f>VLOOKUP($B79,[4]TrtCodes!$B$11:L126,5)</f>
        <v>2</v>
      </c>
      <c r="G79" s="1">
        <f>VLOOKUP($B79,[4]TrtCodes!$B$11:M126,6)</f>
        <v>2</v>
      </c>
      <c r="H79" s="1">
        <f>VLOOKUP($B79,[4]TrtCodes!$B$11:N126,7)</f>
        <v>4</v>
      </c>
      <c r="I79" s="1">
        <f>[4]FormattedData!B83</f>
        <v>2</v>
      </c>
      <c r="J79" s="4">
        <f>[4]FormattedData!C83</f>
        <v>13.462</v>
      </c>
      <c r="K79" s="6">
        <f>$J$3+[4]FormattedData!D83*$J$4+$M$4*$J$5+[4]FormattedData!D83^2*$J$6+$M$5*$J$7</f>
        <v>31.199081482157588</v>
      </c>
      <c r="L79" s="6">
        <f>$J$3+[4]FormattedData!E83*$J$4+$M$4*$J$5+[4]FormattedData!E83^2*$J$6+$M$5*$J$7</f>
        <v>32.837730846948403</v>
      </c>
      <c r="M79" s="6">
        <f>$J$3+[4]FormattedData!F83*$J$4+$M$4*$J$5+[4]FormattedData!F83^2*$J$6+$M$5*$J$7</f>
        <v>30.132269597157439</v>
      </c>
      <c r="N79" s="6">
        <f>$J$3+[4]FormattedData!G83*$J$4+$M$4*$J$5+[4]FormattedData!G83^2*$J$6+$M$5*$J$7</f>
        <v>31.87529885472258</v>
      </c>
      <c r="O79" s="6">
        <f>$J$3+[4]FormattedData!H83*$J$4+$M$4*$J$5+[4]FormattedData!H83^2*$J$6+$M$5*$J$7</f>
        <v>31.392497788437243</v>
      </c>
      <c r="P79" s="6">
        <f>$J$3+[4]FormattedData!I83*$J$4+$M$4*$J$5+[4]FormattedData!I83^2*$J$6+$M$5*$J$7</f>
        <v>31.199081482157588</v>
      </c>
      <c r="Q79" s="6">
        <f>$J$3+[4]FormattedData!J83*$J$4+$M$4*$J$5+[4]FormattedData!J83^2*$J$6+$M$5*$J$7</f>
        <v>31.489142538770174</v>
      </c>
      <c r="R79" s="6">
        <f>$J$3+[4]FormattedData!K83*$J$4+$M$4*$J$5+[4]FormattedData!K83^2*$J$6+$M$5*$J$7</f>
        <v>32.453265272513249</v>
      </c>
      <c r="S79" s="6">
        <f>$J$3+[4]FormattedData!L83*$J$4+$M$4*$J$5+[4]FormattedData!L83^2*$J$6+$M$5*$J$7</f>
        <v>34.845079621526061</v>
      </c>
      <c r="T79" s="6">
        <f>$J$3+[4]FormattedData!M83*$J$4+$M$4*$J$5+[4]FormattedData!M83^2*$J$6+$M$5*$J$7</f>
        <v>31.489142538770174</v>
      </c>
      <c r="U79" s="6">
        <f>$J$3+[4]FormattedData!N83*$J$4+$M$4*$J$5+[4]FormattedData!N83^2*$J$6+$M$5*$J$7</f>
        <v>28.571413214782272</v>
      </c>
      <c r="V79" s="6">
        <f>$J$3+[4]FormattedData!O83*$J$4+$M$4*$J$5+[4]FormattedData!O83^2*$J$6+$M$5*$J$7</f>
        <v>31.392497788437243</v>
      </c>
      <c r="W79" s="5">
        <f t="shared" si="18"/>
        <v>31.573041752198339</v>
      </c>
      <c r="X79" s="4">
        <f t="shared" si="19"/>
        <v>0.43184228650539008</v>
      </c>
      <c r="Y79" s="3">
        <f t="shared" si="20"/>
        <v>28.571413214782272</v>
      </c>
      <c r="Z79" s="2">
        <f t="shared" si="21"/>
        <v>31.199081482157588</v>
      </c>
      <c r="AA79" s="3">
        <f t="shared" si="22"/>
        <v>31.440820163603711</v>
      </c>
      <c r="AB79" s="2">
        <f t="shared" si="23"/>
        <v>32.019790459170245</v>
      </c>
      <c r="AC79" s="2">
        <f t="shared" si="24"/>
        <v>34.845079621526061</v>
      </c>
      <c r="AD79" s="2">
        <f t="shared" si="25"/>
        <v>0.24802644886737812</v>
      </c>
      <c r="AE79" s="2">
        <f t="shared" si="26"/>
        <v>2.3640035651999396</v>
      </c>
    </row>
    <row r="80" spans="2:31" x14ac:dyDescent="0.2">
      <c r="B80" s="1">
        <f>[4]FormattedData!A81</f>
        <v>407</v>
      </c>
      <c r="C80" s="1" t="str">
        <f>VLOOKUP($B80,[4]TrtCodes!$B$11:I124,2)</f>
        <v>NSH</v>
      </c>
      <c r="D80" s="1">
        <f>VLOOKUP($B80,[4]TrtCodes!$B$11:J124,3)</f>
        <v>7</v>
      </c>
      <c r="E80" s="1">
        <f>VLOOKUP($B80,[4]TrtCodes!$B$11:K124,4)</f>
        <v>2</v>
      </c>
      <c r="F80" s="1">
        <f>VLOOKUP($B80,[4]TrtCodes!$B$11:L124,5)</f>
        <v>1</v>
      </c>
      <c r="G80" s="1">
        <f>VLOOKUP($B80,[4]TrtCodes!$B$11:M124,6)</f>
        <v>2</v>
      </c>
      <c r="H80" s="1">
        <f>VLOOKUP($B80,[4]TrtCodes!$B$11:N124,7)</f>
        <v>4</v>
      </c>
      <c r="I80" s="1">
        <f>[4]FormattedData!B81</f>
        <v>2</v>
      </c>
      <c r="J80" s="4">
        <f>[4]FormattedData!C81</f>
        <v>13.444000000000001</v>
      </c>
      <c r="K80" s="6">
        <f>$J$3+[4]FormattedData!D81*$J$4+$M$4*$J$5+[4]FormattedData!D81^2*$J$6+$M$5*$J$7</f>
        <v>31.971732262365851</v>
      </c>
      <c r="L80" s="6">
        <f>$J$3+[4]FormattedData!E81*$J$4+$M$4*$J$5+[4]FormattedData!E81^2*$J$6+$M$5*$J$7</f>
        <v>31.005496101726212</v>
      </c>
      <c r="M80" s="6">
        <f>$J$3+[4]FormattedData!F81*$J$4+$M$4*$J$5+[4]FormattedData!F81^2*$J$6+$M$5*$J$7</f>
        <v>29.158002414310896</v>
      </c>
      <c r="N80" s="6">
        <f>$J$3+[4]FormattedData!G81*$J$4+$M$4*$J$5+[4]FormattedData!G81^2*$J$6+$M$5*$J$7</f>
        <v>29.060343219067619</v>
      </c>
      <c r="O80" s="6">
        <f>$J$3+[4]FormattedData!H81*$J$4+$M$4*$J$5+[4]FormattedData!H81^2*$J$6+$M$5*$J$7</f>
        <v>30.908640008703632</v>
      </c>
      <c r="P80" s="6">
        <f>$J$3+[4]FormattedData!I81*$J$4+$M$4*$J$5+[4]FormattedData!I81^2*$J$6+$M$5*$J$7</f>
        <v>29.743069946473994</v>
      </c>
      <c r="Q80" s="6">
        <f>$J$3+[4]FormattedData!J81*$J$4+$M$4*$J$5+[4]FormattedData!J81^2*$J$6+$M$5*$J$7</f>
        <v>30.035033087293474</v>
      </c>
      <c r="R80" s="6">
        <f>$J$3+[4]FormattedData!K81*$J$4+$M$4*$J$5+[4]FormattedData!K81^2*$J$6+$M$5*$J$7</f>
        <v>29.840433261951759</v>
      </c>
      <c r="S80" s="6">
        <f>$J$3+[4]FormattedData!L81*$J$4+$M$4*$J$5+[4]FormattedData!L81^2*$J$6+$M$5*$J$7</f>
        <v>30.229463838483468</v>
      </c>
      <c r="T80" s="6">
        <f>$J$3+[4]FormattedData!M81*$J$4+$M$4*$J$5+[4]FormattedData!M81^2*$J$6+$M$5*$J$7</f>
        <v>29.255619341016239</v>
      </c>
      <c r="U80" s="6">
        <f>$J$3+[4]FormattedData!N81*$J$4+$M$4*$J$5+[4]FormattedData!N81^2*$J$6+$M$5*$J$7</f>
        <v>29.450726388813138</v>
      </c>
      <c r="V80" s="6">
        <f>$J$3+[4]FormattedData!O81*$J$4+$M$4*$J$5+[4]FormattedData!O81^2*$J$6+$M$5*$J$7</f>
        <v>29.158002414310896</v>
      </c>
      <c r="W80" s="5">
        <f t="shared" si="18"/>
        <v>29.984713523709768</v>
      </c>
      <c r="X80" s="4">
        <f t="shared" si="19"/>
        <v>0.26145872031828421</v>
      </c>
      <c r="Y80" s="3">
        <f t="shared" si="20"/>
        <v>29.060343219067619</v>
      </c>
      <c r="Z80" s="2">
        <f t="shared" si="21"/>
        <v>29.231215109339903</v>
      </c>
      <c r="AA80" s="3">
        <f t="shared" si="22"/>
        <v>29.791751604212877</v>
      </c>
      <c r="AB80" s="2">
        <f t="shared" si="23"/>
        <v>30.399257881038508</v>
      </c>
      <c r="AC80" s="2">
        <f t="shared" si="24"/>
        <v>31.971732262365851</v>
      </c>
      <c r="AD80" s="2">
        <f t="shared" si="25"/>
        <v>1.0623786073125938</v>
      </c>
      <c r="AE80" s="2">
        <f t="shared" si="26"/>
        <v>0.51845471026979872</v>
      </c>
    </row>
    <row r="81" spans="2:31" x14ac:dyDescent="0.2">
      <c r="B81" s="1">
        <f>[4]FormattedData!A79</f>
        <v>408</v>
      </c>
      <c r="C81" s="1" t="str">
        <f>VLOOKUP($B81,[4]TrtCodes!$B$11:I122,2)</f>
        <v>NTL</v>
      </c>
      <c r="D81" s="1">
        <f>VLOOKUP($B81,[4]TrtCodes!$B$11:J122,3)</f>
        <v>10</v>
      </c>
      <c r="E81" s="1">
        <f>VLOOKUP($B81,[4]TrtCodes!$B$11:K122,4)</f>
        <v>2</v>
      </c>
      <c r="F81" s="1">
        <f>VLOOKUP($B81,[4]TrtCodes!$B$11:L122,5)</f>
        <v>2</v>
      </c>
      <c r="G81" s="1">
        <f>VLOOKUP($B81,[4]TrtCodes!$B$11:M122,6)</f>
        <v>1</v>
      </c>
      <c r="H81" s="1">
        <f>VLOOKUP($B81,[4]TrtCodes!$B$11:N122,7)</f>
        <v>4</v>
      </c>
      <c r="I81" s="1">
        <f>[4]FormattedData!B79</f>
        <v>2</v>
      </c>
      <c r="J81" s="4">
        <f>[4]FormattedData!C79</f>
        <v>13.427</v>
      </c>
      <c r="K81" s="6">
        <f>$J$3+[4]FormattedData!D79*$J$4+$M$4*$J$5+[4]FormattedData!D79^2*$J$6+$M$5*$J$7</f>
        <v>30.229463838483468</v>
      </c>
      <c r="L81" s="6">
        <f>$J$3+[4]FormattedData!E79*$J$4+$M$4*$J$5+[4]FormattedData!E79^2*$J$6+$M$5*$J$7</f>
        <v>29.353193999183652</v>
      </c>
      <c r="M81" s="6">
        <f>$J$3+[4]FormattedData!F79*$J$4+$M$4*$J$5+[4]FormattedData!F79^2*$J$6+$M$5*$J$7</f>
        <v>31.199081482157588</v>
      </c>
      <c r="N81" s="6">
        <f>$J$3+[4]FormattedData!G79*$J$4+$M$4*$J$5+[4]FormattedData!G79^2*$J$6+$M$5*$J$7</f>
        <v>30.423725515521745</v>
      </c>
      <c r="O81" s="6">
        <f>$J$3+[4]FormattedData!H79*$J$4+$M$4*$J$5+[4]FormattedData!H79^2*$J$6+$M$5*$J$7</f>
        <v>31.295810769566387</v>
      </c>
      <c r="P81" s="6">
        <f>$J$3+[4]FormattedData!I79*$J$4+$M$4*$J$5+[4]FormattedData!I79^2*$J$6+$M$5*$J$7</f>
        <v>29.937754308891581</v>
      </c>
      <c r="Q81" s="6">
        <f>$J$3+[4]FormattedData!J79*$J$4+$M$4*$J$5+[4]FormattedData!J79^2*$J$6+$M$5*$J$7</f>
        <v>30.132269597157439</v>
      </c>
      <c r="R81" s="6">
        <f>$J$3+[4]FormattedData!K79*$J$4+$M$4*$J$5+[4]FormattedData!K79^2*$J$6+$M$5*$J$7</f>
        <v>31.102309926210872</v>
      </c>
      <c r="S81" s="6">
        <f>$J$3+[4]FormattedData!L79*$J$4+$M$4*$J$5+[4]FormattedData!L79^2*$J$6+$M$5*$J$7</f>
        <v>29.840433261951759</v>
      </c>
      <c r="T81" s="6">
        <f>$J$3+[4]FormattedData!M79*$J$4+$M$4*$J$5+[4]FormattedData!M79^2*$J$6+$M$5*$J$7</f>
        <v>30.520792951233982</v>
      </c>
      <c r="U81" s="6">
        <f>$J$3+[4]FormattedData!N79*$J$4+$M$4*$J$5+[4]FormattedData!N79^2*$J$6+$M$5*$J$7</f>
        <v>30.229463838483468</v>
      </c>
      <c r="V81" s="6">
        <f>$J$3+[4]FormattedData!O79*$J$4+$M$4*$J$5+[4]FormattedData!O79^2*$J$6+$M$5*$J$7</f>
        <v>30.132269597157439</v>
      </c>
      <c r="W81" s="5">
        <f t="shared" si="18"/>
        <v>30.36638075716662</v>
      </c>
      <c r="X81" s="4">
        <f t="shared" si="19"/>
        <v>0.16877345620028791</v>
      </c>
      <c r="Y81" s="3">
        <f t="shared" si="20"/>
        <v>29.353193999183652</v>
      </c>
      <c r="Z81" s="2">
        <f t="shared" si="21"/>
        <v>30.083640775090974</v>
      </c>
      <c r="AA81" s="3">
        <f t="shared" si="22"/>
        <v>30.229463838483468</v>
      </c>
      <c r="AB81" s="2">
        <f t="shared" si="23"/>
        <v>30.666172194978206</v>
      </c>
      <c r="AC81" s="2">
        <f t="shared" si="24"/>
        <v>31.295810769566387</v>
      </c>
      <c r="AD81" s="2">
        <f t="shared" si="25"/>
        <v>0.26617197035798229</v>
      </c>
      <c r="AE81" s="2">
        <f t="shared" si="26"/>
        <v>-0.40308803674961791</v>
      </c>
    </row>
    <row r="82" spans="2:31" x14ac:dyDescent="0.2">
      <c r="B82" s="1">
        <f>[4]FormattedData!A59</f>
        <v>902</v>
      </c>
      <c r="C82" s="1" t="str">
        <f>VLOOKUP($B82,[4]TrtCodes!$B$11:I102,2)</f>
        <v>Late</v>
      </c>
      <c r="D82" s="1">
        <f>VLOOKUP($B82,[4]TrtCodes!$B$11:J102,3)</f>
        <v>22</v>
      </c>
      <c r="E82" s="1">
        <f>VLOOKUP($B82,[4]TrtCodes!$B$11:K102,4)</f>
        <v>4</v>
      </c>
      <c r="F82" s="1">
        <f>VLOOKUP($B82,[4]TrtCodes!$B$11:L102,5)</f>
        <v>2</v>
      </c>
      <c r="G82" s="1">
        <f>VLOOKUP($B82,[4]TrtCodes!$B$11:M102,6)</f>
        <v>2</v>
      </c>
      <c r="H82" s="1">
        <f>VLOOKUP($B82,[4]TrtCodes!$B$11:N102,7)</f>
        <v>1</v>
      </c>
      <c r="I82" s="1">
        <f>[4]FormattedData!B59</f>
        <v>2</v>
      </c>
      <c r="J82" s="4">
        <f>[4]FormattedData!C59</f>
        <v>13.260999999999999</v>
      </c>
      <c r="K82" s="6">
        <f>$J$3+[4]FormattedData!D59*$J$4+$M$4*$J$5+[4]FormattedData!D59^2*$J$6+$M$5*$J$7</f>
        <v>31.005496101726212</v>
      </c>
      <c r="L82" s="6">
        <f>$J$3+[4]FormattedData!E59*$J$4+$M$4*$J$5+[4]FormattedData!E59^2*$J$6+$M$5*$J$7</f>
        <v>30.229463838483468</v>
      </c>
      <c r="M82" s="6">
        <f>$J$3+[4]FormattedData!F59*$J$4+$M$4*$J$5+[4]FormattedData!F59^2*$J$6+$M$5*$J$7</f>
        <v>31.489142538770174</v>
      </c>
      <c r="N82" s="6">
        <f>$J$3+[4]FormattedData!G59*$J$4+$M$4*$J$5+[4]FormattedData!G59^2*$J$6+$M$5*$J$7</f>
        <v>30.132269597157439</v>
      </c>
      <c r="O82" s="6">
        <f>$J$3+[4]FormattedData!H59*$J$4+$M$4*$J$5+[4]FormattedData!H59^2*$J$6+$M$5*$J$7</f>
        <v>30.520792951233982</v>
      </c>
      <c r="P82" s="6">
        <f>$J$3+[4]FormattedData!I59*$J$4+$M$4*$J$5+[4]FormattedData!I59^2*$J$6+$M$5*$J$7</f>
        <v>31.199081482157588</v>
      </c>
      <c r="Q82" s="6">
        <f>$J$3+[4]FormattedData!J59*$J$4+$M$4*$J$5+[4]FormattedData!J59^2*$J$6+$M$5*$J$7</f>
        <v>31.778823178541373</v>
      </c>
      <c r="R82" s="6">
        <f>$J$3+[4]FormattedData!K59*$J$4+$M$4*$J$5+[4]FormattedData!K59^2*$J$6+$M$5*$J$7</f>
        <v>30.132269597157439</v>
      </c>
      <c r="S82" s="6">
        <f>$J$3+[4]FormattedData!L59*$J$4+$M$4*$J$5+[4]FormattedData!L59^2*$J$6+$M$5*$J$7</f>
        <v>30.520792951233982</v>
      </c>
      <c r="T82" s="6">
        <f>$J$3+[4]FormattedData!M59*$J$4+$M$4*$J$5+[4]FormattedData!M59^2*$J$6+$M$5*$J$7</f>
        <v>29.743069946473994</v>
      </c>
      <c r="U82" s="6">
        <f>$J$3+[4]FormattedData!N59*$J$4+$M$4*$J$5+[4]FormattedData!N59^2*$J$6+$M$5*$J$7</f>
        <v>31.199081482157588</v>
      </c>
      <c r="V82" s="6">
        <f>$J$3+[4]FormattedData!O59*$J$4+$M$4*$J$5+[4]FormattedData!O59^2*$J$6+$M$5*$J$7</f>
        <v>31.58574502056517</v>
      </c>
      <c r="W82" s="5">
        <f t="shared" si="18"/>
        <v>30.794669057138197</v>
      </c>
      <c r="X82" s="4">
        <f t="shared" si="19"/>
        <v>0.19268990541617859</v>
      </c>
      <c r="Y82" s="3">
        <f t="shared" si="20"/>
        <v>29.743069946473994</v>
      </c>
      <c r="Z82" s="2">
        <f t="shared" si="21"/>
        <v>30.205165278151959</v>
      </c>
      <c r="AA82" s="3">
        <f t="shared" si="22"/>
        <v>30.763144526480097</v>
      </c>
      <c r="AB82" s="2">
        <f t="shared" si="23"/>
        <v>31.271596746310735</v>
      </c>
      <c r="AC82" s="2">
        <f t="shared" si="24"/>
        <v>31.778823178541373</v>
      </c>
      <c r="AD82" s="2">
        <f t="shared" si="25"/>
        <v>-1.5035923804631986E-2</v>
      </c>
      <c r="AE82" s="2">
        <f t="shared" si="26"/>
        <v>-1.3828857441484868</v>
      </c>
    </row>
    <row r="83" spans="2:31" x14ac:dyDescent="0.2">
      <c r="B83" s="1">
        <f>[4]FormattedData!A55</f>
        <v>904</v>
      </c>
      <c r="C83" s="1" t="str">
        <f>VLOOKUP($B83,[4]TrtCodes!$B$11:I98,2)</f>
        <v>Early</v>
      </c>
      <c r="D83" s="1">
        <f>VLOOKUP($B83,[4]TrtCodes!$B$11:J98,3)</f>
        <v>21</v>
      </c>
      <c r="E83" s="1">
        <f>VLOOKUP($B83,[4]TrtCodes!$B$11:K98,4)</f>
        <v>3</v>
      </c>
      <c r="F83" s="1">
        <f>VLOOKUP($B83,[4]TrtCodes!$B$11:L98,5)</f>
        <v>2</v>
      </c>
      <c r="G83" s="1">
        <f>VLOOKUP($B83,[4]TrtCodes!$B$11:M98,6)</f>
        <v>2</v>
      </c>
      <c r="H83" s="1">
        <f>VLOOKUP($B83,[4]TrtCodes!$B$11:N98,7)</f>
        <v>1</v>
      </c>
      <c r="I83" s="1">
        <f>[4]FormattedData!B55</f>
        <v>2</v>
      </c>
      <c r="J83" s="4">
        <f>[4]FormattedData!C55</f>
        <v>13.24</v>
      </c>
      <c r="K83" s="6">
        <f>$J$3+[4]FormattedData!D55*$J$4+$M$4*$J$5+[4]FormattedData!D55^2*$J$6+$M$5*$J$7</f>
        <v>30.520792951233982</v>
      </c>
      <c r="L83" s="6">
        <f>$J$3+[4]FormattedData!E55*$J$4+$M$4*$J$5+[4]FormattedData!E55^2*$J$6+$M$5*$J$7</f>
        <v>30.132269597157439</v>
      </c>
      <c r="M83" s="6">
        <f>$J$3+[4]FormattedData!F55*$J$4+$M$4*$J$5+[4]FormattedData!F55^2*$J$6+$M$5*$J$7</f>
        <v>30.714801017044671</v>
      </c>
      <c r="N83" s="6">
        <f>$J$3+[4]FormattedData!G55*$J$4+$M$4*$J$5+[4]FormattedData!G55^2*$J$6+$M$5*$J$7</f>
        <v>31.102309926210872</v>
      </c>
      <c r="O83" s="6">
        <f>$J$3+[4]FormattedData!H55*$J$4+$M$4*$J$5+[4]FormattedData!H55^2*$J$6+$M$5*$J$7</f>
        <v>29.937754308891581</v>
      </c>
      <c r="P83" s="6">
        <f>$J$3+[4]FormattedData!I55*$J$4+$M$4*$J$5+[4]FormattedData!I55^2*$J$6+$M$5*$J$7</f>
        <v>29.548216509904684</v>
      </c>
      <c r="Q83" s="6">
        <f>$J$3+[4]FormattedData!J55*$J$4+$M$4*$J$5+[4]FormattedData!J55^2*$J$6+$M$5*$J$7</f>
        <v>31.199081482157588</v>
      </c>
      <c r="R83" s="6">
        <f>$J$3+[4]FormattedData!K55*$J$4+$M$4*$J$5+[4]FormattedData!K55^2*$J$6+$M$5*$J$7</f>
        <v>30.035033087293474</v>
      </c>
      <c r="S83" s="6">
        <f>$J$3+[4]FormattedData!L55*$J$4+$M$4*$J$5+[4]FormattedData!L55^2*$J$6+$M$5*$J$7</f>
        <v>29.840433261951759</v>
      </c>
      <c r="T83" s="6">
        <f>$J$3+[4]FormattedData!M55*$J$4+$M$4*$J$5+[4]FormattedData!M55^2*$J$6+$M$5*$J$7</f>
        <v>29.645664362458309</v>
      </c>
      <c r="U83" s="6">
        <f>$J$3+[4]FormattedData!N55*$J$4+$M$4*$J$5+[4]FormattedData!N55^2*$J$6+$M$5*$J$7</f>
        <v>29.450726388813138</v>
      </c>
      <c r="V83" s="6">
        <f>$J$3+[4]FormattedData!O55*$J$4+$M$4*$J$5+[4]FormattedData!O55^2*$J$6+$M$5*$J$7</f>
        <v>28.864898022967274</v>
      </c>
      <c r="W83" s="5">
        <f t="shared" si="18"/>
        <v>30.082665076340401</v>
      </c>
      <c r="X83" s="4">
        <f t="shared" si="19"/>
        <v>0.20077361527197538</v>
      </c>
      <c r="Y83" s="3">
        <f t="shared" si="20"/>
        <v>28.864898022967274</v>
      </c>
      <c r="Z83" s="2">
        <f t="shared" si="21"/>
        <v>29.621302399319902</v>
      </c>
      <c r="AA83" s="3">
        <f t="shared" si="22"/>
        <v>29.986393698092527</v>
      </c>
      <c r="AB83" s="2">
        <f t="shared" si="23"/>
        <v>30.569294967686655</v>
      </c>
      <c r="AC83" s="2">
        <f t="shared" si="24"/>
        <v>31.199081482157588</v>
      </c>
      <c r="AD83" s="2">
        <f t="shared" si="25"/>
        <v>0.154567429295206</v>
      </c>
      <c r="AE83" s="2">
        <f t="shared" si="26"/>
        <v>-0.45633390725619805</v>
      </c>
    </row>
    <row r="84" spans="2:31" x14ac:dyDescent="0.2">
      <c r="B84" s="1">
        <f>[4]FormattedData!A51</f>
        <v>906</v>
      </c>
      <c r="C84" s="1" t="str">
        <f>VLOOKUP($B84,[4]TrtCodes!$B$11:I94,2)</f>
        <v>Late</v>
      </c>
      <c r="D84" s="1">
        <f>VLOOKUP($B84,[4]TrtCodes!$B$11:J94,3)</f>
        <v>22</v>
      </c>
      <c r="E84" s="1">
        <f>VLOOKUP($B84,[4]TrtCodes!$B$11:K94,4)</f>
        <v>4</v>
      </c>
      <c r="F84" s="1">
        <f>VLOOKUP($B84,[4]TrtCodes!$B$11:L94,5)</f>
        <v>2</v>
      </c>
      <c r="G84" s="1">
        <f>VLOOKUP($B84,[4]TrtCodes!$B$11:M94,6)</f>
        <v>2</v>
      </c>
      <c r="H84" s="1">
        <f>VLOOKUP($B84,[4]TrtCodes!$B$11:N94,7)</f>
        <v>2</v>
      </c>
      <c r="I84" s="1">
        <f>[4]FormattedData!B51</f>
        <v>2</v>
      </c>
      <c r="J84" s="4">
        <f>[4]FormattedData!C51</f>
        <v>13.218</v>
      </c>
      <c r="K84" s="6">
        <f>$J$3+[4]FormattedData!D51*$J$4+$M$4*$J$5+[4]FormattedData!D51^2*$J$6+$M$5*$J$7</f>
        <v>32.26077887406808</v>
      </c>
      <c r="L84" s="6">
        <f>$J$3+[4]FormattedData!E51*$J$4+$M$4*$J$5+[4]FormattedData!E51^2*$J$6+$M$5*$J$7</f>
        <v>30.229463838483468</v>
      </c>
      <c r="M84" s="6">
        <f>$J$3+[4]FormattedData!F51*$J$4+$M$4*$J$5+[4]FormattedData!F51^2*$J$6+$M$5*$J$7</f>
        <v>31.295810769566387</v>
      </c>
      <c r="N84" s="6">
        <f>$J$3+[4]FormattedData!G51*$J$4+$M$4*$J$5+[4]FormattedData!G51^2*$J$6+$M$5*$J$7</f>
        <v>29.353193999183652</v>
      </c>
      <c r="O84" s="6">
        <f>$J$3+[4]FormattedData!H51*$J$4+$M$4*$J$5+[4]FormattedData!H51^2*$J$6+$M$5*$J$7</f>
        <v>29.937754308891581</v>
      </c>
      <c r="P84" s="6">
        <f>$J$3+[4]FormattedData!I51*$J$4+$M$4*$J$5+[4]FormattedData!I51^2*$J$6+$M$5*$J$7</f>
        <v>31.199081482157588</v>
      </c>
      <c r="Q84" s="6">
        <f>$J$3+[4]FormattedData!J51*$J$4+$M$4*$J$5+[4]FormattedData!J51^2*$J$6+$M$5*$J$7</f>
        <v>30.423725515521745</v>
      </c>
      <c r="R84" s="6">
        <f>$J$3+[4]FormattedData!K51*$J$4+$M$4*$J$5+[4]FormattedData!K51^2*$J$6+$M$5*$J$7</f>
        <v>30.908640008703632</v>
      </c>
      <c r="S84" s="6">
        <f>$J$3+[4]FormattedData!L51*$J$4+$M$4*$J$5+[4]FormattedData!L51^2*$J$6+$M$5*$J$7</f>
        <v>30.326615811271576</v>
      </c>
      <c r="T84" s="6">
        <f>$J$3+[4]FormattedData!M51*$J$4+$M$4*$J$5+[4]FormattedData!M51^2*$J$6+$M$5*$J$7</f>
        <v>30.423725515521745</v>
      </c>
      <c r="U84" s="6">
        <f>$J$3+[4]FormattedData!N51*$J$4+$M$4*$J$5+[4]FormattedData!N51^2*$J$6+$M$5*$J$7</f>
        <v>29.450726388813138</v>
      </c>
      <c r="V84" s="6">
        <f>$J$3+[4]FormattedData!O51*$J$4+$M$4*$J$5+[4]FormattedData!O51^2*$J$6+$M$5*$J$7</f>
        <v>28.375545333302618</v>
      </c>
      <c r="W84" s="5">
        <f t="shared" si="18"/>
        <v>30.348755153790439</v>
      </c>
      <c r="X84" s="4">
        <f t="shared" si="19"/>
        <v>0.2948460436203223</v>
      </c>
      <c r="Y84" s="3">
        <f t="shared" si="20"/>
        <v>28.375545333302618</v>
      </c>
      <c r="Z84" s="2">
        <f t="shared" si="21"/>
        <v>29.815997328871969</v>
      </c>
      <c r="AA84" s="3">
        <f t="shared" si="22"/>
        <v>30.375170663396659</v>
      </c>
      <c r="AB84" s="2">
        <f t="shared" si="23"/>
        <v>30.98125037706712</v>
      </c>
      <c r="AC84" s="2">
        <f t="shared" si="24"/>
        <v>32.26077887406808</v>
      </c>
      <c r="AD84" s="2">
        <f t="shared" si="25"/>
        <v>-8.5413560099217953E-2</v>
      </c>
      <c r="AE84" s="2">
        <f t="shared" si="26"/>
        <v>0.54383961264574676</v>
      </c>
    </row>
    <row r="85" spans="2:31" x14ac:dyDescent="0.2">
      <c r="B85" s="1">
        <f>[4]FormattedData!A47</f>
        <v>908</v>
      </c>
      <c r="C85" s="1" t="str">
        <f>VLOOKUP($B85,[4]TrtCodes!$B$11:I90,2)</f>
        <v>Early</v>
      </c>
      <c r="D85" s="1">
        <f>VLOOKUP($B85,[4]TrtCodes!$B$11:J90,3)</f>
        <v>21</v>
      </c>
      <c r="E85" s="1">
        <f>VLOOKUP($B85,[4]TrtCodes!$B$11:K90,4)</f>
        <v>3</v>
      </c>
      <c r="F85" s="1">
        <f>VLOOKUP($B85,[4]TrtCodes!$B$11:L90,5)</f>
        <v>2</v>
      </c>
      <c r="G85" s="1">
        <f>VLOOKUP($B85,[4]TrtCodes!$B$11:M90,6)</f>
        <v>2</v>
      </c>
      <c r="H85" s="1">
        <f>VLOOKUP($B85,[4]TrtCodes!$B$11:N90,7)</f>
        <v>2</v>
      </c>
      <c r="I85" s="1">
        <f>[4]FormattedData!B47</f>
        <v>2</v>
      </c>
      <c r="J85" s="4">
        <f>[4]FormattedData!C47</f>
        <v>13.198</v>
      </c>
      <c r="K85" s="6">
        <f>$J$3+[4]FormattedData!D47*$J$4+$M$4*$J$5+[4]FormattedData!D47^2*$J$6+$M$5*$J$7</f>
        <v>30.714801017044671</v>
      </c>
      <c r="L85" s="6">
        <f>$J$3+[4]FormattedData!E47*$J$4+$M$4*$J$5+[4]FormattedData!E47^2*$J$6+$M$5*$J$7</f>
        <v>30.617818118408294</v>
      </c>
      <c r="M85" s="6">
        <f>$J$3+[4]FormattedData!F47*$J$4+$M$4*$J$5+[4]FormattedData!F47^2*$J$6+$M$5*$J$7</f>
        <v>29.937754308891581</v>
      </c>
      <c r="N85" s="6">
        <f>$J$3+[4]FormattedData!G47*$J$4+$M$4*$J$5+[4]FormattedData!G47^2*$J$6+$M$5*$J$7</f>
        <v>29.353193999183652</v>
      </c>
      <c r="O85" s="6">
        <f>$J$3+[4]FormattedData!H47*$J$4+$M$4*$J$5+[4]FormattedData!H47^2*$J$6+$M$5*$J$7</f>
        <v>30.229463838483468</v>
      </c>
      <c r="P85" s="6">
        <f>$J$3+[4]FormattedData!I47*$J$4+$M$4*$J$5+[4]FormattedData!I47^2*$J$6+$M$5*$J$7</f>
        <v>29.937754308891581</v>
      </c>
      <c r="Q85" s="6">
        <f>$J$3+[4]FormattedData!J47*$J$4+$M$4*$J$5+[4]FormattedData!J47^2*$J$6+$M$5*$J$7</f>
        <v>30.811741647143119</v>
      </c>
      <c r="R85" s="6">
        <f>$J$3+[4]FormattedData!K47*$J$4+$M$4*$J$5+[4]FormattedData!K47^2*$J$6+$M$5*$J$7</f>
        <v>29.548216509904684</v>
      </c>
      <c r="S85" s="6">
        <f>$J$3+[4]FormattedData!L47*$J$4+$M$4*$J$5+[4]FormattedData!L47^2*$J$6+$M$5*$J$7</f>
        <v>31.682305233822234</v>
      </c>
      <c r="T85" s="6">
        <f>$J$3+[4]FormattedData!M47*$J$4+$M$4*$J$5+[4]FormattedData!M47^2*$J$6+$M$5*$J$7</f>
        <v>30.811741647143119</v>
      </c>
      <c r="U85" s="6">
        <f>$J$3+[4]FormattedData!N47*$J$4+$M$4*$J$5+[4]FormattedData!N47^2*$J$6+$M$5*$J$7</f>
        <v>31.392497788437243</v>
      </c>
      <c r="V85" s="6">
        <f>$J$3+[4]FormattedData!O47*$J$4+$M$4*$J$5+[4]FormattedData!O47^2*$J$6+$M$5*$J$7</f>
        <v>31.489142538770174</v>
      </c>
      <c r="W85" s="5">
        <f t="shared" si="18"/>
        <v>30.54386924634365</v>
      </c>
      <c r="X85" s="4">
        <f t="shared" si="19"/>
        <v>0.21899528085109474</v>
      </c>
      <c r="Y85" s="3">
        <f t="shared" si="20"/>
        <v>29.353193999183652</v>
      </c>
      <c r="Z85" s="2">
        <f t="shared" si="21"/>
        <v>29.937754308891581</v>
      </c>
      <c r="AA85" s="3">
        <f t="shared" si="22"/>
        <v>30.666309567726483</v>
      </c>
      <c r="AB85" s="2">
        <f t="shared" si="23"/>
        <v>30.956930682466648</v>
      </c>
      <c r="AC85" s="2">
        <f t="shared" si="24"/>
        <v>31.682305233822234</v>
      </c>
      <c r="AD85" s="2">
        <f t="shared" si="25"/>
        <v>-4.4070045041986645E-2</v>
      </c>
      <c r="AE85" s="2">
        <f t="shared" si="26"/>
        <v>-1.0454307649996011</v>
      </c>
    </row>
    <row r="88" spans="2:31" x14ac:dyDescent="0.2">
      <c r="W88" s="2"/>
    </row>
  </sheetData>
  <autoFilter ref="B9:AE85" xr:uid="{B1101A1A-40BD-4BBD-8B4D-060264F11F7B}"/>
  <conditionalFormatting sqref="K10:V85">
    <cfRule type="cellIs" dxfId="111" priority="1" stopIfTrue="1" operator="lessThan">
      <formula>$W10-$V$5*$X10</formula>
    </cfRule>
    <cfRule type="cellIs" dxfId="110" priority="2" stopIfTrue="1" operator="greaterThan">
      <formula>$W10+$V$5*$X10</formula>
    </cfRule>
  </conditionalFormatting>
  <conditionalFormatting sqref="W10:W85">
    <cfRule type="cellIs" dxfId="109" priority="3" stopIfTrue="1" operator="lessThan">
      <formula>AVERAGE($W$10:$W$41)</formula>
    </cfRule>
    <cfRule type="cellIs" dxfId="10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DDED-4EB5-4C0B-A9BE-4FF13C6C5EC3}">
  <sheetPr codeName="Sheet29"/>
  <dimension ref="A1:AI88"/>
  <sheetViews>
    <sheetView topLeftCell="A8" workbookViewId="0">
      <pane xSplit="4" ySplit="2" topLeftCell="L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[5]FormattedData!A1</f>
        <v>Raw data file name - 'IA173.03R'</v>
      </c>
    </row>
    <row r="2" spans="1:35" ht="15" x14ac:dyDescent="0.25">
      <c r="I2" s="32" t="s">
        <v>136</v>
      </c>
      <c r="J2" s="24"/>
      <c r="P2" s="31">
        <f>[5]AncillaryData!C10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[5]AncillaryData!E25</f>
        <v>35.15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"&amp;[5]AncillaryData!C7</f>
        <v>Time Sequence of Midday IRT Temps - FISE 2003 - DOY 173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"&amp;[5]AncillaryData!E25&amp;", VPD = "&amp;ROUND([5]AncillaryData!E29,1)&amp;", Quality = "&amp;[5]AncillaryData!C20&amp;")"</f>
        <v>(Ta = 35.15, VPD = 4.8,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[5]FormattedData!A28</f>
        <v>101</v>
      </c>
      <c r="C10" s="1" t="str">
        <f>VLOOKUP($B10,[5]TrtCodes!$B$11:I71,2)</f>
        <v>FSH</v>
      </c>
      <c r="D10" s="1">
        <f>VLOOKUP($B10,[5]TrtCodes!$B$11:J71,3)</f>
        <v>1</v>
      </c>
      <c r="E10" s="1">
        <f>VLOOKUP($B10,[5]TrtCodes!$B$11:K71,4)</f>
        <v>1</v>
      </c>
      <c r="F10" s="1">
        <f>VLOOKUP($B10,[5]TrtCodes!$B$11:L71,5)</f>
        <v>1</v>
      </c>
      <c r="G10" s="1">
        <f>VLOOKUP($B10,[5]TrtCodes!$B$11:M71,6)</f>
        <v>2</v>
      </c>
      <c r="H10" s="1">
        <f>VLOOKUP($B10,[5]TrtCodes!$B$11:N71,7)</f>
        <v>1</v>
      </c>
      <c r="I10" s="1">
        <f>[5]FormattedData!B28</f>
        <v>1</v>
      </c>
      <c r="J10" s="4">
        <f>[5]FormattedData!C28</f>
        <v>13.275</v>
      </c>
      <c r="K10" s="6">
        <f>$J$3+[5]FormattedData!D28*$J$4+$M$4*$J$5+[5]FormattedData!D28^2*$J$6+$M$5*$J$7</f>
        <v>56.463694610469084</v>
      </c>
      <c r="L10" s="6">
        <f>$J$3+[5]FormattedData!E28*$J$4+$M$4*$J$5+[5]FormattedData!E28^2*$J$6+$M$5*$J$7</f>
        <v>46.409220568115984</v>
      </c>
      <c r="M10" s="6">
        <f>$J$3+[5]FormattedData!F28*$J$4+$M$4*$J$5+[5]FormattedData!F28^2*$J$6+$M$5*$J$7</f>
        <v>54.411526836355328</v>
      </c>
      <c r="N10" s="6">
        <f>$J$3+[5]FormattedData!G28*$J$4+$M$4*$J$5+[5]FormattedData!G28^2*$J$6+$M$5*$J$7</f>
        <v>38.337819589688308</v>
      </c>
      <c r="O10" s="6">
        <f>$J$3+[5]FormattedData!H28*$J$4+$M$4*$J$5+[5]FormattedData!H28^2*$J$6+$M$5*$J$7</f>
        <v>51.986559604275406</v>
      </c>
      <c r="P10" s="6">
        <f>$J$3+[5]FormattedData!I28*$J$4+$M$4*$J$5+[5]FormattedData!I28^2*$J$6+$M$5*$J$7</f>
        <v>48.908749501106428</v>
      </c>
      <c r="Q10" s="6">
        <f>$J$3+[5]FormattedData!J28*$J$4+$M$4*$J$5+[5]FormattedData!J28^2*$J$6+$M$5*$J$7</f>
        <v>47.484505033324702</v>
      </c>
      <c r="R10" s="6">
        <f>$J$3+[5]FormattedData!K28*$J$4+$M$4*$J$5+[5]FormattedData!K28^2*$J$6+$M$5*$J$7</f>
        <v>47.752375107523434</v>
      </c>
      <c r="S10" s="6">
        <f>$J$3+[5]FormattedData!L28*$J$4+$M$4*$J$5+[5]FormattedData!L28^2*$J$6+$M$5*$J$7</f>
        <v>53.029889054808194</v>
      </c>
      <c r="T10" s="6">
        <f>$J$3+[5]FormattedData!M28*$J$4+$M$4*$J$5+[5]FormattedData!M28^2*$J$6+$M$5*$J$7</f>
        <v>46.0494398198326</v>
      </c>
      <c r="U10" s="6">
        <f>$J$3+[5]FormattedData!N28*$J$4+$M$4*$J$5+[5]FormattedData!N28^2*$J$6+$M$5*$J$7</f>
        <v>54.583470725365956</v>
      </c>
      <c r="V10" s="6">
        <f>$J$3+[5]FormattedData!O28*$J$4+$M$4*$J$5+[5]FormattedData!O28^2*$J$6+$M$5*$J$7</f>
        <v>40.664117704907852</v>
      </c>
      <c r="W10" s="5">
        <f t="shared" ref="W10:W41" si="0">AVERAGE(K10:V10)</f>
        <v>48.840114012981111</v>
      </c>
      <c r="X10" s="4">
        <f t="shared" ref="X10:X41" si="1">STDEV(K10:V10)/SQRT(COUNT(K10:V10))</f>
        <v>1.6130807028102156</v>
      </c>
      <c r="Y10" s="3">
        <f t="shared" ref="Y10:Y41" si="2">MIN(K10:V10)</f>
        <v>38.337819589688308</v>
      </c>
      <c r="Z10" s="2">
        <f t="shared" ref="Z10:Z41" si="3">QUARTILE(K10:V10,1)</f>
        <v>46.319275381045138</v>
      </c>
      <c r="AA10" s="3">
        <f t="shared" ref="AA10:AA41" si="4">MEDIAN(K10:V10)</f>
        <v>48.330562304314931</v>
      </c>
      <c r="AB10" s="2">
        <f t="shared" ref="AB10:AB41" si="5">QUARTILE(K10:V10,3)</f>
        <v>53.37529850019498</v>
      </c>
      <c r="AC10" s="2">
        <f t="shared" ref="AC10:AC41" si="6">MAX(K10:V10)</f>
        <v>56.463694610469084</v>
      </c>
      <c r="AD10" s="2">
        <f t="shared" ref="AD10:AD41" si="7">SKEW(K10:V10)</f>
        <v>-0.52184952964852505</v>
      </c>
      <c r="AE10" s="2">
        <f t="shared" ref="AE10:AE41" si="8">KURT(K10:V10)</f>
        <v>-0.38548599740908918</v>
      </c>
    </row>
    <row r="11" spans="1:35" x14ac:dyDescent="0.2">
      <c r="B11" s="1">
        <f>[5]FormattedData!A26</f>
        <v>102</v>
      </c>
      <c r="C11" s="1" t="str">
        <f>VLOOKUP($B11,[5]TrtCodes!$B$11:I69,2)</f>
        <v>FTL</v>
      </c>
      <c r="D11" s="1">
        <f>VLOOKUP($B11,[5]TrtCodes!$B$11:J69,3)</f>
        <v>4</v>
      </c>
      <c r="E11" s="1">
        <f>VLOOKUP($B11,[5]TrtCodes!$B$11:K69,4)</f>
        <v>1</v>
      </c>
      <c r="F11" s="1">
        <f>VLOOKUP($B11,[5]TrtCodes!$B$11:L69,5)</f>
        <v>2</v>
      </c>
      <c r="G11" s="1">
        <f>VLOOKUP($B11,[5]TrtCodes!$B$11:M69,6)</f>
        <v>1</v>
      </c>
      <c r="H11" s="1">
        <f>VLOOKUP($B11,[5]TrtCodes!$B$11:N69,7)</f>
        <v>1</v>
      </c>
      <c r="I11" s="1">
        <f>[5]FormattedData!B26</f>
        <v>1</v>
      </c>
      <c r="J11" s="4">
        <f>[5]FormattedData!C26</f>
        <v>13.255000000000001</v>
      </c>
      <c r="K11" s="6">
        <f>$J$3+[5]FormattedData!D26*$J$4+$M$4*$J$5+[5]FormattedData!D26^2*$J$6+$M$5*$J$7</f>
        <v>56.972932385583711</v>
      </c>
      <c r="L11" s="6">
        <f>$J$3+[5]FormattedData!E26*$J$4+$M$4*$J$5+[5]FormattedData!E26^2*$J$6+$M$5*$J$7</f>
        <v>38.24421817408642</v>
      </c>
      <c r="M11" s="6">
        <f>$J$3+[5]FormattedData!F26*$J$4+$M$4*$J$5+[5]FormattedData!F26^2*$J$6+$M$5*$J$7</f>
        <v>52.422019908077857</v>
      </c>
      <c r="N11" s="6">
        <f>$J$3+[5]FormattedData!G26*$J$4+$M$4*$J$5+[5]FormattedData!G26^2*$J$6+$M$5*$J$7</f>
        <v>41.863352395953022</v>
      </c>
      <c r="O11" s="6">
        <f>$J$3+[5]FormattedData!H26*$J$4+$M$4*$J$5+[5]FormattedData!H26^2*$J$6+$M$5*$J$7</f>
        <v>53.116558430189365</v>
      </c>
      <c r="P11" s="6">
        <f>$J$3+[5]FormattedData!I26*$J$4+$M$4*$J$5+[5]FormattedData!I26^2*$J$6+$M$5*$J$7</f>
        <v>53.549271279026293</v>
      </c>
      <c r="Q11" s="6">
        <f>$J$3+[5]FormattedData!J26*$J$4+$M$4*$J$5+[5]FormattedData!J26^2*$J$6+$M$5*$J$7</f>
        <v>47.305713641169227</v>
      </c>
      <c r="R11" s="6">
        <f>$J$3+[5]FormattedData!K26*$J$4+$M$4*$J$5+[5]FormattedData!K26^2*$J$6+$M$5*$J$7</f>
        <v>53.894680724413085</v>
      </c>
      <c r="S11" s="6">
        <f>$J$3+[5]FormattedData!L26*$J$4+$M$4*$J$5+[5]FormattedData!L26^2*$J$6+$M$5*$J$7</f>
        <v>48.82005123590455</v>
      </c>
      <c r="T11" s="6">
        <f>$J$3+[5]FormattedData!M26*$J$4+$M$4*$J$5+[5]FormattedData!M26^2*$J$6+$M$5*$J$7</f>
        <v>54.067131835878889</v>
      </c>
      <c r="U11" s="6">
        <f>$J$3+[5]FormattedData!N26*$J$4+$M$4*$J$5+[5]FormattedData!N26^2*$J$6+$M$5*$J$7</f>
        <v>47.395130471515927</v>
      </c>
      <c r="V11" s="6">
        <f>$J$3+[5]FormattedData!O26*$J$4+$M$4*$J$5+[5]FormattedData!O26^2*$J$6+$M$5*$J$7</f>
        <v>51.986559604275406</v>
      </c>
      <c r="W11" s="5">
        <f t="shared" si="0"/>
        <v>49.969801673839477</v>
      </c>
      <c r="X11" s="4">
        <f t="shared" si="1"/>
        <v>1.586601209562895</v>
      </c>
      <c r="Y11" s="3">
        <f t="shared" si="2"/>
        <v>38.24421817408642</v>
      </c>
      <c r="Z11" s="2">
        <f t="shared" si="3"/>
        <v>47.372776263929254</v>
      </c>
      <c r="AA11" s="3">
        <f t="shared" si="4"/>
        <v>52.204289756176635</v>
      </c>
      <c r="AB11" s="2">
        <f t="shared" si="5"/>
        <v>53.635623640372991</v>
      </c>
      <c r="AC11" s="2">
        <f t="shared" si="6"/>
        <v>56.972932385583711</v>
      </c>
      <c r="AD11" s="2">
        <f t="shared" si="7"/>
        <v>-1.0576700296014996</v>
      </c>
      <c r="AE11" s="2">
        <f t="shared" si="8"/>
        <v>0.55269730902708947</v>
      </c>
    </row>
    <row r="12" spans="1:35" x14ac:dyDescent="0.2">
      <c r="B12" s="1">
        <f>[5]FormattedData!A24</f>
        <v>103</v>
      </c>
      <c r="C12" s="1" t="str">
        <f>VLOOKUP($B12,[5]TrtCodes!$B$11:I67,2)</f>
        <v>FDH</v>
      </c>
      <c r="D12" s="1">
        <f>VLOOKUP($B12,[5]TrtCodes!$B$11:J67,3)</f>
        <v>5</v>
      </c>
      <c r="E12" s="1">
        <f>VLOOKUP($B12,[5]TrtCodes!$B$11:K67,4)</f>
        <v>1</v>
      </c>
      <c r="F12" s="1">
        <f>VLOOKUP($B12,[5]TrtCodes!$B$11:L67,5)</f>
        <v>3</v>
      </c>
      <c r="G12" s="1">
        <f>VLOOKUP($B12,[5]TrtCodes!$B$11:M67,6)</f>
        <v>2</v>
      </c>
      <c r="H12" s="1">
        <f>VLOOKUP($B12,[5]TrtCodes!$B$11:N67,7)</f>
        <v>1</v>
      </c>
      <c r="I12" s="1">
        <f>[5]FormattedData!B24</f>
        <v>1</v>
      </c>
      <c r="J12" s="4">
        <f>[5]FormattedData!C24</f>
        <v>13.233000000000001</v>
      </c>
      <c r="K12" s="6">
        <f>$J$3+[5]FormattedData!D24*$J$4+$M$4*$J$5+[5]FormattedData!D24^2*$J$6+$M$5*$J$7</f>
        <v>55.440654058143245</v>
      </c>
      <c r="L12" s="6">
        <f>$J$3+[5]FormattedData!E24*$J$4+$M$4*$J$5+[5]FormattedData!E24^2*$J$6+$M$5*$J$7</f>
        <v>41.863352395953022</v>
      </c>
      <c r="M12" s="6">
        <f>$J$3+[5]FormattedData!F24*$J$4+$M$4*$J$5+[5]FormattedData!F24^2*$J$6+$M$5*$J$7</f>
        <v>46.499060083841989</v>
      </c>
      <c r="N12" s="6">
        <f>$J$3+[5]FormattedData!G24*$J$4+$M$4*$J$5+[5]FormattedData!G24^2*$J$6+$M$5*$J$7</f>
        <v>37.775577068008026</v>
      </c>
      <c r="O12" s="6">
        <f>$J$3+[5]FormattedData!H24*$J$4+$M$4*$J$5+[5]FormattedData!H24^2*$J$6+$M$5*$J$7</f>
        <v>42.872509995215104</v>
      </c>
      <c r="P12" s="6">
        <f>$J$3+[5]FormattedData!I24*$J$4+$M$4*$J$5+[5]FormattedData!I24^2*$J$6+$M$5*$J$7</f>
        <v>36.646527022550885</v>
      </c>
      <c r="Q12" s="6">
        <f>$J$3+[5]FormattedData!J24*$J$4+$M$4*$J$5+[5]FormattedData!J24^2*$J$6+$M$5*$J$7</f>
        <v>48.197979860429363</v>
      </c>
      <c r="R12" s="6">
        <f>$J$3+[5]FormattedData!K24*$J$4+$M$4*$J$5+[5]FormattedData!K24^2*$J$6+$M$5*$J$7</f>
        <v>40.664117704907852</v>
      </c>
      <c r="S12" s="6">
        <f>$J$3+[5]FormattedData!L24*$J$4+$M$4*$J$5+[5]FormattedData!L24^2*$J$6+$M$5*$J$7</f>
        <v>46.0494398198326</v>
      </c>
      <c r="T12" s="6">
        <f>$J$3+[5]FormattedData!M24*$J$4+$M$4*$J$5+[5]FormattedData!M24^2*$J$6+$M$5*$J$7</f>
        <v>44.512826705607573</v>
      </c>
      <c r="U12" s="6">
        <f>$J$3+[5]FormattedData!N24*$J$4+$M$4*$J$5+[5]FormattedData!N24^2*$J$6+$M$5*$J$7</f>
        <v>48.375925881826213</v>
      </c>
      <c r="V12" s="6">
        <f>$J$3+[5]FormattedData!O24*$J$4+$M$4*$J$5+[5]FormattedData!O24^2*$J$6+$M$5*$J$7</f>
        <v>38.24421817408642</v>
      </c>
      <c r="W12" s="5">
        <f t="shared" si="0"/>
        <v>43.928515730866856</v>
      </c>
      <c r="X12" s="4">
        <f t="shared" si="1"/>
        <v>1.5599585782288392</v>
      </c>
      <c r="Y12" s="3">
        <f t="shared" si="2"/>
        <v>36.646527022550885</v>
      </c>
      <c r="Z12" s="2">
        <f t="shared" si="3"/>
        <v>40.059142822202496</v>
      </c>
      <c r="AA12" s="3">
        <f t="shared" si="4"/>
        <v>43.692668350411338</v>
      </c>
      <c r="AB12" s="2">
        <f t="shared" si="5"/>
        <v>46.923790027988829</v>
      </c>
      <c r="AC12" s="2">
        <f t="shared" si="6"/>
        <v>55.440654058143245</v>
      </c>
      <c r="AD12" s="2">
        <f t="shared" si="7"/>
        <v>0.60192243340215934</v>
      </c>
      <c r="AE12" s="2">
        <f t="shared" si="8"/>
        <v>0.35977357126111542</v>
      </c>
    </row>
    <row r="13" spans="1:35" x14ac:dyDescent="0.2">
      <c r="B13" s="1">
        <f>[5]FormattedData!A22</f>
        <v>104</v>
      </c>
      <c r="C13" s="1" t="str">
        <f>VLOOKUP($B13,[5]TrtCodes!$B$11:I65,2)</f>
        <v>NTL</v>
      </c>
      <c r="D13" s="1">
        <f>VLOOKUP($B13,[5]TrtCodes!$B$11:J65,3)</f>
        <v>10</v>
      </c>
      <c r="E13" s="1">
        <f>VLOOKUP($B13,[5]TrtCodes!$B$11:K65,4)</f>
        <v>2</v>
      </c>
      <c r="F13" s="1">
        <f>VLOOKUP($B13,[5]TrtCodes!$B$11:L65,5)</f>
        <v>2</v>
      </c>
      <c r="G13" s="1">
        <f>VLOOKUP($B13,[5]TrtCodes!$B$11:M65,6)</f>
        <v>1</v>
      </c>
      <c r="H13" s="1">
        <f>VLOOKUP($B13,[5]TrtCodes!$B$11:N65,7)</f>
        <v>1</v>
      </c>
      <c r="I13" s="1">
        <f>[5]FormattedData!B22</f>
        <v>1</v>
      </c>
      <c r="J13" s="4">
        <f>[5]FormattedData!C22</f>
        <v>13.207000000000001</v>
      </c>
      <c r="K13" s="6">
        <f>$J$3+[5]FormattedData!D22*$J$4+$M$4*$J$5+[5]FormattedData!D22^2*$J$6+$M$5*$J$7</f>
        <v>55.782343872192087</v>
      </c>
      <c r="L13" s="6">
        <f>$J$3+[5]FormattedData!E22*$J$4+$M$4*$J$5+[5]FormattedData!E22^2*$J$6+$M$5*$J$7</f>
        <v>36.07971949877404</v>
      </c>
      <c r="M13" s="6">
        <f>$J$3+[5]FormattedData!F22*$J$4+$M$4*$J$5+[5]FormattedData!F22^2*$J$6+$M$5*$J$7</f>
        <v>52.508985163224558</v>
      </c>
      <c r="N13" s="6">
        <f>$J$3+[5]FormattedData!G22*$J$4+$M$4*$J$5+[5]FormattedData!G22^2*$J$6+$M$5*$J$7</f>
        <v>37.117704240905155</v>
      </c>
      <c r="O13" s="6">
        <f>$J$3+[5]FormattedData!H22*$J$4+$M$4*$J$5+[5]FormattedData!H22^2*$J$6+$M$5*$J$7</f>
        <v>47.663127351328455</v>
      </c>
      <c r="P13" s="6">
        <f>$J$3+[5]FormattedData!I22*$J$4+$M$4*$J$5+[5]FormattedData!I22^2*$J$6+$M$5*$J$7</f>
        <v>46.409220568115984</v>
      </c>
      <c r="Q13" s="6">
        <f>$J$3+[5]FormattedData!J22*$J$4+$M$4*$J$5+[5]FormattedData!J22^2*$J$6+$M$5*$J$7</f>
        <v>52.422019908077857</v>
      </c>
      <c r="R13" s="6">
        <f>$J$3+[5]FormattedData!K22*$J$4+$M$4*$J$5+[5]FormattedData!K22^2*$J$6+$M$5*$J$7</f>
        <v>39.178330245898387</v>
      </c>
      <c r="S13" s="6">
        <f>$J$3+[5]FormattedData!L22*$J$4+$M$4*$J$5+[5]FormattedData!L22^2*$J$6+$M$5*$J$7</f>
        <v>50.585985517735118</v>
      </c>
      <c r="T13" s="6">
        <f>$J$3+[5]FormattedData!M22*$J$4+$M$4*$J$5+[5]FormattedData!M22^2*$J$6+$M$5*$J$7</f>
        <v>46.857995461366741</v>
      </c>
      <c r="U13" s="6">
        <f>$J$3+[5]FormattedData!N22*$J$4+$M$4*$J$5+[5]FormattedData!N22^2*$J$6+$M$5*$J$7</f>
        <v>50.057980511779057</v>
      </c>
      <c r="V13" s="6">
        <f>$J$3+[5]FormattedData!O22*$J$4+$M$4*$J$5+[5]FormattedData!O22^2*$J$6+$M$5*$J$7</f>
        <v>44.240391629312271</v>
      </c>
      <c r="W13" s="5">
        <f t="shared" si="0"/>
        <v>46.575316997392484</v>
      </c>
      <c r="X13" s="4">
        <f t="shared" si="1"/>
        <v>1.832861287136653</v>
      </c>
      <c r="Y13" s="3">
        <f t="shared" si="2"/>
        <v>36.07971949877404</v>
      </c>
      <c r="Z13" s="2">
        <f t="shared" si="3"/>
        <v>42.974876283458798</v>
      </c>
      <c r="AA13" s="3">
        <f t="shared" si="4"/>
        <v>47.260561406347598</v>
      </c>
      <c r="AB13" s="2">
        <f t="shared" si="5"/>
        <v>51.044994115320804</v>
      </c>
      <c r="AC13" s="2">
        <f t="shared" si="6"/>
        <v>55.782343872192087</v>
      </c>
      <c r="AD13" s="2">
        <f t="shared" si="7"/>
        <v>-0.47832586952566652</v>
      </c>
      <c r="AE13" s="2">
        <f t="shared" si="8"/>
        <v>-0.81800923744851817</v>
      </c>
    </row>
    <row r="14" spans="1:35" x14ac:dyDescent="0.2">
      <c r="B14" s="1">
        <f>[5]FormattedData!A20</f>
        <v>105</v>
      </c>
      <c r="C14" s="1" t="str">
        <f>VLOOKUP($B14,[5]TrtCodes!$B$11:I63,2)</f>
        <v>NDL</v>
      </c>
      <c r="D14" s="1">
        <f>VLOOKUP($B14,[5]TrtCodes!$B$11:J63,3)</f>
        <v>12</v>
      </c>
      <c r="E14" s="1">
        <f>VLOOKUP($B14,[5]TrtCodes!$B$11:K63,4)</f>
        <v>2</v>
      </c>
      <c r="F14" s="1">
        <f>VLOOKUP($B14,[5]TrtCodes!$B$11:L63,5)</f>
        <v>3</v>
      </c>
      <c r="G14" s="1">
        <f>VLOOKUP($B14,[5]TrtCodes!$B$11:M63,6)</f>
        <v>1</v>
      </c>
      <c r="H14" s="1">
        <f>VLOOKUP($B14,[5]TrtCodes!$B$11:N63,7)</f>
        <v>2</v>
      </c>
      <c r="I14" s="1">
        <f>[5]FormattedData!B20</f>
        <v>1</v>
      </c>
      <c r="J14" s="4">
        <f>[5]FormattedData!C20</f>
        <v>13.183999999999999</v>
      </c>
      <c r="K14" s="6">
        <f>$J$3+[5]FormattedData!D20*$J$4+$M$4*$J$5+[5]FormattedData!D20^2*$J$6+$M$5*$J$7</f>
        <v>34.846416366156376</v>
      </c>
      <c r="L14" s="6">
        <f>$J$3+[5]FormattedData!E20*$J$4+$M$4*$J$5+[5]FormattedData!E20^2*$J$6+$M$5*$J$7</f>
        <v>29.647001107088617</v>
      </c>
      <c r="M14" s="6">
        <f>$J$3+[5]FormattedData!F20*$J$4+$M$4*$J$5+[5]FormattedData!F20^2*$J$6+$M$5*$J$7</f>
        <v>37.117704240905155</v>
      </c>
      <c r="N14" s="6">
        <f>$J$3+[5]FormattedData!G20*$J$4+$M$4*$J$5+[5]FormattedData!G20^2*$J$6+$M$5*$J$7</f>
        <v>38.337819589688308</v>
      </c>
      <c r="O14" s="6">
        <f>$J$3+[5]FormattedData!H20*$J$4+$M$4*$J$5+[5]FormattedData!H20^2*$J$6+$M$5*$J$7</f>
        <v>33.031046767568711</v>
      </c>
      <c r="P14" s="6">
        <f>$J$3+[5]FormattedData!I20*$J$4+$M$4*$J$5+[5]FormattedData!I20^2*$J$6+$M$5*$J$7</f>
        <v>40.200971508760503</v>
      </c>
      <c r="Q14" s="6">
        <f>$J$3+[5]FormattedData!J20*$J$4+$M$4*$J$5+[5]FormattedData!J20^2*$J$6+$M$5*$J$7</f>
        <v>33.222856869406975</v>
      </c>
      <c r="R14" s="6">
        <f>$J$3+[5]FormattedData!K20*$J$4+$M$4*$J$5+[5]FormattedData!K20^2*$J$6+$M$5*$J$7</f>
        <v>38.991845979839447</v>
      </c>
      <c r="S14" s="6">
        <f>$J$3+[5]FormattedData!L20*$J$4+$M$4*$J$5+[5]FormattedData!L20^2*$J$6+$M$5*$J$7</f>
        <v>38.150574489946607</v>
      </c>
      <c r="T14" s="6">
        <f>$J$3+[5]FormattedData!M20*$J$4+$M$4*$J$5+[5]FormattedData!M20^2*$J$6+$M$5*$J$7</f>
        <v>41.310747100921034</v>
      </c>
      <c r="U14" s="6">
        <f>$J$3+[5]FormattedData!N20*$J$4+$M$4*$J$5+[5]FormattedData!N20^2*$J$6+$M$5*$J$7</f>
        <v>40.478986032062707</v>
      </c>
      <c r="V14" s="6">
        <f>$J$3+[5]FormattedData!O20*$J$4+$M$4*$J$5+[5]FormattedData!O20^2*$J$6+$M$5*$J$7</f>
        <v>38.150574489946607</v>
      </c>
      <c r="W14" s="5">
        <f t="shared" si="0"/>
        <v>36.957212045190921</v>
      </c>
      <c r="X14" s="4">
        <f t="shared" si="1"/>
        <v>1.0226701448118225</v>
      </c>
      <c r="Y14" s="3">
        <f t="shared" si="2"/>
        <v>29.647001107088617</v>
      </c>
      <c r="Z14" s="2">
        <f t="shared" si="3"/>
        <v>34.440526491969024</v>
      </c>
      <c r="AA14" s="3">
        <f t="shared" si="4"/>
        <v>38.150574489946607</v>
      </c>
      <c r="AB14" s="2">
        <f t="shared" si="5"/>
        <v>39.294127362069709</v>
      </c>
      <c r="AC14" s="2">
        <f t="shared" si="6"/>
        <v>41.310747100921034</v>
      </c>
      <c r="AD14" s="2">
        <f t="shared" si="7"/>
        <v>-0.82901501060426996</v>
      </c>
      <c r="AE14" s="2">
        <f t="shared" si="8"/>
        <v>-7.536670579193272E-2</v>
      </c>
    </row>
    <row r="15" spans="1:35" x14ac:dyDescent="0.2">
      <c r="B15" s="1">
        <f>[5]FormattedData!A18</f>
        <v>106</v>
      </c>
      <c r="C15" s="1" t="str">
        <f>VLOOKUP($B15,[5]TrtCodes!$B$11:I61,2)</f>
        <v>NTH</v>
      </c>
      <c r="D15" s="1">
        <f>VLOOKUP($B15,[5]TrtCodes!$B$11:J61,3)</f>
        <v>9</v>
      </c>
      <c r="E15" s="1">
        <f>VLOOKUP($B15,[5]TrtCodes!$B$11:K61,4)</f>
        <v>2</v>
      </c>
      <c r="F15" s="1">
        <f>VLOOKUP($B15,[5]TrtCodes!$B$11:L61,5)</f>
        <v>2</v>
      </c>
      <c r="G15" s="1">
        <f>VLOOKUP($B15,[5]TrtCodes!$B$11:M61,6)</f>
        <v>2</v>
      </c>
      <c r="H15" s="1">
        <f>VLOOKUP($B15,[5]TrtCodes!$B$11:N61,7)</f>
        <v>2</v>
      </c>
      <c r="I15" s="1">
        <f>[5]FormattedData!B18</f>
        <v>1</v>
      </c>
      <c r="J15" s="4">
        <f>[5]FormattedData!C18</f>
        <v>13.164</v>
      </c>
      <c r="K15" s="6">
        <f>$J$3+[5]FormattedData!D18*$J$4+$M$4*$J$5+[5]FormattedData!D18^2*$J$6+$M$5*$J$7</f>
        <v>47.841580595180474</v>
      </c>
      <c r="L15" s="6">
        <f>$J$3+[5]FormattedData!E18*$J$4+$M$4*$J$5+[5]FormattedData!E18^2*$J$6+$M$5*$J$7</f>
        <v>33.031046767568711</v>
      </c>
      <c r="M15" s="6">
        <f>$J$3+[5]FormattedData!F18*$J$4+$M$4*$J$5+[5]FormattedData!F18^2*$J$6+$M$5*$J$7</f>
        <v>51.812079602988902</v>
      </c>
      <c r="N15" s="6">
        <f>$J$3+[5]FormattedData!G18*$J$4+$M$4*$J$5+[5]FormattedData!G18^2*$J$6+$M$5*$J$7</f>
        <v>41.402953654771196</v>
      </c>
      <c r="O15" s="6">
        <f>$J$3+[5]FormattedData!H18*$J$4+$M$4*$J$5+[5]FormattedData!H18^2*$J$6+$M$5*$J$7</f>
        <v>47.484505033324702</v>
      </c>
      <c r="P15" s="6">
        <f>$J$3+[5]FormattedData!I18*$J$4+$M$4*$J$5+[5]FormattedData!I18^2*$J$6+$M$5*$J$7</f>
        <v>45.7791604389718</v>
      </c>
      <c r="Q15" s="6">
        <f>$J$3+[5]FormattedData!J18*$J$4+$M$4*$J$5+[5]FormattedData!J18^2*$J$6+$M$5*$J$7</f>
        <v>44.78488136506148</v>
      </c>
      <c r="R15" s="6">
        <f>$J$3+[5]FormattedData!K18*$J$4+$M$4*$J$5+[5]FormattedData!K18^2*$J$6+$M$5*$J$7</f>
        <v>48.286974005396743</v>
      </c>
      <c r="S15" s="6">
        <f>$J$3+[5]FormattedData!L18*$J$4+$M$4*$J$5+[5]FormattedData!L18^2*$J$6+$M$5*$J$7</f>
        <v>46.229414731050149</v>
      </c>
      <c r="T15" s="6">
        <f>$J$3+[5]FormattedData!M18*$J$4+$M$4*$J$5+[5]FormattedData!M18^2*$J$6+$M$5*$J$7</f>
        <v>46.768325019792449</v>
      </c>
      <c r="U15" s="6">
        <f>$J$3+[5]FormattedData!N18*$J$4+$M$4*$J$5+[5]FormattedData!N18^2*$J$6+$M$5*$J$7</f>
        <v>46.678612309680226</v>
      </c>
      <c r="V15" s="6">
        <f>$J$3+[5]FormattedData!O18*$J$4+$M$4*$J$5+[5]FormattedData!O18^2*$J$6+$M$5*$J$7</f>
        <v>46.857995461366741</v>
      </c>
      <c r="W15" s="5">
        <f t="shared" si="0"/>
        <v>45.579794082096129</v>
      </c>
      <c r="X15" s="4">
        <f t="shared" si="1"/>
        <v>1.3347860721835167</v>
      </c>
      <c r="Y15" s="3">
        <f t="shared" si="2"/>
        <v>33.031046767568711</v>
      </c>
      <c r="Z15" s="2">
        <f t="shared" si="3"/>
        <v>45.53059067049422</v>
      </c>
      <c r="AA15" s="3">
        <f t="shared" si="4"/>
        <v>46.723468664736338</v>
      </c>
      <c r="AB15" s="2">
        <f t="shared" si="5"/>
        <v>47.573773923788643</v>
      </c>
      <c r="AC15" s="2">
        <f t="shared" si="6"/>
        <v>51.812079602988902</v>
      </c>
      <c r="AD15" s="2">
        <f t="shared" si="7"/>
        <v>-1.9462497658704301</v>
      </c>
      <c r="AE15" s="2">
        <f t="shared" si="8"/>
        <v>5.1743936581794401</v>
      </c>
    </row>
    <row r="16" spans="1:35" x14ac:dyDescent="0.2">
      <c r="B16" s="1">
        <f>[5]FormattedData!A16</f>
        <v>107</v>
      </c>
      <c r="C16" s="1" t="str">
        <f>VLOOKUP($B16,[5]TrtCodes!$B$11:I59,2)</f>
        <v>NTL</v>
      </c>
      <c r="D16" s="1">
        <f>VLOOKUP($B16,[5]TrtCodes!$B$11:J59,3)</f>
        <v>10</v>
      </c>
      <c r="E16" s="1">
        <f>VLOOKUP($B16,[5]TrtCodes!$B$11:K59,4)</f>
        <v>2</v>
      </c>
      <c r="F16" s="1">
        <f>VLOOKUP($B16,[5]TrtCodes!$B$11:L59,5)</f>
        <v>2</v>
      </c>
      <c r="G16" s="1">
        <f>VLOOKUP($B16,[5]TrtCodes!$B$11:M59,6)</f>
        <v>1</v>
      </c>
      <c r="H16" s="1">
        <f>VLOOKUP($B16,[5]TrtCodes!$B$11:N59,7)</f>
        <v>2</v>
      </c>
      <c r="I16" s="1">
        <f>[5]FormattedData!B16</f>
        <v>1</v>
      </c>
      <c r="J16" s="4">
        <f>[5]FormattedData!C16</f>
        <v>13.14</v>
      </c>
      <c r="K16" s="6">
        <f>$J$3+[5]FormattedData!D16*$J$4+$M$4*$J$5+[5]FormattedData!D16^2*$J$6+$M$5*$J$7</f>
        <v>38.711802566716543</v>
      </c>
      <c r="L16" s="6">
        <f>$J$3+[5]FormattedData!E16*$J$4+$M$4*$J$5+[5]FormattedData!E16^2*$J$6+$M$5*$J$7</f>
        <v>46.857995461366741</v>
      </c>
      <c r="M16" s="6">
        <f>$J$3+[5]FormattedData!F16*$J$4+$M$4*$J$5+[5]FormattedData!F16^2*$J$6+$M$5*$J$7</f>
        <v>49.705131803716391</v>
      </c>
      <c r="N16" s="6">
        <f>$J$3+[5]FormattedData!G16*$J$4+$M$4*$J$5+[5]FormattedData!G16^2*$J$6+$M$5*$J$7</f>
        <v>39.922576568616918</v>
      </c>
      <c r="O16" s="6">
        <f>$J$3+[5]FormattedData!H16*$J$4+$M$4*$J$5+[5]FormattedData!H16^2*$J$6+$M$5*$J$7</f>
        <v>46.768325019792449</v>
      </c>
      <c r="P16" s="6">
        <f>$J$3+[5]FormattedData!I16*$J$4+$M$4*$J$5+[5]FormattedData!I16^2*$J$6+$M$5*$J$7</f>
        <v>45.598762842374938</v>
      </c>
      <c r="Q16" s="6">
        <f>$J$3+[5]FormattedData!J16*$J$4+$M$4*$J$5+[5]FormattedData!J16^2*$J$6+$M$5*$J$7</f>
        <v>49.793407383538955</v>
      </c>
      <c r="R16" s="6">
        <f>$J$3+[5]FormattedData!K16*$J$4+$M$4*$J$5+[5]FormattedData!K16^2*$J$6+$M$5*$J$7</f>
        <v>40.849080303601276</v>
      </c>
      <c r="S16" s="6">
        <f>$J$3+[5]FormattedData!L16*$J$4+$M$4*$J$5+[5]FormattedData!L16^2*$J$6+$M$5*$J$7</f>
        <v>54.755245540224863</v>
      </c>
      <c r="T16" s="6">
        <f>$J$3+[5]FormattedData!M16*$J$4+$M$4*$J$5+[5]FormattedData!M16^2*$J$6+$M$5*$J$7</f>
        <v>42.322694423686571</v>
      </c>
      <c r="U16" s="6">
        <f>$J$3+[5]FormattedData!N16*$J$4+$M$4*$J$5+[5]FormattedData!N16^2*$J$6+$M$5*$J$7</f>
        <v>47.841580595180474</v>
      </c>
      <c r="V16" s="6">
        <f>$J$3+[5]FormattedData!O16*$J$4+$M$4*$J$5+[5]FormattedData!O16^2*$J$6+$M$5*$J$7</f>
        <v>32.550781813559247</v>
      </c>
      <c r="W16" s="5">
        <f t="shared" si="0"/>
        <v>44.639782026864623</v>
      </c>
      <c r="X16" s="4">
        <f t="shared" si="1"/>
        <v>1.7373738403017491</v>
      </c>
      <c r="Y16" s="3">
        <f t="shared" si="2"/>
        <v>32.550781813559247</v>
      </c>
      <c r="Z16" s="2">
        <f t="shared" si="3"/>
        <v>40.617454369855189</v>
      </c>
      <c r="AA16" s="3">
        <f t="shared" si="4"/>
        <v>46.18354393108369</v>
      </c>
      <c r="AB16" s="2">
        <f t="shared" si="5"/>
        <v>48.307468397314452</v>
      </c>
      <c r="AC16" s="2">
        <f t="shared" si="6"/>
        <v>54.755245540224863</v>
      </c>
      <c r="AD16" s="2">
        <f t="shared" si="7"/>
        <v>-0.39572273008966791</v>
      </c>
      <c r="AE16" s="2">
        <f t="shared" si="8"/>
        <v>0.20723043671056907</v>
      </c>
    </row>
    <row r="17" spans="2:31" x14ac:dyDescent="0.2">
      <c r="B17" s="1">
        <f>[5]FormattedData!A14</f>
        <v>108</v>
      </c>
      <c r="C17" s="1" t="str">
        <f>VLOOKUP($B17,[5]TrtCodes!$B$11:I57,2)</f>
        <v>FTH</v>
      </c>
      <c r="D17" s="1">
        <f>VLOOKUP($B17,[5]TrtCodes!$B$11:J57,3)</f>
        <v>3</v>
      </c>
      <c r="E17" s="1">
        <f>VLOOKUP($B17,[5]TrtCodes!$B$11:K57,4)</f>
        <v>1</v>
      </c>
      <c r="F17" s="1">
        <f>VLOOKUP($B17,[5]TrtCodes!$B$11:L57,5)</f>
        <v>2</v>
      </c>
      <c r="G17" s="1">
        <f>VLOOKUP($B17,[5]TrtCodes!$B$11:M57,6)</f>
        <v>2</v>
      </c>
      <c r="H17" s="1">
        <f>VLOOKUP($B17,[5]TrtCodes!$B$11:N57,7)</f>
        <v>2</v>
      </c>
      <c r="I17" s="1">
        <f>[5]FormattedData!B14</f>
        <v>1</v>
      </c>
      <c r="J17" s="4">
        <f>[5]FormattedData!C14</f>
        <v>13.118</v>
      </c>
      <c r="K17" s="6">
        <f>$J$3+[5]FormattedData!D14*$J$4+$M$4*$J$5+[5]FormattedData!D14^2*$J$6+$M$5*$J$7</f>
        <v>55.098287947487506</v>
      </c>
      <c r="L17" s="6">
        <f>$J$3+[5]FormattedData!E14*$J$4+$M$4*$J$5+[5]FormattedData!E14^2*$J$6+$M$5*$J$7</f>
        <v>34.083910035051588</v>
      </c>
      <c r="M17" s="6">
        <f>$J$3+[5]FormattedData!F14*$J$4+$M$4*$J$5+[5]FormattedData!F14^2*$J$6+$M$5*$J$7</f>
        <v>49.793407383538955</v>
      </c>
      <c r="N17" s="6">
        <f>$J$3+[5]FormattedData!G14*$J$4+$M$4*$J$5+[5]FormattedData!G14^2*$J$6+$M$5*$J$7</f>
        <v>42.963997983920429</v>
      </c>
      <c r="O17" s="6">
        <f>$J$3+[5]FormattedData!H14*$J$4+$M$4*$J$5+[5]FormattedData!H14^2*$J$6+$M$5*$J$7</f>
        <v>47.037209538901529</v>
      </c>
      <c r="P17" s="6">
        <f>$J$3+[5]FormattedData!I14*$J$4+$M$4*$J$5+[5]FormattedData!I14^2*$J$6+$M$5*$J$7</f>
        <v>51.812079602988902</v>
      </c>
      <c r="Q17" s="6">
        <f>$J$3+[5]FormattedData!J14*$J$4+$M$4*$J$5+[5]FormattedData!J14^2*$J$6+$M$5*$J$7</f>
        <v>40.941498200141091</v>
      </c>
      <c r="R17" s="6">
        <f>$J$3+[5]FormattedData!K14*$J$4+$M$4*$J$5+[5]FormattedData!K14^2*$J$6+$M$5*$J$7</f>
        <v>56.038167413080444</v>
      </c>
      <c r="S17" s="6">
        <f>$J$3+[5]FormattedData!L14*$J$4+$M$4*$J$5+[5]FormattedData!L14^2*$J$6+$M$5*$J$7</f>
        <v>34.560793506026563</v>
      </c>
      <c r="T17" s="6">
        <f>$J$3+[5]FormattedData!M14*$J$4+$M$4*$J$5+[5]FormattedData!M14^2*$J$6+$M$5*$J$7</f>
        <v>53.808391765873282</v>
      </c>
      <c r="U17" s="6">
        <f>$J$3+[5]FormattedData!N14*$J$4+$M$4*$J$5+[5]FormattedData!N14^2*$J$6+$M$5*$J$7</f>
        <v>34.560793506026563</v>
      </c>
      <c r="V17" s="6">
        <f>$J$3+[5]FormattedData!O14*$J$4+$M$4*$J$5+[5]FormattedData!O14^2*$J$6+$M$5*$J$7</f>
        <v>52.595908149833328</v>
      </c>
      <c r="W17" s="5">
        <f t="shared" si="0"/>
        <v>46.107870419405849</v>
      </c>
      <c r="X17" s="4">
        <f t="shared" si="1"/>
        <v>2.4240537895382639</v>
      </c>
      <c r="Y17" s="3">
        <f t="shared" si="2"/>
        <v>34.083910035051588</v>
      </c>
      <c r="Z17" s="2">
        <f t="shared" si="3"/>
        <v>39.346322026612455</v>
      </c>
      <c r="AA17" s="3">
        <f t="shared" si="4"/>
        <v>48.415308461220242</v>
      </c>
      <c r="AB17" s="2">
        <f t="shared" si="5"/>
        <v>52.899029053843314</v>
      </c>
      <c r="AC17" s="2">
        <f t="shared" si="6"/>
        <v>56.038167413080444</v>
      </c>
      <c r="AD17" s="2">
        <f t="shared" si="7"/>
        <v>-0.42642725648002694</v>
      </c>
      <c r="AE17" s="2">
        <f t="shared" si="8"/>
        <v>-1.4960854857380981</v>
      </c>
    </row>
    <row r="18" spans="2:31" x14ac:dyDescent="0.2">
      <c r="B18" s="1">
        <f>[5]FormattedData!A30</f>
        <v>201</v>
      </c>
      <c r="C18" s="1" t="str">
        <f>VLOOKUP($B18,[5]TrtCodes!$B$11:I73,2)</f>
        <v>NDL</v>
      </c>
      <c r="D18" s="1">
        <f>VLOOKUP($B18,[5]TrtCodes!$B$11:J73,3)</f>
        <v>12</v>
      </c>
      <c r="E18" s="1">
        <f>VLOOKUP($B18,[5]TrtCodes!$B$11:K73,4)</f>
        <v>2</v>
      </c>
      <c r="F18" s="1">
        <f>VLOOKUP($B18,[5]TrtCodes!$B$11:L73,5)</f>
        <v>3</v>
      </c>
      <c r="G18" s="1">
        <f>VLOOKUP($B18,[5]TrtCodes!$B$11:M73,6)</f>
        <v>1</v>
      </c>
      <c r="H18" s="1">
        <f>VLOOKUP($B18,[5]TrtCodes!$B$11:N73,7)</f>
        <v>1</v>
      </c>
      <c r="I18" s="1">
        <f>[5]FormattedData!B30</f>
        <v>1</v>
      </c>
      <c r="J18" s="4">
        <f>[5]FormattedData!C30</f>
        <v>13.298999999999999</v>
      </c>
      <c r="K18" s="6">
        <f>$J$3+[5]FormattedData!D30*$J$4+$M$4*$J$5+[5]FormattedData!D30^2*$J$6+$M$5*$J$7</f>
        <v>49.793407383538955</v>
      </c>
      <c r="L18" s="6">
        <f>$J$3+[5]FormattedData!E30*$J$4+$M$4*$J$5+[5]FormattedData!E30^2*$J$6+$M$5*$J$7</f>
        <v>32.743014600776824</v>
      </c>
      <c r="M18" s="6">
        <f>$J$3+[5]FormattedData!F30*$J$4+$M$4*$J$5+[5]FormattedData!F30^2*$J$6+$M$5*$J$7</f>
        <v>40.200971508760503</v>
      </c>
      <c r="N18" s="6">
        <f>$J$3+[5]FormattedData!G30*$J$4+$M$4*$J$5+[5]FormattedData!G30^2*$J$6+$M$5*$J$7</f>
        <v>39.736768599164868</v>
      </c>
      <c r="O18" s="6">
        <f>$J$3+[5]FormattedData!H30*$J$4+$M$4*$J$5+[5]FormattedData!H30^2*$J$6+$M$5*$J$7</f>
        <v>29.939091053521889</v>
      </c>
      <c r="P18" s="6">
        <f>$J$3+[5]FormattedData!I30*$J$4+$M$4*$J$5+[5]FormattedData!I30^2*$J$6+$M$5*$J$7</f>
        <v>46.768325019792449</v>
      </c>
      <c r="Q18" s="6">
        <f>$J$3+[5]FormattedData!J30*$J$4+$M$4*$J$5+[5]FormattedData!J30^2*$J$6+$M$5*$J$7</f>
        <v>31.006832846356527</v>
      </c>
      <c r="R18" s="6">
        <f>$J$3+[5]FormattedData!K30*$J$4+$M$4*$J$5+[5]FormattedData!K30^2*$J$6+$M$5*$J$7</f>
        <v>42.506135355014472</v>
      </c>
      <c r="S18" s="6">
        <f>$J$3+[5]FormattedData!L30*$J$4+$M$4*$J$5+[5]FormattedData!L30^2*$J$6+$M$5*$J$7</f>
        <v>33.701642424588847</v>
      </c>
      <c r="T18" s="6">
        <f>$J$3+[5]FormattedData!M30*$J$4+$M$4*$J$5+[5]FormattedData!M30^2*$J$6+$M$5*$J$7</f>
        <v>39.736768599164868</v>
      </c>
      <c r="U18" s="6">
        <f>$J$3+[5]FormattedData!N30*$J$4+$M$4*$J$5+[5]FormattedData!N30^2*$J$6+$M$5*$J$7</f>
        <v>31.490479283400489</v>
      </c>
      <c r="V18" s="6">
        <f>$J$3+[5]FormattedData!O30*$J$4+$M$4*$J$5+[5]FormattedData!O30^2*$J$6+$M$5*$J$7</f>
        <v>46.409220568115984</v>
      </c>
      <c r="W18" s="5">
        <f t="shared" si="0"/>
        <v>38.66938810351639</v>
      </c>
      <c r="X18" s="4">
        <f t="shared" si="1"/>
        <v>1.9749502135314199</v>
      </c>
      <c r="Y18" s="3">
        <f t="shared" si="2"/>
        <v>29.939091053521889</v>
      </c>
      <c r="Z18" s="2">
        <f t="shared" si="3"/>
        <v>32.429880771432742</v>
      </c>
      <c r="AA18" s="3">
        <f t="shared" si="4"/>
        <v>39.736768599164868</v>
      </c>
      <c r="AB18" s="2">
        <f t="shared" si="5"/>
        <v>43.481906658289851</v>
      </c>
      <c r="AC18" s="2">
        <f t="shared" si="6"/>
        <v>49.793407383538955</v>
      </c>
      <c r="AD18" s="2">
        <f t="shared" si="7"/>
        <v>0.21050287805126069</v>
      </c>
      <c r="AE18" s="2">
        <f t="shared" si="8"/>
        <v>-1.3587663942140225</v>
      </c>
    </row>
    <row r="19" spans="2:31" x14ac:dyDescent="0.2">
      <c r="B19" s="1">
        <f>[5]FormattedData!A32</f>
        <v>202</v>
      </c>
      <c r="C19" s="1" t="str">
        <f>VLOOKUP($B19,[5]TrtCodes!$B$11:I75,2)</f>
        <v>NTH</v>
      </c>
      <c r="D19" s="1">
        <f>VLOOKUP($B19,[5]TrtCodes!$B$11:J75,3)</f>
        <v>9</v>
      </c>
      <c r="E19" s="1">
        <f>VLOOKUP($B19,[5]TrtCodes!$B$11:K75,4)</f>
        <v>2</v>
      </c>
      <c r="F19" s="1">
        <f>VLOOKUP($B19,[5]TrtCodes!$B$11:L75,5)</f>
        <v>2</v>
      </c>
      <c r="G19" s="1">
        <f>VLOOKUP($B19,[5]TrtCodes!$B$11:M75,6)</f>
        <v>2</v>
      </c>
      <c r="H19" s="1">
        <f>VLOOKUP($B19,[5]TrtCodes!$B$11:N75,7)</f>
        <v>1</v>
      </c>
      <c r="I19" s="1">
        <f>[5]FormattedData!B32</f>
        <v>1</v>
      </c>
      <c r="J19" s="4">
        <f>[5]FormattedData!C32</f>
        <v>13.319000000000001</v>
      </c>
      <c r="K19" s="6">
        <f>$J$3+[5]FormattedData!D32*$J$4+$M$4*$J$5+[5]FormattedData!D32^2*$J$6+$M$5*$J$7</f>
        <v>51.812079602988902</v>
      </c>
      <c r="L19" s="6">
        <f>$J$3+[5]FormattedData!E32*$J$4+$M$4*$J$5+[5]FormattedData!E32^2*$J$6+$M$5*$J$7</f>
        <v>38.150574489946607</v>
      </c>
      <c r="M19" s="6">
        <f>$J$3+[5]FormattedData!F32*$J$4+$M$4*$J$5+[5]FormattedData!F32^2*$J$6+$M$5*$J$7</f>
        <v>52.07373620211176</v>
      </c>
      <c r="N19" s="6">
        <f>$J$3+[5]FormattedData!G32*$J$4+$M$4*$J$5+[5]FormattedData!G32^2*$J$6+$M$5*$J$7</f>
        <v>43.785487798061496</v>
      </c>
      <c r="O19" s="6">
        <f>$J$3+[5]FormattedData!H32*$J$4+$M$4*$J$5+[5]FormattedData!H32^2*$J$6+$M$5*$J$7</f>
        <v>48.375925881826213</v>
      </c>
      <c r="P19" s="6">
        <f>$J$3+[5]FormattedData!I32*$J$4+$M$4*$J$5+[5]FormattedData!I32^2*$J$6+$M$5*$J$7</f>
        <v>43.238208338808832</v>
      </c>
      <c r="Q19" s="6">
        <f>$J$3+[5]FormattedData!J32*$J$4+$M$4*$J$5+[5]FormattedData!J32^2*$J$6+$M$5*$J$7</f>
        <v>51.986559604275406</v>
      </c>
      <c r="R19" s="6">
        <f>$J$3+[5]FormattedData!K32*$J$4+$M$4*$J$5+[5]FormattedData!K32^2*$J$6+$M$5*$J$7</f>
        <v>44.512826705607573</v>
      </c>
      <c r="S19" s="6">
        <f>$J$3+[5]FormattedData!L32*$J$4+$M$4*$J$5+[5]FormattedData!L32^2*$J$6+$M$5*$J$7</f>
        <v>49.351606799046834</v>
      </c>
      <c r="T19" s="6">
        <f>$J$3+[5]FormattedData!M32*$J$4+$M$4*$J$5+[5]FormattedData!M32^2*$J$6+$M$5*$J$7</f>
        <v>48.019864764880786</v>
      </c>
      <c r="U19" s="6">
        <f>$J$3+[5]FormattedData!N32*$J$4+$M$4*$J$5+[5]FormattedData!N32^2*$J$6+$M$5*$J$7</f>
        <v>40.478986032062707</v>
      </c>
      <c r="V19" s="6">
        <f>$J$3+[5]FormattedData!O32*$J$4+$M$4*$J$5+[5]FormattedData!O32^2*$J$6+$M$5*$J$7</f>
        <v>46.229414731050149</v>
      </c>
      <c r="W19" s="5">
        <f t="shared" si="0"/>
        <v>46.501272579222267</v>
      </c>
      <c r="X19" s="4">
        <f t="shared" si="1"/>
        <v>1.3238581155844145</v>
      </c>
      <c r="Y19" s="3">
        <f t="shared" si="2"/>
        <v>38.150574489946607</v>
      </c>
      <c r="Z19" s="2">
        <f t="shared" si="3"/>
        <v>43.648667933248333</v>
      </c>
      <c r="AA19" s="3">
        <f t="shared" si="4"/>
        <v>47.124639747965468</v>
      </c>
      <c r="AB19" s="2">
        <f t="shared" si="5"/>
        <v>49.966725000032355</v>
      </c>
      <c r="AC19" s="2">
        <f t="shared" si="6"/>
        <v>52.07373620211176</v>
      </c>
      <c r="AD19" s="2">
        <f t="shared" si="7"/>
        <v>-0.38714808982015692</v>
      </c>
      <c r="AE19" s="2">
        <f t="shared" si="8"/>
        <v>-0.78772047114756427</v>
      </c>
    </row>
    <row r="20" spans="2:31" x14ac:dyDescent="0.2">
      <c r="B20" s="1">
        <f>[5]FormattedData!A34</f>
        <v>203</v>
      </c>
      <c r="C20" s="1" t="str">
        <f>VLOOKUP($B20,[5]TrtCodes!$B$11:I77,2)</f>
        <v>FTH</v>
      </c>
      <c r="D20" s="1">
        <f>VLOOKUP($B20,[5]TrtCodes!$B$11:J77,3)</f>
        <v>3</v>
      </c>
      <c r="E20" s="1">
        <f>VLOOKUP($B20,[5]TrtCodes!$B$11:K77,4)</f>
        <v>1</v>
      </c>
      <c r="F20" s="1">
        <f>VLOOKUP($B20,[5]TrtCodes!$B$11:L77,5)</f>
        <v>2</v>
      </c>
      <c r="G20" s="1">
        <f>VLOOKUP($B20,[5]TrtCodes!$B$11:M77,6)</f>
        <v>2</v>
      </c>
      <c r="H20" s="1">
        <f>VLOOKUP($B20,[5]TrtCodes!$B$11:N77,7)</f>
        <v>1</v>
      </c>
      <c r="I20" s="1">
        <f>[5]FormattedData!B34</f>
        <v>1</v>
      </c>
      <c r="J20" s="4">
        <f>[5]FormattedData!C34</f>
        <v>13.339</v>
      </c>
      <c r="K20" s="6">
        <f>$J$3+[5]FormattedData!D34*$J$4+$M$4*$J$5+[5]FormattedData!D34^2*$J$6+$M$5*$J$7</f>
        <v>56.038167413080444</v>
      </c>
      <c r="L20" s="6">
        <f>$J$3+[5]FormattedData!E34*$J$4+$M$4*$J$5+[5]FormattedData!E34^2*$J$6+$M$5*$J$7</f>
        <v>40.571573002754242</v>
      </c>
      <c r="M20" s="6">
        <f>$J$3+[5]FormattedData!F34*$J$4+$M$4*$J$5+[5]FormattedData!F34^2*$J$6+$M$5*$J$7</f>
        <v>54.583470725365956</v>
      </c>
      <c r="N20" s="6">
        <f>$J$3+[5]FormattedData!G34*$J$4+$M$4*$J$5+[5]FormattedData!G34^2*$J$6+$M$5*$J$7</f>
        <v>39.364645437805606</v>
      </c>
      <c r="O20" s="6">
        <f>$J$3+[5]FormattedData!H34*$J$4+$M$4*$J$5+[5]FormattedData!H34^2*$J$6+$M$5*$J$7</f>
        <v>42.322694423686571</v>
      </c>
      <c r="P20" s="6">
        <f>$J$3+[5]FormattedData!I34*$J$4+$M$4*$J$5+[5]FormattedData!I34^2*$J$6+$M$5*$J$7</f>
        <v>49.351606799046834</v>
      </c>
      <c r="Q20" s="6">
        <f>$J$3+[5]FormattedData!J34*$J$4+$M$4*$J$5+[5]FormattedData!J34^2*$J$6+$M$5*$J$7</f>
        <v>41.033873828142966</v>
      </c>
      <c r="R20" s="6">
        <f>$J$3+[5]FormattedData!K34*$J$4+$M$4*$J$5+[5]FormattedData!K34^2*$J$6+$M$5*$J$7</f>
        <v>57.480648493332822</v>
      </c>
      <c r="S20" s="6">
        <f>$J$3+[5]FormattedData!L34*$J$4+$M$4*$J$5+[5]FormattedData!L34^2*$J$6+$M$5*$J$7</f>
        <v>46.678612309680226</v>
      </c>
      <c r="T20" s="6">
        <f>$J$3+[5]FormattedData!M34*$J$4+$M$4*$J$5+[5]FormattedData!M34^2*$J$6+$M$5*$J$7</f>
        <v>54.841069544847421</v>
      </c>
      <c r="U20" s="6">
        <f>$J$3+[5]FormattedData!N34*$J$4+$M$4*$J$5+[5]FormattedData!N34^2*$J$6+$M$5*$J$7</f>
        <v>35.416520835891845</v>
      </c>
      <c r="V20" s="6">
        <f>$J$3+[5]FormattedData!O34*$J$4+$M$4*$J$5+[5]FormattedData!O34^2*$J$6+$M$5*$J$7</f>
        <v>53.462813246334782</v>
      </c>
      <c r="W20" s="5">
        <f t="shared" si="0"/>
        <v>47.595474671664142</v>
      </c>
      <c r="X20" s="4">
        <f t="shared" si="1"/>
        <v>2.2104130851963655</v>
      </c>
      <c r="Y20" s="3">
        <f t="shared" si="2"/>
        <v>35.416520835891845</v>
      </c>
      <c r="Z20" s="2">
        <f t="shared" si="3"/>
        <v>40.918298621795785</v>
      </c>
      <c r="AA20" s="3">
        <f t="shared" si="4"/>
        <v>48.015109554363534</v>
      </c>
      <c r="AB20" s="2">
        <f t="shared" si="5"/>
        <v>54.647870430236324</v>
      </c>
      <c r="AC20" s="2">
        <f t="shared" si="6"/>
        <v>57.480648493332822</v>
      </c>
      <c r="AD20" s="2">
        <f t="shared" si="7"/>
        <v>-0.15641958104700537</v>
      </c>
      <c r="AE20" s="2">
        <f t="shared" si="8"/>
        <v>-1.6214627332228946</v>
      </c>
    </row>
    <row r="21" spans="2:31" x14ac:dyDescent="0.2">
      <c r="B21" s="1">
        <f>[5]FormattedData!A36</f>
        <v>204</v>
      </c>
      <c r="C21" s="1" t="str">
        <f>VLOOKUP($B21,[5]TrtCodes!$B$11:I79,2)</f>
        <v>NDH</v>
      </c>
      <c r="D21" s="1">
        <f>VLOOKUP($B21,[5]TrtCodes!$B$11:J79,3)</f>
        <v>11</v>
      </c>
      <c r="E21" s="1">
        <f>VLOOKUP($B21,[5]TrtCodes!$B$11:K79,4)</f>
        <v>2</v>
      </c>
      <c r="F21" s="1">
        <f>VLOOKUP($B21,[5]TrtCodes!$B$11:L79,5)</f>
        <v>3</v>
      </c>
      <c r="G21" s="1">
        <f>VLOOKUP($B21,[5]TrtCodes!$B$11:M79,6)</f>
        <v>2</v>
      </c>
      <c r="H21" s="1">
        <f>VLOOKUP($B21,[5]TrtCodes!$B$11:N79,7)</f>
        <v>1</v>
      </c>
      <c r="I21" s="1">
        <f>[5]FormattedData!B36</f>
        <v>1</v>
      </c>
      <c r="J21" s="4">
        <f>[5]FormattedData!C36</f>
        <v>13.358000000000001</v>
      </c>
      <c r="K21" s="6">
        <f>$J$3+[5]FormattedData!D36*$J$4+$M$4*$J$5+[5]FormattedData!D36^2*$J$6+$M$5*$J$7</f>
        <v>49.705131803716391</v>
      </c>
      <c r="L21" s="6">
        <f>$J$3+[5]FormattedData!E36*$J$4+$M$4*$J$5+[5]FormattedData!E36^2*$J$6+$M$5*$J$7</f>
        <v>36.552164773266242</v>
      </c>
      <c r="M21" s="6">
        <f>$J$3+[5]FormattedData!F36*$J$4+$M$4*$J$5+[5]FormattedData!F36^2*$J$6+$M$5*$J$7</f>
        <v>37.49388518190581</v>
      </c>
      <c r="N21" s="6">
        <f>$J$3+[5]FormattedData!G36*$J$4+$M$4*$J$5+[5]FormattedData!G36^2*$J$6+$M$5*$J$7</f>
        <v>34.179371266322441</v>
      </c>
      <c r="O21" s="6">
        <f>$J$3+[5]FormattedData!H36*$J$4+$M$4*$J$5+[5]FormattedData!H36^2*$J$6+$M$5*$J$7</f>
        <v>38.991845979839447</v>
      </c>
      <c r="P21" s="6">
        <f>$J$3+[5]FormattedData!I36*$J$4+$M$4*$J$5+[5]FormattedData!I36^2*$J$6+$M$5*$J$7</f>
        <v>41.033873828142966</v>
      </c>
      <c r="Q21" s="6">
        <f>$J$3+[5]FormattedData!J36*$J$4+$M$4*$J$5+[5]FormattedData!J36^2*$J$6+$M$5*$J$7</f>
        <v>38.805192639628771</v>
      </c>
      <c r="R21" s="6">
        <f>$J$3+[5]FormattedData!K36*$J$4+$M$4*$J$5+[5]FormattedData!K36^2*$J$6+$M$5*$J$7</f>
        <v>31.683641978452549</v>
      </c>
      <c r="S21" s="6">
        <f>$J$3+[5]FormattedData!L36*$J$4+$M$4*$J$5+[5]FormattedData!L36^2*$J$6+$M$5*$J$7</f>
        <v>40.478986032062707</v>
      </c>
      <c r="T21" s="6">
        <f>$J$3+[5]FormattedData!M36*$J$4+$M$4*$J$5+[5]FormattedData!M36^2*$J$6+$M$5*$J$7</f>
        <v>32.743014600776824</v>
      </c>
      <c r="U21" s="6">
        <f>$J$3+[5]FormattedData!N36*$J$4+$M$4*$J$5+[5]FormattedData!N36^2*$J$6+$M$5*$J$7</f>
        <v>48.731310702164748</v>
      </c>
      <c r="V21" s="6">
        <f>$J$3+[5]FormattedData!O36*$J$4+$M$4*$J$5+[5]FormattedData!O36^2*$J$6+$M$5*$J$7</f>
        <v>30.133606341787754</v>
      </c>
      <c r="W21" s="5">
        <f t="shared" si="0"/>
        <v>38.377668760672222</v>
      </c>
      <c r="X21" s="4">
        <f t="shared" si="1"/>
        <v>1.7705576028592755</v>
      </c>
      <c r="Y21" s="3">
        <f t="shared" si="2"/>
        <v>30.133606341787754</v>
      </c>
      <c r="Z21" s="2">
        <f t="shared" si="3"/>
        <v>33.820282099936037</v>
      </c>
      <c r="AA21" s="3">
        <f t="shared" si="4"/>
        <v>38.149538910767291</v>
      </c>
      <c r="AB21" s="2">
        <f t="shared" si="5"/>
        <v>40.617707981082773</v>
      </c>
      <c r="AC21" s="2">
        <f t="shared" si="6"/>
        <v>49.705131803716391</v>
      </c>
      <c r="AD21" s="2">
        <f t="shared" si="7"/>
        <v>0.69584790637298299</v>
      </c>
      <c r="AE21" s="2">
        <f t="shared" si="8"/>
        <v>-2.675032758190099E-2</v>
      </c>
    </row>
    <row r="22" spans="2:31" x14ac:dyDescent="0.2">
      <c r="B22" s="1">
        <f>[5]FormattedData!A38</f>
        <v>205</v>
      </c>
      <c r="C22" s="1" t="str">
        <f>VLOOKUP($B22,[5]TrtCodes!$B$11:I81,2)</f>
        <v>FSH</v>
      </c>
      <c r="D22" s="1">
        <f>VLOOKUP($B22,[5]TrtCodes!$B$11:J81,3)</f>
        <v>1</v>
      </c>
      <c r="E22" s="1">
        <f>VLOOKUP($B22,[5]TrtCodes!$B$11:K81,4)</f>
        <v>1</v>
      </c>
      <c r="F22" s="1">
        <f>VLOOKUP($B22,[5]TrtCodes!$B$11:L81,5)</f>
        <v>1</v>
      </c>
      <c r="G22" s="1">
        <f>VLOOKUP($B22,[5]TrtCodes!$B$11:M81,6)</f>
        <v>2</v>
      </c>
      <c r="H22" s="1">
        <f>VLOOKUP($B22,[5]TrtCodes!$B$11:N81,7)</f>
        <v>2</v>
      </c>
      <c r="I22" s="1">
        <f>[5]FormattedData!B38</f>
        <v>1</v>
      </c>
      <c r="J22" s="4">
        <f>[5]FormattedData!C38</f>
        <v>13.375999999999999</v>
      </c>
      <c r="K22" s="6">
        <f>$J$3+[5]FormattedData!D38*$J$4+$M$4*$J$5+[5]FormattedData!D38^2*$J$6+$M$5*$J$7</f>
        <v>57.480648493332822</v>
      </c>
      <c r="L22" s="6">
        <f>$J$3+[5]FormattedData!E38*$J$4+$M$4*$J$5+[5]FormattedData!E38^2*$J$6+$M$5*$J$7</f>
        <v>51.899340737901127</v>
      </c>
      <c r="M22" s="6">
        <f>$J$3+[5]FormattedData!F38*$J$4+$M$4*$J$5+[5]FormattedData!F38^2*$J$6+$M$5*$J$7</f>
        <v>55.269555539891236</v>
      </c>
      <c r="N22" s="6">
        <f>$J$3+[5]FormattedData!G38*$J$4+$M$4*$J$5+[5]FormattedData!G38^2*$J$6+$M$5*$J$7</f>
        <v>42.41443602361948</v>
      </c>
      <c r="O22" s="6">
        <f>$J$3+[5]FormattedData!H38*$J$4+$M$4*$J$5+[5]FormattedData!H38^2*$J$6+$M$5*$J$7</f>
        <v>53.635687043179892</v>
      </c>
      <c r="P22" s="6">
        <f>$J$3+[5]FormattedData!I38*$J$4+$M$4*$J$5+[5]FormattedData!I38^2*$J$6+$M$5*$J$7</f>
        <v>39.271508976120963</v>
      </c>
      <c r="Q22" s="6">
        <f>$J$3+[5]FormattedData!J38*$J$4+$M$4*$J$5+[5]FormattedData!J38^2*$J$6+$M$5*$J$7</f>
        <v>55.183942877958337</v>
      </c>
      <c r="R22" s="6">
        <f>$J$3+[5]FormattedData!K38*$J$4+$M$4*$J$5+[5]FormattedData!K38^2*$J$6+$M$5*$J$7</f>
        <v>49.969831737570289</v>
      </c>
      <c r="S22" s="6">
        <f>$J$3+[5]FormattedData!L38*$J$4+$M$4*$J$5+[5]FormattedData!L38^2*$J$6+$M$5*$J$7</f>
        <v>54.841069544847421</v>
      </c>
      <c r="T22" s="6">
        <f>$J$3+[5]FormattedData!M38*$J$4+$M$4*$J$5+[5]FormattedData!M38^2*$J$6+$M$5*$J$7</f>
        <v>34.465501348907424</v>
      </c>
      <c r="U22" s="6">
        <f>$J$3+[5]FormattedData!N38*$J$4+$M$4*$J$5+[5]FormattedData!N38^2*$J$6+$M$5*$J$7</f>
        <v>56.208505097649692</v>
      </c>
      <c r="V22" s="6">
        <f>$J$3+[5]FormattedData!O38*$J$4+$M$4*$J$5+[5]FormattedData!O38^2*$J$6+$M$5*$J$7</f>
        <v>38.52489561527829</v>
      </c>
      <c r="W22" s="5">
        <f t="shared" si="0"/>
        <v>49.097076919688078</v>
      </c>
      <c r="X22" s="4">
        <f t="shared" si="1"/>
        <v>2.3440227419612025</v>
      </c>
      <c r="Y22" s="3">
        <f t="shared" si="2"/>
        <v>34.465501348907424</v>
      </c>
      <c r="Z22" s="2">
        <f t="shared" si="3"/>
        <v>41.628704261744851</v>
      </c>
      <c r="AA22" s="3">
        <f t="shared" si="4"/>
        <v>52.767513890540513</v>
      </c>
      <c r="AB22" s="2">
        <f t="shared" si="5"/>
        <v>55.205346043441565</v>
      </c>
      <c r="AC22" s="2">
        <f t="shared" si="6"/>
        <v>57.480648493332822</v>
      </c>
      <c r="AD22" s="2">
        <f t="shared" si="7"/>
        <v>-0.78364397157113919</v>
      </c>
      <c r="AE22" s="2">
        <f t="shared" si="8"/>
        <v>-1.0778549792032703</v>
      </c>
    </row>
    <row r="23" spans="2:31" x14ac:dyDescent="0.2">
      <c r="B23" s="1">
        <f>[5]FormattedData!A40</f>
        <v>206</v>
      </c>
      <c r="C23" s="1" t="str">
        <f>VLOOKUP($B23,[5]TrtCodes!$B$11:I83,2)</f>
        <v>NSL</v>
      </c>
      <c r="D23" s="1">
        <f>VLOOKUP($B23,[5]TrtCodes!$B$11:J83,3)</f>
        <v>8</v>
      </c>
      <c r="E23" s="1">
        <f>VLOOKUP($B23,[5]TrtCodes!$B$11:K83,4)</f>
        <v>2</v>
      </c>
      <c r="F23" s="1">
        <f>VLOOKUP($B23,[5]TrtCodes!$B$11:L83,5)</f>
        <v>1</v>
      </c>
      <c r="G23" s="1">
        <f>VLOOKUP($B23,[5]TrtCodes!$B$11:M83,6)</f>
        <v>1</v>
      </c>
      <c r="H23" s="1">
        <f>VLOOKUP($B23,[5]TrtCodes!$B$11:N83,7)</f>
        <v>2</v>
      </c>
      <c r="I23" s="1">
        <f>[5]FormattedData!B40</f>
        <v>1</v>
      </c>
      <c r="J23" s="4">
        <f>[5]FormattedData!C40</f>
        <v>13.397</v>
      </c>
      <c r="K23" s="6">
        <f>$J$3+[5]FormattedData!D40*$J$4+$M$4*$J$5+[5]FormattedData!D40^2*$J$6+$M$5*$J$7</f>
        <v>55.611583502243533</v>
      </c>
      <c r="L23" s="6">
        <f>$J$3+[5]FormattedData!E40*$J$4+$M$4*$J$5+[5]FormattedData!E40^2*$J$6+$M$5*$J$7</f>
        <v>45.508500641269613</v>
      </c>
      <c r="M23" s="6">
        <f>$J$3+[5]FormattedData!F40*$J$4+$M$4*$J$5+[5]FormattedData!F40^2*$J$6+$M$5*$J$7</f>
        <v>51.112468856325663</v>
      </c>
      <c r="N23" s="6">
        <f>$J$3+[5]FormattedData!G40*$J$4+$M$4*$J$5+[5]FormattedData!G40^2*$J$6+$M$5*$J$7</f>
        <v>48.731310702164748</v>
      </c>
      <c r="O23" s="6">
        <f>$J$3+[5]FormattedData!H40*$J$4+$M$4*$J$5+[5]FormattedData!H40^2*$J$6+$M$5*$J$7</f>
        <v>49.793407383538955</v>
      </c>
      <c r="P23" s="6">
        <f>$J$3+[5]FormattedData!I40*$J$4+$M$4*$J$5+[5]FormattedData!I40^2*$J$6+$M$5*$J$7</f>
        <v>51.724776199538766</v>
      </c>
      <c r="Q23" s="6">
        <f>$J$3+[5]FormattedData!J40*$J$4+$M$4*$J$5+[5]FormattedData!J40^2*$J$6+$M$5*$J$7</f>
        <v>43.329527253362436</v>
      </c>
      <c r="R23" s="6">
        <f>$J$3+[5]FormattedData!K40*$J$4+$M$4*$J$5+[5]FormattedData!K40^2*$J$6+$M$5*$J$7</f>
        <v>48.908749501106428</v>
      </c>
      <c r="S23" s="6">
        <f>$J$3+[5]FormattedData!L40*$J$4+$M$4*$J$5+[5]FormattedData!L40^2*$J$6+$M$5*$J$7</f>
        <v>45.959388961416941</v>
      </c>
      <c r="T23" s="6">
        <f>$J$3+[5]FormattedData!M40*$J$4+$M$4*$J$5+[5]FormattedData!M40^2*$J$6+$M$5*$J$7</f>
        <v>50.67383841217837</v>
      </c>
      <c r="U23" s="6">
        <f>$J$3+[5]FormattedData!N40*$J$4+$M$4*$J$5+[5]FormattedData!N40^2*$J$6+$M$5*$J$7</f>
        <v>45.869295834463337</v>
      </c>
      <c r="V23" s="6">
        <f>$J$3+[5]FormattedData!O40*$J$4+$M$4*$J$5+[5]FormattedData!O40^2*$J$6+$M$5*$J$7</f>
        <v>51.37513990035886</v>
      </c>
      <c r="W23" s="5">
        <f t="shared" si="0"/>
        <v>49.049832262330625</v>
      </c>
      <c r="X23" s="4">
        <f t="shared" si="1"/>
        <v>0.98517288441489392</v>
      </c>
      <c r="Y23" s="3">
        <f t="shared" si="2"/>
        <v>43.329527253362436</v>
      </c>
      <c r="Z23" s="2">
        <f t="shared" si="3"/>
        <v>45.93686567967854</v>
      </c>
      <c r="AA23" s="3">
        <f t="shared" si="4"/>
        <v>49.351078442322688</v>
      </c>
      <c r="AB23" s="2">
        <f t="shared" si="5"/>
        <v>51.178136617333962</v>
      </c>
      <c r="AC23" s="2">
        <f t="shared" si="6"/>
        <v>55.611583502243533</v>
      </c>
      <c r="AD23" s="2">
        <f t="shared" si="7"/>
        <v>9.439543982656258E-2</v>
      </c>
      <c r="AE23" s="2">
        <f t="shared" si="8"/>
        <v>-0.10551762030975942</v>
      </c>
    </row>
    <row r="24" spans="2:31" x14ac:dyDescent="0.2">
      <c r="B24" s="1">
        <f>[5]FormattedData!A42</f>
        <v>207</v>
      </c>
      <c r="C24" s="1" t="str">
        <f>VLOOKUP($B24,[5]TrtCodes!$B$11:I85,2)</f>
        <v>FTL</v>
      </c>
      <c r="D24" s="1">
        <f>VLOOKUP($B24,[5]TrtCodes!$B$11:J85,3)</f>
        <v>4</v>
      </c>
      <c r="E24" s="1">
        <f>VLOOKUP($B24,[5]TrtCodes!$B$11:K85,4)</f>
        <v>1</v>
      </c>
      <c r="F24" s="1">
        <f>VLOOKUP($B24,[5]TrtCodes!$B$11:L85,5)</f>
        <v>2</v>
      </c>
      <c r="G24" s="1">
        <f>VLOOKUP($B24,[5]TrtCodes!$B$11:M85,6)</f>
        <v>1</v>
      </c>
      <c r="H24" s="1">
        <f>VLOOKUP($B24,[5]TrtCodes!$B$11:N85,7)</f>
        <v>2</v>
      </c>
      <c r="I24" s="1">
        <f>[5]FormattedData!B42</f>
        <v>1</v>
      </c>
      <c r="J24" s="4">
        <f>[5]FormattedData!C42</f>
        <v>13.417</v>
      </c>
      <c r="K24" s="6">
        <f>$J$3+[5]FormattedData!D42*$J$4+$M$4*$J$5+[5]FormattedData!D42^2*$J$6+$M$5*$J$7</f>
        <v>56.972932385583711</v>
      </c>
      <c r="L24" s="6">
        <f>$J$3+[5]FormattedData!E42*$J$4+$M$4*$J$5+[5]FormattedData!E42^2*$J$6+$M$5*$J$7</f>
        <v>36.74084700329761</v>
      </c>
      <c r="M24" s="6">
        <f>$J$3+[5]FormattedData!F42*$J$4+$M$4*$J$5+[5]FormattedData!F42^2*$J$6+$M$5*$J$7</f>
        <v>55.867660654359469</v>
      </c>
      <c r="N24" s="6">
        <f>$J$3+[5]FormattedData!G42*$J$4+$M$4*$J$5+[5]FormattedData!G42^2*$J$6+$M$5*$J$7</f>
        <v>34.083910035051588</v>
      </c>
      <c r="O24" s="6">
        <f>$J$3+[5]FormattedData!H42*$J$4+$M$4*$J$5+[5]FormattedData!H42^2*$J$6+$M$5*$J$7</f>
        <v>53.894680724413085</v>
      </c>
      <c r="P24" s="6">
        <f>$J$3+[5]FormattedData!I42*$J$4+$M$4*$J$5+[5]FormattedData!I42^2*$J$6+$M$5*$J$7</f>
        <v>37.117704240905155</v>
      </c>
      <c r="Q24" s="6">
        <f>$J$3+[5]FormattedData!J42*$J$4+$M$4*$J$5+[5]FormattedData!J42^2*$J$6+$M$5*$J$7</f>
        <v>53.116558430189365</v>
      </c>
      <c r="R24" s="6">
        <f>$J$3+[5]FormattedData!K42*$J$4+$M$4*$J$5+[5]FormattedData!K42^2*$J$6+$M$5*$J$7</f>
        <v>39.922576568616918</v>
      </c>
      <c r="S24" s="6">
        <f>$J$3+[5]FormattedData!L42*$J$4+$M$4*$J$5+[5]FormattedData!L42^2*$J$6+$M$5*$J$7</f>
        <v>48.642527899887014</v>
      </c>
      <c r="T24" s="6">
        <f>$J$3+[5]FormattedData!M42*$J$4+$M$4*$J$5+[5]FormattedData!M42^2*$J$6+$M$5*$J$7</f>
        <v>43.694380226197545</v>
      </c>
      <c r="U24" s="6">
        <f>$J$3+[5]FormattedData!N42*$J$4+$M$4*$J$5+[5]FormattedData!N42^2*$J$6+$M$5*$J$7</f>
        <v>54.669379267064372</v>
      </c>
      <c r="V24" s="6">
        <f>$J$3+[5]FormattedData!O42*$J$4+$M$4*$J$5+[5]FormattedData!O42^2*$J$6+$M$5*$J$7</f>
        <v>35.3216090956141</v>
      </c>
      <c r="W24" s="5">
        <f t="shared" si="0"/>
        <v>45.837063877598325</v>
      </c>
      <c r="X24" s="4">
        <f t="shared" si="1"/>
        <v>2.5753333920841852</v>
      </c>
      <c r="Y24" s="3">
        <f t="shared" si="2"/>
        <v>34.083910035051588</v>
      </c>
      <c r="Z24" s="2">
        <f t="shared" si="3"/>
        <v>37.023489931503271</v>
      </c>
      <c r="AA24" s="3">
        <f t="shared" si="4"/>
        <v>46.168454063042276</v>
      </c>
      <c r="AB24" s="2">
        <f t="shared" si="5"/>
        <v>54.088355360075909</v>
      </c>
      <c r="AC24" s="2">
        <f t="shared" si="6"/>
        <v>56.972932385583711</v>
      </c>
      <c r="AD24" s="2">
        <f t="shared" si="7"/>
        <v>-6.2754633134006074E-2</v>
      </c>
      <c r="AE24" s="2">
        <f t="shared" si="8"/>
        <v>-1.9473921277890129</v>
      </c>
    </row>
    <row r="25" spans="2:31" x14ac:dyDescent="0.2">
      <c r="B25" s="1">
        <f>[5]FormattedData!A44</f>
        <v>208</v>
      </c>
      <c r="C25" s="1" t="str">
        <f>VLOOKUP($B25,[5]TrtCodes!$B$11:I87,2)</f>
        <v>FSL</v>
      </c>
      <c r="D25" s="1">
        <f>VLOOKUP($B25,[5]TrtCodes!$B$11:J87,3)</f>
        <v>2</v>
      </c>
      <c r="E25" s="1">
        <f>VLOOKUP($B25,[5]TrtCodes!$B$11:K87,4)</f>
        <v>1</v>
      </c>
      <c r="F25" s="1">
        <f>VLOOKUP($B25,[5]TrtCodes!$B$11:L87,5)</f>
        <v>1</v>
      </c>
      <c r="G25" s="1">
        <f>VLOOKUP($B25,[5]TrtCodes!$B$11:M87,6)</f>
        <v>1</v>
      </c>
      <c r="H25" s="1">
        <f>VLOOKUP($B25,[5]TrtCodes!$B$11:N87,7)</f>
        <v>2</v>
      </c>
      <c r="I25" s="1">
        <f>[5]FormattedData!B44</f>
        <v>1</v>
      </c>
      <c r="J25" s="4">
        <f>[5]FormattedData!C44</f>
        <v>13.436999999999999</v>
      </c>
      <c r="K25" s="6">
        <f>$J$3+[5]FormattedData!D44*$J$4+$M$4*$J$5+[5]FormattedData!D44^2*$J$6+$M$5*$J$7</f>
        <v>56.718503706447088</v>
      </c>
      <c r="L25" s="6">
        <f>$J$3+[5]FormattedData!E44*$J$4+$M$4*$J$5+[5]FormattedData!E44^2*$J$6+$M$5*$J$7</f>
        <v>38.056888537268861</v>
      </c>
      <c r="M25" s="6">
        <f>$J$3+[5]FormattedData!F44*$J$4+$M$4*$J$5+[5]FormattedData!F44^2*$J$6+$M$5*$J$7</f>
        <v>56.463694610469084</v>
      </c>
      <c r="N25" s="6">
        <f>$J$3+[5]FormattedData!G44*$J$4+$M$4*$J$5+[5]FormattedData!G44^2*$J$6+$M$5*$J$7</f>
        <v>37.681722041178553</v>
      </c>
      <c r="O25" s="6">
        <f>$J$3+[5]FormattedData!H44*$J$4+$M$4*$J$5+[5]FormattedData!H44^2*$J$6+$M$5*$J$7</f>
        <v>55.952935167988926</v>
      </c>
      <c r="P25" s="6">
        <f>$J$3+[5]FormattedData!I44*$J$4+$M$4*$J$5+[5]FormattedData!I44^2*$J$6+$M$5*$J$7</f>
        <v>44.058556902425764</v>
      </c>
      <c r="Q25" s="6">
        <f>$J$3+[5]FormattedData!J44*$J$4+$M$4*$J$5+[5]FormattedData!J44^2*$J$6+$M$5*$J$7</f>
        <v>56.378673708067218</v>
      </c>
      <c r="R25" s="6">
        <f>$J$3+[5]FormattedData!K44*$J$4+$M$4*$J$5+[5]FormattedData!K44^2*$J$6+$M$5*$J$7</f>
        <v>44.603553860630136</v>
      </c>
      <c r="S25" s="6">
        <f>$J$3+[5]FormattedData!L44*$J$4+$M$4*$J$5+[5]FormattedData!L44^2*$J$6+$M$5*$J$7</f>
        <v>54.841069544847421</v>
      </c>
      <c r="T25" s="6">
        <f>$J$3+[5]FormattedData!M44*$J$4+$M$4*$J$5+[5]FormattedData!M44^2*$J$6+$M$5*$J$7</f>
        <v>42.689407212190645</v>
      </c>
      <c r="U25" s="6">
        <f>$J$3+[5]FormattedData!N44*$J$4+$M$4*$J$5+[5]FormattedData!N44^2*$J$6+$M$5*$J$7</f>
        <v>55.098287947487506</v>
      </c>
      <c r="V25" s="6">
        <f>$J$3+[5]FormattedData!O44*$J$4+$M$4*$J$5+[5]FormattedData!O44^2*$J$6+$M$5*$J$7</f>
        <v>42.597792417871531</v>
      </c>
      <c r="W25" s="5">
        <f t="shared" si="0"/>
        <v>48.761757138072731</v>
      </c>
      <c r="X25" s="4">
        <f t="shared" si="1"/>
        <v>2.2379471949729548</v>
      </c>
      <c r="Y25" s="3">
        <f t="shared" si="2"/>
        <v>37.681722041178553</v>
      </c>
      <c r="Z25" s="2">
        <f t="shared" si="3"/>
        <v>42.666503513610863</v>
      </c>
      <c r="AA25" s="3">
        <f t="shared" si="4"/>
        <v>49.722311702738779</v>
      </c>
      <c r="AB25" s="2">
        <f t="shared" si="5"/>
        <v>56.059369803008501</v>
      </c>
      <c r="AC25" s="2">
        <f t="shared" si="6"/>
        <v>56.718503706447088</v>
      </c>
      <c r="AD25" s="2">
        <f t="shared" si="7"/>
        <v>-0.22652791802844185</v>
      </c>
      <c r="AE25" s="2">
        <f t="shared" si="8"/>
        <v>-1.9245218978433276</v>
      </c>
    </row>
    <row r="26" spans="2:31" x14ac:dyDescent="0.2">
      <c r="B26" s="1">
        <f>[5]FormattedData!A62</f>
        <v>301</v>
      </c>
      <c r="C26" s="1" t="str">
        <f>VLOOKUP($B26,[5]TrtCodes!$B$11:I105,2)</f>
        <v>NTL</v>
      </c>
      <c r="D26" s="1">
        <f>VLOOKUP($B26,[5]TrtCodes!$B$11:J105,3)</f>
        <v>10</v>
      </c>
      <c r="E26" s="1">
        <f>VLOOKUP($B26,[5]TrtCodes!$B$11:K105,4)</f>
        <v>2</v>
      </c>
      <c r="F26" s="1">
        <f>VLOOKUP($B26,[5]TrtCodes!$B$11:L105,5)</f>
        <v>2</v>
      </c>
      <c r="G26" s="1">
        <f>VLOOKUP($B26,[5]TrtCodes!$B$11:M105,6)</f>
        <v>1</v>
      </c>
      <c r="H26" s="1">
        <f>VLOOKUP($B26,[5]TrtCodes!$B$11:N105,7)</f>
        <v>3</v>
      </c>
      <c r="I26" s="1">
        <f>[5]FormattedData!B62</f>
        <v>1</v>
      </c>
      <c r="J26" s="4">
        <f>[5]FormattedData!C62</f>
        <v>13.608000000000001</v>
      </c>
      <c r="K26" s="6">
        <f>$J$3+[5]FormattedData!D62*$J$4+$M$4*$J$5+[5]FormattedData!D62^2*$J$6+$M$5*$J$7</f>
        <v>56.038167413080444</v>
      </c>
      <c r="L26" s="6">
        <f>$J$3+[5]FormattedData!E62*$J$4+$M$4*$J$5+[5]FormattedData!E62^2*$J$6+$M$5*$J$7</f>
        <v>40.015417150536045</v>
      </c>
      <c r="M26" s="6">
        <f>$J$3+[5]FormattedData!F62*$J$4+$M$4*$J$5+[5]FormattedData!F62^2*$J$6+$M$5*$J$7</f>
        <v>53.549271279026293</v>
      </c>
      <c r="N26" s="6">
        <f>$J$3+[5]FormattedData!G62*$J$4+$M$4*$J$5+[5]FormattedData!G62^2*$J$6+$M$5*$J$7</f>
        <v>34.560793506026563</v>
      </c>
      <c r="O26" s="6">
        <f>$J$3+[5]FormattedData!H62*$J$4+$M$4*$J$5+[5]FormattedData!H62^2*$J$6+$M$5*$J$7</f>
        <v>53.116558430189365</v>
      </c>
      <c r="P26" s="6">
        <f>$J$3+[5]FormattedData!I62*$J$4+$M$4*$J$5+[5]FormattedData!I62^2*$J$6+$M$5*$J$7</f>
        <v>32.069460146101505</v>
      </c>
      <c r="Q26" s="6">
        <f>$J$3+[5]FormattedData!J62*$J$4+$M$4*$J$5+[5]FormattedData!J62^2*$J$6+$M$5*$J$7</f>
        <v>50.93714348428054</v>
      </c>
      <c r="R26" s="6">
        <f>$J$3+[5]FormattedData!K62*$J$4+$M$4*$J$5+[5]FormattedData!K62^2*$J$6+$M$5*$J$7</f>
        <v>36.07971949877404</v>
      </c>
      <c r="S26" s="6">
        <f>$J$3+[5]FormattedData!L62*$J$4+$M$4*$J$5+[5]FormattedData!L62^2*$J$6+$M$5*$J$7</f>
        <v>51.899340737901127</v>
      </c>
      <c r="T26" s="6">
        <f>$J$3+[5]FormattedData!M62*$J$4+$M$4*$J$5+[5]FormattedData!M62^2*$J$6+$M$5*$J$7</f>
        <v>33.222856869406975</v>
      </c>
      <c r="U26" s="6">
        <f>$J$3+[5]FormattedData!N62*$J$4+$M$4*$J$5+[5]FormattedData!N62^2*$J$6+$M$5*$J$7</f>
        <v>54.153293988804897</v>
      </c>
      <c r="V26" s="6">
        <f>$J$3+[5]FormattedData!O62*$J$4+$M$4*$J$5+[5]FormattedData!O62^2*$J$6+$M$5*$J$7</f>
        <v>32.262115618698395</v>
      </c>
      <c r="W26" s="5">
        <f t="shared" si="0"/>
        <v>43.992011510235507</v>
      </c>
      <c r="X26" s="4">
        <f t="shared" si="1"/>
        <v>2.8825477196936404</v>
      </c>
      <c r="Y26" s="3">
        <f t="shared" si="2"/>
        <v>32.069460146101505</v>
      </c>
      <c r="Z26" s="2">
        <f t="shared" si="3"/>
        <v>34.226309346871666</v>
      </c>
      <c r="AA26" s="3">
        <f t="shared" si="4"/>
        <v>45.476280317408296</v>
      </c>
      <c r="AB26" s="2">
        <f t="shared" si="5"/>
        <v>53.224736642398597</v>
      </c>
      <c r="AC26" s="2">
        <f t="shared" si="6"/>
        <v>56.038167413080444</v>
      </c>
      <c r="AD26" s="2">
        <f t="shared" si="7"/>
        <v>-7.6204040392684774E-2</v>
      </c>
      <c r="AE26" s="2">
        <f t="shared" si="8"/>
        <v>-2.1647009914307187</v>
      </c>
    </row>
    <row r="27" spans="2:31" x14ac:dyDescent="0.2">
      <c r="B27" s="1">
        <f>[5]FormattedData!A64</f>
        <v>302</v>
      </c>
      <c r="C27" s="1" t="str">
        <f>VLOOKUP($B27,[5]TrtCodes!$B$11:I107,2)</f>
        <v>FTL</v>
      </c>
      <c r="D27" s="1">
        <f>VLOOKUP($B27,[5]TrtCodes!$B$11:J107,3)</f>
        <v>4</v>
      </c>
      <c r="E27" s="1">
        <f>VLOOKUP($B27,[5]TrtCodes!$B$11:K107,4)</f>
        <v>1</v>
      </c>
      <c r="F27" s="1">
        <f>VLOOKUP($B27,[5]TrtCodes!$B$11:L107,5)</f>
        <v>2</v>
      </c>
      <c r="G27" s="1">
        <f>VLOOKUP($B27,[5]TrtCodes!$B$11:M107,6)</f>
        <v>1</v>
      </c>
      <c r="H27" s="1">
        <f>VLOOKUP($B27,[5]TrtCodes!$B$11:N107,7)</f>
        <v>3</v>
      </c>
      <c r="I27" s="1">
        <f>[5]FormattedData!B64</f>
        <v>1</v>
      </c>
      <c r="J27" s="4">
        <f>[5]FormattedData!C64</f>
        <v>13.625999999999999</v>
      </c>
      <c r="K27" s="6">
        <f>$J$3+[5]FormattedData!D64*$J$4+$M$4*$J$5+[5]FormattedData!D64^2*$J$6+$M$5*$J$7</f>
        <v>58.071060733897596</v>
      </c>
      <c r="L27" s="6">
        <f>$J$3+[5]FormattedData!E64*$J$4+$M$4*$J$5+[5]FormattedData!E64^2*$J$6+$M$5*$J$7</f>
        <v>38.618370225266382</v>
      </c>
      <c r="M27" s="6">
        <f>$J$3+[5]FormattedData!F64*$J$4+$M$4*$J$5+[5]FormattedData!F64^2*$J$6+$M$5*$J$7</f>
        <v>53.894680724413085</v>
      </c>
      <c r="N27" s="6">
        <f>$J$3+[5]FormattedData!G64*$J$4+$M$4*$J$5+[5]FormattedData!G64^2*$J$6+$M$5*$J$7</f>
        <v>41.218498278532941</v>
      </c>
      <c r="O27" s="6">
        <f>$J$3+[5]FormattedData!H64*$J$4+$M$4*$J$5+[5]FormattedData!H64^2*$J$6+$M$5*$J$7</f>
        <v>53.894680724413085</v>
      </c>
      <c r="P27" s="6">
        <f>$J$3+[5]FormattedData!I64*$J$4+$M$4*$J$5+[5]FormattedData!I64^2*$J$6+$M$5*$J$7</f>
        <v>39.364645437805606</v>
      </c>
      <c r="Q27" s="6">
        <f>$J$3+[5]FormattedData!J64*$J$4+$M$4*$J$5+[5]FormattedData!J64^2*$J$6+$M$5*$J$7</f>
        <v>54.583470725365956</v>
      </c>
      <c r="R27" s="6">
        <f>$J$3+[5]FormattedData!K64*$J$4+$M$4*$J$5+[5]FormattedData!K64^2*$J$6+$M$5*$J$7</f>
        <v>42.78097973797184</v>
      </c>
      <c r="S27" s="6">
        <f>$J$3+[5]FormattedData!L64*$J$4+$M$4*$J$5+[5]FormattedData!L64^2*$J$6+$M$5*$J$7</f>
        <v>48.731310702164748</v>
      </c>
      <c r="T27" s="6">
        <f>$J$3+[5]FormattedData!M64*$J$4+$M$4*$J$5+[5]FormattedData!M64^2*$J$6+$M$5*$J$7</f>
        <v>44.422057282047064</v>
      </c>
      <c r="U27" s="6">
        <f>$J$3+[5]FormattedData!N64*$J$4+$M$4*$J$5+[5]FormattedData!N64^2*$J$6+$M$5*$J$7</f>
        <v>42.872509995215104</v>
      </c>
      <c r="V27" s="6">
        <f>$J$3+[5]FormattedData!O64*$J$4+$M$4*$J$5+[5]FormattedData!O64^2*$J$6+$M$5*$J$7</f>
        <v>51.112468856325663</v>
      </c>
      <c r="W27" s="5">
        <f t="shared" si="0"/>
        <v>47.463727785284924</v>
      </c>
      <c r="X27" s="4">
        <f t="shared" si="1"/>
        <v>1.9383259479575319</v>
      </c>
      <c r="Y27" s="3">
        <f t="shared" si="2"/>
        <v>38.618370225266382</v>
      </c>
      <c r="Z27" s="2">
        <f t="shared" si="3"/>
        <v>42.390359373112119</v>
      </c>
      <c r="AA27" s="3">
        <f t="shared" si="4"/>
        <v>46.576683992105906</v>
      </c>
      <c r="AB27" s="2">
        <f t="shared" si="5"/>
        <v>53.894680724413085</v>
      </c>
      <c r="AC27" s="2">
        <f t="shared" si="6"/>
        <v>58.071060733897596</v>
      </c>
      <c r="AD27" s="2">
        <f t="shared" si="7"/>
        <v>0.15943372670295869</v>
      </c>
      <c r="AE27" s="2">
        <f t="shared" si="8"/>
        <v>-1.5692320412272136</v>
      </c>
    </row>
    <row r="28" spans="2:31" x14ac:dyDescent="0.2">
      <c r="B28" s="1">
        <f>[5]FormattedData!A66</f>
        <v>303</v>
      </c>
      <c r="C28" s="1" t="str">
        <f>VLOOKUP($B28,[5]TrtCodes!$B$11:I109,2)</f>
        <v>NSL</v>
      </c>
      <c r="D28" s="1">
        <f>VLOOKUP($B28,[5]TrtCodes!$B$11:J109,3)</f>
        <v>8</v>
      </c>
      <c r="E28" s="1">
        <f>VLOOKUP($B28,[5]TrtCodes!$B$11:K109,4)</f>
        <v>2</v>
      </c>
      <c r="F28" s="1">
        <f>VLOOKUP($B28,[5]TrtCodes!$B$11:L109,5)</f>
        <v>1</v>
      </c>
      <c r="G28" s="1">
        <f>VLOOKUP($B28,[5]TrtCodes!$B$11:M109,6)</f>
        <v>1</v>
      </c>
      <c r="H28" s="1">
        <f>VLOOKUP($B28,[5]TrtCodes!$B$11:N109,7)</f>
        <v>3</v>
      </c>
      <c r="I28" s="1">
        <f>[5]FormattedData!B66</f>
        <v>1</v>
      </c>
      <c r="J28" s="4">
        <f>[5]FormattedData!C66</f>
        <v>13.645</v>
      </c>
      <c r="K28" s="6">
        <f>$J$3+[5]FormattedData!D66*$J$4+$M$4*$J$5+[5]FormattedData!D66^2*$J$6+$M$5*$J$7</f>
        <v>55.355125933286203</v>
      </c>
      <c r="L28" s="6">
        <f>$J$3+[5]FormattedData!E66*$J$4+$M$4*$J$5+[5]FormattedData!E66^2*$J$6+$M$5*$J$7</f>
        <v>53.116558430189365</v>
      </c>
      <c r="M28" s="6">
        <f>$J$3+[5]FormattedData!F66*$J$4+$M$4*$J$5+[5]FormattedData!F66^2*$J$6+$M$5*$J$7</f>
        <v>43.329527253362436</v>
      </c>
      <c r="N28" s="6">
        <f>$J$3+[5]FormattedData!G66*$J$4+$M$4*$J$5+[5]FormattedData!G66^2*$J$6+$M$5*$J$7</f>
        <v>48.908749501106428</v>
      </c>
      <c r="O28" s="6">
        <f>$J$3+[5]FormattedData!H66*$J$4+$M$4*$J$5+[5]FormattedData!H66^2*$J$6+$M$5*$J$7</f>
        <v>49.174590685484461</v>
      </c>
      <c r="P28" s="6">
        <f>$J$3+[5]FormattedData!I66*$J$4+$M$4*$J$5+[5]FormattedData!I66^2*$J$6+$M$5*$J$7</f>
        <v>45.418196171626356</v>
      </c>
      <c r="Q28" s="6">
        <f>$J$3+[5]FormattedData!J66*$J$4+$M$4*$J$5+[5]FormattedData!J66^2*$J$6+$M$5*$J$7</f>
        <v>50.234151254582805</v>
      </c>
      <c r="R28" s="6">
        <f>$J$3+[5]FormattedData!K66*$J$4+$M$4*$J$5+[5]FormattedData!K66^2*$J$6+$M$5*$J$7</f>
        <v>40.664117704907852</v>
      </c>
      <c r="S28" s="6">
        <f>$J$3+[5]FormattedData!L66*$J$4+$M$4*$J$5+[5]FormattedData!L66^2*$J$6+$M$5*$J$7</f>
        <v>42.872509995215104</v>
      </c>
      <c r="T28" s="6">
        <f>$J$3+[5]FormattedData!M66*$J$4+$M$4*$J$5+[5]FormattedData!M66^2*$J$6+$M$5*$J$7</f>
        <v>48.553702829071341</v>
      </c>
      <c r="U28" s="6">
        <f>$J$3+[5]FormattedData!N66*$J$4+$M$4*$J$5+[5]FormattedData!N66^2*$J$6+$M$5*$J$7</f>
        <v>41.863352395953022</v>
      </c>
      <c r="V28" s="6">
        <f>$J$3+[5]FormattedData!O66*$J$4+$M$4*$J$5+[5]FormattedData!O66^2*$J$6+$M$5*$J$7</f>
        <v>52.508985163224558</v>
      </c>
      <c r="W28" s="5">
        <f t="shared" si="0"/>
        <v>47.666630609834165</v>
      </c>
      <c r="X28" s="4">
        <f t="shared" si="1"/>
        <v>1.3844966100461069</v>
      </c>
      <c r="Y28" s="3">
        <f t="shared" si="2"/>
        <v>40.664117704907852</v>
      </c>
      <c r="Z28" s="2">
        <f t="shared" si="3"/>
        <v>43.215272938825606</v>
      </c>
      <c r="AA28" s="3">
        <f t="shared" si="4"/>
        <v>48.731226165088884</v>
      </c>
      <c r="AB28" s="2">
        <f t="shared" si="5"/>
        <v>50.80285973174324</v>
      </c>
      <c r="AC28" s="2">
        <f t="shared" si="6"/>
        <v>55.355125933286203</v>
      </c>
      <c r="AD28" s="2">
        <f t="shared" si="7"/>
        <v>1.0806296892291721E-2</v>
      </c>
      <c r="AE28" s="2">
        <f t="shared" si="8"/>
        <v>-1.2265574998655642</v>
      </c>
    </row>
    <row r="29" spans="2:31" x14ac:dyDescent="0.2">
      <c r="B29" s="1">
        <f>[5]FormattedData!A68</f>
        <v>304</v>
      </c>
      <c r="C29" s="1" t="str">
        <f>VLOOKUP($B29,[5]TrtCodes!$B$11:I111,2)</f>
        <v>FSL</v>
      </c>
      <c r="D29" s="1">
        <f>VLOOKUP($B29,[5]TrtCodes!$B$11:J111,3)</f>
        <v>2</v>
      </c>
      <c r="E29" s="1">
        <f>VLOOKUP($B29,[5]TrtCodes!$B$11:K111,4)</f>
        <v>1</v>
      </c>
      <c r="F29" s="1">
        <f>VLOOKUP($B29,[5]TrtCodes!$B$11:L111,5)</f>
        <v>1</v>
      </c>
      <c r="G29" s="1">
        <f>VLOOKUP($B29,[5]TrtCodes!$B$11:M111,6)</f>
        <v>1</v>
      </c>
      <c r="H29" s="1">
        <f>VLOOKUP($B29,[5]TrtCodes!$B$11:N111,7)</f>
        <v>3</v>
      </c>
      <c r="I29" s="1">
        <f>[5]FormattedData!B68</f>
        <v>1</v>
      </c>
      <c r="J29" s="4">
        <f>[5]FormattedData!C68</f>
        <v>13.670999999999999</v>
      </c>
      <c r="K29" s="6">
        <f>$J$3+[5]FormattedData!D68*$J$4+$M$4*$J$5+[5]FormattedData!D68^2*$J$6+$M$5*$J$7</f>
        <v>55.952935167988926</v>
      </c>
      <c r="L29" s="6">
        <f>$J$3+[5]FormattedData!E68*$J$4+$M$4*$J$5+[5]FormattedData!E68^2*$J$6+$M$5*$J$7</f>
        <v>36.552164773266242</v>
      </c>
      <c r="M29" s="6">
        <f>$J$3+[5]FormattedData!F68*$J$4+$M$4*$J$5+[5]FormattedData!F68^2*$J$6+$M$5*$J$7</f>
        <v>54.669379267064372</v>
      </c>
      <c r="N29" s="6">
        <f>$J$3+[5]FormattedData!G68*$J$4+$M$4*$J$5+[5]FormattedData!G68^2*$J$6+$M$5*$J$7</f>
        <v>46.768325019792449</v>
      </c>
      <c r="O29" s="6">
        <f>$J$3+[5]FormattedData!H68*$J$4+$M$4*$J$5+[5]FormattedData!H68^2*$J$6+$M$5*$J$7</f>
        <v>55.952935167988926</v>
      </c>
      <c r="P29" s="6">
        <f>$J$3+[5]FormattedData!I68*$J$4+$M$4*$J$5+[5]FormattedData!I68^2*$J$6+$M$5*$J$7</f>
        <v>43.420803899378107</v>
      </c>
      <c r="Q29" s="6">
        <f>$J$3+[5]FormattedData!J68*$J$4+$M$4*$J$5+[5]FormattedData!J68^2*$J$6+$M$5*$J$7</f>
        <v>55.012590748478743</v>
      </c>
      <c r="R29" s="6">
        <f>$J$3+[5]FormattedData!K68*$J$4+$M$4*$J$5+[5]FormattedData!K68^2*$J$6+$M$5*$J$7</f>
        <v>37.775577068008026</v>
      </c>
      <c r="S29" s="6">
        <f>$J$3+[5]FormattedData!L68*$J$4+$M$4*$J$5+[5]FormattedData!L68^2*$J$6+$M$5*$J$7</f>
        <v>46.857995461366741</v>
      </c>
      <c r="T29" s="6">
        <f>$J$3+[5]FormattedData!M68*$J$4+$M$4*$J$5+[5]FormattedData!M68^2*$J$6+$M$5*$J$7</f>
        <v>51.37513990035886</v>
      </c>
      <c r="U29" s="6">
        <f>$J$3+[5]FormattedData!N68*$J$4+$M$4*$J$5+[5]FormattedData!N68^2*$J$6+$M$5*$J$7</f>
        <v>47.305713641169227</v>
      </c>
      <c r="V29" s="6">
        <f>$J$3+[5]FormattedData!O68*$J$4+$M$4*$J$5+[5]FormattedData!O68^2*$J$6+$M$5*$J$7</f>
        <v>45.327849433445166</v>
      </c>
      <c r="W29" s="5">
        <f t="shared" si="0"/>
        <v>48.080950795692154</v>
      </c>
      <c r="X29" s="4">
        <f t="shared" si="1"/>
        <v>1.9432726804116978</v>
      </c>
      <c r="Y29" s="3">
        <f t="shared" si="2"/>
        <v>36.552164773266242</v>
      </c>
      <c r="Z29" s="2">
        <f t="shared" si="3"/>
        <v>44.8510880499284</v>
      </c>
      <c r="AA29" s="3">
        <f t="shared" si="4"/>
        <v>47.08185455126798</v>
      </c>
      <c r="AB29" s="2">
        <f t="shared" si="5"/>
        <v>54.755182137417961</v>
      </c>
      <c r="AC29" s="2">
        <f t="shared" si="6"/>
        <v>55.952935167988926</v>
      </c>
      <c r="AD29" s="2">
        <f t="shared" si="7"/>
        <v>-0.40159551989626652</v>
      </c>
      <c r="AE29" s="2">
        <f t="shared" si="8"/>
        <v>-0.85116626970079334</v>
      </c>
    </row>
    <row r="30" spans="2:31" x14ac:dyDescent="0.2">
      <c r="B30" s="1">
        <f>[5]FormattedData!A70</f>
        <v>305</v>
      </c>
      <c r="C30" s="1" t="str">
        <f>VLOOKUP($B30,[5]TrtCodes!$B$11:I113,2)</f>
        <v>NDH</v>
      </c>
      <c r="D30" s="1">
        <f>VLOOKUP($B30,[5]TrtCodes!$B$11:J113,3)</f>
        <v>11</v>
      </c>
      <c r="E30" s="1">
        <f>VLOOKUP($B30,[5]TrtCodes!$B$11:K113,4)</f>
        <v>2</v>
      </c>
      <c r="F30" s="1">
        <f>VLOOKUP($B30,[5]TrtCodes!$B$11:L113,5)</f>
        <v>3</v>
      </c>
      <c r="G30" s="1">
        <f>VLOOKUP($B30,[5]TrtCodes!$B$11:M113,6)</f>
        <v>2</v>
      </c>
      <c r="H30" s="1">
        <f>VLOOKUP($B30,[5]TrtCodes!$B$11:N113,7)</f>
        <v>4</v>
      </c>
      <c r="I30" s="1">
        <f>[5]FormattedData!B70</f>
        <v>1</v>
      </c>
      <c r="J30" s="4">
        <f>[5]FormattedData!C70</f>
        <v>13.693</v>
      </c>
      <c r="K30" s="6">
        <f>$J$3+[5]FormattedData!D70*$J$4+$M$4*$J$5+[5]FormattedData!D70^2*$J$6+$M$5*$J$7</f>
        <v>46.139448409710347</v>
      </c>
      <c r="L30" s="6">
        <f>$J$3+[5]FormattedData!E70*$J$4+$M$4*$J$5+[5]FormattedData!E70^2*$J$6+$M$5*$J$7</f>
        <v>30.619154863038609</v>
      </c>
      <c r="M30" s="6">
        <f>$J$3+[5]FormattedData!F70*$J$4+$M$4*$J$5+[5]FormattedData!F70^2*$J$6+$M$5*$J$7</f>
        <v>48.286974005396743</v>
      </c>
      <c r="N30" s="6">
        <f>$J$3+[5]FormattedData!G70*$J$4+$M$4*$J$5+[5]FormattedData!G70^2*$J$6+$M$5*$J$7</f>
        <v>33.318698517519216</v>
      </c>
      <c r="O30" s="6">
        <f>$J$3+[5]FormattedData!H70*$J$4+$M$4*$J$5+[5]FormattedData!H70^2*$J$6+$M$5*$J$7</f>
        <v>42.597792417871531</v>
      </c>
      <c r="P30" s="6">
        <f>$J$3+[5]FormattedData!I70*$J$4+$M$4*$J$5+[5]FormattedData!I70^2*$J$6+$M$5*$J$7</f>
        <v>44.33124558994863</v>
      </c>
      <c r="Q30" s="6">
        <f>$J$3+[5]FormattedData!J70*$J$4+$M$4*$J$5+[5]FormattedData!J70^2*$J$6+$M$5*$J$7</f>
        <v>31.587081765195485</v>
      </c>
      <c r="R30" s="6">
        <f>$J$3+[5]FormattedData!K70*$J$4+$M$4*$J$5+[5]FormattedData!K70^2*$J$6+$M$5*$J$7</f>
        <v>47.216254542284588</v>
      </c>
      <c r="S30" s="6">
        <f>$J$3+[5]FormattedData!L70*$J$4+$M$4*$J$5+[5]FormattedData!L70^2*$J$6+$M$5*$J$7</f>
        <v>30.42506226015206</v>
      </c>
      <c r="T30" s="6">
        <f>$J$3+[5]FormattedData!M70*$J$4+$M$4*$J$5+[5]FormattedData!M70^2*$J$6+$M$5*$J$7</f>
        <v>42.506135355014472</v>
      </c>
      <c r="U30" s="6">
        <f>$J$3+[5]FormattedData!N70*$J$4+$M$4*$J$5+[5]FormattedData!N70^2*$J$6+$M$5*$J$7</f>
        <v>30.327952555901891</v>
      </c>
      <c r="V30" s="6">
        <f>$J$3+[5]FormattedData!O70*$J$4+$M$4*$J$5+[5]FormattedData!O70^2*$J$6+$M$5*$J$7</f>
        <v>42.597792417871531</v>
      </c>
      <c r="W30" s="5">
        <f t="shared" si="0"/>
        <v>39.162799391658758</v>
      </c>
      <c r="X30" s="4">
        <f t="shared" si="1"/>
        <v>2.0911300095446226</v>
      </c>
      <c r="Y30" s="3">
        <f t="shared" si="2"/>
        <v>30.327952555901891</v>
      </c>
      <c r="Z30" s="2">
        <f t="shared" si="3"/>
        <v>31.345100039656266</v>
      </c>
      <c r="AA30" s="3">
        <f t="shared" si="4"/>
        <v>42.551963886443005</v>
      </c>
      <c r="AB30" s="2">
        <f t="shared" si="5"/>
        <v>44.783296294889055</v>
      </c>
      <c r="AC30" s="2">
        <f t="shared" si="6"/>
        <v>48.286974005396743</v>
      </c>
      <c r="AD30" s="2">
        <f t="shared" si="7"/>
        <v>-0.21143509857651929</v>
      </c>
      <c r="AE30" s="2">
        <f t="shared" si="8"/>
        <v>-1.9540845913600609</v>
      </c>
    </row>
    <row r="31" spans="2:31" x14ac:dyDescent="0.2">
      <c r="B31" s="1">
        <f>[5]FormattedData!A72</f>
        <v>306</v>
      </c>
      <c r="C31" s="1" t="str">
        <f>VLOOKUP($B31,[5]TrtCodes!$B$11:I115,2)</f>
        <v>FTL</v>
      </c>
      <c r="D31" s="1">
        <f>VLOOKUP($B31,[5]TrtCodes!$B$11:J115,3)</f>
        <v>4</v>
      </c>
      <c r="E31" s="1">
        <f>VLOOKUP($B31,[5]TrtCodes!$B$11:K115,4)</f>
        <v>1</v>
      </c>
      <c r="F31" s="1">
        <f>VLOOKUP($B31,[5]TrtCodes!$B$11:L115,5)</f>
        <v>2</v>
      </c>
      <c r="G31" s="1">
        <f>VLOOKUP($B31,[5]TrtCodes!$B$11:M115,6)</f>
        <v>1</v>
      </c>
      <c r="H31" s="1">
        <f>VLOOKUP($B31,[5]TrtCodes!$B$11:N115,7)</f>
        <v>4</v>
      </c>
      <c r="I31" s="1">
        <f>[5]FormattedData!B72</f>
        <v>1</v>
      </c>
      <c r="J31" s="4">
        <f>[5]FormattedData!C72</f>
        <v>13.721</v>
      </c>
      <c r="K31" s="6">
        <f>$J$3+[5]FormattedData!D72*$J$4+$M$4*$J$5+[5]FormattedData!D72^2*$J$6+$M$5*$J$7</f>
        <v>56.803355534697225</v>
      </c>
      <c r="L31" s="6">
        <f>$J$3+[5]FormattedData!E72*$J$4+$M$4*$J$5+[5]FormattedData!E72^2*$J$6+$M$5*$J$7</f>
        <v>47.395130471515927</v>
      </c>
      <c r="M31" s="6">
        <f>$J$3+[5]FormattedData!F72*$J$4+$M$4*$J$5+[5]FormattedData!F72^2*$J$6+$M$5*$J$7</f>
        <v>49.26311987653461</v>
      </c>
      <c r="N31" s="6">
        <f>$J$3+[5]FormattedData!G72*$J$4+$M$4*$J$5+[5]FormattedData!G72^2*$J$6+$M$5*$J$7</f>
        <v>39.457739630952318</v>
      </c>
      <c r="O31" s="6">
        <f>$J$3+[5]FormattedData!H72*$J$4+$M$4*$J$5+[5]FormattedData!H72^2*$J$6+$M$5*$J$7</f>
        <v>54.669379267064372</v>
      </c>
      <c r="P31" s="6">
        <f>$J$3+[5]FormattedData!I72*$J$4+$M$4*$J$5+[5]FormattedData!I72^2*$J$6+$M$5*$J$7</f>
        <v>38.431378736752265</v>
      </c>
      <c r="Q31" s="6">
        <f>$J$3+[5]FormattedData!J72*$J$4+$M$4*$J$5+[5]FormattedData!J72^2*$J$6+$M$5*$J$7</f>
        <v>53.808391765873282</v>
      </c>
      <c r="R31" s="6">
        <f>$J$3+[5]FormattedData!K72*$J$4+$M$4*$J$5+[5]FormattedData!K72^2*$J$6+$M$5*$J$7</f>
        <v>39.178330245898387</v>
      </c>
      <c r="S31" s="6">
        <f>$J$3+[5]FormattedData!L72*$J$4+$M$4*$J$5+[5]FormattedData!L72^2*$J$6+$M$5*$J$7</f>
        <v>50.849417395451084</v>
      </c>
      <c r="T31" s="6">
        <f>$J$3+[5]FormattedData!M72*$J$4+$M$4*$J$5+[5]FormattedData!M72^2*$J$6+$M$5*$J$7</f>
        <v>33.988406535242795</v>
      </c>
      <c r="U31" s="6">
        <f>$J$3+[5]FormattedData!N72*$J$4+$M$4*$J$5+[5]FormattedData!N72^2*$J$6+$M$5*$J$7</f>
        <v>55.269555539891236</v>
      </c>
      <c r="V31" s="6">
        <f>$J$3+[5]FormattedData!O72*$J$4+$M$4*$J$5+[5]FormattedData!O72^2*$J$6+$M$5*$J$7</f>
        <v>36.835124715506389</v>
      </c>
      <c r="W31" s="5">
        <f t="shared" si="0"/>
        <v>46.329110809614996</v>
      </c>
      <c r="X31" s="4">
        <f t="shared" si="1"/>
        <v>2.3812261058023871</v>
      </c>
      <c r="Y31" s="3">
        <f t="shared" si="2"/>
        <v>33.988406535242795</v>
      </c>
      <c r="Z31" s="2">
        <f t="shared" si="3"/>
        <v>38.991592368611855</v>
      </c>
      <c r="AA31" s="3">
        <f t="shared" si="4"/>
        <v>48.329125174025265</v>
      </c>
      <c r="AB31" s="2">
        <f t="shared" si="5"/>
        <v>54.023638641171054</v>
      </c>
      <c r="AC31" s="2">
        <f t="shared" si="6"/>
        <v>56.803355534697225</v>
      </c>
      <c r="AD31" s="2">
        <f t="shared" si="7"/>
        <v>-0.18206530827039819</v>
      </c>
      <c r="AE31" s="2">
        <f t="shared" si="8"/>
        <v>-1.7550997261991981</v>
      </c>
    </row>
    <row r="32" spans="2:31" x14ac:dyDescent="0.2">
      <c r="B32" s="1">
        <f>[5]FormattedData!A74</f>
        <v>307</v>
      </c>
      <c r="C32" s="1" t="str">
        <f>VLOOKUP($B32,[5]TrtCodes!$B$11:I117,2)</f>
        <v>NTH</v>
      </c>
      <c r="D32" s="1">
        <f>VLOOKUP($B32,[5]TrtCodes!$B$11:J117,3)</f>
        <v>9</v>
      </c>
      <c r="E32" s="1">
        <f>VLOOKUP($B32,[5]TrtCodes!$B$11:K117,4)</f>
        <v>2</v>
      </c>
      <c r="F32" s="1">
        <f>VLOOKUP($B32,[5]TrtCodes!$B$11:L117,5)</f>
        <v>2</v>
      </c>
      <c r="G32" s="1">
        <f>VLOOKUP($B32,[5]TrtCodes!$B$11:M117,6)</f>
        <v>2</v>
      </c>
      <c r="H32" s="1">
        <f>VLOOKUP($B32,[5]TrtCodes!$B$11:N117,7)</f>
        <v>4</v>
      </c>
      <c r="I32" s="1">
        <f>[5]FormattedData!B74</f>
        <v>1</v>
      </c>
      <c r="J32" s="4">
        <f>[5]FormattedData!C74</f>
        <v>13.743</v>
      </c>
      <c r="K32" s="6">
        <f>$J$3+[5]FormattedData!D74*$J$4+$M$4*$J$5+[5]FormattedData!D74^2*$J$6+$M$5*$J$7</f>
        <v>50.849417395451084</v>
      </c>
      <c r="L32" s="6">
        <f>$J$3+[5]FormattedData!E74*$J$4+$M$4*$J$5+[5]FormattedData!E74^2*$J$6+$M$5*$J$7</f>
        <v>47.126753174862031</v>
      </c>
      <c r="M32" s="6">
        <f>$J$3+[5]FormattedData!F74*$J$4+$M$4*$J$5+[5]FormattedData!F74^2*$J$6+$M$5*$J$7</f>
        <v>42.047216012660236</v>
      </c>
      <c r="N32" s="6">
        <f>$J$3+[5]FormattedData!G74*$J$4+$M$4*$J$5+[5]FormattedData!G74^2*$J$6+$M$5*$J$7</f>
        <v>46.857995461366741</v>
      </c>
      <c r="O32" s="6">
        <f>$J$3+[5]FormattedData!H74*$J$4+$M$4*$J$5+[5]FormattedData!H74^2*$J$6+$M$5*$J$7</f>
        <v>44.422057282047064</v>
      </c>
      <c r="P32" s="6">
        <f>$J$3+[5]FormattedData!I74*$J$4+$M$4*$J$5+[5]FormattedData!I74^2*$J$6+$M$5*$J$7</f>
        <v>46.319338783852032</v>
      </c>
      <c r="Q32" s="6">
        <f>$J$3+[5]FormattedData!J74*$J$4+$M$4*$J$5+[5]FormattedData!J74^2*$J$6+$M$5*$J$7</f>
        <v>50.146087017449894</v>
      </c>
      <c r="R32" s="6">
        <f>$J$3+[5]FormattedData!K74*$J$4+$M$4*$J$5+[5]FormattedData!K74^2*$J$6+$M$5*$J$7</f>
        <v>39.457739630952318</v>
      </c>
      <c r="S32" s="6">
        <f>$J$3+[5]FormattedData!L74*$J$4+$M$4*$J$5+[5]FormattedData!L74^2*$J$6+$M$5*$J$7</f>
        <v>51.112468856325663</v>
      </c>
      <c r="T32" s="6">
        <f>$J$3+[5]FormattedData!M74*$J$4+$M$4*$J$5+[5]FormattedData!M74^2*$J$6+$M$5*$J$7</f>
        <v>42.506135355014472</v>
      </c>
      <c r="U32" s="6">
        <f>$J$3+[5]FormattedData!N74*$J$4+$M$4*$J$5+[5]FormattedData!N74^2*$J$6+$M$5*$J$7</f>
        <v>55.611583502243533</v>
      </c>
      <c r="V32" s="6">
        <f>$J$3+[5]FormattedData!O74*$J$4+$M$4*$J$5+[5]FormattedData!O74^2*$J$6+$M$5*$J$7</f>
        <v>37.305879248481347</v>
      </c>
      <c r="W32" s="5">
        <f t="shared" si="0"/>
        <v>46.146889310058867</v>
      </c>
      <c r="X32" s="4">
        <f t="shared" si="1"/>
        <v>1.5319475409895527</v>
      </c>
      <c r="Y32" s="3">
        <f t="shared" si="2"/>
        <v>37.305879248481347</v>
      </c>
      <c r="Z32" s="2">
        <f t="shared" si="3"/>
        <v>42.391405519425916</v>
      </c>
      <c r="AA32" s="3">
        <f t="shared" si="4"/>
        <v>46.588667122609387</v>
      </c>
      <c r="AB32" s="2">
        <f t="shared" si="5"/>
        <v>50.321919611950193</v>
      </c>
      <c r="AC32" s="2">
        <f t="shared" si="6"/>
        <v>55.611583502243533</v>
      </c>
      <c r="AD32" s="2">
        <f t="shared" si="7"/>
        <v>1.9637253402678242E-2</v>
      </c>
      <c r="AE32" s="2">
        <f t="shared" si="8"/>
        <v>-0.46560722934045362</v>
      </c>
    </row>
    <row r="33" spans="2:31" x14ac:dyDescent="0.2">
      <c r="B33" s="1">
        <f>[5]FormattedData!A76</f>
        <v>308</v>
      </c>
      <c r="C33" s="1" t="str">
        <f>VLOOKUP($B33,[5]TrtCodes!$B$11:I119,2)</f>
        <v>FDH</v>
      </c>
      <c r="D33" s="1">
        <f>VLOOKUP($B33,[5]TrtCodes!$B$11:J119,3)</f>
        <v>5</v>
      </c>
      <c r="E33" s="1">
        <f>VLOOKUP($B33,[5]TrtCodes!$B$11:K119,4)</f>
        <v>1</v>
      </c>
      <c r="F33" s="1">
        <f>VLOOKUP($B33,[5]TrtCodes!$B$11:L119,5)</f>
        <v>3</v>
      </c>
      <c r="G33" s="1">
        <f>VLOOKUP($B33,[5]TrtCodes!$B$11:M119,6)</f>
        <v>2</v>
      </c>
      <c r="H33" s="1">
        <f>VLOOKUP($B33,[5]TrtCodes!$B$11:N119,7)</f>
        <v>4</v>
      </c>
      <c r="I33" s="1">
        <f>[5]FormattedData!B76</f>
        <v>1</v>
      </c>
      <c r="J33" s="4">
        <f>[5]FormattedData!C76</f>
        <v>13.765000000000001</v>
      </c>
      <c r="K33" s="6">
        <f>$J$3+[5]FormattedData!D76*$J$4+$M$4*$J$5+[5]FormattedData!D76^2*$J$6+$M$5*$J$7</f>
        <v>55.440654058143245</v>
      </c>
      <c r="L33" s="6">
        <f>$J$3+[5]FormattedData!E76*$J$4+$M$4*$J$5+[5]FormattedData!E76^2*$J$6+$M$5*$J$7</f>
        <v>40.941498200141091</v>
      </c>
      <c r="M33" s="6">
        <f>$J$3+[5]FormattedData!F76*$J$4+$M$4*$J$5+[5]FormattedData!F76^2*$J$6+$M$5*$J$7</f>
        <v>50.93714348428054</v>
      </c>
      <c r="N33" s="6">
        <f>$J$3+[5]FormattedData!G76*$J$4+$M$4*$J$5+[5]FormattedData!G76^2*$J$6+$M$5*$J$7</f>
        <v>39.829693718159859</v>
      </c>
      <c r="O33" s="6">
        <f>$J$3+[5]FormattedData!H76*$J$4+$M$4*$J$5+[5]FormattedData!H76^2*$J$6+$M$5*$J$7</f>
        <v>53.635687043179892</v>
      </c>
      <c r="P33" s="6">
        <f>$J$3+[5]FormattedData!I76*$J$4+$M$4*$J$5+[5]FormattedData!I76^2*$J$6+$M$5*$J$7</f>
        <v>44.240391629312271</v>
      </c>
      <c r="Q33" s="6">
        <f>$J$3+[5]FormattedData!J76*$J$4+$M$4*$J$5+[5]FormattedData!J76^2*$J$6+$M$5*$J$7</f>
        <v>52.07373620211176</v>
      </c>
      <c r="R33" s="6">
        <f>$J$3+[5]FormattedData!K76*$J$4+$M$4*$J$5+[5]FormattedData!K76^2*$J$6+$M$5*$J$7</f>
        <v>44.422057282047064</v>
      </c>
      <c r="S33" s="6">
        <f>$J$3+[5]FormattedData!L76*$J$4+$M$4*$J$5+[5]FormattedData!L76^2*$J$6+$M$5*$J$7</f>
        <v>54.497519915129601</v>
      </c>
      <c r="T33" s="6">
        <f>$J$3+[5]FormattedData!M76*$J$4+$M$4*$J$5+[5]FormattedData!M76^2*$J$6+$M$5*$J$7</f>
        <v>37.681722041178553</v>
      </c>
      <c r="U33" s="6">
        <f>$J$3+[5]FormattedData!N76*$J$4+$M$4*$J$5+[5]FormattedData!N76^2*$J$6+$M$5*$J$7</f>
        <v>51.986559604275406</v>
      </c>
      <c r="V33" s="6">
        <f>$J$3+[5]FormattedData!O76*$J$4+$M$4*$J$5+[5]FormattedData!O76^2*$J$6+$M$5*$J$7</f>
        <v>36.268824414184714</v>
      </c>
      <c r="W33" s="5">
        <f t="shared" si="0"/>
        <v>46.829623966012001</v>
      </c>
      <c r="X33" s="4">
        <f t="shared" si="1"/>
        <v>2.0256303242715896</v>
      </c>
      <c r="Y33" s="3">
        <f t="shared" si="2"/>
        <v>36.268824414184714</v>
      </c>
      <c r="Z33" s="2">
        <f t="shared" si="3"/>
        <v>40.663547079645781</v>
      </c>
      <c r="AA33" s="3">
        <f t="shared" si="4"/>
        <v>47.679600383163802</v>
      </c>
      <c r="AB33" s="2">
        <f t="shared" si="5"/>
        <v>52.464223912378792</v>
      </c>
      <c r="AC33" s="2">
        <f t="shared" si="6"/>
        <v>55.440654058143245</v>
      </c>
      <c r="AD33" s="2">
        <f t="shared" si="7"/>
        <v>-0.24203163923132381</v>
      </c>
      <c r="AE33" s="2">
        <f t="shared" si="8"/>
        <v>-1.6952518444037104</v>
      </c>
    </row>
    <row r="34" spans="2:31" x14ac:dyDescent="0.2">
      <c r="B34" s="1">
        <f>[5]FormattedData!A92</f>
        <v>401</v>
      </c>
      <c r="C34" s="1" t="str">
        <f>VLOOKUP($B34,[5]TrtCodes!$B$11:I129,2)</f>
        <v>NSH</v>
      </c>
      <c r="D34" s="1">
        <f>VLOOKUP($B34,[5]TrtCodes!$B$11:J129,3)</f>
        <v>7</v>
      </c>
      <c r="E34" s="1">
        <f>VLOOKUP($B34,[5]TrtCodes!$B$11:K129,4)</f>
        <v>2</v>
      </c>
      <c r="F34" s="1">
        <f>VLOOKUP($B34,[5]TrtCodes!$B$11:L129,5)</f>
        <v>1</v>
      </c>
      <c r="G34" s="1">
        <f>VLOOKUP($B34,[5]TrtCodes!$B$11:M129,6)</f>
        <v>2</v>
      </c>
      <c r="H34" s="1">
        <f>VLOOKUP($B34,[5]TrtCodes!$B$11:N129,7)</f>
        <v>3</v>
      </c>
      <c r="I34" s="1">
        <f>[5]FormattedData!B92</f>
        <v>1</v>
      </c>
      <c r="J34" s="4">
        <f>[5]FormattedData!C92</f>
        <v>13.954000000000001</v>
      </c>
      <c r="K34" s="6">
        <f>$J$3+[5]FormattedData!D92*$J$4+$M$4*$J$5+[5]FormattedData!D92^2*$J$6+$M$5*$J$7</f>
        <v>53.203185537032617</v>
      </c>
      <c r="L34" s="6">
        <f>$J$3+[5]FormattedData!E92*$J$4+$M$4*$J$5+[5]FormattedData!E92^2*$J$6+$M$5*$J$7</f>
        <v>40.015417150536045</v>
      </c>
      <c r="M34" s="6">
        <f>$J$3+[5]FormattedData!F92*$J$4+$M$4*$J$5+[5]FormattedData!F92^2*$J$6+$M$5*$J$7</f>
        <v>52.769627317437063</v>
      </c>
      <c r="N34" s="6">
        <f>$J$3+[5]FormattedData!G92*$J$4+$M$4*$J$5+[5]FormattedData!G92^2*$J$6+$M$5*$J$7</f>
        <v>39.364645437805606</v>
      </c>
      <c r="O34" s="6">
        <f>$J$3+[5]FormattedData!H92*$J$4+$M$4*$J$5+[5]FormattedData!H92^2*$J$6+$M$5*$J$7</f>
        <v>51.986559604275406</v>
      </c>
      <c r="P34" s="6">
        <f>$J$3+[5]FormattedData!I92*$J$4+$M$4*$J$5+[5]FormattedData!I92^2*$J$6+$M$5*$J$7</f>
        <v>36.929360159177243</v>
      </c>
      <c r="Q34" s="6">
        <f>$J$3+[5]FormattedData!J92*$J$4+$M$4*$J$5+[5]FormattedData!J92^2*$J$6+$M$5*$J$7</f>
        <v>50.410152923234826</v>
      </c>
      <c r="R34" s="6">
        <f>$J$3+[5]FormattedData!K92*$J$4+$M$4*$J$5+[5]FormattedData!K92^2*$J$6+$M$5*$J$7</f>
        <v>48.642527899887014</v>
      </c>
      <c r="S34" s="6">
        <f>$J$3+[5]FormattedData!L92*$J$4+$M$4*$J$5+[5]FormattedData!L92^2*$J$6+$M$5*$J$7</f>
        <v>50.234151254582805</v>
      </c>
      <c r="T34" s="6">
        <f>$J$3+[5]FormattedData!M92*$J$4+$M$4*$J$5+[5]FormattedData!M92^2*$J$6+$M$5*$J$7</f>
        <v>51.637430527550684</v>
      </c>
      <c r="U34" s="6">
        <f>$J$3+[5]FormattedData!N92*$J$4+$M$4*$J$5+[5]FormattedData!N92^2*$J$6+$M$5*$J$7</f>
        <v>35.131658809444794</v>
      </c>
      <c r="V34" s="6">
        <f>$J$3+[5]FormattedData!O92*$J$4+$M$4*$J$5+[5]FormattedData!O92^2*$J$6+$M$5*$J$7</f>
        <v>52.247962592170673</v>
      </c>
      <c r="W34" s="5">
        <f t="shared" si="0"/>
        <v>46.881056601094571</v>
      </c>
      <c r="X34" s="4">
        <f t="shared" si="1"/>
        <v>1.9841342498846708</v>
      </c>
      <c r="Y34" s="3">
        <f t="shared" si="2"/>
        <v>35.131658809444794</v>
      </c>
      <c r="Z34" s="2">
        <f t="shared" si="3"/>
        <v>39.852724222353437</v>
      </c>
      <c r="AA34" s="3">
        <f t="shared" si="4"/>
        <v>50.322152088908815</v>
      </c>
      <c r="AB34" s="2">
        <f t="shared" si="5"/>
        <v>52.051910351249219</v>
      </c>
      <c r="AC34" s="2">
        <f t="shared" si="6"/>
        <v>53.203185537032617</v>
      </c>
      <c r="AD34" s="2">
        <f t="shared" si="7"/>
        <v>-0.81190111860231884</v>
      </c>
      <c r="AE34" s="2">
        <f t="shared" si="8"/>
        <v>-1.2520680279459611</v>
      </c>
    </row>
    <row r="35" spans="2:31" x14ac:dyDescent="0.2">
      <c r="B35" s="1">
        <f>[5]FormattedData!A90</f>
        <v>402</v>
      </c>
      <c r="C35" s="1" t="str">
        <f>VLOOKUP($B35,[5]TrtCodes!$B$11:I130,2)</f>
        <v>NTH</v>
      </c>
      <c r="D35" s="1">
        <f>VLOOKUP($B35,[5]TrtCodes!$B$11:J130,3)</f>
        <v>9</v>
      </c>
      <c r="E35" s="1">
        <f>VLOOKUP($B35,[5]TrtCodes!$B$11:K130,4)</f>
        <v>2</v>
      </c>
      <c r="F35" s="1">
        <f>VLOOKUP($B35,[5]TrtCodes!$B$11:L130,5)</f>
        <v>2</v>
      </c>
      <c r="G35" s="1">
        <f>VLOOKUP($B35,[5]TrtCodes!$B$11:M130,6)</f>
        <v>2</v>
      </c>
      <c r="H35" s="1">
        <f>VLOOKUP($B35,[5]TrtCodes!$B$11:N130,7)</f>
        <v>3</v>
      </c>
      <c r="I35" s="1">
        <f>[5]FormattedData!B90</f>
        <v>1</v>
      </c>
      <c r="J35" s="4">
        <f>[5]FormattedData!C90</f>
        <v>13.930999999999999</v>
      </c>
      <c r="K35" s="6">
        <f>$J$3+[5]FormattedData!D90*$J$4+$M$4*$J$5+[5]FormattedData!D90^2*$J$6+$M$5*$J$7</f>
        <v>55.526139914462355</v>
      </c>
      <c r="L35" s="6">
        <f>$J$3+[5]FormattedData!E90*$J$4+$M$4*$J$5+[5]FormattedData!E90^2*$J$6+$M$5*$J$7</f>
        <v>34.465501348907424</v>
      </c>
      <c r="M35" s="6">
        <f>$J$3+[5]FormattedData!F90*$J$4+$M$4*$J$5+[5]FormattedData!F90^2*$J$6+$M$5*$J$7</f>
        <v>54.755245540224863</v>
      </c>
      <c r="N35" s="6">
        <f>$J$3+[5]FormattedData!G90*$J$4+$M$4*$J$5+[5]FormattedData!G90^2*$J$6+$M$5*$J$7</f>
        <v>36.552164773266242</v>
      </c>
      <c r="O35" s="6">
        <f>$J$3+[5]FormattedData!H90*$J$4+$M$4*$J$5+[5]FormattedData!H90^2*$J$6+$M$5*$J$7</f>
        <v>53.72206053879556</v>
      </c>
      <c r="P35" s="6">
        <f>$J$3+[5]FormattedData!I90*$J$4+$M$4*$J$5+[5]FormattedData!I90^2*$J$6+$M$5*$J$7</f>
        <v>38.24421817408642</v>
      </c>
      <c r="Q35" s="6">
        <f>$J$3+[5]FormattedData!J90*$J$4+$M$4*$J$5+[5]FormattedData!J90^2*$J$6+$M$5*$J$7</f>
        <v>47.037209538901529</v>
      </c>
      <c r="R35" s="6">
        <f>$J$3+[5]FormattedData!K90*$J$4+$M$4*$J$5+[5]FormattedData!K90^2*$J$6+$M$5*$J$7</f>
        <v>45.598762842374938</v>
      </c>
      <c r="S35" s="6">
        <f>$J$3+[5]FormattedData!L90*$J$4+$M$4*$J$5+[5]FormattedData!L90^2*$J$6+$M$5*$J$7</f>
        <v>45.688982774942339</v>
      </c>
      <c r="T35" s="6">
        <f>$J$3+[5]FormattedData!M90*$J$4+$M$4*$J$5+[5]FormattedData!M90^2*$J$6+$M$5*$J$7</f>
        <v>47.841580595180474</v>
      </c>
      <c r="U35" s="6">
        <f>$J$3+[5]FormattedData!N90*$J$4+$M$4*$J$5+[5]FormattedData!N90^2*$J$6+$M$5*$J$7</f>
        <v>37.49388518190581</v>
      </c>
      <c r="V35" s="6">
        <f>$J$3+[5]FormattedData!O90*$J$4+$M$4*$J$5+[5]FormattedData!O90^2*$J$6+$M$5*$J$7</f>
        <v>48.019864764880786</v>
      </c>
      <c r="W35" s="5">
        <f t="shared" si="0"/>
        <v>45.412134665660723</v>
      </c>
      <c r="X35" s="4">
        <f t="shared" si="1"/>
        <v>2.1078893063581114</v>
      </c>
      <c r="Y35" s="3">
        <f t="shared" si="2"/>
        <v>34.465501348907424</v>
      </c>
      <c r="Z35" s="2">
        <f t="shared" si="3"/>
        <v>38.056634926041269</v>
      </c>
      <c r="AA35" s="3">
        <f t="shared" si="4"/>
        <v>46.363096156921934</v>
      </c>
      <c r="AB35" s="2">
        <f t="shared" si="5"/>
        <v>49.445413708359482</v>
      </c>
      <c r="AC35" s="2">
        <f t="shared" si="6"/>
        <v>55.526139914462355</v>
      </c>
      <c r="AD35" s="2">
        <f t="shared" si="7"/>
        <v>-0.11531629051276161</v>
      </c>
      <c r="AE35" s="2">
        <f t="shared" si="8"/>
        <v>-1.2600806293584075</v>
      </c>
    </row>
    <row r="36" spans="2:31" x14ac:dyDescent="0.2">
      <c r="B36" s="1">
        <f>[5]FormattedData!A88</f>
        <v>403</v>
      </c>
      <c r="C36" s="1" t="str">
        <f>VLOOKUP($B36,[5]TrtCodes!$B$11:I131,2)</f>
        <v>FDL</v>
      </c>
      <c r="D36" s="1">
        <f>VLOOKUP($B36,[5]TrtCodes!$B$11:J131,3)</f>
        <v>6</v>
      </c>
      <c r="E36" s="1">
        <f>VLOOKUP($B36,[5]TrtCodes!$B$11:K131,4)</f>
        <v>1</v>
      </c>
      <c r="F36" s="1">
        <f>VLOOKUP($B36,[5]TrtCodes!$B$11:L131,5)</f>
        <v>3</v>
      </c>
      <c r="G36" s="1">
        <f>VLOOKUP($B36,[5]TrtCodes!$B$11:M131,6)</f>
        <v>1</v>
      </c>
      <c r="H36" s="1">
        <f>VLOOKUP($B36,[5]TrtCodes!$B$11:N131,7)</f>
        <v>3</v>
      </c>
      <c r="I36" s="1">
        <f>[5]FormattedData!B88</f>
        <v>1</v>
      </c>
      <c r="J36" s="4">
        <f>[5]FormattedData!C88</f>
        <v>13.909000000000001</v>
      </c>
      <c r="K36" s="6">
        <f>$J$3+[5]FormattedData!D88*$J$4+$M$4*$J$5+[5]FormattedData!D88^2*$J$6+$M$5*$J$7</f>
        <v>54.755245540224863</v>
      </c>
      <c r="L36" s="6">
        <f>$J$3+[5]FormattedData!E88*$J$4+$M$4*$J$5+[5]FormattedData!E88^2*$J$6+$M$5*$J$7</f>
        <v>39.550791555561098</v>
      </c>
      <c r="M36" s="6">
        <f>$J$3+[5]FormattedData!F88*$J$4+$M$4*$J$5+[5]FormattedData!F88^2*$J$6+$M$5*$J$7</f>
        <v>40.200971508760503</v>
      </c>
      <c r="N36" s="6">
        <f>$J$3+[5]FormattedData!G88*$J$4+$M$4*$J$5+[5]FormattedData!G88^2*$J$6+$M$5*$J$7</f>
        <v>39.736768599164868</v>
      </c>
      <c r="O36" s="6">
        <f>$J$3+[5]FormattedData!H88*$J$4+$M$4*$J$5+[5]FormattedData!H88^2*$J$6+$M$5*$J$7</f>
        <v>38.991845979839447</v>
      </c>
      <c r="P36" s="6">
        <f>$J$3+[5]FormattedData!I88*$J$4+$M$4*$J$5+[5]FormattedData!I88^2*$J$6+$M$5*$J$7</f>
        <v>42.506135355014472</v>
      </c>
      <c r="Q36" s="6">
        <f>$J$3+[5]FormattedData!J88*$J$4+$M$4*$J$5+[5]FormattedData!J88^2*$J$6+$M$5*$J$7</f>
        <v>42.597792417871531</v>
      </c>
      <c r="R36" s="6">
        <f>$J$3+[5]FormattedData!K88*$J$4+$M$4*$J$5+[5]FormattedData!K88^2*$J$6+$M$5*$J$7</f>
        <v>49.528453838457473</v>
      </c>
      <c r="S36" s="6">
        <f>$J$3+[5]FormattedData!L88*$J$4+$M$4*$J$5+[5]FormattedData!L88^2*$J$6+$M$5*$J$7</f>
        <v>39.922576568616918</v>
      </c>
      <c r="T36" s="6">
        <f>$J$3+[5]FormattedData!M88*$J$4+$M$4*$J$5+[5]FormattedData!M88^2*$J$6+$M$5*$J$7</f>
        <v>55.952935167988926</v>
      </c>
      <c r="U36" s="6">
        <f>$J$3+[5]FormattedData!N88*$J$4+$M$4*$J$5+[5]FormattedData!N88^2*$J$6+$M$5*$J$7</f>
        <v>35.890445509211631</v>
      </c>
      <c r="V36" s="6">
        <f>$J$3+[5]FormattedData!O88*$J$4+$M$4*$J$5+[5]FormattedData!O88^2*$J$6+$M$5*$J$7</f>
        <v>53.462813246334782</v>
      </c>
      <c r="W36" s="5">
        <f t="shared" si="0"/>
        <v>44.424731273920543</v>
      </c>
      <c r="X36" s="4">
        <f t="shared" si="1"/>
        <v>2.0236569391332653</v>
      </c>
      <c r="Y36" s="3">
        <f t="shared" si="2"/>
        <v>35.890445509211631</v>
      </c>
      <c r="Z36" s="2">
        <f t="shared" si="3"/>
        <v>39.690274338263926</v>
      </c>
      <c r="AA36" s="3">
        <f t="shared" si="4"/>
        <v>41.353553431887491</v>
      </c>
      <c r="AB36" s="2">
        <f t="shared" si="5"/>
        <v>50.5120436904268</v>
      </c>
      <c r="AC36" s="2">
        <f t="shared" si="6"/>
        <v>55.952935167988926</v>
      </c>
      <c r="AD36" s="2">
        <f t="shared" si="7"/>
        <v>0.73634240395120953</v>
      </c>
      <c r="AE36" s="2">
        <f t="shared" si="8"/>
        <v>-1.1375658265373643</v>
      </c>
    </row>
    <row r="37" spans="2:31" x14ac:dyDescent="0.2">
      <c r="B37" s="1">
        <f>[5]FormattedData!A86</f>
        <v>404</v>
      </c>
      <c r="C37" s="1" t="str">
        <f>VLOOKUP($B37,[5]TrtCodes!$B$11:I129,2)</f>
        <v>FTH</v>
      </c>
      <c r="D37" s="1">
        <f>VLOOKUP($B37,[5]TrtCodes!$B$11:J129,3)</f>
        <v>3</v>
      </c>
      <c r="E37" s="1">
        <f>VLOOKUP($B37,[5]TrtCodes!$B$11:K129,4)</f>
        <v>1</v>
      </c>
      <c r="F37" s="1">
        <f>VLOOKUP($B37,[5]TrtCodes!$B$11:L129,5)</f>
        <v>2</v>
      </c>
      <c r="G37" s="1">
        <f>VLOOKUP($B37,[5]TrtCodes!$B$11:M129,6)</f>
        <v>2</v>
      </c>
      <c r="H37" s="1">
        <f>VLOOKUP($B37,[5]TrtCodes!$B$11:N129,7)</f>
        <v>3</v>
      </c>
      <c r="I37" s="1">
        <f>[5]FormattedData!B86</f>
        <v>1</v>
      </c>
      <c r="J37" s="4">
        <f>[5]FormattedData!C86</f>
        <v>13.884</v>
      </c>
      <c r="K37" s="6">
        <f>$J$3+[5]FormattedData!D86*$J$4+$M$4*$J$5+[5]FormattedData!D86^2*$J$6+$M$5*$J$7</f>
        <v>56.803355534697225</v>
      </c>
      <c r="L37" s="6">
        <f>$J$3+[5]FormattedData!E86*$J$4+$M$4*$J$5+[5]FormattedData!E86^2*$J$6+$M$5*$J$7</f>
        <v>34.179371266322441</v>
      </c>
      <c r="M37" s="6">
        <f>$J$3+[5]FormattedData!F86*$J$4+$M$4*$J$5+[5]FormattedData!F86^2*$J$6+$M$5*$J$7</f>
        <v>51.899340737901127</v>
      </c>
      <c r="N37" s="6">
        <f>$J$3+[5]FormattedData!G86*$J$4+$M$4*$J$5+[5]FormattedData!G86^2*$J$6+$M$5*$J$7</f>
        <v>41.587239956857715</v>
      </c>
      <c r="O37" s="6">
        <f>$J$3+[5]FormattedData!H86*$J$4+$M$4*$J$5+[5]FormattedData!H86^2*$J$6+$M$5*$J$7</f>
        <v>46.139448409710347</v>
      </c>
      <c r="P37" s="6">
        <f>$J$3+[5]FormattedData!I86*$J$4+$M$4*$J$5+[5]FormattedData!I86^2*$J$6+$M$5*$J$7</f>
        <v>49.969831737570289</v>
      </c>
      <c r="Q37" s="6">
        <f>$J$3+[5]FormattedData!J86*$J$4+$M$4*$J$5+[5]FormattedData!J86^2*$J$6+$M$5*$J$7</f>
        <v>40.200971508760503</v>
      </c>
      <c r="R37" s="6">
        <f>$J$3+[5]FormattedData!K86*$J$4+$M$4*$J$5+[5]FormattedData!K86^2*$J$6+$M$5*$J$7</f>
        <v>56.718503706447088</v>
      </c>
      <c r="S37" s="6">
        <f>$J$3+[5]FormattedData!L86*$J$4+$M$4*$J$5+[5]FormattedData!L86^2*$J$6+$M$5*$J$7</f>
        <v>35.226655086798417</v>
      </c>
      <c r="T37" s="6">
        <f>$J$3+[5]FormattedData!M86*$J$4+$M$4*$J$5+[5]FormattedData!M86^2*$J$6+$M$5*$J$7</f>
        <v>54.497519915129601</v>
      </c>
      <c r="U37" s="6">
        <f>$J$3+[5]FormattedData!N86*$J$4+$M$4*$J$5+[5]FormattedData!N86^2*$J$6+$M$5*$J$7</f>
        <v>35.226655086798417</v>
      </c>
      <c r="V37" s="6">
        <f>$J$3+[5]FormattedData!O86*$J$4+$M$4*$J$5+[5]FormattedData!O86^2*$J$6+$M$5*$J$7</f>
        <v>56.208505097649692</v>
      </c>
      <c r="W37" s="5">
        <f t="shared" si="0"/>
        <v>46.554783170386912</v>
      </c>
      <c r="X37" s="4">
        <f t="shared" si="1"/>
        <v>2.5817929225347629</v>
      </c>
      <c r="Y37" s="3">
        <f t="shared" si="2"/>
        <v>34.179371266322441</v>
      </c>
      <c r="Z37" s="2">
        <f t="shared" si="3"/>
        <v>38.957392403269978</v>
      </c>
      <c r="AA37" s="3">
        <f t="shared" si="4"/>
        <v>48.054640073640314</v>
      </c>
      <c r="AB37" s="2">
        <f t="shared" si="5"/>
        <v>54.925266210759624</v>
      </c>
      <c r="AC37" s="2">
        <f t="shared" si="6"/>
        <v>56.803355534697225</v>
      </c>
      <c r="AD37" s="2">
        <f t="shared" si="7"/>
        <v>-0.22298439204409057</v>
      </c>
      <c r="AE37" s="2">
        <f t="shared" si="8"/>
        <v>-1.7194794208878537</v>
      </c>
    </row>
    <row r="38" spans="2:31" x14ac:dyDescent="0.2">
      <c r="B38" s="1">
        <f>[5]FormattedData!A84</f>
        <v>405</v>
      </c>
      <c r="C38" s="1" t="str">
        <f>VLOOKUP($B38,[5]TrtCodes!$B$11:I127,2)</f>
        <v>FDL</v>
      </c>
      <c r="D38" s="1">
        <f>VLOOKUP($B38,[5]TrtCodes!$B$11:J127,3)</f>
        <v>6</v>
      </c>
      <c r="E38" s="1">
        <f>VLOOKUP($B38,[5]TrtCodes!$B$11:K127,4)</f>
        <v>1</v>
      </c>
      <c r="F38" s="1">
        <f>VLOOKUP($B38,[5]TrtCodes!$B$11:L127,5)</f>
        <v>3</v>
      </c>
      <c r="G38" s="1">
        <f>VLOOKUP($B38,[5]TrtCodes!$B$11:M127,6)</f>
        <v>1</v>
      </c>
      <c r="H38" s="1">
        <f>VLOOKUP($B38,[5]TrtCodes!$B$11:N127,7)</f>
        <v>4</v>
      </c>
      <c r="I38" s="1">
        <f>[5]FormattedData!B84</f>
        <v>1</v>
      </c>
      <c r="J38" s="4">
        <f>[5]FormattedData!C84</f>
        <v>13.862</v>
      </c>
      <c r="K38" s="6">
        <f>$J$3+[5]FormattedData!D84*$J$4+$M$4*$J$5+[5]FormattedData!D84^2*$J$6+$M$5*$J$7</f>
        <v>54.497519915129601</v>
      </c>
      <c r="L38" s="6">
        <f>$J$3+[5]FormattedData!E84*$J$4+$M$4*$J$5+[5]FormattedData!E84^2*$J$6+$M$5*$J$7</f>
        <v>35.226655086798417</v>
      </c>
      <c r="M38" s="6">
        <f>$J$3+[5]FormattedData!F84*$J$4+$M$4*$J$5+[5]FormattedData!F84^2*$J$6+$M$5*$J$7</f>
        <v>54.926851280932041</v>
      </c>
      <c r="N38" s="6">
        <f>$J$3+[5]FormattedData!G84*$J$4+$M$4*$J$5+[5]FormattedData!G84^2*$J$6+$M$5*$J$7</f>
        <v>40.756620138523523</v>
      </c>
      <c r="O38" s="6">
        <f>$J$3+[5]FormattedData!H84*$J$4+$M$4*$J$5+[5]FormattedData!H84^2*$J$6+$M$5*$J$7</f>
        <v>36.45776025544366</v>
      </c>
      <c r="P38" s="6">
        <f>$J$3+[5]FormattedData!I84*$J$4+$M$4*$J$5+[5]FormattedData!I84^2*$J$6+$M$5*$J$7</f>
        <v>50.057980511779057</v>
      </c>
      <c r="Q38" s="6">
        <f>$J$3+[5]FormattedData!J84*$J$4+$M$4*$J$5+[5]FormattedData!J84^2*$J$6+$M$5*$J$7</f>
        <v>33.126972952756809</v>
      </c>
      <c r="R38" s="6">
        <f>$J$3+[5]FormattedData!K84*$J$4+$M$4*$J$5+[5]FormattedData!K84^2*$J$6+$M$5*$J$7</f>
        <v>51.812079602988902</v>
      </c>
      <c r="S38" s="6">
        <f>$J$3+[5]FormattedData!L84*$J$4+$M$4*$J$5+[5]FormattedData!L84^2*$J$6+$M$5*$J$7</f>
        <v>35.226655086798417</v>
      </c>
      <c r="T38" s="6">
        <f>$J$3+[5]FormattedData!M84*$J$4+$M$4*$J$5+[5]FormattedData!M84^2*$J$6+$M$5*$J$7</f>
        <v>52.508985163224558</v>
      </c>
      <c r="U38" s="6">
        <f>$J$3+[5]FormattedData!N84*$J$4+$M$4*$J$5+[5]FormattedData!N84^2*$J$6+$M$5*$J$7</f>
        <v>38.337819589688308</v>
      </c>
      <c r="V38" s="6">
        <f>$J$3+[5]FormattedData!O84*$J$4+$M$4*$J$5+[5]FormattedData!O84^2*$J$6+$M$5*$J$7</f>
        <v>42.78097973797184</v>
      </c>
      <c r="W38" s="5">
        <f t="shared" si="0"/>
        <v>43.809739943502933</v>
      </c>
      <c r="X38" s="4">
        <f t="shared" si="1"/>
        <v>2.4190018454242574</v>
      </c>
      <c r="Y38" s="3">
        <f t="shared" si="2"/>
        <v>33.126972952756809</v>
      </c>
      <c r="Z38" s="2">
        <f t="shared" si="3"/>
        <v>36.149983963282352</v>
      </c>
      <c r="AA38" s="3">
        <f t="shared" si="4"/>
        <v>41.768799938247682</v>
      </c>
      <c r="AB38" s="2">
        <f t="shared" si="5"/>
        <v>51.986305993047814</v>
      </c>
      <c r="AC38" s="2">
        <f t="shared" si="6"/>
        <v>54.926851280932041</v>
      </c>
      <c r="AD38" s="2">
        <f t="shared" si="7"/>
        <v>0.17334891082764001</v>
      </c>
      <c r="AE38" s="2">
        <f t="shared" si="8"/>
        <v>-1.8774717217603247</v>
      </c>
    </row>
    <row r="39" spans="2:31" x14ac:dyDescent="0.2">
      <c r="B39" s="1">
        <f>[5]FormattedData!A82</f>
        <v>406</v>
      </c>
      <c r="C39" s="1" t="str">
        <f>VLOOKUP($B39,[5]TrtCodes!$B$11:I125,2)</f>
        <v>FTH</v>
      </c>
      <c r="D39" s="1">
        <f>VLOOKUP($B39,[5]TrtCodes!$B$11:J125,3)</f>
        <v>3</v>
      </c>
      <c r="E39" s="1">
        <f>VLOOKUP($B39,[5]TrtCodes!$B$11:K125,4)</f>
        <v>1</v>
      </c>
      <c r="F39" s="1">
        <f>VLOOKUP($B39,[5]TrtCodes!$B$11:L125,5)</f>
        <v>2</v>
      </c>
      <c r="G39" s="1">
        <f>VLOOKUP($B39,[5]TrtCodes!$B$11:M125,6)</f>
        <v>2</v>
      </c>
      <c r="H39" s="1">
        <f>VLOOKUP($B39,[5]TrtCodes!$B$11:N125,7)</f>
        <v>4</v>
      </c>
      <c r="I39" s="1">
        <f>[5]FormattedData!B82</f>
        <v>1</v>
      </c>
      <c r="J39" s="4">
        <f>[5]FormattedData!C82</f>
        <v>13.837999999999999</v>
      </c>
      <c r="K39" s="6">
        <f>$J$3+[5]FormattedData!D82*$J$4+$M$4*$J$5+[5]FormattedData!D82^2*$J$6+$M$5*$J$7</f>
        <v>57.902582864997314</v>
      </c>
      <c r="L39" s="6">
        <f>$J$3+[5]FormattedData!E82*$J$4+$M$4*$J$5+[5]FormattedData!E82^2*$J$6+$M$5*$J$7</f>
        <v>44.603553860630136</v>
      </c>
      <c r="M39" s="6">
        <f>$J$3+[5]FormattedData!F82*$J$4+$M$4*$J$5+[5]FormattedData!F82^2*$J$6+$M$5*$J$7</f>
        <v>54.411526836355328</v>
      </c>
      <c r="N39" s="6">
        <f>$J$3+[5]FormattedData!G82*$J$4+$M$4*$J$5+[5]FormattedData!G82^2*$J$6+$M$5*$J$7</f>
        <v>34.846416366156376</v>
      </c>
      <c r="O39" s="6">
        <f>$J$3+[5]FormattedData!H82*$J$4+$M$4*$J$5+[5]FormattedData!H82^2*$J$6+$M$5*$J$7</f>
        <v>53.549271279026293</v>
      </c>
      <c r="P39" s="6">
        <f>$J$3+[5]FormattedData!I82*$J$4+$M$4*$J$5+[5]FormattedData!I82^2*$J$6+$M$5*$J$7</f>
        <v>38.056888537268861</v>
      </c>
      <c r="Q39" s="6">
        <f>$J$3+[5]FormattedData!J82*$J$4+$M$4*$J$5+[5]FormattedData!J82^2*$J$6+$M$5*$J$7</f>
        <v>50.585985517735118</v>
      </c>
      <c r="R39" s="6">
        <f>$J$3+[5]FormattedData!K82*$J$4+$M$4*$J$5+[5]FormattedData!K82^2*$J$6+$M$5*$J$7</f>
        <v>46.499060083841989</v>
      </c>
      <c r="S39" s="6">
        <f>$J$3+[5]FormattedData!L82*$J$4+$M$4*$J$5+[5]FormattedData!L82^2*$J$6+$M$5*$J$7</f>
        <v>50.410152923234826</v>
      </c>
      <c r="T39" s="6">
        <f>$J$3+[5]FormattedData!M82*$J$4+$M$4*$J$5+[5]FormattedData!M82^2*$J$6+$M$5*$J$7</f>
        <v>39.085109247137879</v>
      </c>
      <c r="U39" s="6">
        <f>$J$3+[5]FormattedData!N82*$J$4+$M$4*$J$5+[5]FormattedData!N82^2*$J$6+$M$5*$J$7</f>
        <v>50.761649038083696</v>
      </c>
      <c r="V39" s="6">
        <f>$J$3+[5]FormattedData!O82*$J$4+$M$4*$J$5+[5]FormattedData!O82^2*$J$6+$M$5*$J$7</f>
        <v>44.058556902425764</v>
      </c>
      <c r="W39" s="5">
        <f t="shared" si="0"/>
        <v>47.064229454741131</v>
      </c>
      <c r="X39" s="4">
        <f t="shared" si="1"/>
        <v>2.0601913098304063</v>
      </c>
      <c r="Y39" s="3">
        <f t="shared" si="2"/>
        <v>34.846416366156376</v>
      </c>
      <c r="Z39" s="2">
        <f t="shared" si="3"/>
        <v>42.815194988603793</v>
      </c>
      <c r="AA39" s="3">
        <f t="shared" si="4"/>
        <v>48.454606503538407</v>
      </c>
      <c r="AB39" s="2">
        <f t="shared" si="5"/>
        <v>51.458554598319346</v>
      </c>
      <c r="AC39" s="2">
        <f t="shared" si="6"/>
        <v>57.902582864997314</v>
      </c>
      <c r="AD39" s="2">
        <f t="shared" si="7"/>
        <v>-0.30930523489803086</v>
      </c>
      <c r="AE39" s="2">
        <f t="shared" si="8"/>
        <v>-0.87558742081670893</v>
      </c>
    </row>
    <row r="40" spans="2:31" x14ac:dyDescent="0.2">
      <c r="B40" s="1">
        <f>[5]FormattedData!A80</f>
        <v>407</v>
      </c>
      <c r="C40" s="1" t="str">
        <f>VLOOKUP($B40,[5]TrtCodes!$B$11:I123,2)</f>
        <v>NSH</v>
      </c>
      <c r="D40" s="1">
        <f>VLOOKUP($B40,[5]TrtCodes!$B$11:J123,3)</f>
        <v>7</v>
      </c>
      <c r="E40" s="1">
        <f>VLOOKUP($B40,[5]TrtCodes!$B$11:K123,4)</f>
        <v>2</v>
      </c>
      <c r="F40" s="1">
        <f>VLOOKUP($B40,[5]TrtCodes!$B$11:L123,5)</f>
        <v>1</v>
      </c>
      <c r="G40" s="1">
        <f>VLOOKUP($B40,[5]TrtCodes!$B$11:M123,6)</f>
        <v>2</v>
      </c>
      <c r="H40" s="1">
        <f>VLOOKUP($B40,[5]TrtCodes!$B$11:N123,7)</f>
        <v>4</v>
      </c>
      <c r="I40" s="1">
        <f>[5]FormattedData!B80</f>
        <v>1</v>
      </c>
      <c r="J40" s="4">
        <f>[5]FormattedData!C80</f>
        <v>13.815</v>
      </c>
      <c r="K40" s="6">
        <f>$J$3+[5]FormattedData!D80*$J$4+$M$4*$J$5+[5]FormattedData!D80^2*$J$6+$M$5*$J$7</f>
        <v>52.247962592170673</v>
      </c>
      <c r="L40" s="6">
        <f>$J$3+[5]FormattedData!E80*$J$4+$M$4*$J$5+[5]FormattedData!E80^2*$J$6+$M$5*$J$7</f>
        <v>39.736768599164868</v>
      </c>
      <c r="M40" s="6">
        <f>$J$3+[5]FormattedData!F80*$J$4+$M$4*$J$5+[5]FormattedData!F80^2*$J$6+$M$5*$J$7</f>
        <v>52.16087053141019</v>
      </c>
      <c r="N40" s="6">
        <f>$J$3+[5]FormattedData!G80*$J$4+$M$4*$J$5+[5]FormattedData!G80^2*$J$6+$M$5*$J$7</f>
        <v>43.055443704087828</v>
      </c>
      <c r="O40" s="6">
        <f>$J$3+[5]FormattedData!H80*$J$4+$M$4*$J$5+[5]FormattedData!H80^2*$J$6+$M$5*$J$7</f>
        <v>46.678612309680226</v>
      </c>
      <c r="P40" s="6">
        <f>$J$3+[5]FormattedData!I80*$J$4+$M$4*$J$5+[5]FormattedData!I80^2*$J$6+$M$5*$J$7</f>
        <v>51.20006813954133</v>
      </c>
      <c r="Q40" s="6">
        <f>$J$3+[5]FormattedData!J80*$J$4+$M$4*$J$5+[5]FormattedData!J80^2*$J$6+$M$5*$J$7</f>
        <v>49.528453838457473</v>
      </c>
      <c r="R40" s="6">
        <f>$J$3+[5]FormattedData!K80*$J$4+$M$4*$J$5+[5]FormattedData!K80^2*$J$6+$M$5*$J$7</f>
        <v>49.528453838457473</v>
      </c>
      <c r="S40" s="6">
        <f>$J$3+[5]FormattedData!L80*$J$4+$M$4*$J$5+[5]FormattedData!L80^2*$J$6+$M$5*$J$7</f>
        <v>37.86938982629956</v>
      </c>
      <c r="T40" s="6">
        <f>$J$3+[5]FormattedData!M80*$J$4+$M$4*$J$5+[5]FormattedData!M80^2*$J$6+$M$5*$J$7</f>
        <v>52.682788867904158</v>
      </c>
      <c r="U40" s="6">
        <f>$J$3+[5]FormattedData!N80*$J$4+$M$4*$J$5+[5]FormattedData!N80^2*$J$6+$M$5*$J$7</f>
        <v>41.679319705094088</v>
      </c>
      <c r="V40" s="6">
        <f>$J$3+[5]FormattedData!O80*$J$4+$M$4*$J$5+[5]FormattedData!O80^2*$J$6+$M$5*$J$7</f>
        <v>51.637430527550684</v>
      </c>
      <c r="W40" s="5">
        <f t="shared" si="0"/>
        <v>47.333796873318221</v>
      </c>
      <c r="X40" s="4">
        <f t="shared" si="1"/>
        <v>1.5500739443341141</v>
      </c>
      <c r="Y40" s="3">
        <f t="shared" si="2"/>
        <v>37.86938982629956</v>
      </c>
      <c r="Z40" s="2">
        <f t="shared" si="3"/>
        <v>42.711412704339395</v>
      </c>
      <c r="AA40" s="3">
        <f t="shared" si="4"/>
        <v>49.528453838457473</v>
      </c>
      <c r="AB40" s="2">
        <f t="shared" si="5"/>
        <v>51.768290528515564</v>
      </c>
      <c r="AC40" s="2">
        <f t="shared" si="6"/>
        <v>52.682788867904158</v>
      </c>
      <c r="AD40" s="2">
        <f t="shared" si="7"/>
        <v>-0.70659110936965186</v>
      </c>
      <c r="AE40" s="2">
        <f t="shared" si="8"/>
        <v>-1.1389863788702161</v>
      </c>
    </row>
    <row r="41" spans="2:31" x14ac:dyDescent="0.2">
      <c r="B41" s="1">
        <f>[5]FormattedData!A78</f>
        <v>408</v>
      </c>
      <c r="C41" s="1" t="str">
        <f>VLOOKUP($B41,[5]TrtCodes!$B$11:I121,2)</f>
        <v>NTL</v>
      </c>
      <c r="D41" s="1">
        <f>VLOOKUP($B41,[5]TrtCodes!$B$11:J121,3)</f>
        <v>10</v>
      </c>
      <c r="E41" s="1">
        <f>VLOOKUP($B41,[5]TrtCodes!$B$11:K121,4)</f>
        <v>2</v>
      </c>
      <c r="F41" s="1">
        <f>VLOOKUP($B41,[5]TrtCodes!$B$11:L121,5)</f>
        <v>2</v>
      </c>
      <c r="G41" s="1">
        <f>VLOOKUP($B41,[5]TrtCodes!$B$11:M121,6)</f>
        <v>1</v>
      </c>
      <c r="H41" s="1">
        <f>VLOOKUP($B41,[5]TrtCodes!$B$11:N121,7)</f>
        <v>4</v>
      </c>
      <c r="I41" s="1">
        <f>[5]FormattedData!B78</f>
        <v>1</v>
      </c>
      <c r="J41" s="4">
        <f>[5]FormattedData!C78</f>
        <v>13.792999999999999</v>
      </c>
      <c r="K41" s="6">
        <f>$J$3+[5]FormattedData!D78*$J$4+$M$4*$J$5+[5]FormattedData!D78^2*$J$6+$M$5*$J$7</f>
        <v>54.755245540224863</v>
      </c>
      <c r="L41" s="6">
        <f>$J$3+[5]FormattedData!E78*$J$4+$M$4*$J$5+[5]FormattedData!E78^2*$J$6+$M$5*$J$7</f>
        <v>48.108943446924037</v>
      </c>
      <c r="M41" s="6">
        <f>$J$3+[5]FormattedData!F78*$J$4+$M$4*$J$5+[5]FormattedData!F78^2*$J$6+$M$5*$J$7</f>
        <v>48.197979860429363</v>
      </c>
      <c r="N41" s="6">
        <f>$J$3+[5]FormattedData!G78*$J$4+$M$4*$J$5+[5]FormattedData!G78^2*$J$6+$M$5*$J$7</f>
        <v>51.112468856325663</v>
      </c>
      <c r="O41" s="6">
        <f>$J$3+[5]FormattedData!H78*$J$4+$M$4*$J$5+[5]FormattedData!H78^2*$J$6+$M$5*$J$7</f>
        <v>41.679319705094088</v>
      </c>
      <c r="P41" s="6">
        <f>$J$3+[5]FormattedData!I78*$J$4+$M$4*$J$5+[5]FormattedData!I78^2*$J$6+$M$5*$J$7</f>
        <v>54.067131835878889</v>
      </c>
      <c r="Q41" s="6">
        <f>$J$3+[5]FormattedData!J78*$J$4+$M$4*$J$5+[5]FormattedData!J78^2*$J$6+$M$5*$J$7</f>
        <v>34.370166923250373</v>
      </c>
      <c r="R41" s="6">
        <f>$J$3+[5]FormattedData!K78*$J$4+$M$4*$J$5+[5]FormattedData!K78^2*$J$6+$M$5*$J$7</f>
        <v>55.696984821486772</v>
      </c>
      <c r="S41" s="6">
        <f>$J$3+[5]FormattedData!L78*$J$4+$M$4*$J$5+[5]FormattedData!L78^2*$J$6+$M$5*$J$7</f>
        <v>34.370166923250373</v>
      </c>
      <c r="T41" s="6">
        <f>$J$3+[5]FormattedData!M78*$J$4+$M$4*$J$5+[5]FormattedData!M78^2*$J$6+$M$5*$J$7</f>
        <v>53.635687043179892</v>
      </c>
      <c r="U41" s="6">
        <f>$J$3+[5]FormattedData!N78*$J$4+$M$4*$J$5+[5]FormattedData!N78^2*$J$6+$M$5*$J$7</f>
        <v>38.805192639628771</v>
      </c>
      <c r="V41" s="6">
        <f>$J$3+[5]FormattedData!O78*$J$4+$M$4*$J$5+[5]FormattedData!O78^2*$J$6+$M$5*$J$7</f>
        <v>51.287625154219057</v>
      </c>
      <c r="W41" s="5">
        <f t="shared" si="0"/>
        <v>47.173909395824353</v>
      </c>
      <c r="X41" s="4">
        <f t="shared" si="1"/>
        <v>2.2727737258867435</v>
      </c>
      <c r="Y41" s="3">
        <f t="shared" si="2"/>
        <v>34.370166923250373</v>
      </c>
      <c r="Z41" s="2">
        <f t="shared" si="3"/>
        <v>40.960787938727762</v>
      </c>
      <c r="AA41" s="3">
        <f t="shared" si="4"/>
        <v>49.655224358377509</v>
      </c>
      <c r="AB41" s="2">
        <f t="shared" si="5"/>
        <v>53.743548241354645</v>
      </c>
      <c r="AC41" s="2">
        <f t="shared" si="6"/>
        <v>55.696984821486772</v>
      </c>
      <c r="AD41" s="2">
        <f t="shared" si="7"/>
        <v>-0.70752196784010735</v>
      </c>
      <c r="AE41" s="2">
        <f t="shared" si="8"/>
        <v>-1.0527643334854662</v>
      </c>
    </row>
    <row r="42" spans="2:31" x14ac:dyDescent="0.2">
      <c r="B42" s="17">
        <f>[5]FormattedData!A60</f>
        <v>901</v>
      </c>
      <c r="C42" s="17" t="str">
        <f>VLOOKUP($B42,[5]TrtCodes!$B$11:I103,2)</f>
        <v>WS</v>
      </c>
      <c r="D42" s="17">
        <f>VLOOKUP($B42,[5]TrtCodes!$B$11:J103,3)</f>
        <v>32</v>
      </c>
      <c r="E42" s="17">
        <f>VLOOKUP($B42,[5]TrtCodes!$B$11:K103,4)</f>
        <v>9</v>
      </c>
      <c r="F42" s="17">
        <f>VLOOKUP($B42,[5]TrtCodes!$B$11:L103,5)</f>
        <v>0</v>
      </c>
      <c r="G42" s="17">
        <f>VLOOKUP($B42,[5]TrtCodes!$B$11:M103,6)</f>
        <v>1</v>
      </c>
      <c r="H42" s="17">
        <f>VLOOKUP($B42,[5]TrtCodes!$B$11:N103,7)</f>
        <v>1</v>
      </c>
      <c r="I42" s="17">
        <f>[5]FormattedData!B60</f>
        <v>1</v>
      </c>
      <c r="J42" s="15">
        <f>[5]FormattedData!C60</f>
        <v>13.593999999999999</v>
      </c>
      <c r="K42" s="14">
        <f>$J$3+[5]FormattedData!D60*$J$4+$M$4*$J$5+[5]FormattedData!D60^2*$J$6+$M$5*$J$7</f>
        <v>36.268824414184714</v>
      </c>
      <c r="L42" s="14">
        <f>$J$3+[5]FormattedData!E60*$J$4+$M$4*$J$5+[5]FormattedData!E60^2*$J$6+$M$5*$J$7</f>
        <v>35.985103638261805</v>
      </c>
      <c r="M42" s="14">
        <f>$J$3+[5]FormattedData!F60*$J$4+$M$4*$J$5+[5]FormattedData!F60^2*$J$6+$M$5*$J$7</f>
        <v>36.552164773266242</v>
      </c>
      <c r="N42" s="14">
        <f>$J$3+[5]FormattedData!G60*$J$4+$M$4*$J$5+[5]FormattedData!G60^2*$J$6+$M$5*$J$7</f>
        <v>36.835124715506389</v>
      </c>
      <c r="O42" s="14">
        <f>$J$3+[5]FormattedData!H60*$J$4+$M$4*$J$5+[5]FormattedData!H60^2*$J$6+$M$5*$J$7</f>
        <v>36.07971949877404</v>
      </c>
      <c r="P42" s="14">
        <f>$J$3+[5]FormattedData!I60*$J$4+$M$4*$J$5+[5]FormattedData!I60^2*$J$6+$M$5*$J$7</f>
        <v>35.226655086798417</v>
      </c>
      <c r="Q42" s="14">
        <f>$J$3+[5]FormattedData!J60*$J$4+$M$4*$J$5+[5]FormattedData!J60^2*$J$6+$M$5*$J$7</f>
        <v>35.131658809444794</v>
      </c>
      <c r="R42" s="14">
        <f>$J$3+[5]FormattedData!K60*$J$4+$M$4*$J$5+[5]FormattedData!K60^2*$J$6+$M$5*$J$7</f>
        <v>34.846416366156376</v>
      </c>
      <c r="S42" s="14">
        <f>$J$3+[5]FormattedData!L60*$J$4+$M$4*$J$5+[5]FormattedData!L60^2*$J$6+$M$5*$J$7</f>
        <v>36.174293090748343</v>
      </c>
      <c r="T42" s="14">
        <f>$J$3+[5]FormattedData!M60*$J$4+$M$4*$J$5+[5]FormattedData!M60^2*$J$6+$M$5*$J$7</f>
        <v>35.890445509211631</v>
      </c>
      <c r="U42" s="14">
        <f>$J$3+[5]FormattedData!N60*$J$4+$M$4*$J$5+[5]FormattedData!N60^2*$J$6+$M$5*$J$7</f>
        <v>36.07971949877404</v>
      </c>
      <c r="V42" s="14">
        <f>$J$3+[5]FormattedData!O60*$J$4+$M$4*$J$5+[5]FormattedData!O60^2*$J$6+$M$5*$J$7</f>
        <v>36.174293090748343</v>
      </c>
      <c r="W42" s="16">
        <f t="shared" ref="W42:W73" si="9">AVERAGE(K42:V42)</f>
        <v>35.937034874322926</v>
      </c>
      <c r="X42" s="15">
        <f t="shared" ref="X42:X73" si="10">STDEV(K42:V42)/SQRT(COUNT(K42:V42))</f>
        <v>0.16957020389731067</v>
      </c>
      <c r="Y42" s="14">
        <f t="shared" ref="Y42:Y73" si="11">MIN(K42:V42)</f>
        <v>34.846416366156376</v>
      </c>
      <c r="Z42" s="13">
        <f t="shared" ref="Z42:Z73" si="12">QUARTILE(K42:V42,1)</f>
        <v>35.724497903608324</v>
      </c>
      <c r="AA42" s="14">
        <f t="shared" ref="AA42:AA73" si="13">MEDIAN(K42:V42)</f>
        <v>36.07971949877404</v>
      </c>
      <c r="AB42" s="13">
        <f t="shared" ref="AB42:AB73" si="14">QUARTILE(K42:V42,3)</f>
        <v>36.197925921607435</v>
      </c>
      <c r="AC42" s="13">
        <f t="shared" ref="AC42:AC73" si="15">MAX(K42:V42)</f>
        <v>36.835124715506389</v>
      </c>
      <c r="AD42" s="13">
        <f t="shared" ref="AD42:AD73" si="16">SKEW(K42:V42)</f>
        <v>-0.62000474351855928</v>
      </c>
      <c r="AE42" s="13">
        <f t="shared" ref="AE42:AE73" si="17">KURT(K42:V42)</f>
        <v>-0.19092068139964224</v>
      </c>
    </row>
    <row r="43" spans="2:31" x14ac:dyDescent="0.2">
      <c r="B43" s="1">
        <f>[5]FormattedData!A58</f>
        <v>902</v>
      </c>
      <c r="C43" s="1" t="str">
        <f>VLOOKUP($B43,[5]TrtCodes!$B$11:I101,2)</f>
        <v>Late</v>
      </c>
      <c r="D43" s="1">
        <f>VLOOKUP($B43,[5]TrtCodes!$B$11:J101,3)</f>
        <v>22</v>
      </c>
      <c r="E43" s="1">
        <f>VLOOKUP($B43,[5]TrtCodes!$B$11:K101,4)</f>
        <v>4</v>
      </c>
      <c r="F43" s="1">
        <f>VLOOKUP($B43,[5]TrtCodes!$B$11:L101,5)</f>
        <v>2</v>
      </c>
      <c r="G43" s="1">
        <f>VLOOKUP($B43,[5]TrtCodes!$B$11:M101,6)</f>
        <v>2</v>
      </c>
      <c r="H43" s="1">
        <f>VLOOKUP($B43,[5]TrtCodes!$B$11:N101,7)</f>
        <v>1</v>
      </c>
      <c r="I43" s="1">
        <f>[5]FormattedData!B58</f>
        <v>1</v>
      </c>
      <c r="J43" s="4">
        <f>[5]FormattedData!C58</f>
        <v>13.574999999999999</v>
      </c>
      <c r="K43" s="6">
        <f>$J$3+[5]FormattedData!D58*$J$4+$M$4*$J$5+[5]FormattedData!D58^2*$J$6+$M$5*$J$7</f>
        <v>53.549271279026293</v>
      </c>
      <c r="L43" s="6">
        <f>$J$3+[5]FormattedData!E58*$J$4+$M$4*$J$5+[5]FormattedData!E58^2*$J$6+$M$5*$J$7</f>
        <v>52.422019908077857</v>
      </c>
      <c r="M43" s="6">
        <f>$J$3+[5]FormattedData!F58*$J$4+$M$4*$J$5+[5]FormattedData!F58^2*$J$6+$M$5*$J$7</f>
        <v>45.508500641269613</v>
      </c>
      <c r="N43" s="6">
        <f>$J$3+[5]FormattedData!G58*$J$4+$M$4*$J$5+[5]FormattedData!G58^2*$J$6+$M$5*$J$7</f>
        <v>46.0494398198326</v>
      </c>
      <c r="O43" s="6">
        <f>$J$3+[5]FormattedData!H58*$J$4+$M$4*$J$5+[5]FormattedData!H58^2*$J$6+$M$5*$J$7</f>
        <v>48.731310702164748</v>
      </c>
      <c r="P43" s="6">
        <f>$J$3+[5]FormattedData!I58*$J$4+$M$4*$J$5+[5]FormattedData!I58^2*$J$6+$M$5*$J$7</f>
        <v>44.603553860630136</v>
      </c>
      <c r="Q43" s="6">
        <f>$J$3+[5]FormattedData!J58*$J$4+$M$4*$J$5+[5]FormattedData!J58^2*$J$6+$M$5*$J$7</f>
        <v>53.894680724413085</v>
      </c>
      <c r="R43" s="6">
        <f>$J$3+[5]FormattedData!K58*$J$4+$M$4*$J$5+[5]FormattedData!K58^2*$J$6+$M$5*$J$7</f>
        <v>39.271508976120963</v>
      </c>
      <c r="S43" s="6">
        <f>$J$3+[5]FormattedData!L58*$J$4+$M$4*$J$5+[5]FormattedData!L58^2*$J$6+$M$5*$J$7</f>
        <v>53.72206053879556</v>
      </c>
      <c r="T43" s="6">
        <f>$J$3+[5]FormattedData!M58*$J$4+$M$4*$J$5+[5]FormattedData!M58^2*$J$6+$M$5*$J$7</f>
        <v>39.550791555561098</v>
      </c>
      <c r="U43" s="6">
        <f>$J$3+[5]FormattedData!N58*$J$4+$M$4*$J$5+[5]FormattedData!N58^2*$J$6+$M$5*$J$7</f>
        <v>46.857995461366741</v>
      </c>
      <c r="V43" s="6">
        <f>$J$3+[5]FormattedData!O58*$J$4+$M$4*$J$5+[5]FormattedData!O58^2*$J$6+$M$5*$J$7</f>
        <v>41.955305338575592</v>
      </c>
      <c r="W43" s="5">
        <f t="shared" si="9"/>
        <v>47.1763699004862</v>
      </c>
      <c r="X43" s="4">
        <f t="shared" si="10"/>
        <v>1.5501676682469949</v>
      </c>
      <c r="Y43" s="3">
        <f t="shared" si="11"/>
        <v>39.271508976120963</v>
      </c>
      <c r="Z43" s="2">
        <f t="shared" si="12"/>
        <v>43.941491730116496</v>
      </c>
      <c r="AA43" s="3">
        <f t="shared" si="13"/>
        <v>46.45371764059967</v>
      </c>
      <c r="AB43" s="2">
        <f t="shared" si="14"/>
        <v>52.703832750814968</v>
      </c>
      <c r="AC43" s="2">
        <f t="shared" si="15"/>
        <v>53.894680724413085</v>
      </c>
      <c r="AD43" s="2">
        <f t="shared" si="16"/>
        <v>-7.9048905525481189E-2</v>
      </c>
      <c r="AE43" s="2">
        <f t="shared" si="17"/>
        <v>-1.310626604663256</v>
      </c>
    </row>
    <row r="44" spans="2:31" x14ac:dyDescent="0.2">
      <c r="B44" s="17">
        <f>[5]FormattedData!A56</f>
        <v>903</v>
      </c>
      <c r="C44" s="17" t="str">
        <f>VLOOKUP($B44,[5]TrtCodes!$B$11:I99,2)</f>
        <v>DS</v>
      </c>
      <c r="D44" s="17">
        <f>VLOOKUP($B44,[5]TrtCodes!$B$11:J99,3)</f>
        <v>31</v>
      </c>
      <c r="E44" s="17">
        <f>VLOOKUP($B44,[5]TrtCodes!$B$11:K99,4)</f>
        <v>8</v>
      </c>
      <c r="F44" s="17">
        <f>VLOOKUP($B44,[5]TrtCodes!$B$11:L99,5)</f>
        <v>0</v>
      </c>
      <c r="G44" s="17">
        <f>VLOOKUP($B44,[5]TrtCodes!$B$11:M99,6)</f>
        <v>1</v>
      </c>
      <c r="H44" s="17">
        <f>VLOOKUP($B44,[5]TrtCodes!$B$11:N99,7)</f>
        <v>1</v>
      </c>
      <c r="I44" s="17">
        <f>[5]FormattedData!B56</f>
        <v>1</v>
      </c>
      <c r="J44" s="15">
        <f>[5]FormattedData!C56</f>
        <v>13.566000000000001</v>
      </c>
      <c r="K44" s="14">
        <f>$J$3+[5]FormattedData!D56*$J$4+$M$4*$J$5+[5]FormattedData!D56^2*$J$6+$M$5*$J$7</f>
        <v>59.329255512063455</v>
      </c>
      <c r="L44" s="14">
        <f>$J$3+[5]FormattedData!E56*$J$4+$M$4*$J$5+[5]FormattedData!E56^2*$J$6+$M$5*$J$7</f>
        <v>59.329255512063455</v>
      </c>
      <c r="M44" s="14">
        <f>$J$3+[5]FormattedData!F56*$J$4+$M$4*$J$5+[5]FormattedData!F56^2*$J$6+$M$5*$J$7</f>
        <v>59.663167915132973</v>
      </c>
      <c r="N44" s="14">
        <f>$J$3+[5]FormattedData!G56*$J$4+$M$4*$J$5+[5]FormattedData!G56^2*$J$6+$M$5*$J$7</f>
        <v>59.329255512063455</v>
      </c>
      <c r="O44" s="14">
        <f>$J$3+[5]FormattedData!H56*$J$4+$M$4*$J$5+[5]FormattedData!H56^2*$J$6+$M$5*$J$7</f>
        <v>59.07837739011304</v>
      </c>
      <c r="P44" s="14">
        <f>$J$3+[5]FormattedData!I56*$J$4+$M$4*$J$5+[5]FormattedData!I56^2*$J$6+$M$5*$J$7</f>
        <v>58.659401816103731</v>
      </c>
      <c r="Q44" s="14">
        <f>$J$3+[5]FormattedData!J56*$J$4+$M$4*$J$5+[5]FormattedData!J56^2*$J$6+$M$5*$J$7</f>
        <v>58.071060733897596</v>
      </c>
      <c r="R44" s="14">
        <f>$J$3+[5]FormattedData!K56*$J$4+$M$4*$J$5+[5]FormattedData!K56^2*$J$6+$M$5*$J$7</f>
        <v>58.827118851321259</v>
      </c>
      <c r="S44" s="14">
        <f>$J$3+[5]FormattedData!L56*$J$4+$M$4*$J$5+[5]FormattedData!L56^2*$J$6+$M$5*$J$7</f>
        <v>59.245671739951256</v>
      </c>
      <c r="T44" s="14">
        <f>$J$3+[5]FormattedData!M56*$J$4+$M$4*$J$5+[5]FormattedData!M56^2*$J$6+$M$5*$J$7</f>
        <v>59.07837739011304</v>
      </c>
      <c r="U44" s="14">
        <f>$J$3+[5]FormattedData!N56*$J$4+$M$4*$J$5+[5]FormattedData!N56^2*$J$6+$M$5*$J$7</f>
        <v>58.994666812387045</v>
      </c>
      <c r="V44" s="14">
        <f>$J$3+[5]FormattedData!O56*$J$4+$M$4*$J$5+[5]FormattedData!O56^2*$J$6+$M$5*$J$7</f>
        <v>59.329255512063455</v>
      </c>
      <c r="W44" s="16">
        <f t="shared" si="9"/>
        <v>59.077905391439479</v>
      </c>
      <c r="X44" s="15">
        <f t="shared" si="10"/>
        <v>0.11940793664887367</v>
      </c>
      <c r="Y44" s="14">
        <f t="shared" si="11"/>
        <v>58.071060733897596</v>
      </c>
      <c r="Z44" s="13">
        <f t="shared" si="12"/>
        <v>58.952779822120597</v>
      </c>
      <c r="AA44" s="14">
        <f t="shared" si="13"/>
        <v>59.162024565032148</v>
      </c>
      <c r="AB44" s="13">
        <f t="shared" si="14"/>
        <v>59.329255512063455</v>
      </c>
      <c r="AC44" s="13">
        <f t="shared" si="15"/>
        <v>59.663167915132973</v>
      </c>
      <c r="AD44" s="13">
        <f t="shared" si="16"/>
        <v>-1.2972662997532027</v>
      </c>
      <c r="AE44" s="13">
        <f t="shared" si="17"/>
        <v>2.4065808697735509</v>
      </c>
    </row>
    <row r="45" spans="2:31" x14ac:dyDescent="0.2">
      <c r="B45" s="1">
        <f>[5]FormattedData!A54</f>
        <v>904</v>
      </c>
      <c r="C45" s="1" t="str">
        <f>VLOOKUP($B45,[5]TrtCodes!$B$11:I97,2)</f>
        <v>Early</v>
      </c>
      <c r="D45" s="1">
        <f>VLOOKUP($B45,[5]TrtCodes!$B$11:J97,3)</f>
        <v>21</v>
      </c>
      <c r="E45" s="1">
        <f>VLOOKUP($B45,[5]TrtCodes!$B$11:K97,4)</f>
        <v>3</v>
      </c>
      <c r="F45" s="1">
        <f>VLOOKUP($B45,[5]TrtCodes!$B$11:L97,5)</f>
        <v>2</v>
      </c>
      <c r="G45" s="1">
        <f>VLOOKUP($B45,[5]TrtCodes!$B$11:M97,6)</f>
        <v>2</v>
      </c>
      <c r="H45" s="1">
        <f>VLOOKUP($B45,[5]TrtCodes!$B$11:N97,7)</f>
        <v>1</v>
      </c>
      <c r="I45" s="1">
        <f>[5]FormattedData!B54</f>
        <v>1</v>
      </c>
      <c r="J45" s="4">
        <f>[5]FormattedData!C54</f>
        <v>13.532</v>
      </c>
      <c r="K45" s="6">
        <f>$J$3+[5]FormattedData!D54*$J$4+$M$4*$J$5+[5]FormattedData!D54^2*$J$6+$M$5*$J$7</f>
        <v>58.155236265540836</v>
      </c>
      <c r="L45" s="6">
        <f>$J$3+[5]FormattedData!E54*$J$4+$M$4*$J$5+[5]FormattedData!E54^2*$J$6+$M$5*$J$7</f>
        <v>58.155236265540836</v>
      </c>
      <c r="M45" s="6">
        <f>$J$3+[5]FormattedData!F54*$J$4+$M$4*$J$5+[5]FormattedData!F54^2*$J$6+$M$5*$J$7</f>
        <v>50.67383841217837</v>
      </c>
      <c r="N45" s="6">
        <f>$J$3+[5]FormattedData!G54*$J$4+$M$4*$J$5+[5]FormattedData!G54^2*$J$6+$M$5*$J$7</f>
        <v>38.898540444003075</v>
      </c>
      <c r="O45" s="6">
        <f>$J$3+[5]FormattedData!H54*$J$4+$M$4*$J$5+[5]FormattedData!H54^2*$J$6+$M$5*$J$7</f>
        <v>53.894680724413085</v>
      </c>
      <c r="P45" s="6">
        <f>$J$3+[5]FormattedData!I54*$J$4+$M$4*$J$5+[5]FormattedData!I54^2*$J$6+$M$5*$J$7</f>
        <v>33.318698517519216</v>
      </c>
      <c r="Q45" s="6">
        <f>$J$3+[5]FormattedData!J54*$J$4+$M$4*$J$5+[5]FormattedData!J54^2*$J$6+$M$5*$J$7</f>
        <v>54.926851280932041</v>
      </c>
      <c r="R45" s="6">
        <f>$J$3+[5]FormattedData!K54*$J$4+$M$4*$J$5+[5]FormattedData!K54^2*$J$6+$M$5*$J$7</f>
        <v>36.174293090748343</v>
      </c>
      <c r="S45" s="6">
        <f>$J$3+[5]FormattedData!L54*$J$4+$M$4*$J$5+[5]FormattedData!L54^2*$J$6+$M$5*$J$7</f>
        <v>52.856423498432044</v>
      </c>
      <c r="T45" s="6">
        <f>$J$3+[5]FormattedData!M54*$J$4+$M$4*$J$5+[5]FormattedData!M54^2*$J$6+$M$5*$J$7</f>
        <v>44.058556902425764</v>
      </c>
      <c r="U45" s="6">
        <f>$J$3+[5]FormattedData!N54*$J$4+$M$4*$J$5+[5]FormattedData!N54^2*$J$6+$M$5*$J$7</f>
        <v>52.769627317437063</v>
      </c>
      <c r="V45" s="6">
        <f>$J$3+[5]FormattedData!O54*$J$4+$M$4*$J$5+[5]FormattedData!O54^2*$J$6+$M$5*$J$7</f>
        <v>37.775577068008026</v>
      </c>
      <c r="W45" s="5">
        <f t="shared" si="9"/>
        <v>47.638129982264893</v>
      </c>
      <c r="X45" s="4">
        <f t="shared" si="10"/>
        <v>2.6099992812693986</v>
      </c>
      <c r="Y45" s="3">
        <f t="shared" si="11"/>
        <v>33.318698517519216</v>
      </c>
      <c r="Z45" s="2">
        <f t="shared" si="12"/>
        <v>38.617799600004311</v>
      </c>
      <c r="AA45" s="3">
        <f t="shared" si="13"/>
        <v>51.72173286480772</v>
      </c>
      <c r="AB45" s="2">
        <f t="shared" si="14"/>
        <v>54.152723363542826</v>
      </c>
      <c r="AC45" s="2">
        <f t="shared" si="15"/>
        <v>58.155236265540836</v>
      </c>
      <c r="AD45" s="2">
        <f t="shared" si="16"/>
        <v>-0.42089608571761639</v>
      </c>
      <c r="AE45" s="2">
        <f t="shared" si="17"/>
        <v>-1.5545288376341717</v>
      </c>
    </row>
    <row r="46" spans="2:31" x14ac:dyDescent="0.2">
      <c r="B46" s="17">
        <f>[5]FormattedData!A52</f>
        <v>905</v>
      </c>
      <c r="C46" s="17" t="str">
        <f>VLOOKUP($B46,[5]TrtCodes!$B$11:I95,2)</f>
        <v>WS</v>
      </c>
      <c r="D46" s="17">
        <f>VLOOKUP($B46,[5]TrtCodes!$B$11:J95,3)</f>
        <v>32</v>
      </c>
      <c r="E46" s="17">
        <f>VLOOKUP($B46,[5]TrtCodes!$B$11:K95,4)</f>
        <v>9</v>
      </c>
      <c r="F46" s="17">
        <f>VLOOKUP($B46,[5]TrtCodes!$B$11:L95,5)</f>
        <v>0</v>
      </c>
      <c r="G46" s="17">
        <f>VLOOKUP($B46,[5]TrtCodes!$B$11:M95,6)</f>
        <v>1</v>
      </c>
      <c r="H46" s="17">
        <f>VLOOKUP($B46,[5]TrtCodes!$B$11:N95,7)</f>
        <v>2</v>
      </c>
      <c r="I46" s="17">
        <f>[5]FormattedData!B52</f>
        <v>1</v>
      </c>
      <c r="J46" s="15">
        <f>[5]FormattedData!C52</f>
        <v>13.522</v>
      </c>
      <c r="K46" s="14">
        <f>$J$3+[5]FormattedData!D52*$J$4+$M$4*$J$5+[5]FormattedData!D52^2*$J$6+$M$5*$J$7</f>
        <v>48.997405497770366</v>
      </c>
      <c r="L46" s="14">
        <f>$J$3+[5]FormattedData!E52*$J$4+$M$4*$J$5+[5]FormattedData!E52^2*$J$6+$M$5*$J$7</f>
        <v>48.908749501106428</v>
      </c>
      <c r="M46" s="14">
        <f>$J$3+[5]FormattedData!F52*$J$4+$M$4*$J$5+[5]FormattedData!F52^2*$J$6+$M$5*$J$7</f>
        <v>48.197979860429363</v>
      </c>
      <c r="N46" s="14">
        <f>$J$3+[5]FormattedData!G52*$J$4+$M$4*$J$5+[5]FormattedData!G52^2*$J$6+$M$5*$J$7</f>
        <v>48.286974005396743</v>
      </c>
      <c r="O46" s="14">
        <f>$J$3+[5]FormattedData!H52*$J$4+$M$4*$J$5+[5]FormattedData!H52^2*$J$6+$M$5*$J$7</f>
        <v>49.086019225896386</v>
      </c>
      <c r="P46" s="14">
        <f>$J$3+[5]FormattedData!I52*$J$4+$M$4*$J$5+[5]FormattedData!I52^2*$J$6+$M$5*$J$7</f>
        <v>49.616813955355902</v>
      </c>
      <c r="Q46" s="14">
        <f>$J$3+[5]FormattedData!J52*$J$4+$M$4*$J$5+[5]FormattedData!J52^2*$J$6+$M$5*$J$7</f>
        <v>49.705131803716391</v>
      </c>
      <c r="R46" s="14">
        <f>$J$3+[5]FormattedData!K52*$J$4+$M$4*$J$5+[5]FormattedData!K52^2*$J$6+$M$5*$J$7</f>
        <v>49.174590685484461</v>
      </c>
      <c r="S46" s="14">
        <f>$J$3+[5]FormattedData!L52*$J$4+$M$4*$J$5+[5]FormattedData!L52^2*$J$6+$M$5*$J$7</f>
        <v>48.82005123590455</v>
      </c>
      <c r="T46" s="14">
        <f>$J$3+[5]FormattedData!M52*$J$4+$M$4*$J$5+[5]FormattedData!M52^2*$J$6+$M$5*$J$7</f>
        <v>48.82005123590455</v>
      </c>
      <c r="U46" s="14">
        <f>$J$3+[5]FormattedData!N52*$J$4+$M$4*$J$5+[5]FormattedData!N52^2*$J$6+$M$5*$J$7</f>
        <v>48.908749501106428</v>
      </c>
      <c r="V46" s="14">
        <f>$J$3+[5]FormattedData!O52*$J$4+$M$4*$J$5+[5]FormattedData!O52^2*$J$6+$M$5*$J$7</f>
        <v>49.174590685484461</v>
      </c>
      <c r="W46" s="16">
        <f t="shared" si="9"/>
        <v>48.974758932796334</v>
      </c>
      <c r="X46" s="15">
        <f t="shared" si="10"/>
        <v>0.12825913718367032</v>
      </c>
      <c r="Y46" s="14">
        <f t="shared" si="11"/>
        <v>48.197979860429363</v>
      </c>
      <c r="Z46" s="13">
        <f t="shared" si="12"/>
        <v>48.82005123590455</v>
      </c>
      <c r="AA46" s="14">
        <f t="shared" si="13"/>
        <v>48.953077499438393</v>
      </c>
      <c r="AB46" s="13">
        <f t="shared" si="14"/>
        <v>49.174590685484461</v>
      </c>
      <c r="AC46" s="13">
        <f t="shared" si="15"/>
        <v>49.705131803716391</v>
      </c>
      <c r="AD46" s="13">
        <f t="shared" si="16"/>
        <v>-0.16218501341773545</v>
      </c>
      <c r="AE46" s="13">
        <f t="shared" si="17"/>
        <v>0.19986676859084263</v>
      </c>
    </row>
    <row r="47" spans="2:31" x14ac:dyDescent="0.2">
      <c r="B47" s="1">
        <f>[5]FormattedData!A50</f>
        <v>906</v>
      </c>
      <c r="C47" s="1" t="str">
        <f>VLOOKUP($B47,[5]TrtCodes!$B$11:I93,2)</f>
        <v>Late</v>
      </c>
      <c r="D47" s="1">
        <f>VLOOKUP($B47,[5]TrtCodes!$B$11:J93,3)</f>
        <v>22</v>
      </c>
      <c r="E47" s="1">
        <f>VLOOKUP($B47,[5]TrtCodes!$B$11:K93,4)</f>
        <v>4</v>
      </c>
      <c r="F47" s="1">
        <f>VLOOKUP($B47,[5]TrtCodes!$B$11:L93,5)</f>
        <v>2</v>
      </c>
      <c r="G47" s="1">
        <f>VLOOKUP($B47,[5]TrtCodes!$B$11:M93,6)</f>
        <v>2</v>
      </c>
      <c r="H47" s="1">
        <f>VLOOKUP($B47,[5]TrtCodes!$B$11:N93,7)</f>
        <v>2</v>
      </c>
      <c r="I47" s="1">
        <f>[5]FormattedData!B50</f>
        <v>1</v>
      </c>
      <c r="J47" s="4">
        <f>[5]FormattedData!C50</f>
        <v>13.505000000000001</v>
      </c>
      <c r="K47" s="6">
        <f>$J$3+[5]FormattedData!D50*$J$4+$M$4*$J$5+[5]FormattedData!D50^2*$J$6+$M$5*$J$7</f>
        <v>53.72206053879556</v>
      </c>
      <c r="L47" s="6">
        <f>$J$3+[5]FormattedData!E50*$J$4+$M$4*$J$5+[5]FormattedData!E50^2*$J$6+$M$5*$J$7</f>
        <v>36.74084700329761</v>
      </c>
      <c r="M47" s="6">
        <f>$J$3+[5]FormattedData!F50*$J$4+$M$4*$J$5+[5]FormattedData!F50^2*$J$6+$M$5*$J$7</f>
        <v>53.98092741441495</v>
      </c>
      <c r="N47" s="6">
        <f>$J$3+[5]FormattedData!G50*$J$4+$M$4*$J$5+[5]FormattedData!G50^2*$J$6+$M$5*$J$7</f>
        <v>36.363313469083145</v>
      </c>
      <c r="O47" s="6">
        <f>$J$3+[5]FormattedData!H50*$J$4+$M$4*$J$5+[5]FormattedData!H50^2*$J$6+$M$5*$J$7</f>
        <v>50.146087017449894</v>
      </c>
      <c r="P47" s="6">
        <f>$J$3+[5]FormattedData!I50*$J$4+$M$4*$J$5+[5]FormattedData!I50^2*$J$6+$M$5*$J$7</f>
        <v>46.588857331030077</v>
      </c>
      <c r="Q47" s="6">
        <f>$J$3+[5]FormattedData!J50*$J$4+$M$4*$J$5+[5]FormattedData!J50^2*$J$6+$M$5*$J$7</f>
        <v>51.899340737901127</v>
      </c>
      <c r="R47" s="6">
        <f>$J$3+[5]FormattedData!K50*$J$4+$M$4*$J$5+[5]FormattedData!K50^2*$J$6+$M$5*$J$7</f>
        <v>50.498090354753934</v>
      </c>
      <c r="S47" s="6">
        <f>$J$3+[5]FormattedData!L50*$J$4+$M$4*$J$5+[5]FormattedData!L50^2*$J$6+$M$5*$J$7</f>
        <v>54.411526836355328</v>
      </c>
      <c r="T47" s="6">
        <f>$J$3+[5]FormattedData!M50*$J$4+$M$4*$J$5+[5]FormattedData!M50^2*$J$6+$M$5*$J$7</f>
        <v>41.955305338575592</v>
      </c>
      <c r="U47" s="6">
        <f>$J$3+[5]FormattedData!N50*$J$4+$M$4*$J$5+[5]FormattedData!N50^2*$J$6+$M$5*$J$7</f>
        <v>56.208505097649692</v>
      </c>
      <c r="V47" s="6">
        <f>$J$3+[5]FormattedData!O50*$J$4+$M$4*$J$5+[5]FormattedData!O50^2*$J$6+$M$5*$J$7</f>
        <v>36.552164773266242</v>
      </c>
      <c r="W47" s="5">
        <f t="shared" si="9"/>
        <v>47.422252159381095</v>
      </c>
      <c r="X47" s="4">
        <f t="shared" si="10"/>
        <v>2.1860608379783293</v>
      </c>
      <c r="Y47" s="3">
        <f t="shared" si="11"/>
        <v>36.363313469083145</v>
      </c>
      <c r="Z47" s="2">
        <f t="shared" si="12"/>
        <v>40.651690754756096</v>
      </c>
      <c r="AA47" s="3">
        <f t="shared" si="13"/>
        <v>50.322088686101914</v>
      </c>
      <c r="AB47" s="2">
        <f t="shared" si="14"/>
        <v>53.786777257700408</v>
      </c>
      <c r="AC47" s="2">
        <f t="shared" si="15"/>
        <v>56.208505097649692</v>
      </c>
      <c r="AD47" s="2">
        <f t="shared" si="16"/>
        <v>-0.58496677689903909</v>
      </c>
      <c r="AE47" s="2">
        <f t="shared" si="17"/>
        <v>-1.3909083296030644</v>
      </c>
    </row>
    <row r="48" spans="2:31" x14ac:dyDescent="0.2">
      <c r="B48" s="17">
        <f>[5]FormattedData!A48</f>
        <v>907</v>
      </c>
      <c r="C48" s="17" t="str">
        <f>VLOOKUP($B48,[5]TrtCodes!$B$11:I91,2)</f>
        <v>DS</v>
      </c>
      <c r="D48" s="17">
        <f>VLOOKUP($B48,[5]TrtCodes!$B$11:J91,3)</f>
        <v>31</v>
      </c>
      <c r="E48" s="17">
        <f>VLOOKUP($B48,[5]TrtCodes!$B$11:K91,4)</f>
        <v>8</v>
      </c>
      <c r="F48" s="17">
        <f>VLOOKUP($B48,[5]TrtCodes!$B$11:L91,5)</f>
        <v>0</v>
      </c>
      <c r="G48" s="17">
        <f>VLOOKUP($B48,[5]TrtCodes!$B$11:M91,6)</f>
        <v>1</v>
      </c>
      <c r="H48" s="17">
        <f>VLOOKUP($B48,[5]TrtCodes!$B$11:N91,7)</f>
        <v>2</v>
      </c>
      <c r="I48" s="17">
        <f>[5]FormattedData!B48</f>
        <v>1</v>
      </c>
      <c r="J48" s="15">
        <f>[5]FormattedData!C48</f>
        <v>13.494</v>
      </c>
      <c r="K48" s="14">
        <f>$J$3+[5]FormattedData!D48*$J$4+$M$4*$J$5+[5]FormattedData!D48^2*$J$6+$M$5*$J$7</f>
        <v>61.074750694157707</v>
      </c>
      <c r="L48" s="14">
        <f>$J$3+[5]FormattedData!E48*$J$4+$M$4*$J$5+[5]FormattedData!E48^2*$J$6+$M$5*$J$7</f>
        <v>61.074750694157707</v>
      </c>
      <c r="M48" s="14">
        <f>$J$3+[5]FormattedData!F48*$J$4+$M$4*$J$5+[5]FormattedData!F48^2*$J$6+$M$5*$J$7</f>
        <v>61.240016154175208</v>
      </c>
      <c r="N48" s="14">
        <f>$J$3+[5]FormattedData!G48*$J$4+$M$4*$J$5+[5]FormattedData!G48^2*$J$6+$M$5*$J$7</f>
        <v>60.826535490096951</v>
      </c>
      <c r="O48" s="14">
        <f>$J$3+[5]FormattedData!H48*$J$4+$M$4*$J$5+[5]FormattedData!H48^2*$J$6+$M$5*$J$7</f>
        <v>60.66084734470013</v>
      </c>
      <c r="P48" s="14">
        <f>$J$3+[5]FormattedData!I48*$J$4+$M$4*$J$5+[5]FormattedData!I48^2*$J$6+$M$5*$J$7</f>
        <v>60.494990125151574</v>
      </c>
      <c r="Q48" s="14">
        <f>$J$3+[5]FormattedData!J48*$J$4+$M$4*$J$5+[5]FormattedData!J48^2*$J$6+$M$5*$J$7</f>
        <v>60.577939869194815</v>
      </c>
      <c r="R48" s="14">
        <f>$J$3+[5]FormattedData!K48*$J$4+$M$4*$J$5+[5]FormattedData!K48^2*$J$6+$M$5*$J$7</f>
        <v>60.411998112570409</v>
      </c>
      <c r="S48" s="14">
        <f>$J$3+[5]FormattedData!L48*$J$4+$M$4*$J$5+[5]FormattedData!L48^2*$J$6+$M$5*$J$7</f>
        <v>59.74654034455552</v>
      </c>
      <c r="T48" s="14">
        <f>$J$3+[5]FormattedData!M48*$J$4+$M$4*$J$5+[5]FormattedData!M48^2*$J$6+$M$5*$J$7</f>
        <v>61.074750694157707</v>
      </c>
      <c r="U48" s="14">
        <f>$J$3+[5]FormattedData!N48*$J$4+$M$4*$J$5+[5]FormattedData!N48^2*$J$6+$M$5*$J$7</f>
        <v>60.66084734470013</v>
      </c>
      <c r="V48" s="14">
        <f>$J$3+[5]FormattedData!O48*$J$4+$M$4*$J$5+[5]FormattedData!O48^2*$J$6+$M$5*$J$7</f>
        <v>59.996404021595595</v>
      </c>
      <c r="W48" s="16">
        <f t="shared" si="9"/>
        <v>60.653364240767786</v>
      </c>
      <c r="X48" s="15">
        <f t="shared" si="10"/>
        <v>0.13055578990245442</v>
      </c>
      <c r="Y48" s="14">
        <f t="shared" si="11"/>
        <v>59.74654034455552</v>
      </c>
      <c r="Z48" s="13">
        <f t="shared" si="12"/>
        <v>60.474242122006281</v>
      </c>
      <c r="AA48" s="14">
        <f t="shared" si="13"/>
        <v>60.66084734470013</v>
      </c>
      <c r="AB48" s="13">
        <f t="shared" si="14"/>
        <v>61.074750694157707</v>
      </c>
      <c r="AC48" s="13">
        <f t="shared" si="15"/>
        <v>61.240016154175208</v>
      </c>
      <c r="AD48" s="13">
        <f t="shared" si="16"/>
        <v>-0.7266254376746033</v>
      </c>
      <c r="AE48" s="13">
        <f t="shared" si="17"/>
        <v>3.6382728275527576E-2</v>
      </c>
    </row>
    <row r="49" spans="2:31" ht="13.5" thickBot="1" x14ac:dyDescent="0.25">
      <c r="B49" s="12">
        <f>[5]FormattedData!A46</f>
        <v>908</v>
      </c>
      <c r="C49" s="12" t="str">
        <f>VLOOKUP($B49,[5]TrtCodes!$B$11:I89,2)</f>
        <v>Early</v>
      </c>
      <c r="D49" s="12">
        <f>VLOOKUP($B49,[5]TrtCodes!$B$11:J89,3)</f>
        <v>21</v>
      </c>
      <c r="E49" s="12">
        <f>VLOOKUP($B49,[5]TrtCodes!$B$11:K89,4)</f>
        <v>3</v>
      </c>
      <c r="F49" s="12">
        <f>VLOOKUP($B49,[5]TrtCodes!$B$11:L89,5)</f>
        <v>2</v>
      </c>
      <c r="G49" s="12">
        <f>VLOOKUP($B49,[5]TrtCodes!$B$11:M89,6)</f>
        <v>2</v>
      </c>
      <c r="H49" s="12">
        <f>VLOOKUP($B49,[5]TrtCodes!$B$11:N89,7)</f>
        <v>2</v>
      </c>
      <c r="I49" s="12">
        <f>[5]FormattedData!B46</f>
        <v>1</v>
      </c>
      <c r="J49" s="9">
        <f>[5]FormattedData!C46</f>
        <v>13.465</v>
      </c>
      <c r="K49" s="11">
        <f>$J$3+[5]FormattedData!D46*$J$4+$M$4*$J$5+[5]FormattedData!D46^2*$J$6+$M$5*$J$7</f>
        <v>56.548673244333017</v>
      </c>
      <c r="L49" s="11">
        <f>$J$3+[5]FormattedData!E46*$J$4+$M$4*$J$5+[5]FormattedData!E46^2*$J$6+$M$5*$J$7</f>
        <v>36.74084700329761</v>
      </c>
      <c r="M49" s="11">
        <f>$J$3+[5]FormattedData!F46*$J$4+$M$4*$J$5+[5]FormattedData!F46^2*$J$6+$M$5*$J$7</f>
        <v>52.508985163224558</v>
      </c>
      <c r="N49" s="11">
        <f>$J$3+[5]FormattedData!G46*$J$4+$M$4*$J$5+[5]FormattedData!G46^2*$J$6+$M$5*$J$7</f>
        <v>46.947623634403094</v>
      </c>
      <c r="O49" s="11">
        <f>$J$3+[5]FormattedData!H46*$J$4+$M$4*$J$5+[5]FormattedData!H46^2*$J$6+$M$5*$J$7</f>
        <v>45.959388961416941</v>
      </c>
      <c r="P49" s="11">
        <f>$J$3+[5]FormattedData!I46*$J$4+$M$4*$J$5+[5]FormattedData!I46^2*$J$6+$M$5*$J$7</f>
        <v>55.269555539891236</v>
      </c>
      <c r="Q49" s="11">
        <f>$J$3+[5]FormattedData!J46*$J$4+$M$4*$J$5+[5]FormattedData!J46^2*$J$6+$M$5*$J$7</f>
        <v>34.941539449123773</v>
      </c>
      <c r="R49" s="11">
        <f>$J$3+[5]FormattedData!K46*$J$4+$M$4*$J$5+[5]FormattedData!K46^2*$J$6+$M$5*$J$7</f>
        <v>56.803355534697225</v>
      </c>
      <c r="S49" s="11">
        <f>$J$3+[5]FormattedData!L46*$J$4+$M$4*$J$5+[5]FormattedData!L46^2*$J$6+$M$5*$J$7</f>
        <v>36.174293090748343</v>
      </c>
      <c r="T49" s="11">
        <f>$J$3+[5]FormattedData!M46*$J$4+$M$4*$J$5+[5]FormattedData!M46^2*$J$6+$M$5*$J$7</f>
        <v>55.952935167988926</v>
      </c>
      <c r="U49" s="11">
        <f>$J$3+[5]FormattedData!N46*$J$4+$M$4*$J$5+[5]FormattedData!N46^2*$J$6+$M$5*$J$7</f>
        <v>51.024827304572071</v>
      </c>
      <c r="V49" s="11">
        <f>$J$3+[5]FormattedData!O46*$J$4+$M$4*$J$5+[5]FormattedData!O46^2*$J$6+$M$5*$J$7</f>
        <v>38.431378736752265</v>
      </c>
      <c r="W49" s="10">
        <f t="shared" si="9"/>
        <v>47.275283569204099</v>
      </c>
      <c r="X49" s="9">
        <f t="shared" si="10"/>
        <v>2.4982142461210386</v>
      </c>
      <c r="Y49" s="8">
        <f t="shared" si="11"/>
        <v>34.941539449123773</v>
      </c>
      <c r="Z49" s="7">
        <f t="shared" si="12"/>
        <v>38.008745803388599</v>
      </c>
      <c r="AA49" s="8">
        <f t="shared" si="13"/>
        <v>48.986225469487579</v>
      </c>
      <c r="AB49" s="7">
        <f t="shared" si="14"/>
        <v>55.44040044691566</v>
      </c>
      <c r="AC49" s="7">
        <f t="shared" si="15"/>
        <v>56.803355534697225</v>
      </c>
      <c r="AD49" s="7">
        <f t="shared" si="16"/>
        <v>-0.35084362034028471</v>
      </c>
      <c r="AE49" s="7">
        <f t="shared" si="17"/>
        <v>-1.698681919864411</v>
      </c>
    </row>
    <row r="50" spans="2:31" ht="13.5" thickTop="1" x14ac:dyDescent="0.2">
      <c r="B50" s="1">
        <f>[5]FormattedData!A29</f>
        <v>101</v>
      </c>
      <c r="C50" s="1" t="str">
        <f>VLOOKUP($B50,[5]TrtCodes!$B$11:I72,2)</f>
        <v>FSH</v>
      </c>
      <c r="D50" s="1">
        <f>VLOOKUP($B50,[5]TrtCodes!$B$11:J72,3)</f>
        <v>1</v>
      </c>
      <c r="E50" s="1">
        <f>VLOOKUP($B50,[5]TrtCodes!$B$11:K72,4)</f>
        <v>1</v>
      </c>
      <c r="F50" s="1">
        <f>VLOOKUP($B50,[5]TrtCodes!$B$11:L72,5)</f>
        <v>1</v>
      </c>
      <c r="G50" s="1">
        <f>VLOOKUP($B50,[5]TrtCodes!$B$11:M72,6)</f>
        <v>2</v>
      </c>
      <c r="H50" s="1">
        <f>VLOOKUP($B50,[5]TrtCodes!$B$11:N72,7)</f>
        <v>1</v>
      </c>
      <c r="I50" s="1">
        <f>[5]FormattedData!B29</f>
        <v>2</v>
      </c>
      <c r="J50" s="4">
        <f>[5]FormattedData!C29</f>
        <v>13.28</v>
      </c>
      <c r="K50" s="6">
        <f>$J$3+[5]FormattedData!D29*$J$4+$M$4*$J$5+[5]FormattedData!D29^2*$J$6+$M$5*$J$7</f>
        <v>30.813078391773434</v>
      </c>
      <c r="L50" s="6">
        <f>$J$3+[5]FormattedData!E29*$J$4+$M$4*$J$5+[5]FormattedData!E29^2*$J$6+$M$5*$J$7</f>
        <v>31.297147514196702</v>
      </c>
      <c r="M50" s="6">
        <f>$J$3+[5]FormattedData!F29*$J$4+$M$4*$J$5+[5]FormattedData!F29^2*$J$6+$M$5*$J$7</f>
        <v>30.230800583113783</v>
      </c>
      <c r="N50" s="6">
        <f>$J$3+[5]FormattedData!G29*$J$4+$M$4*$J$5+[5]FormattedData!G29^2*$J$6+$M$5*$J$7</f>
        <v>30.133606341787754</v>
      </c>
      <c r="O50" s="6">
        <f>$J$3+[5]FormattedData!H29*$J$4+$M$4*$J$5+[5]FormattedData!H29^2*$J$6+$M$5*$J$7</f>
        <v>29.744406691104302</v>
      </c>
      <c r="P50" s="6">
        <f>$J$3+[5]FormattedData!I29*$J$4+$M$4*$J$5+[5]FormattedData!I29^2*$J$6+$M$5*$J$7</f>
        <v>29.35453074381396</v>
      </c>
      <c r="Q50" s="6">
        <f>$J$3+[5]FormattedData!J29*$J$4+$M$4*$J$5+[5]FormattedData!J29^2*$J$6+$M$5*$J$7</f>
        <v>29.452063133443446</v>
      </c>
      <c r="R50" s="6">
        <f>$J$3+[5]FormattedData!K29*$J$4+$M$4*$J$5+[5]FormattedData!K29^2*$J$6+$M$5*$J$7</f>
        <v>28.57274995941258</v>
      </c>
      <c r="S50" s="6">
        <f>$J$3+[5]FormattedData!L29*$J$4+$M$4*$J$5+[5]FormattedData!L29^2*$J$6+$M$5*$J$7</f>
        <v>29.061679963697927</v>
      </c>
      <c r="T50" s="6">
        <f>$J$3+[5]FormattedData!M29*$J$4+$M$4*$J$5+[5]FormattedData!M29^2*$J$6+$M$5*$J$7</f>
        <v>30.036369831923782</v>
      </c>
      <c r="U50" s="6">
        <f>$J$3+[5]FormattedData!N29*$J$4+$M$4*$J$5+[5]FormattedData!N29^2*$J$6+$M$5*$J$7</f>
        <v>29.939091053521889</v>
      </c>
      <c r="V50" s="6">
        <f>$J$3+[5]FormattedData!O29*$J$4+$M$4*$J$5+[5]FormattedData!O29^2*$J$6+$M$5*$J$7</f>
        <v>30.522129695864297</v>
      </c>
      <c r="W50" s="5">
        <f t="shared" si="9"/>
        <v>29.929804491971158</v>
      </c>
      <c r="X50" s="4">
        <f t="shared" si="10"/>
        <v>0.21903734562759203</v>
      </c>
      <c r="Y50" s="3">
        <f t="shared" si="11"/>
        <v>28.57274995941258</v>
      </c>
      <c r="Z50" s="2">
        <f t="shared" si="12"/>
        <v>29.427680036036072</v>
      </c>
      <c r="AA50" s="3">
        <f t="shared" si="13"/>
        <v>29.987730442722835</v>
      </c>
      <c r="AB50" s="2">
        <f t="shared" si="14"/>
        <v>30.303632861301413</v>
      </c>
      <c r="AC50" s="2">
        <f t="shared" si="15"/>
        <v>31.297147514196702</v>
      </c>
      <c r="AD50" s="2">
        <f t="shared" si="16"/>
        <v>7.7657796329726365E-3</v>
      </c>
      <c r="AE50" s="2">
        <f t="shared" si="17"/>
        <v>-5.92343593832374E-2</v>
      </c>
    </row>
    <row r="51" spans="2:31" x14ac:dyDescent="0.2">
      <c r="B51" s="1">
        <f>[5]FormattedData!A27</f>
        <v>102</v>
      </c>
      <c r="C51" s="1" t="str">
        <f>VLOOKUP($B51,[5]TrtCodes!$B$11:I70,2)</f>
        <v>FTL</v>
      </c>
      <c r="D51" s="1">
        <f>VLOOKUP($B51,[5]TrtCodes!$B$11:J70,3)</f>
        <v>4</v>
      </c>
      <c r="E51" s="1">
        <f>VLOOKUP($B51,[5]TrtCodes!$B$11:K70,4)</f>
        <v>1</v>
      </c>
      <c r="F51" s="1">
        <f>VLOOKUP($B51,[5]TrtCodes!$B$11:L70,5)</f>
        <v>2</v>
      </c>
      <c r="G51" s="1">
        <f>VLOOKUP($B51,[5]TrtCodes!$B$11:M70,6)</f>
        <v>1</v>
      </c>
      <c r="H51" s="1">
        <f>VLOOKUP($B51,[5]TrtCodes!$B$11:N70,7)</f>
        <v>1</v>
      </c>
      <c r="I51" s="1">
        <f>[5]FormattedData!B27</f>
        <v>2</v>
      </c>
      <c r="J51" s="4">
        <f>[5]FormattedData!C27</f>
        <v>13.26</v>
      </c>
      <c r="K51" s="6">
        <f>$J$3+[5]FormattedData!D27*$J$4+$M$4*$J$5+[5]FormattedData!D27^2*$J$6+$M$5*$J$7</f>
        <v>30.619154863038609</v>
      </c>
      <c r="L51" s="6">
        <f>$J$3+[5]FormattedData!E27*$J$4+$M$4*$J$5+[5]FormattedData!E27^2*$J$6+$M$5*$J$7</f>
        <v>30.133606341787754</v>
      </c>
      <c r="M51" s="6">
        <f>$J$3+[5]FormattedData!F27*$J$4+$M$4*$J$5+[5]FormattedData!F27^2*$J$6+$M$5*$J$7</f>
        <v>31.103646670841187</v>
      </c>
      <c r="N51" s="6">
        <f>$J$3+[5]FormattedData!G27*$J$4+$M$4*$J$5+[5]FormattedData!G27^2*$J$6+$M$5*$J$7</f>
        <v>31.103646670841187</v>
      </c>
      <c r="O51" s="6">
        <f>$J$3+[5]FormattedData!H27*$J$4+$M$4*$J$5+[5]FormattedData!H27^2*$J$6+$M$5*$J$7</f>
        <v>30.522129695864297</v>
      </c>
      <c r="P51" s="6">
        <f>$J$3+[5]FormattedData!I27*$J$4+$M$4*$J$5+[5]FormattedData!I27^2*$J$6+$M$5*$J$7</f>
        <v>29.744406691104302</v>
      </c>
      <c r="Q51" s="6">
        <f>$J$3+[5]FormattedData!J27*$J$4+$M$4*$J$5+[5]FormattedData!J27^2*$J$6+$M$5*$J$7</f>
        <v>31.973069006996166</v>
      </c>
      <c r="R51" s="6">
        <f>$J$3+[5]FormattedData!K27*$J$4+$M$4*$J$5+[5]FormattedData!K27^2*$J$6+$M$5*$J$7</f>
        <v>30.716137761674986</v>
      </c>
      <c r="S51" s="6">
        <f>$J$3+[5]FormattedData!L27*$J$4+$M$4*$J$5+[5]FormattedData!L27^2*$J$6+$M$5*$J$7</f>
        <v>30.230800583113783</v>
      </c>
      <c r="T51" s="6">
        <f>$J$3+[5]FormattedData!M27*$J$4+$M$4*$J$5+[5]FormattedData!M27^2*$J$6+$M$5*$J$7</f>
        <v>31.103646670841187</v>
      </c>
      <c r="U51" s="6">
        <f>$J$3+[5]FormattedData!N27*$J$4+$M$4*$J$5+[5]FormattedData!N27^2*$J$6+$M$5*$J$7</f>
        <v>29.939091053521889</v>
      </c>
      <c r="V51" s="6">
        <f>$J$3+[5]FormattedData!O27*$J$4+$M$4*$J$5+[5]FormattedData!O27^2*$J$6+$M$5*$J$7</f>
        <v>30.716137761674986</v>
      </c>
      <c r="W51" s="5">
        <f t="shared" si="9"/>
        <v>30.658789480941692</v>
      </c>
      <c r="X51" s="4">
        <f t="shared" si="10"/>
        <v>0.1775443269516549</v>
      </c>
      <c r="Y51" s="3">
        <f t="shared" si="11"/>
        <v>29.744406691104302</v>
      </c>
      <c r="Z51" s="2">
        <f t="shared" si="12"/>
        <v>30.206502022782274</v>
      </c>
      <c r="AA51" s="3">
        <f t="shared" si="13"/>
        <v>30.667646312356798</v>
      </c>
      <c r="AB51" s="2">
        <f t="shared" si="14"/>
        <v>31.103646670841187</v>
      </c>
      <c r="AC51" s="2">
        <f t="shared" si="15"/>
        <v>31.973069006996166</v>
      </c>
      <c r="AD51" s="2">
        <f t="shared" si="16"/>
        <v>0.54934831260349359</v>
      </c>
      <c r="AE51" s="2">
        <f t="shared" si="17"/>
        <v>0.56839464097270298</v>
      </c>
    </row>
    <row r="52" spans="2:31" x14ac:dyDescent="0.2">
      <c r="B52" s="1">
        <f>[5]FormattedData!A25</f>
        <v>103</v>
      </c>
      <c r="C52" s="1" t="str">
        <f>VLOOKUP($B52,[5]TrtCodes!$B$11:I68,2)</f>
        <v>FDH</v>
      </c>
      <c r="D52" s="1">
        <f>VLOOKUP($B52,[5]TrtCodes!$B$11:J68,3)</f>
        <v>5</v>
      </c>
      <c r="E52" s="1">
        <f>VLOOKUP($B52,[5]TrtCodes!$B$11:K68,4)</f>
        <v>1</v>
      </c>
      <c r="F52" s="1">
        <f>VLOOKUP($B52,[5]TrtCodes!$B$11:L68,5)</f>
        <v>3</v>
      </c>
      <c r="G52" s="1">
        <f>VLOOKUP($B52,[5]TrtCodes!$B$11:M68,6)</f>
        <v>2</v>
      </c>
      <c r="H52" s="1">
        <f>VLOOKUP($B52,[5]TrtCodes!$B$11:N68,7)</f>
        <v>1</v>
      </c>
      <c r="I52" s="1">
        <f>[5]FormattedData!B25</f>
        <v>2</v>
      </c>
      <c r="J52" s="4">
        <f>[5]FormattedData!C25</f>
        <v>13.239000000000001</v>
      </c>
      <c r="K52" s="6">
        <f>$J$3+[5]FormattedData!D25*$J$4+$M$4*$J$5+[5]FormattedData!D25^2*$J$6+$M$5*$J$7</f>
        <v>31.683641978452549</v>
      </c>
      <c r="L52" s="6">
        <f>$J$3+[5]FormattedData!E25*$J$4+$M$4*$J$5+[5]FormattedData!E25^2*$J$6+$M$5*$J$7</f>
        <v>31.973069006996166</v>
      </c>
      <c r="M52" s="6">
        <f>$J$3+[5]FormattedData!F25*$J$4+$M$4*$J$5+[5]FormattedData!F25^2*$J$6+$M$5*$J$7</f>
        <v>34.27479022905537</v>
      </c>
      <c r="N52" s="6">
        <f>$J$3+[5]FormattedData!G25*$J$4+$M$4*$J$5+[5]FormattedData!G25^2*$J$6+$M$5*$J$7</f>
        <v>33.126972952756809</v>
      </c>
      <c r="O52" s="6">
        <f>$J$3+[5]FormattedData!H25*$J$4+$M$4*$J$5+[5]FormattedData!H25^2*$J$6+$M$5*$J$7</f>
        <v>32.454602017143564</v>
      </c>
      <c r="P52" s="6">
        <f>$J$3+[5]FormattedData!I25*$J$4+$M$4*$J$5+[5]FormattedData!I25^2*$J$6+$M$5*$J$7</f>
        <v>33.605969850628341</v>
      </c>
      <c r="Q52" s="6">
        <f>$J$3+[5]FormattedData!J25*$J$4+$M$4*$J$5+[5]FormattedData!J25^2*$J$6+$M$5*$J$7</f>
        <v>32.069460146101505</v>
      </c>
      <c r="R52" s="6">
        <f>$J$3+[5]FormattedData!K25*$J$4+$M$4*$J$5+[5]FormattedData!K25^2*$J$6+$M$5*$J$7</f>
        <v>31.973069006996166</v>
      </c>
      <c r="S52" s="6">
        <f>$J$3+[5]FormattedData!L25*$J$4+$M$4*$J$5+[5]FormattedData!L25^2*$J$6+$M$5*$J$7</f>
        <v>32.550781813559247</v>
      </c>
      <c r="T52" s="6">
        <f>$J$3+[5]FormattedData!M25*$J$4+$M$4*$J$5+[5]FormattedData!M25^2*$J$6+$M$5*$J$7</f>
        <v>33.222856869406975</v>
      </c>
      <c r="U52" s="6">
        <f>$J$3+[5]FormattedData!N25*$J$4+$M$4*$J$5+[5]FormattedData!N25^2*$J$6+$M$5*$J$7</f>
        <v>32.262115618698395</v>
      </c>
      <c r="V52" s="6">
        <f>$J$3+[5]FormattedData!O25*$J$4+$M$4*$J$5+[5]FormattedData!O25^2*$J$6+$M$5*$J$7</f>
        <v>33.222856869406975</v>
      </c>
      <c r="W52" s="5">
        <f t="shared" si="9"/>
        <v>32.701682196600174</v>
      </c>
      <c r="X52" s="4">
        <f t="shared" si="10"/>
        <v>0.22682636921070073</v>
      </c>
      <c r="Y52" s="3">
        <f t="shared" si="11"/>
        <v>31.683641978452549</v>
      </c>
      <c r="Z52" s="2">
        <f t="shared" si="12"/>
        <v>32.045362361325168</v>
      </c>
      <c r="AA52" s="3">
        <f t="shared" si="13"/>
        <v>32.502691915351406</v>
      </c>
      <c r="AB52" s="2">
        <f t="shared" si="14"/>
        <v>33.222856869406975</v>
      </c>
      <c r="AC52" s="2">
        <f t="shared" si="15"/>
        <v>34.27479022905537</v>
      </c>
      <c r="AD52" s="2">
        <f t="shared" si="16"/>
        <v>0.63134573057880761</v>
      </c>
      <c r="AE52" s="2">
        <f t="shared" si="17"/>
        <v>-0.3905629523012828</v>
      </c>
    </row>
    <row r="53" spans="2:31" x14ac:dyDescent="0.2">
      <c r="B53" s="1">
        <f>[5]FormattedData!A23</f>
        <v>104</v>
      </c>
      <c r="C53" s="1" t="str">
        <f>VLOOKUP($B53,[5]TrtCodes!$B$11:I66,2)</f>
        <v>NTL</v>
      </c>
      <c r="D53" s="1">
        <f>VLOOKUP($B53,[5]TrtCodes!$B$11:J66,3)</f>
        <v>10</v>
      </c>
      <c r="E53" s="1">
        <f>VLOOKUP($B53,[5]TrtCodes!$B$11:K66,4)</f>
        <v>2</v>
      </c>
      <c r="F53" s="1">
        <f>VLOOKUP($B53,[5]TrtCodes!$B$11:L66,5)</f>
        <v>2</v>
      </c>
      <c r="G53" s="1">
        <f>VLOOKUP($B53,[5]TrtCodes!$B$11:M66,6)</f>
        <v>1</v>
      </c>
      <c r="H53" s="1">
        <f>VLOOKUP($B53,[5]TrtCodes!$B$11:N66,7)</f>
        <v>1</v>
      </c>
      <c r="I53" s="1">
        <f>[5]FormattedData!B23</f>
        <v>2</v>
      </c>
      <c r="J53" s="4">
        <f>[5]FormattedData!C23</f>
        <v>13.215</v>
      </c>
      <c r="K53" s="6">
        <f>$J$3+[5]FormattedData!D23*$J$4+$M$4*$J$5+[5]FormattedData!D23^2*$J$6+$M$5*$J$7</f>
        <v>29.061679963697927</v>
      </c>
      <c r="L53" s="6">
        <f>$J$3+[5]FormattedData!E23*$J$4+$M$4*$J$5+[5]FormattedData!E23^2*$J$6+$M$5*$J$7</f>
        <v>29.452063133443446</v>
      </c>
      <c r="M53" s="6">
        <f>$J$3+[5]FormattedData!F23*$J$4+$M$4*$J$5+[5]FormattedData!F23^2*$J$6+$M$5*$J$7</f>
        <v>30.716137761674986</v>
      </c>
      <c r="N53" s="6">
        <f>$J$3+[5]FormattedData!G23*$J$4+$M$4*$J$5+[5]FormattedData!G23^2*$J$6+$M$5*$J$7</f>
        <v>29.061679963697927</v>
      </c>
      <c r="O53" s="6">
        <f>$J$3+[5]FormattedData!H23*$J$4+$M$4*$J$5+[5]FormattedData!H23^2*$J$6+$M$5*$J$7</f>
        <v>29.061679963697927</v>
      </c>
      <c r="P53" s="6">
        <f>$J$3+[5]FormattedData!I23*$J$4+$M$4*$J$5+[5]FormattedData!I23^2*$J$6+$M$5*$J$7</f>
        <v>30.909976753333947</v>
      </c>
      <c r="Q53" s="6">
        <f>$J$3+[5]FormattedData!J23*$J$4+$M$4*$J$5+[5]FormattedData!J23^2*$J$6+$M$5*$J$7</f>
        <v>29.159339158941204</v>
      </c>
      <c r="R53" s="6">
        <f>$J$3+[5]FormattedData!K23*$J$4+$M$4*$J$5+[5]FormattedData!K23^2*$J$6+$M$5*$J$7</f>
        <v>30.813078391773434</v>
      </c>
      <c r="S53" s="6">
        <f>$J$3+[5]FormattedData!L23*$J$4+$M$4*$J$5+[5]FormattedData!L23^2*$J$6+$M$5*$J$7</f>
        <v>28.96397849991672</v>
      </c>
      <c r="T53" s="6">
        <f>$J$3+[5]FormattedData!M23*$J$4+$M$4*$J$5+[5]FormattedData!M23^2*$J$6+$M$5*$J$7</f>
        <v>28.474837152941717</v>
      </c>
      <c r="U53" s="6">
        <f>$J$3+[5]FormattedData!N23*$J$4+$M$4*$J$5+[5]FormattedData!N23^2*$J$6+$M$5*$J$7</f>
        <v>27.984639092518439</v>
      </c>
      <c r="V53" s="6">
        <f>$J$3+[5]FormattedData!O23*$J$4+$M$4*$J$5+[5]FormattedData!O23^2*$J$6+$M$5*$J$7</f>
        <v>27.984639092518439</v>
      </c>
      <c r="W53" s="5">
        <f t="shared" si="9"/>
        <v>29.303644077346338</v>
      </c>
      <c r="X53" s="4">
        <f t="shared" si="10"/>
        <v>0.29328558024853241</v>
      </c>
      <c r="Y53" s="3">
        <f t="shared" si="11"/>
        <v>27.984639092518439</v>
      </c>
      <c r="Z53" s="2">
        <f t="shared" si="12"/>
        <v>28.84169316317297</v>
      </c>
      <c r="AA53" s="3">
        <f t="shared" si="13"/>
        <v>29.061679963697927</v>
      </c>
      <c r="AB53" s="2">
        <f t="shared" si="14"/>
        <v>29.768081790501331</v>
      </c>
      <c r="AC53" s="2">
        <f t="shared" si="15"/>
        <v>30.909976753333947</v>
      </c>
      <c r="AD53" s="2">
        <f t="shared" si="16"/>
        <v>0.53695870876916041</v>
      </c>
      <c r="AE53" s="2">
        <f t="shared" si="17"/>
        <v>-0.72341872259879114</v>
      </c>
    </row>
    <row r="54" spans="2:31" x14ac:dyDescent="0.2">
      <c r="B54" s="1">
        <f>[5]FormattedData!A21</f>
        <v>105</v>
      </c>
      <c r="C54" s="1" t="str">
        <f>VLOOKUP($B54,[5]TrtCodes!$B$11:I64,2)</f>
        <v>NDL</v>
      </c>
      <c r="D54" s="1">
        <f>VLOOKUP($B54,[5]TrtCodes!$B$11:J64,3)</f>
        <v>12</v>
      </c>
      <c r="E54" s="1">
        <f>VLOOKUP($B54,[5]TrtCodes!$B$11:K64,4)</f>
        <v>2</v>
      </c>
      <c r="F54" s="1">
        <f>VLOOKUP($B54,[5]TrtCodes!$B$11:L64,5)</f>
        <v>3</v>
      </c>
      <c r="G54" s="1">
        <f>VLOOKUP($B54,[5]TrtCodes!$B$11:M64,6)</f>
        <v>1</v>
      </c>
      <c r="H54" s="1">
        <f>VLOOKUP($B54,[5]TrtCodes!$B$11:N64,7)</f>
        <v>2</v>
      </c>
      <c r="I54" s="1">
        <f>[5]FormattedData!B21</f>
        <v>2</v>
      </c>
      <c r="J54" s="4">
        <f>[5]FormattedData!C21</f>
        <v>13.192</v>
      </c>
      <c r="K54" s="6">
        <f>$J$3+[5]FormattedData!D21*$J$4+$M$4*$J$5+[5]FormattedData!D21^2*$J$6+$M$5*$J$7</f>
        <v>28.866234767597582</v>
      </c>
      <c r="L54" s="6">
        <f>$J$3+[5]FormattedData!E21*$J$4+$M$4*$J$5+[5]FormattedData!E21^2*$J$6+$M$5*$J$7</f>
        <v>27.001072831327043</v>
      </c>
      <c r="M54" s="6">
        <f>$J$3+[5]FormattedData!F21*$J$4+$M$4*$J$5+[5]FormattedData!F21^2*$J$6+$M$5*$J$7</f>
        <v>28.96397849991672</v>
      </c>
      <c r="N54" s="6">
        <f>$J$3+[5]FormattedData!G21*$J$4+$M$4*$J$5+[5]FormattedData!G21^2*$J$6+$M$5*$J$7</f>
        <v>29.452063133443446</v>
      </c>
      <c r="O54" s="6">
        <f>$J$3+[5]FormattedData!H21*$J$4+$M$4*$J$5+[5]FormattedData!H21^2*$J$6+$M$5*$J$7</f>
        <v>28.082763241678954</v>
      </c>
      <c r="P54" s="6">
        <f>$J$3+[5]FormattedData!I21*$J$4+$M$4*$J$5+[5]FormattedData!I21^2*$J$6+$M$5*$J$7</f>
        <v>28.376882077932926</v>
      </c>
      <c r="Q54" s="6">
        <f>$J$3+[5]FormattedData!J21*$J$4+$M$4*$J$5+[5]FormattedData!J21^2*$J$6+$M$5*$J$7</f>
        <v>29.939091053521889</v>
      </c>
      <c r="R54" s="6">
        <f>$J$3+[5]FormattedData!K21*$J$4+$M$4*$J$5+[5]FormattedData!K21^2*$J$6+$M$5*$J$7</f>
        <v>28.474837152941717</v>
      </c>
      <c r="S54" s="6">
        <f>$J$3+[5]FormattedData!L21*$J$4+$M$4*$J$5+[5]FormattedData!L21^2*$J$6+$M$5*$J$7</f>
        <v>29.159339158941204</v>
      </c>
      <c r="T54" s="6">
        <f>$J$3+[5]FormattedData!M21*$J$4+$M$4*$J$5+[5]FormattedData!M21^2*$J$6+$M$5*$J$7</f>
        <v>30.036369831923782</v>
      </c>
      <c r="U54" s="6">
        <f>$J$3+[5]FormattedData!N21*$J$4+$M$4*$J$5+[5]FormattedData!N21^2*$J$6+$M$5*$J$7</f>
        <v>28.180845122301541</v>
      </c>
      <c r="V54" s="6">
        <f>$J$3+[5]FormattedData!O21*$J$4+$M$4*$J$5+[5]FormattedData!O21^2*$J$6+$M$5*$J$7</f>
        <v>29.549553254534992</v>
      </c>
      <c r="W54" s="5">
        <f t="shared" si="9"/>
        <v>28.840252510505149</v>
      </c>
      <c r="X54" s="4">
        <f t="shared" si="10"/>
        <v>0.25185362197447458</v>
      </c>
      <c r="Y54" s="3">
        <f t="shared" si="11"/>
        <v>27.001072831327043</v>
      </c>
      <c r="Z54" s="2">
        <f t="shared" si="12"/>
        <v>28.32787283902508</v>
      </c>
      <c r="AA54" s="3">
        <f t="shared" si="13"/>
        <v>28.915106633757151</v>
      </c>
      <c r="AB54" s="2">
        <f t="shared" si="14"/>
        <v>29.47643566371633</v>
      </c>
      <c r="AC54" s="2">
        <f t="shared" si="15"/>
        <v>30.036369831923782</v>
      </c>
      <c r="AD54" s="2">
        <f t="shared" si="16"/>
        <v>-0.56387318377596529</v>
      </c>
      <c r="AE54" s="2">
        <f t="shared" si="17"/>
        <v>0.30002485525637557</v>
      </c>
    </row>
    <row r="55" spans="2:31" x14ac:dyDescent="0.2">
      <c r="B55" s="1">
        <f>[5]FormattedData!A19</f>
        <v>106</v>
      </c>
      <c r="C55" s="1" t="str">
        <f>VLOOKUP($B55,[5]TrtCodes!$B$11:I62,2)</f>
        <v>NTH</v>
      </c>
      <c r="D55" s="1">
        <f>VLOOKUP($B55,[5]TrtCodes!$B$11:J62,3)</f>
        <v>9</v>
      </c>
      <c r="E55" s="1">
        <f>VLOOKUP($B55,[5]TrtCodes!$B$11:K62,4)</f>
        <v>2</v>
      </c>
      <c r="F55" s="1">
        <f>VLOOKUP($B55,[5]TrtCodes!$B$11:L62,5)</f>
        <v>2</v>
      </c>
      <c r="G55" s="1">
        <f>VLOOKUP($B55,[5]TrtCodes!$B$11:M62,6)</f>
        <v>2</v>
      </c>
      <c r="H55" s="1">
        <f>VLOOKUP($B55,[5]TrtCodes!$B$11:N62,7)</f>
        <v>2</v>
      </c>
      <c r="I55" s="1">
        <f>[5]FormattedData!B19</f>
        <v>2</v>
      </c>
      <c r="J55" s="4">
        <f>[5]FormattedData!C19</f>
        <v>13.170999999999999</v>
      </c>
      <c r="K55" s="6">
        <f>$J$3+[5]FormattedData!D19*$J$4+$M$4*$J$5+[5]FormattedData!D19^2*$J$6+$M$5*$J$7</f>
        <v>30.230800583113783</v>
      </c>
      <c r="L55" s="6">
        <f>$J$3+[5]FormattedData!E19*$J$4+$M$4*$J$5+[5]FormattedData!E19^2*$J$6+$M$5*$J$7</f>
        <v>29.159339158941204</v>
      </c>
      <c r="M55" s="6">
        <f>$J$3+[5]FormattedData!F19*$J$4+$M$4*$J$5+[5]FormattedData!F19^2*$J$6+$M$5*$J$7</f>
        <v>29.256956085646546</v>
      </c>
      <c r="N55" s="6">
        <f>$J$3+[5]FormattedData!G19*$J$4+$M$4*$J$5+[5]FormattedData!G19^2*$J$6+$M$5*$J$7</f>
        <v>29.647001107088617</v>
      </c>
      <c r="O55" s="6">
        <f>$J$3+[5]FormattedData!H19*$J$4+$M$4*$J$5+[5]FormattedData!H19^2*$J$6+$M$5*$J$7</f>
        <v>30.036369831923782</v>
      </c>
      <c r="P55" s="6">
        <f>$J$3+[5]FormattedData!I19*$J$4+$M$4*$J$5+[5]FormattedData!I19^2*$J$6+$M$5*$J$7</f>
        <v>29.939091053521889</v>
      </c>
      <c r="Q55" s="6">
        <f>$J$3+[5]FormattedData!J19*$J$4+$M$4*$J$5+[5]FormattedData!J19^2*$J$6+$M$5*$J$7</f>
        <v>30.327952555901891</v>
      </c>
      <c r="R55" s="6">
        <f>$J$3+[5]FormattedData!K19*$J$4+$M$4*$J$5+[5]FormattedData!K19^2*$J$6+$M$5*$J$7</f>
        <v>30.522129695864297</v>
      </c>
      <c r="S55" s="6">
        <f>$J$3+[5]FormattedData!L19*$J$4+$M$4*$J$5+[5]FormattedData!L19^2*$J$6+$M$5*$J$7</f>
        <v>29.841770006582067</v>
      </c>
      <c r="T55" s="6">
        <f>$J$3+[5]FormattedData!M19*$J$4+$M$4*$J$5+[5]FormattedData!M19^2*$J$6+$M$5*$J$7</f>
        <v>29.061679963697927</v>
      </c>
      <c r="U55" s="6">
        <f>$J$3+[5]FormattedData!N19*$J$4+$M$4*$J$5+[5]FormattedData!N19^2*$J$6+$M$5*$J$7</f>
        <v>31.683641978452549</v>
      </c>
      <c r="V55" s="6">
        <f>$J$3+[5]FormattedData!O19*$J$4+$M$4*$J$5+[5]FormattedData!O19^2*$J$6+$M$5*$J$7</f>
        <v>30.133606341787754</v>
      </c>
      <c r="W55" s="5">
        <f t="shared" si="9"/>
        <v>29.98669486354353</v>
      </c>
      <c r="X55" s="4">
        <f t="shared" si="10"/>
        <v>0.20556214252875948</v>
      </c>
      <c r="Y55" s="3">
        <f t="shared" si="11"/>
        <v>29.061679963697927</v>
      </c>
      <c r="Z55" s="2">
        <f t="shared" si="12"/>
        <v>29.549489851728097</v>
      </c>
      <c r="AA55" s="3">
        <f t="shared" si="13"/>
        <v>29.987730442722835</v>
      </c>
      <c r="AB55" s="2">
        <f t="shared" si="14"/>
        <v>30.255088576310811</v>
      </c>
      <c r="AC55" s="2">
        <f t="shared" si="15"/>
        <v>31.683641978452549</v>
      </c>
      <c r="AD55" s="2">
        <f t="shared" si="16"/>
        <v>0.999697974838338</v>
      </c>
      <c r="AE55" s="2">
        <f t="shared" si="17"/>
        <v>2.0278080555281823</v>
      </c>
    </row>
    <row r="56" spans="2:31" x14ac:dyDescent="0.2">
      <c r="B56" s="1">
        <f>[5]FormattedData!A17</f>
        <v>107</v>
      </c>
      <c r="C56" s="1" t="str">
        <f>VLOOKUP($B56,[5]TrtCodes!$B$11:I60,2)</f>
        <v>NTL</v>
      </c>
      <c r="D56" s="1">
        <f>VLOOKUP($B56,[5]TrtCodes!$B$11:J60,3)</f>
        <v>10</v>
      </c>
      <c r="E56" s="1">
        <f>VLOOKUP($B56,[5]TrtCodes!$B$11:K60,4)</f>
        <v>2</v>
      </c>
      <c r="F56" s="1">
        <f>VLOOKUP($B56,[5]TrtCodes!$B$11:L60,5)</f>
        <v>2</v>
      </c>
      <c r="G56" s="1">
        <f>VLOOKUP($B56,[5]TrtCodes!$B$11:M60,6)</f>
        <v>1</v>
      </c>
      <c r="H56" s="1">
        <f>VLOOKUP($B56,[5]TrtCodes!$B$11:N60,7)</f>
        <v>2</v>
      </c>
      <c r="I56" s="1">
        <f>[5]FormattedData!B17</f>
        <v>2</v>
      </c>
      <c r="J56" s="4">
        <f>[5]FormattedData!C17</f>
        <v>13.148</v>
      </c>
      <c r="K56" s="6">
        <f>$J$3+[5]FormattedData!D17*$J$4+$M$4*$J$5+[5]FormattedData!D17^2*$J$6+$M$5*$J$7</f>
        <v>29.549553254534992</v>
      </c>
      <c r="L56" s="6">
        <f>$J$3+[5]FormattedData!E17*$J$4+$M$4*$J$5+[5]FormattedData!E17^2*$J$6+$M$5*$J$7</f>
        <v>30.133606341787754</v>
      </c>
      <c r="M56" s="6">
        <f>$J$3+[5]FormattedData!F17*$J$4+$M$4*$J$5+[5]FormattedData!F17^2*$J$6+$M$5*$J$7</f>
        <v>30.036369831923782</v>
      </c>
      <c r="N56" s="6">
        <f>$J$3+[5]FormattedData!G17*$J$4+$M$4*$J$5+[5]FormattedData!G17^2*$J$6+$M$5*$J$7</f>
        <v>29.549553254534992</v>
      </c>
      <c r="O56" s="6">
        <f>$J$3+[5]FormattedData!H17*$J$4+$M$4*$J$5+[5]FormattedData!H17^2*$J$6+$M$5*$J$7</f>
        <v>30.230800583113783</v>
      </c>
      <c r="P56" s="6">
        <f>$J$3+[5]FormattedData!I17*$J$4+$M$4*$J$5+[5]FormattedData!I17^2*$J$6+$M$5*$J$7</f>
        <v>27.395006558258771</v>
      </c>
      <c r="Q56" s="6">
        <f>$J$3+[5]FormattedData!J17*$J$4+$M$4*$J$5+[5]FormattedData!J17^2*$J$6+$M$5*$J$7</f>
        <v>30.327952555901891</v>
      </c>
      <c r="R56" s="6">
        <f>$J$3+[5]FormattedData!K17*$J$4+$M$4*$J$5+[5]FormattedData!K17^2*$J$6+$M$5*$J$7</f>
        <v>29.452063133443446</v>
      </c>
      <c r="S56" s="6">
        <f>$J$3+[5]FormattedData!L17*$J$4+$M$4*$J$5+[5]FormattedData!L17^2*$J$6+$M$5*$J$7</f>
        <v>30.522129695864297</v>
      </c>
      <c r="T56" s="6">
        <f>$J$3+[5]FormattedData!M17*$J$4+$M$4*$J$5+[5]FormattedData!M17^2*$J$6+$M$5*$J$7</f>
        <v>31.780159923171688</v>
      </c>
      <c r="U56" s="6">
        <f>$J$3+[5]FormattedData!N17*$J$4+$M$4*$J$5+[5]FormattedData!N17^2*$J$6+$M$5*$J$7</f>
        <v>31.006832846356527</v>
      </c>
      <c r="V56" s="6">
        <f>$J$3+[5]FormattedData!O17*$J$4+$M$4*$J$5+[5]FormattedData!O17^2*$J$6+$M$5*$J$7</f>
        <v>30.522129695864297</v>
      </c>
      <c r="W56" s="5">
        <f t="shared" si="9"/>
        <v>30.042179806229687</v>
      </c>
      <c r="X56" s="4">
        <f t="shared" si="10"/>
        <v>0.30623070536755059</v>
      </c>
      <c r="Y56" s="3">
        <f t="shared" si="11"/>
        <v>27.395006558258771</v>
      </c>
      <c r="Z56" s="2">
        <f t="shared" si="12"/>
        <v>29.549553254534992</v>
      </c>
      <c r="AA56" s="3">
        <f t="shared" si="13"/>
        <v>30.182203462450769</v>
      </c>
      <c r="AB56" s="2">
        <f t="shared" si="14"/>
        <v>30.522129695864297</v>
      </c>
      <c r="AC56" s="2">
        <f t="shared" si="15"/>
        <v>31.780159923171688</v>
      </c>
      <c r="AD56" s="2">
        <f t="shared" si="16"/>
        <v>-1.1510233899394418</v>
      </c>
      <c r="AE56" s="2">
        <f t="shared" si="17"/>
        <v>3.3639501393816849</v>
      </c>
    </row>
    <row r="57" spans="2:31" x14ac:dyDescent="0.2">
      <c r="B57" s="1">
        <f>[5]FormattedData!A15</f>
        <v>108</v>
      </c>
      <c r="C57" s="1" t="str">
        <f>VLOOKUP($B57,[5]TrtCodes!$B$11:I58,2)</f>
        <v>FTH</v>
      </c>
      <c r="D57" s="1">
        <f>VLOOKUP($B57,[5]TrtCodes!$B$11:J58,3)</f>
        <v>3</v>
      </c>
      <c r="E57" s="1">
        <f>VLOOKUP($B57,[5]TrtCodes!$B$11:K58,4)</f>
        <v>1</v>
      </c>
      <c r="F57" s="1">
        <f>VLOOKUP($B57,[5]TrtCodes!$B$11:L58,5)</f>
        <v>2</v>
      </c>
      <c r="G57" s="1">
        <f>VLOOKUP($B57,[5]TrtCodes!$B$11:M58,6)</f>
        <v>2</v>
      </c>
      <c r="H57" s="1">
        <f>VLOOKUP($B57,[5]TrtCodes!$B$11:N58,7)</f>
        <v>2</v>
      </c>
      <c r="I57" s="1">
        <f>[5]FormattedData!B15</f>
        <v>2</v>
      </c>
      <c r="J57" s="4">
        <f>[5]FormattedData!C15</f>
        <v>13.125</v>
      </c>
      <c r="K57" s="6">
        <f>$J$3+[5]FormattedData!D15*$J$4+$M$4*$J$5+[5]FormattedData!D15^2*$J$6+$M$5*$J$7</f>
        <v>29.35453074381396</v>
      </c>
      <c r="L57" s="6">
        <f>$J$3+[5]FormattedData!E15*$J$4+$M$4*$J$5+[5]FormattedData!E15^2*$J$6+$M$5*$J$7</f>
        <v>30.522129695864297</v>
      </c>
      <c r="M57" s="6">
        <f>$J$3+[5]FormattedData!F15*$J$4+$M$4*$J$5+[5]FormattedData!F15^2*$J$6+$M$5*$J$7</f>
        <v>30.230800583113783</v>
      </c>
      <c r="N57" s="6">
        <f>$J$3+[5]FormattedData!G15*$J$4+$M$4*$J$5+[5]FormattedData!G15^2*$J$6+$M$5*$J$7</f>
        <v>29.061679963697927</v>
      </c>
      <c r="O57" s="6">
        <f>$J$3+[5]FormattedData!H15*$J$4+$M$4*$J$5+[5]FormattedData!H15^2*$J$6+$M$5*$J$7</f>
        <v>28.96397849991672</v>
      </c>
      <c r="P57" s="6">
        <f>$J$3+[5]FormattedData!I15*$J$4+$M$4*$J$5+[5]FormattedData!I15^2*$J$6+$M$5*$J$7</f>
        <v>29.939091053521889</v>
      </c>
      <c r="Q57" s="6">
        <f>$J$3+[5]FormattedData!J15*$J$4+$M$4*$J$5+[5]FormattedData!J15^2*$J$6+$M$5*$J$7</f>
        <v>30.909976753333947</v>
      </c>
      <c r="R57" s="6">
        <f>$J$3+[5]FormattedData!K15*$J$4+$M$4*$J$5+[5]FormattedData!K15^2*$J$6+$M$5*$J$7</f>
        <v>30.036369831923782</v>
      </c>
      <c r="S57" s="6">
        <f>$J$3+[5]FormattedData!L15*$J$4+$M$4*$J$5+[5]FormattedData!L15^2*$J$6+$M$5*$J$7</f>
        <v>30.716137761674986</v>
      </c>
      <c r="T57" s="6">
        <f>$J$3+[5]FormattedData!M15*$J$4+$M$4*$J$5+[5]FormattedData!M15^2*$J$6+$M$5*$J$7</f>
        <v>29.159339158941204</v>
      </c>
      <c r="U57" s="6">
        <f>$J$3+[5]FormattedData!N15*$J$4+$M$4*$J$5+[5]FormattedData!N15^2*$J$6+$M$5*$J$7</f>
        <v>31.393834533067558</v>
      </c>
      <c r="V57" s="6">
        <f>$J$3+[5]FormattedData!O15*$J$4+$M$4*$J$5+[5]FormattedData!O15^2*$J$6+$M$5*$J$7</f>
        <v>31.103646670841187</v>
      </c>
      <c r="W57" s="5">
        <f t="shared" si="9"/>
        <v>30.115959604142603</v>
      </c>
      <c r="X57" s="4">
        <f t="shared" si="10"/>
        <v>0.24228097496965656</v>
      </c>
      <c r="Y57" s="3">
        <f t="shared" si="11"/>
        <v>28.96397849991672</v>
      </c>
      <c r="Z57" s="2">
        <f t="shared" si="12"/>
        <v>29.30573284759577</v>
      </c>
      <c r="AA57" s="3">
        <f t="shared" si="13"/>
        <v>30.133585207518784</v>
      </c>
      <c r="AB57" s="2">
        <f t="shared" si="14"/>
        <v>30.764597509589727</v>
      </c>
      <c r="AC57" s="2">
        <f t="shared" si="15"/>
        <v>31.393834533067558</v>
      </c>
      <c r="AD57" s="2">
        <f t="shared" si="16"/>
        <v>-3.4682383410957328E-2</v>
      </c>
      <c r="AE57" s="2">
        <f t="shared" si="17"/>
        <v>-1.383469803744259</v>
      </c>
    </row>
    <row r="58" spans="2:31" x14ac:dyDescent="0.2">
      <c r="B58" s="1">
        <f>[5]FormattedData!A31</f>
        <v>201</v>
      </c>
      <c r="C58" s="1" t="str">
        <f>VLOOKUP($B58,[5]TrtCodes!$B$11:I74,2)</f>
        <v>NDL</v>
      </c>
      <c r="D58" s="1">
        <f>VLOOKUP($B58,[5]TrtCodes!$B$11:J74,3)</f>
        <v>12</v>
      </c>
      <c r="E58" s="1">
        <f>VLOOKUP($B58,[5]TrtCodes!$B$11:K74,4)</f>
        <v>2</v>
      </c>
      <c r="F58" s="1">
        <f>VLOOKUP($B58,[5]TrtCodes!$B$11:L74,5)</f>
        <v>3</v>
      </c>
      <c r="G58" s="1">
        <f>VLOOKUP($B58,[5]TrtCodes!$B$11:M74,6)</f>
        <v>1</v>
      </c>
      <c r="H58" s="1">
        <f>VLOOKUP($B58,[5]TrtCodes!$B$11:N74,7)</f>
        <v>1</v>
      </c>
      <c r="I58" s="1">
        <f>[5]FormattedData!B31</f>
        <v>2</v>
      </c>
      <c r="J58" s="4">
        <f>[5]FormattedData!C31</f>
        <v>13.305</v>
      </c>
      <c r="K58" s="6">
        <f>$J$3+[5]FormattedData!D31*$J$4+$M$4*$J$5+[5]FormattedData!D31^2*$J$6+$M$5*$J$7</f>
        <v>29.939091053521889</v>
      </c>
      <c r="L58" s="6">
        <f>$J$3+[5]FormattedData!E31*$J$4+$M$4*$J$5+[5]FormattedData!E31^2*$J$6+$M$5*$J$7</f>
        <v>28.376882077932926</v>
      </c>
      <c r="M58" s="6">
        <f>$J$3+[5]FormattedData!F31*$J$4+$M$4*$J$5+[5]FormattedData!F31^2*$J$6+$M$5*$J$7</f>
        <v>28.57274995941258</v>
      </c>
      <c r="N58" s="6">
        <f>$J$3+[5]FormattedData!G31*$J$4+$M$4*$J$5+[5]FormattedData!G31^2*$J$6+$M$5*$J$7</f>
        <v>28.474837152941717</v>
      </c>
      <c r="O58" s="6">
        <f>$J$3+[5]FormattedData!H31*$J$4+$M$4*$J$5+[5]FormattedData!H31^2*$J$6+$M$5*$J$7</f>
        <v>27.886472674819988</v>
      </c>
      <c r="P58" s="6">
        <f>$J$3+[5]FormattedData!I31*$J$4+$M$4*$J$5+[5]FormattedData!I31^2*$J$6+$M$5*$J$7</f>
        <v>28.67062049734551</v>
      </c>
      <c r="Q58" s="6">
        <f>$J$3+[5]FormattedData!J31*$J$4+$M$4*$J$5+[5]FormattedData!J31^2*$J$6+$M$5*$J$7</f>
        <v>27.395006558258771</v>
      </c>
      <c r="R58" s="6">
        <f>$J$3+[5]FormattedData!K31*$J$4+$M$4*$J$5+[5]FormattedData!K31^2*$J$6+$M$5*$J$7</f>
        <v>28.278884734386196</v>
      </c>
      <c r="S58" s="6">
        <f>$J$3+[5]FormattedData!L31*$J$4+$M$4*$J$5+[5]FormattedData!L31^2*$J$6+$M$5*$J$7</f>
        <v>27.296586529332732</v>
      </c>
      <c r="T58" s="6">
        <f>$J$3+[5]FormattedData!M31*$J$4+$M$4*$J$5+[5]FormattedData!M31^2*$J$6+$M$5*$J$7</f>
        <v>27.984639092518439</v>
      </c>
      <c r="U58" s="6">
        <f>$J$3+[5]FormattedData!N31*$J$4+$M$4*$J$5+[5]FormattedData!N31^2*$J$6+$M$5*$J$7</f>
        <v>28.57274995941258</v>
      </c>
      <c r="V58" s="6">
        <f>$J$3+[5]FormattedData!O31*$J$4+$M$4*$J$5+[5]FormattedData!O31^2*$J$6+$M$5*$J$7</f>
        <v>28.376882077932926</v>
      </c>
      <c r="W58" s="5">
        <f t="shared" si="9"/>
        <v>28.318783530651356</v>
      </c>
      <c r="X58" s="4">
        <f t="shared" si="10"/>
        <v>0.19670919408341711</v>
      </c>
      <c r="Y58" s="3">
        <f t="shared" si="11"/>
        <v>27.296586529332732</v>
      </c>
      <c r="Z58" s="2">
        <f t="shared" si="12"/>
        <v>27.960097488093826</v>
      </c>
      <c r="AA58" s="3">
        <f t="shared" si="13"/>
        <v>28.376882077932926</v>
      </c>
      <c r="AB58" s="2">
        <f t="shared" si="14"/>
        <v>28.57274995941258</v>
      </c>
      <c r="AC58" s="2">
        <f t="shared" si="15"/>
        <v>29.939091053521889</v>
      </c>
      <c r="AD58" s="2">
        <f t="shared" si="16"/>
        <v>0.81364466916826128</v>
      </c>
      <c r="AE58" s="2">
        <f t="shared" si="17"/>
        <v>2.3867328465008857</v>
      </c>
    </row>
    <row r="59" spans="2:31" x14ac:dyDescent="0.2">
      <c r="B59" s="1">
        <f>[5]FormattedData!A33</f>
        <v>202</v>
      </c>
      <c r="C59" s="1" t="str">
        <f>VLOOKUP($B59,[5]TrtCodes!$B$11:I76,2)</f>
        <v>NTH</v>
      </c>
      <c r="D59" s="1">
        <f>VLOOKUP($B59,[5]TrtCodes!$B$11:J76,3)</f>
        <v>9</v>
      </c>
      <c r="E59" s="1">
        <f>VLOOKUP($B59,[5]TrtCodes!$B$11:K76,4)</f>
        <v>2</v>
      </c>
      <c r="F59" s="1">
        <f>VLOOKUP($B59,[5]TrtCodes!$B$11:L76,5)</f>
        <v>2</v>
      </c>
      <c r="G59" s="1">
        <f>VLOOKUP($B59,[5]TrtCodes!$B$11:M76,6)</f>
        <v>2</v>
      </c>
      <c r="H59" s="1">
        <f>VLOOKUP($B59,[5]TrtCodes!$B$11:N76,7)</f>
        <v>1</v>
      </c>
      <c r="I59" s="1">
        <f>[5]FormattedData!B33</f>
        <v>2</v>
      </c>
      <c r="J59" s="4">
        <f>[5]FormattedData!C33</f>
        <v>13.324</v>
      </c>
      <c r="K59" s="6">
        <f>$J$3+[5]FormattedData!D33*$J$4+$M$4*$J$5+[5]FormattedData!D33^2*$J$6+$M$5*$J$7</f>
        <v>31.006832846356527</v>
      </c>
      <c r="L59" s="6">
        <f>$J$3+[5]FormattedData!E33*$J$4+$M$4*$J$5+[5]FormattedData!E33^2*$J$6+$M$5*$J$7</f>
        <v>29.35453074381396</v>
      </c>
      <c r="M59" s="6">
        <f>$J$3+[5]FormattedData!F33*$J$4+$M$4*$J$5+[5]FormattedData!F33^2*$J$6+$M$5*$J$7</f>
        <v>30.909976753333947</v>
      </c>
      <c r="N59" s="6">
        <f>$J$3+[5]FormattedData!G33*$J$4+$M$4*$J$5+[5]FormattedData!G33^2*$J$6+$M$5*$J$7</f>
        <v>31.490479283400489</v>
      </c>
      <c r="O59" s="6">
        <f>$J$3+[5]FormattedData!H33*$J$4+$M$4*$J$5+[5]FormattedData!H33^2*$J$6+$M$5*$J$7</f>
        <v>32.069460146101505</v>
      </c>
      <c r="P59" s="6">
        <f>$J$3+[5]FormattedData!I33*$J$4+$M$4*$J$5+[5]FormattedData!I33^2*$J$6+$M$5*$J$7</f>
        <v>31.103646670841187</v>
      </c>
      <c r="Q59" s="6">
        <f>$J$3+[5]FormattedData!J33*$J$4+$M$4*$J$5+[5]FormattedData!J33^2*$J$6+$M$5*$J$7</f>
        <v>30.716137761674986</v>
      </c>
      <c r="R59" s="6">
        <f>$J$3+[5]FormattedData!K33*$J$4+$M$4*$J$5+[5]FormattedData!K33^2*$J$6+$M$5*$J$7</f>
        <v>31.297147514196702</v>
      </c>
      <c r="S59" s="6">
        <f>$J$3+[5]FormattedData!L33*$J$4+$M$4*$J$5+[5]FormattedData!L33^2*$J$6+$M$5*$J$7</f>
        <v>32.358379952189949</v>
      </c>
      <c r="T59" s="6">
        <f>$J$3+[5]FormattedData!M33*$J$4+$M$4*$J$5+[5]FormattedData!M33^2*$J$6+$M$5*$J$7</f>
        <v>30.036369831923782</v>
      </c>
      <c r="U59" s="6">
        <f>$J$3+[5]FormattedData!N33*$J$4+$M$4*$J$5+[5]FormattedData!N33^2*$J$6+$M$5*$J$7</f>
        <v>30.522129695864297</v>
      </c>
      <c r="V59" s="6">
        <f>$J$3+[5]FormattedData!O33*$J$4+$M$4*$J$5+[5]FormattedData!O33^2*$J$6+$M$5*$J$7</f>
        <v>30.036369831923782</v>
      </c>
      <c r="W59" s="5">
        <f t="shared" si="9"/>
        <v>30.908455085968424</v>
      </c>
      <c r="X59" s="4">
        <f t="shared" si="10"/>
        <v>0.24786678658228878</v>
      </c>
      <c r="Y59" s="3">
        <f t="shared" si="11"/>
        <v>29.35453074381396</v>
      </c>
      <c r="Z59" s="2">
        <f t="shared" si="12"/>
        <v>30.400689729879169</v>
      </c>
      <c r="AA59" s="3">
        <f t="shared" si="13"/>
        <v>30.958404799845237</v>
      </c>
      <c r="AB59" s="2">
        <f t="shared" si="14"/>
        <v>31.345480456497647</v>
      </c>
      <c r="AC59" s="2">
        <f t="shared" si="15"/>
        <v>32.358379952189949</v>
      </c>
      <c r="AD59" s="2">
        <f t="shared" si="16"/>
        <v>-4.5860211897723102E-2</v>
      </c>
      <c r="AE59" s="2">
        <f t="shared" si="17"/>
        <v>-0.15245709413304009</v>
      </c>
    </row>
    <row r="60" spans="2:31" x14ac:dyDescent="0.2">
      <c r="B60" s="1">
        <f>[5]FormattedData!A35</f>
        <v>203</v>
      </c>
      <c r="C60" s="1" t="str">
        <f>VLOOKUP($B60,[5]TrtCodes!$B$11:I78,2)</f>
        <v>FTH</v>
      </c>
      <c r="D60" s="1">
        <f>VLOOKUP($B60,[5]TrtCodes!$B$11:J78,3)</f>
        <v>3</v>
      </c>
      <c r="E60" s="1">
        <f>VLOOKUP($B60,[5]TrtCodes!$B$11:K78,4)</f>
        <v>1</v>
      </c>
      <c r="F60" s="1">
        <f>VLOOKUP($B60,[5]TrtCodes!$B$11:L78,5)</f>
        <v>2</v>
      </c>
      <c r="G60" s="1">
        <f>VLOOKUP($B60,[5]TrtCodes!$B$11:M78,6)</f>
        <v>2</v>
      </c>
      <c r="H60" s="1">
        <f>VLOOKUP($B60,[5]TrtCodes!$B$11:N78,7)</f>
        <v>1</v>
      </c>
      <c r="I60" s="1">
        <f>[5]FormattedData!B35</f>
        <v>2</v>
      </c>
      <c r="J60" s="4">
        <f>[5]FormattedData!C35</f>
        <v>13.343999999999999</v>
      </c>
      <c r="K60" s="6">
        <f>$J$3+[5]FormattedData!D35*$J$4+$M$4*$J$5+[5]FormattedData!D35^2*$J$6+$M$5*$J$7</f>
        <v>29.452063133443446</v>
      </c>
      <c r="L60" s="6">
        <f>$J$3+[5]FormattedData!E35*$J$4+$M$4*$J$5+[5]FormattedData!E35^2*$J$6+$M$5*$J$7</f>
        <v>29.939091053521889</v>
      </c>
      <c r="M60" s="6">
        <f>$J$3+[5]FormattedData!F35*$J$4+$M$4*$J$5+[5]FormattedData!F35^2*$J$6+$M$5*$J$7</f>
        <v>29.452063133443446</v>
      </c>
      <c r="N60" s="6">
        <f>$J$3+[5]FormattedData!G35*$J$4+$M$4*$J$5+[5]FormattedData!G35^2*$J$6+$M$5*$J$7</f>
        <v>29.744406691104302</v>
      </c>
      <c r="O60" s="6">
        <f>$J$3+[5]FormattedData!H35*$J$4+$M$4*$J$5+[5]FormattedData!H35^2*$J$6+$M$5*$J$7</f>
        <v>30.036369831923782</v>
      </c>
      <c r="P60" s="6">
        <f>$J$3+[5]FormattedData!I35*$J$4+$M$4*$J$5+[5]FormattedData!I35^2*$J$6+$M$5*$J$7</f>
        <v>30.036369831923782</v>
      </c>
      <c r="Q60" s="6">
        <f>$J$3+[5]FormattedData!J35*$J$4+$M$4*$J$5+[5]FormattedData!J35^2*$J$6+$M$5*$J$7</f>
        <v>28.67062049734551</v>
      </c>
      <c r="R60" s="6">
        <f>$J$3+[5]FormattedData!K35*$J$4+$M$4*$J$5+[5]FormattedData!K35^2*$J$6+$M$5*$J$7</f>
        <v>28.96397849991672</v>
      </c>
      <c r="S60" s="6">
        <f>$J$3+[5]FormattedData!L35*$J$4+$M$4*$J$5+[5]FormattedData!L35^2*$J$6+$M$5*$J$7</f>
        <v>28.180845122301541</v>
      </c>
      <c r="T60" s="6">
        <f>$J$3+[5]FormattedData!M35*$J$4+$M$4*$J$5+[5]FormattedData!M35^2*$J$6+$M$5*$J$7</f>
        <v>28.57274995941258</v>
      </c>
      <c r="U60" s="6">
        <f>$J$3+[5]FormattedData!N35*$J$4+$M$4*$J$5+[5]FormattedData!N35^2*$J$6+$M$5*$J$7</f>
        <v>28.768448766740512</v>
      </c>
      <c r="V60" s="6">
        <f>$J$3+[5]FormattedData!O35*$J$4+$M$4*$J$5+[5]FormattedData!O35^2*$J$6+$M$5*$J$7</f>
        <v>30.133606341787754</v>
      </c>
      <c r="W60" s="5">
        <f t="shared" si="9"/>
        <v>29.329217738572108</v>
      </c>
      <c r="X60" s="4">
        <f t="shared" si="10"/>
        <v>0.19451364238986432</v>
      </c>
      <c r="Y60" s="3">
        <f t="shared" si="11"/>
        <v>28.180845122301541</v>
      </c>
      <c r="Z60" s="2">
        <f t="shared" si="12"/>
        <v>28.743991699391763</v>
      </c>
      <c r="AA60" s="3">
        <f t="shared" si="13"/>
        <v>29.452063133443446</v>
      </c>
      <c r="AB60" s="2">
        <f t="shared" si="14"/>
        <v>29.963410748122364</v>
      </c>
      <c r="AC60" s="2">
        <f t="shared" si="15"/>
        <v>30.133606341787754</v>
      </c>
      <c r="AD60" s="2">
        <f t="shared" si="16"/>
        <v>-0.33098756758147863</v>
      </c>
      <c r="AE60" s="2">
        <f t="shared" si="17"/>
        <v>-1.3894549308088662</v>
      </c>
    </row>
    <row r="61" spans="2:31" x14ac:dyDescent="0.2">
      <c r="B61" s="1">
        <f>[5]FormattedData!A37</f>
        <v>204</v>
      </c>
      <c r="C61" s="1" t="str">
        <f>VLOOKUP($B61,[5]TrtCodes!$B$11:I80,2)</f>
        <v>NDH</v>
      </c>
      <c r="D61" s="1">
        <f>VLOOKUP($B61,[5]TrtCodes!$B$11:J80,3)</f>
        <v>11</v>
      </c>
      <c r="E61" s="1">
        <f>VLOOKUP($B61,[5]TrtCodes!$B$11:K80,4)</f>
        <v>2</v>
      </c>
      <c r="F61" s="1">
        <f>VLOOKUP($B61,[5]TrtCodes!$B$11:L80,5)</f>
        <v>3</v>
      </c>
      <c r="G61" s="1">
        <f>VLOOKUP($B61,[5]TrtCodes!$B$11:M80,6)</f>
        <v>2</v>
      </c>
      <c r="H61" s="1">
        <f>VLOOKUP($B61,[5]TrtCodes!$B$11:N80,7)</f>
        <v>1</v>
      </c>
      <c r="I61" s="1">
        <f>[5]FormattedData!B37</f>
        <v>2</v>
      </c>
      <c r="J61" s="4">
        <f>[5]FormattedData!C37</f>
        <v>13.364000000000001</v>
      </c>
      <c r="K61" s="6">
        <f>$J$3+[5]FormattedData!D37*$J$4+$M$4*$J$5+[5]FormattedData!D37^2*$J$6+$M$5*$J$7</f>
        <v>28.376882077932926</v>
      </c>
      <c r="L61" s="6">
        <f>$J$3+[5]FormattedData!E37*$J$4+$M$4*$J$5+[5]FormattedData!E37^2*$J$6+$M$5*$J$7</f>
        <v>29.841770006582067</v>
      </c>
      <c r="M61" s="6">
        <f>$J$3+[5]FormattedData!F37*$J$4+$M$4*$J$5+[5]FormattedData!F37^2*$J$6+$M$5*$J$7</f>
        <v>27.788263988583605</v>
      </c>
      <c r="N61" s="6">
        <f>$J$3+[5]FormattedData!G37*$J$4+$M$4*$J$5+[5]FormattedData!G37^2*$J$6+$M$5*$J$7</f>
        <v>29.256956085646546</v>
      </c>
      <c r="O61" s="6">
        <f>$J$3+[5]FormattedData!H37*$J$4+$M$4*$J$5+[5]FormattedData!H37^2*$J$6+$M$5*$J$7</f>
        <v>28.768448766740512</v>
      </c>
      <c r="P61" s="6">
        <f>$J$3+[5]FormattedData!I37*$J$4+$M$4*$J$5+[5]FormattedData!I37^2*$J$6+$M$5*$J$7</f>
        <v>28.67062049734551</v>
      </c>
      <c r="Q61" s="6">
        <f>$J$3+[5]FormattedData!J37*$J$4+$M$4*$J$5+[5]FormattedData!J37^2*$J$6+$M$5*$J$7</f>
        <v>29.549553254534992</v>
      </c>
      <c r="R61" s="6">
        <f>$J$3+[5]FormattedData!K37*$J$4+$M$4*$J$5+[5]FormattedData!K37^2*$J$6+$M$5*$J$7</f>
        <v>32.069460146101505</v>
      </c>
      <c r="S61" s="6">
        <f>$J$3+[5]FormattedData!L37*$J$4+$M$4*$J$5+[5]FormattedData!L37^2*$J$6+$M$5*$J$7</f>
        <v>30.42506226015206</v>
      </c>
      <c r="T61" s="6">
        <f>$J$3+[5]FormattedData!M37*$J$4+$M$4*$J$5+[5]FormattedData!M37^2*$J$6+$M$5*$J$7</f>
        <v>29.159339158941204</v>
      </c>
      <c r="U61" s="6">
        <f>$J$3+[5]FormattedData!N37*$J$4+$M$4*$J$5+[5]FormattedData!N37^2*$J$6+$M$5*$J$7</f>
        <v>29.452063133443446</v>
      </c>
      <c r="V61" s="6">
        <f>$J$3+[5]FormattedData!O37*$J$4+$M$4*$J$5+[5]FormattedData!O37^2*$J$6+$M$5*$J$7</f>
        <v>28.67062049734551</v>
      </c>
      <c r="W61" s="5">
        <f t="shared" si="9"/>
        <v>29.335753322779158</v>
      </c>
      <c r="X61" s="4">
        <f t="shared" si="10"/>
        <v>0.32019364760685504</v>
      </c>
      <c r="Y61" s="3">
        <f t="shared" si="11"/>
        <v>27.788263988583605</v>
      </c>
      <c r="Z61" s="2">
        <f t="shared" si="12"/>
        <v>28.67062049734551</v>
      </c>
      <c r="AA61" s="3">
        <f t="shared" si="13"/>
        <v>29.208147622293875</v>
      </c>
      <c r="AB61" s="2">
        <f t="shared" si="14"/>
        <v>29.622607442546759</v>
      </c>
      <c r="AC61" s="2">
        <f t="shared" si="15"/>
        <v>32.069460146101505</v>
      </c>
      <c r="AD61" s="2">
        <f t="shared" si="16"/>
        <v>1.318925309084662</v>
      </c>
      <c r="AE61" s="2">
        <f t="shared" si="17"/>
        <v>2.6710913091468687</v>
      </c>
    </row>
    <row r="62" spans="2:31" x14ac:dyDescent="0.2">
      <c r="B62" s="1">
        <f>[5]FormattedData!A39</f>
        <v>205</v>
      </c>
      <c r="C62" s="1" t="str">
        <f>VLOOKUP($B62,[5]TrtCodes!$B$11:I82,2)</f>
        <v>FSH</v>
      </c>
      <c r="D62" s="1">
        <f>VLOOKUP($B62,[5]TrtCodes!$B$11:J82,3)</f>
        <v>1</v>
      </c>
      <c r="E62" s="1">
        <f>VLOOKUP($B62,[5]TrtCodes!$B$11:K82,4)</f>
        <v>1</v>
      </c>
      <c r="F62" s="1">
        <f>VLOOKUP($B62,[5]TrtCodes!$B$11:L82,5)</f>
        <v>1</v>
      </c>
      <c r="G62" s="1">
        <f>VLOOKUP($B62,[5]TrtCodes!$B$11:M82,6)</f>
        <v>2</v>
      </c>
      <c r="H62" s="1">
        <f>VLOOKUP($B62,[5]TrtCodes!$B$11:N82,7)</f>
        <v>2</v>
      </c>
      <c r="I62" s="1">
        <f>[5]FormattedData!B39</f>
        <v>2</v>
      </c>
      <c r="J62" s="4">
        <f>[5]FormattedData!C39</f>
        <v>13.381</v>
      </c>
      <c r="K62" s="6">
        <f>$J$3+[5]FormattedData!D39*$J$4+$M$4*$J$5+[5]FormattedData!D39^2*$J$6+$M$5*$J$7</f>
        <v>29.159339158941204</v>
      </c>
      <c r="L62" s="6">
        <f>$J$3+[5]FormattedData!E39*$J$4+$M$4*$J$5+[5]FormattedData!E39^2*$J$6+$M$5*$J$7</f>
        <v>29.939091053521889</v>
      </c>
      <c r="M62" s="6">
        <f>$J$3+[5]FormattedData!F39*$J$4+$M$4*$J$5+[5]FormattedData!F39^2*$J$6+$M$5*$J$7</f>
        <v>28.96397849991672</v>
      </c>
      <c r="N62" s="6">
        <f>$J$3+[5]FormattedData!G39*$J$4+$M$4*$J$5+[5]FormattedData!G39^2*$J$6+$M$5*$J$7</f>
        <v>29.841770006582067</v>
      </c>
      <c r="O62" s="6">
        <f>$J$3+[5]FormattedData!H39*$J$4+$M$4*$J$5+[5]FormattedData!H39^2*$J$6+$M$5*$J$7</f>
        <v>29.35453074381396</v>
      </c>
      <c r="P62" s="6">
        <f>$J$3+[5]FormattedData!I39*$J$4+$M$4*$J$5+[5]FormattedData!I39^2*$J$6+$M$5*$J$7</f>
        <v>30.230800583113783</v>
      </c>
      <c r="Q62" s="6">
        <f>$J$3+[5]FormattedData!J39*$J$4+$M$4*$J$5+[5]FormattedData!J39^2*$J$6+$M$5*$J$7</f>
        <v>30.42506226015206</v>
      </c>
      <c r="R62" s="6">
        <f>$J$3+[5]FormattedData!K39*$J$4+$M$4*$J$5+[5]FormattedData!K39^2*$J$6+$M$5*$J$7</f>
        <v>29.841770006582067</v>
      </c>
      <c r="S62" s="6">
        <f>$J$3+[5]FormattedData!L39*$J$4+$M$4*$J$5+[5]FormattedData!L39^2*$J$6+$M$5*$J$7</f>
        <v>29.939091053521889</v>
      </c>
      <c r="T62" s="6">
        <f>$J$3+[5]FormattedData!M39*$J$4+$M$4*$J$5+[5]FormattedData!M39^2*$J$6+$M$5*$J$7</f>
        <v>30.909976753333947</v>
      </c>
      <c r="U62" s="6">
        <f>$J$3+[5]FormattedData!N39*$J$4+$M$4*$J$5+[5]FormattedData!N39^2*$J$6+$M$5*$J$7</f>
        <v>30.036369831923782</v>
      </c>
      <c r="V62" s="6">
        <f>$J$3+[5]FormattedData!O39*$J$4+$M$4*$J$5+[5]FormattedData!O39^2*$J$6+$M$5*$J$7</f>
        <v>30.133606341787754</v>
      </c>
      <c r="W62" s="5">
        <f t="shared" si="9"/>
        <v>29.897948857765925</v>
      </c>
      <c r="X62" s="4">
        <f t="shared" si="10"/>
        <v>0.15595210360309025</v>
      </c>
      <c r="Y62" s="3">
        <f t="shared" si="11"/>
        <v>28.96397849991672</v>
      </c>
      <c r="Z62" s="2">
        <f t="shared" si="12"/>
        <v>29.719960190890042</v>
      </c>
      <c r="AA62" s="3">
        <f t="shared" si="13"/>
        <v>29.939091053521889</v>
      </c>
      <c r="AB62" s="2">
        <f t="shared" si="14"/>
        <v>30.157904902119263</v>
      </c>
      <c r="AC62" s="2">
        <f t="shared" si="15"/>
        <v>30.909976753333947</v>
      </c>
      <c r="AD62" s="2">
        <f t="shared" si="16"/>
        <v>-9.876347562701665E-2</v>
      </c>
      <c r="AE62" s="2">
        <f t="shared" si="17"/>
        <v>0.19875858011613445</v>
      </c>
    </row>
    <row r="63" spans="2:31" x14ac:dyDescent="0.2">
      <c r="B63" s="1">
        <f>[5]FormattedData!A41</f>
        <v>206</v>
      </c>
      <c r="C63" s="1" t="str">
        <f>VLOOKUP($B63,[5]TrtCodes!$B$11:I84,2)</f>
        <v>NSL</v>
      </c>
      <c r="D63" s="1">
        <f>VLOOKUP($B63,[5]TrtCodes!$B$11:J84,3)</f>
        <v>8</v>
      </c>
      <c r="E63" s="1">
        <f>VLOOKUP($B63,[5]TrtCodes!$B$11:K84,4)</f>
        <v>2</v>
      </c>
      <c r="F63" s="1">
        <f>VLOOKUP($B63,[5]TrtCodes!$B$11:L84,5)</f>
        <v>1</v>
      </c>
      <c r="G63" s="1">
        <f>VLOOKUP($B63,[5]TrtCodes!$B$11:M84,6)</f>
        <v>1</v>
      </c>
      <c r="H63" s="1">
        <f>VLOOKUP($B63,[5]TrtCodes!$B$11:N84,7)</f>
        <v>2</v>
      </c>
      <c r="I63" s="1">
        <f>[5]FormattedData!B41</f>
        <v>2</v>
      </c>
      <c r="J63" s="4">
        <f>[5]FormattedData!C41</f>
        <v>13.401999999999999</v>
      </c>
      <c r="K63" s="6">
        <f>$J$3+[5]FormattedData!D41*$J$4+$M$4*$J$5+[5]FormattedData!D41^2*$J$6+$M$5*$J$7</f>
        <v>28.67062049734551</v>
      </c>
      <c r="L63" s="6">
        <f>$J$3+[5]FormattedData!E41*$J$4+$M$4*$J$5+[5]FormattedData!E41^2*$J$6+$M$5*$J$7</f>
        <v>30.133606341787754</v>
      </c>
      <c r="M63" s="6">
        <f>$J$3+[5]FormattedData!F41*$J$4+$M$4*$J$5+[5]FormattedData!F41^2*$J$6+$M$5*$J$7</f>
        <v>28.376882077932926</v>
      </c>
      <c r="N63" s="6">
        <f>$J$3+[5]FormattedData!G41*$J$4+$M$4*$J$5+[5]FormattedData!G41^2*$J$6+$M$5*$J$7</f>
        <v>29.744406691104302</v>
      </c>
      <c r="O63" s="6">
        <f>$J$3+[5]FormattedData!H41*$J$4+$M$4*$J$5+[5]FormattedData!H41^2*$J$6+$M$5*$J$7</f>
        <v>28.278884734386196</v>
      </c>
      <c r="P63" s="6">
        <f>$J$3+[5]FormattedData!I41*$J$4+$M$4*$J$5+[5]FormattedData!I41^2*$J$6+$M$5*$J$7</f>
        <v>29.549553254534992</v>
      </c>
      <c r="Q63" s="6">
        <f>$J$3+[5]FormattedData!J41*$J$4+$M$4*$J$5+[5]FormattedData!J41^2*$J$6+$M$5*$J$7</f>
        <v>30.036369831923782</v>
      </c>
      <c r="R63" s="6">
        <f>$J$3+[5]FormattedData!K41*$J$4+$M$4*$J$5+[5]FormattedData!K41^2*$J$6+$M$5*$J$7</f>
        <v>29.061679963697927</v>
      </c>
      <c r="S63" s="6">
        <f>$J$3+[5]FormattedData!L41*$J$4+$M$4*$J$5+[5]FormattedData!L41^2*$J$6+$M$5*$J$7</f>
        <v>29.256956085646546</v>
      </c>
      <c r="T63" s="6">
        <f>$J$3+[5]FormattedData!M41*$J$4+$M$4*$J$5+[5]FormattedData!M41^2*$J$6+$M$5*$J$7</f>
        <v>29.452063133443446</v>
      </c>
      <c r="U63" s="6">
        <f>$J$3+[5]FormattedData!N41*$J$4+$M$4*$J$5+[5]FormattedData!N41^2*$J$6+$M$5*$J$7</f>
        <v>26.606462807788407</v>
      </c>
      <c r="V63" s="6">
        <f>$J$3+[5]FormattedData!O41*$J$4+$M$4*$J$5+[5]FormattedData!O41^2*$J$6+$M$5*$J$7</f>
        <v>29.159339158941204</v>
      </c>
      <c r="W63" s="5">
        <f t="shared" si="9"/>
        <v>29.027235381544418</v>
      </c>
      <c r="X63" s="4">
        <f t="shared" si="10"/>
        <v>0.27868400001824672</v>
      </c>
      <c r="Y63" s="3">
        <f t="shared" si="11"/>
        <v>26.606462807788407</v>
      </c>
      <c r="Z63" s="2">
        <f t="shared" si="12"/>
        <v>28.597185892492362</v>
      </c>
      <c r="AA63" s="3">
        <f t="shared" si="13"/>
        <v>29.208147622293875</v>
      </c>
      <c r="AB63" s="2">
        <f t="shared" si="14"/>
        <v>29.598266613677318</v>
      </c>
      <c r="AC63" s="2">
        <f t="shared" si="15"/>
        <v>30.133606341787754</v>
      </c>
      <c r="AD63" s="2">
        <f t="shared" si="16"/>
        <v>-1.4478629483031591</v>
      </c>
      <c r="AE63" s="2">
        <f t="shared" si="17"/>
        <v>2.816971883642716</v>
      </c>
    </row>
    <row r="64" spans="2:31" x14ac:dyDescent="0.2">
      <c r="B64" s="1">
        <f>[5]FormattedData!A43</f>
        <v>207</v>
      </c>
      <c r="C64" s="1" t="str">
        <f>VLOOKUP($B64,[5]TrtCodes!$B$11:I86,2)</f>
        <v>FTL</v>
      </c>
      <c r="D64" s="1">
        <f>VLOOKUP($B64,[5]TrtCodes!$B$11:J86,3)</f>
        <v>4</v>
      </c>
      <c r="E64" s="1">
        <f>VLOOKUP($B64,[5]TrtCodes!$B$11:K86,4)</f>
        <v>1</v>
      </c>
      <c r="F64" s="1">
        <f>VLOOKUP($B64,[5]TrtCodes!$B$11:L86,5)</f>
        <v>2</v>
      </c>
      <c r="G64" s="1">
        <f>VLOOKUP($B64,[5]TrtCodes!$B$11:M86,6)</f>
        <v>1</v>
      </c>
      <c r="H64" s="1">
        <f>VLOOKUP($B64,[5]TrtCodes!$B$11:N86,7)</f>
        <v>2</v>
      </c>
      <c r="I64" s="1">
        <f>[5]FormattedData!B43</f>
        <v>2</v>
      </c>
      <c r="J64" s="4">
        <f>[5]FormattedData!C43</f>
        <v>13.423</v>
      </c>
      <c r="K64" s="6">
        <f>$J$3+[5]FormattedData!D43*$J$4+$M$4*$J$5+[5]FormattedData!D43^2*$J$6+$M$5*$J$7</f>
        <v>29.744406691104302</v>
      </c>
      <c r="L64" s="6">
        <f>$J$3+[5]FormattedData!E43*$J$4+$M$4*$J$5+[5]FormattedData!E43^2*$J$6+$M$5*$J$7</f>
        <v>29.061679963697927</v>
      </c>
      <c r="M64" s="6">
        <f>$J$3+[5]FormattedData!F43*$J$4+$M$4*$J$5+[5]FormattedData!F43^2*$J$6+$M$5*$J$7</f>
        <v>30.327952555901891</v>
      </c>
      <c r="N64" s="6">
        <f>$J$3+[5]FormattedData!G43*$J$4+$M$4*$J$5+[5]FormattedData!G43^2*$J$6+$M$5*$J$7</f>
        <v>30.716137761674986</v>
      </c>
      <c r="O64" s="6">
        <f>$J$3+[5]FormattedData!H43*$J$4+$M$4*$J$5+[5]FormattedData!H43^2*$J$6+$M$5*$J$7</f>
        <v>30.133606341787754</v>
      </c>
      <c r="P64" s="6">
        <f>$J$3+[5]FormattedData!I43*$J$4+$M$4*$J$5+[5]FormattedData!I43^2*$J$6+$M$5*$J$7</f>
        <v>29.159339158941204</v>
      </c>
      <c r="Q64" s="6">
        <f>$J$3+[5]FormattedData!J43*$J$4+$M$4*$J$5+[5]FormattedData!J43^2*$J$6+$M$5*$J$7</f>
        <v>31.103646670841187</v>
      </c>
      <c r="R64" s="6">
        <f>$J$3+[5]FormattedData!K43*$J$4+$M$4*$J$5+[5]FormattedData!K43^2*$J$6+$M$5*$J$7</f>
        <v>29.647001107088617</v>
      </c>
      <c r="S64" s="6">
        <f>$J$3+[5]FormattedData!L43*$J$4+$M$4*$J$5+[5]FormattedData!L43^2*$J$6+$M$5*$J$7</f>
        <v>30.327952555901891</v>
      </c>
      <c r="T64" s="6">
        <f>$J$3+[5]FormattedData!M43*$J$4+$M$4*$J$5+[5]FormattedData!M43^2*$J$6+$M$5*$J$7</f>
        <v>30.619154863038609</v>
      </c>
      <c r="U64" s="6">
        <f>$J$3+[5]FormattedData!N43*$J$4+$M$4*$J$5+[5]FormattedData!N43^2*$J$6+$M$5*$J$7</f>
        <v>29.939091053521889</v>
      </c>
      <c r="V64" s="6">
        <f>$J$3+[5]FormattedData!O43*$J$4+$M$4*$J$5+[5]FormattedData!O43^2*$J$6+$M$5*$J$7</f>
        <v>31.393834533067558</v>
      </c>
      <c r="W64" s="5">
        <f t="shared" si="9"/>
        <v>30.181150271380648</v>
      </c>
      <c r="X64" s="4">
        <f t="shared" si="10"/>
        <v>0.20738248366742063</v>
      </c>
      <c r="Y64" s="3">
        <f t="shared" si="11"/>
        <v>29.061679963697927</v>
      </c>
      <c r="Z64" s="2">
        <f t="shared" si="12"/>
        <v>29.72005529510038</v>
      </c>
      <c r="AA64" s="3">
        <f t="shared" si="13"/>
        <v>30.230779448844821</v>
      </c>
      <c r="AB64" s="2">
        <f t="shared" si="14"/>
        <v>30.643400587697705</v>
      </c>
      <c r="AC64" s="2">
        <f t="shared" si="15"/>
        <v>31.393834533067558</v>
      </c>
      <c r="AD64" s="2">
        <f t="shared" si="16"/>
        <v>2.7097746624650879E-2</v>
      </c>
      <c r="AE64" s="2">
        <f t="shared" si="17"/>
        <v>-0.60881124437802603</v>
      </c>
    </row>
    <row r="65" spans="2:31" x14ac:dyDescent="0.2">
      <c r="B65" s="1">
        <f>[5]FormattedData!A45</f>
        <v>208</v>
      </c>
      <c r="C65" s="1" t="str">
        <f>VLOOKUP($B65,[5]TrtCodes!$B$11:I88,2)</f>
        <v>FSL</v>
      </c>
      <c r="D65" s="1">
        <f>VLOOKUP($B65,[5]TrtCodes!$B$11:J88,3)</f>
        <v>2</v>
      </c>
      <c r="E65" s="1">
        <f>VLOOKUP($B65,[5]TrtCodes!$B$11:K88,4)</f>
        <v>1</v>
      </c>
      <c r="F65" s="1">
        <f>VLOOKUP($B65,[5]TrtCodes!$B$11:L88,5)</f>
        <v>1</v>
      </c>
      <c r="G65" s="1">
        <f>VLOOKUP($B65,[5]TrtCodes!$B$11:M88,6)</f>
        <v>1</v>
      </c>
      <c r="H65" s="1">
        <f>VLOOKUP($B65,[5]TrtCodes!$B$11:N88,7)</f>
        <v>2</v>
      </c>
      <c r="I65" s="1">
        <f>[5]FormattedData!B45</f>
        <v>2</v>
      </c>
      <c r="J65" s="4">
        <f>[5]FormattedData!C45</f>
        <v>13.443</v>
      </c>
      <c r="K65" s="6">
        <f>$J$3+[5]FormattedData!D45*$J$4+$M$4*$J$5+[5]FormattedData!D45^2*$J$6+$M$5*$J$7</f>
        <v>29.159339158941204</v>
      </c>
      <c r="L65" s="6">
        <f>$J$3+[5]FormattedData!E45*$J$4+$M$4*$J$5+[5]FormattedData!E45^2*$J$6+$M$5*$J$7</f>
        <v>29.159339158941204</v>
      </c>
      <c r="M65" s="6">
        <f>$J$3+[5]FormattedData!F45*$J$4+$M$4*$J$5+[5]FormattedData!F45^2*$J$6+$M$5*$J$7</f>
        <v>30.716137761674986</v>
      </c>
      <c r="N65" s="6">
        <f>$J$3+[5]FormattedData!G45*$J$4+$M$4*$J$5+[5]FormattedData!G45^2*$J$6+$M$5*$J$7</f>
        <v>29.452063133443446</v>
      </c>
      <c r="O65" s="6">
        <f>$J$3+[5]FormattedData!H45*$J$4+$M$4*$J$5+[5]FormattedData!H45^2*$J$6+$M$5*$J$7</f>
        <v>29.256956085646546</v>
      </c>
      <c r="P65" s="6">
        <f>$J$3+[5]FormattedData!I45*$J$4+$M$4*$J$5+[5]FormattedData!I45^2*$J$6+$M$5*$J$7</f>
        <v>29.061679963697927</v>
      </c>
      <c r="Q65" s="6">
        <f>$J$3+[5]FormattedData!J45*$J$4+$M$4*$J$5+[5]FormattedData!J45^2*$J$6+$M$5*$J$7</f>
        <v>30.42506226015206</v>
      </c>
      <c r="R65" s="6">
        <f>$J$3+[5]FormattedData!K45*$J$4+$M$4*$J$5+[5]FormattedData!K45^2*$J$6+$M$5*$J$7</f>
        <v>29.452063133443446</v>
      </c>
      <c r="S65" s="6">
        <f>$J$3+[5]FormattedData!L45*$J$4+$M$4*$J$5+[5]FormattedData!L45^2*$J$6+$M$5*$J$7</f>
        <v>29.061679963697927</v>
      </c>
      <c r="T65" s="6">
        <f>$J$3+[5]FormattedData!M45*$J$4+$M$4*$J$5+[5]FormattedData!M45^2*$J$6+$M$5*$J$7</f>
        <v>28.376882077932926</v>
      </c>
      <c r="U65" s="6">
        <f>$J$3+[5]FormattedData!N45*$J$4+$M$4*$J$5+[5]FormattedData!N45^2*$J$6+$M$5*$J$7</f>
        <v>29.061679963697927</v>
      </c>
      <c r="V65" s="6">
        <f>$J$3+[5]FormattedData!O45*$J$4+$M$4*$J$5+[5]FormattedData!O45^2*$J$6+$M$5*$J$7</f>
        <v>28.082763241678954</v>
      </c>
      <c r="W65" s="5">
        <f t="shared" si="9"/>
        <v>29.272137158579046</v>
      </c>
      <c r="X65" s="4">
        <f t="shared" si="10"/>
        <v>0.21058660230192311</v>
      </c>
      <c r="Y65" s="3">
        <f t="shared" si="11"/>
        <v>28.082763241678954</v>
      </c>
      <c r="Z65" s="2">
        <f t="shared" si="12"/>
        <v>29.061679963697927</v>
      </c>
      <c r="AA65" s="3">
        <f t="shared" si="13"/>
        <v>29.159339158941204</v>
      </c>
      <c r="AB65" s="2">
        <f t="shared" si="14"/>
        <v>29.452063133443446</v>
      </c>
      <c r="AC65" s="2">
        <f t="shared" si="15"/>
        <v>30.716137761674986</v>
      </c>
      <c r="AD65" s="2">
        <f t="shared" si="16"/>
        <v>0.59693353816687444</v>
      </c>
      <c r="AE65" s="2">
        <f t="shared" si="17"/>
        <v>0.84451915973476943</v>
      </c>
    </row>
    <row r="66" spans="2:31" x14ac:dyDescent="0.2">
      <c r="B66" s="1">
        <f>[5]FormattedData!A63</f>
        <v>301</v>
      </c>
      <c r="C66" s="1" t="str">
        <f>VLOOKUP($B66,[5]TrtCodes!$B$11:I106,2)</f>
        <v>NTL</v>
      </c>
      <c r="D66" s="1">
        <f>VLOOKUP($B66,[5]TrtCodes!$B$11:J106,3)</f>
        <v>10</v>
      </c>
      <c r="E66" s="1">
        <f>VLOOKUP($B66,[5]TrtCodes!$B$11:K106,4)</f>
        <v>2</v>
      </c>
      <c r="F66" s="1">
        <f>VLOOKUP($B66,[5]TrtCodes!$B$11:L106,5)</f>
        <v>2</v>
      </c>
      <c r="G66" s="1">
        <f>VLOOKUP($B66,[5]TrtCodes!$B$11:M106,6)</f>
        <v>1</v>
      </c>
      <c r="H66" s="1">
        <f>VLOOKUP($B66,[5]TrtCodes!$B$11:N106,7)</f>
        <v>3</v>
      </c>
      <c r="I66" s="1">
        <f>[5]FormattedData!B63</f>
        <v>2</v>
      </c>
      <c r="J66" s="4">
        <f>[5]FormattedData!C63</f>
        <v>13.613</v>
      </c>
      <c r="K66" s="6">
        <f>$J$3+[5]FormattedData!D63*$J$4+$M$4*$J$5+[5]FormattedData!D63^2*$J$6+$M$5*$J$7</f>
        <v>27.296586529332732</v>
      </c>
      <c r="L66" s="6">
        <f>$J$3+[5]FormattedData!E63*$J$4+$M$4*$J$5+[5]FormattedData!E63^2*$J$6+$M$5*$J$7</f>
        <v>29.647001107088617</v>
      </c>
      <c r="M66" s="6">
        <f>$J$3+[5]FormattedData!F63*$J$4+$M$4*$J$5+[5]FormattedData!F63^2*$J$6+$M$5*$J$7</f>
        <v>29.744406691104302</v>
      </c>
      <c r="N66" s="6">
        <f>$J$3+[5]FormattedData!G63*$J$4+$M$4*$J$5+[5]FormattedData!G63^2*$J$6+$M$5*$J$7</f>
        <v>29.744406691104302</v>
      </c>
      <c r="O66" s="6">
        <f>$J$3+[5]FormattedData!H63*$J$4+$M$4*$J$5+[5]FormattedData!H63^2*$J$6+$M$5*$J$7</f>
        <v>28.180845122301541</v>
      </c>
      <c r="P66" s="6">
        <f>$J$3+[5]FormattedData!I63*$J$4+$M$4*$J$5+[5]FormattedData!I63^2*$J$6+$M$5*$J$7</f>
        <v>28.57274995941258</v>
      </c>
      <c r="Q66" s="6">
        <f>$J$3+[5]FormattedData!J63*$J$4+$M$4*$J$5+[5]FormattedData!J63^2*$J$6+$M$5*$J$7</f>
        <v>28.082763241678954</v>
      </c>
      <c r="R66" s="6">
        <f>$J$3+[5]FormattedData!K63*$J$4+$M$4*$J$5+[5]FormattedData!K63^2*$J$6+$M$5*$J$7</f>
        <v>27.395006558258771</v>
      </c>
      <c r="S66" s="6">
        <f>$J$3+[5]FormattedData!L63*$J$4+$M$4*$J$5+[5]FormattedData!L63^2*$J$6+$M$5*$J$7</f>
        <v>28.082763241678954</v>
      </c>
      <c r="T66" s="6">
        <f>$J$3+[5]FormattedData!M63*$J$4+$M$4*$J$5+[5]FormattedData!M63^2*$J$6+$M$5*$J$7</f>
        <v>29.35453074381396</v>
      </c>
      <c r="U66" s="6">
        <f>$J$3+[5]FormattedData!N63*$J$4+$M$4*$J$5+[5]FormattedData!N63^2*$J$6+$M$5*$J$7</f>
        <v>30.42506226015206</v>
      </c>
      <c r="V66" s="6">
        <f>$J$3+[5]FormattedData!O63*$J$4+$M$4*$J$5+[5]FormattedData!O63^2*$J$6+$M$5*$J$7</f>
        <v>29.159339158941204</v>
      </c>
      <c r="W66" s="5">
        <f t="shared" si="9"/>
        <v>28.807121775405662</v>
      </c>
      <c r="X66" s="4">
        <f t="shared" si="10"/>
        <v>0.29227656158383458</v>
      </c>
      <c r="Y66" s="3">
        <f t="shared" si="11"/>
        <v>27.296586529332732</v>
      </c>
      <c r="Z66" s="2">
        <f t="shared" si="12"/>
        <v>28.082763241678954</v>
      </c>
      <c r="AA66" s="3">
        <f t="shared" si="13"/>
        <v>28.866044559176892</v>
      </c>
      <c r="AB66" s="2">
        <f t="shared" si="14"/>
        <v>29.671352503092539</v>
      </c>
      <c r="AC66" s="2">
        <f t="shared" si="15"/>
        <v>30.42506226015206</v>
      </c>
      <c r="AD66" s="2">
        <f t="shared" si="16"/>
        <v>-6.2937559667083934E-2</v>
      </c>
      <c r="AE66" s="2">
        <f t="shared" si="17"/>
        <v>-1.2009236744302321</v>
      </c>
    </row>
    <row r="67" spans="2:31" x14ac:dyDescent="0.2">
      <c r="B67" s="1">
        <f>[5]FormattedData!A65</f>
        <v>302</v>
      </c>
      <c r="C67" s="1" t="str">
        <f>VLOOKUP($B67,[5]TrtCodes!$B$11:I108,2)</f>
        <v>FTL</v>
      </c>
      <c r="D67" s="1">
        <f>VLOOKUP($B67,[5]TrtCodes!$B$11:J108,3)</f>
        <v>4</v>
      </c>
      <c r="E67" s="1">
        <f>VLOOKUP($B67,[5]TrtCodes!$B$11:K108,4)</f>
        <v>1</v>
      </c>
      <c r="F67" s="1">
        <f>VLOOKUP($B67,[5]TrtCodes!$B$11:L108,5)</f>
        <v>2</v>
      </c>
      <c r="G67" s="1">
        <f>VLOOKUP($B67,[5]TrtCodes!$B$11:M108,6)</f>
        <v>1</v>
      </c>
      <c r="H67" s="1">
        <f>VLOOKUP($B67,[5]TrtCodes!$B$11:N108,7)</f>
        <v>3</v>
      </c>
      <c r="I67" s="1">
        <f>[5]FormattedData!B65</f>
        <v>2</v>
      </c>
      <c r="J67" s="4">
        <f>[5]FormattedData!C65</f>
        <v>13.631</v>
      </c>
      <c r="K67" s="6">
        <f>$J$3+[5]FormattedData!D65*$J$4+$M$4*$J$5+[5]FormattedData!D65^2*$J$6+$M$5*$J$7</f>
        <v>28.474837152941717</v>
      </c>
      <c r="L67" s="6">
        <f>$J$3+[5]FormattedData!E65*$J$4+$M$4*$J$5+[5]FormattedData!E65^2*$J$6+$M$5*$J$7</f>
        <v>29.939091053521889</v>
      </c>
      <c r="M67" s="6">
        <f>$J$3+[5]FormattedData!F65*$J$4+$M$4*$J$5+[5]FormattedData!F65^2*$J$6+$M$5*$J$7</f>
        <v>30.42506226015206</v>
      </c>
      <c r="N67" s="6">
        <f>$J$3+[5]FormattedData!G65*$J$4+$M$4*$J$5+[5]FormattedData!G65^2*$J$6+$M$5*$J$7</f>
        <v>30.230800583113783</v>
      </c>
      <c r="O67" s="6">
        <f>$J$3+[5]FormattedData!H65*$J$4+$M$4*$J$5+[5]FormattedData!H65^2*$J$6+$M$5*$J$7</f>
        <v>30.716137761674986</v>
      </c>
      <c r="P67" s="6">
        <f>$J$3+[5]FormattedData!I65*$J$4+$M$4*$J$5+[5]FormattedData!I65^2*$J$6+$M$5*$J$7</f>
        <v>30.036369831923782</v>
      </c>
      <c r="Q67" s="6">
        <f>$J$3+[5]FormattedData!J65*$J$4+$M$4*$J$5+[5]FormattedData!J65^2*$J$6+$M$5*$J$7</f>
        <v>29.256956085646546</v>
      </c>
      <c r="R67" s="6">
        <f>$J$3+[5]FormattedData!K65*$J$4+$M$4*$J$5+[5]FormattedData!K65^2*$J$6+$M$5*$J$7</f>
        <v>30.813078391773434</v>
      </c>
      <c r="S67" s="6">
        <f>$J$3+[5]FormattedData!L65*$J$4+$M$4*$J$5+[5]FormattedData!L65^2*$J$6+$M$5*$J$7</f>
        <v>30.133606341787754</v>
      </c>
      <c r="T67" s="6">
        <f>$J$3+[5]FormattedData!M65*$J$4+$M$4*$J$5+[5]FormattedData!M65^2*$J$6+$M$5*$J$7</f>
        <v>30.42506226015206</v>
      </c>
      <c r="U67" s="6">
        <f>$J$3+[5]FormattedData!N65*$J$4+$M$4*$J$5+[5]FormattedData!N65^2*$J$6+$M$5*$J$7</f>
        <v>31.973069006996166</v>
      </c>
      <c r="V67" s="6">
        <f>$J$3+[5]FormattedData!O65*$J$4+$M$4*$J$5+[5]FormattedData!O65^2*$J$6+$M$5*$J$7</f>
        <v>30.619154863038609</v>
      </c>
      <c r="W67" s="5">
        <f t="shared" si="9"/>
        <v>30.2536021327269</v>
      </c>
      <c r="X67" s="4">
        <f t="shared" si="10"/>
        <v>0.24609494598288228</v>
      </c>
      <c r="Y67" s="3">
        <f t="shared" si="11"/>
        <v>28.474837152941717</v>
      </c>
      <c r="Z67" s="2">
        <f t="shared" si="12"/>
        <v>30.012050137323307</v>
      </c>
      <c r="AA67" s="3">
        <f t="shared" si="13"/>
        <v>30.327931421632922</v>
      </c>
      <c r="AB67" s="2">
        <f t="shared" si="14"/>
        <v>30.643400587697705</v>
      </c>
      <c r="AC67" s="2">
        <f t="shared" si="15"/>
        <v>31.973069006996166</v>
      </c>
      <c r="AD67" s="2">
        <f t="shared" si="16"/>
        <v>-0.21910767730051983</v>
      </c>
      <c r="AE67" s="2">
        <f t="shared" si="17"/>
        <v>1.9079966881889137</v>
      </c>
    </row>
    <row r="68" spans="2:31" x14ac:dyDescent="0.2">
      <c r="B68" s="1">
        <f>[5]FormattedData!A67</f>
        <v>303</v>
      </c>
      <c r="C68" s="1" t="str">
        <f>VLOOKUP($B68,[5]TrtCodes!$B$11:I110,2)</f>
        <v>NSL</v>
      </c>
      <c r="D68" s="1">
        <f>VLOOKUP($B68,[5]TrtCodes!$B$11:J110,3)</f>
        <v>8</v>
      </c>
      <c r="E68" s="1">
        <f>VLOOKUP($B68,[5]TrtCodes!$B$11:K110,4)</f>
        <v>2</v>
      </c>
      <c r="F68" s="1">
        <f>VLOOKUP($B68,[5]TrtCodes!$B$11:L110,5)</f>
        <v>1</v>
      </c>
      <c r="G68" s="1">
        <f>VLOOKUP($B68,[5]TrtCodes!$B$11:M110,6)</f>
        <v>1</v>
      </c>
      <c r="H68" s="1">
        <f>VLOOKUP($B68,[5]TrtCodes!$B$11:N110,7)</f>
        <v>3</v>
      </c>
      <c r="I68" s="1">
        <f>[5]FormattedData!B67</f>
        <v>2</v>
      </c>
      <c r="J68" s="4">
        <f>[5]FormattedData!C67</f>
        <v>13.651</v>
      </c>
      <c r="K68" s="6">
        <f>$J$3+[5]FormattedData!D67*$J$4+$M$4*$J$5+[5]FormattedData!D67^2*$J$6+$M$5*$J$7</f>
        <v>27.984639092518439</v>
      </c>
      <c r="L68" s="6">
        <f>$J$3+[5]FormattedData!E67*$J$4+$M$4*$J$5+[5]FormattedData!E67^2*$J$6+$M$5*$J$7</f>
        <v>29.35453074381396</v>
      </c>
      <c r="M68" s="6">
        <f>$J$3+[5]FormattedData!F67*$J$4+$M$4*$J$5+[5]FormattedData!F67^2*$J$6+$M$5*$J$7</f>
        <v>28.082763241678954</v>
      </c>
      <c r="N68" s="6">
        <f>$J$3+[5]FormattedData!G67*$J$4+$M$4*$J$5+[5]FormattedData!G67^2*$J$6+$M$5*$J$7</f>
        <v>31.103646670841187</v>
      </c>
      <c r="O68" s="6">
        <f>$J$3+[5]FormattedData!H67*$J$4+$M$4*$J$5+[5]FormattedData!H67^2*$J$6+$M$5*$J$7</f>
        <v>29.841770006582067</v>
      </c>
      <c r="P68" s="6">
        <f>$J$3+[5]FormattedData!I67*$J$4+$M$4*$J$5+[5]FormattedData!I67^2*$J$6+$M$5*$J$7</f>
        <v>28.96397849991672</v>
      </c>
      <c r="Q68" s="6">
        <f>$J$3+[5]FormattedData!J67*$J$4+$M$4*$J$5+[5]FormattedData!J67^2*$J$6+$M$5*$J$7</f>
        <v>28.96397849991672</v>
      </c>
      <c r="R68" s="6">
        <f>$J$3+[5]FormattedData!K67*$J$4+$M$4*$J$5+[5]FormattedData!K67^2*$J$6+$M$5*$J$7</f>
        <v>29.744406691104302</v>
      </c>
      <c r="S68" s="6">
        <f>$J$3+[5]FormattedData!L67*$J$4+$M$4*$J$5+[5]FormattedData!L67^2*$J$6+$M$5*$J$7</f>
        <v>29.35453074381396</v>
      </c>
      <c r="T68" s="6">
        <f>$J$3+[5]FormattedData!M67*$J$4+$M$4*$J$5+[5]FormattedData!M67^2*$J$6+$M$5*$J$7</f>
        <v>30.42506226015206</v>
      </c>
      <c r="U68" s="6">
        <f>$J$3+[5]FormattedData!N67*$J$4+$M$4*$J$5+[5]FormattedData!N67^2*$J$6+$M$5*$J$7</f>
        <v>30.716137761674986</v>
      </c>
      <c r="V68" s="6">
        <f>$J$3+[5]FormattedData!O67*$J$4+$M$4*$J$5+[5]FormattedData!O67^2*$J$6+$M$5*$J$7</f>
        <v>29.744406691104302</v>
      </c>
      <c r="W68" s="5">
        <f t="shared" si="9"/>
        <v>29.523320908593139</v>
      </c>
      <c r="X68" s="4">
        <f t="shared" si="10"/>
        <v>0.27603802606354622</v>
      </c>
      <c r="Y68" s="3">
        <f t="shared" si="11"/>
        <v>27.984639092518439</v>
      </c>
      <c r="Z68" s="2">
        <f t="shared" si="12"/>
        <v>28.96397849991672</v>
      </c>
      <c r="AA68" s="3">
        <f t="shared" si="13"/>
        <v>29.549468717459131</v>
      </c>
      <c r="AB68" s="2">
        <f t="shared" si="14"/>
        <v>29.987593069974565</v>
      </c>
      <c r="AC68" s="2">
        <f t="shared" si="15"/>
        <v>31.103646670841187</v>
      </c>
      <c r="AD68" s="2">
        <f t="shared" si="16"/>
        <v>-6.9984569857053078E-2</v>
      </c>
      <c r="AE68" s="2">
        <f t="shared" si="17"/>
        <v>-0.44348389120107878</v>
      </c>
    </row>
    <row r="69" spans="2:31" x14ac:dyDescent="0.2">
      <c r="B69" s="1">
        <f>[5]FormattedData!A69</f>
        <v>304</v>
      </c>
      <c r="C69" s="1" t="str">
        <f>VLOOKUP($B69,[5]TrtCodes!$B$11:I112,2)</f>
        <v>FSL</v>
      </c>
      <c r="D69" s="1">
        <f>VLOOKUP($B69,[5]TrtCodes!$B$11:J112,3)</f>
        <v>2</v>
      </c>
      <c r="E69" s="1">
        <f>VLOOKUP($B69,[5]TrtCodes!$B$11:K112,4)</f>
        <v>1</v>
      </c>
      <c r="F69" s="1">
        <f>VLOOKUP($B69,[5]TrtCodes!$B$11:L112,5)</f>
        <v>1</v>
      </c>
      <c r="G69" s="1">
        <f>VLOOKUP($B69,[5]TrtCodes!$B$11:M112,6)</f>
        <v>1</v>
      </c>
      <c r="H69" s="1">
        <f>VLOOKUP($B69,[5]TrtCodes!$B$11:N112,7)</f>
        <v>3</v>
      </c>
      <c r="I69" s="1">
        <f>[5]FormattedData!B69</f>
        <v>2</v>
      </c>
      <c r="J69" s="4">
        <f>[5]FormattedData!C69</f>
        <v>13.677</v>
      </c>
      <c r="K69" s="6">
        <f>$J$3+[5]FormattedData!D69*$J$4+$M$4*$J$5+[5]FormattedData!D69^2*$J$6+$M$5*$J$7</f>
        <v>28.082763241678954</v>
      </c>
      <c r="L69" s="6">
        <f>$J$3+[5]FormattedData!E69*$J$4+$M$4*$J$5+[5]FormattedData!E69^2*$J$6+$M$5*$J$7</f>
        <v>28.768448766740512</v>
      </c>
      <c r="M69" s="6">
        <f>$J$3+[5]FormattedData!F69*$J$4+$M$4*$J$5+[5]FormattedData!F69^2*$J$6+$M$5*$J$7</f>
        <v>28.67062049734551</v>
      </c>
      <c r="N69" s="6">
        <f>$J$3+[5]FormattedData!G69*$J$4+$M$4*$J$5+[5]FormattedData!G69^2*$J$6+$M$5*$J$7</f>
        <v>28.768448766740512</v>
      </c>
      <c r="O69" s="6">
        <f>$J$3+[5]FormattedData!H69*$J$4+$M$4*$J$5+[5]FormattedData!H69^2*$J$6+$M$5*$J$7</f>
        <v>30.619154863038609</v>
      </c>
      <c r="P69" s="6">
        <f>$J$3+[5]FormattedData!I69*$J$4+$M$4*$J$5+[5]FormattedData!I69^2*$J$6+$M$5*$J$7</f>
        <v>30.813078391773434</v>
      </c>
      <c r="Q69" s="6">
        <f>$J$3+[5]FormattedData!J69*$J$4+$M$4*$J$5+[5]FormattedData!J69^2*$J$6+$M$5*$J$7</f>
        <v>28.278884734386196</v>
      </c>
      <c r="R69" s="6">
        <f>$J$3+[5]FormattedData!K69*$J$4+$M$4*$J$5+[5]FormattedData!K69^2*$J$6+$M$5*$J$7</f>
        <v>28.180845122301541</v>
      </c>
      <c r="S69" s="6">
        <f>$J$3+[5]FormattedData!L69*$J$4+$M$4*$J$5+[5]FormattedData!L69^2*$J$6+$M$5*$J$7</f>
        <v>28.082763241678954</v>
      </c>
      <c r="T69" s="6">
        <f>$J$3+[5]FormattedData!M69*$J$4+$M$4*$J$5+[5]FormattedData!M69^2*$J$6+$M$5*$J$7</f>
        <v>29.061679963697927</v>
      </c>
      <c r="U69" s="6">
        <f>$J$3+[5]FormattedData!N69*$J$4+$M$4*$J$5+[5]FormattedData!N69^2*$J$6+$M$5*$J$7</f>
        <v>28.474837152941717</v>
      </c>
      <c r="V69" s="6">
        <f>$J$3+[5]FormattedData!O69*$J$4+$M$4*$J$5+[5]FormattedData!O69^2*$J$6+$M$5*$J$7</f>
        <v>28.57274995941258</v>
      </c>
      <c r="W69" s="5">
        <f t="shared" si="9"/>
        <v>28.864522891811372</v>
      </c>
      <c r="X69" s="4">
        <f t="shared" si="10"/>
        <v>0.26457801564314254</v>
      </c>
      <c r="Y69" s="3">
        <f t="shared" si="11"/>
        <v>28.082763241678954</v>
      </c>
      <c r="Z69" s="2">
        <f t="shared" si="12"/>
        <v>28.254374831365034</v>
      </c>
      <c r="AA69" s="3">
        <f t="shared" si="13"/>
        <v>28.621685228379043</v>
      </c>
      <c r="AB69" s="2">
        <f t="shared" si="14"/>
        <v>28.841756565979864</v>
      </c>
      <c r="AC69" s="2">
        <f t="shared" si="15"/>
        <v>30.813078391773434</v>
      </c>
      <c r="AD69" s="2">
        <f t="shared" si="16"/>
        <v>1.592524337664434</v>
      </c>
      <c r="AE69" s="2">
        <f t="shared" si="17"/>
        <v>1.5519930582454693</v>
      </c>
    </row>
    <row r="70" spans="2:31" x14ac:dyDescent="0.2">
      <c r="B70" s="1">
        <f>[5]FormattedData!A71</f>
        <v>305</v>
      </c>
      <c r="C70" s="1" t="str">
        <f>VLOOKUP($B70,[5]TrtCodes!$B$11:I114,2)</f>
        <v>NDH</v>
      </c>
      <c r="D70" s="1">
        <f>VLOOKUP($B70,[5]TrtCodes!$B$11:J114,3)</f>
        <v>11</v>
      </c>
      <c r="E70" s="1">
        <f>VLOOKUP($B70,[5]TrtCodes!$B$11:K114,4)</f>
        <v>2</v>
      </c>
      <c r="F70" s="1">
        <f>VLOOKUP($B70,[5]TrtCodes!$B$11:L114,5)</f>
        <v>3</v>
      </c>
      <c r="G70" s="1">
        <f>VLOOKUP($B70,[5]TrtCodes!$B$11:M114,6)</f>
        <v>2</v>
      </c>
      <c r="H70" s="1">
        <f>VLOOKUP($B70,[5]TrtCodes!$B$11:N114,7)</f>
        <v>4</v>
      </c>
      <c r="I70" s="1">
        <f>[5]FormattedData!B71</f>
        <v>2</v>
      </c>
      <c r="J70" s="4">
        <f>[5]FormattedData!C71</f>
        <v>13.7</v>
      </c>
      <c r="K70" s="6">
        <f>$J$3+[5]FormattedData!D71*$J$4+$M$4*$J$5+[5]FormattedData!D71^2*$J$6+$M$5*$J$7</f>
        <v>28.57274995941258</v>
      </c>
      <c r="L70" s="6">
        <f>$J$3+[5]FormattedData!E71*$J$4+$M$4*$J$5+[5]FormattedData!E71^2*$J$6+$M$5*$J$7</f>
        <v>28.768448766740512</v>
      </c>
      <c r="M70" s="6">
        <f>$J$3+[5]FormattedData!F71*$J$4+$M$4*$J$5+[5]FormattedData!F71^2*$J$6+$M$5*$J$7</f>
        <v>29.35453074381396</v>
      </c>
      <c r="N70" s="6">
        <f>$J$3+[5]FormattedData!G71*$J$4+$M$4*$J$5+[5]FormattedData!G71^2*$J$6+$M$5*$J$7</f>
        <v>29.061679963697927</v>
      </c>
      <c r="O70" s="6">
        <f>$J$3+[5]FormattedData!H71*$J$4+$M$4*$J$5+[5]FormattedData!H71^2*$J$6+$M$5*$J$7</f>
        <v>27.395006558258771</v>
      </c>
      <c r="P70" s="6">
        <f>$J$3+[5]FormattedData!I71*$J$4+$M$4*$J$5+[5]FormattedData!I71^2*$J$6+$M$5*$J$7</f>
        <v>27.099619665866868</v>
      </c>
      <c r="Q70" s="6">
        <f>$J$3+[5]FormattedData!J71*$J$4+$M$4*$J$5+[5]FormattedData!J71^2*$J$6+$M$5*$J$7</f>
        <v>26.803852356633584</v>
      </c>
      <c r="R70" s="6">
        <f>$J$3+[5]FormattedData!K71*$J$4+$M$4*$J$5+[5]FormattedData!K71^2*$J$6+$M$5*$J$7</f>
        <v>28.768448766740512</v>
      </c>
      <c r="S70" s="6">
        <f>$J$3+[5]FormattedData!L71*$J$4+$M$4*$J$5+[5]FormattedData!L71^2*$J$6+$M$5*$J$7</f>
        <v>25.914267927885454</v>
      </c>
      <c r="T70" s="6">
        <f>$J$3+[5]FormattedData!M71*$J$4+$M$4*$J$5+[5]FormattedData!M71^2*$J$6+$M$5*$J$7</f>
        <v>27.788263988583605</v>
      </c>
      <c r="U70" s="6">
        <f>$J$3+[5]FormattedData!N71*$J$4+$M$4*$J$5+[5]FormattedData!N71^2*$J$6+$M$5*$J$7</f>
        <v>27.59171981049705</v>
      </c>
      <c r="V70" s="6">
        <f>$J$3+[5]FormattedData!O71*$J$4+$M$4*$J$5+[5]FormattedData!O71^2*$J$6+$M$5*$J$7</f>
        <v>28.082763241678954</v>
      </c>
      <c r="W70" s="5">
        <f t="shared" si="9"/>
        <v>27.933445979150818</v>
      </c>
      <c r="X70" s="4">
        <f t="shared" si="10"/>
        <v>0.29636635340765322</v>
      </c>
      <c r="Y70" s="3">
        <f t="shared" si="11"/>
        <v>25.914267927885454</v>
      </c>
      <c r="Z70" s="2">
        <f t="shared" si="12"/>
        <v>27.321159835160795</v>
      </c>
      <c r="AA70" s="3">
        <f t="shared" si="13"/>
        <v>27.935513615131278</v>
      </c>
      <c r="AB70" s="2">
        <f t="shared" si="14"/>
        <v>28.768448766740512</v>
      </c>
      <c r="AC70" s="2">
        <f t="shared" si="15"/>
        <v>29.35453074381396</v>
      </c>
      <c r="AD70" s="2">
        <f t="shared" si="16"/>
        <v>-0.47559982358758307</v>
      </c>
      <c r="AE70" s="2">
        <f t="shared" si="17"/>
        <v>-0.39210267898777129</v>
      </c>
    </row>
    <row r="71" spans="2:31" x14ac:dyDescent="0.2">
      <c r="B71" s="1">
        <f>[5]FormattedData!A73</f>
        <v>306</v>
      </c>
      <c r="C71" s="1" t="str">
        <f>VLOOKUP($B71,[5]TrtCodes!$B$11:I116,2)</f>
        <v>FTL</v>
      </c>
      <c r="D71" s="1">
        <f>VLOOKUP($B71,[5]TrtCodes!$B$11:J116,3)</f>
        <v>4</v>
      </c>
      <c r="E71" s="1">
        <f>VLOOKUP($B71,[5]TrtCodes!$B$11:K116,4)</f>
        <v>1</v>
      </c>
      <c r="F71" s="1">
        <f>VLOOKUP($B71,[5]TrtCodes!$B$11:L116,5)</f>
        <v>2</v>
      </c>
      <c r="G71" s="1">
        <f>VLOOKUP($B71,[5]TrtCodes!$B$11:M116,6)</f>
        <v>1</v>
      </c>
      <c r="H71" s="1">
        <f>VLOOKUP($B71,[5]TrtCodes!$B$11:N116,7)</f>
        <v>4</v>
      </c>
      <c r="I71" s="1">
        <f>[5]FormattedData!B73</f>
        <v>2</v>
      </c>
      <c r="J71" s="4">
        <f>[5]FormattedData!C73</f>
        <v>13.728</v>
      </c>
      <c r="K71" s="6">
        <f>$J$3+[5]FormattedData!D73*$J$4+$M$4*$J$5+[5]FormattedData!D73^2*$J$6+$M$5*$J$7</f>
        <v>29.744406691104302</v>
      </c>
      <c r="L71" s="6">
        <f>$J$3+[5]FormattedData!E73*$J$4+$M$4*$J$5+[5]FormattedData!E73^2*$J$6+$M$5*$J$7</f>
        <v>29.647001107088617</v>
      </c>
      <c r="M71" s="6">
        <f>$J$3+[5]FormattedData!F73*$J$4+$M$4*$J$5+[5]FormattedData!F73^2*$J$6+$M$5*$J$7</f>
        <v>29.35453074381396</v>
      </c>
      <c r="N71" s="6">
        <f>$J$3+[5]FormattedData!G73*$J$4+$M$4*$J$5+[5]FormattedData!G73^2*$J$6+$M$5*$J$7</f>
        <v>29.256956085646546</v>
      </c>
      <c r="O71" s="6">
        <f>$J$3+[5]FormattedData!H73*$J$4+$M$4*$J$5+[5]FormattedData!H73^2*$J$6+$M$5*$J$7</f>
        <v>30.813078391773434</v>
      </c>
      <c r="P71" s="6">
        <f>$J$3+[5]FormattedData!I73*$J$4+$M$4*$J$5+[5]FormattedData!I73^2*$J$6+$M$5*$J$7</f>
        <v>29.452063133443446</v>
      </c>
      <c r="Q71" s="6">
        <f>$J$3+[5]FormattedData!J73*$J$4+$M$4*$J$5+[5]FormattedData!J73^2*$J$6+$M$5*$J$7</f>
        <v>29.744406691104302</v>
      </c>
      <c r="R71" s="6">
        <f>$J$3+[5]FormattedData!K73*$J$4+$M$4*$J$5+[5]FormattedData!K73^2*$J$6+$M$5*$J$7</f>
        <v>31.683641978452549</v>
      </c>
      <c r="S71" s="6">
        <f>$J$3+[5]FormattedData!L73*$J$4+$M$4*$J$5+[5]FormattedData!L73^2*$J$6+$M$5*$J$7</f>
        <v>29.452063133443446</v>
      </c>
      <c r="T71" s="6">
        <f>$J$3+[5]FormattedData!M73*$J$4+$M$4*$J$5+[5]FormattedData!M73^2*$J$6+$M$5*$J$7</f>
        <v>28.96397849991672</v>
      </c>
      <c r="U71" s="6">
        <f>$J$3+[5]FormattedData!N73*$J$4+$M$4*$J$5+[5]FormattedData!N73^2*$J$6+$M$5*$J$7</f>
        <v>28.376882077932926</v>
      </c>
      <c r="V71" s="6">
        <f>$J$3+[5]FormattedData!O73*$J$4+$M$4*$J$5+[5]FormattedData!O73^2*$J$6+$M$5*$J$7</f>
        <v>31.006832846356527</v>
      </c>
      <c r="W71" s="5">
        <f t="shared" si="9"/>
        <v>29.7913201150064</v>
      </c>
      <c r="X71" s="4">
        <f t="shared" si="10"/>
        <v>0.2685429611860784</v>
      </c>
      <c r="Y71" s="3">
        <f t="shared" si="11"/>
        <v>28.376882077932926</v>
      </c>
      <c r="Z71" s="2">
        <f t="shared" si="12"/>
        <v>29.330137079272106</v>
      </c>
      <c r="AA71" s="3">
        <f t="shared" si="13"/>
        <v>29.549532120266029</v>
      </c>
      <c r="AB71" s="2">
        <f t="shared" si="14"/>
        <v>30.011574616271584</v>
      </c>
      <c r="AC71" s="2">
        <f t="shared" si="15"/>
        <v>31.683641978452549</v>
      </c>
      <c r="AD71" s="2">
        <f t="shared" si="16"/>
        <v>0.80296696506995802</v>
      </c>
      <c r="AE71" s="2">
        <f t="shared" si="17"/>
        <v>0.32462734985687458</v>
      </c>
    </row>
    <row r="72" spans="2:31" x14ac:dyDescent="0.2">
      <c r="B72" s="1">
        <f>[5]FormattedData!A75</f>
        <v>307</v>
      </c>
      <c r="C72" s="1" t="str">
        <f>VLOOKUP($B72,[5]TrtCodes!$B$11:I118,2)</f>
        <v>NTH</v>
      </c>
      <c r="D72" s="1">
        <f>VLOOKUP($B72,[5]TrtCodes!$B$11:J118,3)</f>
        <v>9</v>
      </c>
      <c r="E72" s="1">
        <f>VLOOKUP($B72,[5]TrtCodes!$B$11:K118,4)</f>
        <v>2</v>
      </c>
      <c r="F72" s="1">
        <f>VLOOKUP($B72,[5]TrtCodes!$B$11:L118,5)</f>
        <v>2</v>
      </c>
      <c r="G72" s="1">
        <f>VLOOKUP($B72,[5]TrtCodes!$B$11:M118,6)</f>
        <v>2</v>
      </c>
      <c r="H72" s="1">
        <f>VLOOKUP($B72,[5]TrtCodes!$B$11:N118,7)</f>
        <v>4</v>
      </c>
      <c r="I72" s="1">
        <f>[5]FormattedData!B75</f>
        <v>2</v>
      </c>
      <c r="J72" s="4">
        <f>[5]FormattedData!C75</f>
        <v>13.747999999999999</v>
      </c>
      <c r="K72" s="6">
        <f>$J$3+[5]FormattedData!D75*$J$4+$M$4*$J$5+[5]FormattedData!D75^2*$J$6+$M$5*$J$7</f>
        <v>31.587081765195485</v>
      </c>
      <c r="L72" s="6">
        <f>$J$3+[5]FormattedData!E75*$J$4+$M$4*$J$5+[5]FormattedData!E75^2*$J$6+$M$5*$J$7</f>
        <v>31.297147514196702</v>
      </c>
      <c r="M72" s="6">
        <f>$J$3+[5]FormattedData!F75*$J$4+$M$4*$J$5+[5]FormattedData!F75^2*$J$6+$M$5*$J$7</f>
        <v>31.200418226787903</v>
      </c>
      <c r="N72" s="6">
        <f>$J$3+[5]FormattedData!G75*$J$4+$M$4*$J$5+[5]FormattedData!G75^2*$J$6+$M$5*$J$7</f>
        <v>30.909976753333947</v>
      </c>
      <c r="O72" s="6">
        <f>$J$3+[5]FormattedData!H75*$J$4+$M$4*$J$5+[5]FormattedData!H75^2*$J$6+$M$5*$J$7</f>
        <v>30.813078391773434</v>
      </c>
      <c r="P72" s="6">
        <f>$J$3+[5]FormattedData!I75*$J$4+$M$4*$J$5+[5]FormattedData!I75^2*$J$6+$M$5*$J$7</f>
        <v>31.200418226787903</v>
      </c>
      <c r="Q72" s="6">
        <f>$J$3+[5]FormattedData!J75*$J$4+$M$4*$J$5+[5]FormattedData!J75^2*$J$6+$M$5*$J$7</f>
        <v>30.42506226015206</v>
      </c>
      <c r="R72" s="6">
        <f>$J$3+[5]FormattedData!K75*$J$4+$M$4*$J$5+[5]FormattedData!K75^2*$J$6+$M$5*$J$7</f>
        <v>30.716137761674986</v>
      </c>
      <c r="S72" s="6">
        <f>$J$3+[5]FormattedData!L75*$J$4+$M$4*$J$5+[5]FormattedData!L75^2*$J$6+$M$5*$J$7</f>
        <v>30.230800583113783</v>
      </c>
      <c r="T72" s="6">
        <f>$J$3+[5]FormattedData!M75*$J$4+$M$4*$J$5+[5]FormattedData!M75^2*$J$6+$M$5*$J$7</f>
        <v>31.393834533067558</v>
      </c>
      <c r="U72" s="6">
        <f>$J$3+[5]FormattedData!N75*$J$4+$M$4*$J$5+[5]FormattedData!N75^2*$J$6+$M$5*$J$7</f>
        <v>29.452063133443446</v>
      </c>
      <c r="V72" s="6">
        <f>$J$3+[5]FormattedData!O75*$J$4+$M$4*$J$5+[5]FormattedData!O75^2*$J$6+$M$5*$J$7</f>
        <v>29.744406691104302</v>
      </c>
      <c r="W72" s="5">
        <f t="shared" si="9"/>
        <v>30.74753548671929</v>
      </c>
      <c r="X72" s="4">
        <f t="shared" si="10"/>
        <v>0.19310085565573615</v>
      </c>
      <c r="Y72" s="3">
        <f t="shared" si="11"/>
        <v>29.452063133443446</v>
      </c>
      <c r="Z72" s="2">
        <f t="shared" si="12"/>
        <v>30.376496840892493</v>
      </c>
      <c r="AA72" s="3">
        <f t="shared" si="13"/>
        <v>30.86152757255369</v>
      </c>
      <c r="AB72" s="2">
        <f t="shared" si="14"/>
        <v>31.224600548640105</v>
      </c>
      <c r="AC72" s="2">
        <f t="shared" si="15"/>
        <v>31.587081765195485</v>
      </c>
      <c r="AD72" s="2">
        <f t="shared" si="16"/>
        <v>-0.77888023297382725</v>
      </c>
      <c r="AE72" s="2">
        <f t="shared" si="17"/>
        <v>-0.28820339996407185</v>
      </c>
    </row>
    <row r="73" spans="2:31" x14ac:dyDescent="0.2">
      <c r="B73" s="1">
        <f>[5]FormattedData!A77</f>
        <v>308</v>
      </c>
      <c r="C73" s="1" t="str">
        <f>VLOOKUP($B73,[5]TrtCodes!$B$11:I120,2)</f>
        <v>FDH</v>
      </c>
      <c r="D73" s="1">
        <f>VLOOKUP($B73,[5]TrtCodes!$B$11:J120,3)</f>
        <v>5</v>
      </c>
      <c r="E73" s="1">
        <f>VLOOKUP($B73,[5]TrtCodes!$B$11:K120,4)</f>
        <v>1</v>
      </c>
      <c r="F73" s="1">
        <f>VLOOKUP($B73,[5]TrtCodes!$B$11:L120,5)</f>
        <v>3</v>
      </c>
      <c r="G73" s="1">
        <f>VLOOKUP($B73,[5]TrtCodes!$B$11:M120,6)</f>
        <v>2</v>
      </c>
      <c r="H73" s="1">
        <f>VLOOKUP($B73,[5]TrtCodes!$B$11:N120,7)</f>
        <v>4</v>
      </c>
      <c r="I73" s="1">
        <f>[5]FormattedData!B77</f>
        <v>2</v>
      </c>
      <c r="J73" s="4">
        <f>[5]FormattedData!C77</f>
        <v>13.77</v>
      </c>
      <c r="K73" s="6">
        <f>$J$3+[5]FormattedData!D77*$J$4+$M$4*$J$5+[5]FormattedData!D77^2*$J$6+$M$5*$J$7</f>
        <v>31.393834533067558</v>
      </c>
      <c r="L73" s="6">
        <f>$J$3+[5]FormattedData!E77*$J$4+$M$4*$J$5+[5]FormattedData!E77^2*$J$6+$M$5*$J$7</f>
        <v>31.200418226787903</v>
      </c>
      <c r="M73" s="6">
        <f>$J$3+[5]FormattedData!F77*$J$4+$M$4*$J$5+[5]FormattedData!F77^2*$J$6+$M$5*$J$7</f>
        <v>32.646919341436998</v>
      </c>
      <c r="N73" s="6">
        <f>$J$3+[5]FormattedData!G77*$J$4+$M$4*$J$5+[5]FormattedData!G77^2*$J$6+$M$5*$J$7</f>
        <v>32.165809016668909</v>
      </c>
      <c r="O73" s="6">
        <f>$J$3+[5]FormattedData!H77*$J$4+$M$4*$J$5+[5]FormattedData!H77^2*$J$6+$M$5*$J$7</f>
        <v>33.222856869406975</v>
      </c>
      <c r="P73" s="6">
        <f>$J$3+[5]FormattedData!I77*$J$4+$M$4*$J$5+[5]FormattedData!I77^2*$J$6+$M$5*$J$7</f>
        <v>34.560793506026563</v>
      </c>
      <c r="Q73" s="6">
        <f>$J$3+[5]FormattedData!J77*$J$4+$M$4*$J$5+[5]FormattedData!J77^2*$J$6+$M$5*$J$7</f>
        <v>34.083910035051588</v>
      </c>
      <c r="R73" s="6">
        <f>$J$3+[5]FormattedData!K77*$J$4+$M$4*$J$5+[5]FormattedData!K77^2*$J$6+$M$5*$J$7</f>
        <v>34.846416366156376</v>
      </c>
      <c r="S73" s="6">
        <f>$J$3+[5]FormattedData!L77*$J$4+$M$4*$J$5+[5]FormattedData!L77^2*$J$6+$M$5*$J$7</f>
        <v>31.103646670841187</v>
      </c>
      <c r="T73" s="6">
        <f>$J$3+[5]FormattedData!M77*$J$4+$M$4*$J$5+[5]FormattedData!M77^2*$J$6+$M$5*$J$7</f>
        <v>34.465501348907424</v>
      </c>
      <c r="U73" s="6">
        <f>$J$3+[5]FormattedData!N77*$J$4+$M$4*$J$5+[5]FormattedData!N77^2*$J$6+$M$5*$J$7</f>
        <v>33.414497897093518</v>
      </c>
      <c r="V73" s="6">
        <f>$J$3+[5]FormattedData!O77*$J$4+$M$4*$J$5+[5]FormattedData!O77^2*$J$6+$M$5*$J$7</f>
        <v>35.036620263553253</v>
      </c>
      <c r="W73" s="5">
        <f t="shared" si="9"/>
        <v>33.178435339583181</v>
      </c>
      <c r="X73" s="4">
        <f t="shared" si="10"/>
        <v>0.42094832728383508</v>
      </c>
      <c r="Y73" s="3">
        <f t="shared" si="11"/>
        <v>31.103646670841187</v>
      </c>
      <c r="Z73" s="2">
        <f t="shared" si="12"/>
        <v>31.972815395768571</v>
      </c>
      <c r="AA73" s="3">
        <f t="shared" si="13"/>
        <v>33.318677383250247</v>
      </c>
      <c r="AB73" s="2">
        <f t="shared" si="14"/>
        <v>34.489324388187207</v>
      </c>
      <c r="AC73" s="2">
        <f t="shared" si="15"/>
        <v>35.036620263553253</v>
      </c>
      <c r="AD73" s="2">
        <f t="shared" si="16"/>
        <v>-0.24475803867426302</v>
      </c>
      <c r="AE73" s="2">
        <f t="shared" si="17"/>
        <v>-1.5294212177113091</v>
      </c>
    </row>
    <row r="74" spans="2:31" x14ac:dyDescent="0.2">
      <c r="B74" s="1">
        <f>[5]FormattedData!A93</f>
        <v>401</v>
      </c>
      <c r="C74" s="1" t="str">
        <f>VLOOKUP($B74,[5]TrtCodes!$B$11:I130,2)</f>
        <v>NSH</v>
      </c>
      <c r="D74" s="1">
        <f>VLOOKUP($B74,[5]TrtCodes!$B$11:J130,3)</f>
        <v>7</v>
      </c>
      <c r="E74" s="1">
        <f>VLOOKUP($B74,[5]TrtCodes!$B$11:K130,4)</f>
        <v>2</v>
      </c>
      <c r="F74" s="1">
        <f>VLOOKUP($B74,[5]TrtCodes!$B$11:L130,5)</f>
        <v>1</v>
      </c>
      <c r="G74" s="1">
        <f>VLOOKUP($B74,[5]TrtCodes!$B$11:M130,6)</f>
        <v>2</v>
      </c>
      <c r="H74" s="1">
        <f>VLOOKUP($B74,[5]TrtCodes!$B$11:N130,7)</f>
        <v>3</v>
      </c>
      <c r="I74" s="1">
        <f>[5]FormattedData!B93</f>
        <v>2</v>
      </c>
      <c r="J74" s="4">
        <f>[5]FormattedData!C93</f>
        <v>13.959</v>
      </c>
      <c r="K74" s="6">
        <f>$J$3+[5]FormattedData!D93*$J$4+$M$4*$J$5+[5]FormattedData!D93^2*$J$6+$M$5*$J$7</f>
        <v>28.57274995941258</v>
      </c>
      <c r="L74" s="6">
        <f>$J$3+[5]FormattedData!E93*$J$4+$M$4*$J$5+[5]FormattedData!E93^2*$J$6+$M$5*$J$7</f>
        <v>26.507704630558923</v>
      </c>
      <c r="M74" s="6">
        <f>$J$3+[5]FormattedData!F93*$J$4+$M$4*$J$5+[5]FormattedData!F93^2*$J$6+$M$5*$J$7</f>
        <v>29.647001107088617</v>
      </c>
      <c r="N74" s="6">
        <f>$J$3+[5]FormattedData!G93*$J$4+$M$4*$J$5+[5]FormattedData!G93^2*$J$6+$M$5*$J$7</f>
        <v>27.296586529332732</v>
      </c>
      <c r="O74" s="6">
        <f>$J$3+[5]FormattedData!H93*$J$4+$M$4*$J$5+[5]FormattedData!H93^2*$J$6+$M$5*$J$7</f>
        <v>28.474837152941717</v>
      </c>
      <c r="P74" s="6">
        <f>$J$3+[5]FormattedData!I93*$J$4+$M$4*$J$5+[5]FormattedData!I93^2*$J$6+$M$5*$J$7</f>
        <v>29.744406691104302</v>
      </c>
      <c r="Q74" s="6">
        <f>$J$3+[5]FormattedData!J93*$J$4+$M$4*$J$5+[5]FormattedData!J93^2*$J$6+$M$5*$J$7</f>
        <v>27.886472674819988</v>
      </c>
      <c r="R74" s="6">
        <f>$J$3+[5]FormattedData!K93*$J$4+$M$4*$J$5+[5]FormattedData!K93^2*$J$6+$M$5*$J$7</f>
        <v>28.96397849991672</v>
      </c>
      <c r="S74" s="6">
        <f>$J$3+[5]FormattedData!L93*$J$4+$M$4*$J$5+[5]FormattedData!L93^2*$J$6+$M$5*$J$7</f>
        <v>27.395006558258771</v>
      </c>
      <c r="T74" s="6">
        <f>$J$3+[5]FormattedData!M93*$J$4+$M$4*$J$5+[5]FormattedData!M93^2*$J$6+$M$5*$J$7</f>
        <v>29.744406691104302</v>
      </c>
      <c r="U74" s="6">
        <f>$J$3+[5]FormattedData!N93*$J$4+$M$4*$J$5+[5]FormattedData!N93^2*$J$6+$M$5*$J$7</f>
        <v>27.690013033809294</v>
      </c>
      <c r="V74" s="6">
        <f>$J$3+[5]FormattedData!O93*$J$4+$M$4*$J$5+[5]FormattedData!O93^2*$J$6+$M$5*$J$7</f>
        <v>28.768448766740512</v>
      </c>
      <c r="W74" s="5">
        <f t="shared" ref="W74:W105" si="18">AVERAGE(K74:V74)</f>
        <v>28.390967691257373</v>
      </c>
      <c r="X74" s="4">
        <f t="shared" ref="X74:X85" si="19">STDEV(K74:V74)/SQRT(COUNT(K74:V74))</f>
        <v>0.30444021578514363</v>
      </c>
      <c r="Y74" s="3">
        <f t="shared" ref="Y74:Y85" si="20">MIN(K74:V74)</f>
        <v>26.507704630558923</v>
      </c>
      <c r="Z74" s="2">
        <f t="shared" ref="Z74:Z85" si="21">QUARTILE(K74:V74,1)</f>
        <v>27.616261414921663</v>
      </c>
      <c r="AA74" s="3">
        <f t="shared" ref="AA74:AA85" si="22">MEDIAN(K74:V74)</f>
        <v>28.523793556177147</v>
      </c>
      <c r="AB74" s="2">
        <f t="shared" ref="AB74:AB85" si="23">QUARTILE(K74:V74,3)</f>
        <v>29.134734151709694</v>
      </c>
      <c r="AC74" s="2">
        <f t="shared" ref="AC74:AC85" si="24">MAX(K74:V74)</f>
        <v>29.744406691104302</v>
      </c>
      <c r="AD74" s="2">
        <f t="shared" ref="AD74:AD85" si="25">SKEW(K74:V74)</f>
        <v>-0.21040312472151423</v>
      </c>
      <c r="AE74" s="2">
        <f t="shared" ref="AE74:AE85" si="26">KURT(K74:V74)</f>
        <v>-0.8955078501092979</v>
      </c>
    </row>
    <row r="75" spans="2:31" x14ac:dyDescent="0.2">
      <c r="B75" s="1">
        <f>[5]FormattedData!A91</f>
        <v>402</v>
      </c>
      <c r="C75" s="1" t="str">
        <f>VLOOKUP($B75,[5]TrtCodes!$B$11:I131,2)</f>
        <v>NTH</v>
      </c>
      <c r="D75" s="1">
        <f>VLOOKUP($B75,[5]TrtCodes!$B$11:J131,3)</f>
        <v>9</v>
      </c>
      <c r="E75" s="1">
        <f>VLOOKUP($B75,[5]TrtCodes!$B$11:K131,4)</f>
        <v>2</v>
      </c>
      <c r="F75" s="1">
        <f>VLOOKUP($B75,[5]TrtCodes!$B$11:L131,5)</f>
        <v>2</v>
      </c>
      <c r="G75" s="1">
        <f>VLOOKUP($B75,[5]TrtCodes!$B$11:M131,6)</f>
        <v>2</v>
      </c>
      <c r="H75" s="1">
        <f>VLOOKUP($B75,[5]TrtCodes!$B$11:N131,7)</f>
        <v>3</v>
      </c>
      <c r="I75" s="1">
        <f>[5]FormattedData!B91</f>
        <v>2</v>
      </c>
      <c r="J75" s="4">
        <f>[5]FormattedData!C91</f>
        <v>13.936</v>
      </c>
      <c r="K75" s="6">
        <f>$J$3+[5]FormattedData!D91*$J$4+$M$4*$J$5+[5]FormattedData!D91^2*$J$6+$M$5*$J$7</f>
        <v>28.180845122301541</v>
      </c>
      <c r="L75" s="6">
        <f>$J$3+[5]FormattedData!E91*$J$4+$M$4*$J$5+[5]FormattedData!E91^2*$J$6+$M$5*$J$7</f>
        <v>28.474837152941717</v>
      </c>
      <c r="M75" s="6">
        <f>$J$3+[5]FormattedData!F91*$J$4+$M$4*$J$5+[5]FormattedData!F91^2*$J$6+$M$5*$J$7</f>
        <v>29.35453074381396</v>
      </c>
      <c r="N75" s="6">
        <f>$J$3+[5]FormattedData!G91*$J$4+$M$4*$J$5+[5]FormattedData!G91^2*$J$6+$M$5*$J$7</f>
        <v>31.297147514196702</v>
      </c>
      <c r="O75" s="6">
        <f>$J$3+[5]FormattedData!H91*$J$4+$M$4*$J$5+[5]FormattedData!H91^2*$J$6+$M$5*$J$7</f>
        <v>28.278884734386196</v>
      </c>
      <c r="P75" s="6">
        <f>$J$3+[5]FormattedData!I91*$J$4+$M$4*$J$5+[5]FormattedData!I91^2*$J$6+$M$5*$J$7</f>
        <v>28.96397849991672</v>
      </c>
      <c r="Q75" s="6">
        <f>$J$3+[5]FormattedData!J91*$J$4+$M$4*$J$5+[5]FormattedData!J91^2*$J$6+$M$5*$J$7</f>
        <v>28.57274995941258</v>
      </c>
      <c r="R75" s="6">
        <f>$J$3+[5]FormattedData!K91*$J$4+$M$4*$J$5+[5]FormattedData!K91^2*$J$6+$M$5*$J$7</f>
        <v>30.133606341787754</v>
      </c>
      <c r="S75" s="6">
        <f>$J$3+[5]FormattedData!L91*$J$4+$M$4*$J$5+[5]FormattedData!L91^2*$J$6+$M$5*$J$7</f>
        <v>28.376882077932926</v>
      </c>
      <c r="T75" s="6">
        <f>$J$3+[5]FormattedData!M91*$J$4+$M$4*$J$5+[5]FormattedData!M91^2*$J$6+$M$5*$J$7</f>
        <v>27.788263988583605</v>
      </c>
      <c r="U75" s="6">
        <f>$J$3+[5]FormattedData!N91*$J$4+$M$4*$J$5+[5]FormattedData!N91^2*$J$6+$M$5*$J$7</f>
        <v>30.036369831923782</v>
      </c>
      <c r="V75" s="6">
        <f>$J$3+[5]FormattedData!O91*$J$4+$M$4*$J$5+[5]FormattedData!O91^2*$J$6+$M$5*$J$7</f>
        <v>30.42506226015206</v>
      </c>
      <c r="W75" s="5">
        <f t="shared" si="18"/>
        <v>29.156929852279131</v>
      </c>
      <c r="X75" s="4">
        <f t="shared" si="19"/>
        <v>0.31387390620508077</v>
      </c>
      <c r="Y75" s="3">
        <f t="shared" si="20"/>
        <v>27.788263988583605</v>
      </c>
      <c r="Z75" s="2">
        <f t="shared" si="21"/>
        <v>28.352382742046245</v>
      </c>
      <c r="AA75" s="3">
        <f t="shared" si="22"/>
        <v>28.768364229664648</v>
      </c>
      <c r="AB75" s="2">
        <f t="shared" si="23"/>
        <v>30.060678959389776</v>
      </c>
      <c r="AC75" s="2">
        <f t="shared" si="24"/>
        <v>31.297147514196702</v>
      </c>
      <c r="AD75" s="2">
        <f t="shared" si="25"/>
        <v>0.70381822392327387</v>
      </c>
      <c r="AE75" s="2">
        <f t="shared" si="26"/>
        <v>-0.56153323532672994</v>
      </c>
    </row>
    <row r="76" spans="2:31" x14ac:dyDescent="0.2">
      <c r="B76" s="1">
        <f>[5]FormattedData!A89</f>
        <v>403</v>
      </c>
      <c r="C76" s="1" t="str">
        <f>VLOOKUP($B76,[5]TrtCodes!$B$11:I132,2)</f>
        <v>FDL</v>
      </c>
      <c r="D76" s="1">
        <f>VLOOKUP($B76,[5]TrtCodes!$B$11:J132,3)</f>
        <v>6</v>
      </c>
      <c r="E76" s="1">
        <f>VLOOKUP($B76,[5]TrtCodes!$B$11:K132,4)</f>
        <v>1</v>
      </c>
      <c r="F76" s="1">
        <f>VLOOKUP($B76,[5]TrtCodes!$B$11:L132,5)</f>
        <v>3</v>
      </c>
      <c r="G76" s="1">
        <f>VLOOKUP($B76,[5]TrtCodes!$B$11:M132,6)</f>
        <v>1</v>
      </c>
      <c r="H76" s="1">
        <f>VLOOKUP($B76,[5]TrtCodes!$B$11:N132,7)</f>
        <v>3</v>
      </c>
      <c r="I76" s="1">
        <f>[5]FormattedData!B89</f>
        <v>2</v>
      </c>
      <c r="J76" s="4">
        <f>[5]FormattedData!C89</f>
        <v>13.917</v>
      </c>
      <c r="K76" s="6">
        <f>$J$3+[5]FormattedData!D89*$J$4+$M$4*$J$5+[5]FormattedData!D89^2*$J$6+$M$5*$J$7</f>
        <v>29.061679963697927</v>
      </c>
      <c r="L76" s="6">
        <f>$J$3+[5]FormattedData!E89*$J$4+$M$4*$J$5+[5]FormattedData!E89^2*$J$6+$M$5*$J$7</f>
        <v>30.133606341787754</v>
      </c>
      <c r="M76" s="6">
        <f>$J$3+[5]FormattedData!F89*$J$4+$M$4*$J$5+[5]FormattedData!F89^2*$J$6+$M$5*$J$7</f>
        <v>30.230800583113783</v>
      </c>
      <c r="N76" s="6">
        <f>$J$3+[5]FormattedData!G89*$J$4+$M$4*$J$5+[5]FormattedData!G89^2*$J$6+$M$5*$J$7</f>
        <v>30.716137761674986</v>
      </c>
      <c r="O76" s="6">
        <f>$J$3+[5]FormattedData!H89*$J$4+$M$4*$J$5+[5]FormattedData!H89^2*$J$6+$M$5*$J$7</f>
        <v>28.082763241678954</v>
      </c>
      <c r="P76" s="6">
        <f>$J$3+[5]FormattedData!I89*$J$4+$M$4*$J$5+[5]FormattedData!I89^2*$J$6+$M$5*$J$7</f>
        <v>30.230800583113783</v>
      </c>
      <c r="Q76" s="6">
        <f>$J$3+[5]FormattedData!J89*$J$4+$M$4*$J$5+[5]FormattedData!J89^2*$J$6+$M$5*$J$7</f>
        <v>29.841770006582067</v>
      </c>
      <c r="R76" s="6">
        <f>$J$3+[5]FormattedData!K89*$J$4+$M$4*$J$5+[5]FormattedData!K89^2*$J$6+$M$5*$J$7</f>
        <v>28.474837152941717</v>
      </c>
      <c r="S76" s="6">
        <f>$J$3+[5]FormattedData!L89*$J$4+$M$4*$J$5+[5]FormattedData!L89^2*$J$6+$M$5*$J$7</f>
        <v>30.619154863038609</v>
      </c>
      <c r="T76" s="6">
        <f>$J$3+[5]FormattedData!M89*$J$4+$M$4*$J$5+[5]FormattedData!M89^2*$J$6+$M$5*$J$7</f>
        <v>28.866234767597582</v>
      </c>
      <c r="U76" s="6">
        <f>$J$3+[5]FormattedData!N89*$J$4+$M$4*$J$5+[5]FormattedData!N89^2*$J$6+$M$5*$J$7</f>
        <v>31.006832846356527</v>
      </c>
      <c r="V76" s="6">
        <f>$J$3+[5]FormattedData!O89*$J$4+$M$4*$J$5+[5]FormattedData!O89^2*$J$6+$M$5*$J$7</f>
        <v>28.866234767597582</v>
      </c>
      <c r="W76" s="5">
        <f t="shared" si="18"/>
        <v>29.677571073265103</v>
      </c>
      <c r="X76" s="4">
        <f t="shared" si="19"/>
        <v>0.27886442971603537</v>
      </c>
      <c r="Y76" s="3">
        <f t="shared" si="20"/>
        <v>28.082763241678954</v>
      </c>
      <c r="Z76" s="2">
        <f t="shared" si="21"/>
        <v>28.866234767597582</v>
      </c>
      <c r="AA76" s="3">
        <f t="shared" si="22"/>
        <v>29.98768817418491</v>
      </c>
      <c r="AB76" s="2">
        <f t="shared" si="23"/>
        <v>30.32788915309499</v>
      </c>
      <c r="AC76" s="2">
        <f t="shared" si="24"/>
        <v>31.006832846356527</v>
      </c>
      <c r="AD76" s="2">
        <f t="shared" si="25"/>
        <v>-0.28513655159194295</v>
      </c>
      <c r="AE76" s="2">
        <f t="shared" si="26"/>
        <v>-1.3417531108922276</v>
      </c>
    </row>
    <row r="77" spans="2:31" x14ac:dyDescent="0.2">
      <c r="B77" s="1">
        <f>[5]FormattedData!A87</f>
        <v>404</v>
      </c>
      <c r="C77" s="1" t="str">
        <f>VLOOKUP($B77,[5]TrtCodes!$B$11:I130,2)</f>
        <v>FTH</v>
      </c>
      <c r="D77" s="1">
        <f>VLOOKUP($B77,[5]TrtCodes!$B$11:J130,3)</f>
        <v>3</v>
      </c>
      <c r="E77" s="1">
        <f>VLOOKUP($B77,[5]TrtCodes!$B$11:K130,4)</f>
        <v>1</v>
      </c>
      <c r="F77" s="1">
        <f>VLOOKUP($B77,[5]TrtCodes!$B$11:L130,5)</f>
        <v>2</v>
      </c>
      <c r="G77" s="1">
        <f>VLOOKUP($B77,[5]TrtCodes!$B$11:M130,6)</f>
        <v>2</v>
      </c>
      <c r="H77" s="1">
        <f>VLOOKUP($B77,[5]TrtCodes!$B$11:N130,7)</f>
        <v>3</v>
      </c>
      <c r="I77" s="1">
        <f>[5]FormattedData!B87</f>
        <v>2</v>
      </c>
      <c r="J77" s="4">
        <f>[5]FormattedData!C87</f>
        <v>13.89</v>
      </c>
      <c r="K77" s="6">
        <f>$J$3+[5]FormattedData!D87*$J$4+$M$4*$J$5+[5]FormattedData!D87^2*$J$6+$M$5*$J$7</f>
        <v>28.474837152941717</v>
      </c>
      <c r="L77" s="6">
        <f>$J$3+[5]FormattedData!E87*$J$4+$M$4*$J$5+[5]FormattedData!E87^2*$J$6+$M$5*$J$7</f>
        <v>28.67062049734551</v>
      </c>
      <c r="M77" s="6">
        <f>$J$3+[5]FormattedData!F87*$J$4+$M$4*$J$5+[5]FormattedData!F87^2*$J$6+$M$5*$J$7</f>
        <v>28.57274995941258</v>
      </c>
      <c r="N77" s="6">
        <f>$J$3+[5]FormattedData!G87*$J$4+$M$4*$J$5+[5]FormattedData!G87^2*$J$6+$M$5*$J$7</f>
        <v>27.493384318646878</v>
      </c>
      <c r="O77" s="6">
        <f>$J$3+[5]FormattedData!H87*$J$4+$M$4*$J$5+[5]FormattedData!H87^2*$J$6+$M$5*$J$7</f>
        <v>29.061679963697927</v>
      </c>
      <c r="P77" s="6">
        <f>$J$3+[5]FormattedData!I87*$J$4+$M$4*$J$5+[5]FormattedData!I87^2*$J$6+$M$5*$J$7</f>
        <v>30.716137761674986</v>
      </c>
      <c r="Q77" s="6">
        <f>$J$3+[5]FormattedData!J87*$J$4+$M$4*$J$5+[5]FormattedData!J87^2*$J$6+$M$5*$J$7</f>
        <v>29.841770006582067</v>
      </c>
      <c r="R77" s="6">
        <f>$J$3+[5]FormattedData!K87*$J$4+$M$4*$J$5+[5]FormattedData!K87^2*$J$6+$M$5*$J$7</f>
        <v>29.549553254534992</v>
      </c>
      <c r="S77" s="6">
        <f>$J$3+[5]FormattedData!L87*$J$4+$M$4*$J$5+[5]FormattedData!L87^2*$J$6+$M$5*$J$7</f>
        <v>30.522129695864297</v>
      </c>
      <c r="T77" s="6">
        <f>$J$3+[5]FormattedData!M87*$J$4+$M$4*$J$5+[5]FormattedData!M87^2*$J$6+$M$5*$J$7</f>
        <v>29.549553254534992</v>
      </c>
      <c r="U77" s="6">
        <f>$J$3+[5]FormattedData!N87*$J$4+$M$4*$J$5+[5]FormattedData!N87^2*$J$6+$M$5*$J$7</f>
        <v>30.230800583113783</v>
      </c>
      <c r="V77" s="6">
        <f>$J$3+[5]FormattedData!O87*$J$4+$M$4*$J$5+[5]FormattedData!O87^2*$J$6+$M$5*$J$7</f>
        <v>29.35453074381396</v>
      </c>
      <c r="W77" s="5">
        <f t="shared" si="18"/>
        <v>29.336478932680304</v>
      </c>
      <c r="X77" s="4">
        <f t="shared" si="19"/>
        <v>0.27103997089147552</v>
      </c>
      <c r="Y77" s="3">
        <f t="shared" si="20"/>
        <v>27.493384318646878</v>
      </c>
      <c r="Z77" s="2">
        <f t="shared" si="21"/>
        <v>28.646152862862277</v>
      </c>
      <c r="AA77" s="3">
        <f t="shared" si="22"/>
        <v>29.452041999174476</v>
      </c>
      <c r="AB77" s="2">
        <f t="shared" si="23"/>
        <v>29.939027650714998</v>
      </c>
      <c r="AC77" s="2">
        <f t="shared" si="24"/>
        <v>30.716137761674986</v>
      </c>
      <c r="AD77" s="2">
        <f t="shared" si="25"/>
        <v>-0.33024028065310462</v>
      </c>
      <c r="AE77" s="2">
        <f t="shared" si="26"/>
        <v>-0.1926285673984065</v>
      </c>
    </row>
    <row r="78" spans="2:31" x14ac:dyDescent="0.2">
      <c r="B78" s="1">
        <f>[5]FormattedData!A85</f>
        <v>405</v>
      </c>
      <c r="C78" s="1" t="str">
        <f>VLOOKUP($B78,[5]TrtCodes!$B$11:I128,2)</f>
        <v>FDL</v>
      </c>
      <c r="D78" s="1">
        <f>VLOOKUP($B78,[5]TrtCodes!$B$11:J128,3)</f>
        <v>6</v>
      </c>
      <c r="E78" s="1">
        <f>VLOOKUP($B78,[5]TrtCodes!$B$11:K128,4)</f>
        <v>1</v>
      </c>
      <c r="F78" s="1">
        <f>VLOOKUP($B78,[5]TrtCodes!$B$11:L128,5)</f>
        <v>3</v>
      </c>
      <c r="G78" s="1">
        <f>VLOOKUP($B78,[5]TrtCodes!$B$11:M128,6)</f>
        <v>1</v>
      </c>
      <c r="H78" s="1">
        <f>VLOOKUP($B78,[5]TrtCodes!$B$11:N128,7)</f>
        <v>4</v>
      </c>
      <c r="I78" s="1">
        <f>[5]FormattedData!B85</f>
        <v>2</v>
      </c>
      <c r="J78" s="4">
        <f>[5]FormattedData!C85</f>
        <v>13.867000000000001</v>
      </c>
      <c r="K78" s="6">
        <f>$J$3+[5]FormattedData!D85*$J$4+$M$4*$J$5+[5]FormattedData!D85^2*$J$6+$M$5*$J$7</f>
        <v>31.587081765195485</v>
      </c>
      <c r="L78" s="6">
        <f>$J$3+[5]FormattedData!E85*$J$4+$M$4*$J$5+[5]FormattedData!E85^2*$J$6+$M$5*$J$7</f>
        <v>32.935078313842681</v>
      </c>
      <c r="M78" s="6">
        <f>$J$3+[5]FormattedData!F85*$J$4+$M$4*$J$5+[5]FormattedData!F85^2*$J$6+$M$5*$J$7</f>
        <v>30.036369831923782</v>
      </c>
      <c r="N78" s="6">
        <f>$J$3+[5]FormattedData!G85*$J$4+$M$4*$J$5+[5]FormattedData!G85^2*$J$6+$M$5*$J$7</f>
        <v>29.939091053521889</v>
      </c>
      <c r="O78" s="6">
        <f>$J$3+[5]FormattedData!H85*$J$4+$M$4*$J$5+[5]FormattedData!H85^2*$J$6+$M$5*$J$7</f>
        <v>28.768448766740512</v>
      </c>
      <c r="P78" s="6">
        <f>$J$3+[5]FormattedData!I85*$J$4+$M$4*$J$5+[5]FormattedData!I85^2*$J$6+$M$5*$J$7</f>
        <v>29.939091053521889</v>
      </c>
      <c r="Q78" s="6">
        <f>$J$3+[5]FormattedData!J85*$J$4+$M$4*$J$5+[5]FormattedData!J85^2*$J$6+$M$5*$J$7</f>
        <v>29.549553254534992</v>
      </c>
      <c r="R78" s="6">
        <f>$J$3+[5]FormattedData!K85*$J$4+$M$4*$J$5+[5]FormattedData!K85^2*$J$6+$M$5*$J$7</f>
        <v>29.549553254534992</v>
      </c>
      <c r="S78" s="6">
        <f>$J$3+[5]FormattedData!L85*$J$4+$M$4*$J$5+[5]FormattedData!L85^2*$J$6+$M$5*$J$7</f>
        <v>30.327952555901891</v>
      </c>
      <c r="T78" s="6">
        <f>$J$3+[5]FormattedData!M85*$J$4+$M$4*$J$5+[5]FormattedData!M85^2*$J$6+$M$5*$J$7</f>
        <v>29.061679963697927</v>
      </c>
      <c r="U78" s="6">
        <f>$J$3+[5]FormattedData!N85*$J$4+$M$4*$J$5+[5]FormattedData!N85^2*$J$6+$M$5*$J$7</f>
        <v>29.549553254534992</v>
      </c>
      <c r="V78" s="6">
        <f>$J$3+[5]FormattedData!O85*$J$4+$M$4*$J$5+[5]FormattedData!O85^2*$J$6+$M$5*$J$7</f>
        <v>29.939091053521889</v>
      </c>
      <c r="W78" s="5">
        <f t="shared" si="18"/>
        <v>30.098545343456081</v>
      </c>
      <c r="X78" s="4">
        <f t="shared" si="19"/>
        <v>0.32732680021390365</v>
      </c>
      <c r="Y78" s="3">
        <f t="shared" si="20"/>
        <v>28.768448766740512</v>
      </c>
      <c r="Z78" s="2">
        <f t="shared" si="21"/>
        <v>29.549553254534992</v>
      </c>
      <c r="AA78" s="3">
        <f t="shared" si="22"/>
        <v>29.939091053521889</v>
      </c>
      <c r="AB78" s="2">
        <f t="shared" si="23"/>
        <v>30.109265512918309</v>
      </c>
      <c r="AC78" s="2">
        <f t="shared" si="24"/>
        <v>32.935078313842681</v>
      </c>
      <c r="AD78" s="2">
        <f t="shared" si="25"/>
        <v>1.657929438074742</v>
      </c>
      <c r="AE78" s="2">
        <f t="shared" si="26"/>
        <v>3.0405672643434816</v>
      </c>
    </row>
    <row r="79" spans="2:31" x14ac:dyDescent="0.2">
      <c r="B79" s="1">
        <f>[5]FormattedData!A83</f>
        <v>406</v>
      </c>
      <c r="C79" s="1" t="str">
        <f>VLOOKUP($B79,[5]TrtCodes!$B$11:I126,2)</f>
        <v>FTH</v>
      </c>
      <c r="D79" s="1">
        <f>VLOOKUP($B79,[5]TrtCodes!$B$11:J126,3)</f>
        <v>3</v>
      </c>
      <c r="E79" s="1">
        <f>VLOOKUP($B79,[5]TrtCodes!$B$11:K126,4)</f>
        <v>1</v>
      </c>
      <c r="F79" s="1">
        <f>VLOOKUP($B79,[5]TrtCodes!$B$11:L126,5)</f>
        <v>2</v>
      </c>
      <c r="G79" s="1">
        <f>VLOOKUP($B79,[5]TrtCodes!$B$11:M126,6)</f>
        <v>2</v>
      </c>
      <c r="H79" s="1">
        <f>VLOOKUP($B79,[5]TrtCodes!$B$11:N126,7)</f>
        <v>4</v>
      </c>
      <c r="I79" s="1">
        <f>[5]FormattedData!B83</f>
        <v>2</v>
      </c>
      <c r="J79" s="4">
        <f>[5]FormattedData!C83</f>
        <v>13.843999999999999</v>
      </c>
      <c r="K79" s="6">
        <f>$J$3+[5]FormattedData!D83*$J$4+$M$4*$J$5+[5]FormattedData!D83^2*$J$6+$M$5*$J$7</f>
        <v>29.744406691104302</v>
      </c>
      <c r="L79" s="6">
        <f>$J$3+[5]FormattedData!E83*$J$4+$M$4*$J$5+[5]FormattedData!E83^2*$J$6+$M$5*$J$7</f>
        <v>29.744406691104302</v>
      </c>
      <c r="M79" s="6">
        <f>$J$3+[5]FormattedData!F83*$J$4+$M$4*$J$5+[5]FormattedData!F83^2*$J$6+$M$5*$J$7</f>
        <v>28.376882077932926</v>
      </c>
      <c r="N79" s="6">
        <f>$J$3+[5]FormattedData!G83*$J$4+$M$4*$J$5+[5]FormattedData!G83^2*$J$6+$M$5*$J$7</f>
        <v>28.96397849991672</v>
      </c>
      <c r="O79" s="6">
        <f>$J$3+[5]FormattedData!H83*$J$4+$M$4*$J$5+[5]FormattedData!H83^2*$J$6+$M$5*$J$7</f>
        <v>29.256956085646546</v>
      </c>
      <c r="P79" s="6">
        <f>$J$3+[5]FormattedData!I83*$J$4+$M$4*$J$5+[5]FormattedData!I83^2*$J$6+$M$5*$J$7</f>
        <v>30.619154863038609</v>
      </c>
      <c r="Q79" s="6">
        <f>$J$3+[5]FormattedData!J83*$J$4+$M$4*$J$5+[5]FormattedData!J83^2*$J$6+$M$5*$J$7</f>
        <v>30.036369831923782</v>
      </c>
      <c r="R79" s="6">
        <f>$J$3+[5]FormattedData!K83*$J$4+$M$4*$J$5+[5]FormattedData!K83^2*$J$6+$M$5*$J$7</f>
        <v>29.256956085646546</v>
      </c>
      <c r="S79" s="6">
        <f>$J$3+[5]FormattedData!L83*$J$4+$M$4*$J$5+[5]FormattedData!L83^2*$J$6+$M$5*$J$7</f>
        <v>30.327952555901891</v>
      </c>
      <c r="T79" s="6">
        <f>$J$3+[5]FormattedData!M83*$J$4+$M$4*$J$5+[5]FormattedData!M83^2*$J$6+$M$5*$J$7</f>
        <v>28.67062049734551</v>
      </c>
      <c r="U79" s="6">
        <f>$J$3+[5]FormattedData!N83*$J$4+$M$4*$J$5+[5]FormattedData!N83^2*$J$6+$M$5*$J$7</f>
        <v>30.230800583113783</v>
      </c>
      <c r="V79" s="6">
        <f>$J$3+[5]FormattedData!O83*$J$4+$M$4*$J$5+[5]FormattedData!O83^2*$J$6+$M$5*$J$7</f>
        <v>29.35453074381396</v>
      </c>
      <c r="W79" s="5">
        <f t="shared" si="18"/>
        <v>29.548584600540735</v>
      </c>
      <c r="X79" s="4">
        <f t="shared" si="19"/>
        <v>0.19898995138914036</v>
      </c>
      <c r="Y79" s="3">
        <f t="shared" si="20"/>
        <v>28.376882077932926</v>
      </c>
      <c r="Z79" s="2">
        <f t="shared" si="21"/>
        <v>29.183711689214089</v>
      </c>
      <c r="AA79" s="3">
        <f t="shared" si="22"/>
        <v>29.549468717459131</v>
      </c>
      <c r="AB79" s="2">
        <f t="shared" si="23"/>
        <v>30.084977519721281</v>
      </c>
      <c r="AC79" s="2">
        <f t="shared" si="24"/>
        <v>30.619154863038609</v>
      </c>
      <c r="AD79" s="2">
        <f t="shared" si="25"/>
        <v>-0.13091955925970408</v>
      </c>
      <c r="AE79" s="2">
        <f t="shared" si="26"/>
        <v>-0.84359588915293227</v>
      </c>
    </row>
    <row r="80" spans="2:31" x14ac:dyDescent="0.2">
      <c r="B80" s="1">
        <f>[5]FormattedData!A81</f>
        <v>407</v>
      </c>
      <c r="C80" s="1" t="str">
        <f>VLOOKUP($B80,[5]TrtCodes!$B$11:I124,2)</f>
        <v>NSH</v>
      </c>
      <c r="D80" s="1">
        <f>VLOOKUP($B80,[5]TrtCodes!$B$11:J124,3)</f>
        <v>7</v>
      </c>
      <c r="E80" s="1">
        <f>VLOOKUP($B80,[5]TrtCodes!$B$11:K124,4)</f>
        <v>2</v>
      </c>
      <c r="F80" s="1">
        <f>VLOOKUP($B80,[5]TrtCodes!$B$11:L124,5)</f>
        <v>1</v>
      </c>
      <c r="G80" s="1">
        <f>VLOOKUP($B80,[5]TrtCodes!$B$11:M124,6)</f>
        <v>2</v>
      </c>
      <c r="H80" s="1">
        <f>VLOOKUP($B80,[5]TrtCodes!$B$11:N124,7)</f>
        <v>4</v>
      </c>
      <c r="I80" s="1">
        <f>[5]FormattedData!B81</f>
        <v>2</v>
      </c>
      <c r="J80" s="4">
        <f>[5]FormattedData!C81</f>
        <v>13.821999999999999</v>
      </c>
      <c r="K80" s="6">
        <f>$J$3+[5]FormattedData!D81*$J$4+$M$4*$J$5+[5]FormattedData!D81^2*$J$6+$M$5*$J$7</f>
        <v>27.001072831327043</v>
      </c>
      <c r="L80" s="6">
        <f>$J$3+[5]FormattedData!E81*$J$4+$M$4*$J$5+[5]FormattedData!E81^2*$J$6+$M$5*$J$7</f>
        <v>27.886472674819988</v>
      </c>
      <c r="M80" s="6">
        <f>$J$3+[5]FormattedData!F81*$J$4+$M$4*$J$5+[5]FormattedData!F81^2*$J$6+$M$5*$J$7</f>
        <v>27.198124231868768</v>
      </c>
      <c r="N80" s="6">
        <f>$J$3+[5]FormattedData!G81*$J$4+$M$4*$J$5+[5]FormattedData!G81^2*$J$6+$M$5*$J$7</f>
        <v>27.001072831327043</v>
      </c>
      <c r="O80" s="6">
        <f>$J$3+[5]FormattedData!H81*$J$4+$M$4*$J$5+[5]FormattedData!H81^2*$J$6+$M$5*$J$7</f>
        <v>27.296586529332732</v>
      </c>
      <c r="P80" s="6">
        <f>$J$3+[5]FormattedData!I81*$J$4+$M$4*$J$5+[5]FormattedData!I81^2*$J$6+$M$5*$J$7</f>
        <v>27.001072831327043</v>
      </c>
      <c r="Q80" s="6">
        <f>$J$3+[5]FormattedData!J81*$J$4+$M$4*$J$5+[5]FormattedData!J81^2*$J$6+$M$5*$J$7</f>
        <v>28.67062049734551</v>
      </c>
      <c r="R80" s="6">
        <f>$J$3+[5]FormattedData!K81*$J$4+$M$4*$J$5+[5]FormattedData!K81^2*$J$6+$M$5*$J$7</f>
        <v>27.395006558258771</v>
      </c>
      <c r="S80" s="6">
        <f>$J$3+[5]FormattedData!L81*$J$4+$M$4*$J$5+[5]FormattedData!L81^2*$J$6+$M$5*$J$7</f>
        <v>26.013279716342527</v>
      </c>
      <c r="T80" s="6">
        <f>$J$3+[5]FormattedData!M81*$J$4+$M$4*$J$5+[5]FormattedData!M81^2*$J$6+$M$5*$J$7</f>
        <v>29.647001107088617</v>
      </c>
      <c r="U80" s="6">
        <f>$J$3+[5]FormattedData!N81*$J$4+$M$4*$J$5+[5]FormattedData!N81^2*$J$6+$M$5*$J$7</f>
        <v>26.112249236261665</v>
      </c>
      <c r="V80" s="6">
        <f>$J$3+[5]FormattedData!O81*$J$4+$M$4*$J$5+[5]FormattedData!O81^2*$J$6+$M$5*$J$7</f>
        <v>28.180845122301541</v>
      </c>
      <c r="W80" s="5">
        <f t="shared" si="18"/>
        <v>27.450283680633436</v>
      </c>
      <c r="X80" s="4">
        <f t="shared" si="19"/>
        <v>0.29631219137406078</v>
      </c>
      <c r="Y80" s="3">
        <f t="shared" si="20"/>
        <v>26.013279716342527</v>
      </c>
      <c r="Z80" s="2">
        <f t="shared" si="21"/>
        <v>27.001072831327043</v>
      </c>
      <c r="AA80" s="3">
        <f t="shared" si="22"/>
        <v>27.247355380600752</v>
      </c>
      <c r="AB80" s="2">
        <f t="shared" si="23"/>
        <v>27.960065786690375</v>
      </c>
      <c r="AC80" s="2">
        <f t="shared" si="24"/>
        <v>29.647001107088617</v>
      </c>
      <c r="AD80" s="2">
        <f t="shared" si="25"/>
        <v>0.7299032279464478</v>
      </c>
      <c r="AE80" s="2">
        <f t="shared" si="26"/>
        <v>0.71072796731150589</v>
      </c>
    </row>
    <row r="81" spans="2:31" x14ac:dyDescent="0.2">
      <c r="B81" s="1">
        <f>[5]FormattedData!A79</f>
        <v>408</v>
      </c>
      <c r="C81" s="1" t="str">
        <f>VLOOKUP($B81,[5]TrtCodes!$B$11:I122,2)</f>
        <v>NTL</v>
      </c>
      <c r="D81" s="1">
        <f>VLOOKUP($B81,[5]TrtCodes!$B$11:J122,3)</f>
        <v>10</v>
      </c>
      <c r="E81" s="1">
        <f>VLOOKUP($B81,[5]TrtCodes!$B$11:K122,4)</f>
        <v>2</v>
      </c>
      <c r="F81" s="1">
        <f>VLOOKUP($B81,[5]TrtCodes!$B$11:L122,5)</f>
        <v>2</v>
      </c>
      <c r="G81" s="1">
        <f>VLOOKUP($B81,[5]TrtCodes!$B$11:M122,6)</f>
        <v>1</v>
      </c>
      <c r="H81" s="1">
        <f>VLOOKUP($B81,[5]TrtCodes!$B$11:N122,7)</f>
        <v>4</v>
      </c>
      <c r="I81" s="1">
        <f>[5]FormattedData!B79</f>
        <v>2</v>
      </c>
      <c r="J81" s="4">
        <f>[5]FormattedData!C79</f>
        <v>13.798</v>
      </c>
      <c r="K81" s="6">
        <f>$J$3+[5]FormattedData!D79*$J$4+$M$4*$J$5+[5]FormattedData!D79^2*$J$6+$M$5*$J$7</f>
        <v>27.296586529332732</v>
      </c>
      <c r="L81" s="6">
        <f>$J$3+[5]FormattedData!E79*$J$4+$M$4*$J$5+[5]FormattedData!E79^2*$J$6+$M$5*$J$7</f>
        <v>28.768448766740512</v>
      </c>
      <c r="M81" s="6">
        <f>$J$3+[5]FormattedData!F79*$J$4+$M$4*$J$5+[5]FormattedData!F79^2*$J$6+$M$5*$J$7</f>
        <v>29.061679963697927</v>
      </c>
      <c r="N81" s="6">
        <f>$J$3+[5]FormattedData!G79*$J$4+$M$4*$J$5+[5]FormattedData!G79^2*$J$6+$M$5*$J$7</f>
        <v>29.744406691104302</v>
      </c>
      <c r="O81" s="6">
        <f>$J$3+[5]FormattedData!H79*$J$4+$M$4*$J$5+[5]FormattedData!H79^2*$J$6+$M$5*$J$7</f>
        <v>28.866234767597582</v>
      </c>
      <c r="P81" s="6">
        <f>$J$3+[5]FormattedData!I79*$J$4+$M$4*$J$5+[5]FormattedData!I79^2*$J$6+$M$5*$J$7</f>
        <v>27.984639092518439</v>
      </c>
      <c r="Q81" s="6">
        <f>$J$3+[5]FormattedData!J79*$J$4+$M$4*$J$5+[5]FormattedData!J79^2*$J$6+$M$5*$J$7</f>
        <v>28.57274995941258</v>
      </c>
      <c r="R81" s="6">
        <f>$J$3+[5]FormattedData!K79*$J$4+$M$4*$J$5+[5]FormattedData!K79^2*$J$6+$M$5*$J$7</f>
        <v>29.256956085646546</v>
      </c>
      <c r="S81" s="6">
        <f>$J$3+[5]FormattedData!L79*$J$4+$M$4*$J$5+[5]FormattedData!L79^2*$J$6+$M$5*$J$7</f>
        <v>29.35453074381396</v>
      </c>
      <c r="T81" s="6">
        <f>$J$3+[5]FormattedData!M79*$J$4+$M$4*$J$5+[5]FormattedData!M79^2*$J$6+$M$5*$J$7</f>
        <v>27.984639092518439</v>
      </c>
      <c r="U81" s="6">
        <f>$J$3+[5]FormattedData!N79*$J$4+$M$4*$J$5+[5]FormattedData!N79^2*$J$6+$M$5*$J$7</f>
        <v>27.690013033809294</v>
      </c>
      <c r="V81" s="6">
        <f>$J$3+[5]FormattedData!O79*$J$4+$M$4*$J$5+[5]FormattedData!O79^2*$J$6+$M$5*$J$7</f>
        <v>27.296586529332732</v>
      </c>
      <c r="W81" s="5">
        <f t="shared" si="18"/>
        <v>28.489789271293755</v>
      </c>
      <c r="X81" s="4">
        <f t="shared" si="19"/>
        <v>0.23774751654821416</v>
      </c>
      <c r="Y81" s="3">
        <f t="shared" si="20"/>
        <v>27.296586529332732</v>
      </c>
      <c r="Z81" s="2">
        <f t="shared" si="21"/>
        <v>27.910982577841153</v>
      </c>
      <c r="AA81" s="3">
        <f t="shared" si="22"/>
        <v>28.670599363076548</v>
      </c>
      <c r="AB81" s="2">
        <f t="shared" si="23"/>
        <v>29.110498994185082</v>
      </c>
      <c r="AC81" s="2">
        <f t="shared" si="24"/>
        <v>29.744406691104302</v>
      </c>
      <c r="AD81" s="2">
        <f t="shared" si="25"/>
        <v>-0.16235711283834522</v>
      </c>
      <c r="AE81" s="2">
        <f t="shared" si="26"/>
        <v>-1.2557232603354413</v>
      </c>
    </row>
    <row r="82" spans="2:31" x14ac:dyDescent="0.2">
      <c r="B82" s="1">
        <f>[5]FormattedData!A59</f>
        <v>902</v>
      </c>
      <c r="C82" s="1" t="str">
        <f>VLOOKUP($B82,[5]TrtCodes!$B$11:I102,2)</f>
        <v>Late</v>
      </c>
      <c r="D82" s="1">
        <f>VLOOKUP($B82,[5]TrtCodes!$B$11:J102,3)</f>
        <v>22</v>
      </c>
      <c r="E82" s="1">
        <f>VLOOKUP($B82,[5]TrtCodes!$B$11:K102,4)</f>
        <v>4</v>
      </c>
      <c r="F82" s="1">
        <f>VLOOKUP($B82,[5]TrtCodes!$B$11:L102,5)</f>
        <v>2</v>
      </c>
      <c r="G82" s="1">
        <f>VLOOKUP($B82,[5]TrtCodes!$B$11:M102,6)</f>
        <v>2</v>
      </c>
      <c r="H82" s="1">
        <f>VLOOKUP($B82,[5]TrtCodes!$B$11:N102,7)</f>
        <v>1</v>
      </c>
      <c r="I82" s="1">
        <f>[5]FormattedData!B59</f>
        <v>2</v>
      </c>
      <c r="J82" s="4">
        <f>[5]FormattedData!C59</f>
        <v>13.58</v>
      </c>
      <c r="K82" s="6">
        <f>$J$3+[5]FormattedData!D59*$J$4+$M$4*$J$5+[5]FormattedData!D59^2*$J$6+$M$5*$J$7</f>
        <v>30.036369831923782</v>
      </c>
      <c r="L82" s="6">
        <f>$J$3+[5]FormattedData!E59*$J$4+$M$4*$J$5+[5]FormattedData!E59^2*$J$6+$M$5*$J$7</f>
        <v>28.57274995941258</v>
      </c>
      <c r="M82" s="6">
        <f>$J$3+[5]FormattedData!F59*$J$4+$M$4*$J$5+[5]FormattedData!F59^2*$J$6+$M$5*$J$7</f>
        <v>30.813078391773434</v>
      </c>
      <c r="N82" s="6">
        <f>$J$3+[5]FormattedData!G59*$J$4+$M$4*$J$5+[5]FormattedData!G59^2*$J$6+$M$5*$J$7</f>
        <v>31.200418226787903</v>
      </c>
      <c r="O82" s="6">
        <f>$J$3+[5]FormattedData!H59*$J$4+$M$4*$J$5+[5]FormattedData!H59^2*$J$6+$M$5*$J$7</f>
        <v>29.939091053521889</v>
      </c>
      <c r="P82" s="6">
        <f>$J$3+[5]FormattedData!I59*$J$4+$M$4*$J$5+[5]FormattedData!I59^2*$J$6+$M$5*$J$7</f>
        <v>28.768448766740512</v>
      </c>
      <c r="Q82" s="6">
        <f>$J$3+[5]FormattedData!J59*$J$4+$M$4*$J$5+[5]FormattedData!J59^2*$J$6+$M$5*$J$7</f>
        <v>30.716137761674986</v>
      </c>
      <c r="R82" s="6">
        <f>$J$3+[5]FormattedData!K59*$J$4+$M$4*$J$5+[5]FormattedData!K59^2*$J$6+$M$5*$J$7</f>
        <v>29.939091053521889</v>
      </c>
      <c r="S82" s="6">
        <f>$J$3+[5]FormattedData!L59*$J$4+$M$4*$J$5+[5]FormattedData!L59^2*$J$6+$M$5*$J$7</f>
        <v>31.393834533067558</v>
      </c>
      <c r="T82" s="6">
        <f>$J$3+[5]FormattedData!M59*$J$4+$M$4*$J$5+[5]FormattedData!M59^2*$J$6+$M$5*$J$7</f>
        <v>29.256956085646546</v>
      </c>
      <c r="U82" s="6">
        <f>$J$3+[5]FormattedData!N59*$J$4+$M$4*$J$5+[5]FormattedData!N59^2*$J$6+$M$5*$J$7</f>
        <v>28.180845122301541</v>
      </c>
      <c r="V82" s="6">
        <f>$J$3+[5]FormattedData!O59*$J$4+$M$4*$J$5+[5]FormattedData!O59^2*$J$6+$M$5*$J$7</f>
        <v>30.133606341787754</v>
      </c>
      <c r="W82" s="5">
        <f t="shared" si="18"/>
        <v>29.91255226068003</v>
      </c>
      <c r="X82" s="4">
        <f t="shared" si="19"/>
        <v>0.30035025222166689</v>
      </c>
      <c r="Y82" s="3">
        <f t="shared" si="20"/>
        <v>28.180845122301541</v>
      </c>
      <c r="Z82" s="2">
        <f t="shared" si="21"/>
        <v>29.134829255920039</v>
      </c>
      <c r="AA82" s="3">
        <f t="shared" si="22"/>
        <v>29.987730442722835</v>
      </c>
      <c r="AB82" s="2">
        <f t="shared" si="23"/>
        <v>30.740372919199597</v>
      </c>
      <c r="AC82" s="2">
        <f t="shared" si="24"/>
        <v>31.393834533067558</v>
      </c>
      <c r="AD82" s="2">
        <f t="shared" si="25"/>
        <v>-0.26434982887167863</v>
      </c>
      <c r="AE82" s="2">
        <f t="shared" si="26"/>
        <v>-0.97341033655796361</v>
      </c>
    </row>
    <row r="83" spans="2:31" x14ac:dyDescent="0.2">
      <c r="B83" s="1">
        <f>[5]FormattedData!A55</f>
        <v>904</v>
      </c>
      <c r="C83" s="1" t="str">
        <f>VLOOKUP($B83,[5]TrtCodes!$B$11:I98,2)</f>
        <v>Early</v>
      </c>
      <c r="D83" s="1">
        <f>VLOOKUP($B83,[5]TrtCodes!$B$11:J98,3)</f>
        <v>21</v>
      </c>
      <c r="E83" s="1">
        <f>VLOOKUP($B83,[5]TrtCodes!$B$11:K98,4)</f>
        <v>3</v>
      </c>
      <c r="F83" s="1">
        <f>VLOOKUP($B83,[5]TrtCodes!$B$11:L98,5)</f>
        <v>2</v>
      </c>
      <c r="G83" s="1">
        <f>VLOOKUP($B83,[5]TrtCodes!$B$11:M98,6)</f>
        <v>2</v>
      </c>
      <c r="H83" s="1">
        <f>VLOOKUP($B83,[5]TrtCodes!$B$11:N98,7)</f>
        <v>1</v>
      </c>
      <c r="I83" s="1">
        <f>[5]FormattedData!B55</f>
        <v>2</v>
      </c>
      <c r="J83" s="4">
        <f>[5]FormattedData!C55</f>
        <v>13.542999999999999</v>
      </c>
      <c r="K83" s="6">
        <f>$J$3+[5]FormattedData!D55*$J$4+$M$4*$J$5+[5]FormattedData!D55^2*$J$6+$M$5*$J$7</f>
        <v>29.35453074381396</v>
      </c>
      <c r="L83" s="6">
        <f>$J$3+[5]FormattedData!E55*$J$4+$M$4*$J$5+[5]FormattedData!E55^2*$J$6+$M$5*$J$7</f>
        <v>28.768448766740512</v>
      </c>
      <c r="M83" s="6">
        <f>$J$3+[5]FormattedData!F55*$J$4+$M$4*$J$5+[5]FormattedData!F55^2*$J$6+$M$5*$J$7</f>
        <v>27.788263988583605</v>
      </c>
      <c r="N83" s="6">
        <f>$J$3+[5]FormattedData!G55*$J$4+$M$4*$J$5+[5]FormattedData!G55^2*$J$6+$M$5*$J$7</f>
        <v>27.395006558258771</v>
      </c>
      <c r="O83" s="6">
        <f>$J$3+[5]FormattedData!H55*$J$4+$M$4*$J$5+[5]FormattedData!H55^2*$J$6+$M$5*$J$7</f>
        <v>29.256956085646546</v>
      </c>
      <c r="P83" s="6">
        <f>$J$3+[5]FormattedData!I55*$J$4+$M$4*$J$5+[5]FormattedData!I55^2*$J$6+$M$5*$J$7</f>
        <v>29.159339158941204</v>
      </c>
      <c r="Q83" s="6">
        <f>$J$3+[5]FormattedData!J55*$J$4+$M$4*$J$5+[5]FormattedData!J55^2*$J$6+$M$5*$J$7</f>
        <v>30.522129695864297</v>
      </c>
      <c r="R83" s="6">
        <f>$J$3+[5]FormattedData!K55*$J$4+$M$4*$J$5+[5]FormattedData!K55^2*$J$6+$M$5*$J$7</f>
        <v>29.939091053521889</v>
      </c>
      <c r="S83" s="6">
        <f>$J$3+[5]FormattedData!L55*$J$4+$M$4*$J$5+[5]FormattedData!L55^2*$J$6+$M$5*$J$7</f>
        <v>29.061679963697927</v>
      </c>
      <c r="T83" s="6">
        <f>$J$3+[5]FormattedData!M55*$J$4+$M$4*$J$5+[5]FormattedData!M55^2*$J$6+$M$5*$J$7</f>
        <v>29.549553254534992</v>
      </c>
      <c r="U83" s="6">
        <f>$J$3+[5]FormattedData!N55*$J$4+$M$4*$J$5+[5]FormattedData!N55^2*$J$6+$M$5*$J$7</f>
        <v>28.67062049734551</v>
      </c>
      <c r="V83" s="6">
        <f>$J$3+[5]FormattedData!O55*$J$4+$M$4*$J$5+[5]FormattedData!O55^2*$J$6+$M$5*$J$7</f>
        <v>29.939091053521889</v>
      </c>
      <c r="W83" s="5">
        <f t="shared" si="18"/>
        <v>29.11705923503926</v>
      </c>
      <c r="X83" s="4">
        <f t="shared" si="19"/>
        <v>0.25592322525453842</v>
      </c>
      <c r="Y83" s="3">
        <f t="shared" si="20"/>
        <v>27.395006558258771</v>
      </c>
      <c r="Z83" s="2">
        <f t="shared" si="21"/>
        <v>28.743991699391763</v>
      </c>
      <c r="AA83" s="3">
        <f t="shared" si="22"/>
        <v>29.208147622293875</v>
      </c>
      <c r="AB83" s="2">
        <f t="shared" si="23"/>
        <v>29.646937704281715</v>
      </c>
      <c r="AC83" s="2">
        <f t="shared" si="24"/>
        <v>30.522129695864297</v>
      </c>
      <c r="AD83" s="2">
        <f t="shared" si="25"/>
        <v>-0.56401188836933047</v>
      </c>
      <c r="AE83" s="2">
        <f t="shared" si="26"/>
        <v>0.25608577305488467</v>
      </c>
    </row>
    <row r="84" spans="2:31" x14ac:dyDescent="0.2">
      <c r="B84" s="1">
        <f>[5]FormattedData!A51</f>
        <v>906</v>
      </c>
      <c r="C84" s="1" t="str">
        <f>VLOOKUP($B84,[5]TrtCodes!$B$11:I94,2)</f>
        <v>Late</v>
      </c>
      <c r="D84" s="1">
        <f>VLOOKUP($B84,[5]TrtCodes!$B$11:J94,3)</f>
        <v>22</v>
      </c>
      <c r="E84" s="1">
        <f>VLOOKUP($B84,[5]TrtCodes!$B$11:K94,4)</f>
        <v>4</v>
      </c>
      <c r="F84" s="1">
        <f>VLOOKUP($B84,[5]TrtCodes!$B$11:L94,5)</f>
        <v>2</v>
      </c>
      <c r="G84" s="1">
        <f>VLOOKUP($B84,[5]TrtCodes!$B$11:M94,6)</f>
        <v>2</v>
      </c>
      <c r="H84" s="1">
        <f>VLOOKUP($B84,[5]TrtCodes!$B$11:N94,7)</f>
        <v>2</v>
      </c>
      <c r="I84" s="1">
        <f>[5]FormattedData!B51</f>
        <v>2</v>
      </c>
      <c r="J84" s="4">
        <f>[5]FormattedData!C51</f>
        <v>13.510999999999999</v>
      </c>
      <c r="K84" s="6">
        <f>$J$3+[5]FormattedData!D51*$J$4+$M$4*$J$5+[5]FormattedData!D51^2*$J$6+$M$5*$J$7</f>
        <v>30.230800583113783</v>
      </c>
      <c r="L84" s="6">
        <f>$J$3+[5]FormattedData!E51*$J$4+$M$4*$J$5+[5]FormattedData!E51^2*$J$6+$M$5*$J$7</f>
        <v>29.744406691104302</v>
      </c>
      <c r="M84" s="6">
        <f>$J$3+[5]FormattedData!F51*$J$4+$M$4*$J$5+[5]FormattedData!F51^2*$J$6+$M$5*$J$7</f>
        <v>30.133606341787754</v>
      </c>
      <c r="N84" s="6">
        <f>$J$3+[5]FormattedData!G51*$J$4+$M$4*$J$5+[5]FormattedData!G51^2*$J$6+$M$5*$J$7</f>
        <v>31.103646670841187</v>
      </c>
      <c r="O84" s="6">
        <f>$J$3+[5]FormattedData!H51*$J$4+$M$4*$J$5+[5]FormattedData!H51^2*$J$6+$M$5*$J$7</f>
        <v>29.549553254534992</v>
      </c>
      <c r="P84" s="6">
        <f>$J$3+[5]FormattedData!I51*$J$4+$M$4*$J$5+[5]FormattedData!I51^2*$J$6+$M$5*$J$7</f>
        <v>32.069460146101505</v>
      </c>
      <c r="Q84" s="6">
        <f>$J$3+[5]FormattedData!J51*$J$4+$M$4*$J$5+[5]FormattedData!J51^2*$J$6+$M$5*$J$7</f>
        <v>29.841770006582067</v>
      </c>
      <c r="R84" s="6">
        <f>$J$3+[5]FormattedData!K51*$J$4+$M$4*$J$5+[5]FormattedData!K51^2*$J$6+$M$5*$J$7</f>
        <v>30.619154863038609</v>
      </c>
      <c r="S84" s="6">
        <f>$J$3+[5]FormattedData!L51*$J$4+$M$4*$J$5+[5]FormattedData!L51^2*$J$6+$M$5*$J$7</f>
        <v>30.619154863038609</v>
      </c>
      <c r="T84" s="6">
        <f>$J$3+[5]FormattedData!M51*$J$4+$M$4*$J$5+[5]FormattedData!M51^2*$J$6+$M$5*$J$7</f>
        <v>29.061679963697927</v>
      </c>
      <c r="U84" s="6">
        <f>$J$3+[5]FormattedData!N51*$J$4+$M$4*$J$5+[5]FormattedData!N51^2*$J$6+$M$5*$J$7</f>
        <v>29.549553254534992</v>
      </c>
      <c r="V84" s="6">
        <f>$J$3+[5]FormattedData!O51*$J$4+$M$4*$J$5+[5]FormattedData!O51^2*$J$6+$M$5*$J$7</f>
        <v>29.061679963697927</v>
      </c>
      <c r="W84" s="5">
        <f t="shared" si="18"/>
        <v>30.132038883506141</v>
      </c>
      <c r="X84" s="4">
        <f t="shared" si="19"/>
        <v>0.25205779331083716</v>
      </c>
      <c r="Y84" s="3">
        <f t="shared" si="20"/>
        <v>29.061679963697927</v>
      </c>
      <c r="Z84" s="2">
        <f t="shared" si="21"/>
        <v>29.549553254534992</v>
      </c>
      <c r="AA84" s="3">
        <f t="shared" si="22"/>
        <v>29.98768817418491</v>
      </c>
      <c r="AB84" s="2">
        <f t="shared" si="23"/>
        <v>30.619154863038609</v>
      </c>
      <c r="AC84" s="2">
        <f t="shared" si="24"/>
        <v>32.069460146101505</v>
      </c>
      <c r="AD84" s="2">
        <f t="shared" si="25"/>
        <v>0.89986795164305688</v>
      </c>
      <c r="AE84" s="2">
        <f t="shared" si="26"/>
        <v>0.84058179198662675</v>
      </c>
    </row>
    <row r="85" spans="2:31" x14ac:dyDescent="0.2">
      <c r="B85" s="1">
        <f>[5]FormattedData!A47</f>
        <v>908</v>
      </c>
      <c r="C85" s="1" t="str">
        <f>VLOOKUP($B85,[5]TrtCodes!$B$11:I90,2)</f>
        <v>Early</v>
      </c>
      <c r="D85" s="1">
        <f>VLOOKUP($B85,[5]TrtCodes!$B$11:J90,3)</f>
        <v>21</v>
      </c>
      <c r="E85" s="1">
        <f>VLOOKUP($B85,[5]TrtCodes!$B$11:K90,4)</f>
        <v>3</v>
      </c>
      <c r="F85" s="1">
        <f>VLOOKUP($B85,[5]TrtCodes!$B$11:L90,5)</f>
        <v>2</v>
      </c>
      <c r="G85" s="1">
        <f>VLOOKUP($B85,[5]TrtCodes!$B$11:M90,6)</f>
        <v>2</v>
      </c>
      <c r="H85" s="1">
        <f>VLOOKUP($B85,[5]TrtCodes!$B$11:N90,7)</f>
        <v>2</v>
      </c>
      <c r="I85" s="1">
        <f>[5]FormattedData!B47</f>
        <v>2</v>
      </c>
      <c r="J85" s="4">
        <f>[5]FormattedData!C47</f>
        <v>13.47</v>
      </c>
      <c r="K85" s="6">
        <f>$J$3+[5]FormattedData!D47*$J$4+$M$4*$J$5+[5]FormattedData!D47^2*$J$6+$M$5*$J$7</f>
        <v>30.813078391773434</v>
      </c>
      <c r="L85" s="6">
        <f>$J$3+[5]FormattedData!E47*$J$4+$M$4*$J$5+[5]FormattedData!E47^2*$J$6+$M$5*$J$7</f>
        <v>30.522129695864297</v>
      </c>
      <c r="M85" s="6">
        <f>$J$3+[5]FormattedData!F47*$J$4+$M$4*$J$5+[5]FormattedData!F47^2*$J$6+$M$5*$J$7</f>
        <v>29.939091053521889</v>
      </c>
      <c r="N85" s="6">
        <f>$J$3+[5]FormattedData!G47*$J$4+$M$4*$J$5+[5]FormattedData!G47^2*$J$6+$M$5*$J$7</f>
        <v>29.939091053521889</v>
      </c>
      <c r="O85" s="6">
        <f>$J$3+[5]FormattedData!H47*$J$4+$M$4*$J$5+[5]FormattedData!H47^2*$J$6+$M$5*$J$7</f>
        <v>30.036369831923782</v>
      </c>
      <c r="P85" s="6">
        <f>$J$3+[5]FormattedData!I47*$J$4+$M$4*$J$5+[5]FormattedData!I47^2*$J$6+$M$5*$J$7</f>
        <v>30.619154863038609</v>
      </c>
      <c r="Q85" s="6">
        <f>$J$3+[5]FormattedData!J47*$J$4+$M$4*$J$5+[5]FormattedData!J47^2*$J$6+$M$5*$J$7</f>
        <v>28.96397849991672</v>
      </c>
      <c r="R85" s="6">
        <f>$J$3+[5]FormattedData!K47*$J$4+$M$4*$J$5+[5]FormattedData!K47^2*$J$6+$M$5*$J$7</f>
        <v>30.42506226015206</v>
      </c>
      <c r="S85" s="6">
        <f>$J$3+[5]FormattedData!L47*$J$4+$M$4*$J$5+[5]FormattedData!L47^2*$J$6+$M$5*$J$7</f>
        <v>30.619154863038609</v>
      </c>
      <c r="T85" s="6">
        <f>$J$3+[5]FormattedData!M47*$J$4+$M$4*$J$5+[5]FormattedData!M47^2*$J$6+$M$5*$J$7</f>
        <v>28.96397849991672</v>
      </c>
      <c r="U85" s="6">
        <f>$J$3+[5]FormattedData!N47*$J$4+$M$4*$J$5+[5]FormattedData!N47^2*$J$6+$M$5*$J$7</f>
        <v>30.619154863038609</v>
      </c>
      <c r="V85" s="6">
        <f>$J$3+[5]FormattedData!O47*$J$4+$M$4*$J$5+[5]FormattedData!O47^2*$J$6+$M$5*$J$7</f>
        <v>29.841770006582067</v>
      </c>
      <c r="W85" s="5">
        <f t="shared" si="18"/>
        <v>30.10850115685739</v>
      </c>
      <c r="X85" s="4">
        <f t="shared" si="19"/>
        <v>0.18056398237611998</v>
      </c>
      <c r="Y85" s="3">
        <f t="shared" si="20"/>
        <v>28.96397849991672</v>
      </c>
      <c r="Z85" s="2">
        <f t="shared" si="21"/>
        <v>29.914760791786932</v>
      </c>
      <c r="AA85" s="3">
        <f t="shared" si="22"/>
        <v>30.230716046037919</v>
      </c>
      <c r="AB85" s="2">
        <f t="shared" si="23"/>
        <v>30.619154863038609</v>
      </c>
      <c r="AC85" s="2">
        <f t="shared" si="24"/>
        <v>30.813078391773434</v>
      </c>
      <c r="AD85" s="2">
        <f t="shared" si="25"/>
        <v>-0.96994413406511015</v>
      </c>
      <c r="AE85" s="2">
        <f t="shared" si="26"/>
        <v>1.0663979894599329E-2</v>
      </c>
    </row>
    <row r="88" spans="2:31" x14ac:dyDescent="0.2">
      <c r="W88" s="2"/>
    </row>
  </sheetData>
  <autoFilter ref="B9:AE85" xr:uid="{AD4BD5DE-20E1-4A9D-BE0E-F6ED15015C91}"/>
  <conditionalFormatting sqref="K10:V85">
    <cfRule type="cellIs" dxfId="107" priority="1" stopIfTrue="1" operator="lessThan">
      <formula>$W10-$V$5*$X10</formula>
    </cfRule>
    <cfRule type="cellIs" dxfId="106" priority="2" stopIfTrue="1" operator="greaterThan">
      <formula>$W10+$V$5*$X10</formula>
    </cfRule>
  </conditionalFormatting>
  <conditionalFormatting sqref="W10:W85">
    <cfRule type="cellIs" dxfId="105" priority="3" stopIfTrue="1" operator="lessThan">
      <formula>AVERAGE($W$10:$W$41)</formula>
    </cfRule>
    <cfRule type="cellIs" dxfId="10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8604-B47B-45B4-B114-0C574ED37092}">
  <sheetPr codeName="Sheet28"/>
  <dimension ref="A1:AI88"/>
  <sheetViews>
    <sheetView topLeftCell="A8" workbookViewId="0">
      <pane xSplit="4" ySplit="2" topLeftCell="J37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[6]FormattedData!A1</f>
        <v>Raw data file name - 'IA174.03R'</v>
      </c>
    </row>
    <row r="2" spans="1:35" ht="15" x14ac:dyDescent="0.25">
      <c r="I2" s="32" t="s">
        <v>136</v>
      </c>
      <c r="J2" s="24"/>
      <c r="P2" s="31">
        <f>[6]AncillaryData!C10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[6]AncillaryData!E25</f>
        <v>36.1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"&amp;[6]AncillaryData!C7</f>
        <v>Time Sequence of Midday IRT Temps - FISE 2003 - DOY 174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"&amp;[6]AncillaryData!E25&amp;", VPD = "&amp;ROUND([6]AncillaryData!E29,1)&amp;", Quality = "&amp;[6]AncillaryData!C20&amp;")"</f>
        <v>(Ta = 36.1, VPD = 5.2,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[6]FormattedData!A28</f>
        <v>101</v>
      </c>
      <c r="C10" s="1" t="str">
        <f>VLOOKUP($B10,[6]TrtCodes!$B$11:I71,2)</f>
        <v>FSH</v>
      </c>
      <c r="D10" s="1">
        <f>VLOOKUP($B10,[6]TrtCodes!$B$11:J71,3)</f>
        <v>1</v>
      </c>
      <c r="E10" s="1">
        <f>VLOOKUP($B10,[6]TrtCodes!$B$11:K71,4)</f>
        <v>1</v>
      </c>
      <c r="F10" s="1">
        <f>VLOOKUP($B10,[6]TrtCodes!$B$11:L71,5)</f>
        <v>1</v>
      </c>
      <c r="G10" s="1">
        <f>VLOOKUP($B10,[6]TrtCodes!$B$11:M71,6)</f>
        <v>2</v>
      </c>
      <c r="H10" s="1">
        <f>VLOOKUP($B10,[6]TrtCodes!$B$11:N71,7)</f>
        <v>1</v>
      </c>
      <c r="I10" s="1">
        <f>[6]FormattedData!B28</f>
        <v>1</v>
      </c>
      <c r="J10" s="4">
        <f>[6]FormattedData!C28</f>
        <v>13.209</v>
      </c>
      <c r="K10" s="6">
        <f>$J$3+[6]FormattedData!D28*$J$4+$M$4*$J$5+[6]FormattedData!D28^2*$J$6+$M$5*$J$7</f>
        <v>33.056444915544589</v>
      </c>
      <c r="L10" s="6">
        <f>$J$3+[6]FormattedData!E28*$J$4+$M$4*$J$5+[6]FormattedData!E28^2*$J$6+$M$5*$J$7</f>
        <v>31.61247991317137</v>
      </c>
      <c r="M10" s="6">
        <f>$J$3+[6]FormattedData!F28*$J$4+$M$4*$J$5+[6]FormattedData!F28^2*$J$6+$M$5*$J$7</f>
        <v>31.805558071147573</v>
      </c>
      <c r="N10" s="6">
        <f>$J$3+[6]FormattedData!G28*$J$4+$M$4*$J$5+[6]FormattedData!G28^2*$J$6+$M$5*$J$7</f>
        <v>32.191207164644794</v>
      </c>
      <c r="O10" s="6">
        <f>$J$3+[6]FormattedData!H28*$J$4+$M$4*$J$5+[6]FormattedData!H28^2*$J$6+$M$5*$J$7</f>
        <v>31.515877431376374</v>
      </c>
      <c r="P10" s="6">
        <f>$J$3+[6]FormattedData!I28*$J$4+$M$4*$J$5+[6]FormattedData!I28^2*$J$6+$M$5*$J$7</f>
        <v>31.998467154972051</v>
      </c>
      <c r="Q10" s="6">
        <f>$J$3+[6]FormattedData!J28*$J$4+$M$4*$J$5+[6]FormattedData!J28^2*$J$6+$M$5*$J$7</f>
        <v>30.644553011014494</v>
      </c>
      <c r="R10" s="6">
        <f>$J$3+[6]FormattedData!K28*$J$4+$M$4*$J$5+[6]FormattedData!K28^2*$J$6+$M$5*$J$7</f>
        <v>32.768412748752709</v>
      </c>
      <c r="S10" s="6">
        <f>$J$3+[6]FormattedData!L28*$J$4+$M$4*$J$5+[6]FormattedData!L28^2*$J$6+$M$5*$J$7</f>
        <v>31.90203374732878</v>
      </c>
      <c r="T10" s="6">
        <f>$J$3+[6]FormattedData!M28*$J$4+$M$4*$J$5+[6]FormattedData!M28^2*$J$6+$M$5*$J$7</f>
        <v>33.152371100732694</v>
      </c>
      <c r="U10" s="6">
        <f>$J$3+[6]FormattedData!N28*$J$4+$M$4*$J$5+[6]FormattedData!N28^2*$J$6+$M$5*$J$7</f>
        <v>31.129044818817071</v>
      </c>
      <c r="V10" s="6">
        <f>$J$3+[6]FormattedData!O28*$J$4+$M$4*$J$5+[6]FormattedData!O28^2*$J$6+$M$5*$J$7</f>
        <v>31.129044818817071</v>
      </c>
      <c r="W10" s="5">
        <f t="shared" ref="W10:W41" si="0">AVERAGE(K10:V10)</f>
        <v>31.908791241359967</v>
      </c>
      <c r="X10" s="4">
        <f t="shared" ref="X10:X41" si="1">STDEV(K10:V10)/SQRT(COUNT(K10:V10))</f>
        <v>0.2262597924908519</v>
      </c>
      <c r="Y10" s="3">
        <f t="shared" ref="Y10:Y41" si="2">MIN(K10:V10)</f>
        <v>30.644553011014494</v>
      </c>
      <c r="Z10" s="2">
        <f t="shared" ref="Z10:Z41" si="3">QUARTILE(K10:V10,1)</f>
        <v>31.419169278236549</v>
      </c>
      <c r="AA10" s="3">
        <f t="shared" ref="AA10:AA41" si="4">MEDIAN(K10:V10)</f>
        <v>31.853795909238176</v>
      </c>
      <c r="AB10" s="2">
        <f t="shared" ref="AB10:AB41" si="5">QUARTILE(K10:V10,3)</f>
        <v>32.335508560671769</v>
      </c>
      <c r="AC10" s="2">
        <f t="shared" ref="AC10:AC41" si="6">MAX(K10:V10)</f>
        <v>33.152371100732694</v>
      </c>
      <c r="AD10" s="2">
        <f t="shared" ref="AD10:AD41" si="7">SKEW(K10:V10)</f>
        <v>0.23486930402947578</v>
      </c>
      <c r="AE10" s="2">
        <f t="shared" ref="AE10:AE41" si="8">KURT(K10:V10)</f>
        <v>-0.69116728779793846</v>
      </c>
    </row>
    <row r="11" spans="1:35" x14ac:dyDescent="0.2">
      <c r="B11" s="1">
        <f>[6]FormattedData!A26</f>
        <v>102</v>
      </c>
      <c r="C11" s="1" t="str">
        <f>VLOOKUP($B11,[6]TrtCodes!$B$11:I69,2)</f>
        <v>FTL</v>
      </c>
      <c r="D11" s="1">
        <f>VLOOKUP($B11,[6]TrtCodes!$B$11:J69,3)</f>
        <v>4</v>
      </c>
      <c r="E11" s="1">
        <f>VLOOKUP($B11,[6]TrtCodes!$B$11:K69,4)</f>
        <v>1</v>
      </c>
      <c r="F11" s="1">
        <f>VLOOKUP($B11,[6]TrtCodes!$B$11:L69,5)</f>
        <v>2</v>
      </c>
      <c r="G11" s="1">
        <f>VLOOKUP($B11,[6]TrtCodes!$B$11:M69,6)</f>
        <v>1</v>
      </c>
      <c r="H11" s="1">
        <f>VLOOKUP($B11,[6]TrtCodes!$B$11:N69,7)</f>
        <v>1</v>
      </c>
      <c r="I11" s="1">
        <f>[6]FormattedData!B26</f>
        <v>1</v>
      </c>
      <c r="J11" s="4">
        <f>[6]FormattedData!C26</f>
        <v>13.193</v>
      </c>
      <c r="K11" s="6">
        <f>$J$3+[6]FormattedData!D26*$J$4+$M$4*$J$5+[6]FormattedData!D26^2*$J$6+$M$5*$J$7</f>
        <v>34.109308183027473</v>
      </c>
      <c r="L11" s="6">
        <f>$J$3+[6]FormattedData!E26*$J$4+$M$4*$J$5+[6]FormattedData!E26^2*$J$6+$M$5*$J$7</f>
        <v>32.576179961535132</v>
      </c>
      <c r="M11" s="6">
        <f>$J$3+[6]FormattedData!F26*$J$4+$M$4*$J$5+[6]FormattedData!F26^2*$J$6+$M$5*$J$7</f>
        <v>31.805558071147573</v>
      </c>
      <c r="N11" s="6">
        <f>$J$3+[6]FormattedData!G26*$J$4+$M$4*$J$5+[6]FormattedData!G26^2*$J$6+$M$5*$J$7</f>
        <v>32.191207164644794</v>
      </c>
      <c r="O11" s="6">
        <f>$J$3+[6]FormattedData!H26*$J$4+$M$4*$J$5+[6]FormattedData!H26^2*$J$6+$M$5*$J$7</f>
        <v>31.419232681043443</v>
      </c>
      <c r="P11" s="6">
        <f>$J$3+[6]FormattedData!I26*$J$4+$M$4*$J$5+[6]FormattedData!I26^2*$J$6+$M$5*$J$7</f>
        <v>31.419232681043443</v>
      </c>
      <c r="Q11" s="6">
        <f>$J$3+[6]FormattedData!J26*$J$4+$M$4*$J$5+[6]FormattedData!J26^2*$J$6+$M$5*$J$7</f>
        <v>31.998467154972051</v>
      </c>
      <c r="R11" s="6">
        <f>$J$3+[6]FormattedData!K26*$J$4+$M$4*$J$5+[6]FormattedData!K26^2*$J$6+$M$5*$J$7</f>
        <v>31.90203374732878</v>
      </c>
      <c r="S11" s="6">
        <f>$J$3+[6]FormattedData!L26*$J$4+$M$4*$J$5+[6]FormattedData!L26^2*$J$6+$M$5*$J$7</f>
        <v>31.61247991317137</v>
      </c>
      <c r="T11" s="6">
        <f>$J$3+[6]FormattedData!M26*$J$4+$M$4*$J$5+[6]FormattedData!M26^2*$J$6+$M$5*$J$7</f>
        <v>30.741535909650871</v>
      </c>
      <c r="U11" s="6">
        <f>$J$3+[6]FormattedData!N26*$J$4+$M$4*$J$5+[6]FormattedData!N26^2*$J$6+$M$5*$J$7</f>
        <v>30.935374901309832</v>
      </c>
      <c r="V11" s="6">
        <f>$J$3+[6]FormattedData!O26*$J$4+$M$4*$J$5+[6]FormattedData!O26^2*$J$6+$M$5*$J$7</f>
        <v>30.547527843840182</v>
      </c>
      <c r="W11" s="5">
        <f t="shared" si="0"/>
        <v>31.771511517726239</v>
      </c>
      <c r="X11" s="4">
        <f t="shared" si="1"/>
        <v>0.27372618351599021</v>
      </c>
      <c r="Y11" s="3">
        <f t="shared" si="2"/>
        <v>30.547527843840182</v>
      </c>
      <c r="Z11" s="2">
        <f t="shared" si="3"/>
        <v>31.29826823611004</v>
      </c>
      <c r="AA11" s="3">
        <f t="shared" si="4"/>
        <v>31.709018992159471</v>
      </c>
      <c r="AB11" s="2">
        <f t="shared" si="5"/>
        <v>32.046652157390234</v>
      </c>
      <c r="AC11" s="2">
        <f t="shared" si="6"/>
        <v>34.109308183027473</v>
      </c>
      <c r="AD11" s="2">
        <f t="shared" si="7"/>
        <v>1.2518490144304115</v>
      </c>
      <c r="AE11" s="2">
        <f t="shared" si="8"/>
        <v>2.635480611475618</v>
      </c>
    </row>
    <row r="12" spans="1:35" x14ac:dyDescent="0.2">
      <c r="B12" s="1">
        <f>[6]FormattedData!A24</f>
        <v>103</v>
      </c>
      <c r="C12" s="1" t="str">
        <f>VLOOKUP($B12,[6]TrtCodes!$B$11:I67,2)</f>
        <v>FDH</v>
      </c>
      <c r="D12" s="1">
        <f>VLOOKUP($B12,[6]TrtCodes!$B$11:J67,3)</f>
        <v>5</v>
      </c>
      <c r="E12" s="1">
        <f>VLOOKUP($B12,[6]TrtCodes!$B$11:K67,4)</f>
        <v>1</v>
      </c>
      <c r="F12" s="1">
        <f>VLOOKUP($B12,[6]TrtCodes!$B$11:L67,5)</f>
        <v>3</v>
      </c>
      <c r="G12" s="1">
        <f>VLOOKUP($B12,[6]TrtCodes!$B$11:M67,6)</f>
        <v>2</v>
      </c>
      <c r="H12" s="1">
        <f>VLOOKUP($B12,[6]TrtCodes!$B$11:N67,7)</f>
        <v>1</v>
      </c>
      <c r="I12" s="1">
        <f>[6]FormattedData!B24</f>
        <v>1</v>
      </c>
      <c r="J12" s="4">
        <f>[6]FormattedData!C24</f>
        <v>13.177</v>
      </c>
      <c r="K12" s="6">
        <f>$J$3+[6]FormattedData!D24*$J$4+$M$4*$J$5+[6]FormattedData!D24^2*$J$6+$M$5*$J$7</f>
        <v>32.960476461818565</v>
      </c>
      <c r="L12" s="6">
        <f>$J$3+[6]FormattedData!E24*$J$4+$M$4*$J$5+[6]FormattedData!E24^2*$J$6+$M$5*$J$7</f>
        <v>30.741535909650871</v>
      </c>
      <c r="M12" s="6">
        <f>$J$3+[6]FormattedData!F24*$J$4+$M$4*$J$5+[6]FormattedData!F24^2*$J$6+$M$5*$J$7</f>
        <v>30.159004489763639</v>
      </c>
      <c r="N12" s="6">
        <f>$J$3+[6]FormattedData!G24*$J$4+$M$4*$J$5+[6]FormattedData!G24^2*$J$6+$M$5*$J$7</f>
        <v>32.09485829407739</v>
      </c>
      <c r="O12" s="6">
        <f>$J$3+[6]FormattedData!H24*$J$4+$M$4*$J$5+[6]FormattedData!H24^2*$J$6+$M$5*$J$7</f>
        <v>30.159004489763639</v>
      </c>
      <c r="P12" s="6">
        <f>$J$3+[6]FormattedData!I24*$J$4+$M$4*$J$5+[6]FormattedData!I24^2*$J$6+$M$5*$J$7</f>
        <v>31.998467154972051</v>
      </c>
      <c r="Q12" s="6">
        <f>$J$3+[6]FormattedData!J24*$J$4+$M$4*$J$5+[6]FormattedData!J24^2*$J$6+$M$5*$J$7</f>
        <v>31.129044818817071</v>
      </c>
      <c r="R12" s="6">
        <f>$J$3+[6]FormattedData!K24*$J$4+$M$4*$J$5+[6]FormattedData!K24^2*$J$6+$M$5*$J$7</f>
        <v>31.61247991317137</v>
      </c>
      <c r="S12" s="6">
        <f>$J$3+[6]FormattedData!L24*$J$4+$M$4*$J$5+[6]FormattedData!L24^2*$J$6+$M$5*$J$7</f>
        <v>31.61247991317137</v>
      </c>
      <c r="T12" s="6">
        <f>$J$3+[6]FormattedData!M24*$J$4+$M$4*$J$5+[6]FormattedData!M24^2*$J$6+$M$5*$J$7</f>
        <v>31.129044818817071</v>
      </c>
      <c r="U12" s="6">
        <f>$J$3+[6]FormattedData!N24*$J$4+$M$4*$J$5+[6]FormattedData!N24^2*$J$6+$M$5*$J$7</f>
        <v>31.322545662172587</v>
      </c>
      <c r="V12" s="6">
        <f>$J$3+[6]FormattedData!O24*$J$4+$M$4*$J$5+[6]FormattedData!O24^2*$J$6+$M$5*$J$7</f>
        <v>30.741535909650871</v>
      </c>
      <c r="W12" s="5">
        <f t="shared" si="0"/>
        <v>31.305039819653874</v>
      </c>
      <c r="X12" s="4">
        <f t="shared" si="1"/>
        <v>0.23610292750011963</v>
      </c>
      <c r="Y12" s="3">
        <f t="shared" si="2"/>
        <v>30.159004489763639</v>
      </c>
      <c r="Z12" s="2">
        <f t="shared" si="3"/>
        <v>30.741535909650871</v>
      </c>
      <c r="AA12" s="3">
        <f t="shared" si="4"/>
        <v>31.225795240494829</v>
      </c>
      <c r="AB12" s="2">
        <f t="shared" si="5"/>
        <v>31.708976723621539</v>
      </c>
      <c r="AC12" s="2">
        <f t="shared" si="6"/>
        <v>32.960476461818565</v>
      </c>
      <c r="AD12" s="2">
        <f t="shared" si="7"/>
        <v>0.4071149439966833</v>
      </c>
      <c r="AE12" s="2">
        <f t="shared" si="8"/>
        <v>0.12268059290611166</v>
      </c>
    </row>
    <row r="13" spans="1:35" x14ac:dyDescent="0.2">
      <c r="B13" s="1">
        <f>[6]FormattedData!A22</f>
        <v>104</v>
      </c>
      <c r="C13" s="1" t="str">
        <f>VLOOKUP($B13,[6]TrtCodes!$B$11:I65,2)</f>
        <v>NTL</v>
      </c>
      <c r="D13" s="1">
        <f>VLOOKUP($B13,[6]TrtCodes!$B$11:J65,3)</f>
        <v>10</v>
      </c>
      <c r="E13" s="1">
        <f>VLOOKUP($B13,[6]TrtCodes!$B$11:K65,4)</f>
        <v>2</v>
      </c>
      <c r="F13" s="1">
        <f>VLOOKUP($B13,[6]TrtCodes!$B$11:L65,5)</f>
        <v>2</v>
      </c>
      <c r="G13" s="1">
        <f>VLOOKUP($B13,[6]TrtCodes!$B$11:M65,6)</f>
        <v>1</v>
      </c>
      <c r="H13" s="1">
        <f>VLOOKUP($B13,[6]TrtCodes!$B$11:N65,7)</f>
        <v>1</v>
      </c>
      <c r="I13" s="1">
        <f>[6]FormattedData!B22</f>
        <v>1</v>
      </c>
      <c r="J13" s="4">
        <f>[6]FormattedData!C22</f>
        <v>13.16</v>
      </c>
      <c r="K13" s="6">
        <f>$J$3+[6]FormattedData!D22*$J$4+$M$4*$J$5+[6]FormattedData!D22^2*$J$6+$M$5*$J$7</f>
        <v>51.662828675526569</v>
      </c>
      <c r="L13" s="6">
        <f>$J$3+[6]FormattedData!E22*$J$4+$M$4*$J$5+[6]FormattedData!E22^2*$J$6+$M$5*$J$7</f>
        <v>39.762166747140753</v>
      </c>
      <c r="M13" s="6">
        <f>$J$3+[6]FormattedData!F22*$J$4+$M$4*$J$5+[6]FormattedData!F22^2*$J$6+$M$5*$J$7</f>
        <v>42.348092571662455</v>
      </c>
      <c r="N13" s="6">
        <f>$J$3+[6]FormattedData!G22*$J$4+$M$4*$J$5+[6]FormattedData!G22^2*$J$6+$M$5*$J$7</f>
        <v>38.175972637922492</v>
      </c>
      <c r="O13" s="6">
        <f>$J$3+[6]FormattedData!H22*$J$4+$M$4*$J$5+[6]FormattedData!H22^2*$J$6+$M$5*$J$7</f>
        <v>44.538224853583458</v>
      </c>
      <c r="P13" s="6">
        <f>$J$3+[6]FormattedData!I22*$J$4+$M$4*$J$5+[6]FormattedData!I22^2*$J$6+$M$5*$J$7</f>
        <v>47.777773255499319</v>
      </c>
      <c r="Q13" s="6">
        <f>$J$3+[6]FormattedData!J22*$J$4+$M$4*$J$5+[6]FormattedData!J22^2*$J$6+$M$5*$J$7</f>
        <v>40.596971150730127</v>
      </c>
      <c r="R13" s="6">
        <f>$J$3+[6]FormattedData!K22*$J$4+$M$4*$J$5+[6]FormattedData!K22^2*$J$6+$M$5*$J$7</f>
        <v>48.579100977047226</v>
      </c>
      <c r="S13" s="6">
        <f>$J$3+[6]FormattedData!L22*$J$4+$M$4*$J$5+[6]FormattedData!L22^2*$J$6+$M$5*$J$7</f>
        <v>42.623190565847409</v>
      </c>
      <c r="T13" s="6">
        <f>$J$3+[6]FormattedData!M22*$J$4+$M$4*$J$5+[6]FormattedData!M22^2*$J$6+$M$5*$J$7</f>
        <v>45.804558586947685</v>
      </c>
      <c r="U13" s="6">
        <f>$J$3+[6]FormattedData!N22*$J$4+$M$4*$J$5+[6]FormattedData!N22^2*$J$6+$M$5*$J$7</f>
        <v>36.860522863482274</v>
      </c>
      <c r="V13" s="6">
        <f>$J$3+[6]FormattedData!O22*$J$4+$M$4*$J$5+[6]FormattedData!O22^2*$J$6+$M$5*$J$7</f>
        <v>45.081953755649899</v>
      </c>
      <c r="W13" s="5">
        <f t="shared" si="0"/>
        <v>43.650946386753304</v>
      </c>
      <c r="X13" s="4">
        <f t="shared" si="1"/>
        <v>1.2800006724973096</v>
      </c>
      <c r="Y13" s="3">
        <f t="shared" si="2"/>
        <v>36.860522863482274</v>
      </c>
      <c r="Z13" s="2">
        <f t="shared" si="3"/>
        <v>40.388270049832784</v>
      </c>
      <c r="AA13" s="3">
        <f t="shared" si="4"/>
        <v>43.580707709715433</v>
      </c>
      <c r="AB13" s="2">
        <f t="shared" si="5"/>
        <v>46.297862254085594</v>
      </c>
      <c r="AC13" s="2">
        <f t="shared" si="6"/>
        <v>51.662828675526569</v>
      </c>
      <c r="AD13" s="2">
        <f t="shared" si="7"/>
        <v>0.18778668288470907</v>
      </c>
      <c r="AE13" s="2">
        <f t="shared" si="8"/>
        <v>-0.62093787892941776</v>
      </c>
    </row>
    <row r="14" spans="1:35" x14ac:dyDescent="0.2">
      <c r="B14" s="1">
        <f>[6]FormattedData!A20</f>
        <v>105</v>
      </c>
      <c r="C14" s="1" t="str">
        <f>VLOOKUP($B14,[6]TrtCodes!$B$11:I63,2)</f>
        <v>NDL</v>
      </c>
      <c r="D14" s="1">
        <f>VLOOKUP($B14,[6]TrtCodes!$B$11:J63,3)</f>
        <v>12</v>
      </c>
      <c r="E14" s="1">
        <f>VLOOKUP($B14,[6]TrtCodes!$B$11:K63,4)</f>
        <v>2</v>
      </c>
      <c r="F14" s="1">
        <f>VLOOKUP($B14,[6]TrtCodes!$B$11:L63,5)</f>
        <v>3</v>
      </c>
      <c r="G14" s="1">
        <f>VLOOKUP($B14,[6]TrtCodes!$B$11:M63,6)</f>
        <v>1</v>
      </c>
      <c r="H14" s="1">
        <f>VLOOKUP($B14,[6]TrtCodes!$B$11:N63,7)</f>
        <v>2</v>
      </c>
      <c r="I14" s="1">
        <f>[6]FormattedData!B20</f>
        <v>1</v>
      </c>
      <c r="J14" s="4">
        <f>[6]FormattedData!C20</f>
        <v>13.143000000000001</v>
      </c>
      <c r="K14" s="6">
        <f>$J$3+[6]FormattedData!D20*$J$4+$M$4*$J$5+[6]FormattedData!D20^2*$J$6+$M$5*$J$7</f>
        <v>44.628952008606021</v>
      </c>
      <c r="L14" s="6">
        <f>$J$3+[6]FormattedData!E20*$J$4+$M$4*$J$5+[6]FormattedData!E20^2*$J$6+$M$5*$J$7</f>
        <v>32.09485829407739</v>
      </c>
      <c r="M14" s="6">
        <f>$J$3+[6]FormattedData!F20*$J$4+$M$4*$J$5+[6]FormattedData!F20^2*$J$6+$M$5*$J$7</f>
        <v>36.483158403419544</v>
      </c>
      <c r="N14" s="6">
        <f>$J$3+[6]FormattedData!G20*$J$4+$M$4*$J$5+[6]FormattedData!G20^2*$J$6+$M$5*$J$7</f>
        <v>33.535653156105774</v>
      </c>
      <c r="O14" s="6">
        <f>$J$3+[6]FormattedData!H20*$J$4+$M$4*$J$5+[6]FormattedData!H20^2*$J$6+$M$5*$J$7</f>
        <v>33.24825501738286</v>
      </c>
      <c r="P14" s="6">
        <f>$J$3+[6]FormattedData!I20*$J$4+$M$4*$J$5+[6]FormattedData!I20^2*$J$6+$M$5*$J$7</f>
        <v>35.53678845560755</v>
      </c>
      <c r="Q14" s="6">
        <f>$J$3+[6]FormattedData!J20*$J$4+$M$4*$J$5+[6]FormattedData!J20^2*$J$6+$M$5*$J$7</f>
        <v>40.504384180038592</v>
      </c>
      <c r="R14" s="6">
        <f>$J$3+[6]FormattedData!K20*$J$4+$M$4*$J$5+[6]FormattedData!K20^2*$J$6+$M$5*$J$7</f>
        <v>37.04895148228605</v>
      </c>
      <c r="S14" s="6">
        <f>$J$3+[6]FormattedData!L20*$J$4+$M$4*$J$5+[6]FormattedData!L20^2*$J$6+$M$5*$J$7</f>
        <v>37.04895148228605</v>
      </c>
      <c r="T14" s="6">
        <f>$J$3+[6]FormattedData!M20*$J$4+$M$4*$J$5+[6]FormattedData!M20^2*$J$6+$M$5*$J$7</f>
        <v>39.110507395113764</v>
      </c>
      <c r="U14" s="6">
        <f>$J$3+[6]FormattedData!N20*$J$4+$M$4*$J$5+[6]FormattedData!N20^2*$J$6+$M$5*$J$7</f>
        <v>45.172427299444877</v>
      </c>
      <c r="V14" s="6">
        <f>$J$3+[6]FormattedData!O20*$J$4+$M$4*$J$5+[6]FormattedData!O20^2*$J$6+$M$5*$J$7</f>
        <v>38.830590787604656</v>
      </c>
      <c r="W14" s="5">
        <f t="shared" si="0"/>
        <v>37.770289830164423</v>
      </c>
      <c r="X14" s="4">
        <f t="shared" si="1"/>
        <v>1.2013437634143518</v>
      </c>
      <c r="Y14" s="3">
        <f t="shared" si="2"/>
        <v>32.09485829407739</v>
      </c>
      <c r="Z14" s="2">
        <f t="shared" si="3"/>
        <v>35.036504630732104</v>
      </c>
      <c r="AA14" s="3">
        <f t="shared" si="4"/>
        <v>37.04895148228605</v>
      </c>
      <c r="AB14" s="2">
        <f t="shared" si="5"/>
        <v>39.458976591344971</v>
      </c>
      <c r="AC14" s="2">
        <f t="shared" si="6"/>
        <v>45.172427299444877</v>
      </c>
      <c r="AD14" s="2">
        <f t="shared" si="7"/>
        <v>0.58578752056319738</v>
      </c>
      <c r="AE14" s="2">
        <f t="shared" si="8"/>
        <v>-0.31337010494183559</v>
      </c>
    </row>
    <row r="15" spans="1:35" x14ac:dyDescent="0.2">
      <c r="B15" s="1">
        <f>[6]FormattedData!A18</f>
        <v>106</v>
      </c>
      <c r="C15" s="1" t="str">
        <f>VLOOKUP($B15,[6]TrtCodes!$B$11:I61,2)</f>
        <v>NTH</v>
      </c>
      <c r="D15" s="1">
        <f>VLOOKUP($B15,[6]TrtCodes!$B$11:J61,3)</f>
        <v>9</v>
      </c>
      <c r="E15" s="1">
        <f>VLOOKUP($B15,[6]TrtCodes!$B$11:K61,4)</f>
        <v>2</v>
      </c>
      <c r="F15" s="1">
        <f>VLOOKUP($B15,[6]TrtCodes!$B$11:L61,5)</f>
        <v>2</v>
      </c>
      <c r="G15" s="1">
        <f>VLOOKUP($B15,[6]TrtCodes!$B$11:M61,6)</f>
        <v>2</v>
      </c>
      <c r="H15" s="1">
        <f>VLOOKUP($B15,[6]TrtCodes!$B$11:N61,7)</f>
        <v>2</v>
      </c>
      <c r="I15" s="1">
        <f>[6]FormattedData!B18</f>
        <v>1</v>
      </c>
      <c r="J15" s="4">
        <f>[6]FormattedData!C18</f>
        <v>13.125999999999999</v>
      </c>
      <c r="K15" s="6">
        <f>$J$3+[6]FormattedData!D18*$J$4+$M$4*$J$5+[6]FormattedData!D18^2*$J$6+$M$5*$J$7</f>
        <v>50.34757137115367</v>
      </c>
      <c r="L15" s="6">
        <f>$J$3+[6]FormattedData!E18*$J$4+$M$4*$J$5+[6]FormattedData!E18^2*$J$6+$M$5*$J$7</f>
        <v>52.011957752251291</v>
      </c>
      <c r="M15" s="6">
        <f>$J$3+[6]FormattedData!F18*$J$4+$M$4*$J$5+[6]FormattedData!F18^2*$J$6+$M$5*$J$7</f>
        <v>47.777773255499319</v>
      </c>
      <c r="N15" s="6">
        <f>$J$3+[6]FormattedData!G18*$J$4+$M$4*$J$5+[6]FormattedData!G18^2*$J$6+$M$5*$J$7</f>
        <v>40.411754940809118</v>
      </c>
      <c r="O15" s="6">
        <f>$J$3+[6]FormattedData!H18*$J$4+$M$4*$J$5+[6]FormattedData!H18^2*$J$6+$M$5*$J$7</f>
        <v>48.845449383880435</v>
      </c>
      <c r="P15" s="6">
        <f>$J$3+[6]FormattedData!I18*$J$4+$M$4*$J$5+[6]FormattedData!I18^2*$J$6+$M$5*$J$7</f>
        <v>48.134341594899922</v>
      </c>
      <c r="Q15" s="6">
        <f>$J$3+[6]FormattedData!J18*$J$4+$M$4*$J$5+[6]FormattedData!J18^2*$J$6+$M$5*$J$7</f>
        <v>52.099134350087645</v>
      </c>
      <c r="R15" s="6">
        <f>$J$3+[6]FormattedData!K18*$J$4+$M$4*$J$5+[6]FormattedData!K18^2*$J$6+$M$5*$J$7</f>
        <v>38.550293763254174</v>
      </c>
      <c r="S15" s="6">
        <f>$J$3+[6]FormattedData!L18*$J$4+$M$4*$J$5+[6]FormattedData!L18^2*$J$6+$M$5*$J$7</f>
        <v>52.447418056053742</v>
      </c>
      <c r="T15" s="6">
        <f>$J$3+[6]FormattedData!M18*$J$4+$M$4*$J$5+[6]FormattedData!M18^2*$J$6+$M$5*$J$7</f>
        <v>39.296907124096847</v>
      </c>
      <c r="U15" s="6">
        <f>$J$3+[6]FormattedData!N18*$J$4+$M$4*$J$5+[6]FormattedData!N18^2*$J$6+$M$5*$J$7</f>
        <v>50.787047186059581</v>
      </c>
      <c r="V15" s="6">
        <f>$J$3+[6]FormattedData!O18*$J$4+$M$4*$J$5+[6]FormattedData!O18^2*$J$6+$M$5*$J$7</f>
        <v>41.6126381048336</v>
      </c>
      <c r="W15" s="5">
        <f t="shared" si="0"/>
        <v>46.860190573573277</v>
      </c>
      <c r="X15" s="4">
        <f t="shared" si="1"/>
        <v>1.543730766006304</v>
      </c>
      <c r="Y15" s="3">
        <f t="shared" si="2"/>
        <v>38.550293763254174</v>
      </c>
      <c r="Z15" s="2">
        <f t="shared" si="3"/>
        <v>41.312417313827481</v>
      </c>
      <c r="AA15" s="3">
        <f t="shared" si="4"/>
        <v>48.489895489390179</v>
      </c>
      <c r="AB15" s="2">
        <f t="shared" si="5"/>
        <v>51.093274827607509</v>
      </c>
      <c r="AC15" s="2">
        <f t="shared" si="6"/>
        <v>52.447418056053742</v>
      </c>
      <c r="AD15" s="2">
        <f t="shared" si="7"/>
        <v>-0.60673907807430416</v>
      </c>
      <c r="AE15" s="2">
        <f t="shared" si="8"/>
        <v>-1.4581632315433941</v>
      </c>
    </row>
    <row r="16" spans="1:35" x14ac:dyDescent="0.2">
      <c r="B16" s="1">
        <f>[6]FormattedData!A16</f>
        <v>107</v>
      </c>
      <c r="C16" s="1" t="str">
        <f>VLOOKUP($B16,[6]TrtCodes!$B$11:I59,2)</f>
        <v>NTL</v>
      </c>
      <c r="D16" s="1">
        <f>VLOOKUP($B16,[6]TrtCodes!$B$11:J59,3)</f>
        <v>10</v>
      </c>
      <c r="E16" s="1">
        <f>VLOOKUP($B16,[6]TrtCodes!$B$11:K59,4)</f>
        <v>2</v>
      </c>
      <c r="F16" s="1">
        <f>VLOOKUP($B16,[6]TrtCodes!$B$11:L59,5)</f>
        <v>2</v>
      </c>
      <c r="G16" s="1">
        <f>VLOOKUP($B16,[6]TrtCodes!$B$11:M59,6)</f>
        <v>1</v>
      </c>
      <c r="H16" s="1">
        <f>VLOOKUP($B16,[6]TrtCodes!$B$11:N59,7)</f>
        <v>2</v>
      </c>
      <c r="I16" s="1">
        <f>[6]FormattedData!B16</f>
        <v>1</v>
      </c>
      <c r="J16" s="4">
        <f>[6]FormattedData!C16</f>
        <v>13.11</v>
      </c>
      <c r="K16" s="6">
        <f>$J$3+[6]FormattedData!D16*$J$4+$M$4*$J$5+[6]FormattedData!D16^2*$J$6+$M$5*$J$7</f>
        <v>45.714380922918224</v>
      </c>
      <c r="L16" s="6">
        <f>$J$3+[6]FormattedData!E16*$J$4+$M$4*$J$5+[6]FormattedData!E16^2*$J$6+$M$5*$J$7</f>
        <v>51.137867004301548</v>
      </c>
      <c r="M16" s="6">
        <f>$J$3+[6]FormattedData!F16*$J$4+$M$4*$J$5+[6]FormattedData!F16^2*$J$6+$M$5*$J$7</f>
        <v>48.490233637693635</v>
      </c>
      <c r="N16" s="6">
        <f>$J$3+[6]FormattedData!G16*$J$4+$M$4*$J$5+[6]FormattedData!G16^2*$J$6+$M$5*$J$7</f>
        <v>46.524458231817874</v>
      </c>
      <c r="O16" s="6">
        <f>$J$3+[6]FormattedData!H16*$J$4+$M$4*$J$5+[6]FormattedData!H16^2*$J$6+$M$5*$J$7</f>
        <v>45.353247581421051</v>
      </c>
      <c r="P16" s="6">
        <f>$J$3+[6]FormattedData!I16*$J$4+$M$4*$J$5+[6]FormattedData!I16^2*$J$6+$M$5*$J$7</f>
        <v>44.083955050401642</v>
      </c>
      <c r="Q16" s="6">
        <f>$J$3+[6]FormattedData!J16*$J$4+$M$4*$J$5+[6]FormattedData!J16^2*$J$6+$M$5*$J$7</f>
        <v>48.490233637693635</v>
      </c>
      <c r="R16" s="6">
        <f>$J$3+[6]FormattedData!K16*$J$4+$M$4*$J$5+[6]FormattedData!K16^2*$J$6+$M$5*$J$7</f>
        <v>41.336145248896919</v>
      </c>
      <c r="S16" s="6">
        <f>$J$3+[6]FormattedData!L16*$J$4+$M$4*$J$5+[6]FormattedData!L16^2*$J$6+$M$5*$J$7</f>
        <v>45.353247581421051</v>
      </c>
      <c r="T16" s="6">
        <f>$J$3+[6]FormattedData!M16*$J$4+$M$4*$J$5+[6]FormattedData!M16^2*$J$6+$M$5*$J$7</f>
        <v>50.611383665711003</v>
      </c>
      <c r="U16" s="6">
        <f>$J$3+[6]FormattedData!N16*$J$4+$M$4*$J$5+[6]FormattedData!N16^2*$J$6+$M$5*$J$7</f>
        <v>38.830590787604656</v>
      </c>
      <c r="V16" s="6">
        <f>$J$3+[6]FormattedData!O16*$J$4+$M$4*$J$5+[6]FormattedData!O16^2*$J$6+$M$5*$J$7</f>
        <v>43.263606486784717</v>
      </c>
      <c r="W16" s="5">
        <f t="shared" si="0"/>
        <v>45.76577915305549</v>
      </c>
      <c r="X16" s="4">
        <f t="shared" si="1"/>
        <v>1.0477646130061335</v>
      </c>
      <c r="Y16" s="3">
        <f t="shared" si="2"/>
        <v>38.830590787604656</v>
      </c>
      <c r="Z16" s="2">
        <f t="shared" si="3"/>
        <v>43.878867909497409</v>
      </c>
      <c r="AA16" s="3">
        <f t="shared" si="4"/>
        <v>45.533814252169634</v>
      </c>
      <c r="AB16" s="2">
        <f t="shared" si="5"/>
        <v>48.490233637693635</v>
      </c>
      <c r="AC16" s="2">
        <f t="shared" si="6"/>
        <v>51.137867004301548</v>
      </c>
      <c r="AD16" s="2">
        <f t="shared" si="7"/>
        <v>-0.29967776740356267</v>
      </c>
      <c r="AE16" s="2">
        <f t="shared" si="8"/>
        <v>-0.18329929497494124</v>
      </c>
    </row>
    <row r="17" spans="2:31" x14ac:dyDescent="0.2">
      <c r="B17" s="1">
        <f>[6]FormattedData!A14</f>
        <v>108</v>
      </c>
      <c r="C17" s="1" t="str">
        <f>VLOOKUP($B17,[6]TrtCodes!$B$11:I57,2)</f>
        <v>FTH</v>
      </c>
      <c r="D17" s="1">
        <f>VLOOKUP($B17,[6]TrtCodes!$B$11:J57,3)</f>
        <v>3</v>
      </c>
      <c r="E17" s="1">
        <f>VLOOKUP($B17,[6]TrtCodes!$B$11:K57,4)</f>
        <v>1</v>
      </c>
      <c r="F17" s="1">
        <f>VLOOKUP($B17,[6]TrtCodes!$B$11:L57,5)</f>
        <v>2</v>
      </c>
      <c r="G17" s="1">
        <f>VLOOKUP($B17,[6]TrtCodes!$B$11:M57,6)</f>
        <v>2</v>
      </c>
      <c r="H17" s="1">
        <f>VLOOKUP($B17,[6]TrtCodes!$B$11:N57,7)</f>
        <v>2</v>
      </c>
      <c r="I17" s="1">
        <f>[6]FormattedData!B14</f>
        <v>1</v>
      </c>
      <c r="J17" s="4">
        <f>[6]FormattedData!C14</f>
        <v>13.093</v>
      </c>
      <c r="K17" s="6">
        <f>$J$3+[6]FormattedData!D14*$J$4+$M$4*$J$5+[6]FormattedData!D14^2*$J$6+$M$5*$J$7</f>
        <v>33.056444915544589</v>
      </c>
      <c r="L17" s="6">
        <f>$J$3+[6]FormattedData!E14*$J$4+$M$4*$J$5+[6]FormattedData!E14^2*$J$6+$M$5*$J$7</f>
        <v>31.90203374732878</v>
      </c>
      <c r="M17" s="6">
        <f>$J$3+[6]FormattedData!F14*$J$4+$M$4*$J$5+[6]FormattedData!F14^2*$J$6+$M$5*$J$7</f>
        <v>32.960476461818565</v>
      </c>
      <c r="N17" s="6">
        <f>$J$3+[6]FormattedData!G14*$J$4+$M$4*$J$5+[6]FormattedData!G14^2*$J$6+$M$5*$J$7</f>
        <v>32.864465739554603</v>
      </c>
      <c r="O17" s="6">
        <f>$J$3+[6]FormattedData!H14*$J$4+$M$4*$J$5+[6]FormattedData!H14^2*$J$6+$M$5*$J$7</f>
        <v>31.129044818817071</v>
      </c>
      <c r="P17" s="6">
        <f>$J$3+[6]FormattedData!I14*$J$4+$M$4*$J$5+[6]FormattedData!I14^2*$J$6+$M$5*$J$7</f>
        <v>32.576179961535132</v>
      </c>
      <c r="Q17" s="6">
        <f>$J$3+[6]FormattedData!J14*$J$4+$M$4*$J$5+[6]FormattedData!J14^2*$J$6+$M$5*$J$7</f>
        <v>31.998467154972051</v>
      </c>
      <c r="R17" s="6">
        <f>$J$3+[6]FormattedData!K14*$J$4+$M$4*$J$5+[6]FormattedData!K14^2*$J$6+$M$5*$J$7</f>
        <v>31.225816374763788</v>
      </c>
      <c r="S17" s="6">
        <f>$J$3+[6]FormattedData!L14*$J$4+$M$4*$J$5+[6]FormattedData!L14^2*$J$6+$M$5*$J$7</f>
        <v>31.515877431376374</v>
      </c>
      <c r="T17" s="6">
        <f>$J$3+[6]FormattedData!M14*$J$4+$M$4*$J$5+[6]FormattedData!M14^2*$J$6+$M$5*$J$7</f>
        <v>31.515877431376374</v>
      </c>
      <c r="U17" s="6">
        <f>$J$3+[6]FormattedData!N14*$J$4+$M$4*$J$5+[6]FormattedData!N14^2*$J$6+$M$5*$J$7</f>
        <v>32.480000165119449</v>
      </c>
      <c r="V17" s="6">
        <f>$J$3+[6]FormattedData!O14*$J$4+$M$4*$J$5+[6]FormattedData!O14^2*$J$6+$M$5*$J$7</f>
        <v>31.322545662172587</v>
      </c>
      <c r="W17" s="5">
        <f t="shared" si="0"/>
        <v>32.045602488698286</v>
      </c>
      <c r="X17" s="4">
        <f t="shared" si="1"/>
        <v>0.20631208015695504</v>
      </c>
      <c r="Y17" s="3">
        <f t="shared" si="2"/>
        <v>31.129044818817071</v>
      </c>
      <c r="Z17" s="2">
        <f t="shared" si="3"/>
        <v>31.467544489075429</v>
      </c>
      <c r="AA17" s="3">
        <f t="shared" si="4"/>
        <v>31.950250451150417</v>
      </c>
      <c r="AB17" s="2">
        <f t="shared" si="5"/>
        <v>32.648251406040004</v>
      </c>
      <c r="AC17" s="2">
        <f t="shared" si="6"/>
        <v>33.056444915544589</v>
      </c>
      <c r="AD17" s="2">
        <f t="shared" si="7"/>
        <v>0.17325281692658343</v>
      </c>
      <c r="AE17" s="2">
        <f t="shared" si="8"/>
        <v>-1.679144061506193</v>
      </c>
    </row>
    <row r="18" spans="2:31" x14ac:dyDescent="0.2">
      <c r="B18" s="1">
        <f>[6]FormattedData!A30</f>
        <v>201</v>
      </c>
      <c r="C18" s="1" t="str">
        <f>VLOOKUP($B18,[6]TrtCodes!$B$11:I73,2)</f>
        <v>NDL</v>
      </c>
      <c r="D18" s="1">
        <f>VLOOKUP($B18,[6]TrtCodes!$B$11:J73,3)</f>
        <v>12</v>
      </c>
      <c r="E18" s="1">
        <f>VLOOKUP($B18,[6]TrtCodes!$B$11:K73,4)</f>
        <v>2</v>
      </c>
      <c r="F18" s="1">
        <f>VLOOKUP($B18,[6]TrtCodes!$B$11:L73,5)</f>
        <v>3</v>
      </c>
      <c r="G18" s="1">
        <f>VLOOKUP($B18,[6]TrtCodes!$B$11:M73,6)</f>
        <v>1</v>
      </c>
      <c r="H18" s="1">
        <f>VLOOKUP($B18,[6]TrtCodes!$B$11:N73,7)</f>
        <v>1</v>
      </c>
      <c r="I18" s="1">
        <f>[6]FormattedData!B30</f>
        <v>1</v>
      </c>
      <c r="J18" s="4">
        <f>[6]FormattedData!C30</f>
        <v>13.234999999999999</v>
      </c>
      <c r="K18" s="6">
        <f>$J$3+[6]FormattedData!D30*$J$4+$M$4*$J$5+[6]FormattedData!D30^2*$J$6+$M$5*$J$7</f>
        <v>40.782018286499408</v>
      </c>
      <c r="L18" s="6">
        <f>$J$3+[6]FormattedData!E30*$J$4+$M$4*$J$5+[6]FormattedData!E30^2*$J$6+$M$5*$J$7</f>
        <v>39.576189703536983</v>
      </c>
      <c r="M18" s="6">
        <f>$J$3+[6]FormattedData!F30*$J$4+$M$4*$J$5+[6]FormattedData!F30^2*$J$6+$M$5*$J$7</f>
        <v>40.133613611893118</v>
      </c>
      <c r="N18" s="6">
        <f>$J$3+[6]FormattedData!G30*$J$4+$M$4*$J$5+[6]FormattedData!G30^2*$J$6+$M$5*$J$7</f>
        <v>36.199691238724228</v>
      </c>
      <c r="O18" s="6">
        <f>$J$3+[6]FormattedData!H30*$J$4+$M$4*$J$5+[6]FormattedData!H30^2*$J$6+$M$5*$J$7</f>
        <v>39.855091866135744</v>
      </c>
      <c r="P18" s="6">
        <f>$J$3+[6]FormattedData!I30*$J$4+$M$4*$J$5+[6]FormattedData!I30^2*$J$6+$M$5*$J$7</f>
        <v>36.954758307153128</v>
      </c>
      <c r="Q18" s="6">
        <f>$J$3+[6]FormattedData!J30*$J$4+$M$4*$J$5+[6]FormattedData!J30^2*$J$6+$M$5*$J$7</f>
        <v>36.38871161705903</v>
      </c>
      <c r="R18" s="6">
        <f>$J$3+[6]FormattedData!K30*$J$4+$M$4*$J$5+[6]FormattedData!K30^2*$J$6+$M$5*$J$7</f>
        <v>38.830590787604656</v>
      </c>
      <c r="S18" s="6">
        <f>$J$3+[6]FormattedData!L30*$J$4+$M$4*$J$5+[6]FormattedData!L30^2*$J$6+$M$5*$J$7</f>
        <v>34.01380468321868</v>
      </c>
      <c r="T18" s="6">
        <f>$J$3+[6]FormattedData!M30*$J$4+$M$4*$J$5+[6]FormattedData!M30^2*$J$6+$M$5*$J$7</f>
        <v>36.577562921242126</v>
      </c>
      <c r="U18" s="6">
        <f>$J$3+[6]FormattedData!N30*$J$4+$M$4*$J$5+[6]FormattedData!N30^2*$J$6+$M$5*$J$7</f>
        <v>41.243896426508826</v>
      </c>
      <c r="V18" s="6">
        <f>$J$3+[6]FormattedData!O30*$J$4+$M$4*$J$5+[6]FormattedData!O30^2*$J$6+$M$5*$J$7</f>
        <v>34.01380468321868</v>
      </c>
      <c r="W18" s="5">
        <f t="shared" si="0"/>
        <v>37.880811177732888</v>
      </c>
      <c r="X18" s="4">
        <f t="shared" si="1"/>
        <v>0.7281809606832943</v>
      </c>
      <c r="Y18" s="3">
        <f t="shared" si="2"/>
        <v>34.01380468321868</v>
      </c>
      <c r="Z18" s="2">
        <f t="shared" si="3"/>
        <v>36.341456522475326</v>
      </c>
      <c r="AA18" s="3">
        <f t="shared" si="4"/>
        <v>37.892674547378888</v>
      </c>
      <c r="AB18" s="2">
        <f t="shared" si="5"/>
        <v>39.924722302575091</v>
      </c>
      <c r="AC18" s="2">
        <f t="shared" si="6"/>
        <v>41.243896426508826</v>
      </c>
      <c r="AD18" s="2">
        <f t="shared" si="7"/>
        <v>-0.26791041771938368</v>
      </c>
      <c r="AE18" s="2">
        <f t="shared" si="8"/>
        <v>-1.2599634424462587</v>
      </c>
    </row>
    <row r="19" spans="2:31" x14ac:dyDescent="0.2">
      <c r="B19" s="1">
        <f>[6]FormattedData!A32</f>
        <v>202</v>
      </c>
      <c r="C19" s="1" t="str">
        <f>VLOOKUP($B19,[6]TrtCodes!$B$11:I75,2)</f>
        <v>NTH</v>
      </c>
      <c r="D19" s="1">
        <f>VLOOKUP($B19,[6]TrtCodes!$B$11:J75,3)</f>
        <v>9</v>
      </c>
      <c r="E19" s="1">
        <f>VLOOKUP($B19,[6]TrtCodes!$B$11:K75,4)</f>
        <v>2</v>
      </c>
      <c r="F19" s="1">
        <f>VLOOKUP($B19,[6]TrtCodes!$B$11:L75,5)</f>
        <v>2</v>
      </c>
      <c r="G19" s="1">
        <f>VLOOKUP($B19,[6]TrtCodes!$B$11:M75,6)</f>
        <v>2</v>
      </c>
      <c r="H19" s="1">
        <f>VLOOKUP($B19,[6]TrtCodes!$B$11:N75,7)</f>
        <v>1</v>
      </c>
      <c r="I19" s="1">
        <f>[6]FormattedData!B32</f>
        <v>1</v>
      </c>
      <c r="J19" s="4">
        <f>[6]FormattedData!C32</f>
        <v>13.250999999999999</v>
      </c>
      <c r="K19" s="6">
        <f>$J$3+[6]FormattedData!D32*$J$4+$M$4*$J$5+[6]FormattedData!D32^2*$J$6+$M$5*$J$7</f>
        <v>54.178692136780782</v>
      </c>
      <c r="L19" s="6">
        <f>$J$3+[6]FormattedData!E32*$J$4+$M$4*$J$5+[6]FormattedData!E32^2*$J$6+$M$5*$J$7</f>
        <v>47.509903181300587</v>
      </c>
      <c r="M19" s="6">
        <f>$J$3+[6]FormattedData!F32*$J$4+$M$4*$J$5+[6]FormattedData!F32^2*$J$6+$M$5*$J$7</f>
        <v>39.296907124096847</v>
      </c>
      <c r="N19" s="6">
        <f>$J$3+[6]FormattedData!G32*$J$4+$M$4*$J$5+[6]FormattedData!G32^2*$J$6+$M$5*$J$7</f>
        <v>49.288518024510495</v>
      </c>
      <c r="O19" s="6">
        <f>$J$3+[6]FormattedData!H32*$J$4+$M$4*$J$5+[6]FormattedData!H32^2*$J$6+$M$5*$J$7</f>
        <v>44.628952008606021</v>
      </c>
      <c r="P19" s="6">
        <f>$J$3+[6]FormattedData!I32*$J$4+$M$4*$J$5+[6]FormattedData!I32^2*$J$6+$M$5*$J$7</f>
        <v>47.866978743156359</v>
      </c>
      <c r="Q19" s="6">
        <f>$J$3+[6]FormattedData!J32*$J$4+$M$4*$J$5+[6]FormattedData!J32^2*$J$6+$M$5*$J$7</f>
        <v>44.628952008606021</v>
      </c>
      <c r="R19" s="6">
        <f>$J$3+[6]FormattedData!K32*$J$4+$M$4*$J$5+[6]FormattedData!K32^2*$J$6+$M$5*$J$7</f>
        <v>52.534383311200443</v>
      </c>
      <c r="S19" s="6">
        <f>$J$3+[6]FormattedData!L32*$J$4+$M$4*$J$5+[6]FormattedData!L32^2*$J$6+$M$5*$J$7</f>
        <v>46.883393609342633</v>
      </c>
      <c r="T19" s="6">
        <f>$J$3+[6]FormattedData!M32*$J$4+$M$4*$J$5+[6]FormattedData!M32^2*$J$6+$M$5*$J$7</f>
        <v>47.152151322837916</v>
      </c>
      <c r="U19" s="6">
        <f>$J$3+[6]FormattedData!N32*$J$4+$M$4*$J$5+[6]FormattedData!N32^2*$J$6+$M$5*$J$7</f>
        <v>45.624160990350823</v>
      </c>
      <c r="V19" s="6">
        <f>$J$3+[6]FormattedData!O32*$J$4+$M$4*$J$5+[6]FormattedData!O32^2*$J$6+$M$5*$J$7</f>
        <v>39.203728393874272</v>
      </c>
      <c r="W19" s="5">
        <f t="shared" si="0"/>
        <v>46.566393404555271</v>
      </c>
      <c r="X19" s="4">
        <f t="shared" si="1"/>
        <v>1.2893759338504054</v>
      </c>
      <c r="Y19" s="3">
        <f t="shared" si="2"/>
        <v>39.203728393874272</v>
      </c>
      <c r="Z19" s="2">
        <f t="shared" si="3"/>
        <v>44.628952008606021</v>
      </c>
      <c r="AA19" s="3">
        <f t="shared" si="4"/>
        <v>47.017772466090278</v>
      </c>
      <c r="AB19" s="2">
        <f t="shared" si="5"/>
        <v>48.222363563494895</v>
      </c>
      <c r="AC19" s="2">
        <f t="shared" si="6"/>
        <v>54.178692136780782</v>
      </c>
      <c r="AD19" s="2">
        <f t="shared" si="7"/>
        <v>-0.1488063189523828</v>
      </c>
      <c r="AE19" s="2">
        <f t="shared" si="8"/>
        <v>0.1021911677308367</v>
      </c>
    </row>
    <row r="20" spans="2:31" x14ac:dyDescent="0.2">
      <c r="B20" s="1">
        <f>[6]FormattedData!A34</f>
        <v>203</v>
      </c>
      <c r="C20" s="1" t="str">
        <f>VLOOKUP($B20,[6]TrtCodes!$B$11:I77,2)</f>
        <v>FTH</v>
      </c>
      <c r="D20" s="1">
        <f>VLOOKUP($B20,[6]TrtCodes!$B$11:J77,3)</f>
        <v>3</v>
      </c>
      <c r="E20" s="1">
        <f>VLOOKUP($B20,[6]TrtCodes!$B$11:K77,4)</f>
        <v>1</v>
      </c>
      <c r="F20" s="1">
        <f>VLOOKUP($B20,[6]TrtCodes!$B$11:L77,5)</f>
        <v>2</v>
      </c>
      <c r="G20" s="1">
        <f>VLOOKUP($B20,[6]TrtCodes!$B$11:M77,6)</f>
        <v>2</v>
      </c>
      <c r="H20" s="1">
        <f>VLOOKUP($B20,[6]TrtCodes!$B$11:N77,7)</f>
        <v>1</v>
      </c>
      <c r="I20" s="1">
        <f>[6]FormattedData!B34</f>
        <v>1</v>
      </c>
      <c r="J20" s="4">
        <f>[6]FormattedData!C34</f>
        <v>13.269</v>
      </c>
      <c r="K20" s="6">
        <f>$J$3+[6]FormattedData!D34*$J$4+$M$4*$J$5+[6]FormattedData!D34^2*$J$6+$M$5*$J$7</f>
        <v>33.727040572564732</v>
      </c>
      <c r="L20" s="6">
        <f>$J$3+[6]FormattedData!E34*$J$4+$M$4*$J$5+[6]FormattedData!E34^2*$J$6+$M$5*$J$7</f>
        <v>32.672317489412883</v>
      </c>
      <c r="M20" s="6">
        <f>$J$3+[6]FormattedData!F34*$J$4+$M$4*$J$5+[6]FormattedData!F34^2*$J$6+$M$5*$J$7</f>
        <v>32.768412748752709</v>
      </c>
      <c r="N20" s="6">
        <f>$J$3+[6]FormattedData!G34*$J$4+$M$4*$J$5+[6]FormattedData!G34^2*$J$6+$M$5*$J$7</f>
        <v>31.515877431376374</v>
      </c>
      <c r="O20" s="6">
        <f>$J$3+[6]FormattedData!H34*$J$4+$M$4*$J$5+[6]FormattedData!H34^2*$J$6+$M$5*$J$7</f>
        <v>32.383778100165834</v>
      </c>
      <c r="P20" s="6">
        <f>$J$3+[6]FormattedData!I34*$J$4+$M$4*$J$5+[6]FormattedData!I34^2*$J$6+$M$5*$J$7</f>
        <v>31.515877431376374</v>
      </c>
      <c r="Q20" s="6">
        <f>$J$3+[6]FormattedData!J34*$J$4+$M$4*$J$5+[6]FormattedData!J34^2*$J$6+$M$5*$J$7</f>
        <v>31.225816374763788</v>
      </c>
      <c r="R20" s="6">
        <f>$J$3+[6]FormattedData!K34*$J$4+$M$4*$J$5+[6]FormattedData!K34^2*$J$6+$M$5*$J$7</f>
        <v>33.631367998604226</v>
      </c>
      <c r="S20" s="6">
        <f>$J$3+[6]FormattedData!L34*$J$4+$M$4*$J$5+[6]FormattedData!L34^2*$J$6+$M$5*$J$7</f>
        <v>33.822670877987321</v>
      </c>
      <c r="T20" s="6">
        <f>$J$3+[6]FormattedData!M34*$J$4+$M$4*$J$5+[6]FormattedData!M34^2*$J$6+$M$5*$J$7</f>
        <v>31.225816374763788</v>
      </c>
      <c r="U20" s="6">
        <f>$J$3+[6]FormattedData!N34*$J$4+$M$4*$J$5+[6]FormattedData!N34^2*$J$6+$M$5*$J$7</f>
        <v>31.90203374732878</v>
      </c>
      <c r="V20" s="6">
        <f>$J$3+[6]FormattedData!O34*$J$4+$M$4*$J$5+[6]FormattedData!O34^2*$J$6+$M$5*$J$7</f>
        <v>32.383778100165834</v>
      </c>
      <c r="W20" s="5">
        <f t="shared" si="0"/>
        <v>32.39789893727189</v>
      </c>
      <c r="X20" s="4">
        <f t="shared" si="1"/>
        <v>0.27634498290748438</v>
      </c>
      <c r="Y20" s="3">
        <f t="shared" si="2"/>
        <v>31.225816374763788</v>
      </c>
      <c r="Z20" s="2">
        <f t="shared" si="3"/>
        <v>31.515877431376374</v>
      </c>
      <c r="AA20" s="3">
        <f t="shared" si="4"/>
        <v>32.383778100165834</v>
      </c>
      <c r="AB20" s="2">
        <f t="shared" si="5"/>
        <v>32.98415156121559</v>
      </c>
      <c r="AC20" s="2">
        <f t="shared" si="6"/>
        <v>33.822670877987321</v>
      </c>
      <c r="AD20" s="2">
        <f t="shared" si="7"/>
        <v>0.30763750026995906</v>
      </c>
      <c r="AE20" s="2">
        <f t="shared" si="8"/>
        <v>-1.2888497931780742</v>
      </c>
    </row>
    <row r="21" spans="2:31" x14ac:dyDescent="0.2">
      <c r="B21" s="1">
        <f>[6]FormattedData!A36</f>
        <v>204</v>
      </c>
      <c r="C21" s="1" t="str">
        <f>VLOOKUP($B21,[6]TrtCodes!$B$11:I79,2)</f>
        <v>NDH</v>
      </c>
      <c r="D21" s="1">
        <f>VLOOKUP($B21,[6]TrtCodes!$B$11:J79,3)</f>
        <v>11</v>
      </c>
      <c r="E21" s="1">
        <f>VLOOKUP($B21,[6]TrtCodes!$B$11:K79,4)</f>
        <v>2</v>
      </c>
      <c r="F21" s="1">
        <f>VLOOKUP($B21,[6]TrtCodes!$B$11:L79,5)</f>
        <v>3</v>
      </c>
      <c r="G21" s="1">
        <f>VLOOKUP($B21,[6]TrtCodes!$B$11:M79,6)</f>
        <v>2</v>
      </c>
      <c r="H21" s="1">
        <f>VLOOKUP($B21,[6]TrtCodes!$B$11:N79,7)</f>
        <v>1</v>
      </c>
      <c r="I21" s="1">
        <f>[6]FormattedData!B36</f>
        <v>1</v>
      </c>
      <c r="J21" s="4">
        <f>[6]FormattedData!C36</f>
        <v>13.286</v>
      </c>
      <c r="K21" s="6">
        <f>$J$3+[6]FormattedData!D36*$J$4+$M$4*$J$5+[6]FormattedData!D36^2*$J$6+$M$5*$J$7</f>
        <v>41.520516088059303</v>
      </c>
      <c r="L21" s="6">
        <f>$J$3+[6]FormattedData!E36*$J$4+$M$4*$J$5+[6]FormattedData!E36^2*$J$6+$M$5*$J$7</f>
        <v>34.871814514132261</v>
      </c>
      <c r="M21" s="6">
        <f>$J$3+[6]FormattedData!F36*$J$4+$M$4*$J$5+[6]FormattedData!F36^2*$J$6+$M$5*$J$7</f>
        <v>43.354925401338321</v>
      </c>
      <c r="N21" s="6">
        <f>$J$3+[6]FormattedData!G36*$J$4+$M$4*$J$5+[6]FormattedData!G36^2*$J$6+$M$5*$J$7</f>
        <v>35.44191898386773</v>
      </c>
      <c r="O21" s="6">
        <f>$J$3+[6]FormattedData!H36*$J$4+$M$4*$J$5+[6]FormattedData!H36^2*$J$6+$M$5*$J$7</f>
        <v>34.109308183027473</v>
      </c>
      <c r="P21" s="6">
        <f>$J$3+[6]FormattedData!I36*$J$4+$M$4*$J$5+[6]FormattedData!I36^2*$J$6+$M$5*$J$7</f>
        <v>39.390043585781491</v>
      </c>
      <c r="Q21" s="6">
        <f>$J$3+[6]FormattedData!J36*$J$4+$M$4*$J$5+[6]FormattedData!J36^2*$J$6+$M$5*$J$7</f>
        <v>37.613222893787025</v>
      </c>
      <c r="R21" s="6">
        <f>$J$3+[6]FormattedData!K36*$J$4+$M$4*$J$5+[6]FormattedData!K36^2*$J$6+$M$5*$J$7</f>
        <v>40.319083433041712</v>
      </c>
      <c r="S21" s="6">
        <f>$J$3+[6]FormattedData!L36*$J$4+$M$4*$J$5+[6]FormattedData!L36^2*$J$6+$M$5*$J$7</f>
        <v>35.631615658809444</v>
      </c>
      <c r="T21" s="6">
        <f>$J$3+[6]FormattedData!M36*$J$4+$M$4*$J$5+[6]FormattedData!M36^2*$J$6+$M$5*$J$7</f>
        <v>37.237211026938105</v>
      </c>
      <c r="U21" s="6">
        <f>$J$3+[6]FormattedData!N36*$J$4+$M$4*$J$5+[6]FormattedData!N36^2*$J$6+$M$5*$J$7</f>
        <v>41.151605335582808</v>
      </c>
      <c r="V21" s="6">
        <f>$J$3+[6]FormattedData!O36*$J$4+$M$4*$J$5+[6]FormattedData!O36^2*$J$6+$M$5*$J$7</f>
        <v>33.822670877987321</v>
      </c>
      <c r="W21" s="5">
        <f t="shared" si="0"/>
        <v>37.871994665196084</v>
      </c>
      <c r="X21" s="4">
        <f t="shared" si="1"/>
        <v>0.92676201051087259</v>
      </c>
      <c r="Y21" s="3">
        <f t="shared" si="2"/>
        <v>33.822670877987321</v>
      </c>
      <c r="Z21" s="2">
        <f t="shared" si="3"/>
        <v>35.299392866433863</v>
      </c>
      <c r="AA21" s="3">
        <f t="shared" si="4"/>
        <v>37.425216960362562</v>
      </c>
      <c r="AB21" s="2">
        <f t="shared" si="5"/>
        <v>40.527213908676984</v>
      </c>
      <c r="AC21" s="2">
        <f t="shared" si="6"/>
        <v>43.354925401338321</v>
      </c>
      <c r="AD21" s="2">
        <f t="shared" si="7"/>
        <v>0.31085025816607476</v>
      </c>
      <c r="AE21" s="2">
        <f t="shared" si="8"/>
        <v>-1.2914837882051886</v>
      </c>
    </row>
    <row r="22" spans="2:31" x14ac:dyDescent="0.2">
      <c r="B22" s="1">
        <f>[6]FormattedData!A38</f>
        <v>205</v>
      </c>
      <c r="C22" s="1" t="str">
        <f>VLOOKUP($B22,[6]TrtCodes!$B$11:I81,2)</f>
        <v>FSH</v>
      </c>
      <c r="D22" s="1">
        <f>VLOOKUP($B22,[6]TrtCodes!$B$11:J81,3)</f>
        <v>1</v>
      </c>
      <c r="E22" s="1">
        <f>VLOOKUP($B22,[6]TrtCodes!$B$11:K81,4)</f>
        <v>1</v>
      </c>
      <c r="F22" s="1">
        <f>VLOOKUP($B22,[6]TrtCodes!$B$11:L81,5)</f>
        <v>1</v>
      </c>
      <c r="G22" s="1">
        <f>VLOOKUP($B22,[6]TrtCodes!$B$11:M81,6)</f>
        <v>2</v>
      </c>
      <c r="H22" s="1">
        <f>VLOOKUP($B22,[6]TrtCodes!$B$11:N81,7)</f>
        <v>2</v>
      </c>
      <c r="I22" s="1">
        <f>[6]FormattedData!B38</f>
        <v>1</v>
      </c>
      <c r="J22" s="4">
        <f>[6]FormattedData!C38</f>
        <v>13.301</v>
      </c>
      <c r="K22" s="6">
        <f>$J$3+[6]FormattedData!D38*$J$4+$M$4*$J$5+[6]FormattedData!D38^2*$J$6+$M$5*$J$7</f>
        <v>33.056444915544589</v>
      </c>
      <c r="L22" s="6">
        <f>$J$3+[6]FormattedData!E38*$J$4+$M$4*$J$5+[6]FormattedData!E38^2*$J$6+$M$5*$J$7</f>
        <v>34.300188377031255</v>
      </c>
      <c r="M22" s="6">
        <f>$J$3+[6]FormattedData!F38*$J$4+$M$4*$J$5+[6]FormattedData!F38^2*$J$6+$M$5*$J$7</f>
        <v>32.864465739554603</v>
      </c>
      <c r="N22" s="6">
        <f>$J$3+[6]FormattedData!G38*$J$4+$M$4*$J$5+[6]FormattedData!G38^2*$J$6+$M$5*$J$7</f>
        <v>31.709040126428434</v>
      </c>
      <c r="O22" s="6">
        <f>$J$3+[6]FormattedData!H38*$J$4+$M$4*$J$5+[6]FormattedData!H38^2*$J$6+$M$5*$J$7</f>
        <v>32.28751376667428</v>
      </c>
      <c r="P22" s="6">
        <f>$J$3+[6]FormattedData!I38*$J$4+$M$4*$J$5+[6]FormattedData!I38^2*$J$6+$M$5*$J$7</f>
        <v>31.709040126428434</v>
      </c>
      <c r="Q22" s="6">
        <f>$J$3+[6]FormattedData!J38*$J$4+$M$4*$J$5+[6]FormattedData!J38^2*$J$6+$M$5*$J$7</f>
        <v>31.61247991317137</v>
      </c>
      <c r="R22" s="6">
        <f>$J$3+[6]FormattedData!K38*$J$4+$M$4*$J$5+[6]FormattedData!K38^2*$J$6+$M$5*$J$7</f>
        <v>33.344096665495101</v>
      </c>
      <c r="S22" s="6">
        <f>$J$3+[6]FormattedData!L38*$J$4+$M$4*$J$5+[6]FormattedData!L38^2*$J$6+$M$5*$J$7</f>
        <v>34.01380468321868</v>
      </c>
      <c r="T22" s="6">
        <f>$J$3+[6]FormattedData!M38*$J$4+$M$4*$J$5+[6]FormattedData!M38^2*$J$6+$M$5*$J$7</f>
        <v>30.741535909650871</v>
      </c>
      <c r="U22" s="6">
        <f>$J$3+[6]FormattedData!N38*$J$4+$M$4*$J$5+[6]FormattedData!N38^2*$J$6+$M$5*$J$7</f>
        <v>33.822670877987321</v>
      </c>
      <c r="V22" s="6">
        <f>$J$3+[6]FormattedData!O38*$J$4+$M$4*$J$5+[6]FormattedData!O38^2*$J$6+$M$5*$J$7</f>
        <v>31.225816374763788</v>
      </c>
      <c r="W22" s="5">
        <f t="shared" si="0"/>
        <v>32.557258122995727</v>
      </c>
      <c r="X22" s="4">
        <f t="shared" si="1"/>
        <v>0.33930836255101737</v>
      </c>
      <c r="Y22" s="3">
        <f t="shared" si="2"/>
        <v>30.741535909650871</v>
      </c>
      <c r="Z22" s="2">
        <f t="shared" si="3"/>
        <v>31.684900073114168</v>
      </c>
      <c r="AA22" s="3">
        <f t="shared" si="4"/>
        <v>32.575989753114442</v>
      </c>
      <c r="AB22" s="2">
        <f t="shared" si="5"/>
        <v>33.463740218618156</v>
      </c>
      <c r="AC22" s="2">
        <f t="shared" si="6"/>
        <v>34.300188377031255</v>
      </c>
      <c r="AD22" s="2">
        <f t="shared" si="7"/>
        <v>4.176141465483732E-2</v>
      </c>
      <c r="AE22" s="2">
        <f t="shared" si="8"/>
        <v>-1.3422853450283574</v>
      </c>
    </row>
    <row r="23" spans="2:31" x14ac:dyDescent="0.2">
      <c r="B23" s="1">
        <f>[6]FormattedData!A40</f>
        <v>206</v>
      </c>
      <c r="C23" s="1" t="str">
        <f>VLOOKUP($B23,[6]TrtCodes!$B$11:I83,2)</f>
        <v>NSL</v>
      </c>
      <c r="D23" s="1">
        <f>VLOOKUP($B23,[6]TrtCodes!$B$11:J83,3)</f>
        <v>8</v>
      </c>
      <c r="E23" s="1">
        <f>VLOOKUP($B23,[6]TrtCodes!$B$11:K83,4)</f>
        <v>2</v>
      </c>
      <c r="F23" s="1">
        <f>VLOOKUP($B23,[6]TrtCodes!$B$11:L83,5)</f>
        <v>1</v>
      </c>
      <c r="G23" s="1">
        <f>VLOOKUP($B23,[6]TrtCodes!$B$11:M83,6)</f>
        <v>1</v>
      </c>
      <c r="H23" s="1">
        <f>VLOOKUP($B23,[6]TrtCodes!$B$11:N83,7)</f>
        <v>2</v>
      </c>
      <c r="I23" s="1">
        <f>[6]FormattedData!B40</f>
        <v>1</v>
      </c>
      <c r="J23" s="4">
        <f>[6]FormattedData!C40</f>
        <v>13.317</v>
      </c>
      <c r="K23" s="6">
        <f>$J$3+[6]FormattedData!D40*$J$4+$M$4*$J$5+[6]FormattedData!D40^2*$J$6+$M$5*$J$7</f>
        <v>46.164846557686232</v>
      </c>
      <c r="L23" s="6">
        <f>$J$3+[6]FormattedData!E40*$J$4+$M$4*$J$5+[6]FormattedData!E40^2*$J$6+$M$5*$J$7</f>
        <v>52.273360740146558</v>
      </c>
      <c r="M23" s="6">
        <f>$J$3+[6]FormattedData!F40*$J$4+$M$4*$J$5+[6]FormattedData!F40^2*$J$6+$M$5*$J$7</f>
        <v>40.966896348116975</v>
      </c>
      <c r="N23" s="6">
        <f>$J$3+[6]FormattedData!G40*$J$4+$M$4*$J$5+[6]FormattedData!G40^2*$J$6+$M$5*$J$7</f>
        <v>46.254812879026034</v>
      </c>
      <c r="O23" s="6">
        <f>$J$3+[6]FormattedData!H40*$J$4+$M$4*$J$5+[6]FormattedData!H40^2*$J$6+$M$5*$J$7</f>
        <v>41.980703486551477</v>
      </c>
      <c r="P23" s="6">
        <f>$J$3+[6]FormattedData!I40*$J$4+$M$4*$J$5+[6]FormattedData!I40^2*$J$6+$M$5*$J$7</f>
        <v>50.43555107121071</v>
      </c>
      <c r="Q23" s="6">
        <f>$J$3+[6]FormattedData!J40*$J$4+$M$4*$J$5+[6]FormattedData!J40^2*$J$6+$M$5*$J$7</f>
        <v>38.45677688472815</v>
      </c>
      <c r="R23" s="6">
        <f>$J$3+[6]FormattedData!K40*$J$4+$M$4*$J$5+[6]FormattedData!K40^2*$J$6+$M$5*$J$7</f>
        <v>48.845449383880435</v>
      </c>
      <c r="S23" s="6">
        <f>$J$3+[6]FormattedData!L40*$J$4+$M$4*$J$5+[6]FormattedData!L40^2*$J$6+$M$5*$J$7</f>
        <v>35.44191898386773</v>
      </c>
      <c r="T23" s="6">
        <f>$J$3+[6]FormattedData!M40*$J$4+$M$4*$J$5+[6]FormattedData!M40^2*$J$6+$M$5*$J$7</f>
        <v>50.962541632256425</v>
      </c>
      <c r="U23" s="6">
        <f>$J$3+[6]FormattedData!N40*$J$4+$M$4*$J$5+[6]FormattedData!N40^2*$J$6+$M$5*$J$7</f>
        <v>35.53678845560755</v>
      </c>
      <c r="V23" s="6">
        <f>$J$3+[6]FormattedData!O40*$J$4+$M$4*$J$5+[6]FormattedData!O40^2*$J$6+$M$5*$J$7</f>
        <v>50.34757137115367</v>
      </c>
      <c r="W23" s="5">
        <f t="shared" si="0"/>
        <v>44.805601482852666</v>
      </c>
      <c r="X23" s="4">
        <f t="shared" si="1"/>
        <v>1.7687651044450807</v>
      </c>
      <c r="Y23" s="3">
        <f t="shared" si="2"/>
        <v>35.44191898386773</v>
      </c>
      <c r="Z23" s="2">
        <f t="shared" si="3"/>
        <v>40.339366482269767</v>
      </c>
      <c r="AA23" s="3">
        <f t="shared" si="4"/>
        <v>46.209829718356133</v>
      </c>
      <c r="AB23" s="2">
        <f t="shared" si="5"/>
        <v>50.369566296167932</v>
      </c>
      <c r="AC23" s="2">
        <f t="shared" si="6"/>
        <v>52.273360740146558</v>
      </c>
      <c r="AD23" s="2">
        <f t="shared" si="7"/>
        <v>-0.41842856215824548</v>
      </c>
      <c r="AE23" s="2">
        <f t="shared" si="8"/>
        <v>-1.3788500388977081</v>
      </c>
    </row>
    <row r="24" spans="2:31" x14ac:dyDescent="0.2">
      <c r="B24" s="1">
        <f>[6]FormattedData!A42</f>
        <v>207</v>
      </c>
      <c r="C24" s="1" t="str">
        <f>VLOOKUP($B24,[6]TrtCodes!$B$11:I85,2)</f>
        <v>FTL</v>
      </c>
      <c r="D24" s="1">
        <f>VLOOKUP($B24,[6]TrtCodes!$B$11:J85,3)</f>
        <v>4</v>
      </c>
      <c r="E24" s="1">
        <f>VLOOKUP($B24,[6]TrtCodes!$B$11:K85,4)</f>
        <v>1</v>
      </c>
      <c r="F24" s="1">
        <f>VLOOKUP($B24,[6]TrtCodes!$B$11:L85,5)</f>
        <v>2</v>
      </c>
      <c r="G24" s="1">
        <f>VLOOKUP($B24,[6]TrtCodes!$B$11:M85,6)</f>
        <v>1</v>
      </c>
      <c r="H24" s="1">
        <f>VLOOKUP($B24,[6]TrtCodes!$B$11:N85,7)</f>
        <v>2</v>
      </c>
      <c r="I24" s="1">
        <f>[6]FormattedData!B42</f>
        <v>1</v>
      </c>
      <c r="J24" s="4">
        <f>[6]FormattedData!C42</f>
        <v>13.334</v>
      </c>
      <c r="K24" s="6">
        <f>$J$3+[6]FormattedData!D42*$J$4+$M$4*$J$5+[6]FormattedData!D42^2*$J$6+$M$5*$J$7</f>
        <v>35.157056957420679</v>
      </c>
      <c r="L24" s="6">
        <f>$J$3+[6]FormattedData!E42*$J$4+$M$4*$J$5+[6]FormattedData!E42^2*$J$6+$M$5*$J$7</f>
        <v>31.032230994332412</v>
      </c>
      <c r="M24" s="6">
        <f>$J$3+[6]FormattedData!F42*$J$4+$M$4*$J$5+[6]FormattedData!F42^2*$J$6+$M$5*$J$7</f>
        <v>32.383778100165834</v>
      </c>
      <c r="N24" s="6">
        <f>$J$3+[6]FormattedData!G42*$J$4+$M$4*$J$5+[6]FormattedData!G42^2*$J$6+$M$5*$J$7</f>
        <v>30.159004489763639</v>
      </c>
      <c r="O24" s="6">
        <f>$J$3+[6]FormattedData!H42*$J$4+$M$4*$J$5+[6]FormattedData!H42^2*$J$6+$M$5*$J$7</f>
        <v>33.344096665495101</v>
      </c>
      <c r="P24" s="6">
        <f>$J$3+[6]FormattedData!I42*$J$4+$M$4*$J$5+[6]FormattedData!I42^2*$J$6+$M$5*$J$7</f>
        <v>31.998467154972051</v>
      </c>
      <c r="Q24" s="6">
        <f>$J$3+[6]FormattedData!J42*$J$4+$M$4*$J$5+[6]FormattedData!J42^2*$J$6+$M$5*$J$7</f>
        <v>31.225816374763788</v>
      </c>
      <c r="R24" s="6">
        <f>$J$3+[6]FormattedData!K42*$J$4+$M$4*$J$5+[6]FormattedData!K42^2*$J$6+$M$5*$J$7</f>
        <v>31.225816374763788</v>
      </c>
      <c r="S24" s="6">
        <f>$J$3+[6]FormattedData!L42*$J$4+$M$4*$J$5+[6]FormattedData!L42^2*$J$6+$M$5*$J$7</f>
        <v>32.09485829407739</v>
      </c>
      <c r="T24" s="6">
        <f>$J$3+[6]FormattedData!M42*$J$4+$M$4*$J$5+[6]FormattedData!M42^2*$J$6+$M$5*$J$7</f>
        <v>31.515877431376374</v>
      </c>
      <c r="U24" s="6">
        <f>$J$3+[6]FormattedData!N42*$J$4+$M$4*$J$5+[6]FormattedData!N42^2*$J$6+$M$5*$J$7</f>
        <v>32.768412748752709</v>
      </c>
      <c r="V24" s="6">
        <f>$J$3+[6]FormattedData!O42*$J$4+$M$4*$J$5+[6]FormattedData!O42^2*$J$6+$M$5*$J$7</f>
        <v>30.06176797989967</v>
      </c>
      <c r="W24" s="5">
        <f t="shared" si="0"/>
        <v>31.913931963815287</v>
      </c>
      <c r="X24" s="4">
        <f t="shared" si="1"/>
        <v>0.40775750497473118</v>
      </c>
      <c r="Y24" s="3">
        <f t="shared" si="2"/>
        <v>30.06176797989967</v>
      </c>
      <c r="Z24" s="2">
        <f t="shared" si="3"/>
        <v>31.177420029655945</v>
      </c>
      <c r="AA24" s="3">
        <f t="shared" si="4"/>
        <v>31.757172293174214</v>
      </c>
      <c r="AB24" s="2">
        <f t="shared" si="5"/>
        <v>32.479936762312555</v>
      </c>
      <c r="AC24" s="2">
        <f t="shared" si="6"/>
        <v>35.157056957420679</v>
      </c>
      <c r="AD24" s="2">
        <f t="shared" si="7"/>
        <v>0.95267598539000409</v>
      </c>
      <c r="AE24" s="2">
        <f t="shared" si="8"/>
        <v>1.4182912002016721</v>
      </c>
    </row>
    <row r="25" spans="2:31" x14ac:dyDescent="0.2">
      <c r="B25" s="1">
        <f>[6]FormattedData!A44</f>
        <v>208</v>
      </c>
      <c r="C25" s="1" t="str">
        <f>VLOOKUP($B25,[6]TrtCodes!$B$11:I87,2)</f>
        <v>FSL</v>
      </c>
      <c r="D25" s="1">
        <f>VLOOKUP($B25,[6]TrtCodes!$B$11:J87,3)</f>
        <v>2</v>
      </c>
      <c r="E25" s="1">
        <f>VLOOKUP($B25,[6]TrtCodes!$B$11:K87,4)</f>
        <v>1</v>
      </c>
      <c r="F25" s="1">
        <f>VLOOKUP($B25,[6]TrtCodes!$B$11:L87,5)</f>
        <v>1</v>
      </c>
      <c r="G25" s="1">
        <f>VLOOKUP($B25,[6]TrtCodes!$B$11:M87,6)</f>
        <v>1</v>
      </c>
      <c r="H25" s="1">
        <f>VLOOKUP($B25,[6]TrtCodes!$B$11:N87,7)</f>
        <v>2</v>
      </c>
      <c r="I25" s="1">
        <f>[6]FormattedData!B44</f>
        <v>1</v>
      </c>
      <c r="J25" s="4">
        <f>[6]FormattedData!C44</f>
        <v>13.351000000000001</v>
      </c>
      <c r="K25" s="6">
        <f>$J$3+[6]FormattedData!D44*$J$4+$M$4*$J$5+[6]FormattedData!D44^2*$J$6+$M$5*$J$7</f>
        <v>34.395565071226258</v>
      </c>
      <c r="L25" s="6">
        <f>$J$3+[6]FormattedData!E44*$J$4+$M$4*$J$5+[6]FormattedData!E44^2*$J$6+$M$5*$J$7</f>
        <v>32.576179961535132</v>
      </c>
      <c r="M25" s="6">
        <f>$J$3+[6]FormattedData!F44*$J$4+$M$4*$J$5+[6]FormattedData!F44^2*$J$6+$M$5*$J$7</f>
        <v>31.709040126428434</v>
      </c>
      <c r="N25" s="6">
        <f>$J$3+[6]FormattedData!G44*$J$4+$M$4*$J$5+[6]FormattedData!G44^2*$J$6+$M$5*$J$7</f>
        <v>31.90203374732878</v>
      </c>
      <c r="O25" s="6">
        <f>$J$3+[6]FormattedData!H44*$J$4+$M$4*$J$5+[6]FormattedData!H44^2*$J$6+$M$5*$J$7</f>
        <v>32.960476461818565</v>
      </c>
      <c r="P25" s="6">
        <f>$J$3+[6]FormattedData!I44*$J$4+$M$4*$J$5+[6]FormattedData!I44^2*$J$6+$M$5*$J$7</f>
        <v>32.960476461818565</v>
      </c>
      <c r="Q25" s="6">
        <f>$J$3+[6]FormattedData!J44*$J$4+$M$4*$J$5+[6]FormattedData!J44^2*$J$6+$M$5*$J$7</f>
        <v>32.28751376667428</v>
      </c>
      <c r="R25" s="6">
        <f>$J$3+[6]FormattedData!K44*$J$4+$M$4*$J$5+[6]FormattedData!K44^2*$J$6+$M$5*$J$7</f>
        <v>32.383778100165834</v>
      </c>
      <c r="S25" s="6">
        <f>$J$3+[6]FormattedData!L44*$J$4+$M$4*$J$5+[6]FormattedData!L44^2*$J$6+$M$5*$J$7</f>
        <v>31.129044818817071</v>
      </c>
      <c r="T25" s="6">
        <f>$J$3+[6]FormattedData!M44*$J$4+$M$4*$J$5+[6]FormattedData!M44^2*$J$6+$M$5*$J$7</f>
        <v>32.864465739554603</v>
      </c>
      <c r="U25" s="6">
        <f>$J$3+[6]FormattedData!N44*$J$4+$M$4*$J$5+[6]FormattedData!N44^2*$J$6+$M$5*$J$7</f>
        <v>32.09485829407739</v>
      </c>
      <c r="V25" s="6">
        <f>$J$3+[6]FormattedData!O44*$J$4+$M$4*$J$5+[6]FormattedData!O44^2*$J$6+$M$5*$J$7</f>
        <v>32.480000165119449</v>
      </c>
      <c r="W25" s="5">
        <f t="shared" si="0"/>
        <v>32.478619392880361</v>
      </c>
      <c r="X25" s="4">
        <f t="shared" si="1"/>
        <v>0.23413758864412523</v>
      </c>
      <c r="Y25" s="3">
        <f t="shared" si="2"/>
        <v>31.129044818817071</v>
      </c>
      <c r="Z25" s="2">
        <f t="shared" si="3"/>
        <v>32.046652157390241</v>
      </c>
      <c r="AA25" s="3">
        <f t="shared" si="4"/>
        <v>32.431889132642638</v>
      </c>
      <c r="AB25" s="2">
        <f t="shared" si="5"/>
        <v>32.888468420120596</v>
      </c>
      <c r="AC25" s="2">
        <f t="shared" si="6"/>
        <v>34.395565071226258</v>
      </c>
      <c r="AD25" s="2">
        <f t="shared" si="7"/>
        <v>0.8498128305797148</v>
      </c>
      <c r="AE25" s="2">
        <f t="shared" si="8"/>
        <v>2.3150909906877475</v>
      </c>
    </row>
    <row r="26" spans="2:31" x14ac:dyDescent="0.2">
      <c r="B26" s="1">
        <f>[6]FormattedData!A62</f>
        <v>301</v>
      </c>
      <c r="C26" s="1" t="str">
        <f>VLOOKUP($B26,[6]TrtCodes!$B$11:I105,2)</f>
        <v>NTL</v>
      </c>
      <c r="D26" s="1">
        <f>VLOOKUP($B26,[6]TrtCodes!$B$11:J105,3)</f>
        <v>10</v>
      </c>
      <c r="E26" s="1">
        <f>VLOOKUP($B26,[6]TrtCodes!$B$11:K105,4)</f>
        <v>2</v>
      </c>
      <c r="F26" s="1">
        <f>VLOOKUP($B26,[6]TrtCodes!$B$11:L105,5)</f>
        <v>2</v>
      </c>
      <c r="G26" s="1">
        <f>VLOOKUP($B26,[6]TrtCodes!$B$11:M105,6)</f>
        <v>1</v>
      </c>
      <c r="H26" s="1">
        <f>VLOOKUP($B26,[6]TrtCodes!$B$11:N105,7)</f>
        <v>3</v>
      </c>
      <c r="I26" s="1">
        <f>[6]FormattedData!B62</f>
        <v>1</v>
      </c>
      <c r="J26" s="4">
        <f>[6]FormattedData!C62</f>
        <v>13.481</v>
      </c>
      <c r="K26" s="6">
        <f>$J$3+[6]FormattedData!D62*$J$4+$M$4*$J$5+[6]FormattedData!D62^2*$J$6+$M$5*$J$7</f>
        <v>48.579100977047226</v>
      </c>
      <c r="L26" s="6">
        <f>$J$3+[6]FormattedData!E62*$J$4+$M$4*$J$5+[6]FormattedData!E62^2*$J$6+$M$5*$J$7</f>
        <v>43.901951249363393</v>
      </c>
      <c r="M26" s="6">
        <f>$J$3+[6]FormattedData!F62*$J$4+$M$4*$J$5+[6]FormattedData!F62^2*$J$6+$M$5*$J$7</f>
        <v>49.199988833460345</v>
      </c>
      <c r="N26" s="6">
        <f>$J$3+[6]FormattedData!G62*$J$4+$M$4*$J$5+[6]FormattedData!G62^2*$J$6+$M$5*$J$7</f>
        <v>46.344736931827917</v>
      </c>
      <c r="O26" s="6">
        <f>$J$3+[6]FormattedData!H62*$J$4+$M$4*$J$5+[6]FormattedData!H62^2*$J$6+$M$5*$J$7</f>
        <v>49.465449600997005</v>
      </c>
      <c r="P26" s="6">
        <f>$J$3+[6]FormattedData!I62*$J$4+$M$4*$J$5+[6]FormattedData!I62^2*$J$6+$M$5*$J$7</f>
        <v>45.984787109392826</v>
      </c>
      <c r="Q26" s="6">
        <f>$J$3+[6]FormattedData!J62*$J$4+$M$4*$J$5+[6]FormattedData!J62^2*$J$6+$M$5*$J$7</f>
        <v>41.151605335582808</v>
      </c>
      <c r="R26" s="6">
        <f>$J$3+[6]FormattedData!K62*$J$4+$M$4*$J$5+[6]FormattedData!K62^2*$J$6+$M$5*$J$7</f>
        <v>46.793723167768334</v>
      </c>
      <c r="S26" s="6">
        <f>$J$3+[6]FormattedData!L62*$J$4+$M$4*$J$5+[6]FormattedData!L62^2*$J$6+$M$5*$J$7</f>
        <v>51.400538048334745</v>
      </c>
      <c r="T26" s="6">
        <f>$J$3+[6]FormattedData!M62*$J$4+$M$4*$J$5+[6]FormattedData!M62^2*$J$6+$M$5*$J$7</f>
        <v>43.992974284151487</v>
      </c>
      <c r="U26" s="6">
        <f>$J$3+[6]FormattedData!N62*$J$4+$M$4*$J$5+[6]FormattedData!N62^2*$J$6+$M$5*$J$7</f>
        <v>48.401324029802097</v>
      </c>
      <c r="V26" s="6">
        <f>$J$3+[6]FormattedData!O62*$J$4+$M$4*$J$5+[6]FormattedData!O62^2*$J$6+$M$5*$J$7</f>
        <v>39.110507395113764</v>
      </c>
      <c r="W26" s="5">
        <f t="shared" si="0"/>
        <v>46.193890580236832</v>
      </c>
      <c r="X26" s="4">
        <f t="shared" si="1"/>
        <v>1.0427714687371101</v>
      </c>
      <c r="Y26" s="3">
        <f t="shared" si="2"/>
        <v>39.110507395113764</v>
      </c>
      <c r="Z26" s="2">
        <f t="shared" si="3"/>
        <v>43.970218525454463</v>
      </c>
      <c r="AA26" s="3">
        <f t="shared" si="4"/>
        <v>46.569230049798122</v>
      </c>
      <c r="AB26" s="2">
        <f t="shared" si="5"/>
        <v>48.734322941150509</v>
      </c>
      <c r="AC26" s="2">
        <f t="shared" si="6"/>
        <v>51.400538048334745</v>
      </c>
      <c r="AD26" s="2">
        <f t="shared" si="7"/>
        <v>-0.64443274845047538</v>
      </c>
      <c r="AE26" s="2">
        <f t="shared" si="8"/>
        <v>-0.14415862530696399</v>
      </c>
    </row>
    <row r="27" spans="2:31" x14ac:dyDescent="0.2">
      <c r="B27" s="1">
        <f>[6]FormattedData!A64</f>
        <v>302</v>
      </c>
      <c r="C27" s="1" t="str">
        <f>VLOOKUP($B27,[6]TrtCodes!$B$11:I107,2)</f>
        <v>FTL</v>
      </c>
      <c r="D27" s="1">
        <f>VLOOKUP($B27,[6]TrtCodes!$B$11:J107,3)</f>
        <v>4</v>
      </c>
      <c r="E27" s="1">
        <f>VLOOKUP($B27,[6]TrtCodes!$B$11:K107,4)</f>
        <v>1</v>
      </c>
      <c r="F27" s="1">
        <f>VLOOKUP($B27,[6]TrtCodes!$B$11:L107,5)</f>
        <v>2</v>
      </c>
      <c r="G27" s="1">
        <f>VLOOKUP($B27,[6]TrtCodes!$B$11:M107,6)</f>
        <v>1</v>
      </c>
      <c r="H27" s="1">
        <f>VLOOKUP($B27,[6]TrtCodes!$B$11:N107,7)</f>
        <v>3</v>
      </c>
      <c r="I27" s="1">
        <f>[6]FormattedData!B64</f>
        <v>1</v>
      </c>
      <c r="J27" s="4">
        <f>[6]FormattedData!C64</f>
        <v>13.500999999999999</v>
      </c>
      <c r="K27" s="6">
        <f>$J$3+[6]FormattedData!D64*$J$4+$M$4*$J$5+[6]FormattedData!D64^2*$J$6+$M$5*$J$7</f>
        <v>36.577562921242126</v>
      </c>
      <c r="L27" s="6">
        <f>$J$3+[6]FormattedData!E64*$J$4+$M$4*$J$5+[6]FormattedData!E64^2*$J$6+$M$5*$J$7</f>
        <v>33.822670877987321</v>
      </c>
      <c r="M27" s="6">
        <f>$J$3+[6]FormattedData!F64*$J$4+$M$4*$J$5+[6]FormattedData!F64^2*$J$6+$M$5*$J$7</f>
        <v>35.44191898386773</v>
      </c>
      <c r="N27" s="6">
        <f>$J$3+[6]FormattedData!G64*$J$4+$M$4*$J$5+[6]FormattedData!G64^2*$J$6+$M$5*$J$7</f>
        <v>35.53678845560755</v>
      </c>
      <c r="O27" s="6">
        <f>$J$3+[6]FormattedData!H64*$J$4+$M$4*$J$5+[6]FormattedData!H64^2*$J$6+$M$5*$J$7</f>
        <v>32.28751376667428</v>
      </c>
      <c r="P27" s="6">
        <f>$J$3+[6]FormattedData!I64*$J$4+$M$4*$J$5+[6]FormattedData!I64^2*$J$6+$M$5*$J$7</f>
        <v>33.91825891487197</v>
      </c>
      <c r="Q27" s="6">
        <f>$J$3+[6]FormattedData!J64*$J$4+$M$4*$J$5+[6]FormattedData!J64^2*$J$6+$M$5*$J$7</f>
        <v>30.06176797989967</v>
      </c>
      <c r="R27" s="6">
        <f>$J$3+[6]FormattedData!K64*$J$4+$M$4*$J$5+[6]FormattedData!K64^2*$J$6+$M$5*$J$7</f>
        <v>34.776649162626917</v>
      </c>
      <c r="S27" s="6">
        <f>$J$3+[6]FormattedData!L64*$J$4+$M$4*$J$5+[6]FormattedData!L64^2*$J$6+$M$5*$J$7</f>
        <v>31.805558071147573</v>
      </c>
      <c r="T27" s="6">
        <f>$J$3+[6]FormattedData!M64*$J$4+$M$4*$J$5+[6]FormattedData!M64^2*$J$6+$M$5*$J$7</f>
        <v>35.062018411529138</v>
      </c>
      <c r="U27" s="6">
        <f>$J$3+[6]FormattedData!N64*$J$4+$M$4*$J$5+[6]FormattedData!N64^2*$J$6+$M$5*$J$7</f>
        <v>30.353350703877776</v>
      </c>
      <c r="V27" s="6">
        <f>$J$3+[6]FormattedData!O64*$J$4+$M$4*$J$5+[6]FormattedData!O64^2*$J$6+$M$5*$J$7</f>
        <v>35.252053234774301</v>
      </c>
      <c r="W27" s="5">
        <f t="shared" si="0"/>
        <v>33.741342623675529</v>
      </c>
      <c r="X27" s="4">
        <f t="shared" si="1"/>
        <v>0.6165309512697239</v>
      </c>
      <c r="Y27" s="3">
        <f t="shared" si="2"/>
        <v>30.06176797989967</v>
      </c>
      <c r="Z27" s="2">
        <f t="shared" si="3"/>
        <v>32.1670248427926</v>
      </c>
      <c r="AA27" s="3">
        <f t="shared" si="4"/>
        <v>34.347454038749447</v>
      </c>
      <c r="AB27" s="2">
        <f t="shared" si="5"/>
        <v>35.299519672047659</v>
      </c>
      <c r="AC27" s="2">
        <f t="shared" si="6"/>
        <v>36.577562921242126</v>
      </c>
      <c r="AD27" s="2">
        <f t="shared" si="7"/>
        <v>-0.65674218486690672</v>
      </c>
      <c r="AE27" s="2">
        <f t="shared" si="8"/>
        <v>-0.8036017644676301</v>
      </c>
    </row>
    <row r="28" spans="2:31" x14ac:dyDescent="0.2">
      <c r="B28" s="1">
        <f>[6]FormattedData!A66</f>
        <v>303</v>
      </c>
      <c r="C28" s="1" t="str">
        <f>VLOOKUP($B28,[6]TrtCodes!$B$11:I109,2)</f>
        <v>NSL</v>
      </c>
      <c r="D28" s="1">
        <f>VLOOKUP($B28,[6]TrtCodes!$B$11:J109,3)</f>
        <v>8</v>
      </c>
      <c r="E28" s="1">
        <f>VLOOKUP($B28,[6]TrtCodes!$B$11:K109,4)</f>
        <v>2</v>
      </c>
      <c r="F28" s="1">
        <f>VLOOKUP($B28,[6]TrtCodes!$B$11:L109,5)</f>
        <v>1</v>
      </c>
      <c r="G28" s="1">
        <f>VLOOKUP($B28,[6]TrtCodes!$B$11:M109,6)</f>
        <v>1</v>
      </c>
      <c r="H28" s="1">
        <f>VLOOKUP($B28,[6]TrtCodes!$B$11:N109,7)</f>
        <v>3</v>
      </c>
      <c r="I28" s="1">
        <f>[6]FormattedData!B66</f>
        <v>1</v>
      </c>
      <c r="J28" s="4">
        <f>[6]FormattedData!C66</f>
        <v>13.516999999999999</v>
      </c>
      <c r="K28" s="6">
        <f>$J$3+[6]FormattedData!D66*$J$4+$M$4*$J$5+[6]FormattedData!D66^2*$J$6+$M$5*$J$7</f>
        <v>52.881821646407928</v>
      </c>
      <c r="L28" s="6">
        <f>$J$3+[6]FormattedData!E66*$J$4+$M$4*$J$5+[6]FormattedData!E66^2*$J$6+$M$5*$J$7</f>
        <v>46.973021782378979</v>
      </c>
      <c r="M28" s="6">
        <f>$J$3+[6]FormattedData!F66*$J$4+$M$4*$J$5+[6]FormattedData!F66^2*$J$6+$M$5*$J$7</f>
        <v>43.263606486784717</v>
      </c>
      <c r="N28" s="6">
        <f>$J$3+[6]FormattedData!G66*$J$4+$M$4*$J$5+[6]FormattedData!G66^2*$J$6+$M$5*$J$7</f>
        <v>50.25954940255869</v>
      </c>
      <c r="O28" s="6">
        <f>$J$3+[6]FormattedData!H66*$J$4+$M$4*$J$5+[6]FormattedData!H66^2*$J$6+$M$5*$J$7</f>
        <v>45.624160990350823</v>
      </c>
      <c r="P28" s="6">
        <f>$J$3+[6]FormattedData!I66*$J$4+$M$4*$J$5+[6]FormattedData!I66^2*$J$6+$M$5*$J$7</f>
        <v>52.011957752251291</v>
      </c>
      <c r="Q28" s="6">
        <f>$J$3+[6]FormattedData!J66*$J$4+$M$4*$J$5+[6]FormattedData!J66^2*$J$6+$M$5*$J$7</f>
        <v>36.954758307153128</v>
      </c>
      <c r="R28" s="6">
        <f>$J$3+[6]FormattedData!K66*$J$4+$M$4*$J$5+[6]FormattedData!K66^2*$J$6+$M$5*$J$7</f>
        <v>51.313023302194942</v>
      </c>
      <c r="S28" s="6">
        <f>$J$3+[6]FormattedData!L66*$J$4+$M$4*$J$5+[6]FormattedData!L66^2*$J$6+$M$5*$J$7</f>
        <v>37.14310238888104</v>
      </c>
      <c r="T28" s="6">
        <f>$J$3+[6]FormattedData!M66*$J$4+$M$4*$J$5+[6]FormattedData!M66^2*$J$6+$M$5*$J$7</f>
        <v>52.099134350087645</v>
      </c>
      <c r="U28" s="6">
        <f>$J$3+[6]FormattedData!N66*$J$4+$M$4*$J$5+[6]FormattedData!N66^2*$J$6+$M$5*$J$7</f>
        <v>40.411754940809118</v>
      </c>
      <c r="V28" s="6">
        <f>$J$3+[6]FormattedData!O66*$J$4+$M$4*$J$5+[6]FormattedData!O66^2*$J$6+$M$5*$J$7</f>
        <v>50.523488502729819</v>
      </c>
      <c r="W28" s="5">
        <f t="shared" si="0"/>
        <v>46.621614987715674</v>
      </c>
      <c r="X28" s="4">
        <f t="shared" si="1"/>
        <v>1.7033056094147152</v>
      </c>
      <c r="Y28" s="3">
        <f t="shared" si="2"/>
        <v>36.954758307153128</v>
      </c>
      <c r="Z28" s="2">
        <f t="shared" si="3"/>
        <v>42.550643600290819</v>
      </c>
      <c r="AA28" s="3">
        <f t="shared" si="4"/>
        <v>48.616285592468834</v>
      </c>
      <c r="AB28" s="2">
        <f t="shared" si="5"/>
        <v>51.487756914709031</v>
      </c>
      <c r="AC28" s="2">
        <f t="shared" si="6"/>
        <v>52.881821646407928</v>
      </c>
      <c r="AD28" s="2">
        <f t="shared" si="7"/>
        <v>-0.66705376641794178</v>
      </c>
      <c r="AE28" s="2">
        <f t="shared" si="8"/>
        <v>-1.0964083118949826</v>
      </c>
    </row>
    <row r="29" spans="2:31" x14ac:dyDescent="0.2">
      <c r="B29" s="1">
        <f>[6]FormattedData!A68</f>
        <v>304</v>
      </c>
      <c r="C29" s="1" t="str">
        <f>VLOOKUP($B29,[6]TrtCodes!$B$11:I111,2)</f>
        <v>FSL</v>
      </c>
      <c r="D29" s="1">
        <f>VLOOKUP($B29,[6]TrtCodes!$B$11:J111,3)</f>
        <v>2</v>
      </c>
      <c r="E29" s="1">
        <f>VLOOKUP($B29,[6]TrtCodes!$B$11:K111,4)</f>
        <v>1</v>
      </c>
      <c r="F29" s="1">
        <f>VLOOKUP($B29,[6]TrtCodes!$B$11:L111,5)</f>
        <v>1</v>
      </c>
      <c r="G29" s="1">
        <f>VLOOKUP($B29,[6]TrtCodes!$B$11:M111,6)</f>
        <v>1</v>
      </c>
      <c r="H29" s="1">
        <f>VLOOKUP($B29,[6]TrtCodes!$B$11:N111,7)</f>
        <v>3</v>
      </c>
      <c r="I29" s="1">
        <f>[6]FormattedData!B68</f>
        <v>1</v>
      </c>
      <c r="J29" s="4">
        <f>[6]FormattedData!C68</f>
        <v>13.534000000000001</v>
      </c>
      <c r="K29" s="6">
        <f>$J$3+[6]FormattedData!D68*$J$4+$M$4*$J$5+[6]FormattedData!D68^2*$J$6+$M$5*$J$7</f>
        <v>34.586191654002448</v>
      </c>
      <c r="L29" s="6">
        <f>$J$3+[6]FormattedData!E68*$J$4+$M$4*$J$5+[6]FormattedData!E68^2*$J$6+$M$5*$J$7</f>
        <v>31.61247991317137</v>
      </c>
      <c r="M29" s="6">
        <f>$J$3+[6]FormattedData!F68*$J$4+$M$4*$J$5+[6]FormattedData!F68^2*$J$6+$M$5*$J$7</f>
        <v>34.490899496883308</v>
      </c>
      <c r="N29" s="6">
        <f>$J$3+[6]FormattedData!G68*$J$4+$M$4*$J$5+[6]FormattedData!G68^2*$J$6+$M$5*$J$7</f>
        <v>32.672317489412883</v>
      </c>
      <c r="O29" s="6">
        <f>$J$3+[6]FormattedData!H68*$J$4+$M$4*$J$5+[6]FormattedData!H68^2*$J$6+$M$5*$J$7</f>
        <v>33.631367998604226</v>
      </c>
      <c r="P29" s="6">
        <f>$J$3+[6]FormattedData!I68*$J$4+$M$4*$J$5+[6]FormattedData!I68^2*$J$6+$M$5*$J$7</f>
        <v>33.24825501738286</v>
      </c>
      <c r="Q29" s="6">
        <f>$J$3+[6]FormattedData!J68*$J$4+$M$4*$J$5+[6]FormattedData!J68^2*$J$6+$M$5*$J$7</f>
        <v>31.419232681043443</v>
      </c>
      <c r="R29" s="6">
        <f>$J$3+[6]FormattedData!K68*$J$4+$M$4*$J$5+[6]FormattedData!K68^2*$J$6+$M$5*$J$7</f>
        <v>34.871814514132261</v>
      </c>
      <c r="S29" s="6">
        <f>$J$3+[6]FormattedData!L68*$J$4+$M$4*$J$5+[6]FormattedData!L68^2*$J$6+$M$5*$J$7</f>
        <v>31.419232681043443</v>
      </c>
      <c r="T29" s="6">
        <f>$J$3+[6]FormattedData!M68*$J$4+$M$4*$J$5+[6]FormattedData!M68^2*$J$6+$M$5*$J$7</f>
        <v>33.24825501738286</v>
      </c>
      <c r="U29" s="6">
        <f>$J$3+[6]FormattedData!N68*$J$4+$M$4*$J$5+[6]FormattedData!N68^2*$J$6+$M$5*$J$7</f>
        <v>31.515877431376374</v>
      </c>
      <c r="V29" s="6">
        <f>$J$3+[6]FormattedData!O68*$J$4+$M$4*$J$5+[6]FormattedData!O68^2*$J$6+$M$5*$J$7</f>
        <v>34.586191654002448</v>
      </c>
      <c r="W29" s="5">
        <f t="shared" si="0"/>
        <v>33.108509629036497</v>
      </c>
      <c r="X29" s="4">
        <f t="shared" si="1"/>
        <v>0.392852154746891</v>
      </c>
      <c r="Y29" s="3">
        <f t="shared" si="2"/>
        <v>31.419232681043443</v>
      </c>
      <c r="Z29" s="2">
        <f t="shared" si="3"/>
        <v>31.588329292722619</v>
      </c>
      <c r="AA29" s="3">
        <f t="shared" si="4"/>
        <v>33.24825501738286</v>
      </c>
      <c r="AB29" s="2">
        <f t="shared" si="5"/>
        <v>34.514722536163092</v>
      </c>
      <c r="AC29" s="2">
        <f t="shared" si="6"/>
        <v>34.871814514132261</v>
      </c>
      <c r="AD29" s="2">
        <f t="shared" si="7"/>
        <v>-0.10328952092996217</v>
      </c>
      <c r="AE29" s="2">
        <f t="shared" si="8"/>
        <v>-1.7042414809235034</v>
      </c>
    </row>
    <row r="30" spans="2:31" x14ac:dyDescent="0.2">
      <c r="B30" s="1">
        <f>[6]FormattedData!A70</f>
        <v>305</v>
      </c>
      <c r="C30" s="1" t="str">
        <f>VLOOKUP($B30,[6]TrtCodes!$B$11:I113,2)</f>
        <v>NDH</v>
      </c>
      <c r="D30" s="1">
        <f>VLOOKUP($B30,[6]TrtCodes!$B$11:J113,3)</f>
        <v>11</v>
      </c>
      <c r="E30" s="1">
        <f>VLOOKUP($B30,[6]TrtCodes!$B$11:K113,4)</f>
        <v>2</v>
      </c>
      <c r="F30" s="1">
        <f>VLOOKUP($B30,[6]TrtCodes!$B$11:L113,5)</f>
        <v>3</v>
      </c>
      <c r="G30" s="1">
        <f>VLOOKUP($B30,[6]TrtCodes!$B$11:M113,6)</f>
        <v>2</v>
      </c>
      <c r="H30" s="1">
        <f>VLOOKUP($B30,[6]TrtCodes!$B$11:N113,7)</f>
        <v>4</v>
      </c>
      <c r="I30" s="1">
        <f>[6]FormattedData!B70</f>
        <v>1</v>
      </c>
      <c r="J30" s="4">
        <f>[6]FormattedData!C70</f>
        <v>13.55</v>
      </c>
      <c r="K30" s="6">
        <f>$J$3+[6]FormattedData!D70*$J$4+$M$4*$J$5+[6]FormattedData!D70^2*$J$6+$M$5*$J$7</f>
        <v>42.072614160636121</v>
      </c>
      <c r="L30" s="6">
        <f>$J$3+[6]FormattedData!E70*$J$4+$M$4*$J$5+[6]FormattedData!E70^2*$J$6+$M$5*$J$7</f>
        <v>38.269616322062305</v>
      </c>
      <c r="M30" s="6">
        <f>$J$3+[6]FormattedData!F70*$J$4+$M$4*$J$5+[6]FormattedData!F70^2*$J$6+$M$5*$J$7</f>
        <v>40.411754940809118</v>
      </c>
      <c r="N30" s="6">
        <f>$J$3+[6]FormattedData!G70*$J$4+$M$4*$J$5+[6]FormattedData!G70^2*$J$6+$M$5*$J$7</f>
        <v>38.550293763254174</v>
      </c>
      <c r="O30" s="6">
        <f>$J$3+[6]FormattedData!H70*$J$4+$M$4*$J$5+[6]FormattedData!H70^2*$J$6+$M$5*$J$7</f>
        <v>31.805558071147573</v>
      </c>
      <c r="P30" s="6">
        <f>$J$3+[6]FormattedData!I70*$J$4+$M$4*$J$5+[6]FormattedData!I70^2*$J$6+$M$5*$J$7</f>
        <v>44.083955050401642</v>
      </c>
      <c r="Q30" s="6">
        <f>$J$3+[6]FormattedData!J70*$J$4+$M$4*$J$5+[6]FormattedData!J70^2*$J$6+$M$5*$J$7</f>
        <v>38.737200714692428</v>
      </c>
      <c r="R30" s="6">
        <f>$J$3+[6]FormattedData!K70*$J$4+$M$4*$J$5+[6]FormattedData!K70^2*$J$6+$M$5*$J$7</f>
        <v>39.947974716592803</v>
      </c>
      <c r="S30" s="6">
        <f>$J$3+[6]FormattedData!L70*$J$4+$M$4*$J$5+[6]FormattedData!L70^2*$J$6+$M$5*$J$7</f>
        <v>37.04895148228605</v>
      </c>
      <c r="T30" s="6">
        <f>$J$3+[6]FormattedData!M70*$J$4+$M$4*$J$5+[6]FormattedData!M70^2*$J$6+$M$5*$J$7</f>
        <v>39.390043585781491</v>
      </c>
      <c r="U30" s="6">
        <f>$J$3+[6]FormattedData!N70*$J$4+$M$4*$J$5+[6]FormattedData!N70^2*$J$6+$M$5*$J$7</f>
        <v>32.864465739554603</v>
      </c>
      <c r="V30" s="6">
        <f>$J$3+[6]FormattedData!O70*$J$4+$M$4*$J$5+[6]FormattedData!O70^2*$J$6+$M$5*$J$7</f>
        <v>36.294222562160598</v>
      </c>
      <c r="W30" s="5">
        <f t="shared" si="0"/>
        <v>38.289720925781573</v>
      </c>
      <c r="X30" s="4">
        <f t="shared" si="1"/>
        <v>1.0060980701092219</v>
      </c>
      <c r="Y30" s="3">
        <f t="shared" si="2"/>
        <v>31.805558071147573</v>
      </c>
      <c r="Z30" s="2">
        <f t="shared" si="3"/>
        <v>36.860269252254689</v>
      </c>
      <c r="AA30" s="3">
        <f t="shared" si="4"/>
        <v>38.643747238973305</v>
      </c>
      <c r="AB30" s="2">
        <f t="shared" si="5"/>
        <v>40.063919772646884</v>
      </c>
      <c r="AC30" s="2">
        <f t="shared" si="6"/>
        <v>44.083955050401642</v>
      </c>
      <c r="AD30" s="2">
        <f t="shared" si="7"/>
        <v>-0.45853839645204908</v>
      </c>
      <c r="AE30" s="2">
        <f t="shared" si="8"/>
        <v>0.25310386835364529</v>
      </c>
    </row>
    <row r="31" spans="2:31" x14ac:dyDescent="0.2">
      <c r="B31" s="1">
        <f>[6]FormattedData!A72</f>
        <v>306</v>
      </c>
      <c r="C31" s="1" t="str">
        <f>VLOOKUP($B31,[6]TrtCodes!$B$11:I115,2)</f>
        <v>FTL</v>
      </c>
      <c r="D31" s="1">
        <f>VLOOKUP($B31,[6]TrtCodes!$B$11:J115,3)</f>
        <v>4</v>
      </c>
      <c r="E31" s="1">
        <f>VLOOKUP($B31,[6]TrtCodes!$B$11:K115,4)</f>
        <v>1</v>
      </c>
      <c r="F31" s="1">
        <f>VLOOKUP($B31,[6]TrtCodes!$B$11:L115,5)</f>
        <v>2</v>
      </c>
      <c r="G31" s="1">
        <f>VLOOKUP($B31,[6]TrtCodes!$B$11:M115,6)</f>
        <v>1</v>
      </c>
      <c r="H31" s="1">
        <f>VLOOKUP($B31,[6]TrtCodes!$B$11:N115,7)</f>
        <v>4</v>
      </c>
      <c r="I31" s="1">
        <f>[6]FormattedData!B72</f>
        <v>1</v>
      </c>
      <c r="J31" s="4">
        <f>[6]FormattedData!C72</f>
        <v>13.567</v>
      </c>
      <c r="K31" s="6">
        <f>$J$3+[6]FormattedData!D72*$J$4+$M$4*$J$5+[6]FormattedData!D72^2*$J$6+$M$5*$J$7</f>
        <v>36.105117646749925</v>
      </c>
      <c r="L31" s="6">
        <f>$J$3+[6]FormattedData!E72*$J$4+$M$4*$J$5+[6]FormattedData!E72^2*$J$6+$M$5*$J$7</f>
        <v>31.709040126428434</v>
      </c>
      <c r="M31" s="6">
        <f>$J$3+[6]FormattedData!F72*$J$4+$M$4*$J$5+[6]FormattedData!F72^2*$J$6+$M$5*$J$7</f>
        <v>34.109308183027473</v>
      </c>
      <c r="N31" s="6">
        <f>$J$3+[6]FormattedData!G72*$J$4+$M$4*$J$5+[6]FormattedData!G72^2*$J$6+$M$5*$J$7</f>
        <v>33.91825891487197</v>
      </c>
      <c r="O31" s="6">
        <f>$J$3+[6]FormattedData!H72*$J$4+$M$4*$J$5+[6]FormattedData!H72^2*$J$6+$M$5*$J$7</f>
        <v>32.960476461818565</v>
      </c>
      <c r="P31" s="6">
        <f>$J$3+[6]FormattedData!I72*$J$4+$M$4*$J$5+[6]FormattedData!I72^2*$J$6+$M$5*$J$7</f>
        <v>35.44191898386773</v>
      </c>
      <c r="Q31" s="6">
        <f>$J$3+[6]FormattedData!J72*$J$4+$M$4*$J$5+[6]FormattedData!J72^2*$J$6+$M$5*$J$7</f>
        <v>29.57495140251088</v>
      </c>
      <c r="R31" s="6">
        <f>$J$3+[6]FormattedData!K72*$J$4+$M$4*$J$5+[6]FormattedData!K72^2*$J$6+$M$5*$J$7</f>
        <v>35.062018411529138</v>
      </c>
      <c r="S31" s="6">
        <f>$J$3+[6]FormattedData!L72*$J$4+$M$4*$J$5+[6]FormattedData!L72^2*$J$6+$M$5*$J$7</f>
        <v>29.672399255064505</v>
      </c>
      <c r="T31" s="6">
        <f>$J$3+[6]FormattedData!M72*$J$4+$M$4*$J$5+[6]FormattedData!M72^2*$J$6+$M$5*$J$7</f>
        <v>35.252053234774301</v>
      </c>
      <c r="U31" s="6">
        <f>$J$3+[6]FormattedData!N72*$J$4+$M$4*$J$5+[6]FormattedData!N72^2*$J$6+$M$5*$J$7</f>
        <v>30.159004489763639</v>
      </c>
      <c r="V31" s="6">
        <f>$J$3+[6]FormattedData!O72*$J$4+$M$4*$J$5+[6]FormattedData!O72^2*$J$6+$M$5*$J$7</f>
        <v>35.157056957420679</v>
      </c>
      <c r="W31" s="5">
        <f t="shared" si="0"/>
        <v>33.260133672318936</v>
      </c>
      <c r="X31" s="4">
        <f t="shared" si="1"/>
        <v>0.69296405357653668</v>
      </c>
      <c r="Y31" s="3">
        <f t="shared" si="2"/>
        <v>29.57495140251088</v>
      </c>
      <c r="Z31" s="2">
        <f t="shared" si="3"/>
        <v>31.321531217262233</v>
      </c>
      <c r="AA31" s="3">
        <f t="shared" si="4"/>
        <v>34.013783548949718</v>
      </c>
      <c r="AB31" s="2">
        <f t="shared" si="5"/>
        <v>35.180806026759086</v>
      </c>
      <c r="AC31" s="2">
        <f t="shared" si="6"/>
        <v>36.105117646749925</v>
      </c>
      <c r="AD31" s="2">
        <f t="shared" si="7"/>
        <v>-0.59085801151530626</v>
      </c>
      <c r="AE31" s="2">
        <f t="shared" si="8"/>
        <v>-1.2974899161703384</v>
      </c>
    </row>
    <row r="32" spans="2:31" x14ac:dyDescent="0.2">
      <c r="B32" s="1">
        <f>[6]FormattedData!A74</f>
        <v>307</v>
      </c>
      <c r="C32" s="1" t="str">
        <f>VLOOKUP($B32,[6]TrtCodes!$B$11:I117,2)</f>
        <v>NTH</v>
      </c>
      <c r="D32" s="1">
        <f>VLOOKUP($B32,[6]TrtCodes!$B$11:J117,3)</f>
        <v>9</v>
      </c>
      <c r="E32" s="1">
        <f>VLOOKUP($B32,[6]TrtCodes!$B$11:K117,4)</f>
        <v>2</v>
      </c>
      <c r="F32" s="1">
        <f>VLOOKUP($B32,[6]TrtCodes!$B$11:L117,5)</f>
        <v>2</v>
      </c>
      <c r="G32" s="1">
        <f>VLOOKUP($B32,[6]TrtCodes!$B$11:M117,6)</f>
        <v>2</v>
      </c>
      <c r="H32" s="1">
        <f>VLOOKUP($B32,[6]TrtCodes!$B$11:N117,7)</f>
        <v>4</v>
      </c>
      <c r="I32" s="1">
        <f>[6]FormattedData!B74</f>
        <v>1</v>
      </c>
      <c r="J32" s="4">
        <f>[6]FormattedData!C74</f>
        <v>13.583</v>
      </c>
      <c r="K32" s="6">
        <f>$J$3+[6]FormattedData!D74*$J$4+$M$4*$J$5+[6]FormattedData!D74^2*$J$6+$M$5*$J$7</f>
        <v>51.750174347514651</v>
      </c>
      <c r="L32" s="6">
        <f>$J$3+[6]FormattedData!E74*$J$4+$M$4*$J$5+[6]FormattedData!E74^2*$J$6+$M$5*$J$7</f>
        <v>51.050225452547956</v>
      </c>
      <c r="M32" s="6">
        <f>$J$3+[6]FormattedData!F74*$J$4+$M$4*$J$5+[6]FormattedData!F74^2*$J$6+$M$5*$J$7</f>
        <v>42.256308703191607</v>
      </c>
      <c r="N32" s="6">
        <f>$J$3+[6]FormattedData!G74*$J$4+$M$4*$J$5+[6]FormattedData!G74^2*$J$6+$M$5*$J$7</f>
        <v>47.599235474571429</v>
      </c>
      <c r="O32" s="6">
        <f>$J$3+[6]FormattedData!H74*$J$4+$M$4*$J$5+[6]FormattedData!H74^2*$J$6+$M$5*$J$7</f>
        <v>41.520516088059303</v>
      </c>
      <c r="P32" s="6">
        <f>$J$3+[6]FormattedData!I74*$J$4+$M$4*$J$5+[6]FormattedData!I74^2*$J$6+$M$5*$J$7</f>
        <v>50.25954940255869</v>
      </c>
      <c r="Q32" s="6">
        <f>$J$3+[6]FormattedData!J74*$J$4+$M$4*$J$5+[6]FormattedData!J74^2*$J$6+$M$5*$J$7</f>
        <v>36.483158403419544</v>
      </c>
      <c r="R32" s="6">
        <f>$J$3+[6]FormattedData!K74*$J$4+$M$4*$J$5+[6]FormattedData!K74^2*$J$6+$M$5*$J$7</f>
        <v>53.401711093081204</v>
      </c>
      <c r="S32" s="6">
        <f>$J$3+[6]FormattedData!L74*$J$4+$M$4*$J$5+[6]FormattedData!L74^2*$J$6+$M$5*$J$7</f>
        <v>35.062018411529138</v>
      </c>
      <c r="T32" s="6">
        <f>$J$3+[6]FormattedData!M74*$J$4+$M$4*$J$5+[6]FormattedData!M74^2*$J$6+$M$5*$J$7</f>
        <v>53.228583685008502</v>
      </c>
      <c r="U32" s="6">
        <f>$J$3+[6]FormattedData!N74*$J$4+$M$4*$J$5+[6]FormattedData!N74^2*$J$6+$M$5*$J$7</f>
        <v>36.01050178623769</v>
      </c>
      <c r="V32" s="6">
        <f>$J$3+[6]FormattedData!O74*$J$4+$M$4*$J$5+[6]FormattedData!O74^2*$J$6+$M$5*$J$7</f>
        <v>51.400538048334745</v>
      </c>
      <c r="W32" s="5">
        <f t="shared" si="0"/>
        <v>45.83521007467121</v>
      </c>
      <c r="X32" s="4">
        <f t="shared" si="1"/>
        <v>2.0582963673811236</v>
      </c>
      <c r="Y32" s="3">
        <f t="shared" si="2"/>
        <v>35.062018411529138</v>
      </c>
      <c r="Z32" s="2">
        <f t="shared" si="3"/>
        <v>40.26117666689936</v>
      </c>
      <c r="AA32" s="3">
        <f t="shared" si="4"/>
        <v>48.92939243856506</v>
      </c>
      <c r="AB32" s="2">
        <f t="shared" si="5"/>
        <v>51.487947123129722</v>
      </c>
      <c r="AC32" s="2">
        <f t="shared" si="6"/>
        <v>53.401711093081204</v>
      </c>
      <c r="AD32" s="2">
        <f t="shared" si="7"/>
        <v>-0.50926895432150043</v>
      </c>
      <c r="AE32" s="2">
        <f t="shared" si="8"/>
        <v>-1.5623984156462374</v>
      </c>
    </row>
    <row r="33" spans="2:31" x14ac:dyDescent="0.2">
      <c r="B33" s="1">
        <f>[6]FormattedData!A76</f>
        <v>308</v>
      </c>
      <c r="C33" s="1" t="str">
        <f>VLOOKUP($B33,[6]TrtCodes!$B$11:I119,2)</f>
        <v>FDH</v>
      </c>
      <c r="D33" s="1">
        <f>VLOOKUP($B33,[6]TrtCodes!$B$11:J119,3)</f>
        <v>5</v>
      </c>
      <c r="E33" s="1">
        <f>VLOOKUP($B33,[6]TrtCodes!$B$11:K119,4)</f>
        <v>1</v>
      </c>
      <c r="F33" s="1">
        <f>VLOOKUP($B33,[6]TrtCodes!$B$11:L119,5)</f>
        <v>3</v>
      </c>
      <c r="G33" s="1">
        <f>VLOOKUP($B33,[6]TrtCodes!$B$11:M119,6)</f>
        <v>2</v>
      </c>
      <c r="H33" s="1">
        <f>VLOOKUP($B33,[6]TrtCodes!$B$11:N119,7)</f>
        <v>4</v>
      </c>
      <c r="I33" s="1">
        <f>[6]FormattedData!B76</f>
        <v>1</v>
      </c>
      <c r="J33" s="4">
        <f>[6]FormattedData!C76</f>
        <v>13.599</v>
      </c>
      <c r="K33" s="6">
        <f>$J$3+[6]FormattedData!D76*$J$4+$M$4*$J$5+[6]FormattedData!D76^2*$J$6+$M$5*$J$7</f>
        <v>32.383778100165834</v>
      </c>
      <c r="L33" s="6">
        <f>$J$3+[6]FormattedData!E76*$J$4+$M$4*$J$5+[6]FormattedData!E76^2*$J$6+$M$5*$J$7</f>
        <v>33.91825891487197</v>
      </c>
      <c r="M33" s="6">
        <f>$J$3+[6]FormattedData!F76*$J$4+$M$4*$J$5+[6]FormattedData!F76^2*$J$6+$M$5*$J$7</f>
        <v>30.450460408127945</v>
      </c>
      <c r="N33" s="6">
        <f>$J$3+[6]FormattedData!G76*$J$4+$M$4*$J$5+[6]FormattedData!G76^2*$J$6+$M$5*$J$7</f>
        <v>33.91825891487197</v>
      </c>
      <c r="O33" s="6">
        <f>$J$3+[6]FormattedData!H76*$J$4+$M$4*$J$5+[6]FormattedData!H76^2*$J$6+$M$5*$J$7</f>
        <v>31.515877431376374</v>
      </c>
      <c r="P33" s="6">
        <f>$J$3+[6]FormattedData!I76*$J$4+$M$4*$J$5+[6]FormattedData!I76^2*$J$6+$M$5*$J$7</f>
        <v>34.681441542583642</v>
      </c>
      <c r="Q33" s="6">
        <f>$J$3+[6]FormattedData!J76*$J$4+$M$4*$J$5+[6]FormattedData!J76^2*$J$6+$M$5*$J$7</f>
        <v>30.547527843840182</v>
      </c>
      <c r="R33" s="6">
        <f>$J$3+[6]FormattedData!K76*$J$4+$M$4*$J$5+[6]FormattedData!K76^2*$J$6+$M$5*$J$7</f>
        <v>33.631367998604226</v>
      </c>
      <c r="S33" s="6">
        <f>$J$3+[6]FormattedData!L76*$J$4+$M$4*$J$5+[6]FormattedData!L76^2*$J$6+$M$5*$J$7</f>
        <v>31.709040126428434</v>
      </c>
      <c r="T33" s="6">
        <f>$J$3+[6]FormattedData!M76*$J$4+$M$4*$J$5+[6]FormattedData!M76^2*$J$6+$M$5*$J$7</f>
        <v>33.822670877987321</v>
      </c>
      <c r="U33" s="6">
        <f>$J$3+[6]FormattedData!N76*$J$4+$M$4*$J$5+[6]FormattedData!N76^2*$J$6+$M$5*$J$7</f>
        <v>30.256198731089668</v>
      </c>
      <c r="V33" s="6">
        <f>$J$3+[6]FormattedData!O76*$J$4+$M$4*$J$5+[6]FormattedData!O76^2*$J$6+$M$5*$J$7</f>
        <v>33.631367998604226</v>
      </c>
      <c r="W33" s="5">
        <f t="shared" si="0"/>
        <v>32.538854074045986</v>
      </c>
      <c r="X33" s="4">
        <f t="shared" si="1"/>
        <v>0.45832336124723128</v>
      </c>
      <c r="Y33" s="3">
        <f t="shared" si="2"/>
        <v>30.256198731089668</v>
      </c>
      <c r="Z33" s="2">
        <f t="shared" si="3"/>
        <v>31.273790034492325</v>
      </c>
      <c r="AA33" s="3">
        <f t="shared" si="4"/>
        <v>33.00757304938503</v>
      </c>
      <c r="AB33" s="2">
        <f t="shared" si="5"/>
        <v>33.846567887208479</v>
      </c>
      <c r="AC33" s="2">
        <f t="shared" si="6"/>
        <v>34.681441542583642</v>
      </c>
      <c r="AD33" s="2">
        <f t="shared" si="7"/>
        <v>-0.29261531073267599</v>
      </c>
      <c r="AE33" s="2">
        <f t="shared" si="8"/>
        <v>-1.6192130604223758</v>
      </c>
    </row>
    <row r="34" spans="2:31" x14ac:dyDescent="0.2">
      <c r="B34" s="1">
        <f>[6]FormattedData!A92</f>
        <v>401</v>
      </c>
      <c r="C34" s="1" t="str">
        <f>VLOOKUP($B34,[6]TrtCodes!$B$11:I129,2)</f>
        <v>NSH</v>
      </c>
      <c r="D34" s="1">
        <f>VLOOKUP($B34,[6]TrtCodes!$B$11:J129,3)</f>
        <v>7</v>
      </c>
      <c r="E34" s="1">
        <f>VLOOKUP($B34,[6]TrtCodes!$B$11:K129,4)</f>
        <v>2</v>
      </c>
      <c r="F34" s="1">
        <f>VLOOKUP($B34,[6]TrtCodes!$B$11:L129,5)</f>
        <v>1</v>
      </c>
      <c r="G34" s="1">
        <f>VLOOKUP($B34,[6]TrtCodes!$B$11:M129,6)</f>
        <v>2</v>
      </c>
      <c r="H34" s="1">
        <f>VLOOKUP($B34,[6]TrtCodes!$B$11:N129,7)</f>
        <v>3</v>
      </c>
      <c r="I34" s="1">
        <f>[6]FormattedData!B92</f>
        <v>1</v>
      </c>
      <c r="J34" s="4">
        <f>[6]FormattedData!C92</f>
        <v>13.744</v>
      </c>
      <c r="K34" s="6">
        <f>$J$3+[6]FormattedData!D92*$J$4+$M$4*$J$5+[6]FormattedData!D92^2*$J$6+$M$5*$J$7</f>
        <v>52.186268679386075</v>
      </c>
      <c r="L34" s="6">
        <f>$J$3+[6]FormattedData!E92*$J$4+$M$4*$J$5+[6]FormattedData!E92^2*$J$6+$M$5*$J$7</f>
        <v>45.533898789245498</v>
      </c>
      <c r="M34" s="6">
        <f>$J$3+[6]FormattedData!F92*$J$4+$M$4*$J$5+[6]FormattedData!F92^2*$J$6+$M$5*$J$7</f>
        <v>47.777773255499319</v>
      </c>
      <c r="N34" s="6">
        <f>$J$3+[6]FormattedData!G92*$J$4+$M$4*$J$5+[6]FormattedData!G92^2*$J$6+$M$5*$J$7</f>
        <v>52.621306297809213</v>
      </c>
      <c r="O34" s="6">
        <f>$J$3+[6]FormattedData!H92*$J$4+$M$4*$J$5+[6]FormattedData!H92^2*$J$6+$M$5*$J$7</f>
        <v>44.628952008606021</v>
      </c>
      <c r="P34" s="6">
        <f>$J$3+[6]FormattedData!I92*$J$4+$M$4*$J$5+[6]FormattedData!I92^2*$J$6+$M$5*$J$7</f>
        <v>50.962541632256425</v>
      </c>
      <c r="Q34" s="6">
        <f>$J$3+[6]FormattedData!J92*$J$4+$M$4*$J$5+[6]FormattedData!J92^2*$J$6+$M$5*$J$7</f>
        <v>41.05927197611885</v>
      </c>
      <c r="R34" s="6">
        <f>$J$3+[6]FormattedData!K92*$J$4+$M$4*$J$5+[6]FormattedData!K92^2*$J$6+$M$5*$J$7</f>
        <v>51.400538048334745</v>
      </c>
      <c r="S34" s="6">
        <f>$J$3+[6]FormattedData!L92*$J$4+$M$4*$J$5+[6]FormattedData!L92^2*$J$6+$M$5*$J$7</f>
        <v>49.81880553151484</v>
      </c>
      <c r="T34" s="6">
        <f>$J$3+[6]FormattedData!M92*$J$4+$M$4*$J$5+[6]FormattedData!M92^2*$J$6+$M$5*$J$7</f>
        <v>49.553851986433358</v>
      </c>
      <c r="U34" s="6">
        <f>$J$3+[6]FormattedData!N92*$J$4+$M$4*$J$5+[6]FormattedData!N92^2*$J$6+$M$5*$J$7</f>
        <v>42.348092571662455</v>
      </c>
      <c r="V34" s="6">
        <f>$J$3+[6]FormattedData!O92*$J$4+$M$4*$J$5+[6]FormattedData!O92^2*$J$6+$M$5*$J$7</f>
        <v>42.623190565847409</v>
      </c>
      <c r="W34" s="5">
        <f t="shared" si="0"/>
        <v>47.542874278559516</v>
      </c>
      <c r="X34" s="4">
        <f t="shared" si="1"/>
        <v>1.1964575838354852</v>
      </c>
      <c r="Y34" s="3">
        <f t="shared" si="2"/>
        <v>41.05927197611885</v>
      </c>
      <c r="Z34" s="2">
        <f t="shared" si="3"/>
        <v>44.127511647916364</v>
      </c>
      <c r="AA34" s="3">
        <f t="shared" si="4"/>
        <v>48.665812620966335</v>
      </c>
      <c r="AB34" s="2">
        <f t="shared" si="5"/>
        <v>51.072040736276008</v>
      </c>
      <c r="AC34" s="2">
        <f t="shared" si="6"/>
        <v>52.621306297809213</v>
      </c>
      <c r="AD34" s="2">
        <f t="shared" si="7"/>
        <v>-0.33132262360836856</v>
      </c>
      <c r="AE34" s="2">
        <f t="shared" si="8"/>
        <v>-1.5230386630129358</v>
      </c>
    </row>
    <row r="35" spans="2:31" x14ac:dyDescent="0.2">
      <c r="B35" s="1">
        <f>[6]FormattedData!A90</f>
        <v>402</v>
      </c>
      <c r="C35" s="1" t="str">
        <f>VLOOKUP($B35,[6]TrtCodes!$B$11:I130,2)</f>
        <v>NTH</v>
      </c>
      <c r="D35" s="1">
        <f>VLOOKUP($B35,[6]TrtCodes!$B$11:J130,3)</f>
        <v>9</v>
      </c>
      <c r="E35" s="1">
        <f>VLOOKUP($B35,[6]TrtCodes!$B$11:K130,4)</f>
        <v>2</v>
      </c>
      <c r="F35" s="1">
        <f>VLOOKUP($B35,[6]TrtCodes!$B$11:L130,5)</f>
        <v>2</v>
      </c>
      <c r="G35" s="1">
        <f>VLOOKUP($B35,[6]TrtCodes!$B$11:M130,6)</f>
        <v>2</v>
      </c>
      <c r="H35" s="1">
        <f>VLOOKUP($B35,[6]TrtCodes!$B$11:N130,7)</f>
        <v>3</v>
      </c>
      <c r="I35" s="1">
        <f>[6]FormattedData!B90</f>
        <v>1</v>
      </c>
      <c r="J35" s="4">
        <f>[6]FormattedData!C90</f>
        <v>13.726000000000001</v>
      </c>
      <c r="K35" s="6">
        <f>$J$3+[6]FormattedData!D90*$J$4+$M$4*$J$5+[6]FormattedData!D90^2*$J$6+$M$5*$J$7</f>
        <v>55.46605220611913</v>
      </c>
      <c r="L35" s="6">
        <f>$J$3+[6]FormattedData!E90*$J$4+$M$4*$J$5+[6]FormattedData!E90^2*$J$6+$M$5*$J$7</f>
        <v>48.045262912856671</v>
      </c>
      <c r="M35" s="6">
        <f>$J$3+[6]FormattedData!F90*$J$4+$M$4*$J$5+[6]FormattedData!F90^2*$J$6+$M$5*$J$7</f>
        <v>34.681441542583642</v>
      </c>
      <c r="N35" s="6">
        <f>$J$3+[6]FormattedData!G90*$J$4+$M$4*$J$5+[6]FormattedData!G90^2*$J$6+$M$5*$J$7</f>
        <v>47.331111789145112</v>
      </c>
      <c r="O35" s="6">
        <f>$J$3+[6]FormattedData!H90*$J$4+$M$4*$J$5+[6]FormattedData!H90^2*$J$6+$M$5*$J$7</f>
        <v>37.519283329881695</v>
      </c>
      <c r="P35" s="6">
        <f>$J$3+[6]FormattedData!I90*$J$4+$M$4*$J$5+[6]FormattedData!I90^2*$J$6+$M$5*$J$7</f>
        <v>52.360410532369116</v>
      </c>
      <c r="Q35" s="6">
        <f>$J$3+[6]FormattedData!J90*$J$4+$M$4*$J$5+[6]FormattedData!J90^2*$J$6+$M$5*$J$7</f>
        <v>36.860522863482274</v>
      </c>
      <c r="R35" s="6">
        <f>$J$3+[6]FormattedData!K90*$J$4+$M$4*$J$5+[6]FormattedData!K90^2*$J$6+$M$5*$J$7</f>
        <v>53.488211394310667</v>
      </c>
      <c r="S35" s="6">
        <f>$J$3+[6]FormattedData!L90*$J$4+$M$4*$J$5+[6]FormattedData!L90^2*$J$6+$M$5*$J$7</f>
        <v>34.776649162626917</v>
      </c>
      <c r="T35" s="6">
        <f>$J$3+[6]FormattedData!M90*$J$4+$M$4*$J$5+[6]FormattedData!M90^2*$J$6+$M$5*$J$7</f>
        <v>52.273360740146558</v>
      </c>
      <c r="U35" s="6">
        <f>$J$3+[6]FormattedData!N90*$J$4+$M$4*$J$5+[6]FormattedData!N90^2*$J$6+$M$5*$J$7</f>
        <v>39.390043585781491</v>
      </c>
      <c r="V35" s="6">
        <f>$J$3+[6]FormattedData!O90*$J$4+$M$4*$J$5+[6]FormattedData!O90^2*$J$6+$M$5*$J$7</f>
        <v>40.226369656736388</v>
      </c>
      <c r="W35" s="5">
        <f t="shared" si="0"/>
        <v>44.368226643003304</v>
      </c>
      <c r="X35" s="4">
        <f t="shared" si="1"/>
        <v>2.2797600504465501</v>
      </c>
      <c r="Y35" s="3">
        <f t="shared" si="2"/>
        <v>34.681441542583642</v>
      </c>
      <c r="Z35" s="2">
        <f t="shared" si="3"/>
        <v>37.354593213281838</v>
      </c>
      <c r="AA35" s="3">
        <f t="shared" si="4"/>
        <v>43.778740722940753</v>
      </c>
      <c r="AB35" s="2">
        <f t="shared" si="5"/>
        <v>52.295123188202197</v>
      </c>
      <c r="AC35" s="2">
        <f t="shared" si="6"/>
        <v>55.46605220611913</v>
      </c>
      <c r="AD35" s="2">
        <f t="shared" si="7"/>
        <v>0.10528927700915491</v>
      </c>
      <c r="AE35" s="2">
        <f t="shared" si="8"/>
        <v>-1.8503641949425407</v>
      </c>
    </row>
    <row r="36" spans="2:31" x14ac:dyDescent="0.2">
      <c r="B36" s="1">
        <f>[6]FormattedData!A88</f>
        <v>403</v>
      </c>
      <c r="C36" s="1" t="str">
        <f>VLOOKUP($B36,[6]TrtCodes!$B$11:I131,2)</f>
        <v>FDL</v>
      </c>
      <c r="D36" s="1">
        <f>VLOOKUP($B36,[6]TrtCodes!$B$11:J131,3)</f>
        <v>6</v>
      </c>
      <c r="E36" s="1">
        <f>VLOOKUP($B36,[6]TrtCodes!$B$11:K131,4)</f>
        <v>1</v>
      </c>
      <c r="F36" s="1">
        <f>VLOOKUP($B36,[6]TrtCodes!$B$11:L131,5)</f>
        <v>3</v>
      </c>
      <c r="G36" s="1">
        <f>VLOOKUP($B36,[6]TrtCodes!$B$11:M131,6)</f>
        <v>1</v>
      </c>
      <c r="H36" s="1">
        <f>VLOOKUP($B36,[6]TrtCodes!$B$11:N131,7)</f>
        <v>3</v>
      </c>
      <c r="I36" s="1">
        <f>[6]FormattedData!B88</f>
        <v>1</v>
      </c>
      <c r="J36" s="4">
        <f>[6]FormattedData!C88</f>
        <v>13.71</v>
      </c>
      <c r="K36" s="6">
        <f>$J$3+[6]FormattedData!D88*$J$4+$M$4*$J$5+[6]FormattedData!D88^2*$J$6+$M$5*$J$7</f>
        <v>36.01050178623769</v>
      </c>
      <c r="L36" s="6">
        <f>$J$3+[6]FormattedData!E88*$J$4+$M$4*$J$5+[6]FormattedData!E88^2*$J$6+$M$5*$J$7</f>
        <v>30.935374901309832</v>
      </c>
      <c r="M36" s="6">
        <f>$J$3+[6]FormattedData!F88*$J$4+$M$4*$J$5+[6]FormattedData!F88^2*$J$6+$M$5*$J$7</f>
        <v>31.998467154972051</v>
      </c>
      <c r="N36" s="6">
        <f>$J$3+[6]FormattedData!G88*$J$4+$M$4*$J$5+[6]FormattedData!G88^2*$J$6+$M$5*$J$7</f>
        <v>31.709040126428434</v>
      </c>
      <c r="O36" s="6">
        <f>$J$3+[6]FormattedData!H88*$J$4+$M$4*$J$5+[6]FormattedData!H88^2*$J$6+$M$5*$J$7</f>
        <v>32.480000165119449</v>
      </c>
      <c r="P36" s="6">
        <f>$J$3+[6]FormattedData!I88*$J$4+$M$4*$J$5+[6]FormattedData!I88^2*$J$6+$M$5*$J$7</f>
        <v>31.998467154972051</v>
      </c>
      <c r="Q36" s="6">
        <f>$J$3+[6]FormattedData!J88*$J$4+$M$4*$J$5+[6]FormattedData!J88^2*$J$6+$M$5*$J$7</f>
        <v>33.344096665495101</v>
      </c>
      <c r="R36" s="6">
        <f>$J$3+[6]FormattedData!K88*$J$4+$M$4*$J$5+[6]FormattedData!K88^2*$J$6+$M$5*$J$7</f>
        <v>33.24825501738286</v>
      </c>
      <c r="S36" s="6">
        <f>$J$3+[6]FormattedData!L88*$J$4+$M$4*$J$5+[6]FormattedData!L88^2*$J$6+$M$5*$J$7</f>
        <v>34.01380468321868</v>
      </c>
      <c r="T36" s="6">
        <f>$J$3+[6]FormattedData!M88*$J$4+$M$4*$J$5+[6]FormattedData!M88^2*$J$6+$M$5*$J$7</f>
        <v>32.576179961535132</v>
      </c>
      <c r="U36" s="6">
        <f>$J$3+[6]FormattedData!N88*$J$4+$M$4*$J$5+[6]FormattedData!N88^2*$J$6+$M$5*$J$7</f>
        <v>31.709040126428434</v>
      </c>
      <c r="V36" s="6">
        <f>$J$3+[6]FormattedData!O88*$J$4+$M$4*$J$5+[6]FormattedData!O88^2*$J$6+$M$5*$J$7</f>
        <v>31.515877431376374</v>
      </c>
      <c r="W36" s="5">
        <f t="shared" si="0"/>
        <v>32.628258764539673</v>
      </c>
      <c r="X36" s="4">
        <f t="shared" si="1"/>
        <v>0.39759948417385016</v>
      </c>
      <c r="Y36" s="3">
        <f t="shared" si="2"/>
        <v>30.935374901309832</v>
      </c>
      <c r="Z36" s="2">
        <f t="shared" si="3"/>
        <v>31.709040126428434</v>
      </c>
      <c r="AA36" s="3">
        <f t="shared" si="4"/>
        <v>32.239233660045748</v>
      </c>
      <c r="AB36" s="2">
        <f t="shared" si="5"/>
        <v>33.27221542941092</v>
      </c>
      <c r="AC36" s="2">
        <f t="shared" si="6"/>
        <v>36.01050178623769</v>
      </c>
      <c r="AD36" s="2">
        <f t="shared" si="7"/>
        <v>1.4058795933544257</v>
      </c>
      <c r="AE36" s="2">
        <f t="shared" si="8"/>
        <v>2.3791087868526279</v>
      </c>
    </row>
    <row r="37" spans="2:31" x14ac:dyDescent="0.2">
      <c r="B37" s="1">
        <f>[6]FormattedData!A86</f>
        <v>404</v>
      </c>
      <c r="C37" s="1" t="str">
        <f>VLOOKUP($B37,[6]TrtCodes!$B$11:I129,2)</f>
        <v>FTH</v>
      </c>
      <c r="D37" s="1">
        <f>VLOOKUP($B37,[6]TrtCodes!$B$11:J129,3)</f>
        <v>3</v>
      </c>
      <c r="E37" s="1">
        <f>VLOOKUP($B37,[6]TrtCodes!$B$11:K129,4)</f>
        <v>1</v>
      </c>
      <c r="F37" s="1">
        <f>VLOOKUP($B37,[6]TrtCodes!$B$11:L129,5)</f>
        <v>2</v>
      </c>
      <c r="G37" s="1">
        <f>VLOOKUP($B37,[6]TrtCodes!$B$11:M129,6)</f>
        <v>2</v>
      </c>
      <c r="H37" s="1">
        <f>VLOOKUP($B37,[6]TrtCodes!$B$11:N129,7)</f>
        <v>3</v>
      </c>
      <c r="I37" s="1">
        <f>[6]FormattedData!B86</f>
        <v>1</v>
      </c>
      <c r="J37" s="4">
        <f>[6]FormattedData!C86</f>
        <v>13.694000000000001</v>
      </c>
      <c r="K37" s="6">
        <f>$J$3+[6]FormattedData!D86*$J$4+$M$4*$J$5+[6]FormattedData!D86^2*$J$6+$M$5*$J$7</f>
        <v>36.766245151273495</v>
      </c>
      <c r="L37" s="6">
        <f>$J$3+[6]FormattedData!E86*$J$4+$M$4*$J$5+[6]FormattedData!E86^2*$J$6+$M$5*$J$7</f>
        <v>32.09485829407739</v>
      </c>
      <c r="M37" s="6">
        <f>$J$3+[6]FormattedData!F86*$J$4+$M$4*$J$5+[6]FormattedData!F86^2*$J$6+$M$5*$J$7</f>
        <v>32.768412748752709</v>
      </c>
      <c r="N37" s="6">
        <f>$J$3+[6]FormattedData!G86*$J$4+$M$4*$J$5+[6]FormattedData!G86^2*$J$6+$M$5*$J$7</f>
        <v>35.062018411529138</v>
      </c>
      <c r="O37" s="6">
        <f>$J$3+[6]FormattedData!H86*$J$4+$M$4*$J$5+[6]FormattedData!H86^2*$J$6+$M$5*$J$7</f>
        <v>30.644553011014494</v>
      </c>
      <c r="P37" s="6">
        <f>$J$3+[6]FormattedData!I86*$J$4+$M$4*$J$5+[6]FormattedData!I86^2*$J$6+$M$5*$J$7</f>
        <v>35.631615658809444</v>
      </c>
      <c r="Q37" s="6">
        <f>$J$3+[6]FormattedData!J86*$J$4+$M$4*$J$5+[6]FormattedData!J86^2*$J$6+$M$5*$J$7</f>
        <v>32.480000165119449</v>
      </c>
      <c r="R37" s="6">
        <f>$J$3+[6]FormattedData!K86*$J$4+$M$4*$J$5+[6]FormattedData!K86^2*$J$6+$M$5*$J$7</f>
        <v>34.109308183027473</v>
      </c>
      <c r="S37" s="6">
        <f>$J$3+[6]FormattedData!L86*$J$4+$M$4*$J$5+[6]FormattedData!L86^2*$J$6+$M$5*$J$7</f>
        <v>29.672399255064505</v>
      </c>
      <c r="T37" s="6">
        <f>$J$3+[6]FormattedData!M86*$J$4+$M$4*$J$5+[6]FormattedData!M86^2*$J$6+$M$5*$J$7</f>
        <v>36.671925170526769</v>
      </c>
      <c r="U37" s="6">
        <f>$J$3+[6]FormattedData!N86*$J$4+$M$4*$J$5+[6]FormattedData!N86^2*$J$6+$M$5*$J$7</f>
        <v>30.159004489763639</v>
      </c>
      <c r="V37" s="6">
        <f>$J$3+[6]FormattedData!O86*$J$4+$M$4*$J$5+[6]FormattedData!O86^2*$J$6+$M$5*$J$7</f>
        <v>32.768412748752709</v>
      </c>
      <c r="W37" s="5">
        <f t="shared" si="0"/>
        <v>33.235729440642601</v>
      </c>
      <c r="X37" s="4">
        <f t="shared" si="1"/>
        <v>0.70333599824323767</v>
      </c>
      <c r="Y37" s="3">
        <f t="shared" si="2"/>
        <v>29.672399255064505</v>
      </c>
      <c r="Z37" s="2">
        <f t="shared" si="3"/>
        <v>31.732281973311665</v>
      </c>
      <c r="AA37" s="3">
        <f t="shared" si="4"/>
        <v>32.768412748752709</v>
      </c>
      <c r="AB37" s="2">
        <f t="shared" si="5"/>
        <v>35.204417723349216</v>
      </c>
      <c r="AC37" s="2">
        <f t="shared" si="6"/>
        <v>36.766245151273495</v>
      </c>
      <c r="AD37" s="2">
        <f t="shared" si="7"/>
        <v>8.4492248829306643E-2</v>
      </c>
      <c r="AE37" s="2">
        <f t="shared" si="8"/>
        <v>-1.1827590800760821</v>
      </c>
    </row>
    <row r="38" spans="2:31" x14ac:dyDescent="0.2">
      <c r="B38" s="1">
        <f>[6]FormattedData!A84</f>
        <v>405</v>
      </c>
      <c r="C38" s="1" t="str">
        <f>VLOOKUP($B38,[6]TrtCodes!$B$11:I127,2)</f>
        <v>FDL</v>
      </c>
      <c r="D38" s="1">
        <f>VLOOKUP($B38,[6]TrtCodes!$B$11:J127,3)</f>
        <v>6</v>
      </c>
      <c r="E38" s="1">
        <f>VLOOKUP($B38,[6]TrtCodes!$B$11:K127,4)</f>
        <v>1</v>
      </c>
      <c r="F38" s="1">
        <f>VLOOKUP($B38,[6]TrtCodes!$B$11:L127,5)</f>
        <v>3</v>
      </c>
      <c r="G38" s="1">
        <f>VLOOKUP($B38,[6]TrtCodes!$B$11:M127,6)</f>
        <v>1</v>
      </c>
      <c r="H38" s="1">
        <f>VLOOKUP($B38,[6]TrtCodes!$B$11:N127,7)</f>
        <v>4</v>
      </c>
      <c r="I38" s="1">
        <f>[6]FormattedData!B84</f>
        <v>1</v>
      </c>
      <c r="J38" s="4">
        <f>[6]FormattedData!C84</f>
        <v>13.677</v>
      </c>
      <c r="K38" s="6">
        <f>$J$3+[6]FormattedData!D84*$J$4+$M$4*$J$5+[6]FormattedData!D84^2*$J$6+$M$5*$J$7</f>
        <v>36.199691238724228</v>
      </c>
      <c r="L38" s="6">
        <f>$J$3+[6]FormattedData!E84*$J$4+$M$4*$J$5+[6]FormattedData!E84^2*$J$6+$M$5*$J$7</f>
        <v>32.672317489412883</v>
      </c>
      <c r="M38" s="6">
        <f>$J$3+[6]FormattedData!F84*$J$4+$M$4*$J$5+[6]FormattedData!F84^2*$J$6+$M$5*$J$7</f>
        <v>29.964489201497777</v>
      </c>
      <c r="N38" s="6">
        <f>$J$3+[6]FormattedData!G84*$J$4+$M$4*$J$5+[6]FormattedData!G84^2*$J$6+$M$5*$J$7</f>
        <v>33.439896045069403</v>
      </c>
      <c r="O38" s="6">
        <f>$J$3+[6]FormattedData!H84*$J$4+$M$4*$J$5+[6]FormattedData!H84^2*$J$6+$M$5*$J$7</f>
        <v>29.769804839080191</v>
      </c>
      <c r="P38" s="6">
        <f>$J$3+[6]FormattedData!I84*$J$4+$M$4*$J$5+[6]FormattedData!I84^2*$J$6+$M$5*$J$7</f>
        <v>35.252053234774301</v>
      </c>
      <c r="Q38" s="6">
        <f>$J$3+[6]FormattedData!J84*$J$4+$M$4*$J$5+[6]FormattedData!J84^2*$J$6+$M$5*$J$7</f>
        <v>29.672399255064505</v>
      </c>
      <c r="R38" s="6">
        <f>$J$3+[6]FormattedData!K84*$J$4+$M$4*$J$5+[6]FormattedData!K84^2*$J$6+$M$5*$J$7</f>
        <v>35.252053234774301</v>
      </c>
      <c r="S38" s="6">
        <f>$J$3+[6]FormattedData!L84*$J$4+$M$4*$J$5+[6]FormattedData!L84^2*$J$6+$M$5*$J$7</f>
        <v>30.547527843840182</v>
      </c>
      <c r="T38" s="6">
        <f>$J$3+[6]FormattedData!M84*$J$4+$M$4*$J$5+[6]FormattedData!M84^2*$J$6+$M$5*$J$7</f>
        <v>33.439896045069403</v>
      </c>
      <c r="U38" s="6">
        <f>$J$3+[6]FormattedData!N84*$J$4+$M$4*$J$5+[6]FormattedData!N84^2*$J$6+$M$5*$J$7</f>
        <v>30.06176797989967</v>
      </c>
      <c r="V38" s="6">
        <f>$J$3+[6]FormattedData!O84*$J$4+$M$4*$J$5+[6]FormattedData!O84^2*$J$6+$M$5*$J$7</f>
        <v>33.24825501738286</v>
      </c>
      <c r="W38" s="5">
        <f t="shared" si="0"/>
        <v>32.460012618715808</v>
      </c>
      <c r="X38" s="4">
        <f t="shared" si="1"/>
        <v>0.68979432008310204</v>
      </c>
      <c r="Y38" s="3">
        <f t="shared" si="2"/>
        <v>29.672399255064505</v>
      </c>
      <c r="Z38" s="2">
        <f t="shared" si="3"/>
        <v>30.037448285299199</v>
      </c>
      <c r="AA38" s="3">
        <f t="shared" si="4"/>
        <v>32.960286253397868</v>
      </c>
      <c r="AB38" s="2">
        <f t="shared" si="5"/>
        <v>33.892935342495626</v>
      </c>
      <c r="AC38" s="2">
        <f t="shared" si="6"/>
        <v>36.199691238724228</v>
      </c>
      <c r="AD38" s="2">
        <f t="shared" si="7"/>
        <v>0.16591331534318013</v>
      </c>
      <c r="AE38" s="2">
        <f t="shared" si="8"/>
        <v>-1.5327424071945255</v>
      </c>
    </row>
    <row r="39" spans="2:31" x14ac:dyDescent="0.2">
      <c r="B39" s="1">
        <f>[6]FormattedData!A82</f>
        <v>406</v>
      </c>
      <c r="C39" s="1" t="str">
        <f>VLOOKUP($B39,[6]TrtCodes!$B$11:I125,2)</f>
        <v>FTH</v>
      </c>
      <c r="D39" s="1">
        <f>VLOOKUP($B39,[6]TrtCodes!$B$11:J125,3)</f>
        <v>3</v>
      </c>
      <c r="E39" s="1">
        <f>VLOOKUP($B39,[6]TrtCodes!$B$11:K125,4)</f>
        <v>1</v>
      </c>
      <c r="F39" s="1">
        <f>VLOOKUP($B39,[6]TrtCodes!$B$11:L125,5)</f>
        <v>2</v>
      </c>
      <c r="G39" s="1">
        <f>VLOOKUP($B39,[6]TrtCodes!$B$11:M125,6)</f>
        <v>2</v>
      </c>
      <c r="H39" s="1">
        <f>VLOOKUP($B39,[6]TrtCodes!$B$11:N125,7)</f>
        <v>4</v>
      </c>
      <c r="I39" s="1">
        <f>[6]FormattedData!B82</f>
        <v>1</v>
      </c>
      <c r="J39" s="4">
        <f>[6]FormattedData!C82</f>
        <v>13.66</v>
      </c>
      <c r="K39" s="6">
        <f>$J$3+[6]FormattedData!D82*$J$4+$M$4*$J$5+[6]FormattedData!D82^2*$J$6+$M$5*$J$7</f>
        <v>36.294222562160598</v>
      </c>
      <c r="L39" s="6">
        <f>$J$3+[6]FormattedData!E82*$J$4+$M$4*$J$5+[6]FormattedData!E82^2*$J$6+$M$5*$J$7</f>
        <v>33.24825501738286</v>
      </c>
      <c r="M39" s="6">
        <f>$J$3+[6]FormattedData!F82*$J$4+$M$4*$J$5+[6]FormattedData!F82^2*$J$6+$M$5*$J$7</f>
        <v>31.805558071147573</v>
      </c>
      <c r="N39" s="6">
        <f>$J$3+[6]FormattedData!G82*$J$4+$M$4*$J$5+[6]FormattedData!G82^2*$J$6+$M$5*$J$7</f>
        <v>32.576179961535132</v>
      </c>
      <c r="O39" s="6">
        <f>$J$3+[6]FormattedData!H82*$J$4+$M$4*$J$5+[6]FormattedData!H82^2*$J$6+$M$5*$J$7</f>
        <v>31.61247991317137</v>
      </c>
      <c r="P39" s="6">
        <f>$J$3+[6]FormattedData!I82*$J$4+$M$4*$J$5+[6]FormattedData!I82^2*$J$6+$M$5*$J$7</f>
        <v>31.805558071147573</v>
      </c>
      <c r="Q39" s="6">
        <f>$J$3+[6]FormattedData!J82*$J$4+$M$4*$J$5+[6]FormattedData!J82^2*$J$6+$M$5*$J$7</f>
        <v>30.547527843840182</v>
      </c>
      <c r="R39" s="6">
        <f>$J$3+[6]FormattedData!K82*$J$4+$M$4*$J$5+[6]FormattedData!K82^2*$J$6+$M$5*$J$7</f>
        <v>32.768412748752709</v>
      </c>
      <c r="S39" s="6">
        <f>$J$3+[6]FormattedData!L82*$J$4+$M$4*$J$5+[6]FormattedData!L82^2*$J$6+$M$5*$J$7</f>
        <v>32.191207164644794</v>
      </c>
      <c r="T39" s="6">
        <f>$J$3+[6]FormattedData!M82*$J$4+$M$4*$J$5+[6]FormattedData!M82^2*$J$6+$M$5*$J$7</f>
        <v>30.256198731089668</v>
      </c>
      <c r="U39" s="6">
        <f>$J$3+[6]FormattedData!N82*$J$4+$M$4*$J$5+[6]FormattedData!N82^2*$J$6+$M$5*$J$7</f>
        <v>33.727040572564732</v>
      </c>
      <c r="V39" s="6">
        <f>$J$3+[6]FormattedData!O82*$J$4+$M$4*$J$5+[6]FormattedData!O82^2*$J$6+$M$5*$J$7</f>
        <v>30.256198731089668</v>
      </c>
      <c r="W39" s="5">
        <f t="shared" si="0"/>
        <v>32.25740328237724</v>
      </c>
      <c r="X39" s="4">
        <f t="shared" si="1"/>
        <v>0.488986503380684</v>
      </c>
      <c r="Y39" s="3">
        <f t="shared" si="2"/>
        <v>30.256198731089668</v>
      </c>
      <c r="Z39" s="2">
        <f t="shared" si="3"/>
        <v>31.346241895838574</v>
      </c>
      <c r="AA39" s="3">
        <f t="shared" si="4"/>
        <v>31.998382617896183</v>
      </c>
      <c r="AB39" s="2">
        <f t="shared" si="5"/>
        <v>32.888373315910243</v>
      </c>
      <c r="AC39" s="2">
        <f t="shared" si="6"/>
        <v>36.294222562160598</v>
      </c>
      <c r="AD39" s="2">
        <f t="shared" si="7"/>
        <v>1.0911884071187787</v>
      </c>
      <c r="AE39" s="2">
        <f t="shared" si="8"/>
        <v>1.9410949552428862</v>
      </c>
    </row>
    <row r="40" spans="2:31" x14ac:dyDescent="0.2">
      <c r="B40" s="1">
        <f>[6]FormattedData!A80</f>
        <v>407</v>
      </c>
      <c r="C40" s="1" t="str">
        <f>VLOOKUP($B40,[6]TrtCodes!$B$11:I123,2)</f>
        <v>NSH</v>
      </c>
      <c r="D40" s="1">
        <f>VLOOKUP($B40,[6]TrtCodes!$B$11:J123,3)</f>
        <v>7</v>
      </c>
      <c r="E40" s="1">
        <f>VLOOKUP($B40,[6]TrtCodes!$B$11:K123,4)</f>
        <v>2</v>
      </c>
      <c r="F40" s="1">
        <f>VLOOKUP($B40,[6]TrtCodes!$B$11:L123,5)</f>
        <v>1</v>
      </c>
      <c r="G40" s="1">
        <f>VLOOKUP($B40,[6]TrtCodes!$B$11:M123,6)</f>
        <v>2</v>
      </c>
      <c r="H40" s="1">
        <f>VLOOKUP($B40,[6]TrtCodes!$B$11:N123,7)</f>
        <v>4</v>
      </c>
      <c r="I40" s="1">
        <f>[6]FormattedData!B80</f>
        <v>1</v>
      </c>
      <c r="J40" s="4">
        <f>[6]FormattedData!C80</f>
        <v>13.638999999999999</v>
      </c>
      <c r="K40" s="6">
        <f>$J$3+[6]FormattedData!D80*$J$4+$M$4*$J$5+[6]FormattedData!D80^2*$J$6+$M$5*$J$7</f>
        <v>52.968575558864963</v>
      </c>
      <c r="L40" s="6">
        <f>$J$3+[6]FormattedData!E80*$J$4+$M$4*$J$5+[6]FormattedData!E80^2*$J$6+$M$5*$J$7</f>
        <v>50.523488502729819</v>
      </c>
      <c r="M40" s="6">
        <f>$J$3+[6]FormattedData!F80*$J$4+$M$4*$J$5+[6]FormattedData!F80^2*$J$6+$M$5*$J$7</f>
        <v>46.074837967808485</v>
      </c>
      <c r="N40" s="6">
        <f>$J$3+[6]FormattedData!G80*$J$4+$M$4*$J$5+[6]FormattedData!G80^2*$J$6+$M$5*$J$7</f>
        <v>49.111417373872271</v>
      </c>
      <c r="O40" s="6">
        <f>$J$3+[6]FormattedData!H80*$J$4+$M$4*$J$5+[6]FormattedData!H80^2*$J$6+$M$5*$J$7</f>
        <v>36.954758307153128</v>
      </c>
      <c r="P40" s="6">
        <f>$J$3+[6]FormattedData!I80*$J$4+$M$4*$J$5+[6]FormattedData!I80^2*$J$6+$M$5*$J$7</f>
        <v>51.488010525936623</v>
      </c>
      <c r="Q40" s="6">
        <f>$J$3+[6]FormattedData!J80*$J$4+$M$4*$J$5+[6]FormattedData!J80^2*$J$6+$M$5*$J$7</f>
        <v>39.855091866135744</v>
      </c>
      <c r="R40" s="6">
        <f>$J$3+[6]FormattedData!K80*$J$4+$M$4*$J$5+[6]FormattedData!K80^2*$J$6+$M$5*$J$7</f>
        <v>52.099134350087645</v>
      </c>
      <c r="S40" s="6">
        <f>$J$3+[6]FormattedData!L80*$J$4+$M$4*$J$5+[6]FormattedData!L80^2*$J$6+$M$5*$J$7</f>
        <v>34.966937597099658</v>
      </c>
      <c r="T40" s="6">
        <f>$J$3+[6]FormattedData!M80*$J$4+$M$4*$J$5+[6]FormattedData!M80^2*$J$6+$M$5*$J$7</f>
        <v>51.488010525936623</v>
      </c>
      <c r="U40" s="6">
        <f>$J$3+[6]FormattedData!N80*$J$4+$M$4*$J$5+[6]FormattedData!N80^2*$J$6+$M$5*$J$7</f>
        <v>38.643768373242267</v>
      </c>
      <c r="V40" s="6">
        <f>$J$3+[6]FormattedData!O80*$J$4+$M$4*$J$5+[6]FormattedData!O80^2*$J$6+$M$5*$J$7</f>
        <v>51.924738885877005</v>
      </c>
      <c r="W40" s="5">
        <f t="shared" si="0"/>
        <v>46.341564152895359</v>
      </c>
      <c r="X40" s="4">
        <f t="shared" si="1"/>
        <v>1.9564712208996959</v>
      </c>
      <c r="Y40" s="3">
        <f t="shared" si="2"/>
        <v>34.966937597099658</v>
      </c>
      <c r="Z40" s="2">
        <f t="shared" si="3"/>
        <v>39.552260992912373</v>
      </c>
      <c r="AA40" s="3">
        <f t="shared" si="4"/>
        <v>49.817452938301045</v>
      </c>
      <c r="AB40" s="2">
        <f t="shared" si="5"/>
        <v>51.59719261592172</v>
      </c>
      <c r="AC40" s="2">
        <f t="shared" si="6"/>
        <v>52.968575558864963</v>
      </c>
      <c r="AD40" s="2">
        <f t="shared" si="7"/>
        <v>-0.70256787555374722</v>
      </c>
      <c r="AE40" s="2">
        <f t="shared" si="8"/>
        <v>-1.378131293462451</v>
      </c>
    </row>
    <row r="41" spans="2:31" x14ac:dyDescent="0.2">
      <c r="B41" s="1">
        <f>[6]FormattedData!A78</f>
        <v>408</v>
      </c>
      <c r="C41" s="1" t="str">
        <f>VLOOKUP($B41,[6]TrtCodes!$B$11:I121,2)</f>
        <v>NTL</v>
      </c>
      <c r="D41" s="1">
        <f>VLOOKUP($B41,[6]TrtCodes!$B$11:J121,3)</f>
        <v>10</v>
      </c>
      <c r="E41" s="1">
        <f>VLOOKUP($B41,[6]TrtCodes!$B$11:K121,4)</f>
        <v>2</v>
      </c>
      <c r="F41" s="1">
        <f>VLOOKUP($B41,[6]TrtCodes!$B$11:L121,5)</f>
        <v>2</v>
      </c>
      <c r="G41" s="1">
        <f>VLOOKUP($B41,[6]TrtCodes!$B$11:M121,6)</f>
        <v>1</v>
      </c>
      <c r="H41" s="1">
        <f>VLOOKUP($B41,[6]TrtCodes!$B$11:N121,7)</f>
        <v>4</v>
      </c>
      <c r="I41" s="1">
        <f>[6]FormattedData!B78</f>
        <v>1</v>
      </c>
      <c r="J41" s="4">
        <f>[6]FormattedData!C78</f>
        <v>13.622</v>
      </c>
      <c r="K41" s="6">
        <f>$J$3+[6]FormattedData!D78*$J$4+$M$4*$J$5+[6]FormattedData!D78^2*$J$6+$M$5*$J$7</f>
        <v>54.952249428907926</v>
      </c>
      <c r="L41" s="6">
        <f>$J$3+[6]FormattedData!E78*$J$4+$M$4*$J$5+[6]FormattedData!E78^2*$J$6+$M$5*$J$7</f>
        <v>47.331111789145112</v>
      </c>
      <c r="M41" s="6">
        <f>$J$3+[6]FormattedData!F78*$J$4+$M$4*$J$5+[6]FormattedData!F78^2*$J$6+$M$5*$J$7</f>
        <v>47.331111789145112</v>
      </c>
      <c r="N41" s="6">
        <f>$J$3+[6]FormattedData!G78*$J$4+$M$4*$J$5+[6]FormattedData!G78^2*$J$6+$M$5*$J$7</f>
        <v>50.171485165425779</v>
      </c>
      <c r="O41" s="6">
        <f>$J$3+[6]FormattedData!H78*$J$4+$M$4*$J$5+[6]FormattedData!H78^2*$J$6+$M$5*$J$7</f>
        <v>47.956141962275481</v>
      </c>
      <c r="P41" s="6">
        <f>$J$3+[6]FormattedData!I78*$J$4+$M$4*$J$5+[6]FormattedData!I78^2*$J$6+$M$5*$J$7</f>
        <v>51.662828675526569</v>
      </c>
      <c r="Q41" s="6">
        <f>$J$3+[6]FormattedData!J78*$J$4+$M$4*$J$5+[6]FormattedData!J78^2*$J$6+$M$5*$J$7</f>
        <v>37.707120189154438</v>
      </c>
      <c r="R41" s="6">
        <f>$J$3+[6]FormattedData!K78*$J$4+$M$4*$J$5+[6]FormattedData!K78^2*$J$6+$M$5*$J$7</f>
        <v>53.315168523313822</v>
      </c>
      <c r="S41" s="6">
        <f>$J$3+[6]FormattedData!L78*$J$4+$M$4*$J$5+[6]FormattedData!L78^2*$J$6+$M$5*$J$7</f>
        <v>40.874478451577161</v>
      </c>
      <c r="T41" s="6">
        <f>$J$3+[6]FormattedData!M78*$J$4+$M$4*$J$5+[6]FormattedData!M78^2*$J$6+$M$5*$J$7</f>
        <v>48.312372153372635</v>
      </c>
      <c r="U41" s="6">
        <f>$J$3+[6]FormattedData!N78*$J$4+$M$4*$J$5+[6]FormattedData!N78^2*$J$6+$M$5*$J$7</f>
        <v>42.348092571662455</v>
      </c>
      <c r="V41" s="6">
        <f>$J$3+[6]FormattedData!O78*$J$4+$M$4*$J$5+[6]FormattedData!O78^2*$J$6+$M$5*$J$7</f>
        <v>43.172245303693181</v>
      </c>
      <c r="W41" s="5">
        <f t="shared" si="0"/>
        <v>47.094533833599975</v>
      </c>
      <c r="X41" s="4">
        <f t="shared" si="1"/>
        <v>1.502119841564395</v>
      </c>
      <c r="Y41" s="3">
        <f t="shared" si="2"/>
        <v>37.707120189154438</v>
      </c>
      <c r="Z41" s="2">
        <f t="shared" si="3"/>
        <v>42.966207120685496</v>
      </c>
      <c r="AA41" s="3">
        <f t="shared" si="4"/>
        <v>47.643626875710297</v>
      </c>
      <c r="AB41" s="2">
        <f t="shared" si="5"/>
        <v>50.544321042950976</v>
      </c>
      <c r="AC41" s="2">
        <f t="shared" si="6"/>
        <v>54.952249428907926</v>
      </c>
      <c r="AD41" s="2">
        <f t="shared" si="7"/>
        <v>-0.29605123836442881</v>
      </c>
      <c r="AE41" s="2">
        <f t="shared" si="8"/>
        <v>-0.62779899695357866</v>
      </c>
    </row>
    <row r="42" spans="2:31" x14ac:dyDescent="0.2">
      <c r="B42" s="17">
        <f>[6]FormattedData!A60</f>
        <v>901</v>
      </c>
      <c r="C42" s="17" t="str">
        <f>VLOOKUP($B42,[6]TrtCodes!$B$11:I103,2)</f>
        <v>WS</v>
      </c>
      <c r="D42" s="17">
        <f>VLOOKUP($B42,[6]TrtCodes!$B$11:J103,3)</f>
        <v>32</v>
      </c>
      <c r="E42" s="17">
        <f>VLOOKUP($B42,[6]TrtCodes!$B$11:K103,4)</f>
        <v>9</v>
      </c>
      <c r="F42" s="17">
        <f>VLOOKUP($B42,[6]TrtCodes!$B$11:L103,5)</f>
        <v>0</v>
      </c>
      <c r="G42" s="17">
        <f>VLOOKUP($B42,[6]TrtCodes!$B$11:M103,6)</f>
        <v>1</v>
      </c>
      <c r="H42" s="17">
        <f>VLOOKUP($B42,[6]TrtCodes!$B$11:N103,7)</f>
        <v>1</v>
      </c>
      <c r="I42" s="17">
        <f>[6]FormattedData!B60</f>
        <v>1</v>
      </c>
      <c r="J42" s="15">
        <f>[6]FormattedData!C60</f>
        <v>13.47</v>
      </c>
      <c r="K42" s="14">
        <f>$J$3+[6]FormattedData!D60*$J$4+$M$4*$J$5+[6]FormattedData!D60^2*$J$6+$M$5*$J$7</f>
        <v>31.419232681043443</v>
      </c>
      <c r="L42" s="14">
        <f>$J$3+[6]FormattedData!E60*$J$4+$M$4*$J$5+[6]FormattedData!E60^2*$J$6+$M$5*$J$7</f>
        <v>29.672399255064505</v>
      </c>
      <c r="M42" s="14">
        <f>$J$3+[6]FormattedData!F60*$J$4+$M$4*$J$5+[6]FormattedData!F60^2*$J$6+$M$5*$J$7</f>
        <v>30.838476539749319</v>
      </c>
      <c r="N42" s="14">
        <f>$J$3+[6]FormattedData!G60*$J$4+$M$4*$J$5+[6]FormattedData!G60^2*$J$6+$M$5*$J$7</f>
        <v>30.741535909650871</v>
      </c>
      <c r="O42" s="14">
        <f>$J$3+[6]FormattedData!H60*$J$4+$M$4*$J$5+[6]FormattedData!H60^2*$J$6+$M$5*$J$7</f>
        <v>30.06176797989967</v>
      </c>
      <c r="P42" s="14">
        <f>$J$3+[6]FormattedData!I60*$J$4+$M$4*$J$5+[6]FormattedData!I60^2*$J$6+$M$5*$J$7</f>
        <v>30.06176797989967</v>
      </c>
      <c r="Q42" s="14">
        <f>$J$3+[6]FormattedData!J60*$J$4+$M$4*$J$5+[6]FormattedData!J60^2*$J$6+$M$5*$J$7</f>
        <v>30.159004489763639</v>
      </c>
      <c r="R42" s="14">
        <f>$J$3+[6]FormattedData!K60*$J$4+$M$4*$J$5+[6]FormattedData!K60^2*$J$6+$M$5*$J$7</f>
        <v>29.672399255064505</v>
      </c>
      <c r="S42" s="14">
        <f>$J$3+[6]FormattedData!L60*$J$4+$M$4*$J$5+[6]FormattedData!L60^2*$J$6+$M$5*$J$7</f>
        <v>30.159004489763639</v>
      </c>
      <c r="T42" s="14">
        <f>$J$3+[6]FormattedData!M60*$J$4+$M$4*$J$5+[6]FormattedData!M60^2*$J$6+$M$5*$J$7</f>
        <v>29.964489201497777</v>
      </c>
      <c r="U42" s="14">
        <f>$J$3+[6]FormattedData!N60*$J$4+$M$4*$J$5+[6]FormattedData!N60^2*$J$6+$M$5*$J$7</f>
        <v>29.867168154557955</v>
      </c>
      <c r="V42" s="14">
        <f>$J$3+[6]FormattedData!O60*$J$4+$M$4*$J$5+[6]FormattedData!O60^2*$J$6+$M$5*$J$7</f>
        <v>31.032230994332412</v>
      </c>
      <c r="W42" s="16">
        <f t="shared" ref="W42:W73" si="9">AVERAGE(K42:V42)</f>
        <v>30.304123077523943</v>
      </c>
      <c r="X42" s="15">
        <f t="shared" ref="X42:X73" si="10">STDEV(K42:V42)/SQRT(COUNT(K42:V42))</f>
        <v>0.16317158937785214</v>
      </c>
      <c r="Y42" s="14">
        <f t="shared" ref="Y42:Y73" si="11">MIN(K42:V42)</f>
        <v>29.672399255064505</v>
      </c>
      <c r="Z42" s="13">
        <f t="shared" ref="Z42:Z73" si="12">QUARTILE(K42:V42,1)</f>
        <v>29.940158939762821</v>
      </c>
      <c r="AA42" s="14">
        <f t="shared" ref="AA42:AA73" si="13">MEDIAN(K42:V42)</f>
        <v>30.110386234831655</v>
      </c>
      <c r="AB42" s="13">
        <f t="shared" ref="AB42:AB73" si="14">QUARTILE(K42:V42,3)</f>
        <v>30.765771067175482</v>
      </c>
      <c r="AC42" s="13">
        <f t="shared" ref="AC42:AC73" si="15">MAX(K42:V42)</f>
        <v>31.419232681043443</v>
      </c>
      <c r="AD42" s="13">
        <f t="shared" ref="AD42:AD73" si="16">SKEW(K42:V42)</f>
        <v>0.81396038632134904</v>
      </c>
      <c r="AE42" s="13">
        <f t="shared" ref="AE42:AE73" si="17">KURT(K42:V42)</f>
        <v>-0.44979547657975827</v>
      </c>
    </row>
    <row r="43" spans="2:31" x14ac:dyDescent="0.2">
      <c r="B43" s="1">
        <f>[6]FormattedData!A58</f>
        <v>902</v>
      </c>
      <c r="C43" s="1" t="str">
        <f>VLOOKUP($B43,[6]TrtCodes!$B$11:I101,2)</f>
        <v>Late</v>
      </c>
      <c r="D43" s="1">
        <f>VLOOKUP($B43,[6]TrtCodes!$B$11:J101,3)</f>
        <v>22</v>
      </c>
      <c r="E43" s="1">
        <f>VLOOKUP($B43,[6]TrtCodes!$B$11:K101,4)</f>
        <v>4</v>
      </c>
      <c r="F43" s="1">
        <f>VLOOKUP($B43,[6]TrtCodes!$B$11:L101,5)</f>
        <v>2</v>
      </c>
      <c r="G43" s="1">
        <f>VLOOKUP($B43,[6]TrtCodes!$B$11:M101,6)</f>
        <v>2</v>
      </c>
      <c r="H43" s="1">
        <f>VLOOKUP($B43,[6]TrtCodes!$B$11:N101,7)</f>
        <v>1</v>
      </c>
      <c r="I43" s="1">
        <f>[6]FormattedData!B58</f>
        <v>1</v>
      </c>
      <c r="J43" s="4">
        <f>[6]FormattedData!C58</f>
        <v>13.454000000000001</v>
      </c>
      <c r="K43" s="6">
        <f>$J$3+[6]FormattedData!D58*$J$4+$M$4*$J$5+[6]FormattedData!D58^2*$J$6+$M$5*$J$7</f>
        <v>35.347007243589985</v>
      </c>
      <c r="L43" s="6">
        <f>$J$3+[6]FormattedData!E58*$J$4+$M$4*$J$5+[6]FormattedData!E58^2*$J$6+$M$5*$J$7</f>
        <v>34.01380468321868</v>
      </c>
      <c r="M43" s="6">
        <f>$J$3+[6]FormattedData!F58*$J$4+$M$4*$J$5+[6]FormattedData!F58^2*$J$6+$M$5*$J$7</f>
        <v>31.129044818817071</v>
      </c>
      <c r="N43" s="6">
        <f>$J$3+[6]FormattedData!G58*$J$4+$M$4*$J$5+[6]FormattedData!G58^2*$J$6+$M$5*$J$7</f>
        <v>35.062018411529138</v>
      </c>
      <c r="O43" s="6">
        <f>$J$3+[6]FormattedData!H58*$J$4+$M$4*$J$5+[6]FormattedData!H58^2*$J$6+$M$5*$J$7</f>
        <v>30.935374901309832</v>
      </c>
      <c r="P43" s="6">
        <f>$J$3+[6]FormattedData!I58*$J$4+$M$4*$J$5+[6]FormattedData!I58^2*$J$6+$M$5*$J$7</f>
        <v>35.631615658809444</v>
      </c>
      <c r="Q43" s="6">
        <f>$J$3+[6]FormattedData!J58*$J$4+$M$4*$J$5+[6]FormattedData!J58^2*$J$6+$M$5*$J$7</f>
        <v>30.741535909650871</v>
      </c>
      <c r="R43" s="6">
        <f>$J$3+[6]FormattedData!K58*$J$4+$M$4*$J$5+[6]FormattedData!K58^2*$J$6+$M$5*$J$7</f>
        <v>35.44191898386773</v>
      </c>
      <c r="S43" s="6">
        <f>$J$3+[6]FormattedData!L58*$J$4+$M$4*$J$5+[6]FormattedData!L58^2*$J$6+$M$5*$J$7</f>
        <v>30.741535909650871</v>
      </c>
      <c r="T43" s="6">
        <f>$J$3+[6]FormattedData!M58*$J$4+$M$4*$J$5+[6]FormattedData!M58^2*$J$6+$M$5*$J$7</f>
        <v>34.395565071226258</v>
      </c>
      <c r="U43" s="6">
        <f>$J$3+[6]FormattedData!N58*$J$4+$M$4*$J$5+[6]FormattedData!N58^2*$J$6+$M$5*$J$7</f>
        <v>31.032230994332412</v>
      </c>
      <c r="V43" s="6">
        <f>$J$3+[6]FormattedData!O58*$J$4+$M$4*$J$5+[6]FormattedData!O58^2*$J$6+$M$5*$J$7</f>
        <v>32.28751376667428</v>
      </c>
      <c r="W43" s="5">
        <f t="shared" si="9"/>
        <v>33.063263862723048</v>
      </c>
      <c r="X43" s="4">
        <f t="shared" si="10"/>
        <v>0.60252202218970397</v>
      </c>
      <c r="Y43" s="3">
        <f t="shared" si="11"/>
        <v>30.741535909650871</v>
      </c>
      <c r="Z43" s="2">
        <f t="shared" si="12"/>
        <v>31.008016971076767</v>
      </c>
      <c r="AA43" s="3">
        <f t="shared" si="13"/>
        <v>33.15065922494648</v>
      </c>
      <c r="AB43" s="2">
        <f t="shared" si="14"/>
        <v>35.133265619544346</v>
      </c>
      <c r="AC43" s="2">
        <f t="shared" si="15"/>
        <v>35.631615658809444</v>
      </c>
      <c r="AD43" s="2">
        <f t="shared" si="16"/>
        <v>3.3276418525616386E-2</v>
      </c>
      <c r="AE43" s="2">
        <f t="shared" si="17"/>
        <v>-2.1016826890325149</v>
      </c>
    </row>
    <row r="44" spans="2:31" x14ac:dyDescent="0.2">
      <c r="B44" s="17">
        <f>[6]FormattedData!A56</f>
        <v>903</v>
      </c>
      <c r="C44" s="17" t="str">
        <f>VLOOKUP($B44,[6]TrtCodes!$B$11:I99,2)</f>
        <v>DS</v>
      </c>
      <c r="D44" s="17">
        <f>VLOOKUP($B44,[6]TrtCodes!$B$11:J99,3)</f>
        <v>31</v>
      </c>
      <c r="E44" s="17">
        <f>VLOOKUP($B44,[6]TrtCodes!$B$11:K99,4)</f>
        <v>8</v>
      </c>
      <c r="F44" s="17">
        <f>VLOOKUP($B44,[6]TrtCodes!$B$11:L99,5)</f>
        <v>0</v>
      </c>
      <c r="G44" s="17">
        <f>VLOOKUP($B44,[6]TrtCodes!$B$11:M99,6)</f>
        <v>1</v>
      </c>
      <c r="H44" s="17">
        <f>VLOOKUP($B44,[6]TrtCodes!$B$11:N99,7)</f>
        <v>1</v>
      </c>
      <c r="I44" s="17">
        <f>[6]FormattedData!B56</f>
        <v>1</v>
      </c>
      <c r="J44" s="15">
        <f>[6]FormattedData!C56</f>
        <v>13.445</v>
      </c>
      <c r="K44" s="14">
        <f>$J$3+[6]FormattedData!D56*$J$4+$M$4*$J$5+[6]FormattedData!D56^2*$J$6+$M$5*$J$7</f>
        <v>54.780643688200755</v>
      </c>
      <c r="L44" s="14">
        <f>$J$3+[6]FormattedData!E56*$J$4+$M$4*$J$5+[6]FormattedData!E56^2*$J$6+$M$5*$J$7</f>
        <v>54.952249428907926</v>
      </c>
      <c r="M44" s="14">
        <f>$J$3+[6]FormattedData!F56*$J$4+$M$4*$J$5+[6]FormattedData!F56^2*$J$6+$M$5*$J$7</f>
        <v>54.952249428907926</v>
      </c>
      <c r="N44" s="14">
        <f>$J$3+[6]FormattedData!G56*$J$4+$M$4*$J$5+[6]FormattedData!G56^2*$J$6+$M$5*$J$7</f>
        <v>54.522918063105493</v>
      </c>
      <c r="O44" s="14">
        <f>$J$3+[6]FormattedData!H56*$J$4+$M$4*$J$5+[6]FormattedData!H56^2*$J$6+$M$5*$J$7</f>
        <v>54.350889637019002</v>
      </c>
      <c r="P44" s="14">
        <f>$J$3+[6]FormattedData!I56*$J$4+$M$4*$J$5+[6]FormattedData!I56^2*$J$6+$M$5*$J$7</f>
        <v>54.694777415040264</v>
      </c>
      <c r="Q44" s="14">
        <f>$J$3+[6]FormattedData!J56*$J$4+$M$4*$J$5+[6]FormattedData!J56^2*$J$6+$M$5*$J$7</f>
        <v>54.694777415040264</v>
      </c>
      <c r="R44" s="14">
        <f>$J$3+[6]FormattedData!K56*$J$4+$M$4*$J$5+[6]FormattedData!K56^2*$J$6+$M$5*$J$7</f>
        <v>54.608868873341841</v>
      </c>
      <c r="S44" s="14">
        <f>$J$3+[6]FormattedData!L56*$J$4+$M$4*$J$5+[6]FormattedData!L56^2*$J$6+$M$5*$J$7</f>
        <v>54.952249428907926</v>
      </c>
      <c r="T44" s="14">
        <f>$J$3+[6]FormattedData!M56*$J$4+$M$4*$J$5+[6]FormattedData!M56^2*$J$6+$M$5*$J$7</f>
        <v>54.780643688200755</v>
      </c>
      <c r="U44" s="14">
        <f>$J$3+[6]FormattedData!N56*$J$4+$M$4*$J$5+[6]FormattedData!N56^2*$J$6+$M$5*$J$7</f>
        <v>54.866467692823306</v>
      </c>
      <c r="V44" s="14">
        <f>$J$3+[6]FormattedData!O56*$J$4+$M$4*$J$5+[6]FormattedData!O56^2*$J$6+$M$5*$J$7</f>
        <v>54.694777415040264</v>
      </c>
      <c r="W44" s="16">
        <f t="shared" si="9"/>
        <v>54.737626014544645</v>
      </c>
      <c r="X44" s="15">
        <f t="shared" si="10"/>
        <v>5.3388356145701941E-2</v>
      </c>
      <c r="Y44" s="14">
        <f t="shared" si="11"/>
        <v>54.350889637019002</v>
      </c>
      <c r="Z44" s="13">
        <f t="shared" si="12"/>
        <v>54.67330027961566</v>
      </c>
      <c r="AA44" s="14">
        <f t="shared" si="13"/>
        <v>54.737710551620509</v>
      </c>
      <c r="AB44" s="13">
        <f t="shared" si="14"/>
        <v>54.88791312684446</v>
      </c>
      <c r="AC44" s="13">
        <f t="shared" si="15"/>
        <v>54.952249428907926</v>
      </c>
      <c r="AD44" s="13">
        <f t="shared" si="16"/>
        <v>-0.65798721154806294</v>
      </c>
      <c r="AE44" s="13">
        <f t="shared" si="17"/>
        <v>0.19971451080526492</v>
      </c>
    </row>
    <row r="45" spans="2:31" x14ac:dyDescent="0.2">
      <c r="B45" s="1">
        <f>[6]FormattedData!A54</f>
        <v>904</v>
      </c>
      <c r="C45" s="1" t="str">
        <f>VLOOKUP($B45,[6]TrtCodes!$B$11:I97,2)</f>
        <v>Early</v>
      </c>
      <c r="D45" s="1">
        <f>VLOOKUP($B45,[6]TrtCodes!$B$11:J97,3)</f>
        <v>21</v>
      </c>
      <c r="E45" s="1">
        <f>VLOOKUP($B45,[6]TrtCodes!$B$11:K97,4)</f>
        <v>3</v>
      </c>
      <c r="F45" s="1">
        <f>VLOOKUP($B45,[6]TrtCodes!$B$11:L97,5)</f>
        <v>2</v>
      </c>
      <c r="G45" s="1">
        <f>VLOOKUP($B45,[6]TrtCodes!$B$11:M97,6)</f>
        <v>2</v>
      </c>
      <c r="H45" s="1">
        <f>VLOOKUP($B45,[6]TrtCodes!$B$11:N97,7)</f>
        <v>1</v>
      </c>
      <c r="I45" s="1">
        <f>[6]FormattedData!B54</f>
        <v>1</v>
      </c>
      <c r="J45" s="4">
        <f>[6]FormattedData!C54</f>
        <v>13.42</v>
      </c>
      <c r="K45" s="6">
        <f>$J$3+[6]FormattedData!D54*$J$4+$M$4*$J$5+[6]FormattedData!D54^2*$J$6+$M$5*$J$7</f>
        <v>54.780643688200755</v>
      </c>
      <c r="L45" s="6">
        <f>$J$3+[6]FormattedData!E54*$J$4+$M$4*$J$5+[6]FormattedData!E54^2*$J$6+$M$5*$J$7</f>
        <v>47.152151322837916</v>
      </c>
      <c r="M45" s="6">
        <f>$J$3+[6]FormattedData!F54*$J$4+$M$4*$J$5+[6]FormattedData!F54^2*$J$6+$M$5*$J$7</f>
        <v>39.110507395113764</v>
      </c>
      <c r="N45" s="6">
        <f>$J$3+[6]FormattedData!G54*$J$4+$M$4*$J$5+[6]FormattedData!G54^2*$J$6+$M$5*$J$7</f>
        <v>52.534383311200443</v>
      </c>
      <c r="O45" s="6">
        <f>$J$3+[6]FormattedData!H54*$J$4+$M$4*$J$5+[6]FormattedData!H54^2*$J$6+$M$5*$J$7</f>
        <v>35.252053234774301</v>
      </c>
      <c r="P45" s="6">
        <f>$J$3+[6]FormattedData!I54*$J$4+$M$4*$J$5+[6]FormattedData!I54^2*$J$6+$M$5*$J$7</f>
        <v>53.661085191155777</v>
      </c>
      <c r="Q45" s="6">
        <f>$J$3+[6]FormattedData!J54*$J$4+$M$4*$J$5+[6]FormattedData!J54^2*$J$6+$M$5*$J$7</f>
        <v>44.447455430022956</v>
      </c>
      <c r="R45" s="6">
        <f>$J$3+[6]FormattedData!K54*$J$4+$M$4*$J$5+[6]FormattedData!K54^2*$J$6+$M$5*$J$7</f>
        <v>47.509903181300587</v>
      </c>
      <c r="S45" s="6">
        <f>$J$3+[6]FormattedData!L54*$J$4+$M$4*$J$5+[6]FormattedData!L54^2*$J$6+$M$5*$J$7</f>
        <v>43.446202047353992</v>
      </c>
      <c r="T45" s="6">
        <f>$J$3+[6]FormattedData!M54*$J$4+$M$4*$J$5+[6]FormattedData!M54^2*$J$6+$M$5*$J$7</f>
        <v>47.062607686877413</v>
      </c>
      <c r="U45" s="6">
        <f>$J$3+[6]FormattedData!N54*$J$4+$M$4*$J$5+[6]FormattedData!N54^2*$J$6+$M$5*$J$7</f>
        <v>47.152151322837916</v>
      </c>
      <c r="V45" s="6">
        <f>$J$3+[6]FormattedData!O54*$J$4+$M$4*$J$5+[6]FormattedData!O54^2*$J$6+$M$5*$J$7</f>
        <v>46.344736931827917</v>
      </c>
      <c r="W45" s="5">
        <f t="shared" si="9"/>
        <v>46.53782339529198</v>
      </c>
      <c r="X45" s="4">
        <f t="shared" si="10"/>
        <v>1.635583218520146</v>
      </c>
      <c r="Y45" s="3">
        <f t="shared" si="11"/>
        <v>35.252053234774301</v>
      </c>
      <c r="Z45" s="2">
        <f t="shared" si="12"/>
        <v>44.197142084355718</v>
      </c>
      <c r="AA45" s="3">
        <f t="shared" si="13"/>
        <v>47.107379504857661</v>
      </c>
      <c r="AB45" s="2">
        <f t="shared" si="14"/>
        <v>48.766023213775554</v>
      </c>
      <c r="AC45" s="2">
        <f t="shared" si="15"/>
        <v>54.780643688200755</v>
      </c>
      <c r="AD45" s="2">
        <f t="shared" si="16"/>
        <v>-0.44817794240958353</v>
      </c>
      <c r="AE45" s="2">
        <f t="shared" si="17"/>
        <v>0.22700543295537567</v>
      </c>
    </row>
    <row r="46" spans="2:31" x14ac:dyDescent="0.2">
      <c r="B46" s="17">
        <f>[6]FormattedData!A52</f>
        <v>905</v>
      </c>
      <c r="C46" s="17" t="str">
        <f>VLOOKUP($B46,[6]TrtCodes!$B$11:I95,2)</f>
        <v>WS</v>
      </c>
      <c r="D46" s="17">
        <f>VLOOKUP($B46,[6]TrtCodes!$B$11:J95,3)</f>
        <v>32</v>
      </c>
      <c r="E46" s="17">
        <f>VLOOKUP($B46,[6]TrtCodes!$B$11:K95,4)</f>
        <v>9</v>
      </c>
      <c r="F46" s="17">
        <f>VLOOKUP($B46,[6]TrtCodes!$B$11:L95,5)</f>
        <v>0</v>
      </c>
      <c r="G46" s="17">
        <f>VLOOKUP($B46,[6]TrtCodes!$B$11:M95,6)</f>
        <v>1</v>
      </c>
      <c r="H46" s="17">
        <f>VLOOKUP($B46,[6]TrtCodes!$B$11:N95,7)</f>
        <v>2</v>
      </c>
      <c r="I46" s="17">
        <f>[6]FormattedData!B52</f>
        <v>1</v>
      </c>
      <c r="J46" s="15">
        <f>[6]FormattedData!C52</f>
        <v>13.411</v>
      </c>
      <c r="K46" s="14">
        <f>$J$3+[6]FormattedData!D52*$J$4+$M$4*$J$5+[6]FormattedData!D52^2*$J$6+$M$5*$J$7</f>
        <v>28.598148107388468</v>
      </c>
      <c r="L46" s="14">
        <f>$J$3+[6]FormattedData!E52*$J$4+$M$4*$J$5+[6]FormattedData!E52^2*$J$6+$M$5*$J$7</f>
        <v>28.598148107388468</v>
      </c>
      <c r="M46" s="14">
        <f>$J$3+[6]FormattedData!F52*$J$4+$M$4*$J$5+[6]FormattedData!F52^2*$J$6+$M$5*$J$7</f>
        <v>28.598148107388468</v>
      </c>
      <c r="N46" s="14">
        <f>$J$3+[6]FormattedData!G52*$J$4+$M$4*$J$5+[6]FormattedData!G52^2*$J$6+$M$5*$J$7</f>
        <v>28.598148107388468</v>
      </c>
      <c r="O46" s="14">
        <f>$J$3+[6]FormattedData!H52*$J$4+$M$4*$J$5+[6]FormattedData!H52^2*$J$6+$M$5*$J$7</f>
        <v>28.598148107388468</v>
      </c>
      <c r="P46" s="14">
        <f>$J$3+[6]FormattedData!I52*$J$4+$M$4*$J$5+[6]FormattedData!I52^2*$J$6+$M$5*$J$7</f>
        <v>28.891632915573471</v>
      </c>
      <c r="Q46" s="14">
        <f>$J$3+[6]FormattedData!J52*$J$4+$M$4*$J$5+[6]FormattedData!J52^2*$J$6+$M$5*$J$7</f>
        <v>28.891632915573471</v>
      </c>
      <c r="R46" s="14">
        <f>$J$3+[6]FormattedData!K52*$J$4+$M$4*$J$5+[6]FormattedData!K52^2*$J$6+$M$5*$J$7</f>
        <v>28.891632915573471</v>
      </c>
      <c r="S46" s="14">
        <f>$J$3+[6]FormattedData!L52*$J$4+$M$4*$J$5+[6]FormattedData!L52^2*$J$6+$M$5*$J$7</f>
        <v>28.989376647892609</v>
      </c>
      <c r="T46" s="14">
        <f>$J$3+[6]FormattedData!M52*$J$4+$M$4*$J$5+[6]FormattedData!M52^2*$J$6+$M$5*$J$7</f>
        <v>28.989376647892609</v>
      </c>
      <c r="U46" s="14">
        <f>$J$3+[6]FormattedData!N52*$J$4+$M$4*$J$5+[6]FormattedData!N52^2*$J$6+$M$5*$J$7</f>
        <v>29.087078111673815</v>
      </c>
      <c r="V46" s="14">
        <f>$J$3+[6]FormattedData!O52*$J$4+$M$4*$J$5+[6]FormattedData!O52^2*$J$6+$M$5*$J$7</f>
        <v>28.989376647892609</v>
      </c>
      <c r="W46" s="16">
        <f t="shared" si="9"/>
        <v>28.810070611584525</v>
      </c>
      <c r="X46" s="15">
        <f t="shared" si="10"/>
        <v>5.6252817188366042E-2</v>
      </c>
      <c r="Y46" s="14">
        <f t="shared" si="11"/>
        <v>28.598148107388468</v>
      </c>
      <c r="Z46" s="13">
        <f t="shared" si="12"/>
        <v>28.598148107388468</v>
      </c>
      <c r="AA46" s="14">
        <f t="shared" si="13"/>
        <v>28.891632915573471</v>
      </c>
      <c r="AB46" s="13">
        <f t="shared" si="14"/>
        <v>28.989376647892609</v>
      </c>
      <c r="AC46" s="13">
        <f t="shared" si="15"/>
        <v>29.087078111673815</v>
      </c>
      <c r="AD46" s="13">
        <f t="shared" si="16"/>
        <v>-0.10925364966564337</v>
      </c>
      <c r="AE46" s="13">
        <f t="shared" si="17"/>
        <v>-1.9343712058644744</v>
      </c>
    </row>
    <row r="47" spans="2:31" x14ac:dyDescent="0.2">
      <c r="B47" s="1">
        <f>[6]FormattedData!A50</f>
        <v>906</v>
      </c>
      <c r="C47" s="1" t="str">
        <f>VLOOKUP($B47,[6]TrtCodes!$B$11:I93,2)</f>
        <v>Late</v>
      </c>
      <c r="D47" s="1">
        <f>VLOOKUP($B47,[6]TrtCodes!$B$11:J93,3)</f>
        <v>22</v>
      </c>
      <c r="E47" s="1">
        <f>VLOOKUP($B47,[6]TrtCodes!$B$11:K93,4)</f>
        <v>4</v>
      </c>
      <c r="F47" s="1">
        <f>VLOOKUP($B47,[6]TrtCodes!$B$11:L93,5)</f>
        <v>2</v>
      </c>
      <c r="G47" s="1">
        <f>VLOOKUP($B47,[6]TrtCodes!$B$11:M93,6)</f>
        <v>2</v>
      </c>
      <c r="H47" s="1">
        <f>VLOOKUP($B47,[6]TrtCodes!$B$11:N93,7)</f>
        <v>2</v>
      </c>
      <c r="I47" s="1">
        <f>[6]FormattedData!B50</f>
        <v>1</v>
      </c>
      <c r="J47" s="4">
        <f>[6]FormattedData!C50</f>
        <v>13.395</v>
      </c>
      <c r="K47" s="6">
        <f>$J$3+[6]FormattedData!D50*$J$4+$M$4*$J$5+[6]FormattedData!D50^2*$J$6+$M$5*$J$7</f>
        <v>34.586191654002448</v>
      </c>
      <c r="L47" s="6">
        <f>$J$3+[6]FormattedData!E50*$J$4+$M$4*$J$5+[6]FormattedData!E50^2*$J$6+$M$5*$J$7</f>
        <v>31.419232681043443</v>
      </c>
      <c r="M47" s="6">
        <f>$J$3+[6]FormattedData!F50*$J$4+$M$4*$J$5+[6]FormattedData!F50^2*$J$6+$M$5*$J$7</f>
        <v>31.225816374763788</v>
      </c>
      <c r="N47" s="6">
        <f>$J$3+[6]FormattedData!G50*$J$4+$M$4*$J$5+[6]FormattedData!G50^2*$J$6+$M$5*$J$7</f>
        <v>32.576179961535132</v>
      </c>
      <c r="O47" s="6">
        <f>$J$3+[6]FormattedData!H50*$J$4+$M$4*$J$5+[6]FormattedData!H50^2*$J$6+$M$5*$J$7</f>
        <v>30.450460408127945</v>
      </c>
      <c r="P47" s="6">
        <f>$J$3+[6]FormattedData!I50*$J$4+$M$4*$J$5+[6]FormattedData!I50^2*$J$6+$M$5*$J$7</f>
        <v>34.01380468321868</v>
      </c>
      <c r="Q47" s="6">
        <f>$J$3+[6]FormattedData!J50*$J$4+$M$4*$J$5+[6]FormattedData!J50^2*$J$6+$M$5*$J$7</f>
        <v>32.576179961535132</v>
      </c>
      <c r="R47" s="6">
        <f>$J$3+[6]FormattedData!K50*$J$4+$M$4*$J$5+[6]FormattedData!K50^2*$J$6+$M$5*$J$7</f>
        <v>33.056444915544589</v>
      </c>
      <c r="S47" s="6">
        <f>$J$3+[6]FormattedData!L50*$J$4+$M$4*$J$5+[6]FormattedData!L50^2*$J$6+$M$5*$J$7</f>
        <v>33.344096665495101</v>
      </c>
      <c r="T47" s="6">
        <f>$J$3+[6]FormattedData!M50*$J$4+$M$4*$J$5+[6]FormattedData!M50^2*$J$6+$M$5*$J$7</f>
        <v>31.998467154972051</v>
      </c>
      <c r="U47" s="6">
        <f>$J$3+[6]FormattedData!N50*$J$4+$M$4*$J$5+[6]FormattedData!N50^2*$J$6+$M$5*$J$7</f>
        <v>33.727040572564732</v>
      </c>
      <c r="V47" s="6">
        <f>$J$3+[6]FormattedData!O50*$J$4+$M$4*$J$5+[6]FormattedData!O50^2*$J$6+$M$5*$J$7</f>
        <v>30.353350703877776</v>
      </c>
      <c r="W47" s="5">
        <f t="shared" si="9"/>
        <v>32.443938811390062</v>
      </c>
      <c r="X47" s="4">
        <f t="shared" si="10"/>
        <v>0.3988364161196491</v>
      </c>
      <c r="Y47" s="3">
        <f t="shared" si="11"/>
        <v>30.353350703877776</v>
      </c>
      <c r="Z47" s="2">
        <f t="shared" si="12"/>
        <v>31.370878604473528</v>
      </c>
      <c r="AA47" s="3">
        <f t="shared" si="13"/>
        <v>32.576179961535132</v>
      </c>
      <c r="AB47" s="2">
        <f t="shared" si="14"/>
        <v>33.439832642262509</v>
      </c>
      <c r="AC47" s="2">
        <f t="shared" si="15"/>
        <v>34.586191654002448</v>
      </c>
      <c r="AD47" s="2">
        <f t="shared" si="16"/>
        <v>-0.13461861275528114</v>
      </c>
      <c r="AE47" s="2">
        <f t="shared" si="17"/>
        <v>-1.0544935512593701</v>
      </c>
    </row>
    <row r="48" spans="2:31" x14ac:dyDescent="0.2">
      <c r="B48" s="17">
        <f>[6]FormattedData!A48</f>
        <v>907</v>
      </c>
      <c r="C48" s="17" t="str">
        <f>VLOOKUP($B48,[6]TrtCodes!$B$11:I91,2)</f>
        <v>DS</v>
      </c>
      <c r="D48" s="17">
        <f>VLOOKUP($B48,[6]TrtCodes!$B$11:J91,3)</f>
        <v>31</v>
      </c>
      <c r="E48" s="17">
        <f>VLOOKUP($B48,[6]TrtCodes!$B$11:K91,4)</f>
        <v>8</v>
      </c>
      <c r="F48" s="17">
        <f>VLOOKUP($B48,[6]TrtCodes!$B$11:L91,5)</f>
        <v>0</v>
      </c>
      <c r="G48" s="17">
        <f>VLOOKUP($B48,[6]TrtCodes!$B$11:M91,6)</f>
        <v>1</v>
      </c>
      <c r="H48" s="17">
        <f>VLOOKUP($B48,[6]TrtCodes!$B$11:N91,7)</f>
        <v>2</v>
      </c>
      <c r="I48" s="17">
        <f>[6]FormattedData!B48</f>
        <v>1</v>
      </c>
      <c r="J48" s="15">
        <f>[6]FormattedData!C48</f>
        <v>13.385999999999999</v>
      </c>
      <c r="K48" s="14">
        <f>$J$3+[6]FormattedData!D48*$J$4+$M$4*$J$5+[6]FormattedData!D48^2*$J$6+$M$5*$J$7</f>
        <v>54.436924984331213</v>
      </c>
      <c r="L48" s="14">
        <f>$J$3+[6]FormattedData!E48*$J$4+$M$4*$J$5+[6]FormattedData!E48^2*$J$6+$M$5*$J$7</f>
        <v>54.350889637019002</v>
      </c>
      <c r="M48" s="14">
        <f>$J$3+[6]FormattedData!F48*$J$4+$M$4*$J$5+[6]FormattedData!F48^2*$J$6+$M$5*$J$7</f>
        <v>54.522918063105493</v>
      </c>
      <c r="N48" s="14">
        <f>$J$3+[6]FormattedData!G48*$J$4+$M$4*$J$5+[6]FormattedData!G48^2*$J$6+$M$5*$J$7</f>
        <v>54.522918063105493</v>
      </c>
      <c r="O48" s="14">
        <f>$J$3+[6]FormattedData!H48*$J$4+$M$4*$J$5+[6]FormattedData!H48^2*$J$6+$M$5*$J$7</f>
        <v>54.092529983854774</v>
      </c>
      <c r="P48" s="14">
        <f>$J$3+[6]FormattedData!I48*$J$4+$M$4*$J$5+[6]FormattedData!I48^2*$J$6+$M$5*$J$7</f>
        <v>54.264812021168851</v>
      </c>
      <c r="Q48" s="14">
        <f>$J$3+[6]FormattedData!J48*$J$4+$M$4*$J$5+[6]FormattedData!J48^2*$J$6+$M$5*$J$7</f>
        <v>54.092529983854774</v>
      </c>
      <c r="R48" s="14">
        <f>$J$3+[6]FormattedData!K48*$J$4+$M$4*$J$5+[6]FormattedData!K48^2*$J$6+$M$5*$J$7</f>
        <v>54.006325562390828</v>
      </c>
      <c r="S48" s="14">
        <f>$J$3+[6]FormattedData!L48*$J$4+$M$4*$J$5+[6]FormattedData!L48^2*$J$6+$M$5*$J$7</f>
        <v>54.436924984331213</v>
      </c>
      <c r="T48" s="14">
        <f>$J$3+[6]FormattedData!M48*$J$4+$M$4*$J$5+[6]FormattedData!M48^2*$J$6+$M$5*$J$7</f>
        <v>54.780643688200755</v>
      </c>
      <c r="U48" s="14">
        <f>$J$3+[6]FormattedData!N48*$J$4+$M$4*$J$5+[6]FormattedData!N48^2*$J$6+$M$5*$J$7</f>
        <v>54.092529983854774</v>
      </c>
      <c r="V48" s="14">
        <f>$J$3+[6]FormattedData!O48*$J$4+$M$4*$J$5+[6]FormattedData!O48^2*$J$6+$M$5*$J$7</f>
        <v>54.264812021168851</v>
      </c>
      <c r="W48" s="16">
        <f t="shared" si="9"/>
        <v>54.322063248032158</v>
      </c>
      <c r="X48" s="15">
        <f t="shared" si="10"/>
        <v>6.6429558350877285E-2</v>
      </c>
      <c r="Y48" s="14">
        <f t="shared" si="11"/>
        <v>54.006325562390828</v>
      </c>
      <c r="Z48" s="13">
        <f t="shared" si="12"/>
        <v>54.092529983854774</v>
      </c>
      <c r="AA48" s="14">
        <f t="shared" si="13"/>
        <v>54.307850829093923</v>
      </c>
      <c r="AB48" s="13">
        <f t="shared" si="14"/>
        <v>54.45842325402478</v>
      </c>
      <c r="AC48" s="13">
        <f t="shared" si="15"/>
        <v>54.780643688200755</v>
      </c>
      <c r="AD48" s="13">
        <f t="shared" si="16"/>
        <v>0.4258400999607968</v>
      </c>
      <c r="AE48" s="13">
        <f t="shared" si="17"/>
        <v>-0.31812732996693693</v>
      </c>
    </row>
    <row r="49" spans="2:31" ht="13.5" thickBot="1" x14ac:dyDescent="0.25">
      <c r="B49" s="12">
        <f>[6]FormattedData!A46</f>
        <v>908</v>
      </c>
      <c r="C49" s="12" t="str">
        <f>VLOOKUP($B49,[6]TrtCodes!$B$11:I89,2)</f>
        <v>Early</v>
      </c>
      <c r="D49" s="12">
        <f>VLOOKUP($B49,[6]TrtCodes!$B$11:J89,3)</f>
        <v>21</v>
      </c>
      <c r="E49" s="12">
        <f>VLOOKUP($B49,[6]TrtCodes!$B$11:K89,4)</f>
        <v>3</v>
      </c>
      <c r="F49" s="12">
        <f>VLOOKUP($B49,[6]TrtCodes!$B$11:L89,5)</f>
        <v>2</v>
      </c>
      <c r="G49" s="12">
        <f>VLOOKUP($B49,[6]TrtCodes!$B$11:M89,6)</f>
        <v>2</v>
      </c>
      <c r="H49" s="12">
        <f>VLOOKUP($B49,[6]TrtCodes!$B$11:N89,7)</f>
        <v>2</v>
      </c>
      <c r="I49" s="12">
        <f>[6]FormattedData!B46</f>
        <v>1</v>
      </c>
      <c r="J49" s="9">
        <f>[6]FormattedData!C46</f>
        <v>13.37</v>
      </c>
      <c r="K49" s="11">
        <f>$J$3+[6]FormattedData!D46*$J$4+$M$4*$J$5+[6]FormattedData!D46^2*$J$6+$M$5*$J$7</f>
        <v>49.111417373872271</v>
      </c>
      <c r="L49" s="11">
        <f>$J$3+[6]FormattedData!E46*$J$4+$M$4*$J$5+[6]FormattedData!E46^2*$J$6+$M$5*$J$7</f>
        <v>50.523488502729819</v>
      </c>
      <c r="M49" s="11">
        <f>$J$3+[6]FormattedData!F46*$J$4+$M$4*$J$5+[6]FormattedData!F46^2*$J$6+$M$5*$J$7</f>
        <v>44.719636895090659</v>
      </c>
      <c r="N49" s="11">
        <f>$J$3+[6]FormattedData!G46*$J$4+$M$4*$J$5+[6]FormattedData!G46^2*$J$6+$M$5*$J$7</f>
        <v>45.894693982439222</v>
      </c>
      <c r="O49" s="11">
        <f>$J$3+[6]FormattedData!H46*$J$4+$M$4*$J$5+[6]FormattedData!H46^2*$J$6+$M$5*$J$7</f>
        <v>46.973021782378979</v>
      </c>
      <c r="P49" s="11">
        <f>$J$3+[6]FormattedData!I46*$J$4+$M$4*$J$5+[6]FormattedData!I46^2*$J$6+$M$5*$J$7</f>
        <v>44.447455430022956</v>
      </c>
      <c r="Q49" s="11">
        <f>$J$3+[6]FormattedData!J46*$J$4+$M$4*$J$5+[6]FormattedData!J46^2*$J$6+$M$5*$J$7</f>
        <v>48.845449383880435</v>
      </c>
      <c r="R49" s="11">
        <f>$J$3+[6]FormattedData!K46*$J$4+$M$4*$J$5+[6]FormattedData!K46^2*$J$6+$M$5*$J$7</f>
        <v>43.080841852063713</v>
      </c>
      <c r="S49" s="11">
        <f>$J$3+[6]FormattedData!L46*$J$4+$M$4*$J$5+[6]FormattedData!L46^2*$J$6+$M$5*$J$7</f>
        <v>44.083955050401642</v>
      </c>
      <c r="T49" s="11">
        <f>$J$3+[6]FormattedData!M46*$J$4+$M$4*$J$5+[6]FormattedData!M46^2*$J$6+$M$5*$J$7</f>
        <v>46.524458231817874</v>
      </c>
      <c r="U49" s="11">
        <f>$J$3+[6]FormattedData!N46*$J$4+$M$4*$J$5+[6]FormattedData!N46^2*$J$6+$M$5*$J$7</f>
        <v>45.262858574701937</v>
      </c>
      <c r="V49" s="11">
        <f>$J$3+[6]FormattedData!O46*$J$4+$M$4*$J$5+[6]FormattedData!O46^2*$J$6+$M$5*$J$7</f>
        <v>36.294222562160598</v>
      </c>
      <c r="W49" s="10">
        <f t="shared" si="9"/>
        <v>45.480124968463343</v>
      </c>
      <c r="X49" s="9">
        <f t="shared" si="10"/>
        <v>1.0560685208081444</v>
      </c>
      <c r="Y49" s="8">
        <f t="shared" si="11"/>
        <v>36.294222562160598</v>
      </c>
      <c r="Z49" s="7">
        <f t="shared" si="12"/>
        <v>44.356580335117627</v>
      </c>
      <c r="AA49" s="8">
        <f t="shared" si="13"/>
        <v>45.578776278570579</v>
      </c>
      <c r="AB49" s="7">
        <f t="shared" si="14"/>
        <v>47.441128682754339</v>
      </c>
      <c r="AC49" s="7">
        <f t="shared" si="15"/>
        <v>50.523488502729819</v>
      </c>
      <c r="AD49" s="7">
        <f t="shared" si="16"/>
        <v>-1.2798003039370922</v>
      </c>
      <c r="AE49" s="7">
        <f t="shared" si="17"/>
        <v>3.1047929679461754</v>
      </c>
    </row>
    <row r="50" spans="2:31" ht="13.5" thickTop="1" x14ac:dyDescent="0.2">
      <c r="B50" s="1">
        <f>[6]FormattedData!A29</f>
        <v>101</v>
      </c>
      <c r="C50" s="1" t="str">
        <f>VLOOKUP($B50,[6]TrtCodes!$B$11:I72,2)</f>
        <v>FSH</v>
      </c>
      <c r="D50" s="1">
        <f>VLOOKUP($B50,[6]TrtCodes!$B$11:J72,3)</f>
        <v>1</v>
      </c>
      <c r="E50" s="1">
        <f>VLOOKUP($B50,[6]TrtCodes!$B$11:K72,4)</f>
        <v>1</v>
      </c>
      <c r="F50" s="1">
        <f>VLOOKUP($B50,[6]TrtCodes!$B$11:L72,5)</f>
        <v>1</v>
      </c>
      <c r="G50" s="1">
        <f>VLOOKUP($B50,[6]TrtCodes!$B$11:M72,6)</f>
        <v>2</v>
      </c>
      <c r="H50" s="1">
        <f>VLOOKUP($B50,[6]TrtCodes!$B$11:N72,7)</f>
        <v>1</v>
      </c>
      <c r="I50" s="1">
        <f>[6]FormattedData!B29</f>
        <v>2</v>
      </c>
      <c r="J50" s="4">
        <f>[6]FormattedData!C29</f>
        <v>13.214</v>
      </c>
      <c r="K50" s="6">
        <f>$J$3+[6]FormattedData!D29*$J$4+$M$4*$J$5+[6]FormattedData!D29^2*$J$6+$M$5*$J$7</f>
        <v>31.61247991317137</v>
      </c>
      <c r="L50" s="6">
        <f>$J$3+[6]FormattedData!E29*$J$4+$M$4*$J$5+[6]FormattedData!E29^2*$J$6+$M$5*$J$7</f>
        <v>31.322545662172587</v>
      </c>
      <c r="M50" s="6">
        <f>$J$3+[6]FormattedData!F29*$J$4+$M$4*$J$5+[6]FormattedData!F29^2*$J$6+$M$5*$J$7</f>
        <v>31.322545662172587</v>
      </c>
      <c r="N50" s="6">
        <f>$J$3+[6]FormattedData!G29*$J$4+$M$4*$J$5+[6]FormattedData!G29^2*$J$6+$M$5*$J$7</f>
        <v>29.769804839080191</v>
      </c>
      <c r="O50" s="6">
        <f>$J$3+[6]FormattedData!H29*$J$4+$M$4*$J$5+[6]FormattedData!H29^2*$J$6+$M$5*$J$7</f>
        <v>30.547527843840182</v>
      </c>
      <c r="P50" s="6">
        <f>$J$3+[6]FormattedData!I29*$J$4+$M$4*$J$5+[6]FormattedData!I29^2*$J$6+$M$5*$J$7</f>
        <v>31.032230994332412</v>
      </c>
      <c r="Q50" s="6">
        <f>$J$3+[6]FormattedData!J29*$J$4+$M$4*$J$5+[6]FormattedData!J29^2*$J$6+$M$5*$J$7</f>
        <v>31.129044818817071</v>
      </c>
      <c r="R50" s="6">
        <f>$J$3+[6]FormattedData!K29*$J$4+$M$4*$J$5+[6]FormattedData!K29^2*$J$6+$M$5*$J$7</f>
        <v>30.159004489763639</v>
      </c>
      <c r="S50" s="6">
        <f>$J$3+[6]FormattedData!L29*$J$4+$M$4*$J$5+[6]FormattedData!L29^2*$J$6+$M$5*$J$7</f>
        <v>29.672399255064505</v>
      </c>
      <c r="T50" s="6">
        <f>$J$3+[6]FormattedData!M29*$J$4+$M$4*$J$5+[6]FormattedData!M29^2*$J$6+$M$5*$J$7</f>
        <v>30.741535909650871</v>
      </c>
      <c r="U50" s="6">
        <f>$J$3+[6]FormattedData!N29*$J$4+$M$4*$J$5+[6]FormattedData!N29^2*$J$6+$M$5*$J$7</f>
        <v>31.709040126428434</v>
      </c>
      <c r="V50" s="6">
        <f>$J$3+[6]FormattedData!O29*$J$4+$M$4*$J$5+[6]FormattedData!O29^2*$J$6+$M$5*$J$7</f>
        <v>31.225816374763788</v>
      </c>
      <c r="W50" s="5">
        <f t="shared" si="9"/>
        <v>30.853664657438134</v>
      </c>
      <c r="X50" s="4">
        <f t="shared" si="10"/>
        <v>0.19756796028885984</v>
      </c>
      <c r="Y50" s="3">
        <f t="shared" si="11"/>
        <v>29.672399255064505</v>
      </c>
      <c r="Z50" s="2">
        <f t="shared" si="12"/>
        <v>30.450397005321047</v>
      </c>
      <c r="AA50" s="3">
        <f t="shared" si="13"/>
        <v>31.080637906574744</v>
      </c>
      <c r="AB50" s="2">
        <f t="shared" si="14"/>
        <v>31.322545662172587</v>
      </c>
      <c r="AC50" s="2">
        <f t="shared" si="15"/>
        <v>31.709040126428434</v>
      </c>
      <c r="AD50" s="2">
        <f t="shared" si="16"/>
        <v>-0.66013524938633572</v>
      </c>
      <c r="AE50" s="2">
        <f t="shared" si="17"/>
        <v>-0.75933930875111288</v>
      </c>
    </row>
    <row r="51" spans="2:31" x14ac:dyDescent="0.2">
      <c r="B51" s="1">
        <f>[6]FormattedData!A27</f>
        <v>102</v>
      </c>
      <c r="C51" s="1" t="str">
        <f>VLOOKUP($B51,[6]TrtCodes!$B$11:I70,2)</f>
        <v>FTL</v>
      </c>
      <c r="D51" s="1">
        <f>VLOOKUP($B51,[6]TrtCodes!$B$11:J70,3)</f>
        <v>4</v>
      </c>
      <c r="E51" s="1">
        <f>VLOOKUP($B51,[6]TrtCodes!$B$11:K70,4)</f>
        <v>1</v>
      </c>
      <c r="F51" s="1">
        <f>VLOOKUP($B51,[6]TrtCodes!$B$11:L70,5)</f>
        <v>2</v>
      </c>
      <c r="G51" s="1">
        <f>VLOOKUP($B51,[6]TrtCodes!$B$11:M70,6)</f>
        <v>1</v>
      </c>
      <c r="H51" s="1">
        <f>VLOOKUP($B51,[6]TrtCodes!$B$11:N70,7)</f>
        <v>1</v>
      </c>
      <c r="I51" s="1">
        <f>[6]FormattedData!B27</f>
        <v>2</v>
      </c>
      <c r="J51" s="4">
        <f>[6]FormattedData!C27</f>
        <v>13.196999999999999</v>
      </c>
      <c r="K51" s="6">
        <f>$J$3+[6]FormattedData!D27*$J$4+$M$4*$J$5+[6]FormattedData!D27^2*$J$6+$M$5*$J$7</f>
        <v>30.256198731089668</v>
      </c>
      <c r="L51" s="6">
        <f>$J$3+[6]FormattedData!E27*$J$4+$M$4*$J$5+[6]FormattedData!E27^2*$J$6+$M$5*$J$7</f>
        <v>29.672399255064505</v>
      </c>
      <c r="M51" s="6">
        <f>$J$3+[6]FormattedData!F27*$J$4+$M$4*$J$5+[6]FormattedData!F27^2*$J$6+$M$5*$J$7</f>
        <v>30.159004489763639</v>
      </c>
      <c r="N51" s="6">
        <f>$J$3+[6]FormattedData!G27*$J$4+$M$4*$J$5+[6]FormattedData!G27^2*$J$6+$M$5*$J$7</f>
        <v>30.838476539749319</v>
      </c>
      <c r="O51" s="6">
        <f>$J$3+[6]FormattedData!H27*$J$4+$M$4*$J$5+[6]FormattedData!H27^2*$J$6+$M$5*$J$7</f>
        <v>29.672399255064505</v>
      </c>
      <c r="P51" s="6">
        <f>$J$3+[6]FormattedData!I27*$J$4+$M$4*$J$5+[6]FormattedData!I27^2*$J$6+$M$5*$J$7</f>
        <v>30.450460408127945</v>
      </c>
      <c r="Q51" s="6">
        <f>$J$3+[6]FormattedData!J27*$J$4+$M$4*$J$5+[6]FormattedData!J27^2*$J$6+$M$5*$J$7</f>
        <v>30.644553011014494</v>
      </c>
      <c r="R51" s="6">
        <f>$J$3+[6]FormattedData!K27*$J$4+$M$4*$J$5+[6]FormattedData!K27^2*$J$6+$M$5*$J$7</f>
        <v>30.353350703877776</v>
      </c>
      <c r="S51" s="6">
        <f>$J$3+[6]FormattedData!L27*$J$4+$M$4*$J$5+[6]FormattedData!L27^2*$J$6+$M$5*$J$7</f>
        <v>31.129044818817071</v>
      </c>
      <c r="T51" s="6">
        <f>$J$3+[6]FormattedData!M27*$J$4+$M$4*$J$5+[6]FormattedData!M27^2*$J$6+$M$5*$J$7</f>
        <v>31.032230994332412</v>
      </c>
      <c r="U51" s="6">
        <f>$J$3+[6]FormattedData!N27*$J$4+$M$4*$J$5+[6]FormattedData!N27^2*$J$6+$M$5*$J$7</f>
        <v>30.741535909650871</v>
      </c>
      <c r="V51" s="6">
        <f>$J$3+[6]FormattedData!O27*$J$4+$M$4*$J$5+[6]FormattedData!O27^2*$J$6+$M$5*$J$7</f>
        <v>29.867168154557955</v>
      </c>
      <c r="W51" s="5">
        <f t="shared" si="9"/>
        <v>30.40140185592584</v>
      </c>
      <c r="X51" s="4">
        <f t="shared" si="10"/>
        <v>0.14370922184238955</v>
      </c>
      <c r="Y51" s="3">
        <f t="shared" si="11"/>
        <v>29.672399255064505</v>
      </c>
      <c r="Z51" s="2">
        <f t="shared" si="12"/>
        <v>30.086045405962217</v>
      </c>
      <c r="AA51" s="3">
        <f t="shared" si="13"/>
        <v>30.401905556002859</v>
      </c>
      <c r="AB51" s="2">
        <f t="shared" si="14"/>
        <v>30.765771067175482</v>
      </c>
      <c r="AC51" s="2">
        <f t="shared" si="15"/>
        <v>31.129044818817071</v>
      </c>
      <c r="AD51" s="2">
        <f t="shared" si="16"/>
        <v>-0.15129121556475092</v>
      </c>
      <c r="AE51" s="2">
        <f t="shared" si="17"/>
        <v>-1.1026563138262735</v>
      </c>
    </row>
    <row r="52" spans="2:31" x14ac:dyDescent="0.2">
      <c r="B52" s="1">
        <f>[6]FormattedData!A25</f>
        <v>103</v>
      </c>
      <c r="C52" s="1" t="str">
        <f>VLOOKUP($B52,[6]TrtCodes!$B$11:I68,2)</f>
        <v>FDH</v>
      </c>
      <c r="D52" s="1">
        <f>VLOOKUP($B52,[6]TrtCodes!$B$11:J68,3)</f>
        <v>5</v>
      </c>
      <c r="E52" s="1">
        <f>VLOOKUP($B52,[6]TrtCodes!$B$11:K68,4)</f>
        <v>1</v>
      </c>
      <c r="F52" s="1">
        <f>VLOOKUP($B52,[6]TrtCodes!$B$11:L68,5)</f>
        <v>3</v>
      </c>
      <c r="G52" s="1">
        <f>VLOOKUP($B52,[6]TrtCodes!$B$11:M68,6)</f>
        <v>2</v>
      </c>
      <c r="H52" s="1">
        <f>VLOOKUP($B52,[6]TrtCodes!$B$11:N68,7)</f>
        <v>1</v>
      </c>
      <c r="I52" s="1">
        <f>[6]FormattedData!B25</f>
        <v>2</v>
      </c>
      <c r="J52" s="4">
        <f>[6]FormattedData!C25</f>
        <v>13.180999999999999</v>
      </c>
      <c r="K52" s="6">
        <f>$J$3+[6]FormattedData!D25*$J$4+$M$4*$J$5+[6]FormattedData!D25^2*$J$6+$M$5*$J$7</f>
        <v>29.769804839080191</v>
      </c>
      <c r="L52" s="6">
        <f>$J$3+[6]FormattedData!E25*$J$4+$M$4*$J$5+[6]FormattedData!E25^2*$J$6+$M$5*$J$7</f>
        <v>29.867168154557955</v>
      </c>
      <c r="M52" s="6">
        <f>$J$3+[6]FormattedData!F25*$J$4+$M$4*$J$5+[6]FormattedData!F25^2*$J$6+$M$5*$J$7</f>
        <v>31.032230994332412</v>
      </c>
      <c r="N52" s="6">
        <f>$J$3+[6]FormattedData!G25*$J$4+$M$4*$J$5+[6]FormattedData!G25^2*$J$6+$M$5*$J$7</f>
        <v>30.06176797989967</v>
      </c>
      <c r="O52" s="6">
        <f>$J$3+[6]FormattedData!H25*$J$4+$M$4*$J$5+[6]FormattedData!H25^2*$J$6+$M$5*$J$7</f>
        <v>30.159004489763639</v>
      </c>
      <c r="P52" s="6">
        <f>$J$3+[6]FormattedData!I25*$J$4+$M$4*$J$5+[6]FormattedData!I25^2*$J$6+$M$5*$J$7</f>
        <v>30.353350703877776</v>
      </c>
      <c r="Q52" s="6">
        <f>$J$3+[6]FormattedData!J25*$J$4+$M$4*$J$5+[6]FormattedData!J25^2*$J$6+$M$5*$J$7</f>
        <v>28.891632915573471</v>
      </c>
      <c r="R52" s="6">
        <f>$J$3+[6]FormattedData!K25*$J$4+$M$4*$J$5+[6]FormattedData!K25^2*$J$6+$M$5*$J$7</f>
        <v>30.644553011014494</v>
      </c>
      <c r="S52" s="6">
        <f>$J$3+[6]FormattedData!L25*$J$4+$M$4*$J$5+[6]FormattedData!L25^2*$J$6+$M$5*$J$7</f>
        <v>30.256198731089668</v>
      </c>
      <c r="T52" s="6">
        <f>$J$3+[6]FormattedData!M25*$J$4+$M$4*$J$5+[6]FormattedData!M25^2*$J$6+$M$5*$J$7</f>
        <v>32.09485829407739</v>
      </c>
      <c r="U52" s="6">
        <f>$J$3+[6]FormattedData!N25*$J$4+$M$4*$J$5+[6]FormattedData!N25^2*$J$6+$M$5*$J$7</f>
        <v>30.256198731089668</v>
      </c>
      <c r="V52" s="6">
        <f>$J$3+[6]FormattedData!O25*$J$4+$M$4*$J$5+[6]FormattedData!O25^2*$J$6+$M$5*$J$7</f>
        <v>29.184737306917093</v>
      </c>
      <c r="W52" s="5">
        <f t="shared" si="9"/>
        <v>30.214292179272785</v>
      </c>
      <c r="X52" s="4">
        <f t="shared" si="10"/>
        <v>0.23943307408162759</v>
      </c>
      <c r="Y52" s="3">
        <f t="shared" si="11"/>
        <v>28.891632915573471</v>
      </c>
      <c r="Z52" s="2">
        <f t="shared" si="12"/>
        <v>29.842827325688514</v>
      </c>
      <c r="AA52" s="3">
        <f t="shared" si="13"/>
        <v>30.207601610426654</v>
      </c>
      <c r="AB52" s="2">
        <f t="shared" si="14"/>
        <v>30.426151280661955</v>
      </c>
      <c r="AC52" s="2">
        <f t="shared" si="15"/>
        <v>32.09485829407739</v>
      </c>
      <c r="AD52" s="2">
        <f t="shared" si="16"/>
        <v>0.7153964381050697</v>
      </c>
      <c r="AE52" s="2">
        <f t="shared" si="17"/>
        <v>1.7026941137651068</v>
      </c>
    </row>
    <row r="53" spans="2:31" x14ac:dyDescent="0.2">
      <c r="B53" s="1">
        <f>[6]FormattedData!A23</f>
        <v>104</v>
      </c>
      <c r="C53" s="1" t="str">
        <f>VLOOKUP($B53,[6]TrtCodes!$B$11:I66,2)</f>
        <v>NTL</v>
      </c>
      <c r="D53" s="1">
        <f>VLOOKUP($B53,[6]TrtCodes!$B$11:J66,3)</f>
        <v>10</v>
      </c>
      <c r="E53" s="1">
        <f>VLOOKUP($B53,[6]TrtCodes!$B$11:K66,4)</f>
        <v>2</v>
      </c>
      <c r="F53" s="1">
        <f>VLOOKUP($B53,[6]TrtCodes!$B$11:L66,5)</f>
        <v>2</v>
      </c>
      <c r="G53" s="1">
        <f>VLOOKUP($B53,[6]TrtCodes!$B$11:M66,6)</f>
        <v>1</v>
      </c>
      <c r="H53" s="1">
        <f>VLOOKUP($B53,[6]TrtCodes!$B$11:N66,7)</f>
        <v>1</v>
      </c>
      <c r="I53" s="1">
        <f>[6]FormattedData!B23</f>
        <v>2</v>
      </c>
      <c r="J53" s="4">
        <f>[6]FormattedData!C23</f>
        <v>13.164999999999999</v>
      </c>
      <c r="K53" s="6">
        <f>$J$3+[6]FormattedData!D23*$J$4+$M$4*$J$5+[6]FormattedData!D23^2*$J$6+$M$5*$J$7</f>
        <v>32.864465739554603</v>
      </c>
      <c r="L53" s="6">
        <f>$J$3+[6]FormattedData!E23*$J$4+$M$4*$J$5+[6]FormattedData!E23^2*$J$6+$M$5*$J$7</f>
        <v>33.91825891487197</v>
      </c>
      <c r="M53" s="6">
        <f>$J$3+[6]FormattedData!F23*$J$4+$M$4*$J$5+[6]FormattedData!F23^2*$J$6+$M$5*$J$7</f>
        <v>34.300188377031255</v>
      </c>
      <c r="N53" s="6">
        <f>$J$3+[6]FormattedData!G23*$J$4+$M$4*$J$5+[6]FormattedData!G23^2*$J$6+$M$5*$J$7</f>
        <v>32.383778100165834</v>
      </c>
      <c r="O53" s="6">
        <f>$J$3+[6]FormattedData!H23*$J$4+$M$4*$J$5+[6]FormattedData!H23^2*$J$6+$M$5*$J$7</f>
        <v>33.822670877987321</v>
      </c>
      <c r="P53" s="6">
        <f>$J$3+[6]FormattedData!I23*$J$4+$M$4*$J$5+[6]FormattedData!I23^2*$J$6+$M$5*$J$7</f>
        <v>33.631367998604226</v>
      </c>
      <c r="Q53" s="6">
        <f>$J$3+[6]FormattedData!J23*$J$4+$M$4*$J$5+[6]FormattedData!J23^2*$J$6+$M$5*$J$7</f>
        <v>34.586191654002448</v>
      </c>
      <c r="R53" s="6">
        <f>$J$3+[6]FormattedData!K23*$J$4+$M$4*$J$5+[6]FormattedData!K23^2*$J$6+$M$5*$J$7</f>
        <v>33.439896045069403</v>
      </c>
      <c r="S53" s="6">
        <f>$J$3+[6]FormattedData!L23*$J$4+$M$4*$J$5+[6]FormattedData!L23^2*$J$6+$M$5*$J$7</f>
        <v>33.822670877987321</v>
      </c>
      <c r="T53" s="6">
        <f>$J$3+[6]FormattedData!M23*$J$4+$M$4*$J$5+[6]FormattedData!M23^2*$J$6+$M$5*$J$7</f>
        <v>33.439896045069403</v>
      </c>
      <c r="U53" s="6">
        <f>$J$3+[6]FormattedData!N23*$J$4+$M$4*$J$5+[6]FormattedData!N23^2*$J$6+$M$5*$J$7</f>
        <v>33.91825891487197</v>
      </c>
      <c r="V53" s="6">
        <f>$J$3+[6]FormattedData!O23*$J$4+$M$4*$J$5+[6]FormattedData!O23^2*$J$6+$M$5*$J$7</f>
        <v>33.91825891487197</v>
      </c>
      <c r="W53" s="5">
        <f t="shared" si="9"/>
        <v>33.670491871673974</v>
      </c>
      <c r="X53" s="4">
        <f t="shared" si="10"/>
        <v>0.17141780004220275</v>
      </c>
      <c r="Y53" s="3">
        <f t="shared" si="11"/>
        <v>32.383778100165834</v>
      </c>
      <c r="Z53" s="2">
        <f t="shared" si="12"/>
        <v>33.439896045069403</v>
      </c>
      <c r="AA53" s="3">
        <f t="shared" si="13"/>
        <v>33.822670877987321</v>
      </c>
      <c r="AB53" s="2">
        <f t="shared" si="14"/>
        <v>33.91825891487197</v>
      </c>
      <c r="AC53" s="2">
        <f t="shared" si="15"/>
        <v>34.586191654002448</v>
      </c>
      <c r="AD53" s="2">
        <f t="shared" si="16"/>
        <v>-0.83798851073238478</v>
      </c>
      <c r="AE53" s="2">
        <f t="shared" si="17"/>
        <v>1.0888094505241144</v>
      </c>
    </row>
    <row r="54" spans="2:31" x14ac:dyDescent="0.2">
      <c r="B54" s="1">
        <f>[6]FormattedData!A21</f>
        <v>105</v>
      </c>
      <c r="C54" s="1" t="str">
        <f>VLOOKUP($B54,[6]TrtCodes!$B$11:I64,2)</f>
        <v>NDL</v>
      </c>
      <c r="D54" s="1">
        <f>VLOOKUP($B54,[6]TrtCodes!$B$11:J64,3)</f>
        <v>12</v>
      </c>
      <c r="E54" s="1">
        <f>VLOOKUP($B54,[6]TrtCodes!$B$11:K64,4)</f>
        <v>2</v>
      </c>
      <c r="F54" s="1">
        <f>VLOOKUP($B54,[6]TrtCodes!$B$11:L64,5)</f>
        <v>3</v>
      </c>
      <c r="G54" s="1">
        <f>VLOOKUP($B54,[6]TrtCodes!$B$11:M64,6)</f>
        <v>1</v>
      </c>
      <c r="H54" s="1">
        <f>VLOOKUP($B54,[6]TrtCodes!$B$11:N64,7)</f>
        <v>2</v>
      </c>
      <c r="I54" s="1">
        <f>[6]FormattedData!B21</f>
        <v>2</v>
      </c>
      <c r="J54" s="4">
        <f>[6]FormattedData!C21</f>
        <v>13.148</v>
      </c>
      <c r="K54" s="6">
        <f>$J$3+[6]FormattedData!D21*$J$4+$M$4*$J$5+[6]FormattedData!D21^2*$J$6+$M$5*$J$7</f>
        <v>31.225816374763788</v>
      </c>
      <c r="L54" s="6">
        <f>$J$3+[6]FormattedData!E21*$J$4+$M$4*$J$5+[6]FormattedData!E21^2*$J$6+$M$5*$J$7</f>
        <v>34.586191654002448</v>
      </c>
      <c r="M54" s="6">
        <f>$J$3+[6]FormattedData!F21*$J$4+$M$4*$J$5+[6]FormattedData!F21^2*$J$6+$M$5*$J$7</f>
        <v>30.741535909650871</v>
      </c>
      <c r="N54" s="6">
        <f>$J$3+[6]FormattedData!G21*$J$4+$M$4*$J$5+[6]FormattedData!G21^2*$J$6+$M$5*$J$7</f>
        <v>30.547527843840182</v>
      </c>
      <c r="O54" s="6">
        <f>$J$3+[6]FormattedData!H21*$J$4+$M$4*$J$5+[6]FormattedData!H21^2*$J$6+$M$5*$J$7</f>
        <v>31.709040126428434</v>
      </c>
      <c r="P54" s="6">
        <f>$J$3+[6]FormattedData!I21*$J$4+$M$4*$J$5+[6]FormattedData!I21^2*$J$6+$M$5*$J$7</f>
        <v>31.129044818817071</v>
      </c>
      <c r="Q54" s="6">
        <f>$J$3+[6]FormattedData!J21*$J$4+$M$4*$J$5+[6]FormattedData!J21^2*$J$6+$M$5*$J$7</f>
        <v>31.032230994332412</v>
      </c>
      <c r="R54" s="6">
        <f>$J$3+[6]FormattedData!K21*$J$4+$M$4*$J$5+[6]FormattedData!K21^2*$J$6+$M$5*$J$7</f>
        <v>29.57495140251088</v>
      </c>
      <c r="S54" s="6">
        <f>$J$3+[6]FormattedData!L21*$J$4+$M$4*$J$5+[6]FormattedData!L21^2*$J$6+$M$5*$J$7</f>
        <v>29.672399255064505</v>
      </c>
      <c r="T54" s="6">
        <f>$J$3+[6]FormattedData!M21*$J$4+$M$4*$J$5+[6]FormattedData!M21^2*$J$6+$M$5*$J$7</f>
        <v>30.450460408127945</v>
      </c>
      <c r="U54" s="6">
        <f>$J$3+[6]FormattedData!N21*$J$4+$M$4*$J$5+[6]FormattedData!N21^2*$J$6+$M$5*$J$7</f>
        <v>28.793846914716401</v>
      </c>
      <c r="V54" s="6">
        <f>$J$3+[6]FormattedData!O21*$J$4+$M$4*$J$5+[6]FormattedData!O21^2*$J$6+$M$5*$J$7</f>
        <v>28.793846914716401</v>
      </c>
      <c r="W54" s="5">
        <f t="shared" si="9"/>
        <v>30.688074384747619</v>
      </c>
      <c r="X54" s="4">
        <f t="shared" si="10"/>
        <v>0.44692264651517283</v>
      </c>
      <c r="Y54" s="3">
        <f t="shared" si="11"/>
        <v>28.793846914716401</v>
      </c>
      <c r="Z54" s="2">
        <f t="shared" si="12"/>
        <v>29.648037291926098</v>
      </c>
      <c r="AA54" s="3">
        <f t="shared" si="13"/>
        <v>30.644531876745525</v>
      </c>
      <c r="AB54" s="2">
        <f t="shared" si="14"/>
        <v>31.153237707803751</v>
      </c>
      <c r="AC54" s="2">
        <f t="shared" si="15"/>
        <v>34.586191654002448</v>
      </c>
      <c r="AD54" s="2">
        <f t="shared" si="16"/>
        <v>1.3094808250153547</v>
      </c>
      <c r="AE54" s="2">
        <f t="shared" si="17"/>
        <v>3.1109360150362955</v>
      </c>
    </row>
    <row r="55" spans="2:31" x14ac:dyDescent="0.2">
      <c r="B55" s="1">
        <f>[6]FormattedData!A19</f>
        <v>106</v>
      </c>
      <c r="C55" s="1" t="str">
        <f>VLOOKUP($B55,[6]TrtCodes!$B$11:I62,2)</f>
        <v>NTH</v>
      </c>
      <c r="D55" s="1">
        <f>VLOOKUP($B55,[6]TrtCodes!$B$11:J62,3)</f>
        <v>9</v>
      </c>
      <c r="E55" s="1">
        <f>VLOOKUP($B55,[6]TrtCodes!$B$11:K62,4)</f>
        <v>2</v>
      </c>
      <c r="F55" s="1">
        <f>VLOOKUP($B55,[6]TrtCodes!$B$11:L62,5)</f>
        <v>2</v>
      </c>
      <c r="G55" s="1">
        <f>VLOOKUP($B55,[6]TrtCodes!$B$11:M62,6)</f>
        <v>2</v>
      </c>
      <c r="H55" s="1">
        <f>VLOOKUP($B55,[6]TrtCodes!$B$11:N62,7)</f>
        <v>2</v>
      </c>
      <c r="I55" s="1">
        <f>[6]FormattedData!B19</f>
        <v>2</v>
      </c>
      <c r="J55" s="4">
        <f>[6]FormattedData!C19</f>
        <v>13.131</v>
      </c>
      <c r="K55" s="6">
        <f>$J$3+[6]FormattedData!D19*$J$4+$M$4*$J$5+[6]FormattedData!D19^2*$J$6+$M$5*$J$7</f>
        <v>32.191207164644794</v>
      </c>
      <c r="L55" s="6">
        <f>$J$3+[6]FormattedData!E19*$J$4+$M$4*$J$5+[6]FormattedData!E19^2*$J$6+$M$5*$J$7</f>
        <v>31.61247991317137</v>
      </c>
      <c r="M55" s="6">
        <f>$J$3+[6]FormattedData!F19*$J$4+$M$4*$J$5+[6]FormattedData!F19^2*$J$6+$M$5*$J$7</f>
        <v>31.90203374732878</v>
      </c>
      <c r="N55" s="6">
        <f>$J$3+[6]FormattedData!G19*$J$4+$M$4*$J$5+[6]FormattedData!G19^2*$J$6+$M$5*$J$7</f>
        <v>32.383778100165834</v>
      </c>
      <c r="O55" s="6">
        <f>$J$3+[6]FormattedData!H19*$J$4+$M$4*$J$5+[6]FormattedData!H19^2*$J$6+$M$5*$J$7</f>
        <v>33.056444915544589</v>
      </c>
      <c r="P55" s="6">
        <f>$J$3+[6]FormattedData!I19*$J$4+$M$4*$J$5+[6]FormattedData!I19^2*$J$6+$M$5*$J$7</f>
        <v>32.768412748752709</v>
      </c>
      <c r="Q55" s="6">
        <f>$J$3+[6]FormattedData!J19*$J$4+$M$4*$J$5+[6]FormattedData!J19^2*$J$6+$M$5*$J$7</f>
        <v>32.864465739554603</v>
      </c>
      <c r="R55" s="6">
        <f>$J$3+[6]FormattedData!K19*$J$4+$M$4*$J$5+[6]FormattedData!K19^2*$J$6+$M$5*$J$7</f>
        <v>33.152371100732694</v>
      </c>
      <c r="S55" s="6">
        <f>$J$3+[6]FormattedData!L19*$J$4+$M$4*$J$5+[6]FormattedData!L19^2*$J$6+$M$5*$J$7</f>
        <v>32.576179961535132</v>
      </c>
      <c r="T55" s="6">
        <f>$J$3+[6]FormattedData!M19*$J$4+$M$4*$J$5+[6]FormattedData!M19^2*$J$6+$M$5*$J$7</f>
        <v>32.576179961535132</v>
      </c>
      <c r="U55" s="6">
        <f>$J$3+[6]FormattedData!N19*$J$4+$M$4*$J$5+[6]FormattedData!N19^2*$J$6+$M$5*$J$7</f>
        <v>33.727040572564732</v>
      </c>
      <c r="V55" s="6">
        <f>$J$3+[6]FormattedData!O19*$J$4+$M$4*$J$5+[6]FormattedData!O19^2*$J$6+$M$5*$J$7</f>
        <v>32.09485829407739</v>
      </c>
      <c r="W55" s="5">
        <f t="shared" si="9"/>
        <v>32.575454351633979</v>
      </c>
      <c r="X55" s="4">
        <f t="shared" si="10"/>
        <v>0.16983214968166088</v>
      </c>
      <c r="Y55" s="3">
        <f t="shared" si="11"/>
        <v>31.61247991317137</v>
      </c>
      <c r="Z55" s="2">
        <f t="shared" si="12"/>
        <v>32.167119947002945</v>
      </c>
      <c r="AA55" s="3">
        <f t="shared" si="13"/>
        <v>32.576179961535132</v>
      </c>
      <c r="AB55" s="2">
        <f t="shared" si="14"/>
        <v>32.9124605335521</v>
      </c>
      <c r="AC55" s="2">
        <f t="shared" si="15"/>
        <v>33.727040572564732</v>
      </c>
      <c r="AD55" s="2">
        <f t="shared" si="16"/>
        <v>0.26178538802849621</v>
      </c>
      <c r="AE55" s="2">
        <f t="shared" si="17"/>
        <v>9.3425150390249456E-3</v>
      </c>
    </row>
    <row r="56" spans="2:31" x14ac:dyDescent="0.2">
      <c r="B56" s="1">
        <f>[6]FormattedData!A17</f>
        <v>107</v>
      </c>
      <c r="C56" s="1" t="str">
        <f>VLOOKUP($B56,[6]TrtCodes!$B$11:I60,2)</f>
        <v>NTL</v>
      </c>
      <c r="D56" s="1">
        <f>VLOOKUP($B56,[6]TrtCodes!$B$11:J60,3)</f>
        <v>10</v>
      </c>
      <c r="E56" s="1">
        <f>VLOOKUP($B56,[6]TrtCodes!$B$11:K60,4)</f>
        <v>2</v>
      </c>
      <c r="F56" s="1">
        <f>VLOOKUP($B56,[6]TrtCodes!$B$11:L60,5)</f>
        <v>2</v>
      </c>
      <c r="G56" s="1">
        <f>VLOOKUP($B56,[6]TrtCodes!$B$11:M60,6)</f>
        <v>1</v>
      </c>
      <c r="H56" s="1">
        <f>VLOOKUP($B56,[6]TrtCodes!$B$11:N60,7)</f>
        <v>2</v>
      </c>
      <c r="I56" s="1">
        <f>[6]FormattedData!B17</f>
        <v>2</v>
      </c>
      <c r="J56" s="4">
        <f>[6]FormattedData!C17</f>
        <v>13.115</v>
      </c>
      <c r="K56" s="6">
        <f>$J$3+[6]FormattedData!D17*$J$4+$M$4*$J$5+[6]FormattedData!D17^2*$J$6+$M$5*$J$7</f>
        <v>30.159004489763639</v>
      </c>
      <c r="L56" s="6">
        <f>$J$3+[6]FormattedData!E17*$J$4+$M$4*$J$5+[6]FormattedData!E17^2*$J$6+$M$5*$J$7</f>
        <v>31.515877431376374</v>
      </c>
      <c r="M56" s="6">
        <f>$J$3+[6]FormattedData!F17*$J$4+$M$4*$J$5+[6]FormattedData!F17^2*$J$6+$M$5*$J$7</f>
        <v>31.129044818817071</v>
      </c>
      <c r="N56" s="6">
        <f>$J$3+[6]FormattedData!G17*$J$4+$M$4*$J$5+[6]FormattedData!G17^2*$J$6+$M$5*$J$7</f>
        <v>31.225816374763788</v>
      </c>
      <c r="O56" s="6">
        <f>$J$3+[6]FormattedData!H17*$J$4+$M$4*$J$5+[6]FormattedData!H17^2*$J$6+$M$5*$J$7</f>
        <v>32.576179961535132</v>
      </c>
      <c r="P56" s="6">
        <f>$J$3+[6]FormattedData!I17*$J$4+$M$4*$J$5+[6]FormattedData!I17^2*$J$6+$M$5*$J$7</f>
        <v>30.06176797989967</v>
      </c>
      <c r="Q56" s="6">
        <f>$J$3+[6]FormattedData!J17*$J$4+$M$4*$J$5+[6]FormattedData!J17^2*$J$6+$M$5*$J$7</f>
        <v>33.24825501738286</v>
      </c>
      <c r="R56" s="6">
        <f>$J$3+[6]FormattedData!K17*$J$4+$M$4*$J$5+[6]FormattedData!K17^2*$J$6+$M$5*$J$7</f>
        <v>32.576179961535132</v>
      </c>
      <c r="S56" s="6">
        <f>$J$3+[6]FormattedData!L17*$J$4+$M$4*$J$5+[6]FormattedData!L17^2*$J$6+$M$5*$J$7</f>
        <v>32.576179961535132</v>
      </c>
      <c r="T56" s="6">
        <f>$J$3+[6]FormattedData!M17*$J$4+$M$4*$J$5+[6]FormattedData!M17^2*$J$6+$M$5*$J$7</f>
        <v>31.709040126428434</v>
      </c>
      <c r="U56" s="6">
        <f>$J$3+[6]FormattedData!N17*$J$4+$M$4*$J$5+[6]FormattedData!N17^2*$J$6+$M$5*$J$7</f>
        <v>32.191207164644794</v>
      </c>
      <c r="V56" s="6">
        <f>$J$3+[6]FormattedData!O17*$J$4+$M$4*$J$5+[6]FormattedData!O17^2*$J$6+$M$5*$J$7</f>
        <v>33.24825501738286</v>
      </c>
      <c r="W56" s="5">
        <f t="shared" si="9"/>
        <v>31.851400692088735</v>
      </c>
      <c r="X56" s="4">
        <f t="shared" si="10"/>
        <v>0.31026349632797851</v>
      </c>
      <c r="Y56" s="3">
        <f t="shared" si="11"/>
        <v>30.06176797989967</v>
      </c>
      <c r="Z56" s="2">
        <f t="shared" si="12"/>
        <v>31.201623485777109</v>
      </c>
      <c r="AA56" s="3">
        <f t="shared" si="13"/>
        <v>31.950123645536614</v>
      </c>
      <c r="AB56" s="2">
        <f t="shared" si="14"/>
        <v>32.576179961535132</v>
      </c>
      <c r="AC56" s="2">
        <f t="shared" si="15"/>
        <v>33.24825501738286</v>
      </c>
      <c r="AD56" s="2">
        <f t="shared" si="16"/>
        <v>-0.40498392375514364</v>
      </c>
      <c r="AE56" s="2">
        <f t="shared" si="17"/>
        <v>-0.80298091194342858</v>
      </c>
    </row>
    <row r="57" spans="2:31" x14ac:dyDescent="0.2">
      <c r="B57" s="1">
        <f>[6]FormattedData!A15</f>
        <v>108</v>
      </c>
      <c r="C57" s="1" t="str">
        <f>VLOOKUP($B57,[6]TrtCodes!$B$11:I58,2)</f>
        <v>FTH</v>
      </c>
      <c r="D57" s="1">
        <f>VLOOKUP($B57,[6]TrtCodes!$B$11:J58,3)</f>
        <v>3</v>
      </c>
      <c r="E57" s="1">
        <f>VLOOKUP($B57,[6]TrtCodes!$B$11:K58,4)</f>
        <v>1</v>
      </c>
      <c r="F57" s="1">
        <f>VLOOKUP($B57,[6]TrtCodes!$B$11:L58,5)</f>
        <v>2</v>
      </c>
      <c r="G57" s="1">
        <f>VLOOKUP($B57,[6]TrtCodes!$B$11:M58,6)</f>
        <v>2</v>
      </c>
      <c r="H57" s="1">
        <f>VLOOKUP($B57,[6]TrtCodes!$B$11:N58,7)</f>
        <v>2</v>
      </c>
      <c r="I57" s="1">
        <f>[6]FormattedData!B15</f>
        <v>2</v>
      </c>
      <c r="J57" s="4">
        <f>[6]FormattedData!C15</f>
        <v>13.097</v>
      </c>
      <c r="K57" s="6">
        <f>$J$3+[6]FormattedData!D15*$J$4+$M$4*$J$5+[6]FormattedData!D15^2*$J$6+$M$5*$J$7</f>
        <v>29.964489201497777</v>
      </c>
      <c r="L57" s="6">
        <f>$J$3+[6]FormattedData!E15*$J$4+$M$4*$J$5+[6]FormattedData!E15^2*$J$6+$M$5*$J$7</f>
        <v>29.57495140251088</v>
      </c>
      <c r="M57" s="6">
        <f>$J$3+[6]FormattedData!F15*$J$4+$M$4*$J$5+[6]FormattedData!F15^2*$J$6+$M$5*$J$7</f>
        <v>28.500235300917605</v>
      </c>
      <c r="N57" s="6">
        <f>$J$3+[6]FormattedData!G15*$J$4+$M$4*$J$5+[6]FormattedData!G15^2*$J$6+$M$5*$J$7</f>
        <v>29.282354233622435</v>
      </c>
      <c r="O57" s="6">
        <f>$J$3+[6]FormattedData!H15*$J$4+$M$4*$J$5+[6]FormattedData!H15^2*$J$6+$M$5*$J$7</f>
        <v>29.672399255064505</v>
      </c>
      <c r="P57" s="6">
        <f>$J$3+[6]FormattedData!I15*$J$4+$M$4*$J$5+[6]FormattedData!I15^2*$J$6+$M$5*$J$7</f>
        <v>30.256198731089668</v>
      </c>
      <c r="Q57" s="6">
        <f>$J$3+[6]FormattedData!J15*$J$4+$M$4*$J$5+[6]FormattedData!J15^2*$J$6+$M$5*$J$7</f>
        <v>29.867168154557955</v>
      </c>
      <c r="R57" s="6">
        <f>$J$3+[6]FormattedData!K15*$J$4+$M$4*$J$5+[6]FormattedData!K15^2*$J$6+$M$5*$J$7</f>
        <v>29.477461281419334</v>
      </c>
      <c r="S57" s="6">
        <f>$J$3+[6]FormattedData!L15*$J$4+$M$4*$J$5+[6]FormattedData!L15^2*$J$6+$M$5*$J$7</f>
        <v>30.06176797989967</v>
      </c>
      <c r="T57" s="6">
        <f>$J$3+[6]FormattedData!M15*$J$4+$M$4*$J$5+[6]FormattedData!M15^2*$J$6+$M$5*$J$7</f>
        <v>30.547527843840182</v>
      </c>
      <c r="U57" s="6">
        <f>$J$3+[6]FormattedData!N15*$J$4+$M$4*$J$5+[6]FormattedData!N15^2*$J$6+$M$5*$J$7</f>
        <v>31.419232681043443</v>
      </c>
      <c r="V57" s="6">
        <f>$J$3+[6]FormattedData!O15*$J$4+$M$4*$J$5+[6]FormattedData!O15^2*$J$6+$M$5*$J$7</f>
        <v>29.57495140251088</v>
      </c>
      <c r="W57" s="5">
        <f t="shared" si="9"/>
        <v>29.849894788997858</v>
      </c>
      <c r="X57" s="4">
        <f t="shared" si="10"/>
        <v>0.20666908879889087</v>
      </c>
      <c r="Y57" s="3">
        <f t="shared" si="11"/>
        <v>28.500235300917605</v>
      </c>
      <c r="Z57" s="2">
        <f t="shared" si="12"/>
        <v>29.550578872237992</v>
      </c>
      <c r="AA57" s="3">
        <f t="shared" si="13"/>
        <v>29.769783704811232</v>
      </c>
      <c r="AB57" s="2">
        <f t="shared" si="14"/>
        <v>30.11037566769717</v>
      </c>
      <c r="AC57" s="2">
        <f t="shared" si="15"/>
        <v>31.419232681043443</v>
      </c>
      <c r="AD57" s="2">
        <f t="shared" si="16"/>
        <v>0.4585764207783346</v>
      </c>
      <c r="AE57" s="2">
        <f t="shared" si="17"/>
        <v>1.8361769537255563</v>
      </c>
    </row>
    <row r="58" spans="2:31" x14ac:dyDescent="0.2">
      <c r="B58" s="1">
        <f>[6]FormattedData!A31</f>
        <v>201</v>
      </c>
      <c r="C58" s="1" t="str">
        <f>VLOOKUP($B58,[6]TrtCodes!$B$11:I74,2)</f>
        <v>NDL</v>
      </c>
      <c r="D58" s="1">
        <f>VLOOKUP($B58,[6]TrtCodes!$B$11:J74,3)</f>
        <v>12</v>
      </c>
      <c r="E58" s="1">
        <f>VLOOKUP($B58,[6]TrtCodes!$B$11:K74,4)</f>
        <v>2</v>
      </c>
      <c r="F58" s="1">
        <f>VLOOKUP($B58,[6]TrtCodes!$B$11:L74,5)</f>
        <v>3</v>
      </c>
      <c r="G58" s="1">
        <f>VLOOKUP($B58,[6]TrtCodes!$B$11:M74,6)</f>
        <v>1</v>
      </c>
      <c r="H58" s="1">
        <f>VLOOKUP($B58,[6]TrtCodes!$B$11:N74,7)</f>
        <v>1</v>
      </c>
      <c r="I58" s="1">
        <f>[6]FormattedData!B31</f>
        <v>2</v>
      </c>
      <c r="J58" s="4">
        <f>[6]FormattedData!C31</f>
        <v>13.24</v>
      </c>
      <c r="K58" s="6">
        <f>$J$3+[6]FormattedData!D31*$J$4+$M$4*$J$5+[6]FormattedData!D31^2*$J$6+$M$5*$J$7</f>
        <v>32.191207164644794</v>
      </c>
      <c r="L58" s="6">
        <f>$J$3+[6]FormattedData!E31*$J$4+$M$4*$J$5+[6]FormattedData!E31^2*$J$6+$M$5*$J$7</f>
        <v>30.450460408127945</v>
      </c>
      <c r="M58" s="6">
        <f>$J$3+[6]FormattedData!F31*$J$4+$M$4*$J$5+[6]FormattedData!F31^2*$J$6+$M$5*$J$7</f>
        <v>32.576179961535132</v>
      </c>
      <c r="N58" s="6">
        <f>$J$3+[6]FormattedData!G31*$J$4+$M$4*$J$5+[6]FormattedData!G31^2*$J$6+$M$5*$J$7</f>
        <v>31.419232681043443</v>
      </c>
      <c r="O58" s="6">
        <f>$J$3+[6]FormattedData!H31*$J$4+$M$4*$J$5+[6]FormattedData!H31^2*$J$6+$M$5*$J$7</f>
        <v>31.419232681043443</v>
      </c>
      <c r="P58" s="6">
        <f>$J$3+[6]FormattedData!I31*$J$4+$M$4*$J$5+[6]FormattedData!I31^2*$J$6+$M$5*$J$7</f>
        <v>31.61247991317137</v>
      </c>
      <c r="Q58" s="6">
        <f>$J$3+[6]FormattedData!J31*$J$4+$M$4*$J$5+[6]FormattedData!J31^2*$J$6+$M$5*$J$7</f>
        <v>30.256198731089668</v>
      </c>
      <c r="R58" s="6">
        <f>$J$3+[6]FormattedData!K31*$J$4+$M$4*$J$5+[6]FormattedData!K31^2*$J$6+$M$5*$J$7</f>
        <v>30.935374901309832</v>
      </c>
      <c r="S58" s="6">
        <f>$J$3+[6]FormattedData!L31*$J$4+$M$4*$J$5+[6]FormattedData!L31^2*$J$6+$M$5*$J$7</f>
        <v>30.547527843840182</v>
      </c>
      <c r="T58" s="6">
        <f>$J$3+[6]FormattedData!M31*$J$4+$M$4*$J$5+[6]FormattedData!M31^2*$J$6+$M$5*$J$7</f>
        <v>32.576179961535132</v>
      </c>
      <c r="U58" s="6">
        <f>$J$3+[6]FormattedData!N31*$J$4+$M$4*$J$5+[6]FormattedData!N31^2*$J$6+$M$5*$J$7</f>
        <v>32.09485829407739</v>
      </c>
      <c r="V58" s="6">
        <f>$J$3+[6]FormattedData!O31*$J$4+$M$4*$J$5+[6]FormattedData!O31^2*$J$6+$M$5*$J$7</f>
        <v>31.90203374732878</v>
      </c>
      <c r="W58" s="5">
        <f t="shared" si="9"/>
        <v>31.49841385739559</v>
      </c>
      <c r="X58" s="4">
        <f t="shared" si="10"/>
        <v>0.23370904939932199</v>
      </c>
      <c r="Y58" s="3">
        <f t="shared" si="11"/>
        <v>30.256198731089668</v>
      </c>
      <c r="Z58" s="2">
        <f t="shared" si="12"/>
        <v>30.838413136942421</v>
      </c>
      <c r="AA58" s="3">
        <f t="shared" si="13"/>
        <v>31.515856297107405</v>
      </c>
      <c r="AB58" s="2">
        <f t="shared" si="14"/>
        <v>32.11894551171924</v>
      </c>
      <c r="AC58" s="2">
        <f t="shared" si="15"/>
        <v>32.576179961535132</v>
      </c>
      <c r="AD58" s="2">
        <f t="shared" si="16"/>
        <v>-0.20378168705641345</v>
      </c>
      <c r="AE58" s="2">
        <f t="shared" si="17"/>
        <v>-1.2502681022379756</v>
      </c>
    </row>
    <row r="59" spans="2:31" x14ac:dyDescent="0.2">
      <c r="B59" s="1">
        <f>[6]FormattedData!A33</f>
        <v>202</v>
      </c>
      <c r="C59" s="1" t="str">
        <f>VLOOKUP($B59,[6]TrtCodes!$B$11:I76,2)</f>
        <v>NTH</v>
      </c>
      <c r="D59" s="1">
        <f>VLOOKUP($B59,[6]TrtCodes!$B$11:J76,3)</f>
        <v>9</v>
      </c>
      <c r="E59" s="1">
        <f>VLOOKUP($B59,[6]TrtCodes!$B$11:K76,4)</f>
        <v>2</v>
      </c>
      <c r="F59" s="1">
        <f>VLOOKUP($B59,[6]TrtCodes!$B$11:L76,5)</f>
        <v>2</v>
      </c>
      <c r="G59" s="1">
        <f>VLOOKUP($B59,[6]TrtCodes!$B$11:M76,6)</f>
        <v>2</v>
      </c>
      <c r="H59" s="1">
        <f>VLOOKUP($B59,[6]TrtCodes!$B$11:N76,7)</f>
        <v>1</v>
      </c>
      <c r="I59" s="1">
        <f>[6]FormattedData!B33</f>
        <v>2</v>
      </c>
      <c r="J59" s="4">
        <f>[6]FormattedData!C33</f>
        <v>13.257999999999999</v>
      </c>
      <c r="K59" s="6">
        <f>$J$3+[6]FormattedData!D33*$J$4+$M$4*$J$5+[6]FormattedData!D33^2*$J$6+$M$5*$J$7</f>
        <v>33.91825891487197</v>
      </c>
      <c r="L59" s="6">
        <f>$J$3+[6]FormattedData!E33*$J$4+$M$4*$J$5+[6]FormattedData!E33^2*$J$6+$M$5*$J$7</f>
        <v>33.822670877987321</v>
      </c>
      <c r="M59" s="6">
        <f>$J$3+[6]FormattedData!F33*$J$4+$M$4*$J$5+[6]FormattedData!F33^2*$J$6+$M$5*$J$7</f>
        <v>33.056444915544589</v>
      </c>
      <c r="N59" s="6">
        <f>$J$3+[6]FormattedData!G33*$J$4+$M$4*$J$5+[6]FormattedData!G33^2*$J$6+$M$5*$J$7</f>
        <v>32.672317489412883</v>
      </c>
      <c r="O59" s="6">
        <f>$J$3+[6]FormattedData!H33*$J$4+$M$4*$J$5+[6]FormattedData!H33^2*$J$6+$M$5*$J$7</f>
        <v>33.822670877987321</v>
      </c>
      <c r="P59" s="6">
        <f>$J$3+[6]FormattedData!I33*$J$4+$M$4*$J$5+[6]FormattedData!I33^2*$J$6+$M$5*$J$7</f>
        <v>33.727040572564732</v>
      </c>
      <c r="Q59" s="6">
        <f>$J$3+[6]FormattedData!J33*$J$4+$M$4*$J$5+[6]FormattedData!J33^2*$J$6+$M$5*$J$7</f>
        <v>33.344096665495101</v>
      </c>
      <c r="R59" s="6">
        <f>$J$3+[6]FormattedData!K33*$J$4+$M$4*$J$5+[6]FormattedData!K33^2*$J$6+$M$5*$J$7</f>
        <v>33.439896045069403</v>
      </c>
      <c r="S59" s="6">
        <f>$J$3+[6]FormattedData!L33*$J$4+$M$4*$J$5+[6]FormattedData!L33^2*$J$6+$M$5*$J$7</f>
        <v>34.01380468321868</v>
      </c>
      <c r="T59" s="6">
        <f>$J$3+[6]FormattedData!M33*$J$4+$M$4*$J$5+[6]FormattedData!M33^2*$J$6+$M$5*$J$7</f>
        <v>32.191207164644794</v>
      </c>
      <c r="U59" s="6">
        <f>$J$3+[6]FormattedData!N33*$J$4+$M$4*$J$5+[6]FormattedData!N33^2*$J$6+$M$5*$J$7</f>
        <v>33.535653156105774</v>
      </c>
      <c r="V59" s="6">
        <f>$J$3+[6]FormattedData!O33*$J$4+$M$4*$J$5+[6]FormattedData!O33^2*$J$6+$M$5*$J$7</f>
        <v>32.191207164644794</v>
      </c>
      <c r="W59" s="5">
        <f t="shared" si="9"/>
        <v>33.311272377295609</v>
      </c>
      <c r="X59" s="4">
        <f t="shared" si="10"/>
        <v>0.18684309378542693</v>
      </c>
      <c r="Y59" s="3">
        <f t="shared" si="11"/>
        <v>32.191207164644794</v>
      </c>
      <c r="Z59" s="2">
        <f t="shared" si="12"/>
        <v>32.960413059011664</v>
      </c>
      <c r="AA59" s="3">
        <f t="shared" si="13"/>
        <v>33.487774600587585</v>
      </c>
      <c r="AB59" s="2">
        <f t="shared" si="14"/>
        <v>33.822670877987321</v>
      </c>
      <c r="AC59" s="2">
        <f t="shared" si="15"/>
        <v>34.01380468321868</v>
      </c>
      <c r="AD59" s="2">
        <f t="shared" si="16"/>
        <v>-0.87087576064485062</v>
      </c>
      <c r="AE59" s="2">
        <f t="shared" si="17"/>
        <v>-0.56078904859494205</v>
      </c>
    </row>
    <row r="60" spans="2:31" x14ac:dyDescent="0.2">
      <c r="B60" s="1">
        <f>[6]FormattedData!A35</f>
        <v>203</v>
      </c>
      <c r="C60" s="1" t="str">
        <f>VLOOKUP($B60,[6]TrtCodes!$B$11:I78,2)</f>
        <v>FTH</v>
      </c>
      <c r="D60" s="1">
        <f>VLOOKUP($B60,[6]TrtCodes!$B$11:J78,3)</f>
        <v>3</v>
      </c>
      <c r="E60" s="1">
        <f>VLOOKUP($B60,[6]TrtCodes!$B$11:K78,4)</f>
        <v>1</v>
      </c>
      <c r="F60" s="1">
        <f>VLOOKUP($B60,[6]TrtCodes!$B$11:L78,5)</f>
        <v>2</v>
      </c>
      <c r="G60" s="1">
        <f>VLOOKUP($B60,[6]TrtCodes!$B$11:M78,6)</f>
        <v>2</v>
      </c>
      <c r="H60" s="1">
        <f>VLOOKUP($B60,[6]TrtCodes!$B$11:N78,7)</f>
        <v>1</v>
      </c>
      <c r="I60" s="1">
        <f>[6]FormattedData!B35</f>
        <v>2</v>
      </c>
      <c r="J60" s="4">
        <f>[6]FormattedData!C35</f>
        <v>13.275</v>
      </c>
      <c r="K60" s="6">
        <f>$J$3+[6]FormattedData!D35*$J$4+$M$4*$J$5+[6]FormattedData!D35^2*$J$6+$M$5*$J$7</f>
        <v>29.282354233622435</v>
      </c>
      <c r="L60" s="6">
        <f>$J$3+[6]FormattedData!E35*$J$4+$M$4*$J$5+[6]FormattedData!E35^2*$J$6+$M$5*$J$7</f>
        <v>30.838476539749319</v>
      </c>
      <c r="M60" s="6">
        <f>$J$3+[6]FormattedData!F35*$J$4+$M$4*$J$5+[6]FormattedData!F35^2*$J$6+$M$5*$J$7</f>
        <v>30.741535909650871</v>
      </c>
      <c r="N60" s="6">
        <f>$J$3+[6]FormattedData!G35*$J$4+$M$4*$J$5+[6]FormattedData!G35^2*$J$6+$M$5*$J$7</f>
        <v>30.450460408127945</v>
      </c>
      <c r="O60" s="6">
        <f>$J$3+[6]FormattedData!H35*$J$4+$M$4*$J$5+[6]FormattedData!H35^2*$J$6+$M$5*$J$7</f>
        <v>31.61247991317137</v>
      </c>
      <c r="P60" s="6">
        <f>$J$3+[6]FormattedData!I35*$J$4+$M$4*$J$5+[6]FormattedData!I35^2*$J$6+$M$5*$J$7</f>
        <v>28.989376647892609</v>
      </c>
      <c r="Q60" s="6">
        <f>$J$3+[6]FormattedData!J35*$J$4+$M$4*$J$5+[6]FormattedData!J35^2*$J$6+$M$5*$J$7</f>
        <v>30.256198731089668</v>
      </c>
      <c r="R60" s="6">
        <f>$J$3+[6]FormattedData!K35*$J$4+$M$4*$J$5+[6]FormattedData!K35^2*$J$6+$M$5*$J$7</f>
        <v>30.353350703877776</v>
      </c>
      <c r="S60" s="6">
        <f>$J$3+[6]FormattedData!L35*$J$4+$M$4*$J$5+[6]FormattedData!L35^2*$J$6+$M$5*$J$7</f>
        <v>29.769804839080191</v>
      </c>
      <c r="T60" s="6">
        <f>$J$3+[6]FormattedData!M35*$J$4+$M$4*$J$5+[6]FormattedData!M35^2*$J$6+$M$5*$J$7</f>
        <v>29.867168154557955</v>
      </c>
      <c r="U60" s="6">
        <f>$J$3+[6]FormattedData!N35*$J$4+$M$4*$J$5+[6]FormattedData!N35^2*$J$6+$M$5*$J$7</f>
        <v>29.867168154557955</v>
      </c>
      <c r="V60" s="6">
        <f>$J$3+[6]FormattedData!O35*$J$4+$M$4*$J$5+[6]FormattedData!O35^2*$J$6+$M$5*$J$7</f>
        <v>29.867168154557955</v>
      </c>
      <c r="W60" s="5">
        <f t="shared" si="9"/>
        <v>30.157961865827996</v>
      </c>
      <c r="X60" s="4">
        <f t="shared" si="10"/>
        <v>0.20577446603646388</v>
      </c>
      <c r="Y60" s="3">
        <f t="shared" si="11"/>
        <v>28.989376647892609</v>
      </c>
      <c r="Z60" s="2">
        <f t="shared" si="12"/>
        <v>29.842827325688514</v>
      </c>
      <c r="AA60" s="3">
        <f t="shared" si="13"/>
        <v>30.061683442823814</v>
      </c>
      <c r="AB60" s="2">
        <f t="shared" si="14"/>
        <v>30.523229283508677</v>
      </c>
      <c r="AC60" s="2">
        <f t="shared" si="15"/>
        <v>31.61247991317137</v>
      </c>
      <c r="AD60" s="2">
        <f t="shared" si="16"/>
        <v>0.36900481434918009</v>
      </c>
      <c r="AE60" s="2">
        <f t="shared" si="17"/>
        <v>0.42934615818493516</v>
      </c>
    </row>
    <row r="61" spans="2:31" x14ac:dyDescent="0.2">
      <c r="B61" s="1">
        <f>[6]FormattedData!A37</f>
        <v>204</v>
      </c>
      <c r="C61" s="1" t="str">
        <f>VLOOKUP($B61,[6]TrtCodes!$B$11:I80,2)</f>
        <v>NDH</v>
      </c>
      <c r="D61" s="1">
        <f>VLOOKUP($B61,[6]TrtCodes!$B$11:J80,3)</f>
        <v>11</v>
      </c>
      <c r="E61" s="1">
        <f>VLOOKUP($B61,[6]TrtCodes!$B$11:K80,4)</f>
        <v>2</v>
      </c>
      <c r="F61" s="1">
        <f>VLOOKUP($B61,[6]TrtCodes!$B$11:L80,5)</f>
        <v>3</v>
      </c>
      <c r="G61" s="1">
        <f>VLOOKUP($B61,[6]TrtCodes!$B$11:M80,6)</f>
        <v>2</v>
      </c>
      <c r="H61" s="1">
        <f>VLOOKUP($B61,[6]TrtCodes!$B$11:N80,7)</f>
        <v>1</v>
      </c>
      <c r="I61" s="1">
        <f>[6]FormattedData!B37</f>
        <v>2</v>
      </c>
      <c r="J61" s="4">
        <f>[6]FormattedData!C37</f>
        <v>13.29</v>
      </c>
      <c r="K61" s="6">
        <f>$J$3+[6]FormattedData!D37*$J$4+$M$4*$J$5+[6]FormattedData!D37^2*$J$6+$M$5*$J$7</f>
        <v>32.672317489412883</v>
      </c>
      <c r="L61" s="6">
        <f>$J$3+[6]FormattedData!E37*$J$4+$M$4*$J$5+[6]FormattedData!E37^2*$J$6+$M$5*$J$7</f>
        <v>31.61247991317137</v>
      </c>
      <c r="M61" s="6">
        <f>$J$3+[6]FormattedData!F37*$J$4+$M$4*$J$5+[6]FormattedData!F37^2*$J$6+$M$5*$J$7</f>
        <v>32.383778100165834</v>
      </c>
      <c r="N61" s="6">
        <f>$J$3+[6]FormattedData!G37*$J$4+$M$4*$J$5+[6]FormattedData!G37^2*$J$6+$M$5*$J$7</f>
        <v>31.805558071147573</v>
      </c>
      <c r="O61" s="6">
        <f>$J$3+[6]FormattedData!H37*$J$4+$M$4*$J$5+[6]FormattedData!H37^2*$J$6+$M$5*$J$7</f>
        <v>30.644553011014494</v>
      </c>
      <c r="P61" s="6">
        <f>$J$3+[6]FormattedData!I37*$J$4+$M$4*$J$5+[6]FormattedData!I37^2*$J$6+$M$5*$J$7</f>
        <v>30.644553011014494</v>
      </c>
      <c r="Q61" s="6">
        <f>$J$3+[6]FormattedData!J37*$J$4+$M$4*$J$5+[6]FormattedData!J37^2*$J$6+$M$5*$J$7</f>
        <v>31.419232681043443</v>
      </c>
      <c r="R61" s="6">
        <f>$J$3+[6]FormattedData!K37*$J$4+$M$4*$J$5+[6]FormattedData!K37^2*$J$6+$M$5*$J$7</f>
        <v>32.09485829407739</v>
      </c>
      <c r="S61" s="6">
        <f>$J$3+[6]FormattedData!L37*$J$4+$M$4*$J$5+[6]FormattedData!L37^2*$J$6+$M$5*$J$7</f>
        <v>31.998467154972051</v>
      </c>
      <c r="T61" s="6">
        <f>$J$3+[6]FormattedData!M37*$J$4+$M$4*$J$5+[6]FormattedData!M37^2*$J$6+$M$5*$J$7</f>
        <v>31.515877431376374</v>
      </c>
      <c r="U61" s="6">
        <f>$J$3+[6]FormattedData!N37*$J$4+$M$4*$J$5+[6]FormattedData!N37^2*$J$6+$M$5*$J$7</f>
        <v>30.935374901309832</v>
      </c>
      <c r="V61" s="6">
        <f>$J$3+[6]FormattedData!O37*$J$4+$M$4*$J$5+[6]FormattedData!O37^2*$J$6+$M$5*$J$7</f>
        <v>31.129044818817071</v>
      </c>
      <c r="W61" s="5">
        <f t="shared" si="9"/>
        <v>31.571341239793572</v>
      </c>
      <c r="X61" s="4">
        <f t="shared" si="10"/>
        <v>0.1892854250057131</v>
      </c>
      <c r="Y61" s="3">
        <f t="shared" si="11"/>
        <v>30.644553011014494</v>
      </c>
      <c r="Z61" s="2">
        <f t="shared" si="12"/>
        <v>31.080627339440262</v>
      </c>
      <c r="AA61" s="3">
        <f t="shared" si="13"/>
        <v>31.564178672273872</v>
      </c>
      <c r="AB61" s="2">
        <f t="shared" si="14"/>
        <v>32.022564939748385</v>
      </c>
      <c r="AC61" s="2">
        <f t="shared" si="15"/>
        <v>32.672317489412883</v>
      </c>
      <c r="AD61" s="2">
        <f t="shared" si="16"/>
        <v>6.4073921345245186E-2</v>
      </c>
      <c r="AE61" s="2">
        <f t="shared" si="17"/>
        <v>-0.88418331239952641</v>
      </c>
    </row>
    <row r="62" spans="2:31" x14ac:dyDescent="0.2">
      <c r="B62" s="1">
        <f>[6]FormattedData!A39</f>
        <v>205</v>
      </c>
      <c r="C62" s="1" t="str">
        <f>VLOOKUP($B62,[6]TrtCodes!$B$11:I82,2)</f>
        <v>FSH</v>
      </c>
      <c r="D62" s="1">
        <f>VLOOKUP($B62,[6]TrtCodes!$B$11:J82,3)</f>
        <v>1</v>
      </c>
      <c r="E62" s="1">
        <f>VLOOKUP($B62,[6]TrtCodes!$B$11:K82,4)</f>
        <v>1</v>
      </c>
      <c r="F62" s="1">
        <f>VLOOKUP($B62,[6]TrtCodes!$B$11:L82,5)</f>
        <v>1</v>
      </c>
      <c r="G62" s="1">
        <f>VLOOKUP($B62,[6]TrtCodes!$B$11:M82,6)</f>
        <v>2</v>
      </c>
      <c r="H62" s="1">
        <f>VLOOKUP($B62,[6]TrtCodes!$B$11:N82,7)</f>
        <v>2</v>
      </c>
      <c r="I62" s="1">
        <f>[6]FormattedData!B39</f>
        <v>2</v>
      </c>
      <c r="J62" s="4">
        <f>[6]FormattedData!C39</f>
        <v>13.305</v>
      </c>
      <c r="K62" s="6">
        <f>$J$3+[6]FormattedData!D39*$J$4+$M$4*$J$5+[6]FormattedData!D39^2*$J$6+$M$5*$J$7</f>
        <v>29.672399255064505</v>
      </c>
      <c r="L62" s="6">
        <f>$J$3+[6]FormattedData!E39*$J$4+$M$4*$J$5+[6]FormattedData!E39^2*$J$6+$M$5*$J$7</f>
        <v>29.282354233622435</v>
      </c>
      <c r="M62" s="6">
        <f>$J$3+[6]FormattedData!F39*$J$4+$M$4*$J$5+[6]FormattedData!F39^2*$J$6+$M$5*$J$7</f>
        <v>29.477461281419334</v>
      </c>
      <c r="N62" s="6">
        <f>$J$3+[6]FormattedData!G39*$J$4+$M$4*$J$5+[6]FormattedData!G39^2*$J$6+$M$5*$J$7</f>
        <v>29.57495140251088</v>
      </c>
      <c r="O62" s="6">
        <f>$J$3+[6]FormattedData!H39*$J$4+$M$4*$J$5+[6]FormattedData!H39^2*$J$6+$M$5*$J$7</f>
        <v>29.964489201497777</v>
      </c>
      <c r="P62" s="6">
        <f>$J$3+[6]FormattedData!I39*$J$4+$M$4*$J$5+[6]FormattedData!I39^2*$J$6+$M$5*$J$7</f>
        <v>28.598148107388468</v>
      </c>
      <c r="Q62" s="6">
        <f>$J$3+[6]FormattedData!J39*$J$4+$M$4*$J$5+[6]FormattedData!J39^2*$J$6+$M$5*$J$7</f>
        <v>29.282354233622435</v>
      </c>
      <c r="R62" s="6">
        <f>$J$3+[6]FormattedData!K39*$J$4+$M$4*$J$5+[6]FormattedData!K39^2*$J$6+$M$5*$J$7</f>
        <v>28.793846914716401</v>
      </c>
      <c r="S62" s="6">
        <f>$J$3+[6]FormattedData!L39*$J$4+$M$4*$J$5+[6]FormattedData!L39^2*$J$6+$M$5*$J$7</f>
        <v>30.353350703877776</v>
      </c>
      <c r="T62" s="6">
        <f>$J$3+[6]FormattedData!M39*$J$4+$M$4*$J$5+[6]FormattedData!M39^2*$J$6+$M$5*$J$7</f>
        <v>28.793846914716401</v>
      </c>
      <c r="U62" s="6">
        <f>$J$3+[6]FormattedData!N39*$J$4+$M$4*$J$5+[6]FormattedData!N39^2*$J$6+$M$5*$J$7</f>
        <v>30.159004489763639</v>
      </c>
      <c r="V62" s="6">
        <f>$J$3+[6]FormattedData!O39*$J$4+$M$4*$J$5+[6]FormattedData!O39^2*$J$6+$M$5*$J$7</f>
        <v>30.450460408127945</v>
      </c>
      <c r="W62" s="5">
        <f t="shared" si="9"/>
        <v>29.533555595527332</v>
      </c>
      <c r="X62" s="4">
        <f t="shared" si="10"/>
        <v>0.17857465071836245</v>
      </c>
      <c r="Y62" s="3">
        <f t="shared" si="11"/>
        <v>28.598148107388468</v>
      </c>
      <c r="Z62" s="2">
        <f t="shared" si="12"/>
        <v>29.160227403895927</v>
      </c>
      <c r="AA62" s="3">
        <f t="shared" si="13"/>
        <v>29.526206341965107</v>
      </c>
      <c r="AB62" s="2">
        <f t="shared" si="14"/>
        <v>30.013118023564243</v>
      </c>
      <c r="AC62" s="2">
        <f t="shared" si="15"/>
        <v>30.450460408127945</v>
      </c>
      <c r="AD62" s="2">
        <f t="shared" si="16"/>
        <v>-4.8801419505027418E-3</v>
      </c>
      <c r="AE62" s="2">
        <f t="shared" si="17"/>
        <v>-1.1077501105080598</v>
      </c>
    </row>
    <row r="63" spans="2:31" x14ac:dyDescent="0.2">
      <c r="B63" s="1">
        <f>[6]FormattedData!A41</f>
        <v>206</v>
      </c>
      <c r="C63" s="1" t="str">
        <f>VLOOKUP($B63,[6]TrtCodes!$B$11:I84,2)</f>
        <v>NSL</v>
      </c>
      <c r="D63" s="1">
        <f>VLOOKUP($B63,[6]TrtCodes!$B$11:J84,3)</f>
        <v>8</v>
      </c>
      <c r="E63" s="1">
        <f>VLOOKUP($B63,[6]TrtCodes!$B$11:K84,4)</f>
        <v>2</v>
      </c>
      <c r="F63" s="1">
        <f>VLOOKUP($B63,[6]TrtCodes!$B$11:L84,5)</f>
        <v>1</v>
      </c>
      <c r="G63" s="1">
        <f>VLOOKUP($B63,[6]TrtCodes!$B$11:M84,6)</f>
        <v>1</v>
      </c>
      <c r="H63" s="1">
        <f>VLOOKUP($B63,[6]TrtCodes!$B$11:N84,7)</f>
        <v>2</v>
      </c>
      <c r="I63" s="1">
        <f>[6]FormattedData!B41</f>
        <v>2</v>
      </c>
      <c r="J63" s="4">
        <f>[6]FormattedData!C41</f>
        <v>13.321999999999999</v>
      </c>
      <c r="K63" s="6">
        <f>$J$3+[6]FormattedData!D41*$J$4+$M$4*$J$5+[6]FormattedData!D41^2*$J$6+$M$5*$J$7</f>
        <v>29.867168154557955</v>
      </c>
      <c r="L63" s="6">
        <f>$J$3+[6]FormattedData!E41*$J$4+$M$4*$J$5+[6]FormattedData!E41^2*$J$6+$M$5*$J$7</f>
        <v>31.515877431376374</v>
      </c>
      <c r="M63" s="6">
        <f>$J$3+[6]FormattedData!F41*$J$4+$M$4*$J$5+[6]FormattedData!F41^2*$J$6+$M$5*$J$7</f>
        <v>30.256198731089668</v>
      </c>
      <c r="N63" s="6">
        <f>$J$3+[6]FormattedData!G41*$J$4+$M$4*$J$5+[6]FormattedData!G41^2*$J$6+$M$5*$J$7</f>
        <v>30.353350703877776</v>
      </c>
      <c r="O63" s="6">
        <f>$J$3+[6]FormattedData!H41*$J$4+$M$4*$J$5+[6]FormattedData!H41^2*$J$6+$M$5*$J$7</f>
        <v>30.741535909650871</v>
      </c>
      <c r="P63" s="6">
        <f>$J$3+[6]FormattedData!I41*$J$4+$M$4*$J$5+[6]FormattedData!I41^2*$J$6+$M$5*$J$7</f>
        <v>32.768412748752709</v>
      </c>
      <c r="Q63" s="6">
        <f>$J$3+[6]FormattedData!J41*$J$4+$M$4*$J$5+[6]FormattedData!J41^2*$J$6+$M$5*$J$7</f>
        <v>32.28751376667428</v>
      </c>
      <c r="R63" s="6">
        <f>$J$3+[6]FormattedData!K41*$J$4+$M$4*$J$5+[6]FormattedData!K41^2*$J$6+$M$5*$J$7</f>
        <v>30.644553011014494</v>
      </c>
      <c r="S63" s="6">
        <f>$J$3+[6]FormattedData!L41*$J$4+$M$4*$J$5+[6]FormattedData!L41^2*$J$6+$M$5*$J$7</f>
        <v>30.353350703877776</v>
      </c>
      <c r="T63" s="6">
        <f>$J$3+[6]FormattedData!M41*$J$4+$M$4*$J$5+[6]FormattedData!M41^2*$J$6+$M$5*$J$7</f>
        <v>31.419232681043443</v>
      </c>
      <c r="U63" s="6">
        <f>$J$3+[6]FormattedData!N41*$J$4+$M$4*$J$5+[6]FormattedData!N41^2*$J$6+$M$5*$J$7</f>
        <v>34.395565071226258</v>
      </c>
      <c r="V63" s="6">
        <f>$J$3+[6]FormattedData!O41*$J$4+$M$4*$J$5+[6]FormattedData!O41^2*$J$6+$M$5*$J$7</f>
        <v>30.159004489763639</v>
      </c>
      <c r="W63" s="5">
        <f t="shared" si="9"/>
        <v>31.230146950242105</v>
      </c>
      <c r="X63" s="4">
        <f t="shared" si="10"/>
        <v>0.38626406300863314</v>
      </c>
      <c r="Y63" s="3">
        <f t="shared" si="11"/>
        <v>29.867168154557955</v>
      </c>
      <c r="Z63" s="2">
        <f t="shared" si="12"/>
        <v>30.329062710680748</v>
      </c>
      <c r="AA63" s="3">
        <f t="shared" si="13"/>
        <v>30.693044460332683</v>
      </c>
      <c r="AB63" s="2">
        <f t="shared" si="14"/>
        <v>31.708786515200849</v>
      </c>
      <c r="AC63" s="2">
        <f t="shared" si="15"/>
        <v>34.395565071226258</v>
      </c>
      <c r="AD63" s="2">
        <f t="shared" si="16"/>
        <v>1.3760734221833082</v>
      </c>
      <c r="AE63" s="2">
        <f t="shared" si="17"/>
        <v>1.5843279991354731</v>
      </c>
    </row>
    <row r="64" spans="2:31" x14ac:dyDescent="0.2">
      <c r="B64" s="1">
        <f>[6]FormattedData!A43</f>
        <v>207</v>
      </c>
      <c r="C64" s="1" t="str">
        <f>VLOOKUP($B64,[6]TrtCodes!$B$11:I86,2)</f>
        <v>FTL</v>
      </c>
      <c r="D64" s="1">
        <f>VLOOKUP($B64,[6]TrtCodes!$B$11:J86,3)</f>
        <v>4</v>
      </c>
      <c r="E64" s="1">
        <f>VLOOKUP($B64,[6]TrtCodes!$B$11:K86,4)</f>
        <v>1</v>
      </c>
      <c r="F64" s="1">
        <f>VLOOKUP($B64,[6]TrtCodes!$B$11:L86,5)</f>
        <v>2</v>
      </c>
      <c r="G64" s="1">
        <f>VLOOKUP($B64,[6]TrtCodes!$B$11:M86,6)</f>
        <v>1</v>
      </c>
      <c r="H64" s="1">
        <f>VLOOKUP($B64,[6]TrtCodes!$B$11:N86,7)</f>
        <v>2</v>
      </c>
      <c r="I64" s="1">
        <f>[6]FormattedData!B43</f>
        <v>2</v>
      </c>
      <c r="J64" s="4">
        <f>[6]FormattedData!C43</f>
        <v>13.339</v>
      </c>
      <c r="K64" s="6">
        <f>$J$3+[6]FormattedData!D43*$J$4+$M$4*$J$5+[6]FormattedData!D43^2*$J$6+$M$5*$J$7</f>
        <v>28.500235300917605</v>
      </c>
      <c r="L64" s="6">
        <f>$J$3+[6]FormattedData!E43*$J$4+$M$4*$J$5+[6]FormattedData!E43^2*$J$6+$M$5*$J$7</f>
        <v>29.087078111673815</v>
      </c>
      <c r="M64" s="6">
        <f>$J$3+[6]FormattedData!F43*$J$4+$M$4*$J$5+[6]FormattedData!F43^2*$J$6+$M$5*$J$7</f>
        <v>29.379928891789849</v>
      </c>
      <c r="N64" s="6">
        <f>$J$3+[6]FormattedData!G43*$J$4+$M$4*$J$5+[6]FormattedData!G43^2*$J$6+$M$5*$J$7</f>
        <v>29.769804839080191</v>
      </c>
      <c r="O64" s="6">
        <f>$J$3+[6]FormattedData!H43*$J$4+$M$4*$J$5+[6]FormattedData!H43^2*$J$6+$M$5*$J$7</f>
        <v>29.184737306917093</v>
      </c>
      <c r="P64" s="6">
        <f>$J$3+[6]FormattedData!I43*$J$4+$M$4*$J$5+[6]FormattedData!I43^2*$J$6+$M$5*$J$7</f>
        <v>29.477461281419334</v>
      </c>
      <c r="Q64" s="6">
        <f>$J$3+[6]FormattedData!J43*$J$4+$M$4*$J$5+[6]FormattedData!J43^2*$J$6+$M$5*$J$7</f>
        <v>31.032230994332412</v>
      </c>
      <c r="R64" s="6">
        <f>$J$3+[6]FormattedData!K43*$J$4+$M$4*$J$5+[6]FormattedData!K43^2*$J$6+$M$5*$J$7</f>
        <v>29.184737306917093</v>
      </c>
      <c r="S64" s="6">
        <f>$J$3+[6]FormattedData!L43*$J$4+$M$4*$J$5+[6]FormattedData!L43^2*$J$6+$M$5*$J$7</f>
        <v>29.769804839080191</v>
      </c>
      <c r="T64" s="6">
        <f>$J$3+[6]FormattedData!M43*$J$4+$M$4*$J$5+[6]FormattedData!M43^2*$J$6+$M$5*$J$7</f>
        <v>30.353350703877776</v>
      </c>
      <c r="U64" s="6">
        <f>$J$3+[6]FormattedData!N43*$J$4+$M$4*$J$5+[6]FormattedData!N43^2*$J$6+$M$5*$J$7</f>
        <v>30.353350703877776</v>
      </c>
      <c r="V64" s="6">
        <f>$J$3+[6]FormattedData!O43*$J$4+$M$4*$J$5+[6]FormattedData!O43^2*$J$6+$M$5*$J$7</f>
        <v>30.450460408127945</v>
      </c>
      <c r="W64" s="5">
        <f t="shared" si="9"/>
        <v>29.71193172400092</v>
      </c>
      <c r="X64" s="4">
        <f t="shared" si="10"/>
        <v>0.20776353154537469</v>
      </c>
      <c r="Y64" s="3">
        <f t="shared" si="11"/>
        <v>28.500235300917605</v>
      </c>
      <c r="Z64" s="2">
        <f t="shared" si="12"/>
        <v>29.184737306917093</v>
      </c>
      <c r="AA64" s="3">
        <f t="shared" si="13"/>
        <v>29.623633060249762</v>
      </c>
      <c r="AB64" s="2">
        <f t="shared" si="14"/>
        <v>30.353350703877776</v>
      </c>
      <c r="AC64" s="2">
        <f t="shared" si="15"/>
        <v>31.032230994332412</v>
      </c>
      <c r="AD64" s="2">
        <f t="shared" si="16"/>
        <v>0.25370057161602749</v>
      </c>
      <c r="AE64" s="2">
        <f t="shared" si="17"/>
        <v>-0.42005659532088702</v>
      </c>
    </row>
    <row r="65" spans="2:31" x14ac:dyDescent="0.2">
      <c r="B65" s="1">
        <f>[6]FormattedData!A45</f>
        <v>208</v>
      </c>
      <c r="C65" s="1" t="str">
        <f>VLOOKUP($B65,[6]TrtCodes!$B$11:I88,2)</f>
        <v>FSL</v>
      </c>
      <c r="D65" s="1">
        <f>VLOOKUP($B65,[6]TrtCodes!$B$11:J88,3)</f>
        <v>2</v>
      </c>
      <c r="E65" s="1">
        <f>VLOOKUP($B65,[6]TrtCodes!$B$11:K88,4)</f>
        <v>1</v>
      </c>
      <c r="F65" s="1">
        <f>VLOOKUP($B65,[6]TrtCodes!$B$11:L88,5)</f>
        <v>1</v>
      </c>
      <c r="G65" s="1">
        <f>VLOOKUP($B65,[6]TrtCodes!$B$11:M88,6)</f>
        <v>1</v>
      </c>
      <c r="H65" s="1">
        <f>VLOOKUP($B65,[6]TrtCodes!$B$11:N88,7)</f>
        <v>2</v>
      </c>
      <c r="I65" s="1">
        <f>[6]FormattedData!B45</f>
        <v>2</v>
      </c>
      <c r="J65" s="4">
        <f>[6]FormattedData!C45</f>
        <v>13.355</v>
      </c>
      <c r="K65" s="6">
        <f>$J$3+[6]FormattedData!D45*$J$4+$M$4*$J$5+[6]FormattedData!D45^2*$J$6+$M$5*$J$7</f>
        <v>29.184737306917093</v>
      </c>
      <c r="L65" s="6">
        <f>$J$3+[6]FormattedData!E45*$J$4+$M$4*$J$5+[6]FormattedData!E45^2*$J$6+$M$5*$J$7</f>
        <v>28.793846914716401</v>
      </c>
      <c r="M65" s="6">
        <f>$J$3+[6]FormattedData!F45*$J$4+$M$4*$J$5+[6]FormattedData!F45^2*$J$6+$M$5*$J$7</f>
        <v>30.644553011014494</v>
      </c>
      <c r="N65" s="6">
        <f>$J$3+[6]FormattedData!G45*$J$4+$M$4*$J$5+[6]FormattedData!G45^2*$J$6+$M$5*$J$7</f>
        <v>29.379928891789849</v>
      </c>
      <c r="O65" s="6">
        <f>$J$3+[6]FormattedData!H45*$J$4+$M$4*$J$5+[6]FormattedData!H45^2*$J$6+$M$5*$J$7</f>
        <v>30.06176797989967</v>
      </c>
      <c r="P65" s="6">
        <f>$J$3+[6]FormattedData!I45*$J$4+$M$4*$J$5+[6]FormattedData!I45^2*$J$6+$M$5*$J$7</f>
        <v>30.450460408127945</v>
      </c>
      <c r="Q65" s="6">
        <f>$J$3+[6]FormattedData!J45*$J$4+$M$4*$J$5+[6]FormattedData!J45^2*$J$6+$M$5*$J$7</f>
        <v>31.515877431376374</v>
      </c>
      <c r="R65" s="6">
        <f>$J$3+[6]FormattedData!K45*$J$4+$M$4*$J$5+[6]FormattedData!K45^2*$J$6+$M$5*$J$7</f>
        <v>28.793846914716401</v>
      </c>
      <c r="S65" s="6">
        <f>$J$3+[6]FormattedData!L45*$J$4+$M$4*$J$5+[6]FormattedData!L45^2*$J$6+$M$5*$J$7</f>
        <v>29.087078111673815</v>
      </c>
      <c r="T65" s="6">
        <f>$J$3+[6]FormattedData!M45*$J$4+$M$4*$J$5+[6]FormattedData!M45^2*$J$6+$M$5*$J$7</f>
        <v>29.282354233622435</v>
      </c>
      <c r="U65" s="6">
        <f>$J$3+[6]FormattedData!N45*$J$4+$M$4*$J$5+[6]FormattedData!N45^2*$J$6+$M$5*$J$7</f>
        <v>29.087078111673815</v>
      </c>
      <c r="V65" s="6">
        <f>$J$3+[6]FormattedData!O45*$J$4+$M$4*$J$5+[6]FormattedData!O45^2*$J$6+$M$5*$J$7</f>
        <v>29.087078111673815</v>
      </c>
      <c r="W65" s="5">
        <f t="shared" si="9"/>
        <v>29.614050618933504</v>
      </c>
      <c r="X65" s="4">
        <f t="shared" si="10"/>
        <v>0.24781814986988782</v>
      </c>
      <c r="Y65" s="3">
        <f t="shared" si="11"/>
        <v>28.793846914716401</v>
      </c>
      <c r="Z65" s="2">
        <f t="shared" si="12"/>
        <v>29.087078111673815</v>
      </c>
      <c r="AA65" s="3">
        <f t="shared" si="13"/>
        <v>29.233545770269764</v>
      </c>
      <c r="AB65" s="2">
        <f t="shared" si="14"/>
        <v>30.158941086956737</v>
      </c>
      <c r="AC65" s="2">
        <f t="shared" si="15"/>
        <v>31.515877431376374</v>
      </c>
      <c r="AD65" s="2">
        <f t="shared" si="16"/>
        <v>1.2030531499121071</v>
      </c>
      <c r="AE65" s="2">
        <f t="shared" si="17"/>
        <v>0.58705501112146496</v>
      </c>
    </row>
    <row r="66" spans="2:31" x14ac:dyDescent="0.2">
      <c r="B66" s="1">
        <f>[6]FormattedData!A63</f>
        <v>301</v>
      </c>
      <c r="C66" s="1" t="str">
        <f>VLOOKUP($B66,[6]TrtCodes!$B$11:I106,2)</f>
        <v>NTL</v>
      </c>
      <c r="D66" s="1">
        <f>VLOOKUP($B66,[6]TrtCodes!$B$11:J106,3)</f>
        <v>10</v>
      </c>
      <c r="E66" s="1">
        <f>VLOOKUP($B66,[6]TrtCodes!$B$11:K106,4)</f>
        <v>2</v>
      </c>
      <c r="F66" s="1">
        <f>VLOOKUP($B66,[6]TrtCodes!$B$11:L106,5)</f>
        <v>2</v>
      </c>
      <c r="G66" s="1">
        <f>VLOOKUP($B66,[6]TrtCodes!$B$11:M106,6)</f>
        <v>1</v>
      </c>
      <c r="H66" s="1">
        <f>VLOOKUP($B66,[6]TrtCodes!$B$11:N106,7)</f>
        <v>3</v>
      </c>
      <c r="I66" s="1">
        <f>[6]FormattedData!B63</f>
        <v>2</v>
      </c>
      <c r="J66" s="4">
        <f>[6]FormattedData!C63</f>
        <v>13.488</v>
      </c>
      <c r="K66" s="6">
        <f>$J$3+[6]FormattedData!D63*$J$4+$M$4*$J$5+[6]FormattedData!D63^2*$J$6+$M$5*$J$7</f>
        <v>32.09485829407739</v>
      </c>
      <c r="L66" s="6">
        <f>$J$3+[6]FormattedData!E63*$J$4+$M$4*$J$5+[6]FormattedData!E63^2*$J$6+$M$5*$J$7</f>
        <v>33.056444915544589</v>
      </c>
      <c r="M66" s="6">
        <f>$J$3+[6]FormattedData!F63*$J$4+$M$4*$J$5+[6]FormattedData!F63^2*$J$6+$M$5*$J$7</f>
        <v>32.864465739554603</v>
      </c>
      <c r="N66" s="6">
        <f>$J$3+[6]FormattedData!G63*$J$4+$M$4*$J$5+[6]FormattedData!G63^2*$J$6+$M$5*$J$7</f>
        <v>34.109308183027473</v>
      </c>
      <c r="O66" s="6">
        <f>$J$3+[6]FormattedData!H63*$J$4+$M$4*$J$5+[6]FormattedData!H63^2*$J$6+$M$5*$J$7</f>
        <v>33.24825501738286</v>
      </c>
      <c r="P66" s="6">
        <f>$J$3+[6]FormattedData!I63*$J$4+$M$4*$J$5+[6]FormattedData!I63^2*$J$6+$M$5*$J$7</f>
        <v>33.91825891487197</v>
      </c>
      <c r="Q66" s="6">
        <f>$J$3+[6]FormattedData!J63*$J$4+$M$4*$J$5+[6]FormattedData!J63^2*$J$6+$M$5*$J$7</f>
        <v>33.535653156105774</v>
      </c>
      <c r="R66" s="6">
        <f>$J$3+[6]FormattedData!K63*$J$4+$M$4*$J$5+[6]FormattedData!K63^2*$J$6+$M$5*$J$7</f>
        <v>32.383778100165834</v>
      </c>
      <c r="S66" s="6">
        <f>$J$3+[6]FormattedData!L63*$J$4+$M$4*$J$5+[6]FormattedData!L63^2*$J$6+$M$5*$J$7</f>
        <v>33.344096665495101</v>
      </c>
      <c r="T66" s="6">
        <f>$J$3+[6]FormattedData!M63*$J$4+$M$4*$J$5+[6]FormattedData!M63^2*$J$6+$M$5*$J$7</f>
        <v>35.062018411529138</v>
      </c>
      <c r="U66" s="6">
        <f>$J$3+[6]FormattedData!N63*$J$4+$M$4*$J$5+[6]FormattedData!N63^2*$J$6+$M$5*$J$7</f>
        <v>32.28751376667428</v>
      </c>
      <c r="V66" s="6">
        <f>$J$3+[6]FormattedData!O63*$J$4+$M$4*$J$5+[6]FormattedData!O63^2*$J$6+$M$5*$J$7</f>
        <v>32.672317489412883</v>
      </c>
      <c r="W66" s="5">
        <f t="shared" si="9"/>
        <v>33.214747387820161</v>
      </c>
      <c r="X66" s="4">
        <f t="shared" si="10"/>
        <v>0.24733156278050225</v>
      </c>
      <c r="Y66" s="3">
        <f t="shared" si="11"/>
        <v>32.09485829407739</v>
      </c>
      <c r="Z66" s="2">
        <f t="shared" si="12"/>
        <v>32.600182642101117</v>
      </c>
      <c r="AA66" s="3">
        <f t="shared" si="13"/>
        <v>33.152349966463724</v>
      </c>
      <c r="AB66" s="2">
        <f t="shared" si="14"/>
        <v>33.631304595797324</v>
      </c>
      <c r="AC66" s="2">
        <f t="shared" si="15"/>
        <v>35.062018411529138</v>
      </c>
      <c r="AD66" s="2">
        <f t="shared" si="16"/>
        <v>0.7668112650557467</v>
      </c>
      <c r="AE66" s="2">
        <f t="shared" si="17"/>
        <v>0.47928365845854071</v>
      </c>
    </row>
    <row r="67" spans="2:31" x14ac:dyDescent="0.2">
      <c r="B67" s="1">
        <f>[6]FormattedData!A65</f>
        <v>302</v>
      </c>
      <c r="C67" s="1" t="str">
        <f>VLOOKUP($B67,[6]TrtCodes!$B$11:I108,2)</f>
        <v>FTL</v>
      </c>
      <c r="D67" s="1">
        <f>VLOOKUP($B67,[6]TrtCodes!$B$11:J108,3)</f>
        <v>4</v>
      </c>
      <c r="E67" s="1">
        <f>VLOOKUP($B67,[6]TrtCodes!$B$11:K108,4)</f>
        <v>1</v>
      </c>
      <c r="F67" s="1">
        <f>VLOOKUP($B67,[6]TrtCodes!$B$11:L108,5)</f>
        <v>2</v>
      </c>
      <c r="G67" s="1">
        <f>VLOOKUP($B67,[6]TrtCodes!$B$11:M108,6)</f>
        <v>1</v>
      </c>
      <c r="H67" s="1">
        <f>VLOOKUP($B67,[6]TrtCodes!$B$11:N108,7)</f>
        <v>3</v>
      </c>
      <c r="I67" s="1">
        <f>[6]FormattedData!B65</f>
        <v>2</v>
      </c>
      <c r="J67" s="4">
        <f>[6]FormattedData!C65</f>
        <v>13.505000000000001</v>
      </c>
      <c r="K67" s="6">
        <f>$J$3+[6]FormattedData!D65*$J$4+$M$4*$J$5+[6]FormattedData!D65^2*$J$6+$M$5*$J$7</f>
        <v>30.644553011014494</v>
      </c>
      <c r="L67" s="6">
        <f>$J$3+[6]FormattedData!E65*$J$4+$M$4*$J$5+[6]FormattedData!E65^2*$J$6+$M$5*$J$7</f>
        <v>30.06176797989967</v>
      </c>
      <c r="M67" s="6">
        <f>$J$3+[6]FormattedData!F65*$J$4+$M$4*$J$5+[6]FormattedData!F65^2*$J$6+$M$5*$J$7</f>
        <v>30.547527843840182</v>
      </c>
      <c r="N67" s="6">
        <f>$J$3+[6]FormattedData!G65*$J$4+$M$4*$J$5+[6]FormattedData!G65^2*$J$6+$M$5*$J$7</f>
        <v>30.353350703877776</v>
      </c>
      <c r="O67" s="6">
        <f>$J$3+[6]FormattedData!H65*$J$4+$M$4*$J$5+[6]FormattedData!H65^2*$J$6+$M$5*$J$7</f>
        <v>30.353350703877776</v>
      </c>
      <c r="P67" s="6">
        <f>$J$3+[6]FormattedData!I65*$J$4+$M$4*$J$5+[6]FormattedData!I65^2*$J$6+$M$5*$J$7</f>
        <v>32.191207164644794</v>
      </c>
      <c r="Q67" s="6">
        <f>$J$3+[6]FormattedData!J65*$J$4+$M$4*$J$5+[6]FormattedData!J65^2*$J$6+$M$5*$J$7</f>
        <v>29.964489201497777</v>
      </c>
      <c r="R67" s="6">
        <f>$J$3+[6]FormattedData!K65*$J$4+$M$4*$J$5+[6]FormattedData!K65^2*$J$6+$M$5*$J$7</f>
        <v>30.547527843840182</v>
      </c>
      <c r="S67" s="6">
        <f>$J$3+[6]FormattedData!L65*$J$4+$M$4*$J$5+[6]FormattedData!L65^2*$J$6+$M$5*$J$7</f>
        <v>31.61247991317137</v>
      </c>
      <c r="T67" s="6">
        <f>$J$3+[6]FormattedData!M65*$J$4+$M$4*$J$5+[6]FormattedData!M65^2*$J$6+$M$5*$J$7</f>
        <v>30.159004489763639</v>
      </c>
      <c r="U67" s="6">
        <f>$J$3+[6]FormattedData!N65*$J$4+$M$4*$J$5+[6]FormattedData!N65^2*$J$6+$M$5*$J$7</f>
        <v>32.28751376667428</v>
      </c>
      <c r="V67" s="6">
        <f>$J$3+[6]FormattedData!O65*$J$4+$M$4*$J$5+[6]FormattedData!O65^2*$J$6+$M$5*$J$7</f>
        <v>30.935374901309832</v>
      </c>
      <c r="W67" s="5">
        <f t="shared" si="9"/>
        <v>30.804845626950982</v>
      </c>
      <c r="X67" s="4">
        <f t="shared" si="10"/>
        <v>0.2307908370275788</v>
      </c>
      <c r="Y67" s="3">
        <f t="shared" si="11"/>
        <v>29.964489201497777</v>
      </c>
      <c r="Z67" s="2">
        <f t="shared" si="12"/>
        <v>30.304764150349243</v>
      </c>
      <c r="AA67" s="3">
        <f t="shared" si="13"/>
        <v>30.547527843840182</v>
      </c>
      <c r="AB67" s="2">
        <f t="shared" si="14"/>
        <v>31.104651154275217</v>
      </c>
      <c r="AC67" s="2">
        <f t="shared" si="15"/>
        <v>32.28751376667428</v>
      </c>
      <c r="AD67" s="2">
        <f t="shared" si="16"/>
        <v>1.0583470315330681</v>
      </c>
      <c r="AE67" s="2">
        <f t="shared" si="17"/>
        <v>-0.16763124766285831</v>
      </c>
    </row>
    <row r="68" spans="2:31" x14ac:dyDescent="0.2">
      <c r="B68" s="1">
        <f>[6]FormattedData!A67</f>
        <v>303</v>
      </c>
      <c r="C68" s="1" t="str">
        <f>VLOOKUP($B68,[6]TrtCodes!$B$11:I110,2)</f>
        <v>NSL</v>
      </c>
      <c r="D68" s="1">
        <f>VLOOKUP($B68,[6]TrtCodes!$B$11:J110,3)</f>
        <v>8</v>
      </c>
      <c r="E68" s="1">
        <f>VLOOKUP($B68,[6]TrtCodes!$B$11:K110,4)</f>
        <v>2</v>
      </c>
      <c r="F68" s="1">
        <f>VLOOKUP($B68,[6]TrtCodes!$B$11:L110,5)</f>
        <v>1</v>
      </c>
      <c r="G68" s="1">
        <f>VLOOKUP($B68,[6]TrtCodes!$B$11:M110,6)</f>
        <v>1</v>
      </c>
      <c r="H68" s="1">
        <f>VLOOKUP($B68,[6]TrtCodes!$B$11:N110,7)</f>
        <v>3</v>
      </c>
      <c r="I68" s="1">
        <f>[6]FormattedData!B67</f>
        <v>2</v>
      </c>
      <c r="J68" s="4">
        <f>[6]FormattedData!C67</f>
        <v>13.522</v>
      </c>
      <c r="K68" s="6">
        <f>$J$3+[6]FormattedData!D67*$J$4+$M$4*$J$5+[6]FormattedData!D67^2*$J$6+$M$5*$J$7</f>
        <v>32.191207164644794</v>
      </c>
      <c r="L68" s="6">
        <f>$J$3+[6]FormattedData!E67*$J$4+$M$4*$J$5+[6]FormattedData!E67^2*$J$6+$M$5*$J$7</f>
        <v>31.129044818817071</v>
      </c>
      <c r="M68" s="6">
        <f>$J$3+[6]FormattedData!F67*$J$4+$M$4*$J$5+[6]FormattedData!F67^2*$J$6+$M$5*$J$7</f>
        <v>29.672399255064505</v>
      </c>
      <c r="N68" s="6">
        <f>$J$3+[6]FormattedData!G67*$J$4+$M$4*$J$5+[6]FormattedData!G67^2*$J$6+$M$5*$J$7</f>
        <v>30.159004489763639</v>
      </c>
      <c r="O68" s="6">
        <f>$J$3+[6]FormattedData!H67*$J$4+$M$4*$J$5+[6]FormattedData!H67^2*$J$6+$M$5*$J$7</f>
        <v>30.256198731089668</v>
      </c>
      <c r="P68" s="6">
        <f>$J$3+[6]FormattedData!I67*$J$4+$M$4*$J$5+[6]FormattedData!I67^2*$J$6+$M$5*$J$7</f>
        <v>31.225816374763788</v>
      </c>
      <c r="Q68" s="6">
        <f>$J$3+[6]FormattedData!J67*$J$4+$M$4*$J$5+[6]FormattedData!J67^2*$J$6+$M$5*$J$7</f>
        <v>32.383778100165834</v>
      </c>
      <c r="R68" s="6">
        <f>$J$3+[6]FormattedData!K67*$J$4+$M$4*$J$5+[6]FormattedData!K67^2*$J$6+$M$5*$J$7</f>
        <v>31.225816374763788</v>
      </c>
      <c r="S68" s="6">
        <f>$J$3+[6]FormattedData!L67*$J$4+$M$4*$J$5+[6]FormattedData!L67^2*$J$6+$M$5*$J$7</f>
        <v>30.159004489763639</v>
      </c>
      <c r="T68" s="6">
        <f>$J$3+[6]FormattedData!M67*$J$4+$M$4*$J$5+[6]FormattedData!M67^2*$J$6+$M$5*$J$7</f>
        <v>30.159004489763639</v>
      </c>
      <c r="U68" s="6">
        <f>$J$3+[6]FormattedData!N67*$J$4+$M$4*$J$5+[6]FormattedData!N67^2*$J$6+$M$5*$J$7</f>
        <v>31.709040126428434</v>
      </c>
      <c r="V68" s="6">
        <f>$J$3+[6]FormattedData!O67*$J$4+$M$4*$J$5+[6]FormattedData!O67^2*$J$6+$M$5*$J$7</f>
        <v>31.322545662172587</v>
      </c>
      <c r="W68" s="5">
        <f t="shared" si="9"/>
        <v>30.966071673100107</v>
      </c>
      <c r="X68" s="4">
        <f t="shared" si="10"/>
        <v>0.25350571408990119</v>
      </c>
      <c r="Y68" s="3">
        <f t="shared" si="11"/>
        <v>29.672399255064505</v>
      </c>
      <c r="Z68" s="2">
        <f t="shared" si="12"/>
        <v>30.159004489763639</v>
      </c>
      <c r="AA68" s="3">
        <f t="shared" si="13"/>
        <v>31.17743059679043</v>
      </c>
      <c r="AB68" s="2">
        <f t="shared" si="14"/>
        <v>31.419169278236549</v>
      </c>
      <c r="AC68" s="2">
        <f t="shared" si="15"/>
        <v>32.383778100165834</v>
      </c>
      <c r="AD68" s="2">
        <f t="shared" si="16"/>
        <v>0.17449400973262347</v>
      </c>
      <c r="AE68" s="2">
        <f t="shared" si="17"/>
        <v>-1.1318305693227124</v>
      </c>
    </row>
    <row r="69" spans="2:31" x14ac:dyDescent="0.2">
      <c r="B69" s="1">
        <f>[6]FormattedData!A69</f>
        <v>304</v>
      </c>
      <c r="C69" s="1" t="str">
        <f>VLOOKUP($B69,[6]TrtCodes!$B$11:I112,2)</f>
        <v>FSL</v>
      </c>
      <c r="D69" s="1">
        <f>VLOOKUP($B69,[6]TrtCodes!$B$11:J112,3)</f>
        <v>2</v>
      </c>
      <c r="E69" s="1">
        <f>VLOOKUP($B69,[6]TrtCodes!$B$11:K112,4)</f>
        <v>1</v>
      </c>
      <c r="F69" s="1">
        <f>VLOOKUP($B69,[6]TrtCodes!$B$11:L112,5)</f>
        <v>1</v>
      </c>
      <c r="G69" s="1">
        <f>VLOOKUP($B69,[6]TrtCodes!$B$11:M112,6)</f>
        <v>1</v>
      </c>
      <c r="H69" s="1">
        <f>VLOOKUP($B69,[6]TrtCodes!$B$11:N112,7)</f>
        <v>3</v>
      </c>
      <c r="I69" s="1">
        <f>[6]FormattedData!B69</f>
        <v>2</v>
      </c>
      <c r="J69" s="4">
        <f>[6]FormattedData!C69</f>
        <v>13.538</v>
      </c>
      <c r="K69" s="6">
        <f>$J$3+[6]FormattedData!D69*$J$4+$M$4*$J$5+[6]FormattedData!D69^2*$J$6+$M$5*$J$7</f>
        <v>29.184737306917093</v>
      </c>
      <c r="L69" s="6">
        <f>$J$3+[6]FormattedData!E69*$J$4+$M$4*$J$5+[6]FormattedData!E69^2*$J$6+$M$5*$J$7</f>
        <v>28.500235300917605</v>
      </c>
      <c r="M69" s="6">
        <f>$J$3+[6]FormattedData!F69*$J$4+$M$4*$J$5+[6]FormattedData!F69^2*$J$6+$M$5*$J$7</f>
        <v>30.935374901309832</v>
      </c>
      <c r="N69" s="6">
        <f>$J$3+[6]FormattedData!G69*$J$4+$M$4*$J$5+[6]FormattedData!G69^2*$J$6+$M$5*$J$7</f>
        <v>30.935374901309832</v>
      </c>
      <c r="O69" s="6">
        <f>$J$3+[6]FormattedData!H69*$J$4+$M$4*$J$5+[6]FormattedData!H69^2*$J$6+$M$5*$J$7</f>
        <v>30.644553011014494</v>
      </c>
      <c r="P69" s="6">
        <f>$J$3+[6]FormattedData!I69*$J$4+$M$4*$J$5+[6]FormattedData!I69^2*$J$6+$M$5*$J$7</f>
        <v>29.672399255064505</v>
      </c>
      <c r="Q69" s="6">
        <f>$J$3+[6]FormattedData!J69*$J$4+$M$4*$J$5+[6]FormattedData!J69^2*$J$6+$M$5*$J$7</f>
        <v>30.644553011014494</v>
      </c>
      <c r="R69" s="6">
        <f>$J$3+[6]FormattedData!K69*$J$4+$M$4*$J$5+[6]FormattedData!K69^2*$J$6+$M$5*$J$7</f>
        <v>29.087078111673815</v>
      </c>
      <c r="S69" s="6">
        <f>$J$3+[6]FormattedData!L69*$J$4+$M$4*$J$5+[6]FormattedData!L69^2*$J$6+$M$5*$J$7</f>
        <v>30.547527843840182</v>
      </c>
      <c r="T69" s="6">
        <f>$J$3+[6]FormattedData!M69*$J$4+$M$4*$J$5+[6]FormattedData!M69^2*$J$6+$M$5*$J$7</f>
        <v>30.06176797989967</v>
      </c>
      <c r="U69" s="6">
        <f>$J$3+[6]FormattedData!N69*$J$4+$M$4*$J$5+[6]FormattedData!N69^2*$J$6+$M$5*$J$7</f>
        <v>29.57495140251088</v>
      </c>
      <c r="V69" s="6">
        <f>$J$3+[6]FormattedData!O69*$J$4+$M$4*$J$5+[6]FormattedData!O69^2*$J$6+$M$5*$J$7</f>
        <v>28.696018645321399</v>
      </c>
      <c r="W69" s="5">
        <f t="shared" si="9"/>
        <v>29.87371430589948</v>
      </c>
      <c r="X69" s="4">
        <f t="shared" si="10"/>
        <v>0.25269313648500352</v>
      </c>
      <c r="Y69" s="3">
        <f t="shared" si="11"/>
        <v>28.500235300917605</v>
      </c>
      <c r="Z69" s="2">
        <f t="shared" si="12"/>
        <v>29.160322508106272</v>
      </c>
      <c r="AA69" s="3">
        <f t="shared" si="13"/>
        <v>29.867083617482088</v>
      </c>
      <c r="AB69" s="2">
        <f t="shared" si="14"/>
        <v>30.644553011014494</v>
      </c>
      <c r="AC69" s="2">
        <f t="shared" si="15"/>
        <v>30.935374901309832</v>
      </c>
      <c r="AD69" s="2">
        <f t="shared" si="16"/>
        <v>-0.23602565242570747</v>
      </c>
      <c r="AE69" s="2">
        <f t="shared" si="17"/>
        <v>-1.4690706864980156</v>
      </c>
    </row>
    <row r="70" spans="2:31" x14ac:dyDescent="0.2">
      <c r="B70" s="1">
        <f>[6]FormattedData!A71</f>
        <v>305</v>
      </c>
      <c r="C70" s="1" t="str">
        <f>VLOOKUP($B70,[6]TrtCodes!$B$11:I114,2)</f>
        <v>NDH</v>
      </c>
      <c r="D70" s="1">
        <f>VLOOKUP($B70,[6]TrtCodes!$B$11:J114,3)</f>
        <v>11</v>
      </c>
      <c r="E70" s="1">
        <f>VLOOKUP($B70,[6]TrtCodes!$B$11:K114,4)</f>
        <v>2</v>
      </c>
      <c r="F70" s="1">
        <f>VLOOKUP($B70,[6]TrtCodes!$B$11:L114,5)</f>
        <v>3</v>
      </c>
      <c r="G70" s="1">
        <f>VLOOKUP($B70,[6]TrtCodes!$B$11:M114,6)</f>
        <v>2</v>
      </c>
      <c r="H70" s="1">
        <f>VLOOKUP($B70,[6]TrtCodes!$B$11:N114,7)</f>
        <v>4</v>
      </c>
      <c r="I70" s="1">
        <f>[6]FormattedData!B71</f>
        <v>2</v>
      </c>
      <c r="J70" s="4">
        <f>[6]FormattedData!C71</f>
        <v>13.555</v>
      </c>
      <c r="K70" s="6">
        <f>$J$3+[6]FormattedData!D71*$J$4+$M$4*$J$5+[6]FormattedData!D71^2*$J$6+$M$5*$J$7</f>
        <v>31.129044818817071</v>
      </c>
      <c r="L70" s="6">
        <f>$J$3+[6]FormattedData!E71*$J$4+$M$4*$J$5+[6]FormattedData!E71^2*$J$6+$M$5*$J$7</f>
        <v>30.159004489763639</v>
      </c>
      <c r="M70" s="6">
        <f>$J$3+[6]FormattedData!F71*$J$4+$M$4*$J$5+[6]FormattedData!F71^2*$J$6+$M$5*$J$7</f>
        <v>32.383778100165834</v>
      </c>
      <c r="N70" s="6">
        <f>$J$3+[6]FormattedData!G71*$J$4+$M$4*$J$5+[6]FormattedData!G71^2*$J$6+$M$5*$J$7</f>
        <v>31.709040126428434</v>
      </c>
      <c r="O70" s="6">
        <f>$J$3+[6]FormattedData!H71*$J$4+$M$4*$J$5+[6]FormattedData!H71^2*$J$6+$M$5*$J$7</f>
        <v>29.57495140251088</v>
      </c>
      <c r="P70" s="6">
        <f>$J$3+[6]FormattedData!I71*$J$4+$M$4*$J$5+[6]FormattedData!I71^2*$J$6+$M$5*$J$7</f>
        <v>30.547527843840182</v>
      </c>
      <c r="Q70" s="6">
        <f>$J$3+[6]FormattedData!J71*$J$4+$M$4*$J$5+[6]FormattedData!J71^2*$J$6+$M$5*$J$7</f>
        <v>30.838476539749319</v>
      </c>
      <c r="R70" s="6">
        <f>$J$3+[6]FormattedData!K71*$J$4+$M$4*$J$5+[6]FormattedData!K71^2*$J$6+$M$5*$J$7</f>
        <v>31.225816374763788</v>
      </c>
      <c r="S70" s="6">
        <f>$J$3+[6]FormattedData!L71*$J$4+$M$4*$J$5+[6]FormattedData!L71^2*$J$6+$M$5*$J$7</f>
        <v>30.353350703877776</v>
      </c>
      <c r="T70" s="6">
        <f>$J$3+[6]FormattedData!M71*$J$4+$M$4*$J$5+[6]FormattedData!M71^2*$J$6+$M$5*$J$7</f>
        <v>29.672399255064505</v>
      </c>
      <c r="U70" s="6">
        <f>$J$3+[6]FormattedData!N71*$J$4+$M$4*$J$5+[6]FormattedData!N71^2*$J$6+$M$5*$J$7</f>
        <v>30.741535909650871</v>
      </c>
      <c r="V70" s="6">
        <f>$J$3+[6]FormattedData!O71*$J$4+$M$4*$J$5+[6]FormattedData!O71^2*$J$6+$M$5*$J$7</f>
        <v>31.419232681043443</v>
      </c>
      <c r="W70" s="5">
        <f t="shared" si="9"/>
        <v>30.812846520472974</v>
      </c>
      <c r="X70" s="4">
        <f t="shared" si="10"/>
        <v>0.23768142741322071</v>
      </c>
      <c r="Y70" s="3">
        <f t="shared" si="11"/>
        <v>29.57495140251088</v>
      </c>
      <c r="Z70" s="2">
        <f t="shared" si="12"/>
        <v>30.304764150349243</v>
      </c>
      <c r="AA70" s="3">
        <f t="shared" si="13"/>
        <v>30.790006224700093</v>
      </c>
      <c r="AB70" s="2">
        <f t="shared" si="14"/>
        <v>31.274170451333703</v>
      </c>
      <c r="AC70" s="2">
        <f t="shared" si="15"/>
        <v>32.383778100165834</v>
      </c>
      <c r="AD70" s="2">
        <f t="shared" si="16"/>
        <v>0.2239456398607369</v>
      </c>
      <c r="AE70" s="2">
        <f t="shared" si="17"/>
        <v>-0.19933161905944141</v>
      </c>
    </row>
    <row r="71" spans="2:31" x14ac:dyDescent="0.2">
      <c r="B71" s="1">
        <f>[6]FormattedData!A73</f>
        <v>306</v>
      </c>
      <c r="C71" s="1" t="str">
        <f>VLOOKUP($B71,[6]TrtCodes!$B$11:I116,2)</f>
        <v>FTL</v>
      </c>
      <c r="D71" s="1">
        <f>VLOOKUP($B71,[6]TrtCodes!$B$11:J116,3)</f>
        <v>4</v>
      </c>
      <c r="E71" s="1">
        <f>VLOOKUP($B71,[6]TrtCodes!$B$11:K116,4)</f>
        <v>1</v>
      </c>
      <c r="F71" s="1">
        <f>VLOOKUP($B71,[6]TrtCodes!$B$11:L116,5)</f>
        <v>2</v>
      </c>
      <c r="G71" s="1">
        <f>VLOOKUP($B71,[6]TrtCodes!$B$11:M116,6)</f>
        <v>1</v>
      </c>
      <c r="H71" s="1">
        <f>VLOOKUP($B71,[6]TrtCodes!$B$11:N116,7)</f>
        <v>4</v>
      </c>
      <c r="I71" s="1">
        <f>[6]FormattedData!B73</f>
        <v>2</v>
      </c>
      <c r="J71" s="4">
        <f>[6]FormattedData!C73</f>
        <v>13.571</v>
      </c>
      <c r="K71" s="6">
        <f>$J$3+[6]FormattedData!D73*$J$4+$M$4*$J$5+[6]FormattedData!D73^2*$J$6+$M$5*$J$7</f>
        <v>28.402280225908811</v>
      </c>
      <c r="L71" s="6">
        <f>$J$3+[6]FormattedData!E73*$J$4+$M$4*$J$5+[6]FormattedData!E73^2*$J$6+$M$5*$J$7</f>
        <v>28.20624327027743</v>
      </c>
      <c r="M71" s="6">
        <f>$J$3+[6]FormattedData!F73*$J$4+$M$4*$J$5+[6]FormattedData!F73^2*$J$6+$M$5*$J$7</f>
        <v>29.282354233622435</v>
      </c>
      <c r="N71" s="6">
        <f>$J$3+[6]FormattedData!G73*$J$4+$M$4*$J$5+[6]FormattedData!G73^2*$J$6+$M$5*$J$7</f>
        <v>29.57495140251088</v>
      </c>
      <c r="O71" s="6">
        <f>$J$3+[6]FormattedData!H73*$J$4+$M$4*$J$5+[6]FormattedData!H73^2*$J$6+$M$5*$J$7</f>
        <v>28.793846914716401</v>
      </c>
      <c r="P71" s="6">
        <f>$J$3+[6]FormattedData!I73*$J$4+$M$4*$J$5+[6]FormattedData!I73^2*$J$6+$M$5*$J$7</f>
        <v>29.379928891789849</v>
      </c>
      <c r="Q71" s="6">
        <f>$J$3+[6]FormattedData!J73*$J$4+$M$4*$J$5+[6]FormattedData!J73^2*$J$6+$M$5*$J$7</f>
        <v>29.964489201497777</v>
      </c>
      <c r="R71" s="6">
        <f>$J$3+[6]FormattedData!K73*$J$4+$M$4*$J$5+[6]FormattedData!K73^2*$J$6+$M$5*$J$7</f>
        <v>28.598148107388468</v>
      </c>
      <c r="S71" s="6">
        <f>$J$3+[6]FormattedData!L73*$J$4+$M$4*$J$5+[6]FormattedData!L73^2*$J$6+$M$5*$J$7</f>
        <v>28.598148107388468</v>
      </c>
      <c r="T71" s="6">
        <f>$J$3+[6]FormattedData!M73*$J$4+$M$4*$J$5+[6]FormattedData!M73^2*$J$6+$M$5*$J$7</f>
        <v>28.500235300917605</v>
      </c>
      <c r="U71" s="6">
        <f>$J$3+[6]FormattedData!N73*$J$4+$M$4*$J$5+[6]FormattedData!N73^2*$J$6+$M$5*$J$7</f>
        <v>30.741535909650871</v>
      </c>
      <c r="V71" s="6">
        <f>$J$3+[6]FormattedData!O73*$J$4+$M$4*$J$5+[6]FormattedData!O73^2*$J$6+$M$5*$J$7</f>
        <v>29.184737306917093</v>
      </c>
      <c r="W71" s="5">
        <f t="shared" si="9"/>
        <v>29.102241572715503</v>
      </c>
      <c r="X71" s="4">
        <f t="shared" si="10"/>
        <v>0.21371649920924876</v>
      </c>
      <c r="Y71" s="3">
        <f t="shared" si="11"/>
        <v>28.20624327027743</v>
      </c>
      <c r="Z71" s="2">
        <f t="shared" si="12"/>
        <v>28.573669905770753</v>
      </c>
      <c r="AA71" s="3">
        <f t="shared" si="13"/>
        <v>28.989292110816749</v>
      </c>
      <c r="AB71" s="2">
        <f t="shared" si="14"/>
        <v>29.428684519470107</v>
      </c>
      <c r="AC71" s="2">
        <f t="shared" si="15"/>
        <v>30.741535909650871</v>
      </c>
      <c r="AD71" s="2">
        <f t="shared" si="16"/>
        <v>0.97155262997590541</v>
      </c>
      <c r="AE71" s="2">
        <f t="shared" si="17"/>
        <v>0.67978324663744871</v>
      </c>
    </row>
    <row r="72" spans="2:31" x14ac:dyDescent="0.2">
      <c r="B72" s="1">
        <f>[6]FormattedData!A75</f>
        <v>307</v>
      </c>
      <c r="C72" s="1" t="str">
        <f>VLOOKUP($B72,[6]TrtCodes!$B$11:I118,2)</f>
        <v>NTH</v>
      </c>
      <c r="D72" s="1">
        <f>VLOOKUP($B72,[6]TrtCodes!$B$11:J118,3)</f>
        <v>9</v>
      </c>
      <c r="E72" s="1">
        <f>VLOOKUP($B72,[6]TrtCodes!$B$11:K118,4)</f>
        <v>2</v>
      </c>
      <c r="F72" s="1">
        <f>VLOOKUP($B72,[6]TrtCodes!$B$11:L118,5)</f>
        <v>2</v>
      </c>
      <c r="G72" s="1">
        <f>VLOOKUP($B72,[6]TrtCodes!$B$11:M118,6)</f>
        <v>2</v>
      </c>
      <c r="H72" s="1">
        <f>VLOOKUP($B72,[6]TrtCodes!$B$11:N118,7)</f>
        <v>4</v>
      </c>
      <c r="I72" s="1">
        <f>[6]FormattedData!B75</f>
        <v>2</v>
      </c>
      <c r="J72" s="4">
        <f>[6]FormattedData!C75</f>
        <v>13.587</v>
      </c>
      <c r="K72" s="6">
        <f>$J$3+[6]FormattedData!D75*$J$4+$M$4*$J$5+[6]FormattedData!D75^2*$J$6+$M$5*$J$7</f>
        <v>30.838476539749319</v>
      </c>
      <c r="L72" s="6">
        <f>$J$3+[6]FormattedData!E75*$J$4+$M$4*$J$5+[6]FormattedData!E75^2*$J$6+$M$5*$J$7</f>
        <v>32.383778100165834</v>
      </c>
      <c r="M72" s="6">
        <f>$J$3+[6]FormattedData!F75*$J$4+$M$4*$J$5+[6]FormattedData!F75^2*$J$6+$M$5*$J$7</f>
        <v>31.90203374732878</v>
      </c>
      <c r="N72" s="6">
        <f>$J$3+[6]FormattedData!G75*$J$4+$M$4*$J$5+[6]FormattedData!G75^2*$J$6+$M$5*$J$7</f>
        <v>30.935374901309832</v>
      </c>
      <c r="O72" s="6">
        <f>$J$3+[6]FormattedData!H75*$J$4+$M$4*$J$5+[6]FormattedData!H75^2*$J$6+$M$5*$J$7</f>
        <v>31.90203374732878</v>
      </c>
      <c r="P72" s="6">
        <f>$J$3+[6]FormattedData!I75*$J$4+$M$4*$J$5+[6]FormattedData!I75^2*$J$6+$M$5*$J$7</f>
        <v>30.935374901309832</v>
      </c>
      <c r="Q72" s="6">
        <f>$J$3+[6]FormattedData!J75*$J$4+$M$4*$J$5+[6]FormattedData!J75^2*$J$6+$M$5*$J$7</f>
        <v>31.129044818817071</v>
      </c>
      <c r="R72" s="6">
        <f>$J$3+[6]FormattedData!K75*$J$4+$M$4*$J$5+[6]FormattedData!K75^2*$J$6+$M$5*$J$7</f>
        <v>31.61247991317137</v>
      </c>
      <c r="S72" s="6">
        <f>$J$3+[6]FormattedData!L75*$J$4+$M$4*$J$5+[6]FormattedData!L75^2*$J$6+$M$5*$J$7</f>
        <v>31.998467154972051</v>
      </c>
      <c r="T72" s="6">
        <f>$J$3+[6]FormattedData!M75*$J$4+$M$4*$J$5+[6]FormattedData!M75^2*$J$6+$M$5*$J$7</f>
        <v>32.09485829407739</v>
      </c>
      <c r="U72" s="6">
        <f>$J$3+[6]FormattedData!N75*$J$4+$M$4*$J$5+[6]FormattedData!N75^2*$J$6+$M$5*$J$7</f>
        <v>31.515877431376374</v>
      </c>
      <c r="V72" s="6">
        <f>$J$3+[6]FormattedData!O75*$J$4+$M$4*$J$5+[6]FormattedData!O75^2*$J$6+$M$5*$J$7</f>
        <v>31.61247991317137</v>
      </c>
      <c r="W72" s="5">
        <f t="shared" si="9"/>
        <v>31.571689955231506</v>
      </c>
      <c r="X72" s="4">
        <f t="shared" si="10"/>
        <v>0.14779587916027359</v>
      </c>
      <c r="Y72" s="3">
        <f t="shared" si="11"/>
        <v>30.838476539749319</v>
      </c>
      <c r="Z72" s="2">
        <f t="shared" si="12"/>
        <v>31.080627339440262</v>
      </c>
      <c r="AA72" s="3">
        <f t="shared" si="13"/>
        <v>31.61247991317137</v>
      </c>
      <c r="AB72" s="2">
        <f t="shared" si="14"/>
        <v>31.926142099239598</v>
      </c>
      <c r="AC72" s="2">
        <f t="shared" si="15"/>
        <v>32.383778100165834</v>
      </c>
      <c r="AD72" s="2">
        <f t="shared" si="16"/>
        <v>-0.13627339633143998</v>
      </c>
      <c r="AE72" s="2">
        <f t="shared" si="17"/>
        <v>-1.2305051062746388</v>
      </c>
    </row>
    <row r="73" spans="2:31" x14ac:dyDescent="0.2">
      <c r="B73" s="1">
        <f>[6]FormattedData!A77</f>
        <v>308</v>
      </c>
      <c r="C73" s="1" t="str">
        <f>VLOOKUP($B73,[6]TrtCodes!$B$11:I120,2)</f>
        <v>FDH</v>
      </c>
      <c r="D73" s="1">
        <f>VLOOKUP($B73,[6]TrtCodes!$B$11:J120,3)</f>
        <v>5</v>
      </c>
      <c r="E73" s="1">
        <f>VLOOKUP($B73,[6]TrtCodes!$B$11:K120,4)</f>
        <v>1</v>
      </c>
      <c r="F73" s="1">
        <f>VLOOKUP($B73,[6]TrtCodes!$B$11:L120,5)</f>
        <v>3</v>
      </c>
      <c r="G73" s="1">
        <f>VLOOKUP($B73,[6]TrtCodes!$B$11:M120,6)</f>
        <v>2</v>
      </c>
      <c r="H73" s="1">
        <f>VLOOKUP($B73,[6]TrtCodes!$B$11:N120,7)</f>
        <v>4</v>
      </c>
      <c r="I73" s="1">
        <f>[6]FormattedData!B77</f>
        <v>2</v>
      </c>
      <c r="J73" s="4">
        <f>[6]FormattedData!C77</f>
        <v>13.603</v>
      </c>
      <c r="K73" s="6">
        <f>$J$3+[6]FormattedData!D77*$J$4+$M$4*$J$5+[6]FormattedData!D77^2*$J$6+$M$5*$J$7</f>
        <v>30.159004489763639</v>
      </c>
      <c r="L73" s="6">
        <f>$J$3+[6]FormattedData!E77*$J$4+$M$4*$J$5+[6]FormattedData!E77^2*$J$6+$M$5*$J$7</f>
        <v>29.867168154557955</v>
      </c>
      <c r="M73" s="6">
        <f>$J$3+[6]FormattedData!F77*$J$4+$M$4*$J$5+[6]FormattedData!F77^2*$J$6+$M$5*$J$7</f>
        <v>30.353350703877776</v>
      </c>
      <c r="N73" s="6">
        <f>$J$3+[6]FormattedData!G77*$J$4+$M$4*$J$5+[6]FormattedData!G77^2*$J$6+$M$5*$J$7</f>
        <v>31.129044818817071</v>
      </c>
      <c r="O73" s="6">
        <f>$J$3+[6]FormattedData!H77*$J$4+$M$4*$J$5+[6]FormattedData!H77^2*$J$6+$M$5*$J$7</f>
        <v>30.06176797989967</v>
      </c>
      <c r="P73" s="6">
        <f>$J$3+[6]FormattedData!I77*$J$4+$M$4*$J$5+[6]FormattedData!I77^2*$J$6+$M$5*$J$7</f>
        <v>29.672399255064505</v>
      </c>
      <c r="Q73" s="6">
        <f>$J$3+[6]FormattedData!J77*$J$4+$M$4*$J$5+[6]FormattedData!J77^2*$J$6+$M$5*$J$7</f>
        <v>29.964489201497777</v>
      </c>
      <c r="R73" s="6">
        <f>$J$3+[6]FormattedData!K77*$J$4+$M$4*$J$5+[6]FormattedData!K77^2*$J$6+$M$5*$J$7</f>
        <v>29.672399255064505</v>
      </c>
      <c r="S73" s="6">
        <f>$J$3+[6]FormattedData!L77*$J$4+$M$4*$J$5+[6]FormattedData!L77^2*$J$6+$M$5*$J$7</f>
        <v>30.06176797989967</v>
      </c>
      <c r="T73" s="6">
        <f>$J$3+[6]FormattedData!M77*$J$4+$M$4*$J$5+[6]FormattedData!M77^2*$J$6+$M$5*$J$7</f>
        <v>28.891632915573471</v>
      </c>
      <c r="U73" s="6">
        <f>$J$3+[6]FormattedData!N77*$J$4+$M$4*$J$5+[6]FormattedData!N77^2*$J$6+$M$5*$J$7</f>
        <v>30.547527843840182</v>
      </c>
      <c r="V73" s="6">
        <f>$J$3+[6]FormattedData!O77*$J$4+$M$4*$J$5+[6]FormattedData!O77^2*$J$6+$M$5*$J$7</f>
        <v>29.769804839080191</v>
      </c>
      <c r="W73" s="5">
        <f t="shared" si="9"/>
        <v>30.012529786411367</v>
      </c>
      <c r="X73" s="4">
        <f t="shared" si="10"/>
        <v>0.1568011655553202</v>
      </c>
      <c r="Y73" s="3">
        <f t="shared" si="11"/>
        <v>28.891632915573471</v>
      </c>
      <c r="Z73" s="2">
        <f t="shared" si="12"/>
        <v>29.745453443076268</v>
      </c>
      <c r="AA73" s="3">
        <f t="shared" si="13"/>
        <v>30.013128590698724</v>
      </c>
      <c r="AB73" s="2">
        <f t="shared" si="14"/>
        <v>30.207591043292172</v>
      </c>
      <c r="AC73" s="2">
        <f t="shared" si="15"/>
        <v>31.129044818817071</v>
      </c>
      <c r="AD73" s="2">
        <f t="shared" si="16"/>
        <v>5.6817412437879938E-2</v>
      </c>
      <c r="AE73" s="2">
        <f t="shared" si="17"/>
        <v>1.8664611252009538</v>
      </c>
    </row>
    <row r="74" spans="2:31" x14ac:dyDescent="0.2">
      <c r="B74" s="1">
        <f>[6]FormattedData!A93</f>
        <v>401</v>
      </c>
      <c r="C74" s="1" t="str">
        <f>VLOOKUP($B74,[6]TrtCodes!$B$11:I130,2)</f>
        <v>NSH</v>
      </c>
      <c r="D74" s="1">
        <f>VLOOKUP($B74,[6]TrtCodes!$B$11:J130,3)</f>
        <v>7</v>
      </c>
      <c r="E74" s="1">
        <f>VLOOKUP($B74,[6]TrtCodes!$B$11:K130,4)</f>
        <v>2</v>
      </c>
      <c r="F74" s="1">
        <f>VLOOKUP($B74,[6]TrtCodes!$B$11:L130,5)</f>
        <v>1</v>
      </c>
      <c r="G74" s="1">
        <f>VLOOKUP($B74,[6]TrtCodes!$B$11:M130,6)</f>
        <v>2</v>
      </c>
      <c r="H74" s="1">
        <f>VLOOKUP($B74,[6]TrtCodes!$B$11:N130,7)</f>
        <v>3</v>
      </c>
      <c r="I74" s="1">
        <f>[6]FormattedData!B93</f>
        <v>2</v>
      </c>
      <c r="J74" s="4">
        <f>[6]FormattedData!C93</f>
        <v>13.747999999999999</v>
      </c>
      <c r="K74" s="6">
        <f>$J$3+[6]FormattedData!D93*$J$4+$M$4*$J$5+[6]FormattedData!D93^2*$J$6+$M$5*$J$7</f>
        <v>30.644553011014494</v>
      </c>
      <c r="L74" s="6">
        <f>$J$3+[6]FormattedData!E93*$J$4+$M$4*$J$5+[6]FormattedData!E93^2*$J$6+$M$5*$J$7</f>
        <v>30.644553011014494</v>
      </c>
      <c r="M74" s="6">
        <f>$J$3+[6]FormattedData!F93*$J$4+$M$4*$J$5+[6]FormattedData!F93^2*$J$6+$M$5*$J$7</f>
        <v>31.419232681043443</v>
      </c>
      <c r="N74" s="6">
        <f>$J$3+[6]FormattedData!G93*$J$4+$M$4*$J$5+[6]FormattedData!G93^2*$J$6+$M$5*$J$7</f>
        <v>29.769804839080191</v>
      </c>
      <c r="O74" s="6">
        <f>$J$3+[6]FormattedData!H93*$J$4+$M$4*$J$5+[6]FormattedData!H93^2*$J$6+$M$5*$J$7</f>
        <v>30.838476539749319</v>
      </c>
      <c r="P74" s="6">
        <f>$J$3+[6]FormattedData!I93*$J$4+$M$4*$J$5+[6]FormattedData!I93^2*$J$6+$M$5*$J$7</f>
        <v>30.256198731089668</v>
      </c>
      <c r="Q74" s="6">
        <f>$J$3+[6]FormattedData!J93*$J$4+$M$4*$J$5+[6]FormattedData!J93^2*$J$6+$M$5*$J$7</f>
        <v>31.805558071147573</v>
      </c>
      <c r="R74" s="6">
        <f>$J$3+[6]FormattedData!K93*$J$4+$M$4*$J$5+[6]FormattedData!K93^2*$J$6+$M$5*$J$7</f>
        <v>31.032230994332412</v>
      </c>
      <c r="S74" s="6">
        <f>$J$3+[6]FormattedData!L93*$J$4+$M$4*$J$5+[6]FormattedData!L93^2*$J$6+$M$5*$J$7</f>
        <v>31.90203374732878</v>
      </c>
      <c r="T74" s="6">
        <f>$J$3+[6]FormattedData!M93*$J$4+$M$4*$J$5+[6]FormattedData!M93^2*$J$6+$M$5*$J$7</f>
        <v>30.159004489763639</v>
      </c>
      <c r="U74" s="6">
        <f>$J$3+[6]FormattedData!N93*$J$4+$M$4*$J$5+[6]FormattedData!N93^2*$J$6+$M$5*$J$7</f>
        <v>31.61247991317137</v>
      </c>
      <c r="V74" s="6">
        <f>$J$3+[6]FormattedData!O93*$J$4+$M$4*$J$5+[6]FormattedData!O93^2*$J$6+$M$5*$J$7</f>
        <v>30.741535909650871</v>
      </c>
      <c r="W74" s="5">
        <f t="shared" ref="W74:W105" si="18">AVERAGE(K74:V74)</f>
        <v>30.902138494865515</v>
      </c>
      <c r="X74" s="4">
        <f t="shared" ref="X74:X85" si="19">STDEV(K74:V74)/SQRT(COUNT(K74:V74))</f>
        <v>0.19499544025250953</v>
      </c>
      <c r="Y74" s="3">
        <f t="shared" ref="Y74:Y85" si="20">MIN(K74:V74)</f>
        <v>29.769804839080191</v>
      </c>
      <c r="Z74" s="2">
        <f t="shared" ref="Z74:Z85" si="21">QUARTILE(K74:V74,1)</f>
        <v>30.547464441033288</v>
      </c>
      <c r="AA74" s="3">
        <f t="shared" ref="AA74:AA85" si="22">MEDIAN(K74:V74)</f>
        <v>30.790006224700093</v>
      </c>
      <c r="AB74" s="2">
        <f t="shared" ref="AB74:AB85" si="23">QUARTILE(K74:V74,3)</f>
        <v>31.467544489075426</v>
      </c>
      <c r="AC74" s="2">
        <f t="shared" ref="AC74:AC85" si="24">MAX(K74:V74)</f>
        <v>31.90203374732878</v>
      </c>
      <c r="AD74" s="2">
        <f t="shared" ref="AD74:AD85" si="25">SKEW(K74:V74)</f>
        <v>2.3211362252692418E-2</v>
      </c>
      <c r="AE74" s="2">
        <f t="shared" ref="AE74:AE85" si="26">KURT(K74:V74)</f>
        <v>-0.91146567975553694</v>
      </c>
    </row>
    <row r="75" spans="2:31" x14ac:dyDescent="0.2">
      <c r="B75" s="1">
        <f>[6]FormattedData!A91</f>
        <v>402</v>
      </c>
      <c r="C75" s="1" t="str">
        <f>VLOOKUP($B75,[6]TrtCodes!$B$11:I131,2)</f>
        <v>NTH</v>
      </c>
      <c r="D75" s="1">
        <f>VLOOKUP($B75,[6]TrtCodes!$B$11:J131,3)</f>
        <v>9</v>
      </c>
      <c r="E75" s="1">
        <f>VLOOKUP($B75,[6]TrtCodes!$B$11:K131,4)</f>
        <v>2</v>
      </c>
      <c r="F75" s="1">
        <f>VLOOKUP($B75,[6]TrtCodes!$B$11:L131,5)</f>
        <v>2</v>
      </c>
      <c r="G75" s="1">
        <f>VLOOKUP($B75,[6]TrtCodes!$B$11:M131,6)</f>
        <v>2</v>
      </c>
      <c r="H75" s="1">
        <f>VLOOKUP($B75,[6]TrtCodes!$B$11:N131,7)</f>
        <v>3</v>
      </c>
      <c r="I75" s="1">
        <f>[6]FormattedData!B91</f>
        <v>2</v>
      </c>
      <c r="J75" s="4">
        <f>[6]FormattedData!C91</f>
        <v>13.731</v>
      </c>
      <c r="K75" s="6">
        <f>$J$3+[6]FormattedData!D91*$J$4+$M$4*$J$5+[6]FormattedData!D91^2*$J$6+$M$5*$J$7</f>
        <v>32.576179961535132</v>
      </c>
      <c r="L75" s="6">
        <f>$J$3+[6]FormattedData!E91*$J$4+$M$4*$J$5+[6]FormattedData!E91^2*$J$6+$M$5*$J$7</f>
        <v>31.419232681043443</v>
      </c>
      <c r="M75" s="6">
        <f>$J$3+[6]FormattedData!F91*$J$4+$M$4*$J$5+[6]FormattedData!F91^2*$J$6+$M$5*$J$7</f>
        <v>32.383778100165834</v>
      </c>
      <c r="N75" s="6">
        <f>$J$3+[6]FormattedData!G91*$J$4+$M$4*$J$5+[6]FormattedData!G91^2*$J$6+$M$5*$J$7</f>
        <v>32.576179961535132</v>
      </c>
      <c r="O75" s="6">
        <f>$J$3+[6]FormattedData!H91*$J$4+$M$4*$J$5+[6]FormattedData!H91^2*$J$6+$M$5*$J$7</f>
        <v>32.09485829407739</v>
      </c>
      <c r="P75" s="6">
        <f>$J$3+[6]FormattedData!I91*$J$4+$M$4*$J$5+[6]FormattedData!I91^2*$J$6+$M$5*$J$7</f>
        <v>31.032230994332412</v>
      </c>
      <c r="Q75" s="6">
        <f>$J$3+[6]FormattedData!J91*$J$4+$M$4*$J$5+[6]FormattedData!J91^2*$J$6+$M$5*$J$7</f>
        <v>31.90203374732878</v>
      </c>
      <c r="R75" s="6">
        <f>$J$3+[6]FormattedData!K91*$J$4+$M$4*$J$5+[6]FormattedData!K91^2*$J$6+$M$5*$J$7</f>
        <v>31.805558071147573</v>
      </c>
      <c r="S75" s="6">
        <f>$J$3+[6]FormattedData!L91*$J$4+$M$4*$J$5+[6]FormattedData!L91^2*$J$6+$M$5*$J$7</f>
        <v>31.805558071147573</v>
      </c>
      <c r="T75" s="6">
        <f>$J$3+[6]FormattedData!M91*$J$4+$M$4*$J$5+[6]FormattedData!M91^2*$J$6+$M$5*$J$7</f>
        <v>33.24825501738286</v>
      </c>
      <c r="U75" s="6">
        <f>$J$3+[6]FormattedData!N91*$J$4+$M$4*$J$5+[6]FormattedData!N91^2*$J$6+$M$5*$J$7</f>
        <v>31.419232681043443</v>
      </c>
      <c r="V75" s="6">
        <f>$J$3+[6]FormattedData!O91*$J$4+$M$4*$J$5+[6]FormattedData!O91^2*$J$6+$M$5*$J$7</f>
        <v>31.515877431376374</v>
      </c>
      <c r="W75" s="5">
        <f t="shared" si="18"/>
        <v>31.981581251009668</v>
      </c>
      <c r="X75" s="4">
        <f t="shared" si="19"/>
        <v>0.18059383501281995</v>
      </c>
      <c r="Y75" s="3">
        <f t="shared" si="20"/>
        <v>31.032230994332412</v>
      </c>
      <c r="Z75" s="2">
        <f t="shared" si="21"/>
        <v>31.491716243793142</v>
      </c>
      <c r="AA75" s="3">
        <f t="shared" si="22"/>
        <v>31.853795909238176</v>
      </c>
      <c r="AB75" s="2">
        <f t="shared" si="23"/>
        <v>32.431878565508157</v>
      </c>
      <c r="AC75" s="2">
        <f t="shared" si="24"/>
        <v>33.24825501738286</v>
      </c>
      <c r="AD75" s="2">
        <f t="shared" si="25"/>
        <v>0.5327058582738794</v>
      </c>
      <c r="AE75" s="2">
        <f t="shared" si="26"/>
        <v>-8.9052189697387263E-3</v>
      </c>
    </row>
    <row r="76" spans="2:31" x14ac:dyDescent="0.2">
      <c r="B76" s="1">
        <f>[6]FormattedData!A89</f>
        <v>403</v>
      </c>
      <c r="C76" s="1" t="str">
        <f>VLOOKUP($B76,[6]TrtCodes!$B$11:I132,2)</f>
        <v>FDL</v>
      </c>
      <c r="D76" s="1">
        <f>VLOOKUP($B76,[6]TrtCodes!$B$11:J132,3)</f>
        <v>6</v>
      </c>
      <c r="E76" s="1">
        <f>VLOOKUP($B76,[6]TrtCodes!$B$11:K132,4)</f>
        <v>1</v>
      </c>
      <c r="F76" s="1">
        <f>VLOOKUP($B76,[6]TrtCodes!$B$11:L132,5)</f>
        <v>3</v>
      </c>
      <c r="G76" s="1">
        <f>VLOOKUP($B76,[6]TrtCodes!$B$11:M132,6)</f>
        <v>1</v>
      </c>
      <c r="H76" s="1">
        <f>VLOOKUP($B76,[6]TrtCodes!$B$11:N132,7)</f>
        <v>3</v>
      </c>
      <c r="I76" s="1">
        <f>[6]FormattedData!B89</f>
        <v>2</v>
      </c>
      <c r="J76" s="4">
        <f>[6]FormattedData!C89</f>
        <v>13.714</v>
      </c>
      <c r="K76" s="6">
        <f>$J$3+[6]FormattedData!D89*$J$4+$M$4*$J$5+[6]FormattedData!D89^2*$J$6+$M$5*$J$7</f>
        <v>29.672399255064505</v>
      </c>
      <c r="L76" s="6">
        <f>$J$3+[6]FormattedData!E89*$J$4+$M$4*$J$5+[6]FormattedData!E89^2*$J$6+$M$5*$J$7</f>
        <v>30.935374901309832</v>
      </c>
      <c r="M76" s="6">
        <f>$J$3+[6]FormattedData!F89*$J$4+$M$4*$J$5+[6]FormattedData!F89^2*$J$6+$M$5*$J$7</f>
        <v>29.867168154557955</v>
      </c>
      <c r="N76" s="6">
        <f>$J$3+[6]FormattedData!G89*$J$4+$M$4*$J$5+[6]FormattedData!G89^2*$J$6+$M$5*$J$7</f>
        <v>29.769804839080191</v>
      </c>
      <c r="O76" s="6">
        <f>$J$3+[6]FormattedData!H89*$J$4+$M$4*$J$5+[6]FormattedData!H89^2*$J$6+$M$5*$J$7</f>
        <v>30.06176797989967</v>
      </c>
      <c r="P76" s="6">
        <f>$J$3+[6]FormattedData!I89*$J$4+$M$4*$J$5+[6]FormattedData!I89^2*$J$6+$M$5*$J$7</f>
        <v>29.282354233622435</v>
      </c>
      <c r="Q76" s="6">
        <f>$J$3+[6]FormattedData!J89*$J$4+$M$4*$J$5+[6]FormattedData!J89^2*$J$6+$M$5*$J$7</f>
        <v>29.57495140251088</v>
      </c>
      <c r="R76" s="6">
        <f>$J$3+[6]FormattedData!K89*$J$4+$M$4*$J$5+[6]FormattedData!K89^2*$J$6+$M$5*$J$7</f>
        <v>30.256198731089668</v>
      </c>
      <c r="S76" s="6">
        <f>$J$3+[6]FormattedData!L89*$J$4+$M$4*$J$5+[6]FormattedData!L89^2*$J$6+$M$5*$J$7</f>
        <v>29.184737306917093</v>
      </c>
      <c r="T76" s="6">
        <f>$J$3+[6]FormattedData!M89*$J$4+$M$4*$J$5+[6]FormattedData!M89^2*$J$6+$M$5*$J$7</f>
        <v>29.57495140251088</v>
      </c>
      <c r="U76" s="6">
        <f>$J$3+[6]FormattedData!N89*$J$4+$M$4*$J$5+[6]FormattedData!N89^2*$J$6+$M$5*$J$7</f>
        <v>29.379928891789849</v>
      </c>
      <c r="V76" s="6">
        <f>$J$3+[6]FormattedData!O89*$J$4+$M$4*$J$5+[6]FormattedData!O89^2*$J$6+$M$5*$J$7</f>
        <v>30.06176797989967</v>
      </c>
      <c r="W76" s="5">
        <f t="shared" si="18"/>
        <v>29.801783756521058</v>
      </c>
      <c r="X76" s="4">
        <f t="shared" si="19"/>
        <v>0.13980950991108609</v>
      </c>
      <c r="Y76" s="3">
        <f t="shared" si="20"/>
        <v>29.184737306917093</v>
      </c>
      <c r="Z76" s="2">
        <f t="shared" si="21"/>
        <v>29.526195774830622</v>
      </c>
      <c r="AA76" s="3">
        <f t="shared" si="22"/>
        <v>29.72110204707235</v>
      </c>
      <c r="AB76" s="2">
        <f t="shared" si="23"/>
        <v>30.06176797989967</v>
      </c>
      <c r="AC76" s="2">
        <f t="shared" si="24"/>
        <v>30.935374901309832</v>
      </c>
      <c r="AD76" s="2">
        <f t="shared" si="25"/>
        <v>1.0661789987735877</v>
      </c>
      <c r="AE76" s="2">
        <f t="shared" si="26"/>
        <v>1.5747679083293313</v>
      </c>
    </row>
    <row r="77" spans="2:31" x14ac:dyDescent="0.2">
      <c r="B77" s="1">
        <f>[6]FormattedData!A87</f>
        <v>404</v>
      </c>
      <c r="C77" s="1" t="str">
        <f>VLOOKUP($B77,[6]TrtCodes!$B$11:I130,2)</f>
        <v>FTH</v>
      </c>
      <c r="D77" s="1">
        <f>VLOOKUP($B77,[6]TrtCodes!$B$11:J130,3)</f>
        <v>3</v>
      </c>
      <c r="E77" s="1">
        <f>VLOOKUP($B77,[6]TrtCodes!$B$11:K130,4)</f>
        <v>1</v>
      </c>
      <c r="F77" s="1">
        <f>VLOOKUP($B77,[6]TrtCodes!$B$11:L130,5)</f>
        <v>2</v>
      </c>
      <c r="G77" s="1">
        <f>VLOOKUP($B77,[6]TrtCodes!$B$11:M130,6)</f>
        <v>2</v>
      </c>
      <c r="H77" s="1">
        <f>VLOOKUP($B77,[6]TrtCodes!$B$11:N130,7)</f>
        <v>3</v>
      </c>
      <c r="I77" s="1">
        <f>[6]FormattedData!B87</f>
        <v>2</v>
      </c>
      <c r="J77" s="4">
        <f>[6]FormattedData!C87</f>
        <v>13.698</v>
      </c>
      <c r="K77" s="6">
        <f>$J$3+[6]FormattedData!D87*$J$4+$M$4*$J$5+[6]FormattedData!D87^2*$J$6+$M$5*$J$7</f>
        <v>29.477461281419334</v>
      </c>
      <c r="L77" s="6">
        <f>$J$3+[6]FormattedData!E87*$J$4+$M$4*$J$5+[6]FormattedData!E87^2*$J$6+$M$5*$J$7</f>
        <v>28.891632915573471</v>
      </c>
      <c r="M77" s="6">
        <f>$J$3+[6]FormattedData!F87*$J$4+$M$4*$J$5+[6]FormattedData!F87^2*$J$6+$M$5*$J$7</f>
        <v>29.964489201497777</v>
      </c>
      <c r="N77" s="6">
        <f>$J$3+[6]FormattedData!G87*$J$4+$M$4*$J$5+[6]FormattedData!G87^2*$J$6+$M$5*$J$7</f>
        <v>29.477461281419334</v>
      </c>
      <c r="O77" s="6">
        <f>$J$3+[6]FormattedData!H87*$J$4+$M$4*$J$5+[6]FormattedData!H87^2*$J$6+$M$5*$J$7</f>
        <v>29.087078111673815</v>
      </c>
      <c r="P77" s="6">
        <f>$J$3+[6]FormattedData!I87*$J$4+$M$4*$J$5+[6]FormattedData!I87^2*$J$6+$M$5*$J$7</f>
        <v>29.087078111673815</v>
      </c>
      <c r="Q77" s="6">
        <f>$J$3+[6]FormattedData!J87*$J$4+$M$4*$J$5+[6]FormattedData!J87^2*$J$6+$M$5*$J$7</f>
        <v>29.184737306917093</v>
      </c>
      <c r="R77" s="6">
        <f>$J$3+[6]FormattedData!K87*$J$4+$M$4*$J$5+[6]FormattedData!K87^2*$J$6+$M$5*$J$7</f>
        <v>28.304282882362084</v>
      </c>
      <c r="S77" s="6">
        <f>$J$3+[6]FormattedData!L87*$J$4+$M$4*$J$5+[6]FormattedData!L87^2*$J$6+$M$5*$J$7</f>
        <v>28.696018645321399</v>
      </c>
      <c r="T77" s="6">
        <f>$J$3+[6]FormattedData!M87*$J$4+$M$4*$J$5+[6]FormattedData!M87^2*$J$6+$M$5*$J$7</f>
        <v>28.598148107388468</v>
      </c>
      <c r="U77" s="6">
        <f>$J$3+[6]FormattedData!N87*$J$4+$M$4*$J$5+[6]FormattedData!N87^2*$J$6+$M$5*$J$7</f>
        <v>28.696018645321399</v>
      </c>
      <c r="V77" s="6">
        <f>$J$3+[6]FormattedData!O87*$J$4+$M$4*$J$5+[6]FormattedData!O87^2*$J$6+$M$5*$J$7</f>
        <v>29.087078111673815</v>
      </c>
      <c r="W77" s="5">
        <f t="shared" si="18"/>
        <v>29.045957050186814</v>
      </c>
      <c r="X77" s="4">
        <f t="shared" si="19"/>
        <v>0.13084136341731339</v>
      </c>
      <c r="Y77" s="3">
        <f t="shared" si="20"/>
        <v>28.304282882362084</v>
      </c>
      <c r="Z77" s="2">
        <f t="shared" si="21"/>
        <v>28.696018645321399</v>
      </c>
      <c r="AA77" s="3">
        <f t="shared" si="22"/>
        <v>29.087078111673815</v>
      </c>
      <c r="AB77" s="2">
        <f t="shared" si="23"/>
        <v>29.257918300542652</v>
      </c>
      <c r="AC77" s="2">
        <f t="shared" si="24"/>
        <v>29.964489201497777</v>
      </c>
      <c r="AD77" s="2">
        <f t="shared" si="25"/>
        <v>0.41167399182117764</v>
      </c>
      <c r="AE77" s="2">
        <f t="shared" si="26"/>
        <v>0.27882569818215597</v>
      </c>
    </row>
    <row r="78" spans="2:31" x14ac:dyDescent="0.2">
      <c r="B78" s="1">
        <f>[6]FormattedData!A85</f>
        <v>405</v>
      </c>
      <c r="C78" s="1" t="str">
        <f>VLOOKUP($B78,[6]TrtCodes!$B$11:I128,2)</f>
        <v>FDL</v>
      </c>
      <c r="D78" s="1">
        <f>VLOOKUP($B78,[6]TrtCodes!$B$11:J128,3)</f>
        <v>6</v>
      </c>
      <c r="E78" s="1">
        <f>VLOOKUP($B78,[6]TrtCodes!$B$11:K128,4)</f>
        <v>1</v>
      </c>
      <c r="F78" s="1">
        <f>VLOOKUP($B78,[6]TrtCodes!$B$11:L128,5)</f>
        <v>3</v>
      </c>
      <c r="G78" s="1">
        <f>VLOOKUP($B78,[6]TrtCodes!$B$11:M128,6)</f>
        <v>1</v>
      </c>
      <c r="H78" s="1">
        <f>VLOOKUP($B78,[6]TrtCodes!$B$11:N128,7)</f>
        <v>4</v>
      </c>
      <c r="I78" s="1">
        <f>[6]FormattedData!B85</f>
        <v>2</v>
      </c>
      <c r="J78" s="4">
        <f>[6]FormattedData!C85</f>
        <v>13.682</v>
      </c>
      <c r="K78" s="6">
        <f>$J$3+[6]FormattedData!D85*$J$4+$M$4*$J$5+[6]FormattedData!D85^2*$J$6+$M$5*$J$7</f>
        <v>30.644553011014494</v>
      </c>
      <c r="L78" s="6">
        <f>$J$3+[6]FormattedData!E85*$J$4+$M$4*$J$5+[6]FormattedData!E85^2*$J$6+$M$5*$J$7</f>
        <v>30.644553011014494</v>
      </c>
      <c r="M78" s="6">
        <f>$J$3+[6]FormattedData!F85*$J$4+$M$4*$J$5+[6]FormattedData!F85^2*$J$6+$M$5*$J$7</f>
        <v>29.57495140251088</v>
      </c>
      <c r="N78" s="6">
        <f>$J$3+[6]FormattedData!G85*$J$4+$M$4*$J$5+[6]FormattedData!G85^2*$J$6+$M$5*$J$7</f>
        <v>30.06176797989967</v>
      </c>
      <c r="O78" s="6">
        <f>$J$3+[6]FormattedData!H85*$J$4+$M$4*$J$5+[6]FormattedData!H85^2*$J$6+$M$5*$J$7</f>
        <v>29.769804839080191</v>
      </c>
      <c r="P78" s="6">
        <f>$J$3+[6]FormattedData!I85*$J$4+$M$4*$J$5+[6]FormattedData!I85^2*$J$6+$M$5*$J$7</f>
        <v>29.867168154557955</v>
      </c>
      <c r="Q78" s="6">
        <f>$J$3+[6]FormattedData!J85*$J$4+$M$4*$J$5+[6]FormattedData!J85^2*$J$6+$M$5*$J$7</f>
        <v>31.032230994332412</v>
      </c>
      <c r="R78" s="6">
        <f>$J$3+[6]FormattedData!K85*$J$4+$M$4*$J$5+[6]FormattedData!K85^2*$J$6+$M$5*$J$7</f>
        <v>30.450460408127945</v>
      </c>
      <c r="S78" s="6">
        <f>$J$3+[6]FormattedData!L85*$J$4+$M$4*$J$5+[6]FormattedData!L85^2*$J$6+$M$5*$J$7</f>
        <v>31.032230994332412</v>
      </c>
      <c r="T78" s="6">
        <f>$J$3+[6]FormattedData!M85*$J$4+$M$4*$J$5+[6]FormattedData!M85^2*$J$6+$M$5*$J$7</f>
        <v>31.515877431376374</v>
      </c>
      <c r="U78" s="6">
        <f>$J$3+[6]FormattedData!N85*$J$4+$M$4*$J$5+[6]FormattedData!N85^2*$J$6+$M$5*$J$7</f>
        <v>29.867168154557955</v>
      </c>
      <c r="V78" s="6">
        <f>$J$3+[6]FormattedData!O85*$J$4+$M$4*$J$5+[6]FormattedData!O85^2*$J$6+$M$5*$J$7</f>
        <v>29.964489201497777</v>
      </c>
      <c r="W78" s="5">
        <f t="shared" si="18"/>
        <v>30.368771298525214</v>
      </c>
      <c r="X78" s="4">
        <f t="shared" si="19"/>
        <v>0.1763435773290789</v>
      </c>
      <c r="Y78" s="3">
        <f t="shared" si="20"/>
        <v>29.57495140251088</v>
      </c>
      <c r="Z78" s="2">
        <f t="shared" si="21"/>
        <v>29.867168154557955</v>
      </c>
      <c r="AA78" s="3">
        <f t="shared" si="22"/>
        <v>30.256114194013808</v>
      </c>
      <c r="AB78" s="2">
        <f t="shared" si="23"/>
        <v>30.741472506843973</v>
      </c>
      <c r="AC78" s="2">
        <f t="shared" si="24"/>
        <v>31.515877431376374</v>
      </c>
      <c r="AD78" s="2">
        <f t="shared" si="25"/>
        <v>0.51371764716981205</v>
      </c>
      <c r="AE78" s="2">
        <f t="shared" si="26"/>
        <v>-0.84383682601929388</v>
      </c>
    </row>
    <row r="79" spans="2:31" x14ac:dyDescent="0.2">
      <c r="B79" s="1">
        <f>[6]FormattedData!A83</f>
        <v>406</v>
      </c>
      <c r="C79" s="1" t="str">
        <f>VLOOKUP($B79,[6]TrtCodes!$B$11:I126,2)</f>
        <v>FTH</v>
      </c>
      <c r="D79" s="1">
        <f>VLOOKUP($B79,[6]TrtCodes!$B$11:J126,3)</f>
        <v>3</v>
      </c>
      <c r="E79" s="1">
        <f>VLOOKUP($B79,[6]TrtCodes!$B$11:K126,4)</f>
        <v>1</v>
      </c>
      <c r="F79" s="1">
        <f>VLOOKUP($B79,[6]TrtCodes!$B$11:L126,5)</f>
        <v>2</v>
      </c>
      <c r="G79" s="1">
        <f>VLOOKUP($B79,[6]TrtCodes!$B$11:M126,6)</f>
        <v>2</v>
      </c>
      <c r="H79" s="1">
        <f>VLOOKUP($B79,[6]TrtCodes!$B$11:N126,7)</f>
        <v>4</v>
      </c>
      <c r="I79" s="1">
        <f>[6]FormattedData!B83</f>
        <v>2</v>
      </c>
      <c r="J79" s="4">
        <f>[6]FormattedData!C83</f>
        <v>13.664999999999999</v>
      </c>
      <c r="K79" s="6">
        <f>$J$3+[6]FormattedData!D83*$J$4+$M$4*$J$5+[6]FormattedData!D83^2*$J$6+$M$5*$J$7</f>
        <v>29.184737306917093</v>
      </c>
      <c r="L79" s="6">
        <f>$J$3+[6]FormattedData!E83*$J$4+$M$4*$J$5+[6]FormattedData!E83^2*$J$6+$M$5*$J$7</f>
        <v>30.06176797989967</v>
      </c>
      <c r="M79" s="6">
        <f>$J$3+[6]FormattedData!F83*$J$4+$M$4*$J$5+[6]FormattedData!F83^2*$J$6+$M$5*$J$7</f>
        <v>29.184737306917093</v>
      </c>
      <c r="N79" s="6">
        <f>$J$3+[6]FormattedData!G83*$J$4+$M$4*$J$5+[6]FormattedData!G83^2*$J$6+$M$5*$J$7</f>
        <v>29.282354233622435</v>
      </c>
      <c r="O79" s="6">
        <f>$J$3+[6]FormattedData!H83*$J$4+$M$4*$J$5+[6]FormattedData!H83^2*$J$6+$M$5*$J$7</f>
        <v>29.477461281419334</v>
      </c>
      <c r="P79" s="6">
        <f>$J$3+[6]FormattedData!I83*$J$4+$M$4*$J$5+[6]FormattedData!I83^2*$J$6+$M$5*$J$7</f>
        <v>29.184737306917093</v>
      </c>
      <c r="Q79" s="6">
        <f>$J$3+[6]FormattedData!J83*$J$4+$M$4*$J$5+[6]FormattedData!J83^2*$J$6+$M$5*$J$7</f>
        <v>28.891632915573471</v>
      </c>
      <c r="R79" s="6">
        <f>$J$3+[6]FormattedData!K83*$J$4+$M$4*$J$5+[6]FormattedData!K83^2*$J$6+$M$5*$J$7</f>
        <v>29.087078111673815</v>
      </c>
      <c r="S79" s="6">
        <f>$J$3+[6]FormattedData!L83*$J$4+$M$4*$J$5+[6]FormattedData!L83^2*$J$6+$M$5*$J$7</f>
        <v>29.672399255064505</v>
      </c>
      <c r="T79" s="6">
        <f>$J$3+[6]FormattedData!M83*$J$4+$M$4*$J$5+[6]FormattedData!M83^2*$J$6+$M$5*$J$7</f>
        <v>29.087078111673815</v>
      </c>
      <c r="U79" s="6">
        <f>$J$3+[6]FormattedData!N83*$J$4+$M$4*$J$5+[6]FormattedData!N83^2*$J$6+$M$5*$J$7</f>
        <v>31.515877431376374</v>
      </c>
      <c r="V79" s="6">
        <f>$J$3+[6]FormattedData!O83*$J$4+$M$4*$J$5+[6]FormattedData!O83^2*$J$6+$M$5*$J$7</f>
        <v>29.477461281419334</v>
      </c>
      <c r="W79" s="5">
        <f t="shared" si="18"/>
        <v>29.508943543539502</v>
      </c>
      <c r="X79" s="4">
        <f t="shared" si="19"/>
        <v>0.20348820951699462</v>
      </c>
      <c r="Y79" s="3">
        <f t="shared" si="20"/>
        <v>28.891632915573471</v>
      </c>
      <c r="Z79" s="2">
        <f t="shared" si="21"/>
        <v>29.160322508106272</v>
      </c>
      <c r="AA79" s="3">
        <f t="shared" si="22"/>
        <v>29.233545770269764</v>
      </c>
      <c r="AB79" s="2">
        <f t="shared" si="23"/>
        <v>29.526195774830626</v>
      </c>
      <c r="AC79" s="2">
        <f t="shared" si="24"/>
        <v>31.515877431376374</v>
      </c>
      <c r="AD79" s="2">
        <f t="shared" si="25"/>
        <v>2.416128334241304</v>
      </c>
      <c r="AE79" s="2">
        <f t="shared" si="26"/>
        <v>6.5365353939571715</v>
      </c>
    </row>
    <row r="80" spans="2:31" x14ac:dyDescent="0.2">
      <c r="B80" s="1">
        <f>[6]FormattedData!A81</f>
        <v>407</v>
      </c>
      <c r="C80" s="1" t="str">
        <f>VLOOKUP($B80,[6]TrtCodes!$B$11:I124,2)</f>
        <v>NSH</v>
      </c>
      <c r="D80" s="1">
        <f>VLOOKUP($B80,[6]TrtCodes!$B$11:J124,3)</f>
        <v>7</v>
      </c>
      <c r="E80" s="1">
        <f>VLOOKUP($B80,[6]TrtCodes!$B$11:K124,4)</f>
        <v>2</v>
      </c>
      <c r="F80" s="1">
        <f>VLOOKUP($B80,[6]TrtCodes!$B$11:L124,5)</f>
        <v>1</v>
      </c>
      <c r="G80" s="1">
        <f>VLOOKUP($B80,[6]TrtCodes!$B$11:M124,6)</f>
        <v>2</v>
      </c>
      <c r="H80" s="1">
        <f>VLOOKUP($B80,[6]TrtCodes!$B$11:N124,7)</f>
        <v>4</v>
      </c>
      <c r="I80" s="1">
        <f>[6]FormattedData!B81</f>
        <v>2</v>
      </c>
      <c r="J80" s="4">
        <f>[6]FormattedData!C81</f>
        <v>13.643000000000001</v>
      </c>
      <c r="K80" s="6">
        <f>$J$3+[6]FormattedData!D81*$J$4+$M$4*$J$5+[6]FormattedData!D81^2*$J$6+$M$5*$J$7</f>
        <v>31.129044818817071</v>
      </c>
      <c r="L80" s="6">
        <f>$J$3+[6]FormattedData!E81*$J$4+$M$4*$J$5+[6]FormattedData!E81^2*$J$6+$M$5*$J$7</f>
        <v>30.935374901309832</v>
      </c>
      <c r="M80" s="6">
        <f>$J$3+[6]FormattedData!F81*$J$4+$M$4*$J$5+[6]FormattedData!F81^2*$J$6+$M$5*$J$7</f>
        <v>32.09485829407739</v>
      </c>
      <c r="N80" s="6">
        <f>$J$3+[6]FormattedData!G81*$J$4+$M$4*$J$5+[6]FormattedData!G81^2*$J$6+$M$5*$J$7</f>
        <v>32.191207164644794</v>
      </c>
      <c r="O80" s="6">
        <f>$J$3+[6]FormattedData!H81*$J$4+$M$4*$J$5+[6]FormattedData!H81^2*$J$6+$M$5*$J$7</f>
        <v>31.225816374763788</v>
      </c>
      <c r="P80" s="6">
        <f>$J$3+[6]FormattedData!I81*$J$4+$M$4*$J$5+[6]FormattedData!I81^2*$J$6+$M$5*$J$7</f>
        <v>31.419232681043443</v>
      </c>
      <c r="Q80" s="6">
        <f>$J$3+[6]FormattedData!J81*$J$4+$M$4*$J$5+[6]FormattedData!J81^2*$J$6+$M$5*$J$7</f>
        <v>32.191207164644794</v>
      </c>
      <c r="R80" s="6">
        <f>$J$3+[6]FormattedData!K81*$J$4+$M$4*$J$5+[6]FormattedData!K81^2*$J$6+$M$5*$J$7</f>
        <v>32.480000165119449</v>
      </c>
      <c r="S80" s="6">
        <f>$J$3+[6]FormattedData!L81*$J$4+$M$4*$J$5+[6]FormattedData!L81^2*$J$6+$M$5*$J$7</f>
        <v>31.129044818817071</v>
      </c>
      <c r="T80" s="6">
        <f>$J$3+[6]FormattedData!M81*$J$4+$M$4*$J$5+[6]FormattedData!M81^2*$J$6+$M$5*$J$7</f>
        <v>31.032230994332412</v>
      </c>
      <c r="U80" s="6">
        <f>$J$3+[6]FormattedData!N81*$J$4+$M$4*$J$5+[6]FormattedData!N81^2*$J$6+$M$5*$J$7</f>
        <v>30.935374901309832</v>
      </c>
      <c r="V80" s="6">
        <f>$J$3+[6]FormattedData!O81*$J$4+$M$4*$J$5+[6]FormattedData!O81^2*$J$6+$M$5*$J$7</f>
        <v>31.032230994332412</v>
      </c>
      <c r="W80" s="5">
        <f t="shared" si="18"/>
        <v>31.482968606101021</v>
      </c>
      <c r="X80" s="4">
        <f t="shared" si="19"/>
        <v>0.16738733851509333</v>
      </c>
      <c r="Y80" s="3">
        <f t="shared" si="20"/>
        <v>30.935374901309832</v>
      </c>
      <c r="Z80" s="2">
        <f t="shared" si="21"/>
        <v>31.032230994332412</v>
      </c>
      <c r="AA80" s="3">
        <f t="shared" si="22"/>
        <v>31.17743059679043</v>
      </c>
      <c r="AB80" s="2">
        <f t="shared" si="23"/>
        <v>32.11894551171924</v>
      </c>
      <c r="AC80" s="2">
        <f t="shared" si="24"/>
        <v>32.480000165119449</v>
      </c>
      <c r="AD80" s="2">
        <f t="shared" si="25"/>
        <v>0.73484379155444002</v>
      </c>
      <c r="AE80" s="2">
        <f t="shared" si="26"/>
        <v>-1.343462741992461</v>
      </c>
    </row>
    <row r="81" spans="2:31" x14ac:dyDescent="0.2">
      <c r="B81" s="1">
        <f>[6]FormattedData!A79</f>
        <v>408</v>
      </c>
      <c r="C81" s="1" t="str">
        <f>VLOOKUP($B81,[6]TrtCodes!$B$11:I122,2)</f>
        <v>NTL</v>
      </c>
      <c r="D81" s="1">
        <f>VLOOKUP($B81,[6]TrtCodes!$B$11:J122,3)</f>
        <v>10</v>
      </c>
      <c r="E81" s="1">
        <f>VLOOKUP($B81,[6]TrtCodes!$B$11:K122,4)</f>
        <v>2</v>
      </c>
      <c r="F81" s="1">
        <f>VLOOKUP($B81,[6]TrtCodes!$B$11:L122,5)</f>
        <v>2</v>
      </c>
      <c r="G81" s="1">
        <f>VLOOKUP($B81,[6]TrtCodes!$B$11:M122,6)</f>
        <v>1</v>
      </c>
      <c r="H81" s="1">
        <f>VLOOKUP($B81,[6]TrtCodes!$B$11:N122,7)</f>
        <v>4</v>
      </c>
      <c r="I81" s="1">
        <f>[6]FormattedData!B79</f>
        <v>2</v>
      </c>
      <c r="J81" s="4">
        <f>[6]FormattedData!C79</f>
        <v>13.627000000000001</v>
      </c>
      <c r="K81" s="6">
        <f>$J$3+[6]FormattedData!D79*$J$4+$M$4*$J$5+[6]FormattedData!D79^2*$J$6+$M$5*$J$7</f>
        <v>31.998467154972051</v>
      </c>
      <c r="L81" s="6">
        <f>$J$3+[6]FormattedData!E79*$J$4+$M$4*$J$5+[6]FormattedData!E79^2*$J$6+$M$5*$J$7</f>
        <v>31.998467154972051</v>
      </c>
      <c r="M81" s="6">
        <f>$J$3+[6]FormattedData!F79*$J$4+$M$4*$J$5+[6]FormattedData!F79^2*$J$6+$M$5*$J$7</f>
        <v>32.09485829407739</v>
      </c>
      <c r="N81" s="6">
        <f>$J$3+[6]FormattedData!G79*$J$4+$M$4*$J$5+[6]FormattedData!G79^2*$J$6+$M$5*$J$7</f>
        <v>31.61247991317137</v>
      </c>
      <c r="O81" s="6">
        <f>$J$3+[6]FormattedData!H79*$J$4+$M$4*$J$5+[6]FormattedData!H79^2*$J$6+$M$5*$J$7</f>
        <v>31.709040126428434</v>
      </c>
      <c r="P81" s="6">
        <f>$J$3+[6]FormattedData!I79*$J$4+$M$4*$J$5+[6]FormattedData!I79^2*$J$6+$M$5*$J$7</f>
        <v>32.191207164644794</v>
      </c>
      <c r="Q81" s="6">
        <f>$J$3+[6]FormattedData!J79*$J$4+$M$4*$J$5+[6]FormattedData!J79^2*$J$6+$M$5*$J$7</f>
        <v>31.419232681043443</v>
      </c>
      <c r="R81" s="6">
        <f>$J$3+[6]FormattedData!K79*$J$4+$M$4*$J$5+[6]FormattedData!K79^2*$J$6+$M$5*$J$7</f>
        <v>32.09485829407739</v>
      </c>
      <c r="S81" s="6">
        <f>$J$3+[6]FormattedData!L79*$J$4+$M$4*$J$5+[6]FormattedData!L79^2*$J$6+$M$5*$J$7</f>
        <v>31.90203374732878</v>
      </c>
      <c r="T81" s="6">
        <f>$J$3+[6]FormattedData!M79*$J$4+$M$4*$J$5+[6]FormattedData!M79^2*$J$6+$M$5*$J$7</f>
        <v>30.935374901309832</v>
      </c>
      <c r="U81" s="6">
        <f>$J$3+[6]FormattedData!N79*$J$4+$M$4*$J$5+[6]FormattedData!N79^2*$J$6+$M$5*$J$7</f>
        <v>31.129044818817071</v>
      </c>
      <c r="V81" s="6">
        <f>$J$3+[6]FormattedData!O79*$J$4+$M$4*$J$5+[6]FormattedData!O79^2*$J$6+$M$5*$J$7</f>
        <v>30.644553011014494</v>
      </c>
      <c r="W81" s="5">
        <f t="shared" si="18"/>
        <v>31.644134771821427</v>
      </c>
      <c r="X81" s="4">
        <f t="shared" si="19"/>
        <v>0.14683076072435705</v>
      </c>
      <c r="Y81" s="3">
        <f t="shared" si="20"/>
        <v>30.644553011014494</v>
      </c>
      <c r="Z81" s="2">
        <f t="shared" si="21"/>
        <v>31.346685715486849</v>
      </c>
      <c r="AA81" s="3">
        <f t="shared" si="22"/>
        <v>31.805536936878607</v>
      </c>
      <c r="AB81" s="2">
        <f t="shared" si="23"/>
        <v>32.022564939748385</v>
      </c>
      <c r="AC81" s="2">
        <f t="shared" si="24"/>
        <v>32.191207164644794</v>
      </c>
      <c r="AD81" s="2">
        <f t="shared" si="25"/>
        <v>-0.8701331018211842</v>
      </c>
      <c r="AE81" s="2">
        <f t="shared" si="26"/>
        <v>-0.42725510641588293</v>
      </c>
    </row>
    <row r="82" spans="2:31" x14ac:dyDescent="0.2">
      <c r="B82" s="1">
        <f>[6]FormattedData!A59</f>
        <v>902</v>
      </c>
      <c r="C82" s="1" t="str">
        <f>VLOOKUP($B82,[6]TrtCodes!$B$11:I102,2)</f>
        <v>Late</v>
      </c>
      <c r="D82" s="1">
        <f>VLOOKUP($B82,[6]TrtCodes!$B$11:J102,3)</f>
        <v>22</v>
      </c>
      <c r="E82" s="1">
        <f>VLOOKUP($B82,[6]TrtCodes!$B$11:K102,4)</f>
        <v>4</v>
      </c>
      <c r="F82" s="1">
        <f>VLOOKUP($B82,[6]TrtCodes!$B$11:L102,5)</f>
        <v>2</v>
      </c>
      <c r="G82" s="1">
        <f>VLOOKUP($B82,[6]TrtCodes!$B$11:M102,6)</f>
        <v>2</v>
      </c>
      <c r="H82" s="1">
        <f>VLOOKUP($B82,[6]TrtCodes!$B$11:N102,7)</f>
        <v>1</v>
      </c>
      <c r="I82" s="1">
        <f>[6]FormattedData!B59</f>
        <v>2</v>
      </c>
      <c r="J82" s="4">
        <f>[6]FormattedData!C59</f>
        <v>13.458</v>
      </c>
      <c r="K82" s="6">
        <f>$J$3+[6]FormattedData!D59*$J$4+$M$4*$J$5+[6]FormattedData!D59^2*$J$6+$M$5*$J$7</f>
        <v>29.867168154557955</v>
      </c>
      <c r="L82" s="6">
        <f>$J$3+[6]FormattedData!E59*$J$4+$M$4*$J$5+[6]FormattedData!E59^2*$J$6+$M$5*$J$7</f>
        <v>30.935374901309832</v>
      </c>
      <c r="M82" s="6">
        <f>$J$3+[6]FormattedData!F59*$J$4+$M$4*$J$5+[6]FormattedData!F59^2*$J$6+$M$5*$J$7</f>
        <v>30.353350703877776</v>
      </c>
      <c r="N82" s="6">
        <f>$J$3+[6]FormattedData!G59*$J$4+$M$4*$J$5+[6]FormattedData!G59^2*$J$6+$M$5*$J$7</f>
        <v>30.353350703877776</v>
      </c>
      <c r="O82" s="6">
        <f>$J$3+[6]FormattedData!H59*$J$4+$M$4*$J$5+[6]FormattedData!H59^2*$J$6+$M$5*$J$7</f>
        <v>29.379928891789849</v>
      </c>
      <c r="P82" s="6">
        <f>$J$3+[6]FormattedData!I59*$J$4+$M$4*$J$5+[6]FormattedData!I59^2*$J$6+$M$5*$J$7</f>
        <v>30.353350703877776</v>
      </c>
      <c r="Q82" s="6">
        <f>$J$3+[6]FormattedData!J59*$J$4+$M$4*$J$5+[6]FormattedData!J59^2*$J$6+$M$5*$J$7</f>
        <v>30.159004489763639</v>
      </c>
      <c r="R82" s="6">
        <f>$J$3+[6]FormattedData!K59*$J$4+$M$4*$J$5+[6]FormattedData!K59^2*$J$6+$M$5*$J$7</f>
        <v>30.547527843840182</v>
      </c>
      <c r="S82" s="6">
        <f>$J$3+[6]FormattedData!L59*$J$4+$M$4*$J$5+[6]FormattedData!L59^2*$J$6+$M$5*$J$7</f>
        <v>30.547527843840182</v>
      </c>
      <c r="T82" s="6">
        <f>$J$3+[6]FormattedData!M59*$J$4+$M$4*$J$5+[6]FormattedData!M59^2*$J$6+$M$5*$J$7</f>
        <v>29.672399255064505</v>
      </c>
      <c r="U82" s="6">
        <f>$J$3+[6]FormattedData!N59*$J$4+$M$4*$J$5+[6]FormattedData!N59^2*$J$6+$M$5*$J$7</f>
        <v>29.477461281419334</v>
      </c>
      <c r="V82" s="6">
        <f>$J$3+[6]FormattedData!O59*$J$4+$M$4*$J$5+[6]FormattedData!O59^2*$J$6+$M$5*$J$7</f>
        <v>30.644553011014494</v>
      </c>
      <c r="W82" s="5">
        <f t="shared" si="18"/>
        <v>30.190916482019446</v>
      </c>
      <c r="X82" s="4">
        <f t="shared" si="19"/>
        <v>0.14128504013606955</v>
      </c>
      <c r="Y82" s="3">
        <f t="shared" si="20"/>
        <v>29.379928891789849</v>
      </c>
      <c r="Z82" s="2">
        <f t="shared" si="21"/>
        <v>29.818475929684592</v>
      </c>
      <c r="AA82" s="3">
        <f t="shared" si="22"/>
        <v>30.353350703877776</v>
      </c>
      <c r="AB82" s="2">
        <f t="shared" si="23"/>
        <v>30.547527843840182</v>
      </c>
      <c r="AC82" s="2">
        <f t="shared" si="24"/>
        <v>30.935374901309832</v>
      </c>
      <c r="AD82" s="2">
        <f t="shared" si="25"/>
        <v>-0.42843186908147229</v>
      </c>
      <c r="AE82" s="2">
        <f t="shared" si="26"/>
        <v>-0.85073729484685812</v>
      </c>
    </row>
    <row r="83" spans="2:31" x14ac:dyDescent="0.2">
      <c r="B83" s="1">
        <f>[6]FormattedData!A55</f>
        <v>904</v>
      </c>
      <c r="C83" s="1" t="str">
        <f>VLOOKUP($B83,[6]TrtCodes!$B$11:I98,2)</f>
        <v>Early</v>
      </c>
      <c r="D83" s="1">
        <f>VLOOKUP($B83,[6]TrtCodes!$B$11:J98,3)</f>
        <v>21</v>
      </c>
      <c r="E83" s="1">
        <f>VLOOKUP($B83,[6]TrtCodes!$B$11:K98,4)</f>
        <v>3</v>
      </c>
      <c r="F83" s="1">
        <f>VLOOKUP($B83,[6]TrtCodes!$B$11:L98,5)</f>
        <v>2</v>
      </c>
      <c r="G83" s="1">
        <f>VLOOKUP($B83,[6]TrtCodes!$B$11:M98,6)</f>
        <v>2</v>
      </c>
      <c r="H83" s="1">
        <f>VLOOKUP($B83,[6]TrtCodes!$B$11:N98,7)</f>
        <v>1</v>
      </c>
      <c r="I83" s="1">
        <f>[6]FormattedData!B55</f>
        <v>2</v>
      </c>
      <c r="J83" s="4">
        <f>[6]FormattedData!C55</f>
        <v>13.433999999999999</v>
      </c>
      <c r="K83" s="6">
        <f>$J$3+[6]FormattedData!D55*$J$4+$M$4*$J$5+[6]FormattedData!D55^2*$J$6+$M$5*$J$7</f>
        <v>32.576179961535132</v>
      </c>
      <c r="L83" s="6">
        <f>$J$3+[6]FormattedData!E55*$J$4+$M$4*$J$5+[6]FormattedData!E55^2*$J$6+$M$5*$J$7</f>
        <v>33.439896045069403</v>
      </c>
      <c r="M83" s="6">
        <f>$J$3+[6]FormattedData!F55*$J$4+$M$4*$J$5+[6]FormattedData!F55^2*$J$6+$M$5*$J$7</f>
        <v>31.322545662172587</v>
      </c>
      <c r="N83" s="6">
        <f>$J$3+[6]FormattedData!G55*$J$4+$M$4*$J$5+[6]FormattedData!G55^2*$J$6+$M$5*$J$7</f>
        <v>32.480000165119449</v>
      </c>
      <c r="O83" s="6">
        <f>$J$3+[6]FormattedData!H55*$J$4+$M$4*$J$5+[6]FormattedData!H55^2*$J$6+$M$5*$J$7</f>
        <v>31.709040126428434</v>
      </c>
      <c r="P83" s="6">
        <f>$J$3+[6]FormattedData!I55*$J$4+$M$4*$J$5+[6]FormattedData!I55^2*$J$6+$M$5*$J$7</f>
        <v>33.056444915544589</v>
      </c>
      <c r="Q83" s="6">
        <f>$J$3+[6]FormattedData!J55*$J$4+$M$4*$J$5+[6]FormattedData!J55^2*$J$6+$M$5*$J$7</f>
        <v>31.225816374763788</v>
      </c>
      <c r="R83" s="6">
        <f>$J$3+[6]FormattedData!K55*$J$4+$M$4*$J$5+[6]FormattedData!K55^2*$J$6+$M$5*$J$7</f>
        <v>31.805558071147573</v>
      </c>
      <c r="S83" s="6">
        <f>$J$3+[6]FormattedData!L55*$J$4+$M$4*$J$5+[6]FormattedData!L55^2*$J$6+$M$5*$J$7</f>
        <v>32.576179961535132</v>
      </c>
      <c r="T83" s="6">
        <f>$J$3+[6]FormattedData!M55*$J$4+$M$4*$J$5+[6]FormattedData!M55^2*$J$6+$M$5*$J$7</f>
        <v>32.576179961535132</v>
      </c>
      <c r="U83" s="6">
        <f>$J$3+[6]FormattedData!N55*$J$4+$M$4*$J$5+[6]FormattedData!N55^2*$J$6+$M$5*$J$7</f>
        <v>31.129044818817071</v>
      </c>
      <c r="V83" s="6">
        <f>$J$3+[6]FormattedData!O55*$J$4+$M$4*$J$5+[6]FormattedData!O55^2*$J$6+$M$5*$J$7</f>
        <v>31.225816374763788</v>
      </c>
      <c r="W83" s="5">
        <f t="shared" si="18"/>
        <v>32.093558536536001</v>
      </c>
      <c r="X83" s="4">
        <f t="shared" si="19"/>
        <v>0.22779212806294832</v>
      </c>
      <c r="Y83" s="3">
        <f t="shared" si="20"/>
        <v>31.129044818817071</v>
      </c>
      <c r="Z83" s="2">
        <f t="shared" si="21"/>
        <v>31.298363340320385</v>
      </c>
      <c r="AA83" s="3">
        <f t="shared" si="22"/>
        <v>32.142779118133511</v>
      </c>
      <c r="AB83" s="2">
        <f t="shared" si="23"/>
        <v>32.576179961535132</v>
      </c>
      <c r="AC83" s="2">
        <f t="shared" si="24"/>
        <v>33.439896045069403</v>
      </c>
      <c r="AD83" s="2">
        <f t="shared" si="25"/>
        <v>0.21868633458910006</v>
      </c>
      <c r="AE83" s="2">
        <f t="shared" si="26"/>
        <v>-1.3055497324534118</v>
      </c>
    </row>
    <row r="84" spans="2:31" x14ac:dyDescent="0.2">
      <c r="B84" s="1">
        <f>[6]FormattedData!A51</f>
        <v>906</v>
      </c>
      <c r="C84" s="1" t="str">
        <f>VLOOKUP($B84,[6]TrtCodes!$B$11:I94,2)</f>
        <v>Late</v>
      </c>
      <c r="D84" s="1">
        <f>VLOOKUP($B84,[6]TrtCodes!$B$11:J94,3)</f>
        <v>22</v>
      </c>
      <c r="E84" s="1">
        <f>VLOOKUP($B84,[6]TrtCodes!$B$11:K94,4)</f>
        <v>4</v>
      </c>
      <c r="F84" s="1">
        <f>VLOOKUP($B84,[6]TrtCodes!$B$11:L94,5)</f>
        <v>2</v>
      </c>
      <c r="G84" s="1">
        <f>VLOOKUP($B84,[6]TrtCodes!$B$11:M94,6)</f>
        <v>2</v>
      </c>
      <c r="H84" s="1">
        <f>VLOOKUP($B84,[6]TrtCodes!$B$11:N94,7)</f>
        <v>2</v>
      </c>
      <c r="I84" s="1">
        <f>[6]FormattedData!B51</f>
        <v>2</v>
      </c>
      <c r="J84" s="4">
        <f>[6]FormattedData!C51</f>
        <v>13.398999999999999</v>
      </c>
      <c r="K84" s="6">
        <f>$J$3+[6]FormattedData!D51*$J$4+$M$4*$J$5+[6]FormattedData!D51^2*$J$6+$M$5*$J$7</f>
        <v>28.793846914716401</v>
      </c>
      <c r="L84" s="6">
        <f>$J$3+[6]FormattedData!E51*$J$4+$M$4*$J$5+[6]FormattedData!E51^2*$J$6+$M$5*$J$7</f>
        <v>29.57495140251088</v>
      </c>
      <c r="M84" s="6">
        <f>$J$3+[6]FormattedData!F51*$J$4+$M$4*$J$5+[6]FormattedData!F51^2*$J$6+$M$5*$J$7</f>
        <v>29.087078111673815</v>
      </c>
      <c r="N84" s="6">
        <f>$J$3+[6]FormattedData!G51*$J$4+$M$4*$J$5+[6]FormattedData!G51^2*$J$6+$M$5*$J$7</f>
        <v>29.672399255064505</v>
      </c>
      <c r="O84" s="6">
        <f>$J$3+[6]FormattedData!H51*$J$4+$M$4*$J$5+[6]FormattedData!H51^2*$J$6+$M$5*$J$7</f>
        <v>29.57495140251088</v>
      </c>
      <c r="P84" s="6">
        <f>$J$3+[6]FormattedData!I51*$J$4+$M$4*$J$5+[6]FormattedData!I51^2*$J$6+$M$5*$J$7</f>
        <v>30.353350703877776</v>
      </c>
      <c r="Q84" s="6">
        <f>$J$3+[6]FormattedData!J51*$J$4+$M$4*$J$5+[6]FormattedData!J51^2*$J$6+$M$5*$J$7</f>
        <v>30.450460408127945</v>
      </c>
      <c r="R84" s="6">
        <f>$J$3+[6]FormattedData!K51*$J$4+$M$4*$J$5+[6]FormattedData!K51^2*$J$6+$M$5*$J$7</f>
        <v>29.379928891789849</v>
      </c>
      <c r="S84" s="6">
        <f>$J$3+[6]FormattedData!L51*$J$4+$M$4*$J$5+[6]FormattedData!L51^2*$J$6+$M$5*$J$7</f>
        <v>30.06176797989967</v>
      </c>
      <c r="T84" s="6">
        <f>$J$3+[6]FormattedData!M51*$J$4+$M$4*$J$5+[6]FormattedData!M51^2*$J$6+$M$5*$J$7</f>
        <v>30.159004489763639</v>
      </c>
      <c r="U84" s="6">
        <f>$J$3+[6]FormattedData!N51*$J$4+$M$4*$J$5+[6]FormattedData!N51^2*$J$6+$M$5*$J$7</f>
        <v>29.964489201497777</v>
      </c>
      <c r="V84" s="6">
        <f>$J$3+[6]FormattedData!O51*$J$4+$M$4*$J$5+[6]FormattedData!O51^2*$J$6+$M$5*$J$7</f>
        <v>29.672399255064505</v>
      </c>
      <c r="W84" s="5">
        <f t="shared" si="18"/>
        <v>29.728719001374799</v>
      </c>
      <c r="X84" s="4">
        <f t="shared" si="19"/>
        <v>0.14364588191782945</v>
      </c>
      <c r="Y84" s="3">
        <f t="shared" si="20"/>
        <v>28.793846914716401</v>
      </c>
      <c r="Z84" s="2">
        <f t="shared" si="21"/>
        <v>29.526195774830622</v>
      </c>
      <c r="AA84" s="3">
        <f t="shared" si="22"/>
        <v>29.672399255064505</v>
      </c>
      <c r="AB84" s="2">
        <f t="shared" si="23"/>
        <v>30.086077107365661</v>
      </c>
      <c r="AC84" s="2">
        <f t="shared" si="24"/>
        <v>30.450460408127945</v>
      </c>
      <c r="AD84" s="2">
        <f t="shared" si="25"/>
        <v>-0.33813717210062416</v>
      </c>
      <c r="AE84" s="2">
        <f t="shared" si="26"/>
        <v>-0.37723433018107855</v>
      </c>
    </row>
    <row r="85" spans="2:31" x14ac:dyDescent="0.2">
      <c r="B85" s="1">
        <f>[6]FormattedData!A47</f>
        <v>908</v>
      </c>
      <c r="C85" s="1" t="str">
        <f>VLOOKUP($B85,[6]TrtCodes!$B$11:I90,2)</f>
        <v>Early</v>
      </c>
      <c r="D85" s="1">
        <f>VLOOKUP($B85,[6]TrtCodes!$B$11:J90,3)</f>
        <v>21</v>
      </c>
      <c r="E85" s="1">
        <f>VLOOKUP($B85,[6]TrtCodes!$B$11:K90,4)</f>
        <v>3</v>
      </c>
      <c r="F85" s="1">
        <f>VLOOKUP($B85,[6]TrtCodes!$B$11:L90,5)</f>
        <v>2</v>
      </c>
      <c r="G85" s="1">
        <f>VLOOKUP($B85,[6]TrtCodes!$B$11:M90,6)</f>
        <v>2</v>
      </c>
      <c r="H85" s="1">
        <f>VLOOKUP($B85,[6]TrtCodes!$B$11:N90,7)</f>
        <v>2</v>
      </c>
      <c r="I85" s="1">
        <f>[6]FormattedData!B47</f>
        <v>2</v>
      </c>
      <c r="J85" s="4">
        <f>[6]FormattedData!C47</f>
        <v>13.374000000000001</v>
      </c>
      <c r="K85" s="6">
        <f>$J$3+[6]FormattedData!D47*$J$4+$M$4*$J$5+[6]FormattedData!D47^2*$J$6+$M$5*$J$7</f>
        <v>30.547527843840182</v>
      </c>
      <c r="L85" s="6">
        <f>$J$3+[6]FormattedData!E47*$J$4+$M$4*$J$5+[6]FormattedData!E47^2*$J$6+$M$5*$J$7</f>
        <v>31.322545662172587</v>
      </c>
      <c r="M85" s="6">
        <f>$J$3+[6]FormattedData!F47*$J$4+$M$4*$J$5+[6]FormattedData!F47^2*$J$6+$M$5*$J$7</f>
        <v>31.419232681043443</v>
      </c>
      <c r="N85" s="6">
        <f>$J$3+[6]FormattedData!G47*$J$4+$M$4*$J$5+[6]FormattedData!G47^2*$J$6+$M$5*$J$7</f>
        <v>30.741535909650871</v>
      </c>
      <c r="O85" s="6">
        <f>$J$3+[6]FormattedData!H47*$J$4+$M$4*$J$5+[6]FormattedData!H47^2*$J$6+$M$5*$J$7</f>
        <v>30.935374901309832</v>
      </c>
      <c r="P85" s="6">
        <f>$J$3+[6]FormattedData!I47*$J$4+$M$4*$J$5+[6]FormattedData!I47^2*$J$6+$M$5*$J$7</f>
        <v>31.322545662172587</v>
      </c>
      <c r="Q85" s="6">
        <f>$J$3+[6]FormattedData!J47*$J$4+$M$4*$J$5+[6]FormattedData!J47^2*$J$6+$M$5*$J$7</f>
        <v>31.515877431376374</v>
      </c>
      <c r="R85" s="6">
        <f>$J$3+[6]FormattedData!K47*$J$4+$M$4*$J$5+[6]FormattedData!K47^2*$J$6+$M$5*$J$7</f>
        <v>32.191207164644794</v>
      </c>
      <c r="S85" s="6">
        <f>$J$3+[6]FormattedData!L47*$J$4+$M$4*$J$5+[6]FormattedData!L47^2*$J$6+$M$5*$J$7</f>
        <v>30.935374901309832</v>
      </c>
      <c r="T85" s="6">
        <f>$J$3+[6]FormattedData!M47*$J$4+$M$4*$J$5+[6]FormattedData!M47^2*$J$6+$M$5*$J$7</f>
        <v>32.383778100165834</v>
      </c>
      <c r="U85" s="6">
        <f>$J$3+[6]FormattedData!N47*$J$4+$M$4*$J$5+[6]FormattedData!N47^2*$J$6+$M$5*$J$7</f>
        <v>31.709040126428434</v>
      </c>
      <c r="V85" s="6">
        <f>$J$3+[6]FormattedData!O47*$J$4+$M$4*$J$5+[6]FormattedData!O47^2*$J$6+$M$5*$J$7</f>
        <v>31.515877431376374</v>
      </c>
      <c r="W85" s="5">
        <f t="shared" si="18"/>
        <v>31.378326484624264</v>
      </c>
      <c r="X85" s="4">
        <f t="shared" si="19"/>
        <v>0.1584718007455608</v>
      </c>
      <c r="Y85" s="3">
        <f t="shared" si="20"/>
        <v>30.547527843840182</v>
      </c>
      <c r="Z85" s="2">
        <f t="shared" si="21"/>
        <v>30.935374901309832</v>
      </c>
      <c r="AA85" s="3">
        <f t="shared" si="22"/>
        <v>31.370889171608013</v>
      </c>
      <c r="AB85" s="2">
        <f t="shared" si="23"/>
        <v>31.564168105139387</v>
      </c>
      <c r="AC85" s="2">
        <f t="shared" si="24"/>
        <v>32.383778100165834</v>
      </c>
      <c r="AD85" s="2">
        <f t="shared" si="25"/>
        <v>0.38852480596953304</v>
      </c>
      <c r="AE85" s="2">
        <f t="shared" si="26"/>
        <v>-0.23499227455410798</v>
      </c>
    </row>
    <row r="88" spans="2:31" x14ac:dyDescent="0.2">
      <c r="W88" s="2"/>
    </row>
  </sheetData>
  <autoFilter ref="B9:AE85" xr:uid="{35B713DD-C6DC-4732-AFCA-CA3EF5DB4A9E}"/>
  <conditionalFormatting sqref="K10:V85">
    <cfRule type="cellIs" dxfId="103" priority="1" stopIfTrue="1" operator="lessThan">
      <formula>$W10-$V$5*$X10</formula>
    </cfRule>
    <cfRule type="cellIs" dxfId="102" priority="2" stopIfTrue="1" operator="greaterThan">
      <formula>$W10+$V$5*$X10</formula>
    </cfRule>
  </conditionalFormatting>
  <conditionalFormatting sqref="W10:W85">
    <cfRule type="cellIs" dxfId="101" priority="3" stopIfTrue="1" operator="lessThan">
      <formula>AVERAGE($W$10:$W$41)</formula>
    </cfRule>
    <cfRule type="cellIs" dxfId="10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B348-8026-4CC3-BE73-D4DBFD37D197}">
  <sheetPr codeName="Sheet27"/>
  <dimension ref="A1:AI88"/>
  <sheetViews>
    <sheetView topLeftCell="A8" workbookViewId="0">
      <pane xSplit="4" ySplit="2" topLeftCell="L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[7]FormattedData!A1</f>
        <v>Raw data file name - 'IA175.03R'</v>
      </c>
    </row>
    <row r="2" spans="1:35" ht="15" x14ac:dyDescent="0.25">
      <c r="I2" s="32" t="s">
        <v>136</v>
      </c>
      <c r="J2" s="24"/>
      <c r="P2" s="31">
        <f>[7]AncillaryData!C10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[7]AncillaryData!E25</f>
        <v>33.5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"&amp;[7]AncillaryData!C7</f>
        <v>Time Sequence of Midday IRT Temps - FISE 2003 - DOY 175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"&amp;[7]AncillaryData!E25&amp;", VPD = "&amp;ROUND([7]AncillaryData!E29,1)&amp;", Quality = "&amp;[7]AncillaryData!C20&amp;")"</f>
        <v>(Ta = 33.5, VPD = 4.6,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[7]FormattedData!A28</f>
        <v>101</v>
      </c>
      <c r="C10" s="1" t="str">
        <f>VLOOKUP($B10,[7]TrtCodes!$B$11:I71,2)</f>
        <v>FSH</v>
      </c>
      <c r="D10" s="1">
        <f>VLOOKUP($B10,[7]TrtCodes!$B$11:J71,3)</f>
        <v>1</v>
      </c>
      <c r="E10" s="1">
        <f>VLOOKUP($B10,[7]TrtCodes!$B$11:K71,4)</f>
        <v>1</v>
      </c>
      <c r="F10" s="1">
        <f>VLOOKUP($B10,[7]TrtCodes!$B$11:L71,5)</f>
        <v>1</v>
      </c>
      <c r="G10" s="1">
        <f>VLOOKUP($B10,[7]TrtCodes!$B$11:M71,6)</f>
        <v>2</v>
      </c>
      <c r="H10" s="1">
        <f>VLOOKUP($B10,[7]TrtCodes!$B$11:N71,7)</f>
        <v>1</v>
      </c>
      <c r="I10" s="1">
        <f>[7]FormattedData!B28</f>
        <v>1</v>
      </c>
      <c r="J10" s="4">
        <f>[7]FormattedData!C28</f>
        <v>12.978</v>
      </c>
      <c r="K10" s="6">
        <f>$J$3+[7]FormattedData!D28*$J$4+$M$4*$J$5+[7]FormattedData!D28^2*$J$6+$M$5*$J$7</f>
        <v>38.761080066828541</v>
      </c>
      <c r="L10" s="6">
        <f>$J$3+[7]FormattedData!E28*$J$4+$M$4*$J$5+[7]FormattedData!E28^2*$J$6+$M$5*$J$7</f>
        <v>31.832523026552664</v>
      </c>
      <c r="M10" s="6">
        <f>$J$3+[7]FormattedData!F28*$J$4+$M$4*$J$5+[7]FormattedData!F28^2*$J$6+$M$5*$J$7</f>
        <v>34.039797462251357</v>
      </c>
      <c r="N10" s="6">
        <f>$J$3+[7]FormattedData!G28*$J$4+$M$4*$J$5+[7]FormattedData!G28^2*$J$6+$M$5*$J$7</f>
        <v>27.449271745846652</v>
      </c>
      <c r="O10" s="6">
        <f>$J$3+[7]FormattedData!H28*$J$4+$M$4*$J$5+[7]FormattedData!H28^2*$J$6+$M$5*$J$7</f>
        <v>34.897426876323543</v>
      </c>
      <c r="P10" s="6">
        <f>$J$3+[7]FormattedData!I28*$J$4+$M$4*$J$5+[7]FormattedData!I28^2*$J$6+$M$5*$J$7</f>
        <v>28.528637386612353</v>
      </c>
      <c r="Q10" s="6">
        <f>$J$3+[7]FormattedData!J28*$J$4+$M$4*$J$5+[7]FormattedData!J28^2*$J$6+$M$5*$J$7</f>
        <v>34.611930821807526</v>
      </c>
      <c r="R10" s="6">
        <f>$J$3+[7]FormattedData!K28*$J$4+$M$4*$J$5+[7]FormattedData!K28^2*$J$6+$M$5*$J$7</f>
        <v>33.178744296606745</v>
      </c>
      <c r="S10" s="6">
        <f>$J$3+[7]FormattedData!L28*$J$4+$M$4*$J$5+[7]FormattedData!L28^2*$J$6+$M$5*$J$7</f>
        <v>33.944293962442565</v>
      </c>
      <c r="T10" s="6">
        <f>$J$3+[7]FormattedData!M28*$J$4+$M$4*$J$5+[7]FormattedData!M28^2*$J$6+$M$5*$J$7</f>
        <v>30.283839983101661</v>
      </c>
      <c r="U10" s="6">
        <f>$J$3+[7]FormattedData!N28*$J$4+$M$4*$J$5+[7]FormattedData!N28^2*$J$6+$M$5*$J$7</f>
        <v>34.326054350450143</v>
      </c>
      <c r="V10" s="6">
        <f>$J$3+[7]FormattedData!O28*$J$4+$M$4*$J$5+[7]FormattedData!O28^2*$J$6+$M$5*$J$7</f>
        <v>28.822122194797355</v>
      </c>
      <c r="W10" s="5">
        <f t="shared" ref="W10:W41" si="0">AVERAGE(K10:V10)</f>
        <v>32.556310181135096</v>
      </c>
      <c r="X10" s="4">
        <f t="shared" ref="X10:X41" si="1">STDEV(K10:V10)/SQRT(COUNT(K10:V10))</f>
        <v>0.94463542494173536</v>
      </c>
      <c r="Y10" s="3">
        <f t="shared" ref="Y10:Y41" si="2">MIN(K10:V10)</f>
        <v>27.449271745846652</v>
      </c>
      <c r="Z10" s="2">
        <f t="shared" ref="Z10:Z41" si="3">QUARTILE(K10:V10,1)</f>
        <v>29.918410536025583</v>
      </c>
      <c r="AA10" s="3">
        <f t="shared" ref="AA10:AA41" si="4">MEDIAN(K10:V10)</f>
        <v>33.561519129524655</v>
      </c>
      <c r="AB10" s="2">
        <f t="shared" ref="AB10:AB41" si="5">QUARTILE(K10:V10,3)</f>
        <v>34.397523468289492</v>
      </c>
      <c r="AC10" s="2">
        <f t="shared" ref="AC10:AC41" si="6">MAX(K10:V10)</f>
        <v>38.761080066828541</v>
      </c>
      <c r="AD10" s="2">
        <f t="shared" ref="AD10:AD41" si="7">SKEW(K10:V10)</f>
        <v>2.9251353449725234E-2</v>
      </c>
      <c r="AE10" s="2">
        <f t="shared" ref="AE10:AE41" si="8">KURT(K10:V10)</f>
        <v>-0.30440981955571766</v>
      </c>
    </row>
    <row r="11" spans="1:35" x14ac:dyDescent="0.2">
      <c r="B11" s="1">
        <f>[7]FormattedData!A26</f>
        <v>102</v>
      </c>
      <c r="C11" s="1" t="str">
        <f>VLOOKUP($B11,[7]TrtCodes!$B$11:I69,2)</f>
        <v>FTL</v>
      </c>
      <c r="D11" s="1">
        <f>VLOOKUP($B11,[7]TrtCodes!$B$11:J69,3)</f>
        <v>4</v>
      </c>
      <c r="E11" s="1">
        <f>VLOOKUP($B11,[7]TrtCodes!$B$11:K69,4)</f>
        <v>1</v>
      </c>
      <c r="F11" s="1">
        <f>VLOOKUP($B11,[7]TrtCodes!$B$11:L69,5)</f>
        <v>2</v>
      </c>
      <c r="G11" s="1">
        <f>VLOOKUP($B11,[7]TrtCodes!$B$11:M69,6)</f>
        <v>1</v>
      </c>
      <c r="H11" s="1">
        <f>VLOOKUP($B11,[7]TrtCodes!$B$11:N69,7)</f>
        <v>1</v>
      </c>
      <c r="I11" s="1">
        <f>[7]FormattedData!B26</f>
        <v>1</v>
      </c>
      <c r="J11" s="4">
        <f>[7]FormattedData!C26</f>
        <v>12.962</v>
      </c>
      <c r="K11" s="6">
        <f>$J$3+[7]FormattedData!D26*$J$4+$M$4*$J$5+[7]FormattedData!D26^2*$J$6+$M$5*$J$7</f>
        <v>34.039797462251357</v>
      </c>
      <c r="L11" s="6">
        <f>$J$3+[7]FormattedData!E26*$J$4+$M$4*$J$5+[7]FormattedData!E26^2*$J$6+$M$5*$J$7</f>
        <v>29.60288853428839</v>
      </c>
      <c r="M11" s="6">
        <f>$J$3+[7]FormattedData!F26*$J$4+$M$4*$J$5+[7]FormattedData!F26^2*$J$6+$M$5*$J$7</f>
        <v>32.506669240759017</v>
      </c>
      <c r="N11" s="6">
        <f>$J$3+[7]FormattedData!G26*$J$4+$M$4*$J$5+[7]FormattedData!G26^2*$J$6+$M$5*$J$7</f>
        <v>30.478017123064067</v>
      </c>
      <c r="O11" s="6">
        <f>$J$3+[7]FormattedData!H26*$J$4+$M$4*$J$5+[7]FormattedData!H26^2*$J$6+$M$5*$J$7</f>
        <v>34.230677656255139</v>
      </c>
      <c r="P11" s="6">
        <f>$J$3+[7]FormattedData!I26*$J$4+$M$4*$J$5+[7]FormattedData!I26^2*$J$6+$M$5*$J$7</f>
        <v>33.561857277828111</v>
      </c>
      <c r="Q11" s="6">
        <f>$J$3+[7]FormattedData!J26*$J$4+$M$4*$J$5+[7]FormattedData!J26^2*$J$6+$M$5*$J$7</f>
        <v>34.802303793356145</v>
      </c>
      <c r="R11" s="6">
        <f>$J$3+[7]FormattedData!K26*$J$4+$M$4*$J$5+[7]FormattedData!K26^2*$J$6+$M$5*$J$7</f>
        <v>28.919865927116494</v>
      </c>
      <c r="S11" s="6">
        <f>$J$3+[7]FormattedData!L26*$J$4+$M$4*$J$5+[7]FormattedData!L26^2*$J$6+$M$5*$J$7</f>
        <v>34.516680933226333</v>
      </c>
      <c r="T11" s="6">
        <f>$J$3+[7]FormattedData!M26*$J$4+$M$4*$J$5+[7]FormattedData!M26^2*$J$6+$M$5*$J$7</f>
        <v>28.724336193940285</v>
      </c>
      <c r="U11" s="6">
        <f>$J$3+[7]FormattedData!N26*$J$4+$M$4*$J$5+[7]FormattedData!N26^2*$J$6+$M$5*$J$7</f>
        <v>34.421388776107193</v>
      </c>
      <c r="V11" s="6">
        <f>$J$3+[7]FormattedData!O26*$J$4+$M$4*$J$5+[7]FormattedData!O26^2*$J$6+$M$5*$J$7</f>
        <v>28.626507924545283</v>
      </c>
      <c r="W11" s="5">
        <f t="shared" si="0"/>
        <v>32.035915903561488</v>
      </c>
      <c r="X11" s="4">
        <f t="shared" si="1"/>
        <v>0.73612038569722427</v>
      </c>
      <c r="Y11" s="3">
        <f t="shared" si="2"/>
        <v>28.626507924545283</v>
      </c>
      <c r="Z11" s="2">
        <f t="shared" si="3"/>
        <v>29.432132882495416</v>
      </c>
      <c r="AA11" s="3">
        <f t="shared" si="4"/>
        <v>33.034263259293567</v>
      </c>
      <c r="AB11" s="2">
        <f t="shared" si="5"/>
        <v>34.278355436218149</v>
      </c>
      <c r="AC11" s="2">
        <f t="shared" si="6"/>
        <v>34.802303793356145</v>
      </c>
      <c r="AD11" s="2">
        <f t="shared" si="7"/>
        <v>-0.34276657919397457</v>
      </c>
      <c r="AE11" s="2">
        <f t="shared" si="8"/>
        <v>-1.9306284154288864</v>
      </c>
    </row>
    <row r="12" spans="1:35" x14ac:dyDescent="0.2">
      <c r="B12" s="1">
        <f>[7]FormattedData!A24</f>
        <v>103</v>
      </c>
      <c r="C12" s="1" t="str">
        <f>VLOOKUP($B12,[7]TrtCodes!$B$11:I67,2)</f>
        <v>FDH</v>
      </c>
      <c r="D12" s="1">
        <f>VLOOKUP($B12,[7]TrtCodes!$B$11:J67,3)</f>
        <v>5</v>
      </c>
      <c r="E12" s="1">
        <f>VLOOKUP($B12,[7]TrtCodes!$B$11:K67,4)</f>
        <v>1</v>
      </c>
      <c r="F12" s="1">
        <f>VLOOKUP($B12,[7]TrtCodes!$B$11:L67,5)</f>
        <v>3</v>
      </c>
      <c r="G12" s="1">
        <f>VLOOKUP($B12,[7]TrtCodes!$B$11:M67,6)</f>
        <v>2</v>
      </c>
      <c r="H12" s="1">
        <f>VLOOKUP($B12,[7]TrtCodes!$B$11:N67,7)</f>
        <v>1</v>
      </c>
      <c r="I12" s="1">
        <f>[7]FormattedData!B24</f>
        <v>1</v>
      </c>
      <c r="J12" s="4">
        <f>[7]FormattedData!C24</f>
        <v>12.946999999999999</v>
      </c>
      <c r="K12" s="6">
        <f>$J$3+[7]FormattedData!D24*$J$4+$M$4*$J$5+[7]FormattedData!D24^2*$J$6+$M$5*$J$7</f>
        <v>36.508052200466011</v>
      </c>
      <c r="L12" s="6">
        <f>$J$3+[7]FormattedData!E24*$J$4+$M$4*$J$5+[7]FormattedData!E24^2*$J$6+$M$5*$J$7</f>
        <v>29.21284351284632</v>
      </c>
      <c r="M12" s="6">
        <f>$J$3+[7]FormattedData!F24*$J$4+$M$4*$J$5+[7]FormattedData!F24^2*$J$6+$M$5*$J$7</f>
        <v>34.707138441850802</v>
      </c>
      <c r="N12" s="6">
        <f>$J$3+[7]FormattedData!G24*$J$4+$M$4*$J$5+[7]FormattedData!G24^2*$J$6+$M$5*$J$7</f>
        <v>28.43072458014149</v>
      </c>
      <c r="O12" s="6">
        <f>$J$3+[7]FormattedData!H24*$J$4+$M$4*$J$5+[7]FormattedData!H24^2*$J$6+$M$5*$J$7</f>
        <v>34.039797462251357</v>
      </c>
      <c r="P12" s="6">
        <f>$J$3+[7]FormattedData!I24*$J$4+$M$4*$J$5+[7]FormattedData!I24^2*$J$6+$M$5*$J$7</f>
        <v>28.626507924545283</v>
      </c>
      <c r="Q12" s="6">
        <f>$J$3+[7]FormattedData!J24*$J$4+$M$4*$J$5+[7]FormattedData!J24^2*$J$6+$M$5*$J$7</f>
        <v>36.413647682643429</v>
      </c>
      <c r="R12" s="6">
        <f>$J$3+[7]FormattedData!K24*$J$4+$M$4*$J$5+[7]FormattedData!K24^2*$J$6+$M$5*$J$7</f>
        <v>29.310418171013733</v>
      </c>
      <c r="S12" s="6">
        <f>$J$3+[7]FormattedData!L24*$J$4+$M$4*$J$5+[7]FormattedData!L24^2*$J$6+$M$5*$J$7</f>
        <v>35.467277734831434</v>
      </c>
      <c r="T12" s="6">
        <f>$J$3+[7]FormattedData!M24*$J$4+$M$4*$J$5+[7]FormattedData!M24^2*$J$6+$M$5*$J$7</f>
        <v>28.822122194797355</v>
      </c>
      <c r="U12" s="6">
        <f>$J$3+[7]FormattedData!N24*$J$4+$M$4*$J$5+[7]FormattedData!N24^2*$J$6+$M$5*$J$7</f>
        <v>33.466142435329658</v>
      </c>
      <c r="V12" s="6">
        <f>$J$3+[7]FormattedData!O24*$J$4+$M$4*$J$5+[7]FormattedData!O24^2*$J$6+$M$5*$J$7</f>
        <v>27.940526519718212</v>
      </c>
      <c r="W12" s="5">
        <f t="shared" si="0"/>
        <v>31.912099905036257</v>
      </c>
      <c r="X12" s="4">
        <f t="shared" si="1"/>
        <v>0.99647699093213782</v>
      </c>
      <c r="Y12" s="3">
        <f t="shared" si="2"/>
        <v>27.940526519718212</v>
      </c>
      <c r="Z12" s="2">
        <f t="shared" si="3"/>
        <v>28.773218627234336</v>
      </c>
      <c r="AA12" s="3">
        <f t="shared" si="4"/>
        <v>31.388280303171697</v>
      </c>
      <c r="AB12" s="2">
        <f t="shared" si="5"/>
        <v>34.897173265095958</v>
      </c>
      <c r="AC12" s="2">
        <f t="shared" si="6"/>
        <v>36.508052200466011</v>
      </c>
      <c r="AD12" s="2">
        <f t="shared" si="7"/>
        <v>0.16275965222132963</v>
      </c>
      <c r="AE12" s="2">
        <f t="shared" si="8"/>
        <v>-2.0287500821339348</v>
      </c>
    </row>
    <row r="13" spans="1:35" x14ac:dyDescent="0.2">
      <c r="B13" s="1">
        <f>[7]FormattedData!A22</f>
        <v>104</v>
      </c>
      <c r="C13" s="1" t="str">
        <f>VLOOKUP($B13,[7]TrtCodes!$B$11:I65,2)</f>
        <v>NTL</v>
      </c>
      <c r="D13" s="1">
        <f>VLOOKUP($B13,[7]TrtCodes!$B$11:J65,3)</f>
        <v>10</v>
      </c>
      <c r="E13" s="1">
        <f>VLOOKUP($B13,[7]TrtCodes!$B$11:K65,4)</f>
        <v>2</v>
      </c>
      <c r="F13" s="1">
        <f>VLOOKUP($B13,[7]TrtCodes!$B$11:L65,5)</f>
        <v>2</v>
      </c>
      <c r="G13" s="1">
        <f>VLOOKUP($B13,[7]TrtCodes!$B$11:M65,6)</f>
        <v>1</v>
      </c>
      <c r="H13" s="1">
        <f>VLOOKUP($B13,[7]TrtCodes!$B$11:N65,7)</f>
        <v>1</v>
      </c>
      <c r="I13" s="1">
        <f>[7]FormattedData!B22</f>
        <v>1</v>
      </c>
      <c r="J13" s="4">
        <f>[7]FormattedData!C22</f>
        <v>12.929</v>
      </c>
      <c r="K13" s="6">
        <f>$J$3+[7]FormattedData!D22*$J$4+$M$4*$J$5+[7]FormattedData!D22^2*$J$6+$M$5*$J$7</f>
        <v>54.968478175678513</v>
      </c>
      <c r="L13" s="6">
        <f>$J$3+[7]FormattedData!E22*$J$4+$M$4*$J$5+[7]FormattedData!E22^2*$J$6+$M$5*$J$7</f>
        <v>43.650267653397314</v>
      </c>
      <c r="M13" s="6">
        <f>$J$3+[7]FormattedData!F22*$J$4+$M$4*$J$5+[7]FormattedData!F22^2*$J$6+$M$5*$J$7</f>
        <v>51.418499805160508</v>
      </c>
      <c r="N13" s="6">
        <f>$J$3+[7]FormattedData!G22*$J$4+$M$4*$J$5+[7]FormattedData!G22^2*$J$6+$M$5*$J$7</f>
        <v>35.467277734831434</v>
      </c>
      <c r="O13" s="6">
        <f>$J$3+[7]FormattedData!H22*$J$4+$M$4*$J$5+[7]FormattedData!H22^2*$J$6+$M$5*$J$7</f>
        <v>51.942447031475176</v>
      </c>
      <c r="P13" s="6">
        <f>$J$3+[7]FormattedData!I22*$J$4+$M$4*$J$5+[7]FormattedData!I22^2*$J$6+$M$5*$J$7</f>
        <v>37.44977260910558</v>
      </c>
      <c r="Q13" s="6">
        <f>$J$3+[7]FormattedData!J22*$J$4+$M$4*$J$5+[7]FormattedData!J22^2*$J$6+$M$5*$J$7</f>
        <v>51.767967030188672</v>
      </c>
      <c r="R13" s="6">
        <f>$J$3+[7]FormattedData!K22*$J$4+$M$4*$J$5+[7]FormattedData!K22^2*$J$6+$M$5*$J$7</f>
        <v>36.413647682643429</v>
      </c>
      <c r="S13" s="6">
        <f>$J$3+[7]FormattedData!L22*$J$4+$M$4*$J$5+[7]FormattedData!L22^2*$J$6+$M$5*$J$7</f>
        <v>51.855228165100897</v>
      </c>
      <c r="T13" s="6">
        <f>$J$3+[7]FormattedData!M22*$J$4+$M$4*$J$5+[7]FormattedData!M22^2*$J$6+$M$5*$J$7</f>
        <v>35.656889872697285</v>
      </c>
      <c r="U13" s="6">
        <f>$J$3+[7]FormattedData!N22*$J$4+$M$4*$J$5+[7]FormattedData!N22^2*$J$6+$M$5*$J$7</f>
        <v>50.190038681782575</v>
      </c>
      <c r="V13" s="6">
        <f>$J$3+[7]FormattedData!O22*$J$4+$M$4*$J$5+[7]FormattedData!O22^2*$J$6+$M$5*$J$7</f>
        <v>39.785581145359629</v>
      </c>
      <c r="W13" s="5">
        <f t="shared" si="0"/>
        <v>45.047174632285085</v>
      </c>
      <c r="X13" s="4">
        <f t="shared" si="1"/>
        <v>2.212883105958511</v>
      </c>
      <c r="Y13" s="3">
        <f t="shared" si="2"/>
        <v>35.467277734831434</v>
      </c>
      <c r="Z13" s="2">
        <f t="shared" si="3"/>
        <v>37.190741377490042</v>
      </c>
      <c r="AA13" s="3">
        <f t="shared" si="4"/>
        <v>46.920153167589945</v>
      </c>
      <c r="AB13" s="2">
        <f t="shared" si="5"/>
        <v>51.789782313916731</v>
      </c>
      <c r="AC13" s="2">
        <f t="shared" si="6"/>
        <v>54.968478175678513</v>
      </c>
      <c r="AD13" s="2">
        <f t="shared" si="7"/>
        <v>-0.15001885403493165</v>
      </c>
      <c r="AE13" s="2">
        <f t="shared" si="8"/>
        <v>-2.0098583906304044</v>
      </c>
    </row>
    <row r="14" spans="1:35" x14ac:dyDescent="0.2">
      <c r="B14" s="1">
        <f>[7]FormattedData!A20</f>
        <v>105</v>
      </c>
      <c r="C14" s="1" t="str">
        <f>VLOOKUP($B14,[7]TrtCodes!$B$11:I63,2)</f>
        <v>NDL</v>
      </c>
      <c r="D14" s="1">
        <f>VLOOKUP($B14,[7]TrtCodes!$B$11:J63,3)</f>
        <v>12</v>
      </c>
      <c r="E14" s="1">
        <f>VLOOKUP($B14,[7]TrtCodes!$B$11:K63,4)</f>
        <v>2</v>
      </c>
      <c r="F14" s="1">
        <f>VLOOKUP($B14,[7]TrtCodes!$B$11:L63,5)</f>
        <v>3</v>
      </c>
      <c r="G14" s="1">
        <f>VLOOKUP($B14,[7]TrtCodes!$B$11:M63,6)</f>
        <v>1</v>
      </c>
      <c r="H14" s="1">
        <f>VLOOKUP($B14,[7]TrtCodes!$B$11:N63,7)</f>
        <v>2</v>
      </c>
      <c r="I14" s="1">
        <f>[7]FormattedData!B20</f>
        <v>1</v>
      </c>
      <c r="J14" s="4">
        <f>[7]FormattedData!C20</f>
        <v>12.913</v>
      </c>
      <c r="K14" s="6">
        <f>$J$3+[7]FormattedData!D20*$J$4+$M$4*$J$5+[7]FormattedData!D20^2*$J$6+$M$5*$J$7</f>
        <v>50.453977781953704</v>
      </c>
      <c r="L14" s="6">
        <f>$J$3+[7]FormattedData!E20*$J$4+$M$4*$J$5+[7]FormattedData!E20^2*$J$6+$M$5*$J$7</f>
        <v>35.656889872697285</v>
      </c>
      <c r="M14" s="6">
        <f>$J$3+[7]FormattedData!F20*$J$4+$M$4*$J$5+[7]FormattedData!F20^2*$J$6+$M$5*$J$7</f>
        <v>43.194095766008601</v>
      </c>
      <c r="N14" s="6">
        <f>$J$3+[7]FormattedData!G20*$J$4+$M$4*$J$5+[7]FormattedData!G20^2*$J$6+$M$5*$J$7</f>
        <v>30.768965818973204</v>
      </c>
      <c r="O14" s="6">
        <f>$J$3+[7]FormattedData!H20*$J$4+$M$4*$J$5+[7]FormattedData!H20^2*$J$6+$M$5*$J$7</f>
        <v>43.832440528587277</v>
      </c>
      <c r="P14" s="6">
        <f>$J$3+[7]FormattedData!I20*$J$4+$M$4*$J$5+[7]FormattedData!I20^2*$J$6+$M$5*$J$7</f>
        <v>32.410489444343334</v>
      </c>
      <c r="Q14" s="6">
        <f>$J$3+[7]FormattedData!J20*$J$4+$M$4*$J$5+[7]FormattedData!J20^2*$J$6+$M$5*$J$7</f>
        <v>42.73686716517161</v>
      </c>
      <c r="R14" s="6">
        <f>$J$3+[7]FormattedData!K20*$J$4+$M$4*$J$5+[7]FormattedData!K20^2*$J$6+$M$5*$J$7</f>
        <v>32.121696443868679</v>
      </c>
      <c r="S14" s="6">
        <f>$J$3+[7]FormattedData!L20*$J$4+$M$4*$J$5+[7]FormattedData!L20^2*$J$6+$M$5*$J$7</f>
        <v>48.687198129364518</v>
      </c>
      <c r="T14" s="6">
        <f>$J$3+[7]FormattedData!M20*$J$4+$M$4*$J$5+[7]FormattedData!M20^2*$J$6+$M$5*$J$7</f>
        <v>33.848748194095855</v>
      </c>
      <c r="U14" s="6">
        <f>$J$3+[7]FormattedData!N20*$J$4+$M$4*$J$5+[7]FormattedData!N20^2*$J$6+$M$5*$J$7</f>
        <v>52.203850019370442</v>
      </c>
      <c r="V14" s="6">
        <f>$J$3+[7]FormattedData!O20*$J$4+$M$4*$J$5+[7]FormattedData!O20^2*$J$6+$M$5*$J$7</f>
        <v>31.928956434195936</v>
      </c>
      <c r="W14" s="5">
        <f t="shared" si="0"/>
        <v>39.820347966552539</v>
      </c>
      <c r="X14" s="4">
        <f t="shared" si="1"/>
        <v>2.2903000133575793</v>
      </c>
      <c r="Y14" s="3">
        <f t="shared" si="2"/>
        <v>30.768965818973204</v>
      </c>
      <c r="Z14" s="2">
        <f t="shared" si="3"/>
        <v>32.338291194224666</v>
      </c>
      <c r="AA14" s="3">
        <f t="shared" si="4"/>
        <v>39.196878518934447</v>
      </c>
      <c r="AB14" s="2">
        <f t="shared" si="5"/>
        <v>45.046129928781589</v>
      </c>
      <c r="AC14" s="2">
        <f t="shared" si="6"/>
        <v>52.203850019370442</v>
      </c>
      <c r="AD14" s="2">
        <f t="shared" si="7"/>
        <v>0.33751309208219449</v>
      </c>
      <c r="AE14" s="2">
        <f t="shared" si="8"/>
        <v>-1.5821228215505512</v>
      </c>
    </row>
    <row r="15" spans="1:35" x14ac:dyDescent="0.2">
      <c r="B15" s="1">
        <f>[7]FormattedData!A18</f>
        <v>106</v>
      </c>
      <c r="C15" s="1" t="str">
        <f>VLOOKUP($B15,[7]TrtCodes!$B$11:I61,2)</f>
        <v>NTH</v>
      </c>
      <c r="D15" s="1">
        <f>VLOOKUP($B15,[7]TrtCodes!$B$11:J61,3)</f>
        <v>9</v>
      </c>
      <c r="E15" s="1">
        <f>VLOOKUP($B15,[7]TrtCodes!$B$11:K61,4)</f>
        <v>2</v>
      </c>
      <c r="F15" s="1">
        <f>VLOOKUP($B15,[7]TrtCodes!$B$11:L61,5)</f>
        <v>2</v>
      </c>
      <c r="G15" s="1">
        <f>VLOOKUP($B15,[7]TrtCodes!$B$11:M61,6)</f>
        <v>2</v>
      </c>
      <c r="H15" s="1">
        <f>VLOOKUP($B15,[7]TrtCodes!$B$11:N61,7)</f>
        <v>2</v>
      </c>
      <c r="I15" s="1">
        <f>[7]FormattedData!B18</f>
        <v>1</v>
      </c>
      <c r="J15" s="4">
        <f>[7]FormattedData!C18</f>
        <v>12.891</v>
      </c>
      <c r="K15" s="6">
        <f>$J$3+[7]FormattedData!D18*$J$4+$M$4*$J$5+[7]FormattedData!D18^2*$J$6+$M$5*$J$7</f>
        <v>52.203850019370442</v>
      </c>
      <c r="L15" s="6">
        <f>$J$3+[7]FormattedData!E18*$J$4+$M$4*$J$5+[7]FormattedData!E18^2*$J$6+$M$5*$J$7</f>
        <v>39.785581145359629</v>
      </c>
      <c r="M15" s="6">
        <f>$J$3+[7]FormattedData!F18*$J$4+$M$4*$J$5+[7]FormattedData!F18^2*$J$6+$M$5*$J$7</f>
        <v>48.687198129364518</v>
      </c>
      <c r="N15" s="6">
        <f>$J$3+[7]FormattedData!G18*$J$4+$M$4*$J$5+[7]FormattedData!G18^2*$J$6+$M$5*$J$7</f>
        <v>38.012775964468631</v>
      </c>
      <c r="O15" s="6">
        <f>$J$3+[7]FormattedData!H18*$J$4+$M$4*$J$5+[7]FormattedData!H18^2*$J$6+$M$5*$J$7</f>
        <v>51.50593001422444</v>
      </c>
      <c r="P15" s="6">
        <f>$J$3+[7]FormattedData!I18*$J$4+$M$4*$J$5+[7]FormattedData!I18^2*$J$6+$M$5*$J$7</f>
        <v>37.44977260910558</v>
      </c>
      <c r="Q15" s="6">
        <f>$J$3+[7]FormattedData!J18*$J$4+$M$4*$J$5+[7]FormattedData!J18^2*$J$6+$M$5*$J$7</f>
        <v>50.805304822650854</v>
      </c>
      <c r="R15" s="6">
        <f>$J$3+[7]FormattedData!K18*$J$4+$M$4*$J$5+[7]FormattedData!K18^2*$J$6+$M$5*$J$7</f>
        <v>39.040996674337649</v>
      </c>
      <c r="S15" s="6">
        <f>$J$3+[7]FormattedData!L18*$J$4+$M$4*$J$5+[7]FormattedData!L18^2*$J$6+$M$5*$J$7</f>
        <v>49.572701382555671</v>
      </c>
      <c r="T15" s="6">
        <f>$J$3+[7]FormattedData!M18*$J$4+$M$4*$J$5+[7]FormattedData!M18^2*$J$6+$M$5*$J$7</f>
        <v>37.731464495207796</v>
      </c>
      <c r="U15" s="6">
        <f>$J$3+[7]FormattedData!N18*$J$4+$M$4*$J$5+[7]FormattedData!N18^2*$J$6+$M$5*$J$7</f>
        <v>51.243512581418827</v>
      </c>
      <c r="V15" s="6">
        <f>$J$3+[7]FormattedData!O18*$J$4+$M$4*$J$5+[7]FormattedData!O18^2*$J$6+$M$5*$J$7</f>
        <v>39.413627058152088</v>
      </c>
      <c r="W15" s="5">
        <f t="shared" si="0"/>
        <v>44.621059574684672</v>
      </c>
      <c r="X15" s="4">
        <f t="shared" si="1"/>
        <v>1.850990236110732</v>
      </c>
      <c r="Y15" s="3">
        <f t="shared" si="2"/>
        <v>37.44977260910558</v>
      </c>
      <c r="Z15" s="2">
        <f t="shared" si="3"/>
        <v>38.783941496870398</v>
      </c>
      <c r="AA15" s="3">
        <f t="shared" si="4"/>
        <v>44.236389637362073</v>
      </c>
      <c r="AB15" s="2">
        <f t="shared" si="5"/>
        <v>50.914856762342851</v>
      </c>
      <c r="AC15" s="2">
        <f t="shared" si="6"/>
        <v>52.203850019370442</v>
      </c>
      <c r="AD15" s="2">
        <f t="shared" si="7"/>
        <v>2.7112376821470052E-2</v>
      </c>
      <c r="AE15" s="2">
        <f t="shared" si="8"/>
        <v>-2.2742607174972553</v>
      </c>
    </row>
    <row r="16" spans="1:35" x14ac:dyDescent="0.2">
      <c r="B16" s="1">
        <f>[7]FormattedData!A16</f>
        <v>107</v>
      </c>
      <c r="C16" s="1" t="str">
        <f>VLOOKUP($B16,[7]TrtCodes!$B$11:I59,2)</f>
        <v>NTL</v>
      </c>
      <c r="D16" s="1">
        <f>VLOOKUP($B16,[7]TrtCodes!$B$11:J59,3)</f>
        <v>10</v>
      </c>
      <c r="E16" s="1">
        <f>VLOOKUP($B16,[7]TrtCodes!$B$11:K59,4)</f>
        <v>2</v>
      </c>
      <c r="F16" s="1">
        <f>VLOOKUP($B16,[7]TrtCodes!$B$11:L59,5)</f>
        <v>2</v>
      </c>
      <c r="G16" s="1">
        <f>VLOOKUP($B16,[7]TrtCodes!$B$11:M59,6)</f>
        <v>1</v>
      </c>
      <c r="H16" s="1">
        <f>VLOOKUP($B16,[7]TrtCodes!$B$11:N59,7)</f>
        <v>2</v>
      </c>
      <c r="I16" s="1">
        <f>[7]FormattedData!B16</f>
        <v>1</v>
      </c>
      <c r="J16" s="4">
        <f>[7]FormattedData!C16</f>
        <v>12.872999999999999</v>
      </c>
      <c r="K16" s="6">
        <f>$J$3+[7]FormattedData!D16*$J$4+$M$4*$J$5+[7]FormattedData!D16^2*$J$6+$M$5*$J$7</f>
        <v>55.994054840280214</v>
      </c>
      <c r="L16" s="6">
        <f>$J$3+[7]FormattedData!E16*$J$4+$M$4*$J$5+[7]FormattedData!E16^2*$J$6+$M$5*$J$7</f>
        <v>49.837528122023365</v>
      </c>
      <c r="M16" s="6">
        <f>$J$3+[7]FormattedData!F16*$J$4+$M$4*$J$5+[7]FormattedData!F16^2*$J$6+$M$5*$J$7</f>
        <v>52.377907335277627</v>
      </c>
      <c r="N16" s="6">
        <f>$J$3+[7]FormattedData!G16*$J$4+$M$4*$J$5+[7]FormattedData!G16^2*$J$6+$M$5*$J$7</f>
        <v>36.979440761509935</v>
      </c>
      <c r="O16" s="6">
        <f>$J$3+[7]FormattedData!H16*$J$4+$M$4*$J$5+[7]FormattedData!H16^2*$J$6+$M$5*$J$7</f>
        <v>52.290899811593</v>
      </c>
      <c r="P16" s="6">
        <f>$J$3+[7]FormattedData!I16*$J$4+$M$4*$J$5+[7]FormattedData!I16^2*$J$6+$M$5*$J$7</f>
        <v>34.039797462251357</v>
      </c>
      <c r="Q16" s="6">
        <f>$J$3+[7]FormattedData!J16*$J$4+$M$4*$J$5+[7]FormattedData!J16^2*$J$6+$M$5*$J$7</f>
        <v>54.882738708131811</v>
      </c>
      <c r="R16" s="6">
        <f>$J$3+[7]FormattedData!K16*$J$4+$M$4*$J$5+[7]FormattedData!K16^2*$J$6+$M$5*$J$7</f>
        <v>33.561857277828111</v>
      </c>
      <c r="S16" s="6">
        <f>$J$3+[7]FormattedData!L16*$J$4+$M$4*$J$5+[7]FormattedData!L16^2*$J$6+$M$5*$J$7</f>
        <v>53.332200372305088</v>
      </c>
      <c r="T16" s="6">
        <f>$J$3+[7]FormattedData!M16*$J$4+$M$4*$J$5+[7]FormattedData!M16^2*$J$6+$M$5*$J$7</f>
        <v>34.897426876323543</v>
      </c>
      <c r="U16" s="6">
        <f>$J$3+[7]FormattedData!N16*$J$4+$M$4*$J$5+[7]FormattedData!N16^2*$J$6+$M$5*$J$7</f>
        <v>53.159072964232386</v>
      </c>
      <c r="V16" s="6">
        <f>$J$3+[7]FormattedData!O16*$J$4+$M$4*$J$5+[7]FormattedData!O16^2*$J$6+$M$5*$J$7</f>
        <v>36.130180517948112</v>
      </c>
      <c r="W16" s="5">
        <f t="shared" si="0"/>
        <v>45.623592087475373</v>
      </c>
      <c r="X16" s="4">
        <f t="shared" si="1"/>
        <v>2.7204082961300937</v>
      </c>
      <c r="Y16" s="3">
        <f t="shared" si="2"/>
        <v>33.561857277828111</v>
      </c>
      <c r="Z16" s="2">
        <f t="shared" si="3"/>
        <v>35.821992107541973</v>
      </c>
      <c r="AA16" s="3">
        <f t="shared" si="4"/>
        <v>51.064213966808182</v>
      </c>
      <c r="AB16" s="2">
        <f t="shared" si="5"/>
        <v>53.202354816250562</v>
      </c>
      <c r="AC16" s="2">
        <f t="shared" si="6"/>
        <v>55.994054840280214</v>
      </c>
      <c r="AD16" s="2">
        <f t="shared" si="7"/>
        <v>-0.335041686249615</v>
      </c>
      <c r="AE16" s="2">
        <f t="shared" si="8"/>
        <v>-2.1121162359432537</v>
      </c>
    </row>
    <row r="17" spans="2:31" x14ac:dyDescent="0.2">
      <c r="B17" s="1">
        <f>[7]FormattedData!A14</f>
        <v>108</v>
      </c>
      <c r="C17" s="1" t="str">
        <f>VLOOKUP($B17,[7]TrtCodes!$B$11:I57,2)</f>
        <v>FTH</v>
      </c>
      <c r="D17" s="1">
        <f>VLOOKUP($B17,[7]TrtCodes!$B$11:J57,3)</f>
        <v>3</v>
      </c>
      <c r="E17" s="1">
        <f>VLOOKUP($B17,[7]TrtCodes!$B$11:K57,4)</f>
        <v>1</v>
      </c>
      <c r="F17" s="1">
        <f>VLOOKUP($B17,[7]TrtCodes!$B$11:L57,5)</f>
        <v>2</v>
      </c>
      <c r="G17" s="1">
        <f>VLOOKUP($B17,[7]TrtCodes!$B$11:M57,6)</f>
        <v>2</v>
      </c>
      <c r="H17" s="1">
        <f>VLOOKUP($B17,[7]TrtCodes!$B$11:N57,7)</f>
        <v>2</v>
      </c>
      <c r="I17" s="1">
        <f>[7]FormattedData!B14</f>
        <v>1</v>
      </c>
      <c r="J17" s="4">
        <f>[7]FormattedData!C14</f>
        <v>12.859</v>
      </c>
      <c r="K17" s="6">
        <f>$J$3+[7]FormattedData!D14*$J$4+$M$4*$J$5+[7]FormattedData!D14^2*$J$6+$M$5*$J$7</f>
        <v>34.802303793356145</v>
      </c>
      <c r="L17" s="6">
        <f>$J$3+[7]FormattedData!E14*$J$4+$M$4*$J$5+[7]FormattedData!E14^2*$J$6+$M$5*$J$7</f>
        <v>30.38094968735183</v>
      </c>
      <c r="M17" s="6">
        <f>$J$3+[7]FormattedData!F14*$J$4+$M$4*$J$5+[7]FormattedData!F14^2*$J$6+$M$5*$J$7</f>
        <v>37.073591668104925</v>
      </c>
      <c r="N17" s="6">
        <f>$J$3+[7]FormattedData!G14*$J$4+$M$4*$J$5+[7]FormattedData!G14^2*$J$6+$M$5*$J$7</f>
        <v>29.505440681734765</v>
      </c>
      <c r="O17" s="6">
        <f>$J$3+[7]FormattedData!H14*$J$4+$M$4*$J$5+[7]FormattedData!H14^2*$J$6+$M$5*$J$7</f>
        <v>37.073591668104925</v>
      </c>
      <c r="P17" s="6">
        <f>$J$3+[7]FormattedData!I14*$J$4+$M$4*$J$5+[7]FormattedData!I14^2*$J$6+$M$5*$J$7</f>
        <v>29.505440681734765</v>
      </c>
      <c r="Q17" s="6">
        <f>$J$3+[7]FormattedData!J14*$J$4+$M$4*$J$5+[7]FormattedData!J14^2*$J$6+$M$5*$J$7</f>
        <v>35.940991065461574</v>
      </c>
      <c r="R17" s="6">
        <f>$J$3+[7]FormattedData!K14*$J$4+$M$4*$J$5+[7]FormattedData!K14^2*$J$6+$M$5*$J$7</f>
        <v>29.115226586140977</v>
      </c>
      <c r="S17" s="6">
        <f>$J$3+[7]FormattedData!L14*$J$4+$M$4*$J$5+[7]FormattedData!L14^2*$J$6+$M$5*$J$7</f>
        <v>36.696734430497379</v>
      </c>
      <c r="T17" s="6">
        <f>$J$3+[7]FormattedData!M14*$J$4+$M$4*$J$5+[7]FormattedData!M14^2*$J$6+$M$5*$J$7</f>
        <v>29.0175673908977</v>
      </c>
      <c r="U17" s="6">
        <f>$J$3+[7]FormattedData!N14*$J$4+$M$4*$J$5+[7]FormattedData!N14^2*$J$6+$M$5*$J$7</f>
        <v>35.751632538823316</v>
      </c>
      <c r="V17" s="6">
        <f>$J$3+[7]FormattedData!O14*$J$4+$M$4*$J$5+[7]FormattedData!O14^2*$J$6+$M$5*$J$7</f>
        <v>28.43072458014149</v>
      </c>
      <c r="W17" s="5">
        <f t="shared" si="0"/>
        <v>32.774516231029146</v>
      </c>
      <c r="X17" s="4">
        <f t="shared" si="1"/>
        <v>1.0618239864005248</v>
      </c>
      <c r="Y17" s="3">
        <f t="shared" si="2"/>
        <v>28.43072458014149</v>
      </c>
      <c r="Z17" s="2">
        <f t="shared" si="3"/>
        <v>29.407887157836317</v>
      </c>
      <c r="AA17" s="3">
        <f t="shared" si="4"/>
        <v>32.591626740353988</v>
      </c>
      <c r="AB17" s="2">
        <f t="shared" si="5"/>
        <v>36.129926906720527</v>
      </c>
      <c r="AC17" s="2">
        <f t="shared" si="6"/>
        <v>37.073591668104925</v>
      </c>
      <c r="AD17" s="2">
        <f t="shared" si="7"/>
        <v>3.9786689438864743E-2</v>
      </c>
      <c r="AE17" s="2">
        <f t="shared" si="8"/>
        <v>-2.215590963004189</v>
      </c>
    </row>
    <row r="18" spans="2:31" x14ac:dyDescent="0.2">
      <c r="B18" s="1">
        <f>[7]FormattedData!A30</f>
        <v>201</v>
      </c>
      <c r="C18" s="1" t="str">
        <f>VLOOKUP($B18,[7]TrtCodes!$B$11:I73,2)</f>
        <v>NDL</v>
      </c>
      <c r="D18" s="1">
        <f>VLOOKUP($B18,[7]TrtCodes!$B$11:J73,3)</f>
        <v>12</v>
      </c>
      <c r="E18" s="1">
        <f>VLOOKUP($B18,[7]TrtCodes!$B$11:K73,4)</f>
        <v>2</v>
      </c>
      <c r="F18" s="1">
        <f>VLOOKUP($B18,[7]TrtCodes!$B$11:L73,5)</f>
        <v>3</v>
      </c>
      <c r="G18" s="1">
        <f>VLOOKUP($B18,[7]TrtCodes!$B$11:M73,6)</f>
        <v>1</v>
      </c>
      <c r="H18" s="1">
        <f>VLOOKUP($B18,[7]TrtCodes!$B$11:N73,7)</f>
        <v>1</v>
      </c>
      <c r="I18" s="1">
        <f>[7]FormattedData!B30</f>
        <v>1</v>
      </c>
      <c r="J18" s="4">
        <f>[7]FormattedData!C30</f>
        <v>12.997999999999999</v>
      </c>
      <c r="K18" s="6">
        <f>$J$3+[7]FormattedData!D30*$J$4+$M$4*$J$5+[7]FormattedData!D30^2*$J$6+$M$5*$J$7</f>
        <v>52.638676295103927</v>
      </c>
      <c r="L18" s="6">
        <f>$J$3+[7]FormattedData!E30*$J$4+$M$4*$J$5+[7]FormattedData!E30^2*$J$6+$M$5*$J$7</f>
        <v>32.98693419476848</v>
      </c>
      <c r="M18" s="6">
        <f>$J$3+[7]FormattedData!F30*$J$4+$M$4*$J$5+[7]FormattedData!F30^2*$J$6+$M$5*$J$7</f>
        <v>49.572701382555671</v>
      </c>
      <c r="N18" s="6">
        <f>$J$3+[7]FormattedData!G30*$J$4+$M$4*$J$5+[7]FormattedData!G30^2*$J$6+$M$5*$J$7</f>
        <v>32.410489444343334</v>
      </c>
      <c r="O18" s="6">
        <f>$J$3+[7]FormattedData!H30*$J$4+$M$4*$J$5+[7]FormattedData!H30^2*$J$6+$M$5*$J$7</f>
        <v>46.544744758229847</v>
      </c>
      <c r="P18" s="6">
        <f>$J$3+[7]FormattedData!I30*$J$4+$M$4*$J$5+[7]FormattedData!I30^2*$J$6+$M$5*$J$7</f>
        <v>32.506669240759017</v>
      </c>
      <c r="Q18" s="6">
        <f>$J$3+[7]FormattedData!J30*$J$4+$M$4*$J$5+[7]FormattedData!J30^2*$J$6+$M$5*$J$7</f>
        <v>48.953292924970135</v>
      </c>
      <c r="R18" s="6">
        <f>$J$3+[7]FormattedData!K30*$J$4+$M$4*$J$5+[7]FormattedData!K30^2*$J$6+$M$5*$J$7</f>
        <v>31.832523026552664</v>
      </c>
      <c r="S18" s="6">
        <f>$J$3+[7]FormattedData!L30*$J$4+$M$4*$J$5+[7]FormattedData!L30^2*$J$6+$M$5*$J$7</f>
        <v>48.77593866310432</v>
      </c>
      <c r="T18" s="6">
        <f>$J$3+[7]FormattedData!M30*$J$4+$M$4*$J$5+[7]FormattedData!M30^2*$J$6+$M$5*$J$7</f>
        <v>31.446366710600259</v>
      </c>
      <c r="U18" s="6">
        <f>$J$3+[7]FormattedData!N30*$J$4+$M$4*$J$5+[7]FormattedData!N30^2*$J$6+$M$5*$J$7</f>
        <v>49.041906653096156</v>
      </c>
      <c r="V18" s="6">
        <f>$J$3+[7]FormattedData!O30*$J$4+$M$4*$J$5+[7]FormattedData!O30^2*$J$6+$M$5*$J$7</f>
        <v>30.575042290238379</v>
      </c>
      <c r="W18" s="5">
        <f t="shared" si="0"/>
        <v>40.607107132026854</v>
      </c>
      <c r="X18" s="4">
        <f t="shared" si="1"/>
        <v>2.6405262813785475</v>
      </c>
      <c r="Y18" s="3">
        <f t="shared" si="2"/>
        <v>30.575042290238379</v>
      </c>
      <c r="Z18" s="2">
        <f t="shared" si="3"/>
        <v>32.265997839895668</v>
      </c>
      <c r="AA18" s="3">
        <f t="shared" si="4"/>
        <v>39.765839476499167</v>
      </c>
      <c r="AB18" s="2">
        <f t="shared" si="5"/>
        <v>48.975446357001644</v>
      </c>
      <c r="AC18" s="2">
        <f t="shared" si="6"/>
        <v>52.638676295103927</v>
      </c>
      <c r="AD18" s="2">
        <f t="shared" si="7"/>
        <v>5.9808121665003794E-2</v>
      </c>
      <c r="AE18" s="2">
        <f t="shared" si="8"/>
        <v>-2.2704686359824029</v>
      </c>
    </row>
    <row r="19" spans="2:31" x14ac:dyDescent="0.2">
      <c r="B19" s="1">
        <f>[7]FormattedData!A32</f>
        <v>202</v>
      </c>
      <c r="C19" s="1" t="str">
        <f>VLOOKUP($B19,[7]TrtCodes!$B$11:I75,2)</f>
        <v>NTH</v>
      </c>
      <c r="D19" s="1">
        <f>VLOOKUP($B19,[7]TrtCodes!$B$11:J75,3)</f>
        <v>9</v>
      </c>
      <c r="E19" s="1">
        <f>VLOOKUP($B19,[7]TrtCodes!$B$11:K75,4)</f>
        <v>2</v>
      </c>
      <c r="F19" s="1">
        <f>VLOOKUP($B19,[7]TrtCodes!$B$11:L75,5)</f>
        <v>2</v>
      </c>
      <c r="G19" s="1">
        <f>VLOOKUP($B19,[7]TrtCodes!$B$11:M75,6)</f>
        <v>2</v>
      </c>
      <c r="H19" s="1">
        <f>VLOOKUP($B19,[7]TrtCodes!$B$11:N75,7)</f>
        <v>1</v>
      </c>
      <c r="I19" s="1">
        <f>[7]FormattedData!B32</f>
        <v>1</v>
      </c>
      <c r="J19" s="4">
        <f>[7]FormattedData!C32</f>
        <v>13.012</v>
      </c>
      <c r="K19" s="6">
        <f>$J$3+[7]FormattedData!D32*$J$4+$M$4*$J$5+[7]FormattedData!D32^2*$J$6+$M$5*$J$7</f>
        <v>47.797468022380244</v>
      </c>
      <c r="L19" s="6">
        <f>$J$3+[7]FormattedData!E32*$J$4+$M$4*$J$5+[7]FormattedData!E32^2*$J$6+$M$5*$J$7</f>
        <v>44.105382827337749</v>
      </c>
      <c r="M19" s="6">
        <f>$J$3+[7]FormattedData!F32*$J$4+$M$4*$J$5+[7]FormattedData!F32^2*$J$6+$M$5*$J$7</f>
        <v>52.02962362931153</v>
      </c>
      <c r="N19" s="6">
        <f>$J$3+[7]FormattedData!G32*$J$4+$M$4*$J$5+[7]FormattedData!G32^2*$J$6+$M$5*$J$7</f>
        <v>37.16770030616199</v>
      </c>
      <c r="O19" s="6">
        <f>$J$3+[7]FormattedData!H32*$J$4+$M$4*$J$5+[7]FormattedData!H32^2*$J$6+$M$5*$J$7</f>
        <v>54.109181416004667</v>
      </c>
      <c r="P19" s="6">
        <f>$J$3+[7]FormattedData!I32*$J$4+$M$4*$J$5+[7]FormattedData!I32^2*$J$6+$M$5*$J$7</f>
        <v>34.992507690753023</v>
      </c>
      <c r="Q19" s="6">
        <f>$J$3+[7]FormattedData!J32*$J$4+$M$4*$J$5+[7]FormattedData!J32^2*$J$6+$M$5*$J$7</f>
        <v>54.539358152565725</v>
      </c>
      <c r="R19" s="6">
        <f>$J$3+[7]FormattedData!K32*$J$4+$M$4*$J$5+[7]FormattedData!K32^2*$J$6+$M$5*$J$7</f>
        <v>38.200105601286189</v>
      </c>
      <c r="S19" s="6">
        <f>$J$3+[7]FormattedData!L32*$J$4+$M$4*$J$5+[7]FormattedData!L32^2*$J$6+$M$5*$J$7</f>
        <v>52.203850019370442</v>
      </c>
      <c r="T19" s="6">
        <f>$J$3+[7]FormattedData!M32*$J$4+$M$4*$J$5+[7]FormattedData!M32^2*$J$6+$M$5*$J$7</f>
        <v>34.707138441850802</v>
      </c>
      <c r="U19" s="6">
        <f>$J$3+[7]FormattedData!N32*$J$4+$M$4*$J$5+[7]FormattedData!N32^2*$J$6+$M$5*$J$7</f>
        <v>51.418499805160508</v>
      </c>
      <c r="V19" s="6">
        <f>$J$3+[7]FormattedData!O32*$J$4+$M$4*$J$5+[7]FormattedData!O32^2*$J$6+$M$5*$J$7</f>
        <v>35.562104938033329</v>
      </c>
      <c r="W19" s="5">
        <f t="shared" si="0"/>
        <v>44.736076737518026</v>
      </c>
      <c r="X19" s="4">
        <f t="shared" si="1"/>
        <v>2.346863302361557</v>
      </c>
      <c r="Y19" s="3">
        <f t="shared" si="2"/>
        <v>34.707138441850802</v>
      </c>
      <c r="Z19" s="2">
        <f t="shared" si="3"/>
        <v>36.766301464129825</v>
      </c>
      <c r="AA19" s="3">
        <f t="shared" si="4"/>
        <v>45.951425424858996</v>
      </c>
      <c r="AB19" s="2">
        <f t="shared" si="5"/>
        <v>52.07318022682626</v>
      </c>
      <c r="AC19" s="2">
        <f t="shared" si="6"/>
        <v>54.539358152565725</v>
      </c>
      <c r="AD19" s="2">
        <f t="shared" si="7"/>
        <v>-0.10591042505810207</v>
      </c>
      <c r="AE19" s="2">
        <f t="shared" si="8"/>
        <v>-2.0026383677383262</v>
      </c>
    </row>
    <row r="20" spans="2:31" x14ac:dyDescent="0.2">
      <c r="B20" s="1">
        <f>[7]FormattedData!A34</f>
        <v>203</v>
      </c>
      <c r="C20" s="1" t="str">
        <f>VLOOKUP($B20,[7]TrtCodes!$B$11:I77,2)</f>
        <v>FTH</v>
      </c>
      <c r="D20" s="1">
        <f>VLOOKUP($B20,[7]TrtCodes!$B$11:J77,3)</f>
        <v>3</v>
      </c>
      <c r="E20" s="1">
        <f>VLOOKUP($B20,[7]TrtCodes!$B$11:K77,4)</f>
        <v>1</v>
      </c>
      <c r="F20" s="1">
        <f>VLOOKUP($B20,[7]TrtCodes!$B$11:L77,5)</f>
        <v>2</v>
      </c>
      <c r="G20" s="1">
        <f>VLOOKUP($B20,[7]TrtCodes!$B$11:M77,6)</f>
        <v>2</v>
      </c>
      <c r="H20" s="1">
        <f>VLOOKUP($B20,[7]TrtCodes!$B$11:N77,7)</f>
        <v>1</v>
      </c>
      <c r="I20" s="1">
        <f>[7]FormattedData!B34</f>
        <v>1</v>
      </c>
      <c r="J20" s="4">
        <f>[7]FormattedData!C34</f>
        <v>13.026</v>
      </c>
      <c r="K20" s="6">
        <f>$J$3+[7]FormattedData!D34*$J$4+$M$4*$J$5+[7]FormattedData!D34^2*$J$6+$M$5*$J$7</f>
        <v>34.707138441850802</v>
      </c>
      <c r="L20" s="6">
        <f>$J$3+[7]FormattedData!E34*$J$4+$M$4*$J$5+[7]FormattedData!E34^2*$J$6+$M$5*$J$7</f>
        <v>30.186688010313553</v>
      </c>
      <c r="M20" s="6">
        <f>$J$3+[7]FormattedData!F34*$J$4+$M$4*$J$5+[7]FormattedData!F34^2*$J$6+$M$5*$J$7</f>
        <v>35.940991065461574</v>
      </c>
      <c r="N20" s="6">
        <f>$J$3+[7]FormattedData!G34*$J$4+$M$4*$J$5+[7]FormattedData!G34^2*$J$6+$M$5*$J$7</f>
        <v>28.724336193940285</v>
      </c>
      <c r="O20" s="6">
        <f>$J$3+[7]FormattedData!H34*$J$4+$M$4*$J$5+[7]FormattedData!H34^2*$J$6+$M$5*$J$7</f>
        <v>34.707138441850802</v>
      </c>
      <c r="P20" s="6">
        <f>$J$3+[7]FormattedData!I34*$J$4+$M$4*$J$5+[7]FormattedData!I34^2*$J$6+$M$5*$J$7</f>
        <v>29.700294118304075</v>
      </c>
      <c r="Q20" s="6">
        <f>$J$3+[7]FormattedData!J34*$J$4+$M$4*$J$5+[7]FormattedData!J34^2*$J$6+$M$5*$J$7</f>
        <v>36.885247586377012</v>
      </c>
      <c r="R20" s="6">
        <f>$J$3+[7]FormattedData!K34*$J$4+$M$4*$J$5+[7]FormattedData!K34^2*$J$6+$M$5*$J$7</f>
        <v>35.656889872697285</v>
      </c>
      <c r="S20" s="6">
        <f>$J$3+[7]FormattedData!L34*$J$4+$M$4*$J$5+[7]FormattedData!L34^2*$J$6+$M$5*$J$7</f>
        <v>36.602414449750654</v>
      </c>
      <c r="T20" s="6">
        <f>$J$3+[7]FormattedData!M34*$J$4+$M$4*$J$5+[7]FormattedData!M34^2*$J$6+$M$5*$J$7</f>
        <v>29.894978480721662</v>
      </c>
      <c r="U20" s="6">
        <f>$J$3+[7]FormattedData!N34*$J$4+$M$4*$J$5+[7]FormattedData!N34^2*$J$6+$M$5*$J$7</f>
        <v>36.130180517948112</v>
      </c>
      <c r="V20" s="6">
        <f>$J$3+[7]FormattedData!O34*$J$4+$M$4*$J$5+[7]FormattedData!O34^2*$J$6+$M$5*$J$7</f>
        <v>30.283839983101661</v>
      </c>
      <c r="W20" s="5">
        <f t="shared" si="0"/>
        <v>33.285011430193116</v>
      </c>
      <c r="X20" s="4">
        <f t="shared" si="1"/>
        <v>0.92333262597132526</v>
      </c>
      <c r="Y20" s="3">
        <f t="shared" si="2"/>
        <v>28.724336193940285</v>
      </c>
      <c r="Z20" s="2">
        <f t="shared" si="3"/>
        <v>30.113760627915582</v>
      </c>
      <c r="AA20" s="3">
        <f t="shared" si="4"/>
        <v>34.707138441850802</v>
      </c>
      <c r="AB20" s="2">
        <f t="shared" si="5"/>
        <v>35.988288428583211</v>
      </c>
      <c r="AC20" s="2">
        <f t="shared" si="6"/>
        <v>36.885247586377012</v>
      </c>
      <c r="AD20" s="2">
        <f t="shared" si="7"/>
        <v>-0.30878388971582904</v>
      </c>
      <c r="AE20" s="2">
        <f t="shared" si="8"/>
        <v>-2.0048342642228061</v>
      </c>
    </row>
    <row r="21" spans="2:31" x14ac:dyDescent="0.2">
      <c r="B21" s="1">
        <f>[7]FormattedData!A36</f>
        <v>204</v>
      </c>
      <c r="C21" s="1" t="str">
        <f>VLOOKUP($B21,[7]TrtCodes!$B$11:I79,2)</f>
        <v>NDH</v>
      </c>
      <c r="D21" s="1">
        <f>VLOOKUP($B21,[7]TrtCodes!$B$11:J79,3)</f>
        <v>11</v>
      </c>
      <c r="E21" s="1">
        <f>VLOOKUP($B21,[7]TrtCodes!$B$11:K79,4)</f>
        <v>2</v>
      </c>
      <c r="F21" s="1">
        <f>VLOOKUP($B21,[7]TrtCodes!$B$11:L79,5)</f>
        <v>3</v>
      </c>
      <c r="G21" s="1">
        <f>VLOOKUP($B21,[7]TrtCodes!$B$11:M79,6)</f>
        <v>2</v>
      </c>
      <c r="H21" s="1">
        <f>VLOOKUP($B21,[7]TrtCodes!$B$11:N79,7)</f>
        <v>1</v>
      </c>
      <c r="I21" s="1">
        <f>[7]FormattedData!B36</f>
        <v>1</v>
      </c>
      <c r="J21" s="4">
        <f>[7]FormattedData!C36</f>
        <v>13.04</v>
      </c>
      <c r="K21" s="6">
        <f>$J$3+[7]FormattedData!D36*$J$4+$M$4*$J$5+[7]FormattedData!D36^2*$J$6+$M$5*$J$7</f>
        <v>37.637609468378322</v>
      </c>
      <c r="L21" s="6">
        <f>$J$3+[7]FormattedData!E36*$J$4+$M$4*$J$5+[7]FormattedData!E36^2*$J$6+$M$5*$J$7</f>
        <v>38.574257652466152</v>
      </c>
      <c r="M21" s="6">
        <f>$J$3+[7]FormattedData!F36*$J$4+$M$4*$J$5+[7]FormattedData!F36^2*$J$6+$M$5*$J$7</f>
        <v>43.102734582917066</v>
      </c>
      <c r="N21" s="6">
        <f>$J$3+[7]FormattedData!G36*$J$4+$M$4*$J$5+[7]FormattedData!G36^2*$J$6+$M$5*$J$7</f>
        <v>31.542969192395255</v>
      </c>
      <c r="O21" s="6">
        <f>$J$3+[7]FormattedData!H36*$J$4+$M$4*$J$5+[7]FormattedData!H36^2*$J$6+$M$5*$J$7</f>
        <v>52.725514744636833</v>
      </c>
      <c r="P21" s="6">
        <f>$J$3+[7]FormattedData!I36*$J$4+$M$4*$J$5+[7]FormattedData!I36^2*$J$6+$M$5*$J$7</f>
        <v>34.039797462251357</v>
      </c>
      <c r="Q21" s="6">
        <f>$J$3+[7]FormattedData!J36*$J$4+$M$4*$J$5+[7]FormattedData!J36^2*$J$6+$M$5*$J$7</f>
        <v>51.680663626738536</v>
      </c>
      <c r="R21" s="6">
        <f>$J$3+[7]FormattedData!K36*$J$4+$M$4*$J$5+[7]FormattedData!K36^2*$J$6+$M$5*$J$7</f>
        <v>32.121696443868679</v>
      </c>
      <c r="S21" s="6">
        <f>$J$3+[7]FormattedData!L36*$J$4+$M$4*$J$5+[7]FormattedData!L36^2*$J$6+$M$5*$J$7</f>
        <v>49.749294810738725</v>
      </c>
      <c r="T21" s="6">
        <f>$J$3+[7]FormattedData!M36*$J$4+$M$4*$J$5+[7]FormattedData!M36^2*$J$6+$M$5*$J$7</f>
        <v>32.314267379389719</v>
      </c>
      <c r="U21" s="6">
        <f>$J$3+[7]FormattedData!N36*$J$4+$M$4*$J$5+[7]FormattedData!N36^2*$J$6+$M$5*$J$7</f>
        <v>48.420722916917512</v>
      </c>
      <c r="V21" s="6">
        <f>$J$3+[7]FormattedData!O36*$J$4+$M$4*$J$5+[7]FormattedData!O36^2*$J$6+$M$5*$J$7</f>
        <v>32.698902027976594</v>
      </c>
      <c r="W21" s="5">
        <f t="shared" si="0"/>
        <v>40.384035859056233</v>
      </c>
      <c r="X21" s="4">
        <f t="shared" si="1"/>
        <v>2.4015372452128445</v>
      </c>
      <c r="Y21" s="3">
        <f t="shared" si="2"/>
        <v>31.542969192395255</v>
      </c>
      <c r="Z21" s="2">
        <f t="shared" si="3"/>
        <v>32.602743365829873</v>
      </c>
      <c r="AA21" s="3">
        <f t="shared" si="4"/>
        <v>38.105933560422237</v>
      </c>
      <c r="AB21" s="2">
        <f t="shared" si="5"/>
        <v>48.752865890372817</v>
      </c>
      <c r="AC21" s="2">
        <f t="shared" si="6"/>
        <v>52.725514744636833</v>
      </c>
      <c r="AD21" s="2">
        <f t="shared" si="7"/>
        <v>0.41029453705132962</v>
      </c>
      <c r="AE21" s="2">
        <f t="shared" si="8"/>
        <v>-1.6781699285121814</v>
      </c>
    </row>
    <row r="22" spans="2:31" x14ac:dyDescent="0.2">
      <c r="B22" s="1">
        <f>[7]FormattedData!A38</f>
        <v>205</v>
      </c>
      <c r="C22" s="1" t="str">
        <f>VLOOKUP($B22,[7]TrtCodes!$B$11:I81,2)</f>
        <v>FSH</v>
      </c>
      <c r="D22" s="1">
        <f>VLOOKUP($B22,[7]TrtCodes!$B$11:J81,3)</f>
        <v>1</v>
      </c>
      <c r="E22" s="1">
        <f>VLOOKUP($B22,[7]TrtCodes!$B$11:K81,4)</f>
        <v>1</v>
      </c>
      <c r="F22" s="1">
        <f>VLOOKUP($B22,[7]TrtCodes!$B$11:L81,5)</f>
        <v>1</v>
      </c>
      <c r="G22" s="1">
        <f>VLOOKUP($B22,[7]TrtCodes!$B$11:M81,6)</f>
        <v>2</v>
      </c>
      <c r="H22" s="1">
        <f>VLOOKUP($B22,[7]TrtCodes!$B$11:N81,7)</f>
        <v>2</v>
      </c>
      <c r="I22" s="1">
        <f>[7]FormattedData!B38</f>
        <v>1</v>
      </c>
      <c r="J22" s="4">
        <f>[7]FormattedData!C38</f>
        <v>13.053000000000001</v>
      </c>
      <c r="K22" s="6">
        <f>$J$3+[7]FormattedData!D38*$J$4+$M$4*$J$5+[7]FormattedData!D38^2*$J$6+$M$5*$J$7</f>
        <v>31.542969192395255</v>
      </c>
      <c r="L22" s="6">
        <f>$J$3+[7]FormattedData!E38*$J$4+$M$4*$J$5+[7]FormattedData!E38^2*$J$6+$M$5*$J$7</f>
        <v>36.413647682643429</v>
      </c>
      <c r="M22" s="6">
        <f>$J$3+[7]FormattedData!F38*$J$4+$M$4*$J$5+[7]FormattedData!F38^2*$J$6+$M$5*$J$7</f>
        <v>35.751632538823316</v>
      </c>
      <c r="N22" s="6">
        <f>$J$3+[7]FormattedData!G38*$J$4+$M$4*$J$5+[7]FormattedData!G38^2*$J$6+$M$5*$J$7</f>
        <v>29.310418171013733</v>
      </c>
      <c r="O22" s="6">
        <f>$J$3+[7]FormattedData!H38*$J$4+$M$4*$J$5+[7]FormattedData!H38^2*$J$6+$M$5*$J$7</f>
        <v>36.602414449750654</v>
      </c>
      <c r="P22" s="6">
        <f>$J$3+[7]FormattedData!I38*$J$4+$M$4*$J$5+[7]FormattedData!I38^2*$J$6+$M$5*$J$7</f>
        <v>29.505440681734765</v>
      </c>
      <c r="Q22" s="6">
        <f>$J$3+[7]FormattedData!J38*$J$4+$M$4*$J$5+[7]FormattedData!J38^2*$J$6+$M$5*$J$7</f>
        <v>36.319200896282915</v>
      </c>
      <c r="R22" s="6">
        <f>$J$3+[7]FormattedData!K38*$J$4+$M$4*$J$5+[7]FormattedData!K38^2*$J$6+$M$5*$J$7</f>
        <v>36.413647682643429</v>
      </c>
      <c r="S22" s="6">
        <f>$J$3+[7]FormattedData!L38*$J$4+$M$4*$J$5+[7]FormattedData!L38^2*$J$6+$M$5*$J$7</f>
        <v>36.130180517948112</v>
      </c>
      <c r="T22" s="6">
        <f>$J$3+[7]FormattedData!M38*$J$4+$M$4*$J$5+[7]FormattedData!M38^2*$J$6+$M$5*$J$7</f>
        <v>29.115226586140977</v>
      </c>
      <c r="U22" s="6">
        <f>$J$3+[7]FormattedData!N38*$J$4+$M$4*$J$5+[7]FormattedData!N38^2*$J$6+$M$5*$J$7</f>
        <v>36.035606925973809</v>
      </c>
      <c r="V22" s="6">
        <f>$J$3+[7]FormattedData!O38*$J$4+$M$4*$J$5+[7]FormattedData!O38^2*$J$6+$M$5*$J$7</f>
        <v>31.736047350371457</v>
      </c>
      <c r="W22" s="5">
        <f t="shared" si="0"/>
        <v>33.739702722976823</v>
      </c>
      <c r="X22" s="4">
        <f t="shared" si="1"/>
        <v>0.92095102198311829</v>
      </c>
      <c r="Y22" s="3">
        <f t="shared" si="2"/>
        <v>29.115226586140977</v>
      </c>
      <c r="Z22" s="2">
        <f t="shared" si="3"/>
        <v>31.033587064730131</v>
      </c>
      <c r="AA22" s="3">
        <f t="shared" si="4"/>
        <v>35.893619732398562</v>
      </c>
      <c r="AB22" s="2">
        <f t="shared" si="5"/>
        <v>36.342812592873045</v>
      </c>
      <c r="AC22" s="2">
        <f t="shared" si="6"/>
        <v>36.602414449750654</v>
      </c>
      <c r="AD22" s="2">
        <f t="shared" si="7"/>
        <v>-0.56305219074602519</v>
      </c>
      <c r="AE22" s="2">
        <f t="shared" si="8"/>
        <v>-1.7613070465050464</v>
      </c>
    </row>
    <row r="23" spans="2:31" x14ac:dyDescent="0.2">
      <c r="B23" s="1">
        <f>[7]FormattedData!A40</f>
        <v>206</v>
      </c>
      <c r="C23" s="1" t="str">
        <f>VLOOKUP($B23,[7]TrtCodes!$B$11:I83,2)</f>
        <v>NSL</v>
      </c>
      <c r="D23" s="1">
        <f>VLOOKUP($B23,[7]TrtCodes!$B$11:J83,3)</f>
        <v>8</v>
      </c>
      <c r="E23" s="1">
        <f>VLOOKUP($B23,[7]TrtCodes!$B$11:K83,4)</f>
        <v>2</v>
      </c>
      <c r="F23" s="1">
        <f>VLOOKUP($B23,[7]TrtCodes!$B$11:L83,5)</f>
        <v>1</v>
      </c>
      <c r="G23" s="1">
        <f>VLOOKUP($B23,[7]TrtCodes!$B$11:M83,6)</f>
        <v>1</v>
      </c>
      <c r="H23" s="1">
        <f>VLOOKUP($B23,[7]TrtCodes!$B$11:N83,7)</f>
        <v>2</v>
      </c>
      <c r="I23" s="1">
        <f>[7]FormattedData!B40</f>
        <v>1</v>
      </c>
      <c r="J23" s="4">
        <f>[7]FormattedData!C40</f>
        <v>13.069000000000001</v>
      </c>
      <c r="K23" s="6">
        <f>$J$3+[7]FormattedData!D40*$J$4+$M$4*$J$5+[7]FormattedData!D40^2*$J$6+$M$5*$J$7</f>
        <v>55.738231299391856</v>
      </c>
      <c r="L23" s="6">
        <f>$J$3+[7]FormattedData!E40*$J$4+$M$4*$J$5+[7]FormattedData!E40^2*$J$6+$M$5*$J$7</f>
        <v>42.828397422414874</v>
      </c>
      <c r="M23" s="6">
        <f>$J$3+[7]FormattedData!F40*$J$4+$M$4*$J$5+[7]FormattedData!F40^2*$J$6+$M$5*$J$7</f>
        <v>52.638676295103927</v>
      </c>
      <c r="N23" s="6">
        <f>$J$3+[7]FormattedData!G40*$J$4+$M$4*$J$5+[7]FormattedData!G40^2*$J$6+$M$5*$J$7</f>
        <v>39.320532865005376</v>
      </c>
      <c r="O23" s="6">
        <f>$J$3+[7]FormattedData!H40*$J$4+$M$4*$J$5+[7]FormattedData!H40^2*$J$6+$M$5*$J$7</f>
        <v>53.850568151612855</v>
      </c>
      <c r="P23" s="6">
        <f>$J$3+[7]FormattedData!I40*$J$4+$M$4*$J$5+[7]FormattedData!I40^2*$J$6+$M$5*$J$7</f>
        <v>35.087546236644563</v>
      </c>
      <c r="Q23" s="6">
        <f>$J$3+[7]FormattedData!J40*$J$4+$M$4*$J$5+[7]FormattedData!J40^2*$J$6+$M$5*$J$7</f>
        <v>51.767967030188672</v>
      </c>
      <c r="R23" s="6">
        <f>$J$3+[7]FormattedData!K40*$J$4+$M$4*$J$5+[7]FormattedData!K40^2*$J$6+$M$5*$J$7</f>
        <v>37.261766675681116</v>
      </c>
      <c r="S23" s="6">
        <f>$J$3+[7]FormattedData!L40*$J$4+$M$4*$J$5+[7]FormattedData!L40^2*$J$6+$M$5*$J$7</f>
        <v>51.33102732755863</v>
      </c>
      <c r="T23" s="6">
        <f>$J$3+[7]FormattedData!M40*$J$4+$M$4*$J$5+[7]FormattedData!M40^2*$J$6+$M$5*$J$7</f>
        <v>34.992507690753023</v>
      </c>
      <c r="U23" s="6">
        <f>$J$3+[7]FormattedData!N40*$J$4+$M$4*$J$5+[7]FormattedData!N40^2*$J$6+$M$5*$J$7</f>
        <v>53.245657802537707</v>
      </c>
      <c r="V23" s="6">
        <f>$J$3+[7]FormattedData!O40*$J$4+$M$4*$J$5+[7]FormattedData!O40^2*$J$6+$M$5*$J$7</f>
        <v>50.013867938978827</v>
      </c>
      <c r="W23" s="5">
        <f t="shared" si="0"/>
        <v>46.50639556132262</v>
      </c>
      <c r="X23" s="4">
        <f t="shared" si="1"/>
        <v>2.3012462749880749</v>
      </c>
      <c r="Y23" s="3">
        <f t="shared" si="2"/>
        <v>34.992507690753023</v>
      </c>
      <c r="Z23" s="2">
        <f t="shared" si="3"/>
        <v>38.805841317674307</v>
      </c>
      <c r="AA23" s="3">
        <f t="shared" si="4"/>
        <v>50.672447633268732</v>
      </c>
      <c r="AB23" s="2">
        <f t="shared" si="5"/>
        <v>52.79042167196237</v>
      </c>
      <c r="AC23" s="2">
        <f t="shared" si="6"/>
        <v>55.738231299391856</v>
      </c>
      <c r="AD23" s="2">
        <f t="shared" si="7"/>
        <v>-0.47492634884965612</v>
      </c>
      <c r="AE23" s="2">
        <f t="shared" si="8"/>
        <v>-1.6984903400217286</v>
      </c>
    </row>
    <row r="24" spans="2:31" x14ac:dyDescent="0.2">
      <c r="B24" s="1">
        <f>[7]FormattedData!A42</f>
        <v>207</v>
      </c>
      <c r="C24" s="1" t="str">
        <f>VLOOKUP($B24,[7]TrtCodes!$B$11:I85,2)</f>
        <v>FTL</v>
      </c>
      <c r="D24" s="1">
        <f>VLOOKUP($B24,[7]TrtCodes!$B$11:J85,3)</f>
        <v>4</v>
      </c>
      <c r="E24" s="1">
        <f>VLOOKUP($B24,[7]TrtCodes!$B$11:K85,4)</f>
        <v>1</v>
      </c>
      <c r="F24" s="1">
        <f>VLOOKUP($B24,[7]TrtCodes!$B$11:L85,5)</f>
        <v>2</v>
      </c>
      <c r="G24" s="1">
        <f>VLOOKUP($B24,[7]TrtCodes!$B$11:M85,6)</f>
        <v>1</v>
      </c>
      <c r="H24" s="1">
        <f>VLOOKUP($B24,[7]TrtCodes!$B$11:N85,7)</f>
        <v>2</v>
      </c>
      <c r="I24" s="1">
        <f>[7]FormattedData!B42</f>
        <v>1</v>
      </c>
      <c r="J24" s="4">
        <f>[7]FormattedData!C42</f>
        <v>13.085000000000001</v>
      </c>
      <c r="K24" s="6">
        <f>$J$3+[7]FormattedData!D42*$J$4+$M$4*$J$5+[7]FormattedData!D42^2*$J$6+$M$5*$J$7</f>
        <v>32.698902027976594</v>
      </c>
      <c r="L24" s="6">
        <f>$J$3+[7]FormattedData!E42*$J$4+$M$4*$J$5+[7]FormattedData!E42^2*$J$6+$M$5*$J$7</f>
        <v>34.611930821807526</v>
      </c>
      <c r="M24" s="6">
        <f>$J$3+[7]FormattedData!F42*$J$4+$M$4*$J$5+[7]FormattedData!F42^2*$J$6+$M$5*$J$7</f>
        <v>33.274585944718986</v>
      </c>
      <c r="N24" s="6">
        <f>$J$3+[7]FormattedData!G42*$J$4+$M$4*$J$5+[7]FormattedData!G42^2*$J$6+$M$5*$J$7</f>
        <v>28.919865927116494</v>
      </c>
      <c r="O24" s="6">
        <f>$J$3+[7]FormattedData!H42*$J$4+$M$4*$J$5+[7]FormattedData!H42^2*$J$6+$M$5*$J$7</f>
        <v>36.413647682643429</v>
      </c>
      <c r="P24" s="6">
        <f>$J$3+[7]FormattedData!I42*$J$4+$M$4*$J$5+[7]FormattedData!I42^2*$J$6+$M$5*$J$7</f>
        <v>28.822122194797355</v>
      </c>
      <c r="Q24" s="6">
        <f>$J$3+[7]FormattedData!J42*$J$4+$M$4*$J$5+[7]FormattedData!J42^2*$J$6+$M$5*$J$7</f>
        <v>36.602414449750654</v>
      </c>
      <c r="R24" s="6">
        <f>$J$3+[7]FormattedData!K42*$J$4+$M$4*$J$5+[7]FormattedData!K42^2*$J$6+$M$5*$J$7</f>
        <v>28.136732549501314</v>
      </c>
      <c r="S24" s="6">
        <f>$J$3+[7]FormattedData!L42*$J$4+$M$4*$J$5+[7]FormattedData!L42^2*$J$6+$M$5*$J$7</f>
        <v>35.751632538823316</v>
      </c>
      <c r="T24" s="6">
        <f>$J$3+[7]FormattedData!M42*$J$4+$M$4*$J$5+[7]FormattedData!M42^2*$J$6+$M$5*$J$7</f>
        <v>28.43072458014149</v>
      </c>
      <c r="U24" s="6">
        <f>$J$3+[7]FormattedData!N42*$J$4+$M$4*$J$5+[7]FormattedData!N42^2*$J$6+$M$5*$J$7</f>
        <v>35.940991065461574</v>
      </c>
      <c r="V24" s="6">
        <f>$J$3+[7]FormattedData!O42*$J$4+$M$4*$J$5+[7]FormattedData!O42^2*$J$6+$M$5*$J$7</f>
        <v>28.136732549501314</v>
      </c>
      <c r="W24" s="5">
        <f t="shared" si="0"/>
        <v>32.311690194353339</v>
      </c>
      <c r="X24" s="4">
        <f t="shared" si="1"/>
        <v>1.0306426343545707</v>
      </c>
      <c r="Y24" s="3">
        <f t="shared" si="2"/>
        <v>28.136732549501314</v>
      </c>
      <c r="Z24" s="2">
        <f t="shared" si="3"/>
        <v>28.724272791133387</v>
      </c>
      <c r="AA24" s="3">
        <f t="shared" si="4"/>
        <v>32.98674398634779</v>
      </c>
      <c r="AB24" s="2">
        <f t="shared" si="5"/>
        <v>35.798972170482884</v>
      </c>
      <c r="AC24" s="2">
        <f t="shared" si="6"/>
        <v>36.602414449750654</v>
      </c>
      <c r="AD24" s="2">
        <f t="shared" si="7"/>
        <v>-8.5972874309129921E-2</v>
      </c>
      <c r="AE24" s="2">
        <f t="shared" si="8"/>
        <v>-2.016500362593975</v>
      </c>
    </row>
    <row r="25" spans="2:31" x14ac:dyDescent="0.2">
      <c r="B25" s="1">
        <f>[7]FormattedData!A44</f>
        <v>208</v>
      </c>
      <c r="C25" s="1" t="str">
        <f>VLOOKUP($B25,[7]TrtCodes!$B$11:I87,2)</f>
        <v>FSL</v>
      </c>
      <c r="D25" s="1">
        <f>VLOOKUP($B25,[7]TrtCodes!$B$11:J87,3)</f>
        <v>2</v>
      </c>
      <c r="E25" s="1">
        <f>VLOOKUP($B25,[7]TrtCodes!$B$11:K87,4)</f>
        <v>1</v>
      </c>
      <c r="F25" s="1">
        <f>VLOOKUP($B25,[7]TrtCodes!$B$11:L87,5)</f>
        <v>1</v>
      </c>
      <c r="G25" s="1">
        <f>VLOOKUP($B25,[7]TrtCodes!$B$11:M87,6)</f>
        <v>1</v>
      </c>
      <c r="H25" s="1">
        <f>VLOOKUP($B25,[7]TrtCodes!$B$11:N87,7)</f>
        <v>2</v>
      </c>
      <c r="I25" s="1">
        <f>[7]FormattedData!B44</f>
        <v>1</v>
      </c>
      <c r="J25" s="4">
        <f>[7]FormattedData!C44</f>
        <v>13.1</v>
      </c>
      <c r="K25" s="6">
        <f>$J$3+[7]FormattedData!D44*$J$4+$M$4*$J$5+[7]FormattedData!D44^2*$J$6+$M$5*$J$7</f>
        <v>33.848748194095855</v>
      </c>
      <c r="L25" s="6">
        <f>$J$3+[7]FormattedData!E44*$J$4+$M$4*$J$5+[7]FormattedData!E44^2*$J$6+$M$5*$J$7</f>
        <v>33.178744296606745</v>
      </c>
      <c r="M25" s="6">
        <f>$J$3+[7]FormattedData!F44*$J$4+$M$4*$J$5+[7]FormattedData!F44^2*$J$6+$M$5*$J$7</f>
        <v>35.467277734831434</v>
      </c>
      <c r="N25" s="6">
        <f>$J$3+[7]FormattedData!G44*$J$4+$M$4*$J$5+[7]FormattedData!G44^2*$J$6+$M$5*$J$7</f>
        <v>28.919865927116494</v>
      </c>
      <c r="O25" s="6">
        <f>$J$3+[7]FormattedData!H44*$J$4+$M$4*$J$5+[7]FormattedData!H44^2*$J$6+$M$5*$J$7</f>
        <v>36.413647682643429</v>
      </c>
      <c r="P25" s="6">
        <f>$J$3+[7]FormattedData!I44*$J$4+$M$4*$J$5+[7]FormattedData!I44^2*$J$6+$M$5*$J$7</f>
        <v>29.310418171013733</v>
      </c>
      <c r="Q25" s="6">
        <f>$J$3+[7]FormattedData!J44*$J$4+$M$4*$J$5+[7]FormattedData!J44^2*$J$6+$M$5*$J$7</f>
        <v>35.8463329364114</v>
      </c>
      <c r="R25" s="6">
        <f>$J$3+[7]FormattedData!K44*$J$4+$M$4*$J$5+[7]FormattedData!K44^2*$J$6+$M$5*$J$7</f>
        <v>28.822122194797355</v>
      </c>
      <c r="S25" s="6">
        <f>$J$3+[7]FormattedData!L44*$J$4+$M$4*$J$5+[7]FormattedData!L44^2*$J$6+$M$5*$J$7</f>
        <v>35.751632538823316</v>
      </c>
      <c r="T25" s="6">
        <f>$J$3+[7]FormattedData!M44*$J$4+$M$4*$J$5+[7]FormattedData!M44^2*$J$6+$M$5*$J$7</f>
        <v>29.310418171013733</v>
      </c>
      <c r="U25" s="6">
        <f>$J$3+[7]FormattedData!N44*$J$4+$M$4*$J$5+[7]FormattedData!N44^2*$J$6+$M$5*$J$7</f>
        <v>35.372408263091614</v>
      </c>
      <c r="V25" s="6">
        <f>$J$3+[7]FormattedData!O44*$J$4+$M$4*$J$5+[7]FormattedData!O44^2*$J$6+$M$5*$J$7</f>
        <v>32.314267379389719</v>
      </c>
      <c r="W25" s="5">
        <f t="shared" si="0"/>
        <v>32.879656957486233</v>
      </c>
      <c r="X25" s="4">
        <f t="shared" si="1"/>
        <v>0.87654111784846001</v>
      </c>
      <c r="Y25" s="3">
        <f t="shared" si="2"/>
        <v>28.822122194797355</v>
      </c>
      <c r="Z25" s="2">
        <f t="shared" si="3"/>
        <v>29.310418171013733</v>
      </c>
      <c r="AA25" s="3">
        <f t="shared" si="4"/>
        <v>33.5137462453513</v>
      </c>
      <c r="AB25" s="2">
        <f t="shared" si="5"/>
        <v>35.538366435829403</v>
      </c>
      <c r="AC25" s="2">
        <f t="shared" si="6"/>
        <v>36.413647682643429</v>
      </c>
      <c r="AD25" s="2">
        <f t="shared" si="7"/>
        <v>-0.35976218267546428</v>
      </c>
      <c r="AE25" s="2">
        <f t="shared" si="8"/>
        <v>-1.7580981440216834</v>
      </c>
    </row>
    <row r="26" spans="2:31" x14ac:dyDescent="0.2">
      <c r="B26" s="1">
        <f>[7]FormattedData!A62</f>
        <v>301</v>
      </c>
      <c r="C26" s="1" t="str">
        <f>VLOOKUP($B26,[7]TrtCodes!$B$11:I105,2)</f>
        <v>NTL</v>
      </c>
      <c r="D26" s="1">
        <f>VLOOKUP($B26,[7]TrtCodes!$B$11:J105,3)</f>
        <v>10</v>
      </c>
      <c r="E26" s="1">
        <f>VLOOKUP($B26,[7]TrtCodes!$B$11:K105,4)</f>
        <v>2</v>
      </c>
      <c r="F26" s="1">
        <f>VLOOKUP($B26,[7]TrtCodes!$B$11:L105,5)</f>
        <v>2</v>
      </c>
      <c r="G26" s="1">
        <f>VLOOKUP($B26,[7]TrtCodes!$B$11:M105,6)</f>
        <v>1</v>
      </c>
      <c r="H26" s="1">
        <f>VLOOKUP($B26,[7]TrtCodes!$B$11:N105,7)</f>
        <v>3</v>
      </c>
      <c r="I26" s="1">
        <f>[7]FormattedData!B62</f>
        <v>1</v>
      </c>
      <c r="J26" s="4">
        <f>[7]FormattedData!C62</f>
        <v>13.209</v>
      </c>
      <c r="K26" s="6">
        <f>$J$3+[7]FormattedData!D62*$J$4+$M$4*$J$5+[7]FormattedData!D62^2*$J$6+$M$5*$J$7</f>
        <v>45.283736860644936</v>
      </c>
      <c r="L26" s="6">
        <f>$J$3+[7]FormattedData!E62*$J$4+$M$4*$J$5+[7]FormattedData!E62^2*$J$6+$M$5*$J$7</f>
        <v>45.644870202142108</v>
      </c>
      <c r="M26" s="6">
        <f>$J$3+[7]FormattedData!F62*$J$4+$M$4*$J$5+[7]FormattedData!F62^2*$J$6+$M$5*$J$7</f>
        <v>51.243512581418827</v>
      </c>
      <c r="N26" s="6">
        <f>$J$3+[7]FormattedData!G62*$J$4+$M$4*$J$5+[7]FormattedData!G62^2*$J$6+$M$5*$J$7</f>
        <v>43.741375225261265</v>
      </c>
      <c r="O26" s="6">
        <f>$J$3+[7]FormattedData!H62*$J$4+$M$4*$J$5+[7]FormattedData!H62^2*$J$6+$M$5*$J$7</f>
        <v>47.440392460524471</v>
      </c>
      <c r="P26" s="6">
        <f>$J$3+[7]FormattedData!I62*$J$4+$M$4*$J$5+[7]FormattedData!I62^2*$J$6+$M$5*$J$7</f>
        <v>38.387266163952035</v>
      </c>
      <c r="Q26" s="6">
        <f>$J$3+[7]FormattedData!J62*$J$4+$M$4*$J$5+[7]FormattedData!J62^2*$J$6+$M$5*$J$7</f>
        <v>51.680663626738536</v>
      </c>
      <c r="R26" s="6">
        <f>$J$3+[7]FormattedData!K62*$J$4+$M$4*$J$5+[7]FormattedData!K62^2*$J$6+$M$5*$J$7</f>
        <v>34.516680933226333</v>
      </c>
      <c r="S26" s="6">
        <f>$J$3+[7]FormattedData!L62*$J$4+$M$4*$J$5+[7]FormattedData!L62^2*$J$6+$M$5*$J$7</f>
        <v>48.77593866310432</v>
      </c>
      <c r="T26" s="6">
        <f>$J$3+[7]FormattedData!M62*$J$4+$M$4*$J$5+[7]FormattedData!M62^2*$J$6+$M$5*$J$7</f>
        <v>33.466142435329658</v>
      </c>
      <c r="U26" s="6">
        <f>$J$3+[7]FormattedData!N62*$J$4+$M$4*$J$5+[7]FormattedData!N62^2*$J$6+$M$5*$J$7</f>
        <v>52.985776482007964</v>
      </c>
      <c r="V26" s="6">
        <f>$J$3+[7]FormattedData!O62*$J$4+$M$4*$J$5+[7]FormattedData!O62^2*$J$6+$M$5*$J$7</f>
        <v>34.230677656255139</v>
      </c>
      <c r="W26" s="5">
        <f t="shared" si="0"/>
        <v>43.949752774217131</v>
      </c>
      <c r="X26" s="4">
        <f t="shared" si="1"/>
        <v>2.0580206017046065</v>
      </c>
      <c r="Y26" s="3">
        <f t="shared" si="2"/>
        <v>33.466142435329658</v>
      </c>
      <c r="Z26" s="2">
        <f t="shared" si="3"/>
        <v>37.419619856270607</v>
      </c>
      <c r="AA26" s="3">
        <f t="shared" si="4"/>
        <v>45.464303531393526</v>
      </c>
      <c r="AB26" s="2">
        <f t="shared" si="5"/>
        <v>49.392832142682948</v>
      </c>
      <c r="AC26" s="2">
        <f t="shared" si="6"/>
        <v>52.985776482007964</v>
      </c>
      <c r="AD26" s="2">
        <f t="shared" si="7"/>
        <v>-0.40094422284243053</v>
      </c>
      <c r="AE26" s="2">
        <f t="shared" si="8"/>
        <v>-1.3707716734238788</v>
      </c>
    </row>
    <row r="27" spans="2:31" x14ac:dyDescent="0.2">
      <c r="B27" s="1">
        <f>[7]FormattedData!A64</f>
        <v>302</v>
      </c>
      <c r="C27" s="1" t="str">
        <f>VLOOKUP($B27,[7]TrtCodes!$B$11:I107,2)</f>
        <v>FTL</v>
      </c>
      <c r="D27" s="1">
        <f>VLOOKUP($B27,[7]TrtCodes!$B$11:J107,3)</f>
        <v>4</v>
      </c>
      <c r="E27" s="1">
        <f>VLOOKUP($B27,[7]TrtCodes!$B$11:K107,4)</f>
        <v>1</v>
      </c>
      <c r="F27" s="1">
        <f>VLOOKUP($B27,[7]TrtCodes!$B$11:L107,5)</f>
        <v>2</v>
      </c>
      <c r="G27" s="1">
        <f>VLOOKUP($B27,[7]TrtCodes!$B$11:M107,6)</f>
        <v>1</v>
      </c>
      <c r="H27" s="1">
        <f>VLOOKUP($B27,[7]TrtCodes!$B$11:N107,7)</f>
        <v>3</v>
      </c>
      <c r="I27" s="1">
        <f>[7]FormattedData!B64</f>
        <v>1</v>
      </c>
      <c r="J27" s="4">
        <f>[7]FormattedData!C64</f>
        <v>13.223000000000001</v>
      </c>
      <c r="K27" s="6">
        <f>$J$3+[7]FormattedData!D64*$J$4+$M$4*$J$5+[7]FormattedData!D64^2*$J$6+$M$5*$J$7</f>
        <v>34.421388776107193</v>
      </c>
      <c r="L27" s="6">
        <f>$J$3+[7]FormattedData!E64*$J$4+$M$4*$J$5+[7]FormattedData!E64^2*$J$6+$M$5*$J$7</f>
        <v>31.639529405652318</v>
      </c>
      <c r="M27" s="6">
        <f>$J$3+[7]FormattedData!F64*$J$4+$M$4*$J$5+[7]FormattedData!F64^2*$J$6+$M$5*$J$7</f>
        <v>35.940991065461574</v>
      </c>
      <c r="N27" s="6">
        <f>$J$3+[7]FormattedData!G64*$J$4+$M$4*$J$5+[7]FormattedData!G64^2*$J$6+$M$5*$J$7</f>
        <v>29.407950560643219</v>
      </c>
      <c r="O27" s="6">
        <f>$J$3+[7]FormattedData!H64*$J$4+$M$4*$J$5+[7]FormattedData!H64^2*$J$6+$M$5*$J$7</f>
        <v>36.979440761509935</v>
      </c>
      <c r="P27" s="6">
        <f>$J$3+[7]FormattedData!I64*$J$4+$M$4*$J$5+[7]FormattedData!I64^2*$J$6+$M$5*$J$7</f>
        <v>29.115226586140977</v>
      </c>
      <c r="Q27" s="6">
        <f>$J$3+[7]FormattedData!J64*$J$4+$M$4*$J$5+[7]FormattedData!J64^2*$J$6+$M$5*$J$7</f>
        <v>37.261766675681116</v>
      </c>
      <c r="R27" s="6">
        <f>$J$3+[7]FormattedData!K64*$J$4+$M$4*$J$5+[7]FormattedData!K64^2*$J$6+$M$5*$J$7</f>
        <v>28.724336193940285</v>
      </c>
      <c r="S27" s="6">
        <f>$J$3+[7]FormattedData!L64*$J$4+$M$4*$J$5+[7]FormattedData!L64^2*$J$6+$M$5*$J$7</f>
        <v>36.413647682643429</v>
      </c>
      <c r="T27" s="6">
        <f>$J$3+[7]FormattedData!M64*$J$4+$M$4*$J$5+[7]FormattedData!M64^2*$J$6+$M$5*$J$7</f>
        <v>28.332769505132696</v>
      </c>
      <c r="U27" s="6">
        <f>$J$3+[7]FormattedData!N64*$J$4+$M$4*$J$5+[7]FormattedData!N64^2*$J$6+$M$5*$J$7</f>
        <v>36.508052200466011</v>
      </c>
      <c r="V27" s="6">
        <f>$J$3+[7]FormattedData!O64*$J$4+$M$4*$J$5+[7]FormattedData!O64^2*$J$6+$M$5*$J$7</f>
        <v>29.992257259123555</v>
      </c>
      <c r="W27" s="5">
        <f t="shared" si="0"/>
        <v>32.894779722708527</v>
      </c>
      <c r="X27" s="4">
        <f t="shared" si="1"/>
        <v>1.0569071706517261</v>
      </c>
      <c r="Y27" s="3">
        <f t="shared" si="2"/>
        <v>28.332769505132696</v>
      </c>
      <c r="Z27" s="2">
        <f t="shared" si="3"/>
        <v>29.334769567017659</v>
      </c>
      <c r="AA27" s="3">
        <f t="shared" si="4"/>
        <v>33.030459090879759</v>
      </c>
      <c r="AB27" s="2">
        <f t="shared" si="5"/>
        <v>36.437248812099071</v>
      </c>
      <c r="AC27" s="2">
        <f t="shared" si="6"/>
        <v>37.261766675681116</v>
      </c>
      <c r="AD27" s="2">
        <f t="shared" si="7"/>
        <v>-3.6212625916021354E-2</v>
      </c>
      <c r="AE27" s="2">
        <f t="shared" si="8"/>
        <v>-2.0879317942024436</v>
      </c>
    </row>
    <row r="28" spans="2:31" x14ac:dyDescent="0.2">
      <c r="B28" s="1">
        <f>[7]FormattedData!A66</f>
        <v>303</v>
      </c>
      <c r="C28" s="1" t="str">
        <f>VLOOKUP($B28,[7]TrtCodes!$B$11:I109,2)</f>
        <v>NSL</v>
      </c>
      <c r="D28" s="1">
        <f>VLOOKUP($B28,[7]TrtCodes!$B$11:J109,3)</f>
        <v>8</v>
      </c>
      <c r="E28" s="1">
        <f>VLOOKUP($B28,[7]TrtCodes!$B$11:K109,4)</f>
        <v>2</v>
      </c>
      <c r="F28" s="1">
        <f>VLOOKUP($B28,[7]TrtCodes!$B$11:L109,5)</f>
        <v>1</v>
      </c>
      <c r="G28" s="1">
        <f>VLOOKUP($B28,[7]TrtCodes!$B$11:M109,6)</f>
        <v>1</v>
      </c>
      <c r="H28" s="1">
        <f>VLOOKUP($B28,[7]TrtCodes!$B$11:N109,7)</f>
        <v>3</v>
      </c>
      <c r="I28" s="1">
        <f>[7]FormattedData!B66</f>
        <v>1</v>
      </c>
      <c r="J28" s="4">
        <f>[7]FormattedData!C66</f>
        <v>13.238</v>
      </c>
      <c r="K28" s="6">
        <f>$J$3+[7]FormattedData!D66*$J$4+$M$4*$J$5+[7]FormattedData!D66^2*$J$6+$M$5*$J$7</f>
        <v>42.094971845406718</v>
      </c>
      <c r="L28" s="6">
        <f>$J$3+[7]FormattedData!E66*$J$4+$M$4*$J$5+[7]FormattedData!E66^2*$J$6+$M$5*$J$7</f>
        <v>41.082094614806692</v>
      </c>
      <c r="M28" s="6">
        <f>$J$3+[7]FormattedData!F66*$J$4+$M$4*$J$5+[7]FormattedData!F66^2*$J$6+$M$5*$J$7</f>
        <v>50.805304822650854</v>
      </c>
      <c r="N28" s="6">
        <f>$J$3+[7]FormattedData!G66*$J$4+$M$4*$J$5+[7]FormattedData!G66^2*$J$6+$M$5*$J$7</f>
        <v>35.656889872697285</v>
      </c>
      <c r="O28" s="6">
        <f>$J$3+[7]FormattedData!H66*$J$4+$M$4*$J$5+[7]FormattedData!H66^2*$J$6+$M$5*$J$7</f>
        <v>53.072445857389134</v>
      </c>
      <c r="P28" s="6">
        <f>$J$3+[7]FormattedData!I66*$J$4+$M$4*$J$5+[7]FormattedData!I66^2*$J$6+$M$5*$J$7</f>
        <v>33.944293962442565</v>
      </c>
      <c r="Q28" s="6">
        <f>$J$3+[7]FormattedData!J66*$J$4+$M$4*$J$5+[7]FormattedData!J66^2*$J$6+$M$5*$J$7</f>
        <v>52.551795577033097</v>
      </c>
      <c r="R28" s="6">
        <f>$J$3+[7]FormattedData!K66*$J$4+$M$4*$J$5+[7]FormattedData!K66^2*$J$6+$M$5*$J$7</f>
        <v>35.940991065461574</v>
      </c>
      <c r="S28" s="6">
        <f>$J$3+[7]FormattedData!L66*$J$4+$M$4*$J$5+[7]FormattedData!L66^2*$J$6+$M$5*$J$7</f>
        <v>52.464872590424328</v>
      </c>
      <c r="T28" s="6">
        <f>$J$3+[7]FormattedData!M66*$J$4+$M$4*$J$5+[7]FormattedData!M66^2*$J$6+$M$5*$J$7</f>
        <v>34.802303793356145</v>
      </c>
      <c r="U28" s="6">
        <f>$J$3+[7]FormattedData!N66*$J$4+$M$4*$J$5+[7]FormattedData!N66^2*$J$6+$M$5*$J$7</f>
        <v>52.899064838088847</v>
      </c>
      <c r="V28" s="6">
        <f>$J$3+[7]FormattedData!O66*$J$4+$M$4*$J$5+[7]FormattedData!O66^2*$J$6+$M$5*$J$7</f>
        <v>35.751632538823316</v>
      </c>
      <c r="W28" s="5">
        <f t="shared" si="0"/>
        <v>43.42222178154838</v>
      </c>
      <c r="X28" s="4">
        <f t="shared" si="1"/>
        <v>2.3821383425972784</v>
      </c>
      <c r="Y28" s="3">
        <f t="shared" si="2"/>
        <v>33.944293962442565</v>
      </c>
      <c r="Z28" s="2">
        <f t="shared" si="3"/>
        <v>35.72794687229181</v>
      </c>
      <c r="AA28" s="3">
        <f t="shared" si="4"/>
        <v>41.588533230106705</v>
      </c>
      <c r="AB28" s="2">
        <f t="shared" si="5"/>
        <v>52.486603337076517</v>
      </c>
      <c r="AC28" s="2">
        <f t="shared" si="6"/>
        <v>53.072445857389134</v>
      </c>
      <c r="AD28" s="2">
        <f t="shared" si="7"/>
        <v>0.15672569332391939</v>
      </c>
      <c r="AE28" s="2">
        <f t="shared" si="8"/>
        <v>-2.0896060673192505</v>
      </c>
    </row>
    <row r="29" spans="2:31" x14ac:dyDescent="0.2">
      <c r="B29" s="1">
        <f>[7]FormattedData!A68</f>
        <v>304</v>
      </c>
      <c r="C29" s="1" t="str">
        <f>VLOOKUP($B29,[7]TrtCodes!$B$11:I111,2)</f>
        <v>FSL</v>
      </c>
      <c r="D29" s="1">
        <f>VLOOKUP($B29,[7]TrtCodes!$B$11:J111,3)</f>
        <v>2</v>
      </c>
      <c r="E29" s="1">
        <f>VLOOKUP($B29,[7]TrtCodes!$B$11:K111,4)</f>
        <v>1</v>
      </c>
      <c r="F29" s="1">
        <f>VLOOKUP($B29,[7]TrtCodes!$B$11:L111,5)</f>
        <v>1</v>
      </c>
      <c r="G29" s="1">
        <f>VLOOKUP($B29,[7]TrtCodes!$B$11:M111,6)</f>
        <v>1</v>
      </c>
      <c r="H29" s="1">
        <f>VLOOKUP($B29,[7]TrtCodes!$B$11:N111,7)</f>
        <v>3</v>
      </c>
      <c r="I29" s="1">
        <f>[7]FormattedData!B68</f>
        <v>1</v>
      </c>
      <c r="J29" s="4">
        <f>[7]FormattedData!C68</f>
        <v>13.253</v>
      </c>
      <c r="K29" s="6">
        <f>$J$3+[7]FormattedData!D68*$J$4+$M$4*$J$5+[7]FormattedData!D68^2*$J$6+$M$5*$J$7</f>
        <v>32.602806768636768</v>
      </c>
      <c r="L29" s="6">
        <f>$J$3+[7]FormattedData!E68*$J$4+$M$4*$J$5+[7]FormattedData!E68^2*$J$6+$M$5*$J$7</f>
        <v>33.848748194095855</v>
      </c>
      <c r="M29" s="6">
        <f>$J$3+[7]FormattedData!F68*$J$4+$M$4*$J$5+[7]FormattedData!F68^2*$J$6+$M$5*$J$7</f>
        <v>33.657529851788617</v>
      </c>
      <c r="N29" s="6">
        <f>$J$3+[7]FormattedData!G68*$J$4+$M$4*$J$5+[7]FormattedData!G68^2*$J$6+$M$5*$J$7</f>
        <v>31.349721960267328</v>
      </c>
      <c r="O29" s="6">
        <f>$J$3+[7]FormattedData!H68*$J$4+$M$4*$J$5+[7]FormattedData!H68^2*$J$6+$M$5*$J$7</f>
        <v>34.897426876323543</v>
      </c>
      <c r="P29" s="6">
        <f>$J$3+[7]FormattedData!I68*$J$4+$M$4*$J$5+[7]FormattedData!I68^2*$J$6+$M$5*$J$7</f>
        <v>30.768965818973204</v>
      </c>
      <c r="Q29" s="6">
        <f>$J$3+[7]FormattedData!J68*$J$4+$M$4*$J$5+[7]FormattedData!J68^2*$J$6+$M$5*$J$7</f>
        <v>36.413647682643429</v>
      </c>
      <c r="R29" s="6">
        <f>$J$3+[7]FormattedData!K68*$J$4+$M$4*$J$5+[7]FormattedData!K68^2*$J$6+$M$5*$J$7</f>
        <v>29.310418171013733</v>
      </c>
      <c r="S29" s="6">
        <f>$J$3+[7]FormattedData!L68*$J$4+$M$4*$J$5+[7]FormattedData!L68^2*$J$6+$M$5*$J$7</f>
        <v>35.940991065461574</v>
      </c>
      <c r="T29" s="6">
        <f>$J$3+[7]FormattedData!M68*$J$4+$M$4*$J$5+[7]FormattedData!M68^2*$J$6+$M$5*$J$7</f>
        <v>28.626507924545283</v>
      </c>
      <c r="U29" s="6">
        <f>$J$3+[7]FormattedData!N68*$J$4+$M$4*$J$5+[7]FormattedData!N68^2*$J$6+$M$5*$J$7</f>
        <v>36.791012142706158</v>
      </c>
      <c r="V29" s="6">
        <f>$J$3+[7]FormattedData!O68*$J$4+$M$4*$J$5+[7]FormattedData!O68^2*$J$6+$M$5*$J$7</f>
        <v>31.736047350371457</v>
      </c>
      <c r="W29" s="5">
        <f t="shared" si="0"/>
        <v>32.995318650568912</v>
      </c>
      <c r="X29" s="4">
        <f t="shared" si="1"/>
        <v>0.78635905171274423</v>
      </c>
      <c r="Y29" s="3">
        <f t="shared" si="2"/>
        <v>28.626507924545283</v>
      </c>
      <c r="Z29" s="2">
        <f t="shared" si="3"/>
        <v>31.204532924943798</v>
      </c>
      <c r="AA29" s="3">
        <f t="shared" si="4"/>
        <v>33.130168310212696</v>
      </c>
      <c r="AB29" s="2">
        <f t="shared" si="5"/>
        <v>35.158317923608053</v>
      </c>
      <c r="AC29" s="2">
        <f t="shared" si="6"/>
        <v>36.791012142706158</v>
      </c>
      <c r="AD29" s="2">
        <f t="shared" si="7"/>
        <v>-0.12406384568496273</v>
      </c>
      <c r="AE29" s="2">
        <f t="shared" si="8"/>
        <v>-1.124796876899091</v>
      </c>
    </row>
    <row r="30" spans="2:31" x14ac:dyDescent="0.2">
      <c r="B30" s="1">
        <f>[7]FormattedData!A70</f>
        <v>305</v>
      </c>
      <c r="C30" s="1" t="str">
        <f>VLOOKUP($B30,[7]TrtCodes!$B$11:I113,2)</f>
        <v>NDH</v>
      </c>
      <c r="D30" s="1">
        <f>VLOOKUP($B30,[7]TrtCodes!$B$11:J113,3)</f>
        <v>11</v>
      </c>
      <c r="E30" s="1">
        <f>VLOOKUP($B30,[7]TrtCodes!$B$11:K113,4)</f>
        <v>2</v>
      </c>
      <c r="F30" s="1">
        <f>VLOOKUP($B30,[7]TrtCodes!$B$11:L113,5)</f>
        <v>3</v>
      </c>
      <c r="G30" s="1">
        <f>VLOOKUP($B30,[7]TrtCodes!$B$11:M113,6)</f>
        <v>2</v>
      </c>
      <c r="H30" s="1">
        <f>VLOOKUP($B30,[7]TrtCodes!$B$11:N113,7)</f>
        <v>4</v>
      </c>
      <c r="I30" s="1">
        <f>[7]FormattedData!B70</f>
        <v>1</v>
      </c>
      <c r="J30" s="4">
        <f>[7]FormattedData!C70</f>
        <v>13.266</v>
      </c>
      <c r="K30" s="6">
        <f>$J$3+[7]FormattedData!D70*$J$4+$M$4*$J$5+[7]FormattedData!D70^2*$J$6+$M$5*$J$7</f>
        <v>38.106461917146376</v>
      </c>
      <c r="L30" s="6">
        <f>$J$3+[7]FormattedData!E70*$J$4+$M$4*$J$5+[7]FormattedData!E70^2*$J$6+$M$5*$J$7</f>
        <v>37.637609468378322</v>
      </c>
      <c r="M30" s="6">
        <f>$J$3+[7]FormattedData!F70*$J$4+$M$4*$J$5+[7]FormattedData!F70^2*$J$6+$M$5*$J$7</f>
        <v>45.554650269574708</v>
      </c>
      <c r="N30" s="6">
        <f>$J$3+[7]FormattedData!G70*$J$4+$M$4*$J$5+[7]FormattedData!G70^2*$J$6+$M$5*$J$7</f>
        <v>34.992507690753023</v>
      </c>
      <c r="O30" s="6">
        <f>$J$3+[7]FormattedData!H70*$J$4+$M$4*$J$5+[7]FormattedData!H70^2*$J$6+$M$5*$J$7</f>
        <v>46.634499736879995</v>
      </c>
      <c r="P30" s="6">
        <f>$J$3+[7]FormattedData!I70*$J$4+$M$4*$J$5+[7]FormattedData!I70^2*$J$6+$M$5*$J$7</f>
        <v>34.802303793356145</v>
      </c>
      <c r="Q30" s="6">
        <f>$J$3+[7]FormattedData!J70*$J$4+$M$4*$J$5+[7]FormattedData!J70^2*$J$6+$M$5*$J$7</f>
        <v>50.893030911480309</v>
      </c>
      <c r="R30" s="6">
        <f>$J$3+[7]FormattedData!K70*$J$4+$M$4*$J$5+[7]FormattedData!K70^2*$J$6+$M$5*$J$7</f>
        <v>32.410489444343334</v>
      </c>
      <c r="S30" s="6">
        <f>$J$3+[7]FormattedData!L70*$J$4+$M$4*$J$5+[7]FormattedData!L70^2*$J$6+$M$5*$J$7</f>
        <v>48.153867287629133</v>
      </c>
      <c r="T30" s="6">
        <f>$J$3+[7]FormattedData!M70*$J$4+$M$4*$J$5+[7]FormattedData!M70^2*$J$6+$M$5*$J$7</f>
        <v>32.314267379389719</v>
      </c>
      <c r="U30" s="6">
        <f>$J$3+[7]FormattedData!N70*$J$4+$M$4*$J$5+[7]FormattedData!N70^2*$J$6+$M$5*$J$7</f>
        <v>47.172141969484358</v>
      </c>
      <c r="V30" s="6">
        <f>$J$3+[7]FormattedData!O70*$J$4+$M$4*$J$5+[7]FormattedData!O70^2*$J$6+$M$5*$J$7</f>
        <v>32.602806768636768</v>
      </c>
      <c r="W30" s="5">
        <f t="shared" si="0"/>
        <v>40.10621971975435</v>
      </c>
      <c r="X30" s="4">
        <f t="shared" si="1"/>
        <v>2.0300127893940427</v>
      </c>
      <c r="Y30" s="3">
        <f t="shared" si="2"/>
        <v>32.314267379389719</v>
      </c>
      <c r="Z30" s="2">
        <f t="shared" si="3"/>
        <v>34.252429537176297</v>
      </c>
      <c r="AA30" s="3">
        <f t="shared" si="4"/>
        <v>37.872035692762353</v>
      </c>
      <c r="AB30" s="2">
        <f t="shared" si="5"/>
        <v>46.768910295031084</v>
      </c>
      <c r="AC30" s="2">
        <f t="shared" si="6"/>
        <v>50.893030911480309</v>
      </c>
      <c r="AD30" s="2">
        <f t="shared" si="7"/>
        <v>0.28602603822952766</v>
      </c>
      <c r="AE30" s="2">
        <f t="shared" si="8"/>
        <v>-1.7899626049980215</v>
      </c>
    </row>
    <row r="31" spans="2:31" x14ac:dyDescent="0.2">
      <c r="B31" s="1">
        <f>[7]FormattedData!A72</f>
        <v>306</v>
      </c>
      <c r="C31" s="1" t="str">
        <f>VLOOKUP($B31,[7]TrtCodes!$B$11:I115,2)</f>
        <v>FTL</v>
      </c>
      <c r="D31" s="1">
        <f>VLOOKUP($B31,[7]TrtCodes!$B$11:J115,3)</f>
        <v>4</v>
      </c>
      <c r="E31" s="1">
        <f>VLOOKUP($B31,[7]TrtCodes!$B$11:K115,4)</f>
        <v>1</v>
      </c>
      <c r="F31" s="1">
        <f>VLOOKUP($B31,[7]TrtCodes!$B$11:L115,5)</f>
        <v>2</v>
      </c>
      <c r="G31" s="1">
        <f>VLOOKUP($B31,[7]TrtCodes!$B$11:M115,6)</f>
        <v>1</v>
      </c>
      <c r="H31" s="1">
        <f>VLOOKUP($B31,[7]TrtCodes!$B$11:N115,7)</f>
        <v>4</v>
      </c>
      <c r="I31" s="1">
        <f>[7]FormattedData!B72</f>
        <v>1</v>
      </c>
      <c r="J31" s="4">
        <f>[7]FormattedData!C72</f>
        <v>13.281000000000001</v>
      </c>
      <c r="K31" s="6">
        <f>$J$3+[7]FormattedData!D72*$J$4+$M$4*$J$5+[7]FormattedData!D72^2*$J$6+$M$5*$J$7</f>
        <v>28.822122194797355</v>
      </c>
      <c r="L31" s="6">
        <f>$J$3+[7]FormattedData!E72*$J$4+$M$4*$J$5+[7]FormattedData!E72^2*$J$6+$M$5*$J$7</f>
        <v>32.506669240759017</v>
      </c>
      <c r="M31" s="6">
        <f>$J$3+[7]FormattedData!F72*$J$4+$M$4*$J$5+[7]FormattedData!F72^2*$J$6+$M$5*$J$7</f>
        <v>36.791012142706158</v>
      </c>
      <c r="N31" s="6">
        <f>$J$3+[7]FormattedData!G72*$J$4+$M$4*$J$5+[7]FormattedData!G72^2*$J$6+$M$5*$J$7</f>
        <v>29.21284351284632</v>
      </c>
      <c r="O31" s="6">
        <f>$J$3+[7]FormattedData!H72*$J$4+$M$4*$J$5+[7]FormattedData!H72^2*$J$6+$M$5*$J$7</f>
        <v>39.227396403320732</v>
      </c>
      <c r="P31" s="6">
        <f>$J$3+[7]FormattedData!I72*$J$4+$M$4*$J$5+[7]FormattedData!I72^2*$J$6+$M$5*$J$7</f>
        <v>29.407950560643219</v>
      </c>
      <c r="Q31" s="6">
        <f>$J$3+[7]FormattedData!J72*$J$4+$M$4*$J$5+[7]FormattedData!J72^2*$J$6+$M$5*$J$7</f>
        <v>37.44977260910558</v>
      </c>
      <c r="R31" s="6">
        <f>$J$3+[7]FormattedData!K72*$J$4+$M$4*$J$5+[7]FormattedData!K72^2*$J$6+$M$5*$J$7</f>
        <v>29.407950560643219</v>
      </c>
      <c r="S31" s="6">
        <f>$J$3+[7]FormattedData!L72*$J$4+$M$4*$J$5+[7]FormattedData!L72^2*$J$6+$M$5*$J$7</f>
        <v>37.073591668104925</v>
      </c>
      <c r="T31" s="6">
        <f>$J$3+[7]FormattedData!M72*$J$4+$M$4*$J$5+[7]FormattedData!M72^2*$J$6+$M$5*$J$7</f>
        <v>29.21284351284632</v>
      </c>
      <c r="U31" s="6">
        <f>$J$3+[7]FormattedData!N72*$J$4+$M$4*$J$5+[7]FormattedData!N72^2*$J$6+$M$5*$J$7</f>
        <v>36.602414449750654</v>
      </c>
      <c r="V31" s="6">
        <f>$J$3+[7]FormattedData!O72*$J$4+$M$4*$J$5+[7]FormattedData!O72^2*$J$6+$M$5*$J$7</f>
        <v>28.724336193940285</v>
      </c>
      <c r="W31" s="5">
        <f t="shared" si="0"/>
        <v>32.869908587455313</v>
      </c>
      <c r="X31" s="4">
        <f t="shared" si="1"/>
        <v>1.2085279518821117</v>
      </c>
      <c r="Y31" s="3">
        <f t="shared" si="2"/>
        <v>28.724336193940285</v>
      </c>
      <c r="Z31" s="2">
        <f t="shared" si="3"/>
        <v>29.21284351284632</v>
      </c>
      <c r="AA31" s="3">
        <f t="shared" si="4"/>
        <v>30.957309900701119</v>
      </c>
      <c r="AB31" s="2">
        <f t="shared" si="5"/>
        <v>36.861657024055852</v>
      </c>
      <c r="AC31" s="2">
        <f t="shared" si="6"/>
        <v>39.227396403320732</v>
      </c>
      <c r="AD31" s="2">
        <f t="shared" si="7"/>
        <v>0.3288307276505939</v>
      </c>
      <c r="AE31" s="2">
        <f t="shared" si="8"/>
        <v>-1.9685223602121957</v>
      </c>
    </row>
    <row r="32" spans="2:31" x14ac:dyDescent="0.2">
      <c r="B32" s="1">
        <f>[7]FormattedData!A74</f>
        <v>307</v>
      </c>
      <c r="C32" s="1" t="str">
        <f>VLOOKUP($B32,[7]TrtCodes!$B$11:I117,2)</f>
        <v>NTH</v>
      </c>
      <c r="D32" s="1">
        <f>VLOOKUP($B32,[7]TrtCodes!$B$11:J117,3)</f>
        <v>9</v>
      </c>
      <c r="E32" s="1">
        <f>VLOOKUP($B32,[7]TrtCodes!$B$11:K117,4)</f>
        <v>2</v>
      </c>
      <c r="F32" s="1">
        <f>VLOOKUP($B32,[7]TrtCodes!$B$11:L117,5)</f>
        <v>2</v>
      </c>
      <c r="G32" s="1">
        <f>VLOOKUP($B32,[7]TrtCodes!$B$11:M117,6)</f>
        <v>2</v>
      </c>
      <c r="H32" s="1">
        <f>VLOOKUP($B32,[7]TrtCodes!$B$11:N117,7)</f>
        <v>4</v>
      </c>
      <c r="I32" s="1">
        <f>[7]FormattedData!B74</f>
        <v>1</v>
      </c>
      <c r="J32" s="4">
        <f>[7]FormattedData!C74</f>
        <v>13.295</v>
      </c>
      <c r="K32" s="6">
        <f>$J$3+[7]FormattedData!D74*$J$4+$M$4*$J$5+[7]FormattedData!D74^2*$J$6+$M$5*$J$7</f>
        <v>46.813882888566511</v>
      </c>
      <c r="L32" s="6">
        <f>$J$3+[7]FormattedData!E74*$J$4+$M$4*$J$5+[7]FormattedData!E74^2*$J$6+$M$5*$J$7</f>
        <v>43.832440528587277</v>
      </c>
      <c r="M32" s="6">
        <f>$J$3+[7]FormattedData!F74*$J$4+$M$4*$J$5+[7]FormattedData!F74^2*$J$6+$M$5*$J$7</f>
        <v>52.899064838088847</v>
      </c>
      <c r="N32" s="6">
        <f>$J$3+[7]FormattedData!G74*$J$4+$M$4*$J$5+[7]FormattedData!G74^2*$J$6+$M$5*$J$7</f>
        <v>34.992507690753023</v>
      </c>
      <c r="O32" s="6">
        <f>$J$3+[7]FormattedData!H74*$J$4+$M$4*$J$5+[7]FormattedData!H74^2*$J$6+$M$5*$J$7</f>
        <v>53.67794796599533</v>
      </c>
      <c r="P32" s="6">
        <f>$J$3+[7]FormattedData!I74*$J$4+$M$4*$J$5+[7]FormattedData!I74^2*$J$6+$M$5*$J$7</f>
        <v>33.848748194095855</v>
      </c>
      <c r="Q32" s="6">
        <f>$J$3+[7]FormattedData!J74*$J$4+$M$4*$J$5+[7]FormattedData!J74^2*$J$6+$M$5*$J$7</f>
        <v>55.482027341662125</v>
      </c>
      <c r="R32" s="6">
        <f>$J$3+[7]FormattedData!K74*$J$4+$M$4*$J$5+[7]FormattedData!K74^2*$J$6+$M$5*$J$7</f>
        <v>33.753160157211205</v>
      </c>
      <c r="S32" s="6">
        <f>$J$3+[7]FormattedData!L74*$J$4+$M$4*$J$5+[7]FormattedData!L74^2*$J$6+$M$5*$J$7</f>
        <v>53.936814841614719</v>
      </c>
      <c r="T32" s="6">
        <f>$J$3+[7]FormattedData!M74*$J$4+$M$4*$J$5+[7]FormattedData!M74^2*$J$6+$M$5*$J$7</f>
        <v>33.944293962442565</v>
      </c>
      <c r="U32" s="6">
        <f>$J$3+[7]FormattedData!N74*$J$4+$M$4*$J$5+[7]FormattedData!N74^2*$J$6+$M$5*$J$7</f>
        <v>53.936814841614719</v>
      </c>
      <c r="V32" s="6">
        <f>$J$3+[7]FormattedData!O74*$J$4+$M$4*$J$5+[7]FormattedData!O74^2*$J$6+$M$5*$J$7</f>
        <v>36.696734430497379</v>
      </c>
      <c r="W32" s="5">
        <f t="shared" si="0"/>
        <v>44.484536473427454</v>
      </c>
      <c r="X32" s="4">
        <f t="shared" si="1"/>
        <v>2.6840405678682613</v>
      </c>
      <c r="Y32" s="3">
        <f t="shared" si="2"/>
        <v>33.753160157211205</v>
      </c>
      <c r="Z32" s="2">
        <f t="shared" si="3"/>
        <v>34.730454258675408</v>
      </c>
      <c r="AA32" s="3">
        <f t="shared" si="4"/>
        <v>45.32316170857689</v>
      </c>
      <c r="AB32" s="2">
        <f t="shared" si="5"/>
        <v>53.742664684900177</v>
      </c>
      <c r="AC32" s="2">
        <f t="shared" si="6"/>
        <v>55.482027341662125</v>
      </c>
      <c r="AD32" s="2">
        <f t="shared" si="7"/>
        <v>-7.2368968700832134E-2</v>
      </c>
      <c r="AE32" s="2">
        <f t="shared" si="8"/>
        <v>-2.0729401251342647</v>
      </c>
    </row>
    <row r="33" spans="2:31" x14ac:dyDescent="0.2">
      <c r="B33" s="1">
        <f>[7]FormattedData!A76</f>
        <v>308</v>
      </c>
      <c r="C33" s="1" t="str">
        <f>VLOOKUP($B33,[7]TrtCodes!$B$11:I119,2)</f>
        <v>FDH</v>
      </c>
      <c r="D33" s="1">
        <f>VLOOKUP($B33,[7]TrtCodes!$B$11:J119,3)</f>
        <v>5</v>
      </c>
      <c r="E33" s="1">
        <f>VLOOKUP($B33,[7]TrtCodes!$B$11:K119,4)</f>
        <v>1</v>
      </c>
      <c r="F33" s="1">
        <f>VLOOKUP($B33,[7]TrtCodes!$B$11:L119,5)</f>
        <v>3</v>
      </c>
      <c r="G33" s="1">
        <f>VLOOKUP($B33,[7]TrtCodes!$B$11:M119,6)</f>
        <v>2</v>
      </c>
      <c r="H33" s="1">
        <f>VLOOKUP($B33,[7]TrtCodes!$B$11:N119,7)</f>
        <v>4</v>
      </c>
      <c r="I33" s="1">
        <f>[7]FormattedData!B76</f>
        <v>1</v>
      </c>
      <c r="J33" s="4">
        <f>[7]FormattedData!C76</f>
        <v>13.31</v>
      </c>
      <c r="K33" s="6">
        <f>$J$3+[7]FormattedData!D76*$J$4+$M$4*$J$5+[7]FormattedData!D76^2*$J$6+$M$5*$J$7</f>
        <v>31.928956434195936</v>
      </c>
      <c r="L33" s="6">
        <f>$J$3+[7]FormattedData!E76*$J$4+$M$4*$J$5+[7]FormattedData!E76^2*$J$6+$M$5*$J$7</f>
        <v>31.156305653987673</v>
      </c>
      <c r="M33" s="6">
        <f>$J$3+[7]FormattedData!F76*$J$4+$M$4*$J$5+[7]FormattedData!F76^2*$J$6+$M$5*$J$7</f>
        <v>35.467277734831434</v>
      </c>
      <c r="N33" s="6">
        <f>$J$3+[7]FormattedData!G76*$J$4+$M$4*$J$5+[7]FormattedData!G76^2*$J$6+$M$5*$J$7</f>
        <v>29.407950560643219</v>
      </c>
      <c r="O33" s="6">
        <f>$J$3+[7]FormattedData!H76*$J$4+$M$4*$J$5+[7]FormattedData!H76^2*$J$6+$M$5*$J$7</f>
        <v>36.508052200466011</v>
      </c>
      <c r="P33" s="6">
        <f>$J$3+[7]FormattedData!I76*$J$4+$M$4*$J$5+[7]FormattedData!I76^2*$J$6+$M$5*$J$7</f>
        <v>32.794955018778488</v>
      </c>
      <c r="Q33" s="6">
        <f>$J$3+[7]FormattedData!J76*$J$4+$M$4*$J$5+[7]FormattedData!J76^2*$J$6+$M$5*$J$7</f>
        <v>36.130180517948112</v>
      </c>
      <c r="R33" s="6">
        <f>$J$3+[7]FormattedData!K76*$J$4+$M$4*$J$5+[7]FormattedData!K76^2*$J$6+$M$5*$J$7</f>
        <v>30.089493768987523</v>
      </c>
      <c r="S33" s="6">
        <f>$J$3+[7]FormattedData!L76*$J$4+$M$4*$J$5+[7]FormattedData!L76^2*$J$6+$M$5*$J$7</f>
        <v>35.562104938033329</v>
      </c>
      <c r="T33" s="6">
        <f>$J$3+[7]FormattedData!M76*$J$4+$M$4*$J$5+[7]FormattedData!M76^2*$J$6+$M$5*$J$7</f>
        <v>29.0175673908977</v>
      </c>
      <c r="U33" s="6">
        <f>$J$3+[7]FormattedData!N76*$J$4+$M$4*$J$5+[7]FormattedData!N76^2*$J$6+$M$5*$J$7</f>
        <v>36.413647682643429</v>
      </c>
      <c r="V33" s="6">
        <f>$J$3+[7]FormattedData!O76*$J$4+$M$4*$J$5+[7]FormattedData!O76^2*$J$6+$M$5*$J$7</f>
        <v>32.410489444343334</v>
      </c>
      <c r="W33" s="5">
        <f t="shared" si="0"/>
        <v>33.073915112146352</v>
      </c>
      <c r="X33" s="4">
        <f t="shared" si="1"/>
        <v>0.81887429710451065</v>
      </c>
      <c r="Y33" s="3">
        <f t="shared" si="2"/>
        <v>29.0175673908977</v>
      </c>
      <c r="Z33" s="2">
        <f t="shared" si="3"/>
        <v>30.889602682737635</v>
      </c>
      <c r="AA33" s="3">
        <f t="shared" si="4"/>
        <v>32.602722231560911</v>
      </c>
      <c r="AB33" s="2">
        <f t="shared" si="5"/>
        <v>35.704123833012027</v>
      </c>
      <c r="AC33" s="2">
        <f t="shared" si="6"/>
        <v>36.508052200466011</v>
      </c>
      <c r="AD33" s="2">
        <f t="shared" si="7"/>
        <v>-7.6688962827610133E-2</v>
      </c>
      <c r="AE33" s="2">
        <f t="shared" si="8"/>
        <v>-1.6775632001178926</v>
      </c>
    </row>
    <row r="34" spans="2:31" x14ac:dyDescent="0.2">
      <c r="B34" s="1">
        <f>[7]FormattedData!A92</f>
        <v>401</v>
      </c>
      <c r="C34" s="1" t="str">
        <f>VLOOKUP($B34,[7]TrtCodes!$B$11:I129,2)</f>
        <v>NSH</v>
      </c>
      <c r="D34" s="1">
        <f>VLOOKUP($B34,[7]TrtCodes!$B$11:J129,3)</f>
        <v>7</v>
      </c>
      <c r="E34" s="1">
        <f>VLOOKUP($B34,[7]TrtCodes!$B$11:K129,4)</f>
        <v>2</v>
      </c>
      <c r="F34" s="1">
        <f>VLOOKUP($B34,[7]TrtCodes!$B$11:L129,5)</f>
        <v>1</v>
      </c>
      <c r="G34" s="1">
        <f>VLOOKUP($B34,[7]TrtCodes!$B$11:M129,6)</f>
        <v>2</v>
      </c>
      <c r="H34" s="1">
        <f>VLOOKUP($B34,[7]TrtCodes!$B$11:N129,7)</f>
        <v>3</v>
      </c>
      <c r="I34" s="1">
        <f>[7]FormattedData!B92</f>
        <v>1</v>
      </c>
      <c r="J34" s="4">
        <f>[7]FormattedData!C92</f>
        <v>13.446999999999999</v>
      </c>
      <c r="K34" s="6">
        <f>$J$3+[7]FormattedData!D92*$J$4+$M$4*$J$5+[7]FormattedData!D92^2*$J$6+$M$5*$J$7</f>
        <v>52.899064838088847</v>
      </c>
      <c r="L34" s="6">
        <f>$J$3+[7]FormattedData!E92*$J$4+$M$4*$J$5+[7]FormattedData!E92^2*$J$6+$M$5*$J$7</f>
        <v>40.064102891117003</v>
      </c>
      <c r="M34" s="6">
        <f>$J$3+[7]FormattedData!F92*$J$4+$M$4*$J$5+[7]FormattedData!F92^2*$J$6+$M$5*$J$7</f>
        <v>50.805304822650854</v>
      </c>
      <c r="N34" s="6">
        <f>$J$3+[7]FormattedData!G92*$J$4+$M$4*$J$5+[7]FormattedData!G92^2*$J$6+$M$5*$J$7</f>
        <v>41.082094614806692</v>
      </c>
      <c r="O34" s="6">
        <f>$J$3+[7]FormattedData!H92*$J$4+$M$4*$J$5+[7]FormattedData!H92^2*$J$6+$M$5*$J$7</f>
        <v>51.33102732755863</v>
      </c>
      <c r="P34" s="6">
        <f>$J$3+[7]FormattedData!I92*$J$4+$M$4*$J$5+[7]FormattedData!I92^2*$J$6+$M$5*$J$7</f>
        <v>38.480783042478059</v>
      </c>
      <c r="Q34" s="6">
        <f>$J$3+[7]FormattedData!J92*$J$4+$M$4*$J$5+[7]FormattedData!J92^2*$J$6+$M$5*$J$7</f>
        <v>50.541872944934887</v>
      </c>
      <c r="R34" s="6">
        <f>$J$3+[7]FormattedData!K92*$J$4+$M$4*$J$5+[7]FormattedData!K92^2*$J$6+$M$5*$J$7</f>
        <v>47.351017898715696</v>
      </c>
      <c r="S34" s="6">
        <f>$J$3+[7]FormattedData!L92*$J$4+$M$4*$J$5+[7]FormattedData!L92^2*$J$6+$M$5*$J$7</f>
        <v>52.02962362931153</v>
      </c>
      <c r="T34" s="6">
        <f>$J$3+[7]FormattedData!M92*$J$4+$M$4*$J$5+[7]FormattedData!M92^2*$J$6+$M$5*$J$7</f>
        <v>37.731464495207796</v>
      </c>
      <c r="U34" s="6">
        <f>$J$3+[7]FormattedData!N92*$J$4+$M$4*$J$5+[7]FormattedData!N92^2*$J$6+$M$5*$J$7</f>
        <v>49.484341265657243</v>
      </c>
      <c r="V34" s="6">
        <f>$J$3+[7]FormattedData!O92*$J$4+$M$4*$J$5+[7]FormattedData!O92^2*$J$6+$M$5*$J$7</f>
        <v>35.940991065461574</v>
      </c>
      <c r="W34" s="5">
        <f t="shared" si="0"/>
        <v>45.645140736332394</v>
      </c>
      <c r="X34" s="4">
        <f t="shared" si="1"/>
        <v>1.8546813973667962</v>
      </c>
      <c r="Y34" s="3">
        <f t="shared" si="2"/>
        <v>35.940991065461574</v>
      </c>
      <c r="Z34" s="2">
        <f t="shared" si="3"/>
        <v>39.668272928957265</v>
      </c>
      <c r="AA34" s="3">
        <f t="shared" si="4"/>
        <v>48.417679582186466</v>
      </c>
      <c r="AB34" s="2">
        <f t="shared" si="5"/>
        <v>50.936735448877798</v>
      </c>
      <c r="AC34" s="2">
        <f t="shared" si="6"/>
        <v>52.899064838088847</v>
      </c>
      <c r="AD34" s="2">
        <f t="shared" si="7"/>
        <v>-0.3718175049220046</v>
      </c>
      <c r="AE34" s="2">
        <f t="shared" si="8"/>
        <v>-1.83104206804604</v>
      </c>
    </row>
    <row r="35" spans="2:31" x14ac:dyDescent="0.2">
      <c r="B35" s="1">
        <f>[7]FormattedData!A90</f>
        <v>402</v>
      </c>
      <c r="C35" s="1" t="str">
        <f>VLOOKUP($B35,[7]TrtCodes!$B$11:I130,2)</f>
        <v>NTH</v>
      </c>
      <c r="D35" s="1">
        <f>VLOOKUP($B35,[7]TrtCodes!$B$11:J130,3)</f>
        <v>9</v>
      </c>
      <c r="E35" s="1">
        <f>VLOOKUP($B35,[7]TrtCodes!$B$11:K130,4)</f>
        <v>2</v>
      </c>
      <c r="F35" s="1">
        <f>VLOOKUP($B35,[7]TrtCodes!$B$11:L130,5)</f>
        <v>2</v>
      </c>
      <c r="G35" s="1">
        <f>VLOOKUP($B35,[7]TrtCodes!$B$11:M130,6)</f>
        <v>2</v>
      </c>
      <c r="H35" s="1">
        <f>VLOOKUP($B35,[7]TrtCodes!$B$11:N130,7)</f>
        <v>3</v>
      </c>
      <c r="I35" s="1">
        <f>[7]FormattedData!B90</f>
        <v>1</v>
      </c>
      <c r="J35" s="4">
        <f>[7]FormattedData!C90</f>
        <v>13.429</v>
      </c>
      <c r="K35" s="6">
        <f>$J$3+[7]FormattedData!D90*$J$4+$M$4*$J$5+[7]FormattedData!D90^2*$J$6+$M$5*$J$7</f>
        <v>55.225442967091006</v>
      </c>
      <c r="L35" s="6">
        <f>$J$3+[7]FormattedData!E90*$J$4+$M$4*$J$5+[7]FormattedData!E90^2*$J$6+$M$5*$J$7</f>
        <v>44.014444329625533</v>
      </c>
      <c r="M35" s="6">
        <f>$J$3+[7]FormattedData!F90*$J$4+$M$4*$J$5+[7]FormattedData!F90^2*$J$6+$M$5*$J$7</f>
        <v>53.072445857389134</v>
      </c>
      <c r="N35" s="6">
        <f>$J$3+[7]FormattedData!G90*$J$4+$M$4*$J$5+[7]FormattedData!G90^2*$J$6+$M$5*$J$7</f>
        <v>41.174385705732711</v>
      </c>
      <c r="O35" s="6">
        <f>$J$3+[7]FormattedData!H90*$J$4+$M$4*$J$5+[7]FormattedData!H90^2*$J$6+$M$5*$J$7</f>
        <v>53.332200372305088</v>
      </c>
      <c r="P35" s="6">
        <f>$J$3+[7]FormattedData!I90*$J$4+$M$4*$J$5+[7]FormattedData!I90^2*$J$6+$M$5*$J$7</f>
        <v>34.611930821807526</v>
      </c>
      <c r="Q35" s="6">
        <f>$J$3+[7]FormattedData!J90*$J$4+$M$4*$J$5+[7]FormattedData!J90^2*$J$6+$M$5*$J$7</f>
        <v>50.101974444649663</v>
      </c>
      <c r="R35" s="6">
        <f>$J$3+[7]FormattedData!K90*$J$4+$M$4*$J$5+[7]FormattedData!K90^2*$J$6+$M$5*$J$7</f>
        <v>34.897426876323543</v>
      </c>
      <c r="S35" s="6">
        <f>$J$3+[7]FormattedData!L90*$J$4+$M$4*$J$5+[7]FormattedData!L90^2*$J$6+$M$5*$J$7</f>
        <v>51.418499805160508</v>
      </c>
      <c r="T35" s="6">
        <f>$J$3+[7]FormattedData!M90*$J$4+$M$4*$J$5+[7]FormattedData!M90^2*$J$6+$M$5*$J$7</f>
        <v>40.434873459262477</v>
      </c>
      <c r="U35" s="6">
        <f>$J$3+[7]FormattedData!N90*$J$4+$M$4*$J$5+[7]FormattedData!N90^2*$J$6+$M$5*$J$7</f>
        <v>49.572701382555671</v>
      </c>
      <c r="V35" s="6">
        <f>$J$3+[7]FormattedData!O90*$J$4+$M$4*$J$5+[7]FormattedData!O90^2*$J$6+$M$5*$J$7</f>
        <v>33.848748194095855</v>
      </c>
      <c r="W35" s="5">
        <f t="shared" si="0"/>
        <v>45.142089517999892</v>
      </c>
      <c r="X35" s="4">
        <f t="shared" si="1"/>
        <v>2.2992351225393652</v>
      </c>
      <c r="Y35" s="3">
        <f t="shared" si="2"/>
        <v>33.848748194095855</v>
      </c>
      <c r="Z35" s="2">
        <f t="shared" si="3"/>
        <v>39.050511813527741</v>
      </c>
      <c r="AA35" s="3">
        <f t="shared" si="4"/>
        <v>46.793572856090606</v>
      </c>
      <c r="AB35" s="2">
        <f t="shared" si="5"/>
        <v>51.831986318217666</v>
      </c>
      <c r="AC35" s="2">
        <f t="shared" si="6"/>
        <v>55.225442967091006</v>
      </c>
      <c r="AD35" s="2">
        <f t="shared" si="7"/>
        <v>-0.28538795502964343</v>
      </c>
      <c r="AE35" s="2">
        <f t="shared" si="8"/>
        <v>-1.6193201930047985</v>
      </c>
    </row>
    <row r="36" spans="2:31" x14ac:dyDescent="0.2">
      <c r="B36" s="1">
        <f>[7]FormattedData!A88</f>
        <v>403</v>
      </c>
      <c r="C36" s="1" t="str">
        <f>VLOOKUP($B36,[7]TrtCodes!$B$11:I131,2)</f>
        <v>FDL</v>
      </c>
      <c r="D36" s="1">
        <f>VLOOKUP($B36,[7]TrtCodes!$B$11:J131,3)</f>
        <v>6</v>
      </c>
      <c r="E36" s="1">
        <f>VLOOKUP($B36,[7]TrtCodes!$B$11:K131,4)</f>
        <v>1</v>
      </c>
      <c r="F36" s="1">
        <f>VLOOKUP($B36,[7]TrtCodes!$B$11:L131,5)</f>
        <v>3</v>
      </c>
      <c r="G36" s="1">
        <f>VLOOKUP($B36,[7]TrtCodes!$B$11:M131,6)</f>
        <v>1</v>
      </c>
      <c r="H36" s="1">
        <f>VLOOKUP($B36,[7]TrtCodes!$B$11:N131,7)</f>
        <v>3</v>
      </c>
      <c r="I36" s="1">
        <f>[7]FormattedData!B88</f>
        <v>1</v>
      </c>
      <c r="J36" s="4">
        <f>[7]FormattedData!C88</f>
        <v>13.414</v>
      </c>
      <c r="K36" s="6">
        <f>$J$3+[7]FormattedData!D88*$J$4+$M$4*$J$5+[7]FormattedData!D88^2*$J$6+$M$5*$J$7</f>
        <v>36.413647682643429</v>
      </c>
      <c r="L36" s="6">
        <f>$J$3+[7]FormattedData!E88*$J$4+$M$4*$J$5+[7]FormattedData!E88^2*$J$6+$M$5*$J$7</f>
        <v>31.059534098040956</v>
      </c>
      <c r="M36" s="6">
        <f>$J$3+[7]FormattedData!F88*$J$4+$M$4*$J$5+[7]FormattedData!F88^2*$J$6+$M$5*$J$7</f>
        <v>33.274585944718986</v>
      </c>
      <c r="N36" s="6">
        <f>$J$3+[7]FormattedData!G88*$J$4+$M$4*$J$5+[7]FormattedData!G88^2*$J$6+$M$5*$J$7</f>
        <v>29.310418171013733</v>
      </c>
      <c r="O36" s="6">
        <f>$J$3+[7]FormattedData!H88*$J$4+$M$4*$J$5+[7]FormattedData!H88^2*$J$6+$M$5*$J$7</f>
        <v>35.182542513998186</v>
      </c>
      <c r="P36" s="6">
        <f>$J$3+[7]FormattedData!I88*$J$4+$M$4*$J$5+[7]FormattedData!I88^2*$J$6+$M$5*$J$7</f>
        <v>28.136732549501314</v>
      </c>
      <c r="Q36" s="6">
        <f>$J$3+[7]FormattedData!J88*$J$4+$M$4*$J$5+[7]FormattedData!J88^2*$J$6+$M$5*$J$7</f>
        <v>34.802303793356145</v>
      </c>
      <c r="R36" s="6">
        <f>$J$3+[7]FormattedData!K88*$J$4+$M$4*$J$5+[7]FormattedData!K88^2*$J$6+$M$5*$J$7</f>
        <v>28.626507924545283</v>
      </c>
      <c r="S36" s="6">
        <f>$J$3+[7]FormattedData!L88*$J$4+$M$4*$J$5+[7]FormattedData!L88^2*$J$6+$M$5*$J$7</f>
        <v>33.466142435329658</v>
      </c>
      <c r="T36" s="6">
        <f>$J$3+[7]FormattedData!M88*$J$4+$M$4*$J$5+[7]FormattedData!M88^2*$J$6+$M$5*$J$7</f>
        <v>28.332769505132696</v>
      </c>
      <c r="U36" s="6">
        <f>$J$3+[7]FormattedData!N88*$J$4+$M$4*$J$5+[7]FormattedData!N88^2*$J$6+$M$5*$J$7</f>
        <v>35.27749652281387</v>
      </c>
      <c r="V36" s="6">
        <f>$J$3+[7]FormattedData!O88*$J$4+$M$4*$J$5+[7]FormattedData!O88^2*$J$6+$M$5*$J$7</f>
        <v>28.038650668878727</v>
      </c>
      <c r="W36" s="5">
        <f t="shared" si="0"/>
        <v>31.82677765083109</v>
      </c>
      <c r="X36" s="4">
        <f t="shared" si="1"/>
        <v>0.93412697307803105</v>
      </c>
      <c r="Y36" s="3">
        <f t="shared" si="2"/>
        <v>28.038650668878727</v>
      </c>
      <c r="Z36" s="2">
        <f t="shared" si="3"/>
        <v>28.553073319692135</v>
      </c>
      <c r="AA36" s="3">
        <f t="shared" si="4"/>
        <v>32.167060021379967</v>
      </c>
      <c r="AB36" s="2">
        <f t="shared" si="5"/>
        <v>34.897363473516656</v>
      </c>
      <c r="AC36" s="2">
        <f t="shared" si="6"/>
        <v>36.413647682643429</v>
      </c>
      <c r="AD36" s="2">
        <f t="shared" si="7"/>
        <v>4.1042626576756801E-2</v>
      </c>
      <c r="AE36" s="2">
        <f t="shared" si="8"/>
        <v>-1.8963411023400916</v>
      </c>
    </row>
    <row r="37" spans="2:31" x14ac:dyDescent="0.2">
      <c r="B37" s="1">
        <f>[7]FormattedData!A86</f>
        <v>404</v>
      </c>
      <c r="C37" s="1" t="str">
        <f>VLOOKUP($B37,[7]TrtCodes!$B$11:I129,2)</f>
        <v>FTH</v>
      </c>
      <c r="D37" s="1">
        <f>VLOOKUP($B37,[7]TrtCodes!$B$11:J129,3)</f>
        <v>3</v>
      </c>
      <c r="E37" s="1">
        <f>VLOOKUP($B37,[7]TrtCodes!$B$11:K129,4)</f>
        <v>1</v>
      </c>
      <c r="F37" s="1">
        <f>VLOOKUP($B37,[7]TrtCodes!$B$11:L129,5)</f>
        <v>2</v>
      </c>
      <c r="G37" s="1">
        <f>VLOOKUP($B37,[7]TrtCodes!$B$11:M129,6)</f>
        <v>2</v>
      </c>
      <c r="H37" s="1">
        <f>VLOOKUP($B37,[7]TrtCodes!$B$11:N129,7)</f>
        <v>3</v>
      </c>
      <c r="I37" s="1">
        <f>[7]FormattedData!B86</f>
        <v>1</v>
      </c>
      <c r="J37" s="4">
        <f>[7]FormattedData!C86</f>
        <v>13.397</v>
      </c>
      <c r="K37" s="6">
        <f>$J$3+[7]FormattedData!D86*$J$4+$M$4*$J$5+[7]FormattedData!D86^2*$J$6+$M$5*$J$7</f>
        <v>36.035606925973809</v>
      </c>
      <c r="L37" s="6">
        <f>$J$3+[7]FormattedData!E86*$J$4+$M$4*$J$5+[7]FormattedData!E86^2*$J$6+$M$5*$J$7</f>
        <v>35.562104938033329</v>
      </c>
      <c r="M37" s="6">
        <f>$J$3+[7]FormattedData!F86*$J$4+$M$4*$J$5+[7]FormattedData!F86^2*$J$6+$M$5*$J$7</f>
        <v>34.421388776107193</v>
      </c>
      <c r="N37" s="6">
        <f>$J$3+[7]FormattedData!G86*$J$4+$M$4*$J$5+[7]FormattedData!G86^2*$J$6+$M$5*$J$7</f>
        <v>28.822122194797355</v>
      </c>
      <c r="O37" s="6">
        <f>$J$3+[7]FormattedData!H86*$J$4+$M$4*$J$5+[7]FormattedData!H86^2*$J$6+$M$5*$J$7</f>
        <v>36.602414449750654</v>
      </c>
      <c r="P37" s="6">
        <f>$J$3+[7]FormattedData!I86*$J$4+$M$4*$J$5+[7]FormattedData!I86^2*$J$6+$M$5*$J$7</f>
        <v>30.865864180533716</v>
      </c>
      <c r="Q37" s="6">
        <f>$J$3+[7]FormattedData!J86*$J$4+$M$4*$J$5+[7]FormattedData!J86^2*$J$6+$M$5*$J$7</f>
        <v>35.562104938033329</v>
      </c>
      <c r="R37" s="6">
        <f>$J$3+[7]FormattedData!K86*$J$4+$M$4*$J$5+[7]FormattedData!K86^2*$J$6+$M$5*$J$7</f>
        <v>28.528637386612353</v>
      </c>
      <c r="S37" s="6">
        <f>$J$3+[7]FormattedData!L86*$J$4+$M$4*$J$5+[7]FormattedData!L86^2*$J$6+$M$5*$J$7</f>
        <v>36.224711841384483</v>
      </c>
      <c r="T37" s="6">
        <f>$J$3+[7]FormattedData!M86*$J$4+$M$4*$J$5+[7]FormattedData!M86^2*$J$6+$M$5*$J$7</f>
        <v>31.928956434195936</v>
      </c>
      <c r="U37" s="6">
        <f>$J$3+[7]FormattedData!N86*$J$4+$M$4*$J$5+[7]FormattedData!N86^2*$J$6+$M$5*$J$7</f>
        <v>36.035606925973809</v>
      </c>
      <c r="V37" s="6">
        <f>$J$3+[7]FormattedData!O86*$J$4+$M$4*$J$5+[7]FormattedData!O86^2*$J$6+$M$5*$J$7</f>
        <v>30.38094968735183</v>
      </c>
      <c r="W37" s="5">
        <f t="shared" si="0"/>
        <v>33.414205723228982</v>
      </c>
      <c r="X37" s="4">
        <f t="shared" si="1"/>
        <v>0.89147957191754734</v>
      </c>
      <c r="Y37" s="3">
        <f t="shared" si="2"/>
        <v>28.528637386612353</v>
      </c>
      <c r="Z37" s="2">
        <f t="shared" si="3"/>
        <v>30.744635557238244</v>
      </c>
      <c r="AA37" s="3">
        <f t="shared" si="4"/>
        <v>34.991746857070261</v>
      </c>
      <c r="AB37" s="2">
        <f t="shared" si="5"/>
        <v>36.035606925973809</v>
      </c>
      <c r="AC37" s="2">
        <f t="shared" si="6"/>
        <v>36.602414449750654</v>
      </c>
      <c r="AD37" s="2">
        <f t="shared" si="7"/>
        <v>-0.55452443580959965</v>
      </c>
      <c r="AE37" s="2">
        <f t="shared" si="8"/>
        <v>-1.5214499498057243</v>
      </c>
    </row>
    <row r="38" spans="2:31" x14ac:dyDescent="0.2">
      <c r="B38" s="1">
        <f>[7]FormattedData!A84</f>
        <v>405</v>
      </c>
      <c r="C38" s="1" t="str">
        <f>VLOOKUP($B38,[7]TrtCodes!$B$11:I127,2)</f>
        <v>FDL</v>
      </c>
      <c r="D38" s="1">
        <f>VLOOKUP($B38,[7]TrtCodes!$B$11:J127,3)</f>
        <v>6</v>
      </c>
      <c r="E38" s="1">
        <f>VLOOKUP($B38,[7]TrtCodes!$B$11:K127,4)</f>
        <v>1</v>
      </c>
      <c r="F38" s="1">
        <f>VLOOKUP($B38,[7]TrtCodes!$B$11:L127,5)</f>
        <v>3</v>
      </c>
      <c r="G38" s="1">
        <f>VLOOKUP($B38,[7]TrtCodes!$B$11:M127,6)</f>
        <v>1</v>
      </c>
      <c r="H38" s="1">
        <f>VLOOKUP($B38,[7]TrtCodes!$B$11:N127,7)</f>
        <v>4</v>
      </c>
      <c r="I38" s="1">
        <f>[7]FormattedData!B84</f>
        <v>1</v>
      </c>
      <c r="J38" s="4">
        <f>[7]FormattedData!C84</f>
        <v>13.382</v>
      </c>
      <c r="K38" s="6">
        <f>$J$3+[7]FormattedData!D84*$J$4+$M$4*$J$5+[7]FormattedData!D84^2*$J$6+$M$5*$J$7</f>
        <v>36.979440761509935</v>
      </c>
      <c r="L38" s="6">
        <f>$J$3+[7]FormattedData!E84*$J$4+$M$4*$J$5+[7]FormattedData!E84^2*$J$6+$M$5*$J$7</f>
        <v>29.992257259123555</v>
      </c>
      <c r="M38" s="6">
        <f>$J$3+[7]FormattedData!F84*$J$4+$M$4*$J$5+[7]FormattedData!F84^2*$J$6+$M$5*$J$7</f>
        <v>35.182542513998186</v>
      </c>
      <c r="N38" s="6">
        <f>$J$3+[7]FormattedData!G84*$J$4+$M$4*$J$5+[7]FormattedData!G84^2*$J$6+$M$5*$J$7</f>
        <v>28.919865927116494</v>
      </c>
      <c r="O38" s="6">
        <f>$J$3+[7]FormattedData!H84*$J$4+$M$4*$J$5+[7]FormattedData!H84^2*$J$6+$M$5*$J$7</f>
        <v>35.182542513998186</v>
      </c>
      <c r="P38" s="6">
        <f>$J$3+[7]FormattedData!I84*$J$4+$M$4*$J$5+[7]FormattedData!I84^2*$J$6+$M$5*$J$7</f>
        <v>28.919865927116494</v>
      </c>
      <c r="Q38" s="6">
        <f>$J$3+[7]FormattedData!J84*$J$4+$M$4*$J$5+[7]FormattedData!J84^2*$J$6+$M$5*$J$7</f>
        <v>34.516680933226333</v>
      </c>
      <c r="R38" s="6">
        <f>$J$3+[7]FormattedData!K84*$J$4+$M$4*$J$5+[7]FormattedData!K84^2*$J$6+$M$5*$J$7</f>
        <v>29.505440681734765</v>
      </c>
      <c r="S38" s="6">
        <f>$J$3+[7]FormattedData!L84*$J$4+$M$4*$J$5+[7]FormattedData!L84^2*$J$6+$M$5*$J$7</f>
        <v>34.611930821807526</v>
      </c>
      <c r="T38" s="6">
        <f>$J$3+[7]FormattedData!M84*$J$4+$M$4*$J$5+[7]FormattedData!M84^2*$J$6+$M$5*$J$7</f>
        <v>28.43072458014149</v>
      </c>
      <c r="U38" s="6">
        <f>$J$3+[7]FormattedData!N84*$J$4+$M$4*$J$5+[7]FormattedData!N84^2*$J$6+$M$5*$J$7</f>
        <v>35.8463329364114</v>
      </c>
      <c r="V38" s="6">
        <f>$J$3+[7]FormattedData!O84*$J$4+$M$4*$J$5+[7]FormattedData!O84^2*$J$6+$M$5*$J$7</f>
        <v>29.700294118304075</v>
      </c>
      <c r="W38" s="5">
        <f t="shared" si="0"/>
        <v>32.315659914540696</v>
      </c>
      <c r="X38" s="4">
        <f t="shared" si="1"/>
        <v>0.94973327796662876</v>
      </c>
      <c r="Y38" s="3">
        <f t="shared" si="2"/>
        <v>28.43072458014149</v>
      </c>
      <c r="Z38" s="2">
        <f t="shared" si="3"/>
        <v>29.359046993080199</v>
      </c>
      <c r="AA38" s="3">
        <f t="shared" si="4"/>
        <v>32.254469096174944</v>
      </c>
      <c r="AB38" s="2">
        <f t="shared" si="5"/>
        <v>35.182542513998186</v>
      </c>
      <c r="AC38" s="2">
        <f t="shared" si="6"/>
        <v>36.979440761509935</v>
      </c>
      <c r="AD38" s="2">
        <f t="shared" si="7"/>
        <v>7.8958228531641708E-2</v>
      </c>
      <c r="AE38" s="2">
        <f t="shared" si="8"/>
        <v>-2.0872591161455447</v>
      </c>
    </row>
    <row r="39" spans="2:31" x14ac:dyDescent="0.2">
      <c r="B39" s="1">
        <f>[7]FormattedData!A82</f>
        <v>406</v>
      </c>
      <c r="C39" s="1" t="str">
        <f>VLOOKUP($B39,[7]TrtCodes!$B$11:I125,2)</f>
        <v>FTH</v>
      </c>
      <c r="D39" s="1">
        <f>VLOOKUP($B39,[7]TrtCodes!$B$11:J125,3)</f>
        <v>3</v>
      </c>
      <c r="E39" s="1">
        <f>VLOOKUP($B39,[7]TrtCodes!$B$11:K125,4)</f>
        <v>1</v>
      </c>
      <c r="F39" s="1">
        <f>VLOOKUP($B39,[7]TrtCodes!$B$11:L125,5)</f>
        <v>2</v>
      </c>
      <c r="G39" s="1">
        <f>VLOOKUP($B39,[7]TrtCodes!$B$11:M125,6)</f>
        <v>2</v>
      </c>
      <c r="H39" s="1">
        <f>VLOOKUP($B39,[7]TrtCodes!$B$11:N125,7)</f>
        <v>4</v>
      </c>
      <c r="I39" s="1">
        <f>[7]FormattedData!B82</f>
        <v>1</v>
      </c>
      <c r="J39" s="4">
        <f>[7]FormattedData!C82</f>
        <v>13.366</v>
      </c>
      <c r="K39" s="6">
        <f>$J$3+[7]FormattedData!D82*$J$4+$M$4*$J$5+[7]FormattedData!D82^2*$J$6+$M$5*$J$7</f>
        <v>38.200105601286189</v>
      </c>
      <c r="L39" s="6">
        <f>$J$3+[7]FormattedData!E82*$J$4+$M$4*$J$5+[7]FormattedData!E82^2*$J$6+$M$5*$J$7</f>
        <v>32.698902027976594</v>
      </c>
      <c r="M39" s="6">
        <f>$J$3+[7]FormattedData!F82*$J$4+$M$4*$J$5+[7]FormattedData!F82^2*$J$6+$M$5*$J$7</f>
        <v>36.696734430497379</v>
      </c>
      <c r="N39" s="6">
        <f>$J$3+[7]FormattedData!G82*$J$4+$M$4*$J$5+[7]FormattedData!G82^2*$J$6+$M$5*$J$7</f>
        <v>29.0175673908977</v>
      </c>
      <c r="O39" s="6">
        <f>$J$3+[7]FormattedData!H82*$J$4+$M$4*$J$5+[7]FormattedData!H82^2*$J$6+$M$5*$J$7</f>
        <v>36.413647682643429</v>
      </c>
      <c r="P39" s="6">
        <f>$J$3+[7]FormattedData!I82*$J$4+$M$4*$J$5+[7]FormattedData!I82^2*$J$6+$M$5*$J$7</f>
        <v>28.528637386612353</v>
      </c>
      <c r="Q39" s="6">
        <f>$J$3+[7]FormattedData!J82*$J$4+$M$4*$J$5+[7]FormattedData!J82^2*$J$6+$M$5*$J$7</f>
        <v>36.602414449750654</v>
      </c>
      <c r="R39" s="6">
        <f>$J$3+[7]FormattedData!K82*$J$4+$M$4*$J$5+[7]FormattedData!K82^2*$J$6+$M$5*$J$7</f>
        <v>28.822122194797355</v>
      </c>
      <c r="S39" s="6">
        <f>$J$3+[7]FormattedData!L82*$J$4+$M$4*$J$5+[7]FormattedData!L82^2*$J$6+$M$5*$J$7</f>
        <v>35.751632538823316</v>
      </c>
      <c r="T39" s="6">
        <f>$J$3+[7]FormattedData!M82*$J$4+$M$4*$J$5+[7]FormattedData!M82^2*$J$6+$M$5*$J$7</f>
        <v>28.822122194797355</v>
      </c>
      <c r="U39" s="6">
        <f>$J$3+[7]FormattedData!N82*$J$4+$M$4*$J$5+[7]FormattedData!N82^2*$J$6+$M$5*$J$7</f>
        <v>35.27749652281387</v>
      </c>
      <c r="V39" s="6">
        <f>$J$3+[7]FormattedData!O82*$J$4+$M$4*$J$5+[7]FormattedData!O82^2*$J$6+$M$5*$J$7</f>
        <v>28.919865927116494</v>
      </c>
      <c r="W39" s="5">
        <f t="shared" si="0"/>
        <v>32.979270695667729</v>
      </c>
      <c r="X39" s="4">
        <f t="shared" si="1"/>
        <v>1.1200344040065489</v>
      </c>
      <c r="Y39" s="3">
        <f t="shared" si="2"/>
        <v>28.528637386612353</v>
      </c>
      <c r="Z39" s="2">
        <f t="shared" si="3"/>
        <v>28.895429994036711</v>
      </c>
      <c r="AA39" s="3">
        <f t="shared" si="4"/>
        <v>33.988199275395232</v>
      </c>
      <c r="AB39" s="2">
        <f t="shared" si="5"/>
        <v>36.460839374420232</v>
      </c>
      <c r="AC39" s="2">
        <f t="shared" si="6"/>
        <v>38.200105601286189</v>
      </c>
      <c r="AD39" s="2">
        <f t="shared" si="7"/>
        <v>-8.5441230111133956E-2</v>
      </c>
      <c r="AE39" s="2">
        <f t="shared" si="8"/>
        <v>-2.0585992901310277</v>
      </c>
    </row>
    <row r="40" spans="2:31" x14ac:dyDescent="0.2">
      <c r="B40" s="1">
        <f>[7]FormattedData!A80</f>
        <v>407</v>
      </c>
      <c r="C40" s="1" t="str">
        <f>VLOOKUP($B40,[7]TrtCodes!$B$11:I123,2)</f>
        <v>NSH</v>
      </c>
      <c r="D40" s="1">
        <f>VLOOKUP($B40,[7]TrtCodes!$B$11:J123,3)</f>
        <v>7</v>
      </c>
      <c r="E40" s="1">
        <f>VLOOKUP($B40,[7]TrtCodes!$B$11:K123,4)</f>
        <v>2</v>
      </c>
      <c r="F40" s="1">
        <f>VLOOKUP($B40,[7]TrtCodes!$B$11:L123,5)</f>
        <v>1</v>
      </c>
      <c r="G40" s="1">
        <f>VLOOKUP($B40,[7]TrtCodes!$B$11:M123,6)</f>
        <v>2</v>
      </c>
      <c r="H40" s="1">
        <f>VLOOKUP($B40,[7]TrtCodes!$B$11:N123,7)</f>
        <v>4</v>
      </c>
      <c r="I40" s="1">
        <f>[7]FormattedData!B80</f>
        <v>1</v>
      </c>
      <c r="J40" s="4">
        <f>[7]FormattedData!C80</f>
        <v>13.349</v>
      </c>
      <c r="K40" s="6">
        <f>$J$3+[7]FormattedData!D80*$J$4+$M$4*$J$5+[7]FormattedData!D80^2*$J$6+$M$5*$J$7</f>
        <v>54.109181416004667</v>
      </c>
      <c r="L40" s="6">
        <f>$J$3+[7]FormattedData!E80*$J$4+$M$4*$J$5+[7]FormattedData!E80^2*$J$6+$M$5*$J$7</f>
        <v>49.749294810738725</v>
      </c>
      <c r="M40" s="6">
        <f>$J$3+[7]FormattedData!F80*$J$4+$M$4*$J$5+[7]FormattedData!F80^2*$J$6+$M$5*$J$7</f>
        <v>51.068356283525432</v>
      </c>
      <c r="N40" s="6">
        <f>$J$3+[7]FormattedData!G80*$J$4+$M$4*$J$5+[7]FormattedData!G80^2*$J$6+$M$5*$J$7</f>
        <v>36.130180517948112</v>
      </c>
      <c r="O40" s="6">
        <f>$J$3+[7]FormattedData!H80*$J$4+$M$4*$J$5+[7]FormattedData!H80^2*$J$6+$M$5*$J$7</f>
        <v>51.942447031475176</v>
      </c>
      <c r="P40" s="6">
        <f>$J$3+[7]FormattedData!I80*$J$4+$M$4*$J$5+[7]FormattedData!I80^2*$J$6+$M$5*$J$7</f>
        <v>44.19627905651204</v>
      </c>
      <c r="Q40" s="6">
        <f>$J$3+[7]FormattedData!J80*$J$4+$M$4*$J$5+[7]FormattedData!J80^2*$J$6+$M$5*$J$7</f>
        <v>54.109181416004667</v>
      </c>
      <c r="R40" s="6">
        <f>$J$3+[7]FormattedData!K80*$J$4+$M$4*$J$5+[7]FormattedData!K80^2*$J$6+$M$5*$J$7</f>
        <v>38.574257652466152</v>
      </c>
      <c r="S40" s="6">
        <f>$J$3+[7]FormattedData!L80*$J$4+$M$4*$J$5+[7]FormattedData!L80^2*$J$6+$M$5*$J$7</f>
        <v>51.942447031475176</v>
      </c>
      <c r="T40" s="6">
        <f>$J$3+[7]FormattedData!M80*$J$4+$M$4*$J$5+[7]FormattedData!M80^2*$J$6+$M$5*$J$7</f>
        <v>34.421388776107193</v>
      </c>
      <c r="U40" s="6">
        <f>$J$3+[7]FormattedData!N80*$J$4+$M$4*$J$5+[7]FormattedData!N80^2*$J$6+$M$5*$J$7</f>
        <v>51.767967030188672</v>
      </c>
      <c r="V40" s="6">
        <f>$J$3+[7]FormattedData!O80*$J$4+$M$4*$J$5+[7]FormattedData!O80^2*$J$6+$M$5*$J$7</f>
        <v>45.283736860644936</v>
      </c>
      <c r="W40" s="5">
        <f t="shared" si="0"/>
        <v>46.941226490257577</v>
      </c>
      <c r="X40" s="4">
        <f t="shared" si="1"/>
        <v>2.05033749794742</v>
      </c>
      <c r="Y40" s="3">
        <f t="shared" si="2"/>
        <v>34.421388776107193</v>
      </c>
      <c r="Z40" s="2">
        <f t="shared" si="3"/>
        <v>42.79077370550057</v>
      </c>
      <c r="AA40" s="3">
        <f t="shared" si="4"/>
        <v>50.408825547132082</v>
      </c>
      <c r="AB40" s="2">
        <f t="shared" si="5"/>
        <v>51.942447031475176</v>
      </c>
      <c r="AC40" s="2">
        <f t="shared" si="6"/>
        <v>54.109181416004667</v>
      </c>
      <c r="AD40" s="2">
        <f t="shared" si="7"/>
        <v>-0.80542191856091172</v>
      </c>
      <c r="AE40" s="2">
        <f t="shared" si="8"/>
        <v>-0.8989048153518957</v>
      </c>
    </row>
    <row r="41" spans="2:31" x14ac:dyDescent="0.2">
      <c r="B41" s="1">
        <f>[7]FormattedData!A78</f>
        <v>408</v>
      </c>
      <c r="C41" s="1" t="str">
        <f>VLOOKUP($B41,[7]TrtCodes!$B$11:I121,2)</f>
        <v>NTL</v>
      </c>
      <c r="D41" s="1">
        <f>VLOOKUP($B41,[7]TrtCodes!$B$11:J121,3)</f>
        <v>10</v>
      </c>
      <c r="E41" s="1">
        <f>VLOOKUP($B41,[7]TrtCodes!$B$11:K121,4)</f>
        <v>2</v>
      </c>
      <c r="F41" s="1">
        <f>VLOOKUP($B41,[7]TrtCodes!$B$11:L121,5)</f>
        <v>2</v>
      </c>
      <c r="G41" s="1">
        <f>VLOOKUP($B41,[7]TrtCodes!$B$11:M121,6)</f>
        <v>1</v>
      </c>
      <c r="H41" s="1">
        <f>VLOOKUP($B41,[7]TrtCodes!$B$11:N121,7)</f>
        <v>4</v>
      </c>
      <c r="I41" s="1">
        <f>[7]FormattedData!B78</f>
        <v>1</v>
      </c>
      <c r="J41" s="4">
        <f>[7]FormattedData!C78</f>
        <v>13.333</v>
      </c>
      <c r="K41" s="6">
        <f>$J$3+[7]FormattedData!D78*$J$4+$M$4*$J$5+[7]FormattedData!D78^2*$J$6+$M$5*$J$7</f>
        <v>55.652872248686542</v>
      </c>
      <c r="L41" s="6">
        <f>$J$3+[7]FormattedData!E78*$J$4+$M$4*$J$5+[7]FormattedData!E78^2*$J$6+$M$5*$J$7</f>
        <v>41.543127384057485</v>
      </c>
      <c r="M41" s="6">
        <f>$J$3+[7]FormattedData!F78*$J$4+$M$4*$J$5+[7]FormattedData!F78^2*$J$6+$M$5*$J$7</f>
        <v>54.882738708131811</v>
      </c>
      <c r="N41" s="6">
        <f>$J$3+[7]FormattedData!G78*$J$4+$M$4*$J$5+[7]FormattedData!G78^2*$J$6+$M$5*$J$7</f>
        <v>38.761080066828541</v>
      </c>
      <c r="O41" s="6">
        <f>$J$3+[7]FormattedData!H78*$J$4+$M$4*$J$5+[7]FormattedData!H78^2*$J$6+$M$5*$J$7</f>
        <v>50.101974444649663</v>
      </c>
      <c r="P41" s="6">
        <f>$J$3+[7]FormattedData!I78*$J$4+$M$4*$J$5+[7]FormattedData!I78^2*$J$6+$M$5*$J$7</f>
        <v>36.696734430497379</v>
      </c>
      <c r="Q41" s="6">
        <f>$J$3+[7]FormattedData!J78*$J$4+$M$4*$J$5+[7]FormattedData!J78^2*$J$6+$M$5*$J$7</f>
        <v>50.453977781953704</v>
      </c>
      <c r="R41" s="6">
        <f>$J$3+[7]FormattedData!K78*$J$4+$M$4*$J$5+[7]FormattedData!K78^2*$J$6+$M$5*$J$7</f>
        <v>37.073591668104925</v>
      </c>
      <c r="S41" s="6">
        <f>$J$3+[7]FormattedData!L78*$J$4+$M$4*$J$5+[7]FormattedData!L78^2*$J$6+$M$5*$J$7</f>
        <v>51.767967030188672</v>
      </c>
      <c r="T41" s="6">
        <f>$J$3+[7]FormattedData!M78*$J$4+$M$4*$J$5+[7]FormattedData!M78^2*$J$6+$M$5*$J$7</f>
        <v>37.35579077666231</v>
      </c>
      <c r="U41" s="6">
        <f>$J$3+[7]FormattedData!N78*$J$4+$M$4*$J$5+[7]FormattedData!N78^2*$J$6+$M$5*$J$7</f>
        <v>52.290899811593</v>
      </c>
      <c r="V41" s="6">
        <f>$J$3+[7]FormattedData!O78*$J$4+$M$4*$J$5+[7]FormattedData!O78^2*$J$6+$M$5*$J$7</f>
        <v>38.947733407039216</v>
      </c>
      <c r="W41" s="5">
        <f t="shared" si="0"/>
        <v>45.460707313199443</v>
      </c>
      <c r="X41" s="4">
        <f t="shared" si="1"/>
        <v>2.2037398229926328</v>
      </c>
      <c r="Y41" s="3">
        <f t="shared" si="2"/>
        <v>36.696734430497379</v>
      </c>
      <c r="Z41" s="2">
        <f t="shared" si="3"/>
        <v>38.409757744286985</v>
      </c>
      <c r="AA41" s="3">
        <f t="shared" si="4"/>
        <v>45.82255091435357</v>
      </c>
      <c r="AB41" s="2">
        <f t="shared" si="5"/>
        <v>51.898700225539756</v>
      </c>
      <c r="AC41" s="2">
        <f t="shared" si="6"/>
        <v>55.652872248686542</v>
      </c>
      <c r="AD41" s="2">
        <f t="shared" si="7"/>
        <v>6.2918529742085463E-2</v>
      </c>
      <c r="AE41" s="2">
        <f t="shared" si="8"/>
        <v>-2.0508583899259616</v>
      </c>
    </row>
    <row r="42" spans="2:31" x14ac:dyDescent="0.2">
      <c r="B42" s="17">
        <f>[7]FormattedData!A60</f>
        <v>901</v>
      </c>
      <c r="C42" s="17" t="str">
        <f>VLOOKUP($B42,[7]TrtCodes!$B$11:I103,2)</f>
        <v>WS</v>
      </c>
      <c r="D42" s="17">
        <f>VLOOKUP($B42,[7]TrtCodes!$B$11:J103,3)</f>
        <v>32</v>
      </c>
      <c r="E42" s="17">
        <f>VLOOKUP($B42,[7]TrtCodes!$B$11:K103,4)</f>
        <v>9</v>
      </c>
      <c r="F42" s="17">
        <f>VLOOKUP($B42,[7]TrtCodes!$B$11:L103,5)</f>
        <v>0</v>
      </c>
      <c r="G42" s="17">
        <f>VLOOKUP($B42,[7]TrtCodes!$B$11:M103,6)</f>
        <v>1</v>
      </c>
      <c r="H42" s="17">
        <f>VLOOKUP($B42,[7]TrtCodes!$B$11:N103,7)</f>
        <v>1</v>
      </c>
      <c r="I42" s="17">
        <f>[7]FormattedData!B60</f>
        <v>1</v>
      </c>
      <c r="J42" s="15">
        <f>[7]FormattedData!C60</f>
        <v>13.199</v>
      </c>
      <c r="K42" s="14">
        <f>$J$3+[7]FormattedData!D60*$J$4+$M$4*$J$5+[7]FormattedData!D60^2*$J$6+$M$5*$J$7</f>
        <v>43.376691326577877</v>
      </c>
      <c r="L42" s="14">
        <f>$J$3+[7]FormattedData!E60*$J$4+$M$4*$J$5+[7]FormattedData!E60^2*$J$6+$M$5*$J$7</f>
        <v>43.467925704055624</v>
      </c>
      <c r="M42" s="14">
        <f>$J$3+[7]FormattedData!F60*$J$4+$M$4*$J$5+[7]FormattedData!F60^2*$J$6+$M$5*$J$7</f>
        <v>41.543127384057485</v>
      </c>
      <c r="N42" s="14">
        <f>$J$3+[7]FormattedData!G60*$J$4+$M$4*$J$5+[7]FormattedData!G60^2*$J$6+$M$5*$J$7</f>
        <v>41.543127384057485</v>
      </c>
      <c r="O42" s="14">
        <f>$J$3+[7]FormattedData!H60*$J$4+$M$4*$J$5+[7]FormattedData!H60^2*$J$6+$M$5*$J$7</f>
        <v>42.553679845071301</v>
      </c>
      <c r="P42" s="14">
        <f>$J$3+[7]FormattedData!I60*$J$4+$M$4*$J$5+[7]FormattedData!I60^2*$J$6+$M$5*$J$7</f>
        <v>43.559117812995439</v>
      </c>
      <c r="Q42" s="14">
        <f>$J$3+[7]FormattedData!J60*$J$4+$M$4*$J$5+[7]FormattedData!J60^2*$J$6+$M$5*$J$7</f>
        <v>41.266634528120804</v>
      </c>
      <c r="R42" s="14">
        <f>$J$3+[7]FormattedData!K60*$J$4+$M$4*$J$5+[7]FormattedData!K60^2*$J$6+$M$5*$J$7</f>
        <v>41.543127384057485</v>
      </c>
      <c r="S42" s="14">
        <f>$J$3+[7]FormattedData!L60*$J$4+$M$4*$J$5+[7]FormattedData!L60^2*$J$6+$M$5*$J$7</f>
        <v>41.72724461199229</v>
      </c>
      <c r="T42" s="14">
        <f>$J$3+[7]FormattedData!M60*$J$4+$M$4*$J$5+[7]FormattedData!M60^2*$J$6+$M$5*$J$7</f>
        <v>43.650267653397314</v>
      </c>
      <c r="U42" s="14">
        <f>$J$3+[7]FormattedData!N60*$J$4+$M$4*$J$5+[7]FormattedData!N60^2*$J$6+$M$5*$J$7</f>
        <v>44.377944709246833</v>
      </c>
      <c r="V42" s="14">
        <f>$J$3+[7]FormattedData!O60*$J$4+$M$4*$J$5+[7]FormattedData!O60^2*$J$6+$M$5*$J$7</f>
        <v>41.819239823152792</v>
      </c>
      <c r="W42" s="16">
        <f t="shared" ref="W42:W73" si="9">AVERAGE(K42:V42)</f>
        <v>42.535677347231889</v>
      </c>
      <c r="X42" s="15">
        <f t="shared" ref="X42:X73" si="10">STDEV(K42:V42)/SQRT(COUNT(K42:V42))</f>
        <v>0.31374073391044394</v>
      </c>
      <c r="Y42" s="14">
        <f t="shared" ref="Y42:Y73" si="11">MIN(K42:V42)</f>
        <v>41.266634528120804</v>
      </c>
      <c r="Z42" s="13">
        <f t="shared" ref="Z42:Z73" si="12">QUARTILE(K42:V42,1)</f>
        <v>41.543127384057485</v>
      </c>
      <c r="AA42" s="14">
        <f t="shared" ref="AA42:AA73" si="13">MEDIAN(K42:V42)</f>
        <v>42.186459834112043</v>
      </c>
      <c r="AB42" s="13">
        <f t="shared" ref="AB42:AB73" si="14">QUARTILE(K42:V42,3)</f>
        <v>43.490723731290579</v>
      </c>
      <c r="AC42" s="13">
        <f t="shared" ref="AC42:AC73" si="15">MAX(K42:V42)</f>
        <v>44.377944709246833</v>
      </c>
      <c r="AD42" s="13">
        <f t="shared" ref="AD42:AD73" si="16">SKEW(K42:V42)</f>
        <v>0.36038757562844098</v>
      </c>
      <c r="AE42" s="13">
        <f t="shared" ref="AE42:AE73" si="17">KURT(K42:V42)</f>
        <v>-1.5926415511446481</v>
      </c>
    </row>
    <row r="43" spans="2:31" x14ac:dyDescent="0.2">
      <c r="B43" s="1">
        <f>[7]FormattedData!A58</f>
        <v>902</v>
      </c>
      <c r="C43" s="1" t="str">
        <f>VLOOKUP($B43,[7]TrtCodes!$B$11:I101,2)</f>
        <v>Late</v>
      </c>
      <c r="D43" s="1">
        <f>VLOOKUP($B43,[7]TrtCodes!$B$11:J101,3)</f>
        <v>22</v>
      </c>
      <c r="E43" s="1">
        <f>VLOOKUP($B43,[7]TrtCodes!$B$11:K101,4)</f>
        <v>4</v>
      </c>
      <c r="F43" s="1">
        <f>VLOOKUP($B43,[7]TrtCodes!$B$11:L101,5)</f>
        <v>2</v>
      </c>
      <c r="G43" s="1">
        <f>VLOOKUP($B43,[7]TrtCodes!$B$11:M101,6)</f>
        <v>2</v>
      </c>
      <c r="H43" s="1">
        <f>VLOOKUP($B43,[7]TrtCodes!$B$11:N101,7)</f>
        <v>1</v>
      </c>
      <c r="I43" s="1">
        <f>[7]FormattedData!B58</f>
        <v>1</v>
      </c>
      <c r="J43" s="4">
        <f>[7]FormattedData!C58</f>
        <v>13.185</v>
      </c>
      <c r="K43" s="6">
        <f>$J$3+[7]FormattedData!D58*$J$4+$M$4*$J$5+[7]FormattedData!D58^2*$J$6+$M$5*$J$7</f>
        <v>36.791012142706158</v>
      </c>
      <c r="L43" s="6">
        <f>$J$3+[7]FormattedData!E58*$J$4+$M$4*$J$5+[7]FormattedData!E58^2*$J$6+$M$5*$J$7</f>
        <v>31.446366710600259</v>
      </c>
      <c r="M43" s="6">
        <f>$J$3+[7]FormattedData!F58*$J$4+$M$4*$J$5+[7]FormattedData!F58^2*$J$6+$M$5*$J$7</f>
        <v>35.087546236644563</v>
      </c>
      <c r="N43" s="6">
        <f>$J$3+[7]FormattedData!G58*$J$4+$M$4*$J$5+[7]FormattedData!G58^2*$J$6+$M$5*$J$7</f>
        <v>31.253034941396471</v>
      </c>
      <c r="O43" s="6">
        <f>$J$3+[7]FormattedData!H58*$J$4+$M$4*$J$5+[7]FormattedData!H58^2*$J$6+$M$5*$J$7</f>
        <v>36.035606925973809</v>
      </c>
      <c r="P43" s="6">
        <f>$J$3+[7]FormattedData!I58*$J$4+$M$4*$J$5+[7]FormattedData!I58^2*$J$6+$M$5*$J$7</f>
        <v>30.575042290238379</v>
      </c>
      <c r="Q43" s="6">
        <f>$J$3+[7]FormattedData!J58*$J$4+$M$4*$J$5+[7]FormattedData!J58^2*$J$6+$M$5*$J$7</f>
        <v>36.319200896282915</v>
      </c>
      <c r="R43" s="6">
        <f>$J$3+[7]FormattedData!K58*$J$4+$M$4*$J$5+[7]FormattedData!K58^2*$J$6+$M$5*$J$7</f>
        <v>30.768965818973204</v>
      </c>
      <c r="S43" s="6">
        <f>$J$3+[7]FormattedData!L58*$J$4+$M$4*$J$5+[7]FormattedData!L58^2*$J$6+$M$5*$J$7</f>
        <v>35.751632538823316</v>
      </c>
      <c r="T43" s="6">
        <f>$J$3+[7]FormattedData!M58*$J$4+$M$4*$J$5+[7]FormattedData!M58^2*$J$6+$M$5*$J$7</f>
        <v>30.186688010313553</v>
      </c>
      <c r="U43" s="6">
        <f>$J$3+[7]FormattedData!N58*$J$4+$M$4*$J$5+[7]FormattedData!N58^2*$J$6+$M$5*$J$7</f>
        <v>35.182542513998186</v>
      </c>
      <c r="V43" s="6">
        <f>$J$3+[7]FormattedData!O58*$J$4+$M$4*$J$5+[7]FormattedData!O58^2*$J$6+$M$5*$J$7</f>
        <v>29.79765743378184</v>
      </c>
      <c r="W43" s="5">
        <f t="shared" si="9"/>
        <v>33.266274704977725</v>
      </c>
      <c r="X43" s="4">
        <f t="shared" si="10"/>
        <v>0.80217078669170694</v>
      </c>
      <c r="Y43" s="3">
        <f t="shared" si="11"/>
        <v>29.79765743378184</v>
      </c>
      <c r="Z43" s="2">
        <f t="shared" si="12"/>
        <v>30.720484936789497</v>
      </c>
      <c r="AA43" s="3">
        <f t="shared" si="13"/>
        <v>33.266956473622415</v>
      </c>
      <c r="AB43" s="2">
        <f t="shared" si="14"/>
        <v>35.822626135610939</v>
      </c>
      <c r="AC43" s="2">
        <f t="shared" si="15"/>
        <v>36.791012142706158</v>
      </c>
      <c r="AD43" s="2">
        <f t="shared" si="16"/>
        <v>8.7499829035037925E-3</v>
      </c>
      <c r="AE43" s="2">
        <f t="shared" si="17"/>
        <v>-2.1407832408650007</v>
      </c>
    </row>
    <row r="44" spans="2:31" x14ac:dyDescent="0.2">
      <c r="B44" s="17">
        <f>[7]FormattedData!A56</f>
        <v>903</v>
      </c>
      <c r="C44" s="17" t="str">
        <f>VLOOKUP($B44,[7]TrtCodes!$B$11:I99,2)</f>
        <v>DS</v>
      </c>
      <c r="D44" s="17">
        <f>VLOOKUP($B44,[7]TrtCodes!$B$11:J99,3)</f>
        <v>31</v>
      </c>
      <c r="E44" s="17">
        <f>VLOOKUP($B44,[7]TrtCodes!$B$11:K99,4)</f>
        <v>8</v>
      </c>
      <c r="F44" s="17">
        <f>VLOOKUP($B44,[7]TrtCodes!$B$11:L99,5)</f>
        <v>0</v>
      </c>
      <c r="G44" s="17">
        <f>VLOOKUP($B44,[7]TrtCodes!$B$11:M99,6)</f>
        <v>1</v>
      </c>
      <c r="H44" s="17">
        <f>VLOOKUP($B44,[7]TrtCodes!$B$11:N99,7)</f>
        <v>1</v>
      </c>
      <c r="I44" s="17">
        <f>[7]FormattedData!B56</f>
        <v>1</v>
      </c>
      <c r="J44" s="15">
        <f>[7]FormattedData!C56</f>
        <v>13.179</v>
      </c>
      <c r="K44" s="14">
        <f>$J$3+[7]FormattedData!D56*$J$4+$M$4*$J$5+[7]FormattedData!D56^2*$J$6+$M$5*$J$7</f>
        <v>59.368684442837498</v>
      </c>
      <c r="L44" s="14">
        <f>$J$3+[7]FormattedData!E56*$J$4+$M$4*$J$5+[7]FormattedData!E56^2*$J$6+$M$5*$J$7</f>
        <v>58.866801393322888</v>
      </c>
      <c r="M44" s="14">
        <f>$J$3+[7]FormattedData!F56*$J$4+$M$4*$J$5+[7]FormattedData!F56^2*$J$6+$M$5*$J$7</f>
        <v>58.866801393322888</v>
      </c>
      <c r="N44" s="14">
        <f>$J$3+[7]FormattedData!G56*$J$4+$M$4*$J$5+[7]FormattedData!G56^2*$J$6+$M$5*$J$7</f>
        <v>58.950554239586815</v>
      </c>
      <c r="O44" s="14">
        <f>$J$3+[7]FormattedData!H56*$J$4+$M$4*$J$5+[7]FormattedData!H56^2*$J$6+$M$5*$J$7</f>
        <v>58.866801393322888</v>
      </c>
      <c r="P44" s="14">
        <f>$J$3+[7]FormattedData!I56*$J$4+$M$4*$J$5+[7]FormattedData!I56^2*$J$6+$M$5*$J$7</f>
        <v>58.699168895181224</v>
      </c>
      <c r="Q44" s="14">
        <f>$J$3+[7]FormattedData!J56*$J$4+$M$4*$J$5+[7]FormattedData!J56^2*$J$6+$M$5*$J$7</f>
        <v>58.531367322887846</v>
      </c>
      <c r="R44" s="14">
        <f>$J$3+[7]FormattedData!K56*$J$4+$M$4*$J$5+[7]FormattedData!K56^2*$J$6+$M$5*$J$7</f>
        <v>58.279347950413289</v>
      </c>
      <c r="S44" s="14">
        <f>$J$3+[7]FormattedData!L56*$J$4+$M$4*$J$5+[7]FormattedData!L56^2*$J$6+$M$5*$J$7</f>
        <v>58.615289243303501</v>
      </c>
      <c r="T44" s="14">
        <f>$J$3+[7]FormattedData!M56*$J$4+$M$4*$J$5+[7]FormattedData!M56^2*$J$6+$M$5*$J$7</f>
        <v>58.699168895181224</v>
      </c>
      <c r="U44" s="14">
        <f>$J$3+[7]FormattedData!N56*$J$4+$M$4*$J$5+[7]FormattedData!N56^2*$J$6+$M$5*$J$7</f>
        <v>58.783006278521029</v>
      </c>
      <c r="V44" s="14">
        <f>$J$3+[7]FormattedData!O56*$J$4+$M$4*$J$5+[7]FormattedData!O56^2*$J$6+$M$5*$J$7</f>
        <v>59.03426481731281</v>
      </c>
      <c r="W44" s="16">
        <f t="shared" si="9"/>
        <v>58.796771355432817</v>
      </c>
      <c r="X44" s="15">
        <f t="shared" si="10"/>
        <v>7.8440940602924517E-2</v>
      </c>
      <c r="Y44" s="14">
        <f t="shared" si="11"/>
        <v>58.279347950413289</v>
      </c>
      <c r="Z44" s="13">
        <f t="shared" si="12"/>
        <v>58.678198982211796</v>
      </c>
      <c r="AA44" s="14">
        <f t="shared" si="13"/>
        <v>58.824903835921958</v>
      </c>
      <c r="AB44" s="13">
        <f t="shared" si="14"/>
        <v>58.887739604888871</v>
      </c>
      <c r="AC44" s="13">
        <f t="shared" si="15"/>
        <v>59.368684442837498</v>
      </c>
      <c r="AD44" s="13">
        <f t="shared" si="16"/>
        <v>0.21784242526254674</v>
      </c>
      <c r="AE44" s="13">
        <f t="shared" si="17"/>
        <v>1.4209047703026165</v>
      </c>
    </row>
    <row r="45" spans="2:31" x14ac:dyDescent="0.2">
      <c r="B45" s="1">
        <f>[7]FormattedData!A54</f>
        <v>904</v>
      </c>
      <c r="C45" s="1" t="str">
        <f>VLOOKUP($B45,[7]TrtCodes!$B$11:I97,2)</f>
        <v>Early</v>
      </c>
      <c r="D45" s="1">
        <f>VLOOKUP($B45,[7]TrtCodes!$B$11:J97,3)</f>
        <v>21</v>
      </c>
      <c r="E45" s="1">
        <f>VLOOKUP($B45,[7]TrtCodes!$B$11:K97,4)</f>
        <v>3</v>
      </c>
      <c r="F45" s="1">
        <f>VLOOKUP($B45,[7]TrtCodes!$B$11:L97,5)</f>
        <v>2</v>
      </c>
      <c r="G45" s="1">
        <f>VLOOKUP($B45,[7]TrtCodes!$B$11:M97,6)</f>
        <v>2</v>
      </c>
      <c r="H45" s="1">
        <f>VLOOKUP($B45,[7]TrtCodes!$B$11:N97,7)</f>
        <v>1</v>
      </c>
      <c r="I45" s="1">
        <f>[7]FormattedData!B54</f>
        <v>1</v>
      </c>
      <c r="J45" s="4">
        <f>[7]FormattedData!C54</f>
        <v>13.164</v>
      </c>
      <c r="K45" s="6">
        <f>$J$3+[7]FormattedData!D54*$J$4+$M$4*$J$5+[7]FormattedData!D54^2*$J$6+$M$5*$J$7</f>
        <v>55.567470929443303</v>
      </c>
      <c r="L45" s="6">
        <f>$J$3+[7]FormattedData!E54*$J$4+$M$4*$J$5+[7]FormattedData!E54^2*$J$6+$M$5*$J$7</f>
        <v>36.602414449750654</v>
      </c>
      <c r="M45" s="6">
        <f>$J$3+[7]FormattedData!F54*$J$4+$M$4*$J$5+[7]FormattedData!F54^2*$J$6+$M$5*$J$7</f>
        <v>52.203850019370442</v>
      </c>
      <c r="N45" s="6">
        <f>$J$3+[7]FormattedData!G54*$J$4+$M$4*$J$5+[7]FormattedData!G54^2*$J$6+$M$5*$J$7</f>
        <v>33.466142435329658</v>
      </c>
      <c r="O45" s="6">
        <f>$J$3+[7]FormattedData!H54*$J$4+$M$4*$J$5+[7]FormattedData!H54^2*$J$6+$M$5*$J$7</f>
        <v>51.593317954750454</v>
      </c>
      <c r="P45" s="6">
        <f>$J$3+[7]FormattedData!I54*$J$4+$M$4*$J$5+[7]FormattedData!I54^2*$J$6+$M$5*$J$7</f>
        <v>33.753160157211205</v>
      </c>
      <c r="Q45" s="6">
        <f>$J$3+[7]FormattedData!J54*$J$4+$M$4*$J$5+[7]FormattedData!J54^2*$J$6+$M$5*$J$7</f>
        <v>57.774167954940047</v>
      </c>
      <c r="R45" s="6">
        <f>$J$3+[7]FormattedData!K54*$J$4+$M$4*$J$5+[7]FormattedData!K54^2*$J$6+$M$5*$J$7</f>
        <v>34.611930821807526</v>
      </c>
      <c r="S45" s="6">
        <f>$J$3+[7]FormattedData!L54*$J$4+$M$4*$J$5+[7]FormattedData!L54^2*$J$6+$M$5*$J$7</f>
        <v>53.764279193073051</v>
      </c>
      <c r="T45" s="6">
        <f>$J$3+[7]FormattedData!M54*$J$4+$M$4*$J$5+[7]FormattedData!M54^2*$J$6+$M$5*$J$7</f>
        <v>33.082860379956578</v>
      </c>
      <c r="U45" s="6">
        <f>$J$3+[7]FormattedData!N54*$J$4+$M$4*$J$5+[7]FormattedData!N54^2*$J$6+$M$5*$J$7</f>
        <v>54.453407342329371</v>
      </c>
      <c r="V45" s="6">
        <f>$J$3+[7]FormattedData!O54*$J$4+$M$4*$J$5+[7]FormattedData!O54^2*$J$6+$M$5*$J$7</f>
        <v>49.395938880220896</v>
      </c>
      <c r="W45" s="5">
        <f t="shared" si="9"/>
        <v>45.522411709848598</v>
      </c>
      <c r="X45" s="4">
        <f t="shared" si="10"/>
        <v>2.9289798542313967</v>
      </c>
      <c r="Y45" s="3">
        <f t="shared" si="11"/>
        <v>33.082860379956578</v>
      </c>
      <c r="Z45" s="2">
        <f t="shared" si="12"/>
        <v>34.397238155658442</v>
      </c>
      <c r="AA45" s="3">
        <f t="shared" si="13"/>
        <v>50.494628417485671</v>
      </c>
      <c r="AB45" s="2">
        <f t="shared" si="14"/>
        <v>53.936561230387127</v>
      </c>
      <c r="AC45" s="2">
        <f t="shared" si="15"/>
        <v>57.774167954940047</v>
      </c>
      <c r="AD45" s="2">
        <f t="shared" si="16"/>
        <v>-0.27270161032228313</v>
      </c>
      <c r="AE45" s="2">
        <f t="shared" si="17"/>
        <v>-2.0703277557953799</v>
      </c>
    </row>
    <row r="46" spans="2:31" x14ac:dyDescent="0.2">
      <c r="B46" s="17">
        <f>[7]FormattedData!A52</f>
        <v>905</v>
      </c>
      <c r="C46" s="17" t="str">
        <f>VLOOKUP($B46,[7]TrtCodes!$B$11:I95,2)</f>
        <v>WS</v>
      </c>
      <c r="D46" s="17">
        <f>VLOOKUP($B46,[7]TrtCodes!$B$11:J95,3)</f>
        <v>32</v>
      </c>
      <c r="E46" s="17">
        <f>VLOOKUP($B46,[7]TrtCodes!$B$11:K95,4)</f>
        <v>9</v>
      </c>
      <c r="F46" s="17">
        <f>VLOOKUP($B46,[7]TrtCodes!$B$11:L95,5)</f>
        <v>0</v>
      </c>
      <c r="G46" s="17">
        <f>VLOOKUP($B46,[7]TrtCodes!$B$11:M95,6)</f>
        <v>1</v>
      </c>
      <c r="H46" s="17">
        <f>VLOOKUP($B46,[7]TrtCodes!$B$11:N95,7)</f>
        <v>2</v>
      </c>
      <c r="I46" s="17">
        <f>[7]FormattedData!B52</f>
        <v>1</v>
      </c>
      <c r="J46" s="15">
        <f>[7]FormattedData!C52</f>
        <v>13.157999999999999</v>
      </c>
      <c r="K46" s="14">
        <f>$J$3+[7]FormattedData!D52*$J$4+$M$4*$J$5+[7]FormattedData!D52^2*$J$6+$M$5*$J$7</f>
        <v>35.940991065461574</v>
      </c>
      <c r="L46" s="14">
        <f>$J$3+[7]FormattedData!E52*$J$4+$M$4*$J$5+[7]FormattedData!E52^2*$J$6+$M$5*$J$7</f>
        <v>36.224711841384483</v>
      </c>
      <c r="M46" s="14">
        <f>$J$3+[7]FormattedData!F52*$J$4+$M$4*$J$5+[7]FormattedData!F52^2*$J$6+$M$5*$J$7</f>
        <v>35.182542513998186</v>
      </c>
      <c r="N46" s="14">
        <f>$J$3+[7]FormattedData!G52*$J$4+$M$4*$J$5+[7]FormattedData!G52^2*$J$6+$M$5*$J$7</f>
        <v>35.372408263091614</v>
      </c>
      <c r="O46" s="14">
        <f>$J$3+[7]FormattedData!H52*$J$4+$M$4*$J$5+[7]FormattedData!H52^2*$J$6+$M$5*$J$7</f>
        <v>38.012775964468631</v>
      </c>
      <c r="P46" s="14">
        <f>$J$3+[7]FormattedData!I52*$J$4+$M$4*$J$5+[7]FormattedData!I52^2*$J$6+$M$5*$J$7</f>
        <v>35.751632538823316</v>
      </c>
      <c r="Q46" s="14">
        <f>$J$3+[7]FormattedData!J52*$J$4+$M$4*$J$5+[7]FormattedData!J52^2*$J$6+$M$5*$J$7</f>
        <v>37.82527725349933</v>
      </c>
      <c r="R46" s="14">
        <f>$J$3+[7]FormattedData!K52*$J$4+$M$4*$J$5+[7]FormattedData!K52^2*$J$6+$M$5*$J$7</f>
        <v>35.27749652281387</v>
      </c>
      <c r="S46" s="14">
        <f>$J$3+[7]FormattedData!L52*$J$4+$M$4*$J$5+[7]FormattedData!L52^2*$J$6+$M$5*$J$7</f>
        <v>34.707138441850802</v>
      </c>
      <c r="T46" s="14">
        <f>$J$3+[7]FormattedData!M52*$J$4+$M$4*$J$5+[7]FormattedData!M52^2*$J$6+$M$5*$J$7</f>
        <v>34.802303793356145</v>
      </c>
      <c r="U46" s="14">
        <f>$J$3+[7]FormattedData!N52*$J$4+$M$4*$J$5+[7]FormattedData!N52^2*$J$6+$M$5*$J$7</f>
        <v>34.516680933226333</v>
      </c>
      <c r="V46" s="14">
        <f>$J$3+[7]FormattedData!O52*$J$4+$M$4*$J$5+[7]FormattedData!O52^2*$J$6+$M$5*$J$7</f>
        <v>35.27749652281387</v>
      </c>
      <c r="W46" s="16">
        <f t="shared" si="9"/>
        <v>35.740954637899016</v>
      </c>
      <c r="X46" s="15">
        <f t="shared" si="10"/>
        <v>0.3268959540025691</v>
      </c>
      <c r="Y46" s="14">
        <f t="shared" si="11"/>
        <v>34.516680933226333</v>
      </c>
      <c r="Z46" s="13">
        <f t="shared" si="12"/>
        <v>35.087482833837676</v>
      </c>
      <c r="AA46" s="14">
        <f t="shared" si="13"/>
        <v>35.324952392952738</v>
      </c>
      <c r="AB46" s="13">
        <f t="shared" si="14"/>
        <v>36.011921259442303</v>
      </c>
      <c r="AC46" s="13">
        <f t="shared" si="15"/>
        <v>38.012775964468631</v>
      </c>
      <c r="AD46" s="13">
        <f t="shared" si="16"/>
        <v>1.2554542414391128</v>
      </c>
      <c r="AE46" s="13">
        <f t="shared" si="17"/>
        <v>0.75236600455289437</v>
      </c>
    </row>
    <row r="47" spans="2:31" x14ac:dyDescent="0.2">
      <c r="B47" s="1">
        <f>[7]FormattedData!A50</f>
        <v>906</v>
      </c>
      <c r="C47" s="1" t="str">
        <f>VLOOKUP($B47,[7]TrtCodes!$B$11:I93,2)</f>
        <v>Late</v>
      </c>
      <c r="D47" s="1">
        <f>VLOOKUP($B47,[7]TrtCodes!$B$11:J93,3)</f>
        <v>22</v>
      </c>
      <c r="E47" s="1">
        <f>VLOOKUP($B47,[7]TrtCodes!$B$11:K93,4)</f>
        <v>4</v>
      </c>
      <c r="F47" s="1">
        <f>VLOOKUP($B47,[7]TrtCodes!$B$11:L93,5)</f>
        <v>2</v>
      </c>
      <c r="G47" s="1">
        <f>VLOOKUP($B47,[7]TrtCodes!$B$11:M93,6)</f>
        <v>2</v>
      </c>
      <c r="H47" s="1">
        <f>VLOOKUP($B47,[7]TrtCodes!$B$11:N93,7)</f>
        <v>2</v>
      </c>
      <c r="I47" s="1">
        <f>[7]FormattedData!B50</f>
        <v>1</v>
      </c>
      <c r="J47" s="4">
        <f>[7]FormattedData!C50</f>
        <v>13.143000000000001</v>
      </c>
      <c r="K47" s="6">
        <f>$J$3+[7]FormattedData!D50*$J$4+$M$4*$J$5+[7]FormattedData!D50^2*$J$6+$M$5*$J$7</f>
        <v>36.413647682643429</v>
      </c>
      <c r="L47" s="6">
        <f>$J$3+[7]FormattedData!E50*$J$4+$M$4*$J$5+[7]FormattedData!E50^2*$J$6+$M$5*$J$7</f>
        <v>30.962720273556297</v>
      </c>
      <c r="M47" s="6">
        <f>$J$3+[7]FormattedData!F50*$J$4+$M$4*$J$5+[7]FormattedData!F50^2*$J$6+$M$5*$J$7</f>
        <v>34.707138441850802</v>
      </c>
      <c r="N47" s="6">
        <f>$J$3+[7]FormattedData!G50*$J$4+$M$4*$J$5+[7]FormattedData!G50^2*$J$6+$M$5*$J$7</f>
        <v>29.310418171013733</v>
      </c>
      <c r="O47" s="6">
        <f>$J$3+[7]FormattedData!H50*$J$4+$M$4*$J$5+[7]FormattedData!H50^2*$J$6+$M$5*$J$7</f>
        <v>36.035606925973809</v>
      </c>
      <c r="P47" s="6">
        <f>$J$3+[7]FormattedData!I50*$J$4+$M$4*$J$5+[7]FormattedData!I50^2*$J$6+$M$5*$J$7</f>
        <v>30.38094968735183</v>
      </c>
      <c r="Q47" s="6">
        <f>$J$3+[7]FormattedData!J50*$J$4+$M$4*$J$5+[7]FormattedData!J50^2*$J$6+$M$5*$J$7</f>
        <v>34.992507690753023</v>
      </c>
      <c r="R47" s="6">
        <f>$J$3+[7]FormattedData!K50*$J$4+$M$4*$J$5+[7]FormattedData!K50^2*$J$6+$M$5*$J$7</f>
        <v>31.059534098040956</v>
      </c>
      <c r="S47" s="6">
        <f>$J$3+[7]FormattedData!L50*$J$4+$M$4*$J$5+[7]FormattedData!L50^2*$J$6+$M$5*$J$7</f>
        <v>33.561857277828111</v>
      </c>
      <c r="T47" s="6">
        <f>$J$3+[7]FormattedData!M50*$J$4+$M$4*$J$5+[7]FormattedData!M50^2*$J$6+$M$5*$J$7</f>
        <v>30.186688010313553</v>
      </c>
      <c r="U47" s="6">
        <f>$J$3+[7]FormattedData!N50*$J$4+$M$4*$J$5+[7]FormattedData!N50^2*$J$6+$M$5*$J$7</f>
        <v>34.897426876323543</v>
      </c>
      <c r="V47" s="6">
        <f>$J$3+[7]FormattedData!O50*$J$4+$M$4*$J$5+[7]FormattedData!O50^2*$J$6+$M$5*$J$7</f>
        <v>28.43072458014149</v>
      </c>
      <c r="W47" s="5">
        <f t="shared" si="9"/>
        <v>32.578268309649218</v>
      </c>
      <c r="X47" s="4">
        <f t="shared" si="10"/>
        <v>0.81051464581541788</v>
      </c>
      <c r="Y47" s="3">
        <f t="shared" si="11"/>
        <v>28.43072458014149</v>
      </c>
      <c r="Z47" s="2">
        <f t="shared" si="12"/>
        <v>30.332384268092262</v>
      </c>
      <c r="AA47" s="3">
        <f t="shared" si="13"/>
        <v>32.310695687934533</v>
      </c>
      <c r="AB47" s="2">
        <f t="shared" si="14"/>
        <v>34.921197079930913</v>
      </c>
      <c r="AC47" s="2">
        <f t="shared" si="15"/>
        <v>36.413647682643429</v>
      </c>
      <c r="AD47" s="2">
        <f t="shared" si="16"/>
        <v>-1.6565786532457917E-2</v>
      </c>
      <c r="AE47" s="2">
        <f t="shared" si="17"/>
        <v>-1.6961249315691158</v>
      </c>
    </row>
    <row r="48" spans="2:31" x14ac:dyDescent="0.2">
      <c r="B48" s="17">
        <f>[7]FormattedData!A48</f>
        <v>907</v>
      </c>
      <c r="C48" s="17" t="str">
        <f>VLOOKUP($B48,[7]TrtCodes!$B$11:I91,2)</f>
        <v>DS</v>
      </c>
      <c r="D48" s="17">
        <f>VLOOKUP($B48,[7]TrtCodes!$B$11:J91,3)</f>
        <v>31</v>
      </c>
      <c r="E48" s="17">
        <f>VLOOKUP($B48,[7]TrtCodes!$B$11:K91,4)</f>
        <v>8</v>
      </c>
      <c r="F48" s="17">
        <f>VLOOKUP($B48,[7]TrtCodes!$B$11:L91,5)</f>
        <v>0</v>
      </c>
      <c r="G48" s="17">
        <f>VLOOKUP($B48,[7]TrtCodes!$B$11:M91,6)</f>
        <v>1</v>
      </c>
      <c r="H48" s="17">
        <f>VLOOKUP($B48,[7]TrtCodes!$B$11:N91,7)</f>
        <v>2</v>
      </c>
      <c r="I48" s="17">
        <f>[7]FormattedData!B48</f>
        <v>1</v>
      </c>
      <c r="J48" s="15">
        <f>[7]FormattedData!C48</f>
        <v>13.137</v>
      </c>
      <c r="K48" s="14">
        <f>$J$3+[7]FormattedData!D48*$J$4+$M$4*$J$5+[7]FormattedData!D48^2*$J$6+$M$5*$J$7</f>
        <v>58.195256955845913</v>
      </c>
      <c r="L48" s="14">
        <f>$J$3+[7]FormattedData!E48*$J$4+$M$4*$J$5+[7]FormattedData!E48^2*$J$6+$M$5*$J$7</f>
        <v>58.447403133934266</v>
      </c>
      <c r="M48" s="14">
        <f>$J$3+[7]FormattedData!F48*$J$4+$M$4*$J$5+[7]FormattedData!F48^2*$J$6+$M$5*$J$7</f>
        <v>58.447403133934266</v>
      </c>
      <c r="N48" s="14">
        <f>$J$3+[7]FormattedData!G48*$J$4+$M$4*$J$5+[7]FormattedData!G48^2*$J$6+$M$5*$J$7</f>
        <v>58.447403133934266</v>
      </c>
      <c r="O48" s="14">
        <f>$J$3+[7]FormattedData!H48*$J$4+$M$4*$J$5+[7]FormattedData!H48^2*$J$6+$M$5*$J$7</f>
        <v>59.45218367787384</v>
      </c>
      <c r="P48" s="14">
        <f>$J$3+[7]FormattedData!I48*$J$4+$M$4*$J$5+[7]FormattedData!I48^2*$J$6+$M$5*$J$7</f>
        <v>58.195256955845913</v>
      </c>
      <c r="Q48" s="14">
        <f>$J$3+[7]FormattedData!J48*$J$4+$M$4*$J$5+[7]FormattedData!J48^2*$J$6+$M$5*$J$7</f>
        <v>57.267466292101282</v>
      </c>
      <c r="R48" s="14">
        <f>$J$3+[7]FormattedData!K48*$J$4+$M$4*$J$5+[7]FormattedData!K48^2*$J$6+$M$5*$J$7</f>
        <v>59.03426481731281</v>
      </c>
      <c r="S48" s="14">
        <f>$J$3+[7]FormattedData!L48*$J$4+$M$4*$J$5+[7]FormattedData!L48^2*$J$6+$M$5*$J$7</f>
        <v>58.026948161097366</v>
      </c>
      <c r="T48" s="14">
        <f>$J$3+[7]FormattedData!M48*$J$4+$M$4*$J$5+[7]FormattedData!M48^2*$J$6+$M$5*$J$7</f>
        <v>57.942730360916194</v>
      </c>
      <c r="U48" s="14">
        <f>$J$3+[7]FormattedData!N48*$J$4+$M$4*$J$5+[7]FormattedData!N48^2*$J$6+$M$5*$J$7</f>
        <v>58.279347950413289</v>
      </c>
      <c r="V48" s="14">
        <f>$J$3+[7]FormattedData!O48*$J$4+$M$4*$J$5+[7]FormattedData!O48^2*$J$6+$M$5*$J$7</f>
        <v>58.783006278521029</v>
      </c>
      <c r="W48" s="16">
        <f t="shared" si="9"/>
        <v>58.376555904310869</v>
      </c>
      <c r="X48" s="15">
        <f t="shared" si="10"/>
        <v>0.16014940860001653</v>
      </c>
      <c r="Y48" s="14">
        <f t="shared" si="11"/>
        <v>57.267466292101282</v>
      </c>
      <c r="Z48" s="13">
        <f t="shared" si="12"/>
        <v>58.153179757158775</v>
      </c>
      <c r="AA48" s="14">
        <f t="shared" si="13"/>
        <v>58.363375542173777</v>
      </c>
      <c r="AB48" s="13">
        <f t="shared" si="14"/>
        <v>58.531303920080958</v>
      </c>
      <c r="AC48" s="13">
        <f t="shared" si="15"/>
        <v>59.45218367787384</v>
      </c>
      <c r="AD48" s="13">
        <f t="shared" si="16"/>
        <v>6.1153780156646166E-2</v>
      </c>
      <c r="AE48" s="13">
        <f t="shared" si="17"/>
        <v>1.154808933421589</v>
      </c>
    </row>
    <row r="49" spans="2:31" ht="13.5" thickBot="1" x14ac:dyDescent="0.25">
      <c r="B49" s="12">
        <f>[7]FormattedData!A46</f>
        <v>908</v>
      </c>
      <c r="C49" s="12" t="str">
        <f>VLOOKUP($B49,[7]TrtCodes!$B$11:I89,2)</f>
        <v>Early</v>
      </c>
      <c r="D49" s="12">
        <f>VLOOKUP($B49,[7]TrtCodes!$B$11:J89,3)</f>
        <v>21</v>
      </c>
      <c r="E49" s="12">
        <f>VLOOKUP($B49,[7]TrtCodes!$B$11:K89,4)</f>
        <v>3</v>
      </c>
      <c r="F49" s="12">
        <f>VLOOKUP($B49,[7]TrtCodes!$B$11:L89,5)</f>
        <v>2</v>
      </c>
      <c r="G49" s="12">
        <f>VLOOKUP($B49,[7]TrtCodes!$B$11:M89,6)</f>
        <v>2</v>
      </c>
      <c r="H49" s="12">
        <f>VLOOKUP($B49,[7]TrtCodes!$B$11:N89,7)</f>
        <v>2</v>
      </c>
      <c r="I49" s="12">
        <f>[7]FormattedData!B46</f>
        <v>1</v>
      </c>
      <c r="J49" s="9">
        <f>[7]FormattedData!C46</f>
        <v>13.122</v>
      </c>
      <c r="K49" s="11">
        <f>$J$3+[7]FormattedData!D46*$J$4+$M$4*$J$5+[7]FormattedData!D46^2*$J$6+$M$5*$J$7</f>
        <v>55.396541485343015</v>
      </c>
      <c r="L49" s="11">
        <f>$J$3+[7]FormattedData!E46*$J$4+$M$4*$J$5+[7]FormattedData!E46^2*$J$6+$M$5*$J$7</f>
        <v>41.911192765775361</v>
      </c>
      <c r="M49" s="11">
        <f>$J$3+[7]FormattedData!F46*$J$4+$M$4*$J$5+[7]FormattedData!F46^2*$J$6+$M$5*$J$7</f>
        <v>52.203850019370442</v>
      </c>
      <c r="N49" s="11">
        <f>$J$3+[7]FormattedData!G46*$J$4+$M$4*$J$5+[7]FormattedData!G46^2*$J$6+$M$5*$J$7</f>
        <v>33.082860379956578</v>
      </c>
      <c r="O49" s="11">
        <f>$J$3+[7]FormattedData!H46*$J$4+$M$4*$J$5+[7]FormattedData!H46^2*$J$6+$M$5*$J$7</f>
        <v>53.245657802537707</v>
      </c>
      <c r="P49" s="11">
        <f>$J$3+[7]FormattedData!I46*$J$4+$M$4*$J$5+[7]FormattedData!I46^2*$J$6+$M$5*$J$7</f>
        <v>33.753160157211205</v>
      </c>
      <c r="Q49" s="11">
        <f>$J$3+[7]FormattedData!J46*$J$4+$M$4*$J$5+[7]FormattedData!J46^2*$J$6+$M$5*$J$7</f>
        <v>51.855228165100897</v>
      </c>
      <c r="R49" s="11">
        <f>$J$3+[7]FormattedData!K46*$J$4+$M$4*$J$5+[7]FormattedData!K46^2*$J$6+$M$5*$J$7</f>
        <v>35.562104938033329</v>
      </c>
      <c r="S49" s="11">
        <f>$J$3+[7]FormattedData!L46*$J$4+$M$4*$J$5+[7]FormattedData!L46^2*$J$6+$M$5*$J$7</f>
        <v>52.464872590424328</v>
      </c>
      <c r="T49" s="11">
        <f>$J$3+[7]FormattedData!M46*$J$4+$M$4*$J$5+[7]FormattedData!M46^2*$J$6+$M$5*$J$7</f>
        <v>35.562104938033329</v>
      </c>
      <c r="U49" s="11">
        <f>$J$3+[7]FormattedData!N46*$J$4+$M$4*$J$5+[7]FormattedData!N46^2*$J$6+$M$5*$J$7</f>
        <v>53.505158706226062</v>
      </c>
      <c r="V49" s="11">
        <f>$J$3+[7]FormattedData!O46*$J$4+$M$4*$J$5+[7]FormattedData!O46^2*$J$6+$M$5*$J$7</f>
        <v>32.698902027976594</v>
      </c>
      <c r="W49" s="10">
        <f t="shared" si="9"/>
        <v>44.270136164665729</v>
      </c>
      <c r="X49" s="9">
        <f t="shared" si="10"/>
        <v>2.7581192532009475</v>
      </c>
      <c r="Y49" s="8">
        <f t="shared" si="11"/>
        <v>32.698902027976594</v>
      </c>
      <c r="Z49" s="7">
        <f t="shared" si="12"/>
        <v>35.1098687428278</v>
      </c>
      <c r="AA49" s="8">
        <f t="shared" si="13"/>
        <v>46.883210465438125</v>
      </c>
      <c r="AB49" s="7">
        <f t="shared" si="14"/>
        <v>52.660068893452674</v>
      </c>
      <c r="AC49" s="7">
        <f t="shared" si="15"/>
        <v>55.396541485343015</v>
      </c>
      <c r="AD49" s="7">
        <f t="shared" si="16"/>
        <v>-0.13412131474171504</v>
      </c>
      <c r="AE49" s="7">
        <f t="shared" si="17"/>
        <v>-2.1759268843246717</v>
      </c>
    </row>
    <row r="50" spans="2:31" ht="13.5" thickTop="1" x14ac:dyDescent="0.2">
      <c r="B50" s="1">
        <f>[7]FormattedData!A29</f>
        <v>101</v>
      </c>
      <c r="C50" s="1" t="str">
        <f>VLOOKUP($B50,[7]TrtCodes!$B$11:I72,2)</f>
        <v>FSH</v>
      </c>
      <c r="D50" s="1">
        <f>VLOOKUP($B50,[7]TrtCodes!$B$11:J72,3)</f>
        <v>1</v>
      </c>
      <c r="E50" s="1">
        <f>VLOOKUP($B50,[7]TrtCodes!$B$11:K72,4)</f>
        <v>1</v>
      </c>
      <c r="F50" s="1">
        <f>VLOOKUP($B50,[7]TrtCodes!$B$11:L72,5)</f>
        <v>1</v>
      </c>
      <c r="G50" s="1">
        <f>VLOOKUP($B50,[7]TrtCodes!$B$11:M72,6)</f>
        <v>2</v>
      </c>
      <c r="H50" s="1">
        <f>VLOOKUP($B50,[7]TrtCodes!$B$11:N72,7)</f>
        <v>1</v>
      </c>
      <c r="I50" s="1">
        <f>[7]FormattedData!B29</f>
        <v>2</v>
      </c>
      <c r="J50" s="4">
        <f>[7]FormattedData!C29</f>
        <v>12.983000000000001</v>
      </c>
      <c r="K50" s="6">
        <f>$J$3+[7]FormattedData!D29*$J$4+$M$4*$J$5+[7]FormattedData!D29^2*$J$6+$M$5*$J$7</f>
        <v>27.055507093066641</v>
      </c>
      <c r="L50" s="6">
        <f>$J$3+[7]FormattedData!E29*$J$4+$M$4*$J$5+[7]FormattedData!E29^2*$J$6+$M$5*$J$7</f>
        <v>26.265948897685931</v>
      </c>
      <c r="M50" s="6">
        <f>$J$3+[7]FormattedData!F29*$J$4+$M$4*$J$5+[7]FormattedData!F29^2*$J$6+$M$5*$J$7</f>
        <v>27.842360102019761</v>
      </c>
      <c r="N50" s="6">
        <f>$J$3+[7]FormattedData!G29*$J$4+$M$4*$J$5+[7]FormattedData!G29^2*$J$6+$M$5*$J$7</f>
        <v>29.115226586140977</v>
      </c>
      <c r="O50" s="6">
        <f>$J$3+[7]FormattedData!H29*$J$4+$M$4*$J$5+[7]FormattedData!H29^2*$J$6+$M$5*$J$7</f>
        <v>28.234772161585969</v>
      </c>
      <c r="P50" s="6">
        <f>$J$3+[7]FormattedData!I29*$J$4+$M$4*$J$5+[7]FormattedData!I29^2*$J$6+$M$5*$J$7</f>
        <v>27.744151415783378</v>
      </c>
      <c r="Q50" s="6">
        <f>$J$3+[7]FormattedData!J29*$J$4+$M$4*$J$5+[7]FormattedData!J29^2*$J$6+$M$5*$J$7</f>
        <v>29.115226586140977</v>
      </c>
      <c r="R50" s="6">
        <f>$J$3+[7]FormattedData!K29*$J$4+$M$4*$J$5+[7]FormattedData!K29^2*$J$6+$M$5*$J$7</f>
        <v>28.038650668878727</v>
      </c>
      <c r="S50" s="6">
        <f>$J$3+[7]FormattedData!L29*$J$4+$M$4*$J$5+[7]FormattedData!L29^2*$J$6+$M$5*$J$7</f>
        <v>27.744151415783378</v>
      </c>
      <c r="T50" s="6">
        <f>$J$3+[7]FormattedData!M29*$J$4+$M$4*$J$5+[7]FormattedData!M29^2*$J$6+$M$5*$J$7</f>
        <v>28.234772161585969</v>
      </c>
      <c r="U50" s="6">
        <f>$J$3+[7]FormattedData!N29*$J$4+$M$4*$J$5+[7]FormattedData!N29^2*$J$6+$M$5*$J$7</f>
        <v>27.940526519718212</v>
      </c>
      <c r="V50" s="6">
        <f>$J$3+[7]FormattedData!O29*$J$4+$M$4*$J$5+[7]FormattedData!O29^2*$J$6+$M$5*$J$7</f>
        <v>28.919865927116494</v>
      </c>
      <c r="W50" s="5">
        <f t="shared" si="9"/>
        <v>28.0209299612922</v>
      </c>
      <c r="X50" s="4">
        <f t="shared" si="10"/>
        <v>0.23834008609370735</v>
      </c>
      <c r="Y50" s="3">
        <f t="shared" si="11"/>
        <v>26.265948897685931</v>
      </c>
      <c r="Z50" s="2">
        <f t="shared" si="12"/>
        <v>27.744151415783378</v>
      </c>
      <c r="AA50" s="3">
        <f t="shared" si="13"/>
        <v>27.989588594298468</v>
      </c>
      <c r="AB50" s="2">
        <f t="shared" si="14"/>
        <v>28.4060456029686</v>
      </c>
      <c r="AC50" s="2">
        <f t="shared" si="15"/>
        <v>29.115226586140977</v>
      </c>
      <c r="AD50" s="2">
        <f t="shared" si="16"/>
        <v>-0.57895954662019811</v>
      </c>
      <c r="AE50" s="2">
        <f t="shared" si="17"/>
        <v>0.67782076633581223</v>
      </c>
    </row>
    <row r="51" spans="2:31" x14ac:dyDescent="0.2">
      <c r="B51" s="1">
        <f>[7]FormattedData!A27</f>
        <v>102</v>
      </c>
      <c r="C51" s="1" t="str">
        <f>VLOOKUP($B51,[7]TrtCodes!$B$11:I70,2)</f>
        <v>FTL</v>
      </c>
      <c r="D51" s="1">
        <f>VLOOKUP($B51,[7]TrtCodes!$B$11:J70,3)</f>
        <v>4</v>
      </c>
      <c r="E51" s="1">
        <f>VLOOKUP($B51,[7]TrtCodes!$B$11:K70,4)</f>
        <v>1</v>
      </c>
      <c r="F51" s="1">
        <f>VLOOKUP($B51,[7]TrtCodes!$B$11:L70,5)</f>
        <v>2</v>
      </c>
      <c r="G51" s="1">
        <f>VLOOKUP($B51,[7]TrtCodes!$B$11:M70,6)</f>
        <v>1</v>
      </c>
      <c r="H51" s="1">
        <f>VLOOKUP($B51,[7]TrtCodes!$B$11:N70,7)</f>
        <v>1</v>
      </c>
      <c r="I51" s="1">
        <f>[7]FormattedData!B27</f>
        <v>2</v>
      </c>
      <c r="J51" s="4">
        <f>[7]FormattedData!C27</f>
        <v>12.967000000000001</v>
      </c>
      <c r="K51" s="6">
        <f>$J$3+[7]FormattedData!D27*$J$4+$M$4*$J$5+[7]FormattedData!D27^2*$J$6+$M$5*$J$7</f>
        <v>26.759739783833357</v>
      </c>
      <c r="L51" s="6">
        <f>$J$3+[7]FormattedData!E27*$J$4+$M$4*$J$5+[7]FormattedData!E27^2*$J$6+$M$5*$J$7</f>
        <v>27.154011659068541</v>
      </c>
      <c r="M51" s="6">
        <f>$J$3+[7]FormattedData!F27*$J$4+$M$4*$J$5+[7]FormattedData!F27^2*$J$6+$M$5*$J$7</f>
        <v>26.661066143679736</v>
      </c>
      <c r="N51" s="6">
        <f>$J$3+[7]FormattedData!G27*$J$4+$M$4*$J$5+[7]FormattedData!G27^2*$J$6+$M$5*$J$7</f>
        <v>26.858371155449049</v>
      </c>
      <c r="O51" s="6">
        <f>$J$3+[7]FormattedData!H27*$J$4+$M$4*$J$5+[7]FormattedData!H27^2*$J$6+$M$5*$J$7</f>
        <v>27.645900461009067</v>
      </c>
      <c r="P51" s="6">
        <f>$J$3+[7]FormattedData!I27*$J$4+$M$4*$J$5+[7]FormattedData!I27^2*$J$6+$M$5*$J$7</f>
        <v>27.252473956532505</v>
      </c>
      <c r="Q51" s="6">
        <f>$J$3+[7]FormattedData!J27*$J$4+$M$4*$J$5+[7]FormattedData!J27^2*$J$6+$M$5*$J$7</f>
        <v>27.055507093066641</v>
      </c>
      <c r="R51" s="6">
        <f>$J$3+[7]FormattedData!K27*$J$4+$M$4*$J$5+[7]FormattedData!K27^2*$J$6+$M$5*$J$7</f>
        <v>26.56235023498818</v>
      </c>
      <c r="S51" s="6">
        <f>$J$3+[7]FormattedData!L27*$J$4+$M$4*$J$5+[7]FormattedData!L27^2*$J$6+$M$5*$J$7</f>
        <v>27.547607237696823</v>
      </c>
      <c r="T51" s="6">
        <f>$J$3+[7]FormattedData!M27*$J$4+$M$4*$J$5+[7]FormattedData!M27^2*$J$6+$M$5*$J$7</f>
        <v>28.234772161585969</v>
      </c>
      <c r="U51" s="6">
        <f>$J$3+[7]FormattedData!N27*$J$4+$M$4*$J$5+[7]FormattedData!N27^2*$J$6+$M$5*$J$7</f>
        <v>28.626507924545283</v>
      </c>
      <c r="V51" s="6">
        <f>$J$3+[7]FormattedData!O27*$J$4+$M$4*$J$5+[7]FormattedData!O27^2*$J$6+$M$5*$J$7</f>
        <v>25.473685515877627</v>
      </c>
      <c r="W51" s="5">
        <f t="shared" si="9"/>
        <v>27.152666110611065</v>
      </c>
      <c r="X51" s="4">
        <f t="shared" si="10"/>
        <v>0.23696222887438911</v>
      </c>
      <c r="Y51" s="3">
        <f t="shared" si="11"/>
        <v>25.473685515877627</v>
      </c>
      <c r="Z51" s="2">
        <f t="shared" si="12"/>
        <v>26.735071373794952</v>
      </c>
      <c r="AA51" s="3">
        <f t="shared" si="13"/>
        <v>27.104759376067591</v>
      </c>
      <c r="AB51" s="2">
        <f t="shared" si="14"/>
        <v>27.572180543524883</v>
      </c>
      <c r="AC51" s="2">
        <f t="shared" si="15"/>
        <v>28.626507924545283</v>
      </c>
      <c r="AD51" s="2">
        <f t="shared" si="16"/>
        <v>-9.7316715205354468E-2</v>
      </c>
      <c r="AE51" s="2">
        <f t="shared" si="17"/>
        <v>0.94049574078587028</v>
      </c>
    </row>
    <row r="52" spans="2:31" x14ac:dyDescent="0.2">
      <c r="B52" s="1">
        <f>[7]FormattedData!A25</f>
        <v>103</v>
      </c>
      <c r="C52" s="1" t="str">
        <f>VLOOKUP($B52,[7]TrtCodes!$B$11:I68,2)</f>
        <v>FDH</v>
      </c>
      <c r="D52" s="1">
        <f>VLOOKUP($B52,[7]TrtCodes!$B$11:J68,3)</f>
        <v>5</v>
      </c>
      <c r="E52" s="1">
        <f>VLOOKUP($B52,[7]TrtCodes!$B$11:K68,4)</f>
        <v>1</v>
      </c>
      <c r="F52" s="1">
        <f>VLOOKUP($B52,[7]TrtCodes!$B$11:L68,5)</f>
        <v>3</v>
      </c>
      <c r="G52" s="1">
        <f>VLOOKUP($B52,[7]TrtCodes!$B$11:M68,6)</f>
        <v>2</v>
      </c>
      <c r="H52" s="1">
        <f>VLOOKUP($B52,[7]TrtCodes!$B$11:N68,7)</f>
        <v>1</v>
      </c>
      <c r="I52" s="1">
        <f>[7]FormattedData!B25</f>
        <v>2</v>
      </c>
      <c r="J52" s="4">
        <f>[7]FormattedData!C25</f>
        <v>12.952</v>
      </c>
      <c r="K52" s="6">
        <f>$J$3+[7]FormattedData!D25*$J$4+$M$4*$J$5+[7]FormattedData!D25^2*$J$6+$M$5*$J$7</f>
        <v>27.547607237696823</v>
      </c>
      <c r="L52" s="6">
        <f>$J$3+[7]FormattedData!E25*$J$4+$M$4*$J$5+[7]FormattedData!E25^2*$J$6+$M$5*$J$7</f>
        <v>29.0175673908977</v>
      </c>
      <c r="M52" s="6">
        <f>$J$3+[7]FormattedData!F25*$J$4+$M$4*$J$5+[7]FormattedData!F25^2*$J$6+$M$5*$J$7</f>
        <v>28.528637386612353</v>
      </c>
      <c r="N52" s="6">
        <f>$J$3+[7]FormattedData!G25*$J$4+$M$4*$J$5+[7]FormattedData!G25^2*$J$6+$M$5*$J$7</f>
        <v>27.744151415783378</v>
      </c>
      <c r="O52" s="6">
        <f>$J$3+[7]FormattedData!H25*$J$4+$M$4*$J$5+[7]FormattedData!H25^2*$J$6+$M$5*$J$7</f>
        <v>28.626507924545283</v>
      </c>
      <c r="P52" s="6">
        <f>$J$3+[7]FormattedData!I25*$J$4+$M$4*$J$5+[7]FormattedData!I25^2*$J$6+$M$5*$J$7</f>
        <v>27.940526519718212</v>
      </c>
      <c r="Q52" s="6">
        <f>$J$3+[7]FormattedData!J25*$J$4+$M$4*$J$5+[7]FormattedData!J25^2*$J$6+$M$5*$J$7</f>
        <v>28.724336193940285</v>
      </c>
      <c r="R52" s="6">
        <f>$J$3+[7]FormattedData!K25*$J$4+$M$4*$J$5+[7]FormattedData!K25^2*$J$6+$M$5*$J$7</f>
        <v>28.038650668878727</v>
      </c>
      <c r="S52" s="6">
        <f>$J$3+[7]FormattedData!L25*$J$4+$M$4*$J$5+[7]FormattedData!L25^2*$J$6+$M$5*$J$7</f>
        <v>27.645900461009067</v>
      </c>
      <c r="T52" s="6">
        <f>$J$3+[7]FormattedData!M25*$J$4+$M$4*$J$5+[7]FormattedData!M25^2*$J$6+$M$5*$J$7</f>
        <v>27.940526519718212</v>
      </c>
      <c r="U52" s="6">
        <f>$J$3+[7]FormattedData!N25*$J$4+$M$4*$J$5+[7]FormattedData!N25^2*$J$6+$M$5*$J$7</f>
        <v>29.115226586140977</v>
      </c>
      <c r="V52" s="6">
        <f>$J$3+[7]FormattedData!O25*$J$4+$M$4*$J$5+[7]FormattedData!O25^2*$J$6+$M$5*$J$7</f>
        <v>27.645900461009067</v>
      </c>
      <c r="W52" s="5">
        <f t="shared" si="9"/>
        <v>28.209628230495841</v>
      </c>
      <c r="X52" s="4">
        <f t="shared" si="10"/>
        <v>0.16232069645000746</v>
      </c>
      <c r="Y52" s="3">
        <f t="shared" si="11"/>
        <v>27.547607237696823</v>
      </c>
      <c r="Z52" s="2">
        <f t="shared" si="12"/>
        <v>27.719588677089799</v>
      </c>
      <c r="AA52" s="3">
        <f t="shared" si="13"/>
        <v>27.989588594298468</v>
      </c>
      <c r="AB52" s="2">
        <f t="shared" si="14"/>
        <v>28.650964991894035</v>
      </c>
      <c r="AC52" s="2">
        <f t="shared" si="15"/>
        <v>29.115226586140977</v>
      </c>
      <c r="AD52" s="2">
        <f t="shared" si="16"/>
        <v>0.44063040076555665</v>
      </c>
      <c r="AE52" s="2">
        <f t="shared" si="17"/>
        <v>-1.4139237353549388</v>
      </c>
    </row>
    <row r="53" spans="2:31" x14ac:dyDescent="0.2">
      <c r="B53" s="1">
        <f>[7]FormattedData!A23</f>
        <v>104</v>
      </c>
      <c r="C53" s="1" t="str">
        <f>VLOOKUP($B53,[7]TrtCodes!$B$11:I66,2)</f>
        <v>NTL</v>
      </c>
      <c r="D53" s="1">
        <f>VLOOKUP($B53,[7]TrtCodes!$B$11:J66,3)</f>
        <v>10</v>
      </c>
      <c r="E53" s="1">
        <f>VLOOKUP($B53,[7]TrtCodes!$B$11:K66,4)</f>
        <v>2</v>
      </c>
      <c r="F53" s="1">
        <f>VLOOKUP($B53,[7]TrtCodes!$B$11:L66,5)</f>
        <v>2</v>
      </c>
      <c r="G53" s="1">
        <f>VLOOKUP($B53,[7]TrtCodes!$B$11:M66,6)</f>
        <v>1</v>
      </c>
      <c r="H53" s="1">
        <f>VLOOKUP($B53,[7]TrtCodes!$B$11:N66,7)</f>
        <v>1</v>
      </c>
      <c r="I53" s="1">
        <f>[7]FormattedData!B23</f>
        <v>2</v>
      </c>
      <c r="J53" s="4">
        <f>[7]FormattedData!C23</f>
        <v>12.933999999999999</v>
      </c>
      <c r="K53" s="6">
        <f>$J$3+[7]FormattedData!D23*$J$4+$M$4*$J$5+[7]FormattedData!D23^2*$J$6+$M$5*$J$7</f>
        <v>31.446366710600259</v>
      </c>
      <c r="L53" s="6">
        <f>$J$3+[7]FormattedData!E23*$J$4+$M$4*$J$5+[7]FormattedData!E23^2*$J$6+$M$5*$J$7</f>
        <v>29.21284351284632</v>
      </c>
      <c r="M53" s="6">
        <f>$J$3+[7]FormattedData!F23*$J$4+$M$4*$J$5+[7]FormattedData!F23^2*$J$6+$M$5*$J$7</f>
        <v>31.156305653987673</v>
      </c>
      <c r="N53" s="6">
        <f>$J$3+[7]FormattedData!G23*$J$4+$M$4*$J$5+[7]FormattedData!G23^2*$J$6+$M$5*$J$7</f>
        <v>29.505440681734765</v>
      </c>
      <c r="O53" s="6">
        <f>$J$3+[7]FormattedData!H23*$J$4+$M$4*$J$5+[7]FormattedData!H23^2*$J$6+$M$5*$J$7</f>
        <v>32.121696443868679</v>
      </c>
      <c r="P53" s="6">
        <f>$J$3+[7]FormattedData!I23*$J$4+$M$4*$J$5+[7]FormattedData!I23^2*$J$6+$M$5*$J$7</f>
        <v>29.0175673908977</v>
      </c>
      <c r="Q53" s="6">
        <f>$J$3+[7]FormattedData!J23*$J$4+$M$4*$J$5+[7]FormattedData!J23^2*$J$6+$M$5*$J$7</f>
        <v>29.60288853428839</v>
      </c>
      <c r="R53" s="6">
        <f>$J$3+[7]FormattedData!K23*$J$4+$M$4*$J$5+[7]FormattedData!K23^2*$J$6+$M$5*$J$7</f>
        <v>31.349721960267328</v>
      </c>
      <c r="S53" s="6">
        <f>$J$3+[7]FormattedData!L23*$J$4+$M$4*$J$5+[7]FormattedData!L23^2*$J$6+$M$5*$J$7</f>
        <v>31.059534098040956</v>
      </c>
      <c r="T53" s="6">
        <f>$J$3+[7]FormattedData!M23*$J$4+$M$4*$J$5+[7]FormattedData!M23^2*$J$6+$M$5*$J$7</f>
        <v>31.639529405652318</v>
      </c>
      <c r="U53" s="6">
        <f>$J$3+[7]FormattedData!N23*$J$4+$M$4*$J$5+[7]FormattedData!N23^2*$J$6+$M$5*$J$7</f>
        <v>30.186688010313553</v>
      </c>
      <c r="V53" s="6">
        <f>$J$3+[7]FormattedData!O23*$J$4+$M$4*$J$5+[7]FormattedData!O23^2*$J$6+$M$5*$J$7</f>
        <v>30.962720273556297</v>
      </c>
      <c r="W53" s="5">
        <f t="shared" si="9"/>
        <v>30.60510855633785</v>
      </c>
      <c r="X53" s="4">
        <f t="shared" si="10"/>
        <v>0.30298909539945668</v>
      </c>
      <c r="Y53" s="3">
        <f t="shared" si="11"/>
        <v>29.0175673908977</v>
      </c>
      <c r="Z53" s="2">
        <f t="shared" si="12"/>
        <v>29.578526571149983</v>
      </c>
      <c r="AA53" s="3">
        <f t="shared" si="13"/>
        <v>31.011127185798628</v>
      </c>
      <c r="AB53" s="2">
        <f t="shared" si="14"/>
        <v>31.37388314785056</v>
      </c>
      <c r="AC53" s="2">
        <f t="shared" si="15"/>
        <v>32.121696443868679</v>
      </c>
      <c r="AD53" s="2">
        <f t="shared" si="16"/>
        <v>-0.30184264674292111</v>
      </c>
      <c r="AE53" s="2">
        <f t="shared" si="17"/>
        <v>-1.435710726856624</v>
      </c>
    </row>
    <row r="54" spans="2:31" x14ac:dyDescent="0.2">
      <c r="B54" s="1">
        <f>[7]FormattedData!A21</f>
        <v>105</v>
      </c>
      <c r="C54" s="1" t="str">
        <f>VLOOKUP($B54,[7]TrtCodes!$B$11:I64,2)</f>
        <v>NDL</v>
      </c>
      <c r="D54" s="1">
        <f>VLOOKUP($B54,[7]TrtCodes!$B$11:J64,3)</f>
        <v>12</v>
      </c>
      <c r="E54" s="1">
        <f>VLOOKUP($B54,[7]TrtCodes!$B$11:K64,4)</f>
        <v>2</v>
      </c>
      <c r="F54" s="1">
        <f>VLOOKUP($B54,[7]TrtCodes!$B$11:L64,5)</f>
        <v>3</v>
      </c>
      <c r="G54" s="1">
        <f>VLOOKUP($B54,[7]TrtCodes!$B$11:M64,6)</f>
        <v>1</v>
      </c>
      <c r="H54" s="1">
        <f>VLOOKUP($B54,[7]TrtCodes!$B$11:N64,7)</f>
        <v>2</v>
      </c>
      <c r="I54" s="1">
        <f>[7]FormattedData!B21</f>
        <v>2</v>
      </c>
      <c r="J54" s="4">
        <f>[7]FormattedData!C21</f>
        <v>12.917</v>
      </c>
      <c r="K54" s="6">
        <f>$J$3+[7]FormattedData!D21*$J$4+$M$4*$J$5+[7]FormattedData!D21^2*$J$6+$M$5*$J$7</f>
        <v>28.038650668878727</v>
      </c>
      <c r="L54" s="6">
        <f>$J$3+[7]FormattedData!E21*$J$4+$M$4*$J$5+[7]FormattedData!E21^2*$J$6+$M$5*$J$7</f>
        <v>27.744151415783378</v>
      </c>
      <c r="M54" s="6">
        <f>$J$3+[7]FormattedData!F21*$J$4+$M$4*$J$5+[7]FormattedData!F21^2*$J$6+$M$5*$J$7</f>
        <v>27.940526519718212</v>
      </c>
      <c r="N54" s="6">
        <f>$J$3+[7]FormattedData!G21*$J$4+$M$4*$J$5+[7]FormattedData!G21^2*$J$6+$M$5*$J$7</f>
        <v>29.0175673908977</v>
      </c>
      <c r="O54" s="6">
        <f>$J$3+[7]FormattedData!H21*$J$4+$M$4*$J$5+[7]FormattedData!H21^2*$J$6+$M$5*$J$7</f>
        <v>27.547607237696823</v>
      </c>
      <c r="P54" s="6">
        <f>$J$3+[7]FormattedData!I21*$J$4+$M$4*$J$5+[7]FormattedData!I21^2*$J$6+$M$5*$J$7</f>
        <v>28.332769505132696</v>
      </c>
      <c r="Q54" s="6">
        <f>$J$3+[7]FormattedData!J21*$J$4+$M$4*$J$5+[7]FormattedData!J21^2*$J$6+$M$5*$J$7</f>
        <v>28.038650668878727</v>
      </c>
      <c r="R54" s="6">
        <f>$J$3+[7]FormattedData!K21*$J$4+$M$4*$J$5+[7]FormattedData!K21^2*$J$6+$M$5*$J$7</f>
        <v>28.919865927116494</v>
      </c>
      <c r="S54" s="6">
        <f>$J$3+[7]FormattedData!L21*$J$4+$M$4*$J$5+[7]FormattedData!L21^2*$J$6+$M$5*$J$7</f>
        <v>27.940526519718212</v>
      </c>
      <c r="T54" s="6">
        <f>$J$3+[7]FormattedData!M21*$J$4+$M$4*$J$5+[7]FormattedData!M21^2*$J$6+$M$5*$J$7</f>
        <v>28.332769505132696</v>
      </c>
      <c r="U54" s="6">
        <f>$J$3+[7]FormattedData!N21*$J$4+$M$4*$J$5+[7]FormattedData!N21^2*$J$6+$M$5*$J$7</f>
        <v>28.038650668878727</v>
      </c>
      <c r="V54" s="6">
        <f>$J$3+[7]FormattedData!O21*$J$4+$M$4*$J$5+[7]FormattedData!O21^2*$J$6+$M$5*$J$7</f>
        <v>26.167063914842654</v>
      </c>
      <c r="W54" s="5">
        <f t="shared" si="9"/>
        <v>28.004899995222917</v>
      </c>
      <c r="X54" s="4">
        <f t="shared" si="10"/>
        <v>0.20860481524579036</v>
      </c>
      <c r="Y54" s="3">
        <f t="shared" si="11"/>
        <v>26.167063914842654</v>
      </c>
      <c r="Z54" s="2">
        <f t="shared" si="12"/>
        <v>27.891432743734505</v>
      </c>
      <c r="AA54" s="3">
        <f t="shared" si="13"/>
        <v>28.038650668878727</v>
      </c>
      <c r="AB54" s="2">
        <f t="shared" si="14"/>
        <v>28.332769505132696</v>
      </c>
      <c r="AC54" s="2">
        <f t="shared" si="15"/>
        <v>29.0175673908977</v>
      </c>
      <c r="AD54" s="2">
        <f t="shared" si="16"/>
        <v>-1.2854335892602997</v>
      </c>
      <c r="AE54" s="2">
        <f t="shared" si="17"/>
        <v>3.6132905531801391</v>
      </c>
    </row>
    <row r="55" spans="2:31" x14ac:dyDescent="0.2">
      <c r="B55" s="1">
        <f>[7]FormattedData!A19</f>
        <v>106</v>
      </c>
      <c r="C55" s="1" t="str">
        <f>VLOOKUP($B55,[7]TrtCodes!$B$11:I62,2)</f>
        <v>NTH</v>
      </c>
      <c r="D55" s="1">
        <f>VLOOKUP($B55,[7]TrtCodes!$B$11:J62,3)</f>
        <v>9</v>
      </c>
      <c r="E55" s="1">
        <f>VLOOKUP($B55,[7]TrtCodes!$B$11:K62,4)</f>
        <v>2</v>
      </c>
      <c r="F55" s="1">
        <f>VLOOKUP($B55,[7]TrtCodes!$B$11:L62,5)</f>
        <v>2</v>
      </c>
      <c r="G55" s="1">
        <f>VLOOKUP($B55,[7]TrtCodes!$B$11:M62,6)</f>
        <v>2</v>
      </c>
      <c r="H55" s="1">
        <f>VLOOKUP($B55,[7]TrtCodes!$B$11:N62,7)</f>
        <v>2</v>
      </c>
      <c r="I55" s="1">
        <f>[7]FormattedData!B19</f>
        <v>2</v>
      </c>
      <c r="J55" s="4">
        <f>[7]FormattedData!C19</f>
        <v>12.896000000000001</v>
      </c>
      <c r="K55" s="6">
        <f>$J$3+[7]FormattedData!D19*$J$4+$M$4*$J$5+[7]FormattedData!D19^2*$J$6+$M$5*$J$7</f>
        <v>28.234772161585969</v>
      </c>
      <c r="L55" s="6">
        <f>$J$3+[7]FormattedData!E19*$J$4+$M$4*$J$5+[7]FormattedData!E19^2*$J$6+$M$5*$J$7</f>
        <v>27.842360102019761</v>
      </c>
      <c r="M55" s="6">
        <f>$J$3+[7]FormattedData!F19*$J$4+$M$4*$J$5+[7]FormattedData!F19^2*$J$6+$M$5*$J$7</f>
        <v>29.0175673908977</v>
      </c>
      <c r="N55" s="6">
        <f>$J$3+[7]FormattedData!G19*$J$4+$M$4*$J$5+[7]FormattedData!G19^2*$J$6+$M$5*$J$7</f>
        <v>29.21284351284632</v>
      </c>
      <c r="O55" s="6">
        <f>$J$3+[7]FormattedData!H19*$J$4+$M$4*$J$5+[7]FormattedData!H19^2*$J$6+$M$5*$J$7</f>
        <v>29.407950560643219</v>
      </c>
      <c r="P55" s="6">
        <f>$J$3+[7]FormattedData!I19*$J$4+$M$4*$J$5+[7]FormattedData!I19^2*$J$6+$M$5*$J$7</f>
        <v>28.626507924545283</v>
      </c>
      <c r="Q55" s="6">
        <f>$J$3+[7]FormattedData!J19*$J$4+$M$4*$J$5+[7]FormattedData!J19^2*$J$6+$M$5*$J$7</f>
        <v>27.940526519718212</v>
      </c>
      <c r="R55" s="6">
        <f>$J$3+[7]FormattedData!K19*$J$4+$M$4*$J$5+[7]FormattedData!K19^2*$J$6+$M$5*$J$7</f>
        <v>30.38094968735183</v>
      </c>
      <c r="S55" s="6">
        <f>$J$3+[7]FormattedData!L19*$J$4+$M$4*$J$5+[7]FormattedData!L19^2*$J$6+$M$5*$J$7</f>
        <v>30.478017123064067</v>
      </c>
      <c r="T55" s="6">
        <f>$J$3+[7]FormattedData!M19*$J$4+$M$4*$J$5+[7]FormattedData!M19^2*$J$6+$M$5*$J$7</f>
        <v>30.186688010313553</v>
      </c>
      <c r="U55" s="6">
        <f>$J$3+[7]FormattedData!N19*$J$4+$M$4*$J$5+[7]FormattedData!N19^2*$J$6+$M$5*$J$7</f>
        <v>27.350893985458544</v>
      </c>
      <c r="V55" s="6">
        <f>$J$3+[7]FormattedData!O19*$J$4+$M$4*$J$5+[7]FormattedData!O19^2*$J$6+$M$5*$J$7</f>
        <v>30.478017123064067</v>
      </c>
      <c r="W55" s="5">
        <f t="shared" si="9"/>
        <v>29.096424508459048</v>
      </c>
      <c r="X55" s="4">
        <f t="shared" si="10"/>
        <v>0.32206738566757365</v>
      </c>
      <c r="Y55" s="3">
        <f t="shared" si="11"/>
        <v>27.350893985458544</v>
      </c>
      <c r="Z55" s="2">
        <f t="shared" si="12"/>
        <v>28.161210751119029</v>
      </c>
      <c r="AA55" s="3">
        <f t="shared" si="13"/>
        <v>29.115205451872008</v>
      </c>
      <c r="AB55" s="2">
        <f t="shared" si="14"/>
        <v>30.23525342957312</v>
      </c>
      <c r="AC55" s="2">
        <f t="shared" si="15"/>
        <v>30.478017123064067</v>
      </c>
      <c r="AD55" s="2">
        <f t="shared" si="16"/>
        <v>-6.7355275159283856E-2</v>
      </c>
      <c r="AE55" s="2">
        <f t="shared" si="17"/>
        <v>-1.4323390756647201</v>
      </c>
    </row>
    <row r="56" spans="2:31" x14ac:dyDescent="0.2">
      <c r="B56" s="1">
        <f>[7]FormattedData!A17</f>
        <v>107</v>
      </c>
      <c r="C56" s="1" t="str">
        <f>VLOOKUP($B56,[7]TrtCodes!$B$11:I60,2)</f>
        <v>NTL</v>
      </c>
      <c r="D56" s="1">
        <f>VLOOKUP($B56,[7]TrtCodes!$B$11:J60,3)</f>
        <v>10</v>
      </c>
      <c r="E56" s="1">
        <f>VLOOKUP($B56,[7]TrtCodes!$B$11:K60,4)</f>
        <v>2</v>
      </c>
      <c r="F56" s="1">
        <f>VLOOKUP($B56,[7]TrtCodes!$B$11:L60,5)</f>
        <v>2</v>
      </c>
      <c r="G56" s="1">
        <f>VLOOKUP($B56,[7]TrtCodes!$B$11:M60,6)</f>
        <v>1</v>
      </c>
      <c r="H56" s="1">
        <f>VLOOKUP($B56,[7]TrtCodes!$B$11:N60,7)</f>
        <v>2</v>
      </c>
      <c r="I56" s="1">
        <f>[7]FormattedData!B17</f>
        <v>2</v>
      </c>
      <c r="J56" s="4">
        <f>[7]FormattedData!C17</f>
        <v>12.878</v>
      </c>
      <c r="K56" s="6">
        <f>$J$3+[7]FormattedData!D17*$J$4+$M$4*$J$5+[7]FormattedData!D17^2*$J$6+$M$5*$J$7</f>
        <v>29.894978480721662</v>
      </c>
      <c r="L56" s="6">
        <f>$J$3+[7]FormattedData!E17*$J$4+$M$4*$J$5+[7]FormattedData!E17^2*$J$6+$M$5*$J$7</f>
        <v>29.0175673908977</v>
      </c>
      <c r="M56" s="6">
        <f>$J$3+[7]FormattedData!F17*$J$4+$M$4*$J$5+[7]FormattedData!F17^2*$J$6+$M$5*$J$7</f>
        <v>29.700294118304075</v>
      </c>
      <c r="N56" s="6">
        <f>$J$3+[7]FormattedData!G17*$J$4+$M$4*$J$5+[7]FormattedData!G17^2*$J$6+$M$5*$J$7</f>
        <v>29.60288853428839</v>
      </c>
      <c r="O56" s="6">
        <f>$J$3+[7]FormattedData!H17*$J$4+$M$4*$J$5+[7]FormattedData!H17^2*$J$6+$M$5*$J$7</f>
        <v>29.992257259123555</v>
      </c>
      <c r="P56" s="6">
        <f>$J$3+[7]FormattedData!I17*$J$4+$M$4*$J$5+[7]FormattedData!I17^2*$J$6+$M$5*$J$7</f>
        <v>28.528637386612353</v>
      </c>
      <c r="Q56" s="6">
        <f>$J$3+[7]FormattedData!J17*$J$4+$M$4*$J$5+[7]FormattedData!J17^2*$J$6+$M$5*$J$7</f>
        <v>30.865864180533716</v>
      </c>
      <c r="R56" s="6">
        <f>$J$3+[7]FormattedData!K17*$J$4+$M$4*$J$5+[7]FormattedData!K17^2*$J$6+$M$5*$J$7</f>
        <v>29.407950560643219</v>
      </c>
      <c r="S56" s="6">
        <f>$J$3+[7]FormattedData!L17*$J$4+$M$4*$J$5+[7]FormattedData!L17^2*$J$6+$M$5*$J$7</f>
        <v>30.768965818973204</v>
      </c>
      <c r="T56" s="6">
        <f>$J$3+[7]FormattedData!M17*$J$4+$M$4*$J$5+[7]FormattedData!M17^2*$J$6+$M$5*$J$7</f>
        <v>31.736047350371457</v>
      </c>
      <c r="U56" s="6">
        <f>$J$3+[7]FormattedData!N17*$J$4+$M$4*$J$5+[7]FormattedData!N17^2*$J$6+$M$5*$J$7</f>
        <v>30.962720273556297</v>
      </c>
      <c r="V56" s="6">
        <f>$J$3+[7]FormattedData!O17*$J$4+$M$4*$J$5+[7]FormattedData!O17^2*$J$6+$M$5*$J$7</f>
        <v>29.115226586140977</v>
      </c>
      <c r="W56" s="5">
        <f t="shared" si="9"/>
        <v>29.966116495013882</v>
      </c>
      <c r="X56" s="4">
        <f t="shared" si="10"/>
        <v>0.27233532333145377</v>
      </c>
      <c r="Y56" s="3">
        <f t="shared" si="11"/>
        <v>28.528637386612353</v>
      </c>
      <c r="Z56" s="2">
        <f t="shared" si="12"/>
        <v>29.334769567017659</v>
      </c>
      <c r="AA56" s="3">
        <f t="shared" si="13"/>
        <v>29.797636299512867</v>
      </c>
      <c r="AB56" s="2">
        <f t="shared" si="14"/>
        <v>30.793190409363334</v>
      </c>
      <c r="AC56" s="2">
        <f t="shared" si="15"/>
        <v>31.736047350371457</v>
      </c>
      <c r="AD56" s="2">
        <f t="shared" si="16"/>
        <v>0.40271684831000226</v>
      </c>
      <c r="AE56" s="2">
        <f t="shared" si="17"/>
        <v>-0.53330089133100467</v>
      </c>
    </row>
    <row r="57" spans="2:31" x14ac:dyDescent="0.2">
      <c r="B57" s="1">
        <f>[7]FormattedData!A15</f>
        <v>108</v>
      </c>
      <c r="C57" s="1" t="str">
        <f>VLOOKUP($B57,[7]TrtCodes!$B$11:I58,2)</f>
        <v>FTH</v>
      </c>
      <c r="D57" s="1">
        <f>VLOOKUP($B57,[7]TrtCodes!$B$11:J58,3)</f>
        <v>3</v>
      </c>
      <c r="E57" s="1">
        <f>VLOOKUP($B57,[7]TrtCodes!$B$11:K58,4)</f>
        <v>1</v>
      </c>
      <c r="F57" s="1">
        <f>VLOOKUP($B57,[7]TrtCodes!$B$11:L58,5)</f>
        <v>2</v>
      </c>
      <c r="G57" s="1">
        <f>VLOOKUP($B57,[7]TrtCodes!$B$11:M58,6)</f>
        <v>2</v>
      </c>
      <c r="H57" s="1">
        <f>VLOOKUP($B57,[7]TrtCodes!$B$11:N58,7)</f>
        <v>2</v>
      </c>
      <c r="I57" s="1">
        <f>[7]FormattedData!B15</f>
        <v>2</v>
      </c>
      <c r="J57" s="4">
        <f>[7]FormattedData!C15</f>
        <v>12.863</v>
      </c>
      <c r="K57" s="6">
        <f>$J$3+[7]FormattedData!D15*$J$4+$M$4*$J$5+[7]FormattedData!D15^2*$J$6+$M$5*$J$7</f>
        <v>28.626507924545283</v>
      </c>
      <c r="L57" s="6">
        <f>$J$3+[7]FormattedData!E15*$J$4+$M$4*$J$5+[7]FormattedData!E15^2*$J$6+$M$5*$J$7</f>
        <v>27.842360102019761</v>
      </c>
      <c r="M57" s="6">
        <f>$J$3+[7]FormattedData!F15*$J$4+$M$4*$J$5+[7]FormattedData!F15^2*$J$6+$M$5*$J$7</f>
        <v>28.43072458014149</v>
      </c>
      <c r="N57" s="6">
        <f>$J$3+[7]FormattedData!G15*$J$4+$M$4*$J$5+[7]FormattedData!G15^2*$J$6+$M$5*$J$7</f>
        <v>28.528637386612353</v>
      </c>
      <c r="O57" s="6">
        <f>$J$3+[7]FormattedData!H15*$J$4+$M$4*$J$5+[7]FormattedData!H15^2*$J$6+$M$5*$J$7</f>
        <v>29.79765743378184</v>
      </c>
      <c r="P57" s="6">
        <f>$J$3+[7]FormattedData!I15*$J$4+$M$4*$J$5+[7]FormattedData!I15^2*$J$6+$M$5*$J$7</f>
        <v>28.528637386612353</v>
      </c>
      <c r="Q57" s="6">
        <f>$J$3+[7]FormattedData!J15*$J$4+$M$4*$J$5+[7]FormattedData!J15^2*$J$6+$M$5*$J$7</f>
        <v>28.528637386612353</v>
      </c>
      <c r="R57" s="6">
        <f>$J$3+[7]FormattedData!K15*$J$4+$M$4*$J$5+[7]FormattedData!K15^2*$J$6+$M$5*$J$7</f>
        <v>27.252473956532505</v>
      </c>
      <c r="S57" s="6">
        <f>$J$3+[7]FormattedData!L15*$J$4+$M$4*$J$5+[7]FormattedData!L15^2*$J$6+$M$5*$J$7</f>
        <v>28.822122194797355</v>
      </c>
      <c r="T57" s="6">
        <f>$J$3+[7]FormattedData!M15*$J$4+$M$4*$J$5+[7]FormattedData!M15^2*$J$6+$M$5*$J$7</f>
        <v>27.744151415783378</v>
      </c>
      <c r="U57" s="6">
        <f>$J$3+[7]FormattedData!N15*$J$4+$M$4*$J$5+[7]FormattedData!N15^2*$J$6+$M$5*$J$7</f>
        <v>29.0175673908977</v>
      </c>
      <c r="V57" s="6">
        <f>$J$3+[7]FormattedData!O15*$J$4+$M$4*$J$5+[7]FormattedData!O15^2*$J$6+$M$5*$J$7</f>
        <v>27.645900461009067</v>
      </c>
      <c r="W57" s="5">
        <f t="shared" si="9"/>
        <v>28.397114801612123</v>
      </c>
      <c r="X57" s="4">
        <f t="shared" si="10"/>
        <v>0.19926754831664001</v>
      </c>
      <c r="Y57" s="3">
        <f t="shared" si="11"/>
        <v>27.252473956532505</v>
      </c>
      <c r="Z57" s="2">
        <f t="shared" si="12"/>
        <v>27.817807930460667</v>
      </c>
      <c r="AA57" s="3">
        <f t="shared" si="13"/>
        <v>28.528637386612353</v>
      </c>
      <c r="AB57" s="2">
        <f t="shared" si="14"/>
        <v>28.675411492108303</v>
      </c>
      <c r="AC57" s="2">
        <f t="shared" si="15"/>
        <v>29.79765743378184</v>
      </c>
      <c r="AD57" s="2">
        <f t="shared" si="16"/>
        <v>0.23514831815237605</v>
      </c>
      <c r="AE57" s="2">
        <f t="shared" si="17"/>
        <v>0.369365222170428</v>
      </c>
    </row>
    <row r="58" spans="2:31" x14ac:dyDescent="0.2">
      <c r="B58" s="1">
        <f>[7]FormattedData!A31</f>
        <v>201</v>
      </c>
      <c r="C58" s="1" t="str">
        <f>VLOOKUP($B58,[7]TrtCodes!$B$11:I74,2)</f>
        <v>NDL</v>
      </c>
      <c r="D58" s="1">
        <f>VLOOKUP($B58,[7]TrtCodes!$B$11:J74,3)</f>
        <v>12</v>
      </c>
      <c r="E58" s="1">
        <f>VLOOKUP($B58,[7]TrtCodes!$B$11:K74,4)</f>
        <v>2</v>
      </c>
      <c r="F58" s="1">
        <f>VLOOKUP($B58,[7]TrtCodes!$B$11:L74,5)</f>
        <v>3</v>
      </c>
      <c r="G58" s="1">
        <f>VLOOKUP($B58,[7]TrtCodes!$B$11:M74,6)</f>
        <v>1</v>
      </c>
      <c r="H58" s="1">
        <f>VLOOKUP($B58,[7]TrtCodes!$B$11:N74,7)</f>
        <v>1</v>
      </c>
      <c r="I58" s="1">
        <f>[7]FormattedData!B31</f>
        <v>2</v>
      </c>
      <c r="J58" s="4">
        <f>[7]FormattedData!C31</f>
        <v>13.003</v>
      </c>
      <c r="K58" s="6">
        <f>$J$3+[7]FormattedData!D31*$J$4+$M$4*$J$5+[7]FormattedData!D31^2*$J$6+$M$5*$J$7</f>
        <v>28.528637386612353</v>
      </c>
      <c r="L58" s="6">
        <f>$J$3+[7]FormattedData!E31*$J$4+$M$4*$J$5+[7]FormattedData!E31^2*$J$6+$M$5*$J$7</f>
        <v>27.449271745846652</v>
      </c>
      <c r="M58" s="6">
        <f>$J$3+[7]FormattedData!F31*$J$4+$M$4*$J$5+[7]FormattedData!F31^2*$J$6+$M$5*$J$7</f>
        <v>29.115226586140977</v>
      </c>
      <c r="N58" s="6">
        <f>$J$3+[7]FormattedData!G31*$J$4+$M$4*$J$5+[7]FormattedData!G31^2*$J$6+$M$5*$J$7</f>
        <v>28.43072458014149</v>
      </c>
      <c r="O58" s="6">
        <f>$J$3+[7]FormattedData!H31*$J$4+$M$4*$J$5+[7]FormattedData!H31^2*$J$6+$M$5*$J$7</f>
        <v>29.310418171013733</v>
      </c>
      <c r="P58" s="6">
        <f>$J$3+[7]FormattedData!I31*$J$4+$M$4*$J$5+[7]FormattedData!I31^2*$J$6+$M$5*$J$7</f>
        <v>29.894978480721662</v>
      </c>
      <c r="Q58" s="6">
        <f>$J$3+[7]FormattedData!J31*$J$4+$M$4*$J$5+[7]FormattedData!J31^2*$J$6+$M$5*$J$7</f>
        <v>30.865864180533716</v>
      </c>
      <c r="R58" s="6">
        <f>$J$3+[7]FormattedData!K31*$J$4+$M$4*$J$5+[7]FormattedData!K31^2*$J$6+$M$5*$J$7</f>
        <v>27.842360102019761</v>
      </c>
      <c r="S58" s="6">
        <f>$J$3+[7]FormattedData!L31*$J$4+$M$4*$J$5+[7]FormattedData!L31^2*$J$6+$M$5*$J$7</f>
        <v>28.724336193940285</v>
      </c>
      <c r="T58" s="6">
        <f>$J$3+[7]FormattedData!M31*$J$4+$M$4*$J$5+[7]FormattedData!M31^2*$J$6+$M$5*$J$7</f>
        <v>28.234772161585969</v>
      </c>
      <c r="U58" s="6">
        <f>$J$3+[7]FormattedData!N31*$J$4+$M$4*$J$5+[7]FormattedData!N31^2*$J$6+$M$5*$J$7</f>
        <v>30.478017123064067</v>
      </c>
      <c r="V58" s="6">
        <f>$J$3+[7]FormattedData!O31*$J$4+$M$4*$J$5+[7]FormattedData!O31^2*$J$6+$M$5*$J$7</f>
        <v>30.575042290238379</v>
      </c>
      <c r="W58" s="5">
        <f t="shared" si="9"/>
        <v>29.120804083488256</v>
      </c>
      <c r="X58" s="4">
        <f t="shared" si="10"/>
        <v>0.32374409072059412</v>
      </c>
      <c r="Y58" s="3">
        <f t="shared" si="11"/>
        <v>27.449271745846652</v>
      </c>
      <c r="Z58" s="2">
        <f t="shared" si="12"/>
        <v>28.38173647550261</v>
      </c>
      <c r="AA58" s="3">
        <f t="shared" si="13"/>
        <v>28.919781390040633</v>
      </c>
      <c r="AB58" s="2">
        <f t="shared" si="14"/>
        <v>30.040738141307262</v>
      </c>
      <c r="AC58" s="2">
        <f t="shared" si="15"/>
        <v>30.865864180533716</v>
      </c>
      <c r="AD58" s="2">
        <f t="shared" si="16"/>
        <v>0.25572184940604559</v>
      </c>
      <c r="AE58" s="2">
        <f t="shared" si="17"/>
        <v>-1.1477134821752397</v>
      </c>
    </row>
    <row r="59" spans="2:31" x14ac:dyDescent="0.2">
      <c r="B59" s="1">
        <f>[7]FormattedData!A33</f>
        <v>202</v>
      </c>
      <c r="C59" s="1" t="str">
        <f>VLOOKUP($B59,[7]TrtCodes!$B$11:I76,2)</f>
        <v>NTH</v>
      </c>
      <c r="D59" s="1">
        <f>VLOOKUP($B59,[7]TrtCodes!$B$11:J76,3)</f>
        <v>9</v>
      </c>
      <c r="E59" s="1">
        <f>VLOOKUP($B59,[7]TrtCodes!$B$11:K76,4)</f>
        <v>2</v>
      </c>
      <c r="F59" s="1">
        <f>VLOOKUP($B59,[7]TrtCodes!$B$11:L76,5)</f>
        <v>2</v>
      </c>
      <c r="G59" s="1">
        <f>VLOOKUP($B59,[7]TrtCodes!$B$11:M76,6)</f>
        <v>2</v>
      </c>
      <c r="H59" s="1">
        <f>VLOOKUP($B59,[7]TrtCodes!$B$11:N76,7)</f>
        <v>1</v>
      </c>
      <c r="I59" s="1">
        <f>[7]FormattedData!B33</f>
        <v>2</v>
      </c>
      <c r="J59" s="4">
        <f>[7]FormattedData!C33</f>
        <v>13.016</v>
      </c>
      <c r="K59" s="6">
        <f>$J$3+[7]FormattedData!D33*$J$4+$M$4*$J$5+[7]FormattedData!D33^2*$J$6+$M$5*$J$7</f>
        <v>29.310418171013733</v>
      </c>
      <c r="L59" s="6">
        <f>$J$3+[7]FormattedData!E33*$J$4+$M$4*$J$5+[7]FormattedData!E33^2*$J$6+$M$5*$J$7</f>
        <v>29.60288853428839</v>
      </c>
      <c r="M59" s="6">
        <f>$J$3+[7]FormattedData!F33*$J$4+$M$4*$J$5+[7]FormattedData!F33^2*$J$6+$M$5*$J$7</f>
        <v>31.542969192395255</v>
      </c>
      <c r="N59" s="6">
        <f>$J$3+[7]FormattedData!G33*$J$4+$M$4*$J$5+[7]FormattedData!G33^2*$J$6+$M$5*$J$7</f>
        <v>30.865864180533716</v>
      </c>
      <c r="O59" s="6">
        <f>$J$3+[7]FormattedData!H33*$J$4+$M$4*$J$5+[7]FormattedData!H33^2*$J$6+$M$5*$J$7</f>
        <v>32.025347573301275</v>
      </c>
      <c r="P59" s="6">
        <f>$J$3+[7]FormattedData!I33*$J$4+$M$4*$J$5+[7]FormattedData!I33^2*$J$6+$M$5*$J$7</f>
        <v>30.865864180533716</v>
      </c>
      <c r="Q59" s="6">
        <f>$J$3+[7]FormattedData!J33*$J$4+$M$4*$J$5+[7]FormattedData!J33^2*$J$6+$M$5*$J$7</f>
        <v>31.639529405652318</v>
      </c>
      <c r="R59" s="6">
        <f>$J$3+[7]FormattedData!K33*$J$4+$M$4*$J$5+[7]FormattedData!K33^2*$J$6+$M$5*$J$7</f>
        <v>32.410489444343334</v>
      </c>
      <c r="S59" s="6">
        <f>$J$3+[7]FormattedData!L33*$J$4+$M$4*$J$5+[7]FormattedData!L33^2*$J$6+$M$5*$J$7</f>
        <v>32.89096574104245</v>
      </c>
      <c r="T59" s="6">
        <f>$J$3+[7]FormattedData!M33*$J$4+$M$4*$J$5+[7]FormattedData!M33^2*$J$6+$M$5*$J$7</f>
        <v>31.928956434195936</v>
      </c>
      <c r="U59" s="6">
        <f>$J$3+[7]FormattedData!N33*$J$4+$M$4*$J$5+[7]FormattedData!N33^2*$J$6+$M$5*$J$7</f>
        <v>31.253034941396471</v>
      </c>
      <c r="V59" s="6">
        <f>$J$3+[7]FormattedData!O33*$J$4+$M$4*$J$5+[7]FormattedData!O33^2*$J$6+$M$5*$J$7</f>
        <v>32.121696443868679</v>
      </c>
      <c r="W59" s="5">
        <f t="shared" si="9"/>
        <v>31.371502020213779</v>
      </c>
      <c r="X59" s="4">
        <f t="shared" si="10"/>
        <v>0.31008307337253582</v>
      </c>
      <c r="Y59" s="3">
        <f t="shared" si="11"/>
        <v>29.310418171013733</v>
      </c>
      <c r="Z59" s="2">
        <f t="shared" si="12"/>
        <v>30.865864180533716</v>
      </c>
      <c r="AA59" s="3">
        <f t="shared" si="13"/>
        <v>31.591249299023787</v>
      </c>
      <c r="AB59" s="2">
        <f t="shared" si="14"/>
        <v>32.049434790943124</v>
      </c>
      <c r="AC59" s="2">
        <f t="shared" si="15"/>
        <v>32.89096574104245</v>
      </c>
      <c r="AD59" s="2">
        <f t="shared" si="16"/>
        <v>-0.79386462046167738</v>
      </c>
      <c r="AE59" s="2">
        <f t="shared" si="17"/>
        <v>0.11636289256707411</v>
      </c>
    </row>
    <row r="60" spans="2:31" x14ac:dyDescent="0.2">
      <c r="B60" s="1">
        <f>[7]FormattedData!A35</f>
        <v>203</v>
      </c>
      <c r="C60" s="1" t="str">
        <f>VLOOKUP($B60,[7]TrtCodes!$B$11:I78,2)</f>
        <v>FTH</v>
      </c>
      <c r="D60" s="1">
        <f>VLOOKUP($B60,[7]TrtCodes!$B$11:J78,3)</f>
        <v>3</v>
      </c>
      <c r="E60" s="1">
        <f>VLOOKUP($B60,[7]TrtCodes!$B$11:K78,4)</f>
        <v>1</v>
      </c>
      <c r="F60" s="1">
        <f>VLOOKUP($B60,[7]TrtCodes!$B$11:L78,5)</f>
        <v>2</v>
      </c>
      <c r="G60" s="1">
        <f>VLOOKUP($B60,[7]TrtCodes!$B$11:M78,6)</f>
        <v>2</v>
      </c>
      <c r="H60" s="1">
        <f>VLOOKUP($B60,[7]TrtCodes!$B$11:N78,7)</f>
        <v>1</v>
      </c>
      <c r="I60" s="1">
        <f>[7]FormattedData!B35</f>
        <v>2</v>
      </c>
      <c r="J60" s="4">
        <f>[7]FormattedData!C35</f>
        <v>13.03</v>
      </c>
      <c r="K60" s="6">
        <f>$J$3+[7]FormattedData!D35*$J$4+$M$4*$J$5+[7]FormattedData!D35^2*$J$6+$M$5*$J$7</f>
        <v>28.724336193940285</v>
      </c>
      <c r="L60" s="6">
        <f>$J$3+[7]FormattedData!E35*$J$4+$M$4*$J$5+[7]FormattedData!E35^2*$J$6+$M$5*$J$7</f>
        <v>29.310418171013733</v>
      </c>
      <c r="M60" s="6">
        <f>$J$3+[7]FormattedData!F35*$J$4+$M$4*$J$5+[7]FormattedData!F35^2*$J$6+$M$5*$J$7</f>
        <v>28.234772161585969</v>
      </c>
      <c r="N60" s="6">
        <f>$J$3+[7]FormattedData!G35*$J$4+$M$4*$J$5+[7]FormattedData!G35^2*$J$6+$M$5*$J$7</f>
        <v>28.822122194797355</v>
      </c>
      <c r="O60" s="6">
        <f>$J$3+[7]FormattedData!H35*$J$4+$M$4*$J$5+[7]FormattedData!H35^2*$J$6+$M$5*$J$7</f>
        <v>30.089493768987523</v>
      </c>
      <c r="P60" s="6">
        <f>$J$3+[7]FormattedData!I35*$J$4+$M$4*$J$5+[7]FormattedData!I35^2*$J$6+$M$5*$J$7</f>
        <v>29.79765743378184</v>
      </c>
      <c r="Q60" s="6">
        <f>$J$3+[7]FormattedData!J35*$J$4+$M$4*$J$5+[7]FormattedData!J35^2*$J$6+$M$5*$J$7</f>
        <v>32.025347573301275</v>
      </c>
      <c r="R60" s="6">
        <f>$J$3+[7]FormattedData!K35*$J$4+$M$4*$J$5+[7]FormattedData!K35^2*$J$6+$M$5*$J$7</f>
        <v>30.089493768987523</v>
      </c>
      <c r="S60" s="6">
        <f>$J$3+[7]FormattedData!L35*$J$4+$M$4*$J$5+[7]FormattedData!L35^2*$J$6+$M$5*$J$7</f>
        <v>31.542969192395255</v>
      </c>
      <c r="T60" s="6">
        <f>$J$3+[7]FormattedData!M35*$J$4+$M$4*$J$5+[7]FormattedData!M35^2*$J$6+$M$5*$J$7</f>
        <v>30.478017123064067</v>
      </c>
      <c r="U60" s="6">
        <f>$J$3+[7]FormattedData!N35*$J$4+$M$4*$J$5+[7]FormattedData!N35^2*$J$6+$M$5*$J$7</f>
        <v>31.832523026552664</v>
      </c>
      <c r="V60" s="6">
        <f>$J$3+[7]FormattedData!O35*$J$4+$M$4*$J$5+[7]FormattedData!O35^2*$J$6+$M$5*$J$7</f>
        <v>30.186688010313553</v>
      </c>
      <c r="W60" s="5">
        <f t="shared" si="9"/>
        <v>30.094486551560092</v>
      </c>
      <c r="X60" s="4">
        <f t="shared" si="10"/>
        <v>0.35526745281773336</v>
      </c>
      <c r="Y60" s="3">
        <f t="shared" si="11"/>
        <v>28.234772161585969</v>
      </c>
      <c r="Z60" s="2">
        <f t="shared" si="12"/>
        <v>29.188344176959639</v>
      </c>
      <c r="AA60" s="3">
        <f t="shared" si="13"/>
        <v>30.089493768987523</v>
      </c>
      <c r="AB60" s="2">
        <f t="shared" si="14"/>
        <v>30.744255140396863</v>
      </c>
      <c r="AC60" s="2">
        <f t="shared" si="15"/>
        <v>32.025347573301275</v>
      </c>
      <c r="AD60" s="2">
        <f t="shared" si="16"/>
        <v>0.23252759543826329</v>
      </c>
      <c r="AE60" s="2">
        <f t="shared" si="17"/>
        <v>-0.87757428822053862</v>
      </c>
    </row>
    <row r="61" spans="2:31" x14ac:dyDescent="0.2">
      <c r="B61" s="1">
        <f>[7]FormattedData!A37</f>
        <v>204</v>
      </c>
      <c r="C61" s="1" t="str">
        <f>VLOOKUP($B61,[7]TrtCodes!$B$11:I80,2)</f>
        <v>NDH</v>
      </c>
      <c r="D61" s="1">
        <f>VLOOKUP($B61,[7]TrtCodes!$B$11:J80,3)</f>
        <v>11</v>
      </c>
      <c r="E61" s="1">
        <f>VLOOKUP($B61,[7]TrtCodes!$B$11:K80,4)</f>
        <v>2</v>
      </c>
      <c r="F61" s="1">
        <f>VLOOKUP($B61,[7]TrtCodes!$B$11:L80,5)</f>
        <v>3</v>
      </c>
      <c r="G61" s="1">
        <f>VLOOKUP($B61,[7]TrtCodes!$B$11:M80,6)</f>
        <v>2</v>
      </c>
      <c r="H61" s="1">
        <f>VLOOKUP($B61,[7]TrtCodes!$B$11:N80,7)</f>
        <v>1</v>
      </c>
      <c r="I61" s="1">
        <f>[7]FormattedData!B37</f>
        <v>2</v>
      </c>
      <c r="J61" s="4">
        <f>[7]FormattedData!C37</f>
        <v>13.045</v>
      </c>
      <c r="K61" s="6">
        <f>$J$3+[7]FormattedData!D37*$J$4+$M$4*$J$5+[7]FormattedData!D37^2*$J$6+$M$5*$J$7</f>
        <v>30.283839983101661</v>
      </c>
      <c r="L61" s="6">
        <f>$J$3+[7]FormattedData!E37*$J$4+$M$4*$J$5+[7]FormattedData!E37^2*$J$6+$M$5*$J$7</f>
        <v>31.156305653987673</v>
      </c>
      <c r="M61" s="6">
        <f>$J$3+[7]FormattedData!F37*$J$4+$M$4*$J$5+[7]FormattedData!F37^2*$J$6+$M$5*$J$7</f>
        <v>30.283839983101661</v>
      </c>
      <c r="N61" s="6">
        <f>$J$3+[7]FormattedData!G37*$J$4+$M$4*$J$5+[7]FormattedData!G37^2*$J$6+$M$5*$J$7</f>
        <v>31.349721960267328</v>
      </c>
      <c r="O61" s="6">
        <f>$J$3+[7]FormattedData!H37*$J$4+$M$4*$J$5+[7]FormattedData!H37^2*$J$6+$M$5*$J$7</f>
        <v>30.865864180533716</v>
      </c>
      <c r="P61" s="6">
        <f>$J$3+[7]FormattedData!I37*$J$4+$M$4*$J$5+[7]FormattedData!I37^2*$J$6+$M$5*$J$7</f>
        <v>29.60288853428839</v>
      </c>
      <c r="Q61" s="6">
        <f>$J$3+[7]FormattedData!J37*$J$4+$M$4*$J$5+[7]FormattedData!J37^2*$J$6+$M$5*$J$7</f>
        <v>31.059534098040956</v>
      </c>
      <c r="R61" s="6">
        <f>$J$3+[7]FormattedData!K37*$J$4+$M$4*$J$5+[7]FormattedData!K37^2*$J$6+$M$5*$J$7</f>
        <v>30.478017123064067</v>
      </c>
      <c r="S61" s="6">
        <f>$J$3+[7]FormattedData!L37*$J$4+$M$4*$J$5+[7]FormattedData!L37^2*$J$6+$M$5*$J$7</f>
        <v>31.156305653987673</v>
      </c>
      <c r="T61" s="6">
        <f>$J$3+[7]FormattedData!M37*$J$4+$M$4*$J$5+[7]FormattedData!M37^2*$J$6+$M$5*$J$7</f>
        <v>30.865864180533716</v>
      </c>
      <c r="U61" s="6">
        <f>$J$3+[7]FormattedData!N37*$J$4+$M$4*$J$5+[7]FormattedData!N37^2*$J$6+$M$5*$J$7</f>
        <v>29.60288853428839</v>
      </c>
      <c r="V61" s="6">
        <f>$J$3+[7]FormattedData!O37*$J$4+$M$4*$J$5+[7]FormattedData!O37^2*$J$6+$M$5*$J$7</f>
        <v>29.992257259123555</v>
      </c>
      <c r="W61" s="5">
        <f t="shared" si="9"/>
        <v>30.558110595359903</v>
      </c>
      <c r="X61" s="4">
        <f t="shared" si="10"/>
        <v>0.17592020721885784</v>
      </c>
      <c r="Y61" s="3">
        <f t="shared" si="11"/>
        <v>29.60288853428839</v>
      </c>
      <c r="Z61" s="2">
        <f t="shared" si="12"/>
        <v>30.210944302107134</v>
      </c>
      <c r="AA61" s="3">
        <f t="shared" si="13"/>
        <v>30.671940651798892</v>
      </c>
      <c r="AB61" s="2">
        <f t="shared" si="14"/>
        <v>31.083726987027635</v>
      </c>
      <c r="AC61" s="2">
        <f t="shared" si="15"/>
        <v>31.349721960267328</v>
      </c>
      <c r="AD61" s="2">
        <f t="shared" si="16"/>
        <v>-0.41338425830931991</v>
      </c>
      <c r="AE61" s="2">
        <f t="shared" si="17"/>
        <v>-1.1668106778930074</v>
      </c>
    </row>
    <row r="62" spans="2:31" x14ac:dyDescent="0.2">
      <c r="B62" s="1">
        <f>[7]FormattedData!A39</f>
        <v>205</v>
      </c>
      <c r="C62" s="1" t="str">
        <f>VLOOKUP($B62,[7]TrtCodes!$B$11:I82,2)</f>
        <v>FSH</v>
      </c>
      <c r="D62" s="1">
        <f>VLOOKUP($B62,[7]TrtCodes!$B$11:J82,3)</f>
        <v>1</v>
      </c>
      <c r="E62" s="1">
        <f>VLOOKUP($B62,[7]TrtCodes!$B$11:K82,4)</f>
        <v>1</v>
      </c>
      <c r="F62" s="1">
        <f>VLOOKUP($B62,[7]TrtCodes!$B$11:L82,5)</f>
        <v>1</v>
      </c>
      <c r="G62" s="1">
        <f>VLOOKUP($B62,[7]TrtCodes!$B$11:M82,6)</f>
        <v>2</v>
      </c>
      <c r="H62" s="1">
        <f>VLOOKUP($B62,[7]TrtCodes!$B$11:N82,7)</f>
        <v>2</v>
      </c>
      <c r="I62" s="1">
        <f>[7]FormattedData!B39</f>
        <v>2</v>
      </c>
      <c r="J62" s="4">
        <f>[7]FormattedData!C39</f>
        <v>13.058</v>
      </c>
      <c r="K62" s="6">
        <f>$J$3+[7]FormattedData!D39*$J$4+$M$4*$J$5+[7]FormattedData!D39^2*$J$6+$M$5*$J$7</f>
        <v>29.0175673908977</v>
      </c>
      <c r="L62" s="6">
        <f>$J$3+[7]FormattedData!E39*$J$4+$M$4*$J$5+[7]FormattedData!E39^2*$J$6+$M$5*$J$7</f>
        <v>29.0175673908977</v>
      </c>
      <c r="M62" s="6">
        <f>$J$3+[7]FormattedData!F39*$J$4+$M$4*$J$5+[7]FormattedData!F39^2*$J$6+$M$5*$J$7</f>
        <v>27.645900461009067</v>
      </c>
      <c r="N62" s="6">
        <f>$J$3+[7]FormattedData!G39*$J$4+$M$4*$J$5+[7]FormattedData!G39^2*$J$6+$M$5*$J$7</f>
        <v>27.744151415783378</v>
      </c>
      <c r="O62" s="6">
        <f>$J$3+[7]FormattedData!H39*$J$4+$M$4*$J$5+[7]FormattedData!H39^2*$J$6+$M$5*$J$7</f>
        <v>29.115226586140977</v>
      </c>
      <c r="P62" s="6">
        <f>$J$3+[7]FormattedData!I39*$J$4+$M$4*$J$5+[7]FormattedData!I39^2*$J$6+$M$5*$J$7</f>
        <v>28.724336193940285</v>
      </c>
      <c r="Q62" s="6">
        <f>$J$3+[7]FormattedData!J39*$J$4+$M$4*$J$5+[7]FormattedData!J39^2*$J$6+$M$5*$J$7</f>
        <v>28.528637386612353</v>
      </c>
      <c r="R62" s="6">
        <f>$J$3+[7]FormattedData!K39*$J$4+$M$4*$J$5+[7]FormattedData!K39^2*$J$6+$M$5*$J$7</f>
        <v>27.645900461009067</v>
      </c>
      <c r="S62" s="6">
        <f>$J$3+[7]FormattedData!L39*$J$4+$M$4*$J$5+[7]FormattedData!L39^2*$J$6+$M$5*$J$7</f>
        <v>28.528637386612353</v>
      </c>
      <c r="T62" s="6">
        <f>$J$3+[7]FormattedData!M39*$J$4+$M$4*$J$5+[7]FormattedData!M39^2*$J$6+$M$5*$J$7</f>
        <v>29.310418171013733</v>
      </c>
      <c r="U62" s="6">
        <f>$J$3+[7]FormattedData!N39*$J$4+$M$4*$J$5+[7]FormattedData!N39^2*$J$6+$M$5*$J$7</f>
        <v>29.992257259123555</v>
      </c>
      <c r="V62" s="6">
        <f>$J$3+[7]FormattedData!O39*$J$4+$M$4*$J$5+[7]FormattedData!O39^2*$J$6+$M$5*$J$7</f>
        <v>27.055507093066641</v>
      </c>
      <c r="W62" s="5">
        <f t="shared" si="9"/>
        <v>28.527175599675569</v>
      </c>
      <c r="X62" s="4">
        <f t="shared" si="10"/>
        <v>0.24553295085951585</v>
      </c>
      <c r="Y62" s="3">
        <f t="shared" si="11"/>
        <v>27.055507093066641</v>
      </c>
      <c r="Z62" s="2">
        <f t="shared" si="12"/>
        <v>27.719588677089799</v>
      </c>
      <c r="AA62" s="3">
        <f t="shared" si="13"/>
        <v>28.626486790276317</v>
      </c>
      <c r="AB62" s="2">
        <f t="shared" si="14"/>
        <v>29.04198218970852</v>
      </c>
      <c r="AC62" s="2">
        <f t="shared" si="15"/>
        <v>29.992257259123555</v>
      </c>
      <c r="AD62" s="2">
        <f t="shared" si="16"/>
        <v>-0.17094504408717934</v>
      </c>
      <c r="AE62" s="2">
        <f t="shared" si="17"/>
        <v>-0.57284858063074307</v>
      </c>
    </row>
    <row r="63" spans="2:31" x14ac:dyDescent="0.2">
      <c r="B63" s="1">
        <f>[7]FormattedData!A41</f>
        <v>206</v>
      </c>
      <c r="C63" s="1" t="str">
        <f>VLOOKUP($B63,[7]TrtCodes!$B$11:I84,2)</f>
        <v>NSL</v>
      </c>
      <c r="D63" s="1">
        <f>VLOOKUP($B63,[7]TrtCodes!$B$11:J84,3)</f>
        <v>8</v>
      </c>
      <c r="E63" s="1">
        <f>VLOOKUP($B63,[7]TrtCodes!$B$11:K84,4)</f>
        <v>2</v>
      </c>
      <c r="F63" s="1">
        <f>VLOOKUP($B63,[7]TrtCodes!$B$11:L84,5)</f>
        <v>1</v>
      </c>
      <c r="G63" s="1">
        <f>VLOOKUP($B63,[7]TrtCodes!$B$11:M84,6)</f>
        <v>1</v>
      </c>
      <c r="H63" s="1">
        <f>VLOOKUP($B63,[7]TrtCodes!$B$11:N84,7)</f>
        <v>2</v>
      </c>
      <c r="I63" s="1">
        <f>[7]FormattedData!B41</f>
        <v>2</v>
      </c>
      <c r="J63" s="4">
        <f>[7]FormattedData!C41</f>
        <v>13.074999999999999</v>
      </c>
      <c r="K63" s="6">
        <f>$J$3+[7]FormattedData!D41*$J$4+$M$4*$J$5+[7]FormattedData!D41^2*$J$6+$M$5*$J$7</f>
        <v>28.822122194797355</v>
      </c>
      <c r="L63" s="6">
        <f>$J$3+[7]FormattedData!E41*$J$4+$M$4*$J$5+[7]FormattedData!E41^2*$J$6+$M$5*$J$7</f>
        <v>29.992257259123555</v>
      </c>
      <c r="M63" s="6">
        <f>$J$3+[7]FormattedData!F41*$J$4+$M$4*$J$5+[7]FormattedData!F41^2*$J$6+$M$5*$J$7</f>
        <v>28.234772161585969</v>
      </c>
      <c r="N63" s="6">
        <f>$J$3+[7]FormattedData!G41*$J$4+$M$4*$J$5+[7]FormattedData!G41^2*$J$6+$M$5*$J$7</f>
        <v>29.79765743378184</v>
      </c>
      <c r="O63" s="6">
        <f>$J$3+[7]FormattedData!H41*$J$4+$M$4*$J$5+[7]FormattedData!H41^2*$J$6+$M$5*$J$7</f>
        <v>28.136732549501314</v>
      </c>
      <c r="P63" s="6">
        <f>$J$3+[7]FormattedData!I41*$J$4+$M$4*$J$5+[7]FormattedData!I41^2*$J$6+$M$5*$J$7</f>
        <v>30.283839983101661</v>
      </c>
      <c r="Q63" s="6">
        <f>$J$3+[7]FormattedData!J41*$J$4+$M$4*$J$5+[7]FormattedData!J41^2*$J$6+$M$5*$J$7</f>
        <v>28.724336193940285</v>
      </c>
      <c r="R63" s="6">
        <f>$J$3+[7]FormattedData!K41*$J$4+$M$4*$J$5+[7]FormattedData!K41^2*$J$6+$M$5*$J$7</f>
        <v>29.407950560643219</v>
      </c>
      <c r="S63" s="6">
        <f>$J$3+[7]FormattedData!L41*$J$4+$M$4*$J$5+[7]FormattedData!L41^2*$J$6+$M$5*$J$7</f>
        <v>30.283839983101661</v>
      </c>
      <c r="T63" s="6">
        <f>$J$3+[7]FormattedData!M41*$J$4+$M$4*$J$5+[7]FormattedData!M41^2*$J$6+$M$5*$J$7</f>
        <v>28.43072458014149</v>
      </c>
      <c r="U63" s="6">
        <f>$J$3+[7]FormattedData!N41*$J$4+$M$4*$J$5+[7]FormattedData!N41^2*$J$6+$M$5*$J$7</f>
        <v>27.547607237696823</v>
      </c>
      <c r="V63" s="6">
        <f>$J$3+[7]FormattedData!O41*$J$4+$M$4*$J$5+[7]FormattedData!O41^2*$J$6+$M$5*$J$7</f>
        <v>28.332769505132696</v>
      </c>
      <c r="W63" s="5">
        <f t="shared" si="9"/>
        <v>28.999550803545656</v>
      </c>
      <c r="X63" s="4">
        <f t="shared" si="10"/>
        <v>0.26686868932610219</v>
      </c>
      <c r="Y63" s="3">
        <f t="shared" si="11"/>
        <v>27.547607237696823</v>
      </c>
      <c r="Z63" s="2">
        <f t="shared" si="12"/>
        <v>28.308270169246015</v>
      </c>
      <c r="AA63" s="3">
        <f t="shared" si="13"/>
        <v>28.77322919436882</v>
      </c>
      <c r="AB63" s="2">
        <f t="shared" si="14"/>
        <v>29.846307390117268</v>
      </c>
      <c r="AC63" s="2">
        <f t="shared" si="15"/>
        <v>30.283839983101661</v>
      </c>
      <c r="AD63" s="2">
        <f t="shared" si="16"/>
        <v>0.15656756967017119</v>
      </c>
      <c r="AE63" s="2">
        <f t="shared" si="17"/>
        <v>-1.3375445312101482</v>
      </c>
    </row>
    <row r="64" spans="2:31" x14ac:dyDescent="0.2">
      <c r="B64" s="1">
        <f>[7]FormattedData!A43</f>
        <v>207</v>
      </c>
      <c r="C64" s="1" t="str">
        <f>VLOOKUP($B64,[7]TrtCodes!$B$11:I86,2)</f>
        <v>FTL</v>
      </c>
      <c r="D64" s="1">
        <f>VLOOKUP($B64,[7]TrtCodes!$B$11:J86,3)</f>
        <v>4</v>
      </c>
      <c r="E64" s="1">
        <f>VLOOKUP($B64,[7]TrtCodes!$B$11:K86,4)</f>
        <v>1</v>
      </c>
      <c r="F64" s="1">
        <f>VLOOKUP($B64,[7]TrtCodes!$B$11:L86,5)</f>
        <v>2</v>
      </c>
      <c r="G64" s="1">
        <f>VLOOKUP($B64,[7]TrtCodes!$B$11:M86,6)</f>
        <v>1</v>
      </c>
      <c r="H64" s="1">
        <f>VLOOKUP($B64,[7]TrtCodes!$B$11:N86,7)</f>
        <v>2</v>
      </c>
      <c r="I64" s="1">
        <f>[7]FormattedData!B43</f>
        <v>2</v>
      </c>
      <c r="J64" s="4">
        <f>[7]FormattedData!C43</f>
        <v>13.09</v>
      </c>
      <c r="K64" s="6">
        <f>$J$3+[7]FormattedData!D43*$J$4+$M$4*$J$5+[7]FormattedData!D43^2*$J$6+$M$5*$J$7</f>
        <v>27.252473956532505</v>
      </c>
      <c r="L64" s="6">
        <f>$J$3+[7]FormattedData!E43*$J$4+$M$4*$J$5+[7]FormattedData!E43^2*$J$6+$M$5*$J$7</f>
        <v>26.265948897685931</v>
      </c>
      <c r="M64" s="6">
        <f>$J$3+[7]FormattedData!F43*$J$4+$M$4*$J$5+[7]FormattedData!F43^2*$J$6+$M$5*$J$7</f>
        <v>28.234772161585969</v>
      </c>
      <c r="N64" s="6">
        <f>$J$3+[7]FormattedData!G43*$J$4+$M$4*$J$5+[7]FormattedData!G43^2*$J$6+$M$5*$J$7</f>
        <v>27.744151415783378</v>
      </c>
      <c r="O64" s="6">
        <f>$J$3+[7]FormattedData!H43*$J$4+$M$4*$J$5+[7]FormattedData!H43^2*$J$6+$M$5*$J$7</f>
        <v>26.56235023498818</v>
      </c>
      <c r="P64" s="6">
        <f>$J$3+[7]FormattedData!I43*$J$4+$M$4*$J$5+[7]FormattedData!I43^2*$J$6+$M$5*$J$7</f>
        <v>28.332769505132696</v>
      </c>
      <c r="Q64" s="6">
        <f>$J$3+[7]FormattedData!J43*$J$4+$M$4*$J$5+[7]FormattedData!J43^2*$J$6+$M$5*$J$7</f>
        <v>28.43072458014149</v>
      </c>
      <c r="R64" s="6">
        <f>$J$3+[7]FormattedData!K43*$J$4+$M$4*$J$5+[7]FormattedData!K43^2*$J$6+$M$5*$J$7</f>
        <v>25.57286637848642</v>
      </c>
      <c r="S64" s="6">
        <f>$J$3+[7]FormattedData!L43*$J$4+$M$4*$J$5+[7]FormattedData!L43^2*$J$6+$M$5*$J$7</f>
        <v>28.822122194797355</v>
      </c>
      <c r="T64" s="6">
        <f>$J$3+[7]FormattedData!M43*$J$4+$M$4*$J$5+[7]FormattedData!M43^2*$J$6+$M$5*$J$7</f>
        <v>27.154011659068541</v>
      </c>
      <c r="U64" s="6">
        <f>$J$3+[7]FormattedData!N43*$J$4+$M$4*$J$5+[7]FormattedData!N43^2*$J$6+$M$5*$J$7</f>
        <v>28.332769505132696</v>
      </c>
      <c r="V64" s="6">
        <f>$J$3+[7]FormattedData!O43*$J$4+$M$4*$J$5+[7]FormattedData!O43^2*$J$6+$M$5*$J$7</f>
        <v>28.234772161585969</v>
      </c>
      <c r="W64" s="5">
        <f t="shared" si="9"/>
        <v>27.578311054243429</v>
      </c>
      <c r="X64" s="4">
        <f t="shared" si="10"/>
        <v>0.29341193547300043</v>
      </c>
      <c r="Y64" s="3">
        <f t="shared" si="11"/>
        <v>25.57286637848642</v>
      </c>
      <c r="Z64" s="2">
        <f t="shared" si="12"/>
        <v>27.006096303048452</v>
      </c>
      <c r="AA64" s="3">
        <f t="shared" si="13"/>
        <v>27.989461788684672</v>
      </c>
      <c r="AB64" s="2">
        <f t="shared" si="14"/>
        <v>28.332769505132696</v>
      </c>
      <c r="AC64" s="2">
        <f t="shared" si="15"/>
        <v>28.822122194797355</v>
      </c>
      <c r="AD64" s="2">
        <f t="shared" si="16"/>
        <v>-0.78049610697819283</v>
      </c>
      <c r="AE64" s="2">
        <f t="shared" si="17"/>
        <v>-0.46155076846568788</v>
      </c>
    </row>
    <row r="65" spans="2:31" x14ac:dyDescent="0.2">
      <c r="B65" s="1">
        <f>[7]FormattedData!A45</f>
        <v>208</v>
      </c>
      <c r="C65" s="1" t="str">
        <f>VLOOKUP($B65,[7]TrtCodes!$B$11:I88,2)</f>
        <v>FSL</v>
      </c>
      <c r="D65" s="1">
        <f>VLOOKUP($B65,[7]TrtCodes!$B$11:J88,3)</f>
        <v>2</v>
      </c>
      <c r="E65" s="1">
        <f>VLOOKUP($B65,[7]TrtCodes!$B$11:K88,4)</f>
        <v>1</v>
      </c>
      <c r="F65" s="1">
        <f>VLOOKUP($B65,[7]TrtCodes!$B$11:L88,5)</f>
        <v>1</v>
      </c>
      <c r="G65" s="1">
        <f>VLOOKUP($B65,[7]TrtCodes!$B$11:M88,6)</f>
        <v>1</v>
      </c>
      <c r="H65" s="1">
        <f>VLOOKUP($B65,[7]TrtCodes!$B$11:N88,7)</f>
        <v>2</v>
      </c>
      <c r="I65" s="1">
        <f>[7]FormattedData!B45</f>
        <v>2</v>
      </c>
      <c r="J65" s="4">
        <f>[7]FormattedData!C45</f>
        <v>13.105</v>
      </c>
      <c r="K65" s="6">
        <f>$J$3+[7]FormattedData!D45*$J$4+$M$4*$J$5+[7]FormattedData!D45^2*$J$6+$M$5*$J$7</f>
        <v>29.60288853428839</v>
      </c>
      <c r="L65" s="6">
        <f>$J$3+[7]FormattedData!E45*$J$4+$M$4*$J$5+[7]FormattedData!E45^2*$J$6+$M$5*$J$7</f>
        <v>29.21284351284632</v>
      </c>
      <c r="M65" s="6">
        <f>$J$3+[7]FormattedData!F45*$J$4+$M$4*$J$5+[7]FormattedData!F45^2*$J$6+$M$5*$J$7</f>
        <v>27.940526519718212</v>
      </c>
      <c r="N65" s="6">
        <f>$J$3+[7]FormattedData!G45*$J$4+$M$4*$J$5+[7]FormattedData!G45^2*$J$6+$M$5*$J$7</f>
        <v>28.038650668878727</v>
      </c>
      <c r="O65" s="6">
        <f>$J$3+[7]FormattedData!H45*$J$4+$M$4*$J$5+[7]FormattedData!H45^2*$J$6+$M$5*$J$7</f>
        <v>27.154011659068541</v>
      </c>
      <c r="P65" s="6">
        <f>$J$3+[7]FormattedData!I45*$J$4+$M$4*$J$5+[7]FormattedData!I45^2*$J$6+$M$5*$J$7</f>
        <v>28.038650668878727</v>
      </c>
      <c r="Q65" s="6">
        <f>$J$3+[7]FormattedData!J45*$J$4+$M$4*$J$5+[7]FormattedData!J45^2*$J$6+$M$5*$J$7</f>
        <v>27.940526519718212</v>
      </c>
      <c r="R65" s="6">
        <f>$J$3+[7]FormattedData!K45*$J$4+$M$4*$J$5+[7]FormattedData!K45^2*$J$6+$M$5*$J$7</f>
        <v>29.115226586140977</v>
      </c>
      <c r="S65" s="6">
        <f>$J$3+[7]FormattedData!L45*$J$4+$M$4*$J$5+[7]FormattedData!L45^2*$J$6+$M$5*$J$7</f>
        <v>28.234772161585969</v>
      </c>
      <c r="T65" s="6">
        <f>$J$3+[7]FormattedData!M45*$J$4+$M$4*$J$5+[7]FormattedData!M45^2*$J$6+$M$5*$J$7</f>
        <v>29.0175673908977</v>
      </c>
      <c r="U65" s="6">
        <f>$J$3+[7]FormattedData!N45*$J$4+$M$4*$J$5+[7]FormattedData!N45^2*$J$6+$M$5*$J$7</f>
        <v>29.21284351284632</v>
      </c>
      <c r="V65" s="6">
        <f>$J$3+[7]FormattedData!O45*$J$4+$M$4*$J$5+[7]FormattedData!O45^2*$J$6+$M$5*$J$7</f>
        <v>27.842360102019761</v>
      </c>
      <c r="W65" s="5">
        <f t="shared" si="9"/>
        <v>28.445905653073989</v>
      </c>
      <c r="X65" s="4">
        <f t="shared" si="10"/>
        <v>0.21690223428163213</v>
      </c>
      <c r="Y65" s="3">
        <f t="shared" si="11"/>
        <v>27.154011659068541</v>
      </c>
      <c r="Z65" s="2">
        <f t="shared" si="12"/>
        <v>27.940526519718212</v>
      </c>
      <c r="AA65" s="3">
        <f t="shared" si="13"/>
        <v>28.136711415232348</v>
      </c>
      <c r="AB65" s="2">
        <f t="shared" si="14"/>
        <v>29.139630817817313</v>
      </c>
      <c r="AC65" s="2">
        <f t="shared" si="15"/>
        <v>29.60288853428839</v>
      </c>
      <c r="AD65" s="2">
        <f t="shared" si="16"/>
        <v>4.0880508245875788E-2</v>
      </c>
      <c r="AE65" s="2">
        <f t="shared" si="17"/>
        <v>-1.117908077133301</v>
      </c>
    </row>
    <row r="66" spans="2:31" x14ac:dyDescent="0.2">
      <c r="B66" s="1">
        <f>[7]FormattedData!A63</f>
        <v>301</v>
      </c>
      <c r="C66" s="1" t="str">
        <f>VLOOKUP($B66,[7]TrtCodes!$B$11:I106,2)</f>
        <v>NTL</v>
      </c>
      <c r="D66" s="1">
        <f>VLOOKUP($B66,[7]TrtCodes!$B$11:J106,3)</f>
        <v>10</v>
      </c>
      <c r="E66" s="1">
        <f>VLOOKUP($B66,[7]TrtCodes!$B$11:K106,4)</f>
        <v>2</v>
      </c>
      <c r="F66" s="1">
        <f>VLOOKUP($B66,[7]TrtCodes!$B$11:L106,5)</f>
        <v>2</v>
      </c>
      <c r="G66" s="1">
        <f>VLOOKUP($B66,[7]TrtCodes!$B$11:M106,6)</f>
        <v>1</v>
      </c>
      <c r="H66" s="1">
        <f>VLOOKUP($B66,[7]TrtCodes!$B$11:N106,7)</f>
        <v>3</v>
      </c>
      <c r="I66" s="1">
        <f>[7]FormattedData!B63</f>
        <v>2</v>
      </c>
      <c r="J66" s="4">
        <f>[7]FormattedData!C63</f>
        <v>13.214</v>
      </c>
      <c r="K66" s="6">
        <f>$J$3+[7]FormattedData!D63*$J$4+$M$4*$J$5+[7]FormattedData!D63^2*$J$6+$M$5*$J$7</f>
        <v>29.992257259123555</v>
      </c>
      <c r="L66" s="6">
        <f>$J$3+[7]FormattedData!E63*$J$4+$M$4*$J$5+[7]FormattedData!E63^2*$J$6+$M$5*$J$7</f>
        <v>29.310418171013733</v>
      </c>
      <c r="M66" s="6">
        <f>$J$3+[7]FormattedData!F63*$J$4+$M$4*$J$5+[7]FormattedData!F63^2*$J$6+$M$5*$J$7</f>
        <v>29.407950560643219</v>
      </c>
      <c r="N66" s="6">
        <f>$J$3+[7]FormattedData!G63*$J$4+$M$4*$J$5+[7]FormattedData!G63^2*$J$6+$M$5*$J$7</f>
        <v>28.919865927116494</v>
      </c>
      <c r="O66" s="6">
        <f>$J$3+[7]FormattedData!H63*$J$4+$M$4*$J$5+[7]FormattedData!H63^2*$J$6+$M$5*$J$7</f>
        <v>29.79765743378184</v>
      </c>
      <c r="P66" s="6">
        <f>$J$3+[7]FormattedData!I63*$J$4+$M$4*$J$5+[7]FormattedData!I63^2*$J$6+$M$5*$J$7</f>
        <v>29.505440681734765</v>
      </c>
      <c r="Q66" s="6">
        <f>$J$3+[7]FormattedData!J63*$J$4+$M$4*$J$5+[7]FormattedData!J63^2*$J$6+$M$5*$J$7</f>
        <v>29.79765743378184</v>
      </c>
      <c r="R66" s="6">
        <f>$J$3+[7]FormattedData!K63*$J$4+$M$4*$J$5+[7]FormattedData!K63^2*$J$6+$M$5*$J$7</f>
        <v>29.60288853428839</v>
      </c>
      <c r="S66" s="6">
        <f>$J$3+[7]FormattedData!L63*$J$4+$M$4*$J$5+[7]FormattedData!L63^2*$J$6+$M$5*$J$7</f>
        <v>29.700294118304075</v>
      </c>
      <c r="T66" s="6">
        <f>$J$3+[7]FormattedData!M63*$J$4+$M$4*$J$5+[7]FormattedData!M63^2*$J$6+$M$5*$J$7</f>
        <v>30.478017123064067</v>
      </c>
      <c r="U66" s="6">
        <f>$J$3+[7]FormattedData!N63*$J$4+$M$4*$J$5+[7]FormattedData!N63^2*$J$6+$M$5*$J$7</f>
        <v>30.478017123064067</v>
      </c>
      <c r="V66" s="6">
        <f>$J$3+[7]FormattedData!O63*$J$4+$M$4*$J$5+[7]FormattedData!O63^2*$J$6+$M$5*$J$7</f>
        <v>28.136732549501314</v>
      </c>
      <c r="W66" s="5">
        <f t="shared" si="9"/>
        <v>29.593933076284781</v>
      </c>
      <c r="X66" s="4">
        <f t="shared" si="10"/>
        <v>0.18498305523771313</v>
      </c>
      <c r="Y66" s="3">
        <f t="shared" si="11"/>
        <v>28.136732549501314</v>
      </c>
      <c r="Z66" s="2">
        <f t="shared" si="12"/>
        <v>29.383567463235849</v>
      </c>
      <c r="AA66" s="3">
        <f t="shared" si="13"/>
        <v>29.651591326296234</v>
      </c>
      <c r="AB66" s="2">
        <f t="shared" si="14"/>
        <v>29.846307390117268</v>
      </c>
      <c r="AC66" s="2">
        <f t="shared" si="15"/>
        <v>30.478017123064067</v>
      </c>
      <c r="AD66" s="2">
        <f t="shared" si="16"/>
        <v>-0.81555833996169447</v>
      </c>
      <c r="AE66" s="2">
        <f t="shared" si="17"/>
        <v>1.5493396295143009</v>
      </c>
    </row>
    <row r="67" spans="2:31" x14ac:dyDescent="0.2">
      <c r="B67" s="1">
        <f>[7]FormattedData!A65</f>
        <v>302</v>
      </c>
      <c r="C67" s="1" t="str">
        <f>VLOOKUP($B67,[7]TrtCodes!$B$11:I108,2)</f>
        <v>FTL</v>
      </c>
      <c r="D67" s="1">
        <f>VLOOKUP($B67,[7]TrtCodes!$B$11:J108,3)</f>
        <v>4</v>
      </c>
      <c r="E67" s="1">
        <f>VLOOKUP($B67,[7]TrtCodes!$B$11:K108,4)</f>
        <v>1</v>
      </c>
      <c r="F67" s="1">
        <f>VLOOKUP($B67,[7]TrtCodes!$B$11:L108,5)</f>
        <v>2</v>
      </c>
      <c r="G67" s="1">
        <f>VLOOKUP($B67,[7]TrtCodes!$B$11:M108,6)</f>
        <v>1</v>
      </c>
      <c r="H67" s="1">
        <f>VLOOKUP($B67,[7]TrtCodes!$B$11:N108,7)</f>
        <v>3</v>
      </c>
      <c r="I67" s="1">
        <f>[7]FormattedData!B65</f>
        <v>2</v>
      </c>
      <c r="J67" s="4">
        <f>[7]FormattedData!C65</f>
        <v>13.228</v>
      </c>
      <c r="K67" s="6">
        <f>$J$3+[7]FormattedData!D65*$J$4+$M$4*$J$5+[7]FormattedData!D65^2*$J$6+$M$5*$J$7</f>
        <v>28.626507924545283</v>
      </c>
      <c r="L67" s="6">
        <f>$J$3+[7]FormattedData!E65*$J$4+$M$4*$J$5+[7]FormattedData!E65^2*$J$6+$M$5*$J$7</f>
        <v>26.661066143679736</v>
      </c>
      <c r="M67" s="6">
        <f>$J$3+[7]FormattedData!F65*$J$4+$M$4*$J$5+[7]FormattedData!F65^2*$J$6+$M$5*$J$7</f>
        <v>29.0175673908977</v>
      </c>
      <c r="N67" s="6">
        <f>$J$3+[7]FormattedData!G65*$J$4+$M$4*$J$5+[7]FormattedData!G65^2*$J$6+$M$5*$J$7</f>
        <v>28.43072458014149</v>
      </c>
      <c r="O67" s="6">
        <f>$J$3+[7]FormattedData!H65*$J$4+$M$4*$J$5+[7]FormattedData!H65^2*$J$6+$M$5*$J$7</f>
        <v>28.528637386612353</v>
      </c>
      <c r="P67" s="6">
        <f>$J$3+[7]FormattedData!I65*$J$4+$M$4*$J$5+[7]FormattedData!I65^2*$J$6+$M$5*$J$7</f>
        <v>26.068136663461438</v>
      </c>
      <c r="Q67" s="6">
        <f>$J$3+[7]FormattedData!J65*$J$4+$M$4*$J$5+[7]FormattedData!J65^2*$J$6+$M$5*$J$7</f>
        <v>28.038650668878727</v>
      </c>
      <c r="R67" s="6">
        <f>$J$3+[7]FormattedData!K65*$J$4+$M$4*$J$5+[7]FormattedData!K65^2*$J$6+$M$5*$J$7</f>
        <v>27.449271745846652</v>
      </c>
      <c r="S67" s="6">
        <f>$J$3+[7]FormattedData!L65*$J$4+$M$4*$J$5+[7]FormattedData!L65^2*$J$6+$M$5*$J$7</f>
        <v>28.038650668878727</v>
      </c>
      <c r="T67" s="6">
        <f>$J$3+[7]FormattedData!M65*$J$4+$M$4*$J$5+[7]FormattedData!M65^2*$J$6+$M$5*$J$7</f>
        <v>28.136732549501314</v>
      </c>
      <c r="U67" s="6">
        <f>$J$3+[7]FormattedData!N65*$J$4+$M$4*$J$5+[7]FormattedData!N65^2*$J$6+$M$5*$J$7</f>
        <v>29.115226586140977</v>
      </c>
      <c r="V67" s="6">
        <f>$J$3+[7]FormattedData!O65*$J$4+$M$4*$J$5+[7]FormattedData!O65^2*$J$6+$M$5*$J$7</f>
        <v>27.645900461009067</v>
      </c>
      <c r="W67" s="5">
        <f t="shared" si="9"/>
        <v>27.97975606413279</v>
      </c>
      <c r="X67" s="4">
        <f t="shared" si="10"/>
        <v>0.26266352359434086</v>
      </c>
      <c r="Y67" s="3">
        <f t="shared" si="11"/>
        <v>26.068136663461438</v>
      </c>
      <c r="Z67" s="2">
        <f t="shared" si="12"/>
        <v>27.596743282218462</v>
      </c>
      <c r="AA67" s="3">
        <f t="shared" si="13"/>
        <v>28.087691609190021</v>
      </c>
      <c r="AB67" s="2">
        <f t="shared" si="14"/>
        <v>28.553105021095586</v>
      </c>
      <c r="AC67" s="2">
        <f t="shared" si="15"/>
        <v>29.115226586140977</v>
      </c>
      <c r="AD67" s="2">
        <f t="shared" si="16"/>
        <v>-0.91981791901351539</v>
      </c>
      <c r="AE67" s="2">
        <f t="shared" si="17"/>
        <v>0.47245462338240696</v>
      </c>
    </row>
    <row r="68" spans="2:31" x14ac:dyDescent="0.2">
      <c r="B68" s="1">
        <f>[7]FormattedData!A67</f>
        <v>303</v>
      </c>
      <c r="C68" s="1" t="str">
        <f>VLOOKUP($B68,[7]TrtCodes!$B$11:I110,2)</f>
        <v>NSL</v>
      </c>
      <c r="D68" s="1">
        <f>VLOOKUP($B68,[7]TrtCodes!$B$11:J110,3)</f>
        <v>8</v>
      </c>
      <c r="E68" s="1">
        <f>VLOOKUP($B68,[7]TrtCodes!$B$11:K110,4)</f>
        <v>2</v>
      </c>
      <c r="F68" s="1">
        <f>VLOOKUP($B68,[7]TrtCodes!$B$11:L110,5)</f>
        <v>1</v>
      </c>
      <c r="G68" s="1">
        <f>VLOOKUP($B68,[7]TrtCodes!$B$11:M110,6)</f>
        <v>1</v>
      </c>
      <c r="H68" s="1">
        <f>VLOOKUP($B68,[7]TrtCodes!$B$11:N110,7)</f>
        <v>3</v>
      </c>
      <c r="I68" s="1">
        <f>[7]FormattedData!B67</f>
        <v>2</v>
      </c>
      <c r="J68" s="4">
        <f>[7]FormattedData!C67</f>
        <v>13.243</v>
      </c>
      <c r="K68" s="6">
        <f>$J$3+[7]FormattedData!D67*$J$4+$M$4*$J$5+[7]FormattedData!D67^2*$J$6+$M$5*$J$7</f>
        <v>28.822122194797355</v>
      </c>
      <c r="L68" s="6">
        <f>$J$3+[7]FormattedData!E67*$J$4+$M$4*$J$5+[7]FormattedData!E67^2*$J$6+$M$5*$J$7</f>
        <v>27.449271745846652</v>
      </c>
      <c r="M68" s="6">
        <f>$J$3+[7]FormattedData!F67*$J$4+$M$4*$J$5+[7]FormattedData!F67^2*$J$6+$M$5*$J$7</f>
        <v>28.234772161585969</v>
      </c>
      <c r="N68" s="6">
        <f>$J$3+[7]FormattedData!G67*$J$4+$M$4*$J$5+[7]FormattedData!G67^2*$J$6+$M$5*$J$7</f>
        <v>27.449271745846652</v>
      </c>
      <c r="O68" s="6">
        <f>$J$3+[7]FormattedData!H67*$J$4+$M$4*$J$5+[7]FormattedData!H67^2*$J$6+$M$5*$J$7</f>
        <v>27.645900461009067</v>
      </c>
      <c r="P68" s="6">
        <f>$J$3+[7]FormattedData!I67*$J$4+$M$4*$J$5+[7]FormattedData!I67^2*$J$6+$M$5*$J$7</f>
        <v>27.940526519718212</v>
      </c>
      <c r="Q68" s="6">
        <f>$J$3+[7]FormattedData!J67*$J$4+$M$4*$J$5+[7]FormattedData!J67^2*$J$6+$M$5*$J$7</f>
        <v>27.449271745846652</v>
      </c>
      <c r="R68" s="6">
        <f>$J$3+[7]FormattedData!K67*$J$4+$M$4*$J$5+[7]FormattedData!K67^2*$J$6+$M$5*$J$7</f>
        <v>26.956960258526813</v>
      </c>
      <c r="S68" s="6">
        <f>$J$3+[7]FormattedData!L67*$J$4+$M$4*$J$5+[7]FormattedData!L67^2*$J$6+$M$5*$J$7</f>
        <v>27.645900461009067</v>
      </c>
      <c r="T68" s="6">
        <f>$J$3+[7]FormattedData!M67*$J$4+$M$4*$J$5+[7]FormattedData!M67^2*$J$6+$M$5*$J$7</f>
        <v>29.310418171013733</v>
      </c>
      <c r="U68" s="6">
        <f>$J$3+[7]FormattedData!N67*$J$4+$M$4*$J$5+[7]FormattedData!N67^2*$J$6+$M$5*$J$7</f>
        <v>30.283839983101661</v>
      </c>
      <c r="V68" s="6">
        <f>$J$3+[7]FormattedData!O67*$J$4+$M$4*$J$5+[7]FormattedData!O67^2*$J$6+$M$5*$J$7</f>
        <v>28.234772161585969</v>
      </c>
      <c r="W68" s="5">
        <f t="shared" si="9"/>
        <v>28.118585634157313</v>
      </c>
      <c r="X68" s="4">
        <f t="shared" si="10"/>
        <v>0.27251129880147512</v>
      </c>
      <c r="Y68" s="3">
        <f t="shared" si="11"/>
        <v>26.956960258526813</v>
      </c>
      <c r="Z68" s="2">
        <f t="shared" si="12"/>
        <v>27.449271745846652</v>
      </c>
      <c r="AA68" s="3">
        <f t="shared" si="13"/>
        <v>27.793213490363641</v>
      </c>
      <c r="AB68" s="2">
        <f t="shared" si="14"/>
        <v>28.381609669888817</v>
      </c>
      <c r="AC68" s="2">
        <f t="shared" si="15"/>
        <v>30.283839983101661</v>
      </c>
      <c r="AD68" s="2">
        <f t="shared" si="16"/>
        <v>1.233472638544882</v>
      </c>
      <c r="AE68" s="2">
        <f t="shared" si="17"/>
        <v>1.2778555124681814</v>
      </c>
    </row>
    <row r="69" spans="2:31" x14ac:dyDescent="0.2">
      <c r="B69" s="1">
        <f>[7]FormattedData!A69</f>
        <v>304</v>
      </c>
      <c r="C69" s="1" t="str">
        <f>VLOOKUP($B69,[7]TrtCodes!$B$11:I112,2)</f>
        <v>FSL</v>
      </c>
      <c r="D69" s="1">
        <f>VLOOKUP($B69,[7]TrtCodes!$B$11:J112,3)</f>
        <v>2</v>
      </c>
      <c r="E69" s="1">
        <f>VLOOKUP($B69,[7]TrtCodes!$B$11:K112,4)</f>
        <v>1</v>
      </c>
      <c r="F69" s="1">
        <f>VLOOKUP($B69,[7]TrtCodes!$B$11:L112,5)</f>
        <v>1</v>
      </c>
      <c r="G69" s="1">
        <f>VLOOKUP($B69,[7]TrtCodes!$B$11:M112,6)</f>
        <v>1</v>
      </c>
      <c r="H69" s="1">
        <f>VLOOKUP($B69,[7]TrtCodes!$B$11:N112,7)</f>
        <v>3</v>
      </c>
      <c r="I69" s="1">
        <f>[7]FormattedData!B69</f>
        <v>2</v>
      </c>
      <c r="J69" s="4">
        <f>[7]FormattedData!C69</f>
        <v>13.257</v>
      </c>
      <c r="K69" s="6">
        <f>$J$3+[7]FormattedData!D69*$J$4+$M$4*$J$5+[7]FormattedData!D69^2*$J$6+$M$5*$J$7</f>
        <v>28.528637386612353</v>
      </c>
      <c r="L69" s="6">
        <f>$J$3+[7]FormattedData!E69*$J$4+$M$4*$J$5+[7]FormattedData!E69^2*$J$6+$M$5*$J$7</f>
        <v>26.463592057758696</v>
      </c>
      <c r="M69" s="6">
        <f>$J$3+[7]FormattedData!F69*$J$4+$M$4*$J$5+[7]FormattedData!F69^2*$J$6+$M$5*$J$7</f>
        <v>27.744151415783378</v>
      </c>
      <c r="N69" s="6">
        <f>$J$3+[7]FormattedData!G69*$J$4+$M$4*$J$5+[7]FormattedData!G69^2*$J$6+$M$5*$J$7</f>
        <v>28.332769505132696</v>
      </c>
      <c r="O69" s="6">
        <f>$J$3+[7]FormattedData!H69*$J$4+$M$4*$J$5+[7]FormattedData!H69^2*$J$6+$M$5*$J$7</f>
        <v>28.724336193940285</v>
      </c>
      <c r="P69" s="6">
        <f>$J$3+[7]FormattedData!I69*$J$4+$M$4*$J$5+[7]FormattedData!I69^2*$J$6+$M$5*$J$7</f>
        <v>28.234772161585969</v>
      </c>
      <c r="Q69" s="6">
        <f>$J$3+[7]FormattedData!J69*$J$4+$M$4*$J$5+[7]FormattedData!J69^2*$J$6+$M$5*$J$7</f>
        <v>30.478017123064067</v>
      </c>
      <c r="R69" s="6">
        <f>$J$3+[7]FormattedData!K69*$J$4+$M$4*$J$5+[7]FormattedData!K69^2*$J$6+$M$5*$J$7</f>
        <v>30.962720273556297</v>
      </c>
      <c r="S69" s="6">
        <f>$J$3+[7]FormattedData!L69*$J$4+$M$4*$J$5+[7]FormattedData!L69^2*$J$6+$M$5*$J$7</f>
        <v>29.21284351284632</v>
      </c>
      <c r="T69" s="6">
        <f>$J$3+[7]FormattedData!M69*$J$4+$M$4*$J$5+[7]FormattedData!M69^2*$J$6+$M$5*$J$7</f>
        <v>29.79765743378184</v>
      </c>
      <c r="U69" s="6">
        <f>$J$3+[7]FormattedData!N69*$J$4+$M$4*$J$5+[7]FormattedData!N69^2*$J$6+$M$5*$J$7</f>
        <v>28.038650668878727</v>
      </c>
      <c r="V69" s="6">
        <f>$J$3+[7]FormattedData!O69*$J$4+$M$4*$J$5+[7]FormattedData!O69^2*$J$6+$M$5*$J$7</f>
        <v>29.60288853428839</v>
      </c>
      <c r="W69" s="5">
        <f t="shared" si="9"/>
        <v>28.843419688935754</v>
      </c>
      <c r="X69" s="4">
        <f t="shared" si="10"/>
        <v>0.35941121851825952</v>
      </c>
      <c r="Y69" s="3">
        <f t="shared" si="11"/>
        <v>26.463592057758696</v>
      </c>
      <c r="Z69" s="2">
        <f t="shared" si="12"/>
        <v>28.18574178840916</v>
      </c>
      <c r="AA69" s="3">
        <f t="shared" si="13"/>
        <v>28.626486790276317</v>
      </c>
      <c r="AB69" s="2">
        <f t="shared" si="14"/>
        <v>29.651580759161753</v>
      </c>
      <c r="AC69" s="2">
        <f t="shared" si="15"/>
        <v>30.962720273556297</v>
      </c>
      <c r="AD69" s="2">
        <f t="shared" si="16"/>
        <v>-2.6897180884299852E-2</v>
      </c>
      <c r="AE69" s="2">
        <f t="shared" si="17"/>
        <v>7.6040319166574832E-2</v>
      </c>
    </row>
    <row r="70" spans="2:31" x14ac:dyDescent="0.2">
      <c r="B70" s="1">
        <f>[7]FormattedData!A71</f>
        <v>305</v>
      </c>
      <c r="C70" s="1" t="str">
        <f>VLOOKUP($B70,[7]TrtCodes!$B$11:I114,2)</f>
        <v>NDH</v>
      </c>
      <c r="D70" s="1">
        <f>VLOOKUP($B70,[7]TrtCodes!$B$11:J114,3)</f>
        <v>11</v>
      </c>
      <c r="E70" s="1">
        <f>VLOOKUP($B70,[7]TrtCodes!$B$11:K114,4)</f>
        <v>2</v>
      </c>
      <c r="F70" s="1">
        <f>VLOOKUP($B70,[7]TrtCodes!$B$11:L114,5)</f>
        <v>3</v>
      </c>
      <c r="G70" s="1">
        <f>VLOOKUP($B70,[7]TrtCodes!$B$11:M114,6)</f>
        <v>2</v>
      </c>
      <c r="H70" s="1">
        <f>VLOOKUP($B70,[7]TrtCodes!$B$11:N114,7)</f>
        <v>4</v>
      </c>
      <c r="I70" s="1">
        <f>[7]FormattedData!B71</f>
        <v>2</v>
      </c>
      <c r="J70" s="4">
        <f>[7]FormattedData!C71</f>
        <v>13.272</v>
      </c>
      <c r="K70" s="6">
        <f>$J$3+[7]FormattedData!D71*$J$4+$M$4*$J$5+[7]FormattedData!D71^2*$J$6+$M$5*$J$7</f>
        <v>30.865864180533716</v>
      </c>
      <c r="L70" s="6">
        <f>$J$3+[7]FormattedData!E71*$J$4+$M$4*$J$5+[7]FormattedData!E71^2*$J$6+$M$5*$J$7</f>
        <v>30.962720273556297</v>
      </c>
      <c r="M70" s="6">
        <f>$J$3+[7]FormattedData!F71*$J$4+$M$4*$J$5+[7]FormattedData!F71^2*$J$6+$M$5*$J$7</f>
        <v>31.349721960267328</v>
      </c>
      <c r="N70" s="6">
        <f>$J$3+[7]FormattedData!G71*$J$4+$M$4*$J$5+[7]FormattedData!G71^2*$J$6+$M$5*$J$7</f>
        <v>29.407950560643219</v>
      </c>
      <c r="O70" s="6">
        <f>$J$3+[7]FormattedData!H71*$J$4+$M$4*$J$5+[7]FormattedData!H71^2*$J$6+$M$5*$J$7</f>
        <v>29.992257259123555</v>
      </c>
      <c r="P70" s="6">
        <f>$J$3+[7]FormattedData!I71*$J$4+$M$4*$J$5+[7]FormattedData!I71^2*$J$6+$M$5*$J$7</f>
        <v>28.626507924545283</v>
      </c>
      <c r="Q70" s="6">
        <f>$J$3+[7]FormattedData!J71*$J$4+$M$4*$J$5+[7]FormattedData!J71^2*$J$6+$M$5*$J$7</f>
        <v>30.478017123064067</v>
      </c>
      <c r="R70" s="6">
        <f>$J$3+[7]FormattedData!K71*$J$4+$M$4*$J$5+[7]FormattedData!K71^2*$J$6+$M$5*$J$7</f>
        <v>29.115226586140977</v>
      </c>
      <c r="S70" s="6">
        <f>$J$3+[7]FormattedData!L71*$J$4+$M$4*$J$5+[7]FormattedData!L71^2*$J$6+$M$5*$J$7</f>
        <v>29.894978480721662</v>
      </c>
      <c r="T70" s="6">
        <f>$J$3+[7]FormattedData!M71*$J$4+$M$4*$J$5+[7]FormattedData!M71^2*$J$6+$M$5*$J$7</f>
        <v>28.43072458014149</v>
      </c>
      <c r="U70" s="6">
        <f>$J$3+[7]FormattedData!N71*$J$4+$M$4*$J$5+[7]FormattedData!N71^2*$J$6+$M$5*$J$7</f>
        <v>29.407950560643219</v>
      </c>
      <c r="V70" s="6">
        <f>$J$3+[7]FormattedData!O71*$J$4+$M$4*$J$5+[7]FormattedData!O71^2*$J$6+$M$5*$J$7</f>
        <v>29.0175673908977</v>
      </c>
      <c r="W70" s="5">
        <f t="shared" si="9"/>
        <v>29.795790573356538</v>
      </c>
      <c r="X70" s="4">
        <f t="shared" si="10"/>
        <v>0.27573072560867823</v>
      </c>
      <c r="Y70" s="3">
        <f t="shared" si="11"/>
        <v>28.43072458014149</v>
      </c>
      <c r="Z70" s="2">
        <f t="shared" si="12"/>
        <v>29.090811787330157</v>
      </c>
      <c r="AA70" s="3">
        <f t="shared" si="13"/>
        <v>29.651464520682438</v>
      </c>
      <c r="AB70" s="2">
        <f t="shared" si="14"/>
        <v>30.574978887431477</v>
      </c>
      <c r="AC70" s="2">
        <f t="shared" si="15"/>
        <v>31.349721960267328</v>
      </c>
      <c r="AD70" s="2">
        <f t="shared" si="16"/>
        <v>0.23124104784898297</v>
      </c>
      <c r="AE70" s="2">
        <f t="shared" si="17"/>
        <v>-1.1590320886799566</v>
      </c>
    </row>
    <row r="71" spans="2:31" x14ac:dyDescent="0.2">
      <c r="B71" s="1">
        <f>[7]FormattedData!A73</f>
        <v>306</v>
      </c>
      <c r="C71" s="1" t="str">
        <f>VLOOKUP($B71,[7]TrtCodes!$B$11:I116,2)</f>
        <v>FTL</v>
      </c>
      <c r="D71" s="1">
        <f>VLOOKUP($B71,[7]TrtCodes!$B$11:J116,3)</f>
        <v>4</v>
      </c>
      <c r="E71" s="1">
        <f>VLOOKUP($B71,[7]TrtCodes!$B$11:K116,4)</f>
        <v>1</v>
      </c>
      <c r="F71" s="1">
        <f>VLOOKUP($B71,[7]TrtCodes!$B$11:L116,5)</f>
        <v>2</v>
      </c>
      <c r="G71" s="1">
        <f>VLOOKUP($B71,[7]TrtCodes!$B$11:M116,6)</f>
        <v>1</v>
      </c>
      <c r="H71" s="1">
        <f>VLOOKUP($B71,[7]TrtCodes!$B$11:N116,7)</f>
        <v>4</v>
      </c>
      <c r="I71" s="1">
        <f>[7]FormattedData!B73</f>
        <v>2</v>
      </c>
      <c r="J71" s="4">
        <f>[7]FormattedData!C73</f>
        <v>13.286</v>
      </c>
      <c r="K71" s="6">
        <f>$J$3+[7]FormattedData!D73*$J$4+$M$4*$J$5+[7]FormattedData!D73^2*$J$6+$M$5*$J$7</f>
        <v>28.822122194797355</v>
      </c>
      <c r="L71" s="6">
        <f>$J$3+[7]FormattedData!E73*$J$4+$M$4*$J$5+[7]FormattedData!E73^2*$J$6+$M$5*$J$7</f>
        <v>29.700294118304075</v>
      </c>
      <c r="M71" s="6">
        <f>$J$3+[7]FormattedData!F73*$J$4+$M$4*$J$5+[7]FormattedData!F73^2*$J$6+$M$5*$J$7</f>
        <v>28.528637386612353</v>
      </c>
      <c r="N71" s="6">
        <f>$J$3+[7]FormattedData!G73*$J$4+$M$4*$J$5+[7]FormattedData!G73^2*$J$6+$M$5*$J$7</f>
        <v>29.407950560643219</v>
      </c>
      <c r="O71" s="6">
        <f>$J$3+[7]FormattedData!H73*$J$4+$M$4*$J$5+[7]FormattedData!H73^2*$J$6+$M$5*$J$7</f>
        <v>28.626507924545283</v>
      </c>
      <c r="P71" s="6">
        <f>$J$3+[7]FormattedData!I73*$J$4+$M$4*$J$5+[7]FormattedData!I73^2*$J$6+$M$5*$J$7</f>
        <v>29.310418171013733</v>
      </c>
      <c r="Q71" s="6">
        <f>$J$3+[7]FormattedData!J73*$J$4+$M$4*$J$5+[7]FormattedData!J73^2*$J$6+$M$5*$J$7</f>
        <v>28.528637386612353</v>
      </c>
      <c r="R71" s="6">
        <f>$J$3+[7]FormattedData!K73*$J$4+$M$4*$J$5+[7]FormattedData!K73^2*$J$6+$M$5*$J$7</f>
        <v>28.43072458014149</v>
      </c>
      <c r="S71" s="6">
        <f>$J$3+[7]FormattedData!L73*$J$4+$M$4*$J$5+[7]FormattedData!L73^2*$J$6+$M$5*$J$7</f>
        <v>29.505440681734765</v>
      </c>
      <c r="T71" s="6">
        <f>$J$3+[7]FormattedData!M73*$J$4+$M$4*$J$5+[7]FormattedData!M73^2*$J$6+$M$5*$J$7</f>
        <v>28.919865927116494</v>
      </c>
      <c r="U71" s="6">
        <f>$J$3+[7]FormattedData!N73*$J$4+$M$4*$J$5+[7]FormattedData!N73^2*$J$6+$M$5*$J$7</f>
        <v>27.940526519718212</v>
      </c>
      <c r="V71" s="6">
        <f>$J$3+[7]FormattedData!O73*$J$4+$M$4*$J$5+[7]FormattedData!O73^2*$J$6+$M$5*$J$7</f>
        <v>28.038650668878727</v>
      </c>
      <c r="W71" s="5">
        <f t="shared" si="9"/>
        <v>28.813314676676509</v>
      </c>
      <c r="X71" s="4">
        <f t="shared" si="10"/>
        <v>0.16475701006251858</v>
      </c>
      <c r="Y71" s="3">
        <f t="shared" si="11"/>
        <v>27.940526519718212</v>
      </c>
      <c r="Z71" s="2">
        <f t="shared" si="12"/>
        <v>28.504159184994638</v>
      </c>
      <c r="AA71" s="3">
        <f t="shared" si="13"/>
        <v>28.724315059671319</v>
      </c>
      <c r="AB71" s="2">
        <f t="shared" si="14"/>
        <v>29.334801268421103</v>
      </c>
      <c r="AC71" s="2">
        <f t="shared" si="15"/>
        <v>29.700294118304075</v>
      </c>
      <c r="AD71" s="2">
        <f t="shared" si="16"/>
        <v>7.3515824842995764E-2</v>
      </c>
      <c r="AE71" s="2">
        <f t="shared" si="17"/>
        <v>-1.0470839493992163</v>
      </c>
    </row>
    <row r="72" spans="2:31" x14ac:dyDescent="0.2">
      <c r="B72" s="1">
        <f>[7]FormattedData!A75</f>
        <v>307</v>
      </c>
      <c r="C72" s="1" t="str">
        <f>VLOOKUP($B72,[7]TrtCodes!$B$11:I118,2)</f>
        <v>NTH</v>
      </c>
      <c r="D72" s="1">
        <f>VLOOKUP($B72,[7]TrtCodes!$B$11:J118,3)</f>
        <v>9</v>
      </c>
      <c r="E72" s="1">
        <f>VLOOKUP($B72,[7]TrtCodes!$B$11:K118,4)</f>
        <v>2</v>
      </c>
      <c r="F72" s="1">
        <f>VLOOKUP($B72,[7]TrtCodes!$B$11:L118,5)</f>
        <v>2</v>
      </c>
      <c r="G72" s="1">
        <f>VLOOKUP($B72,[7]TrtCodes!$B$11:M118,6)</f>
        <v>2</v>
      </c>
      <c r="H72" s="1">
        <f>VLOOKUP($B72,[7]TrtCodes!$B$11:N118,7)</f>
        <v>4</v>
      </c>
      <c r="I72" s="1">
        <f>[7]FormattedData!B75</f>
        <v>2</v>
      </c>
      <c r="J72" s="4">
        <f>[7]FormattedData!C75</f>
        <v>13.3</v>
      </c>
      <c r="K72" s="6">
        <f>$J$3+[7]FormattedData!D75*$J$4+$M$4*$J$5+[7]FormattedData!D75^2*$J$6+$M$5*$J$7</f>
        <v>31.639529405652318</v>
      </c>
      <c r="L72" s="6">
        <f>$J$3+[7]FormattedData!E75*$J$4+$M$4*$J$5+[7]FormattedData!E75^2*$J$6+$M$5*$J$7</f>
        <v>31.349721960267328</v>
      </c>
      <c r="M72" s="6">
        <f>$J$3+[7]FormattedData!F75*$J$4+$M$4*$J$5+[7]FormattedData!F75^2*$J$6+$M$5*$J$7</f>
        <v>32.121696443868679</v>
      </c>
      <c r="N72" s="6">
        <f>$J$3+[7]FormattedData!G75*$J$4+$M$4*$J$5+[7]FormattedData!G75^2*$J$6+$M$5*$J$7</f>
        <v>30.089493768987523</v>
      </c>
      <c r="O72" s="6">
        <f>$J$3+[7]FormattedData!H75*$J$4+$M$4*$J$5+[7]FormattedData!H75^2*$J$6+$M$5*$J$7</f>
        <v>31.156305653987673</v>
      </c>
      <c r="P72" s="6">
        <f>$J$3+[7]FormattedData!I75*$J$4+$M$4*$J$5+[7]FormattedData!I75^2*$J$6+$M$5*$J$7</f>
        <v>31.928956434195936</v>
      </c>
      <c r="Q72" s="6">
        <f>$J$3+[7]FormattedData!J75*$J$4+$M$4*$J$5+[7]FormattedData!J75^2*$J$6+$M$5*$J$7</f>
        <v>31.156305653987673</v>
      </c>
      <c r="R72" s="6">
        <f>$J$3+[7]FormattedData!K75*$J$4+$M$4*$J$5+[7]FormattedData!K75^2*$J$6+$M$5*$J$7</f>
        <v>30.672025188874755</v>
      </c>
      <c r="S72" s="6">
        <f>$J$3+[7]FormattedData!L75*$J$4+$M$4*$J$5+[7]FormattedData!L75^2*$J$6+$M$5*$J$7</f>
        <v>33.178744296606745</v>
      </c>
      <c r="T72" s="6">
        <f>$J$3+[7]FormattedData!M75*$J$4+$M$4*$J$5+[7]FormattedData!M75^2*$J$6+$M$5*$J$7</f>
        <v>30.575042290238379</v>
      </c>
      <c r="U72" s="6">
        <f>$J$3+[7]FormattedData!N75*$J$4+$M$4*$J$5+[7]FormattedData!N75^2*$J$6+$M$5*$J$7</f>
        <v>30.962720273556297</v>
      </c>
      <c r="V72" s="6">
        <f>$J$3+[7]FormattedData!O75*$J$4+$M$4*$J$5+[7]FormattedData!O75^2*$J$6+$M$5*$J$7</f>
        <v>31.639529405652318</v>
      </c>
      <c r="W72" s="5">
        <f t="shared" si="9"/>
        <v>31.37250589798963</v>
      </c>
      <c r="X72" s="4">
        <f t="shared" si="10"/>
        <v>0.23533815037229716</v>
      </c>
      <c r="Y72" s="3">
        <f t="shared" si="11"/>
        <v>30.089493768987523</v>
      </c>
      <c r="Z72" s="2">
        <f t="shared" si="12"/>
        <v>30.890046502385911</v>
      </c>
      <c r="AA72" s="3">
        <f t="shared" si="13"/>
        <v>31.253013807127502</v>
      </c>
      <c r="AB72" s="2">
        <f t="shared" si="14"/>
        <v>31.711886162788222</v>
      </c>
      <c r="AC72" s="2">
        <f t="shared" si="15"/>
        <v>33.178744296606745</v>
      </c>
      <c r="AD72" s="2">
        <f t="shared" si="16"/>
        <v>0.6990384244938832</v>
      </c>
      <c r="AE72" s="2">
        <f t="shared" si="17"/>
        <v>1.1224997626328639</v>
      </c>
    </row>
    <row r="73" spans="2:31" x14ac:dyDescent="0.2">
      <c r="B73" s="1">
        <f>[7]FormattedData!A77</f>
        <v>308</v>
      </c>
      <c r="C73" s="1" t="str">
        <f>VLOOKUP($B73,[7]TrtCodes!$B$11:I120,2)</f>
        <v>FDH</v>
      </c>
      <c r="D73" s="1">
        <f>VLOOKUP($B73,[7]TrtCodes!$B$11:J120,3)</f>
        <v>5</v>
      </c>
      <c r="E73" s="1">
        <f>VLOOKUP($B73,[7]TrtCodes!$B$11:K120,4)</f>
        <v>1</v>
      </c>
      <c r="F73" s="1">
        <f>VLOOKUP($B73,[7]TrtCodes!$B$11:L120,5)</f>
        <v>3</v>
      </c>
      <c r="G73" s="1">
        <f>VLOOKUP($B73,[7]TrtCodes!$B$11:M120,6)</f>
        <v>2</v>
      </c>
      <c r="H73" s="1">
        <f>VLOOKUP($B73,[7]TrtCodes!$B$11:N120,7)</f>
        <v>4</v>
      </c>
      <c r="I73" s="1">
        <f>[7]FormattedData!B77</f>
        <v>2</v>
      </c>
      <c r="J73" s="4">
        <f>[7]FormattedData!C77</f>
        <v>13.315</v>
      </c>
      <c r="K73" s="6">
        <f>$J$3+[7]FormattedData!D77*$J$4+$M$4*$J$5+[7]FormattedData!D77^2*$J$6+$M$5*$J$7</f>
        <v>28.528637386612353</v>
      </c>
      <c r="L73" s="6">
        <f>$J$3+[7]FormattedData!E77*$J$4+$M$4*$J$5+[7]FormattedData!E77^2*$J$6+$M$5*$J$7</f>
        <v>28.038650668878727</v>
      </c>
      <c r="M73" s="6">
        <f>$J$3+[7]FormattedData!F77*$J$4+$M$4*$J$5+[7]FormattedData!F77^2*$J$6+$M$5*$J$7</f>
        <v>28.822122194797355</v>
      </c>
      <c r="N73" s="6">
        <f>$J$3+[7]FormattedData!G77*$J$4+$M$4*$J$5+[7]FormattedData!G77^2*$J$6+$M$5*$J$7</f>
        <v>29.407950560643219</v>
      </c>
      <c r="O73" s="6">
        <f>$J$3+[7]FormattedData!H77*$J$4+$M$4*$J$5+[7]FormattedData!H77^2*$J$6+$M$5*$J$7</f>
        <v>28.038650668878727</v>
      </c>
      <c r="P73" s="6">
        <f>$J$3+[7]FormattedData!I77*$J$4+$M$4*$J$5+[7]FormattedData!I77^2*$J$6+$M$5*$J$7</f>
        <v>28.43072458014149</v>
      </c>
      <c r="Q73" s="6">
        <f>$J$3+[7]FormattedData!J77*$J$4+$M$4*$J$5+[7]FormattedData!J77^2*$J$6+$M$5*$J$7</f>
        <v>29.115226586140977</v>
      </c>
      <c r="R73" s="6">
        <f>$J$3+[7]FormattedData!K77*$J$4+$M$4*$J$5+[7]FormattedData!K77^2*$J$6+$M$5*$J$7</f>
        <v>29.0175673908977</v>
      </c>
      <c r="S73" s="6">
        <f>$J$3+[7]FormattedData!L77*$J$4+$M$4*$J$5+[7]FormattedData!L77^2*$J$6+$M$5*$J$7</f>
        <v>29.0175673908977</v>
      </c>
      <c r="T73" s="6">
        <f>$J$3+[7]FormattedData!M77*$J$4+$M$4*$J$5+[7]FormattedData!M77^2*$J$6+$M$5*$J$7</f>
        <v>29.115226586140977</v>
      </c>
      <c r="U73" s="6">
        <f>$J$3+[7]FormattedData!N77*$J$4+$M$4*$J$5+[7]FormattedData!N77^2*$J$6+$M$5*$J$7</f>
        <v>27.744151415783378</v>
      </c>
      <c r="V73" s="6">
        <f>$J$3+[7]FormattedData!O77*$J$4+$M$4*$J$5+[7]FormattedData!O77^2*$J$6+$M$5*$J$7</f>
        <v>27.252473956532505</v>
      </c>
      <c r="W73" s="5">
        <f t="shared" si="9"/>
        <v>28.54407911552876</v>
      </c>
      <c r="X73" s="4">
        <f t="shared" si="10"/>
        <v>0.18982676964256762</v>
      </c>
      <c r="Y73" s="3">
        <f t="shared" si="11"/>
        <v>27.252473956532505</v>
      </c>
      <c r="Z73" s="2">
        <f t="shared" si="12"/>
        <v>28.038650668878727</v>
      </c>
      <c r="AA73" s="3">
        <f t="shared" si="13"/>
        <v>28.675379790704852</v>
      </c>
      <c r="AB73" s="2">
        <f t="shared" si="14"/>
        <v>29.04198218970852</v>
      </c>
      <c r="AC73" s="2">
        <f t="shared" si="15"/>
        <v>29.407950560643219</v>
      </c>
      <c r="AD73" s="2">
        <f t="shared" si="16"/>
        <v>-0.6426864886732524</v>
      </c>
      <c r="AE73" s="2">
        <f t="shared" si="17"/>
        <v>-0.49428411164487107</v>
      </c>
    </row>
    <row r="74" spans="2:31" x14ac:dyDescent="0.2">
      <c r="B74" s="1">
        <f>[7]FormattedData!A93</f>
        <v>401</v>
      </c>
      <c r="C74" s="1" t="str">
        <f>VLOOKUP($B74,[7]TrtCodes!$B$11:I130,2)</f>
        <v>NSH</v>
      </c>
      <c r="D74" s="1">
        <f>VLOOKUP($B74,[7]TrtCodes!$B$11:J130,3)</f>
        <v>7</v>
      </c>
      <c r="E74" s="1">
        <f>VLOOKUP($B74,[7]TrtCodes!$B$11:K130,4)</f>
        <v>2</v>
      </c>
      <c r="F74" s="1">
        <f>VLOOKUP($B74,[7]TrtCodes!$B$11:L130,5)</f>
        <v>1</v>
      </c>
      <c r="G74" s="1">
        <f>VLOOKUP($B74,[7]TrtCodes!$B$11:M130,6)</f>
        <v>2</v>
      </c>
      <c r="H74" s="1">
        <f>VLOOKUP($B74,[7]TrtCodes!$B$11:N130,7)</f>
        <v>3</v>
      </c>
      <c r="I74" s="1">
        <f>[7]FormattedData!B93</f>
        <v>2</v>
      </c>
      <c r="J74" s="4">
        <f>[7]FormattedData!C93</f>
        <v>13.452</v>
      </c>
      <c r="K74" s="6">
        <f>$J$3+[7]FormattedData!D93*$J$4+$M$4*$J$5+[7]FormattedData!D93^2*$J$6+$M$5*$J$7</f>
        <v>29.0175673908977</v>
      </c>
      <c r="L74" s="6">
        <f>$J$3+[7]FormattedData!E93*$J$4+$M$4*$J$5+[7]FormattedData!E93^2*$J$6+$M$5*$J$7</f>
        <v>28.724336193940285</v>
      </c>
      <c r="M74" s="6">
        <f>$J$3+[7]FormattedData!F93*$J$4+$M$4*$J$5+[7]FormattedData!F93^2*$J$6+$M$5*$J$7</f>
        <v>28.038650668878727</v>
      </c>
      <c r="N74" s="6">
        <f>$J$3+[7]FormattedData!G93*$J$4+$M$4*$J$5+[7]FormattedData!G93^2*$J$6+$M$5*$J$7</f>
        <v>28.43072458014149</v>
      </c>
      <c r="O74" s="6">
        <f>$J$3+[7]FormattedData!H93*$J$4+$M$4*$J$5+[7]FormattedData!H93^2*$J$6+$M$5*$J$7</f>
        <v>29.0175673908977</v>
      </c>
      <c r="P74" s="6">
        <f>$J$3+[7]FormattedData!I93*$J$4+$M$4*$J$5+[7]FormattedData!I93^2*$J$6+$M$5*$J$7</f>
        <v>28.136732549501314</v>
      </c>
      <c r="Q74" s="6">
        <f>$J$3+[7]FormattedData!J93*$J$4+$M$4*$J$5+[7]FormattedData!J93^2*$J$6+$M$5*$J$7</f>
        <v>29.894978480721662</v>
      </c>
      <c r="R74" s="6">
        <f>$J$3+[7]FormattedData!K93*$J$4+$M$4*$J$5+[7]FormattedData!K93^2*$J$6+$M$5*$J$7</f>
        <v>28.919865927116494</v>
      </c>
      <c r="S74" s="6">
        <f>$J$3+[7]FormattedData!L93*$J$4+$M$4*$J$5+[7]FormattedData!L93^2*$J$6+$M$5*$J$7</f>
        <v>28.724336193940285</v>
      </c>
      <c r="T74" s="6">
        <f>$J$3+[7]FormattedData!M93*$J$4+$M$4*$J$5+[7]FormattedData!M93^2*$J$6+$M$5*$J$7</f>
        <v>28.528637386612353</v>
      </c>
      <c r="U74" s="6">
        <f>$J$3+[7]FormattedData!N93*$J$4+$M$4*$J$5+[7]FormattedData!N93^2*$J$6+$M$5*$J$7</f>
        <v>28.136732549501314</v>
      </c>
      <c r="V74" s="6">
        <f>$J$3+[7]FormattedData!O93*$J$4+$M$4*$J$5+[7]FormattedData!O93^2*$J$6+$M$5*$J$7</f>
        <v>29.21284351284632</v>
      </c>
      <c r="W74" s="5">
        <f t="shared" ref="W74:W105" si="18">AVERAGE(K74:V74)</f>
        <v>28.731914402082964</v>
      </c>
      <c r="X74" s="4">
        <f t="shared" ref="X74:X85" si="19">STDEV(K74:V74)/SQRT(COUNT(K74:V74))</f>
        <v>0.15334110045704247</v>
      </c>
      <c r="Y74" s="3">
        <f t="shared" ref="Y74:Y85" si="20">MIN(K74:V74)</f>
        <v>28.038650668878727</v>
      </c>
      <c r="Z74" s="2">
        <f t="shared" ref="Z74:Z85" si="21">QUARTILE(K74:V74,1)</f>
        <v>28.357226572481444</v>
      </c>
      <c r="AA74" s="3">
        <f t="shared" ref="AA74:AA85" si="22">MEDIAN(K74:V74)</f>
        <v>28.724336193940285</v>
      </c>
      <c r="AB74" s="2">
        <f t="shared" ref="AB74:AB85" si="23">QUARTILE(K74:V74,3)</f>
        <v>29.0175673908977</v>
      </c>
      <c r="AC74" s="2">
        <f t="shared" ref="AC74:AC85" si="24">MAX(K74:V74)</f>
        <v>29.894978480721662</v>
      </c>
      <c r="AD74" s="2">
        <f t="shared" ref="AD74:AD85" si="25">SKEW(K74:V74)</f>
        <v>0.68941661818318434</v>
      </c>
      <c r="AE74" s="2">
        <f t="shared" ref="AE74:AE85" si="26">KURT(K74:V74)</f>
        <v>0.69660629762918713</v>
      </c>
    </row>
    <row r="75" spans="2:31" x14ac:dyDescent="0.2">
      <c r="B75" s="1">
        <f>[7]FormattedData!A91</f>
        <v>402</v>
      </c>
      <c r="C75" s="1" t="str">
        <f>VLOOKUP($B75,[7]TrtCodes!$B$11:I131,2)</f>
        <v>NTH</v>
      </c>
      <c r="D75" s="1">
        <f>VLOOKUP($B75,[7]TrtCodes!$B$11:J131,3)</f>
        <v>9</v>
      </c>
      <c r="E75" s="1">
        <f>VLOOKUP($B75,[7]TrtCodes!$B$11:K131,4)</f>
        <v>2</v>
      </c>
      <c r="F75" s="1">
        <f>VLOOKUP($B75,[7]TrtCodes!$B$11:L131,5)</f>
        <v>2</v>
      </c>
      <c r="G75" s="1">
        <f>VLOOKUP($B75,[7]TrtCodes!$B$11:M131,6)</f>
        <v>2</v>
      </c>
      <c r="H75" s="1">
        <f>VLOOKUP($B75,[7]TrtCodes!$B$11:N131,7)</f>
        <v>3</v>
      </c>
      <c r="I75" s="1">
        <f>[7]FormattedData!B91</f>
        <v>2</v>
      </c>
      <c r="J75" s="4">
        <f>[7]FormattedData!C91</f>
        <v>13.435</v>
      </c>
      <c r="K75" s="6">
        <f>$J$3+[7]FormattedData!D91*$J$4+$M$4*$J$5+[7]FormattedData!D91^2*$J$6+$M$5*$J$7</f>
        <v>29.407950560643219</v>
      </c>
      <c r="L75" s="6">
        <f>$J$3+[7]FormattedData!E91*$J$4+$M$4*$J$5+[7]FormattedData!E91^2*$J$6+$M$5*$J$7</f>
        <v>29.992257259123555</v>
      </c>
      <c r="M75" s="6">
        <f>$J$3+[7]FormattedData!F91*$J$4+$M$4*$J$5+[7]FormattedData!F91^2*$J$6+$M$5*$J$7</f>
        <v>30.865864180533716</v>
      </c>
      <c r="N75" s="6">
        <f>$J$3+[7]FormattedData!G91*$J$4+$M$4*$J$5+[7]FormattedData!G91^2*$J$6+$M$5*$J$7</f>
        <v>32.698902027976594</v>
      </c>
      <c r="O75" s="6">
        <f>$J$3+[7]FormattedData!H91*$J$4+$M$4*$J$5+[7]FormattedData!H91^2*$J$6+$M$5*$J$7</f>
        <v>29.79765743378184</v>
      </c>
      <c r="P75" s="6">
        <f>$J$3+[7]FormattedData!I91*$J$4+$M$4*$J$5+[7]FormattedData!I91^2*$J$6+$M$5*$J$7</f>
        <v>31.059534098040956</v>
      </c>
      <c r="Q75" s="6">
        <f>$J$3+[7]FormattedData!J91*$J$4+$M$4*$J$5+[7]FormattedData!J91^2*$J$6+$M$5*$J$7</f>
        <v>30.186688010313553</v>
      </c>
      <c r="R75" s="6">
        <f>$J$3+[7]FormattedData!K91*$J$4+$M$4*$J$5+[7]FormattedData!K91^2*$J$6+$M$5*$J$7</f>
        <v>30.186688010313553</v>
      </c>
      <c r="S75" s="6">
        <f>$J$3+[7]FormattedData!L91*$J$4+$M$4*$J$5+[7]FormattedData!L91^2*$J$6+$M$5*$J$7</f>
        <v>32.410489444343334</v>
      </c>
      <c r="T75" s="6">
        <f>$J$3+[7]FormattedData!M91*$J$4+$M$4*$J$5+[7]FormattedData!M91^2*$J$6+$M$5*$J$7</f>
        <v>31.349721960267328</v>
      </c>
      <c r="U75" s="6">
        <f>$J$3+[7]FormattedData!N91*$J$4+$M$4*$J$5+[7]FormattedData!N91^2*$J$6+$M$5*$J$7</f>
        <v>30.186688010313553</v>
      </c>
      <c r="V75" s="6">
        <f>$J$3+[7]FormattedData!O91*$J$4+$M$4*$J$5+[7]FormattedData!O91^2*$J$6+$M$5*$J$7</f>
        <v>30.768965818973204</v>
      </c>
      <c r="W75" s="5">
        <f t="shared" si="18"/>
        <v>30.742617234552032</v>
      </c>
      <c r="X75" s="4">
        <f t="shared" si="19"/>
        <v>0.29204400561477878</v>
      </c>
      <c r="Y75" s="3">
        <f t="shared" si="20"/>
        <v>29.407950560643219</v>
      </c>
      <c r="Z75" s="2">
        <f t="shared" si="21"/>
        <v>30.138080322516053</v>
      </c>
      <c r="AA75" s="3">
        <f t="shared" si="22"/>
        <v>30.47782691464338</v>
      </c>
      <c r="AB75" s="2">
        <f t="shared" si="23"/>
        <v>31.13208106359755</v>
      </c>
      <c r="AC75" s="2">
        <f t="shared" si="24"/>
        <v>32.698902027976594</v>
      </c>
      <c r="AD75" s="2">
        <f t="shared" si="25"/>
        <v>0.86655213636179917</v>
      </c>
      <c r="AE75" s="2">
        <f t="shared" si="26"/>
        <v>4.4058181650518335E-2</v>
      </c>
    </row>
    <row r="76" spans="2:31" x14ac:dyDescent="0.2">
      <c r="B76" s="1">
        <f>[7]FormattedData!A89</f>
        <v>403</v>
      </c>
      <c r="C76" s="1" t="str">
        <f>VLOOKUP($B76,[7]TrtCodes!$B$11:I132,2)</f>
        <v>FDL</v>
      </c>
      <c r="D76" s="1">
        <f>VLOOKUP($B76,[7]TrtCodes!$B$11:J132,3)</f>
        <v>6</v>
      </c>
      <c r="E76" s="1">
        <f>VLOOKUP($B76,[7]TrtCodes!$B$11:K132,4)</f>
        <v>1</v>
      </c>
      <c r="F76" s="1">
        <f>VLOOKUP($B76,[7]TrtCodes!$B$11:L132,5)</f>
        <v>3</v>
      </c>
      <c r="G76" s="1">
        <f>VLOOKUP($B76,[7]TrtCodes!$B$11:M132,6)</f>
        <v>1</v>
      </c>
      <c r="H76" s="1">
        <f>VLOOKUP($B76,[7]TrtCodes!$B$11:N132,7)</f>
        <v>3</v>
      </c>
      <c r="I76" s="1">
        <f>[7]FormattedData!B89</f>
        <v>2</v>
      </c>
      <c r="J76" s="4">
        <f>[7]FormattedData!C89</f>
        <v>13.417999999999999</v>
      </c>
      <c r="K76" s="6">
        <f>$J$3+[7]FormattedData!D89*$J$4+$M$4*$J$5+[7]FormattedData!D89^2*$J$6+$M$5*$J$7</f>
        <v>29.79765743378184</v>
      </c>
      <c r="L76" s="6">
        <f>$J$3+[7]FormattedData!E89*$J$4+$M$4*$J$5+[7]FormattedData!E89^2*$J$6+$M$5*$J$7</f>
        <v>26.759739783833357</v>
      </c>
      <c r="M76" s="6">
        <f>$J$3+[7]FormattedData!F89*$J$4+$M$4*$J$5+[7]FormattedData!F89^2*$J$6+$M$5*$J$7</f>
        <v>28.136732549501314</v>
      </c>
      <c r="N76" s="6">
        <f>$J$3+[7]FormattedData!G89*$J$4+$M$4*$J$5+[7]FormattedData!G89^2*$J$6+$M$5*$J$7</f>
        <v>27.842360102019761</v>
      </c>
      <c r="O76" s="6">
        <f>$J$3+[7]FormattedData!H89*$J$4+$M$4*$J$5+[7]FormattedData!H89^2*$J$6+$M$5*$J$7</f>
        <v>28.136732549501314</v>
      </c>
      <c r="P76" s="6">
        <f>$J$3+[7]FormattedData!I89*$J$4+$M$4*$J$5+[7]FormattedData!I89^2*$J$6+$M$5*$J$7</f>
        <v>27.940526519718212</v>
      </c>
      <c r="Q76" s="6">
        <f>$J$3+[7]FormattedData!J89*$J$4+$M$4*$J$5+[7]FormattedData!J89^2*$J$6+$M$5*$J$7</f>
        <v>27.350893985458544</v>
      </c>
      <c r="R76" s="6">
        <f>$J$3+[7]FormattedData!K89*$J$4+$M$4*$J$5+[7]FormattedData!K89^2*$J$6+$M$5*$J$7</f>
        <v>28.332769505132696</v>
      </c>
      <c r="S76" s="6">
        <f>$J$3+[7]FormattedData!L89*$J$4+$M$4*$J$5+[7]FormattedData!L89^2*$J$6+$M$5*$J$7</f>
        <v>27.744151415783378</v>
      </c>
      <c r="T76" s="6">
        <f>$J$3+[7]FormattedData!M89*$J$4+$M$4*$J$5+[7]FormattedData!M89^2*$J$6+$M$5*$J$7</f>
        <v>26.56235023498818</v>
      </c>
      <c r="U76" s="6">
        <f>$J$3+[7]FormattedData!N89*$J$4+$M$4*$J$5+[7]FormattedData!N89^2*$J$6+$M$5*$J$7</f>
        <v>27.449271745846652</v>
      </c>
      <c r="V76" s="6">
        <f>$J$3+[7]FormattedData!O89*$J$4+$M$4*$J$5+[7]FormattedData!O89^2*$J$6+$M$5*$J$7</f>
        <v>27.940526519718212</v>
      </c>
      <c r="W76" s="5">
        <f t="shared" si="18"/>
        <v>27.832809362106957</v>
      </c>
      <c r="X76" s="4">
        <f t="shared" si="19"/>
        <v>0.2379102893702969</v>
      </c>
      <c r="Y76" s="3">
        <f t="shared" si="20"/>
        <v>26.56235023498818</v>
      </c>
      <c r="Z76" s="2">
        <f t="shared" si="21"/>
        <v>27.424677305749626</v>
      </c>
      <c r="AA76" s="3">
        <f t="shared" si="22"/>
        <v>27.891443310868986</v>
      </c>
      <c r="AB76" s="2">
        <f t="shared" si="23"/>
        <v>28.136732549501314</v>
      </c>
      <c r="AC76" s="2">
        <f t="shared" si="24"/>
        <v>29.79765743378184</v>
      </c>
      <c r="AD76" s="2">
        <f t="shared" si="25"/>
        <v>0.84071282074187859</v>
      </c>
      <c r="AE76" s="2">
        <f t="shared" si="26"/>
        <v>2.453341144461155</v>
      </c>
    </row>
    <row r="77" spans="2:31" x14ac:dyDescent="0.2">
      <c r="B77" s="1">
        <f>[7]FormattedData!A87</f>
        <v>404</v>
      </c>
      <c r="C77" s="1" t="str">
        <f>VLOOKUP($B77,[7]TrtCodes!$B$11:I130,2)</f>
        <v>FTH</v>
      </c>
      <c r="D77" s="1">
        <f>VLOOKUP($B77,[7]TrtCodes!$B$11:J130,3)</f>
        <v>3</v>
      </c>
      <c r="E77" s="1">
        <f>VLOOKUP($B77,[7]TrtCodes!$B$11:K130,4)</f>
        <v>1</v>
      </c>
      <c r="F77" s="1">
        <f>VLOOKUP($B77,[7]TrtCodes!$B$11:L130,5)</f>
        <v>2</v>
      </c>
      <c r="G77" s="1">
        <f>VLOOKUP($B77,[7]TrtCodes!$B$11:M130,6)</f>
        <v>2</v>
      </c>
      <c r="H77" s="1">
        <f>VLOOKUP($B77,[7]TrtCodes!$B$11:N130,7)</f>
        <v>3</v>
      </c>
      <c r="I77" s="1">
        <f>[7]FormattedData!B87</f>
        <v>2</v>
      </c>
      <c r="J77" s="4">
        <f>[7]FormattedData!C87</f>
        <v>13.403</v>
      </c>
      <c r="K77" s="6">
        <f>$J$3+[7]FormattedData!D87*$J$4+$M$4*$J$5+[7]FormattedData!D87^2*$J$6+$M$5*$J$7</f>
        <v>28.626507924545283</v>
      </c>
      <c r="L77" s="6">
        <f>$J$3+[7]FormattedData!E87*$J$4+$M$4*$J$5+[7]FormattedData!E87^2*$J$6+$M$5*$J$7</f>
        <v>26.759739783833357</v>
      </c>
      <c r="M77" s="6">
        <f>$J$3+[7]FormattedData!F87*$J$4+$M$4*$J$5+[7]FormattedData!F87^2*$J$6+$M$5*$J$7</f>
        <v>27.842360102019761</v>
      </c>
      <c r="N77" s="6">
        <f>$J$3+[7]FormattedData!G87*$J$4+$M$4*$J$5+[7]FormattedData!G87^2*$J$6+$M$5*$J$7</f>
        <v>26.956960258526813</v>
      </c>
      <c r="O77" s="6">
        <f>$J$3+[7]FormattedData!H87*$J$4+$M$4*$J$5+[7]FormattedData!H87^2*$J$6+$M$5*$J$7</f>
        <v>28.136732549501314</v>
      </c>
      <c r="P77" s="6">
        <f>$J$3+[7]FormattedData!I87*$J$4+$M$4*$J$5+[7]FormattedData!I87^2*$J$6+$M$5*$J$7</f>
        <v>27.744151415783378</v>
      </c>
      <c r="Q77" s="6">
        <f>$J$3+[7]FormattedData!J87*$J$4+$M$4*$J$5+[7]FormattedData!J87^2*$J$6+$M$5*$J$7</f>
        <v>27.547607237696823</v>
      </c>
      <c r="R77" s="6">
        <f>$J$3+[7]FormattedData!K87*$J$4+$M$4*$J$5+[7]FormattedData!K87^2*$J$6+$M$5*$J$7</f>
        <v>27.842360102019761</v>
      </c>
      <c r="S77" s="6">
        <f>$J$3+[7]FormattedData!L87*$J$4+$M$4*$J$5+[7]FormattedData!L87^2*$J$6+$M$5*$J$7</f>
        <v>28.332769505132696</v>
      </c>
      <c r="T77" s="6">
        <f>$J$3+[7]FormattedData!M87*$J$4+$M$4*$J$5+[7]FormattedData!M87^2*$J$6+$M$5*$J$7</f>
        <v>27.154011659068541</v>
      </c>
      <c r="U77" s="6">
        <f>$J$3+[7]FormattedData!N87*$J$4+$M$4*$J$5+[7]FormattedData!N87^2*$J$6+$M$5*$J$7</f>
        <v>28.43072458014149</v>
      </c>
      <c r="V77" s="6">
        <f>$J$3+[7]FormattedData!O87*$J$4+$M$4*$J$5+[7]FormattedData!O87^2*$J$6+$M$5*$J$7</f>
        <v>27.055507093066641</v>
      </c>
      <c r="W77" s="5">
        <f t="shared" si="18"/>
        <v>27.702452684277986</v>
      </c>
      <c r="X77" s="4">
        <f t="shared" si="19"/>
        <v>0.17835131169529272</v>
      </c>
      <c r="Y77" s="3">
        <f t="shared" si="20"/>
        <v>26.759739783833357</v>
      </c>
      <c r="Z77" s="2">
        <f t="shared" si="21"/>
        <v>27.129385517568068</v>
      </c>
      <c r="AA77" s="3">
        <f t="shared" si="22"/>
        <v>27.793255758901569</v>
      </c>
      <c r="AB77" s="2">
        <f t="shared" si="23"/>
        <v>28.18574178840916</v>
      </c>
      <c r="AC77" s="2">
        <f t="shared" si="24"/>
        <v>28.626507924545283</v>
      </c>
      <c r="AD77" s="2">
        <f t="shared" si="25"/>
        <v>-8.2519251714947062E-2</v>
      </c>
      <c r="AE77" s="2">
        <f t="shared" si="26"/>
        <v>-1.2544628734406986</v>
      </c>
    </row>
    <row r="78" spans="2:31" x14ac:dyDescent="0.2">
      <c r="B78" s="1">
        <f>[7]FormattedData!A85</f>
        <v>405</v>
      </c>
      <c r="C78" s="1" t="str">
        <f>VLOOKUP($B78,[7]TrtCodes!$B$11:I128,2)</f>
        <v>FDL</v>
      </c>
      <c r="D78" s="1">
        <f>VLOOKUP($B78,[7]TrtCodes!$B$11:J128,3)</f>
        <v>6</v>
      </c>
      <c r="E78" s="1">
        <f>VLOOKUP($B78,[7]TrtCodes!$B$11:K128,4)</f>
        <v>1</v>
      </c>
      <c r="F78" s="1">
        <f>VLOOKUP($B78,[7]TrtCodes!$B$11:L128,5)</f>
        <v>3</v>
      </c>
      <c r="G78" s="1">
        <f>VLOOKUP($B78,[7]TrtCodes!$B$11:M128,6)</f>
        <v>1</v>
      </c>
      <c r="H78" s="1">
        <f>VLOOKUP($B78,[7]TrtCodes!$B$11:N128,7)</f>
        <v>4</v>
      </c>
      <c r="I78" s="1">
        <f>[7]FormattedData!B85</f>
        <v>2</v>
      </c>
      <c r="J78" s="4">
        <f>[7]FormattedData!C85</f>
        <v>13.387</v>
      </c>
      <c r="K78" s="6">
        <f>$J$3+[7]FormattedData!D85*$J$4+$M$4*$J$5+[7]FormattedData!D85^2*$J$6+$M$5*$J$7</f>
        <v>27.744151415783378</v>
      </c>
      <c r="L78" s="6">
        <f>$J$3+[7]FormattedData!E85*$J$4+$M$4*$J$5+[7]FormattedData!E85^2*$J$6+$M$5*$J$7</f>
        <v>28.43072458014149</v>
      </c>
      <c r="M78" s="6">
        <f>$J$3+[7]FormattedData!F85*$J$4+$M$4*$J$5+[7]FormattedData!F85^2*$J$6+$M$5*$J$7</f>
        <v>30.478017123064067</v>
      </c>
      <c r="N78" s="6">
        <f>$J$3+[7]FormattedData!G85*$J$4+$M$4*$J$5+[7]FormattedData!G85^2*$J$6+$M$5*$J$7</f>
        <v>27.842360102019761</v>
      </c>
      <c r="O78" s="6">
        <f>$J$3+[7]FormattedData!H85*$J$4+$M$4*$J$5+[7]FormattedData!H85^2*$J$6+$M$5*$J$7</f>
        <v>27.744151415783378</v>
      </c>
      <c r="P78" s="6">
        <f>$J$3+[7]FormattedData!I85*$J$4+$M$4*$J$5+[7]FormattedData!I85^2*$J$6+$M$5*$J$7</f>
        <v>27.350893985458544</v>
      </c>
      <c r="Q78" s="6">
        <f>$J$3+[7]FormattedData!J85*$J$4+$M$4*$J$5+[7]FormattedData!J85^2*$J$6+$M$5*$J$7</f>
        <v>27.940526519718212</v>
      </c>
      <c r="R78" s="6">
        <f>$J$3+[7]FormattedData!K85*$J$4+$M$4*$J$5+[7]FormattedData!K85^2*$J$6+$M$5*$J$7</f>
        <v>28.724336193940285</v>
      </c>
      <c r="S78" s="6">
        <f>$J$3+[7]FormattedData!L85*$J$4+$M$4*$J$5+[7]FormattedData!L85^2*$J$6+$M$5*$J$7</f>
        <v>28.528637386612353</v>
      </c>
      <c r="T78" s="6">
        <f>$J$3+[7]FormattedData!M85*$J$4+$M$4*$J$5+[7]FormattedData!M85^2*$J$6+$M$5*$J$7</f>
        <v>28.822122194797355</v>
      </c>
      <c r="U78" s="6">
        <f>$J$3+[7]FormattedData!N85*$J$4+$M$4*$J$5+[7]FormattedData!N85^2*$J$6+$M$5*$J$7</f>
        <v>28.332769505132696</v>
      </c>
      <c r="V78" s="6">
        <f>$J$3+[7]FormattedData!O85*$J$4+$M$4*$J$5+[7]FormattedData!O85^2*$J$6+$M$5*$J$7</f>
        <v>28.332769505132696</v>
      </c>
      <c r="W78" s="5">
        <f t="shared" si="18"/>
        <v>28.355954993965355</v>
      </c>
      <c r="X78" s="4">
        <f t="shared" si="19"/>
        <v>0.23172221611974286</v>
      </c>
      <c r="Y78" s="3">
        <f t="shared" si="20"/>
        <v>27.350893985458544</v>
      </c>
      <c r="Z78" s="2">
        <f t="shared" si="21"/>
        <v>27.817807930460667</v>
      </c>
      <c r="AA78" s="3">
        <f t="shared" si="22"/>
        <v>28.332769505132696</v>
      </c>
      <c r="AB78" s="2">
        <f t="shared" si="23"/>
        <v>28.577562088444335</v>
      </c>
      <c r="AC78" s="2">
        <f t="shared" si="24"/>
        <v>30.478017123064067</v>
      </c>
      <c r="AD78" s="2">
        <f t="shared" si="25"/>
        <v>1.6941704086449152</v>
      </c>
      <c r="AE78" s="2">
        <f t="shared" si="26"/>
        <v>4.2196887911243017</v>
      </c>
    </row>
    <row r="79" spans="2:31" x14ac:dyDescent="0.2">
      <c r="B79" s="1">
        <f>[7]FormattedData!A83</f>
        <v>406</v>
      </c>
      <c r="C79" s="1" t="str">
        <f>VLOOKUP($B79,[7]TrtCodes!$B$11:I126,2)</f>
        <v>FTH</v>
      </c>
      <c r="D79" s="1">
        <f>VLOOKUP($B79,[7]TrtCodes!$B$11:J126,3)</f>
        <v>3</v>
      </c>
      <c r="E79" s="1">
        <f>VLOOKUP($B79,[7]TrtCodes!$B$11:K126,4)</f>
        <v>1</v>
      </c>
      <c r="F79" s="1">
        <f>VLOOKUP($B79,[7]TrtCodes!$B$11:L126,5)</f>
        <v>2</v>
      </c>
      <c r="G79" s="1">
        <f>VLOOKUP($B79,[7]TrtCodes!$B$11:M126,6)</f>
        <v>2</v>
      </c>
      <c r="H79" s="1">
        <f>VLOOKUP($B79,[7]TrtCodes!$B$11:N126,7)</f>
        <v>4</v>
      </c>
      <c r="I79" s="1">
        <f>[7]FormattedData!B83</f>
        <v>2</v>
      </c>
      <c r="J79" s="4">
        <f>[7]FormattedData!C83</f>
        <v>13.37</v>
      </c>
      <c r="K79" s="6">
        <f>$J$3+[7]FormattedData!D83*$J$4+$M$4*$J$5+[7]FormattedData!D83^2*$J$6+$M$5*$J$7</f>
        <v>28.332769505132696</v>
      </c>
      <c r="L79" s="6">
        <f>$J$3+[7]FormattedData!E83*$J$4+$M$4*$J$5+[7]FormattedData!E83^2*$J$6+$M$5*$J$7</f>
        <v>29.0175673908977</v>
      </c>
      <c r="M79" s="6">
        <f>$J$3+[7]FormattedData!F83*$J$4+$M$4*$J$5+[7]FormattedData!F83^2*$J$6+$M$5*$J$7</f>
        <v>30.38094968735183</v>
      </c>
      <c r="N79" s="6">
        <f>$J$3+[7]FormattedData!G83*$J$4+$M$4*$J$5+[7]FormattedData!G83^2*$J$6+$M$5*$J$7</f>
        <v>27.449271745846652</v>
      </c>
      <c r="O79" s="6">
        <f>$J$3+[7]FormattedData!H83*$J$4+$M$4*$J$5+[7]FormattedData!H83^2*$J$6+$M$5*$J$7</f>
        <v>28.724336193940285</v>
      </c>
      <c r="P79" s="6">
        <f>$J$3+[7]FormattedData!I83*$J$4+$M$4*$J$5+[7]FormattedData!I83^2*$J$6+$M$5*$J$7</f>
        <v>26.759739783833357</v>
      </c>
      <c r="Q79" s="6">
        <f>$J$3+[7]FormattedData!J83*$J$4+$M$4*$J$5+[7]FormattedData!J83^2*$J$6+$M$5*$J$7</f>
        <v>28.919865927116494</v>
      </c>
      <c r="R79" s="6">
        <f>$J$3+[7]FormattedData!K83*$J$4+$M$4*$J$5+[7]FormattedData!K83^2*$J$6+$M$5*$J$7</f>
        <v>28.136732549501314</v>
      </c>
      <c r="S79" s="6">
        <f>$J$3+[7]FormattedData!L83*$J$4+$M$4*$J$5+[7]FormattedData!L83^2*$J$6+$M$5*$J$7</f>
        <v>28.528637386612353</v>
      </c>
      <c r="T79" s="6">
        <f>$J$3+[7]FormattedData!M83*$J$4+$M$4*$J$5+[7]FormattedData!M83^2*$J$6+$M$5*$J$7</f>
        <v>27.252473956532505</v>
      </c>
      <c r="U79" s="6">
        <f>$J$3+[7]FormattedData!N83*$J$4+$M$4*$J$5+[7]FormattedData!N83^2*$J$6+$M$5*$J$7</f>
        <v>26.463592057758696</v>
      </c>
      <c r="V79" s="6">
        <f>$J$3+[7]FormattedData!O83*$J$4+$M$4*$J$5+[7]FormattedData!O83^2*$J$6+$M$5*$J$7</f>
        <v>27.252473956532505</v>
      </c>
      <c r="W79" s="5">
        <f t="shared" si="18"/>
        <v>28.101534178421371</v>
      </c>
      <c r="X79" s="4">
        <f t="shared" si="19"/>
        <v>0.32192656738421283</v>
      </c>
      <c r="Y79" s="3">
        <f t="shared" si="20"/>
        <v>26.463592057758696</v>
      </c>
      <c r="Z79" s="2">
        <f t="shared" si="21"/>
        <v>27.252473956532505</v>
      </c>
      <c r="AA79" s="3">
        <f t="shared" si="22"/>
        <v>28.234751027317003</v>
      </c>
      <c r="AB79" s="2">
        <f t="shared" si="23"/>
        <v>28.773218627234336</v>
      </c>
      <c r="AC79" s="2">
        <f t="shared" si="24"/>
        <v>30.38094968735183</v>
      </c>
      <c r="AD79" s="2">
        <f t="shared" si="25"/>
        <v>0.40744950871900287</v>
      </c>
      <c r="AE79" s="2">
        <f t="shared" si="26"/>
        <v>4.1398792760666048E-2</v>
      </c>
    </row>
    <row r="80" spans="2:31" x14ac:dyDescent="0.2">
      <c r="B80" s="1">
        <f>[7]FormattedData!A81</f>
        <v>407</v>
      </c>
      <c r="C80" s="1" t="str">
        <f>VLOOKUP($B80,[7]TrtCodes!$B$11:I124,2)</f>
        <v>NSH</v>
      </c>
      <c r="D80" s="1">
        <f>VLOOKUP($B80,[7]TrtCodes!$B$11:J124,3)</f>
        <v>7</v>
      </c>
      <c r="E80" s="1">
        <f>VLOOKUP($B80,[7]TrtCodes!$B$11:K124,4)</f>
        <v>2</v>
      </c>
      <c r="F80" s="1">
        <f>VLOOKUP($B80,[7]TrtCodes!$B$11:L124,5)</f>
        <v>1</v>
      </c>
      <c r="G80" s="1">
        <f>VLOOKUP($B80,[7]TrtCodes!$B$11:M124,6)</f>
        <v>2</v>
      </c>
      <c r="H80" s="1">
        <f>VLOOKUP($B80,[7]TrtCodes!$B$11:N124,7)</f>
        <v>4</v>
      </c>
      <c r="I80" s="1">
        <f>[7]FormattedData!B81</f>
        <v>2</v>
      </c>
      <c r="J80" s="4">
        <f>[7]FormattedData!C81</f>
        <v>13.353999999999999</v>
      </c>
      <c r="K80" s="6">
        <f>$J$3+[7]FormattedData!D81*$J$4+$M$4*$J$5+[7]FormattedData!D81^2*$J$6+$M$5*$J$7</f>
        <v>32.89096574104245</v>
      </c>
      <c r="L80" s="6">
        <f>$J$3+[7]FormattedData!E81*$J$4+$M$4*$J$5+[7]FormattedData!E81^2*$J$6+$M$5*$J$7</f>
        <v>28.038650668878727</v>
      </c>
      <c r="M80" s="6">
        <f>$J$3+[7]FormattedData!F81*$J$4+$M$4*$J$5+[7]FormattedData!F81^2*$J$6+$M$5*$J$7</f>
        <v>28.626507924545283</v>
      </c>
      <c r="N80" s="6">
        <f>$J$3+[7]FormattedData!G81*$J$4+$M$4*$J$5+[7]FormattedData!G81^2*$J$6+$M$5*$J$7</f>
        <v>27.154011659068541</v>
      </c>
      <c r="O80" s="6">
        <f>$J$3+[7]FormattedData!H81*$J$4+$M$4*$J$5+[7]FormattedData!H81^2*$J$6+$M$5*$J$7</f>
        <v>27.940526519718212</v>
      </c>
      <c r="P80" s="6">
        <f>$J$3+[7]FormattedData!I81*$J$4+$M$4*$J$5+[7]FormattedData!I81^2*$J$6+$M$5*$J$7</f>
        <v>30.672025188874755</v>
      </c>
      <c r="Q80" s="6">
        <f>$J$3+[7]FormattedData!J81*$J$4+$M$4*$J$5+[7]FormattedData!J81^2*$J$6+$M$5*$J$7</f>
        <v>29.310418171013733</v>
      </c>
      <c r="R80" s="6">
        <f>$J$3+[7]FormattedData!K81*$J$4+$M$4*$J$5+[7]FormattedData!K81^2*$J$6+$M$5*$J$7</f>
        <v>28.332769505132696</v>
      </c>
      <c r="S80" s="6">
        <f>$J$3+[7]FormattedData!L81*$J$4+$M$4*$J$5+[7]FormattedData!L81^2*$J$6+$M$5*$J$7</f>
        <v>28.919865927116494</v>
      </c>
      <c r="T80" s="6">
        <f>$J$3+[7]FormattedData!M81*$J$4+$M$4*$J$5+[7]FormattedData!M81^2*$J$6+$M$5*$J$7</f>
        <v>26.167063914842654</v>
      </c>
      <c r="U80" s="6">
        <f>$J$3+[7]FormattedData!N81*$J$4+$M$4*$J$5+[7]FormattedData!N81^2*$J$6+$M$5*$J$7</f>
        <v>27.940526519718212</v>
      </c>
      <c r="V80" s="6">
        <f>$J$3+[7]FormattedData!O81*$J$4+$M$4*$J$5+[7]FormattedData!O81^2*$J$6+$M$5*$J$7</f>
        <v>29.21284351284632</v>
      </c>
      <c r="W80" s="5">
        <f t="shared" si="18"/>
        <v>28.767181271066505</v>
      </c>
      <c r="X80" s="4">
        <f t="shared" si="19"/>
        <v>0.4971126061661082</v>
      </c>
      <c r="Y80" s="3">
        <f t="shared" si="20"/>
        <v>26.167063914842654</v>
      </c>
      <c r="Z80" s="2">
        <f t="shared" si="21"/>
        <v>27.940526519718212</v>
      </c>
      <c r="AA80" s="3">
        <f t="shared" si="22"/>
        <v>28.479638714838991</v>
      </c>
      <c r="AB80" s="2">
        <f t="shared" si="23"/>
        <v>29.237237177388174</v>
      </c>
      <c r="AC80" s="2">
        <f t="shared" si="24"/>
        <v>32.89096574104245</v>
      </c>
      <c r="AD80" s="2">
        <f t="shared" si="25"/>
        <v>1.1517344720792158</v>
      </c>
      <c r="AE80" s="2">
        <f t="shared" si="26"/>
        <v>2.3495512681076205</v>
      </c>
    </row>
    <row r="81" spans="2:31" x14ac:dyDescent="0.2">
      <c r="B81" s="1">
        <f>[7]FormattedData!A79</f>
        <v>408</v>
      </c>
      <c r="C81" s="1" t="str">
        <f>VLOOKUP($B81,[7]TrtCodes!$B$11:I122,2)</f>
        <v>NTL</v>
      </c>
      <c r="D81" s="1">
        <f>VLOOKUP($B81,[7]TrtCodes!$B$11:J122,3)</f>
        <v>10</v>
      </c>
      <c r="E81" s="1">
        <f>VLOOKUP($B81,[7]TrtCodes!$B$11:K122,4)</f>
        <v>2</v>
      </c>
      <c r="F81" s="1">
        <f>VLOOKUP($B81,[7]TrtCodes!$B$11:L122,5)</f>
        <v>2</v>
      </c>
      <c r="G81" s="1">
        <f>VLOOKUP($B81,[7]TrtCodes!$B$11:M122,6)</f>
        <v>1</v>
      </c>
      <c r="H81" s="1">
        <f>VLOOKUP($B81,[7]TrtCodes!$B$11:N122,7)</f>
        <v>4</v>
      </c>
      <c r="I81" s="1">
        <f>[7]FormattedData!B79</f>
        <v>2</v>
      </c>
      <c r="J81" s="4">
        <f>[7]FormattedData!C79</f>
        <v>13.337</v>
      </c>
      <c r="K81" s="6">
        <f>$J$3+[7]FormattedData!D79*$J$4+$M$4*$J$5+[7]FormattedData!D79^2*$J$6+$M$5*$J$7</f>
        <v>30.478017123064067</v>
      </c>
      <c r="L81" s="6">
        <f>$J$3+[7]FormattedData!E79*$J$4+$M$4*$J$5+[7]FormattedData!E79^2*$J$6+$M$5*$J$7</f>
        <v>28.626507924545283</v>
      </c>
      <c r="M81" s="6">
        <f>$J$3+[7]FormattedData!F79*$J$4+$M$4*$J$5+[7]FormattedData!F79^2*$J$6+$M$5*$J$7</f>
        <v>29.505440681734765</v>
      </c>
      <c r="N81" s="6">
        <f>$J$3+[7]FormattedData!G79*$J$4+$M$4*$J$5+[7]FormattedData!G79^2*$J$6+$M$5*$J$7</f>
        <v>28.43072458014149</v>
      </c>
      <c r="O81" s="6">
        <f>$J$3+[7]FormattedData!H79*$J$4+$M$4*$J$5+[7]FormattedData!H79^2*$J$6+$M$5*$J$7</f>
        <v>29.992257259123555</v>
      </c>
      <c r="P81" s="6">
        <f>$J$3+[7]FormattedData!I79*$J$4+$M$4*$J$5+[7]FormattedData!I79^2*$J$6+$M$5*$J$7</f>
        <v>29.407950560643219</v>
      </c>
      <c r="Q81" s="6">
        <f>$J$3+[7]FormattedData!J79*$J$4+$M$4*$J$5+[7]FormattedData!J79^2*$J$6+$M$5*$J$7</f>
        <v>29.894978480721662</v>
      </c>
      <c r="R81" s="6">
        <f>$J$3+[7]FormattedData!K79*$J$4+$M$4*$J$5+[7]FormattedData!K79^2*$J$6+$M$5*$J$7</f>
        <v>28.919865927116494</v>
      </c>
      <c r="S81" s="6">
        <f>$J$3+[7]FormattedData!L79*$J$4+$M$4*$J$5+[7]FormattedData!L79^2*$J$6+$M$5*$J$7</f>
        <v>29.407950560643219</v>
      </c>
      <c r="T81" s="6">
        <f>$J$3+[7]FormattedData!M79*$J$4+$M$4*$J$5+[7]FormattedData!M79^2*$J$6+$M$5*$J$7</f>
        <v>29.0175673908977</v>
      </c>
      <c r="U81" s="6">
        <f>$J$3+[7]FormattedData!N79*$J$4+$M$4*$J$5+[7]FormattedData!N79^2*$J$6+$M$5*$J$7</f>
        <v>30.962720273556297</v>
      </c>
      <c r="V81" s="6">
        <f>$J$3+[7]FormattedData!O79*$J$4+$M$4*$J$5+[7]FormattedData!O79^2*$J$6+$M$5*$J$7</f>
        <v>28.332769505132696</v>
      </c>
      <c r="W81" s="5">
        <f t="shared" si="18"/>
        <v>29.414729188943369</v>
      </c>
      <c r="X81" s="4">
        <f t="shared" si="19"/>
        <v>0.23455596166968265</v>
      </c>
      <c r="Y81" s="3">
        <f t="shared" si="20"/>
        <v>28.332769505132696</v>
      </c>
      <c r="Z81" s="2">
        <f t="shared" si="21"/>
        <v>28.846526426473691</v>
      </c>
      <c r="AA81" s="3">
        <f t="shared" si="22"/>
        <v>29.407950560643219</v>
      </c>
      <c r="AB81" s="2">
        <f t="shared" si="23"/>
        <v>29.919298175322133</v>
      </c>
      <c r="AC81" s="2">
        <f t="shared" si="24"/>
        <v>30.962720273556297</v>
      </c>
      <c r="AD81" s="2">
        <f t="shared" si="25"/>
        <v>0.47237260900870054</v>
      </c>
      <c r="AE81" s="2">
        <f t="shared" si="26"/>
        <v>-0.43120288248410077</v>
      </c>
    </row>
    <row r="82" spans="2:31" x14ac:dyDescent="0.2">
      <c r="B82" s="1">
        <f>[7]FormattedData!A59</f>
        <v>902</v>
      </c>
      <c r="C82" s="1" t="str">
        <f>VLOOKUP($B82,[7]TrtCodes!$B$11:I102,2)</f>
        <v>Late</v>
      </c>
      <c r="D82" s="1">
        <f>VLOOKUP($B82,[7]TrtCodes!$B$11:J102,3)</f>
        <v>22</v>
      </c>
      <c r="E82" s="1">
        <f>VLOOKUP($B82,[7]TrtCodes!$B$11:K102,4)</f>
        <v>4</v>
      </c>
      <c r="F82" s="1">
        <f>VLOOKUP($B82,[7]TrtCodes!$B$11:L102,5)</f>
        <v>2</v>
      </c>
      <c r="G82" s="1">
        <f>VLOOKUP($B82,[7]TrtCodes!$B$11:M102,6)</f>
        <v>2</v>
      </c>
      <c r="H82" s="1">
        <f>VLOOKUP($B82,[7]TrtCodes!$B$11:N102,7)</f>
        <v>1</v>
      </c>
      <c r="I82" s="1">
        <f>[7]FormattedData!B59</f>
        <v>2</v>
      </c>
      <c r="J82" s="4">
        <f>[7]FormattedData!C59</f>
        <v>13.19</v>
      </c>
      <c r="K82" s="6">
        <f>$J$3+[7]FormattedData!D59*$J$4+$M$4*$J$5+[7]FormattedData!D59^2*$J$6+$M$5*$J$7</f>
        <v>29.310418171013733</v>
      </c>
      <c r="L82" s="6">
        <f>$J$3+[7]FormattedData!E59*$J$4+$M$4*$J$5+[7]FormattedData!E59^2*$J$6+$M$5*$J$7</f>
        <v>28.332769505132696</v>
      </c>
      <c r="M82" s="6">
        <f>$J$3+[7]FormattedData!F59*$J$4+$M$4*$J$5+[7]FormattedData!F59^2*$J$6+$M$5*$J$7</f>
        <v>30.089493768987523</v>
      </c>
      <c r="N82" s="6">
        <f>$J$3+[7]FormattedData!G59*$J$4+$M$4*$J$5+[7]FormattedData!G59^2*$J$6+$M$5*$J$7</f>
        <v>27.940526519718212</v>
      </c>
      <c r="O82" s="6">
        <f>$J$3+[7]FormattedData!H59*$J$4+$M$4*$J$5+[7]FormattedData!H59^2*$J$6+$M$5*$J$7</f>
        <v>29.310418171013733</v>
      </c>
      <c r="P82" s="6">
        <f>$J$3+[7]FormattedData!I59*$J$4+$M$4*$J$5+[7]FormattedData!I59^2*$J$6+$M$5*$J$7</f>
        <v>29.0175673908977</v>
      </c>
      <c r="Q82" s="6">
        <f>$J$3+[7]FormattedData!J59*$J$4+$M$4*$J$5+[7]FormattedData!J59^2*$J$6+$M$5*$J$7</f>
        <v>30.38094968735183</v>
      </c>
      <c r="R82" s="6">
        <f>$J$3+[7]FormattedData!K59*$J$4+$M$4*$J$5+[7]FormattedData!K59^2*$J$6+$M$5*$J$7</f>
        <v>29.505440681734765</v>
      </c>
      <c r="S82" s="6">
        <f>$J$3+[7]FormattedData!L59*$J$4+$M$4*$J$5+[7]FormattedData!L59^2*$J$6+$M$5*$J$7</f>
        <v>28.919865927116494</v>
      </c>
      <c r="T82" s="6">
        <f>$J$3+[7]FormattedData!M59*$J$4+$M$4*$J$5+[7]FormattedData!M59^2*$J$6+$M$5*$J$7</f>
        <v>28.822122194797355</v>
      </c>
      <c r="U82" s="6">
        <f>$J$3+[7]FormattedData!N59*$J$4+$M$4*$J$5+[7]FormattedData!N59^2*$J$6+$M$5*$J$7</f>
        <v>29.407950560643219</v>
      </c>
      <c r="V82" s="6">
        <f>$J$3+[7]FormattedData!O59*$J$4+$M$4*$J$5+[7]FormattedData!O59^2*$J$6+$M$5*$J$7</f>
        <v>28.528637386612353</v>
      </c>
      <c r="W82" s="5">
        <f t="shared" si="18"/>
        <v>29.130513330418299</v>
      </c>
      <c r="X82" s="4">
        <f t="shared" si="19"/>
        <v>0.20099111772878486</v>
      </c>
      <c r="Y82" s="3">
        <f t="shared" si="20"/>
        <v>27.940526519718212</v>
      </c>
      <c r="Z82" s="2">
        <f t="shared" si="21"/>
        <v>28.748750992751106</v>
      </c>
      <c r="AA82" s="3">
        <f t="shared" si="22"/>
        <v>29.163992780955716</v>
      </c>
      <c r="AB82" s="2">
        <f t="shared" si="23"/>
        <v>29.432323090916107</v>
      </c>
      <c r="AC82" s="2">
        <f t="shared" si="24"/>
        <v>30.38094968735183</v>
      </c>
      <c r="AD82" s="2">
        <f t="shared" si="25"/>
        <v>0.15251105247254187</v>
      </c>
      <c r="AE82" s="2">
        <f t="shared" si="26"/>
        <v>-9.6643720690080759E-2</v>
      </c>
    </row>
    <row r="83" spans="2:31" x14ac:dyDescent="0.2">
      <c r="B83" s="1">
        <f>[7]FormattedData!A55</f>
        <v>904</v>
      </c>
      <c r="C83" s="1" t="str">
        <f>VLOOKUP($B83,[7]TrtCodes!$B$11:I98,2)</f>
        <v>Early</v>
      </c>
      <c r="D83" s="1">
        <f>VLOOKUP($B83,[7]TrtCodes!$B$11:J98,3)</f>
        <v>21</v>
      </c>
      <c r="E83" s="1">
        <f>VLOOKUP($B83,[7]TrtCodes!$B$11:K98,4)</f>
        <v>3</v>
      </c>
      <c r="F83" s="1">
        <f>VLOOKUP($B83,[7]TrtCodes!$B$11:L98,5)</f>
        <v>2</v>
      </c>
      <c r="G83" s="1">
        <f>VLOOKUP($B83,[7]TrtCodes!$B$11:M98,6)</f>
        <v>2</v>
      </c>
      <c r="H83" s="1">
        <f>VLOOKUP($B83,[7]TrtCodes!$B$11:N98,7)</f>
        <v>1</v>
      </c>
      <c r="I83" s="1">
        <f>[7]FormattedData!B55</f>
        <v>2</v>
      </c>
      <c r="J83" s="4">
        <f>[7]FormattedData!C55</f>
        <v>13.167999999999999</v>
      </c>
      <c r="K83" s="6">
        <f>$J$3+[7]FormattedData!D55*$J$4+$M$4*$J$5+[7]FormattedData!D55^2*$J$6+$M$5*$J$7</f>
        <v>29.21284351284632</v>
      </c>
      <c r="L83" s="6">
        <f>$J$3+[7]FormattedData!E55*$J$4+$M$4*$J$5+[7]FormattedData!E55^2*$J$6+$M$5*$J$7</f>
        <v>31.253034941396471</v>
      </c>
      <c r="M83" s="6">
        <f>$J$3+[7]FormattedData!F55*$J$4+$M$4*$J$5+[7]FormattedData!F55^2*$J$6+$M$5*$J$7</f>
        <v>30.38094968735183</v>
      </c>
      <c r="N83" s="6">
        <f>$J$3+[7]FormattedData!G55*$J$4+$M$4*$J$5+[7]FormattedData!G55^2*$J$6+$M$5*$J$7</f>
        <v>27.645900461009067</v>
      </c>
      <c r="O83" s="6">
        <f>$J$3+[7]FormattedData!H55*$J$4+$M$4*$J$5+[7]FormattedData!H55^2*$J$6+$M$5*$J$7</f>
        <v>30.962720273556297</v>
      </c>
      <c r="P83" s="6">
        <f>$J$3+[7]FormattedData!I55*$J$4+$M$4*$J$5+[7]FormattedData!I55^2*$J$6+$M$5*$J$7</f>
        <v>29.407950560643219</v>
      </c>
      <c r="Q83" s="6">
        <f>$J$3+[7]FormattedData!J55*$J$4+$M$4*$J$5+[7]FormattedData!J55^2*$J$6+$M$5*$J$7</f>
        <v>30.962720273556297</v>
      </c>
      <c r="R83" s="6">
        <f>$J$3+[7]FormattedData!K55*$J$4+$M$4*$J$5+[7]FormattedData!K55^2*$J$6+$M$5*$J$7</f>
        <v>28.822122194797355</v>
      </c>
      <c r="S83" s="6">
        <f>$J$3+[7]FormattedData!L55*$J$4+$M$4*$J$5+[7]FormattedData!L55^2*$J$6+$M$5*$J$7</f>
        <v>29.894978480721662</v>
      </c>
      <c r="T83" s="6">
        <f>$J$3+[7]FormattedData!M55*$J$4+$M$4*$J$5+[7]FormattedData!M55^2*$J$6+$M$5*$J$7</f>
        <v>28.919865927116494</v>
      </c>
      <c r="U83" s="6">
        <f>$J$3+[7]FormattedData!N55*$J$4+$M$4*$J$5+[7]FormattedData!N55^2*$J$6+$M$5*$J$7</f>
        <v>30.478017123064067</v>
      </c>
      <c r="V83" s="6">
        <f>$J$3+[7]FormattedData!O55*$J$4+$M$4*$J$5+[7]FormattedData!O55^2*$J$6+$M$5*$J$7</f>
        <v>29.894978480721662</v>
      </c>
      <c r="W83" s="5">
        <f t="shared" si="18"/>
        <v>29.819673493065064</v>
      </c>
      <c r="X83" s="4">
        <f t="shared" si="19"/>
        <v>0.30767007801294383</v>
      </c>
      <c r="Y83" s="3">
        <f t="shared" si="20"/>
        <v>27.645900461009067</v>
      </c>
      <c r="Z83" s="2">
        <f t="shared" si="21"/>
        <v>29.139599116413862</v>
      </c>
      <c r="AA83" s="3">
        <f t="shared" si="22"/>
        <v>29.894978480721662</v>
      </c>
      <c r="AB83" s="2">
        <f t="shared" si="23"/>
        <v>30.599192910687123</v>
      </c>
      <c r="AC83" s="2">
        <f t="shared" si="24"/>
        <v>31.253034941396471</v>
      </c>
      <c r="AD83" s="2">
        <f t="shared" si="25"/>
        <v>-0.53085642829335977</v>
      </c>
      <c r="AE83" s="2">
        <f t="shared" si="26"/>
        <v>-0.11806645729206622</v>
      </c>
    </row>
    <row r="84" spans="2:31" x14ac:dyDescent="0.2">
      <c r="B84" s="1">
        <f>[7]FormattedData!A51</f>
        <v>906</v>
      </c>
      <c r="C84" s="1" t="str">
        <f>VLOOKUP($B84,[7]TrtCodes!$B$11:I94,2)</f>
        <v>Late</v>
      </c>
      <c r="D84" s="1">
        <f>VLOOKUP($B84,[7]TrtCodes!$B$11:J94,3)</f>
        <v>22</v>
      </c>
      <c r="E84" s="1">
        <f>VLOOKUP($B84,[7]TrtCodes!$B$11:K94,4)</f>
        <v>4</v>
      </c>
      <c r="F84" s="1">
        <f>VLOOKUP($B84,[7]TrtCodes!$B$11:L94,5)</f>
        <v>2</v>
      </c>
      <c r="G84" s="1">
        <f>VLOOKUP($B84,[7]TrtCodes!$B$11:M94,6)</f>
        <v>2</v>
      </c>
      <c r="H84" s="1">
        <f>VLOOKUP($B84,[7]TrtCodes!$B$11:N94,7)</f>
        <v>2</v>
      </c>
      <c r="I84" s="1">
        <f>[7]FormattedData!B51</f>
        <v>2</v>
      </c>
      <c r="J84" s="4">
        <f>[7]FormattedData!C51</f>
        <v>13.148</v>
      </c>
      <c r="K84" s="6">
        <f>$J$3+[7]FormattedData!D51*$J$4+$M$4*$J$5+[7]FormattedData!D51^2*$J$6+$M$5*$J$7</f>
        <v>27.744151415783378</v>
      </c>
      <c r="L84" s="6">
        <f>$J$3+[7]FormattedData!E51*$J$4+$M$4*$J$5+[7]FormattedData!E51^2*$J$6+$M$5*$J$7</f>
        <v>28.136732549501314</v>
      </c>
      <c r="M84" s="6">
        <f>$J$3+[7]FormattedData!F51*$J$4+$M$4*$J$5+[7]FormattedData!F51^2*$J$6+$M$5*$J$7</f>
        <v>28.136732549501314</v>
      </c>
      <c r="N84" s="6">
        <f>$J$3+[7]FormattedData!G51*$J$4+$M$4*$J$5+[7]FormattedData!G51^2*$J$6+$M$5*$J$7</f>
        <v>28.136732549501314</v>
      </c>
      <c r="O84" s="6">
        <f>$J$3+[7]FormattedData!H51*$J$4+$M$4*$J$5+[7]FormattedData!H51^2*$J$6+$M$5*$J$7</f>
        <v>29.700294118304075</v>
      </c>
      <c r="P84" s="6">
        <f>$J$3+[7]FormattedData!I51*$J$4+$M$4*$J$5+[7]FormattedData!I51^2*$J$6+$M$5*$J$7</f>
        <v>29.0175673908977</v>
      </c>
      <c r="Q84" s="6">
        <f>$J$3+[7]FormattedData!J51*$J$4+$M$4*$J$5+[7]FormattedData!J51^2*$J$6+$M$5*$J$7</f>
        <v>29.310418171013733</v>
      </c>
      <c r="R84" s="6">
        <f>$J$3+[7]FormattedData!K51*$J$4+$M$4*$J$5+[7]FormattedData!K51^2*$J$6+$M$5*$J$7</f>
        <v>29.0175673908977</v>
      </c>
      <c r="S84" s="6">
        <f>$J$3+[7]FormattedData!L51*$J$4+$M$4*$J$5+[7]FormattedData!L51^2*$J$6+$M$5*$J$7</f>
        <v>30.478017123064067</v>
      </c>
      <c r="T84" s="6">
        <f>$J$3+[7]FormattedData!M51*$J$4+$M$4*$J$5+[7]FormattedData!M51^2*$J$6+$M$5*$J$7</f>
        <v>27.744151415783378</v>
      </c>
      <c r="U84" s="6">
        <f>$J$3+[7]FormattedData!N51*$J$4+$M$4*$J$5+[7]FormattedData!N51^2*$J$6+$M$5*$J$7</f>
        <v>29.407950560643219</v>
      </c>
      <c r="V84" s="6">
        <f>$J$3+[7]FormattedData!O51*$J$4+$M$4*$J$5+[7]FormattedData!O51^2*$J$6+$M$5*$J$7</f>
        <v>28.332769505132696</v>
      </c>
      <c r="W84" s="5">
        <f t="shared" si="18"/>
        <v>28.763590395001998</v>
      </c>
      <c r="X84" s="4">
        <f t="shared" si="19"/>
        <v>0.24776077047436576</v>
      </c>
      <c r="Y84" s="3">
        <f t="shared" si="20"/>
        <v>27.744151415783378</v>
      </c>
      <c r="Z84" s="2">
        <f t="shared" si="21"/>
        <v>28.136732549501314</v>
      </c>
      <c r="AA84" s="3">
        <f t="shared" si="22"/>
        <v>28.675168448015199</v>
      </c>
      <c r="AB84" s="2">
        <f t="shared" si="23"/>
        <v>29.334801268421103</v>
      </c>
      <c r="AC84" s="2">
        <f t="shared" si="24"/>
        <v>30.478017123064067</v>
      </c>
      <c r="AD84" s="2">
        <f t="shared" si="25"/>
        <v>0.58442987651512146</v>
      </c>
      <c r="AE84" s="2">
        <f t="shared" si="26"/>
        <v>-0.45066437372379609</v>
      </c>
    </row>
    <row r="85" spans="2:31" x14ac:dyDescent="0.2">
      <c r="B85" s="1">
        <f>[7]FormattedData!A47</f>
        <v>908</v>
      </c>
      <c r="C85" s="1" t="str">
        <f>VLOOKUP($B85,[7]TrtCodes!$B$11:I90,2)</f>
        <v>Early</v>
      </c>
      <c r="D85" s="1">
        <f>VLOOKUP($B85,[7]TrtCodes!$B$11:J90,3)</f>
        <v>21</v>
      </c>
      <c r="E85" s="1">
        <f>VLOOKUP($B85,[7]TrtCodes!$B$11:K90,4)</f>
        <v>3</v>
      </c>
      <c r="F85" s="1">
        <f>VLOOKUP($B85,[7]TrtCodes!$B$11:L90,5)</f>
        <v>2</v>
      </c>
      <c r="G85" s="1">
        <f>VLOOKUP($B85,[7]TrtCodes!$B$11:M90,6)</f>
        <v>2</v>
      </c>
      <c r="H85" s="1">
        <f>VLOOKUP($B85,[7]TrtCodes!$B$11:N90,7)</f>
        <v>2</v>
      </c>
      <c r="I85" s="1">
        <f>[7]FormattedData!B47</f>
        <v>2</v>
      </c>
      <c r="J85" s="4">
        <f>[7]FormattedData!C47</f>
        <v>13.127000000000001</v>
      </c>
      <c r="K85" s="6">
        <f>$J$3+[7]FormattedData!D47*$J$4+$M$4*$J$5+[7]FormattedData!D47^2*$J$6+$M$5*$J$7</f>
        <v>29.505440681734765</v>
      </c>
      <c r="L85" s="6">
        <f>$J$3+[7]FormattedData!E47*$J$4+$M$4*$J$5+[7]FormattedData!E47^2*$J$6+$M$5*$J$7</f>
        <v>30.575042290238379</v>
      </c>
      <c r="M85" s="6">
        <f>$J$3+[7]FormattedData!F47*$J$4+$M$4*$J$5+[7]FormattedData!F47^2*$J$6+$M$5*$J$7</f>
        <v>28.43072458014149</v>
      </c>
      <c r="N85" s="6">
        <f>$J$3+[7]FormattedData!G47*$J$4+$M$4*$J$5+[7]FormattedData!G47^2*$J$6+$M$5*$J$7</f>
        <v>28.919865927116494</v>
      </c>
      <c r="O85" s="6">
        <f>$J$3+[7]FormattedData!H47*$J$4+$M$4*$J$5+[7]FormattedData!H47^2*$J$6+$M$5*$J$7</f>
        <v>29.79765743378184</v>
      </c>
      <c r="P85" s="6">
        <f>$J$3+[7]FormattedData!I47*$J$4+$M$4*$J$5+[7]FormattedData!I47^2*$J$6+$M$5*$J$7</f>
        <v>30.575042290238379</v>
      </c>
      <c r="Q85" s="6">
        <f>$J$3+[7]FormattedData!J47*$J$4+$M$4*$J$5+[7]FormattedData!J47^2*$J$6+$M$5*$J$7</f>
        <v>30.283839983101661</v>
      </c>
      <c r="R85" s="6">
        <f>$J$3+[7]FormattedData!K47*$J$4+$M$4*$J$5+[7]FormattedData!K47^2*$J$6+$M$5*$J$7</f>
        <v>30.186688010313553</v>
      </c>
      <c r="S85" s="6">
        <f>$J$3+[7]FormattedData!L47*$J$4+$M$4*$J$5+[7]FormattedData!L47^2*$J$6+$M$5*$J$7</f>
        <v>29.700294118304075</v>
      </c>
      <c r="T85" s="6">
        <f>$J$3+[7]FormattedData!M47*$J$4+$M$4*$J$5+[7]FormattedData!M47^2*$J$6+$M$5*$J$7</f>
        <v>29.79765743378184</v>
      </c>
      <c r="U85" s="6">
        <f>$J$3+[7]FormattedData!N47*$J$4+$M$4*$J$5+[7]FormattedData!N47^2*$J$6+$M$5*$J$7</f>
        <v>28.822122194797355</v>
      </c>
      <c r="V85" s="6">
        <f>$J$3+[7]FormattedData!O47*$J$4+$M$4*$J$5+[7]FormattedData!O47^2*$J$6+$M$5*$J$7</f>
        <v>29.992257259123555</v>
      </c>
      <c r="W85" s="5">
        <f t="shared" si="18"/>
        <v>29.715552683556123</v>
      </c>
      <c r="X85" s="4">
        <f t="shared" si="19"/>
        <v>0.19922026233651149</v>
      </c>
      <c r="Y85" s="3">
        <f t="shared" si="20"/>
        <v>28.43072458014149</v>
      </c>
      <c r="Z85" s="2">
        <f t="shared" si="21"/>
        <v>29.359046993080199</v>
      </c>
      <c r="AA85" s="3">
        <f t="shared" si="22"/>
        <v>29.79765743378184</v>
      </c>
      <c r="AB85" s="2">
        <f t="shared" si="23"/>
        <v>30.210976003510581</v>
      </c>
      <c r="AC85" s="2">
        <f t="shared" si="24"/>
        <v>30.575042290238379</v>
      </c>
      <c r="AD85" s="2">
        <f t="shared" si="25"/>
        <v>-0.58645290010684636</v>
      </c>
      <c r="AE85" s="2">
        <f t="shared" si="26"/>
        <v>-0.54877737219959588</v>
      </c>
    </row>
    <row r="88" spans="2:31" x14ac:dyDescent="0.2">
      <c r="W88" s="2"/>
    </row>
  </sheetData>
  <autoFilter ref="B9:AE85" xr:uid="{100C9DD7-B2B6-4CBE-95E2-9B59B8DA44A6}"/>
  <conditionalFormatting sqref="K10:V85">
    <cfRule type="cellIs" dxfId="99" priority="1" stopIfTrue="1" operator="lessThan">
      <formula>$W10-$V$5*$X10</formula>
    </cfRule>
    <cfRule type="cellIs" dxfId="98" priority="2" stopIfTrue="1" operator="greaterThan">
      <formula>$W10+$V$5*$X10</formula>
    </cfRule>
  </conditionalFormatting>
  <conditionalFormatting sqref="W10:W85">
    <cfRule type="cellIs" dxfId="97" priority="3" stopIfTrue="1" operator="lessThan">
      <formula>AVERAGE($W$10:$W$41)</formula>
    </cfRule>
    <cfRule type="cellIs" dxfId="9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E28A-8D56-4D86-9635-F4C55198279E}">
  <sheetPr codeName="Sheet26"/>
  <dimension ref="A1:AI88"/>
  <sheetViews>
    <sheetView topLeftCell="A8" workbookViewId="0">
      <pane xSplit="4" ySplit="2" topLeftCell="N37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[8]FormattedData!A1</f>
        <v>Raw data file name - 'IA176.03R'</v>
      </c>
    </row>
    <row r="2" spans="1:35" ht="15" x14ac:dyDescent="0.25">
      <c r="I2" s="32" t="s">
        <v>136</v>
      </c>
      <c r="J2" s="24"/>
      <c r="P2" s="31">
        <f>[8]AncillaryData!C10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[8]AncillaryData!E25</f>
        <v>35.35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"&amp;[8]AncillaryData!C7</f>
        <v>Time Sequence of Midday IRT Temps - FISE 2003 - DOY 176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"&amp;[8]AncillaryData!E25&amp;", VPD = "&amp;ROUND([8]AncillaryData!E29,1)&amp;", Quality = "&amp;[8]AncillaryData!C20&amp;")"</f>
        <v>(Ta = 35.35, VPD = 4.8,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[8]FormattedData!A28</f>
        <v>101</v>
      </c>
      <c r="C10" s="1" t="str">
        <f>VLOOKUP($B10,[8]TrtCodes!$B$11:I71,2)</f>
        <v>FSH</v>
      </c>
      <c r="D10" s="1">
        <f>VLOOKUP($B10,[8]TrtCodes!$B$11:J71,3)</f>
        <v>1</v>
      </c>
      <c r="E10" s="1">
        <f>VLOOKUP($B10,[8]TrtCodes!$B$11:K71,4)</f>
        <v>1</v>
      </c>
      <c r="F10" s="1">
        <f>VLOOKUP($B10,[8]TrtCodes!$B$11:L71,5)</f>
        <v>1</v>
      </c>
      <c r="G10" s="1">
        <f>VLOOKUP($B10,[8]TrtCodes!$B$11:M71,6)</f>
        <v>2</v>
      </c>
      <c r="H10" s="1">
        <f>VLOOKUP($B10,[8]TrtCodes!$B$11:N71,7)</f>
        <v>1</v>
      </c>
      <c r="I10" s="1">
        <f>[8]FormattedData!B28</f>
        <v>1</v>
      </c>
      <c r="J10" s="4">
        <f>[8]FormattedData!C28</f>
        <v>13.196999999999999</v>
      </c>
      <c r="K10" s="6">
        <f>$J$3+[8]FormattedData!D28*$J$4+$M$4*$J$5+[8]FormattedData!D28^2*$J$6+$M$5*$J$7</f>
        <v>43.334874231883674</v>
      </c>
      <c r="L10" s="6">
        <f>$J$3+[8]FormattedData!E28*$J$4+$M$4*$J$5+[8]FormattedData!E28^2*$J$6+$M$5*$J$7</f>
        <v>36.179640069269581</v>
      </c>
      <c r="M10" s="6">
        <f>$J$3+[8]FormattedData!F28*$J$4+$M$4*$J$5+[8]FormattedData!F28^2*$J$6+$M$5*$J$7</f>
        <v>34.756597993172271</v>
      </c>
      <c r="N10" s="6">
        <f>$J$3+[8]FormattedData!G28*$J$4+$M$4*$J$5+[8]FormattedData!G28^2*$J$6+$M$5*$J$7</f>
        <v>36.55751175178748</v>
      </c>
      <c r="O10" s="6">
        <f>$J$3+[8]FormattedData!H28*$J$4+$M$4*$J$5+[8]FormattedData!H28^2*$J$6+$M$5*$J$7</f>
        <v>30.721484740196225</v>
      </c>
      <c r="P10" s="6">
        <f>$J$3+[8]FormattedData!I28*$J$4+$M$4*$J$5+[8]FormattedData!I28^2*$J$6+$M$5*$J$7</f>
        <v>37.499232160427049</v>
      </c>
      <c r="Q10" s="6">
        <f>$J$3+[8]FormattedData!J28*$J$4+$M$4*$J$5+[8]FormattedData!J28^2*$J$6+$M$5*$J$7</f>
        <v>31.108993649362425</v>
      </c>
      <c r="R10" s="6">
        <f>$J$3+[8]FormattedData!K28*$J$4+$M$4*$J$5+[8]FormattedData!K28^2*$J$6+$M$5*$J$7</f>
        <v>37.687069019699791</v>
      </c>
      <c r="S10" s="6">
        <f>$J$3+[8]FormattedData!L28*$J$4+$M$4*$J$5+[8]FormattedData!L28^2*$J$6+$M$5*$J$7</f>
        <v>31.978415985517405</v>
      </c>
      <c r="T10" s="6">
        <f>$J$3+[8]FormattedData!M28*$J$4+$M$4*$J$5+[8]FormattedData!M28^2*$J$6+$M$5*$J$7</f>
        <v>39.276855954642201</v>
      </c>
      <c r="U10" s="6">
        <f>$J$3+[8]FormattedData!N28*$J$4+$M$4*$J$5+[8]FormattedData!N28^2*$J$6+$M$5*$J$7</f>
        <v>37.311226227002585</v>
      </c>
      <c r="V10" s="6">
        <f>$J$3+[8]FormattedData!O28*$J$4+$M$4*$J$5+[8]FormattedData!O28^2*$J$6+$M$5*$J$7</f>
        <v>34.756597993172271</v>
      </c>
      <c r="W10" s="5">
        <f t="shared" ref="W10:W41" si="0">AVERAGE(K10:V10)</f>
        <v>35.930708314677744</v>
      </c>
      <c r="X10" s="4">
        <f t="shared" ref="X10:X41" si="1">STDEV(K10:V10)/SQRT(COUNT(K10:V10))</f>
        <v>1.0396923842997976</v>
      </c>
      <c r="Y10" s="3">
        <f t="shared" ref="Y10:Y41" si="2">MIN(K10:V10)</f>
        <v>30.721484740196225</v>
      </c>
      <c r="Z10" s="2">
        <f t="shared" ref="Z10:Z41" si="3">QUARTILE(K10:V10,1)</f>
        <v>34.062052491258555</v>
      </c>
      <c r="AA10" s="3">
        <f t="shared" ref="AA10:AA41" si="4">MEDIAN(K10:V10)</f>
        <v>36.368575910528534</v>
      </c>
      <c r="AB10" s="2">
        <f t="shared" ref="AB10:AB41" si="5">QUARTILE(K10:V10,3)</f>
        <v>37.546191375245236</v>
      </c>
      <c r="AC10" s="2">
        <f t="shared" ref="AC10:AC41" si="6">MAX(K10:V10)</f>
        <v>43.334874231883674</v>
      </c>
      <c r="AD10" s="2">
        <f t="shared" ref="AD10:AD41" si="7">SKEW(K10:V10)</f>
        <v>0.32016941285233375</v>
      </c>
      <c r="AE10" s="2">
        <f t="shared" ref="AE10:AE41" si="8">KURT(K10:V10)</f>
        <v>0.34463379721969289</v>
      </c>
    </row>
    <row r="11" spans="1:35" x14ac:dyDescent="0.2">
      <c r="B11" s="1">
        <f>[8]FormattedData!A26</f>
        <v>102</v>
      </c>
      <c r="C11" s="1" t="str">
        <f>VLOOKUP($B11,[8]TrtCodes!$B$11:I69,2)</f>
        <v>FTL</v>
      </c>
      <c r="D11" s="1">
        <f>VLOOKUP($B11,[8]TrtCodes!$B$11:J69,3)</f>
        <v>4</v>
      </c>
      <c r="E11" s="1">
        <f>VLOOKUP($B11,[8]TrtCodes!$B$11:K69,4)</f>
        <v>1</v>
      </c>
      <c r="F11" s="1">
        <f>VLOOKUP($B11,[8]TrtCodes!$B$11:L69,5)</f>
        <v>2</v>
      </c>
      <c r="G11" s="1">
        <f>VLOOKUP($B11,[8]TrtCodes!$B$11:M69,6)</f>
        <v>1</v>
      </c>
      <c r="H11" s="1">
        <f>VLOOKUP($B11,[8]TrtCodes!$B$11:N69,7)</f>
        <v>1</v>
      </c>
      <c r="I11" s="1">
        <f>[8]FormattedData!B26</f>
        <v>1</v>
      </c>
      <c r="J11" s="4">
        <f>[8]FormattedData!C26</f>
        <v>13.179</v>
      </c>
      <c r="K11" s="6">
        <f>$J$3+[8]FormattedData!D26*$J$4+$M$4*$J$5+[8]FormattedData!D26^2*$J$6+$M$5*$J$7</f>
        <v>38.436725715273504</v>
      </c>
      <c r="L11" s="6">
        <f>$J$3+[8]FormattedData!E26*$J$4+$M$4*$J$5+[8]FormattedData!E26^2*$J$6+$M$5*$J$7</f>
        <v>31.688988956973787</v>
      </c>
      <c r="M11" s="6">
        <f>$J$3+[8]FormattedData!F26*$J$4+$M$4*$J$5+[8]FormattedData!F26^2*$J$6+$M$5*$J$7</f>
        <v>33.515601986651127</v>
      </c>
      <c r="N11" s="6">
        <f>$J$3+[8]FormattedData!G26*$J$4+$M$4*$J$5+[8]FormattedData!G26^2*$J$6+$M$5*$J$7</f>
        <v>35.326956074135339</v>
      </c>
      <c r="O11" s="6">
        <f>$J$3+[8]FormattedData!H26*$J$4+$M$4*$J$5+[8]FormattedData!H26^2*$J$6+$M$5*$J$7</f>
        <v>31.881982577874133</v>
      </c>
      <c r="P11" s="6">
        <f>$J$3+[8]FormattedData!I26*$J$4+$M$4*$J$5+[8]FormattedData!I26^2*$J$6+$M$5*$J$7</f>
        <v>37.874736804820799</v>
      </c>
      <c r="Q11" s="6">
        <f>$J$3+[8]FormattedData!J26*$J$4+$M$4*$J$5+[8]FormattedData!J26^2*$J$6+$M$5*$J$7</f>
        <v>35.516737286152903</v>
      </c>
      <c r="R11" s="6">
        <f>$J$3+[8]FormattedData!K26*$J$4+$M$4*$J$5+[8]FormattedData!K26^2*$J$6+$M$5*$J$7</f>
        <v>37.028900312831404</v>
      </c>
      <c r="S11" s="6">
        <f>$J$3+[8]FormattedData!L26*$J$4+$M$4*$J$5+[8]FormattedData!L26^2*$J$6+$M$5*$J$7</f>
        <v>36.085066477295278</v>
      </c>
      <c r="T11" s="6">
        <f>$J$3+[8]FormattedData!M26*$J$4+$M$4*$J$5+[8]FormattedData!M26^2*$J$6+$M$5*$J$7</f>
        <v>36.55751175178748</v>
      </c>
      <c r="U11" s="6">
        <f>$J$3+[8]FormattedData!N26*$J$4+$M$4*$J$5+[8]FormattedData!N26^2*$J$6+$M$5*$J$7</f>
        <v>36.746193981818848</v>
      </c>
      <c r="V11" s="6">
        <f>$J$3+[8]FormattedData!O26*$J$4+$M$4*$J$5+[8]FormattedData!O26^2*$J$6+$M$5*$J$7</f>
        <v>32.363726930711188</v>
      </c>
      <c r="W11" s="5">
        <f t="shared" si="0"/>
        <v>35.251927404693824</v>
      </c>
      <c r="X11" s="4">
        <f t="shared" si="1"/>
        <v>0.67585269361594369</v>
      </c>
      <c r="Y11" s="3">
        <f t="shared" si="2"/>
        <v>31.688988956973787</v>
      </c>
      <c r="Z11" s="2">
        <f t="shared" si="3"/>
        <v>33.227633222666142</v>
      </c>
      <c r="AA11" s="3">
        <f t="shared" si="4"/>
        <v>35.800901881724087</v>
      </c>
      <c r="AB11" s="2">
        <f t="shared" si="5"/>
        <v>36.816870564571985</v>
      </c>
      <c r="AC11" s="2">
        <f t="shared" si="6"/>
        <v>38.436725715273504</v>
      </c>
      <c r="AD11" s="2">
        <f t="shared" si="7"/>
        <v>-0.43109217200449423</v>
      </c>
      <c r="AE11" s="2">
        <f t="shared" si="8"/>
        <v>-1.2151321191643794</v>
      </c>
    </row>
    <row r="12" spans="1:35" x14ac:dyDescent="0.2">
      <c r="B12" s="1">
        <f>[8]FormattedData!A24</f>
        <v>103</v>
      </c>
      <c r="C12" s="1" t="str">
        <f>VLOOKUP($B12,[8]TrtCodes!$B$11:I67,2)</f>
        <v>FDH</v>
      </c>
      <c r="D12" s="1">
        <f>VLOOKUP($B12,[8]TrtCodes!$B$11:J67,3)</f>
        <v>5</v>
      </c>
      <c r="E12" s="1">
        <f>VLOOKUP($B12,[8]TrtCodes!$B$11:K67,4)</f>
        <v>1</v>
      </c>
      <c r="F12" s="1">
        <f>VLOOKUP($B12,[8]TrtCodes!$B$11:L67,5)</f>
        <v>3</v>
      </c>
      <c r="G12" s="1">
        <f>VLOOKUP($B12,[8]TrtCodes!$B$11:M67,6)</f>
        <v>2</v>
      </c>
      <c r="H12" s="1">
        <f>VLOOKUP($B12,[8]TrtCodes!$B$11:N67,7)</f>
        <v>1</v>
      </c>
      <c r="I12" s="1">
        <f>[8]FormattedData!B24</f>
        <v>1</v>
      </c>
      <c r="J12" s="4">
        <f>[8]FormattedData!C24</f>
        <v>13.161</v>
      </c>
      <c r="K12" s="6">
        <f>$J$3+[8]FormattedData!D24*$J$4+$M$4*$J$5+[8]FormattedData!D24^2*$J$6+$M$5*$J$7</f>
        <v>37.687069019699791</v>
      </c>
      <c r="L12" s="6">
        <f>$J$3+[8]FormattedData!E24*$J$4+$M$4*$J$5+[8]FormattedData!E24^2*$J$6+$M$5*$J$7</f>
        <v>33.898207745417324</v>
      </c>
      <c r="M12" s="6">
        <f>$J$3+[8]FormattedData!F24*$J$4+$M$4*$J$5+[8]FormattedData!F24^2*$J$6+$M$5*$J$7</f>
        <v>30.721484740196225</v>
      </c>
      <c r="N12" s="6">
        <f>$J$3+[8]FormattedData!G24*$J$4+$M$4*$J$5+[8]FormattedData!G24^2*$J$6+$M$5*$J$7</f>
        <v>38.436725715273504</v>
      </c>
      <c r="O12" s="6">
        <f>$J$3+[8]FormattedData!H24*$J$4+$M$4*$J$5+[8]FormattedData!H24^2*$J$6+$M$5*$J$7</f>
        <v>30.041716810445024</v>
      </c>
      <c r="P12" s="6">
        <f>$J$3+[8]FormattedData!I24*$J$4+$M$4*$J$5+[8]FormattedData!I24^2*$J$6+$M$5*$J$7</f>
        <v>36.463107233964898</v>
      </c>
      <c r="Q12" s="6">
        <f>$J$3+[8]FormattedData!J24*$J$4+$M$4*$J$5+[8]FormattedData!J24^2*$J$6+$M$5*$J$7</f>
        <v>29.652348085609859</v>
      </c>
      <c r="R12" s="6">
        <f>$J$3+[8]FormattedData!K24*$J$4+$M$4*$J$5+[8]FormattedData!K24^2*$J$6+$M$5*$J$7</f>
        <v>36.179640069269581</v>
      </c>
      <c r="S12" s="6">
        <f>$J$3+[8]FormattedData!L24*$J$4+$M$4*$J$5+[8]FormattedData!L24^2*$J$6+$M$5*$J$7</f>
        <v>29.457410111964688</v>
      </c>
      <c r="T12" s="6">
        <f>$J$3+[8]FormattedData!M24*$J$4+$M$4*$J$5+[8]FormattedData!M24^2*$J$6+$M$5*$J$7</f>
        <v>34.756597993172271</v>
      </c>
      <c r="U12" s="6">
        <f>$J$3+[8]FormattedData!N24*$J$4+$M$4*$J$5+[8]FormattedData!N24^2*$J$6+$M$5*$J$7</f>
        <v>31.205765205309142</v>
      </c>
      <c r="V12" s="6">
        <f>$J$3+[8]FormattedData!O24*$J$4+$M$4*$J$5+[8]FormattedData!O24^2*$J$6+$M$5*$J$7</f>
        <v>37.123051219426394</v>
      </c>
      <c r="W12" s="5">
        <f t="shared" si="0"/>
        <v>33.801926995812387</v>
      </c>
      <c r="X12" s="4">
        <f t="shared" si="1"/>
        <v>0.98366897262381237</v>
      </c>
      <c r="Y12" s="3">
        <f t="shared" si="2"/>
        <v>29.457410111964688</v>
      </c>
      <c r="Z12" s="2">
        <f t="shared" si="3"/>
        <v>30.551542757758426</v>
      </c>
      <c r="AA12" s="3">
        <f t="shared" si="4"/>
        <v>34.327402869294801</v>
      </c>
      <c r="AB12" s="2">
        <f t="shared" si="5"/>
        <v>36.628093230330272</v>
      </c>
      <c r="AC12" s="2">
        <f t="shared" si="6"/>
        <v>38.436725715273504</v>
      </c>
      <c r="AD12" s="2">
        <f t="shared" si="7"/>
        <v>-6.9901787963200221E-2</v>
      </c>
      <c r="AE12" s="2">
        <f t="shared" si="8"/>
        <v>-1.8336596371915617</v>
      </c>
    </row>
    <row r="13" spans="1:35" x14ac:dyDescent="0.2">
      <c r="B13" s="1">
        <f>[8]FormattedData!A22</f>
        <v>104</v>
      </c>
      <c r="C13" s="1" t="str">
        <f>VLOOKUP($B13,[8]TrtCodes!$B$11:I65,2)</f>
        <v>NTL</v>
      </c>
      <c r="D13" s="1">
        <f>VLOOKUP($B13,[8]TrtCodes!$B$11:J65,3)</f>
        <v>10</v>
      </c>
      <c r="E13" s="1">
        <f>VLOOKUP($B13,[8]TrtCodes!$B$11:K65,4)</f>
        <v>2</v>
      </c>
      <c r="F13" s="1">
        <f>VLOOKUP($B13,[8]TrtCodes!$B$11:L65,5)</f>
        <v>2</v>
      </c>
      <c r="G13" s="1">
        <f>VLOOKUP($B13,[8]TrtCodes!$B$11:M65,6)</f>
        <v>1</v>
      </c>
      <c r="H13" s="1">
        <f>VLOOKUP($B13,[8]TrtCodes!$B$11:N65,7)</f>
        <v>1</v>
      </c>
      <c r="I13" s="1">
        <f>[8]FormattedData!B22</f>
        <v>1</v>
      </c>
      <c r="J13" s="4">
        <f>[8]FormattedData!C22</f>
        <v>13.143000000000001</v>
      </c>
      <c r="K13" s="6">
        <f>$J$3+[8]FormattedData!D22*$J$4+$M$4*$J$5+[8]FormattedData!D22^2*$J$6+$M$5*$J$7</f>
        <v>39.556138534082336</v>
      </c>
      <c r="L13" s="6">
        <f>$J$3+[8]FormattedData!E22*$J$4+$M$4*$J$5+[8]FormattedData!E22^2*$J$6+$M$5*$J$7</f>
        <v>34.566140484547802</v>
      </c>
      <c r="M13" s="6">
        <f>$J$3+[8]FormattedData!F22*$J$4+$M$4*$J$5+[8]FormattedData!F22^2*$J$6+$M$5*$J$7</f>
        <v>34.470848327428662</v>
      </c>
      <c r="N13" s="6">
        <f>$J$3+[8]FormattedData!G22*$J$4+$M$4*$J$5+[8]FormattedData!G22^2*$J$6+$M$5*$J$7</f>
        <v>32.844414570099957</v>
      </c>
      <c r="O13" s="6">
        <f>$J$3+[8]FormattedData!H22*$J$4+$M$4*$J$5+[8]FormattedData!H22^2*$J$6+$M$5*$J$7</f>
        <v>32.844414570099957</v>
      </c>
      <c r="P13" s="6">
        <f>$J$3+[8]FormattedData!I22*$J$4+$M$4*$J$5+[8]FormattedData!I22^2*$J$6+$M$5*$J$7</f>
        <v>35.990450616783043</v>
      </c>
      <c r="Q13" s="6">
        <f>$J$3+[8]FormattedData!J22*$J$4+$M$4*$J$5+[8]FormattedData!J22^2*$J$6+$M$5*$J$7</f>
        <v>37.123051219426394</v>
      </c>
      <c r="R13" s="6">
        <f>$J$3+[8]FormattedData!K22*$J$4+$M$4*$J$5+[8]FormattedData!K22^2*$J$6+$M$5*$J$7</f>
        <v>39.927923547138157</v>
      </c>
      <c r="S13" s="6">
        <f>$J$3+[8]FormattedData!L22*$J$4+$M$4*$J$5+[8]FormattedData!L22^2*$J$6+$M$5*$J$7</f>
        <v>34.661390373128995</v>
      </c>
      <c r="T13" s="6">
        <f>$J$3+[8]FormattedData!M22*$J$4+$M$4*$J$5+[8]FormattedData!M22^2*$J$6+$M$5*$J$7</f>
        <v>39.835040696681098</v>
      </c>
      <c r="U13" s="6">
        <f>$J$3+[8]FormattedData!N22*$J$4+$M$4*$J$5+[8]FormattedData!N22^2*$J$6+$M$5*$J$7</f>
        <v>31.978415985517405</v>
      </c>
      <c r="V13" s="6">
        <f>$J$3+[8]FormattedData!O22*$J$4+$M$4*$J$5+[8]FormattedData!O22^2*$J$6+$M$5*$J$7</f>
        <v>38.0622355157901</v>
      </c>
      <c r="W13" s="5">
        <f t="shared" si="0"/>
        <v>35.988372036726993</v>
      </c>
      <c r="X13" s="4">
        <f t="shared" si="1"/>
        <v>0.82833110935903265</v>
      </c>
      <c r="Y13" s="3">
        <f t="shared" si="2"/>
        <v>31.978415985517405</v>
      </c>
      <c r="Z13" s="2">
        <f t="shared" si="3"/>
        <v>34.064239888096488</v>
      </c>
      <c r="AA13" s="3">
        <f t="shared" si="4"/>
        <v>35.325920494956023</v>
      </c>
      <c r="AB13" s="2">
        <f t="shared" si="5"/>
        <v>38.435711270363157</v>
      </c>
      <c r="AC13" s="2">
        <f t="shared" si="6"/>
        <v>39.927923547138157</v>
      </c>
      <c r="AD13" s="2">
        <f t="shared" si="7"/>
        <v>0.17784281648911174</v>
      </c>
      <c r="AE13" s="2">
        <f t="shared" si="8"/>
        <v>-1.4568268170272907</v>
      </c>
    </row>
    <row r="14" spans="1:35" x14ac:dyDescent="0.2">
      <c r="B14" s="1">
        <f>[8]FormattedData!A20</f>
        <v>105</v>
      </c>
      <c r="C14" s="1" t="str">
        <f>VLOOKUP($B14,[8]TrtCodes!$B$11:I63,2)</f>
        <v>NDL</v>
      </c>
      <c r="D14" s="1">
        <f>VLOOKUP($B14,[8]TrtCodes!$B$11:J63,3)</f>
        <v>12</v>
      </c>
      <c r="E14" s="1">
        <f>VLOOKUP($B14,[8]TrtCodes!$B$11:K63,4)</f>
        <v>2</v>
      </c>
      <c r="F14" s="1">
        <f>VLOOKUP($B14,[8]TrtCodes!$B$11:L63,5)</f>
        <v>3</v>
      </c>
      <c r="G14" s="1">
        <f>VLOOKUP($B14,[8]TrtCodes!$B$11:M63,6)</f>
        <v>1</v>
      </c>
      <c r="H14" s="1">
        <f>VLOOKUP($B14,[8]TrtCodes!$B$11:N63,7)</f>
        <v>2</v>
      </c>
      <c r="I14" s="1">
        <f>[8]FormattedData!B20</f>
        <v>1</v>
      </c>
      <c r="J14" s="4">
        <f>[8]FormattedData!C20</f>
        <v>13.125999999999999</v>
      </c>
      <c r="K14" s="6">
        <f>$J$3+[8]FormattedData!D20*$J$4+$M$4*$J$5+[8]FormattedData!D20^2*$J$6+$M$5*$J$7</f>
        <v>36.463107233964898</v>
      </c>
      <c r="L14" s="6">
        <f>$J$3+[8]FormattedData!E20*$J$4+$M$4*$J$5+[8]FormattedData!E20^2*$J$6+$M$5*$J$7</f>
        <v>29.652348085609859</v>
      </c>
      <c r="M14" s="6">
        <f>$J$3+[8]FormattedData!F20*$J$4+$M$4*$J$5+[8]FormattedData!F20^2*$J$6+$M$5*$J$7</f>
        <v>35.041967242074492</v>
      </c>
      <c r="N14" s="6">
        <f>$J$3+[8]FormattedData!G20*$J$4+$M$4*$J$5+[8]FormattedData!G20^2*$J$6+$M$5*$J$7</f>
        <v>31.30249449271794</v>
      </c>
      <c r="O14" s="6">
        <f>$J$3+[8]FormattedData!H20*$J$4+$M$4*$J$5+[8]FormattedData!H20^2*$J$6+$M$5*$J$7</f>
        <v>31.592428743716724</v>
      </c>
      <c r="P14" s="6">
        <f>$J$3+[8]FormattedData!I20*$J$4+$M$4*$J$5+[8]FormattedData!I20^2*$J$6+$M$5*$J$7</f>
        <v>32.940425292363919</v>
      </c>
      <c r="Q14" s="6">
        <f>$J$3+[8]FormattedData!J20*$J$4+$M$4*$J$5+[8]FormattedData!J20^2*$J$6+$M$5*$J$7</f>
        <v>28.773795745261754</v>
      </c>
      <c r="R14" s="6">
        <f>$J$3+[8]FormattedData!K20*$J$4+$M$4*$J$5+[8]FormattedData!K20^2*$J$6+$M$5*$J$7</f>
        <v>35.041967242074492</v>
      </c>
      <c r="S14" s="6">
        <f>$J$3+[8]FormattedData!L20*$J$4+$M$4*$J$5+[8]FormattedData!L20^2*$J$6+$M$5*$J$7</f>
        <v>29.652348085609859</v>
      </c>
      <c r="T14" s="6">
        <f>$J$3+[8]FormattedData!M20*$J$4+$M$4*$J$5+[8]FormattedData!M20^2*$J$6+$M$5*$J$7</f>
        <v>35.990450616783043</v>
      </c>
      <c r="U14" s="6">
        <f>$J$3+[8]FormattedData!N20*$J$4+$M$4*$J$5+[8]FormattedData!N20^2*$J$6+$M$5*$J$7</f>
        <v>31.785506901692926</v>
      </c>
      <c r="V14" s="6">
        <f>$J$3+[8]FormattedData!O20*$J$4+$M$4*$J$5+[8]FormattedData!O20^2*$J$6+$M$5*$J$7</f>
        <v>33.132319931278047</v>
      </c>
      <c r="W14" s="5">
        <f t="shared" si="0"/>
        <v>32.614096634428996</v>
      </c>
      <c r="X14" s="4">
        <f t="shared" si="1"/>
        <v>0.74934967874815261</v>
      </c>
      <c r="Y14" s="3">
        <f t="shared" si="2"/>
        <v>28.773795745261754</v>
      </c>
      <c r="Z14" s="2">
        <f t="shared" si="3"/>
        <v>30.88995789094092</v>
      </c>
      <c r="AA14" s="3">
        <f t="shared" si="4"/>
        <v>32.362966097028419</v>
      </c>
      <c r="AB14" s="2">
        <f t="shared" si="5"/>
        <v>35.041967242074492</v>
      </c>
      <c r="AC14" s="2">
        <f t="shared" si="6"/>
        <v>36.463107233964898</v>
      </c>
      <c r="AD14" s="2">
        <f t="shared" si="7"/>
        <v>7.3718787143229728E-2</v>
      </c>
      <c r="AE14" s="2">
        <f t="shared" si="8"/>
        <v>-1.2745631324633231</v>
      </c>
    </row>
    <row r="15" spans="1:35" x14ac:dyDescent="0.2">
      <c r="B15" s="1">
        <f>[8]FormattedData!A18</f>
        <v>106</v>
      </c>
      <c r="C15" s="1" t="str">
        <f>VLOOKUP($B15,[8]TrtCodes!$B$11:I61,2)</f>
        <v>NTH</v>
      </c>
      <c r="D15" s="1">
        <f>VLOOKUP($B15,[8]TrtCodes!$B$11:J61,3)</f>
        <v>9</v>
      </c>
      <c r="E15" s="1">
        <f>VLOOKUP($B15,[8]TrtCodes!$B$11:K61,4)</f>
        <v>2</v>
      </c>
      <c r="F15" s="1">
        <f>VLOOKUP($B15,[8]TrtCodes!$B$11:L61,5)</f>
        <v>2</v>
      </c>
      <c r="G15" s="1">
        <f>VLOOKUP($B15,[8]TrtCodes!$B$11:M61,6)</f>
        <v>2</v>
      </c>
      <c r="H15" s="1">
        <f>VLOOKUP($B15,[8]TrtCodes!$B$11:N61,7)</f>
        <v>2</v>
      </c>
      <c r="I15" s="1">
        <f>[8]FormattedData!B18</f>
        <v>1</v>
      </c>
      <c r="J15" s="4">
        <f>[8]FormattedData!C18</f>
        <v>13.109</v>
      </c>
      <c r="K15" s="6">
        <f>$J$3+[8]FormattedData!D18*$J$4+$M$4*$J$5+[8]FormattedData!D18^2*$J$6+$M$5*$J$7</f>
        <v>39.649148190153184</v>
      </c>
      <c r="L15" s="6">
        <f>$J$3+[8]FormattedData!E18*$J$4+$M$4*$J$5+[8]FormattedData!E18^2*$J$6+$M$5*$J$7</f>
        <v>32.844414570099957</v>
      </c>
      <c r="M15" s="6">
        <f>$J$3+[8]FormattedData!F18*$J$4+$M$4*$J$5+[8]FormattedData!F18^2*$J$6+$M$5*$J$7</f>
        <v>33.228203847928214</v>
      </c>
      <c r="N15" s="6">
        <f>$J$3+[8]FormattedData!G18*$J$4+$M$4*$J$5+[8]FormattedData!G18^2*$J$6+$M$5*$J$7</f>
        <v>35.232002065319655</v>
      </c>
      <c r="O15" s="6">
        <f>$J$3+[8]FormattedData!H18*$J$4+$M$4*$J$5+[8]FormattedData!H18^2*$J$6+$M$5*$J$7</f>
        <v>33.036393746089942</v>
      </c>
      <c r="P15" s="6">
        <f>$J$3+[8]FormattedData!I18*$J$4+$M$4*$J$5+[8]FormattedData!I18^2*$J$6+$M$5*$J$7</f>
        <v>37.405250327983779</v>
      </c>
      <c r="Q15" s="6">
        <f>$J$3+[8]FormattedData!J18*$J$4+$M$4*$J$5+[8]FormattedData!J18^2*$J$6+$M$5*$J$7</f>
        <v>32.652266319958237</v>
      </c>
      <c r="R15" s="6">
        <f>$J$3+[8]FormattedData!K18*$J$4+$M$4*$J$5+[8]FormattedData!K18^2*$J$6+$M$5*$J$7</f>
        <v>37.028900312831404</v>
      </c>
      <c r="S15" s="6">
        <f>$J$3+[8]FormattedData!L18*$J$4+$M$4*$J$5+[8]FormattedData!L18^2*$J$6+$M$5*$J$7</f>
        <v>33.993753513764034</v>
      </c>
      <c r="T15" s="6">
        <f>$J$3+[8]FormattedData!M18*$J$4+$M$4*$J$5+[8]FormattedData!M18^2*$J$6+$M$5*$J$7</f>
        <v>34.851763344677614</v>
      </c>
      <c r="U15" s="6">
        <f>$J$3+[8]FormattedData!N18*$J$4+$M$4*$J$5+[8]FormattedData!N18^2*$J$6+$M$5*$J$7</f>
        <v>36.840471694027627</v>
      </c>
      <c r="V15" s="6">
        <f>$J$3+[8]FormattedData!O18*$J$4+$M$4*$J$5+[8]FormattedData!O18^2*$J$6+$M$5*$J$7</f>
        <v>34.946886427645012</v>
      </c>
      <c r="W15" s="5">
        <f t="shared" si="0"/>
        <v>35.142454530039892</v>
      </c>
      <c r="X15" s="4">
        <f t="shared" si="1"/>
        <v>0.63308184557802738</v>
      </c>
      <c r="Y15" s="3">
        <f t="shared" si="2"/>
        <v>32.652266319958237</v>
      </c>
      <c r="Z15" s="2">
        <f t="shared" si="3"/>
        <v>33.180251322468649</v>
      </c>
      <c r="AA15" s="3">
        <f t="shared" si="4"/>
        <v>34.89932488616131</v>
      </c>
      <c r="AB15" s="2">
        <f t="shared" si="5"/>
        <v>36.887578848728573</v>
      </c>
      <c r="AC15" s="2">
        <f t="shared" si="6"/>
        <v>39.649148190153184</v>
      </c>
      <c r="AD15" s="2">
        <f t="shared" si="7"/>
        <v>0.71620371988691867</v>
      </c>
      <c r="AE15" s="2">
        <f t="shared" si="8"/>
        <v>-0.21240603654936852</v>
      </c>
    </row>
    <row r="16" spans="1:35" x14ac:dyDescent="0.2">
      <c r="B16" s="1">
        <f>[8]FormattedData!A16</f>
        <v>107</v>
      </c>
      <c r="C16" s="1" t="str">
        <f>VLOOKUP($B16,[8]TrtCodes!$B$11:I59,2)</f>
        <v>NTL</v>
      </c>
      <c r="D16" s="1">
        <f>VLOOKUP($B16,[8]TrtCodes!$B$11:J59,3)</f>
        <v>10</v>
      </c>
      <c r="E16" s="1">
        <f>VLOOKUP($B16,[8]TrtCodes!$B$11:K59,4)</f>
        <v>2</v>
      </c>
      <c r="F16" s="1">
        <f>VLOOKUP($B16,[8]TrtCodes!$B$11:L59,5)</f>
        <v>2</v>
      </c>
      <c r="G16" s="1">
        <f>VLOOKUP($B16,[8]TrtCodes!$B$11:M59,6)</f>
        <v>1</v>
      </c>
      <c r="H16" s="1">
        <f>VLOOKUP($B16,[8]TrtCodes!$B$11:N59,7)</f>
        <v>2</v>
      </c>
      <c r="I16" s="1">
        <f>[8]FormattedData!B16</f>
        <v>1</v>
      </c>
      <c r="J16" s="4">
        <f>[8]FormattedData!C16</f>
        <v>13.090999999999999</v>
      </c>
      <c r="K16" s="6">
        <f>$J$3+[8]FormattedData!D16*$J$4+$M$4*$J$5+[8]FormattedData!D16^2*$J$6+$M$5*$J$7</f>
        <v>39.835040696681098</v>
      </c>
      <c r="L16" s="6">
        <f>$J$3+[8]FormattedData!E16*$J$4+$M$4*$J$5+[8]FormattedData!E16^2*$J$6+$M$5*$J$7</f>
        <v>36.274171392705952</v>
      </c>
      <c r="M16" s="6">
        <f>$J$3+[8]FormattedData!F16*$J$4+$M$4*$J$5+[8]FormattedData!F16^2*$J$6+$M$5*$J$7</f>
        <v>36.463107233964898</v>
      </c>
      <c r="N16" s="6">
        <f>$J$3+[8]FormattedData!G16*$J$4+$M$4*$J$5+[8]FormattedData!G16^2*$J$6+$M$5*$J$7</f>
        <v>35.041967242074492</v>
      </c>
      <c r="O16" s="6">
        <f>$J$3+[8]FormattedData!H16*$J$4+$M$4*$J$5+[8]FormattedData!H16^2*$J$6+$M$5*$J$7</f>
        <v>32.459948995664803</v>
      </c>
      <c r="P16" s="6">
        <f>$J$3+[8]FormattedData!I16*$J$4+$M$4*$J$5+[8]FormattedData!I16^2*$J$6+$M$5*$J$7</f>
        <v>38.623717203787621</v>
      </c>
      <c r="Q16" s="6">
        <f>$J$3+[8]FormattedData!J16*$J$4+$M$4*$J$5+[8]FormattedData!J16^2*$J$6+$M$5*$J$7</f>
        <v>36.463107233964898</v>
      </c>
      <c r="R16" s="6">
        <f>$J$3+[8]FormattedData!K16*$J$4+$M$4*$J$5+[8]FormattedData!K16^2*$J$6+$M$5*$J$7</f>
        <v>31.881982577874133</v>
      </c>
      <c r="S16" s="6">
        <f>$J$3+[8]FormattedData!L16*$J$4+$M$4*$J$5+[8]FormattedData!L16^2*$J$6+$M$5*$J$7</f>
        <v>36.746193981818848</v>
      </c>
      <c r="T16" s="6">
        <f>$J$3+[8]FormattedData!M16*$J$4+$M$4*$J$5+[8]FormattedData!M16^2*$J$6+$M$5*$J$7</f>
        <v>36.55751175178748</v>
      </c>
      <c r="U16" s="6">
        <f>$J$3+[8]FormattedData!N16*$J$4+$M$4*$J$5+[8]FormattedData!N16^2*$J$6+$M$5*$J$7</f>
        <v>34.756597993172271</v>
      </c>
      <c r="V16" s="6">
        <f>$J$3+[8]FormattedData!O16*$J$4+$M$4*$J$5+[8]FormattedData!O16^2*$J$6+$M$5*$J$7</f>
        <v>33.706989403110086</v>
      </c>
      <c r="W16" s="5">
        <f t="shared" si="0"/>
        <v>35.734194642217219</v>
      </c>
      <c r="X16" s="4">
        <f t="shared" si="1"/>
        <v>0.67040880875041664</v>
      </c>
      <c r="Y16" s="3">
        <f t="shared" si="2"/>
        <v>31.881982577874133</v>
      </c>
      <c r="Z16" s="2">
        <f t="shared" si="3"/>
        <v>34.494195845656726</v>
      </c>
      <c r="AA16" s="3">
        <f t="shared" si="4"/>
        <v>36.368639313335422</v>
      </c>
      <c r="AB16" s="2">
        <f t="shared" si="5"/>
        <v>36.60468230929532</v>
      </c>
      <c r="AC16" s="2">
        <f t="shared" si="6"/>
        <v>39.835040696681098</v>
      </c>
      <c r="AD16" s="2">
        <f t="shared" si="7"/>
        <v>-5.4420134254541334E-2</v>
      </c>
      <c r="AE16" s="2">
        <f t="shared" si="8"/>
        <v>-0.19879982530988416</v>
      </c>
    </row>
    <row r="17" spans="2:31" x14ac:dyDescent="0.2">
      <c r="B17" s="1">
        <f>[8]FormattedData!A14</f>
        <v>108</v>
      </c>
      <c r="C17" s="1" t="str">
        <f>VLOOKUP($B17,[8]TrtCodes!$B$11:I57,2)</f>
        <v>FTH</v>
      </c>
      <c r="D17" s="1">
        <f>VLOOKUP($B17,[8]TrtCodes!$B$11:J57,3)</f>
        <v>3</v>
      </c>
      <c r="E17" s="1">
        <f>VLOOKUP($B17,[8]TrtCodes!$B$11:K57,4)</f>
        <v>1</v>
      </c>
      <c r="F17" s="1">
        <f>VLOOKUP($B17,[8]TrtCodes!$B$11:L57,5)</f>
        <v>2</v>
      </c>
      <c r="G17" s="1">
        <f>VLOOKUP($B17,[8]TrtCodes!$B$11:M57,6)</f>
        <v>2</v>
      </c>
      <c r="H17" s="1">
        <f>VLOOKUP($B17,[8]TrtCodes!$B$11:N57,7)</f>
        <v>2</v>
      </c>
      <c r="I17" s="1">
        <f>[8]FormattedData!B14</f>
        <v>1</v>
      </c>
      <c r="J17" s="4">
        <f>[8]FormattedData!C14</f>
        <v>13.074999999999999</v>
      </c>
      <c r="K17" s="6">
        <f>$J$3+[8]FormattedData!D14*$J$4+$M$4*$J$5+[8]FormattedData!D14^2*$J$6+$M$5*$J$7</f>
        <v>36.934707137698481</v>
      </c>
      <c r="L17" s="6">
        <f>$J$3+[8]FormattedData!E14*$J$4+$M$4*$J$5+[8]FormattedData!E14^2*$J$6+$M$5*$J$7</f>
        <v>35.232002065319655</v>
      </c>
      <c r="M17" s="6">
        <f>$J$3+[8]FormattedData!F14*$J$4+$M$4*$J$5+[8]FormattedData!F14^2*$J$6+$M$5*$J$7</f>
        <v>34.851763344677614</v>
      </c>
      <c r="N17" s="6">
        <f>$J$3+[8]FormattedData!G14*$J$4+$M$4*$J$5+[8]FormattedData!G14^2*$J$6+$M$5*$J$7</f>
        <v>31.495826261921728</v>
      </c>
      <c r="O17" s="6">
        <f>$J$3+[8]FormattedData!H14*$J$4+$M$4*$J$5+[8]FormattedData!H14^2*$J$6+$M$5*$J$7</f>
        <v>35.895792487732876</v>
      </c>
      <c r="P17" s="6">
        <f>$J$3+[8]FormattedData!I14*$J$4+$M$4*$J$5+[8]FormattedData!I14^2*$J$6+$M$5*$J$7</f>
        <v>37.311226227002585</v>
      </c>
      <c r="Q17" s="6">
        <f>$J$3+[8]FormattedData!J14*$J$4+$M$4*$J$5+[8]FormattedData!J14^2*$J$6+$M$5*$J$7</f>
        <v>37.028900312831404</v>
      </c>
      <c r="R17" s="6">
        <f>$J$3+[8]FormattedData!K14*$J$4+$M$4*$J$5+[8]FormattedData!K14^2*$J$6+$M$5*$J$7</f>
        <v>34.18471824484368</v>
      </c>
      <c r="S17" s="6">
        <f>$J$3+[8]FormattedData!L14*$J$4+$M$4*$J$5+[8]FormattedData!L14^2*$J$6+$M$5*$J$7</f>
        <v>31.495826261921728</v>
      </c>
      <c r="T17" s="6">
        <f>$J$3+[8]FormattedData!M14*$J$4+$M$4*$J$5+[8]FormattedData!M14^2*$J$6+$M$5*$J$7</f>
        <v>32.556128792080486</v>
      </c>
      <c r="U17" s="6">
        <f>$J$3+[8]FormattedData!N14*$J$4+$M$4*$J$5+[8]FormattedData!N14^2*$J$6+$M$5*$J$7</f>
        <v>32.459948995664803</v>
      </c>
      <c r="V17" s="6">
        <f>$J$3+[8]FormattedData!O14*$J$4+$M$4*$J$5+[8]FormattedData!O14^2*$J$6+$M$5*$J$7</f>
        <v>33.132319931278047</v>
      </c>
      <c r="W17" s="5">
        <f t="shared" si="0"/>
        <v>34.381596671914423</v>
      </c>
      <c r="X17" s="4">
        <f t="shared" si="1"/>
        <v>0.61929953056565623</v>
      </c>
      <c r="Y17" s="3">
        <f t="shared" si="2"/>
        <v>31.495826261921728</v>
      </c>
      <c r="Z17" s="2">
        <f t="shared" si="3"/>
        <v>32.532083842976562</v>
      </c>
      <c r="AA17" s="3">
        <f t="shared" si="4"/>
        <v>34.518240794760644</v>
      </c>
      <c r="AB17" s="2">
        <f t="shared" si="5"/>
        <v>36.155521150224274</v>
      </c>
      <c r="AC17" s="2">
        <f t="shared" si="6"/>
        <v>37.311226227002585</v>
      </c>
      <c r="AD17" s="2">
        <f t="shared" si="7"/>
        <v>1.4693087028829413E-2</v>
      </c>
      <c r="AE17" s="2">
        <f t="shared" si="8"/>
        <v>-1.5265264849476039</v>
      </c>
    </row>
    <row r="18" spans="2:31" x14ac:dyDescent="0.2">
      <c r="B18" s="1">
        <f>[8]FormattedData!A30</f>
        <v>201</v>
      </c>
      <c r="C18" s="1" t="str">
        <f>VLOOKUP($B18,[8]TrtCodes!$B$11:I73,2)</f>
        <v>NDL</v>
      </c>
      <c r="D18" s="1">
        <f>VLOOKUP($B18,[8]TrtCodes!$B$11:J73,3)</f>
        <v>12</v>
      </c>
      <c r="E18" s="1">
        <f>VLOOKUP($B18,[8]TrtCodes!$B$11:K73,4)</f>
        <v>2</v>
      </c>
      <c r="F18" s="1">
        <f>VLOOKUP($B18,[8]TrtCodes!$B$11:L73,5)</f>
        <v>3</v>
      </c>
      <c r="G18" s="1">
        <f>VLOOKUP($B18,[8]TrtCodes!$B$11:M73,6)</f>
        <v>1</v>
      </c>
      <c r="H18" s="1">
        <f>VLOOKUP($B18,[8]TrtCodes!$B$11:N73,7)</f>
        <v>1</v>
      </c>
      <c r="I18" s="1">
        <f>[8]FormattedData!B30</f>
        <v>1</v>
      </c>
      <c r="J18" s="4">
        <f>[8]FormattedData!C30</f>
        <v>13.226000000000001</v>
      </c>
      <c r="K18" s="6">
        <f>$J$3+[8]FormattedData!D30*$J$4+$M$4*$J$5+[8]FormattedData!D30^2*$J$6+$M$5*$J$7</f>
        <v>36.179640069269581</v>
      </c>
      <c r="L18" s="6">
        <f>$J$3+[8]FormattedData!E30*$J$4+$M$4*$J$5+[8]FormattedData!E30^2*$J$6+$M$5*$J$7</f>
        <v>32.940425292363919</v>
      </c>
      <c r="M18" s="6">
        <f>$J$3+[8]FormattedData!F30*$J$4+$M$4*$J$5+[8]FormattedData!F30^2*$J$6+$M$5*$J$7</f>
        <v>31.30249449271794</v>
      </c>
      <c r="N18" s="6">
        <f>$J$3+[8]FormattedData!G30*$J$4+$M$4*$J$5+[8]FormattedData!G30^2*$J$6+$M$5*$J$7</f>
        <v>36.368660447604384</v>
      </c>
      <c r="O18" s="6">
        <f>$J$3+[8]FormattedData!H30*$J$4+$M$4*$J$5+[8]FormattedData!H30^2*$J$6+$M$5*$J$7</f>
        <v>28.773795745261754</v>
      </c>
      <c r="P18" s="6">
        <f>$J$3+[8]FormattedData!I30*$J$4+$M$4*$J$5+[8]FormattedData!I30^2*$J$6+$M$5*$J$7</f>
        <v>33.802619708532674</v>
      </c>
      <c r="Q18" s="6">
        <f>$J$3+[8]FormattedData!J30*$J$4+$M$4*$J$5+[8]FormattedData!J30^2*$J$6+$M$5*$J$7</f>
        <v>29.652348085609859</v>
      </c>
      <c r="R18" s="6">
        <f>$J$3+[8]FormattedData!K30*$J$4+$M$4*$J$5+[8]FormattedData!K30^2*$J$6+$M$5*$J$7</f>
        <v>37.780924046529265</v>
      </c>
      <c r="S18" s="6">
        <f>$J$3+[8]FormattedData!L30*$J$4+$M$4*$J$5+[8]FormattedData!L30^2*$J$6+$M$5*$J$7</f>
        <v>29.359877722335202</v>
      </c>
      <c r="T18" s="6">
        <f>$J$3+[8]FormattedData!M30*$J$4+$M$4*$J$5+[8]FormattedData!M30^2*$J$6+$M$5*$J$7</f>
        <v>37.687069019699791</v>
      </c>
      <c r="U18" s="6">
        <f>$J$3+[8]FormattedData!N30*$J$4+$M$4*$J$5+[8]FormattedData!N30^2*$J$6+$M$5*$J$7</f>
        <v>30.138953320308993</v>
      </c>
      <c r="V18" s="6">
        <f>$J$3+[8]FormattedData!O30*$J$4+$M$4*$J$5+[8]FormattedData!O30^2*$J$6+$M$5*$J$7</f>
        <v>38.155921468467845</v>
      </c>
      <c r="W18" s="5">
        <f t="shared" si="0"/>
        <v>33.511894118225101</v>
      </c>
      <c r="X18" s="4">
        <f t="shared" si="1"/>
        <v>1.0435801597515515</v>
      </c>
      <c r="Y18" s="3">
        <f t="shared" si="2"/>
        <v>28.773795745261754</v>
      </c>
      <c r="Z18" s="2">
        <f t="shared" si="3"/>
        <v>30.017302011634207</v>
      </c>
      <c r="AA18" s="3">
        <f t="shared" si="4"/>
        <v>33.371522500448293</v>
      </c>
      <c r="AB18" s="2">
        <f t="shared" si="5"/>
        <v>36.698262590628232</v>
      </c>
      <c r="AC18" s="2">
        <f t="shared" si="6"/>
        <v>38.155921468467845</v>
      </c>
      <c r="AD18" s="2">
        <f t="shared" si="7"/>
        <v>1.9126791896123284E-2</v>
      </c>
      <c r="AE18" s="2">
        <f t="shared" si="8"/>
        <v>-1.8237985773879672</v>
      </c>
    </row>
    <row r="19" spans="2:31" x14ac:dyDescent="0.2">
      <c r="B19" s="1">
        <f>[8]FormattedData!A32</f>
        <v>202</v>
      </c>
      <c r="C19" s="1" t="str">
        <f>VLOOKUP($B19,[8]TrtCodes!$B$11:I75,2)</f>
        <v>NTH</v>
      </c>
      <c r="D19" s="1">
        <f>VLOOKUP($B19,[8]TrtCodes!$B$11:J75,3)</f>
        <v>9</v>
      </c>
      <c r="E19" s="1">
        <f>VLOOKUP($B19,[8]TrtCodes!$B$11:K75,4)</f>
        <v>2</v>
      </c>
      <c r="F19" s="1">
        <f>VLOOKUP($B19,[8]TrtCodes!$B$11:L75,5)</f>
        <v>2</v>
      </c>
      <c r="G19" s="1">
        <f>VLOOKUP($B19,[8]TrtCodes!$B$11:M75,6)</f>
        <v>2</v>
      </c>
      <c r="H19" s="1">
        <f>VLOOKUP($B19,[8]TrtCodes!$B$11:N75,7)</f>
        <v>1</v>
      </c>
      <c r="I19" s="1">
        <f>[8]FormattedData!B32</f>
        <v>1</v>
      </c>
      <c r="J19" s="4">
        <f>[8]FormattedData!C32</f>
        <v>13.243</v>
      </c>
      <c r="K19" s="6">
        <f>$J$3+[8]FormattedData!D32*$J$4+$M$4*$J$5+[8]FormattedData!D32^2*$J$6+$M$5*$J$7</f>
        <v>40.299032263587065</v>
      </c>
      <c r="L19" s="6">
        <f>$J$3+[8]FormattedData!E32*$J$4+$M$4*$J$5+[8]FormattedData!E32^2*$J$6+$M$5*$J$7</f>
        <v>36.274171392705952</v>
      </c>
      <c r="M19" s="6">
        <f>$J$3+[8]FormattedData!F32*$J$4+$M$4*$J$5+[8]FormattedData!F32^2*$J$6+$M$5*$J$7</f>
        <v>35.137005787966032</v>
      </c>
      <c r="N19" s="6">
        <f>$J$3+[8]FormattedData!G32*$J$4+$M$4*$J$5+[8]FormattedData!G32^2*$J$6+$M$5*$J$7</f>
        <v>37.687069019699791</v>
      </c>
      <c r="O19" s="6">
        <f>$J$3+[8]FormattedData!H32*$J$4+$M$4*$J$5+[8]FormattedData!H32^2*$J$6+$M$5*$J$7</f>
        <v>35.041967242074492</v>
      </c>
      <c r="P19" s="6">
        <f>$J$3+[8]FormattedData!I32*$J$4+$M$4*$J$5+[8]FormattedData!I32^2*$J$6+$M$5*$J$7</f>
        <v>38.903887422524313</v>
      </c>
      <c r="Q19" s="6">
        <f>$J$3+[8]FormattedData!J32*$J$4+$M$4*$J$5+[8]FormattedData!J32^2*$J$6+$M$5*$J$7</f>
        <v>34.18471824484368</v>
      </c>
      <c r="R19" s="6">
        <f>$J$3+[8]FormattedData!K32*$J$4+$M$4*$J$5+[8]FormattedData!K32^2*$J$6+$M$5*$J$7</f>
        <v>40.206318487281742</v>
      </c>
      <c r="S19" s="6">
        <f>$J$3+[8]FormattedData!L32*$J$4+$M$4*$J$5+[8]FormattedData!L32^2*$J$6+$M$5*$J$7</f>
        <v>35.706349424018754</v>
      </c>
      <c r="T19" s="6">
        <f>$J$3+[8]FormattedData!M32*$J$4+$M$4*$J$5+[8]FormattedData!M32^2*$J$6+$M$5*$J$7</f>
        <v>39.090456225659118</v>
      </c>
      <c r="U19" s="6">
        <f>$J$3+[8]FormattedData!N32*$J$4+$M$4*$J$5+[8]FormattedData!N32^2*$J$6+$M$5*$J$7</f>
        <v>34.851763344677614</v>
      </c>
      <c r="V19" s="6">
        <f>$J$3+[8]FormattedData!O32*$J$4+$M$4*$J$5+[8]FormattedData!O32^2*$J$6+$M$5*$J$7</f>
        <v>32.844414570099957</v>
      </c>
      <c r="W19" s="5">
        <f t="shared" si="0"/>
        <v>36.685596118761545</v>
      </c>
      <c r="X19" s="4">
        <f t="shared" si="1"/>
        <v>0.71646953215561981</v>
      </c>
      <c r="Y19" s="3">
        <f t="shared" si="2"/>
        <v>32.844414570099957</v>
      </c>
      <c r="Z19" s="2">
        <f t="shared" si="3"/>
        <v>34.994416267725271</v>
      </c>
      <c r="AA19" s="3">
        <f t="shared" si="4"/>
        <v>35.990260408362353</v>
      </c>
      <c r="AB19" s="2">
        <f t="shared" si="5"/>
        <v>38.950529623308014</v>
      </c>
      <c r="AC19" s="2">
        <f t="shared" si="6"/>
        <v>40.299032263587065</v>
      </c>
      <c r="AD19" s="2">
        <f t="shared" si="7"/>
        <v>0.20695182799591264</v>
      </c>
      <c r="AE19" s="2">
        <f t="shared" si="8"/>
        <v>-1.2720713005150546</v>
      </c>
    </row>
    <row r="20" spans="2:31" x14ac:dyDescent="0.2">
      <c r="B20" s="1">
        <f>[8]FormattedData!A34</f>
        <v>203</v>
      </c>
      <c r="C20" s="1" t="str">
        <f>VLOOKUP($B20,[8]TrtCodes!$B$11:I77,2)</f>
        <v>FTH</v>
      </c>
      <c r="D20" s="1">
        <f>VLOOKUP($B20,[8]TrtCodes!$B$11:J77,3)</f>
        <v>3</v>
      </c>
      <c r="E20" s="1">
        <f>VLOOKUP($B20,[8]TrtCodes!$B$11:K77,4)</f>
        <v>1</v>
      </c>
      <c r="F20" s="1">
        <f>VLOOKUP($B20,[8]TrtCodes!$B$11:L77,5)</f>
        <v>2</v>
      </c>
      <c r="G20" s="1">
        <f>VLOOKUP($B20,[8]TrtCodes!$B$11:M77,6)</f>
        <v>2</v>
      </c>
      <c r="H20" s="1">
        <f>VLOOKUP($B20,[8]TrtCodes!$B$11:N77,7)</f>
        <v>1</v>
      </c>
      <c r="I20" s="1">
        <f>[8]FormattedData!B34</f>
        <v>1</v>
      </c>
      <c r="J20" s="4">
        <f>[8]FormattedData!C34</f>
        <v>13.26</v>
      </c>
      <c r="K20" s="6">
        <f>$J$3+[8]FormattedData!D34*$J$4+$M$4*$J$5+[8]FormattedData!D34^2*$J$6+$M$5*$J$7</f>
        <v>36.840471694027627</v>
      </c>
      <c r="L20" s="6">
        <f>$J$3+[8]FormattedData!E34*$J$4+$M$4*$J$5+[8]FormattedData!E34^2*$J$6+$M$5*$J$7</f>
        <v>37.968507294574415</v>
      </c>
      <c r="M20" s="6">
        <f>$J$3+[8]FormattedData!F34*$J$4+$M$4*$J$5+[8]FormattedData!F34^2*$J$6+$M$5*$J$7</f>
        <v>35.326956074135339</v>
      </c>
      <c r="N20" s="6">
        <f>$J$3+[8]FormattedData!G34*$J$4+$M$4*$J$5+[8]FormattedData!G34^2*$J$6+$M$5*$J$7</f>
        <v>35.137005787966032</v>
      </c>
      <c r="O20" s="6">
        <f>$J$3+[8]FormattedData!H34*$J$4+$M$4*$J$5+[8]FormattedData!H34^2*$J$6+$M$5*$J$7</f>
        <v>30.818425370294673</v>
      </c>
      <c r="P20" s="6">
        <f>$J$3+[8]FormattedData!I34*$J$4+$M$4*$J$5+[8]FormattedData!I34^2*$J$6+$M$5*$J$7</f>
        <v>36.179640069269581</v>
      </c>
      <c r="Q20" s="6">
        <f>$J$3+[8]FormattedData!J34*$J$4+$M$4*$J$5+[8]FormattedData!J34^2*$J$6+$M$5*$J$7</f>
        <v>29.359877722335202</v>
      </c>
      <c r="R20" s="6">
        <f>$J$3+[8]FormattedData!K34*$J$4+$M$4*$J$5+[8]FormattedData!K34^2*$J$6+$M$5*$J$7</f>
        <v>39.927923547138157</v>
      </c>
      <c r="S20" s="6">
        <f>$J$3+[8]FormattedData!L34*$J$4+$M$4*$J$5+[8]FormattedData!L34^2*$J$6+$M$5*$J$7</f>
        <v>39.276855954642201</v>
      </c>
      <c r="T20" s="6">
        <f>$J$3+[8]FormattedData!M34*$J$4+$M$4*$J$5+[8]FormattedData!M34^2*$J$6+$M$5*$J$7</f>
        <v>35.232002065319655</v>
      </c>
      <c r="U20" s="6">
        <f>$J$3+[8]FormattedData!N34*$J$4+$M$4*$J$5+[8]FormattedData!N34^2*$J$6+$M$5*$J$7</f>
        <v>33.61131682914958</v>
      </c>
      <c r="V20" s="6">
        <f>$J$3+[8]FormattedData!O34*$J$4+$M$4*$J$5+[8]FormattedData!O34^2*$J$6+$M$5*$J$7</f>
        <v>38.249565152607659</v>
      </c>
      <c r="W20" s="5">
        <f t="shared" si="0"/>
        <v>35.66071229678834</v>
      </c>
      <c r="X20" s="4">
        <f t="shared" si="1"/>
        <v>0.92479529643488723</v>
      </c>
      <c r="Y20" s="3">
        <f t="shared" si="2"/>
        <v>29.359877722335202</v>
      </c>
      <c r="Z20" s="2">
        <f t="shared" si="3"/>
        <v>34.755583548261917</v>
      </c>
      <c r="AA20" s="3">
        <f t="shared" si="4"/>
        <v>35.75329807170246</v>
      </c>
      <c r="AB20" s="2">
        <f t="shared" si="5"/>
        <v>38.038771759082728</v>
      </c>
      <c r="AC20" s="2">
        <f t="shared" si="6"/>
        <v>39.927923547138157</v>
      </c>
      <c r="AD20" s="2">
        <f t="shared" si="7"/>
        <v>-0.71716447466852618</v>
      </c>
      <c r="AE20" s="2">
        <f t="shared" si="8"/>
        <v>3.8224653858723201E-2</v>
      </c>
    </row>
    <row r="21" spans="2:31" x14ac:dyDescent="0.2">
      <c r="B21" s="1">
        <f>[8]FormattedData!A36</f>
        <v>204</v>
      </c>
      <c r="C21" s="1" t="str">
        <f>VLOOKUP($B21,[8]TrtCodes!$B$11:I79,2)</f>
        <v>NDH</v>
      </c>
      <c r="D21" s="1">
        <f>VLOOKUP($B21,[8]TrtCodes!$B$11:J79,3)</f>
        <v>11</v>
      </c>
      <c r="E21" s="1">
        <f>VLOOKUP($B21,[8]TrtCodes!$B$11:K79,4)</f>
        <v>2</v>
      </c>
      <c r="F21" s="1">
        <f>VLOOKUP($B21,[8]TrtCodes!$B$11:L79,5)</f>
        <v>3</v>
      </c>
      <c r="G21" s="1">
        <f>VLOOKUP($B21,[8]TrtCodes!$B$11:M79,6)</f>
        <v>2</v>
      </c>
      <c r="H21" s="1">
        <f>VLOOKUP($B21,[8]TrtCodes!$B$11:N79,7)</f>
        <v>1</v>
      </c>
      <c r="I21" s="1">
        <f>[8]FormattedData!B36</f>
        <v>1</v>
      </c>
      <c r="J21" s="4">
        <f>[8]FormattedData!C36</f>
        <v>13.278</v>
      </c>
      <c r="K21" s="6">
        <f>$J$3+[8]FormattedData!D36*$J$4+$M$4*$J$5+[8]FormattedData!D36^2*$J$6+$M$5*$J$7</f>
        <v>37.499232160427049</v>
      </c>
      <c r="L21" s="6">
        <f>$J$3+[8]FormattedData!E36*$J$4+$M$4*$J$5+[8]FormattedData!E36^2*$J$6+$M$5*$J$7</f>
        <v>31.108993649362425</v>
      </c>
      <c r="M21" s="6">
        <f>$J$3+[8]FormattedData!F36*$J$4+$M$4*$J$5+[8]FormattedData!F36^2*$J$6+$M$5*$J$7</f>
        <v>31.592428743716724</v>
      </c>
      <c r="N21" s="6">
        <f>$J$3+[8]FormattedData!G36*$J$4+$M$4*$J$5+[8]FormattedData!G36^2*$J$6+$M$5*$J$7</f>
        <v>31.978415985517405</v>
      </c>
      <c r="O21" s="6">
        <f>$J$3+[8]FormattedData!H36*$J$4+$M$4*$J$5+[8]FormattedData!H36^2*$J$6+$M$5*$J$7</f>
        <v>33.132319931278047</v>
      </c>
      <c r="P21" s="6">
        <f>$J$3+[8]FormattedData!I36*$J$4+$M$4*$J$5+[8]FormattedData!I36^2*$J$6+$M$5*$J$7</f>
        <v>32.171155995190148</v>
      </c>
      <c r="Q21" s="6">
        <f>$J$3+[8]FormattedData!J36*$J$4+$M$4*$J$5+[8]FormattedData!J36^2*$J$6+$M$5*$J$7</f>
        <v>32.074807124622744</v>
      </c>
      <c r="R21" s="6">
        <f>$J$3+[8]FormattedData!K36*$J$4+$M$4*$J$5+[8]FormattedData!K36^2*$J$6+$M$5*$J$7</f>
        <v>32.074807124622744</v>
      </c>
      <c r="S21" s="6">
        <f>$J$3+[8]FormattedData!L36*$J$4+$M$4*$J$5+[8]FormattedData!L36^2*$J$6+$M$5*$J$7</f>
        <v>33.993753513764034</v>
      </c>
      <c r="T21" s="6">
        <f>$J$3+[8]FormattedData!M36*$J$4+$M$4*$J$5+[8]FormattedData!M36^2*$J$6+$M$5*$J$7</f>
        <v>31.881982577874133</v>
      </c>
      <c r="U21" s="6">
        <f>$J$3+[8]FormattedData!N36*$J$4+$M$4*$J$5+[8]FormattedData!N36^2*$J$6+$M$5*$J$7</f>
        <v>36.368660447604384</v>
      </c>
      <c r="V21" s="6">
        <f>$J$3+[8]FormattedData!O36*$J$4+$M$4*$J$5+[8]FormattedData!O36^2*$J$6+$M$5*$J$7</f>
        <v>33.515601986651127</v>
      </c>
      <c r="W21" s="5">
        <f t="shared" si="0"/>
        <v>33.116013270052576</v>
      </c>
      <c r="X21" s="4">
        <f t="shared" si="1"/>
        <v>0.57042022740418308</v>
      </c>
      <c r="Y21" s="3">
        <f t="shared" si="2"/>
        <v>31.108993649362425</v>
      </c>
      <c r="Z21" s="2">
        <f t="shared" si="3"/>
        <v>31.954307633606586</v>
      </c>
      <c r="AA21" s="3">
        <f t="shared" si="4"/>
        <v>32.122981559906449</v>
      </c>
      <c r="AB21" s="2">
        <f t="shared" si="5"/>
        <v>33.635139868429356</v>
      </c>
      <c r="AC21" s="2">
        <f t="shared" si="6"/>
        <v>37.499232160427049</v>
      </c>
      <c r="AD21" s="2">
        <f t="shared" si="7"/>
        <v>1.4322032502729332</v>
      </c>
      <c r="AE21" s="2">
        <f t="shared" si="8"/>
        <v>1.2424007789887721</v>
      </c>
    </row>
    <row r="22" spans="2:31" x14ac:dyDescent="0.2">
      <c r="B22" s="1">
        <f>[8]FormattedData!A38</f>
        <v>205</v>
      </c>
      <c r="C22" s="1" t="str">
        <f>VLOOKUP($B22,[8]TrtCodes!$B$11:I81,2)</f>
        <v>FSH</v>
      </c>
      <c r="D22" s="1">
        <f>VLOOKUP($B22,[8]TrtCodes!$B$11:J81,3)</f>
        <v>1</v>
      </c>
      <c r="E22" s="1">
        <f>VLOOKUP($B22,[8]TrtCodes!$B$11:K81,4)</f>
        <v>1</v>
      </c>
      <c r="F22" s="1">
        <f>VLOOKUP($B22,[8]TrtCodes!$B$11:L81,5)</f>
        <v>1</v>
      </c>
      <c r="G22" s="1">
        <f>VLOOKUP($B22,[8]TrtCodes!$B$11:M81,6)</f>
        <v>2</v>
      </c>
      <c r="H22" s="1">
        <f>VLOOKUP($B22,[8]TrtCodes!$B$11:N81,7)</f>
        <v>2</v>
      </c>
      <c r="I22" s="1">
        <f>[8]FormattedData!B38</f>
        <v>1</v>
      </c>
      <c r="J22" s="4">
        <f>[8]FormattedData!C38</f>
        <v>13.295</v>
      </c>
      <c r="K22" s="6">
        <f>$J$3+[8]FormattedData!D38*$J$4+$M$4*$J$5+[8]FormattedData!D38^2*$J$6+$M$5*$J$7</f>
        <v>38.623717203787621</v>
      </c>
      <c r="L22" s="6">
        <f>$J$3+[8]FormattedData!E38*$J$4+$M$4*$J$5+[8]FormattedData!E38^2*$J$6+$M$5*$J$7</f>
        <v>38.81053961815001</v>
      </c>
      <c r="M22" s="6">
        <f>$J$3+[8]FormattedData!F38*$J$4+$M$4*$J$5+[8]FormattedData!F38^2*$J$6+$M$5*$J$7</f>
        <v>37.217159857483459</v>
      </c>
      <c r="N22" s="6">
        <f>$J$3+[8]FormattedData!G38*$J$4+$M$4*$J$5+[8]FormattedData!G38^2*$J$6+$M$5*$J$7</f>
        <v>35.516737286152903</v>
      </c>
      <c r="O22" s="6">
        <f>$J$3+[8]FormattedData!H38*$J$4+$M$4*$J$5+[8]FormattedData!H38^2*$J$6+$M$5*$J$7</f>
        <v>34.851763344677614</v>
      </c>
      <c r="P22" s="6">
        <f>$J$3+[8]FormattedData!I38*$J$4+$M$4*$J$5+[8]FormattedData!I38^2*$J$6+$M$5*$J$7</f>
        <v>37.405250327983779</v>
      </c>
      <c r="Q22" s="6">
        <f>$J$3+[8]FormattedData!J38*$J$4+$M$4*$J$5+[8]FormattedData!J38^2*$J$6+$M$5*$J$7</f>
        <v>31.495826261921728</v>
      </c>
      <c r="R22" s="6">
        <f>$J$3+[8]FormattedData!K38*$J$4+$M$4*$J$5+[8]FormattedData!K38^2*$J$6+$M$5*$J$7</f>
        <v>39.742115577686107</v>
      </c>
      <c r="S22" s="6">
        <f>$J$3+[8]FormattedData!L38*$J$4+$M$4*$J$5+[8]FormattedData!L38^2*$J$6+$M$5*$J$7</f>
        <v>40.761967117044762</v>
      </c>
      <c r="T22" s="6">
        <f>$J$3+[8]FormattedData!M38*$J$4+$M$4*$J$5+[8]FormattedData!M38^2*$J$6+$M$5*$J$7</f>
        <v>38.623717203787621</v>
      </c>
      <c r="U22" s="6">
        <f>$J$3+[8]FormattedData!N38*$J$4+$M$4*$J$5+[8]FormattedData!N38^2*$J$6+$M$5*$J$7</f>
        <v>29.457410111964688</v>
      </c>
      <c r="V22" s="6">
        <f>$J$3+[8]FormattedData!O38*$J$4+$M$4*$J$5+[8]FormattedData!O38^2*$J$6+$M$5*$J$7</f>
        <v>37.687069019699791</v>
      </c>
      <c r="W22" s="5">
        <f t="shared" si="0"/>
        <v>36.682772744195013</v>
      </c>
      <c r="X22" s="4">
        <f t="shared" si="1"/>
        <v>0.96805019399086012</v>
      </c>
      <c r="Y22" s="3">
        <f t="shared" si="2"/>
        <v>29.457410111964688</v>
      </c>
      <c r="Z22" s="2">
        <f t="shared" si="3"/>
        <v>35.350493800784079</v>
      </c>
      <c r="AA22" s="3">
        <f t="shared" si="4"/>
        <v>37.546159673841785</v>
      </c>
      <c r="AB22" s="2">
        <f t="shared" si="5"/>
        <v>38.670422807378216</v>
      </c>
      <c r="AC22" s="2">
        <f t="shared" si="6"/>
        <v>40.761967117044762</v>
      </c>
      <c r="AD22" s="2">
        <f t="shared" si="7"/>
        <v>-1.1634122495244705</v>
      </c>
      <c r="AE22" s="2">
        <f t="shared" si="8"/>
        <v>0.79776013168853765</v>
      </c>
    </row>
    <row r="23" spans="2:31" x14ac:dyDescent="0.2">
      <c r="B23" s="1">
        <f>[8]FormattedData!A40</f>
        <v>206</v>
      </c>
      <c r="C23" s="1" t="str">
        <f>VLOOKUP($B23,[8]TrtCodes!$B$11:I83,2)</f>
        <v>NSL</v>
      </c>
      <c r="D23" s="1">
        <f>VLOOKUP($B23,[8]TrtCodes!$B$11:J83,3)</f>
        <v>8</v>
      </c>
      <c r="E23" s="1">
        <f>VLOOKUP($B23,[8]TrtCodes!$B$11:K83,4)</f>
        <v>2</v>
      </c>
      <c r="F23" s="1">
        <f>VLOOKUP($B23,[8]TrtCodes!$B$11:L83,5)</f>
        <v>1</v>
      </c>
      <c r="G23" s="1">
        <f>VLOOKUP($B23,[8]TrtCodes!$B$11:M83,6)</f>
        <v>1</v>
      </c>
      <c r="H23" s="1">
        <f>VLOOKUP($B23,[8]TrtCodes!$B$11:N83,7)</f>
        <v>2</v>
      </c>
      <c r="I23" s="1">
        <f>[8]FormattedData!B40</f>
        <v>1</v>
      </c>
      <c r="J23" s="4">
        <f>[8]FormattedData!C40</f>
        <v>13.311</v>
      </c>
      <c r="K23" s="6">
        <f>$J$3+[8]FormattedData!D40*$J$4+$M$4*$J$5+[8]FormattedData!D40^2*$J$6+$M$5*$J$7</f>
        <v>55.274902518412475</v>
      </c>
      <c r="L23" s="6">
        <f>$J$3+[8]FormattedData!E40*$J$4+$M$4*$J$5+[8]FormattedData!E40^2*$J$6+$M$5*$J$7</f>
        <v>49.62216093387714</v>
      </c>
      <c r="M23" s="6">
        <f>$J$3+[8]FormattedData!F40*$J$4+$M$4*$J$5+[8]FormattedData!F40^2*$J$6+$M$5*$J$7</f>
        <v>46.594204309551316</v>
      </c>
      <c r="N23" s="6">
        <f>$J$3+[8]FormattedData!G40*$J$4+$M$4*$J$5+[8]FormattedData!G40^2*$J$6+$M$5*$J$7</f>
        <v>55.787690850713325</v>
      </c>
      <c r="O23" s="6">
        <f>$J$3+[8]FormattedData!H40*$J$4+$M$4*$J$5+[8]FormattedData!H40^2*$J$6+$M$5*$J$7</f>
        <v>41.408300633292434</v>
      </c>
      <c r="P23" s="6">
        <f>$J$3+[8]FormattedData!I40*$J$4+$M$4*$J$5+[8]FormattedData!I40^2*$J$6+$M$5*$J$7</f>
        <v>57.739282900466556</v>
      </c>
      <c r="Q23" s="6">
        <f>$J$3+[8]FormattedData!J40*$J$4+$M$4*$J$5+[8]FormattedData!J40^2*$J$6+$M$5*$J$7</f>
        <v>40.946845178662329</v>
      </c>
      <c r="R23" s="6">
        <f>$J$3+[8]FormattedData!K40*$J$4+$M$4*$J$5+[8]FormattedData!K40^2*$J$6+$M$5*$J$7</f>
        <v>54.760592518746108</v>
      </c>
      <c r="S23" s="6">
        <f>$J$3+[8]FormattedData!L40*$J$4+$M$4*$J$5+[8]FormattedData!L40^2*$J$6+$M$5*$J$7</f>
        <v>40.761967117044762</v>
      </c>
      <c r="T23" s="6">
        <f>$J$3+[8]FormattedData!M40*$J$4+$M$4*$J$5+[8]FormattedData!M40^2*$J$6+$M$5*$J$7</f>
        <v>56.21385207617093</v>
      </c>
      <c r="U23" s="6">
        <f>$J$3+[8]FormattedData!N40*$J$4+$M$4*$J$5+[8]FormattedData!N40^2*$J$6+$M$5*$J$7</f>
        <v>35.990450616783043</v>
      </c>
      <c r="V23" s="6">
        <f>$J$3+[8]FormattedData!O40*$J$4+$M$4*$J$5+[8]FormattedData!O40^2*$J$6+$M$5*$J$7</f>
        <v>56.128704368155269</v>
      </c>
      <c r="W23" s="5">
        <f t="shared" si="0"/>
        <v>49.269079501822972</v>
      </c>
      <c r="X23" s="4">
        <f t="shared" si="1"/>
        <v>2.2407580948051824</v>
      </c>
      <c r="Y23" s="3">
        <f t="shared" si="2"/>
        <v>35.990450616783043</v>
      </c>
      <c r="Z23" s="2">
        <f t="shared" si="3"/>
        <v>41.292936769634906</v>
      </c>
      <c r="AA23" s="3">
        <f t="shared" si="4"/>
        <v>52.191376726311624</v>
      </c>
      <c r="AB23" s="2">
        <f t="shared" si="5"/>
        <v>55.872944230073813</v>
      </c>
      <c r="AC23" s="2">
        <f t="shared" si="6"/>
        <v>57.739282900466556</v>
      </c>
      <c r="AD23" s="2">
        <f t="shared" si="7"/>
        <v>-0.4930008541927588</v>
      </c>
      <c r="AE23" s="2">
        <f t="shared" si="8"/>
        <v>-1.4855525635102382</v>
      </c>
    </row>
    <row r="24" spans="2:31" x14ac:dyDescent="0.2">
      <c r="B24" s="1">
        <f>[8]FormattedData!A42</f>
        <v>207</v>
      </c>
      <c r="C24" s="1" t="str">
        <f>VLOOKUP($B24,[8]TrtCodes!$B$11:I85,2)</f>
        <v>FTL</v>
      </c>
      <c r="D24" s="1">
        <f>VLOOKUP($B24,[8]TrtCodes!$B$11:J85,3)</f>
        <v>4</v>
      </c>
      <c r="E24" s="1">
        <f>VLOOKUP($B24,[8]TrtCodes!$B$11:K85,4)</f>
        <v>1</v>
      </c>
      <c r="F24" s="1">
        <f>VLOOKUP($B24,[8]TrtCodes!$B$11:L85,5)</f>
        <v>2</v>
      </c>
      <c r="G24" s="1">
        <f>VLOOKUP($B24,[8]TrtCodes!$B$11:M85,6)</f>
        <v>1</v>
      </c>
      <c r="H24" s="1">
        <f>VLOOKUP($B24,[8]TrtCodes!$B$11:N85,7)</f>
        <v>2</v>
      </c>
      <c r="I24" s="1">
        <f>[8]FormattedData!B42</f>
        <v>1</v>
      </c>
      <c r="J24" s="4">
        <f>[8]FormattedData!C42</f>
        <v>13.329000000000001</v>
      </c>
      <c r="K24" s="6">
        <f>$J$3+[8]FormattedData!D42*$J$4+$M$4*$J$5+[8]FormattedData!D42^2*$J$6+$M$5*$J$7</f>
        <v>38.436725715273504</v>
      </c>
      <c r="L24" s="6">
        <f>$J$3+[8]FormattedData!E42*$J$4+$M$4*$J$5+[8]FormattedData!E42^2*$J$6+$M$5*$J$7</f>
        <v>34.851763344677614</v>
      </c>
      <c r="M24" s="6">
        <f>$J$3+[8]FormattedData!F42*$J$4+$M$4*$J$5+[8]FormattedData!F42^2*$J$6+$M$5*$J$7</f>
        <v>35.516737286152903</v>
      </c>
      <c r="N24" s="6">
        <f>$J$3+[8]FormattedData!G42*$J$4+$M$4*$J$5+[8]FormattedData!G42^2*$J$6+$M$5*$J$7</f>
        <v>37.968507294574415</v>
      </c>
      <c r="O24" s="6">
        <f>$J$3+[8]FormattedData!H42*$J$4+$M$4*$J$5+[8]FormattedData!H42^2*$J$6+$M$5*$J$7</f>
        <v>33.036393746089942</v>
      </c>
      <c r="P24" s="6">
        <f>$J$3+[8]FormattedData!I42*$J$4+$M$4*$J$5+[8]FormattedData!I42^2*$J$6+$M$5*$J$7</f>
        <v>37.499232160427049</v>
      </c>
      <c r="Q24" s="6">
        <f>$J$3+[8]FormattedData!J42*$J$4+$M$4*$J$5+[8]FormattedData!J42^2*$J$6+$M$5*$J$7</f>
        <v>32.748361579298063</v>
      </c>
      <c r="R24" s="6">
        <f>$J$3+[8]FormattedData!K42*$J$4+$M$4*$J$5+[8]FormattedData!K42^2*$J$6+$M$5*$J$7</f>
        <v>35.232002065319655</v>
      </c>
      <c r="S24" s="6">
        <f>$J$3+[8]FormattedData!L42*$J$4+$M$4*$J$5+[8]FormattedData!L42^2*$J$6+$M$5*$J$7</f>
        <v>30.138953320308993</v>
      </c>
      <c r="T24" s="6">
        <f>$J$3+[8]FormattedData!M42*$J$4+$M$4*$J$5+[8]FormattedData!M42^2*$J$6+$M$5*$J$7</f>
        <v>37.874736804820799</v>
      </c>
      <c r="U24" s="6">
        <f>$J$3+[8]FormattedData!N42*$J$4+$M$4*$J$5+[8]FormattedData!N42^2*$J$6+$M$5*$J$7</f>
        <v>30.138953320308993</v>
      </c>
      <c r="V24" s="6">
        <f>$J$3+[8]FormattedData!O42*$J$4+$M$4*$J$5+[8]FormattedData!O42^2*$J$6+$M$5*$J$7</f>
        <v>37.028900312831404</v>
      </c>
      <c r="W24" s="5">
        <f t="shared" si="0"/>
        <v>35.03927224584028</v>
      </c>
      <c r="X24" s="4">
        <f t="shared" si="1"/>
        <v>0.85173313631674819</v>
      </c>
      <c r="Y24" s="3">
        <f t="shared" si="2"/>
        <v>30.138953320308993</v>
      </c>
      <c r="Z24" s="2">
        <f t="shared" si="3"/>
        <v>32.964385704391972</v>
      </c>
      <c r="AA24" s="3">
        <f t="shared" si="4"/>
        <v>35.374369675736276</v>
      </c>
      <c r="AB24" s="2">
        <f t="shared" si="5"/>
        <v>37.593108321525484</v>
      </c>
      <c r="AC24" s="2">
        <f t="shared" si="6"/>
        <v>38.436725715273504</v>
      </c>
      <c r="AD24" s="2">
        <f t="shared" si="7"/>
        <v>-0.6174775900465107</v>
      </c>
      <c r="AE24" s="2">
        <f t="shared" si="8"/>
        <v>-0.87129412469062562</v>
      </c>
    </row>
    <row r="25" spans="2:31" x14ac:dyDescent="0.2">
      <c r="B25" s="1">
        <f>[8]FormattedData!A44</f>
        <v>208</v>
      </c>
      <c r="C25" s="1" t="str">
        <f>VLOOKUP($B25,[8]TrtCodes!$B$11:I87,2)</f>
        <v>FSL</v>
      </c>
      <c r="D25" s="1">
        <f>VLOOKUP($B25,[8]TrtCodes!$B$11:J87,3)</f>
        <v>2</v>
      </c>
      <c r="E25" s="1">
        <f>VLOOKUP($B25,[8]TrtCodes!$B$11:K87,4)</f>
        <v>1</v>
      </c>
      <c r="F25" s="1">
        <f>VLOOKUP($B25,[8]TrtCodes!$B$11:L87,5)</f>
        <v>1</v>
      </c>
      <c r="G25" s="1">
        <f>VLOOKUP($B25,[8]TrtCodes!$B$11:M87,6)</f>
        <v>1</v>
      </c>
      <c r="H25" s="1">
        <f>VLOOKUP($B25,[8]TrtCodes!$B$11:N87,7)</f>
        <v>2</v>
      </c>
      <c r="I25" s="1">
        <f>[8]FormattedData!B44</f>
        <v>1</v>
      </c>
      <c r="J25" s="4">
        <f>[8]FormattedData!C44</f>
        <v>13.345000000000001</v>
      </c>
      <c r="K25" s="6">
        <f>$J$3+[8]FormattedData!D44*$J$4+$M$4*$J$5+[8]FormattedData!D44^2*$J$6+$M$5*$J$7</f>
        <v>34.851763344677614</v>
      </c>
      <c r="L25" s="6">
        <f>$J$3+[8]FormattedData!E44*$J$4+$M$4*$J$5+[8]FormattedData!E44^2*$J$6+$M$5*$J$7</f>
        <v>35.990450616783043</v>
      </c>
      <c r="M25" s="6">
        <f>$J$3+[8]FormattedData!F44*$J$4+$M$4*$J$5+[8]FormattedData!F44^2*$J$6+$M$5*$J$7</f>
        <v>30.624501841559848</v>
      </c>
      <c r="N25" s="6">
        <f>$J$3+[8]FormattedData!G44*$J$4+$M$4*$J$5+[8]FormattedData!G44^2*$J$6+$M$5*$J$7</f>
        <v>37.968507294574415</v>
      </c>
      <c r="O25" s="6">
        <f>$J$3+[8]FormattedData!H44*$J$4+$M$4*$J$5+[8]FormattedData!H44^2*$J$6+$M$5*$J$7</f>
        <v>32.940425292363919</v>
      </c>
      <c r="P25" s="6">
        <f>$J$3+[8]FormattedData!I44*$J$4+$M$4*$J$5+[8]FormattedData!I44^2*$J$6+$M$5*$J$7</f>
        <v>39.276855954642201</v>
      </c>
      <c r="Q25" s="6">
        <f>$J$3+[8]FormattedData!J44*$J$4+$M$4*$J$5+[8]FormattedData!J44^2*$J$6+$M$5*$J$7</f>
        <v>34.946886427645012</v>
      </c>
      <c r="R25" s="6">
        <f>$J$3+[8]FormattedData!K44*$J$4+$M$4*$J$5+[8]FormattedData!K44^2*$J$6+$M$5*$J$7</f>
        <v>39.183677224419625</v>
      </c>
      <c r="S25" s="6">
        <f>$J$3+[8]FormattedData!L44*$J$4+$M$4*$J$5+[8]FormattedData!L44^2*$J$6+$M$5*$J$7</f>
        <v>33.324045496040455</v>
      </c>
      <c r="T25" s="6">
        <f>$J$3+[8]FormattedData!M44*$J$4+$M$4*$J$5+[8]FormattedData!M44^2*$J$6+$M$5*$J$7</f>
        <v>39.927923547138157</v>
      </c>
      <c r="U25" s="6">
        <f>$J$3+[8]FormattedData!N44*$J$4+$M$4*$J$5+[8]FormattedData!N44^2*$J$6+$M$5*$J$7</f>
        <v>37.968507294574415</v>
      </c>
      <c r="V25" s="6">
        <f>$J$3+[8]FormattedData!O44*$J$4+$M$4*$J$5+[8]FormattedData!O44^2*$J$6+$M$5*$J$7</f>
        <v>35.326956074135339</v>
      </c>
      <c r="W25" s="5">
        <f t="shared" si="0"/>
        <v>36.027541700712838</v>
      </c>
      <c r="X25" s="4">
        <f t="shared" si="1"/>
        <v>0.83639465131690161</v>
      </c>
      <c r="Y25" s="3">
        <f t="shared" si="2"/>
        <v>30.624501841559848</v>
      </c>
      <c r="Z25" s="2">
        <f t="shared" si="3"/>
        <v>34.469833882518323</v>
      </c>
      <c r="AA25" s="3">
        <f t="shared" si="4"/>
        <v>35.658703345459188</v>
      </c>
      <c r="AB25" s="2">
        <f t="shared" si="5"/>
        <v>38.27229977703572</v>
      </c>
      <c r="AC25" s="2">
        <f t="shared" si="6"/>
        <v>39.927923547138157</v>
      </c>
      <c r="AD25" s="2">
        <f t="shared" si="7"/>
        <v>-0.3159196818807069</v>
      </c>
      <c r="AE25" s="2">
        <f t="shared" si="8"/>
        <v>-0.74521377125395327</v>
      </c>
    </row>
    <row r="26" spans="2:31" x14ac:dyDescent="0.2">
      <c r="B26" s="1">
        <f>[8]FormattedData!A62</f>
        <v>301</v>
      </c>
      <c r="C26" s="1" t="str">
        <f>VLOOKUP($B26,[8]TrtCodes!$B$11:I105,2)</f>
        <v>NTL</v>
      </c>
      <c r="D26" s="1">
        <f>VLOOKUP($B26,[8]TrtCodes!$B$11:J105,3)</f>
        <v>10</v>
      </c>
      <c r="E26" s="1">
        <f>VLOOKUP($B26,[8]TrtCodes!$B$11:K105,4)</f>
        <v>2</v>
      </c>
      <c r="F26" s="1">
        <f>VLOOKUP($B26,[8]TrtCodes!$B$11:L105,5)</f>
        <v>2</v>
      </c>
      <c r="G26" s="1">
        <f>VLOOKUP($B26,[8]TrtCodes!$B$11:M105,6)</f>
        <v>1</v>
      </c>
      <c r="H26" s="1">
        <f>VLOOKUP($B26,[8]TrtCodes!$B$11:N105,7)</f>
        <v>3</v>
      </c>
      <c r="I26" s="1">
        <f>[8]FormattedData!B62</f>
        <v>1</v>
      </c>
      <c r="J26" s="4">
        <f>[8]FormattedData!C62</f>
        <v>13.48</v>
      </c>
      <c r="K26" s="6">
        <f>$J$3+[8]FormattedData!D62*$J$4+$M$4*$J$5+[8]FormattedData!D62^2*$J$6+$M$5*$J$7</f>
        <v>56.21385207617093</v>
      </c>
      <c r="L26" s="6">
        <f>$J$3+[8]FormattedData!E62*$J$4+$M$4*$J$5+[8]FormattedData!E62^2*$J$6+$M$5*$J$7</f>
        <v>48.292320983917989</v>
      </c>
      <c r="M26" s="6">
        <f>$J$3+[8]FormattedData!F62*$J$4+$M$4*$J$5+[8]FormattedData!F62^2*$J$6+$M$5*$J$7</f>
        <v>49.798754362060194</v>
      </c>
      <c r="N26" s="6">
        <f>$J$3+[8]FormattedData!G62*$J$4+$M$4*$J$5+[8]FormattedData!G62^2*$J$6+$M$5*$J$7</f>
        <v>51.117815834846901</v>
      </c>
      <c r="O26" s="6">
        <f>$J$3+[8]FormattedData!H62*$J$4+$M$4*$J$5+[8]FormattedData!H62^2*$J$6+$M$5*$J$7</f>
        <v>40.761967117044762</v>
      </c>
      <c r="P26" s="6">
        <f>$J$3+[8]FormattedData!I62*$J$4+$M$4*$J$5+[8]FormattedData!I62^2*$J$6+$M$5*$J$7</f>
        <v>49.975178716091527</v>
      </c>
      <c r="Q26" s="6">
        <f>$J$3+[8]FormattedData!J62*$J$4+$M$4*$J$5+[8]FormattedData!J62^2*$J$6+$M$5*$J$7</f>
        <v>35.326956074135339</v>
      </c>
      <c r="R26" s="6">
        <f>$J$3+[8]FormattedData!K62*$J$4+$M$4*$J$5+[8]FormattedData!K62^2*$J$6+$M$5*$J$7</f>
        <v>48.470182468238988</v>
      </c>
      <c r="S26" s="6">
        <f>$J$3+[8]FormattedData!L62*$J$4+$M$4*$J$5+[8]FormattedData!L62^2*$J$6+$M$5*$J$7</f>
        <v>45.604109820896177</v>
      </c>
      <c r="T26" s="6">
        <f>$J$3+[8]FormattedData!M62*$J$4+$M$4*$J$5+[8]FormattedData!M62^2*$J$6+$M$5*$J$7</f>
        <v>50.327520201699024</v>
      </c>
      <c r="U26" s="6">
        <f>$J$3+[8]FormattedData!N62*$J$4+$M$4*$J$5+[8]FormattedData!N62^2*$J$6+$M$5*$J$7</f>
        <v>37.405250327983779</v>
      </c>
      <c r="V26" s="6">
        <f>$J$3+[8]FormattedData!O62*$J$4+$M$4*$J$5+[8]FormattedData!O62^2*$J$6+$M$5*$J$7</f>
        <v>50.415499901756064</v>
      </c>
      <c r="W26" s="5">
        <f t="shared" si="0"/>
        <v>46.975783990403478</v>
      </c>
      <c r="X26" s="4">
        <f t="shared" si="1"/>
        <v>1.7715757718068901</v>
      </c>
      <c r="Y26" s="3">
        <f t="shared" si="2"/>
        <v>35.326956074135339</v>
      </c>
      <c r="Z26" s="2">
        <f t="shared" si="3"/>
        <v>44.393574144933325</v>
      </c>
      <c r="AA26" s="3">
        <f t="shared" si="4"/>
        <v>49.134468415149591</v>
      </c>
      <c r="AB26" s="2">
        <f t="shared" si="5"/>
        <v>50.349515126713285</v>
      </c>
      <c r="AC26" s="2">
        <f t="shared" si="6"/>
        <v>56.21385207617093</v>
      </c>
      <c r="AD26" s="2">
        <f t="shared" si="7"/>
        <v>-0.80564940395117102</v>
      </c>
      <c r="AE26" s="2">
        <f t="shared" si="8"/>
        <v>-1.3731134662506861E-3</v>
      </c>
    </row>
    <row r="27" spans="2:31" x14ac:dyDescent="0.2">
      <c r="B27" s="1">
        <f>[8]FormattedData!A64</f>
        <v>302</v>
      </c>
      <c r="C27" s="1" t="str">
        <f>VLOOKUP($B27,[8]TrtCodes!$B$11:I107,2)</f>
        <v>FTL</v>
      </c>
      <c r="D27" s="1">
        <f>VLOOKUP($B27,[8]TrtCodes!$B$11:J107,3)</f>
        <v>4</v>
      </c>
      <c r="E27" s="1">
        <f>VLOOKUP($B27,[8]TrtCodes!$B$11:K107,4)</f>
        <v>1</v>
      </c>
      <c r="F27" s="1">
        <f>VLOOKUP($B27,[8]TrtCodes!$B$11:L107,5)</f>
        <v>2</v>
      </c>
      <c r="G27" s="1">
        <f>VLOOKUP($B27,[8]TrtCodes!$B$11:M107,6)</f>
        <v>1</v>
      </c>
      <c r="H27" s="1">
        <f>VLOOKUP($B27,[8]TrtCodes!$B$11:N107,7)</f>
        <v>3</v>
      </c>
      <c r="I27" s="1">
        <f>[8]FormattedData!B64</f>
        <v>1</v>
      </c>
      <c r="J27" s="4">
        <f>[8]FormattedData!C64</f>
        <v>13.497999999999999</v>
      </c>
      <c r="K27" s="6">
        <f>$J$3+[8]FormattedData!D64*$J$4+$M$4*$J$5+[8]FormattedData!D64^2*$J$6+$M$5*$J$7</f>
        <v>39.556138534082336</v>
      </c>
      <c r="L27" s="6">
        <f>$J$3+[8]FormattedData!E64*$J$4+$M$4*$J$5+[8]FormattedData!E64^2*$J$6+$M$5*$J$7</f>
        <v>30.33329953442313</v>
      </c>
      <c r="M27" s="6">
        <f>$J$3+[8]FormattedData!F64*$J$4+$M$4*$J$5+[8]FormattedData!F64^2*$J$6+$M$5*$J$7</f>
        <v>38.249565152607659</v>
      </c>
      <c r="N27" s="6">
        <f>$J$3+[8]FormattedData!G64*$J$4+$M$4*$J$5+[8]FormattedData!G64^2*$J$6+$M$5*$J$7</f>
        <v>33.993753513764034</v>
      </c>
      <c r="O27" s="6">
        <f>$J$3+[8]FormattedData!H64*$J$4+$M$4*$J$5+[8]FormattedData!H64^2*$J$6+$M$5*$J$7</f>
        <v>36.274171392705952</v>
      </c>
      <c r="P27" s="6">
        <f>$J$3+[8]FormattedData!I64*$J$4+$M$4*$J$5+[8]FormattedData!I64^2*$J$6+$M$5*$J$7</f>
        <v>35.421867814413083</v>
      </c>
      <c r="Q27" s="6">
        <f>$J$3+[8]FormattedData!J64*$J$4+$M$4*$J$5+[8]FormattedData!J64^2*$J$6+$M$5*$J$7</f>
        <v>29.749753669625544</v>
      </c>
      <c r="R27" s="6">
        <f>$J$3+[8]FormattedData!K64*$J$4+$M$4*$J$5+[8]FormattedData!K64^2*$J$6+$M$5*$J$7</f>
        <v>38.155921468467845</v>
      </c>
      <c r="S27" s="6">
        <f>$J$3+[8]FormattedData!L64*$J$4+$M$4*$J$5+[8]FormattedData!L64^2*$J$6+$M$5*$J$7</f>
        <v>30.430409238673299</v>
      </c>
      <c r="T27" s="6">
        <f>$J$3+[8]FormattedData!M64*$J$4+$M$4*$J$5+[8]FormattedData!M64^2*$J$6+$M$5*$J$7</f>
        <v>37.499232160427049</v>
      </c>
      <c r="U27" s="6">
        <f>$J$3+[8]FormattedData!N64*$J$4+$M$4*$J$5+[8]FormattedData!N64^2*$J$6+$M$5*$J$7</f>
        <v>30.430409238673299</v>
      </c>
      <c r="V27" s="6">
        <f>$J$3+[8]FormattedData!O64*$J$4+$M$4*$J$5+[8]FormattedData!O64^2*$J$6+$M$5*$J$7</f>
        <v>36.840471694027627</v>
      </c>
      <c r="W27" s="5">
        <f t="shared" si="0"/>
        <v>34.74458278432423</v>
      </c>
      <c r="X27" s="4">
        <f t="shared" si="1"/>
        <v>1.044640255376897</v>
      </c>
      <c r="Y27" s="3">
        <f t="shared" si="2"/>
        <v>29.749753669625544</v>
      </c>
      <c r="Z27" s="2">
        <f t="shared" si="3"/>
        <v>30.430409238673299</v>
      </c>
      <c r="AA27" s="3">
        <f t="shared" si="4"/>
        <v>35.848019603559521</v>
      </c>
      <c r="AB27" s="2">
        <f t="shared" si="5"/>
        <v>37.663404487437248</v>
      </c>
      <c r="AC27" s="2">
        <f t="shared" si="6"/>
        <v>39.556138534082336</v>
      </c>
      <c r="AD27" s="2">
        <f t="shared" si="7"/>
        <v>-0.32993174936662734</v>
      </c>
      <c r="AE27" s="2">
        <f t="shared" si="8"/>
        <v>-1.645065325087478</v>
      </c>
    </row>
    <row r="28" spans="2:31" x14ac:dyDescent="0.2">
      <c r="B28" s="1">
        <f>[8]FormattedData!A66</f>
        <v>303</v>
      </c>
      <c r="C28" s="1" t="str">
        <f>VLOOKUP($B28,[8]TrtCodes!$B$11:I109,2)</f>
        <v>NSL</v>
      </c>
      <c r="D28" s="1">
        <f>VLOOKUP($B28,[8]TrtCodes!$B$11:J109,3)</f>
        <v>8</v>
      </c>
      <c r="E28" s="1">
        <f>VLOOKUP($B28,[8]TrtCodes!$B$11:K109,4)</f>
        <v>2</v>
      </c>
      <c r="F28" s="1">
        <f>VLOOKUP($B28,[8]TrtCodes!$B$11:L109,5)</f>
        <v>1</v>
      </c>
      <c r="G28" s="1">
        <f>VLOOKUP($B28,[8]TrtCodes!$B$11:M109,6)</f>
        <v>1</v>
      </c>
      <c r="H28" s="1">
        <f>VLOOKUP($B28,[8]TrtCodes!$B$11:N109,7)</f>
        <v>3</v>
      </c>
      <c r="I28" s="1">
        <f>[8]FormattedData!B66</f>
        <v>1</v>
      </c>
      <c r="J28" s="4">
        <f>[8]FormattedData!C66</f>
        <v>13.515000000000001</v>
      </c>
      <c r="K28" s="6">
        <f>$J$3+[8]FormattedData!D66*$J$4+$M$4*$J$5+[8]FormattedData!D66^2*$J$6+$M$5*$J$7</f>
        <v>54.93219825945328</v>
      </c>
      <c r="L28" s="6">
        <f>$J$3+[8]FormattedData!E66*$J$4+$M$4*$J$5+[8]FormattedData!E66^2*$J$6+$M$5*$J$7</f>
        <v>46.683959288201464</v>
      </c>
      <c r="M28" s="6">
        <f>$J$3+[8]FormattedData!F66*$J$4+$M$4*$J$5+[8]FormattedData!F66^2*$J$6+$M$5*$J$7</f>
        <v>48.114290425445276</v>
      </c>
      <c r="N28" s="6">
        <f>$J$3+[8]FormattedData!G66*$J$4+$M$4*$J$5+[8]FormattedData!G66^2*$J$6+$M$5*$J$7</f>
        <v>53.900027702934324</v>
      </c>
      <c r="O28" s="6">
        <f>$J$3+[8]FormattedData!H66*$J$4+$M$4*$J$5+[8]FormattedData!H66^2*$J$6+$M$5*$J$7</f>
        <v>39.835040696681098</v>
      </c>
      <c r="P28" s="6">
        <f>$J$3+[8]FormattedData!I66*$J$4+$M$4*$J$5+[8]FormattedData!I66^2*$J$6+$M$5*$J$7</f>
        <v>55.360472911807442</v>
      </c>
      <c r="Q28" s="6">
        <f>$J$3+[8]FormattedData!J66*$J$4+$M$4*$J$5+[8]FormattedData!J66^2*$J$6+$M$5*$J$7</f>
        <v>35.041967242074492</v>
      </c>
      <c r="R28" s="6">
        <f>$J$3+[8]FormattedData!K66*$J$4+$M$4*$J$5+[8]FormattedData!K66^2*$J$6+$M$5*$J$7</f>
        <v>53.035236033329433</v>
      </c>
      <c r="S28" s="6">
        <f>$J$3+[8]FormattedData!L66*$J$4+$M$4*$J$5+[8]FormattedData!L66^2*$J$6+$M$5*$J$7</f>
        <v>36.463107233964898</v>
      </c>
      <c r="T28" s="6">
        <f>$J$3+[8]FormattedData!M66*$J$4+$M$4*$J$5+[8]FormattedData!M66^2*$J$6+$M$5*$J$7</f>
        <v>55.103634926008745</v>
      </c>
      <c r="U28" s="6">
        <f>$J$3+[8]FormattedData!N66*$J$4+$M$4*$J$5+[8]FormattedData!N66^2*$J$6+$M$5*$J$7</f>
        <v>37.874736804820799</v>
      </c>
      <c r="V28" s="6">
        <f>$J$3+[8]FormattedData!O66*$J$4+$M$4*$J$5+[8]FormattedData!O66^2*$J$6+$M$5*$J$7</f>
        <v>49.091366204417625</v>
      </c>
      <c r="W28" s="5">
        <f t="shared" si="0"/>
        <v>47.119669810761572</v>
      </c>
      <c r="X28" s="4">
        <f t="shared" si="1"/>
        <v>2.2641672590419604</v>
      </c>
      <c r="Y28" s="3">
        <f t="shared" si="2"/>
        <v>35.041967242074492</v>
      </c>
      <c r="Z28" s="2">
        <f t="shared" si="3"/>
        <v>39.344964723716025</v>
      </c>
      <c r="AA28" s="3">
        <f t="shared" si="4"/>
        <v>48.60282831493145</v>
      </c>
      <c r="AB28" s="2">
        <f t="shared" si="5"/>
        <v>54.158070342064065</v>
      </c>
      <c r="AC28" s="2">
        <f t="shared" si="6"/>
        <v>55.360472911807442</v>
      </c>
      <c r="AD28" s="2">
        <f t="shared" si="7"/>
        <v>-0.46937060007902437</v>
      </c>
      <c r="AE28" s="2">
        <f t="shared" si="8"/>
        <v>-1.5329396820575578</v>
      </c>
    </row>
    <row r="29" spans="2:31" x14ac:dyDescent="0.2">
      <c r="B29" s="1">
        <f>[8]FormattedData!A68</f>
        <v>304</v>
      </c>
      <c r="C29" s="1" t="str">
        <f>VLOOKUP($B29,[8]TrtCodes!$B$11:I111,2)</f>
        <v>FSL</v>
      </c>
      <c r="D29" s="1">
        <f>VLOOKUP($B29,[8]TrtCodes!$B$11:J111,3)</f>
        <v>2</v>
      </c>
      <c r="E29" s="1">
        <f>VLOOKUP($B29,[8]TrtCodes!$B$11:K111,4)</f>
        <v>1</v>
      </c>
      <c r="F29" s="1">
        <f>VLOOKUP($B29,[8]TrtCodes!$B$11:L111,5)</f>
        <v>1</v>
      </c>
      <c r="G29" s="1">
        <f>VLOOKUP($B29,[8]TrtCodes!$B$11:M111,6)</f>
        <v>1</v>
      </c>
      <c r="H29" s="1">
        <f>VLOOKUP($B29,[8]TrtCodes!$B$11:N111,7)</f>
        <v>3</v>
      </c>
      <c r="I29" s="1">
        <f>[8]FormattedData!B68</f>
        <v>1</v>
      </c>
      <c r="J29" s="4">
        <f>[8]FormattedData!C68</f>
        <v>13.532</v>
      </c>
      <c r="K29" s="6">
        <f>$J$3+[8]FormattedData!D68*$J$4+$M$4*$J$5+[8]FormattedData!D68^2*$J$6+$M$5*$J$7</f>
        <v>34.280137207576608</v>
      </c>
      <c r="L29" s="6">
        <f>$J$3+[8]FormattedData!E68*$J$4+$M$4*$J$5+[8]FormattedData!E68^2*$J$6+$M$5*$J$7</f>
        <v>38.623717203787621</v>
      </c>
      <c r="M29" s="6">
        <f>$J$3+[8]FormattedData!F68*$J$4+$M$4*$J$5+[8]FormattedData!F68^2*$J$6+$M$5*$J$7</f>
        <v>33.228203847928214</v>
      </c>
      <c r="N29" s="6">
        <f>$J$3+[8]FormattedData!G68*$J$4+$M$4*$J$5+[8]FormattedData!G68^2*$J$6+$M$5*$J$7</f>
        <v>36.274171392705952</v>
      </c>
      <c r="O29" s="6">
        <f>$J$3+[8]FormattedData!H68*$J$4+$M$4*$J$5+[8]FormattedData!H68^2*$J$6+$M$5*$J$7</f>
        <v>34.851763344677614</v>
      </c>
      <c r="P29" s="6">
        <f>$J$3+[8]FormattedData!I68*$J$4+$M$4*$J$5+[8]FormattedData!I68^2*$J$6+$M$5*$J$7</f>
        <v>36.55751175178748</v>
      </c>
      <c r="Q29" s="6">
        <f>$J$3+[8]FormattedData!J68*$J$4+$M$4*$J$5+[8]FormattedData!J68^2*$J$6+$M$5*$J$7</f>
        <v>33.228203847928214</v>
      </c>
      <c r="R29" s="6">
        <f>$J$3+[8]FormattedData!K68*$J$4+$M$4*$J$5+[8]FormattedData!K68^2*$J$6+$M$5*$J$7</f>
        <v>33.802619708532674</v>
      </c>
      <c r="S29" s="6">
        <f>$J$3+[8]FormattedData!L68*$J$4+$M$4*$J$5+[8]FormattedData!L68^2*$J$6+$M$5*$J$7</f>
        <v>32.556128792080486</v>
      </c>
      <c r="T29" s="6">
        <f>$J$3+[8]FormattedData!M68*$J$4+$M$4*$J$5+[8]FormattedData!M68^2*$J$6+$M$5*$J$7</f>
        <v>36.934707137698481</v>
      </c>
      <c r="U29" s="6">
        <f>$J$3+[8]FormattedData!N68*$J$4+$M$4*$J$5+[8]FormattedData!N68^2*$J$6+$M$5*$J$7</f>
        <v>31.592428743716724</v>
      </c>
      <c r="V29" s="6">
        <f>$J$3+[8]FormattedData!O68*$J$4+$M$4*$J$5+[8]FormattedData!O68^2*$J$6+$M$5*$J$7</f>
        <v>40.206318487281742</v>
      </c>
      <c r="W29" s="5">
        <f t="shared" si="0"/>
        <v>35.177992622141815</v>
      </c>
      <c r="X29" s="4">
        <f t="shared" si="1"/>
        <v>0.7461305081736842</v>
      </c>
      <c r="Y29" s="3">
        <f t="shared" si="2"/>
        <v>31.592428743716724</v>
      </c>
      <c r="Z29" s="2">
        <f t="shared" si="3"/>
        <v>33.228203847928214</v>
      </c>
      <c r="AA29" s="3">
        <f t="shared" si="4"/>
        <v>34.565950276127111</v>
      </c>
      <c r="AB29" s="2">
        <f t="shared" si="5"/>
        <v>36.651810598265229</v>
      </c>
      <c r="AC29" s="2">
        <f t="shared" si="6"/>
        <v>40.206318487281742</v>
      </c>
      <c r="AD29" s="2">
        <f t="shared" si="7"/>
        <v>0.60087062600308583</v>
      </c>
      <c r="AE29" s="2">
        <f t="shared" si="8"/>
        <v>-0.3594954750403514</v>
      </c>
    </row>
    <row r="30" spans="2:31" x14ac:dyDescent="0.2">
      <c r="B30" s="1">
        <f>[8]FormattedData!A70</f>
        <v>305</v>
      </c>
      <c r="C30" s="1" t="str">
        <f>VLOOKUP($B30,[8]TrtCodes!$B$11:I113,2)</f>
        <v>NDH</v>
      </c>
      <c r="D30" s="1">
        <f>VLOOKUP($B30,[8]TrtCodes!$B$11:J113,3)</f>
        <v>11</v>
      </c>
      <c r="E30" s="1">
        <f>VLOOKUP($B30,[8]TrtCodes!$B$11:K113,4)</f>
        <v>2</v>
      </c>
      <c r="F30" s="1">
        <f>VLOOKUP($B30,[8]TrtCodes!$B$11:L113,5)</f>
        <v>3</v>
      </c>
      <c r="G30" s="1">
        <f>VLOOKUP($B30,[8]TrtCodes!$B$11:M113,6)</f>
        <v>2</v>
      </c>
      <c r="H30" s="1">
        <f>VLOOKUP($B30,[8]TrtCodes!$B$11:N113,7)</f>
        <v>4</v>
      </c>
      <c r="I30" s="1">
        <f>[8]FormattedData!B70</f>
        <v>1</v>
      </c>
      <c r="J30" s="4">
        <f>[8]FormattedData!C70</f>
        <v>13.55</v>
      </c>
      <c r="K30" s="6">
        <f>$J$3+[8]FormattedData!D70*$J$4+$M$4*$J$5+[8]FormattedData!D70^2*$J$6+$M$5*$J$7</f>
        <v>36.179640069269581</v>
      </c>
      <c r="L30" s="6">
        <f>$J$3+[8]FormattedData!E70*$J$4+$M$4*$J$5+[8]FormattedData!E70^2*$J$6+$M$5*$J$7</f>
        <v>31.108993649362425</v>
      </c>
      <c r="M30" s="6">
        <f>$J$3+[8]FormattedData!F70*$J$4+$M$4*$J$5+[8]FormattedData!F70^2*$J$6+$M$5*$J$7</f>
        <v>31.881982577874133</v>
      </c>
      <c r="N30" s="6">
        <f>$J$3+[8]FormattedData!G70*$J$4+$M$4*$J$5+[8]FormattedData!G70^2*$J$6+$M$5*$J$7</f>
        <v>33.993753513764034</v>
      </c>
      <c r="O30" s="6">
        <f>$J$3+[8]FormattedData!H70*$J$4+$M$4*$J$5+[8]FormattedData!H70^2*$J$6+$M$5*$J$7</f>
        <v>31.592428743716724</v>
      </c>
      <c r="P30" s="6">
        <f>$J$3+[8]FormattedData!I70*$J$4+$M$4*$J$5+[8]FormattedData!I70^2*$J$6+$M$5*$J$7</f>
        <v>38.530242593799528</v>
      </c>
      <c r="Q30" s="6">
        <f>$J$3+[8]FormattedData!J70*$J$4+$M$4*$J$5+[8]FormattedData!J70^2*$J$6+$M$5*$J$7</f>
        <v>30.721484740196225</v>
      </c>
      <c r="R30" s="6">
        <f>$J$3+[8]FormattedData!K70*$J$4+$M$4*$J$5+[8]FormattedData!K70^2*$J$6+$M$5*$J$7</f>
        <v>38.623717203787621</v>
      </c>
      <c r="S30" s="6">
        <f>$J$3+[8]FormattedData!L70*$J$4+$M$4*$J$5+[8]FormattedData!L70^2*$J$6+$M$5*$J$7</f>
        <v>29.944438032043131</v>
      </c>
      <c r="T30" s="6">
        <f>$J$3+[8]FormattedData!M70*$J$4+$M$4*$J$5+[8]FormattedData!M70^2*$J$6+$M$5*$J$7</f>
        <v>35.232002065319655</v>
      </c>
      <c r="U30" s="6">
        <f>$J$3+[8]FormattedData!N70*$J$4+$M$4*$J$5+[8]FormattedData!N70^2*$J$6+$M$5*$J$7</f>
        <v>31.108993649362425</v>
      </c>
      <c r="V30" s="6">
        <f>$J$3+[8]FormattedData!O70*$J$4+$M$4*$J$5+[8]FormattedData!O70^2*$J$6+$M$5*$J$7</f>
        <v>33.993753513764034</v>
      </c>
      <c r="W30" s="5">
        <f t="shared" si="0"/>
        <v>33.575952529354964</v>
      </c>
      <c r="X30" s="4">
        <f t="shared" si="1"/>
        <v>0.87128988055639833</v>
      </c>
      <c r="Y30" s="3">
        <f t="shared" si="2"/>
        <v>29.944438032043131</v>
      </c>
      <c r="Z30" s="2">
        <f t="shared" si="3"/>
        <v>31.108993649362425</v>
      </c>
      <c r="AA30" s="3">
        <f t="shared" si="4"/>
        <v>32.937868045819087</v>
      </c>
      <c r="AB30" s="2">
        <f t="shared" si="5"/>
        <v>35.468911566307135</v>
      </c>
      <c r="AC30" s="2">
        <f t="shared" si="6"/>
        <v>38.623717203787621</v>
      </c>
      <c r="AD30" s="2">
        <f t="shared" si="7"/>
        <v>0.62972223076638834</v>
      </c>
      <c r="AE30" s="2">
        <f t="shared" si="8"/>
        <v>-0.91301361552817673</v>
      </c>
    </row>
    <row r="31" spans="2:31" x14ac:dyDescent="0.2">
      <c r="B31" s="1">
        <f>[8]FormattedData!A72</f>
        <v>306</v>
      </c>
      <c r="C31" s="1" t="str">
        <f>VLOOKUP($B31,[8]TrtCodes!$B$11:I115,2)</f>
        <v>FTL</v>
      </c>
      <c r="D31" s="1">
        <f>VLOOKUP($B31,[8]TrtCodes!$B$11:J115,3)</f>
        <v>4</v>
      </c>
      <c r="E31" s="1">
        <f>VLOOKUP($B31,[8]TrtCodes!$B$11:K115,4)</f>
        <v>1</v>
      </c>
      <c r="F31" s="1">
        <f>VLOOKUP($B31,[8]TrtCodes!$B$11:L115,5)</f>
        <v>2</v>
      </c>
      <c r="G31" s="1">
        <f>VLOOKUP($B31,[8]TrtCodes!$B$11:M115,6)</f>
        <v>1</v>
      </c>
      <c r="H31" s="1">
        <f>VLOOKUP($B31,[8]TrtCodes!$B$11:N115,7)</f>
        <v>4</v>
      </c>
      <c r="I31" s="1">
        <f>[8]FormattedData!B72</f>
        <v>1</v>
      </c>
      <c r="J31" s="4">
        <f>[8]FormattedData!C72</f>
        <v>13.567</v>
      </c>
      <c r="K31" s="6">
        <f>$J$3+[8]FormattedData!D72*$J$4+$M$4*$J$5+[8]FormattedData!D72^2*$J$6+$M$5*$J$7</f>
        <v>36.274171392705952</v>
      </c>
      <c r="L31" s="6">
        <f>$J$3+[8]FormattedData!E72*$J$4+$M$4*$J$5+[8]FormattedData!E72^2*$J$6+$M$5*$J$7</f>
        <v>32.652266319958237</v>
      </c>
      <c r="M31" s="6">
        <f>$J$3+[8]FormattedData!F72*$J$4+$M$4*$J$5+[8]FormattedData!F72^2*$J$6+$M$5*$J$7</f>
        <v>37.687069019699791</v>
      </c>
      <c r="N31" s="6">
        <f>$J$3+[8]FormattedData!G72*$J$4+$M$4*$J$5+[8]FormattedData!G72^2*$J$6+$M$5*$J$7</f>
        <v>32.940425292363919</v>
      </c>
      <c r="O31" s="6">
        <f>$J$3+[8]FormattedData!H72*$J$4+$M$4*$J$5+[8]FormattedData!H72^2*$J$6+$M$5*$J$7</f>
        <v>37.780924046529265</v>
      </c>
      <c r="P31" s="6">
        <f>$J$3+[8]FormattedData!I72*$J$4+$M$4*$J$5+[8]FormattedData!I72^2*$J$6+$M$5*$J$7</f>
        <v>35.801092090144785</v>
      </c>
      <c r="Q31" s="6">
        <f>$J$3+[8]FormattedData!J72*$J$4+$M$4*$J$5+[8]FormattedData!J72^2*$J$6+$M$5*$J$7</f>
        <v>31.399181511588797</v>
      </c>
      <c r="R31" s="6">
        <f>$J$3+[8]FormattedData!K72*$J$4+$M$4*$J$5+[8]FormattedData!K72^2*$J$6+$M$5*$J$7</f>
        <v>37.968507294574415</v>
      </c>
      <c r="S31" s="6">
        <f>$J$3+[8]FormattedData!L72*$J$4+$M$4*$J$5+[8]FormattedData!L72^2*$J$6+$M$5*$J$7</f>
        <v>31.399181511588797</v>
      </c>
      <c r="T31" s="6">
        <f>$J$3+[8]FormattedData!M72*$J$4+$M$4*$J$5+[8]FormattedData!M72^2*$J$6+$M$5*$J$7</f>
        <v>38.81053961815001</v>
      </c>
      <c r="U31" s="6">
        <f>$J$3+[8]FormattedData!N72*$J$4+$M$4*$J$5+[8]FormattedData!N72^2*$J$6+$M$5*$J$7</f>
        <v>31.495826261921728</v>
      </c>
      <c r="V31" s="6">
        <f>$J$3+[8]FormattedData!O72*$J$4+$M$4*$J$5+[8]FormattedData!O72^2*$J$6+$M$5*$J$7</f>
        <v>39.556138534082336</v>
      </c>
      <c r="W31" s="5">
        <f t="shared" si="0"/>
        <v>35.313776907775669</v>
      </c>
      <c r="X31" s="4">
        <f t="shared" si="1"/>
        <v>0.90492355704008698</v>
      </c>
      <c r="Y31" s="3">
        <f t="shared" si="2"/>
        <v>31.399181511588797</v>
      </c>
      <c r="Z31" s="2">
        <f t="shared" si="3"/>
        <v>32.36315630544911</v>
      </c>
      <c r="AA31" s="3">
        <f t="shared" si="4"/>
        <v>36.037631741425372</v>
      </c>
      <c r="AB31" s="2">
        <f t="shared" si="5"/>
        <v>37.827819858540551</v>
      </c>
      <c r="AC31" s="2">
        <f t="shared" si="6"/>
        <v>39.556138534082336</v>
      </c>
      <c r="AD31" s="2">
        <f t="shared" si="7"/>
        <v>-0.14394491863518635</v>
      </c>
      <c r="AE31" s="2">
        <f t="shared" si="8"/>
        <v>-1.8192202530614039</v>
      </c>
    </row>
    <row r="32" spans="2:31" x14ac:dyDescent="0.2">
      <c r="B32" s="1">
        <f>[8]FormattedData!A74</f>
        <v>307</v>
      </c>
      <c r="C32" s="1" t="str">
        <f>VLOOKUP($B32,[8]TrtCodes!$B$11:I117,2)</f>
        <v>NTH</v>
      </c>
      <c r="D32" s="1">
        <f>VLOOKUP($B32,[8]TrtCodes!$B$11:J117,3)</f>
        <v>9</v>
      </c>
      <c r="E32" s="1">
        <f>VLOOKUP($B32,[8]TrtCodes!$B$11:K117,4)</f>
        <v>2</v>
      </c>
      <c r="F32" s="1">
        <f>VLOOKUP($B32,[8]TrtCodes!$B$11:L117,5)</f>
        <v>2</v>
      </c>
      <c r="G32" s="1">
        <f>VLOOKUP($B32,[8]TrtCodes!$B$11:M117,6)</f>
        <v>2</v>
      </c>
      <c r="H32" s="1">
        <f>VLOOKUP($B32,[8]TrtCodes!$B$11:N117,7)</f>
        <v>4</v>
      </c>
      <c r="I32" s="1">
        <f>[8]FormattedData!B74</f>
        <v>1</v>
      </c>
      <c r="J32" s="4">
        <f>[8]FormattedData!C74</f>
        <v>13.584</v>
      </c>
      <c r="K32" s="6">
        <f>$J$3+[8]FormattedData!D74*$J$4+$M$4*$J$5+[8]FormattedData!D74^2*$J$6+$M$5*$J$7</f>
        <v>38.0622355157901</v>
      </c>
      <c r="L32" s="6">
        <f>$J$3+[8]FormattedData!E74*$J$4+$M$4*$J$5+[8]FormattedData!E74^2*$J$6+$M$5*$J$7</f>
        <v>33.132319931278047</v>
      </c>
      <c r="M32" s="6">
        <f>$J$3+[8]FormattedData!F74*$J$4+$M$4*$J$5+[8]FormattedData!F74^2*$J$6+$M$5*$J$7</f>
        <v>37.217159857483459</v>
      </c>
      <c r="N32" s="6">
        <f>$J$3+[8]FormattedData!G74*$J$4+$M$4*$J$5+[8]FormattedData!G74^2*$J$6+$M$5*$J$7</f>
        <v>38.436725715273504</v>
      </c>
      <c r="O32" s="6">
        <f>$J$3+[8]FormattedData!H74*$J$4+$M$4*$J$5+[8]FormattedData!H74^2*$J$6+$M$5*$J$7</f>
        <v>34.18471824484368</v>
      </c>
      <c r="P32" s="6">
        <f>$J$3+[8]FormattedData!I74*$J$4+$M$4*$J$5+[8]FormattedData!I74^2*$J$6+$M$5*$J$7</f>
        <v>39.090456225659118</v>
      </c>
      <c r="Q32" s="6">
        <f>$J$3+[8]FormattedData!J74*$J$4+$M$4*$J$5+[8]FormattedData!J74^2*$J$6+$M$5*$J$7</f>
        <v>34.375513901771612</v>
      </c>
      <c r="R32" s="6">
        <f>$J$3+[8]FormattedData!K74*$J$4+$M$4*$J$5+[8]FormattedData!K74^2*$J$6+$M$5*$J$7</f>
        <v>34.946886427645012</v>
      </c>
      <c r="S32" s="6">
        <f>$J$3+[8]FormattedData!L74*$J$4+$M$4*$J$5+[8]FormattedData!L74^2*$J$6+$M$5*$J$7</f>
        <v>30.915323731855185</v>
      </c>
      <c r="T32" s="6">
        <f>$J$3+[8]FormattedData!M74*$J$4+$M$4*$J$5+[8]FormattedData!M74^2*$J$6+$M$5*$J$7</f>
        <v>39.463086609473557</v>
      </c>
      <c r="U32" s="6">
        <f>$J$3+[8]FormattedData!N74*$J$4+$M$4*$J$5+[8]FormattedData!N74^2*$J$6+$M$5*$J$7</f>
        <v>33.036393746089942</v>
      </c>
      <c r="V32" s="6">
        <f>$J$3+[8]FormattedData!O74*$J$4+$M$4*$J$5+[8]FormattedData!O74^2*$J$6+$M$5*$J$7</f>
        <v>37.217159857483459</v>
      </c>
      <c r="W32" s="5">
        <f t="shared" si="0"/>
        <v>35.839831647053892</v>
      </c>
      <c r="X32" s="4">
        <f t="shared" si="1"/>
        <v>0.79911494788040061</v>
      </c>
      <c r="Y32" s="3">
        <f t="shared" si="2"/>
        <v>30.915323731855185</v>
      </c>
      <c r="Z32" s="2">
        <f t="shared" si="3"/>
        <v>33.921618666452275</v>
      </c>
      <c r="AA32" s="3">
        <f t="shared" si="4"/>
        <v>36.082023142564239</v>
      </c>
      <c r="AB32" s="2">
        <f t="shared" si="5"/>
        <v>38.155858065660951</v>
      </c>
      <c r="AC32" s="2">
        <f t="shared" si="6"/>
        <v>39.463086609473557</v>
      </c>
      <c r="AD32" s="2">
        <f t="shared" si="7"/>
        <v>-0.2780148130017881</v>
      </c>
      <c r="AE32" s="2">
        <f t="shared" si="8"/>
        <v>-1.1421771989759866</v>
      </c>
    </row>
    <row r="33" spans="2:31" x14ac:dyDescent="0.2">
      <c r="B33" s="1">
        <f>[8]FormattedData!A76</f>
        <v>308</v>
      </c>
      <c r="C33" s="1" t="str">
        <f>VLOOKUP($B33,[8]TrtCodes!$B$11:I119,2)</f>
        <v>FDH</v>
      </c>
      <c r="D33" s="1">
        <f>VLOOKUP($B33,[8]TrtCodes!$B$11:J119,3)</f>
        <v>5</v>
      </c>
      <c r="E33" s="1">
        <f>VLOOKUP($B33,[8]TrtCodes!$B$11:K119,4)</f>
        <v>1</v>
      </c>
      <c r="F33" s="1">
        <f>VLOOKUP($B33,[8]TrtCodes!$B$11:L119,5)</f>
        <v>3</v>
      </c>
      <c r="G33" s="1">
        <f>VLOOKUP($B33,[8]TrtCodes!$B$11:M119,6)</f>
        <v>2</v>
      </c>
      <c r="H33" s="1">
        <f>VLOOKUP($B33,[8]TrtCodes!$B$11:N119,7)</f>
        <v>4</v>
      </c>
      <c r="I33" s="1">
        <f>[8]FormattedData!B76</f>
        <v>1</v>
      </c>
      <c r="J33" s="4">
        <f>[8]FormattedData!C76</f>
        <v>13.6</v>
      </c>
      <c r="K33" s="6">
        <f>$J$3+[8]FormattedData!D76*$J$4+$M$4*$J$5+[8]FormattedData!D76^2*$J$6+$M$5*$J$7</f>
        <v>33.324045496040455</v>
      </c>
      <c r="L33" s="6">
        <f>$J$3+[8]FormattedData!E76*$J$4+$M$4*$J$5+[8]FormattedData!E76^2*$J$6+$M$5*$J$7</f>
        <v>34.566140484547802</v>
      </c>
      <c r="M33" s="6">
        <f>$J$3+[8]FormattedData!F76*$J$4+$M$4*$J$5+[8]FormattedData!F76^2*$J$6+$M$5*$J$7</f>
        <v>30.527476674385536</v>
      </c>
      <c r="N33" s="6">
        <f>$J$3+[8]FormattedData!G76*$J$4+$M$4*$J$5+[8]FormattedData!G76^2*$J$6+$M$5*$J$7</f>
        <v>35.232002065319655</v>
      </c>
      <c r="O33" s="6">
        <f>$J$3+[8]FormattedData!H76*$J$4+$M$4*$J$5+[8]FormattedData!H76^2*$J$6+$M$5*$J$7</f>
        <v>30.527476674385536</v>
      </c>
      <c r="P33" s="6">
        <f>$J$3+[8]FormattedData!I76*$J$4+$M$4*$J$5+[8]FormattedData!I76^2*$J$6+$M$5*$J$7</f>
        <v>38.81053961815001</v>
      </c>
      <c r="Q33" s="6">
        <f>$J$3+[8]FormattedData!J76*$J$4+$M$4*$J$5+[8]FormattedData!J76^2*$J$6+$M$5*$J$7</f>
        <v>31.108993649362425</v>
      </c>
      <c r="R33" s="6">
        <f>$J$3+[8]FormattedData!K76*$J$4+$M$4*$J$5+[8]FormattedData!K76^2*$J$6+$M$5*$J$7</f>
        <v>37.311226227002585</v>
      </c>
      <c r="S33" s="6">
        <f>$J$3+[8]FormattedData!L76*$J$4+$M$4*$J$5+[8]FormattedData!L76^2*$J$6+$M$5*$J$7</f>
        <v>31.30249449271794</v>
      </c>
      <c r="T33" s="6">
        <f>$J$3+[8]FormattedData!M76*$J$4+$M$4*$J$5+[8]FormattedData!M76^2*$J$6+$M$5*$J$7</f>
        <v>37.499232160427049</v>
      </c>
      <c r="U33" s="6">
        <f>$J$3+[8]FormattedData!N76*$J$4+$M$4*$J$5+[8]FormattedData!N76^2*$J$6+$M$5*$J$7</f>
        <v>30.430409238673299</v>
      </c>
      <c r="V33" s="6">
        <f>$J$3+[8]FormattedData!O76*$J$4+$M$4*$J$5+[8]FormattedData!O76^2*$J$6+$M$5*$J$7</f>
        <v>34.089257013572826</v>
      </c>
      <c r="W33" s="5">
        <f t="shared" si="0"/>
        <v>33.72744114954876</v>
      </c>
      <c r="X33" s="4">
        <f t="shared" si="1"/>
        <v>0.87149805783434586</v>
      </c>
      <c r="Y33" s="3">
        <f t="shared" si="2"/>
        <v>30.430409238673299</v>
      </c>
      <c r="Z33" s="2">
        <f t="shared" si="3"/>
        <v>30.963614405618202</v>
      </c>
      <c r="AA33" s="3">
        <f t="shared" si="4"/>
        <v>33.706651254806644</v>
      </c>
      <c r="AB33" s="2">
        <f t="shared" si="5"/>
        <v>35.751808105740388</v>
      </c>
      <c r="AC33" s="2">
        <f t="shared" si="6"/>
        <v>38.81053961815001</v>
      </c>
      <c r="AD33" s="2">
        <f t="shared" si="7"/>
        <v>0.40208757866723155</v>
      </c>
      <c r="AE33" s="2">
        <f t="shared" si="8"/>
        <v>-1.2825989375214921</v>
      </c>
    </row>
    <row r="34" spans="2:31" x14ac:dyDescent="0.2">
      <c r="B34" s="1">
        <f>[8]FormattedData!A92</f>
        <v>401</v>
      </c>
      <c r="C34" s="1" t="str">
        <f>VLOOKUP($B34,[8]TrtCodes!$B$11:I129,2)</f>
        <v>NSH</v>
      </c>
      <c r="D34" s="1">
        <f>VLOOKUP($B34,[8]TrtCodes!$B$11:J129,3)</f>
        <v>7</v>
      </c>
      <c r="E34" s="1">
        <f>VLOOKUP($B34,[8]TrtCodes!$B$11:K129,4)</f>
        <v>2</v>
      </c>
      <c r="F34" s="1">
        <f>VLOOKUP($B34,[8]TrtCodes!$B$11:L129,5)</f>
        <v>1</v>
      </c>
      <c r="G34" s="1">
        <f>VLOOKUP($B34,[8]TrtCodes!$B$11:M129,6)</f>
        <v>2</v>
      </c>
      <c r="H34" s="1">
        <f>VLOOKUP($B34,[8]TrtCodes!$B$11:N129,7)</f>
        <v>3</v>
      </c>
      <c r="I34" s="1">
        <f>[8]FormattedData!B92</f>
        <v>1</v>
      </c>
      <c r="J34" s="4">
        <f>[8]FormattedData!C92</f>
        <v>13.744</v>
      </c>
      <c r="K34" s="6">
        <f>$J$3+[8]FormattedData!D92*$J$4+$M$4*$J$5+[8]FormattedData!D92^2*$J$6+$M$5*$J$7</f>
        <v>55.274902518412475</v>
      </c>
      <c r="L34" s="6">
        <f>$J$3+[8]FormattedData!E92*$J$4+$M$4*$J$5+[8]FormattedData!E92^2*$J$6+$M$5*$J$7</f>
        <v>47.042556517422767</v>
      </c>
      <c r="M34" s="6">
        <f>$J$3+[8]FormattedData!F92*$J$4+$M$4*$J$5+[8]FormattedData!F92^2*$J$6+$M$5*$J$7</f>
        <v>44.518173684128811</v>
      </c>
      <c r="N34" s="6">
        <f>$J$3+[8]FormattedData!G92*$J$4+$M$4*$J$5+[8]FormattedData!G92^2*$J$6+$M$5*$J$7</f>
        <v>55.189289856479576</v>
      </c>
      <c r="O34" s="6">
        <f>$J$3+[8]FormattedData!H92*$J$4+$M$4*$J$5+[8]FormattedData!H92^2*$J$6+$M$5*$J$7</f>
        <v>51.730123178060005</v>
      </c>
      <c r="P34" s="6">
        <f>$J$3+[8]FormattedData!I92*$J$4+$M$4*$J$5+[8]FormattedData!I92^2*$J$6+$M$5*$J$7</f>
        <v>49.002752476291604</v>
      </c>
      <c r="Q34" s="6">
        <f>$J$3+[8]FormattedData!J92*$J$4+$M$4*$J$5+[8]FormattedData!J92^2*$J$6+$M$5*$J$7</f>
        <v>45.15237612999023</v>
      </c>
      <c r="R34" s="6">
        <f>$J$3+[8]FormattedData!K92*$J$4+$M$4*$J$5+[8]FormattedData!K92^2*$J$6+$M$5*$J$7</f>
        <v>55.360472911807442</v>
      </c>
      <c r="S34" s="6">
        <f>$J$3+[8]FormattedData!L92*$J$4+$M$4*$J$5+[8]FormattedData!L92^2*$J$6+$M$5*$J$7</f>
        <v>50.327520201699024</v>
      </c>
      <c r="T34" s="6">
        <f>$J$3+[8]FormattedData!M92*$J$4+$M$4*$J$5+[8]FormattedData!M92^2*$J$6+$M$5*$J$7</f>
        <v>55.274902518412475</v>
      </c>
      <c r="U34" s="6">
        <f>$J$3+[8]FormattedData!N92*$J$4+$M$4*$J$5+[8]FormattedData!N92^2*$J$6+$M$5*$J$7</f>
        <v>41.22384525705418</v>
      </c>
      <c r="V34" s="6">
        <f>$J$3+[8]FormattedData!O92*$J$4+$M$4*$J$5+[8]FormattedData!O92^2*$J$6+$M$5*$J$7</f>
        <v>45.874642812984575</v>
      </c>
      <c r="W34" s="5">
        <f t="shared" si="0"/>
        <v>49.664296505228599</v>
      </c>
      <c r="X34" s="4">
        <f t="shared" si="1"/>
        <v>1.4312294497095264</v>
      </c>
      <c r="Y34" s="3">
        <f t="shared" si="2"/>
        <v>41.22384525705418</v>
      </c>
      <c r="Z34" s="2">
        <f t="shared" si="3"/>
        <v>45.694076142235986</v>
      </c>
      <c r="AA34" s="3">
        <f t="shared" si="4"/>
        <v>49.66513633899531</v>
      </c>
      <c r="AB34" s="2">
        <f t="shared" si="5"/>
        <v>55.210693021962797</v>
      </c>
      <c r="AC34" s="2">
        <f t="shared" si="6"/>
        <v>55.360472911807442</v>
      </c>
      <c r="AD34" s="2">
        <f t="shared" si="7"/>
        <v>-0.16682059164132035</v>
      </c>
      <c r="AE34" s="2">
        <f t="shared" si="8"/>
        <v>-1.3134099251173015</v>
      </c>
    </row>
    <row r="35" spans="2:31" x14ac:dyDescent="0.2">
      <c r="B35" s="1">
        <f>[8]FormattedData!A90</f>
        <v>402</v>
      </c>
      <c r="C35" s="1" t="str">
        <f>VLOOKUP($B35,[8]TrtCodes!$B$11:I130,2)</f>
        <v>NTH</v>
      </c>
      <c r="D35" s="1">
        <f>VLOOKUP($B35,[8]TrtCodes!$B$11:J130,3)</f>
        <v>9</v>
      </c>
      <c r="E35" s="1">
        <f>VLOOKUP($B35,[8]TrtCodes!$B$11:K130,4)</f>
        <v>2</v>
      </c>
      <c r="F35" s="1">
        <f>VLOOKUP($B35,[8]TrtCodes!$B$11:L130,5)</f>
        <v>2</v>
      </c>
      <c r="G35" s="1">
        <f>VLOOKUP($B35,[8]TrtCodes!$B$11:M130,6)</f>
        <v>2</v>
      </c>
      <c r="H35" s="1">
        <f>VLOOKUP($B35,[8]TrtCodes!$B$11:N130,7)</f>
        <v>3</v>
      </c>
      <c r="I35" s="1">
        <f>[8]FormattedData!B90</f>
        <v>1</v>
      </c>
      <c r="J35" s="4">
        <f>[8]FormattedData!C90</f>
        <v>13.727</v>
      </c>
      <c r="K35" s="6">
        <f>$J$3+[8]FormattedData!D90*$J$4+$M$4*$J$5+[8]FormattedData!D90^2*$J$6+$M$5*$J$7</f>
        <v>56.469041588990322</v>
      </c>
      <c r="L35" s="6">
        <f>$J$3+[8]FormattedData!E90*$J$4+$M$4*$J$5+[8]FormattedData!E90^2*$J$6+$M$5*$J$7</f>
        <v>51.904687716422359</v>
      </c>
      <c r="M35" s="6">
        <f>$J$3+[8]FormattedData!F90*$J$4+$M$4*$J$5+[8]FormattedData!F90^2*$J$6+$M$5*$J$7</f>
        <v>48.825398214425789</v>
      </c>
      <c r="N35" s="6">
        <f>$J$3+[8]FormattedData!G90*$J$4+$M$4*$J$5+[8]FormattedData!G90^2*$J$6+$M$5*$J$7</f>
        <v>53.121905408710603</v>
      </c>
      <c r="O35" s="6">
        <f>$J$3+[8]FormattedData!H90*$J$4+$M$4*$J$5+[8]FormattedData!H90^2*$J$6+$M$5*$J$7</f>
        <v>45.513847619790852</v>
      </c>
      <c r="P35" s="6">
        <f>$J$3+[8]FormattedData!I90*$J$4+$M$4*$J$5+[8]FormattedData!I90^2*$J$6+$M$5*$J$7</f>
        <v>51.730123178060005</v>
      </c>
      <c r="Q35" s="6">
        <f>$J$3+[8]FormattedData!J90*$J$4+$M$4*$J$5+[8]FormattedData!J90^2*$J$6+$M$5*$J$7</f>
        <v>37.874736804820799</v>
      </c>
      <c r="R35" s="6">
        <f>$J$3+[8]FormattedData!K90*$J$4+$M$4*$J$5+[8]FormattedData!K90^2*$J$6+$M$5*$J$7</f>
        <v>50.591332496256356</v>
      </c>
      <c r="S35" s="6">
        <f>$J$3+[8]FormattedData!L90*$J$4+$M$4*$J$5+[8]FormattedData!L90^2*$J$6+$M$5*$J$7</f>
        <v>42.694754190711883</v>
      </c>
      <c r="T35" s="6">
        <f>$J$3+[8]FormattedData!M90*$J$4+$M$4*$J$5+[8]FormattedData!M90^2*$J$6+$M$5*$J$7</f>
        <v>48.736657680685987</v>
      </c>
      <c r="U35" s="6">
        <f>$J$3+[8]FormattedData!N90*$J$4+$M$4*$J$5+[8]FormattedData!N90^2*$J$6+$M$5*$J$7</f>
        <v>44.790228343582712</v>
      </c>
      <c r="V35" s="6">
        <f>$J$3+[8]FormattedData!O90*$J$4+$M$4*$J$5+[8]FormattedData!O90^2*$J$6+$M$5*$J$7</f>
        <v>40.484333010583946</v>
      </c>
      <c r="W35" s="5">
        <f t="shared" si="0"/>
        <v>47.728087187753466</v>
      </c>
      <c r="X35" s="4">
        <f t="shared" si="1"/>
        <v>1.5997303829982046</v>
      </c>
      <c r="Y35" s="3">
        <f t="shared" si="2"/>
        <v>37.874736804820799</v>
      </c>
      <c r="Z35" s="2">
        <f t="shared" si="3"/>
        <v>44.266359805365006</v>
      </c>
      <c r="AA35" s="3">
        <f t="shared" si="4"/>
        <v>48.781027947555884</v>
      </c>
      <c r="AB35" s="2">
        <f t="shared" si="5"/>
        <v>51.773764312650592</v>
      </c>
      <c r="AC35" s="2">
        <f t="shared" si="6"/>
        <v>56.469041588990322</v>
      </c>
      <c r="AD35" s="2">
        <f t="shared" si="7"/>
        <v>-0.32879913199028982</v>
      </c>
      <c r="AE35" s="2">
        <f t="shared" si="8"/>
        <v>-0.65245151802780699</v>
      </c>
    </row>
    <row r="36" spans="2:31" x14ac:dyDescent="0.2">
      <c r="B36" s="1">
        <f>[8]FormattedData!A88</f>
        <v>403</v>
      </c>
      <c r="C36" s="1" t="str">
        <f>VLOOKUP($B36,[8]TrtCodes!$B$11:I131,2)</f>
        <v>FDL</v>
      </c>
      <c r="D36" s="1">
        <f>VLOOKUP($B36,[8]TrtCodes!$B$11:J131,3)</f>
        <v>6</v>
      </c>
      <c r="E36" s="1">
        <f>VLOOKUP($B36,[8]TrtCodes!$B$11:K131,4)</f>
        <v>1</v>
      </c>
      <c r="F36" s="1">
        <f>VLOOKUP($B36,[8]TrtCodes!$B$11:L131,5)</f>
        <v>3</v>
      </c>
      <c r="G36" s="1">
        <f>VLOOKUP($B36,[8]TrtCodes!$B$11:M131,6)</f>
        <v>1</v>
      </c>
      <c r="H36" s="1">
        <f>VLOOKUP($B36,[8]TrtCodes!$B$11:N131,7)</f>
        <v>3</v>
      </c>
      <c r="I36" s="1">
        <f>[8]FormattedData!B88</f>
        <v>1</v>
      </c>
      <c r="J36" s="4">
        <f>[8]FormattedData!C88</f>
        <v>13.71</v>
      </c>
      <c r="K36" s="6">
        <f>$J$3+[8]FormattedData!D88*$J$4+$M$4*$J$5+[8]FormattedData!D88^2*$J$6+$M$5*$J$7</f>
        <v>37.593171724332379</v>
      </c>
      <c r="L36" s="6">
        <f>$J$3+[8]FormattedData!E88*$J$4+$M$4*$J$5+[8]FormattedData!E88^2*$J$6+$M$5*$J$7</f>
        <v>30.915323731855185</v>
      </c>
      <c r="M36" s="6">
        <f>$J$3+[8]FormattedData!F88*$J$4+$M$4*$J$5+[8]FormattedData!F88^2*$J$6+$M$5*$J$7</f>
        <v>28.382229056454165</v>
      </c>
      <c r="N36" s="6">
        <f>$J$3+[8]FormattedData!G88*$J$4+$M$4*$J$5+[8]FormattedData!G88^2*$J$6+$M$5*$J$7</f>
        <v>35.895792487732876</v>
      </c>
      <c r="O36" s="6">
        <f>$J$3+[8]FormattedData!H88*$J$4+$M$4*$J$5+[8]FormattedData!H88^2*$J$6+$M$5*$J$7</f>
        <v>27.989986071039681</v>
      </c>
      <c r="P36" s="6">
        <f>$J$3+[8]FormattedData!I88*$J$4+$M$4*$J$5+[8]FormattedData!I88^2*$J$6+$M$5*$J$7</f>
        <v>34.089257013572826</v>
      </c>
      <c r="Q36" s="6">
        <f>$J$3+[8]FormattedData!J88*$J$4+$M$4*$J$5+[8]FormattedData!J88^2*$J$6+$M$5*$J$7</f>
        <v>28.284231712907438</v>
      </c>
      <c r="R36" s="6">
        <f>$J$3+[8]FormattedData!K88*$J$4+$M$4*$J$5+[8]FormattedData!K88^2*$J$6+$M$5*$J$7</f>
        <v>33.802619708532674</v>
      </c>
      <c r="S36" s="6">
        <f>$J$3+[8]FormattedData!L88*$J$4+$M$4*$J$5+[8]FormattedData!L88^2*$J$6+$M$5*$J$7</f>
        <v>32.171155995190148</v>
      </c>
      <c r="T36" s="6">
        <f>$J$3+[8]FormattedData!M88*$J$4+$M$4*$J$5+[8]FormattedData!M88^2*$J$6+$M$5*$J$7</f>
        <v>37.028900312831404</v>
      </c>
      <c r="U36" s="6">
        <f>$J$3+[8]FormattedData!N88*$J$4+$M$4*$J$5+[8]FormattedData!N88^2*$J$6+$M$5*$J$7</f>
        <v>29.262303064167789</v>
      </c>
      <c r="V36" s="6">
        <f>$J$3+[8]FormattedData!O88*$J$4+$M$4*$J$5+[8]FormattedData!O88^2*$J$6+$M$5*$J$7</f>
        <v>32.074807124622744</v>
      </c>
      <c r="W36" s="5">
        <f t="shared" si="0"/>
        <v>32.290814833603271</v>
      </c>
      <c r="X36" s="4">
        <f t="shared" si="1"/>
        <v>0.99251734870831343</v>
      </c>
      <c r="Y36" s="3">
        <f t="shared" si="2"/>
        <v>27.989986071039681</v>
      </c>
      <c r="Z36" s="2">
        <f t="shared" si="3"/>
        <v>29.042284562239381</v>
      </c>
      <c r="AA36" s="3">
        <f t="shared" si="4"/>
        <v>32.122981559906449</v>
      </c>
      <c r="AB36" s="2">
        <f t="shared" si="5"/>
        <v>34.540890882112841</v>
      </c>
      <c r="AC36" s="2">
        <f t="shared" si="6"/>
        <v>37.593171724332379</v>
      </c>
      <c r="AD36" s="2">
        <f t="shared" si="7"/>
        <v>0.20826819502757768</v>
      </c>
      <c r="AE36" s="2">
        <f t="shared" si="8"/>
        <v>-1.3270459260054346</v>
      </c>
    </row>
    <row r="37" spans="2:31" x14ac:dyDescent="0.2">
      <c r="B37" s="1">
        <f>[8]FormattedData!A86</f>
        <v>404</v>
      </c>
      <c r="C37" s="1" t="str">
        <f>VLOOKUP($B37,[8]TrtCodes!$B$11:I129,2)</f>
        <v>FTH</v>
      </c>
      <c r="D37" s="1">
        <f>VLOOKUP($B37,[8]TrtCodes!$B$11:J129,3)</f>
        <v>3</v>
      </c>
      <c r="E37" s="1">
        <f>VLOOKUP($B37,[8]TrtCodes!$B$11:K129,4)</f>
        <v>1</v>
      </c>
      <c r="F37" s="1">
        <f>VLOOKUP($B37,[8]TrtCodes!$B$11:L129,5)</f>
        <v>2</v>
      </c>
      <c r="G37" s="1">
        <f>VLOOKUP($B37,[8]TrtCodes!$B$11:M129,6)</f>
        <v>2</v>
      </c>
      <c r="H37" s="1">
        <f>VLOOKUP($B37,[8]TrtCodes!$B$11:N129,7)</f>
        <v>3</v>
      </c>
      <c r="I37" s="1">
        <f>[8]FormattedData!B86</f>
        <v>1</v>
      </c>
      <c r="J37" s="4">
        <f>[8]FormattedData!C86</f>
        <v>13.693</v>
      </c>
      <c r="K37" s="6">
        <f>$J$3+[8]FormattedData!D86*$J$4+$M$4*$J$5+[8]FormattedData!D86^2*$J$6+$M$5*$J$7</f>
        <v>38.0622355157901</v>
      </c>
      <c r="L37" s="6">
        <f>$J$3+[8]FormattedData!E86*$J$4+$M$4*$J$5+[8]FormattedData!E86^2*$J$6+$M$5*$J$7</f>
        <v>35.041967242074492</v>
      </c>
      <c r="M37" s="6">
        <f>$J$3+[8]FormattedData!F86*$J$4+$M$4*$J$5+[8]FormattedData!F86^2*$J$6+$M$5*$J$7</f>
        <v>29.944438032043131</v>
      </c>
      <c r="N37" s="6">
        <f>$J$3+[8]FormattedData!G86*$J$4+$M$4*$J$5+[8]FormattedData!G86^2*$J$6+$M$5*$J$7</f>
        <v>37.593171724332379</v>
      </c>
      <c r="O37" s="6">
        <f>$J$3+[8]FormattedData!H86*$J$4+$M$4*$J$5+[8]FormattedData!H86^2*$J$6+$M$5*$J$7</f>
        <v>31.108993649362425</v>
      </c>
      <c r="P37" s="6">
        <f>$J$3+[8]FormattedData!I86*$J$4+$M$4*$J$5+[8]FormattedData!I86^2*$J$6+$M$5*$J$7</f>
        <v>37.499232160427049</v>
      </c>
      <c r="Q37" s="6">
        <f>$J$3+[8]FormattedData!J86*$J$4+$M$4*$J$5+[8]FormattedData!J86^2*$J$6+$M$5*$J$7</f>
        <v>31.399181511588797</v>
      </c>
      <c r="R37" s="6">
        <f>$J$3+[8]FormattedData!K86*$J$4+$M$4*$J$5+[8]FormattedData!K86^2*$J$6+$M$5*$J$7</f>
        <v>36.840471694027627</v>
      </c>
      <c r="S37" s="6">
        <f>$J$3+[8]FormattedData!L86*$J$4+$M$4*$J$5+[8]FormattedData!L86^2*$J$6+$M$5*$J$7</f>
        <v>30.236147561635022</v>
      </c>
      <c r="T37" s="6">
        <f>$J$3+[8]FormattedData!M86*$J$4+$M$4*$J$5+[8]FormattedData!M86^2*$J$6+$M$5*$J$7</f>
        <v>37.780924046529265</v>
      </c>
      <c r="U37" s="6">
        <f>$J$3+[8]FormattedData!N86*$J$4+$M$4*$J$5+[8]FormattedData!N86^2*$J$6+$M$5*$J$7</f>
        <v>29.847116985103309</v>
      </c>
      <c r="V37" s="6">
        <f>$J$3+[8]FormattedData!O86*$J$4+$M$4*$J$5+[8]FormattedData!O86^2*$J$6+$M$5*$J$7</f>
        <v>37.499232160427049</v>
      </c>
      <c r="W37" s="5">
        <f t="shared" si="0"/>
        <v>34.40442602361172</v>
      </c>
      <c r="X37" s="4">
        <f t="shared" si="1"/>
        <v>1.0238493493085932</v>
      </c>
      <c r="Y37" s="3">
        <f t="shared" si="2"/>
        <v>29.847116985103309</v>
      </c>
      <c r="Z37" s="2">
        <f t="shared" si="3"/>
        <v>30.890782127430576</v>
      </c>
      <c r="AA37" s="3">
        <f t="shared" si="4"/>
        <v>35.941219468051059</v>
      </c>
      <c r="AB37" s="2">
        <f t="shared" si="5"/>
        <v>37.522717051403383</v>
      </c>
      <c r="AC37" s="2">
        <f t="shared" si="6"/>
        <v>38.0622355157901</v>
      </c>
      <c r="AD37" s="2">
        <f t="shared" si="7"/>
        <v>-0.30530902772570567</v>
      </c>
      <c r="AE37" s="2">
        <f t="shared" si="8"/>
        <v>-2.0818804053322975</v>
      </c>
    </row>
    <row r="38" spans="2:31" x14ac:dyDescent="0.2">
      <c r="B38" s="1">
        <f>[8]FormattedData!A84</f>
        <v>405</v>
      </c>
      <c r="C38" s="1" t="str">
        <f>VLOOKUP($B38,[8]TrtCodes!$B$11:I127,2)</f>
        <v>FDL</v>
      </c>
      <c r="D38" s="1">
        <f>VLOOKUP($B38,[8]TrtCodes!$B$11:J127,3)</f>
        <v>6</v>
      </c>
      <c r="E38" s="1">
        <f>VLOOKUP($B38,[8]TrtCodes!$B$11:K127,4)</f>
        <v>1</v>
      </c>
      <c r="F38" s="1">
        <f>VLOOKUP($B38,[8]TrtCodes!$B$11:L127,5)</f>
        <v>3</v>
      </c>
      <c r="G38" s="1">
        <f>VLOOKUP($B38,[8]TrtCodes!$B$11:M127,6)</f>
        <v>1</v>
      </c>
      <c r="H38" s="1">
        <f>VLOOKUP($B38,[8]TrtCodes!$B$11:N127,7)</f>
        <v>4</v>
      </c>
      <c r="I38" s="1">
        <f>[8]FormattedData!B84</f>
        <v>1</v>
      </c>
      <c r="J38" s="4">
        <f>[8]FormattedData!C84</f>
        <v>13.676</v>
      </c>
      <c r="K38" s="6">
        <f>$J$3+[8]FormattedData!D84*$J$4+$M$4*$J$5+[8]FormattedData!D84^2*$J$6+$M$5*$J$7</f>
        <v>37.405250327983779</v>
      </c>
      <c r="L38" s="6">
        <f>$J$3+[8]FormattedData!E84*$J$4+$M$4*$J$5+[8]FormattedData!E84^2*$J$6+$M$5*$J$7</f>
        <v>29.554900233056234</v>
      </c>
      <c r="M38" s="6">
        <f>$J$3+[8]FormattedData!F84*$J$4+$M$4*$J$5+[8]FormattedData!F84^2*$J$6+$M$5*$J$7</f>
        <v>33.993753513764034</v>
      </c>
      <c r="N38" s="6">
        <f>$J$3+[8]FormattedData!G84*$J$4+$M$4*$J$5+[8]FormattedData!G84^2*$J$6+$M$5*$J$7</f>
        <v>35.232002065319655</v>
      </c>
      <c r="O38" s="6">
        <f>$J$3+[8]FormattedData!H84*$J$4+$M$4*$J$5+[8]FormattedData!H84^2*$J$6+$M$5*$J$7</f>
        <v>30.041716810445024</v>
      </c>
      <c r="P38" s="6">
        <f>$J$3+[8]FormattedData!I84*$J$4+$M$4*$J$5+[8]FormattedData!I84^2*$J$6+$M$5*$J$7</f>
        <v>37.780924046529265</v>
      </c>
      <c r="Q38" s="6">
        <f>$J$3+[8]FormattedData!J84*$J$4+$M$4*$J$5+[8]FormattedData!J84^2*$J$6+$M$5*$J$7</f>
        <v>28.871581746118824</v>
      </c>
      <c r="R38" s="6">
        <f>$J$3+[8]FormattedData!K84*$J$4+$M$4*$J$5+[8]FormattedData!K84^2*$J$6+$M$5*$J$7</f>
        <v>35.990450616783043</v>
      </c>
      <c r="S38" s="6">
        <f>$J$3+[8]FormattedData!L84*$J$4+$M$4*$J$5+[8]FormattedData!L84^2*$J$6+$M$5*$J$7</f>
        <v>28.969325478437963</v>
      </c>
      <c r="T38" s="6">
        <f>$J$3+[8]FormattedData!M84*$J$4+$M$4*$J$5+[8]FormattedData!M84^2*$J$6+$M$5*$J$7</f>
        <v>37.311226227002585</v>
      </c>
      <c r="U38" s="6">
        <f>$J$3+[8]FormattedData!N84*$J$4+$M$4*$J$5+[8]FormattedData!N84^2*$J$6+$M$5*$J$7</f>
        <v>28.675967475866752</v>
      </c>
      <c r="V38" s="6">
        <f>$J$3+[8]FormattedData!O84*$J$4+$M$4*$J$5+[8]FormattedData!O84^2*$J$6+$M$5*$J$7</f>
        <v>34.946886427645012</v>
      </c>
      <c r="W38" s="5">
        <f t="shared" si="0"/>
        <v>33.231165414079349</v>
      </c>
      <c r="X38" s="4">
        <f t="shared" si="1"/>
        <v>1.0713875589268484</v>
      </c>
      <c r="Y38" s="3">
        <f t="shared" si="2"/>
        <v>28.675967475866752</v>
      </c>
      <c r="Z38" s="2">
        <f t="shared" si="3"/>
        <v>29.408506544401668</v>
      </c>
      <c r="AA38" s="3">
        <f t="shared" si="4"/>
        <v>34.470319970704523</v>
      </c>
      <c r="AB38" s="2">
        <f t="shared" si="5"/>
        <v>36.320644519337932</v>
      </c>
      <c r="AC38" s="2">
        <f t="shared" si="6"/>
        <v>37.780924046529265</v>
      </c>
      <c r="AD38" s="2">
        <f t="shared" si="7"/>
        <v>-0.14420345183773758</v>
      </c>
      <c r="AE38" s="2">
        <f t="shared" si="8"/>
        <v>-1.9570776023351137</v>
      </c>
    </row>
    <row r="39" spans="2:31" x14ac:dyDescent="0.2">
      <c r="B39" s="1">
        <f>[8]FormattedData!A82</f>
        <v>406</v>
      </c>
      <c r="C39" s="1" t="str">
        <f>VLOOKUP($B39,[8]TrtCodes!$B$11:I125,2)</f>
        <v>FTH</v>
      </c>
      <c r="D39" s="1">
        <f>VLOOKUP($B39,[8]TrtCodes!$B$11:J125,3)</f>
        <v>3</v>
      </c>
      <c r="E39" s="1">
        <f>VLOOKUP($B39,[8]TrtCodes!$B$11:K125,4)</f>
        <v>1</v>
      </c>
      <c r="F39" s="1">
        <f>VLOOKUP($B39,[8]TrtCodes!$B$11:L125,5)</f>
        <v>2</v>
      </c>
      <c r="G39" s="1">
        <f>VLOOKUP($B39,[8]TrtCodes!$B$11:M125,6)</f>
        <v>2</v>
      </c>
      <c r="H39" s="1">
        <f>VLOOKUP($B39,[8]TrtCodes!$B$11:N125,7)</f>
        <v>4</v>
      </c>
      <c r="I39" s="1">
        <f>[8]FormattedData!B82</f>
        <v>1</v>
      </c>
      <c r="J39" s="4">
        <f>[8]FormattedData!C82</f>
        <v>13.657999999999999</v>
      </c>
      <c r="K39" s="6">
        <f>$J$3+[8]FormattedData!D82*$J$4+$M$4*$J$5+[8]FormattedData!D82^2*$J$6+$M$5*$J$7</f>
        <v>38.436725715273504</v>
      </c>
      <c r="L39" s="6">
        <f>$J$3+[8]FormattedData!E82*$J$4+$M$4*$J$5+[8]FormattedData!E82^2*$J$6+$M$5*$J$7</f>
        <v>37.123051219426394</v>
      </c>
      <c r="M39" s="6">
        <f>$J$3+[8]FormattedData!F82*$J$4+$M$4*$J$5+[8]FormattedData!F82^2*$J$6+$M$5*$J$7</f>
        <v>36.934707137698481</v>
      </c>
      <c r="N39" s="6">
        <f>$J$3+[8]FormattedData!G82*$J$4+$M$4*$J$5+[8]FormattedData!G82^2*$J$6+$M$5*$J$7</f>
        <v>33.419844875614757</v>
      </c>
      <c r="O39" s="6">
        <f>$J$3+[8]FormattedData!H82*$J$4+$M$4*$J$5+[8]FormattedData!H82^2*$J$6+$M$5*$J$7</f>
        <v>33.228203847928214</v>
      </c>
      <c r="P39" s="6">
        <f>$J$3+[8]FormattedData!I82*$J$4+$M$4*$J$5+[8]FormattedData!I82^2*$J$6+$M$5*$J$7</f>
        <v>33.228203847928214</v>
      </c>
      <c r="Q39" s="6">
        <f>$J$3+[8]FormattedData!J82*$J$4+$M$4*$J$5+[8]FormattedData!J82^2*$J$6+$M$5*$J$7</f>
        <v>31.978415985517405</v>
      </c>
      <c r="R39" s="6">
        <f>$J$3+[8]FormattedData!K82*$J$4+$M$4*$J$5+[8]FormattedData!K82^2*$J$6+$M$5*$J$7</f>
        <v>36.840471694027627</v>
      </c>
      <c r="S39" s="6">
        <f>$J$3+[8]FormattedData!L82*$J$4+$M$4*$J$5+[8]FormattedData!L82^2*$J$6+$M$5*$J$7</f>
        <v>33.036393746089942</v>
      </c>
      <c r="T39" s="6">
        <f>$J$3+[8]FormattedData!M82*$J$4+$M$4*$J$5+[8]FormattedData!M82^2*$J$6+$M$5*$J$7</f>
        <v>34.470848327428662</v>
      </c>
      <c r="U39" s="6">
        <f>$J$3+[8]FormattedData!N82*$J$4+$M$4*$J$5+[8]FormattedData!N82^2*$J$6+$M$5*$J$7</f>
        <v>30.721484740196225</v>
      </c>
      <c r="V39" s="6">
        <f>$J$3+[8]FormattedData!O82*$J$4+$M$4*$J$5+[8]FormattedData!O82^2*$J$6+$M$5*$J$7</f>
        <v>37.028900312831404</v>
      </c>
      <c r="W39" s="5">
        <f t="shared" si="0"/>
        <v>34.703937620830068</v>
      </c>
      <c r="X39" s="4">
        <f t="shared" si="1"/>
        <v>0.71170030295914699</v>
      </c>
      <c r="Y39" s="3">
        <f t="shared" si="2"/>
        <v>30.721484740196225</v>
      </c>
      <c r="Z39" s="2">
        <f t="shared" si="3"/>
        <v>33.180251322468649</v>
      </c>
      <c r="AA39" s="3">
        <f t="shared" si="4"/>
        <v>33.945346601521706</v>
      </c>
      <c r="AB39" s="2">
        <f t="shared" si="5"/>
        <v>36.95825543148171</v>
      </c>
      <c r="AC39" s="2">
        <f t="shared" si="6"/>
        <v>38.436725715273504</v>
      </c>
      <c r="AD39" s="2">
        <f t="shared" si="7"/>
        <v>2.1747436992545909E-2</v>
      </c>
      <c r="AE39" s="2">
        <f t="shared" si="8"/>
        <v>-1.3467990388849005</v>
      </c>
    </row>
    <row r="40" spans="2:31" x14ac:dyDescent="0.2">
      <c r="B40" s="1">
        <f>[8]FormattedData!A80</f>
        <v>407</v>
      </c>
      <c r="C40" s="1" t="str">
        <f>VLOOKUP($B40,[8]TrtCodes!$B$11:I123,2)</f>
        <v>NSH</v>
      </c>
      <c r="D40" s="1">
        <f>VLOOKUP($B40,[8]TrtCodes!$B$11:J123,3)</f>
        <v>7</v>
      </c>
      <c r="E40" s="1">
        <f>VLOOKUP($B40,[8]TrtCodes!$B$11:K123,4)</f>
        <v>2</v>
      </c>
      <c r="F40" s="1">
        <f>VLOOKUP($B40,[8]TrtCodes!$B$11:L123,5)</f>
        <v>1</v>
      </c>
      <c r="G40" s="1">
        <f>VLOOKUP($B40,[8]TrtCodes!$B$11:M123,6)</f>
        <v>2</v>
      </c>
      <c r="H40" s="1">
        <f>VLOOKUP($B40,[8]TrtCodes!$B$11:N123,7)</f>
        <v>4</v>
      </c>
      <c r="I40" s="1">
        <f>[8]FormattedData!B80</f>
        <v>1</v>
      </c>
      <c r="J40" s="4">
        <f>[8]FormattedData!C80</f>
        <v>13.64</v>
      </c>
      <c r="K40" s="6">
        <f>$J$3+[8]FormattedData!D80*$J$4+$M$4*$J$5+[8]FormattedData!D80^2*$J$6+$M$5*$J$7</f>
        <v>56.723850684968333</v>
      </c>
      <c r="L40" s="6">
        <f>$J$3+[8]FormattedData!E80*$J$4+$M$4*$J$5+[8]FormattedData!E80^2*$J$6+$M$5*$J$7</f>
        <v>47.579184305116783</v>
      </c>
      <c r="M40" s="6">
        <f>$J$3+[8]FormattedData!F80*$J$4+$M$4*$J$5+[8]FormattedData!F80^2*$J$6+$M$5*$J$7</f>
        <v>51.380486878880099</v>
      </c>
      <c r="N40" s="6">
        <f>$J$3+[8]FormattedData!G80*$J$4+$M$4*$J$5+[8]FormattedData!G80^2*$J$6+$M$5*$J$7</f>
        <v>52.253309570691911</v>
      </c>
      <c r="O40" s="6">
        <f>$J$3+[8]FormattedData!H80*$J$4+$M$4*$J$5+[8]FormattedData!H80^2*$J$6+$M$5*$J$7</f>
        <v>48.647874878408253</v>
      </c>
      <c r="P40" s="6">
        <f>$J$3+[8]FormattedData!I80*$J$4+$M$4*$J$5+[8]FormattedData!I80^2*$J$6+$M$5*$J$7</f>
        <v>51.817426581510141</v>
      </c>
      <c r="Q40" s="6">
        <f>$J$3+[8]FormattedData!J80*$J$4+$M$4*$J$5+[8]FormattedData!J80^2*$J$6+$M$5*$J$7</f>
        <v>41.868699374474261</v>
      </c>
      <c r="R40" s="6">
        <f>$J$3+[8]FormattedData!K80*$J$4+$M$4*$J$5+[8]FormattedData!K80^2*$J$6+$M$5*$J$7</f>
        <v>52.861770476953282</v>
      </c>
      <c r="S40" s="6">
        <f>$J$3+[8]FormattedData!L80*$J$4+$M$4*$J$5+[8]FormattedData!L80^2*$J$6+$M$5*$J$7</f>
        <v>38.81053961815001</v>
      </c>
      <c r="T40" s="6">
        <f>$J$3+[8]FormattedData!M80*$J$4+$M$4*$J$5+[8]FormattedData!M80^2*$J$6+$M$5*$J$7</f>
        <v>54.84641652336866</v>
      </c>
      <c r="U40" s="6">
        <f>$J$3+[8]FormattedData!N80*$J$4+$M$4*$J$5+[8]FormattedData!N80^2*$J$6+$M$5*$J$7</f>
        <v>48.292320983917989</v>
      </c>
      <c r="V40" s="6">
        <f>$J$3+[8]FormattedData!O80*$J$4+$M$4*$J$5+[8]FormattedData!O80^2*$J$6+$M$5*$J$7</f>
        <v>46.144795388231586</v>
      </c>
      <c r="W40" s="5">
        <f t="shared" si="0"/>
        <v>49.268889605389269</v>
      </c>
      <c r="X40" s="4">
        <f t="shared" si="1"/>
        <v>1.5013857352201543</v>
      </c>
      <c r="Y40" s="3">
        <f t="shared" si="2"/>
        <v>38.81053961815001</v>
      </c>
      <c r="Z40" s="2">
        <f t="shared" si="3"/>
        <v>47.22058707589548</v>
      </c>
      <c r="AA40" s="3">
        <f t="shared" si="4"/>
        <v>50.014180878644176</v>
      </c>
      <c r="AB40" s="2">
        <f t="shared" si="5"/>
        <v>52.405424797257254</v>
      </c>
      <c r="AC40" s="2">
        <f t="shared" si="6"/>
        <v>56.723850684968333</v>
      </c>
      <c r="AD40" s="2">
        <f t="shared" si="7"/>
        <v>-0.69701827893238977</v>
      </c>
      <c r="AE40" s="2">
        <f t="shared" si="8"/>
        <v>0.15132407317685992</v>
      </c>
    </row>
    <row r="41" spans="2:31" x14ac:dyDescent="0.2">
      <c r="B41" s="1">
        <f>[8]FormattedData!A78</f>
        <v>408</v>
      </c>
      <c r="C41" s="1" t="str">
        <f>VLOOKUP($B41,[8]TrtCodes!$B$11:I121,2)</f>
        <v>NTL</v>
      </c>
      <c r="D41" s="1">
        <f>VLOOKUP($B41,[8]TrtCodes!$B$11:J121,3)</f>
        <v>10</v>
      </c>
      <c r="E41" s="1">
        <f>VLOOKUP($B41,[8]TrtCodes!$B$11:K121,4)</f>
        <v>2</v>
      </c>
      <c r="F41" s="1">
        <f>VLOOKUP($B41,[8]TrtCodes!$B$11:L121,5)</f>
        <v>2</v>
      </c>
      <c r="G41" s="1">
        <f>VLOOKUP($B41,[8]TrtCodes!$B$11:M121,6)</f>
        <v>1</v>
      </c>
      <c r="H41" s="1">
        <f>VLOOKUP($B41,[8]TrtCodes!$B$11:N121,7)</f>
        <v>4</v>
      </c>
      <c r="I41" s="1">
        <f>[8]FormattedData!B78</f>
        <v>1</v>
      </c>
      <c r="J41" s="4">
        <f>[8]FormattedData!C78</f>
        <v>13.622</v>
      </c>
      <c r="K41" s="6">
        <f>$J$3+[8]FormattedData!D78*$J$4+$M$4*$J$5+[8]FormattedData!D78^2*$J$6+$M$5*$J$7</f>
        <v>55.787690850713325</v>
      </c>
      <c r="L41" s="6">
        <f>$J$3+[8]FormattedData!E78*$J$4+$M$4*$J$5+[8]FormattedData!E78^2*$J$6+$M$5*$J$7</f>
        <v>53.727407517316799</v>
      </c>
      <c r="M41" s="6">
        <f>$J$3+[8]FormattedData!F78*$J$4+$M$4*$J$5+[8]FormattedData!F78^2*$J$6+$M$5*$J$7</f>
        <v>44.790228343582712</v>
      </c>
      <c r="N41" s="6">
        <f>$J$3+[8]FormattedData!G78*$J$4+$M$4*$J$5+[8]FormattedData!G78^2*$J$6+$M$5*$J$7</f>
        <v>57.063004386741298</v>
      </c>
      <c r="O41" s="6">
        <f>$J$3+[8]FormattedData!H78*$J$4+$M$4*$J$5+[8]FormattedData!H78^2*$J$6+$M$5*$J$7</f>
        <v>44.063903880946995</v>
      </c>
      <c r="P41" s="6">
        <f>$J$3+[8]FormattedData!I78*$J$4+$M$4*$J$5+[8]FormattedData!I78^2*$J$6+$M$5*$J$7</f>
        <v>56.893512072930676</v>
      </c>
      <c r="Q41" s="6">
        <f>$J$3+[8]FormattedData!J78*$J$4+$M$4*$J$5+[8]FormattedData!J78^2*$J$6+$M$5*$J$7</f>
        <v>40.484333010583946</v>
      </c>
      <c r="R41" s="6">
        <f>$J$3+[8]FormattedData!K78*$J$4+$M$4*$J$5+[8]FormattedData!K78^2*$J$6+$M$5*$J$7</f>
        <v>59.501643229195317</v>
      </c>
      <c r="S41" s="6">
        <f>$J$3+[8]FormattedData!L78*$J$4+$M$4*$J$5+[8]FormattedData!L78^2*$J$6+$M$5*$J$7</f>
        <v>38.249565152607659</v>
      </c>
      <c r="T41" s="6">
        <f>$J$3+[8]FormattedData!M78*$J$4+$M$4*$J$5+[8]FormattedData!M78^2*$J$6+$M$5*$J$7</f>
        <v>56.893512072930676</v>
      </c>
      <c r="U41" s="6">
        <f>$J$3+[8]FormattedData!N78*$J$4+$M$4*$J$5+[8]FormattedData!N78^2*$J$6+$M$5*$J$7</f>
        <v>34.946886427645012</v>
      </c>
      <c r="V41" s="6">
        <f>$J$3+[8]FormattedData!O78*$J$4+$M$4*$J$5+[8]FormattedData!O78^2*$J$6+$M$5*$J$7</f>
        <v>48.559049807592579</v>
      </c>
      <c r="W41" s="5">
        <f t="shared" si="0"/>
        <v>49.246728062732252</v>
      </c>
      <c r="X41" s="4">
        <f t="shared" si="1"/>
        <v>2.4548380526559503</v>
      </c>
      <c r="Y41" s="3">
        <f t="shared" si="2"/>
        <v>34.946886427645012</v>
      </c>
      <c r="Z41" s="2">
        <f t="shared" si="3"/>
        <v>43.169011163356231</v>
      </c>
      <c r="AA41" s="3">
        <f t="shared" si="4"/>
        <v>51.143228662454689</v>
      </c>
      <c r="AB41" s="2">
        <f t="shared" si="5"/>
        <v>56.893512072930676</v>
      </c>
      <c r="AC41" s="2">
        <f t="shared" si="6"/>
        <v>59.501643229195317</v>
      </c>
      <c r="AD41" s="2">
        <f t="shared" si="7"/>
        <v>-0.41419972203944017</v>
      </c>
      <c r="AE41" s="2">
        <f t="shared" si="8"/>
        <v>-1.4023076644709804</v>
      </c>
    </row>
    <row r="42" spans="2:31" x14ac:dyDescent="0.2">
      <c r="B42" s="17">
        <f>[8]FormattedData!A60</f>
        <v>901</v>
      </c>
      <c r="C42" s="17" t="str">
        <f>VLOOKUP($B42,[8]TrtCodes!$B$11:I103,2)</f>
        <v>WS</v>
      </c>
      <c r="D42" s="17">
        <f>VLOOKUP($B42,[8]TrtCodes!$B$11:J103,3)</f>
        <v>32</v>
      </c>
      <c r="E42" s="17">
        <f>VLOOKUP($B42,[8]TrtCodes!$B$11:K103,4)</f>
        <v>9</v>
      </c>
      <c r="F42" s="17">
        <f>VLOOKUP($B42,[8]TrtCodes!$B$11:L103,5)</f>
        <v>0</v>
      </c>
      <c r="G42" s="17">
        <f>VLOOKUP($B42,[8]TrtCodes!$B$11:M103,6)</f>
        <v>1</v>
      </c>
      <c r="H42" s="17">
        <f>VLOOKUP($B42,[8]TrtCodes!$B$11:N103,7)</f>
        <v>1</v>
      </c>
      <c r="I42" s="17">
        <f>[8]FormattedData!B60</f>
        <v>1</v>
      </c>
      <c r="J42" s="15">
        <f>[8]FormattedData!C60</f>
        <v>13.468999999999999</v>
      </c>
      <c r="K42" s="14">
        <f>$J$3+[8]FormattedData!D60*$J$4+$M$4*$J$5+[8]FormattedData!D60^2*$J$6+$M$5*$J$7</f>
        <v>37.311226227002585</v>
      </c>
      <c r="L42" s="14">
        <f>$J$3+[8]FormattedData!E60*$J$4+$M$4*$J$5+[8]FormattedData!E60^2*$J$6+$M$5*$J$7</f>
        <v>37.217159857483459</v>
      </c>
      <c r="M42" s="14">
        <f>$J$3+[8]FormattedData!F60*$J$4+$M$4*$J$5+[8]FormattedData!F60^2*$J$6+$M$5*$J$7</f>
        <v>36.934707137698481</v>
      </c>
      <c r="N42" s="14">
        <f>$J$3+[8]FormattedData!G60*$J$4+$M$4*$J$5+[8]FormattedData!G60^2*$J$6+$M$5*$J$7</f>
        <v>36.463107233964898</v>
      </c>
      <c r="O42" s="14">
        <f>$J$3+[8]FormattedData!H60*$J$4+$M$4*$J$5+[8]FormattedData!H60^2*$J$6+$M$5*$J$7</f>
        <v>36.085066477295278</v>
      </c>
      <c r="P42" s="14">
        <f>$J$3+[8]FormattedData!I60*$J$4+$M$4*$J$5+[8]FormattedData!I60^2*$J$6+$M$5*$J$7</f>
        <v>35.516737286152903</v>
      </c>
      <c r="Q42" s="14">
        <f>$J$3+[8]FormattedData!J60*$J$4+$M$4*$J$5+[8]FormattedData!J60^2*$J$6+$M$5*$J$7</f>
        <v>35.421867814413083</v>
      </c>
      <c r="R42" s="14">
        <f>$J$3+[8]FormattedData!K60*$J$4+$M$4*$J$5+[8]FormattedData!K60^2*$J$6+$M$5*$J$7</f>
        <v>36.55751175178748</v>
      </c>
      <c r="S42" s="14">
        <f>$J$3+[8]FormattedData!L60*$J$4+$M$4*$J$5+[8]FormattedData!L60^2*$J$6+$M$5*$J$7</f>
        <v>36.368660447604384</v>
      </c>
      <c r="T42" s="14">
        <f>$J$3+[8]FormattedData!M60*$J$4+$M$4*$J$5+[8]FormattedData!M60^2*$J$6+$M$5*$J$7</f>
        <v>36.368660447604384</v>
      </c>
      <c r="U42" s="14">
        <f>$J$3+[8]FormattedData!N60*$J$4+$M$4*$J$5+[8]FormattedData!N60^2*$J$6+$M$5*$J$7</f>
        <v>36.368660447604384</v>
      </c>
      <c r="V42" s="14">
        <f>$J$3+[8]FormattedData!O60*$J$4+$M$4*$J$5+[8]FormattedData!O60^2*$J$6+$M$5*$J$7</f>
        <v>36.463107233964898</v>
      </c>
      <c r="W42" s="16">
        <f t="shared" ref="W42:W73" si="9">AVERAGE(K42:V42)</f>
        <v>36.423039363548014</v>
      </c>
      <c r="X42" s="15">
        <f t="shared" ref="X42:X73" si="10">STDEV(K42:V42)/SQRT(COUNT(K42:V42))</f>
        <v>0.16627436398623363</v>
      </c>
      <c r="Y42" s="14">
        <f t="shared" ref="Y42:Y73" si="11">MIN(K42:V42)</f>
        <v>35.421867814413083</v>
      </c>
      <c r="Z42" s="13">
        <f t="shared" ref="Z42:Z73" si="12">QUARTILE(K42:V42,1)</f>
        <v>36.297761955027106</v>
      </c>
      <c r="AA42" s="14">
        <f t="shared" ref="AA42:AA73" si="13">MEDIAN(K42:V42)</f>
        <v>36.415883840784645</v>
      </c>
      <c r="AB42" s="13">
        <f t="shared" ref="AB42:AB73" si="14">QUARTILE(K42:V42,3)</f>
        <v>36.651810598265229</v>
      </c>
      <c r="AC42" s="13">
        <f t="shared" ref="AC42:AC73" si="15">MAX(K42:V42)</f>
        <v>37.311226227002585</v>
      </c>
      <c r="AD42" s="13">
        <f t="shared" ref="AD42:AD73" si="16">SKEW(K42:V42)</f>
        <v>-0.25634994376450199</v>
      </c>
      <c r="AE42" s="13">
        <f t="shared" ref="AE42:AE73" si="17">KURT(K42:V42)</f>
        <v>-5.1546483639844709E-2</v>
      </c>
    </row>
    <row r="43" spans="2:31" x14ac:dyDescent="0.2">
      <c r="B43" s="1">
        <f>[8]FormattedData!A58</f>
        <v>902</v>
      </c>
      <c r="C43" s="1" t="str">
        <f>VLOOKUP($B43,[8]TrtCodes!$B$11:I101,2)</f>
        <v>Late</v>
      </c>
      <c r="D43" s="1">
        <f>VLOOKUP($B43,[8]TrtCodes!$B$11:J101,3)</f>
        <v>22</v>
      </c>
      <c r="E43" s="1">
        <f>VLOOKUP($B43,[8]TrtCodes!$B$11:K101,4)</f>
        <v>4</v>
      </c>
      <c r="F43" s="1">
        <f>VLOOKUP($B43,[8]TrtCodes!$B$11:L101,5)</f>
        <v>2</v>
      </c>
      <c r="G43" s="1">
        <f>VLOOKUP($B43,[8]TrtCodes!$B$11:M101,6)</f>
        <v>2</v>
      </c>
      <c r="H43" s="1">
        <f>VLOOKUP($B43,[8]TrtCodes!$B$11:N101,7)</f>
        <v>1</v>
      </c>
      <c r="I43" s="1">
        <f>[8]FormattedData!B58</f>
        <v>1</v>
      </c>
      <c r="J43" s="4">
        <f>[8]FormattedData!C58</f>
        <v>13.451000000000001</v>
      </c>
      <c r="K43" s="6">
        <f>$J$3+[8]FormattedData!D58*$J$4+$M$4*$J$5+[8]FormattedData!D58^2*$J$6+$M$5*$J$7</f>
        <v>35.326956074135339</v>
      </c>
      <c r="L43" s="6">
        <f>$J$3+[8]FormattedData!E58*$J$4+$M$4*$J$5+[8]FormattedData!E58^2*$J$6+$M$5*$J$7</f>
        <v>35.326956074135339</v>
      </c>
      <c r="M43" s="6">
        <f>$J$3+[8]FormattedData!F58*$J$4+$M$4*$J$5+[8]FormattedData!F58^2*$J$6+$M$5*$J$7</f>
        <v>31.978415985517405</v>
      </c>
      <c r="N43" s="6">
        <f>$J$3+[8]FormattedData!G58*$J$4+$M$4*$J$5+[8]FormattedData!G58^2*$J$6+$M$5*$J$7</f>
        <v>34.18471824484368</v>
      </c>
      <c r="O43" s="6">
        <f>$J$3+[8]FormattedData!H58*$J$4+$M$4*$J$5+[8]FormattedData!H58^2*$J$6+$M$5*$J$7</f>
        <v>34.18471824484368</v>
      </c>
      <c r="P43" s="6">
        <f>$J$3+[8]FormattedData!I58*$J$4+$M$4*$J$5+[8]FormattedData!I58^2*$J$6+$M$5*$J$7</f>
        <v>34.756597993172271</v>
      </c>
      <c r="Q43" s="6">
        <f>$J$3+[8]FormattedData!J58*$J$4+$M$4*$J$5+[8]FormattedData!J58^2*$J$6+$M$5*$J$7</f>
        <v>34.946886427645012</v>
      </c>
      <c r="R43" s="6">
        <f>$J$3+[8]FormattedData!K58*$J$4+$M$4*$J$5+[8]FormattedData!K58^2*$J$6+$M$5*$J$7</f>
        <v>37.593171724332379</v>
      </c>
      <c r="S43" s="6">
        <f>$J$3+[8]FormattedData!L58*$J$4+$M$4*$J$5+[8]FormattedData!L58^2*$J$6+$M$5*$J$7</f>
        <v>31.012179824877766</v>
      </c>
      <c r="T43" s="6">
        <f>$J$3+[8]FormattedData!M58*$J$4+$M$4*$J$5+[8]FormattedData!M58^2*$J$6+$M$5*$J$7</f>
        <v>37.311226227002585</v>
      </c>
      <c r="U43" s="6">
        <f>$J$3+[8]FormattedData!N58*$J$4+$M$4*$J$5+[8]FormattedData!N58^2*$J$6+$M$5*$J$7</f>
        <v>31.495826261921728</v>
      </c>
      <c r="V43" s="6">
        <f>$J$3+[8]FormattedData!O58*$J$4+$M$4*$J$5+[8]FormattedData!O58^2*$J$6+$M$5*$J$7</f>
        <v>34.661390373128995</v>
      </c>
      <c r="W43" s="5">
        <f t="shared" si="9"/>
        <v>34.398253621296341</v>
      </c>
      <c r="X43" s="4">
        <f t="shared" si="10"/>
        <v>0.59513766170746807</v>
      </c>
      <c r="Y43" s="3">
        <f t="shared" si="11"/>
        <v>31.012179824877766</v>
      </c>
      <c r="Z43" s="2">
        <f t="shared" si="12"/>
        <v>33.633142680012114</v>
      </c>
      <c r="AA43" s="3">
        <f t="shared" si="13"/>
        <v>34.708994183150637</v>
      </c>
      <c r="AB43" s="2">
        <f t="shared" si="14"/>
        <v>35.326956074135339</v>
      </c>
      <c r="AC43" s="2">
        <f t="shared" si="15"/>
        <v>37.593171724332379</v>
      </c>
      <c r="AD43" s="2">
        <f t="shared" si="16"/>
        <v>-0.22784681076336927</v>
      </c>
      <c r="AE43" s="2">
        <f t="shared" si="17"/>
        <v>-0.4176342494027443</v>
      </c>
    </row>
    <row r="44" spans="2:31" x14ac:dyDescent="0.2">
      <c r="B44" s="17">
        <f>[8]FormattedData!A56</f>
        <v>903</v>
      </c>
      <c r="C44" s="17" t="str">
        <f>VLOOKUP($B44,[8]TrtCodes!$B$11:I99,2)</f>
        <v>DS</v>
      </c>
      <c r="D44" s="17">
        <f>VLOOKUP($B44,[8]TrtCodes!$B$11:J99,3)</f>
        <v>31</v>
      </c>
      <c r="E44" s="17">
        <f>VLOOKUP($B44,[8]TrtCodes!$B$11:K99,4)</f>
        <v>8</v>
      </c>
      <c r="F44" s="17">
        <f>VLOOKUP($B44,[8]TrtCodes!$B$11:L99,5)</f>
        <v>0</v>
      </c>
      <c r="G44" s="17">
        <f>VLOOKUP($B44,[8]TrtCodes!$B$11:M99,6)</f>
        <v>1</v>
      </c>
      <c r="H44" s="17">
        <f>VLOOKUP($B44,[8]TrtCodes!$B$11:N99,7)</f>
        <v>1</v>
      </c>
      <c r="I44" s="17">
        <f>[8]FormattedData!B56</f>
        <v>1</v>
      </c>
      <c r="J44" s="15">
        <f>[8]FormattedData!C56</f>
        <v>13.443</v>
      </c>
      <c r="K44" s="14">
        <f>$J$3+[8]FormattedData!D56*$J$4+$M$4*$J$5+[8]FormattedData!D56^2*$J$6+$M$5*$J$7</f>
        <v>61.327932459898314</v>
      </c>
      <c r="L44" s="14">
        <f>$J$3+[8]FormattedData!E56*$J$4+$M$4*$J$5+[8]FormattedData!E56^2*$J$6+$M$5*$J$7</f>
        <v>61.162751536956655</v>
      </c>
      <c r="M44" s="14">
        <f>$J$3+[8]FormattedData!F56*$J$4+$M$4*$J$5+[8]FormattedData!F56^2*$J$6+$M$5*$J$7</f>
        <v>61.492944308688244</v>
      </c>
      <c r="N44" s="14">
        <f>$J$3+[8]FormattedData!G56*$J$4+$M$4*$J$5+[8]FormattedData!G56^2*$J$6+$M$5*$J$7</f>
        <v>61.162751536956655</v>
      </c>
      <c r="O44" s="14">
        <f>$J$3+[8]FormattedData!H56*$J$4+$M$4*$J$5+[8]FormattedData!H56^2*$J$6+$M$5*$J$7</f>
        <v>61.327932459898314</v>
      </c>
      <c r="P44" s="14">
        <f>$J$3+[8]FormattedData!I56*$J$4+$M$4*$J$5+[8]FormattedData!I56^2*$J$6+$M$5*$J$7</f>
        <v>61.245363132696454</v>
      </c>
      <c r="Q44" s="14">
        <f>$J$3+[8]FormattedData!J56*$J$4+$M$4*$J$5+[8]FormattedData!J56^2*$J$6+$M$5*$J$7</f>
        <v>60.99740153986329</v>
      </c>
      <c r="R44" s="14">
        <f>$J$3+[8]FormattedData!K56*$J$4+$M$4*$J$5+[8]FormattedData!K56^2*$J$6+$M$5*$J$7</f>
        <v>61.245363132696454</v>
      </c>
      <c r="S44" s="14">
        <f>$J$3+[8]FormattedData!L56*$J$4+$M$4*$J$5+[8]FormattedData!L56^2*$J$6+$M$5*$J$7</f>
        <v>61.245363132696454</v>
      </c>
      <c r="T44" s="14">
        <f>$J$3+[8]FormattedData!M56*$J$4+$M$4*$J$5+[8]FormattedData!M56^2*$J$6+$M$5*$J$7</f>
        <v>61.822460783812915</v>
      </c>
      <c r="U44" s="14">
        <f>$J$3+[8]FormattedData!N56*$J$4+$M$4*$J$5+[8]FormattedData!N56^2*$J$6+$M$5*$J$7</f>
        <v>61.245363132696454</v>
      </c>
      <c r="V44" s="14">
        <f>$J$3+[8]FormattedData!O56*$J$4+$M$4*$J$5+[8]FormattedData!O56^2*$J$6+$M$5*$J$7</f>
        <v>61.410459518562241</v>
      </c>
      <c r="W44" s="16">
        <f t="shared" si="9"/>
        <v>61.307173889618525</v>
      </c>
      <c r="X44" s="15">
        <f t="shared" si="10"/>
        <v>5.9321786125963165E-2</v>
      </c>
      <c r="Y44" s="14">
        <f t="shared" si="11"/>
        <v>60.99740153986329</v>
      </c>
      <c r="Z44" s="13">
        <f t="shared" si="12"/>
        <v>61.224710233761506</v>
      </c>
      <c r="AA44" s="14">
        <f t="shared" si="13"/>
        <v>61.245363132696454</v>
      </c>
      <c r="AB44" s="13">
        <f t="shared" si="14"/>
        <v>61.348564224564299</v>
      </c>
      <c r="AC44" s="13">
        <f t="shared" si="15"/>
        <v>61.822460783812915</v>
      </c>
      <c r="AD44" s="13">
        <f t="shared" si="16"/>
        <v>1.3533488013760329</v>
      </c>
      <c r="AE44" s="13">
        <f t="shared" si="17"/>
        <v>3.2073834892075253</v>
      </c>
    </row>
    <row r="45" spans="2:31" x14ac:dyDescent="0.2">
      <c r="B45" s="1">
        <f>[8]FormattedData!A54</f>
        <v>904</v>
      </c>
      <c r="C45" s="1" t="str">
        <f>VLOOKUP($B45,[8]TrtCodes!$B$11:I97,2)</f>
        <v>Early</v>
      </c>
      <c r="D45" s="1">
        <f>VLOOKUP($B45,[8]TrtCodes!$B$11:J97,3)</f>
        <v>21</v>
      </c>
      <c r="E45" s="1">
        <f>VLOOKUP($B45,[8]TrtCodes!$B$11:K97,4)</f>
        <v>3</v>
      </c>
      <c r="F45" s="1">
        <f>VLOOKUP($B45,[8]TrtCodes!$B$11:L97,5)</f>
        <v>2</v>
      </c>
      <c r="G45" s="1">
        <f>VLOOKUP($B45,[8]TrtCodes!$B$11:M97,6)</f>
        <v>2</v>
      </c>
      <c r="H45" s="1">
        <f>VLOOKUP($B45,[8]TrtCodes!$B$11:N97,7)</f>
        <v>1</v>
      </c>
      <c r="I45" s="1">
        <f>[8]FormattedData!B54</f>
        <v>1</v>
      </c>
      <c r="J45" s="4">
        <f>[8]FormattedData!C54</f>
        <v>13.425000000000001</v>
      </c>
      <c r="K45" s="6">
        <f>$J$3+[8]FormattedData!D54*$J$4+$M$4*$J$5+[8]FormattedData!D54^2*$J$6+$M$5*$J$7</f>
        <v>58.412856227764223</v>
      </c>
      <c r="L45" s="6">
        <f>$J$3+[8]FormattedData!E54*$J$4+$M$4*$J$5+[8]FormattedData!E54^2*$J$6+$M$5*$J$7</f>
        <v>52.340359362914469</v>
      </c>
      <c r="M45" s="6">
        <f>$J$3+[8]FormattedData!F54*$J$4+$M$4*$J$5+[8]FormattedData!F54^2*$J$6+$M$5*$J$7</f>
        <v>38.34316656820954</v>
      </c>
      <c r="N45" s="6">
        <f>$J$3+[8]FormattedData!G54*$J$4+$M$4*$J$5+[8]FormattedData!G54^2*$J$6+$M$5*$J$7</f>
        <v>43.334874231883674</v>
      </c>
      <c r="O45" s="6">
        <f>$J$3+[8]FormattedData!H54*$J$4+$M$4*$J$5+[8]FormattedData!H54^2*$J$6+$M$5*$J$7</f>
        <v>42.144431396728187</v>
      </c>
      <c r="P45" s="6">
        <f>$J$3+[8]FormattedData!I54*$J$4+$M$4*$J$5+[8]FormattedData!I54^2*$J$6+$M$5*$J$7</f>
        <v>50.766996016604935</v>
      </c>
      <c r="Q45" s="6">
        <f>$J$3+[8]FormattedData!J54*$J$4+$M$4*$J$5+[8]FormattedData!J54^2*$J$6+$M$5*$J$7</f>
        <v>49.002752476291604</v>
      </c>
      <c r="R45" s="6">
        <f>$J$3+[8]FormattedData!K54*$J$4+$M$4*$J$5+[8]FormattedData!K54^2*$J$6+$M$5*$J$7</f>
        <v>53.727407517316799</v>
      </c>
      <c r="S45" s="6">
        <f>$J$3+[8]FormattedData!L54*$J$4+$M$4*$J$5+[8]FormattedData!L54^2*$J$6+$M$5*$J$7</f>
        <v>44.971386773862342</v>
      </c>
      <c r="T45" s="6">
        <f>$J$3+[8]FormattedData!M54*$J$4+$M$4*$J$5+[8]FormattedData!M54^2*$J$6+$M$5*$J$7</f>
        <v>53.641034021701131</v>
      </c>
      <c r="U45" s="6">
        <f>$J$3+[8]FormattedData!N54*$J$4+$M$4*$J$5+[8]FormattedData!N54^2*$J$6+$M$5*$J$7</f>
        <v>39.742115577686107</v>
      </c>
      <c r="V45" s="6">
        <f>$J$3+[8]FormattedData!O54*$J$4+$M$4*$J$5+[8]FormattedData!O54^2*$J$6+$M$5*$J$7</f>
        <v>55.360472911807442</v>
      </c>
      <c r="W45" s="5">
        <f t="shared" si="9"/>
        <v>48.482321090230869</v>
      </c>
      <c r="X45" s="4">
        <f t="shared" si="10"/>
        <v>1.9041584487303047</v>
      </c>
      <c r="Y45" s="3">
        <f t="shared" si="11"/>
        <v>38.34316656820954</v>
      </c>
      <c r="Z45" s="2">
        <f t="shared" si="12"/>
        <v>43.037263523094801</v>
      </c>
      <c r="AA45" s="3">
        <f t="shared" si="13"/>
        <v>49.88487424644827</v>
      </c>
      <c r="AB45" s="2">
        <f t="shared" si="14"/>
        <v>53.66262739560505</v>
      </c>
      <c r="AC45" s="2">
        <f t="shared" si="15"/>
        <v>58.412856227764223</v>
      </c>
      <c r="AD45" s="2">
        <f t="shared" si="16"/>
        <v>-0.18567509450354971</v>
      </c>
      <c r="AE45" s="2">
        <f t="shared" si="17"/>
        <v>-1.324098261209695</v>
      </c>
    </row>
    <row r="46" spans="2:31" x14ac:dyDescent="0.2">
      <c r="B46" s="17">
        <f>[8]FormattedData!A52</f>
        <v>905</v>
      </c>
      <c r="C46" s="17" t="str">
        <f>VLOOKUP($B46,[8]TrtCodes!$B$11:I95,2)</f>
        <v>WS</v>
      </c>
      <c r="D46" s="17">
        <f>VLOOKUP($B46,[8]TrtCodes!$B$11:J95,3)</f>
        <v>32</v>
      </c>
      <c r="E46" s="17">
        <f>VLOOKUP($B46,[8]TrtCodes!$B$11:K95,4)</f>
        <v>9</v>
      </c>
      <c r="F46" s="17">
        <f>VLOOKUP($B46,[8]TrtCodes!$B$11:L95,5)</f>
        <v>0</v>
      </c>
      <c r="G46" s="17">
        <f>VLOOKUP($B46,[8]TrtCodes!$B$11:M95,6)</f>
        <v>1</v>
      </c>
      <c r="H46" s="17">
        <f>VLOOKUP($B46,[8]TrtCodes!$B$11:N95,7)</f>
        <v>2</v>
      </c>
      <c r="I46" s="17">
        <f>[8]FormattedData!B52</f>
        <v>1</v>
      </c>
      <c r="J46" s="15">
        <f>[8]FormattedData!C52</f>
        <v>13.416</v>
      </c>
      <c r="K46" s="14">
        <f>$J$3+[8]FormattedData!D52*$J$4+$M$4*$J$5+[8]FormattedData!D52^2*$J$6+$M$5*$J$7</f>
        <v>36.746193981818848</v>
      </c>
      <c r="L46" s="14">
        <f>$J$3+[8]FormattedData!E52*$J$4+$M$4*$J$5+[8]FormattedData!E52^2*$J$6+$M$5*$J$7</f>
        <v>36.55751175178748</v>
      </c>
      <c r="M46" s="14">
        <f>$J$3+[8]FormattedData!F52*$J$4+$M$4*$J$5+[8]FormattedData!F52^2*$J$6+$M$5*$J$7</f>
        <v>36.463107233964898</v>
      </c>
      <c r="N46" s="14">
        <f>$J$3+[8]FormattedData!G52*$J$4+$M$4*$J$5+[8]FormattedData!G52^2*$J$6+$M$5*$J$7</f>
        <v>36.368660447604384</v>
      </c>
      <c r="O46" s="14">
        <f>$J$3+[8]FormattedData!H52*$J$4+$M$4*$J$5+[8]FormattedData!H52^2*$J$6+$M$5*$J$7</f>
        <v>36.746193981818848</v>
      </c>
      <c r="P46" s="14">
        <f>$J$3+[8]FormattedData!I52*$J$4+$M$4*$J$5+[8]FormattedData!I52^2*$J$6+$M$5*$J$7</f>
        <v>36.746193981818848</v>
      </c>
      <c r="Q46" s="14">
        <f>$J$3+[8]FormattedData!J52*$J$4+$M$4*$J$5+[8]FormattedData!J52^2*$J$6+$M$5*$J$7</f>
        <v>36.746193981818848</v>
      </c>
      <c r="R46" s="14">
        <f>$J$3+[8]FormattedData!K52*$J$4+$M$4*$J$5+[8]FormattedData!K52^2*$J$6+$M$5*$J$7</f>
        <v>36.934707137698481</v>
      </c>
      <c r="S46" s="14">
        <f>$J$3+[8]FormattedData!L52*$J$4+$M$4*$J$5+[8]FormattedData!L52^2*$J$6+$M$5*$J$7</f>
        <v>36.934707137698481</v>
      </c>
      <c r="T46" s="14">
        <f>$J$3+[8]FormattedData!M52*$J$4+$M$4*$J$5+[8]FormattedData!M52^2*$J$6+$M$5*$J$7</f>
        <v>36.840471694027627</v>
      </c>
      <c r="U46" s="14">
        <f>$J$3+[8]FormattedData!N52*$J$4+$M$4*$J$5+[8]FormattedData!N52^2*$J$6+$M$5*$J$7</f>
        <v>36.651874001072123</v>
      </c>
      <c r="V46" s="14">
        <f>$J$3+[8]FormattedData!O52*$J$4+$M$4*$J$5+[8]FormattedData!O52^2*$J$6+$M$5*$J$7</f>
        <v>36.55751175178748</v>
      </c>
      <c r="W46" s="16">
        <f t="shared" si="9"/>
        <v>36.691110590243035</v>
      </c>
      <c r="X46" s="15">
        <f t="shared" si="10"/>
        <v>5.1221477611051822E-2</v>
      </c>
      <c r="Y46" s="14">
        <f t="shared" si="11"/>
        <v>36.368660447604384</v>
      </c>
      <c r="Z46" s="13">
        <f t="shared" si="12"/>
        <v>36.55751175178748</v>
      </c>
      <c r="AA46" s="14">
        <f t="shared" si="13"/>
        <v>36.746193981818848</v>
      </c>
      <c r="AB46" s="13">
        <f t="shared" si="14"/>
        <v>36.769763409871047</v>
      </c>
      <c r="AC46" s="13">
        <f t="shared" si="15"/>
        <v>36.934707137698481</v>
      </c>
      <c r="AD46" s="13">
        <f t="shared" si="16"/>
        <v>-0.33780877968997763</v>
      </c>
      <c r="AE46" s="13">
        <f t="shared" si="17"/>
        <v>-0.57897921912756578</v>
      </c>
    </row>
    <row r="47" spans="2:31" x14ac:dyDescent="0.2">
      <c r="B47" s="1">
        <f>[8]FormattedData!A50</f>
        <v>906</v>
      </c>
      <c r="C47" s="1" t="str">
        <f>VLOOKUP($B47,[8]TrtCodes!$B$11:I93,2)</f>
        <v>Late</v>
      </c>
      <c r="D47" s="1">
        <f>VLOOKUP($B47,[8]TrtCodes!$B$11:J93,3)</f>
        <v>22</v>
      </c>
      <c r="E47" s="1">
        <f>VLOOKUP($B47,[8]TrtCodes!$B$11:K93,4)</f>
        <v>4</v>
      </c>
      <c r="F47" s="1">
        <f>VLOOKUP($B47,[8]TrtCodes!$B$11:L93,5)</f>
        <v>2</v>
      </c>
      <c r="G47" s="1">
        <f>VLOOKUP($B47,[8]TrtCodes!$B$11:M93,6)</f>
        <v>2</v>
      </c>
      <c r="H47" s="1">
        <f>VLOOKUP($B47,[8]TrtCodes!$B$11:N93,7)</f>
        <v>2</v>
      </c>
      <c r="I47" s="1">
        <f>[8]FormattedData!B50</f>
        <v>1</v>
      </c>
      <c r="J47" s="4">
        <f>[8]FormattedData!C50</f>
        <v>13.394</v>
      </c>
      <c r="K47" s="6">
        <f>$J$3+[8]FormattedData!D50*$J$4+$M$4*$J$5+[8]FormattedData!D50^2*$J$6+$M$5*$J$7</f>
        <v>37.217159857483459</v>
      </c>
      <c r="L47" s="6">
        <f>$J$3+[8]FormattedData!E50*$J$4+$M$4*$J$5+[8]FormattedData!E50^2*$J$6+$M$5*$J$7</f>
        <v>32.556128792080486</v>
      </c>
      <c r="M47" s="6">
        <f>$J$3+[8]FormattedData!F50*$J$4+$M$4*$J$5+[8]FormattedData!F50^2*$J$6+$M$5*$J$7</f>
        <v>33.228203847928214</v>
      </c>
      <c r="N47" s="6">
        <f>$J$3+[8]FormattedData!G50*$J$4+$M$4*$J$5+[8]FormattedData!G50^2*$J$6+$M$5*$J$7</f>
        <v>35.895792487732876</v>
      </c>
      <c r="O47" s="6">
        <f>$J$3+[8]FormattedData!H50*$J$4+$M$4*$J$5+[8]FormattedData!H50^2*$J$6+$M$5*$J$7</f>
        <v>30.721484740196225</v>
      </c>
      <c r="P47" s="6">
        <f>$J$3+[8]FormattedData!I50*$J$4+$M$4*$J$5+[8]FormattedData!I50^2*$J$6+$M$5*$J$7</f>
        <v>37.874736804820799</v>
      </c>
      <c r="Q47" s="6">
        <f>$J$3+[8]FormattedData!J50*$J$4+$M$4*$J$5+[8]FormattedData!J50^2*$J$6+$M$5*$J$7</f>
        <v>31.30249449271794</v>
      </c>
      <c r="R47" s="6">
        <f>$J$3+[8]FormattedData!K50*$J$4+$M$4*$J$5+[8]FormattedData!K50^2*$J$6+$M$5*$J$7</f>
        <v>37.405250327983779</v>
      </c>
      <c r="S47" s="6">
        <f>$J$3+[8]FormattedData!L50*$J$4+$M$4*$J$5+[8]FormattedData!L50^2*$J$6+$M$5*$J$7</f>
        <v>30.041716810445024</v>
      </c>
      <c r="T47" s="6">
        <f>$J$3+[8]FormattedData!M50*$J$4+$M$4*$J$5+[8]FormattedData!M50^2*$J$6+$M$5*$J$7</f>
        <v>36.55751175178748</v>
      </c>
      <c r="U47" s="6">
        <f>$J$3+[8]FormattedData!N50*$J$4+$M$4*$J$5+[8]FormattedData!N50^2*$J$6+$M$5*$J$7</f>
        <v>33.036393746089942</v>
      </c>
      <c r="V47" s="6">
        <f>$J$3+[8]FormattedData!O50*$J$4+$M$4*$J$5+[8]FormattedData!O50^2*$J$6+$M$5*$J$7</f>
        <v>33.419844875614757</v>
      </c>
      <c r="W47" s="5">
        <f t="shared" si="9"/>
        <v>34.104726544573424</v>
      </c>
      <c r="X47" s="4">
        <f t="shared" si="10"/>
        <v>0.80057493925776191</v>
      </c>
      <c r="Y47" s="3">
        <f t="shared" si="11"/>
        <v>30.041716810445024</v>
      </c>
      <c r="Z47" s="2">
        <f t="shared" si="12"/>
        <v>32.242720217239849</v>
      </c>
      <c r="AA47" s="3">
        <f t="shared" si="13"/>
        <v>33.324024361771485</v>
      </c>
      <c r="AB47" s="2">
        <f t="shared" si="14"/>
        <v>36.722423778211478</v>
      </c>
      <c r="AC47" s="2">
        <f t="shared" si="15"/>
        <v>37.874736804820799</v>
      </c>
      <c r="AD47" s="2">
        <f t="shared" si="16"/>
        <v>3.3038395205851688E-2</v>
      </c>
      <c r="AE47" s="2">
        <f t="shared" si="17"/>
        <v>-1.5450755264087106</v>
      </c>
    </row>
    <row r="48" spans="2:31" x14ac:dyDescent="0.2">
      <c r="B48" s="17">
        <f>[8]FormattedData!A48</f>
        <v>907</v>
      </c>
      <c r="C48" s="17" t="str">
        <f>VLOOKUP($B48,[8]TrtCodes!$B$11:I91,2)</f>
        <v>DS</v>
      </c>
      <c r="D48" s="17">
        <f>VLOOKUP($B48,[8]TrtCodes!$B$11:J91,3)</f>
        <v>31</v>
      </c>
      <c r="E48" s="17">
        <f>VLOOKUP($B48,[8]TrtCodes!$B$11:K91,4)</f>
        <v>8</v>
      </c>
      <c r="F48" s="17">
        <f>VLOOKUP($B48,[8]TrtCodes!$B$11:L91,5)</f>
        <v>0</v>
      </c>
      <c r="G48" s="17">
        <f>VLOOKUP($B48,[8]TrtCodes!$B$11:M91,6)</f>
        <v>1</v>
      </c>
      <c r="H48" s="17">
        <f>VLOOKUP($B48,[8]TrtCodes!$B$11:N91,7)</f>
        <v>2</v>
      </c>
      <c r="I48" s="17">
        <f>[8]FormattedData!B48</f>
        <v>1</v>
      </c>
      <c r="J48" s="15">
        <f>[8]FormattedData!C48</f>
        <v>13.385</v>
      </c>
      <c r="K48" s="14">
        <f>$J$3+[8]FormattedData!D48*$J$4+$M$4*$J$5+[8]FormattedData!D48^2*$J$6+$M$5*$J$7</f>
        <v>61.162751536956655</v>
      </c>
      <c r="L48" s="14">
        <f>$J$3+[8]FormattedData!E48*$J$4+$M$4*$J$5+[8]FormattedData!E48^2*$J$6+$M$5*$J$7</f>
        <v>61.327932459898314</v>
      </c>
      <c r="M48" s="14">
        <f>$J$3+[8]FormattedData!F48*$J$4+$M$4*$J$5+[8]FormattedData!F48^2*$J$6+$M$5*$J$7</f>
        <v>61.327932459898314</v>
      </c>
      <c r="N48" s="14">
        <f>$J$3+[8]FormattedData!G48*$J$4+$M$4*$J$5+[8]FormattedData!G48^2*$J$6+$M$5*$J$7</f>
        <v>61.245363132696454</v>
      </c>
      <c r="O48" s="14">
        <f>$J$3+[8]FormattedData!H48*$J$4+$M$4*$J$5+[8]FormattedData!H48^2*$J$6+$M$5*$J$7</f>
        <v>60.914663138509709</v>
      </c>
      <c r="P48" s="14">
        <f>$J$3+[8]FormattedData!I48*$J$4+$M$4*$J$5+[8]FormattedData!I48^2*$J$6+$M$5*$J$7</f>
        <v>61.080097672678953</v>
      </c>
      <c r="Q48" s="14">
        <f>$J$3+[8]FormattedData!J48*$J$4+$M$4*$J$5+[8]FormattedData!J48^2*$J$6+$M$5*$J$7</f>
        <v>60.914663138509709</v>
      </c>
      <c r="R48" s="14">
        <f>$J$3+[8]FormattedData!K48*$J$4+$M$4*$J$5+[8]FormattedData!K48^2*$J$6+$M$5*$J$7</f>
        <v>60.168115442120552</v>
      </c>
      <c r="S48" s="14">
        <f>$J$3+[8]FormattedData!L48*$J$4+$M$4*$J$5+[8]FormattedData!L48^2*$J$6+$M$5*$J$7</f>
        <v>60.666194323221376</v>
      </c>
      <c r="T48" s="14">
        <f>$J$3+[8]FormattedData!M48*$J$4+$M$4*$J$5+[8]FormattedData!M48^2*$J$6+$M$5*$J$7</f>
        <v>60.50033710367282</v>
      </c>
      <c r="U48" s="14">
        <f>$J$3+[8]FormattedData!N48*$J$4+$M$4*$J$5+[8]FormattedData!N48^2*$J$6+$M$5*$J$7</f>
        <v>61.327932459898314</v>
      </c>
      <c r="V48" s="14">
        <f>$J$3+[8]FormattedData!O48*$J$4+$M$4*$J$5+[8]FormattedData!O48^2*$J$6+$M$5*$J$7</f>
        <v>61.162751536956655</v>
      </c>
      <c r="W48" s="16">
        <f t="shared" si="9"/>
        <v>60.983227867084814</v>
      </c>
      <c r="X48" s="15">
        <f t="shared" si="10"/>
        <v>0.10683193358365285</v>
      </c>
      <c r="Y48" s="14">
        <f t="shared" si="11"/>
        <v>60.168115442120552</v>
      </c>
      <c r="Z48" s="13">
        <f t="shared" si="12"/>
        <v>60.852545934687626</v>
      </c>
      <c r="AA48" s="14">
        <f t="shared" si="13"/>
        <v>61.121424604817804</v>
      </c>
      <c r="AB48" s="13">
        <f t="shared" si="14"/>
        <v>61.266005464496921</v>
      </c>
      <c r="AC48" s="13">
        <f t="shared" si="15"/>
        <v>61.327932459898314</v>
      </c>
      <c r="AD48" s="13">
        <f t="shared" si="16"/>
        <v>-1.147874256061399</v>
      </c>
      <c r="AE48" s="13">
        <f t="shared" si="17"/>
        <v>0.63082854360843044</v>
      </c>
    </row>
    <row r="49" spans="2:31" ht="13.5" thickBot="1" x14ac:dyDescent="0.25">
      <c r="B49" s="12">
        <f>[8]FormattedData!A46</f>
        <v>908</v>
      </c>
      <c r="C49" s="12" t="str">
        <f>VLOOKUP($B49,[8]TrtCodes!$B$11:I89,2)</f>
        <v>Early</v>
      </c>
      <c r="D49" s="12">
        <f>VLOOKUP($B49,[8]TrtCodes!$B$11:J89,3)</f>
        <v>21</v>
      </c>
      <c r="E49" s="12">
        <f>VLOOKUP($B49,[8]TrtCodes!$B$11:K89,4)</f>
        <v>3</v>
      </c>
      <c r="F49" s="12">
        <f>VLOOKUP($B49,[8]TrtCodes!$B$11:L89,5)</f>
        <v>2</v>
      </c>
      <c r="G49" s="12">
        <f>VLOOKUP($B49,[8]TrtCodes!$B$11:M89,6)</f>
        <v>2</v>
      </c>
      <c r="H49" s="12">
        <f>VLOOKUP($B49,[8]TrtCodes!$B$11:N89,7)</f>
        <v>2</v>
      </c>
      <c r="I49" s="12">
        <f>[8]FormattedData!B46</f>
        <v>1</v>
      </c>
      <c r="J49" s="9">
        <f>[8]FormattedData!C46</f>
        <v>13.367000000000001</v>
      </c>
      <c r="K49" s="11">
        <f>$J$3+[8]FormattedData!D46*$J$4+$M$4*$J$5+[8]FormattedData!D46^2*$J$6+$M$5*$J$7</f>
        <v>45.874642812984575</v>
      </c>
      <c r="L49" s="11">
        <f>$J$3+[8]FormattedData!E46*$J$4+$M$4*$J$5+[8]FormattedData!E46^2*$J$6+$M$5*$J$7</f>
        <v>44.608900839151374</v>
      </c>
      <c r="M49" s="11">
        <f>$J$3+[8]FormattedData!F46*$J$4+$M$4*$J$5+[8]FormattedData!F46^2*$J$6+$M$5*$J$7</f>
        <v>39.742115577686107</v>
      </c>
      <c r="N49" s="11">
        <f>$J$3+[8]FormattedData!G46*$J$4+$M$4*$J$5+[8]FormattedData!G46^2*$J$6+$M$5*$J$7</f>
        <v>48.114290425445276</v>
      </c>
      <c r="O49" s="11">
        <f>$J$3+[8]FormattedData!H46*$J$4+$M$4*$J$5+[8]FormattedData!H46^2*$J$6+$M$5*$J$7</f>
        <v>40.020764129057284</v>
      </c>
      <c r="P49" s="11">
        <f>$J$3+[8]FormattedData!I46*$J$4+$M$4*$J$5+[8]FormattedData!I46^2*$J$6+$M$5*$J$7</f>
        <v>49.002752476291604</v>
      </c>
      <c r="Q49" s="11">
        <f>$J$3+[8]FormattedData!J46*$J$4+$M$4*$J$5+[8]FormattedData!J46^2*$J$6+$M$5*$J$7</f>
        <v>36.463107233964898</v>
      </c>
      <c r="R49" s="11">
        <f>$J$3+[8]FormattedData!K46*$J$4+$M$4*$J$5+[8]FormattedData!K46^2*$J$6+$M$5*$J$7</f>
        <v>56.128704368155269</v>
      </c>
      <c r="S49" s="11">
        <f>$J$3+[8]FormattedData!L46*$J$4+$M$4*$J$5+[8]FormattedData!L46^2*$J$6+$M$5*$J$7</f>
        <v>40.206318487281742</v>
      </c>
      <c r="T49" s="11">
        <f>$J$3+[8]FormattedData!M46*$J$4+$M$4*$J$5+[8]FormattedData!M46^2*$J$6+$M$5*$J$7</f>
        <v>54.072478814400128</v>
      </c>
      <c r="U49" s="11">
        <f>$J$3+[8]FormattedData!N46*$J$4+$M$4*$J$5+[8]FormattedData!N46^2*$J$6+$M$5*$J$7</f>
        <v>45.061902586195252</v>
      </c>
      <c r="V49" s="11">
        <f>$J$3+[8]FormattedData!O46*$J$4+$M$4*$J$5+[8]FormattedData!O46^2*$J$6+$M$5*$J$7</f>
        <v>46.773671998313688</v>
      </c>
      <c r="W49" s="10">
        <f t="shared" si="9"/>
        <v>45.50580414574393</v>
      </c>
      <c r="X49" s="9">
        <f t="shared" si="10"/>
        <v>1.6993146409891078</v>
      </c>
      <c r="Y49" s="8">
        <f t="shared" si="11"/>
        <v>36.463107233964898</v>
      </c>
      <c r="Z49" s="7">
        <f t="shared" si="12"/>
        <v>40.159929897725625</v>
      </c>
      <c r="AA49" s="8">
        <f t="shared" si="13"/>
        <v>45.468272699589917</v>
      </c>
      <c r="AB49" s="7">
        <f t="shared" si="14"/>
        <v>48.336405938156858</v>
      </c>
      <c r="AC49" s="7">
        <f t="shared" si="15"/>
        <v>56.128704368155269</v>
      </c>
      <c r="AD49" s="7">
        <f t="shared" si="16"/>
        <v>0.34467284848437973</v>
      </c>
      <c r="AE49" s="7">
        <f t="shared" si="17"/>
        <v>-0.38475874044629865</v>
      </c>
    </row>
    <row r="50" spans="2:31" ht="13.5" thickTop="1" x14ac:dyDescent="0.2">
      <c r="B50" s="1">
        <f>[8]FormattedData!A29</f>
        <v>101</v>
      </c>
      <c r="C50" s="1" t="str">
        <f>VLOOKUP($B50,[8]TrtCodes!$B$11:I72,2)</f>
        <v>FSH</v>
      </c>
      <c r="D50" s="1">
        <f>VLOOKUP($B50,[8]TrtCodes!$B$11:J72,3)</f>
        <v>1</v>
      </c>
      <c r="E50" s="1">
        <f>VLOOKUP($B50,[8]TrtCodes!$B$11:K72,4)</f>
        <v>1</v>
      </c>
      <c r="F50" s="1">
        <f>VLOOKUP($B50,[8]TrtCodes!$B$11:L72,5)</f>
        <v>1</v>
      </c>
      <c r="G50" s="1">
        <f>VLOOKUP($B50,[8]TrtCodes!$B$11:M72,6)</f>
        <v>2</v>
      </c>
      <c r="H50" s="1">
        <f>VLOOKUP($B50,[8]TrtCodes!$B$11:N72,7)</f>
        <v>1</v>
      </c>
      <c r="I50" s="1">
        <f>[8]FormattedData!B29</f>
        <v>2</v>
      </c>
      <c r="J50" s="4">
        <f>[8]FormattedData!C29</f>
        <v>13.202</v>
      </c>
      <c r="K50" s="6">
        <f>$J$3+[8]FormattedData!D29*$J$4+$M$4*$J$5+[8]FormattedData!D29^2*$J$6+$M$5*$J$7</f>
        <v>30.138953320308993</v>
      </c>
      <c r="L50" s="6">
        <f>$J$3+[8]FormattedData!E29*$J$4+$M$4*$J$5+[8]FormattedData!E29^2*$J$6+$M$5*$J$7</f>
        <v>27.793610967104847</v>
      </c>
      <c r="M50" s="6">
        <f>$J$3+[8]FormattedData!F29*$J$4+$M$4*$J$5+[8]FormattedData!F29^2*$J$6+$M$5*$J$7</f>
        <v>29.457410111964688</v>
      </c>
      <c r="N50" s="6">
        <f>$J$3+[8]FormattedData!G29*$J$4+$M$4*$J$5+[8]FormattedData!G29^2*$J$6+$M$5*$J$7</f>
        <v>29.164686137462446</v>
      </c>
      <c r="O50" s="6">
        <f>$J$3+[8]FormattedData!H29*$J$4+$M$4*$J$5+[8]FormattedData!H29^2*$J$6+$M$5*$J$7</f>
        <v>29.164686137462446</v>
      </c>
      <c r="P50" s="6">
        <f>$J$3+[8]FormattedData!I29*$J$4+$M$4*$J$5+[8]FormattedData!I29^2*$J$6+$M$5*$J$7</f>
        <v>29.164686137462446</v>
      </c>
      <c r="Q50" s="6">
        <f>$J$3+[8]FormattedData!J29*$J$4+$M$4*$J$5+[8]FormattedData!J29^2*$J$6+$M$5*$J$7</f>
        <v>29.652348085609859</v>
      </c>
      <c r="R50" s="6">
        <f>$J$3+[8]FormattedData!K29*$J$4+$M$4*$J$5+[8]FormattedData!K29^2*$J$6+$M$5*$J$7</f>
        <v>29.067026942219169</v>
      </c>
      <c r="S50" s="6">
        <f>$J$3+[8]FormattedData!L29*$J$4+$M$4*$J$5+[8]FormattedData!L29^2*$J$6+$M$5*$J$7</f>
        <v>28.186192100822783</v>
      </c>
      <c r="T50" s="6">
        <f>$J$3+[8]FormattedData!M29*$J$4+$M$4*$J$5+[8]FormattedData!M29^2*$J$6+$M$5*$J$7</f>
        <v>29.457410111964688</v>
      </c>
      <c r="U50" s="6">
        <f>$J$3+[8]FormattedData!N29*$J$4+$M$4*$J$5+[8]FormattedData!N29^2*$J$6+$M$5*$J$7</f>
        <v>28.969325478437963</v>
      </c>
      <c r="V50" s="6">
        <f>$J$3+[8]FormattedData!O29*$J$4+$M$4*$J$5+[8]FormattedData!O29^2*$J$6+$M$5*$J$7</f>
        <v>29.359877722335202</v>
      </c>
      <c r="W50" s="5">
        <f t="shared" si="9"/>
        <v>29.131351104429626</v>
      </c>
      <c r="X50" s="4">
        <f t="shared" si="10"/>
        <v>0.17981790535607989</v>
      </c>
      <c r="Y50" s="3">
        <f t="shared" si="11"/>
        <v>27.793610967104847</v>
      </c>
      <c r="Z50" s="2">
        <f t="shared" si="12"/>
        <v>29.042601576273867</v>
      </c>
      <c r="AA50" s="3">
        <f t="shared" si="13"/>
        <v>29.164686137462446</v>
      </c>
      <c r="AB50" s="2">
        <f t="shared" si="14"/>
        <v>29.457410111964688</v>
      </c>
      <c r="AC50" s="2">
        <f t="shared" si="15"/>
        <v>30.138953320308993</v>
      </c>
      <c r="AD50" s="2">
        <f t="shared" si="16"/>
        <v>-0.90136930056743836</v>
      </c>
      <c r="AE50" s="2">
        <f t="shared" si="17"/>
        <v>1.3369433914850077</v>
      </c>
    </row>
    <row r="51" spans="2:31" x14ac:dyDescent="0.2">
      <c r="B51" s="1">
        <f>[8]FormattedData!A27</f>
        <v>102</v>
      </c>
      <c r="C51" s="1" t="str">
        <f>VLOOKUP($B51,[8]TrtCodes!$B$11:I70,2)</f>
        <v>FTL</v>
      </c>
      <c r="D51" s="1">
        <f>VLOOKUP($B51,[8]TrtCodes!$B$11:J70,3)</f>
        <v>4</v>
      </c>
      <c r="E51" s="1">
        <f>VLOOKUP($B51,[8]TrtCodes!$B$11:K70,4)</f>
        <v>1</v>
      </c>
      <c r="F51" s="1">
        <f>VLOOKUP($B51,[8]TrtCodes!$B$11:L70,5)</f>
        <v>2</v>
      </c>
      <c r="G51" s="1">
        <f>VLOOKUP($B51,[8]TrtCodes!$B$11:M70,6)</f>
        <v>1</v>
      </c>
      <c r="H51" s="1">
        <f>VLOOKUP($B51,[8]TrtCodes!$B$11:N70,7)</f>
        <v>1</v>
      </c>
      <c r="I51" s="1">
        <f>[8]FormattedData!B27</f>
        <v>2</v>
      </c>
      <c r="J51" s="4">
        <f>[8]FormattedData!C27</f>
        <v>13.183999999999999</v>
      </c>
      <c r="K51" s="6">
        <f>$J$3+[8]FormattedData!D27*$J$4+$M$4*$J$5+[8]FormattedData!D27^2*$J$6+$M$5*$J$7</f>
        <v>28.675967475866752</v>
      </c>
      <c r="L51" s="6">
        <f>$J$3+[8]FormattedData!E27*$J$4+$M$4*$J$5+[8]FormattedData!E27^2*$J$6+$M$5*$J$7</f>
        <v>30.138953320308993</v>
      </c>
      <c r="M51" s="6">
        <f>$J$3+[8]FormattedData!F27*$J$4+$M$4*$J$5+[8]FormattedData!F27^2*$J$6+$M$5*$J$7</f>
        <v>29.554900233056234</v>
      </c>
      <c r="N51" s="6">
        <f>$J$3+[8]FormattedData!G27*$J$4+$M$4*$J$5+[8]FormattedData!G27^2*$J$6+$M$5*$J$7</f>
        <v>28.675967475866752</v>
      </c>
      <c r="O51" s="6">
        <f>$J$3+[8]FormattedData!H27*$J$4+$M$4*$J$5+[8]FormattedData!H27^2*$J$6+$M$5*$J$7</f>
        <v>28.773795745261754</v>
      </c>
      <c r="P51" s="6">
        <f>$J$3+[8]FormattedData!I27*$J$4+$M$4*$J$5+[8]FormattedData!I27^2*$J$6+$M$5*$J$7</f>
        <v>28.675967475866752</v>
      </c>
      <c r="Q51" s="6">
        <f>$J$3+[8]FormattedData!J27*$J$4+$M$4*$J$5+[8]FormattedData!J27^2*$J$6+$M$5*$J$7</f>
        <v>28.284231712907438</v>
      </c>
      <c r="R51" s="6">
        <f>$J$3+[8]FormattedData!K27*$J$4+$M$4*$J$5+[8]FormattedData!K27^2*$J$6+$M$5*$J$7</f>
        <v>28.578096937933822</v>
      </c>
      <c r="S51" s="6">
        <f>$J$3+[8]FormattedData!L27*$J$4+$M$4*$J$5+[8]FormattedData!L27^2*$J$6+$M$5*$J$7</f>
        <v>29.164686137462446</v>
      </c>
      <c r="T51" s="6">
        <f>$J$3+[8]FormattedData!M27*$J$4+$M$4*$J$5+[8]FormattedData!M27^2*$J$6+$M$5*$J$7</f>
        <v>28.186192100822783</v>
      </c>
      <c r="U51" s="6">
        <f>$J$3+[8]FormattedData!N27*$J$4+$M$4*$J$5+[8]FormattedData!N27^2*$J$6+$M$5*$J$7</f>
        <v>30.818425370294673</v>
      </c>
      <c r="V51" s="6">
        <f>$J$3+[8]FormattedData!O27*$J$4+$M$4*$J$5+[8]FormattedData!O27^2*$J$6+$M$5*$J$7</f>
        <v>28.284231712907438</v>
      </c>
      <c r="W51" s="5">
        <f t="shared" si="9"/>
        <v>28.984284641546321</v>
      </c>
      <c r="X51" s="4">
        <f t="shared" si="10"/>
        <v>0.23301468257330613</v>
      </c>
      <c r="Y51" s="3">
        <f t="shared" si="11"/>
        <v>28.186192100822783</v>
      </c>
      <c r="Z51" s="2">
        <f t="shared" si="12"/>
        <v>28.504630631677227</v>
      </c>
      <c r="AA51" s="3">
        <f t="shared" si="13"/>
        <v>28.675967475866752</v>
      </c>
      <c r="AB51" s="2">
        <f t="shared" si="14"/>
        <v>29.262239661360894</v>
      </c>
      <c r="AC51" s="2">
        <f t="shared" si="15"/>
        <v>30.818425370294673</v>
      </c>
      <c r="AD51" s="2">
        <f t="shared" si="16"/>
        <v>1.3571064208425279</v>
      </c>
      <c r="AE51" s="2">
        <f t="shared" si="17"/>
        <v>1.2167422313203851</v>
      </c>
    </row>
    <row r="52" spans="2:31" x14ac:dyDescent="0.2">
      <c r="B52" s="1">
        <f>[8]FormattedData!A25</f>
        <v>103</v>
      </c>
      <c r="C52" s="1" t="str">
        <f>VLOOKUP($B52,[8]TrtCodes!$B$11:I68,2)</f>
        <v>FDH</v>
      </c>
      <c r="D52" s="1">
        <f>VLOOKUP($B52,[8]TrtCodes!$B$11:J68,3)</f>
        <v>5</v>
      </c>
      <c r="E52" s="1">
        <f>VLOOKUP($B52,[8]TrtCodes!$B$11:K68,4)</f>
        <v>1</v>
      </c>
      <c r="F52" s="1">
        <f>VLOOKUP($B52,[8]TrtCodes!$B$11:L68,5)</f>
        <v>3</v>
      </c>
      <c r="G52" s="1">
        <f>VLOOKUP($B52,[8]TrtCodes!$B$11:M68,6)</f>
        <v>2</v>
      </c>
      <c r="H52" s="1">
        <f>VLOOKUP($B52,[8]TrtCodes!$B$11:N68,7)</f>
        <v>1</v>
      </c>
      <c r="I52" s="1">
        <f>[8]FormattedData!B25</f>
        <v>2</v>
      </c>
      <c r="J52" s="4">
        <f>[8]FormattedData!C25</f>
        <v>13.166</v>
      </c>
      <c r="K52" s="6">
        <f>$J$3+[8]FormattedData!D25*$J$4+$M$4*$J$5+[8]FormattedData!D25^2*$J$6+$M$5*$J$7</f>
        <v>30.041716810445024</v>
      </c>
      <c r="L52" s="6">
        <f>$J$3+[8]FormattedData!E25*$J$4+$M$4*$J$5+[8]FormattedData!E25^2*$J$6+$M$5*$J$7</f>
        <v>30.041716810445024</v>
      </c>
      <c r="M52" s="6">
        <f>$J$3+[8]FormattedData!F25*$J$4+$M$4*$J$5+[8]FormattedData!F25^2*$J$6+$M$5*$J$7</f>
        <v>31.012179824877766</v>
      </c>
      <c r="N52" s="6">
        <f>$J$3+[8]FormattedData!G25*$J$4+$M$4*$J$5+[8]FormattedData!G25^2*$J$6+$M$5*$J$7</f>
        <v>29.944438032043131</v>
      </c>
      <c r="O52" s="6">
        <f>$J$3+[8]FormattedData!H25*$J$4+$M$4*$J$5+[8]FormattedData!H25^2*$J$6+$M$5*$J$7</f>
        <v>29.749753669625544</v>
      </c>
      <c r="P52" s="6">
        <f>$J$3+[8]FormattedData!I25*$J$4+$M$4*$J$5+[8]FormattedData!I25^2*$J$6+$M$5*$J$7</f>
        <v>29.652348085609859</v>
      </c>
      <c r="Q52" s="6">
        <f>$J$3+[8]FormattedData!J25*$J$4+$M$4*$J$5+[8]FormattedData!J25^2*$J$6+$M$5*$J$7</f>
        <v>28.088110220200196</v>
      </c>
      <c r="R52" s="6">
        <f>$J$3+[8]FormattedData!K25*$J$4+$M$4*$J$5+[8]FormattedData!K25^2*$J$6+$M$5*$J$7</f>
        <v>28.773795745261754</v>
      </c>
      <c r="S52" s="6">
        <f>$J$3+[8]FormattedData!L25*$J$4+$M$4*$J$5+[8]FormattedData!L25^2*$J$6+$M$5*$J$7</f>
        <v>27.695360012330536</v>
      </c>
      <c r="T52" s="6">
        <f>$J$3+[8]FormattedData!M25*$J$4+$M$4*$J$5+[8]FormattedData!M25^2*$J$6+$M$5*$J$7</f>
        <v>28.186192100822783</v>
      </c>
      <c r="U52" s="6">
        <f>$J$3+[8]FormattedData!N25*$J$4+$M$4*$J$5+[8]FormattedData!N25^2*$J$6+$M$5*$J$7</f>
        <v>29.457410111964688</v>
      </c>
      <c r="V52" s="6">
        <f>$J$3+[8]FormattedData!O25*$J$4+$M$4*$J$5+[8]FormattedData!O25^2*$J$6+$M$5*$J$7</f>
        <v>30.527476674385536</v>
      </c>
      <c r="W52" s="5">
        <f t="shared" si="9"/>
        <v>29.430874841500984</v>
      </c>
      <c r="X52" s="4">
        <f t="shared" si="10"/>
        <v>0.29721585415253315</v>
      </c>
      <c r="Y52" s="3">
        <f t="shared" si="11"/>
        <v>27.695360012330536</v>
      </c>
      <c r="Z52" s="2">
        <f t="shared" si="12"/>
        <v>28.626894834152012</v>
      </c>
      <c r="AA52" s="3">
        <f t="shared" si="13"/>
        <v>29.701050877617703</v>
      </c>
      <c r="AB52" s="2">
        <f t="shared" si="14"/>
        <v>30.041716810445024</v>
      </c>
      <c r="AC52" s="2">
        <f t="shared" si="15"/>
        <v>31.012179824877766</v>
      </c>
      <c r="AD52" s="2">
        <f t="shared" si="16"/>
        <v>-0.39512092185881553</v>
      </c>
      <c r="AE52" s="2">
        <f t="shared" si="17"/>
        <v>-0.81239044288269291</v>
      </c>
    </row>
    <row r="53" spans="2:31" x14ac:dyDescent="0.2">
      <c r="B53" s="1">
        <f>[8]FormattedData!A23</f>
        <v>104</v>
      </c>
      <c r="C53" s="1" t="str">
        <f>VLOOKUP($B53,[8]TrtCodes!$B$11:I66,2)</f>
        <v>NTL</v>
      </c>
      <c r="D53" s="1">
        <f>VLOOKUP($B53,[8]TrtCodes!$B$11:J66,3)</f>
        <v>10</v>
      </c>
      <c r="E53" s="1">
        <f>VLOOKUP($B53,[8]TrtCodes!$B$11:K66,4)</f>
        <v>2</v>
      </c>
      <c r="F53" s="1">
        <f>VLOOKUP($B53,[8]TrtCodes!$B$11:L66,5)</f>
        <v>2</v>
      </c>
      <c r="G53" s="1">
        <f>VLOOKUP($B53,[8]TrtCodes!$B$11:M66,6)</f>
        <v>1</v>
      </c>
      <c r="H53" s="1">
        <f>VLOOKUP($B53,[8]TrtCodes!$B$11:N66,7)</f>
        <v>1</v>
      </c>
      <c r="I53" s="1">
        <f>[8]FormattedData!B23</f>
        <v>2</v>
      </c>
      <c r="J53" s="4">
        <f>[8]FormattedData!C23</f>
        <v>13.148</v>
      </c>
      <c r="K53" s="6">
        <f>$J$3+[8]FormattedData!D23*$J$4+$M$4*$J$5+[8]FormattedData!D23^2*$J$6+$M$5*$J$7</f>
        <v>28.284231712907438</v>
      </c>
      <c r="L53" s="6">
        <f>$J$3+[8]FormattedData!E23*$J$4+$M$4*$J$5+[8]FormattedData!E23^2*$J$6+$M$5*$J$7</f>
        <v>30.527476674385536</v>
      </c>
      <c r="M53" s="6">
        <f>$J$3+[8]FormattedData!F23*$J$4+$M$4*$J$5+[8]FormattedData!F23^2*$J$6+$M$5*$J$7</f>
        <v>30.138953320308993</v>
      </c>
      <c r="N53" s="6">
        <f>$J$3+[8]FormattedData!G23*$J$4+$M$4*$J$5+[8]FormattedData!G23^2*$J$6+$M$5*$J$7</f>
        <v>30.430409238673299</v>
      </c>
      <c r="O53" s="6">
        <f>$J$3+[8]FormattedData!H23*$J$4+$M$4*$J$5+[8]FormattedData!H23^2*$J$6+$M$5*$J$7</f>
        <v>31.108993649362425</v>
      </c>
      <c r="P53" s="6">
        <f>$J$3+[8]FormattedData!I23*$J$4+$M$4*$J$5+[8]FormattedData!I23^2*$J$6+$M$5*$J$7</f>
        <v>31.205765205309142</v>
      </c>
      <c r="Q53" s="6">
        <f>$J$3+[8]FormattedData!J23*$J$4+$M$4*$J$5+[8]FormattedData!J23^2*$J$6+$M$5*$J$7</f>
        <v>29.652348085609859</v>
      </c>
      <c r="R53" s="6">
        <f>$J$3+[8]FormattedData!K23*$J$4+$M$4*$J$5+[8]FormattedData!K23^2*$J$6+$M$5*$J$7</f>
        <v>30.138953320308993</v>
      </c>
      <c r="S53" s="6">
        <f>$J$3+[8]FormattedData!L23*$J$4+$M$4*$J$5+[8]FormattedData!L23^2*$J$6+$M$5*$J$7</f>
        <v>29.359877722335202</v>
      </c>
      <c r="T53" s="6">
        <f>$J$3+[8]FormattedData!M23*$J$4+$M$4*$J$5+[8]FormattedData!M23^2*$J$6+$M$5*$J$7</f>
        <v>29.749753669625544</v>
      </c>
      <c r="U53" s="6">
        <f>$J$3+[8]FormattedData!N23*$J$4+$M$4*$J$5+[8]FormattedData!N23^2*$J$6+$M$5*$J$7</f>
        <v>31.399181511588797</v>
      </c>
      <c r="V53" s="6">
        <f>$J$3+[8]FormattedData!O23*$J$4+$M$4*$J$5+[8]FormattedData!O23^2*$J$6+$M$5*$J$7</f>
        <v>31.592428743716724</v>
      </c>
      <c r="W53" s="5">
        <f t="shared" si="9"/>
        <v>30.299031071177662</v>
      </c>
      <c r="X53" s="4">
        <f t="shared" si="10"/>
        <v>0.27720796949629084</v>
      </c>
      <c r="Y53" s="3">
        <f t="shared" si="11"/>
        <v>28.284231712907438</v>
      </c>
      <c r="Z53" s="2">
        <f t="shared" si="12"/>
        <v>29.725402273621622</v>
      </c>
      <c r="AA53" s="3">
        <f t="shared" si="13"/>
        <v>30.284681279491146</v>
      </c>
      <c r="AB53" s="2">
        <f t="shared" si="14"/>
        <v>31.133186538349104</v>
      </c>
      <c r="AC53" s="2">
        <f t="shared" si="15"/>
        <v>31.592428743716724</v>
      </c>
      <c r="AD53" s="2">
        <f t="shared" si="16"/>
        <v>-0.57475412160595851</v>
      </c>
      <c r="AE53" s="2">
        <f t="shared" si="17"/>
        <v>0.20972716526859703</v>
      </c>
    </row>
    <row r="54" spans="2:31" x14ac:dyDescent="0.2">
      <c r="B54" s="1">
        <f>[8]FormattedData!A21</f>
        <v>105</v>
      </c>
      <c r="C54" s="1" t="str">
        <f>VLOOKUP($B54,[8]TrtCodes!$B$11:I64,2)</f>
        <v>NDL</v>
      </c>
      <c r="D54" s="1">
        <f>VLOOKUP($B54,[8]TrtCodes!$B$11:J64,3)</f>
        <v>12</v>
      </c>
      <c r="E54" s="1">
        <f>VLOOKUP($B54,[8]TrtCodes!$B$11:K64,4)</f>
        <v>2</v>
      </c>
      <c r="F54" s="1">
        <f>VLOOKUP($B54,[8]TrtCodes!$B$11:L64,5)</f>
        <v>3</v>
      </c>
      <c r="G54" s="1">
        <f>VLOOKUP($B54,[8]TrtCodes!$B$11:M64,6)</f>
        <v>1</v>
      </c>
      <c r="H54" s="1">
        <f>VLOOKUP($B54,[8]TrtCodes!$B$11:N64,7)</f>
        <v>2</v>
      </c>
      <c r="I54" s="1">
        <f>[8]FormattedData!B21</f>
        <v>2</v>
      </c>
      <c r="J54" s="4">
        <f>[8]FormattedData!C21</f>
        <v>13.13</v>
      </c>
      <c r="K54" s="6">
        <f>$J$3+[8]FormattedData!D21*$J$4+$M$4*$J$5+[8]FormattedData!D21^2*$J$6+$M$5*$J$7</f>
        <v>27.695360012330536</v>
      </c>
      <c r="L54" s="6">
        <f>$J$3+[8]FormattedData!E21*$J$4+$M$4*$J$5+[8]FormattedData!E21^2*$J$6+$M$5*$J$7</f>
        <v>28.480184131462959</v>
      </c>
      <c r="M54" s="6">
        <f>$J$3+[8]FormattedData!F21*$J$4+$M$4*$J$5+[8]FormattedData!F21^2*$J$6+$M$5*$J$7</f>
        <v>30.624501841559848</v>
      </c>
      <c r="N54" s="6">
        <f>$J$3+[8]FormattedData!G21*$J$4+$M$4*$J$5+[8]FormattedData!G21^2*$J$6+$M$5*$J$7</f>
        <v>28.871581746118824</v>
      </c>
      <c r="O54" s="6">
        <f>$J$3+[8]FormattedData!H21*$J$4+$M$4*$J$5+[8]FormattedData!H21^2*$J$6+$M$5*$J$7</f>
        <v>30.430409238673299</v>
      </c>
      <c r="P54" s="6">
        <f>$J$3+[8]FormattedData!I21*$J$4+$M$4*$J$5+[8]FormattedData!I21^2*$J$6+$M$5*$J$7</f>
        <v>29.944438032043131</v>
      </c>
      <c r="Q54" s="6">
        <f>$J$3+[8]FormattedData!J21*$J$4+$M$4*$J$5+[8]FormattedData!J21^2*$J$6+$M$5*$J$7</f>
        <v>30.33329953442313</v>
      </c>
      <c r="R54" s="6">
        <f>$J$3+[8]FormattedData!K21*$J$4+$M$4*$J$5+[8]FormattedData!K21^2*$J$6+$M$5*$J$7</f>
        <v>29.262303064167789</v>
      </c>
      <c r="S54" s="6">
        <f>$J$3+[8]FormattedData!L21*$J$4+$M$4*$J$5+[8]FormattedData!L21^2*$J$6+$M$5*$J$7</f>
        <v>28.773795745261754</v>
      </c>
      <c r="T54" s="6">
        <f>$J$3+[8]FormattedData!M21*$J$4+$M$4*$J$5+[8]FormattedData!M21^2*$J$6+$M$5*$J$7</f>
        <v>28.773795745261754</v>
      </c>
      <c r="U54" s="6">
        <f>$J$3+[8]FormattedData!N21*$J$4+$M$4*$J$5+[8]FormattedData!N21^2*$J$6+$M$5*$J$7</f>
        <v>29.359877722335202</v>
      </c>
      <c r="V54" s="6">
        <f>$J$3+[8]FormattedData!O21*$J$4+$M$4*$J$5+[8]FormattedData!O21^2*$J$6+$M$5*$J$7</f>
        <v>28.382229056454165</v>
      </c>
      <c r="W54" s="5">
        <f t="shared" si="9"/>
        <v>29.244314655841034</v>
      </c>
      <c r="X54" s="4">
        <f t="shared" si="10"/>
        <v>0.2655687104910478</v>
      </c>
      <c r="Y54" s="3">
        <f t="shared" si="11"/>
        <v>27.695360012330536</v>
      </c>
      <c r="Z54" s="2">
        <f t="shared" si="12"/>
        <v>28.700392841812054</v>
      </c>
      <c r="AA54" s="3">
        <f t="shared" si="13"/>
        <v>29.066942405143308</v>
      </c>
      <c r="AB54" s="2">
        <f t="shared" si="14"/>
        <v>30.04165340763813</v>
      </c>
      <c r="AC54" s="2">
        <f t="shared" si="15"/>
        <v>30.624501841559848</v>
      </c>
      <c r="AD54" s="2">
        <f t="shared" si="16"/>
        <v>0.12198131333758733</v>
      </c>
      <c r="AE54" s="2">
        <f t="shared" si="17"/>
        <v>-0.9485889754779504</v>
      </c>
    </row>
    <row r="55" spans="2:31" x14ac:dyDescent="0.2">
      <c r="B55" s="1">
        <f>[8]FormattedData!A19</f>
        <v>106</v>
      </c>
      <c r="C55" s="1" t="str">
        <f>VLOOKUP($B55,[8]TrtCodes!$B$11:I62,2)</f>
        <v>NTH</v>
      </c>
      <c r="D55" s="1">
        <f>VLOOKUP($B55,[8]TrtCodes!$B$11:J62,3)</f>
        <v>9</v>
      </c>
      <c r="E55" s="1">
        <f>VLOOKUP($B55,[8]TrtCodes!$B$11:K62,4)</f>
        <v>2</v>
      </c>
      <c r="F55" s="1">
        <f>VLOOKUP($B55,[8]TrtCodes!$B$11:L62,5)</f>
        <v>2</v>
      </c>
      <c r="G55" s="1">
        <f>VLOOKUP($B55,[8]TrtCodes!$B$11:M62,6)</f>
        <v>2</v>
      </c>
      <c r="H55" s="1">
        <f>VLOOKUP($B55,[8]TrtCodes!$B$11:N62,7)</f>
        <v>2</v>
      </c>
      <c r="I55" s="1">
        <f>[8]FormattedData!B19</f>
        <v>2</v>
      </c>
      <c r="J55" s="4">
        <f>[8]FormattedData!C19</f>
        <v>13.114000000000001</v>
      </c>
      <c r="K55" s="6">
        <f>$J$3+[8]FormattedData!D19*$J$4+$M$4*$J$5+[8]FormattedData!D19^2*$J$6+$M$5*$J$7</f>
        <v>29.749753669625544</v>
      </c>
      <c r="L55" s="6">
        <f>$J$3+[8]FormattedData!E19*$J$4+$M$4*$J$5+[8]FormattedData!E19^2*$J$6+$M$5*$J$7</f>
        <v>29.262303064167789</v>
      </c>
      <c r="M55" s="6">
        <f>$J$3+[8]FormattedData!F19*$J$4+$M$4*$J$5+[8]FormattedData!F19^2*$J$6+$M$5*$J$7</f>
        <v>28.284231712907438</v>
      </c>
      <c r="N55" s="6">
        <f>$J$3+[8]FormattedData!G19*$J$4+$M$4*$J$5+[8]FormattedData!G19^2*$J$6+$M$5*$J$7</f>
        <v>29.262303064167789</v>
      </c>
      <c r="O55" s="6">
        <f>$J$3+[8]FormattedData!H19*$J$4+$M$4*$J$5+[8]FormattedData!H19^2*$J$6+$M$5*$J$7</f>
        <v>29.457410111964688</v>
      </c>
      <c r="P55" s="6">
        <f>$J$3+[8]FormattedData!I19*$J$4+$M$4*$J$5+[8]FormattedData!I19^2*$J$6+$M$5*$J$7</f>
        <v>29.554900233056234</v>
      </c>
      <c r="Q55" s="6">
        <f>$J$3+[8]FormattedData!J19*$J$4+$M$4*$J$5+[8]FormattedData!J19^2*$J$6+$M$5*$J$7</f>
        <v>31.205765205309142</v>
      </c>
      <c r="R55" s="6">
        <f>$J$3+[8]FormattedData!K19*$J$4+$M$4*$J$5+[8]FormattedData!K19^2*$J$6+$M$5*$J$7</f>
        <v>30.818425370294673</v>
      </c>
      <c r="S55" s="6">
        <f>$J$3+[8]FormattedData!L19*$J$4+$M$4*$J$5+[8]FormattedData!L19^2*$J$6+$M$5*$J$7</f>
        <v>30.721484740196225</v>
      </c>
      <c r="T55" s="6">
        <f>$J$3+[8]FormattedData!M19*$J$4+$M$4*$J$5+[8]FormattedData!M19^2*$J$6+$M$5*$J$7</f>
        <v>30.527476674385536</v>
      </c>
      <c r="U55" s="6">
        <f>$J$3+[8]FormattedData!N19*$J$4+$M$4*$J$5+[8]FormattedData!N19^2*$J$6+$M$5*$J$7</f>
        <v>29.749753669625544</v>
      </c>
      <c r="V55" s="6">
        <f>$J$3+[8]FormattedData!O19*$J$4+$M$4*$J$5+[8]FormattedData!O19^2*$J$6+$M$5*$J$7</f>
        <v>29.847116985103309</v>
      </c>
      <c r="W55" s="5">
        <f t="shared" si="9"/>
        <v>29.870077041733655</v>
      </c>
      <c r="X55" s="4">
        <f t="shared" si="10"/>
        <v>0.23666389667802457</v>
      </c>
      <c r="Y55" s="3">
        <f t="shared" si="11"/>
        <v>28.284231712907438</v>
      </c>
      <c r="Z55" s="2">
        <f t="shared" si="12"/>
        <v>29.408633350015464</v>
      </c>
      <c r="AA55" s="3">
        <f t="shared" si="13"/>
        <v>29.749753669625544</v>
      </c>
      <c r="AB55" s="2">
        <f t="shared" si="14"/>
        <v>30.575978690838209</v>
      </c>
      <c r="AC55" s="2">
        <f t="shared" si="15"/>
        <v>31.205765205309142</v>
      </c>
      <c r="AD55" s="2">
        <f t="shared" si="16"/>
        <v>-8.0218535033943231E-2</v>
      </c>
      <c r="AE55" s="2">
        <f t="shared" si="17"/>
        <v>-7.7417308155392828E-2</v>
      </c>
    </row>
    <row r="56" spans="2:31" x14ac:dyDescent="0.2">
      <c r="B56" s="1">
        <f>[8]FormattedData!A17</f>
        <v>107</v>
      </c>
      <c r="C56" s="1" t="str">
        <f>VLOOKUP($B56,[8]TrtCodes!$B$11:I60,2)</f>
        <v>NTL</v>
      </c>
      <c r="D56" s="1">
        <f>VLOOKUP($B56,[8]TrtCodes!$B$11:J60,3)</f>
        <v>10</v>
      </c>
      <c r="E56" s="1">
        <f>VLOOKUP($B56,[8]TrtCodes!$B$11:K60,4)</f>
        <v>2</v>
      </c>
      <c r="F56" s="1">
        <f>VLOOKUP($B56,[8]TrtCodes!$B$11:L60,5)</f>
        <v>2</v>
      </c>
      <c r="G56" s="1">
        <f>VLOOKUP($B56,[8]TrtCodes!$B$11:M60,6)</f>
        <v>1</v>
      </c>
      <c r="H56" s="1">
        <f>VLOOKUP($B56,[8]TrtCodes!$B$11:N60,7)</f>
        <v>2</v>
      </c>
      <c r="I56" s="1">
        <f>[8]FormattedData!B17</f>
        <v>2</v>
      </c>
      <c r="J56" s="4">
        <f>[8]FormattedData!C17</f>
        <v>13.096</v>
      </c>
      <c r="K56" s="6">
        <f>$J$3+[8]FormattedData!D17*$J$4+$M$4*$J$5+[8]FormattedData!D17^2*$J$6+$M$5*$J$7</f>
        <v>30.818425370294673</v>
      </c>
      <c r="L56" s="6">
        <f>$J$3+[8]FormattedData!E17*$J$4+$M$4*$J$5+[8]FormattedData!E17^2*$J$6+$M$5*$J$7</f>
        <v>31.30249449271794</v>
      </c>
      <c r="M56" s="6">
        <f>$J$3+[8]FormattedData!F17*$J$4+$M$4*$J$5+[8]FormattedData!F17^2*$J$6+$M$5*$J$7</f>
        <v>30.236147561635022</v>
      </c>
      <c r="N56" s="6">
        <f>$J$3+[8]FormattedData!G17*$J$4+$M$4*$J$5+[8]FormattedData!G17^2*$J$6+$M$5*$J$7</f>
        <v>30.041716810445024</v>
      </c>
      <c r="O56" s="6">
        <f>$J$3+[8]FormattedData!H17*$J$4+$M$4*$J$5+[8]FormattedData!H17^2*$J$6+$M$5*$J$7</f>
        <v>29.164686137462446</v>
      </c>
      <c r="P56" s="6">
        <f>$J$3+[8]FormattedData!I17*$J$4+$M$4*$J$5+[8]FormattedData!I17^2*$J$6+$M$5*$J$7</f>
        <v>29.262303064167789</v>
      </c>
      <c r="Q56" s="6">
        <f>$J$3+[8]FormattedData!J17*$J$4+$M$4*$J$5+[8]FormattedData!J17^2*$J$6+$M$5*$J$7</f>
        <v>29.457410111964688</v>
      </c>
      <c r="R56" s="6">
        <f>$J$3+[8]FormattedData!K17*$J$4+$M$4*$J$5+[8]FormattedData!K17^2*$J$6+$M$5*$J$7</f>
        <v>30.041716810445024</v>
      </c>
      <c r="S56" s="6">
        <f>$J$3+[8]FormattedData!L17*$J$4+$M$4*$J$5+[8]FormattedData!L17^2*$J$6+$M$5*$J$7</f>
        <v>30.041716810445024</v>
      </c>
      <c r="T56" s="6">
        <f>$J$3+[8]FormattedData!M17*$J$4+$M$4*$J$5+[8]FormattedData!M17^2*$J$6+$M$5*$J$7</f>
        <v>29.164686137462446</v>
      </c>
      <c r="U56" s="6">
        <f>$J$3+[8]FormattedData!N17*$J$4+$M$4*$J$5+[8]FormattedData!N17^2*$J$6+$M$5*$J$7</f>
        <v>30.721484740196225</v>
      </c>
      <c r="V56" s="6">
        <f>$J$3+[8]FormattedData!O17*$J$4+$M$4*$J$5+[8]FormattedData!O17^2*$J$6+$M$5*$J$7</f>
        <v>29.944438032043131</v>
      </c>
      <c r="W56" s="5">
        <f t="shared" si="9"/>
        <v>30.016435506606623</v>
      </c>
      <c r="X56" s="4">
        <f t="shared" si="10"/>
        <v>0.1981311060374315</v>
      </c>
      <c r="Y56" s="3">
        <f t="shared" si="11"/>
        <v>29.164686137462446</v>
      </c>
      <c r="Z56" s="2">
        <f t="shared" si="12"/>
        <v>29.408633350015464</v>
      </c>
      <c r="AA56" s="3">
        <f t="shared" si="13"/>
        <v>30.041716810445024</v>
      </c>
      <c r="AB56" s="2">
        <f t="shared" si="14"/>
        <v>30.357481856275321</v>
      </c>
      <c r="AC56" s="2">
        <f t="shared" si="15"/>
        <v>31.30249449271794</v>
      </c>
      <c r="AD56" s="2">
        <f t="shared" si="16"/>
        <v>0.39282187425408543</v>
      </c>
      <c r="AE56" s="2">
        <f t="shared" si="17"/>
        <v>-0.57344799207967556</v>
      </c>
    </row>
    <row r="57" spans="2:31" x14ac:dyDescent="0.2">
      <c r="B57" s="1">
        <f>[8]FormattedData!A15</f>
        <v>108</v>
      </c>
      <c r="C57" s="1" t="str">
        <f>VLOOKUP($B57,[8]TrtCodes!$B$11:I58,2)</f>
        <v>FTH</v>
      </c>
      <c r="D57" s="1">
        <f>VLOOKUP($B57,[8]TrtCodes!$B$11:J58,3)</f>
        <v>3</v>
      </c>
      <c r="E57" s="1">
        <f>VLOOKUP($B57,[8]TrtCodes!$B$11:K58,4)</f>
        <v>1</v>
      </c>
      <c r="F57" s="1">
        <f>VLOOKUP($B57,[8]TrtCodes!$B$11:L58,5)</f>
        <v>2</v>
      </c>
      <c r="G57" s="1">
        <f>VLOOKUP($B57,[8]TrtCodes!$B$11:M58,6)</f>
        <v>2</v>
      </c>
      <c r="H57" s="1">
        <f>VLOOKUP($B57,[8]TrtCodes!$B$11:N58,7)</f>
        <v>2</v>
      </c>
      <c r="I57" s="1">
        <f>[8]FormattedData!B15</f>
        <v>2</v>
      </c>
      <c r="J57" s="4">
        <f>[8]FormattedData!C15</f>
        <v>13.08</v>
      </c>
      <c r="K57" s="6">
        <f>$J$3+[8]FormattedData!D15*$J$4+$M$4*$J$5+[8]FormattedData!D15^2*$J$6+$M$5*$J$7</f>
        <v>28.773795745261754</v>
      </c>
      <c r="L57" s="6">
        <f>$J$3+[8]FormattedData!E15*$J$4+$M$4*$J$5+[8]FormattedData!E15^2*$J$6+$M$5*$J$7</f>
        <v>28.480184131462959</v>
      </c>
      <c r="M57" s="6">
        <f>$J$3+[8]FormattedData!F15*$J$4+$M$4*$J$5+[8]FormattedData!F15^2*$J$6+$M$5*$J$7</f>
        <v>28.773795745261754</v>
      </c>
      <c r="N57" s="6">
        <f>$J$3+[8]FormattedData!G15*$J$4+$M$4*$J$5+[8]FormattedData!G15^2*$J$6+$M$5*$J$7</f>
        <v>29.457410111964688</v>
      </c>
      <c r="O57" s="6">
        <f>$J$3+[8]FormattedData!H15*$J$4+$M$4*$J$5+[8]FormattedData!H15^2*$J$6+$M$5*$J$7</f>
        <v>30.33329953442313</v>
      </c>
      <c r="P57" s="6">
        <f>$J$3+[8]FormattedData!I15*$J$4+$M$4*$J$5+[8]FormattedData!I15^2*$J$6+$M$5*$J$7</f>
        <v>29.749753669625544</v>
      </c>
      <c r="Q57" s="6">
        <f>$J$3+[8]FormattedData!J15*$J$4+$M$4*$J$5+[8]FormattedData!J15^2*$J$6+$M$5*$J$7</f>
        <v>31.785506901692926</v>
      </c>
      <c r="R57" s="6">
        <f>$J$3+[8]FormattedData!K15*$J$4+$M$4*$J$5+[8]FormattedData!K15^2*$J$6+$M$5*$J$7</f>
        <v>31.30249449271794</v>
      </c>
      <c r="S57" s="6">
        <f>$J$3+[8]FormattedData!L15*$J$4+$M$4*$J$5+[8]FormattedData!L15^2*$J$6+$M$5*$J$7</f>
        <v>29.554900233056234</v>
      </c>
      <c r="T57" s="6">
        <f>$J$3+[8]FormattedData!M15*$J$4+$M$4*$J$5+[8]FormattedData!M15^2*$J$6+$M$5*$J$7</f>
        <v>28.675967475866752</v>
      </c>
      <c r="U57" s="6">
        <f>$J$3+[8]FormattedData!N15*$J$4+$M$4*$J$5+[8]FormattedData!N15^2*$J$6+$M$5*$J$7</f>
        <v>29.652348085609859</v>
      </c>
      <c r="V57" s="6">
        <f>$J$3+[8]FormattedData!O15*$J$4+$M$4*$J$5+[8]FormattedData!O15^2*$J$6+$M$5*$J$7</f>
        <v>29.359877722335202</v>
      </c>
      <c r="W57" s="5">
        <f t="shared" si="9"/>
        <v>29.658277820773225</v>
      </c>
      <c r="X57" s="4">
        <f t="shared" si="10"/>
        <v>0.29835587547385561</v>
      </c>
      <c r="Y57" s="3">
        <f t="shared" si="11"/>
        <v>28.480184131462959</v>
      </c>
      <c r="Z57" s="2">
        <f t="shared" si="12"/>
        <v>28.773795745261754</v>
      </c>
      <c r="AA57" s="3">
        <f t="shared" si="13"/>
        <v>29.506155172510461</v>
      </c>
      <c r="AB57" s="2">
        <f t="shared" si="14"/>
        <v>29.895640135824941</v>
      </c>
      <c r="AC57" s="2">
        <f t="shared" si="15"/>
        <v>31.785506901692926</v>
      </c>
      <c r="AD57" s="2">
        <f t="shared" si="16"/>
        <v>1.0253527638926923</v>
      </c>
      <c r="AE57" s="2">
        <f t="shared" si="17"/>
        <v>0.39740727944250942</v>
      </c>
    </row>
    <row r="58" spans="2:31" x14ac:dyDescent="0.2">
      <c r="B58" s="1">
        <f>[8]FormattedData!A31</f>
        <v>201</v>
      </c>
      <c r="C58" s="1" t="str">
        <f>VLOOKUP($B58,[8]TrtCodes!$B$11:I74,2)</f>
        <v>NDL</v>
      </c>
      <c r="D58" s="1">
        <f>VLOOKUP($B58,[8]TrtCodes!$B$11:J74,3)</f>
        <v>12</v>
      </c>
      <c r="E58" s="1">
        <f>VLOOKUP($B58,[8]TrtCodes!$B$11:K74,4)</f>
        <v>2</v>
      </c>
      <c r="F58" s="1">
        <f>VLOOKUP($B58,[8]TrtCodes!$B$11:L74,5)</f>
        <v>3</v>
      </c>
      <c r="G58" s="1">
        <f>VLOOKUP($B58,[8]TrtCodes!$B$11:M74,6)</f>
        <v>1</v>
      </c>
      <c r="H58" s="1">
        <f>VLOOKUP($B58,[8]TrtCodes!$B$11:N74,7)</f>
        <v>1</v>
      </c>
      <c r="I58" s="1">
        <f>[8]FormattedData!B31</f>
        <v>2</v>
      </c>
      <c r="J58" s="4">
        <f>[8]FormattedData!C31</f>
        <v>13.231</v>
      </c>
      <c r="K58" s="6">
        <f>$J$3+[8]FormattedData!D31*$J$4+$M$4*$J$5+[8]FormattedData!D31^2*$J$6+$M$5*$J$7</f>
        <v>28.969325478437963</v>
      </c>
      <c r="L58" s="6">
        <f>$J$3+[8]FormattedData!E31*$J$4+$M$4*$J$5+[8]FormattedData!E31^2*$J$6+$M$5*$J$7</f>
        <v>29.847116985103309</v>
      </c>
      <c r="M58" s="6">
        <f>$J$3+[8]FormattedData!F31*$J$4+$M$4*$J$5+[8]FormattedData!F31^2*$J$6+$M$5*$J$7</f>
        <v>30.915323731855185</v>
      </c>
      <c r="N58" s="6">
        <f>$J$3+[8]FormattedData!G31*$J$4+$M$4*$J$5+[8]FormattedData!G31^2*$J$6+$M$5*$J$7</f>
        <v>28.578096937933822</v>
      </c>
      <c r="O58" s="6">
        <f>$J$3+[8]FormattedData!H31*$J$4+$M$4*$J$5+[8]FormattedData!H31^2*$J$6+$M$5*$J$7</f>
        <v>29.944438032043131</v>
      </c>
      <c r="P58" s="6">
        <f>$J$3+[8]FormattedData!I31*$J$4+$M$4*$J$5+[8]FormattedData!I31^2*$J$6+$M$5*$J$7</f>
        <v>30.915323731855185</v>
      </c>
      <c r="Q58" s="6">
        <f>$J$3+[8]FormattedData!J31*$J$4+$M$4*$J$5+[8]FormattedData!J31^2*$J$6+$M$5*$J$7</f>
        <v>30.041716810445024</v>
      </c>
      <c r="R58" s="6">
        <f>$J$3+[8]FormattedData!K31*$J$4+$M$4*$J$5+[8]FormattedData!K31^2*$J$6+$M$5*$J$7</f>
        <v>29.457410111964688</v>
      </c>
      <c r="S58" s="6">
        <f>$J$3+[8]FormattedData!L31*$J$4+$M$4*$J$5+[8]FormattedData!L31^2*$J$6+$M$5*$J$7</f>
        <v>29.457410111964688</v>
      </c>
      <c r="T58" s="6">
        <f>$J$3+[8]FormattedData!M31*$J$4+$M$4*$J$5+[8]FormattedData!M31^2*$J$6+$M$5*$J$7</f>
        <v>29.359877722335202</v>
      </c>
      <c r="U58" s="6">
        <f>$J$3+[8]FormattedData!N31*$J$4+$M$4*$J$5+[8]FormattedData!N31^2*$J$6+$M$5*$J$7</f>
        <v>29.067026942219169</v>
      </c>
      <c r="V58" s="6">
        <f>$J$3+[8]FormattedData!O31*$J$4+$M$4*$J$5+[8]FormattedData!O31^2*$J$6+$M$5*$J$7</f>
        <v>29.359877722335202</v>
      </c>
      <c r="W58" s="5">
        <f t="shared" si="9"/>
        <v>29.659412026541052</v>
      </c>
      <c r="X58" s="4">
        <f t="shared" si="10"/>
        <v>0.20734050724691844</v>
      </c>
      <c r="Y58" s="3">
        <f t="shared" si="11"/>
        <v>28.578096937933822</v>
      </c>
      <c r="Z58" s="2">
        <f t="shared" si="12"/>
        <v>29.286665027306192</v>
      </c>
      <c r="AA58" s="3">
        <f t="shared" si="13"/>
        <v>29.457410111964688</v>
      </c>
      <c r="AB58" s="2">
        <f t="shared" si="14"/>
        <v>29.968757726643602</v>
      </c>
      <c r="AC58" s="2">
        <f t="shared" si="15"/>
        <v>30.915323731855185</v>
      </c>
      <c r="AD58" s="2">
        <f t="shared" si="16"/>
        <v>0.64080473922751791</v>
      </c>
      <c r="AE58" s="2">
        <f t="shared" si="17"/>
        <v>-4.1716989075394562E-2</v>
      </c>
    </row>
    <row r="59" spans="2:31" x14ac:dyDescent="0.2">
      <c r="B59" s="1">
        <f>[8]FormattedData!A33</f>
        <v>202</v>
      </c>
      <c r="C59" s="1" t="str">
        <f>VLOOKUP($B59,[8]TrtCodes!$B$11:I76,2)</f>
        <v>NTH</v>
      </c>
      <c r="D59" s="1">
        <f>VLOOKUP($B59,[8]TrtCodes!$B$11:J76,3)</f>
        <v>9</v>
      </c>
      <c r="E59" s="1">
        <f>VLOOKUP($B59,[8]TrtCodes!$B$11:K76,4)</f>
        <v>2</v>
      </c>
      <c r="F59" s="1">
        <f>VLOOKUP($B59,[8]TrtCodes!$B$11:L76,5)</f>
        <v>2</v>
      </c>
      <c r="G59" s="1">
        <f>VLOOKUP($B59,[8]TrtCodes!$B$11:M76,6)</f>
        <v>2</v>
      </c>
      <c r="H59" s="1">
        <f>VLOOKUP($B59,[8]TrtCodes!$B$11:N76,7)</f>
        <v>1</v>
      </c>
      <c r="I59" s="1">
        <f>[8]FormattedData!B33</f>
        <v>2</v>
      </c>
      <c r="J59" s="4">
        <f>[8]FormattedData!C33</f>
        <v>13.247999999999999</v>
      </c>
      <c r="K59" s="6">
        <f>$J$3+[8]FormattedData!D33*$J$4+$M$4*$J$5+[8]FormattedData!D33^2*$J$6+$M$5*$J$7</f>
        <v>29.164686137462446</v>
      </c>
      <c r="L59" s="6">
        <f>$J$3+[8]FormattedData!E33*$J$4+$M$4*$J$5+[8]FormattedData!E33^2*$J$6+$M$5*$J$7</f>
        <v>28.675967475866752</v>
      </c>
      <c r="M59" s="6">
        <f>$J$3+[8]FormattedData!F33*$J$4+$M$4*$J$5+[8]FormattedData!F33^2*$J$6+$M$5*$J$7</f>
        <v>30.33329953442313</v>
      </c>
      <c r="N59" s="6">
        <f>$J$3+[8]FormattedData!G33*$J$4+$M$4*$J$5+[8]FormattedData!G33^2*$J$6+$M$5*$J$7</f>
        <v>28.969325478437963</v>
      </c>
      <c r="O59" s="6">
        <f>$J$3+[8]FormattedData!H33*$J$4+$M$4*$J$5+[8]FormattedData!H33^2*$J$6+$M$5*$J$7</f>
        <v>29.944438032043131</v>
      </c>
      <c r="P59" s="6">
        <f>$J$3+[8]FormattedData!I33*$J$4+$M$4*$J$5+[8]FormattedData!I33^2*$J$6+$M$5*$J$7</f>
        <v>30.33329953442313</v>
      </c>
      <c r="Q59" s="6">
        <f>$J$3+[8]FormattedData!J33*$J$4+$M$4*$J$5+[8]FormattedData!J33^2*$J$6+$M$5*$J$7</f>
        <v>30.624501841559848</v>
      </c>
      <c r="R59" s="6">
        <f>$J$3+[8]FormattedData!K33*$J$4+$M$4*$J$5+[8]FormattedData!K33^2*$J$6+$M$5*$J$7</f>
        <v>30.818425370294673</v>
      </c>
      <c r="S59" s="6">
        <f>$J$3+[8]FormattedData!L33*$J$4+$M$4*$J$5+[8]FormattedData!L33^2*$J$6+$M$5*$J$7</f>
        <v>30.915323731855185</v>
      </c>
      <c r="T59" s="6">
        <f>$J$3+[8]FormattedData!M33*$J$4+$M$4*$J$5+[8]FormattedData!M33^2*$J$6+$M$5*$J$7</f>
        <v>30.041716810445024</v>
      </c>
      <c r="U59" s="6">
        <f>$J$3+[8]FormattedData!N33*$J$4+$M$4*$J$5+[8]FormattedData!N33^2*$J$6+$M$5*$J$7</f>
        <v>29.944438032043131</v>
      </c>
      <c r="V59" s="6">
        <f>$J$3+[8]FormattedData!O33*$J$4+$M$4*$J$5+[8]FormattedData!O33^2*$J$6+$M$5*$J$7</f>
        <v>29.164686137462446</v>
      </c>
      <c r="W59" s="5">
        <f t="shared" si="9"/>
        <v>29.910842343026413</v>
      </c>
      <c r="X59" s="4">
        <f t="shared" si="10"/>
        <v>0.21747855041873301</v>
      </c>
      <c r="Y59" s="3">
        <f t="shared" si="11"/>
        <v>28.675967475866752</v>
      </c>
      <c r="Z59" s="2">
        <f t="shared" si="12"/>
        <v>29.164686137462446</v>
      </c>
      <c r="AA59" s="3">
        <f t="shared" si="13"/>
        <v>29.993077421244077</v>
      </c>
      <c r="AB59" s="2">
        <f t="shared" si="14"/>
        <v>30.406100111207309</v>
      </c>
      <c r="AC59" s="2">
        <f t="shared" si="15"/>
        <v>30.915323731855185</v>
      </c>
      <c r="AD59" s="2">
        <f t="shared" si="16"/>
        <v>-0.32424020718616775</v>
      </c>
      <c r="AE59" s="2">
        <f t="shared" si="17"/>
        <v>-1.2200864187012201</v>
      </c>
    </row>
    <row r="60" spans="2:31" x14ac:dyDescent="0.2">
      <c r="B60" s="1">
        <f>[8]FormattedData!A35</f>
        <v>203</v>
      </c>
      <c r="C60" s="1" t="str">
        <f>VLOOKUP($B60,[8]TrtCodes!$B$11:I78,2)</f>
        <v>FTH</v>
      </c>
      <c r="D60" s="1">
        <f>VLOOKUP($B60,[8]TrtCodes!$B$11:J78,3)</f>
        <v>3</v>
      </c>
      <c r="E60" s="1">
        <f>VLOOKUP($B60,[8]TrtCodes!$B$11:K78,4)</f>
        <v>1</v>
      </c>
      <c r="F60" s="1">
        <f>VLOOKUP($B60,[8]TrtCodes!$B$11:L78,5)</f>
        <v>2</v>
      </c>
      <c r="G60" s="1">
        <f>VLOOKUP($B60,[8]TrtCodes!$B$11:M78,6)</f>
        <v>2</v>
      </c>
      <c r="H60" s="1">
        <f>VLOOKUP($B60,[8]TrtCodes!$B$11:N78,7)</f>
        <v>1</v>
      </c>
      <c r="I60" s="1">
        <f>[8]FormattedData!B35</f>
        <v>2</v>
      </c>
      <c r="J60" s="4">
        <f>[8]FormattedData!C35</f>
        <v>13.265000000000001</v>
      </c>
      <c r="K60" s="6">
        <f>$J$3+[8]FormattedData!D35*$J$4+$M$4*$J$5+[8]FormattedData!D35^2*$J$6+$M$5*$J$7</f>
        <v>30.138953320308993</v>
      </c>
      <c r="L60" s="6">
        <f>$J$3+[8]FormattedData!E35*$J$4+$M$4*$J$5+[8]FormattedData!E35^2*$J$6+$M$5*$J$7</f>
        <v>30.236147561635022</v>
      </c>
      <c r="M60" s="6">
        <f>$J$3+[8]FormattedData!F35*$J$4+$M$4*$J$5+[8]FormattedData!F35^2*$J$6+$M$5*$J$7</f>
        <v>29.652348085609859</v>
      </c>
      <c r="N60" s="6">
        <f>$J$3+[8]FormattedData!G35*$J$4+$M$4*$J$5+[8]FormattedData!G35^2*$J$6+$M$5*$J$7</f>
        <v>29.262303064167789</v>
      </c>
      <c r="O60" s="6">
        <f>$J$3+[8]FormattedData!H35*$J$4+$M$4*$J$5+[8]FormattedData!H35^2*$J$6+$M$5*$J$7</f>
        <v>28.969325478437963</v>
      </c>
      <c r="P60" s="6">
        <f>$J$3+[8]FormattedData!I35*$J$4+$M$4*$J$5+[8]FormattedData!I35^2*$J$6+$M$5*$J$7</f>
        <v>31.30249449271794</v>
      </c>
      <c r="Q60" s="6">
        <f>$J$3+[8]FormattedData!J35*$J$4+$M$4*$J$5+[8]FormattedData!J35^2*$J$6+$M$5*$J$7</f>
        <v>29.262303064167789</v>
      </c>
      <c r="R60" s="6">
        <f>$J$3+[8]FormattedData!K35*$J$4+$M$4*$J$5+[8]FormattedData!K35^2*$J$6+$M$5*$J$7</f>
        <v>29.067026942219169</v>
      </c>
      <c r="S60" s="6">
        <f>$J$3+[8]FormattedData!L35*$J$4+$M$4*$J$5+[8]FormattedData!L35^2*$J$6+$M$5*$J$7</f>
        <v>29.847116985103309</v>
      </c>
      <c r="T60" s="6">
        <f>$J$3+[8]FormattedData!M35*$J$4+$M$4*$J$5+[8]FormattedData!M35^2*$J$6+$M$5*$J$7</f>
        <v>29.262303064167789</v>
      </c>
      <c r="U60" s="6">
        <f>$J$3+[8]FormattedData!N35*$J$4+$M$4*$J$5+[8]FormattedData!N35^2*$J$6+$M$5*$J$7</f>
        <v>29.554900233056234</v>
      </c>
      <c r="V60" s="6">
        <f>$J$3+[8]FormattedData!O35*$J$4+$M$4*$J$5+[8]FormattedData!O35^2*$J$6+$M$5*$J$7</f>
        <v>29.847116985103309</v>
      </c>
      <c r="W60" s="5">
        <f t="shared" si="9"/>
        <v>29.700194939724593</v>
      </c>
      <c r="X60" s="4">
        <f t="shared" si="10"/>
        <v>0.18716403843917906</v>
      </c>
      <c r="Y60" s="3">
        <f t="shared" si="11"/>
        <v>28.969325478437963</v>
      </c>
      <c r="Z60" s="2">
        <f t="shared" si="12"/>
        <v>29.262303064167789</v>
      </c>
      <c r="AA60" s="3">
        <f t="shared" si="13"/>
        <v>29.603624159333044</v>
      </c>
      <c r="AB60" s="2">
        <f t="shared" si="14"/>
        <v>29.920076068904731</v>
      </c>
      <c r="AC60" s="2">
        <f t="shared" si="15"/>
        <v>31.30249449271794</v>
      </c>
      <c r="AD60" s="2">
        <f t="shared" si="16"/>
        <v>1.384572044432125</v>
      </c>
      <c r="AE60" s="2">
        <f t="shared" si="17"/>
        <v>2.448418550152252</v>
      </c>
    </row>
    <row r="61" spans="2:31" x14ac:dyDescent="0.2">
      <c r="B61" s="1">
        <f>[8]FormattedData!A37</f>
        <v>204</v>
      </c>
      <c r="C61" s="1" t="str">
        <f>VLOOKUP($B61,[8]TrtCodes!$B$11:I80,2)</f>
        <v>NDH</v>
      </c>
      <c r="D61" s="1">
        <f>VLOOKUP($B61,[8]TrtCodes!$B$11:J80,3)</f>
        <v>11</v>
      </c>
      <c r="E61" s="1">
        <f>VLOOKUP($B61,[8]TrtCodes!$B$11:K80,4)</f>
        <v>2</v>
      </c>
      <c r="F61" s="1">
        <f>VLOOKUP($B61,[8]TrtCodes!$B$11:L80,5)</f>
        <v>3</v>
      </c>
      <c r="G61" s="1">
        <f>VLOOKUP($B61,[8]TrtCodes!$B$11:M80,6)</f>
        <v>2</v>
      </c>
      <c r="H61" s="1">
        <f>VLOOKUP($B61,[8]TrtCodes!$B$11:N80,7)</f>
        <v>1</v>
      </c>
      <c r="I61" s="1">
        <f>[8]FormattedData!B37</f>
        <v>2</v>
      </c>
      <c r="J61" s="4">
        <f>[8]FormattedData!C37</f>
        <v>13.282</v>
      </c>
      <c r="K61" s="6">
        <f>$J$3+[8]FormattedData!D37*$J$4+$M$4*$J$5+[8]FormattedData!D37^2*$J$6+$M$5*$J$7</f>
        <v>29.457410111964688</v>
      </c>
      <c r="L61" s="6">
        <f>$J$3+[8]FormattedData!E37*$J$4+$M$4*$J$5+[8]FormattedData!E37^2*$J$6+$M$5*$J$7</f>
        <v>29.457410111964688</v>
      </c>
      <c r="M61" s="6">
        <f>$J$3+[8]FormattedData!F37*$J$4+$M$4*$J$5+[8]FormattedData!F37^2*$J$6+$M$5*$J$7</f>
        <v>30.33329953442313</v>
      </c>
      <c r="N61" s="6">
        <f>$J$3+[8]FormattedData!G37*$J$4+$M$4*$J$5+[8]FormattedData!G37^2*$J$6+$M$5*$J$7</f>
        <v>31.012179824877766</v>
      </c>
      <c r="O61" s="6">
        <f>$J$3+[8]FormattedData!H37*$J$4+$M$4*$J$5+[8]FormattedData!H37^2*$J$6+$M$5*$J$7</f>
        <v>30.236147561635022</v>
      </c>
      <c r="P61" s="6">
        <f>$J$3+[8]FormattedData!I37*$J$4+$M$4*$J$5+[8]FormattedData!I37^2*$J$6+$M$5*$J$7</f>
        <v>30.138953320308993</v>
      </c>
      <c r="Q61" s="6">
        <f>$J$3+[8]FormattedData!J37*$J$4+$M$4*$J$5+[8]FormattedData!J37^2*$J$6+$M$5*$J$7</f>
        <v>30.527476674385536</v>
      </c>
      <c r="R61" s="6">
        <f>$J$3+[8]FormattedData!K37*$J$4+$M$4*$J$5+[8]FormattedData!K37^2*$J$6+$M$5*$J$7</f>
        <v>31.592428743716724</v>
      </c>
      <c r="S61" s="6">
        <f>$J$3+[8]FormattedData!L37*$J$4+$M$4*$J$5+[8]FormattedData!L37^2*$J$6+$M$5*$J$7</f>
        <v>30.430409238673299</v>
      </c>
      <c r="T61" s="6">
        <f>$J$3+[8]FormattedData!M37*$J$4+$M$4*$J$5+[8]FormattedData!M37^2*$J$6+$M$5*$J$7</f>
        <v>29.554900233056234</v>
      </c>
      <c r="U61" s="6">
        <f>$J$3+[8]FormattedData!N37*$J$4+$M$4*$J$5+[8]FormattedData!N37^2*$J$6+$M$5*$J$7</f>
        <v>29.847116985103309</v>
      </c>
      <c r="V61" s="6">
        <f>$J$3+[8]FormattedData!O37*$J$4+$M$4*$J$5+[8]FormattedData!O37^2*$J$6+$M$5*$J$7</f>
        <v>31.495826261921728</v>
      </c>
      <c r="W61" s="5">
        <f t="shared" si="9"/>
        <v>30.340296550169253</v>
      </c>
      <c r="X61" s="4">
        <f t="shared" si="10"/>
        <v>0.21084521870934131</v>
      </c>
      <c r="Y61" s="3">
        <f t="shared" si="11"/>
        <v>29.457410111964688</v>
      </c>
      <c r="Z61" s="2">
        <f t="shared" si="12"/>
        <v>29.774062797091538</v>
      </c>
      <c r="AA61" s="3">
        <f t="shared" si="13"/>
        <v>30.284723548029078</v>
      </c>
      <c r="AB61" s="2">
        <f t="shared" si="14"/>
        <v>30.648652462008592</v>
      </c>
      <c r="AC61" s="2">
        <f t="shared" si="15"/>
        <v>31.592428743716724</v>
      </c>
      <c r="AD61" s="2">
        <f t="shared" si="16"/>
        <v>0.51139196256518771</v>
      </c>
      <c r="AE61" s="2">
        <f t="shared" si="17"/>
        <v>-0.65428804887804892</v>
      </c>
    </row>
    <row r="62" spans="2:31" x14ac:dyDescent="0.2">
      <c r="B62" s="1">
        <f>[8]FormattedData!A39</f>
        <v>205</v>
      </c>
      <c r="C62" s="1" t="str">
        <f>VLOOKUP($B62,[8]TrtCodes!$B$11:I82,2)</f>
        <v>FSH</v>
      </c>
      <c r="D62" s="1">
        <f>VLOOKUP($B62,[8]TrtCodes!$B$11:J82,3)</f>
        <v>1</v>
      </c>
      <c r="E62" s="1">
        <f>VLOOKUP($B62,[8]TrtCodes!$B$11:K82,4)</f>
        <v>1</v>
      </c>
      <c r="F62" s="1">
        <f>VLOOKUP($B62,[8]TrtCodes!$B$11:L82,5)</f>
        <v>1</v>
      </c>
      <c r="G62" s="1">
        <f>VLOOKUP($B62,[8]TrtCodes!$B$11:M82,6)</f>
        <v>2</v>
      </c>
      <c r="H62" s="1">
        <f>VLOOKUP($B62,[8]TrtCodes!$B$11:N82,7)</f>
        <v>2</v>
      </c>
      <c r="I62" s="1">
        <f>[8]FormattedData!B39</f>
        <v>2</v>
      </c>
      <c r="J62" s="4">
        <f>[8]FormattedData!C39</f>
        <v>13.298999999999999</v>
      </c>
      <c r="K62" s="6">
        <f>$J$3+[8]FormattedData!D39*$J$4+$M$4*$J$5+[8]FormattedData!D39^2*$J$6+$M$5*$J$7</f>
        <v>27.989986071039681</v>
      </c>
      <c r="L62" s="6">
        <f>$J$3+[8]FormattedData!E39*$J$4+$M$4*$J$5+[8]FormattedData!E39^2*$J$6+$M$5*$J$7</f>
        <v>29.359877722335202</v>
      </c>
      <c r="M62" s="6">
        <f>$J$3+[8]FormattedData!F39*$J$4+$M$4*$J$5+[8]FormattedData!F39^2*$J$6+$M$5*$J$7</f>
        <v>29.164686137462446</v>
      </c>
      <c r="N62" s="6">
        <f>$J$3+[8]FormattedData!G39*$J$4+$M$4*$J$5+[8]FormattedData!G39^2*$J$6+$M$5*$J$7</f>
        <v>29.067026942219169</v>
      </c>
      <c r="O62" s="6">
        <f>$J$3+[8]FormattedData!H39*$J$4+$M$4*$J$5+[8]FormattedData!H39^2*$J$6+$M$5*$J$7</f>
        <v>31.881982577874133</v>
      </c>
      <c r="P62" s="6">
        <f>$J$3+[8]FormattedData!I39*$J$4+$M$4*$J$5+[8]FormattedData!I39^2*$J$6+$M$5*$J$7</f>
        <v>30.33329953442313</v>
      </c>
      <c r="Q62" s="6">
        <f>$J$3+[8]FormattedData!J39*$J$4+$M$4*$J$5+[8]FormattedData!J39^2*$J$6+$M$5*$J$7</f>
        <v>29.554900233056234</v>
      </c>
      <c r="R62" s="6">
        <f>$J$3+[8]FormattedData!K39*$J$4+$M$4*$J$5+[8]FormattedData!K39^2*$J$6+$M$5*$J$7</f>
        <v>29.262303064167789</v>
      </c>
      <c r="S62" s="6">
        <f>$J$3+[8]FormattedData!L39*$J$4+$M$4*$J$5+[8]FormattedData!L39^2*$J$6+$M$5*$J$7</f>
        <v>31.012179824877766</v>
      </c>
      <c r="T62" s="6">
        <f>$J$3+[8]FormattedData!M39*$J$4+$M$4*$J$5+[8]FormattedData!M39^2*$J$6+$M$5*$J$7</f>
        <v>30.430409238673299</v>
      </c>
      <c r="U62" s="6">
        <f>$J$3+[8]FormattedData!N39*$J$4+$M$4*$J$5+[8]FormattedData!N39^2*$J$6+$M$5*$J$7</f>
        <v>29.067026942219169</v>
      </c>
      <c r="V62" s="6">
        <f>$J$3+[8]FormattedData!O39*$J$4+$M$4*$J$5+[8]FormattedData!O39^2*$J$6+$M$5*$J$7</f>
        <v>29.554900233056234</v>
      </c>
      <c r="W62" s="5">
        <f t="shared" si="9"/>
        <v>29.723214876783686</v>
      </c>
      <c r="X62" s="4">
        <f t="shared" si="10"/>
        <v>0.298637698072233</v>
      </c>
      <c r="Y62" s="3">
        <f t="shared" si="11"/>
        <v>27.989986071039681</v>
      </c>
      <c r="Z62" s="2">
        <f t="shared" si="12"/>
        <v>29.140271338651626</v>
      </c>
      <c r="AA62" s="3">
        <f t="shared" si="13"/>
        <v>29.457388977695718</v>
      </c>
      <c r="AB62" s="2">
        <f t="shared" si="14"/>
        <v>30.357576960485673</v>
      </c>
      <c r="AC62" s="2">
        <f t="shared" si="15"/>
        <v>31.881982577874133</v>
      </c>
      <c r="AD62" s="2">
        <f t="shared" si="16"/>
        <v>0.65832450912359064</v>
      </c>
      <c r="AE62" s="2">
        <f t="shared" si="17"/>
        <v>0.70264423293307932</v>
      </c>
    </row>
    <row r="63" spans="2:31" x14ac:dyDescent="0.2">
      <c r="B63" s="1">
        <f>[8]FormattedData!A41</f>
        <v>206</v>
      </c>
      <c r="C63" s="1" t="str">
        <f>VLOOKUP($B63,[8]TrtCodes!$B$11:I84,2)</f>
        <v>NSL</v>
      </c>
      <c r="D63" s="1">
        <f>VLOOKUP($B63,[8]TrtCodes!$B$11:J84,3)</f>
        <v>8</v>
      </c>
      <c r="E63" s="1">
        <f>VLOOKUP($B63,[8]TrtCodes!$B$11:K84,4)</f>
        <v>2</v>
      </c>
      <c r="F63" s="1">
        <f>VLOOKUP($B63,[8]TrtCodes!$B$11:L84,5)</f>
        <v>1</v>
      </c>
      <c r="G63" s="1">
        <f>VLOOKUP($B63,[8]TrtCodes!$B$11:M84,6)</f>
        <v>1</v>
      </c>
      <c r="H63" s="1">
        <f>VLOOKUP($B63,[8]TrtCodes!$B$11:N84,7)</f>
        <v>2</v>
      </c>
      <c r="I63" s="1">
        <f>[8]FormattedData!B41</f>
        <v>2</v>
      </c>
      <c r="J63" s="4">
        <f>[8]FormattedData!C41</f>
        <v>13.316000000000001</v>
      </c>
      <c r="K63" s="6">
        <f>$J$3+[8]FormattedData!D41*$J$4+$M$4*$J$5+[8]FormattedData!D41^2*$J$6+$M$5*$J$7</f>
        <v>31.399181511588797</v>
      </c>
      <c r="L63" s="6">
        <f>$J$3+[8]FormattedData!E41*$J$4+$M$4*$J$5+[8]FormattedData!E41^2*$J$6+$M$5*$J$7</f>
        <v>31.399181511588797</v>
      </c>
      <c r="M63" s="6">
        <f>$J$3+[8]FormattedData!F41*$J$4+$M$4*$J$5+[8]FormattedData!F41^2*$J$6+$M$5*$J$7</f>
        <v>30.818425370294673</v>
      </c>
      <c r="N63" s="6">
        <f>$J$3+[8]FormattedData!G41*$J$4+$M$4*$J$5+[8]FormattedData!G41^2*$J$6+$M$5*$J$7</f>
        <v>31.012179824877766</v>
      </c>
      <c r="O63" s="6">
        <f>$J$3+[8]FormattedData!H41*$J$4+$M$4*$J$5+[8]FormattedData!H41^2*$J$6+$M$5*$J$7</f>
        <v>30.138953320308993</v>
      </c>
      <c r="P63" s="6">
        <f>$J$3+[8]FormattedData!I41*$J$4+$M$4*$J$5+[8]FormattedData!I41^2*$J$6+$M$5*$J$7</f>
        <v>31.205765205309142</v>
      </c>
      <c r="Q63" s="6">
        <f>$J$3+[8]FormattedData!J41*$J$4+$M$4*$J$5+[8]FormattedData!J41^2*$J$6+$M$5*$J$7</f>
        <v>30.430409238673299</v>
      </c>
      <c r="R63" s="6">
        <f>$J$3+[8]FormattedData!K41*$J$4+$M$4*$J$5+[8]FormattedData!K41^2*$J$6+$M$5*$J$7</f>
        <v>30.527476674385536</v>
      </c>
      <c r="S63" s="6">
        <f>$J$3+[8]FormattedData!L41*$J$4+$M$4*$J$5+[8]FormattedData!L41^2*$J$6+$M$5*$J$7</f>
        <v>29.457410111964688</v>
      </c>
      <c r="T63" s="6">
        <f>$J$3+[8]FormattedData!M41*$J$4+$M$4*$J$5+[8]FormattedData!M41^2*$J$6+$M$5*$J$7</f>
        <v>29.944438032043131</v>
      </c>
      <c r="U63" s="6">
        <f>$J$3+[8]FormattedData!N41*$J$4+$M$4*$J$5+[8]FormattedData!N41^2*$J$6+$M$5*$J$7</f>
        <v>29.554900233056234</v>
      </c>
      <c r="V63" s="6">
        <f>$J$3+[8]FormattedData!O41*$J$4+$M$4*$J$5+[8]FormattedData!O41^2*$J$6+$M$5*$J$7</f>
        <v>29.554900233056234</v>
      </c>
      <c r="W63" s="5">
        <f t="shared" si="9"/>
        <v>30.453601772262271</v>
      </c>
      <c r="X63" s="4">
        <f t="shared" si="10"/>
        <v>0.20909384419958413</v>
      </c>
      <c r="Y63" s="3">
        <f t="shared" si="11"/>
        <v>29.457410111964688</v>
      </c>
      <c r="Z63" s="2">
        <f t="shared" si="12"/>
        <v>29.847053582296407</v>
      </c>
      <c r="AA63" s="3">
        <f t="shared" si="13"/>
        <v>30.478942956529416</v>
      </c>
      <c r="AB63" s="2">
        <f t="shared" si="14"/>
        <v>31.060576169985609</v>
      </c>
      <c r="AC63" s="2">
        <f t="shared" si="15"/>
        <v>31.399181511588797</v>
      </c>
      <c r="AD63" s="2">
        <f t="shared" si="16"/>
        <v>-7.5723387786218066E-2</v>
      </c>
      <c r="AE63" s="2">
        <f t="shared" si="17"/>
        <v>-1.514079636513864</v>
      </c>
    </row>
    <row r="64" spans="2:31" x14ac:dyDescent="0.2">
      <c r="B64" s="1">
        <f>[8]FormattedData!A43</f>
        <v>207</v>
      </c>
      <c r="C64" s="1" t="str">
        <f>VLOOKUP($B64,[8]TrtCodes!$B$11:I86,2)</f>
        <v>FTL</v>
      </c>
      <c r="D64" s="1">
        <f>VLOOKUP($B64,[8]TrtCodes!$B$11:J86,3)</f>
        <v>4</v>
      </c>
      <c r="E64" s="1">
        <f>VLOOKUP($B64,[8]TrtCodes!$B$11:K86,4)</f>
        <v>1</v>
      </c>
      <c r="F64" s="1">
        <f>VLOOKUP($B64,[8]TrtCodes!$B$11:L86,5)</f>
        <v>2</v>
      </c>
      <c r="G64" s="1">
        <f>VLOOKUP($B64,[8]TrtCodes!$B$11:M86,6)</f>
        <v>1</v>
      </c>
      <c r="H64" s="1">
        <f>VLOOKUP($B64,[8]TrtCodes!$B$11:N86,7)</f>
        <v>2</v>
      </c>
      <c r="I64" s="1">
        <f>[8]FormattedData!B43</f>
        <v>2</v>
      </c>
      <c r="J64" s="4">
        <f>[8]FormattedData!C43</f>
        <v>13.333</v>
      </c>
      <c r="K64" s="6">
        <f>$J$3+[8]FormattedData!D43*$J$4+$M$4*$J$5+[8]FormattedData!D43^2*$J$6+$M$5*$J$7</f>
        <v>29.262303064167789</v>
      </c>
      <c r="L64" s="6">
        <f>$J$3+[8]FormattedData!E43*$J$4+$M$4*$J$5+[8]FormattedData!E43^2*$J$6+$M$5*$J$7</f>
        <v>28.578096937933822</v>
      </c>
      <c r="M64" s="6">
        <f>$J$3+[8]FormattedData!F43*$J$4+$M$4*$J$5+[8]FormattedData!F43^2*$J$6+$M$5*$J$7</f>
        <v>28.675967475866752</v>
      </c>
      <c r="N64" s="6">
        <f>$J$3+[8]FormattedData!G43*$J$4+$M$4*$J$5+[8]FormattedData!G43^2*$J$6+$M$5*$J$7</f>
        <v>30.138953320308993</v>
      </c>
      <c r="O64" s="6">
        <f>$J$3+[8]FormattedData!H43*$J$4+$M$4*$J$5+[8]FormattedData!H43^2*$J$6+$M$5*$J$7</f>
        <v>28.773795745261754</v>
      </c>
      <c r="P64" s="6">
        <f>$J$3+[8]FormattedData!I43*$J$4+$M$4*$J$5+[8]FormattedData!I43^2*$J$6+$M$5*$J$7</f>
        <v>29.554900233056234</v>
      </c>
      <c r="Q64" s="6">
        <f>$J$3+[8]FormattedData!J43*$J$4+$M$4*$J$5+[8]FormattedData!J43^2*$J$6+$M$5*$J$7</f>
        <v>28.871581746118824</v>
      </c>
      <c r="R64" s="6">
        <f>$J$3+[8]FormattedData!K43*$J$4+$M$4*$J$5+[8]FormattedData!K43^2*$J$6+$M$5*$J$7</f>
        <v>29.944438032043131</v>
      </c>
      <c r="S64" s="6">
        <f>$J$3+[8]FormattedData!L43*$J$4+$M$4*$J$5+[8]FormattedData!L43^2*$J$6+$M$5*$J$7</f>
        <v>29.944438032043131</v>
      </c>
      <c r="T64" s="6">
        <f>$J$3+[8]FormattedData!M43*$J$4+$M$4*$J$5+[8]FormattedData!M43^2*$J$6+$M$5*$J$7</f>
        <v>29.652348085609859</v>
      </c>
      <c r="U64" s="6">
        <f>$J$3+[8]FormattedData!N43*$J$4+$M$4*$J$5+[8]FormattedData!N43^2*$J$6+$M$5*$J$7</f>
        <v>30.138953320308993</v>
      </c>
      <c r="V64" s="6">
        <f>$J$3+[8]FormattedData!O43*$J$4+$M$4*$J$5+[8]FormattedData!O43^2*$J$6+$M$5*$J$7</f>
        <v>30.236147561635022</v>
      </c>
      <c r="W64" s="5">
        <f t="shared" si="9"/>
        <v>29.480993629529525</v>
      </c>
      <c r="X64" s="4">
        <f t="shared" si="10"/>
        <v>0.1801323615401097</v>
      </c>
      <c r="Y64" s="3">
        <f t="shared" si="11"/>
        <v>28.578096937933822</v>
      </c>
      <c r="Z64" s="2">
        <f t="shared" si="12"/>
        <v>28.847135245904557</v>
      </c>
      <c r="AA64" s="3">
        <f t="shared" si="13"/>
        <v>29.603624159333044</v>
      </c>
      <c r="AB64" s="2">
        <f t="shared" si="14"/>
        <v>29.993066854109596</v>
      </c>
      <c r="AC64" s="2">
        <f t="shared" si="15"/>
        <v>30.236147561635022</v>
      </c>
      <c r="AD64" s="2">
        <f t="shared" si="16"/>
        <v>-0.28889494499734791</v>
      </c>
      <c r="AE64" s="2">
        <f t="shared" si="17"/>
        <v>-1.6760033447550198</v>
      </c>
    </row>
    <row r="65" spans="2:31" x14ac:dyDescent="0.2">
      <c r="B65" s="1">
        <f>[8]FormattedData!A45</f>
        <v>208</v>
      </c>
      <c r="C65" s="1" t="str">
        <f>VLOOKUP($B65,[8]TrtCodes!$B$11:I88,2)</f>
        <v>FSL</v>
      </c>
      <c r="D65" s="1">
        <f>VLOOKUP($B65,[8]TrtCodes!$B$11:J88,3)</f>
        <v>2</v>
      </c>
      <c r="E65" s="1">
        <f>VLOOKUP($B65,[8]TrtCodes!$B$11:K88,4)</f>
        <v>1</v>
      </c>
      <c r="F65" s="1">
        <f>VLOOKUP($B65,[8]TrtCodes!$B$11:L88,5)</f>
        <v>1</v>
      </c>
      <c r="G65" s="1">
        <f>VLOOKUP($B65,[8]TrtCodes!$B$11:M88,6)</f>
        <v>1</v>
      </c>
      <c r="H65" s="1">
        <f>VLOOKUP($B65,[8]TrtCodes!$B$11:N88,7)</f>
        <v>2</v>
      </c>
      <c r="I65" s="1">
        <f>[8]FormattedData!B45</f>
        <v>2</v>
      </c>
      <c r="J65" s="4">
        <f>[8]FormattedData!C45</f>
        <v>13.35</v>
      </c>
      <c r="K65" s="6">
        <f>$J$3+[8]FormattedData!D45*$J$4+$M$4*$J$5+[8]FormattedData!D45^2*$J$6+$M$5*$J$7</f>
        <v>27.10496664438811</v>
      </c>
      <c r="L65" s="6">
        <f>$J$3+[8]FormattedData!E45*$J$4+$M$4*$J$5+[8]FormattedData!E45^2*$J$6+$M$5*$J$7</f>
        <v>27.89181965334123</v>
      </c>
      <c r="M65" s="6">
        <f>$J$3+[8]FormattedData!F45*$J$4+$M$4*$J$5+[8]FormattedData!F45^2*$J$6+$M$5*$J$7</f>
        <v>29.652348085609859</v>
      </c>
      <c r="N65" s="6">
        <f>$J$3+[8]FormattedData!G45*$J$4+$M$4*$J$5+[8]FormattedData!G45^2*$J$6+$M$5*$J$7</f>
        <v>27.989986071039681</v>
      </c>
      <c r="O65" s="6">
        <f>$J$3+[8]FormattedData!H45*$J$4+$M$4*$J$5+[8]FormattedData!H45^2*$J$6+$M$5*$J$7</f>
        <v>28.480184131462959</v>
      </c>
      <c r="P65" s="6">
        <f>$J$3+[8]FormattedData!I45*$J$4+$M$4*$J$5+[8]FormattedData!I45^2*$J$6+$M$5*$J$7</f>
        <v>26.809199335154826</v>
      </c>
      <c r="Q65" s="6">
        <f>$J$3+[8]FormattedData!J45*$J$4+$M$4*$J$5+[8]FormattedData!J45^2*$J$6+$M$5*$J$7</f>
        <v>28.578096937933822</v>
      </c>
      <c r="R65" s="6">
        <f>$J$3+[8]FormattedData!K45*$J$4+$M$4*$J$5+[8]FormattedData!K45^2*$J$6+$M$5*$J$7</f>
        <v>28.088110220200196</v>
      </c>
      <c r="S65" s="6">
        <f>$J$3+[8]FormattedData!L45*$J$4+$M$4*$J$5+[8]FormattedData!L45^2*$J$6+$M$5*$J$7</f>
        <v>30.33329953442313</v>
      </c>
      <c r="T65" s="6">
        <f>$J$3+[8]FormattedData!M45*$J$4+$M$4*$J$5+[8]FormattedData!M45^2*$J$6+$M$5*$J$7</f>
        <v>28.969325478437963</v>
      </c>
      <c r="U65" s="6">
        <f>$J$3+[8]FormattedData!N45*$J$4+$M$4*$J$5+[8]FormattedData!N45^2*$J$6+$M$5*$J$7</f>
        <v>28.871581746118824</v>
      </c>
      <c r="V65" s="6">
        <f>$J$3+[8]FormattedData!O45*$J$4+$M$4*$J$5+[8]FormattedData!O45^2*$J$6+$M$5*$J$7</f>
        <v>29.749753669625544</v>
      </c>
      <c r="W65" s="5">
        <f t="shared" si="9"/>
        <v>28.543222625644677</v>
      </c>
      <c r="X65" s="4">
        <f t="shared" si="10"/>
        <v>0.30398572119060335</v>
      </c>
      <c r="Y65" s="3">
        <f t="shared" si="11"/>
        <v>26.809199335154826</v>
      </c>
      <c r="Z65" s="2">
        <f t="shared" si="12"/>
        <v>27.965444466615068</v>
      </c>
      <c r="AA65" s="3">
        <f t="shared" si="13"/>
        <v>28.529140534698392</v>
      </c>
      <c r="AB65" s="2">
        <f t="shared" si="14"/>
        <v>29.140081130230936</v>
      </c>
      <c r="AC65" s="2">
        <f t="shared" si="15"/>
        <v>30.33329953442313</v>
      </c>
      <c r="AD65" s="2">
        <f t="shared" si="16"/>
        <v>2.2452687161873951E-2</v>
      </c>
      <c r="AE65" s="2">
        <f t="shared" si="17"/>
        <v>-0.49876709634266136</v>
      </c>
    </row>
    <row r="66" spans="2:31" x14ac:dyDescent="0.2">
      <c r="B66" s="1">
        <f>[8]FormattedData!A63</f>
        <v>301</v>
      </c>
      <c r="C66" s="1" t="str">
        <f>VLOOKUP($B66,[8]TrtCodes!$B$11:I106,2)</f>
        <v>NTL</v>
      </c>
      <c r="D66" s="1">
        <f>VLOOKUP($B66,[8]TrtCodes!$B$11:J106,3)</f>
        <v>10</v>
      </c>
      <c r="E66" s="1">
        <f>VLOOKUP($B66,[8]TrtCodes!$B$11:K106,4)</f>
        <v>2</v>
      </c>
      <c r="F66" s="1">
        <f>VLOOKUP($B66,[8]TrtCodes!$B$11:L106,5)</f>
        <v>2</v>
      </c>
      <c r="G66" s="1">
        <f>VLOOKUP($B66,[8]TrtCodes!$B$11:M106,6)</f>
        <v>1</v>
      </c>
      <c r="H66" s="1">
        <f>VLOOKUP($B66,[8]TrtCodes!$B$11:N106,7)</f>
        <v>3</v>
      </c>
      <c r="I66" s="1">
        <f>[8]FormattedData!B63</f>
        <v>2</v>
      </c>
      <c r="J66" s="4">
        <f>[8]FormattedData!C63</f>
        <v>13.484999999999999</v>
      </c>
      <c r="K66" s="6">
        <f>$J$3+[8]FormattedData!D63*$J$4+$M$4*$J$5+[8]FormattedData!D63^2*$J$6+$M$5*$J$7</f>
        <v>30.721484740196225</v>
      </c>
      <c r="L66" s="6">
        <f>$J$3+[8]FormattedData!E63*$J$4+$M$4*$J$5+[8]FormattedData!E63^2*$J$6+$M$5*$J$7</f>
        <v>31.205765205309142</v>
      </c>
      <c r="M66" s="6">
        <f>$J$3+[8]FormattedData!F63*$J$4+$M$4*$J$5+[8]FormattedData!F63^2*$J$6+$M$5*$J$7</f>
        <v>31.592428743716724</v>
      </c>
      <c r="N66" s="6">
        <f>$J$3+[8]FormattedData!G63*$J$4+$M$4*$J$5+[8]FormattedData!G63^2*$J$6+$M$5*$J$7</f>
        <v>31.978415985517405</v>
      </c>
      <c r="O66" s="6">
        <f>$J$3+[8]FormattedData!H63*$J$4+$M$4*$J$5+[8]FormattedData!H63^2*$J$6+$M$5*$J$7</f>
        <v>30.624501841559848</v>
      </c>
      <c r="P66" s="6">
        <f>$J$3+[8]FormattedData!I63*$J$4+$M$4*$J$5+[8]FormattedData!I63^2*$J$6+$M$5*$J$7</f>
        <v>32.074807124622744</v>
      </c>
      <c r="Q66" s="6">
        <f>$J$3+[8]FormattedData!J63*$J$4+$M$4*$J$5+[8]FormattedData!J63^2*$J$6+$M$5*$J$7</f>
        <v>30.527476674385536</v>
      </c>
      <c r="R66" s="6">
        <f>$J$3+[8]FormattedData!K63*$J$4+$M$4*$J$5+[8]FormattedData!K63^2*$J$6+$M$5*$J$7</f>
        <v>31.012179824877766</v>
      </c>
      <c r="S66" s="6">
        <f>$J$3+[8]FormattedData!L63*$J$4+$M$4*$J$5+[8]FormattedData!L63^2*$J$6+$M$5*$J$7</f>
        <v>30.527476674385536</v>
      </c>
      <c r="T66" s="6">
        <f>$J$3+[8]FormattedData!M63*$J$4+$M$4*$J$5+[8]FormattedData!M63^2*$J$6+$M$5*$J$7</f>
        <v>31.30249449271794</v>
      </c>
      <c r="U66" s="6">
        <f>$J$3+[8]FormattedData!N63*$J$4+$M$4*$J$5+[8]FormattedData!N63^2*$J$6+$M$5*$J$7</f>
        <v>29.944438032043131</v>
      </c>
      <c r="V66" s="6">
        <f>$J$3+[8]FormattedData!O63*$J$4+$M$4*$J$5+[8]FormattedData!O63^2*$J$6+$M$5*$J$7</f>
        <v>31.30249449271794</v>
      </c>
      <c r="W66" s="5">
        <f t="shared" si="9"/>
        <v>31.067830319337489</v>
      </c>
      <c r="X66" s="4">
        <f t="shared" si="10"/>
        <v>0.18284575718082369</v>
      </c>
      <c r="Y66" s="3">
        <f t="shared" si="11"/>
        <v>29.944438032043131</v>
      </c>
      <c r="Z66" s="2">
        <f t="shared" si="12"/>
        <v>30.600245549766271</v>
      </c>
      <c r="AA66" s="3">
        <f t="shared" si="13"/>
        <v>31.108972515093456</v>
      </c>
      <c r="AB66" s="2">
        <f t="shared" si="14"/>
        <v>31.374978055467636</v>
      </c>
      <c r="AC66" s="2">
        <f t="shared" si="15"/>
        <v>32.074807124622744</v>
      </c>
      <c r="AD66" s="2">
        <f t="shared" si="16"/>
        <v>3.7269406858644404E-2</v>
      </c>
      <c r="AE66" s="2">
        <f t="shared" si="17"/>
        <v>-0.4951062221869198</v>
      </c>
    </row>
    <row r="67" spans="2:31" x14ac:dyDescent="0.2">
      <c r="B67" s="1">
        <f>[8]FormattedData!A65</f>
        <v>302</v>
      </c>
      <c r="C67" s="1" t="str">
        <f>VLOOKUP($B67,[8]TrtCodes!$B$11:I108,2)</f>
        <v>FTL</v>
      </c>
      <c r="D67" s="1">
        <f>VLOOKUP($B67,[8]TrtCodes!$B$11:J108,3)</f>
        <v>4</v>
      </c>
      <c r="E67" s="1">
        <f>VLOOKUP($B67,[8]TrtCodes!$B$11:K108,4)</f>
        <v>1</v>
      </c>
      <c r="F67" s="1">
        <f>VLOOKUP($B67,[8]TrtCodes!$B$11:L108,5)</f>
        <v>2</v>
      </c>
      <c r="G67" s="1">
        <f>VLOOKUP($B67,[8]TrtCodes!$B$11:M108,6)</f>
        <v>1</v>
      </c>
      <c r="H67" s="1">
        <f>VLOOKUP($B67,[8]TrtCodes!$B$11:N108,7)</f>
        <v>3</v>
      </c>
      <c r="I67" s="1">
        <f>[8]FormattedData!B65</f>
        <v>2</v>
      </c>
      <c r="J67" s="4">
        <f>[8]FormattedData!C65</f>
        <v>13.502000000000001</v>
      </c>
      <c r="K67" s="6">
        <f>$J$3+[8]FormattedData!D65*$J$4+$M$4*$J$5+[8]FormattedData!D65^2*$J$6+$M$5*$J$7</f>
        <v>28.088110220200196</v>
      </c>
      <c r="L67" s="6">
        <f>$J$3+[8]FormattedData!E65*$J$4+$M$4*$J$5+[8]FormattedData!E65^2*$J$6+$M$5*$J$7</f>
        <v>28.773795745261754</v>
      </c>
      <c r="M67" s="6">
        <f>$J$3+[8]FormattedData!F65*$J$4+$M$4*$J$5+[8]FormattedData!F65^2*$J$6+$M$5*$J$7</f>
        <v>28.675967475866752</v>
      </c>
      <c r="N67" s="6">
        <f>$J$3+[8]FormattedData!G65*$J$4+$M$4*$J$5+[8]FormattedData!G65^2*$J$6+$M$5*$J$7</f>
        <v>28.480184131462959</v>
      </c>
      <c r="O67" s="6">
        <f>$J$3+[8]FormattedData!H65*$J$4+$M$4*$J$5+[8]FormattedData!H65^2*$J$6+$M$5*$J$7</f>
        <v>29.164686137462446</v>
      </c>
      <c r="P67" s="6">
        <f>$J$3+[8]FormattedData!I65*$J$4+$M$4*$J$5+[8]FormattedData!I65^2*$J$6+$M$5*$J$7</f>
        <v>27.498731297168121</v>
      </c>
      <c r="Q67" s="6">
        <f>$J$3+[8]FormattedData!J65*$J$4+$M$4*$J$5+[8]FormattedData!J65^2*$J$6+$M$5*$J$7</f>
        <v>29.067026942219169</v>
      </c>
      <c r="R67" s="6">
        <f>$J$3+[8]FormattedData!K65*$J$4+$M$4*$J$5+[8]FormattedData!K65^2*$J$6+$M$5*$J$7</f>
        <v>28.871581746118824</v>
      </c>
      <c r="S67" s="6">
        <f>$J$3+[8]FormattedData!L65*$J$4+$M$4*$J$5+[8]FormattedData!L65^2*$J$6+$M$5*$J$7</f>
        <v>27.989986071039681</v>
      </c>
      <c r="T67" s="6">
        <f>$J$3+[8]FormattedData!M65*$J$4+$M$4*$J$5+[8]FormattedData!M65^2*$J$6+$M$5*$J$7</f>
        <v>28.284231712907438</v>
      </c>
      <c r="U67" s="6">
        <f>$J$3+[8]FormattedData!N65*$J$4+$M$4*$J$5+[8]FormattedData!N65^2*$J$6+$M$5*$J$7</f>
        <v>28.675967475866752</v>
      </c>
      <c r="V67" s="6">
        <f>$J$3+[8]FormattedData!O65*$J$4+$M$4*$J$5+[8]FormattedData!O65^2*$J$6+$M$5*$J$7</f>
        <v>27.89181965334123</v>
      </c>
      <c r="W67" s="5">
        <f t="shared" si="9"/>
        <v>28.455174050742944</v>
      </c>
      <c r="X67" s="4">
        <f t="shared" si="10"/>
        <v>0.14728140981159529</v>
      </c>
      <c r="Y67" s="3">
        <f t="shared" si="11"/>
        <v>27.498731297168121</v>
      </c>
      <c r="Z67" s="2">
        <f t="shared" si="12"/>
        <v>28.063579182910068</v>
      </c>
      <c r="AA67" s="3">
        <f t="shared" si="13"/>
        <v>28.578075803664856</v>
      </c>
      <c r="AB67" s="2">
        <f t="shared" si="14"/>
        <v>28.798242245476022</v>
      </c>
      <c r="AC67" s="2">
        <f t="shared" si="15"/>
        <v>29.164686137462446</v>
      </c>
      <c r="AD67" s="2">
        <f t="shared" si="16"/>
        <v>-0.40786251041293492</v>
      </c>
      <c r="AE67" s="2">
        <f t="shared" si="17"/>
        <v>-0.67963170052679223</v>
      </c>
    </row>
    <row r="68" spans="2:31" x14ac:dyDescent="0.2">
      <c r="B68" s="1">
        <f>[8]FormattedData!A67</f>
        <v>303</v>
      </c>
      <c r="C68" s="1" t="str">
        <f>VLOOKUP($B68,[8]TrtCodes!$B$11:I110,2)</f>
        <v>NSL</v>
      </c>
      <c r="D68" s="1">
        <f>VLOOKUP($B68,[8]TrtCodes!$B$11:J110,3)</f>
        <v>8</v>
      </c>
      <c r="E68" s="1">
        <f>VLOOKUP($B68,[8]TrtCodes!$B$11:K110,4)</f>
        <v>2</v>
      </c>
      <c r="F68" s="1">
        <f>VLOOKUP($B68,[8]TrtCodes!$B$11:L110,5)</f>
        <v>1</v>
      </c>
      <c r="G68" s="1">
        <f>VLOOKUP($B68,[8]TrtCodes!$B$11:M110,6)</f>
        <v>1</v>
      </c>
      <c r="H68" s="1">
        <f>VLOOKUP($B68,[8]TrtCodes!$B$11:N110,7)</f>
        <v>3</v>
      </c>
      <c r="I68" s="1">
        <f>[8]FormattedData!B67</f>
        <v>2</v>
      </c>
      <c r="J68" s="4">
        <f>[8]FormattedData!C67</f>
        <v>13.52</v>
      </c>
      <c r="K68" s="6">
        <f>$J$3+[8]FormattedData!D67*$J$4+$M$4*$J$5+[8]FormattedData!D67^2*$J$6+$M$5*$J$7</f>
        <v>29.554900233056234</v>
      </c>
      <c r="L68" s="6">
        <f>$J$3+[8]FormattedData!E67*$J$4+$M$4*$J$5+[8]FormattedData!E67^2*$J$6+$M$5*$J$7</f>
        <v>28.480184131462959</v>
      </c>
      <c r="M68" s="6">
        <f>$J$3+[8]FormattedData!F67*$J$4+$M$4*$J$5+[8]FormattedData!F67^2*$J$6+$M$5*$J$7</f>
        <v>28.969325478437963</v>
      </c>
      <c r="N68" s="6">
        <f>$J$3+[8]FormattedData!G67*$J$4+$M$4*$J$5+[8]FormattedData!G67^2*$J$6+$M$5*$J$7</f>
        <v>30.138953320308993</v>
      </c>
      <c r="O68" s="6">
        <f>$J$3+[8]FormattedData!H67*$J$4+$M$4*$J$5+[8]FormattedData!H67^2*$J$6+$M$5*$J$7</f>
        <v>28.578096937933822</v>
      </c>
      <c r="P68" s="6">
        <f>$J$3+[8]FormattedData!I67*$J$4+$M$4*$J$5+[8]FormattedData!I67^2*$J$6+$M$5*$J$7</f>
        <v>30.721484740196225</v>
      </c>
      <c r="Q68" s="6">
        <f>$J$3+[8]FormattedData!J67*$J$4+$M$4*$J$5+[8]FormattedData!J67^2*$J$6+$M$5*$J$7</f>
        <v>30.527476674385536</v>
      </c>
      <c r="R68" s="6">
        <f>$J$3+[8]FormattedData!K67*$J$4+$M$4*$J$5+[8]FormattedData!K67^2*$J$6+$M$5*$J$7</f>
        <v>31.012179824877766</v>
      </c>
      <c r="S68" s="6">
        <f>$J$3+[8]FormattedData!L67*$J$4+$M$4*$J$5+[8]FormattedData!L67^2*$J$6+$M$5*$J$7</f>
        <v>31.012179824877766</v>
      </c>
      <c r="T68" s="6">
        <f>$J$3+[8]FormattedData!M67*$J$4+$M$4*$J$5+[8]FormattedData!M67^2*$J$6+$M$5*$J$7</f>
        <v>30.527476674385536</v>
      </c>
      <c r="U68" s="6">
        <f>$J$3+[8]FormattedData!N67*$J$4+$M$4*$J$5+[8]FormattedData!N67^2*$J$6+$M$5*$J$7</f>
        <v>31.30249449271794</v>
      </c>
      <c r="V68" s="6">
        <f>$J$3+[8]FormattedData!O67*$J$4+$M$4*$J$5+[8]FormattedData!O67^2*$J$6+$M$5*$J$7</f>
        <v>30.527476674385536</v>
      </c>
      <c r="W68" s="5">
        <f t="shared" si="9"/>
        <v>30.112685750585516</v>
      </c>
      <c r="X68" s="4">
        <f t="shared" si="10"/>
        <v>0.28283904975085439</v>
      </c>
      <c r="Y68" s="3">
        <f t="shared" si="11"/>
        <v>28.480184131462959</v>
      </c>
      <c r="Z68" s="2">
        <f t="shared" si="12"/>
        <v>29.408506544401668</v>
      </c>
      <c r="AA68" s="3">
        <f t="shared" si="13"/>
        <v>30.527476674385536</v>
      </c>
      <c r="AB68" s="2">
        <f t="shared" si="14"/>
        <v>30.794158511366611</v>
      </c>
      <c r="AC68" s="2">
        <f t="shared" si="15"/>
        <v>31.30249449271794</v>
      </c>
      <c r="AD68" s="2">
        <f t="shared" si="16"/>
        <v>-0.70207456961822512</v>
      </c>
      <c r="AE68" s="2">
        <f t="shared" si="17"/>
        <v>-0.95660946040692041</v>
      </c>
    </row>
    <row r="69" spans="2:31" x14ac:dyDescent="0.2">
      <c r="B69" s="1">
        <f>[8]FormattedData!A69</f>
        <v>304</v>
      </c>
      <c r="C69" s="1" t="str">
        <f>VLOOKUP($B69,[8]TrtCodes!$B$11:I112,2)</f>
        <v>FSL</v>
      </c>
      <c r="D69" s="1">
        <f>VLOOKUP($B69,[8]TrtCodes!$B$11:J112,3)</f>
        <v>2</v>
      </c>
      <c r="E69" s="1">
        <f>VLOOKUP($B69,[8]TrtCodes!$B$11:K112,4)</f>
        <v>1</v>
      </c>
      <c r="F69" s="1">
        <f>VLOOKUP($B69,[8]TrtCodes!$B$11:L112,5)</f>
        <v>1</v>
      </c>
      <c r="G69" s="1">
        <f>VLOOKUP($B69,[8]TrtCodes!$B$11:M112,6)</f>
        <v>1</v>
      </c>
      <c r="H69" s="1">
        <f>VLOOKUP($B69,[8]TrtCodes!$B$11:N112,7)</f>
        <v>3</v>
      </c>
      <c r="I69" s="1">
        <f>[8]FormattedData!B69</f>
        <v>2</v>
      </c>
      <c r="J69" s="4">
        <f>[8]FormattedData!C69</f>
        <v>13.537000000000001</v>
      </c>
      <c r="K69" s="6">
        <f>$J$3+[8]FormattedData!D69*$J$4+$M$4*$J$5+[8]FormattedData!D69^2*$J$6+$M$5*$J$7</f>
        <v>27.989986071039681</v>
      </c>
      <c r="L69" s="6">
        <f>$J$3+[8]FormattedData!E69*$J$4+$M$4*$J$5+[8]FormattedData!E69^2*$J$6+$M$5*$J$7</f>
        <v>28.578096937933822</v>
      </c>
      <c r="M69" s="6">
        <f>$J$3+[8]FormattedData!F69*$J$4+$M$4*$J$5+[8]FormattedData!F69^2*$J$6+$M$5*$J$7</f>
        <v>29.359877722335202</v>
      </c>
      <c r="N69" s="6">
        <f>$J$3+[8]FormattedData!G69*$J$4+$M$4*$J$5+[8]FormattedData!G69^2*$J$6+$M$5*$J$7</f>
        <v>28.578096937933822</v>
      </c>
      <c r="O69" s="6">
        <f>$J$3+[8]FormattedData!H69*$J$4+$M$4*$J$5+[8]FormattedData!H69^2*$J$6+$M$5*$J$7</f>
        <v>29.067026942219169</v>
      </c>
      <c r="P69" s="6">
        <f>$J$3+[8]FormattedData!I69*$J$4+$M$4*$J$5+[8]FormattedData!I69^2*$J$6+$M$5*$J$7</f>
        <v>28.088110220200196</v>
      </c>
      <c r="Q69" s="6">
        <f>$J$3+[8]FormattedData!J69*$J$4+$M$4*$J$5+[8]FormattedData!J69^2*$J$6+$M$5*$J$7</f>
        <v>29.457410111964688</v>
      </c>
      <c r="R69" s="6">
        <f>$J$3+[8]FormattedData!K69*$J$4+$M$4*$J$5+[8]FormattedData!K69^2*$J$6+$M$5*$J$7</f>
        <v>29.554900233056234</v>
      </c>
      <c r="S69" s="6">
        <f>$J$3+[8]FormattedData!L69*$J$4+$M$4*$J$5+[8]FormattedData!L69^2*$J$6+$M$5*$J$7</f>
        <v>30.915323731855185</v>
      </c>
      <c r="T69" s="6">
        <f>$J$3+[8]FormattedData!M69*$J$4+$M$4*$J$5+[8]FormattedData!M69^2*$J$6+$M$5*$J$7</f>
        <v>29.944438032043131</v>
      </c>
      <c r="U69" s="6">
        <f>$J$3+[8]FormattedData!N69*$J$4+$M$4*$J$5+[8]FormattedData!N69^2*$J$6+$M$5*$J$7</f>
        <v>29.652348085609859</v>
      </c>
      <c r="V69" s="6">
        <f>$J$3+[8]FormattedData!O69*$J$4+$M$4*$J$5+[8]FormattedData!O69^2*$J$6+$M$5*$J$7</f>
        <v>29.652348085609859</v>
      </c>
      <c r="W69" s="5">
        <f t="shared" si="9"/>
        <v>29.236496925983403</v>
      </c>
      <c r="X69" s="4">
        <f t="shared" si="10"/>
        <v>0.23993675068916664</v>
      </c>
      <c r="Y69" s="3">
        <f t="shared" si="11"/>
        <v>27.989986071039681</v>
      </c>
      <c r="Z69" s="2">
        <f t="shared" si="12"/>
        <v>28.578096937933822</v>
      </c>
      <c r="AA69" s="3">
        <f t="shared" si="13"/>
        <v>29.408643917149945</v>
      </c>
      <c r="AB69" s="2">
        <f t="shared" si="14"/>
        <v>29.652348085609859</v>
      </c>
      <c r="AC69" s="2">
        <f t="shared" si="15"/>
        <v>30.915323731855185</v>
      </c>
      <c r="AD69" s="2">
        <f t="shared" si="16"/>
        <v>0.2371608020266639</v>
      </c>
      <c r="AE69" s="2">
        <f t="shared" si="17"/>
        <v>0.19211294959485858</v>
      </c>
    </row>
    <row r="70" spans="2:31" x14ac:dyDescent="0.2">
      <c r="B70" s="1">
        <f>[8]FormattedData!A71</f>
        <v>305</v>
      </c>
      <c r="C70" s="1" t="str">
        <f>VLOOKUP($B70,[8]TrtCodes!$B$11:I114,2)</f>
        <v>NDH</v>
      </c>
      <c r="D70" s="1">
        <f>VLOOKUP($B70,[8]TrtCodes!$B$11:J114,3)</f>
        <v>11</v>
      </c>
      <c r="E70" s="1">
        <f>VLOOKUP($B70,[8]TrtCodes!$B$11:K114,4)</f>
        <v>2</v>
      </c>
      <c r="F70" s="1">
        <f>VLOOKUP($B70,[8]TrtCodes!$B$11:L114,5)</f>
        <v>3</v>
      </c>
      <c r="G70" s="1">
        <f>VLOOKUP($B70,[8]TrtCodes!$B$11:M114,6)</f>
        <v>2</v>
      </c>
      <c r="H70" s="1">
        <f>VLOOKUP($B70,[8]TrtCodes!$B$11:N114,7)</f>
        <v>4</v>
      </c>
      <c r="I70" s="1">
        <f>[8]FormattedData!B71</f>
        <v>2</v>
      </c>
      <c r="J70" s="4">
        <f>[8]FormattedData!C71</f>
        <v>13.554</v>
      </c>
      <c r="K70" s="6">
        <f>$J$3+[8]FormattedData!D71*$J$4+$M$4*$J$5+[8]FormattedData!D71^2*$J$6+$M$5*$J$7</f>
        <v>29.944438032043131</v>
      </c>
      <c r="L70" s="6">
        <f>$J$3+[8]FormattedData!E71*$J$4+$M$4*$J$5+[8]FormattedData!E71^2*$J$6+$M$5*$J$7</f>
        <v>29.554900233056234</v>
      </c>
      <c r="M70" s="6">
        <f>$J$3+[8]FormattedData!F71*$J$4+$M$4*$J$5+[8]FormattedData!F71^2*$J$6+$M$5*$J$7</f>
        <v>30.527476674385536</v>
      </c>
      <c r="N70" s="6">
        <f>$J$3+[8]FormattedData!G71*$J$4+$M$4*$J$5+[8]FormattedData!G71^2*$J$6+$M$5*$J$7</f>
        <v>30.236147561635022</v>
      </c>
      <c r="O70" s="6">
        <f>$J$3+[8]FormattedData!H71*$J$4+$M$4*$J$5+[8]FormattedData!H71^2*$J$6+$M$5*$J$7</f>
        <v>29.749753669625544</v>
      </c>
      <c r="P70" s="6">
        <f>$J$3+[8]FormattedData!I71*$J$4+$M$4*$J$5+[8]FormattedData!I71^2*$J$6+$M$5*$J$7</f>
        <v>30.915323731855185</v>
      </c>
      <c r="Q70" s="6">
        <f>$J$3+[8]FormattedData!J71*$J$4+$M$4*$J$5+[8]FormattedData!J71^2*$J$6+$M$5*$J$7</f>
        <v>29.652348085609859</v>
      </c>
      <c r="R70" s="6">
        <f>$J$3+[8]FormattedData!K71*$J$4+$M$4*$J$5+[8]FormattedData!K71^2*$J$6+$M$5*$J$7</f>
        <v>29.944438032043131</v>
      </c>
      <c r="S70" s="6">
        <f>$J$3+[8]FormattedData!L71*$J$4+$M$4*$J$5+[8]FormattedData!L71^2*$J$6+$M$5*$J$7</f>
        <v>29.749753669625544</v>
      </c>
      <c r="T70" s="6">
        <f>$J$3+[8]FormattedData!M71*$J$4+$M$4*$J$5+[8]FormattedData!M71^2*$J$6+$M$5*$J$7</f>
        <v>31.495826261921728</v>
      </c>
      <c r="U70" s="6">
        <f>$J$3+[8]FormattedData!N71*$J$4+$M$4*$J$5+[8]FormattedData!N71^2*$J$6+$M$5*$J$7</f>
        <v>30.527476674385536</v>
      </c>
      <c r="V70" s="6">
        <f>$J$3+[8]FormattedData!O71*$J$4+$M$4*$J$5+[8]FormattedData!O71^2*$J$6+$M$5*$J$7</f>
        <v>30.430409238673299</v>
      </c>
      <c r="W70" s="5">
        <f t="shared" si="9"/>
        <v>30.227357655404976</v>
      </c>
      <c r="X70" s="4">
        <f t="shared" si="10"/>
        <v>0.16748797194151882</v>
      </c>
      <c r="Y70" s="3">
        <f t="shared" si="11"/>
        <v>29.554900233056234</v>
      </c>
      <c r="Z70" s="2">
        <f t="shared" si="12"/>
        <v>29.749753669625544</v>
      </c>
      <c r="AA70" s="3">
        <f t="shared" si="13"/>
        <v>30.090292796839076</v>
      </c>
      <c r="AB70" s="2">
        <f t="shared" si="14"/>
        <v>30.527476674385536</v>
      </c>
      <c r="AC70" s="2">
        <f t="shared" si="15"/>
        <v>31.495826261921728</v>
      </c>
      <c r="AD70" s="2">
        <f t="shared" si="16"/>
        <v>0.93370697780509038</v>
      </c>
      <c r="AE70" s="2">
        <f t="shared" si="17"/>
        <v>0.50206158193658723</v>
      </c>
    </row>
    <row r="71" spans="2:31" x14ac:dyDescent="0.2">
      <c r="B71" s="1">
        <f>[8]FormattedData!A73</f>
        <v>306</v>
      </c>
      <c r="C71" s="1" t="str">
        <f>VLOOKUP($B71,[8]TrtCodes!$B$11:I116,2)</f>
        <v>FTL</v>
      </c>
      <c r="D71" s="1">
        <f>VLOOKUP($B71,[8]TrtCodes!$B$11:J116,3)</f>
        <v>4</v>
      </c>
      <c r="E71" s="1">
        <f>VLOOKUP($B71,[8]TrtCodes!$B$11:K116,4)</f>
        <v>1</v>
      </c>
      <c r="F71" s="1">
        <f>VLOOKUP($B71,[8]TrtCodes!$B$11:L116,5)</f>
        <v>2</v>
      </c>
      <c r="G71" s="1">
        <f>VLOOKUP($B71,[8]TrtCodes!$B$11:M116,6)</f>
        <v>1</v>
      </c>
      <c r="H71" s="1">
        <f>VLOOKUP($B71,[8]TrtCodes!$B$11:N116,7)</f>
        <v>4</v>
      </c>
      <c r="I71" s="1">
        <f>[8]FormattedData!B73</f>
        <v>2</v>
      </c>
      <c r="J71" s="4">
        <f>[8]FormattedData!C73</f>
        <v>13.571</v>
      </c>
      <c r="K71" s="6">
        <f>$J$3+[8]FormattedData!D73*$J$4+$M$4*$J$5+[8]FormattedData!D73^2*$J$6+$M$5*$J$7</f>
        <v>32.748361579298063</v>
      </c>
      <c r="L71" s="6">
        <f>$J$3+[8]FormattedData!E73*$J$4+$M$4*$J$5+[8]FormattedData!E73^2*$J$6+$M$5*$J$7</f>
        <v>31.785506901692926</v>
      </c>
      <c r="M71" s="6">
        <f>$J$3+[8]FormattedData!F73*$J$4+$M$4*$J$5+[8]FormattedData!F73^2*$J$6+$M$5*$J$7</f>
        <v>32.074807124622744</v>
      </c>
      <c r="N71" s="6">
        <f>$J$3+[8]FormattedData!G73*$J$4+$M$4*$J$5+[8]FormattedData!G73^2*$J$6+$M$5*$J$7</f>
        <v>31.688988956973787</v>
      </c>
      <c r="O71" s="6">
        <f>$J$3+[8]FormattedData!H73*$J$4+$M$4*$J$5+[8]FormattedData!H73^2*$J$6+$M$5*$J$7</f>
        <v>30.818425370294673</v>
      </c>
      <c r="P71" s="6">
        <f>$J$3+[8]FormattedData!I73*$J$4+$M$4*$J$5+[8]FormattedData!I73^2*$J$6+$M$5*$J$7</f>
        <v>30.33329953442313</v>
      </c>
      <c r="Q71" s="6">
        <f>$J$3+[8]FormattedData!J73*$J$4+$M$4*$J$5+[8]FormattedData!J73^2*$J$6+$M$5*$J$7</f>
        <v>31.495826261921728</v>
      </c>
      <c r="R71" s="6">
        <f>$J$3+[8]FormattedData!K73*$J$4+$M$4*$J$5+[8]FormattedData!K73^2*$J$6+$M$5*$J$7</f>
        <v>30.721484740196225</v>
      </c>
      <c r="S71" s="6">
        <f>$J$3+[8]FormattedData!L73*$J$4+$M$4*$J$5+[8]FormattedData!L73^2*$J$6+$M$5*$J$7</f>
        <v>31.592428743716724</v>
      </c>
      <c r="T71" s="6">
        <f>$J$3+[8]FormattedData!M73*$J$4+$M$4*$J$5+[8]FormattedData!M73^2*$J$6+$M$5*$J$7</f>
        <v>29.359877722335202</v>
      </c>
      <c r="U71" s="6">
        <f>$J$3+[8]FormattedData!N73*$J$4+$M$4*$J$5+[8]FormattedData!N73^2*$J$6+$M$5*$J$7</f>
        <v>30.33329953442313</v>
      </c>
      <c r="V71" s="6">
        <f>$J$3+[8]FormattedData!O73*$J$4+$M$4*$J$5+[8]FormattedData!O73^2*$J$6+$M$5*$J$7</f>
        <v>30.236147561635022</v>
      </c>
      <c r="W71" s="5">
        <f t="shared" si="9"/>
        <v>31.099037835961116</v>
      </c>
      <c r="X71" s="4">
        <f t="shared" si="10"/>
        <v>0.27600792940548347</v>
      </c>
      <c r="Y71" s="3">
        <f t="shared" si="11"/>
        <v>29.359877722335202</v>
      </c>
      <c r="Z71" s="2">
        <f t="shared" si="12"/>
        <v>30.33329953442313</v>
      </c>
      <c r="AA71" s="3">
        <f t="shared" si="13"/>
        <v>31.157125816108199</v>
      </c>
      <c r="AB71" s="2">
        <f t="shared" si="14"/>
        <v>31.713118443153572</v>
      </c>
      <c r="AC71" s="2">
        <f t="shared" si="15"/>
        <v>32.748361579298063</v>
      </c>
      <c r="AD71" s="2">
        <f t="shared" si="16"/>
        <v>-9.3575166643607016E-2</v>
      </c>
      <c r="AE71" s="2">
        <f t="shared" si="17"/>
        <v>-0.42231845654210076</v>
      </c>
    </row>
    <row r="72" spans="2:31" x14ac:dyDescent="0.2">
      <c r="B72" s="1">
        <f>[8]FormattedData!A75</f>
        <v>307</v>
      </c>
      <c r="C72" s="1" t="str">
        <f>VLOOKUP($B72,[8]TrtCodes!$B$11:I118,2)</f>
        <v>NTH</v>
      </c>
      <c r="D72" s="1">
        <f>VLOOKUP($B72,[8]TrtCodes!$B$11:J118,3)</f>
        <v>9</v>
      </c>
      <c r="E72" s="1">
        <f>VLOOKUP($B72,[8]TrtCodes!$B$11:K118,4)</f>
        <v>2</v>
      </c>
      <c r="F72" s="1">
        <f>VLOOKUP($B72,[8]TrtCodes!$B$11:L118,5)</f>
        <v>2</v>
      </c>
      <c r="G72" s="1">
        <f>VLOOKUP($B72,[8]TrtCodes!$B$11:M118,6)</f>
        <v>2</v>
      </c>
      <c r="H72" s="1">
        <f>VLOOKUP($B72,[8]TrtCodes!$B$11:N118,7)</f>
        <v>4</v>
      </c>
      <c r="I72" s="1">
        <f>[8]FormattedData!B75</f>
        <v>2</v>
      </c>
      <c r="J72" s="4">
        <f>[8]FormattedData!C75</f>
        <v>13.587999999999999</v>
      </c>
      <c r="K72" s="6">
        <f>$J$3+[8]FormattedData!D75*$J$4+$M$4*$J$5+[8]FormattedData!D75^2*$J$6+$M$5*$J$7</f>
        <v>29.944438032043131</v>
      </c>
      <c r="L72" s="6">
        <f>$J$3+[8]FormattedData!E75*$J$4+$M$4*$J$5+[8]FormattedData!E75^2*$J$6+$M$5*$J$7</f>
        <v>29.847116985103309</v>
      </c>
      <c r="M72" s="6">
        <f>$J$3+[8]FormattedData!F75*$J$4+$M$4*$J$5+[8]FormattedData!F75^2*$J$6+$M$5*$J$7</f>
        <v>30.138953320308993</v>
      </c>
      <c r="N72" s="6">
        <f>$J$3+[8]FormattedData!G75*$J$4+$M$4*$J$5+[8]FormattedData!G75^2*$J$6+$M$5*$J$7</f>
        <v>29.652348085609859</v>
      </c>
      <c r="O72" s="6">
        <f>$J$3+[8]FormattedData!H75*$J$4+$M$4*$J$5+[8]FormattedData!H75^2*$J$6+$M$5*$J$7</f>
        <v>28.284231712907438</v>
      </c>
      <c r="P72" s="6">
        <f>$J$3+[8]FormattedData!I75*$J$4+$M$4*$J$5+[8]FormattedData!I75^2*$J$6+$M$5*$J$7</f>
        <v>29.457410111964688</v>
      </c>
      <c r="Q72" s="6">
        <f>$J$3+[8]FormattedData!J75*$J$4+$M$4*$J$5+[8]FormattedData!J75^2*$J$6+$M$5*$J$7</f>
        <v>27.301933507853974</v>
      </c>
      <c r="R72" s="6">
        <f>$J$3+[8]FormattedData!K75*$J$4+$M$4*$J$5+[8]FormattedData!K75^2*$J$6+$M$5*$J$7</f>
        <v>28.773795745261754</v>
      </c>
      <c r="S72" s="6">
        <f>$J$3+[8]FormattedData!L75*$J$4+$M$4*$J$5+[8]FormattedData!L75^2*$J$6+$M$5*$J$7</f>
        <v>31.978415985517405</v>
      </c>
      <c r="T72" s="6">
        <f>$J$3+[8]FormattedData!M75*$J$4+$M$4*$J$5+[8]FormattedData!M75^2*$J$6+$M$5*$J$7</f>
        <v>29.944438032043131</v>
      </c>
      <c r="U72" s="6">
        <f>$J$3+[8]FormattedData!N75*$J$4+$M$4*$J$5+[8]FormattedData!N75^2*$J$6+$M$5*$J$7</f>
        <v>28.773795745261754</v>
      </c>
      <c r="V72" s="6">
        <f>$J$3+[8]FormattedData!O75*$J$4+$M$4*$J$5+[8]FormattedData!O75^2*$J$6+$M$5*$J$7</f>
        <v>28.969325478437963</v>
      </c>
      <c r="W72" s="5">
        <f t="shared" si="9"/>
        <v>29.422183561859445</v>
      </c>
      <c r="X72" s="4">
        <f t="shared" si="10"/>
        <v>0.33331048693879128</v>
      </c>
      <c r="Y72" s="3">
        <f t="shared" si="11"/>
        <v>27.301933507853974</v>
      </c>
      <c r="Z72" s="2">
        <f t="shared" si="12"/>
        <v>28.773795745261754</v>
      </c>
      <c r="AA72" s="3">
        <f t="shared" si="13"/>
        <v>29.554879098787275</v>
      </c>
      <c r="AB72" s="2">
        <f t="shared" si="14"/>
        <v>29.944438032043131</v>
      </c>
      <c r="AC72" s="2">
        <f t="shared" si="15"/>
        <v>31.978415985517405</v>
      </c>
      <c r="AD72" s="2">
        <f t="shared" si="16"/>
        <v>0.4112113756900696</v>
      </c>
      <c r="AE72" s="2">
        <f t="shared" si="17"/>
        <v>1.7674769535843673</v>
      </c>
    </row>
    <row r="73" spans="2:31" x14ac:dyDescent="0.2">
      <c r="B73" s="1">
        <f>[8]FormattedData!A77</f>
        <v>308</v>
      </c>
      <c r="C73" s="1" t="str">
        <f>VLOOKUP($B73,[8]TrtCodes!$B$11:I120,2)</f>
        <v>FDH</v>
      </c>
      <c r="D73" s="1">
        <f>VLOOKUP($B73,[8]TrtCodes!$B$11:J120,3)</f>
        <v>5</v>
      </c>
      <c r="E73" s="1">
        <f>VLOOKUP($B73,[8]TrtCodes!$B$11:K120,4)</f>
        <v>1</v>
      </c>
      <c r="F73" s="1">
        <f>VLOOKUP($B73,[8]TrtCodes!$B$11:L120,5)</f>
        <v>3</v>
      </c>
      <c r="G73" s="1">
        <f>VLOOKUP($B73,[8]TrtCodes!$B$11:M120,6)</f>
        <v>2</v>
      </c>
      <c r="H73" s="1">
        <f>VLOOKUP($B73,[8]TrtCodes!$B$11:N120,7)</f>
        <v>4</v>
      </c>
      <c r="I73" s="1">
        <f>[8]FormattedData!B77</f>
        <v>2</v>
      </c>
      <c r="J73" s="4">
        <f>[8]FormattedData!C77</f>
        <v>13.605</v>
      </c>
      <c r="K73" s="6">
        <f>$J$3+[8]FormattedData!D77*$J$4+$M$4*$J$5+[8]FormattedData!D77^2*$J$6+$M$5*$J$7</f>
        <v>31.012179824877766</v>
      </c>
      <c r="L73" s="6">
        <f>$J$3+[8]FormattedData!E77*$J$4+$M$4*$J$5+[8]FormattedData!E77^2*$J$6+$M$5*$J$7</f>
        <v>30.236147561635022</v>
      </c>
      <c r="M73" s="6">
        <f>$J$3+[8]FormattedData!F77*$J$4+$M$4*$J$5+[8]FormattedData!F77^2*$J$6+$M$5*$J$7</f>
        <v>30.041716810445024</v>
      </c>
      <c r="N73" s="6">
        <f>$J$3+[8]FormattedData!G77*$J$4+$M$4*$J$5+[8]FormattedData!G77^2*$J$6+$M$5*$J$7</f>
        <v>30.624501841559848</v>
      </c>
      <c r="O73" s="6">
        <f>$J$3+[8]FormattedData!H77*$J$4+$M$4*$J$5+[8]FormattedData!H77^2*$J$6+$M$5*$J$7</f>
        <v>30.721484740196225</v>
      </c>
      <c r="P73" s="6">
        <f>$J$3+[8]FormattedData!I77*$J$4+$M$4*$J$5+[8]FormattedData!I77^2*$J$6+$M$5*$J$7</f>
        <v>32.171155995190148</v>
      </c>
      <c r="Q73" s="6">
        <f>$J$3+[8]FormattedData!J77*$J$4+$M$4*$J$5+[8]FormattedData!J77^2*$J$6+$M$5*$J$7</f>
        <v>30.138953320308993</v>
      </c>
      <c r="R73" s="6">
        <f>$J$3+[8]FormattedData!K77*$J$4+$M$4*$J$5+[8]FormattedData!K77^2*$J$6+$M$5*$J$7</f>
        <v>32.459948995664803</v>
      </c>
      <c r="S73" s="6">
        <f>$J$3+[8]FormattedData!L77*$J$4+$M$4*$J$5+[8]FormattedData!L77^2*$J$6+$M$5*$J$7</f>
        <v>31.108993649362425</v>
      </c>
      <c r="T73" s="6">
        <f>$J$3+[8]FormattedData!M77*$J$4+$M$4*$J$5+[8]FormattedData!M77^2*$J$6+$M$5*$J$7</f>
        <v>30.527476674385536</v>
      </c>
      <c r="U73" s="6">
        <f>$J$3+[8]FormattedData!N77*$J$4+$M$4*$J$5+[8]FormattedData!N77^2*$J$6+$M$5*$J$7</f>
        <v>29.749753669625544</v>
      </c>
      <c r="V73" s="6">
        <f>$J$3+[8]FormattedData!O77*$J$4+$M$4*$J$5+[8]FormattedData!O77^2*$J$6+$M$5*$J$7</f>
        <v>30.041716810445024</v>
      </c>
      <c r="W73" s="5">
        <f t="shared" si="9"/>
        <v>30.736169157808025</v>
      </c>
      <c r="X73" s="4">
        <f t="shared" si="10"/>
        <v>0.24380590129795679</v>
      </c>
      <c r="Y73" s="3">
        <f t="shared" si="11"/>
        <v>29.749753669625544</v>
      </c>
      <c r="Z73" s="2">
        <f t="shared" si="12"/>
        <v>30.114644192843002</v>
      </c>
      <c r="AA73" s="3">
        <f t="shared" si="13"/>
        <v>30.575989257972694</v>
      </c>
      <c r="AB73" s="2">
        <f t="shared" si="14"/>
        <v>31.03638328099893</v>
      </c>
      <c r="AC73" s="2">
        <f t="shared" si="15"/>
        <v>32.459948995664803</v>
      </c>
      <c r="AD73" s="2">
        <f t="shared" si="16"/>
        <v>1.1176062966169158</v>
      </c>
      <c r="AE73" s="2">
        <f t="shared" si="17"/>
        <v>0.51884945179308328</v>
      </c>
    </row>
    <row r="74" spans="2:31" x14ac:dyDescent="0.2">
      <c r="B74" s="1">
        <f>[8]FormattedData!A93</f>
        <v>401</v>
      </c>
      <c r="C74" s="1" t="str">
        <f>VLOOKUP($B74,[8]TrtCodes!$B$11:I130,2)</f>
        <v>NSH</v>
      </c>
      <c r="D74" s="1">
        <f>VLOOKUP($B74,[8]TrtCodes!$B$11:J130,3)</f>
        <v>7</v>
      </c>
      <c r="E74" s="1">
        <f>VLOOKUP($B74,[8]TrtCodes!$B$11:K130,4)</f>
        <v>2</v>
      </c>
      <c r="F74" s="1">
        <f>VLOOKUP($B74,[8]TrtCodes!$B$11:L130,5)</f>
        <v>1</v>
      </c>
      <c r="G74" s="1">
        <f>VLOOKUP($B74,[8]TrtCodes!$B$11:M130,6)</f>
        <v>2</v>
      </c>
      <c r="H74" s="1">
        <f>VLOOKUP($B74,[8]TrtCodes!$B$11:N130,7)</f>
        <v>3</v>
      </c>
      <c r="I74" s="1">
        <f>[8]FormattedData!B93</f>
        <v>2</v>
      </c>
      <c r="J74" s="4">
        <f>[8]FormattedData!C93</f>
        <v>13.749000000000001</v>
      </c>
      <c r="K74" s="6">
        <f>$J$3+[8]FormattedData!D93*$J$4+$M$4*$J$5+[8]FormattedData!D93^2*$J$6+$M$5*$J$7</f>
        <v>28.480184131462959</v>
      </c>
      <c r="L74" s="6">
        <f>$J$3+[8]FormattedData!E93*$J$4+$M$4*$J$5+[8]FormattedData!E93^2*$J$6+$M$5*$J$7</f>
        <v>29.847116985103309</v>
      </c>
      <c r="M74" s="6">
        <f>$J$3+[8]FormattedData!F93*$J$4+$M$4*$J$5+[8]FormattedData!F93^2*$J$6+$M$5*$J$7</f>
        <v>29.164686137462446</v>
      </c>
      <c r="N74" s="6">
        <f>$J$3+[8]FormattedData!G93*$J$4+$M$4*$J$5+[8]FormattedData!G93^2*$J$6+$M$5*$J$7</f>
        <v>28.969325478437963</v>
      </c>
      <c r="O74" s="6">
        <f>$J$3+[8]FormattedData!H93*$J$4+$M$4*$J$5+[8]FormattedData!H93^2*$J$6+$M$5*$J$7</f>
        <v>29.847116985103309</v>
      </c>
      <c r="P74" s="6">
        <f>$J$3+[8]FormattedData!I93*$J$4+$M$4*$J$5+[8]FormattedData!I93^2*$J$6+$M$5*$J$7</f>
        <v>29.067026942219169</v>
      </c>
      <c r="Q74" s="6">
        <f>$J$3+[8]FormattedData!J93*$J$4+$M$4*$J$5+[8]FormattedData!J93^2*$J$6+$M$5*$J$7</f>
        <v>30.138953320308993</v>
      </c>
      <c r="R74" s="6">
        <f>$J$3+[8]FormattedData!K93*$J$4+$M$4*$J$5+[8]FormattedData!K93^2*$J$6+$M$5*$J$7</f>
        <v>31.205765205309142</v>
      </c>
      <c r="S74" s="6">
        <f>$J$3+[8]FormattedData!L93*$J$4+$M$4*$J$5+[8]FormattedData!L93^2*$J$6+$M$5*$J$7</f>
        <v>29.944438032043131</v>
      </c>
      <c r="T74" s="6">
        <f>$J$3+[8]FormattedData!M93*$J$4+$M$4*$J$5+[8]FormattedData!M93^2*$J$6+$M$5*$J$7</f>
        <v>29.749753669625544</v>
      </c>
      <c r="U74" s="6">
        <f>$J$3+[8]FormattedData!N93*$J$4+$M$4*$J$5+[8]FormattedData!N93^2*$J$6+$M$5*$J$7</f>
        <v>30.818425370294673</v>
      </c>
      <c r="V74" s="6">
        <f>$J$3+[8]FormattedData!O93*$J$4+$M$4*$J$5+[8]FormattedData!O93^2*$J$6+$M$5*$J$7</f>
        <v>29.652348085609859</v>
      </c>
      <c r="W74" s="5">
        <f t="shared" ref="W74:W105" si="18">AVERAGE(K74:V74)</f>
        <v>29.74042836191504</v>
      </c>
      <c r="X74" s="4">
        <f t="shared" ref="X74:X85" si="19">STDEV(K74:V74)/SQRT(COUNT(K74:V74))</f>
        <v>0.22204465634134152</v>
      </c>
      <c r="Y74" s="3">
        <f t="shared" ref="Y74:Y85" si="20">MIN(K74:V74)</f>
        <v>28.480184131462959</v>
      </c>
      <c r="Z74" s="2">
        <f t="shared" ref="Z74:Z85" si="21">QUARTILE(K74:V74,1)</f>
        <v>29.140271338651626</v>
      </c>
      <c r="AA74" s="3">
        <f t="shared" ref="AA74:AA85" si="22">MEDIAN(K74:V74)</f>
        <v>29.798435327364427</v>
      </c>
      <c r="AB74" s="2">
        <f t="shared" ref="AB74:AB85" si="23">QUARTILE(K74:V74,3)</f>
        <v>29.993066854109596</v>
      </c>
      <c r="AC74" s="2">
        <f t="shared" ref="AC74:AC85" si="24">MAX(K74:V74)</f>
        <v>31.205765205309142</v>
      </c>
      <c r="AD74" s="2">
        <f t="shared" ref="AD74:AD85" si="25">SKEW(K74:V74)</f>
        <v>0.36350096280369393</v>
      </c>
      <c r="AE74" s="2">
        <f t="shared" ref="AE74:AE85" si="26">KURT(K74:V74)</f>
        <v>9.8992667346958996E-2</v>
      </c>
    </row>
    <row r="75" spans="2:31" x14ac:dyDescent="0.2">
      <c r="B75" s="1">
        <f>[8]FormattedData!A91</f>
        <v>402</v>
      </c>
      <c r="C75" s="1" t="str">
        <f>VLOOKUP($B75,[8]TrtCodes!$B$11:I131,2)</f>
        <v>NTH</v>
      </c>
      <c r="D75" s="1">
        <f>VLOOKUP($B75,[8]TrtCodes!$B$11:J131,3)</f>
        <v>9</v>
      </c>
      <c r="E75" s="1">
        <f>VLOOKUP($B75,[8]TrtCodes!$B$11:K131,4)</f>
        <v>2</v>
      </c>
      <c r="F75" s="1">
        <f>VLOOKUP($B75,[8]TrtCodes!$B$11:L131,5)</f>
        <v>2</v>
      </c>
      <c r="G75" s="1">
        <f>VLOOKUP($B75,[8]TrtCodes!$B$11:M131,6)</f>
        <v>2</v>
      </c>
      <c r="H75" s="1">
        <f>VLOOKUP($B75,[8]TrtCodes!$B$11:N131,7)</f>
        <v>3</v>
      </c>
      <c r="I75" s="1">
        <f>[8]FormattedData!B91</f>
        <v>2</v>
      </c>
      <c r="J75" s="4">
        <f>[8]FormattedData!C91</f>
        <v>13.731</v>
      </c>
      <c r="K75" s="6">
        <f>$J$3+[8]FormattedData!D91*$J$4+$M$4*$J$5+[8]FormattedData!D91^2*$J$6+$M$5*$J$7</f>
        <v>30.138953320308993</v>
      </c>
      <c r="L75" s="6">
        <f>$J$3+[8]FormattedData!E91*$J$4+$M$4*$J$5+[8]FormattedData!E91^2*$J$6+$M$5*$J$7</f>
        <v>30.236147561635022</v>
      </c>
      <c r="M75" s="6">
        <f>$J$3+[8]FormattedData!F91*$J$4+$M$4*$J$5+[8]FormattedData!F91^2*$J$6+$M$5*$J$7</f>
        <v>32.556128792080486</v>
      </c>
      <c r="N75" s="6">
        <f>$J$3+[8]FormattedData!G91*$J$4+$M$4*$J$5+[8]FormattedData!G91^2*$J$6+$M$5*$J$7</f>
        <v>30.721484740196225</v>
      </c>
      <c r="O75" s="6">
        <f>$J$3+[8]FormattedData!H91*$J$4+$M$4*$J$5+[8]FormattedData!H91^2*$J$6+$M$5*$J$7</f>
        <v>31.30249449271794</v>
      </c>
      <c r="P75" s="6">
        <f>$J$3+[8]FormattedData!I91*$J$4+$M$4*$J$5+[8]FormattedData!I91^2*$J$6+$M$5*$J$7</f>
        <v>30.138953320308993</v>
      </c>
      <c r="Q75" s="6">
        <f>$J$3+[8]FormattedData!J91*$J$4+$M$4*$J$5+[8]FormattedData!J91^2*$J$6+$M$5*$J$7</f>
        <v>30.818425370294673</v>
      </c>
      <c r="R75" s="6">
        <f>$J$3+[8]FormattedData!K91*$J$4+$M$4*$J$5+[8]FormattedData!K91^2*$J$6+$M$5*$J$7</f>
        <v>31.495826261921728</v>
      </c>
      <c r="S75" s="6">
        <f>$J$3+[8]FormattedData!L91*$J$4+$M$4*$J$5+[8]FormattedData!L91^2*$J$6+$M$5*$J$7</f>
        <v>31.785506901692926</v>
      </c>
      <c r="T75" s="6">
        <f>$J$3+[8]FormattedData!M91*$J$4+$M$4*$J$5+[8]FormattedData!M91^2*$J$6+$M$5*$J$7</f>
        <v>32.074807124622744</v>
      </c>
      <c r="U75" s="6">
        <f>$J$3+[8]FormattedData!N91*$J$4+$M$4*$J$5+[8]FormattedData!N91^2*$J$6+$M$5*$J$7</f>
        <v>32.748361579298063</v>
      </c>
      <c r="V75" s="6">
        <f>$J$3+[8]FormattedData!O91*$J$4+$M$4*$J$5+[8]FormattedData!O91^2*$J$6+$M$5*$J$7</f>
        <v>32.459948995664803</v>
      </c>
      <c r="W75" s="5">
        <f t="shared" si="18"/>
        <v>31.373086538395217</v>
      </c>
      <c r="X75" s="4">
        <f t="shared" si="19"/>
        <v>0.27833140235211018</v>
      </c>
      <c r="Y75" s="3">
        <f t="shared" si="20"/>
        <v>30.138953320308993</v>
      </c>
      <c r="Z75" s="2">
        <f t="shared" si="21"/>
        <v>30.600150445555926</v>
      </c>
      <c r="AA75" s="3">
        <f t="shared" si="22"/>
        <v>31.399160377319834</v>
      </c>
      <c r="AB75" s="2">
        <f t="shared" si="23"/>
        <v>32.17109259238326</v>
      </c>
      <c r="AC75" s="2">
        <f t="shared" si="24"/>
        <v>32.748361579298063</v>
      </c>
      <c r="AD75" s="2">
        <f t="shared" si="25"/>
        <v>3.4283591832722692E-2</v>
      </c>
      <c r="AE75" s="2">
        <f t="shared" si="26"/>
        <v>-1.5191402969620191</v>
      </c>
    </row>
    <row r="76" spans="2:31" x14ac:dyDescent="0.2">
      <c r="B76" s="1">
        <f>[8]FormattedData!A89</f>
        <v>403</v>
      </c>
      <c r="C76" s="1" t="str">
        <f>VLOOKUP($B76,[8]TrtCodes!$B$11:I132,2)</f>
        <v>FDL</v>
      </c>
      <c r="D76" s="1">
        <f>VLOOKUP($B76,[8]TrtCodes!$B$11:J132,3)</f>
        <v>6</v>
      </c>
      <c r="E76" s="1">
        <f>VLOOKUP($B76,[8]TrtCodes!$B$11:K132,4)</f>
        <v>1</v>
      </c>
      <c r="F76" s="1">
        <f>VLOOKUP($B76,[8]TrtCodes!$B$11:L132,5)</f>
        <v>3</v>
      </c>
      <c r="G76" s="1">
        <f>VLOOKUP($B76,[8]TrtCodes!$B$11:M132,6)</f>
        <v>1</v>
      </c>
      <c r="H76" s="1">
        <f>VLOOKUP($B76,[8]TrtCodes!$B$11:N132,7)</f>
        <v>3</v>
      </c>
      <c r="I76" s="1">
        <f>[8]FormattedData!B89</f>
        <v>2</v>
      </c>
      <c r="J76" s="4">
        <f>[8]FormattedData!C89</f>
        <v>13.715</v>
      </c>
      <c r="K76" s="6">
        <f>$J$3+[8]FormattedData!D89*$J$4+$M$4*$J$5+[8]FormattedData!D89^2*$J$6+$M$5*$J$7</f>
        <v>27.10496664438811</v>
      </c>
      <c r="L76" s="6">
        <f>$J$3+[8]FormattedData!E89*$J$4+$M$4*$J$5+[8]FormattedData!E89^2*$J$6+$M$5*$J$7</f>
        <v>26.611809786309649</v>
      </c>
      <c r="M76" s="6">
        <f>$J$3+[8]FormattedData!F89*$J$4+$M$4*$J$5+[8]FormattedData!F89^2*$J$6+$M$5*$J$7</f>
        <v>28.871581746118824</v>
      </c>
      <c r="N76" s="6">
        <f>$J$3+[8]FormattedData!G89*$J$4+$M$4*$J$5+[8]FormattedData!G89^2*$J$6+$M$5*$J$7</f>
        <v>27.989986071039681</v>
      </c>
      <c r="O76" s="6">
        <f>$J$3+[8]FormattedData!H89*$J$4+$M$4*$J$5+[8]FormattedData!H89^2*$J$6+$M$5*$J$7</f>
        <v>27.10496664438811</v>
      </c>
      <c r="P76" s="6">
        <f>$J$3+[8]FormattedData!I89*$J$4+$M$4*$J$5+[8]FormattedData!I89^2*$J$6+$M$5*$J$7</f>
        <v>28.284231712907438</v>
      </c>
      <c r="Q76" s="6">
        <f>$J$3+[8]FormattedData!J89*$J$4+$M$4*$J$5+[8]FormattedData!J89^2*$J$6+$M$5*$J$7</f>
        <v>27.498731297168121</v>
      </c>
      <c r="R76" s="6">
        <f>$J$3+[8]FormattedData!K89*$J$4+$M$4*$J$5+[8]FormattedData!K89^2*$J$6+$M$5*$J$7</f>
        <v>27.597066789018292</v>
      </c>
      <c r="S76" s="6">
        <f>$J$3+[8]FormattedData!L89*$J$4+$M$4*$J$5+[8]FormattedData!L89^2*$J$6+$M$5*$J$7</f>
        <v>28.578096937933822</v>
      </c>
      <c r="T76" s="6">
        <f>$J$3+[8]FormattedData!M89*$J$4+$M$4*$J$5+[8]FormattedData!M89^2*$J$6+$M$5*$J$7</f>
        <v>27.10496664438811</v>
      </c>
      <c r="U76" s="6">
        <f>$J$3+[8]FormattedData!N89*$J$4+$M$4*$J$5+[8]FormattedData!N89^2*$J$6+$M$5*$J$7</f>
        <v>27.695360012330536</v>
      </c>
      <c r="V76" s="6">
        <f>$J$3+[8]FormattedData!O89*$J$4+$M$4*$J$5+[8]FormattedData!O89^2*$J$6+$M$5*$J$7</f>
        <v>27.597066789018292</v>
      </c>
      <c r="W76" s="5">
        <f t="shared" si="18"/>
        <v>27.669902589584083</v>
      </c>
      <c r="X76" s="4">
        <f t="shared" si="19"/>
        <v>0.19200456755065287</v>
      </c>
      <c r="Y76" s="3">
        <f t="shared" si="20"/>
        <v>26.611809786309649</v>
      </c>
      <c r="Z76" s="2">
        <f t="shared" si="21"/>
        <v>27.10496664438811</v>
      </c>
      <c r="AA76" s="3">
        <f t="shared" si="22"/>
        <v>27.597066789018292</v>
      </c>
      <c r="AB76" s="2">
        <f t="shared" si="23"/>
        <v>28.063547481506621</v>
      </c>
      <c r="AC76" s="2">
        <f t="shared" si="24"/>
        <v>28.871581746118824</v>
      </c>
      <c r="AD76" s="2">
        <f t="shared" si="25"/>
        <v>0.37732308472252962</v>
      </c>
      <c r="AE76" s="2">
        <f t="shared" si="26"/>
        <v>-0.42752768861319979</v>
      </c>
    </row>
    <row r="77" spans="2:31" x14ac:dyDescent="0.2">
      <c r="B77" s="1">
        <f>[8]FormattedData!A87</f>
        <v>404</v>
      </c>
      <c r="C77" s="1" t="str">
        <f>VLOOKUP($B77,[8]TrtCodes!$B$11:I130,2)</f>
        <v>FTH</v>
      </c>
      <c r="D77" s="1">
        <f>VLOOKUP($B77,[8]TrtCodes!$B$11:J130,3)</f>
        <v>3</v>
      </c>
      <c r="E77" s="1">
        <f>VLOOKUP($B77,[8]TrtCodes!$B$11:K130,4)</f>
        <v>1</v>
      </c>
      <c r="F77" s="1">
        <f>VLOOKUP($B77,[8]TrtCodes!$B$11:L130,5)</f>
        <v>2</v>
      </c>
      <c r="G77" s="1">
        <f>VLOOKUP($B77,[8]TrtCodes!$B$11:M130,6)</f>
        <v>2</v>
      </c>
      <c r="H77" s="1">
        <f>VLOOKUP($B77,[8]TrtCodes!$B$11:N130,7)</f>
        <v>3</v>
      </c>
      <c r="I77" s="1">
        <f>[8]FormattedData!B87</f>
        <v>2</v>
      </c>
      <c r="J77" s="4">
        <f>[8]FormattedData!C87</f>
        <v>13.696999999999999</v>
      </c>
      <c r="K77" s="6">
        <f>$J$3+[8]FormattedData!D87*$J$4+$M$4*$J$5+[8]FormattedData!D87^2*$J$6+$M$5*$J$7</f>
        <v>28.871581746118824</v>
      </c>
      <c r="L77" s="6">
        <f>$J$3+[8]FormattedData!E87*$J$4+$M$4*$J$5+[8]FormattedData!E87^2*$J$6+$M$5*$J$7</f>
        <v>28.773795745261754</v>
      </c>
      <c r="M77" s="6">
        <f>$J$3+[8]FormattedData!F87*$J$4+$M$4*$J$5+[8]FormattedData!F87^2*$J$6+$M$5*$J$7</f>
        <v>31.205765205309142</v>
      </c>
      <c r="N77" s="6">
        <f>$J$3+[8]FormattedData!G87*$J$4+$M$4*$J$5+[8]FormattedData!G87^2*$J$6+$M$5*$J$7</f>
        <v>28.773795745261754</v>
      </c>
      <c r="O77" s="6">
        <f>$J$3+[8]FormattedData!H87*$J$4+$M$4*$J$5+[8]FormattedData!H87^2*$J$6+$M$5*$J$7</f>
        <v>28.675967475866752</v>
      </c>
      <c r="P77" s="6">
        <f>$J$3+[8]FormattedData!I87*$J$4+$M$4*$J$5+[8]FormattedData!I87^2*$J$6+$M$5*$J$7</f>
        <v>28.969325478437963</v>
      </c>
      <c r="Q77" s="6">
        <f>$J$3+[8]FormattedData!J87*$J$4+$M$4*$J$5+[8]FormattedData!J87^2*$J$6+$M$5*$J$7</f>
        <v>29.457410111964688</v>
      </c>
      <c r="R77" s="6">
        <f>$J$3+[8]FormattedData!K87*$J$4+$M$4*$J$5+[8]FormattedData!K87^2*$J$6+$M$5*$J$7</f>
        <v>28.773795745261754</v>
      </c>
      <c r="S77" s="6">
        <f>$J$3+[8]FormattedData!L87*$J$4+$M$4*$J$5+[8]FormattedData!L87^2*$J$6+$M$5*$J$7</f>
        <v>28.969325478437963</v>
      </c>
      <c r="T77" s="6">
        <f>$J$3+[8]FormattedData!M87*$J$4+$M$4*$J$5+[8]FormattedData!M87^2*$J$6+$M$5*$J$7</f>
        <v>27.89181965334123</v>
      </c>
      <c r="U77" s="6">
        <f>$J$3+[8]FormattedData!N87*$J$4+$M$4*$J$5+[8]FormattedData!N87^2*$J$6+$M$5*$J$7</f>
        <v>28.480184131462959</v>
      </c>
      <c r="V77" s="6">
        <f>$J$3+[8]FormattedData!O87*$J$4+$M$4*$J$5+[8]FormattedData!O87^2*$J$6+$M$5*$J$7</f>
        <v>27.597066789018292</v>
      </c>
      <c r="W77" s="5">
        <f t="shared" si="18"/>
        <v>28.869986108811926</v>
      </c>
      <c r="X77" s="4">
        <f t="shared" si="19"/>
        <v>0.25547267381585287</v>
      </c>
      <c r="Y77" s="3">
        <f t="shared" si="20"/>
        <v>27.597066789018292</v>
      </c>
      <c r="Z77" s="2">
        <f t="shared" si="21"/>
        <v>28.627021639765804</v>
      </c>
      <c r="AA77" s="3">
        <f t="shared" si="22"/>
        <v>28.773795745261754</v>
      </c>
      <c r="AB77" s="2">
        <f t="shared" si="23"/>
        <v>28.969325478437963</v>
      </c>
      <c r="AC77" s="2">
        <f t="shared" si="24"/>
        <v>31.205765205309142</v>
      </c>
      <c r="AD77" s="2">
        <f t="shared" si="25"/>
        <v>1.5551442724012474</v>
      </c>
      <c r="AE77" s="2">
        <f t="shared" si="26"/>
        <v>4.5600375580736596</v>
      </c>
    </row>
    <row r="78" spans="2:31" x14ac:dyDescent="0.2">
      <c r="B78" s="1">
        <f>[8]FormattedData!A85</f>
        <v>405</v>
      </c>
      <c r="C78" s="1" t="str">
        <f>VLOOKUP($B78,[8]TrtCodes!$B$11:I128,2)</f>
        <v>FDL</v>
      </c>
      <c r="D78" s="1">
        <f>VLOOKUP($B78,[8]TrtCodes!$B$11:J128,3)</f>
        <v>6</v>
      </c>
      <c r="E78" s="1">
        <f>VLOOKUP($B78,[8]TrtCodes!$B$11:K128,4)</f>
        <v>1</v>
      </c>
      <c r="F78" s="1">
        <f>VLOOKUP($B78,[8]TrtCodes!$B$11:L128,5)</f>
        <v>3</v>
      </c>
      <c r="G78" s="1">
        <f>VLOOKUP($B78,[8]TrtCodes!$B$11:M128,6)</f>
        <v>1</v>
      </c>
      <c r="H78" s="1">
        <f>VLOOKUP($B78,[8]TrtCodes!$B$11:N128,7)</f>
        <v>4</v>
      </c>
      <c r="I78" s="1">
        <f>[8]FormattedData!B85</f>
        <v>2</v>
      </c>
      <c r="J78" s="4">
        <f>[8]FormattedData!C85</f>
        <v>13.68</v>
      </c>
      <c r="K78" s="6">
        <f>$J$3+[8]FormattedData!D85*$J$4+$M$4*$J$5+[8]FormattedData!D85^2*$J$6+$M$5*$J$7</f>
        <v>27.400353536780013</v>
      </c>
      <c r="L78" s="6">
        <f>$J$3+[8]FormattedData!E85*$J$4+$M$4*$J$5+[8]FormattedData!E85^2*$J$6+$M$5*$J$7</f>
        <v>28.578096937933822</v>
      </c>
      <c r="M78" s="6">
        <f>$J$3+[8]FormattedData!F85*$J$4+$M$4*$J$5+[8]FormattedData!F85^2*$J$6+$M$5*$J$7</f>
        <v>27.989986071039681</v>
      </c>
      <c r="N78" s="6">
        <f>$J$3+[8]FormattedData!G85*$J$4+$M$4*$J$5+[8]FormattedData!G85^2*$J$6+$M$5*$J$7</f>
        <v>27.695360012330536</v>
      </c>
      <c r="O78" s="6">
        <f>$J$3+[8]FormattedData!H85*$J$4+$M$4*$J$5+[8]FormattedData!H85^2*$J$6+$M$5*$J$7</f>
        <v>28.284231712907438</v>
      </c>
      <c r="P78" s="6">
        <f>$J$3+[8]FormattedData!I85*$J$4+$M$4*$J$5+[8]FormattedData!I85^2*$J$6+$M$5*$J$7</f>
        <v>27.989986071039681</v>
      </c>
      <c r="Q78" s="6">
        <f>$J$3+[8]FormattedData!J85*$J$4+$M$4*$J$5+[8]FormattedData!J85^2*$J$6+$M$5*$J$7</f>
        <v>27.006419809848282</v>
      </c>
      <c r="R78" s="6">
        <f>$J$3+[8]FormattedData!K85*$J$4+$M$4*$J$5+[8]FormattedData!K85^2*$J$6+$M$5*$J$7</f>
        <v>26.710525695001206</v>
      </c>
      <c r="S78" s="6">
        <f>$J$3+[8]FormattedData!L85*$J$4+$M$4*$J$5+[8]FormattedData!L85^2*$J$6+$M$5*$J$7</f>
        <v>27.301933507853974</v>
      </c>
      <c r="T78" s="6">
        <f>$J$3+[8]FormattedData!M85*$J$4+$M$4*$J$5+[8]FormattedData!M85^2*$J$6+$M$5*$J$7</f>
        <v>26.216523466164123</v>
      </c>
      <c r="U78" s="6">
        <f>$J$3+[8]FormattedData!N85*$J$4+$M$4*$J$5+[8]FormattedData!N85^2*$J$6+$M$5*$J$7</f>
        <v>27.695360012330536</v>
      </c>
      <c r="V78" s="6">
        <f>$J$3+[8]FormattedData!O85*$J$4+$M$4*$J$5+[8]FormattedData!O85^2*$J$6+$M$5*$J$7</f>
        <v>27.695360012330536</v>
      </c>
      <c r="W78" s="5">
        <f t="shared" si="18"/>
        <v>27.547011403796649</v>
      </c>
      <c r="X78" s="4">
        <f t="shared" si="19"/>
        <v>0.19284205487915884</v>
      </c>
      <c r="Y78" s="3">
        <f t="shared" si="20"/>
        <v>26.216523466164123</v>
      </c>
      <c r="Z78" s="2">
        <f t="shared" si="21"/>
        <v>27.228055083352551</v>
      </c>
      <c r="AA78" s="3">
        <f t="shared" si="22"/>
        <v>27.695360012330536</v>
      </c>
      <c r="AB78" s="2">
        <f t="shared" si="23"/>
        <v>27.989986071039681</v>
      </c>
      <c r="AC78" s="2">
        <f t="shared" si="24"/>
        <v>28.578096937933822</v>
      </c>
      <c r="AD78" s="2">
        <f t="shared" si="25"/>
        <v>-0.52544732942758887</v>
      </c>
      <c r="AE78" s="2">
        <f t="shared" si="26"/>
        <v>9.4499887708598074E-2</v>
      </c>
    </row>
    <row r="79" spans="2:31" x14ac:dyDescent="0.2">
      <c r="B79" s="1">
        <f>[8]FormattedData!A83</f>
        <v>406</v>
      </c>
      <c r="C79" s="1" t="str">
        <f>VLOOKUP($B79,[8]TrtCodes!$B$11:I126,2)</f>
        <v>FTH</v>
      </c>
      <c r="D79" s="1">
        <f>VLOOKUP($B79,[8]TrtCodes!$B$11:J126,3)</f>
        <v>3</v>
      </c>
      <c r="E79" s="1">
        <f>VLOOKUP($B79,[8]TrtCodes!$B$11:K126,4)</f>
        <v>1</v>
      </c>
      <c r="F79" s="1">
        <f>VLOOKUP($B79,[8]TrtCodes!$B$11:L126,5)</f>
        <v>2</v>
      </c>
      <c r="G79" s="1">
        <f>VLOOKUP($B79,[8]TrtCodes!$B$11:M126,6)</f>
        <v>2</v>
      </c>
      <c r="H79" s="1">
        <f>VLOOKUP($B79,[8]TrtCodes!$B$11:N126,7)</f>
        <v>4</v>
      </c>
      <c r="I79" s="1">
        <f>[8]FormattedData!B83</f>
        <v>2</v>
      </c>
      <c r="J79" s="4">
        <f>[8]FormattedData!C83</f>
        <v>13.663</v>
      </c>
      <c r="K79" s="6">
        <f>$J$3+[8]FormattedData!D83*$J$4+$M$4*$J$5+[8]FormattedData!D83^2*$J$6+$M$5*$J$7</f>
        <v>30.430409238673299</v>
      </c>
      <c r="L79" s="6">
        <f>$J$3+[8]FormattedData!E83*$J$4+$M$4*$J$5+[8]FormattedData!E83^2*$J$6+$M$5*$J$7</f>
        <v>29.457410111964688</v>
      </c>
      <c r="M79" s="6">
        <f>$J$3+[8]FormattedData!F83*$J$4+$M$4*$J$5+[8]FormattedData!F83^2*$J$6+$M$5*$J$7</f>
        <v>30.527476674385536</v>
      </c>
      <c r="N79" s="6">
        <f>$J$3+[8]FormattedData!G83*$J$4+$M$4*$J$5+[8]FormattedData!G83^2*$J$6+$M$5*$J$7</f>
        <v>30.041716810445024</v>
      </c>
      <c r="O79" s="6">
        <f>$J$3+[8]FormattedData!H83*$J$4+$M$4*$J$5+[8]FormattedData!H83^2*$J$6+$M$5*$J$7</f>
        <v>31.881982577874133</v>
      </c>
      <c r="P79" s="6">
        <f>$J$3+[8]FormattedData!I83*$J$4+$M$4*$J$5+[8]FormattedData!I83^2*$J$6+$M$5*$J$7</f>
        <v>29.554900233056234</v>
      </c>
      <c r="Q79" s="6">
        <f>$J$3+[8]FormattedData!J83*$J$4+$M$4*$J$5+[8]FormattedData!J83^2*$J$6+$M$5*$J$7</f>
        <v>31.205765205309142</v>
      </c>
      <c r="R79" s="6">
        <f>$J$3+[8]FormattedData!K83*$J$4+$M$4*$J$5+[8]FormattedData!K83^2*$J$6+$M$5*$J$7</f>
        <v>29.262303064167789</v>
      </c>
      <c r="S79" s="6">
        <f>$J$3+[8]FormattedData!L83*$J$4+$M$4*$J$5+[8]FormattedData!L83^2*$J$6+$M$5*$J$7</f>
        <v>31.108993649362425</v>
      </c>
      <c r="T79" s="6">
        <f>$J$3+[8]FormattedData!M83*$J$4+$M$4*$J$5+[8]FormattedData!M83^2*$J$6+$M$5*$J$7</f>
        <v>28.773795745261754</v>
      </c>
      <c r="U79" s="6">
        <f>$J$3+[8]FormattedData!N83*$J$4+$M$4*$J$5+[8]FormattedData!N83^2*$J$6+$M$5*$J$7</f>
        <v>31.012179824877766</v>
      </c>
      <c r="V79" s="6">
        <f>$J$3+[8]FormattedData!O83*$J$4+$M$4*$J$5+[8]FormattedData!O83^2*$J$6+$M$5*$J$7</f>
        <v>28.773795745261754</v>
      </c>
      <c r="W79" s="5">
        <f t="shared" si="18"/>
        <v>30.169227406719958</v>
      </c>
      <c r="X79" s="4">
        <f t="shared" si="19"/>
        <v>0.29407714198370039</v>
      </c>
      <c r="Y79" s="3">
        <f t="shared" si="20"/>
        <v>28.773795745261754</v>
      </c>
      <c r="Z79" s="2">
        <f t="shared" si="21"/>
        <v>29.408633350015464</v>
      </c>
      <c r="AA79" s="3">
        <f t="shared" si="22"/>
        <v>30.236063024559162</v>
      </c>
      <c r="AB79" s="2">
        <f t="shared" si="23"/>
        <v>31.03638328099893</v>
      </c>
      <c r="AC79" s="2">
        <f t="shared" si="24"/>
        <v>31.881982577874133</v>
      </c>
      <c r="AD79" s="2">
        <f t="shared" si="25"/>
        <v>8.8312057517951764E-2</v>
      </c>
      <c r="AE79" s="2">
        <f t="shared" si="26"/>
        <v>-1.1472701794463322</v>
      </c>
    </row>
    <row r="80" spans="2:31" x14ac:dyDescent="0.2">
      <c r="B80" s="1">
        <f>[8]FormattedData!A81</f>
        <v>407</v>
      </c>
      <c r="C80" s="1" t="str">
        <f>VLOOKUP($B80,[8]TrtCodes!$B$11:I124,2)</f>
        <v>NSH</v>
      </c>
      <c r="D80" s="1">
        <f>VLOOKUP($B80,[8]TrtCodes!$B$11:J124,3)</f>
        <v>7</v>
      </c>
      <c r="E80" s="1">
        <f>VLOOKUP($B80,[8]TrtCodes!$B$11:K124,4)</f>
        <v>2</v>
      </c>
      <c r="F80" s="1">
        <f>VLOOKUP($B80,[8]TrtCodes!$B$11:L124,5)</f>
        <v>1</v>
      </c>
      <c r="G80" s="1">
        <f>VLOOKUP($B80,[8]TrtCodes!$B$11:M124,6)</f>
        <v>2</v>
      </c>
      <c r="H80" s="1">
        <f>VLOOKUP($B80,[8]TrtCodes!$B$11:N124,7)</f>
        <v>4</v>
      </c>
      <c r="I80" s="1">
        <f>[8]FormattedData!B81</f>
        <v>2</v>
      </c>
      <c r="J80" s="4">
        <f>[8]FormattedData!C81</f>
        <v>13.645</v>
      </c>
      <c r="K80" s="6">
        <f>$J$3+[8]FormattedData!D81*$J$4+$M$4*$J$5+[8]FormattedData!D81^2*$J$6+$M$5*$J$7</f>
        <v>30.624501841559848</v>
      </c>
      <c r="L80" s="6">
        <f>$J$3+[8]FormattedData!E81*$J$4+$M$4*$J$5+[8]FormattedData!E81^2*$J$6+$M$5*$J$7</f>
        <v>30.527476674385536</v>
      </c>
      <c r="M80" s="6">
        <f>$J$3+[8]FormattedData!F81*$J$4+$M$4*$J$5+[8]FormattedData!F81^2*$J$6+$M$5*$J$7</f>
        <v>29.067026942219169</v>
      </c>
      <c r="N80" s="6">
        <f>$J$3+[8]FormattedData!G81*$J$4+$M$4*$J$5+[8]FormattedData!G81^2*$J$6+$M$5*$J$7</f>
        <v>30.430409238673299</v>
      </c>
      <c r="O80" s="6">
        <f>$J$3+[8]FormattedData!H81*$J$4+$M$4*$J$5+[8]FormattedData!H81^2*$J$6+$M$5*$J$7</f>
        <v>28.773795745261754</v>
      </c>
      <c r="P80" s="6">
        <f>$J$3+[8]FormattedData!I81*$J$4+$M$4*$J$5+[8]FormattedData!I81^2*$J$6+$M$5*$J$7</f>
        <v>29.164686137462446</v>
      </c>
      <c r="Q80" s="6">
        <f>$J$3+[8]FormattedData!J81*$J$4+$M$4*$J$5+[8]FormattedData!J81^2*$J$6+$M$5*$J$7</f>
        <v>30.33329953442313</v>
      </c>
      <c r="R80" s="6">
        <f>$J$3+[8]FormattedData!K81*$J$4+$M$4*$J$5+[8]FormattedData!K81^2*$J$6+$M$5*$J$7</f>
        <v>28.675967475866752</v>
      </c>
      <c r="S80" s="6">
        <f>$J$3+[8]FormattedData!L81*$J$4+$M$4*$J$5+[8]FormattedData!L81^2*$J$6+$M$5*$J$7</f>
        <v>29.457410111964688</v>
      </c>
      <c r="T80" s="6">
        <f>$J$3+[8]FormattedData!M81*$J$4+$M$4*$J$5+[8]FormattedData!M81^2*$J$6+$M$5*$J$7</f>
        <v>29.262303064167789</v>
      </c>
      <c r="U80" s="6">
        <f>$J$3+[8]FormattedData!N81*$J$4+$M$4*$J$5+[8]FormattedData!N81^2*$J$6+$M$5*$J$7</f>
        <v>29.554900233056234</v>
      </c>
      <c r="V80" s="6">
        <f>$J$3+[8]FormattedData!O81*$J$4+$M$4*$J$5+[8]FormattedData!O81^2*$J$6+$M$5*$J$7</f>
        <v>30.818425370294673</v>
      </c>
      <c r="W80" s="5">
        <f t="shared" si="18"/>
        <v>29.724183530777939</v>
      </c>
      <c r="X80" s="4">
        <f t="shared" si="19"/>
        <v>0.22331930543893161</v>
      </c>
      <c r="Y80" s="3">
        <f t="shared" si="20"/>
        <v>28.675967475866752</v>
      </c>
      <c r="Z80" s="2">
        <f t="shared" si="21"/>
        <v>29.140271338651626</v>
      </c>
      <c r="AA80" s="3">
        <f t="shared" si="22"/>
        <v>29.506155172510461</v>
      </c>
      <c r="AB80" s="2">
        <f t="shared" si="23"/>
        <v>30.454676097601357</v>
      </c>
      <c r="AC80" s="2">
        <f t="shared" si="24"/>
        <v>30.818425370294673</v>
      </c>
      <c r="AD80" s="2">
        <f t="shared" si="25"/>
        <v>0.12844114625162084</v>
      </c>
      <c r="AE80" s="2">
        <f t="shared" si="26"/>
        <v>-1.7223956655427903</v>
      </c>
    </row>
    <row r="81" spans="2:31" x14ac:dyDescent="0.2">
      <c r="B81" s="1">
        <f>[8]FormattedData!A79</f>
        <v>408</v>
      </c>
      <c r="C81" s="1" t="str">
        <f>VLOOKUP($B81,[8]TrtCodes!$B$11:I122,2)</f>
        <v>NTL</v>
      </c>
      <c r="D81" s="1">
        <f>VLOOKUP($B81,[8]TrtCodes!$B$11:J122,3)</f>
        <v>10</v>
      </c>
      <c r="E81" s="1">
        <f>VLOOKUP($B81,[8]TrtCodes!$B$11:K122,4)</f>
        <v>2</v>
      </c>
      <c r="F81" s="1">
        <f>VLOOKUP($B81,[8]TrtCodes!$B$11:L122,5)</f>
        <v>2</v>
      </c>
      <c r="G81" s="1">
        <f>VLOOKUP($B81,[8]TrtCodes!$B$11:M122,6)</f>
        <v>1</v>
      </c>
      <c r="H81" s="1">
        <f>VLOOKUP($B81,[8]TrtCodes!$B$11:N122,7)</f>
        <v>4</v>
      </c>
      <c r="I81" s="1">
        <f>[8]FormattedData!B79</f>
        <v>2</v>
      </c>
      <c r="J81" s="4">
        <f>[8]FormattedData!C79</f>
        <v>13.625999999999999</v>
      </c>
      <c r="K81" s="6">
        <f>$J$3+[8]FormattedData!D79*$J$4+$M$4*$J$5+[8]FormattedData!D79^2*$J$6+$M$5*$J$7</f>
        <v>31.108993649362425</v>
      </c>
      <c r="L81" s="6">
        <f>$J$3+[8]FormattedData!E79*$J$4+$M$4*$J$5+[8]FormattedData!E79^2*$J$6+$M$5*$J$7</f>
        <v>32.459948995664803</v>
      </c>
      <c r="M81" s="6">
        <f>$J$3+[8]FormattedData!F79*$J$4+$M$4*$J$5+[8]FormattedData!F79^2*$J$6+$M$5*$J$7</f>
        <v>31.108993649362425</v>
      </c>
      <c r="N81" s="6">
        <f>$J$3+[8]FormattedData!G79*$J$4+$M$4*$J$5+[8]FormattedData!G79^2*$J$6+$M$5*$J$7</f>
        <v>31.592428743716724</v>
      </c>
      <c r="O81" s="6">
        <f>$J$3+[8]FormattedData!H79*$J$4+$M$4*$J$5+[8]FormattedData!H79^2*$J$6+$M$5*$J$7</f>
        <v>32.363726930711188</v>
      </c>
      <c r="P81" s="6">
        <f>$J$3+[8]FormattedData!I79*$J$4+$M$4*$J$5+[8]FormattedData!I79^2*$J$6+$M$5*$J$7</f>
        <v>30.527476674385536</v>
      </c>
      <c r="Q81" s="6">
        <f>$J$3+[8]FormattedData!J79*$J$4+$M$4*$J$5+[8]FormattedData!J79^2*$J$6+$M$5*$J$7</f>
        <v>31.399181511588797</v>
      </c>
      <c r="R81" s="6">
        <f>$J$3+[8]FormattedData!K79*$J$4+$M$4*$J$5+[8]FormattedData!K79^2*$J$6+$M$5*$J$7</f>
        <v>31.30249449271794</v>
      </c>
      <c r="S81" s="6">
        <f>$J$3+[8]FormattedData!L79*$J$4+$M$4*$J$5+[8]FormattedData!L79^2*$J$6+$M$5*$J$7</f>
        <v>30.33329953442313</v>
      </c>
      <c r="T81" s="6">
        <f>$J$3+[8]FormattedData!M79*$J$4+$M$4*$J$5+[8]FormattedData!M79^2*$J$6+$M$5*$J$7</f>
        <v>31.012179824877766</v>
      </c>
      <c r="U81" s="6">
        <f>$J$3+[8]FormattedData!N79*$J$4+$M$4*$J$5+[8]FormattedData!N79^2*$J$6+$M$5*$J$7</f>
        <v>29.067026942219169</v>
      </c>
      <c r="V81" s="6">
        <f>$J$3+[8]FormattedData!O79*$J$4+$M$4*$J$5+[8]FormattedData!O79^2*$J$6+$M$5*$J$7</f>
        <v>30.818425370294673</v>
      </c>
      <c r="W81" s="5">
        <f t="shared" si="18"/>
        <v>31.091181359943715</v>
      </c>
      <c r="X81" s="4">
        <f t="shared" si="19"/>
        <v>0.26045246050284676</v>
      </c>
      <c r="Y81" s="3">
        <f t="shared" si="20"/>
        <v>29.067026942219169</v>
      </c>
      <c r="Z81" s="2">
        <f t="shared" si="21"/>
        <v>30.745688196317388</v>
      </c>
      <c r="AA81" s="3">
        <f t="shared" si="22"/>
        <v>31.108993649362425</v>
      </c>
      <c r="AB81" s="2">
        <f t="shared" si="23"/>
        <v>31.447493319620779</v>
      </c>
      <c r="AC81" s="2">
        <f t="shared" si="24"/>
        <v>32.459948995664803</v>
      </c>
      <c r="AD81" s="2">
        <f t="shared" si="25"/>
        <v>-0.61476683995995329</v>
      </c>
      <c r="AE81" s="2">
        <f t="shared" si="26"/>
        <v>1.5383605856853748</v>
      </c>
    </row>
    <row r="82" spans="2:31" x14ac:dyDescent="0.2">
      <c r="B82" s="1">
        <f>[8]FormattedData!A59</f>
        <v>902</v>
      </c>
      <c r="C82" s="1" t="str">
        <f>VLOOKUP($B82,[8]TrtCodes!$B$11:I102,2)</f>
        <v>Late</v>
      </c>
      <c r="D82" s="1">
        <f>VLOOKUP($B82,[8]TrtCodes!$B$11:J102,3)</f>
        <v>22</v>
      </c>
      <c r="E82" s="1">
        <f>VLOOKUP($B82,[8]TrtCodes!$B$11:K102,4)</f>
        <v>4</v>
      </c>
      <c r="F82" s="1">
        <f>VLOOKUP($B82,[8]TrtCodes!$B$11:L102,5)</f>
        <v>2</v>
      </c>
      <c r="G82" s="1">
        <f>VLOOKUP($B82,[8]TrtCodes!$B$11:M102,6)</f>
        <v>2</v>
      </c>
      <c r="H82" s="1">
        <f>VLOOKUP($B82,[8]TrtCodes!$B$11:N102,7)</f>
        <v>1</v>
      </c>
      <c r="I82" s="1">
        <f>[8]FormattedData!B59</f>
        <v>2</v>
      </c>
      <c r="J82" s="4">
        <f>[8]FormattedData!C59</f>
        <v>13.456</v>
      </c>
      <c r="K82" s="6">
        <f>$J$3+[8]FormattedData!D59*$J$4+$M$4*$J$5+[8]FormattedData!D59^2*$J$6+$M$5*$J$7</f>
        <v>28.773795745261754</v>
      </c>
      <c r="L82" s="6">
        <f>$J$3+[8]FormattedData!E59*$J$4+$M$4*$J$5+[8]FormattedData!E59^2*$J$6+$M$5*$J$7</f>
        <v>28.871581746118824</v>
      </c>
      <c r="M82" s="6">
        <f>$J$3+[8]FormattedData!F59*$J$4+$M$4*$J$5+[8]FormattedData!F59^2*$J$6+$M$5*$J$7</f>
        <v>28.480184131462959</v>
      </c>
      <c r="N82" s="6">
        <f>$J$3+[8]FormattedData!G59*$J$4+$M$4*$J$5+[8]FormattedData!G59^2*$J$6+$M$5*$J$7</f>
        <v>28.480184131462959</v>
      </c>
      <c r="O82" s="6">
        <f>$J$3+[8]FormattedData!H59*$J$4+$M$4*$J$5+[8]FormattedData!H59^2*$J$6+$M$5*$J$7</f>
        <v>28.578096937933822</v>
      </c>
      <c r="P82" s="6">
        <f>$J$3+[8]FormattedData!I59*$J$4+$M$4*$J$5+[8]FormattedData!I59^2*$J$6+$M$5*$J$7</f>
        <v>29.067026942219169</v>
      </c>
      <c r="Q82" s="6">
        <f>$J$3+[8]FormattedData!J59*$J$4+$M$4*$J$5+[8]FormattedData!J59^2*$J$6+$M$5*$J$7</f>
        <v>27.989986071039681</v>
      </c>
      <c r="R82" s="6">
        <f>$J$3+[8]FormattedData!K59*$J$4+$M$4*$J$5+[8]FormattedData!K59^2*$J$6+$M$5*$J$7</f>
        <v>28.088110220200196</v>
      </c>
      <c r="S82" s="6">
        <f>$J$3+[8]FormattedData!L59*$J$4+$M$4*$J$5+[8]FormattedData!L59^2*$J$6+$M$5*$J$7</f>
        <v>27.20347121039001</v>
      </c>
      <c r="T82" s="6">
        <f>$J$3+[8]FormattedData!M59*$J$4+$M$4*$J$5+[8]FormattedData!M59^2*$J$6+$M$5*$J$7</f>
        <v>27.89181965334123</v>
      </c>
      <c r="U82" s="6">
        <f>$J$3+[8]FormattedData!N59*$J$4+$M$4*$J$5+[8]FormattedData!N59^2*$J$6+$M$5*$J$7</f>
        <v>27.006419809848282</v>
      </c>
      <c r="V82" s="6">
        <f>$J$3+[8]FormattedData!O59*$J$4+$M$4*$J$5+[8]FormattedData!O59^2*$J$6+$M$5*$J$7</f>
        <v>27.400353536780013</v>
      </c>
      <c r="W82" s="5">
        <f t="shared" si="18"/>
        <v>28.152585844671577</v>
      </c>
      <c r="X82" s="4">
        <f t="shared" si="19"/>
        <v>0.19489165105224182</v>
      </c>
      <c r="Y82" s="3">
        <f t="shared" si="20"/>
        <v>27.006419809848282</v>
      </c>
      <c r="Z82" s="2">
        <f t="shared" si="21"/>
        <v>27.768953124200927</v>
      </c>
      <c r="AA82" s="3">
        <f t="shared" si="22"/>
        <v>28.284147175831578</v>
      </c>
      <c r="AB82" s="2">
        <f t="shared" si="23"/>
        <v>28.627021639765804</v>
      </c>
      <c r="AC82" s="2">
        <f t="shared" si="24"/>
        <v>29.067026942219169</v>
      </c>
      <c r="AD82" s="2">
        <f t="shared" si="25"/>
        <v>-0.45563048058008432</v>
      </c>
      <c r="AE82" s="2">
        <f t="shared" si="26"/>
        <v>-0.97354162834684876</v>
      </c>
    </row>
    <row r="83" spans="2:31" x14ac:dyDescent="0.2">
      <c r="B83" s="1">
        <f>[8]FormattedData!A55</f>
        <v>904</v>
      </c>
      <c r="C83" s="1" t="str">
        <f>VLOOKUP($B83,[8]TrtCodes!$B$11:I98,2)</f>
        <v>Early</v>
      </c>
      <c r="D83" s="1">
        <f>VLOOKUP($B83,[8]TrtCodes!$B$11:J98,3)</f>
        <v>21</v>
      </c>
      <c r="E83" s="1">
        <f>VLOOKUP($B83,[8]TrtCodes!$B$11:K98,4)</f>
        <v>3</v>
      </c>
      <c r="F83" s="1">
        <f>VLOOKUP($B83,[8]TrtCodes!$B$11:L98,5)</f>
        <v>2</v>
      </c>
      <c r="G83" s="1">
        <f>VLOOKUP($B83,[8]TrtCodes!$B$11:M98,6)</f>
        <v>2</v>
      </c>
      <c r="H83" s="1">
        <f>VLOOKUP($B83,[8]TrtCodes!$B$11:N98,7)</f>
        <v>1</v>
      </c>
      <c r="I83" s="1">
        <f>[8]FormattedData!B55</f>
        <v>2</v>
      </c>
      <c r="J83" s="4">
        <f>[8]FormattedData!C55</f>
        <v>13.43</v>
      </c>
      <c r="K83" s="6">
        <f>$J$3+[8]FormattedData!D55*$J$4+$M$4*$J$5+[8]FormattedData!D55^2*$J$6+$M$5*$J$7</f>
        <v>31.785506901692926</v>
      </c>
      <c r="L83" s="6">
        <f>$J$3+[8]FormattedData!E55*$J$4+$M$4*$J$5+[8]FormattedData!E55^2*$J$6+$M$5*$J$7</f>
        <v>33.802619708532674</v>
      </c>
      <c r="M83" s="6">
        <f>$J$3+[8]FormattedData!F55*$J$4+$M$4*$J$5+[8]FormattedData!F55^2*$J$6+$M$5*$J$7</f>
        <v>30.236147561635022</v>
      </c>
      <c r="N83" s="6">
        <f>$J$3+[8]FormattedData!G55*$J$4+$M$4*$J$5+[8]FormattedData!G55^2*$J$6+$M$5*$J$7</f>
        <v>32.171155995190148</v>
      </c>
      <c r="O83" s="6">
        <f>$J$3+[8]FormattedData!H55*$J$4+$M$4*$J$5+[8]FormattedData!H55^2*$J$6+$M$5*$J$7</f>
        <v>29.847116985103309</v>
      </c>
      <c r="P83" s="6">
        <f>$J$3+[8]FormattedData!I55*$J$4+$M$4*$J$5+[8]FormattedData!I55^2*$J$6+$M$5*$J$7</f>
        <v>31.881982577874133</v>
      </c>
      <c r="Q83" s="6">
        <f>$J$3+[8]FormattedData!J55*$J$4+$M$4*$J$5+[8]FormattedData!J55^2*$J$6+$M$5*$J$7</f>
        <v>30.527476674385536</v>
      </c>
      <c r="R83" s="6">
        <f>$J$3+[8]FormattedData!K55*$J$4+$M$4*$J$5+[8]FormattedData!K55^2*$J$6+$M$5*$J$7</f>
        <v>31.592428743716724</v>
      </c>
      <c r="S83" s="6">
        <f>$J$3+[8]FormattedData!L55*$J$4+$M$4*$J$5+[8]FormattedData!L55^2*$J$6+$M$5*$J$7</f>
        <v>31.592428743716724</v>
      </c>
      <c r="T83" s="6">
        <f>$J$3+[8]FormattedData!M55*$J$4+$M$4*$J$5+[8]FormattedData!M55^2*$J$6+$M$5*$J$7</f>
        <v>31.399181511588797</v>
      </c>
      <c r="U83" s="6">
        <f>$J$3+[8]FormattedData!N55*$J$4+$M$4*$J$5+[8]FormattedData!N55^2*$J$6+$M$5*$J$7</f>
        <v>29.457410111964688</v>
      </c>
      <c r="V83" s="6">
        <f>$J$3+[8]FormattedData!O55*$J$4+$M$4*$J$5+[8]FormattedData!O55^2*$J$6+$M$5*$J$7</f>
        <v>31.592428743716724</v>
      </c>
      <c r="W83" s="5">
        <f t="shared" si="18"/>
        <v>31.323823688259779</v>
      </c>
      <c r="X83" s="4">
        <f t="shared" si="19"/>
        <v>0.33811632345849557</v>
      </c>
      <c r="Y83" s="3">
        <f t="shared" si="20"/>
        <v>29.457410111964688</v>
      </c>
      <c r="Z83" s="2">
        <f t="shared" si="21"/>
        <v>30.454644396197907</v>
      </c>
      <c r="AA83" s="3">
        <f t="shared" si="22"/>
        <v>31.592428743716724</v>
      </c>
      <c r="AB83" s="2">
        <f t="shared" si="23"/>
        <v>31.809625820738226</v>
      </c>
      <c r="AC83" s="2">
        <f t="shared" si="24"/>
        <v>33.802619708532674</v>
      </c>
      <c r="AD83" s="2">
        <f t="shared" si="25"/>
        <v>0.31613079011024131</v>
      </c>
      <c r="AE83" s="2">
        <f t="shared" si="26"/>
        <v>0.7490720880609123</v>
      </c>
    </row>
    <row r="84" spans="2:31" x14ac:dyDescent="0.2">
      <c r="B84" s="1">
        <f>[8]FormattedData!A51</f>
        <v>906</v>
      </c>
      <c r="C84" s="1" t="str">
        <f>VLOOKUP($B84,[8]TrtCodes!$B$11:I94,2)</f>
        <v>Late</v>
      </c>
      <c r="D84" s="1">
        <f>VLOOKUP($B84,[8]TrtCodes!$B$11:J94,3)</f>
        <v>22</v>
      </c>
      <c r="E84" s="1">
        <f>VLOOKUP($B84,[8]TrtCodes!$B$11:K94,4)</f>
        <v>4</v>
      </c>
      <c r="F84" s="1">
        <f>VLOOKUP($B84,[8]TrtCodes!$B$11:L94,5)</f>
        <v>2</v>
      </c>
      <c r="G84" s="1">
        <f>VLOOKUP($B84,[8]TrtCodes!$B$11:M94,6)</f>
        <v>2</v>
      </c>
      <c r="H84" s="1">
        <f>VLOOKUP($B84,[8]TrtCodes!$B$11:N94,7)</f>
        <v>2</v>
      </c>
      <c r="I84" s="1">
        <f>[8]FormattedData!B51</f>
        <v>2</v>
      </c>
      <c r="J84" s="4">
        <f>[8]FormattedData!C51</f>
        <v>13.401</v>
      </c>
      <c r="K84" s="6">
        <f>$J$3+[8]FormattedData!D51*$J$4+$M$4*$J$5+[8]FormattedData!D51^2*$J$6+$M$5*$J$7</f>
        <v>29.457410111964688</v>
      </c>
      <c r="L84" s="6">
        <f>$J$3+[8]FormattedData!E51*$J$4+$M$4*$J$5+[8]FormattedData!E51^2*$J$6+$M$5*$J$7</f>
        <v>27.695360012330536</v>
      </c>
      <c r="M84" s="6">
        <f>$J$3+[8]FormattedData!F51*$J$4+$M$4*$J$5+[8]FormattedData!F51^2*$J$6+$M$5*$J$7</f>
        <v>28.382229056454165</v>
      </c>
      <c r="N84" s="6">
        <f>$J$3+[8]FormattedData!G51*$J$4+$M$4*$J$5+[8]FormattedData!G51^2*$J$6+$M$5*$J$7</f>
        <v>27.400353536780013</v>
      </c>
      <c r="O84" s="6">
        <f>$J$3+[8]FormattedData!H51*$J$4+$M$4*$J$5+[8]FormattedData!H51^2*$J$6+$M$5*$J$7</f>
        <v>28.088110220200196</v>
      </c>
      <c r="P84" s="6">
        <f>$J$3+[8]FormattedData!I51*$J$4+$M$4*$J$5+[8]FormattedData!I51^2*$J$6+$M$5*$J$7</f>
        <v>27.989986071039681</v>
      </c>
      <c r="Q84" s="6">
        <f>$J$3+[8]FormattedData!J51*$J$4+$M$4*$J$5+[8]FormattedData!J51^2*$J$6+$M$5*$J$7</f>
        <v>28.773795745261754</v>
      </c>
      <c r="R84" s="6">
        <f>$J$3+[8]FormattedData!K51*$J$4+$M$4*$J$5+[8]FormattedData!K51^2*$J$6+$M$5*$J$7</f>
        <v>28.773795745261754</v>
      </c>
      <c r="S84" s="6">
        <f>$J$3+[8]FormattedData!L51*$J$4+$M$4*$J$5+[8]FormattedData!L51^2*$J$6+$M$5*$J$7</f>
        <v>27.400353536780013</v>
      </c>
      <c r="T84" s="6">
        <f>$J$3+[8]FormattedData!M51*$J$4+$M$4*$J$5+[8]FormattedData!M51^2*$J$6+$M$5*$J$7</f>
        <v>27.20347121039001</v>
      </c>
      <c r="U84" s="6">
        <f>$J$3+[8]FormattedData!N51*$J$4+$M$4*$J$5+[8]FormattedData!N51^2*$J$6+$M$5*$J$7</f>
        <v>27.793610967104847</v>
      </c>
      <c r="V84" s="6">
        <f>$J$3+[8]FormattedData!O51*$J$4+$M$4*$J$5+[8]FormattedData!O51^2*$J$6+$M$5*$J$7</f>
        <v>27.793610967104847</v>
      </c>
      <c r="W84" s="5">
        <f t="shared" si="18"/>
        <v>28.06267393172271</v>
      </c>
      <c r="X84" s="4">
        <f t="shared" si="19"/>
        <v>0.19384464820461153</v>
      </c>
      <c r="Y84" s="3">
        <f t="shared" si="20"/>
        <v>27.20347121039001</v>
      </c>
      <c r="Z84" s="2">
        <f t="shared" si="21"/>
        <v>27.621608393442905</v>
      </c>
      <c r="AA84" s="3">
        <f t="shared" si="22"/>
        <v>27.891798519072264</v>
      </c>
      <c r="AB84" s="2">
        <f t="shared" si="23"/>
        <v>28.480120728656061</v>
      </c>
      <c r="AC84" s="2">
        <f t="shared" si="24"/>
        <v>29.457410111964688</v>
      </c>
      <c r="AD84" s="2">
        <f t="shared" si="25"/>
        <v>0.77850831621953809</v>
      </c>
      <c r="AE84" s="2">
        <f t="shared" si="26"/>
        <v>4.6814405849193719E-2</v>
      </c>
    </row>
    <row r="85" spans="2:31" x14ac:dyDescent="0.2">
      <c r="B85" s="1">
        <f>[8]FormattedData!A47</f>
        <v>908</v>
      </c>
      <c r="C85" s="1" t="str">
        <f>VLOOKUP($B85,[8]TrtCodes!$B$11:I90,2)</f>
        <v>Early</v>
      </c>
      <c r="D85" s="1">
        <f>VLOOKUP($B85,[8]TrtCodes!$B$11:J90,3)</f>
        <v>21</v>
      </c>
      <c r="E85" s="1">
        <f>VLOOKUP($B85,[8]TrtCodes!$B$11:K90,4)</f>
        <v>3</v>
      </c>
      <c r="F85" s="1">
        <f>VLOOKUP($B85,[8]TrtCodes!$B$11:L90,5)</f>
        <v>2</v>
      </c>
      <c r="G85" s="1">
        <f>VLOOKUP($B85,[8]TrtCodes!$B$11:M90,6)</f>
        <v>2</v>
      </c>
      <c r="H85" s="1">
        <f>VLOOKUP($B85,[8]TrtCodes!$B$11:N90,7)</f>
        <v>2</v>
      </c>
      <c r="I85" s="1">
        <f>[8]FormattedData!B47</f>
        <v>2</v>
      </c>
      <c r="J85" s="4">
        <f>[8]FormattedData!C47</f>
        <v>13.372</v>
      </c>
      <c r="K85" s="6">
        <f>$J$3+[8]FormattedData!D47*$J$4+$M$4*$J$5+[8]FormattedData!D47^2*$J$6+$M$5*$J$7</f>
        <v>29.847116985103309</v>
      </c>
      <c r="L85" s="6">
        <f>$J$3+[8]FormattedData!E47*$J$4+$M$4*$J$5+[8]FormattedData!E47^2*$J$6+$M$5*$J$7</f>
        <v>31.012179824877766</v>
      </c>
      <c r="M85" s="6">
        <f>$J$3+[8]FormattedData!F47*$J$4+$M$4*$J$5+[8]FormattedData!F47^2*$J$6+$M$5*$J$7</f>
        <v>30.236147561635022</v>
      </c>
      <c r="N85" s="6">
        <f>$J$3+[8]FormattedData!G47*$J$4+$M$4*$J$5+[8]FormattedData!G47^2*$J$6+$M$5*$J$7</f>
        <v>30.527476674385536</v>
      </c>
      <c r="O85" s="6">
        <f>$J$3+[8]FormattedData!H47*$J$4+$M$4*$J$5+[8]FormattedData!H47^2*$J$6+$M$5*$J$7</f>
        <v>30.430409238673299</v>
      </c>
      <c r="P85" s="6">
        <f>$J$3+[8]FormattedData!I47*$J$4+$M$4*$J$5+[8]FormattedData!I47^2*$J$6+$M$5*$J$7</f>
        <v>30.624501841559848</v>
      </c>
      <c r="Q85" s="6">
        <f>$J$3+[8]FormattedData!J47*$J$4+$M$4*$J$5+[8]FormattedData!J47^2*$J$6+$M$5*$J$7</f>
        <v>29.749753669625544</v>
      </c>
      <c r="R85" s="6">
        <f>$J$3+[8]FormattedData!K47*$J$4+$M$4*$J$5+[8]FormattedData!K47^2*$J$6+$M$5*$J$7</f>
        <v>31.495826261921728</v>
      </c>
      <c r="S85" s="6">
        <f>$J$3+[8]FormattedData!L47*$J$4+$M$4*$J$5+[8]FormattedData!L47^2*$J$6+$M$5*$J$7</f>
        <v>30.041716810445024</v>
      </c>
      <c r="T85" s="6">
        <f>$J$3+[8]FormattedData!M47*$J$4+$M$4*$J$5+[8]FormattedData!M47^2*$J$6+$M$5*$J$7</f>
        <v>30.527476674385536</v>
      </c>
      <c r="U85" s="6">
        <f>$J$3+[8]FormattedData!N47*$J$4+$M$4*$J$5+[8]FormattedData!N47^2*$J$6+$M$5*$J$7</f>
        <v>30.33329953442313</v>
      </c>
      <c r="V85" s="6">
        <f>$J$3+[8]FormattedData!O47*$J$4+$M$4*$J$5+[8]FormattedData!O47^2*$J$6+$M$5*$J$7</f>
        <v>30.430409238673299</v>
      </c>
      <c r="W85" s="5">
        <f t="shared" si="18"/>
        <v>30.438026192975752</v>
      </c>
      <c r="X85" s="4">
        <f t="shared" si="19"/>
        <v>0.1384755174584425</v>
      </c>
      <c r="Y85" s="3">
        <f t="shared" si="20"/>
        <v>29.749753669625544</v>
      </c>
      <c r="Z85" s="2">
        <f t="shared" si="21"/>
        <v>30.187539873837522</v>
      </c>
      <c r="AA85" s="3">
        <f t="shared" si="22"/>
        <v>30.430409238673299</v>
      </c>
      <c r="AB85" s="2">
        <f t="shared" si="23"/>
        <v>30.551732966179113</v>
      </c>
      <c r="AC85" s="2">
        <f t="shared" si="24"/>
        <v>31.495826261921728</v>
      </c>
      <c r="AD85" s="2">
        <f t="shared" si="25"/>
        <v>0.76773030642389095</v>
      </c>
      <c r="AE85" s="2">
        <f t="shared" si="26"/>
        <v>1.1295097723983094</v>
      </c>
    </row>
    <row r="88" spans="2:31" x14ac:dyDescent="0.2">
      <c r="W88" s="2"/>
    </row>
  </sheetData>
  <autoFilter ref="B9:AE85" xr:uid="{8DBB52D7-2461-4763-BE24-9E0BE1DF2862}"/>
  <conditionalFormatting sqref="K10:V85">
    <cfRule type="cellIs" dxfId="95" priority="1" stopIfTrue="1" operator="lessThan">
      <formula>$W10-$V$5*$X10</formula>
    </cfRule>
    <cfRule type="cellIs" dxfId="94" priority="2" stopIfTrue="1" operator="greaterThan">
      <formula>$W10+$V$5*$X10</formula>
    </cfRule>
  </conditionalFormatting>
  <conditionalFormatting sqref="W10:W85">
    <cfRule type="cellIs" dxfId="93" priority="3" stopIfTrue="1" operator="lessThan">
      <formula>AVERAGE($W$10:$W$41)</formula>
    </cfRule>
    <cfRule type="cellIs" dxfId="9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A0DD-DC4F-4DC7-9342-3B768DD8B28C}">
  <sheetPr codeName="Sheet25"/>
  <dimension ref="A1:AI88"/>
  <sheetViews>
    <sheetView topLeftCell="A8" workbookViewId="0">
      <pane xSplit="4" ySplit="2" topLeftCell="M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[9]FormattedData!A1</f>
        <v>Raw data file name - 'IA177.03R'</v>
      </c>
    </row>
    <row r="2" spans="1:35" ht="15" x14ac:dyDescent="0.25">
      <c r="I2" s="32" t="s">
        <v>136</v>
      </c>
      <c r="J2" s="24"/>
      <c r="P2" s="31">
        <f>[9]AncillaryData!C10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[9]AncillaryData!E25</f>
        <v>38.85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"&amp;[9]AncillaryData!C7</f>
        <v>Time Sequence of Midday IRT Temps - FISE 2003 - DOY 177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"&amp;[9]AncillaryData!E25&amp;", VPD = "&amp;ROUND([9]AncillaryData!E29,1)&amp;", Quality = "&amp;[9]AncillaryData!C20&amp;")"</f>
        <v>(Ta = 38.85, VPD = 6.1,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[9]FormattedData!A28</f>
        <v>101</v>
      </c>
      <c r="C10" s="1" t="str">
        <f>VLOOKUP($B10,[9]TrtCodes!$B$11:I71,2)</f>
        <v>FSH</v>
      </c>
      <c r="D10" s="1">
        <f>VLOOKUP($B10,[9]TrtCodes!$B$11:J71,3)</f>
        <v>1</v>
      </c>
      <c r="E10" s="1">
        <f>VLOOKUP($B10,[9]TrtCodes!$B$11:K71,4)</f>
        <v>1</v>
      </c>
      <c r="F10" s="1">
        <f>VLOOKUP($B10,[9]TrtCodes!$B$11:L71,5)</f>
        <v>1</v>
      </c>
      <c r="G10" s="1">
        <f>VLOOKUP($B10,[9]TrtCodes!$B$11:M71,6)</f>
        <v>2</v>
      </c>
      <c r="H10" s="1">
        <f>VLOOKUP($B10,[9]TrtCodes!$B$11:N71,7)</f>
        <v>1</v>
      </c>
      <c r="I10" s="1">
        <f>[9]FormattedData!B28</f>
        <v>1</v>
      </c>
      <c r="J10" s="4">
        <f>[9]FormattedData!C28</f>
        <v>12.967000000000001</v>
      </c>
      <c r="K10" s="6">
        <f>$J$3+[9]FormattedData!D28*$J$4+$M$4*$J$5+[9]FormattedData!D28^2*$J$6+$M$5*$J$7</f>
        <v>44.520976384690002</v>
      </c>
      <c r="L10" s="6">
        <f>$J$3+[9]FormattedData!E28*$J$4+$M$4*$J$5+[9]FormattedData!E28^2*$J$6+$M$5*$J$7</f>
        <v>37.028279261820181</v>
      </c>
      <c r="M10" s="6">
        <f>$J$3+[9]FormattedData!F28*$J$4+$M$4*$J$5+[9]FormattedData!F28^2*$J$6+$M$5*$J$7</f>
        <v>42.513355126262418</v>
      </c>
      <c r="N10" s="6">
        <f>$J$3+[9]FormattedData!G28*$J$4+$M$4*$J$5+[9]FormattedData!G28^2*$J$6+$M$5*$J$7</f>
        <v>31.39606661683964</v>
      </c>
      <c r="O10" s="6">
        <f>$J$3+[9]FormattedData!H28*$J$4+$M$4*$J$5+[9]FormattedData!H28^2*$J$6+$M$5*$J$7</f>
        <v>39.649710658204036</v>
      </c>
      <c r="P10" s="6">
        <f>$J$3+[9]FormattedData!I28*$J$4+$M$4*$J$5+[9]FormattedData!I28^2*$J$6+$M$5*$J$7</f>
        <v>31.105751948999465</v>
      </c>
      <c r="Q10" s="6">
        <f>$J$3+[9]FormattedData!J28*$J$4+$M$4*$J$5+[9]FormattedData!J28^2*$J$6+$M$5*$J$7</f>
        <v>38.904111742271709</v>
      </c>
      <c r="R10" s="6">
        <f>$J$3+[9]FormattedData!K28*$J$4+$M$4*$J$5+[9]FormattedData!K28^2*$J$6+$M$5*$J$7</f>
        <v>30.911997494416372</v>
      </c>
      <c r="S10" s="6">
        <f>$J$3+[9]FormattedData!L28*$J$4+$M$4*$J$5+[9]FormattedData!L28^2*$J$6+$M$5*$J$7</f>
        <v>38.904111742271709</v>
      </c>
      <c r="T10" s="6">
        <f>$J$3+[9]FormattedData!M28*$J$4+$M$4*$J$5+[9]FormattedData!M28^2*$J$6+$M$5*$J$7</f>
        <v>32.841933703419762</v>
      </c>
      <c r="U10" s="6">
        <f>$J$3+[9]FormattedData!N28*$J$4+$M$4*$J$5+[9]FormattedData!N28^2*$J$6+$M$5*$J$7</f>
        <v>40.855539241166461</v>
      </c>
      <c r="V10" s="6">
        <f>$J$3+[9]FormattedData!O28*$J$4+$M$4*$J$5+[9]FormattedData!O28^2*$J$6+$M$5*$J$7</f>
        <v>34.182829137694526</v>
      </c>
      <c r="W10" s="5">
        <f t="shared" ref="W10:W41" si="0">AVERAGE(K10:V10)</f>
        <v>36.901221921504693</v>
      </c>
      <c r="X10" s="4">
        <f t="shared" ref="X10:X41" si="1">STDEV(K10:V10)/SQRT(COUNT(K10:V10))</f>
        <v>1.3607576108294239</v>
      </c>
      <c r="Y10" s="3">
        <f t="shared" ref="Y10:Y41" si="2">MIN(K10:V10)</f>
        <v>30.911997494416372</v>
      </c>
      <c r="Z10" s="2">
        <f t="shared" ref="Z10:Z41" si="3">QUARTILE(K10:V10,1)</f>
        <v>32.480466931774728</v>
      </c>
      <c r="AA10" s="3">
        <f t="shared" ref="AA10:AA41" si="4">MEDIAN(K10:V10)</f>
        <v>37.966195502045949</v>
      </c>
      <c r="AB10" s="2">
        <f t="shared" ref="AB10:AB41" si="5">QUARTILE(K10:V10,3)</f>
        <v>39.951167803944642</v>
      </c>
      <c r="AC10" s="2">
        <f t="shared" ref="AC10:AC41" si="6">MAX(K10:V10)</f>
        <v>44.520976384690002</v>
      </c>
      <c r="AD10" s="2">
        <f t="shared" ref="AD10:AD41" si="7">SKEW(K10:V10)</f>
        <v>5.6785806270787893E-2</v>
      </c>
      <c r="AE10" s="2">
        <f t="shared" ref="AE10:AE41" si="8">KURT(K10:V10)</f>
        <v>-1.3663800681911966</v>
      </c>
    </row>
    <row r="11" spans="1:35" x14ac:dyDescent="0.2">
      <c r="B11" s="1">
        <f>[9]FormattedData!A26</f>
        <v>102</v>
      </c>
      <c r="C11" s="1" t="str">
        <f>VLOOKUP($B11,[9]TrtCodes!$B$11:I69,2)</f>
        <v>FTL</v>
      </c>
      <c r="D11" s="1">
        <f>VLOOKUP($B11,[9]TrtCodes!$B$11:J69,3)</f>
        <v>4</v>
      </c>
      <c r="E11" s="1">
        <f>VLOOKUP($B11,[9]TrtCodes!$B$11:K69,4)</f>
        <v>1</v>
      </c>
      <c r="F11" s="1">
        <f>VLOOKUP($B11,[9]TrtCodes!$B$11:L69,5)</f>
        <v>2</v>
      </c>
      <c r="G11" s="1">
        <f>VLOOKUP($B11,[9]TrtCodes!$B$11:M69,6)</f>
        <v>1</v>
      </c>
      <c r="H11" s="1">
        <f>VLOOKUP($B11,[9]TrtCodes!$B$11:N69,7)</f>
        <v>1</v>
      </c>
      <c r="I11" s="1">
        <f>[9]FormattedData!B26</f>
        <v>1</v>
      </c>
      <c r="J11" s="4">
        <f>[9]FormattedData!C26</f>
        <v>12.952</v>
      </c>
      <c r="K11" s="6">
        <f>$J$3+[9]FormattedData!D26*$J$4+$M$4*$J$5+[9]FormattedData!D26^2*$J$6+$M$5*$J$7</f>
        <v>43.428446356005374</v>
      </c>
      <c r="L11" s="6">
        <f>$J$3+[9]FormattedData!E26*$J$4+$M$4*$J$5+[9]FormattedData!E26^2*$J$6+$M$5*$J$7</f>
        <v>32.937986694221657</v>
      </c>
      <c r="M11" s="6">
        <f>$J$3+[9]FormattedData!F26*$J$4+$M$4*$J$5+[9]FormattedData!F26^2*$J$6+$M$5*$J$7</f>
        <v>40.485275895476171</v>
      </c>
      <c r="N11" s="6">
        <f>$J$3+[9]FormattedData!G26*$J$4+$M$4*$J$5+[9]FormattedData!G26^2*$J$6+$M$5*$J$7</f>
        <v>31.782561081095487</v>
      </c>
      <c r="O11" s="6">
        <f>$J$3+[9]FormattedData!H26*$J$4+$M$4*$J$5+[9]FormattedData!H26^2*$J$6+$M$5*$J$7</f>
        <v>41.686159059500653</v>
      </c>
      <c r="P11" s="6">
        <f>$J$3+[9]FormattedData!I26*$J$4+$M$4*$J$5+[9]FormattedData!I26^2*$J$6+$M$5*$J$7</f>
        <v>33.609174110772827</v>
      </c>
      <c r="Q11" s="6">
        <f>$J$3+[9]FormattedData!J26*$J$4+$M$4*$J$5+[9]FormattedData!J26^2*$J$6+$M$5*$J$7</f>
        <v>43.428446356005374</v>
      </c>
      <c r="R11" s="6">
        <f>$J$3+[9]FormattedData!K26*$J$4+$M$4*$J$5+[9]FormattedData!K26^2*$J$6+$M$5*$J$7</f>
        <v>34.182829137694526</v>
      </c>
      <c r="S11" s="6">
        <f>$J$3+[9]FormattedData!L26*$J$4+$M$4*$J$5+[9]FormattedData!L26^2*$J$6+$M$5*$J$7</f>
        <v>41.594037042726356</v>
      </c>
      <c r="T11" s="6">
        <f>$J$3+[9]FormattedData!M26*$J$4+$M$4*$J$5+[9]FormattedData!M26^2*$J$6+$M$5*$J$7</f>
        <v>33.896191832654374</v>
      </c>
      <c r="U11" s="6">
        <f>$J$3+[9]FormattedData!N26*$J$4+$M$4*$J$5+[9]FormattedData!N26^2*$J$6+$M$5*$J$7</f>
        <v>39.556658733595256</v>
      </c>
      <c r="V11" s="6">
        <f>$J$3+[9]FormattedData!O26*$J$4+$M$4*$J$5+[9]FormattedData!O26^2*$J$6+$M$5*$J$7</f>
        <v>32.457299054832887</v>
      </c>
      <c r="W11" s="5">
        <f t="shared" si="0"/>
        <v>37.420422112881745</v>
      </c>
      <c r="X11" s="4">
        <f t="shared" si="1"/>
        <v>1.3362748791822181</v>
      </c>
      <c r="Y11" s="3">
        <f t="shared" si="2"/>
        <v>31.782561081095487</v>
      </c>
      <c r="Z11" s="2">
        <f t="shared" si="3"/>
        <v>33.441377256635036</v>
      </c>
      <c r="AA11" s="3">
        <f t="shared" si="4"/>
        <v>36.869743935644891</v>
      </c>
      <c r="AB11" s="2">
        <f t="shared" si="5"/>
        <v>41.617067546919927</v>
      </c>
      <c r="AC11" s="2">
        <f t="shared" si="6"/>
        <v>43.428446356005374</v>
      </c>
      <c r="AD11" s="2">
        <f t="shared" si="7"/>
        <v>0.10779288145180957</v>
      </c>
      <c r="AE11" s="2">
        <f t="shared" si="8"/>
        <v>-2.0272097812872629</v>
      </c>
    </row>
    <row r="12" spans="1:35" x14ac:dyDescent="0.2">
      <c r="B12" s="1">
        <f>[9]FormattedData!A24</f>
        <v>103</v>
      </c>
      <c r="C12" s="1" t="str">
        <f>VLOOKUP($B12,[9]TrtCodes!$B$11:I67,2)</f>
        <v>FDH</v>
      </c>
      <c r="D12" s="1">
        <f>VLOOKUP($B12,[9]TrtCodes!$B$11:J67,3)</f>
        <v>5</v>
      </c>
      <c r="E12" s="1">
        <f>VLOOKUP($B12,[9]TrtCodes!$B$11:K67,4)</f>
        <v>1</v>
      </c>
      <c r="F12" s="1">
        <f>VLOOKUP($B12,[9]TrtCodes!$B$11:L67,5)</f>
        <v>3</v>
      </c>
      <c r="G12" s="1">
        <f>VLOOKUP($B12,[9]TrtCodes!$B$11:M67,6)</f>
        <v>2</v>
      </c>
      <c r="H12" s="1">
        <f>VLOOKUP($B12,[9]TrtCodes!$B$11:N67,7)</f>
        <v>1</v>
      </c>
      <c r="I12" s="1">
        <f>[9]FormattedData!B24</f>
        <v>1</v>
      </c>
      <c r="J12" s="4">
        <f>[9]FormattedData!C24</f>
        <v>12.938000000000001</v>
      </c>
      <c r="K12" s="6">
        <f>$J$3+[9]FormattedData!D24*$J$4+$M$4*$J$5+[9]FormattedData!D24^2*$J$6+$M$5*$J$7</f>
        <v>37.216623343548093</v>
      </c>
      <c r="L12" s="6">
        <f>$J$3+[9]FormattedData!E24*$J$4+$M$4*$J$5+[9]FormattedData!E24^2*$J$6+$M$5*$J$7</f>
        <v>31.589398386043428</v>
      </c>
      <c r="M12" s="6">
        <f>$J$3+[9]FormattedData!F24*$J$4+$M$4*$J$5+[9]FormattedData!F24^2*$J$6+$M$5*$J$7</f>
        <v>35.705136613476498</v>
      </c>
      <c r="N12" s="6">
        <f>$J$3+[9]FormattedData!G24*$J$4+$M$4*$J$5+[9]FormattedData!G24^2*$J$6+$M$5*$J$7</f>
        <v>28.769539599988448</v>
      </c>
      <c r="O12" s="6">
        <f>$J$3+[9]FormattedData!H24*$J$4+$M$4*$J$5+[9]FormattedData!H24^2*$J$6+$M$5*$J$7</f>
        <v>37.592804284548748</v>
      </c>
      <c r="P12" s="6">
        <f>$J$3+[9]FormattedData!I24*$J$4+$M$4*$J$5+[9]FormattedData!I24^2*$J$6+$M$5*$J$7</f>
        <v>30.232525444430692</v>
      </c>
      <c r="Q12" s="6">
        <f>$J$3+[9]FormattedData!J24*$J$4+$M$4*$J$5+[9]FormattedData!J24^2*$J$6+$M$5*$J$7</f>
        <v>39.928612820802798</v>
      </c>
      <c r="R12" s="6">
        <f>$J$3+[9]FormattedData!K24*$J$4+$M$4*$J$5+[9]FormattedData!K24^2*$J$6+$M$5*$J$7</f>
        <v>30.329719685756722</v>
      </c>
      <c r="S12" s="6">
        <f>$J$3+[9]FormattedData!L24*$J$4+$M$4*$J$5+[9]FormattedData!L24^2*$J$6+$M$5*$J$7</f>
        <v>37.310731981605159</v>
      </c>
      <c r="T12" s="6">
        <f>$J$3+[9]FormattedData!M24*$J$4+$M$4*$J$5+[9]FormattedData!M24^2*$J$6+$M$5*$J$7</f>
        <v>29.64847235717793</v>
      </c>
      <c r="U12" s="6">
        <f>$J$3+[9]FormattedData!N24*$J$4+$M$4*$J$5+[9]FormattedData!N24^2*$J$6+$M$5*$J$7</f>
        <v>35.135539366196191</v>
      </c>
      <c r="V12" s="6">
        <f>$J$3+[9]FormattedData!O24*$J$4+$M$4*$J$5+[9]FormattedData!O24^2*$J$6+$M$5*$J$7</f>
        <v>30.42687165854483</v>
      </c>
      <c r="W12" s="5">
        <f t="shared" si="0"/>
        <v>33.657164628509967</v>
      </c>
      <c r="X12" s="4">
        <f t="shared" si="1"/>
        <v>1.116974367038017</v>
      </c>
      <c r="Y12" s="3">
        <f t="shared" si="2"/>
        <v>28.769539599988448</v>
      </c>
      <c r="Z12" s="2">
        <f t="shared" si="3"/>
        <v>30.305421125425212</v>
      </c>
      <c r="AA12" s="3">
        <f t="shared" si="4"/>
        <v>33.362468876119806</v>
      </c>
      <c r="AB12" s="2">
        <f t="shared" si="5"/>
        <v>37.24015050306236</v>
      </c>
      <c r="AC12" s="2">
        <f t="shared" si="6"/>
        <v>39.928612820802798</v>
      </c>
      <c r="AD12" s="2">
        <f t="shared" si="7"/>
        <v>0.21200333094340898</v>
      </c>
      <c r="AE12" s="2">
        <f t="shared" si="8"/>
        <v>-1.6683514159510135</v>
      </c>
    </row>
    <row r="13" spans="1:35" x14ac:dyDescent="0.2">
      <c r="B13" s="1">
        <f>[9]FormattedData!A22</f>
        <v>104</v>
      </c>
      <c r="C13" s="1" t="str">
        <f>VLOOKUP($B13,[9]TrtCodes!$B$11:I65,2)</f>
        <v>NTL</v>
      </c>
      <c r="D13" s="1">
        <f>VLOOKUP($B13,[9]TrtCodes!$B$11:J65,3)</f>
        <v>10</v>
      </c>
      <c r="E13" s="1">
        <f>VLOOKUP($B13,[9]TrtCodes!$B$11:K65,4)</f>
        <v>2</v>
      </c>
      <c r="F13" s="1">
        <f>VLOOKUP($B13,[9]TrtCodes!$B$11:L65,5)</f>
        <v>2</v>
      </c>
      <c r="G13" s="1">
        <f>VLOOKUP($B13,[9]TrtCodes!$B$11:M65,6)</f>
        <v>1</v>
      </c>
      <c r="H13" s="1">
        <f>VLOOKUP($B13,[9]TrtCodes!$B$11:N65,7)</f>
        <v>1</v>
      </c>
      <c r="I13" s="1">
        <f>[9]FormattedData!B22</f>
        <v>1</v>
      </c>
      <c r="J13" s="4">
        <f>[9]FormattedData!C22</f>
        <v>12.923</v>
      </c>
      <c r="K13" s="6">
        <f>$J$3+[9]FormattedData!D22*$J$4+$M$4*$J$5+[9]FormattedData!D22^2*$J$6+$M$5*$J$7</f>
        <v>40.485275895476171</v>
      </c>
      <c r="L13" s="6">
        <f>$J$3+[9]FormattedData!E22*$J$4+$M$4*$J$5+[9]FormattedData!E22^2*$J$6+$M$5*$J$7</f>
        <v>33.513416999736457</v>
      </c>
      <c r="M13" s="6">
        <f>$J$3+[9]FormattedData!F22*$J$4+$M$4*$J$5+[9]FormattedData!F22^2*$J$6+$M$5*$J$7</f>
        <v>39.556658733595256</v>
      </c>
      <c r="N13" s="6">
        <f>$J$3+[9]FormattedData!G22*$J$4+$M$4*$J$5+[9]FormattedData!G22^2*$J$6+$M$5*$J$7</f>
        <v>32.264728119311847</v>
      </c>
      <c r="O13" s="6">
        <f>$J$3+[9]FormattedData!H22*$J$4+$M$4*$J$5+[9]FormattedData!H22^2*$J$6+$M$5*$J$7</f>
        <v>39.370428078763901</v>
      </c>
      <c r="P13" s="6">
        <f>$J$3+[9]FormattedData!I22*$J$4+$M$4*$J$5+[9]FormattedData!I22^2*$J$6+$M$5*$J$7</f>
        <v>32.071988109639101</v>
      </c>
      <c r="Q13" s="6">
        <f>$J$3+[9]FormattedData!J22*$J$4+$M$4*$J$5+[9]FormattedData!J22^2*$J$6+$M$5*$J$7</f>
        <v>39.090765082482385</v>
      </c>
      <c r="R13" s="6">
        <f>$J$3+[9]FormattedData!K22*$J$4+$M$4*$J$5+[9]FormattedData!K22^2*$J$6+$M$5*$J$7</f>
        <v>32.745838444079936</v>
      </c>
      <c r="S13" s="6">
        <f>$J$3+[9]FormattedData!L22*$J$4+$M$4*$J$5+[9]FormattedData!L22^2*$J$6+$M$5*$J$7</f>
        <v>39.649710658204036</v>
      </c>
      <c r="T13" s="6">
        <f>$J$3+[9]FormattedData!M22*$J$4+$M$4*$J$5+[9]FormattedData!M22^2*$J$6+$M$5*$J$7</f>
        <v>32.649700916202185</v>
      </c>
      <c r="U13" s="6">
        <f>$J$3+[9]FormattedData!N22*$J$4+$M$4*$J$5+[9]FormattedData!N22^2*$J$6+$M$5*$J$7</f>
        <v>39.090765082482385</v>
      </c>
      <c r="V13" s="6">
        <f>$J$3+[9]FormattedData!O22*$J$4+$M$4*$J$5+[9]FormattedData!O22^2*$J$6+$M$5*$J$7</f>
        <v>34.945335468799314</v>
      </c>
      <c r="W13" s="5">
        <f t="shared" si="0"/>
        <v>36.286217632397744</v>
      </c>
      <c r="X13" s="4">
        <f t="shared" si="1"/>
        <v>1.0077777939776205</v>
      </c>
      <c r="Y13" s="3">
        <f t="shared" si="2"/>
        <v>32.071988109639101</v>
      </c>
      <c r="Z13" s="2">
        <f t="shared" si="3"/>
        <v>32.7218040621105</v>
      </c>
      <c r="AA13" s="3">
        <f t="shared" si="4"/>
        <v>37.018050275640846</v>
      </c>
      <c r="AB13" s="2">
        <f t="shared" si="5"/>
        <v>39.416985742471738</v>
      </c>
      <c r="AC13" s="2">
        <f t="shared" si="6"/>
        <v>40.485275895476171</v>
      </c>
      <c r="AD13" s="2">
        <f t="shared" si="7"/>
        <v>-9.1151976912980714E-2</v>
      </c>
      <c r="AE13" s="2">
        <f t="shared" si="8"/>
        <v>-2.188689450135028</v>
      </c>
    </row>
    <row r="14" spans="1:35" x14ac:dyDescent="0.2">
      <c r="B14" s="1">
        <f>[9]FormattedData!A20</f>
        <v>105</v>
      </c>
      <c r="C14" s="1" t="str">
        <f>VLOOKUP($B14,[9]TrtCodes!$B$11:I63,2)</f>
        <v>NDL</v>
      </c>
      <c r="D14" s="1">
        <f>VLOOKUP($B14,[9]TrtCodes!$B$11:J63,3)</f>
        <v>12</v>
      </c>
      <c r="E14" s="1">
        <f>VLOOKUP($B14,[9]TrtCodes!$B$11:K63,4)</f>
        <v>2</v>
      </c>
      <c r="F14" s="1">
        <f>VLOOKUP($B14,[9]TrtCodes!$B$11:L63,5)</f>
        <v>3</v>
      </c>
      <c r="G14" s="1">
        <f>VLOOKUP($B14,[9]TrtCodes!$B$11:M63,6)</f>
        <v>1</v>
      </c>
      <c r="H14" s="1">
        <f>VLOOKUP($B14,[9]TrtCodes!$B$11:N63,7)</f>
        <v>2</v>
      </c>
      <c r="I14" s="1">
        <f>[9]FormattedData!B20</f>
        <v>1</v>
      </c>
      <c r="J14" s="4">
        <f>[9]FormattedData!C20</f>
        <v>12.909000000000001</v>
      </c>
      <c r="K14" s="6">
        <f>$J$3+[9]FormattedData!D20*$J$4+$M$4*$J$5+[9]FormattedData!D20^2*$J$6+$M$5*$J$7</f>
        <v>35.894664214266484</v>
      </c>
      <c r="L14" s="6">
        <f>$J$3+[9]FormattedData!E20*$J$4+$M$4*$J$5+[9]FormattedData!E20^2*$J$6+$M$5*$J$7</f>
        <v>31.105751948999465</v>
      </c>
      <c r="M14" s="6">
        <f>$J$3+[9]FormattedData!F20*$J$4+$M$4*$J$5+[9]FormattedData!F20^2*$J$6+$M$5*$J$7</f>
        <v>35.040458551766712</v>
      </c>
      <c r="N14" s="6">
        <f>$J$3+[9]FormattedData!G20*$J$4+$M$4*$J$5+[9]FormattedData!G20^2*$J$6+$M$5*$J$7</f>
        <v>30.232525444430692</v>
      </c>
      <c r="O14" s="6">
        <f>$J$3+[9]FormattedData!H20*$J$4+$M$4*$J$5+[9]FormattedData!H20^2*$J$6+$M$5*$J$7</f>
        <v>39.649710658204036</v>
      </c>
      <c r="P14" s="6">
        <f>$J$3+[9]FormattedData!I20*$J$4+$M$4*$J$5+[9]FormattedData!I20^2*$J$6+$M$5*$J$7</f>
        <v>36.178638601416978</v>
      </c>
      <c r="Q14" s="6">
        <f>$J$3+[9]FormattedData!J20*$J$4+$M$4*$J$5+[9]FormattedData!J20^2*$J$6+$M$5*$J$7</f>
        <v>38.71728932790932</v>
      </c>
      <c r="R14" s="6">
        <f>$J$3+[9]FormattedData!K20*$J$4+$M$4*$J$5+[9]FormattedData!K20^2*$J$6+$M$5*$J$7</f>
        <v>32.457299054832887</v>
      </c>
      <c r="S14" s="6">
        <f>$J$3+[9]FormattedData!L20*$J$4+$M$4*$J$5+[9]FormattedData!L20^2*$J$6+$M$5*$J$7</f>
        <v>39.463564540448544</v>
      </c>
      <c r="T14" s="6">
        <f>$J$3+[9]FormattedData!M20*$J$4+$M$4*$J$5+[9]FormattedData!M20^2*$J$6+$M$5*$J$7</f>
        <v>34.182829137694526</v>
      </c>
      <c r="U14" s="6">
        <f>$J$3+[9]FormattedData!N20*$J$4+$M$4*$J$5+[9]FormattedData!N20^2*$J$6+$M$5*$J$7</f>
        <v>38.71728932790932</v>
      </c>
      <c r="V14" s="6">
        <f>$J$3+[9]FormattedData!O20*$J$4+$M$4*$J$5+[9]FormattedData!O20^2*$J$6+$M$5*$J$7</f>
        <v>34.373709331698308</v>
      </c>
      <c r="W14" s="5">
        <f t="shared" si="0"/>
        <v>35.501144178298105</v>
      </c>
      <c r="X14" s="4">
        <f t="shared" si="1"/>
        <v>0.92840903095991689</v>
      </c>
      <c r="Y14" s="3">
        <f t="shared" si="2"/>
        <v>30.232525444430692</v>
      </c>
      <c r="Z14" s="2">
        <f t="shared" si="3"/>
        <v>33.751446616979116</v>
      </c>
      <c r="AA14" s="3">
        <f t="shared" si="4"/>
        <v>35.467561383016601</v>
      </c>
      <c r="AB14" s="2">
        <f t="shared" si="5"/>
        <v>38.71728932790932</v>
      </c>
      <c r="AC14" s="2">
        <f t="shared" si="6"/>
        <v>39.649710658204036</v>
      </c>
      <c r="AD14" s="2">
        <f t="shared" si="7"/>
        <v>-0.20552444023160008</v>
      </c>
      <c r="AE14" s="2">
        <f t="shared" si="8"/>
        <v>-1.1004870946711005</v>
      </c>
    </row>
    <row r="15" spans="1:35" x14ac:dyDescent="0.2">
      <c r="B15" s="1">
        <f>[9]FormattedData!A18</f>
        <v>106</v>
      </c>
      <c r="C15" s="1" t="str">
        <f>VLOOKUP($B15,[9]TrtCodes!$B$11:I61,2)</f>
        <v>NTH</v>
      </c>
      <c r="D15" s="1">
        <f>VLOOKUP($B15,[9]TrtCodes!$B$11:J61,3)</f>
        <v>9</v>
      </c>
      <c r="E15" s="1">
        <f>VLOOKUP($B15,[9]TrtCodes!$B$11:K61,4)</f>
        <v>2</v>
      </c>
      <c r="F15" s="1">
        <f>VLOOKUP($B15,[9]TrtCodes!$B$11:L61,5)</f>
        <v>2</v>
      </c>
      <c r="G15" s="1">
        <f>VLOOKUP($B15,[9]TrtCodes!$B$11:M61,6)</f>
        <v>2</v>
      </c>
      <c r="H15" s="1">
        <f>VLOOKUP($B15,[9]TrtCodes!$B$11:N61,7)</f>
        <v>2</v>
      </c>
      <c r="I15" s="1">
        <f>[9]FormattedData!B18</f>
        <v>1</v>
      </c>
      <c r="J15" s="4">
        <f>[9]FormattedData!C18</f>
        <v>12.894</v>
      </c>
      <c r="K15" s="6">
        <f>$J$3+[9]FormattedData!D18*$J$4+$M$4*$J$5+[9]FormattedData!D18^2*$J$6+$M$5*$J$7</f>
        <v>40.299890611403441</v>
      </c>
      <c r="L15" s="6">
        <f>$J$3+[9]FormattedData!E18*$J$4+$M$4*$J$5+[9]FormattedData!E18^2*$J$6+$M$5*$J$7</f>
        <v>34.087325637885733</v>
      </c>
      <c r="M15" s="6">
        <f>$J$3+[9]FormattedData!F18*$J$4+$M$4*$J$5+[9]FormattedData!F18^2*$J$6+$M$5*$J$7</f>
        <v>38.623814717921228</v>
      </c>
      <c r="N15" s="6">
        <f>$J$3+[9]FormattedData!G18*$J$4+$M$4*$J$5+[9]FormattedData!G18^2*$J$6+$M$5*$J$7</f>
        <v>31.589398386043428</v>
      </c>
      <c r="O15" s="6">
        <f>$J$3+[9]FormattedData!H18*$J$4+$M$4*$J$5+[9]FormattedData!H18^2*$J$6+$M$5*$J$7</f>
        <v>39.835687701807807</v>
      </c>
      <c r="P15" s="6">
        <f>$J$3+[9]FormattedData!I18*$J$4+$M$4*$J$5+[9]FormattedData!I18^2*$J$6+$M$5*$J$7</f>
        <v>31.299337329430841</v>
      </c>
      <c r="Q15" s="6">
        <f>$J$3+[9]FormattedData!J18*$J$4+$M$4*$J$5+[9]FormattedData!J18^2*$J$6+$M$5*$J$7</f>
        <v>39.742720314274884</v>
      </c>
      <c r="R15" s="6">
        <f>$J$3+[9]FormattedData!K18*$J$4+$M$4*$J$5+[9]FormattedData!K18^2*$J$6+$M$5*$J$7</f>
        <v>31.202565773484125</v>
      </c>
      <c r="S15" s="6">
        <f>$J$3+[9]FormattedData!L18*$J$4+$M$4*$J$5+[9]FormattedData!L18^2*$J$6+$M$5*$J$7</f>
        <v>39.184028349780817</v>
      </c>
      <c r="T15" s="6">
        <f>$J$3+[9]FormattedData!M18*$J$4+$M$4*$J$5+[9]FormattedData!M18^2*$J$6+$M$5*$J$7</f>
        <v>31.686000867838423</v>
      </c>
      <c r="U15" s="6">
        <f>$J$3+[9]FormattedData!N18*$J$4+$M$4*$J$5+[9]FormattedData!N18^2*$J$6+$M$5*$J$7</f>
        <v>39.649710658204036</v>
      </c>
      <c r="V15" s="6">
        <f>$J$3+[9]FormattedData!O18*$J$4+$M$4*$J$5+[9]FormattedData!O18^2*$J$6+$M$5*$J$7</f>
        <v>32.457299054832887</v>
      </c>
      <c r="W15" s="5">
        <f t="shared" si="0"/>
        <v>35.804814950242303</v>
      </c>
      <c r="X15" s="4">
        <f t="shared" si="1"/>
        <v>1.1562734991212837</v>
      </c>
      <c r="Y15" s="3">
        <f t="shared" si="2"/>
        <v>31.202565773484125</v>
      </c>
      <c r="Z15" s="2">
        <f t="shared" si="3"/>
        <v>31.661850247389673</v>
      </c>
      <c r="AA15" s="3">
        <f t="shared" si="4"/>
        <v>36.355570177903481</v>
      </c>
      <c r="AB15" s="2">
        <f t="shared" si="5"/>
        <v>39.672963072221748</v>
      </c>
      <c r="AC15" s="2">
        <f t="shared" si="6"/>
        <v>40.299890611403441</v>
      </c>
      <c r="AD15" s="2">
        <f t="shared" si="7"/>
        <v>-6.9740084886394743E-2</v>
      </c>
      <c r="AE15" s="2">
        <f t="shared" si="8"/>
        <v>-2.2436970496613098</v>
      </c>
    </row>
    <row r="16" spans="1:35" x14ac:dyDescent="0.2">
      <c r="B16" s="1">
        <f>[9]FormattedData!A16</f>
        <v>107</v>
      </c>
      <c r="C16" s="1" t="str">
        <f>VLOOKUP($B16,[9]TrtCodes!$B$11:I59,2)</f>
        <v>NTL</v>
      </c>
      <c r="D16" s="1">
        <f>VLOOKUP($B16,[9]TrtCodes!$B$11:J59,3)</f>
        <v>10</v>
      </c>
      <c r="E16" s="1">
        <f>VLOOKUP($B16,[9]TrtCodes!$B$11:K59,4)</f>
        <v>2</v>
      </c>
      <c r="F16" s="1">
        <f>VLOOKUP($B16,[9]TrtCodes!$B$11:L59,5)</f>
        <v>2</v>
      </c>
      <c r="G16" s="1">
        <f>VLOOKUP($B16,[9]TrtCodes!$B$11:M59,6)</f>
        <v>1</v>
      </c>
      <c r="H16" s="1">
        <f>VLOOKUP($B16,[9]TrtCodes!$B$11:N59,7)</f>
        <v>2</v>
      </c>
      <c r="I16" s="1">
        <f>[9]FormattedData!B16</f>
        <v>1</v>
      </c>
      <c r="J16" s="4">
        <f>[9]FormattedData!C16</f>
        <v>12.88</v>
      </c>
      <c r="K16" s="6">
        <f>$J$3+[9]FormattedData!D16*$J$4+$M$4*$J$5+[9]FormattedData!D16^2*$J$6+$M$5*$J$7</f>
        <v>40.021495671259856</v>
      </c>
      <c r="L16" s="6">
        <f>$J$3+[9]FormattedData!E16*$J$4+$M$4*$J$5+[9]FormattedData!E16^2*$J$6+$M$5*$J$7</f>
        <v>34.564420451550362</v>
      </c>
      <c r="M16" s="6">
        <f>$J$3+[9]FormattedData!F16*$J$4+$M$4*$J$5+[9]FormattedData!F16^2*$J$6+$M$5*$J$7</f>
        <v>38.810721669359481</v>
      </c>
      <c r="N16" s="6">
        <f>$J$3+[9]FormattedData!G16*$J$4+$M$4*$J$5+[9]FormattedData!G16^2*$J$6+$M$5*$J$7</f>
        <v>30.621048798507235</v>
      </c>
      <c r="O16" s="6">
        <f>$J$3+[9]FormattedData!H16*$J$4+$M$4*$J$5+[9]FormattedData!H16^2*$J$6+$M$5*$J$7</f>
        <v>38.904111742271709</v>
      </c>
      <c r="P16" s="6">
        <f>$J$3+[9]FormattedData!I16*$J$4+$M$4*$J$5+[9]FormattedData!I16^2*$J$6+$M$5*$J$7</f>
        <v>30.718073965681548</v>
      </c>
      <c r="Q16" s="6">
        <f>$J$3+[9]FormattedData!J16*$J$4+$M$4*$J$5+[9]FormattedData!J16^2*$J$6+$M$5*$J$7</f>
        <v>39.090765082482385</v>
      </c>
      <c r="R16" s="6">
        <f>$J$3+[9]FormattedData!K16*$J$4+$M$4*$J$5+[9]FormattedData!K16^2*$J$6+$M$5*$J$7</f>
        <v>30.038010156164827</v>
      </c>
      <c r="S16" s="6">
        <f>$J$3+[9]FormattedData!L16*$J$4+$M$4*$J$5+[9]FormattedData!L16^2*$J$6+$M$5*$J$7</f>
        <v>39.742720314274884</v>
      </c>
      <c r="T16" s="6">
        <f>$J$3+[9]FormattedData!M16*$J$4+$M$4*$J$5+[9]FormattedData!M16^2*$J$6+$M$5*$J$7</f>
        <v>31.202565773484125</v>
      </c>
      <c r="U16" s="6">
        <f>$J$3+[9]FormattedData!N16*$J$4+$M$4*$J$5+[9]FormattedData!N16^2*$J$6+$M$5*$J$7</f>
        <v>38.623814717921228</v>
      </c>
      <c r="V16" s="6">
        <f>$J$3+[9]FormattedData!O16*$J$4+$M$4*$J$5+[9]FormattedData!O16^2*$J$6+$M$5*$J$7</f>
        <v>32.168379248744444</v>
      </c>
      <c r="W16" s="5">
        <f t="shared" si="0"/>
        <v>35.375510632641841</v>
      </c>
      <c r="X16" s="4">
        <f t="shared" si="1"/>
        <v>1.2010303526870507</v>
      </c>
      <c r="Y16" s="3">
        <f t="shared" si="2"/>
        <v>30.038010156164827</v>
      </c>
      <c r="Z16" s="2">
        <f t="shared" si="3"/>
        <v>31.081442821533479</v>
      </c>
      <c r="AA16" s="3">
        <f t="shared" si="4"/>
        <v>36.594117584735798</v>
      </c>
      <c r="AB16" s="2">
        <f t="shared" si="5"/>
        <v>38.95077507732438</v>
      </c>
      <c r="AC16" s="2">
        <f t="shared" si="6"/>
        <v>40.021495671259856</v>
      </c>
      <c r="AD16" s="2">
        <f t="shared" si="7"/>
        <v>-0.1713858043446671</v>
      </c>
      <c r="AE16" s="2">
        <f t="shared" si="8"/>
        <v>-2.1251170546099543</v>
      </c>
    </row>
    <row r="17" spans="2:31" x14ac:dyDescent="0.2">
      <c r="B17" s="1">
        <f>[9]FormattedData!A14</f>
        <v>108</v>
      </c>
      <c r="C17" s="1" t="str">
        <f>VLOOKUP($B17,[9]TrtCodes!$B$11:I57,2)</f>
        <v>FTH</v>
      </c>
      <c r="D17" s="1">
        <f>VLOOKUP($B17,[9]TrtCodes!$B$11:J57,3)</f>
        <v>3</v>
      </c>
      <c r="E17" s="1">
        <f>VLOOKUP($B17,[9]TrtCodes!$B$11:K57,4)</f>
        <v>1</v>
      </c>
      <c r="F17" s="1">
        <f>VLOOKUP($B17,[9]TrtCodes!$B$11:L57,5)</f>
        <v>2</v>
      </c>
      <c r="G17" s="1">
        <f>VLOOKUP($B17,[9]TrtCodes!$B$11:M57,6)</f>
        <v>2</v>
      </c>
      <c r="H17" s="1">
        <f>VLOOKUP($B17,[9]TrtCodes!$B$11:N57,7)</f>
        <v>2</v>
      </c>
      <c r="I17" s="1">
        <f>[9]FormattedData!B14</f>
        <v>1</v>
      </c>
      <c r="J17" s="4">
        <f>[9]FormattedData!C14</f>
        <v>12.865</v>
      </c>
      <c r="K17" s="6">
        <f>$J$3+[9]FormattedData!D14*$J$4+$M$4*$J$5+[9]FormattedData!D14^2*$J$6+$M$5*$J$7</f>
        <v>40.299890611403441</v>
      </c>
      <c r="L17" s="6">
        <f>$J$3+[9]FormattedData!E14*$J$4+$M$4*$J$5+[9]FormattedData!E14^2*$J$6+$M$5*$J$7</f>
        <v>32.071988109639101</v>
      </c>
      <c r="M17" s="6">
        <f>$J$3+[9]FormattedData!F14*$J$4+$M$4*$J$5+[9]FormattedData!F14^2*$J$6+$M$5*$J$7</f>
        <v>38.810721669359481</v>
      </c>
      <c r="N17" s="6">
        <f>$J$3+[9]FormattedData!G14*$J$4+$M$4*$J$5+[9]FormattedData!G14^2*$J$6+$M$5*$J$7</f>
        <v>30.038010156164827</v>
      </c>
      <c r="O17" s="6">
        <f>$J$3+[9]FormattedData!H14*$J$4+$M$4*$J$5+[9]FormattedData!H14^2*$J$6+$M$5*$J$7</f>
        <v>41.225126290249861</v>
      </c>
      <c r="P17" s="6">
        <f>$J$3+[9]FormattedData!I14*$J$4+$M$4*$J$5+[9]FormattedData!I14^2*$J$6+$M$5*$J$7</f>
        <v>32.264728119311847</v>
      </c>
      <c r="Q17" s="6">
        <f>$J$3+[9]FormattedData!J14*$J$4+$M$4*$J$5+[9]FormattedData!J14^2*$J$6+$M$5*$J$7</f>
        <v>40.299890611403441</v>
      </c>
      <c r="R17" s="6">
        <f>$J$3+[9]FormattedData!K14*$J$4+$M$4*$J$5+[9]FormattedData!K14^2*$J$6+$M$5*$J$7</f>
        <v>31.008895855976885</v>
      </c>
      <c r="S17" s="6">
        <f>$J$3+[9]FormattedData!L14*$J$4+$M$4*$J$5+[9]FormattedData!L14^2*$J$6+$M$5*$J$7</f>
        <v>37.498822452105479</v>
      </c>
      <c r="T17" s="6">
        <f>$J$3+[9]FormattedData!M14*$J$4+$M$4*$J$5+[9]FormattedData!M14^2*$J$6+$M$5*$J$7</f>
        <v>31.105751948999465</v>
      </c>
      <c r="U17" s="6">
        <f>$J$3+[9]FormattedData!N14*$J$4+$M$4*$J$5+[9]FormattedData!N14^2*$J$6+$M$5*$J$7</f>
        <v>39.090765082482385</v>
      </c>
      <c r="V17" s="6">
        <f>$J$3+[9]FormattedData!O14*$J$4+$M$4*$J$5+[9]FormattedData!O14^2*$J$6+$M$5*$J$7</f>
        <v>31.105751948999465</v>
      </c>
      <c r="W17" s="5">
        <f t="shared" si="0"/>
        <v>35.401695238007967</v>
      </c>
      <c r="X17" s="4">
        <f t="shared" si="1"/>
        <v>1.2834293518246367</v>
      </c>
      <c r="Y17" s="3">
        <f t="shared" si="2"/>
        <v>30.038010156164827</v>
      </c>
      <c r="Z17" s="2">
        <f t="shared" si="3"/>
        <v>31.105751948999465</v>
      </c>
      <c r="AA17" s="3">
        <f t="shared" si="4"/>
        <v>34.881775285708663</v>
      </c>
      <c r="AB17" s="2">
        <f t="shared" si="5"/>
        <v>39.393046464712647</v>
      </c>
      <c r="AC17" s="2">
        <f t="shared" si="6"/>
        <v>41.225126290249861</v>
      </c>
      <c r="AD17" s="2">
        <f t="shared" si="7"/>
        <v>8.2110998587672304E-2</v>
      </c>
      <c r="AE17" s="2">
        <f t="shared" si="8"/>
        <v>-2.1208828374212851</v>
      </c>
    </row>
    <row r="18" spans="2:31" x14ac:dyDescent="0.2">
      <c r="B18" s="1">
        <f>[9]FormattedData!A30</f>
        <v>201</v>
      </c>
      <c r="C18" s="1" t="str">
        <f>VLOOKUP($B18,[9]TrtCodes!$B$11:I73,2)</f>
        <v>NDL</v>
      </c>
      <c r="D18" s="1">
        <f>VLOOKUP($B18,[9]TrtCodes!$B$11:J73,3)</f>
        <v>12</v>
      </c>
      <c r="E18" s="1">
        <f>VLOOKUP($B18,[9]TrtCodes!$B$11:K73,4)</f>
        <v>2</v>
      </c>
      <c r="F18" s="1">
        <f>VLOOKUP($B18,[9]TrtCodes!$B$11:L73,5)</f>
        <v>3</v>
      </c>
      <c r="G18" s="1">
        <f>VLOOKUP($B18,[9]TrtCodes!$B$11:M73,6)</f>
        <v>1</v>
      </c>
      <c r="H18" s="1">
        <f>VLOOKUP($B18,[9]TrtCodes!$B$11:N73,7)</f>
        <v>1</v>
      </c>
      <c r="I18" s="1">
        <f>[9]FormattedData!B30</f>
        <v>1</v>
      </c>
      <c r="J18" s="4">
        <f>[9]FormattedData!C30</f>
        <v>12.986000000000001</v>
      </c>
      <c r="K18" s="6">
        <f>$J$3+[9]FormattedData!D30*$J$4+$M$4*$J$5+[9]FormattedData!D30^2*$J$6+$M$5*$J$7</f>
        <v>35.040458551766712</v>
      </c>
      <c r="L18" s="6">
        <f>$J$3+[9]FormattedData!E30*$J$4+$M$4*$J$5+[9]FormattedData!E30^2*$J$6+$M$5*$J$7</f>
        <v>33.704888953271279</v>
      </c>
      <c r="M18" s="6">
        <f>$J$3+[9]FormattedData!F30*$J$4+$M$4*$J$5+[9]FormattedData!F30^2*$J$6+$M$5*$J$7</f>
        <v>38.249493592589545</v>
      </c>
      <c r="N18" s="6">
        <f>$J$3+[9]FormattedData!G30*$J$4+$M$4*$J$5+[9]FormattedData!G30^2*$J$6+$M$5*$J$7</f>
        <v>31.782561081095487</v>
      </c>
      <c r="O18" s="6">
        <f>$J$3+[9]FormattedData!H30*$J$4+$M$4*$J$5+[9]FormattedData!H30^2*$J$6+$M$5*$J$7</f>
        <v>37.498822452105479</v>
      </c>
      <c r="P18" s="6">
        <f>$J$3+[9]FormattedData!I30*$J$4+$M$4*$J$5+[9]FormattedData!I30^2*$J$6+$M$5*$J$7</f>
        <v>30.13528893456672</v>
      </c>
      <c r="Q18" s="6">
        <f>$J$3+[9]FormattedData!J30*$J$4+$M$4*$J$5+[9]FormattedData!J30^2*$J$6+$M$5*$J$7</f>
        <v>39.370428078763901</v>
      </c>
      <c r="R18" s="6">
        <f>$J$3+[9]FormattedData!K30*$J$4+$M$4*$J$5+[9]FormattedData!K30^2*$J$6+$M$5*$J$7</f>
        <v>30.13528893456672</v>
      </c>
      <c r="S18" s="6">
        <f>$J$3+[9]FormattedData!L30*$J$4+$M$4*$J$5+[9]FormattedData!L30^2*$J$6+$M$5*$J$7</f>
        <v>37.404798351124285</v>
      </c>
      <c r="T18" s="6">
        <f>$J$3+[9]FormattedData!M30*$J$4+$M$4*$J$5+[9]FormattedData!M30^2*$J$6+$M$5*$J$7</f>
        <v>29.160599066340865</v>
      </c>
      <c r="U18" s="6">
        <f>$J$3+[9]FormattedData!N30*$J$4+$M$4*$J$5+[9]FormattedData!N30^2*$J$6+$M$5*$J$7</f>
        <v>37.216623343548093</v>
      </c>
      <c r="V18" s="6">
        <f>$J$3+[9]FormattedData!O30*$J$4+$M$4*$J$5+[9]FormattedData!O30^2*$J$6+$M$5*$J$7</f>
        <v>30.523981362794999</v>
      </c>
      <c r="W18" s="5">
        <f t="shared" si="0"/>
        <v>34.185269391877831</v>
      </c>
      <c r="X18" s="4">
        <f t="shared" si="1"/>
        <v>1.0735456785445214</v>
      </c>
      <c r="Y18" s="3">
        <f t="shared" si="2"/>
        <v>29.160599066340865</v>
      </c>
      <c r="Z18" s="2">
        <f t="shared" si="3"/>
        <v>30.426808255737928</v>
      </c>
      <c r="AA18" s="3">
        <f t="shared" si="4"/>
        <v>34.372673752518992</v>
      </c>
      <c r="AB18" s="2">
        <f t="shared" si="5"/>
        <v>37.428304376369582</v>
      </c>
      <c r="AC18" s="2">
        <f t="shared" si="6"/>
        <v>39.370428078763901</v>
      </c>
      <c r="AD18" s="2">
        <f t="shared" si="7"/>
        <v>-3.8189929453345726E-2</v>
      </c>
      <c r="AE18" s="2">
        <f t="shared" si="8"/>
        <v>-1.8112330016878659</v>
      </c>
    </row>
    <row r="19" spans="2:31" x14ac:dyDescent="0.2">
      <c r="B19" s="1">
        <f>[9]FormattedData!A32</f>
        <v>202</v>
      </c>
      <c r="C19" s="1" t="str">
        <f>VLOOKUP($B19,[9]TrtCodes!$B$11:I75,2)</f>
        <v>NTH</v>
      </c>
      <c r="D19" s="1">
        <f>VLOOKUP($B19,[9]TrtCodes!$B$11:J75,3)</f>
        <v>9</v>
      </c>
      <c r="E19" s="1">
        <f>VLOOKUP($B19,[9]TrtCodes!$B$11:K75,4)</f>
        <v>2</v>
      </c>
      <c r="F19" s="1">
        <f>VLOOKUP($B19,[9]TrtCodes!$B$11:L75,5)</f>
        <v>2</v>
      </c>
      <c r="G19" s="1">
        <f>VLOOKUP($B19,[9]TrtCodes!$B$11:M75,6)</f>
        <v>2</v>
      </c>
      <c r="H19" s="1">
        <f>VLOOKUP($B19,[9]TrtCodes!$B$11:N75,7)</f>
        <v>1</v>
      </c>
      <c r="I19" s="1">
        <f>[9]FormattedData!B32</f>
        <v>1</v>
      </c>
      <c r="J19" s="4">
        <f>[9]FormattedData!C32</f>
        <v>13.000999999999999</v>
      </c>
      <c r="K19" s="6">
        <f>$J$3+[9]FormattedData!D32*$J$4+$M$4*$J$5+[9]FormattedData!D32^2*$J$6+$M$5*$J$7</f>
        <v>36.745446125193823</v>
      </c>
      <c r="L19" s="6">
        <f>$J$3+[9]FormattedData!E32*$J$4+$M$4*$J$5+[9]FormattedData!E32^2*$J$6+$M$5*$J$7</f>
        <v>31.105751948999465</v>
      </c>
      <c r="M19" s="6">
        <f>$J$3+[9]FormattedData!F32*$J$4+$M$4*$J$5+[9]FormattedData!F32^2*$J$6+$M$5*$J$7</f>
        <v>37.780641143821491</v>
      </c>
      <c r="N19" s="6">
        <f>$J$3+[9]FormattedData!G32*$J$4+$M$4*$J$5+[9]FormattedData!G32^2*$J$6+$M$5*$J$7</f>
        <v>29.64847235717793</v>
      </c>
      <c r="O19" s="6">
        <f>$J$3+[9]FormattedData!H32*$J$4+$M$4*$J$5+[9]FormattedData!H32^2*$J$6+$M$5*$J$7</f>
        <v>38.343137276729358</v>
      </c>
      <c r="P19" s="6">
        <f>$J$3+[9]FormattedData!I32*$J$4+$M$4*$J$5+[9]FormattedData!I32^2*$J$6+$M$5*$J$7</f>
        <v>29.745920209731555</v>
      </c>
      <c r="Q19" s="6">
        <f>$J$3+[9]FormattedData!J32*$J$4+$M$4*$J$5+[9]FormattedData!J32^2*$J$6+$M$5*$J$7</f>
        <v>38.530297839395203</v>
      </c>
      <c r="R19" s="6">
        <f>$J$3+[9]FormattedData!K32*$J$4+$M$4*$J$5+[9]FormattedData!K32^2*$J$6+$M$5*$J$7</f>
        <v>30.329719685756722</v>
      </c>
      <c r="S19" s="6">
        <f>$J$3+[9]FormattedData!L32*$J$4+$M$4*$J$5+[9]FormattedData!L32^2*$J$6+$M$5*$J$7</f>
        <v>38.062079418696115</v>
      </c>
      <c r="T19" s="6">
        <f>$J$3+[9]FormattedData!M32*$J$4+$M$4*$J$5+[9]FormattedData!M32^2*$J$6+$M$5*$J$7</f>
        <v>30.523981362794999</v>
      </c>
      <c r="U19" s="6">
        <f>$J$3+[9]FormattedData!N32*$J$4+$M$4*$J$5+[9]FormattedData!N32^2*$J$6+$M$5*$J$7</f>
        <v>37.592804284548748</v>
      </c>
      <c r="V19" s="6">
        <f>$J$3+[9]FormattedData!O32*$J$4+$M$4*$J$5+[9]FormattedData!O32^2*$J$6+$M$5*$J$7</f>
        <v>31.782561081095487</v>
      </c>
      <c r="W19" s="5">
        <f t="shared" si="0"/>
        <v>34.182567727828406</v>
      </c>
      <c r="X19" s="4">
        <f t="shared" si="1"/>
        <v>1.1217757834834421</v>
      </c>
      <c r="Y19" s="3">
        <f t="shared" si="2"/>
        <v>29.64847235717793</v>
      </c>
      <c r="Z19" s="2">
        <f t="shared" si="3"/>
        <v>30.475415943535431</v>
      </c>
      <c r="AA19" s="3">
        <f t="shared" si="4"/>
        <v>34.264003603144658</v>
      </c>
      <c r="AB19" s="2">
        <f t="shared" si="5"/>
        <v>37.851000712540149</v>
      </c>
      <c r="AC19" s="2">
        <f t="shared" si="6"/>
        <v>38.530297839395203</v>
      </c>
      <c r="AD19" s="2">
        <f t="shared" si="7"/>
        <v>-2.6007455895996609E-2</v>
      </c>
      <c r="AE19" s="2">
        <f t="shared" si="8"/>
        <v>-2.2629703809371016</v>
      </c>
    </row>
    <row r="20" spans="2:31" x14ac:dyDescent="0.2">
      <c r="B20" s="1">
        <f>[9]FormattedData!A34</f>
        <v>203</v>
      </c>
      <c r="C20" s="1" t="str">
        <f>VLOOKUP($B20,[9]TrtCodes!$B$11:I77,2)</f>
        <v>FTH</v>
      </c>
      <c r="D20" s="1">
        <f>VLOOKUP($B20,[9]TrtCodes!$B$11:J77,3)</f>
        <v>3</v>
      </c>
      <c r="E20" s="1">
        <f>VLOOKUP($B20,[9]TrtCodes!$B$11:K77,4)</f>
        <v>1</v>
      </c>
      <c r="F20" s="1">
        <f>VLOOKUP($B20,[9]TrtCodes!$B$11:L77,5)</f>
        <v>2</v>
      </c>
      <c r="G20" s="1">
        <f>VLOOKUP($B20,[9]TrtCodes!$B$11:M77,6)</f>
        <v>2</v>
      </c>
      <c r="H20" s="1">
        <f>VLOOKUP($B20,[9]TrtCodes!$B$11:N77,7)</f>
        <v>1</v>
      </c>
      <c r="I20" s="1">
        <f>[9]FormattedData!B34</f>
        <v>1</v>
      </c>
      <c r="J20" s="4">
        <f>[9]FormattedData!C34</f>
        <v>13.015000000000001</v>
      </c>
      <c r="K20" s="6">
        <f>$J$3+[9]FormattedData!D34*$J$4+$M$4*$J$5+[9]FormattedData!D34^2*$J$6+$M$5*$J$7</f>
        <v>41.501872757414134</v>
      </c>
      <c r="L20" s="6">
        <f>$J$3+[9]FormattedData!E34*$J$4+$M$4*$J$5+[9]FormattedData!E34^2*$J$6+$M$5*$J$7</f>
        <v>33.033997416485619</v>
      </c>
      <c r="M20" s="6">
        <f>$J$3+[9]FormattedData!F34*$J$4+$M$4*$J$5+[9]FormattedData!F34^2*$J$6+$M$5*$J$7</f>
        <v>38.810721669359481</v>
      </c>
      <c r="N20" s="6">
        <f>$J$3+[9]FormattedData!G34*$J$4+$M$4*$J$5+[9]FormattedData!G34^2*$J$6+$M$5*$J$7</f>
        <v>28.377803837029134</v>
      </c>
      <c r="O20" s="6">
        <f>$J$3+[9]FormattedData!H34*$J$4+$M$4*$J$5+[9]FormattedData!H34^2*$J$6+$M$5*$J$7</f>
        <v>36.934043818149327</v>
      </c>
      <c r="P20" s="6">
        <f>$J$3+[9]FormattedData!I34*$J$4+$M$4*$J$5+[9]FormattedData!I34^2*$J$6+$M$5*$J$7</f>
        <v>28.769539599988448</v>
      </c>
      <c r="Q20" s="6">
        <f>$J$3+[9]FormattedData!J34*$J$4+$M$4*$J$5+[9]FormattedData!J34^2*$J$6+$M$5*$J$7</f>
        <v>40.947999406244215</v>
      </c>
      <c r="R20" s="6">
        <f>$J$3+[9]FormattedData!K34*$J$4+$M$4*$J$5+[9]FormattedData!K34^2*$J$6+$M$5*$J$7</f>
        <v>39.835687701807807</v>
      </c>
      <c r="S20" s="6">
        <f>$J$3+[9]FormattedData!L34*$J$4+$M$4*$J$5+[9]FormattedData!L34^2*$J$6+$M$5*$J$7</f>
        <v>40.947999406244215</v>
      </c>
      <c r="T20" s="6">
        <f>$J$3+[9]FormattedData!M34*$J$4+$M$4*$J$5+[9]FormattedData!M34^2*$J$6+$M$5*$J$7</f>
        <v>29.453449846456898</v>
      </c>
      <c r="U20" s="6">
        <f>$J$3+[9]FormattedData!N34*$J$4+$M$4*$J$5+[9]FormattedData!N34^2*$J$6+$M$5*$J$7</f>
        <v>38.904111742271709</v>
      </c>
      <c r="V20" s="6">
        <f>$J$3+[9]FormattedData!O34*$J$4+$M$4*$J$5+[9]FormattedData!O34^2*$J$6+$M$5*$J$7</f>
        <v>30.621048798507235</v>
      </c>
      <c r="W20" s="5">
        <f t="shared" si="0"/>
        <v>35.678189666663179</v>
      </c>
      <c r="X20" s="4">
        <f t="shared" si="1"/>
        <v>1.5097592998076186</v>
      </c>
      <c r="Y20" s="3">
        <f t="shared" si="2"/>
        <v>28.377803837029134</v>
      </c>
      <c r="Z20" s="2">
        <f t="shared" si="3"/>
        <v>30.32914906049465</v>
      </c>
      <c r="AA20" s="3">
        <f t="shared" si="4"/>
        <v>37.8723827437544</v>
      </c>
      <c r="AB20" s="2">
        <f t="shared" si="5"/>
        <v>40.113765627916905</v>
      </c>
      <c r="AC20" s="2">
        <f t="shared" si="6"/>
        <v>41.501872757414134</v>
      </c>
      <c r="AD20" s="2">
        <f t="shared" si="7"/>
        <v>-0.36564955782373176</v>
      </c>
      <c r="AE20" s="2">
        <f t="shared" si="8"/>
        <v>-1.8173419587032429</v>
      </c>
    </row>
    <row r="21" spans="2:31" x14ac:dyDescent="0.2">
      <c r="B21" s="1">
        <f>[9]FormattedData!A36</f>
        <v>204</v>
      </c>
      <c r="C21" s="1" t="str">
        <f>VLOOKUP($B21,[9]TrtCodes!$B$11:I79,2)</f>
        <v>NDH</v>
      </c>
      <c r="D21" s="1">
        <f>VLOOKUP($B21,[9]TrtCodes!$B$11:J79,3)</f>
        <v>11</v>
      </c>
      <c r="E21" s="1">
        <f>VLOOKUP($B21,[9]TrtCodes!$B$11:K79,4)</f>
        <v>2</v>
      </c>
      <c r="F21" s="1">
        <f>VLOOKUP($B21,[9]TrtCodes!$B$11:L79,5)</f>
        <v>3</v>
      </c>
      <c r="G21" s="1">
        <f>VLOOKUP($B21,[9]TrtCodes!$B$11:M79,6)</f>
        <v>2</v>
      </c>
      <c r="H21" s="1">
        <f>VLOOKUP($B21,[9]TrtCodes!$B$11:N79,7)</f>
        <v>1</v>
      </c>
      <c r="I21" s="1">
        <f>[9]FormattedData!B36</f>
        <v>1</v>
      </c>
      <c r="J21" s="4">
        <f>[9]FormattedData!C36</f>
        <v>13.031000000000001</v>
      </c>
      <c r="K21" s="6">
        <f>$J$3+[9]FormattedData!D36*$J$4+$M$4*$J$5+[9]FormattedData!D36^2*$J$6+$M$5*$J$7</f>
        <v>28.96515387024052</v>
      </c>
      <c r="L21" s="6">
        <f>$J$3+[9]FormattedData!E36*$J$4+$M$4*$J$5+[9]FormattedData!E36^2*$J$6+$M$5*$J$7</f>
        <v>30.621048798507235</v>
      </c>
      <c r="M21" s="6">
        <f>$J$3+[9]FormattedData!F36*$J$4+$M$4*$J$5+[9]FormattedData!F36^2*$J$6+$M$5*$J$7</f>
        <v>33.033997416485619</v>
      </c>
      <c r="N21" s="6">
        <f>$J$3+[9]FormattedData!G36*$J$4+$M$4*$J$5+[9]FormattedData!G36^2*$J$6+$M$5*$J$7</f>
        <v>28.769539599988448</v>
      </c>
      <c r="O21" s="6">
        <f>$J$3+[9]FormattedData!H36*$J$4+$M$4*$J$5+[9]FormattedData!H36^2*$J$6+$M$5*$J$7</f>
        <v>36.934043818149327</v>
      </c>
      <c r="P21" s="6">
        <f>$J$3+[9]FormattedData!I36*$J$4+$M$4*$J$5+[9]FormattedData!I36^2*$J$6+$M$5*$J$7</f>
        <v>29.160599066340865</v>
      </c>
      <c r="Q21" s="6">
        <f>$J$3+[9]FormattedData!J36*$J$4+$M$4*$J$5+[9]FormattedData!J36^2*$J$6+$M$5*$J$7</f>
        <v>36.556679358086598</v>
      </c>
      <c r="R21" s="6">
        <f>$J$3+[9]FormattedData!K36*$J$4+$M$4*$J$5+[9]FormattedData!K36^2*$J$6+$M$5*$J$7</f>
        <v>28.475801180575864</v>
      </c>
      <c r="S21" s="6">
        <f>$J$3+[9]FormattedData!L36*$J$4+$M$4*$J$5+[9]FormattedData!L36^2*$J$6+$M$5*$J$7</f>
        <v>37.780641143821491</v>
      </c>
      <c r="T21" s="6">
        <f>$J$3+[9]FormattedData!M36*$J$4+$M$4*$J$5+[9]FormattedData!M36^2*$J$6+$M$5*$J$7</f>
        <v>29.258258261584142</v>
      </c>
      <c r="U21" s="6">
        <f>$J$3+[9]FormattedData!N36*$J$4+$M$4*$J$5+[9]FormattedData!N36^2*$J$6+$M$5*$J$7</f>
        <v>37.122472436953103</v>
      </c>
      <c r="V21" s="6">
        <f>$J$3+[9]FormattedData!O36*$J$4+$M$4*$J$5+[9]FormattedData!O36^2*$J$6+$M$5*$J$7</f>
        <v>28.96515387024052</v>
      </c>
      <c r="W21" s="5">
        <f t="shared" si="0"/>
        <v>32.136949068414474</v>
      </c>
      <c r="X21" s="4">
        <f t="shared" si="1"/>
        <v>1.1158806373452836</v>
      </c>
      <c r="Y21" s="3">
        <f t="shared" si="2"/>
        <v>28.475801180575864</v>
      </c>
      <c r="Z21" s="2">
        <f t="shared" si="3"/>
        <v>28.96515387024052</v>
      </c>
      <c r="AA21" s="3">
        <f t="shared" si="4"/>
        <v>29.939653530045689</v>
      </c>
      <c r="AB21" s="2">
        <f t="shared" si="5"/>
        <v>36.651020473102278</v>
      </c>
      <c r="AC21" s="2">
        <f t="shared" si="6"/>
        <v>37.780641143821491</v>
      </c>
      <c r="AD21" s="2">
        <f t="shared" si="7"/>
        <v>0.55970207574671826</v>
      </c>
      <c r="AE21" s="2">
        <f t="shared" si="8"/>
        <v>-1.7698423361701963</v>
      </c>
    </row>
    <row r="22" spans="2:31" x14ac:dyDescent="0.2">
      <c r="B22" s="1">
        <f>[9]FormattedData!A38</f>
        <v>205</v>
      </c>
      <c r="C22" s="1" t="str">
        <f>VLOOKUP($B22,[9]TrtCodes!$B$11:I81,2)</f>
        <v>FSH</v>
      </c>
      <c r="D22" s="1">
        <f>VLOOKUP($B22,[9]TrtCodes!$B$11:J81,3)</f>
        <v>1</v>
      </c>
      <c r="E22" s="1">
        <f>VLOOKUP($B22,[9]TrtCodes!$B$11:K81,4)</f>
        <v>1</v>
      </c>
      <c r="F22" s="1">
        <f>VLOOKUP($B22,[9]TrtCodes!$B$11:L81,5)</f>
        <v>1</v>
      </c>
      <c r="G22" s="1">
        <f>VLOOKUP($B22,[9]TrtCodes!$B$11:M81,6)</f>
        <v>2</v>
      </c>
      <c r="H22" s="1">
        <f>VLOOKUP($B22,[9]TrtCodes!$B$11:N81,7)</f>
        <v>2</v>
      </c>
      <c r="I22" s="1">
        <f>[9]FormattedData!B38</f>
        <v>1</v>
      </c>
      <c r="J22" s="4">
        <f>[9]FormattedData!C38</f>
        <v>13.045999999999999</v>
      </c>
      <c r="K22" s="6">
        <f>$J$3+[9]FormattedData!D38*$J$4+$M$4*$J$5+[9]FormattedData!D38^2*$J$6+$M$5*$J$7</f>
        <v>36.65108387590918</v>
      </c>
      <c r="L22" s="6">
        <f>$J$3+[9]FormattedData!E38*$J$4+$M$4*$J$5+[9]FormattedData!E38^2*$J$6+$M$5*$J$7</f>
        <v>41.409666203563972</v>
      </c>
      <c r="M22" s="6">
        <f>$J$3+[9]FormattedData!F38*$J$4+$M$4*$J$5+[9]FormattedData!F38^2*$J$6+$M$5*$J$7</f>
        <v>39.370428078763901</v>
      </c>
      <c r="N22" s="6">
        <f>$J$3+[9]FormattedData!G38*$J$4+$M$4*$J$5+[9]FormattedData!G38^2*$J$6+$M$5*$J$7</f>
        <v>30.038010156164827</v>
      </c>
      <c r="O22" s="6">
        <f>$J$3+[9]FormattedData!H38*$J$4+$M$4*$J$5+[9]FormattedData!H38^2*$J$6+$M$5*$J$7</f>
        <v>39.370428078763901</v>
      </c>
      <c r="P22" s="6">
        <f>$J$3+[9]FormattedData!I38*$J$4+$M$4*$J$5+[9]FormattedData!I38^2*$J$6+$M$5*$J$7</f>
        <v>30.523981362794999</v>
      </c>
      <c r="Q22" s="6">
        <f>$J$3+[9]FormattedData!J38*$J$4+$M$4*$J$5+[9]FormattedData!J38^2*$J$6+$M$5*$J$7</f>
        <v>38.530297839395203</v>
      </c>
      <c r="R22" s="6">
        <f>$J$3+[9]FormattedData!K38*$J$4+$M$4*$J$5+[9]FormattedData!K38^2*$J$6+$M$5*$J$7</f>
        <v>34.469086025893311</v>
      </c>
      <c r="S22" s="6">
        <f>$J$3+[9]FormattedData!L38*$J$4+$M$4*$J$5+[9]FormattedData!L38^2*$J$6+$M$5*$J$7</f>
        <v>38.71728932790932</v>
      </c>
      <c r="T22" s="6">
        <f>$J$3+[9]FormattedData!M38*$J$4+$M$4*$J$5+[9]FormattedData!M38^2*$J$6+$M$5*$J$7</f>
        <v>30.038010156164827</v>
      </c>
      <c r="U22" s="6">
        <f>$J$3+[9]FormattedData!N38*$J$4+$M$4*$J$5+[9]FormattedData!N38^2*$J$6+$M$5*$J$7</f>
        <v>37.216623343548093</v>
      </c>
      <c r="V22" s="6">
        <f>$J$3+[9]FormattedData!O38*$J$4+$M$4*$J$5+[9]FormattedData!O38^2*$J$6+$M$5*$J$7</f>
        <v>32.361034721341333</v>
      </c>
      <c r="W22" s="5">
        <f t="shared" si="0"/>
        <v>35.724661597517738</v>
      </c>
      <c r="X22" s="4">
        <f t="shared" si="1"/>
        <v>1.1788144638345148</v>
      </c>
      <c r="Y22" s="3">
        <f t="shared" si="2"/>
        <v>30.038010156164827</v>
      </c>
      <c r="Z22" s="2">
        <f t="shared" si="3"/>
        <v>31.901771381704748</v>
      </c>
      <c r="AA22" s="3">
        <f t="shared" si="4"/>
        <v>36.933853609728637</v>
      </c>
      <c r="AB22" s="2">
        <f t="shared" si="5"/>
        <v>38.880574015622969</v>
      </c>
      <c r="AC22" s="2">
        <f t="shared" si="6"/>
        <v>41.409666203563972</v>
      </c>
      <c r="AD22" s="2">
        <f t="shared" si="7"/>
        <v>-0.34417918614748022</v>
      </c>
      <c r="AE22" s="2">
        <f t="shared" si="8"/>
        <v>-1.4836511157468237</v>
      </c>
    </row>
    <row r="23" spans="2:31" x14ac:dyDescent="0.2">
      <c r="B23" s="1">
        <f>[9]FormattedData!A40</f>
        <v>206</v>
      </c>
      <c r="C23" s="1" t="str">
        <f>VLOOKUP($B23,[9]TrtCodes!$B$11:I83,2)</f>
        <v>NSL</v>
      </c>
      <c r="D23" s="1">
        <f>VLOOKUP($B23,[9]TrtCodes!$B$11:J83,3)</f>
        <v>8</v>
      </c>
      <c r="E23" s="1">
        <f>VLOOKUP($B23,[9]TrtCodes!$B$11:K83,4)</f>
        <v>2</v>
      </c>
      <c r="F23" s="1">
        <f>VLOOKUP($B23,[9]TrtCodes!$B$11:L83,5)</f>
        <v>1</v>
      </c>
      <c r="G23" s="1">
        <f>VLOOKUP($B23,[9]TrtCodes!$B$11:M83,6)</f>
        <v>1</v>
      </c>
      <c r="H23" s="1">
        <f>VLOOKUP($B23,[9]TrtCodes!$B$11:N83,7)</f>
        <v>2</v>
      </c>
      <c r="I23" s="1">
        <f>[9]FormattedData!B40</f>
        <v>1</v>
      </c>
      <c r="J23" s="4">
        <f>[9]FormattedData!C40</f>
        <v>13.06</v>
      </c>
      <c r="K23" s="6">
        <f>$J$3+[9]FormattedData!D40*$J$4+$M$4*$J$5+[9]FormattedData!D40^2*$J$6+$M$5*$J$7</f>
        <v>49.273509788127399</v>
      </c>
      <c r="L23" s="6">
        <f>$J$3+[9]FormattedData!E40*$J$4+$M$4*$J$5+[9]FormattedData!E40^2*$J$6+$M$5*$J$7</f>
        <v>43.702149488438607</v>
      </c>
      <c r="M23" s="6">
        <f>$J$3+[9]FormattedData!F40*$J$4+$M$4*$J$5+[9]FormattedData!F40^2*$J$6+$M$5*$J$7</f>
        <v>53.388689477980876</v>
      </c>
      <c r="N23" s="6">
        <f>$J$3+[9]FormattedData!G40*$J$4+$M$4*$J$5+[9]FormattedData!G40^2*$J$6+$M$5*$J$7</f>
        <v>39.928612820802798</v>
      </c>
      <c r="O23" s="6">
        <f>$J$3+[9]FormattedData!H40*$J$4+$M$4*$J$5+[9]FormattedData!H40^2*$J$6+$M$5*$J$7</f>
        <v>57.410497967544451</v>
      </c>
      <c r="P23" s="6">
        <f>$J$3+[9]FormattedData!I40*$J$4+$M$4*$J$5+[9]FormattedData!I40^2*$J$6+$M$5*$J$7</f>
        <v>37.028279261820181</v>
      </c>
      <c r="Q23" s="6">
        <f>$J$3+[9]FormattedData!J40*$J$4+$M$4*$J$5+[9]FormattedData!J40^2*$J$6+$M$5*$J$7</f>
        <v>57.832855024588248</v>
      </c>
      <c r="R23" s="6">
        <f>$J$3+[9]FormattedData!K40*$J$4+$M$4*$J$5+[9]FormattedData!K40^2*$J$6+$M$5*$J$7</f>
        <v>37.498822452105479</v>
      </c>
      <c r="S23" s="6">
        <f>$J$3+[9]FormattedData!L40*$J$4+$M$4*$J$5+[9]FormattedData!L40^2*$J$6+$M$5*$J$7</f>
        <v>55.795903924129711</v>
      </c>
      <c r="T23" s="6">
        <f>$J$3+[9]FormattedData!M40*$J$4+$M$4*$J$5+[9]FormattedData!M40^2*$J$6+$M$5*$J$7</f>
        <v>34.85017011729397</v>
      </c>
      <c r="U23" s="6">
        <f>$J$3+[9]FormattedData!N40*$J$4+$M$4*$J$5+[9]FormattedData!N40^2*$J$6+$M$5*$J$7</f>
        <v>57.15657651086299</v>
      </c>
      <c r="V23" s="6">
        <f>$J$3+[9]FormattedData!O40*$J$4+$M$4*$J$5+[9]FormattedData!O40^2*$J$6+$M$5*$J$7</f>
        <v>53.128808157451132</v>
      </c>
      <c r="W23" s="5">
        <f t="shared" si="0"/>
        <v>48.082906249262152</v>
      </c>
      <c r="X23" s="4">
        <f t="shared" si="1"/>
        <v>2.5730740611170528</v>
      </c>
      <c r="Y23" s="3">
        <f t="shared" si="2"/>
        <v>34.85017011729397</v>
      </c>
      <c r="Z23" s="2">
        <f t="shared" si="3"/>
        <v>39.321165228628466</v>
      </c>
      <c r="AA23" s="3">
        <f t="shared" si="4"/>
        <v>51.201158972789266</v>
      </c>
      <c r="AB23" s="2">
        <f t="shared" si="5"/>
        <v>56.136072070813029</v>
      </c>
      <c r="AC23" s="2">
        <f t="shared" si="6"/>
        <v>57.832855024588248</v>
      </c>
      <c r="AD23" s="2">
        <f t="shared" si="7"/>
        <v>-0.34756200567054046</v>
      </c>
      <c r="AE23" s="2">
        <f t="shared" si="8"/>
        <v>-1.7540696291772808</v>
      </c>
    </row>
    <row r="24" spans="2:31" x14ac:dyDescent="0.2">
      <c r="B24" s="1">
        <f>[9]FormattedData!A42</f>
        <v>207</v>
      </c>
      <c r="C24" s="1" t="str">
        <f>VLOOKUP($B24,[9]TrtCodes!$B$11:I85,2)</f>
        <v>FTL</v>
      </c>
      <c r="D24" s="1">
        <f>VLOOKUP($B24,[9]TrtCodes!$B$11:J85,3)</f>
        <v>4</v>
      </c>
      <c r="E24" s="1">
        <f>VLOOKUP($B24,[9]TrtCodes!$B$11:K85,4)</f>
        <v>1</v>
      </c>
      <c r="F24" s="1">
        <f>VLOOKUP($B24,[9]TrtCodes!$B$11:L85,5)</f>
        <v>2</v>
      </c>
      <c r="G24" s="1">
        <f>VLOOKUP($B24,[9]TrtCodes!$B$11:M85,6)</f>
        <v>1</v>
      </c>
      <c r="H24" s="1">
        <f>VLOOKUP($B24,[9]TrtCodes!$B$11:N85,7)</f>
        <v>2</v>
      </c>
      <c r="I24" s="1">
        <f>[9]FormattedData!B42</f>
        <v>1</v>
      </c>
      <c r="J24" s="4">
        <f>[9]FormattedData!C42</f>
        <v>13.074</v>
      </c>
      <c r="K24" s="6">
        <f>$J$3+[9]FormattedData!D42*$J$4+$M$4*$J$5+[9]FormattedData!D42^2*$J$6+$M$5*$J$7</f>
        <v>37.310731981605159</v>
      </c>
      <c r="L24" s="6">
        <f>$J$3+[9]FormattedData!E42*$J$4+$M$4*$J$5+[9]FormattedData!E42^2*$J$6+$M$5*$J$7</f>
        <v>31.975554701995833</v>
      </c>
      <c r="M24" s="6">
        <f>$J$3+[9]FormattedData!F42*$J$4+$M$4*$J$5+[9]FormattedData!F42^2*$J$6+$M$5*$J$7</f>
        <v>40.207134566560171</v>
      </c>
      <c r="N24" s="6">
        <f>$J$3+[9]FormattedData!G42*$J$4+$M$4*$J$5+[9]FormattedData!G42^2*$J$6+$M$5*$J$7</f>
        <v>28.377803837029134</v>
      </c>
      <c r="O24" s="6">
        <f>$J$3+[9]FormattedData!H42*$J$4+$M$4*$J$5+[9]FormattedData!H42^2*$J$6+$M$5*$J$7</f>
        <v>38.997459546646013</v>
      </c>
      <c r="P24" s="6">
        <f>$J$3+[9]FormattedData!I42*$J$4+$M$4*$J$5+[9]FormattedData!I42^2*$J$6+$M$5*$J$7</f>
        <v>28.573756255584655</v>
      </c>
      <c r="Q24" s="6">
        <f>$J$3+[9]FormattedData!J42*$J$4+$M$4*$J$5+[9]FormattedData!J42^2*$J$6+$M$5*$J$7</f>
        <v>38.71728932790932</v>
      </c>
      <c r="R24" s="6">
        <f>$J$3+[9]FormattedData!K42*$J$4+$M$4*$J$5+[9]FormattedData!K42^2*$J$6+$M$5*$J$7</f>
        <v>29.64847235717793</v>
      </c>
      <c r="S24" s="6">
        <f>$J$3+[9]FormattedData!L42*$J$4+$M$4*$J$5+[9]FormattedData!L42^2*$J$6+$M$5*$J$7</f>
        <v>38.904111742271709</v>
      </c>
      <c r="T24" s="6">
        <f>$J$3+[9]FormattedData!M42*$J$4+$M$4*$J$5+[9]FormattedData!M42^2*$J$6+$M$5*$J$7</f>
        <v>30.523981362794999</v>
      </c>
      <c r="U24" s="6">
        <f>$J$3+[9]FormattedData!N42*$J$4+$M$4*$J$5+[9]FormattedData!N42^2*$J$6+$M$5*$J$7</f>
        <v>37.780641143821491</v>
      </c>
      <c r="V24" s="6">
        <f>$J$3+[9]FormattedData!O42*$J$4+$M$4*$J$5+[9]FormattedData!O42^2*$J$6+$M$5*$J$7</f>
        <v>29.160599066340865</v>
      </c>
      <c r="W24" s="5">
        <f t="shared" si="0"/>
        <v>34.18146132414477</v>
      </c>
      <c r="X24" s="4">
        <f t="shared" si="1"/>
        <v>1.3878673322670798</v>
      </c>
      <c r="Y24" s="3">
        <f t="shared" si="2"/>
        <v>28.377803837029134</v>
      </c>
      <c r="Z24" s="2">
        <f t="shared" si="3"/>
        <v>29.526504034468665</v>
      </c>
      <c r="AA24" s="3">
        <f t="shared" si="4"/>
        <v>34.643143341800496</v>
      </c>
      <c r="AB24" s="2">
        <f t="shared" si="5"/>
        <v>38.763994931499916</v>
      </c>
      <c r="AC24" s="2">
        <f t="shared" si="6"/>
        <v>40.207134566560171</v>
      </c>
      <c r="AD24" s="2">
        <f t="shared" si="7"/>
        <v>-4.3975297435418489E-2</v>
      </c>
      <c r="AE24" s="2">
        <f t="shared" si="8"/>
        <v>-2.1385082183370825</v>
      </c>
    </row>
    <row r="25" spans="2:31" x14ac:dyDescent="0.2">
      <c r="B25" s="1">
        <f>[9]FormattedData!A44</f>
        <v>208</v>
      </c>
      <c r="C25" s="1" t="str">
        <f>VLOOKUP($B25,[9]TrtCodes!$B$11:I87,2)</f>
        <v>FSL</v>
      </c>
      <c r="D25" s="1">
        <f>VLOOKUP($B25,[9]TrtCodes!$B$11:J87,3)</f>
        <v>2</v>
      </c>
      <c r="E25" s="1">
        <f>VLOOKUP($B25,[9]TrtCodes!$B$11:K87,4)</f>
        <v>1</v>
      </c>
      <c r="F25" s="1">
        <f>VLOOKUP($B25,[9]TrtCodes!$B$11:L87,5)</f>
        <v>1</v>
      </c>
      <c r="G25" s="1">
        <f>VLOOKUP($B25,[9]TrtCodes!$B$11:M87,6)</f>
        <v>1</v>
      </c>
      <c r="H25" s="1">
        <f>VLOOKUP($B25,[9]TrtCodes!$B$11:N87,7)</f>
        <v>2</v>
      </c>
      <c r="I25" s="1">
        <f>[9]FormattedData!B44</f>
        <v>1</v>
      </c>
      <c r="J25" s="4">
        <f>[9]FormattedData!C44</f>
        <v>13.087999999999999</v>
      </c>
      <c r="K25" s="6">
        <f>$J$3+[9]FormattedData!D44*$J$4+$M$4*$J$5+[9]FormattedData!D44^2*$J$6+$M$5*$J$7</f>
        <v>39.370428078763901</v>
      </c>
      <c r="L25" s="6">
        <f>$J$3+[9]FormattedData!E44*$J$4+$M$4*$J$5+[9]FormattedData!E44^2*$J$6+$M$5*$J$7</f>
        <v>38.904111742271709</v>
      </c>
      <c r="M25" s="6">
        <f>$J$3+[9]FormattedData!F44*$J$4+$M$4*$J$5+[9]FormattedData!F44^2*$J$6+$M$5*$J$7</f>
        <v>38.810721669359481</v>
      </c>
      <c r="N25" s="6">
        <f>$J$3+[9]FormattedData!G44*$J$4+$M$4*$J$5+[9]FormattedData!G44^2*$J$6+$M$5*$J$7</f>
        <v>33.800561527231785</v>
      </c>
      <c r="O25" s="6">
        <f>$J$3+[9]FormattedData!H44*$J$4+$M$4*$J$5+[9]FormattedData!H44^2*$J$6+$M$5*$J$7</f>
        <v>41.040417302784029</v>
      </c>
      <c r="P25" s="6">
        <f>$J$3+[9]FormattedData!I44*$J$4+$M$4*$J$5+[9]FormattedData!I44^2*$J$6+$M$5*$J$7</f>
        <v>34.469086025893311</v>
      </c>
      <c r="Q25" s="6">
        <f>$J$3+[9]FormattedData!J44*$J$4+$M$4*$J$5+[9]FormattedData!J44^2*$J$6+$M$5*$J$7</f>
        <v>42.971429097858042</v>
      </c>
      <c r="R25" s="6">
        <f>$J$3+[9]FormattedData!K44*$J$4+$M$4*$J$5+[9]FormattedData!K44^2*$J$6+$M$5*$J$7</f>
        <v>33.033997416485619</v>
      </c>
      <c r="S25" s="6">
        <f>$J$3+[9]FormattedData!L44*$J$4+$M$4*$J$5+[9]FormattedData!L44^2*$J$6+$M$5*$J$7</f>
        <v>43.428446356005374</v>
      </c>
      <c r="T25" s="6">
        <f>$J$3+[9]FormattedData!M44*$J$4+$M$4*$J$5+[9]FormattedData!M44^2*$J$6+$M$5*$J$7</f>
        <v>33.321775972049913</v>
      </c>
      <c r="U25" s="6">
        <f>$J$3+[9]FormattedData!N44*$J$4+$M$4*$J$5+[9]FormattedData!N44^2*$J$6+$M$5*$J$7</f>
        <v>43.33712744145177</v>
      </c>
      <c r="V25" s="6">
        <f>$J$3+[9]FormattedData!O44*$J$4+$M$4*$J$5+[9]FormattedData!O44^2*$J$6+$M$5*$J$7</f>
        <v>36.462232571726084</v>
      </c>
      <c r="W25" s="5">
        <f t="shared" si="0"/>
        <v>38.245861266823425</v>
      </c>
      <c r="X25" s="4">
        <f t="shared" si="1"/>
        <v>1.1466483398286966</v>
      </c>
      <c r="Y25" s="3">
        <f t="shared" si="2"/>
        <v>33.033997416485619</v>
      </c>
      <c r="Z25" s="2">
        <f t="shared" si="3"/>
        <v>34.30195490122793</v>
      </c>
      <c r="AA25" s="3">
        <f t="shared" si="4"/>
        <v>38.857416705815595</v>
      </c>
      <c r="AB25" s="2">
        <f t="shared" si="5"/>
        <v>41.523170251552528</v>
      </c>
      <c r="AC25" s="2">
        <f t="shared" si="6"/>
        <v>43.428446356005374</v>
      </c>
      <c r="AD25" s="2">
        <f t="shared" si="7"/>
        <v>-1.3828877130560807E-2</v>
      </c>
      <c r="AE25" s="2">
        <f t="shared" si="8"/>
        <v>-1.5743129116366896</v>
      </c>
    </row>
    <row r="26" spans="2:31" x14ac:dyDescent="0.2">
      <c r="B26" s="1">
        <f>[9]FormattedData!A62</f>
        <v>301</v>
      </c>
      <c r="C26" s="1" t="str">
        <f>VLOOKUP($B26,[9]TrtCodes!$B$11:I105,2)</f>
        <v>NTL</v>
      </c>
      <c r="D26" s="1">
        <f>VLOOKUP($B26,[9]TrtCodes!$B$11:J105,3)</f>
        <v>10</v>
      </c>
      <c r="E26" s="1">
        <f>VLOOKUP($B26,[9]TrtCodes!$B$11:K105,4)</f>
        <v>2</v>
      </c>
      <c r="F26" s="1">
        <f>VLOOKUP($B26,[9]TrtCodes!$B$11:L105,5)</f>
        <v>2</v>
      </c>
      <c r="G26" s="1">
        <f>VLOOKUP($B26,[9]TrtCodes!$B$11:M105,6)</f>
        <v>1</v>
      </c>
      <c r="H26" s="1">
        <f>VLOOKUP($B26,[9]TrtCodes!$B$11:N105,7)</f>
        <v>3</v>
      </c>
      <c r="I26" s="1">
        <f>[9]FormattedData!B62</f>
        <v>1</v>
      </c>
      <c r="J26" s="4">
        <f>[9]FormattedData!C62</f>
        <v>13.192</v>
      </c>
      <c r="K26" s="6">
        <f>$J$3+[9]FormattedData!D62*$J$4+$M$4*$J$5+[9]FormattedData!D62^2*$J$6+$M$5*$J$7</f>
        <v>38.530297839395203</v>
      </c>
      <c r="L26" s="6">
        <f>$J$3+[9]FormattedData!E62*$J$4+$M$4*$J$5+[9]FormattedData!E62^2*$J$6+$M$5*$J$7</f>
        <v>32.937986694221657</v>
      </c>
      <c r="M26" s="6">
        <f>$J$3+[9]FormattedData!F62*$J$4+$M$4*$J$5+[9]FormattedData!F62^2*$J$6+$M$5*$J$7</f>
        <v>38.71728932790932</v>
      </c>
      <c r="N26" s="6">
        <f>$J$3+[9]FormattedData!G62*$J$4+$M$4*$J$5+[9]FormattedData!G62^2*$J$6+$M$5*$J$7</f>
        <v>31.008895855976885</v>
      </c>
      <c r="O26" s="6">
        <f>$J$3+[9]FormattedData!H62*$J$4+$M$4*$J$5+[9]FormattedData!H62^2*$J$6+$M$5*$J$7</f>
        <v>39.184028349780817</v>
      </c>
      <c r="P26" s="6">
        <f>$J$3+[9]FormattedData!I62*$J$4+$M$4*$J$5+[9]FormattedData!I62^2*$J$6+$M$5*$J$7</f>
        <v>29.940689109225005</v>
      </c>
      <c r="Q26" s="6">
        <f>$J$3+[9]FormattedData!J62*$J$4+$M$4*$J$5+[9]FormattedData!J62^2*$J$6+$M$5*$J$7</f>
        <v>40.855539241166461</v>
      </c>
      <c r="R26" s="6">
        <f>$J$3+[9]FormattedData!K62*$J$4+$M$4*$J$5+[9]FormattedData!K62^2*$J$6+$M$5*$J$7</f>
        <v>30.038010156164827</v>
      </c>
      <c r="S26" s="6">
        <f>$J$3+[9]FormattedData!L62*$J$4+$M$4*$J$5+[9]FormattedData!L62^2*$J$6+$M$5*$J$7</f>
        <v>40.67049210539718</v>
      </c>
      <c r="T26" s="6">
        <f>$J$3+[9]FormattedData!M62*$J$4+$M$4*$J$5+[9]FormattedData!M62^2*$J$6+$M$5*$J$7</f>
        <v>30.621048798507235</v>
      </c>
      <c r="U26" s="6">
        <f>$J$3+[9]FormattedData!N62*$J$4+$M$4*$J$5+[9]FormattedData!N62^2*$J$6+$M$5*$J$7</f>
        <v>40.947999406244215</v>
      </c>
      <c r="V26" s="6">
        <f>$J$3+[9]FormattedData!O62*$J$4+$M$4*$J$5+[9]FormattedData!O62^2*$J$6+$M$5*$J$7</f>
        <v>31.39606661683964</v>
      </c>
      <c r="W26" s="5">
        <f t="shared" si="0"/>
        <v>35.404028625069031</v>
      </c>
      <c r="X26" s="4">
        <f t="shared" si="1"/>
        <v>1.3657368818843973</v>
      </c>
      <c r="Y26" s="3">
        <f t="shared" si="2"/>
        <v>29.940689109225005</v>
      </c>
      <c r="Z26" s="2">
        <f t="shared" si="3"/>
        <v>30.911934091609474</v>
      </c>
      <c r="AA26" s="3">
        <f t="shared" si="4"/>
        <v>35.734142266808433</v>
      </c>
      <c r="AB26" s="2">
        <f t="shared" si="5"/>
        <v>39.55564428868491</v>
      </c>
      <c r="AC26" s="2">
        <f t="shared" si="6"/>
        <v>40.947999406244215</v>
      </c>
      <c r="AD26" s="2">
        <f t="shared" si="7"/>
        <v>8.3804326801361056E-3</v>
      </c>
      <c r="AE26" s="2">
        <f t="shared" si="8"/>
        <v>-2.1685319585397433</v>
      </c>
    </row>
    <row r="27" spans="2:31" x14ac:dyDescent="0.2">
      <c r="B27" s="1">
        <f>[9]FormattedData!A64</f>
        <v>302</v>
      </c>
      <c r="C27" s="1" t="str">
        <f>VLOOKUP($B27,[9]TrtCodes!$B$11:I107,2)</f>
        <v>FTL</v>
      </c>
      <c r="D27" s="1">
        <f>VLOOKUP($B27,[9]TrtCodes!$B$11:J107,3)</f>
        <v>4</v>
      </c>
      <c r="E27" s="1">
        <f>VLOOKUP($B27,[9]TrtCodes!$B$11:K107,4)</f>
        <v>1</v>
      </c>
      <c r="F27" s="1">
        <f>VLOOKUP($B27,[9]TrtCodes!$B$11:L107,5)</f>
        <v>2</v>
      </c>
      <c r="G27" s="1">
        <f>VLOOKUP($B27,[9]TrtCodes!$B$11:M107,6)</f>
        <v>1</v>
      </c>
      <c r="H27" s="1">
        <f>VLOOKUP($B27,[9]TrtCodes!$B$11:N107,7)</f>
        <v>3</v>
      </c>
      <c r="I27" s="1">
        <f>[9]FormattedData!B64</f>
        <v>1</v>
      </c>
      <c r="J27" s="4">
        <f>[9]FormattedData!C64</f>
        <v>13.205</v>
      </c>
      <c r="K27" s="6">
        <f>$J$3+[9]FormattedData!D64*$J$4+$M$4*$J$5+[9]FormattedData!D64^2*$J$6+$M$5*$J$7</f>
        <v>34.945335468799314</v>
      </c>
      <c r="L27" s="6">
        <f>$J$3+[9]FormattedData!E64*$J$4+$M$4*$J$5+[9]FormattedData!E64^2*$J$6+$M$5*$J$7</f>
        <v>33.321775972049913</v>
      </c>
      <c r="M27" s="6">
        <f>$J$3+[9]FormattedData!F64*$J$4+$M$4*$J$5+[9]FormattedData!F64^2*$J$6+$M$5*$J$7</f>
        <v>36.273212193391281</v>
      </c>
      <c r="N27" s="6">
        <f>$J$3+[9]FormattedData!G64*$J$4+$M$4*$J$5+[9]FormattedData!G64^2*$J$6+$M$5*$J$7</f>
        <v>29.258258261584142</v>
      </c>
      <c r="O27" s="6">
        <f>$J$3+[9]FormattedData!H64*$J$4+$M$4*$J$5+[9]FormattedData!H64^2*$J$6+$M$5*$J$7</f>
        <v>37.968308928942498</v>
      </c>
      <c r="P27" s="6">
        <f>$J$3+[9]FormattedData!I64*$J$4+$M$4*$J$5+[9]FormattedData!I64^2*$J$6+$M$5*$J$7</f>
        <v>29.160599066340865</v>
      </c>
      <c r="Q27" s="6">
        <f>$J$3+[9]FormattedData!J64*$J$4+$M$4*$J$5+[9]FormattedData!J64^2*$J$6+$M$5*$J$7</f>
        <v>39.184028349780817</v>
      </c>
      <c r="R27" s="6">
        <f>$J$3+[9]FormattedData!K64*$J$4+$M$4*$J$5+[9]FormattedData!K64^2*$J$6+$M$5*$J$7</f>
        <v>28.769539599988448</v>
      </c>
      <c r="S27" s="6">
        <f>$J$3+[9]FormattedData!L64*$J$4+$M$4*$J$5+[9]FormattedData!L64^2*$J$6+$M$5*$J$7</f>
        <v>38.810721669359481</v>
      </c>
      <c r="T27" s="6">
        <f>$J$3+[9]FormattedData!M64*$J$4+$M$4*$J$5+[9]FormattedData!M64^2*$J$6+$M$5*$J$7</f>
        <v>29.355875188289485</v>
      </c>
      <c r="U27" s="6">
        <f>$J$3+[9]FormattedData!N64*$J$4+$M$4*$J$5+[9]FormattedData!N64^2*$J$6+$M$5*$J$7</f>
        <v>38.71728932790932</v>
      </c>
      <c r="V27" s="6">
        <f>$J$3+[9]FormattedData!O64*$J$4+$M$4*$J$5+[9]FormattedData!O64^2*$J$6+$M$5*$J$7</f>
        <v>33.321775972049913</v>
      </c>
      <c r="W27" s="5">
        <f t="shared" si="0"/>
        <v>34.09055999987379</v>
      </c>
      <c r="X27" s="4">
        <f t="shared" si="1"/>
        <v>1.1988938391899395</v>
      </c>
      <c r="Y27" s="3">
        <f t="shared" si="2"/>
        <v>28.769539599988448</v>
      </c>
      <c r="Z27" s="2">
        <f t="shared" si="3"/>
        <v>29.331470956613149</v>
      </c>
      <c r="AA27" s="3">
        <f t="shared" si="4"/>
        <v>34.13355572042461</v>
      </c>
      <c r="AB27" s="2">
        <f t="shared" si="5"/>
        <v>38.155554028684207</v>
      </c>
      <c r="AC27" s="2">
        <f t="shared" si="6"/>
        <v>39.184028349780817</v>
      </c>
      <c r="AD27" s="2">
        <f t="shared" si="7"/>
        <v>-0.1289619461096507</v>
      </c>
      <c r="AE27" s="2">
        <f t="shared" si="8"/>
        <v>-1.7462808880251091</v>
      </c>
    </row>
    <row r="28" spans="2:31" x14ac:dyDescent="0.2">
      <c r="B28" s="1">
        <f>[9]FormattedData!A66</f>
        <v>303</v>
      </c>
      <c r="C28" s="1" t="str">
        <f>VLOOKUP($B28,[9]TrtCodes!$B$11:I109,2)</f>
        <v>NSL</v>
      </c>
      <c r="D28" s="1">
        <f>VLOOKUP($B28,[9]TrtCodes!$B$11:J109,3)</f>
        <v>8</v>
      </c>
      <c r="E28" s="1">
        <f>VLOOKUP($B28,[9]TrtCodes!$B$11:K109,4)</f>
        <v>2</v>
      </c>
      <c r="F28" s="1">
        <f>VLOOKUP($B28,[9]TrtCodes!$B$11:L109,5)</f>
        <v>1</v>
      </c>
      <c r="G28" s="1">
        <f>VLOOKUP($B28,[9]TrtCodes!$B$11:M109,6)</f>
        <v>1</v>
      </c>
      <c r="H28" s="1">
        <f>VLOOKUP($B28,[9]TrtCodes!$B$11:N109,7)</f>
        <v>3</v>
      </c>
      <c r="I28" s="1">
        <f>[9]FormattedData!B66</f>
        <v>1</v>
      </c>
      <c r="J28" s="4">
        <f>[9]FormattedData!C66</f>
        <v>13.218</v>
      </c>
      <c r="K28" s="6">
        <f>$J$3+[9]FormattedData!D66*$J$4+$M$4*$J$5+[9]FormattedData!D66^2*$J$6+$M$5*$J$7</f>
        <v>49.804050906359329</v>
      </c>
      <c r="L28" s="6">
        <f>$J$3+[9]FormattedData!E66*$J$4+$M$4*$J$5+[9]FormattedData!E66^2*$J$6+$M$5*$J$7</f>
        <v>42.60505445765741</v>
      </c>
      <c r="M28" s="6">
        <f>$J$3+[9]FormattedData!F66*$J$4+$M$4*$J$5+[9]FormattedData!F66^2*$J$6+$M$5*$J$7</f>
        <v>56.732528712301942</v>
      </c>
      <c r="N28" s="6">
        <f>$J$3+[9]FormattedData!G66*$J$4+$M$4*$J$5+[9]FormattedData!G66^2*$J$6+$M$5*$J$7</f>
        <v>41.409666203563972</v>
      </c>
      <c r="O28" s="6">
        <f>$J$3+[9]FormattedData!H66*$J$4+$M$4*$J$5+[9]FormattedData!H66^2*$J$6+$M$5*$J$7</f>
        <v>56.647592346975955</v>
      </c>
      <c r="P28" s="6">
        <f>$J$3+[9]FormattedData!I66*$J$4+$M$4*$J$5+[9]FormattedData!I66^2*$J$6+$M$5*$J$7</f>
        <v>34.278290368965379</v>
      </c>
      <c r="Q28" s="6">
        <f>$J$3+[9]FormattedData!J66*$J$4+$M$4*$J$5+[9]FormattedData!J66^2*$J$6+$M$5*$J$7</f>
        <v>58.842200570624392</v>
      </c>
      <c r="R28" s="6">
        <f>$J$3+[9]FormattedData!K66*$J$4+$M$4*$J$5+[9]FormattedData!K66^2*$J$6+$M$5*$J$7</f>
        <v>35.420528198257038</v>
      </c>
      <c r="S28" s="6">
        <f>$J$3+[9]FormattedData!L66*$J$4+$M$4*$J$5+[9]FormattedData!L66^2*$J$6+$M$5*$J$7</f>
        <v>55.710502604886472</v>
      </c>
      <c r="T28" s="6">
        <f>$J$3+[9]FormattedData!M66*$J$4+$M$4*$J$5+[9]FormattedData!M66^2*$J$6+$M$5*$J$7</f>
        <v>36.367743516827652</v>
      </c>
      <c r="U28" s="6">
        <f>$J$3+[9]FormattedData!N66*$J$4+$M$4*$J$5+[9]FormattedData!N66^2*$J$6+$M$5*$J$7</f>
        <v>56.902274637340163</v>
      </c>
      <c r="V28" s="6">
        <f>$J$3+[9]FormattedData!O66*$J$4+$M$4*$J$5+[9]FormattedData!O66^2*$J$6+$M$5*$J$7</f>
        <v>46.058308064059879</v>
      </c>
      <c r="W28" s="5">
        <f t="shared" si="0"/>
        <v>47.564895048984972</v>
      </c>
      <c r="X28" s="4">
        <f t="shared" si="1"/>
        <v>2.7058050582396955</v>
      </c>
      <c r="Y28" s="3">
        <f t="shared" si="2"/>
        <v>34.278290368965379</v>
      </c>
      <c r="Z28" s="2">
        <f t="shared" si="3"/>
        <v>40.149185531879894</v>
      </c>
      <c r="AA28" s="3">
        <f t="shared" si="4"/>
        <v>47.931179485209604</v>
      </c>
      <c r="AB28" s="2">
        <f t="shared" si="5"/>
        <v>56.668826438307448</v>
      </c>
      <c r="AC28" s="2">
        <f t="shared" si="6"/>
        <v>58.842200570624392</v>
      </c>
      <c r="AD28" s="2">
        <f t="shared" si="7"/>
        <v>-0.20922188685151499</v>
      </c>
      <c r="AE28" s="2">
        <f t="shared" si="8"/>
        <v>-1.7315152405906846</v>
      </c>
    </row>
    <row r="29" spans="2:31" x14ac:dyDescent="0.2">
      <c r="B29" s="1">
        <f>[9]FormattedData!A68</f>
        <v>304</v>
      </c>
      <c r="C29" s="1" t="str">
        <f>VLOOKUP($B29,[9]TrtCodes!$B$11:I111,2)</f>
        <v>FSL</v>
      </c>
      <c r="D29" s="1">
        <f>VLOOKUP($B29,[9]TrtCodes!$B$11:J111,3)</f>
        <v>2</v>
      </c>
      <c r="E29" s="1">
        <f>VLOOKUP($B29,[9]TrtCodes!$B$11:K111,4)</f>
        <v>1</v>
      </c>
      <c r="F29" s="1">
        <f>VLOOKUP($B29,[9]TrtCodes!$B$11:L111,5)</f>
        <v>1</v>
      </c>
      <c r="G29" s="1">
        <f>VLOOKUP($B29,[9]TrtCodes!$B$11:M111,6)</f>
        <v>1</v>
      </c>
      <c r="H29" s="1">
        <f>VLOOKUP($B29,[9]TrtCodes!$B$11:N111,7)</f>
        <v>3</v>
      </c>
      <c r="I29" s="1">
        <f>[9]FormattedData!B68</f>
        <v>1</v>
      </c>
      <c r="J29" s="4">
        <f>[9]FormattedData!C68</f>
        <v>13.233000000000001</v>
      </c>
      <c r="K29" s="6">
        <f>$J$3+[9]FormattedData!D68*$J$4+$M$4*$J$5+[9]FormattedData!D68^2*$J$6+$M$5*$J$7</f>
        <v>38.530297839395203</v>
      </c>
      <c r="L29" s="6">
        <f>$J$3+[9]FormattedData!E68*$J$4+$M$4*$J$5+[9]FormattedData!E68^2*$J$6+$M$5*$J$7</f>
        <v>33.609174110772827</v>
      </c>
      <c r="M29" s="6">
        <f>$J$3+[9]FormattedData!F68*$J$4+$M$4*$J$5+[9]FormattedData!F68^2*$J$6+$M$5*$J$7</f>
        <v>40.299890611403441</v>
      </c>
      <c r="N29" s="6">
        <f>$J$3+[9]FormattedData!G68*$J$4+$M$4*$J$5+[9]FormattedData!G68^2*$J$6+$M$5*$J$7</f>
        <v>31.492753635710496</v>
      </c>
      <c r="O29" s="6">
        <f>$J$3+[9]FormattedData!H68*$J$4+$M$4*$J$5+[9]FormattedData!H68^2*$J$6+$M$5*$J$7</f>
        <v>38.904111742271709</v>
      </c>
      <c r="P29" s="6">
        <f>$J$3+[9]FormattedData!I68*$J$4+$M$4*$J$5+[9]FormattedData!I68^2*$J$6+$M$5*$J$7</f>
        <v>33.033997416485619</v>
      </c>
      <c r="Q29" s="6">
        <f>$J$3+[9]FormattedData!J68*$J$4+$M$4*$J$5+[9]FormattedData!J68^2*$J$6+$M$5*$J$7</f>
        <v>39.090765082482385</v>
      </c>
      <c r="R29" s="6">
        <f>$J$3+[9]FormattedData!K68*$J$4+$M$4*$J$5+[9]FormattedData!K68^2*$J$6+$M$5*$J$7</f>
        <v>30.329719685756722</v>
      </c>
      <c r="S29" s="6">
        <f>$J$3+[9]FormattedData!L68*$J$4+$M$4*$J$5+[9]FormattedData!L68^2*$J$6+$M$5*$J$7</f>
        <v>38.343137276729358</v>
      </c>
      <c r="T29" s="6">
        <f>$J$3+[9]FormattedData!M68*$J$4+$M$4*$J$5+[9]FormattedData!M68^2*$J$6+$M$5*$J$7</f>
        <v>31.105751948999465</v>
      </c>
      <c r="U29" s="6">
        <f>$J$3+[9]FormattedData!N68*$J$4+$M$4*$J$5+[9]FormattedData!N68^2*$J$6+$M$5*$J$7</f>
        <v>39.277249348541325</v>
      </c>
      <c r="V29" s="6">
        <f>$J$3+[9]FormattedData!O68*$J$4+$M$4*$J$5+[9]FormattedData!O68^2*$J$6+$M$5*$J$7</f>
        <v>34.469086025893311</v>
      </c>
      <c r="W29" s="5">
        <f t="shared" si="0"/>
        <v>35.707161227036821</v>
      </c>
      <c r="X29" s="4">
        <f t="shared" si="1"/>
        <v>1.0708170599948323</v>
      </c>
      <c r="Y29" s="3">
        <f t="shared" si="2"/>
        <v>30.329719685756722</v>
      </c>
      <c r="Z29" s="2">
        <f t="shared" si="3"/>
        <v>32.648686471291839</v>
      </c>
      <c r="AA29" s="3">
        <f t="shared" si="4"/>
        <v>36.406111651311335</v>
      </c>
      <c r="AB29" s="2">
        <f t="shared" si="5"/>
        <v>38.95077507732438</v>
      </c>
      <c r="AC29" s="2">
        <f t="shared" si="6"/>
        <v>40.299890611403441</v>
      </c>
      <c r="AD29" s="2">
        <f t="shared" si="7"/>
        <v>-0.22100945745647937</v>
      </c>
      <c r="AE29" s="2">
        <f t="shared" si="8"/>
        <v>-1.846592112414617</v>
      </c>
    </row>
    <row r="30" spans="2:31" x14ac:dyDescent="0.2">
      <c r="B30" s="1">
        <f>[9]FormattedData!A70</f>
        <v>305</v>
      </c>
      <c r="C30" s="1" t="str">
        <f>VLOOKUP($B30,[9]TrtCodes!$B$11:I113,2)</f>
        <v>NDH</v>
      </c>
      <c r="D30" s="1">
        <f>VLOOKUP($B30,[9]TrtCodes!$B$11:J113,3)</f>
        <v>11</v>
      </c>
      <c r="E30" s="1">
        <f>VLOOKUP($B30,[9]TrtCodes!$B$11:K113,4)</f>
        <v>2</v>
      </c>
      <c r="F30" s="1">
        <f>VLOOKUP($B30,[9]TrtCodes!$B$11:L113,5)</f>
        <v>3</v>
      </c>
      <c r="G30" s="1">
        <f>VLOOKUP($B30,[9]TrtCodes!$B$11:M113,6)</f>
        <v>2</v>
      </c>
      <c r="H30" s="1">
        <f>VLOOKUP($B30,[9]TrtCodes!$B$11:N113,7)</f>
        <v>4</v>
      </c>
      <c r="I30" s="1">
        <f>[9]FormattedData!B70</f>
        <v>1</v>
      </c>
      <c r="J30" s="4">
        <f>[9]FormattedData!C70</f>
        <v>13.247999999999999</v>
      </c>
      <c r="K30" s="6">
        <f>$J$3+[9]FormattedData!D70*$J$4+$M$4*$J$5+[9]FormattedData!D70^2*$J$6+$M$5*$J$7</f>
        <v>35.040458551766712</v>
      </c>
      <c r="L30" s="6">
        <f>$J$3+[9]FormattedData!E70*$J$4+$M$4*$J$5+[9]FormattedData!E70^2*$J$6+$M$5*$J$7</f>
        <v>30.329719685756722</v>
      </c>
      <c r="M30" s="6">
        <f>$J$3+[9]FormattedData!F70*$J$4+$M$4*$J$5+[9]FormattedData!F70^2*$J$6+$M$5*$J$7</f>
        <v>35.705136613476498</v>
      </c>
      <c r="N30" s="6">
        <f>$J$3+[9]FormattedData!G70*$J$4+$M$4*$J$5+[9]FormattedData!G70^2*$J$6+$M$5*$J$7</f>
        <v>30.13528893456672</v>
      </c>
      <c r="O30" s="6">
        <f>$J$3+[9]FormattedData!H70*$J$4+$M$4*$J$5+[9]FormattedData!H70^2*$J$6+$M$5*$J$7</f>
        <v>37.028279261820181</v>
      </c>
      <c r="P30" s="6">
        <f>$J$3+[9]FormattedData!I70*$J$4+$M$4*$J$5+[9]FormattedData!I70^2*$J$6+$M$5*$J$7</f>
        <v>30.13528893456672</v>
      </c>
      <c r="Q30" s="6">
        <f>$J$3+[9]FormattedData!J70*$J$4+$M$4*$J$5+[9]FormattedData!J70^2*$J$6+$M$5*$J$7</f>
        <v>38.530297839395203</v>
      </c>
      <c r="R30" s="6">
        <f>$J$3+[9]FormattedData!K70*$J$4+$M$4*$J$5+[9]FormattedData!K70^2*$J$6+$M$5*$J$7</f>
        <v>28.573756255584655</v>
      </c>
      <c r="S30" s="6">
        <f>$J$3+[9]FormattedData!L70*$J$4+$M$4*$J$5+[9]FormattedData!L70^2*$J$6+$M$5*$J$7</f>
        <v>37.404798351124285</v>
      </c>
      <c r="T30" s="6">
        <f>$J$3+[9]FormattedData!M70*$J$4+$M$4*$J$5+[9]FormattedData!M70^2*$J$6+$M$5*$J$7</f>
        <v>28.86736786938345</v>
      </c>
      <c r="U30" s="6">
        <f>$J$3+[9]FormattedData!N70*$J$4+$M$4*$J$5+[9]FormattedData!N70^2*$J$6+$M$5*$J$7</f>
        <v>36.462232571726084</v>
      </c>
      <c r="V30" s="6">
        <f>$J$3+[9]FormattedData!O70*$J$4+$M$4*$J$5+[9]FormattedData!O70^2*$J$6+$M$5*$J$7</f>
        <v>29.64847235717793</v>
      </c>
      <c r="W30" s="5">
        <f t="shared" si="0"/>
        <v>33.15509143552876</v>
      </c>
      <c r="X30" s="4">
        <f t="shared" si="1"/>
        <v>1.1038489182930962</v>
      </c>
      <c r="Y30" s="3">
        <f t="shared" si="2"/>
        <v>28.573756255584655</v>
      </c>
      <c r="Z30" s="2">
        <f t="shared" si="3"/>
        <v>30.013584790219522</v>
      </c>
      <c r="AA30" s="3">
        <f t="shared" si="4"/>
        <v>32.685089118761717</v>
      </c>
      <c r="AB30" s="2">
        <f t="shared" si="5"/>
        <v>36.603744244249611</v>
      </c>
      <c r="AC30" s="2">
        <f t="shared" si="6"/>
        <v>38.530297839395203</v>
      </c>
      <c r="AD30" s="2">
        <f t="shared" si="7"/>
        <v>0.10512782682324864</v>
      </c>
      <c r="AE30" s="2">
        <f t="shared" si="8"/>
        <v>-2.0283681310491386</v>
      </c>
    </row>
    <row r="31" spans="2:31" x14ac:dyDescent="0.2">
      <c r="B31" s="1">
        <f>[9]FormattedData!A72</f>
        <v>306</v>
      </c>
      <c r="C31" s="1" t="str">
        <f>VLOOKUP($B31,[9]TrtCodes!$B$11:I115,2)</f>
        <v>FTL</v>
      </c>
      <c r="D31" s="1">
        <f>VLOOKUP($B31,[9]TrtCodes!$B$11:J115,3)</f>
        <v>4</v>
      </c>
      <c r="E31" s="1">
        <f>VLOOKUP($B31,[9]TrtCodes!$B$11:K115,4)</f>
        <v>1</v>
      </c>
      <c r="F31" s="1">
        <f>VLOOKUP($B31,[9]TrtCodes!$B$11:L115,5)</f>
        <v>2</v>
      </c>
      <c r="G31" s="1">
        <f>VLOOKUP($B31,[9]TrtCodes!$B$11:M115,6)</f>
        <v>1</v>
      </c>
      <c r="H31" s="1">
        <f>VLOOKUP($B31,[9]TrtCodes!$B$11:N115,7)</f>
        <v>4</v>
      </c>
      <c r="I31" s="1">
        <f>[9]FormattedData!B72</f>
        <v>1</v>
      </c>
      <c r="J31" s="4">
        <f>[9]FormattedData!C72</f>
        <v>13.260999999999999</v>
      </c>
      <c r="K31" s="6">
        <f>$J$3+[9]FormattedData!D72*$J$4+$M$4*$J$5+[9]FormattedData!D72^2*$J$6+$M$5*$J$7</f>
        <v>34.564420451550362</v>
      </c>
      <c r="L31" s="6">
        <f>$J$3+[9]FormattedData!E72*$J$4+$M$4*$J$5+[9]FormattedData!E72^2*$J$6+$M$5*$J$7</f>
        <v>32.745838444079936</v>
      </c>
      <c r="M31" s="6">
        <f>$J$3+[9]FormattedData!F72*$J$4+$M$4*$J$5+[9]FormattedData!F72^2*$J$6+$M$5*$J$7</f>
        <v>37.498822452105479</v>
      </c>
      <c r="N31" s="6">
        <f>$J$3+[9]FormattedData!G72*$J$4+$M$4*$J$5+[9]FormattedData!G72^2*$J$6+$M$5*$J$7</f>
        <v>29.940689109225005</v>
      </c>
      <c r="O31" s="6">
        <f>$J$3+[9]FormattedData!H72*$J$4+$M$4*$J$5+[9]FormattedData!H72^2*$J$6+$M$5*$J$7</f>
        <v>40.76303680755079</v>
      </c>
      <c r="P31" s="6">
        <f>$J$3+[9]FormattedData!I72*$J$4+$M$4*$J$5+[9]FormattedData!I72^2*$J$6+$M$5*$J$7</f>
        <v>30.815056864317924</v>
      </c>
      <c r="Q31" s="6">
        <f>$J$3+[9]FormattedData!J72*$J$4+$M$4*$J$5+[9]FormattedData!J72^2*$J$6+$M$5*$J$7</f>
        <v>39.835687701807807</v>
      </c>
      <c r="R31" s="6">
        <f>$J$3+[9]FormattedData!K72*$J$4+$M$4*$J$5+[9]FormattedData!K72^2*$J$6+$M$5*$J$7</f>
        <v>29.84332579374724</v>
      </c>
      <c r="S31" s="6">
        <f>$J$3+[9]FormattedData!L72*$J$4+$M$4*$J$5+[9]FormattedData!L72^2*$J$6+$M$5*$J$7</f>
        <v>39.742720314274884</v>
      </c>
      <c r="T31" s="6">
        <f>$J$3+[9]FormattedData!M72*$J$4+$M$4*$J$5+[9]FormattedData!M72^2*$J$6+$M$5*$J$7</f>
        <v>30.13528893456672</v>
      </c>
      <c r="U31" s="6">
        <f>$J$3+[9]FormattedData!N72*$J$4+$M$4*$J$5+[9]FormattedData!N72^2*$J$6+$M$5*$J$7</f>
        <v>39.463564540448544</v>
      </c>
      <c r="V31" s="6">
        <f>$J$3+[9]FormattedData!O72*$J$4+$M$4*$J$5+[9]FormattedData!O72^2*$J$6+$M$5*$J$7</f>
        <v>32.361034721341333</v>
      </c>
      <c r="W31" s="5">
        <f t="shared" si="0"/>
        <v>34.809123844584676</v>
      </c>
      <c r="X31" s="4">
        <f t="shared" si="1"/>
        <v>1.2625802474065135</v>
      </c>
      <c r="Y31" s="3">
        <f t="shared" si="2"/>
        <v>29.84332579374724</v>
      </c>
      <c r="Z31" s="2">
        <f t="shared" si="3"/>
        <v>30.645114881880122</v>
      </c>
      <c r="AA31" s="3">
        <f t="shared" si="4"/>
        <v>33.655129447815149</v>
      </c>
      <c r="AB31" s="2">
        <f t="shared" si="5"/>
        <v>39.533353483905131</v>
      </c>
      <c r="AC31" s="2">
        <f t="shared" si="6"/>
        <v>40.76303680755079</v>
      </c>
      <c r="AD31" s="2">
        <f t="shared" si="7"/>
        <v>0.19729623811766195</v>
      </c>
      <c r="AE31" s="2">
        <f t="shared" si="8"/>
        <v>-1.8954495099534308</v>
      </c>
    </row>
    <row r="32" spans="2:31" x14ac:dyDescent="0.2">
      <c r="B32" s="1">
        <f>[9]FormattedData!A74</f>
        <v>307</v>
      </c>
      <c r="C32" s="1" t="str">
        <f>VLOOKUP($B32,[9]TrtCodes!$B$11:I117,2)</f>
        <v>NTH</v>
      </c>
      <c r="D32" s="1">
        <f>VLOOKUP($B32,[9]TrtCodes!$B$11:J117,3)</f>
        <v>9</v>
      </c>
      <c r="E32" s="1">
        <f>VLOOKUP($B32,[9]TrtCodes!$B$11:K117,4)</f>
        <v>2</v>
      </c>
      <c r="F32" s="1">
        <f>VLOOKUP($B32,[9]TrtCodes!$B$11:L117,5)</f>
        <v>2</v>
      </c>
      <c r="G32" s="1">
        <f>VLOOKUP($B32,[9]TrtCodes!$B$11:M117,6)</f>
        <v>2</v>
      </c>
      <c r="H32" s="1">
        <f>VLOOKUP($B32,[9]TrtCodes!$B$11:N117,7)</f>
        <v>4</v>
      </c>
      <c r="I32" s="1">
        <f>[9]FormattedData!B74</f>
        <v>1</v>
      </c>
      <c r="J32" s="4">
        <f>[9]FormattedData!C74</f>
        <v>13.275</v>
      </c>
      <c r="K32" s="6">
        <f>$J$3+[9]FormattedData!D74*$J$4+$M$4*$J$5+[9]FormattedData!D74^2*$J$6+$M$5*$J$7</f>
        <v>37.404798351124285</v>
      </c>
      <c r="L32" s="6">
        <f>$J$3+[9]FormattedData!E74*$J$4+$M$4*$J$5+[9]FormattedData!E74^2*$J$6+$M$5*$J$7</f>
        <v>34.659712608669501</v>
      </c>
      <c r="M32" s="6">
        <f>$J$3+[9]FormattedData!F74*$J$4+$M$4*$J$5+[9]FormattedData!F74^2*$J$6+$M$5*$J$7</f>
        <v>38.436738692331247</v>
      </c>
      <c r="N32" s="6">
        <f>$J$3+[9]FormattedData!G74*$J$4+$M$4*$J$5+[9]FormattedData!G74^2*$J$6+$M$5*$J$7</f>
        <v>31.105751948999465</v>
      </c>
      <c r="O32" s="6">
        <f>$J$3+[9]FormattedData!H74*$J$4+$M$4*$J$5+[9]FormattedData!H74^2*$J$6+$M$5*$J$7</f>
        <v>38.343137276729358</v>
      </c>
      <c r="P32" s="6">
        <f>$J$3+[9]FormattedData!I74*$J$4+$M$4*$J$5+[9]FormattedData!I74^2*$J$6+$M$5*$J$7</f>
        <v>30.621048798507235</v>
      </c>
      <c r="Q32" s="6">
        <f>$J$3+[9]FormattedData!J74*$J$4+$M$4*$J$5+[9]FormattedData!J74^2*$J$6+$M$5*$J$7</f>
        <v>39.463564540448544</v>
      </c>
      <c r="R32" s="6">
        <f>$J$3+[9]FormattedData!K74*$J$4+$M$4*$J$5+[9]FormattedData!K74^2*$J$6+$M$5*$J$7</f>
        <v>30.523981362794999</v>
      </c>
      <c r="S32" s="6">
        <f>$J$3+[9]FormattedData!L74*$J$4+$M$4*$J$5+[9]FormattedData!L74^2*$J$6+$M$5*$J$7</f>
        <v>39.277249348541325</v>
      </c>
      <c r="T32" s="6">
        <f>$J$3+[9]FormattedData!M74*$J$4+$M$4*$J$5+[9]FormattedData!M74^2*$J$6+$M$5*$J$7</f>
        <v>30.815056864317924</v>
      </c>
      <c r="U32" s="6">
        <f>$J$3+[9]FormattedData!N74*$J$4+$M$4*$J$5+[9]FormattedData!N74^2*$J$6+$M$5*$J$7</f>
        <v>38.343137276729358</v>
      </c>
      <c r="V32" s="6">
        <f>$J$3+[9]FormattedData!O74*$J$4+$M$4*$J$5+[9]FormattedData!O74^2*$J$6+$M$5*$J$7</f>
        <v>31.008895855976885</v>
      </c>
      <c r="W32" s="5">
        <f t="shared" si="0"/>
        <v>35.000256077097511</v>
      </c>
      <c r="X32" s="4">
        <f t="shared" si="1"/>
        <v>1.121751918689071</v>
      </c>
      <c r="Y32" s="3">
        <f t="shared" si="2"/>
        <v>30.523981362794999</v>
      </c>
      <c r="Z32" s="2">
        <f t="shared" si="3"/>
        <v>30.960436108062144</v>
      </c>
      <c r="AA32" s="3">
        <f t="shared" si="4"/>
        <v>36.032255479896889</v>
      </c>
      <c r="AB32" s="2">
        <f t="shared" si="5"/>
        <v>38.366537630629828</v>
      </c>
      <c r="AC32" s="2">
        <f t="shared" si="6"/>
        <v>39.463564540448544</v>
      </c>
      <c r="AD32" s="2">
        <f t="shared" si="7"/>
        <v>-0.13632668428578823</v>
      </c>
      <c r="AE32" s="2">
        <f t="shared" si="8"/>
        <v>-2.1576690997593855</v>
      </c>
    </row>
    <row r="33" spans="2:31" x14ac:dyDescent="0.2">
      <c r="B33" s="1">
        <f>[9]FormattedData!A76</f>
        <v>308</v>
      </c>
      <c r="C33" s="1" t="str">
        <f>VLOOKUP($B33,[9]TrtCodes!$B$11:I119,2)</f>
        <v>FDH</v>
      </c>
      <c r="D33" s="1">
        <f>VLOOKUP($B33,[9]TrtCodes!$B$11:J119,3)</f>
        <v>5</v>
      </c>
      <c r="E33" s="1">
        <f>VLOOKUP($B33,[9]TrtCodes!$B$11:K119,4)</f>
        <v>1</v>
      </c>
      <c r="F33" s="1">
        <f>VLOOKUP($B33,[9]TrtCodes!$B$11:L119,5)</f>
        <v>3</v>
      </c>
      <c r="G33" s="1">
        <f>VLOOKUP($B33,[9]TrtCodes!$B$11:M119,6)</f>
        <v>2</v>
      </c>
      <c r="H33" s="1">
        <f>VLOOKUP($B33,[9]TrtCodes!$B$11:N119,7)</f>
        <v>4</v>
      </c>
      <c r="I33" s="1">
        <f>[9]FormattedData!B76</f>
        <v>1</v>
      </c>
      <c r="J33" s="4">
        <f>[9]FormattedData!C76</f>
        <v>13.29</v>
      </c>
      <c r="K33" s="6">
        <f>$J$3+[9]FormattedData!D76*$J$4+$M$4*$J$5+[9]FormattedData!D76^2*$J$6+$M$5*$J$7</f>
        <v>38.71728932790932</v>
      </c>
      <c r="L33" s="6">
        <f>$J$3+[9]FormattedData!E76*$J$4+$M$4*$J$5+[9]FormattedData!E76^2*$J$6+$M$5*$J$7</f>
        <v>35.040458551766712</v>
      </c>
      <c r="M33" s="6">
        <f>$J$3+[9]FormattedData!F76*$J$4+$M$4*$J$5+[9]FormattedData!F76^2*$J$6+$M$5*$J$7</f>
        <v>34.278290368965379</v>
      </c>
      <c r="N33" s="6">
        <f>$J$3+[9]FormattedData!G76*$J$4+$M$4*$J$5+[9]FormattedData!G76^2*$J$6+$M$5*$J$7</f>
        <v>30.815056864317924</v>
      </c>
      <c r="O33" s="6">
        <f>$J$3+[9]FormattedData!H76*$J$4+$M$4*$J$5+[9]FormattedData!H76^2*$J$6+$M$5*$J$7</f>
        <v>42.60505445765741</v>
      </c>
      <c r="P33" s="6">
        <f>$J$3+[9]FormattedData!I76*$J$4+$M$4*$J$5+[9]FormattedData!I76^2*$J$6+$M$5*$J$7</f>
        <v>30.815056864317924</v>
      </c>
      <c r="Q33" s="6">
        <f>$J$3+[9]FormattedData!J76*$J$4+$M$4*$J$5+[9]FormattedData!J76^2*$J$6+$M$5*$J$7</f>
        <v>42.146135115303174</v>
      </c>
      <c r="R33" s="6">
        <f>$J$3+[9]FormattedData!K76*$J$4+$M$4*$J$5+[9]FormattedData!K76^2*$J$6+$M$5*$J$7</f>
        <v>30.718073965681548</v>
      </c>
      <c r="S33" s="6">
        <f>$J$3+[9]FormattedData!L76*$J$4+$M$4*$J$5+[9]FormattedData!L76^2*$J$6+$M$5*$J$7</f>
        <v>43.33712744145177</v>
      </c>
      <c r="T33" s="6">
        <f>$J$3+[9]FormattedData!M76*$J$4+$M$4*$J$5+[9]FormattedData!M76^2*$J$6+$M$5*$J$7</f>
        <v>29.940689109225005</v>
      </c>
      <c r="U33" s="6">
        <f>$J$3+[9]FormattedData!N76*$J$4+$M$4*$J$5+[9]FormattedData!N76^2*$J$6+$M$5*$J$7</f>
        <v>38.810721669359481</v>
      </c>
      <c r="V33" s="6">
        <f>$J$3+[9]FormattedData!O76*$J$4+$M$4*$J$5+[9]FormattedData!O76^2*$J$6+$M$5*$J$7</f>
        <v>30.232525444430692</v>
      </c>
      <c r="W33" s="5">
        <f t="shared" si="0"/>
        <v>35.621373265032197</v>
      </c>
      <c r="X33" s="4">
        <f t="shared" si="1"/>
        <v>1.5183940574653281</v>
      </c>
      <c r="Y33" s="3">
        <f t="shared" si="2"/>
        <v>29.940689109225005</v>
      </c>
      <c r="Z33" s="2">
        <f t="shared" si="3"/>
        <v>30.790811139658828</v>
      </c>
      <c r="AA33" s="3">
        <f t="shared" si="4"/>
        <v>34.659374460366045</v>
      </c>
      <c r="AB33" s="2">
        <f t="shared" si="5"/>
        <v>39.644575030845402</v>
      </c>
      <c r="AC33" s="2">
        <f t="shared" si="6"/>
        <v>43.33712744145177</v>
      </c>
      <c r="AD33" s="2">
        <f t="shared" si="7"/>
        <v>0.34294417395527765</v>
      </c>
      <c r="AE33" s="2">
        <f t="shared" si="8"/>
        <v>-1.6732711048031139</v>
      </c>
    </row>
    <row r="34" spans="2:31" x14ac:dyDescent="0.2">
      <c r="B34" s="1">
        <f>[9]FormattedData!A92</f>
        <v>401</v>
      </c>
      <c r="C34" s="1" t="str">
        <f>VLOOKUP($B34,[9]TrtCodes!$B$11:I129,2)</f>
        <v>NSH</v>
      </c>
      <c r="D34" s="1">
        <f>VLOOKUP($B34,[9]TrtCodes!$B$11:J129,3)</f>
        <v>7</v>
      </c>
      <c r="E34" s="1">
        <f>VLOOKUP($B34,[9]TrtCodes!$B$11:K129,4)</f>
        <v>2</v>
      </c>
      <c r="F34" s="1">
        <f>VLOOKUP($B34,[9]TrtCodes!$B$11:L129,5)</f>
        <v>1</v>
      </c>
      <c r="G34" s="1">
        <f>VLOOKUP($B34,[9]TrtCodes!$B$11:M129,6)</f>
        <v>2</v>
      </c>
      <c r="H34" s="1">
        <f>VLOOKUP($B34,[9]TrtCodes!$B$11:N129,7)</f>
        <v>3</v>
      </c>
      <c r="I34" s="1">
        <f>[9]FormattedData!B92</f>
        <v>1</v>
      </c>
      <c r="J34" s="4">
        <f>[9]FormattedData!C92</f>
        <v>13.484999999999999</v>
      </c>
      <c r="K34" s="6">
        <f>$J$3+[9]FormattedData!D92*$J$4+$M$4*$J$5+[9]FormattedData!D92^2*$J$6+$M$5*$J$7</f>
        <v>58.254155368183774</v>
      </c>
      <c r="L34" s="6">
        <f>$J$3+[9]FormattedData!E92*$J$4+$M$4*$J$5+[9]FormattedData!E92^2*$J$6+$M$5*$J$7</f>
        <v>51.561531480603676</v>
      </c>
      <c r="M34" s="6">
        <f>$J$3+[9]FormattedData!F92*$J$4+$M$4*$J$5+[9]FormattedData!F92^2*$J$6+$M$5*$J$7</f>
        <v>55.025770383574979</v>
      </c>
      <c r="N34" s="6">
        <f>$J$3+[9]FormattedData!G92*$J$4+$M$4*$J$5+[9]FormattedData!G92^2*$J$6+$M$5*$J$7</f>
        <v>39.835687701807807</v>
      </c>
      <c r="O34" s="6">
        <f>$J$3+[9]FormattedData!H92*$J$4+$M$4*$J$5+[9]FormattedData!H92^2*$J$6+$M$5*$J$7</f>
        <v>54.596439017772539</v>
      </c>
      <c r="P34" s="6">
        <f>$J$3+[9]FormattedData!I92*$J$4+$M$4*$J$5+[9]FormattedData!I92^2*$J$6+$M$5*$J$7</f>
        <v>39.184028349780817</v>
      </c>
      <c r="Q34" s="6">
        <f>$J$3+[9]FormattedData!J92*$J$4+$M$4*$J$5+[9]FormattedData!J92^2*$J$6+$M$5*$J$7</f>
        <v>55.625059017105293</v>
      </c>
      <c r="R34" s="6">
        <f>$J$3+[9]FormattedData!K92*$J$4+$M$4*$J$5+[9]FormattedData!K92^2*$J$6+$M$5*$J$7</f>
        <v>50.068750840213227</v>
      </c>
      <c r="S34" s="6">
        <f>$J$3+[9]FormattedData!L92*$J$4+$M$4*$J$5+[9]FormattedData!L92^2*$J$6+$M$5*$J$7</f>
        <v>57.325899750521899</v>
      </c>
      <c r="T34" s="6">
        <f>$J$3+[9]FormattedData!M92*$J$4+$M$4*$J$5+[9]FormattedData!M92^2*$J$6+$M$5*$J$7</f>
        <v>39.556658733595256</v>
      </c>
      <c r="U34" s="6">
        <f>$J$3+[9]FormattedData!N92*$J$4+$M$4*$J$5+[9]FormattedData!N92^2*$J$6+$M$5*$J$7</f>
        <v>53.561732348977721</v>
      </c>
      <c r="V34" s="6">
        <f>$J$3+[9]FormattedData!O92*$J$4+$M$4*$J$5+[9]FormattedData!O92^2*$J$6+$M$5*$J$7</f>
        <v>38.904111742271709</v>
      </c>
      <c r="W34" s="5">
        <f t="shared" si="0"/>
        <v>49.4583187278674</v>
      </c>
      <c r="X34" s="4">
        <f t="shared" si="1"/>
        <v>2.2426908522635403</v>
      </c>
      <c r="Y34" s="3">
        <f t="shared" si="2"/>
        <v>38.904111742271709</v>
      </c>
      <c r="Z34" s="2">
        <f t="shared" si="3"/>
        <v>39.765930459754671</v>
      </c>
      <c r="AA34" s="3">
        <f t="shared" si="4"/>
        <v>52.561631914790695</v>
      </c>
      <c r="AB34" s="2">
        <f t="shared" si="5"/>
        <v>55.175592541957556</v>
      </c>
      <c r="AC34" s="2">
        <f t="shared" si="6"/>
        <v>58.254155368183774</v>
      </c>
      <c r="AD34" s="2">
        <f t="shared" si="7"/>
        <v>-0.5428141815282429</v>
      </c>
      <c r="AE34" s="2">
        <f t="shared" si="8"/>
        <v>-1.6558967815745302</v>
      </c>
    </row>
    <row r="35" spans="2:31" x14ac:dyDescent="0.2">
      <c r="B35" s="1">
        <f>[9]FormattedData!A90</f>
        <v>402</v>
      </c>
      <c r="C35" s="1" t="str">
        <f>VLOOKUP($B35,[9]TrtCodes!$B$11:I130,2)</f>
        <v>NTH</v>
      </c>
      <c r="D35" s="1">
        <f>VLOOKUP($B35,[9]TrtCodes!$B$11:J130,3)</f>
        <v>9</v>
      </c>
      <c r="E35" s="1">
        <f>VLOOKUP($B35,[9]TrtCodes!$B$11:K130,4)</f>
        <v>2</v>
      </c>
      <c r="F35" s="1">
        <f>VLOOKUP($B35,[9]TrtCodes!$B$11:L130,5)</f>
        <v>2</v>
      </c>
      <c r="G35" s="1">
        <f>VLOOKUP($B35,[9]TrtCodes!$B$11:M130,6)</f>
        <v>2</v>
      </c>
      <c r="H35" s="1">
        <f>VLOOKUP($B35,[9]TrtCodes!$B$11:N130,7)</f>
        <v>3</v>
      </c>
      <c r="I35" s="1">
        <f>[9]FormattedData!B90</f>
        <v>1</v>
      </c>
      <c r="J35" s="4">
        <f>[9]FormattedData!C90</f>
        <v>13.468</v>
      </c>
      <c r="K35" s="6">
        <f>$J$3+[9]FormattedData!D90*$J$4+$M$4*$J$5+[9]FormattedData!D90^2*$J$6+$M$5*$J$7</f>
        <v>59.595215353317009</v>
      </c>
      <c r="L35" s="6">
        <f>$J$3+[9]FormattedData!E90*$J$4+$M$4*$J$5+[9]FormattedData!E90^2*$J$6+$M$5*$J$7</f>
        <v>40.577905134705645</v>
      </c>
      <c r="M35" s="6">
        <f>$J$3+[9]FormattedData!F90*$J$4+$M$4*$J$5+[9]FormattedData!F90^2*$J$6+$M$5*$J$7</f>
        <v>54.424410591686055</v>
      </c>
      <c r="N35" s="6">
        <f>$J$3+[9]FormattedData!G90*$J$4+$M$4*$J$5+[9]FormattedData!G90^2*$J$6+$M$5*$J$7</f>
        <v>37.686743848454078</v>
      </c>
      <c r="O35" s="6">
        <f>$J$3+[9]FormattedData!H90*$J$4+$M$4*$J$5+[9]FormattedData!H90^2*$J$6+$M$5*$J$7</f>
        <v>55.539573160786183</v>
      </c>
      <c r="P35" s="6">
        <f>$J$3+[9]FormattedData!I90*$J$4+$M$4*$J$5+[9]FormattedData!I90^2*$J$6+$M$5*$J$7</f>
        <v>36.178638601416978</v>
      </c>
      <c r="Q35" s="6">
        <f>$J$3+[9]FormattedData!J90*$J$4+$M$4*$J$5+[9]FormattedData!J90^2*$J$6+$M$5*$J$7</f>
        <v>55.795903924129711</v>
      </c>
      <c r="R35" s="6">
        <f>$J$3+[9]FormattedData!K90*$J$4+$M$4*$J$5+[9]FormattedData!K90^2*$J$6+$M$5*$J$7</f>
        <v>36.65108387590918</v>
      </c>
      <c r="S35" s="6">
        <f>$J$3+[9]FormattedData!L90*$J$4+$M$4*$J$5+[9]FormattedData!L90^2*$J$6+$M$5*$J$7</f>
        <v>53.734606145822831</v>
      </c>
      <c r="T35" s="6">
        <f>$J$3+[9]FormattedData!M90*$J$4+$M$4*$J$5+[9]FormattedData!M90^2*$J$6+$M$5*$J$7</f>
        <v>44.974400817113192</v>
      </c>
      <c r="U35" s="6">
        <f>$J$3+[9]FormattedData!N90*$J$4+$M$4*$J$5+[9]FormattedData!N90^2*$J$6+$M$5*$J$7</f>
        <v>54.252213091447835</v>
      </c>
      <c r="V35" s="6">
        <f>$J$3+[9]FormattedData!O90*$J$4+$M$4*$J$5+[9]FormattedData!O90^2*$J$6+$M$5*$J$7</f>
        <v>39.556658733595256</v>
      </c>
      <c r="W35" s="5">
        <f t="shared" si="0"/>
        <v>47.413946106531995</v>
      </c>
      <c r="X35" s="4">
        <f t="shared" si="1"/>
        <v>2.5696881184982137</v>
      </c>
      <c r="Y35" s="3">
        <f t="shared" si="2"/>
        <v>36.178638601416978</v>
      </c>
      <c r="Z35" s="2">
        <f t="shared" si="3"/>
        <v>39.08918001230996</v>
      </c>
      <c r="AA35" s="3">
        <f t="shared" si="4"/>
        <v>49.354503481468015</v>
      </c>
      <c r="AB35" s="2">
        <f t="shared" si="5"/>
        <v>54.703201233961089</v>
      </c>
      <c r="AC35" s="2">
        <f t="shared" si="6"/>
        <v>59.595215353317009</v>
      </c>
      <c r="AD35" s="2">
        <f t="shared" si="7"/>
        <v>-8.5794921962997053E-2</v>
      </c>
      <c r="AE35" s="2">
        <f t="shared" si="8"/>
        <v>-1.9792762359029767</v>
      </c>
    </row>
    <row r="36" spans="2:31" x14ac:dyDescent="0.2">
      <c r="B36" s="1">
        <f>[9]FormattedData!A88</f>
        <v>403</v>
      </c>
      <c r="C36" s="1" t="str">
        <f>VLOOKUP($B36,[9]TrtCodes!$B$11:I131,2)</f>
        <v>FDL</v>
      </c>
      <c r="D36" s="1">
        <f>VLOOKUP($B36,[9]TrtCodes!$B$11:J131,3)</f>
        <v>6</v>
      </c>
      <c r="E36" s="1">
        <f>VLOOKUP($B36,[9]TrtCodes!$B$11:K131,4)</f>
        <v>1</v>
      </c>
      <c r="F36" s="1">
        <f>VLOOKUP($B36,[9]TrtCodes!$B$11:L131,5)</f>
        <v>3</v>
      </c>
      <c r="G36" s="1">
        <f>VLOOKUP($B36,[9]TrtCodes!$B$11:M131,6)</f>
        <v>1</v>
      </c>
      <c r="H36" s="1">
        <f>VLOOKUP($B36,[9]TrtCodes!$B$11:N131,7)</f>
        <v>3</v>
      </c>
      <c r="I36" s="1">
        <f>[9]FormattedData!B88</f>
        <v>1</v>
      </c>
      <c r="J36" s="4">
        <f>[9]FormattedData!C88</f>
        <v>13.451000000000001</v>
      </c>
      <c r="K36" s="6">
        <f>$J$3+[9]FormattedData!D88*$J$4+$M$4*$J$5+[9]FormattedData!D88^2*$J$6+$M$5*$J$7</f>
        <v>38.810721669359481</v>
      </c>
      <c r="L36" s="6">
        <f>$J$3+[9]FormattedData!E88*$J$4+$M$4*$J$5+[9]FormattedData!E88^2*$J$6+$M$5*$J$7</f>
        <v>31.589398386043428</v>
      </c>
      <c r="M36" s="6">
        <f>$J$3+[9]FormattedData!F88*$J$4+$M$4*$J$5+[9]FormattedData!F88^2*$J$6+$M$5*$J$7</f>
        <v>37.310731981605159</v>
      </c>
      <c r="N36" s="6">
        <f>$J$3+[9]FormattedData!G88*$J$4+$M$4*$J$5+[9]FormattedData!G88^2*$J$6+$M$5*$J$7</f>
        <v>32.168379248744444</v>
      </c>
      <c r="O36" s="6">
        <f>$J$3+[9]FormattedData!H88*$J$4+$M$4*$J$5+[9]FormattedData!H88^2*$J$6+$M$5*$J$7</f>
        <v>37.310731981605159</v>
      </c>
      <c r="P36" s="6">
        <f>$J$3+[9]FormattedData!I88*$J$4+$M$4*$J$5+[9]FormattedData!I88^2*$J$6+$M$5*$J$7</f>
        <v>31.975554701995833</v>
      </c>
      <c r="Q36" s="6">
        <f>$J$3+[9]FormattedData!J88*$J$4+$M$4*$J$5+[9]FormattedData!J88^2*$J$6+$M$5*$J$7</f>
        <v>38.810721669359481</v>
      </c>
      <c r="R36" s="6">
        <f>$J$3+[9]FormattedData!K88*$J$4+$M$4*$J$5+[9]FormattedData!K88^2*$J$6+$M$5*$J$7</f>
        <v>33.991779869539023</v>
      </c>
      <c r="S36" s="6">
        <f>$J$3+[9]FormattedData!L88*$J$4+$M$4*$J$5+[9]FormattedData!L88^2*$J$6+$M$5*$J$7</f>
        <v>40.485275895476171</v>
      </c>
      <c r="T36" s="6">
        <f>$J$3+[9]FormattedData!M88*$J$4+$M$4*$J$5+[9]FormattedData!M88^2*$J$6+$M$5*$J$7</f>
        <v>31.39606661683964</v>
      </c>
      <c r="U36" s="6">
        <f>$J$3+[9]FormattedData!N88*$J$4+$M$4*$J$5+[9]FormattedData!N88^2*$J$6+$M$5*$J$7</f>
        <v>39.184028349780817</v>
      </c>
      <c r="V36" s="6">
        <f>$J$3+[9]FormattedData!O88*$J$4+$M$4*$J$5+[9]FormattedData!O88^2*$J$6+$M$5*$J$7</f>
        <v>31.202565773484125</v>
      </c>
      <c r="W36" s="5">
        <f t="shared" si="0"/>
        <v>35.35299634531939</v>
      </c>
      <c r="X36" s="4">
        <f t="shared" si="1"/>
        <v>1.0409935918170712</v>
      </c>
      <c r="Y36" s="3">
        <f t="shared" si="2"/>
        <v>31.202565773484125</v>
      </c>
      <c r="Z36" s="2">
        <f t="shared" si="3"/>
        <v>31.879015623007732</v>
      </c>
      <c r="AA36" s="3">
        <f t="shared" si="4"/>
        <v>35.651255925572087</v>
      </c>
      <c r="AB36" s="2">
        <f t="shared" si="5"/>
        <v>38.810721669359481</v>
      </c>
      <c r="AC36" s="2">
        <f t="shared" si="6"/>
        <v>40.485275895476171</v>
      </c>
      <c r="AD36" s="2">
        <f t="shared" si="7"/>
        <v>6.744716454200525E-2</v>
      </c>
      <c r="AE36" s="2">
        <f t="shared" si="8"/>
        <v>-1.9801277737655028</v>
      </c>
    </row>
    <row r="37" spans="2:31" x14ac:dyDescent="0.2">
      <c r="B37" s="1">
        <f>[9]FormattedData!A86</f>
        <v>404</v>
      </c>
      <c r="C37" s="1" t="str">
        <f>VLOOKUP($B37,[9]TrtCodes!$B$11:I129,2)</f>
        <v>FTH</v>
      </c>
      <c r="D37" s="1">
        <f>VLOOKUP($B37,[9]TrtCodes!$B$11:J129,3)</f>
        <v>3</v>
      </c>
      <c r="E37" s="1">
        <f>VLOOKUP($B37,[9]TrtCodes!$B$11:K129,4)</f>
        <v>1</v>
      </c>
      <c r="F37" s="1">
        <f>VLOOKUP($B37,[9]TrtCodes!$B$11:L129,5)</f>
        <v>2</v>
      </c>
      <c r="G37" s="1">
        <f>VLOOKUP($B37,[9]TrtCodes!$B$11:M129,6)</f>
        <v>2</v>
      </c>
      <c r="H37" s="1">
        <f>VLOOKUP($B37,[9]TrtCodes!$B$11:N129,7)</f>
        <v>3</v>
      </c>
      <c r="I37" s="1">
        <f>[9]FormattedData!B86</f>
        <v>1</v>
      </c>
      <c r="J37" s="4">
        <f>[9]FormattedData!C86</f>
        <v>13.436</v>
      </c>
      <c r="K37" s="6">
        <f>$J$3+[9]FormattedData!D86*$J$4+$M$4*$J$5+[9]FormattedData!D86^2*$J$6+$M$5*$J$7</f>
        <v>41.409666203563972</v>
      </c>
      <c r="L37" s="6">
        <f>$J$3+[9]FormattedData!E86*$J$4+$M$4*$J$5+[9]FormattedData!E86^2*$J$6+$M$5*$J$7</f>
        <v>34.564420451550362</v>
      </c>
      <c r="M37" s="6">
        <f>$J$3+[9]FormattedData!F86*$J$4+$M$4*$J$5+[9]FormattedData!F86^2*$J$6+$M$5*$J$7</f>
        <v>37.592804284548748</v>
      </c>
      <c r="N37" s="6">
        <f>$J$3+[9]FormattedData!G86*$J$4+$M$4*$J$5+[9]FormattedData!G86^2*$J$6+$M$5*$J$7</f>
        <v>30.621048798507235</v>
      </c>
      <c r="O37" s="6">
        <f>$J$3+[9]FormattedData!H86*$J$4+$M$4*$J$5+[9]FormattedData!H86^2*$J$6+$M$5*$J$7</f>
        <v>39.556658733595256</v>
      </c>
      <c r="P37" s="6">
        <f>$J$3+[9]FormattedData!I86*$J$4+$M$4*$J$5+[9]FormattedData!I86^2*$J$6+$M$5*$J$7</f>
        <v>33.225892055399747</v>
      </c>
      <c r="Q37" s="6">
        <f>$J$3+[9]FormattedData!J86*$J$4+$M$4*$J$5+[9]FormattedData!J86^2*$J$6+$M$5*$J$7</f>
        <v>40.67049210539718</v>
      </c>
      <c r="R37" s="6">
        <f>$J$3+[9]FormattedData!K86*$J$4+$M$4*$J$5+[9]FormattedData!K86^2*$J$6+$M$5*$J$7</f>
        <v>29.745920209731555</v>
      </c>
      <c r="S37" s="6">
        <f>$J$3+[9]FormattedData!L86*$J$4+$M$4*$J$5+[9]FormattedData!L86^2*$J$6+$M$5*$J$7</f>
        <v>37.592804284548748</v>
      </c>
      <c r="T37" s="6">
        <f>$J$3+[9]FormattedData!M86*$J$4+$M$4*$J$5+[9]FormattedData!M86^2*$J$6+$M$5*$J$7</f>
        <v>30.42687165854483</v>
      </c>
      <c r="U37" s="6">
        <f>$J$3+[9]FormattedData!N86*$J$4+$M$4*$J$5+[9]FormattedData!N86^2*$J$6+$M$5*$J$7</f>
        <v>38.623814717921228</v>
      </c>
      <c r="V37" s="6">
        <f>$J$3+[9]FormattedData!O86*$J$4+$M$4*$J$5+[9]FormattedData!O86^2*$J$6+$M$5*$J$7</f>
        <v>32.745838444079936</v>
      </c>
      <c r="W37" s="5">
        <f t="shared" si="0"/>
        <v>35.564685995615726</v>
      </c>
      <c r="X37" s="4">
        <f t="shared" si="1"/>
        <v>1.2087584479108966</v>
      </c>
      <c r="Y37" s="3">
        <f t="shared" si="2"/>
        <v>29.745920209731555</v>
      </c>
      <c r="Z37" s="2">
        <f t="shared" si="3"/>
        <v>32.214641032686764</v>
      </c>
      <c r="AA37" s="3">
        <f t="shared" si="4"/>
        <v>36.078612368049555</v>
      </c>
      <c r="AB37" s="2">
        <f t="shared" si="5"/>
        <v>38.857025721839733</v>
      </c>
      <c r="AC37" s="2">
        <f t="shared" si="6"/>
        <v>41.409666203563972</v>
      </c>
      <c r="AD37" s="2">
        <f t="shared" si="7"/>
        <v>-7.1218746512765913E-2</v>
      </c>
      <c r="AE37" s="2">
        <f t="shared" si="8"/>
        <v>-1.5951228314135872</v>
      </c>
    </row>
    <row r="38" spans="2:31" x14ac:dyDescent="0.2">
      <c r="B38" s="1">
        <f>[9]FormattedData!A84</f>
        <v>405</v>
      </c>
      <c r="C38" s="1" t="str">
        <f>VLOOKUP($B38,[9]TrtCodes!$B$11:I127,2)</f>
        <v>FDL</v>
      </c>
      <c r="D38" s="1">
        <f>VLOOKUP($B38,[9]TrtCodes!$B$11:J127,3)</f>
        <v>6</v>
      </c>
      <c r="E38" s="1">
        <f>VLOOKUP($B38,[9]TrtCodes!$B$11:K127,4)</f>
        <v>1</v>
      </c>
      <c r="F38" s="1">
        <f>VLOOKUP($B38,[9]TrtCodes!$B$11:L127,5)</f>
        <v>3</v>
      </c>
      <c r="G38" s="1">
        <f>VLOOKUP($B38,[9]TrtCodes!$B$11:M127,6)</f>
        <v>1</v>
      </c>
      <c r="H38" s="1">
        <f>VLOOKUP($B38,[9]TrtCodes!$B$11:N127,7)</f>
        <v>4</v>
      </c>
      <c r="I38" s="1">
        <f>[9]FormattedData!B84</f>
        <v>1</v>
      </c>
      <c r="J38" s="4">
        <f>[9]FormattedData!C84</f>
        <v>13.375999999999999</v>
      </c>
      <c r="K38" s="6">
        <f>$J$3+[9]FormattedData!D84*$J$4+$M$4*$J$5+[9]FormattedData!D84^2*$J$6+$M$5*$J$7</f>
        <v>35.230577912087732</v>
      </c>
      <c r="L38" s="6">
        <f>$J$3+[9]FormattedData!E84*$J$4+$M$4*$J$5+[9]FormattedData!E84^2*$J$6+$M$5*$J$7</f>
        <v>32.361034721341333</v>
      </c>
      <c r="M38" s="6">
        <f>$J$3+[9]FormattedData!F84*$J$4+$M$4*$J$5+[9]FormattedData!F84^2*$J$6+$M$5*$J$7</f>
        <v>35.230577912087732</v>
      </c>
      <c r="N38" s="6">
        <f>$J$3+[9]FormattedData!G84*$J$4+$M$4*$J$5+[9]FormattedData!G84^2*$J$6+$M$5*$J$7</f>
        <v>30.329719685756722</v>
      </c>
      <c r="O38" s="6">
        <f>$J$3+[9]FormattedData!H84*$J$4+$M$4*$J$5+[9]FormattedData!H84^2*$J$6+$M$5*$J$7</f>
        <v>37.404798351124285</v>
      </c>
      <c r="P38" s="6">
        <f>$J$3+[9]FormattedData!I84*$J$4+$M$4*$J$5+[9]FormattedData!I84^2*$J$6+$M$5*$J$7</f>
        <v>29.64847235717793</v>
      </c>
      <c r="Q38" s="6">
        <f>$J$3+[9]FormattedData!J84*$J$4+$M$4*$J$5+[9]FormattedData!J84^2*$J$6+$M$5*$J$7</f>
        <v>39.649710658204036</v>
      </c>
      <c r="R38" s="6">
        <f>$J$3+[9]FormattedData!K84*$J$4+$M$4*$J$5+[9]FormattedData!K84^2*$J$6+$M$5*$J$7</f>
        <v>29.64847235717793</v>
      </c>
      <c r="S38" s="6">
        <f>$J$3+[9]FormattedData!L84*$J$4+$M$4*$J$5+[9]FormattedData!L84^2*$J$6+$M$5*$J$7</f>
        <v>39.277249348541325</v>
      </c>
      <c r="T38" s="6">
        <f>$J$3+[9]FormattedData!M84*$J$4+$M$4*$J$5+[9]FormattedData!M84^2*$J$6+$M$5*$J$7</f>
        <v>30.911997494416372</v>
      </c>
      <c r="U38" s="6">
        <f>$J$3+[9]FormattedData!N84*$J$4+$M$4*$J$5+[9]FormattedData!N84^2*$J$6+$M$5*$J$7</f>
        <v>38.249493592589545</v>
      </c>
      <c r="V38" s="6">
        <f>$J$3+[9]FormattedData!O84*$J$4+$M$4*$J$5+[9]FormattedData!O84^2*$J$6+$M$5*$J$7</f>
        <v>31.39606661683964</v>
      </c>
      <c r="W38" s="5">
        <f t="shared" si="0"/>
        <v>34.111514250612046</v>
      </c>
      <c r="X38" s="4">
        <f t="shared" si="1"/>
        <v>1.1100226472997945</v>
      </c>
      <c r="Y38" s="3">
        <f t="shared" si="2"/>
        <v>29.64847235717793</v>
      </c>
      <c r="Z38" s="2">
        <f t="shared" si="3"/>
        <v>30.766428042251459</v>
      </c>
      <c r="AA38" s="3">
        <f t="shared" si="4"/>
        <v>33.795806316714533</v>
      </c>
      <c r="AB38" s="2">
        <f t="shared" si="5"/>
        <v>37.615972161490603</v>
      </c>
      <c r="AC38" s="2">
        <f t="shared" si="6"/>
        <v>39.649710658204036</v>
      </c>
      <c r="AD38" s="2">
        <f t="shared" si="7"/>
        <v>0.24380543811245484</v>
      </c>
      <c r="AE38" s="2">
        <f t="shared" si="8"/>
        <v>-1.7027802997543771</v>
      </c>
    </row>
    <row r="39" spans="2:31" x14ac:dyDescent="0.2">
      <c r="B39" s="1">
        <f>[9]FormattedData!A82</f>
        <v>406</v>
      </c>
      <c r="C39" s="1" t="str">
        <f>VLOOKUP($B39,[9]TrtCodes!$B$11:I125,2)</f>
        <v>FTH</v>
      </c>
      <c r="D39" s="1">
        <f>VLOOKUP($B39,[9]TrtCodes!$B$11:J125,3)</f>
        <v>3</v>
      </c>
      <c r="E39" s="1">
        <f>VLOOKUP($B39,[9]TrtCodes!$B$11:K125,4)</f>
        <v>1</v>
      </c>
      <c r="F39" s="1">
        <f>VLOOKUP($B39,[9]TrtCodes!$B$11:L125,5)</f>
        <v>2</v>
      </c>
      <c r="G39" s="1">
        <f>VLOOKUP($B39,[9]TrtCodes!$B$11:M125,6)</f>
        <v>2</v>
      </c>
      <c r="H39" s="1">
        <f>VLOOKUP($B39,[9]TrtCodes!$B$11:N125,7)</f>
        <v>4</v>
      </c>
      <c r="I39" s="1">
        <f>[9]FormattedData!B82</f>
        <v>1</v>
      </c>
      <c r="J39" s="4">
        <f>[9]FormattedData!C82</f>
        <v>13.353</v>
      </c>
      <c r="K39" s="6">
        <f>$J$3+[9]FormattedData!D82*$J$4+$M$4*$J$5+[9]FormattedData!D82^2*$J$6+$M$5*$J$7</f>
        <v>41.594037042726356</v>
      </c>
      <c r="L39" s="6">
        <f>$J$3+[9]FormattedData!E82*$J$4+$M$4*$J$5+[9]FormattedData!E82^2*$J$6+$M$5*$J$7</f>
        <v>34.087325637885733</v>
      </c>
      <c r="M39" s="6">
        <f>$J$3+[9]FormattedData!F82*$J$4+$M$4*$J$5+[9]FormattedData!F82^2*$J$6+$M$5*$J$7</f>
        <v>37.686743848454078</v>
      </c>
      <c r="N39" s="6">
        <f>$J$3+[9]FormattedData!G82*$J$4+$M$4*$J$5+[9]FormattedData!G82^2*$J$6+$M$5*$J$7</f>
        <v>30.232525444430692</v>
      </c>
      <c r="O39" s="6">
        <f>$J$3+[9]FormattedData!H82*$J$4+$M$4*$J$5+[9]FormattedData!H82^2*$J$6+$M$5*$J$7</f>
        <v>34.754962497250695</v>
      </c>
      <c r="P39" s="6">
        <f>$J$3+[9]FormattedData!I82*$J$4+$M$4*$J$5+[9]FormattedData!I82^2*$J$6+$M$5*$J$7</f>
        <v>31.008895855976885</v>
      </c>
      <c r="Q39" s="6">
        <f>$J$3+[9]FormattedData!J82*$J$4+$M$4*$J$5+[9]FormattedData!J82^2*$J$6+$M$5*$J$7</f>
        <v>35.799921548140453</v>
      </c>
      <c r="R39" s="6">
        <f>$J$3+[9]FormattedData!K82*$J$4+$M$4*$J$5+[9]FormattedData!K82^2*$J$6+$M$5*$J$7</f>
        <v>32.937986694221657</v>
      </c>
      <c r="S39" s="6">
        <f>$J$3+[9]FormattedData!L82*$J$4+$M$4*$J$5+[9]FormattedData!L82^2*$J$6+$M$5*$J$7</f>
        <v>37.686743848454078</v>
      </c>
      <c r="T39" s="6">
        <f>$J$3+[9]FormattedData!M82*$J$4+$M$4*$J$5+[9]FormattedData!M82^2*$J$6+$M$5*$J$7</f>
        <v>32.264728119311847</v>
      </c>
      <c r="U39" s="6">
        <f>$J$3+[9]FormattedData!N82*$J$4+$M$4*$J$5+[9]FormattedData!N82^2*$J$6+$M$5*$J$7</f>
        <v>37.404798351124285</v>
      </c>
      <c r="V39" s="6">
        <f>$J$3+[9]FormattedData!O82*$J$4+$M$4*$J$5+[9]FormattedData!O82^2*$J$6+$M$5*$J$7</f>
        <v>31.782561081095487</v>
      </c>
      <c r="W39" s="5">
        <f t="shared" si="0"/>
        <v>34.770102497422684</v>
      </c>
      <c r="X39" s="4">
        <f t="shared" si="1"/>
        <v>0.97445972954457083</v>
      </c>
      <c r="Y39" s="3">
        <f t="shared" si="2"/>
        <v>30.232525444430692</v>
      </c>
      <c r="Z39" s="2">
        <f t="shared" si="3"/>
        <v>32.144186359757754</v>
      </c>
      <c r="AA39" s="3">
        <f t="shared" si="4"/>
        <v>34.421144067568214</v>
      </c>
      <c r="AB39" s="2">
        <f t="shared" si="5"/>
        <v>37.475284725456731</v>
      </c>
      <c r="AC39" s="2">
        <f t="shared" si="6"/>
        <v>41.594037042726356</v>
      </c>
      <c r="AD39" s="2">
        <f t="shared" si="7"/>
        <v>0.54247397318302359</v>
      </c>
      <c r="AE39" s="2">
        <f t="shared" si="8"/>
        <v>-0.25051950151756808</v>
      </c>
    </row>
    <row r="40" spans="2:31" x14ac:dyDescent="0.2">
      <c r="B40" s="1">
        <f>[9]FormattedData!A80</f>
        <v>407</v>
      </c>
      <c r="C40" s="1" t="str">
        <f>VLOOKUP($B40,[9]TrtCodes!$B$11:I123,2)</f>
        <v>NSH</v>
      </c>
      <c r="D40" s="1">
        <f>VLOOKUP($B40,[9]TrtCodes!$B$11:J123,3)</f>
        <v>7</v>
      </c>
      <c r="E40" s="1">
        <f>VLOOKUP($B40,[9]TrtCodes!$B$11:K123,4)</f>
        <v>2</v>
      </c>
      <c r="F40" s="1">
        <f>VLOOKUP($B40,[9]TrtCodes!$B$11:L123,5)</f>
        <v>1</v>
      </c>
      <c r="G40" s="1">
        <f>VLOOKUP($B40,[9]TrtCodes!$B$11:M123,6)</f>
        <v>2</v>
      </c>
      <c r="H40" s="1">
        <f>VLOOKUP($B40,[9]TrtCodes!$B$11:N123,7)</f>
        <v>4</v>
      </c>
      <c r="I40" s="1">
        <f>[9]FormattedData!B80</f>
        <v>1</v>
      </c>
      <c r="J40" s="4">
        <f>[9]FormattedData!C80</f>
        <v>13.333</v>
      </c>
      <c r="K40" s="6">
        <f>$J$3+[9]FormattedData!D80*$J$4+$M$4*$J$5+[9]FormattedData!D80^2*$J$6+$M$5*$J$7</f>
        <v>57.071851488226649</v>
      </c>
      <c r="L40" s="6">
        <f>$J$3+[9]FormattedData!E80*$J$4+$M$4*$J$5+[9]FormattedData!E80^2*$J$6+$M$5*$J$7</f>
        <v>43.062917086563367</v>
      </c>
      <c r="M40" s="6">
        <f>$J$3+[9]FormattedData!F80*$J$4+$M$4*$J$5+[9]FormattedData!F80^2*$J$6+$M$5*$J$7</f>
        <v>56.562613713112022</v>
      </c>
      <c r="N40" s="6">
        <f>$J$3+[9]FormattedData!G80*$J$4+$M$4*$J$5+[9]FormattedData!G80^2*$J$6+$M$5*$J$7</f>
        <v>36.273212193391281</v>
      </c>
      <c r="O40" s="6">
        <f>$J$3+[9]FormattedData!H80*$J$4+$M$4*$J$5+[9]FormattedData!H80^2*$J$6+$M$5*$J$7</f>
        <v>56.477592810710156</v>
      </c>
      <c r="P40" s="6">
        <f>$J$3+[9]FormattedData!I80*$J$4+$M$4*$J$5+[9]FormattedData!I80^2*$J$6+$M$5*$J$7</f>
        <v>42.971429097858042</v>
      </c>
      <c r="Q40" s="6">
        <f>$J$3+[9]FormattedData!J80*$J$4+$M$4*$J$5+[9]FormattedData!J80^2*$J$6+$M$5*$J$7</f>
        <v>57.15657651086299</v>
      </c>
      <c r="R40" s="6">
        <f>$J$3+[9]FormattedData!K80*$J$4+$M$4*$J$5+[9]FormattedData!K80^2*$J$6+$M$5*$J$7</f>
        <v>40.299890611403441</v>
      </c>
      <c r="S40" s="6">
        <f>$J$3+[9]FormattedData!L80*$J$4+$M$4*$J$5+[9]FormattedData!L80^2*$J$6+$M$5*$J$7</f>
        <v>53.128808157451132</v>
      </c>
      <c r="T40" s="6">
        <f>$J$3+[9]FormattedData!M80*$J$4+$M$4*$J$5+[9]FormattedData!M80^2*$J$6+$M$5*$J$7</f>
        <v>36.934043818149327</v>
      </c>
      <c r="U40" s="6">
        <f>$J$3+[9]FormattedData!N80*$J$4+$M$4*$J$5+[9]FormattedData!N80^2*$J$6+$M$5*$J$7</f>
        <v>55.795903924129711</v>
      </c>
      <c r="V40" s="6">
        <f>$J$3+[9]FormattedData!O80*$J$4+$M$4*$J$5+[9]FormattedData!O80^2*$J$6+$M$5*$J$7</f>
        <v>45.607419743912551</v>
      </c>
      <c r="W40" s="5">
        <f t="shared" si="0"/>
        <v>48.445188262980899</v>
      </c>
      <c r="X40" s="4">
        <f t="shared" si="1"/>
        <v>2.4162990933014412</v>
      </c>
      <c r="Y40" s="3">
        <f t="shared" si="2"/>
        <v>36.273212193391281</v>
      </c>
      <c r="Z40" s="2">
        <f t="shared" si="3"/>
        <v>42.30354447624439</v>
      </c>
      <c r="AA40" s="3">
        <f t="shared" si="4"/>
        <v>49.368113950681845</v>
      </c>
      <c r="AB40" s="2">
        <f t="shared" si="5"/>
        <v>56.498848036310619</v>
      </c>
      <c r="AC40" s="2">
        <f t="shared" si="6"/>
        <v>57.15657651086299</v>
      </c>
      <c r="AD40" s="2">
        <f t="shared" si="7"/>
        <v>-0.25219322279715906</v>
      </c>
      <c r="AE40" s="2">
        <f t="shared" si="8"/>
        <v>-1.8210761490173111</v>
      </c>
    </row>
    <row r="41" spans="2:31" x14ac:dyDescent="0.2">
      <c r="B41" s="1">
        <f>[9]FormattedData!A78</f>
        <v>408</v>
      </c>
      <c r="C41" s="1" t="str">
        <f>VLOOKUP($B41,[9]TrtCodes!$B$11:I121,2)</f>
        <v>NTL</v>
      </c>
      <c r="D41" s="1">
        <f>VLOOKUP($B41,[9]TrtCodes!$B$11:J121,3)</f>
        <v>10</v>
      </c>
      <c r="E41" s="1">
        <f>VLOOKUP($B41,[9]TrtCodes!$B$11:K121,4)</f>
        <v>2</v>
      </c>
      <c r="F41" s="1">
        <f>VLOOKUP($B41,[9]TrtCodes!$B$11:L121,5)</f>
        <v>2</v>
      </c>
      <c r="G41" s="1">
        <f>VLOOKUP($B41,[9]TrtCodes!$B$11:M121,6)</f>
        <v>1</v>
      </c>
      <c r="H41" s="1">
        <f>VLOOKUP($B41,[9]TrtCodes!$B$11:N121,7)</f>
        <v>4</v>
      </c>
      <c r="I41" s="1">
        <f>[9]FormattedData!B78</f>
        <v>1</v>
      </c>
      <c r="J41" s="4">
        <f>[9]FormattedData!C78</f>
        <v>13.318</v>
      </c>
      <c r="K41" s="6">
        <f>$J$3+[9]FormattedData!D78*$J$4+$M$4*$J$5+[9]FormattedData!D78^2*$J$6+$M$5*$J$7</f>
        <v>59.762087017775912</v>
      </c>
      <c r="L41" s="6">
        <f>$J$3+[9]FormattedData!E78*$J$4+$M$4*$J$5+[9]FormattedData!E78^2*$J$6+$M$5*$J$7</f>
        <v>45.607419743912551</v>
      </c>
      <c r="M41" s="6">
        <f>$J$3+[9]FormattedData!F78*$J$4+$M$4*$J$5+[9]FormattedData!F78^2*$J$6+$M$5*$J$7</f>
        <v>49.980559797466533</v>
      </c>
      <c r="N41" s="6">
        <f>$J$3+[9]FormattedData!G78*$J$4+$M$4*$J$5+[9]FormattedData!G78^2*$J$6+$M$5*$J$7</f>
        <v>47.22567227750497</v>
      </c>
      <c r="O41" s="6">
        <f>$J$3+[9]FormattedData!H78*$J$4+$M$4*$J$5+[9]FormattedData!H78^2*$J$6+$M$5*$J$7</f>
        <v>51.298987242184268</v>
      </c>
      <c r="P41" s="6">
        <f>$J$3+[9]FormattedData!I78*$J$4+$M$4*$J$5+[9]FormattedData!I78^2*$J$6+$M$5*$J$7</f>
        <v>46.058308064059879</v>
      </c>
      <c r="Q41" s="6">
        <f>$J$3+[9]FormattedData!J78*$J$4+$M$4*$J$5+[9]FormattedData!J78^2*$J$6+$M$5*$J$7</f>
        <v>53.302104639675555</v>
      </c>
      <c r="R41" s="6">
        <f>$J$3+[9]FormattedData!K78*$J$4+$M$4*$J$5+[9]FormattedData!K78^2*$J$6+$M$5*$J$7</f>
        <v>44.157476005068702</v>
      </c>
      <c r="S41" s="6">
        <f>$J$3+[9]FormattedData!L78*$J$4+$M$4*$J$5+[9]FormattedData!L78^2*$J$6+$M$5*$J$7</f>
        <v>52.346881694813611</v>
      </c>
      <c r="T41" s="6">
        <f>$J$3+[9]FormattedData!M78*$J$4+$M$4*$J$5+[9]FormattedData!M78^2*$J$6+$M$5*$J$7</f>
        <v>44.974400817113192</v>
      </c>
      <c r="U41" s="6">
        <f>$J$3+[9]FormattedData!N78*$J$4+$M$4*$J$5+[9]FormattedData!N78^2*$J$6+$M$5*$J$7</f>
        <v>55.197207050130444</v>
      </c>
      <c r="V41" s="6">
        <f>$J$3+[9]FormattedData!O78*$J$4+$M$4*$J$5+[9]FormattedData!O78^2*$J$6+$M$5*$J$7</f>
        <v>40.299890611403441</v>
      </c>
      <c r="W41" s="5">
        <f t="shared" si="0"/>
        <v>49.18424958009242</v>
      </c>
      <c r="X41" s="4">
        <f t="shared" si="1"/>
        <v>1.5773872251774681</v>
      </c>
      <c r="Y41" s="3">
        <f t="shared" si="2"/>
        <v>40.299890611403441</v>
      </c>
      <c r="Z41" s="2">
        <f t="shared" si="3"/>
        <v>45.44916501221271</v>
      </c>
      <c r="AA41" s="3">
        <f t="shared" si="4"/>
        <v>48.603116037485748</v>
      </c>
      <c r="AB41" s="2">
        <f t="shared" si="5"/>
        <v>52.5856874310291</v>
      </c>
      <c r="AC41" s="2">
        <f t="shared" si="6"/>
        <v>59.762087017775912</v>
      </c>
      <c r="AD41" s="2">
        <f t="shared" si="7"/>
        <v>0.35149648903978908</v>
      </c>
      <c r="AE41" s="2">
        <f t="shared" si="8"/>
        <v>-0.19924766030859109</v>
      </c>
    </row>
    <row r="42" spans="2:31" x14ac:dyDescent="0.2">
      <c r="B42" s="17">
        <f>[9]FormattedData!A60</f>
        <v>901</v>
      </c>
      <c r="C42" s="17" t="str">
        <f>VLOOKUP($B42,[9]TrtCodes!$B$11:I103,2)</f>
        <v>WS</v>
      </c>
      <c r="D42" s="17">
        <f>VLOOKUP($B42,[9]TrtCodes!$B$11:J103,3)</f>
        <v>32</v>
      </c>
      <c r="E42" s="17">
        <f>VLOOKUP($B42,[9]TrtCodes!$B$11:K103,4)</f>
        <v>9</v>
      </c>
      <c r="F42" s="17">
        <f>VLOOKUP($B42,[9]TrtCodes!$B$11:L103,5)</f>
        <v>0</v>
      </c>
      <c r="G42" s="17">
        <f>VLOOKUP($B42,[9]TrtCodes!$B$11:M103,6)</f>
        <v>1</v>
      </c>
      <c r="H42" s="17">
        <f>VLOOKUP($B42,[9]TrtCodes!$B$11:N103,7)</f>
        <v>1</v>
      </c>
      <c r="I42" s="17">
        <f>[9]FormattedData!B60</f>
        <v>1</v>
      </c>
      <c r="J42" s="15">
        <f>[9]FormattedData!C60</f>
        <v>13.182</v>
      </c>
      <c r="K42" s="14">
        <f>$J$3+[9]FormattedData!D60*$J$4+$M$4*$J$5+[9]FormattedData!D60^2*$J$6+$M$5*$J$7</f>
        <v>38.997459546646013</v>
      </c>
      <c r="L42" s="14">
        <f>$J$3+[9]FormattedData!E60*$J$4+$M$4*$J$5+[9]FormattedData!E60^2*$J$6+$M$5*$J$7</f>
        <v>38.904111742271709</v>
      </c>
      <c r="M42" s="14">
        <f>$J$3+[9]FormattedData!F60*$J$4+$M$4*$J$5+[9]FormattedData!F60^2*$J$6+$M$5*$J$7</f>
        <v>38.810721669359481</v>
      </c>
      <c r="N42" s="14">
        <f>$J$3+[9]FormattedData!G60*$J$4+$M$4*$J$5+[9]FormattedData!G60^2*$J$6+$M$5*$J$7</f>
        <v>39.277249348541325</v>
      </c>
      <c r="O42" s="14">
        <f>$J$3+[9]FormattedData!H60*$J$4+$M$4*$J$5+[9]FormattedData!H60^2*$J$6+$M$5*$J$7</f>
        <v>39.277249348541325</v>
      </c>
      <c r="P42" s="14">
        <f>$J$3+[9]FormattedData!I60*$J$4+$M$4*$J$5+[9]FormattedData!I60^2*$J$6+$M$5*$J$7</f>
        <v>39.277249348541325</v>
      </c>
      <c r="Q42" s="14">
        <f>$J$3+[9]FormattedData!J60*$J$4+$M$4*$J$5+[9]FormattedData!J60^2*$J$6+$M$5*$J$7</f>
        <v>39.184028349780817</v>
      </c>
      <c r="R42" s="14">
        <f>$J$3+[9]FormattedData!K60*$J$4+$M$4*$J$5+[9]FormattedData!K60^2*$J$6+$M$5*$J$7</f>
        <v>38.71728932790932</v>
      </c>
      <c r="S42" s="14">
        <f>$J$3+[9]FormattedData!L60*$J$4+$M$4*$J$5+[9]FormattedData!L60^2*$J$6+$M$5*$J$7</f>
        <v>38.904111742271709</v>
      </c>
      <c r="T42" s="14">
        <f>$J$3+[9]FormattedData!M60*$J$4+$M$4*$J$5+[9]FormattedData!M60^2*$J$6+$M$5*$J$7</f>
        <v>39.090765082482385</v>
      </c>
      <c r="U42" s="14">
        <f>$J$3+[9]FormattedData!N60*$J$4+$M$4*$J$5+[9]FormattedData!N60^2*$J$6+$M$5*$J$7</f>
        <v>39.090765082482385</v>
      </c>
      <c r="V42" s="14">
        <f>$J$3+[9]FormattedData!O60*$J$4+$M$4*$J$5+[9]FormattedData!O60^2*$J$6+$M$5*$J$7</f>
        <v>39.184028349780817</v>
      </c>
      <c r="W42" s="16">
        <f t="shared" ref="W42:W73" si="9">AVERAGE(K42:V42)</f>
        <v>39.059585744884053</v>
      </c>
      <c r="X42" s="15">
        <f t="shared" ref="X42:X73" si="10">STDEV(K42:V42)/SQRT(COUNT(K42:V42))</f>
        <v>5.5483598431571336E-2</v>
      </c>
      <c r="Y42" s="14">
        <f t="shared" ref="Y42:Y73" si="11">MIN(K42:V42)</f>
        <v>38.71728932790932</v>
      </c>
      <c r="Z42" s="13">
        <f t="shared" ref="Z42:Z73" si="12">QUARTILE(K42:V42,1)</f>
        <v>38.904111742271709</v>
      </c>
      <c r="AA42" s="14">
        <f t="shared" ref="AA42:AA73" si="13">MEDIAN(K42:V42)</f>
        <v>39.090765082482385</v>
      </c>
      <c r="AB42" s="13">
        <f t="shared" ref="AB42:AB73" si="14">QUARTILE(K42:V42,3)</f>
        <v>39.207333599470942</v>
      </c>
      <c r="AC42" s="13">
        <f t="shared" ref="AC42:AC73" si="15">MAX(K42:V42)</f>
        <v>39.277249348541325</v>
      </c>
      <c r="AD42" s="13">
        <f t="shared" ref="AD42:AD73" si="16">SKEW(K42:V42)</f>
        <v>-0.43670894991070203</v>
      </c>
      <c r="AE42" s="13">
        <f t="shared" ref="AE42:AE73" si="17">KURT(K42:V42)</f>
        <v>-1.0354282092188822</v>
      </c>
    </row>
    <row r="43" spans="2:31" x14ac:dyDescent="0.2">
      <c r="B43" s="1">
        <f>[9]FormattedData!A58</f>
        <v>902</v>
      </c>
      <c r="C43" s="1" t="str">
        <f>VLOOKUP($B43,[9]TrtCodes!$B$11:I101,2)</f>
        <v>Late</v>
      </c>
      <c r="D43" s="1">
        <f>VLOOKUP($B43,[9]TrtCodes!$B$11:J101,3)</f>
        <v>22</v>
      </c>
      <c r="E43" s="1">
        <f>VLOOKUP($B43,[9]TrtCodes!$B$11:K101,4)</f>
        <v>4</v>
      </c>
      <c r="F43" s="1">
        <f>VLOOKUP($B43,[9]TrtCodes!$B$11:L101,5)</f>
        <v>2</v>
      </c>
      <c r="G43" s="1">
        <f>VLOOKUP($B43,[9]TrtCodes!$B$11:M101,6)</f>
        <v>2</v>
      </c>
      <c r="H43" s="1">
        <f>VLOOKUP($B43,[9]TrtCodes!$B$11:N101,7)</f>
        <v>1</v>
      </c>
      <c r="I43" s="1">
        <f>[9]FormattedData!B58</f>
        <v>1</v>
      </c>
      <c r="J43" s="4">
        <f>[9]FormattedData!C58</f>
        <v>13.169</v>
      </c>
      <c r="K43" s="6">
        <f>$J$3+[9]FormattedData!D58*$J$4+$M$4*$J$5+[9]FormattedData!D58^2*$J$6+$M$5*$J$7</f>
        <v>41.870276287435459</v>
      </c>
      <c r="L43" s="6">
        <f>$J$3+[9]FormattedData!E58*$J$4+$M$4*$J$5+[9]FormattedData!E58^2*$J$6+$M$5*$J$7</f>
        <v>32.264728119311847</v>
      </c>
      <c r="M43" s="6">
        <f>$J$3+[9]FormattedData!F58*$J$4+$M$4*$J$5+[9]FormattedData!F58^2*$J$6+$M$5*$J$7</f>
        <v>41.501872757414134</v>
      </c>
      <c r="N43" s="6">
        <f>$J$3+[9]FormattedData!G58*$J$4+$M$4*$J$5+[9]FormattedData!G58^2*$J$6+$M$5*$J$7</f>
        <v>31.39606661683964</v>
      </c>
      <c r="O43" s="6">
        <f>$J$3+[9]FormattedData!H58*$J$4+$M$4*$J$5+[9]FormattedData!H58^2*$J$6+$M$5*$J$7</f>
        <v>40.577905134705645</v>
      </c>
      <c r="P43" s="6">
        <f>$J$3+[9]FormattedData!I58*$J$4+$M$4*$J$5+[9]FormattedData!I58^2*$J$6+$M$5*$J$7</f>
        <v>31.105751948999465</v>
      </c>
      <c r="Q43" s="6">
        <f>$J$3+[9]FormattedData!J58*$J$4+$M$4*$J$5+[9]FormattedData!J58^2*$J$6+$M$5*$J$7</f>
        <v>43.519723002021045</v>
      </c>
      <c r="R43" s="6">
        <f>$J$3+[9]FormattedData!K58*$J$4+$M$4*$J$5+[9]FormattedData!K58^2*$J$6+$M$5*$J$7</f>
        <v>32.071988109639101</v>
      </c>
      <c r="S43" s="6">
        <f>$J$3+[9]FormattedData!L58*$J$4+$M$4*$J$5+[9]FormattedData!L58^2*$J$6+$M$5*$J$7</f>
        <v>39.184028349780817</v>
      </c>
      <c r="T43" s="6">
        <f>$J$3+[9]FormattedData!M58*$J$4+$M$4*$J$5+[9]FormattedData!M58^2*$J$6+$M$5*$J$7</f>
        <v>32.361034721341333</v>
      </c>
      <c r="U43" s="6">
        <f>$J$3+[9]FormattedData!N58*$J$4+$M$4*$J$5+[9]FormattedData!N58^2*$J$6+$M$5*$J$7</f>
        <v>40.392604387708765</v>
      </c>
      <c r="V43" s="6">
        <f>$J$3+[9]FormattedData!O58*$J$4+$M$4*$J$5+[9]FormattedData!O58^2*$J$6+$M$5*$J$7</f>
        <v>33.129965870211649</v>
      </c>
      <c r="W43" s="5">
        <f t="shared" si="9"/>
        <v>36.614662108784081</v>
      </c>
      <c r="X43" s="4">
        <f t="shared" si="10"/>
        <v>1.4119191134407871</v>
      </c>
      <c r="Y43" s="3">
        <f t="shared" si="11"/>
        <v>31.105751948999465</v>
      </c>
      <c r="Z43" s="2">
        <f t="shared" si="12"/>
        <v>32.216543116893661</v>
      </c>
      <c r="AA43" s="3">
        <f t="shared" si="13"/>
        <v>36.156997109996233</v>
      </c>
      <c r="AB43" s="2">
        <f t="shared" si="14"/>
        <v>40.808897040382767</v>
      </c>
      <c r="AC43" s="2">
        <f t="shared" si="15"/>
        <v>43.519723002021045</v>
      </c>
      <c r="AD43" s="2">
        <f t="shared" si="16"/>
        <v>0.11153995943819121</v>
      </c>
      <c r="AE43" s="2">
        <f t="shared" si="17"/>
        <v>-2.0997585225866104</v>
      </c>
    </row>
    <row r="44" spans="2:31" x14ac:dyDescent="0.2">
      <c r="B44" s="17">
        <f>[9]FormattedData!A56</f>
        <v>903</v>
      </c>
      <c r="C44" s="17" t="str">
        <f>VLOOKUP($B44,[9]TrtCodes!$B$11:I99,2)</f>
        <v>DS</v>
      </c>
      <c r="D44" s="17">
        <f>VLOOKUP($B44,[9]TrtCodes!$B$11:J99,3)</f>
        <v>31</v>
      </c>
      <c r="E44" s="17">
        <f>VLOOKUP($B44,[9]TrtCodes!$B$11:K99,4)</f>
        <v>8</v>
      </c>
      <c r="F44" s="17">
        <f>VLOOKUP($B44,[9]TrtCodes!$B$11:L99,5)</f>
        <v>0</v>
      </c>
      <c r="G44" s="17">
        <f>VLOOKUP($B44,[9]TrtCodes!$B$11:M99,6)</f>
        <v>1</v>
      </c>
      <c r="H44" s="17">
        <f>VLOOKUP($B44,[9]TrtCodes!$B$11:N99,7)</f>
        <v>1</v>
      </c>
      <c r="I44" s="17">
        <f>[9]FormattedData!B56</f>
        <v>1</v>
      </c>
      <c r="J44" s="15">
        <f>[9]FormattedData!C56</f>
        <v>13.163</v>
      </c>
      <c r="K44" s="14">
        <f>$J$3+[9]FormattedData!D56*$J$4+$M$4*$J$5+[9]FormattedData!D56^2*$J$6+$M$5*$J$7</f>
        <v>64.446854908323203</v>
      </c>
      <c r="L44" s="14">
        <f>$J$3+[9]FormattedData!E56*$J$4+$M$4*$J$5+[9]FormattedData!E56^2*$J$6+$M$5*$J$7</f>
        <v>64.527818031083669</v>
      </c>
      <c r="M44" s="14">
        <f>$J$3+[9]FormattedData!F56*$J$4+$M$4*$J$5+[9]FormattedData!F56^2*$J$6+$M$5*$J$7</f>
        <v>64.365849517024785</v>
      </c>
      <c r="N44" s="14">
        <f>$J$3+[9]FormattedData!G56*$J$4+$M$4*$J$5+[9]FormattedData!G56^2*$J$6+$M$5*$J$7</f>
        <v>64.365849517024785</v>
      </c>
      <c r="O44" s="14">
        <f>$J$3+[9]FormattedData!H56*$J$4+$M$4*$J$5+[9]FormattedData!H56^2*$J$6+$M$5*$J$7</f>
        <v>64.122579731901979</v>
      </c>
      <c r="P44" s="14">
        <f>$J$3+[9]FormattedData!I56*$J$4+$M$4*$J$5+[9]FormattedData!I56^2*$J$6+$M$5*$J$7</f>
        <v>64.122579731901979</v>
      </c>
      <c r="Q44" s="14">
        <f>$J$3+[9]FormattedData!J56*$J$4+$M$4*$J$5+[9]FormattedData!J56^2*$J$6+$M$5*$J$7</f>
        <v>64.041405266451861</v>
      </c>
      <c r="R44" s="14">
        <f>$J$3+[9]FormattedData!K56*$J$4+$M$4*$J$5+[9]FormattedData!K56^2*$J$6+$M$5*$J$7</f>
        <v>64.041405266451861</v>
      </c>
      <c r="S44" s="14">
        <f>$J$3+[9]FormattedData!L56*$J$4+$M$4*$J$5+[9]FormattedData!L56^2*$J$6+$M$5*$J$7</f>
        <v>63.797628258873878</v>
      </c>
      <c r="T44" s="14">
        <f>$J$3+[9]FormattedData!M56*$J$4+$M$4*$J$5+[9]FormattedData!M56^2*$J$6+$M$5*$J$7</f>
        <v>63.553470834454501</v>
      </c>
      <c r="U44" s="14">
        <f>$J$3+[9]FormattedData!N56*$J$4+$M$4*$J$5+[9]FormattedData!N56^2*$J$6+$M$5*$J$7</f>
        <v>63.472000489238852</v>
      </c>
      <c r="V44" s="14">
        <f>$J$3+[9]FormattedData!O56*$J$4+$M$4*$J$5+[9]FormattedData!O56^2*$J$6+$M$5*$J$7</f>
        <v>63.960188532463782</v>
      </c>
      <c r="W44" s="16">
        <f t="shared" si="9"/>
        <v>64.06813584043293</v>
      </c>
      <c r="X44" s="15">
        <f t="shared" si="10"/>
        <v>9.7095877145912182E-2</v>
      </c>
      <c r="Y44" s="14">
        <f t="shared" si="11"/>
        <v>63.472000489238852</v>
      </c>
      <c r="Z44" s="13">
        <f t="shared" si="12"/>
        <v>63.91954846406631</v>
      </c>
      <c r="AA44" s="14">
        <f t="shared" si="13"/>
        <v>64.08199249917692</v>
      </c>
      <c r="AB44" s="13">
        <f t="shared" si="14"/>
        <v>64.365849517024785</v>
      </c>
      <c r="AC44" s="13">
        <f t="shared" si="15"/>
        <v>64.527818031083669</v>
      </c>
      <c r="AD44" s="13">
        <f t="shared" si="16"/>
        <v>-0.47222881846060905</v>
      </c>
      <c r="AE44" s="13">
        <f t="shared" si="17"/>
        <v>-0.55033539846245771</v>
      </c>
    </row>
    <row r="45" spans="2:31" x14ac:dyDescent="0.2">
      <c r="B45" s="1">
        <f>[9]FormattedData!A54</f>
        <v>904</v>
      </c>
      <c r="C45" s="1" t="str">
        <f>VLOOKUP($B45,[9]TrtCodes!$B$11:I97,2)</f>
        <v>Early</v>
      </c>
      <c r="D45" s="1">
        <f>VLOOKUP($B45,[9]TrtCodes!$B$11:J97,3)</f>
        <v>21</v>
      </c>
      <c r="E45" s="1">
        <f>VLOOKUP($B45,[9]TrtCodes!$B$11:K97,4)</f>
        <v>3</v>
      </c>
      <c r="F45" s="1">
        <f>VLOOKUP($B45,[9]TrtCodes!$B$11:L97,5)</f>
        <v>2</v>
      </c>
      <c r="G45" s="1">
        <f>VLOOKUP($B45,[9]TrtCodes!$B$11:M97,6)</f>
        <v>2</v>
      </c>
      <c r="H45" s="1">
        <f>VLOOKUP($B45,[9]TrtCodes!$B$11:N97,7)</f>
        <v>1</v>
      </c>
      <c r="I45" s="1">
        <f>[9]FormattedData!B54</f>
        <v>1</v>
      </c>
      <c r="J45" s="4">
        <f>[9]FormattedData!C54</f>
        <v>13.148999999999999</v>
      </c>
      <c r="K45" s="6">
        <f>$J$3+[9]FormattedData!D54*$J$4+$M$4*$J$5+[9]FormattedData!D54^2*$J$6+$M$5*$J$7</f>
        <v>57.15657651086299</v>
      </c>
      <c r="L45" s="6">
        <f>$J$3+[9]FormattedData!E54*$J$4+$M$4*$J$5+[9]FormattedData!E54^2*$J$6+$M$5*$J$7</f>
        <v>39.742720314274884</v>
      </c>
      <c r="M45" s="6">
        <f>$J$3+[9]FormattedData!F54*$J$4+$M$4*$J$5+[9]FormattedData!F54^2*$J$6+$M$5*$J$7</f>
        <v>54.596439017772539</v>
      </c>
      <c r="N45" s="6">
        <f>$J$3+[9]FormattedData!G54*$J$4+$M$4*$J$5+[9]FormattedData!G54^2*$J$6+$M$5*$J$7</f>
        <v>36.745446125193823</v>
      </c>
      <c r="O45" s="6">
        <f>$J$3+[9]FormattedData!H54*$J$4+$M$4*$J$5+[9]FormattedData!H54^2*$J$6+$M$5*$J$7</f>
        <v>56.732528712301942</v>
      </c>
      <c r="P45" s="6">
        <f>$J$3+[9]FormattedData!I54*$J$4+$M$4*$J$5+[9]FormattedData!I54^2*$J$6+$M$5*$J$7</f>
        <v>35.420528198257038</v>
      </c>
      <c r="Q45" s="6">
        <f>$J$3+[9]FormattedData!J54*$J$4+$M$4*$J$5+[9]FormattedData!J54^2*$J$6+$M$5*$J$7</f>
        <v>60.178526479509351</v>
      </c>
      <c r="R45" s="6">
        <f>$J$3+[9]FormattedData!K54*$J$4+$M$4*$J$5+[9]FormattedData!K54^2*$J$6+$M$5*$J$7</f>
        <v>38.155807639911799</v>
      </c>
      <c r="S45" s="6">
        <f>$J$3+[9]FormattedData!L54*$J$4+$M$4*$J$5+[9]FormattedData!L54^2*$J$6+$M$5*$J$7</f>
        <v>56.222276492276968</v>
      </c>
      <c r="T45" s="6">
        <f>$J$3+[9]FormattedData!M54*$J$4+$M$4*$J$5+[9]FormattedData!M54^2*$J$6+$M$5*$J$7</f>
        <v>37.874496170650964</v>
      </c>
      <c r="U45" s="6">
        <f>$J$3+[9]FormattedData!N54*$J$4+$M$4*$J$5+[9]FormattedData!N54^2*$J$6+$M$5*$J$7</f>
        <v>57.832855024588248</v>
      </c>
      <c r="V45" s="6">
        <f>$J$3+[9]FormattedData!O54*$J$4+$M$4*$J$5+[9]FormattedData!O54^2*$J$6+$M$5*$J$7</f>
        <v>49.273509788127399</v>
      </c>
      <c r="W45" s="5">
        <f t="shared" si="9"/>
        <v>48.327642539477331</v>
      </c>
      <c r="X45" s="4">
        <f t="shared" si="10"/>
        <v>2.8458884201928241</v>
      </c>
      <c r="Y45" s="3">
        <f t="shared" si="11"/>
        <v>35.420528198257038</v>
      </c>
      <c r="Z45" s="2">
        <f t="shared" si="12"/>
        <v>38.085479772596592</v>
      </c>
      <c r="AA45" s="3">
        <f t="shared" si="13"/>
        <v>51.934974402949969</v>
      </c>
      <c r="AB45" s="2">
        <f t="shared" si="14"/>
        <v>56.838540661942204</v>
      </c>
      <c r="AC45" s="2">
        <f t="shared" si="15"/>
        <v>60.178526479509351</v>
      </c>
      <c r="AD45" s="2">
        <f t="shared" si="16"/>
        <v>-0.22623166959729937</v>
      </c>
      <c r="AE45" s="2">
        <f t="shared" si="17"/>
        <v>-2.0613384384836571</v>
      </c>
    </row>
    <row r="46" spans="2:31" x14ac:dyDescent="0.2">
      <c r="B46" s="17">
        <f>[9]FormattedData!A52</f>
        <v>905</v>
      </c>
      <c r="C46" s="17" t="str">
        <f>VLOOKUP($B46,[9]TrtCodes!$B$11:I95,2)</f>
        <v>WS</v>
      </c>
      <c r="D46" s="17">
        <f>VLOOKUP($B46,[9]TrtCodes!$B$11:J95,3)</f>
        <v>32</v>
      </c>
      <c r="E46" s="17">
        <f>VLOOKUP($B46,[9]TrtCodes!$B$11:K95,4)</f>
        <v>9</v>
      </c>
      <c r="F46" s="17">
        <f>VLOOKUP($B46,[9]TrtCodes!$B$11:L95,5)</f>
        <v>0</v>
      </c>
      <c r="G46" s="17">
        <f>VLOOKUP($B46,[9]TrtCodes!$B$11:M95,6)</f>
        <v>1</v>
      </c>
      <c r="H46" s="17">
        <f>VLOOKUP($B46,[9]TrtCodes!$B$11:N95,7)</f>
        <v>2</v>
      </c>
      <c r="I46" s="17">
        <f>[9]FormattedData!B52</f>
        <v>1</v>
      </c>
      <c r="J46" s="15">
        <f>[9]FormattedData!C52</f>
        <v>13.143000000000001</v>
      </c>
      <c r="K46" s="14">
        <f>$J$3+[9]FormattedData!D52*$J$4+$M$4*$J$5+[9]FormattedData!D52^2*$J$6+$M$5*$J$7</f>
        <v>38.997459546646013</v>
      </c>
      <c r="L46" s="14">
        <f>$J$3+[9]FormattedData!E52*$J$4+$M$4*$J$5+[9]FormattedData!E52^2*$J$6+$M$5*$J$7</f>
        <v>38.997459546646013</v>
      </c>
      <c r="M46" s="14">
        <f>$J$3+[9]FormattedData!F52*$J$4+$M$4*$J$5+[9]FormattedData!F52^2*$J$6+$M$5*$J$7</f>
        <v>39.184028349780817</v>
      </c>
      <c r="N46" s="14">
        <f>$J$3+[9]FormattedData!G52*$J$4+$M$4*$J$5+[9]FormattedData!G52^2*$J$6+$M$5*$J$7</f>
        <v>39.277249348541325</v>
      </c>
      <c r="O46" s="14">
        <f>$J$3+[9]FormattedData!H52*$J$4+$M$4*$J$5+[9]FormattedData!H52^2*$J$6+$M$5*$J$7</f>
        <v>39.556658733595256</v>
      </c>
      <c r="P46" s="14">
        <f>$J$3+[9]FormattedData!I52*$J$4+$M$4*$J$5+[9]FormattedData!I52^2*$J$6+$M$5*$J$7</f>
        <v>39.277249348541325</v>
      </c>
      <c r="Q46" s="14">
        <f>$J$3+[9]FormattedData!J52*$J$4+$M$4*$J$5+[9]FormattedData!J52^2*$J$6+$M$5*$J$7</f>
        <v>39.928612820802798</v>
      </c>
      <c r="R46" s="14">
        <f>$J$3+[9]FormattedData!K52*$J$4+$M$4*$J$5+[9]FormattedData!K52^2*$J$6+$M$5*$J$7</f>
        <v>40.021495671259856</v>
      </c>
      <c r="S46" s="14">
        <f>$J$3+[9]FormattedData!L52*$J$4+$M$4*$J$5+[9]FormattedData!L52^2*$J$6+$M$5*$J$7</f>
        <v>41.132792930785904</v>
      </c>
      <c r="T46" s="14">
        <f>$J$3+[9]FormattedData!M52*$J$4+$M$4*$J$5+[9]FormattedData!M52^2*$J$6+$M$5*$J$7</f>
        <v>39.556658733595256</v>
      </c>
      <c r="U46" s="14">
        <f>$J$3+[9]FormattedData!N52*$J$4+$M$4*$J$5+[9]FormattedData!N52^2*$J$6+$M$5*$J$7</f>
        <v>39.556658733595256</v>
      </c>
      <c r="V46" s="14">
        <f>$J$3+[9]FormattedData!O52*$J$4+$M$4*$J$5+[9]FormattedData!O52^2*$J$6+$M$5*$J$7</f>
        <v>39.184028349780817</v>
      </c>
      <c r="W46" s="16">
        <f t="shared" si="9"/>
        <v>39.555862676130893</v>
      </c>
      <c r="X46" s="15">
        <f t="shared" si="10"/>
        <v>0.17184092584195287</v>
      </c>
      <c r="Y46" s="14">
        <f t="shared" si="11"/>
        <v>38.997459546646013</v>
      </c>
      <c r="Z46" s="13">
        <f t="shared" si="12"/>
        <v>39.184028349780817</v>
      </c>
      <c r="AA46" s="14">
        <f t="shared" si="13"/>
        <v>39.416954041068294</v>
      </c>
      <c r="AB46" s="13">
        <f t="shared" si="14"/>
        <v>39.649647255397142</v>
      </c>
      <c r="AC46" s="13">
        <f t="shared" si="15"/>
        <v>41.132792930785904</v>
      </c>
      <c r="AD46" s="13">
        <f t="shared" si="16"/>
        <v>1.8513815519168908</v>
      </c>
      <c r="AE46" s="13">
        <f t="shared" si="17"/>
        <v>4.1171729365747396</v>
      </c>
    </row>
    <row r="47" spans="2:31" x14ac:dyDescent="0.2">
      <c r="B47" s="1">
        <f>[9]FormattedData!A50</f>
        <v>906</v>
      </c>
      <c r="C47" s="1" t="str">
        <f>VLOOKUP($B47,[9]TrtCodes!$B$11:I93,2)</f>
        <v>Late</v>
      </c>
      <c r="D47" s="1">
        <f>VLOOKUP($B47,[9]TrtCodes!$B$11:J93,3)</f>
        <v>22</v>
      </c>
      <c r="E47" s="1">
        <f>VLOOKUP($B47,[9]TrtCodes!$B$11:K93,4)</f>
        <v>4</v>
      </c>
      <c r="F47" s="1">
        <f>VLOOKUP($B47,[9]TrtCodes!$B$11:L93,5)</f>
        <v>2</v>
      </c>
      <c r="G47" s="1">
        <f>VLOOKUP($B47,[9]TrtCodes!$B$11:M93,6)</f>
        <v>2</v>
      </c>
      <c r="H47" s="1">
        <f>VLOOKUP($B47,[9]TrtCodes!$B$11:N93,7)</f>
        <v>2</v>
      </c>
      <c r="I47" s="1">
        <f>[9]FormattedData!B50</f>
        <v>1</v>
      </c>
      <c r="J47" s="4">
        <f>[9]FormattedData!C50</f>
        <v>13.129</v>
      </c>
      <c r="K47" s="6">
        <f>$J$3+[9]FormattedData!D50*$J$4+$M$4*$J$5+[9]FormattedData!D50^2*$J$6+$M$5*$J$7</f>
        <v>40.392604387708765</v>
      </c>
      <c r="L47" s="6">
        <f>$J$3+[9]FormattedData!E50*$J$4+$M$4*$J$5+[9]FormattedData!E50^2*$J$6+$M$5*$J$7</f>
        <v>32.168379248744444</v>
      </c>
      <c r="M47" s="6">
        <f>$J$3+[9]FormattedData!F50*$J$4+$M$4*$J$5+[9]FormattedData!F50^2*$J$6+$M$5*$J$7</f>
        <v>40.207134566560171</v>
      </c>
      <c r="N47" s="6">
        <f>$J$3+[9]FormattedData!G50*$J$4+$M$4*$J$5+[9]FormattedData!G50^2*$J$6+$M$5*$J$7</f>
        <v>31.202565773484125</v>
      </c>
      <c r="O47" s="6">
        <f>$J$3+[9]FormattedData!H50*$J$4+$M$4*$J$5+[9]FormattedData!H50^2*$J$6+$M$5*$J$7</f>
        <v>44.06649523881854</v>
      </c>
      <c r="P47" s="6">
        <f>$J$3+[9]FormattedData!I50*$J$4+$M$4*$J$5+[9]FormattedData!I50^2*$J$6+$M$5*$J$7</f>
        <v>34.945335468799314</v>
      </c>
      <c r="Q47" s="6">
        <f>$J$3+[9]FormattedData!J50*$J$4+$M$4*$J$5+[9]FormattedData!J50^2*$J$6+$M$5*$J$7</f>
        <v>41.225126290249861</v>
      </c>
      <c r="R47" s="6">
        <f>$J$3+[9]FormattedData!K50*$J$4+$M$4*$J$5+[9]FormattedData!K50^2*$J$6+$M$5*$J$7</f>
        <v>35.040458551766712</v>
      </c>
      <c r="S47" s="6">
        <f>$J$3+[9]FormattedData!L50*$J$4+$M$4*$J$5+[9]FormattedData!L50^2*$J$6+$M$5*$J$7</f>
        <v>34.278290368965379</v>
      </c>
      <c r="T47" s="6">
        <f>$J$3+[9]FormattedData!M50*$J$4+$M$4*$J$5+[9]FormattedData!M50^2*$J$6+$M$5*$J$7</f>
        <v>36.556679358086598</v>
      </c>
      <c r="U47" s="6">
        <f>$J$3+[9]FormattedData!N50*$J$4+$M$4*$J$5+[9]FormattedData!N50^2*$J$6+$M$5*$J$7</f>
        <v>38.997459546646013</v>
      </c>
      <c r="V47" s="6">
        <f>$J$3+[9]FormattedData!O50*$J$4+$M$4*$J$5+[9]FormattedData!O50^2*$J$6+$M$5*$J$7</f>
        <v>30.718073965681548</v>
      </c>
      <c r="W47" s="5">
        <f t="shared" si="9"/>
        <v>36.649883563792621</v>
      </c>
      <c r="X47" s="4">
        <f t="shared" si="10"/>
        <v>1.2437250778002731</v>
      </c>
      <c r="Y47" s="3">
        <f t="shared" si="11"/>
        <v>30.718073965681548</v>
      </c>
      <c r="Z47" s="2">
        <f t="shared" si="12"/>
        <v>33.750812588910144</v>
      </c>
      <c r="AA47" s="3">
        <f t="shared" si="13"/>
        <v>35.798568954926651</v>
      </c>
      <c r="AB47" s="2">
        <f t="shared" si="14"/>
        <v>40.253502021847318</v>
      </c>
      <c r="AC47" s="2">
        <f t="shared" si="15"/>
        <v>44.06649523881854</v>
      </c>
      <c r="AD47" s="2">
        <f t="shared" si="16"/>
        <v>0.17908548406954472</v>
      </c>
      <c r="AE47" s="2">
        <f t="shared" si="17"/>
        <v>-1.0975928541611437</v>
      </c>
    </row>
    <row r="48" spans="2:31" x14ac:dyDescent="0.2">
      <c r="B48" s="17">
        <f>[9]FormattedData!A48</f>
        <v>907</v>
      </c>
      <c r="C48" s="17" t="str">
        <f>VLOOKUP($B48,[9]TrtCodes!$B$11:I91,2)</f>
        <v>DS</v>
      </c>
      <c r="D48" s="17">
        <f>VLOOKUP($B48,[9]TrtCodes!$B$11:J91,3)</f>
        <v>31</v>
      </c>
      <c r="E48" s="17">
        <f>VLOOKUP($B48,[9]TrtCodes!$B$11:K91,4)</f>
        <v>8</v>
      </c>
      <c r="F48" s="17">
        <f>VLOOKUP($B48,[9]TrtCodes!$B$11:L91,5)</f>
        <v>0</v>
      </c>
      <c r="G48" s="17">
        <f>VLOOKUP($B48,[9]TrtCodes!$B$11:M91,6)</f>
        <v>1</v>
      </c>
      <c r="H48" s="17">
        <f>VLOOKUP($B48,[9]TrtCodes!$B$11:N91,7)</f>
        <v>2</v>
      </c>
      <c r="I48" s="17">
        <f>[9]FormattedData!B48</f>
        <v>1</v>
      </c>
      <c r="J48" s="15">
        <f>[9]FormattedData!C48</f>
        <v>13.122999999999999</v>
      </c>
      <c r="K48" s="14">
        <f>$J$3+[9]FormattedData!D48*$J$4+$M$4*$J$5+[9]FormattedData!D48^2*$J$6+$M$5*$J$7</f>
        <v>62.326977459736995</v>
      </c>
      <c r="L48" s="14">
        <f>$J$3+[9]FormattedData!E48*$J$4+$M$4*$J$5+[9]FormattedData!E48^2*$J$6+$M$5*$J$7</f>
        <v>63.553470834454501</v>
      </c>
      <c r="M48" s="14">
        <f>$J$3+[9]FormattedData!F48*$J$4+$M$4*$J$5+[9]FormattedData!F48^2*$J$6+$M$5*$J$7</f>
        <v>63.308932993193771</v>
      </c>
      <c r="N48" s="14">
        <f>$J$3+[9]FormattedData!G48*$J$4+$M$4*$J$5+[9]FormattedData!G48^2*$J$6+$M$5*$J$7</f>
        <v>63.553470834454501</v>
      </c>
      <c r="O48" s="14">
        <f>$J$3+[9]FormattedData!H48*$J$4+$M$4*$J$5+[9]FormattedData!H48^2*$J$6+$M$5*$J$7</f>
        <v>63.390487875485277</v>
      </c>
      <c r="P48" s="14">
        <f>$J$3+[9]FormattedData!I48*$J$4+$M$4*$J$5+[9]FormattedData!I48^2*$J$6+$M$5*$J$7</f>
        <v>63.634898911132233</v>
      </c>
      <c r="Q48" s="14">
        <f>$J$3+[9]FormattedData!J48*$J$4+$M$4*$J$5+[9]FormattedData!J48^2*$J$6+$M$5*$J$7</f>
        <v>63.878929529937793</v>
      </c>
      <c r="R48" s="14">
        <f>$J$3+[9]FormattedData!K48*$J$4+$M$4*$J$5+[9]FormattedData!K48^2*$J$6+$M$5*$J$7</f>
        <v>62.736865298091111</v>
      </c>
      <c r="S48" s="14">
        <f>$J$3+[9]FormattedData!L48*$J$4+$M$4*$J$5+[9]FormattedData!L48^2*$J$6+$M$5*$J$7</f>
        <v>63.472000489238852</v>
      </c>
      <c r="T48" s="14">
        <f>$J$3+[9]FormattedData!M48*$J$4+$M$4*$J$5+[9]FormattedData!M48^2*$J$6+$M$5*$J$7</f>
        <v>64.041405266451861</v>
      </c>
      <c r="U48" s="14">
        <f>$J$3+[9]FormattedData!N48*$J$4+$M$4*$J$5+[9]FormattedData!N48^2*$J$6+$M$5*$J$7</f>
        <v>63.878929529937793</v>
      </c>
      <c r="V48" s="14">
        <f>$J$3+[9]FormattedData!O48*$J$4+$M$4*$J$5+[9]FormattedData!O48^2*$J$6+$M$5*$J$7</f>
        <v>63.553470834454501</v>
      </c>
      <c r="W48" s="16">
        <f t="shared" si="9"/>
        <v>63.44415332138076</v>
      </c>
      <c r="X48" s="15">
        <f t="shared" si="10"/>
        <v>0.1397314431945213</v>
      </c>
      <c r="Y48" s="14">
        <f t="shared" si="11"/>
        <v>62.326977459736995</v>
      </c>
      <c r="Z48" s="13">
        <f t="shared" si="12"/>
        <v>63.370099154912403</v>
      </c>
      <c r="AA48" s="14">
        <f t="shared" si="13"/>
        <v>63.553470834454501</v>
      </c>
      <c r="AB48" s="13">
        <f t="shared" si="14"/>
        <v>63.695906565833624</v>
      </c>
      <c r="AC48" s="13">
        <f t="shared" si="15"/>
        <v>64.041405266451861</v>
      </c>
      <c r="AD48" s="13">
        <f t="shared" si="16"/>
        <v>-1.3105835789691458</v>
      </c>
      <c r="AE48" s="13">
        <f t="shared" si="17"/>
        <v>1.7327370364593735</v>
      </c>
    </row>
    <row r="49" spans="2:31" ht="13.5" thickBot="1" x14ac:dyDescent="0.25">
      <c r="B49" s="12">
        <f>[9]FormattedData!A46</f>
        <v>908</v>
      </c>
      <c r="C49" s="12" t="str">
        <f>VLOOKUP($B49,[9]TrtCodes!$B$11:I89,2)</f>
        <v>Early</v>
      </c>
      <c r="D49" s="12">
        <f>VLOOKUP($B49,[9]TrtCodes!$B$11:J89,3)</f>
        <v>21</v>
      </c>
      <c r="E49" s="12">
        <f>VLOOKUP($B49,[9]TrtCodes!$B$11:K89,4)</f>
        <v>3</v>
      </c>
      <c r="F49" s="12">
        <f>VLOOKUP($B49,[9]TrtCodes!$B$11:L89,5)</f>
        <v>2</v>
      </c>
      <c r="G49" s="12">
        <f>VLOOKUP($B49,[9]TrtCodes!$B$11:M89,6)</f>
        <v>2</v>
      </c>
      <c r="H49" s="12">
        <f>VLOOKUP($B49,[9]TrtCodes!$B$11:N89,7)</f>
        <v>2</v>
      </c>
      <c r="I49" s="12">
        <f>[9]FormattedData!B46</f>
        <v>1</v>
      </c>
      <c r="J49" s="9">
        <f>[9]FormattedData!C46</f>
        <v>13.109</v>
      </c>
      <c r="K49" s="11">
        <f>$J$3+[9]FormattedData!D46*$J$4+$M$4*$J$5+[9]FormattedData!D46^2*$J$6+$M$5*$J$7</f>
        <v>57.917199630383216</v>
      </c>
      <c r="L49" s="11">
        <f>$J$3+[9]FormattedData!E46*$J$4+$M$4*$J$5+[9]FormattedData!E46^2*$J$6+$M$5*$J$7</f>
        <v>41.501872757414134</v>
      </c>
      <c r="M49" s="11">
        <f>$J$3+[9]FormattedData!F46*$J$4+$M$4*$J$5+[9]FormattedData!F46^2*$J$6+$M$5*$J$7</f>
        <v>55.881262974835025</v>
      </c>
      <c r="N49" s="11">
        <f>$J$3+[9]FormattedData!G46*$J$4+$M$4*$J$5+[9]FormattedData!G46^2*$J$6+$M$5*$J$7</f>
        <v>37.028279261820181</v>
      </c>
      <c r="O49" s="11">
        <f>$J$3+[9]FormattedData!H46*$J$4+$M$4*$J$5+[9]FormattedData!H46^2*$J$6+$M$5*$J$7</f>
        <v>56.30742420029263</v>
      </c>
      <c r="P49" s="11">
        <f>$J$3+[9]FormattedData!I46*$J$4+$M$4*$J$5+[9]FormattedData!I46^2*$J$6+$M$5*$J$7</f>
        <v>37.122472436953103</v>
      </c>
      <c r="Q49" s="11">
        <f>$J$3+[9]FormattedData!J46*$J$4+$M$4*$J$5+[9]FormattedData!J46^2*$J$6+$M$5*$J$7</f>
        <v>55.454045035929141</v>
      </c>
      <c r="R49" s="11">
        <f>$J$3+[9]FormattedData!K46*$J$4+$M$4*$J$5+[9]FormattedData!K46^2*$J$6+$M$5*$J$7</f>
        <v>36.839766105940548</v>
      </c>
      <c r="S49" s="11">
        <f>$J$3+[9]FormattedData!L46*$J$4+$M$4*$J$5+[9]FormattedData!L46^2*$J$6+$M$5*$J$7</f>
        <v>56.051854270631864</v>
      </c>
      <c r="T49" s="11">
        <f>$J$3+[9]FormattedData!M46*$J$4+$M$4*$J$5+[9]FormattedData!M46^2*$J$6+$M$5*$J$7</f>
        <v>38.155807639911799</v>
      </c>
      <c r="U49" s="11">
        <f>$J$3+[9]FormattedData!N46*$J$4+$M$4*$J$5+[9]FormattedData!N46^2*$J$6+$M$5*$J$7</f>
        <v>56.051854270631864</v>
      </c>
      <c r="V49" s="11">
        <f>$J$3+[9]FormattedData!O46*$J$4+$M$4*$J$5+[9]FormattedData!O46^2*$J$6+$M$5*$J$7</f>
        <v>42.05422444121853</v>
      </c>
      <c r="W49" s="10">
        <f t="shared" si="9"/>
        <v>47.530505252163501</v>
      </c>
      <c r="X49" s="9">
        <f t="shared" si="10"/>
        <v>2.6824301505928987</v>
      </c>
      <c r="Y49" s="8">
        <f t="shared" si="11"/>
        <v>36.839766105940548</v>
      </c>
      <c r="Z49" s="7">
        <f t="shared" si="12"/>
        <v>37.897473839172122</v>
      </c>
      <c r="AA49" s="8">
        <f t="shared" si="13"/>
        <v>48.754134738573839</v>
      </c>
      <c r="AB49" s="7">
        <f t="shared" si="14"/>
        <v>56.051854270631864</v>
      </c>
      <c r="AC49" s="7">
        <f t="shared" si="15"/>
        <v>57.917199630383216</v>
      </c>
      <c r="AD49" s="7">
        <f t="shared" si="16"/>
        <v>-8.1705934786582432E-2</v>
      </c>
      <c r="AE49" s="7">
        <f t="shared" si="17"/>
        <v>-2.2615415001373593</v>
      </c>
    </row>
    <row r="50" spans="2:31" ht="13.5" thickTop="1" x14ac:dyDescent="0.2">
      <c r="B50" s="1">
        <f>[9]FormattedData!A29</f>
        <v>101</v>
      </c>
      <c r="C50" s="1" t="str">
        <f>VLOOKUP($B50,[9]TrtCodes!$B$11:I72,2)</f>
        <v>FSH</v>
      </c>
      <c r="D50" s="1">
        <f>VLOOKUP($B50,[9]TrtCodes!$B$11:J72,3)</f>
        <v>1</v>
      </c>
      <c r="E50" s="1">
        <f>VLOOKUP($B50,[9]TrtCodes!$B$11:K72,4)</f>
        <v>1</v>
      </c>
      <c r="F50" s="1">
        <f>VLOOKUP($B50,[9]TrtCodes!$B$11:L72,5)</f>
        <v>1</v>
      </c>
      <c r="G50" s="1">
        <f>VLOOKUP($B50,[9]TrtCodes!$B$11:M72,6)</f>
        <v>2</v>
      </c>
      <c r="H50" s="1">
        <f>VLOOKUP($B50,[9]TrtCodes!$B$11:N72,7)</f>
        <v>1</v>
      </c>
      <c r="I50" s="1">
        <f>[9]FormattedData!B29</f>
        <v>2</v>
      </c>
      <c r="J50" s="4">
        <f>[9]FormattedData!C29</f>
        <v>12.972</v>
      </c>
      <c r="K50" s="6">
        <f>$J$3+[9]FormattedData!D29*$J$4+$M$4*$J$5+[9]FormattedData!D29^2*$J$6+$M$5*$J$7</f>
        <v>27.690638913139988</v>
      </c>
      <c r="L50" s="6">
        <f>$J$3+[9]FormattedData!E29*$J$4+$M$4*$J$5+[9]FormattedData!E29^2*$J$6+$M$5*$J$7</f>
        <v>29.062897602559659</v>
      </c>
      <c r="M50" s="6">
        <f>$J$3+[9]FormattedData!F29*$J$4+$M$4*$J$5+[9]FormattedData!F29^2*$J$6+$M$5*$J$7</f>
        <v>29.355875188289485</v>
      </c>
      <c r="N50" s="6">
        <f>$J$3+[9]FormattedData!G29*$J$4+$M$4*$J$5+[9]FormattedData!G29^2*$J$6+$M$5*$J$7</f>
        <v>27.592303421289817</v>
      </c>
      <c r="O50" s="6">
        <f>$J$3+[9]FormattedData!H29*$J$4+$M$4*$J$5+[9]FormattedData!H29^2*$J$6+$M$5*$J$7</f>
        <v>28.083558195161377</v>
      </c>
      <c r="P50" s="6">
        <f>$J$3+[9]FormattedData!I29*$J$4+$M$4*$J$5+[9]FormattedData!I29^2*$J$6+$M$5*$J$7</f>
        <v>29.062897602559659</v>
      </c>
      <c r="Q50" s="6">
        <f>$J$3+[9]FormattedData!J29*$J$4+$M$4*$J$5+[9]FormattedData!J29^2*$J$6+$M$5*$J$7</f>
        <v>29.84332579374724</v>
      </c>
      <c r="R50" s="6">
        <f>$J$3+[9]FormattedData!K29*$J$4+$M$4*$J$5+[9]FormattedData!K29^2*$J$6+$M$5*$J$7</f>
        <v>28.377803837029134</v>
      </c>
      <c r="S50" s="6">
        <f>$J$3+[9]FormattedData!L29*$J$4+$M$4*$J$5+[9]FormattedData!L29^2*$J$6+$M$5*$J$7</f>
        <v>29.258258261584142</v>
      </c>
      <c r="T50" s="6">
        <f>$J$3+[9]FormattedData!M29*$J$4+$M$4*$J$5+[9]FormattedData!M29^2*$J$6+$M$5*$J$7</f>
        <v>30.13528893456672</v>
      </c>
      <c r="U50" s="6">
        <f>$J$3+[9]FormattedData!N29*$J$4+$M$4*$J$5+[9]FormattedData!N29^2*$J$6+$M$5*$J$7</f>
        <v>30.13528893456672</v>
      </c>
      <c r="V50" s="6">
        <f>$J$3+[9]FormattedData!O29*$J$4+$M$4*$J$5+[9]FormattedData!O29^2*$J$6+$M$5*$J$7</f>
        <v>30.232525444430692</v>
      </c>
      <c r="W50" s="5">
        <f t="shared" si="9"/>
        <v>29.06922184407706</v>
      </c>
      <c r="X50" s="4">
        <f t="shared" si="10"/>
        <v>0.27351341703832988</v>
      </c>
      <c r="Y50" s="3">
        <f t="shared" si="11"/>
        <v>27.592303421289817</v>
      </c>
      <c r="Z50" s="2">
        <f t="shared" si="12"/>
        <v>28.304242426562194</v>
      </c>
      <c r="AA50" s="3">
        <f t="shared" si="13"/>
        <v>29.160577932071902</v>
      </c>
      <c r="AB50" s="2">
        <f t="shared" si="14"/>
        <v>29.916316578952109</v>
      </c>
      <c r="AC50" s="2">
        <f t="shared" si="15"/>
        <v>30.232525444430692</v>
      </c>
      <c r="AD50" s="2">
        <f t="shared" si="16"/>
        <v>-0.3383536359081693</v>
      </c>
      <c r="AE50" s="2">
        <f t="shared" si="17"/>
        <v>-1.2325629129308489</v>
      </c>
    </row>
    <row r="51" spans="2:31" x14ac:dyDescent="0.2">
      <c r="B51" s="1">
        <f>[9]FormattedData!A27</f>
        <v>102</v>
      </c>
      <c r="C51" s="1" t="str">
        <f>VLOOKUP($B51,[9]TrtCodes!$B$11:I70,2)</f>
        <v>FTL</v>
      </c>
      <c r="D51" s="1">
        <f>VLOOKUP($B51,[9]TrtCodes!$B$11:J70,3)</f>
        <v>4</v>
      </c>
      <c r="E51" s="1">
        <f>VLOOKUP($B51,[9]TrtCodes!$B$11:K70,4)</f>
        <v>1</v>
      </c>
      <c r="F51" s="1">
        <f>VLOOKUP($B51,[9]TrtCodes!$B$11:L70,5)</f>
        <v>2</v>
      </c>
      <c r="G51" s="1">
        <f>VLOOKUP($B51,[9]TrtCodes!$B$11:M70,6)</f>
        <v>1</v>
      </c>
      <c r="H51" s="1">
        <f>VLOOKUP($B51,[9]TrtCodes!$B$11:N70,7)</f>
        <v>1</v>
      </c>
      <c r="I51" s="1">
        <f>[9]FormattedData!B27</f>
        <v>2</v>
      </c>
      <c r="J51" s="4">
        <f>[9]FormattedData!C27</f>
        <v>12.957000000000001</v>
      </c>
      <c r="K51" s="6">
        <f>$J$3+[9]FormattedData!D27*$J$4+$M$4*$J$5+[9]FormattedData!D27^2*$J$6+$M$5*$J$7</f>
        <v>32.168379248744444</v>
      </c>
      <c r="L51" s="6">
        <f>$J$3+[9]FormattedData!E27*$J$4+$M$4*$J$5+[9]FormattedData!E27^2*$J$6+$M$5*$J$7</f>
        <v>30.815056864317924</v>
      </c>
      <c r="M51" s="6">
        <f>$J$3+[9]FormattedData!F27*$J$4+$M$4*$J$5+[9]FormattedData!F27^2*$J$6+$M$5*$J$7</f>
        <v>31.105751948999465</v>
      </c>
      <c r="N51" s="6">
        <f>$J$3+[9]FormattedData!G27*$J$4+$M$4*$J$5+[9]FormattedData!G27^2*$J$6+$M$5*$J$7</f>
        <v>32.841933703419762</v>
      </c>
      <c r="O51" s="6">
        <f>$J$3+[9]FormattedData!H27*$J$4+$M$4*$J$5+[9]FormattedData!H27^2*$J$6+$M$5*$J$7</f>
        <v>31.105751948999465</v>
      </c>
      <c r="P51" s="6">
        <f>$J$3+[9]FormattedData!I27*$J$4+$M$4*$J$5+[9]FormattedData!I27^2*$J$6+$M$5*$J$7</f>
        <v>31.299337329430841</v>
      </c>
      <c r="Q51" s="6">
        <f>$J$3+[9]FormattedData!J27*$J$4+$M$4*$J$5+[9]FormattedData!J27^2*$J$6+$M$5*$J$7</f>
        <v>31.202565773484125</v>
      </c>
      <c r="R51" s="6">
        <f>$J$3+[9]FormattedData!K27*$J$4+$M$4*$J$5+[9]FormattedData!K27^2*$J$6+$M$5*$J$7</f>
        <v>30.038010156164827</v>
      </c>
      <c r="S51" s="6">
        <f>$J$3+[9]FormattedData!L27*$J$4+$M$4*$J$5+[9]FormattedData!L27^2*$J$6+$M$5*$J$7</f>
        <v>30.621048798507235</v>
      </c>
      <c r="T51" s="6">
        <f>$J$3+[9]FormattedData!M27*$J$4+$M$4*$J$5+[9]FormattedData!M27^2*$J$6+$M$5*$J$7</f>
        <v>31.686000867838423</v>
      </c>
      <c r="U51" s="6">
        <f>$J$3+[9]FormattedData!N27*$J$4+$M$4*$J$5+[9]FormattedData!N27^2*$J$6+$M$5*$J$7</f>
        <v>31.202565773484125</v>
      </c>
      <c r="V51" s="6">
        <f>$J$3+[9]FormattedData!O27*$J$4+$M$4*$J$5+[9]FormattedData!O27^2*$J$6+$M$5*$J$7</f>
        <v>27.493925660901709</v>
      </c>
      <c r="W51" s="5">
        <f t="shared" si="9"/>
        <v>30.965027339524358</v>
      </c>
      <c r="X51" s="4">
        <f t="shared" si="10"/>
        <v>0.37742724828235041</v>
      </c>
      <c r="Y51" s="3">
        <f t="shared" si="11"/>
        <v>27.493925660901709</v>
      </c>
      <c r="Z51" s="2">
        <f t="shared" si="12"/>
        <v>30.766554847865251</v>
      </c>
      <c r="AA51" s="3">
        <f t="shared" si="13"/>
        <v>31.154158861241797</v>
      </c>
      <c r="AB51" s="2">
        <f t="shared" si="14"/>
        <v>31.396003214032739</v>
      </c>
      <c r="AC51" s="2">
        <f t="shared" si="15"/>
        <v>32.841933703419762</v>
      </c>
      <c r="AD51" s="2">
        <f t="shared" si="16"/>
        <v>-1.6529081403797414</v>
      </c>
      <c r="AE51" s="2">
        <f t="shared" si="17"/>
        <v>4.633414079306581</v>
      </c>
    </row>
    <row r="52" spans="2:31" x14ac:dyDescent="0.2">
      <c r="B52" s="1">
        <f>[9]FormattedData!A25</f>
        <v>103</v>
      </c>
      <c r="C52" s="1" t="str">
        <f>VLOOKUP($B52,[9]TrtCodes!$B$11:I68,2)</f>
        <v>FDH</v>
      </c>
      <c r="D52" s="1">
        <f>VLOOKUP($B52,[9]TrtCodes!$B$11:J68,3)</f>
        <v>5</v>
      </c>
      <c r="E52" s="1">
        <f>VLOOKUP($B52,[9]TrtCodes!$B$11:K68,4)</f>
        <v>1</v>
      </c>
      <c r="F52" s="1">
        <f>VLOOKUP($B52,[9]TrtCodes!$B$11:L68,5)</f>
        <v>3</v>
      </c>
      <c r="G52" s="1">
        <f>VLOOKUP($B52,[9]TrtCodes!$B$11:M68,6)</f>
        <v>2</v>
      </c>
      <c r="H52" s="1">
        <f>VLOOKUP($B52,[9]TrtCodes!$B$11:N68,7)</f>
        <v>1</v>
      </c>
      <c r="I52" s="1">
        <f>[9]FormattedData!B25</f>
        <v>2</v>
      </c>
      <c r="J52" s="4">
        <f>[9]FormattedData!C25</f>
        <v>12.943</v>
      </c>
      <c r="K52" s="6">
        <f>$J$3+[9]FormattedData!D25*$J$4+$M$4*$J$5+[9]FormattedData!D25^2*$J$6+$M$5*$J$7</f>
        <v>30.13528893456672</v>
      </c>
      <c r="L52" s="6">
        <f>$J$3+[9]FormattedData!E25*$J$4+$M$4*$J$5+[9]FormattedData!E25^2*$J$6+$M$5*$J$7</f>
        <v>28.769539599988448</v>
      </c>
      <c r="M52" s="6">
        <f>$J$3+[9]FormattedData!F25*$J$4+$M$4*$J$5+[9]FormattedData!F25^2*$J$6+$M$5*$J$7</f>
        <v>28.279764224944479</v>
      </c>
      <c r="N52" s="6">
        <f>$J$3+[9]FormattedData!G25*$J$4+$M$4*$J$5+[9]FormattedData!G25^2*$J$6+$M$5*$J$7</f>
        <v>27.39550563197567</v>
      </c>
      <c r="O52" s="6">
        <f>$J$3+[9]FormattedData!H25*$J$4+$M$4*$J$5+[9]FormattedData!H25^2*$J$6+$M$5*$J$7</f>
        <v>28.573756255584655</v>
      </c>
      <c r="P52" s="6">
        <f>$J$3+[9]FormattedData!I25*$J$4+$M$4*$J$5+[9]FormattedData!I25^2*$J$6+$M$5*$J$7</f>
        <v>29.745920209731555</v>
      </c>
      <c r="Q52" s="6">
        <f>$J$3+[9]FormattedData!J25*$J$4+$M$4*$J$5+[9]FormattedData!J25^2*$J$6+$M$5*$J$7</f>
        <v>28.96515387024052</v>
      </c>
      <c r="R52" s="6">
        <f>$J$3+[9]FormattedData!K25*$J$4+$M$4*$J$5+[9]FormattedData!K25^2*$J$6+$M$5*$J$7</f>
        <v>27.985391777462926</v>
      </c>
      <c r="S52" s="6">
        <f>$J$3+[9]FormattedData!L25*$J$4+$M$4*$J$5+[9]FormattedData!L25^2*$J$6+$M$5*$J$7</f>
        <v>29.355875188289485</v>
      </c>
      <c r="T52" s="6">
        <f>$J$3+[9]FormattedData!M25*$J$4+$M$4*$J$5+[9]FormattedData!M25^2*$J$6+$M$5*$J$7</f>
        <v>29.453449846456898</v>
      </c>
      <c r="U52" s="6">
        <f>$J$3+[9]FormattedData!N25*$J$4+$M$4*$J$5+[9]FormattedData!N25^2*$J$6+$M$5*$J$7</f>
        <v>30.42687165854483</v>
      </c>
      <c r="V52" s="6">
        <f>$J$3+[9]FormattedData!O25*$J$4+$M$4*$J$5+[9]FormattedData!O25^2*$J$6+$M$5*$J$7</f>
        <v>29.062897602559659</v>
      </c>
      <c r="W52" s="5">
        <f t="shared" si="9"/>
        <v>29.012451233362157</v>
      </c>
      <c r="X52" s="4">
        <f t="shared" si="10"/>
        <v>0.25486451910865576</v>
      </c>
      <c r="Y52" s="3">
        <f t="shared" si="11"/>
        <v>27.39550563197567</v>
      </c>
      <c r="Z52" s="2">
        <f t="shared" si="12"/>
        <v>28.500258247924613</v>
      </c>
      <c r="AA52" s="3">
        <f t="shared" si="13"/>
        <v>29.01402573640009</v>
      </c>
      <c r="AB52" s="2">
        <f t="shared" si="14"/>
        <v>29.526567437275563</v>
      </c>
      <c r="AC52" s="2">
        <f t="shared" si="15"/>
        <v>30.42687165854483</v>
      </c>
      <c r="AD52" s="2">
        <f t="shared" si="16"/>
        <v>-0.16435957645122085</v>
      </c>
      <c r="AE52" s="2">
        <f t="shared" si="17"/>
        <v>-0.34791025193366121</v>
      </c>
    </row>
    <row r="53" spans="2:31" x14ac:dyDescent="0.2">
      <c r="B53" s="1">
        <f>[9]FormattedData!A23</f>
        <v>104</v>
      </c>
      <c r="C53" s="1" t="str">
        <f>VLOOKUP($B53,[9]TrtCodes!$B$11:I66,2)</f>
        <v>NTL</v>
      </c>
      <c r="D53" s="1">
        <f>VLOOKUP($B53,[9]TrtCodes!$B$11:J66,3)</f>
        <v>10</v>
      </c>
      <c r="E53" s="1">
        <f>VLOOKUP($B53,[9]TrtCodes!$B$11:K66,4)</f>
        <v>2</v>
      </c>
      <c r="F53" s="1">
        <f>VLOOKUP($B53,[9]TrtCodes!$B$11:L66,5)</f>
        <v>2</v>
      </c>
      <c r="G53" s="1">
        <f>VLOOKUP($B53,[9]TrtCodes!$B$11:M66,6)</f>
        <v>1</v>
      </c>
      <c r="H53" s="1">
        <f>VLOOKUP($B53,[9]TrtCodes!$B$11:N66,7)</f>
        <v>1</v>
      </c>
      <c r="I53" s="1">
        <f>[9]FormattedData!B23</f>
        <v>2</v>
      </c>
      <c r="J53" s="4">
        <f>[9]FormattedData!C23</f>
        <v>12.928000000000001</v>
      </c>
      <c r="K53" s="6">
        <f>$J$3+[9]FormattedData!D23*$J$4+$M$4*$J$5+[9]FormattedData!D23^2*$J$6+$M$5*$J$7</f>
        <v>31.879079025814626</v>
      </c>
      <c r="L53" s="6">
        <f>$J$3+[9]FormattedData!E23*$J$4+$M$4*$J$5+[9]FormattedData!E23^2*$J$6+$M$5*$J$7</f>
        <v>33.225892055399747</v>
      </c>
      <c r="M53" s="6">
        <f>$J$3+[9]FormattedData!F23*$J$4+$M$4*$J$5+[9]FormattedData!F23^2*$J$6+$M$5*$J$7</f>
        <v>32.071988109639101</v>
      </c>
      <c r="N53" s="6">
        <f>$J$3+[9]FormattedData!G23*$J$4+$M$4*$J$5+[9]FormattedData!G23^2*$J$6+$M$5*$J$7</f>
        <v>31.299337329430841</v>
      </c>
      <c r="O53" s="6">
        <f>$J$3+[9]FormattedData!H23*$J$4+$M$4*$J$5+[9]FormattedData!H23^2*$J$6+$M$5*$J$7</f>
        <v>31.008895855976885</v>
      </c>
      <c r="P53" s="6">
        <f>$J$3+[9]FormattedData!I23*$J$4+$M$4*$J$5+[9]FormattedData!I23^2*$J$6+$M$5*$J$7</f>
        <v>30.911997494416372</v>
      </c>
      <c r="Q53" s="6">
        <f>$J$3+[9]FormattedData!J23*$J$4+$M$4*$J$5+[9]FormattedData!J23^2*$J$6+$M$5*$J$7</f>
        <v>30.523981362794999</v>
      </c>
      <c r="R53" s="6">
        <f>$J$3+[9]FormattedData!K23*$J$4+$M$4*$J$5+[9]FormattedData!K23^2*$J$6+$M$5*$J$7</f>
        <v>28.769539599988448</v>
      </c>
      <c r="S53" s="6">
        <f>$J$3+[9]FormattedData!L23*$J$4+$M$4*$J$5+[9]FormattedData!L23^2*$J$6+$M$5*$J$7</f>
        <v>29.453449846456898</v>
      </c>
      <c r="T53" s="6">
        <f>$J$3+[9]FormattedData!M23*$J$4+$M$4*$J$5+[9]FormattedData!M23^2*$J$6+$M$5*$J$7</f>
        <v>29.258258261584142</v>
      </c>
      <c r="U53" s="6">
        <f>$J$3+[9]FormattedData!N23*$J$4+$M$4*$J$5+[9]FormattedData!N23^2*$J$6+$M$5*$J$7</f>
        <v>31.008895855976885</v>
      </c>
      <c r="V53" s="6">
        <f>$J$3+[9]FormattedData!O23*$J$4+$M$4*$J$5+[9]FormattedData!O23^2*$J$6+$M$5*$J$7</f>
        <v>29.940689109225005</v>
      </c>
      <c r="W53" s="5">
        <f t="shared" si="9"/>
        <v>30.779333658891996</v>
      </c>
      <c r="X53" s="4">
        <f t="shared" si="10"/>
        <v>0.37069635931972161</v>
      </c>
      <c r="Y53" s="3">
        <f t="shared" si="11"/>
        <v>28.769539599988448</v>
      </c>
      <c r="Z53" s="2">
        <f t="shared" si="12"/>
        <v>29.81887929353298</v>
      </c>
      <c r="AA53" s="3">
        <f t="shared" si="13"/>
        <v>30.960446675196629</v>
      </c>
      <c r="AB53" s="2">
        <f t="shared" si="14"/>
        <v>31.444272753526789</v>
      </c>
      <c r="AC53" s="2">
        <f t="shared" si="15"/>
        <v>33.225892055399747</v>
      </c>
      <c r="AD53" s="2">
        <f t="shared" si="16"/>
        <v>0.1919933109908519</v>
      </c>
      <c r="AE53" s="2">
        <f t="shared" si="17"/>
        <v>-0.24224501904164875</v>
      </c>
    </row>
    <row r="54" spans="2:31" x14ac:dyDescent="0.2">
      <c r="B54" s="1">
        <f>[9]FormattedData!A21</f>
        <v>105</v>
      </c>
      <c r="C54" s="1" t="str">
        <f>VLOOKUP($B54,[9]TrtCodes!$B$11:I64,2)</f>
        <v>NDL</v>
      </c>
      <c r="D54" s="1">
        <f>VLOOKUP($B54,[9]TrtCodes!$B$11:J64,3)</f>
        <v>12</v>
      </c>
      <c r="E54" s="1">
        <f>VLOOKUP($B54,[9]TrtCodes!$B$11:K64,4)</f>
        <v>2</v>
      </c>
      <c r="F54" s="1">
        <f>VLOOKUP($B54,[9]TrtCodes!$B$11:L64,5)</f>
        <v>3</v>
      </c>
      <c r="G54" s="1">
        <f>VLOOKUP($B54,[9]TrtCodes!$B$11:M64,6)</f>
        <v>1</v>
      </c>
      <c r="H54" s="1">
        <f>VLOOKUP($B54,[9]TrtCodes!$B$11:N64,7)</f>
        <v>2</v>
      </c>
      <c r="I54" s="1">
        <f>[9]FormattedData!B21</f>
        <v>2</v>
      </c>
      <c r="J54" s="4">
        <f>[9]FormattedData!C21</f>
        <v>12.914</v>
      </c>
      <c r="K54" s="6">
        <f>$J$3+[9]FormattedData!D21*$J$4+$M$4*$J$5+[9]FormattedData!D21^2*$J$6+$M$5*$J$7</f>
        <v>31.589398386043428</v>
      </c>
      <c r="L54" s="6">
        <f>$J$3+[9]FormattedData!E21*$J$4+$M$4*$J$5+[9]FormattedData!E21^2*$J$6+$M$5*$J$7</f>
        <v>31.39606661683964</v>
      </c>
      <c r="M54" s="6">
        <f>$J$3+[9]FormattedData!F21*$J$4+$M$4*$J$5+[9]FormattedData!F21^2*$J$6+$M$5*$J$7</f>
        <v>32.071988109639101</v>
      </c>
      <c r="N54" s="6">
        <f>$J$3+[9]FormattedData!G21*$J$4+$M$4*$J$5+[9]FormattedData!G21^2*$J$6+$M$5*$J$7</f>
        <v>33.321775972049913</v>
      </c>
      <c r="O54" s="6">
        <f>$J$3+[9]FormattedData!H21*$J$4+$M$4*$J$5+[9]FormattedData!H21^2*$J$6+$M$5*$J$7</f>
        <v>33.225892055399747</v>
      </c>
      <c r="P54" s="6">
        <f>$J$3+[9]FormattedData!I21*$J$4+$M$4*$J$5+[9]FormattedData!I21^2*$J$6+$M$5*$J$7</f>
        <v>31.975554701995833</v>
      </c>
      <c r="Q54" s="6">
        <f>$J$3+[9]FormattedData!J21*$J$4+$M$4*$J$5+[9]FormattedData!J21^2*$J$6+$M$5*$J$7</f>
        <v>30.038010156164827</v>
      </c>
      <c r="R54" s="6">
        <f>$J$3+[9]FormattedData!K21*$J$4+$M$4*$J$5+[9]FormattedData!K21^2*$J$6+$M$5*$J$7</f>
        <v>30.523981362794999</v>
      </c>
      <c r="S54" s="6">
        <f>$J$3+[9]FormattedData!L21*$J$4+$M$4*$J$5+[9]FormattedData!L21^2*$J$6+$M$5*$J$7</f>
        <v>31.202565773484125</v>
      </c>
      <c r="T54" s="6">
        <f>$J$3+[9]FormattedData!M21*$J$4+$M$4*$J$5+[9]FormattedData!M21^2*$J$6+$M$5*$J$7</f>
        <v>31.589398386043428</v>
      </c>
      <c r="U54" s="6">
        <f>$J$3+[9]FormattedData!N21*$J$4+$M$4*$J$5+[9]FormattedData!N21^2*$J$6+$M$5*$J$7</f>
        <v>30.718073965681548</v>
      </c>
      <c r="V54" s="6">
        <f>$J$3+[9]FormattedData!O21*$J$4+$M$4*$J$5+[9]FormattedData!O21^2*$J$6+$M$5*$J$7</f>
        <v>31.686000867838423</v>
      </c>
      <c r="W54" s="5">
        <f t="shared" si="9"/>
        <v>31.611558862831245</v>
      </c>
      <c r="X54" s="4">
        <f t="shared" si="10"/>
        <v>0.28274672696706654</v>
      </c>
      <c r="Y54" s="3">
        <f t="shared" si="11"/>
        <v>30.038010156164827</v>
      </c>
      <c r="Z54" s="2">
        <f t="shared" si="12"/>
        <v>31.081442821533479</v>
      </c>
      <c r="AA54" s="3">
        <f t="shared" si="13"/>
        <v>31.589398386043428</v>
      </c>
      <c r="AB54" s="2">
        <f t="shared" si="14"/>
        <v>31.999663053906652</v>
      </c>
      <c r="AC54" s="2">
        <f t="shared" si="15"/>
        <v>33.321775972049913</v>
      </c>
      <c r="AD54" s="2">
        <f t="shared" si="16"/>
        <v>0.39253806158895088</v>
      </c>
      <c r="AE54" s="2">
        <f t="shared" si="17"/>
        <v>8.3553201586399339E-3</v>
      </c>
    </row>
    <row r="55" spans="2:31" x14ac:dyDescent="0.2">
      <c r="B55" s="1">
        <f>[9]FormattedData!A19</f>
        <v>106</v>
      </c>
      <c r="C55" s="1" t="str">
        <f>VLOOKUP($B55,[9]TrtCodes!$B$11:I62,2)</f>
        <v>NTH</v>
      </c>
      <c r="D55" s="1">
        <f>VLOOKUP($B55,[9]TrtCodes!$B$11:J62,3)</f>
        <v>9</v>
      </c>
      <c r="E55" s="1">
        <f>VLOOKUP($B55,[9]TrtCodes!$B$11:K62,4)</f>
        <v>2</v>
      </c>
      <c r="F55" s="1">
        <f>VLOOKUP($B55,[9]TrtCodes!$B$11:L62,5)</f>
        <v>2</v>
      </c>
      <c r="G55" s="1">
        <f>VLOOKUP($B55,[9]TrtCodes!$B$11:M62,6)</f>
        <v>2</v>
      </c>
      <c r="H55" s="1">
        <f>VLOOKUP($B55,[9]TrtCodes!$B$11:N62,7)</f>
        <v>2</v>
      </c>
      <c r="I55" s="1">
        <f>[9]FormattedData!B19</f>
        <v>2</v>
      </c>
      <c r="J55" s="4">
        <f>[9]FormattedData!C19</f>
        <v>12.898999999999999</v>
      </c>
      <c r="K55" s="6">
        <f>$J$3+[9]FormattedData!D19*$J$4+$M$4*$J$5+[9]FormattedData!D19^2*$J$6+$M$5*$J$7</f>
        <v>30.911997494416372</v>
      </c>
      <c r="L55" s="6">
        <f>$J$3+[9]FormattedData!E19*$J$4+$M$4*$J$5+[9]FormattedData!E19^2*$J$6+$M$5*$J$7</f>
        <v>31.299337329430841</v>
      </c>
      <c r="M55" s="6">
        <f>$J$3+[9]FormattedData!F19*$J$4+$M$4*$J$5+[9]FormattedData!F19^2*$J$6+$M$5*$J$7</f>
        <v>30.329719685756722</v>
      </c>
      <c r="N55" s="6">
        <f>$J$3+[9]FormattedData!G19*$J$4+$M$4*$J$5+[9]FormattedData!G19^2*$J$6+$M$5*$J$7</f>
        <v>31.202565773484125</v>
      </c>
      <c r="O55" s="6">
        <f>$J$3+[9]FormattedData!H19*$J$4+$M$4*$J$5+[9]FormattedData!H19^2*$J$6+$M$5*$J$7</f>
        <v>33.129965870211649</v>
      </c>
      <c r="P55" s="6">
        <f>$J$3+[9]FormattedData!I19*$J$4+$M$4*$J$5+[9]FormattedData!I19^2*$J$6+$M$5*$J$7</f>
        <v>31.782561081095487</v>
      </c>
      <c r="Q55" s="6">
        <f>$J$3+[9]FormattedData!J19*$J$4+$M$4*$J$5+[9]FormattedData!J19^2*$J$6+$M$5*$J$7</f>
        <v>32.361034721341333</v>
      </c>
      <c r="R55" s="6">
        <f>$J$3+[9]FormattedData!K19*$J$4+$M$4*$J$5+[9]FormattedData!K19^2*$J$6+$M$5*$J$7</f>
        <v>31.686000867838423</v>
      </c>
      <c r="S55" s="6">
        <f>$J$3+[9]FormattedData!L19*$J$4+$M$4*$J$5+[9]FormattedData!L19^2*$J$6+$M$5*$J$7</f>
        <v>32.168379248744444</v>
      </c>
      <c r="T55" s="6">
        <f>$J$3+[9]FormattedData!M19*$J$4+$M$4*$J$5+[9]FormattedData!M19^2*$J$6+$M$5*$J$7</f>
        <v>31.492753635710496</v>
      </c>
      <c r="U55" s="6">
        <f>$J$3+[9]FormattedData!N19*$J$4+$M$4*$J$5+[9]FormattedData!N19^2*$J$6+$M$5*$J$7</f>
        <v>32.457299054832887</v>
      </c>
      <c r="V55" s="6">
        <f>$J$3+[9]FormattedData!O19*$J$4+$M$4*$J$5+[9]FormattedData!O19^2*$J$6+$M$5*$J$7</f>
        <v>31.686000867838423</v>
      </c>
      <c r="W55" s="5">
        <f t="shared" si="9"/>
        <v>31.708967969225096</v>
      </c>
      <c r="X55" s="4">
        <f t="shared" si="10"/>
        <v>0.21725616758970515</v>
      </c>
      <c r="Y55" s="3">
        <f t="shared" si="11"/>
        <v>30.329719685756722</v>
      </c>
      <c r="Z55" s="2">
        <f t="shared" si="12"/>
        <v>31.275144440444162</v>
      </c>
      <c r="AA55" s="3">
        <f t="shared" si="13"/>
        <v>31.686000867838423</v>
      </c>
      <c r="AB55" s="2">
        <f t="shared" si="14"/>
        <v>32.216543116893668</v>
      </c>
      <c r="AC55" s="2">
        <f t="shared" si="15"/>
        <v>33.129965870211649</v>
      </c>
      <c r="AD55" s="2">
        <f t="shared" si="16"/>
        <v>8.2992274012659628E-2</v>
      </c>
      <c r="AE55" s="2">
        <f t="shared" si="17"/>
        <v>0.25693074591616849</v>
      </c>
    </row>
    <row r="56" spans="2:31" x14ac:dyDescent="0.2">
      <c r="B56" s="1">
        <f>[9]FormattedData!A17</f>
        <v>107</v>
      </c>
      <c r="C56" s="1" t="str">
        <f>VLOOKUP($B56,[9]TrtCodes!$B$11:I60,2)</f>
        <v>NTL</v>
      </c>
      <c r="D56" s="1">
        <f>VLOOKUP($B56,[9]TrtCodes!$B$11:J60,3)</f>
        <v>10</v>
      </c>
      <c r="E56" s="1">
        <f>VLOOKUP($B56,[9]TrtCodes!$B$11:K60,4)</f>
        <v>2</v>
      </c>
      <c r="F56" s="1">
        <f>VLOOKUP($B56,[9]TrtCodes!$B$11:L60,5)</f>
        <v>2</v>
      </c>
      <c r="G56" s="1">
        <f>VLOOKUP($B56,[9]TrtCodes!$B$11:M60,6)</f>
        <v>1</v>
      </c>
      <c r="H56" s="1">
        <f>VLOOKUP($B56,[9]TrtCodes!$B$11:N60,7)</f>
        <v>2</v>
      </c>
      <c r="I56" s="1">
        <f>[9]FormattedData!B17</f>
        <v>2</v>
      </c>
      <c r="J56" s="4">
        <f>[9]FormattedData!C17</f>
        <v>12.884</v>
      </c>
      <c r="K56" s="6">
        <f>$J$3+[9]FormattedData!D17*$J$4+$M$4*$J$5+[9]FormattedData!D17^2*$J$6+$M$5*$J$7</f>
        <v>31.589398386043428</v>
      </c>
      <c r="L56" s="6">
        <f>$J$3+[9]FormattedData!E17*$J$4+$M$4*$J$5+[9]FormattedData!E17^2*$J$6+$M$5*$J$7</f>
        <v>31.008895855976885</v>
      </c>
      <c r="M56" s="6">
        <f>$J$3+[9]FormattedData!F17*$J$4+$M$4*$J$5+[9]FormattedData!F17^2*$J$6+$M$5*$J$7</f>
        <v>30.232525444430692</v>
      </c>
      <c r="N56" s="6">
        <f>$J$3+[9]FormattedData!G17*$J$4+$M$4*$J$5+[9]FormattedData!G17^2*$J$6+$M$5*$J$7</f>
        <v>29.355875188289485</v>
      </c>
      <c r="O56" s="6">
        <f>$J$3+[9]FormattedData!H17*$J$4+$M$4*$J$5+[9]FormattedData!H17^2*$J$6+$M$5*$J$7</f>
        <v>31.008895855976885</v>
      </c>
      <c r="P56" s="6">
        <f>$J$3+[9]FormattedData!I17*$J$4+$M$4*$J$5+[9]FormattedData!I17^2*$J$6+$M$5*$J$7</f>
        <v>30.038010156164827</v>
      </c>
      <c r="Q56" s="6">
        <f>$J$3+[9]FormattedData!J17*$J$4+$M$4*$J$5+[9]FormattedData!J17^2*$J$6+$M$5*$J$7</f>
        <v>32.553521119786502</v>
      </c>
      <c r="R56" s="6">
        <f>$J$3+[9]FormattedData!K17*$J$4+$M$4*$J$5+[9]FormattedData!K17^2*$J$6+$M$5*$J$7</f>
        <v>30.038010156164827</v>
      </c>
      <c r="S56" s="6">
        <f>$J$3+[9]FormattedData!L17*$J$4+$M$4*$J$5+[9]FormattedData!L17^2*$J$6+$M$5*$J$7</f>
        <v>31.299337329430841</v>
      </c>
      <c r="T56" s="6">
        <f>$J$3+[9]FormattedData!M17*$J$4+$M$4*$J$5+[9]FormattedData!M17^2*$J$6+$M$5*$J$7</f>
        <v>30.42687165854483</v>
      </c>
      <c r="U56" s="6">
        <f>$J$3+[9]FormattedData!N17*$J$4+$M$4*$J$5+[9]FormattedData!N17^2*$J$6+$M$5*$J$7</f>
        <v>31.686000867838423</v>
      </c>
      <c r="V56" s="6">
        <f>$J$3+[9]FormattedData!O17*$J$4+$M$4*$J$5+[9]FormattedData!O17^2*$J$6+$M$5*$J$7</f>
        <v>29.355875188289485</v>
      </c>
      <c r="W56" s="5">
        <f t="shared" si="9"/>
        <v>30.716101433911422</v>
      </c>
      <c r="X56" s="4">
        <f t="shared" si="10"/>
        <v>0.28242229929843943</v>
      </c>
      <c r="Y56" s="3">
        <f t="shared" si="11"/>
        <v>29.355875188289485</v>
      </c>
      <c r="Z56" s="2">
        <f t="shared" si="12"/>
        <v>30.038010156164827</v>
      </c>
      <c r="AA56" s="3">
        <f t="shared" si="13"/>
        <v>30.717883757260857</v>
      </c>
      <c r="AB56" s="2">
        <f t="shared" si="14"/>
        <v>31.371852593583988</v>
      </c>
      <c r="AC56" s="2">
        <f t="shared" si="15"/>
        <v>32.553521119786502</v>
      </c>
      <c r="AD56" s="2">
        <f t="shared" si="16"/>
        <v>0.26049654604599248</v>
      </c>
      <c r="AE56" s="2">
        <f t="shared" si="17"/>
        <v>-0.5372038138921611</v>
      </c>
    </row>
    <row r="57" spans="2:31" x14ac:dyDescent="0.2">
      <c r="B57" s="1">
        <f>[9]FormattedData!A15</f>
        <v>108</v>
      </c>
      <c r="C57" s="1" t="str">
        <f>VLOOKUP($B57,[9]TrtCodes!$B$11:I58,2)</f>
        <v>FTH</v>
      </c>
      <c r="D57" s="1">
        <f>VLOOKUP($B57,[9]TrtCodes!$B$11:J58,3)</f>
        <v>3</v>
      </c>
      <c r="E57" s="1">
        <f>VLOOKUP($B57,[9]TrtCodes!$B$11:K58,4)</f>
        <v>1</v>
      </c>
      <c r="F57" s="1">
        <f>VLOOKUP($B57,[9]TrtCodes!$B$11:L58,5)</f>
        <v>2</v>
      </c>
      <c r="G57" s="1">
        <f>VLOOKUP($B57,[9]TrtCodes!$B$11:M58,6)</f>
        <v>2</v>
      </c>
      <c r="H57" s="1">
        <f>VLOOKUP($B57,[9]TrtCodes!$B$11:N58,7)</f>
        <v>2</v>
      </c>
      <c r="I57" s="1">
        <f>[9]FormattedData!B15</f>
        <v>2</v>
      </c>
      <c r="J57" s="4">
        <f>[9]FormattedData!C15</f>
        <v>12.871</v>
      </c>
      <c r="K57" s="6">
        <f>$J$3+[9]FormattedData!D15*$J$4+$M$4*$J$5+[9]FormattedData!D15^2*$J$6+$M$5*$J$7</f>
        <v>29.160599066340865</v>
      </c>
      <c r="L57" s="6">
        <f>$J$3+[9]FormattedData!E15*$J$4+$M$4*$J$5+[9]FormattedData!E15^2*$J$6+$M$5*$J$7</f>
        <v>28.181682344321892</v>
      </c>
      <c r="M57" s="6">
        <f>$J$3+[9]FormattedData!F15*$J$4+$M$4*$J$5+[9]FormattedData!F15^2*$J$6+$M$5*$J$7</f>
        <v>31.105751948999465</v>
      </c>
      <c r="N57" s="6">
        <f>$J$3+[9]FormattedData!G15*$J$4+$M$4*$J$5+[9]FormattedData!G15^2*$J$6+$M$5*$J$7</f>
        <v>28.86736786938345</v>
      </c>
      <c r="O57" s="6">
        <f>$J$3+[9]FormattedData!H15*$J$4+$M$4*$J$5+[9]FormattedData!H15^2*$J$6+$M$5*$J$7</f>
        <v>29.160599066340865</v>
      </c>
      <c r="P57" s="6">
        <f>$J$3+[9]FormattedData!I15*$J$4+$M$4*$J$5+[9]FormattedData!I15^2*$J$6+$M$5*$J$7</f>
        <v>28.181682344321892</v>
      </c>
      <c r="Q57" s="6">
        <f>$J$3+[9]FormattedData!J15*$J$4+$M$4*$J$5+[9]FormattedData!J15^2*$J$6+$M$5*$J$7</f>
        <v>29.453449846456898</v>
      </c>
      <c r="R57" s="6">
        <f>$J$3+[9]FormattedData!K15*$J$4+$M$4*$J$5+[9]FormattedData!K15^2*$J$6+$M$5*$J$7</f>
        <v>27.887183091226543</v>
      </c>
      <c r="S57" s="6">
        <f>$J$3+[9]FormattedData!L15*$J$4+$M$4*$J$5+[9]FormattedData!L15^2*$J$6+$M$5*$J$7</f>
        <v>29.550982236086384</v>
      </c>
      <c r="T57" s="6">
        <f>$J$3+[9]FormattedData!M15*$J$4+$M$4*$J$5+[9]FormattedData!M15^2*$J$6+$M$5*$J$7</f>
        <v>27.985391777462926</v>
      </c>
      <c r="U57" s="6">
        <f>$J$3+[9]FormattedData!N15*$J$4+$M$4*$J$5+[9]FormattedData!N15^2*$J$6+$M$5*$J$7</f>
        <v>29.940689109225005</v>
      </c>
      <c r="V57" s="6">
        <f>$J$3+[9]FormattedData!O15*$J$4+$M$4*$J$5+[9]FormattedData!O15^2*$J$6+$M$5*$J$7</f>
        <v>29.745920209731555</v>
      </c>
      <c r="W57" s="5">
        <f t="shared" si="9"/>
        <v>29.101774909158141</v>
      </c>
      <c r="X57" s="4">
        <f t="shared" si="10"/>
        <v>0.27436758029606428</v>
      </c>
      <c r="Y57" s="3">
        <f t="shared" si="11"/>
        <v>27.887183091226543</v>
      </c>
      <c r="Z57" s="2">
        <f t="shared" si="12"/>
        <v>28.181682344321892</v>
      </c>
      <c r="AA57" s="3">
        <f t="shared" si="13"/>
        <v>29.160599066340865</v>
      </c>
      <c r="AB57" s="2">
        <f t="shared" si="14"/>
        <v>29.599716729497676</v>
      </c>
      <c r="AC57" s="2">
        <f t="shared" si="15"/>
        <v>31.105751948999465</v>
      </c>
      <c r="AD57" s="2">
        <f t="shared" si="16"/>
        <v>0.54461014539256514</v>
      </c>
      <c r="AE57" s="2">
        <f t="shared" si="17"/>
        <v>0.2183069076431563</v>
      </c>
    </row>
    <row r="58" spans="2:31" x14ac:dyDescent="0.2">
      <c r="B58" s="1">
        <f>[9]FormattedData!A31</f>
        <v>201</v>
      </c>
      <c r="C58" s="1" t="str">
        <f>VLOOKUP($B58,[9]TrtCodes!$B$11:I74,2)</f>
        <v>NDL</v>
      </c>
      <c r="D58" s="1">
        <f>VLOOKUP($B58,[9]TrtCodes!$B$11:J74,3)</f>
        <v>12</v>
      </c>
      <c r="E58" s="1">
        <f>VLOOKUP($B58,[9]TrtCodes!$B$11:K74,4)</f>
        <v>2</v>
      </c>
      <c r="F58" s="1">
        <f>VLOOKUP($B58,[9]TrtCodes!$B$11:L74,5)</f>
        <v>3</v>
      </c>
      <c r="G58" s="1">
        <f>VLOOKUP($B58,[9]TrtCodes!$B$11:M74,6)</f>
        <v>1</v>
      </c>
      <c r="H58" s="1">
        <f>VLOOKUP($B58,[9]TrtCodes!$B$11:N74,7)</f>
        <v>1</v>
      </c>
      <c r="I58" s="1">
        <f>[9]FormattedData!B31</f>
        <v>2</v>
      </c>
      <c r="J58" s="4">
        <f>[9]FormattedData!C31</f>
        <v>12.991</v>
      </c>
      <c r="K58" s="6">
        <f>$J$3+[9]FormattedData!D31*$J$4+$M$4*$J$5+[9]FormattedData!D31^2*$J$6+$M$5*$J$7</f>
        <v>27.493925660901709</v>
      </c>
      <c r="L58" s="6">
        <f>$J$3+[9]FormattedData!E31*$J$4+$M$4*$J$5+[9]FormattedData!E31^2*$J$6+$M$5*$J$7</f>
        <v>27.297043334511706</v>
      </c>
      <c r="M58" s="6">
        <f>$J$3+[9]FormattedData!F31*$J$4+$M$4*$J$5+[9]FormattedData!F31^2*$J$6+$M$5*$J$7</f>
        <v>29.550982236086384</v>
      </c>
      <c r="N58" s="6">
        <f>$J$3+[9]FormattedData!G31*$J$4+$M$4*$J$5+[9]FormattedData!G31^2*$J$6+$M$5*$J$7</f>
        <v>28.573756255584655</v>
      </c>
      <c r="O58" s="6">
        <f>$J$3+[9]FormattedData!H31*$J$4+$M$4*$J$5+[9]FormattedData!H31^2*$J$6+$M$5*$J$7</f>
        <v>29.062897602559659</v>
      </c>
      <c r="P58" s="6">
        <f>$J$3+[9]FormattedData!I31*$J$4+$M$4*$J$5+[9]FormattedData!I31^2*$J$6+$M$5*$J$7</f>
        <v>29.160599066340865</v>
      </c>
      <c r="Q58" s="6">
        <f>$J$3+[9]FormattedData!J31*$J$4+$M$4*$J$5+[9]FormattedData!J31^2*$J$6+$M$5*$J$7</f>
        <v>28.573756255584655</v>
      </c>
      <c r="R58" s="6">
        <f>$J$3+[9]FormattedData!K31*$J$4+$M$4*$J$5+[9]FormattedData!K31^2*$J$6+$M$5*$J$7</f>
        <v>28.96515387024052</v>
      </c>
      <c r="S58" s="6">
        <f>$J$3+[9]FormattedData!L31*$J$4+$M$4*$J$5+[9]FormattedData!L31^2*$J$6+$M$5*$J$7</f>
        <v>29.453449846456898</v>
      </c>
      <c r="T58" s="6">
        <f>$J$3+[9]FormattedData!M31*$J$4+$M$4*$J$5+[9]FormattedData!M31^2*$J$6+$M$5*$J$7</f>
        <v>27.788932136452232</v>
      </c>
      <c r="U58" s="6">
        <f>$J$3+[9]FormattedData!N31*$J$4+$M$4*$J$5+[9]FormattedData!N31^2*$J$6+$M$5*$J$7</f>
        <v>28.279764224944479</v>
      </c>
      <c r="V58" s="6">
        <f>$J$3+[9]FormattedData!O31*$J$4+$M$4*$J$5+[9]FormattedData!O31^2*$J$6+$M$5*$J$7</f>
        <v>30.13528893456672</v>
      </c>
      <c r="W58" s="5">
        <f t="shared" si="9"/>
        <v>28.694629118685871</v>
      </c>
      <c r="X58" s="4">
        <f t="shared" si="10"/>
        <v>0.24965337777609317</v>
      </c>
      <c r="Y58" s="3">
        <f t="shared" si="11"/>
        <v>27.297043334511706</v>
      </c>
      <c r="Z58" s="2">
        <f t="shared" si="12"/>
        <v>28.157056202821416</v>
      </c>
      <c r="AA58" s="3">
        <f t="shared" si="13"/>
        <v>28.769455062912588</v>
      </c>
      <c r="AB58" s="2">
        <f t="shared" si="14"/>
        <v>29.233811761369871</v>
      </c>
      <c r="AC58" s="2">
        <f t="shared" si="15"/>
        <v>30.13528893456672</v>
      </c>
      <c r="AD58" s="2">
        <f t="shared" si="16"/>
        <v>-0.17756100075145506</v>
      </c>
      <c r="AE58" s="2">
        <f t="shared" si="17"/>
        <v>-0.696812813645042</v>
      </c>
    </row>
    <row r="59" spans="2:31" x14ac:dyDescent="0.2">
      <c r="B59" s="1">
        <f>[9]FormattedData!A33</f>
        <v>202</v>
      </c>
      <c r="C59" s="1" t="str">
        <f>VLOOKUP($B59,[9]TrtCodes!$B$11:I76,2)</f>
        <v>NTH</v>
      </c>
      <c r="D59" s="1">
        <f>VLOOKUP($B59,[9]TrtCodes!$B$11:J76,3)</f>
        <v>9</v>
      </c>
      <c r="E59" s="1">
        <f>VLOOKUP($B59,[9]TrtCodes!$B$11:K76,4)</f>
        <v>2</v>
      </c>
      <c r="F59" s="1">
        <f>VLOOKUP($B59,[9]TrtCodes!$B$11:L76,5)</f>
        <v>2</v>
      </c>
      <c r="G59" s="1">
        <f>VLOOKUP($B59,[9]TrtCodes!$B$11:M76,6)</f>
        <v>2</v>
      </c>
      <c r="H59" s="1">
        <f>VLOOKUP($B59,[9]TrtCodes!$B$11:N76,7)</f>
        <v>1</v>
      </c>
      <c r="I59" s="1">
        <f>[9]FormattedData!B33</f>
        <v>2</v>
      </c>
      <c r="J59" s="4">
        <f>[9]FormattedData!C33</f>
        <v>13.005000000000001</v>
      </c>
      <c r="K59" s="6">
        <f>$J$3+[9]FormattedData!D33*$J$4+$M$4*$J$5+[9]FormattedData!D33^2*$J$6+$M$5*$J$7</f>
        <v>28.671669062055518</v>
      </c>
      <c r="L59" s="6">
        <f>$J$3+[9]FormattedData!E33*$J$4+$M$4*$J$5+[9]FormattedData!E33^2*$J$6+$M$5*$J$7</f>
        <v>28.475801180575864</v>
      </c>
      <c r="M59" s="6">
        <f>$J$3+[9]FormattedData!F33*$J$4+$M$4*$J$5+[9]FormattedData!F33^2*$J$6+$M$5*$J$7</f>
        <v>27.788932136452232</v>
      </c>
      <c r="N59" s="6">
        <f>$J$3+[9]FormattedData!G33*$J$4+$M$4*$J$5+[9]FormattedData!G33^2*$J$6+$M$5*$J$7</f>
        <v>28.769539599988448</v>
      </c>
      <c r="O59" s="6">
        <f>$J$3+[9]FormattedData!H33*$J$4+$M$4*$J$5+[9]FormattedData!H33^2*$J$6+$M$5*$J$7</f>
        <v>27.198538768509806</v>
      </c>
      <c r="P59" s="6">
        <f>$J$3+[9]FormattedData!I33*$J$4+$M$4*$J$5+[9]FormattedData!I33^2*$J$6+$M$5*$J$7</f>
        <v>26.804097819122902</v>
      </c>
      <c r="Q59" s="6">
        <f>$J$3+[9]FormattedData!J33*$J$4+$M$4*$J$5+[9]FormattedData!J33^2*$J$6+$M$5*$J$7</f>
        <v>27.493925660901709</v>
      </c>
      <c r="R59" s="6">
        <f>$J$3+[9]FormattedData!K33*$J$4+$M$4*$J$5+[9]FormattedData!K33^2*$J$6+$M$5*$J$7</f>
        <v>29.062897602559659</v>
      </c>
      <c r="S59" s="6">
        <f>$J$3+[9]FormattedData!L33*$J$4+$M$4*$J$5+[9]FormattedData!L33^2*$J$6+$M$5*$J$7</f>
        <v>28.671669062055518</v>
      </c>
      <c r="T59" s="6">
        <f>$J$3+[9]FormattedData!M33*$J$4+$M$4*$J$5+[9]FormattedData!M33^2*$J$6+$M$5*$J$7</f>
        <v>28.181682344321892</v>
      </c>
      <c r="U59" s="6">
        <f>$J$3+[9]FormattedData!N33*$J$4+$M$4*$J$5+[9]FormattedData!N33^2*$J$6+$M$5*$J$7</f>
        <v>26.606623733201861</v>
      </c>
      <c r="V59" s="6">
        <f>$J$3+[9]FormattedData!O33*$J$4+$M$4*$J$5+[9]FormattedData!O33^2*$J$6+$M$5*$J$7</f>
        <v>28.181682344321892</v>
      </c>
      <c r="W59" s="5">
        <f t="shared" si="9"/>
        <v>27.992254942838937</v>
      </c>
      <c r="X59" s="4">
        <f t="shared" si="10"/>
        <v>0.23404521514585636</v>
      </c>
      <c r="Y59" s="3">
        <f t="shared" si="11"/>
        <v>26.606623733201861</v>
      </c>
      <c r="Z59" s="2">
        <f t="shared" si="12"/>
        <v>27.420078937803734</v>
      </c>
      <c r="AA59" s="3">
        <f t="shared" si="13"/>
        <v>28.181682344321892</v>
      </c>
      <c r="AB59" s="2">
        <f t="shared" si="14"/>
        <v>28.671669062055518</v>
      </c>
      <c r="AC59" s="2">
        <f t="shared" si="15"/>
        <v>29.062897602559659</v>
      </c>
      <c r="AD59" s="2">
        <f t="shared" si="16"/>
        <v>-0.51566811354606645</v>
      </c>
      <c r="AE59" s="2">
        <f t="shared" si="17"/>
        <v>-1.0056939431039447</v>
      </c>
    </row>
    <row r="60" spans="2:31" x14ac:dyDescent="0.2">
      <c r="B60" s="1">
        <f>[9]FormattedData!A35</f>
        <v>203</v>
      </c>
      <c r="C60" s="1" t="str">
        <f>VLOOKUP($B60,[9]TrtCodes!$B$11:I78,2)</f>
        <v>FTH</v>
      </c>
      <c r="D60" s="1">
        <f>VLOOKUP($B60,[9]TrtCodes!$B$11:J78,3)</f>
        <v>3</v>
      </c>
      <c r="E60" s="1">
        <f>VLOOKUP($B60,[9]TrtCodes!$B$11:K78,4)</f>
        <v>1</v>
      </c>
      <c r="F60" s="1">
        <f>VLOOKUP($B60,[9]TrtCodes!$B$11:L78,5)</f>
        <v>2</v>
      </c>
      <c r="G60" s="1">
        <f>VLOOKUP($B60,[9]TrtCodes!$B$11:M78,6)</f>
        <v>2</v>
      </c>
      <c r="H60" s="1">
        <f>VLOOKUP($B60,[9]TrtCodes!$B$11:N78,7)</f>
        <v>1</v>
      </c>
      <c r="I60" s="1">
        <f>[9]FormattedData!B35</f>
        <v>2</v>
      </c>
      <c r="J60" s="4">
        <f>[9]FormattedData!C35</f>
        <v>13.022</v>
      </c>
      <c r="K60" s="6">
        <f>$J$3+[9]FormattedData!D35*$J$4+$M$4*$J$5+[9]FormattedData!D35^2*$J$6+$M$5*$J$7</f>
        <v>28.475801180575864</v>
      </c>
      <c r="L60" s="6">
        <f>$J$3+[9]FormattedData!E35*$J$4+$M$4*$J$5+[9]FormattedData!E35^2*$J$6+$M$5*$J$7</f>
        <v>25.815036648000458</v>
      </c>
      <c r="M60" s="6">
        <f>$J$3+[9]FormattedData!F35*$J$4+$M$4*$J$5+[9]FormattedData!F35^2*$J$6+$M$5*$J$7</f>
        <v>26.606623733201861</v>
      </c>
      <c r="N60" s="6">
        <f>$J$3+[9]FormattedData!G35*$J$4+$M$4*$J$5+[9]FormattedData!G35^2*$J$6+$M$5*$J$7</f>
        <v>27.788932136452232</v>
      </c>
      <c r="O60" s="6">
        <f>$J$3+[9]FormattedData!H35*$J$4+$M$4*$J$5+[9]FormattedData!H35^2*$J$6+$M$5*$J$7</f>
        <v>27.592303421289817</v>
      </c>
      <c r="P60" s="6">
        <f>$J$3+[9]FormattedData!I35*$J$4+$M$4*$J$5+[9]FormattedData!I35^2*$J$6+$M$5*$J$7</f>
        <v>28.083558195161377</v>
      </c>
      <c r="Q60" s="6">
        <f>$J$3+[9]FormattedData!J35*$J$4+$M$4*$J$5+[9]FormattedData!J35^2*$J$6+$M$5*$J$7</f>
        <v>28.181682344321892</v>
      </c>
      <c r="R60" s="6">
        <f>$J$3+[9]FormattedData!K35*$J$4+$M$4*$J$5+[9]FormattedData!K35^2*$J$6+$M$5*$J$7</f>
        <v>26.804097819122902</v>
      </c>
      <c r="S60" s="6">
        <f>$J$3+[9]FormattedData!L35*$J$4+$M$4*$J$5+[9]FormattedData!L35^2*$J$6+$M$5*$J$7</f>
        <v>26.310095590285819</v>
      </c>
      <c r="T60" s="6">
        <f>$J$3+[9]FormattedData!M35*$J$4+$M$4*$J$5+[9]FormattedData!M35^2*$J$6+$M$5*$J$7</f>
        <v>27.887183091226543</v>
      </c>
      <c r="U60" s="6">
        <f>$J$3+[9]FormattedData!N35*$J$4+$M$4*$J$5+[9]FormattedData!N35^2*$J$6+$M$5*$J$7</f>
        <v>27.690638913139988</v>
      </c>
      <c r="V60" s="6">
        <f>$J$3+[9]FormattedData!O35*$J$4+$M$4*$J$5+[9]FormattedData!O35^2*$J$6+$M$5*$J$7</f>
        <v>27.985391777462926</v>
      </c>
      <c r="W60" s="5">
        <f t="shared" si="9"/>
        <v>27.435112070853474</v>
      </c>
      <c r="X60" s="4">
        <f t="shared" si="10"/>
        <v>0.24243289341421809</v>
      </c>
      <c r="Y60" s="3">
        <f t="shared" si="11"/>
        <v>25.815036648000458</v>
      </c>
      <c r="Z60" s="2">
        <f t="shared" si="12"/>
        <v>26.754729297642641</v>
      </c>
      <c r="AA60" s="3">
        <f t="shared" si="13"/>
        <v>27.739785524796112</v>
      </c>
      <c r="AB60" s="2">
        <f t="shared" si="14"/>
        <v>28.009933381887539</v>
      </c>
      <c r="AC60" s="2">
        <f t="shared" si="15"/>
        <v>28.475801180575864</v>
      </c>
      <c r="AD60" s="2">
        <f t="shared" si="16"/>
        <v>-0.80232078230289861</v>
      </c>
      <c r="AE60" s="2">
        <f t="shared" si="17"/>
        <v>-0.56939277465521254</v>
      </c>
    </row>
    <row r="61" spans="2:31" x14ac:dyDescent="0.2">
      <c r="B61" s="1">
        <f>[9]FormattedData!A37</f>
        <v>204</v>
      </c>
      <c r="C61" s="1" t="str">
        <f>VLOOKUP($B61,[9]TrtCodes!$B$11:I80,2)</f>
        <v>NDH</v>
      </c>
      <c r="D61" s="1">
        <f>VLOOKUP($B61,[9]TrtCodes!$B$11:J80,3)</f>
        <v>11</v>
      </c>
      <c r="E61" s="1">
        <f>VLOOKUP($B61,[9]TrtCodes!$B$11:K80,4)</f>
        <v>2</v>
      </c>
      <c r="F61" s="1">
        <f>VLOOKUP($B61,[9]TrtCodes!$B$11:L80,5)</f>
        <v>3</v>
      </c>
      <c r="G61" s="1">
        <f>VLOOKUP($B61,[9]TrtCodes!$B$11:M80,6)</f>
        <v>2</v>
      </c>
      <c r="H61" s="1">
        <f>VLOOKUP($B61,[9]TrtCodes!$B$11:N80,7)</f>
        <v>1</v>
      </c>
      <c r="I61" s="1">
        <f>[9]FormattedData!B37</f>
        <v>2</v>
      </c>
      <c r="J61" s="4">
        <f>[9]FormattedData!C37</f>
        <v>13.036</v>
      </c>
      <c r="K61" s="6">
        <f>$J$3+[9]FormattedData!D37*$J$4+$M$4*$J$5+[9]FormattedData!D37^2*$J$6+$M$5*$J$7</f>
        <v>28.475801180575864</v>
      </c>
      <c r="L61" s="6">
        <f>$J$3+[9]FormattedData!E37*$J$4+$M$4*$J$5+[9]FormattedData!E37^2*$J$6+$M$5*$J$7</f>
        <v>27.985391777462926</v>
      </c>
      <c r="M61" s="6">
        <f>$J$3+[9]FormattedData!F37*$J$4+$M$4*$J$5+[9]FormattedData!F37^2*$J$6+$M$5*$J$7</f>
        <v>27.592303421289817</v>
      </c>
      <c r="N61" s="6">
        <f>$J$3+[9]FormattedData!G37*$J$4+$M$4*$J$5+[9]FormattedData!G37^2*$J$6+$M$5*$J$7</f>
        <v>26.606623733201861</v>
      </c>
      <c r="O61" s="6">
        <f>$J$3+[9]FormattedData!H37*$J$4+$M$4*$J$5+[9]FormattedData!H37^2*$J$6+$M$5*$J$7</f>
        <v>28.671669062055518</v>
      </c>
      <c r="P61" s="6">
        <f>$J$3+[9]FormattedData!I37*$J$4+$M$4*$J$5+[9]FormattedData!I37^2*$J$6+$M$5*$J$7</f>
        <v>27.592303421289817</v>
      </c>
      <c r="Q61" s="6">
        <f>$J$3+[9]FormattedData!J37*$J$4+$M$4*$J$5+[9]FormattedData!J37^2*$J$6+$M$5*$J$7</f>
        <v>27.985391777462926</v>
      </c>
      <c r="R61" s="6">
        <f>$J$3+[9]FormattedData!K37*$J$4+$M$4*$J$5+[9]FormattedData!K37^2*$J$6+$M$5*$J$7</f>
        <v>27.198538768509806</v>
      </c>
      <c r="S61" s="6">
        <f>$J$3+[9]FormattedData!L37*$J$4+$M$4*$J$5+[9]FormattedData!L37^2*$J$6+$M$5*$J$7</f>
        <v>28.475801180575864</v>
      </c>
      <c r="T61" s="6">
        <f>$J$3+[9]FormattedData!M37*$J$4+$M$4*$J$5+[9]FormattedData!M37^2*$J$6+$M$5*$J$7</f>
        <v>29.258258261584142</v>
      </c>
      <c r="U61" s="6">
        <f>$J$3+[9]FormattedData!N37*$J$4+$M$4*$J$5+[9]FormattedData!N37^2*$J$6+$M$5*$J$7</f>
        <v>27.592303421289817</v>
      </c>
      <c r="V61" s="6">
        <f>$J$3+[9]FormattedData!O37*$J$4+$M$4*$J$5+[9]FormattedData!O37^2*$J$6+$M$5*$J$7</f>
        <v>27.690638913139988</v>
      </c>
      <c r="W61" s="5">
        <f t="shared" si="9"/>
        <v>27.927085409869864</v>
      </c>
      <c r="X61" s="4">
        <f t="shared" si="10"/>
        <v>0.20600725143394324</v>
      </c>
      <c r="Y61" s="3">
        <f t="shared" si="11"/>
        <v>26.606623733201861</v>
      </c>
      <c r="Z61" s="2">
        <f t="shared" si="12"/>
        <v>27.592303421289817</v>
      </c>
      <c r="AA61" s="3">
        <f t="shared" si="13"/>
        <v>27.838015345301457</v>
      </c>
      <c r="AB61" s="2">
        <f t="shared" si="14"/>
        <v>28.475801180575864</v>
      </c>
      <c r="AC61" s="2">
        <f t="shared" si="15"/>
        <v>29.258258261584142</v>
      </c>
      <c r="AD61" s="2">
        <f t="shared" si="16"/>
        <v>8.6336138919609506E-2</v>
      </c>
      <c r="AE61" s="2">
        <f t="shared" si="17"/>
        <v>0.21449878793342059</v>
      </c>
    </row>
    <row r="62" spans="2:31" x14ac:dyDescent="0.2">
      <c r="B62" s="1">
        <f>[9]FormattedData!A39</f>
        <v>205</v>
      </c>
      <c r="C62" s="1" t="str">
        <f>VLOOKUP($B62,[9]TrtCodes!$B$11:I82,2)</f>
        <v>FSH</v>
      </c>
      <c r="D62" s="1">
        <f>VLOOKUP($B62,[9]TrtCodes!$B$11:J82,3)</f>
        <v>1</v>
      </c>
      <c r="E62" s="1">
        <f>VLOOKUP($B62,[9]TrtCodes!$B$11:K82,4)</f>
        <v>1</v>
      </c>
      <c r="F62" s="1">
        <f>VLOOKUP($B62,[9]TrtCodes!$B$11:L82,5)</f>
        <v>1</v>
      </c>
      <c r="G62" s="1">
        <f>VLOOKUP($B62,[9]TrtCodes!$B$11:M82,6)</f>
        <v>2</v>
      </c>
      <c r="H62" s="1">
        <f>VLOOKUP($B62,[9]TrtCodes!$B$11:N82,7)</f>
        <v>2</v>
      </c>
      <c r="I62" s="1">
        <f>[9]FormattedData!B39</f>
        <v>2</v>
      </c>
      <c r="J62" s="4">
        <f>[9]FormattedData!C39</f>
        <v>13.05</v>
      </c>
      <c r="K62" s="6">
        <f>$J$3+[9]FormattedData!D39*$J$4+$M$4*$J$5+[9]FormattedData!D39^2*$J$6+$M$5*$J$7</f>
        <v>27.493925660901709</v>
      </c>
      <c r="L62" s="6">
        <f>$J$3+[9]FormattedData!E39*$J$4+$M$4*$J$5+[9]FormattedData!E39^2*$J$6+$M$5*$J$7</f>
        <v>27.592303421289817</v>
      </c>
      <c r="M62" s="6">
        <f>$J$3+[9]FormattedData!F39*$J$4+$M$4*$J$5+[9]FormattedData!F39^2*$J$6+$M$5*$J$7</f>
        <v>28.671669062055518</v>
      </c>
      <c r="N62" s="6">
        <f>$J$3+[9]FormattedData!G39*$J$4+$M$4*$J$5+[9]FormattedData!G39^2*$J$6+$M$5*$J$7</f>
        <v>27.985391777462926</v>
      </c>
      <c r="O62" s="6">
        <f>$J$3+[9]FormattedData!H39*$J$4+$M$4*$J$5+[9]FormattedData!H39^2*$J$6+$M$5*$J$7</f>
        <v>29.64847235717793</v>
      </c>
      <c r="P62" s="6">
        <f>$J$3+[9]FormattedData!I39*$J$4+$M$4*$J$5+[9]FormattedData!I39^2*$J$6+$M$5*$J$7</f>
        <v>29.84332579374724</v>
      </c>
      <c r="Q62" s="6">
        <f>$J$3+[9]FormattedData!J39*$J$4+$M$4*$J$5+[9]FormattedData!J39^2*$J$6+$M$5*$J$7</f>
        <v>28.86736786938345</v>
      </c>
      <c r="R62" s="6">
        <f>$J$3+[9]FormattedData!K39*$J$4+$M$4*$J$5+[9]FormattedData!K39^2*$J$6+$M$5*$J$7</f>
        <v>29.258258261584142</v>
      </c>
      <c r="S62" s="6">
        <f>$J$3+[9]FormattedData!L39*$J$4+$M$4*$J$5+[9]FormattedData!L39^2*$J$6+$M$5*$J$7</f>
        <v>29.258258261584142</v>
      </c>
      <c r="T62" s="6">
        <f>$J$3+[9]FormattedData!M39*$J$4+$M$4*$J$5+[9]FormattedData!M39^2*$J$6+$M$5*$J$7</f>
        <v>28.573756255584655</v>
      </c>
      <c r="U62" s="6">
        <f>$J$3+[9]FormattedData!N39*$J$4+$M$4*$J$5+[9]FormattedData!N39^2*$J$6+$M$5*$J$7</f>
        <v>29.64847235717793</v>
      </c>
      <c r="V62" s="6">
        <f>$J$3+[9]FormattedData!O39*$J$4+$M$4*$J$5+[9]FormattedData!O39^2*$J$6+$M$5*$J$7</f>
        <v>30.815056864317924</v>
      </c>
      <c r="W62" s="5">
        <f t="shared" si="9"/>
        <v>28.97135482852228</v>
      </c>
      <c r="X62" s="4">
        <f t="shared" si="10"/>
        <v>0.28279699264799546</v>
      </c>
      <c r="Y62" s="3">
        <f t="shared" si="11"/>
        <v>27.493925660901709</v>
      </c>
      <c r="Z62" s="2">
        <f t="shared" si="12"/>
        <v>28.426665136054222</v>
      </c>
      <c r="AA62" s="3">
        <f t="shared" si="13"/>
        <v>29.062813065483795</v>
      </c>
      <c r="AB62" s="2">
        <f t="shared" si="14"/>
        <v>29.64847235717793</v>
      </c>
      <c r="AC62" s="2">
        <f t="shared" si="15"/>
        <v>30.815056864317924</v>
      </c>
      <c r="AD62" s="2">
        <f t="shared" si="16"/>
        <v>8.1381361413175632E-2</v>
      </c>
      <c r="AE62" s="2">
        <f t="shared" si="17"/>
        <v>-0.28190619619830626</v>
      </c>
    </row>
    <row r="63" spans="2:31" x14ac:dyDescent="0.2">
      <c r="B63" s="1">
        <f>[9]FormattedData!A41</f>
        <v>206</v>
      </c>
      <c r="C63" s="1" t="str">
        <f>VLOOKUP($B63,[9]TrtCodes!$B$11:I84,2)</f>
        <v>NSL</v>
      </c>
      <c r="D63" s="1">
        <f>VLOOKUP($B63,[9]TrtCodes!$B$11:J84,3)</f>
        <v>8</v>
      </c>
      <c r="E63" s="1">
        <f>VLOOKUP($B63,[9]TrtCodes!$B$11:K84,4)</f>
        <v>2</v>
      </c>
      <c r="F63" s="1">
        <f>VLOOKUP($B63,[9]TrtCodes!$B$11:L84,5)</f>
        <v>1</v>
      </c>
      <c r="G63" s="1">
        <f>VLOOKUP($B63,[9]TrtCodes!$B$11:M84,6)</f>
        <v>1</v>
      </c>
      <c r="H63" s="1">
        <f>VLOOKUP($B63,[9]TrtCodes!$B$11:N84,7)</f>
        <v>2</v>
      </c>
      <c r="I63" s="1">
        <f>[9]FormattedData!B41</f>
        <v>2</v>
      </c>
      <c r="J63" s="4">
        <f>[9]FormattedData!C41</f>
        <v>13.065</v>
      </c>
      <c r="K63" s="6">
        <f>$J$3+[9]FormattedData!D41*$J$4+$M$4*$J$5+[9]FormattedData!D41^2*$J$6+$M$5*$J$7</f>
        <v>28.279764224944479</v>
      </c>
      <c r="L63" s="6">
        <f>$J$3+[9]FormattedData!E41*$J$4+$M$4*$J$5+[9]FormattedData!E41^2*$J$6+$M$5*$J$7</f>
        <v>29.550982236086384</v>
      </c>
      <c r="M63" s="6">
        <f>$J$3+[9]FormattedData!F41*$J$4+$M$4*$J$5+[9]FormattedData!F41^2*$J$6+$M$5*$J$7</f>
        <v>30.13528893456672</v>
      </c>
      <c r="N63" s="6">
        <f>$J$3+[9]FormattedData!G41*$J$4+$M$4*$J$5+[9]FormattedData!G41^2*$J$6+$M$5*$J$7</f>
        <v>30.232525444430692</v>
      </c>
      <c r="O63" s="6">
        <f>$J$3+[9]FormattedData!H41*$J$4+$M$4*$J$5+[9]FormattedData!H41^2*$J$6+$M$5*$J$7</f>
        <v>31.686000867838423</v>
      </c>
      <c r="P63" s="6">
        <f>$J$3+[9]FormattedData!I41*$J$4+$M$4*$J$5+[9]FormattedData!I41^2*$J$6+$M$5*$J$7</f>
        <v>29.84332579374724</v>
      </c>
      <c r="Q63" s="6">
        <f>$J$3+[9]FormattedData!J41*$J$4+$M$4*$J$5+[9]FormattedData!J41^2*$J$6+$M$5*$J$7</f>
        <v>30.329719685756722</v>
      </c>
      <c r="R63" s="6">
        <f>$J$3+[9]FormattedData!K41*$J$4+$M$4*$J$5+[9]FormattedData!K41^2*$J$6+$M$5*$J$7</f>
        <v>30.621048798507235</v>
      </c>
      <c r="S63" s="6">
        <f>$J$3+[9]FormattedData!L41*$J$4+$M$4*$J$5+[9]FormattedData!L41^2*$J$6+$M$5*$J$7</f>
        <v>31.492753635710496</v>
      </c>
      <c r="T63" s="6">
        <f>$J$3+[9]FormattedData!M41*$J$4+$M$4*$J$5+[9]FormattedData!M41^2*$J$6+$M$5*$J$7</f>
        <v>30.42687165854483</v>
      </c>
      <c r="U63" s="6">
        <f>$J$3+[9]FormattedData!N41*$J$4+$M$4*$J$5+[9]FormattedData!N41^2*$J$6+$M$5*$J$7</f>
        <v>30.42687165854483</v>
      </c>
      <c r="V63" s="6">
        <f>$J$3+[9]FormattedData!O41*$J$4+$M$4*$J$5+[9]FormattedData!O41^2*$J$6+$M$5*$J$7</f>
        <v>28.86736786938345</v>
      </c>
      <c r="W63" s="5">
        <f t="shared" si="9"/>
        <v>30.157710067338456</v>
      </c>
      <c r="X63" s="4">
        <f t="shared" si="10"/>
        <v>0.27759655525580107</v>
      </c>
      <c r="Y63" s="3">
        <f t="shared" si="11"/>
        <v>28.279764224944479</v>
      </c>
      <c r="Z63" s="2">
        <f t="shared" si="12"/>
        <v>29.770239904332026</v>
      </c>
      <c r="AA63" s="3">
        <f t="shared" si="13"/>
        <v>30.281122565093707</v>
      </c>
      <c r="AB63" s="2">
        <f t="shared" si="14"/>
        <v>30.475415943535431</v>
      </c>
      <c r="AC63" s="2">
        <f t="shared" si="15"/>
        <v>31.686000867838423</v>
      </c>
      <c r="AD63" s="2">
        <f t="shared" si="16"/>
        <v>-0.35978117146357574</v>
      </c>
      <c r="AE63" s="2">
        <f t="shared" si="17"/>
        <v>0.39751447105710991</v>
      </c>
    </row>
    <row r="64" spans="2:31" x14ac:dyDescent="0.2">
      <c r="B64" s="1">
        <f>[9]FormattedData!A43</f>
        <v>207</v>
      </c>
      <c r="C64" s="1" t="str">
        <f>VLOOKUP($B64,[9]TrtCodes!$B$11:I86,2)</f>
        <v>FTL</v>
      </c>
      <c r="D64" s="1">
        <f>VLOOKUP($B64,[9]TrtCodes!$B$11:J86,3)</f>
        <v>4</v>
      </c>
      <c r="E64" s="1">
        <f>VLOOKUP($B64,[9]TrtCodes!$B$11:K86,4)</f>
        <v>1</v>
      </c>
      <c r="F64" s="1">
        <f>VLOOKUP($B64,[9]TrtCodes!$B$11:L86,5)</f>
        <v>2</v>
      </c>
      <c r="G64" s="1">
        <f>VLOOKUP($B64,[9]TrtCodes!$B$11:M86,6)</f>
        <v>1</v>
      </c>
      <c r="H64" s="1">
        <f>VLOOKUP($B64,[9]TrtCodes!$B$11:N86,7)</f>
        <v>2</v>
      </c>
      <c r="I64" s="1">
        <f>[9]FormattedData!B43</f>
        <v>2</v>
      </c>
      <c r="J64" s="4">
        <f>[9]FormattedData!C43</f>
        <v>13.08</v>
      </c>
      <c r="K64" s="6">
        <f>$J$3+[9]FormattedData!D43*$J$4+$M$4*$J$5+[9]FormattedData!D43^2*$J$6+$M$5*$J$7</f>
        <v>29.355875188289485</v>
      </c>
      <c r="L64" s="6">
        <f>$J$3+[9]FormattedData!E43*$J$4+$M$4*$J$5+[9]FormattedData!E43^2*$J$6+$M$5*$J$7</f>
        <v>31.105751948999465</v>
      </c>
      <c r="M64" s="6">
        <f>$J$3+[9]FormattedData!F43*$J$4+$M$4*$J$5+[9]FormattedData!F43^2*$J$6+$M$5*$J$7</f>
        <v>30.815056864317924</v>
      </c>
      <c r="N64" s="6">
        <f>$J$3+[9]FormattedData!G43*$J$4+$M$4*$J$5+[9]FormattedData!G43^2*$J$6+$M$5*$J$7</f>
        <v>30.621048798507235</v>
      </c>
      <c r="O64" s="6">
        <f>$J$3+[9]FormattedData!H43*$J$4+$M$4*$J$5+[9]FormattedData!H43^2*$J$6+$M$5*$J$7</f>
        <v>30.815056864317924</v>
      </c>
      <c r="P64" s="6">
        <f>$J$3+[9]FormattedData!I43*$J$4+$M$4*$J$5+[9]FormattedData!I43^2*$J$6+$M$5*$J$7</f>
        <v>29.84332579374724</v>
      </c>
      <c r="Q64" s="6">
        <f>$J$3+[9]FormattedData!J43*$J$4+$M$4*$J$5+[9]FormattedData!J43^2*$J$6+$M$5*$J$7</f>
        <v>32.168379248744444</v>
      </c>
      <c r="R64" s="6">
        <f>$J$3+[9]FormattedData!K43*$J$4+$M$4*$J$5+[9]FormattedData!K43^2*$J$6+$M$5*$J$7</f>
        <v>27.887183091226543</v>
      </c>
      <c r="S64" s="6">
        <f>$J$3+[9]FormattedData!L43*$J$4+$M$4*$J$5+[9]FormattedData!L43^2*$J$6+$M$5*$J$7</f>
        <v>31.782561081095487</v>
      </c>
      <c r="T64" s="6">
        <f>$J$3+[9]FormattedData!M43*$J$4+$M$4*$J$5+[9]FormattedData!M43^2*$J$6+$M$5*$J$7</f>
        <v>29.940689109225005</v>
      </c>
      <c r="U64" s="6">
        <f>$J$3+[9]FormattedData!N43*$J$4+$M$4*$J$5+[9]FormattedData!N43^2*$J$6+$M$5*$J$7</f>
        <v>29.84332579374724</v>
      </c>
      <c r="V64" s="6">
        <f>$J$3+[9]FormattedData!O43*$J$4+$M$4*$J$5+[9]FormattedData!O43^2*$J$6+$M$5*$J$7</f>
        <v>29.453449846456898</v>
      </c>
      <c r="W64" s="5">
        <f t="shared" si="9"/>
        <v>30.302641969056239</v>
      </c>
      <c r="X64" s="4">
        <f t="shared" si="10"/>
        <v>0.33650984420931251</v>
      </c>
      <c r="Y64" s="3">
        <f t="shared" si="11"/>
        <v>27.887183091226543</v>
      </c>
      <c r="Z64" s="2">
        <f t="shared" si="12"/>
        <v>29.745856806924657</v>
      </c>
      <c r="AA64" s="3">
        <f t="shared" si="13"/>
        <v>30.280868953866118</v>
      </c>
      <c r="AB64" s="2">
        <f t="shared" si="14"/>
        <v>30.88773063548831</v>
      </c>
      <c r="AC64" s="2">
        <f t="shared" si="15"/>
        <v>32.168379248744444</v>
      </c>
      <c r="AD64" s="2">
        <f t="shared" si="16"/>
        <v>-0.36086593904838515</v>
      </c>
      <c r="AE64" s="2">
        <f t="shared" si="17"/>
        <v>0.48512120518181234</v>
      </c>
    </row>
    <row r="65" spans="2:31" x14ac:dyDescent="0.2">
      <c r="B65" s="1">
        <f>[9]FormattedData!A45</f>
        <v>208</v>
      </c>
      <c r="C65" s="1" t="str">
        <f>VLOOKUP($B65,[9]TrtCodes!$B$11:I88,2)</f>
        <v>FSL</v>
      </c>
      <c r="D65" s="1">
        <f>VLOOKUP($B65,[9]TrtCodes!$B$11:J88,3)</f>
        <v>2</v>
      </c>
      <c r="E65" s="1">
        <f>VLOOKUP($B65,[9]TrtCodes!$B$11:K88,4)</f>
        <v>1</v>
      </c>
      <c r="F65" s="1">
        <f>VLOOKUP($B65,[9]TrtCodes!$B$11:L88,5)</f>
        <v>1</v>
      </c>
      <c r="G65" s="1">
        <f>VLOOKUP($B65,[9]TrtCodes!$B$11:M88,6)</f>
        <v>1</v>
      </c>
      <c r="H65" s="1">
        <f>VLOOKUP($B65,[9]TrtCodes!$B$11:N88,7)</f>
        <v>2</v>
      </c>
      <c r="I65" s="1">
        <f>[9]FormattedData!B45</f>
        <v>2</v>
      </c>
      <c r="J65" s="4">
        <f>[9]FormattedData!C45</f>
        <v>13.093</v>
      </c>
      <c r="K65" s="6">
        <f>$J$3+[9]FormattedData!D45*$J$4+$M$4*$J$5+[9]FormattedData!D45^2*$J$6+$M$5*$J$7</f>
        <v>28.769539599988448</v>
      </c>
      <c r="L65" s="6">
        <f>$J$3+[9]FormattedData!E45*$J$4+$M$4*$J$5+[9]FormattedData!E45^2*$J$6+$M$5*$J$7</f>
        <v>29.062897602559659</v>
      </c>
      <c r="M65" s="6">
        <f>$J$3+[9]FormattedData!F45*$J$4+$M$4*$J$5+[9]FormattedData!F45^2*$J$6+$M$5*$J$7</f>
        <v>28.86736786938345</v>
      </c>
      <c r="N65" s="6">
        <f>$J$3+[9]FormattedData!G45*$J$4+$M$4*$J$5+[9]FormattedData!G45^2*$J$6+$M$5*$J$7</f>
        <v>28.573756255584655</v>
      </c>
      <c r="O65" s="6">
        <f>$J$3+[9]FormattedData!H45*$J$4+$M$4*$J$5+[9]FormattedData!H45^2*$J$6+$M$5*$J$7</f>
        <v>27.198538768509806</v>
      </c>
      <c r="P65" s="6">
        <f>$J$3+[9]FormattedData!I45*$J$4+$M$4*$J$5+[9]FormattedData!I45^2*$J$6+$M$5*$J$7</f>
        <v>27.592303421289817</v>
      </c>
      <c r="Q65" s="6">
        <f>$J$3+[9]FormattedData!J45*$J$4+$M$4*$J$5+[9]FormattedData!J45^2*$J$6+$M$5*$J$7</f>
        <v>28.573756255584655</v>
      </c>
      <c r="R65" s="6">
        <f>$J$3+[9]FormattedData!K45*$J$4+$M$4*$J$5+[9]FormattedData!K45^2*$J$6+$M$5*$J$7</f>
        <v>27.297043334511706</v>
      </c>
      <c r="S65" s="6">
        <f>$J$3+[9]FormattedData!L45*$J$4+$M$4*$J$5+[9]FormattedData!L45^2*$J$6+$M$5*$J$7</f>
        <v>28.181682344321892</v>
      </c>
      <c r="T65" s="6">
        <f>$J$3+[9]FormattedData!M45*$J$4+$M$4*$J$5+[9]FormattedData!M45^2*$J$6+$M$5*$J$7</f>
        <v>27.099991933969982</v>
      </c>
      <c r="U65" s="6">
        <f>$J$3+[9]FormattedData!N45*$J$4+$M$4*$J$5+[9]FormattedData!N45^2*$J$6+$M$5*$J$7</f>
        <v>27.985391777462926</v>
      </c>
      <c r="V65" s="6">
        <f>$J$3+[9]FormattedData!O45*$J$4+$M$4*$J$5+[9]FormattedData!O45^2*$J$6+$M$5*$J$7</f>
        <v>27.788932136452232</v>
      </c>
      <c r="W65" s="5">
        <f t="shared" si="9"/>
        <v>28.082600108301605</v>
      </c>
      <c r="X65" s="4">
        <f t="shared" si="10"/>
        <v>0.19926530573200457</v>
      </c>
      <c r="Y65" s="3">
        <f t="shared" si="11"/>
        <v>27.099991933969982</v>
      </c>
      <c r="Z65" s="2">
        <f t="shared" si="12"/>
        <v>27.518488399595288</v>
      </c>
      <c r="AA65" s="3">
        <f t="shared" si="13"/>
        <v>28.083537060892411</v>
      </c>
      <c r="AB65" s="2">
        <f t="shared" si="14"/>
        <v>28.622702091685603</v>
      </c>
      <c r="AC65" s="2">
        <f t="shared" si="15"/>
        <v>29.062897602559659</v>
      </c>
      <c r="AD65" s="2">
        <f t="shared" si="16"/>
        <v>-9.3235015349145717E-2</v>
      </c>
      <c r="AE65" s="2">
        <f t="shared" si="17"/>
        <v>-1.5130935410023425</v>
      </c>
    </row>
    <row r="66" spans="2:31" x14ac:dyDescent="0.2">
      <c r="B66" s="1">
        <f>[9]FormattedData!A63</f>
        <v>301</v>
      </c>
      <c r="C66" s="1" t="str">
        <f>VLOOKUP($B66,[9]TrtCodes!$B$11:I106,2)</f>
        <v>NTL</v>
      </c>
      <c r="D66" s="1">
        <f>VLOOKUP($B66,[9]TrtCodes!$B$11:J106,3)</f>
        <v>10</v>
      </c>
      <c r="E66" s="1">
        <f>VLOOKUP($B66,[9]TrtCodes!$B$11:K106,4)</f>
        <v>2</v>
      </c>
      <c r="F66" s="1">
        <f>VLOOKUP($B66,[9]TrtCodes!$B$11:L106,5)</f>
        <v>2</v>
      </c>
      <c r="G66" s="1">
        <f>VLOOKUP($B66,[9]TrtCodes!$B$11:M106,6)</f>
        <v>1</v>
      </c>
      <c r="H66" s="1">
        <f>VLOOKUP($B66,[9]TrtCodes!$B$11:N106,7)</f>
        <v>3</v>
      </c>
      <c r="I66" s="1">
        <f>[9]FormattedData!B63</f>
        <v>2</v>
      </c>
      <c r="J66" s="4">
        <f>[9]FormattedData!C63</f>
        <v>13.196999999999999</v>
      </c>
      <c r="K66" s="6">
        <f>$J$3+[9]FormattedData!D63*$J$4+$M$4*$J$5+[9]FormattedData!D63^2*$J$6+$M$5*$J$7</f>
        <v>29.258258261584142</v>
      </c>
      <c r="L66" s="6">
        <f>$J$3+[9]FormattedData!E63*$J$4+$M$4*$J$5+[9]FormattedData!E63^2*$J$6+$M$5*$J$7</f>
        <v>29.940689109225005</v>
      </c>
      <c r="M66" s="6">
        <f>$J$3+[9]FormattedData!F63*$J$4+$M$4*$J$5+[9]FormattedData!F63^2*$J$6+$M$5*$J$7</f>
        <v>31.299337329430841</v>
      </c>
      <c r="N66" s="6">
        <f>$J$3+[9]FormattedData!G63*$J$4+$M$4*$J$5+[9]FormattedData!G63^2*$J$6+$M$5*$J$7</f>
        <v>29.64847235717793</v>
      </c>
      <c r="O66" s="6">
        <f>$J$3+[9]FormattedData!H63*$J$4+$M$4*$J$5+[9]FormattedData!H63^2*$J$6+$M$5*$J$7</f>
        <v>28.377803837029134</v>
      </c>
      <c r="P66" s="6">
        <f>$J$3+[9]FormattedData!I63*$J$4+$M$4*$J$5+[9]FormattedData!I63^2*$J$6+$M$5*$J$7</f>
        <v>26.804097819122902</v>
      </c>
      <c r="Q66" s="6">
        <f>$J$3+[9]FormattedData!J63*$J$4+$M$4*$J$5+[9]FormattedData!J63^2*$J$6+$M$5*$J$7</f>
        <v>29.64847235717793</v>
      </c>
      <c r="R66" s="6">
        <f>$J$3+[9]FormattedData!K63*$J$4+$M$4*$J$5+[9]FormattedData!K63^2*$J$6+$M$5*$J$7</f>
        <v>28.475801180575864</v>
      </c>
      <c r="S66" s="6">
        <f>$J$3+[9]FormattedData!L63*$J$4+$M$4*$J$5+[9]FormattedData!L63^2*$J$6+$M$5*$J$7</f>
        <v>27.592303421289817</v>
      </c>
      <c r="T66" s="6">
        <f>$J$3+[9]FormattedData!M63*$J$4+$M$4*$J$5+[9]FormattedData!M63^2*$J$6+$M$5*$J$7</f>
        <v>29.745920209731555</v>
      </c>
      <c r="U66" s="6">
        <f>$J$3+[9]FormattedData!N63*$J$4+$M$4*$J$5+[9]FormattedData!N63^2*$J$6+$M$5*$J$7</f>
        <v>28.769539599988448</v>
      </c>
      <c r="V66" s="6">
        <f>$J$3+[9]FormattedData!O63*$J$4+$M$4*$J$5+[9]FormattedData!O63^2*$J$6+$M$5*$J$7</f>
        <v>31.589398386043428</v>
      </c>
      <c r="W66" s="5">
        <f t="shared" si="9"/>
        <v>29.26250782236475</v>
      </c>
      <c r="X66" s="4">
        <f t="shared" si="10"/>
        <v>0.39917201681350617</v>
      </c>
      <c r="Y66" s="3">
        <f t="shared" si="11"/>
        <v>26.804097819122902</v>
      </c>
      <c r="Z66" s="2">
        <f t="shared" si="12"/>
        <v>28.451301844689183</v>
      </c>
      <c r="AA66" s="3">
        <f t="shared" si="13"/>
        <v>29.453365309381034</v>
      </c>
      <c r="AB66" s="2">
        <f t="shared" si="14"/>
        <v>29.794612434604918</v>
      </c>
      <c r="AC66" s="2">
        <f t="shared" si="15"/>
        <v>31.589398386043428</v>
      </c>
      <c r="AD66" s="2">
        <f t="shared" si="16"/>
        <v>3.1868174147180281E-2</v>
      </c>
      <c r="AE66" s="2">
        <f t="shared" si="17"/>
        <v>-5.9353377796977025E-2</v>
      </c>
    </row>
    <row r="67" spans="2:31" x14ac:dyDescent="0.2">
      <c r="B67" s="1">
        <f>[9]FormattedData!A65</f>
        <v>302</v>
      </c>
      <c r="C67" s="1" t="str">
        <f>VLOOKUP($B67,[9]TrtCodes!$B$11:I108,2)</f>
        <v>FTL</v>
      </c>
      <c r="D67" s="1">
        <f>VLOOKUP($B67,[9]TrtCodes!$B$11:J108,3)</f>
        <v>4</v>
      </c>
      <c r="E67" s="1">
        <f>VLOOKUP($B67,[9]TrtCodes!$B$11:K108,4)</f>
        <v>1</v>
      </c>
      <c r="F67" s="1">
        <f>VLOOKUP($B67,[9]TrtCodes!$B$11:L108,5)</f>
        <v>2</v>
      </c>
      <c r="G67" s="1">
        <f>VLOOKUP($B67,[9]TrtCodes!$B$11:M108,6)</f>
        <v>1</v>
      </c>
      <c r="H67" s="1">
        <f>VLOOKUP($B67,[9]TrtCodes!$B$11:N108,7)</f>
        <v>3</v>
      </c>
      <c r="I67" s="1">
        <f>[9]FormattedData!B65</f>
        <v>2</v>
      </c>
      <c r="J67" s="4">
        <f>[9]FormattedData!C65</f>
        <v>13.21</v>
      </c>
      <c r="K67" s="6">
        <f>$J$3+[9]FormattedData!D65*$J$4+$M$4*$J$5+[9]FormattedData!D65^2*$J$6+$M$5*$J$7</f>
        <v>28.96515387024052</v>
      </c>
      <c r="L67" s="6">
        <f>$J$3+[9]FormattedData!E65*$J$4+$M$4*$J$5+[9]FormattedData!E65^2*$J$6+$M$5*$J$7</f>
        <v>29.355875188289485</v>
      </c>
      <c r="M67" s="6">
        <f>$J$3+[9]FormattedData!F65*$J$4+$M$4*$J$5+[9]FormattedData!F65^2*$J$6+$M$5*$J$7</f>
        <v>28.671669062055518</v>
      </c>
      <c r="N67" s="6">
        <f>$J$3+[9]FormattedData!G65*$J$4+$M$4*$J$5+[9]FormattedData!G65^2*$J$6+$M$5*$J$7</f>
        <v>28.083558195161377</v>
      </c>
      <c r="O67" s="6">
        <f>$J$3+[9]FormattedData!H65*$J$4+$M$4*$J$5+[9]FormattedData!H65^2*$J$6+$M$5*$J$7</f>
        <v>29.550982236086384</v>
      </c>
      <c r="P67" s="6">
        <f>$J$3+[9]FormattedData!I65*$J$4+$M$4*$J$5+[9]FormattedData!I65^2*$J$6+$M$5*$J$7</f>
        <v>27.985391777462926</v>
      </c>
      <c r="Q67" s="6">
        <f>$J$3+[9]FormattedData!J65*$J$4+$M$4*$J$5+[9]FormattedData!J65^2*$J$6+$M$5*$J$7</f>
        <v>29.64847235717793</v>
      </c>
      <c r="R67" s="6">
        <f>$J$3+[9]FormattedData!K65*$J$4+$M$4*$J$5+[9]FormattedData!K65^2*$J$6+$M$5*$J$7</f>
        <v>30.232525444430692</v>
      </c>
      <c r="S67" s="6">
        <f>$J$3+[9]FormattedData!L65*$J$4+$M$4*$J$5+[9]FormattedData!L65^2*$J$6+$M$5*$J$7</f>
        <v>29.160599066340865</v>
      </c>
      <c r="T67" s="6">
        <f>$J$3+[9]FormattedData!M65*$J$4+$M$4*$J$5+[9]FormattedData!M65^2*$J$6+$M$5*$J$7</f>
        <v>28.279764224944479</v>
      </c>
      <c r="U67" s="6">
        <f>$J$3+[9]FormattedData!N65*$J$4+$M$4*$J$5+[9]FormattedData!N65^2*$J$6+$M$5*$J$7</f>
        <v>29.258258261584142</v>
      </c>
      <c r="V67" s="6">
        <f>$J$3+[9]FormattedData!O65*$J$4+$M$4*$J$5+[9]FormattedData!O65^2*$J$6+$M$5*$J$7</f>
        <v>30.718073965681548</v>
      </c>
      <c r="W67" s="5">
        <f t="shared" si="9"/>
        <v>29.159193637454653</v>
      </c>
      <c r="X67" s="4">
        <f t="shared" si="10"/>
        <v>0.24006108077406291</v>
      </c>
      <c r="Y67" s="3">
        <f t="shared" si="11"/>
        <v>27.985391777462926</v>
      </c>
      <c r="Z67" s="2">
        <f t="shared" si="12"/>
        <v>28.573692852777757</v>
      </c>
      <c r="AA67" s="3">
        <f t="shared" si="13"/>
        <v>29.209428663962505</v>
      </c>
      <c r="AB67" s="2">
        <f t="shared" si="14"/>
        <v>29.575354766359268</v>
      </c>
      <c r="AC67" s="2">
        <f t="shared" si="15"/>
        <v>30.718073965681548</v>
      </c>
      <c r="AD67" s="2">
        <f t="shared" si="16"/>
        <v>0.29317313516001264</v>
      </c>
      <c r="AE67" s="2">
        <f t="shared" si="17"/>
        <v>-0.3403865489971496</v>
      </c>
    </row>
    <row r="68" spans="2:31" x14ac:dyDescent="0.2">
      <c r="B68" s="1">
        <f>[9]FormattedData!A67</f>
        <v>303</v>
      </c>
      <c r="C68" s="1" t="str">
        <f>VLOOKUP($B68,[9]TrtCodes!$B$11:I110,2)</f>
        <v>NSL</v>
      </c>
      <c r="D68" s="1">
        <f>VLOOKUP($B68,[9]TrtCodes!$B$11:J110,3)</f>
        <v>8</v>
      </c>
      <c r="E68" s="1">
        <f>VLOOKUP($B68,[9]TrtCodes!$B$11:K110,4)</f>
        <v>2</v>
      </c>
      <c r="F68" s="1">
        <f>VLOOKUP($B68,[9]TrtCodes!$B$11:L110,5)</f>
        <v>1</v>
      </c>
      <c r="G68" s="1">
        <f>VLOOKUP($B68,[9]TrtCodes!$B$11:M110,6)</f>
        <v>1</v>
      </c>
      <c r="H68" s="1">
        <f>VLOOKUP($B68,[9]TrtCodes!$B$11:N110,7)</f>
        <v>3</v>
      </c>
      <c r="I68" s="1">
        <f>[9]FormattedData!B67</f>
        <v>2</v>
      </c>
      <c r="J68" s="4">
        <f>[9]FormattedData!C67</f>
        <v>13.223000000000001</v>
      </c>
      <c r="K68" s="6">
        <f>$J$3+[9]FormattedData!D67*$J$4+$M$4*$J$5+[9]FormattedData!D67^2*$J$6+$M$5*$J$7</f>
        <v>31.299337329430841</v>
      </c>
      <c r="L68" s="6">
        <f>$J$3+[9]FormattedData!E67*$J$4+$M$4*$J$5+[9]FormattedData!E67^2*$J$6+$M$5*$J$7</f>
        <v>29.940689109225005</v>
      </c>
      <c r="M68" s="6">
        <f>$J$3+[9]FormattedData!F67*$J$4+$M$4*$J$5+[9]FormattedData!F67^2*$J$6+$M$5*$J$7</f>
        <v>31.879079025814626</v>
      </c>
      <c r="N68" s="6">
        <f>$J$3+[9]FormattedData!G67*$J$4+$M$4*$J$5+[9]FormattedData!G67^2*$J$6+$M$5*$J$7</f>
        <v>31.39606661683964</v>
      </c>
      <c r="O68" s="6">
        <f>$J$3+[9]FormattedData!H67*$J$4+$M$4*$J$5+[9]FormattedData!H67^2*$J$6+$M$5*$J$7</f>
        <v>31.589398386043428</v>
      </c>
      <c r="P68" s="6">
        <f>$J$3+[9]FormattedData!I67*$J$4+$M$4*$J$5+[9]FormattedData!I67^2*$J$6+$M$5*$J$7</f>
        <v>31.202565773484125</v>
      </c>
      <c r="Q68" s="6">
        <f>$J$3+[9]FormattedData!J67*$J$4+$M$4*$J$5+[9]FormattedData!J67^2*$J$6+$M$5*$J$7</f>
        <v>31.008895855976885</v>
      </c>
      <c r="R68" s="6">
        <f>$J$3+[9]FormattedData!K67*$J$4+$M$4*$J$5+[9]FormattedData!K67^2*$J$6+$M$5*$J$7</f>
        <v>30.911997494416372</v>
      </c>
      <c r="S68" s="6">
        <f>$J$3+[9]FormattedData!L67*$J$4+$M$4*$J$5+[9]FormattedData!L67^2*$J$6+$M$5*$J$7</f>
        <v>31.589398386043428</v>
      </c>
      <c r="T68" s="6">
        <f>$J$3+[9]FormattedData!M67*$J$4+$M$4*$J$5+[9]FormattedData!M67^2*$J$6+$M$5*$J$7</f>
        <v>32.841933703419762</v>
      </c>
      <c r="U68" s="6">
        <f>$J$3+[9]FormattedData!N67*$J$4+$M$4*$J$5+[9]FormattedData!N67^2*$J$6+$M$5*$J$7</f>
        <v>31.686000867838423</v>
      </c>
      <c r="V68" s="6">
        <f>$J$3+[9]FormattedData!O67*$J$4+$M$4*$J$5+[9]FormattedData!O67^2*$J$6+$M$5*$J$7</f>
        <v>32.264728119311847</v>
      </c>
      <c r="W68" s="5">
        <f t="shared" si="9"/>
        <v>31.467507555653697</v>
      </c>
      <c r="X68" s="4">
        <f t="shared" si="10"/>
        <v>0.20825979700854824</v>
      </c>
      <c r="Y68" s="3">
        <f t="shared" si="11"/>
        <v>29.940689109225005</v>
      </c>
      <c r="Z68" s="2">
        <f t="shared" si="12"/>
        <v>31.154148294107316</v>
      </c>
      <c r="AA68" s="3">
        <f t="shared" si="13"/>
        <v>31.492732501441534</v>
      </c>
      <c r="AB68" s="2">
        <f t="shared" si="14"/>
        <v>31.734270407332474</v>
      </c>
      <c r="AC68" s="2">
        <f t="shared" si="15"/>
        <v>32.841933703419762</v>
      </c>
      <c r="AD68" s="2">
        <f t="shared" si="16"/>
        <v>-0.19293766252537059</v>
      </c>
      <c r="AE68" s="2">
        <f t="shared" si="17"/>
        <v>1.5414339976797802</v>
      </c>
    </row>
    <row r="69" spans="2:31" x14ac:dyDescent="0.2">
      <c r="B69" s="1">
        <f>[9]FormattedData!A69</f>
        <v>304</v>
      </c>
      <c r="C69" s="1" t="str">
        <f>VLOOKUP($B69,[9]TrtCodes!$B$11:I112,2)</f>
        <v>FSL</v>
      </c>
      <c r="D69" s="1">
        <f>VLOOKUP($B69,[9]TrtCodes!$B$11:J112,3)</f>
        <v>2</v>
      </c>
      <c r="E69" s="1">
        <f>VLOOKUP($B69,[9]TrtCodes!$B$11:K112,4)</f>
        <v>1</v>
      </c>
      <c r="F69" s="1">
        <f>VLOOKUP($B69,[9]TrtCodes!$B$11:L112,5)</f>
        <v>1</v>
      </c>
      <c r="G69" s="1">
        <f>VLOOKUP($B69,[9]TrtCodes!$B$11:M112,6)</f>
        <v>1</v>
      </c>
      <c r="H69" s="1">
        <f>VLOOKUP($B69,[9]TrtCodes!$B$11:N112,7)</f>
        <v>3</v>
      </c>
      <c r="I69" s="1">
        <f>[9]FormattedData!B69</f>
        <v>2</v>
      </c>
      <c r="J69" s="4">
        <f>[9]FormattedData!C69</f>
        <v>13.237</v>
      </c>
      <c r="K69" s="6">
        <f>$J$3+[9]FormattedData!D69*$J$4+$M$4*$J$5+[9]FormattedData!D69^2*$J$6+$M$5*$J$7</f>
        <v>28.279764224944479</v>
      </c>
      <c r="L69" s="6">
        <f>$J$3+[9]FormattedData!E69*$J$4+$M$4*$J$5+[9]FormattedData!E69^2*$J$6+$M$5*$J$7</f>
        <v>28.279764224944479</v>
      </c>
      <c r="M69" s="6">
        <f>$J$3+[9]FormattedData!F69*$J$4+$M$4*$J$5+[9]FormattedData!F69^2*$J$6+$M$5*$J$7</f>
        <v>28.573756255584655</v>
      </c>
      <c r="N69" s="6">
        <f>$J$3+[9]FormattedData!G69*$J$4+$M$4*$J$5+[9]FormattedData!G69^2*$J$6+$M$5*$J$7</f>
        <v>28.083558195161377</v>
      </c>
      <c r="O69" s="6">
        <f>$J$3+[9]FormattedData!H69*$J$4+$M$4*$J$5+[9]FormattedData!H69^2*$J$6+$M$5*$J$7</f>
        <v>28.083558195161377</v>
      </c>
      <c r="P69" s="6">
        <f>$J$3+[9]FormattedData!I69*$J$4+$M$4*$J$5+[9]FormattedData!I69^2*$J$6+$M$5*$J$7</f>
        <v>27.592303421289817</v>
      </c>
      <c r="Q69" s="6">
        <f>$J$3+[9]FormattedData!J69*$J$4+$M$4*$J$5+[9]FormattedData!J69^2*$J$6+$M$5*$J$7</f>
        <v>29.062897602559659</v>
      </c>
      <c r="R69" s="6">
        <f>$J$3+[9]FormattedData!K69*$J$4+$M$4*$J$5+[9]FormattedData!K69^2*$J$6+$M$5*$J$7</f>
        <v>29.160599066340865</v>
      </c>
      <c r="S69" s="6">
        <f>$J$3+[9]FormattedData!L69*$J$4+$M$4*$J$5+[9]FormattedData!L69^2*$J$6+$M$5*$J$7</f>
        <v>28.671669062055518</v>
      </c>
      <c r="T69" s="6">
        <f>$J$3+[9]FormattedData!M69*$J$4+$M$4*$J$5+[9]FormattedData!M69^2*$J$6+$M$5*$J$7</f>
        <v>29.160599066340865</v>
      </c>
      <c r="U69" s="6">
        <f>$J$3+[9]FormattedData!N69*$J$4+$M$4*$J$5+[9]FormattedData!N69^2*$J$6+$M$5*$J$7</f>
        <v>28.671669062055518</v>
      </c>
      <c r="V69" s="6">
        <f>$J$3+[9]FormattedData!O69*$J$4+$M$4*$J$5+[9]FormattedData!O69^2*$J$6+$M$5*$J$7</f>
        <v>29.062897602559659</v>
      </c>
      <c r="W69" s="5">
        <f t="shared" si="9"/>
        <v>28.556919664916521</v>
      </c>
      <c r="X69" s="4">
        <f t="shared" si="10"/>
        <v>0.14563758049761621</v>
      </c>
      <c r="Y69" s="3">
        <f t="shared" si="11"/>
        <v>27.592303421289817</v>
      </c>
      <c r="Z69" s="2">
        <f t="shared" si="12"/>
        <v>28.230712717498704</v>
      </c>
      <c r="AA69" s="3">
        <f t="shared" si="13"/>
        <v>28.622712658820085</v>
      </c>
      <c r="AB69" s="2">
        <f t="shared" si="14"/>
        <v>29.062897602559659</v>
      </c>
      <c r="AC69" s="2">
        <f t="shared" si="15"/>
        <v>29.160599066340865</v>
      </c>
      <c r="AD69" s="2">
        <f t="shared" si="16"/>
        <v>-0.3824531770546018</v>
      </c>
      <c r="AE69" s="2">
        <f t="shared" si="17"/>
        <v>-0.68863307489404813</v>
      </c>
    </row>
    <row r="70" spans="2:31" x14ac:dyDescent="0.2">
      <c r="B70" s="1">
        <f>[9]FormattedData!A71</f>
        <v>305</v>
      </c>
      <c r="C70" s="1" t="str">
        <f>VLOOKUP($B70,[9]TrtCodes!$B$11:I114,2)</f>
        <v>NDH</v>
      </c>
      <c r="D70" s="1">
        <f>VLOOKUP($B70,[9]TrtCodes!$B$11:J114,3)</f>
        <v>11</v>
      </c>
      <c r="E70" s="1">
        <f>VLOOKUP($B70,[9]TrtCodes!$B$11:K114,4)</f>
        <v>2</v>
      </c>
      <c r="F70" s="1">
        <f>VLOOKUP($B70,[9]TrtCodes!$B$11:L114,5)</f>
        <v>3</v>
      </c>
      <c r="G70" s="1">
        <f>VLOOKUP($B70,[9]TrtCodes!$B$11:M114,6)</f>
        <v>2</v>
      </c>
      <c r="H70" s="1">
        <f>VLOOKUP($B70,[9]TrtCodes!$B$11:N114,7)</f>
        <v>4</v>
      </c>
      <c r="I70" s="1">
        <f>[9]FormattedData!B71</f>
        <v>2</v>
      </c>
      <c r="J70" s="4">
        <f>[9]FormattedData!C71</f>
        <v>13.252000000000001</v>
      </c>
      <c r="K70" s="6">
        <f>$J$3+[9]FormattedData!D71*$J$4+$M$4*$J$5+[9]FormattedData!D71^2*$J$6+$M$5*$J$7</f>
        <v>28.769539599988448</v>
      </c>
      <c r="L70" s="6">
        <f>$J$3+[9]FormattedData!E71*$J$4+$M$4*$J$5+[9]FormattedData!E71^2*$J$6+$M$5*$J$7</f>
        <v>28.96515387024052</v>
      </c>
      <c r="M70" s="6">
        <f>$J$3+[9]FormattedData!F71*$J$4+$M$4*$J$5+[9]FormattedData!F71^2*$J$6+$M$5*$J$7</f>
        <v>29.160599066340865</v>
      </c>
      <c r="N70" s="6">
        <f>$J$3+[9]FormattedData!G71*$J$4+$M$4*$J$5+[9]FormattedData!G71^2*$J$6+$M$5*$J$7</f>
        <v>27.493925660901709</v>
      </c>
      <c r="O70" s="6">
        <f>$J$3+[9]FormattedData!H71*$J$4+$M$4*$J$5+[9]FormattedData!H71^2*$J$6+$M$5*$J$7</f>
        <v>28.083558195161377</v>
      </c>
      <c r="P70" s="6">
        <f>$J$3+[9]FormattedData!I71*$J$4+$M$4*$J$5+[9]FormattedData!I71^2*$J$6+$M$5*$J$7</f>
        <v>28.083558195161377</v>
      </c>
      <c r="Q70" s="6">
        <f>$J$3+[9]FormattedData!J71*$J$4+$M$4*$J$5+[9]FormattedData!J71^2*$J$6+$M$5*$J$7</f>
        <v>28.475801180575864</v>
      </c>
      <c r="R70" s="6">
        <f>$J$3+[9]FormattedData!K71*$J$4+$M$4*$J$5+[9]FormattedData!K71^2*$J$6+$M$5*$J$7</f>
        <v>26.902771459276522</v>
      </c>
      <c r="S70" s="6">
        <f>$J$3+[9]FormattedData!L71*$J$4+$M$4*$J$5+[9]FormattedData!L71^2*$J$6+$M$5*$J$7</f>
        <v>28.181682344321892</v>
      </c>
      <c r="T70" s="6">
        <f>$J$3+[9]FormattedData!M71*$J$4+$M$4*$J$5+[9]FormattedData!M71^2*$J$6+$M$5*$J$7</f>
        <v>28.769539599988448</v>
      </c>
      <c r="U70" s="6">
        <f>$J$3+[9]FormattedData!N71*$J$4+$M$4*$J$5+[9]FormattedData!N71^2*$J$6+$M$5*$J$7</f>
        <v>26.902771459276522</v>
      </c>
      <c r="V70" s="6">
        <f>$J$3+[9]FormattedData!O71*$J$4+$M$4*$J$5+[9]FormattedData!O71^2*$J$6+$M$5*$J$7</f>
        <v>28.377803837029134</v>
      </c>
      <c r="W70" s="5">
        <f t="shared" si="9"/>
        <v>28.180558705688558</v>
      </c>
      <c r="X70" s="4">
        <f t="shared" si="10"/>
        <v>0.21587918061594183</v>
      </c>
      <c r="Y70" s="3">
        <f t="shared" si="11"/>
        <v>26.902771459276522</v>
      </c>
      <c r="Z70" s="2">
        <f t="shared" si="12"/>
        <v>27.936150061596461</v>
      </c>
      <c r="AA70" s="3">
        <f t="shared" si="13"/>
        <v>28.279743090675513</v>
      </c>
      <c r="AB70" s="2">
        <f t="shared" si="14"/>
        <v>28.769539599988448</v>
      </c>
      <c r="AC70" s="2">
        <f t="shared" si="15"/>
        <v>29.160599066340865</v>
      </c>
      <c r="AD70" s="2">
        <f t="shared" si="16"/>
        <v>-0.68649443584991643</v>
      </c>
      <c r="AE70" s="2">
        <f t="shared" si="17"/>
        <v>-0.45342225690215043</v>
      </c>
    </row>
    <row r="71" spans="2:31" x14ac:dyDescent="0.2">
      <c r="B71" s="1">
        <f>[9]FormattedData!A73</f>
        <v>306</v>
      </c>
      <c r="C71" s="1" t="str">
        <f>VLOOKUP($B71,[9]TrtCodes!$B$11:I116,2)</f>
        <v>FTL</v>
      </c>
      <c r="D71" s="1">
        <f>VLOOKUP($B71,[9]TrtCodes!$B$11:J116,3)</f>
        <v>4</v>
      </c>
      <c r="E71" s="1">
        <f>VLOOKUP($B71,[9]TrtCodes!$B$11:K116,4)</f>
        <v>1</v>
      </c>
      <c r="F71" s="1">
        <f>VLOOKUP($B71,[9]TrtCodes!$B$11:L116,5)</f>
        <v>2</v>
      </c>
      <c r="G71" s="1">
        <f>VLOOKUP($B71,[9]TrtCodes!$B$11:M116,6)</f>
        <v>1</v>
      </c>
      <c r="H71" s="1">
        <f>VLOOKUP($B71,[9]TrtCodes!$B$11:N116,7)</f>
        <v>4</v>
      </c>
      <c r="I71" s="1">
        <f>[9]FormattedData!B73</f>
        <v>2</v>
      </c>
      <c r="J71" s="4">
        <f>[9]FormattedData!C73</f>
        <v>13.266</v>
      </c>
      <c r="K71" s="6">
        <f>$J$3+[9]FormattedData!D73*$J$4+$M$4*$J$5+[9]FormattedData!D73^2*$J$6+$M$5*$J$7</f>
        <v>30.911997494416372</v>
      </c>
      <c r="L71" s="6">
        <f>$J$3+[9]FormattedData!E73*$J$4+$M$4*$J$5+[9]FormattedData!E73^2*$J$6+$M$5*$J$7</f>
        <v>31.39606661683964</v>
      </c>
      <c r="M71" s="6">
        <f>$J$3+[9]FormattedData!F73*$J$4+$M$4*$J$5+[9]FormattedData!F73^2*$J$6+$M$5*$J$7</f>
        <v>28.86736786938345</v>
      </c>
      <c r="N71" s="6">
        <f>$J$3+[9]FormattedData!G73*$J$4+$M$4*$J$5+[9]FormattedData!G73^2*$J$6+$M$5*$J$7</f>
        <v>30.038010156164827</v>
      </c>
      <c r="O71" s="6">
        <f>$J$3+[9]FormattedData!H73*$J$4+$M$4*$J$5+[9]FormattedData!H73^2*$J$6+$M$5*$J$7</f>
        <v>30.523981362794999</v>
      </c>
      <c r="P71" s="6">
        <f>$J$3+[9]FormattedData!I73*$J$4+$M$4*$J$5+[9]FormattedData!I73^2*$J$6+$M$5*$J$7</f>
        <v>31.492753635710496</v>
      </c>
      <c r="Q71" s="6">
        <f>$J$3+[9]FormattedData!J73*$J$4+$M$4*$J$5+[9]FormattedData!J73^2*$J$6+$M$5*$J$7</f>
        <v>30.42687165854483</v>
      </c>
      <c r="R71" s="6">
        <f>$J$3+[9]FormattedData!K73*$J$4+$M$4*$J$5+[9]FormattedData!K73^2*$J$6+$M$5*$J$7</f>
        <v>30.13528893456672</v>
      </c>
      <c r="S71" s="6">
        <f>$J$3+[9]FormattedData!L73*$J$4+$M$4*$J$5+[9]FormattedData!L73^2*$J$6+$M$5*$J$7</f>
        <v>30.232525444430692</v>
      </c>
      <c r="T71" s="6">
        <f>$J$3+[9]FormattedData!M73*$J$4+$M$4*$J$5+[9]FormattedData!M73^2*$J$6+$M$5*$J$7</f>
        <v>32.553521119786502</v>
      </c>
      <c r="U71" s="6">
        <f>$J$3+[9]FormattedData!N73*$J$4+$M$4*$J$5+[9]FormattedData!N73^2*$J$6+$M$5*$J$7</f>
        <v>29.84332579374724</v>
      </c>
      <c r="V71" s="6">
        <f>$J$3+[9]FormattedData!O73*$J$4+$M$4*$J$5+[9]FormattedData!O73^2*$J$6+$M$5*$J$7</f>
        <v>29.64847235717793</v>
      </c>
      <c r="W71" s="5">
        <f t="shared" si="9"/>
        <v>30.50584853696364</v>
      </c>
      <c r="X71" s="4">
        <f t="shared" si="10"/>
        <v>0.28096826510946521</v>
      </c>
      <c r="Y71" s="3">
        <f t="shared" si="11"/>
        <v>28.86736786938345</v>
      </c>
      <c r="Z71" s="2">
        <f t="shared" si="12"/>
        <v>29.989339065560429</v>
      </c>
      <c r="AA71" s="3">
        <f t="shared" si="13"/>
        <v>30.329698551487759</v>
      </c>
      <c r="AB71" s="2">
        <f t="shared" si="14"/>
        <v>31.033014775022188</v>
      </c>
      <c r="AC71" s="2">
        <f t="shared" si="15"/>
        <v>32.553521119786502</v>
      </c>
      <c r="AD71" s="2">
        <f t="shared" si="16"/>
        <v>0.57094613554285645</v>
      </c>
      <c r="AE71" s="2">
        <f t="shared" si="17"/>
        <v>0.74223932126212677</v>
      </c>
    </row>
    <row r="72" spans="2:31" x14ac:dyDescent="0.2">
      <c r="B72" s="1">
        <f>[9]FormattedData!A75</f>
        <v>307</v>
      </c>
      <c r="C72" s="1" t="str">
        <f>VLOOKUP($B72,[9]TrtCodes!$B$11:I118,2)</f>
        <v>NTH</v>
      </c>
      <c r="D72" s="1">
        <f>VLOOKUP($B72,[9]TrtCodes!$B$11:J118,3)</f>
        <v>9</v>
      </c>
      <c r="E72" s="1">
        <f>VLOOKUP($B72,[9]TrtCodes!$B$11:K118,4)</f>
        <v>2</v>
      </c>
      <c r="F72" s="1">
        <f>VLOOKUP($B72,[9]TrtCodes!$B$11:L118,5)</f>
        <v>2</v>
      </c>
      <c r="G72" s="1">
        <f>VLOOKUP($B72,[9]TrtCodes!$B$11:M118,6)</f>
        <v>2</v>
      </c>
      <c r="H72" s="1">
        <f>VLOOKUP($B72,[9]TrtCodes!$B$11:N118,7)</f>
        <v>4</v>
      </c>
      <c r="I72" s="1">
        <f>[9]FormattedData!B75</f>
        <v>2</v>
      </c>
      <c r="J72" s="4">
        <f>[9]FormattedData!C75</f>
        <v>13.281000000000001</v>
      </c>
      <c r="K72" s="6">
        <f>$J$3+[9]FormattedData!D75*$J$4+$M$4*$J$5+[9]FormattedData!D75^2*$J$6+$M$5*$J$7</f>
        <v>30.523981362794999</v>
      </c>
      <c r="L72" s="6">
        <f>$J$3+[9]FormattedData!E75*$J$4+$M$4*$J$5+[9]FormattedData!E75^2*$J$6+$M$5*$J$7</f>
        <v>30.232525444430692</v>
      </c>
      <c r="M72" s="6">
        <f>$J$3+[9]FormattedData!F75*$J$4+$M$4*$J$5+[9]FormattedData!F75^2*$J$6+$M$5*$J$7</f>
        <v>31.105751948999465</v>
      </c>
      <c r="N72" s="6">
        <f>$J$3+[9]FormattedData!G75*$J$4+$M$4*$J$5+[9]FormattedData!G75^2*$J$6+$M$5*$J$7</f>
        <v>28.377803837029134</v>
      </c>
      <c r="O72" s="6">
        <f>$J$3+[9]FormattedData!H75*$J$4+$M$4*$J$5+[9]FormattedData!H75^2*$J$6+$M$5*$J$7</f>
        <v>31.975554701995833</v>
      </c>
      <c r="P72" s="6">
        <f>$J$3+[9]FormattedData!I75*$J$4+$M$4*$J$5+[9]FormattedData!I75^2*$J$6+$M$5*$J$7</f>
        <v>31.39606661683964</v>
      </c>
      <c r="Q72" s="6">
        <f>$J$3+[9]FormattedData!J75*$J$4+$M$4*$J$5+[9]FormattedData!J75^2*$J$6+$M$5*$J$7</f>
        <v>31.879079025814626</v>
      </c>
      <c r="R72" s="6">
        <f>$J$3+[9]FormattedData!K75*$J$4+$M$4*$J$5+[9]FormattedData!K75^2*$J$6+$M$5*$J$7</f>
        <v>29.550982236086384</v>
      </c>
      <c r="S72" s="6">
        <f>$J$3+[9]FormattedData!L75*$J$4+$M$4*$J$5+[9]FormattedData!L75^2*$J$6+$M$5*$J$7</f>
        <v>29.745920209731555</v>
      </c>
      <c r="T72" s="6">
        <f>$J$3+[9]FormattedData!M75*$J$4+$M$4*$J$5+[9]FormattedData!M75^2*$J$6+$M$5*$J$7</f>
        <v>32.168379248744444</v>
      </c>
      <c r="U72" s="6">
        <f>$J$3+[9]FormattedData!N75*$J$4+$M$4*$J$5+[9]FormattedData!N75^2*$J$6+$M$5*$J$7</f>
        <v>31.492753635710496</v>
      </c>
      <c r="V72" s="6">
        <f>$J$3+[9]FormattedData!O75*$J$4+$M$4*$J$5+[9]FormattedData!O75^2*$J$6+$M$5*$J$7</f>
        <v>31.975554701995833</v>
      </c>
      <c r="W72" s="5">
        <f t="shared" si="9"/>
        <v>30.868696080847759</v>
      </c>
      <c r="X72" s="4">
        <f t="shared" si="10"/>
        <v>0.34387680542343685</v>
      </c>
      <c r="Y72" s="3">
        <f t="shared" si="11"/>
        <v>28.377803837029134</v>
      </c>
      <c r="Z72" s="2">
        <f t="shared" si="12"/>
        <v>30.110874135755907</v>
      </c>
      <c r="AA72" s="3">
        <f t="shared" si="13"/>
        <v>31.250909282919551</v>
      </c>
      <c r="AB72" s="2">
        <f t="shared" si="14"/>
        <v>31.903197944859926</v>
      </c>
      <c r="AC72" s="2">
        <f t="shared" si="15"/>
        <v>32.168379248744444</v>
      </c>
      <c r="AD72" s="2">
        <f t="shared" si="16"/>
        <v>-0.84638289307743242</v>
      </c>
      <c r="AE72" s="2">
        <f t="shared" si="17"/>
        <v>-8.8622933449151731E-2</v>
      </c>
    </row>
    <row r="73" spans="2:31" x14ac:dyDescent="0.2">
      <c r="B73" s="1">
        <f>[9]FormattedData!A77</f>
        <v>308</v>
      </c>
      <c r="C73" s="1" t="str">
        <f>VLOOKUP($B73,[9]TrtCodes!$B$11:I120,2)</f>
        <v>FDH</v>
      </c>
      <c r="D73" s="1">
        <f>VLOOKUP($B73,[9]TrtCodes!$B$11:J120,3)</f>
        <v>5</v>
      </c>
      <c r="E73" s="1">
        <f>VLOOKUP($B73,[9]TrtCodes!$B$11:K120,4)</f>
        <v>1</v>
      </c>
      <c r="F73" s="1">
        <f>VLOOKUP($B73,[9]TrtCodes!$B$11:L120,5)</f>
        <v>3</v>
      </c>
      <c r="G73" s="1">
        <f>VLOOKUP($B73,[9]TrtCodes!$B$11:M120,6)</f>
        <v>2</v>
      </c>
      <c r="H73" s="1">
        <f>VLOOKUP($B73,[9]TrtCodes!$B$11:N120,7)</f>
        <v>4</v>
      </c>
      <c r="I73" s="1">
        <f>[9]FormattedData!B77</f>
        <v>2</v>
      </c>
      <c r="J73" s="4">
        <f>[9]FormattedData!C77</f>
        <v>13.298</v>
      </c>
      <c r="K73" s="6">
        <f>$J$3+[9]FormattedData!D77*$J$4+$M$4*$J$5+[9]FormattedData!D77^2*$J$6+$M$5*$J$7</f>
        <v>27.198538768509806</v>
      </c>
      <c r="L73" s="6">
        <f>$J$3+[9]FormattedData!E77*$J$4+$M$4*$J$5+[9]FormattedData!E77^2*$J$6+$M$5*$J$7</f>
        <v>27.690638913139988</v>
      </c>
      <c r="M73" s="6">
        <f>$J$3+[9]FormattedData!F77*$J$4+$M$4*$J$5+[9]FormattedData!F77^2*$J$6+$M$5*$J$7</f>
        <v>27.39550563197567</v>
      </c>
      <c r="N73" s="6">
        <f>$J$3+[9]FormattedData!G77*$J$4+$M$4*$J$5+[9]FormattedData!G77^2*$J$6+$M$5*$J$7</f>
        <v>29.64847235717793</v>
      </c>
      <c r="O73" s="6">
        <f>$J$3+[9]FormattedData!H77*$J$4+$M$4*$J$5+[9]FormattedData!H77^2*$J$6+$M$5*$J$7</f>
        <v>29.355875188289485</v>
      </c>
      <c r="P73" s="6">
        <f>$J$3+[9]FormattedData!I77*$J$4+$M$4*$J$5+[9]FormattedData!I77^2*$J$6+$M$5*$J$7</f>
        <v>28.181682344321892</v>
      </c>
      <c r="Q73" s="6">
        <f>$J$3+[9]FormattedData!J77*$J$4+$M$4*$J$5+[9]FormattedData!J77^2*$J$6+$M$5*$J$7</f>
        <v>29.062897602559659</v>
      </c>
      <c r="R73" s="6">
        <f>$J$3+[9]FormattedData!K77*$J$4+$M$4*$J$5+[9]FormattedData!K77^2*$J$6+$M$5*$J$7</f>
        <v>29.64847235717793</v>
      </c>
      <c r="S73" s="6">
        <f>$J$3+[9]FormattedData!L77*$J$4+$M$4*$J$5+[9]FormattedData!L77^2*$J$6+$M$5*$J$7</f>
        <v>28.86736786938345</v>
      </c>
      <c r="T73" s="6">
        <f>$J$3+[9]FormattedData!M77*$J$4+$M$4*$J$5+[9]FormattedData!M77^2*$J$6+$M$5*$J$7</f>
        <v>29.84332579374724</v>
      </c>
      <c r="U73" s="6">
        <f>$J$3+[9]FormattedData!N77*$J$4+$M$4*$J$5+[9]FormattedData!N77^2*$J$6+$M$5*$J$7</f>
        <v>30.42687165854483</v>
      </c>
      <c r="V73" s="6">
        <f>$J$3+[9]FormattedData!O77*$J$4+$M$4*$J$5+[9]FormattedData!O77^2*$J$6+$M$5*$J$7</f>
        <v>29.258258261584142</v>
      </c>
      <c r="W73" s="5">
        <f t="shared" si="9"/>
        <v>28.881492228867668</v>
      </c>
      <c r="X73" s="4">
        <f t="shared" si="10"/>
        <v>0.29947291671113391</v>
      </c>
      <c r="Y73" s="3">
        <f t="shared" si="11"/>
        <v>27.198538768509806</v>
      </c>
      <c r="Z73" s="2">
        <f t="shared" si="12"/>
        <v>28.058921486526415</v>
      </c>
      <c r="AA73" s="3">
        <f t="shared" si="13"/>
        <v>29.160577932071902</v>
      </c>
      <c r="AB73" s="2">
        <f t="shared" si="14"/>
        <v>29.64847235717793</v>
      </c>
      <c r="AC73" s="2">
        <f t="shared" si="15"/>
        <v>30.42687165854483</v>
      </c>
      <c r="AD73" s="2">
        <f t="shared" si="16"/>
        <v>-0.43290183828729489</v>
      </c>
      <c r="AE73" s="2">
        <f t="shared" si="17"/>
        <v>-0.97598842782910822</v>
      </c>
    </row>
    <row r="74" spans="2:31" x14ac:dyDescent="0.2">
      <c r="B74" s="1">
        <f>[9]FormattedData!A93</f>
        <v>401</v>
      </c>
      <c r="C74" s="1" t="str">
        <f>VLOOKUP($B74,[9]TrtCodes!$B$11:I130,2)</f>
        <v>NSH</v>
      </c>
      <c r="D74" s="1">
        <f>VLOOKUP($B74,[9]TrtCodes!$B$11:J130,3)</f>
        <v>7</v>
      </c>
      <c r="E74" s="1">
        <f>VLOOKUP($B74,[9]TrtCodes!$B$11:K130,4)</f>
        <v>2</v>
      </c>
      <c r="F74" s="1">
        <f>VLOOKUP($B74,[9]TrtCodes!$B$11:L130,5)</f>
        <v>1</v>
      </c>
      <c r="G74" s="1">
        <f>VLOOKUP($B74,[9]TrtCodes!$B$11:M130,6)</f>
        <v>2</v>
      </c>
      <c r="H74" s="1">
        <f>VLOOKUP($B74,[9]TrtCodes!$B$11:N130,7)</f>
        <v>3</v>
      </c>
      <c r="I74" s="1">
        <f>[9]FormattedData!B93</f>
        <v>2</v>
      </c>
      <c r="J74" s="4">
        <f>[9]FormattedData!C93</f>
        <v>13.49</v>
      </c>
      <c r="K74" s="6">
        <f>$J$3+[9]FormattedData!D93*$J$4+$M$4*$J$5+[9]FormattedData!D93^2*$J$6+$M$5*$J$7</f>
        <v>30.523981362794999</v>
      </c>
      <c r="L74" s="6">
        <f>$J$3+[9]FormattedData!E93*$J$4+$M$4*$J$5+[9]FormattedData!E93^2*$J$6+$M$5*$J$7</f>
        <v>29.550982236086384</v>
      </c>
      <c r="M74" s="6">
        <f>$J$3+[9]FormattedData!F93*$J$4+$M$4*$J$5+[9]FormattedData!F93^2*$J$6+$M$5*$J$7</f>
        <v>29.84332579374724</v>
      </c>
      <c r="N74" s="6">
        <f>$J$3+[9]FormattedData!G93*$J$4+$M$4*$J$5+[9]FormattedData!G93^2*$J$6+$M$5*$J$7</f>
        <v>29.062897602559659</v>
      </c>
      <c r="O74" s="6">
        <f>$J$3+[9]FormattedData!H93*$J$4+$M$4*$J$5+[9]FormattedData!H93^2*$J$6+$M$5*$J$7</f>
        <v>31.105751948999465</v>
      </c>
      <c r="P74" s="6">
        <f>$J$3+[9]FormattedData!I93*$J$4+$M$4*$J$5+[9]FormattedData!I93^2*$J$6+$M$5*$J$7</f>
        <v>28.279764224944479</v>
      </c>
      <c r="Q74" s="6">
        <f>$J$3+[9]FormattedData!J93*$J$4+$M$4*$J$5+[9]FormattedData!J93^2*$J$6+$M$5*$J$7</f>
        <v>30.718073965681548</v>
      </c>
      <c r="R74" s="6">
        <f>$J$3+[9]FormattedData!K93*$J$4+$M$4*$J$5+[9]FormattedData!K93^2*$J$6+$M$5*$J$7</f>
        <v>30.523981362794999</v>
      </c>
      <c r="S74" s="6">
        <f>$J$3+[9]FormattedData!L93*$J$4+$M$4*$J$5+[9]FormattedData!L93^2*$J$6+$M$5*$J$7</f>
        <v>29.355875188289485</v>
      </c>
      <c r="T74" s="6">
        <f>$J$3+[9]FormattedData!M93*$J$4+$M$4*$J$5+[9]FormattedData!M93^2*$J$6+$M$5*$J$7</f>
        <v>27.788932136452232</v>
      </c>
      <c r="U74" s="6">
        <f>$J$3+[9]FormattedData!N93*$J$4+$M$4*$J$5+[9]FormattedData!N93^2*$J$6+$M$5*$J$7</f>
        <v>26.705381910431345</v>
      </c>
      <c r="V74" s="6">
        <f>$J$3+[9]FormattedData!O93*$J$4+$M$4*$J$5+[9]FormattedData!O93^2*$J$6+$M$5*$J$7</f>
        <v>28.769539599988448</v>
      </c>
      <c r="W74" s="5">
        <f t="shared" ref="W74:W105" si="18">AVERAGE(K74:V74)</f>
        <v>29.352373944397524</v>
      </c>
      <c r="X74" s="4">
        <f t="shared" ref="X74:X85" si="19">STDEV(K74:V74)/SQRT(COUNT(K74:V74))</f>
        <v>0.3792955116610896</v>
      </c>
      <c r="Y74" s="3">
        <f t="shared" ref="Y74:Y85" si="20">MIN(K74:V74)</f>
        <v>26.705381910431345</v>
      </c>
      <c r="Z74" s="2">
        <f t="shared" ref="Z74:Z85" si="21">QUARTILE(K74:V74,1)</f>
        <v>28.647095756227458</v>
      </c>
      <c r="AA74" s="3">
        <f t="shared" ref="AA74:AA85" si="22">MEDIAN(K74:V74)</f>
        <v>29.453428712187936</v>
      </c>
      <c r="AB74" s="2">
        <f t="shared" ref="AB74:AB85" si="23">QUARTILE(K74:V74,3)</f>
        <v>30.523981362794999</v>
      </c>
      <c r="AC74" s="2">
        <f t="shared" ref="AC74:AC85" si="24">MAX(K74:V74)</f>
        <v>31.105751948999465</v>
      </c>
      <c r="AD74" s="2">
        <f t="shared" ref="AD74:AD85" si="25">SKEW(K74:V74)</f>
        <v>-0.6032758718790141</v>
      </c>
      <c r="AE74" s="2">
        <f t="shared" ref="AE74:AE85" si="26">KURT(K74:V74)</f>
        <v>-0.15942416314129648</v>
      </c>
    </row>
    <row r="75" spans="2:31" x14ac:dyDescent="0.2">
      <c r="B75" s="1">
        <f>[9]FormattedData!A91</f>
        <v>402</v>
      </c>
      <c r="C75" s="1" t="str">
        <f>VLOOKUP($B75,[9]TrtCodes!$B$11:I131,2)</f>
        <v>NTH</v>
      </c>
      <c r="D75" s="1">
        <f>VLOOKUP($B75,[9]TrtCodes!$B$11:J131,3)</f>
        <v>9</v>
      </c>
      <c r="E75" s="1">
        <f>VLOOKUP($B75,[9]TrtCodes!$B$11:K131,4)</f>
        <v>2</v>
      </c>
      <c r="F75" s="1">
        <f>VLOOKUP($B75,[9]TrtCodes!$B$11:L131,5)</f>
        <v>2</v>
      </c>
      <c r="G75" s="1">
        <f>VLOOKUP($B75,[9]TrtCodes!$B$11:M131,6)</f>
        <v>2</v>
      </c>
      <c r="H75" s="1">
        <f>VLOOKUP($B75,[9]TrtCodes!$B$11:N131,7)</f>
        <v>3</v>
      </c>
      <c r="I75" s="1">
        <f>[9]FormattedData!B91</f>
        <v>2</v>
      </c>
      <c r="J75" s="4">
        <f>[9]FormattedData!C91</f>
        <v>13.473000000000001</v>
      </c>
      <c r="K75" s="6">
        <f>$J$3+[9]FormattedData!D91*$J$4+$M$4*$J$5+[9]FormattedData!D91^2*$J$6+$M$5*$J$7</f>
        <v>31.879079025814626</v>
      </c>
      <c r="L75" s="6">
        <f>$J$3+[9]FormattedData!E91*$J$4+$M$4*$J$5+[9]FormattedData!E91^2*$J$6+$M$5*$J$7</f>
        <v>31.492753635710496</v>
      </c>
      <c r="M75" s="6">
        <f>$J$3+[9]FormattedData!F91*$J$4+$M$4*$J$5+[9]FormattedData!F91^2*$J$6+$M$5*$J$7</f>
        <v>33.033997416485619</v>
      </c>
      <c r="N75" s="6">
        <f>$J$3+[9]FormattedData!G91*$J$4+$M$4*$J$5+[9]FormattedData!G91^2*$J$6+$M$5*$J$7</f>
        <v>33.129965870211649</v>
      </c>
      <c r="O75" s="6">
        <f>$J$3+[9]FormattedData!H91*$J$4+$M$4*$J$5+[9]FormattedData!H91^2*$J$6+$M$5*$J$7</f>
        <v>32.168379248744444</v>
      </c>
      <c r="P75" s="6">
        <f>$J$3+[9]FormattedData!I91*$J$4+$M$4*$J$5+[9]FormattedData!I91^2*$J$6+$M$5*$J$7</f>
        <v>31.975554701995833</v>
      </c>
      <c r="Q75" s="6">
        <f>$J$3+[9]FormattedData!J91*$J$4+$M$4*$J$5+[9]FormattedData!J91^2*$J$6+$M$5*$J$7</f>
        <v>33.417617620162154</v>
      </c>
      <c r="R75" s="6">
        <f>$J$3+[9]FormattedData!K91*$J$4+$M$4*$J$5+[9]FormattedData!K91^2*$J$6+$M$5*$J$7</f>
        <v>31.39606661683964</v>
      </c>
      <c r="S75" s="6">
        <f>$J$3+[9]FormattedData!L91*$J$4+$M$4*$J$5+[9]FormattedData!L91^2*$J$6+$M$5*$J$7</f>
        <v>32.937986694221657</v>
      </c>
      <c r="T75" s="6">
        <f>$J$3+[9]FormattedData!M91*$J$4+$M$4*$J$5+[9]FormattedData!M91^2*$J$6+$M$5*$J$7</f>
        <v>31.492753635710496</v>
      </c>
      <c r="U75" s="6">
        <f>$J$3+[9]FormattedData!N91*$J$4+$M$4*$J$5+[9]FormattedData!N91^2*$J$6+$M$5*$J$7</f>
        <v>32.168379248744444</v>
      </c>
      <c r="V75" s="6">
        <f>$J$3+[9]FormattedData!O91*$J$4+$M$4*$J$5+[9]FormattedData!O91^2*$J$6+$M$5*$J$7</f>
        <v>30.329719685756722</v>
      </c>
      <c r="W75" s="5">
        <f t="shared" si="18"/>
        <v>32.118521116699817</v>
      </c>
      <c r="X75" s="4">
        <f t="shared" si="19"/>
        <v>0.25831560190051656</v>
      </c>
      <c r="Y75" s="3">
        <f t="shared" si="20"/>
        <v>30.329719685756722</v>
      </c>
      <c r="Z75" s="2">
        <f t="shared" si="21"/>
        <v>31.492753635710496</v>
      </c>
      <c r="AA75" s="3">
        <f t="shared" si="22"/>
        <v>32.071966975370138</v>
      </c>
      <c r="AB75" s="2">
        <f t="shared" si="23"/>
        <v>32.961989374787649</v>
      </c>
      <c r="AC75" s="2">
        <f t="shared" si="24"/>
        <v>33.417617620162154</v>
      </c>
      <c r="AD75" s="2">
        <f t="shared" si="25"/>
        <v>-0.31404975657458206</v>
      </c>
      <c r="AE75" s="2">
        <f t="shared" si="26"/>
        <v>-0.13307911974772946</v>
      </c>
    </row>
    <row r="76" spans="2:31" x14ac:dyDescent="0.2">
      <c r="B76" s="1">
        <f>[9]FormattedData!A89</f>
        <v>403</v>
      </c>
      <c r="C76" s="1" t="str">
        <f>VLOOKUP($B76,[9]TrtCodes!$B$11:I132,2)</f>
        <v>FDL</v>
      </c>
      <c r="D76" s="1">
        <f>VLOOKUP($B76,[9]TrtCodes!$B$11:J132,3)</f>
        <v>6</v>
      </c>
      <c r="E76" s="1">
        <f>VLOOKUP($B76,[9]TrtCodes!$B$11:K132,4)</f>
        <v>1</v>
      </c>
      <c r="F76" s="1">
        <f>VLOOKUP($B76,[9]TrtCodes!$B$11:L132,5)</f>
        <v>3</v>
      </c>
      <c r="G76" s="1">
        <f>VLOOKUP($B76,[9]TrtCodes!$B$11:M132,6)</f>
        <v>1</v>
      </c>
      <c r="H76" s="1">
        <f>VLOOKUP($B76,[9]TrtCodes!$B$11:N132,7)</f>
        <v>3</v>
      </c>
      <c r="I76" s="1">
        <f>[9]FormattedData!B89</f>
        <v>2</v>
      </c>
      <c r="J76" s="4">
        <f>[9]FormattedData!C89</f>
        <v>13.456</v>
      </c>
      <c r="K76" s="6">
        <f>$J$3+[9]FormattedData!D89*$J$4+$M$4*$J$5+[9]FormattedData!D89^2*$J$6+$M$5*$J$7</f>
        <v>29.550982236086384</v>
      </c>
      <c r="L76" s="6">
        <f>$J$3+[9]FormattedData!E89*$J$4+$M$4*$J$5+[9]FormattedData!E89^2*$J$6+$M$5*$J$7</f>
        <v>28.475801180575864</v>
      </c>
      <c r="M76" s="6">
        <f>$J$3+[9]FormattedData!F89*$J$4+$M$4*$J$5+[9]FormattedData!F89^2*$J$6+$M$5*$J$7</f>
        <v>29.64847235717793</v>
      </c>
      <c r="N76" s="6">
        <f>$J$3+[9]FormattedData!G89*$J$4+$M$4*$J$5+[9]FormattedData!G89^2*$J$6+$M$5*$J$7</f>
        <v>30.329719685756722</v>
      </c>
      <c r="O76" s="6">
        <f>$J$3+[9]FormattedData!H89*$J$4+$M$4*$J$5+[9]FormattedData!H89^2*$J$6+$M$5*$J$7</f>
        <v>29.355875188289485</v>
      </c>
      <c r="P76" s="6">
        <f>$J$3+[9]FormattedData!I89*$J$4+$M$4*$J$5+[9]FormattedData!I89^2*$J$6+$M$5*$J$7</f>
        <v>29.84332579374724</v>
      </c>
      <c r="Q76" s="6">
        <f>$J$3+[9]FormattedData!J89*$J$4+$M$4*$J$5+[9]FormattedData!J89^2*$J$6+$M$5*$J$7</f>
        <v>29.062897602559659</v>
      </c>
      <c r="R76" s="6">
        <f>$J$3+[9]FormattedData!K89*$J$4+$M$4*$J$5+[9]FormattedData!K89^2*$J$6+$M$5*$J$7</f>
        <v>29.453449846456898</v>
      </c>
      <c r="S76" s="6">
        <f>$J$3+[9]FormattedData!L89*$J$4+$M$4*$J$5+[9]FormattedData!L89^2*$J$6+$M$5*$J$7</f>
        <v>29.453449846456898</v>
      </c>
      <c r="T76" s="6">
        <f>$J$3+[9]FormattedData!M89*$J$4+$M$4*$J$5+[9]FormattedData!M89^2*$J$6+$M$5*$J$7</f>
        <v>28.475801180575864</v>
      </c>
      <c r="U76" s="6">
        <f>$J$3+[9]FormattedData!N89*$J$4+$M$4*$J$5+[9]FormattedData!N89^2*$J$6+$M$5*$J$7</f>
        <v>29.062897602559659</v>
      </c>
      <c r="V76" s="6">
        <f>$J$3+[9]FormattedData!O89*$J$4+$M$4*$J$5+[9]FormattedData!O89^2*$J$6+$M$5*$J$7</f>
        <v>27.985391777462926</v>
      </c>
      <c r="W76" s="5">
        <f t="shared" si="18"/>
        <v>29.224838691475455</v>
      </c>
      <c r="X76" s="4">
        <f t="shared" si="19"/>
        <v>0.18912904357175783</v>
      </c>
      <c r="Y76" s="3">
        <f t="shared" si="20"/>
        <v>27.985391777462926</v>
      </c>
      <c r="Z76" s="2">
        <f t="shared" si="21"/>
        <v>28.916123497063708</v>
      </c>
      <c r="AA76" s="3">
        <f t="shared" si="22"/>
        <v>29.40466251737319</v>
      </c>
      <c r="AB76" s="2">
        <f t="shared" si="23"/>
        <v>29.575354766359268</v>
      </c>
      <c r="AC76" s="2">
        <f t="shared" si="24"/>
        <v>30.329719685756722</v>
      </c>
      <c r="AD76" s="2">
        <f t="shared" si="25"/>
        <v>-0.39987706025597025</v>
      </c>
      <c r="AE76" s="2">
        <f t="shared" si="26"/>
        <v>-3.3482557821141068E-2</v>
      </c>
    </row>
    <row r="77" spans="2:31" x14ac:dyDescent="0.2">
      <c r="B77" s="1">
        <f>[9]FormattedData!A87</f>
        <v>404</v>
      </c>
      <c r="C77" s="1" t="str">
        <f>VLOOKUP($B77,[9]TrtCodes!$B$11:I130,2)</f>
        <v>FTH</v>
      </c>
      <c r="D77" s="1">
        <f>VLOOKUP($B77,[9]TrtCodes!$B$11:J130,3)</f>
        <v>3</v>
      </c>
      <c r="E77" s="1">
        <f>VLOOKUP($B77,[9]TrtCodes!$B$11:K130,4)</f>
        <v>1</v>
      </c>
      <c r="F77" s="1">
        <f>VLOOKUP($B77,[9]TrtCodes!$B$11:L130,5)</f>
        <v>2</v>
      </c>
      <c r="G77" s="1">
        <f>VLOOKUP($B77,[9]TrtCodes!$B$11:M130,6)</f>
        <v>2</v>
      </c>
      <c r="H77" s="1">
        <f>VLOOKUP($B77,[9]TrtCodes!$B$11:N130,7)</f>
        <v>3</v>
      </c>
      <c r="I77" s="1">
        <f>[9]FormattedData!B87</f>
        <v>2</v>
      </c>
      <c r="J77" s="4">
        <f>[9]FormattedData!C87</f>
        <v>13.441000000000001</v>
      </c>
      <c r="K77" s="6">
        <f>$J$3+[9]FormattedData!D87*$J$4+$M$4*$J$5+[9]FormattedData!D87^2*$J$6+$M$5*$J$7</f>
        <v>32.457299054832887</v>
      </c>
      <c r="L77" s="6">
        <f>$J$3+[9]FormattedData!E87*$J$4+$M$4*$J$5+[9]FormattedData!E87^2*$J$6+$M$5*$J$7</f>
        <v>29.258258261584142</v>
      </c>
      <c r="M77" s="6">
        <f>$J$3+[9]FormattedData!F87*$J$4+$M$4*$J$5+[9]FormattedData!F87^2*$J$6+$M$5*$J$7</f>
        <v>30.621048798507235</v>
      </c>
      <c r="N77" s="6">
        <f>$J$3+[9]FormattedData!G87*$J$4+$M$4*$J$5+[9]FormattedData!G87^2*$J$6+$M$5*$J$7</f>
        <v>31.105751948999465</v>
      </c>
      <c r="O77" s="6">
        <f>$J$3+[9]FormattedData!H87*$J$4+$M$4*$J$5+[9]FormattedData!H87^2*$J$6+$M$5*$J$7</f>
        <v>30.13528893456672</v>
      </c>
      <c r="P77" s="6">
        <f>$J$3+[9]FormattedData!I87*$J$4+$M$4*$J$5+[9]FormattedData!I87^2*$J$6+$M$5*$J$7</f>
        <v>29.64847235717793</v>
      </c>
      <c r="Q77" s="6">
        <f>$J$3+[9]FormattedData!J87*$J$4+$M$4*$J$5+[9]FormattedData!J87^2*$J$6+$M$5*$J$7</f>
        <v>30.329719685756722</v>
      </c>
      <c r="R77" s="6">
        <f>$J$3+[9]FormattedData!K87*$J$4+$M$4*$J$5+[9]FormattedData!K87^2*$J$6+$M$5*$J$7</f>
        <v>31.105751948999465</v>
      </c>
      <c r="S77" s="6">
        <f>$J$3+[9]FormattedData!L87*$J$4+$M$4*$J$5+[9]FormattedData!L87^2*$J$6+$M$5*$J$7</f>
        <v>30.911997494416372</v>
      </c>
      <c r="T77" s="6">
        <f>$J$3+[9]FormattedData!M87*$J$4+$M$4*$J$5+[9]FormattedData!M87^2*$J$6+$M$5*$J$7</f>
        <v>30.718073965681548</v>
      </c>
      <c r="U77" s="6">
        <f>$J$3+[9]FormattedData!N87*$J$4+$M$4*$J$5+[9]FormattedData!N87^2*$J$6+$M$5*$J$7</f>
        <v>31.39606661683964</v>
      </c>
      <c r="V77" s="6">
        <f>$J$3+[9]FormattedData!O87*$J$4+$M$4*$J$5+[9]FormattedData!O87^2*$J$6+$M$5*$J$7</f>
        <v>31.299337329430841</v>
      </c>
      <c r="W77" s="5">
        <f t="shared" si="18"/>
        <v>30.748922199732743</v>
      </c>
      <c r="X77" s="4">
        <f t="shared" si="19"/>
        <v>0.24501393384770306</v>
      </c>
      <c r="Y77" s="3">
        <f t="shared" si="20"/>
        <v>29.258258261584142</v>
      </c>
      <c r="Z77" s="2">
        <f t="shared" si="21"/>
        <v>30.281111997959222</v>
      </c>
      <c r="AA77" s="3">
        <f t="shared" si="22"/>
        <v>30.815035730048962</v>
      </c>
      <c r="AB77" s="2">
        <f t="shared" si="23"/>
        <v>31.154148294107308</v>
      </c>
      <c r="AC77" s="2">
        <f t="shared" si="24"/>
        <v>32.457299054832887</v>
      </c>
      <c r="AD77" s="2">
        <f t="shared" si="25"/>
        <v>0.10118391359060691</v>
      </c>
      <c r="AE77" s="2">
        <f t="shared" si="26"/>
        <v>0.64135175765496211</v>
      </c>
    </row>
    <row r="78" spans="2:31" x14ac:dyDescent="0.2">
      <c r="B78" s="1">
        <f>[9]FormattedData!A85</f>
        <v>405</v>
      </c>
      <c r="C78" s="1" t="str">
        <f>VLOOKUP($B78,[9]TrtCodes!$B$11:I128,2)</f>
        <v>FDL</v>
      </c>
      <c r="D78" s="1">
        <f>VLOOKUP($B78,[9]TrtCodes!$B$11:J128,3)</f>
        <v>6</v>
      </c>
      <c r="E78" s="1">
        <f>VLOOKUP($B78,[9]TrtCodes!$B$11:K128,4)</f>
        <v>1</v>
      </c>
      <c r="F78" s="1">
        <f>VLOOKUP($B78,[9]TrtCodes!$B$11:L128,5)</f>
        <v>3</v>
      </c>
      <c r="G78" s="1">
        <f>VLOOKUP($B78,[9]TrtCodes!$B$11:M128,6)</f>
        <v>1</v>
      </c>
      <c r="H78" s="1">
        <f>VLOOKUP($B78,[9]TrtCodes!$B$11:N128,7)</f>
        <v>4</v>
      </c>
      <c r="I78" s="1">
        <f>[9]FormattedData!B85</f>
        <v>2</v>
      </c>
      <c r="J78" s="4">
        <f>[9]FormattedData!C85</f>
        <v>13.382</v>
      </c>
      <c r="K78" s="6">
        <f>$J$3+[9]FormattedData!D85*$J$4+$M$4*$J$5+[9]FormattedData!D85^2*$J$6+$M$5*$J$7</f>
        <v>29.453449846456898</v>
      </c>
      <c r="L78" s="6">
        <f>$J$3+[9]FormattedData!E85*$J$4+$M$4*$J$5+[9]FormattedData!E85^2*$J$6+$M$5*$J$7</f>
        <v>31.492753635710496</v>
      </c>
      <c r="M78" s="6">
        <f>$J$3+[9]FormattedData!F85*$J$4+$M$4*$J$5+[9]FormattedData!F85^2*$J$6+$M$5*$J$7</f>
        <v>30.718073965681548</v>
      </c>
      <c r="N78" s="6">
        <f>$J$3+[9]FormattedData!G85*$J$4+$M$4*$J$5+[9]FormattedData!G85^2*$J$6+$M$5*$J$7</f>
        <v>32.649700916202185</v>
      </c>
      <c r="O78" s="6">
        <f>$J$3+[9]FormattedData!H85*$J$4+$M$4*$J$5+[9]FormattedData!H85^2*$J$6+$M$5*$J$7</f>
        <v>31.39606661683964</v>
      </c>
      <c r="P78" s="6">
        <f>$J$3+[9]FormattedData!I85*$J$4+$M$4*$J$5+[9]FormattedData!I85^2*$J$6+$M$5*$J$7</f>
        <v>28.279764224944479</v>
      </c>
      <c r="Q78" s="6">
        <f>$J$3+[9]FormattedData!J85*$J$4+$M$4*$J$5+[9]FormattedData!J85^2*$J$6+$M$5*$J$7</f>
        <v>30.911997494416372</v>
      </c>
      <c r="R78" s="6">
        <f>$J$3+[9]FormattedData!K85*$J$4+$M$4*$J$5+[9]FormattedData!K85^2*$J$6+$M$5*$J$7</f>
        <v>29.355875188289485</v>
      </c>
      <c r="S78" s="6">
        <f>$J$3+[9]FormattedData!L85*$J$4+$M$4*$J$5+[9]FormattedData!L85^2*$J$6+$M$5*$J$7</f>
        <v>30.621048798507235</v>
      </c>
      <c r="T78" s="6">
        <f>$J$3+[9]FormattedData!M85*$J$4+$M$4*$J$5+[9]FormattedData!M85^2*$J$6+$M$5*$J$7</f>
        <v>29.453449846456898</v>
      </c>
      <c r="U78" s="6">
        <f>$J$3+[9]FormattedData!N85*$J$4+$M$4*$J$5+[9]FormattedData!N85^2*$J$6+$M$5*$J$7</f>
        <v>29.64847235717793</v>
      </c>
      <c r="V78" s="6">
        <f>$J$3+[9]FormattedData!O85*$J$4+$M$4*$J$5+[9]FormattedData!O85^2*$J$6+$M$5*$J$7</f>
        <v>29.64847235717793</v>
      </c>
      <c r="W78" s="5">
        <f t="shared" si="18"/>
        <v>30.302427103988425</v>
      </c>
      <c r="X78" s="4">
        <f t="shared" si="19"/>
        <v>0.34872539758094517</v>
      </c>
      <c r="Y78" s="3">
        <f t="shared" si="20"/>
        <v>28.279764224944479</v>
      </c>
      <c r="Z78" s="2">
        <f t="shared" si="21"/>
        <v>29.453449846456898</v>
      </c>
      <c r="AA78" s="3">
        <f t="shared" si="22"/>
        <v>30.134760577842584</v>
      </c>
      <c r="AB78" s="2">
        <f t="shared" si="23"/>
        <v>31.033014775022188</v>
      </c>
      <c r="AC78" s="2">
        <f t="shared" si="24"/>
        <v>32.649700916202185</v>
      </c>
      <c r="AD78" s="2">
        <f t="shared" si="25"/>
        <v>0.33117696846683331</v>
      </c>
      <c r="AE78" s="2">
        <f t="shared" si="26"/>
        <v>-0.11774081061788033</v>
      </c>
    </row>
    <row r="79" spans="2:31" x14ac:dyDescent="0.2">
      <c r="B79" s="1">
        <f>[9]FormattedData!A83</f>
        <v>406</v>
      </c>
      <c r="C79" s="1" t="str">
        <f>VLOOKUP($B79,[9]TrtCodes!$B$11:I126,2)</f>
        <v>FTH</v>
      </c>
      <c r="D79" s="1">
        <f>VLOOKUP($B79,[9]TrtCodes!$B$11:J126,3)</f>
        <v>3</v>
      </c>
      <c r="E79" s="1">
        <f>VLOOKUP($B79,[9]TrtCodes!$B$11:K126,4)</f>
        <v>1</v>
      </c>
      <c r="F79" s="1">
        <f>VLOOKUP($B79,[9]TrtCodes!$B$11:L126,5)</f>
        <v>2</v>
      </c>
      <c r="G79" s="1">
        <f>VLOOKUP($B79,[9]TrtCodes!$B$11:M126,6)</f>
        <v>2</v>
      </c>
      <c r="H79" s="1">
        <f>VLOOKUP($B79,[9]TrtCodes!$B$11:N126,7)</f>
        <v>4</v>
      </c>
      <c r="I79" s="1">
        <f>[9]FormattedData!B83</f>
        <v>2</v>
      </c>
      <c r="J79" s="4">
        <f>[9]FormattedData!C83</f>
        <v>13.36</v>
      </c>
      <c r="K79" s="6">
        <f>$J$3+[9]FormattedData!D83*$J$4+$M$4*$J$5+[9]FormattedData!D83^2*$J$6+$M$5*$J$7</f>
        <v>28.475801180575864</v>
      </c>
      <c r="L79" s="6">
        <f>$J$3+[9]FormattedData!E83*$J$4+$M$4*$J$5+[9]FormattedData!E83^2*$J$6+$M$5*$J$7</f>
        <v>29.453449846456898</v>
      </c>
      <c r="M79" s="6">
        <f>$J$3+[9]FormattedData!F83*$J$4+$M$4*$J$5+[9]FormattedData!F83^2*$J$6+$M$5*$J$7</f>
        <v>29.062897602559659</v>
      </c>
      <c r="N79" s="6">
        <f>$J$3+[9]FormattedData!G83*$J$4+$M$4*$J$5+[9]FormattedData!G83^2*$J$6+$M$5*$J$7</f>
        <v>27.788932136452232</v>
      </c>
      <c r="O79" s="6">
        <f>$J$3+[9]FormattedData!H83*$J$4+$M$4*$J$5+[9]FormattedData!H83^2*$J$6+$M$5*$J$7</f>
        <v>27.887183091226543</v>
      </c>
      <c r="P79" s="6">
        <f>$J$3+[9]FormattedData!I83*$J$4+$M$4*$J$5+[9]FormattedData!I83^2*$J$6+$M$5*$J$7</f>
        <v>28.671669062055518</v>
      </c>
      <c r="Q79" s="6">
        <f>$J$3+[9]FormattedData!J83*$J$4+$M$4*$J$5+[9]FormattedData!J83^2*$J$6+$M$5*$J$7</f>
        <v>29.745920209731555</v>
      </c>
      <c r="R79" s="6">
        <f>$J$3+[9]FormattedData!K83*$J$4+$M$4*$J$5+[9]FormattedData!K83^2*$J$6+$M$5*$J$7</f>
        <v>29.745920209731555</v>
      </c>
      <c r="S79" s="6">
        <f>$J$3+[9]FormattedData!L83*$J$4+$M$4*$J$5+[9]FormattedData!L83^2*$J$6+$M$5*$J$7</f>
        <v>28.573756255584655</v>
      </c>
      <c r="T79" s="6">
        <f>$J$3+[9]FormattedData!M83*$J$4+$M$4*$J$5+[9]FormattedData!M83^2*$J$6+$M$5*$J$7</f>
        <v>30.13528893456672</v>
      </c>
      <c r="U79" s="6">
        <f>$J$3+[9]FormattedData!N83*$J$4+$M$4*$J$5+[9]FormattedData!N83^2*$J$6+$M$5*$J$7</f>
        <v>39.556658733595256</v>
      </c>
      <c r="V79" s="6">
        <f>$J$3+[9]FormattedData!O83*$J$4+$M$4*$J$5+[9]FormattedData!O83^2*$J$6+$M$5*$J$7</f>
        <v>39.370428078763901</v>
      </c>
      <c r="W79" s="5">
        <f t="shared" si="18"/>
        <v>30.705658778441702</v>
      </c>
      <c r="X79" s="4">
        <f t="shared" si="19"/>
        <v>1.1996152276661465</v>
      </c>
      <c r="Y79" s="3">
        <f t="shared" si="20"/>
        <v>27.788932136452232</v>
      </c>
      <c r="Z79" s="2">
        <f t="shared" si="21"/>
        <v>28.549267486832456</v>
      </c>
      <c r="AA79" s="3">
        <f t="shared" si="22"/>
        <v>29.258173724508278</v>
      </c>
      <c r="AB79" s="2">
        <f t="shared" si="23"/>
        <v>29.843262390940346</v>
      </c>
      <c r="AC79" s="2">
        <f t="shared" si="24"/>
        <v>39.556658733595256</v>
      </c>
      <c r="AD79" s="2">
        <f t="shared" si="25"/>
        <v>1.9141609999223466</v>
      </c>
      <c r="AE79" s="2">
        <f t="shared" si="26"/>
        <v>2.2986642763673579</v>
      </c>
    </row>
    <row r="80" spans="2:31" x14ac:dyDescent="0.2">
      <c r="B80" s="1">
        <f>[9]FormattedData!A81</f>
        <v>407</v>
      </c>
      <c r="C80" s="1" t="str">
        <f>VLOOKUP($B80,[9]TrtCodes!$B$11:I124,2)</f>
        <v>NSH</v>
      </c>
      <c r="D80" s="1">
        <f>VLOOKUP($B80,[9]TrtCodes!$B$11:J124,3)</f>
        <v>7</v>
      </c>
      <c r="E80" s="1">
        <f>VLOOKUP($B80,[9]TrtCodes!$B$11:K124,4)</f>
        <v>2</v>
      </c>
      <c r="F80" s="1">
        <f>VLOOKUP($B80,[9]TrtCodes!$B$11:L124,5)</f>
        <v>1</v>
      </c>
      <c r="G80" s="1">
        <f>VLOOKUP($B80,[9]TrtCodes!$B$11:M124,6)</f>
        <v>2</v>
      </c>
      <c r="H80" s="1">
        <f>VLOOKUP($B80,[9]TrtCodes!$B$11:N124,7)</f>
        <v>4</v>
      </c>
      <c r="I80" s="1">
        <f>[9]FormattedData!B81</f>
        <v>2</v>
      </c>
      <c r="J80" s="4">
        <f>[9]FormattedData!C81</f>
        <v>13.337999999999999</v>
      </c>
      <c r="K80" s="6">
        <f>$J$3+[9]FormattedData!D81*$J$4+$M$4*$J$5+[9]FormattedData!D81^2*$J$6+$M$5*$J$7</f>
        <v>30.038010156164827</v>
      </c>
      <c r="L80" s="6">
        <f>$J$3+[9]FormattedData!E81*$J$4+$M$4*$J$5+[9]FormattedData!E81^2*$J$6+$M$5*$J$7</f>
        <v>27.592303421289817</v>
      </c>
      <c r="M80" s="6">
        <f>$J$3+[9]FormattedData!F81*$J$4+$M$4*$J$5+[9]FormattedData!F81^2*$J$6+$M$5*$J$7</f>
        <v>29.258258261584142</v>
      </c>
      <c r="N80" s="6">
        <f>$J$3+[9]FormattedData!G81*$J$4+$M$4*$J$5+[9]FormattedData!G81^2*$J$6+$M$5*$J$7</f>
        <v>28.475801180575864</v>
      </c>
      <c r="O80" s="6">
        <f>$J$3+[9]FormattedData!H81*$J$4+$M$4*$J$5+[9]FormattedData!H81^2*$J$6+$M$5*$J$7</f>
        <v>30.523981362794999</v>
      </c>
      <c r="P80" s="6">
        <f>$J$3+[9]FormattedData!I81*$J$4+$M$4*$J$5+[9]FormattedData!I81^2*$J$6+$M$5*$J$7</f>
        <v>29.64847235717793</v>
      </c>
      <c r="Q80" s="6">
        <f>$J$3+[9]FormattedData!J81*$J$4+$M$4*$J$5+[9]FormattedData!J81^2*$J$6+$M$5*$J$7</f>
        <v>31.105751948999465</v>
      </c>
      <c r="R80" s="6">
        <f>$J$3+[9]FormattedData!K81*$J$4+$M$4*$J$5+[9]FormattedData!K81^2*$J$6+$M$5*$J$7</f>
        <v>29.550982236086384</v>
      </c>
      <c r="S80" s="6">
        <f>$J$3+[9]FormattedData!L81*$J$4+$M$4*$J$5+[9]FormattedData!L81^2*$J$6+$M$5*$J$7</f>
        <v>30.232525444430692</v>
      </c>
      <c r="T80" s="6">
        <f>$J$3+[9]FormattedData!M81*$J$4+$M$4*$J$5+[9]FormattedData!M81^2*$J$6+$M$5*$J$7</f>
        <v>30.232525444430692</v>
      </c>
      <c r="U80" s="6">
        <f>$J$3+[9]FormattedData!N81*$J$4+$M$4*$J$5+[9]FormattedData!N81^2*$J$6+$M$5*$J$7</f>
        <v>29.355875188289485</v>
      </c>
      <c r="V80" s="6">
        <f>$J$3+[9]FormattedData!O81*$J$4+$M$4*$J$5+[9]FormattedData!O81^2*$J$6+$M$5*$J$7</f>
        <v>29.453449846456898</v>
      </c>
      <c r="W80" s="5">
        <f t="shared" si="18"/>
        <v>29.622328070690099</v>
      </c>
      <c r="X80" s="4">
        <f t="shared" si="19"/>
        <v>0.26974117625004002</v>
      </c>
      <c r="Y80" s="3">
        <f t="shared" si="20"/>
        <v>27.592303421289817</v>
      </c>
      <c r="Z80" s="2">
        <f t="shared" si="21"/>
        <v>29.331470956613149</v>
      </c>
      <c r="AA80" s="3">
        <f t="shared" si="22"/>
        <v>29.599727296632157</v>
      </c>
      <c r="AB80" s="2">
        <f t="shared" si="23"/>
        <v>30.232525444430692</v>
      </c>
      <c r="AC80" s="2">
        <f t="shared" si="24"/>
        <v>31.105751948999465</v>
      </c>
      <c r="AD80" s="2">
        <f t="shared" si="25"/>
        <v>-0.72494153452516119</v>
      </c>
      <c r="AE80" s="2">
        <f t="shared" si="26"/>
        <v>1.0399921999837449</v>
      </c>
    </row>
    <row r="81" spans="2:31" x14ac:dyDescent="0.2">
      <c r="B81" s="1">
        <f>[9]FormattedData!A79</f>
        <v>408</v>
      </c>
      <c r="C81" s="1" t="str">
        <f>VLOOKUP($B81,[9]TrtCodes!$B$11:I122,2)</f>
        <v>NTL</v>
      </c>
      <c r="D81" s="1">
        <f>VLOOKUP($B81,[9]TrtCodes!$B$11:J122,3)</f>
        <v>10</v>
      </c>
      <c r="E81" s="1">
        <f>VLOOKUP($B81,[9]TrtCodes!$B$11:K122,4)</f>
        <v>2</v>
      </c>
      <c r="F81" s="1">
        <f>VLOOKUP($B81,[9]TrtCodes!$B$11:L122,5)</f>
        <v>2</v>
      </c>
      <c r="G81" s="1">
        <f>VLOOKUP($B81,[9]TrtCodes!$B$11:M122,6)</f>
        <v>1</v>
      </c>
      <c r="H81" s="1">
        <f>VLOOKUP($B81,[9]TrtCodes!$B$11:N122,7)</f>
        <v>4</v>
      </c>
      <c r="I81" s="1">
        <f>[9]FormattedData!B79</f>
        <v>2</v>
      </c>
      <c r="J81" s="4">
        <f>[9]FormattedData!C79</f>
        <v>13.323</v>
      </c>
      <c r="K81" s="6">
        <f>$J$3+[9]FormattedData!D79*$J$4+$M$4*$J$5+[9]FormattedData!D79^2*$J$6+$M$5*$J$7</f>
        <v>30.621048798507235</v>
      </c>
      <c r="L81" s="6">
        <f>$J$3+[9]FormattedData!E79*$J$4+$M$4*$J$5+[9]FormattedData!E79^2*$J$6+$M$5*$J$7</f>
        <v>30.232525444430692</v>
      </c>
      <c r="M81" s="6">
        <f>$J$3+[9]FormattedData!F79*$J$4+$M$4*$J$5+[9]FormattedData!F79^2*$J$6+$M$5*$J$7</f>
        <v>32.649700916202185</v>
      </c>
      <c r="N81" s="6">
        <f>$J$3+[9]FormattedData!G79*$J$4+$M$4*$J$5+[9]FormattedData!G79^2*$J$6+$M$5*$J$7</f>
        <v>32.553521119786502</v>
      </c>
      <c r="O81" s="6">
        <f>$J$3+[9]FormattedData!H79*$J$4+$M$4*$J$5+[9]FormattedData!H79^2*$J$6+$M$5*$J$7</f>
        <v>31.492753635710496</v>
      </c>
      <c r="P81" s="6">
        <f>$J$3+[9]FormattedData!I79*$J$4+$M$4*$J$5+[9]FormattedData!I79^2*$J$6+$M$5*$J$7</f>
        <v>32.649700916202185</v>
      </c>
      <c r="Q81" s="6">
        <f>$J$3+[9]FormattedData!J79*$J$4+$M$4*$J$5+[9]FormattedData!J79^2*$J$6+$M$5*$J$7</f>
        <v>33.033997416485619</v>
      </c>
      <c r="R81" s="6">
        <f>$J$3+[9]FormattedData!K79*$J$4+$M$4*$J$5+[9]FormattedData!K79^2*$J$6+$M$5*$J$7</f>
        <v>32.361034721341333</v>
      </c>
      <c r="S81" s="6">
        <f>$J$3+[9]FormattedData!L79*$J$4+$M$4*$J$5+[9]FormattedData!L79^2*$J$6+$M$5*$J$7</f>
        <v>31.008895855976885</v>
      </c>
      <c r="T81" s="6">
        <f>$J$3+[9]FormattedData!M79*$J$4+$M$4*$J$5+[9]FormattedData!M79^2*$J$6+$M$5*$J$7</f>
        <v>30.718073965681548</v>
      </c>
      <c r="U81" s="6">
        <f>$J$3+[9]FormattedData!N79*$J$4+$M$4*$J$5+[9]FormattedData!N79^2*$J$6+$M$5*$J$7</f>
        <v>33.609174110772827</v>
      </c>
      <c r="V81" s="6">
        <f>$J$3+[9]FormattedData!O79*$J$4+$M$4*$J$5+[9]FormattedData!O79^2*$J$6+$M$5*$J$7</f>
        <v>30.815056864317924</v>
      </c>
      <c r="W81" s="5">
        <f t="shared" si="18"/>
        <v>31.812123647117946</v>
      </c>
      <c r="X81" s="4">
        <f t="shared" si="19"/>
        <v>0.32366812830284047</v>
      </c>
      <c r="Y81" s="3">
        <f t="shared" si="20"/>
        <v>30.232525444430692</v>
      </c>
      <c r="Z81" s="2">
        <f t="shared" si="21"/>
        <v>30.790811139658828</v>
      </c>
      <c r="AA81" s="3">
        <f t="shared" si="22"/>
        <v>31.926894178525913</v>
      </c>
      <c r="AB81" s="2">
        <f t="shared" si="23"/>
        <v>32.649700916202185</v>
      </c>
      <c r="AC81" s="2">
        <f t="shared" si="24"/>
        <v>33.609174110772827</v>
      </c>
      <c r="AD81" s="2">
        <f t="shared" si="25"/>
        <v>6.9124060365995499E-2</v>
      </c>
      <c r="AE81" s="2">
        <f t="shared" si="26"/>
        <v>-1.5285767262409427</v>
      </c>
    </row>
    <row r="82" spans="2:31" x14ac:dyDescent="0.2">
      <c r="B82" s="1">
        <f>[9]FormattedData!A59</f>
        <v>902</v>
      </c>
      <c r="C82" s="1" t="str">
        <f>VLOOKUP($B82,[9]TrtCodes!$B$11:I102,2)</f>
        <v>Late</v>
      </c>
      <c r="D82" s="1">
        <f>VLOOKUP($B82,[9]TrtCodes!$B$11:J102,3)</f>
        <v>22</v>
      </c>
      <c r="E82" s="1">
        <f>VLOOKUP($B82,[9]TrtCodes!$B$11:K102,4)</f>
        <v>4</v>
      </c>
      <c r="F82" s="1">
        <f>VLOOKUP($B82,[9]TrtCodes!$B$11:L102,5)</f>
        <v>2</v>
      </c>
      <c r="G82" s="1">
        <f>VLOOKUP($B82,[9]TrtCodes!$B$11:M102,6)</f>
        <v>2</v>
      </c>
      <c r="H82" s="1">
        <f>VLOOKUP($B82,[9]TrtCodes!$B$11:N102,7)</f>
        <v>1</v>
      </c>
      <c r="I82" s="1">
        <f>[9]FormattedData!B59</f>
        <v>2</v>
      </c>
      <c r="J82" s="4">
        <f>[9]FormattedData!C59</f>
        <v>13.173999999999999</v>
      </c>
      <c r="K82" s="6">
        <f>$J$3+[9]FormattedData!D59*$J$4+$M$4*$J$5+[9]FormattedData!D59^2*$J$6+$M$5*$J$7</f>
        <v>30.621048798507235</v>
      </c>
      <c r="L82" s="6">
        <f>$J$3+[9]FormattedData!E59*$J$4+$M$4*$J$5+[9]FormattedData!E59^2*$J$6+$M$5*$J$7</f>
        <v>29.84332579374724</v>
      </c>
      <c r="M82" s="6">
        <f>$J$3+[9]FormattedData!F59*$J$4+$M$4*$J$5+[9]FormattedData!F59^2*$J$6+$M$5*$J$7</f>
        <v>29.550982236086384</v>
      </c>
      <c r="N82" s="6">
        <f>$J$3+[9]FormattedData!G59*$J$4+$M$4*$J$5+[9]FormattedData!G59^2*$J$6+$M$5*$J$7</f>
        <v>29.453449846456898</v>
      </c>
      <c r="O82" s="6">
        <f>$J$3+[9]FormattedData!H59*$J$4+$M$4*$J$5+[9]FormattedData!H59^2*$J$6+$M$5*$J$7</f>
        <v>29.745920209731555</v>
      </c>
      <c r="P82" s="6">
        <f>$J$3+[9]FormattedData!I59*$J$4+$M$4*$J$5+[9]FormattedData!I59^2*$J$6+$M$5*$J$7</f>
        <v>27.887183091226543</v>
      </c>
      <c r="Q82" s="6">
        <f>$J$3+[9]FormattedData!J59*$J$4+$M$4*$J$5+[9]FormattedData!J59^2*$J$6+$M$5*$J$7</f>
        <v>29.453449846456898</v>
      </c>
      <c r="R82" s="6">
        <f>$J$3+[9]FormattedData!K59*$J$4+$M$4*$J$5+[9]FormattedData!K59^2*$J$6+$M$5*$J$7</f>
        <v>29.64847235717793</v>
      </c>
      <c r="S82" s="6">
        <f>$J$3+[9]FormattedData!L59*$J$4+$M$4*$J$5+[9]FormattedData!L59^2*$J$6+$M$5*$J$7</f>
        <v>29.550982236086384</v>
      </c>
      <c r="T82" s="6">
        <f>$J$3+[9]FormattedData!M59*$J$4+$M$4*$J$5+[9]FormattedData!M59^2*$J$6+$M$5*$J$7</f>
        <v>29.062897602559659</v>
      </c>
      <c r="U82" s="6">
        <f>$J$3+[9]FormattedData!N59*$J$4+$M$4*$J$5+[9]FormattedData!N59^2*$J$6+$M$5*$J$7</f>
        <v>28.573756255584655</v>
      </c>
      <c r="V82" s="6">
        <f>$J$3+[9]FormattedData!O59*$J$4+$M$4*$J$5+[9]FormattedData!O59^2*$J$6+$M$5*$J$7</f>
        <v>28.475801180575864</v>
      </c>
      <c r="W82" s="5">
        <f t="shared" si="18"/>
        <v>29.322272454516437</v>
      </c>
      <c r="X82" s="4">
        <f t="shared" si="19"/>
        <v>0.20937820332851664</v>
      </c>
      <c r="Y82" s="3">
        <f t="shared" si="20"/>
        <v>27.887183091226543</v>
      </c>
      <c r="Z82" s="2">
        <f t="shared" si="21"/>
        <v>28.940612265815908</v>
      </c>
      <c r="AA82" s="3">
        <f t="shared" si="22"/>
        <v>29.502216041271641</v>
      </c>
      <c r="AB82" s="2">
        <f t="shared" si="23"/>
        <v>29.672834320316337</v>
      </c>
      <c r="AC82" s="2">
        <f t="shared" si="24"/>
        <v>30.621048798507235</v>
      </c>
      <c r="AD82" s="2">
        <f t="shared" si="25"/>
        <v>-0.43669795718367282</v>
      </c>
      <c r="AE82" s="2">
        <f t="shared" si="26"/>
        <v>0.54558691169600682</v>
      </c>
    </row>
    <row r="83" spans="2:31" x14ac:dyDescent="0.2">
      <c r="B83" s="1">
        <f>[9]FormattedData!A55</f>
        <v>904</v>
      </c>
      <c r="C83" s="1" t="str">
        <f>VLOOKUP($B83,[9]TrtCodes!$B$11:I98,2)</f>
        <v>Early</v>
      </c>
      <c r="D83" s="1">
        <f>VLOOKUP($B83,[9]TrtCodes!$B$11:J98,3)</f>
        <v>21</v>
      </c>
      <c r="E83" s="1">
        <f>VLOOKUP($B83,[9]TrtCodes!$B$11:K98,4)</f>
        <v>3</v>
      </c>
      <c r="F83" s="1">
        <f>VLOOKUP($B83,[9]TrtCodes!$B$11:L98,5)</f>
        <v>2</v>
      </c>
      <c r="G83" s="1">
        <f>VLOOKUP($B83,[9]TrtCodes!$B$11:M98,6)</f>
        <v>2</v>
      </c>
      <c r="H83" s="1">
        <f>VLOOKUP($B83,[9]TrtCodes!$B$11:N98,7)</f>
        <v>1</v>
      </c>
      <c r="I83" s="1">
        <f>[9]FormattedData!B55</f>
        <v>2</v>
      </c>
      <c r="J83" s="4">
        <f>[9]FormattedData!C55</f>
        <v>13.154</v>
      </c>
      <c r="K83" s="6">
        <f>$J$3+[9]FormattedData!D55*$J$4+$M$4*$J$5+[9]FormattedData!D55^2*$J$6+$M$5*$J$7</f>
        <v>31.492753635710496</v>
      </c>
      <c r="L83" s="6">
        <f>$J$3+[9]FormattedData!E55*$J$4+$M$4*$J$5+[9]FormattedData!E55^2*$J$6+$M$5*$J$7</f>
        <v>33.513416999736457</v>
      </c>
      <c r="M83" s="6">
        <f>$J$3+[9]FormattedData!F55*$J$4+$M$4*$J$5+[9]FormattedData!F55^2*$J$6+$M$5*$J$7</f>
        <v>33.033997416485619</v>
      </c>
      <c r="N83" s="6">
        <f>$J$3+[9]FormattedData!G55*$J$4+$M$4*$J$5+[9]FormattedData!G55^2*$J$6+$M$5*$J$7</f>
        <v>32.361034721341333</v>
      </c>
      <c r="O83" s="6">
        <f>$J$3+[9]FormattedData!H55*$J$4+$M$4*$J$5+[9]FormattedData!H55^2*$J$6+$M$5*$J$7</f>
        <v>32.071988109639101</v>
      </c>
      <c r="P83" s="6">
        <f>$J$3+[9]FormattedData!I55*$J$4+$M$4*$J$5+[9]FormattedData!I55^2*$J$6+$M$5*$J$7</f>
        <v>30.42687165854483</v>
      </c>
      <c r="Q83" s="6">
        <f>$J$3+[9]FormattedData!J55*$J$4+$M$4*$J$5+[9]FormattedData!J55^2*$J$6+$M$5*$J$7</f>
        <v>33.129965870211649</v>
      </c>
      <c r="R83" s="6">
        <f>$J$3+[9]FormattedData!K55*$J$4+$M$4*$J$5+[9]FormattedData!K55^2*$J$6+$M$5*$J$7</f>
        <v>29.940689109225005</v>
      </c>
      <c r="S83" s="6">
        <f>$J$3+[9]FormattedData!L55*$J$4+$M$4*$J$5+[9]FormattedData!L55^2*$J$6+$M$5*$J$7</f>
        <v>32.649700916202185</v>
      </c>
      <c r="T83" s="6">
        <f>$J$3+[9]FormattedData!M55*$J$4+$M$4*$J$5+[9]FormattedData!M55^2*$J$6+$M$5*$J$7</f>
        <v>32.745838444079936</v>
      </c>
      <c r="U83" s="6">
        <f>$J$3+[9]FormattedData!N55*$J$4+$M$4*$J$5+[9]FormattedData!N55^2*$J$6+$M$5*$J$7</f>
        <v>31.202565773484125</v>
      </c>
      <c r="V83" s="6">
        <f>$J$3+[9]FormattedData!O55*$J$4+$M$4*$J$5+[9]FormattedData!O55^2*$J$6+$M$5*$J$7</f>
        <v>30.13528893456672</v>
      </c>
      <c r="W83" s="5">
        <f t="shared" si="18"/>
        <v>31.892009299102288</v>
      </c>
      <c r="X83" s="4">
        <f t="shared" si="19"/>
        <v>0.35564939500820852</v>
      </c>
      <c r="Y83" s="3">
        <f t="shared" si="20"/>
        <v>29.940689109225005</v>
      </c>
      <c r="Z83" s="2">
        <f t="shared" si="21"/>
        <v>31.0086422447493</v>
      </c>
      <c r="AA83" s="3">
        <f t="shared" si="22"/>
        <v>32.216511415490217</v>
      </c>
      <c r="AB83" s="2">
        <f t="shared" si="23"/>
        <v>32.817878187181357</v>
      </c>
      <c r="AC83" s="2">
        <f t="shared" si="24"/>
        <v>33.513416999736457</v>
      </c>
      <c r="AD83" s="2">
        <f t="shared" si="25"/>
        <v>-0.441743778163386</v>
      </c>
      <c r="AE83" s="2">
        <f t="shared" si="26"/>
        <v>-1.2459564398581295</v>
      </c>
    </row>
    <row r="84" spans="2:31" x14ac:dyDescent="0.2">
      <c r="B84" s="1">
        <f>[9]FormattedData!A51</f>
        <v>906</v>
      </c>
      <c r="C84" s="1" t="str">
        <f>VLOOKUP($B84,[9]TrtCodes!$B$11:I94,2)</f>
        <v>Late</v>
      </c>
      <c r="D84" s="1">
        <f>VLOOKUP($B84,[9]TrtCodes!$B$11:J94,3)</f>
        <v>22</v>
      </c>
      <c r="E84" s="1">
        <f>VLOOKUP($B84,[9]TrtCodes!$B$11:K94,4)</f>
        <v>4</v>
      </c>
      <c r="F84" s="1">
        <f>VLOOKUP($B84,[9]TrtCodes!$B$11:L94,5)</f>
        <v>2</v>
      </c>
      <c r="G84" s="1">
        <f>VLOOKUP($B84,[9]TrtCodes!$B$11:M94,6)</f>
        <v>2</v>
      </c>
      <c r="H84" s="1">
        <f>VLOOKUP($B84,[9]TrtCodes!$B$11:N94,7)</f>
        <v>2</v>
      </c>
      <c r="I84" s="1">
        <f>[9]FormattedData!B51</f>
        <v>2</v>
      </c>
      <c r="J84" s="4">
        <f>[9]FormattedData!C51</f>
        <v>13.134</v>
      </c>
      <c r="K84" s="6">
        <f>$J$3+[9]FormattedData!D51*$J$4+$M$4*$J$5+[9]FormattedData!D51^2*$J$6+$M$5*$J$7</f>
        <v>27.001402830892214</v>
      </c>
      <c r="L84" s="6">
        <f>$J$3+[9]FormattedData!E51*$J$4+$M$4*$J$5+[9]FormattedData!E51^2*$J$6+$M$5*$J$7</f>
        <v>29.940689109225005</v>
      </c>
      <c r="M84" s="6">
        <f>$J$3+[9]FormattedData!F51*$J$4+$M$4*$J$5+[9]FormattedData!F51^2*$J$6+$M$5*$J$7</f>
        <v>30.038010156164827</v>
      </c>
      <c r="N84" s="6">
        <f>$J$3+[9]FormattedData!G51*$J$4+$M$4*$J$5+[9]FormattedData!G51^2*$J$6+$M$5*$J$7</f>
        <v>29.258258261584142</v>
      </c>
      <c r="O84" s="6">
        <f>$J$3+[9]FormattedData!H51*$J$4+$M$4*$J$5+[9]FormattedData!H51^2*$J$6+$M$5*$J$7</f>
        <v>30.13528893456672</v>
      </c>
      <c r="P84" s="6">
        <f>$J$3+[9]FormattedData!I51*$J$4+$M$4*$J$5+[9]FormattedData!I51^2*$J$6+$M$5*$J$7</f>
        <v>28.475801180575864</v>
      </c>
      <c r="Q84" s="6">
        <f>$J$3+[9]FormattedData!J51*$J$4+$M$4*$J$5+[9]FormattedData!J51^2*$J$6+$M$5*$J$7</f>
        <v>29.550982236086384</v>
      </c>
      <c r="R84" s="6">
        <f>$J$3+[9]FormattedData!K51*$J$4+$M$4*$J$5+[9]FormattedData!K51^2*$J$6+$M$5*$J$7</f>
        <v>28.573756255584655</v>
      </c>
      <c r="S84" s="6">
        <f>$J$3+[9]FormattedData!L51*$J$4+$M$4*$J$5+[9]FormattedData!L51^2*$J$6+$M$5*$J$7</f>
        <v>30.038010156164827</v>
      </c>
      <c r="T84" s="6">
        <f>$J$3+[9]FormattedData!M51*$J$4+$M$4*$J$5+[9]FormattedData!M51^2*$J$6+$M$5*$J$7</f>
        <v>30.232525444430692</v>
      </c>
      <c r="U84" s="6">
        <f>$J$3+[9]FormattedData!N51*$J$4+$M$4*$J$5+[9]FormattedData!N51^2*$J$6+$M$5*$J$7</f>
        <v>28.083558195161377</v>
      </c>
      <c r="V84" s="6">
        <f>$J$3+[9]FormattedData!O51*$J$4+$M$4*$J$5+[9]FormattedData!O51^2*$J$6+$M$5*$J$7</f>
        <v>30.232525444430692</v>
      </c>
      <c r="W84" s="5">
        <f t="shared" si="18"/>
        <v>29.296734017072286</v>
      </c>
      <c r="X84" s="4">
        <f t="shared" si="19"/>
        <v>0.30115101499094832</v>
      </c>
      <c r="Y84" s="3">
        <f t="shared" si="20"/>
        <v>27.001402830892214</v>
      </c>
      <c r="Z84" s="2">
        <f t="shared" si="21"/>
        <v>28.549267486832456</v>
      </c>
      <c r="AA84" s="3">
        <f t="shared" si="22"/>
        <v>29.745835672655694</v>
      </c>
      <c r="AB84" s="2">
        <f t="shared" si="23"/>
        <v>30.062329850765302</v>
      </c>
      <c r="AC84" s="2">
        <f t="shared" si="24"/>
        <v>30.232525444430692</v>
      </c>
      <c r="AD84" s="2">
        <f t="shared" si="25"/>
        <v>-1.1033729807183659</v>
      </c>
      <c r="AE84" s="2">
        <f t="shared" si="26"/>
        <v>0.41817242260078125</v>
      </c>
    </row>
    <row r="85" spans="2:31" x14ac:dyDescent="0.2">
      <c r="B85" s="1">
        <f>[9]FormattedData!A47</f>
        <v>908</v>
      </c>
      <c r="C85" s="1" t="str">
        <f>VLOOKUP($B85,[9]TrtCodes!$B$11:I90,2)</f>
        <v>Early</v>
      </c>
      <c r="D85" s="1">
        <f>VLOOKUP($B85,[9]TrtCodes!$B$11:J90,3)</f>
        <v>21</v>
      </c>
      <c r="E85" s="1">
        <f>VLOOKUP($B85,[9]TrtCodes!$B$11:K90,4)</f>
        <v>3</v>
      </c>
      <c r="F85" s="1">
        <f>VLOOKUP($B85,[9]TrtCodes!$B$11:L90,5)</f>
        <v>2</v>
      </c>
      <c r="G85" s="1">
        <f>VLOOKUP($B85,[9]TrtCodes!$B$11:M90,6)</f>
        <v>2</v>
      </c>
      <c r="H85" s="1">
        <f>VLOOKUP($B85,[9]TrtCodes!$B$11:N90,7)</f>
        <v>2</v>
      </c>
      <c r="I85" s="1">
        <f>[9]FormattedData!B47</f>
        <v>2</v>
      </c>
      <c r="J85" s="4">
        <f>[9]FormattedData!C47</f>
        <v>13.114000000000001</v>
      </c>
      <c r="K85" s="6">
        <f>$J$3+[9]FormattedData!D47*$J$4+$M$4*$J$5+[9]FormattedData!D47^2*$J$6+$M$5*$J$7</f>
        <v>30.621048798507235</v>
      </c>
      <c r="L85" s="6">
        <f>$J$3+[9]FormattedData!E47*$J$4+$M$4*$J$5+[9]FormattedData!E47^2*$J$6+$M$5*$J$7</f>
        <v>29.062897602559659</v>
      </c>
      <c r="M85" s="6">
        <f>$J$3+[9]FormattedData!F47*$J$4+$M$4*$J$5+[9]FormattedData!F47^2*$J$6+$M$5*$J$7</f>
        <v>30.232525444430692</v>
      </c>
      <c r="N85" s="6">
        <f>$J$3+[9]FormattedData!G47*$J$4+$M$4*$J$5+[9]FormattedData!G47^2*$J$6+$M$5*$J$7</f>
        <v>29.940689109225005</v>
      </c>
      <c r="O85" s="6">
        <f>$J$3+[9]FormattedData!H47*$J$4+$M$4*$J$5+[9]FormattedData!H47^2*$J$6+$M$5*$J$7</f>
        <v>30.621048798507235</v>
      </c>
      <c r="P85" s="6">
        <f>$J$3+[9]FormattedData!I47*$J$4+$M$4*$J$5+[9]FormattedData!I47^2*$J$6+$M$5*$J$7</f>
        <v>31.975554701995833</v>
      </c>
      <c r="Q85" s="6">
        <f>$J$3+[9]FormattedData!J47*$J$4+$M$4*$J$5+[9]FormattedData!J47^2*$J$6+$M$5*$J$7</f>
        <v>30.621048798507235</v>
      </c>
      <c r="R85" s="6">
        <f>$J$3+[9]FormattedData!K47*$J$4+$M$4*$J$5+[9]FormattedData!K47^2*$J$6+$M$5*$J$7</f>
        <v>30.232525444430692</v>
      </c>
      <c r="S85" s="6">
        <f>$J$3+[9]FormattedData!L47*$J$4+$M$4*$J$5+[9]FormattedData!L47^2*$J$6+$M$5*$J$7</f>
        <v>30.038010156164827</v>
      </c>
      <c r="T85" s="6">
        <f>$J$3+[9]FormattedData!M47*$J$4+$M$4*$J$5+[9]FormattedData!M47^2*$J$6+$M$5*$J$7</f>
        <v>30.523981362794999</v>
      </c>
      <c r="U85" s="6">
        <f>$J$3+[9]FormattedData!N47*$J$4+$M$4*$J$5+[9]FormattedData!N47^2*$J$6+$M$5*$J$7</f>
        <v>30.621048798507235</v>
      </c>
      <c r="V85" s="6">
        <f>$J$3+[9]FormattedData!O47*$J$4+$M$4*$J$5+[9]FormattedData!O47^2*$J$6+$M$5*$J$7</f>
        <v>31.686000867838423</v>
      </c>
      <c r="W85" s="5">
        <f t="shared" si="18"/>
        <v>30.514698323622422</v>
      </c>
      <c r="X85" s="4">
        <f t="shared" si="19"/>
        <v>0.21976339662613559</v>
      </c>
      <c r="Y85" s="3">
        <f t="shared" si="20"/>
        <v>29.062897602559659</v>
      </c>
      <c r="Z85" s="2">
        <f t="shared" si="21"/>
        <v>30.183896622364227</v>
      </c>
      <c r="AA85" s="3">
        <f t="shared" si="22"/>
        <v>30.572515080651115</v>
      </c>
      <c r="AB85" s="2">
        <f t="shared" si="23"/>
        <v>30.621048798507235</v>
      </c>
      <c r="AC85" s="2">
        <f t="shared" si="24"/>
        <v>31.975554701995833</v>
      </c>
      <c r="AD85" s="2">
        <f t="shared" si="25"/>
        <v>0.32811596293004952</v>
      </c>
      <c r="AE85" s="2">
        <f t="shared" si="26"/>
        <v>1.1518851673067463</v>
      </c>
    </row>
    <row r="88" spans="2:31" x14ac:dyDescent="0.2">
      <c r="W88" s="2"/>
    </row>
  </sheetData>
  <autoFilter ref="B9:AE85" xr:uid="{D8734ED8-F1C4-48FF-BD48-65E367041A84}"/>
  <conditionalFormatting sqref="K10:V85">
    <cfRule type="cellIs" dxfId="91" priority="1" stopIfTrue="1" operator="lessThan">
      <formula>$W10-$V$5*$X10</formula>
    </cfRule>
    <cfRule type="cellIs" dxfId="90" priority="2" stopIfTrue="1" operator="greaterThan">
      <formula>$W10+$V$5*$X10</formula>
    </cfRule>
  </conditionalFormatting>
  <conditionalFormatting sqref="W10:W85">
    <cfRule type="cellIs" dxfId="89" priority="3" stopIfTrue="1" operator="lessThan">
      <formula>AVERAGE($W$10:$W$41)</formula>
    </cfRule>
    <cfRule type="cellIs" dxfId="8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54FF-A1D8-4FE4-B88E-12874FEA36B9}">
  <sheetPr codeName="Sheet24"/>
  <dimension ref="A1:AI88"/>
  <sheetViews>
    <sheetView topLeftCell="A8" workbookViewId="0">
      <pane xSplit="4" ySplit="2" topLeftCell="M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[10]FormattedData!A1</f>
        <v>Raw data file name - 'IA178.03R'</v>
      </c>
    </row>
    <row r="2" spans="1:35" ht="15" x14ac:dyDescent="0.25">
      <c r="I2" s="32" t="s">
        <v>136</v>
      </c>
      <c r="J2" s="24"/>
      <c r="P2" s="31">
        <f>[10]AncillaryData!C10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[10]AncillaryData!E25</f>
        <v>40.85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"&amp;[10]AncillaryData!C7</f>
        <v>Time Sequence of Midday IRT Temps - FISE 2003 - DOY 178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"&amp;[10]AncillaryData!E25&amp;", VPD = "&amp;ROUND([10]AncillaryData!E29,1)&amp;", Quality = "&amp;[10]AncillaryData!C20&amp;")"</f>
        <v>(Ta = 40.85, VPD = 6.8,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[10]FormattedData!A28</f>
        <v>101</v>
      </c>
      <c r="C10" s="1" t="str">
        <f>VLOOKUP($B10,[10]TrtCodes!$B$11:I71,2)</f>
        <v>FSH</v>
      </c>
      <c r="D10" s="1">
        <f>VLOOKUP($B10,[10]TrtCodes!$B$11:J71,3)</f>
        <v>1</v>
      </c>
      <c r="E10" s="1">
        <f>VLOOKUP($B10,[10]TrtCodes!$B$11:K71,4)</f>
        <v>1</v>
      </c>
      <c r="F10" s="1">
        <f>VLOOKUP($B10,[10]TrtCodes!$B$11:L71,5)</f>
        <v>1</v>
      </c>
      <c r="G10" s="1">
        <f>VLOOKUP($B10,[10]TrtCodes!$B$11:M71,6)</f>
        <v>2</v>
      </c>
      <c r="H10" s="1">
        <f>VLOOKUP($B10,[10]TrtCodes!$B$11:N71,7)</f>
        <v>1</v>
      </c>
      <c r="I10" s="1">
        <f>[10]FormattedData!B28</f>
        <v>1</v>
      </c>
      <c r="J10" s="4">
        <f>[10]FormattedData!C28</f>
        <v>12.981999999999999</v>
      </c>
      <c r="K10" s="6">
        <f>$J$3+[10]FormattedData!D28*$J$4+$M$4*$J$5+[10]FormattedData!D28^2*$J$6+$M$5*$J$7</f>
        <v>50.034029582678926</v>
      </c>
      <c r="L10" s="6">
        <f>$J$3+[10]FormattedData!E28*$J$4+$M$4*$J$5+[10]FormattedData!E28^2*$J$6+$M$5*$J$7</f>
        <v>40.631374919918038</v>
      </c>
      <c r="M10" s="6">
        <f>$J$3+[10]FormattedData!F28*$J$4+$M$4*$J$5+[10]FormattedData!F28^2*$J$6+$M$5*$J$7</f>
        <v>50.210369399634388</v>
      </c>
      <c r="N10" s="6">
        <f>$J$3+[10]FormattedData!G28*$J$4+$M$4*$J$5+[10]FormattedData!G28^2*$J$6+$M$5*$J$7</f>
        <v>35.379043974653747</v>
      </c>
      <c r="O10" s="6">
        <f>$J$3+[10]FormattedData!H28*$J$4+$M$4*$J$5+[10]FormattedData!H28^2*$J$6+$M$5*$J$7</f>
        <v>48.172253652736117</v>
      </c>
      <c r="P10" s="6">
        <f>$J$3+[10]FormattedData!I28*$J$4+$M$4*$J$5+[10]FormattedData!I28^2*$J$6+$M$5*$J$7</f>
        <v>35.948133999478877</v>
      </c>
      <c r="Q10" s="6">
        <f>$J$3+[10]FormattedData!J28*$J$4+$M$4*$J$5+[10]FormattedData!J28^2*$J$6+$M$5*$J$7</f>
        <v>47.279142062717362</v>
      </c>
      <c r="R10" s="6">
        <f>$J$3+[10]FormattedData!K28*$J$4+$M$4*$J$5+[10]FormattedData!K28^2*$J$6+$M$5*$J$7</f>
        <v>36.232108386629371</v>
      </c>
      <c r="S10" s="6">
        <f>$J$3+[10]FormattedData!L28*$J$4+$M$4*$J$5+[10]FormattedData!L28^2*$J$6+$M$5*$J$7</f>
        <v>44.48363447780396</v>
      </c>
      <c r="T10" s="6">
        <f>$J$3+[10]FormattedData!M28*$J$4+$M$4*$J$5+[10]FormattedData!M28^2*$J$6+$M$5*$J$7</f>
        <v>37.927965955863357</v>
      </c>
      <c r="U10" s="6">
        <f>$J$3+[10]FormattedData!N28*$J$4+$M$4*$J$5+[10]FormattedData!N28^2*$J$6+$M$5*$J$7</f>
        <v>49.149794385625697</v>
      </c>
      <c r="V10" s="6">
        <f>$J$3+[10]FormattedData!O28*$J$4+$M$4*$J$5+[10]FormattedData!O28^2*$J$6+$M$5*$J$7</f>
        <v>35.853391333352846</v>
      </c>
      <c r="W10" s="5">
        <f t="shared" ref="W10:W41" si="0">AVERAGE(K10:V10)</f>
        <v>42.608436844257717</v>
      </c>
      <c r="X10" s="4">
        <f t="shared" ref="X10:X41" si="1">STDEV(K10:V10)/SQRT(COUNT(K10:V10))</f>
        <v>1.7853223474948245</v>
      </c>
      <c r="Y10" s="3">
        <f t="shared" ref="Y10:Y41" si="2">MIN(K10:V10)</f>
        <v>35.379043974653747</v>
      </c>
      <c r="Z10" s="2">
        <f t="shared" ref="Z10:Z41" si="3">QUARTILE(K10:V10,1)</f>
        <v>36.161114789841747</v>
      </c>
      <c r="AA10" s="3">
        <f t="shared" ref="AA10:AA41" si="4">MEDIAN(K10:V10)</f>
        <v>42.557504698860996</v>
      </c>
      <c r="AB10" s="2">
        <f t="shared" ref="AB10:AB41" si="5">QUARTILE(K10:V10,3)</f>
        <v>48.416638835958508</v>
      </c>
      <c r="AC10" s="2">
        <f t="shared" ref="AC10:AC41" si="6">MAX(K10:V10)</f>
        <v>50.210369399634388</v>
      </c>
      <c r="AD10" s="2">
        <f t="shared" ref="AD10:AD41" si="7">SKEW(K10:V10)</f>
        <v>2.690697094245964E-2</v>
      </c>
      <c r="AE10" s="2">
        <f t="shared" ref="AE10:AE41" si="8">KURT(K10:V10)</f>
        <v>-2.0312913977940008</v>
      </c>
    </row>
    <row r="11" spans="1:35" x14ac:dyDescent="0.2">
      <c r="B11" s="1">
        <f>[10]FormattedData!A26</f>
        <v>102</v>
      </c>
      <c r="C11" s="1" t="str">
        <f>VLOOKUP($B11,[10]TrtCodes!$B$11:I69,2)</f>
        <v>FTL</v>
      </c>
      <c r="D11" s="1">
        <f>VLOOKUP($B11,[10]TrtCodes!$B$11:J69,3)</f>
        <v>4</v>
      </c>
      <c r="E11" s="1">
        <f>VLOOKUP($B11,[10]TrtCodes!$B$11:K69,4)</f>
        <v>1</v>
      </c>
      <c r="F11" s="1">
        <f>VLOOKUP($B11,[10]TrtCodes!$B$11:L69,5)</f>
        <v>2</v>
      </c>
      <c r="G11" s="1">
        <f>VLOOKUP($B11,[10]TrtCodes!$B$11:M69,6)</f>
        <v>1</v>
      </c>
      <c r="H11" s="1">
        <f>VLOOKUP($B11,[10]TrtCodes!$B$11:N69,7)</f>
        <v>1</v>
      </c>
      <c r="I11" s="1">
        <f>[10]FormattedData!B26</f>
        <v>1</v>
      </c>
      <c r="J11" s="4">
        <f>[10]FormattedData!C26</f>
        <v>12.967000000000001</v>
      </c>
      <c r="K11" s="6">
        <f>$J$3+[10]FormattedData!D26*$J$4+$M$4*$J$5+[10]FormattedData!D26^2*$J$6+$M$5*$J$7</f>
        <v>50.650479242609265</v>
      </c>
      <c r="L11" s="6">
        <f>$J$3+[10]FormattedData!E26*$J$4+$M$4*$J$5+[10]FormattedData!E26^2*$J$6+$M$5*$J$7</f>
        <v>38.67728450313362</v>
      </c>
      <c r="M11" s="6">
        <f>$J$3+[10]FormattedData!F26*$J$4+$M$4*$J$5+[10]FormattedData!F26^2*$J$6+$M$5*$J$7</f>
        <v>48.972440123759881</v>
      </c>
      <c r="N11" s="6">
        <f>$J$3+[10]FormattedData!G26*$J$4+$M$4*$J$5+[10]FormattedData!G26^2*$J$6+$M$5*$J$7</f>
        <v>33.662643895985219</v>
      </c>
      <c r="O11" s="6">
        <f>$J$3+[10]FormattedData!H26*$J$4+$M$4*$J$5+[10]FormattedData!H26^2*$J$6+$M$5*$J$7</f>
        <v>50.298475905305224</v>
      </c>
      <c r="P11" s="6">
        <f>$J$3+[10]FormattedData!I26*$J$4+$M$4*$J$5+[10]FormattedData!I26^2*$J$6+$M$5*$J$7</f>
        <v>41.647506827938749</v>
      </c>
      <c r="Q11" s="6">
        <f>$J$3+[10]FormattedData!J26*$J$4+$M$4*$J$5+[10]FormattedData!J26^2*$J$6+$M$5*$J$7</f>
        <v>51.877165087394097</v>
      </c>
      <c r="R11" s="6">
        <f>$J$3+[10]FormattedData!K26*$J$4+$M$4*$J$5+[10]FormattedData!K26^2*$J$6+$M$5*$J$7</f>
        <v>37.458268136336677</v>
      </c>
      <c r="S11" s="6">
        <f>$J$3+[10]FormattedData!L26*$J$4+$M$4*$J$5+[10]FormattedData!L26^2*$J$6+$M$5*$J$7</f>
        <v>49.945796271394286</v>
      </c>
      <c r="T11" s="6">
        <f>$J$3+[10]FormattedData!M26*$J$4+$M$4*$J$5+[10]FormattedData!M26^2*$J$6+$M$5*$J$7</f>
        <v>37.364201766817551</v>
      </c>
      <c r="U11" s="6">
        <f>$J$3+[10]FormattedData!N26*$J$4+$M$4*$J$5+[10]FormattedData!N26^2*$J$6+$M$5*$J$7</f>
        <v>48.439362893252081</v>
      </c>
      <c r="V11" s="6">
        <f>$J$3+[10]FormattedData!O26*$J$4+$M$4*$J$5+[10]FormattedData!O26^2*$J$6+$M$5*$J$7</f>
        <v>39.610128518807649</v>
      </c>
      <c r="W11" s="5">
        <f t="shared" si="0"/>
        <v>44.050312764394526</v>
      </c>
      <c r="X11" s="4">
        <f t="shared" si="1"/>
        <v>1.8920289822313516</v>
      </c>
      <c r="Y11" s="3">
        <f t="shared" si="2"/>
        <v>33.662643895985219</v>
      </c>
      <c r="Z11" s="2">
        <f t="shared" si="3"/>
        <v>38.372530411434383</v>
      </c>
      <c r="AA11" s="3">
        <f t="shared" si="4"/>
        <v>45.043434860595411</v>
      </c>
      <c r="AB11" s="2">
        <f t="shared" si="5"/>
        <v>50.033966179872024</v>
      </c>
      <c r="AC11" s="2">
        <f t="shared" si="6"/>
        <v>51.877165087394097</v>
      </c>
      <c r="AD11" s="2">
        <f t="shared" si="7"/>
        <v>-0.21044397284506577</v>
      </c>
      <c r="AE11" s="2">
        <f t="shared" si="8"/>
        <v>-1.8023855321079609</v>
      </c>
    </row>
    <row r="12" spans="1:35" x14ac:dyDescent="0.2">
      <c r="B12" s="1">
        <f>[10]FormattedData!A24</f>
        <v>103</v>
      </c>
      <c r="C12" s="1" t="str">
        <f>VLOOKUP($B12,[10]TrtCodes!$B$11:I67,2)</f>
        <v>FDH</v>
      </c>
      <c r="D12" s="1">
        <f>VLOOKUP($B12,[10]TrtCodes!$B$11:J67,3)</f>
        <v>5</v>
      </c>
      <c r="E12" s="1">
        <f>VLOOKUP($B12,[10]TrtCodes!$B$11:K67,4)</f>
        <v>1</v>
      </c>
      <c r="F12" s="1">
        <f>VLOOKUP($B12,[10]TrtCodes!$B$11:L67,5)</f>
        <v>3</v>
      </c>
      <c r="G12" s="1">
        <f>VLOOKUP($B12,[10]TrtCodes!$B$11:M67,6)</f>
        <v>2</v>
      </c>
      <c r="H12" s="1">
        <f>VLOOKUP($B12,[10]TrtCodes!$B$11:N67,7)</f>
        <v>1</v>
      </c>
      <c r="I12" s="1">
        <f>[10]FormattedData!B24</f>
        <v>1</v>
      </c>
      <c r="J12" s="4">
        <f>[10]FormattedData!C24</f>
        <v>12.952999999999999</v>
      </c>
      <c r="K12" s="6">
        <f>$J$3+[10]FormattedData!D24*$J$4+$M$4*$J$5+[10]FormattedData!D24^2*$J$6+$M$5*$J$7</f>
        <v>43.573192787233438</v>
      </c>
      <c r="L12" s="6">
        <f>$J$3+[10]FormattedData!E24*$J$4+$M$4*$J$5+[10]FormattedData!E24^2*$J$6+$M$5*$J$7</f>
        <v>33.087467201698011</v>
      </c>
      <c r="M12" s="6">
        <f>$J$3+[10]FormattedData!F24*$J$4+$M$4*$J$5+[10]FormattedData!F24^2*$J$6+$M$5*$J$7</f>
        <v>41.647506827938749</v>
      </c>
      <c r="N12" s="6">
        <f>$J$3+[10]FormattedData!G24*$J$4+$M$4*$J$5+[10]FormattedData!G24^2*$J$6+$M$5*$J$7</f>
        <v>31.83603086630788</v>
      </c>
      <c r="O12" s="6">
        <f>$J$3+[10]FormattedData!H24*$J$4+$M$4*$J$5+[10]FormattedData!H24^2*$J$6+$M$5*$J$7</f>
        <v>39.050929331858406</v>
      </c>
      <c r="P12" s="6">
        <f>$J$3+[10]FormattedData!I24*$J$4+$M$4*$J$5+[10]FormattedData!I24^2*$J$6+$M$5*$J$7</f>
        <v>32.029024487208225</v>
      </c>
      <c r="Q12" s="6">
        <f>$J$3+[10]FormattedData!J24*$J$4+$M$4*$J$5+[10]FormattedData!J24^2*$J$6+$M$5*$J$7</f>
        <v>42.566824911474811</v>
      </c>
      <c r="R12" s="6">
        <f>$J$3+[10]FormattedData!K24*$J$4+$M$4*$J$5+[10]FormattedData!K24^2*$J$6+$M$5*$J$7</f>
        <v>33.758358738483672</v>
      </c>
      <c r="S12" s="6">
        <f>$J$3+[10]FormattedData!L24*$J$4+$M$4*$J$5+[10]FormattedData!L24^2*$J$6+$M$5*$J$7</f>
        <v>40.909009026378854</v>
      </c>
      <c r="T12" s="6">
        <f>$J$3+[10]FormattedData!M24*$J$4+$M$4*$J$5+[10]FormattedData!M24^2*$J$6+$M$5*$J$7</f>
        <v>32.221849033956836</v>
      </c>
      <c r="U12" s="6">
        <f>$J$3+[10]FormattedData!N24*$J$4+$M$4*$J$5+[10]FormattedData!N24^2*$J$6+$M$5*$J$7</f>
        <v>41.001469191456607</v>
      </c>
      <c r="V12" s="6">
        <f>$J$3+[10]FormattedData!O24*$J$4+$M$4*$J$5+[10]FormattedData!O24^2*$J$6+$M$5*$J$7</f>
        <v>34.522555811105704</v>
      </c>
      <c r="W12" s="5">
        <f t="shared" si="0"/>
        <v>37.183684851258427</v>
      </c>
      <c r="X12" s="4">
        <f t="shared" si="1"/>
        <v>1.3400900063301966</v>
      </c>
      <c r="Y12" s="3">
        <f t="shared" si="2"/>
        <v>31.83603086630788</v>
      </c>
      <c r="Z12" s="2">
        <f t="shared" si="3"/>
        <v>32.871062659762714</v>
      </c>
      <c r="AA12" s="3">
        <f t="shared" si="4"/>
        <v>36.786742571482051</v>
      </c>
      <c r="AB12" s="2">
        <f t="shared" si="5"/>
        <v>41.162978600577141</v>
      </c>
      <c r="AC12" s="2">
        <f t="shared" si="6"/>
        <v>43.573192787233438</v>
      </c>
      <c r="AD12" s="2">
        <f t="shared" si="7"/>
        <v>8.7060090327401043E-2</v>
      </c>
      <c r="AE12" s="2">
        <f t="shared" si="8"/>
        <v>-2.0246438193818794</v>
      </c>
    </row>
    <row r="13" spans="1:35" x14ac:dyDescent="0.2">
      <c r="B13" s="1">
        <f>[10]FormattedData!A22</f>
        <v>104</v>
      </c>
      <c r="C13" s="1" t="str">
        <f>VLOOKUP($B13,[10]TrtCodes!$B$11:I65,2)</f>
        <v>NTL</v>
      </c>
      <c r="D13" s="1">
        <f>VLOOKUP($B13,[10]TrtCodes!$B$11:J65,3)</f>
        <v>10</v>
      </c>
      <c r="E13" s="1">
        <f>VLOOKUP($B13,[10]TrtCodes!$B$11:K65,4)</f>
        <v>2</v>
      </c>
      <c r="F13" s="1">
        <f>VLOOKUP($B13,[10]TrtCodes!$B$11:L65,5)</f>
        <v>2</v>
      </c>
      <c r="G13" s="1">
        <f>VLOOKUP($B13,[10]TrtCodes!$B$11:M65,6)</f>
        <v>1</v>
      </c>
      <c r="H13" s="1">
        <f>VLOOKUP($B13,[10]TrtCodes!$B$11:N65,7)</f>
        <v>1</v>
      </c>
      <c r="I13" s="1">
        <f>[10]FormattedData!B22</f>
        <v>1</v>
      </c>
      <c r="J13" s="4">
        <f>[10]FormattedData!C22</f>
        <v>12.939</v>
      </c>
      <c r="K13" s="6">
        <f>$J$3+[10]FormattedData!D22*$J$4+$M$4*$J$5+[10]FormattedData!D22^2*$J$6+$M$5*$J$7</f>
        <v>41.186262715998296</v>
      </c>
      <c r="L13" s="6">
        <f>$J$3+[10]FormattedData!E22*$J$4+$M$4*$J$5+[10]FormattedData!E22^2*$J$6+$M$5*$J$7</f>
        <v>36.326681978603673</v>
      </c>
      <c r="M13" s="6">
        <f>$J$3+[10]FormattedData!F22*$J$4+$M$4*$J$5+[10]FormattedData!F22^2*$J$6+$M$5*$J$7</f>
        <v>38.770759113121713</v>
      </c>
      <c r="N13" s="6">
        <f>$J$3+[10]FormattedData!G22*$J$4+$M$4*$J$5+[10]FormattedData!G22^2*$J$6+$M$5*$J$7</f>
        <v>32.414504506553726</v>
      </c>
      <c r="O13" s="6">
        <f>$J$3+[10]FormattedData!H22*$J$4+$M$4*$J$5+[10]FormattedData!H22^2*$J$6+$M$5*$J$7</f>
        <v>39.423897863976293</v>
      </c>
      <c r="P13" s="6">
        <f>$J$3+[10]FormattedData!I22*$J$4+$M$4*$J$5+[10]FormattedData!I22^2*$J$6+$M$5*$J$7</f>
        <v>33.375245757262306</v>
      </c>
      <c r="Q13" s="6">
        <f>$J$3+[10]FormattedData!J22*$J$4+$M$4*$J$5+[10]FormattedData!J22^2*$J$6+$M$5*$J$7</f>
        <v>39.423897863976293</v>
      </c>
      <c r="R13" s="6">
        <f>$J$3+[10]FormattedData!K22*$J$4+$M$4*$J$5+[10]FormattedData!K22^2*$J$6+$M$5*$J$7</f>
        <v>33.27936184061214</v>
      </c>
      <c r="S13" s="6">
        <f>$J$3+[10]FormattedData!L22*$J$4+$M$4*$J$5+[10]FormattedData!L22^2*$J$6+$M$5*$J$7</f>
        <v>40.446074172921158</v>
      </c>
      <c r="T13" s="6">
        <f>$J$3+[10]FormattedData!M22*$J$4+$M$4*$J$5+[10]FormattedData!M22^2*$J$6+$M$5*$J$7</f>
        <v>32.799308229292329</v>
      </c>
      <c r="U13" s="6">
        <f>$J$3+[10]FormattedData!N22*$J$4+$M$4*$J$5+[10]FormattedData!N22^2*$J$6+$M$5*$J$7</f>
        <v>40.074965456472249</v>
      </c>
      <c r="V13" s="6">
        <f>$J$3+[10]FormattedData!O22*$J$4+$M$4*$J$5+[10]FormattedData!O22^2*$J$6+$M$5*$J$7</f>
        <v>34.522555811105704</v>
      </c>
      <c r="W13" s="5">
        <f t="shared" si="0"/>
        <v>36.836959609157987</v>
      </c>
      <c r="X13" s="4">
        <f t="shared" si="1"/>
        <v>0.97572217847326081</v>
      </c>
      <c r="Y13" s="3">
        <f t="shared" si="2"/>
        <v>32.414504506553726</v>
      </c>
      <c r="Z13" s="2">
        <f t="shared" si="3"/>
        <v>33.351274778099764</v>
      </c>
      <c r="AA13" s="3">
        <f t="shared" si="4"/>
        <v>37.548720545862693</v>
      </c>
      <c r="AB13" s="2">
        <f t="shared" si="5"/>
        <v>39.586664762100284</v>
      </c>
      <c r="AC13" s="2">
        <f t="shared" si="6"/>
        <v>41.186262715998296</v>
      </c>
      <c r="AD13" s="2">
        <f t="shared" si="7"/>
        <v>-0.13071477715894372</v>
      </c>
      <c r="AE13" s="2">
        <f t="shared" si="8"/>
        <v>-1.9545327947355942</v>
      </c>
    </row>
    <row r="14" spans="1:35" x14ac:dyDescent="0.2">
      <c r="B14" s="1">
        <f>[10]FormattedData!A20</f>
        <v>105</v>
      </c>
      <c r="C14" s="1" t="str">
        <f>VLOOKUP($B14,[10]TrtCodes!$B$11:I63,2)</f>
        <v>NDL</v>
      </c>
      <c r="D14" s="1">
        <f>VLOOKUP($B14,[10]TrtCodes!$B$11:J63,3)</f>
        <v>12</v>
      </c>
      <c r="E14" s="1">
        <f>VLOOKUP($B14,[10]TrtCodes!$B$11:K63,4)</f>
        <v>2</v>
      </c>
      <c r="F14" s="1">
        <f>VLOOKUP($B14,[10]TrtCodes!$B$11:L63,5)</f>
        <v>3</v>
      </c>
      <c r="G14" s="1">
        <f>VLOOKUP($B14,[10]TrtCodes!$B$11:M63,6)</f>
        <v>1</v>
      </c>
      <c r="H14" s="1">
        <f>VLOOKUP($B14,[10]TrtCodes!$B$11:N63,7)</f>
        <v>2</v>
      </c>
      <c r="I14" s="1">
        <f>[10]FormattedData!B20</f>
        <v>1</v>
      </c>
      <c r="J14" s="4">
        <f>[10]FormattedData!C20</f>
        <v>12.925000000000001</v>
      </c>
      <c r="K14" s="6">
        <f>$J$3+[10]FormattedData!D20*$J$4+$M$4*$J$5+[10]FormattedData!D20^2*$J$6+$M$5*$J$7</f>
        <v>38.864191454571873</v>
      </c>
      <c r="L14" s="6">
        <f>$J$3+[10]FormattedData!E20*$J$4+$M$4*$J$5+[10]FormattedData!E20^2*$J$6+$M$5*$J$7</f>
        <v>31.449536402052033</v>
      </c>
      <c r="M14" s="6">
        <f>$J$3+[10]FormattedData!F20*$J$4+$M$4*$J$5+[10]FormattedData!F20^2*$J$6+$M$5*$J$7</f>
        <v>36.893235891152941</v>
      </c>
      <c r="N14" s="6">
        <f>$J$3+[10]FormattedData!G20*$J$4+$M$4*$J$5+[10]FormattedData!G20^2*$J$6+$M$5*$J$7</f>
        <v>30.77154375089394</v>
      </c>
      <c r="O14" s="6">
        <f>$J$3+[10]FormattedData!H20*$J$4+$M$4*$J$5+[10]FormattedData!H20^2*$J$6+$M$5*$J$7</f>
        <v>38.115549203908508</v>
      </c>
      <c r="P14" s="6">
        <f>$J$3+[10]FormattedData!I20*$J$4+$M$4*$J$5+[10]FormattedData!I20^2*$J$6+$M$5*$J$7</f>
        <v>32.125457894851493</v>
      </c>
      <c r="Q14" s="6">
        <f>$J$3+[10]FormattedData!J20*$J$4+$M$4*$J$5+[10]FormattedData!J20^2*$J$6+$M$5*$J$7</f>
        <v>37.646274069761141</v>
      </c>
      <c r="R14" s="6">
        <f>$J$3+[10]FormattedData!K20*$J$4+$M$4*$J$5+[10]FormattedData!K20^2*$J$6+$M$5*$J$7</f>
        <v>31.256035558696517</v>
      </c>
      <c r="S14" s="6">
        <f>$J$3+[10]FormattedData!L20*$J$4+$M$4*$J$5+[10]FormattedData!L20^2*$J$6+$M$5*$J$7</f>
        <v>37.646274069761141</v>
      </c>
      <c r="T14" s="6">
        <f>$J$3+[10]FormattedData!M20*$J$4+$M$4*$J$5+[10]FormattedData!M20^2*$J$6+$M$5*$J$7</f>
        <v>33.183435655424034</v>
      </c>
      <c r="U14" s="6">
        <f>$J$3+[10]FormattedData!N20*$J$4+$M$4*$J$5+[10]FormattedData!N20^2*$J$6+$M$5*$J$7</f>
        <v>39.050929331858406</v>
      </c>
      <c r="V14" s="6">
        <f>$J$3+[10]FormattedData!O20*$J$4+$M$4*$J$5+[10]FormattedData!O20^2*$J$6+$M$5*$J$7</f>
        <v>31.64286817125582</v>
      </c>
      <c r="W14" s="5">
        <f t="shared" si="0"/>
        <v>34.887110954515656</v>
      </c>
      <c r="X14" s="4">
        <f t="shared" si="1"/>
        <v>0.97631703934194614</v>
      </c>
      <c r="Y14" s="3">
        <f t="shared" si="2"/>
        <v>30.77154375089394</v>
      </c>
      <c r="Z14" s="2">
        <f t="shared" si="3"/>
        <v>31.594535228954875</v>
      </c>
      <c r="AA14" s="3">
        <f t="shared" si="4"/>
        <v>35.038335773288487</v>
      </c>
      <c r="AB14" s="2">
        <f t="shared" si="5"/>
        <v>37.763592853297979</v>
      </c>
      <c r="AC14" s="2">
        <f t="shared" si="6"/>
        <v>39.050929331858406</v>
      </c>
      <c r="AD14" s="2">
        <f t="shared" si="7"/>
        <v>1.3291772634671396E-3</v>
      </c>
      <c r="AE14" s="2">
        <f t="shared" si="8"/>
        <v>-2.1433574879369059</v>
      </c>
    </row>
    <row r="15" spans="1:35" x14ac:dyDescent="0.2">
      <c r="B15" s="1">
        <f>[10]FormattedData!A18</f>
        <v>106</v>
      </c>
      <c r="C15" s="1" t="str">
        <f>VLOOKUP($B15,[10]TrtCodes!$B$11:I61,2)</f>
        <v>NTH</v>
      </c>
      <c r="D15" s="1">
        <f>VLOOKUP($B15,[10]TrtCodes!$B$11:J61,3)</f>
        <v>9</v>
      </c>
      <c r="E15" s="1">
        <f>VLOOKUP($B15,[10]TrtCodes!$B$11:K61,4)</f>
        <v>2</v>
      </c>
      <c r="F15" s="1">
        <f>VLOOKUP($B15,[10]TrtCodes!$B$11:L61,5)</f>
        <v>2</v>
      </c>
      <c r="G15" s="1">
        <f>VLOOKUP($B15,[10]TrtCodes!$B$11:M61,6)</f>
        <v>2</v>
      </c>
      <c r="H15" s="1">
        <f>VLOOKUP($B15,[10]TrtCodes!$B$11:N61,7)</f>
        <v>2</v>
      </c>
      <c r="I15" s="1">
        <f>[10]FormattedData!B18</f>
        <v>1</v>
      </c>
      <c r="J15" s="4">
        <f>[10]FormattedData!C18</f>
        <v>12.909000000000001</v>
      </c>
      <c r="K15" s="6">
        <f>$J$3+[10]FormattedData!D18*$J$4+$M$4*$J$5+[10]FormattedData!D18^2*$J$6+$M$5*$J$7</f>
        <v>40.816506592763183</v>
      </c>
      <c r="L15" s="6">
        <f>$J$3+[10]FormattedData!E18*$J$4+$M$4*$J$5+[10]FormattedData!E18^2*$J$6+$M$5*$J$7</f>
        <v>34.045249654751416</v>
      </c>
      <c r="M15" s="6">
        <f>$J$3+[10]FormattedData!F18*$J$4+$M$4*$J$5+[10]FormattedData!F18^2*$J$6+$M$5*$J$7</f>
        <v>32.029024487208225</v>
      </c>
      <c r="N15" s="6">
        <f>$J$3+[10]FormattedData!G18*$J$4+$M$4*$J$5+[10]FormattedData!G18^2*$J$6+$M$5*$J$7</f>
        <v>35.379043974653747</v>
      </c>
      <c r="O15" s="6">
        <f>$J$3+[10]FormattedData!H18*$J$4+$M$4*$J$5+[10]FormattedData!H18^2*$J$6+$M$5*$J$7</f>
        <v>37.081749047032574</v>
      </c>
      <c r="P15" s="6">
        <f>$J$3+[10]FormattedData!I18*$J$4+$M$4*$J$5+[10]FormattedData!I18^2*$J$6+$M$5*$J$7</f>
        <v>33.183435655424034</v>
      </c>
      <c r="Q15" s="6">
        <f>$J$3+[10]FormattedData!J18*$J$4+$M$4*$J$5+[10]FormattedData!J18^2*$J$6+$M$5*$J$7</f>
        <v>38.302963377801937</v>
      </c>
      <c r="R15" s="6">
        <f>$J$3+[10]FormattedData!K18*$J$4+$M$4*$J$5+[10]FormattedData!K18^2*$J$6+$M$5*$J$7</f>
        <v>33.758358738483672</v>
      </c>
      <c r="S15" s="6">
        <f>$J$3+[10]FormattedData!L18*$J$4+$M$4*$J$5+[10]FormattedData!L18^2*$J$6+$M$5*$J$7</f>
        <v>39.050929331858406</v>
      </c>
      <c r="T15" s="6">
        <f>$J$3+[10]FormattedData!M18*$J$4+$M$4*$J$5+[10]FormattedData!M18^2*$J$6+$M$5*$J$7</f>
        <v>32.125457894851493</v>
      </c>
      <c r="U15" s="6">
        <f>$J$3+[10]FormattedData!N18*$J$4+$M$4*$J$5+[10]FormattedData!N18^2*$J$6+$M$5*$J$7</f>
        <v>36.232108386629371</v>
      </c>
      <c r="V15" s="6">
        <f>$J$3+[10]FormattedData!O18*$J$4+$M$4*$J$5+[10]FormattedData!O18^2*$J$6+$M$5*$J$7</f>
        <v>32.029024487208225</v>
      </c>
      <c r="W15" s="5">
        <f t="shared" si="0"/>
        <v>35.336154302388856</v>
      </c>
      <c r="X15" s="4">
        <f t="shared" si="1"/>
        <v>0.85926458587775578</v>
      </c>
      <c r="Y15" s="3">
        <f t="shared" si="2"/>
        <v>32.029024487208225</v>
      </c>
      <c r="Z15" s="2">
        <f t="shared" si="3"/>
        <v>32.918941215280896</v>
      </c>
      <c r="AA15" s="3">
        <f t="shared" si="4"/>
        <v>34.712146814702578</v>
      </c>
      <c r="AB15" s="2">
        <f t="shared" si="5"/>
        <v>37.387052629724913</v>
      </c>
      <c r="AC15" s="2">
        <f t="shared" si="6"/>
        <v>40.816506592763183</v>
      </c>
      <c r="AD15" s="2">
        <f t="shared" si="7"/>
        <v>0.52334881804086342</v>
      </c>
      <c r="AE15" s="2">
        <f t="shared" si="8"/>
        <v>-0.91023439324978384</v>
      </c>
    </row>
    <row r="16" spans="1:35" x14ac:dyDescent="0.2">
      <c r="B16" s="1">
        <f>[10]FormattedData!A16</f>
        <v>107</v>
      </c>
      <c r="C16" s="1" t="str">
        <f>VLOOKUP($B16,[10]TrtCodes!$B$11:I59,2)</f>
        <v>NTL</v>
      </c>
      <c r="D16" s="1">
        <f>VLOOKUP($B16,[10]TrtCodes!$B$11:J59,3)</f>
        <v>10</v>
      </c>
      <c r="E16" s="1">
        <f>VLOOKUP($B16,[10]TrtCodes!$B$11:K59,4)</f>
        <v>2</v>
      </c>
      <c r="F16" s="1">
        <f>VLOOKUP($B16,[10]TrtCodes!$B$11:L59,5)</f>
        <v>2</v>
      </c>
      <c r="G16" s="1">
        <f>VLOOKUP($B16,[10]TrtCodes!$B$11:M59,6)</f>
        <v>1</v>
      </c>
      <c r="H16" s="1">
        <f>VLOOKUP($B16,[10]TrtCodes!$B$11:N59,7)</f>
        <v>2</v>
      </c>
      <c r="I16" s="1">
        <f>[10]FormattedData!B16</f>
        <v>1</v>
      </c>
      <c r="J16" s="4">
        <f>[10]FormattedData!C16</f>
        <v>12.893000000000001</v>
      </c>
      <c r="K16" s="6">
        <f>$J$3+[10]FormattedData!D16*$J$4+$M$4*$J$5+[10]FormattedData!D16^2*$J$6+$M$5*$J$7</f>
        <v>41.186262715998296</v>
      </c>
      <c r="L16" s="6">
        <f>$J$3+[10]FormattedData!E16*$J$4+$M$4*$J$5+[10]FormattedData!E16^2*$J$6+$M$5*$J$7</f>
        <v>35.093928336979104</v>
      </c>
      <c r="M16" s="6">
        <f>$J$3+[10]FormattedData!F16*$J$4+$M$4*$J$5+[10]FormattedData!F16^2*$J$6+$M$5*$J$7</f>
        <v>39.889157487020199</v>
      </c>
      <c r="N16" s="6">
        <f>$J$3+[10]FormattedData!G16*$J$4+$M$4*$J$5+[10]FormattedData!G16^2*$J$6+$M$5*$J$7</f>
        <v>31.256035558696517</v>
      </c>
      <c r="O16" s="6">
        <f>$J$3+[10]FormattedData!H16*$J$4+$M$4*$J$5+[10]FormattedData!H16^2*$J$6+$M$5*$J$7</f>
        <v>37.458268136336677</v>
      </c>
      <c r="P16" s="6">
        <f>$J$3+[10]FormattedData!I16*$J$4+$M$4*$J$5+[10]FormattedData!I16^2*$J$6+$M$5*$J$7</f>
        <v>30.868526649530317</v>
      </c>
      <c r="Q16" s="6">
        <f>$J$3+[10]FormattedData!J16*$J$4+$M$4*$J$5+[10]FormattedData!J16^2*$J$6+$M$5*$J$7</f>
        <v>40.353360396615834</v>
      </c>
      <c r="R16" s="6">
        <f>$J$3+[10]FormattedData!K16*$J$4+$M$4*$J$5+[10]FormattedData!K16^2*$J$6+$M$5*$J$7</f>
        <v>29.70194214239033</v>
      </c>
      <c r="S16" s="6">
        <f>$J$3+[10]FormattedData!L16*$J$4+$M$4*$J$5+[10]FormattedData!L16^2*$J$6+$M$5*$J$7</f>
        <v>39.517034325660937</v>
      </c>
      <c r="T16" s="6">
        <f>$J$3+[10]FormattedData!M16*$J$4+$M$4*$J$5+[10]FormattedData!M16^2*$J$6+$M$5*$J$7</f>
        <v>30.577451148007391</v>
      </c>
      <c r="U16" s="6">
        <f>$J$3+[10]FormattedData!N16*$J$4+$M$4*$J$5+[10]FormattedData!N16^2*$J$6+$M$5*$J$7</f>
        <v>38.864191454571873</v>
      </c>
      <c r="V16" s="6">
        <f>$J$3+[10]FormattedData!O16*$J$4+$M$4*$J$5+[10]FormattedData!O16^2*$J$6+$M$5*$J$7</f>
        <v>31.256035558696517</v>
      </c>
      <c r="W16" s="5">
        <f t="shared" si="0"/>
        <v>35.501849492542</v>
      </c>
      <c r="X16" s="4">
        <f t="shared" si="1"/>
        <v>1.2966430617165439</v>
      </c>
      <c r="Y16" s="3">
        <f t="shared" si="2"/>
        <v>29.70194214239033</v>
      </c>
      <c r="Z16" s="2">
        <f t="shared" si="3"/>
        <v>31.159158331404967</v>
      </c>
      <c r="AA16" s="3">
        <f t="shared" si="4"/>
        <v>36.276098236657887</v>
      </c>
      <c r="AB16" s="2">
        <f t="shared" si="5"/>
        <v>39.610065116000754</v>
      </c>
      <c r="AC16" s="2">
        <f t="shared" si="6"/>
        <v>41.186262715998296</v>
      </c>
      <c r="AD16" s="2">
        <f t="shared" si="7"/>
        <v>-8.9780054279079105E-2</v>
      </c>
      <c r="AE16" s="2">
        <f t="shared" si="8"/>
        <v>-2.0197585608316944</v>
      </c>
    </row>
    <row r="17" spans="2:31" x14ac:dyDescent="0.2">
      <c r="B17" s="1">
        <f>[10]FormattedData!A14</f>
        <v>108</v>
      </c>
      <c r="C17" s="1" t="str">
        <f>VLOOKUP($B17,[10]TrtCodes!$B$11:I57,2)</f>
        <v>FTH</v>
      </c>
      <c r="D17" s="1">
        <f>VLOOKUP($B17,[10]TrtCodes!$B$11:J57,3)</f>
        <v>3</v>
      </c>
      <c r="E17" s="1">
        <f>VLOOKUP($B17,[10]TrtCodes!$B$11:K57,4)</f>
        <v>1</v>
      </c>
      <c r="F17" s="1">
        <f>VLOOKUP($B17,[10]TrtCodes!$B$11:L57,5)</f>
        <v>2</v>
      </c>
      <c r="G17" s="1">
        <f>VLOOKUP($B17,[10]TrtCodes!$B$11:M57,6)</f>
        <v>2</v>
      </c>
      <c r="H17" s="1">
        <f>VLOOKUP($B17,[10]TrtCodes!$B$11:N57,7)</f>
        <v>2</v>
      </c>
      <c r="I17" s="1">
        <f>[10]FormattedData!B14</f>
        <v>1</v>
      </c>
      <c r="J17" s="4">
        <f>[10]FormattedData!C14</f>
        <v>12.878</v>
      </c>
      <c r="K17" s="6">
        <f>$J$3+[10]FormattedData!D14*$J$4+$M$4*$J$5+[10]FormattedData!D14^2*$J$6+$M$5*$J$7</f>
        <v>47.368643430139926</v>
      </c>
      <c r="L17" s="6">
        <f>$J$3+[10]FormattedData!E14*$J$4+$M$4*$J$5+[10]FormattedData!E14^2*$J$6+$M$5*$J$7</f>
        <v>36.326681978603673</v>
      </c>
      <c r="M17" s="6">
        <f>$J$3+[10]FormattedData!F14*$J$4+$M$4*$J$5+[10]FormattedData!F14^2*$J$6+$M$5*$J$7</f>
        <v>42.750181305726855</v>
      </c>
      <c r="N17" s="6">
        <f>$J$3+[10]FormattedData!G14*$J$4+$M$4*$J$5+[10]FormattedData!G14^2*$J$6+$M$5*$J$7</f>
        <v>32.895403488632155</v>
      </c>
      <c r="O17" s="6">
        <f>$J$3+[10]FormattedData!H14*$J$4+$M$4*$J$5+[10]FormattedData!H14^2*$J$6+$M$5*$J$7</f>
        <v>46.561609455971315</v>
      </c>
      <c r="P17" s="6">
        <f>$J$3+[10]FormattedData!I14*$J$4+$M$4*$J$5+[10]FormattedData!I14^2*$J$6+$M$5*$J$7</f>
        <v>33.566886784948849</v>
      </c>
      <c r="Q17" s="6">
        <f>$J$3+[10]FormattedData!J14*$J$4+$M$4*$J$5+[10]FormattedData!J14^2*$J$6+$M$5*$J$7</f>
        <v>45.751151730230269</v>
      </c>
      <c r="R17" s="6">
        <f>$J$3+[10]FormattedData!K14*$J$4+$M$4*$J$5+[10]FormattedData!K14^2*$J$6+$M$5*$J$7</f>
        <v>33.375245757262306</v>
      </c>
      <c r="S17" s="6">
        <f>$J$3+[10]FormattedData!L14*$J$4+$M$4*$J$5+[10]FormattedData!L14^2*$J$6+$M$5*$J$7</f>
        <v>39.423897863976293</v>
      </c>
      <c r="T17" s="6">
        <f>$J$3+[10]FormattedData!M14*$J$4+$M$4*$J$5+[10]FormattedData!M14^2*$J$6+$M$5*$J$7</f>
        <v>34.331760154177772</v>
      </c>
      <c r="U17" s="6">
        <f>$J$3+[10]FormattedData!N14*$J$4+$M$4*$J$5+[10]FormattedData!N14^2*$J$6+$M$5*$J$7</f>
        <v>41.923746072647852</v>
      </c>
      <c r="V17" s="6">
        <f>$J$3+[10]FormattedData!O14*$J$4+$M$4*$J$5+[10]FormattedData!O14^2*$J$6+$M$5*$J$7</f>
        <v>32.703170701414578</v>
      </c>
      <c r="W17" s="5">
        <f t="shared" si="0"/>
        <v>38.914864893644328</v>
      </c>
      <c r="X17" s="4">
        <f t="shared" si="1"/>
        <v>1.6571856262469187</v>
      </c>
      <c r="Y17" s="3">
        <f t="shared" si="2"/>
        <v>32.703170701414578</v>
      </c>
      <c r="Z17" s="2">
        <f t="shared" si="3"/>
        <v>33.51897652802721</v>
      </c>
      <c r="AA17" s="3">
        <f t="shared" si="4"/>
        <v>37.875289921289983</v>
      </c>
      <c r="AB17" s="2">
        <f t="shared" si="5"/>
        <v>43.500423911852707</v>
      </c>
      <c r="AC17" s="2">
        <f t="shared" si="6"/>
        <v>47.368643430139926</v>
      </c>
      <c r="AD17" s="2">
        <f t="shared" si="7"/>
        <v>0.32304527843477976</v>
      </c>
      <c r="AE17" s="2">
        <f t="shared" si="8"/>
        <v>-1.7036615782695836</v>
      </c>
    </row>
    <row r="18" spans="2:31" x14ac:dyDescent="0.2">
      <c r="B18" s="1">
        <f>[10]FormattedData!A30</f>
        <v>201</v>
      </c>
      <c r="C18" s="1" t="str">
        <f>VLOOKUP($B18,[10]TrtCodes!$B$11:I73,2)</f>
        <v>NDL</v>
      </c>
      <c r="D18" s="1">
        <f>VLOOKUP($B18,[10]TrtCodes!$B$11:J73,3)</f>
        <v>12</v>
      </c>
      <c r="E18" s="1">
        <f>VLOOKUP($B18,[10]TrtCodes!$B$11:K73,4)</f>
        <v>2</v>
      </c>
      <c r="F18" s="1">
        <f>VLOOKUP($B18,[10]TrtCodes!$B$11:L73,5)</f>
        <v>3</v>
      </c>
      <c r="G18" s="1">
        <f>VLOOKUP($B18,[10]TrtCodes!$B$11:M73,6)</f>
        <v>1</v>
      </c>
      <c r="H18" s="1">
        <f>VLOOKUP($B18,[10]TrtCodes!$B$11:N73,7)</f>
        <v>1</v>
      </c>
      <c r="I18" s="1">
        <f>[10]FormattedData!B30</f>
        <v>1</v>
      </c>
      <c r="J18" s="4">
        <f>[10]FormattedData!C30</f>
        <v>13</v>
      </c>
      <c r="K18" s="6">
        <f>$J$3+[10]FormattedData!D30*$J$4+$M$4*$J$5+[10]FormattedData!D30^2*$J$6+$M$5*$J$7</f>
        <v>34.045249654751416</v>
      </c>
      <c r="L18" s="6">
        <f>$J$3+[10]FormattedData!E30*$J$4+$M$4*$J$5+[10]FormattedData!E30^2*$J$6+$M$5*$J$7</f>
        <v>34.331760154177772</v>
      </c>
      <c r="M18" s="6">
        <f>$J$3+[10]FormattedData!F30*$J$4+$M$4*$J$5+[10]FormattedData!F30^2*$J$6+$M$5*$J$7</f>
        <v>35.568909723747176</v>
      </c>
      <c r="N18" s="6">
        <f>$J$3+[10]FormattedData!G30*$J$4+$M$4*$J$5+[10]FormattedData!G30^2*$J$6+$M$5*$J$7</f>
        <v>32.51076884004528</v>
      </c>
      <c r="O18" s="6">
        <f>$J$3+[10]FormattedData!H30*$J$4+$M$4*$J$5+[10]FormattedData!H30^2*$J$6+$M$5*$J$7</f>
        <v>36.232108386629371</v>
      </c>
      <c r="P18" s="6">
        <f>$J$3+[10]FormattedData!I30*$J$4+$M$4*$J$5+[10]FormattedData!I30^2*$J$6+$M$5*$J$7</f>
        <v>32.414504506553726</v>
      </c>
      <c r="Q18" s="6">
        <f>$J$3+[10]FormattedData!J30*$J$4+$M$4*$J$5+[10]FormattedData!J30^2*$J$6+$M$5*$J$7</f>
        <v>38.302963377801937</v>
      </c>
      <c r="R18" s="6">
        <f>$J$3+[10]FormattedData!K30*$J$4+$M$4*$J$5+[10]FormattedData!K30^2*$J$6+$M$5*$J$7</f>
        <v>31.739470653050816</v>
      </c>
      <c r="S18" s="6">
        <f>$J$3+[10]FormattedData!L30*$J$4+$M$4*$J$5+[10]FormattedData!L30^2*$J$6+$M$5*$J$7</f>
        <v>39.050929331858406</v>
      </c>
      <c r="T18" s="6">
        <f>$J$3+[10]FormattedData!M30*$J$4+$M$4*$J$5+[10]FormattedData!M30^2*$J$6+$M$5*$J$7</f>
        <v>32.125457894851493</v>
      </c>
      <c r="U18" s="6">
        <f>$J$3+[10]FormattedData!N30*$J$4+$M$4*$J$5+[10]FormattedData!N30^2*$J$6+$M$5*$J$7</f>
        <v>37.740213633666471</v>
      </c>
      <c r="V18" s="6">
        <f>$J$3+[10]FormattedData!O30*$J$4+$M$4*$J$5+[10]FormattedData!O30^2*$J$6+$M$5*$J$7</f>
        <v>31.64286817125582</v>
      </c>
      <c r="W18" s="5">
        <f t="shared" si="0"/>
        <v>34.642100360699139</v>
      </c>
      <c r="X18" s="4">
        <f t="shared" si="1"/>
        <v>0.77624064574050766</v>
      </c>
      <c r="Y18" s="3">
        <f t="shared" si="2"/>
        <v>31.64286817125582</v>
      </c>
      <c r="Z18" s="2">
        <f t="shared" si="3"/>
        <v>32.342242853628164</v>
      </c>
      <c r="AA18" s="3">
        <f t="shared" si="4"/>
        <v>34.188504904464594</v>
      </c>
      <c r="AB18" s="2">
        <f t="shared" si="5"/>
        <v>36.609134698388644</v>
      </c>
      <c r="AC18" s="2">
        <f t="shared" si="6"/>
        <v>39.050929331858406</v>
      </c>
      <c r="AD18" s="2">
        <f t="shared" si="7"/>
        <v>0.4542594393403952</v>
      </c>
      <c r="AE18" s="2">
        <f t="shared" si="8"/>
        <v>-1.3385130932149272</v>
      </c>
    </row>
    <row r="19" spans="2:31" x14ac:dyDescent="0.2">
      <c r="B19" s="1">
        <f>[10]FormattedData!A32</f>
        <v>202</v>
      </c>
      <c r="C19" s="1" t="str">
        <f>VLOOKUP($B19,[10]TrtCodes!$B$11:I75,2)</f>
        <v>NTH</v>
      </c>
      <c r="D19" s="1">
        <f>VLOOKUP($B19,[10]TrtCodes!$B$11:J75,3)</f>
        <v>9</v>
      </c>
      <c r="E19" s="1">
        <f>VLOOKUP($B19,[10]TrtCodes!$B$11:K75,4)</f>
        <v>2</v>
      </c>
      <c r="F19" s="1">
        <f>VLOOKUP($B19,[10]TrtCodes!$B$11:L75,5)</f>
        <v>2</v>
      </c>
      <c r="G19" s="1">
        <f>VLOOKUP($B19,[10]TrtCodes!$B$11:M75,6)</f>
        <v>2</v>
      </c>
      <c r="H19" s="1">
        <f>VLOOKUP($B19,[10]TrtCodes!$B$11:N75,7)</f>
        <v>1</v>
      </c>
      <c r="I19" s="1">
        <f>[10]FormattedData!B32</f>
        <v>1</v>
      </c>
      <c r="J19" s="4">
        <f>[10]FormattedData!C32</f>
        <v>13.013999999999999</v>
      </c>
      <c r="K19" s="6">
        <f>$J$3+[10]FormattedData!D32*$J$4+$M$4*$J$5+[10]FormattedData!D32^2*$J$6+$M$5*$J$7</f>
        <v>31.159221734211858</v>
      </c>
      <c r="L19" s="6">
        <f>$J$3+[10]FormattedData!E32*$J$4+$M$4*$J$5+[10]FormattedData!E32^2*$J$6+$M$5*$J$7</f>
        <v>35.663779195486995</v>
      </c>
      <c r="M19" s="6">
        <f>$J$3+[10]FormattedData!F32*$J$4+$M$4*$J$5+[10]FormattedData!F32^2*$J$6+$M$5*$J$7</f>
        <v>37.552292237317872</v>
      </c>
      <c r="N19" s="6">
        <f>$J$3+[10]FormattedData!G32*$J$4+$M$4*$J$5+[10]FormattedData!G32^2*$J$6+$M$5*$J$7</f>
        <v>32.31819790452424</v>
      </c>
      <c r="O19" s="6">
        <f>$J$3+[10]FormattedData!H32*$J$4+$M$4*$J$5+[10]FormattedData!H32^2*$J$6+$M$5*$J$7</f>
        <v>40.167806038391376</v>
      </c>
      <c r="P19" s="6">
        <f>$J$3+[10]FormattedData!I32*$J$4+$M$4*$J$5+[10]FormattedData!I32^2*$J$6+$M$5*$J$7</f>
        <v>32.125457894851493</v>
      </c>
      <c r="Q19" s="6">
        <f>$J$3+[10]FormattedData!J32*$J$4+$M$4*$J$5+[10]FormattedData!J32^2*$J$6+$M$5*$J$7</f>
        <v>39.889157487020199</v>
      </c>
      <c r="R19" s="6">
        <f>$J$3+[10]FormattedData!K32*$J$4+$M$4*$J$5+[10]FormattedData!K32^2*$J$6+$M$5*$J$7</f>
        <v>33.758358738483672</v>
      </c>
      <c r="S19" s="6">
        <f>$J$3+[10]FormattedData!L32*$J$4+$M$4*$J$5+[10]FormattedData!L32^2*$J$6+$M$5*$J$7</f>
        <v>40.260604351772564</v>
      </c>
      <c r="T19" s="6">
        <f>$J$3+[10]FormattedData!M32*$J$4+$M$4*$J$5+[10]FormattedData!M32^2*$J$6+$M$5*$J$7</f>
        <v>33.662643895985219</v>
      </c>
      <c r="U19" s="6">
        <f>$J$3+[10]FormattedData!N32*$J$4+$M$4*$J$5+[10]FormattedData!N32^2*$J$6+$M$5*$J$7</f>
        <v>40.074965456472249</v>
      </c>
      <c r="V19" s="6">
        <f>$J$3+[10]FormattedData!O32*$J$4+$M$4*$J$5+[10]FormattedData!O32^2*$J$6+$M$5*$J$7</f>
        <v>33.758358738483672</v>
      </c>
      <c r="W19" s="5">
        <f t="shared" si="0"/>
        <v>35.865903639416779</v>
      </c>
      <c r="X19" s="4">
        <f t="shared" si="1"/>
        <v>1.0190427092769705</v>
      </c>
      <c r="Y19" s="3">
        <f t="shared" si="2"/>
        <v>31.159221734211858</v>
      </c>
      <c r="Z19" s="2">
        <f t="shared" si="3"/>
        <v>33.326532398119973</v>
      </c>
      <c r="AA19" s="3">
        <f t="shared" si="4"/>
        <v>34.711068966985337</v>
      </c>
      <c r="AB19" s="2">
        <f t="shared" si="5"/>
        <v>39.93560947938321</v>
      </c>
      <c r="AC19" s="2">
        <f t="shared" si="6"/>
        <v>40.260604351772564</v>
      </c>
      <c r="AD19" s="2">
        <f t="shared" si="7"/>
        <v>0.19417705184318396</v>
      </c>
      <c r="AE19" s="2">
        <f t="shared" si="8"/>
        <v>-1.7934011019927212</v>
      </c>
    </row>
    <row r="20" spans="2:31" x14ac:dyDescent="0.2">
      <c r="B20" s="1">
        <f>[10]FormattedData!A34</f>
        <v>203</v>
      </c>
      <c r="C20" s="1" t="str">
        <f>VLOOKUP($B20,[10]TrtCodes!$B$11:I77,2)</f>
        <v>FTH</v>
      </c>
      <c r="D20" s="1">
        <f>VLOOKUP($B20,[10]TrtCodes!$B$11:J77,3)</f>
        <v>3</v>
      </c>
      <c r="E20" s="1">
        <f>VLOOKUP($B20,[10]TrtCodes!$B$11:K77,4)</f>
        <v>1</v>
      </c>
      <c r="F20" s="1">
        <f>VLOOKUP($B20,[10]TrtCodes!$B$11:L77,5)</f>
        <v>2</v>
      </c>
      <c r="G20" s="1">
        <f>VLOOKUP($B20,[10]TrtCodes!$B$11:M77,6)</f>
        <v>2</v>
      </c>
      <c r="H20" s="1">
        <f>VLOOKUP($B20,[10]TrtCodes!$B$11:N77,7)</f>
        <v>1</v>
      </c>
      <c r="I20" s="1">
        <f>[10]FormattedData!B34</f>
        <v>1</v>
      </c>
      <c r="J20" s="4">
        <f>[10]FormattedData!C34</f>
        <v>13.028</v>
      </c>
      <c r="K20" s="6">
        <f>$J$3+[10]FormattedData!D34*$J$4+$M$4*$J$5+[10]FormattedData!D34^2*$J$6+$M$5*$J$7</f>
        <v>42.107694226430922</v>
      </c>
      <c r="L20" s="6">
        <f>$J$3+[10]FormattedData!E34*$J$4+$M$4*$J$5+[10]FormattedData!E34^2*$J$6+$M$5*$J$7</f>
        <v>41.278596075462254</v>
      </c>
      <c r="M20" s="6">
        <f>$J$3+[10]FormattedData!F34*$J$4+$M$4*$J$5+[10]FormattedData!F34^2*$J$6+$M$5*$J$7</f>
        <v>46.20182870768793</v>
      </c>
      <c r="N20" s="6">
        <f>$J$3+[10]FormattedData!G34*$J$4+$M$4*$J$5+[10]FormattedData!G34^2*$J$6+$M$5*$J$7</f>
        <v>32.991456479434049</v>
      </c>
      <c r="O20" s="6">
        <f>$J$3+[10]FormattedData!H34*$J$4+$M$4*$J$5+[10]FormattedData!H34^2*$J$6+$M$5*$J$7</f>
        <v>44.665215593462904</v>
      </c>
      <c r="P20" s="6">
        <f>$J$3+[10]FormattedData!I34*$J$4+$M$4*$J$5+[10]FormattedData!I34^2*$J$6+$M$5*$J$7</f>
        <v>32.991456479434049</v>
      </c>
      <c r="Q20" s="6">
        <f>$J$3+[10]FormattedData!J34*$J$4+$M$4*$J$5+[10]FormattedData!J34^2*$J$6+$M$5*$J$7</f>
        <v>47.815516239183786</v>
      </c>
      <c r="R20" s="6">
        <f>$J$3+[10]FormattedData!K34*$J$4+$M$4*$J$5+[10]FormattedData!K34^2*$J$6+$M$5*$J$7</f>
        <v>39.23749813499321</v>
      </c>
      <c r="S20" s="6">
        <f>$J$3+[10]FormattedData!L34*$J$4+$M$4*$J$5+[10]FormattedData!L34^2*$J$6+$M$5*$J$7</f>
        <v>47.458102529024558</v>
      </c>
      <c r="T20" s="6">
        <f>$J$3+[10]FormattedData!M34*$J$4+$M$4*$J$5+[10]FormattedData!M34^2*$J$6+$M$5*$J$7</f>
        <v>31.352807114643234</v>
      </c>
      <c r="U20" s="6">
        <f>$J$3+[10]FormattedData!N34*$J$4+$M$4*$J$5+[10]FormattedData!N34^2*$J$6+$M$5*$J$7</f>
        <v>46.831001197535556</v>
      </c>
      <c r="V20" s="6">
        <f>$J$3+[10]FormattedData!O34*$J$4+$M$4*$J$5+[10]FormattedData!O34^2*$J$6+$M$5*$J$7</f>
        <v>35.093928336979104</v>
      </c>
      <c r="W20" s="5">
        <f t="shared" si="0"/>
        <v>40.668758426189292</v>
      </c>
      <c r="X20" s="4">
        <f t="shared" si="1"/>
        <v>1.7879429248440346</v>
      </c>
      <c r="Y20" s="3">
        <f t="shared" si="2"/>
        <v>31.352807114643234</v>
      </c>
      <c r="Z20" s="2">
        <f t="shared" si="3"/>
        <v>34.56831037259284</v>
      </c>
      <c r="AA20" s="3">
        <f t="shared" si="4"/>
        <v>41.693145150946592</v>
      </c>
      <c r="AB20" s="2">
        <f t="shared" si="5"/>
        <v>46.359121830149839</v>
      </c>
      <c r="AC20" s="2">
        <f t="shared" si="6"/>
        <v>47.815516239183786</v>
      </c>
      <c r="AD20" s="2">
        <f t="shared" si="7"/>
        <v>-0.34036558042188342</v>
      </c>
      <c r="AE20" s="2">
        <f t="shared" si="8"/>
        <v>-1.5894854193048022</v>
      </c>
    </row>
    <row r="21" spans="2:31" x14ac:dyDescent="0.2">
      <c r="B21" s="1">
        <f>[10]FormattedData!A36</f>
        <v>204</v>
      </c>
      <c r="C21" s="1" t="str">
        <f>VLOOKUP($B21,[10]TrtCodes!$B$11:I79,2)</f>
        <v>NDH</v>
      </c>
      <c r="D21" s="1">
        <f>VLOOKUP($B21,[10]TrtCodes!$B$11:J79,3)</f>
        <v>11</v>
      </c>
      <c r="E21" s="1">
        <f>VLOOKUP($B21,[10]TrtCodes!$B$11:K79,4)</f>
        <v>2</v>
      </c>
      <c r="F21" s="1">
        <f>VLOOKUP($B21,[10]TrtCodes!$B$11:L79,5)</f>
        <v>3</v>
      </c>
      <c r="G21" s="1">
        <f>VLOOKUP($B21,[10]TrtCodes!$B$11:M79,6)</f>
        <v>2</v>
      </c>
      <c r="H21" s="1">
        <f>VLOOKUP($B21,[10]TrtCodes!$B$11:N79,7)</f>
        <v>1</v>
      </c>
      <c r="I21" s="1">
        <f>[10]FormattedData!B36</f>
        <v>1</v>
      </c>
      <c r="J21" s="4">
        <f>[10]FormattedData!C36</f>
        <v>13.042</v>
      </c>
      <c r="K21" s="6">
        <f>$J$3+[10]FormattedData!D36*$J$4+$M$4*$J$5+[10]FormattedData!D36^2*$J$6+$M$5*$J$7</f>
        <v>34.713182393881894</v>
      </c>
      <c r="L21" s="6">
        <f>$J$3+[10]FormattedData!E36*$J$4+$M$4*$J$5+[10]FormattedData!E36^2*$J$6+$M$5*$J$7</f>
        <v>32.703170701414578</v>
      </c>
      <c r="M21" s="6">
        <f>$J$3+[10]FormattedData!F36*$J$4+$M$4*$J$5+[10]FormattedData!F36^2*$J$6+$M$5*$J$7</f>
        <v>34.903639902506363</v>
      </c>
      <c r="N21" s="6">
        <f>$J$3+[10]FormattedData!G36*$J$4+$M$4*$J$5+[10]FormattedData!G36^2*$J$6+$M$5*$J$7</f>
        <v>30.577451148007391</v>
      </c>
      <c r="O21" s="6">
        <f>$J$3+[10]FormattedData!H36*$J$4+$M$4*$J$5+[10]FormattedData!H36^2*$J$6+$M$5*$J$7</f>
        <v>38.583767624607596</v>
      </c>
      <c r="P21" s="6">
        <f>$J$3+[10]FormattedData!I36*$J$4+$M$4*$J$5+[10]FormattedData!I36^2*$J$6+$M$5*$J$7</f>
        <v>31.739470653050816</v>
      </c>
      <c r="Q21" s="6">
        <f>$J$3+[10]FormattedData!J36*$J$4+$M$4*$J$5+[10]FormattedData!J36^2*$J$6+$M$5*$J$7</f>
        <v>37.927965955863357</v>
      </c>
      <c r="R21" s="6">
        <f>$J$3+[10]FormattedData!K36*$J$4+$M$4*$J$5+[10]FormattedData!K36^2*$J$6+$M$5*$J$7</f>
        <v>30.091479941377226</v>
      </c>
      <c r="S21" s="6">
        <f>$J$3+[10]FormattedData!L36*$J$4+$M$4*$J$5+[10]FormattedData!L36^2*$J$6+$M$5*$J$7</f>
        <v>37.834110929033884</v>
      </c>
      <c r="T21" s="6">
        <f>$J$3+[10]FormattedData!M36*$J$4+$M$4*$J$5+[10]FormattedData!M36^2*$J$6+$M$5*$J$7</f>
        <v>30.965467279628765</v>
      </c>
      <c r="U21" s="6">
        <f>$J$3+[10]FormattedData!N36*$J$4+$M$4*$J$5+[10]FormattedData!N36^2*$J$6+$M$5*$J$7</f>
        <v>36.515702356938476</v>
      </c>
      <c r="V21" s="6">
        <f>$J$3+[10]FormattedData!O36*$J$4+$M$4*$J$5+[10]FormattedData!O36^2*$J$6+$M$5*$J$7</f>
        <v>30.674518583719628</v>
      </c>
      <c r="W21" s="5">
        <f t="shared" si="0"/>
        <v>33.935827289169168</v>
      </c>
      <c r="X21" s="4">
        <f t="shared" si="1"/>
        <v>0.92439221654946913</v>
      </c>
      <c r="Y21" s="3">
        <f t="shared" si="2"/>
        <v>30.091479941377226</v>
      </c>
      <c r="Z21" s="2">
        <f t="shared" si="3"/>
        <v>30.892730105651481</v>
      </c>
      <c r="AA21" s="3">
        <f t="shared" si="4"/>
        <v>33.708176547648236</v>
      </c>
      <c r="AB21" s="2">
        <f t="shared" si="5"/>
        <v>36.845304499962324</v>
      </c>
      <c r="AC21" s="2">
        <f t="shared" si="6"/>
        <v>38.583767624607596</v>
      </c>
      <c r="AD21" s="2">
        <f t="shared" si="7"/>
        <v>0.24507550279389548</v>
      </c>
      <c r="AE21" s="2">
        <f t="shared" si="8"/>
        <v>-1.6963936267665347</v>
      </c>
    </row>
    <row r="22" spans="2:31" x14ac:dyDescent="0.2">
      <c r="B22" s="1">
        <f>[10]FormattedData!A38</f>
        <v>205</v>
      </c>
      <c r="C22" s="1" t="str">
        <f>VLOOKUP($B22,[10]TrtCodes!$B$11:I81,2)</f>
        <v>FSH</v>
      </c>
      <c r="D22" s="1">
        <f>VLOOKUP($B22,[10]TrtCodes!$B$11:J81,3)</f>
        <v>1</v>
      </c>
      <c r="E22" s="1">
        <f>VLOOKUP($B22,[10]TrtCodes!$B$11:K81,4)</f>
        <v>1</v>
      </c>
      <c r="F22" s="1">
        <f>VLOOKUP($B22,[10]TrtCodes!$B$11:L81,5)</f>
        <v>1</v>
      </c>
      <c r="G22" s="1">
        <f>VLOOKUP($B22,[10]TrtCodes!$B$11:M81,6)</f>
        <v>2</v>
      </c>
      <c r="H22" s="1">
        <f>VLOOKUP($B22,[10]TrtCodes!$B$11:N81,7)</f>
        <v>2</v>
      </c>
      <c r="I22" s="1">
        <f>[10]FormattedData!B38</f>
        <v>1</v>
      </c>
      <c r="J22" s="4">
        <f>[10]FormattedData!C38</f>
        <v>13.055</v>
      </c>
      <c r="K22" s="6">
        <f>$J$3+[10]FormattedData!D38*$J$4+$M$4*$J$5+[10]FormattedData!D38^2*$J$6+$M$5*$J$7</f>
        <v>41.093887087996421</v>
      </c>
      <c r="L22" s="6">
        <f>$J$3+[10]FormattedData!E38*$J$4+$M$4*$J$5+[10]FormattedData!E38^2*$J$6+$M$5*$J$7</f>
        <v>43.116386871775759</v>
      </c>
      <c r="M22" s="6">
        <f>$J$3+[10]FormattedData!F38*$J$4+$M$4*$J$5+[10]FormattedData!F38^2*$J$6+$M$5*$J$7</f>
        <v>47.100012522258424</v>
      </c>
      <c r="N22" s="6">
        <f>$J$3+[10]FormattedData!G38*$J$4+$M$4*$J$5+[10]FormattedData!G38^2*$J$6+$M$5*$J$7</f>
        <v>33.375245757262306</v>
      </c>
      <c r="O22" s="6">
        <f>$J$3+[10]FormattedData!H38*$J$4+$M$4*$J$5+[10]FormattedData!H38^2*$J$6+$M$5*$J$7</f>
        <v>43.664427164711185</v>
      </c>
      <c r="P22" s="6">
        <f>$J$3+[10]FormattedData!I38*$J$4+$M$4*$J$5+[10]FormattedData!I38^2*$J$6+$M$5*$J$7</f>
        <v>33.949661617866767</v>
      </c>
      <c r="Q22" s="6">
        <f>$J$3+[10]FormattedData!J38*$J$4+$M$4*$J$5+[10]FormattedData!J38^2*$J$6+$M$5*$J$7</f>
        <v>43.481916141217766</v>
      </c>
      <c r="R22" s="6">
        <f>$J$3+[10]FormattedData!K38*$J$4+$M$4*$J$5+[10]FormattedData!K38^2*$J$6+$M$5*$J$7</f>
        <v>39.423897863976293</v>
      </c>
      <c r="S22" s="6">
        <f>$J$3+[10]FormattedData!L38*$J$4+$M$4*$J$5+[10]FormattedData!L38^2*$J$6+$M$5*$J$7</f>
        <v>46.92071390764778</v>
      </c>
      <c r="T22" s="6">
        <f>$J$3+[10]FormattedData!M38*$J$4+$M$4*$J$5+[10]FormattedData!M38^2*$J$6+$M$5*$J$7</f>
        <v>33.375245757262306</v>
      </c>
      <c r="U22" s="6">
        <f>$J$3+[10]FormattedData!N38*$J$4+$M$4*$J$5+[10]FormattedData!N38^2*$J$6+$M$5*$J$7</f>
        <v>38.209277425124192</v>
      </c>
      <c r="V22" s="6">
        <f>$J$3+[10]FormattedData!O38*$J$4+$M$4*$J$5+[10]FormattedData!O38^2*$J$6+$M$5*$J$7</f>
        <v>36.798915910406215</v>
      </c>
      <c r="W22" s="5">
        <f t="shared" si="0"/>
        <v>40.042465668958783</v>
      </c>
      <c r="X22" s="4">
        <f t="shared" si="1"/>
        <v>1.437885373425559</v>
      </c>
      <c r="Y22" s="3">
        <f t="shared" si="2"/>
        <v>33.375245757262306</v>
      </c>
      <c r="Z22" s="2">
        <f t="shared" si="3"/>
        <v>36.086602337271351</v>
      </c>
      <c r="AA22" s="3">
        <f t="shared" si="4"/>
        <v>40.258892475986357</v>
      </c>
      <c r="AB22" s="2">
        <f t="shared" si="5"/>
        <v>43.527543897091121</v>
      </c>
      <c r="AC22" s="2">
        <f t="shared" si="6"/>
        <v>47.100012522258424</v>
      </c>
      <c r="AD22" s="2">
        <f t="shared" si="7"/>
        <v>-5.6574610646927412E-2</v>
      </c>
      <c r="AE22" s="2">
        <f t="shared" si="8"/>
        <v>-1.3264882452512712</v>
      </c>
    </row>
    <row r="23" spans="2:31" x14ac:dyDescent="0.2">
      <c r="B23" s="1">
        <f>[10]FormattedData!A40</f>
        <v>206</v>
      </c>
      <c r="C23" s="1" t="str">
        <f>VLOOKUP($B23,[10]TrtCodes!$B$11:I83,2)</f>
        <v>NSL</v>
      </c>
      <c r="D23" s="1">
        <f>VLOOKUP($B23,[10]TrtCodes!$B$11:J83,3)</f>
        <v>8</v>
      </c>
      <c r="E23" s="1">
        <f>VLOOKUP($B23,[10]TrtCodes!$B$11:K83,4)</f>
        <v>2</v>
      </c>
      <c r="F23" s="1">
        <f>VLOOKUP($B23,[10]TrtCodes!$B$11:L83,5)</f>
        <v>1</v>
      </c>
      <c r="G23" s="1">
        <f>VLOOKUP($B23,[10]TrtCodes!$B$11:M83,6)</f>
        <v>1</v>
      </c>
      <c r="H23" s="1">
        <f>VLOOKUP($B23,[10]TrtCodes!$B$11:N83,7)</f>
        <v>2</v>
      </c>
      <c r="I23" s="1">
        <f>[10]FormattedData!B40</f>
        <v>1</v>
      </c>
      <c r="J23" s="4">
        <f>[10]FormattedData!C40</f>
        <v>13.068</v>
      </c>
      <c r="K23" s="6">
        <f>$J$3+[10]FormattedData!D40*$J$4+$M$4*$J$5+[10]FormattedData!D40^2*$J$6+$M$5*$J$7</f>
        <v>45.389849314581383</v>
      </c>
      <c r="L23" s="6">
        <f>$J$3+[10]FormattedData!E40*$J$4+$M$4*$J$5+[10]FormattedData!E40^2*$J$6+$M$5*$J$7</f>
        <v>47.368643430139926</v>
      </c>
      <c r="M23" s="6">
        <f>$J$3+[10]FormattedData!F40*$J$4+$M$4*$J$5+[10]FormattedData!F40^2*$J$6+$M$5*$J$7</f>
        <v>51.702431474880001</v>
      </c>
      <c r="N23" s="6">
        <f>$J$3+[10]FormattedData!G40*$J$4+$M$4*$J$5+[10]FormattedData!G40^2*$J$6+$M$5*$J$7</f>
        <v>43.481916141217766</v>
      </c>
      <c r="O23" s="6">
        <f>$J$3+[10]FormattedData!H40*$J$4+$M$4*$J$5+[10]FormattedData!H40^2*$J$6+$M$5*$J$7</f>
        <v>59.565185903493067</v>
      </c>
      <c r="P23" s="6">
        <f>$J$3+[10]FormattedData!I40*$J$4+$M$4*$J$5+[10]FormattedData!I40^2*$J$6+$M$5*$J$7</f>
        <v>38.67728450313362</v>
      </c>
      <c r="Q23" s="6">
        <f>$J$3+[10]FormattedData!J40*$J$4+$M$4*$J$5+[10]FormattedData!J40^2*$J$6+$M$5*$J$7</f>
        <v>58.475849411068857</v>
      </c>
      <c r="R23" s="6">
        <f>$J$3+[10]FormattedData!K40*$J$4+$M$4*$J$5+[10]FormattedData!K40^2*$J$6+$M$5*$J$7</f>
        <v>41.555342542626526</v>
      </c>
      <c r="S23" s="6">
        <f>$J$3+[10]FormattedData!L40*$J$4+$M$4*$J$5+[10]FormattedData!L40^2*$J$6+$M$5*$J$7</f>
        <v>56.616083498324414</v>
      </c>
      <c r="T23" s="6">
        <f>$J$3+[10]FormattedData!M40*$J$4+$M$4*$J$5+[10]FormattedData!M40^2*$J$6+$M$5*$J$7</f>
        <v>38.957581527484102</v>
      </c>
      <c r="U23" s="6">
        <f>$J$3+[10]FormattedData!N40*$J$4+$M$4*$J$5+[10]FormattedData!N40^2*$J$6+$M$5*$J$7</f>
        <v>58.391758416501482</v>
      </c>
      <c r="V23" s="6">
        <f>$J$3+[10]FormattedData!O40*$J$4+$M$4*$J$5+[10]FormattedData!O40^2*$J$6+$M$5*$J$7</f>
        <v>51.089532372135871</v>
      </c>
      <c r="W23" s="5">
        <f t="shared" si="0"/>
        <v>49.272621544632251</v>
      </c>
      <c r="X23" s="4">
        <f t="shared" si="1"/>
        <v>2.2485305823714139</v>
      </c>
      <c r="Y23" s="3">
        <f t="shared" si="2"/>
        <v>38.67728450313362</v>
      </c>
      <c r="Z23" s="2">
        <f t="shared" si="3"/>
        <v>43.000272741569958</v>
      </c>
      <c r="AA23" s="3">
        <f t="shared" si="4"/>
        <v>49.229087901137902</v>
      </c>
      <c r="AB23" s="2">
        <f t="shared" si="5"/>
        <v>57.060002227868679</v>
      </c>
      <c r="AC23" s="2">
        <f t="shared" si="6"/>
        <v>59.565185903493067</v>
      </c>
      <c r="AD23" s="2">
        <f t="shared" si="7"/>
        <v>8.8557643952063315E-3</v>
      </c>
      <c r="AE23" s="2">
        <f t="shared" si="8"/>
        <v>-1.5889099473095682</v>
      </c>
    </row>
    <row r="24" spans="2:31" x14ac:dyDescent="0.2">
      <c r="B24" s="1">
        <f>[10]FormattedData!A42</f>
        <v>207</v>
      </c>
      <c r="C24" s="1" t="str">
        <f>VLOOKUP($B24,[10]TrtCodes!$B$11:I85,2)</f>
        <v>FTL</v>
      </c>
      <c r="D24" s="1">
        <f>VLOOKUP($B24,[10]TrtCodes!$B$11:J85,3)</f>
        <v>4</v>
      </c>
      <c r="E24" s="1">
        <f>VLOOKUP($B24,[10]TrtCodes!$B$11:K85,4)</f>
        <v>1</v>
      </c>
      <c r="F24" s="1">
        <f>VLOOKUP($B24,[10]TrtCodes!$B$11:L85,5)</f>
        <v>2</v>
      </c>
      <c r="G24" s="1">
        <f>VLOOKUP($B24,[10]TrtCodes!$B$11:M85,6)</f>
        <v>1</v>
      </c>
      <c r="H24" s="1">
        <f>VLOOKUP($B24,[10]TrtCodes!$B$11:N85,7)</f>
        <v>2</v>
      </c>
      <c r="I24" s="1">
        <f>[10]FormattedData!B42</f>
        <v>1</v>
      </c>
      <c r="J24" s="4">
        <f>[10]FormattedData!C42</f>
        <v>13.083</v>
      </c>
      <c r="K24" s="6">
        <f>$J$3+[10]FormattedData!D42*$J$4+$M$4*$J$5+[10]FormattedData!D42^2*$J$6+$M$5*$J$7</f>
        <v>41.278596075462254</v>
      </c>
      <c r="L24" s="6">
        <f>$J$3+[10]FormattedData!E42*$J$4+$M$4*$J$5+[10]FormattedData!E42^2*$J$6+$M$5*$J$7</f>
        <v>36.61014914329899</v>
      </c>
      <c r="M24" s="6">
        <f>$J$3+[10]FormattedData!F42*$J$4+$M$4*$J$5+[10]FormattedData!F42^2*$J$6+$M$5*$J$7</f>
        <v>46.831001197535556</v>
      </c>
      <c r="N24" s="6">
        <f>$J$3+[10]FormattedData!G42*$J$4+$M$4*$J$5+[10]FormattedData!G42^2*$J$6+$M$5*$J$7</f>
        <v>33.375245757262306</v>
      </c>
      <c r="O24" s="6">
        <f>$J$3+[10]FormattedData!H42*$J$4+$M$4*$J$5+[10]FormattedData!H42^2*$J$6+$M$5*$J$7</f>
        <v>44.665215593462904</v>
      </c>
      <c r="P24" s="6">
        <f>$J$3+[10]FormattedData!I42*$J$4+$M$4*$J$5+[10]FormattedData!I42^2*$J$6+$M$5*$J$7</f>
        <v>33.566886784948849</v>
      </c>
      <c r="Q24" s="6">
        <f>$J$3+[10]FormattedData!J42*$J$4+$M$4*$J$5+[10]FormattedData!J42^2*$J$6+$M$5*$J$7</f>
        <v>43.024898883070435</v>
      </c>
      <c r="R24" s="6">
        <f>$J$3+[10]FormattedData!K42*$J$4+$M$4*$J$5+[10]FormattedData!K42^2*$J$6+$M$5*$J$7</f>
        <v>32.51076884004528</v>
      </c>
      <c r="S24" s="6">
        <f>$J$3+[10]FormattedData!L42*$J$4+$M$4*$J$5+[10]FormattedData!L42^2*$J$6+$M$5*$J$7</f>
        <v>40.723961890609573</v>
      </c>
      <c r="T24" s="6">
        <f>$J$3+[10]FormattedData!M42*$J$4+$M$4*$J$5+[10]FormattedData!M42^2*$J$6+$M$5*$J$7</f>
        <v>34.140795423098126</v>
      </c>
      <c r="U24" s="6">
        <f>$J$3+[10]FormattedData!N42*$J$4+$M$4*$J$5+[10]FormattedData!N42^2*$J$6+$M$5*$J$7</f>
        <v>43.390597226664163</v>
      </c>
      <c r="V24" s="6">
        <f>$J$3+[10]FormattedData!O42*$J$4+$M$4*$J$5+[10]FormattedData!O42^2*$J$6+$M$5*$J$7</f>
        <v>33.087467201698011</v>
      </c>
      <c r="W24" s="5">
        <f t="shared" si="0"/>
        <v>38.600465334763037</v>
      </c>
      <c r="X24" s="4">
        <f t="shared" si="1"/>
        <v>1.5143078043338549</v>
      </c>
      <c r="Y24" s="3">
        <f t="shared" si="2"/>
        <v>32.51076884004528</v>
      </c>
      <c r="Z24" s="2">
        <f t="shared" si="3"/>
        <v>33.51897652802721</v>
      </c>
      <c r="AA24" s="3">
        <f t="shared" si="4"/>
        <v>38.667055516954278</v>
      </c>
      <c r="AB24" s="2">
        <f t="shared" si="5"/>
        <v>43.116323468968865</v>
      </c>
      <c r="AC24" s="2">
        <f t="shared" si="6"/>
        <v>46.831001197535556</v>
      </c>
      <c r="AD24" s="2">
        <f t="shared" si="7"/>
        <v>0.18572784564385533</v>
      </c>
      <c r="AE24" s="2">
        <f t="shared" si="8"/>
        <v>-1.7398886739416635</v>
      </c>
    </row>
    <row r="25" spans="2:31" x14ac:dyDescent="0.2">
      <c r="B25" s="1">
        <f>[10]FormattedData!A44</f>
        <v>208</v>
      </c>
      <c r="C25" s="1" t="str">
        <f>VLOOKUP($B25,[10]TrtCodes!$B$11:I87,2)</f>
        <v>FSL</v>
      </c>
      <c r="D25" s="1">
        <f>VLOOKUP($B25,[10]TrtCodes!$B$11:J87,3)</f>
        <v>2</v>
      </c>
      <c r="E25" s="1">
        <f>VLOOKUP($B25,[10]TrtCodes!$B$11:K87,4)</f>
        <v>1</v>
      </c>
      <c r="F25" s="1">
        <f>VLOOKUP($B25,[10]TrtCodes!$B$11:L87,5)</f>
        <v>1</v>
      </c>
      <c r="G25" s="1">
        <f>VLOOKUP($B25,[10]TrtCodes!$B$11:M87,6)</f>
        <v>1</v>
      </c>
      <c r="H25" s="1">
        <f>VLOOKUP($B25,[10]TrtCodes!$B$11:N87,7)</f>
        <v>2</v>
      </c>
      <c r="I25" s="1">
        <f>[10]FormattedData!B44</f>
        <v>1</v>
      </c>
      <c r="J25" s="4">
        <f>[10]FormattedData!C44</f>
        <v>13.097</v>
      </c>
      <c r="K25" s="6">
        <f>$J$3+[10]FormattedData!D44*$J$4+$M$4*$J$5+[10]FormattedData!D44^2*$J$6+$M$5*$J$7</f>
        <v>43.299236043572627</v>
      </c>
      <c r="L25" s="6">
        <f>$J$3+[10]FormattedData!E44*$J$4+$M$4*$J$5+[10]FormattedData!E44^2*$J$6+$M$5*$J$7</f>
        <v>37.927965955863357</v>
      </c>
      <c r="M25" s="6">
        <f>$J$3+[10]FormattedData!F44*$J$4+$M$4*$J$5+[10]FormattedData!F44^2*$J$6+$M$5*$J$7</f>
        <v>45.208944495529344</v>
      </c>
      <c r="N25" s="6">
        <f>$J$3+[10]FormattedData!G44*$J$4+$M$4*$J$5+[10]FormattedData!G44^2*$J$6+$M$5*$J$7</f>
        <v>36.326681978603673</v>
      </c>
      <c r="O25" s="6">
        <f>$J$3+[10]FormattedData!H44*$J$4+$M$4*$J$5+[10]FormattedData!H44^2*$J$6+$M$5*$J$7</f>
        <v>49.769202843211232</v>
      </c>
      <c r="P25" s="6">
        <f>$J$3+[10]FormattedData!I44*$J$4+$M$4*$J$5+[10]FormattedData!I44^2*$J$6+$M$5*$J$7</f>
        <v>37.175942222165496</v>
      </c>
      <c r="Q25" s="6">
        <f>$J$3+[10]FormattedData!J44*$J$4+$M$4*$J$5+[10]FormattedData!J44^2*$J$6+$M$5*$J$7</f>
        <v>49.857520691571722</v>
      </c>
      <c r="R25" s="6">
        <f>$J$3+[10]FormattedData!K44*$J$4+$M$4*$J$5+[10]FormattedData!K44^2*$J$6+$M$5*$J$7</f>
        <v>36.421213302040044</v>
      </c>
      <c r="S25" s="6">
        <f>$J$3+[10]FormattedData!L44*$J$4+$M$4*$J$5+[10]FormattedData!L44^2*$J$6+$M$5*$J$7</f>
        <v>48.439362893252081</v>
      </c>
      <c r="T25" s="6">
        <f>$J$3+[10]FormattedData!M44*$J$4+$M$4*$J$5+[10]FormattedData!M44^2*$J$6+$M$5*$J$7</f>
        <v>37.081749047032574</v>
      </c>
      <c r="U25" s="6">
        <f>$J$3+[10]FormattedData!N44*$J$4+$M$4*$J$5+[10]FormattedData!N44^2*$J$6+$M$5*$J$7</f>
        <v>47.815516239183786</v>
      </c>
      <c r="V25" s="6">
        <f>$J$3+[10]FormattedData!O44*$J$4+$M$4*$J$5+[10]FormattedData!O44^2*$J$6+$M$5*$J$7</f>
        <v>40.167806038391376</v>
      </c>
      <c r="W25" s="5">
        <f t="shared" si="0"/>
        <v>42.457595145868112</v>
      </c>
      <c r="X25" s="4">
        <f t="shared" si="1"/>
        <v>1.5991662300638789</v>
      </c>
      <c r="Y25" s="3">
        <f t="shared" si="2"/>
        <v>36.326681978603673</v>
      </c>
      <c r="Z25" s="2">
        <f t="shared" si="3"/>
        <v>37.152393928382267</v>
      </c>
      <c r="AA25" s="3">
        <f t="shared" si="4"/>
        <v>41.733521040981998</v>
      </c>
      <c r="AB25" s="2">
        <f t="shared" si="5"/>
        <v>47.971477902700862</v>
      </c>
      <c r="AC25" s="2">
        <f t="shared" si="6"/>
        <v>49.857520691571722</v>
      </c>
      <c r="AD25" s="2">
        <f t="shared" si="7"/>
        <v>0.21004173938886017</v>
      </c>
      <c r="AE25" s="2">
        <f t="shared" si="8"/>
        <v>-1.8880807719800248</v>
      </c>
    </row>
    <row r="26" spans="2:31" x14ac:dyDescent="0.2">
      <c r="B26" s="1">
        <f>[10]FormattedData!A62</f>
        <v>301</v>
      </c>
      <c r="C26" s="1" t="str">
        <f>VLOOKUP($B26,[10]TrtCodes!$B$11:I105,2)</f>
        <v>NTL</v>
      </c>
      <c r="D26" s="1">
        <f>VLOOKUP($B26,[10]TrtCodes!$B$11:J105,3)</f>
        <v>10</v>
      </c>
      <c r="E26" s="1">
        <f>VLOOKUP($B26,[10]TrtCodes!$B$11:K105,4)</f>
        <v>2</v>
      </c>
      <c r="F26" s="1">
        <f>VLOOKUP($B26,[10]TrtCodes!$B$11:L105,5)</f>
        <v>2</v>
      </c>
      <c r="G26" s="1">
        <f>VLOOKUP($B26,[10]TrtCodes!$B$11:M105,6)</f>
        <v>1</v>
      </c>
      <c r="H26" s="1">
        <f>VLOOKUP($B26,[10]TrtCodes!$B$11:N105,7)</f>
        <v>3</v>
      </c>
      <c r="I26" s="1">
        <f>[10]FormattedData!B62</f>
        <v>1</v>
      </c>
      <c r="J26" s="4">
        <f>[10]FormattedData!C62</f>
        <v>13.206</v>
      </c>
      <c r="K26" s="6">
        <f>$J$3+[10]FormattedData!D62*$J$4+$M$4*$J$5+[10]FormattedData!D62^2*$J$6+$M$5*$J$7</f>
        <v>32.414504506553726</v>
      </c>
      <c r="L26" s="6">
        <f>$J$3+[10]FormattedData!E62*$J$4+$M$4*$J$5+[10]FormattedData!E62^2*$J$6+$M$5*$J$7</f>
        <v>40.446074172921158</v>
      </c>
      <c r="M26" s="6">
        <f>$J$3+[10]FormattedData!F62*$J$4+$M$4*$J$5+[10]FormattedData!F62^2*$J$6+$M$5*$J$7</f>
        <v>32.991456479434049</v>
      </c>
      <c r="N26" s="6">
        <f>$J$3+[10]FormattedData!G62*$J$4+$M$4*$J$5+[10]FormattedData!G62^2*$J$6+$M$5*$J$7</f>
        <v>44.028941989242838</v>
      </c>
      <c r="O26" s="6">
        <f>$J$3+[10]FormattedData!H62*$J$4+$M$4*$J$5+[10]FormattedData!H62^2*$J$6+$M$5*$J$7</f>
        <v>33.183435655424034</v>
      </c>
      <c r="P26" s="6">
        <f>$J$3+[10]FormattedData!I62*$J$4+$M$4*$J$5+[10]FormattedData!I62^2*$J$6+$M$5*$J$7</f>
        <v>40.446074172921158</v>
      </c>
      <c r="Q26" s="6">
        <f>$J$3+[10]FormattedData!J62*$J$4+$M$4*$J$5+[10]FormattedData!J62^2*$J$6+$M$5*$J$7</f>
        <v>32.221849033956836</v>
      </c>
      <c r="R26" s="6">
        <f>$J$3+[10]FormattedData!K62*$J$4+$M$4*$J$5+[10]FormattedData!K62^2*$J$6+$M$5*$J$7</f>
        <v>40.538745680688564</v>
      </c>
      <c r="S26" s="6">
        <f>$J$3+[10]FormattedData!L62*$J$4+$M$4*$J$5+[10]FormattedData!L62^2*$J$6+$M$5*$J$7</f>
        <v>32.31819790452424</v>
      </c>
      <c r="T26" s="6">
        <f>$J$3+[10]FormattedData!M62*$J$4+$M$4*$J$5+[10]FormattedData!M62^2*$J$6+$M$5*$J$7</f>
        <v>39.889157487020199</v>
      </c>
      <c r="U26" s="6">
        <f>$J$3+[10]FormattedData!N62*$J$4+$M$4*$J$5+[10]FormattedData!N62^2*$J$6+$M$5*$J$7</f>
        <v>33.758358738483672</v>
      </c>
      <c r="V26" s="6">
        <f>$J$3+[10]FormattedData!O62*$J$4+$M$4*$J$5+[10]FormattedData!O62^2*$J$6+$M$5*$J$7</f>
        <v>38.67728450313362</v>
      </c>
      <c r="W26" s="5">
        <f t="shared" si="0"/>
        <v>36.742840027025345</v>
      </c>
      <c r="X26" s="4">
        <f t="shared" si="1"/>
        <v>1.2400089479667777</v>
      </c>
      <c r="Y26" s="3">
        <f t="shared" si="2"/>
        <v>32.221849033956836</v>
      </c>
      <c r="Z26" s="2">
        <f t="shared" si="3"/>
        <v>32.847218486213968</v>
      </c>
      <c r="AA26" s="3">
        <f t="shared" si="4"/>
        <v>36.21782162080865</v>
      </c>
      <c r="AB26" s="2">
        <f t="shared" si="5"/>
        <v>40.446074172921158</v>
      </c>
      <c r="AC26" s="2">
        <f t="shared" si="6"/>
        <v>44.028941989242838</v>
      </c>
      <c r="AD26" s="2">
        <f t="shared" si="7"/>
        <v>0.27095854753168419</v>
      </c>
      <c r="AE26" s="2">
        <f t="shared" si="8"/>
        <v>-1.671043075606812</v>
      </c>
    </row>
    <row r="27" spans="2:31" x14ac:dyDescent="0.2">
      <c r="B27" s="1">
        <f>[10]FormattedData!A64</f>
        <v>302</v>
      </c>
      <c r="C27" s="1" t="str">
        <f>VLOOKUP($B27,[10]TrtCodes!$B$11:I107,2)</f>
        <v>FTL</v>
      </c>
      <c r="D27" s="1">
        <f>VLOOKUP($B27,[10]TrtCodes!$B$11:J107,3)</f>
        <v>4</v>
      </c>
      <c r="E27" s="1">
        <f>VLOOKUP($B27,[10]TrtCodes!$B$11:K107,4)</f>
        <v>1</v>
      </c>
      <c r="F27" s="1">
        <f>VLOOKUP($B27,[10]TrtCodes!$B$11:L107,5)</f>
        <v>2</v>
      </c>
      <c r="G27" s="1">
        <f>VLOOKUP($B27,[10]TrtCodes!$B$11:M107,6)</f>
        <v>1</v>
      </c>
      <c r="H27" s="1">
        <f>VLOOKUP($B27,[10]TrtCodes!$B$11:N107,7)</f>
        <v>3</v>
      </c>
      <c r="I27" s="1">
        <f>[10]FormattedData!B64</f>
        <v>1</v>
      </c>
      <c r="J27" s="4">
        <f>[10]FormattedData!C64</f>
        <v>13.22</v>
      </c>
      <c r="K27" s="6">
        <f>$J$3+[10]FormattedData!D64*$J$4+$M$4*$J$5+[10]FormattedData!D64^2*$J$6+$M$5*$J$7</f>
        <v>30.965467279628765</v>
      </c>
      <c r="L27" s="6">
        <f>$J$3+[10]FormattedData!E64*$J$4+$M$4*$J$5+[10]FormattedData!E64^2*$J$6+$M$5*$J$7</f>
        <v>41.463135988776365</v>
      </c>
      <c r="M27" s="6">
        <f>$J$3+[10]FormattedData!F64*$J$4+$M$4*$J$5+[10]FormattedData!F64^2*$J$6+$M$5*$J$7</f>
        <v>35.189009151408584</v>
      </c>
      <c r="N27" s="6">
        <f>$J$3+[10]FormattedData!G64*$J$4+$M$4*$J$5+[10]FormattedData!G64^2*$J$6+$M$5*$J$7</f>
        <v>40.631374919918038</v>
      </c>
      <c r="O27" s="6">
        <f>$J$3+[10]FormattedData!H64*$J$4+$M$4*$J$5+[10]FormattedData!H64^2*$J$6+$M$5*$J$7</f>
        <v>37.270093128760486</v>
      </c>
      <c r="P27" s="6">
        <f>$J$3+[10]FormattedData!I64*$J$4+$M$4*$J$5+[10]FormattedData!I64^2*$J$6+$M$5*$J$7</f>
        <v>40.538745680688564</v>
      </c>
      <c r="Q27" s="6">
        <f>$J$3+[10]FormattedData!J64*$J$4+$M$4*$J$5+[10]FormattedData!J64^2*$J$6+$M$5*$J$7</f>
        <v>33.375245757262306</v>
      </c>
      <c r="R27" s="6">
        <f>$J$3+[10]FormattedData!K64*$J$4+$M$4*$J$5+[10]FormattedData!K64^2*$J$6+$M$5*$J$7</f>
        <v>41.923746072647852</v>
      </c>
      <c r="S27" s="6">
        <f>$J$3+[10]FormattedData!L64*$J$4+$M$4*$J$5+[10]FormattedData!L64^2*$J$6+$M$5*$J$7</f>
        <v>34.140795423098126</v>
      </c>
      <c r="T27" s="6">
        <f>$J$3+[10]FormattedData!M64*$J$4+$M$4*$J$5+[10]FormattedData!M64^2*$J$6+$M$5*$J$7</f>
        <v>40.260604351772564</v>
      </c>
      <c r="U27" s="6">
        <f>$J$3+[10]FormattedData!N64*$J$4+$M$4*$J$5+[10]FormattedData!N64^2*$J$6+$M$5*$J$7</f>
        <v>32.221849033956836</v>
      </c>
      <c r="V27" s="6">
        <f>$J$3+[10]FormattedData!O64*$J$4+$M$4*$J$5+[10]FormattedData!O64^2*$J$6+$M$5*$J$7</f>
        <v>40.538745680688564</v>
      </c>
      <c r="W27" s="5">
        <f t="shared" si="0"/>
        <v>37.376567705717257</v>
      </c>
      <c r="X27" s="4">
        <f t="shared" si="1"/>
        <v>1.1521979326210481</v>
      </c>
      <c r="Y27" s="3">
        <f t="shared" si="2"/>
        <v>30.965467279628765</v>
      </c>
      <c r="Z27" s="2">
        <f t="shared" si="3"/>
        <v>33.949408006639175</v>
      </c>
      <c r="AA27" s="3">
        <f t="shared" si="4"/>
        <v>38.765348740266525</v>
      </c>
      <c r="AB27" s="2">
        <f t="shared" si="5"/>
        <v>40.561902990495931</v>
      </c>
      <c r="AC27" s="2">
        <f t="shared" si="6"/>
        <v>41.923746072647852</v>
      </c>
      <c r="AD27" s="2">
        <f t="shared" si="7"/>
        <v>-0.38587892718439892</v>
      </c>
      <c r="AE27" s="2">
        <f t="shared" si="8"/>
        <v>-1.6291700883513194</v>
      </c>
    </row>
    <row r="28" spans="2:31" x14ac:dyDescent="0.2">
      <c r="B28" s="1">
        <f>[10]FormattedData!A66</f>
        <v>303</v>
      </c>
      <c r="C28" s="1" t="str">
        <f>VLOOKUP($B28,[10]TrtCodes!$B$11:I109,2)</f>
        <v>NSL</v>
      </c>
      <c r="D28" s="1">
        <f>VLOOKUP($B28,[10]TrtCodes!$B$11:J109,3)</f>
        <v>8</v>
      </c>
      <c r="E28" s="1">
        <f>VLOOKUP($B28,[10]TrtCodes!$B$11:K109,4)</f>
        <v>2</v>
      </c>
      <c r="F28" s="1">
        <f>VLOOKUP($B28,[10]TrtCodes!$B$11:L109,5)</f>
        <v>1</v>
      </c>
      <c r="G28" s="1">
        <f>VLOOKUP($B28,[10]TrtCodes!$B$11:M109,6)</f>
        <v>1</v>
      </c>
      <c r="H28" s="1">
        <f>VLOOKUP($B28,[10]TrtCodes!$B$11:N109,7)</f>
        <v>3</v>
      </c>
      <c r="I28" s="1">
        <f>[10]FormattedData!B66</f>
        <v>1</v>
      </c>
      <c r="J28" s="4">
        <f>[10]FormattedData!C66</f>
        <v>13.234</v>
      </c>
      <c r="K28" s="6">
        <f>$J$3+[10]FormattedData!D66*$J$4+$M$4*$J$5+[10]FormattedData!D66^2*$J$6+$M$5*$J$7</f>
        <v>51.177216192427402</v>
      </c>
      <c r="L28" s="6">
        <f>$J$3+[10]FormattedData!E66*$J$4+$M$4*$J$5+[10]FormattedData!E66^2*$J$6+$M$5*$J$7</f>
        <v>40.353360396615834</v>
      </c>
      <c r="M28" s="6">
        <f>$J$3+[10]FormattedData!F66*$J$4+$M$4*$J$5+[10]FormattedData!F66^2*$J$6+$M$5*$J$7</f>
        <v>56.445999424982759</v>
      </c>
      <c r="N28" s="6">
        <f>$J$3+[10]FormattedData!G66*$J$4+$M$4*$J$5+[10]FormattedData!G66^2*$J$6+$M$5*$J$7</f>
        <v>39.796190099487276</v>
      </c>
      <c r="O28" s="6">
        <f>$J$3+[10]FormattedData!H66*$J$4+$M$4*$J$5+[10]FormattedData!H66^2*$J$6+$M$5*$J$7</f>
        <v>57.040553982264768</v>
      </c>
      <c r="P28" s="6">
        <f>$J$3+[10]FormattedData!I66*$J$4+$M$4*$J$5+[10]FormattedData!I66^2*$J$6+$M$5*$J$7</f>
        <v>35.75860639868889</v>
      </c>
      <c r="Q28" s="6">
        <f>$J$3+[10]FormattedData!J66*$J$4+$M$4*$J$5+[10]FormattedData!J66^2*$J$6+$M$5*$J$7</f>
        <v>60.231996264721751</v>
      </c>
      <c r="R28" s="6">
        <f>$J$3+[10]FormattedData!K66*$J$4+$M$4*$J$5+[10]FormattedData!K66^2*$J$6+$M$5*$J$7</f>
        <v>37.552292237317872</v>
      </c>
      <c r="S28" s="6">
        <f>$J$3+[10]FormattedData!L66*$J$4+$M$4*$J$5+[10]FormattedData!L66^2*$J$6+$M$5*$J$7</f>
        <v>56.275746277489361</v>
      </c>
      <c r="T28" s="6">
        <f>$J$3+[10]FormattedData!M66*$J$4+$M$4*$J$5+[10]FormattedData!M66^2*$J$6+$M$5*$J$7</f>
        <v>37.646274069761141</v>
      </c>
      <c r="U28" s="6">
        <f>$J$3+[10]FormattedData!N66*$J$4+$M$4*$J$5+[10]FormattedData!N66^2*$J$6+$M$5*$J$7</f>
        <v>57.886324809800648</v>
      </c>
      <c r="V28" s="6">
        <f>$J$3+[10]FormattedData!O66*$J$4+$M$4*$J$5+[10]FormattedData!O66^2*$J$6+$M$5*$J$7</f>
        <v>39.98208260601519</v>
      </c>
      <c r="W28" s="5">
        <f t="shared" si="0"/>
        <v>47.512220229964413</v>
      </c>
      <c r="X28" s="4">
        <f t="shared" si="1"/>
        <v>2.7966724711969486</v>
      </c>
      <c r="Y28" s="3">
        <f t="shared" si="2"/>
        <v>35.75860639868889</v>
      </c>
      <c r="Z28" s="2">
        <f t="shared" si="3"/>
        <v>39.258711092055741</v>
      </c>
      <c r="AA28" s="3">
        <f t="shared" si="4"/>
        <v>45.765288294521618</v>
      </c>
      <c r="AB28" s="2">
        <f t="shared" si="5"/>
        <v>56.594638064303261</v>
      </c>
      <c r="AC28" s="2">
        <f t="shared" si="6"/>
        <v>60.231996264721751</v>
      </c>
      <c r="AD28" s="2">
        <f t="shared" si="7"/>
        <v>7.7920473947861849E-2</v>
      </c>
      <c r="AE28" s="2">
        <f t="shared" si="8"/>
        <v>-2.1329736387529081</v>
      </c>
    </row>
    <row r="29" spans="2:31" x14ac:dyDescent="0.2">
      <c r="B29" s="1">
        <f>[10]FormattedData!A68</f>
        <v>304</v>
      </c>
      <c r="C29" s="1" t="str">
        <f>VLOOKUP($B29,[10]TrtCodes!$B$11:I111,2)</f>
        <v>FSL</v>
      </c>
      <c r="D29" s="1">
        <f>VLOOKUP($B29,[10]TrtCodes!$B$11:J111,3)</f>
        <v>2</v>
      </c>
      <c r="E29" s="1">
        <f>VLOOKUP($B29,[10]TrtCodes!$B$11:K111,4)</f>
        <v>1</v>
      </c>
      <c r="F29" s="1">
        <f>VLOOKUP($B29,[10]TrtCodes!$B$11:L111,5)</f>
        <v>1</v>
      </c>
      <c r="G29" s="1">
        <f>VLOOKUP($B29,[10]TrtCodes!$B$11:M111,6)</f>
        <v>1</v>
      </c>
      <c r="H29" s="1">
        <f>VLOOKUP($B29,[10]TrtCodes!$B$11:N111,7)</f>
        <v>3</v>
      </c>
      <c r="I29" s="1">
        <f>[10]FormattedData!B68</f>
        <v>1</v>
      </c>
      <c r="J29" s="4">
        <f>[10]FormattedData!C68</f>
        <v>13.249000000000001</v>
      </c>
      <c r="K29" s="6">
        <f>$J$3+[10]FormattedData!D68*$J$4+$M$4*$J$5+[10]FormattedData!D68^2*$J$6+$M$5*$J$7</f>
        <v>42.841796100045975</v>
      </c>
      <c r="L29" s="6">
        <f>$J$3+[10]FormattedData!E68*$J$4+$M$4*$J$5+[10]FormattedData!E68^2*$J$6+$M$5*$J$7</f>
        <v>43.573192787233438</v>
      </c>
      <c r="M29" s="6">
        <f>$J$3+[10]FormattedData!F68*$J$4+$M$4*$J$5+[10]FormattedData!F68^2*$J$6+$M$5*$J$7</f>
        <v>39.050929331858406</v>
      </c>
      <c r="N29" s="6">
        <f>$J$3+[10]FormattedData!G68*$J$4+$M$4*$J$5+[10]FormattedData!G68^2*$J$6+$M$5*$J$7</f>
        <v>36.61014914329899</v>
      </c>
      <c r="O29" s="6">
        <f>$J$3+[10]FormattedData!H68*$J$4+$M$4*$J$5+[10]FormattedData!H68^2*$J$6+$M$5*$J$7</f>
        <v>44.846627634970105</v>
      </c>
      <c r="P29" s="6">
        <f>$J$3+[10]FormattedData!I68*$J$4+$M$4*$J$5+[10]FormattedData!I68^2*$J$6+$M$5*$J$7</f>
        <v>37.834110929033884</v>
      </c>
      <c r="Q29" s="6">
        <f>$J$3+[10]FormattedData!J68*$J$4+$M$4*$J$5+[10]FormattedData!J68^2*$J$6+$M$5*$J$7</f>
        <v>44.755942748485467</v>
      </c>
      <c r="R29" s="6">
        <f>$J$3+[10]FormattedData!K68*$J$4+$M$4*$J$5+[10]FormattedData!K68^2*$J$6+$M$5*$J$7</f>
        <v>33.087467201698011</v>
      </c>
      <c r="S29" s="6">
        <f>$J$3+[10]FormattedData!L68*$J$4+$M$4*$J$5+[10]FormattedData!L68^2*$J$6+$M$5*$J$7</f>
        <v>45.660889529124944</v>
      </c>
      <c r="T29" s="6">
        <f>$J$3+[10]FormattedData!M68*$J$4+$M$4*$J$5+[10]FormattedData!M68^2*$J$6+$M$5*$J$7</f>
        <v>35.093928336979104</v>
      </c>
      <c r="U29" s="6">
        <f>$J$3+[10]FormattedData!N68*$J$4+$M$4*$J$5+[10]FormattedData!N68^2*$J$6+$M$5*$J$7</f>
        <v>47.904763995378765</v>
      </c>
      <c r="V29" s="6">
        <f>$J$3+[10]FormattedData!O68*$J$4+$M$4*$J$5+[10]FormattedData!O68^2*$J$6+$M$5*$J$7</f>
        <v>35.853391333352846</v>
      </c>
      <c r="W29" s="5">
        <f t="shared" si="0"/>
        <v>40.592765755954986</v>
      </c>
      <c r="X29" s="4">
        <f t="shared" si="1"/>
        <v>1.4125968015380648</v>
      </c>
      <c r="Y29" s="3">
        <f t="shared" si="2"/>
        <v>33.087467201698011</v>
      </c>
      <c r="Z29" s="2">
        <f t="shared" si="3"/>
        <v>36.420959690812452</v>
      </c>
      <c r="AA29" s="3">
        <f t="shared" si="4"/>
        <v>40.946362715952191</v>
      </c>
      <c r="AB29" s="2">
        <f t="shared" si="5"/>
        <v>44.778613970106626</v>
      </c>
      <c r="AC29" s="2">
        <f t="shared" si="6"/>
        <v>47.904763995378765</v>
      </c>
      <c r="AD29" s="2">
        <f t="shared" si="7"/>
        <v>-7.003378302287705E-2</v>
      </c>
      <c r="AE29" s="2">
        <f t="shared" si="8"/>
        <v>-1.5166056263223808</v>
      </c>
    </row>
    <row r="30" spans="2:31" x14ac:dyDescent="0.2">
      <c r="B30" s="1">
        <f>[10]FormattedData!A70</f>
        <v>305</v>
      </c>
      <c r="C30" s="1" t="str">
        <f>VLOOKUP($B30,[10]TrtCodes!$B$11:I113,2)</f>
        <v>NDH</v>
      </c>
      <c r="D30" s="1">
        <f>VLOOKUP($B30,[10]TrtCodes!$B$11:J113,3)</f>
        <v>11</v>
      </c>
      <c r="E30" s="1">
        <f>VLOOKUP($B30,[10]TrtCodes!$B$11:K113,4)</f>
        <v>2</v>
      </c>
      <c r="F30" s="1">
        <f>VLOOKUP($B30,[10]TrtCodes!$B$11:L113,5)</f>
        <v>3</v>
      </c>
      <c r="G30" s="1">
        <f>VLOOKUP($B30,[10]TrtCodes!$B$11:M113,6)</f>
        <v>2</v>
      </c>
      <c r="H30" s="1">
        <f>VLOOKUP($B30,[10]TrtCodes!$B$11:N113,7)</f>
        <v>4</v>
      </c>
      <c r="I30" s="1">
        <f>[10]FormattedData!B70</f>
        <v>1</v>
      </c>
      <c r="J30" s="4">
        <f>[10]FormattedData!C70</f>
        <v>13.265000000000001</v>
      </c>
      <c r="K30" s="6">
        <f>$J$3+[10]FormattedData!D70*$J$4+$M$4*$J$5+[10]FormattedData!D70^2*$J$6+$M$5*$J$7</f>
        <v>35.284047697300124</v>
      </c>
      <c r="L30" s="6">
        <f>$J$3+[10]FormattedData!E70*$J$4+$M$4*$J$5+[10]FormattedData!E70^2*$J$6+$M$5*$J$7</f>
        <v>33.27936184061214</v>
      </c>
      <c r="M30" s="6">
        <f>$J$3+[10]FormattedData!F70*$J$4+$M$4*$J$5+[10]FormattedData!F70^2*$J$6+$M$5*$J$7</f>
        <v>34.140795423098126</v>
      </c>
      <c r="N30" s="6">
        <f>$J$3+[10]FormattedData!G70*$J$4+$M$4*$J$5+[10]FormattedData!G70^2*$J$6+$M$5*$J$7</f>
        <v>35.75860639868889</v>
      </c>
      <c r="O30" s="6">
        <f>$J$3+[10]FormattedData!H70*$J$4+$M$4*$J$5+[10]FormattedData!H70^2*$J$6+$M$5*$J$7</f>
        <v>34.236298922906919</v>
      </c>
      <c r="P30" s="6">
        <f>$J$3+[10]FormattedData!I70*$J$4+$M$4*$J$5+[10]FormattedData!I70^2*$J$6+$M$5*$J$7</f>
        <v>34.140795423098126</v>
      </c>
      <c r="Q30" s="6">
        <f>$J$3+[10]FormattedData!J70*$J$4+$M$4*$J$5+[10]FormattedData!J70^2*$J$6+$M$5*$J$7</f>
        <v>38.67728450313362</v>
      </c>
      <c r="R30" s="6">
        <f>$J$3+[10]FormattedData!K70*$J$4+$M$4*$J$5+[10]FormattedData!K70^2*$J$6+$M$5*$J$7</f>
        <v>32.029024487208225</v>
      </c>
      <c r="S30" s="6">
        <f>$J$3+[10]FormattedData!L70*$J$4+$M$4*$J$5+[10]FormattedData!L70^2*$J$6+$M$5*$J$7</f>
        <v>38.209277425124192</v>
      </c>
      <c r="T30" s="6">
        <f>$J$3+[10]FormattedData!M70*$J$4+$M$4*$J$5+[10]FormattedData!M70^2*$J$6+$M$5*$J$7</f>
        <v>32.029024487208225</v>
      </c>
      <c r="U30" s="6">
        <f>$J$3+[10]FormattedData!N70*$J$4+$M$4*$J$5+[10]FormattedData!N70^2*$J$6+$M$5*$J$7</f>
        <v>37.646274069761141</v>
      </c>
      <c r="V30" s="6">
        <f>$J$3+[10]FormattedData!O70*$J$4+$M$4*$J$5+[10]FormattedData!O70^2*$J$6+$M$5*$J$7</f>
        <v>32.221849033956836</v>
      </c>
      <c r="W30" s="5">
        <f t="shared" si="0"/>
        <v>34.804386642674714</v>
      </c>
      <c r="X30" s="4">
        <f t="shared" si="1"/>
        <v>0.68209489532620793</v>
      </c>
      <c r="Y30" s="3">
        <f t="shared" si="2"/>
        <v>32.029024487208225</v>
      </c>
      <c r="Z30" s="2">
        <f t="shared" si="3"/>
        <v>33.014983638948316</v>
      </c>
      <c r="AA30" s="3">
        <f t="shared" si="4"/>
        <v>34.188547173002519</v>
      </c>
      <c r="AB30" s="2">
        <f t="shared" si="5"/>
        <v>36.230523316456953</v>
      </c>
      <c r="AC30" s="2">
        <f t="shared" si="6"/>
        <v>38.67728450313362</v>
      </c>
      <c r="AD30" s="2">
        <f t="shared" si="7"/>
        <v>0.4730353945212652</v>
      </c>
      <c r="AE30" s="2">
        <f t="shared" si="8"/>
        <v>-1.0277620298456909</v>
      </c>
    </row>
    <row r="31" spans="2:31" x14ac:dyDescent="0.2">
      <c r="B31" s="1">
        <f>[10]FormattedData!A72</f>
        <v>306</v>
      </c>
      <c r="C31" s="1" t="str">
        <f>VLOOKUP($B31,[10]TrtCodes!$B$11:I115,2)</f>
        <v>FTL</v>
      </c>
      <c r="D31" s="1">
        <f>VLOOKUP($B31,[10]TrtCodes!$B$11:J115,3)</f>
        <v>4</v>
      </c>
      <c r="E31" s="1">
        <f>VLOOKUP($B31,[10]TrtCodes!$B$11:K115,4)</f>
        <v>1</v>
      </c>
      <c r="F31" s="1">
        <f>VLOOKUP($B31,[10]TrtCodes!$B$11:L115,5)</f>
        <v>2</v>
      </c>
      <c r="G31" s="1">
        <f>VLOOKUP($B31,[10]TrtCodes!$B$11:M115,6)</f>
        <v>1</v>
      </c>
      <c r="H31" s="1">
        <f>VLOOKUP($B31,[10]TrtCodes!$B$11:N115,7)</f>
        <v>4</v>
      </c>
      <c r="I31" s="1">
        <f>[10]FormattedData!B72</f>
        <v>1</v>
      </c>
      <c r="J31" s="4">
        <f>[10]FormattedData!C72</f>
        <v>13.28</v>
      </c>
      <c r="K31" s="6">
        <f>$J$3+[10]FormattedData!D72*$J$4+$M$4*$J$5+[10]FormattedData!D72^2*$J$6+$M$5*$J$7</f>
        <v>41.463135988776365</v>
      </c>
      <c r="L31" s="6">
        <f>$J$3+[10]FormattedData!E72*$J$4+$M$4*$J$5+[10]FormattedData!E72^2*$J$6+$M$5*$J$7</f>
        <v>39.517034325660937</v>
      </c>
      <c r="M31" s="6">
        <f>$J$3+[10]FormattedData!F72*$J$4+$M$4*$J$5+[10]FormattedData!F72^2*$J$6+$M$5*$J$7</f>
        <v>35.948133999478877</v>
      </c>
      <c r="N31" s="6">
        <f>$J$3+[10]FormattedData!G72*$J$4+$M$4*$J$5+[10]FormattedData!G72^2*$J$6+$M$5*$J$7</f>
        <v>35.568909723747176</v>
      </c>
      <c r="O31" s="6">
        <f>$J$3+[10]FormattedData!H72*$J$4+$M$4*$J$5+[10]FormattedData!H72^2*$J$6+$M$5*$J$7</f>
        <v>38.115549203908508</v>
      </c>
      <c r="P31" s="6">
        <f>$J$3+[10]FormattedData!I72*$J$4+$M$4*$J$5+[10]FormattedData!I72^2*$J$6+$M$5*$J$7</f>
        <v>35.189009151408584</v>
      </c>
      <c r="Q31" s="6">
        <f>$J$3+[10]FormattedData!J72*$J$4+$M$4*$J$5+[10]FormattedData!J72^2*$J$6+$M$5*$J$7</f>
        <v>36.042834397066969</v>
      </c>
      <c r="R31" s="6">
        <f>$J$3+[10]FormattedData!K72*$J$4+$M$4*$J$5+[10]FormattedData!K72^2*$J$6+$M$5*$J$7</f>
        <v>35.284047697300124</v>
      </c>
      <c r="S31" s="6">
        <f>$J$3+[10]FormattedData!L72*$J$4+$M$4*$J$5+[10]FormattedData!L72^2*$J$6+$M$5*$J$7</f>
        <v>31.83603086630788</v>
      </c>
      <c r="T31" s="6">
        <f>$J$3+[10]FormattedData!M72*$J$4+$M$4*$J$5+[10]FormattedData!M72^2*$J$6+$M$5*$J$7</f>
        <v>31.932548811027019</v>
      </c>
      <c r="U31" s="6">
        <f>$J$3+[10]FormattedData!N72*$J$4+$M$4*$J$5+[10]FormattedData!N72^2*$J$6+$M$5*$J$7</f>
        <v>37.646274069761141</v>
      </c>
      <c r="V31" s="6">
        <f>$J$3+[10]FormattedData!O72*$J$4+$M$4*$J$5+[10]FormattedData!O72^2*$J$6+$M$5*$J$7</f>
        <v>32.51076884004528</v>
      </c>
      <c r="W31" s="5">
        <f t="shared" si="0"/>
        <v>35.921189756207404</v>
      </c>
      <c r="X31" s="4">
        <f t="shared" si="1"/>
        <v>0.85610467858194594</v>
      </c>
      <c r="Y31" s="3">
        <f t="shared" si="2"/>
        <v>31.83603086630788</v>
      </c>
      <c r="Z31" s="2">
        <f t="shared" si="3"/>
        <v>34.519449073567756</v>
      </c>
      <c r="AA31" s="3">
        <f t="shared" si="4"/>
        <v>35.758521861613026</v>
      </c>
      <c r="AB31" s="2">
        <f t="shared" si="5"/>
        <v>37.763592853297979</v>
      </c>
      <c r="AC31" s="2">
        <f t="shared" si="6"/>
        <v>41.463135988776365</v>
      </c>
      <c r="AD31" s="2">
        <f t="shared" si="7"/>
        <v>0.25268253744457675</v>
      </c>
      <c r="AE31" s="2">
        <f t="shared" si="8"/>
        <v>-0.34635236045956574</v>
      </c>
    </row>
    <row r="32" spans="2:31" x14ac:dyDescent="0.2">
      <c r="B32" s="1">
        <f>[10]FormattedData!A74</f>
        <v>307</v>
      </c>
      <c r="C32" s="1" t="str">
        <f>VLOOKUP($B32,[10]TrtCodes!$B$11:I117,2)</f>
        <v>NTH</v>
      </c>
      <c r="D32" s="1">
        <f>VLOOKUP($B32,[10]TrtCodes!$B$11:J117,3)</f>
        <v>9</v>
      </c>
      <c r="E32" s="1">
        <f>VLOOKUP($B32,[10]TrtCodes!$B$11:K117,4)</f>
        <v>2</v>
      </c>
      <c r="F32" s="1">
        <f>VLOOKUP($B32,[10]TrtCodes!$B$11:L117,5)</f>
        <v>2</v>
      </c>
      <c r="G32" s="1">
        <f>VLOOKUP($B32,[10]TrtCodes!$B$11:M117,6)</f>
        <v>2</v>
      </c>
      <c r="H32" s="1">
        <f>VLOOKUP($B32,[10]TrtCodes!$B$11:N117,7)</f>
        <v>4</v>
      </c>
      <c r="I32" s="1">
        <f>[10]FormattedData!B74</f>
        <v>1</v>
      </c>
      <c r="J32" s="4">
        <f>[10]FormattedData!C74</f>
        <v>13.294</v>
      </c>
      <c r="K32" s="6">
        <f>$J$3+[10]FormattedData!D74*$J$4+$M$4*$J$5+[10]FormattedData!D74^2*$J$6+$M$5*$J$7</f>
        <v>35.093928336979104</v>
      </c>
      <c r="L32" s="6">
        <f>$J$3+[10]FormattedData!E74*$J$4+$M$4*$J$5+[10]FormattedData!E74^2*$J$6+$M$5*$J$7</f>
        <v>34.808432282463087</v>
      </c>
      <c r="M32" s="6">
        <f>$J$3+[10]FormattedData!F74*$J$4+$M$4*$J$5+[10]FormattedData!F74^2*$J$6+$M$5*$J$7</f>
        <v>39.23749813499321</v>
      </c>
      <c r="N32" s="6">
        <f>$J$3+[10]FormattedData!G74*$J$4+$M$4*$J$5+[10]FormattedData!G74^2*$J$6+$M$5*$J$7</f>
        <v>31.64286817125582</v>
      </c>
      <c r="O32" s="6">
        <f>$J$3+[10]FormattedData!H74*$J$4+$M$4*$J$5+[10]FormattedData!H74^2*$J$6+$M$5*$J$7</f>
        <v>38.864191454571873</v>
      </c>
      <c r="P32" s="6">
        <f>$J$3+[10]FormattedData!I74*$J$4+$M$4*$J$5+[10]FormattedData!I74^2*$J$6+$M$5*$J$7</f>
        <v>31.159221734211858</v>
      </c>
      <c r="Q32" s="6">
        <f>$J$3+[10]FormattedData!J74*$J$4+$M$4*$J$5+[10]FormattedData!J74^2*$J$6+$M$5*$J$7</f>
        <v>40.538745680688564</v>
      </c>
      <c r="R32" s="6">
        <f>$J$3+[10]FormattedData!K74*$J$4+$M$4*$J$5+[10]FormattedData!K74^2*$J$6+$M$5*$J$7</f>
        <v>31.062365641189277</v>
      </c>
      <c r="S32" s="6">
        <f>$J$3+[10]FormattedData!L74*$J$4+$M$4*$J$5+[10]FormattedData!L74^2*$J$6+$M$5*$J$7</f>
        <v>39.703180443416429</v>
      </c>
      <c r="T32" s="6">
        <f>$J$3+[10]FormattedData!M74*$J$4+$M$4*$J$5+[10]FormattedData!M74^2*$J$6+$M$5*$J$7</f>
        <v>30.480341443757222</v>
      </c>
      <c r="U32" s="6">
        <f>$J$3+[10]FormattedData!N74*$J$4+$M$4*$J$5+[10]FormattedData!N74^2*$J$6+$M$5*$J$7</f>
        <v>39.98208260601519</v>
      </c>
      <c r="V32" s="6">
        <f>$J$3+[10]FormattedData!O74*$J$4+$M$4*$J$5+[10]FormattedData!O74^2*$J$6+$M$5*$J$7</f>
        <v>31.352807114643234</v>
      </c>
      <c r="W32" s="5">
        <f t="shared" si="0"/>
        <v>35.327138587015405</v>
      </c>
      <c r="X32" s="4">
        <f t="shared" si="1"/>
        <v>1.1823340217592457</v>
      </c>
      <c r="Y32" s="3">
        <f t="shared" si="2"/>
        <v>30.480341443757222</v>
      </c>
      <c r="Z32" s="2">
        <f t="shared" si="3"/>
        <v>31.304410769535391</v>
      </c>
      <c r="AA32" s="3">
        <f t="shared" si="4"/>
        <v>34.951180309721096</v>
      </c>
      <c r="AB32" s="2">
        <f t="shared" si="5"/>
        <v>39.353918712099016</v>
      </c>
      <c r="AC32" s="2">
        <f t="shared" si="6"/>
        <v>40.538745680688564</v>
      </c>
      <c r="AD32" s="2">
        <f t="shared" si="7"/>
        <v>8.4937033556497232E-2</v>
      </c>
      <c r="AE32" s="2">
        <f t="shared" si="8"/>
        <v>-2.0272189806951664</v>
      </c>
    </row>
    <row r="33" spans="2:31" x14ac:dyDescent="0.2">
      <c r="B33" s="1">
        <f>[10]FormattedData!A76</f>
        <v>308</v>
      </c>
      <c r="C33" s="1" t="str">
        <f>VLOOKUP($B33,[10]TrtCodes!$B$11:I119,2)</f>
        <v>FDH</v>
      </c>
      <c r="D33" s="1">
        <f>VLOOKUP($B33,[10]TrtCodes!$B$11:J119,3)</f>
        <v>5</v>
      </c>
      <c r="E33" s="1">
        <f>VLOOKUP($B33,[10]TrtCodes!$B$11:K119,4)</f>
        <v>1</v>
      </c>
      <c r="F33" s="1">
        <f>VLOOKUP($B33,[10]TrtCodes!$B$11:L119,5)</f>
        <v>3</v>
      </c>
      <c r="G33" s="1">
        <f>VLOOKUP($B33,[10]TrtCodes!$B$11:M119,6)</f>
        <v>2</v>
      </c>
      <c r="H33" s="1">
        <f>VLOOKUP($B33,[10]TrtCodes!$B$11:N119,7)</f>
        <v>4</v>
      </c>
      <c r="I33" s="1">
        <f>[10]FormattedData!B76</f>
        <v>1</v>
      </c>
      <c r="J33" s="4">
        <f>[10]FormattedData!C76</f>
        <v>13.308</v>
      </c>
      <c r="K33" s="6">
        <f>$J$3+[10]FormattedData!D76*$J$4+$M$4*$J$5+[10]FormattedData!D76^2*$J$6+$M$5*$J$7</f>
        <v>39.423897863976293</v>
      </c>
      <c r="L33" s="6">
        <f>$J$3+[10]FormattedData!E76*$J$4+$M$4*$J$5+[10]FormattedData!E76^2*$J$6+$M$5*$J$7</f>
        <v>36.421213302040044</v>
      </c>
      <c r="M33" s="6">
        <f>$J$3+[10]FormattedData!F76*$J$4+$M$4*$J$5+[10]FormattedData!F76^2*$J$6+$M$5*$J$7</f>
        <v>39.517034325660937</v>
      </c>
      <c r="N33" s="6">
        <f>$J$3+[10]FormattedData!G76*$J$4+$M$4*$J$5+[10]FormattedData!G76^2*$J$6+$M$5*$J$7</f>
        <v>34.998805254011707</v>
      </c>
      <c r="O33" s="6">
        <f>$J$3+[10]FormattedData!H76*$J$4+$M$4*$J$5+[10]FormattedData!H76^2*$J$6+$M$5*$J$7</f>
        <v>42.841796100045975</v>
      </c>
      <c r="P33" s="6">
        <f>$J$3+[10]FormattedData!I76*$J$4+$M$4*$J$5+[10]FormattedData!I76^2*$J$6+$M$5*$J$7</f>
        <v>35.568909723747176</v>
      </c>
      <c r="Q33" s="6">
        <f>$J$3+[10]FormattedData!J76*$J$4+$M$4*$J$5+[10]FormattedData!J76^2*$J$6+$M$5*$J$7</f>
        <v>46.561609455971315</v>
      </c>
      <c r="R33" s="6">
        <f>$J$3+[10]FormattedData!K76*$J$4+$M$4*$J$5+[10]FormattedData!K76^2*$J$6+$M$5*$J$7</f>
        <v>33.949661617866767</v>
      </c>
      <c r="S33" s="6">
        <f>$J$3+[10]FormattedData!L76*$J$4+$M$4*$J$5+[10]FormattedData!L76^2*$J$6+$M$5*$J$7</f>
        <v>47.815516239183786</v>
      </c>
      <c r="T33" s="6">
        <f>$J$3+[10]FormattedData!M76*$J$4+$M$4*$J$5+[10]FormattedData!M76^2*$J$6+$M$5*$J$7</f>
        <v>32.606990904998895</v>
      </c>
      <c r="U33" s="6">
        <f>$J$3+[10]FormattedData!N76*$J$4+$M$4*$J$5+[10]FormattedData!N76^2*$J$6+$M$5*$J$7</f>
        <v>44.392780517167601</v>
      </c>
      <c r="V33" s="6">
        <f>$J$3+[10]FormattedData!O76*$J$4+$M$4*$J$5+[10]FormattedData!O76^2*$J$6+$M$5*$J$7</f>
        <v>35.568909723747176</v>
      </c>
      <c r="W33" s="5">
        <f t="shared" si="0"/>
        <v>39.138927085701475</v>
      </c>
      <c r="X33" s="4">
        <f t="shared" si="1"/>
        <v>1.4861203620838255</v>
      </c>
      <c r="Y33" s="3">
        <f t="shared" si="2"/>
        <v>32.606990904998895</v>
      </c>
      <c r="Z33" s="2">
        <f t="shared" si="3"/>
        <v>35.426383606313308</v>
      </c>
      <c r="AA33" s="3">
        <f t="shared" si="4"/>
        <v>37.922555583008169</v>
      </c>
      <c r="AB33" s="2">
        <f t="shared" si="5"/>
        <v>43.229542204326378</v>
      </c>
      <c r="AC33" s="2">
        <f t="shared" si="6"/>
        <v>47.815516239183786</v>
      </c>
      <c r="AD33" s="2">
        <f t="shared" si="7"/>
        <v>0.52576654924696897</v>
      </c>
      <c r="AE33" s="2">
        <f t="shared" si="8"/>
        <v>-1.1456290099660662</v>
      </c>
    </row>
    <row r="34" spans="2:31" x14ac:dyDescent="0.2">
      <c r="B34" s="1">
        <f>[10]FormattedData!A92</f>
        <v>401</v>
      </c>
      <c r="C34" s="1" t="str">
        <f>VLOOKUP($B34,[10]TrtCodes!$B$11:I129,2)</f>
        <v>NSH</v>
      </c>
      <c r="D34" s="1">
        <f>VLOOKUP($B34,[10]TrtCodes!$B$11:J129,3)</f>
        <v>7</v>
      </c>
      <c r="E34" s="1">
        <f>VLOOKUP($B34,[10]TrtCodes!$B$11:K129,4)</f>
        <v>2</v>
      </c>
      <c r="F34" s="1">
        <f>VLOOKUP($B34,[10]TrtCodes!$B$11:L129,5)</f>
        <v>1</v>
      </c>
      <c r="G34" s="1">
        <f>VLOOKUP($B34,[10]TrtCodes!$B$11:M129,6)</f>
        <v>2</v>
      </c>
      <c r="H34" s="1">
        <f>VLOOKUP($B34,[10]TrtCodes!$B$11:N129,7)</f>
        <v>3</v>
      </c>
      <c r="I34" s="1">
        <f>[10]FormattedData!B92</f>
        <v>1</v>
      </c>
      <c r="J34" s="4">
        <f>[10]FormattedData!C92</f>
        <v>13.458</v>
      </c>
      <c r="K34" s="6">
        <f>$J$3+[10]FormattedData!D92*$J$4+$M$4*$J$5+[10]FormattedData!D92^2*$J$6+$M$5*$J$7</f>
        <v>59.063302853978456</v>
      </c>
      <c r="L34" s="6">
        <f>$J$3+[10]FormattedData!E92*$J$4+$M$4*$J$5+[10]FormattedData!E92^2*$J$6+$M$5*$J$7</f>
        <v>51.615001265816069</v>
      </c>
      <c r="M34" s="6">
        <f>$J$3+[10]FormattedData!F92*$J$4+$M$4*$J$5+[10]FormattedData!F92^2*$J$6+$M$5*$J$7</f>
        <v>54.133316302270273</v>
      </c>
      <c r="N34" s="6">
        <f>$J$3+[10]FormattedData!G92*$J$4+$M$4*$J$5+[10]FormattedData!G92^2*$J$6+$M$5*$J$7</f>
        <v>56.445999424982759</v>
      </c>
      <c r="O34" s="6">
        <f>$J$3+[10]FormattedData!H92*$J$4+$M$4*$J$5+[10]FormattedData!H92^2*$J$6+$M$5*$J$7</f>
        <v>45.027870602325585</v>
      </c>
      <c r="P34" s="6">
        <f>$J$3+[10]FormattedData!I92*$J$4+$M$4*$J$5+[10]FormattedData!I92^2*$J$6+$M$5*$J$7</f>
        <v>54.133316302270273</v>
      </c>
      <c r="Q34" s="6">
        <f>$J$3+[10]FormattedData!J92*$J$4+$M$4*$J$5+[10]FormattedData!J92^2*$J$6+$M$5*$J$7</f>
        <v>42.199604900515567</v>
      </c>
      <c r="R34" s="6">
        <f>$J$3+[10]FormattedData!K92*$J$4+$M$4*$J$5+[10]FormattedData!K92^2*$J$6+$M$5*$J$7</f>
        <v>56.020049542214807</v>
      </c>
      <c r="S34" s="6">
        <f>$J$3+[10]FormattedData!L92*$J$4+$M$4*$J$5+[10]FormattedData!L92^2*$J$6+$M$5*$J$7</f>
        <v>49.326979573339791</v>
      </c>
      <c r="T34" s="6">
        <f>$J$3+[10]FormattedData!M92*$J$4+$M$4*$J$5+[10]FormattedData!M92^2*$J$6+$M$5*$J$7</f>
        <v>49.326979573339791</v>
      </c>
      <c r="U34" s="6">
        <f>$J$3+[10]FormattedData!N92*$J$4+$M$4*$J$5+[10]FormattedData!N92^2*$J$6+$M$5*$J$7</f>
        <v>45.208944495529344</v>
      </c>
      <c r="V34" s="6">
        <f>$J$3+[10]FormattedData!O92*$J$4+$M$4*$J$5+[10]FormattedData!O92^2*$J$6+$M$5*$J$7</f>
        <v>49.59244034087645</v>
      </c>
      <c r="W34" s="5">
        <f t="shared" si="0"/>
        <v>51.007817098121592</v>
      </c>
      <c r="X34" s="4">
        <f t="shared" si="1"/>
        <v>1.4927052968456451</v>
      </c>
      <c r="Y34" s="3">
        <f t="shared" si="2"/>
        <v>42.199604900515567</v>
      </c>
      <c r="Z34" s="2">
        <f t="shared" si="3"/>
        <v>48.29747080388718</v>
      </c>
      <c r="AA34" s="3">
        <f t="shared" si="4"/>
        <v>50.603720803346263</v>
      </c>
      <c r="AB34" s="2">
        <f t="shared" si="5"/>
        <v>54.604999612256407</v>
      </c>
      <c r="AC34" s="2">
        <f t="shared" si="6"/>
        <v>59.063302853978456</v>
      </c>
      <c r="AD34" s="2">
        <f t="shared" si="7"/>
        <v>-0.18446857449893272</v>
      </c>
      <c r="AE34" s="2">
        <f t="shared" si="8"/>
        <v>-0.86903469508713194</v>
      </c>
    </row>
    <row r="35" spans="2:31" x14ac:dyDescent="0.2">
      <c r="B35" s="1">
        <f>[10]FormattedData!A90</f>
        <v>402</v>
      </c>
      <c r="C35" s="1" t="str">
        <f>VLOOKUP($B35,[10]TrtCodes!$B$11:I130,2)</f>
        <v>NTH</v>
      </c>
      <c r="D35" s="1">
        <f>VLOOKUP($B35,[10]TrtCodes!$B$11:J130,3)</f>
        <v>9</v>
      </c>
      <c r="E35" s="1">
        <f>VLOOKUP($B35,[10]TrtCodes!$B$11:K130,4)</f>
        <v>2</v>
      </c>
      <c r="F35" s="1">
        <f>VLOOKUP($B35,[10]TrtCodes!$B$11:L130,5)</f>
        <v>2</v>
      </c>
      <c r="G35" s="1">
        <f>VLOOKUP($B35,[10]TrtCodes!$B$11:M130,6)</f>
        <v>2</v>
      </c>
      <c r="H35" s="1">
        <f>VLOOKUP($B35,[10]TrtCodes!$B$11:N130,7)</f>
        <v>3</v>
      </c>
      <c r="I35" s="1">
        <f>[10]FormattedData!B90</f>
        <v>1</v>
      </c>
      <c r="J35" s="4">
        <f>[10]FormattedData!C90</f>
        <v>13.427</v>
      </c>
      <c r="K35" s="6">
        <f>$J$3+[10]FormattedData!D90*$J$4+$M$4*$J$5+[10]FormattedData!D90^2*$J$6+$M$5*$J$7</f>
        <v>40.446074172921158</v>
      </c>
      <c r="L35" s="6">
        <f>$J$3+[10]FormattedData!E90*$J$4+$M$4*$J$5+[10]FormattedData!E90^2*$J$6+$M$5*$J$7</f>
        <v>37.175942222165496</v>
      </c>
      <c r="M35" s="6">
        <f>$J$3+[10]FormattedData!F90*$J$4+$M$4*$J$5+[10]FormattedData!F90^2*$J$6+$M$5*$J$7</f>
        <v>37.081749047032574</v>
      </c>
      <c r="N35" s="6">
        <f>$J$3+[10]FormattedData!G90*$J$4+$M$4*$J$5+[10]FormattedData!G90^2*$J$6+$M$5*$J$7</f>
        <v>34.140795423098126</v>
      </c>
      <c r="O35" s="6">
        <f>$J$3+[10]FormattedData!H90*$J$4+$M$4*$J$5+[10]FormattedData!H90^2*$J$6+$M$5*$J$7</f>
        <v>38.67728450313362</v>
      </c>
      <c r="P35" s="6">
        <f>$J$3+[10]FormattedData!I90*$J$4+$M$4*$J$5+[10]FormattedData!I90^2*$J$6+$M$5*$J$7</f>
        <v>33.471087405374547</v>
      </c>
      <c r="Q35" s="6">
        <f>$J$3+[10]FormattedData!J90*$J$4+$M$4*$J$5+[10]FormattedData!J90^2*$J$6+$M$5*$J$7</f>
        <v>37.364201766817551</v>
      </c>
      <c r="R35" s="6">
        <f>$J$3+[10]FormattedData!K90*$J$4+$M$4*$J$5+[10]FormattedData!K90^2*$J$6+$M$5*$J$7</f>
        <v>32.991456479434049</v>
      </c>
      <c r="S35" s="6">
        <f>$J$3+[10]FormattedData!L90*$J$4+$M$4*$J$5+[10]FormattedData!L90^2*$J$6+$M$5*$J$7</f>
        <v>37.834110929033884</v>
      </c>
      <c r="T35" s="6">
        <f>$J$3+[10]FormattedData!M90*$J$4+$M$4*$J$5+[10]FormattedData!M90^2*$J$6+$M$5*$J$7</f>
        <v>32.606990904998895</v>
      </c>
      <c r="U35" s="6">
        <f>$J$3+[10]FormattedData!N90*$J$4+$M$4*$J$5+[10]FormattedData!N90^2*$J$6+$M$5*$J$7</f>
        <v>39.144234867694777</v>
      </c>
      <c r="V35" s="6">
        <f>$J$3+[10]FormattedData!O90*$J$4+$M$4*$J$5+[10]FormattedData!O90^2*$J$6+$M$5*$J$7</f>
        <v>30.868526649530317</v>
      </c>
      <c r="W35" s="5">
        <f t="shared" si="0"/>
        <v>35.983537864269586</v>
      </c>
      <c r="X35" s="4">
        <f t="shared" si="1"/>
        <v>0.87621916521130738</v>
      </c>
      <c r="Y35" s="3">
        <f t="shared" si="2"/>
        <v>30.868526649530317</v>
      </c>
      <c r="Z35" s="2">
        <f t="shared" si="3"/>
        <v>33.351179673889419</v>
      </c>
      <c r="AA35" s="3">
        <f t="shared" si="4"/>
        <v>37.128845634599031</v>
      </c>
      <c r="AB35" s="2">
        <f t="shared" si="5"/>
        <v>38.044904322558821</v>
      </c>
      <c r="AC35" s="2">
        <f t="shared" si="6"/>
        <v>40.446074172921158</v>
      </c>
      <c r="AD35" s="2">
        <f t="shared" si="7"/>
        <v>-0.27013251386978521</v>
      </c>
      <c r="AE35" s="2">
        <f t="shared" si="8"/>
        <v>-1.2229042189611388</v>
      </c>
    </row>
    <row r="36" spans="2:31" x14ac:dyDescent="0.2">
      <c r="B36" s="1">
        <f>[10]FormattedData!A88</f>
        <v>403</v>
      </c>
      <c r="C36" s="1" t="str">
        <f>VLOOKUP($B36,[10]TrtCodes!$B$11:I131,2)</f>
        <v>FDL</v>
      </c>
      <c r="D36" s="1">
        <f>VLOOKUP($B36,[10]TrtCodes!$B$11:J131,3)</f>
        <v>6</v>
      </c>
      <c r="E36" s="1">
        <f>VLOOKUP($B36,[10]TrtCodes!$B$11:K131,4)</f>
        <v>1</v>
      </c>
      <c r="F36" s="1">
        <f>VLOOKUP($B36,[10]TrtCodes!$B$11:L131,5)</f>
        <v>3</v>
      </c>
      <c r="G36" s="1">
        <f>VLOOKUP($B36,[10]TrtCodes!$B$11:M131,6)</f>
        <v>1</v>
      </c>
      <c r="H36" s="1">
        <f>VLOOKUP($B36,[10]TrtCodes!$B$11:N131,7)</f>
        <v>3</v>
      </c>
      <c r="I36" s="1">
        <f>[10]FormattedData!B88</f>
        <v>1</v>
      </c>
      <c r="J36" s="4">
        <f>[10]FormattedData!C88</f>
        <v>13.412000000000001</v>
      </c>
      <c r="K36" s="6">
        <f>$J$3+[10]FormattedData!D88*$J$4+$M$4*$J$5+[10]FormattedData!D88^2*$J$6+$M$5*$J$7</f>
        <v>41.555342542626526</v>
      </c>
      <c r="L36" s="6">
        <f>$J$3+[10]FormattedData!E88*$J$4+$M$4*$J$5+[10]FormattedData!E88^2*$J$6+$M$5*$J$7</f>
        <v>33.087467201698011</v>
      </c>
      <c r="M36" s="6">
        <f>$J$3+[10]FormattedData!F88*$J$4+$M$4*$J$5+[10]FormattedData!F88^2*$J$6+$M$5*$J$7</f>
        <v>39.23749813499321</v>
      </c>
      <c r="N36" s="6">
        <f>$J$3+[10]FormattedData!G88*$J$4+$M$4*$J$5+[10]FormattedData!G88^2*$J$6+$M$5*$J$7</f>
        <v>30.77154375089394</v>
      </c>
      <c r="O36" s="6">
        <f>$J$3+[10]FormattedData!H88*$J$4+$M$4*$J$5+[10]FormattedData!H88^2*$J$6+$M$5*$J$7</f>
        <v>39.703180443416429</v>
      </c>
      <c r="P36" s="6">
        <f>$J$3+[10]FormattedData!I88*$J$4+$M$4*$J$5+[10]FormattedData!I88^2*$J$6+$M$5*$J$7</f>
        <v>30.965467279628765</v>
      </c>
      <c r="Q36" s="6">
        <f>$J$3+[10]FormattedData!J88*$J$4+$M$4*$J$5+[10]FormattedData!J88^2*$J$6+$M$5*$J$7</f>
        <v>45.84137166279767</v>
      </c>
      <c r="R36" s="6">
        <f>$J$3+[10]FormattedData!K88*$J$4+$M$4*$J$5+[10]FormattedData!K88^2*$J$6+$M$5*$J$7</f>
        <v>29.89679557895964</v>
      </c>
      <c r="S36" s="6">
        <f>$J$3+[10]FormattedData!L88*$J$4+$M$4*$J$5+[10]FormattedData!L88^2*$J$6+$M$5*$J$7</f>
        <v>47.279142062717362</v>
      </c>
      <c r="T36" s="6">
        <f>$J$3+[10]FormattedData!M88*$J$4+$M$4*$J$5+[10]FormattedData!M88^2*$J$6+$M$5*$J$7</f>
        <v>29.89679557895964</v>
      </c>
      <c r="U36" s="6">
        <f>$J$3+[10]FormattedData!N88*$J$4+$M$4*$J$5+[10]FormattedData!N88^2*$J$6+$M$5*$J$7</f>
        <v>42.566824911474811</v>
      </c>
      <c r="V36" s="6">
        <f>$J$3+[10]FormattedData!O88*$J$4+$M$4*$J$5+[10]FormattedData!O88^2*$J$6+$M$5*$J$7</f>
        <v>30.868526649530317</v>
      </c>
      <c r="W36" s="5">
        <f t="shared" si="0"/>
        <v>36.80582964980804</v>
      </c>
      <c r="X36" s="4">
        <f t="shared" si="1"/>
        <v>1.8998716333345422</v>
      </c>
      <c r="Y36" s="3">
        <f t="shared" si="2"/>
        <v>29.89679557895964</v>
      </c>
      <c r="Z36" s="2">
        <f t="shared" si="3"/>
        <v>30.844280924871221</v>
      </c>
      <c r="AA36" s="3">
        <f t="shared" si="4"/>
        <v>36.162482668345611</v>
      </c>
      <c r="AB36" s="2">
        <f t="shared" si="5"/>
        <v>41.808213134838596</v>
      </c>
      <c r="AC36" s="2">
        <f t="shared" si="6"/>
        <v>47.279142062717362</v>
      </c>
      <c r="AD36" s="2">
        <f t="shared" si="7"/>
        <v>0.33840376376207282</v>
      </c>
      <c r="AE36" s="2">
        <f t="shared" si="8"/>
        <v>-1.6065616128809683</v>
      </c>
    </row>
    <row r="37" spans="2:31" x14ac:dyDescent="0.2">
      <c r="B37" s="1">
        <f>[10]FormattedData!A86</f>
        <v>404</v>
      </c>
      <c r="C37" s="1" t="str">
        <f>VLOOKUP($B37,[10]TrtCodes!$B$11:I129,2)</f>
        <v>FTH</v>
      </c>
      <c r="D37" s="1">
        <f>VLOOKUP($B37,[10]TrtCodes!$B$11:J129,3)</f>
        <v>3</v>
      </c>
      <c r="E37" s="1">
        <f>VLOOKUP($B37,[10]TrtCodes!$B$11:K129,4)</f>
        <v>1</v>
      </c>
      <c r="F37" s="1">
        <f>VLOOKUP($B37,[10]TrtCodes!$B$11:L129,5)</f>
        <v>2</v>
      </c>
      <c r="G37" s="1">
        <f>VLOOKUP($B37,[10]TrtCodes!$B$11:M129,6)</f>
        <v>2</v>
      </c>
      <c r="H37" s="1">
        <f>VLOOKUP($B37,[10]TrtCodes!$B$11:N129,7)</f>
        <v>3</v>
      </c>
      <c r="I37" s="1">
        <f>[10]FormattedData!B86</f>
        <v>1</v>
      </c>
      <c r="J37" s="4">
        <f>[10]FormattedData!C86</f>
        <v>13.396000000000001</v>
      </c>
      <c r="K37" s="6">
        <f>$J$3+[10]FormattedData!D86*$J$4+$M$4*$J$5+[10]FormattedData!D86^2*$J$6+$M$5*$J$7</f>
        <v>45.751151730230269</v>
      </c>
      <c r="L37" s="6">
        <f>$J$3+[10]FormattedData!E86*$J$4+$M$4*$J$5+[10]FormattedData!E86^2*$J$6+$M$5*$J$7</f>
        <v>34.903639902506363</v>
      </c>
      <c r="M37" s="6">
        <f>$J$3+[10]FormattedData!F86*$J$4+$M$4*$J$5+[10]FormattedData!F86^2*$J$6+$M$5*$J$7</f>
        <v>42.658524242869802</v>
      </c>
      <c r="N37" s="6">
        <f>$J$3+[10]FormattedData!G86*$J$4+$M$4*$J$5+[10]FormattedData!G86^2*$J$6+$M$5*$J$7</f>
        <v>30.965467279628765</v>
      </c>
      <c r="O37" s="6">
        <f>$J$3+[10]FormattedData!H86*$J$4+$M$4*$J$5+[10]FormattedData!H86^2*$J$6+$M$5*$J$7</f>
        <v>45.660889529124944</v>
      </c>
      <c r="P37" s="6">
        <f>$J$3+[10]FormattedData!I86*$J$4+$M$4*$J$5+[10]FormattedData!I86^2*$J$6+$M$5*$J$7</f>
        <v>33.27936184061214</v>
      </c>
      <c r="Q37" s="6">
        <f>$J$3+[10]FormattedData!J86*$J$4+$M$4*$J$5+[10]FormattedData!J86^2*$J$6+$M$5*$J$7</f>
        <v>46.291837297565678</v>
      </c>
      <c r="R37" s="6">
        <f>$J$3+[10]FormattedData!K86*$J$4+$M$4*$J$5+[10]FormattedData!K86^2*$J$6+$M$5*$J$7</f>
        <v>31.449536402052033</v>
      </c>
      <c r="S37" s="6">
        <f>$J$3+[10]FormattedData!L86*$J$4+$M$4*$J$5+[10]FormattedData!L86^2*$J$6+$M$5*$J$7</f>
        <v>43.299236043572627</v>
      </c>
      <c r="T37" s="6">
        <f>$J$3+[10]FormattedData!M86*$J$4+$M$4*$J$5+[10]FormattedData!M86^2*$J$6+$M$5*$J$7</f>
        <v>31.352807114643234</v>
      </c>
      <c r="U37" s="6">
        <f>$J$3+[10]FormattedData!N86*$J$4+$M$4*$J$5+[10]FormattedData!N86^2*$J$6+$M$5*$J$7</f>
        <v>48.439362893252081</v>
      </c>
      <c r="V37" s="6">
        <f>$J$3+[10]FormattedData!O86*$J$4+$M$4*$J$5+[10]FormattedData!O86^2*$J$6+$M$5*$J$7</f>
        <v>34.331760154177772</v>
      </c>
      <c r="W37" s="5">
        <f t="shared" si="0"/>
        <v>39.031964535852978</v>
      </c>
      <c r="X37" s="4">
        <f t="shared" si="1"/>
        <v>1.9760210963890932</v>
      </c>
      <c r="Y37" s="3">
        <f t="shared" si="2"/>
        <v>30.965467279628765</v>
      </c>
      <c r="Z37" s="2">
        <f t="shared" si="3"/>
        <v>32.821905480972113</v>
      </c>
      <c r="AA37" s="3">
        <f t="shared" si="4"/>
        <v>38.781082072688079</v>
      </c>
      <c r="AB37" s="2">
        <f t="shared" si="5"/>
        <v>45.683455079401277</v>
      </c>
      <c r="AC37" s="2">
        <f t="shared" si="6"/>
        <v>48.439362893252081</v>
      </c>
      <c r="AD37" s="2">
        <f t="shared" si="7"/>
        <v>5.3407152453075639E-2</v>
      </c>
      <c r="AE37" s="2">
        <f t="shared" si="8"/>
        <v>-2.025543505880298</v>
      </c>
    </row>
    <row r="38" spans="2:31" x14ac:dyDescent="0.2">
      <c r="B38" s="1">
        <f>[10]FormattedData!A84</f>
        <v>405</v>
      </c>
      <c r="C38" s="1" t="str">
        <f>VLOOKUP($B38,[10]TrtCodes!$B$11:I127,2)</f>
        <v>FDL</v>
      </c>
      <c r="D38" s="1">
        <f>VLOOKUP($B38,[10]TrtCodes!$B$11:J127,3)</f>
        <v>6</v>
      </c>
      <c r="E38" s="1">
        <f>VLOOKUP($B38,[10]TrtCodes!$B$11:K127,4)</f>
        <v>1</v>
      </c>
      <c r="F38" s="1">
        <f>VLOOKUP($B38,[10]TrtCodes!$B$11:L127,5)</f>
        <v>3</v>
      </c>
      <c r="G38" s="1">
        <f>VLOOKUP($B38,[10]TrtCodes!$B$11:M127,6)</f>
        <v>1</v>
      </c>
      <c r="H38" s="1">
        <f>VLOOKUP($B38,[10]TrtCodes!$B$11:N127,7)</f>
        <v>4</v>
      </c>
      <c r="I38" s="1">
        <f>[10]FormattedData!B84</f>
        <v>1</v>
      </c>
      <c r="J38" s="4">
        <f>[10]FormattedData!C84</f>
        <v>13.379</v>
      </c>
      <c r="K38" s="6">
        <f>$J$3+[10]FormattedData!D84*$J$4+$M$4*$J$5+[10]FormattedData!D84^2*$J$6+$M$5*$J$7</f>
        <v>39.330719133753718</v>
      </c>
      <c r="L38" s="6">
        <f>$J$3+[10]FormattedData!E84*$J$4+$M$4*$J$5+[10]FormattedData!E84^2*$J$6+$M$5*$J$7</f>
        <v>31.932548811027019</v>
      </c>
      <c r="M38" s="6">
        <f>$J$3+[10]FormattedData!F84*$J$4+$M$4*$J$5+[10]FormattedData!F84^2*$J$6+$M$5*$J$7</f>
        <v>37.740213633666471</v>
      </c>
      <c r="N38" s="6">
        <f>$J$3+[10]FormattedData!G84*$J$4+$M$4*$J$5+[10]FormattedData!G84^2*$J$6+$M$5*$J$7</f>
        <v>33.27936184061214</v>
      </c>
      <c r="O38" s="6">
        <f>$J$3+[10]FormattedData!H84*$J$4+$M$4*$J$5+[10]FormattedData!H84^2*$J$6+$M$5*$J$7</f>
        <v>34.045249654751416</v>
      </c>
      <c r="P38" s="6">
        <f>$J$3+[10]FormattedData!I84*$J$4+$M$4*$J$5+[10]FormattedData!I84^2*$J$6+$M$5*$J$7</f>
        <v>31.449536402052033</v>
      </c>
      <c r="Q38" s="6">
        <f>$J$3+[10]FormattedData!J84*$J$4+$M$4*$J$5+[10]FormattedData!J84^2*$J$6+$M$5*$J$7</f>
        <v>34.522555811105704</v>
      </c>
      <c r="R38" s="6">
        <f>$J$3+[10]FormattedData!K84*$J$4+$M$4*$J$5+[10]FormattedData!K84^2*$J$6+$M$5*$J$7</f>
        <v>32.414504506553726</v>
      </c>
      <c r="S38" s="6">
        <f>$J$3+[10]FormattedData!L84*$J$4+$M$4*$J$5+[10]FormattedData!L84^2*$J$6+$M$5*$J$7</f>
        <v>36.421213302040044</v>
      </c>
      <c r="T38" s="6">
        <f>$J$3+[10]FormattedData!M84*$J$4+$M$4*$J$5+[10]FormattedData!M84^2*$J$6+$M$5*$J$7</f>
        <v>33.949661617866767</v>
      </c>
      <c r="U38" s="6">
        <f>$J$3+[10]FormattedData!N84*$J$4+$M$4*$J$5+[10]FormattedData!N84^2*$J$6+$M$5*$J$7</f>
        <v>33.949661617866767</v>
      </c>
      <c r="V38" s="6">
        <f>$J$3+[10]FormattedData!O84*$J$4+$M$4*$J$5+[10]FormattedData!O84^2*$J$6+$M$5*$J$7</f>
        <v>33.375245757262306</v>
      </c>
      <c r="W38" s="5">
        <f t="shared" si="0"/>
        <v>34.367539340713172</v>
      </c>
      <c r="X38" s="4">
        <f t="shared" si="1"/>
        <v>0.68051812109731002</v>
      </c>
      <c r="Y38" s="3">
        <f t="shared" si="2"/>
        <v>31.449536402052033</v>
      </c>
      <c r="Z38" s="2">
        <f t="shared" si="3"/>
        <v>33.06314750709754</v>
      </c>
      <c r="AA38" s="3">
        <f t="shared" si="4"/>
        <v>33.949661617866767</v>
      </c>
      <c r="AB38" s="2">
        <f t="shared" si="5"/>
        <v>34.997220183839289</v>
      </c>
      <c r="AC38" s="2">
        <f t="shared" si="6"/>
        <v>39.330719133753718</v>
      </c>
      <c r="AD38" s="2">
        <f t="shared" si="7"/>
        <v>1.0001756381496545</v>
      </c>
      <c r="AE38" s="2">
        <f t="shared" si="8"/>
        <v>0.44966418319261248</v>
      </c>
    </row>
    <row r="39" spans="2:31" x14ac:dyDescent="0.2">
      <c r="B39" s="1">
        <f>[10]FormattedData!A82</f>
        <v>406</v>
      </c>
      <c r="C39" s="1" t="str">
        <f>VLOOKUP($B39,[10]TrtCodes!$B$11:I125,2)</f>
        <v>FTH</v>
      </c>
      <c r="D39" s="1">
        <f>VLOOKUP($B39,[10]TrtCodes!$B$11:J125,3)</f>
        <v>3</v>
      </c>
      <c r="E39" s="1">
        <f>VLOOKUP($B39,[10]TrtCodes!$B$11:K125,4)</f>
        <v>1</v>
      </c>
      <c r="F39" s="1">
        <f>VLOOKUP($B39,[10]TrtCodes!$B$11:L125,5)</f>
        <v>2</v>
      </c>
      <c r="G39" s="1">
        <f>VLOOKUP($B39,[10]TrtCodes!$B$11:M125,6)</f>
        <v>2</v>
      </c>
      <c r="H39" s="1">
        <f>VLOOKUP($B39,[10]TrtCodes!$B$11:N125,7)</f>
        <v>4</v>
      </c>
      <c r="I39" s="1">
        <f>[10]FormattedData!B82</f>
        <v>1</v>
      </c>
      <c r="J39" s="4">
        <f>[10]FormattedData!C82</f>
        <v>13.363</v>
      </c>
      <c r="K39" s="6">
        <f>$J$3+[10]FormattedData!D82*$J$4+$M$4*$J$5+[10]FormattedData!D82^2*$J$6+$M$5*$J$7</f>
        <v>47.815516239183786</v>
      </c>
      <c r="L39" s="6">
        <f>$J$3+[10]FormattedData!E82*$J$4+$M$4*$J$5+[10]FormattedData!E82^2*$J$6+$M$5*$J$7</f>
        <v>37.927965955863357</v>
      </c>
      <c r="M39" s="6">
        <f>$J$3+[10]FormattedData!F82*$J$4+$M$4*$J$5+[10]FormattedData!F82^2*$J$6+$M$5*$J$7</f>
        <v>40.909009026378854</v>
      </c>
      <c r="N39" s="6">
        <f>$J$3+[10]FormattedData!G82*$J$4+$M$4*$J$5+[10]FormattedData!G82^2*$J$6+$M$5*$J$7</f>
        <v>29.89679557895964</v>
      </c>
      <c r="O39" s="6">
        <f>$J$3+[10]FormattedData!H82*$J$4+$M$4*$J$5+[10]FormattedData!H82^2*$J$6+$M$5*$J$7</f>
        <v>38.957581527484102</v>
      </c>
      <c r="P39" s="6">
        <f>$J$3+[10]FormattedData!I82*$J$4+$M$4*$J$5+[10]FormattedData!I82^2*$J$6+$M$5*$J$7</f>
        <v>30.480341443757222</v>
      </c>
      <c r="Q39" s="6">
        <f>$J$3+[10]FormattedData!J82*$J$4+$M$4*$J$5+[10]FormattedData!J82^2*$J$6+$M$5*$J$7</f>
        <v>40.353360396615834</v>
      </c>
      <c r="R39" s="6">
        <f>$J$3+[10]FormattedData!K82*$J$4+$M$4*$J$5+[10]FormattedData!K82^2*$J$6+$M$5*$J$7</f>
        <v>30.480341443757222</v>
      </c>
      <c r="S39" s="6">
        <f>$J$3+[10]FormattedData!L82*$J$4+$M$4*$J$5+[10]FormattedData!L82^2*$J$6+$M$5*$J$7</f>
        <v>40.723961890609573</v>
      </c>
      <c r="T39" s="6">
        <f>$J$3+[10]FormattedData!M82*$J$4+$M$4*$J$5+[10]FormattedData!M82^2*$J$6+$M$5*$J$7</f>
        <v>30.674518583719628</v>
      </c>
      <c r="U39" s="6">
        <f>$J$3+[10]FormattedData!N82*$J$4+$M$4*$J$5+[10]FormattedData!N82^2*$J$6+$M$5*$J$7</f>
        <v>40.167806038391376</v>
      </c>
      <c r="V39" s="6">
        <f>$J$3+[10]FormattedData!O82*$J$4+$M$4*$J$5+[10]FormattedData!O82^2*$J$6+$M$5*$J$7</f>
        <v>30.383189470969114</v>
      </c>
      <c r="W39" s="5">
        <f t="shared" si="0"/>
        <v>36.56419896630748</v>
      </c>
      <c r="X39" s="4">
        <f t="shared" si="1"/>
        <v>1.7168486308601019</v>
      </c>
      <c r="Y39" s="3">
        <f t="shared" si="2"/>
        <v>29.89679557895964</v>
      </c>
      <c r="Z39" s="2">
        <f t="shared" si="3"/>
        <v>30.480341443757222</v>
      </c>
      <c r="AA39" s="3">
        <f t="shared" si="4"/>
        <v>38.442773741673733</v>
      </c>
      <c r="AB39" s="2">
        <f t="shared" si="5"/>
        <v>40.44601077011427</v>
      </c>
      <c r="AC39" s="2">
        <f t="shared" si="6"/>
        <v>47.815516239183786</v>
      </c>
      <c r="AD39" s="2">
        <f t="shared" si="7"/>
        <v>0.26373331659491051</v>
      </c>
      <c r="AE39" s="2">
        <f t="shared" si="8"/>
        <v>-0.95115027355531723</v>
      </c>
    </row>
    <row r="40" spans="2:31" x14ac:dyDescent="0.2">
      <c r="B40" s="1">
        <f>[10]FormattedData!A80</f>
        <v>407</v>
      </c>
      <c r="C40" s="1" t="str">
        <f>VLOOKUP($B40,[10]TrtCodes!$B$11:I123,2)</f>
        <v>NSH</v>
      </c>
      <c r="D40" s="1">
        <f>VLOOKUP($B40,[10]TrtCodes!$B$11:J123,3)</f>
        <v>7</v>
      </c>
      <c r="E40" s="1">
        <f>VLOOKUP($B40,[10]TrtCodes!$B$11:K123,4)</f>
        <v>2</v>
      </c>
      <c r="F40" s="1">
        <f>VLOOKUP($B40,[10]TrtCodes!$B$11:L123,5)</f>
        <v>1</v>
      </c>
      <c r="G40" s="1">
        <f>VLOOKUP($B40,[10]TrtCodes!$B$11:M123,6)</f>
        <v>2</v>
      </c>
      <c r="H40" s="1">
        <f>VLOOKUP($B40,[10]TrtCodes!$B$11:N123,7)</f>
        <v>4</v>
      </c>
      <c r="I40" s="1">
        <f>[10]FormattedData!B80</f>
        <v>1</v>
      </c>
      <c r="J40" s="4">
        <f>[10]FormattedData!C80</f>
        <v>13.346</v>
      </c>
      <c r="K40" s="6">
        <f>$J$3+[10]FormattedData!D80*$J$4+$M$4*$J$5+[10]FormattedData!D80^2*$J$6+$M$5*$J$7</f>
        <v>58.811790703959069</v>
      </c>
      <c r="L40" s="6">
        <f>$J$3+[10]FormattedData!E80*$J$4+$M$4*$J$5+[10]FormattedData!E80^2*$J$6+$M$5*$J$7</f>
        <v>45.931549326827131</v>
      </c>
      <c r="M40" s="6">
        <f>$J$3+[10]FormattedData!F80*$J$4+$M$4*$J$5+[10]FormattedData!F80^2*$J$6+$M$5*$J$7</f>
        <v>56.785998497514342</v>
      </c>
      <c r="N40" s="6">
        <f>$J$3+[10]FormattedData!G80*$J$4+$M$4*$J$5+[10]FormattedData!G80^2*$J$6+$M$5*$J$7</f>
        <v>39.796190099487276</v>
      </c>
      <c r="O40" s="6">
        <f>$J$3+[10]FormattedData!H80*$J$4+$M$4*$J$5+[10]FormattedData!H80^2*$J$6+$M$5*$J$7</f>
        <v>55.507514821141534</v>
      </c>
      <c r="P40" s="6">
        <f>$J$3+[10]FormattedData!I80*$J$4+$M$4*$J$5+[10]FormattedData!I80^2*$J$6+$M$5*$J$7</f>
        <v>47.458102529024558</v>
      </c>
      <c r="Q40" s="6">
        <f>$J$3+[10]FormattedData!J80*$J$4+$M$4*$J$5+[10]FormattedData!J80^2*$J$6+$M$5*$J$7</f>
        <v>57.379369535734298</v>
      </c>
      <c r="R40" s="6">
        <f>$J$3+[10]FormattedData!K80*$J$4+$M$4*$J$5+[10]FormattedData!K80^2*$J$6+$M$5*$J$7</f>
        <v>42.107694226430922</v>
      </c>
      <c r="S40" s="6">
        <f>$J$3+[10]FormattedData!L80*$J$4+$M$4*$J$5+[10]FormattedData!L80^2*$J$6+$M$5*$J$7</f>
        <v>54.735859613221287</v>
      </c>
      <c r="T40" s="6">
        <f>$J$3+[10]FormattedData!M80*$J$4+$M$4*$J$5+[10]FormattedData!M80^2*$J$6+$M$5*$J$7</f>
        <v>38.209277425124192</v>
      </c>
      <c r="U40" s="6">
        <f>$J$3+[10]FormattedData!N80*$J$4+$M$4*$J$5+[10]FormattedData!N80^2*$J$6+$M$5*$J$7</f>
        <v>53.788075931035223</v>
      </c>
      <c r="V40" s="6">
        <f>$J$3+[10]FormattedData!O80*$J$4+$M$4*$J$5+[10]FormattedData!O80^2*$J$6+$M$5*$J$7</f>
        <v>47.993969483035805</v>
      </c>
      <c r="W40" s="5">
        <f t="shared" si="0"/>
        <v>49.875449349377966</v>
      </c>
      <c r="X40" s="4">
        <f t="shared" si="1"/>
        <v>2.0917261869671653</v>
      </c>
      <c r="Y40" s="3">
        <f t="shared" si="2"/>
        <v>38.209277425124192</v>
      </c>
      <c r="Z40" s="2">
        <f t="shared" si="3"/>
        <v>44.975585551728081</v>
      </c>
      <c r="AA40" s="3">
        <f t="shared" si="4"/>
        <v>50.891022707035518</v>
      </c>
      <c r="AB40" s="2">
        <f t="shared" si="5"/>
        <v>55.827135740234738</v>
      </c>
      <c r="AC40" s="2">
        <f t="shared" si="6"/>
        <v>58.811790703959069</v>
      </c>
      <c r="AD40" s="2">
        <f t="shared" si="7"/>
        <v>-0.38510052467272182</v>
      </c>
      <c r="AE40" s="2">
        <f t="shared" si="8"/>
        <v>-1.3809910172992668</v>
      </c>
    </row>
    <row r="41" spans="2:31" x14ac:dyDescent="0.2">
      <c r="B41" s="1">
        <f>[10]FormattedData!A78</f>
        <v>408</v>
      </c>
      <c r="C41" s="1" t="str">
        <f>VLOOKUP($B41,[10]TrtCodes!$B$11:I121,2)</f>
        <v>NTL</v>
      </c>
      <c r="D41" s="1">
        <f>VLOOKUP($B41,[10]TrtCodes!$B$11:J121,3)</f>
        <v>10</v>
      </c>
      <c r="E41" s="1">
        <f>VLOOKUP($B41,[10]TrtCodes!$B$11:K121,4)</f>
        <v>2</v>
      </c>
      <c r="F41" s="1">
        <f>VLOOKUP($B41,[10]TrtCodes!$B$11:L121,5)</f>
        <v>2</v>
      </c>
      <c r="G41" s="1">
        <f>VLOOKUP($B41,[10]TrtCodes!$B$11:M121,6)</f>
        <v>1</v>
      </c>
      <c r="H41" s="1">
        <f>VLOOKUP($B41,[10]TrtCodes!$B$11:N121,7)</f>
        <v>4</v>
      </c>
      <c r="I41" s="1">
        <f>[10]FormattedData!B78</f>
        <v>1</v>
      </c>
      <c r="J41" s="4">
        <f>[10]FormattedData!C78</f>
        <v>13.33</v>
      </c>
      <c r="K41" s="6">
        <f>$J$3+[10]FormattedData!D78*$J$4+$M$4*$J$5+[10]FormattedData!D78^2*$J$6+$M$5*$J$7</f>
        <v>42.199604900515567</v>
      </c>
      <c r="L41" s="6">
        <f>$J$3+[10]FormattedData!E78*$J$4+$M$4*$J$5+[10]FormattedData!E78^2*$J$6+$M$5*$J$7</f>
        <v>37.927965955863357</v>
      </c>
      <c r="M41" s="6">
        <f>$J$3+[10]FormattedData!F78*$J$4+$M$4*$J$5+[10]FormattedData!F78^2*$J$6+$M$5*$J$7</f>
        <v>39.517034325660937</v>
      </c>
      <c r="N41" s="6">
        <f>$J$3+[10]FormattedData!G78*$J$4+$M$4*$J$5+[10]FormattedData!G78^2*$J$6+$M$5*$J$7</f>
        <v>35.853391333352846</v>
      </c>
      <c r="O41" s="6">
        <f>$J$3+[10]FormattedData!H78*$J$4+$M$4*$J$5+[10]FormattedData!H78^2*$J$6+$M$5*$J$7</f>
        <v>39.050929331858406</v>
      </c>
      <c r="P41" s="6">
        <f>$J$3+[10]FormattedData!I78*$J$4+$M$4*$J$5+[10]FormattedData!I78^2*$J$6+$M$5*$J$7</f>
        <v>34.140795423098126</v>
      </c>
      <c r="Q41" s="6">
        <f>$J$3+[10]FormattedData!J78*$J$4+$M$4*$J$5+[10]FormattedData!J78^2*$J$6+$M$5*$J$7</f>
        <v>39.610128518807649</v>
      </c>
      <c r="R41" s="6">
        <f>$J$3+[10]FormattedData!K78*$J$4+$M$4*$J$5+[10]FormattedData!K78^2*$J$6+$M$5*$J$7</f>
        <v>33.566886784948849</v>
      </c>
      <c r="S41" s="6">
        <f>$J$3+[10]FormattedData!L78*$J$4+$M$4*$J$5+[10]FormattedData!L78^2*$J$6+$M$5*$J$7</f>
        <v>39.703180443416429</v>
      </c>
      <c r="T41" s="6">
        <f>$J$3+[10]FormattedData!M78*$J$4+$M$4*$J$5+[10]FormattedData!M78^2*$J$6+$M$5*$J$7</f>
        <v>34.808432282463087</v>
      </c>
      <c r="U41" s="6">
        <f>$J$3+[10]FormattedData!N78*$J$4+$M$4*$J$5+[10]FormattedData!N78^2*$J$6+$M$5*$J$7</f>
        <v>40.074965456472249</v>
      </c>
      <c r="V41" s="6">
        <f>$J$3+[10]FormattedData!O78*$J$4+$M$4*$J$5+[10]FormattedData!O78^2*$J$6+$M$5*$J$7</f>
        <v>32.606990904998895</v>
      </c>
      <c r="W41" s="5">
        <f t="shared" si="0"/>
        <v>37.421692138454702</v>
      </c>
      <c r="X41" s="4">
        <f t="shared" si="1"/>
        <v>0.89297675602814031</v>
      </c>
      <c r="Y41" s="3">
        <f t="shared" si="2"/>
        <v>32.606990904998895</v>
      </c>
      <c r="Z41" s="2">
        <f t="shared" si="3"/>
        <v>34.641523067621847</v>
      </c>
      <c r="AA41" s="3">
        <f t="shared" si="4"/>
        <v>38.489447643860885</v>
      </c>
      <c r="AB41" s="2">
        <f t="shared" si="5"/>
        <v>39.633391499959842</v>
      </c>
      <c r="AC41" s="2">
        <f t="shared" si="6"/>
        <v>42.199604900515567</v>
      </c>
      <c r="AD41" s="2">
        <f t="shared" si="7"/>
        <v>-0.22905537458667863</v>
      </c>
      <c r="AE41" s="2">
        <f t="shared" si="8"/>
        <v>-1.3248231509719468</v>
      </c>
    </row>
    <row r="42" spans="2:31" x14ac:dyDescent="0.2">
      <c r="B42" s="17">
        <f>[10]FormattedData!A60</f>
        <v>901</v>
      </c>
      <c r="C42" s="17" t="str">
        <f>VLOOKUP($B42,[10]TrtCodes!$B$11:I103,2)</f>
        <v>WS</v>
      </c>
      <c r="D42" s="17">
        <f>VLOOKUP($B42,[10]TrtCodes!$B$11:J103,3)</f>
        <v>32</v>
      </c>
      <c r="E42" s="17">
        <f>VLOOKUP($B42,[10]TrtCodes!$B$11:K103,4)</f>
        <v>9</v>
      </c>
      <c r="F42" s="17">
        <f>VLOOKUP($B42,[10]TrtCodes!$B$11:L103,5)</f>
        <v>0</v>
      </c>
      <c r="G42" s="17">
        <f>VLOOKUP($B42,[10]TrtCodes!$B$11:M103,6)</f>
        <v>1</v>
      </c>
      <c r="H42" s="17">
        <f>VLOOKUP($B42,[10]TrtCodes!$B$11:N103,7)</f>
        <v>1</v>
      </c>
      <c r="I42" s="17">
        <f>[10]FormattedData!B60</f>
        <v>1</v>
      </c>
      <c r="J42" s="15">
        <f>[10]FormattedData!C60</f>
        <v>13.196</v>
      </c>
      <c r="K42" s="14">
        <f>$J$3+[10]FormattedData!D60*$J$4+$M$4*$J$5+[10]FormattedData!D60^2*$J$6+$M$5*$J$7</f>
        <v>46.381803618905479</v>
      </c>
      <c r="L42" s="14">
        <f>$J$3+[10]FormattedData!E60*$J$4+$M$4*$J$5+[10]FormattedData!E60^2*$J$6+$M$5*$J$7</f>
        <v>49.415508764389941</v>
      </c>
      <c r="M42" s="14">
        <f>$J$3+[10]FormattedData!F60*$J$4+$M$4*$J$5+[10]FormattedData!F60^2*$J$6+$M$5*$J$7</f>
        <v>46.381803618905479</v>
      </c>
      <c r="N42" s="14">
        <f>$J$3+[10]FormattedData!G60*$J$4+$M$4*$J$5+[10]FormattedData!G60^2*$J$6+$M$5*$J$7</f>
        <v>46.021684722318668</v>
      </c>
      <c r="O42" s="14">
        <f>$J$3+[10]FormattedData!H60*$J$4+$M$4*$J$5+[10]FormattedData!H60^2*$J$6+$M$5*$J$7</f>
        <v>47.636893921180032</v>
      </c>
      <c r="P42" s="14">
        <f>$J$3+[10]FormattedData!I60*$J$4+$M$4*$J$5+[10]FormattedData!I60^2*$J$6+$M$5*$J$7</f>
        <v>49.326979573339791</v>
      </c>
      <c r="Q42" s="14">
        <f>$J$3+[10]FormattedData!J60*$J$4+$M$4*$J$5+[10]FormattedData!J60^2*$J$6+$M$5*$J$7</f>
        <v>49.326979573339791</v>
      </c>
      <c r="R42" s="14">
        <f>$J$3+[10]FormattedData!K60*$J$4+$M$4*$J$5+[10]FormattedData!K60^2*$J$6+$M$5*$J$7</f>
        <v>47.726226214450875</v>
      </c>
      <c r="S42" s="14">
        <f>$J$3+[10]FormattedData!L60*$J$4+$M$4*$J$5+[10]FormattedData!L60^2*$J$6+$M$5*$J$7</f>
        <v>47.100012522258424</v>
      </c>
      <c r="T42" s="14">
        <f>$J$3+[10]FormattedData!M60*$J$4+$M$4*$J$5+[10]FormattedData!M60^2*$J$6+$M$5*$J$7</f>
        <v>48.883699590020079</v>
      </c>
      <c r="U42" s="14">
        <f>$J$3+[10]FormattedData!N60*$J$4+$M$4*$J$5+[10]FormattedData!N60^2*$J$6+$M$5*$J$7</f>
        <v>47.636893921180032</v>
      </c>
      <c r="V42" s="14">
        <f>$J$3+[10]FormattedData!O60*$J$4+$M$4*$J$5+[10]FormattedData!O60^2*$J$6+$M$5*$J$7</f>
        <v>52.835177755759489</v>
      </c>
      <c r="W42" s="16">
        <f t="shared" ref="W42:W73" si="9">AVERAGE(K42:V42)</f>
        <v>48.222805316337336</v>
      </c>
      <c r="X42" s="15">
        <f t="shared" ref="X42:X73" si="10">STDEV(K42:V42)/SQRT(COUNT(K42:V42))</f>
        <v>0.54626173805917899</v>
      </c>
      <c r="Y42" s="14">
        <f t="shared" ref="Y42:Y73" si="11">MIN(K42:V42)</f>
        <v>46.021684722318668</v>
      </c>
      <c r="Z42" s="13">
        <f t="shared" ref="Z42:Z73" si="12">QUARTILE(K42:V42,1)</f>
        <v>46.920460296420188</v>
      </c>
      <c r="AA42" s="14">
        <f t="shared" ref="AA42:AA73" si="13">MEDIAN(K42:V42)</f>
        <v>47.681560067815454</v>
      </c>
      <c r="AB42" s="13">
        <f t="shared" ref="AB42:AB73" si="14">QUARTILE(K42:V42,3)</f>
        <v>49.326979573339791</v>
      </c>
      <c r="AC42" s="13">
        <f t="shared" ref="AC42:AC73" si="15">MAX(K42:V42)</f>
        <v>52.835177755759489</v>
      </c>
      <c r="AD42" s="13">
        <f t="shared" ref="AD42:AD73" si="16">SKEW(K42:V42)</f>
        <v>1.2512174581953697</v>
      </c>
      <c r="AE42" s="13">
        <f t="shared" ref="AE42:AE73" si="17">KURT(K42:V42)</f>
        <v>2.1862724072166131</v>
      </c>
    </row>
    <row r="43" spans="2:31" x14ac:dyDescent="0.2">
      <c r="B43" s="1">
        <f>[10]FormattedData!A58</f>
        <v>902</v>
      </c>
      <c r="C43" s="1" t="str">
        <f>VLOOKUP($B43,[10]TrtCodes!$B$11:I101,2)</f>
        <v>Late</v>
      </c>
      <c r="D43" s="1">
        <f>VLOOKUP($B43,[10]TrtCodes!$B$11:J101,3)</f>
        <v>22</v>
      </c>
      <c r="E43" s="1">
        <f>VLOOKUP($B43,[10]TrtCodes!$B$11:K101,4)</f>
        <v>4</v>
      </c>
      <c r="F43" s="1">
        <f>VLOOKUP($B43,[10]TrtCodes!$B$11:L101,5)</f>
        <v>2</v>
      </c>
      <c r="G43" s="1">
        <f>VLOOKUP($B43,[10]TrtCodes!$B$11:M101,6)</f>
        <v>2</v>
      </c>
      <c r="H43" s="1">
        <f>VLOOKUP($B43,[10]TrtCodes!$B$11:N101,7)</f>
        <v>1</v>
      </c>
      <c r="I43" s="1">
        <f>[10]FormattedData!B58</f>
        <v>1</v>
      </c>
      <c r="J43" s="4">
        <f>[10]FormattedData!C58</f>
        <v>13.183</v>
      </c>
      <c r="K43" s="6">
        <f>$J$3+[10]FormattedData!D58*$J$4+$M$4*$J$5+[10]FormattedData!D58^2*$J$6+$M$5*$J$7</f>
        <v>50.210369399634388</v>
      </c>
      <c r="L43" s="6">
        <f>$J$3+[10]FormattedData!E58*$J$4+$M$4*$J$5+[10]FormattedData!E58^2*$J$6+$M$5*$J$7</f>
        <v>42.015741283808353</v>
      </c>
      <c r="M43" s="6">
        <f>$J$3+[10]FormattedData!F58*$J$4+$M$4*$J$5+[10]FormattedData!F58^2*$J$6+$M$5*$J$7</f>
        <v>46.471727671707363</v>
      </c>
      <c r="N43" s="6">
        <f>$J$3+[10]FormattedData!G58*$J$4+$M$4*$J$5+[10]FormattedData!G58^2*$J$6+$M$5*$J$7</f>
        <v>35.093928336979104</v>
      </c>
      <c r="O43" s="6">
        <f>$J$3+[10]FormattedData!H58*$J$4+$M$4*$J$5+[10]FormattedData!H58^2*$J$6+$M$5*$J$7</f>
        <v>47.458102529024558</v>
      </c>
      <c r="P43" s="6">
        <f>$J$3+[10]FormattedData!I58*$J$4+$M$4*$J$5+[10]FormattedData!I58^2*$J$6+$M$5*$J$7</f>
        <v>35.189009151408584</v>
      </c>
      <c r="Q43" s="6">
        <f>$J$3+[10]FormattedData!J58*$J$4+$M$4*$J$5+[10]FormattedData!J58^2*$J$6+$M$5*$J$7</f>
        <v>50.474562111033116</v>
      </c>
      <c r="R43" s="6">
        <f>$J$3+[10]FormattedData!K58*$J$4+$M$4*$J$5+[10]FormattedData!K58^2*$J$6+$M$5*$J$7</f>
        <v>35.663779195486995</v>
      </c>
      <c r="S43" s="6">
        <f>$J$3+[10]FormattedData!L58*$J$4+$M$4*$J$5+[10]FormattedData!L58^2*$J$6+$M$5*$J$7</f>
        <v>43.846769114052876</v>
      </c>
      <c r="T43" s="6">
        <f>$J$3+[10]FormattedData!M58*$J$4+$M$4*$J$5+[10]FormattedData!M58^2*$J$6+$M$5*$J$7</f>
        <v>41.278596075462254</v>
      </c>
      <c r="U43" s="6">
        <f>$J$3+[10]FormattedData!N58*$J$4+$M$4*$J$5+[10]FormattedData!N58^2*$J$6+$M$5*$J$7</f>
        <v>47.010384349222079</v>
      </c>
      <c r="V43" s="6">
        <f>$J$3+[10]FormattedData!O58*$J$4+$M$4*$J$5+[10]FormattedData!O58^2*$J$6+$M$5*$J$7</f>
        <v>35.948133999478877</v>
      </c>
      <c r="W43" s="5">
        <f t="shared" si="9"/>
        <v>42.555091934774879</v>
      </c>
      <c r="X43" s="4">
        <f t="shared" si="10"/>
        <v>1.7082896212979541</v>
      </c>
      <c r="Y43" s="3">
        <f t="shared" si="11"/>
        <v>35.093928336979104</v>
      </c>
      <c r="Z43" s="2">
        <f t="shared" si="12"/>
        <v>35.877045298480908</v>
      </c>
      <c r="AA43" s="3">
        <f t="shared" si="13"/>
        <v>42.931255198930614</v>
      </c>
      <c r="AB43" s="2">
        <f t="shared" si="14"/>
        <v>47.122313894172699</v>
      </c>
      <c r="AC43" s="2">
        <f t="shared" si="15"/>
        <v>50.474562111033116</v>
      </c>
      <c r="AD43" s="2">
        <f t="shared" si="16"/>
        <v>-0.11533312704991019</v>
      </c>
      <c r="AE43" s="2">
        <f t="shared" si="17"/>
        <v>-1.6196440190946961</v>
      </c>
    </row>
    <row r="44" spans="2:31" x14ac:dyDescent="0.2">
      <c r="B44" s="17">
        <f>[10]FormattedData!A56</f>
        <v>903</v>
      </c>
      <c r="C44" s="17" t="str">
        <f>VLOOKUP($B44,[10]TrtCodes!$B$11:I99,2)</f>
        <v>DS</v>
      </c>
      <c r="D44" s="17">
        <f>VLOOKUP($B44,[10]TrtCodes!$B$11:J99,3)</f>
        <v>31</v>
      </c>
      <c r="E44" s="17">
        <f>VLOOKUP($B44,[10]TrtCodes!$B$11:K99,4)</f>
        <v>8</v>
      </c>
      <c r="F44" s="17">
        <f>VLOOKUP($B44,[10]TrtCodes!$B$11:L99,5)</f>
        <v>0</v>
      </c>
      <c r="G44" s="17">
        <f>VLOOKUP($B44,[10]TrtCodes!$B$11:M99,6)</f>
        <v>1</v>
      </c>
      <c r="H44" s="17">
        <f>VLOOKUP($B44,[10]TrtCodes!$B$11:N99,7)</f>
        <v>1</v>
      </c>
      <c r="I44" s="17">
        <f>[10]FormattedData!B56</f>
        <v>1</v>
      </c>
      <c r="J44" s="15">
        <f>[10]FormattedData!C56</f>
        <v>13.177</v>
      </c>
      <c r="K44" s="14">
        <f>$J$3+[10]FormattedData!D56*$J$4+$M$4*$J$5+[10]FormattedData!D56^2*$J$6+$M$5*$J$7</f>
        <v>65.146846156557331</v>
      </c>
      <c r="L44" s="14">
        <f>$J$3+[10]FormattedData!E56*$J$4+$M$4*$J$5+[10]FormattedData!E56^2*$J$6+$M$5*$J$7</f>
        <v>64.98546940202948</v>
      </c>
      <c r="M44" s="14">
        <f>$J$3+[10]FormattedData!F56*$J$4+$M$4*$J$5+[10]FormattedData!F56^2*$J$6+$M$5*$J$7</f>
        <v>65.066178913562382</v>
      </c>
      <c r="N44" s="14">
        <f>$J$3+[10]FormattedData!G56*$J$4+$M$4*$J$5+[10]FormattedData!G56^2*$J$6+$M$5*$J$7</f>
        <v>64.743087256203225</v>
      </c>
      <c r="O44" s="14">
        <f>$J$3+[10]FormattedData!H56*$J$4+$M$4*$J$5+[10]FormattedData!H56^2*$J$6+$M$5*$J$7</f>
        <v>64.823923573349902</v>
      </c>
      <c r="P44" s="14">
        <f>$J$3+[10]FormattedData!I56*$J$4+$M$4*$J$5+[10]FormattedData!I56^2*$J$6+$M$5*$J$7</f>
        <v>65.146846156557331</v>
      </c>
      <c r="Q44" s="14">
        <f>$J$3+[10]FormattedData!J56*$J$4+$M$4*$J$5+[10]FormattedData!J56^2*$J$6+$M$5*$J$7</f>
        <v>65.146846156557331</v>
      </c>
      <c r="R44" s="14">
        <f>$J$3+[10]FormattedData!K56*$J$4+$M$4*$J$5+[10]FormattedData!K56^2*$J$6+$M$5*$J$7</f>
        <v>65.066178913562382</v>
      </c>
      <c r="S44" s="14">
        <f>$J$3+[10]FormattedData!L56*$J$4+$M$4*$J$5+[10]FormattedData!L56^2*$J$6+$M$5*$J$7</f>
        <v>64.743087256203225</v>
      </c>
      <c r="T44" s="14">
        <f>$J$3+[10]FormattedData!M56*$J$4+$M$4*$J$5+[10]FormattedData!M56^2*$J$6+$M$5*$J$7</f>
        <v>64.581287816296069</v>
      </c>
      <c r="U44" s="14">
        <f>$J$3+[10]FormattedData!N56*$J$4+$M$4*$J$5+[10]FormattedData!N56^2*$J$6+$M$5*$J$7</f>
        <v>64.09487505166426</v>
      </c>
      <c r="V44" s="14">
        <f>$J$3+[10]FormattedData!O56*$J$4+$M$4*$J$5+[10]FormattedData!O56^2*$J$6+$M$5*$J$7</f>
        <v>64.581287816296069</v>
      </c>
      <c r="W44" s="16">
        <f t="shared" si="9"/>
        <v>64.843826205736576</v>
      </c>
      <c r="X44" s="15">
        <f t="shared" si="10"/>
        <v>9.1861265204062029E-2</v>
      </c>
      <c r="Y44" s="14">
        <f t="shared" si="11"/>
        <v>64.09487505166426</v>
      </c>
      <c r="Z44" s="13">
        <f t="shared" si="12"/>
        <v>64.702637396226436</v>
      </c>
      <c r="AA44" s="14">
        <f t="shared" si="13"/>
        <v>64.904696487689691</v>
      </c>
      <c r="AB44" s="13">
        <f t="shared" si="14"/>
        <v>65.086345724311116</v>
      </c>
      <c r="AC44" s="13">
        <f t="shared" si="15"/>
        <v>65.146846156557331</v>
      </c>
      <c r="AD44" s="13">
        <f t="shared" si="16"/>
        <v>-1.1850937014754919</v>
      </c>
      <c r="AE44" s="13">
        <f t="shared" si="17"/>
        <v>1.4210163376586928</v>
      </c>
    </row>
    <row r="45" spans="2:31" x14ac:dyDescent="0.2">
      <c r="B45" s="1">
        <f>[10]FormattedData!A54</f>
        <v>904</v>
      </c>
      <c r="C45" s="1" t="str">
        <f>VLOOKUP($B45,[10]TrtCodes!$B$11:I97,2)</f>
        <v>Early</v>
      </c>
      <c r="D45" s="1">
        <f>VLOOKUP($B45,[10]TrtCodes!$B$11:J97,3)</f>
        <v>21</v>
      </c>
      <c r="E45" s="1">
        <f>VLOOKUP($B45,[10]TrtCodes!$B$11:K97,4)</f>
        <v>3</v>
      </c>
      <c r="F45" s="1">
        <f>VLOOKUP($B45,[10]TrtCodes!$B$11:L97,5)</f>
        <v>2</v>
      </c>
      <c r="G45" s="1">
        <f>VLOOKUP($B45,[10]TrtCodes!$B$11:M97,6)</f>
        <v>2</v>
      </c>
      <c r="H45" s="1">
        <f>VLOOKUP($B45,[10]TrtCodes!$B$11:N97,7)</f>
        <v>1</v>
      </c>
      <c r="I45" s="1">
        <f>[10]FormattedData!B54</f>
        <v>1</v>
      </c>
      <c r="J45" s="4">
        <f>[10]FormattedData!C54</f>
        <v>13.163</v>
      </c>
      <c r="K45" s="6">
        <f>$J$3+[10]FormattedData!D54*$J$4+$M$4*$J$5+[10]FormattedData!D54^2*$J$6+$M$5*$J$7</f>
        <v>59.481644399918792</v>
      </c>
      <c r="L45" s="6">
        <f>$J$3+[10]FormattedData!E54*$J$4+$M$4*$J$5+[10]FormattedData!E54^2*$J$6+$M$5*$J$7</f>
        <v>45.931549326827131</v>
      </c>
      <c r="M45" s="6">
        <f>$J$3+[10]FormattedData!F54*$J$4+$M$4*$J$5+[10]FormattedData!F54^2*$J$6+$M$5*$J$7</f>
        <v>52.835177755759489</v>
      </c>
      <c r="N45" s="6">
        <f>$J$3+[10]FormattedData!G54*$J$4+$M$4*$J$5+[10]FormattedData!G54^2*$J$6+$M$5*$J$7</f>
        <v>42.383299443071053</v>
      </c>
      <c r="O45" s="6">
        <f>$J$3+[10]FormattedData!H54*$J$4+$M$4*$J$5+[10]FormattedData!H54^2*$J$6+$M$5*$J$7</f>
        <v>49.59244034087645</v>
      </c>
      <c r="P45" s="6">
        <f>$J$3+[10]FormattedData!I54*$J$4+$M$4*$J$5+[10]FormattedData!I54^2*$J$6+$M$5*$J$7</f>
        <v>43.481916141217766</v>
      </c>
      <c r="Q45" s="6">
        <f>$J$3+[10]FormattedData!J54*$J$4+$M$4*$J$5+[10]FormattedData!J54^2*$J$6+$M$5*$J$7</f>
        <v>58.223449621752934</v>
      </c>
      <c r="R45" s="6">
        <f>$J$3+[10]FormattedData!K54*$J$4+$M$4*$J$5+[10]FormattedData!K54^2*$J$6+$M$5*$J$7</f>
        <v>41.647506827938749</v>
      </c>
      <c r="S45" s="6">
        <f>$J$3+[10]FormattedData!L54*$J$4+$M$4*$J$5+[10]FormattedData!L54^2*$J$6+$M$5*$J$7</f>
        <v>57.801937935467755</v>
      </c>
      <c r="T45" s="6">
        <f>$J$3+[10]FormattedData!M54*$J$4+$M$4*$J$5+[10]FormattedData!M54^2*$J$6+$M$5*$J$7</f>
        <v>42.475083311541901</v>
      </c>
      <c r="U45" s="6">
        <f>$J$3+[10]FormattedData!N54*$J$4+$M$4*$J$5+[10]FormattedData!N54^2*$J$6+$M$5*$J$7</f>
        <v>53.874449426650891</v>
      </c>
      <c r="V45" s="6">
        <f>$J$3+[10]FormattedData!O54*$J$4+$M$4*$J$5+[10]FormattedData!O54^2*$J$6+$M$5*$J$7</f>
        <v>47.547519359371258</v>
      </c>
      <c r="W45" s="5">
        <f t="shared" si="9"/>
        <v>49.60633115753285</v>
      </c>
      <c r="X45" s="4">
        <f t="shared" si="10"/>
        <v>1.9251287719680832</v>
      </c>
      <c r="Y45" s="3">
        <f t="shared" si="11"/>
        <v>41.647506827938749</v>
      </c>
      <c r="Z45" s="2">
        <f t="shared" si="12"/>
        <v>43.230207933798802</v>
      </c>
      <c r="AA45" s="3">
        <f t="shared" si="13"/>
        <v>48.569979850123858</v>
      </c>
      <c r="AB45" s="2">
        <f t="shared" si="14"/>
        <v>54.856321553855111</v>
      </c>
      <c r="AC45" s="2">
        <f t="shared" si="15"/>
        <v>59.481644399918792</v>
      </c>
      <c r="AD45" s="2">
        <f t="shared" si="16"/>
        <v>0.26965530626848289</v>
      </c>
      <c r="AE45" s="2">
        <f t="shared" si="17"/>
        <v>-1.5712503125225825</v>
      </c>
    </row>
    <row r="46" spans="2:31" x14ac:dyDescent="0.2">
      <c r="B46" s="17">
        <f>[10]FormattedData!A52</f>
        <v>905</v>
      </c>
      <c r="C46" s="17" t="str">
        <f>VLOOKUP($B46,[10]TrtCodes!$B$11:I95,2)</f>
        <v>WS</v>
      </c>
      <c r="D46" s="17">
        <f>VLOOKUP($B46,[10]TrtCodes!$B$11:J95,3)</f>
        <v>32</v>
      </c>
      <c r="E46" s="17">
        <f>VLOOKUP($B46,[10]TrtCodes!$B$11:K95,4)</f>
        <v>9</v>
      </c>
      <c r="F46" s="17">
        <f>VLOOKUP($B46,[10]TrtCodes!$B$11:L95,5)</f>
        <v>0</v>
      </c>
      <c r="G46" s="17">
        <f>VLOOKUP($B46,[10]TrtCodes!$B$11:M95,6)</f>
        <v>1</v>
      </c>
      <c r="H46" s="17">
        <f>VLOOKUP($B46,[10]TrtCodes!$B$11:N95,7)</f>
        <v>2</v>
      </c>
      <c r="I46" s="17">
        <f>[10]FormattedData!B52</f>
        <v>1</v>
      </c>
      <c r="J46" s="15">
        <f>[10]FormattedData!C52</f>
        <v>13.156000000000001</v>
      </c>
      <c r="K46" s="14">
        <f>$J$3+[10]FormattedData!D52*$J$4+$M$4*$J$5+[10]FormattedData!D52^2*$J$6+$M$5*$J$7</f>
        <v>39.610128518807649</v>
      </c>
      <c r="L46" s="14">
        <f>$J$3+[10]FormattedData!E52*$J$4+$M$4*$J$5+[10]FormattedData!E52^2*$J$6+$M$5*$J$7</f>
        <v>39.423897863976293</v>
      </c>
      <c r="M46" s="14">
        <f>$J$3+[10]FormattedData!F52*$J$4+$M$4*$J$5+[10]FormattedData!F52^2*$J$6+$M$5*$J$7</f>
        <v>39.517034325660937</v>
      </c>
      <c r="N46" s="14">
        <f>$J$3+[10]FormattedData!G52*$J$4+$M$4*$J$5+[10]FormattedData!G52^2*$J$6+$M$5*$J$7</f>
        <v>39.889157487020199</v>
      </c>
      <c r="O46" s="14">
        <f>$J$3+[10]FormattedData!H52*$J$4+$M$4*$J$5+[10]FormattedData!H52^2*$J$6+$M$5*$J$7</f>
        <v>39.889157487020199</v>
      </c>
      <c r="P46" s="14">
        <f>$J$3+[10]FormattedData!I52*$J$4+$M$4*$J$5+[10]FormattedData!I52^2*$J$6+$M$5*$J$7</f>
        <v>39.23749813499321</v>
      </c>
      <c r="Q46" s="14">
        <f>$J$3+[10]FormattedData!J52*$J$4+$M$4*$J$5+[10]FormattedData!J52^2*$J$6+$M$5*$J$7</f>
        <v>39.517034325660937</v>
      </c>
      <c r="R46" s="14">
        <f>$J$3+[10]FormattedData!K52*$J$4+$M$4*$J$5+[10]FormattedData!K52^2*$J$6+$M$5*$J$7</f>
        <v>39.796190099487276</v>
      </c>
      <c r="S46" s="14">
        <f>$J$3+[10]FormattedData!L52*$J$4+$M$4*$J$5+[10]FormattedData!L52^2*$J$6+$M$5*$J$7</f>
        <v>39.98208260601519</v>
      </c>
      <c r="T46" s="14">
        <f>$J$3+[10]FormattedData!M52*$J$4+$M$4*$J$5+[10]FormattedData!M52^2*$J$6+$M$5*$J$7</f>
        <v>40.167806038391376</v>
      </c>
      <c r="U46" s="14">
        <f>$J$3+[10]FormattedData!N52*$J$4+$M$4*$J$5+[10]FormattedData!N52^2*$J$6+$M$5*$J$7</f>
        <v>40.260604351772564</v>
      </c>
      <c r="V46" s="14">
        <f>$J$3+[10]FormattedData!O52*$J$4+$M$4*$J$5+[10]FormattedData!O52^2*$J$6+$M$5*$J$7</f>
        <v>40.074965456472249</v>
      </c>
      <c r="W46" s="16">
        <f t="shared" si="9"/>
        <v>39.780463057939834</v>
      </c>
      <c r="X46" s="15">
        <f t="shared" si="10"/>
        <v>9.2178250549491358E-2</v>
      </c>
      <c r="Y46" s="14">
        <f t="shared" si="11"/>
        <v>39.23749813499321</v>
      </c>
      <c r="Z46" s="13">
        <f t="shared" si="12"/>
        <v>39.517034325660937</v>
      </c>
      <c r="AA46" s="14">
        <f t="shared" si="13"/>
        <v>39.842673793253738</v>
      </c>
      <c r="AB46" s="13">
        <f t="shared" si="14"/>
        <v>40.005303318629458</v>
      </c>
      <c r="AC46" s="13">
        <f t="shared" si="15"/>
        <v>40.260604351772564</v>
      </c>
      <c r="AD46" s="13">
        <f t="shared" si="16"/>
        <v>-0.14003457063900313</v>
      </c>
      <c r="AE46" s="13">
        <f t="shared" si="17"/>
        <v>-1.0222159773184383</v>
      </c>
    </row>
    <row r="47" spans="2:31" x14ac:dyDescent="0.2">
      <c r="B47" s="1">
        <f>[10]FormattedData!A50</f>
        <v>906</v>
      </c>
      <c r="C47" s="1" t="str">
        <f>VLOOKUP($B47,[10]TrtCodes!$B$11:I93,2)</f>
        <v>Late</v>
      </c>
      <c r="D47" s="1">
        <f>VLOOKUP($B47,[10]TrtCodes!$B$11:J93,3)</f>
        <v>22</v>
      </c>
      <c r="E47" s="1">
        <f>VLOOKUP($B47,[10]TrtCodes!$B$11:K93,4)</f>
        <v>4</v>
      </c>
      <c r="F47" s="1">
        <f>VLOOKUP($B47,[10]TrtCodes!$B$11:L93,5)</f>
        <v>2</v>
      </c>
      <c r="G47" s="1">
        <f>VLOOKUP($B47,[10]TrtCodes!$B$11:M93,6)</f>
        <v>2</v>
      </c>
      <c r="H47" s="1">
        <f>VLOOKUP($B47,[10]TrtCodes!$B$11:N93,7)</f>
        <v>2</v>
      </c>
      <c r="I47" s="1">
        <f>[10]FormattedData!B50</f>
        <v>1</v>
      </c>
      <c r="J47" s="4">
        <f>[10]FormattedData!C50</f>
        <v>13.143000000000001</v>
      </c>
      <c r="K47" s="6">
        <f>$J$3+[10]FormattedData!D50*$J$4+$M$4*$J$5+[10]FormattedData!D50^2*$J$6+$M$5*$J$7</f>
        <v>50.8262273000337</v>
      </c>
      <c r="L47" s="6">
        <f>$J$3+[10]FormattedData!E50*$J$4+$M$4*$J$5+[10]FormattedData!E50^2*$J$6+$M$5*$J$7</f>
        <v>38.864191454571873</v>
      </c>
      <c r="M47" s="6">
        <f>$J$3+[10]FormattedData!F50*$J$4+$M$4*$J$5+[10]FormattedData!F50^2*$J$6+$M$5*$J$7</f>
        <v>45.389849314581383</v>
      </c>
      <c r="N47" s="6">
        <f>$J$3+[10]FormattedData!G50*$J$4+$M$4*$J$5+[10]FormattedData!G50^2*$J$6+$M$5*$J$7</f>
        <v>35.093928336979104</v>
      </c>
      <c r="O47" s="6">
        <f>$J$3+[10]FormattedData!H50*$J$4+$M$4*$J$5+[10]FormattedData!H50^2*$J$6+$M$5*$J$7</f>
        <v>43.481916141217766</v>
      </c>
      <c r="P47" s="6">
        <f>$J$3+[10]FormattedData!I50*$J$4+$M$4*$J$5+[10]FormattedData!I50^2*$J$6+$M$5*$J$7</f>
        <v>38.490208477543632</v>
      </c>
      <c r="Q47" s="6">
        <f>$J$3+[10]FormattedData!J50*$J$4+$M$4*$J$5+[10]FormattedData!J50^2*$J$6+$M$5*$J$7</f>
        <v>46.111777849272272</v>
      </c>
      <c r="R47" s="6">
        <f>$J$3+[10]FormattedData!K50*$J$4+$M$4*$J$5+[10]FormattedData!K50^2*$J$6+$M$5*$J$7</f>
        <v>38.864191454571873</v>
      </c>
      <c r="S47" s="6">
        <f>$J$3+[10]FormattedData!L50*$J$4+$M$4*$J$5+[10]FormattedData!L50^2*$J$6+$M$5*$J$7</f>
        <v>45.208944495529344</v>
      </c>
      <c r="T47" s="6">
        <f>$J$3+[10]FormattedData!M50*$J$4+$M$4*$J$5+[10]FormattedData!M50^2*$J$6+$M$5*$J$7</f>
        <v>36.61014914329899</v>
      </c>
      <c r="U47" s="6">
        <f>$J$3+[10]FormattedData!N50*$J$4+$M$4*$J$5+[10]FormattedData!N50^2*$J$6+$M$5*$J$7</f>
        <v>47.904763995378765</v>
      </c>
      <c r="V47" s="6">
        <f>$J$3+[10]FormattedData!O50*$J$4+$M$4*$J$5+[10]FormattedData!O50^2*$J$6+$M$5*$J$7</f>
        <v>32.991456479434049</v>
      </c>
      <c r="W47" s="5">
        <f t="shared" si="9"/>
        <v>41.653133703534394</v>
      </c>
      <c r="X47" s="4">
        <f t="shared" si="10"/>
        <v>1.6098638390011042</v>
      </c>
      <c r="Y47" s="3">
        <f t="shared" si="11"/>
        <v>32.991456479434049</v>
      </c>
      <c r="Z47" s="2">
        <f t="shared" si="12"/>
        <v>38.020193643982473</v>
      </c>
      <c r="AA47" s="3">
        <f t="shared" si="13"/>
        <v>41.173053797894823</v>
      </c>
      <c r="AB47" s="2">
        <f t="shared" si="14"/>
        <v>45.570331448254109</v>
      </c>
      <c r="AC47" s="2">
        <f t="shared" si="15"/>
        <v>50.8262273000337</v>
      </c>
      <c r="AD47" s="2">
        <f t="shared" si="16"/>
        <v>4.5776883720550367E-2</v>
      </c>
      <c r="AE47" s="2">
        <f t="shared" si="17"/>
        <v>-1.1469524822195116</v>
      </c>
    </row>
    <row r="48" spans="2:31" x14ac:dyDescent="0.2">
      <c r="B48" s="17">
        <f>[10]FormattedData!A48</f>
        <v>907</v>
      </c>
      <c r="C48" s="17" t="str">
        <f>VLOOKUP($B48,[10]TrtCodes!$B$11:I91,2)</f>
        <v>DS</v>
      </c>
      <c r="D48" s="17">
        <f>VLOOKUP($B48,[10]TrtCodes!$B$11:J91,3)</f>
        <v>31</v>
      </c>
      <c r="E48" s="17">
        <f>VLOOKUP($B48,[10]TrtCodes!$B$11:K91,4)</f>
        <v>8</v>
      </c>
      <c r="F48" s="17">
        <f>VLOOKUP($B48,[10]TrtCodes!$B$11:L91,5)</f>
        <v>0</v>
      </c>
      <c r="G48" s="17">
        <f>VLOOKUP($B48,[10]TrtCodes!$B$11:M91,6)</f>
        <v>1</v>
      </c>
      <c r="H48" s="17">
        <f>VLOOKUP($B48,[10]TrtCodes!$B$11:N91,7)</f>
        <v>2</v>
      </c>
      <c r="I48" s="17">
        <f>[10]FormattedData!B48</f>
        <v>1</v>
      </c>
      <c r="J48" s="15">
        <f>[10]FormattedData!C48</f>
        <v>13.137</v>
      </c>
      <c r="K48" s="14">
        <f>$J$3+[10]FormattedData!D48*$J$4+$M$4*$J$5+[10]FormattedData!D48^2*$J$6+$M$5*$J$7</f>
        <v>64.419319302237184</v>
      </c>
      <c r="L48" s="14">
        <f>$J$3+[10]FormattedData!E48*$J$4+$M$4*$J$5+[10]FormattedData!E48^2*$J$6+$M$5*$J$7</f>
        <v>64.419319302237184</v>
      </c>
      <c r="M48" s="14">
        <f>$J$3+[10]FormattedData!F48*$J$4+$M$4*$J$5+[10]FormattedData!F48^2*$J$6+$M$5*$J$7</f>
        <v>64.743087256203225</v>
      </c>
      <c r="N48" s="14">
        <f>$J$3+[10]FormattedData!G48*$J$4+$M$4*$J$5+[10]FormattedData!G48^2*$J$6+$M$5*$J$7</f>
        <v>64.581287816296069</v>
      </c>
      <c r="O48" s="14">
        <f>$J$3+[10]FormattedData!H48*$J$4+$M$4*$J$5+[10]FormattedData!H48^2*$J$6+$M$5*$J$7</f>
        <v>64.904717621958667</v>
      </c>
      <c r="P48" s="14">
        <f>$J$3+[10]FormattedData!I48*$J$4+$M$4*$J$5+[10]FormattedData!I48^2*$J$6+$M$5*$J$7</f>
        <v>65.146846156557331</v>
      </c>
      <c r="Q48" s="14">
        <f>$J$3+[10]FormattedData!J48*$J$4+$M$4*$J$5+[10]FormattedData!J48^2*$J$6+$M$5*$J$7</f>
        <v>64.743087256203225</v>
      </c>
      <c r="R48" s="14">
        <f>$J$3+[10]FormattedData!K48*$J$4+$M$4*$J$5+[10]FormattedData!K48^2*$J$6+$M$5*$J$7</f>
        <v>65.146846156557331</v>
      </c>
      <c r="S48" s="14">
        <f>$J$3+[10]FormattedData!L48*$J$4+$M$4*$J$5+[10]FormattedData!L48^2*$J$6+$M$5*$J$7</f>
        <v>65.146846156557331</v>
      </c>
      <c r="T48" s="14">
        <f>$J$3+[10]FormattedData!M48*$J$4+$M$4*$J$5+[10]FormattedData!M48^2*$J$6+$M$5*$J$7</f>
        <v>65.22747113101434</v>
      </c>
      <c r="U48" s="14">
        <f>$J$3+[10]FormattedData!N48*$J$4+$M$4*$J$5+[10]FormattedData!N48^2*$J$6+$M$5*$J$7</f>
        <v>65.629961975230515</v>
      </c>
      <c r="V48" s="14">
        <f>$J$3+[10]FormattedData!O48*$J$4+$M$4*$J$5+[10]FormattedData!O48^2*$J$6+$M$5*$J$7</f>
        <v>65.22747113101434</v>
      </c>
      <c r="W48" s="16">
        <f t="shared" si="9"/>
        <v>64.944688438505565</v>
      </c>
      <c r="X48" s="15">
        <f t="shared" si="10"/>
        <v>0.10727705429415434</v>
      </c>
      <c r="Y48" s="14">
        <f t="shared" si="11"/>
        <v>64.419319302237184</v>
      </c>
      <c r="Z48" s="13">
        <f t="shared" si="12"/>
        <v>64.702637396226436</v>
      </c>
      <c r="AA48" s="14">
        <f t="shared" si="13"/>
        <v>65.025781889257999</v>
      </c>
      <c r="AB48" s="13">
        <f t="shared" si="14"/>
        <v>65.167002400171583</v>
      </c>
      <c r="AC48" s="13">
        <f t="shared" si="15"/>
        <v>65.629961975230515</v>
      </c>
      <c r="AD48" s="13">
        <f t="shared" si="16"/>
        <v>7.9407633543231604E-2</v>
      </c>
      <c r="AE48" s="13">
        <f t="shared" si="17"/>
        <v>-0.63393823379565317</v>
      </c>
    </row>
    <row r="49" spans="2:31" ht="13.5" thickBot="1" x14ac:dyDescent="0.25">
      <c r="B49" s="12">
        <f>[10]FormattedData!A46</f>
        <v>908</v>
      </c>
      <c r="C49" s="12" t="str">
        <f>VLOOKUP($B49,[10]TrtCodes!$B$11:I89,2)</f>
        <v>Early</v>
      </c>
      <c r="D49" s="12">
        <f>VLOOKUP($B49,[10]TrtCodes!$B$11:J89,3)</f>
        <v>21</v>
      </c>
      <c r="E49" s="12">
        <f>VLOOKUP($B49,[10]TrtCodes!$B$11:K89,4)</f>
        <v>3</v>
      </c>
      <c r="F49" s="12">
        <f>VLOOKUP($B49,[10]TrtCodes!$B$11:L89,5)</f>
        <v>2</v>
      </c>
      <c r="G49" s="12">
        <f>VLOOKUP($B49,[10]TrtCodes!$B$11:M89,6)</f>
        <v>2</v>
      </c>
      <c r="H49" s="12">
        <f>VLOOKUP($B49,[10]TrtCodes!$B$11:N89,7)</f>
        <v>2</v>
      </c>
      <c r="I49" s="12">
        <f>[10]FormattedData!B46</f>
        <v>1</v>
      </c>
      <c r="J49" s="9">
        <f>[10]FormattedData!C46</f>
        <v>13.121</v>
      </c>
      <c r="K49" s="11">
        <f>$J$3+[10]FormattedData!D46*$J$4+$M$4*$J$5+[10]FormattedData!D46^2*$J$6+$M$5*$J$7</f>
        <v>59.565185903493067</v>
      </c>
      <c r="L49" s="11">
        <f>$J$3+[10]FormattedData!E46*$J$4+$M$4*$J$5+[10]FormattedData!E46^2*$J$6+$M$5*$J$7</f>
        <v>44.028941989242838</v>
      </c>
      <c r="M49" s="11">
        <f>$J$3+[10]FormattedData!F46*$J$4+$M$4*$J$5+[10]FormattedData!F46^2*$J$6+$M$5*$J$7</f>
        <v>56.870892594302425</v>
      </c>
      <c r="N49" s="11">
        <f>$J$3+[10]FormattedData!G46*$J$4+$M$4*$J$5+[10]FormattedData!G46^2*$J$6+$M$5*$J$7</f>
        <v>40.909009026378854</v>
      </c>
      <c r="O49" s="11">
        <f>$J$3+[10]FormattedData!H46*$J$4+$M$4*$J$5+[10]FormattedData!H46^2*$J$6+$M$5*$J$7</f>
        <v>58.307625153396174</v>
      </c>
      <c r="P49" s="11">
        <f>$J$3+[10]FormattedData!I46*$J$4+$M$4*$J$5+[10]FormattedData!I46^2*$J$6+$M$5*$J$7</f>
        <v>42.475083311541901</v>
      </c>
      <c r="Q49" s="11">
        <f>$J$3+[10]FormattedData!J46*$J$4+$M$4*$J$5+[10]FormattedData!J46^2*$J$6+$M$5*$J$7</f>
        <v>54.21952072373422</v>
      </c>
      <c r="R49" s="11">
        <f>$J$3+[10]FormattedData!K46*$J$4+$M$4*$J$5+[10]FormattedData!K46^2*$J$6+$M$5*$J$7</f>
        <v>40.260604351772564</v>
      </c>
      <c r="S49" s="11">
        <f>$J$3+[10]FormattedData!L46*$J$4+$M$4*$J$5+[10]FormattedData!L46^2*$J$6+$M$5*$J$7</f>
        <v>56.955744422552563</v>
      </c>
      <c r="T49" s="11">
        <f>$J$3+[10]FormattedData!M46*$J$4+$M$4*$J$5+[10]FormattedData!M46^2*$J$6+$M$5*$J$7</f>
        <v>40.074965456472249</v>
      </c>
      <c r="U49" s="11">
        <f>$J$3+[10]FormattedData!N46*$J$4+$M$4*$J$5+[10]FormattedData!N46^2*$J$6+$M$5*$J$7</f>
        <v>59.481644399918792</v>
      </c>
      <c r="V49" s="11">
        <f>$J$3+[10]FormattedData!O46*$J$4+$M$4*$J$5+[10]FormattedData!O46^2*$J$6+$M$5*$J$7</f>
        <v>38.770759113121713</v>
      </c>
      <c r="W49" s="10">
        <f t="shared" si="9"/>
        <v>49.326664703827277</v>
      </c>
      <c r="X49" s="9">
        <f t="shared" si="10"/>
        <v>2.5416952470037999</v>
      </c>
      <c r="Y49" s="8">
        <f t="shared" si="11"/>
        <v>38.770759113121713</v>
      </c>
      <c r="Z49" s="7">
        <f t="shared" si="12"/>
        <v>40.74690785772728</v>
      </c>
      <c r="AA49" s="8">
        <f t="shared" si="13"/>
        <v>49.124231356488529</v>
      </c>
      <c r="AB49" s="7">
        <f t="shared" si="14"/>
        <v>57.293714605263467</v>
      </c>
      <c r="AC49" s="7">
        <f t="shared" si="15"/>
        <v>59.565185903493067</v>
      </c>
      <c r="AD49" s="7">
        <f t="shared" si="16"/>
        <v>8.8510264346591712E-3</v>
      </c>
      <c r="AE49" s="7">
        <f t="shared" si="17"/>
        <v>-2.2021480161544136</v>
      </c>
    </row>
    <row r="50" spans="2:31" ht="13.5" thickTop="1" x14ac:dyDescent="0.2">
      <c r="B50" s="1">
        <f>[10]FormattedData!A29</f>
        <v>101</v>
      </c>
      <c r="C50" s="1" t="str">
        <f>VLOOKUP($B50,[10]TrtCodes!$B$11:I72,2)</f>
        <v>FSH</v>
      </c>
      <c r="D50" s="1">
        <f>VLOOKUP($B50,[10]TrtCodes!$B$11:J72,3)</f>
        <v>1</v>
      </c>
      <c r="E50" s="1">
        <f>VLOOKUP($B50,[10]TrtCodes!$B$11:K72,4)</f>
        <v>1</v>
      </c>
      <c r="F50" s="1">
        <f>VLOOKUP($B50,[10]TrtCodes!$B$11:L72,5)</f>
        <v>1</v>
      </c>
      <c r="G50" s="1">
        <f>VLOOKUP($B50,[10]TrtCodes!$B$11:M72,6)</f>
        <v>2</v>
      </c>
      <c r="H50" s="1">
        <f>VLOOKUP($B50,[10]TrtCodes!$B$11:N72,7)</f>
        <v>1</v>
      </c>
      <c r="I50" s="1">
        <f>[10]FormattedData!B29</f>
        <v>2</v>
      </c>
      <c r="J50" s="4">
        <f>[10]FormattedData!C29</f>
        <v>12.986000000000001</v>
      </c>
      <c r="K50" s="6">
        <f>$J$3+[10]FormattedData!D29*$J$4+$M$4*$J$5+[10]FormattedData!D29^2*$J$6+$M$5*$J$7</f>
        <v>30.965467279628765</v>
      </c>
      <c r="L50" s="6">
        <f>$J$3+[10]FormattedData!E29*$J$4+$M$4*$J$5+[10]FormattedData!E29^2*$J$6+$M$5*$J$7</f>
        <v>31.546223420922889</v>
      </c>
      <c r="M50" s="6">
        <f>$J$3+[10]FormattedData!F29*$J$4+$M$4*$J$5+[10]FormattedData!F29^2*$J$6+$M$5*$J$7</f>
        <v>31.83603086630788</v>
      </c>
      <c r="N50" s="6">
        <f>$J$3+[10]FormattedData!G29*$J$4+$M$4*$J$5+[10]FormattedData!G29^2*$J$6+$M$5*$J$7</f>
        <v>31.64286817125582</v>
      </c>
      <c r="O50" s="6">
        <f>$J$3+[10]FormattedData!H29*$J$4+$M$4*$J$5+[10]FormattedData!H29^2*$J$6+$M$5*$J$7</f>
        <v>31.546223420922889</v>
      </c>
      <c r="P50" s="6">
        <f>$J$3+[10]FormattedData!I29*$J$4+$M$4*$J$5+[10]FormattedData!I29^2*$J$6+$M$5*$J$7</f>
        <v>30.868526649530317</v>
      </c>
      <c r="Q50" s="6">
        <f>$J$3+[10]FormattedData!J29*$J$4+$M$4*$J$5+[10]FormattedData!J29^2*$J$6+$M$5*$J$7</f>
        <v>32.895403488632155</v>
      </c>
      <c r="R50" s="6">
        <f>$J$3+[10]FormattedData!K29*$J$4+$M$4*$J$5+[10]FormattedData!K29^2*$J$6+$M$5*$J$7</f>
        <v>30.674518583719628</v>
      </c>
      <c r="S50" s="6">
        <f>$J$3+[10]FormattedData!L29*$J$4+$M$4*$J$5+[10]FormattedData!L29^2*$J$6+$M$5*$J$7</f>
        <v>33.471087405374547</v>
      </c>
      <c r="T50" s="6">
        <f>$J$3+[10]FormattedData!M29*$J$4+$M$4*$J$5+[10]FormattedData!M29^2*$J$6+$M$5*$J$7</f>
        <v>31.256035558696517</v>
      </c>
      <c r="U50" s="6">
        <f>$J$3+[10]FormattedData!N29*$J$4+$M$4*$J$5+[10]FormattedData!N29^2*$J$6+$M$5*$J$7</f>
        <v>33.27936184061214</v>
      </c>
      <c r="V50" s="6">
        <f>$J$3+[10]FormattedData!O29*$J$4+$M$4*$J$5+[10]FormattedData!O29^2*$J$6+$M$5*$J$7</f>
        <v>32.125457894851493</v>
      </c>
      <c r="W50" s="5">
        <f t="shared" si="9"/>
        <v>31.842267048371252</v>
      </c>
      <c r="X50" s="4">
        <f t="shared" si="10"/>
        <v>0.26893343085374732</v>
      </c>
      <c r="Y50" s="3">
        <f t="shared" si="11"/>
        <v>30.674518583719628</v>
      </c>
      <c r="Z50" s="2">
        <f t="shared" si="12"/>
        <v>31.183393488929578</v>
      </c>
      <c r="AA50" s="3">
        <f t="shared" si="13"/>
        <v>31.594545796089356</v>
      </c>
      <c r="AB50" s="2">
        <f t="shared" si="14"/>
        <v>32.317944293296662</v>
      </c>
      <c r="AC50" s="2">
        <f t="shared" si="15"/>
        <v>33.471087405374547</v>
      </c>
      <c r="AD50" s="2">
        <f t="shared" si="16"/>
        <v>0.67852618606118598</v>
      </c>
      <c r="AE50" s="2">
        <f t="shared" si="17"/>
        <v>-0.6809995222066747</v>
      </c>
    </row>
    <row r="51" spans="2:31" x14ac:dyDescent="0.2">
      <c r="B51" s="1">
        <f>[10]FormattedData!A27</f>
        <v>102</v>
      </c>
      <c r="C51" s="1" t="str">
        <f>VLOOKUP($B51,[10]TrtCodes!$B$11:I70,2)</f>
        <v>FTL</v>
      </c>
      <c r="D51" s="1">
        <f>VLOOKUP($B51,[10]TrtCodes!$B$11:J70,3)</f>
        <v>4</v>
      </c>
      <c r="E51" s="1">
        <f>VLOOKUP($B51,[10]TrtCodes!$B$11:K70,4)</f>
        <v>1</v>
      </c>
      <c r="F51" s="1">
        <f>VLOOKUP($B51,[10]TrtCodes!$B$11:L70,5)</f>
        <v>2</v>
      </c>
      <c r="G51" s="1">
        <f>VLOOKUP($B51,[10]TrtCodes!$B$11:M70,6)</f>
        <v>1</v>
      </c>
      <c r="H51" s="1">
        <f>VLOOKUP($B51,[10]TrtCodes!$B$11:N70,7)</f>
        <v>1</v>
      </c>
      <c r="I51" s="1">
        <f>[10]FormattedData!B27</f>
        <v>2</v>
      </c>
      <c r="J51" s="4">
        <f>[10]FormattedData!C27</f>
        <v>12.972</v>
      </c>
      <c r="K51" s="6">
        <f>$J$3+[10]FormattedData!D27*$J$4+$M$4*$J$5+[10]FormattedData!D27^2*$J$6+$M$5*$J$7</f>
        <v>30.383189470969114</v>
      </c>
      <c r="L51" s="6">
        <f>$J$3+[10]FormattedData!E27*$J$4+$M$4*$J$5+[10]FormattedData!E27^2*$J$6+$M$5*$J$7</f>
        <v>30.577451148007391</v>
      </c>
      <c r="M51" s="6">
        <f>$J$3+[10]FormattedData!F27*$J$4+$M$4*$J$5+[10]FormattedData!F27^2*$J$6+$M$5*$J$7</f>
        <v>30.285995229643085</v>
      </c>
      <c r="N51" s="6">
        <f>$J$3+[10]FormattedData!G27*$J$4+$M$4*$J$5+[10]FormattedData!G27^2*$J$6+$M$5*$J$7</f>
        <v>30.577451148007391</v>
      </c>
      <c r="O51" s="6">
        <f>$J$3+[10]FormattedData!H27*$J$4+$M$4*$J$5+[10]FormattedData!H27^2*$J$6+$M$5*$J$7</f>
        <v>31.062365641189277</v>
      </c>
      <c r="P51" s="6">
        <f>$J$3+[10]FormattedData!I27*$J$4+$M$4*$J$5+[10]FormattedData!I27^2*$J$6+$M$5*$J$7</f>
        <v>30.285995229643085</v>
      </c>
      <c r="Q51" s="6">
        <f>$J$3+[10]FormattedData!J27*$J$4+$M$4*$J$5+[10]FormattedData!J27^2*$J$6+$M$5*$J$7</f>
        <v>33.087467201698011</v>
      </c>
      <c r="R51" s="6">
        <f>$J$3+[10]FormattedData!K27*$J$4+$M$4*$J$5+[10]FormattedData!K27^2*$J$6+$M$5*$J$7</f>
        <v>32.31819790452424</v>
      </c>
      <c r="S51" s="6">
        <f>$J$3+[10]FormattedData!L27*$J$4+$M$4*$J$5+[10]FormattedData!L27^2*$J$6+$M$5*$J$7</f>
        <v>31.352807114643234</v>
      </c>
      <c r="T51" s="6">
        <f>$J$3+[10]FormattedData!M27*$J$4+$M$4*$J$5+[10]FormattedData!M27^2*$J$6+$M$5*$J$7</f>
        <v>30.674518583719628</v>
      </c>
      <c r="U51" s="6">
        <f>$J$3+[10]FormattedData!N27*$J$4+$M$4*$J$5+[10]FormattedData!N27^2*$J$6+$M$5*$J$7</f>
        <v>32.51076884004528</v>
      </c>
      <c r="V51" s="6">
        <f>$J$3+[10]FormattedData!O27*$J$4+$M$4*$J$5+[10]FormattedData!O27^2*$J$6+$M$5*$J$7</f>
        <v>30.383189470969114</v>
      </c>
      <c r="W51" s="5">
        <f t="shared" si="9"/>
        <v>31.124949748588236</v>
      </c>
      <c r="X51" s="4">
        <f t="shared" si="10"/>
        <v>0.28287150254404603</v>
      </c>
      <c r="Y51" s="3">
        <f t="shared" si="11"/>
        <v>30.285995229643085</v>
      </c>
      <c r="Z51" s="2">
        <f t="shared" si="12"/>
        <v>30.383189470969114</v>
      </c>
      <c r="AA51" s="3">
        <f t="shared" si="13"/>
        <v>30.625984865863508</v>
      </c>
      <c r="AB51" s="2">
        <f t="shared" si="14"/>
        <v>31.594154812113487</v>
      </c>
      <c r="AC51" s="2">
        <f t="shared" si="15"/>
        <v>33.087467201698011</v>
      </c>
      <c r="AD51" s="2">
        <f t="shared" si="16"/>
        <v>1.1030671923207247</v>
      </c>
      <c r="AE51" s="2">
        <f t="shared" si="17"/>
        <v>-0.21017053937031438</v>
      </c>
    </row>
    <row r="52" spans="2:31" x14ac:dyDescent="0.2">
      <c r="B52" s="1">
        <f>[10]FormattedData!A25</f>
        <v>103</v>
      </c>
      <c r="C52" s="1" t="str">
        <f>VLOOKUP($B52,[10]TrtCodes!$B$11:I68,2)</f>
        <v>FDH</v>
      </c>
      <c r="D52" s="1">
        <f>VLOOKUP($B52,[10]TrtCodes!$B$11:J68,3)</f>
        <v>5</v>
      </c>
      <c r="E52" s="1">
        <f>VLOOKUP($B52,[10]TrtCodes!$B$11:K68,4)</f>
        <v>1</v>
      </c>
      <c r="F52" s="1">
        <f>VLOOKUP($B52,[10]TrtCodes!$B$11:L68,5)</f>
        <v>3</v>
      </c>
      <c r="G52" s="1">
        <f>VLOOKUP($B52,[10]TrtCodes!$B$11:M68,6)</f>
        <v>2</v>
      </c>
      <c r="H52" s="1">
        <f>VLOOKUP($B52,[10]TrtCodes!$B$11:N68,7)</f>
        <v>1</v>
      </c>
      <c r="I52" s="1">
        <f>[10]FormattedData!B25</f>
        <v>2</v>
      </c>
      <c r="J52" s="4">
        <f>[10]FormattedData!C25</f>
        <v>12.958</v>
      </c>
      <c r="K52" s="6">
        <f>$J$3+[10]FormattedData!D25*$J$4+$M$4*$J$5+[10]FormattedData!D25^2*$J$6+$M$5*$J$7</f>
        <v>29.70194214239033</v>
      </c>
      <c r="L52" s="6">
        <f>$J$3+[10]FormattedData!E25*$J$4+$M$4*$J$5+[10]FormattedData!E25^2*$J$6+$M$5*$J$7</f>
        <v>30.577451148007391</v>
      </c>
      <c r="M52" s="6">
        <f>$J$3+[10]FormattedData!F25*$J$4+$M$4*$J$5+[10]FormattedData!F25^2*$J$6+$M$5*$J$7</f>
        <v>29.994158894437405</v>
      </c>
      <c r="N52" s="6">
        <f>$J$3+[10]FormattedData!G25*$J$4+$M$4*$J$5+[10]FormattedData!G25^2*$J$6+$M$5*$J$7</f>
        <v>28.725138847267917</v>
      </c>
      <c r="O52" s="6">
        <f>$J$3+[10]FormattedData!H25*$J$4+$M$4*$J$5+[10]FormattedData!H25^2*$J$6+$M$5*$J$7</f>
        <v>31.932548811027019</v>
      </c>
      <c r="P52" s="6">
        <f>$J$3+[10]FormattedData!I25*$J$4+$M$4*$J$5+[10]FormattedData!I25^2*$J$6+$M$5*$J$7</f>
        <v>29.214068851553264</v>
      </c>
      <c r="Q52" s="6">
        <f>$J$3+[10]FormattedData!J25*$J$4+$M$4*$J$5+[10]FormattedData!J25^2*$J$6+$M$5*$J$7</f>
        <v>31.449536402052033</v>
      </c>
      <c r="R52" s="6">
        <f>$J$3+[10]FormattedData!K25*$J$4+$M$4*$J$5+[10]FormattedData!K25^2*$J$6+$M$5*$J$7</f>
        <v>29.994158894437405</v>
      </c>
      <c r="S52" s="6">
        <f>$J$3+[10]FormattedData!L25*$J$4+$M$4*$J$5+[10]FormattedData!L25^2*$J$6+$M$5*$J$7</f>
        <v>29.89679557895964</v>
      </c>
      <c r="T52" s="6">
        <f>$J$3+[10]FormattedData!M25*$J$4+$M$4*$J$5+[10]FormattedData!M25^2*$J$6+$M$5*$J$7</f>
        <v>29.799389994943954</v>
      </c>
      <c r="U52" s="6">
        <f>$J$3+[10]FormattedData!N25*$J$4+$M$4*$J$5+[10]FormattedData!N25^2*$J$6+$M$5*$J$7</f>
        <v>30.868526649530317</v>
      </c>
      <c r="V52" s="6">
        <f>$J$3+[10]FormattedData!O25*$J$4+$M$4*$J$5+[10]FormattedData!O25^2*$J$6+$M$5*$J$7</f>
        <v>32.125457894851493</v>
      </c>
      <c r="W52" s="5">
        <f t="shared" si="9"/>
        <v>30.35659784245485</v>
      </c>
      <c r="X52" s="4">
        <f t="shared" si="10"/>
        <v>0.30523310818706373</v>
      </c>
      <c r="Y52" s="3">
        <f t="shared" si="11"/>
        <v>28.725138847267917</v>
      </c>
      <c r="Z52" s="2">
        <f t="shared" si="12"/>
        <v>29.775028031805547</v>
      </c>
      <c r="AA52" s="3">
        <f t="shared" si="13"/>
        <v>29.994158894437405</v>
      </c>
      <c r="AB52" s="2">
        <f t="shared" si="14"/>
        <v>31.013779087660744</v>
      </c>
      <c r="AC52" s="2">
        <f t="shared" si="15"/>
        <v>32.125457894851493</v>
      </c>
      <c r="AD52" s="2">
        <f t="shared" si="16"/>
        <v>0.40782094240424061</v>
      </c>
      <c r="AE52" s="2">
        <f t="shared" si="17"/>
        <v>-0.67947908022961911</v>
      </c>
    </row>
    <row r="53" spans="2:31" x14ac:dyDescent="0.2">
      <c r="B53" s="1">
        <f>[10]FormattedData!A23</f>
        <v>104</v>
      </c>
      <c r="C53" s="1" t="str">
        <f>VLOOKUP($B53,[10]TrtCodes!$B$11:I66,2)</f>
        <v>NTL</v>
      </c>
      <c r="D53" s="1">
        <f>VLOOKUP($B53,[10]TrtCodes!$B$11:J66,3)</f>
        <v>10</v>
      </c>
      <c r="E53" s="1">
        <f>VLOOKUP($B53,[10]TrtCodes!$B$11:K66,4)</f>
        <v>2</v>
      </c>
      <c r="F53" s="1">
        <f>VLOOKUP($B53,[10]TrtCodes!$B$11:L66,5)</f>
        <v>2</v>
      </c>
      <c r="G53" s="1">
        <f>VLOOKUP($B53,[10]TrtCodes!$B$11:M66,6)</f>
        <v>1</v>
      </c>
      <c r="H53" s="1">
        <f>VLOOKUP($B53,[10]TrtCodes!$B$11:N66,7)</f>
        <v>1</v>
      </c>
      <c r="I53" s="1">
        <f>[10]FormattedData!B23</f>
        <v>2</v>
      </c>
      <c r="J53" s="4">
        <f>[10]FormattedData!C23</f>
        <v>12.944000000000001</v>
      </c>
      <c r="K53" s="6">
        <f>$J$3+[10]FormattedData!D23*$J$4+$M$4*$J$5+[10]FormattedData!D23^2*$J$6+$M$5*$J$7</f>
        <v>32.31819790452424</v>
      </c>
      <c r="L53" s="6">
        <f>$J$3+[10]FormattedData!E23*$J$4+$M$4*$J$5+[10]FormattedData!E23^2*$J$6+$M$5*$J$7</f>
        <v>31.739470653050816</v>
      </c>
      <c r="M53" s="6">
        <f>$J$3+[10]FormattedData!F23*$J$4+$M$4*$J$5+[10]FormattedData!F23^2*$J$6+$M$5*$J$7</f>
        <v>31.64286817125582</v>
      </c>
      <c r="N53" s="6">
        <f>$J$3+[10]FormattedData!G23*$J$4+$M$4*$J$5+[10]FormattedData!G23^2*$J$6+$M$5*$J$7</f>
        <v>30.965467279628765</v>
      </c>
      <c r="O53" s="6">
        <f>$J$3+[10]FormattedData!H23*$J$4+$M$4*$J$5+[10]FormattedData!H23^2*$J$6+$M$5*$J$7</f>
        <v>33.662643895985219</v>
      </c>
      <c r="P53" s="6">
        <f>$J$3+[10]FormattedData!I23*$J$4+$M$4*$J$5+[10]FormattedData!I23^2*$J$6+$M$5*$J$7</f>
        <v>32.414504506553726</v>
      </c>
      <c r="Q53" s="6">
        <f>$J$3+[10]FormattedData!J23*$J$4+$M$4*$J$5+[10]FormattedData!J23^2*$J$6+$M$5*$J$7</f>
        <v>32.895403488632155</v>
      </c>
      <c r="R53" s="6">
        <f>$J$3+[10]FormattedData!K23*$J$4+$M$4*$J$5+[10]FormattedData!K23^2*$J$6+$M$5*$J$7</f>
        <v>31.159221734211858</v>
      </c>
      <c r="S53" s="6">
        <f>$J$3+[10]FormattedData!L23*$J$4+$M$4*$J$5+[10]FormattedData!L23^2*$J$6+$M$5*$J$7</f>
        <v>33.27936184061214</v>
      </c>
      <c r="T53" s="6">
        <f>$J$3+[10]FormattedData!M23*$J$4+$M$4*$J$5+[10]FormattedData!M23^2*$J$6+$M$5*$J$7</f>
        <v>33.183435655424034</v>
      </c>
      <c r="U53" s="6">
        <f>$J$3+[10]FormattedData!N23*$J$4+$M$4*$J$5+[10]FormattedData!N23^2*$J$6+$M$5*$J$7</f>
        <v>32.799308229292329</v>
      </c>
      <c r="V53" s="6">
        <f>$J$3+[10]FormattedData!O23*$J$4+$M$4*$J$5+[10]FormattedData!O23^2*$J$6+$M$5*$J$7</f>
        <v>33.183435655424034</v>
      </c>
      <c r="W53" s="5">
        <f t="shared" si="9"/>
        <v>32.436943251216256</v>
      </c>
      <c r="X53" s="4">
        <f t="shared" si="10"/>
        <v>0.25521007624822339</v>
      </c>
      <c r="Y53" s="3">
        <f t="shared" si="11"/>
        <v>30.965467279628765</v>
      </c>
      <c r="Z53" s="2">
        <f t="shared" si="12"/>
        <v>31.715320032602065</v>
      </c>
      <c r="AA53" s="3">
        <f t="shared" si="13"/>
        <v>32.606906367923031</v>
      </c>
      <c r="AB53" s="2">
        <f t="shared" si="14"/>
        <v>33.183435655424034</v>
      </c>
      <c r="AC53" s="2">
        <f t="shared" si="15"/>
        <v>33.662643895985219</v>
      </c>
      <c r="AD53" s="2">
        <f t="shared" si="16"/>
        <v>-0.42605037362565401</v>
      </c>
      <c r="AE53" s="2">
        <f t="shared" si="17"/>
        <v>-1.0846668578195469</v>
      </c>
    </row>
    <row r="54" spans="2:31" x14ac:dyDescent="0.2">
      <c r="B54" s="1">
        <f>[10]FormattedData!A21</f>
        <v>105</v>
      </c>
      <c r="C54" s="1" t="str">
        <f>VLOOKUP($B54,[10]TrtCodes!$B$11:I64,2)</f>
        <v>NDL</v>
      </c>
      <c r="D54" s="1">
        <f>VLOOKUP($B54,[10]TrtCodes!$B$11:J64,3)</f>
        <v>12</v>
      </c>
      <c r="E54" s="1">
        <f>VLOOKUP($B54,[10]TrtCodes!$B$11:K64,4)</f>
        <v>2</v>
      </c>
      <c r="F54" s="1">
        <f>VLOOKUP($B54,[10]TrtCodes!$B$11:L64,5)</f>
        <v>3</v>
      </c>
      <c r="G54" s="1">
        <f>VLOOKUP($B54,[10]TrtCodes!$B$11:M64,6)</f>
        <v>1</v>
      </c>
      <c r="H54" s="1">
        <f>VLOOKUP($B54,[10]TrtCodes!$B$11:N64,7)</f>
        <v>2</v>
      </c>
      <c r="I54" s="1">
        <f>[10]FormattedData!B21</f>
        <v>2</v>
      </c>
      <c r="J54" s="4">
        <f>[10]FormattedData!C21</f>
        <v>12.929</v>
      </c>
      <c r="K54" s="6">
        <f>$J$3+[10]FormattedData!D21*$J$4+$M$4*$J$5+[10]FormattedData!D21^2*$J$6+$M$5*$J$7</f>
        <v>31.159221734211858</v>
      </c>
      <c r="L54" s="6">
        <f>$J$3+[10]FormattedData!E21*$J$4+$M$4*$J$5+[10]FormattedData!E21^2*$J$6+$M$5*$J$7</f>
        <v>29.01862365545292</v>
      </c>
      <c r="M54" s="6">
        <f>$J$3+[10]FormattedData!F21*$J$4+$M$4*$J$5+[10]FormattedData!F21^2*$J$6+$M$5*$J$7</f>
        <v>28.137027980373777</v>
      </c>
      <c r="N54" s="6">
        <f>$J$3+[10]FormattedData!G21*$J$4+$M$4*$J$5+[10]FormattedData!G21^2*$J$6+$M$5*$J$7</f>
        <v>30.383189470969114</v>
      </c>
      <c r="O54" s="6">
        <f>$J$3+[10]FormattedData!H21*$J$4+$M$4*$J$5+[10]FormattedData!H21^2*$J$6+$M$5*$J$7</f>
        <v>30.868526649530317</v>
      </c>
      <c r="P54" s="6">
        <f>$J$3+[10]FormattedData!I21*$J$4+$M$4*$J$5+[10]FormattedData!I21^2*$J$6+$M$5*$J$7</f>
        <v>30.77154375089394</v>
      </c>
      <c r="Q54" s="6">
        <f>$J$3+[10]FormattedData!J21*$J$4+$M$4*$J$5+[10]FormattedData!J21^2*$J$6+$M$5*$J$7</f>
        <v>29.89679557895964</v>
      </c>
      <c r="R54" s="6">
        <f>$J$3+[10]FormattedData!K21*$J$4+$M$4*$J$5+[10]FormattedData!K21^2*$J$6+$M$5*$J$7</f>
        <v>30.091479941377226</v>
      </c>
      <c r="S54" s="6">
        <f>$J$3+[10]FormattedData!L21*$J$4+$M$4*$J$5+[10]FormattedData!L21^2*$J$6+$M$5*$J$7</f>
        <v>31.062365641189277</v>
      </c>
      <c r="T54" s="6">
        <f>$J$3+[10]FormattedData!M21*$J$4+$M$4*$J$5+[10]FormattedData!M21^2*$J$6+$M$5*$J$7</f>
        <v>29.604452021298783</v>
      </c>
      <c r="U54" s="6">
        <f>$J$3+[10]FormattedData!N21*$J$4+$M$4*$J$5+[10]FormattedData!N21^2*$J$6+$M$5*$J$7</f>
        <v>30.188758719779116</v>
      </c>
      <c r="V54" s="6">
        <f>$J$3+[10]FormattedData!O21*$J$4+$M$4*$J$5+[10]FormattedData!O21^2*$J$6+$M$5*$J$7</f>
        <v>30.868526649530317</v>
      </c>
      <c r="W54" s="5">
        <f t="shared" si="9"/>
        <v>30.170875982797199</v>
      </c>
      <c r="X54" s="4">
        <f t="shared" si="10"/>
        <v>0.26137305923326687</v>
      </c>
      <c r="Y54" s="3">
        <f t="shared" si="11"/>
        <v>28.137027980373777</v>
      </c>
      <c r="Z54" s="2">
        <f t="shared" si="12"/>
        <v>29.823709689544426</v>
      </c>
      <c r="AA54" s="3">
        <f t="shared" si="13"/>
        <v>30.285974095374115</v>
      </c>
      <c r="AB54" s="2">
        <f t="shared" si="14"/>
        <v>30.868526649530317</v>
      </c>
      <c r="AC54" s="2">
        <f t="shared" si="15"/>
        <v>31.159221734211858</v>
      </c>
      <c r="AD54" s="2">
        <f t="shared" si="16"/>
        <v>-1.1120426905372918</v>
      </c>
      <c r="AE54" s="2">
        <f t="shared" si="17"/>
        <v>0.93132366814477408</v>
      </c>
    </row>
    <row r="55" spans="2:31" x14ac:dyDescent="0.2">
      <c r="B55" s="1">
        <f>[10]FormattedData!A19</f>
        <v>106</v>
      </c>
      <c r="C55" s="1" t="str">
        <f>VLOOKUP($B55,[10]TrtCodes!$B$11:I62,2)</f>
        <v>NTH</v>
      </c>
      <c r="D55" s="1">
        <f>VLOOKUP($B55,[10]TrtCodes!$B$11:J62,3)</f>
        <v>9</v>
      </c>
      <c r="E55" s="1">
        <f>VLOOKUP($B55,[10]TrtCodes!$B$11:K62,4)</f>
        <v>2</v>
      </c>
      <c r="F55" s="1">
        <f>VLOOKUP($B55,[10]TrtCodes!$B$11:L62,5)</f>
        <v>2</v>
      </c>
      <c r="G55" s="1">
        <f>VLOOKUP($B55,[10]TrtCodes!$B$11:M62,6)</f>
        <v>2</v>
      </c>
      <c r="H55" s="1">
        <f>VLOOKUP($B55,[10]TrtCodes!$B$11:N62,7)</f>
        <v>2</v>
      </c>
      <c r="I55" s="1">
        <f>[10]FormattedData!B19</f>
        <v>2</v>
      </c>
      <c r="J55" s="4">
        <f>[10]FormattedData!C19</f>
        <v>12.913</v>
      </c>
      <c r="K55" s="6">
        <f>$J$3+[10]FormattedData!D19*$J$4+$M$4*$J$5+[10]FormattedData!D19^2*$J$6+$M$5*$J$7</f>
        <v>29.70194214239033</v>
      </c>
      <c r="L55" s="6">
        <f>$J$3+[10]FormattedData!E19*$J$4+$M$4*$J$5+[10]FormattedData!E19^2*$J$6+$M$5*$J$7</f>
        <v>29.70194214239033</v>
      </c>
      <c r="M55" s="6">
        <f>$J$3+[10]FormattedData!F19*$J$4+$M$4*$J$5+[10]FormattedData!F19^2*$J$6+$M$5*$J$7</f>
        <v>29.994158894437405</v>
      </c>
      <c r="N55" s="6">
        <f>$J$3+[10]FormattedData!G19*$J$4+$M$4*$J$5+[10]FormattedData!G19^2*$J$6+$M$5*$J$7</f>
        <v>30.868526649530317</v>
      </c>
      <c r="O55" s="6">
        <f>$J$3+[10]FormattedData!H19*$J$4+$M$4*$J$5+[10]FormattedData!H19^2*$J$6+$M$5*$J$7</f>
        <v>30.188758719779116</v>
      </c>
      <c r="P55" s="6">
        <f>$J$3+[10]FormattedData!I19*$J$4+$M$4*$J$5+[10]FormattedData!I19^2*$J$6+$M$5*$J$7</f>
        <v>30.188758719779116</v>
      </c>
      <c r="Q55" s="6">
        <f>$J$3+[10]FormattedData!J19*$J$4+$M$4*$J$5+[10]FormattedData!J19^2*$J$6+$M$5*$J$7</f>
        <v>29.116367387772058</v>
      </c>
      <c r="R55" s="6">
        <f>$J$3+[10]FormattedData!K19*$J$4+$M$4*$J$5+[10]FormattedData!K19^2*$J$6+$M$5*$J$7</f>
        <v>29.70194214239033</v>
      </c>
      <c r="S55" s="6">
        <f>$J$3+[10]FormattedData!L19*$J$4+$M$4*$J$5+[10]FormattedData!L19^2*$J$6+$M$5*$J$7</f>
        <v>30.091479941377226</v>
      </c>
      <c r="T55" s="6">
        <f>$J$3+[10]FormattedData!M19*$J$4+$M$4*$J$5+[10]FormattedData!M19^2*$J$6+$M$5*$J$7</f>
        <v>29.409344973501884</v>
      </c>
      <c r="U55" s="6">
        <f>$J$3+[10]FormattedData!N19*$J$4+$M$4*$J$5+[10]FormattedData!N19^2*$J$6+$M$5*$J$7</f>
        <v>29.89679557895964</v>
      </c>
      <c r="V55" s="6">
        <f>$J$3+[10]FormattedData!O19*$J$4+$M$4*$J$5+[10]FormattedData!O19^2*$J$6+$M$5*$J$7</f>
        <v>31.739470653050816</v>
      </c>
      <c r="W55" s="5">
        <f t="shared" si="9"/>
        <v>30.049957328779882</v>
      </c>
      <c r="X55" s="4">
        <f t="shared" si="10"/>
        <v>0.19917741539111053</v>
      </c>
      <c r="Y55" s="3">
        <f t="shared" si="11"/>
        <v>29.116367387772058</v>
      </c>
      <c r="Z55" s="2">
        <f t="shared" si="12"/>
        <v>29.70194214239033</v>
      </c>
      <c r="AA55" s="3">
        <f t="shared" si="13"/>
        <v>29.945477236698522</v>
      </c>
      <c r="AB55" s="2">
        <f t="shared" si="14"/>
        <v>30.188758719779116</v>
      </c>
      <c r="AC55" s="2">
        <f t="shared" si="15"/>
        <v>31.739470653050816</v>
      </c>
      <c r="AD55" s="2">
        <f t="shared" si="16"/>
        <v>1.3848539193667002</v>
      </c>
      <c r="AE55" s="2">
        <f t="shared" si="17"/>
        <v>2.6207991972962654</v>
      </c>
    </row>
    <row r="56" spans="2:31" x14ac:dyDescent="0.2">
      <c r="B56" s="1">
        <f>[10]FormattedData!A17</f>
        <v>107</v>
      </c>
      <c r="C56" s="1" t="str">
        <f>VLOOKUP($B56,[10]TrtCodes!$B$11:I60,2)</f>
        <v>NTL</v>
      </c>
      <c r="D56" s="1">
        <f>VLOOKUP($B56,[10]TrtCodes!$B$11:J60,3)</f>
        <v>10</v>
      </c>
      <c r="E56" s="1">
        <f>VLOOKUP($B56,[10]TrtCodes!$B$11:K60,4)</f>
        <v>2</v>
      </c>
      <c r="F56" s="1">
        <f>VLOOKUP($B56,[10]TrtCodes!$B$11:L60,5)</f>
        <v>2</v>
      </c>
      <c r="G56" s="1">
        <f>VLOOKUP($B56,[10]TrtCodes!$B$11:M60,6)</f>
        <v>1</v>
      </c>
      <c r="H56" s="1">
        <f>VLOOKUP($B56,[10]TrtCodes!$B$11:N60,7)</f>
        <v>2</v>
      </c>
      <c r="I56" s="1">
        <f>[10]FormattedData!B17</f>
        <v>2</v>
      </c>
      <c r="J56" s="4">
        <f>[10]FormattedData!C17</f>
        <v>12.898</v>
      </c>
      <c r="K56" s="6">
        <f>$J$3+[10]FormattedData!D17*$J$4+$M$4*$J$5+[10]FormattedData!D17^2*$J$6+$M$5*$J$7</f>
        <v>28.333234010156879</v>
      </c>
      <c r="L56" s="6">
        <f>$J$3+[10]FormattedData!E17*$J$4+$M$4*$J$5+[10]FormattedData!E17^2*$J$6+$M$5*$J$7</f>
        <v>29.116367387772058</v>
      </c>
      <c r="M56" s="6">
        <f>$J$3+[10]FormattedData!F17*$J$4+$M$4*$J$5+[10]FormattedData!F17^2*$J$6+$M$5*$J$7</f>
        <v>29.311728046796542</v>
      </c>
      <c r="N56" s="6">
        <f>$J$3+[10]FormattedData!G17*$J$4+$M$4*$J$5+[10]FormattedData!G17^2*$J$6+$M$5*$J$7</f>
        <v>28.725138847267917</v>
      </c>
      <c r="O56" s="6">
        <f>$J$3+[10]FormattedData!H17*$J$4+$M$4*$J$5+[10]FormattedData!H17^2*$J$6+$M$5*$J$7</f>
        <v>30.285995229643085</v>
      </c>
      <c r="P56" s="6">
        <f>$J$3+[10]FormattedData!I17*$J$4+$M$4*$J$5+[10]FormattedData!I17^2*$J$6+$M$5*$J$7</f>
        <v>28.333234010156879</v>
      </c>
      <c r="Q56" s="6">
        <f>$J$3+[10]FormattedData!J17*$J$4+$M$4*$J$5+[10]FormattedData!J17^2*$J$6+$M$5*$J$7</f>
        <v>29.409344973501884</v>
      </c>
      <c r="R56" s="6">
        <f>$J$3+[10]FormattedData!K17*$J$4+$M$4*$J$5+[10]FormattedData!K17^2*$J$6+$M$5*$J$7</f>
        <v>29.799389994943954</v>
      </c>
      <c r="S56" s="6">
        <f>$J$3+[10]FormattedData!L17*$J$4+$M$4*$J$5+[10]FormattedData!L17^2*$J$6+$M$5*$J$7</f>
        <v>29.409344973501884</v>
      </c>
      <c r="T56" s="6">
        <f>$J$3+[10]FormattedData!M17*$J$4+$M$4*$J$5+[10]FormattedData!M17^2*$J$6+$M$5*$J$7</f>
        <v>28.92083765459585</v>
      </c>
      <c r="U56" s="6">
        <f>$J$3+[10]FormattedData!N17*$J$4+$M$4*$J$5+[10]FormattedData!N17^2*$J$6+$M$5*$J$7</f>
        <v>29.01862365545292</v>
      </c>
      <c r="V56" s="6">
        <f>$J$3+[10]FormattedData!O17*$J$4+$M$4*$J$5+[10]FormattedData!O17^2*$J$6+$M$5*$J$7</f>
        <v>30.383189470969114</v>
      </c>
      <c r="W56" s="5">
        <f t="shared" si="9"/>
        <v>29.253869021229914</v>
      </c>
      <c r="X56" s="4">
        <f t="shared" si="10"/>
        <v>0.19167890108384433</v>
      </c>
      <c r="Y56" s="3">
        <f t="shared" si="11"/>
        <v>28.333234010156879</v>
      </c>
      <c r="Z56" s="2">
        <f t="shared" si="12"/>
        <v>28.871912952763868</v>
      </c>
      <c r="AA56" s="3">
        <f t="shared" si="13"/>
        <v>29.214047717284302</v>
      </c>
      <c r="AB56" s="2">
        <f t="shared" si="14"/>
        <v>29.506856228862404</v>
      </c>
      <c r="AC56" s="2">
        <f t="shared" si="15"/>
        <v>30.383189470969114</v>
      </c>
      <c r="AD56" s="2">
        <f t="shared" si="16"/>
        <v>0.35359776505628421</v>
      </c>
      <c r="AE56" s="2">
        <f t="shared" si="17"/>
        <v>-0.48130147288928304</v>
      </c>
    </row>
    <row r="57" spans="2:31" x14ac:dyDescent="0.2">
      <c r="B57" s="1">
        <f>[10]FormattedData!A15</f>
        <v>108</v>
      </c>
      <c r="C57" s="1" t="str">
        <f>VLOOKUP($B57,[10]TrtCodes!$B$11:I58,2)</f>
        <v>FTH</v>
      </c>
      <c r="D57" s="1">
        <f>VLOOKUP($B57,[10]TrtCodes!$B$11:J58,3)</f>
        <v>3</v>
      </c>
      <c r="E57" s="1">
        <f>VLOOKUP($B57,[10]TrtCodes!$B$11:K58,4)</f>
        <v>1</v>
      </c>
      <c r="F57" s="1">
        <f>VLOOKUP($B57,[10]TrtCodes!$B$11:L58,5)</f>
        <v>2</v>
      </c>
      <c r="G57" s="1">
        <f>VLOOKUP($B57,[10]TrtCodes!$B$11:M58,6)</f>
        <v>2</v>
      </c>
      <c r="H57" s="1">
        <f>VLOOKUP($B57,[10]TrtCodes!$B$11:N58,7)</f>
        <v>2</v>
      </c>
      <c r="I57" s="1">
        <f>[10]FormattedData!B15</f>
        <v>2</v>
      </c>
      <c r="J57" s="4">
        <f>[10]FormattedData!C15</f>
        <v>12.882999999999999</v>
      </c>
      <c r="K57" s="6">
        <f>$J$3+[10]FormattedData!D15*$J$4+$M$4*$J$5+[10]FormattedData!D15^2*$J$6+$M$5*$J$7</f>
        <v>29.116367387772058</v>
      </c>
      <c r="L57" s="6">
        <f>$J$3+[10]FormattedData!E15*$J$4+$M$4*$J$5+[10]FormattedData!E15^2*$J$6+$M$5*$J$7</f>
        <v>29.214068851553264</v>
      </c>
      <c r="M57" s="6">
        <f>$J$3+[10]FormattedData!F15*$J$4+$M$4*$J$5+[10]FormattedData!F15^2*$J$6+$M$5*$J$7</f>
        <v>30.188758719779116</v>
      </c>
      <c r="N57" s="6">
        <f>$J$3+[10]FormattedData!G15*$J$4+$M$4*$J$5+[10]FormattedData!G15^2*$J$6+$M$5*$J$7</f>
        <v>29.116367387772058</v>
      </c>
      <c r="O57" s="6">
        <f>$J$3+[10]FormattedData!H15*$J$4+$M$4*$J$5+[10]FormattedData!H15^2*$J$6+$M$5*$J$7</f>
        <v>29.409344973501884</v>
      </c>
      <c r="P57" s="6">
        <f>$J$3+[10]FormattedData!I15*$J$4+$M$4*$J$5+[10]FormattedData!I15^2*$J$6+$M$5*$J$7</f>
        <v>29.70194214239033</v>
      </c>
      <c r="Q57" s="6">
        <f>$J$3+[10]FormattedData!J15*$J$4+$M$4*$J$5+[10]FormattedData!J15^2*$J$6+$M$5*$J$7</f>
        <v>31.159221734211858</v>
      </c>
      <c r="R57" s="6">
        <f>$J$3+[10]FormattedData!K15*$J$4+$M$4*$J$5+[10]FormattedData!K15^2*$J$6+$M$5*$J$7</f>
        <v>28.823009385200848</v>
      </c>
      <c r="S57" s="6">
        <f>$J$3+[10]FormattedData!L15*$J$4+$M$4*$J$5+[10]FormattedData!L15^2*$J$6+$M$5*$J$7</f>
        <v>30.383189470969114</v>
      </c>
      <c r="T57" s="6">
        <f>$J$3+[10]FormattedData!M15*$J$4+$M$4*$J$5+[10]FormattedData!M15^2*$J$6+$M$5*$J$7</f>
        <v>29.409344973501884</v>
      </c>
      <c r="U57" s="6">
        <f>$J$3+[10]FormattedData!N15*$J$4+$M$4*$J$5+[10]FormattedData!N15^2*$J$6+$M$5*$J$7</f>
        <v>30.868526649530317</v>
      </c>
      <c r="V57" s="6">
        <f>$J$3+[10]FormattedData!O15*$J$4+$M$4*$J$5+[10]FormattedData!O15^2*$J$6+$M$5*$J$7</f>
        <v>29.994158894437405</v>
      </c>
      <c r="W57" s="5">
        <f t="shared" si="9"/>
        <v>29.782025047551681</v>
      </c>
      <c r="X57" s="4">
        <f t="shared" si="10"/>
        <v>0.21429355089511384</v>
      </c>
      <c r="Y57" s="3">
        <f t="shared" si="11"/>
        <v>28.823009385200848</v>
      </c>
      <c r="Z57" s="2">
        <f t="shared" si="12"/>
        <v>29.189643485607963</v>
      </c>
      <c r="AA57" s="3">
        <f t="shared" si="13"/>
        <v>29.555643557946105</v>
      </c>
      <c r="AB57" s="2">
        <f t="shared" si="14"/>
        <v>30.237366407576616</v>
      </c>
      <c r="AC57" s="2">
        <f t="shared" si="15"/>
        <v>31.159221734211858</v>
      </c>
      <c r="AD57" s="2">
        <f t="shared" si="16"/>
        <v>0.64792762781701674</v>
      </c>
      <c r="AE57" s="2">
        <f t="shared" si="17"/>
        <v>-0.64375851814790197</v>
      </c>
    </row>
    <row r="58" spans="2:31" x14ac:dyDescent="0.2">
      <c r="B58" s="1">
        <f>[10]FormattedData!A31</f>
        <v>201</v>
      </c>
      <c r="C58" s="1" t="str">
        <f>VLOOKUP($B58,[10]TrtCodes!$B$11:I74,2)</f>
        <v>NDL</v>
      </c>
      <c r="D58" s="1">
        <f>VLOOKUP($B58,[10]TrtCodes!$B$11:J74,3)</f>
        <v>12</v>
      </c>
      <c r="E58" s="1">
        <f>VLOOKUP($B58,[10]TrtCodes!$B$11:K74,4)</f>
        <v>2</v>
      </c>
      <c r="F58" s="1">
        <f>VLOOKUP($B58,[10]TrtCodes!$B$11:L74,5)</f>
        <v>3</v>
      </c>
      <c r="G58" s="1">
        <f>VLOOKUP($B58,[10]TrtCodes!$B$11:M74,6)</f>
        <v>1</v>
      </c>
      <c r="H58" s="1">
        <f>VLOOKUP($B58,[10]TrtCodes!$B$11:N74,7)</f>
        <v>1</v>
      </c>
      <c r="I58" s="1">
        <f>[10]FormattedData!B31</f>
        <v>2</v>
      </c>
      <c r="J58" s="4">
        <f>[10]FormattedData!C31</f>
        <v>13.005000000000001</v>
      </c>
      <c r="K58" s="6">
        <f>$J$3+[10]FormattedData!D31*$J$4+$M$4*$J$5+[10]FormattedData!D31^2*$J$6+$M$5*$J$7</f>
        <v>30.77154375089394</v>
      </c>
      <c r="L58" s="6">
        <f>$J$3+[10]FormattedData!E31*$J$4+$M$4*$J$5+[10]FormattedData!E31^2*$J$6+$M$5*$J$7</f>
        <v>31.352807114643234</v>
      </c>
      <c r="M58" s="6">
        <f>$J$3+[10]FormattedData!F31*$J$4+$M$4*$J$5+[10]FormattedData!F31^2*$J$6+$M$5*$J$7</f>
        <v>32.125457894851493</v>
      </c>
      <c r="N58" s="6">
        <f>$J$3+[10]FormattedData!G31*$J$4+$M$4*$J$5+[10]FormattedData!G31^2*$J$6+$M$5*$J$7</f>
        <v>30.188758719779116</v>
      </c>
      <c r="O58" s="6">
        <f>$J$3+[10]FormattedData!H31*$J$4+$M$4*$J$5+[10]FormattedData!H31^2*$J$6+$M$5*$J$7</f>
        <v>30.868526649530317</v>
      </c>
      <c r="P58" s="6">
        <f>$J$3+[10]FormattedData!I31*$J$4+$M$4*$J$5+[10]FormattedData!I31^2*$J$6+$M$5*$J$7</f>
        <v>29.409344973501884</v>
      </c>
      <c r="Q58" s="6">
        <f>$J$3+[10]FormattedData!J31*$J$4+$M$4*$J$5+[10]FormattedData!J31^2*$J$6+$M$5*$J$7</f>
        <v>30.188758719779116</v>
      </c>
      <c r="R58" s="6">
        <f>$J$3+[10]FormattedData!K31*$J$4+$M$4*$J$5+[10]FormattedData!K31^2*$J$6+$M$5*$J$7</f>
        <v>31.062365641189277</v>
      </c>
      <c r="S58" s="6">
        <f>$J$3+[10]FormattedData!L31*$J$4+$M$4*$J$5+[10]FormattedData!L31^2*$J$6+$M$5*$J$7</f>
        <v>29.799389994943954</v>
      </c>
      <c r="T58" s="6">
        <f>$J$3+[10]FormattedData!M31*$J$4+$M$4*$J$5+[10]FormattedData!M31^2*$J$6+$M$5*$J$7</f>
        <v>29.506919631669298</v>
      </c>
      <c r="U58" s="6">
        <f>$J$3+[10]FormattedData!N31*$J$4+$M$4*$J$5+[10]FormattedData!N31^2*$J$6+$M$5*$J$7</f>
        <v>31.352807114643234</v>
      </c>
      <c r="V58" s="6">
        <f>$J$3+[10]FormattedData!O31*$J$4+$M$4*$J$5+[10]FormattedData!O31^2*$J$6+$M$5*$J$7</f>
        <v>29.409344973501884</v>
      </c>
      <c r="W58" s="5">
        <f t="shared" si="9"/>
        <v>30.503002098243893</v>
      </c>
      <c r="X58" s="4">
        <f t="shared" si="10"/>
        <v>0.25631760336131792</v>
      </c>
      <c r="Y58" s="3">
        <f t="shared" si="11"/>
        <v>29.409344973501884</v>
      </c>
      <c r="Z58" s="2">
        <f t="shared" si="12"/>
        <v>29.726272404125289</v>
      </c>
      <c r="AA58" s="3">
        <f t="shared" si="13"/>
        <v>30.480151235336528</v>
      </c>
      <c r="AB58" s="2">
        <f t="shared" si="14"/>
        <v>31.134976009552766</v>
      </c>
      <c r="AC58" s="2">
        <f t="shared" si="15"/>
        <v>32.125457894851493</v>
      </c>
      <c r="AD58" s="2">
        <f t="shared" si="16"/>
        <v>0.26907630545317612</v>
      </c>
      <c r="AE58" s="2">
        <f t="shared" si="17"/>
        <v>-0.93946967482787036</v>
      </c>
    </row>
    <row r="59" spans="2:31" x14ac:dyDescent="0.2">
      <c r="B59" s="1">
        <f>[10]FormattedData!A33</f>
        <v>202</v>
      </c>
      <c r="C59" s="1" t="str">
        <f>VLOOKUP($B59,[10]TrtCodes!$B$11:I76,2)</f>
        <v>NTH</v>
      </c>
      <c r="D59" s="1">
        <f>VLOOKUP($B59,[10]TrtCodes!$B$11:J76,3)</f>
        <v>9</v>
      </c>
      <c r="E59" s="1">
        <f>VLOOKUP($B59,[10]TrtCodes!$B$11:K76,4)</f>
        <v>2</v>
      </c>
      <c r="F59" s="1">
        <f>VLOOKUP($B59,[10]TrtCodes!$B$11:L76,5)</f>
        <v>2</v>
      </c>
      <c r="G59" s="1">
        <f>VLOOKUP($B59,[10]TrtCodes!$B$11:M76,6)</f>
        <v>2</v>
      </c>
      <c r="H59" s="1">
        <f>VLOOKUP($B59,[10]TrtCodes!$B$11:N76,7)</f>
        <v>1</v>
      </c>
      <c r="I59" s="1">
        <f>[10]FormattedData!B33</f>
        <v>2</v>
      </c>
      <c r="J59" s="4">
        <f>[10]FormattedData!C33</f>
        <v>13.019</v>
      </c>
      <c r="K59" s="6">
        <f>$J$3+[10]FormattedData!D33*$J$4+$M$4*$J$5+[10]FormattedData!D33^2*$J$6+$M$5*$J$7</f>
        <v>31.449536402052033</v>
      </c>
      <c r="L59" s="6">
        <f>$J$3+[10]FormattedData!E33*$J$4+$M$4*$J$5+[10]FormattedData!E33^2*$J$6+$M$5*$J$7</f>
        <v>31.739470653050816</v>
      </c>
      <c r="M59" s="6">
        <f>$J$3+[10]FormattedData!F33*$J$4+$M$4*$J$5+[10]FormattedData!F33^2*$J$6+$M$5*$J$7</f>
        <v>32.029024487208225</v>
      </c>
      <c r="N59" s="6">
        <f>$J$3+[10]FormattedData!G33*$J$4+$M$4*$J$5+[10]FormattedData!G33^2*$J$6+$M$5*$J$7</f>
        <v>31.546223420922889</v>
      </c>
      <c r="O59" s="6">
        <f>$J$3+[10]FormattedData!H33*$J$4+$M$4*$J$5+[10]FormattedData!H33^2*$J$6+$M$5*$J$7</f>
        <v>34.903639902506363</v>
      </c>
      <c r="P59" s="6">
        <f>$J$3+[10]FormattedData!I33*$J$4+$M$4*$J$5+[10]FormattedData!I33^2*$J$6+$M$5*$J$7</f>
        <v>34.617890236762754</v>
      </c>
      <c r="Q59" s="6">
        <f>$J$3+[10]FormattedData!J33*$J$4+$M$4*$J$5+[10]FormattedData!J33^2*$J$6+$M$5*$J$7</f>
        <v>34.045249654751416</v>
      </c>
      <c r="R59" s="6">
        <f>$J$3+[10]FormattedData!K33*$J$4+$M$4*$J$5+[10]FormattedData!K33^2*$J$6+$M$5*$J$7</f>
        <v>33.471087405374547</v>
      </c>
      <c r="S59" s="6">
        <f>$J$3+[10]FormattedData!L33*$J$4+$M$4*$J$5+[10]FormattedData!L33^2*$J$6+$M$5*$J$7</f>
        <v>34.045249654751416</v>
      </c>
      <c r="T59" s="6">
        <f>$J$3+[10]FormattedData!M33*$J$4+$M$4*$J$5+[10]FormattedData!M33^2*$J$6+$M$5*$J$7</f>
        <v>32.895403488632155</v>
      </c>
      <c r="U59" s="6">
        <f>$J$3+[10]FormattedData!N33*$J$4+$M$4*$J$5+[10]FormattedData!N33^2*$J$6+$M$5*$J$7</f>
        <v>33.27936184061214</v>
      </c>
      <c r="V59" s="6">
        <f>$J$3+[10]FormattedData!O33*$J$4+$M$4*$J$5+[10]FormattedData!O33^2*$J$6+$M$5*$J$7</f>
        <v>31.449536402052033</v>
      </c>
      <c r="W59" s="5">
        <f t="shared" si="9"/>
        <v>32.955972795723063</v>
      </c>
      <c r="X59" s="4">
        <f t="shared" si="10"/>
        <v>0.37098581012219045</v>
      </c>
      <c r="Y59" s="3">
        <f t="shared" si="11"/>
        <v>31.449536402052033</v>
      </c>
      <c r="Z59" s="2">
        <f t="shared" si="12"/>
        <v>31.691158845018833</v>
      </c>
      <c r="AA59" s="3">
        <f t="shared" si="13"/>
        <v>33.087382664622147</v>
      </c>
      <c r="AB59" s="2">
        <f t="shared" si="14"/>
        <v>34.045249654751416</v>
      </c>
      <c r="AC59" s="2">
        <f t="shared" si="15"/>
        <v>34.903639902506363</v>
      </c>
      <c r="AD59" s="2">
        <f t="shared" si="16"/>
        <v>0.1283874795637327</v>
      </c>
      <c r="AE59" s="2">
        <f t="shared" si="17"/>
        <v>-1.6016233340197186</v>
      </c>
    </row>
    <row r="60" spans="2:31" x14ac:dyDescent="0.2">
      <c r="B60" s="1">
        <f>[10]FormattedData!A35</f>
        <v>203</v>
      </c>
      <c r="C60" s="1" t="str">
        <f>VLOOKUP($B60,[10]TrtCodes!$B$11:I78,2)</f>
        <v>FTH</v>
      </c>
      <c r="D60" s="1">
        <f>VLOOKUP($B60,[10]TrtCodes!$B$11:J78,3)</f>
        <v>3</v>
      </c>
      <c r="E60" s="1">
        <f>VLOOKUP($B60,[10]TrtCodes!$B$11:K78,4)</f>
        <v>1</v>
      </c>
      <c r="F60" s="1">
        <f>VLOOKUP($B60,[10]TrtCodes!$B$11:L78,5)</f>
        <v>2</v>
      </c>
      <c r="G60" s="1">
        <f>VLOOKUP($B60,[10]TrtCodes!$B$11:M78,6)</f>
        <v>2</v>
      </c>
      <c r="H60" s="1">
        <f>VLOOKUP($B60,[10]TrtCodes!$B$11:N78,7)</f>
        <v>1</v>
      </c>
      <c r="I60" s="1">
        <f>[10]FormattedData!B35</f>
        <v>2</v>
      </c>
      <c r="J60" s="4">
        <f>[10]FormattedData!C35</f>
        <v>13.032999999999999</v>
      </c>
      <c r="K60" s="6">
        <f>$J$3+[10]FormattedData!D35*$J$4+$M$4*$J$5+[10]FormattedData!D35^2*$J$6+$M$5*$J$7</f>
        <v>30.091479941377226</v>
      </c>
      <c r="L60" s="6">
        <f>$J$3+[10]FormattedData!E35*$J$4+$M$4*$J$5+[10]FormattedData!E35^2*$J$6+$M$5*$J$7</f>
        <v>30.965467279628765</v>
      </c>
      <c r="M60" s="6">
        <f>$J$3+[10]FormattedData!F35*$J$4+$M$4*$J$5+[10]FormattedData!F35^2*$J$6+$M$5*$J$7</f>
        <v>29.799389994943954</v>
      </c>
      <c r="N60" s="6">
        <f>$J$3+[10]FormattedData!G35*$J$4+$M$4*$J$5+[10]FormattedData!G35^2*$J$6+$M$5*$J$7</f>
        <v>29.311728046796542</v>
      </c>
      <c r="O60" s="6">
        <f>$J$3+[10]FormattedData!H35*$J$4+$M$4*$J$5+[10]FormattedData!H35^2*$J$6+$M$5*$J$7</f>
        <v>30.77154375089394</v>
      </c>
      <c r="P60" s="6">
        <f>$J$3+[10]FormattedData!I35*$J$4+$M$4*$J$5+[10]FormattedData!I35^2*$J$6+$M$5*$J$7</f>
        <v>30.285995229643085</v>
      </c>
      <c r="Q60" s="6">
        <f>$J$3+[10]FormattedData!J35*$J$4+$M$4*$J$5+[10]FormattedData!J35^2*$J$6+$M$5*$J$7</f>
        <v>30.868526649530317</v>
      </c>
      <c r="R60" s="6">
        <f>$J$3+[10]FormattedData!K35*$J$4+$M$4*$J$5+[10]FormattedData!K35^2*$J$6+$M$5*$J$7</f>
        <v>32.414504506553726</v>
      </c>
      <c r="S60" s="6">
        <f>$J$3+[10]FormattedData!L35*$J$4+$M$4*$J$5+[10]FormattedData!L35^2*$J$6+$M$5*$J$7</f>
        <v>32.221849033956836</v>
      </c>
      <c r="T60" s="6">
        <f>$J$3+[10]FormattedData!M35*$J$4+$M$4*$J$5+[10]FormattedData!M35^2*$J$6+$M$5*$J$7</f>
        <v>31.062365641189277</v>
      </c>
      <c r="U60" s="6">
        <f>$J$3+[10]FormattedData!N35*$J$4+$M$4*$J$5+[10]FormattedData!N35^2*$J$6+$M$5*$J$7</f>
        <v>31.062365641189277</v>
      </c>
      <c r="V60" s="6">
        <f>$J$3+[10]FormattedData!O35*$J$4+$M$4*$J$5+[10]FormattedData!O35^2*$J$6+$M$5*$J$7</f>
        <v>32.125457894851493</v>
      </c>
      <c r="W60" s="5">
        <f t="shared" si="9"/>
        <v>30.915056134212872</v>
      </c>
      <c r="X60" s="4">
        <f t="shared" si="10"/>
        <v>0.280410886913526</v>
      </c>
      <c r="Y60" s="3">
        <f t="shared" si="11"/>
        <v>29.311728046796542</v>
      </c>
      <c r="Z60" s="2">
        <f t="shared" si="12"/>
        <v>30.237366407576619</v>
      </c>
      <c r="AA60" s="3">
        <f t="shared" si="13"/>
        <v>30.916996964579539</v>
      </c>
      <c r="AB60" s="2">
        <f t="shared" si="14"/>
        <v>31.328138704604832</v>
      </c>
      <c r="AC60" s="2">
        <f t="shared" si="15"/>
        <v>32.414504506553726</v>
      </c>
      <c r="AD60" s="2">
        <f t="shared" si="16"/>
        <v>0.12638499285511975</v>
      </c>
      <c r="AE60" s="2">
        <f t="shared" si="17"/>
        <v>-0.68940169728025102</v>
      </c>
    </row>
    <row r="61" spans="2:31" x14ac:dyDescent="0.2">
      <c r="B61" s="1">
        <f>[10]FormattedData!A37</f>
        <v>204</v>
      </c>
      <c r="C61" s="1" t="str">
        <f>VLOOKUP($B61,[10]TrtCodes!$B$11:I80,2)</f>
        <v>NDH</v>
      </c>
      <c r="D61" s="1">
        <f>VLOOKUP($B61,[10]TrtCodes!$B$11:J80,3)</f>
        <v>11</v>
      </c>
      <c r="E61" s="1">
        <f>VLOOKUP($B61,[10]TrtCodes!$B$11:K80,4)</f>
        <v>2</v>
      </c>
      <c r="F61" s="1">
        <f>VLOOKUP($B61,[10]TrtCodes!$B$11:L80,5)</f>
        <v>3</v>
      </c>
      <c r="G61" s="1">
        <f>VLOOKUP($B61,[10]TrtCodes!$B$11:M80,6)</f>
        <v>2</v>
      </c>
      <c r="H61" s="1">
        <f>VLOOKUP($B61,[10]TrtCodes!$B$11:N80,7)</f>
        <v>1</v>
      </c>
      <c r="I61" s="1">
        <f>[10]FormattedData!B37</f>
        <v>2</v>
      </c>
      <c r="J61" s="4">
        <f>[10]FormattedData!C37</f>
        <v>13.045999999999999</v>
      </c>
      <c r="K61" s="6">
        <f>$J$3+[10]FormattedData!D37*$J$4+$M$4*$J$5+[10]FormattedData!D37^2*$J$6+$M$5*$J$7</f>
        <v>28.137027980373777</v>
      </c>
      <c r="L61" s="6">
        <f>$J$3+[10]FormattedData!E37*$J$4+$M$4*$J$5+[10]FormattedData!E37^2*$J$6+$M$5*$J$7</f>
        <v>28.627226040797055</v>
      </c>
      <c r="M61" s="6">
        <f>$J$3+[10]FormattedData!F37*$J$4+$M$4*$J$5+[10]FormattedData!F37^2*$J$6+$M$5*$J$7</f>
        <v>30.188758719779116</v>
      </c>
      <c r="N61" s="6">
        <f>$J$3+[10]FormattedData!G37*$J$4+$M$4*$J$5+[10]FormattedData!G37^2*$J$6+$M$5*$J$7</f>
        <v>28.627226040797055</v>
      </c>
      <c r="O61" s="6">
        <f>$J$3+[10]FormattedData!H37*$J$4+$M$4*$J$5+[10]FormattedData!H37^2*$J$6+$M$5*$J$7</f>
        <v>29.994158894437405</v>
      </c>
      <c r="P61" s="6">
        <f>$J$3+[10]FormattedData!I37*$J$4+$M$4*$J$5+[10]FormattedData!I37^2*$J$6+$M$5*$J$7</f>
        <v>29.214068851553264</v>
      </c>
      <c r="Q61" s="6">
        <f>$J$3+[10]FormattedData!J37*$J$4+$M$4*$J$5+[10]FormattedData!J37^2*$J$6+$M$5*$J$7</f>
        <v>30.965467279628765</v>
      </c>
      <c r="R61" s="6">
        <f>$J$3+[10]FormattedData!K37*$J$4+$M$4*$J$5+[10]FormattedData!K37^2*$J$6+$M$5*$J$7</f>
        <v>31.256035558696517</v>
      </c>
      <c r="S61" s="6">
        <f>$J$3+[10]FormattedData!L37*$J$4+$M$4*$J$5+[10]FormattedData!L37^2*$J$6+$M$5*$J$7</f>
        <v>32.029024487208225</v>
      </c>
      <c r="T61" s="6">
        <f>$J$3+[10]FormattedData!M37*$J$4+$M$4*$J$5+[10]FormattedData!M37^2*$J$6+$M$5*$J$7</f>
        <v>32.125457894851493</v>
      </c>
      <c r="U61" s="6">
        <f>$J$3+[10]FormattedData!N37*$J$4+$M$4*$J$5+[10]FormattedData!N37^2*$J$6+$M$5*$J$7</f>
        <v>31.932548811027019</v>
      </c>
      <c r="V61" s="6">
        <f>$J$3+[10]FormattedData!O37*$J$4+$M$4*$J$5+[10]FormattedData!O37^2*$J$6+$M$5*$J$7</f>
        <v>32.125457894851493</v>
      </c>
      <c r="W61" s="5">
        <f t="shared" si="9"/>
        <v>30.435204871166761</v>
      </c>
      <c r="X61" s="4">
        <f t="shared" si="10"/>
        <v>0.43534011443604931</v>
      </c>
      <c r="Y61" s="3">
        <f t="shared" si="11"/>
        <v>28.137027980373777</v>
      </c>
      <c r="Z61" s="2">
        <f t="shared" si="12"/>
        <v>29.067358148864212</v>
      </c>
      <c r="AA61" s="3">
        <f t="shared" si="13"/>
        <v>30.577112999703942</v>
      </c>
      <c r="AB61" s="2">
        <f t="shared" si="14"/>
        <v>31.956667730072319</v>
      </c>
      <c r="AC61" s="2">
        <f t="shared" si="15"/>
        <v>32.125457894851493</v>
      </c>
      <c r="AD61" s="2">
        <f t="shared" si="16"/>
        <v>-0.25807570708850941</v>
      </c>
      <c r="AE61" s="2">
        <f t="shared" si="17"/>
        <v>-1.600104921831131</v>
      </c>
    </row>
    <row r="62" spans="2:31" x14ac:dyDescent="0.2">
      <c r="B62" s="1">
        <f>[10]FormattedData!A39</f>
        <v>205</v>
      </c>
      <c r="C62" s="1" t="str">
        <f>VLOOKUP($B62,[10]TrtCodes!$B$11:I82,2)</f>
        <v>FSH</v>
      </c>
      <c r="D62" s="1">
        <f>VLOOKUP($B62,[10]TrtCodes!$B$11:J82,3)</f>
        <v>1</v>
      </c>
      <c r="E62" s="1">
        <f>VLOOKUP($B62,[10]TrtCodes!$B$11:K82,4)</f>
        <v>1</v>
      </c>
      <c r="F62" s="1">
        <f>VLOOKUP($B62,[10]TrtCodes!$B$11:L82,5)</f>
        <v>1</v>
      </c>
      <c r="G62" s="1">
        <f>VLOOKUP($B62,[10]TrtCodes!$B$11:M82,6)</f>
        <v>2</v>
      </c>
      <c r="H62" s="1">
        <f>VLOOKUP($B62,[10]TrtCodes!$B$11:N82,7)</f>
        <v>2</v>
      </c>
      <c r="I62" s="1">
        <f>[10]FormattedData!B39</f>
        <v>2</v>
      </c>
      <c r="J62" s="4">
        <f>[10]FormattedData!C39</f>
        <v>13.06</v>
      </c>
      <c r="K62" s="6">
        <f>$J$3+[10]FormattedData!D39*$J$4+$M$4*$J$5+[10]FormattedData!D39^2*$J$6+$M$5*$J$7</f>
        <v>31.352807114643234</v>
      </c>
      <c r="L62" s="6">
        <f>$J$3+[10]FormattedData!E39*$J$4+$M$4*$J$5+[10]FormattedData!E39^2*$J$6+$M$5*$J$7</f>
        <v>31.062365641189277</v>
      </c>
      <c r="M62" s="6">
        <f>$J$3+[10]FormattedData!F39*$J$4+$M$4*$J$5+[10]FormattedData!F39^2*$J$6+$M$5*$J$7</f>
        <v>30.674518583719628</v>
      </c>
      <c r="N62" s="6">
        <f>$J$3+[10]FormattedData!G39*$J$4+$M$4*$J$5+[10]FormattedData!G39^2*$J$6+$M$5*$J$7</f>
        <v>32.606990904998895</v>
      </c>
      <c r="O62" s="6">
        <f>$J$3+[10]FormattedData!H39*$J$4+$M$4*$J$5+[10]FormattedData!H39^2*$J$6+$M$5*$J$7</f>
        <v>33.087467201698011</v>
      </c>
      <c r="P62" s="6">
        <f>$J$3+[10]FormattedData!I39*$J$4+$M$4*$J$5+[10]FormattedData!I39^2*$J$6+$M$5*$J$7</f>
        <v>31.83603086630788</v>
      </c>
      <c r="Q62" s="6">
        <f>$J$3+[10]FormattedData!J39*$J$4+$M$4*$J$5+[10]FormattedData!J39^2*$J$6+$M$5*$J$7</f>
        <v>31.256035558696517</v>
      </c>
      <c r="R62" s="6">
        <f>$J$3+[10]FormattedData!K39*$J$4+$M$4*$J$5+[10]FormattedData!K39^2*$J$6+$M$5*$J$7</f>
        <v>31.64286817125582</v>
      </c>
      <c r="S62" s="6">
        <f>$J$3+[10]FormattedData!L39*$J$4+$M$4*$J$5+[10]FormattedData!L39^2*$J$6+$M$5*$J$7</f>
        <v>32.991456479434049</v>
      </c>
      <c r="T62" s="6">
        <f>$J$3+[10]FormattedData!M39*$J$4+$M$4*$J$5+[10]FormattedData!M39^2*$J$6+$M$5*$J$7</f>
        <v>32.029024487208225</v>
      </c>
      <c r="U62" s="6">
        <f>$J$3+[10]FormattedData!N39*$J$4+$M$4*$J$5+[10]FormattedData!N39^2*$J$6+$M$5*$J$7</f>
        <v>33.949661617866767</v>
      </c>
      <c r="V62" s="6">
        <f>$J$3+[10]FormattedData!O39*$J$4+$M$4*$J$5+[10]FormattedData!O39^2*$J$6+$M$5*$J$7</f>
        <v>33.949661617866767</v>
      </c>
      <c r="W62" s="5">
        <f t="shared" si="9"/>
        <v>32.203240687073752</v>
      </c>
      <c r="X62" s="4">
        <f t="shared" si="10"/>
        <v>0.31866626276420906</v>
      </c>
      <c r="Y62" s="3">
        <f t="shared" si="11"/>
        <v>30.674518583719628</v>
      </c>
      <c r="Z62" s="2">
        <f t="shared" si="12"/>
        <v>31.328614225656555</v>
      </c>
      <c r="AA62" s="3">
        <f t="shared" si="13"/>
        <v>31.932527676758053</v>
      </c>
      <c r="AB62" s="2">
        <f t="shared" si="14"/>
        <v>33.015459160000042</v>
      </c>
      <c r="AC62" s="2">
        <f t="shared" si="15"/>
        <v>33.949661617866767</v>
      </c>
      <c r="AD62" s="2">
        <f t="shared" si="16"/>
        <v>0.41738919149947823</v>
      </c>
      <c r="AE62" s="2">
        <f t="shared" si="17"/>
        <v>-1.0376538632360135</v>
      </c>
    </row>
    <row r="63" spans="2:31" x14ac:dyDescent="0.2">
      <c r="B63" s="1">
        <f>[10]FormattedData!A41</f>
        <v>206</v>
      </c>
      <c r="C63" s="1" t="str">
        <f>VLOOKUP($B63,[10]TrtCodes!$B$11:I84,2)</f>
        <v>NSL</v>
      </c>
      <c r="D63" s="1">
        <f>VLOOKUP($B63,[10]TrtCodes!$B$11:J84,3)</f>
        <v>8</v>
      </c>
      <c r="E63" s="1">
        <f>VLOOKUP($B63,[10]TrtCodes!$B$11:K84,4)</f>
        <v>2</v>
      </c>
      <c r="F63" s="1">
        <f>VLOOKUP($B63,[10]TrtCodes!$B$11:L84,5)</f>
        <v>1</v>
      </c>
      <c r="G63" s="1">
        <f>VLOOKUP($B63,[10]TrtCodes!$B$11:M84,6)</f>
        <v>1</v>
      </c>
      <c r="H63" s="1">
        <f>VLOOKUP($B63,[10]TrtCodes!$B$11:N84,7)</f>
        <v>2</v>
      </c>
      <c r="I63" s="1">
        <f>[10]FormattedData!B41</f>
        <v>2</v>
      </c>
      <c r="J63" s="4">
        <f>[10]FormattedData!C41</f>
        <v>13.073</v>
      </c>
      <c r="K63" s="6">
        <f>$J$3+[10]FormattedData!D41*$J$4+$M$4*$J$5+[10]FormattedData!D41^2*$J$6+$M$5*$J$7</f>
        <v>32.414504506553726</v>
      </c>
      <c r="L63" s="6">
        <f>$J$3+[10]FormattedData!E41*$J$4+$M$4*$J$5+[10]FormattedData!E41^2*$J$6+$M$5*$J$7</f>
        <v>31.159221734211858</v>
      </c>
      <c r="M63" s="6">
        <f>$J$3+[10]FormattedData!F41*$J$4+$M$4*$J$5+[10]FormattedData!F41^2*$J$6+$M$5*$J$7</f>
        <v>31.256035558696517</v>
      </c>
      <c r="N63" s="6">
        <f>$J$3+[10]FormattedData!G41*$J$4+$M$4*$J$5+[10]FormattedData!G41^2*$J$6+$M$5*$J$7</f>
        <v>31.83603086630788</v>
      </c>
      <c r="O63" s="6">
        <f>$J$3+[10]FormattedData!H41*$J$4+$M$4*$J$5+[10]FormattedData!H41^2*$J$6+$M$5*$J$7</f>
        <v>30.868526649530317</v>
      </c>
      <c r="P63" s="6">
        <f>$J$3+[10]FormattedData!I41*$J$4+$M$4*$J$5+[10]FormattedData!I41^2*$J$6+$M$5*$J$7</f>
        <v>32.414504506553726</v>
      </c>
      <c r="Q63" s="6">
        <f>$J$3+[10]FormattedData!J41*$J$4+$M$4*$J$5+[10]FormattedData!J41^2*$J$6+$M$5*$J$7</f>
        <v>32.51076884004528</v>
      </c>
      <c r="R63" s="6">
        <f>$J$3+[10]FormattedData!K41*$J$4+$M$4*$J$5+[10]FormattedData!K41^2*$J$6+$M$5*$J$7</f>
        <v>32.029024487208225</v>
      </c>
      <c r="S63" s="6">
        <f>$J$3+[10]FormattedData!L41*$J$4+$M$4*$J$5+[10]FormattedData!L41^2*$J$6+$M$5*$J$7</f>
        <v>32.125457894851493</v>
      </c>
      <c r="T63" s="6">
        <f>$J$3+[10]FormattedData!M41*$J$4+$M$4*$J$5+[10]FormattedData!M41^2*$J$6+$M$5*$J$7</f>
        <v>31.159221734211858</v>
      </c>
      <c r="U63" s="6">
        <f>$J$3+[10]FormattedData!N41*$J$4+$M$4*$J$5+[10]FormattedData!N41^2*$J$6+$M$5*$J$7</f>
        <v>30.868526649530317</v>
      </c>
      <c r="V63" s="6">
        <f>$J$3+[10]FormattedData!O41*$J$4+$M$4*$J$5+[10]FormattedData!O41^2*$J$6+$M$5*$J$7</f>
        <v>32.029024487208225</v>
      </c>
      <c r="W63" s="5">
        <f t="shared" si="9"/>
        <v>31.722570659575791</v>
      </c>
      <c r="X63" s="4">
        <f t="shared" si="10"/>
        <v>0.17949807702698017</v>
      </c>
      <c r="Y63" s="3">
        <f t="shared" si="11"/>
        <v>30.868526649530317</v>
      </c>
      <c r="Z63" s="2">
        <f t="shared" si="12"/>
        <v>31.159221734211858</v>
      </c>
      <c r="AA63" s="3">
        <f t="shared" si="13"/>
        <v>31.932527676758053</v>
      </c>
      <c r="AB63" s="2">
        <f t="shared" si="14"/>
        <v>32.197719547777055</v>
      </c>
      <c r="AC63" s="2">
        <f t="shared" si="15"/>
        <v>32.51076884004528</v>
      </c>
      <c r="AD63" s="2">
        <f t="shared" si="16"/>
        <v>-0.19436451244845321</v>
      </c>
      <c r="AE63" s="2">
        <f t="shared" si="17"/>
        <v>-1.7128144116242408</v>
      </c>
    </row>
    <row r="64" spans="2:31" x14ac:dyDescent="0.2">
      <c r="B64" s="1">
        <f>[10]FormattedData!A43</f>
        <v>207</v>
      </c>
      <c r="C64" s="1" t="str">
        <f>VLOOKUP($B64,[10]TrtCodes!$B$11:I86,2)</f>
        <v>FTL</v>
      </c>
      <c r="D64" s="1">
        <f>VLOOKUP($B64,[10]TrtCodes!$B$11:J86,3)</f>
        <v>4</v>
      </c>
      <c r="E64" s="1">
        <f>VLOOKUP($B64,[10]TrtCodes!$B$11:K86,4)</f>
        <v>1</v>
      </c>
      <c r="F64" s="1">
        <f>VLOOKUP($B64,[10]TrtCodes!$B$11:L86,5)</f>
        <v>2</v>
      </c>
      <c r="G64" s="1">
        <f>VLOOKUP($B64,[10]TrtCodes!$B$11:M86,6)</f>
        <v>1</v>
      </c>
      <c r="H64" s="1">
        <f>VLOOKUP($B64,[10]TrtCodes!$B$11:N86,7)</f>
        <v>2</v>
      </c>
      <c r="I64" s="1">
        <f>[10]FormattedData!B43</f>
        <v>2</v>
      </c>
      <c r="J64" s="4">
        <f>[10]FormattedData!C43</f>
        <v>13.087999999999999</v>
      </c>
      <c r="K64" s="6">
        <f>$J$3+[10]FormattedData!D43*$J$4+$M$4*$J$5+[10]FormattedData!D43^2*$J$6+$M$5*$J$7</f>
        <v>32.029024487208225</v>
      </c>
      <c r="L64" s="6">
        <f>$J$3+[10]FormattedData!E43*$J$4+$M$4*$J$5+[10]FormattedData!E43^2*$J$6+$M$5*$J$7</f>
        <v>32.125457894851493</v>
      </c>
      <c r="M64" s="6">
        <f>$J$3+[10]FormattedData!F43*$J$4+$M$4*$J$5+[10]FormattedData!F43^2*$J$6+$M$5*$J$7</f>
        <v>36.137492526117136</v>
      </c>
      <c r="N64" s="6">
        <f>$J$3+[10]FormattedData!G43*$J$4+$M$4*$J$5+[10]FormattedData!G43^2*$J$6+$M$5*$J$7</f>
        <v>30.480341443757222</v>
      </c>
      <c r="O64" s="6">
        <f>$J$3+[10]FormattedData!H43*$J$4+$M$4*$J$5+[10]FormattedData!H43^2*$J$6+$M$5*$J$7</f>
        <v>32.799308229292329</v>
      </c>
      <c r="P64" s="6">
        <f>$J$3+[10]FormattedData!I43*$J$4+$M$4*$J$5+[10]FormattedData!I43^2*$J$6+$M$5*$J$7</f>
        <v>32.125457894851493</v>
      </c>
      <c r="Q64" s="6">
        <f>$J$3+[10]FormattedData!J43*$J$4+$M$4*$J$5+[10]FormattedData!J43^2*$J$6+$M$5*$J$7</f>
        <v>30.77154375089394</v>
      </c>
      <c r="R64" s="6">
        <f>$J$3+[10]FormattedData!K43*$J$4+$M$4*$J$5+[10]FormattedData!K43^2*$J$6+$M$5*$J$7</f>
        <v>32.799308229292329</v>
      </c>
      <c r="S64" s="6">
        <f>$J$3+[10]FormattedData!L43*$J$4+$M$4*$J$5+[10]FormattedData!L43^2*$J$6+$M$5*$J$7</f>
        <v>31.932548811027019</v>
      </c>
      <c r="T64" s="6">
        <f>$J$3+[10]FormattedData!M43*$J$4+$M$4*$J$5+[10]FormattedData!M43^2*$J$6+$M$5*$J$7</f>
        <v>32.414504506553726</v>
      </c>
      <c r="U64" s="6">
        <f>$J$3+[10]FormattedData!N43*$J$4+$M$4*$J$5+[10]FormattedData!N43^2*$J$6+$M$5*$J$7</f>
        <v>29.214068851553264</v>
      </c>
      <c r="V64" s="6">
        <f>$J$3+[10]FormattedData!O43*$J$4+$M$4*$J$5+[10]FormattedData!O43^2*$J$6+$M$5*$J$7</f>
        <v>31.352807114643234</v>
      </c>
      <c r="W64" s="5">
        <f t="shared" si="9"/>
        <v>32.015155311670114</v>
      </c>
      <c r="X64" s="4">
        <f t="shared" si="10"/>
        <v>0.48148522435225966</v>
      </c>
      <c r="Y64" s="3">
        <f t="shared" si="11"/>
        <v>29.214068851553264</v>
      </c>
      <c r="Z64" s="2">
        <f t="shared" si="12"/>
        <v>31.207491273705912</v>
      </c>
      <c r="AA64" s="3">
        <f t="shared" si="13"/>
        <v>32.077241191029856</v>
      </c>
      <c r="AB64" s="2">
        <f t="shared" si="14"/>
        <v>32.510705437238379</v>
      </c>
      <c r="AC64" s="2">
        <f t="shared" si="15"/>
        <v>36.137492526117136</v>
      </c>
      <c r="AD64" s="2">
        <f t="shared" si="16"/>
        <v>1.0174733185296392</v>
      </c>
      <c r="AE64" s="2">
        <f t="shared" si="17"/>
        <v>3.2815135108219771</v>
      </c>
    </row>
    <row r="65" spans="2:31" x14ac:dyDescent="0.2">
      <c r="B65" s="1">
        <f>[10]FormattedData!A45</f>
        <v>208</v>
      </c>
      <c r="C65" s="1" t="str">
        <f>VLOOKUP($B65,[10]TrtCodes!$B$11:I88,2)</f>
        <v>FSL</v>
      </c>
      <c r="D65" s="1">
        <f>VLOOKUP($B65,[10]TrtCodes!$B$11:J88,3)</f>
        <v>2</v>
      </c>
      <c r="E65" s="1">
        <f>VLOOKUP($B65,[10]TrtCodes!$B$11:K88,4)</f>
        <v>1</v>
      </c>
      <c r="F65" s="1">
        <f>VLOOKUP($B65,[10]TrtCodes!$B$11:L88,5)</f>
        <v>1</v>
      </c>
      <c r="G65" s="1">
        <f>VLOOKUP($B65,[10]TrtCodes!$B$11:M88,6)</f>
        <v>1</v>
      </c>
      <c r="H65" s="1">
        <f>VLOOKUP($B65,[10]TrtCodes!$B$11:N88,7)</f>
        <v>2</v>
      </c>
      <c r="I65" s="1">
        <f>[10]FormattedData!B45</f>
        <v>2</v>
      </c>
      <c r="J65" s="4">
        <f>[10]FormattedData!C45</f>
        <v>13.102</v>
      </c>
      <c r="K65" s="6">
        <f>$J$3+[10]FormattedData!D45*$J$4+$M$4*$J$5+[10]FormattedData!D45^2*$J$6+$M$5*$J$7</f>
        <v>30.188758719779116</v>
      </c>
      <c r="L65" s="6">
        <f>$J$3+[10]FormattedData!E45*$J$4+$M$4*$J$5+[10]FormattedData!E45^2*$J$6+$M$5*$J$7</f>
        <v>29.214068851553264</v>
      </c>
      <c r="M65" s="6">
        <f>$J$3+[10]FormattedData!F45*$J$4+$M$4*$J$5+[10]FormattedData!F45^2*$J$6+$M$5*$J$7</f>
        <v>29.799389994943954</v>
      </c>
      <c r="N65" s="6">
        <f>$J$3+[10]FormattedData!G45*$J$4+$M$4*$J$5+[10]FormattedData!G45^2*$J$6+$M$5*$J$7</f>
        <v>30.091479941377226</v>
      </c>
      <c r="O65" s="6">
        <f>$J$3+[10]FormattedData!H45*$J$4+$M$4*$J$5+[10]FormattedData!H45^2*$J$6+$M$5*$J$7</f>
        <v>29.994158894437405</v>
      </c>
      <c r="P65" s="6">
        <f>$J$3+[10]FormattedData!I45*$J$4+$M$4*$J$5+[10]FormattedData!I45^2*$J$6+$M$5*$J$7</f>
        <v>30.480341443757222</v>
      </c>
      <c r="Q65" s="6">
        <f>$J$3+[10]FormattedData!J45*$J$4+$M$4*$J$5+[10]FormattedData!J45^2*$J$6+$M$5*$J$7</f>
        <v>30.868526649530317</v>
      </c>
      <c r="R65" s="6">
        <f>$J$3+[10]FormattedData!K45*$J$4+$M$4*$J$5+[10]FormattedData!K45^2*$J$6+$M$5*$J$7</f>
        <v>29.409344973501884</v>
      </c>
      <c r="S65" s="6">
        <f>$J$3+[10]FormattedData!L45*$J$4+$M$4*$J$5+[10]FormattedData!L45^2*$J$6+$M$5*$J$7</f>
        <v>31.159221734211858</v>
      </c>
      <c r="T65" s="6">
        <f>$J$3+[10]FormattedData!M45*$J$4+$M$4*$J$5+[10]FormattedData!M45^2*$J$6+$M$5*$J$7</f>
        <v>30.285995229643085</v>
      </c>
      <c r="U65" s="6">
        <f>$J$3+[10]FormattedData!N45*$J$4+$M$4*$J$5+[10]FormattedData!N45^2*$J$6+$M$5*$J$7</f>
        <v>30.091479941377226</v>
      </c>
      <c r="V65" s="6">
        <f>$J$3+[10]FormattedData!O45*$J$4+$M$4*$J$5+[10]FormattedData!O45^2*$J$6+$M$5*$J$7</f>
        <v>30.480341443757222</v>
      </c>
      <c r="W65" s="5">
        <f t="shared" si="9"/>
        <v>30.171925651489147</v>
      </c>
      <c r="X65" s="4">
        <f t="shared" si="10"/>
        <v>0.15920941344762651</v>
      </c>
      <c r="Y65" s="3">
        <f t="shared" si="11"/>
        <v>29.214068851553264</v>
      </c>
      <c r="Z65" s="2">
        <f t="shared" si="12"/>
        <v>29.945466669564041</v>
      </c>
      <c r="AA65" s="3">
        <f t="shared" si="13"/>
        <v>30.140119330578173</v>
      </c>
      <c r="AB65" s="2">
        <f t="shared" si="14"/>
        <v>30.480341443757222</v>
      </c>
      <c r="AC65" s="2">
        <f t="shared" si="15"/>
        <v>31.159221734211858</v>
      </c>
      <c r="AD65" s="2">
        <f t="shared" si="16"/>
        <v>-1.3062333302645984E-2</v>
      </c>
      <c r="AE65" s="2">
        <f t="shared" si="17"/>
        <v>6.1348188953913585E-2</v>
      </c>
    </row>
    <row r="66" spans="2:31" x14ac:dyDescent="0.2">
      <c r="B66" s="1">
        <f>[10]FormattedData!A63</f>
        <v>301</v>
      </c>
      <c r="C66" s="1" t="str">
        <f>VLOOKUP($B66,[10]TrtCodes!$B$11:I106,2)</f>
        <v>NTL</v>
      </c>
      <c r="D66" s="1">
        <f>VLOOKUP($B66,[10]TrtCodes!$B$11:J106,3)</f>
        <v>10</v>
      </c>
      <c r="E66" s="1">
        <f>VLOOKUP($B66,[10]TrtCodes!$B$11:K106,4)</f>
        <v>2</v>
      </c>
      <c r="F66" s="1">
        <f>VLOOKUP($B66,[10]TrtCodes!$B$11:L106,5)</f>
        <v>2</v>
      </c>
      <c r="G66" s="1">
        <f>VLOOKUP($B66,[10]TrtCodes!$B$11:M106,6)</f>
        <v>1</v>
      </c>
      <c r="H66" s="1">
        <f>VLOOKUP($B66,[10]TrtCodes!$B$11:N106,7)</f>
        <v>3</v>
      </c>
      <c r="I66" s="1">
        <f>[10]FormattedData!B63</f>
        <v>2</v>
      </c>
      <c r="J66" s="4">
        <f>[10]FormattedData!C63</f>
        <v>13.211</v>
      </c>
      <c r="K66" s="6">
        <f>$J$3+[10]FormattedData!D63*$J$4+$M$4*$J$5+[10]FormattedData!D63^2*$J$6+$M$5*$J$7</f>
        <v>29.799389994943954</v>
      </c>
      <c r="L66" s="6">
        <f>$J$3+[10]FormattedData!E63*$J$4+$M$4*$J$5+[10]FormattedData!E63^2*$J$6+$M$5*$J$7</f>
        <v>29.70194214239033</v>
      </c>
      <c r="M66" s="6">
        <f>$J$3+[10]FormattedData!F63*$J$4+$M$4*$J$5+[10]FormattedData!F63^2*$J$6+$M$5*$J$7</f>
        <v>31.159221734211858</v>
      </c>
      <c r="N66" s="6">
        <f>$J$3+[10]FormattedData!G63*$J$4+$M$4*$J$5+[10]FormattedData!G63^2*$J$6+$M$5*$J$7</f>
        <v>30.868526649530317</v>
      </c>
      <c r="O66" s="6">
        <f>$J$3+[10]FormattedData!H63*$J$4+$M$4*$J$5+[10]FormattedData!H63^2*$J$6+$M$5*$J$7</f>
        <v>32.799308229292329</v>
      </c>
      <c r="P66" s="6">
        <f>$J$3+[10]FormattedData!I63*$J$4+$M$4*$J$5+[10]FormattedData!I63^2*$J$6+$M$5*$J$7</f>
        <v>32.51076884004528</v>
      </c>
      <c r="Q66" s="6">
        <f>$J$3+[10]FormattedData!J63*$J$4+$M$4*$J$5+[10]FormattedData!J63^2*$J$6+$M$5*$J$7</f>
        <v>32.221849033956836</v>
      </c>
      <c r="R66" s="6">
        <f>$J$3+[10]FormattedData!K63*$J$4+$M$4*$J$5+[10]FormattedData!K63^2*$J$6+$M$5*$J$7</f>
        <v>32.125457894851493</v>
      </c>
      <c r="S66" s="6">
        <f>$J$3+[10]FormattedData!L63*$J$4+$M$4*$J$5+[10]FormattedData!L63^2*$J$6+$M$5*$J$7</f>
        <v>31.83603086630788</v>
      </c>
      <c r="T66" s="6">
        <f>$J$3+[10]FormattedData!M63*$J$4+$M$4*$J$5+[10]FormattedData!M63^2*$J$6+$M$5*$J$7</f>
        <v>30.965467279628765</v>
      </c>
      <c r="U66" s="6">
        <f>$J$3+[10]FormattedData!N63*$J$4+$M$4*$J$5+[10]FormattedData!N63^2*$J$6+$M$5*$J$7</f>
        <v>31.352807114643234</v>
      </c>
      <c r="V66" s="6">
        <f>$J$3+[10]FormattedData!O63*$J$4+$M$4*$J$5+[10]FormattedData!O63^2*$J$6+$M$5*$J$7</f>
        <v>31.256035558696517</v>
      </c>
      <c r="W66" s="5">
        <f t="shared" si="9"/>
        <v>31.383067111541564</v>
      </c>
      <c r="X66" s="4">
        <f t="shared" si="10"/>
        <v>0.28308153817468718</v>
      </c>
      <c r="Y66" s="3">
        <f t="shared" si="11"/>
        <v>29.70194214239033</v>
      </c>
      <c r="Z66" s="2">
        <f t="shared" si="12"/>
        <v>30.941232122104154</v>
      </c>
      <c r="AA66" s="3">
        <f t="shared" si="13"/>
        <v>31.304421336669876</v>
      </c>
      <c r="AB66" s="2">
        <f t="shared" si="14"/>
        <v>32.149555679627831</v>
      </c>
      <c r="AC66" s="2">
        <f t="shared" si="15"/>
        <v>32.799308229292329</v>
      </c>
      <c r="AD66" s="2">
        <f t="shared" si="16"/>
        <v>-0.41398020378456546</v>
      </c>
      <c r="AE66" s="2">
        <f t="shared" si="17"/>
        <v>-0.47837571017282032</v>
      </c>
    </row>
    <row r="67" spans="2:31" x14ac:dyDescent="0.2">
      <c r="B67" s="1">
        <f>[10]FormattedData!A65</f>
        <v>302</v>
      </c>
      <c r="C67" s="1" t="str">
        <f>VLOOKUP($B67,[10]TrtCodes!$B$11:I108,2)</f>
        <v>FTL</v>
      </c>
      <c r="D67" s="1">
        <f>VLOOKUP($B67,[10]TrtCodes!$B$11:J108,3)</f>
        <v>4</v>
      </c>
      <c r="E67" s="1">
        <f>VLOOKUP($B67,[10]TrtCodes!$B$11:K108,4)</f>
        <v>1</v>
      </c>
      <c r="F67" s="1">
        <f>VLOOKUP($B67,[10]TrtCodes!$B$11:L108,5)</f>
        <v>2</v>
      </c>
      <c r="G67" s="1">
        <f>VLOOKUP($B67,[10]TrtCodes!$B$11:M108,6)</f>
        <v>1</v>
      </c>
      <c r="H67" s="1">
        <f>VLOOKUP($B67,[10]TrtCodes!$B$11:N108,7)</f>
        <v>3</v>
      </c>
      <c r="I67" s="1">
        <f>[10]FormattedData!B65</f>
        <v>2</v>
      </c>
      <c r="J67" s="4">
        <f>[10]FormattedData!C65</f>
        <v>13.226000000000001</v>
      </c>
      <c r="K67" s="6">
        <f>$J$3+[10]FormattedData!D65*$J$4+$M$4*$J$5+[10]FormattedData!D65^2*$J$6+$M$5*$J$7</f>
        <v>30.091479941377226</v>
      </c>
      <c r="L67" s="6">
        <f>$J$3+[10]FormattedData!E65*$J$4+$M$4*$J$5+[10]FormattedData!E65^2*$J$6+$M$5*$J$7</f>
        <v>29.01862365545292</v>
      </c>
      <c r="M67" s="6">
        <f>$J$3+[10]FormattedData!F65*$J$4+$M$4*$J$5+[10]FormattedData!F65^2*$J$6+$M$5*$J$7</f>
        <v>30.965467279628765</v>
      </c>
      <c r="N67" s="6">
        <f>$J$3+[10]FormattedData!G65*$J$4+$M$4*$J$5+[10]FormattedData!G65^2*$J$6+$M$5*$J$7</f>
        <v>30.480341443757222</v>
      </c>
      <c r="O67" s="6">
        <f>$J$3+[10]FormattedData!H65*$J$4+$M$4*$J$5+[10]FormattedData!H65^2*$J$6+$M$5*$J$7</f>
        <v>30.285995229643085</v>
      </c>
      <c r="P67" s="6">
        <f>$J$3+[10]FormattedData!I65*$J$4+$M$4*$J$5+[10]FormattedData!I65^2*$J$6+$M$5*$J$7</f>
        <v>31.83603086630788</v>
      </c>
      <c r="Q67" s="6">
        <f>$J$3+[10]FormattedData!J65*$J$4+$M$4*$J$5+[10]FormattedData!J65^2*$J$6+$M$5*$J$7</f>
        <v>30.285995229643085</v>
      </c>
      <c r="R67" s="6">
        <f>$J$3+[10]FormattedData!K65*$J$4+$M$4*$J$5+[10]FormattedData!K65^2*$J$6+$M$5*$J$7</f>
        <v>30.188758719779116</v>
      </c>
      <c r="S67" s="6">
        <f>$J$3+[10]FormattedData!L65*$J$4+$M$4*$J$5+[10]FormattedData!L65^2*$J$6+$M$5*$J$7</f>
        <v>32.31819790452424</v>
      </c>
      <c r="T67" s="6">
        <f>$J$3+[10]FormattedData!M65*$J$4+$M$4*$J$5+[10]FormattedData!M65^2*$J$6+$M$5*$J$7</f>
        <v>30.965467279628765</v>
      </c>
      <c r="U67" s="6">
        <f>$J$3+[10]FormattedData!N65*$J$4+$M$4*$J$5+[10]FormattedData!N65^2*$J$6+$M$5*$J$7</f>
        <v>31.64286817125582</v>
      </c>
      <c r="V67" s="6">
        <f>$J$3+[10]FormattedData!O65*$J$4+$M$4*$J$5+[10]FormattedData!O65^2*$J$6+$M$5*$J$7</f>
        <v>32.125457894851493</v>
      </c>
      <c r="W67" s="5">
        <f t="shared" si="9"/>
        <v>30.8503903013208</v>
      </c>
      <c r="X67" s="4">
        <f t="shared" si="10"/>
        <v>0.28269992292317009</v>
      </c>
      <c r="Y67" s="3">
        <f t="shared" si="11"/>
        <v>29.01862365545292</v>
      </c>
      <c r="Z67" s="2">
        <f t="shared" si="12"/>
        <v>30.261686102177094</v>
      </c>
      <c r="AA67" s="3">
        <f t="shared" si="13"/>
        <v>30.722904361692994</v>
      </c>
      <c r="AB67" s="2">
        <f t="shared" si="14"/>
        <v>31.691158845018833</v>
      </c>
      <c r="AC67" s="2">
        <f t="shared" si="15"/>
        <v>32.31819790452424</v>
      </c>
      <c r="AD67" s="2">
        <f t="shared" si="16"/>
        <v>-6.8485941142944165E-2</v>
      </c>
      <c r="AE67" s="2">
        <f t="shared" si="17"/>
        <v>-0.49938579929790539</v>
      </c>
    </row>
    <row r="68" spans="2:31" x14ac:dyDescent="0.2">
      <c r="B68" s="1">
        <f>[10]FormattedData!A67</f>
        <v>303</v>
      </c>
      <c r="C68" s="1" t="str">
        <f>VLOOKUP($B68,[10]TrtCodes!$B$11:I110,2)</f>
        <v>NSL</v>
      </c>
      <c r="D68" s="1">
        <f>VLOOKUP($B68,[10]TrtCodes!$B$11:J110,3)</f>
        <v>8</v>
      </c>
      <c r="E68" s="1">
        <f>VLOOKUP($B68,[10]TrtCodes!$B$11:K110,4)</f>
        <v>2</v>
      </c>
      <c r="F68" s="1">
        <f>VLOOKUP($B68,[10]TrtCodes!$B$11:L110,5)</f>
        <v>1</v>
      </c>
      <c r="G68" s="1">
        <f>VLOOKUP($B68,[10]TrtCodes!$B$11:M110,6)</f>
        <v>1</v>
      </c>
      <c r="H68" s="1">
        <f>VLOOKUP($B68,[10]TrtCodes!$B$11:N110,7)</f>
        <v>3</v>
      </c>
      <c r="I68" s="1">
        <f>[10]FormattedData!B67</f>
        <v>2</v>
      </c>
      <c r="J68" s="4">
        <f>[10]FormattedData!C67</f>
        <v>13.24</v>
      </c>
      <c r="K68" s="6">
        <f>$J$3+[10]FormattedData!D67*$J$4+$M$4*$J$5+[10]FormattedData!D67^2*$J$6+$M$5*$J$7</f>
        <v>31.83603086630788</v>
      </c>
      <c r="L68" s="6">
        <f>$J$3+[10]FormattedData!E67*$J$4+$M$4*$J$5+[10]FormattedData!E67^2*$J$6+$M$5*$J$7</f>
        <v>30.577451148007391</v>
      </c>
      <c r="M68" s="6">
        <f>$J$3+[10]FormattedData!F67*$J$4+$M$4*$J$5+[10]FormattedData!F67^2*$J$6+$M$5*$J$7</f>
        <v>31.739470653050816</v>
      </c>
      <c r="N68" s="6">
        <f>$J$3+[10]FormattedData!G67*$J$4+$M$4*$J$5+[10]FormattedData!G67^2*$J$6+$M$5*$J$7</f>
        <v>31.256035558696517</v>
      </c>
      <c r="O68" s="6">
        <f>$J$3+[10]FormattedData!H67*$J$4+$M$4*$J$5+[10]FormattedData!H67^2*$J$6+$M$5*$J$7</f>
        <v>31.739470653050816</v>
      </c>
      <c r="P68" s="6">
        <f>$J$3+[10]FormattedData!I67*$J$4+$M$4*$J$5+[10]FormattedData!I67^2*$J$6+$M$5*$J$7</f>
        <v>31.062365641189277</v>
      </c>
      <c r="Q68" s="6">
        <f>$J$3+[10]FormattedData!J67*$J$4+$M$4*$J$5+[10]FormattedData!J67^2*$J$6+$M$5*$J$7</f>
        <v>30.77154375089394</v>
      </c>
      <c r="R68" s="6">
        <f>$J$3+[10]FormattedData!K67*$J$4+$M$4*$J$5+[10]FormattedData!K67^2*$J$6+$M$5*$J$7</f>
        <v>30.285995229643085</v>
      </c>
      <c r="S68" s="6">
        <f>$J$3+[10]FormattedData!L67*$J$4+$M$4*$J$5+[10]FormattedData!L67^2*$J$6+$M$5*$J$7</f>
        <v>30.674518583719628</v>
      </c>
      <c r="T68" s="6">
        <f>$J$3+[10]FormattedData!M67*$J$4+$M$4*$J$5+[10]FormattedData!M67^2*$J$6+$M$5*$J$7</f>
        <v>28.627226040797055</v>
      </c>
      <c r="U68" s="6">
        <f>$J$3+[10]FormattedData!N67*$J$4+$M$4*$J$5+[10]FormattedData!N67^2*$J$6+$M$5*$J$7</f>
        <v>29.506919631669298</v>
      </c>
      <c r="V68" s="6">
        <f>$J$3+[10]FormattedData!O67*$J$4+$M$4*$J$5+[10]FormattedData!O67^2*$J$6+$M$5*$J$7</f>
        <v>30.480341443757222</v>
      </c>
      <c r="W68" s="5">
        <f t="shared" si="9"/>
        <v>30.713114100065241</v>
      </c>
      <c r="X68" s="4">
        <f t="shared" si="10"/>
        <v>0.27317235326641248</v>
      </c>
      <c r="Y68" s="3">
        <f t="shared" si="11"/>
        <v>28.627226040797055</v>
      </c>
      <c r="Z68" s="2">
        <f t="shared" si="12"/>
        <v>30.431754890228689</v>
      </c>
      <c r="AA68" s="3">
        <f t="shared" si="13"/>
        <v>30.723031167306786</v>
      </c>
      <c r="AB68" s="2">
        <f t="shared" si="14"/>
        <v>31.37689433228509</v>
      </c>
      <c r="AC68" s="2">
        <f t="shared" si="15"/>
        <v>31.83603086630788</v>
      </c>
      <c r="AD68" s="2">
        <f t="shared" si="16"/>
        <v>-0.91950087852664453</v>
      </c>
      <c r="AE68" s="2">
        <f t="shared" si="17"/>
        <v>0.87837601724332437</v>
      </c>
    </row>
    <row r="69" spans="2:31" x14ac:dyDescent="0.2">
      <c r="B69" s="1">
        <f>[10]FormattedData!A69</f>
        <v>304</v>
      </c>
      <c r="C69" s="1" t="str">
        <f>VLOOKUP($B69,[10]TrtCodes!$B$11:I112,2)</f>
        <v>FSL</v>
      </c>
      <c r="D69" s="1">
        <f>VLOOKUP($B69,[10]TrtCodes!$B$11:J112,3)</f>
        <v>2</v>
      </c>
      <c r="E69" s="1">
        <f>VLOOKUP($B69,[10]TrtCodes!$B$11:K112,4)</f>
        <v>1</v>
      </c>
      <c r="F69" s="1">
        <f>VLOOKUP($B69,[10]TrtCodes!$B$11:L112,5)</f>
        <v>1</v>
      </c>
      <c r="G69" s="1">
        <f>VLOOKUP($B69,[10]TrtCodes!$B$11:M112,6)</f>
        <v>1</v>
      </c>
      <c r="H69" s="1">
        <f>VLOOKUP($B69,[10]TrtCodes!$B$11:N112,7)</f>
        <v>3</v>
      </c>
      <c r="I69" s="1">
        <f>[10]FormattedData!B69</f>
        <v>2</v>
      </c>
      <c r="J69" s="4">
        <f>[10]FormattedData!C69</f>
        <v>13.253</v>
      </c>
      <c r="K69" s="6">
        <f>$J$3+[10]FormattedData!D69*$J$4+$M$4*$J$5+[10]FormattedData!D69^2*$J$6+$M$5*$J$7</f>
        <v>29.799389994943954</v>
      </c>
      <c r="L69" s="6">
        <f>$J$3+[10]FormattedData!E69*$J$4+$M$4*$J$5+[10]FormattedData!E69^2*$J$6+$M$5*$J$7</f>
        <v>29.214068851553264</v>
      </c>
      <c r="M69" s="6">
        <f>$J$3+[10]FormattedData!F69*$J$4+$M$4*$J$5+[10]FormattedData!F69^2*$J$6+$M$5*$J$7</f>
        <v>29.89679557895964</v>
      </c>
      <c r="N69" s="6">
        <f>$J$3+[10]FormattedData!G69*$J$4+$M$4*$J$5+[10]FormattedData!G69^2*$J$6+$M$5*$J$7</f>
        <v>30.285995229643085</v>
      </c>
      <c r="O69" s="6">
        <f>$J$3+[10]FormattedData!H69*$J$4+$M$4*$J$5+[10]FormattedData!H69^2*$J$6+$M$5*$J$7</f>
        <v>30.091479941377226</v>
      </c>
      <c r="P69" s="6">
        <f>$J$3+[10]FormattedData!I69*$J$4+$M$4*$J$5+[10]FormattedData!I69^2*$J$6+$M$5*$J$7</f>
        <v>30.577451148007391</v>
      </c>
      <c r="Q69" s="6">
        <f>$J$3+[10]FormattedData!J69*$J$4+$M$4*$J$5+[10]FormattedData!J69^2*$J$6+$M$5*$J$7</f>
        <v>30.285995229643085</v>
      </c>
      <c r="R69" s="6">
        <f>$J$3+[10]FormattedData!K69*$J$4+$M$4*$J$5+[10]FormattedData!K69^2*$J$6+$M$5*$J$7</f>
        <v>30.868526649530317</v>
      </c>
      <c r="S69" s="6">
        <f>$J$3+[10]FormattedData!L69*$J$4+$M$4*$J$5+[10]FormattedData!L69^2*$J$6+$M$5*$J$7</f>
        <v>30.674518583719628</v>
      </c>
      <c r="T69" s="6">
        <f>$J$3+[10]FormattedData!M69*$J$4+$M$4*$J$5+[10]FormattedData!M69^2*$J$6+$M$5*$J$7</f>
        <v>30.285995229643085</v>
      </c>
      <c r="U69" s="6">
        <f>$J$3+[10]FormattedData!N69*$J$4+$M$4*$J$5+[10]FormattedData!N69^2*$J$6+$M$5*$J$7</f>
        <v>30.965467279628765</v>
      </c>
      <c r="V69" s="6">
        <f>$J$3+[10]FormattedData!O69*$J$4+$M$4*$J$5+[10]FormattedData!O69^2*$J$6+$M$5*$J$7</f>
        <v>31.352807114643234</v>
      </c>
      <c r="W69" s="5">
        <f t="shared" si="9"/>
        <v>30.358207569274384</v>
      </c>
      <c r="X69" s="4">
        <f t="shared" si="10"/>
        <v>0.16714078589484019</v>
      </c>
      <c r="Y69" s="3">
        <f t="shared" si="11"/>
        <v>29.214068851553264</v>
      </c>
      <c r="Z69" s="2">
        <f t="shared" si="12"/>
        <v>30.042808850772829</v>
      </c>
      <c r="AA69" s="3">
        <f t="shared" si="13"/>
        <v>30.285995229643085</v>
      </c>
      <c r="AB69" s="2">
        <f t="shared" si="14"/>
        <v>30.723020600172301</v>
      </c>
      <c r="AC69" s="2">
        <f t="shared" si="15"/>
        <v>31.352807114643234</v>
      </c>
      <c r="AD69" s="2">
        <f t="shared" si="16"/>
        <v>-0.22913202438357644</v>
      </c>
      <c r="AE69" s="2">
        <f t="shared" si="17"/>
        <v>0.25209791435327933</v>
      </c>
    </row>
    <row r="70" spans="2:31" x14ac:dyDescent="0.2">
      <c r="B70" s="1">
        <f>[10]FormattedData!A71</f>
        <v>305</v>
      </c>
      <c r="C70" s="1" t="str">
        <f>VLOOKUP($B70,[10]TrtCodes!$B$11:I114,2)</f>
        <v>NDH</v>
      </c>
      <c r="D70" s="1">
        <f>VLOOKUP($B70,[10]TrtCodes!$B$11:J114,3)</f>
        <v>11</v>
      </c>
      <c r="E70" s="1">
        <f>VLOOKUP($B70,[10]TrtCodes!$B$11:K114,4)</f>
        <v>2</v>
      </c>
      <c r="F70" s="1">
        <f>VLOOKUP($B70,[10]TrtCodes!$B$11:L114,5)</f>
        <v>3</v>
      </c>
      <c r="G70" s="1">
        <f>VLOOKUP($B70,[10]TrtCodes!$B$11:M114,6)</f>
        <v>2</v>
      </c>
      <c r="H70" s="1">
        <f>VLOOKUP($B70,[10]TrtCodes!$B$11:N114,7)</f>
        <v>4</v>
      </c>
      <c r="I70" s="1">
        <f>[10]FormattedData!B71</f>
        <v>2</v>
      </c>
      <c r="J70" s="4">
        <f>[10]FormattedData!C71</f>
        <v>13.271000000000001</v>
      </c>
      <c r="K70" s="6">
        <f>$J$3+[10]FormattedData!D71*$J$4+$M$4*$J$5+[10]FormattedData!D71^2*$J$6+$M$5*$J$7</f>
        <v>31.546223420922889</v>
      </c>
      <c r="L70" s="6">
        <f>$J$3+[10]FormattedData!E71*$J$4+$M$4*$J$5+[10]FormattedData!E71^2*$J$6+$M$5*$J$7</f>
        <v>31.64286817125582</v>
      </c>
      <c r="M70" s="6">
        <f>$J$3+[10]FormattedData!F71*$J$4+$M$4*$J$5+[10]FormattedData!F71^2*$J$6+$M$5*$J$7</f>
        <v>31.256035558696517</v>
      </c>
      <c r="N70" s="6">
        <f>$J$3+[10]FormattedData!G71*$J$4+$M$4*$J$5+[10]FormattedData!G71^2*$J$6+$M$5*$J$7</f>
        <v>31.546223420922889</v>
      </c>
      <c r="O70" s="6">
        <f>$J$3+[10]FormattedData!H71*$J$4+$M$4*$J$5+[10]FormattedData!H71^2*$J$6+$M$5*$J$7</f>
        <v>32.029024487208225</v>
      </c>
      <c r="P70" s="6">
        <f>$J$3+[10]FormattedData!I71*$J$4+$M$4*$J$5+[10]FormattedData!I71^2*$J$6+$M$5*$J$7</f>
        <v>31.546223420922889</v>
      </c>
      <c r="Q70" s="6">
        <f>$J$3+[10]FormattedData!J71*$J$4+$M$4*$J$5+[10]FormattedData!J71^2*$J$6+$M$5*$J$7</f>
        <v>32.895403488632155</v>
      </c>
      <c r="R70" s="6">
        <f>$J$3+[10]FormattedData!K71*$J$4+$M$4*$J$5+[10]FormattedData!K71^2*$J$6+$M$5*$J$7</f>
        <v>30.383189470969114</v>
      </c>
      <c r="S70" s="6">
        <f>$J$3+[10]FormattedData!L71*$J$4+$M$4*$J$5+[10]FormattedData!L71^2*$J$6+$M$5*$J$7</f>
        <v>30.77154375089394</v>
      </c>
      <c r="T70" s="6">
        <f>$J$3+[10]FormattedData!M71*$J$4+$M$4*$J$5+[10]FormattedData!M71^2*$J$6+$M$5*$J$7</f>
        <v>29.70194214239033</v>
      </c>
      <c r="U70" s="6">
        <f>$J$3+[10]FormattedData!N71*$J$4+$M$4*$J$5+[10]FormattedData!N71^2*$J$6+$M$5*$J$7</f>
        <v>30.577451148007391</v>
      </c>
      <c r="V70" s="6">
        <f>$J$3+[10]FormattedData!O71*$J$4+$M$4*$J$5+[10]FormattedData!O71^2*$J$6+$M$5*$J$7</f>
        <v>30.480341443757222</v>
      </c>
      <c r="W70" s="5">
        <f t="shared" si="9"/>
        <v>31.198039160381615</v>
      </c>
      <c r="X70" s="4">
        <f t="shared" si="10"/>
        <v>0.24803652707328305</v>
      </c>
      <c r="Y70" s="3">
        <f t="shared" si="11"/>
        <v>29.70194214239033</v>
      </c>
      <c r="Z70" s="2">
        <f t="shared" si="12"/>
        <v>30.553173721944848</v>
      </c>
      <c r="AA70" s="3">
        <f t="shared" si="13"/>
        <v>31.401129489809705</v>
      </c>
      <c r="AB70" s="2">
        <f t="shared" si="14"/>
        <v>31.570384608506121</v>
      </c>
      <c r="AC70" s="2">
        <f t="shared" si="15"/>
        <v>32.895403488632155</v>
      </c>
      <c r="AD70" s="2">
        <f t="shared" si="16"/>
        <v>0.18966050612570282</v>
      </c>
      <c r="AE70" s="2">
        <f t="shared" si="17"/>
        <v>0.2334033505189268</v>
      </c>
    </row>
    <row r="71" spans="2:31" x14ac:dyDescent="0.2">
      <c r="B71" s="1">
        <f>[10]FormattedData!A73</f>
        <v>306</v>
      </c>
      <c r="C71" s="1" t="str">
        <f>VLOOKUP($B71,[10]TrtCodes!$B$11:I116,2)</f>
        <v>FTL</v>
      </c>
      <c r="D71" s="1">
        <f>VLOOKUP($B71,[10]TrtCodes!$B$11:J116,3)</f>
        <v>4</v>
      </c>
      <c r="E71" s="1">
        <f>VLOOKUP($B71,[10]TrtCodes!$B$11:K116,4)</f>
        <v>1</v>
      </c>
      <c r="F71" s="1">
        <f>VLOOKUP($B71,[10]TrtCodes!$B$11:L116,5)</f>
        <v>2</v>
      </c>
      <c r="G71" s="1">
        <f>VLOOKUP($B71,[10]TrtCodes!$B$11:M116,6)</f>
        <v>1</v>
      </c>
      <c r="H71" s="1">
        <f>VLOOKUP($B71,[10]TrtCodes!$B$11:N116,7)</f>
        <v>4</v>
      </c>
      <c r="I71" s="1">
        <f>[10]FormattedData!B73</f>
        <v>2</v>
      </c>
      <c r="J71" s="4">
        <f>[10]FormattedData!C73</f>
        <v>13.285</v>
      </c>
      <c r="K71" s="6">
        <f>$J$3+[10]FormattedData!D73*$J$4+$M$4*$J$5+[10]FormattedData!D73^2*$J$6+$M$5*$J$7</f>
        <v>28.92083765459585</v>
      </c>
      <c r="L71" s="6">
        <f>$J$3+[10]FormattedData!E73*$J$4+$M$4*$J$5+[10]FormattedData!E73^2*$J$6+$M$5*$J$7</f>
        <v>29.214068851553264</v>
      </c>
      <c r="M71" s="6">
        <f>$J$3+[10]FormattedData!F73*$J$4+$M$4*$J$5+[10]FormattedData!F73^2*$J$6+$M$5*$J$7</f>
        <v>29.506919631669298</v>
      </c>
      <c r="N71" s="6">
        <f>$J$3+[10]FormattedData!G73*$J$4+$M$4*$J$5+[10]FormattedData!G73^2*$J$6+$M$5*$J$7</f>
        <v>28.235152129534292</v>
      </c>
      <c r="O71" s="6">
        <f>$J$3+[10]FormattedData!H73*$J$4+$M$4*$J$5+[10]FormattedData!H73^2*$J$6+$M$5*$J$7</f>
        <v>31.159221734211858</v>
      </c>
      <c r="P71" s="6">
        <f>$J$3+[10]FormattedData!I73*$J$4+$M$4*$J$5+[10]FormattedData!I73^2*$J$6+$M$5*$J$7</f>
        <v>28.823009385200848</v>
      </c>
      <c r="Q71" s="6">
        <f>$J$3+[10]FormattedData!J73*$J$4+$M$4*$J$5+[10]FormattedData!J73^2*$J$6+$M$5*$J$7</f>
        <v>29.799389994943954</v>
      </c>
      <c r="R71" s="6">
        <f>$J$3+[10]FormattedData!K73*$J$4+$M$4*$J$5+[10]FormattedData!K73^2*$J$6+$M$5*$J$7</f>
        <v>28.823009385200848</v>
      </c>
      <c r="S71" s="6">
        <f>$J$3+[10]FormattedData!L73*$J$4+$M$4*$J$5+[10]FormattedData!L73^2*$J$6+$M$5*$J$7</f>
        <v>32.31819790452424</v>
      </c>
      <c r="T71" s="6">
        <f>$J$3+[10]FormattedData!M73*$J$4+$M$4*$J$5+[10]FormattedData!M73^2*$J$6+$M$5*$J$7</f>
        <v>29.01862365545292</v>
      </c>
      <c r="U71" s="6">
        <f>$J$3+[10]FormattedData!N73*$J$4+$M$4*$J$5+[10]FormattedData!N73^2*$J$6+$M$5*$J$7</f>
        <v>30.965467279628765</v>
      </c>
      <c r="V71" s="6">
        <f>$J$3+[10]FormattedData!O73*$J$4+$M$4*$J$5+[10]FormattedData!O73^2*$J$6+$M$5*$J$7</f>
        <v>30.091479941377226</v>
      </c>
      <c r="W71" s="5">
        <f t="shared" si="9"/>
        <v>29.739614795657783</v>
      </c>
      <c r="X71" s="4">
        <f t="shared" si="10"/>
        <v>0.34552090514098732</v>
      </c>
      <c r="Y71" s="3">
        <f t="shared" si="11"/>
        <v>28.235152129534292</v>
      </c>
      <c r="Z71" s="2">
        <f t="shared" si="12"/>
        <v>28.896380587247101</v>
      </c>
      <c r="AA71" s="3">
        <f t="shared" si="13"/>
        <v>29.360494241611281</v>
      </c>
      <c r="AB71" s="2">
        <f t="shared" si="14"/>
        <v>30.309976775940111</v>
      </c>
      <c r="AC71" s="2">
        <f t="shared" si="15"/>
        <v>32.31819790452424</v>
      </c>
      <c r="AD71" s="2">
        <f t="shared" si="16"/>
        <v>1.0093418070281355</v>
      </c>
      <c r="AE71" s="2">
        <f t="shared" si="17"/>
        <v>0.41042004860060644</v>
      </c>
    </row>
    <row r="72" spans="2:31" x14ac:dyDescent="0.2">
      <c r="B72" s="1">
        <f>[10]FormattedData!A75</f>
        <v>307</v>
      </c>
      <c r="C72" s="1" t="str">
        <f>VLOOKUP($B72,[10]TrtCodes!$B$11:I118,2)</f>
        <v>NTH</v>
      </c>
      <c r="D72" s="1">
        <f>VLOOKUP($B72,[10]TrtCodes!$B$11:J118,3)</f>
        <v>9</v>
      </c>
      <c r="E72" s="1">
        <f>VLOOKUP($B72,[10]TrtCodes!$B$11:K118,4)</f>
        <v>2</v>
      </c>
      <c r="F72" s="1">
        <f>VLOOKUP($B72,[10]TrtCodes!$B$11:L118,5)</f>
        <v>2</v>
      </c>
      <c r="G72" s="1">
        <f>VLOOKUP($B72,[10]TrtCodes!$B$11:M118,6)</f>
        <v>2</v>
      </c>
      <c r="H72" s="1">
        <f>VLOOKUP($B72,[10]TrtCodes!$B$11:N118,7)</f>
        <v>4</v>
      </c>
      <c r="I72" s="1">
        <f>[10]FormattedData!B75</f>
        <v>2</v>
      </c>
      <c r="J72" s="4">
        <f>[10]FormattedData!C75</f>
        <v>13.298999999999999</v>
      </c>
      <c r="K72" s="6">
        <f>$J$3+[10]FormattedData!D75*$J$4+$M$4*$J$5+[10]FormattedData!D75^2*$J$6+$M$5*$J$7</f>
        <v>27.842401921664631</v>
      </c>
      <c r="L72" s="6">
        <f>$J$3+[10]FormattedData!E75*$J$4+$M$4*$J$5+[10]FormattedData!E75^2*$J$6+$M$5*$J$7</f>
        <v>29.311728046796542</v>
      </c>
      <c r="M72" s="6">
        <f>$J$3+[10]FormattedData!F75*$J$4+$M$4*$J$5+[10]FormattedData!F75^2*$J$6+$M$5*$J$7</f>
        <v>30.674518583719628</v>
      </c>
      <c r="N72" s="6">
        <f>$J$3+[10]FormattedData!G75*$J$4+$M$4*$J$5+[10]FormattedData!G75^2*$J$6+$M$5*$J$7</f>
        <v>29.214068851553264</v>
      </c>
      <c r="O72" s="6">
        <f>$J$3+[10]FormattedData!H75*$J$4+$M$4*$J$5+[10]FormattedData!H75^2*$J$6+$M$5*$J$7</f>
        <v>29.214068851553264</v>
      </c>
      <c r="P72" s="6">
        <f>$J$3+[10]FormattedData!I75*$J$4+$M$4*$J$5+[10]FormattedData!I75^2*$J$6+$M$5*$J$7</f>
        <v>29.214068851553264</v>
      </c>
      <c r="Q72" s="6">
        <f>$J$3+[10]FormattedData!J75*$J$4+$M$4*$J$5+[10]FormattedData!J75^2*$J$6+$M$5*$J$7</f>
        <v>32.029024487208225</v>
      </c>
      <c r="R72" s="6">
        <f>$J$3+[10]FormattedData!K75*$J$4+$M$4*$J$5+[10]FormattedData!K75^2*$J$6+$M$5*$J$7</f>
        <v>30.868526649530317</v>
      </c>
      <c r="S72" s="6">
        <f>$J$3+[10]FormattedData!L75*$J$4+$M$4*$J$5+[10]FormattedData!L75^2*$J$6+$M$5*$J$7</f>
        <v>30.965467279628765</v>
      </c>
      <c r="T72" s="6">
        <f>$J$3+[10]FormattedData!M75*$J$4+$M$4*$J$5+[10]FormattedData!M75^2*$J$6+$M$5*$J$7</f>
        <v>29.994158894437405</v>
      </c>
      <c r="U72" s="6">
        <f>$J$3+[10]FormattedData!N75*$J$4+$M$4*$J$5+[10]FormattedData!N75^2*$J$6+$M$5*$J$7</f>
        <v>31.64286817125582</v>
      </c>
      <c r="V72" s="6">
        <f>$J$3+[10]FormattedData!O75*$J$4+$M$4*$J$5+[10]FormattedData!O75^2*$J$6+$M$5*$J$7</f>
        <v>29.89679557895964</v>
      </c>
      <c r="W72" s="5">
        <f t="shared" si="9"/>
        <v>30.072308013988401</v>
      </c>
      <c r="X72" s="4">
        <f t="shared" si="10"/>
        <v>0.3469275541184203</v>
      </c>
      <c r="Y72" s="3">
        <f t="shared" si="11"/>
        <v>27.842401921664631</v>
      </c>
      <c r="Z72" s="2">
        <f t="shared" si="12"/>
        <v>29.214068851553264</v>
      </c>
      <c r="AA72" s="3">
        <f t="shared" si="13"/>
        <v>29.945477236698522</v>
      </c>
      <c r="AB72" s="2">
        <f t="shared" si="14"/>
        <v>30.892761807054928</v>
      </c>
      <c r="AC72" s="2">
        <f t="shared" si="15"/>
        <v>32.029024487208225</v>
      </c>
      <c r="AD72" s="2">
        <f t="shared" si="16"/>
        <v>-3.9534426891836588E-2</v>
      </c>
      <c r="AE72" s="2">
        <f t="shared" si="17"/>
        <v>-0.36196108567901808</v>
      </c>
    </row>
    <row r="73" spans="2:31" x14ac:dyDescent="0.2">
      <c r="B73" s="1">
        <f>[10]FormattedData!A77</f>
        <v>308</v>
      </c>
      <c r="C73" s="1" t="str">
        <f>VLOOKUP($B73,[10]TrtCodes!$B$11:I120,2)</f>
        <v>FDH</v>
      </c>
      <c r="D73" s="1">
        <f>VLOOKUP($B73,[10]TrtCodes!$B$11:J120,3)</f>
        <v>5</v>
      </c>
      <c r="E73" s="1">
        <f>VLOOKUP($B73,[10]TrtCodes!$B$11:K120,4)</f>
        <v>1</v>
      </c>
      <c r="F73" s="1">
        <f>VLOOKUP($B73,[10]TrtCodes!$B$11:L120,5)</f>
        <v>3</v>
      </c>
      <c r="G73" s="1">
        <f>VLOOKUP($B73,[10]TrtCodes!$B$11:M120,6)</f>
        <v>2</v>
      </c>
      <c r="H73" s="1">
        <f>VLOOKUP($B73,[10]TrtCodes!$B$11:N120,7)</f>
        <v>4</v>
      </c>
      <c r="I73" s="1">
        <f>[10]FormattedData!B77</f>
        <v>2</v>
      </c>
      <c r="J73" s="4">
        <f>[10]FormattedData!C77</f>
        <v>13.313000000000001</v>
      </c>
      <c r="K73" s="6">
        <f>$J$3+[10]FormattedData!D77*$J$4+$M$4*$J$5+[10]FormattedData!D77^2*$J$6+$M$5*$J$7</f>
        <v>29.994158894437405</v>
      </c>
      <c r="L73" s="6">
        <f>$J$3+[10]FormattedData!E77*$J$4+$M$4*$J$5+[10]FormattedData!E77^2*$J$6+$M$5*$J$7</f>
        <v>31.159221734211858</v>
      </c>
      <c r="M73" s="6">
        <f>$J$3+[10]FormattedData!F77*$J$4+$M$4*$J$5+[10]FormattedData!F77^2*$J$6+$M$5*$J$7</f>
        <v>30.868526649530317</v>
      </c>
      <c r="N73" s="6">
        <f>$J$3+[10]FormattedData!G77*$J$4+$M$4*$J$5+[10]FormattedData!G77^2*$J$6+$M$5*$J$7</f>
        <v>29.70194214239033</v>
      </c>
      <c r="O73" s="6">
        <f>$J$3+[10]FormattedData!H77*$J$4+$M$4*$J$5+[10]FormattedData!H77^2*$J$6+$M$5*$J$7</f>
        <v>31.352807114643234</v>
      </c>
      <c r="P73" s="6">
        <f>$J$3+[10]FormattedData!I77*$J$4+$M$4*$J$5+[10]FormattedData!I77^2*$J$6+$M$5*$J$7</f>
        <v>32.029024487208225</v>
      </c>
      <c r="Q73" s="6">
        <f>$J$3+[10]FormattedData!J77*$J$4+$M$4*$J$5+[10]FormattedData!J77^2*$J$6+$M$5*$J$7</f>
        <v>33.471087405374547</v>
      </c>
      <c r="R73" s="6">
        <f>$J$3+[10]FormattedData!K77*$J$4+$M$4*$J$5+[10]FormattedData!K77^2*$J$6+$M$5*$J$7</f>
        <v>32.51076884004528</v>
      </c>
      <c r="S73" s="6">
        <f>$J$3+[10]FormattedData!L77*$J$4+$M$4*$J$5+[10]FormattedData!L77^2*$J$6+$M$5*$J$7</f>
        <v>33.27936184061214</v>
      </c>
      <c r="T73" s="6">
        <f>$J$3+[10]FormattedData!M77*$J$4+$M$4*$J$5+[10]FormattedData!M77^2*$J$6+$M$5*$J$7</f>
        <v>29.994158894437405</v>
      </c>
      <c r="U73" s="6">
        <f>$J$3+[10]FormattedData!N77*$J$4+$M$4*$J$5+[10]FormattedData!N77^2*$J$6+$M$5*$J$7</f>
        <v>30.868526649530317</v>
      </c>
      <c r="V73" s="6">
        <f>$J$3+[10]FormattedData!O77*$J$4+$M$4*$J$5+[10]FormattedData!O77^2*$J$6+$M$5*$J$7</f>
        <v>30.674518583719628</v>
      </c>
      <c r="W73" s="5">
        <f t="shared" si="9"/>
        <v>31.325341936345058</v>
      </c>
      <c r="X73" s="4">
        <f t="shared" si="10"/>
        <v>0.36277161882521636</v>
      </c>
      <c r="Y73" s="3">
        <f t="shared" si="11"/>
        <v>29.70194214239033</v>
      </c>
      <c r="Z73" s="2">
        <f t="shared" si="12"/>
        <v>30.504428661399071</v>
      </c>
      <c r="AA73" s="3">
        <f t="shared" si="13"/>
        <v>31.013874191871089</v>
      </c>
      <c r="AB73" s="2">
        <f t="shared" si="14"/>
        <v>32.149460575417493</v>
      </c>
      <c r="AC73" s="2">
        <f t="shared" si="15"/>
        <v>33.471087405374547</v>
      </c>
      <c r="AD73" s="2">
        <f t="shared" si="16"/>
        <v>0.54350375544883178</v>
      </c>
      <c r="AE73" s="2">
        <f t="shared" si="17"/>
        <v>-0.78006334213340178</v>
      </c>
    </row>
    <row r="74" spans="2:31" x14ac:dyDescent="0.2">
      <c r="B74" s="1">
        <f>[10]FormattedData!A93</f>
        <v>401</v>
      </c>
      <c r="C74" s="1" t="str">
        <f>VLOOKUP($B74,[10]TrtCodes!$B$11:I130,2)</f>
        <v>NSH</v>
      </c>
      <c r="D74" s="1">
        <f>VLOOKUP($B74,[10]TrtCodes!$B$11:J130,3)</f>
        <v>7</v>
      </c>
      <c r="E74" s="1">
        <f>VLOOKUP($B74,[10]TrtCodes!$B$11:K130,4)</f>
        <v>2</v>
      </c>
      <c r="F74" s="1">
        <f>VLOOKUP($B74,[10]TrtCodes!$B$11:L130,5)</f>
        <v>1</v>
      </c>
      <c r="G74" s="1">
        <f>VLOOKUP($B74,[10]TrtCodes!$B$11:M130,6)</f>
        <v>2</v>
      </c>
      <c r="H74" s="1">
        <f>VLOOKUP($B74,[10]TrtCodes!$B$11:N130,7)</f>
        <v>3</v>
      </c>
      <c r="I74" s="1">
        <f>[10]FormattedData!B93</f>
        <v>2</v>
      </c>
      <c r="J74" s="4">
        <f>[10]FormattedData!C93</f>
        <v>13.468999999999999</v>
      </c>
      <c r="K74" s="6">
        <f>$J$3+[10]FormattedData!D93*$J$4+$M$4*$J$5+[10]FormattedData!D93^2*$J$6+$M$5*$J$7</f>
        <v>31.062365641189277</v>
      </c>
      <c r="L74" s="6">
        <f>$J$3+[10]FormattedData!E93*$J$4+$M$4*$J$5+[10]FormattedData!E93^2*$J$6+$M$5*$J$7</f>
        <v>29.604452021298783</v>
      </c>
      <c r="M74" s="6">
        <f>$J$3+[10]FormattedData!F93*$J$4+$M$4*$J$5+[10]FormattedData!F93^2*$J$6+$M$5*$J$7</f>
        <v>29.311728046796542</v>
      </c>
      <c r="N74" s="6">
        <f>$J$3+[10]FormattedData!G93*$J$4+$M$4*$J$5+[10]FormattedData!G93^2*$J$6+$M$5*$J$7</f>
        <v>31.062365641189277</v>
      </c>
      <c r="O74" s="6">
        <f>$J$3+[10]FormattedData!H93*$J$4+$M$4*$J$5+[10]FormattedData!H93^2*$J$6+$M$5*$J$7</f>
        <v>29.311728046796542</v>
      </c>
      <c r="P74" s="6">
        <f>$J$3+[10]FormattedData!I93*$J$4+$M$4*$J$5+[10]FormattedData!I93^2*$J$6+$M$5*$J$7</f>
        <v>30.577451148007391</v>
      </c>
      <c r="Q74" s="6">
        <f>$J$3+[10]FormattedData!J93*$J$4+$M$4*$J$5+[10]FormattedData!J93^2*$J$6+$M$5*$J$7</f>
        <v>31.739470653050816</v>
      </c>
      <c r="R74" s="6">
        <f>$J$3+[10]FormattedData!K93*$J$4+$M$4*$J$5+[10]FormattedData!K93^2*$J$6+$M$5*$J$7</f>
        <v>30.383189470969114</v>
      </c>
      <c r="S74" s="6">
        <f>$J$3+[10]FormattedData!L93*$J$4+$M$4*$J$5+[10]FormattedData!L93^2*$J$6+$M$5*$J$7</f>
        <v>36.042834397066969</v>
      </c>
      <c r="T74" s="6">
        <f>$J$3+[10]FormattedData!M93*$J$4+$M$4*$J$5+[10]FormattedData!M93^2*$J$6+$M$5*$J$7</f>
        <v>30.965467279628765</v>
      </c>
      <c r="U74" s="6">
        <f>$J$3+[10]FormattedData!N93*$J$4+$M$4*$J$5+[10]FormattedData!N93^2*$J$6+$M$5*$J$7</f>
        <v>31.256035558696517</v>
      </c>
      <c r="V74" s="6">
        <f>$J$3+[10]FormattedData!O93*$J$4+$M$4*$J$5+[10]FormattedData!O93^2*$J$6+$M$5*$J$7</f>
        <v>29.214068851553264</v>
      </c>
      <c r="W74" s="5">
        <f t="shared" ref="W74:W105" si="18">AVERAGE(K74:V74)</f>
        <v>30.877596396353606</v>
      </c>
      <c r="X74" s="4">
        <f t="shared" ref="X74:X85" si="19">STDEV(K74:V74)/SQRT(COUNT(K74:V74))</f>
        <v>0.53135305363440899</v>
      </c>
      <c r="Y74" s="3">
        <f t="shared" ref="Y74:Y85" si="20">MIN(K74:V74)</f>
        <v>29.214068851553264</v>
      </c>
      <c r="Z74" s="2">
        <f t="shared" ref="Z74:Z85" si="21">QUARTILE(K74:V74,1)</f>
        <v>29.531271027673224</v>
      </c>
      <c r="AA74" s="3">
        <f t="shared" ref="AA74:AA85" si="22">MEDIAN(K74:V74)</f>
        <v>30.771459213818076</v>
      </c>
      <c r="AB74" s="2">
        <f t="shared" ref="AB74:AB85" si="23">QUARTILE(K74:V74,3)</f>
        <v>31.110783120566087</v>
      </c>
      <c r="AC74" s="2">
        <f t="shared" ref="AC74:AC85" si="24">MAX(K74:V74)</f>
        <v>36.042834397066969</v>
      </c>
      <c r="AD74" s="2">
        <f t="shared" ref="AD74:AD85" si="25">SKEW(K74:V74)</f>
        <v>2.1695091316167296</v>
      </c>
      <c r="AE74" s="2">
        <f t="shared" ref="AE74:AE85" si="26">KURT(K74:V74)</f>
        <v>6.0531140673601644</v>
      </c>
    </row>
    <row r="75" spans="2:31" x14ac:dyDescent="0.2">
      <c r="B75" s="1">
        <f>[10]FormattedData!A91</f>
        <v>402</v>
      </c>
      <c r="C75" s="1" t="str">
        <f>VLOOKUP($B75,[10]TrtCodes!$B$11:I131,2)</f>
        <v>NTH</v>
      </c>
      <c r="D75" s="1">
        <f>VLOOKUP($B75,[10]TrtCodes!$B$11:J131,3)</f>
        <v>9</v>
      </c>
      <c r="E75" s="1">
        <f>VLOOKUP($B75,[10]TrtCodes!$B$11:K131,4)</f>
        <v>2</v>
      </c>
      <c r="F75" s="1">
        <f>VLOOKUP($B75,[10]TrtCodes!$B$11:L131,5)</f>
        <v>2</v>
      </c>
      <c r="G75" s="1">
        <f>VLOOKUP($B75,[10]TrtCodes!$B$11:M131,6)</f>
        <v>2</v>
      </c>
      <c r="H75" s="1">
        <f>VLOOKUP($B75,[10]TrtCodes!$B$11:N131,7)</f>
        <v>3</v>
      </c>
      <c r="I75" s="1">
        <f>[10]FormattedData!B91</f>
        <v>2</v>
      </c>
      <c r="J75" s="4">
        <f>[10]FormattedData!C91</f>
        <v>13.435</v>
      </c>
      <c r="K75" s="6">
        <f>$J$3+[10]FormattedData!D91*$J$4+$M$4*$J$5+[10]FormattedData!D91^2*$J$6+$M$5*$J$7</f>
        <v>29.89679557895964</v>
      </c>
      <c r="L75" s="6">
        <f>$J$3+[10]FormattedData!E91*$J$4+$M$4*$J$5+[10]FormattedData!E91^2*$J$6+$M$5*$J$7</f>
        <v>29.311728046796542</v>
      </c>
      <c r="M75" s="6">
        <f>$J$3+[10]FormattedData!F91*$J$4+$M$4*$J$5+[10]FormattedData!F91^2*$J$6+$M$5*$J$7</f>
        <v>29.506919631669298</v>
      </c>
      <c r="N75" s="6">
        <f>$J$3+[10]FormattedData!G91*$J$4+$M$4*$J$5+[10]FormattedData!G91^2*$J$6+$M$5*$J$7</f>
        <v>31.062365641189277</v>
      </c>
      <c r="O75" s="6">
        <f>$J$3+[10]FormattedData!H91*$J$4+$M$4*$J$5+[10]FormattedData!H91^2*$J$6+$M$5*$J$7</f>
        <v>30.674518583719628</v>
      </c>
      <c r="P75" s="6">
        <f>$J$3+[10]FormattedData!I91*$J$4+$M$4*$J$5+[10]FormattedData!I91^2*$J$6+$M$5*$J$7</f>
        <v>31.256035558696517</v>
      </c>
      <c r="Q75" s="6">
        <f>$J$3+[10]FormattedData!J91*$J$4+$M$4*$J$5+[10]FormattedData!J91^2*$J$6+$M$5*$J$7</f>
        <v>29.994158894437405</v>
      </c>
      <c r="R75" s="6">
        <f>$J$3+[10]FormattedData!K91*$J$4+$M$4*$J$5+[10]FormattedData!K91^2*$J$6+$M$5*$J$7</f>
        <v>30.480341443757222</v>
      </c>
      <c r="S75" s="6">
        <f>$J$3+[10]FormattedData!L91*$J$4+$M$4*$J$5+[10]FormattedData!L91^2*$J$6+$M$5*$J$7</f>
        <v>31.159221734211858</v>
      </c>
      <c r="T75" s="6">
        <f>$J$3+[10]FormattedData!M91*$J$4+$M$4*$J$5+[10]FormattedData!M91^2*$J$6+$M$5*$J$7</f>
        <v>30.285995229643085</v>
      </c>
      <c r="U75" s="6">
        <f>$J$3+[10]FormattedData!N91*$J$4+$M$4*$J$5+[10]FormattedData!N91^2*$J$6+$M$5*$J$7</f>
        <v>28.235152129534292</v>
      </c>
      <c r="V75" s="6">
        <f>$J$3+[10]FormattedData!O91*$J$4+$M$4*$J$5+[10]FormattedData!O91^2*$J$6+$M$5*$J$7</f>
        <v>29.214068851553264</v>
      </c>
      <c r="W75" s="5">
        <f t="shared" si="18"/>
        <v>30.089775110347336</v>
      </c>
      <c r="X75" s="4">
        <f t="shared" si="19"/>
        <v>0.26372521190538023</v>
      </c>
      <c r="Y75" s="3">
        <f t="shared" si="20"/>
        <v>28.235152129534292</v>
      </c>
      <c r="Z75" s="2">
        <f t="shared" si="21"/>
        <v>29.458121735451108</v>
      </c>
      <c r="AA75" s="3">
        <f t="shared" si="22"/>
        <v>30.140077062040245</v>
      </c>
      <c r="AB75" s="2">
        <f t="shared" si="23"/>
        <v>30.771480348087039</v>
      </c>
      <c r="AC75" s="2">
        <f t="shared" si="24"/>
        <v>31.256035558696517</v>
      </c>
      <c r="AD75" s="2">
        <f t="shared" si="25"/>
        <v>-0.53385281626851888</v>
      </c>
      <c r="AE75" s="2">
        <f t="shared" si="26"/>
        <v>-0.16573897251092529</v>
      </c>
    </row>
    <row r="76" spans="2:31" x14ac:dyDescent="0.2">
      <c r="B76" s="1">
        <f>[10]FormattedData!A89</f>
        <v>403</v>
      </c>
      <c r="C76" s="1" t="str">
        <f>VLOOKUP($B76,[10]TrtCodes!$B$11:I132,2)</f>
        <v>FDL</v>
      </c>
      <c r="D76" s="1">
        <f>VLOOKUP($B76,[10]TrtCodes!$B$11:J132,3)</f>
        <v>6</v>
      </c>
      <c r="E76" s="1">
        <f>VLOOKUP($B76,[10]TrtCodes!$B$11:K132,4)</f>
        <v>1</v>
      </c>
      <c r="F76" s="1">
        <f>VLOOKUP($B76,[10]TrtCodes!$B$11:L132,5)</f>
        <v>3</v>
      </c>
      <c r="G76" s="1">
        <f>VLOOKUP($B76,[10]TrtCodes!$B$11:M132,6)</f>
        <v>1</v>
      </c>
      <c r="H76" s="1">
        <f>VLOOKUP($B76,[10]TrtCodes!$B$11:N132,7)</f>
        <v>3</v>
      </c>
      <c r="I76" s="1">
        <f>[10]FormattedData!B89</f>
        <v>2</v>
      </c>
      <c r="J76" s="4">
        <f>[10]FormattedData!C89</f>
        <v>13.417</v>
      </c>
      <c r="K76" s="6">
        <f>$J$3+[10]FormattedData!D89*$J$4+$M$4*$J$5+[10]FormattedData!D89^2*$J$6+$M$5*$J$7</f>
        <v>30.383189470969114</v>
      </c>
      <c r="L76" s="6">
        <f>$J$3+[10]FormattedData!E89*$J$4+$M$4*$J$5+[10]FormattedData!E89^2*$J$6+$M$5*$J$7</f>
        <v>28.038861562675326</v>
      </c>
      <c r="M76" s="6">
        <f>$J$3+[10]FormattedData!F89*$J$4+$M$4*$J$5+[10]FormattedData!F89^2*$J$6+$M$5*$J$7</f>
        <v>28.823009385200848</v>
      </c>
      <c r="N76" s="6">
        <f>$J$3+[10]FormattedData!G89*$J$4+$M$4*$J$5+[10]FormattedData!G89^2*$J$6+$M$5*$J$7</f>
        <v>28.038861562675326</v>
      </c>
      <c r="O76" s="6">
        <f>$J$3+[10]FormattedData!H89*$J$4+$M$4*$J$5+[10]FormattedData!H89^2*$J$6+$M$5*$J$7</f>
        <v>30.77154375089394</v>
      </c>
      <c r="P76" s="6">
        <f>$J$3+[10]FormattedData!I89*$J$4+$M$4*$J$5+[10]FormattedData!I89^2*$J$6+$M$5*$J$7</f>
        <v>27.940652876438943</v>
      </c>
      <c r="Q76" s="6">
        <f>$J$3+[10]FormattedData!J89*$J$4+$M$4*$J$5+[10]FormattedData!J89^2*$J$6+$M$5*$J$7</f>
        <v>28.725138847267917</v>
      </c>
      <c r="R76" s="6">
        <f>$J$3+[10]FormattedData!K89*$J$4+$M$4*$J$5+[10]FormattedData!K89^2*$J$6+$M$5*$J$7</f>
        <v>26.660093518414261</v>
      </c>
      <c r="S76" s="6">
        <f>$J$3+[10]FormattedData!L89*$J$4+$M$4*$J$5+[10]FormattedData!L89^2*$J$6+$M$5*$J$7</f>
        <v>28.529270965788264</v>
      </c>
      <c r="T76" s="6">
        <f>$J$3+[10]FormattedData!M89*$J$4+$M$4*$J$5+[10]FormattedData!M89^2*$J$6+$M$5*$J$7</f>
        <v>29.409344973501884</v>
      </c>
      <c r="U76" s="6">
        <f>$J$3+[10]FormattedData!N89*$J$4+$M$4*$J$5+[10]FormattedData!N89^2*$J$6+$M$5*$J$7</f>
        <v>28.92083765459585</v>
      </c>
      <c r="V76" s="6">
        <f>$J$3+[10]FormattedData!O89*$J$4+$M$4*$J$5+[10]FormattedData!O89^2*$J$6+$M$5*$J$7</f>
        <v>28.235152129534292</v>
      </c>
      <c r="W76" s="5">
        <f t="shared" si="18"/>
        <v>28.706329724829668</v>
      </c>
      <c r="X76" s="4">
        <f t="shared" si="19"/>
        <v>0.3203798511822829</v>
      </c>
      <c r="Y76" s="3">
        <f t="shared" si="20"/>
        <v>26.660093518414261</v>
      </c>
      <c r="Z76" s="2">
        <f t="shared" si="21"/>
        <v>28.038861562675326</v>
      </c>
      <c r="AA76" s="3">
        <f t="shared" si="22"/>
        <v>28.627204906528092</v>
      </c>
      <c r="AB76" s="2">
        <f t="shared" si="23"/>
        <v>29.042964484322358</v>
      </c>
      <c r="AC76" s="2">
        <f t="shared" si="24"/>
        <v>30.77154375089394</v>
      </c>
      <c r="AD76" s="2">
        <f t="shared" si="25"/>
        <v>0.33204873684825059</v>
      </c>
      <c r="AE76" s="2">
        <f t="shared" si="26"/>
        <v>0.60595786489931491</v>
      </c>
    </row>
    <row r="77" spans="2:31" x14ac:dyDescent="0.2">
      <c r="B77" s="1">
        <f>[10]FormattedData!A87</f>
        <v>404</v>
      </c>
      <c r="C77" s="1" t="str">
        <f>VLOOKUP($B77,[10]TrtCodes!$B$11:I130,2)</f>
        <v>FTH</v>
      </c>
      <c r="D77" s="1">
        <f>VLOOKUP($B77,[10]TrtCodes!$B$11:J130,3)</f>
        <v>3</v>
      </c>
      <c r="E77" s="1">
        <f>VLOOKUP($B77,[10]TrtCodes!$B$11:K130,4)</f>
        <v>1</v>
      </c>
      <c r="F77" s="1">
        <f>VLOOKUP($B77,[10]TrtCodes!$B$11:L130,5)</f>
        <v>2</v>
      </c>
      <c r="G77" s="1">
        <f>VLOOKUP($B77,[10]TrtCodes!$B$11:M130,6)</f>
        <v>2</v>
      </c>
      <c r="H77" s="1">
        <f>VLOOKUP($B77,[10]TrtCodes!$B$11:N130,7)</f>
        <v>3</v>
      </c>
      <c r="I77" s="1">
        <f>[10]FormattedData!B87</f>
        <v>2</v>
      </c>
      <c r="J77" s="4">
        <f>[10]FormattedData!C87</f>
        <v>13.401</v>
      </c>
      <c r="K77" s="6">
        <f>$J$3+[10]FormattedData!D87*$J$4+$M$4*$J$5+[10]FormattedData!D87^2*$J$6+$M$5*$J$7</f>
        <v>29.311728046796542</v>
      </c>
      <c r="L77" s="6">
        <f>$J$3+[10]FormattedData!E87*$J$4+$M$4*$J$5+[10]FormattedData!E87^2*$J$6+$M$5*$J$7</f>
        <v>29.01862365545292</v>
      </c>
      <c r="M77" s="6">
        <f>$J$3+[10]FormattedData!F87*$J$4+$M$4*$J$5+[10]FormattedData!F87^2*$J$6+$M$5*$J$7</f>
        <v>27.842401921664631</v>
      </c>
      <c r="N77" s="6">
        <f>$J$3+[10]FormattedData!G87*$J$4+$M$4*$J$5+[10]FormattedData!G87^2*$J$6+$M$5*$J$7</f>
        <v>28.038861562675326</v>
      </c>
      <c r="O77" s="6">
        <f>$J$3+[10]FormattedData!H87*$J$4+$M$4*$J$5+[10]FormattedData!H87^2*$J$6+$M$5*$J$7</f>
        <v>27.842401921664631</v>
      </c>
      <c r="P77" s="6">
        <f>$J$3+[10]FormattedData!I87*$J$4+$M$4*$J$5+[10]FormattedData!I87^2*$J$6+$M$5*$J$7</f>
        <v>28.137027980373777</v>
      </c>
      <c r="Q77" s="6">
        <f>$J$3+[10]FormattedData!J87*$J$4+$M$4*$J$5+[10]FormattedData!J87^2*$J$6+$M$5*$J$7</f>
        <v>28.038861562675326</v>
      </c>
      <c r="R77" s="6">
        <f>$J$3+[10]FormattedData!K87*$J$4+$M$4*$J$5+[10]FormattedData!K87^2*$J$6+$M$5*$J$7</f>
        <v>26.758851695643745</v>
      </c>
      <c r="S77" s="6">
        <f>$J$3+[10]FormattedData!L87*$J$4+$M$4*$J$5+[10]FormattedData!L87^2*$J$6+$M$5*$J$7</f>
        <v>29.311728046796542</v>
      </c>
      <c r="T77" s="6">
        <f>$J$3+[10]FormattedData!M87*$J$4+$M$4*$J$5+[10]FormattedData!M87^2*$J$6+$M$5*$J$7</f>
        <v>29.01862365545292</v>
      </c>
      <c r="U77" s="6">
        <f>$J$3+[10]FormattedData!N87*$J$4+$M$4*$J$5+[10]FormattedData!N87^2*$J$6+$M$5*$J$7</f>
        <v>29.01862365545292</v>
      </c>
      <c r="V77" s="6">
        <f>$J$3+[10]FormattedData!O87*$J$4+$M$4*$J$5+[10]FormattedData!O87^2*$J$6+$M$5*$J$7</f>
        <v>28.333234010156879</v>
      </c>
      <c r="W77" s="5">
        <f t="shared" si="18"/>
        <v>28.389247309567182</v>
      </c>
      <c r="X77" s="4">
        <f t="shared" si="19"/>
        <v>0.22120275925762725</v>
      </c>
      <c r="Y77" s="3">
        <f t="shared" si="20"/>
        <v>26.758851695643745</v>
      </c>
      <c r="Z77" s="2">
        <f t="shared" si="21"/>
        <v>27.989746652422653</v>
      </c>
      <c r="AA77" s="3">
        <f t="shared" si="22"/>
        <v>28.23513099526533</v>
      </c>
      <c r="AB77" s="2">
        <f t="shared" si="23"/>
        <v>29.01862365545292</v>
      </c>
      <c r="AC77" s="2">
        <f t="shared" si="24"/>
        <v>29.311728046796542</v>
      </c>
      <c r="AD77" s="2">
        <f t="shared" si="25"/>
        <v>-0.59289156254962128</v>
      </c>
      <c r="AE77" s="2">
        <f t="shared" si="26"/>
        <v>0.1706442371402952</v>
      </c>
    </row>
    <row r="78" spans="2:31" x14ac:dyDescent="0.2">
      <c r="B78" s="1">
        <f>[10]FormattedData!A85</f>
        <v>405</v>
      </c>
      <c r="C78" s="1" t="str">
        <f>VLOOKUP($B78,[10]TrtCodes!$B$11:I128,2)</f>
        <v>FDL</v>
      </c>
      <c r="D78" s="1">
        <f>VLOOKUP($B78,[10]TrtCodes!$B$11:J128,3)</f>
        <v>6</v>
      </c>
      <c r="E78" s="1">
        <f>VLOOKUP($B78,[10]TrtCodes!$B$11:K128,4)</f>
        <v>1</v>
      </c>
      <c r="F78" s="1">
        <f>VLOOKUP($B78,[10]TrtCodes!$B$11:L128,5)</f>
        <v>3</v>
      </c>
      <c r="G78" s="1">
        <f>VLOOKUP($B78,[10]TrtCodes!$B$11:M128,6)</f>
        <v>1</v>
      </c>
      <c r="H78" s="1">
        <f>VLOOKUP($B78,[10]TrtCodes!$B$11:N128,7)</f>
        <v>4</v>
      </c>
      <c r="I78" s="1">
        <f>[10]FormattedData!B85</f>
        <v>2</v>
      </c>
      <c r="J78" s="4">
        <f>[10]FormattedData!C85</f>
        <v>13.385</v>
      </c>
      <c r="K78" s="6">
        <f>$J$3+[10]FormattedData!D85*$J$4+$M$4*$J$5+[10]FormattedData!D85^2*$J$6+$M$5*$J$7</f>
        <v>29.214068851553264</v>
      </c>
      <c r="L78" s="6">
        <f>$J$3+[10]FormattedData!E85*$J$4+$M$4*$J$5+[10]FormattedData!E85^2*$J$6+$M$5*$J$7</f>
        <v>27.744108698352388</v>
      </c>
      <c r="M78" s="6">
        <f>$J$3+[10]FormattedData!F85*$J$4+$M$4*$J$5+[10]FormattedData!F85^2*$J$6+$M$5*$J$7</f>
        <v>28.725138847267917</v>
      </c>
      <c r="N78" s="6">
        <f>$J$3+[10]FormattedData!G85*$J$4+$M$4*$J$5+[10]FormattedData!G85^2*$J$6+$M$5*$J$7</f>
        <v>28.725138847267917</v>
      </c>
      <c r="O78" s="6">
        <f>$J$3+[10]FormattedData!H85*$J$4+$M$4*$J$5+[10]FormattedData!H85^2*$J$6+$M$5*$J$7</f>
        <v>29.604452021298783</v>
      </c>
      <c r="P78" s="6">
        <f>$J$3+[10]FormattedData!I85*$J$4+$M$4*$J$5+[10]FormattedData!I85^2*$J$6+$M$5*$J$7</f>
        <v>29.116367387772058</v>
      </c>
      <c r="Q78" s="6">
        <f>$J$3+[10]FormattedData!J85*$J$4+$M$4*$J$5+[10]FormattedData!J85^2*$J$6+$M$5*$J$7</f>
        <v>27.547395446114109</v>
      </c>
      <c r="R78" s="6">
        <f>$J$3+[10]FormattedData!K85*$J$4+$M$4*$J$5+[10]FormattedData!K85^2*$J$6+$M$5*$J$7</f>
        <v>28.725138847267917</v>
      </c>
      <c r="S78" s="6">
        <f>$J$3+[10]FormattedData!L85*$J$4+$M$4*$J$5+[10]FormattedData!L85^2*$J$6+$M$5*$J$7</f>
        <v>28.627226040797055</v>
      </c>
      <c r="T78" s="6">
        <f>$J$3+[10]FormattedData!M85*$J$4+$M$4*$J$5+[10]FormattedData!M85^2*$J$6+$M$5*$J$7</f>
        <v>27.940652876438943</v>
      </c>
      <c r="U78" s="6">
        <f>$J$3+[10]FormattedData!N85*$J$4+$M$4*$J$5+[10]FormattedData!N85^2*$J$6+$M$5*$J$7</f>
        <v>27.547395446114109</v>
      </c>
      <c r="V78" s="6">
        <f>$J$3+[10]FormattedData!O85*$J$4+$M$4*$J$5+[10]FormattedData!O85^2*$J$6+$M$5*$J$7</f>
        <v>28.529270965788264</v>
      </c>
      <c r="W78" s="5">
        <f t="shared" si="18"/>
        <v>28.503862856336056</v>
      </c>
      <c r="X78" s="4">
        <f t="shared" si="19"/>
        <v>0.19419015559893157</v>
      </c>
      <c r="Y78" s="3">
        <f t="shared" si="20"/>
        <v>27.547395446114109</v>
      </c>
      <c r="Z78" s="2">
        <f t="shared" si="21"/>
        <v>27.891516831917304</v>
      </c>
      <c r="AA78" s="3">
        <f t="shared" si="22"/>
        <v>28.676182444032484</v>
      </c>
      <c r="AB78" s="2">
        <f t="shared" si="23"/>
        <v>28.822945982393954</v>
      </c>
      <c r="AC78" s="2">
        <f t="shared" si="24"/>
        <v>29.604452021298783</v>
      </c>
      <c r="AD78" s="2">
        <f t="shared" si="25"/>
        <v>-0.14752984408020386</v>
      </c>
      <c r="AE78" s="2">
        <f t="shared" si="26"/>
        <v>-0.97261223262950391</v>
      </c>
    </row>
    <row r="79" spans="2:31" x14ac:dyDescent="0.2">
      <c r="B79" s="1">
        <f>[10]FormattedData!A83</f>
        <v>406</v>
      </c>
      <c r="C79" s="1" t="str">
        <f>VLOOKUP($B79,[10]TrtCodes!$B$11:I126,2)</f>
        <v>FTH</v>
      </c>
      <c r="D79" s="1">
        <f>VLOOKUP($B79,[10]TrtCodes!$B$11:J126,3)</f>
        <v>3</v>
      </c>
      <c r="E79" s="1">
        <f>VLOOKUP($B79,[10]TrtCodes!$B$11:K126,4)</f>
        <v>1</v>
      </c>
      <c r="F79" s="1">
        <f>VLOOKUP($B79,[10]TrtCodes!$B$11:L126,5)</f>
        <v>2</v>
      </c>
      <c r="G79" s="1">
        <f>VLOOKUP($B79,[10]TrtCodes!$B$11:M126,6)</f>
        <v>2</v>
      </c>
      <c r="H79" s="1">
        <f>VLOOKUP($B79,[10]TrtCodes!$B$11:N126,7)</f>
        <v>4</v>
      </c>
      <c r="I79" s="1">
        <f>[10]FormattedData!B83</f>
        <v>2</v>
      </c>
      <c r="J79" s="4">
        <f>[10]FormattedData!C83</f>
        <v>13.368</v>
      </c>
      <c r="K79" s="6">
        <f>$J$3+[10]FormattedData!D83*$J$4+$M$4*$J$5+[10]FormattedData!D83^2*$J$6+$M$5*$J$7</f>
        <v>28.529270965788264</v>
      </c>
      <c r="L79" s="6">
        <f>$J$3+[10]FormattedData!E83*$J$4+$M$4*$J$5+[10]FormattedData!E83^2*$J$6+$M$5*$J$7</f>
        <v>28.529270965788264</v>
      </c>
      <c r="M79" s="6">
        <f>$J$3+[10]FormattedData!F83*$J$4+$M$4*$J$5+[10]FormattedData!F83^2*$J$6+$M$5*$J$7</f>
        <v>27.153461719182381</v>
      </c>
      <c r="N79" s="6">
        <f>$J$3+[10]FormattedData!G83*$J$4+$M$4*$J$5+[10]FormattedData!G83^2*$J$6+$M$5*$J$7</f>
        <v>26.857567604335301</v>
      </c>
      <c r="O79" s="6">
        <f>$J$3+[10]FormattedData!H83*$J$4+$M$4*$J$5+[10]FormattedData!H83^2*$J$6+$M$5*$J$7</f>
        <v>27.842401921664631</v>
      </c>
      <c r="P79" s="6">
        <f>$J$3+[10]FormattedData!I83*$J$4+$M$4*$J$5+[10]FormattedData!I83^2*$J$6+$M$5*$J$7</f>
        <v>28.137027980373777</v>
      </c>
      <c r="Q79" s="6">
        <f>$J$3+[10]FormattedData!J83*$J$4+$M$4*$J$5+[10]FormattedData!J83^2*$J$6+$M$5*$J$7</f>
        <v>27.842401921664631</v>
      </c>
      <c r="R79" s="6">
        <f>$J$3+[10]FormattedData!K83*$J$4+$M$4*$J$5+[10]FormattedData!K83^2*$J$6+$M$5*$J$7</f>
        <v>27.940652876438943</v>
      </c>
      <c r="S79" s="6">
        <f>$J$3+[10]FormattedData!L83*$J$4+$M$4*$J$5+[10]FormattedData!L83^2*$J$6+$M$5*$J$7</f>
        <v>28.627226040797055</v>
      </c>
      <c r="T79" s="6">
        <f>$J$3+[10]FormattedData!M83*$J$4+$M$4*$J$5+[10]FormattedData!M83^2*$J$6+$M$5*$J$7</f>
        <v>27.054872616104614</v>
      </c>
      <c r="U79" s="6">
        <f>$J$3+[10]FormattedData!N83*$J$4+$M$4*$J$5+[10]FormattedData!N83^2*$J$6+$M$5*$J$7</f>
        <v>29.604452021298783</v>
      </c>
      <c r="V79" s="6">
        <f>$J$3+[10]FormattedData!O83*$J$4+$M$4*$J$5+[10]FormattedData!O83^2*$J$6+$M$5*$J$7</f>
        <v>29.01862365545292</v>
      </c>
      <c r="W79" s="5">
        <f t="shared" si="18"/>
        <v>28.094769190740791</v>
      </c>
      <c r="X79" s="4">
        <f t="shared" si="19"/>
        <v>0.2374863908549659</v>
      </c>
      <c r="Y79" s="3">
        <f t="shared" si="20"/>
        <v>26.857567604335301</v>
      </c>
      <c r="Z79" s="2">
        <f t="shared" si="21"/>
        <v>27.670166871044067</v>
      </c>
      <c r="AA79" s="3">
        <f t="shared" si="22"/>
        <v>28.03884042840636</v>
      </c>
      <c r="AB79" s="2">
        <f t="shared" si="23"/>
        <v>28.553759734540463</v>
      </c>
      <c r="AC79" s="2">
        <f t="shared" si="24"/>
        <v>29.604452021298783</v>
      </c>
      <c r="AD79" s="2">
        <f t="shared" si="25"/>
        <v>0.12858031585062263</v>
      </c>
      <c r="AE79" s="2">
        <f t="shared" si="26"/>
        <v>-0.46224541245844764</v>
      </c>
    </row>
    <row r="80" spans="2:31" x14ac:dyDescent="0.2">
      <c r="B80" s="1">
        <f>[10]FormattedData!A81</f>
        <v>407</v>
      </c>
      <c r="C80" s="1" t="str">
        <f>VLOOKUP($B80,[10]TrtCodes!$B$11:I124,2)</f>
        <v>NSH</v>
      </c>
      <c r="D80" s="1">
        <f>VLOOKUP($B80,[10]TrtCodes!$B$11:J124,3)</f>
        <v>7</v>
      </c>
      <c r="E80" s="1">
        <f>VLOOKUP($B80,[10]TrtCodes!$B$11:K124,4)</f>
        <v>2</v>
      </c>
      <c r="F80" s="1">
        <f>VLOOKUP($B80,[10]TrtCodes!$B$11:L124,5)</f>
        <v>1</v>
      </c>
      <c r="G80" s="1">
        <f>VLOOKUP($B80,[10]TrtCodes!$B$11:M124,6)</f>
        <v>2</v>
      </c>
      <c r="H80" s="1">
        <f>VLOOKUP($B80,[10]TrtCodes!$B$11:N124,7)</f>
        <v>4</v>
      </c>
      <c r="I80" s="1">
        <f>[10]FormattedData!B81</f>
        <v>2</v>
      </c>
      <c r="J80" s="4">
        <f>[10]FormattedData!C81</f>
        <v>13.353</v>
      </c>
      <c r="K80" s="6">
        <f>$J$3+[10]FormattedData!D81*$J$4+$M$4*$J$5+[10]FormattedData!D81^2*$J$6+$M$5*$J$7</f>
        <v>30.674518583719628</v>
      </c>
      <c r="L80" s="6">
        <f>$J$3+[10]FormattedData!E81*$J$4+$M$4*$J$5+[10]FormattedData!E81^2*$J$6+$M$5*$J$7</f>
        <v>28.137027980373777</v>
      </c>
      <c r="M80" s="6">
        <f>$J$3+[10]FormattedData!F81*$J$4+$M$4*$J$5+[10]FormattedData!F81^2*$J$6+$M$5*$J$7</f>
        <v>29.994158894437405</v>
      </c>
      <c r="N80" s="6">
        <f>$J$3+[10]FormattedData!G81*$J$4+$M$4*$J$5+[10]FormattedData!G81^2*$J$6+$M$5*$J$7</f>
        <v>28.529270965788264</v>
      </c>
      <c r="O80" s="6">
        <f>$J$3+[10]FormattedData!H81*$J$4+$M$4*$J$5+[10]FormattedData!H81^2*$J$6+$M$5*$J$7</f>
        <v>29.604452021298783</v>
      </c>
      <c r="P80" s="6">
        <f>$J$3+[10]FormattedData!I81*$J$4+$M$4*$J$5+[10]FormattedData!I81^2*$J$6+$M$5*$J$7</f>
        <v>29.506919631669298</v>
      </c>
      <c r="Q80" s="6">
        <f>$J$3+[10]FormattedData!J81*$J$4+$M$4*$J$5+[10]FormattedData!J81^2*$J$6+$M$5*$J$7</f>
        <v>30.383189470969114</v>
      </c>
      <c r="R80" s="6">
        <f>$J$3+[10]FormattedData!K81*$J$4+$M$4*$J$5+[10]FormattedData!K81^2*$J$6+$M$5*$J$7</f>
        <v>28.823009385200848</v>
      </c>
      <c r="S80" s="6">
        <f>$J$3+[10]FormattedData!L81*$J$4+$M$4*$J$5+[10]FormattedData!L81^2*$J$6+$M$5*$J$7</f>
        <v>29.994158894437405</v>
      </c>
      <c r="T80" s="6">
        <f>$J$3+[10]FormattedData!M81*$J$4+$M$4*$J$5+[10]FormattedData!M81^2*$J$6+$M$5*$J$7</f>
        <v>29.604452021298783</v>
      </c>
      <c r="U80" s="6">
        <f>$J$3+[10]FormattedData!N81*$J$4+$M$4*$J$5+[10]FormattedData!N81^2*$J$6+$M$5*$J$7</f>
        <v>31.932548811027019</v>
      </c>
      <c r="V80" s="6">
        <f>$J$3+[10]FormattedData!O81*$J$4+$M$4*$J$5+[10]FormattedData!O81^2*$J$6+$M$5*$J$7</f>
        <v>29.116367387772058</v>
      </c>
      <c r="W80" s="5">
        <f t="shared" si="18"/>
        <v>29.6916728373327</v>
      </c>
      <c r="X80" s="4">
        <f t="shared" si="19"/>
        <v>0.29582577999991239</v>
      </c>
      <c r="Y80" s="3">
        <f t="shared" si="20"/>
        <v>28.137027980373777</v>
      </c>
      <c r="Z80" s="2">
        <f t="shared" si="21"/>
        <v>29.043027887129256</v>
      </c>
      <c r="AA80" s="3">
        <f t="shared" si="22"/>
        <v>29.604452021298783</v>
      </c>
      <c r="AB80" s="2">
        <f t="shared" si="23"/>
        <v>30.091416538570332</v>
      </c>
      <c r="AC80" s="2">
        <f t="shared" si="24"/>
        <v>31.932548811027019</v>
      </c>
      <c r="AD80" s="2">
        <f t="shared" si="25"/>
        <v>0.64942364395299901</v>
      </c>
      <c r="AE80" s="2">
        <f t="shared" si="26"/>
        <v>0.93068482614607007</v>
      </c>
    </row>
    <row r="81" spans="2:31" x14ac:dyDescent="0.2">
      <c r="B81" s="1">
        <f>[10]FormattedData!A79</f>
        <v>408</v>
      </c>
      <c r="C81" s="1" t="str">
        <f>VLOOKUP($B81,[10]TrtCodes!$B$11:I122,2)</f>
        <v>NTL</v>
      </c>
      <c r="D81" s="1">
        <f>VLOOKUP($B81,[10]TrtCodes!$B$11:J122,3)</f>
        <v>10</v>
      </c>
      <c r="E81" s="1">
        <f>VLOOKUP($B81,[10]TrtCodes!$B$11:K122,4)</f>
        <v>2</v>
      </c>
      <c r="F81" s="1">
        <f>VLOOKUP($B81,[10]TrtCodes!$B$11:L122,5)</f>
        <v>2</v>
      </c>
      <c r="G81" s="1">
        <f>VLOOKUP($B81,[10]TrtCodes!$B$11:M122,6)</f>
        <v>1</v>
      </c>
      <c r="H81" s="1">
        <f>VLOOKUP($B81,[10]TrtCodes!$B$11:N122,7)</f>
        <v>4</v>
      </c>
      <c r="I81" s="1">
        <f>[10]FormattedData!B79</f>
        <v>2</v>
      </c>
      <c r="J81" s="4">
        <f>[10]FormattedData!C79</f>
        <v>13.335000000000001</v>
      </c>
      <c r="K81" s="6">
        <f>$J$3+[10]FormattedData!D79*$J$4+$M$4*$J$5+[10]FormattedData!D79^2*$J$6+$M$5*$J$7</f>
        <v>31.739470653050816</v>
      </c>
      <c r="L81" s="6">
        <f>$J$3+[10]FormattedData!E79*$J$4+$M$4*$J$5+[10]FormattedData!E79^2*$J$6+$M$5*$J$7</f>
        <v>30.965467279628765</v>
      </c>
      <c r="M81" s="6">
        <f>$J$3+[10]FormattedData!F79*$J$4+$M$4*$J$5+[10]FormattedData!F79^2*$J$6+$M$5*$J$7</f>
        <v>31.739470653050816</v>
      </c>
      <c r="N81" s="6">
        <f>$J$3+[10]FormattedData!G79*$J$4+$M$4*$J$5+[10]FormattedData!G79^2*$J$6+$M$5*$J$7</f>
        <v>30.868526649530317</v>
      </c>
      <c r="O81" s="6">
        <f>$J$3+[10]FormattedData!H79*$J$4+$M$4*$J$5+[10]FormattedData!H79^2*$J$6+$M$5*$J$7</f>
        <v>30.285995229643085</v>
      </c>
      <c r="P81" s="6">
        <f>$J$3+[10]FormattedData!I79*$J$4+$M$4*$J$5+[10]FormattedData!I79^2*$J$6+$M$5*$J$7</f>
        <v>29.506919631669298</v>
      </c>
      <c r="Q81" s="6">
        <f>$J$3+[10]FormattedData!J79*$J$4+$M$4*$J$5+[10]FormattedData!J79^2*$J$6+$M$5*$J$7</f>
        <v>31.256035558696517</v>
      </c>
      <c r="R81" s="6">
        <f>$J$3+[10]FormattedData!K79*$J$4+$M$4*$J$5+[10]FormattedData!K79^2*$J$6+$M$5*$J$7</f>
        <v>29.214068851553264</v>
      </c>
      <c r="S81" s="6">
        <f>$J$3+[10]FormattedData!L79*$J$4+$M$4*$J$5+[10]FormattedData!L79^2*$J$6+$M$5*$J$7</f>
        <v>31.449536402052033</v>
      </c>
      <c r="T81" s="6">
        <f>$J$3+[10]FormattedData!M79*$J$4+$M$4*$J$5+[10]FormattedData!M79^2*$J$6+$M$5*$J$7</f>
        <v>29.311728046796542</v>
      </c>
      <c r="U81" s="6">
        <f>$J$3+[10]FormattedData!N79*$J$4+$M$4*$J$5+[10]FormattedData!N79^2*$J$6+$M$5*$J$7</f>
        <v>30.77154375089394</v>
      </c>
      <c r="V81" s="6">
        <f>$J$3+[10]FormattedData!O79*$J$4+$M$4*$J$5+[10]FormattedData!O79^2*$J$6+$M$5*$J$7</f>
        <v>30.188758719779116</v>
      </c>
      <c r="W81" s="5">
        <f t="shared" si="18"/>
        <v>30.608126785528707</v>
      </c>
      <c r="X81" s="4">
        <f t="shared" si="19"/>
        <v>0.26149601595255301</v>
      </c>
      <c r="Y81" s="3">
        <f t="shared" si="20"/>
        <v>29.214068851553264</v>
      </c>
      <c r="Z81" s="2">
        <f t="shared" si="21"/>
        <v>30.01829894775166</v>
      </c>
      <c r="AA81" s="3">
        <f t="shared" si="22"/>
        <v>30.820035200212129</v>
      </c>
      <c r="AB81" s="2">
        <f t="shared" si="23"/>
        <v>31.304410769535394</v>
      </c>
      <c r="AC81" s="2">
        <f t="shared" si="24"/>
        <v>31.739470653050816</v>
      </c>
      <c r="AD81" s="2">
        <f t="shared" si="25"/>
        <v>-0.36678542166055134</v>
      </c>
      <c r="AE81" s="2">
        <f t="shared" si="26"/>
        <v>-1.2041396696153304</v>
      </c>
    </row>
    <row r="82" spans="2:31" x14ac:dyDescent="0.2">
      <c r="B82" s="1">
        <f>[10]FormattedData!A59</f>
        <v>902</v>
      </c>
      <c r="C82" s="1" t="str">
        <f>VLOOKUP($B82,[10]TrtCodes!$B$11:I102,2)</f>
        <v>Late</v>
      </c>
      <c r="D82" s="1">
        <f>VLOOKUP($B82,[10]TrtCodes!$B$11:J102,3)</f>
        <v>22</v>
      </c>
      <c r="E82" s="1">
        <f>VLOOKUP($B82,[10]TrtCodes!$B$11:K102,4)</f>
        <v>4</v>
      </c>
      <c r="F82" s="1">
        <f>VLOOKUP($B82,[10]TrtCodes!$B$11:L102,5)</f>
        <v>2</v>
      </c>
      <c r="G82" s="1">
        <f>VLOOKUP($B82,[10]TrtCodes!$B$11:M102,6)</f>
        <v>2</v>
      </c>
      <c r="H82" s="1">
        <f>VLOOKUP($B82,[10]TrtCodes!$B$11:N102,7)</f>
        <v>1</v>
      </c>
      <c r="I82" s="1">
        <f>[10]FormattedData!B59</f>
        <v>2</v>
      </c>
      <c r="J82" s="4">
        <f>[10]FormattedData!C59</f>
        <v>13.188000000000001</v>
      </c>
      <c r="K82" s="6">
        <f>$J$3+[10]FormattedData!D59*$J$4+$M$4*$J$5+[10]FormattedData!D59^2*$J$6+$M$5*$J$7</f>
        <v>30.77154375089394</v>
      </c>
      <c r="L82" s="6">
        <f>$J$3+[10]FormattedData!E59*$J$4+$M$4*$J$5+[10]FormattedData!E59^2*$J$6+$M$5*$J$7</f>
        <v>29.311728046796542</v>
      </c>
      <c r="M82" s="6">
        <f>$J$3+[10]FormattedData!F59*$J$4+$M$4*$J$5+[10]FormattedData!F59^2*$J$6+$M$5*$J$7</f>
        <v>30.480341443757222</v>
      </c>
      <c r="N82" s="6">
        <f>$J$3+[10]FormattedData!G59*$J$4+$M$4*$J$5+[10]FormattedData!G59^2*$J$6+$M$5*$J$7</f>
        <v>29.799389994943954</v>
      </c>
      <c r="O82" s="6">
        <f>$J$3+[10]FormattedData!H59*$J$4+$M$4*$J$5+[10]FormattedData!H59^2*$J$6+$M$5*$J$7</f>
        <v>32.31819790452424</v>
      </c>
      <c r="P82" s="6">
        <f>$J$3+[10]FormattedData!I59*$J$4+$M$4*$J$5+[10]FormattedData!I59^2*$J$6+$M$5*$J$7</f>
        <v>29.799389994943954</v>
      </c>
      <c r="Q82" s="6">
        <f>$J$3+[10]FormattedData!J59*$J$4+$M$4*$J$5+[10]FormattedData!J59^2*$J$6+$M$5*$J$7</f>
        <v>30.091479941377226</v>
      </c>
      <c r="R82" s="6">
        <f>$J$3+[10]FormattedData!K59*$J$4+$M$4*$J$5+[10]FormattedData!K59^2*$J$6+$M$5*$J$7</f>
        <v>29.214068851553264</v>
      </c>
      <c r="S82" s="6">
        <f>$J$3+[10]FormattedData!L59*$J$4+$M$4*$J$5+[10]FormattedData!L59^2*$J$6+$M$5*$J$7</f>
        <v>33.471087405374547</v>
      </c>
      <c r="T82" s="6">
        <f>$J$3+[10]FormattedData!M59*$J$4+$M$4*$J$5+[10]FormattedData!M59^2*$J$6+$M$5*$J$7</f>
        <v>30.674518583719628</v>
      </c>
      <c r="U82" s="6">
        <f>$J$3+[10]FormattedData!N59*$J$4+$M$4*$J$5+[10]FormattedData!N59^2*$J$6+$M$5*$J$7</f>
        <v>30.868526649530317</v>
      </c>
      <c r="V82" s="6">
        <f>$J$3+[10]FormattedData!O59*$J$4+$M$4*$J$5+[10]FormattedData!O59^2*$J$6+$M$5*$J$7</f>
        <v>30.091479941377226</v>
      </c>
      <c r="W82" s="5">
        <f t="shared" si="18"/>
        <v>30.574312709066007</v>
      </c>
      <c r="X82" s="4">
        <f t="shared" si="19"/>
        <v>0.35556636137302111</v>
      </c>
      <c r="Y82" s="3">
        <f t="shared" si="20"/>
        <v>29.214068851553264</v>
      </c>
      <c r="Z82" s="2">
        <f t="shared" si="21"/>
        <v>29.799389994943954</v>
      </c>
      <c r="AA82" s="3">
        <f t="shared" si="22"/>
        <v>30.285910692567224</v>
      </c>
      <c r="AB82" s="2">
        <f t="shared" si="23"/>
        <v>30.795789475553036</v>
      </c>
      <c r="AC82" s="2">
        <f t="shared" si="24"/>
        <v>33.471087405374547</v>
      </c>
      <c r="AD82" s="2">
        <f t="shared" si="25"/>
        <v>1.3987013633590879</v>
      </c>
      <c r="AE82" s="2">
        <f t="shared" si="26"/>
        <v>1.8862476762078959</v>
      </c>
    </row>
    <row r="83" spans="2:31" x14ac:dyDescent="0.2">
      <c r="B83" s="1">
        <f>[10]FormattedData!A55</f>
        <v>904</v>
      </c>
      <c r="C83" s="1" t="str">
        <f>VLOOKUP($B83,[10]TrtCodes!$B$11:I98,2)</f>
        <v>Early</v>
      </c>
      <c r="D83" s="1">
        <f>VLOOKUP($B83,[10]TrtCodes!$B$11:J98,3)</f>
        <v>21</v>
      </c>
      <c r="E83" s="1">
        <f>VLOOKUP($B83,[10]TrtCodes!$B$11:K98,4)</f>
        <v>3</v>
      </c>
      <c r="F83" s="1">
        <f>VLOOKUP($B83,[10]TrtCodes!$B$11:L98,5)</f>
        <v>2</v>
      </c>
      <c r="G83" s="1">
        <f>VLOOKUP($B83,[10]TrtCodes!$B$11:M98,6)</f>
        <v>2</v>
      </c>
      <c r="H83" s="1">
        <f>VLOOKUP($B83,[10]TrtCodes!$B$11:N98,7)</f>
        <v>1</v>
      </c>
      <c r="I83" s="1">
        <f>[10]FormattedData!B55</f>
        <v>2</v>
      </c>
      <c r="J83" s="4">
        <f>[10]FormattedData!C55</f>
        <v>13.167999999999999</v>
      </c>
      <c r="K83" s="6">
        <f>$J$3+[10]FormattedData!D55*$J$4+$M$4*$J$5+[10]FormattedData!D55^2*$J$6+$M$5*$J$7</f>
        <v>33.087467201698011</v>
      </c>
      <c r="L83" s="6">
        <f>$J$3+[10]FormattedData!E55*$J$4+$M$4*$J$5+[10]FormattedData!E55^2*$J$6+$M$5*$J$7</f>
        <v>33.087467201698011</v>
      </c>
      <c r="M83" s="6">
        <f>$J$3+[10]FormattedData!F55*$J$4+$M$4*$J$5+[10]FormattedData!F55^2*$J$6+$M$5*$J$7</f>
        <v>35.284047697300124</v>
      </c>
      <c r="N83" s="6">
        <f>$J$3+[10]FormattedData!G55*$J$4+$M$4*$J$5+[10]FormattedData!G55^2*$J$6+$M$5*$J$7</f>
        <v>32.895403488632155</v>
      </c>
      <c r="O83" s="6">
        <f>$J$3+[10]FormattedData!H55*$J$4+$M$4*$J$5+[10]FormattedData!H55^2*$J$6+$M$5*$J$7</f>
        <v>33.662643895985219</v>
      </c>
      <c r="P83" s="6">
        <f>$J$3+[10]FormattedData!I55*$J$4+$M$4*$J$5+[10]FormattedData!I55^2*$J$6+$M$5*$J$7</f>
        <v>33.087467201698011</v>
      </c>
      <c r="Q83" s="6">
        <f>$J$3+[10]FormattedData!J55*$J$4+$M$4*$J$5+[10]FormattedData!J55^2*$J$6+$M$5*$J$7</f>
        <v>34.998805254011707</v>
      </c>
      <c r="R83" s="6">
        <f>$J$3+[10]FormattedData!K55*$J$4+$M$4*$J$5+[10]FormattedData!K55^2*$J$6+$M$5*$J$7</f>
        <v>32.414504506553726</v>
      </c>
      <c r="S83" s="6">
        <f>$J$3+[10]FormattedData!L55*$J$4+$M$4*$J$5+[10]FormattedData!L55^2*$J$6+$M$5*$J$7</f>
        <v>33.949661617866767</v>
      </c>
      <c r="T83" s="6">
        <f>$J$3+[10]FormattedData!M55*$J$4+$M$4*$J$5+[10]FormattedData!M55^2*$J$6+$M$5*$J$7</f>
        <v>33.27936184061214</v>
      </c>
      <c r="U83" s="6">
        <f>$J$3+[10]FormattedData!N55*$J$4+$M$4*$J$5+[10]FormattedData!N55^2*$J$6+$M$5*$J$7</f>
        <v>34.045249654751416</v>
      </c>
      <c r="V83" s="6">
        <f>$J$3+[10]FormattedData!O55*$J$4+$M$4*$J$5+[10]FormattedData!O55^2*$J$6+$M$5*$J$7</f>
        <v>32.51076884004528</v>
      </c>
      <c r="W83" s="5">
        <f t="shared" si="18"/>
        <v>33.525237366737706</v>
      </c>
      <c r="X83" s="4">
        <f t="shared" si="19"/>
        <v>0.26153962697471211</v>
      </c>
      <c r="Y83" s="3">
        <f t="shared" si="20"/>
        <v>32.414504506553726</v>
      </c>
      <c r="Z83" s="2">
        <f t="shared" si="21"/>
        <v>33.039451273431546</v>
      </c>
      <c r="AA83" s="3">
        <f t="shared" si="22"/>
        <v>33.183414521155072</v>
      </c>
      <c r="AB83" s="2">
        <f t="shared" si="23"/>
        <v>33.973558627087925</v>
      </c>
      <c r="AC83" s="2">
        <f t="shared" si="24"/>
        <v>35.284047697300124</v>
      </c>
      <c r="AD83" s="2">
        <f t="shared" si="25"/>
        <v>0.86978004698065559</v>
      </c>
      <c r="AE83" s="2">
        <f t="shared" si="26"/>
        <v>-7.9585963339923183E-4</v>
      </c>
    </row>
    <row r="84" spans="2:31" x14ac:dyDescent="0.2">
      <c r="B84" s="1">
        <f>[10]FormattedData!A51</f>
        <v>906</v>
      </c>
      <c r="C84" s="1" t="str">
        <f>VLOOKUP($B84,[10]TrtCodes!$B$11:I94,2)</f>
        <v>Late</v>
      </c>
      <c r="D84" s="1">
        <f>VLOOKUP($B84,[10]TrtCodes!$B$11:J94,3)</f>
        <v>22</v>
      </c>
      <c r="E84" s="1">
        <f>VLOOKUP($B84,[10]TrtCodes!$B$11:K94,4)</f>
        <v>4</v>
      </c>
      <c r="F84" s="1">
        <f>VLOOKUP($B84,[10]TrtCodes!$B$11:L94,5)</f>
        <v>2</v>
      </c>
      <c r="G84" s="1">
        <f>VLOOKUP($B84,[10]TrtCodes!$B$11:M94,6)</f>
        <v>2</v>
      </c>
      <c r="H84" s="1">
        <f>VLOOKUP($B84,[10]TrtCodes!$B$11:N94,7)</f>
        <v>2</v>
      </c>
      <c r="I84" s="1">
        <f>[10]FormattedData!B51</f>
        <v>2</v>
      </c>
      <c r="J84" s="4">
        <f>[10]FormattedData!C51</f>
        <v>13.147</v>
      </c>
      <c r="K84" s="6">
        <f>$J$3+[10]FormattedData!D51*$J$4+$M$4*$J$5+[10]FormattedData!D51^2*$J$6+$M$5*$J$7</f>
        <v>31.932548811027019</v>
      </c>
      <c r="L84" s="6">
        <f>$J$3+[10]FormattedData!E51*$J$4+$M$4*$J$5+[10]FormattedData!E51^2*$J$6+$M$5*$J$7</f>
        <v>30.965467279628765</v>
      </c>
      <c r="M84" s="6">
        <f>$J$3+[10]FormattedData!F51*$J$4+$M$4*$J$5+[10]FormattedData!F51^2*$J$6+$M$5*$J$7</f>
        <v>32.799308229292329</v>
      </c>
      <c r="N84" s="6">
        <f>$J$3+[10]FormattedData!G51*$J$4+$M$4*$J$5+[10]FormattedData!G51^2*$J$6+$M$5*$J$7</f>
        <v>33.183435655424034</v>
      </c>
      <c r="O84" s="6">
        <f>$J$3+[10]FormattedData!H51*$J$4+$M$4*$J$5+[10]FormattedData!H51^2*$J$6+$M$5*$J$7</f>
        <v>32.606990904998895</v>
      </c>
      <c r="P84" s="6">
        <f>$J$3+[10]FormattedData!I51*$J$4+$M$4*$J$5+[10]FormattedData!I51^2*$J$6+$M$5*$J$7</f>
        <v>31.449536402052033</v>
      </c>
      <c r="Q84" s="6">
        <f>$J$3+[10]FormattedData!J51*$J$4+$M$4*$J$5+[10]FormattedData!J51^2*$J$6+$M$5*$J$7</f>
        <v>31.932548811027019</v>
      </c>
      <c r="R84" s="6">
        <f>$J$3+[10]FormattedData!K51*$J$4+$M$4*$J$5+[10]FormattedData!K51^2*$J$6+$M$5*$J$7</f>
        <v>30.77154375089394</v>
      </c>
      <c r="S84" s="6">
        <f>$J$3+[10]FormattedData!L51*$J$4+$M$4*$J$5+[10]FormattedData!L51^2*$J$6+$M$5*$J$7</f>
        <v>31.83603086630788</v>
      </c>
      <c r="T84" s="6">
        <f>$J$3+[10]FormattedData!M51*$J$4+$M$4*$J$5+[10]FormattedData!M51^2*$J$6+$M$5*$J$7</f>
        <v>31.546223420922889</v>
      </c>
      <c r="U84" s="6">
        <f>$J$3+[10]FormattedData!N51*$J$4+$M$4*$J$5+[10]FormattedData!N51^2*$J$6+$M$5*$J$7</f>
        <v>31.449536402052033</v>
      </c>
      <c r="V84" s="6">
        <f>$J$3+[10]FormattedData!O51*$J$4+$M$4*$J$5+[10]FormattedData!O51^2*$J$6+$M$5*$J$7</f>
        <v>32.125457894851493</v>
      </c>
      <c r="W84" s="5">
        <f t="shared" si="18"/>
        <v>31.883219035706531</v>
      </c>
      <c r="X84" s="4">
        <f t="shared" si="19"/>
        <v>0.20756925006813673</v>
      </c>
      <c r="Y84" s="3">
        <f t="shared" si="20"/>
        <v>30.77154375089394</v>
      </c>
      <c r="Z84" s="2">
        <f t="shared" si="21"/>
        <v>31.449536402052033</v>
      </c>
      <c r="AA84" s="3">
        <f t="shared" si="22"/>
        <v>31.884289838667449</v>
      </c>
      <c r="AB84" s="2">
        <f t="shared" si="23"/>
        <v>32.245841147388347</v>
      </c>
      <c r="AC84" s="2">
        <f t="shared" si="24"/>
        <v>33.183435655424034</v>
      </c>
      <c r="AD84" s="2">
        <f t="shared" si="25"/>
        <v>0.29701416363750854</v>
      </c>
      <c r="AE84" s="2">
        <f t="shared" si="26"/>
        <v>-0.40180213017075639</v>
      </c>
    </row>
    <row r="85" spans="2:31" x14ac:dyDescent="0.2">
      <c r="B85" s="1">
        <f>[10]FormattedData!A47</f>
        <v>908</v>
      </c>
      <c r="C85" s="1" t="str">
        <f>VLOOKUP($B85,[10]TrtCodes!$B$11:I90,2)</f>
        <v>Early</v>
      </c>
      <c r="D85" s="1">
        <f>VLOOKUP($B85,[10]TrtCodes!$B$11:J90,3)</f>
        <v>21</v>
      </c>
      <c r="E85" s="1">
        <f>VLOOKUP($B85,[10]TrtCodes!$B$11:K90,4)</f>
        <v>3</v>
      </c>
      <c r="F85" s="1">
        <f>VLOOKUP($B85,[10]TrtCodes!$B$11:L90,5)</f>
        <v>2</v>
      </c>
      <c r="G85" s="1">
        <f>VLOOKUP($B85,[10]TrtCodes!$B$11:M90,6)</f>
        <v>2</v>
      </c>
      <c r="H85" s="1">
        <f>VLOOKUP($B85,[10]TrtCodes!$B$11:N90,7)</f>
        <v>2</v>
      </c>
      <c r="I85" s="1">
        <f>[10]FormattedData!B47</f>
        <v>2</v>
      </c>
      <c r="J85" s="4">
        <f>[10]FormattedData!C47</f>
        <v>13.127000000000001</v>
      </c>
      <c r="K85" s="6">
        <f>$J$3+[10]FormattedData!D47*$J$4+$M$4*$J$5+[10]FormattedData!D47^2*$J$6+$M$5*$J$7</f>
        <v>32.414504506553726</v>
      </c>
      <c r="L85" s="6">
        <f>$J$3+[10]FormattedData!E47*$J$4+$M$4*$J$5+[10]FormattedData!E47^2*$J$6+$M$5*$J$7</f>
        <v>34.331760154177772</v>
      </c>
      <c r="M85" s="6">
        <f>$J$3+[10]FormattedData!F47*$J$4+$M$4*$J$5+[10]FormattedData!F47^2*$J$6+$M$5*$J$7</f>
        <v>35.663779195486995</v>
      </c>
      <c r="N85" s="6">
        <f>$J$3+[10]FormattedData!G47*$J$4+$M$4*$J$5+[10]FormattedData!G47^2*$J$6+$M$5*$J$7</f>
        <v>33.183435655424034</v>
      </c>
      <c r="O85" s="6">
        <f>$J$3+[10]FormattedData!H47*$J$4+$M$4*$J$5+[10]FormattedData!H47^2*$J$6+$M$5*$J$7</f>
        <v>35.473997983469431</v>
      </c>
      <c r="P85" s="6">
        <f>$J$3+[10]FormattedData!I47*$J$4+$M$4*$J$5+[10]FormattedData!I47^2*$J$6+$M$5*$J$7</f>
        <v>34.331760154177772</v>
      </c>
      <c r="Q85" s="6">
        <f>$J$3+[10]FormattedData!J47*$J$4+$M$4*$J$5+[10]FormattedData!J47^2*$J$6+$M$5*$J$7</f>
        <v>31.83603086630788</v>
      </c>
      <c r="R85" s="6">
        <f>$J$3+[10]FormattedData!K47*$J$4+$M$4*$J$5+[10]FormattedData!K47^2*$J$6+$M$5*$J$7</f>
        <v>34.236298922906919</v>
      </c>
      <c r="S85" s="6">
        <f>$J$3+[10]FormattedData!L47*$J$4+$M$4*$J$5+[10]FormattedData!L47^2*$J$6+$M$5*$J$7</f>
        <v>33.949661617866767</v>
      </c>
      <c r="T85" s="6">
        <f>$J$3+[10]FormattedData!M47*$J$4+$M$4*$J$5+[10]FormattedData!M47^2*$J$6+$M$5*$J$7</f>
        <v>34.713182393881894</v>
      </c>
      <c r="U85" s="6">
        <f>$J$3+[10]FormattedData!N47*$J$4+$M$4*$J$5+[10]FormattedData!N47^2*$J$6+$M$5*$J$7</f>
        <v>34.045249654751416</v>
      </c>
      <c r="V85" s="6">
        <f>$J$3+[10]FormattedData!O47*$J$4+$M$4*$J$5+[10]FormattedData!O47^2*$J$6+$M$5*$J$7</f>
        <v>31.159221734211858</v>
      </c>
      <c r="W85" s="5">
        <f t="shared" si="18"/>
        <v>33.77824023660137</v>
      </c>
      <c r="X85" s="4">
        <f t="shared" si="19"/>
        <v>0.39955692128579695</v>
      </c>
      <c r="Y85" s="3">
        <f t="shared" si="20"/>
        <v>31.159221734211858</v>
      </c>
      <c r="Z85" s="2">
        <f t="shared" si="21"/>
        <v>32.991202868206457</v>
      </c>
      <c r="AA85" s="3">
        <f t="shared" si="22"/>
        <v>34.140774288829164</v>
      </c>
      <c r="AB85" s="2">
        <f t="shared" si="23"/>
        <v>34.427115714103806</v>
      </c>
      <c r="AC85" s="2">
        <f t="shared" si="24"/>
        <v>35.663779195486995</v>
      </c>
      <c r="AD85" s="2">
        <f t="shared" si="25"/>
        <v>-0.62457254829658526</v>
      </c>
      <c r="AE85" s="2">
        <f t="shared" si="26"/>
        <v>-0.30771206862595912</v>
      </c>
    </row>
    <row r="88" spans="2:31" x14ac:dyDescent="0.2">
      <c r="W88" s="2"/>
    </row>
  </sheetData>
  <autoFilter ref="B9:AE85" xr:uid="{26B94890-62D0-4AF6-9141-D6BCE68F3DB3}"/>
  <conditionalFormatting sqref="K10:V85">
    <cfRule type="cellIs" dxfId="87" priority="1" stopIfTrue="1" operator="lessThan">
      <formula>$W10-$V$5*$X10</formula>
    </cfRule>
    <cfRule type="cellIs" dxfId="86" priority="2" stopIfTrue="1" operator="greaterThan">
      <formula>$W10+$V$5*$X10</formula>
    </cfRule>
  </conditionalFormatting>
  <conditionalFormatting sqref="W10:W85">
    <cfRule type="cellIs" dxfId="85" priority="3" stopIfTrue="1" operator="lessThan">
      <formula>AVERAGE($W$10:$W$41)</formula>
    </cfRule>
    <cfRule type="cellIs" dxfId="8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EE4F-7810-414C-8B6F-EB5E350DC075}">
  <sheetPr codeName="Sheet23"/>
  <dimension ref="A1:AI88"/>
  <sheetViews>
    <sheetView topLeftCell="A8" workbookViewId="0">
      <pane xSplit="4" ySplit="2" topLeftCell="N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[11]FormattedData!A1</f>
        <v>Raw data file name - 'IA180.03R'</v>
      </c>
    </row>
    <row r="2" spans="1:35" ht="15" x14ac:dyDescent="0.25">
      <c r="I2" s="32" t="s">
        <v>136</v>
      </c>
      <c r="J2" s="24"/>
      <c r="P2" s="31">
        <f>[11]AncillaryData!C10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[11]AncillaryData!E25</f>
        <v>39.549999999999997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"&amp;[11]AncillaryData!C7</f>
        <v>Time Sequence of Midday IRT Temps - FISE 2003 - DOY 180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"&amp;[11]AncillaryData!E25&amp;", VPD = "&amp;ROUND([11]AncillaryData!E29,1)&amp;", Quality = "&amp;[11]AncillaryData!C20&amp;")"</f>
        <v>(Ta = 39.55, VPD = 6,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[11]FormattedData!A28</f>
        <v>101</v>
      </c>
      <c r="C10" s="1" t="str">
        <f>VLOOKUP($B10,[11]TrtCodes!$B$11:I71,2)</f>
        <v>FSH</v>
      </c>
      <c r="D10" s="1">
        <f>VLOOKUP($B10,[11]TrtCodes!$B$11:J71,3)</f>
        <v>1</v>
      </c>
      <c r="E10" s="1">
        <f>VLOOKUP($B10,[11]TrtCodes!$B$11:K71,4)</f>
        <v>1</v>
      </c>
      <c r="F10" s="1">
        <f>VLOOKUP($B10,[11]TrtCodes!$B$11:L71,5)</f>
        <v>1</v>
      </c>
      <c r="G10" s="1">
        <f>VLOOKUP($B10,[11]TrtCodes!$B$11:M71,6)</f>
        <v>2</v>
      </c>
      <c r="H10" s="1">
        <f>VLOOKUP($B10,[11]TrtCodes!$B$11:N71,7)</f>
        <v>1</v>
      </c>
      <c r="I10" s="1">
        <f>[11]FormattedData!B28</f>
        <v>1</v>
      </c>
      <c r="J10" s="4">
        <f>[11]FormattedData!C28</f>
        <v>13.257999999999999</v>
      </c>
      <c r="K10" s="6">
        <f>$J$3+[11]FormattedData!D28*$J$4+$M$4*$J$5+[11]FormattedData!D28^2*$J$6+$M$5*$J$7</f>
        <v>55.387189067358513</v>
      </c>
      <c r="L10" s="6">
        <f>$J$3+[11]FormattedData!E28*$J$4+$M$4*$J$5+[11]FormattedData!E28^2*$J$6+$M$5*$J$7</f>
        <v>55.985294181826745</v>
      </c>
      <c r="M10" s="6">
        <f>$J$3+[11]FormattedData!F28*$J$4+$M$4*$J$5+[11]FormattedData!F28^2*$J$6+$M$5*$J$7</f>
        <v>36.197353026241316</v>
      </c>
      <c r="N10" s="6">
        <f>$J$3+[11]FormattedData!G28*$J$4+$M$4*$J$5+[11]FormattedData!G28^2*$J$6+$M$5*$J$7</f>
        <v>54.098560941882226</v>
      </c>
      <c r="O10" s="6">
        <f>$J$3+[11]FormattedData!H28*$J$4+$M$4*$J$5+[11]FormattedData!H28^2*$J$6+$M$5*$J$7</f>
        <v>34.773676922075033</v>
      </c>
      <c r="P10" s="6">
        <f>$J$3+[11]FormattedData!I28*$J$4+$M$4*$J$5+[11]FormattedData!I28^2*$J$6+$M$5*$J$7</f>
        <v>48.048377341766873</v>
      </c>
      <c r="Q10" s="6">
        <f>$J$3+[11]FormattedData!J28*$J$4+$M$4*$J$5+[11]FormattedData!J28^2*$J$6+$M$5*$J$7</f>
        <v>37.799355568645829</v>
      </c>
      <c r="R10" s="6">
        <f>$J$3+[11]FormattedData!K28*$J$4+$M$4*$J$5+[11]FormattedData!K28^2*$J$6+$M$5*$J$7</f>
        <v>49.911040911006232</v>
      </c>
      <c r="S10" s="6">
        <f>$J$3+[11]FormattedData!L28*$J$4+$M$4*$J$5+[11]FormattedData!L28^2*$J$6+$M$5*$J$7</f>
        <v>39.109479507306723</v>
      </c>
      <c r="T10" s="6">
        <f>$J$3+[11]FormattedData!M28*$J$4+$M$4*$J$5+[11]FormattedData!M28^2*$J$6+$M$5*$J$7</f>
        <v>53.580446773802059</v>
      </c>
      <c r="U10" s="6">
        <f>$J$3+[11]FormattedData!N28*$J$4+$M$4*$J$5+[11]FormattedData!N28^2*$J$6+$M$5*$J$7</f>
        <v>42.256717945674225</v>
      </c>
      <c r="V10" s="6">
        <f>$J$3+[11]FormattedData!O28*$J$4+$M$4*$J$5+[11]FormattedData!O28^2*$J$6+$M$5*$J$7</f>
        <v>54.357047400660242</v>
      </c>
      <c r="W10" s="5">
        <f t="shared" ref="W10:W41" si="0">AVERAGE(K10:V10)</f>
        <v>46.792044965687161</v>
      </c>
      <c r="X10" s="4">
        <f t="shared" ref="X10:X41" si="1">STDEV(K10:V10)/SQRT(COUNT(K10:V10))</f>
        <v>2.3733747392761573</v>
      </c>
      <c r="Y10" s="3">
        <f t="shared" ref="Y10:Y41" si="2">MIN(K10:V10)</f>
        <v>34.773676922075033</v>
      </c>
      <c r="Z10" s="2">
        <f t="shared" ref="Z10:Z41" si="3">QUARTILE(K10:V10,1)</f>
        <v>38.7819485226415</v>
      </c>
      <c r="AA10" s="3">
        <f t="shared" ref="AA10:AA41" si="4">MEDIAN(K10:V10)</f>
        <v>48.979709126386552</v>
      </c>
      <c r="AB10" s="2">
        <f t="shared" ref="AB10:AB41" si="5">QUARTILE(K10:V10,3)</f>
        <v>54.163182556576729</v>
      </c>
      <c r="AC10" s="2">
        <f t="shared" ref="AC10:AC41" si="6">MAX(K10:V10)</f>
        <v>55.985294181826745</v>
      </c>
      <c r="AD10" s="2">
        <f t="shared" ref="AD10:AD41" si="7">SKEW(K10:V10)</f>
        <v>-0.3178122413041079</v>
      </c>
      <c r="AE10" s="2">
        <f t="shared" ref="AE10:AE41" si="8">KURT(K10:V10)</f>
        <v>-1.7966237265158616</v>
      </c>
    </row>
    <row r="11" spans="1:35" x14ac:dyDescent="0.2">
      <c r="B11" s="1">
        <f>[11]FormattedData!A26</f>
        <v>102</v>
      </c>
      <c r="C11" s="1" t="str">
        <f>VLOOKUP($B11,[11]TrtCodes!$B$11:I69,2)</f>
        <v>FTL</v>
      </c>
      <c r="D11" s="1">
        <f>VLOOKUP($B11,[11]TrtCodes!$B$11:J69,3)</f>
        <v>4</v>
      </c>
      <c r="E11" s="1">
        <f>VLOOKUP($B11,[11]TrtCodes!$B$11:K69,4)</f>
        <v>1</v>
      </c>
      <c r="F11" s="1">
        <f>VLOOKUP($B11,[11]TrtCodes!$B$11:L69,5)</f>
        <v>2</v>
      </c>
      <c r="G11" s="1">
        <f>VLOOKUP($B11,[11]TrtCodes!$B$11:M69,6)</f>
        <v>1</v>
      </c>
      <c r="H11" s="1">
        <f>VLOOKUP($B11,[11]TrtCodes!$B$11:N69,7)</f>
        <v>1</v>
      </c>
      <c r="I11" s="1">
        <f>[11]FormattedData!B26</f>
        <v>1</v>
      </c>
      <c r="J11" s="4">
        <f>[11]FormattedData!C26</f>
        <v>13.24</v>
      </c>
      <c r="K11" s="6">
        <f>$J$3+[11]FormattedData!D26*$J$4+$M$4*$J$5+[11]FormattedData!D26^2*$J$6+$M$5*$J$7</f>
        <v>54.701104252833233</v>
      </c>
      <c r="L11" s="6">
        <f>$J$3+[11]FormattedData!E26*$J$4+$M$4*$J$5+[11]FormattedData!E26^2*$J$6+$M$5*$J$7</f>
        <v>43.355841866276108</v>
      </c>
      <c r="M11" s="6">
        <f>$J$3+[11]FormattedData!F26*$J$4+$M$4*$J$5+[11]FormattedData!F26^2*$J$6+$M$5*$J$7</f>
        <v>40.50399032030051</v>
      </c>
      <c r="N11" s="6">
        <f>$J$3+[11]FormattedData!G26*$J$4+$M$4*$J$5+[11]FormattedData!G26^2*$J$6+$M$5*$J$7</f>
        <v>48.848944229632025</v>
      </c>
      <c r="O11" s="6">
        <f>$J$3+[11]FormattedData!H26*$J$4+$M$4*$J$5+[11]FormattedData!H26^2*$J$6+$M$5*$J$7</f>
        <v>39.575373158419595</v>
      </c>
      <c r="P11" s="6">
        <f>$J$3+[11]FormattedData!I26*$J$4+$M$4*$J$5+[11]FormattedData!I26^2*$J$6+$M$5*$J$7</f>
        <v>51.317701667008606</v>
      </c>
      <c r="Q11" s="6">
        <f>$J$3+[11]FormattedData!J26*$J$4+$M$4*$J$5+[11]FormattedData!J26^2*$J$6+$M$5*$J$7</f>
        <v>43.720863913262946</v>
      </c>
      <c r="R11" s="6">
        <f>$J$3+[11]FormattedData!K26*$J$4+$M$4*$J$5+[11]FormattedData!K26^2*$J$6+$M$5*$J$7</f>
        <v>48.760161427354291</v>
      </c>
      <c r="S11" s="6">
        <f>$J$3+[11]FormattedData!L26*$J$4+$M$4*$J$5+[11]FormattedData!L26^2*$J$6+$M$5*$J$7</f>
        <v>50.175614039246334</v>
      </c>
      <c r="T11" s="6">
        <f>$J$3+[11]FormattedData!M26*$J$4+$M$4*$J$5+[11]FormattedData!M26^2*$J$6+$M$5*$J$7</f>
        <v>49.999274222290872</v>
      </c>
      <c r="U11" s="6">
        <f>$J$3+[11]FormattedData!N26*$J$4+$M$4*$J$5+[11]FormattedData!N26^2*$J$6+$M$5*$J$7</f>
        <v>47.244386702329308</v>
      </c>
      <c r="V11" s="6">
        <f>$J$3+[11]FormattedData!O26*$J$4+$M$4*$J$5+[11]FormattedData!O26^2*$J$6+$M$5*$J$7</f>
        <v>39.482278965272883</v>
      </c>
      <c r="W11" s="5">
        <f t="shared" si="0"/>
        <v>46.473794563685566</v>
      </c>
      <c r="X11" s="4">
        <f t="shared" si="1"/>
        <v>1.4516330504992889</v>
      </c>
      <c r="Y11" s="3">
        <f t="shared" si="2"/>
        <v>39.482278965272883</v>
      </c>
      <c r="Z11" s="2">
        <f t="shared" si="3"/>
        <v>42.642878979782211</v>
      </c>
      <c r="AA11" s="3">
        <f t="shared" si="4"/>
        <v>48.002274064841799</v>
      </c>
      <c r="AB11" s="2">
        <f t="shared" si="5"/>
        <v>50.043359176529734</v>
      </c>
      <c r="AC11" s="2">
        <f t="shared" si="6"/>
        <v>54.701104252833233</v>
      </c>
      <c r="AD11" s="2">
        <f t="shared" si="7"/>
        <v>-0.12273699358194685</v>
      </c>
      <c r="AE11" s="2">
        <f t="shared" si="8"/>
        <v>-1.1722114184710954</v>
      </c>
    </row>
    <row r="12" spans="1:35" x14ac:dyDescent="0.2">
      <c r="B12" s="1">
        <f>[11]FormattedData!A24</f>
        <v>103</v>
      </c>
      <c r="C12" s="1" t="str">
        <f>VLOOKUP($B12,[11]TrtCodes!$B$11:I67,2)</f>
        <v>FDH</v>
      </c>
      <c r="D12" s="1">
        <f>VLOOKUP($B12,[11]TrtCodes!$B$11:J67,3)</f>
        <v>5</v>
      </c>
      <c r="E12" s="1">
        <f>VLOOKUP($B12,[11]TrtCodes!$B$11:K67,4)</f>
        <v>1</v>
      </c>
      <c r="F12" s="1">
        <f>VLOOKUP($B12,[11]TrtCodes!$B$11:L67,5)</f>
        <v>3</v>
      </c>
      <c r="G12" s="1">
        <f>VLOOKUP($B12,[11]TrtCodes!$B$11:M67,6)</f>
        <v>2</v>
      </c>
      <c r="H12" s="1">
        <f>VLOOKUP($B12,[11]TrtCodes!$B$11:N67,7)</f>
        <v>1</v>
      </c>
      <c r="I12" s="1">
        <f>[11]FormattedData!B24</f>
        <v>1</v>
      </c>
      <c r="J12" s="4">
        <f>[11]FormattedData!C24</f>
        <v>13.22</v>
      </c>
      <c r="K12" s="6">
        <f>$J$3+[11]FormattedData!D24*$J$4+$M$4*$J$5+[11]FormattedData!D24^2*$J$6+$M$5*$J$7</f>
        <v>44.358025156779547</v>
      </c>
      <c r="L12" s="6">
        <f>$J$3+[11]FormattedData!E24*$J$4+$M$4*$J$5+[11]FormattedData!E24^2*$J$6+$M$5*$J$7</f>
        <v>35.913378639090823</v>
      </c>
      <c r="M12" s="6">
        <f>$J$3+[11]FormattedData!F24*$J$4+$M$4*$J$5+[11]FormattedData!F24^2*$J$6+$M$5*$J$7</f>
        <v>34.392423756522646</v>
      </c>
      <c r="N12" s="6">
        <f>$J$3+[11]FormattedData!G24*$J$4+$M$4*$J$5+[11]FormattedData!G24^2*$J$6+$M$5*$J$7</f>
        <v>39.854402126632145</v>
      </c>
      <c r="O12" s="6">
        <f>$J$3+[11]FormattedData!H24*$J$4+$M$4*$J$5+[11]FormattedData!H24^2*$J$6+$M$5*$J$7</f>
        <v>34.5831348763747</v>
      </c>
      <c r="P12" s="6">
        <f>$J$3+[11]FormattedData!I24*$J$4+$M$4*$J$5+[11]FormattedData!I24^2*$J$6+$M$5*$J$7</f>
        <v>38.829436094183819</v>
      </c>
      <c r="Q12" s="6">
        <f>$J$3+[11]FormattedData!J24*$J$4+$M$4*$J$5+[11]FormattedData!J24^2*$J$6+$M$5*$J$7</f>
        <v>31.221280198308463</v>
      </c>
      <c r="R12" s="6">
        <f>$J$3+[11]FormattedData!K24*$J$4+$M$4*$J$5+[11]FormattedData!K24^2*$J$6+$M$5*$J$7</f>
        <v>37.04699368664452</v>
      </c>
      <c r="S12" s="6">
        <f>$J$3+[11]FormattedData!L24*$J$4+$M$4*$J$5+[11]FormattedData!L24^2*$J$6+$M$5*$J$7</f>
        <v>38.174522064736138</v>
      </c>
      <c r="T12" s="6">
        <f>$J$3+[11]FormattedData!M24*$J$4+$M$4*$J$5+[11]FormattedData!M24^2*$J$6+$M$5*$J$7</f>
        <v>39.482278965272883</v>
      </c>
      <c r="U12" s="6">
        <f>$J$3+[11]FormattedData!N24*$J$4+$M$4*$J$5+[11]FormattedData!N24^2*$J$6+$M$5*$J$7</f>
        <v>46.077022488884218</v>
      </c>
      <c r="V12" s="6">
        <f>$J$3+[11]FormattedData!O24*$J$4+$M$4*$J$5+[11]FormattedData!O24^2*$J$6+$M$5*$J$7</f>
        <v>31.608112810867766</v>
      </c>
      <c r="W12" s="5">
        <f t="shared" si="0"/>
        <v>37.628417572024802</v>
      </c>
      <c r="X12" s="4">
        <f t="shared" si="1"/>
        <v>1.311716784742351</v>
      </c>
      <c r="Y12" s="3">
        <f t="shared" si="2"/>
        <v>31.221280198308463</v>
      </c>
      <c r="Z12" s="2">
        <f t="shared" si="3"/>
        <v>34.53545709641169</v>
      </c>
      <c r="AA12" s="3">
        <f t="shared" si="4"/>
        <v>37.610757875690325</v>
      </c>
      <c r="AB12" s="2">
        <f t="shared" si="5"/>
        <v>39.5753097556127</v>
      </c>
      <c r="AC12" s="2">
        <f t="shared" si="6"/>
        <v>46.077022488884218</v>
      </c>
      <c r="AD12" s="2">
        <f t="shared" si="7"/>
        <v>0.44014109742738899</v>
      </c>
      <c r="AE12" s="2">
        <f t="shared" si="8"/>
        <v>-0.19372306589809352</v>
      </c>
    </row>
    <row r="13" spans="1:35" x14ac:dyDescent="0.2">
      <c r="B13" s="1">
        <f>[11]FormattedData!A22</f>
        <v>104</v>
      </c>
      <c r="C13" s="1" t="str">
        <f>VLOOKUP($B13,[11]TrtCodes!$B$11:I65,2)</f>
        <v>NTL</v>
      </c>
      <c r="D13" s="1">
        <f>VLOOKUP($B13,[11]TrtCodes!$B$11:J65,3)</f>
        <v>10</v>
      </c>
      <c r="E13" s="1">
        <f>VLOOKUP($B13,[11]TrtCodes!$B$11:K65,4)</f>
        <v>2</v>
      </c>
      <c r="F13" s="1">
        <f>VLOOKUP($B13,[11]TrtCodes!$B$11:L65,5)</f>
        <v>2</v>
      </c>
      <c r="G13" s="1">
        <f>VLOOKUP($B13,[11]TrtCodes!$B$11:M65,6)</f>
        <v>1</v>
      </c>
      <c r="H13" s="1">
        <f>VLOOKUP($B13,[11]TrtCodes!$B$11:N65,7)</f>
        <v>1</v>
      </c>
      <c r="I13" s="1">
        <f>[11]FormattedData!B22</f>
        <v>1</v>
      </c>
      <c r="J13" s="4">
        <f>[11]FormattedData!C22</f>
        <v>13.204000000000001</v>
      </c>
      <c r="K13" s="6">
        <f>$J$3+[11]FormattedData!D22*$J$4+$M$4*$J$5+[11]FormattedData!D22^2*$J$6+$M$5*$J$7</f>
        <v>44.358025156779547</v>
      </c>
      <c r="L13" s="6">
        <f>$J$3+[11]FormattedData!E22*$J$4+$M$4*$J$5+[11]FormattedData!E22^2*$J$6+$M$5*$J$7</f>
        <v>43.903121325528772</v>
      </c>
      <c r="M13" s="6">
        <f>$J$3+[11]FormattedData!F22*$J$4+$M$4*$J$5+[11]FormattedData!F22^2*$J$6+$M$5*$J$7</f>
        <v>36.858480530764886</v>
      </c>
      <c r="N13" s="6">
        <f>$J$3+[11]FormattedData!G22*$J$4+$M$4*$J$5+[11]FormattedData!G22^2*$J$6+$M$5*$J$7</f>
        <v>33.340490396874252</v>
      </c>
      <c r="O13" s="6">
        <f>$J$3+[11]FormattedData!H22*$J$4+$M$4*$J$5+[11]FormattedData!H22^2*$J$6+$M$5*$J$7</f>
        <v>40.596619559529984</v>
      </c>
      <c r="P13" s="6">
        <f>$J$3+[11]FormattedData!I22*$J$4+$M$4*$J$5+[11]FormattedData!I22^2*$J$6+$M$5*$J$7</f>
        <v>33.148680295035987</v>
      </c>
      <c r="Q13" s="6">
        <f>$J$3+[11]FormattedData!J22*$J$4+$M$4*$J$5+[11]FormattedData!J22^2*$J$6+$M$5*$J$7</f>
        <v>42.715425945338808</v>
      </c>
      <c r="R13" s="6">
        <f>$J$3+[11]FormattedData!K22*$J$4+$M$4*$J$5+[11]FormattedData!K22^2*$J$6+$M$5*$J$7</f>
        <v>32.283442544136186</v>
      </c>
      <c r="S13" s="6">
        <f>$J$3+[11]FormattedData!L22*$J$4+$M$4*$J$5+[11]FormattedData!L22^2*$J$6+$M$5*$J$7</f>
        <v>42.164849540127513</v>
      </c>
      <c r="T13" s="6">
        <f>$J$3+[11]FormattedData!M22*$J$4+$M$4*$J$5+[11]FormattedData!M22^2*$J$6+$M$5*$J$7</f>
        <v>31.221280198308463</v>
      </c>
      <c r="U13" s="6">
        <f>$J$3+[11]FormattedData!N22*$J$4+$M$4*$J$5+[11]FormattedData!N22^2*$J$6+$M$5*$J$7</f>
        <v>42.807040739657921</v>
      </c>
      <c r="V13" s="6">
        <f>$J$3+[11]FormattedData!O22*$J$4+$M$4*$J$5+[11]FormattedData!O22^2*$J$6+$M$5*$J$7</f>
        <v>32.187093673568782</v>
      </c>
      <c r="W13" s="5">
        <f t="shared" si="0"/>
        <v>37.965379158804261</v>
      </c>
      <c r="X13" s="4">
        <f t="shared" si="1"/>
        <v>1.5167188967943561</v>
      </c>
      <c r="Y13" s="3">
        <f t="shared" si="2"/>
        <v>31.221280198308463</v>
      </c>
      <c r="Z13" s="2">
        <f t="shared" si="3"/>
        <v>32.932370857311035</v>
      </c>
      <c r="AA13" s="3">
        <f t="shared" si="4"/>
        <v>38.727550045147439</v>
      </c>
      <c r="AB13" s="2">
        <f t="shared" si="5"/>
        <v>42.73832964391859</v>
      </c>
      <c r="AC13" s="2">
        <f t="shared" si="6"/>
        <v>44.358025156779547</v>
      </c>
      <c r="AD13" s="2">
        <f t="shared" si="7"/>
        <v>-8.394133347789208E-2</v>
      </c>
      <c r="AE13" s="2">
        <f t="shared" si="8"/>
        <v>-2.0578356279900665</v>
      </c>
    </row>
    <row r="14" spans="1:35" x14ac:dyDescent="0.2">
      <c r="B14" s="1">
        <f>[11]FormattedData!A20</f>
        <v>105</v>
      </c>
      <c r="C14" s="1" t="str">
        <f>VLOOKUP($B14,[11]TrtCodes!$B$11:I63,2)</f>
        <v>NDL</v>
      </c>
      <c r="D14" s="1">
        <f>VLOOKUP($B14,[11]TrtCodes!$B$11:J63,3)</f>
        <v>12</v>
      </c>
      <c r="E14" s="1">
        <f>VLOOKUP($B14,[11]TrtCodes!$B$11:K63,4)</f>
        <v>2</v>
      </c>
      <c r="F14" s="1">
        <f>VLOOKUP($B14,[11]TrtCodes!$B$11:L63,5)</f>
        <v>3</v>
      </c>
      <c r="G14" s="1">
        <f>VLOOKUP($B14,[11]TrtCodes!$B$11:M63,6)</f>
        <v>1</v>
      </c>
      <c r="H14" s="1">
        <f>VLOOKUP($B14,[11]TrtCodes!$B$11:N63,7)</f>
        <v>2</v>
      </c>
      <c r="I14" s="1">
        <f>[11]FormattedData!B20</f>
        <v>1</v>
      </c>
      <c r="J14" s="4">
        <f>[11]FormattedData!C20</f>
        <v>13.186</v>
      </c>
      <c r="K14" s="6">
        <f>$J$3+[11]FormattedData!D20*$J$4+$M$4*$J$5+[11]FormattedData!D20^2*$J$6+$M$5*$J$7</f>
        <v>35.534154363359121</v>
      </c>
      <c r="L14" s="6">
        <f>$J$3+[11]FormattedData!E20*$J$4+$M$4*$J$5+[11]FormattedData!E20^2*$J$6+$M$5*$J$7</f>
        <v>31.414781041663979</v>
      </c>
      <c r="M14" s="6">
        <f>$J$3+[11]FormattedData!F20*$J$4+$M$4*$J$5+[11]FormattedData!F20^2*$J$6+$M$5*$J$7</f>
        <v>33.340490396874252</v>
      </c>
      <c r="N14" s="6">
        <f>$J$3+[11]FormattedData!G20*$J$4+$M$4*$J$5+[11]FormattedData!G20^2*$J$6+$M$5*$J$7</f>
        <v>31.994269126820171</v>
      </c>
      <c r="O14" s="6">
        <f>$J$3+[11]FormattedData!H20*$J$4+$M$4*$J$5+[11]FormattedData!H20^2*$J$6+$M$5*$J$7</f>
        <v>37.04699368664452</v>
      </c>
      <c r="P14" s="6">
        <f>$J$3+[11]FormattedData!I20*$J$4+$M$4*$J$5+[11]FormattedData!I20^2*$J$6+$M$5*$J$7</f>
        <v>31.511468060534835</v>
      </c>
      <c r="Q14" s="6">
        <f>$J$3+[11]FormattedData!J20*$J$4+$M$4*$J$5+[11]FormattedData!J20^2*$J$6+$M$5*$J$7</f>
        <v>36.291926618215619</v>
      </c>
      <c r="R14" s="6">
        <f>$J$3+[11]FormattedData!K20*$J$4+$M$4*$J$5+[11]FormattedData!K20^2*$J$6+$M$5*$J$7</f>
        <v>30.930711919240711</v>
      </c>
      <c r="S14" s="6">
        <f>$J$3+[11]FormattedData!L20*$J$4+$M$4*$J$5+[11]FormattedData!L20^2*$J$6+$M$5*$J$7</f>
        <v>38.829436094183819</v>
      </c>
      <c r="T14" s="6">
        <f>$J$3+[11]FormattedData!M20*$J$4+$M$4*$J$5+[11]FormattedData!M20^2*$J$6+$M$5*$J$7</f>
        <v>34.964049893623653</v>
      </c>
      <c r="U14" s="6">
        <f>$J$3+[11]FormattedData!N20*$J$4+$M$4*$J$5+[11]FormattedData!N20^2*$J$6+$M$5*$J$7</f>
        <v>39.668425083028374</v>
      </c>
      <c r="V14" s="6">
        <f>$J$3+[11]FormattedData!O20*$J$4+$M$4*$J$5+[11]FormattedData!O20^2*$J$6+$M$5*$J$7</f>
        <v>31.704715292662762</v>
      </c>
      <c r="W14" s="5">
        <f t="shared" si="0"/>
        <v>34.435951798070988</v>
      </c>
      <c r="X14" s="4">
        <f t="shared" si="1"/>
        <v>0.88342003704056993</v>
      </c>
      <c r="Y14" s="3">
        <f t="shared" si="2"/>
        <v>30.930711919240711</v>
      </c>
      <c r="Z14" s="2">
        <f t="shared" si="3"/>
        <v>31.656403484630779</v>
      </c>
      <c r="AA14" s="3">
        <f t="shared" si="4"/>
        <v>34.152270145248949</v>
      </c>
      <c r="AB14" s="2">
        <f t="shared" si="5"/>
        <v>36.480693385322844</v>
      </c>
      <c r="AC14" s="2">
        <f t="shared" si="6"/>
        <v>39.668425083028374</v>
      </c>
      <c r="AD14" s="2">
        <f t="shared" si="7"/>
        <v>0.46373303571057117</v>
      </c>
      <c r="AE14" s="2">
        <f t="shared" si="8"/>
        <v>-1.1908551096564248</v>
      </c>
    </row>
    <row r="15" spans="1:35" x14ac:dyDescent="0.2">
      <c r="B15" s="1">
        <f>[11]FormattedData!A18</f>
        <v>106</v>
      </c>
      <c r="C15" s="1" t="str">
        <f>VLOOKUP($B15,[11]TrtCodes!$B$11:I61,2)</f>
        <v>NTH</v>
      </c>
      <c r="D15" s="1">
        <f>VLOOKUP($B15,[11]TrtCodes!$B$11:J61,3)</f>
        <v>9</v>
      </c>
      <c r="E15" s="1">
        <f>VLOOKUP($B15,[11]TrtCodes!$B$11:K61,4)</f>
        <v>2</v>
      </c>
      <c r="F15" s="1">
        <f>VLOOKUP($B15,[11]TrtCodes!$B$11:L61,5)</f>
        <v>2</v>
      </c>
      <c r="G15" s="1">
        <f>VLOOKUP($B15,[11]TrtCodes!$B$11:M61,6)</f>
        <v>2</v>
      </c>
      <c r="H15" s="1">
        <f>VLOOKUP($B15,[11]TrtCodes!$B$11:N61,7)</f>
        <v>2</v>
      </c>
      <c r="I15" s="1">
        <f>[11]FormattedData!B18</f>
        <v>1</v>
      </c>
      <c r="J15" s="4">
        <f>[11]FormattedData!C18</f>
        <v>13.166</v>
      </c>
      <c r="K15" s="6">
        <f>$J$3+[11]FormattedData!D18*$J$4+$M$4*$J$5+[11]FormattedData!D18^2*$J$6+$M$5*$J$7</f>
        <v>39.761434739099222</v>
      </c>
      <c r="L15" s="6">
        <f>$J$3+[11]FormattedData!E18*$J$4+$M$4*$J$5+[11]FormattedData!E18^2*$J$6+$M$5*$J$7</f>
        <v>39.482278965272883</v>
      </c>
      <c r="M15" s="6">
        <f>$J$3+[11]FormattedData!F18*$J$4+$M$4*$J$5+[11]FormattedData!F18^2*$J$6+$M$5*$J$7</f>
        <v>32.379749146165672</v>
      </c>
      <c r="N15" s="6">
        <f>$J$3+[11]FormattedData!G18*$J$4+$M$4*$J$5+[11]FormattedData!G18^2*$J$6+$M$5*$J$7</f>
        <v>36.197353026241316</v>
      </c>
      <c r="O15" s="6">
        <f>$J$3+[11]FormattedData!H18*$J$4+$M$4*$J$5+[11]FormattedData!H18^2*$J$6+$M$5*$J$7</f>
        <v>42.715425945338808</v>
      </c>
      <c r="P15" s="6">
        <f>$J$3+[11]FormattedData!I18*$J$4+$M$4*$J$5+[11]FormattedData!I18^2*$J$6+$M$5*$J$7</f>
        <v>34.964049893623653</v>
      </c>
      <c r="Q15" s="6">
        <f>$J$3+[11]FormattedData!J18*$J$4+$M$4*$J$5+[11]FormattedData!J18^2*$J$6+$M$5*$J$7</f>
        <v>44.17619042989304</v>
      </c>
      <c r="R15" s="6">
        <f>$J$3+[11]FormattedData!K18*$J$4+$M$4*$J$5+[11]FormattedData!K18^2*$J$6+$M$5*$J$7</f>
        <v>32.956701119045995</v>
      </c>
      <c r="S15" s="6">
        <f>$J$3+[11]FormattedData!L18*$J$4+$M$4*$J$5+[11]FormattedData!L18^2*$J$6+$M$5*$J$7</f>
        <v>43.173077231555105</v>
      </c>
      <c r="T15" s="6">
        <f>$J$3+[11]FormattedData!M18*$J$4+$M$4*$J$5+[11]FormattedData!M18^2*$J$6+$M$5*$J$7</f>
        <v>36.38645794165199</v>
      </c>
      <c r="U15" s="6">
        <f>$J$3+[11]FormattedData!N18*$J$4+$M$4*$J$5+[11]FormattedData!N18^2*$J$6+$M$5*$J$7</f>
        <v>45.62613416873689</v>
      </c>
      <c r="V15" s="6">
        <f>$J$3+[11]FormattedData!O18*$J$4+$M$4*$J$5+[11]FormattedData!O18^2*$J$6+$M$5*$J$7</f>
        <v>35.818635972964792</v>
      </c>
      <c r="W15" s="5">
        <f t="shared" si="0"/>
        <v>38.636457381632447</v>
      </c>
      <c r="X15" s="4">
        <f t="shared" si="1"/>
        <v>1.2985672967078283</v>
      </c>
      <c r="Y15" s="3">
        <f t="shared" si="2"/>
        <v>32.379749146165672</v>
      </c>
      <c r="Z15" s="2">
        <f t="shared" si="3"/>
        <v>35.604989453129505</v>
      </c>
      <c r="AA15" s="3">
        <f t="shared" si="4"/>
        <v>37.93436845346244</v>
      </c>
      <c r="AB15" s="2">
        <f t="shared" si="5"/>
        <v>42.829838766892884</v>
      </c>
      <c r="AC15" s="2">
        <f t="shared" si="6"/>
        <v>45.62613416873689</v>
      </c>
      <c r="AD15" s="2">
        <f t="shared" si="7"/>
        <v>0.17832620779269009</v>
      </c>
      <c r="AE15" s="2">
        <f t="shared" si="8"/>
        <v>-1.374060700467822</v>
      </c>
    </row>
    <row r="16" spans="1:35" x14ac:dyDescent="0.2">
      <c r="B16" s="1">
        <f>[11]FormattedData!A16</f>
        <v>107</v>
      </c>
      <c r="C16" s="1" t="str">
        <f>VLOOKUP($B16,[11]TrtCodes!$B$11:I59,2)</f>
        <v>NTL</v>
      </c>
      <c r="D16" s="1">
        <f>VLOOKUP($B16,[11]TrtCodes!$B$11:J59,3)</f>
        <v>10</v>
      </c>
      <c r="E16" s="1">
        <f>VLOOKUP($B16,[11]TrtCodes!$B$11:K59,4)</f>
        <v>2</v>
      </c>
      <c r="F16" s="1">
        <f>VLOOKUP($B16,[11]TrtCodes!$B$11:L59,5)</f>
        <v>2</v>
      </c>
      <c r="G16" s="1">
        <f>VLOOKUP($B16,[11]TrtCodes!$B$11:M59,6)</f>
        <v>1</v>
      </c>
      <c r="H16" s="1">
        <f>VLOOKUP($B16,[11]TrtCodes!$B$11:N59,7)</f>
        <v>2</v>
      </c>
      <c r="I16" s="1">
        <f>[11]FormattedData!B16</f>
        <v>1</v>
      </c>
      <c r="J16" s="4">
        <f>[11]FormattedData!C16</f>
        <v>13.15</v>
      </c>
      <c r="K16" s="6">
        <f>$J$3+[11]FormattedData!D16*$J$4+$M$4*$J$5+[11]FormattedData!D16^2*$J$6+$M$5*$J$7</f>
        <v>48.582469017185019</v>
      </c>
      <c r="L16" s="6">
        <f>$J$3+[11]FormattedData!E16*$J$4+$M$4*$J$5+[11]FormattedData!E16^2*$J$6+$M$5*$J$7</f>
        <v>38.080793843520453</v>
      </c>
      <c r="M16" s="6">
        <f>$J$3+[11]FormattedData!F16*$J$4+$M$4*$J$5+[11]FormattedData!F16^2*$J$6+$M$5*$J$7</f>
        <v>47.780760878795732</v>
      </c>
      <c r="N16" s="6">
        <f>$J$3+[11]FormattedData!G16*$J$4+$M$4*$J$5+[11]FormattedData!G16^2*$J$6+$M$5*$J$7</f>
        <v>31.221280198308463</v>
      </c>
      <c r="O16" s="6">
        <f>$J$3+[11]FormattedData!H16*$J$4+$M$4*$J$5+[11]FormattedData!H16^2*$J$6+$M$5*$J$7</f>
        <v>44.993115241937531</v>
      </c>
      <c r="P16" s="6">
        <f>$J$3+[11]FormattedData!I16*$J$4+$M$4*$J$5+[11]FormattedData!I16^2*$J$6+$M$5*$J$7</f>
        <v>37.705458273278417</v>
      </c>
      <c r="Q16" s="6">
        <f>$J$3+[11]FormattedData!J16*$J$4+$M$4*$J$5+[11]FormattedData!J16^2*$J$6+$M$5*$J$7</f>
        <v>42.532069551086757</v>
      </c>
      <c r="R16" s="6">
        <f>$J$3+[11]FormattedData!K16*$J$4+$M$4*$J$5+[11]FormattedData!K16^2*$J$6+$M$5*$J$7</f>
        <v>40.133050678003322</v>
      </c>
      <c r="S16" s="6">
        <f>$J$3+[11]FormattedData!L16*$J$4+$M$4*$J$5+[11]FormattedData!L16^2*$J$6+$M$5*$J$7</f>
        <v>35.818635972964792</v>
      </c>
      <c r="T16" s="6">
        <f>$J$3+[11]FormattedData!M16*$J$4+$M$4*$J$5+[11]FormattedData!M16^2*$J$6+$M$5*$J$7</f>
        <v>40.781751232375129</v>
      </c>
      <c r="U16" s="6">
        <f>$J$3+[11]FormattedData!N16*$J$4+$M$4*$J$5+[11]FormattedData!N16^2*$J$6+$M$5*$J$7</f>
        <v>37.705458273278417</v>
      </c>
      <c r="V16" s="6">
        <f>$J$3+[11]FormattedData!O16*$J$4+$M$4*$J$5+[11]FormattedData!O16^2*$J$6+$M$5*$J$7</f>
        <v>34.392423756522646</v>
      </c>
      <c r="W16" s="5">
        <f t="shared" si="0"/>
        <v>39.977272243104721</v>
      </c>
      <c r="X16" s="4">
        <f t="shared" si="1"/>
        <v>1.5234830078509456</v>
      </c>
      <c r="Y16" s="3">
        <f t="shared" si="2"/>
        <v>31.221280198308463</v>
      </c>
      <c r="Z16" s="2">
        <f t="shared" si="3"/>
        <v>37.233752698200007</v>
      </c>
      <c r="AA16" s="3">
        <f t="shared" si="4"/>
        <v>39.106922260761891</v>
      </c>
      <c r="AB16" s="2">
        <f t="shared" si="5"/>
        <v>43.147330973799448</v>
      </c>
      <c r="AC16" s="2">
        <f t="shared" si="6"/>
        <v>48.582469017185019</v>
      </c>
      <c r="AD16" s="2">
        <f t="shared" si="7"/>
        <v>0.22866658959762179</v>
      </c>
      <c r="AE16" s="2">
        <f t="shared" si="8"/>
        <v>-0.56314930904592142</v>
      </c>
    </row>
    <row r="17" spans="2:31" x14ac:dyDescent="0.2">
      <c r="B17" s="1">
        <f>[11]FormattedData!A14</f>
        <v>108</v>
      </c>
      <c r="C17" s="1" t="str">
        <f>VLOOKUP($B17,[11]TrtCodes!$B$11:I57,2)</f>
        <v>FTH</v>
      </c>
      <c r="D17" s="1">
        <f>VLOOKUP($B17,[11]TrtCodes!$B$11:J57,3)</f>
        <v>3</v>
      </c>
      <c r="E17" s="1">
        <f>VLOOKUP($B17,[11]TrtCodes!$B$11:K57,4)</f>
        <v>1</v>
      </c>
      <c r="F17" s="1">
        <f>VLOOKUP($B17,[11]TrtCodes!$B$11:L57,5)</f>
        <v>2</v>
      </c>
      <c r="G17" s="1">
        <f>VLOOKUP($B17,[11]TrtCodes!$B$11:M57,6)</f>
        <v>2</v>
      </c>
      <c r="H17" s="1">
        <f>VLOOKUP($B17,[11]TrtCodes!$B$11:N57,7)</f>
        <v>2</v>
      </c>
      <c r="I17" s="1">
        <f>[11]FormattedData!B14</f>
        <v>1</v>
      </c>
      <c r="J17" s="4">
        <f>[11]FormattedData!C14</f>
        <v>13.127000000000001</v>
      </c>
      <c r="K17" s="6">
        <f>$J$3+[11]FormattedData!D14*$J$4+$M$4*$J$5+[11]FormattedData!D14^2*$J$6+$M$5*$J$7</f>
        <v>43.173077231555105</v>
      </c>
      <c r="L17" s="6">
        <f>$J$3+[11]FormattedData!E14*$J$4+$M$4*$J$5+[11]FormattedData!E14^2*$J$6+$M$5*$J$7</f>
        <v>31.027610280801223</v>
      </c>
      <c r="M17" s="6">
        <f>$J$3+[11]FormattedData!F14*$J$4+$M$4*$J$5+[11]FormattedData!F14^2*$J$6+$M$5*$J$7</f>
        <v>46.257081937177624</v>
      </c>
      <c r="N17" s="6">
        <f>$J$3+[11]FormattedData!G14*$J$4+$M$4*$J$5+[11]FormattedData!G14^2*$J$6+$M$5*$J$7</f>
        <v>35.05917297659105</v>
      </c>
      <c r="O17" s="6">
        <f>$J$3+[11]FormattedData!H14*$J$4+$M$4*$J$5+[11]FormattedData!H14^2*$J$6+$M$5*$J$7</f>
        <v>47.512763998983203</v>
      </c>
      <c r="P17" s="6">
        <f>$J$3+[11]FormattedData!I14*$J$4+$M$4*$J$5+[11]FormattedData!I14^2*$J$6+$M$5*$J$7</f>
        <v>36.38645794165199</v>
      </c>
      <c r="Q17" s="6">
        <f>$J$3+[11]FormattedData!J14*$J$4+$M$4*$J$5+[11]FormattedData!J14^2*$J$6+$M$5*$J$7</f>
        <v>41.151507355610242</v>
      </c>
      <c r="R17" s="6">
        <f>$J$3+[11]FormattedData!K14*$J$4+$M$4*$J$5+[11]FormattedData!K14^2*$J$6+$M$5*$J$7</f>
        <v>45.264662678936268</v>
      </c>
      <c r="S17" s="6">
        <f>$J$3+[11]FormattedData!L14*$J$4+$M$4*$J$5+[11]FormattedData!L14^2*$J$6+$M$5*$J$7</f>
        <v>32.090702534463439</v>
      </c>
      <c r="T17" s="6">
        <f>$J$3+[11]FormattedData!M14*$J$4+$M$4*$J$5+[11]FormattedData!M14^2*$J$6+$M$5*$J$7</f>
        <v>49.911040911006232</v>
      </c>
      <c r="U17" s="6">
        <f>$J$3+[11]FormattedData!N14*$J$4+$M$4*$J$5+[11]FormattedData!N14^2*$J$6+$M$5*$J$7</f>
        <v>31.704715292662762</v>
      </c>
      <c r="V17" s="6">
        <f>$J$3+[11]FormattedData!O14*$J$4+$M$4*$J$5+[11]FormattedData!O14^2*$J$6+$M$5*$J$7</f>
        <v>48.848944229632025</v>
      </c>
      <c r="W17" s="5">
        <f t="shared" si="0"/>
        <v>40.698978114089265</v>
      </c>
      <c r="X17" s="4">
        <f t="shared" si="1"/>
        <v>2.0499730776215763</v>
      </c>
      <c r="Y17" s="3">
        <f t="shared" si="2"/>
        <v>31.027610280801223</v>
      </c>
      <c r="Z17" s="2">
        <f t="shared" si="3"/>
        <v>34.317055366059151</v>
      </c>
      <c r="AA17" s="3">
        <f t="shared" si="4"/>
        <v>42.162292293582674</v>
      </c>
      <c r="AB17" s="2">
        <f t="shared" si="5"/>
        <v>46.571002452629017</v>
      </c>
      <c r="AC17" s="2">
        <f t="shared" si="6"/>
        <v>49.911040911006232</v>
      </c>
      <c r="AD17" s="2">
        <f t="shared" si="7"/>
        <v>-0.18526114828818677</v>
      </c>
      <c r="AE17" s="2">
        <f t="shared" si="8"/>
        <v>-1.7197936872656259</v>
      </c>
    </row>
    <row r="18" spans="2:31" x14ac:dyDescent="0.2">
      <c r="B18" s="1">
        <f>[11]FormattedData!A30</f>
        <v>201</v>
      </c>
      <c r="C18" s="1" t="str">
        <f>VLOOKUP($B18,[11]TrtCodes!$B$11:I73,2)</f>
        <v>NDL</v>
      </c>
      <c r="D18" s="1">
        <f>VLOOKUP($B18,[11]TrtCodes!$B$11:J73,3)</f>
        <v>12</v>
      </c>
      <c r="E18" s="1">
        <f>VLOOKUP($B18,[11]TrtCodes!$B$11:K73,4)</f>
        <v>2</v>
      </c>
      <c r="F18" s="1">
        <f>VLOOKUP($B18,[11]TrtCodes!$B$11:L73,5)</f>
        <v>3</v>
      </c>
      <c r="G18" s="1">
        <f>VLOOKUP($B18,[11]TrtCodes!$B$11:M73,6)</f>
        <v>1</v>
      </c>
      <c r="H18" s="1">
        <f>VLOOKUP($B18,[11]TrtCodes!$B$11:N73,7)</f>
        <v>1</v>
      </c>
      <c r="I18" s="1">
        <f>[11]FormattedData!B30</f>
        <v>1</v>
      </c>
      <c r="J18" s="4">
        <f>[11]FormattedData!C30</f>
        <v>13.281000000000001</v>
      </c>
      <c r="K18" s="6">
        <f>$J$3+[11]FormattedData!D30*$J$4+$M$4*$J$5+[11]FormattedData!D30^2*$J$6+$M$5*$J$7</f>
        <v>35.818635972964792</v>
      </c>
      <c r="L18" s="6">
        <f>$J$3+[11]FormattedData!E30*$J$4+$M$4*$J$5+[11]FormattedData!E30^2*$J$6+$M$5*$J$7</f>
        <v>30.542695787619337</v>
      </c>
      <c r="M18" s="6">
        <f>$J$3+[11]FormattedData!F30*$J$4+$M$4*$J$5+[11]FormattedData!F30^2*$J$6+$M$5*$J$7</f>
        <v>31.31805175425518</v>
      </c>
      <c r="N18" s="6">
        <f>$J$3+[11]FormattedData!G30*$J$4+$M$4*$J$5+[11]FormattedData!G30^2*$J$6+$M$5*$J$7</f>
        <v>35.05917297659105</v>
      </c>
      <c r="O18" s="6">
        <f>$J$3+[11]FormattedData!H30*$J$4+$M$4*$J$5+[11]FormattedData!H30^2*$J$6+$M$5*$J$7</f>
        <v>28.690383486879856</v>
      </c>
      <c r="P18" s="6">
        <f>$J$3+[11]FormattedData!I30*$J$4+$M$4*$J$5+[11]FormattedData!I30^2*$J$6+$M$5*$J$7</f>
        <v>34.48780045071765</v>
      </c>
      <c r="Q18" s="6">
        <f>$J$3+[11]FormattedData!J30*$J$4+$M$4*$J$5+[11]FormattedData!J30^2*$J$6+$M$5*$J$7</f>
        <v>29.764634634555893</v>
      </c>
      <c r="R18" s="6">
        <f>$J$3+[11]FormattedData!K30*$J$4+$M$4*$J$5+[11]FormattedData!K30^2*$J$6+$M$5*$J$7</f>
        <v>36.669798300733518</v>
      </c>
      <c r="S18" s="6">
        <f>$J$3+[11]FormattedData!L30*$J$4+$M$4*$J$5+[11]FormattedData!L30^2*$J$6+$M$5*$J$7</f>
        <v>29.862040218571579</v>
      </c>
      <c r="T18" s="6">
        <f>$J$3+[11]FormattedData!M30*$J$4+$M$4*$J$5+[11]FormattedData!M30^2*$J$6+$M$5*$J$7</f>
        <v>35.534154363359121</v>
      </c>
      <c r="U18" s="6">
        <f>$J$3+[11]FormattedData!N30*$J$4+$M$4*$J$5+[11]FormattedData!N30^2*$J$6+$M$5*$J$7</f>
        <v>29.862040218571579</v>
      </c>
      <c r="V18" s="6">
        <f>$J$3+[11]FormattedData!O30*$J$4+$M$4*$J$5+[11]FormattedData!O30^2*$J$6+$M$5*$J$7</f>
        <v>36.38645794165199</v>
      </c>
      <c r="W18" s="5">
        <f t="shared" si="0"/>
        <v>32.832988842205957</v>
      </c>
      <c r="X18" s="4">
        <f t="shared" si="1"/>
        <v>0.88344391301349789</v>
      </c>
      <c r="Y18" s="3">
        <f t="shared" si="2"/>
        <v>28.690383486879856</v>
      </c>
      <c r="Z18" s="2">
        <f t="shared" si="3"/>
        <v>29.862040218571579</v>
      </c>
      <c r="AA18" s="3">
        <f t="shared" si="4"/>
        <v>32.902926102486418</v>
      </c>
      <c r="AB18" s="2">
        <f t="shared" si="5"/>
        <v>35.605274765760541</v>
      </c>
      <c r="AC18" s="2">
        <f t="shared" si="6"/>
        <v>36.669798300733518</v>
      </c>
      <c r="AD18" s="2">
        <f t="shared" si="7"/>
        <v>-1.7802574601717566E-2</v>
      </c>
      <c r="AE18" s="2">
        <f t="shared" si="8"/>
        <v>-2.0345248833867728</v>
      </c>
    </row>
    <row r="19" spans="2:31" x14ac:dyDescent="0.2">
      <c r="B19" s="1">
        <f>[11]FormattedData!A32</f>
        <v>202</v>
      </c>
      <c r="C19" s="1" t="str">
        <f>VLOOKUP($B19,[11]TrtCodes!$B$11:I75,2)</f>
        <v>NTH</v>
      </c>
      <c r="D19" s="1">
        <f>VLOOKUP($B19,[11]TrtCodes!$B$11:J75,3)</f>
        <v>9</v>
      </c>
      <c r="E19" s="1">
        <f>VLOOKUP($B19,[11]TrtCodes!$B$11:K75,4)</f>
        <v>2</v>
      </c>
      <c r="F19" s="1">
        <f>VLOOKUP($B19,[11]TrtCodes!$B$11:L75,5)</f>
        <v>2</v>
      </c>
      <c r="G19" s="1">
        <f>VLOOKUP($B19,[11]TrtCodes!$B$11:M75,6)</f>
        <v>2</v>
      </c>
      <c r="H19" s="1">
        <f>VLOOKUP($B19,[11]TrtCodes!$B$11:N75,7)</f>
        <v>1</v>
      </c>
      <c r="I19" s="1">
        <f>[11]FormattedData!B32</f>
        <v>1</v>
      </c>
      <c r="J19" s="4">
        <f>[11]FormattedData!C32</f>
        <v>13.298999999999999</v>
      </c>
      <c r="K19" s="6">
        <f>$J$3+[11]FormattedData!D32*$J$4+$M$4*$J$5+[11]FormattedData!D32^2*$J$6+$M$5*$J$7</f>
        <v>45.264662678936268</v>
      </c>
      <c r="L19" s="6">
        <f>$J$3+[11]FormattedData!E32*$J$4+$M$4*$J$5+[11]FormattedData!E32^2*$J$6+$M$5*$J$7</f>
        <v>31.704715292662762</v>
      </c>
      <c r="M19" s="6">
        <f>$J$3+[11]FormattedData!F32*$J$4+$M$4*$J$5+[11]FormattedData!F32^2*$J$6+$M$5*$J$7</f>
        <v>43.903121325528772</v>
      </c>
      <c r="N19" s="6">
        <f>$J$3+[11]FormattedData!G32*$J$4+$M$4*$J$5+[11]FormattedData!G32^2*$J$6+$M$5*$J$7</f>
        <v>37.329446406429497</v>
      </c>
      <c r="O19" s="6">
        <f>$J$3+[11]FormattedData!H32*$J$4+$M$4*$J$5+[11]FormattedData!H32^2*$J$6+$M$5*$J$7</f>
        <v>40.31860503622778</v>
      </c>
      <c r="P19" s="6">
        <f>$J$3+[11]FormattedData!I32*$J$4+$M$4*$J$5+[11]FormattedData!I32^2*$J$6+$M$5*$J$7</f>
        <v>43.994186628854784</v>
      </c>
      <c r="Q19" s="6">
        <f>$J$3+[11]FormattedData!J32*$J$4+$M$4*$J$5+[11]FormattedData!J32^2*$J$6+$M$5*$J$7</f>
        <v>35.534154363359121</v>
      </c>
      <c r="R19" s="6">
        <f>$J$3+[11]FormattedData!K32*$J$4+$M$4*$J$5+[11]FormattedData!K32^2*$J$6+$M$5*$J$7</f>
        <v>46.975628988834018</v>
      </c>
      <c r="S19" s="6">
        <f>$J$3+[11]FormattedData!L32*$J$4+$M$4*$J$5+[11]FormattedData!L32^2*$J$6+$M$5*$J$7</f>
        <v>34.67842703349384</v>
      </c>
      <c r="T19" s="6">
        <f>$J$3+[11]FormattedData!M32*$J$4+$M$4*$J$5+[11]FormattedData!M32^2*$J$6+$M$5*$J$7</f>
        <v>43.812013753664822</v>
      </c>
      <c r="U19" s="6">
        <f>$J$3+[11]FormattedData!N32*$J$4+$M$4*$J$5+[11]FormattedData!N32^2*$J$6+$M$5*$J$7</f>
        <v>39.389142503588239</v>
      </c>
      <c r="V19" s="6">
        <f>$J$3+[11]FormattedData!O32*$J$4+$M$4*$J$5+[11]FormattedData!O32^2*$J$6+$M$5*$J$7</f>
        <v>32.956701119045995</v>
      </c>
      <c r="W19" s="5">
        <f t="shared" si="0"/>
        <v>39.655067094218829</v>
      </c>
      <c r="X19" s="4">
        <f t="shared" si="1"/>
        <v>1.494831743601416</v>
      </c>
      <c r="Y19" s="3">
        <f t="shared" si="2"/>
        <v>31.704715292662762</v>
      </c>
      <c r="Z19" s="2">
        <f t="shared" si="3"/>
        <v>35.320222530892799</v>
      </c>
      <c r="AA19" s="3">
        <f t="shared" si="4"/>
        <v>39.853873769908006</v>
      </c>
      <c r="AB19" s="2">
        <f t="shared" si="5"/>
        <v>43.925887651360277</v>
      </c>
      <c r="AC19" s="2">
        <f t="shared" si="6"/>
        <v>46.975628988834018</v>
      </c>
      <c r="AD19" s="2">
        <f t="shared" si="7"/>
        <v>-0.16466676371217229</v>
      </c>
      <c r="AE19" s="2">
        <f t="shared" si="8"/>
        <v>-1.4515261909372894</v>
      </c>
    </row>
    <row r="20" spans="2:31" x14ac:dyDescent="0.2">
      <c r="B20" s="1">
        <f>[11]FormattedData!A34</f>
        <v>203</v>
      </c>
      <c r="C20" s="1" t="str">
        <f>VLOOKUP($B20,[11]TrtCodes!$B$11:I77,2)</f>
        <v>FTH</v>
      </c>
      <c r="D20" s="1">
        <f>VLOOKUP($B20,[11]TrtCodes!$B$11:J77,3)</f>
        <v>3</v>
      </c>
      <c r="E20" s="1">
        <f>VLOOKUP($B20,[11]TrtCodes!$B$11:K77,4)</f>
        <v>1</v>
      </c>
      <c r="F20" s="1">
        <f>VLOOKUP($B20,[11]TrtCodes!$B$11:L77,5)</f>
        <v>2</v>
      </c>
      <c r="G20" s="1">
        <f>VLOOKUP($B20,[11]TrtCodes!$B$11:M77,6)</f>
        <v>2</v>
      </c>
      <c r="H20" s="1">
        <f>VLOOKUP($B20,[11]TrtCodes!$B$11:N77,7)</f>
        <v>1</v>
      </c>
      <c r="I20" s="1">
        <f>[11]FormattedData!B34</f>
        <v>1</v>
      </c>
      <c r="J20" s="4">
        <f>[11]FormattedData!C34</f>
        <v>13.317</v>
      </c>
      <c r="K20" s="6">
        <f>$J$3+[11]FormattedData!D34*$J$4+$M$4*$J$5+[11]FormattedData!D34^2*$J$6+$M$5*$J$7</f>
        <v>50.791471939645646</v>
      </c>
      <c r="L20" s="6">
        <f>$J$3+[11]FormattedData!E34*$J$4+$M$4*$J$5+[11]FormattedData!E34^2*$J$6+$M$5*$J$7</f>
        <v>35.344288614265693</v>
      </c>
      <c r="M20" s="6">
        <f>$J$3+[11]FormattedData!F34*$J$4+$M$4*$J$5+[11]FormattedData!F34^2*$J$6+$M$5*$J$7</f>
        <v>51.492773427826137</v>
      </c>
      <c r="N20" s="6">
        <f>$J$3+[11]FormattedData!G34*$J$4+$M$4*$J$5+[11]FormattedData!G34^2*$J$6+$M$5*$J$7</f>
        <v>31.511468060534835</v>
      </c>
      <c r="O20" s="6">
        <f>$J$3+[11]FormattedData!H34*$J$4+$M$4*$J$5+[11]FormattedData!H34^2*$J$6+$M$5*$J$7</f>
        <v>50.351784782050082</v>
      </c>
      <c r="P20" s="6">
        <f>$J$3+[11]FormattedData!I34*$J$4+$M$4*$J$5+[11]FormattedData!I34^2*$J$6+$M$5*$J$7</f>
        <v>32.764552868904275</v>
      </c>
      <c r="Q20" s="6">
        <f>$J$3+[11]FormattedData!J34*$J$4+$M$4*$J$5+[11]FormattedData!J34^2*$J$6+$M$5*$J$7</f>
        <v>54.443125016510393</v>
      </c>
      <c r="R20" s="6">
        <f>$J$3+[11]FormattedData!K34*$J$4+$M$4*$J$5+[11]FormattedData!K34^2*$J$6+$M$5*$J$7</f>
        <v>42.532069551086757</v>
      </c>
      <c r="S20" s="6">
        <f>$J$3+[11]FormattedData!L34*$J$4+$M$4*$J$5+[11]FormattedData!L34^2*$J$6+$M$5*$J$7</f>
        <v>51.405258681686334</v>
      </c>
      <c r="T20" s="6">
        <f>$J$3+[11]FormattedData!M34*$J$4+$M$4*$J$5+[11]FormattedData!M34^2*$J$6+$M$5*$J$7</f>
        <v>34.964049893623653</v>
      </c>
      <c r="U20" s="6">
        <f>$J$3+[11]FormattedData!N34*$J$4+$M$4*$J$5+[11]FormattedData!N34^2*$J$6+$M$5*$J$7</f>
        <v>49.203652753363663</v>
      </c>
      <c r="V20" s="6">
        <f>$J$3+[11]FormattedData!O34*$J$4+$M$4*$J$5+[11]FormattedData!O34^2*$J$6+$M$5*$J$7</f>
        <v>31.704715292662762</v>
      </c>
      <c r="W20" s="5">
        <f t="shared" si="0"/>
        <v>43.042434240180022</v>
      </c>
      <c r="X20" s="4">
        <f t="shared" si="1"/>
        <v>2.6323738115853215</v>
      </c>
      <c r="Y20" s="3">
        <f t="shared" si="2"/>
        <v>31.511468060534835</v>
      </c>
      <c r="Z20" s="2">
        <f t="shared" si="3"/>
        <v>34.414175637443805</v>
      </c>
      <c r="AA20" s="3">
        <f t="shared" si="4"/>
        <v>45.86786115222521</v>
      </c>
      <c r="AB20" s="2">
        <f t="shared" si="5"/>
        <v>50.944918625155822</v>
      </c>
      <c r="AC20" s="2">
        <f t="shared" si="6"/>
        <v>54.443125016510393</v>
      </c>
      <c r="AD20" s="2">
        <f t="shared" si="7"/>
        <v>-0.18703399477200575</v>
      </c>
      <c r="AE20" s="2">
        <f t="shared" si="8"/>
        <v>-2.0297297054760666</v>
      </c>
    </row>
    <row r="21" spans="2:31" x14ac:dyDescent="0.2">
      <c r="B21" s="1">
        <f>[11]FormattedData!A36</f>
        <v>204</v>
      </c>
      <c r="C21" s="1" t="str">
        <f>VLOOKUP($B21,[11]TrtCodes!$B$11:I79,2)</f>
        <v>NDH</v>
      </c>
      <c r="D21" s="1">
        <f>VLOOKUP($B21,[11]TrtCodes!$B$11:J79,3)</f>
        <v>11</v>
      </c>
      <c r="E21" s="1">
        <f>VLOOKUP($B21,[11]TrtCodes!$B$11:K79,4)</f>
        <v>2</v>
      </c>
      <c r="F21" s="1">
        <f>VLOOKUP($B21,[11]TrtCodes!$B$11:L79,5)</f>
        <v>3</v>
      </c>
      <c r="G21" s="1">
        <f>VLOOKUP($B21,[11]TrtCodes!$B$11:M79,6)</f>
        <v>2</v>
      </c>
      <c r="H21" s="1">
        <f>VLOOKUP($B21,[11]TrtCodes!$B$11:N79,7)</f>
        <v>1</v>
      </c>
      <c r="I21" s="1">
        <f>[11]FormattedData!B36</f>
        <v>1</v>
      </c>
      <c r="J21" s="4">
        <f>[11]FormattedData!C36</f>
        <v>13.334</v>
      </c>
      <c r="K21" s="6">
        <f>$J$3+[11]FormattedData!D36*$J$4+$M$4*$J$5+[11]FormattedData!D36^2*$J$6+$M$5*$J$7</f>
        <v>35.15425379102053</v>
      </c>
      <c r="L21" s="6">
        <f>$J$3+[11]FormattedData!E36*$J$4+$M$4*$J$5+[11]FormattedData!E36^2*$J$6+$M$5*$J$7</f>
        <v>30.445586083369168</v>
      </c>
      <c r="M21" s="6">
        <f>$J$3+[11]FormattedData!F36*$J$4+$M$4*$J$5+[11]FormattedData!F36^2*$J$6+$M$5*$J$7</f>
        <v>32.379749146165672</v>
      </c>
      <c r="N21" s="6">
        <f>$J$3+[11]FormattedData!G36*$J$4+$M$4*$J$5+[11]FormattedData!G36^2*$J$6+$M$5*$J$7</f>
        <v>29.959403534049343</v>
      </c>
      <c r="O21" s="6">
        <f>$J$3+[11]FormattedData!H36*$J$4+$M$4*$J$5+[11]FormattedData!H36^2*$J$6+$M$5*$J$7</f>
        <v>37.04699368664452</v>
      </c>
      <c r="P21" s="6">
        <f>$J$3+[11]FormattedData!I36*$J$4+$M$4*$J$5+[11]FormattedData!I36^2*$J$6+$M$5*$J$7</f>
        <v>30.34843411058106</v>
      </c>
      <c r="Q21" s="6">
        <f>$J$3+[11]FormattedData!J36*$J$4+$M$4*$J$5+[11]FormattedData!J36^2*$J$6+$M$5*$J$7</f>
        <v>34.297004793789718</v>
      </c>
      <c r="R21" s="6">
        <f>$J$3+[11]FormattedData!K36*$J$4+$M$4*$J$5+[11]FormattedData!K36^2*$J$6+$M$5*$J$7</f>
        <v>30.056724580989165</v>
      </c>
      <c r="S21" s="6">
        <f>$J$3+[11]FormattedData!L36*$J$4+$M$4*$J$5+[11]FormattedData!L36^2*$J$6+$M$5*$J$7</f>
        <v>35.344288614265693</v>
      </c>
      <c r="T21" s="6">
        <f>$J$3+[11]FormattedData!M36*$J$4+$M$4*$J$5+[11]FormattedData!M36^2*$J$6+$M$5*$J$7</f>
        <v>30.930711919240711</v>
      </c>
      <c r="U21" s="6">
        <f>$J$3+[11]FormattedData!N36*$J$4+$M$4*$J$5+[11]FormattedData!N36^2*$J$6+$M$5*$J$7</f>
        <v>33.819275952056124</v>
      </c>
      <c r="V21" s="6">
        <f>$J$3+[11]FormattedData!O36*$J$4+$M$4*$J$5+[11]FormattedData!O36^2*$J$6+$M$5*$J$7</f>
        <v>29.276972686408481</v>
      </c>
      <c r="W21" s="5">
        <f t="shared" si="0"/>
        <v>32.421616574881675</v>
      </c>
      <c r="X21" s="4">
        <f t="shared" si="1"/>
        <v>0.75300050369751559</v>
      </c>
      <c r="Y21" s="3">
        <f t="shared" si="2"/>
        <v>29.276972686408481</v>
      </c>
      <c r="Z21" s="2">
        <f t="shared" si="3"/>
        <v>30.275506728183085</v>
      </c>
      <c r="AA21" s="3">
        <f t="shared" si="4"/>
        <v>31.655230532703193</v>
      </c>
      <c r="AB21" s="2">
        <f t="shared" si="5"/>
        <v>34.511317043097421</v>
      </c>
      <c r="AC21" s="2">
        <f t="shared" si="6"/>
        <v>37.04699368664452</v>
      </c>
      <c r="AD21" s="2">
        <f t="shared" si="7"/>
        <v>0.45768596699997971</v>
      </c>
      <c r="AE21" s="2">
        <f t="shared" si="8"/>
        <v>-1.2862348832715087</v>
      </c>
    </row>
    <row r="22" spans="2:31" x14ac:dyDescent="0.2">
      <c r="B22" s="1">
        <f>[11]FormattedData!A38</f>
        <v>205</v>
      </c>
      <c r="C22" s="1" t="str">
        <f>VLOOKUP($B22,[11]TrtCodes!$B$11:I81,2)</f>
        <v>FSH</v>
      </c>
      <c r="D22" s="1">
        <f>VLOOKUP($B22,[11]TrtCodes!$B$11:J81,3)</f>
        <v>1</v>
      </c>
      <c r="E22" s="1">
        <f>VLOOKUP($B22,[11]TrtCodes!$B$11:K81,4)</f>
        <v>1</v>
      </c>
      <c r="F22" s="1">
        <f>VLOOKUP($B22,[11]TrtCodes!$B$11:L81,5)</f>
        <v>1</v>
      </c>
      <c r="G22" s="1">
        <f>VLOOKUP($B22,[11]TrtCodes!$B$11:M81,6)</f>
        <v>2</v>
      </c>
      <c r="H22" s="1">
        <f>VLOOKUP($B22,[11]TrtCodes!$B$11:N81,7)</f>
        <v>2</v>
      </c>
      <c r="I22" s="1">
        <f>[11]FormattedData!B38</f>
        <v>1</v>
      </c>
      <c r="J22" s="4">
        <f>[11]FormattedData!C38</f>
        <v>13.351000000000001</v>
      </c>
      <c r="K22" s="6">
        <f>$J$3+[11]FormattedData!D38*$J$4+$M$4*$J$5+[11]FormattedData!D38^2*$J$6+$M$5*$J$7</f>
        <v>52.713541677300604</v>
      </c>
      <c r="L22" s="6">
        <f>$J$3+[11]FormattedData!E38*$J$4+$M$4*$J$5+[11]FormattedData!E38^2*$J$6+$M$5*$J$7</f>
        <v>47.780760878795732</v>
      </c>
      <c r="M22" s="6">
        <f>$J$3+[11]FormattedData!F38*$J$4+$M$4*$J$5+[11]FormattedData!F38^2*$J$6+$M$5*$J$7</f>
        <v>52.278504058877466</v>
      </c>
      <c r="N22" s="6">
        <f>$J$3+[11]FormattedData!G38*$J$4+$M$4*$J$5+[11]FormattedData!G38^2*$J$6+$M$5*$J$7</f>
        <v>35.723851038300836</v>
      </c>
      <c r="O22" s="6">
        <f>$J$3+[11]FormattedData!H38*$J$4+$M$4*$J$5+[11]FormattedData!H38^2*$J$6+$M$5*$J$7</f>
        <v>46.706490858497354</v>
      </c>
      <c r="P22" s="6">
        <f>$J$3+[11]FormattedData!I38*$J$4+$M$4*$J$5+[11]FormattedData!I38^2*$J$6+$M$5*$J$7</f>
        <v>37.799355568645829</v>
      </c>
      <c r="Q22" s="6">
        <f>$J$3+[11]FormattedData!J38*$J$4+$M$4*$J$5+[11]FormattedData!J38^2*$J$6+$M$5*$J$7</f>
        <v>47.244386702329308</v>
      </c>
      <c r="R22" s="6">
        <f>$J$3+[11]FormattedData!K38*$J$4+$M$4*$J$5+[11]FormattedData!K38^2*$J$6+$M$5*$J$7</f>
        <v>42.990143522682381</v>
      </c>
      <c r="S22" s="6">
        <f>$J$3+[11]FormattedData!L38*$J$4+$M$4*$J$5+[11]FormattedData!L38^2*$J$6+$M$5*$J$7</f>
        <v>52.539653435545134</v>
      </c>
      <c r="T22" s="6">
        <f>$J$3+[11]FormattedData!M38*$J$4+$M$4*$J$5+[11]FormattedData!M38^2*$J$6+$M$5*$J$7</f>
        <v>35.15425379102053</v>
      </c>
      <c r="U22" s="6">
        <f>$J$3+[11]FormattedData!N38*$J$4+$M$4*$J$5+[11]FormattedData!N38^2*$J$6+$M$5*$J$7</f>
        <v>43.264480683184573</v>
      </c>
      <c r="V22" s="6">
        <f>$J$3+[11]FormattedData!O38*$J$4+$M$4*$J$5+[11]FormattedData!O38^2*$J$6+$M$5*$J$7</f>
        <v>49.380753404001887</v>
      </c>
      <c r="W22" s="5">
        <f t="shared" si="0"/>
        <v>45.298014634931796</v>
      </c>
      <c r="X22" s="4">
        <f t="shared" si="1"/>
        <v>1.8361180033359903</v>
      </c>
      <c r="Y22" s="3">
        <f t="shared" si="2"/>
        <v>35.15425379102053</v>
      </c>
      <c r="Z22" s="2">
        <f t="shared" si="3"/>
        <v>41.692446534173243</v>
      </c>
      <c r="AA22" s="3">
        <f t="shared" si="4"/>
        <v>46.975438780413327</v>
      </c>
      <c r="AB22" s="2">
        <f t="shared" si="5"/>
        <v>50.105191067720781</v>
      </c>
      <c r="AC22" s="2">
        <f t="shared" si="6"/>
        <v>52.713541677300604</v>
      </c>
      <c r="AD22" s="2">
        <f t="shared" si="7"/>
        <v>-0.484366003318773</v>
      </c>
      <c r="AE22" s="2">
        <f t="shared" si="8"/>
        <v>-1.0795697956070081</v>
      </c>
    </row>
    <row r="23" spans="2:31" x14ac:dyDescent="0.2">
      <c r="B23" s="1">
        <f>[11]FormattedData!A40</f>
        <v>206</v>
      </c>
      <c r="C23" s="1" t="str">
        <f>VLOOKUP($B23,[11]TrtCodes!$B$11:I83,2)</f>
        <v>NSL</v>
      </c>
      <c r="D23" s="1">
        <f>VLOOKUP($B23,[11]TrtCodes!$B$11:J83,3)</f>
        <v>8</v>
      </c>
      <c r="E23" s="1">
        <f>VLOOKUP($B23,[11]TrtCodes!$B$11:K83,4)</f>
        <v>2</v>
      </c>
      <c r="F23" s="1">
        <f>VLOOKUP($B23,[11]TrtCodes!$B$11:L83,5)</f>
        <v>1</v>
      </c>
      <c r="G23" s="1">
        <f>VLOOKUP($B23,[11]TrtCodes!$B$11:M83,6)</f>
        <v>1</v>
      </c>
      <c r="H23" s="1">
        <f>VLOOKUP($B23,[11]TrtCodes!$B$11:N83,7)</f>
        <v>2</v>
      </c>
      <c r="I23" s="1">
        <f>[11]FormattedData!B40</f>
        <v>1</v>
      </c>
      <c r="J23" s="4">
        <f>[11]FormattedData!C40</f>
        <v>13.369</v>
      </c>
      <c r="K23" s="6">
        <f>$J$3+[11]FormattedData!D40*$J$4+$M$4*$J$5+[11]FormattedData!D40^2*$J$6+$M$5*$J$7</f>
        <v>55.558287585610522</v>
      </c>
      <c r="L23" s="6">
        <f>$J$3+[11]FormattedData!E40*$J$4+$M$4*$J$5+[11]FormattedData!E40^2*$J$6+$M$5*$J$7</f>
        <v>56.58132813793636</v>
      </c>
      <c r="M23" s="6">
        <f>$J$3+[11]FormattedData!F40*$J$4+$M$4*$J$5+[11]FormattedData!F40^2*$J$6+$M$5*$J$7</f>
        <v>42.164849540127513</v>
      </c>
      <c r="N23" s="6">
        <f>$J$3+[11]FormattedData!G40*$J$4+$M$4*$J$5+[11]FormattedData!G40^2*$J$6+$M$5*$J$7</f>
        <v>57.42921239236879</v>
      </c>
      <c r="O23" s="6">
        <f>$J$3+[11]FormattedData!H40*$J$4+$M$4*$J$5+[11]FormattedData!H40^2*$J$6+$M$5*$J$7</f>
        <v>49.026383028573704</v>
      </c>
      <c r="P23" s="6">
        <f>$J$3+[11]FormattedData!I40*$J$4+$M$4*$J$5+[11]FormattedData!I40^2*$J$6+$M$5*$J$7</f>
        <v>58.609149234201773</v>
      </c>
      <c r="Q23" s="6">
        <f>$J$3+[11]FormattedData!J40*$J$4+$M$4*$J$5+[11]FormattedData!J40^2*$J$6+$M$5*$J$7</f>
        <v>39.389142503588239</v>
      </c>
      <c r="R23" s="6">
        <f>$J$3+[11]FormattedData!K40*$J$4+$M$4*$J$5+[11]FormattedData!K40^2*$J$6+$M$5*$J$7</f>
        <v>59.279679226768394</v>
      </c>
      <c r="S23" s="6">
        <f>$J$3+[11]FormattedData!L40*$J$4+$M$4*$J$5+[11]FormattedData!L40^2*$J$6+$M$5*$J$7</f>
        <v>38.080793843520453</v>
      </c>
      <c r="T23" s="6">
        <f>$J$3+[11]FormattedData!M40*$J$4+$M$4*$J$5+[11]FormattedData!M40^2*$J$6+$M$5*$J$7</f>
        <v>59.112300339854322</v>
      </c>
      <c r="U23" s="6">
        <f>$J$3+[11]FormattedData!N40*$J$4+$M$4*$J$5+[11]FormattedData!N40^2*$J$6+$M$5*$J$7</f>
        <v>37.799355568645829</v>
      </c>
      <c r="V23" s="6">
        <f>$J$3+[11]FormattedData!O40*$J$4+$M$4*$J$5+[11]FormattedData!O40^2*$J$6+$M$5*$J$7</f>
        <v>58.609149234201773</v>
      </c>
      <c r="W23" s="5">
        <f t="shared" si="0"/>
        <v>50.969969219616473</v>
      </c>
      <c r="X23" s="4">
        <f t="shared" si="1"/>
        <v>2.6131136786342104</v>
      </c>
      <c r="Y23" s="3">
        <f t="shared" si="2"/>
        <v>37.799355568645829</v>
      </c>
      <c r="Z23" s="2">
        <f t="shared" si="3"/>
        <v>41.470922780992694</v>
      </c>
      <c r="AA23" s="3">
        <f t="shared" si="4"/>
        <v>56.069807861773441</v>
      </c>
      <c r="AB23" s="2">
        <f t="shared" si="5"/>
        <v>58.609149234201773</v>
      </c>
      <c r="AC23" s="2">
        <f t="shared" si="6"/>
        <v>59.279679226768394</v>
      </c>
      <c r="AD23" s="2">
        <f t="shared" si="7"/>
        <v>-0.60611724665266786</v>
      </c>
      <c r="AE23" s="2">
        <f t="shared" si="8"/>
        <v>-1.6664501951561279</v>
      </c>
    </row>
    <row r="24" spans="2:31" x14ac:dyDescent="0.2">
      <c r="B24" s="1">
        <f>[11]FormattedData!A42</f>
        <v>207</v>
      </c>
      <c r="C24" s="1" t="str">
        <f>VLOOKUP($B24,[11]TrtCodes!$B$11:I85,2)</f>
        <v>FTL</v>
      </c>
      <c r="D24" s="1">
        <f>VLOOKUP($B24,[11]TrtCodes!$B$11:J85,3)</f>
        <v>4</v>
      </c>
      <c r="E24" s="1">
        <f>VLOOKUP($B24,[11]TrtCodes!$B$11:K85,4)</f>
        <v>1</v>
      </c>
      <c r="F24" s="1">
        <f>VLOOKUP($B24,[11]TrtCodes!$B$11:L85,5)</f>
        <v>2</v>
      </c>
      <c r="G24" s="1">
        <f>VLOOKUP($B24,[11]TrtCodes!$B$11:M85,6)</f>
        <v>1</v>
      </c>
      <c r="H24" s="1">
        <f>VLOOKUP($B24,[11]TrtCodes!$B$11:N85,7)</f>
        <v>2</v>
      </c>
      <c r="I24" s="1">
        <f>[11]FormattedData!B42</f>
        <v>1</v>
      </c>
      <c r="J24" s="4">
        <f>[11]FormattedData!C42</f>
        <v>13.387</v>
      </c>
      <c r="K24" s="6">
        <f>$J$3+[11]FormattedData!D42*$J$4+$M$4*$J$5+[11]FormattedData!D42^2*$J$6+$M$5*$J$7</f>
        <v>53.147522582275471</v>
      </c>
      <c r="L24" s="6">
        <f>$J$3+[11]FormattedData!E42*$J$4+$M$4*$J$5+[11]FormattedData!E42^2*$J$6+$M$5*$J$7</f>
        <v>36.197353026241316</v>
      </c>
      <c r="M24" s="6">
        <f>$J$3+[11]FormattedData!F42*$J$4+$M$4*$J$5+[11]FormattedData!F42^2*$J$6+$M$5*$J$7</f>
        <v>48.937684763371827</v>
      </c>
      <c r="N24" s="6">
        <f>$J$3+[11]FormattedData!G42*$J$4+$M$4*$J$5+[11]FormattedData!G42^2*$J$6+$M$5*$J$7</f>
        <v>32.090702534463439</v>
      </c>
      <c r="O24" s="6">
        <f>$J$3+[11]FormattedData!H42*$J$4+$M$4*$J$5+[11]FormattedData!H42^2*$J$6+$M$5*$J$7</f>
        <v>50.879282565550973</v>
      </c>
      <c r="P24" s="6">
        <f>$J$3+[11]FormattedData!I42*$J$4+$M$4*$J$5+[11]FormattedData!I42^2*$J$6+$M$5*$J$7</f>
        <v>32.283442544136186</v>
      </c>
      <c r="Q24" s="6">
        <f>$J$3+[11]FormattedData!J42*$J$4+$M$4*$J$5+[11]FormattedData!J42^2*$J$6+$M$5*$J$7</f>
        <v>48.848944229632025</v>
      </c>
      <c r="R24" s="6">
        <f>$J$3+[11]FormattedData!K42*$J$4+$M$4*$J$5+[11]FormattedData!K42^2*$J$6+$M$5*$J$7</f>
        <v>31.027610280801223</v>
      </c>
      <c r="S24" s="6">
        <f>$J$3+[11]FormattedData!L42*$J$4+$M$4*$J$5+[11]FormattedData!L42^2*$J$6+$M$5*$J$7</f>
        <v>47.244386702329308</v>
      </c>
      <c r="T24" s="6">
        <f>$J$3+[11]FormattedData!M42*$J$4+$M$4*$J$5+[11]FormattedData!M42^2*$J$6+$M$5*$J$7</f>
        <v>38.080793843520453</v>
      </c>
      <c r="U24" s="6">
        <f>$J$3+[11]FormattedData!N42*$J$4+$M$4*$J$5+[11]FormattedData!N42^2*$J$6+$M$5*$J$7</f>
        <v>50.351784782050082</v>
      </c>
      <c r="V24" s="6">
        <f>$J$3+[11]FormattedData!O42*$J$4+$M$4*$J$5+[11]FormattedData!O42^2*$J$6+$M$5*$J$7</f>
        <v>32.572235544610841</v>
      </c>
      <c r="W24" s="5">
        <f t="shared" si="0"/>
        <v>41.805145283248599</v>
      </c>
      <c r="X24" s="4">
        <f t="shared" si="1"/>
        <v>2.5314107618508142</v>
      </c>
      <c r="Y24" s="3">
        <f t="shared" si="2"/>
        <v>31.027610280801223</v>
      </c>
      <c r="Z24" s="2">
        <f t="shared" si="3"/>
        <v>32.500037294492174</v>
      </c>
      <c r="AA24" s="3">
        <f t="shared" si="4"/>
        <v>42.662590272924881</v>
      </c>
      <c r="AB24" s="2">
        <f t="shared" si="5"/>
        <v>49.291209768041391</v>
      </c>
      <c r="AC24" s="2">
        <f t="shared" si="6"/>
        <v>53.147522582275471</v>
      </c>
      <c r="AD24" s="2">
        <f t="shared" si="7"/>
        <v>-5.5502600258142888E-2</v>
      </c>
      <c r="AE24" s="2">
        <f t="shared" si="8"/>
        <v>-2.0704666835421026</v>
      </c>
    </row>
    <row r="25" spans="2:31" x14ac:dyDescent="0.2">
      <c r="B25" s="1">
        <f>[11]FormattedData!A44</f>
        <v>208</v>
      </c>
      <c r="C25" s="1" t="str">
        <f>VLOOKUP($B25,[11]TrtCodes!$B$11:I87,2)</f>
        <v>FSL</v>
      </c>
      <c r="D25" s="1">
        <f>VLOOKUP($B25,[11]TrtCodes!$B$11:J87,3)</f>
        <v>2</v>
      </c>
      <c r="E25" s="1">
        <f>VLOOKUP($B25,[11]TrtCodes!$B$11:K87,4)</f>
        <v>1</v>
      </c>
      <c r="F25" s="1">
        <f>VLOOKUP($B25,[11]TrtCodes!$B$11:L87,5)</f>
        <v>1</v>
      </c>
      <c r="G25" s="1">
        <f>VLOOKUP($B25,[11]TrtCodes!$B$11:M87,6)</f>
        <v>1</v>
      </c>
      <c r="H25" s="1">
        <f>VLOOKUP($B25,[11]TrtCodes!$B$11:N87,7)</f>
        <v>2</v>
      </c>
      <c r="I25" s="1">
        <f>[11]FormattedData!B44</f>
        <v>1</v>
      </c>
      <c r="J25" s="4">
        <f>[11]FormattedData!C44</f>
        <v>13.404999999999999</v>
      </c>
      <c r="K25" s="6">
        <f>$J$3+[11]FormattedData!D44*$J$4+$M$4*$J$5+[11]FormattedData!D44^2*$J$6+$M$5*$J$7</f>
        <v>53.234191957656641</v>
      </c>
      <c r="L25" s="6">
        <f>$J$3+[11]FormattedData!E44*$J$4+$M$4*$J$5+[11]FormattedData!E44^2*$J$6+$M$5*$J$7</f>
        <v>41.520587182238472</v>
      </c>
      <c r="M25" s="6">
        <f>$J$3+[11]FormattedData!F44*$J$4+$M$4*$J$5+[11]FormattedData!F44^2*$J$6+$M$5*$J$7</f>
        <v>45.986929361930613</v>
      </c>
      <c r="N25" s="6">
        <f>$J$3+[11]FormattedData!G44*$J$4+$M$4*$J$5+[11]FormattedData!G44^2*$J$6+$M$5*$J$7</f>
        <v>41.520587182238472</v>
      </c>
      <c r="O25" s="6">
        <f>$J$3+[11]FormattedData!H44*$J$4+$M$4*$J$5+[11]FormattedData!H44^2*$J$6+$M$5*$J$7</f>
        <v>47.06525716187037</v>
      </c>
      <c r="P25" s="6">
        <f>$J$3+[11]FormattedData!I44*$J$4+$M$4*$J$5+[11]FormattedData!I44^2*$J$6+$M$5*$J$7</f>
        <v>51.405258681686334</v>
      </c>
      <c r="Q25" s="6">
        <f>$J$3+[11]FormattedData!J44*$J$4+$M$4*$J$5+[11]FormattedData!J44^2*$J$6+$M$5*$J$7</f>
        <v>41.336131806000218</v>
      </c>
      <c r="R25" s="6">
        <f>$J$3+[11]FormattedData!K44*$J$4+$M$4*$J$5+[11]FormattedData!K44^2*$J$6+$M$5*$J$7</f>
        <v>55.47275946075348</v>
      </c>
      <c r="S25" s="6">
        <f>$J$3+[11]FormattedData!L44*$J$4+$M$4*$J$5+[11]FormattedData!L44^2*$J$6+$M$5*$J$7</f>
        <v>36.008079036678907</v>
      </c>
      <c r="T25" s="6">
        <f>$J$3+[11]FormattedData!M44*$J$4+$M$4*$J$5+[11]FormattedData!M44^2*$J$6+$M$5*$J$7</f>
        <v>53.493946472572595</v>
      </c>
      <c r="U25" s="6">
        <f>$J$3+[11]FormattedData!N44*$J$4+$M$4*$J$5+[11]FormattedData!N44^2*$J$6+$M$5*$J$7</f>
        <v>37.329446406429497</v>
      </c>
      <c r="V25" s="6">
        <f>$J$3+[11]FormattedData!O44*$J$4+$M$4*$J$5+[11]FormattedData!O44^2*$J$6+$M$5*$J$7</f>
        <v>53.926025293340558</v>
      </c>
      <c r="W25" s="5">
        <f t="shared" si="0"/>
        <v>46.524933333616339</v>
      </c>
      <c r="X25" s="4">
        <f t="shared" si="1"/>
        <v>1.9942946080700725</v>
      </c>
      <c r="Y25" s="3">
        <f t="shared" si="2"/>
        <v>36.008079036678907</v>
      </c>
      <c r="Z25" s="2">
        <f t="shared" si="3"/>
        <v>41.47447333817891</v>
      </c>
      <c r="AA25" s="3">
        <f t="shared" si="4"/>
        <v>46.526093261900492</v>
      </c>
      <c r="AB25" s="2">
        <f t="shared" si="5"/>
        <v>53.29913058638563</v>
      </c>
      <c r="AC25" s="2">
        <f t="shared" si="6"/>
        <v>55.47275946075348</v>
      </c>
      <c r="AD25" s="2">
        <f t="shared" si="7"/>
        <v>-0.14974561552768284</v>
      </c>
      <c r="AE25" s="2">
        <f t="shared" si="8"/>
        <v>-1.561904849748168</v>
      </c>
    </row>
    <row r="26" spans="2:31" x14ac:dyDescent="0.2">
      <c r="B26" s="1">
        <f>[11]FormattedData!A62</f>
        <v>301</v>
      </c>
      <c r="C26" s="1" t="str">
        <f>VLOOKUP($B26,[11]TrtCodes!$B$11:I105,2)</f>
        <v>NTL</v>
      </c>
      <c r="D26" s="1">
        <f>VLOOKUP($B26,[11]TrtCodes!$B$11:J105,3)</f>
        <v>10</v>
      </c>
      <c r="E26" s="1">
        <f>VLOOKUP($B26,[11]TrtCodes!$B$11:K105,4)</f>
        <v>2</v>
      </c>
      <c r="F26" s="1">
        <f>VLOOKUP($B26,[11]TrtCodes!$B$11:L105,5)</f>
        <v>2</v>
      </c>
      <c r="G26" s="1">
        <f>VLOOKUP($B26,[11]TrtCodes!$B$11:M105,6)</f>
        <v>1</v>
      </c>
      <c r="H26" s="1">
        <f>VLOOKUP($B26,[11]TrtCodes!$B$11:N105,7)</f>
        <v>3</v>
      </c>
      <c r="I26" s="1">
        <f>[11]FormattedData!B62</f>
        <v>1</v>
      </c>
      <c r="J26" s="4">
        <f>[11]FormattedData!C62</f>
        <v>13.558999999999999</v>
      </c>
      <c r="K26" s="6">
        <f>$J$3+[11]FormattedData!D62*$J$4+$M$4*$J$5+[11]FormattedData!D62^2*$J$6+$M$5*$J$7</f>
        <v>39.016173971470351</v>
      </c>
      <c r="L26" s="6">
        <f>$J$3+[11]FormattedData!E62*$J$4+$M$4*$J$5+[11]FormattedData!E62^2*$J$6+$M$5*$J$7</f>
        <v>31.801275505919826</v>
      </c>
      <c r="M26" s="6">
        <f>$J$3+[11]FormattedData!F62*$J$4+$M$4*$J$5+[11]FormattedData!F62^2*$J$6+$M$5*$J$7</f>
        <v>36.952758242973665</v>
      </c>
      <c r="N26" s="6">
        <f>$J$3+[11]FormattedData!G62*$J$4+$M$4*$J$5+[11]FormattedData!G62^2*$J$6+$M$5*$J$7</f>
        <v>36.197353026241316</v>
      </c>
      <c r="O26" s="6">
        <f>$J$3+[11]FormattedData!H62*$J$4+$M$4*$J$5+[11]FormattedData!H62^2*$J$6+$M$5*$J$7</f>
        <v>31.994269126820171</v>
      </c>
      <c r="P26" s="6">
        <f>$J$3+[11]FormattedData!I62*$J$4+$M$4*$J$5+[11]FormattedData!I62^2*$J$6+$M$5*$J$7</f>
        <v>37.517536876929817</v>
      </c>
      <c r="Q26" s="6">
        <f>$J$3+[11]FormattedData!J62*$J$4+$M$4*$J$5+[11]FormattedData!J62^2*$J$6+$M$5*$J$7</f>
        <v>30.154003359391062</v>
      </c>
      <c r="R26" s="6">
        <f>$J$3+[11]FormattedData!K62*$J$4+$M$4*$J$5+[11]FormattedData!K62^2*$J$6+$M$5*$J$7</f>
        <v>38.361851701553697</v>
      </c>
      <c r="S26" s="6">
        <f>$J$3+[11]FormattedData!L62*$J$4+$M$4*$J$5+[11]FormattedData!L62^2*$J$6+$M$5*$J$7</f>
        <v>31.608112810867766</v>
      </c>
      <c r="T26" s="6">
        <f>$J$3+[11]FormattedData!M62*$J$4+$M$4*$J$5+[11]FormattedData!M62^2*$J$6+$M$5*$J$7</f>
        <v>34.48780045071765</v>
      </c>
      <c r="U26" s="6">
        <f>$J$3+[11]FormattedData!N62*$J$4+$M$4*$J$5+[11]FormattedData!N62^2*$J$6+$M$5*$J$7</f>
        <v>30.639763223331574</v>
      </c>
      <c r="V26" s="6">
        <f>$J$3+[11]FormattedData!O62*$J$4+$M$4*$J$5+[11]FormattedData!O62^2*$J$6+$M$5*$J$7</f>
        <v>36.858480530764886</v>
      </c>
      <c r="W26" s="5">
        <f t="shared" si="0"/>
        <v>34.632448235581819</v>
      </c>
      <c r="X26" s="4">
        <f t="shared" si="1"/>
        <v>0.93086096191636325</v>
      </c>
      <c r="Y26" s="3">
        <f t="shared" si="2"/>
        <v>30.154003359391062</v>
      </c>
      <c r="Z26" s="2">
        <f t="shared" si="3"/>
        <v>31.752984832156812</v>
      </c>
      <c r="AA26" s="3">
        <f t="shared" si="4"/>
        <v>35.34257673847948</v>
      </c>
      <c r="AB26" s="2">
        <f t="shared" si="5"/>
        <v>37.0939529014627</v>
      </c>
      <c r="AC26" s="2">
        <f t="shared" si="6"/>
        <v>39.016173971470351</v>
      </c>
      <c r="AD26" s="2">
        <f t="shared" si="7"/>
        <v>-0.11293064747130964</v>
      </c>
      <c r="AE26" s="2">
        <f t="shared" si="8"/>
        <v>-1.7826137925208267</v>
      </c>
    </row>
    <row r="27" spans="2:31" x14ac:dyDescent="0.2">
      <c r="B27" s="1">
        <f>[11]FormattedData!A64</f>
        <v>302</v>
      </c>
      <c r="C27" s="1" t="str">
        <f>VLOOKUP($B27,[11]TrtCodes!$B$11:I107,2)</f>
        <v>FTL</v>
      </c>
      <c r="D27" s="1">
        <f>VLOOKUP($B27,[11]TrtCodes!$B$11:J107,3)</f>
        <v>4</v>
      </c>
      <c r="E27" s="1">
        <f>VLOOKUP($B27,[11]TrtCodes!$B$11:K107,4)</f>
        <v>1</v>
      </c>
      <c r="F27" s="1">
        <f>VLOOKUP($B27,[11]TrtCodes!$B$11:L107,5)</f>
        <v>2</v>
      </c>
      <c r="G27" s="1">
        <f>VLOOKUP($B27,[11]TrtCodes!$B$11:M107,6)</f>
        <v>1</v>
      </c>
      <c r="H27" s="1">
        <f>VLOOKUP($B27,[11]TrtCodes!$B$11:N107,7)</f>
        <v>3</v>
      </c>
      <c r="I27" s="1">
        <f>[11]FormattedData!B64</f>
        <v>1</v>
      </c>
      <c r="J27" s="4">
        <f>[11]FormattedData!C64</f>
        <v>13.577999999999999</v>
      </c>
      <c r="K27" s="6">
        <f>$J$3+[11]FormattedData!D64*$J$4+$M$4*$J$5+[11]FormattedData!D64^2*$J$6+$M$5*$J$7</f>
        <v>50.879282565550973</v>
      </c>
      <c r="L27" s="6">
        <f>$J$3+[11]FormattedData!E64*$J$4+$M$4*$J$5+[11]FormattedData!E64^2*$J$6+$M$5*$J$7</f>
        <v>37.329446406429497</v>
      </c>
      <c r="M27" s="6">
        <f>$J$3+[11]FormattedData!F64*$J$4+$M$4*$J$5+[11]FormattedData!F64^2*$J$6+$M$5*$J$7</f>
        <v>42.348544082682999</v>
      </c>
      <c r="N27" s="6">
        <f>$J$3+[11]FormattedData!G64*$J$4+$M$4*$J$5+[11]FormattedData!G64^2*$J$6+$M$5*$J$7</f>
        <v>41.612751467550694</v>
      </c>
      <c r="O27" s="6">
        <f>$J$3+[11]FormattedData!H64*$J$4+$M$4*$J$5+[11]FormattedData!H64^2*$J$6+$M$5*$J$7</f>
        <v>38.922826167096048</v>
      </c>
      <c r="P27" s="6">
        <f>$J$3+[11]FormattedData!I64*$J$4+$M$4*$J$5+[11]FormattedData!I64^2*$J$6+$M$5*$J$7</f>
        <v>44.53969080951434</v>
      </c>
      <c r="Q27" s="6">
        <f>$J$3+[11]FormattedData!J64*$J$4+$M$4*$J$5+[11]FormattedData!J64^2*$J$6+$M$5*$J$7</f>
        <v>39.202742774605156</v>
      </c>
      <c r="R27" s="6">
        <f>$J$3+[11]FormattedData!K64*$J$4+$M$4*$J$5+[11]FormattedData!K64^2*$J$6+$M$5*$J$7</f>
        <v>44.811872274582051</v>
      </c>
      <c r="S27" s="6">
        <f>$J$3+[11]FormattedData!L64*$J$4+$M$4*$J$5+[11]FormattedData!L64^2*$J$6+$M$5*$J$7</f>
        <v>36.480946996550422</v>
      </c>
      <c r="T27" s="6">
        <f>$J$3+[11]FormattedData!M64*$J$4+$M$4*$J$5+[11]FormattedData!M64^2*$J$6+$M$5*$J$7</f>
        <v>41.980985923420299</v>
      </c>
      <c r="U27" s="6">
        <f>$J$3+[11]FormattedData!N64*$J$4+$M$4*$J$5+[11]FormattedData!N64^2*$J$6+$M$5*$J$7</f>
        <v>36.102737165729081</v>
      </c>
      <c r="V27" s="6">
        <f>$J$3+[11]FormattedData!O64*$J$4+$M$4*$J$5+[11]FormattedData!O64^2*$J$6+$M$5*$J$7</f>
        <v>42.072938866042868</v>
      </c>
      <c r="W27" s="5">
        <f t="shared" si="0"/>
        <v>41.357063791646205</v>
      </c>
      <c r="X27" s="4">
        <f t="shared" si="1"/>
        <v>1.2087446813542697</v>
      </c>
      <c r="Y27" s="3">
        <f t="shared" si="2"/>
        <v>36.102737165729081</v>
      </c>
      <c r="Z27" s="2">
        <f t="shared" si="3"/>
        <v>38.52448122692941</v>
      </c>
      <c r="AA27" s="3">
        <f t="shared" si="4"/>
        <v>41.7968686954855</v>
      </c>
      <c r="AB27" s="2">
        <f t="shared" si="5"/>
        <v>42.896330764390832</v>
      </c>
      <c r="AC27" s="2">
        <f t="shared" si="6"/>
        <v>50.879282565550973</v>
      </c>
      <c r="AD27" s="2">
        <f t="shared" si="7"/>
        <v>0.8733448014690306</v>
      </c>
      <c r="AE27" s="2">
        <f t="shared" si="8"/>
        <v>1.1518842123968609</v>
      </c>
    </row>
    <row r="28" spans="2:31" x14ac:dyDescent="0.2">
      <c r="B28" s="1">
        <f>[11]FormattedData!A66</f>
        <v>303</v>
      </c>
      <c r="C28" s="1" t="str">
        <f>VLOOKUP($B28,[11]TrtCodes!$B$11:I109,2)</f>
        <v>NSL</v>
      </c>
      <c r="D28" s="1">
        <f>VLOOKUP($B28,[11]TrtCodes!$B$11:J109,3)</f>
        <v>8</v>
      </c>
      <c r="E28" s="1">
        <f>VLOOKUP($B28,[11]TrtCodes!$B$11:K109,4)</f>
        <v>2</v>
      </c>
      <c r="F28" s="1">
        <f>VLOOKUP($B28,[11]TrtCodes!$B$11:L109,5)</f>
        <v>1</v>
      </c>
      <c r="G28" s="1">
        <f>VLOOKUP($B28,[11]TrtCodes!$B$11:M109,6)</f>
        <v>1</v>
      </c>
      <c r="H28" s="1">
        <f>VLOOKUP($B28,[11]TrtCodes!$B$11:N109,7)</f>
        <v>3</v>
      </c>
      <c r="I28" s="1">
        <f>[11]FormattedData!B66</f>
        <v>1</v>
      </c>
      <c r="J28" s="4">
        <f>[11]FormattedData!C66</f>
        <v>13.596</v>
      </c>
      <c r="K28" s="6">
        <f>$J$3+[11]FormattedData!D66*$J$4+$M$4*$J$5+[11]FormattedData!D66^2*$J$6+$M$5*$J$7</f>
        <v>58.777035343571008</v>
      </c>
      <c r="L28" s="6">
        <f>$J$3+[11]FormattedData!E66*$J$4+$M$4*$J$5+[11]FormattedData!E66^2*$J$6+$M$5*$J$7</f>
        <v>47.154843066368805</v>
      </c>
      <c r="M28" s="6">
        <f>$J$3+[11]FormattedData!F66*$J$4+$M$4*$J$5+[11]FormattedData!F66^2*$J$6+$M$5*$J$7</f>
        <v>44.53969080951434</v>
      </c>
      <c r="N28" s="6">
        <f>$J$3+[11]FormattedData!G66*$J$4+$M$4*$J$5+[11]FormattedData!G66^2*$J$6+$M$5*$J$7</f>
        <v>55.643773441929632</v>
      </c>
      <c r="O28" s="6">
        <f>$J$3+[11]FormattedData!H66*$J$4+$M$4*$J$5+[11]FormattedData!H66^2*$J$6+$M$5*$J$7</f>
        <v>46.616693611309266</v>
      </c>
      <c r="P28" s="6">
        <f>$J$3+[11]FormattedData!I66*$J$4+$M$4*$J$5+[11]FormattedData!I66^2*$J$6+$M$5*$J$7</f>
        <v>57.175290935687329</v>
      </c>
      <c r="Q28" s="6">
        <f>$J$3+[11]FormattedData!J66*$J$4+$M$4*$J$5+[11]FormattedData!J66^2*$J$6+$M$5*$J$7</f>
        <v>39.575373158419595</v>
      </c>
      <c r="R28" s="6">
        <f>$J$3+[11]FormattedData!K66*$J$4+$M$4*$J$5+[11]FormattedData!K66^2*$J$6+$M$5*$J$7</f>
        <v>58.272869793008113</v>
      </c>
      <c r="S28" s="6">
        <f>$J$3+[11]FormattedData!L66*$J$4+$M$4*$J$5+[11]FormattedData!L66^2*$J$6+$M$5*$J$7</f>
        <v>37.705458273278417</v>
      </c>
      <c r="T28" s="6">
        <f>$J$3+[11]FormattedData!M66*$J$4+$M$4*$J$5+[11]FormattedData!M66^2*$J$6+$M$5*$J$7</f>
        <v>58.188694261364873</v>
      </c>
      <c r="U28" s="6">
        <f>$J$3+[11]FormattedData!N66*$J$4+$M$4*$J$5+[11]FormattedData!N66^2*$J$6+$M$5*$J$7</f>
        <v>39.295963773365663</v>
      </c>
      <c r="V28" s="6">
        <f>$J$3+[11]FormattedData!O66*$J$4+$M$4*$J$5+[11]FormattedData!O66^2*$J$6+$M$5*$J$7</f>
        <v>59.864173872022796</v>
      </c>
      <c r="W28" s="5">
        <f t="shared" si="0"/>
        <v>50.234155028319982</v>
      </c>
      <c r="X28" s="4">
        <f t="shared" si="1"/>
        <v>2.4867437160294079</v>
      </c>
      <c r="Y28" s="3">
        <f t="shared" si="2"/>
        <v>37.705458273278417</v>
      </c>
      <c r="Z28" s="2">
        <f t="shared" si="3"/>
        <v>43.298611396740654</v>
      </c>
      <c r="AA28" s="3">
        <f t="shared" si="4"/>
        <v>51.399308254149219</v>
      </c>
      <c r="AB28" s="2">
        <f t="shared" si="5"/>
        <v>58.209738144275683</v>
      </c>
      <c r="AC28" s="2">
        <f t="shared" si="6"/>
        <v>59.864173872022796</v>
      </c>
      <c r="AD28" s="2">
        <f t="shared" si="7"/>
        <v>-0.29274179545381857</v>
      </c>
      <c r="AE28" s="2">
        <f t="shared" si="8"/>
        <v>-1.788236288189593</v>
      </c>
    </row>
    <row r="29" spans="2:31" x14ac:dyDescent="0.2">
      <c r="B29" s="1">
        <f>[11]FormattedData!A68</f>
        <v>304</v>
      </c>
      <c r="C29" s="1" t="str">
        <f>VLOOKUP($B29,[11]TrtCodes!$B$11:I111,2)</f>
        <v>FSL</v>
      </c>
      <c r="D29" s="1">
        <f>VLOOKUP($B29,[11]TrtCodes!$B$11:J111,3)</f>
        <v>2</v>
      </c>
      <c r="E29" s="1">
        <f>VLOOKUP($B29,[11]TrtCodes!$B$11:K111,4)</f>
        <v>1</v>
      </c>
      <c r="F29" s="1">
        <f>VLOOKUP($B29,[11]TrtCodes!$B$11:L111,5)</f>
        <v>1</v>
      </c>
      <c r="G29" s="1">
        <f>VLOOKUP($B29,[11]TrtCodes!$B$11:M111,6)</f>
        <v>1</v>
      </c>
      <c r="H29" s="1">
        <f>VLOOKUP($B29,[11]TrtCodes!$B$11:N111,7)</f>
        <v>3</v>
      </c>
      <c r="I29" s="1">
        <f>[11]FormattedData!B68</f>
        <v>1</v>
      </c>
      <c r="J29" s="4">
        <f>[11]FormattedData!C68</f>
        <v>13.613</v>
      </c>
      <c r="K29" s="6">
        <f>$J$3+[11]FormattedData!D68*$J$4+$M$4*$J$5+[11]FormattedData!D68^2*$J$6+$M$5*$J$7</f>
        <v>54.098560941882226</v>
      </c>
      <c r="L29" s="6">
        <f>$J$3+[11]FormattedData!E68*$J$4+$M$4*$J$5+[11]FormattedData!E68^2*$J$6+$M$5*$J$7</f>
        <v>37.423512775948623</v>
      </c>
      <c r="M29" s="6">
        <f>$J$3+[11]FormattedData!F68*$J$4+$M$4*$J$5+[11]FormattedData!F68^2*$J$6+$M$5*$J$7</f>
        <v>53.234191957656641</v>
      </c>
      <c r="N29" s="6">
        <f>$J$3+[11]FormattedData!G68*$J$4+$M$4*$J$5+[11]FormattedData!G68^2*$J$6+$M$5*$J$7</f>
        <v>36.38645794165199</v>
      </c>
      <c r="O29" s="6">
        <f>$J$3+[11]FormattedData!H68*$J$4+$M$4*$J$5+[11]FormattedData!H68^2*$J$6+$M$5*$J$7</f>
        <v>53.320819064499894</v>
      </c>
      <c r="P29" s="6">
        <f>$J$3+[11]FormattedData!I68*$J$4+$M$4*$J$5+[11]FormattedData!I68^2*$J$6+$M$5*$J$7</f>
        <v>36.575393782910936</v>
      </c>
      <c r="Q29" s="6">
        <f>$J$3+[11]FormattedData!J68*$J$4+$M$4*$J$5+[11]FormattedData!J68^2*$J$6+$M$5*$J$7</f>
        <v>45.806616302409616</v>
      </c>
      <c r="R29" s="6">
        <f>$J$3+[11]FormattedData!K68*$J$4+$M$4*$J$5+[11]FormattedData!K68^2*$J$6+$M$5*$J$7</f>
        <v>34.106040062710072</v>
      </c>
      <c r="S29" s="6">
        <f>$J$3+[11]FormattedData!L68*$J$4+$M$4*$J$5+[11]FormattedData!L68^2*$J$6+$M$5*$J$7</f>
        <v>51.755064055017961</v>
      </c>
      <c r="T29" s="6">
        <f>$J$3+[11]FormattedData!M68*$J$4+$M$4*$J$5+[11]FormattedData!M68^2*$J$6+$M$5*$J$7</f>
        <v>35.723851038300836</v>
      </c>
      <c r="U29" s="6">
        <f>$J$3+[11]FormattedData!N68*$J$4+$M$4*$J$5+[11]FormattedData!N68^2*$J$6+$M$5*$J$7</f>
        <v>55.814618348954049</v>
      </c>
      <c r="V29" s="6">
        <f>$J$3+[11]FormattedData!O68*$J$4+$M$4*$J$5+[11]FormattedData!O68^2*$J$6+$M$5*$J$7</f>
        <v>35.534154363359121</v>
      </c>
      <c r="W29" s="5">
        <f t="shared" si="0"/>
        <v>44.148273386275172</v>
      </c>
      <c r="X29" s="4">
        <f t="shared" si="1"/>
        <v>2.569122862860715</v>
      </c>
      <c r="Y29" s="3">
        <f t="shared" si="2"/>
        <v>34.106040062710072</v>
      </c>
      <c r="Z29" s="2">
        <f t="shared" si="3"/>
        <v>36.2208062158142</v>
      </c>
      <c r="AA29" s="3">
        <f t="shared" si="4"/>
        <v>41.615064539179116</v>
      </c>
      <c r="AB29" s="2">
        <f t="shared" si="5"/>
        <v>53.255848734367454</v>
      </c>
      <c r="AC29" s="2">
        <f t="shared" si="6"/>
        <v>55.814618348954049</v>
      </c>
      <c r="AD29" s="2">
        <f t="shared" si="7"/>
        <v>0.16771408002801319</v>
      </c>
      <c r="AE29" s="2">
        <f t="shared" si="8"/>
        <v>-2.1431201160446003</v>
      </c>
    </row>
    <row r="30" spans="2:31" x14ac:dyDescent="0.2">
      <c r="B30" s="1">
        <f>[11]FormattedData!A70</f>
        <v>305</v>
      </c>
      <c r="C30" s="1" t="str">
        <f>VLOOKUP($B30,[11]TrtCodes!$B$11:I113,2)</f>
        <v>NDH</v>
      </c>
      <c r="D30" s="1">
        <f>VLOOKUP($B30,[11]TrtCodes!$B$11:J113,3)</f>
        <v>11</v>
      </c>
      <c r="E30" s="1">
        <f>VLOOKUP($B30,[11]TrtCodes!$B$11:K113,4)</f>
        <v>2</v>
      </c>
      <c r="F30" s="1">
        <f>VLOOKUP($B30,[11]TrtCodes!$B$11:L113,5)</f>
        <v>3</v>
      </c>
      <c r="G30" s="1">
        <f>VLOOKUP($B30,[11]TrtCodes!$B$11:M113,6)</f>
        <v>2</v>
      </c>
      <c r="H30" s="1">
        <f>VLOOKUP($B30,[11]TrtCodes!$B$11:N113,7)</f>
        <v>4</v>
      </c>
      <c r="I30" s="1">
        <f>[11]FormattedData!B70</f>
        <v>1</v>
      </c>
      <c r="J30" s="4">
        <f>[11]FormattedData!C70</f>
        <v>13.632999999999999</v>
      </c>
      <c r="K30" s="6">
        <f>$J$3+[11]FormattedData!D70*$J$4+$M$4*$J$5+[11]FormattedData!D70^2*$J$6+$M$5*$J$7</f>
        <v>36.764160550018161</v>
      </c>
      <c r="L30" s="6">
        <f>$J$3+[11]FormattedData!E70*$J$4+$M$4*$J$5+[11]FormattedData!E70^2*$J$6+$M$5*$J$7</f>
        <v>31.124466373823804</v>
      </c>
      <c r="M30" s="6">
        <f>$J$3+[11]FormattedData!F70*$J$4+$M$4*$J$5+[11]FormattedData!F70^2*$J$6+$M$5*$J$7</f>
        <v>36.008079036678907</v>
      </c>
      <c r="N30" s="6">
        <f>$J$3+[11]FormattedData!G70*$J$4+$M$4*$J$5+[11]FormattedData!G70^2*$J$6+$M$5*$J$7</f>
        <v>31.994269126820171</v>
      </c>
      <c r="O30" s="6">
        <f>$J$3+[11]FormattedData!H70*$J$4+$M$4*$J$5+[11]FormattedData!H70^2*$J$6+$M$5*$J$7</f>
        <v>33.244606480224085</v>
      </c>
      <c r="P30" s="6">
        <f>$J$3+[11]FormattedData!I70*$J$4+$M$4*$J$5+[11]FormattedData!I70^2*$J$6+$M$5*$J$7</f>
        <v>33.723603378095618</v>
      </c>
      <c r="Q30" s="6">
        <f>$J$3+[11]FormattedData!J70*$J$4+$M$4*$J$5+[11]FormattedData!J70^2*$J$6+$M$5*$J$7</f>
        <v>34.392423756522646</v>
      </c>
      <c r="R30" s="6">
        <f>$J$3+[11]FormattedData!K70*$J$4+$M$4*$J$5+[11]FormattedData!K70^2*$J$6+$M$5*$J$7</f>
        <v>32.572235544610841</v>
      </c>
      <c r="S30" s="6">
        <f>$J$3+[11]FormattedData!L70*$J$4+$M$4*$J$5+[11]FormattedData!L70^2*$J$6+$M$5*$J$7</f>
        <v>34.010494294363362</v>
      </c>
      <c r="T30" s="6">
        <f>$J$3+[11]FormattedData!M70*$J$4+$M$4*$J$5+[11]FormattedData!M70^2*$J$6+$M$5*$J$7</f>
        <v>31.801275505919826</v>
      </c>
      <c r="U30" s="6">
        <f>$J$3+[11]FormattedData!N70*$J$4+$M$4*$J$5+[11]FormattedData!N70^2*$J$6+$M$5*$J$7</f>
        <v>33.148680295035987</v>
      </c>
      <c r="V30" s="6">
        <f>$J$3+[11]FormattedData!O70*$J$4+$M$4*$J$5+[11]FormattedData!O70^2*$J$6+$M$5*$J$7</f>
        <v>29.862040218571579</v>
      </c>
      <c r="W30" s="5">
        <f t="shared" si="0"/>
        <v>33.220527880057084</v>
      </c>
      <c r="X30" s="4">
        <f t="shared" si="1"/>
        <v>0.56538517064489135</v>
      </c>
      <c r="Y30" s="3">
        <f t="shared" si="2"/>
        <v>29.862040218571579</v>
      </c>
      <c r="Z30" s="2">
        <f t="shared" si="3"/>
        <v>31.946020721595083</v>
      </c>
      <c r="AA30" s="3">
        <f t="shared" si="4"/>
        <v>33.196643387630033</v>
      </c>
      <c r="AB30" s="2">
        <f t="shared" si="5"/>
        <v>34.105976659903185</v>
      </c>
      <c r="AC30" s="2">
        <f t="shared" si="6"/>
        <v>36.764160550018161</v>
      </c>
      <c r="AD30" s="2">
        <f t="shared" si="7"/>
        <v>0.23701053136928774</v>
      </c>
      <c r="AE30" s="2">
        <f t="shared" si="8"/>
        <v>-3.4274789875837985E-2</v>
      </c>
    </row>
    <row r="31" spans="2:31" x14ac:dyDescent="0.2">
      <c r="B31" s="1">
        <f>[11]FormattedData!A72</f>
        <v>306</v>
      </c>
      <c r="C31" s="1" t="str">
        <f>VLOOKUP($B31,[11]TrtCodes!$B$11:I115,2)</f>
        <v>FTL</v>
      </c>
      <c r="D31" s="1">
        <f>VLOOKUP($B31,[11]TrtCodes!$B$11:J115,3)</f>
        <v>4</v>
      </c>
      <c r="E31" s="1">
        <f>VLOOKUP($B31,[11]TrtCodes!$B$11:K115,4)</f>
        <v>1</v>
      </c>
      <c r="F31" s="1">
        <f>VLOOKUP($B31,[11]TrtCodes!$B$11:L115,5)</f>
        <v>2</v>
      </c>
      <c r="G31" s="1">
        <f>VLOOKUP($B31,[11]TrtCodes!$B$11:M115,6)</f>
        <v>1</v>
      </c>
      <c r="H31" s="1">
        <f>VLOOKUP($B31,[11]TrtCodes!$B$11:N115,7)</f>
        <v>4</v>
      </c>
      <c r="I31" s="1">
        <f>[11]FormattedData!B72</f>
        <v>1</v>
      </c>
      <c r="J31" s="4">
        <f>[11]FormattedData!C72</f>
        <v>13.651</v>
      </c>
      <c r="K31" s="6">
        <f>$J$3+[11]FormattedData!D72*$J$4+$M$4*$J$5+[11]FormattedData!D72^2*$J$6+$M$5*$J$7</f>
        <v>46.706490858497354</v>
      </c>
      <c r="L31" s="6">
        <f>$J$3+[11]FormattedData!E72*$J$4+$M$4*$J$5+[11]FormattedData!E72^2*$J$6+$M$5*$J$7</f>
        <v>32.090702534463439</v>
      </c>
      <c r="M31" s="6">
        <f>$J$3+[11]FormattedData!F72*$J$4+$M$4*$J$5+[11]FormattedData!F72^2*$J$6+$M$5*$J$7</f>
        <v>47.959214122647751</v>
      </c>
      <c r="N31" s="6">
        <f>$J$3+[11]FormattedData!G72*$J$4+$M$4*$J$5+[11]FormattedData!G72^2*$J$6+$M$5*$J$7</f>
        <v>35.629023835098941</v>
      </c>
      <c r="O31" s="6">
        <f>$J$3+[11]FormattedData!H72*$J$4+$M$4*$J$5+[11]FormattedData!H72^2*$J$6+$M$5*$J$7</f>
        <v>44.993115241937531</v>
      </c>
      <c r="P31" s="6">
        <f>$J$3+[11]FormattedData!I72*$J$4+$M$4*$J$5+[11]FormattedData!I72^2*$J$6+$M$5*$J$7</f>
        <v>32.283442544136186</v>
      </c>
      <c r="Q31" s="6">
        <f>$J$3+[11]FormattedData!J72*$J$4+$M$4*$J$5+[11]FormattedData!J72^2*$J$6+$M$5*$J$7</f>
        <v>44.721187388097412</v>
      </c>
      <c r="R31" s="6">
        <f>$J$3+[11]FormattedData!K72*$J$4+$M$4*$J$5+[11]FormattedData!K72^2*$J$6+$M$5*$J$7</f>
        <v>31.994269126820171</v>
      </c>
      <c r="S31" s="6">
        <f>$J$3+[11]FormattedData!L72*$J$4+$M$4*$J$5+[11]FormattedData!L72^2*$J$6+$M$5*$J$7</f>
        <v>37.893210595475303</v>
      </c>
      <c r="T31" s="6">
        <f>$J$3+[11]FormattedData!M72*$J$4+$M$4*$J$5+[11]FormattedData!M72^2*$J$6+$M$5*$J$7</f>
        <v>41.428380628388311</v>
      </c>
      <c r="U31" s="6">
        <f>$J$3+[11]FormattedData!N72*$J$4+$M$4*$J$5+[11]FormattedData!N72^2*$J$6+$M$5*$J$7</f>
        <v>41.151507355610242</v>
      </c>
      <c r="V31" s="6">
        <f>$J$3+[11]FormattedData!O72*$J$4+$M$4*$J$5+[11]FormattedData!O72^2*$J$6+$M$5*$J$7</f>
        <v>30.445586083369168</v>
      </c>
      <c r="W31" s="5">
        <f t="shared" si="0"/>
        <v>38.941344192878489</v>
      </c>
      <c r="X31" s="4">
        <f t="shared" si="1"/>
        <v>1.8391552036964383</v>
      </c>
      <c r="Y31" s="3">
        <f t="shared" si="2"/>
        <v>30.445586083369168</v>
      </c>
      <c r="Z31" s="2">
        <f t="shared" si="3"/>
        <v>32.235257541717999</v>
      </c>
      <c r="AA31" s="3">
        <f t="shared" si="4"/>
        <v>39.522358975542772</v>
      </c>
      <c r="AB31" s="2">
        <f t="shared" si="5"/>
        <v>44.78916935155744</v>
      </c>
      <c r="AC31" s="2">
        <f t="shared" si="6"/>
        <v>47.959214122647751</v>
      </c>
      <c r="AD31" s="2">
        <f t="shared" si="7"/>
        <v>1.681426524332065E-2</v>
      </c>
      <c r="AE31" s="2">
        <f t="shared" si="8"/>
        <v>-1.6808579050332595</v>
      </c>
    </row>
    <row r="32" spans="2:31" x14ac:dyDescent="0.2">
      <c r="B32" s="1">
        <f>[11]FormattedData!A74</f>
        <v>307</v>
      </c>
      <c r="C32" s="1" t="str">
        <f>VLOOKUP($B32,[11]TrtCodes!$B$11:I117,2)</f>
        <v>NTH</v>
      </c>
      <c r="D32" s="1">
        <f>VLOOKUP($B32,[11]TrtCodes!$B$11:J117,3)</f>
        <v>9</v>
      </c>
      <c r="E32" s="1">
        <f>VLOOKUP($B32,[11]TrtCodes!$B$11:K117,4)</f>
        <v>2</v>
      </c>
      <c r="F32" s="1">
        <f>VLOOKUP($B32,[11]TrtCodes!$B$11:L117,5)</f>
        <v>2</v>
      </c>
      <c r="G32" s="1">
        <f>VLOOKUP($B32,[11]TrtCodes!$B$11:M117,6)</f>
        <v>2</v>
      </c>
      <c r="H32" s="1">
        <f>VLOOKUP($B32,[11]TrtCodes!$B$11:N117,7)</f>
        <v>4</v>
      </c>
      <c r="I32" s="1">
        <f>[11]FormattedData!B74</f>
        <v>1</v>
      </c>
      <c r="J32" s="4">
        <f>[11]FormattedData!C74</f>
        <v>13.667999999999999</v>
      </c>
      <c r="K32" s="6">
        <f>$J$3+[11]FormattedData!D74*$J$4+$M$4*$J$5+[11]FormattedData!D74^2*$J$6+$M$5*$J$7</f>
        <v>43.994186628854784</v>
      </c>
      <c r="L32" s="6">
        <f>$J$3+[11]FormattedData!E74*$J$4+$M$4*$J$5+[11]FormattedData!E74^2*$J$6+$M$5*$J$7</f>
        <v>32.956701119045995</v>
      </c>
      <c r="M32" s="6">
        <f>$J$3+[11]FormattedData!F74*$J$4+$M$4*$J$5+[11]FormattedData!F74^2*$J$6+$M$5*$J$7</f>
        <v>40.781751232375129</v>
      </c>
      <c r="N32" s="6">
        <f>$J$3+[11]FormattedData!G74*$J$4+$M$4*$J$5+[11]FormattedData!G74^2*$J$6+$M$5*$J$7</f>
        <v>30.930711919240711</v>
      </c>
      <c r="O32" s="6">
        <f>$J$3+[11]FormattedData!H74*$J$4+$M$4*$J$5+[11]FormattedData!H74^2*$J$6+$M$5*$J$7</f>
        <v>42.807040739657921</v>
      </c>
      <c r="P32" s="6">
        <f>$J$3+[11]FormattedData!I74*$J$4+$M$4*$J$5+[11]FormattedData!I74^2*$J$6+$M$5*$J$7</f>
        <v>31.608112810867766</v>
      </c>
      <c r="Q32" s="6">
        <f>$J$3+[11]FormattedData!J74*$J$4+$M$4*$J$5+[11]FormattedData!J74^2*$J$6+$M$5*$J$7</f>
        <v>46.526854095583261</v>
      </c>
      <c r="R32" s="6">
        <f>$J$3+[11]FormattedData!K74*$J$4+$M$4*$J$5+[11]FormattedData!K74^2*$J$6+$M$5*$J$7</f>
        <v>31.801275505919826</v>
      </c>
      <c r="S32" s="6">
        <f>$J$3+[11]FormattedData!L74*$J$4+$M$4*$J$5+[11]FormattedData!L74^2*$J$6+$M$5*$J$7</f>
        <v>42.440327951153847</v>
      </c>
      <c r="T32" s="6">
        <f>$J$3+[11]FormattedData!M74*$J$4+$M$4*$J$5+[11]FormattedData!M74^2*$J$6+$M$5*$J$7</f>
        <v>37.799355568645829</v>
      </c>
      <c r="U32" s="6">
        <f>$J$3+[11]FormattedData!N74*$J$4+$M$4*$J$5+[11]FormattedData!N74^2*$J$6+$M$5*$J$7</f>
        <v>43.264480683184573</v>
      </c>
      <c r="V32" s="6">
        <f>$J$3+[11]FormattedData!O74*$J$4+$M$4*$J$5+[11]FormattedData!O74^2*$J$6+$M$5*$J$7</f>
        <v>31.801275505919826</v>
      </c>
      <c r="W32" s="5">
        <f t="shared" si="0"/>
        <v>38.059339480037451</v>
      </c>
      <c r="X32" s="4">
        <f t="shared" si="1"/>
        <v>1.6967590722351744</v>
      </c>
      <c r="Y32" s="3">
        <f t="shared" si="2"/>
        <v>30.930711919240711</v>
      </c>
      <c r="Z32" s="2">
        <f t="shared" si="3"/>
        <v>31.801275505919826</v>
      </c>
      <c r="AA32" s="3">
        <f t="shared" si="4"/>
        <v>39.290553400510476</v>
      </c>
      <c r="AB32" s="2">
        <f t="shared" si="5"/>
        <v>42.921400725539584</v>
      </c>
      <c r="AC32" s="2">
        <f t="shared" si="6"/>
        <v>46.526854095583261</v>
      </c>
      <c r="AD32" s="2">
        <f t="shared" si="7"/>
        <v>-4.5847526179149882E-2</v>
      </c>
      <c r="AE32" s="2">
        <f t="shared" si="8"/>
        <v>-1.9068911683025127</v>
      </c>
    </row>
    <row r="33" spans="2:31" x14ac:dyDescent="0.2">
      <c r="B33" s="1">
        <f>[11]FormattedData!A76</f>
        <v>308</v>
      </c>
      <c r="C33" s="1" t="str">
        <f>VLOOKUP($B33,[11]TrtCodes!$B$11:I119,2)</f>
        <v>FDH</v>
      </c>
      <c r="D33" s="1">
        <f>VLOOKUP($B33,[11]TrtCodes!$B$11:J119,3)</f>
        <v>5</v>
      </c>
      <c r="E33" s="1">
        <f>VLOOKUP($B33,[11]TrtCodes!$B$11:K119,4)</f>
        <v>1</v>
      </c>
      <c r="F33" s="1">
        <f>VLOOKUP($B33,[11]TrtCodes!$B$11:L119,5)</f>
        <v>3</v>
      </c>
      <c r="G33" s="1">
        <f>VLOOKUP($B33,[11]TrtCodes!$B$11:M119,6)</f>
        <v>2</v>
      </c>
      <c r="H33" s="1">
        <f>VLOOKUP($B33,[11]TrtCodes!$B$11:N119,7)</f>
        <v>4</v>
      </c>
      <c r="I33" s="1">
        <f>[11]FormattedData!B76</f>
        <v>1</v>
      </c>
      <c r="J33" s="4">
        <f>[11]FormattedData!C76</f>
        <v>13.686</v>
      </c>
      <c r="K33" s="6">
        <f>$J$3+[11]FormattedData!D76*$J$4+$M$4*$J$5+[11]FormattedData!D76^2*$J$6+$M$5*$J$7</f>
        <v>44.358025156779547</v>
      </c>
      <c r="L33" s="6">
        <f>$J$3+[11]FormattedData!E76*$J$4+$M$4*$J$5+[11]FormattedData!E76^2*$J$6+$M$5*$J$7</f>
        <v>31.897793450638964</v>
      </c>
      <c r="M33" s="6">
        <f>$J$3+[11]FormattedData!F76*$J$4+$M$4*$J$5+[11]FormattedData!F76^2*$J$6+$M$5*$J$7</f>
        <v>46.526854095583261</v>
      </c>
      <c r="N33" s="6">
        <f>$J$3+[11]FormattedData!G76*$J$4+$M$4*$J$5+[11]FormattedData!G76^2*$J$6+$M$5*$J$7</f>
        <v>34.106040062710072</v>
      </c>
      <c r="O33" s="6">
        <f>$J$3+[11]FormattedData!H76*$J$4+$M$4*$J$5+[11]FormattedData!H76^2*$J$6+$M$5*$J$7</f>
        <v>41.520587182238472</v>
      </c>
      <c r="P33" s="6">
        <f>$J$3+[11]FormattedData!I76*$J$4+$M$4*$J$5+[11]FormattedData!I76^2*$J$6+$M$5*$J$7</f>
        <v>43.812013753664822</v>
      </c>
      <c r="Q33" s="6">
        <f>$J$3+[11]FormattedData!J76*$J$4+$M$4*$J$5+[11]FormattedData!J76^2*$J$6+$M$5*$J$7</f>
        <v>38.642529142745566</v>
      </c>
      <c r="R33" s="6">
        <f>$J$3+[11]FormattedData!K76*$J$4+$M$4*$J$5+[11]FormattedData!K76^2*$J$6+$M$5*$J$7</f>
        <v>47.602138560791978</v>
      </c>
      <c r="S33" s="6">
        <f>$J$3+[11]FormattedData!L76*$J$4+$M$4*$J$5+[11]FormattedData!L76^2*$J$6+$M$5*$J$7</f>
        <v>32.379749146165672</v>
      </c>
      <c r="T33" s="6">
        <f>$J$3+[11]FormattedData!M76*$J$4+$M$4*$J$5+[11]FormattedData!M76^2*$J$6+$M$5*$J$7</f>
        <v>51.405258681686334</v>
      </c>
      <c r="U33" s="6">
        <f>$J$3+[11]FormattedData!N76*$J$4+$M$4*$J$5+[11]FormattedData!N76^2*$J$6+$M$5*$J$7</f>
        <v>31.124466373823804</v>
      </c>
      <c r="V33" s="6">
        <f>$J$3+[11]FormattedData!O76*$J$4+$M$4*$J$5+[11]FormattedData!O76^2*$J$6+$M$5*$J$7</f>
        <v>44.358025156779547</v>
      </c>
      <c r="W33" s="5">
        <f t="shared" si="0"/>
        <v>40.644456730300668</v>
      </c>
      <c r="X33" s="4">
        <f t="shared" si="1"/>
        <v>1.9836210571544644</v>
      </c>
      <c r="Y33" s="3">
        <f t="shared" si="2"/>
        <v>31.124466373823804</v>
      </c>
      <c r="Z33" s="2">
        <f t="shared" si="3"/>
        <v>33.674467333573972</v>
      </c>
      <c r="AA33" s="3">
        <f t="shared" si="4"/>
        <v>42.666300467951643</v>
      </c>
      <c r="AB33" s="2">
        <f t="shared" si="5"/>
        <v>44.900232391480472</v>
      </c>
      <c r="AC33" s="2">
        <f t="shared" si="6"/>
        <v>51.405258681686334</v>
      </c>
      <c r="AD33" s="2">
        <f t="shared" si="7"/>
        <v>-0.15558781834208063</v>
      </c>
      <c r="AE33" s="2">
        <f t="shared" si="8"/>
        <v>-1.3470321663587659</v>
      </c>
    </row>
    <row r="34" spans="2:31" x14ac:dyDescent="0.2">
      <c r="B34" s="1">
        <f>[11]FormattedData!A92</f>
        <v>401</v>
      </c>
      <c r="C34" s="1" t="str">
        <f>VLOOKUP($B34,[11]TrtCodes!$B$11:I129,2)</f>
        <v>NSH</v>
      </c>
      <c r="D34" s="1">
        <f>VLOOKUP($B34,[11]TrtCodes!$B$11:J129,3)</f>
        <v>7</v>
      </c>
      <c r="E34" s="1">
        <f>VLOOKUP($B34,[11]TrtCodes!$B$11:K129,4)</f>
        <v>2</v>
      </c>
      <c r="F34" s="1">
        <f>VLOOKUP($B34,[11]TrtCodes!$B$11:L129,5)</f>
        <v>1</v>
      </c>
      <c r="G34" s="1">
        <f>VLOOKUP($B34,[11]TrtCodes!$B$11:M129,6)</f>
        <v>2</v>
      </c>
      <c r="H34" s="1">
        <f>VLOOKUP($B34,[11]TrtCodes!$B$11:N129,7)</f>
        <v>3</v>
      </c>
      <c r="I34" s="1">
        <f>[11]FormattedData!B92</f>
        <v>1</v>
      </c>
      <c r="J34" s="4">
        <f>[11]FormattedData!C92</f>
        <v>13.863</v>
      </c>
      <c r="K34" s="6">
        <f>$J$3+[11]FormattedData!D92*$J$4+$M$4*$J$5+[11]FormattedData!D92^2*$J$6+$M$5*$J$7</f>
        <v>58.525142776710254</v>
      </c>
      <c r="L34" s="6">
        <f>$J$3+[11]FormattedData!E92*$J$4+$M$4*$J$5+[11]FormattedData!E92^2*$J$6+$M$5*$J$7</f>
        <v>40.966713831068553</v>
      </c>
      <c r="M34" s="6">
        <f>$J$3+[11]FormattedData!F92*$J$4+$M$4*$J$5+[11]FormattedData!F92^2*$J$6+$M$5*$J$7</f>
        <v>59.530430543105005</v>
      </c>
      <c r="N34" s="6">
        <f>$J$3+[11]FormattedData!G92*$J$4+$M$4*$J$5+[11]FormattedData!G92^2*$J$6+$M$5*$J$7</f>
        <v>41.888990712259798</v>
      </c>
      <c r="O34" s="6">
        <f>$J$3+[11]FormattedData!H92*$J$4+$M$4*$J$5+[11]FormattedData!H92^2*$J$6+$M$5*$J$7</f>
        <v>58.272869793008113</v>
      </c>
      <c r="P34" s="6">
        <f>$J$3+[11]FormattedData!I92*$J$4+$M$4*$J$5+[11]FormattedData!I92^2*$J$6+$M$5*$J$7</f>
        <v>40.22584899138451</v>
      </c>
      <c r="Q34" s="6">
        <f>$J$3+[11]FormattedData!J92*$J$4+$M$4*$J$5+[11]FormattedData!J92^2*$J$6+$M$5*$J$7</f>
        <v>56.920989062164502</v>
      </c>
      <c r="R34" s="6">
        <f>$J$3+[11]FormattedData!K92*$J$4+$M$4*$J$5+[11]FormattedData!K92^2*$J$6+$M$5*$J$7</f>
        <v>44.721187388097412</v>
      </c>
      <c r="S34" s="6">
        <f>$J$3+[11]FormattedData!L92*$J$4+$M$4*$J$5+[11]FormattedData!L92^2*$J$6+$M$5*$J$7</f>
        <v>53.580446773802059</v>
      </c>
      <c r="T34" s="6">
        <f>$J$3+[11]FormattedData!M92*$J$4+$M$4*$J$5+[11]FormattedData!M92^2*$J$6+$M$5*$J$7</f>
        <v>37.517536876929817</v>
      </c>
      <c r="U34" s="6">
        <f>$J$3+[11]FormattedData!N92*$J$4+$M$4*$J$5+[11]FormattedData!N92^2*$J$6+$M$5*$J$7</f>
        <v>57.42921239236879</v>
      </c>
      <c r="V34" s="6">
        <f>$J$3+[11]FormattedData!O92*$J$4+$M$4*$J$5+[11]FormattedData!O92^2*$J$6+$M$5*$J$7</f>
        <v>36.008079036678907</v>
      </c>
      <c r="W34" s="5">
        <f t="shared" si="0"/>
        <v>48.798954014798142</v>
      </c>
      <c r="X34" s="4">
        <f t="shared" si="1"/>
        <v>2.6868431506646084</v>
      </c>
      <c r="Y34" s="3">
        <f t="shared" si="2"/>
        <v>36.008079036678907</v>
      </c>
      <c r="Z34" s="2">
        <f t="shared" si="3"/>
        <v>40.781497621147544</v>
      </c>
      <c r="AA34" s="3">
        <f t="shared" si="4"/>
        <v>49.150817080949736</v>
      </c>
      <c r="AB34" s="2">
        <f t="shared" si="5"/>
        <v>57.640126742528622</v>
      </c>
      <c r="AC34" s="2">
        <f t="shared" si="6"/>
        <v>59.530430543105005</v>
      </c>
      <c r="AD34" s="2">
        <f t="shared" si="7"/>
        <v>-0.10046701022670167</v>
      </c>
      <c r="AE34" s="2">
        <f t="shared" si="8"/>
        <v>-2.0307241676400052</v>
      </c>
    </row>
    <row r="35" spans="2:31" x14ac:dyDescent="0.2">
      <c r="B35" s="1">
        <f>[11]FormattedData!A90</f>
        <v>402</v>
      </c>
      <c r="C35" s="1" t="str">
        <f>VLOOKUP($B35,[11]TrtCodes!$B$11:I130,2)</f>
        <v>NTH</v>
      </c>
      <c r="D35" s="1">
        <f>VLOOKUP($B35,[11]TrtCodes!$B$11:J130,3)</f>
        <v>9</v>
      </c>
      <c r="E35" s="1">
        <f>VLOOKUP($B35,[11]TrtCodes!$B$11:K130,4)</f>
        <v>2</v>
      </c>
      <c r="F35" s="1">
        <f>VLOOKUP($B35,[11]TrtCodes!$B$11:L130,5)</f>
        <v>2</v>
      </c>
      <c r="G35" s="1">
        <f>VLOOKUP($B35,[11]TrtCodes!$B$11:M130,6)</f>
        <v>2</v>
      </c>
      <c r="H35" s="1">
        <f>VLOOKUP($B35,[11]TrtCodes!$B$11:N130,7)</f>
        <v>3</v>
      </c>
      <c r="I35" s="1">
        <f>[11]FormattedData!B90</f>
        <v>1</v>
      </c>
      <c r="J35" s="4">
        <f>[11]FormattedData!C90</f>
        <v>13.840999999999999</v>
      </c>
      <c r="K35" s="6">
        <f>$J$3+[11]FormattedData!D90*$J$4+$M$4*$J$5+[11]FormattedData!D90^2*$J$6+$M$5*$J$7</f>
        <v>40.781751232375129</v>
      </c>
      <c r="L35" s="6">
        <f>$J$3+[11]FormattedData!E90*$J$4+$M$4*$J$5+[11]FormattedData!E90^2*$J$6+$M$5*$J$7</f>
        <v>31.897793450638964</v>
      </c>
      <c r="M35" s="6">
        <f>$J$3+[11]FormattedData!F90*$J$4+$M$4*$J$5+[11]FormattedData!F90^2*$J$6+$M$5*$J$7</f>
        <v>38.829436094183819</v>
      </c>
      <c r="N35" s="6">
        <f>$J$3+[11]FormattedData!G90*$J$4+$M$4*$J$5+[11]FormattedData!G90^2*$J$6+$M$5*$J$7</f>
        <v>33.052711841309957</v>
      </c>
      <c r="O35" s="6">
        <f>$J$3+[11]FormattedData!H90*$J$4+$M$4*$J$5+[11]FormattedData!H90^2*$J$6+$M$5*$J$7</f>
        <v>40.50399032030051</v>
      </c>
      <c r="P35" s="6">
        <f>$J$3+[11]FormattedData!I90*$J$4+$M$4*$J$5+[11]FormattedData!I90^2*$J$6+$M$5*$J$7</f>
        <v>30.639763223331574</v>
      </c>
      <c r="Q35" s="6">
        <f>$J$3+[11]FormattedData!J90*$J$4+$M$4*$J$5+[11]FormattedData!J90^2*$J$6+$M$5*$J$7</f>
        <v>39.109479507306723</v>
      </c>
      <c r="R35" s="6">
        <f>$J$3+[11]FormattedData!K90*$J$4+$M$4*$J$5+[11]FormattedData!K90^2*$J$6+$M$5*$J$7</f>
        <v>30.251239869255031</v>
      </c>
      <c r="S35" s="6">
        <f>$J$3+[11]FormattedData!L90*$J$4+$M$4*$J$5+[11]FormattedData!L90^2*$J$6+$M$5*$J$7</f>
        <v>39.575373158419595</v>
      </c>
      <c r="T35" s="6">
        <f>$J$3+[11]FormattedData!M90*$J$4+$M$4*$J$5+[11]FormattedData!M90^2*$J$6+$M$5*$J$7</f>
        <v>32.283442544136186</v>
      </c>
      <c r="U35" s="6">
        <f>$J$3+[11]FormattedData!N90*$J$4+$M$4*$J$5+[11]FormattedData!N90^2*$J$6+$M$5*$J$7</f>
        <v>36.38645794165199</v>
      </c>
      <c r="V35" s="6">
        <f>$J$3+[11]FormattedData!O90*$J$4+$M$4*$J$5+[11]FormattedData!O90^2*$J$6+$M$5*$J$7</f>
        <v>29.764634634555893</v>
      </c>
      <c r="W35" s="5">
        <f t="shared" si="0"/>
        <v>35.256339484788782</v>
      </c>
      <c r="X35" s="4">
        <f t="shared" si="1"/>
        <v>1.2526017906414502</v>
      </c>
      <c r="Y35" s="3">
        <f t="shared" si="2"/>
        <v>29.764634634555893</v>
      </c>
      <c r="Z35" s="2">
        <f t="shared" si="3"/>
        <v>31.583285893812118</v>
      </c>
      <c r="AA35" s="3">
        <f t="shared" si="4"/>
        <v>34.719584891480977</v>
      </c>
      <c r="AB35" s="2">
        <f t="shared" si="5"/>
        <v>39.225952920084943</v>
      </c>
      <c r="AC35" s="2">
        <f t="shared" si="6"/>
        <v>40.781751232375129</v>
      </c>
      <c r="AD35" s="2">
        <f t="shared" si="7"/>
        <v>4.5103731086180897E-2</v>
      </c>
      <c r="AE35" s="2">
        <f t="shared" si="8"/>
        <v>-1.9691853731210265</v>
      </c>
    </row>
    <row r="36" spans="2:31" x14ac:dyDescent="0.2">
      <c r="B36" s="1">
        <f>[11]FormattedData!A88</f>
        <v>403</v>
      </c>
      <c r="C36" s="1" t="str">
        <f>VLOOKUP($B36,[11]TrtCodes!$B$11:I131,2)</f>
        <v>FDL</v>
      </c>
      <c r="D36" s="1">
        <f>VLOOKUP($B36,[11]TrtCodes!$B$11:J131,3)</f>
        <v>6</v>
      </c>
      <c r="E36" s="1">
        <f>VLOOKUP($B36,[11]TrtCodes!$B$11:K131,4)</f>
        <v>1</v>
      </c>
      <c r="F36" s="1">
        <f>VLOOKUP($B36,[11]TrtCodes!$B$11:L131,5)</f>
        <v>3</v>
      </c>
      <c r="G36" s="1">
        <f>VLOOKUP($B36,[11]TrtCodes!$B$11:M131,6)</f>
        <v>1</v>
      </c>
      <c r="H36" s="1">
        <f>VLOOKUP($B36,[11]TrtCodes!$B$11:N131,7)</f>
        <v>3</v>
      </c>
      <c r="I36" s="1">
        <f>[11]FormattedData!B88</f>
        <v>1</v>
      </c>
      <c r="J36" s="4">
        <f>[11]FormattedData!C88</f>
        <v>13.824</v>
      </c>
      <c r="K36" s="6">
        <f>$J$3+[11]FormattedData!D88*$J$4+$M$4*$J$5+[11]FormattedData!D88^2*$J$6+$M$5*$J$7</f>
        <v>47.423347168636504</v>
      </c>
      <c r="L36" s="6">
        <f>$J$3+[11]FormattedData!E88*$J$4+$M$4*$J$5+[11]FormattedData!E88^2*$J$6+$M$5*$J$7</f>
        <v>31.027610280801223</v>
      </c>
      <c r="M36" s="6">
        <f>$J$3+[11]FormattedData!F88*$J$4+$M$4*$J$5+[11]FormattedData!F88^2*$J$6+$M$5*$J$7</f>
        <v>38.642529142745566</v>
      </c>
      <c r="N36" s="6">
        <f>$J$3+[11]FormattedData!G88*$J$4+$M$4*$J$5+[11]FormattedData!G88^2*$J$6+$M$5*$J$7</f>
        <v>32.090702534463439</v>
      </c>
      <c r="O36" s="6">
        <f>$J$3+[11]FormattedData!H88*$J$4+$M$4*$J$5+[11]FormattedData!H88^2*$J$6+$M$5*$J$7</f>
        <v>43.994186628854784</v>
      </c>
      <c r="P36" s="6">
        <f>$J$3+[11]FormattedData!I88*$J$4+$M$4*$J$5+[11]FormattedData!I88^2*$J$6+$M$5*$J$7</f>
        <v>37.235337768372432</v>
      </c>
      <c r="Q36" s="6">
        <f>$J$3+[11]FormattedData!J88*$J$4+$M$4*$J$5+[11]FormattedData!J88^2*$J$6+$M$5*$J$7</f>
        <v>35.913378639090823</v>
      </c>
      <c r="R36" s="6">
        <f>$J$3+[11]FormattedData!K88*$J$4+$M$4*$J$5+[11]FormattedData!K88^2*$J$6+$M$5*$J$7</f>
        <v>32.187093673568782</v>
      </c>
      <c r="S36" s="6">
        <f>$J$3+[11]FormattedData!L88*$J$4+$M$4*$J$5+[11]FormattedData!L88^2*$J$6+$M$5*$J$7</f>
        <v>45.535829699093632</v>
      </c>
      <c r="T36" s="6">
        <f>$J$3+[11]FormattedData!M88*$J$4+$M$4*$J$5+[11]FormattedData!M88^2*$J$6+$M$5*$J$7</f>
        <v>34.106040062710072</v>
      </c>
      <c r="U36" s="6">
        <f>$J$3+[11]FormattedData!N88*$J$4+$M$4*$J$5+[11]FormattedData!N88^2*$J$6+$M$5*$J$7</f>
        <v>43.173077231555105</v>
      </c>
      <c r="V36" s="6">
        <f>$J$3+[11]FormattedData!O88*$J$4+$M$4*$J$5+[11]FormattedData!O88^2*$J$6+$M$5*$J$7</f>
        <v>31.31805175425518</v>
      </c>
      <c r="W36" s="5">
        <f t="shared" si="0"/>
        <v>37.720598715345631</v>
      </c>
      <c r="X36" s="4">
        <f t="shared" si="1"/>
        <v>1.7185027255539633</v>
      </c>
      <c r="Y36" s="3">
        <f t="shared" si="2"/>
        <v>31.027610280801223</v>
      </c>
      <c r="Z36" s="2">
        <f t="shared" si="3"/>
        <v>32.162995888792445</v>
      </c>
      <c r="AA36" s="3">
        <f t="shared" si="4"/>
        <v>36.574358203731627</v>
      </c>
      <c r="AB36" s="2">
        <f t="shared" si="5"/>
        <v>43.378354580880028</v>
      </c>
      <c r="AC36" s="2">
        <f t="shared" si="6"/>
        <v>47.423347168636504</v>
      </c>
      <c r="AD36" s="2">
        <f t="shared" si="7"/>
        <v>0.43290202038994463</v>
      </c>
      <c r="AE36" s="2">
        <f t="shared" si="8"/>
        <v>-1.4189025243096567</v>
      </c>
    </row>
    <row r="37" spans="2:31" x14ac:dyDescent="0.2">
      <c r="B37" s="1">
        <f>[11]FormattedData!A86</f>
        <v>404</v>
      </c>
      <c r="C37" s="1" t="str">
        <f>VLOOKUP($B37,[11]TrtCodes!$B$11:I129,2)</f>
        <v>FTH</v>
      </c>
      <c r="D37" s="1">
        <f>VLOOKUP($B37,[11]TrtCodes!$B$11:J129,3)</f>
        <v>3</v>
      </c>
      <c r="E37" s="1">
        <f>VLOOKUP($B37,[11]TrtCodes!$B$11:K129,4)</f>
        <v>1</v>
      </c>
      <c r="F37" s="1">
        <f>VLOOKUP($B37,[11]TrtCodes!$B$11:L129,5)</f>
        <v>2</v>
      </c>
      <c r="G37" s="1">
        <f>VLOOKUP($B37,[11]TrtCodes!$B$11:M129,6)</f>
        <v>2</v>
      </c>
      <c r="H37" s="1">
        <f>VLOOKUP($B37,[11]TrtCodes!$B$11:N129,7)</f>
        <v>3</v>
      </c>
      <c r="I37" s="1">
        <f>[11]FormattedData!B86</f>
        <v>1</v>
      </c>
      <c r="J37" s="4">
        <f>[11]FormattedData!C86</f>
        <v>13.805</v>
      </c>
      <c r="K37" s="6">
        <f>$J$3+[11]FormattedData!D86*$J$4+$M$4*$J$5+[11]FormattedData!D86^2*$J$6+$M$5*$J$7</f>
        <v>51.230102383792939</v>
      </c>
      <c r="L37" s="6">
        <f>$J$3+[11]FormattedData!E86*$J$4+$M$4*$J$5+[11]FormattedData!E86^2*$J$6+$M$5*$J$7</f>
        <v>40.31860503622778</v>
      </c>
      <c r="M37" s="6">
        <f>$J$3+[11]FormattedData!F86*$J$4+$M$4*$J$5+[11]FormattedData!F86^2*$J$6+$M$5*$J$7</f>
        <v>43.629671804323131</v>
      </c>
      <c r="N37" s="6">
        <f>$J$3+[11]FormattedData!G86*$J$4+$M$4*$J$5+[11]FormattedData!G86^2*$J$6+$M$5*$J$7</f>
        <v>39.016173971470351</v>
      </c>
      <c r="O37" s="6">
        <f>$J$3+[11]FormattedData!H86*$J$4+$M$4*$J$5+[11]FormattedData!H86^2*$J$6+$M$5*$J$7</f>
        <v>40.966713831068553</v>
      </c>
      <c r="P37" s="6">
        <f>$J$3+[11]FormattedData!I86*$J$4+$M$4*$J$5+[11]FormattedData!I86^2*$J$6+$M$5*$J$7</f>
        <v>46.975628988834018</v>
      </c>
      <c r="Q37" s="6">
        <f>$J$3+[11]FormattedData!J86*$J$4+$M$4*$J$5+[11]FormattedData!J86^2*$J$6+$M$5*$J$7</f>
        <v>43.994186628854784</v>
      </c>
      <c r="R37" s="6">
        <f>$J$3+[11]FormattedData!K86*$J$4+$M$4*$J$5+[11]FormattedData!K86^2*$J$6+$M$5*$J$7</f>
        <v>41.704873484324992</v>
      </c>
      <c r="S37" s="6">
        <f>$J$3+[11]FormattedData!L86*$J$4+$M$4*$J$5+[11]FormattedData!L86^2*$J$6+$M$5*$J$7</f>
        <v>39.109479507306723</v>
      </c>
      <c r="T37" s="6">
        <f>$J$3+[11]FormattedData!M86*$J$4+$M$4*$J$5+[11]FormattedData!M86^2*$J$6+$M$5*$J$7</f>
        <v>35.629023835098941</v>
      </c>
      <c r="U37" s="6">
        <f>$J$3+[11]FormattedData!N86*$J$4+$M$4*$J$5+[11]FormattedData!N86^2*$J$6+$M$5*$J$7</f>
        <v>50.26372054491717</v>
      </c>
      <c r="V37" s="6">
        <f>$J$3+[11]FormattedData!O86*$J$4+$M$4*$J$5+[11]FormattedData!O86^2*$J$6+$M$5*$J$7</f>
        <v>43.173077231555105</v>
      </c>
      <c r="W37" s="5">
        <f t="shared" si="0"/>
        <v>43.000938103981206</v>
      </c>
      <c r="X37" s="4">
        <f t="shared" si="1"/>
        <v>1.3372758365035446</v>
      </c>
      <c r="Y37" s="3">
        <f t="shared" si="2"/>
        <v>35.629023835098941</v>
      </c>
      <c r="Z37" s="2">
        <f t="shared" si="3"/>
        <v>40.016323653997517</v>
      </c>
      <c r="AA37" s="3">
        <f t="shared" si="4"/>
        <v>42.438975357940052</v>
      </c>
      <c r="AB37" s="2">
        <f t="shared" si="5"/>
        <v>44.739547218849594</v>
      </c>
      <c r="AC37" s="2">
        <f t="shared" si="6"/>
        <v>51.230102383792939</v>
      </c>
      <c r="AD37" s="2">
        <f t="shared" si="7"/>
        <v>0.49565254223544403</v>
      </c>
      <c r="AE37" s="2">
        <f t="shared" si="8"/>
        <v>-0.22651314642407794</v>
      </c>
    </row>
    <row r="38" spans="2:31" x14ac:dyDescent="0.2">
      <c r="B38" s="1">
        <f>[11]FormattedData!A84</f>
        <v>405</v>
      </c>
      <c r="C38" s="1" t="str">
        <f>VLOOKUP($B38,[11]TrtCodes!$B$11:I127,2)</f>
        <v>FDL</v>
      </c>
      <c r="D38" s="1">
        <f>VLOOKUP($B38,[11]TrtCodes!$B$11:J127,3)</f>
        <v>6</v>
      </c>
      <c r="E38" s="1">
        <f>VLOOKUP($B38,[11]TrtCodes!$B$11:K127,4)</f>
        <v>1</v>
      </c>
      <c r="F38" s="1">
        <f>VLOOKUP($B38,[11]TrtCodes!$B$11:L127,5)</f>
        <v>3</v>
      </c>
      <c r="G38" s="1">
        <f>VLOOKUP($B38,[11]TrtCodes!$B$11:M127,6)</f>
        <v>1</v>
      </c>
      <c r="H38" s="1">
        <f>VLOOKUP($B38,[11]TrtCodes!$B$11:N127,7)</f>
        <v>4</v>
      </c>
      <c r="I38" s="1">
        <f>[11]FormattedData!B84</f>
        <v>1</v>
      </c>
      <c r="J38" s="4">
        <f>[11]FormattedData!C84</f>
        <v>13.786</v>
      </c>
      <c r="K38" s="6">
        <f>$J$3+[11]FormattedData!D84*$J$4+$M$4*$J$5+[11]FormattedData!D84^2*$J$6+$M$5*$J$7</f>
        <v>43.538437426845384</v>
      </c>
      <c r="L38" s="6">
        <f>$J$3+[11]FormattedData!E84*$J$4+$M$4*$J$5+[11]FormattedData!E84^2*$J$6+$M$5*$J$7</f>
        <v>37.235337768372432</v>
      </c>
      <c r="M38" s="6">
        <f>$J$3+[11]FormattedData!F84*$J$4+$M$4*$J$5+[11]FormattedData!F84^2*$J$6+$M$5*$J$7</f>
        <v>33.627888535597165</v>
      </c>
      <c r="N38" s="6">
        <f>$J$3+[11]FormattedData!G84*$J$4+$M$4*$J$5+[11]FormattedData!G84^2*$J$6+$M$5*$J$7</f>
        <v>51.492773427826137</v>
      </c>
      <c r="O38" s="6">
        <f>$J$3+[11]FormattedData!H84*$J$4+$M$4*$J$5+[11]FormattedData!H84^2*$J$6+$M$5*$J$7</f>
        <v>31.897793450638964</v>
      </c>
      <c r="P38" s="6">
        <f>$J$3+[11]FormattedData!I84*$J$4+$M$4*$J$5+[11]FormattedData!I84^2*$J$6+$M$5*$J$7</f>
        <v>42.623768882481748</v>
      </c>
      <c r="Q38" s="6">
        <f>$J$3+[11]FormattedData!J84*$J$4+$M$4*$J$5+[11]FormattedData!J84^2*$J$6+$M$5*$J$7</f>
        <v>31.221280198308463</v>
      </c>
      <c r="R38" s="6">
        <f>$J$3+[11]FormattedData!K84*$J$4+$M$4*$J$5+[11]FormattedData!K84^2*$J$6+$M$5*$J$7</f>
        <v>35.629023835098941</v>
      </c>
      <c r="S38" s="6">
        <f>$J$3+[11]FormattedData!L84*$J$4+$M$4*$J$5+[11]FormattedData!L84^2*$J$6+$M$5*$J$7</f>
        <v>39.202742774605156</v>
      </c>
      <c r="T38" s="6">
        <f>$J$3+[11]FormattedData!M84*$J$4+$M$4*$J$5+[11]FormattedData!M84^2*$J$6+$M$5*$J$7</f>
        <v>37.611518709373087</v>
      </c>
      <c r="U38" s="6">
        <f>$J$3+[11]FormattedData!N84*$J$4+$M$4*$J$5+[11]FormattedData!N84^2*$J$6+$M$5*$J$7</f>
        <v>36.38645794165199</v>
      </c>
      <c r="V38" s="6">
        <f>$J$3+[11]FormattedData!O84*$J$4+$M$4*$J$5+[11]FormattedData!O84^2*$J$6+$M$5*$J$7</f>
        <v>36.008079036678907</v>
      </c>
      <c r="W38" s="5">
        <f t="shared" si="0"/>
        <v>38.039591832289865</v>
      </c>
      <c r="X38" s="4">
        <f t="shared" si="1"/>
        <v>1.630132894053707</v>
      </c>
      <c r="Y38" s="3">
        <f t="shared" si="2"/>
        <v>31.221280198308463</v>
      </c>
      <c r="Z38" s="2">
        <f t="shared" si="3"/>
        <v>35.128740010223495</v>
      </c>
      <c r="AA38" s="3">
        <f t="shared" si="4"/>
        <v>36.810897855012215</v>
      </c>
      <c r="AB38" s="2">
        <f t="shared" si="5"/>
        <v>40.057999301574306</v>
      </c>
      <c r="AC38" s="2">
        <f t="shared" si="6"/>
        <v>51.492773427826137</v>
      </c>
      <c r="AD38" s="2">
        <f t="shared" si="7"/>
        <v>1.2340747723610559</v>
      </c>
      <c r="AE38" s="2">
        <f t="shared" si="8"/>
        <v>1.8764523926523111</v>
      </c>
    </row>
    <row r="39" spans="2:31" x14ac:dyDescent="0.2">
      <c r="B39" s="1">
        <f>[11]FormattedData!A82</f>
        <v>406</v>
      </c>
      <c r="C39" s="1" t="str">
        <f>VLOOKUP($B39,[11]TrtCodes!$B$11:I125,2)</f>
        <v>FTH</v>
      </c>
      <c r="D39" s="1">
        <f>VLOOKUP($B39,[11]TrtCodes!$B$11:J125,3)</f>
        <v>3</v>
      </c>
      <c r="E39" s="1">
        <f>VLOOKUP($B39,[11]TrtCodes!$B$11:K125,4)</f>
        <v>1</v>
      </c>
      <c r="F39" s="1">
        <f>VLOOKUP($B39,[11]TrtCodes!$B$11:L125,5)</f>
        <v>2</v>
      </c>
      <c r="G39" s="1">
        <f>VLOOKUP($B39,[11]TrtCodes!$B$11:M125,6)</f>
        <v>2</v>
      </c>
      <c r="H39" s="1">
        <f>VLOOKUP($B39,[11]TrtCodes!$B$11:N125,7)</f>
        <v>4</v>
      </c>
      <c r="I39" s="1">
        <f>[11]FormattedData!B82</f>
        <v>1</v>
      </c>
      <c r="J39" s="4">
        <f>[11]FormattedData!C82</f>
        <v>13.769</v>
      </c>
      <c r="K39" s="6">
        <f>$J$3+[11]FormattedData!D82*$J$4+$M$4*$J$5+[11]FormattedData!D82^2*$J$6+$M$5*$J$7</f>
        <v>51.405258681686334</v>
      </c>
      <c r="L39" s="6">
        <f>$J$3+[11]FormattedData!E82*$J$4+$M$4*$J$5+[11]FormattedData!E82^2*$J$6+$M$5*$J$7</f>
        <v>42.623768882481748</v>
      </c>
      <c r="M39" s="6">
        <f>$J$3+[11]FormattedData!F82*$J$4+$M$4*$J$5+[11]FormattedData!F82^2*$J$6+$M$5*$J$7</f>
        <v>37.329446406429497</v>
      </c>
      <c r="N39" s="6">
        <f>$J$3+[11]FormattedData!G82*$J$4+$M$4*$J$5+[11]FormattedData!G82^2*$J$6+$M$5*$J$7</f>
        <v>38.268208017413883</v>
      </c>
      <c r="O39" s="6">
        <f>$J$3+[11]FormattedData!H82*$J$4+$M$4*$J$5+[11]FormattedData!H82^2*$J$6+$M$5*$J$7</f>
        <v>40.781751232375129</v>
      </c>
      <c r="P39" s="6">
        <f>$J$3+[11]FormattedData!I82*$J$4+$M$4*$J$5+[11]FormattedData!I82^2*$J$6+$M$5*$J$7</f>
        <v>33.532131424560795</v>
      </c>
      <c r="Q39" s="6">
        <f>$J$3+[11]FormattedData!J82*$J$4+$M$4*$J$5+[11]FormattedData!J82^2*$J$6+$M$5*$J$7</f>
        <v>40.596619559529984</v>
      </c>
      <c r="R39" s="6">
        <f>$J$3+[11]FormattedData!K82*$J$4+$M$4*$J$5+[11]FormattedData!K82^2*$J$6+$M$5*$J$7</f>
        <v>38.736003752733659</v>
      </c>
      <c r="S39" s="6">
        <f>$J$3+[11]FormattedData!L82*$J$4+$M$4*$J$5+[11]FormattedData!L82^2*$J$6+$M$5*$J$7</f>
        <v>38.080793843520453</v>
      </c>
      <c r="T39" s="6">
        <f>$J$3+[11]FormattedData!M82*$J$4+$M$4*$J$5+[11]FormattedData!M82^2*$J$6+$M$5*$J$7</f>
        <v>39.947327245627136</v>
      </c>
      <c r="U39" s="6">
        <f>$J$3+[11]FormattedData!N82*$J$4+$M$4*$J$5+[11]FormattedData!N82^2*$J$6+$M$5*$J$7</f>
        <v>39.947327245627136</v>
      </c>
      <c r="V39" s="6">
        <f>$J$3+[11]FormattedData!O82*$J$4+$M$4*$J$5+[11]FormattedData!O82^2*$J$6+$M$5*$J$7</f>
        <v>40.966713831068553</v>
      </c>
      <c r="W39" s="5">
        <f t="shared" si="0"/>
        <v>40.184612510254532</v>
      </c>
      <c r="X39" s="4">
        <f t="shared" si="1"/>
        <v>1.2176343321306173</v>
      </c>
      <c r="Y39" s="3">
        <f t="shared" si="2"/>
        <v>33.532131424560795</v>
      </c>
      <c r="Z39" s="2">
        <f t="shared" si="3"/>
        <v>38.221354473940522</v>
      </c>
      <c r="AA39" s="3">
        <f t="shared" si="4"/>
        <v>39.947327245627136</v>
      </c>
      <c r="AB39" s="2">
        <f t="shared" si="5"/>
        <v>40.827991882048487</v>
      </c>
      <c r="AC39" s="2">
        <f t="shared" si="6"/>
        <v>51.405258681686334</v>
      </c>
      <c r="AD39" s="2">
        <f t="shared" si="7"/>
        <v>1.5857866092571933</v>
      </c>
      <c r="AE39" s="2">
        <f t="shared" si="8"/>
        <v>4.9022484676901588</v>
      </c>
    </row>
    <row r="40" spans="2:31" x14ac:dyDescent="0.2">
      <c r="B40" s="1">
        <f>[11]FormattedData!A80</f>
        <v>407</v>
      </c>
      <c r="C40" s="1" t="str">
        <f>VLOOKUP($B40,[11]TrtCodes!$B$11:I123,2)</f>
        <v>NSH</v>
      </c>
      <c r="D40" s="1">
        <f>VLOOKUP($B40,[11]TrtCodes!$B$11:J123,3)</f>
        <v>7</v>
      </c>
      <c r="E40" s="1">
        <f>VLOOKUP($B40,[11]TrtCodes!$B$11:K123,4)</f>
        <v>2</v>
      </c>
      <c r="F40" s="1">
        <f>VLOOKUP($B40,[11]TrtCodes!$B$11:L123,5)</f>
        <v>1</v>
      </c>
      <c r="G40" s="1">
        <f>VLOOKUP($B40,[11]TrtCodes!$B$11:M123,6)</f>
        <v>2</v>
      </c>
      <c r="H40" s="1">
        <f>VLOOKUP($B40,[11]TrtCodes!$B$11:N123,7)</f>
        <v>4</v>
      </c>
      <c r="I40" s="1">
        <f>[11]FormattedData!B80</f>
        <v>1</v>
      </c>
      <c r="J40" s="4">
        <f>[11]FormattedData!C80</f>
        <v>13.747</v>
      </c>
      <c r="K40" s="6">
        <f>$J$3+[11]FormattedData!D80*$J$4+$M$4*$J$5+[11]FormattedData!D80^2*$J$6+$M$5*$J$7</f>
        <v>59.446889039530731</v>
      </c>
      <c r="L40" s="6">
        <f>$J$3+[11]FormattedData!E80*$J$4+$M$4*$J$5+[11]FormattedData!E80^2*$J$6+$M$5*$J$7</f>
        <v>38.455453117155585</v>
      </c>
      <c r="M40" s="6">
        <f>$J$3+[11]FormattedData!F80*$J$4+$M$4*$J$5+[11]FormattedData!F80^2*$J$6+$M$5*$J$7</f>
        <v>57.598282020800099</v>
      </c>
      <c r="N40" s="6">
        <f>$J$3+[11]FormattedData!G80*$J$4+$M$4*$J$5+[11]FormattedData!G80^2*$J$6+$M$5*$J$7</f>
        <v>38.829436094183819</v>
      </c>
      <c r="O40" s="6">
        <f>$J$3+[11]FormattedData!H80*$J$4+$M$4*$J$5+[11]FormattedData!H80^2*$J$6+$M$5*$J$7</f>
        <v>52.452645911860508</v>
      </c>
      <c r="P40" s="6">
        <f>$J$3+[11]FormattedData!I80*$J$4+$M$4*$J$5+[11]FormattedData!I80^2*$J$6+$M$5*$J$7</f>
        <v>43.264480683184573</v>
      </c>
      <c r="Q40" s="6">
        <f>$J$3+[11]FormattedData!J80*$J$4+$M$4*$J$5+[11]FormattedData!J80^2*$J$6+$M$5*$J$7</f>
        <v>57.090565913050987</v>
      </c>
      <c r="R40" s="6">
        <f>$J$3+[11]FormattedData!K80*$J$4+$M$4*$J$5+[11]FormattedData!K80^2*$J$6+$M$5*$J$7</f>
        <v>42.348544082682999</v>
      </c>
      <c r="S40" s="6">
        <f>$J$3+[11]FormattedData!L80*$J$4+$M$4*$J$5+[11]FormattedData!L80^2*$J$6+$M$5*$J$7</f>
        <v>46.077022488884218</v>
      </c>
      <c r="T40" s="6">
        <f>$J$3+[11]FormattedData!M80*$J$4+$M$4*$J$5+[11]FormattedData!M80^2*$J$6+$M$5*$J$7</f>
        <v>49.469240326514111</v>
      </c>
      <c r="U40" s="6">
        <f>$J$3+[11]FormattedData!N80*$J$4+$M$4*$J$5+[11]FormattedData!N80^2*$J$6+$M$5*$J$7</f>
        <v>50.175614039246334</v>
      </c>
      <c r="V40" s="6">
        <f>$J$3+[11]FormattedData!O80*$J$4+$M$4*$J$5+[11]FormattedData!O80^2*$J$6+$M$5*$J$7</f>
        <v>54.529160363822605</v>
      </c>
      <c r="W40" s="5">
        <f t="shared" si="0"/>
        <v>49.14477784007638</v>
      </c>
      <c r="X40" s="4">
        <f t="shared" si="1"/>
        <v>2.1189584185805637</v>
      </c>
      <c r="Y40" s="3">
        <f t="shared" si="2"/>
        <v>38.455453117155585</v>
      </c>
      <c r="Z40" s="2">
        <f t="shared" si="3"/>
        <v>43.035496533059181</v>
      </c>
      <c r="AA40" s="3">
        <f t="shared" si="4"/>
        <v>49.822427182880219</v>
      </c>
      <c r="AB40" s="2">
        <f t="shared" si="5"/>
        <v>55.169511751129704</v>
      </c>
      <c r="AC40" s="2">
        <f t="shared" si="6"/>
        <v>59.446889039530731</v>
      </c>
      <c r="AD40" s="2">
        <f t="shared" si="7"/>
        <v>-0.13033687321950607</v>
      </c>
      <c r="AE40" s="2">
        <f t="shared" si="8"/>
        <v>-1.3674308030432556</v>
      </c>
    </row>
    <row r="41" spans="2:31" x14ac:dyDescent="0.2">
      <c r="B41" s="1">
        <f>[11]FormattedData!A78</f>
        <v>408</v>
      </c>
      <c r="C41" s="1" t="str">
        <f>VLOOKUP($B41,[11]TrtCodes!$B$11:I121,2)</f>
        <v>NTL</v>
      </c>
      <c r="D41" s="1">
        <f>VLOOKUP($B41,[11]TrtCodes!$B$11:J121,3)</f>
        <v>10</v>
      </c>
      <c r="E41" s="1">
        <f>VLOOKUP($B41,[11]TrtCodes!$B$11:K121,4)</f>
        <v>2</v>
      </c>
      <c r="F41" s="1">
        <f>VLOOKUP($B41,[11]TrtCodes!$B$11:L121,5)</f>
        <v>2</v>
      </c>
      <c r="G41" s="1">
        <f>VLOOKUP($B41,[11]TrtCodes!$B$11:M121,6)</f>
        <v>1</v>
      </c>
      <c r="H41" s="1">
        <f>VLOOKUP($B41,[11]TrtCodes!$B$11:N121,7)</f>
        <v>4</v>
      </c>
      <c r="I41" s="1">
        <f>[11]FormattedData!B78</f>
        <v>1</v>
      </c>
      <c r="J41" s="4">
        <f>[11]FormattedData!C78</f>
        <v>13.725</v>
      </c>
      <c r="K41" s="6">
        <f>$J$3+[11]FormattedData!D78*$J$4+$M$4*$J$5+[11]FormattedData!D78^2*$J$6+$M$5*$J$7</f>
        <v>40.689206530221519</v>
      </c>
      <c r="L41" s="6">
        <f>$J$3+[11]FormattedData!E78*$J$4+$M$4*$J$5+[11]FormattedData!E78^2*$J$6+$M$5*$J$7</f>
        <v>30.639763223331574</v>
      </c>
      <c r="M41" s="6">
        <f>$J$3+[11]FormattedData!F78*$J$4+$M$4*$J$5+[11]FormattedData!F78^2*$J$6+$M$5*$J$7</f>
        <v>39.947327245627136</v>
      </c>
      <c r="N41" s="6">
        <f>$J$3+[11]FormattedData!G78*$J$4+$M$4*$J$5+[11]FormattedData!G78^2*$J$6+$M$5*$J$7</f>
        <v>34.010494294363362</v>
      </c>
      <c r="O41" s="6">
        <f>$J$3+[11]FormattedData!H78*$J$4+$M$4*$J$5+[11]FormattedData!H78^2*$J$6+$M$5*$J$7</f>
        <v>38.922826167096048</v>
      </c>
      <c r="P41" s="6">
        <f>$J$3+[11]FormattedData!I78*$J$4+$M$4*$J$5+[11]FormattedData!I78^2*$J$6+$M$5*$J$7</f>
        <v>34.010494294363362</v>
      </c>
      <c r="Q41" s="6">
        <f>$J$3+[11]FormattedData!J78*$J$4+$M$4*$J$5+[11]FormattedData!J78^2*$J$6+$M$5*$J$7</f>
        <v>38.268208017413883</v>
      </c>
      <c r="R41" s="6">
        <f>$J$3+[11]FormattedData!K78*$J$4+$M$4*$J$5+[11]FormattedData!K78^2*$J$6+$M$5*$J$7</f>
        <v>32.764552868904275</v>
      </c>
      <c r="S41" s="6">
        <f>$J$3+[11]FormattedData!L78*$J$4+$M$4*$J$5+[11]FormattedData!L78^2*$J$6+$M$5*$J$7</f>
        <v>35.534154363359121</v>
      </c>
      <c r="T41" s="6">
        <f>$J$3+[11]FormattedData!M78*$J$4+$M$4*$J$5+[11]FormattedData!M78^2*$J$6+$M$5*$J$7</f>
        <v>36.858480530764886</v>
      </c>
      <c r="U41" s="6">
        <f>$J$3+[11]FormattedData!N78*$J$4+$M$4*$J$5+[11]FormattedData!N78^2*$J$6+$M$5*$J$7</f>
        <v>34.392423756522646</v>
      </c>
      <c r="V41" s="6">
        <f>$J$3+[11]FormattedData!O78*$J$4+$M$4*$J$5+[11]FormattedData!O78^2*$J$6+$M$5*$J$7</f>
        <v>36.858480530764886</v>
      </c>
      <c r="W41" s="5">
        <f t="shared" si="0"/>
        <v>36.074700985227722</v>
      </c>
      <c r="X41" s="4">
        <f t="shared" si="1"/>
        <v>0.88155587904025279</v>
      </c>
      <c r="Y41" s="3">
        <f t="shared" si="2"/>
        <v>30.639763223331574</v>
      </c>
      <c r="Z41" s="2">
        <f t="shared" si="3"/>
        <v>34.010494294363362</v>
      </c>
      <c r="AA41" s="3">
        <f t="shared" si="4"/>
        <v>36.196317447062</v>
      </c>
      <c r="AB41" s="2">
        <f t="shared" si="5"/>
        <v>38.431862554834424</v>
      </c>
      <c r="AC41" s="2">
        <f t="shared" si="6"/>
        <v>40.689206530221519</v>
      </c>
      <c r="AD41" s="2">
        <f t="shared" si="7"/>
        <v>-0.10863871799814498</v>
      </c>
      <c r="AE41" s="2">
        <f t="shared" si="8"/>
        <v>-0.76284432090969068</v>
      </c>
    </row>
    <row r="42" spans="2:31" x14ac:dyDescent="0.2">
      <c r="B42" s="17">
        <f>[11]FormattedData!A60</f>
        <v>901</v>
      </c>
      <c r="C42" s="17" t="str">
        <f>VLOOKUP($B42,[11]TrtCodes!$B$11:I103,2)</f>
        <v>WS</v>
      </c>
      <c r="D42" s="17">
        <f>VLOOKUP($B42,[11]TrtCodes!$B$11:J103,3)</f>
        <v>32</v>
      </c>
      <c r="E42" s="17">
        <f>VLOOKUP($B42,[11]TrtCodes!$B$11:K103,4)</f>
        <v>9</v>
      </c>
      <c r="F42" s="17">
        <f>VLOOKUP($B42,[11]TrtCodes!$B$11:L103,5)</f>
        <v>0</v>
      </c>
      <c r="G42" s="17">
        <f>VLOOKUP($B42,[11]TrtCodes!$B$11:M103,6)</f>
        <v>1</v>
      </c>
      <c r="H42" s="17">
        <f>VLOOKUP($B42,[11]TrtCodes!$B$11:N103,7)</f>
        <v>1</v>
      </c>
      <c r="I42" s="17">
        <f>[11]FormattedData!B60</f>
        <v>1</v>
      </c>
      <c r="J42" s="15">
        <f>[11]FormattedData!C60</f>
        <v>13.548</v>
      </c>
      <c r="K42" s="14">
        <f>$J$3+[11]FormattedData!D60*$J$4+$M$4*$J$5+[11]FormattedData!D60^2*$J$6+$M$5*$J$7</f>
        <v>56.326138625116968</v>
      </c>
      <c r="L42" s="14">
        <f>$J$3+[11]FormattedData!E60*$J$4+$M$4*$J$5+[11]FormattedData!E60^2*$J$6+$M$5*$J$7</f>
        <v>53.060810938356354</v>
      </c>
      <c r="M42" s="14">
        <f>$J$3+[11]FormattedData!F60*$J$4+$M$4*$J$5+[11]FormattedData!F60^2*$J$6+$M$5*$J$7</f>
        <v>53.234191957656641</v>
      </c>
      <c r="N42" s="14">
        <f>$J$3+[11]FormattedData!G60*$J$4+$M$4*$J$5+[11]FormattedData!G60^2*$J$6+$M$5*$J$7</f>
        <v>55.044484808399318</v>
      </c>
      <c r="O42" s="14">
        <f>$J$3+[11]FormattedData!H60*$J$4+$M$4*$J$5+[11]FormattedData!H60^2*$J$6+$M$5*$J$7</f>
        <v>54.184765363346166</v>
      </c>
      <c r="P42" s="14">
        <f>$J$3+[11]FormattedData!I60*$J$4+$M$4*$J$5+[11]FormattedData!I60^2*$J$6+$M$5*$J$7</f>
        <v>52.626618690691835</v>
      </c>
      <c r="Q42" s="14">
        <f>$J$3+[11]FormattedData!J60*$J$4+$M$4*$J$5+[11]FormattedData!J60^2*$J$6+$M$5*$J$7</f>
        <v>53.666904806493569</v>
      </c>
      <c r="R42" s="14">
        <f>$J$3+[11]FormattedData!K60*$J$4+$M$4*$J$5+[11]FormattedData!K60^2*$J$6+$M$5*$J$7</f>
        <v>54.529160363822605</v>
      </c>
      <c r="S42" s="14">
        <f>$J$3+[11]FormattedData!L60*$J$4+$M$4*$J$5+[11]FormattedData!L60^2*$J$6+$M$5*$J$7</f>
        <v>55.387189067358513</v>
      </c>
      <c r="T42" s="14">
        <f>$J$3+[11]FormattedData!M60*$J$4+$M$4*$J$5+[11]FormattedData!M60^2*$J$6+$M$5*$J$7</f>
        <v>54.529160363822605</v>
      </c>
      <c r="U42" s="14">
        <f>$J$3+[11]FormattedData!N60*$J$4+$M$4*$J$5+[11]FormattedData!N60^2*$J$6+$M$5*$J$7</f>
        <v>56.836137233914364</v>
      </c>
      <c r="V42" s="14">
        <f>$J$3+[11]FormattedData!O60*$J$4+$M$4*$J$5+[11]FormattedData!O60^2*$J$6+$M$5*$J$7</f>
        <v>53.839694066262837</v>
      </c>
      <c r="W42" s="16">
        <f t="shared" ref="W42:W73" si="9">AVERAGE(K42:V42)</f>
        <v>54.438771357103484</v>
      </c>
      <c r="X42" s="15">
        <f t="shared" ref="X42:X73" si="10">STDEV(K42:V42)/SQRT(COUNT(K42:V42))</f>
        <v>0.37178029908262694</v>
      </c>
      <c r="Y42" s="14">
        <f t="shared" ref="Y42:Y73" si="11">MIN(K42:V42)</f>
        <v>52.626618690691835</v>
      </c>
      <c r="Z42" s="13">
        <f t="shared" ref="Z42:Z73" si="12">QUARTILE(K42:V42,1)</f>
        <v>53.558726594284337</v>
      </c>
      <c r="AA42" s="14">
        <f t="shared" ref="AA42:AA73" si="13">MEDIAN(K42:V42)</f>
        <v>54.356962863584386</v>
      </c>
      <c r="AB42" s="13">
        <f t="shared" ref="AB42:AB73" si="14">QUARTILE(K42:V42,3)</f>
        <v>55.130160873139118</v>
      </c>
      <c r="AC42" s="13">
        <f t="shared" ref="AC42:AC73" si="15">MAX(K42:V42)</f>
        <v>56.836137233914364</v>
      </c>
      <c r="AD42" s="13">
        <f t="shared" ref="AD42:AD73" si="16">SKEW(K42:V42)</f>
        <v>0.53989965618432989</v>
      </c>
      <c r="AE42" s="13">
        <f t="shared" ref="AE42:AE73" si="17">KURT(K42:V42)</f>
        <v>-0.38777728120188515</v>
      </c>
    </row>
    <row r="43" spans="2:31" x14ac:dyDescent="0.2">
      <c r="B43" s="1">
        <f>[11]FormattedData!A58</f>
        <v>902</v>
      </c>
      <c r="C43" s="1" t="str">
        <f>VLOOKUP($B43,[11]TrtCodes!$B$11:I101,2)</f>
        <v>Late</v>
      </c>
      <c r="D43" s="1">
        <f>VLOOKUP($B43,[11]TrtCodes!$B$11:J101,3)</f>
        <v>22</v>
      </c>
      <c r="E43" s="1">
        <f>VLOOKUP($B43,[11]TrtCodes!$B$11:K101,4)</f>
        <v>4</v>
      </c>
      <c r="F43" s="1">
        <f>VLOOKUP($B43,[11]TrtCodes!$B$11:L101,5)</f>
        <v>2</v>
      </c>
      <c r="G43" s="1">
        <f>VLOOKUP($B43,[11]TrtCodes!$B$11:M101,6)</f>
        <v>2</v>
      </c>
      <c r="H43" s="1">
        <f>VLOOKUP($B43,[11]TrtCodes!$B$11:N101,7)</f>
        <v>1</v>
      </c>
      <c r="I43" s="1">
        <f>[11]FormattedData!B58</f>
        <v>1</v>
      </c>
      <c r="J43" s="4">
        <f>[11]FormattedData!C58</f>
        <v>13.53</v>
      </c>
      <c r="K43" s="6">
        <f>$J$3+[11]FormattedData!D58*$J$4+$M$4*$J$5+[11]FormattedData!D58^2*$J$6+$M$5*$J$7</f>
        <v>54.184765363346166</v>
      </c>
      <c r="L43" s="6">
        <f>$J$3+[11]FormattedData!E58*$J$4+$M$4*$J$5+[11]FormattedData!E58^2*$J$6+$M$5*$J$7</f>
        <v>34.48780045071765</v>
      </c>
      <c r="M43" s="6">
        <f>$J$3+[11]FormattedData!F58*$J$4+$M$4*$J$5+[11]FormattedData!F58^2*$J$6+$M$5*$J$7</f>
        <v>52.713541677300604</v>
      </c>
      <c r="N43" s="6">
        <f>$J$3+[11]FormattedData!G58*$J$4+$M$4*$J$5+[11]FormattedData!G58^2*$J$6+$M$5*$J$7</f>
        <v>34.106040062710072</v>
      </c>
      <c r="O43" s="6">
        <f>$J$3+[11]FormattedData!H58*$J$4+$M$4*$J$5+[11]FormattedData!H58^2*$J$6+$M$5*$J$7</f>
        <v>53.839694066262837</v>
      </c>
      <c r="P43" s="6">
        <f>$J$3+[11]FormattedData!I58*$J$4+$M$4*$J$5+[11]FormattedData!I58^2*$J$6+$M$5*$J$7</f>
        <v>34.48780045071765</v>
      </c>
      <c r="Q43" s="6">
        <f>$J$3+[11]FormattedData!J58*$J$4+$M$4*$J$5+[11]FormattedData!J58^2*$J$6+$M$5*$J$7</f>
        <v>55.558287585610522</v>
      </c>
      <c r="R43" s="6">
        <f>$J$3+[11]FormattedData!K58*$J$4+$M$4*$J$5+[11]FormattedData!K58^2*$J$6+$M$5*$J$7</f>
        <v>34.964049893623653</v>
      </c>
      <c r="S43" s="6">
        <f>$J$3+[11]FormattedData!L58*$J$4+$M$4*$J$5+[11]FormattedData!L58^2*$J$6+$M$5*$J$7</f>
        <v>51.842409727006043</v>
      </c>
      <c r="T43" s="6">
        <f>$J$3+[11]FormattedData!M58*$J$4+$M$4*$J$5+[11]FormattedData!M58^2*$J$6+$M$5*$J$7</f>
        <v>40.966713831068553</v>
      </c>
      <c r="U43" s="6">
        <f>$J$3+[11]FormattedData!N58*$J$4+$M$4*$J$5+[11]FormattedData!N58^2*$J$6+$M$5*$J$7</f>
        <v>52.365596119637949</v>
      </c>
      <c r="V43" s="6">
        <f>$J$3+[11]FormattedData!O58*$J$4+$M$4*$J$5+[11]FormattedData!O58^2*$J$6+$M$5*$J$7</f>
        <v>36.764160550018161</v>
      </c>
      <c r="W43" s="5">
        <f t="shared" si="9"/>
        <v>44.69007164816832</v>
      </c>
      <c r="X43" s="4">
        <f t="shared" si="10"/>
        <v>2.693850971011472</v>
      </c>
      <c r="Y43" s="3">
        <f t="shared" si="11"/>
        <v>34.106040062710072</v>
      </c>
      <c r="Z43" s="2">
        <f t="shared" si="12"/>
        <v>34.84498753289715</v>
      </c>
      <c r="AA43" s="3">
        <f t="shared" si="13"/>
        <v>46.404561779037294</v>
      </c>
      <c r="AB43" s="2">
        <f t="shared" si="14"/>
        <v>52.995079774541161</v>
      </c>
      <c r="AC43" s="2">
        <f t="shared" si="15"/>
        <v>55.558287585610522</v>
      </c>
      <c r="AD43" s="2">
        <f t="shared" si="16"/>
        <v>-7.2331158877787141E-2</v>
      </c>
      <c r="AE43" s="2">
        <f t="shared" si="17"/>
        <v>-2.2333658153430074</v>
      </c>
    </row>
    <row r="44" spans="2:31" x14ac:dyDescent="0.2">
      <c r="B44" s="17">
        <f>[11]FormattedData!A56</f>
        <v>903</v>
      </c>
      <c r="C44" s="17" t="str">
        <f>VLOOKUP($B44,[11]TrtCodes!$B$11:I99,2)</f>
        <v>DS</v>
      </c>
      <c r="D44" s="17">
        <f>VLOOKUP($B44,[11]TrtCodes!$B$11:J99,3)</f>
        <v>31</v>
      </c>
      <c r="E44" s="17">
        <f>VLOOKUP($B44,[11]TrtCodes!$B$11:K99,4)</f>
        <v>8</v>
      </c>
      <c r="F44" s="17">
        <f>VLOOKUP($B44,[11]TrtCodes!$B$11:L99,5)</f>
        <v>0</v>
      </c>
      <c r="G44" s="17">
        <f>VLOOKUP($B44,[11]TrtCodes!$B$11:M99,6)</f>
        <v>1</v>
      </c>
      <c r="H44" s="17">
        <f>VLOOKUP($B44,[11]TrtCodes!$B$11:N99,7)</f>
        <v>1</v>
      </c>
      <c r="I44" s="17">
        <f>[11]FormattedData!B56</f>
        <v>1</v>
      </c>
      <c r="J44" s="15">
        <f>[11]FormattedData!C56</f>
        <v>13.52</v>
      </c>
      <c r="K44" s="14">
        <f>$J$3+[11]FormattedData!D56*$J$4+$M$4*$J$5+[11]FormattedData!D56^2*$J$6+$M$5*$J$7</f>
        <v>64.708331895815164</v>
      </c>
      <c r="L44" s="14">
        <f>$J$3+[11]FormattedData!E56*$J$4+$M$4*$J$5+[11]FormattedData!E56^2*$J$6+$M$5*$J$7</f>
        <v>64.950714041641419</v>
      </c>
      <c r="M44" s="14">
        <f>$J$3+[11]FormattedData!F56*$J$4+$M$4*$J$5+[11]FormattedData!F56^2*$J$6+$M$5*$J$7</f>
        <v>64.78916821296184</v>
      </c>
      <c r="N44" s="14">
        <f>$J$3+[11]FormattedData!G56*$J$4+$M$4*$J$5+[11]FormattedData!G56^2*$J$6+$M$5*$J$7</f>
        <v>64.708331895815164</v>
      </c>
      <c r="O44" s="14">
        <f>$J$3+[11]FormattedData!H56*$J$4+$M$4*$J$5+[11]FormattedData!H56^2*$J$6+$M$5*$J$7</f>
        <v>64.708331895815164</v>
      </c>
      <c r="P44" s="14">
        <f>$J$3+[11]FormattedData!I56*$J$4+$M$4*$J$5+[11]FormattedData!I56^2*$J$6+$M$5*$J$7</f>
        <v>64.708331895815164</v>
      </c>
      <c r="Q44" s="14">
        <f>$J$3+[11]FormattedData!J56*$J$4+$M$4*$J$5+[11]FormattedData!J56^2*$J$6+$M$5*$J$7</f>
        <v>64.222426353638525</v>
      </c>
      <c r="R44" s="14">
        <f>$J$3+[11]FormattedData!K56*$J$4+$M$4*$J$5+[11]FormattedData!K56^2*$J$6+$M$5*$J$7</f>
        <v>64.303516282012779</v>
      </c>
      <c r="S44" s="14">
        <f>$J$3+[11]FormattedData!L56*$J$4+$M$4*$J$5+[11]FormattedData!L56^2*$J$6+$M$5*$J$7</f>
        <v>64.060119691276199</v>
      </c>
      <c r="T44" s="14">
        <f>$J$3+[11]FormattedData!M56*$J$4+$M$4*$J$5+[11]FormattedData!M56^2*$J$6+$M$5*$J$7</f>
        <v>64.627453310130562</v>
      </c>
      <c r="U44" s="14">
        <f>$J$3+[11]FormattedData!N56*$J$4+$M$4*$J$5+[11]FormattedData!N56^2*$J$6+$M$5*$J$7</f>
        <v>65.192715770626279</v>
      </c>
      <c r="V44" s="14">
        <f>$J$3+[11]FormattedData!O56*$J$4+$M$4*$J$5+[11]FormattedData!O56^2*$J$6+$M$5*$J$7</f>
        <v>65.112090796169269</v>
      </c>
      <c r="W44" s="16">
        <f t="shared" si="9"/>
        <v>64.674294336809794</v>
      </c>
      <c r="X44" s="15">
        <f t="shared" si="10"/>
        <v>9.8308813930690964E-2</v>
      </c>
      <c r="Y44" s="14">
        <f t="shared" si="11"/>
        <v>64.060119691276199</v>
      </c>
      <c r="Z44" s="13">
        <f t="shared" si="12"/>
        <v>64.54646905310112</v>
      </c>
      <c r="AA44" s="14">
        <f t="shared" si="13"/>
        <v>64.708331895815164</v>
      </c>
      <c r="AB44" s="13">
        <f t="shared" si="14"/>
        <v>64.829554670131728</v>
      </c>
      <c r="AC44" s="13">
        <f t="shared" si="15"/>
        <v>65.192715770626279</v>
      </c>
      <c r="AD44" s="13">
        <f t="shared" si="16"/>
        <v>-0.35624854877028311</v>
      </c>
      <c r="AE44" s="13">
        <f t="shared" si="17"/>
        <v>-0.30936550899874238</v>
      </c>
    </row>
    <row r="45" spans="2:31" x14ac:dyDescent="0.2">
      <c r="B45" s="1">
        <f>[11]FormattedData!A54</f>
        <v>904</v>
      </c>
      <c r="C45" s="1" t="str">
        <f>VLOOKUP($B45,[11]TrtCodes!$B$11:I97,2)</f>
        <v>Early</v>
      </c>
      <c r="D45" s="1">
        <f>VLOOKUP($B45,[11]TrtCodes!$B$11:J97,3)</f>
        <v>21</v>
      </c>
      <c r="E45" s="1">
        <f>VLOOKUP($B45,[11]TrtCodes!$B$11:K97,4)</f>
        <v>3</v>
      </c>
      <c r="F45" s="1">
        <f>VLOOKUP($B45,[11]TrtCodes!$B$11:L97,5)</f>
        <v>2</v>
      </c>
      <c r="G45" s="1">
        <f>VLOOKUP($B45,[11]TrtCodes!$B$11:M97,6)</f>
        <v>2</v>
      </c>
      <c r="H45" s="1">
        <f>VLOOKUP($B45,[11]TrtCodes!$B$11:N97,7)</f>
        <v>1</v>
      </c>
      <c r="I45" s="1">
        <f>[11]FormattedData!B54</f>
        <v>1</v>
      </c>
      <c r="J45" s="4">
        <f>[11]FormattedData!C54</f>
        <v>13.5</v>
      </c>
      <c r="K45" s="6">
        <f>$J$3+[11]FormattedData!D54*$J$4+$M$4*$J$5+[11]FormattedData!D54^2*$J$6+$M$5*$J$7</f>
        <v>58.104476461183701</v>
      </c>
      <c r="L45" s="6">
        <f>$J$3+[11]FormattedData!E54*$J$4+$M$4*$J$5+[11]FormattedData!E54^2*$J$6+$M$5*$J$7</f>
        <v>38.268208017413883</v>
      </c>
      <c r="M45" s="6">
        <f>$J$3+[11]FormattedData!F54*$J$4+$M$4*$J$5+[11]FormattedData!F54^2*$J$6+$M$5*$J$7</f>
        <v>53.407403902805214</v>
      </c>
      <c r="N45" s="6">
        <f>$J$3+[11]FormattedData!G54*$J$4+$M$4*$J$5+[11]FormattedData!G54^2*$J$6+$M$5*$J$7</f>
        <v>40.133050678003322</v>
      </c>
      <c r="O45" s="6">
        <f>$J$3+[11]FormattedData!H54*$J$4+$M$4*$J$5+[11]FormattedData!H54^2*$J$6+$M$5*$J$7</f>
        <v>51.230102383792939</v>
      </c>
      <c r="P45" s="6">
        <f>$J$3+[11]FormattedData!I54*$J$4+$M$4*$J$5+[11]FormattedData!I54^2*$J$6+$M$5*$J$7</f>
        <v>39.761434739099222</v>
      </c>
      <c r="Q45" s="6">
        <f>$J$3+[11]FormattedData!J54*$J$4+$M$4*$J$5+[11]FormattedData!J54^2*$J$6+$M$5*$J$7</f>
        <v>56.920989062164502</v>
      </c>
      <c r="R45" s="6">
        <f>$J$3+[11]FormattedData!K54*$J$4+$M$4*$J$5+[11]FormattedData!K54^2*$J$6+$M$5*$J$7</f>
        <v>42.072938866042868</v>
      </c>
      <c r="S45" s="6">
        <f>$J$3+[11]FormattedData!L54*$J$4+$M$4*$J$5+[11]FormattedData!L54^2*$J$6+$M$5*$J$7</f>
        <v>57.175290935687329</v>
      </c>
      <c r="T45" s="6">
        <f>$J$3+[11]FormattedData!M54*$J$4+$M$4*$J$5+[11]FormattedData!M54^2*$J$6+$M$5*$J$7</f>
        <v>48.671336356538617</v>
      </c>
      <c r="U45" s="6">
        <f>$J$3+[11]FormattedData!N54*$J$4+$M$4*$J$5+[11]FormattedData!N54^2*$J$6+$M$5*$J$7</f>
        <v>47.512763998983203</v>
      </c>
      <c r="V45" s="6">
        <f>$J$3+[11]FormattedData!O54*$J$4+$M$4*$J$5+[11]FormattedData!O54^2*$J$6+$M$5*$J$7</f>
        <v>57.51376834085341</v>
      </c>
      <c r="W45" s="5">
        <f t="shared" si="9"/>
        <v>49.230980311880678</v>
      </c>
      <c r="X45" s="4">
        <f t="shared" si="10"/>
        <v>2.1987614277513936</v>
      </c>
      <c r="Y45" s="3">
        <f t="shared" si="11"/>
        <v>38.268208017413883</v>
      </c>
      <c r="Z45" s="2">
        <f t="shared" si="12"/>
        <v>41.587966819032985</v>
      </c>
      <c r="AA45" s="3">
        <f t="shared" si="13"/>
        <v>49.950719370165778</v>
      </c>
      <c r="AB45" s="2">
        <f t="shared" si="14"/>
        <v>56.984564530545207</v>
      </c>
      <c r="AC45" s="2">
        <f t="shared" si="15"/>
        <v>58.104476461183701</v>
      </c>
      <c r="AD45" s="2">
        <f t="shared" si="16"/>
        <v>-0.24387829040417527</v>
      </c>
      <c r="AE45" s="2">
        <f t="shared" si="17"/>
        <v>-1.6607225694027377</v>
      </c>
    </row>
    <row r="46" spans="2:31" x14ac:dyDescent="0.2">
      <c r="B46" s="17">
        <f>[11]FormattedData!A52</f>
        <v>905</v>
      </c>
      <c r="C46" s="17" t="str">
        <f>VLOOKUP($B46,[11]TrtCodes!$B$11:I95,2)</f>
        <v>WS</v>
      </c>
      <c r="D46" s="17">
        <f>VLOOKUP($B46,[11]TrtCodes!$B$11:J95,3)</f>
        <v>32</v>
      </c>
      <c r="E46" s="17">
        <f>VLOOKUP($B46,[11]TrtCodes!$B$11:K95,4)</f>
        <v>9</v>
      </c>
      <c r="F46" s="17">
        <f>VLOOKUP($B46,[11]TrtCodes!$B$11:L95,5)</f>
        <v>0</v>
      </c>
      <c r="G46" s="17">
        <f>VLOOKUP($B46,[11]TrtCodes!$B$11:M95,6)</f>
        <v>1</v>
      </c>
      <c r="H46" s="17">
        <f>VLOOKUP($B46,[11]TrtCodes!$B$11:N95,7)</f>
        <v>2</v>
      </c>
      <c r="I46" s="17">
        <f>[11]FormattedData!B52</f>
        <v>1</v>
      </c>
      <c r="J46" s="15">
        <f>[11]FormattedData!C52</f>
        <v>13.49</v>
      </c>
      <c r="K46" s="14">
        <f>$J$3+[11]FormattedData!D52*$J$4+$M$4*$J$5+[11]FormattedData!D52^2*$J$6+$M$5*$J$7</f>
        <v>41.151507355610242</v>
      </c>
      <c r="L46" s="14">
        <f>$J$3+[11]FormattedData!E52*$J$4+$M$4*$J$5+[11]FormattedData!E52^2*$J$6+$M$5*$J$7</f>
        <v>41.059131727608367</v>
      </c>
      <c r="M46" s="14">
        <f>$J$3+[11]FormattedData!F52*$J$4+$M$4*$J$5+[11]FormattedData!F52^2*$J$6+$M$5*$J$7</f>
        <v>40.781751232375129</v>
      </c>
      <c r="N46" s="14">
        <f>$J$3+[11]FormattedData!G52*$J$4+$M$4*$J$5+[11]FormattedData!G52^2*$J$6+$M$5*$J$7</f>
        <v>40.781751232375129</v>
      </c>
      <c r="O46" s="14">
        <f>$J$3+[11]FormattedData!H52*$J$4+$M$4*$J$5+[11]FormattedData!H52^2*$J$6+$M$5*$J$7</f>
        <v>40.781751232375129</v>
      </c>
      <c r="P46" s="14">
        <f>$J$3+[11]FormattedData!I52*$J$4+$M$4*$J$5+[11]FormattedData!I52^2*$J$6+$M$5*$J$7</f>
        <v>41.428380628388311</v>
      </c>
      <c r="Q46" s="14">
        <f>$J$3+[11]FormattedData!J52*$J$4+$M$4*$J$5+[11]FormattedData!J52^2*$J$6+$M$5*$J$7</f>
        <v>41.336131806000218</v>
      </c>
      <c r="R46" s="14">
        <f>$J$3+[11]FormattedData!K52*$J$4+$M$4*$J$5+[11]FormattedData!K52^2*$J$6+$M$5*$J$7</f>
        <v>41.243840715074199</v>
      </c>
      <c r="S46" s="14">
        <f>$J$3+[11]FormattedData!L52*$J$4+$M$4*$J$5+[11]FormattedData!L52^2*$J$6+$M$5*$J$7</f>
        <v>40.966713831068553</v>
      </c>
      <c r="T46" s="14">
        <f>$J$3+[11]FormattedData!M52*$J$4+$M$4*$J$5+[11]FormattedData!M52^2*$J$6+$M$5*$J$7</f>
        <v>40.689206530221519</v>
      </c>
      <c r="U46" s="14">
        <f>$J$3+[11]FormattedData!N52*$J$4+$M$4*$J$5+[11]FormattedData!N52^2*$J$6+$M$5*$J$7</f>
        <v>41.059131727608367</v>
      </c>
      <c r="V46" s="14">
        <f>$J$3+[11]FormattedData!O52*$J$4+$M$4*$J$5+[11]FormattedData!O52^2*$J$6+$M$5*$J$7</f>
        <v>41.059131727608367</v>
      </c>
      <c r="W46" s="16">
        <f t="shared" si="9"/>
        <v>41.028202478859455</v>
      </c>
      <c r="X46" s="15">
        <f t="shared" si="10"/>
        <v>6.8559340388105197E-2</v>
      </c>
      <c r="Y46" s="14">
        <f t="shared" si="11"/>
        <v>40.689206530221519</v>
      </c>
      <c r="Z46" s="13">
        <f t="shared" si="12"/>
        <v>40.781751232375129</v>
      </c>
      <c r="AA46" s="14">
        <f t="shared" si="13"/>
        <v>41.059131727608367</v>
      </c>
      <c r="AB46" s="13">
        <f t="shared" si="14"/>
        <v>41.174590695476233</v>
      </c>
      <c r="AC46" s="13">
        <f t="shared" si="15"/>
        <v>41.428380628388311</v>
      </c>
      <c r="AD46" s="13">
        <f t="shared" si="16"/>
        <v>0.17246425216506892</v>
      </c>
      <c r="AE46" s="13">
        <f t="shared" si="17"/>
        <v>-0.99617968799769852</v>
      </c>
    </row>
    <row r="47" spans="2:31" x14ac:dyDescent="0.2">
      <c r="B47" s="1">
        <f>[11]FormattedData!A50</f>
        <v>906</v>
      </c>
      <c r="C47" s="1" t="str">
        <f>VLOOKUP($B47,[11]TrtCodes!$B$11:I93,2)</f>
        <v>Late</v>
      </c>
      <c r="D47" s="1">
        <f>VLOOKUP($B47,[11]TrtCodes!$B$11:J93,3)</f>
        <v>22</v>
      </c>
      <c r="E47" s="1">
        <f>VLOOKUP($B47,[11]TrtCodes!$B$11:K93,4)</f>
        <v>4</v>
      </c>
      <c r="F47" s="1">
        <f>VLOOKUP($B47,[11]TrtCodes!$B$11:L93,5)</f>
        <v>2</v>
      </c>
      <c r="G47" s="1">
        <f>VLOOKUP($B47,[11]TrtCodes!$B$11:M93,6)</f>
        <v>2</v>
      </c>
      <c r="H47" s="1">
        <f>VLOOKUP($B47,[11]TrtCodes!$B$11:N93,7)</f>
        <v>2</v>
      </c>
      <c r="I47" s="1">
        <f>[11]FormattedData!B50</f>
        <v>1</v>
      </c>
      <c r="J47" s="4">
        <f>[11]FormattedData!C50</f>
        <v>13.471</v>
      </c>
      <c r="K47" s="6">
        <f>$J$3+[11]FormattedData!D50*$J$4+$M$4*$J$5+[11]FormattedData!D50^2*$J$6+$M$5*$J$7</f>
        <v>54.184765363346166</v>
      </c>
      <c r="L47" s="6">
        <f>$J$3+[11]FormattedData!E50*$J$4+$M$4*$J$5+[11]FormattedData!E50^2*$J$6+$M$5*$J$7</f>
        <v>34.67842703349384</v>
      </c>
      <c r="M47" s="6">
        <f>$J$3+[11]FormattedData!F50*$J$4+$M$4*$J$5+[11]FormattedData!F50^2*$J$6+$M$5*$J$7</f>
        <v>48.582469017185019</v>
      </c>
      <c r="N47" s="6">
        <f>$J$3+[11]FormattedData!G50*$J$4+$M$4*$J$5+[11]FormattedData!G50^2*$J$6+$M$5*$J$7</f>
        <v>33.244606480224085</v>
      </c>
      <c r="O47" s="6">
        <f>$J$3+[11]FormattedData!H50*$J$4+$M$4*$J$5+[11]FormattedData!H50^2*$J$6+$M$5*$J$7</f>
        <v>48.137498292348063</v>
      </c>
      <c r="P47" s="6">
        <f>$J$3+[11]FormattedData!I50*$J$4+$M$4*$J$5+[11]FormattedData!I50^2*$J$6+$M$5*$J$7</f>
        <v>37.611518709373087</v>
      </c>
      <c r="Q47" s="6">
        <f>$J$3+[11]FormattedData!J50*$J$4+$M$4*$J$5+[11]FormattedData!J50^2*$J$6+$M$5*$J$7</f>
        <v>52.016974265368404</v>
      </c>
      <c r="R47" s="6">
        <f>$J$3+[11]FormattedData!K50*$J$4+$M$4*$J$5+[11]FormattedData!K50^2*$J$6+$M$5*$J$7</f>
        <v>34.106040062710072</v>
      </c>
      <c r="S47" s="6">
        <f>$J$3+[11]FormattedData!L50*$J$4+$M$4*$J$5+[11]FormattedData!L50^2*$J$6+$M$5*$J$7</f>
        <v>53.234191957656641</v>
      </c>
      <c r="T47" s="6">
        <f>$J$3+[11]FormattedData!M50*$J$4+$M$4*$J$5+[11]FormattedData!M50^2*$J$6+$M$5*$J$7</f>
        <v>38.829436094183819</v>
      </c>
      <c r="U47" s="6">
        <f>$J$3+[11]FormattedData!N50*$J$4+$M$4*$J$5+[11]FormattedData!N50^2*$J$6+$M$5*$J$7</f>
        <v>44.811872274582051</v>
      </c>
      <c r="V47" s="6">
        <f>$J$3+[11]FormattedData!O50*$J$4+$M$4*$J$5+[11]FormattedData!O50^2*$J$6+$M$5*$J$7</f>
        <v>34.010494294363362</v>
      </c>
      <c r="W47" s="5">
        <f t="shared" si="9"/>
        <v>42.787357820402889</v>
      </c>
      <c r="X47" s="4">
        <f t="shared" si="10"/>
        <v>2.3712306059756472</v>
      </c>
      <c r="Y47" s="3">
        <f t="shared" si="11"/>
        <v>33.244606480224085</v>
      </c>
      <c r="Z47" s="2">
        <f t="shared" si="12"/>
        <v>34.535330290797901</v>
      </c>
      <c r="AA47" s="3">
        <f t="shared" si="13"/>
        <v>41.820654184382931</v>
      </c>
      <c r="AB47" s="2">
        <f t="shared" si="14"/>
        <v>49.441095329230862</v>
      </c>
      <c r="AC47" s="2">
        <f t="shared" si="15"/>
        <v>54.184765363346166</v>
      </c>
      <c r="AD47" s="2">
        <f t="shared" si="16"/>
        <v>0.16331373364950216</v>
      </c>
      <c r="AE47" s="2">
        <f t="shared" si="17"/>
        <v>-1.8458619336435298</v>
      </c>
    </row>
    <row r="48" spans="2:31" x14ac:dyDescent="0.2">
      <c r="B48" s="17">
        <f>[11]FormattedData!A48</f>
        <v>907</v>
      </c>
      <c r="C48" s="17" t="str">
        <f>VLOOKUP($B48,[11]TrtCodes!$B$11:I91,2)</f>
        <v>DS</v>
      </c>
      <c r="D48" s="17">
        <f>VLOOKUP($B48,[11]TrtCodes!$B$11:J91,3)</f>
        <v>31</v>
      </c>
      <c r="E48" s="17">
        <f>VLOOKUP($B48,[11]TrtCodes!$B$11:K91,4)</f>
        <v>8</v>
      </c>
      <c r="F48" s="17">
        <f>VLOOKUP($B48,[11]TrtCodes!$B$11:L91,5)</f>
        <v>0</v>
      </c>
      <c r="G48" s="17">
        <f>VLOOKUP($B48,[11]TrtCodes!$B$11:M91,6)</f>
        <v>1</v>
      </c>
      <c r="H48" s="17">
        <f>VLOOKUP($B48,[11]TrtCodes!$B$11:N91,7)</f>
        <v>2</v>
      </c>
      <c r="I48" s="17">
        <f>[11]FormattedData!B48</f>
        <v>1</v>
      </c>
      <c r="J48" s="15">
        <f>[11]FormattedData!C48</f>
        <v>13.461</v>
      </c>
      <c r="K48" s="14">
        <f>$J$3+[11]FormattedData!D48*$J$4+$M$4*$J$5+[11]FormattedData!D48^2*$J$6+$M$5*$J$7</f>
        <v>65.434337082769801</v>
      </c>
      <c r="L48" s="14">
        <f>$J$3+[11]FormattedData!E48*$J$4+$M$4*$J$5+[11]FormattedData!E48^2*$J$6+$M$5*$J$7</f>
        <v>65.112090796169269</v>
      </c>
      <c r="M48" s="14">
        <f>$J$3+[11]FormattedData!F48*$J$4+$M$4*$J$5+[11]FormattedData!F48^2*$J$6+$M$5*$J$7</f>
        <v>64.869962261570606</v>
      </c>
      <c r="N48" s="14">
        <f>$J$3+[11]FormattedData!G48*$J$4+$M$4*$J$5+[11]FormattedData!G48^2*$J$6+$M$5*$J$7</f>
        <v>64.627453310130562</v>
      </c>
      <c r="O48" s="14">
        <f>$J$3+[11]FormattedData!H48*$J$4+$M$4*$J$5+[11]FormattedData!H48^2*$J$6+$M$5*$J$7</f>
        <v>64.546532455908007</v>
      </c>
      <c r="P48" s="14">
        <f>$J$3+[11]FormattedData!I48*$J$4+$M$4*$J$5+[11]FormattedData!I48^2*$J$6+$M$5*$J$7</f>
        <v>64.708331895815164</v>
      </c>
      <c r="Q48" s="14">
        <f>$J$3+[11]FormattedData!J48*$J$4+$M$4*$J$5+[11]FormattedData!J48^2*$J$6+$M$5*$J$7</f>
        <v>63.97890295728812</v>
      </c>
      <c r="R48" s="14">
        <f>$J$3+[11]FormattedData!K48*$J$4+$M$4*$J$5+[11]FormattedData!K48^2*$J$6+$M$5*$J$7</f>
        <v>64.627453310130562</v>
      </c>
      <c r="S48" s="14">
        <f>$J$3+[11]FormattedData!L48*$J$4+$M$4*$J$5+[11]FormattedData!L48^2*$J$6+$M$5*$J$7</f>
        <v>64.465569333147542</v>
      </c>
      <c r="T48" s="14">
        <f>$J$3+[11]FormattedData!M48*$J$4+$M$4*$J$5+[11]FormattedData!M48^2*$J$6+$M$5*$J$7</f>
        <v>64.546532455908007</v>
      </c>
      <c r="U48" s="14">
        <f>$J$3+[11]FormattedData!N48*$J$4+$M$4*$J$5+[11]FormattedData!N48^2*$J$6+$M$5*$J$7</f>
        <v>64.627453310130562</v>
      </c>
      <c r="V48" s="14">
        <f>$J$3+[11]FormattedData!O48*$J$4+$M$4*$J$5+[11]FormattedData!O48^2*$J$6+$M$5*$J$7</f>
        <v>64.78916821296184</v>
      </c>
      <c r="W48" s="16">
        <f t="shared" si="9"/>
        <v>64.694482281827504</v>
      </c>
      <c r="X48" s="15">
        <f t="shared" si="10"/>
        <v>0.10237499092693148</v>
      </c>
      <c r="Y48" s="14">
        <f t="shared" si="11"/>
        <v>63.97890295728812</v>
      </c>
      <c r="Z48" s="13">
        <f t="shared" si="12"/>
        <v>64.546532455908007</v>
      </c>
      <c r="AA48" s="14">
        <f t="shared" si="13"/>
        <v>64.627453310130562</v>
      </c>
      <c r="AB48" s="13">
        <f t="shared" si="14"/>
        <v>64.809366725114032</v>
      </c>
      <c r="AC48" s="13">
        <f t="shared" si="15"/>
        <v>65.434337082769801</v>
      </c>
      <c r="AD48" s="13">
        <f t="shared" si="16"/>
        <v>0.24037967243899871</v>
      </c>
      <c r="AE48" s="13">
        <f t="shared" si="17"/>
        <v>1.914417476830347</v>
      </c>
    </row>
    <row r="49" spans="2:31" ht="13.5" thickBot="1" x14ac:dyDescent="0.25">
      <c r="B49" s="12">
        <f>[11]FormattedData!A46</f>
        <v>908</v>
      </c>
      <c r="C49" s="12" t="str">
        <f>VLOOKUP($B49,[11]TrtCodes!$B$11:I89,2)</f>
        <v>Early</v>
      </c>
      <c r="D49" s="12">
        <f>VLOOKUP($B49,[11]TrtCodes!$B$11:J89,3)</f>
        <v>21</v>
      </c>
      <c r="E49" s="12">
        <f>VLOOKUP($B49,[11]TrtCodes!$B$11:K89,4)</f>
        <v>3</v>
      </c>
      <c r="F49" s="12">
        <f>VLOOKUP($B49,[11]TrtCodes!$B$11:L89,5)</f>
        <v>2</v>
      </c>
      <c r="G49" s="12">
        <f>VLOOKUP($B49,[11]TrtCodes!$B$11:M89,6)</f>
        <v>2</v>
      </c>
      <c r="H49" s="12">
        <f>VLOOKUP($B49,[11]TrtCodes!$B$11:N89,7)</f>
        <v>2</v>
      </c>
      <c r="I49" s="12">
        <f>[11]FormattedData!B46</f>
        <v>1</v>
      </c>
      <c r="J49" s="9">
        <f>[11]FormattedData!C46</f>
        <v>13.442</v>
      </c>
      <c r="K49" s="11">
        <f>$J$3+[11]FormattedData!D46*$J$4+$M$4*$J$5+[11]FormattedData!D46^2*$J$6+$M$5*$J$7</f>
        <v>58.944752378788536</v>
      </c>
      <c r="L49" s="11">
        <f>$J$3+[11]FormattedData!E46*$J$4+$M$4*$J$5+[11]FormattedData!E46^2*$J$6+$M$5*$J$7</f>
        <v>39.575373158419595</v>
      </c>
      <c r="M49" s="11">
        <f>$J$3+[11]FormattedData!F46*$J$4+$M$4*$J$5+[11]FormattedData!F46^2*$J$6+$M$5*$J$7</f>
        <v>57.935914055207554</v>
      </c>
      <c r="N49" s="11">
        <f>$J$3+[11]FormattedData!G46*$J$4+$M$4*$J$5+[11]FormattedData!G46^2*$J$6+$M$5*$J$7</f>
        <v>38.455453117155585</v>
      </c>
      <c r="O49" s="11">
        <f>$J$3+[11]FormattedData!H46*$J$4+$M$4*$J$5+[11]FormattedData!H46^2*$J$6+$M$5*$J$7</f>
        <v>57.935914055207554</v>
      </c>
      <c r="P49" s="11">
        <f>$J$3+[11]FormattedData!I46*$J$4+$M$4*$J$5+[11]FormattedData!I46^2*$J$6+$M$5*$J$7</f>
        <v>40.040210096084195</v>
      </c>
      <c r="Q49" s="11">
        <f>$J$3+[11]FormattedData!J46*$J$4+$M$4*$J$5+[11]FormattedData!J46^2*$J$6+$M$5*$J$7</f>
        <v>58.944752378788536</v>
      </c>
      <c r="R49" s="11">
        <f>$J$3+[11]FormattedData!K46*$J$4+$M$4*$J$5+[11]FormattedData!K46^2*$J$6+$M$5*$J$7</f>
        <v>37.987023353766837</v>
      </c>
      <c r="S49" s="11">
        <f>$J$3+[11]FormattedData!L46*$J$4+$M$4*$J$5+[11]FormattedData!L46^2*$J$6+$M$5*$J$7</f>
        <v>58.525142776710254</v>
      </c>
      <c r="T49" s="11">
        <f>$J$3+[11]FormattedData!M46*$J$4+$M$4*$J$5+[11]FormattedData!M46^2*$J$6+$M$5*$J$7</f>
        <v>42.256717945674225</v>
      </c>
      <c r="U49" s="11">
        <f>$J$3+[11]FormattedData!N46*$J$4+$M$4*$J$5+[11]FormattedData!N46^2*$J$6+$M$5*$J$7</f>
        <v>57.598282020800099</v>
      </c>
      <c r="V49" s="11">
        <f>$J$3+[11]FormattedData!O46*$J$4+$M$4*$J$5+[11]FormattedData!O46^2*$J$6+$M$5*$J$7</f>
        <v>37.893210595475303</v>
      </c>
      <c r="W49" s="10">
        <f t="shared" si="9"/>
        <v>48.841062161006533</v>
      </c>
      <c r="X49" s="9">
        <f t="shared" si="10"/>
        <v>2.8765775080312541</v>
      </c>
      <c r="Y49" s="8">
        <f t="shared" si="11"/>
        <v>37.893210595475303</v>
      </c>
      <c r="Z49" s="7">
        <f t="shared" si="12"/>
        <v>39.295393148103592</v>
      </c>
      <c r="AA49" s="8">
        <f t="shared" si="13"/>
        <v>49.927499983237162</v>
      </c>
      <c r="AB49" s="7">
        <f t="shared" si="14"/>
        <v>58.083221235583231</v>
      </c>
      <c r="AC49" s="7">
        <f t="shared" si="15"/>
        <v>58.944752378788536</v>
      </c>
      <c r="AD49" s="7">
        <f t="shared" si="16"/>
        <v>-3.5994498259744268E-2</v>
      </c>
      <c r="AE49" s="7">
        <f t="shared" si="17"/>
        <v>-2.3659526066941741</v>
      </c>
    </row>
    <row r="50" spans="2:31" ht="13.5" thickTop="1" x14ac:dyDescent="0.2">
      <c r="B50" s="1">
        <f>[11]FormattedData!A29</f>
        <v>101</v>
      </c>
      <c r="C50" s="1" t="str">
        <f>VLOOKUP($B50,[11]TrtCodes!$B$11:I72,2)</f>
        <v>FSH</v>
      </c>
      <c r="D50" s="1">
        <f>VLOOKUP($B50,[11]TrtCodes!$B$11:J72,3)</f>
        <v>1</v>
      </c>
      <c r="E50" s="1">
        <f>VLOOKUP($B50,[11]TrtCodes!$B$11:K72,4)</f>
        <v>1</v>
      </c>
      <c r="F50" s="1">
        <f>VLOOKUP($B50,[11]TrtCodes!$B$11:L72,5)</f>
        <v>1</v>
      </c>
      <c r="G50" s="1">
        <f>VLOOKUP($B50,[11]TrtCodes!$B$11:M72,6)</f>
        <v>2</v>
      </c>
      <c r="H50" s="1">
        <f>VLOOKUP($B50,[11]TrtCodes!$B$11:N72,7)</f>
        <v>1</v>
      </c>
      <c r="I50" s="1">
        <f>[11]FormattedData!B29</f>
        <v>2</v>
      </c>
      <c r="J50" s="4">
        <f>[11]FormattedData!C29</f>
        <v>13.263999999999999</v>
      </c>
      <c r="K50" s="6">
        <f>$J$3+[11]FormattedData!D29*$J$4+$M$4*$J$5+[11]FormattedData!D29^2*$J$6+$M$5*$J$7</f>
        <v>30.154003359391062</v>
      </c>
      <c r="L50" s="6">
        <f>$J$3+[11]FormattedData!E29*$J$4+$M$4*$J$5+[11]FormattedData!E29^2*$J$6+$M$5*$J$7</f>
        <v>31.801275505919826</v>
      </c>
      <c r="M50" s="6">
        <f>$J$3+[11]FormattedData!F29*$J$4+$M$4*$J$5+[11]FormattedData!F29^2*$J$6+$M$5*$J$7</f>
        <v>30.736788390505886</v>
      </c>
      <c r="N50" s="6">
        <f>$J$3+[11]FormattedData!G29*$J$4+$M$4*$J$5+[11]FormattedData!G29^2*$J$6+$M$5*$J$7</f>
        <v>31.124466373823804</v>
      </c>
      <c r="O50" s="6">
        <f>$J$3+[11]FormattedData!H29*$J$4+$M$4*$J$5+[11]FormattedData!H29^2*$J$6+$M$5*$J$7</f>
        <v>30.833771289142263</v>
      </c>
      <c r="P50" s="6">
        <f>$J$3+[11]FormattedData!I29*$J$4+$M$4*$J$5+[11]FormattedData!I29^2*$J$6+$M$5*$J$7</f>
        <v>29.667186782002268</v>
      </c>
      <c r="Q50" s="6">
        <f>$J$3+[11]FormattedData!J29*$J$4+$M$4*$J$5+[11]FormattedData!J29^2*$J$6+$M$5*$J$7</f>
        <v>30.056724580989165</v>
      </c>
      <c r="R50" s="6">
        <f>$J$3+[11]FormattedData!K29*$J$4+$M$4*$J$5+[11]FormattedData!K29^2*$J$6+$M$5*$J$7</f>
        <v>31.124466373823804</v>
      </c>
      <c r="S50" s="6">
        <f>$J$3+[11]FormattedData!L29*$J$4+$M$4*$J$5+[11]FormattedData!L29^2*$J$6+$M$5*$J$7</f>
        <v>30.445586083369168</v>
      </c>
      <c r="T50" s="6">
        <f>$J$3+[11]FormattedData!M29*$J$4+$M$4*$J$5+[11]FormattedData!M29^2*$J$6+$M$5*$J$7</f>
        <v>29.667186782002268</v>
      </c>
      <c r="U50" s="6">
        <f>$J$3+[11]FormattedData!N29*$J$4+$M$4*$J$5+[11]FormattedData!N29^2*$J$6+$M$5*$J$7</f>
        <v>30.833771289142263</v>
      </c>
      <c r="V50" s="6">
        <f>$J$3+[11]FormattedData!O29*$J$4+$M$4*$J$5+[11]FormattedData!O29^2*$J$6+$M$5*$J$7</f>
        <v>30.833771289142263</v>
      </c>
      <c r="W50" s="5">
        <f t="shared" si="9"/>
        <v>30.606583174937835</v>
      </c>
      <c r="X50" s="4">
        <f t="shared" si="10"/>
        <v>0.18326823960130631</v>
      </c>
      <c r="Y50" s="3">
        <f t="shared" si="11"/>
        <v>29.667186782002268</v>
      </c>
      <c r="Z50" s="2">
        <f t="shared" si="12"/>
        <v>30.129683664790587</v>
      </c>
      <c r="AA50" s="3">
        <f t="shared" si="13"/>
        <v>30.785279839824074</v>
      </c>
      <c r="AB50" s="2">
        <f t="shared" si="14"/>
        <v>30.906445060312649</v>
      </c>
      <c r="AC50" s="2">
        <f t="shared" si="15"/>
        <v>31.801275505919826</v>
      </c>
      <c r="AD50" s="2">
        <f t="shared" si="16"/>
        <v>4.2319607420944032E-2</v>
      </c>
      <c r="AE50" s="2">
        <f t="shared" si="17"/>
        <v>-0.26887217095043825</v>
      </c>
    </row>
    <row r="51" spans="2:31" x14ac:dyDescent="0.2">
      <c r="B51" s="1">
        <f>[11]FormattedData!A27</f>
        <v>102</v>
      </c>
      <c r="C51" s="1" t="str">
        <f>VLOOKUP($B51,[11]TrtCodes!$B$11:I70,2)</f>
        <v>FTL</v>
      </c>
      <c r="D51" s="1">
        <f>VLOOKUP($B51,[11]TrtCodes!$B$11:J70,3)</f>
        <v>4</v>
      </c>
      <c r="E51" s="1">
        <f>VLOOKUP($B51,[11]TrtCodes!$B$11:K70,4)</f>
        <v>1</v>
      </c>
      <c r="F51" s="1">
        <f>VLOOKUP($B51,[11]TrtCodes!$B$11:L70,5)</f>
        <v>2</v>
      </c>
      <c r="G51" s="1">
        <f>VLOOKUP($B51,[11]TrtCodes!$B$11:M70,6)</f>
        <v>1</v>
      </c>
      <c r="H51" s="1">
        <f>VLOOKUP($B51,[11]TrtCodes!$B$11:N70,7)</f>
        <v>1</v>
      </c>
      <c r="I51" s="1">
        <f>[11]FormattedData!B27</f>
        <v>2</v>
      </c>
      <c r="J51" s="4">
        <f>[11]FormattedData!C27</f>
        <v>13.244999999999999</v>
      </c>
      <c r="K51" s="6">
        <f>$J$3+[11]FormattedData!D27*$J$4+$M$4*$J$5+[11]FormattedData!D27^2*$J$6+$M$5*$J$7</f>
        <v>32.090702534463439</v>
      </c>
      <c r="L51" s="6">
        <f>$J$3+[11]FormattedData!E27*$J$4+$M$4*$J$5+[11]FormattedData!E27^2*$J$6+$M$5*$J$7</f>
        <v>30.056724580989165</v>
      </c>
      <c r="M51" s="6">
        <f>$J$3+[11]FormattedData!F27*$J$4+$M$4*$J$5+[11]FormattedData!F27^2*$J$6+$M$5*$J$7</f>
        <v>30.639763223331574</v>
      </c>
      <c r="N51" s="6">
        <f>$J$3+[11]FormattedData!G27*$J$4+$M$4*$J$5+[11]FormattedData!G27^2*$J$6+$M$5*$J$7</f>
        <v>29.667186782002268</v>
      </c>
      <c r="O51" s="6">
        <f>$J$3+[11]FormattedData!H27*$J$4+$M$4*$J$5+[11]FormattedData!H27^2*$J$6+$M$5*$J$7</f>
        <v>28.788254024812787</v>
      </c>
      <c r="P51" s="6">
        <f>$J$3+[11]FormattedData!I27*$J$4+$M$4*$J$5+[11]FormattedData!I27^2*$J$6+$M$5*$J$7</f>
        <v>31.801275505919826</v>
      </c>
      <c r="Q51" s="6">
        <f>$J$3+[11]FormattedData!J27*$J$4+$M$4*$J$5+[11]FormattedData!J27^2*$J$6+$M$5*$J$7</f>
        <v>31.994269126820171</v>
      </c>
      <c r="R51" s="6">
        <f>$J$3+[11]FormattedData!K27*$J$4+$M$4*$J$5+[11]FormattedData!K27^2*$J$6+$M$5*$J$7</f>
        <v>30.154003359391062</v>
      </c>
      <c r="S51" s="6">
        <f>$J$3+[11]FormattedData!L27*$J$4+$M$4*$J$5+[11]FormattedData!L27^2*$J$6+$M$5*$J$7</f>
        <v>31.801275505919826</v>
      </c>
      <c r="T51" s="6">
        <f>$J$3+[11]FormattedData!M27*$J$4+$M$4*$J$5+[11]FormattedData!M27^2*$J$6+$M$5*$J$7</f>
        <v>29.764634634555893</v>
      </c>
      <c r="U51" s="6">
        <f>$J$3+[11]FormattedData!N27*$J$4+$M$4*$J$5+[11]FormattedData!N27^2*$J$6+$M$5*$J$7</f>
        <v>31.221280198308463</v>
      </c>
      <c r="V51" s="6">
        <f>$J$3+[11]FormattedData!O27*$J$4+$M$4*$J$5+[11]FormattedData!O27^2*$J$6+$M$5*$J$7</f>
        <v>29.179313491165203</v>
      </c>
      <c r="W51" s="5">
        <f t="shared" si="9"/>
        <v>30.596556913973302</v>
      </c>
      <c r="X51" s="4">
        <f t="shared" si="10"/>
        <v>0.33487384191585157</v>
      </c>
      <c r="Y51" s="3">
        <f t="shared" si="11"/>
        <v>28.788254024812787</v>
      </c>
      <c r="Z51" s="2">
        <f t="shared" si="12"/>
        <v>29.740272671417486</v>
      </c>
      <c r="AA51" s="3">
        <f t="shared" si="13"/>
        <v>30.39688329136132</v>
      </c>
      <c r="AB51" s="2">
        <f t="shared" si="14"/>
        <v>31.801275505919826</v>
      </c>
      <c r="AC51" s="2">
        <f t="shared" si="15"/>
        <v>32.090702534463439</v>
      </c>
      <c r="AD51" s="2">
        <f t="shared" si="16"/>
        <v>-4.0195091122816162E-2</v>
      </c>
      <c r="AE51" s="2">
        <f t="shared" si="17"/>
        <v>-1.488886326944177</v>
      </c>
    </row>
    <row r="52" spans="2:31" x14ac:dyDescent="0.2">
      <c r="B52" s="1">
        <f>[11]FormattedData!A25</f>
        <v>103</v>
      </c>
      <c r="C52" s="1" t="str">
        <f>VLOOKUP($B52,[11]TrtCodes!$B$11:I68,2)</f>
        <v>FDH</v>
      </c>
      <c r="D52" s="1">
        <f>VLOOKUP($B52,[11]TrtCodes!$B$11:J68,3)</f>
        <v>5</v>
      </c>
      <c r="E52" s="1">
        <f>VLOOKUP($B52,[11]TrtCodes!$B$11:K68,4)</f>
        <v>1</v>
      </c>
      <c r="F52" s="1">
        <f>VLOOKUP($B52,[11]TrtCodes!$B$11:L68,5)</f>
        <v>3</v>
      </c>
      <c r="G52" s="1">
        <f>VLOOKUP($B52,[11]TrtCodes!$B$11:M68,6)</f>
        <v>2</v>
      </c>
      <c r="H52" s="1">
        <f>VLOOKUP($B52,[11]TrtCodes!$B$11:N68,7)</f>
        <v>1</v>
      </c>
      <c r="I52" s="1">
        <f>[11]FormattedData!B25</f>
        <v>2</v>
      </c>
      <c r="J52" s="4">
        <f>[11]FormattedData!C25</f>
        <v>13.227</v>
      </c>
      <c r="K52" s="6">
        <f>$J$3+[11]FormattedData!D25*$J$4+$M$4*$J$5+[11]FormattedData!D25^2*$J$6+$M$5*$J$7</f>
        <v>30.056724580989165</v>
      </c>
      <c r="L52" s="6">
        <f>$J$3+[11]FormattedData!E25*$J$4+$M$4*$J$5+[11]FormattedData!E25^2*$J$6+$M$5*$J$7</f>
        <v>29.764634634555893</v>
      </c>
      <c r="M52" s="6">
        <f>$J$3+[11]FormattedData!F25*$J$4+$M$4*$J$5+[11]FormattedData!F25^2*$J$6+$M$5*$J$7</f>
        <v>31.221280198308463</v>
      </c>
      <c r="N52" s="6">
        <f>$J$3+[11]FormattedData!G25*$J$4+$M$4*$J$5+[11]FormattedData!G25^2*$J$6+$M$5*$J$7</f>
        <v>28.983868295064859</v>
      </c>
      <c r="O52" s="6">
        <f>$J$3+[11]FormattedData!H25*$J$4+$M$4*$J$5+[11]FormattedData!H25^2*$J$6+$M$5*$J$7</f>
        <v>31.897793450638964</v>
      </c>
      <c r="P52" s="6">
        <f>$J$3+[11]FormattedData!I25*$J$4+$M$4*$J$5+[11]FormattedData!I25^2*$J$6+$M$5*$J$7</f>
        <v>31.608112810867766</v>
      </c>
      <c r="Q52" s="6">
        <f>$J$3+[11]FormattedData!J25*$J$4+$M$4*$J$5+[11]FormattedData!J25^2*$J$6+$M$5*$J$7</f>
        <v>31.897793450638964</v>
      </c>
      <c r="R52" s="6">
        <f>$J$3+[11]FormattedData!K25*$J$4+$M$4*$J$5+[11]FormattedData!K25^2*$J$6+$M$5*$J$7</f>
        <v>29.764634634555893</v>
      </c>
      <c r="S52" s="6">
        <f>$J$3+[11]FormattedData!L25*$J$4+$M$4*$J$5+[11]FormattedData!L25^2*$J$6+$M$5*$J$7</f>
        <v>28.788254024812787</v>
      </c>
      <c r="T52" s="6">
        <f>$J$3+[11]FormattedData!M25*$J$4+$M$4*$J$5+[11]FormattedData!M25^2*$J$6+$M$5*$J$7</f>
        <v>31.994269126820171</v>
      </c>
      <c r="U52" s="6">
        <f>$J$3+[11]FormattedData!N25*$J$4+$M$4*$J$5+[11]FormattedData!N25^2*$J$6+$M$5*$J$7</f>
        <v>30.930711919240711</v>
      </c>
      <c r="V52" s="6">
        <f>$J$3+[11]FormattedData!O25*$J$4+$M$4*$J$5+[11]FormattedData!O25^2*$J$6+$M$5*$J$7</f>
        <v>30.445586083369168</v>
      </c>
      <c r="W52" s="5">
        <f t="shared" si="9"/>
        <v>30.612805267488572</v>
      </c>
      <c r="X52" s="4">
        <f t="shared" si="10"/>
        <v>0.33064643836362251</v>
      </c>
      <c r="Y52" s="3">
        <f t="shared" si="11"/>
        <v>28.788254024812787</v>
      </c>
      <c r="Z52" s="2">
        <f t="shared" si="12"/>
        <v>29.764634634555893</v>
      </c>
      <c r="AA52" s="3">
        <f t="shared" si="13"/>
        <v>30.688149001304939</v>
      </c>
      <c r="AB52" s="2">
        <f t="shared" si="14"/>
        <v>31.680532970810567</v>
      </c>
      <c r="AC52" s="2">
        <f t="shared" si="15"/>
        <v>31.994269126820171</v>
      </c>
      <c r="AD52" s="2">
        <f t="shared" si="16"/>
        <v>-0.26641887085649929</v>
      </c>
      <c r="AE52" s="2">
        <f t="shared" si="17"/>
        <v>-1.334538071769253</v>
      </c>
    </row>
    <row r="53" spans="2:31" x14ac:dyDescent="0.2">
      <c r="B53" s="1">
        <f>[11]FormattedData!A23</f>
        <v>104</v>
      </c>
      <c r="C53" s="1" t="str">
        <f>VLOOKUP($B53,[11]TrtCodes!$B$11:I66,2)</f>
        <v>NTL</v>
      </c>
      <c r="D53" s="1">
        <f>VLOOKUP($B53,[11]TrtCodes!$B$11:J66,3)</f>
        <v>10</v>
      </c>
      <c r="E53" s="1">
        <f>VLOOKUP($B53,[11]TrtCodes!$B$11:K66,4)</f>
        <v>2</v>
      </c>
      <c r="F53" s="1">
        <f>VLOOKUP($B53,[11]TrtCodes!$B$11:L66,5)</f>
        <v>2</v>
      </c>
      <c r="G53" s="1">
        <f>VLOOKUP($B53,[11]TrtCodes!$B$11:M66,6)</f>
        <v>1</v>
      </c>
      <c r="H53" s="1">
        <f>VLOOKUP($B53,[11]TrtCodes!$B$11:N66,7)</f>
        <v>1</v>
      </c>
      <c r="I53" s="1">
        <f>[11]FormattedData!B23</f>
        <v>2</v>
      </c>
      <c r="J53" s="4">
        <f>[11]FormattedData!C23</f>
        <v>13.21</v>
      </c>
      <c r="K53" s="6">
        <f>$J$3+[11]FormattedData!D23*$J$4+$M$4*$J$5+[11]FormattedData!D23^2*$J$6+$M$5*$J$7</f>
        <v>29.667186782002268</v>
      </c>
      <c r="L53" s="6">
        <f>$J$3+[11]FormattedData!E23*$J$4+$M$4*$J$5+[11]FormattedData!E23^2*$J$6+$M$5*$J$7</f>
        <v>31.124466373823804</v>
      </c>
      <c r="M53" s="6">
        <f>$J$3+[11]FormattedData!F23*$J$4+$M$4*$J$5+[11]FormattedData!F23^2*$J$6+$M$5*$J$7</f>
        <v>30.154003359391062</v>
      </c>
      <c r="N53" s="6">
        <f>$J$3+[11]FormattedData!G23*$J$4+$M$4*$J$5+[11]FormattedData!G23^2*$J$6+$M$5*$J$7</f>
        <v>30.736788390505886</v>
      </c>
      <c r="O53" s="6">
        <f>$J$3+[11]FormattedData!H23*$J$4+$M$4*$J$5+[11]FormattedData!H23^2*$J$6+$M$5*$J$7</f>
        <v>32.187093673568782</v>
      </c>
      <c r="P53" s="6">
        <f>$J$3+[11]FormattedData!I23*$J$4+$M$4*$J$5+[11]FormattedData!I23^2*$J$6+$M$5*$J$7</f>
        <v>31.897793450638964</v>
      </c>
      <c r="Q53" s="6">
        <f>$J$3+[11]FormattedData!J23*$J$4+$M$4*$J$5+[11]FormattedData!J23^2*$J$6+$M$5*$J$7</f>
        <v>29.764634634555893</v>
      </c>
      <c r="R53" s="6">
        <f>$J$3+[11]FormattedData!K23*$J$4+$M$4*$J$5+[11]FormattedData!K23^2*$J$6+$M$5*$J$7</f>
        <v>30.639763223331574</v>
      </c>
      <c r="S53" s="6">
        <f>$J$3+[11]FormattedData!L23*$J$4+$M$4*$J$5+[11]FormattedData!L23^2*$J$6+$M$5*$J$7</f>
        <v>31.994269126820171</v>
      </c>
      <c r="T53" s="6">
        <f>$J$3+[11]FormattedData!M23*$J$4+$M$4*$J$5+[11]FormattedData!M23^2*$J$6+$M$5*$J$7</f>
        <v>30.34843411058106</v>
      </c>
      <c r="U53" s="6">
        <f>$J$3+[11]FormattedData!N23*$J$4+$M$4*$J$5+[11]FormattedData!N23^2*$J$6+$M$5*$J$7</f>
        <v>31.511468060534835</v>
      </c>
      <c r="V53" s="6">
        <f>$J$3+[11]FormattedData!O23*$J$4+$M$4*$J$5+[11]FormattedData!O23^2*$J$6+$M$5*$J$7</f>
        <v>31.31805175425518</v>
      </c>
      <c r="W53" s="5">
        <f t="shared" si="9"/>
        <v>30.945329411667462</v>
      </c>
      <c r="X53" s="4">
        <f t="shared" si="10"/>
        <v>0.24905876500499788</v>
      </c>
      <c r="Y53" s="3">
        <f t="shared" si="11"/>
        <v>29.667186782002268</v>
      </c>
      <c r="Z53" s="2">
        <f t="shared" si="12"/>
        <v>30.299826422783561</v>
      </c>
      <c r="AA53" s="3">
        <f t="shared" si="13"/>
        <v>30.930627382164843</v>
      </c>
      <c r="AB53" s="2">
        <f t="shared" si="14"/>
        <v>31.608049408060868</v>
      </c>
      <c r="AC53" s="2">
        <f t="shared" si="15"/>
        <v>32.187093673568782</v>
      </c>
      <c r="AD53" s="2">
        <f t="shared" si="16"/>
        <v>-5.2288811523803123E-2</v>
      </c>
      <c r="AE53" s="2">
        <f t="shared" si="17"/>
        <v>-1.2814925789773821</v>
      </c>
    </row>
    <row r="54" spans="2:31" x14ac:dyDescent="0.2">
      <c r="B54" s="1">
        <f>[11]FormattedData!A21</f>
        <v>105</v>
      </c>
      <c r="C54" s="1" t="str">
        <f>VLOOKUP($B54,[11]TrtCodes!$B$11:I64,2)</f>
        <v>NDL</v>
      </c>
      <c r="D54" s="1">
        <f>VLOOKUP($B54,[11]TrtCodes!$B$11:J64,3)</f>
        <v>12</v>
      </c>
      <c r="E54" s="1">
        <f>VLOOKUP($B54,[11]TrtCodes!$B$11:K64,4)</f>
        <v>2</v>
      </c>
      <c r="F54" s="1">
        <f>VLOOKUP($B54,[11]TrtCodes!$B$11:L64,5)</f>
        <v>3</v>
      </c>
      <c r="G54" s="1">
        <f>VLOOKUP($B54,[11]TrtCodes!$B$11:M64,6)</f>
        <v>1</v>
      </c>
      <c r="H54" s="1">
        <f>VLOOKUP($B54,[11]TrtCodes!$B$11:N64,7)</f>
        <v>2</v>
      </c>
      <c r="I54" s="1">
        <f>[11]FormattedData!B21</f>
        <v>2</v>
      </c>
      <c r="J54" s="4">
        <f>[11]FormattedData!C21</f>
        <v>13.191000000000001</v>
      </c>
      <c r="K54" s="6">
        <f>$J$3+[11]FormattedData!D21*$J$4+$M$4*$J$5+[11]FormattedData!D21^2*$J$6+$M$5*$J$7</f>
        <v>30.736788390505886</v>
      </c>
      <c r="L54" s="6">
        <f>$J$3+[11]FormattedData!E21*$J$4+$M$4*$J$5+[11]FormattedData!E21^2*$J$6+$M$5*$J$7</f>
        <v>29.862040218571579</v>
      </c>
      <c r="M54" s="6">
        <f>$J$3+[11]FormattedData!F21*$J$4+$M$4*$J$5+[11]FormattedData!F21^2*$J$6+$M$5*$J$7</f>
        <v>31.027610280801223</v>
      </c>
      <c r="N54" s="6">
        <f>$J$3+[11]FormattedData!G21*$J$4+$M$4*$J$5+[11]FormattedData!G21^2*$J$6+$M$5*$J$7</f>
        <v>30.251239869255031</v>
      </c>
      <c r="O54" s="6">
        <f>$J$3+[11]FormattedData!H21*$J$4+$M$4*$J$5+[11]FormattedData!H21^2*$J$6+$M$5*$J$7</f>
        <v>31.994269126820171</v>
      </c>
      <c r="P54" s="6">
        <f>$J$3+[11]FormattedData!I21*$J$4+$M$4*$J$5+[11]FormattedData!I21^2*$J$6+$M$5*$J$7</f>
        <v>30.542695787619337</v>
      </c>
      <c r="Q54" s="6">
        <f>$J$3+[11]FormattedData!J21*$J$4+$M$4*$J$5+[11]FormattedData!J21^2*$J$6+$M$5*$J$7</f>
        <v>29.764634634555893</v>
      </c>
      <c r="R54" s="6">
        <f>$J$3+[11]FormattedData!K21*$J$4+$M$4*$J$5+[11]FormattedData!K21^2*$J$6+$M$5*$J$7</f>
        <v>32.956701119045995</v>
      </c>
      <c r="S54" s="6">
        <f>$J$3+[11]FormattedData!L21*$J$4+$M$4*$J$5+[11]FormattedData!L21^2*$J$6+$M$5*$J$7</f>
        <v>32.860648128244101</v>
      </c>
      <c r="T54" s="6">
        <f>$J$3+[11]FormattedData!M21*$J$4+$M$4*$J$5+[11]FormattedData!M21^2*$J$6+$M$5*$J$7</f>
        <v>30.930711919240711</v>
      </c>
      <c r="U54" s="6">
        <f>$J$3+[11]FormattedData!N21*$J$4+$M$4*$J$5+[11]FormattedData!N21^2*$J$6+$M$5*$J$7</f>
        <v>30.34843411058106</v>
      </c>
      <c r="V54" s="6">
        <f>$J$3+[11]FormattedData!O21*$J$4+$M$4*$J$5+[11]FormattedData!O21^2*$J$6+$M$5*$J$7</f>
        <v>29.569696660910722</v>
      </c>
      <c r="W54" s="5">
        <f t="shared" si="9"/>
        <v>30.90378918717931</v>
      </c>
      <c r="X54" s="4">
        <f t="shared" si="10"/>
        <v>0.32918841627920409</v>
      </c>
      <c r="Y54" s="3">
        <f t="shared" si="11"/>
        <v>29.569696660910722</v>
      </c>
      <c r="Z54" s="2">
        <f t="shared" si="12"/>
        <v>30.153939956584168</v>
      </c>
      <c r="AA54" s="3">
        <f t="shared" si="13"/>
        <v>30.639742089062612</v>
      </c>
      <c r="AB54" s="2">
        <f t="shared" si="14"/>
        <v>31.269274992305959</v>
      </c>
      <c r="AC54" s="2">
        <f t="shared" si="15"/>
        <v>32.956701119045995</v>
      </c>
      <c r="AD54" s="2">
        <f t="shared" si="16"/>
        <v>0.87984883418489723</v>
      </c>
      <c r="AE54" s="2">
        <f t="shared" si="17"/>
        <v>-0.29071950422707893</v>
      </c>
    </row>
    <row r="55" spans="2:31" x14ac:dyDescent="0.2">
      <c r="B55" s="1">
        <f>[11]FormattedData!A19</f>
        <v>106</v>
      </c>
      <c r="C55" s="1" t="str">
        <f>VLOOKUP($B55,[11]TrtCodes!$B$11:I62,2)</f>
        <v>NTH</v>
      </c>
      <c r="D55" s="1">
        <f>VLOOKUP($B55,[11]TrtCodes!$B$11:J62,3)</f>
        <v>9</v>
      </c>
      <c r="E55" s="1">
        <f>VLOOKUP($B55,[11]TrtCodes!$B$11:K62,4)</f>
        <v>2</v>
      </c>
      <c r="F55" s="1">
        <f>VLOOKUP($B55,[11]TrtCodes!$B$11:L62,5)</f>
        <v>2</v>
      </c>
      <c r="G55" s="1">
        <f>VLOOKUP($B55,[11]TrtCodes!$B$11:M62,6)</f>
        <v>2</v>
      </c>
      <c r="H55" s="1">
        <f>VLOOKUP($B55,[11]TrtCodes!$B$11:N62,7)</f>
        <v>2</v>
      </c>
      <c r="I55" s="1">
        <f>[11]FormattedData!B19</f>
        <v>2</v>
      </c>
      <c r="J55" s="4">
        <f>[11]FormattedData!C19</f>
        <v>13.172000000000001</v>
      </c>
      <c r="K55" s="6">
        <f>$J$3+[11]FormattedData!D19*$J$4+$M$4*$J$5+[11]FormattedData!D19^2*$J$6+$M$5*$J$7</f>
        <v>30.445586083369168</v>
      </c>
      <c r="L55" s="6">
        <f>$J$3+[11]FormattedData!E19*$J$4+$M$4*$J$5+[11]FormattedData!E19^2*$J$6+$M$5*$J$7</f>
        <v>31.027610280801223</v>
      </c>
      <c r="M55" s="6">
        <f>$J$3+[11]FormattedData!F19*$J$4+$M$4*$J$5+[11]FormattedData!F19^2*$J$6+$M$5*$J$7</f>
        <v>29.667186782002268</v>
      </c>
      <c r="N55" s="6">
        <f>$J$3+[11]FormattedData!G19*$J$4+$M$4*$J$5+[11]FormattedData!G19^2*$J$6+$M$5*$J$7</f>
        <v>30.34843411058106</v>
      </c>
      <c r="O55" s="6">
        <f>$J$3+[11]FormattedData!H19*$J$4+$M$4*$J$5+[11]FormattedData!H19^2*$J$6+$M$5*$J$7</f>
        <v>30.833771289142263</v>
      </c>
      <c r="P55" s="6">
        <f>$J$3+[11]FormattedData!I19*$J$4+$M$4*$J$5+[11]FormattedData!I19^2*$J$6+$M$5*$J$7</f>
        <v>29.764634634555893</v>
      </c>
      <c r="Q55" s="6">
        <f>$J$3+[11]FormattedData!J19*$J$4+$M$4*$J$5+[11]FormattedData!J19^2*$J$6+$M$5*$J$7</f>
        <v>29.374589613113823</v>
      </c>
      <c r="R55" s="6">
        <f>$J$3+[11]FormattedData!K19*$J$4+$M$4*$J$5+[11]FormattedData!K19^2*$J$6+$M$5*$J$7</f>
        <v>30.154003359391062</v>
      </c>
      <c r="S55" s="6">
        <f>$J$3+[11]FormattedData!L19*$J$4+$M$4*$J$5+[11]FormattedData!L19^2*$J$6+$M$5*$J$7</f>
        <v>30.34843411058106</v>
      </c>
      <c r="T55" s="6">
        <f>$J$3+[11]FormattedData!M19*$J$4+$M$4*$J$5+[11]FormattedData!M19^2*$J$6+$M$5*$J$7</f>
        <v>30.154003359391062</v>
      </c>
      <c r="U55" s="6">
        <f>$J$3+[11]FormattedData!N19*$J$4+$M$4*$J$5+[11]FormattedData!N19^2*$J$6+$M$5*$J$7</f>
        <v>31.414781041663979</v>
      </c>
      <c r="V55" s="6">
        <f>$J$3+[11]FormattedData!O19*$J$4+$M$4*$J$5+[11]FormattedData!O19^2*$J$6+$M$5*$J$7</f>
        <v>30.542695787619337</v>
      </c>
      <c r="W55" s="5">
        <f t="shared" si="9"/>
        <v>30.339644204351018</v>
      </c>
      <c r="X55" s="4">
        <f t="shared" si="10"/>
        <v>0.16762775928737964</v>
      </c>
      <c r="Y55" s="3">
        <f t="shared" si="11"/>
        <v>29.374589613113823</v>
      </c>
      <c r="Z55" s="2">
        <f t="shared" si="12"/>
        <v>30.056661178182271</v>
      </c>
      <c r="AA55" s="3">
        <f t="shared" si="13"/>
        <v>30.34843411058106</v>
      </c>
      <c r="AB55" s="2">
        <f t="shared" si="14"/>
        <v>30.615464663000068</v>
      </c>
      <c r="AC55" s="2">
        <f t="shared" si="15"/>
        <v>31.414781041663979</v>
      </c>
      <c r="AD55" s="2">
        <f t="shared" si="16"/>
        <v>0.16314135842694877</v>
      </c>
      <c r="AE55" s="2">
        <f t="shared" si="17"/>
        <v>-0.14556681224941981</v>
      </c>
    </row>
    <row r="56" spans="2:31" x14ac:dyDescent="0.2">
      <c r="B56" s="1">
        <f>[11]FormattedData!A17</f>
        <v>107</v>
      </c>
      <c r="C56" s="1" t="str">
        <f>VLOOKUP($B56,[11]TrtCodes!$B$11:I60,2)</f>
        <v>NTL</v>
      </c>
      <c r="D56" s="1">
        <f>VLOOKUP($B56,[11]TrtCodes!$B$11:J60,3)</f>
        <v>10</v>
      </c>
      <c r="E56" s="1">
        <f>VLOOKUP($B56,[11]TrtCodes!$B$11:K60,4)</f>
        <v>2</v>
      </c>
      <c r="F56" s="1">
        <f>VLOOKUP($B56,[11]TrtCodes!$B$11:L60,5)</f>
        <v>2</v>
      </c>
      <c r="G56" s="1">
        <f>VLOOKUP($B56,[11]TrtCodes!$B$11:M60,6)</f>
        <v>1</v>
      </c>
      <c r="H56" s="1">
        <f>VLOOKUP($B56,[11]TrtCodes!$B$11:N60,7)</f>
        <v>2</v>
      </c>
      <c r="I56" s="1">
        <f>[11]FormattedData!B17</f>
        <v>2</v>
      </c>
      <c r="J56" s="4">
        <f>[11]FormattedData!C17</f>
        <v>13.154999999999999</v>
      </c>
      <c r="K56" s="6">
        <f>$J$3+[11]FormattedData!D17*$J$4+$M$4*$J$5+[11]FormattedData!D17^2*$J$6+$M$5*$J$7</f>
        <v>30.833771289142263</v>
      </c>
      <c r="L56" s="6">
        <f>$J$3+[11]FormattedData!E17*$J$4+$M$4*$J$5+[11]FormattedData!E17^2*$J$6+$M$5*$J$7</f>
        <v>30.639763223331574</v>
      </c>
      <c r="M56" s="6">
        <f>$J$3+[11]FormattedData!F17*$J$4+$M$4*$J$5+[11]FormattedData!F17^2*$J$6+$M$5*$J$7</f>
        <v>32.956701119045995</v>
      </c>
      <c r="N56" s="6">
        <f>$J$3+[11]FormattedData!G17*$J$4+$M$4*$J$5+[11]FormattedData!G17^2*$J$6+$M$5*$J$7</f>
        <v>30.34843411058106</v>
      </c>
      <c r="O56" s="6">
        <f>$J$3+[11]FormattedData!H17*$J$4+$M$4*$J$5+[11]FormattedData!H17^2*$J$6+$M$5*$J$7</f>
        <v>30.639763223331574</v>
      </c>
      <c r="P56" s="6">
        <f>$J$3+[11]FormattedData!I17*$J$4+$M$4*$J$5+[11]FormattedData!I17^2*$J$6+$M$5*$J$7</f>
        <v>30.736788390505886</v>
      </c>
      <c r="Q56" s="6">
        <f>$J$3+[11]FormattedData!J17*$J$4+$M$4*$J$5+[11]FormattedData!J17^2*$J$6+$M$5*$J$7</f>
        <v>30.833771289142263</v>
      </c>
      <c r="R56" s="6">
        <f>$J$3+[11]FormattedData!K17*$J$4+$M$4*$J$5+[11]FormattedData!K17^2*$J$6+$M$5*$J$7</f>
        <v>31.511468060534835</v>
      </c>
      <c r="S56" s="6">
        <f>$J$3+[11]FormattedData!L17*$J$4+$M$4*$J$5+[11]FormattedData!L17^2*$J$6+$M$5*$J$7</f>
        <v>32.476013479657226</v>
      </c>
      <c r="T56" s="6">
        <f>$J$3+[11]FormattedData!M17*$J$4+$M$4*$J$5+[11]FormattedData!M17^2*$J$6+$M$5*$J$7</f>
        <v>32.090702534463439</v>
      </c>
      <c r="U56" s="6">
        <f>$J$3+[11]FormattedData!N17*$J$4+$M$4*$J$5+[11]FormattedData!N17^2*$J$6+$M$5*$J$7</f>
        <v>30.445586083369168</v>
      </c>
      <c r="V56" s="6">
        <f>$J$3+[11]FormattedData!O17*$J$4+$M$4*$J$5+[11]FormattedData!O17^2*$J$6+$M$5*$J$7</f>
        <v>30.639763223331574</v>
      </c>
      <c r="W56" s="5">
        <f t="shared" si="9"/>
        <v>31.179377168869735</v>
      </c>
      <c r="X56" s="4">
        <f t="shared" si="10"/>
        <v>0.25103092676634103</v>
      </c>
      <c r="Y56" s="3">
        <f t="shared" si="11"/>
        <v>30.34843411058106</v>
      </c>
      <c r="Z56" s="2">
        <f t="shared" si="12"/>
        <v>30.639763223331574</v>
      </c>
      <c r="AA56" s="3">
        <f t="shared" si="13"/>
        <v>30.785279839824074</v>
      </c>
      <c r="AB56" s="2">
        <f t="shared" si="14"/>
        <v>31.656276679016987</v>
      </c>
      <c r="AC56" s="2">
        <f t="shared" si="15"/>
        <v>32.956701119045995</v>
      </c>
      <c r="AD56" s="2">
        <f t="shared" si="16"/>
        <v>1.157678352708974</v>
      </c>
      <c r="AE56" s="2">
        <f t="shared" si="17"/>
        <v>-1.1508708586456251E-2</v>
      </c>
    </row>
    <row r="57" spans="2:31" x14ac:dyDescent="0.2">
      <c r="B57" s="1">
        <f>[11]FormattedData!A15</f>
        <v>108</v>
      </c>
      <c r="C57" s="1" t="str">
        <f>VLOOKUP($B57,[11]TrtCodes!$B$11:I58,2)</f>
        <v>FTH</v>
      </c>
      <c r="D57" s="1">
        <f>VLOOKUP($B57,[11]TrtCodes!$B$11:J58,3)</f>
        <v>3</v>
      </c>
      <c r="E57" s="1">
        <f>VLOOKUP($B57,[11]TrtCodes!$B$11:K58,4)</f>
        <v>1</v>
      </c>
      <c r="F57" s="1">
        <f>VLOOKUP($B57,[11]TrtCodes!$B$11:L58,5)</f>
        <v>2</v>
      </c>
      <c r="G57" s="1">
        <f>VLOOKUP($B57,[11]TrtCodes!$B$11:M58,6)</f>
        <v>2</v>
      </c>
      <c r="H57" s="1">
        <f>VLOOKUP($B57,[11]TrtCodes!$B$11:N58,7)</f>
        <v>2</v>
      </c>
      <c r="I57" s="1">
        <f>[11]FormattedData!B15</f>
        <v>2</v>
      </c>
      <c r="J57" s="4">
        <f>[11]FormattedData!C15</f>
        <v>13.132999999999999</v>
      </c>
      <c r="K57" s="6">
        <f>$J$3+[11]FormattedData!D15*$J$4+$M$4*$J$5+[11]FormattedData!D15^2*$J$6+$M$5*$J$7</f>
        <v>32.283442544136186</v>
      </c>
      <c r="L57" s="6">
        <f>$J$3+[11]FormattedData!E15*$J$4+$M$4*$J$5+[11]FormattedData!E15^2*$J$6+$M$5*$J$7</f>
        <v>30.056724580989165</v>
      </c>
      <c r="M57" s="6">
        <f>$J$3+[11]FormattedData!F15*$J$4+$M$4*$J$5+[11]FormattedData!F15^2*$J$6+$M$5*$J$7</f>
        <v>30.34843411058106</v>
      </c>
      <c r="N57" s="6">
        <f>$J$3+[11]FormattedData!G15*$J$4+$M$4*$J$5+[11]FormattedData!G15^2*$J$6+$M$5*$J$7</f>
        <v>30.930711919240711</v>
      </c>
      <c r="O57" s="6">
        <f>$J$3+[11]FormattedData!H15*$J$4+$M$4*$J$5+[11]FormattedData!H15^2*$J$6+$M$5*$J$7</f>
        <v>33.532131424560795</v>
      </c>
      <c r="P57" s="6">
        <f>$J$3+[11]FormattedData!I15*$J$4+$M$4*$J$5+[11]FormattedData!I15^2*$J$6+$M$5*$J$7</f>
        <v>31.704715292662762</v>
      </c>
      <c r="Q57" s="6">
        <f>$J$3+[11]FormattedData!J15*$J$4+$M$4*$J$5+[11]FormattedData!J15^2*$J$6+$M$5*$J$7</f>
        <v>33.052711841309957</v>
      </c>
      <c r="R57" s="6">
        <f>$J$3+[11]FormattedData!K15*$J$4+$M$4*$J$5+[11]FormattedData!K15^2*$J$6+$M$5*$J$7</f>
        <v>31.124466373823804</v>
      </c>
      <c r="S57" s="6">
        <f>$J$3+[11]FormattedData!L15*$J$4+$M$4*$J$5+[11]FormattedData!L15^2*$J$6+$M$5*$J$7</f>
        <v>29.081612027383997</v>
      </c>
      <c r="T57" s="6">
        <f>$J$3+[11]FormattedData!M15*$J$4+$M$4*$J$5+[11]FormattedData!M15^2*$J$6+$M$5*$J$7</f>
        <v>30.930711919240711</v>
      </c>
      <c r="U57" s="6">
        <f>$J$3+[11]FormattedData!N15*$J$4+$M$4*$J$5+[11]FormattedData!N15^2*$J$6+$M$5*$J$7</f>
        <v>29.472164271281237</v>
      </c>
      <c r="V57" s="6">
        <f>$J$3+[11]FormattedData!O15*$J$4+$M$4*$J$5+[11]FormattedData!O15^2*$J$6+$M$5*$J$7</f>
        <v>29.374589613113823</v>
      </c>
      <c r="W57" s="5">
        <f t="shared" si="9"/>
        <v>30.99103465986035</v>
      </c>
      <c r="X57" s="4">
        <f t="shared" si="10"/>
        <v>0.41527695091330785</v>
      </c>
      <c r="Y57" s="3">
        <f t="shared" si="11"/>
        <v>29.081612027383997</v>
      </c>
      <c r="Z57" s="2">
        <f t="shared" si="12"/>
        <v>29.910584503562184</v>
      </c>
      <c r="AA57" s="3">
        <f t="shared" si="13"/>
        <v>30.930711919240711</v>
      </c>
      <c r="AB57" s="2">
        <f t="shared" si="14"/>
        <v>31.849397105531118</v>
      </c>
      <c r="AC57" s="2">
        <f t="shared" si="15"/>
        <v>33.532131424560795</v>
      </c>
      <c r="AD57" s="2">
        <f t="shared" si="16"/>
        <v>0.43700120076223514</v>
      </c>
      <c r="AE57" s="2">
        <f t="shared" si="17"/>
        <v>-0.75183168526659738</v>
      </c>
    </row>
    <row r="58" spans="2:31" x14ac:dyDescent="0.2">
      <c r="B58" s="1">
        <f>[11]FormattedData!A31</f>
        <v>201</v>
      </c>
      <c r="C58" s="1" t="str">
        <f>VLOOKUP($B58,[11]TrtCodes!$B$11:I74,2)</f>
        <v>NDL</v>
      </c>
      <c r="D58" s="1">
        <f>VLOOKUP($B58,[11]TrtCodes!$B$11:J74,3)</f>
        <v>12</v>
      </c>
      <c r="E58" s="1">
        <f>VLOOKUP($B58,[11]TrtCodes!$B$11:K74,4)</f>
        <v>2</v>
      </c>
      <c r="F58" s="1">
        <f>VLOOKUP($B58,[11]TrtCodes!$B$11:L74,5)</f>
        <v>3</v>
      </c>
      <c r="G58" s="1">
        <f>VLOOKUP($B58,[11]TrtCodes!$B$11:M74,6)</f>
        <v>1</v>
      </c>
      <c r="H58" s="1">
        <f>VLOOKUP($B58,[11]TrtCodes!$B$11:N74,7)</f>
        <v>1</v>
      </c>
      <c r="I58" s="1">
        <f>[11]FormattedData!B31</f>
        <v>2</v>
      </c>
      <c r="J58" s="4">
        <f>[11]FormattedData!C31</f>
        <v>13.286</v>
      </c>
      <c r="K58" s="6">
        <f>$J$3+[11]FormattedData!D31*$J$4+$M$4*$J$5+[11]FormattedData!D31^2*$J$6+$M$5*$J$7</f>
        <v>29.374589613113823</v>
      </c>
      <c r="L58" s="6">
        <f>$J$3+[11]FormattedData!E31*$J$4+$M$4*$J$5+[11]FormattedData!E31^2*$J$6+$M$5*$J$7</f>
        <v>28.983868295064859</v>
      </c>
      <c r="M58" s="6">
        <f>$J$3+[11]FormattedData!F31*$J$4+$M$4*$J$5+[11]FormattedData!F31^2*$J$6+$M$5*$J$7</f>
        <v>29.667186782002268</v>
      </c>
      <c r="N58" s="6">
        <f>$J$3+[11]FormattedData!G31*$J$4+$M$4*$J$5+[11]FormattedData!G31^2*$J$6+$M$5*$J$7</f>
        <v>29.764634634555893</v>
      </c>
      <c r="O58" s="6">
        <f>$J$3+[11]FormattedData!H31*$J$4+$M$4*$J$5+[11]FormattedData!H31^2*$J$6+$M$5*$J$7</f>
        <v>29.276972686408481</v>
      </c>
      <c r="P58" s="6">
        <f>$J$3+[11]FormattedData!I31*$J$4+$M$4*$J$5+[11]FormattedData!I31^2*$J$6+$M$5*$J$7</f>
        <v>31.221280198308463</v>
      </c>
      <c r="Q58" s="6">
        <f>$J$3+[11]FormattedData!J31*$J$4+$M$4*$J$5+[11]FormattedData!J31^2*$J$6+$M$5*$J$7</f>
        <v>29.862040218571579</v>
      </c>
      <c r="R58" s="6">
        <f>$J$3+[11]FormattedData!K31*$J$4+$M$4*$J$5+[11]FormattedData!K31^2*$J$6+$M$5*$J$7</f>
        <v>31.31805175425518</v>
      </c>
      <c r="S58" s="6">
        <f>$J$3+[11]FormattedData!L31*$J$4+$M$4*$J$5+[11]FormattedData!L31^2*$J$6+$M$5*$J$7</f>
        <v>27.611017846114155</v>
      </c>
      <c r="T58" s="6">
        <f>$J$3+[11]FormattedData!M31*$J$4+$M$4*$J$5+[11]FormattedData!M31^2*$J$6+$M$5*$J$7</f>
        <v>32.187093673568782</v>
      </c>
      <c r="U58" s="6">
        <f>$J$3+[11]FormattedData!N31*$J$4+$M$4*$J$5+[11]FormattedData!N31^2*$J$6+$M$5*$J$7</f>
        <v>30.34843411058106</v>
      </c>
      <c r="V58" s="6">
        <f>$J$3+[11]FormattedData!O31*$J$4+$M$4*$J$5+[11]FormattedData!O31^2*$J$6+$M$5*$J$7</f>
        <v>32.572235544610841</v>
      </c>
      <c r="W58" s="5">
        <f t="shared" si="9"/>
        <v>30.182283779762951</v>
      </c>
      <c r="X58" s="4">
        <f t="shared" si="10"/>
        <v>0.41000830010852352</v>
      </c>
      <c r="Y58" s="3">
        <f t="shared" si="11"/>
        <v>27.611017846114155</v>
      </c>
      <c r="Z58" s="2">
        <f t="shared" si="12"/>
        <v>29.350185381437488</v>
      </c>
      <c r="AA58" s="3">
        <f t="shared" si="13"/>
        <v>29.813337426563734</v>
      </c>
      <c r="AB58" s="2">
        <f t="shared" si="14"/>
        <v>31.245473087295142</v>
      </c>
      <c r="AC58" s="2">
        <f t="shared" si="15"/>
        <v>32.572235544610841</v>
      </c>
      <c r="AD58" s="2">
        <f t="shared" si="16"/>
        <v>0.15489401818970749</v>
      </c>
      <c r="AE58" s="2">
        <f t="shared" si="17"/>
        <v>-0.21566286836577131</v>
      </c>
    </row>
    <row r="59" spans="2:31" x14ac:dyDescent="0.2">
      <c r="B59" s="1">
        <f>[11]FormattedData!A33</f>
        <v>202</v>
      </c>
      <c r="C59" s="1" t="str">
        <f>VLOOKUP($B59,[11]TrtCodes!$B$11:I76,2)</f>
        <v>NTH</v>
      </c>
      <c r="D59" s="1">
        <f>VLOOKUP($B59,[11]TrtCodes!$B$11:J76,3)</f>
        <v>9</v>
      </c>
      <c r="E59" s="1">
        <f>VLOOKUP($B59,[11]TrtCodes!$B$11:K76,4)</f>
        <v>2</v>
      </c>
      <c r="F59" s="1">
        <f>VLOOKUP($B59,[11]TrtCodes!$B$11:L76,5)</f>
        <v>2</v>
      </c>
      <c r="G59" s="1">
        <f>VLOOKUP($B59,[11]TrtCodes!$B$11:M76,6)</f>
        <v>2</v>
      </c>
      <c r="H59" s="1">
        <f>VLOOKUP($B59,[11]TrtCodes!$B$11:N76,7)</f>
        <v>1</v>
      </c>
      <c r="I59" s="1">
        <f>[11]FormattedData!B33</f>
        <v>2</v>
      </c>
      <c r="J59" s="4">
        <f>[11]FormattedData!C33</f>
        <v>13.304</v>
      </c>
      <c r="K59" s="6">
        <f>$J$3+[11]FormattedData!D33*$J$4+$M$4*$J$5+[11]FormattedData!D33^2*$J$6+$M$5*$J$7</f>
        <v>30.445586083369168</v>
      </c>
      <c r="L59" s="6">
        <f>$J$3+[11]FormattedData!E33*$J$4+$M$4*$J$5+[11]FormattedData!E33^2*$J$6+$M$5*$J$7</f>
        <v>29.374589613113823</v>
      </c>
      <c r="M59" s="6">
        <f>$J$3+[11]FormattedData!F33*$J$4+$M$4*$J$5+[11]FormattedData!F33^2*$J$6+$M$5*$J$7</f>
        <v>30.445586083369168</v>
      </c>
      <c r="N59" s="6">
        <f>$J$3+[11]FormattedData!G33*$J$4+$M$4*$J$5+[11]FormattedData!G33^2*$J$6+$M$5*$J$7</f>
        <v>30.736788390505886</v>
      </c>
      <c r="O59" s="6">
        <f>$J$3+[11]FormattedData!H33*$J$4+$M$4*$J$5+[11]FormattedData!H33^2*$J$6+$M$5*$J$7</f>
        <v>29.862040218571579</v>
      </c>
      <c r="P59" s="6">
        <f>$J$3+[11]FormattedData!I33*$J$4+$M$4*$J$5+[11]FormattedData!I33^2*$J$6+$M$5*$J$7</f>
        <v>31.124466373823804</v>
      </c>
      <c r="Q59" s="6">
        <f>$J$3+[11]FormattedData!J33*$J$4+$M$4*$J$5+[11]FormattedData!J33^2*$J$6+$M$5*$J$7</f>
        <v>31.124466373823804</v>
      </c>
      <c r="R59" s="6">
        <f>$J$3+[11]FormattedData!K33*$J$4+$M$4*$J$5+[11]FormattedData!K33^2*$J$6+$M$5*$J$7</f>
        <v>30.056724580989165</v>
      </c>
      <c r="S59" s="6">
        <f>$J$3+[11]FormattedData!L33*$J$4+$M$4*$J$5+[11]FormattedData!L33^2*$J$6+$M$5*$J$7</f>
        <v>29.862040218571579</v>
      </c>
      <c r="T59" s="6">
        <f>$J$3+[11]FormattedData!M33*$J$4+$M$4*$J$5+[11]FormattedData!M33^2*$J$6+$M$5*$J$7</f>
        <v>28.592470680408994</v>
      </c>
      <c r="U59" s="6">
        <f>$J$3+[11]FormattedData!N33*$J$4+$M$4*$J$5+[11]FormattedData!N33^2*$J$6+$M$5*$J$7</f>
        <v>29.569696660910722</v>
      </c>
      <c r="V59" s="6">
        <f>$J$3+[11]FormattedData!O33*$J$4+$M$4*$J$5+[11]FormattedData!O33^2*$J$6+$M$5*$J$7</f>
        <v>30.542695787619337</v>
      </c>
      <c r="W59" s="5">
        <f t="shared" si="9"/>
        <v>30.144762588756418</v>
      </c>
      <c r="X59" s="4">
        <f t="shared" si="10"/>
        <v>0.21515614333556896</v>
      </c>
      <c r="Y59" s="3">
        <f t="shared" si="11"/>
        <v>28.592470680408994</v>
      </c>
      <c r="Z59" s="2">
        <f t="shared" si="12"/>
        <v>29.788954329156365</v>
      </c>
      <c r="AA59" s="3">
        <f t="shared" si="13"/>
        <v>30.251155332179167</v>
      </c>
      <c r="AB59" s="2">
        <f t="shared" si="14"/>
        <v>30.591218938340972</v>
      </c>
      <c r="AC59" s="2">
        <f t="shared" si="15"/>
        <v>31.124466373823804</v>
      </c>
      <c r="AD59" s="2">
        <f t="shared" si="16"/>
        <v>-0.58695831537791243</v>
      </c>
      <c r="AE59" s="2">
        <f t="shared" si="17"/>
        <v>0.19835061052786429</v>
      </c>
    </row>
    <row r="60" spans="2:31" x14ac:dyDescent="0.2">
      <c r="B60" s="1">
        <f>[11]FormattedData!A35</f>
        <v>203</v>
      </c>
      <c r="C60" s="1" t="str">
        <f>VLOOKUP($B60,[11]TrtCodes!$B$11:I78,2)</f>
        <v>FTH</v>
      </c>
      <c r="D60" s="1">
        <f>VLOOKUP($B60,[11]TrtCodes!$B$11:J78,3)</f>
        <v>3</v>
      </c>
      <c r="E60" s="1">
        <f>VLOOKUP($B60,[11]TrtCodes!$B$11:K78,4)</f>
        <v>1</v>
      </c>
      <c r="F60" s="1">
        <f>VLOOKUP($B60,[11]TrtCodes!$B$11:L78,5)</f>
        <v>2</v>
      </c>
      <c r="G60" s="1">
        <f>VLOOKUP($B60,[11]TrtCodes!$B$11:M78,6)</f>
        <v>2</v>
      </c>
      <c r="H60" s="1">
        <f>VLOOKUP($B60,[11]TrtCodes!$B$11:N78,7)</f>
        <v>1</v>
      </c>
      <c r="I60" s="1">
        <f>[11]FormattedData!B35</f>
        <v>2</v>
      </c>
      <c r="J60" s="4">
        <f>[11]FormattedData!C35</f>
        <v>13.321</v>
      </c>
      <c r="K60" s="6">
        <f>$J$3+[11]FormattedData!D35*$J$4+$M$4*$J$5+[11]FormattedData!D35^2*$J$6+$M$5*$J$7</f>
        <v>29.276972686408481</v>
      </c>
      <c r="L60" s="6">
        <f>$J$3+[11]FormattedData!E35*$J$4+$M$4*$J$5+[11]FormattedData!E35^2*$J$6+$M$5*$J$7</f>
        <v>30.639763223331574</v>
      </c>
      <c r="M60" s="6">
        <f>$J$3+[11]FormattedData!F35*$J$4+$M$4*$J$5+[11]FormattedData!F35^2*$J$6+$M$5*$J$7</f>
        <v>30.736788390505886</v>
      </c>
      <c r="N60" s="6">
        <f>$J$3+[11]FormattedData!G35*$J$4+$M$4*$J$5+[11]FormattedData!G35^2*$J$6+$M$5*$J$7</f>
        <v>28.298478649768818</v>
      </c>
      <c r="O60" s="6">
        <f>$J$3+[11]FormattedData!H35*$J$4+$M$4*$J$5+[11]FormattedData!H35^2*$J$6+$M$5*$J$7</f>
        <v>30.736788390505886</v>
      </c>
      <c r="P60" s="6">
        <f>$J$3+[11]FormattedData!I35*$J$4+$M$4*$J$5+[11]FormattedData!I35^2*$J$6+$M$5*$J$7</f>
        <v>29.667186782002268</v>
      </c>
      <c r="Q60" s="6">
        <f>$J$3+[11]FormattedData!J35*$J$4+$M$4*$J$5+[11]FormattedData!J35^2*$J$6+$M$5*$J$7</f>
        <v>31.511468060534835</v>
      </c>
      <c r="R60" s="6">
        <f>$J$3+[11]FormattedData!K35*$J$4+$M$4*$J$5+[11]FormattedData!K35^2*$J$6+$M$5*$J$7</f>
        <v>31.414781041663979</v>
      </c>
      <c r="S60" s="6">
        <f>$J$3+[11]FormattedData!L35*$J$4+$M$4*$J$5+[11]FormattedData!L35^2*$J$6+$M$5*$J$7</f>
        <v>29.862040218571579</v>
      </c>
      <c r="T60" s="6">
        <f>$J$3+[11]FormattedData!M35*$J$4+$M$4*$J$5+[11]FormattedData!M35^2*$J$6+$M$5*$J$7</f>
        <v>29.764634634555893</v>
      </c>
      <c r="U60" s="6">
        <f>$J$3+[11]FormattedData!N35*$J$4+$M$4*$J$5+[11]FormattedData!N35^2*$J$6+$M$5*$J$7</f>
        <v>29.764634634555893</v>
      </c>
      <c r="V60" s="6">
        <f>$J$3+[11]FormattedData!O35*$J$4+$M$4*$J$5+[11]FormattedData!O35^2*$J$6+$M$5*$J$7</f>
        <v>31.124466373823804</v>
      </c>
      <c r="W60" s="5">
        <f t="shared" si="9"/>
        <v>30.233166923852405</v>
      </c>
      <c r="X60" s="4">
        <f t="shared" si="10"/>
        <v>0.27595165701510926</v>
      </c>
      <c r="Y60" s="3">
        <f t="shared" si="11"/>
        <v>28.298478649768818</v>
      </c>
      <c r="Z60" s="2">
        <f t="shared" si="12"/>
        <v>29.740272671417486</v>
      </c>
      <c r="AA60" s="3">
        <f t="shared" si="13"/>
        <v>30.250901720951575</v>
      </c>
      <c r="AB60" s="2">
        <f t="shared" si="14"/>
        <v>30.833707886335365</v>
      </c>
      <c r="AC60" s="2">
        <f t="shared" si="15"/>
        <v>31.511468060534835</v>
      </c>
      <c r="AD60" s="2">
        <f t="shared" si="16"/>
        <v>-0.47264880941854182</v>
      </c>
      <c r="AE60" s="2">
        <f t="shared" si="17"/>
        <v>-0.17030059348065452</v>
      </c>
    </row>
    <row r="61" spans="2:31" x14ac:dyDescent="0.2">
      <c r="B61" s="1">
        <f>[11]FormattedData!A37</f>
        <v>204</v>
      </c>
      <c r="C61" s="1" t="str">
        <f>VLOOKUP($B61,[11]TrtCodes!$B$11:I80,2)</f>
        <v>NDH</v>
      </c>
      <c r="D61" s="1">
        <f>VLOOKUP($B61,[11]TrtCodes!$B$11:J80,3)</f>
        <v>11</v>
      </c>
      <c r="E61" s="1">
        <f>VLOOKUP($B61,[11]TrtCodes!$B$11:K80,4)</f>
        <v>2</v>
      </c>
      <c r="F61" s="1">
        <f>VLOOKUP($B61,[11]TrtCodes!$B$11:L80,5)</f>
        <v>3</v>
      </c>
      <c r="G61" s="1">
        <f>VLOOKUP($B61,[11]TrtCodes!$B$11:M80,6)</f>
        <v>2</v>
      </c>
      <c r="H61" s="1">
        <f>VLOOKUP($B61,[11]TrtCodes!$B$11:N80,7)</f>
        <v>1</v>
      </c>
      <c r="I61" s="1">
        <f>[11]FormattedData!B37</f>
        <v>2</v>
      </c>
      <c r="J61" s="4">
        <f>[11]FormattedData!C37</f>
        <v>13.339</v>
      </c>
      <c r="K61" s="6">
        <f>$J$3+[11]FormattedData!D37*$J$4+$M$4*$J$5+[11]FormattedData!D37^2*$J$6+$M$5*$J$7</f>
        <v>27.80764656127657</v>
      </c>
      <c r="L61" s="6">
        <f>$J$3+[11]FormattedData!E37*$J$4+$M$4*$J$5+[11]FormattedData!E37^2*$J$6+$M$5*$J$7</f>
        <v>28.983868295064859</v>
      </c>
      <c r="M61" s="6">
        <f>$J$3+[11]FormattedData!F37*$J$4+$M$4*$J$5+[11]FormattedData!F37^2*$J$6+$M$5*$J$7</f>
        <v>28.788254024812787</v>
      </c>
      <c r="N61" s="6">
        <f>$J$3+[11]FormattedData!G37*$J$4+$M$4*$J$5+[11]FormattedData!G37^2*$J$6+$M$5*$J$7</f>
        <v>31.414781041663979</v>
      </c>
      <c r="O61" s="6">
        <f>$J$3+[11]FormattedData!H37*$J$4+$M$4*$J$5+[11]FormattedData!H37^2*$J$6+$M$5*$J$7</f>
        <v>27.315757759336044</v>
      </c>
      <c r="P61" s="6">
        <f>$J$3+[11]FormattedData!I37*$J$4+$M$4*$J$5+[11]FormattedData!I37^2*$J$6+$M$5*$J$7</f>
        <v>28.102272619985715</v>
      </c>
      <c r="Q61" s="6">
        <f>$J$3+[11]FormattedData!J37*$J$4+$M$4*$J$5+[11]FormattedData!J37^2*$J$6+$M$5*$J$7</f>
        <v>29.374589613113823</v>
      </c>
      <c r="R61" s="6">
        <f>$J$3+[11]FormattedData!K37*$J$4+$M$4*$J$5+[11]FormattedData!K37^2*$J$6+$M$5*$J$7</f>
        <v>29.569696660910722</v>
      </c>
      <c r="S61" s="6">
        <f>$J$3+[11]FormattedData!L37*$J$4+$M$4*$J$5+[11]FormattedData!L37^2*$J$6+$M$5*$J$7</f>
        <v>33.148680295035987</v>
      </c>
      <c r="T61" s="6">
        <f>$J$3+[11]FormattedData!M37*$J$4+$M$4*$J$5+[11]FormattedData!M37^2*$J$6+$M$5*$J$7</f>
        <v>32.283442544136186</v>
      </c>
      <c r="U61" s="6">
        <f>$J$3+[11]FormattedData!N37*$J$4+$M$4*$J$5+[11]FormattedData!N37^2*$J$6+$M$5*$J$7</f>
        <v>30.251239869255031</v>
      </c>
      <c r="V61" s="6">
        <f>$J$3+[11]FormattedData!O37*$J$4+$M$4*$J$5+[11]FormattedData!O37^2*$J$6+$M$5*$J$7</f>
        <v>32.668415341026524</v>
      </c>
      <c r="W61" s="5">
        <f t="shared" si="9"/>
        <v>29.975720385468179</v>
      </c>
      <c r="X61" s="4">
        <f t="shared" si="10"/>
        <v>0.57072840910086642</v>
      </c>
      <c r="Y61" s="3">
        <f t="shared" si="11"/>
        <v>27.315757759336044</v>
      </c>
      <c r="Z61" s="2">
        <f t="shared" si="12"/>
        <v>28.616758673606018</v>
      </c>
      <c r="AA61" s="3">
        <f t="shared" si="13"/>
        <v>29.472143137012274</v>
      </c>
      <c r="AB61" s="2">
        <f t="shared" si="14"/>
        <v>31.63194641728203</v>
      </c>
      <c r="AC61" s="2">
        <f t="shared" si="15"/>
        <v>33.148680295035987</v>
      </c>
      <c r="AD61" s="2">
        <f t="shared" si="16"/>
        <v>0.39862027389460886</v>
      </c>
      <c r="AE61" s="2">
        <f t="shared" si="17"/>
        <v>-1.2056150202143439</v>
      </c>
    </row>
    <row r="62" spans="2:31" x14ac:dyDescent="0.2">
      <c r="B62" s="1">
        <f>[11]FormattedData!A39</f>
        <v>205</v>
      </c>
      <c r="C62" s="1" t="str">
        <f>VLOOKUP($B62,[11]TrtCodes!$B$11:I82,2)</f>
        <v>FSH</v>
      </c>
      <c r="D62" s="1">
        <f>VLOOKUP($B62,[11]TrtCodes!$B$11:J82,3)</f>
        <v>1</v>
      </c>
      <c r="E62" s="1">
        <f>VLOOKUP($B62,[11]TrtCodes!$B$11:K82,4)</f>
        <v>1</v>
      </c>
      <c r="F62" s="1">
        <f>VLOOKUP($B62,[11]TrtCodes!$B$11:L82,5)</f>
        <v>1</v>
      </c>
      <c r="G62" s="1">
        <f>VLOOKUP($B62,[11]TrtCodes!$B$11:M82,6)</f>
        <v>2</v>
      </c>
      <c r="H62" s="1">
        <f>VLOOKUP($B62,[11]TrtCodes!$B$11:N82,7)</f>
        <v>2</v>
      </c>
      <c r="I62" s="1">
        <f>[11]FormattedData!B39</f>
        <v>2</v>
      </c>
      <c r="J62" s="4">
        <f>[11]FormattedData!C39</f>
        <v>13.356999999999999</v>
      </c>
      <c r="K62" s="6">
        <f>$J$3+[11]FormattedData!D39*$J$4+$M$4*$J$5+[11]FormattedData!D39^2*$J$6+$M$5*$J$7</f>
        <v>31.994269126820171</v>
      </c>
      <c r="L62" s="6">
        <f>$J$3+[11]FormattedData!E39*$J$4+$M$4*$J$5+[11]FormattedData!E39^2*$J$6+$M$5*$J$7</f>
        <v>31.994269126820171</v>
      </c>
      <c r="M62" s="6">
        <f>$J$3+[11]FormattedData!F39*$J$4+$M$4*$J$5+[11]FormattedData!F39^2*$J$6+$M$5*$J$7</f>
        <v>30.736788390505886</v>
      </c>
      <c r="N62" s="6">
        <f>$J$3+[11]FormattedData!G39*$J$4+$M$4*$J$5+[11]FormattedData!G39^2*$J$6+$M$5*$J$7</f>
        <v>31.801275505919826</v>
      </c>
      <c r="O62" s="6">
        <f>$J$3+[11]FormattedData!H39*$J$4+$M$4*$J$5+[11]FormattedData!H39^2*$J$6+$M$5*$J$7</f>
        <v>30.251239869255031</v>
      </c>
      <c r="P62" s="6">
        <f>$J$3+[11]FormattedData!I39*$J$4+$M$4*$J$5+[11]FormattedData!I39^2*$J$6+$M$5*$J$7</f>
        <v>32.283442544136186</v>
      </c>
      <c r="Q62" s="6">
        <f>$J$3+[11]FormattedData!J39*$J$4+$M$4*$J$5+[11]FormattedData!J39^2*$J$6+$M$5*$J$7</f>
        <v>31.221280198308463</v>
      </c>
      <c r="R62" s="6">
        <f>$J$3+[11]FormattedData!K39*$J$4+$M$4*$J$5+[11]FormattedData!K39^2*$J$6+$M$5*$J$7</f>
        <v>32.379749146165672</v>
      </c>
      <c r="S62" s="6">
        <f>$J$3+[11]FormattedData!L39*$J$4+$M$4*$J$5+[11]FormattedData!L39^2*$J$6+$M$5*$J$7</f>
        <v>30.930711919240711</v>
      </c>
      <c r="T62" s="6">
        <f>$J$3+[11]FormattedData!M39*$J$4+$M$4*$J$5+[11]FormattedData!M39^2*$J$6+$M$5*$J$7</f>
        <v>32.090702534463439</v>
      </c>
      <c r="U62" s="6">
        <f>$J$3+[11]FormattedData!N39*$J$4+$M$4*$J$5+[11]FormattedData!N39^2*$J$6+$M$5*$J$7</f>
        <v>30.639763223331574</v>
      </c>
      <c r="V62" s="6">
        <f>$J$3+[11]FormattedData!O39*$J$4+$M$4*$J$5+[11]FormattedData!O39^2*$J$6+$M$5*$J$7</f>
        <v>31.027610280801223</v>
      </c>
      <c r="W62" s="5">
        <f t="shared" si="9"/>
        <v>31.445925155480698</v>
      </c>
      <c r="X62" s="4">
        <f t="shared" si="10"/>
        <v>0.20939629853788094</v>
      </c>
      <c r="Y62" s="3">
        <f t="shared" si="11"/>
        <v>30.251239869255031</v>
      </c>
      <c r="Z62" s="2">
        <f t="shared" si="12"/>
        <v>30.882231037057004</v>
      </c>
      <c r="AA62" s="3">
        <f t="shared" si="13"/>
        <v>31.511277852114144</v>
      </c>
      <c r="AB62" s="2">
        <f t="shared" si="14"/>
        <v>32.01837747873099</v>
      </c>
      <c r="AC62" s="2">
        <f t="shared" si="15"/>
        <v>32.379749146165672</v>
      </c>
      <c r="AD62" s="2">
        <f t="shared" si="16"/>
        <v>-0.21794663063681452</v>
      </c>
      <c r="AE62" s="2">
        <f t="shared" si="17"/>
        <v>-1.5072879475456586</v>
      </c>
    </row>
    <row r="63" spans="2:31" x14ac:dyDescent="0.2">
      <c r="B63" s="1">
        <f>[11]FormattedData!A41</f>
        <v>206</v>
      </c>
      <c r="C63" s="1" t="str">
        <f>VLOOKUP($B63,[11]TrtCodes!$B$11:I84,2)</f>
        <v>NSL</v>
      </c>
      <c r="D63" s="1">
        <f>VLOOKUP($B63,[11]TrtCodes!$B$11:J84,3)</f>
        <v>8</v>
      </c>
      <c r="E63" s="1">
        <f>VLOOKUP($B63,[11]TrtCodes!$B$11:K84,4)</f>
        <v>2</v>
      </c>
      <c r="F63" s="1">
        <f>VLOOKUP($B63,[11]TrtCodes!$B$11:L84,5)</f>
        <v>1</v>
      </c>
      <c r="G63" s="1">
        <f>VLOOKUP($B63,[11]TrtCodes!$B$11:M84,6)</f>
        <v>1</v>
      </c>
      <c r="H63" s="1">
        <f>VLOOKUP($B63,[11]TrtCodes!$B$11:N84,7)</f>
        <v>2</v>
      </c>
      <c r="I63" s="1">
        <f>[11]FormattedData!B41</f>
        <v>2</v>
      </c>
      <c r="J63" s="4">
        <f>[11]FormattedData!C41</f>
        <v>13.375</v>
      </c>
      <c r="K63" s="6">
        <f>$J$3+[11]FormattedData!D41*$J$4+$M$4*$J$5+[11]FormattedData!D41^2*$J$6+$M$5*$J$7</f>
        <v>32.956701119045995</v>
      </c>
      <c r="L63" s="6">
        <f>$J$3+[11]FormattedData!E41*$J$4+$M$4*$J$5+[11]FormattedData!E41^2*$J$6+$M$5*$J$7</f>
        <v>34.297004793789718</v>
      </c>
      <c r="M63" s="6">
        <f>$J$3+[11]FormattedData!F41*$J$4+$M$4*$J$5+[11]FormattedData!F41^2*$J$6+$M$5*$J$7</f>
        <v>33.244606480224085</v>
      </c>
      <c r="N63" s="6">
        <f>$J$3+[11]FormattedData!G41*$J$4+$M$4*$J$5+[11]FormattedData!G41^2*$J$6+$M$5*$J$7</f>
        <v>31.801275505919826</v>
      </c>
      <c r="O63" s="6">
        <f>$J$3+[11]FormattedData!H41*$J$4+$M$4*$J$5+[11]FormattedData!H41^2*$J$6+$M$5*$J$7</f>
        <v>30.930711919240711</v>
      </c>
      <c r="P63" s="6">
        <f>$J$3+[11]FormattedData!I41*$J$4+$M$4*$J$5+[11]FormattedData!I41^2*$J$6+$M$5*$J$7</f>
        <v>33.244606480224085</v>
      </c>
      <c r="Q63" s="6">
        <f>$J$3+[11]FormattedData!J41*$J$4+$M$4*$J$5+[11]FormattedData!J41^2*$J$6+$M$5*$J$7</f>
        <v>34.297004793789718</v>
      </c>
      <c r="R63" s="6">
        <f>$J$3+[11]FormattedData!K41*$J$4+$M$4*$J$5+[11]FormattedData!K41^2*$J$6+$M$5*$J$7</f>
        <v>32.379749146165672</v>
      </c>
      <c r="S63" s="6">
        <f>$J$3+[11]FormattedData!L41*$J$4+$M$4*$J$5+[11]FormattedData!L41^2*$J$6+$M$5*$J$7</f>
        <v>32.187093673568782</v>
      </c>
      <c r="T63" s="6">
        <f>$J$3+[11]FormattedData!M41*$J$4+$M$4*$J$5+[11]FormattedData!M41^2*$J$6+$M$5*$J$7</f>
        <v>34.964049893623653</v>
      </c>
      <c r="U63" s="6">
        <f>$J$3+[11]FormattedData!N41*$J$4+$M$4*$J$5+[11]FormattedData!N41^2*$J$6+$M$5*$J$7</f>
        <v>31.124466373823804</v>
      </c>
      <c r="V63" s="6">
        <f>$J$3+[11]FormattedData!O41*$J$4+$M$4*$J$5+[11]FormattedData!O41^2*$J$6+$M$5*$J$7</f>
        <v>32.476013479657226</v>
      </c>
      <c r="W63" s="5">
        <f t="shared" si="9"/>
        <v>32.825273638256107</v>
      </c>
      <c r="X63" s="4">
        <f t="shared" si="10"/>
        <v>0.36446029357213861</v>
      </c>
      <c r="Y63" s="3">
        <f t="shared" si="11"/>
        <v>30.930711919240711</v>
      </c>
      <c r="Z63" s="2">
        <f t="shared" si="12"/>
        <v>32.090639131656545</v>
      </c>
      <c r="AA63" s="3">
        <f t="shared" si="13"/>
        <v>32.716357299351614</v>
      </c>
      <c r="AB63" s="2">
        <f t="shared" si="14"/>
        <v>33.507706058615497</v>
      </c>
      <c r="AC63" s="2">
        <f t="shared" si="15"/>
        <v>34.964049893623653</v>
      </c>
      <c r="AD63" s="2">
        <f t="shared" si="16"/>
        <v>0.16933808642800646</v>
      </c>
      <c r="AE63" s="2">
        <f t="shared" si="17"/>
        <v>-0.74996623441153298</v>
      </c>
    </row>
    <row r="64" spans="2:31" x14ac:dyDescent="0.2">
      <c r="B64" s="1">
        <f>[11]FormattedData!A43</f>
        <v>207</v>
      </c>
      <c r="C64" s="1" t="str">
        <f>VLOOKUP($B64,[11]TrtCodes!$B$11:I86,2)</f>
        <v>FTL</v>
      </c>
      <c r="D64" s="1">
        <f>VLOOKUP($B64,[11]TrtCodes!$B$11:J86,3)</f>
        <v>4</v>
      </c>
      <c r="E64" s="1">
        <f>VLOOKUP($B64,[11]TrtCodes!$B$11:K86,4)</f>
        <v>1</v>
      </c>
      <c r="F64" s="1">
        <f>VLOOKUP($B64,[11]TrtCodes!$B$11:L86,5)</f>
        <v>2</v>
      </c>
      <c r="G64" s="1">
        <f>VLOOKUP($B64,[11]TrtCodes!$B$11:M86,6)</f>
        <v>1</v>
      </c>
      <c r="H64" s="1">
        <f>VLOOKUP($B64,[11]TrtCodes!$B$11:N86,7)</f>
        <v>2</v>
      </c>
      <c r="I64" s="1">
        <f>[11]FormattedData!B43</f>
        <v>2</v>
      </c>
      <c r="J64" s="4">
        <f>[11]FormattedData!C43</f>
        <v>13.393000000000001</v>
      </c>
      <c r="K64" s="6">
        <f>$J$3+[11]FormattedData!D43*$J$4+$M$4*$J$5+[11]FormattedData!D43^2*$J$6+$M$5*$J$7</f>
        <v>28.690383486879856</v>
      </c>
      <c r="L64" s="6">
        <f>$J$3+[11]FormattedData!E43*$J$4+$M$4*$J$5+[11]FormattedData!E43^2*$J$6+$M$5*$J$7</f>
        <v>30.639763223331574</v>
      </c>
      <c r="M64" s="6">
        <f>$J$3+[11]FormattedData!F43*$J$4+$M$4*$J$5+[11]FormattedData!F43^2*$J$6+$M$5*$J$7</f>
        <v>28.004106202287264</v>
      </c>
      <c r="N64" s="6">
        <f>$J$3+[11]FormattedData!G43*$J$4+$M$4*$J$5+[11]FormattedData!G43^2*$J$6+$M$5*$J$7</f>
        <v>29.569696660910722</v>
      </c>
      <c r="O64" s="6">
        <f>$J$3+[11]FormattedData!H43*$J$4+$M$4*$J$5+[11]FormattedData!H43^2*$J$6+$M$5*$J$7</f>
        <v>29.374589613113823</v>
      </c>
      <c r="P64" s="6">
        <f>$J$3+[11]FormattedData!I43*$J$4+$M$4*$J$5+[11]FormattedData!I43^2*$J$6+$M$5*$J$7</f>
        <v>32.283442544136186</v>
      </c>
      <c r="Q64" s="6">
        <f>$J$3+[11]FormattedData!J43*$J$4+$M$4*$J$5+[11]FormattedData!J43^2*$J$6+$M$5*$J$7</f>
        <v>31.124466373823804</v>
      </c>
      <c r="R64" s="6">
        <f>$J$3+[11]FormattedData!K43*$J$4+$M$4*$J$5+[11]FormattedData!K43^2*$J$6+$M$5*$J$7</f>
        <v>30.736788390505886</v>
      </c>
      <c r="S64" s="6">
        <f>$J$3+[11]FormattedData!L43*$J$4+$M$4*$J$5+[11]FormattedData!L43^2*$J$6+$M$5*$J$7</f>
        <v>32.764552868904275</v>
      </c>
      <c r="T64" s="6">
        <f>$J$3+[11]FormattedData!M43*$J$4+$M$4*$J$5+[11]FormattedData!M43^2*$J$6+$M$5*$J$7</f>
        <v>31.124466373823804</v>
      </c>
      <c r="U64" s="6">
        <f>$J$3+[11]FormattedData!N43*$J$4+$M$4*$J$5+[11]FormattedData!N43^2*$J$6+$M$5*$J$7</f>
        <v>31.511468060534835</v>
      </c>
      <c r="V64" s="6">
        <f>$J$3+[11]FormattedData!O43*$J$4+$M$4*$J$5+[11]FormattedData!O43^2*$J$6+$M$5*$J$7</f>
        <v>32.379749146165672</v>
      </c>
      <c r="W64" s="5">
        <f t="shared" si="9"/>
        <v>30.68362274536814</v>
      </c>
      <c r="X64" s="4">
        <f t="shared" si="10"/>
        <v>0.43478062530961192</v>
      </c>
      <c r="Y64" s="3">
        <f t="shared" si="11"/>
        <v>28.004106202287264</v>
      </c>
      <c r="Z64" s="2">
        <f t="shared" si="12"/>
        <v>29.520919898961498</v>
      </c>
      <c r="AA64" s="3">
        <f t="shared" si="13"/>
        <v>30.930627382164843</v>
      </c>
      <c r="AB64" s="2">
        <f t="shared" si="14"/>
        <v>31.704461681435173</v>
      </c>
      <c r="AC64" s="2">
        <f t="shared" si="15"/>
        <v>32.764552868904275</v>
      </c>
      <c r="AD64" s="2">
        <f t="shared" si="16"/>
        <v>-0.38505071170603627</v>
      </c>
      <c r="AE64" s="2">
        <f t="shared" si="17"/>
        <v>-0.78933627670671802</v>
      </c>
    </row>
    <row r="65" spans="2:31" x14ac:dyDescent="0.2">
      <c r="B65" s="1">
        <f>[11]FormattedData!A45</f>
        <v>208</v>
      </c>
      <c r="C65" s="1" t="str">
        <f>VLOOKUP($B65,[11]TrtCodes!$B$11:I88,2)</f>
        <v>FSL</v>
      </c>
      <c r="D65" s="1">
        <f>VLOOKUP($B65,[11]TrtCodes!$B$11:J88,3)</f>
        <v>2</v>
      </c>
      <c r="E65" s="1">
        <f>VLOOKUP($B65,[11]TrtCodes!$B$11:K88,4)</f>
        <v>1</v>
      </c>
      <c r="F65" s="1">
        <f>VLOOKUP($B65,[11]TrtCodes!$B$11:L88,5)</f>
        <v>1</v>
      </c>
      <c r="G65" s="1">
        <f>VLOOKUP($B65,[11]TrtCodes!$B$11:M88,6)</f>
        <v>1</v>
      </c>
      <c r="H65" s="1">
        <f>VLOOKUP($B65,[11]TrtCodes!$B$11:N88,7)</f>
        <v>2</v>
      </c>
      <c r="I65" s="1">
        <f>[11]FormattedData!B45</f>
        <v>2</v>
      </c>
      <c r="J65" s="4">
        <f>[11]FormattedData!C45</f>
        <v>13.411</v>
      </c>
      <c r="K65" s="6">
        <f>$J$3+[11]FormattedData!D45*$J$4+$M$4*$J$5+[11]FormattedData!D45^2*$J$6+$M$5*$J$7</f>
        <v>29.569696660910722</v>
      </c>
      <c r="L65" s="6">
        <f>$J$3+[11]FormattedData!E45*$J$4+$M$4*$J$5+[11]FormattedData!E45^2*$J$6+$M$5*$J$7</f>
        <v>29.569696660910722</v>
      </c>
      <c r="M65" s="6">
        <f>$J$3+[11]FormattedData!F45*$J$4+$M$4*$J$5+[11]FormattedData!F45^2*$J$6+$M$5*$J$7</f>
        <v>36.858480530764886</v>
      </c>
      <c r="N65" s="6">
        <f>$J$3+[11]FormattedData!G45*$J$4+$M$4*$J$5+[11]FormattedData!G45^2*$J$6+$M$5*$J$7</f>
        <v>30.833771289142263</v>
      </c>
      <c r="O65" s="6">
        <f>$J$3+[11]FormattedData!H45*$J$4+$M$4*$J$5+[11]FormattedData!H45^2*$J$6+$M$5*$J$7</f>
        <v>30.34843411058106</v>
      </c>
      <c r="P65" s="6">
        <f>$J$3+[11]FormattedData!I45*$J$4+$M$4*$J$5+[11]FormattedData!I45^2*$J$6+$M$5*$J$7</f>
        <v>31.124466373823804</v>
      </c>
      <c r="Q65" s="6">
        <f>$J$3+[11]FormattedData!J45*$J$4+$M$4*$J$5+[11]FormattedData!J45^2*$J$6+$M$5*$J$7</f>
        <v>31.511468060534835</v>
      </c>
      <c r="R65" s="6">
        <f>$J$3+[11]FormattedData!K45*$J$4+$M$4*$J$5+[11]FormattedData!K45^2*$J$6+$M$5*$J$7</f>
        <v>30.056724580989165</v>
      </c>
      <c r="S65" s="6">
        <f>$J$3+[11]FormattedData!L45*$J$4+$M$4*$J$5+[11]FormattedData!L45^2*$J$6+$M$5*$J$7</f>
        <v>29.667186782002268</v>
      </c>
      <c r="T65" s="6">
        <f>$J$3+[11]FormattedData!M45*$J$4+$M$4*$J$5+[11]FormattedData!M45^2*$J$6+$M$5*$J$7</f>
        <v>30.34843411058106</v>
      </c>
      <c r="U65" s="6">
        <f>$J$3+[11]FormattedData!N45*$J$4+$M$4*$J$5+[11]FormattedData!N45^2*$J$6+$M$5*$J$7</f>
        <v>31.221280198308463</v>
      </c>
      <c r="V65" s="6">
        <f>$J$3+[11]FormattedData!O45*$J$4+$M$4*$J$5+[11]FormattedData!O45^2*$J$6+$M$5*$J$7</f>
        <v>32.379749146165672</v>
      </c>
      <c r="W65" s="5">
        <f t="shared" si="9"/>
        <v>31.124115708726251</v>
      </c>
      <c r="X65" s="4">
        <f t="shared" si="10"/>
        <v>0.57735751739498253</v>
      </c>
      <c r="Y65" s="3">
        <f t="shared" si="11"/>
        <v>29.569696660910722</v>
      </c>
      <c r="Z65" s="2">
        <f t="shared" si="12"/>
        <v>29.959340131242442</v>
      </c>
      <c r="AA65" s="3">
        <f t="shared" si="13"/>
        <v>30.591102699861661</v>
      </c>
      <c r="AB65" s="2">
        <f t="shared" si="14"/>
        <v>31.293827163865057</v>
      </c>
      <c r="AC65" s="2">
        <f t="shared" si="15"/>
        <v>36.858480530764886</v>
      </c>
      <c r="AD65" s="2">
        <f t="shared" si="16"/>
        <v>2.4247716264778685</v>
      </c>
      <c r="AE65" s="2">
        <f t="shared" si="17"/>
        <v>6.8192218556644608</v>
      </c>
    </row>
    <row r="66" spans="2:31" x14ac:dyDescent="0.2">
      <c r="B66" s="1">
        <f>[11]FormattedData!A63</f>
        <v>301</v>
      </c>
      <c r="C66" s="1" t="str">
        <f>VLOOKUP($B66,[11]TrtCodes!$B$11:I106,2)</f>
        <v>NTL</v>
      </c>
      <c r="D66" s="1">
        <f>VLOOKUP($B66,[11]TrtCodes!$B$11:J106,3)</f>
        <v>10</v>
      </c>
      <c r="E66" s="1">
        <f>VLOOKUP($B66,[11]TrtCodes!$B$11:K106,4)</f>
        <v>2</v>
      </c>
      <c r="F66" s="1">
        <f>VLOOKUP($B66,[11]TrtCodes!$B$11:L106,5)</f>
        <v>2</v>
      </c>
      <c r="G66" s="1">
        <f>VLOOKUP($B66,[11]TrtCodes!$B$11:M106,6)</f>
        <v>1</v>
      </c>
      <c r="H66" s="1">
        <f>VLOOKUP($B66,[11]TrtCodes!$B$11:N106,7)</f>
        <v>3</v>
      </c>
      <c r="I66" s="1">
        <f>[11]FormattedData!B63</f>
        <v>2</v>
      </c>
      <c r="J66" s="4">
        <f>[11]FormattedData!C63</f>
        <v>13.565</v>
      </c>
      <c r="K66" s="6">
        <f>$J$3+[11]FormattedData!D63*$J$4+$M$4*$J$5+[11]FormattedData!D63^2*$J$6+$M$5*$J$7</f>
        <v>28.298478649768818</v>
      </c>
      <c r="L66" s="6">
        <f>$J$3+[11]FormattedData!E63*$J$4+$M$4*$J$5+[11]FormattedData!E63^2*$J$6+$M$5*$J$7</f>
        <v>28.298478649768818</v>
      </c>
      <c r="M66" s="6">
        <f>$J$3+[11]FormattedData!F63*$J$4+$M$4*$J$5+[11]FormattedData!F63^2*$J$6+$M$5*$J$7</f>
        <v>28.298478649768818</v>
      </c>
      <c r="N66" s="6">
        <f>$J$3+[11]FormattedData!G63*$J$4+$M$4*$J$5+[11]FormattedData!G63^2*$J$6+$M$5*$J$7</f>
        <v>29.862040218571579</v>
      </c>
      <c r="O66" s="6">
        <f>$J$3+[11]FormattedData!H63*$J$4+$M$4*$J$5+[11]FormattedData!H63^2*$J$6+$M$5*$J$7</f>
        <v>27.80764656127657</v>
      </c>
      <c r="P66" s="6">
        <f>$J$3+[11]FormattedData!I63*$J$4+$M$4*$J$5+[11]FormattedData!I63^2*$J$6+$M$5*$J$7</f>
        <v>27.611017846114155</v>
      </c>
      <c r="Q66" s="6">
        <f>$J$3+[11]FormattedData!J63*$J$4+$M$4*$J$5+[11]FormattedData!J63^2*$J$6+$M$5*$J$7</f>
        <v>30.154003359391062</v>
      </c>
      <c r="R66" s="6">
        <f>$J$3+[11]FormattedData!K63*$J$4+$M$4*$J$5+[11]FormattedData!K63^2*$J$6+$M$5*$J$7</f>
        <v>28.690383486879856</v>
      </c>
      <c r="S66" s="6">
        <f>$J$3+[11]FormattedData!L63*$J$4+$M$4*$J$5+[11]FormattedData!L63^2*$J$6+$M$5*$J$7</f>
        <v>28.298478649768818</v>
      </c>
      <c r="T66" s="6">
        <f>$J$3+[11]FormattedData!M63*$J$4+$M$4*$J$5+[11]FormattedData!M63^2*$J$6+$M$5*$J$7</f>
        <v>29.081612027383997</v>
      </c>
      <c r="U66" s="6">
        <f>$J$3+[11]FormattedData!N63*$J$4+$M$4*$J$5+[11]FormattedData!N63^2*$J$6+$M$5*$J$7</f>
        <v>30.056724580989165</v>
      </c>
      <c r="V66" s="6">
        <f>$J$3+[11]FormattedData!O63*$J$4+$M$4*$J$5+[11]FormattedData!O63^2*$J$6+$M$5*$J$7</f>
        <v>28.396518261853473</v>
      </c>
      <c r="W66" s="5">
        <f t="shared" si="9"/>
        <v>28.737821745127928</v>
      </c>
      <c r="X66" s="4">
        <f t="shared" si="10"/>
        <v>0.24852404868864644</v>
      </c>
      <c r="Y66" s="3">
        <f t="shared" si="11"/>
        <v>27.611017846114155</v>
      </c>
      <c r="Z66" s="2">
        <f t="shared" si="12"/>
        <v>28.298478649768818</v>
      </c>
      <c r="AA66" s="3">
        <f t="shared" si="13"/>
        <v>28.347498455811145</v>
      </c>
      <c r="AB66" s="2">
        <f t="shared" si="14"/>
        <v>29.276719075180893</v>
      </c>
      <c r="AC66" s="2">
        <f t="shared" si="15"/>
        <v>30.154003359391062</v>
      </c>
      <c r="AD66" s="2">
        <f t="shared" si="16"/>
        <v>0.68068819331765906</v>
      </c>
      <c r="AE66" s="2">
        <f t="shared" si="17"/>
        <v>-0.82554634748216715</v>
      </c>
    </row>
    <row r="67" spans="2:31" x14ac:dyDescent="0.2">
      <c r="B67" s="1">
        <f>[11]FormattedData!A65</f>
        <v>302</v>
      </c>
      <c r="C67" s="1" t="str">
        <f>VLOOKUP($B67,[11]TrtCodes!$B$11:I108,2)</f>
        <v>FTL</v>
      </c>
      <c r="D67" s="1">
        <f>VLOOKUP($B67,[11]TrtCodes!$B$11:J108,3)</f>
        <v>4</v>
      </c>
      <c r="E67" s="1">
        <f>VLOOKUP($B67,[11]TrtCodes!$B$11:K108,4)</f>
        <v>1</v>
      </c>
      <c r="F67" s="1">
        <f>VLOOKUP($B67,[11]TrtCodes!$B$11:L108,5)</f>
        <v>2</v>
      </c>
      <c r="G67" s="1">
        <f>VLOOKUP($B67,[11]TrtCodes!$B$11:M108,6)</f>
        <v>1</v>
      </c>
      <c r="H67" s="1">
        <f>VLOOKUP($B67,[11]TrtCodes!$B$11:N108,7)</f>
        <v>3</v>
      </c>
      <c r="I67" s="1">
        <f>[11]FormattedData!B65</f>
        <v>2</v>
      </c>
      <c r="J67" s="4">
        <f>[11]FormattedData!C65</f>
        <v>13.583</v>
      </c>
      <c r="K67" s="6">
        <f>$J$3+[11]FormattedData!D65*$J$4+$M$4*$J$5+[11]FormattedData!D65^2*$J$6+$M$5*$J$7</f>
        <v>30.056724580989165</v>
      </c>
      <c r="L67" s="6">
        <f>$J$3+[11]FormattedData!E65*$J$4+$M$4*$J$5+[11]FormattedData!E65^2*$J$6+$M$5*$J$7</f>
        <v>30.154003359391062</v>
      </c>
      <c r="M67" s="6">
        <f>$J$3+[11]FormattedData!F65*$J$4+$M$4*$J$5+[11]FormattedData!F65^2*$J$6+$M$5*$J$7</f>
        <v>30.736788390505886</v>
      </c>
      <c r="N67" s="6">
        <f>$J$3+[11]FormattedData!G65*$J$4+$M$4*$J$5+[11]FormattedData!G65^2*$J$6+$M$5*$J$7</f>
        <v>29.959403534049343</v>
      </c>
      <c r="O67" s="6">
        <f>$J$3+[11]FormattedData!H65*$J$4+$M$4*$J$5+[11]FormattedData!H65^2*$J$6+$M$5*$J$7</f>
        <v>30.542695787619337</v>
      </c>
      <c r="P67" s="6">
        <f>$J$3+[11]FormattedData!I65*$J$4+$M$4*$J$5+[11]FormattedData!I65^2*$J$6+$M$5*$J$7</f>
        <v>29.959403534049343</v>
      </c>
      <c r="Q67" s="6">
        <f>$J$3+[11]FormattedData!J65*$J$4+$M$4*$J$5+[11]FormattedData!J65^2*$J$6+$M$5*$J$7</f>
        <v>29.081612027383997</v>
      </c>
      <c r="R67" s="6">
        <f>$J$3+[11]FormattedData!K65*$J$4+$M$4*$J$5+[11]FormattedData!K65^2*$J$6+$M$5*$J$7</f>
        <v>29.667186782002268</v>
      </c>
      <c r="S67" s="6">
        <f>$J$3+[11]FormattedData!L65*$J$4+$M$4*$J$5+[11]FormattedData!L65^2*$J$6+$M$5*$J$7</f>
        <v>30.542695787619337</v>
      </c>
      <c r="T67" s="6">
        <f>$J$3+[11]FormattedData!M65*$J$4+$M$4*$J$5+[11]FormattedData!M65^2*$J$6+$M$5*$J$7</f>
        <v>30.34843411058106</v>
      </c>
      <c r="U67" s="6">
        <f>$J$3+[11]FormattedData!N65*$J$4+$M$4*$J$5+[11]FormattedData!N65^2*$J$6+$M$5*$J$7</f>
        <v>28.396518261853473</v>
      </c>
      <c r="V67" s="6">
        <f>$J$3+[11]FormattedData!O65*$J$4+$M$4*$J$5+[11]FormattedData!O65^2*$J$6+$M$5*$J$7</f>
        <v>29.374589613113823</v>
      </c>
      <c r="W67" s="5">
        <f t="shared" si="9"/>
        <v>29.901671314096507</v>
      </c>
      <c r="X67" s="4">
        <f t="shared" si="10"/>
        <v>0.19625281958491556</v>
      </c>
      <c r="Y67" s="3">
        <f t="shared" si="11"/>
        <v>28.396518261853473</v>
      </c>
      <c r="Z67" s="2">
        <f t="shared" si="12"/>
        <v>29.594037489780156</v>
      </c>
      <c r="AA67" s="3">
        <f t="shared" si="13"/>
        <v>30.008064057519256</v>
      </c>
      <c r="AB67" s="2">
        <f t="shared" si="14"/>
        <v>30.396999529840627</v>
      </c>
      <c r="AC67" s="2">
        <f t="shared" si="15"/>
        <v>30.736788390505886</v>
      </c>
      <c r="AD67" s="2">
        <f t="shared" si="16"/>
        <v>-1.0075929752394304</v>
      </c>
      <c r="AE67" s="2">
        <f t="shared" si="17"/>
        <v>0.78622372097262261</v>
      </c>
    </row>
    <row r="68" spans="2:31" x14ac:dyDescent="0.2">
      <c r="B68" s="1">
        <f>[11]FormattedData!A67</f>
        <v>303</v>
      </c>
      <c r="C68" s="1" t="str">
        <f>VLOOKUP($B68,[11]TrtCodes!$B$11:I110,2)</f>
        <v>NSL</v>
      </c>
      <c r="D68" s="1">
        <f>VLOOKUP($B68,[11]TrtCodes!$B$11:J110,3)</f>
        <v>8</v>
      </c>
      <c r="E68" s="1">
        <f>VLOOKUP($B68,[11]TrtCodes!$B$11:K110,4)</f>
        <v>2</v>
      </c>
      <c r="F68" s="1">
        <f>VLOOKUP($B68,[11]TrtCodes!$B$11:L110,5)</f>
        <v>1</v>
      </c>
      <c r="G68" s="1">
        <f>VLOOKUP($B68,[11]TrtCodes!$B$11:M110,6)</f>
        <v>1</v>
      </c>
      <c r="H68" s="1">
        <f>VLOOKUP($B68,[11]TrtCodes!$B$11:N110,7)</f>
        <v>3</v>
      </c>
      <c r="I68" s="1">
        <f>[11]FormattedData!B67</f>
        <v>2</v>
      </c>
      <c r="J68" s="4">
        <f>[11]FormattedData!C67</f>
        <v>13.601000000000001</v>
      </c>
      <c r="K68" s="6">
        <f>$J$3+[11]FormattedData!D67*$J$4+$M$4*$J$5+[11]FormattedData!D67^2*$J$6+$M$5*$J$7</f>
        <v>30.445586083369168</v>
      </c>
      <c r="L68" s="6">
        <f>$J$3+[11]FormattedData!E67*$J$4+$M$4*$J$5+[11]FormattedData!E67^2*$J$6+$M$5*$J$7</f>
        <v>32.860648128244101</v>
      </c>
      <c r="M68" s="6">
        <f>$J$3+[11]FormattedData!F67*$J$4+$M$4*$J$5+[11]FormattedData!F67^2*$J$6+$M$5*$J$7</f>
        <v>31.704715292662762</v>
      </c>
      <c r="N68" s="6">
        <f>$J$3+[11]FormattedData!G67*$J$4+$M$4*$J$5+[11]FormattedData!G67^2*$J$6+$M$5*$J$7</f>
        <v>33.340490396874252</v>
      </c>
      <c r="O68" s="6">
        <f>$J$3+[11]FormattedData!H67*$J$4+$M$4*$J$5+[11]FormattedData!H67^2*$J$6+$M$5*$J$7</f>
        <v>30.833771289142263</v>
      </c>
      <c r="P68" s="6">
        <f>$J$3+[11]FormattedData!I67*$J$4+$M$4*$J$5+[11]FormattedData!I67^2*$J$6+$M$5*$J$7</f>
        <v>32.572235544610841</v>
      </c>
      <c r="Q68" s="6">
        <f>$J$3+[11]FormattedData!J67*$J$4+$M$4*$J$5+[11]FormattedData!J67^2*$J$6+$M$5*$J$7</f>
        <v>30.445586083369168</v>
      </c>
      <c r="R68" s="6">
        <f>$J$3+[11]FormattedData!K67*$J$4+$M$4*$J$5+[11]FormattedData!K67^2*$J$6+$M$5*$J$7</f>
        <v>31.994269126820171</v>
      </c>
      <c r="S68" s="6">
        <f>$J$3+[11]FormattedData!L67*$J$4+$M$4*$J$5+[11]FormattedData!L67^2*$J$6+$M$5*$J$7</f>
        <v>31.221280198308463</v>
      </c>
      <c r="T68" s="6">
        <f>$J$3+[11]FormattedData!M67*$J$4+$M$4*$J$5+[11]FormattedData!M67^2*$J$6+$M$5*$J$7</f>
        <v>31.801275505919826</v>
      </c>
      <c r="U68" s="6">
        <f>$J$3+[11]FormattedData!N67*$J$4+$M$4*$J$5+[11]FormattedData!N67^2*$J$6+$M$5*$J$7</f>
        <v>31.414781041663979</v>
      </c>
      <c r="V68" s="6">
        <f>$J$3+[11]FormattedData!O67*$J$4+$M$4*$J$5+[11]FormattedData!O67^2*$J$6+$M$5*$J$7</f>
        <v>31.511468060534835</v>
      </c>
      <c r="W68" s="5">
        <f t="shared" si="9"/>
        <v>31.678842229293313</v>
      </c>
      <c r="X68" s="4">
        <f t="shared" si="10"/>
        <v>0.2630551367192267</v>
      </c>
      <c r="Y68" s="3">
        <f t="shared" si="11"/>
        <v>30.445586083369168</v>
      </c>
      <c r="Z68" s="2">
        <f t="shared" si="12"/>
        <v>31.124402971016913</v>
      </c>
      <c r="AA68" s="3">
        <f t="shared" si="13"/>
        <v>31.608091676598796</v>
      </c>
      <c r="AB68" s="2">
        <f t="shared" si="14"/>
        <v>32.138760731267837</v>
      </c>
      <c r="AC68" s="2">
        <f t="shared" si="15"/>
        <v>33.340490396874252</v>
      </c>
      <c r="AD68" s="2">
        <f t="shared" si="16"/>
        <v>0.36201928548735862</v>
      </c>
      <c r="AE68" s="2">
        <f t="shared" si="17"/>
        <v>-0.51234037655501075</v>
      </c>
    </row>
    <row r="69" spans="2:31" x14ac:dyDescent="0.2">
      <c r="B69" s="1">
        <f>[11]FormattedData!A69</f>
        <v>304</v>
      </c>
      <c r="C69" s="1" t="str">
        <f>VLOOKUP($B69,[11]TrtCodes!$B$11:I112,2)</f>
        <v>FSL</v>
      </c>
      <c r="D69" s="1">
        <f>VLOOKUP($B69,[11]TrtCodes!$B$11:J112,3)</f>
        <v>2</v>
      </c>
      <c r="E69" s="1">
        <f>VLOOKUP($B69,[11]TrtCodes!$B$11:K112,4)</f>
        <v>1</v>
      </c>
      <c r="F69" s="1">
        <f>VLOOKUP($B69,[11]TrtCodes!$B$11:L112,5)</f>
        <v>1</v>
      </c>
      <c r="G69" s="1">
        <f>VLOOKUP($B69,[11]TrtCodes!$B$11:M112,6)</f>
        <v>1</v>
      </c>
      <c r="H69" s="1">
        <f>VLOOKUP($B69,[11]TrtCodes!$B$11:N112,7)</f>
        <v>3</v>
      </c>
      <c r="I69" s="1">
        <f>[11]FormattedData!B69</f>
        <v>2</v>
      </c>
      <c r="J69" s="4">
        <f>[11]FormattedData!C69</f>
        <v>13.619</v>
      </c>
      <c r="K69" s="6">
        <f>$J$3+[11]FormattedData!D69*$J$4+$M$4*$J$5+[11]FormattedData!D69^2*$J$6+$M$5*$J$7</f>
        <v>30.639763223331574</v>
      </c>
      <c r="L69" s="6">
        <f>$J$3+[11]FormattedData!E69*$J$4+$M$4*$J$5+[11]FormattedData!E69^2*$J$6+$M$5*$J$7</f>
        <v>29.569696660910722</v>
      </c>
      <c r="M69" s="6">
        <f>$J$3+[11]FormattedData!F69*$J$4+$M$4*$J$5+[11]FormattedData!F69^2*$J$6+$M$5*$J$7</f>
        <v>31.31805175425518</v>
      </c>
      <c r="N69" s="6">
        <f>$J$3+[11]FormattedData!G69*$J$4+$M$4*$J$5+[11]FormattedData!G69^2*$J$6+$M$5*$J$7</f>
        <v>31.31805175425518</v>
      </c>
      <c r="O69" s="6">
        <f>$J$3+[11]FormattedData!H69*$J$4+$M$4*$J$5+[11]FormattedData!H69^2*$J$6+$M$5*$J$7</f>
        <v>31.027610280801223</v>
      </c>
      <c r="P69" s="6">
        <f>$J$3+[11]FormattedData!I69*$J$4+$M$4*$J$5+[11]FormattedData!I69^2*$J$6+$M$5*$J$7</f>
        <v>31.027610280801223</v>
      </c>
      <c r="Q69" s="6">
        <f>$J$3+[11]FormattedData!J69*$J$4+$M$4*$J$5+[11]FormattedData!J69^2*$J$6+$M$5*$J$7</f>
        <v>29.862040218571579</v>
      </c>
      <c r="R69" s="6">
        <f>$J$3+[11]FormattedData!K69*$J$4+$M$4*$J$5+[11]FormattedData!K69^2*$J$6+$M$5*$J$7</f>
        <v>30.154003359391062</v>
      </c>
      <c r="S69" s="6">
        <f>$J$3+[11]FormattedData!L69*$J$4+$M$4*$J$5+[11]FormattedData!L69^2*$J$6+$M$5*$J$7</f>
        <v>28.788254024812787</v>
      </c>
      <c r="T69" s="6">
        <f>$J$3+[11]FormattedData!M69*$J$4+$M$4*$J$5+[11]FormattedData!M69^2*$J$6+$M$5*$J$7</f>
        <v>30.736788390505886</v>
      </c>
      <c r="U69" s="6">
        <f>$J$3+[11]FormattedData!N69*$J$4+$M$4*$J$5+[11]FormattedData!N69^2*$J$6+$M$5*$J$7</f>
        <v>29.472164271281237</v>
      </c>
      <c r="V69" s="6">
        <f>$J$3+[11]FormattedData!O69*$J$4+$M$4*$J$5+[11]FormattedData!O69^2*$J$6+$M$5*$J$7</f>
        <v>28.886082294207789</v>
      </c>
      <c r="W69" s="5">
        <f t="shared" si="9"/>
        <v>30.233343042760453</v>
      </c>
      <c r="X69" s="4">
        <f t="shared" si="10"/>
        <v>0.26257633030285116</v>
      </c>
      <c r="Y69" s="3">
        <f t="shared" si="11"/>
        <v>28.788254024812787</v>
      </c>
      <c r="Z69" s="2">
        <f t="shared" si="12"/>
        <v>29.545313563503349</v>
      </c>
      <c r="AA69" s="3">
        <f t="shared" si="13"/>
        <v>30.39688329136132</v>
      </c>
      <c r="AB69" s="2">
        <f t="shared" si="14"/>
        <v>31.027610280801223</v>
      </c>
      <c r="AC69" s="2">
        <f t="shared" si="15"/>
        <v>31.31805175425518</v>
      </c>
      <c r="AD69" s="2">
        <f t="shared" si="16"/>
        <v>-0.36222503330235711</v>
      </c>
      <c r="AE69" s="2">
        <f t="shared" si="17"/>
        <v>-1.3030490008679023</v>
      </c>
    </row>
    <row r="70" spans="2:31" x14ac:dyDescent="0.2">
      <c r="B70" s="1">
        <f>[11]FormattedData!A71</f>
        <v>305</v>
      </c>
      <c r="C70" s="1" t="str">
        <f>VLOOKUP($B70,[11]TrtCodes!$B$11:I114,2)</f>
        <v>NDH</v>
      </c>
      <c r="D70" s="1">
        <f>VLOOKUP($B70,[11]TrtCodes!$B$11:J114,3)</f>
        <v>11</v>
      </c>
      <c r="E70" s="1">
        <f>VLOOKUP($B70,[11]TrtCodes!$B$11:K114,4)</f>
        <v>2</v>
      </c>
      <c r="F70" s="1">
        <f>VLOOKUP($B70,[11]TrtCodes!$B$11:L114,5)</f>
        <v>3</v>
      </c>
      <c r="G70" s="1">
        <f>VLOOKUP($B70,[11]TrtCodes!$B$11:M114,6)</f>
        <v>2</v>
      </c>
      <c r="H70" s="1">
        <f>VLOOKUP($B70,[11]TrtCodes!$B$11:N114,7)</f>
        <v>4</v>
      </c>
      <c r="I70" s="1">
        <f>[11]FormattedData!B71</f>
        <v>2</v>
      </c>
      <c r="J70" s="4">
        <f>[11]FormattedData!C71</f>
        <v>13.638</v>
      </c>
      <c r="K70" s="6">
        <f>$J$3+[11]FormattedData!D71*$J$4+$M$4*$J$5+[11]FormattedData!D71^2*$J$6+$M$5*$J$7</f>
        <v>29.179313491165203</v>
      </c>
      <c r="L70" s="6">
        <f>$J$3+[11]FormattedData!E71*$J$4+$M$4*$J$5+[11]FormattedData!E71^2*$J$6+$M$5*$J$7</f>
        <v>30.542695787619337</v>
      </c>
      <c r="M70" s="6">
        <f>$J$3+[11]FormattedData!F71*$J$4+$M$4*$J$5+[11]FormattedData!F71^2*$J$6+$M$5*$J$7</f>
        <v>31.124466373823804</v>
      </c>
      <c r="N70" s="6">
        <f>$J$3+[11]FormattedData!G71*$J$4+$M$4*$J$5+[11]FormattedData!G71^2*$J$6+$M$5*$J$7</f>
        <v>30.736788390505886</v>
      </c>
      <c r="O70" s="6">
        <f>$J$3+[11]FormattedData!H71*$J$4+$M$4*$J$5+[11]FormattedData!H71^2*$J$6+$M$5*$J$7</f>
        <v>30.154003359391062</v>
      </c>
      <c r="P70" s="6">
        <f>$J$3+[11]FormattedData!I71*$J$4+$M$4*$J$5+[11]FormattedData!I71^2*$J$6+$M$5*$J$7</f>
        <v>30.154003359391062</v>
      </c>
      <c r="Q70" s="6">
        <f>$J$3+[11]FormattedData!J71*$J$4+$M$4*$J$5+[11]FormattedData!J71^2*$J$6+$M$5*$J$7</f>
        <v>31.221280198308463</v>
      </c>
      <c r="R70" s="6">
        <f>$J$3+[11]FormattedData!K71*$J$4+$M$4*$J$5+[11]FormattedData!K71^2*$J$6+$M$5*$J$7</f>
        <v>29.862040218571579</v>
      </c>
      <c r="S70" s="6">
        <f>$J$3+[11]FormattedData!L71*$J$4+$M$4*$J$5+[11]FormattedData!L71^2*$J$6+$M$5*$J$7</f>
        <v>30.930711919240711</v>
      </c>
      <c r="T70" s="6">
        <f>$J$3+[11]FormattedData!M71*$J$4+$M$4*$J$5+[11]FormattedData!M71^2*$J$6+$M$5*$J$7</f>
        <v>30.445586083369168</v>
      </c>
      <c r="U70" s="6">
        <f>$J$3+[11]FormattedData!N71*$J$4+$M$4*$J$5+[11]FormattedData!N71^2*$J$6+$M$5*$J$7</f>
        <v>32.187093673568782</v>
      </c>
      <c r="V70" s="6">
        <f>$J$3+[11]FormattedData!O71*$J$4+$M$4*$J$5+[11]FormattedData!O71^2*$J$6+$M$5*$J$7</f>
        <v>29.472164271281237</v>
      </c>
      <c r="W70" s="5">
        <f t="shared" si="9"/>
        <v>30.500845593853025</v>
      </c>
      <c r="X70" s="4">
        <f t="shared" si="10"/>
        <v>0.23756856006611823</v>
      </c>
      <c r="Y70" s="3">
        <f t="shared" si="11"/>
        <v>29.179313491165203</v>
      </c>
      <c r="Z70" s="2">
        <f t="shared" si="12"/>
        <v>30.08101257418619</v>
      </c>
      <c r="AA70" s="3">
        <f t="shared" si="13"/>
        <v>30.494140935494251</v>
      </c>
      <c r="AB70" s="2">
        <f t="shared" si="14"/>
        <v>30.979150532886486</v>
      </c>
      <c r="AC70" s="2">
        <f t="shared" si="15"/>
        <v>32.187093673568782</v>
      </c>
      <c r="AD70" s="2">
        <f t="shared" si="16"/>
        <v>0.34506733378819499</v>
      </c>
      <c r="AE70" s="2">
        <f t="shared" si="17"/>
        <v>0.40112003525730344</v>
      </c>
    </row>
    <row r="71" spans="2:31" x14ac:dyDescent="0.2">
      <c r="B71" s="1">
        <f>[11]FormattedData!A73</f>
        <v>306</v>
      </c>
      <c r="C71" s="1" t="str">
        <f>VLOOKUP($B71,[11]TrtCodes!$B$11:I116,2)</f>
        <v>FTL</v>
      </c>
      <c r="D71" s="1">
        <f>VLOOKUP($B71,[11]TrtCodes!$B$11:J116,3)</f>
        <v>4</v>
      </c>
      <c r="E71" s="1">
        <f>VLOOKUP($B71,[11]TrtCodes!$B$11:K116,4)</f>
        <v>1</v>
      </c>
      <c r="F71" s="1">
        <f>VLOOKUP($B71,[11]TrtCodes!$B$11:L116,5)</f>
        <v>2</v>
      </c>
      <c r="G71" s="1">
        <f>VLOOKUP($B71,[11]TrtCodes!$B$11:M116,6)</f>
        <v>1</v>
      </c>
      <c r="H71" s="1">
        <f>VLOOKUP($B71,[11]TrtCodes!$B$11:N116,7)</f>
        <v>4</v>
      </c>
      <c r="I71" s="1">
        <f>[11]FormattedData!B73</f>
        <v>2</v>
      </c>
      <c r="J71" s="4">
        <f>[11]FormattedData!C73</f>
        <v>13.656000000000001</v>
      </c>
      <c r="K71" s="6">
        <f>$J$3+[11]FormattedData!D73*$J$4+$M$4*$J$5+[11]FormattedData!D73^2*$J$6+$M$5*$J$7</f>
        <v>27.512640085726048</v>
      </c>
      <c r="L71" s="6">
        <f>$J$3+[11]FormattedData!E73*$J$4+$M$4*$J$5+[11]FormattedData!E73^2*$J$6+$M$5*$J$7</f>
        <v>28.983868295064859</v>
      </c>
      <c r="M71" s="6">
        <f>$J$3+[11]FormattedData!F73*$J$4+$M$4*$J$5+[11]FormattedData!F73^2*$J$6+$M$5*$J$7</f>
        <v>30.154003359391062</v>
      </c>
      <c r="N71" s="6">
        <f>$J$3+[11]FormattedData!G73*$J$4+$M$4*$J$5+[11]FormattedData!G73^2*$J$6+$M$5*$J$7</f>
        <v>31.124466373823804</v>
      </c>
      <c r="O71" s="6">
        <f>$J$3+[11]FormattedData!H73*$J$4+$M$4*$J$5+[11]FormattedData!H73^2*$J$6+$M$5*$J$7</f>
        <v>28.592470680408994</v>
      </c>
      <c r="P71" s="6">
        <f>$J$3+[11]FormattedData!I73*$J$4+$M$4*$J$5+[11]FormattedData!I73^2*$J$6+$M$5*$J$7</f>
        <v>29.472164271281237</v>
      </c>
      <c r="Q71" s="6">
        <f>$J$3+[11]FormattedData!J73*$J$4+$M$4*$J$5+[11]FormattedData!J73^2*$J$6+$M$5*$J$7</f>
        <v>29.179313491165203</v>
      </c>
      <c r="R71" s="6">
        <f>$J$3+[11]FormattedData!K73*$J$4+$M$4*$J$5+[11]FormattedData!K73^2*$J$6+$M$5*$J$7</f>
        <v>29.959403534049343</v>
      </c>
      <c r="S71" s="6">
        <f>$J$3+[11]FormattedData!L73*$J$4+$M$4*$J$5+[11]FormattedData!L73^2*$J$6+$M$5*$J$7</f>
        <v>28.983868295064859</v>
      </c>
      <c r="T71" s="6">
        <f>$J$3+[11]FormattedData!M73*$J$4+$M$4*$J$5+[11]FormattedData!M73^2*$J$6+$M$5*$J$7</f>
        <v>31.414781041663979</v>
      </c>
      <c r="U71" s="6">
        <f>$J$3+[11]FormattedData!N73*$J$4+$M$4*$J$5+[11]FormattedData!N73^2*$J$6+$M$5*$J$7</f>
        <v>28.200396769146231</v>
      </c>
      <c r="V71" s="6">
        <f>$J$3+[11]FormattedData!O73*$J$4+$M$4*$J$5+[11]FormattedData!O73^2*$J$6+$M$5*$J$7</f>
        <v>30.542695787619337</v>
      </c>
      <c r="W71" s="5">
        <f t="shared" si="9"/>
        <v>29.510005998700407</v>
      </c>
      <c r="X71" s="4">
        <f t="shared" si="10"/>
        <v>0.3385423129929947</v>
      </c>
      <c r="Y71" s="3">
        <f t="shared" si="11"/>
        <v>27.512640085726048</v>
      </c>
      <c r="Z71" s="2">
        <f t="shared" si="12"/>
        <v>28.886018891400894</v>
      </c>
      <c r="AA71" s="3">
        <f t="shared" si="13"/>
        <v>29.32573888122322</v>
      </c>
      <c r="AB71" s="2">
        <f t="shared" si="14"/>
        <v>30.251176466448129</v>
      </c>
      <c r="AC71" s="2">
        <f t="shared" si="15"/>
        <v>31.414781041663979</v>
      </c>
      <c r="AD71" s="2">
        <f t="shared" si="16"/>
        <v>8.546442754822936E-2</v>
      </c>
      <c r="AE71" s="2">
        <f t="shared" si="17"/>
        <v>-0.61456576343133973</v>
      </c>
    </row>
    <row r="72" spans="2:31" x14ac:dyDescent="0.2">
      <c r="B72" s="1">
        <f>[11]FormattedData!A75</f>
        <v>307</v>
      </c>
      <c r="C72" s="1" t="str">
        <f>VLOOKUP($B72,[11]TrtCodes!$B$11:I118,2)</f>
        <v>NTH</v>
      </c>
      <c r="D72" s="1">
        <f>VLOOKUP($B72,[11]TrtCodes!$B$11:J118,3)</f>
        <v>9</v>
      </c>
      <c r="E72" s="1">
        <f>VLOOKUP($B72,[11]TrtCodes!$B$11:K118,4)</f>
        <v>2</v>
      </c>
      <c r="F72" s="1">
        <f>VLOOKUP($B72,[11]TrtCodes!$B$11:L118,5)</f>
        <v>2</v>
      </c>
      <c r="G72" s="1">
        <f>VLOOKUP($B72,[11]TrtCodes!$B$11:M118,6)</f>
        <v>2</v>
      </c>
      <c r="H72" s="1">
        <f>VLOOKUP($B72,[11]TrtCodes!$B$11:N118,7)</f>
        <v>4</v>
      </c>
      <c r="I72" s="1">
        <f>[11]FormattedData!B75</f>
        <v>2</v>
      </c>
      <c r="J72" s="4">
        <f>[11]FormattedData!C75</f>
        <v>13.673999999999999</v>
      </c>
      <c r="K72" s="6">
        <f>$J$3+[11]FormattedData!D75*$J$4+$M$4*$J$5+[11]FormattedData!D75^2*$J$6+$M$5*$J$7</f>
        <v>28.788254024812787</v>
      </c>
      <c r="L72" s="6">
        <f>$J$3+[11]FormattedData!E75*$J$4+$M$4*$J$5+[11]FormattedData!E75^2*$J$6+$M$5*$J$7</f>
        <v>29.862040218571579</v>
      </c>
      <c r="M72" s="6">
        <f>$J$3+[11]FormattedData!F75*$J$4+$M$4*$J$5+[11]FormattedData!F75^2*$J$6+$M$5*$J$7</f>
        <v>29.667186782002268</v>
      </c>
      <c r="N72" s="6">
        <f>$J$3+[11]FormattedData!G75*$J$4+$M$4*$J$5+[11]FormattedData!G75^2*$J$6+$M$5*$J$7</f>
        <v>29.472164271281237</v>
      </c>
      <c r="O72" s="6">
        <f>$J$3+[11]FormattedData!H75*$J$4+$M$4*$J$5+[11]FormattedData!H75^2*$J$6+$M$5*$J$7</f>
        <v>29.179313491165203</v>
      </c>
      <c r="P72" s="6">
        <f>$J$3+[11]FormattedData!I75*$J$4+$M$4*$J$5+[11]FormattedData!I75^2*$J$6+$M$5*$J$7</f>
        <v>29.569696660910722</v>
      </c>
      <c r="Q72" s="6">
        <f>$J$3+[11]FormattedData!J75*$J$4+$M$4*$J$5+[11]FormattedData!J75^2*$J$6+$M$5*$J$7</f>
        <v>29.667186782002268</v>
      </c>
      <c r="R72" s="6">
        <f>$J$3+[11]FormattedData!K75*$J$4+$M$4*$J$5+[11]FormattedData!K75^2*$J$6+$M$5*$J$7</f>
        <v>31.31805175425518</v>
      </c>
      <c r="S72" s="6">
        <f>$J$3+[11]FormattedData!L75*$J$4+$M$4*$J$5+[11]FormattedData!L75^2*$J$6+$M$5*$J$7</f>
        <v>31.027610280801223</v>
      </c>
      <c r="T72" s="6">
        <f>$J$3+[11]FormattedData!M75*$J$4+$M$4*$J$5+[11]FormattedData!M75^2*$J$6+$M$5*$J$7</f>
        <v>30.154003359391062</v>
      </c>
      <c r="U72" s="6">
        <f>$J$3+[11]FormattedData!N75*$J$4+$M$4*$J$5+[11]FormattedData!N75^2*$J$6+$M$5*$J$7</f>
        <v>30.833771289142263</v>
      </c>
      <c r="V72" s="6">
        <f>$J$3+[11]FormattedData!O75*$J$4+$M$4*$J$5+[11]FormattedData!O75^2*$J$6+$M$5*$J$7</f>
        <v>30.056724580989165</v>
      </c>
      <c r="W72" s="5">
        <f t="shared" si="9"/>
        <v>29.966333624610414</v>
      </c>
      <c r="X72" s="4">
        <f t="shared" si="10"/>
        <v>0.21929535647884468</v>
      </c>
      <c r="Y72" s="3">
        <f t="shared" si="11"/>
        <v>28.788254024812787</v>
      </c>
      <c r="Z72" s="2">
        <f t="shared" si="12"/>
        <v>29.545313563503349</v>
      </c>
      <c r="AA72" s="3">
        <f t="shared" si="13"/>
        <v>29.764613500286924</v>
      </c>
      <c r="AB72" s="2">
        <f t="shared" si="14"/>
        <v>30.32394534182886</v>
      </c>
      <c r="AC72" s="2">
        <f t="shared" si="15"/>
        <v>31.31805175425518</v>
      </c>
      <c r="AD72" s="2">
        <f t="shared" si="16"/>
        <v>0.48895478541106702</v>
      </c>
      <c r="AE72" s="2">
        <f t="shared" si="17"/>
        <v>-0.44446796307343206</v>
      </c>
    </row>
    <row r="73" spans="2:31" x14ac:dyDescent="0.2">
      <c r="B73" s="1">
        <f>[11]FormattedData!A77</f>
        <v>308</v>
      </c>
      <c r="C73" s="1" t="str">
        <f>VLOOKUP($B73,[11]TrtCodes!$B$11:I120,2)</f>
        <v>FDH</v>
      </c>
      <c r="D73" s="1">
        <f>VLOOKUP($B73,[11]TrtCodes!$B$11:J120,3)</f>
        <v>5</v>
      </c>
      <c r="E73" s="1">
        <f>VLOOKUP($B73,[11]TrtCodes!$B$11:K120,4)</f>
        <v>1</v>
      </c>
      <c r="F73" s="1">
        <f>VLOOKUP($B73,[11]TrtCodes!$B$11:L120,5)</f>
        <v>3</v>
      </c>
      <c r="G73" s="1">
        <f>VLOOKUP($B73,[11]TrtCodes!$B$11:M120,6)</f>
        <v>2</v>
      </c>
      <c r="H73" s="1">
        <f>VLOOKUP($B73,[11]TrtCodes!$B$11:N120,7)</f>
        <v>4</v>
      </c>
      <c r="I73" s="1">
        <f>[11]FormattedData!B77</f>
        <v>2</v>
      </c>
      <c r="J73" s="4">
        <f>[11]FormattedData!C77</f>
        <v>13.692</v>
      </c>
      <c r="K73" s="6">
        <f>$J$3+[11]FormattedData!D77*$J$4+$M$4*$J$5+[11]FormattedData!D77^2*$J$6+$M$5*$J$7</f>
        <v>28.200396769146231</v>
      </c>
      <c r="L73" s="6">
        <f>$J$3+[11]FormattedData!E77*$J$4+$M$4*$J$5+[11]FormattedData!E77^2*$J$6+$M$5*$J$7</f>
        <v>29.276972686408481</v>
      </c>
      <c r="M73" s="6">
        <f>$J$3+[11]FormattedData!F77*$J$4+$M$4*$J$5+[11]FormattedData!F77^2*$J$6+$M$5*$J$7</f>
        <v>30.056724580989165</v>
      </c>
      <c r="N73" s="6">
        <f>$J$3+[11]FormattedData!G77*$J$4+$M$4*$J$5+[11]FormattedData!G77^2*$J$6+$M$5*$J$7</f>
        <v>29.764634634555893</v>
      </c>
      <c r="O73" s="6">
        <f>$J$3+[11]FormattedData!H77*$J$4+$M$4*$J$5+[11]FormattedData!H77^2*$J$6+$M$5*$J$7</f>
        <v>28.298478649768818</v>
      </c>
      <c r="P73" s="6">
        <f>$J$3+[11]FormattedData!I77*$J$4+$M$4*$J$5+[11]FormattedData!I77^2*$J$6+$M$5*$J$7</f>
        <v>31.31805175425518</v>
      </c>
      <c r="Q73" s="6">
        <f>$J$3+[11]FormattedData!J77*$J$4+$M$4*$J$5+[11]FormattedData!J77^2*$J$6+$M$5*$J$7</f>
        <v>28.788254024812787</v>
      </c>
      <c r="R73" s="6">
        <f>$J$3+[11]FormattedData!K77*$J$4+$M$4*$J$5+[11]FormattedData!K77^2*$J$6+$M$5*$J$7</f>
        <v>29.667186782002268</v>
      </c>
      <c r="S73" s="6">
        <f>$J$3+[11]FormattedData!L77*$J$4+$M$4*$J$5+[11]FormattedData!L77^2*$J$6+$M$5*$J$7</f>
        <v>29.862040218571579</v>
      </c>
      <c r="T73" s="6">
        <f>$J$3+[11]FormattedData!M77*$J$4+$M$4*$J$5+[11]FormattedData!M77^2*$J$6+$M$5*$J$7</f>
        <v>30.251239869255031</v>
      </c>
      <c r="U73" s="6">
        <f>$J$3+[11]FormattedData!N77*$J$4+$M$4*$J$5+[11]FormattedData!N77^2*$J$6+$M$5*$J$7</f>
        <v>30.736788390505886</v>
      </c>
      <c r="V73" s="6">
        <f>$J$3+[11]FormattedData!O77*$J$4+$M$4*$J$5+[11]FormattedData!O77^2*$J$6+$M$5*$J$7</f>
        <v>30.445586083369168</v>
      </c>
      <c r="W73" s="5">
        <f t="shared" si="9"/>
        <v>29.722196203636702</v>
      </c>
      <c r="X73" s="4">
        <f t="shared" si="10"/>
        <v>0.27426129667442867</v>
      </c>
      <c r="Y73" s="3">
        <f t="shared" si="11"/>
        <v>28.200396769146231</v>
      </c>
      <c r="Z73" s="2">
        <f t="shared" si="12"/>
        <v>29.154793021009556</v>
      </c>
      <c r="AA73" s="3">
        <f t="shared" si="13"/>
        <v>29.813337426563734</v>
      </c>
      <c r="AB73" s="2">
        <f t="shared" si="14"/>
        <v>30.299826422783564</v>
      </c>
      <c r="AC73" s="2">
        <f t="shared" si="15"/>
        <v>31.31805175425518</v>
      </c>
      <c r="AD73" s="2">
        <f t="shared" si="16"/>
        <v>-0.20832544606938333</v>
      </c>
      <c r="AE73" s="2">
        <f t="shared" si="17"/>
        <v>-0.51669844182230884</v>
      </c>
    </row>
    <row r="74" spans="2:31" x14ac:dyDescent="0.2">
      <c r="B74" s="1">
        <f>[11]FormattedData!A93</f>
        <v>401</v>
      </c>
      <c r="C74" s="1" t="str">
        <f>VLOOKUP($B74,[11]TrtCodes!$B$11:I130,2)</f>
        <v>NSH</v>
      </c>
      <c r="D74" s="1">
        <f>VLOOKUP($B74,[11]TrtCodes!$B$11:J130,3)</f>
        <v>7</v>
      </c>
      <c r="E74" s="1">
        <f>VLOOKUP($B74,[11]TrtCodes!$B$11:K130,4)</f>
        <v>2</v>
      </c>
      <c r="F74" s="1">
        <f>VLOOKUP($B74,[11]TrtCodes!$B$11:L130,5)</f>
        <v>1</v>
      </c>
      <c r="G74" s="1">
        <f>VLOOKUP($B74,[11]TrtCodes!$B$11:M130,6)</f>
        <v>2</v>
      </c>
      <c r="H74" s="1">
        <f>VLOOKUP($B74,[11]TrtCodes!$B$11:N130,7)</f>
        <v>3</v>
      </c>
      <c r="I74" s="1">
        <f>[11]FormattedData!B93</f>
        <v>2</v>
      </c>
      <c r="J74" s="4">
        <f>[11]FormattedData!C93</f>
        <v>13.868</v>
      </c>
      <c r="K74" s="6">
        <f>$J$3+[11]FormattedData!D93*$J$4+$M$4*$J$5+[11]FormattedData!D93^2*$J$6+$M$5*$J$7</f>
        <v>30.251239869255031</v>
      </c>
      <c r="L74" s="6">
        <f>$J$3+[11]FormattedData!E93*$J$4+$M$4*$J$5+[11]FormattedData!E93^2*$J$6+$M$5*$J$7</f>
        <v>29.959403534049343</v>
      </c>
      <c r="M74" s="6">
        <f>$J$3+[11]FormattedData!F93*$J$4+$M$4*$J$5+[11]FormattedData!F93^2*$J$6+$M$5*$J$7</f>
        <v>31.994269126820171</v>
      </c>
      <c r="N74" s="6">
        <f>$J$3+[11]FormattedData!G93*$J$4+$M$4*$J$5+[11]FormattedData!G93^2*$J$6+$M$5*$J$7</f>
        <v>31.221280198308463</v>
      </c>
      <c r="O74" s="6">
        <f>$J$3+[11]FormattedData!H93*$J$4+$M$4*$J$5+[11]FormattedData!H93^2*$J$6+$M$5*$J$7</f>
        <v>31.31805175425518</v>
      </c>
      <c r="P74" s="6">
        <f>$J$3+[11]FormattedData!I93*$J$4+$M$4*$J$5+[11]FormattedData!I93^2*$J$6+$M$5*$J$7</f>
        <v>29.862040218571579</v>
      </c>
      <c r="Q74" s="6">
        <f>$J$3+[11]FormattedData!J93*$J$4+$M$4*$J$5+[11]FormattedData!J93^2*$J$6+$M$5*$J$7</f>
        <v>31.994269126820171</v>
      </c>
      <c r="R74" s="6">
        <f>$J$3+[11]FormattedData!K93*$J$4+$M$4*$J$5+[11]FormattedData!K93^2*$J$6+$M$5*$J$7</f>
        <v>31.801275505919826</v>
      </c>
      <c r="S74" s="6">
        <f>$J$3+[11]FormattedData!L93*$J$4+$M$4*$J$5+[11]FormattedData!L93^2*$J$6+$M$5*$J$7</f>
        <v>31.511468060534835</v>
      </c>
      <c r="T74" s="6">
        <f>$J$3+[11]FormattedData!M93*$J$4+$M$4*$J$5+[11]FormattedData!M93^2*$J$6+$M$5*$J$7</f>
        <v>31.801275505919826</v>
      </c>
      <c r="U74" s="6">
        <f>$J$3+[11]FormattedData!N93*$J$4+$M$4*$J$5+[11]FormattedData!N93^2*$J$6+$M$5*$J$7</f>
        <v>32.668415341026524</v>
      </c>
      <c r="V74" s="6">
        <f>$J$3+[11]FormattedData!O93*$J$4+$M$4*$J$5+[11]FormattedData!O93^2*$J$6+$M$5*$J$7</f>
        <v>31.994269126820171</v>
      </c>
      <c r="W74" s="5">
        <f t="shared" ref="W74:W105" si="18">AVERAGE(K74:V74)</f>
        <v>31.364771447358425</v>
      </c>
      <c r="X74" s="4">
        <f t="shared" ref="X74:X85" si="19">STDEV(K74:V74)/SQRT(COUNT(K74:V74))</f>
        <v>0.2580061373312898</v>
      </c>
      <c r="Y74" s="3">
        <f t="shared" ref="Y74:Y85" si="20">MIN(K74:V74)</f>
        <v>29.862040218571579</v>
      </c>
      <c r="Z74" s="2">
        <f t="shared" ref="Z74:Z85" si="21">QUARTILE(K74:V74,1)</f>
        <v>30.978770116045105</v>
      </c>
      <c r="AA74" s="3">
        <f t="shared" ref="AA74:AA85" si="22">MEDIAN(K74:V74)</f>
        <v>31.656371783227328</v>
      </c>
      <c r="AB74" s="2">
        <f t="shared" ref="AB74:AB85" si="23">QUARTILE(K74:V74,3)</f>
        <v>31.994269126820171</v>
      </c>
      <c r="AC74" s="2">
        <f t="shared" ref="AC74:AC85" si="24">MAX(K74:V74)</f>
        <v>32.668415341026524</v>
      </c>
      <c r="AD74" s="2">
        <f t="shared" ref="AD74:AD85" si="25">SKEW(K74:V74)</f>
        <v>-0.675314703509029</v>
      </c>
      <c r="AE74" s="2">
        <f t="shared" ref="AE74:AE85" si="26">KURT(K74:V74)</f>
        <v>-0.58329854299646655</v>
      </c>
    </row>
    <row r="75" spans="2:31" x14ac:dyDescent="0.2">
      <c r="B75" s="1">
        <f>[11]FormattedData!A91</f>
        <v>402</v>
      </c>
      <c r="C75" s="1" t="str">
        <f>VLOOKUP($B75,[11]TrtCodes!$B$11:I131,2)</f>
        <v>NTH</v>
      </c>
      <c r="D75" s="1">
        <f>VLOOKUP($B75,[11]TrtCodes!$B$11:J131,3)</f>
        <v>9</v>
      </c>
      <c r="E75" s="1">
        <f>VLOOKUP($B75,[11]TrtCodes!$B$11:K131,4)</f>
        <v>2</v>
      </c>
      <c r="F75" s="1">
        <f>VLOOKUP($B75,[11]TrtCodes!$B$11:L131,5)</f>
        <v>2</v>
      </c>
      <c r="G75" s="1">
        <f>VLOOKUP($B75,[11]TrtCodes!$B$11:M131,6)</f>
        <v>2</v>
      </c>
      <c r="H75" s="1">
        <f>VLOOKUP($B75,[11]TrtCodes!$B$11:N131,7)</f>
        <v>3</v>
      </c>
      <c r="I75" s="1">
        <f>[11]FormattedData!B91</f>
        <v>2</v>
      </c>
      <c r="J75" s="4">
        <f>[11]FormattedData!C91</f>
        <v>13.847</v>
      </c>
      <c r="K75" s="6">
        <f>$J$3+[11]FormattedData!D91*$J$4+$M$4*$J$5+[11]FormattedData!D91^2*$J$6+$M$5*$J$7</f>
        <v>28.788254024812787</v>
      </c>
      <c r="L75" s="6">
        <f>$J$3+[11]FormattedData!E91*$J$4+$M$4*$J$5+[11]FormattedData!E91^2*$J$6+$M$5*$J$7</f>
        <v>27.905897516050882</v>
      </c>
      <c r="M75" s="6">
        <f>$J$3+[11]FormattedData!F91*$J$4+$M$4*$J$5+[11]FormattedData!F91^2*$J$6+$M$5*$J$7</f>
        <v>30.056724580989165</v>
      </c>
      <c r="N75" s="6">
        <f>$J$3+[11]FormattedData!G91*$J$4+$M$4*$J$5+[11]FormattedData!G91^2*$J$6+$M$5*$J$7</f>
        <v>30.34843411058106</v>
      </c>
      <c r="O75" s="6">
        <f>$J$3+[11]FormattedData!H91*$J$4+$M$4*$J$5+[11]FormattedData!H91^2*$J$6+$M$5*$J$7</f>
        <v>28.886082294207789</v>
      </c>
      <c r="P75" s="6">
        <f>$J$3+[11]FormattedData!I91*$J$4+$M$4*$J$5+[11]FormattedData!I91^2*$J$6+$M$5*$J$7</f>
        <v>29.959403534049343</v>
      </c>
      <c r="Q75" s="6">
        <f>$J$3+[11]FormattedData!J91*$J$4+$M$4*$J$5+[11]FormattedData!J91^2*$J$6+$M$5*$J$7</f>
        <v>30.251239869255031</v>
      </c>
      <c r="R75" s="6">
        <f>$J$3+[11]FormattedData!K91*$J$4+$M$4*$J$5+[11]FormattedData!K91^2*$J$6+$M$5*$J$7</f>
        <v>29.472164271281237</v>
      </c>
      <c r="S75" s="6">
        <f>$J$3+[11]FormattedData!L91*$J$4+$M$4*$J$5+[11]FormattedData!L91^2*$J$6+$M$5*$J$7</f>
        <v>29.081612027383997</v>
      </c>
      <c r="T75" s="6">
        <f>$J$3+[11]FormattedData!M91*$J$4+$M$4*$J$5+[11]FormattedData!M91^2*$J$6+$M$5*$J$7</f>
        <v>31.31805175425518</v>
      </c>
      <c r="U75" s="6">
        <f>$J$3+[11]FormattedData!N91*$J$4+$M$4*$J$5+[11]FormattedData!N91^2*$J$6+$M$5*$J$7</f>
        <v>31.221280198308463</v>
      </c>
      <c r="V75" s="6">
        <f>$J$3+[11]FormattedData!O91*$J$4+$M$4*$J$5+[11]FormattedData!O91^2*$J$6+$M$5*$J$7</f>
        <v>31.027610280801223</v>
      </c>
      <c r="W75" s="5">
        <f t="shared" si="18"/>
        <v>29.859729538498016</v>
      </c>
      <c r="X75" s="4">
        <f t="shared" si="19"/>
        <v>0.30716822166116081</v>
      </c>
      <c r="Y75" s="3">
        <f t="shared" si="20"/>
        <v>27.905897516050882</v>
      </c>
      <c r="Z75" s="2">
        <f t="shared" si="21"/>
        <v>29.032729594089943</v>
      </c>
      <c r="AA75" s="3">
        <f t="shared" si="22"/>
        <v>30.008064057519256</v>
      </c>
      <c r="AB75" s="2">
        <f t="shared" si="23"/>
        <v>30.5182281531361</v>
      </c>
      <c r="AC75" s="2">
        <f t="shared" si="24"/>
        <v>31.31805175425518</v>
      </c>
      <c r="AD75" s="2">
        <f t="shared" si="25"/>
        <v>-0.24786756669741641</v>
      </c>
      <c r="AE75" s="2">
        <f t="shared" si="26"/>
        <v>-0.70455755559975763</v>
      </c>
    </row>
    <row r="76" spans="2:31" x14ac:dyDescent="0.2">
      <c r="B76" s="1">
        <f>[11]FormattedData!A89</f>
        <v>403</v>
      </c>
      <c r="C76" s="1" t="str">
        <f>VLOOKUP($B76,[11]TrtCodes!$B$11:I132,2)</f>
        <v>FDL</v>
      </c>
      <c r="D76" s="1">
        <f>VLOOKUP($B76,[11]TrtCodes!$B$11:J132,3)</f>
        <v>6</v>
      </c>
      <c r="E76" s="1">
        <f>VLOOKUP($B76,[11]TrtCodes!$B$11:K132,4)</f>
        <v>1</v>
      </c>
      <c r="F76" s="1">
        <f>VLOOKUP($B76,[11]TrtCodes!$B$11:L132,5)</f>
        <v>3</v>
      </c>
      <c r="G76" s="1">
        <f>VLOOKUP($B76,[11]TrtCodes!$B$11:M132,6)</f>
        <v>1</v>
      </c>
      <c r="H76" s="1">
        <f>VLOOKUP($B76,[11]TrtCodes!$B$11:N132,7)</f>
        <v>3</v>
      </c>
      <c r="I76" s="1">
        <f>[11]FormattedData!B89</f>
        <v>2</v>
      </c>
      <c r="J76" s="4">
        <f>[11]FormattedData!C89</f>
        <v>13.829000000000001</v>
      </c>
      <c r="K76" s="6">
        <f>$J$3+[11]FormattedData!D89*$J$4+$M$4*$J$5+[11]FormattedData!D89^2*$J$6+$M$5*$J$7</f>
        <v>29.764634634555893</v>
      </c>
      <c r="L76" s="6">
        <f>$J$3+[11]FormattedData!E89*$J$4+$M$4*$J$5+[11]FormattedData!E89^2*$J$6+$M$5*$J$7</f>
        <v>28.004106202287264</v>
      </c>
      <c r="M76" s="6">
        <f>$J$3+[11]FormattedData!F89*$J$4+$M$4*$J$5+[11]FormattedData!F89^2*$J$6+$M$5*$J$7</f>
        <v>28.298478649768818</v>
      </c>
      <c r="N76" s="6">
        <f>$J$3+[11]FormattedData!G89*$J$4+$M$4*$J$5+[11]FormattedData!G89^2*$J$6+$M$5*$J$7</f>
        <v>28.200396769146231</v>
      </c>
      <c r="O76" s="6">
        <f>$J$3+[11]FormattedData!H89*$J$4+$M$4*$J$5+[11]FormattedData!H89^2*$J$6+$M$5*$J$7</f>
        <v>29.764634634555893</v>
      </c>
      <c r="P76" s="6">
        <f>$J$3+[11]FormattedData!I89*$J$4+$M$4*$J$5+[11]FormattedData!I89^2*$J$6+$M$5*$J$7</f>
        <v>29.179313491165203</v>
      </c>
      <c r="Q76" s="6">
        <f>$J$3+[11]FormattedData!J89*$J$4+$M$4*$J$5+[11]FormattedData!J89^2*$J$6+$M$5*$J$7</f>
        <v>30.056724580989165</v>
      </c>
      <c r="R76" s="6">
        <f>$J$3+[11]FormattedData!K89*$J$4+$M$4*$J$5+[11]FormattedData!K89^2*$J$6+$M$5*$J$7</f>
        <v>30.154003359391062</v>
      </c>
      <c r="S76" s="6">
        <f>$J$3+[11]FormattedData!L89*$J$4+$M$4*$J$5+[11]FormattedData!L89^2*$J$6+$M$5*$J$7</f>
        <v>29.179313491165203</v>
      </c>
      <c r="T76" s="6">
        <f>$J$3+[11]FormattedData!M89*$J$4+$M$4*$J$5+[11]FormattedData!M89^2*$J$6+$M$5*$J$7</f>
        <v>29.959403534049343</v>
      </c>
      <c r="U76" s="6">
        <f>$J$3+[11]FormattedData!N89*$J$4+$M$4*$J$5+[11]FormattedData!N89^2*$J$6+$M$5*$J$7</f>
        <v>28.298478649768818</v>
      </c>
      <c r="V76" s="6">
        <f>$J$3+[11]FormattedData!O89*$J$4+$M$4*$J$5+[11]FormattedData!O89^2*$J$6+$M$5*$J$7</f>
        <v>30.930711919240711</v>
      </c>
      <c r="W76" s="5">
        <f t="shared" si="18"/>
        <v>29.315849993006967</v>
      </c>
      <c r="X76" s="4">
        <f t="shared" si="19"/>
        <v>0.27175680876495029</v>
      </c>
      <c r="Y76" s="3">
        <f t="shared" si="20"/>
        <v>28.004106202287264</v>
      </c>
      <c r="Z76" s="2">
        <f t="shared" si="21"/>
        <v>28.298478649768818</v>
      </c>
      <c r="AA76" s="3">
        <f t="shared" si="22"/>
        <v>29.471974062860546</v>
      </c>
      <c r="AB76" s="2">
        <f t="shared" si="23"/>
        <v>29.9837337957843</v>
      </c>
      <c r="AC76" s="2">
        <f t="shared" si="24"/>
        <v>30.930711919240711</v>
      </c>
      <c r="AD76" s="2">
        <f t="shared" si="25"/>
        <v>-1.3353993337085868E-2</v>
      </c>
      <c r="AE76" s="2">
        <f t="shared" si="26"/>
        <v>-1.1241103139275914</v>
      </c>
    </row>
    <row r="77" spans="2:31" x14ac:dyDescent="0.2">
      <c r="B77" s="1">
        <f>[11]FormattedData!A87</f>
        <v>404</v>
      </c>
      <c r="C77" s="1" t="str">
        <f>VLOOKUP($B77,[11]TrtCodes!$B$11:I130,2)</f>
        <v>FTH</v>
      </c>
      <c r="D77" s="1">
        <f>VLOOKUP($B77,[11]TrtCodes!$B$11:J130,3)</f>
        <v>3</v>
      </c>
      <c r="E77" s="1">
        <f>VLOOKUP($B77,[11]TrtCodes!$B$11:K130,4)</f>
        <v>1</v>
      </c>
      <c r="F77" s="1">
        <f>VLOOKUP($B77,[11]TrtCodes!$B$11:L130,5)</f>
        <v>2</v>
      </c>
      <c r="G77" s="1">
        <f>VLOOKUP($B77,[11]TrtCodes!$B$11:M130,6)</f>
        <v>2</v>
      </c>
      <c r="H77" s="1">
        <f>VLOOKUP($B77,[11]TrtCodes!$B$11:N130,7)</f>
        <v>3</v>
      </c>
      <c r="I77" s="1">
        <f>[11]FormattedData!B87</f>
        <v>2</v>
      </c>
      <c r="J77" s="4">
        <f>[11]FormattedData!C87</f>
        <v>13.81</v>
      </c>
      <c r="K77" s="6">
        <f>$J$3+[11]FormattedData!D87*$J$4+$M$4*$J$5+[11]FormattedData!D87^2*$J$6+$M$5*$J$7</f>
        <v>28.592470680408994</v>
      </c>
      <c r="L77" s="6">
        <f>$J$3+[11]FormattedData!E87*$J$4+$M$4*$J$5+[11]FormattedData!E87^2*$J$6+$M$5*$J$7</f>
        <v>28.886082294207789</v>
      </c>
      <c r="M77" s="6">
        <f>$J$3+[11]FormattedData!F87*$J$4+$M$4*$J$5+[11]FormattedData!F87^2*$J$6+$M$5*$J$7</f>
        <v>27.709353337964327</v>
      </c>
      <c r="N77" s="6">
        <f>$J$3+[11]FormattedData!G87*$J$4+$M$4*$J$5+[11]FormattedData!G87^2*$J$6+$M$5*$J$7</f>
        <v>29.081612027383997</v>
      </c>
      <c r="O77" s="6">
        <f>$J$3+[11]FormattedData!H87*$J$4+$M$4*$J$5+[11]FormattedData!H87^2*$J$6+$M$5*$J$7</f>
        <v>28.396518261853473</v>
      </c>
      <c r="P77" s="6">
        <f>$J$3+[11]FormattedData!I87*$J$4+$M$4*$J$5+[11]FormattedData!I87^2*$J$6+$M$5*$J$7</f>
        <v>29.081612027383997</v>
      </c>
      <c r="Q77" s="6">
        <f>$J$3+[11]FormattedData!J87*$J$4+$M$4*$J$5+[11]FormattedData!J87^2*$J$6+$M$5*$J$7</f>
        <v>28.592470680408994</v>
      </c>
      <c r="R77" s="6">
        <f>$J$3+[11]FormattedData!K87*$J$4+$M$4*$J$5+[11]FormattedData!K87^2*$J$6+$M$5*$J$7</f>
        <v>27.80764656127657</v>
      </c>
      <c r="S77" s="6">
        <f>$J$3+[11]FormattedData!L87*$J$4+$M$4*$J$5+[11]FormattedData!L87^2*$J$6+$M$5*$J$7</f>
        <v>28.788254024812787</v>
      </c>
      <c r="T77" s="6">
        <f>$J$3+[11]FormattedData!M87*$J$4+$M$4*$J$5+[11]FormattedData!M87^2*$J$6+$M$5*$J$7</f>
        <v>28.004106202287264</v>
      </c>
      <c r="U77" s="6">
        <f>$J$3+[11]FormattedData!N87*$J$4+$M$4*$J$5+[11]FormattedData!N87^2*$J$6+$M$5*$J$7</f>
        <v>28.102272619985715</v>
      </c>
      <c r="V77" s="6">
        <f>$J$3+[11]FormattedData!O87*$J$4+$M$4*$J$5+[11]FormattedData!O87^2*$J$6+$M$5*$J$7</f>
        <v>29.179313491165203</v>
      </c>
      <c r="W77" s="5">
        <f t="shared" si="18"/>
        <v>28.518476017428259</v>
      </c>
      <c r="X77" s="4">
        <f t="shared" si="19"/>
        <v>0.14828434911691649</v>
      </c>
      <c r="Y77" s="3">
        <f t="shared" si="20"/>
        <v>27.709353337964327</v>
      </c>
      <c r="Z77" s="2">
        <f t="shared" si="21"/>
        <v>28.077731015561103</v>
      </c>
      <c r="AA77" s="3">
        <f t="shared" si="22"/>
        <v>28.592470680408994</v>
      </c>
      <c r="AB77" s="2">
        <f t="shared" si="23"/>
        <v>28.934964727501843</v>
      </c>
      <c r="AC77" s="2">
        <f t="shared" si="24"/>
        <v>29.179313491165203</v>
      </c>
      <c r="AD77" s="2">
        <f t="shared" si="25"/>
        <v>-0.30827297795957953</v>
      </c>
      <c r="AE77" s="2">
        <f t="shared" si="26"/>
        <v>-1.3182477679190798</v>
      </c>
    </row>
    <row r="78" spans="2:31" x14ac:dyDescent="0.2">
      <c r="B78" s="1">
        <f>[11]FormattedData!A85</f>
        <v>405</v>
      </c>
      <c r="C78" s="1" t="str">
        <f>VLOOKUP($B78,[11]TrtCodes!$B$11:I128,2)</f>
        <v>FDL</v>
      </c>
      <c r="D78" s="1">
        <f>VLOOKUP($B78,[11]TrtCodes!$B$11:J128,3)</f>
        <v>6</v>
      </c>
      <c r="E78" s="1">
        <f>VLOOKUP($B78,[11]TrtCodes!$B$11:K128,4)</f>
        <v>1</v>
      </c>
      <c r="F78" s="1">
        <f>VLOOKUP($B78,[11]TrtCodes!$B$11:L128,5)</f>
        <v>3</v>
      </c>
      <c r="G78" s="1">
        <f>VLOOKUP($B78,[11]TrtCodes!$B$11:M128,6)</f>
        <v>1</v>
      </c>
      <c r="H78" s="1">
        <f>VLOOKUP($B78,[11]TrtCodes!$B$11:N128,7)</f>
        <v>4</v>
      </c>
      <c r="I78" s="1">
        <f>[11]FormattedData!B85</f>
        <v>2</v>
      </c>
      <c r="J78" s="4">
        <f>[11]FormattedData!C85</f>
        <v>13.791</v>
      </c>
      <c r="K78" s="6">
        <f>$J$3+[11]FormattedData!D85*$J$4+$M$4*$J$5+[11]FormattedData!D85^2*$J$6+$M$5*$J$7</f>
        <v>29.081612027383997</v>
      </c>
      <c r="L78" s="6">
        <f>$J$3+[11]FormattedData!E85*$J$4+$M$4*$J$5+[11]FormattedData!E85^2*$J$6+$M$5*$J$7</f>
        <v>30.251239869255031</v>
      </c>
      <c r="M78" s="6">
        <f>$J$3+[11]FormattedData!F85*$J$4+$M$4*$J$5+[11]FormattedData!F85^2*$J$6+$M$5*$J$7</f>
        <v>29.374589613113823</v>
      </c>
      <c r="N78" s="6">
        <f>$J$3+[11]FormattedData!G85*$J$4+$M$4*$J$5+[11]FormattedData!G85^2*$J$6+$M$5*$J$7</f>
        <v>29.862040218571579</v>
      </c>
      <c r="O78" s="6">
        <f>$J$3+[11]FormattedData!H85*$J$4+$M$4*$J$5+[11]FormattedData!H85^2*$J$6+$M$5*$J$7</f>
        <v>30.542695787619337</v>
      </c>
      <c r="P78" s="6">
        <f>$J$3+[11]FormattedData!I85*$J$4+$M$4*$J$5+[11]FormattedData!I85^2*$J$6+$M$5*$J$7</f>
        <v>31.124466373823804</v>
      </c>
      <c r="Q78" s="6">
        <f>$J$3+[11]FormattedData!J85*$J$4+$M$4*$J$5+[11]FormattedData!J85^2*$J$6+$M$5*$J$7</f>
        <v>30.639763223331574</v>
      </c>
      <c r="R78" s="6">
        <f>$J$3+[11]FormattedData!K85*$J$4+$M$4*$J$5+[11]FormattedData!K85^2*$J$6+$M$5*$J$7</f>
        <v>30.154003359391062</v>
      </c>
      <c r="S78" s="6">
        <f>$J$3+[11]FormattedData!L85*$J$4+$M$4*$J$5+[11]FormattedData!L85^2*$J$6+$M$5*$J$7</f>
        <v>31.608112810867766</v>
      </c>
      <c r="T78" s="6">
        <f>$J$3+[11]FormattedData!M85*$J$4+$M$4*$J$5+[11]FormattedData!M85^2*$J$6+$M$5*$J$7</f>
        <v>30.445586083369168</v>
      </c>
      <c r="U78" s="6">
        <f>$J$3+[11]FormattedData!N85*$J$4+$M$4*$J$5+[11]FormattedData!N85^2*$J$6+$M$5*$J$7</f>
        <v>31.124466373823804</v>
      </c>
      <c r="V78" s="6">
        <f>$J$3+[11]FormattedData!O85*$J$4+$M$4*$J$5+[11]FormattedData!O85^2*$J$6+$M$5*$J$7</f>
        <v>31.221280198308463</v>
      </c>
      <c r="W78" s="5">
        <f t="shared" si="18"/>
        <v>30.452487994904946</v>
      </c>
      <c r="X78" s="4">
        <f t="shared" si="19"/>
        <v>0.22005965868563027</v>
      </c>
      <c r="Y78" s="3">
        <f t="shared" si="20"/>
        <v>29.081612027383997</v>
      </c>
      <c r="Z78" s="2">
        <f t="shared" si="21"/>
        <v>30.08101257418619</v>
      </c>
      <c r="AA78" s="3">
        <f t="shared" si="22"/>
        <v>30.494140935494251</v>
      </c>
      <c r="AB78" s="2">
        <f t="shared" si="23"/>
        <v>31.124466373823804</v>
      </c>
      <c r="AC78" s="2">
        <f t="shared" si="24"/>
        <v>31.608112810867766</v>
      </c>
      <c r="AD78" s="2">
        <f t="shared" si="25"/>
        <v>-0.35889819985654681</v>
      </c>
      <c r="AE78" s="2">
        <f t="shared" si="26"/>
        <v>-0.50813113053566905</v>
      </c>
    </row>
    <row r="79" spans="2:31" x14ac:dyDescent="0.2">
      <c r="B79" s="1">
        <f>[11]FormattedData!A83</f>
        <v>406</v>
      </c>
      <c r="C79" s="1" t="str">
        <f>VLOOKUP($B79,[11]TrtCodes!$B$11:I126,2)</f>
        <v>FTH</v>
      </c>
      <c r="D79" s="1">
        <f>VLOOKUP($B79,[11]TrtCodes!$B$11:J126,3)</f>
        <v>3</v>
      </c>
      <c r="E79" s="1">
        <f>VLOOKUP($B79,[11]TrtCodes!$B$11:K126,4)</f>
        <v>1</v>
      </c>
      <c r="F79" s="1">
        <f>VLOOKUP($B79,[11]TrtCodes!$B$11:L126,5)</f>
        <v>2</v>
      </c>
      <c r="G79" s="1">
        <f>VLOOKUP($B79,[11]TrtCodes!$B$11:M126,6)</f>
        <v>2</v>
      </c>
      <c r="H79" s="1">
        <f>VLOOKUP($B79,[11]TrtCodes!$B$11:N126,7)</f>
        <v>4</v>
      </c>
      <c r="I79" s="1">
        <f>[11]FormattedData!B83</f>
        <v>2</v>
      </c>
      <c r="J79" s="4">
        <f>[11]FormattedData!C83</f>
        <v>13.773999999999999</v>
      </c>
      <c r="K79" s="6">
        <f>$J$3+[11]FormattedData!D83*$J$4+$M$4*$J$5+[11]FormattedData!D83^2*$J$6+$M$5*$J$7</f>
        <v>30.056724580989165</v>
      </c>
      <c r="L79" s="6">
        <f>$J$3+[11]FormattedData!E83*$J$4+$M$4*$J$5+[11]FormattedData!E83^2*$J$6+$M$5*$J$7</f>
        <v>30.251239869255031</v>
      </c>
      <c r="M79" s="6">
        <f>$J$3+[11]FormattedData!F83*$J$4+$M$4*$J$5+[11]FormattedData!F83^2*$J$6+$M$5*$J$7</f>
        <v>29.179313491165203</v>
      </c>
      <c r="N79" s="6">
        <f>$J$3+[11]FormattedData!G83*$J$4+$M$4*$J$5+[11]FormattedData!G83^2*$J$6+$M$5*$J$7</f>
        <v>28.494515605400203</v>
      </c>
      <c r="O79" s="6">
        <f>$J$3+[11]FormattedData!H83*$J$4+$M$4*$J$5+[11]FormattedData!H83^2*$J$6+$M$5*$J$7</f>
        <v>29.374589613113823</v>
      </c>
      <c r="P79" s="6">
        <f>$J$3+[11]FormattedData!I83*$J$4+$M$4*$J$5+[11]FormattedData!I83^2*$J$6+$M$5*$J$7</f>
        <v>30.639763223331574</v>
      </c>
      <c r="Q79" s="6">
        <f>$J$3+[11]FormattedData!J83*$J$4+$M$4*$J$5+[11]FormattedData!J83^2*$J$6+$M$5*$J$7</f>
        <v>30.736788390505886</v>
      </c>
      <c r="R79" s="6">
        <f>$J$3+[11]FormattedData!K83*$J$4+$M$4*$J$5+[11]FormattedData!K83^2*$J$6+$M$5*$J$7</f>
        <v>29.179313491165203</v>
      </c>
      <c r="S79" s="6">
        <f>$J$3+[11]FormattedData!L83*$J$4+$M$4*$J$5+[11]FormattedData!L83^2*$J$6+$M$5*$J$7</f>
        <v>30.542695787619337</v>
      </c>
      <c r="T79" s="6">
        <f>$J$3+[11]FormattedData!M83*$J$4+$M$4*$J$5+[11]FormattedData!M83^2*$J$6+$M$5*$J$7</f>
        <v>30.056724580989165</v>
      </c>
      <c r="U79" s="6">
        <f>$J$3+[11]FormattedData!N83*$J$4+$M$4*$J$5+[11]FormattedData!N83^2*$J$6+$M$5*$J$7</f>
        <v>29.764634634555893</v>
      </c>
      <c r="V79" s="6">
        <f>$J$3+[11]FormattedData!O83*$J$4+$M$4*$J$5+[11]FormattedData!O83^2*$J$6+$M$5*$J$7</f>
        <v>29.569696660910722</v>
      </c>
      <c r="W79" s="5">
        <f t="shared" si="18"/>
        <v>29.820499994083434</v>
      </c>
      <c r="X79" s="4">
        <f t="shared" si="19"/>
        <v>0.19799790631852748</v>
      </c>
      <c r="Y79" s="3">
        <f t="shared" si="20"/>
        <v>28.494515605400203</v>
      </c>
      <c r="Z79" s="2">
        <f t="shared" si="21"/>
        <v>29.325770582626667</v>
      </c>
      <c r="AA79" s="3">
        <f t="shared" si="22"/>
        <v>29.910679607772529</v>
      </c>
      <c r="AB79" s="2">
        <f t="shared" si="23"/>
        <v>30.324103848846107</v>
      </c>
      <c r="AC79" s="2">
        <f t="shared" si="24"/>
        <v>30.736788390505886</v>
      </c>
      <c r="AD79" s="2">
        <f t="shared" si="25"/>
        <v>-0.39255012337305334</v>
      </c>
      <c r="AE79" s="2">
        <f t="shared" si="26"/>
        <v>-0.5152938248444765</v>
      </c>
    </row>
    <row r="80" spans="2:31" x14ac:dyDescent="0.2">
      <c r="B80" s="1">
        <f>[11]FormattedData!A81</f>
        <v>407</v>
      </c>
      <c r="C80" s="1" t="str">
        <f>VLOOKUP($B80,[11]TrtCodes!$B$11:I124,2)</f>
        <v>NSH</v>
      </c>
      <c r="D80" s="1">
        <f>VLOOKUP($B80,[11]TrtCodes!$B$11:J124,3)</f>
        <v>7</v>
      </c>
      <c r="E80" s="1">
        <f>VLOOKUP($B80,[11]TrtCodes!$B$11:K124,4)</f>
        <v>2</v>
      </c>
      <c r="F80" s="1">
        <f>VLOOKUP($B80,[11]TrtCodes!$B$11:L124,5)</f>
        <v>1</v>
      </c>
      <c r="G80" s="1">
        <f>VLOOKUP($B80,[11]TrtCodes!$B$11:M124,6)</f>
        <v>2</v>
      </c>
      <c r="H80" s="1">
        <f>VLOOKUP($B80,[11]TrtCodes!$B$11:N124,7)</f>
        <v>4</v>
      </c>
      <c r="I80" s="1">
        <f>[11]FormattedData!B81</f>
        <v>2</v>
      </c>
      <c r="J80" s="4">
        <f>[11]FormattedData!C81</f>
        <v>13.753</v>
      </c>
      <c r="K80" s="6">
        <f>$J$3+[11]FormattedData!D81*$J$4+$M$4*$J$5+[11]FormattedData!D81^2*$J$6+$M$5*$J$7</f>
        <v>30.056724580989165</v>
      </c>
      <c r="L80" s="6">
        <f>$J$3+[11]FormattedData!E81*$J$4+$M$4*$J$5+[11]FormattedData!E81^2*$J$6+$M$5*$J$7</f>
        <v>31.31805175425518</v>
      </c>
      <c r="M80" s="6">
        <f>$J$3+[11]FormattedData!F81*$J$4+$M$4*$J$5+[11]FormattedData!F81^2*$J$6+$M$5*$J$7</f>
        <v>30.251239869255031</v>
      </c>
      <c r="N80" s="6">
        <f>$J$3+[11]FormattedData!G81*$J$4+$M$4*$J$5+[11]FormattedData!G81^2*$J$6+$M$5*$J$7</f>
        <v>29.374589613113823</v>
      </c>
      <c r="O80" s="6">
        <f>$J$3+[11]FormattedData!H81*$J$4+$M$4*$J$5+[11]FormattedData!H81^2*$J$6+$M$5*$J$7</f>
        <v>30.056724580989165</v>
      </c>
      <c r="P80" s="6">
        <f>$J$3+[11]FormattedData!I81*$J$4+$M$4*$J$5+[11]FormattedData!I81^2*$J$6+$M$5*$J$7</f>
        <v>29.764634634555893</v>
      </c>
      <c r="Q80" s="6">
        <f>$J$3+[11]FormattedData!J81*$J$4+$M$4*$J$5+[11]FormattedData!J81^2*$J$6+$M$5*$J$7</f>
        <v>30.639763223331574</v>
      </c>
      <c r="R80" s="6">
        <f>$J$3+[11]FormattedData!K81*$J$4+$M$4*$J$5+[11]FormattedData!K81^2*$J$6+$M$5*$J$7</f>
        <v>30.736788390505886</v>
      </c>
      <c r="S80" s="6">
        <f>$J$3+[11]FormattedData!L81*$J$4+$M$4*$J$5+[11]FormattedData!L81^2*$J$6+$M$5*$J$7</f>
        <v>31.801275505919826</v>
      </c>
      <c r="T80" s="6">
        <f>$J$3+[11]FormattedData!M81*$J$4+$M$4*$J$5+[11]FormattedData!M81^2*$J$6+$M$5*$J$7</f>
        <v>30.542695787619337</v>
      </c>
      <c r="U80" s="6">
        <f>$J$3+[11]FormattedData!N81*$J$4+$M$4*$J$5+[11]FormattedData!N81^2*$J$6+$M$5*$J$7</f>
        <v>31.994269126820171</v>
      </c>
      <c r="V80" s="6">
        <f>$J$3+[11]FormattedData!O81*$J$4+$M$4*$J$5+[11]FormattedData!O81^2*$J$6+$M$5*$J$7</f>
        <v>30.251239869255031</v>
      </c>
      <c r="W80" s="5">
        <f t="shared" si="18"/>
        <v>30.565666411384175</v>
      </c>
      <c r="X80" s="4">
        <f t="shared" si="19"/>
        <v>0.22937840076187149</v>
      </c>
      <c r="Y80" s="3">
        <f t="shared" si="20"/>
        <v>29.374589613113823</v>
      </c>
      <c r="Z80" s="2">
        <f t="shared" si="21"/>
        <v>30.056724580989165</v>
      </c>
      <c r="AA80" s="3">
        <f t="shared" si="22"/>
        <v>30.396967828437184</v>
      </c>
      <c r="AB80" s="2">
        <f t="shared" si="23"/>
        <v>30.882104231443208</v>
      </c>
      <c r="AC80" s="2">
        <f t="shared" si="24"/>
        <v>31.994269126820171</v>
      </c>
      <c r="AD80" s="2">
        <f t="shared" si="25"/>
        <v>0.58795335357174894</v>
      </c>
      <c r="AE80" s="2">
        <f t="shared" si="26"/>
        <v>-0.31933957597665641</v>
      </c>
    </row>
    <row r="81" spans="2:31" x14ac:dyDescent="0.2">
      <c r="B81" s="1">
        <f>[11]FormattedData!A79</f>
        <v>408</v>
      </c>
      <c r="C81" s="1" t="str">
        <f>VLOOKUP($B81,[11]TrtCodes!$B$11:I122,2)</f>
        <v>NTL</v>
      </c>
      <c r="D81" s="1">
        <f>VLOOKUP($B81,[11]TrtCodes!$B$11:J122,3)</f>
        <v>10</v>
      </c>
      <c r="E81" s="1">
        <f>VLOOKUP($B81,[11]TrtCodes!$B$11:K122,4)</f>
        <v>2</v>
      </c>
      <c r="F81" s="1">
        <f>VLOOKUP($B81,[11]TrtCodes!$B$11:L122,5)</f>
        <v>2</v>
      </c>
      <c r="G81" s="1">
        <f>VLOOKUP($B81,[11]TrtCodes!$B$11:M122,6)</f>
        <v>1</v>
      </c>
      <c r="H81" s="1">
        <f>VLOOKUP($B81,[11]TrtCodes!$B$11:N122,7)</f>
        <v>4</v>
      </c>
      <c r="I81" s="1">
        <f>[11]FormattedData!B79</f>
        <v>2</v>
      </c>
      <c r="J81" s="4">
        <f>[11]FormattedData!C79</f>
        <v>13.731</v>
      </c>
      <c r="K81" s="6">
        <f>$J$3+[11]FormattedData!D79*$J$4+$M$4*$J$5+[11]FormattedData!D79^2*$J$6+$M$5*$J$7</f>
        <v>32.283442544136186</v>
      </c>
      <c r="L81" s="6">
        <f>$J$3+[11]FormattedData!E79*$J$4+$M$4*$J$5+[11]FormattedData!E79^2*$J$6+$M$5*$J$7</f>
        <v>32.572235544610841</v>
      </c>
      <c r="M81" s="6">
        <f>$J$3+[11]FormattedData!F79*$J$4+$M$4*$J$5+[11]FormattedData!F79^2*$J$6+$M$5*$J$7</f>
        <v>29.472164271281237</v>
      </c>
      <c r="N81" s="6">
        <f>$J$3+[11]FormattedData!G79*$J$4+$M$4*$J$5+[11]FormattedData!G79^2*$J$6+$M$5*$J$7</f>
        <v>31.414781041663979</v>
      </c>
      <c r="O81" s="6">
        <f>$J$3+[11]FormattedData!H79*$J$4+$M$4*$J$5+[11]FormattedData!H79^2*$J$6+$M$5*$J$7</f>
        <v>31.608112810867766</v>
      </c>
      <c r="P81" s="6">
        <f>$J$3+[11]FormattedData!I79*$J$4+$M$4*$J$5+[11]FormattedData!I79^2*$J$6+$M$5*$J$7</f>
        <v>31.31805175425518</v>
      </c>
      <c r="Q81" s="6">
        <f>$J$3+[11]FormattedData!J79*$J$4+$M$4*$J$5+[11]FormattedData!J79^2*$J$6+$M$5*$J$7</f>
        <v>30.833771289142263</v>
      </c>
      <c r="R81" s="6">
        <f>$J$3+[11]FormattedData!K79*$J$4+$M$4*$J$5+[11]FormattedData!K79^2*$J$6+$M$5*$J$7</f>
        <v>32.283442544136186</v>
      </c>
      <c r="S81" s="6">
        <f>$J$3+[11]FormattedData!L79*$J$4+$M$4*$J$5+[11]FormattedData!L79^2*$J$6+$M$5*$J$7</f>
        <v>31.897793450638964</v>
      </c>
      <c r="T81" s="6">
        <f>$J$3+[11]FormattedData!M79*$J$4+$M$4*$J$5+[11]FormattedData!M79^2*$J$6+$M$5*$J$7</f>
        <v>31.124466373823804</v>
      </c>
      <c r="U81" s="6">
        <f>$J$3+[11]FormattedData!N79*$J$4+$M$4*$J$5+[11]FormattedData!N79^2*$J$6+$M$5*$J$7</f>
        <v>30.639763223331574</v>
      </c>
      <c r="V81" s="6">
        <f>$J$3+[11]FormattedData!O79*$J$4+$M$4*$J$5+[11]FormattedData!O79^2*$J$6+$M$5*$J$7</f>
        <v>32.668415341026524</v>
      </c>
      <c r="W81" s="5">
        <f t="shared" si="18"/>
        <v>31.509703349076204</v>
      </c>
      <c r="X81" s="4">
        <f t="shared" si="19"/>
        <v>0.2666944789113137</v>
      </c>
      <c r="Y81" s="3">
        <f t="shared" si="20"/>
        <v>29.472164271281237</v>
      </c>
      <c r="Z81" s="2">
        <f t="shared" si="21"/>
        <v>31.051792602653418</v>
      </c>
      <c r="AA81" s="3">
        <f t="shared" si="22"/>
        <v>31.511446926265872</v>
      </c>
      <c r="AB81" s="2">
        <f t="shared" si="23"/>
        <v>32.283442544136186</v>
      </c>
      <c r="AC81" s="2">
        <f t="shared" si="24"/>
        <v>32.668415341026524</v>
      </c>
      <c r="AD81" s="2">
        <f t="shared" si="25"/>
        <v>-0.79552102168103656</v>
      </c>
      <c r="AE81" s="2">
        <f t="shared" si="26"/>
        <v>0.69453989600872124</v>
      </c>
    </row>
    <row r="82" spans="2:31" x14ac:dyDescent="0.2">
      <c r="B82" s="1">
        <f>[11]FormattedData!A59</f>
        <v>902</v>
      </c>
      <c r="C82" s="1" t="str">
        <f>VLOOKUP($B82,[11]TrtCodes!$B$11:I102,2)</f>
        <v>Late</v>
      </c>
      <c r="D82" s="1">
        <f>VLOOKUP($B82,[11]TrtCodes!$B$11:J102,3)</f>
        <v>22</v>
      </c>
      <c r="E82" s="1">
        <f>VLOOKUP($B82,[11]TrtCodes!$B$11:K102,4)</f>
        <v>4</v>
      </c>
      <c r="F82" s="1">
        <f>VLOOKUP($B82,[11]TrtCodes!$B$11:L102,5)</f>
        <v>2</v>
      </c>
      <c r="G82" s="1">
        <f>VLOOKUP($B82,[11]TrtCodes!$B$11:M102,6)</f>
        <v>2</v>
      </c>
      <c r="H82" s="1">
        <f>VLOOKUP($B82,[11]TrtCodes!$B$11:N102,7)</f>
        <v>1</v>
      </c>
      <c r="I82" s="1">
        <f>[11]FormattedData!B59</f>
        <v>2</v>
      </c>
      <c r="J82" s="4">
        <f>[11]FormattedData!C59</f>
        <v>13.535</v>
      </c>
      <c r="K82" s="6">
        <f>$J$3+[11]FormattedData!D59*$J$4+$M$4*$J$5+[11]FormattedData!D59^2*$J$6+$M$5*$J$7</f>
        <v>31.027610280801223</v>
      </c>
      <c r="L82" s="6">
        <f>$J$3+[11]FormattedData!E59*$J$4+$M$4*$J$5+[11]FormattedData!E59^2*$J$6+$M$5*$J$7</f>
        <v>31.704715292662762</v>
      </c>
      <c r="M82" s="6">
        <f>$J$3+[11]FormattedData!F59*$J$4+$M$4*$J$5+[11]FormattedData!F59^2*$J$6+$M$5*$J$7</f>
        <v>33.148680295035987</v>
      </c>
      <c r="N82" s="6">
        <f>$J$3+[11]FormattedData!G59*$J$4+$M$4*$J$5+[11]FormattedData!G59^2*$J$6+$M$5*$J$7</f>
        <v>30.930711919240711</v>
      </c>
      <c r="O82" s="6">
        <f>$J$3+[11]FormattedData!H59*$J$4+$M$4*$J$5+[11]FormattedData!H59^2*$J$6+$M$5*$J$7</f>
        <v>30.34843411058106</v>
      </c>
      <c r="P82" s="6">
        <f>$J$3+[11]FormattedData!I59*$J$4+$M$4*$J$5+[11]FormattedData!I59^2*$J$6+$M$5*$J$7</f>
        <v>29.959403534049343</v>
      </c>
      <c r="Q82" s="6">
        <f>$J$3+[11]FormattedData!J59*$J$4+$M$4*$J$5+[11]FormattedData!J59^2*$J$6+$M$5*$J$7</f>
        <v>30.736788390505886</v>
      </c>
      <c r="R82" s="6">
        <f>$J$3+[11]FormattedData!K59*$J$4+$M$4*$J$5+[11]FormattedData!K59^2*$J$6+$M$5*$J$7</f>
        <v>29.472164271281237</v>
      </c>
      <c r="S82" s="6">
        <f>$J$3+[11]FormattedData!L59*$J$4+$M$4*$J$5+[11]FormattedData!L59^2*$J$6+$M$5*$J$7</f>
        <v>30.930711919240711</v>
      </c>
      <c r="T82" s="6">
        <f>$J$3+[11]FormattedData!M59*$J$4+$M$4*$J$5+[11]FormattedData!M59^2*$J$6+$M$5*$J$7</f>
        <v>29.374589613113823</v>
      </c>
      <c r="U82" s="6">
        <f>$J$3+[11]FormattedData!N59*$J$4+$M$4*$J$5+[11]FormattedData!N59^2*$J$6+$M$5*$J$7</f>
        <v>30.056724580989165</v>
      </c>
      <c r="V82" s="6">
        <f>$J$3+[11]FormattedData!O59*$J$4+$M$4*$J$5+[11]FormattedData!O59^2*$J$6+$M$5*$J$7</f>
        <v>30.445586083369168</v>
      </c>
      <c r="W82" s="5">
        <f t="shared" si="18"/>
        <v>30.678010024239256</v>
      </c>
      <c r="X82" s="4">
        <f t="shared" si="19"/>
        <v>0.29682317758689603</v>
      </c>
      <c r="Y82" s="3">
        <f t="shared" si="20"/>
        <v>29.374589613113823</v>
      </c>
      <c r="Z82" s="2">
        <f t="shared" si="21"/>
        <v>30.032394319254209</v>
      </c>
      <c r="AA82" s="3">
        <f t="shared" si="22"/>
        <v>30.591187236937529</v>
      </c>
      <c r="AB82" s="2">
        <f t="shared" si="23"/>
        <v>30.954936509630841</v>
      </c>
      <c r="AC82" s="2">
        <f t="shared" si="24"/>
        <v>33.148680295035987</v>
      </c>
      <c r="AD82" s="2">
        <f t="shared" si="25"/>
        <v>1.1652756887509275</v>
      </c>
      <c r="AE82" s="2">
        <f t="shared" si="26"/>
        <v>2.1450349201819749</v>
      </c>
    </row>
    <row r="83" spans="2:31" x14ac:dyDescent="0.2">
      <c r="B83" s="1">
        <f>[11]FormattedData!A55</f>
        <v>904</v>
      </c>
      <c r="C83" s="1" t="str">
        <f>VLOOKUP($B83,[11]TrtCodes!$B$11:I98,2)</f>
        <v>Early</v>
      </c>
      <c r="D83" s="1">
        <f>VLOOKUP($B83,[11]TrtCodes!$B$11:J98,3)</f>
        <v>21</v>
      </c>
      <c r="E83" s="1">
        <f>VLOOKUP($B83,[11]TrtCodes!$B$11:K98,4)</f>
        <v>3</v>
      </c>
      <c r="F83" s="1">
        <f>VLOOKUP($B83,[11]TrtCodes!$B$11:L98,5)</f>
        <v>2</v>
      </c>
      <c r="G83" s="1">
        <f>VLOOKUP($B83,[11]TrtCodes!$B$11:M98,6)</f>
        <v>2</v>
      </c>
      <c r="H83" s="1">
        <f>VLOOKUP($B83,[11]TrtCodes!$B$11:N98,7)</f>
        <v>1</v>
      </c>
      <c r="I83" s="1">
        <f>[11]FormattedData!B55</f>
        <v>2</v>
      </c>
      <c r="J83" s="4">
        <f>[11]FormattedData!C55</f>
        <v>13.507</v>
      </c>
      <c r="K83" s="6">
        <f>$J$3+[11]FormattedData!D55*$J$4+$M$4*$J$5+[11]FormattedData!D55^2*$J$6+$M$5*$J$7</f>
        <v>32.283442544136186</v>
      </c>
      <c r="L83" s="6">
        <f>$J$3+[11]FormattedData!E55*$J$4+$M$4*$J$5+[11]FormattedData!E55^2*$J$6+$M$5*$J$7</f>
        <v>34.773676922075033</v>
      </c>
      <c r="M83" s="6">
        <f>$J$3+[11]FormattedData!F55*$J$4+$M$4*$J$5+[11]FormattedData!F55^2*$J$6+$M$5*$J$7</f>
        <v>32.476013479657226</v>
      </c>
      <c r="N83" s="6">
        <f>$J$3+[11]FormattedData!G55*$J$4+$M$4*$J$5+[11]FormattedData!G55^2*$J$6+$M$5*$J$7</f>
        <v>36.291926618215619</v>
      </c>
      <c r="O83" s="6">
        <f>$J$3+[11]FormattedData!H55*$J$4+$M$4*$J$5+[11]FormattedData!H55^2*$J$6+$M$5*$J$7</f>
        <v>32.572235544610841</v>
      </c>
      <c r="P83" s="6">
        <f>$J$3+[11]FormattedData!I55*$J$4+$M$4*$J$5+[11]FormattedData!I55^2*$J$6+$M$5*$J$7</f>
        <v>35.05917297659105</v>
      </c>
      <c r="Q83" s="6">
        <f>$J$3+[11]FormattedData!J55*$J$4+$M$4*$J$5+[11]FormattedData!J55^2*$J$6+$M$5*$J$7</f>
        <v>32.572235544610841</v>
      </c>
      <c r="R83" s="6">
        <f>$J$3+[11]FormattedData!K55*$J$4+$M$4*$J$5+[11]FormattedData!K55^2*$J$6+$M$5*$J$7</f>
        <v>33.627888535597165</v>
      </c>
      <c r="S83" s="6">
        <f>$J$3+[11]FormattedData!L55*$J$4+$M$4*$J$5+[11]FormattedData!L55^2*$J$6+$M$5*$J$7</f>
        <v>32.379749146165672</v>
      </c>
      <c r="T83" s="6">
        <f>$J$3+[11]FormattedData!M55*$J$4+$M$4*$J$5+[11]FormattedData!M55^2*$J$6+$M$5*$J$7</f>
        <v>34.964049893623653</v>
      </c>
      <c r="U83" s="6">
        <f>$J$3+[11]FormattedData!N55*$J$4+$M$4*$J$5+[11]FormattedData!N55^2*$J$6+$M$5*$J$7</f>
        <v>32.187093673568782</v>
      </c>
      <c r="V83" s="6">
        <f>$J$3+[11]FormattedData!O55*$J$4+$M$4*$J$5+[11]FormattedData!O55^2*$J$6+$M$5*$J$7</f>
        <v>33.436332044986493</v>
      </c>
      <c r="W83" s="5">
        <f t="shared" si="18"/>
        <v>33.551984743653215</v>
      </c>
      <c r="X83" s="4">
        <f t="shared" si="19"/>
        <v>0.40083519749362512</v>
      </c>
      <c r="Y83" s="3">
        <f t="shared" si="20"/>
        <v>32.187093673568782</v>
      </c>
      <c r="Z83" s="2">
        <f t="shared" si="21"/>
        <v>32.451947396284339</v>
      </c>
      <c r="AA83" s="3">
        <f t="shared" si="22"/>
        <v>33.004283794798667</v>
      </c>
      <c r="AB83" s="2">
        <f t="shared" si="23"/>
        <v>34.821270164962186</v>
      </c>
      <c r="AC83" s="2">
        <f t="shared" si="24"/>
        <v>36.291926618215619</v>
      </c>
      <c r="AD83" s="2">
        <f t="shared" si="25"/>
        <v>0.78685415295901284</v>
      </c>
      <c r="AE83" s="2">
        <f t="shared" si="26"/>
        <v>-0.69068817996785148</v>
      </c>
    </row>
    <row r="84" spans="2:31" x14ac:dyDescent="0.2">
      <c r="B84" s="1">
        <f>[11]FormattedData!A51</f>
        <v>906</v>
      </c>
      <c r="C84" s="1" t="str">
        <f>VLOOKUP($B84,[11]TrtCodes!$B$11:I94,2)</f>
        <v>Late</v>
      </c>
      <c r="D84" s="1">
        <f>VLOOKUP($B84,[11]TrtCodes!$B$11:J94,3)</f>
        <v>22</v>
      </c>
      <c r="E84" s="1">
        <f>VLOOKUP($B84,[11]TrtCodes!$B$11:K94,4)</f>
        <v>4</v>
      </c>
      <c r="F84" s="1">
        <f>VLOOKUP($B84,[11]TrtCodes!$B$11:L94,5)</f>
        <v>2</v>
      </c>
      <c r="G84" s="1">
        <f>VLOOKUP($B84,[11]TrtCodes!$B$11:M94,6)</f>
        <v>2</v>
      </c>
      <c r="H84" s="1">
        <f>VLOOKUP($B84,[11]TrtCodes!$B$11:N94,7)</f>
        <v>2</v>
      </c>
      <c r="I84" s="1">
        <f>[11]FormattedData!B51</f>
        <v>2</v>
      </c>
      <c r="J84" s="4">
        <f>[11]FormattedData!C51</f>
        <v>13.476000000000001</v>
      </c>
      <c r="K84" s="6">
        <f>$J$3+[11]FormattedData!D51*$J$4+$M$4*$J$5+[11]FormattedData!D51^2*$J$6+$M$5*$J$7</f>
        <v>32.283442544136186</v>
      </c>
      <c r="L84" s="6">
        <f>$J$3+[11]FormattedData!E51*$J$4+$M$4*$J$5+[11]FormattedData!E51^2*$J$6+$M$5*$J$7</f>
        <v>31.414781041663979</v>
      </c>
      <c r="M84" s="6">
        <f>$J$3+[11]FormattedData!F51*$J$4+$M$4*$J$5+[11]FormattedData!F51^2*$J$6+$M$5*$J$7</f>
        <v>31.221280198308463</v>
      </c>
      <c r="N84" s="6">
        <f>$J$3+[11]FormattedData!G51*$J$4+$M$4*$J$5+[11]FormattedData!G51^2*$J$6+$M$5*$J$7</f>
        <v>31.897793450638964</v>
      </c>
      <c r="O84" s="6">
        <f>$J$3+[11]FormattedData!H51*$J$4+$M$4*$J$5+[11]FormattedData!H51^2*$J$6+$M$5*$J$7</f>
        <v>31.027610280801223</v>
      </c>
      <c r="P84" s="6">
        <f>$J$3+[11]FormattedData!I51*$J$4+$M$4*$J$5+[11]FormattedData!I51^2*$J$6+$M$5*$J$7</f>
        <v>30.34843411058106</v>
      </c>
      <c r="Q84" s="6">
        <f>$J$3+[11]FormattedData!J51*$J$4+$M$4*$J$5+[11]FormattedData!J51^2*$J$6+$M$5*$J$7</f>
        <v>29.862040218571579</v>
      </c>
      <c r="R84" s="6">
        <f>$J$3+[11]FormattedData!K51*$J$4+$M$4*$J$5+[11]FormattedData!K51^2*$J$6+$M$5*$J$7</f>
        <v>29.569696660910722</v>
      </c>
      <c r="S84" s="6">
        <f>$J$3+[11]FormattedData!L51*$J$4+$M$4*$J$5+[11]FormattedData!L51^2*$J$6+$M$5*$J$7</f>
        <v>30.930711919240711</v>
      </c>
      <c r="T84" s="6">
        <f>$J$3+[11]FormattedData!M51*$J$4+$M$4*$J$5+[11]FormattedData!M51^2*$J$6+$M$5*$J$7</f>
        <v>30.154003359391062</v>
      </c>
      <c r="U84" s="6">
        <f>$J$3+[11]FormattedData!N51*$J$4+$M$4*$J$5+[11]FormattedData!N51^2*$J$6+$M$5*$J$7</f>
        <v>31.608112810867766</v>
      </c>
      <c r="V84" s="6">
        <f>$J$3+[11]FormattedData!O51*$J$4+$M$4*$J$5+[11]FormattedData!O51^2*$J$6+$M$5*$J$7</f>
        <v>30.445586083369168</v>
      </c>
      <c r="W84" s="5">
        <f t="shared" si="18"/>
        <v>30.896957723206739</v>
      </c>
      <c r="X84" s="4">
        <f t="shared" si="19"/>
        <v>0.24168852404844576</v>
      </c>
      <c r="Y84" s="3">
        <f t="shared" si="20"/>
        <v>29.569696660910722</v>
      </c>
      <c r="Z84" s="2">
        <f t="shared" si="21"/>
        <v>30.299826422783561</v>
      </c>
      <c r="AA84" s="3">
        <f t="shared" si="22"/>
        <v>30.979161100020967</v>
      </c>
      <c r="AB84" s="2">
        <f t="shared" si="23"/>
        <v>31.463113983964924</v>
      </c>
      <c r="AC84" s="2">
        <f t="shared" si="24"/>
        <v>32.283442544136186</v>
      </c>
      <c r="AD84" s="2">
        <f t="shared" si="25"/>
        <v>1.6546951171439055E-2</v>
      </c>
      <c r="AE84" s="2">
        <f t="shared" si="26"/>
        <v>-0.91451180898385731</v>
      </c>
    </row>
    <row r="85" spans="2:31" x14ac:dyDescent="0.2">
      <c r="B85" s="1">
        <f>[11]FormattedData!A47</f>
        <v>908</v>
      </c>
      <c r="C85" s="1" t="str">
        <f>VLOOKUP($B85,[11]TrtCodes!$B$11:I90,2)</f>
        <v>Early</v>
      </c>
      <c r="D85" s="1">
        <f>VLOOKUP($B85,[11]TrtCodes!$B$11:J90,3)</f>
        <v>21</v>
      </c>
      <c r="E85" s="1">
        <f>VLOOKUP($B85,[11]TrtCodes!$B$11:K90,4)</f>
        <v>3</v>
      </c>
      <c r="F85" s="1">
        <f>VLOOKUP($B85,[11]TrtCodes!$B$11:L90,5)</f>
        <v>2</v>
      </c>
      <c r="G85" s="1">
        <f>VLOOKUP($B85,[11]TrtCodes!$B$11:M90,6)</f>
        <v>2</v>
      </c>
      <c r="H85" s="1">
        <f>VLOOKUP($B85,[11]TrtCodes!$B$11:N90,7)</f>
        <v>2</v>
      </c>
      <c r="I85" s="1">
        <f>[11]FormattedData!B47</f>
        <v>2</v>
      </c>
      <c r="J85" s="4">
        <f>[11]FormattedData!C47</f>
        <v>13.446999999999999</v>
      </c>
      <c r="K85" s="6">
        <f>$J$3+[11]FormattedData!D47*$J$4+$M$4*$J$5+[11]FormattedData!D47^2*$J$6+$M$5*$J$7</f>
        <v>32.379749146165672</v>
      </c>
      <c r="L85" s="6">
        <f>$J$3+[11]FormattedData!E47*$J$4+$M$4*$J$5+[11]FormattedData!E47^2*$J$6+$M$5*$J$7</f>
        <v>33.723603378095618</v>
      </c>
      <c r="M85" s="6">
        <f>$J$3+[11]FormattedData!F47*$J$4+$M$4*$J$5+[11]FormattedData!F47^2*$J$6+$M$5*$J$7</f>
        <v>33.340490396874252</v>
      </c>
      <c r="N85" s="6">
        <f>$J$3+[11]FormattedData!G47*$J$4+$M$4*$J$5+[11]FormattedData!G47^2*$J$6+$M$5*$J$7</f>
        <v>32.668415341026524</v>
      </c>
      <c r="O85" s="6">
        <f>$J$3+[11]FormattedData!H47*$J$4+$M$4*$J$5+[11]FormattedData!H47^2*$J$6+$M$5*$J$7</f>
        <v>33.148680295035987</v>
      </c>
      <c r="P85" s="6">
        <f>$J$3+[11]FormattedData!I47*$J$4+$M$4*$J$5+[11]FormattedData!I47^2*$J$6+$M$5*$J$7</f>
        <v>33.723603378095618</v>
      </c>
      <c r="Q85" s="6">
        <f>$J$3+[11]FormattedData!J47*$J$4+$M$4*$J$5+[11]FormattedData!J47^2*$J$6+$M$5*$J$7</f>
        <v>32.668415341026524</v>
      </c>
      <c r="R85" s="6">
        <f>$J$3+[11]FormattedData!K47*$J$4+$M$4*$J$5+[11]FormattedData!K47^2*$J$6+$M$5*$J$7</f>
        <v>32.283442544136186</v>
      </c>
      <c r="S85" s="6">
        <f>$J$3+[11]FormattedData!L47*$J$4+$M$4*$J$5+[11]FormattedData!L47^2*$J$6+$M$5*$J$7</f>
        <v>32.956701119045995</v>
      </c>
      <c r="T85" s="6">
        <f>$J$3+[11]FormattedData!M47*$J$4+$M$4*$J$5+[11]FormattedData!M47^2*$J$6+$M$5*$J$7</f>
        <v>33.436332044986493</v>
      </c>
      <c r="U85" s="6">
        <f>$J$3+[11]FormattedData!N47*$J$4+$M$4*$J$5+[11]FormattedData!N47^2*$J$6+$M$5*$J$7</f>
        <v>34.964049893623653</v>
      </c>
      <c r="V85" s="6">
        <f>$J$3+[11]FormattedData!O47*$J$4+$M$4*$J$5+[11]FormattedData!O47^2*$J$6+$M$5*$J$7</f>
        <v>34.297004793789718</v>
      </c>
      <c r="W85" s="5">
        <f t="shared" si="18"/>
        <v>33.299207305991857</v>
      </c>
      <c r="X85" s="4">
        <f t="shared" si="19"/>
        <v>0.22964035521763262</v>
      </c>
      <c r="Y85" s="3">
        <f t="shared" si="20"/>
        <v>32.283442544136186</v>
      </c>
      <c r="Z85" s="2">
        <f t="shared" si="21"/>
        <v>32.668415341026524</v>
      </c>
      <c r="AA85" s="3">
        <f t="shared" si="22"/>
        <v>33.244585345955116</v>
      </c>
      <c r="AB85" s="2">
        <f t="shared" si="23"/>
        <v>33.723603378095618</v>
      </c>
      <c r="AC85" s="2">
        <f t="shared" si="24"/>
        <v>34.964049893623653</v>
      </c>
      <c r="AD85" s="2">
        <f t="shared" si="25"/>
        <v>0.7351660980386937</v>
      </c>
      <c r="AE85" s="2">
        <f t="shared" si="26"/>
        <v>0.23563389200355367</v>
      </c>
    </row>
    <row r="88" spans="2:31" x14ac:dyDescent="0.2">
      <c r="W88" s="2"/>
    </row>
  </sheetData>
  <autoFilter ref="B9:AE85" xr:uid="{4BE02A33-0188-40B2-92B7-59CC5A035474}"/>
  <conditionalFormatting sqref="K10:V85">
    <cfRule type="cellIs" dxfId="83" priority="1" stopIfTrue="1" operator="lessThan">
      <formula>$W10-$V$5*$X10</formula>
    </cfRule>
    <cfRule type="cellIs" dxfId="82" priority="2" stopIfTrue="1" operator="greaterThan">
      <formula>$W10+$V$5*$X10</formula>
    </cfRule>
  </conditionalFormatting>
  <conditionalFormatting sqref="W10:W85">
    <cfRule type="cellIs" dxfId="81" priority="3" stopIfTrue="1" operator="lessThan">
      <formula>AVERAGE($W$10:$W$41)</formula>
    </cfRule>
    <cfRule type="cellIs" dxfId="8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B5A4-C3E3-4D5F-9AB8-40EAB25663C1}">
  <sheetPr codeName="Sheet22"/>
  <dimension ref="A1:AI88"/>
  <sheetViews>
    <sheetView topLeftCell="A8" workbookViewId="0">
      <pane xSplit="4" ySplit="2" topLeftCell="I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[12]FormattedData!A1</f>
        <v>Raw data file name - 'IA181.03R'</v>
      </c>
    </row>
    <row r="2" spans="1:35" ht="15" x14ac:dyDescent="0.25">
      <c r="I2" s="32" t="s">
        <v>136</v>
      </c>
      <c r="J2" s="24"/>
      <c r="P2" s="31">
        <f>[12]AncillaryData!C10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[12]AncillaryData!E25</f>
        <v>40.85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"&amp;[12]AncillaryData!C7</f>
        <v>Time Sequence of Midday IRT Temps - FISE 2003 - DOY 181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"&amp;[12]AncillaryData!E25&amp;", VPD = "&amp;ROUND([12]AncillaryData!E29,1)&amp;", Quality = "&amp;[12]AncillaryData!C20&amp;")"</f>
        <v>(Ta = 40.85, VPD = 6.7,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[12]FormattedData!A28</f>
        <v>101</v>
      </c>
      <c r="C10" s="1" t="str">
        <f>VLOOKUP($B10,[12]TrtCodes!$B$11:I71,2)</f>
        <v>FSH</v>
      </c>
      <c r="D10" s="1">
        <f>VLOOKUP($B10,[12]TrtCodes!$B$11:J71,3)</f>
        <v>1</v>
      </c>
      <c r="E10" s="1">
        <f>VLOOKUP($B10,[12]TrtCodes!$B$11:K71,4)</f>
        <v>1</v>
      </c>
      <c r="F10" s="1">
        <f>VLOOKUP($B10,[12]TrtCodes!$B$11:L71,5)</f>
        <v>1</v>
      </c>
      <c r="G10" s="1">
        <f>VLOOKUP($B10,[12]TrtCodes!$B$11:M71,6)</f>
        <v>2</v>
      </c>
      <c r="H10" s="1">
        <f>VLOOKUP($B10,[12]TrtCodes!$B$11:N71,7)</f>
        <v>1</v>
      </c>
      <c r="I10" s="1">
        <f>[12]FormattedData!B28</f>
        <v>1</v>
      </c>
      <c r="J10" s="4">
        <f>[12]FormattedData!C28</f>
        <v>13.223000000000001</v>
      </c>
      <c r="K10" s="6">
        <f>$J$3+[12]FormattedData!D28*$J$4+$M$4*$J$5+[12]FormattedData!D28^2*$J$6+$M$5*$J$7</f>
        <v>56.445999424982759</v>
      </c>
      <c r="L10" s="6">
        <f>$J$3+[12]FormattedData!E28*$J$4+$M$4*$J$5+[12]FormattedData!E28^2*$J$6+$M$5*$J$7</f>
        <v>42.291473306062279</v>
      </c>
      <c r="M10" s="6">
        <f>$J$3+[12]FormattedData!F28*$J$4+$M$4*$J$5+[12]FormattedData!F28^2*$J$6+$M$5*$J$7</f>
        <v>46.20182870768793</v>
      </c>
      <c r="N10" s="6">
        <f>$J$3+[12]FormattedData!G28*$J$4+$M$4*$J$5+[12]FormattedData!G28^2*$J$6+$M$5*$J$7</f>
        <v>46.561609455971315</v>
      </c>
      <c r="O10" s="6">
        <f>$J$3+[12]FormattedData!H28*$J$4+$M$4*$J$5+[12]FormattedData!H28^2*$J$6+$M$5*$J$7</f>
        <v>35.473997983469431</v>
      </c>
      <c r="P10" s="6">
        <f>$J$3+[12]FormattedData!I28*$J$4+$M$4*$J$5+[12]FormattedData!I28^2*$J$6+$M$5*$J$7</f>
        <v>44.846627634970105</v>
      </c>
      <c r="Q10" s="6">
        <f>$J$3+[12]FormattedData!J28*$J$4+$M$4*$J$5+[12]FormattedData!J28^2*$J$6+$M$5*$J$7</f>
        <v>43.024898883070435</v>
      </c>
      <c r="R10" s="6">
        <f>$J$3+[12]FormattedData!K28*$J$4+$M$4*$J$5+[12]FormattedData!K28^2*$J$6+$M$5*$J$7</f>
        <v>53.442159263193268</v>
      </c>
      <c r="S10" s="6">
        <f>$J$3+[12]FormattedData!L28*$J$4+$M$4*$J$5+[12]FormattedData!L28^2*$J$6+$M$5*$J$7</f>
        <v>36.515702356938476</v>
      </c>
      <c r="T10" s="6">
        <f>$J$3+[12]FormattedData!M28*$J$4+$M$4*$J$5+[12]FormattedData!M28^2*$J$6+$M$5*$J$7</f>
        <v>53.182277942663525</v>
      </c>
      <c r="U10" s="6">
        <f>$J$3+[12]FormattedData!N28*$J$4+$M$4*$J$5+[12]FormattedData!N28^2*$J$6+$M$5*$J$7</f>
        <v>44.30188428799331</v>
      </c>
      <c r="V10" s="6">
        <f>$J$3+[12]FormattedData!O28*$J$4+$M$4*$J$5+[12]FormattedData!O28^2*$J$6+$M$5*$J$7</f>
        <v>48.172253652736117</v>
      </c>
      <c r="W10" s="5">
        <f t="shared" ref="W10:W41" si="0">AVERAGE(K10:V10)</f>
        <v>45.871726074978248</v>
      </c>
      <c r="X10" s="4">
        <f t="shared" ref="X10:X41" si="1">STDEV(K10:V10)/SQRT(COUNT(K10:V10))</f>
        <v>1.8433624012450056</v>
      </c>
      <c r="Y10" s="3">
        <f t="shared" ref="Y10:Y41" si="2">MIN(K10:V10)</f>
        <v>35.473997983469431</v>
      </c>
      <c r="Z10" s="2">
        <f t="shared" ref="Z10:Z41" si="3">QUARTILE(K10:V10,1)</f>
        <v>42.841542488818398</v>
      </c>
      <c r="AA10" s="3">
        <f t="shared" ref="AA10:AA41" si="4">MEDIAN(K10:V10)</f>
        <v>45.524228171329014</v>
      </c>
      <c r="AB10" s="2">
        <f t="shared" ref="AB10:AB41" si="5">QUARTILE(K10:V10,3)</f>
        <v>49.424759725217967</v>
      </c>
      <c r="AC10" s="2">
        <f t="shared" ref="AC10:AC41" si="6">MAX(K10:V10)</f>
        <v>56.445999424982759</v>
      </c>
      <c r="AD10" s="2">
        <f t="shared" ref="AD10:AD41" si="7">SKEW(K10:V10)</f>
        <v>1.0328779654838395E-3</v>
      </c>
      <c r="AE10" s="2">
        <f t="shared" ref="AE10:AE41" si="8">KURT(K10:V10)</f>
        <v>-0.40734981714995033</v>
      </c>
    </row>
    <row r="11" spans="1:35" x14ac:dyDescent="0.2">
      <c r="B11" s="1">
        <f>[12]FormattedData!A26</f>
        <v>102</v>
      </c>
      <c r="C11" s="1" t="str">
        <f>VLOOKUP($B11,[12]TrtCodes!$B$11:I69,2)</f>
        <v>FTL</v>
      </c>
      <c r="D11" s="1">
        <f>VLOOKUP($B11,[12]TrtCodes!$B$11:J69,3)</f>
        <v>4</v>
      </c>
      <c r="E11" s="1">
        <f>VLOOKUP($B11,[12]TrtCodes!$B$11:K69,4)</f>
        <v>1</v>
      </c>
      <c r="F11" s="1">
        <f>VLOOKUP($B11,[12]TrtCodes!$B$11:L69,5)</f>
        <v>2</v>
      </c>
      <c r="G11" s="1">
        <f>VLOOKUP($B11,[12]TrtCodes!$B$11:M69,6)</f>
        <v>1</v>
      </c>
      <c r="H11" s="1">
        <f>VLOOKUP($B11,[12]TrtCodes!$B$11:N69,7)</f>
        <v>1</v>
      </c>
      <c r="I11" s="1">
        <f>[12]FormattedData!B26</f>
        <v>1</v>
      </c>
      <c r="J11" s="4">
        <f>[12]FormattedData!C26</f>
        <v>13.204000000000001</v>
      </c>
      <c r="K11" s="6">
        <f>$J$3+[12]FormattedData!D26*$J$4+$M$4*$J$5+[12]FormattedData!D26^2*$J$6+$M$5*$J$7</f>
        <v>56.360893985505022</v>
      </c>
      <c r="L11" s="6">
        <f>$J$3+[12]FormattedData!E26*$J$4+$M$4*$J$5+[12]FormattedData!E26^2*$J$6+$M$5*$J$7</f>
        <v>42.107694226430922</v>
      </c>
      <c r="M11" s="6">
        <f>$J$3+[12]FormattedData!F26*$J$4+$M$4*$J$5+[12]FormattedData!F26^2*$J$6+$M$5*$J$7</f>
        <v>33.758358738483672</v>
      </c>
      <c r="N11" s="6">
        <f>$J$3+[12]FormattedData!G26*$J$4+$M$4*$J$5+[12]FormattedData!G26^2*$J$6+$M$5*$J$7</f>
        <v>52.051729625756451</v>
      </c>
      <c r="O11" s="6">
        <f>$J$3+[12]FormattedData!H26*$J$4+$M$4*$J$5+[12]FormattedData!H26^2*$J$6+$M$5*$J$7</f>
        <v>33.854031312444178</v>
      </c>
      <c r="P11" s="6">
        <f>$J$3+[12]FormattedData!I26*$J$4+$M$4*$J$5+[12]FormattedData!I26^2*$J$6+$M$5*$J$7</f>
        <v>52.400351480026004</v>
      </c>
      <c r="Q11" s="6">
        <f>$J$3+[12]FormattedData!J26*$J$4+$M$4*$J$5+[12]FormattedData!J26^2*$J$6+$M$5*$J$7</f>
        <v>46.831001197535556</v>
      </c>
      <c r="R11" s="6">
        <f>$J$3+[12]FormattedData!K26*$J$4+$M$4*$J$5+[12]FormattedData!K26^2*$J$6+$M$5*$J$7</f>
        <v>52.31325941926552</v>
      </c>
      <c r="S11" s="6">
        <f>$J$3+[12]FormattedData!L26*$J$4+$M$4*$J$5+[12]FormattedData!L26^2*$J$6+$M$5*$J$7</f>
        <v>41.831708592949418</v>
      </c>
      <c r="T11" s="6">
        <f>$J$3+[12]FormattedData!M26*$J$4+$M$4*$J$5+[12]FormattedData!M26^2*$J$6+$M$5*$J$7</f>
        <v>49.149794385625697</v>
      </c>
      <c r="U11" s="6">
        <f>$J$3+[12]FormattedData!N26*$J$4+$M$4*$J$5+[12]FormattedData!N26^2*$J$6+$M$5*$J$7</f>
        <v>41.923746072647852</v>
      </c>
      <c r="V11" s="6">
        <f>$J$3+[12]FormattedData!O26*$J$4+$M$4*$J$5+[12]FormattedData!O26^2*$J$6+$M$5*$J$7</f>
        <v>35.379043974653747</v>
      </c>
      <c r="W11" s="5">
        <f t="shared" si="0"/>
        <v>44.830134417610338</v>
      </c>
      <c r="X11" s="4">
        <f t="shared" si="1"/>
        <v>2.2668721403521763</v>
      </c>
      <c r="Y11" s="3">
        <f t="shared" si="2"/>
        <v>33.758358738483672</v>
      </c>
      <c r="Z11" s="2">
        <f t="shared" si="3"/>
        <v>40.218542438375501</v>
      </c>
      <c r="AA11" s="3">
        <f t="shared" si="4"/>
        <v>44.469347711983239</v>
      </c>
      <c r="AB11" s="2">
        <f t="shared" si="5"/>
        <v>52.117112074133715</v>
      </c>
      <c r="AC11" s="2">
        <f t="shared" si="6"/>
        <v>56.360893985505022</v>
      </c>
      <c r="AD11" s="2">
        <f t="shared" si="7"/>
        <v>-0.16766868648617306</v>
      </c>
      <c r="AE11" s="2">
        <f t="shared" si="8"/>
        <v>-1.3435251686494079</v>
      </c>
    </row>
    <row r="12" spans="1:35" x14ac:dyDescent="0.2">
      <c r="B12" s="1">
        <f>[12]FormattedData!A24</f>
        <v>103</v>
      </c>
      <c r="C12" s="1" t="str">
        <f>VLOOKUP($B12,[12]TrtCodes!$B$11:I67,2)</f>
        <v>FDH</v>
      </c>
      <c r="D12" s="1">
        <f>VLOOKUP($B12,[12]TrtCodes!$B$11:J67,3)</f>
        <v>5</v>
      </c>
      <c r="E12" s="1">
        <f>VLOOKUP($B12,[12]TrtCodes!$B$11:K67,4)</f>
        <v>1</v>
      </c>
      <c r="F12" s="1">
        <f>VLOOKUP($B12,[12]TrtCodes!$B$11:L67,5)</f>
        <v>3</v>
      </c>
      <c r="G12" s="1">
        <f>VLOOKUP($B12,[12]TrtCodes!$B$11:M67,6)</f>
        <v>2</v>
      </c>
      <c r="H12" s="1">
        <f>VLOOKUP($B12,[12]TrtCodes!$B$11:N67,7)</f>
        <v>1</v>
      </c>
      <c r="I12" s="1">
        <f>[12]FormattedData!B24</f>
        <v>1</v>
      </c>
      <c r="J12" s="4">
        <f>[12]FormattedData!C24</f>
        <v>13.186</v>
      </c>
      <c r="K12" s="6">
        <f>$J$3+[12]FormattedData!D24*$J$4+$M$4*$J$5+[12]FormattedData!D24^2*$J$6+$M$5*$J$7</f>
        <v>48.083132702154927</v>
      </c>
      <c r="L12" s="6">
        <f>$J$3+[12]FormattedData!E24*$J$4+$M$4*$J$5+[12]FormattedData!E24^2*$J$6+$M$5*$J$7</f>
        <v>35.093928336979104</v>
      </c>
      <c r="M12" s="6">
        <f>$J$3+[12]FormattedData!F24*$J$4+$M$4*$J$5+[12]FormattedData!F24^2*$J$6+$M$5*$J$7</f>
        <v>36.704553661121572</v>
      </c>
      <c r="N12" s="6">
        <f>$J$3+[12]FormattedData!G24*$J$4+$M$4*$J$5+[12]FormattedData!G24^2*$J$6+$M$5*$J$7</f>
        <v>42.475083311541901</v>
      </c>
      <c r="O12" s="6">
        <f>$J$3+[12]FormattedData!H24*$J$4+$M$4*$J$5+[12]FormattedData!H24^2*$J$6+$M$5*$J$7</f>
        <v>30.383189470969114</v>
      </c>
      <c r="P12" s="6">
        <f>$J$3+[12]FormattedData!I24*$J$4+$M$4*$J$5+[12]FormattedData!I24^2*$J$6+$M$5*$J$7</f>
        <v>45.299418039324323</v>
      </c>
      <c r="Q12" s="6">
        <f>$J$3+[12]FormattedData!J24*$J$4+$M$4*$J$5+[12]FormattedData!J24^2*$J$6+$M$5*$J$7</f>
        <v>30.480341443757222</v>
      </c>
      <c r="R12" s="6">
        <f>$J$3+[12]FormattedData!K24*$J$4+$M$4*$J$5+[12]FormattedData!K24^2*$J$6+$M$5*$J$7</f>
        <v>44.665215593462904</v>
      </c>
      <c r="S12" s="6">
        <f>$J$3+[12]FormattedData!L24*$J$4+$M$4*$J$5+[12]FormattedData!L24^2*$J$6+$M$5*$J$7</f>
        <v>31.64286817125582</v>
      </c>
      <c r="T12" s="6">
        <f>$J$3+[12]FormattedData!M24*$J$4+$M$4*$J$5+[12]FormattedData!M24^2*$J$6+$M$5*$J$7</f>
        <v>46.92071390764778</v>
      </c>
      <c r="U12" s="6">
        <f>$J$3+[12]FormattedData!N24*$J$4+$M$4*$J$5+[12]FormattedData!N24^2*$J$6+$M$5*$J$7</f>
        <v>34.713182393881894</v>
      </c>
      <c r="V12" s="6">
        <f>$J$3+[12]FormattedData!O24*$J$4+$M$4*$J$5+[12]FormattedData!O24^2*$J$6+$M$5*$J$7</f>
        <v>40.909009026378854</v>
      </c>
      <c r="W12" s="5">
        <f t="shared" si="0"/>
        <v>38.947553004872951</v>
      </c>
      <c r="X12" s="4">
        <f t="shared" si="1"/>
        <v>1.8921098620260635</v>
      </c>
      <c r="Y12" s="3">
        <f t="shared" si="2"/>
        <v>30.383189470969114</v>
      </c>
      <c r="Z12" s="2">
        <f t="shared" si="3"/>
        <v>33.945603838225374</v>
      </c>
      <c r="AA12" s="3">
        <f t="shared" si="4"/>
        <v>38.806781343750217</v>
      </c>
      <c r="AB12" s="2">
        <f t="shared" si="5"/>
        <v>44.823766204928262</v>
      </c>
      <c r="AC12" s="2">
        <f t="shared" si="6"/>
        <v>48.083132702154927</v>
      </c>
      <c r="AD12" s="2">
        <f t="shared" si="7"/>
        <v>-2.1248605576631671E-3</v>
      </c>
      <c r="AE12" s="2">
        <f t="shared" si="8"/>
        <v>-1.6592266739313564</v>
      </c>
    </row>
    <row r="13" spans="1:35" x14ac:dyDescent="0.2">
      <c r="B13" s="1">
        <f>[12]FormattedData!A22</f>
        <v>104</v>
      </c>
      <c r="C13" s="1" t="str">
        <f>VLOOKUP($B13,[12]TrtCodes!$B$11:I65,2)</f>
        <v>NTL</v>
      </c>
      <c r="D13" s="1">
        <f>VLOOKUP($B13,[12]TrtCodes!$B$11:J65,3)</f>
        <v>10</v>
      </c>
      <c r="E13" s="1">
        <f>VLOOKUP($B13,[12]TrtCodes!$B$11:K65,4)</f>
        <v>2</v>
      </c>
      <c r="F13" s="1">
        <f>VLOOKUP($B13,[12]TrtCodes!$B$11:L65,5)</f>
        <v>2</v>
      </c>
      <c r="G13" s="1">
        <f>VLOOKUP($B13,[12]TrtCodes!$B$11:M65,6)</f>
        <v>1</v>
      </c>
      <c r="H13" s="1">
        <f>VLOOKUP($B13,[12]TrtCodes!$B$11:N65,7)</f>
        <v>1</v>
      </c>
      <c r="I13" s="1">
        <f>[12]FormattedData!B22</f>
        <v>1</v>
      </c>
      <c r="J13" s="4">
        <f>[12]FormattedData!C22</f>
        <v>13.169</v>
      </c>
      <c r="K13" s="6">
        <f>$J$3+[12]FormattedData!D22*$J$4+$M$4*$J$5+[12]FormattedData!D22^2*$J$6+$M$5*$J$7</f>
        <v>50.034029582678926</v>
      </c>
      <c r="L13" s="6">
        <f>$J$3+[12]FormattedData!E22*$J$4+$M$4*$J$5+[12]FormattedData!E22^2*$J$6+$M$5*$J$7</f>
        <v>38.302963377801937</v>
      </c>
      <c r="M13" s="6">
        <f>$J$3+[12]FormattedData!F22*$J$4+$M$4*$J$5+[12]FormattedData!F22^2*$J$6+$M$5*$J$7</f>
        <v>45.208944495529344</v>
      </c>
      <c r="N13" s="6">
        <f>$J$3+[12]FormattedData!G22*$J$4+$M$4*$J$5+[12]FormattedData!G22^2*$J$6+$M$5*$J$7</f>
        <v>44.48363447780396</v>
      </c>
      <c r="O13" s="6">
        <f>$J$3+[12]FormattedData!H22*$J$4+$M$4*$J$5+[12]FormattedData!H22^2*$J$6+$M$5*$J$7</f>
        <v>32.991456479434049</v>
      </c>
      <c r="P13" s="6">
        <f>$J$3+[12]FormattedData!I22*$J$4+$M$4*$J$5+[12]FormattedData!I22^2*$J$6+$M$5*$J$7</f>
        <v>47.726226214450875</v>
      </c>
      <c r="Q13" s="6">
        <f>$J$3+[12]FormattedData!J22*$J$4+$M$4*$J$5+[12]FormattedData!J22^2*$J$6+$M$5*$J$7</f>
        <v>36.61014914329899</v>
      </c>
      <c r="R13" s="6">
        <f>$J$3+[12]FormattedData!K22*$J$4+$M$4*$J$5+[12]FormattedData!K22^2*$J$6+$M$5*$J$7</f>
        <v>41.831708592949418</v>
      </c>
      <c r="S13" s="6">
        <f>$J$3+[12]FormattedData!L22*$J$4+$M$4*$J$5+[12]FormattedData!L22^2*$J$6+$M$5*$J$7</f>
        <v>39.144234867694777</v>
      </c>
      <c r="T13" s="6">
        <f>$J$3+[12]FormattedData!M22*$J$4+$M$4*$J$5+[12]FormattedData!M22^2*$J$6+$M$5*$J$7</f>
        <v>41.093887087996421</v>
      </c>
      <c r="U13" s="6">
        <f>$J$3+[12]FormattedData!N22*$J$4+$M$4*$J$5+[12]FormattedData!N22^2*$J$6+$M$5*$J$7</f>
        <v>32.991456479434049</v>
      </c>
      <c r="V13" s="6">
        <f>$J$3+[12]FormattedData!O22*$J$4+$M$4*$J$5+[12]FormattedData!O22^2*$J$6+$M$5*$J$7</f>
        <v>38.021778714154891</v>
      </c>
      <c r="W13" s="5">
        <f t="shared" si="0"/>
        <v>40.703372459435641</v>
      </c>
      <c r="X13" s="4">
        <f t="shared" si="1"/>
        <v>1.5654494797118927</v>
      </c>
      <c r="Y13" s="3">
        <f t="shared" si="2"/>
        <v>32.991456479434049</v>
      </c>
      <c r="Z13" s="2">
        <f t="shared" si="3"/>
        <v>37.668871321440918</v>
      </c>
      <c r="AA13" s="3">
        <f t="shared" si="4"/>
        <v>40.119060977845599</v>
      </c>
      <c r="AB13" s="2">
        <f t="shared" si="5"/>
        <v>44.664961982235305</v>
      </c>
      <c r="AC13" s="2">
        <f t="shared" si="6"/>
        <v>50.034029582678926</v>
      </c>
      <c r="AD13" s="2">
        <f t="shared" si="7"/>
        <v>0.19351882319298605</v>
      </c>
      <c r="AE13" s="2">
        <f t="shared" si="8"/>
        <v>-0.73974005850231217</v>
      </c>
    </row>
    <row r="14" spans="1:35" x14ac:dyDescent="0.2">
      <c r="B14" s="1">
        <f>[12]FormattedData!A20</f>
        <v>105</v>
      </c>
      <c r="C14" s="1" t="str">
        <f>VLOOKUP($B14,[12]TrtCodes!$B$11:I63,2)</f>
        <v>NDL</v>
      </c>
      <c r="D14" s="1">
        <f>VLOOKUP($B14,[12]TrtCodes!$B$11:J63,3)</f>
        <v>12</v>
      </c>
      <c r="E14" s="1">
        <f>VLOOKUP($B14,[12]TrtCodes!$B$11:K63,4)</f>
        <v>2</v>
      </c>
      <c r="F14" s="1">
        <f>VLOOKUP($B14,[12]TrtCodes!$B$11:L63,5)</f>
        <v>3</v>
      </c>
      <c r="G14" s="1">
        <f>VLOOKUP($B14,[12]TrtCodes!$B$11:M63,6)</f>
        <v>1</v>
      </c>
      <c r="H14" s="1">
        <f>VLOOKUP($B14,[12]TrtCodes!$B$11:N63,7)</f>
        <v>2</v>
      </c>
      <c r="I14" s="1">
        <f>[12]FormattedData!B20</f>
        <v>1</v>
      </c>
      <c r="J14" s="4">
        <f>[12]FormattedData!C20</f>
        <v>13.151</v>
      </c>
      <c r="K14" s="6">
        <f>$J$3+[12]FormattedData!D20*$J$4+$M$4*$J$5+[12]FormattedData!D20^2*$J$6+$M$5*$J$7</f>
        <v>36.232108386629371</v>
      </c>
      <c r="L14" s="6">
        <f>$J$3+[12]FormattedData!E20*$J$4+$M$4*$J$5+[12]FormattedData!E20^2*$J$6+$M$5*$J$7</f>
        <v>31.159221734211858</v>
      </c>
      <c r="M14" s="6">
        <f>$J$3+[12]FormattedData!F20*$J$4+$M$4*$J$5+[12]FormattedData!F20^2*$J$6+$M$5*$J$7</f>
        <v>28.529270965788264</v>
      </c>
      <c r="N14" s="6">
        <f>$J$3+[12]FormattedData!G20*$J$4+$M$4*$J$5+[12]FormattedData!G20^2*$J$6+$M$5*$J$7</f>
        <v>31.546223420922889</v>
      </c>
      <c r="O14" s="6">
        <f>$J$3+[12]FormattedData!H20*$J$4+$M$4*$J$5+[12]FormattedData!H20^2*$J$6+$M$5*$J$7</f>
        <v>33.375245757262306</v>
      </c>
      <c r="P14" s="6">
        <f>$J$3+[12]FormattedData!I20*$J$4+$M$4*$J$5+[12]FormattedData!I20^2*$J$6+$M$5*$J$7</f>
        <v>40.260604351772564</v>
      </c>
      <c r="Q14" s="6">
        <f>$J$3+[12]FormattedData!J20*$J$4+$M$4*$J$5+[12]FormattedData!J20^2*$J$6+$M$5*$J$7</f>
        <v>29.311728046796542</v>
      </c>
      <c r="R14" s="6">
        <f>$J$3+[12]FormattedData!K20*$J$4+$M$4*$J$5+[12]FormattedData!K20^2*$J$6+$M$5*$J$7</f>
        <v>37.364201766817551</v>
      </c>
      <c r="S14" s="6">
        <f>$J$3+[12]FormattedData!L20*$J$4+$M$4*$J$5+[12]FormattedData!L20^2*$J$6+$M$5*$J$7</f>
        <v>29.214068851553264</v>
      </c>
      <c r="T14" s="6">
        <f>$J$3+[12]FormattedData!M20*$J$4+$M$4*$J$5+[12]FormattedData!M20^2*$J$6+$M$5*$J$7</f>
        <v>42.291473306062279</v>
      </c>
      <c r="U14" s="6">
        <f>$J$3+[12]FormattedData!N20*$J$4+$M$4*$J$5+[12]FormattedData!N20^2*$J$6+$M$5*$J$7</f>
        <v>30.188758719779116</v>
      </c>
      <c r="V14" s="6">
        <f>$J$3+[12]FormattedData!O20*$J$4+$M$4*$J$5+[12]FormattedData!O20^2*$J$6+$M$5*$J$7</f>
        <v>35.189009151408584</v>
      </c>
      <c r="W14" s="5">
        <f t="shared" si="0"/>
        <v>33.721826204917051</v>
      </c>
      <c r="X14" s="4">
        <f t="shared" si="1"/>
        <v>1.315841297585324</v>
      </c>
      <c r="Y14" s="3">
        <f t="shared" si="2"/>
        <v>28.529270965788264</v>
      </c>
      <c r="Z14" s="2">
        <f t="shared" si="3"/>
        <v>29.969501051533474</v>
      </c>
      <c r="AA14" s="3">
        <f t="shared" si="4"/>
        <v>32.460734589092596</v>
      </c>
      <c r="AB14" s="2">
        <f t="shared" si="5"/>
        <v>36.515131731676419</v>
      </c>
      <c r="AC14" s="2">
        <f t="shared" si="6"/>
        <v>42.291473306062279</v>
      </c>
      <c r="AD14" s="2">
        <f t="shared" si="7"/>
        <v>0.67680968687488718</v>
      </c>
      <c r="AE14" s="2">
        <f t="shared" si="8"/>
        <v>-0.68205499356437915</v>
      </c>
    </row>
    <row r="15" spans="1:35" x14ac:dyDescent="0.2">
      <c r="B15" s="1">
        <f>[12]FormattedData!A18</f>
        <v>106</v>
      </c>
      <c r="C15" s="1" t="str">
        <f>VLOOKUP($B15,[12]TrtCodes!$B$11:I61,2)</f>
        <v>NTH</v>
      </c>
      <c r="D15" s="1">
        <f>VLOOKUP($B15,[12]TrtCodes!$B$11:J61,3)</f>
        <v>9</v>
      </c>
      <c r="E15" s="1">
        <f>VLOOKUP($B15,[12]TrtCodes!$B$11:K61,4)</f>
        <v>2</v>
      </c>
      <c r="F15" s="1">
        <f>VLOOKUP($B15,[12]TrtCodes!$B$11:L61,5)</f>
        <v>2</v>
      </c>
      <c r="G15" s="1">
        <f>VLOOKUP($B15,[12]TrtCodes!$B$11:M61,6)</f>
        <v>2</v>
      </c>
      <c r="H15" s="1">
        <f>VLOOKUP($B15,[12]TrtCodes!$B$11:N61,7)</f>
        <v>2</v>
      </c>
      <c r="I15" s="1">
        <f>[12]FormattedData!B18</f>
        <v>1</v>
      </c>
      <c r="J15" s="4">
        <f>[12]FormattedData!C18</f>
        <v>13.134</v>
      </c>
      <c r="K15" s="6">
        <f>$J$3+[12]FormattedData!D18*$J$4+$M$4*$J$5+[12]FormattedData!D18^2*$J$6+$M$5*$J$7</f>
        <v>48.528314769681543</v>
      </c>
      <c r="L15" s="6">
        <f>$J$3+[12]FormattedData!E18*$J$4+$M$4*$J$5+[12]FormattedData!E18^2*$J$6+$M$5*$J$7</f>
        <v>36.326681978603673</v>
      </c>
      <c r="M15" s="6">
        <f>$J$3+[12]FormattedData!F18*$J$4+$M$4*$J$5+[12]FormattedData!F18^2*$J$6+$M$5*$J$7</f>
        <v>33.566886784948849</v>
      </c>
      <c r="N15" s="6">
        <f>$J$3+[12]FormattedData!G18*$J$4+$M$4*$J$5+[12]FormattedData!G18^2*$J$6+$M$5*$J$7</f>
        <v>38.864191454571873</v>
      </c>
      <c r="O15" s="6">
        <f>$J$3+[12]FormattedData!H18*$J$4+$M$4*$J$5+[12]FormattedData!H18^2*$J$6+$M$5*$J$7</f>
        <v>38.115549203908508</v>
      </c>
      <c r="P15" s="6">
        <f>$J$3+[12]FormattedData!I18*$J$4+$M$4*$J$5+[12]FormattedData!I18^2*$J$6+$M$5*$J$7</f>
        <v>40.446074172921158</v>
      </c>
      <c r="Q15" s="6">
        <f>$J$3+[12]FormattedData!J18*$J$4+$M$4*$J$5+[12]FormattedData!J18^2*$J$6+$M$5*$J$7</f>
        <v>33.662643895985219</v>
      </c>
      <c r="R15" s="6">
        <f>$J$3+[12]FormattedData!K18*$J$4+$M$4*$J$5+[12]FormattedData!K18^2*$J$6+$M$5*$J$7</f>
        <v>41.278596075462254</v>
      </c>
      <c r="S15" s="6">
        <f>$J$3+[12]FormattedData!L18*$J$4+$M$4*$J$5+[12]FormattedData!L18^2*$J$6+$M$5*$J$7</f>
        <v>36.421213302040044</v>
      </c>
      <c r="T15" s="6">
        <f>$J$3+[12]FormattedData!M18*$J$4+$M$4*$J$5+[12]FormattedData!M18^2*$J$6+$M$5*$J$7</f>
        <v>46.561609455971315</v>
      </c>
      <c r="U15" s="6">
        <f>$J$3+[12]FormattedData!N18*$J$4+$M$4*$J$5+[12]FormattedData!N18^2*$J$6+$M$5*$J$7</f>
        <v>38.396607061941751</v>
      </c>
      <c r="V15" s="6">
        <f>$J$3+[12]FormattedData!O18*$J$4+$M$4*$J$5+[12]FormattedData!O18^2*$J$6+$M$5*$J$7</f>
        <v>37.834110929033884</v>
      </c>
      <c r="W15" s="5">
        <f t="shared" si="0"/>
        <v>39.166873257089172</v>
      </c>
      <c r="X15" s="4">
        <f t="shared" si="1"/>
        <v>1.3178340451033776</v>
      </c>
      <c r="Y15" s="3">
        <f t="shared" si="2"/>
        <v>33.566886784948849</v>
      </c>
      <c r="Z15" s="2">
        <f t="shared" si="3"/>
        <v>36.397580471180952</v>
      </c>
      <c r="AA15" s="3">
        <f t="shared" si="4"/>
        <v>38.256078132925126</v>
      </c>
      <c r="AB15" s="2">
        <f t="shared" si="5"/>
        <v>40.65420464855643</v>
      </c>
      <c r="AC15" s="2">
        <f t="shared" si="6"/>
        <v>48.528314769681543</v>
      </c>
      <c r="AD15" s="2">
        <f t="shared" si="7"/>
        <v>0.97039217833646418</v>
      </c>
      <c r="AE15" s="2">
        <f t="shared" si="8"/>
        <v>0.58196169548280974</v>
      </c>
    </row>
    <row r="16" spans="1:35" x14ac:dyDescent="0.2">
      <c r="B16" s="1">
        <f>[12]FormattedData!A16</f>
        <v>107</v>
      </c>
      <c r="C16" s="1" t="str">
        <f>VLOOKUP($B16,[12]TrtCodes!$B$11:I59,2)</f>
        <v>NTL</v>
      </c>
      <c r="D16" s="1">
        <f>VLOOKUP($B16,[12]TrtCodes!$B$11:J59,3)</f>
        <v>10</v>
      </c>
      <c r="E16" s="1">
        <f>VLOOKUP($B16,[12]TrtCodes!$B$11:K59,4)</f>
        <v>2</v>
      </c>
      <c r="F16" s="1">
        <f>VLOOKUP($B16,[12]TrtCodes!$B$11:L59,5)</f>
        <v>2</v>
      </c>
      <c r="G16" s="1">
        <f>VLOOKUP($B16,[12]TrtCodes!$B$11:M59,6)</f>
        <v>1</v>
      </c>
      <c r="H16" s="1">
        <f>VLOOKUP($B16,[12]TrtCodes!$B$11:N59,7)</f>
        <v>2</v>
      </c>
      <c r="I16" s="1">
        <f>[12]FormattedData!B16</f>
        <v>1</v>
      </c>
      <c r="J16" s="4">
        <f>[12]FormattedData!C16</f>
        <v>13.115</v>
      </c>
      <c r="K16" s="6">
        <f>$J$3+[12]FormattedData!D16*$J$4+$M$4*$J$5+[12]FormattedData!D16^2*$J$6+$M$5*$J$7</f>
        <v>48.617224377573081</v>
      </c>
      <c r="L16" s="6">
        <f>$J$3+[12]FormattedData!E16*$J$4+$M$4*$J$5+[12]FormattedData!E16^2*$J$6+$M$5*$J$7</f>
        <v>46.021684722318668</v>
      </c>
      <c r="M16" s="6">
        <f>$J$3+[12]FormattedData!F16*$J$4+$M$4*$J$5+[12]FormattedData!F16^2*$J$6+$M$5*$J$7</f>
        <v>47.904763995378765</v>
      </c>
      <c r="N16" s="6">
        <f>$J$3+[12]FormattedData!G16*$J$4+$M$4*$J$5+[12]FormattedData!G16^2*$J$6+$M$5*$J$7</f>
        <v>42.933368625827171</v>
      </c>
      <c r="O16" s="6">
        <f>$J$3+[12]FormattedData!H16*$J$4+$M$4*$J$5+[12]FormattedData!H16^2*$J$6+$M$5*$J$7</f>
        <v>39.423897863976293</v>
      </c>
      <c r="P16" s="6">
        <f>$J$3+[12]FormattedData!I16*$J$4+$M$4*$J$5+[12]FormattedData!I16^2*$J$6+$M$5*$J$7</f>
        <v>44.846627634970105</v>
      </c>
      <c r="Q16" s="6">
        <f>$J$3+[12]FormattedData!J16*$J$4+$M$4*$J$5+[12]FormattedData!J16^2*$J$6+$M$5*$J$7</f>
        <v>46.561609455971315</v>
      </c>
      <c r="R16" s="6">
        <f>$J$3+[12]FormattedData!K16*$J$4+$M$4*$J$5+[12]FormattedData!K16^2*$J$6+$M$5*$J$7</f>
        <v>45.480238321300497</v>
      </c>
      <c r="S16" s="6">
        <f>$J$3+[12]FormattedData!L16*$J$4+$M$4*$J$5+[12]FormattedData!L16^2*$J$6+$M$5*$J$7</f>
        <v>41.555342542626526</v>
      </c>
      <c r="T16" s="6">
        <f>$J$3+[12]FormattedData!M16*$J$4+$M$4*$J$5+[12]FormattedData!M16^2*$J$6+$M$5*$J$7</f>
        <v>50.650479242609265</v>
      </c>
      <c r="U16" s="6">
        <f>$J$3+[12]FormattedData!N16*$J$4+$M$4*$J$5+[12]FormattedData!N16^2*$J$6+$M$5*$J$7</f>
        <v>32.895403488632155</v>
      </c>
      <c r="V16" s="6">
        <f>$J$3+[12]FormattedData!O16*$J$4+$M$4*$J$5+[12]FormattedData!O16^2*$J$6+$M$5*$J$7</f>
        <v>46.111777849272272</v>
      </c>
      <c r="W16" s="5">
        <f t="shared" si="0"/>
        <v>44.416868176704675</v>
      </c>
      <c r="X16" s="4">
        <f t="shared" si="1"/>
        <v>1.3709453625750305</v>
      </c>
      <c r="Y16" s="3">
        <f t="shared" si="2"/>
        <v>32.895403488632155</v>
      </c>
      <c r="Z16" s="2">
        <f t="shared" si="3"/>
        <v>42.588862105027012</v>
      </c>
      <c r="AA16" s="3">
        <f t="shared" si="4"/>
        <v>45.750961521809586</v>
      </c>
      <c r="AB16" s="2">
        <f t="shared" si="5"/>
        <v>46.897398090823174</v>
      </c>
      <c r="AC16" s="2">
        <f t="shared" si="6"/>
        <v>50.650479242609265</v>
      </c>
      <c r="AD16" s="2">
        <f t="shared" si="7"/>
        <v>-1.3257295109363885</v>
      </c>
      <c r="AE16" s="2">
        <f t="shared" si="8"/>
        <v>2.2615915966544904</v>
      </c>
    </row>
    <row r="17" spans="2:31" x14ac:dyDescent="0.2">
      <c r="B17" s="1">
        <f>[12]FormattedData!A14</f>
        <v>108</v>
      </c>
      <c r="C17" s="1" t="str">
        <f>VLOOKUP($B17,[12]TrtCodes!$B$11:I57,2)</f>
        <v>FTH</v>
      </c>
      <c r="D17" s="1">
        <f>VLOOKUP($B17,[12]TrtCodes!$B$11:J57,3)</f>
        <v>3</v>
      </c>
      <c r="E17" s="1">
        <f>VLOOKUP($B17,[12]TrtCodes!$B$11:K57,4)</f>
        <v>1</v>
      </c>
      <c r="F17" s="1">
        <f>VLOOKUP($B17,[12]TrtCodes!$B$11:L57,5)</f>
        <v>2</v>
      </c>
      <c r="G17" s="1">
        <f>VLOOKUP($B17,[12]TrtCodes!$B$11:M57,6)</f>
        <v>2</v>
      </c>
      <c r="H17" s="1">
        <f>VLOOKUP($B17,[12]TrtCodes!$B$11:N57,7)</f>
        <v>2</v>
      </c>
      <c r="I17" s="1">
        <f>[12]FormattedData!B14</f>
        <v>1</v>
      </c>
      <c r="J17" s="4">
        <f>[12]FormattedData!C14</f>
        <v>13.098000000000001</v>
      </c>
      <c r="K17" s="6">
        <f>$J$3+[12]FormattedData!D14*$J$4+$M$4*$J$5+[12]FormattedData!D14^2*$J$6+$M$5*$J$7</f>
        <v>52.138948492130737</v>
      </c>
      <c r="L17" s="6">
        <f>$J$3+[12]FormattedData!E14*$J$4+$M$4*$J$5+[12]FormattedData!E14^2*$J$6+$M$5*$J$7</f>
        <v>38.957581527484102</v>
      </c>
      <c r="M17" s="6">
        <f>$J$3+[12]FormattedData!F14*$J$4+$M$4*$J$5+[12]FormattedData!F14^2*$J$6+$M$5*$J$7</f>
        <v>41.555342542626526</v>
      </c>
      <c r="N17" s="6">
        <f>$J$3+[12]FormattedData!G14*$J$4+$M$4*$J$5+[12]FormattedData!G14^2*$J$6+$M$5*$J$7</f>
        <v>42.199604900515567</v>
      </c>
      <c r="O17" s="6">
        <f>$J$3+[12]FormattedData!H14*$J$4+$M$4*$J$5+[12]FormattedData!H14^2*$J$6+$M$5*$J$7</f>
        <v>44.574446169902401</v>
      </c>
      <c r="P17" s="6">
        <f>$J$3+[12]FormattedData!I14*$J$4+$M$4*$J$5+[12]FormattedData!I14^2*$J$6+$M$5*$J$7</f>
        <v>42.933368625827171</v>
      </c>
      <c r="Q17" s="6">
        <f>$J$3+[12]FormattedData!J14*$J$4+$M$4*$J$5+[12]FormattedData!J14^2*$J$6+$M$5*$J$7</f>
        <v>47.010384349222079</v>
      </c>
      <c r="R17" s="6">
        <f>$J$3+[12]FormattedData!K14*$J$4+$M$4*$J$5+[12]FormattedData!K14^2*$J$6+$M$5*$J$7</f>
        <v>38.957581527484102</v>
      </c>
      <c r="S17" s="6">
        <f>$J$3+[12]FormattedData!L14*$J$4+$M$4*$J$5+[12]FormattedData!L14^2*$J$6+$M$5*$J$7</f>
        <v>44.937270252916804</v>
      </c>
      <c r="T17" s="6">
        <f>$J$3+[12]FormattedData!M14*$J$4+$M$4*$J$5+[12]FormattedData!M14^2*$J$6+$M$5*$J$7</f>
        <v>34.522555811105704</v>
      </c>
      <c r="U17" s="6">
        <f>$J$3+[12]FormattedData!N14*$J$4+$M$4*$J$5+[12]FormattedData!N14^2*$J$6+$M$5*$J$7</f>
        <v>47.815516239183786</v>
      </c>
      <c r="V17" s="6">
        <f>$J$3+[12]FormattedData!O14*$J$4+$M$4*$J$5+[12]FormattedData!O14^2*$J$6+$M$5*$J$7</f>
        <v>32.991456479434049</v>
      </c>
      <c r="W17" s="5">
        <f t="shared" si="0"/>
        <v>42.382838076486088</v>
      </c>
      <c r="X17" s="4">
        <f t="shared" si="1"/>
        <v>1.5856993350943733</v>
      </c>
      <c r="Y17" s="3">
        <f t="shared" si="2"/>
        <v>32.991456479434049</v>
      </c>
      <c r="Z17" s="2">
        <f t="shared" si="3"/>
        <v>38.957581527484102</v>
      </c>
      <c r="AA17" s="3">
        <f t="shared" si="4"/>
        <v>42.566486763171369</v>
      </c>
      <c r="AB17" s="2">
        <f t="shared" si="5"/>
        <v>45.455548776993126</v>
      </c>
      <c r="AC17" s="2">
        <f t="shared" si="6"/>
        <v>52.138948492130737</v>
      </c>
      <c r="AD17" s="2">
        <f t="shared" si="7"/>
        <v>-0.11813761527992005</v>
      </c>
      <c r="AE17" s="2">
        <f t="shared" si="8"/>
        <v>-0.16902899079943356</v>
      </c>
    </row>
    <row r="18" spans="2:31" x14ac:dyDescent="0.2">
      <c r="B18" s="1">
        <f>[12]FormattedData!A30</f>
        <v>201</v>
      </c>
      <c r="C18" s="1" t="str">
        <f>VLOOKUP($B18,[12]TrtCodes!$B$11:I73,2)</f>
        <v>NDL</v>
      </c>
      <c r="D18" s="1">
        <f>VLOOKUP($B18,[12]TrtCodes!$B$11:J73,3)</f>
        <v>12</v>
      </c>
      <c r="E18" s="1">
        <f>VLOOKUP($B18,[12]TrtCodes!$B$11:K73,4)</f>
        <v>2</v>
      </c>
      <c r="F18" s="1">
        <f>VLOOKUP($B18,[12]TrtCodes!$B$11:L73,5)</f>
        <v>3</v>
      </c>
      <c r="G18" s="1">
        <f>VLOOKUP($B18,[12]TrtCodes!$B$11:M73,6)</f>
        <v>1</v>
      </c>
      <c r="H18" s="1">
        <f>VLOOKUP($B18,[12]TrtCodes!$B$11:N73,7)</f>
        <v>1</v>
      </c>
      <c r="I18" s="1">
        <f>[12]FormattedData!B30</f>
        <v>1</v>
      </c>
      <c r="J18" s="4">
        <f>[12]FormattedData!C30</f>
        <v>13.244</v>
      </c>
      <c r="K18" s="6">
        <f>$J$3+[12]FormattedData!D30*$J$4+$M$4*$J$5+[12]FormattedData!D30^2*$J$6+$M$5*$J$7</f>
        <v>40.167806038391376</v>
      </c>
      <c r="L18" s="6">
        <f>$J$3+[12]FormattedData!E30*$J$4+$M$4*$J$5+[12]FormattedData!E30^2*$J$6+$M$5*$J$7</f>
        <v>34.331760154177772</v>
      </c>
      <c r="M18" s="6">
        <f>$J$3+[12]FormattedData!F30*$J$4+$M$4*$J$5+[12]FormattedData!F30^2*$J$6+$M$5*$J$7</f>
        <v>35.093928336979104</v>
      </c>
      <c r="N18" s="6">
        <f>$J$3+[12]FormattedData!G30*$J$4+$M$4*$J$5+[12]FormattedData!G30^2*$J$6+$M$5*$J$7</f>
        <v>39.050929331858406</v>
      </c>
      <c r="O18" s="6">
        <f>$J$3+[12]FormattedData!H30*$J$4+$M$4*$J$5+[12]FormattedData!H30^2*$J$6+$M$5*$J$7</f>
        <v>30.577451148007391</v>
      </c>
      <c r="P18" s="6">
        <f>$J$3+[12]FormattedData!I30*$J$4+$M$4*$J$5+[12]FormattedData!I30^2*$J$6+$M$5*$J$7</f>
        <v>35.473997983469431</v>
      </c>
      <c r="Q18" s="6">
        <f>$J$3+[12]FormattedData!J30*$J$4+$M$4*$J$5+[12]FormattedData!J30^2*$J$6+$M$5*$J$7</f>
        <v>31.159221734211858</v>
      </c>
      <c r="R18" s="6">
        <f>$J$3+[12]FormattedData!K30*$J$4+$M$4*$J$5+[12]FormattedData!K30^2*$J$6+$M$5*$J$7</f>
        <v>37.081749047032574</v>
      </c>
      <c r="S18" s="6">
        <f>$J$3+[12]FormattedData!L30*$J$4+$M$4*$J$5+[12]FormattedData!L30^2*$J$6+$M$5*$J$7</f>
        <v>30.383189470969114</v>
      </c>
      <c r="T18" s="6">
        <f>$J$3+[12]FormattedData!M30*$J$4+$M$4*$J$5+[12]FormattedData!M30^2*$J$6+$M$5*$J$7</f>
        <v>36.98751360336172</v>
      </c>
      <c r="U18" s="6">
        <f>$J$3+[12]FormattedData!N30*$J$4+$M$4*$J$5+[12]FormattedData!N30^2*$J$6+$M$5*$J$7</f>
        <v>33.183435655424034</v>
      </c>
      <c r="V18" s="6">
        <f>$J$3+[12]FormattedData!O30*$J$4+$M$4*$J$5+[12]FormattedData!O30^2*$J$6+$M$5*$J$7</f>
        <v>37.927965955863357</v>
      </c>
      <c r="W18" s="5">
        <f t="shared" si="0"/>
        <v>35.118245704978847</v>
      </c>
      <c r="X18" s="4">
        <f t="shared" si="1"/>
        <v>0.95111871859114805</v>
      </c>
      <c r="Y18" s="3">
        <f t="shared" si="2"/>
        <v>30.383189470969114</v>
      </c>
      <c r="Z18" s="2">
        <f t="shared" si="3"/>
        <v>32.677382175120989</v>
      </c>
      <c r="AA18" s="3">
        <f t="shared" si="4"/>
        <v>35.283963160224268</v>
      </c>
      <c r="AB18" s="2">
        <f t="shared" si="5"/>
        <v>37.293303274240273</v>
      </c>
      <c r="AC18" s="2">
        <f t="shared" si="6"/>
        <v>40.167806038391376</v>
      </c>
      <c r="AD18" s="2">
        <f t="shared" si="7"/>
        <v>-0.13318884764890987</v>
      </c>
      <c r="AE18" s="2">
        <f t="shared" si="8"/>
        <v>-1.1361406202136251</v>
      </c>
    </row>
    <row r="19" spans="2:31" x14ac:dyDescent="0.2">
      <c r="B19" s="1">
        <f>[12]FormattedData!A32</f>
        <v>202</v>
      </c>
      <c r="C19" s="1" t="str">
        <f>VLOOKUP($B19,[12]TrtCodes!$B$11:I75,2)</f>
        <v>NTH</v>
      </c>
      <c r="D19" s="1">
        <f>VLOOKUP($B19,[12]TrtCodes!$B$11:J75,3)</f>
        <v>9</v>
      </c>
      <c r="E19" s="1">
        <f>VLOOKUP($B19,[12]TrtCodes!$B$11:K75,4)</f>
        <v>2</v>
      </c>
      <c r="F19" s="1">
        <f>VLOOKUP($B19,[12]TrtCodes!$B$11:L75,5)</f>
        <v>2</v>
      </c>
      <c r="G19" s="1">
        <f>VLOOKUP($B19,[12]TrtCodes!$B$11:M75,6)</f>
        <v>2</v>
      </c>
      <c r="H19" s="1">
        <f>VLOOKUP($B19,[12]TrtCodes!$B$11:N75,7)</f>
        <v>1</v>
      </c>
      <c r="I19" s="1">
        <f>[12]FormattedData!B32</f>
        <v>1</v>
      </c>
      <c r="J19" s="4">
        <f>[12]FormattedData!C32</f>
        <v>13.260999999999999</v>
      </c>
      <c r="K19" s="6">
        <f>$J$3+[12]FormattedData!D32*$J$4+$M$4*$J$5+[12]FormattedData!D32^2*$J$6+$M$5*$J$7</f>
        <v>52.31325941926552</v>
      </c>
      <c r="L19" s="6">
        <f>$J$3+[12]FormattedData!E32*$J$4+$M$4*$J$5+[12]FormattedData!E32^2*$J$6+$M$5*$J$7</f>
        <v>44.937270252916804</v>
      </c>
      <c r="M19" s="6">
        <f>$J$3+[12]FormattedData!F32*$J$4+$M$4*$J$5+[12]FormattedData!F32^2*$J$6+$M$5*$J$7</f>
        <v>36.232108386629371</v>
      </c>
      <c r="N19" s="6">
        <f>$J$3+[12]FormattedData!G32*$J$4+$M$4*$J$5+[12]FormattedData!G32^2*$J$6+$M$5*$J$7</f>
        <v>48.350368748284694</v>
      </c>
      <c r="O19" s="6">
        <f>$J$3+[12]FormattedData!H32*$J$4+$M$4*$J$5+[12]FormattedData!H32^2*$J$6+$M$5*$J$7</f>
        <v>43.573192787233438</v>
      </c>
      <c r="P19" s="6">
        <f>$J$3+[12]FormattedData!I32*$J$4+$M$4*$J$5+[12]FormattedData!I32^2*$J$6+$M$5*$J$7</f>
        <v>45.84137166279767</v>
      </c>
      <c r="Q19" s="6">
        <f>$J$3+[12]FormattedData!J32*$J$4+$M$4*$J$5+[12]FormattedData!J32^2*$J$6+$M$5*$J$7</f>
        <v>37.552292237317872</v>
      </c>
      <c r="R19" s="6">
        <f>$J$3+[12]FormattedData!K32*$J$4+$M$4*$J$5+[12]FormattedData!K32^2*$J$6+$M$5*$J$7</f>
        <v>52.922016205292394</v>
      </c>
      <c r="S19" s="6">
        <f>$J$3+[12]FormattedData!L32*$J$4+$M$4*$J$5+[12]FormattedData!L32^2*$J$6+$M$5*$J$7</f>
        <v>46.291837297565678</v>
      </c>
      <c r="T19" s="6">
        <f>$J$3+[12]FormattedData!M32*$J$4+$M$4*$J$5+[12]FormattedData!M32^2*$J$6+$M$5*$J$7</f>
        <v>47.279142062717362</v>
      </c>
      <c r="U19" s="6">
        <f>$J$3+[12]FormattedData!N32*$J$4+$M$4*$J$5+[12]FormattedData!N32^2*$J$6+$M$5*$J$7</f>
        <v>38.864191454571873</v>
      </c>
      <c r="V19" s="6">
        <f>$J$3+[12]FormattedData!O32*$J$4+$M$4*$J$5+[12]FormattedData!O32^2*$J$6+$M$5*$J$7</f>
        <v>36.421213302040044</v>
      </c>
      <c r="W19" s="5">
        <f t="shared" si="0"/>
        <v>44.214855318052734</v>
      </c>
      <c r="X19" s="4">
        <f t="shared" si="1"/>
        <v>1.6816041291389967</v>
      </c>
      <c r="Y19" s="3">
        <f t="shared" si="2"/>
        <v>36.232108386629371</v>
      </c>
      <c r="Z19" s="2">
        <f t="shared" si="3"/>
        <v>38.536216650258375</v>
      </c>
      <c r="AA19" s="3">
        <f t="shared" si="4"/>
        <v>45.389320957857237</v>
      </c>
      <c r="AB19" s="2">
        <f t="shared" si="5"/>
        <v>47.546948734109193</v>
      </c>
      <c r="AC19" s="2">
        <f t="shared" si="6"/>
        <v>52.922016205292394</v>
      </c>
      <c r="AD19" s="2">
        <f t="shared" si="7"/>
        <v>-7.0028307861493569E-2</v>
      </c>
      <c r="AE19" s="2">
        <f t="shared" si="8"/>
        <v>-1.1600902503075958</v>
      </c>
    </row>
    <row r="20" spans="2:31" x14ac:dyDescent="0.2">
      <c r="B20" s="1">
        <f>[12]FormattedData!A34</f>
        <v>203</v>
      </c>
      <c r="C20" s="1" t="str">
        <f>VLOOKUP($B20,[12]TrtCodes!$B$11:I77,2)</f>
        <v>FTH</v>
      </c>
      <c r="D20" s="1">
        <f>VLOOKUP($B20,[12]TrtCodes!$B$11:J77,3)</f>
        <v>3</v>
      </c>
      <c r="E20" s="1">
        <f>VLOOKUP($B20,[12]TrtCodes!$B$11:K77,4)</f>
        <v>1</v>
      </c>
      <c r="F20" s="1">
        <f>VLOOKUP($B20,[12]TrtCodes!$B$11:L77,5)</f>
        <v>2</v>
      </c>
      <c r="G20" s="1">
        <f>VLOOKUP($B20,[12]TrtCodes!$B$11:M77,6)</f>
        <v>2</v>
      </c>
      <c r="H20" s="1">
        <f>VLOOKUP($B20,[12]TrtCodes!$B$11:N77,7)</f>
        <v>1</v>
      </c>
      <c r="I20" s="1">
        <f>[12]FormattedData!B34</f>
        <v>1</v>
      </c>
      <c r="J20" s="4">
        <f>[12]FormattedData!C34</f>
        <v>13.278</v>
      </c>
      <c r="K20" s="6">
        <f>$J$3+[12]FormattedData!D34*$J$4+$M$4*$J$5+[12]FormattedData!D34^2*$J$6+$M$5*$J$7</f>
        <v>46.65144897169732</v>
      </c>
      <c r="L20" s="6">
        <f>$J$3+[12]FormattedData!E34*$J$4+$M$4*$J$5+[12]FormattedData!E34^2*$J$6+$M$5*$J$7</f>
        <v>52.835177755759489</v>
      </c>
      <c r="M20" s="6">
        <f>$J$3+[12]FormattedData!F34*$J$4+$M$4*$J$5+[12]FormattedData!F34^2*$J$6+$M$5*$J$7</f>
        <v>40.631374919918038</v>
      </c>
      <c r="N20" s="6">
        <f>$J$3+[12]FormattedData!G34*$J$4+$M$4*$J$5+[12]FormattedData!G34^2*$J$6+$M$5*$J$7</f>
        <v>41.555342542626526</v>
      </c>
      <c r="O20" s="6">
        <f>$J$3+[12]FormattedData!H34*$J$4+$M$4*$J$5+[12]FormattedData!H34^2*$J$6+$M$5*$J$7</f>
        <v>36.042834397066969</v>
      </c>
      <c r="P20" s="6">
        <f>$J$3+[12]FormattedData!I34*$J$4+$M$4*$J$5+[12]FormattedData!I34^2*$J$6+$M$5*$J$7</f>
        <v>40.631374919918038</v>
      </c>
      <c r="Q20" s="6">
        <f>$J$3+[12]FormattedData!J34*$J$4+$M$4*$J$5+[12]FormattedData!J34^2*$J$6+$M$5*$J$7</f>
        <v>31.256035558696517</v>
      </c>
      <c r="R20" s="6">
        <f>$J$3+[12]FormattedData!K34*$J$4+$M$4*$J$5+[12]FormattedData!K34^2*$J$6+$M$5*$J$7</f>
        <v>52.226125089967091</v>
      </c>
      <c r="S20" s="6">
        <f>$J$3+[12]FormattedData!L34*$J$4+$M$4*$J$5+[12]FormattedData!L34^2*$J$6+$M$5*$J$7</f>
        <v>40.909009026378854</v>
      </c>
      <c r="T20" s="6">
        <f>$J$3+[12]FormattedData!M34*$J$4+$M$4*$J$5+[12]FormattedData!M34^2*$J$6+$M$5*$J$7</f>
        <v>41.555342542626526</v>
      </c>
      <c r="U20" s="6">
        <f>$J$3+[12]FormattedData!N34*$J$4+$M$4*$J$5+[12]FormattedData!N34^2*$J$6+$M$5*$J$7</f>
        <v>41.647506827938749</v>
      </c>
      <c r="V20" s="6">
        <f>$J$3+[12]FormattedData!O34*$J$4+$M$4*$J$5+[12]FormattedData!O34^2*$J$6+$M$5*$J$7</f>
        <v>34.331760154177772</v>
      </c>
      <c r="W20" s="5">
        <f t="shared" si="0"/>
        <v>41.689444392230989</v>
      </c>
      <c r="X20" s="4">
        <f t="shared" si="1"/>
        <v>1.861963915535459</v>
      </c>
      <c r="Y20" s="3">
        <f t="shared" si="2"/>
        <v>31.256035558696517</v>
      </c>
      <c r="Z20" s="2">
        <f t="shared" si="3"/>
        <v>39.484239789205269</v>
      </c>
      <c r="AA20" s="3">
        <f t="shared" si="4"/>
        <v>41.232175784502687</v>
      </c>
      <c r="AB20" s="2">
        <f t="shared" si="5"/>
        <v>42.89849236387839</v>
      </c>
      <c r="AC20" s="2">
        <f t="shared" si="6"/>
        <v>52.835177755759489</v>
      </c>
      <c r="AD20" s="2">
        <f t="shared" si="7"/>
        <v>0.3901310322803126</v>
      </c>
      <c r="AE20" s="2">
        <f t="shared" si="8"/>
        <v>-1.2532721119367096E-2</v>
      </c>
    </row>
    <row r="21" spans="2:31" x14ac:dyDescent="0.2">
      <c r="B21" s="1">
        <f>[12]FormattedData!A36</f>
        <v>204</v>
      </c>
      <c r="C21" s="1" t="str">
        <f>VLOOKUP($B21,[12]TrtCodes!$B$11:I79,2)</f>
        <v>NDH</v>
      </c>
      <c r="D21" s="1">
        <f>VLOOKUP($B21,[12]TrtCodes!$B$11:J79,3)</f>
        <v>11</v>
      </c>
      <c r="E21" s="1">
        <f>VLOOKUP($B21,[12]TrtCodes!$B$11:K79,4)</f>
        <v>2</v>
      </c>
      <c r="F21" s="1">
        <f>VLOOKUP($B21,[12]TrtCodes!$B$11:L79,5)</f>
        <v>3</v>
      </c>
      <c r="G21" s="1">
        <f>VLOOKUP($B21,[12]TrtCodes!$B$11:M79,6)</f>
        <v>2</v>
      </c>
      <c r="H21" s="1">
        <f>VLOOKUP($B21,[12]TrtCodes!$B$11:N79,7)</f>
        <v>1</v>
      </c>
      <c r="I21" s="1">
        <f>[12]FormattedData!B36</f>
        <v>1</v>
      </c>
      <c r="J21" s="4">
        <f>[12]FormattedData!C36</f>
        <v>13.295</v>
      </c>
      <c r="K21" s="6">
        <f>$J$3+[12]FormattedData!D36*$J$4+$M$4*$J$5+[12]FormattedData!D36^2*$J$6+$M$5*$J$7</f>
        <v>36.326681978603673</v>
      </c>
      <c r="L21" s="6">
        <f>$J$3+[12]FormattedData!E36*$J$4+$M$4*$J$5+[12]FormattedData!E36^2*$J$6+$M$5*$J$7</f>
        <v>38.021778714154891</v>
      </c>
      <c r="M21" s="6">
        <f>$J$3+[12]FormattedData!F36*$J$4+$M$4*$J$5+[12]FormattedData!F36^2*$J$6+$M$5*$J$7</f>
        <v>30.091479941377226</v>
      </c>
      <c r="N21" s="6">
        <f>$J$3+[12]FormattedData!G36*$J$4+$M$4*$J$5+[12]FormattedData!G36^2*$J$6+$M$5*$J$7</f>
        <v>33.662643895985219</v>
      </c>
      <c r="O21" s="6">
        <f>$J$3+[12]FormattedData!H36*$J$4+$M$4*$J$5+[12]FormattedData!H36^2*$J$6+$M$5*$J$7</f>
        <v>34.140795423098126</v>
      </c>
      <c r="P21" s="6">
        <f>$J$3+[12]FormattedData!I36*$J$4+$M$4*$J$5+[12]FormattedData!I36^2*$J$6+$M$5*$J$7</f>
        <v>34.4271791169107</v>
      </c>
      <c r="Q21" s="6">
        <f>$J$3+[12]FormattedData!J36*$J$4+$M$4*$J$5+[12]FormattedData!J36^2*$J$6+$M$5*$J$7</f>
        <v>33.183435655424034</v>
      </c>
      <c r="R21" s="6">
        <f>$J$3+[12]FormattedData!K36*$J$4+$M$4*$J$5+[12]FormattedData!K36^2*$J$6+$M$5*$J$7</f>
        <v>32.991456479434049</v>
      </c>
      <c r="S21" s="6">
        <f>$J$3+[12]FormattedData!L36*$J$4+$M$4*$J$5+[12]FormattedData!L36^2*$J$6+$M$5*$J$7</f>
        <v>34.331760154177772</v>
      </c>
      <c r="T21" s="6">
        <f>$J$3+[12]FormattedData!M36*$J$4+$M$4*$J$5+[12]FormattedData!M36^2*$J$6+$M$5*$J$7</f>
        <v>34.522555811105704</v>
      </c>
      <c r="U21" s="6">
        <f>$J$3+[12]FormattedData!N36*$J$4+$M$4*$J$5+[12]FormattedData!N36^2*$J$6+$M$5*$J$7</f>
        <v>32.606990904998895</v>
      </c>
      <c r="V21" s="6">
        <f>$J$3+[12]FormattedData!O36*$J$4+$M$4*$J$5+[12]FormattedData!O36^2*$J$6+$M$5*$J$7</f>
        <v>32.221849033956836</v>
      </c>
      <c r="W21" s="5">
        <f t="shared" si="0"/>
        <v>33.877383925768932</v>
      </c>
      <c r="X21" s="4">
        <f t="shared" si="1"/>
        <v>0.57846284097976164</v>
      </c>
      <c r="Y21" s="3">
        <f t="shared" si="2"/>
        <v>30.091479941377226</v>
      </c>
      <c r="Z21" s="2">
        <f t="shared" si="3"/>
        <v>32.895340085825261</v>
      </c>
      <c r="AA21" s="3">
        <f t="shared" si="4"/>
        <v>33.901719659541669</v>
      </c>
      <c r="AB21" s="2">
        <f t="shared" si="5"/>
        <v>34.451023290459453</v>
      </c>
      <c r="AC21" s="2">
        <f t="shared" si="6"/>
        <v>38.021778714154891</v>
      </c>
      <c r="AD21" s="2">
        <f t="shared" si="7"/>
        <v>0.33262332244411291</v>
      </c>
      <c r="AE21" s="2">
        <f t="shared" si="8"/>
        <v>1.3194951933486747</v>
      </c>
    </row>
    <row r="22" spans="2:31" x14ac:dyDescent="0.2">
      <c r="B22" s="1">
        <f>[12]FormattedData!A38</f>
        <v>205</v>
      </c>
      <c r="C22" s="1" t="str">
        <f>VLOOKUP($B22,[12]TrtCodes!$B$11:I81,2)</f>
        <v>FSH</v>
      </c>
      <c r="D22" s="1">
        <f>VLOOKUP($B22,[12]TrtCodes!$B$11:J81,3)</f>
        <v>1</v>
      </c>
      <c r="E22" s="1">
        <f>VLOOKUP($B22,[12]TrtCodes!$B$11:K81,4)</f>
        <v>1</v>
      </c>
      <c r="F22" s="1">
        <f>VLOOKUP($B22,[12]TrtCodes!$B$11:L81,5)</f>
        <v>1</v>
      </c>
      <c r="G22" s="1">
        <f>VLOOKUP($B22,[12]TrtCodes!$B$11:M81,6)</f>
        <v>2</v>
      </c>
      <c r="H22" s="1">
        <f>VLOOKUP($B22,[12]TrtCodes!$B$11:N81,7)</f>
        <v>2</v>
      </c>
      <c r="I22" s="1">
        <f>[12]FormattedData!B38</f>
        <v>1</v>
      </c>
      <c r="J22" s="4">
        <f>[12]FormattedData!C38</f>
        <v>13.311</v>
      </c>
      <c r="K22" s="6">
        <f>$J$3+[12]FormattedData!D38*$J$4+$M$4*$J$5+[12]FormattedData!D38^2*$J$6+$M$5*$J$7</f>
        <v>51.440014042074388</v>
      </c>
      <c r="L22" s="6">
        <f>$J$3+[12]FormattedData!E38*$J$4+$M$4*$J$5+[12]FormattedData!E38^2*$J$6+$M$5*$J$7</f>
        <v>48.794916787742345</v>
      </c>
      <c r="M22" s="6">
        <f>$J$3+[12]FormattedData!F38*$J$4+$M$4*$J$5+[12]FormattedData!F38^2*$J$6+$M$5*$J$7</f>
        <v>44.028941989242838</v>
      </c>
      <c r="N22" s="6">
        <f>$J$3+[12]FormattedData!G38*$J$4+$M$4*$J$5+[12]FormattedData!G38^2*$J$6+$M$5*$J$7</f>
        <v>48.350368748284694</v>
      </c>
      <c r="O22" s="6">
        <f>$J$3+[12]FormattedData!H38*$J$4+$M$4*$J$5+[12]FormattedData!H38^2*$J$6+$M$5*$J$7</f>
        <v>43.116386871775759</v>
      </c>
      <c r="P22" s="6">
        <f>$J$3+[12]FormattedData!I38*$J$4+$M$4*$J$5+[12]FormattedData!I38^2*$J$6+$M$5*$J$7</f>
        <v>47.279142062717362</v>
      </c>
      <c r="Q22" s="6">
        <f>$J$3+[12]FormattedData!J38*$J$4+$M$4*$J$5+[12]FormattedData!J38^2*$J$6+$M$5*$J$7</f>
        <v>41.093887087996421</v>
      </c>
      <c r="R22" s="6">
        <f>$J$3+[12]FormattedData!K38*$J$4+$M$4*$J$5+[12]FormattedData!K38^2*$J$6+$M$5*$J$7</f>
        <v>56.020049542214807</v>
      </c>
      <c r="S22" s="6">
        <f>$J$3+[12]FormattedData!L38*$J$4+$M$4*$J$5+[12]FormattedData!L38^2*$J$6+$M$5*$J$7</f>
        <v>51.615001265816069</v>
      </c>
      <c r="T22" s="6">
        <f>$J$3+[12]FormattedData!M38*$J$4+$M$4*$J$5+[12]FormattedData!M38^2*$J$6+$M$5*$J$7</f>
        <v>43.755619273651</v>
      </c>
      <c r="U22" s="6">
        <f>$J$3+[12]FormattedData!N38*$J$4+$M$4*$J$5+[12]FormattedData!N38^2*$J$6+$M$5*$J$7</f>
        <v>33.758358738483672</v>
      </c>
      <c r="V22" s="6">
        <f>$J$3+[12]FormattedData!O38*$J$4+$M$4*$J$5+[12]FormattedData!O38^2*$J$6+$M$5*$J$7</f>
        <v>36.798915910406215</v>
      </c>
      <c r="W22" s="5">
        <f t="shared" si="0"/>
        <v>45.504300193367129</v>
      </c>
      <c r="X22" s="4">
        <f t="shared" si="1"/>
        <v>1.8450835060894313</v>
      </c>
      <c r="Y22" s="3">
        <f t="shared" si="2"/>
        <v>33.758358738483672</v>
      </c>
      <c r="Z22" s="2">
        <f t="shared" si="3"/>
        <v>42.610761925830928</v>
      </c>
      <c r="AA22" s="3">
        <f t="shared" si="4"/>
        <v>45.654042025980104</v>
      </c>
      <c r="AB22" s="2">
        <f t="shared" si="5"/>
        <v>49.456191101325359</v>
      </c>
      <c r="AC22" s="2">
        <f t="shared" si="6"/>
        <v>56.020049542214807</v>
      </c>
      <c r="AD22" s="2">
        <f t="shared" si="7"/>
        <v>-0.30241168570316967</v>
      </c>
      <c r="AE22" s="2">
        <f t="shared" si="8"/>
        <v>-0.23202449371072431</v>
      </c>
    </row>
    <row r="23" spans="2:31" x14ac:dyDescent="0.2">
      <c r="B23" s="1">
        <f>[12]FormattedData!A40</f>
        <v>206</v>
      </c>
      <c r="C23" s="1" t="str">
        <f>VLOOKUP($B23,[12]TrtCodes!$B$11:I83,2)</f>
        <v>NSL</v>
      </c>
      <c r="D23" s="1">
        <f>VLOOKUP($B23,[12]TrtCodes!$B$11:J83,3)</f>
        <v>8</v>
      </c>
      <c r="E23" s="1">
        <f>VLOOKUP($B23,[12]TrtCodes!$B$11:K83,4)</f>
        <v>2</v>
      </c>
      <c r="F23" s="1">
        <f>VLOOKUP($B23,[12]TrtCodes!$B$11:L83,5)</f>
        <v>1</v>
      </c>
      <c r="G23" s="1">
        <f>VLOOKUP($B23,[12]TrtCodes!$B$11:M83,6)</f>
        <v>1</v>
      </c>
      <c r="H23" s="1">
        <f>VLOOKUP($B23,[12]TrtCodes!$B$11:N83,7)</f>
        <v>2</v>
      </c>
      <c r="I23" s="1">
        <f>[12]FormattedData!B40</f>
        <v>1</v>
      </c>
      <c r="J23" s="4">
        <f>[12]FormattedData!C40</f>
        <v>13.329000000000001</v>
      </c>
      <c r="K23" s="6">
        <f>$J$3+[12]FormattedData!D40*$J$4+$M$4*$J$5+[12]FormattedData!D40^2*$J$6+$M$5*$J$7</f>
        <v>54.993458432702752</v>
      </c>
      <c r="L23" s="6">
        <f>$J$3+[12]FormattedData!E40*$J$4+$M$4*$J$5+[12]FormattedData!E40^2*$J$6+$M$5*$J$7</f>
        <v>56.275746277489361</v>
      </c>
      <c r="M23" s="6">
        <f>$J$3+[12]FormattedData!F40*$J$4+$M$4*$J$5+[12]FormattedData!F40^2*$J$6+$M$5*$J$7</f>
        <v>46.20182870768793</v>
      </c>
      <c r="N23" s="6">
        <f>$J$3+[12]FormattedData!G40*$J$4+$M$4*$J$5+[12]FormattedData!G40^2*$J$6+$M$5*$J$7</f>
        <v>55.336331765813668</v>
      </c>
      <c r="O23" s="6">
        <f>$J$3+[12]FormattedData!H40*$J$4+$M$4*$J$5+[12]FormattedData!H40^2*$J$6+$M$5*$J$7</f>
        <v>51.527528788214191</v>
      </c>
      <c r="P23" s="6">
        <f>$J$3+[12]FormattedData!I40*$J$4+$M$4*$J$5+[12]FormattedData!I40^2*$J$6+$M$5*$J$7</f>
        <v>56.531062595922549</v>
      </c>
      <c r="Q23" s="6">
        <f>$J$3+[12]FormattedData!J40*$J$4+$M$4*$J$5+[12]FormattedData!J40^2*$J$6+$M$5*$J$7</f>
        <v>47.726226214450875</v>
      </c>
      <c r="R23" s="6">
        <f>$J$3+[12]FormattedData!K40*$J$4+$M$4*$J$5+[12]FormattedData!K40^2*$J$6+$M$5*$J$7</f>
        <v>54.477880376898447</v>
      </c>
      <c r="S23" s="6">
        <f>$J$3+[12]FormattedData!L40*$J$4+$M$4*$J$5+[12]FormattedData!L40^2*$J$6+$M$5*$J$7</f>
        <v>42.383299443071053</v>
      </c>
      <c r="T23" s="6">
        <f>$J$3+[12]FormattedData!M40*$J$4+$M$4*$J$5+[12]FormattedData!M40^2*$J$6+$M$5*$J$7</f>
        <v>51.877165087394097</v>
      </c>
      <c r="U23" s="6">
        <f>$J$3+[12]FormattedData!N40*$J$4+$M$4*$J$5+[12]FormattedData!N40^2*$J$6+$M$5*$J$7</f>
        <v>52.574408795933188</v>
      </c>
      <c r="V23" s="6">
        <f>$J$3+[12]FormattedData!O40*$J$4+$M$4*$J$5+[12]FormattedData!O40^2*$J$6+$M$5*$J$7</f>
        <v>54.21952072373422</v>
      </c>
      <c r="W23" s="5">
        <f t="shared" si="0"/>
        <v>52.010371434109366</v>
      </c>
      <c r="X23" s="4">
        <f t="shared" si="1"/>
        <v>1.2759501372308684</v>
      </c>
      <c r="Y23" s="3">
        <f t="shared" si="2"/>
        <v>42.383299443071053</v>
      </c>
      <c r="Z23" s="2">
        <f t="shared" si="3"/>
        <v>50.577203144773364</v>
      </c>
      <c r="AA23" s="3">
        <f t="shared" si="4"/>
        <v>53.396964759833708</v>
      </c>
      <c r="AB23" s="2">
        <f t="shared" si="5"/>
        <v>55.079176765980478</v>
      </c>
      <c r="AC23" s="2">
        <f t="shared" si="6"/>
        <v>56.531062595922549</v>
      </c>
      <c r="AD23" s="2">
        <f t="shared" si="7"/>
        <v>-1.1466598858628929</v>
      </c>
      <c r="AE23" s="2">
        <f t="shared" si="8"/>
        <v>0.53944652372976876</v>
      </c>
    </row>
    <row r="24" spans="2:31" x14ac:dyDescent="0.2">
      <c r="B24" s="1">
        <f>[12]FormattedData!A42</f>
        <v>207</v>
      </c>
      <c r="C24" s="1" t="str">
        <f>VLOOKUP($B24,[12]TrtCodes!$B$11:I85,2)</f>
        <v>FTL</v>
      </c>
      <c r="D24" s="1">
        <f>VLOOKUP($B24,[12]TrtCodes!$B$11:J85,3)</f>
        <v>4</v>
      </c>
      <c r="E24" s="1">
        <f>VLOOKUP($B24,[12]TrtCodes!$B$11:K85,4)</f>
        <v>1</v>
      </c>
      <c r="F24" s="1">
        <f>VLOOKUP($B24,[12]TrtCodes!$B$11:L85,5)</f>
        <v>2</v>
      </c>
      <c r="G24" s="1">
        <f>VLOOKUP($B24,[12]TrtCodes!$B$11:M85,6)</f>
        <v>1</v>
      </c>
      <c r="H24" s="1">
        <f>VLOOKUP($B24,[12]TrtCodes!$B$11:N85,7)</f>
        <v>2</v>
      </c>
      <c r="I24" s="1">
        <f>[12]FormattedData!B42</f>
        <v>1</v>
      </c>
      <c r="J24" s="4">
        <f>[12]FormattedData!C42</f>
        <v>13.346</v>
      </c>
      <c r="K24" s="6">
        <f>$J$3+[12]FormattedData!D42*$J$4+$M$4*$J$5+[12]FormattedData!D42^2*$J$6+$M$5*$J$7</f>
        <v>54.563915724210659</v>
      </c>
      <c r="L24" s="6">
        <f>$J$3+[12]FormattedData!E42*$J$4+$M$4*$J$5+[12]FormattedData!E42^2*$J$6+$M$5*$J$7</f>
        <v>39.517034325660937</v>
      </c>
      <c r="M24" s="6">
        <f>$J$3+[12]FormattedData!F42*$J$4+$M$4*$J$5+[12]FormattedData!F42^2*$J$6+$M$5*$J$7</f>
        <v>44.665215593462904</v>
      </c>
      <c r="N24" s="6">
        <f>$J$3+[12]FormattedData!G42*$J$4+$M$4*$J$5+[12]FormattedData!G42^2*$J$6+$M$5*$J$7</f>
        <v>47.279142062717362</v>
      </c>
      <c r="O24" s="6">
        <f>$J$3+[12]FormattedData!H42*$J$4+$M$4*$J$5+[12]FormattedData!H42^2*$J$6+$M$5*$J$7</f>
        <v>38.209277425124192</v>
      </c>
      <c r="P24" s="6">
        <f>$J$3+[12]FormattedData!I42*$J$4+$M$4*$J$5+[12]FormattedData!I42^2*$J$6+$M$5*$J$7</f>
        <v>44.028941989242838</v>
      </c>
      <c r="Q24" s="6">
        <f>$J$3+[12]FormattedData!J42*$J$4+$M$4*$J$5+[12]FormattedData!J42^2*$J$6+$M$5*$J$7</f>
        <v>39.889157487020199</v>
      </c>
      <c r="R24" s="6">
        <f>$J$3+[12]FormattedData!K42*$J$4+$M$4*$J$5+[12]FormattedData!K42^2*$J$6+$M$5*$J$7</f>
        <v>37.175942222165496</v>
      </c>
      <c r="S24" s="6">
        <f>$J$3+[12]FormattedData!L42*$J$4+$M$4*$J$5+[12]FormattedData!L42^2*$J$6+$M$5*$J$7</f>
        <v>36.326681978603673</v>
      </c>
      <c r="T24" s="6">
        <f>$J$3+[12]FormattedData!M42*$J$4+$M$4*$J$5+[12]FormattedData!M42^2*$J$6+$M$5*$J$7</f>
        <v>37.646274069761141</v>
      </c>
      <c r="U24" s="6">
        <f>$J$3+[12]FormattedData!N42*$J$4+$M$4*$J$5+[12]FormattedData!N42^2*$J$6+$M$5*$J$7</f>
        <v>49.503995686902165</v>
      </c>
      <c r="V24" s="6">
        <f>$J$3+[12]FormattedData!O42*$J$4+$M$4*$J$5+[12]FormattedData!O42^2*$J$6+$M$5*$J$7</f>
        <v>34.808432282463087</v>
      </c>
      <c r="W24" s="5">
        <f t="shared" si="0"/>
        <v>41.967834237277884</v>
      </c>
      <c r="X24" s="4">
        <f t="shared" si="1"/>
        <v>1.7502398828097563</v>
      </c>
      <c r="Y24" s="3">
        <f t="shared" si="2"/>
        <v>34.808432282463087</v>
      </c>
      <c r="Z24" s="2">
        <f t="shared" si="3"/>
        <v>37.52869110786223</v>
      </c>
      <c r="AA24" s="3">
        <f t="shared" si="4"/>
        <v>39.703095906340565</v>
      </c>
      <c r="AB24" s="2">
        <f t="shared" si="5"/>
        <v>45.31869721077652</v>
      </c>
      <c r="AC24" s="2">
        <f t="shared" si="6"/>
        <v>54.563915724210659</v>
      </c>
      <c r="AD24" s="2">
        <f t="shared" si="7"/>
        <v>0.87649203383868091</v>
      </c>
      <c r="AE24" s="2">
        <f t="shared" si="8"/>
        <v>-6.4383161210071815E-2</v>
      </c>
    </row>
    <row r="25" spans="2:31" x14ac:dyDescent="0.2">
      <c r="B25" s="1">
        <f>[12]FormattedData!A44</f>
        <v>208</v>
      </c>
      <c r="C25" s="1" t="str">
        <f>VLOOKUP($B25,[12]TrtCodes!$B$11:I87,2)</f>
        <v>FSL</v>
      </c>
      <c r="D25" s="1">
        <f>VLOOKUP($B25,[12]TrtCodes!$B$11:J87,3)</f>
        <v>2</v>
      </c>
      <c r="E25" s="1">
        <f>VLOOKUP($B25,[12]TrtCodes!$B$11:K87,4)</f>
        <v>1</v>
      </c>
      <c r="F25" s="1">
        <f>VLOOKUP($B25,[12]TrtCodes!$B$11:L87,5)</f>
        <v>1</v>
      </c>
      <c r="G25" s="1">
        <f>VLOOKUP($B25,[12]TrtCodes!$B$11:M87,6)</f>
        <v>1</v>
      </c>
      <c r="H25" s="1">
        <f>VLOOKUP($B25,[12]TrtCodes!$B$11:N87,7)</f>
        <v>2</v>
      </c>
      <c r="I25" s="1">
        <f>[12]FormattedData!B44</f>
        <v>1</v>
      </c>
      <c r="J25" s="4">
        <f>[12]FormattedData!C44</f>
        <v>13.363</v>
      </c>
      <c r="K25" s="6">
        <f>$J$3+[12]FormattedData!D44*$J$4+$M$4*$J$5+[12]FormattedData!D44^2*$J$6+$M$5*$J$7</f>
        <v>54.649908802984939</v>
      </c>
      <c r="L25" s="6">
        <f>$J$3+[12]FormattedData!E44*$J$4+$M$4*$J$5+[12]FormattedData!E44^2*$J$6+$M$5*$J$7</f>
        <v>42.658524242869802</v>
      </c>
      <c r="M25" s="6">
        <f>$J$3+[12]FormattedData!F44*$J$4+$M$4*$J$5+[12]FormattedData!F44^2*$J$6+$M$5*$J$7</f>
        <v>48.883699590020079</v>
      </c>
      <c r="N25" s="6">
        <f>$J$3+[12]FormattedData!G44*$J$4+$M$4*$J$5+[12]FormattedData!G44^2*$J$6+$M$5*$J$7</f>
        <v>45.931549326827131</v>
      </c>
      <c r="O25" s="6">
        <f>$J$3+[12]FormattedData!H44*$J$4+$M$4*$J$5+[12]FormattedData!H44^2*$J$6+$M$5*$J$7</f>
        <v>38.770759113121713</v>
      </c>
      <c r="P25" s="6">
        <f>$J$3+[12]FormattedData!I44*$J$4+$M$4*$J$5+[12]FormattedData!I44^2*$J$6+$M$5*$J$7</f>
        <v>51.177216192427402</v>
      </c>
      <c r="Q25" s="6">
        <f>$J$3+[12]FormattedData!J44*$J$4+$M$4*$J$5+[12]FormattedData!J44^2*$J$6+$M$5*$J$7</f>
        <v>50.122220625425619</v>
      </c>
      <c r="R25" s="6">
        <f>$J$3+[12]FormattedData!K44*$J$4+$M$4*$J$5+[12]FormattedData!K44^2*$J$6+$M$5*$J$7</f>
        <v>51.264857744180993</v>
      </c>
      <c r="S25" s="6">
        <f>$J$3+[12]FormattedData!L44*$J$4+$M$4*$J$5+[12]FormattedData!L44^2*$J$6+$M$5*$J$7</f>
        <v>38.957581527484102</v>
      </c>
      <c r="T25" s="6">
        <f>$J$3+[12]FormattedData!M44*$J$4+$M$4*$J$5+[12]FormattedData!M44^2*$J$6+$M$5*$J$7</f>
        <v>56.020049542214807</v>
      </c>
      <c r="U25" s="6">
        <f>$J$3+[12]FormattedData!N44*$J$4+$M$4*$J$5+[12]FormattedData!N44^2*$J$6+$M$5*$J$7</f>
        <v>52.748297037688658</v>
      </c>
      <c r="V25" s="6">
        <f>$J$3+[12]FormattedData!O44*$J$4+$M$4*$J$5+[12]FormattedData!O44^2*$J$6+$M$5*$J$7</f>
        <v>44.665215593462904</v>
      </c>
      <c r="W25" s="5">
        <f t="shared" si="0"/>
        <v>47.987489944892339</v>
      </c>
      <c r="X25" s="4">
        <f t="shared" si="1"/>
        <v>1.6696954229809027</v>
      </c>
      <c r="Y25" s="3">
        <f t="shared" si="2"/>
        <v>38.770759113121713</v>
      </c>
      <c r="Z25" s="2">
        <f t="shared" si="3"/>
        <v>44.163542755814632</v>
      </c>
      <c r="AA25" s="3">
        <f t="shared" si="4"/>
        <v>49.502960107722849</v>
      </c>
      <c r="AB25" s="2">
        <f t="shared" si="5"/>
        <v>51.635717567557911</v>
      </c>
      <c r="AC25" s="2">
        <f t="shared" si="6"/>
        <v>56.020049542214807</v>
      </c>
      <c r="AD25" s="2">
        <f t="shared" si="7"/>
        <v>-0.40361180705329636</v>
      </c>
      <c r="AE25" s="2">
        <f t="shared" si="8"/>
        <v>-0.97837969435836269</v>
      </c>
    </row>
    <row r="26" spans="2:31" x14ac:dyDescent="0.2">
      <c r="B26" s="1">
        <f>[12]FormattedData!A62</f>
        <v>301</v>
      </c>
      <c r="C26" s="1" t="str">
        <f>VLOOKUP($B26,[12]TrtCodes!$B$11:I105,2)</f>
        <v>NTL</v>
      </c>
      <c r="D26" s="1">
        <f>VLOOKUP($B26,[12]TrtCodes!$B$11:J105,3)</f>
        <v>10</v>
      </c>
      <c r="E26" s="1">
        <f>VLOOKUP($B26,[12]TrtCodes!$B$11:K105,4)</f>
        <v>2</v>
      </c>
      <c r="F26" s="1">
        <f>VLOOKUP($B26,[12]TrtCodes!$B$11:L105,5)</f>
        <v>2</v>
      </c>
      <c r="G26" s="1">
        <f>VLOOKUP($B26,[12]TrtCodes!$B$11:M105,6)</f>
        <v>1</v>
      </c>
      <c r="H26" s="1">
        <f>VLOOKUP($B26,[12]TrtCodes!$B$11:N105,7)</f>
        <v>3</v>
      </c>
      <c r="I26" s="1">
        <f>[12]FormattedData!B62</f>
        <v>1</v>
      </c>
      <c r="J26" s="4">
        <f>[12]FormattedData!C62</f>
        <v>13.491</v>
      </c>
      <c r="K26" s="6">
        <f>$J$3+[12]FormattedData!D62*$J$4+$M$4*$J$5+[12]FormattedData!D62^2*$J$6+$M$5*$J$7</f>
        <v>35.853391333352846</v>
      </c>
      <c r="L26" s="6">
        <f>$J$3+[12]FormattedData!E62*$J$4+$M$4*$J$5+[12]FormattedData!E62^2*$J$6+$M$5*$J$7</f>
        <v>37.927965955863357</v>
      </c>
      <c r="M26" s="6">
        <f>$J$3+[12]FormattedData!F62*$J$4+$M$4*$J$5+[12]FormattedData!F62^2*$J$6+$M$5*$J$7</f>
        <v>34.617890236762754</v>
      </c>
      <c r="N26" s="6">
        <f>$J$3+[12]FormattedData!G62*$J$4+$M$4*$J$5+[12]FormattedData!G62^2*$J$6+$M$5*$J$7</f>
        <v>42.475083311541901</v>
      </c>
      <c r="O26" s="6">
        <f>$J$3+[12]FormattedData!H62*$J$4+$M$4*$J$5+[12]FormattedData!H62^2*$J$6+$M$5*$J$7</f>
        <v>31.546223420922889</v>
      </c>
      <c r="P26" s="6">
        <f>$J$3+[12]FormattedData!I62*$J$4+$M$4*$J$5+[12]FormattedData!I62^2*$J$6+$M$5*$J$7</f>
        <v>39.330719133753718</v>
      </c>
      <c r="Q26" s="6">
        <f>$J$3+[12]FormattedData!J62*$J$4+$M$4*$J$5+[12]FormattedData!J62^2*$J$6+$M$5*$J$7</f>
        <v>29.70194214239033</v>
      </c>
      <c r="R26" s="6">
        <f>$J$3+[12]FormattedData!K62*$J$4+$M$4*$J$5+[12]FormattedData!K62^2*$J$6+$M$5*$J$7</f>
        <v>38.302963377801937</v>
      </c>
      <c r="S26" s="6">
        <f>$J$3+[12]FormattedData!L62*$J$4+$M$4*$J$5+[12]FormattedData!L62^2*$J$6+$M$5*$J$7</f>
        <v>30.285995229643085</v>
      </c>
      <c r="T26" s="6">
        <f>$J$3+[12]FormattedData!M62*$J$4+$M$4*$J$5+[12]FormattedData!M62^2*$J$6+$M$5*$J$7</f>
        <v>38.302963377801937</v>
      </c>
      <c r="U26" s="6">
        <f>$J$3+[12]FormattedData!N62*$J$4+$M$4*$J$5+[12]FormattedData!N62^2*$J$6+$M$5*$J$7</f>
        <v>29.89679557895964</v>
      </c>
      <c r="V26" s="6">
        <f>$J$3+[12]FormattedData!O62*$J$4+$M$4*$J$5+[12]FormattedData!O62^2*$J$6+$M$5*$J$7</f>
        <v>35.853391333352846</v>
      </c>
      <c r="W26" s="5">
        <f t="shared" si="0"/>
        <v>35.341277036012265</v>
      </c>
      <c r="X26" s="4">
        <f t="shared" si="1"/>
        <v>1.2107209372450274</v>
      </c>
      <c r="Y26" s="3">
        <f t="shared" si="2"/>
        <v>29.70194214239033</v>
      </c>
      <c r="Z26" s="2">
        <f t="shared" si="3"/>
        <v>31.231166373102937</v>
      </c>
      <c r="AA26" s="3">
        <f t="shared" si="4"/>
        <v>35.853391333352846</v>
      </c>
      <c r="AB26" s="2">
        <f t="shared" si="5"/>
        <v>38.302963377801937</v>
      </c>
      <c r="AC26" s="2">
        <f t="shared" si="6"/>
        <v>42.475083311541901</v>
      </c>
      <c r="AD26" s="2">
        <f t="shared" si="7"/>
        <v>-4.2709533234779946E-2</v>
      </c>
      <c r="AE26" s="2">
        <f t="shared" si="8"/>
        <v>-1.0831858966141885</v>
      </c>
    </row>
    <row r="27" spans="2:31" x14ac:dyDescent="0.2">
      <c r="B27" s="1">
        <f>[12]FormattedData!A64</f>
        <v>302</v>
      </c>
      <c r="C27" s="1" t="str">
        <f>VLOOKUP($B27,[12]TrtCodes!$B$11:I107,2)</f>
        <v>FTL</v>
      </c>
      <c r="D27" s="1">
        <f>VLOOKUP($B27,[12]TrtCodes!$B$11:J107,3)</f>
        <v>4</v>
      </c>
      <c r="E27" s="1">
        <f>VLOOKUP($B27,[12]TrtCodes!$B$11:K107,4)</f>
        <v>1</v>
      </c>
      <c r="F27" s="1">
        <f>VLOOKUP($B27,[12]TrtCodes!$B$11:L107,5)</f>
        <v>2</v>
      </c>
      <c r="G27" s="1">
        <f>VLOOKUP($B27,[12]TrtCodes!$B$11:M107,6)</f>
        <v>1</v>
      </c>
      <c r="H27" s="1">
        <f>VLOOKUP($B27,[12]TrtCodes!$B$11:N107,7)</f>
        <v>3</v>
      </c>
      <c r="I27" s="1">
        <f>[12]FormattedData!B64</f>
        <v>1</v>
      </c>
      <c r="J27" s="4">
        <f>[12]FormattedData!C64</f>
        <v>13.509</v>
      </c>
      <c r="K27" s="6">
        <f>$J$3+[12]FormattedData!D64*$J$4+$M$4*$J$5+[12]FormattedData!D64^2*$J$6+$M$5*$J$7</f>
        <v>51.089532372135871</v>
      </c>
      <c r="L27" s="6">
        <f>$J$3+[12]FormattedData!E64*$J$4+$M$4*$J$5+[12]FormattedData!E64^2*$J$6+$M$5*$J$7</f>
        <v>50.386540142438136</v>
      </c>
      <c r="M27" s="6">
        <f>$J$3+[12]FormattedData!F64*$J$4+$M$4*$J$5+[12]FormattedData!F64^2*$J$6+$M$5*$J$7</f>
        <v>38.490208477543632</v>
      </c>
      <c r="N27" s="6">
        <f>$J$3+[12]FormattedData!G64*$J$4+$M$4*$J$5+[12]FormattedData!G64^2*$J$6+$M$5*$J$7</f>
        <v>50.034029582678926</v>
      </c>
      <c r="O27" s="6">
        <f>$J$3+[12]FormattedData!H64*$J$4+$M$4*$J$5+[12]FormattedData!H64^2*$J$6+$M$5*$J$7</f>
        <v>37.552292237317872</v>
      </c>
      <c r="P27" s="6">
        <f>$J$3+[12]FormattedData!I64*$J$4+$M$4*$J$5+[12]FormattedData!I64^2*$J$6+$M$5*$J$7</f>
        <v>41.831708592949418</v>
      </c>
      <c r="Q27" s="6">
        <f>$J$3+[12]FormattedData!J64*$J$4+$M$4*$J$5+[12]FormattedData!J64^2*$J$6+$M$5*$J$7</f>
        <v>33.854031312444178</v>
      </c>
      <c r="R27" s="6">
        <f>$J$3+[12]FormattedData!K64*$J$4+$M$4*$J$5+[12]FormattedData!K64^2*$J$6+$M$5*$J$7</f>
        <v>47.547519359371258</v>
      </c>
      <c r="S27" s="6">
        <f>$J$3+[12]FormattedData!L64*$J$4+$M$4*$J$5+[12]FormattedData!L64^2*$J$6+$M$5*$J$7</f>
        <v>40.723961890609573</v>
      </c>
      <c r="T27" s="6">
        <f>$J$3+[12]FormattedData!M64*$J$4+$M$4*$J$5+[12]FormattedData!M64^2*$J$6+$M$5*$J$7</f>
        <v>42.933368625827171</v>
      </c>
      <c r="U27" s="6">
        <f>$J$3+[12]FormattedData!N64*$J$4+$M$4*$J$5+[12]FormattedData!N64^2*$J$6+$M$5*$J$7</f>
        <v>37.270093128760486</v>
      </c>
      <c r="V27" s="6">
        <f>$J$3+[12]FormattedData!O64*$J$4+$M$4*$J$5+[12]FormattedData!O64^2*$J$6+$M$5*$J$7</f>
        <v>44.755942748485467</v>
      </c>
      <c r="W27" s="5">
        <f t="shared" si="0"/>
        <v>43.039102372546836</v>
      </c>
      <c r="X27" s="4">
        <f t="shared" si="1"/>
        <v>1.6657649307965927</v>
      </c>
      <c r="Y27" s="3">
        <f t="shared" si="2"/>
        <v>33.854031312444178</v>
      </c>
      <c r="Z27" s="2">
        <f t="shared" si="3"/>
        <v>38.255729417487188</v>
      </c>
      <c r="AA27" s="3">
        <f t="shared" si="4"/>
        <v>42.382538609388291</v>
      </c>
      <c r="AB27" s="2">
        <f t="shared" si="5"/>
        <v>48.169146915198176</v>
      </c>
      <c r="AC27" s="2">
        <f t="shared" si="6"/>
        <v>51.089532372135871</v>
      </c>
      <c r="AD27" s="2">
        <f t="shared" si="7"/>
        <v>6.6408740887342305E-2</v>
      </c>
      <c r="AE27" s="2">
        <f t="shared" si="8"/>
        <v>-1.2588947898032403</v>
      </c>
    </row>
    <row r="28" spans="2:31" x14ac:dyDescent="0.2">
      <c r="B28" s="1">
        <f>[12]FormattedData!A66</f>
        <v>303</v>
      </c>
      <c r="C28" s="1" t="str">
        <f>VLOOKUP($B28,[12]TrtCodes!$B$11:I109,2)</f>
        <v>NSL</v>
      </c>
      <c r="D28" s="1">
        <f>VLOOKUP($B28,[12]TrtCodes!$B$11:J109,3)</f>
        <v>8</v>
      </c>
      <c r="E28" s="1">
        <f>VLOOKUP($B28,[12]TrtCodes!$B$11:K109,4)</f>
        <v>2</v>
      </c>
      <c r="F28" s="1">
        <f>VLOOKUP($B28,[12]TrtCodes!$B$11:L109,5)</f>
        <v>1</v>
      </c>
      <c r="G28" s="1">
        <f>VLOOKUP($B28,[12]TrtCodes!$B$11:M109,6)</f>
        <v>1</v>
      </c>
      <c r="H28" s="1">
        <f>VLOOKUP($B28,[12]TrtCodes!$B$11:N109,7)</f>
        <v>3</v>
      </c>
      <c r="I28" s="1">
        <f>[12]FormattedData!B66</f>
        <v>1</v>
      </c>
      <c r="J28" s="4">
        <f>[12]FormattedData!C66</f>
        <v>13.526999999999999</v>
      </c>
      <c r="K28" s="6">
        <f>$J$3+[12]FormattedData!D66*$J$4+$M$4*$J$5+[12]FormattedData!D66^2*$J$6+$M$5*$J$7</f>
        <v>58.979507739176597</v>
      </c>
      <c r="L28" s="6">
        <f>$J$3+[12]FormattedData!E66*$J$4+$M$4*$J$5+[12]FormattedData!E66^2*$J$6+$M$5*$J$7</f>
        <v>57.801937935467755</v>
      </c>
      <c r="M28" s="6">
        <f>$J$3+[12]FormattedData!F66*$J$4+$M$4*$J$5+[12]FormattedData!F66^2*$J$6+$M$5*$J$7</f>
        <v>39.610128518807649</v>
      </c>
      <c r="N28" s="6">
        <f>$J$3+[12]FormattedData!G66*$J$4+$M$4*$J$5+[12]FormattedData!G66^2*$J$6+$M$5*$J$7</f>
        <v>56.020049542214807</v>
      </c>
      <c r="O28" s="6">
        <f>$J$3+[12]FormattedData!H66*$J$4+$M$4*$J$5+[12]FormattedData!H66^2*$J$6+$M$5*$J$7</f>
        <v>42.291473306062279</v>
      </c>
      <c r="P28" s="6">
        <f>$J$3+[12]FormattedData!I66*$J$4+$M$4*$J$5+[12]FormattedData!I66^2*$J$6+$M$5*$J$7</f>
        <v>53.52870183296065</v>
      </c>
      <c r="Q28" s="6">
        <f>$J$3+[12]FormattedData!J66*$J$4+$M$4*$J$5+[12]FormattedData!J66^2*$J$6+$M$5*$J$7</f>
        <v>37.834110929033884</v>
      </c>
      <c r="R28" s="6">
        <f>$J$3+[12]FormattedData!K66*$J$4+$M$4*$J$5+[12]FormattedData!K66^2*$J$6+$M$5*$J$7</f>
        <v>57.970669415595616</v>
      </c>
      <c r="S28" s="6">
        <f>$J$3+[12]FormattedData!L66*$J$4+$M$4*$J$5+[12]FormattedData!L66^2*$J$6+$M$5*$J$7</f>
        <v>38.115549203908508</v>
      </c>
      <c r="T28" s="6">
        <f>$J$3+[12]FormattedData!M66*$J$4+$M$4*$J$5+[12]FormattedData!M66^2*$J$6+$M$5*$J$7</f>
        <v>57.040553982264768</v>
      </c>
      <c r="U28" s="6">
        <f>$J$3+[12]FormattedData!N66*$J$4+$M$4*$J$5+[12]FormattedData!N66^2*$J$6+$M$5*$J$7</f>
        <v>40.631374919918038</v>
      </c>
      <c r="V28" s="6">
        <f>$J$3+[12]FormattedData!O66*$J$4+$M$4*$J$5+[12]FormattedData!O66^2*$J$6+$M$5*$J$7</f>
        <v>55.678528802317686</v>
      </c>
      <c r="W28" s="5">
        <f t="shared" si="0"/>
        <v>49.625215510644033</v>
      </c>
      <c r="X28" s="4">
        <f t="shared" si="1"/>
        <v>2.5794153147392946</v>
      </c>
      <c r="Y28" s="3">
        <f t="shared" si="2"/>
        <v>37.834110929033884</v>
      </c>
      <c r="Z28" s="2">
        <f t="shared" si="3"/>
        <v>40.376063319640437</v>
      </c>
      <c r="AA28" s="3">
        <f t="shared" si="4"/>
        <v>54.603615317639168</v>
      </c>
      <c r="AB28" s="2">
        <f t="shared" si="5"/>
        <v>57.230899970565517</v>
      </c>
      <c r="AC28" s="2">
        <f t="shared" si="6"/>
        <v>58.979507739176597</v>
      </c>
      <c r="AD28" s="2">
        <f t="shared" si="7"/>
        <v>-0.36600667552893962</v>
      </c>
      <c r="AE28" s="2">
        <f t="shared" si="8"/>
        <v>-2.0650877356339179</v>
      </c>
    </row>
    <row r="29" spans="2:31" x14ac:dyDescent="0.2">
      <c r="B29" s="1">
        <f>[12]FormattedData!A68</f>
        <v>304</v>
      </c>
      <c r="C29" s="1" t="str">
        <f>VLOOKUP($B29,[12]TrtCodes!$B$11:I111,2)</f>
        <v>FSL</v>
      </c>
      <c r="D29" s="1">
        <f>VLOOKUP($B29,[12]TrtCodes!$B$11:J111,3)</f>
        <v>2</v>
      </c>
      <c r="E29" s="1">
        <f>VLOOKUP($B29,[12]TrtCodes!$B$11:K111,4)</f>
        <v>1</v>
      </c>
      <c r="F29" s="1">
        <f>VLOOKUP($B29,[12]TrtCodes!$B$11:L111,5)</f>
        <v>1</v>
      </c>
      <c r="G29" s="1">
        <f>VLOOKUP($B29,[12]TrtCodes!$B$11:M111,6)</f>
        <v>1</v>
      </c>
      <c r="H29" s="1">
        <f>VLOOKUP($B29,[12]TrtCodes!$B$11:N111,7)</f>
        <v>3</v>
      </c>
      <c r="I29" s="1">
        <f>[12]FormattedData!B68</f>
        <v>1</v>
      </c>
      <c r="J29" s="4">
        <f>[12]FormattedData!C68</f>
        <v>13.544</v>
      </c>
      <c r="K29" s="6">
        <f>$J$3+[12]FormattedData!D68*$J$4+$M$4*$J$5+[12]FormattedData!D68^2*$J$6+$M$5*$J$7</f>
        <v>54.563915724210659</v>
      </c>
      <c r="L29" s="6">
        <f>$J$3+[12]FormattedData!E68*$J$4+$M$4*$J$5+[12]FormattedData!E68^2*$J$6+$M$5*$J$7</f>
        <v>45.027870602325585</v>
      </c>
      <c r="M29" s="6">
        <f>$J$3+[12]FormattedData!F68*$J$4+$M$4*$J$5+[12]FormattedData!F68^2*$J$6+$M$5*$J$7</f>
        <v>37.834110929033884</v>
      </c>
      <c r="N29" s="6">
        <f>$J$3+[12]FormattedData!G68*$J$4+$M$4*$J$5+[12]FormattedData!G68^2*$J$6+$M$5*$J$7</f>
        <v>48.439362893252081</v>
      </c>
      <c r="O29" s="6">
        <f>$J$3+[12]FormattedData!H68*$J$4+$M$4*$J$5+[12]FormattedData!H68^2*$J$6+$M$5*$J$7</f>
        <v>36.232108386629371</v>
      </c>
      <c r="P29" s="6">
        <f>$J$3+[12]FormattedData!I68*$J$4+$M$4*$J$5+[12]FormattedData!I68^2*$J$6+$M$5*$J$7</f>
        <v>48.972440123759881</v>
      </c>
      <c r="Q29" s="6">
        <f>$J$3+[12]FormattedData!J68*$J$4+$M$4*$J$5+[12]FormattedData!J68^2*$J$6+$M$5*$J$7</f>
        <v>33.758358738483672</v>
      </c>
      <c r="R29" s="6">
        <f>$J$3+[12]FormattedData!K68*$J$4+$M$4*$J$5+[12]FormattedData!K68^2*$J$6+$M$5*$J$7</f>
        <v>53.52870183296065</v>
      </c>
      <c r="S29" s="6">
        <f>$J$3+[12]FormattedData!L68*$J$4+$M$4*$J$5+[12]FormattedData!L68^2*$J$6+$M$5*$J$7</f>
        <v>32.029024487208225</v>
      </c>
      <c r="T29" s="6">
        <f>$J$3+[12]FormattedData!M68*$J$4+$M$4*$J$5+[12]FormattedData!M68^2*$J$6+$M$5*$J$7</f>
        <v>51.527528788214191</v>
      </c>
      <c r="U29" s="6">
        <f>$J$3+[12]FormattedData!N68*$J$4+$M$4*$J$5+[12]FormattedData!N68^2*$J$6+$M$5*$J$7</f>
        <v>32.703170701414578</v>
      </c>
      <c r="V29" s="6">
        <f>$J$3+[12]FormattedData!O68*$J$4+$M$4*$J$5+[12]FormattedData!O68^2*$J$6+$M$5*$J$7</f>
        <v>54.133316302270273</v>
      </c>
      <c r="W29" s="5">
        <f t="shared" si="0"/>
        <v>44.062492459146917</v>
      </c>
      <c r="X29" s="4">
        <f t="shared" si="1"/>
        <v>2.5839762226958549</v>
      </c>
      <c r="Y29" s="3">
        <f t="shared" si="2"/>
        <v>32.029024487208225</v>
      </c>
      <c r="Z29" s="2">
        <f t="shared" si="3"/>
        <v>35.613670974592949</v>
      </c>
      <c r="AA29" s="3">
        <f t="shared" si="4"/>
        <v>46.73361674778883</v>
      </c>
      <c r="AB29" s="2">
        <f t="shared" si="5"/>
        <v>52.027822049400804</v>
      </c>
      <c r="AC29" s="2">
        <f t="shared" si="6"/>
        <v>54.563915724210659</v>
      </c>
      <c r="AD29" s="2">
        <f t="shared" si="7"/>
        <v>-0.20947489695882307</v>
      </c>
      <c r="AE29" s="2">
        <f t="shared" si="8"/>
        <v>-1.8564381174383735</v>
      </c>
    </row>
    <row r="30" spans="2:31" x14ac:dyDescent="0.2">
      <c r="B30" s="1">
        <f>[12]FormattedData!A70</f>
        <v>305</v>
      </c>
      <c r="C30" s="1" t="str">
        <f>VLOOKUP($B30,[12]TrtCodes!$B$11:I113,2)</f>
        <v>NDH</v>
      </c>
      <c r="D30" s="1">
        <f>VLOOKUP($B30,[12]TrtCodes!$B$11:J113,3)</f>
        <v>11</v>
      </c>
      <c r="E30" s="1">
        <f>VLOOKUP($B30,[12]TrtCodes!$B$11:K113,4)</f>
        <v>2</v>
      </c>
      <c r="F30" s="1">
        <f>VLOOKUP($B30,[12]TrtCodes!$B$11:L113,5)</f>
        <v>3</v>
      </c>
      <c r="G30" s="1">
        <f>VLOOKUP($B30,[12]TrtCodes!$B$11:M113,6)</f>
        <v>2</v>
      </c>
      <c r="H30" s="1">
        <f>VLOOKUP($B30,[12]TrtCodes!$B$11:N113,7)</f>
        <v>4</v>
      </c>
      <c r="I30" s="1">
        <f>[12]FormattedData!B70</f>
        <v>1</v>
      </c>
      <c r="J30" s="4">
        <f>[12]FormattedData!C70</f>
        <v>13.56</v>
      </c>
      <c r="K30" s="6">
        <f>$J$3+[12]FormattedData!D70*$J$4+$M$4*$J$5+[12]FormattedData!D70^2*$J$6+$M$5*$J$7</f>
        <v>35.093928336979104</v>
      </c>
      <c r="L30" s="6">
        <f>$J$3+[12]FormattedData!E70*$J$4+$M$4*$J$5+[12]FormattedData!E70^2*$J$6+$M$5*$J$7</f>
        <v>33.566886784948849</v>
      </c>
      <c r="M30" s="6">
        <f>$J$3+[12]FormattedData!F70*$J$4+$M$4*$J$5+[12]FormattedData!F70^2*$J$6+$M$5*$J$7</f>
        <v>28.725138847267917</v>
      </c>
      <c r="N30" s="6">
        <f>$J$3+[12]FormattedData!G70*$J$4+$M$4*$J$5+[12]FormattedData!G70^2*$J$6+$M$5*$J$7</f>
        <v>40.074965456472249</v>
      </c>
      <c r="O30" s="6">
        <f>$J$3+[12]FormattedData!H70*$J$4+$M$4*$J$5+[12]FormattedData!H70^2*$J$6+$M$5*$J$7</f>
        <v>29.214068851553264</v>
      </c>
      <c r="P30" s="6">
        <f>$J$3+[12]FormattedData!I70*$J$4+$M$4*$J$5+[12]FormattedData!I70^2*$J$6+$M$5*$J$7</f>
        <v>39.330719133753718</v>
      </c>
      <c r="Q30" s="6">
        <f>$J$3+[12]FormattedData!J70*$J$4+$M$4*$J$5+[12]FormattedData!J70^2*$J$6+$M$5*$J$7</f>
        <v>30.091479941377226</v>
      </c>
      <c r="R30" s="6">
        <f>$J$3+[12]FormattedData!K70*$J$4+$M$4*$J$5+[12]FormattedData!K70^2*$J$6+$M$5*$J$7</f>
        <v>40.353360396615834</v>
      </c>
      <c r="S30" s="6">
        <f>$J$3+[12]FormattedData!L70*$J$4+$M$4*$J$5+[12]FormattedData!L70^2*$J$6+$M$5*$J$7</f>
        <v>29.116367387772058</v>
      </c>
      <c r="T30" s="6">
        <f>$J$3+[12]FormattedData!M70*$J$4+$M$4*$J$5+[12]FormattedData!M70^2*$J$6+$M$5*$J$7</f>
        <v>33.854031312444178</v>
      </c>
      <c r="U30" s="6">
        <f>$J$3+[12]FormattedData!N70*$J$4+$M$4*$J$5+[12]FormattedData!N70^2*$J$6+$M$5*$J$7</f>
        <v>28.725138847267917</v>
      </c>
      <c r="V30" s="6">
        <f>$J$3+[12]FormattedData!O70*$J$4+$M$4*$J$5+[12]FormattedData!O70^2*$J$6+$M$5*$J$7</f>
        <v>30.77154375089394</v>
      </c>
      <c r="W30" s="5">
        <f t="shared" si="0"/>
        <v>33.243135753945531</v>
      </c>
      <c r="X30" s="4">
        <f t="shared" si="1"/>
        <v>1.3151828856535206</v>
      </c>
      <c r="Y30" s="3">
        <f t="shared" si="2"/>
        <v>28.725138847267917</v>
      </c>
      <c r="Z30" s="2">
        <f t="shared" si="3"/>
        <v>29.189643485607963</v>
      </c>
      <c r="AA30" s="3">
        <f t="shared" si="4"/>
        <v>32.169215267921395</v>
      </c>
      <c r="AB30" s="2">
        <f t="shared" si="5"/>
        <v>36.153126036172758</v>
      </c>
      <c r="AC30" s="2">
        <f t="shared" si="6"/>
        <v>40.353360396615834</v>
      </c>
      <c r="AD30" s="2">
        <f t="shared" si="7"/>
        <v>0.62755461628569786</v>
      </c>
      <c r="AE30" s="2">
        <f t="shared" si="8"/>
        <v>-1.238147941204049</v>
      </c>
    </row>
    <row r="31" spans="2:31" x14ac:dyDescent="0.2">
      <c r="B31" s="1">
        <f>[12]FormattedData!A72</f>
        <v>306</v>
      </c>
      <c r="C31" s="1" t="str">
        <f>VLOOKUP($B31,[12]TrtCodes!$B$11:I115,2)</f>
        <v>FTL</v>
      </c>
      <c r="D31" s="1">
        <f>VLOOKUP($B31,[12]TrtCodes!$B$11:J115,3)</f>
        <v>4</v>
      </c>
      <c r="E31" s="1">
        <f>VLOOKUP($B31,[12]TrtCodes!$B$11:K115,4)</f>
        <v>1</v>
      </c>
      <c r="F31" s="1">
        <f>VLOOKUP($B31,[12]TrtCodes!$B$11:L115,5)</f>
        <v>2</v>
      </c>
      <c r="G31" s="1">
        <f>VLOOKUP($B31,[12]TrtCodes!$B$11:M115,6)</f>
        <v>1</v>
      </c>
      <c r="H31" s="1">
        <f>VLOOKUP($B31,[12]TrtCodes!$B$11:N115,7)</f>
        <v>4</v>
      </c>
      <c r="I31" s="1">
        <f>[12]FormattedData!B72</f>
        <v>1</v>
      </c>
      <c r="J31" s="4">
        <f>[12]FormattedData!C72</f>
        <v>13.577</v>
      </c>
      <c r="K31" s="6">
        <f>$J$3+[12]FormattedData!D72*$J$4+$M$4*$J$5+[12]FormattedData!D72^2*$J$6+$M$5*$J$7</f>
        <v>47.993969483035805</v>
      </c>
      <c r="L31" s="6">
        <f>$J$3+[12]FormattedData!E72*$J$4+$M$4*$J$5+[12]FormattedData!E72^2*$J$6+$M$5*$J$7</f>
        <v>42.933368625827171</v>
      </c>
      <c r="M31" s="6">
        <f>$J$3+[12]FormattedData!F72*$J$4+$M$4*$J$5+[12]FormattedData!F72^2*$J$6+$M$5*$J$7</f>
        <v>31.256035558696517</v>
      </c>
      <c r="N31" s="6">
        <f>$J$3+[12]FormattedData!G72*$J$4+$M$4*$J$5+[12]FormattedData!G72^2*$J$6+$M$5*$J$7</f>
        <v>47.993969483035805</v>
      </c>
      <c r="O31" s="6">
        <f>$J$3+[12]FormattedData!H72*$J$4+$M$4*$J$5+[12]FormattedData!H72^2*$J$6+$M$5*$J$7</f>
        <v>36.61014914329899</v>
      </c>
      <c r="P31" s="6">
        <f>$J$3+[12]FormattedData!I72*$J$4+$M$4*$J$5+[12]FormattedData!I72^2*$J$6+$M$5*$J$7</f>
        <v>49.149794385625697</v>
      </c>
      <c r="Q31" s="6">
        <f>$J$3+[12]FormattedData!J72*$J$4+$M$4*$J$5+[12]FormattedData!J72^2*$J$6+$M$5*$J$7</f>
        <v>31.546223420922889</v>
      </c>
      <c r="R31" s="6">
        <f>$J$3+[12]FormattedData!K72*$J$4+$M$4*$J$5+[12]FormattedData!K72^2*$J$6+$M$5*$J$7</f>
        <v>47.458102529024558</v>
      </c>
      <c r="S31" s="6">
        <f>$J$3+[12]FormattedData!L72*$J$4+$M$4*$J$5+[12]FormattedData!L72^2*$J$6+$M$5*$J$7</f>
        <v>30.091479941377226</v>
      </c>
      <c r="T31" s="6">
        <f>$J$3+[12]FormattedData!M72*$J$4+$M$4*$J$5+[12]FormattedData!M72^2*$J$6+$M$5*$J$7</f>
        <v>46.65144897169732</v>
      </c>
      <c r="U31" s="6">
        <f>$J$3+[12]FormattedData!N72*$J$4+$M$4*$J$5+[12]FormattedData!N72^2*$J$6+$M$5*$J$7</f>
        <v>30.188758719779116</v>
      </c>
      <c r="V31" s="6">
        <f>$J$3+[12]FormattedData!O72*$J$4+$M$4*$J$5+[12]FormattedData!O72^2*$J$6+$M$5*$J$7</f>
        <v>46.021684722318668</v>
      </c>
      <c r="W31" s="5">
        <f t="shared" si="0"/>
        <v>40.657915415386647</v>
      </c>
      <c r="X31" s="4">
        <f t="shared" si="1"/>
        <v>2.3109023112339622</v>
      </c>
      <c r="Y31" s="3">
        <f t="shared" si="2"/>
        <v>30.091479941377226</v>
      </c>
      <c r="Z31" s="2">
        <f t="shared" si="3"/>
        <v>31.473676455366295</v>
      </c>
      <c r="AA31" s="3">
        <f t="shared" si="4"/>
        <v>44.477526674072919</v>
      </c>
      <c r="AB31" s="2">
        <f t="shared" si="5"/>
        <v>47.592069267527371</v>
      </c>
      <c r="AC31" s="2">
        <f t="shared" si="6"/>
        <v>49.149794385625697</v>
      </c>
      <c r="AD31" s="2">
        <f t="shared" si="7"/>
        <v>-0.40047496782759112</v>
      </c>
      <c r="AE31" s="2">
        <f t="shared" si="8"/>
        <v>-1.933314886323195</v>
      </c>
    </row>
    <row r="32" spans="2:31" x14ac:dyDescent="0.2">
      <c r="B32" s="1">
        <f>[12]FormattedData!A74</f>
        <v>307</v>
      </c>
      <c r="C32" s="1" t="str">
        <f>VLOOKUP($B32,[12]TrtCodes!$B$11:I117,2)</f>
        <v>NTH</v>
      </c>
      <c r="D32" s="1">
        <f>VLOOKUP($B32,[12]TrtCodes!$B$11:J117,3)</f>
        <v>9</v>
      </c>
      <c r="E32" s="1">
        <f>VLOOKUP($B32,[12]TrtCodes!$B$11:K117,4)</f>
        <v>2</v>
      </c>
      <c r="F32" s="1">
        <f>VLOOKUP($B32,[12]TrtCodes!$B$11:L117,5)</f>
        <v>2</v>
      </c>
      <c r="G32" s="1">
        <f>VLOOKUP($B32,[12]TrtCodes!$B$11:M117,6)</f>
        <v>2</v>
      </c>
      <c r="H32" s="1">
        <f>VLOOKUP($B32,[12]TrtCodes!$B$11:N117,7)</f>
        <v>4</v>
      </c>
      <c r="I32" s="1">
        <f>[12]FormattedData!B74</f>
        <v>1</v>
      </c>
      <c r="J32" s="4">
        <f>[12]FormattedData!C74</f>
        <v>13.593</v>
      </c>
      <c r="K32" s="6">
        <f>$J$3+[12]FormattedData!D74*$J$4+$M$4*$J$5+[12]FormattedData!D74^2*$J$6+$M$5*$J$7</f>
        <v>46.561609455971315</v>
      </c>
      <c r="L32" s="6">
        <f>$J$3+[12]FormattedData!E74*$J$4+$M$4*$J$5+[12]FormattedData!E74^2*$J$6+$M$5*$J$7</f>
        <v>39.050929331858406</v>
      </c>
      <c r="M32" s="6">
        <f>$J$3+[12]FormattedData!F74*$J$4+$M$4*$J$5+[12]FormattedData!F74^2*$J$6+$M$5*$J$7</f>
        <v>38.583767624607596</v>
      </c>
      <c r="N32" s="6">
        <f>$J$3+[12]FormattedData!G74*$J$4+$M$4*$J$5+[12]FormattedData!G74^2*$J$6+$M$5*$J$7</f>
        <v>45.118428683196434</v>
      </c>
      <c r="O32" s="6">
        <f>$J$3+[12]FormattedData!H74*$J$4+$M$4*$J$5+[12]FormattedData!H74^2*$J$6+$M$5*$J$7</f>
        <v>34.998805254011707</v>
      </c>
      <c r="P32" s="6">
        <f>$J$3+[12]FormattedData!I74*$J$4+$M$4*$J$5+[12]FormattedData!I74^2*$J$6+$M$5*$J$7</f>
        <v>45.931549326827131</v>
      </c>
      <c r="Q32" s="6">
        <f>$J$3+[12]FormattedData!J74*$J$4+$M$4*$J$5+[12]FormattedData!J74^2*$J$6+$M$5*$J$7</f>
        <v>33.662643895985219</v>
      </c>
      <c r="R32" s="6">
        <f>$J$3+[12]FormattedData!K74*$J$4+$M$4*$J$5+[12]FormattedData!K74^2*$J$6+$M$5*$J$7</f>
        <v>48.617224377573081</v>
      </c>
      <c r="S32" s="6">
        <f>$J$3+[12]FormattedData!L74*$J$4+$M$4*$J$5+[12]FormattedData!L74^2*$J$6+$M$5*$J$7</f>
        <v>31.449536402052033</v>
      </c>
      <c r="T32" s="6">
        <f>$J$3+[12]FormattedData!M74*$J$4+$M$4*$J$5+[12]FormattedData!M74^2*$J$6+$M$5*$J$7</f>
        <v>45.299418039324323</v>
      </c>
      <c r="U32" s="6">
        <f>$J$3+[12]FormattedData!N74*$J$4+$M$4*$J$5+[12]FormattedData!N74^2*$J$6+$M$5*$J$7</f>
        <v>32.799308229292329</v>
      </c>
      <c r="V32" s="6">
        <f>$J$3+[12]FormattedData!O74*$J$4+$M$4*$J$5+[12]FormattedData!O74^2*$J$6+$M$5*$J$7</f>
        <v>41.186262715998296</v>
      </c>
      <c r="W32" s="5">
        <f t="shared" si="0"/>
        <v>40.271623611391483</v>
      </c>
      <c r="X32" s="4">
        <f t="shared" si="1"/>
        <v>1.7415149984272</v>
      </c>
      <c r="Y32" s="3">
        <f t="shared" si="2"/>
        <v>31.449536402052033</v>
      </c>
      <c r="Z32" s="2">
        <f t="shared" si="3"/>
        <v>34.664764914505085</v>
      </c>
      <c r="AA32" s="3">
        <f t="shared" si="4"/>
        <v>40.118596023928347</v>
      </c>
      <c r="AB32" s="2">
        <f t="shared" si="5"/>
        <v>45.457450861200023</v>
      </c>
      <c r="AC32" s="2">
        <f t="shared" si="6"/>
        <v>48.617224377573081</v>
      </c>
      <c r="AD32" s="2">
        <f t="shared" si="7"/>
        <v>-0.14537115288815181</v>
      </c>
      <c r="AE32" s="2">
        <f t="shared" si="8"/>
        <v>-1.5945314195949698</v>
      </c>
    </row>
    <row r="33" spans="2:31" x14ac:dyDescent="0.2">
      <c r="B33" s="1">
        <f>[12]FormattedData!A76</f>
        <v>308</v>
      </c>
      <c r="C33" s="1" t="str">
        <f>VLOOKUP($B33,[12]TrtCodes!$B$11:I119,2)</f>
        <v>FDH</v>
      </c>
      <c r="D33" s="1">
        <f>VLOOKUP($B33,[12]TrtCodes!$B$11:J119,3)</f>
        <v>5</v>
      </c>
      <c r="E33" s="1">
        <f>VLOOKUP($B33,[12]TrtCodes!$B$11:K119,4)</f>
        <v>1</v>
      </c>
      <c r="F33" s="1">
        <f>VLOOKUP($B33,[12]TrtCodes!$B$11:L119,5)</f>
        <v>3</v>
      </c>
      <c r="G33" s="1">
        <f>VLOOKUP($B33,[12]TrtCodes!$B$11:M119,6)</f>
        <v>2</v>
      </c>
      <c r="H33" s="1">
        <f>VLOOKUP($B33,[12]TrtCodes!$B$11:N119,7)</f>
        <v>4</v>
      </c>
      <c r="I33" s="1">
        <f>[12]FormattedData!B76</f>
        <v>1</v>
      </c>
      <c r="J33" s="4">
        <f>[12]FormattedData!C76</f>
        <v>13.61</v>
      </c>
      <c r="K33" s="6">
        <f>$J$3+[12]FormattedData!D76*$J$4+$M$4*$J$5+[12]FormattedData!D76^2*$J$6+$M$5*$J$7</f>
        <v>39.144234867694777</v>
      </c>
      <c r="L33" s="6">
        <f>$J$3+[12]FormattedData!E76*$J$4+$M$4*$J$5+[12]FormattedData!E76^2*$J$6+$M$5*$J$7</f>
        <v>37.834110929033884</v>
      </c>
      <c r="M33" s="6">
        <f>$J$3+[12]FormattedData!F76*$J$4+$M$4*$J$5+[12]FormattedData!F76^2*$J$6+$M$5*$J$7</f>
        <v>32.221849033956836</v>
      </c>
      <c r="N33" s="6">
        <f>$J$3+[12]FormattedData!G76*$J$4+$M$4*$J$5+[12]FormattedData!G76^2*$J$6+$M$5*$J$7</f>
        <v>35.75860639868889</v>
      </c>
      <c r="O33" s="6">
        <f>$J$3+[12]FormattedData!H76*$J$4+$M$4*$J$5+[12]FormattedData!H76^2*$J$6+$M$5*$J$7</f>
        <v>35.189009151408584</v>
      </c>
      <c r="P33" s="6">
        <f>$J$3+[12]FormattedData!I76*$J$4+$M$4*$J$5+[12]FormattedData!I76^2*$J$6+$M$5*$J$7</f>
        <v>39.330719133753718</v>
      </c>
      <c r="Q33" s="6">
        <f>$J$3+[12]FormattedData!J76*$J$4+$M$4*$J$5+[12]FormattedData!J76^2*$J$6+$M$5*$J$7</f>
        <v>35.093928336979104</v>
      </c>
      <c r="R33" s="6">
        <f>$J$3+[12]FormattedData!K76*$J$4+$M$4*$J$5+[12]FormattedData!K76^2*$J$6+$M$5*$J$7</f>
        <v>38.302963377801937</v>
      </c>
      <c r="S33" s="6">
        <f>$J$3+[12]FormattedData!L76*$J$4+$M$4*$J$5+[12]FormattedData!L76^2*$J$6+$M$5*$J$7</f>
        <v>36.798915910406215</v>
      </c>
      <c r="T33" s="6">
        <f>$J$3+[12]FormattedData!M76*$J$4+$M$4*$J$5+[12]FormattedData!M76^2*$J$6+$M$5*$J$7</f>
        <v>44.846627634970105</v>
      </c>
      <c r="U33" s="6">
        <f>$J$3+[12]FormattedData!N76*$J$4+$M$4*$J$5+[12]FormattedData!N76^2*$J$6+$M$5*$J$7</f>
        <v>33.087467201698011</v>
      </c>
      <c r="V33" s="6">
        <f>$J$3+[12]FormattedData!O76*$J$4+$M$4*$J$5+[12]FormattedData!O76^2*$J$6+$M$5*$J$7</f>
        <v>34.236298922906919</v>
      </c>
      <c r="W33" s="5">
        <f t="shared" si="0"/>
        <v>36.820394241608248</v>
      </c>
      <c r="X33" s="4">
        <f t="shared" si="1"/>
        <v>0.98425825430051439</v>
      </c>
      <c r="Y33" s="3">
        <f t="shared" si="2"/>
        <v>32.221849033956836</v>
      </c>
      <c r="Z33" s="2">
        <f t="shared" si="3"/>
        <v>34.879520983461056</v>
      </c>
      <c r="AA33" s="3">
        <f t="shared" si="4"/>
        <v>36.278761154547553</v>
      </c>
      <c r="AB33" s="2">
        <f t="shared" si="5"/>
        <v>38.513281250275149</v>
      </c>
      <c r="AC33" s="2">
        <f t="shared" si="6"/>
        <v>44.846627634970105</v>
      </c>
      <c r="AD33" s="2">
        <f t="shared" si="7"/>
        <v>1.0252748748987095</v>
      </c>
      <c r="AE33" s="2">
        <f t="shared" si="8"/>
        <v>1.7125370149130488</v>
      </c>
    </row>
    <row r="34" spans="2:31" x14ac:dyDescent="0.2">
      <c r="B34" s="1">
        <f>[12]FormattedData!A92</f>
        <v>401</v>
      </c>
      <c r="C34" s="1" t="str">
        <f>VLOOKUP($B34,[12]TrtCodes!$B$11:I129,2)</f>
        <v>NSH</v>
      </c>
      <c r="D34" s="1">
        <f>VLOOKUP($B34,[12]TrtCodes!$B$11:J129,3)</f>
        <v>7</v>
      </c>
      <c r="E34" s="1">
        <f>VLOOKUP($B34,[12]TrtCodes!$B$11:K129,4)</f>
        <v>2</v>
      </c>
      <c r="F34" s="1">
        <f>VLOOKUP($B34,[12]TrtCodes!$B$11:L129,5)</f>
        <v>1</v>
      </c>
      <c r="G34" s="1">
        <f>VLOOKUP($B34,[12]TrtCodes!$B$11:M129,6)</f>
        <v>2</v>
      </c>
      <c r="H34" s="1">
        <f>VLOOKUP($B34,[12]TrtCodes!$B$11:N129,7)</f>
        <v>3</v>
      </c>
      <c r="I34" s="1">
        <f>[12]FormattedData!B92</f>
        <v>1</v>
      </c>
      <c r="J34" s="4">
        <f>[12]FormattedData!C92</f>
        <v>13.752000000000001</v>
      </c>
      <c r="K34" s="6">
        <f>$J$3+[12]FormattedData!D92*$J$4+$M$4*$J$5+[12]FormattedData!D92^2*$J$6+$M$5*$J$7</f>
        <v>58.559898137098315</v>
      </c>
      <c r="L34" s="6">
        <f>$J$3+[12]FormattedData!E92*$J$4+$M$4*$J$5+[12]FormattedData!E92^2*$J$6+$M$5*$J$7</f>
        <v>56.190556300935775</v>
      </c>
      <c r="M34" s="6">
        <f>$J$3+[12]FormattedData!F92*$J$4+$M$4*$J$5+[12]FormattedData!F92^2*$J$6+$M$5*$J$7</f>
        <v>54.9076344280802</v>
      </c>
      <c r="N34" s="6">
        <f>$J$3+[12]FormattedData!G92*$J$4+$M$4*$J$5+[12]FormattedData!G92^2*$J$6+$M$5*$J$7</f>
        <v>55.593042945998576</v>
      </c>
      <c r="O34" s="6">
        <f>$J$3+[12]FormattedData!H92*$J$4+$M$4*$J$5+[12]FormattedData!H92^2*$J$6+$M$5*$J$7</f>
        <v>50.474562111033116</v>
      </c>
      <c r="P34" s="6">
        <f>$J$3+[12]FormattedData!I92*$J$4+$M$4*$J$5+[12]FormattedData!I92^2*$J$6+$M$5*$J$7</f>
        <v>56.105324055844257</v>
      </c>
      <c r="Q34" s="6">
        <f>$J$3+[12]FormattedData!J92*$J$4+$M$4*$J$5+[12]FormattedData!J92^2*$J$6+$M$5*$J$7</f>
        <v>44.392780517167601</v>
      </c>
      <c r="R34" s="6">
        <f>$J$3+[12]FormattedData!K92*$J$4+$M$4*$J$5+[12]FormattedData!K92^2*$J$6+$M$5*$J$7</f>
        <v>56.531062595922549</v>
      </c>
      <c r="S34" s="6">
        <f>$J$3+[12]FormattedData!L92*$J$4+$M$4*$J$5+[12]FormattedData!L92^2*$J$6+$M$5*$J$7</f>
        <v>46.561609455971315</v>
      </c>
      <c r="T34" s="6">
        <f>$J$3+[12]FormattedData!M92*$J$4+$M$4*$J$5+[12]FormattedData!M92^2*$J$6+$M$5*$J$7</f>
        <v>55.507514821141534</v>
      </c>
      <c r="U34" s="6">
        <f>$J$3+[12]FormattedData!N92*$J$4+$M$4*$J$5+[12]FormattedData!N92^2*$J$6+$M$5*$J$7</f>
        <v>46.471727671707363</v>
      </c>
      <c r="V34" s="6">
        <f>$J$3+[12]FormattedData!O92*$J$4+$M$4*$J$5+[12]FormattedData!O92^2*$J$6+$M$5*$J$7</f>
        <v>46.92071390764778</v>
      </c>
      <c r="W34" s="5">
        <f t="shared" si="0"/>
        <v>52.35136891237903</v>
      </c>
      <c r="X34" s="4">
        <f t="shared" si="1"/>
        <v>1.4467739892992757</v>
      </c>
      <c r="Y34" s="3">
        <f t="shared" si="2"/>
        <v>44.392780517167601</v>
      </c>
      <c r="Z34" s="2">
        <f t="shared" si="3"/>
        <v>46.830937794728662</v>
      </c>
      <c r="AA34" s="3">
        <f t="shared" si="4"/>
        <v>55.207574624610871</v>
      </c>
      <c r="AB34" s="2">
        <f t="shared" si="5"/>
        <v>56.12663211711714</v>
      </c>
      <c r="AC34" s="2">
        <f t="shared" si="6"/>
        <v>58.559898137098315</v>
      </c>
      <c r="AD34" s="2">
        <f t="shared" si="7"/>
        <v>-0.48890890815495253</v>
      </c>
      <c r="AE34" s="2">
        <f t="shared" si="8"/>
        <v>-1.6176535751868411</v>
      </c>
    </row>
    <row r="35" spans="2:31" x14ac:dyDescent="0.2">
      <c r="B35" s="1">
        <f>[12]FormattedData!A90</f>
        <v>402</v>
      </c>
      <c r="C35" s="1" t="str">
        <f>VLOOKUP($B35,[12]TrtCodes!$B$11:I130,2)</f>
        <v>NTH</v>
      </c>
      <c r="D35" s="1">
        <f>VLOOKUP($B35,[12]TrtCodes!$B$11:J130,3)</f>
        <v>9</v>
      </c>
      <c r="E35" s="1">
        <f>VLOOKUP($B35,[12]TrtCodes!$B$11:K130,4)</f>
        <v>2</v>
      </c>
      <c r="F35" s="1">
        <f>VLOOKUP($B35,[12]TrtCodes!$B$11:L130,5)</f>
        <v>2</v>
      </c>
      <c r="G35" s="1">
        <f>VLOOKUP($B35,[12]TrtCodes!$B$11:M130,6)</f>
        <v>2</v>
      </c>
      <c r="H35" s="1">
        <f>VLOOKUP($B35,[12]TrtCodes!$B$11:N130,7)</f>
        <v>3</v>
      </c>
      <c r="I35" s="1">
        <f>[12]FormattedData!B90</f>
        <v>1</v>
      </c>
      <c r="J35" s="4">
        <f>[12]FormattedData!C90</f>
        <v>13.734999999999999</v>
      </c>
      <c r="K35" s="6">
        <f>$J$3+[12]FormattedData!D90*$J$4+$M$4*$J$5+[12]FormattedData!D90^2*$J$6+$M$5*$J$7</f>
        <v>40.631374919918038</v>
      </c>
      <c r="L35" s="6">
        <f>$J$3+[12]FormattedData!E90*$J$4+$M$4*$J$5+[12]FormattedData!E90^2*$J$6+$M$5*$J$7</f>
        <v>38.957581527484102</v>
      </c>
      <c r="M35" s="6">
        <f>$J$3+[12]FormattedData!F90*$J$4+$M$4*$J$5+[12]FormattedData!F90^2*$J$6+$M$5*$J$7</f>
        <v>32.029024487208225</v>
      </c>
      <c r="N35" s="6">
        <f>$J$3+[12]FormattedData!G90*$J$4+$M$4*$J$5+[12]FormattedData!G90^2*$J$6+$M$5*$J$7</f>
        <v>39.423897863976293</v>
      </c>
      <c r="O35" s="6">
        <f>$J$3+[12]FormattedData!H90*$J$4+$M$4*$J$5+[12]FormattedData!H90^2*$J$6+$M$5*$J$7</f>
        <v>31.739470653050816</v>
      </c>
      <c r="P35" s="6">
        <f>$J$3+[12]FormattedData!I90*$J$4+$M$4*$J$5+[12]FormattedData!I90^2*$J$6+$M$5*$J$7</f>
        <v>38.957581527484102</v>
      </c>
      <c r="Q35" s="6">
        <f>$J$3+[12]FormattedData!J90*$J$4+$M$4*$J$5+[12]FormattedData!J90^2*$J$6+$M$5*$J$7</f>
        <v>30.965467279628765</v>
      </c>
      <c r="R35" s="6">
        <f>$J$3+[12]FormattedData!K90*$J$4+$M$4*$J$5+[12]FormattedData!K90^2*$J$6+$M$5*$J$7</f>
        <v>37.081749047032574</v>
      </c>
      <c r="S35" s="6">
        <f>$J$3+[12]FormattedData!L90*$J$4+$M$4*$J$5+[12]FormattedData!L90^2*$J$6+$M$5*$J$7</f>
        <v>32.991456479434049</v>
      </c>
      <c r="T35" s="6">
        <f>$J$3+[12]FormattedData!M90*$J$4+$M$4*$J$5+[12]FormattedData!M90^2*$J$6+$M$5*$J$7</f>
        <v>38.957581527484102</v>
      </c>
      <c r="U35" s="6">
        <f>$J$3+[12]FormattedData!N90*$J$4+$M$4*$J$5+[12]FormattedData!N90^2*$J$6+$M$5*$J$7</f>
        <v>31.83603086630788</v>
      </c>
      <c r="V35" s="6">
        <f>$J$3+[12]FormattedData!O90*$J$4+$M$4*$J$5+[12]FormattedData!O90^2*$J$6+$M$5*$J$7</f>
        <v>35.853391333352846</v>
      </c>
      <c r="W35" s="5">
        <f t="shared" si="0"/>
        <v>35.785383959363486</v>
      </c>
      <c r="X35" s="4">
        <f t="shared" si="1"/>
        <v>1.0506519616749179</v>
      </c>
      <c r="Y35" s="3">
        <f t="shared" si="2"/>
        <v>30.965467279628765</v>
      </c>
      <c r="Z35" s="2">
        <f t="shared" si="3"/>
        <v>31.980776081983137</v>
      </c>
      <c r="AA35" s="3">
        <f t="shared" si="4"/>
        <v>36.46757019019271</v>
      </c>
      <c r="AB35" s="2">
        <f t="shared" si="5"/>
        <v>38.957581527484102</v>
      </c>
      <c r="AC35" s="2">
        <f t="shared" si="6"/>
        <v>40.631374919918038</v>
      </c>
      <c r="AD35" s="2">
        <f t="shared" si="7"/>
        <v>-0.12377791463594708</v>
      </c>
      <c r="AE35" s="2">
        <f t="shared" si="8"/>
        <v>-1.928052944773353</v>
      </c>
    </row>
    <row r="36" spans="2:31" x14ac:dyDescent="0.2">
      <c r="B36" s="1">
        <f>[12]FormattedData!A88</f>
        <v>403</v>
      </c>
      <c r="C36" s="1" t="str">
        <f>VLOOKUP($B36,[12]TrtCodes!$B$11:I131,2)</f>
        <v>FDL</v>
      </c>
      <c r="D36" s="1">
        <f>VLOOKUP($B36,[12]TrtCodes!$B$11:J131,3)</f>
        <v>6</v>
      </c>
      <c r="E36" s="1">
        <f>VLOOKUP($B36,[12]TrtCodes!$B$11:K131,4)</f>
        <v>1</v>
      </c>
      <c r="F36" s="1">
        <f>VLOOKUP($B36,[12]TrtCodes!$B$11:L131,5)</f>
        <v>3</v>
      </c>
      <c r="G36" s="1">
        <f>VLOOKUP($B36,[12]TrtCodes!$B$11:M131,6)</f>
        <v>1</v>
      </c>
      <c r="H36" s="1">
        <f>VLOOKUP($B36,[12]TrtCodes!$B$11:N131,7)</f>
        <v>3</v>
      </c>
      <c r="I36" s="1">
        <f>[12]FormattedData!B88</f>
        <v>1</v>
      </c>
      <c r="J36" s="4">
        <f>[12]FormattedData!C88</f>
        <v>13.718</v>
      </c>
      <c r="K36" s="6">
        <f>$J$3+[12]FormattedData!D88*$J$4+$M$4*$J$5+[12]FormattedData!D88^2*$J$6+$M$5*$J$7</f>
        <v>47.100012522258424</v>
      </c>
      <c r="L36" s="6">
        <f>$J$3+[12]FormattedData!E88*$J$4+$M$4*$J$5+[12]FormattedData!E88^2*$J$6+$M$5*$J$7</f>
        <v>32.31819790452424</v>
      </c>
      <c r="M36" s="6">
        <f>$J$3+[12]FormattedData!F88*$J$4+$M$4*$J$5+[12]FormattedData!F88^2*$J$6+$M$5*$J$7</f>
        <v>37.364201766817551</v>
      </c>
      <c r="N36" s="6">
        <f>$J$3+[12]FormattedData!G88*$J$4+$M$4*$J$5+[12]FormattedData!G88^2*$J$6+$M$5*$J$7</f>
        <v>39.796190099487276</v>
      </c>
      <c r="O36" s="6">
        <f>$J$3+[12]FormattedData!H88*$J$4+$M$4*$J$5+[12]FormattedData!H88^2*$J$6+$M$5*$J$7</f>
        <v>40.631374919918038</v>
      </c>
      <c r="P36" s="6">
        <f>$J$3+[12]FormattedData!I88*$J$4+$M$4*$J$5+[12]FormattedData!I88^2*$J$6+$M$5*$J$7</f>
        <v>39.98208260601519</v>
      </c>
      <c r="Q36" s="6">
        <f>$J$3+[12]FormattedData!J88*$J$4+$M$4*$J$5+[12]FormattedData!J88^2*$J$6+$M$5*$J$7</f>
        <v>35.093928336979104</v>
      </c>
      <c r="R36" s="6">
        <f>$J$3+[12]FormattedData!K88*$J$4+$M$4*$J$5+[12]FormattedData!K88^2*$J$6+$M$5*$J$7</f>
        <v>47.993969483035805</v>
      </c>
      <c r="S36" s="6">
        <f>$J$3+[12]FormattedData!L88*$J$4+$M$4*$J$5+[12]FormattedData!L88^2*$J$6+$M$5*$J$7</f>
        <v>43.937876685916827</v>
      </c>
      <c r="T36" s="6">
        <f>$J$3+[12]FormattedData!M88*$J$4+$M$4*$J$5+[12]FormattedData!M88^2*$J$6+$M$5*$J$7</f>
        <v>48.972440123759881</v>
      </c>
      <c r="U36" s="6">
        <f>$J$3+[12]FormattedData!N88*$J$4+$M$4*$J$5+[12]FormattedData!N88^2*$J$6+$M$5*$J$7</f>
        <v>34.522555811105704</v>
      </c>
      <c r="V36" s="6">
        <f>$J$3+[12]FormattedData!O88*$J$4+$M$4*$J$5+[12]FormattedData!O88^2*$J$6+$M$5*$J$7</f>
        <v>45.027870602325585</v>
      </c>
      <c r="W36" s="5">
        <f t="shared" si="0"/>
        <v>41.061725071845302</v>
      </c>
      <c r="X36" s="4">
        <f t="shared" si="1"/>
        <v>1.6109182053673727</v>
      </c>
      <c r="Y36" s="3">
        <f t="shared" si="2"/>
        <v>32.31819790452424</v>
      </c>
      <c r="Z36" s="2">
        <f t="shared" si="3"/>
        <v>36.796633409357938</v>
      </c>
      <c r="AA36" s="3">
        <f t="shared" si="4"/>
        <v>40.306728762966614</v>
      </c>
      <c r="AB36" s="2">
        <f t="shared" si="5"/>
        <v>45.545906082308797</v>
      </c>
      <c r="AC36" s="2">
        <f t="shared" si="6"/>
        <v>48.972440123759881</v>
      </c>
      <c r="AD36" s="2">
        <f t="shared" si="7"/>
        <v>-5.0212700179558978E-2</v>
      </c>
      <c r="AE36" s="2">
        <f t="shared" si="8"/>
        <v>-1.2704630747852779</v>
      </c>
    </row>
    <row r="37" spans="2:31" x14ac:dyDescent="0.2">
      <c r="B37" s="1">
        <f>[12]FormattedData!A86</f>
        <v>404</v>
      </c>
      <c r="C37" s="1" t="str">
        <f>VLOOKUP($B37,[12]TrtCodes!$B$11:I129,2)</f>
        <v>FTH</v>
      </c>
      <c r="D37" s="1">
        <f>VLOOKUP($B37,[12]TrtCodes!$B$11:J129,3)</f>
        <v>3</v>
      </c>
      <c r="E37" s="1">
        <f>VLOOKUP($B37,[12]TrtCodes!$B$11:K129,4)</f>
        <v>1</v>
      </c>
      <c r="F37" s="1">
        <f>VLOOKUP($B37,[12]TrtCodes!$B$11:L129,5)</f>
        <v>2</v>
      </c>
      <c r="G37" s="1">
        <f>VLOOKUP($B37,[12]TrtCodes!$B$11:M129,6)</f>
        <v>2</v>
      </c>
      <c r="H37" s="1">
        <f>VLOOKUP($B37,[12]TrtCodes!$B$11:N129,7)</f>
        <v>3</v>
      </c>
      <c r="I37" s="1">
        <f>[12]FormattedData!B86</f>
        <v>1</v>
      </c>
      <c r="J37" s="4">
        <f>[12]FormattedData!C86</f>
        <v>13.701000000000001</v>
      </c>
      <c r="K37" s="6">
        <f>$J$3+[12]FormattedData!D86*$J$4+$M$4*$J$5+[12]FormattedData!D86^2*$J$6+$M$5*$J$7</f>
        <v>51.877165087394097</v>
      </c>
      <c r="L37" s="6">
        <f>$J$3+[12]FormattedData!E86*$J$4+$M$4*$J$5+[12]FormattedData!E86^2*$J$6+$M$5*$J$7</f>
        <v>39.517034325660937</v>
      </c>
      <c r="M37" s="6">
        <f>$J$3+[12]FormattedData!F86*$J$4+$M$4*$J$5+[12]FormattedData!F86^2*$J$6+$M$5*$J$7</f>
        <v>37.364201766817551</v>
      </c>
      <c r="N37" s="6">
        <f>$J$3+[12]FormattedData!G86*$J$4+$M$4*$J$5+[12]FormattedData!G86^2*$J$6+$M$5*$J$7</f>
        <v>44.665215593462904</v>
      </c>
      <c r="O37" s="6">
        <f>$J$3+[12]FormattedData!H86*$J$4+$M$4*$J$5+[12]FormattedData!H86^2*$J$6+$M$5*$J$7</f>
        <v>35.189009151408584</v>
      </c>
      <c r="P37" s="6">
        <f>$J$3+[12]FormattedData!I86*$J$4+$M$4*$J$5+[12]FormattedData!I86^2*$J$6+$M$5*$J$7</f>
        <v>45.660889529124944</v>
      </c>
      <c r="Q37" s="6">
        <f>$J$3+[12]FormattedData!J86*$J$4+$M$4*$J$5+[12]FormattedData!J86^2*$J$6+$M$5*$J$7</f>
        <v>45.660889529124944</v>
      </c>
      <c r="R37" s="6">
        <f>$J$3+[12]FormattedData!K86*$J$4+$M$4*$J$5+[12]FormattedData!K86^2*$J$6+$M$5*$J$7</f>
        <v>47.189598426756859</v>
      </c>
      <c r="S37" s="6">
        <f>$J$3+[12]FormattedData!L86*$J$4+$M$4*$J$5+[12]FormattedData!L86^2*$J$6+$M$5*$J$7</f>
        <v>38.115549203908508</v>
      </c>
      <c r="T37" s="6">
        <f>$J$3+[12]FormattedData!M86*$J$4+$M$4*$J$5+[12]FormattedData!M86^2*$J$6+$M$5*$J$7</f>
        <v>49.326979573339791</v>
      </c>
      <c r="U37" s="6">
        <f>$J$3+[12]FormattedData!N86*$J$4+$M$4*$J$5+[12]FormattedData!N86^2*$J$6+$M$5*$J$7</f>
        <v>36.893235891152941</v>
      </c>
      <c r="V37" s="6">
        <f>$J$3+[12]FormattedData!O86*$J$4+$M$4*$J$5+[12]FormattedData!O86^2*$J$6+$M$5*$J$7</f>
        <v>51.177216192427402</v>
      </c>
      <c r="W37" s="5">
        <f t="shared" si="0"/>
        <v>43.553082022548288</v>
      </c>
      <c r="X37" s="4">
        <f t="shared" si="1"/>
        <v>1.7024323501838148</v>
      </c>
      <c r="Y37" s="3">
        <f t="shared" si="2"/>
        <v>35.189009151408584</v>
      </c>
      <c r="Z37" s="2">
        <f t="shared" si="3"/>
        <v>37.927712344635765</v>
      </c>
      <c r="AA37" s="3">
        <f t="shared" si="4"/>
        <v>45.163052561293924</v>
      </c>
      <c r="AB37" s="2">
        <f t="shared" si="5"/>
        <v>47.723943713402591</v>
      </c>
      <c r="AC37" s="2">
        <f t="shared" si="6"/>
        <v>51.877165087394097</v>
      </c>
      <c r="AD37" s="2">
        <f t="shared" si="7"/>
        <v>-3.3746612515464278E-2</v>
      </c>
      <c r="AE37" s="2">
        <f t="shared" si="8"/>
        <v>-1.5614189619495882</v>
      </c>
    </row>
    <row r="38" spans="2:31" x14ac:dyDescent="0.2">
      <c r="B38" s="1">
        <f>[12]FormattedData!A84</f>
        <v>405</v>
      </c>
      <c r="C38" s="1" t="str">
        <f>VLOOKUP($B38,[12]TrtCodes!$B$11:I127,2)</f>
        <v>FDL</v>
      </c>
      <c r="D38" s="1">
        <f>VLOOKUP($B38,[12]TrtCodes!$B$11:J127,3)</f>
        <v>6</v>
      </c>
      <c r="E38" s="1">
        <f>VLOOKUP($B38,[12]TrtCodes!$B$11:K127,4)</f>
        <v>1</v>
      </c>
      <c r="F38" s="1">
        <f>VLOOKUP($B38,[12]TrtCodes!$B$11:L127,5)</f>
        <v>3</v>
      </c>
      <c r="G38" s="1">
        <f>VLOOKUP($B38,[12]TrtCodes!$B$11:M127,6)</f>
        <v>1</v>
      </c>
      <c r="H38" s="1">
        <f>VLOOKUP($B38,[12]TrtCodes!$B$11:N127,7)</f>
        <v>4</v>
      </c>
      <c r="I38" s="1">
        <f>[12]FormattedData!B84</f>
        <v>1</v>
      </c>
      <c r="J38" s="4">
        <f>[12]FormattedData!C84</f>
        <v>13.683999999999999</v>
      </c>
      <c r="K38" s="6">
        <f>$J$3+[12]FormattedData!D84*$J$4+$M$4*$J$5+[12]FormattedData!D84^2*$J$6+$M$5*$J$7</f>
        <v>45.84137166279767</v>
      </c>
      <c r="L38" s="6">
        <f>$J$3+[12]FormattedData!E84*$J$4+$M$4*$J$5+[12]FormattedData!E84^2*$J$6+$M$5*$J$7</f>
        <v>32.606990904998895</v>
      </c>
      <c r="M38" s="6">
        <f>$J$3+[12]FormattedData!F84*$J$4+$M$4*$J$5+[12]FormattedData!F84^2*$J$6+$M$5*$J$7</f>
        <v>39.330719133753718</v>
      </c>
      <c r="N38" s="6">
        <f>$J$3+[12]FormattedData!G84*$J$4+$M$4*$J$5+[12]FormattedData!G84^2*$J$6+$M$5*$J$7</f>
        <v>48.972440123759881</v>
      </c>
      <c r="O38" s="6">
        <f>$J$3+[12]FormattedData!H84*$J$4+$M$4*$J$5+[12]FormattedData!H84^2*$J$6+$M$5*$J$7</f>
        <v>31.256035558696517</v>
      </c>
      <c r="P38" s="6">
        <f>$J$3+[12]FormattedData!I84*$J$4+$M$4*$J$5+[12]FormattedData!I84^2*$J$6+$M$5*$J$7</f>
        <v>46.741246218885408</v>
      </c>
      <c r="Q38" s="6">
        <f>$J$3+[12]FormattedData!J84*$J$4+$M$4*$J$5+[12]FormattedData!J84^2*$J$6+$M$5*$J$7</f>
        <v>30.77154375089394</v>
      </c>
      <c r="R38" s="6">
        <f>$J$3+[12]FormattedData!K84*$J$4+$M$4*$J$5+[12]FormattedData!K84^2*$J$6+$M$5*$J$7</f>
        <v>37.175942222165496</v>
      </c>
      <c r="S38" s="6">
        <f>$J$3+[12]FormattedData!L84*$J$4+$M$4*$J$5+[12]FormattedData!L84^2*$J$6+$M$5*$J$7</f>
        <v>35.189009151408584</v>
      </c>
      <c r="T38" s="6">
        <f>$J$3+[12]FormattedData!M84*$J$4+$M$4*$J$5+[12]FormattedData!M84^2*$J$6+$M$5*$J$7</f>
        <v>40.723961890609573</v>
      </c>
      <c r="U38" s="6">
        <f>$J$3+[12]FormattedData!N84*$J$4+$M$4*$J$5+[12]FormattedData!N84^2*$J$6+$M$5*$J$7</f>
        <v>32.31819790452424</v>
      </c>
      <c r="V38" s="6">
        <f>$J$3+[12]FormattedData!O84*$J$4+$M$4*$J$5+[12]FormattedData!O84^2*$J$6+$M$5*$J$7</f>
        <v>35.663779195486995</v>
      </c>
      <c r="W38" s="5">
        <f t="shared" si="0"/>
        <v>38.049269809831742</v>
      </c>
      <c r="X38" s="4">
        <f t="shared" si="1"/>
        <v>1.8269661795656742</v>
      </c>
      <c r="Y38" s="3">
        <f t="shared" si="2"/>
        <v>30.77154375089394</v>
      </c>
      <c r="Z38" s="2">
        <f t="shared" si="3"/>
        <v>32.534792654880235</v>
      </c>
      <c r="AA38" s="3">
        <f t="shared" si="4"/>
        <v>36.419860708826249</v>
      </c>
      <c r="AB38" s="2">
        <f t="shared" si="5"/>
        <v>42.003314333656597</v>
      </c>
      <c r="AC38" s="2">
        <f t="shared" si="6"/>
        <v>48.972440123759881</v>
      </c>
      <c r="AD38" s="2">
        <f t="shared" si="7"/>
        <v>0.58885540459919283</v>
      </c>
      <c r="AE38" s="2">
        <f t="shared" si="8"/>
        <v>-1.0203591326325476</v>
      </c>
    </row>
    <row r="39" spans="2:31" x14ac:dyDescent="0.2">
      <c r="B39" s="1">
        <f>[12]FormattedData!A82</f>
        <v>406</v>
      </c>
      <c r="C39" s="1" t="str">
        <f>VLOOKUP($B39,[12]TrtCodes!$B$11:I125,2)</f>
        <v>FTH</v>
      </c>
      <c r="D39" s="1">
        <f>VLOOKUP($B39,[12]TrtCodes!$B$11:J125,3)</f>
        <v>3</v>
      </c>
      <c r="E39" s="1">
        <f>VLOOKUP($B39,[12]TrtCodes!$B$11:K125,4)</f>
        <v>1</v>
      </c>
      <c r="F39" s="1">
        <f>VLOOKUP($B39,[12]TrtCodes!$B$11:L125,5)</f>
        <v>2</v>
      </c>
      <c r="G39" s="1">
        <f>VLOOKUP($B39,[12]TrtCodes!$B$11:M125,6)</f>
        <v>2</v>
      </c>
      <c r="H39" s="1">
        <f>VLOOKUP($B39,[12]TrtCodes!$B$11:N125,7)</f>
        <v>4</v>
      </c>
      <c r="I39" s="1">
        <f>[12]FormattedData!B82</f>
        <v>1</v>
      </c>
      <c r="J39" s="4">
        <f>[12]FormattedData!C82</f>
        <v>13.667</v>
      </c>
      <c r="K39" s="6">
        <f>$J$3+[12]FormattedData!D82*$J$4+$M$4*$J$5+[12]FormattedData!D82^2*$J$6+$M$5*$J$7</f>
        <v>52.051729625756451</v>
      </c>
      <c r="L39" s="6">
        <f>$J$3+[12]FormattedData!E82*$J$4+$M$4*$J$5+[12]FormattedData!E82^2*$J$6+$M$5*$J$7</f>
        <v>41.831708592949418</v>
      </c>
      <c r="M39" s="6">
        <f>$J$3+[12]FormattedData!F82*$J$4+$M$4*$J$5+[12]FormattedData!F82^2*$J$6+$M$5*$J$7</f>
        <v>43.390597226664163</v>
      </c>
      <c r="N39" s="6">
        <f>$J$3+[12]FormattedData!G82*$J$4+$M$4*$J$5+[12]FormattedData!G82^2*$J$6+$M$5*$J$7</f>
        <v>39.796190099487276</v>
      </c>
      <c r="O39" s="6">
        <f>$J$3+[12]FormattedData!H82*$J$4+$M$4*$J$5+[12]FormattedData!H82^2*$J$6+$M$5*$J$7</f>
        <v>35.663779195486995</v>
      </c>
      <c r="P39" s="6">
        <f>$J$3+[12]FormattedData!I82*$J$4+$M$4*$J$5+[12]FormattedData!I82^2*$J$6+$M$5*$J$7</f>
        <v>44.755942748485467</v>
      </c>
      <c r="Q39" s="6">
        <f>$J$3+[12]FormattedData!J82*$J$4+$M$4*$J$5+[12]FormattedData!J82^2*$J$6+$M$5*$J$7</f>
        <v>31.64286817125582</v>
      </c>
      <c r="R39" s="6">
        <f>$J$3+[12]FormattedData!K82*$J$4+$M$4*$J$5+[12]FormattedData!K82^2*$J$6+$M$5*$J$7</f>
        <v>48.617224377573081</v>
      </c>
      <c r="S39" s="6">
        <f>$J$3+[12]FormattedData!L82*$J$4+$M$4*$J$5+[12]FormattedData!L82^2*$J$6+$M$5*$J$7</f>
        <v>38.302963377801937</v>
      </c>
      <c r="T39" s="6">
        <f>$J$3+[12]FormattedData!M82*$J$4+$M$4*$J$5+[12]FormattedData!M82^2*$J$6+$M$5*$J$7</f>
        <v>43.299236043572627</v>
      </c>
      <c r="U39" s="6">
        <f>$J$3+[12]FormattedData!N82*$J$4+$M$4*$J$5+[12]FormattedData!N82^2*$J$6+$M$5*$J$7</f>
        <v>39.98208260601519</v>
      </c>
      <c r="V39" s="6">
        <f>$J$3+[12]FormattedData!O82*$J$4+$M$4*$J$5+[12]FormattedData!O82^2*$J$6+$M$5*$J$7</f>
        <v>45.570585059481687</v>
      </c>
      <c r="W39" s="5">
        <f t="shared" si="0"/>
        <v>42.075408927044172</v>
      </c>
      <c r="X39" s="4">
        <f t="shared" si="1"/>
        <v>1.6020011306232611</v>
      </c>
      <c r="Y39" s="3">
        <f t="shared" si="2"/>
        <v>31.64286817125582</v>
      </c>
      <c r="Z39" s="2">
        <f t="shared" si="3"/>
        <v>39.42288341906594</v>
      </c>
      <c r="AA39" s="3">
        <f t="shared" si="4"/>
        <v>42.565472318261023</v>
      </c>
      <c r="AB39" s="2">
        <f t="shared" si="5"/>
        <v>44.959603326234522</v>
      </c>
      <c r="AC39" s="2">
        <f t="shared" si="6"/>
        <v>52.051729625756451</v>
      </c>
      <c r="AD39" s="2">
        <f t="shared" si="7"/>
        <v>-8.6048407330218735E-2</v>
      </c>
      <c r="AE39" s="2">
        <f t="shared" si="8"/>
        <v>0.24105148521000697</v>
      </c>
    </row>
    <row r="40" spans="2:31" x14ac:dyDescent="0.2">
      <c r="B40" s="1">
        <f>[12]FormattedData!A80</f>
        <v>407</v>
      </c>
      <c r="C40" s="1" t="str">
        <f>VLOOKUP($B40,[12]TrtCodes!$B$11:I123,2)</f>
        <v>NSH</v>
      </c>
      <c r="D40" s="1">
        <f>VLOOKUP($B40,[12]TrtCodes!$B$11:J123,3)</f>
        <v>7</v>
      </c>
      <c r="E40" s="1">
        <f>VLOOKUP($B40,[12]TrtCodes!$B$11:K123,4)</f>
        <v>2</v>
      </c>
      <c r="F40" s="1">
        <f>VLOOKUP($B40,[12]TrtCodes!$B$11:L123,5)</f>
        <v>1</v>
      </c>
      <c r="G40" s="1">
        <f>VLOOKUP($B40,[12]TrtCodes!$B$11:M123,6)</f>
        <v>2</v>
      </c>
      <c r="H40" s="1">
        <f>VLOOKUP($B40,[12]TrtCodes!$B$11:N123,7)</f>
        <v>4</v>
      </c>
      <c r="I40" s="1">
        <f>[12]FormattedData!B80</f>
        <v>1</v>
      </c>
      <c r="J40" s="4">
        <f>[12]FormattedData!C80</f>
        <v>13.65</v>
      </c>
      <c r="K40" s="6">
        <f>$J$3+[12]FormattedData!D80*$J$4+$M$4*$J$5+[12]FormattedData!D80^2*$J$6+$M$5*$J$7</f>
        <v>58.307625153396174</v>
      </c>
      <c r="L40" s="6">
        <f>$J$3+[12]FormattedData!E80*$J$4+$M$4*$J$5+[12]FormattedData!E80^2*$J$6+$M$5*$J$7</f>
        <v>49.061138388961758</v>
      </c>
      <c r="M40" s="6">
        <f>$J$3+[12]FormattedData!F80*$J$4+$M$4*$J$5+[12]FormattedData!F80^2*$J$6+$M$5*$J$7</f>
        <v>49.238408113751717</v>
      </c>
      <c r="N40" s="6">
        <f>$J$3+[12]FormattedData!G80*$J$4+$M$4*$J$5+[12]FormattedData!G80^2*$J$6+$M$5*$J$7</f>
        <v>56.105324055844257</v>
      </c>
      <c r="O40" s="6">
        <f>$J$3+[12]FormattedData!H80*$J$4+$M$4*$J$5+[12]FormattedData!H80^2*$J$6+$M$5*$J$7</f>
        <v>42.658524242869802</v>
      </c>
      <c r="P40" s="6">
        <f>$J$3+[12]FormattedData!I80*$J$4+$M$4*$J$5+[12]FormattedData!I80^2*$J$6+$M$5*$J$7</f>
        <v>55.849373709342103</v>
      </c>
      <c r="Q40" s="6">
        <f>$J$3+[12]FormattedData!J80*$J$4+$M$4*$J$5+[12]FormattedData!J80^2*$J$6+$M$5*$J$7</f>
        <v>40.446074172921158</v>
      </c>
      <c r="R40" s="6">
        <f>$J$3+[12]FormattedData!K80*$J$4+$M$4*$J$5+[12]FormattedData!K80^2*$J$6+$M$5*$J$7</f>
        <v>56.870892594302425</v>
      </c>
      <c r="S40" s="6">
        <f>$J$3+[12]FormattedData!L80*$J$4+$M$4*$J$5+[12]FormattedData!L80^2*$J$6+$M$5*$J$7</f>
        <v>38.021778714154891</v>
      </c>
      <c r="T40" s="6">
        <f>$J$3+[12]FormattedData!M80*$J$4+$M$4*$J$5+[12]FormattedData!M80^2*$J$6+$M$5*$J$7</f>
        <v>55.250676835342837</v>
      </c>
      <c r="U40" s="6">
        <f>$J$3+[12]FormattedData!N80*$J$4+$M$4*$J$5+[12]FormattedData!N80^2*$J$6+$M$5*$J$7</f>
        <v>38.583767624607596</v>
      </c>
      <c r="V40" s="6">
        <f>$J$3+[12]FormattedData!O80*$J$4+$M$4*$J$5+[12]FormattedData!O80^2*$J$6+$M$5*$J$7</f>
        <v>54.735859613221287</v>
      </c>
      <c r="W40" s="5">
        <f t="shared" si="0"/>
        <v>49.594120268226327</v>
      </c>
      <c r="X40" s="4">
        <f t="shared" si="1"/>
        <v>2.2295900284325754</v>
      </c>
      <c r="Y40" s="3">
        <f t="shared" si="2"/>
        <v>38.021778714154891</v>
      </c>
      <c r="Z40" s="2">
        <f t="shared" si="3"/>
        <v>42.105411725382638</v>
      </c>
      <c r="AA40" s="3">
        <f t="shared" si="4"/>
        <v>51.987133863486505</v>
      </c>
      <c r="AB40" s="2">
        <f t="shared" si="5"/>
        <v>55.91336129596764</v>
      </c>
      <c r="AC40" s="2">
        <f t="shared" si="6"/>
        <v>58.307625153396174</v>
      </c>
      <c r="AD40" s="2">
        <f t="shared" si="7"/>
        <v>-0.4970650042520785</v>
      </c>
      <c r="AE40" s="2">
        <f t="shared" si="8"/>
        <v>-1.572692657110486</v>
      </c>
    </row>
    <row r="41" spans="2:31" x14ac:dyDescent="0.2">
      <c r="B41" s="1">
        <f>[12]FormattedData!A78</f>
        <v>408</v>
      </c>
      <c r="C41" s="1" t="str">
        <f>VLOOKUP($B41,[12]TrtCodes!$B$11:I121,2)</f>
        <v>NTL</v>
      </c>
      <c r="D41" s="1">
        <f>VLOOKUP($B41,[12]TrtCodes!$B$11:J121,3)</f>
        <v>10</v>
      </c>
      <c r="E41" s="1">
        <f>VLOOKUP($B41,[12]TrtCodes!$B$11:K121,4)</f>
        <v>2</v>
      </c>
      <c r="F41" s="1">
        <f>VLOOKUP($B41,[12]TrtCodes!$B$11:L121,5)</f>
        <v>2</v>
      </c>
      <c r="G41" s="1">
        <f>VLOOKUP($B41,[12]TrtCodes!$B$11:M121,6)</f>
        <v>1</v>
      </c>
      <c r="H41" s="1">
        <f>VLOOKUP($B41,[12]TrtCodes!$B$11:N121,7)</f>
        <v>4</v>
      </c>
      <c r="I41" s="1">
        <f>[12]FormattedData!B78</f>
        <v>1</v>
      </c>
      <c r="J41" s="4">
        <f>[12]FormattedData!C78</f>
        <v>13.631</v>
      </c>
      <c r="K41" s="6">
        <f>$J$3+[12]FormattedData!D78*$J$4+$M$4*$J$5+[12]FormattedData!D78^2*$J$6+$M$5*$J$7</f>
        <v>39.796190099487276</v>
      </c>
      <c r="L41" s="6">
        <f>$J$3+[12]FormattedData!E78*$J$4+$M$4*$J$5+[12]FormattedData!E78^2*$J$6+$M$5*$J$7</f>
        <v>38.302963377801937</v>
      </c>
      <c r="M41" s="6">
        <f>$J$3+[12]FormattedData!F78*$J$4+$M$4*$J$5+[12]FormattedData!F78^2*$J$6+$M$5*$J$7</f>
        <v>33.471087405374547</v>
      </c>
      <c r="N41" s="6">
        <f>$J$3+[12]FormattedData!G78*$J$4+$M$4*$J$5+[12]FormattedData!G78^2*$J$6+$M$5*$J$7</f>
        <v>38.957581527484102</v>
      </c>
      <c r="O41" s="6">
        <f>$J$3+[12]FormattedData!H78*$J$4+$M$4*$J$5+[12]FormattedData!H78^2*$J$6+$M$5*$J$7</f>
        <v>32.606990904998895</v>
      </c>
      <c r="P41" s="6">
        <f>$J$3+[12]FormattedData!I78*$J$4+$M$4*$J$5+[12]FormattedData!I78^2*$J$6+$M$5*$J$7</f>
        <v>38.67728450313362</v>
      </c>
      <c r="Q41" s="6">
        <f>$J$3+[12]FormattedData!J78*$J$4+$M$4*$J$5+[12]FormattedData!J78^2*$J$6+$M$5*$J$7</f>
        <v>32.125457894851493</v>
      </c>
      <c r="R41" s="6">
        <f>$J$3+[12]FormattedData!K78*$J$4+$M$4*$J$5+[12]FormattedData!K78^2*$J$6+$M$5*$J$7</f>
        <v>39.423897863976293</v>
      </c>
      <c r="S41" s="6">
        <f>$J$3+[12]FormattedData!L78*$J$4+$M$4*$J$5+[12]FormattedData!L78^2*$J$6+$M$5*$J$7</f>
        <v>32.125457894851493</v>
      </c>
      <c r="T41" s="6">
        <f>$J$3+[12]FormattedData!M78*$J$4+$M$4*$J$5+[12]FormattedData!M78^2*$J$6+$M$5*$J$7</f>
        <v>39.703180443416429</v>
      </c>
      <c r="U41" s="6">
        <f>$J$3+[12]FormattedData!N78*$J$4+$M$4*$J$5+[12]FormattedData!N78^2*$J$6+$M$5*$J$7</f>
        <v>31.352807114643234</v>
      </c>
      <c r="V41" s="6">
        <f>$J$3+[12]FormattedData!O78*$J$4+$M$4*$J$5+[12]FormattedData!O78^2*$J$6+$M$5*$J$7</f>
        <v>38.209277425124192</v>
      </c>
      <c r="W41" s="5">
        <f t="shared" si="0"/>
        <v>36.229348037928624</v>
      </c>
      <c r="X41" s="4">
        <f t="shared" si="1"/>
        <v>1.0107176689558723</v>
      </c>
      <c r="Y41" s="3">
        <f t="shared" si="2"/>
        <v>31.352807114643234</v>
      </c>
      <c r="Z41" s="2">
        <f t="shared" si="3"/>
        <v>32.486607652462041</v>
      </c>
      <c r="AA41" s="3">
        <f t="shared" si="4"/>
        <v>38.256120401463065</v>
      </c>
      <c r="AB41" s="2">
        <f t="shared" si="5"/>
        <v>39.074160611607148</v>
      </c>
      <c r="AC41" s="2">
        <f t="shared" si="6"/>
        <v>39.796190099487276</v>
      </c>
      <c r="AD41" s="2">
        <f t="shared" si="7"/>
        <v>-0.38421535580079758</v>
      </c>
      <c r="AE41" s="2">
        <f t="shared" si="8"/>
        <v>-2.0413504605682729</v>
      </c>
    </row>
    <row r="42" spans="2:31" x14ac:dyDescent="0.2">
      <c r="B42" s="17">
        <f>[12]FormattedData!A60</f>
        <v>901</v>
      </c>
      <c r="C42" s="17" t="str">
        <f>VLOOKUP($B42,[12]TrtCodes!$B$11:I103,2)</f>
        <v>WS</v>
      </c>
      <c r="D42" s="17">
        <f>VLOOKUP($B42,[12]TrtCodes!$B$11:J103,3)</f>
        <v>32</v>
      </c>
      <c r="E42" s="17">
        <f>VLOOKUP($B42,[12]TrtCodes!$B$11:K103,4)</f>
        <v>9</v>
      </c>
      <c r="F42" s="17">
        <f>VLOOKUP($B42,[12]TrtCodes!$B$11:L103,5)</f>
        <v>0</v>
      </c>
      <c r="G42" s="17">
        <f>VLOOKUP($B42,[12]TrtCodes!$B$11:M103,6)</f>
        <v>1</v>
      </c>
      <c r="H42" s="17">
        <f>VLOOKUP($B42,[12]TrtCodes!$B$11:N103,7)</f>
        <v>1</v>
      </c>
      <c r="I42" s="17">
        <f>[12]FormattedData!B60</f>
        <v>1</v>
      </c>
      <c r="J42" s="15">
        <f>[12]FormattedData!C60</f>
        <v>13.478999999999999</v>
      </c>
      <c r="K42" s="14">
        <f>$J$3+[12]FormattedData!D60*$J$4+$M$4*$J$5+[12]FormattedData!D60^2*$J$6+$M$5*$J$7</f>
        <v>35.663779195486995</v>
      </c>
      <c r="L42" s="14">
        <f>$J$3+[12]FormattedData!E60*$J$4+$M$4*$J$5+[12]FormattedData!E60^2*$J$6+$M$5*$J$7</f>
        <v>35.663779195486995</v>
      </c>
      <c r="M42" s="14">
        <f>$J$3+[12]FormattedData!F60*$J$4+$M$4*$J$5+[12]FormattedData!F60^2*$J$6+$M$5*$J$7</f>
        <v>35.853391333352846</v>
      </c>
      <c r="N42" s="14">
        <f>$J$3+[12]FormattedData!G60*$J$4+$M$4*$J$5+[12]FormattedData!G60^2*$J$6+$M$5*$J$7</f>
        <v>35.948133999478877</v>
      </c>
      <c r="O42" s="14">
        <f>$J$3+[12]FormattedData!H60*$J$4+$M$4*$J$5+[12]FormattedData!H60^2*$J$6+$M$5*$J$7</f>
        <v>36.042834397066969</v>
      </c>
      <c r="P42" s="14">
        <f>$J$3+[12]FormattedData!I60*$J$4+$M$4*$J$5+[12]FormattedData!I60^2*$J$6+$M$5*$J$7</f>
        <v>36.232108386629371</v>
      </c>
      <c r="Q42" s="14">
        <f>$J$3+[12]FormattedData!J60*$J$4+$M$4*$J$5+[12]FormattedData!J60^2*$J$6+$M$5*$J$7</f>
        <v>36.137492526117136</v>
      </c>
      <c r="R42" s="14">
        <f>$J$3+[12]FormattedData!K60*$J$4+$M$4*$J$5+[12]FormattedData!K60^2*$J$6+$M$5*$J$7</f>
        <v>36.232108386629371</v>
      </c>
      <c r="S42" s="14">
        <f>$J$3+[12]FormattedData!L60*$J$4+$M$4*$J$5+[12]FormattedData!L60^2*$J$6+$M$5*$J$7</f>
        <v>35.948133999478877</v>
      </c>
      <c r="T42" s="14">
        <f>$J$3+[12]FormattedData!M60*$J$4+$M$4*$J$5+[12]FormattedData!M60^2*$J$6+$M$5*$J$7</f>
        <v>35.948133999478877</v>
      </c>
      <c r="U42" s="14">
        <f>$J$3+[12]FormattedData!N60*$J$4+$M$4*$J$5+[12]FormattedData!N60^2*$J$6+$M$5*$J$7</f>
        <v>36.137492526117136</v>
      </c>
      <c r="V42" s="14">
        <f>$J$3+[12]FormattedData!O60*$J$4+$M$4*$J$5+[12]FormattedData!O60^2*$J$6+$M$5*$J$7</f>
        <v>36.515702356938476</v>
      </c>
      <c r="W42" s="16">
        <f t="shared" ref="W42:W73" si="9">AVERAGE(K42:V42)</f>
        <v>36.026924191855159</v>
      </c>
      <c r="X42" s="15">
        <f t="shared" ref="X42:X73" si="10">STDEV(K42:V42)/SQRT(COUNT(K42:V42))</f>
        <v>7.072647713378899E-2</v>
      </c>
      <c r="Y42" s="14">
        <f t="shared" ref="Y42:Y73" si="11">MIN(K42:V42)</f>
        <v>35.663779195486995</v>
      </c>
      <c r="Z42" s="13">
        <f t="shared" ref="Z42:Z73" si="12">QUARTILE(K42:V42,1)</f>
        <v>35.924448332947371</v>
      </c>
      <c r="AA42" s="14">
        <f t="shared" ref="AA42:AA73" si="13">MEDIAN(K42:V42)</f>
        <v>35.995484198272919</v>
      </c>
      <c r="AB42" s="13">
        <f t="shared" ref="AB42:AB73" si="14">QUARTILE(K42:V42,3)</f>
        <v>36.161146491245191</v>
      </c>
      <c r="AC42" s="13">
        <f t="shared" ref="AC42:AC73" si="15">MAX(K42:V42)</f>
        <v>36.515702356938476</v>
      </c>
      <c r="AD42" s="13">
        <f t="shared" ref="AD42:AD73" si="16">SKEW(K42:V42)</f>
        <v>0.25430399144746352</v>
      </c>
      <c r="AE42" s="13">
        <f t="shared" ref="AE42:AE73" si="17">KURT(K42:V42)</f>
        <v>0.19655888763051443</v>
      </c>
    </row>
    <row r="43" spans="2:31" x14ac:dyDescent="0.2">
      <c r="B43" s="1">
        <f>[12]FormattedData!A58</f>
        <v>902</v>
      </c>
      <c r="C43" s="1" t="str">
        <f>VLOOKUP($B43,[12]TrtCodes!$B$11:I101,2)</f>
        <v>Late</v>
      </c>
      <c r="D43" s="1">
        <f>VLOOKUP($B43,[12]TrtCodes!$B$11:J101,3)</f>
        <v>22</v>
      </c>
      <c r="E43" s="1">
        <f>VLOOKUP($B43,[12]TrtCodes!$B$11:K101,4)</f>
        <v>4</v>
      </c>
      <c r="F43" s="1">
        <f>VLOOKUP($B43,[12]TrtCodes!$B$11:L101,5)</f>
        <v>2</v>
      </c>
      <c r="G43" s="1">
        <f>VLOOKUP($B43,[12]TrtCodes!$B$11:M101,6)</f>
        <v>2</v>
      </c>
      <c r="H43" s="1">
        <f>VLOOKUP($B43,[12]TrtCodes!$B$11:N101,7)</f>
        <v>1</v>
      </c>
      <c r="I43" s="1">
        <f>[12]FormattedData!B58</f>
        <v>1</v>
      </c>
      <c r="J43" s="4">
        <f>[12]FormattedData!C58</f>
        <v>13.461</v>
      </c>
      <c r="K43" s="6">
        <f>$J$3+[12]FormattedData!D58*$J$4+$M$4*$J$5+[12]FormattedData!D58^2*$J$6+$M$5*$J$7</f>
        <v>51.877165087394097</v>
      </c>
      <c r="L43" s="6">
        <f>$J$3+[12]FormattedData!E58*$J$4+$M$4*$J$5+[12]FormattedData!E58^2*$J$6+$M$5*$J$7</f>
        <v>51.089532372135871</v>
      </c>
      <c r="M43" s="6">
        <f>$J$3+[12]FormattedData!F58*$J$4+$M$4*$J$5+[12]FormattedData!F58^2*$J$6+$M$5*$J$7</f>
        <v>33.662643895985219</v>
      </c>
      <c r="N43" s="6">
        <f>$J$3+[12]FormattedData!G58*$J$4+$M$4*$J$5+[12]FormattedData!G58^2*$J$6+$M$5*$J$7</f>
        <v>55.421944427746567</v>
      </c>
      <c r="O43" s="6">
        <f>$J$3+[12]FormattedData!H58*$J$4+$M$4*$J$5+[12]FormattedData!H58^2*$J$6+$M$5*$J$7</f>
        <v>34.522555811105704</v>
      </c>
      <c r="P43" s="6">
        <f>$J$3+[12]FormattedData!I58*$J$4+$M$4*$J$5+[12]FormattedData!I58^2*$J$6+$M$5*$J$7</f>
        <v>53.095566298744409</v>
      </c>
      <c r="Q43" s="6">
        <f>$J$3+[12]FormattedData!J58*$J$4+$M$4*$J$5+[12]FormattedData!J58^2*$J$6+$M$5*$J$7</f>
        <v>34.236298922906919</v>
      </c>
      <c r="R43" s="6">
        <f>$J$3+[12]FormattedData!K58*$J$4+$M$4*$J$5+[12]FormattedData!K58^2*$J$6+$M$5*$J$7</f>
        <v>52.400351480026004</v>
      </c>
      <c r="S43" s="6">
        <f>$J$3+[12]FormattedData!L58*$J$4+$M$4*$J$5+[12]FormattedData!L58^2*$J$6+$M$5*$J$7</f>
        <v>34.903639902506363</v>
      </c>
      <c r="T43" s="6">
        <f>$J$3+[12]FormattedData!M58*$J$4+$M$4*$J$5+[12]FormattedData!M58^2*$J$6+$M$5*$J$7</f>
        <v>53.960780653728612</v>
      </c>
      <c r="U43" s="6">
        <f>$J$3+[12]FormattedData!N58*$J$4+$M$4*$J$5+[12]FormattedData!N58^2*$J$6+$M$5*$J$7</f>
        <v>44.210945790281087</v>
      </c>
      <c r="V43" s="6">
        <f>$J$3+[12]FormattedData!O58*$J$4+$M$4*$J$5+[12]FormattedData!O58^2*$J$6+$M$5*$J$7</f>
        <v>35.473997983469431</v>
      </c>
      <c r="W43" s="5">
        <f t="shared" si="9"/>
        <v>44.571285218835861</v>
      </c>
      <c r="X43" s="4">
        <f t="shared" si="10"/>
        <v>2.6669437000692935</v>
      </c>
      <c r="Y43" s="3">
        <f t="shared" si="11"/>
        <v>33.662643895985219</v>
      </c>
      <c r="Z43" s="2">
        <f t="shared" si="12"/>
        <v>34.8083688796562</v>
      </c>
      <c r="AA43" s="3">
        <f t="shared" si="13"/>
        <v>47.650239081208483</v>
      </c>
      <c r="AB43" s="2">
        <f t="shared" si="14"/>
        <v>52.574155184705603</v>
      </c>
      <c r="AC43" s="2">
        <f t="shared" si="15"/>
        <v>55.421944427746567</v>
      </c>
      <c r="AD43" s="2">
        <f t="shared" si="16"/>
        <v>-0.16625501090707559</v>
      </c>
      <c r="AE43" s="2">
        <f t="shared" si="17"/>
        <v>-2.1584614116799354</v>
      </c>
    </row>
    <row r="44" spans="2:31" x14ac:dyDescent="0.2">
      <c r="B44" s="17">
        <f>[12]FormattedData!A56</f>
        <v>903</v>
      </c>
      <c r="C44" s="17" t="str">
        <f>VLOOKUP($B44,[12]TrtCodes!$B$11:I99,2)</f>
        <v>DS</v>
      </c>
      <c r="D44" s="17">
        <f>VLOOKUP($B44,[12]TrtCodes!$B$11:J99,3)</f>
        <v>31</v>
      </c>
      <c r="E44" s="17">
        <f>VLOOKUP($B44,[12]TrtCodes!$B$11:K99,4)</f>
        <v>8</v>
      </c>
      <c r="F44" s="17">
        <f>VLOOKUP($B44,[12]TrtCodes!$B$11:L99,5)</f>
        <v>0</v>
      </c>
      <c r="G44" s="17">
        <f>VLOOKUP($B44,[12]TrtCodes!$B$11:M99,6)</f>
        <v>1</v>
      </c>
      <c r="H44" s="17">
        <f>VLOOKUP($B44,[12]TrtCodes!$B$11:N99,7)</f>
        <v>1</v>
      </c>
      <c r="I44" s="17">
        <f>[12]FormattedData!B56</f>
        <v>1</v>
      </c>
      <c r="J44" s="15">
        <f>[12]FormattedData!C56</f>
        <v>13.452</v>
      </c>
      <c r="K44" s="14">
        <f>$J$3+[12]FormattedData!D56*$J$4+$M$4*$J$5+[12]FormattedData!D56^2*$J$6+$M$5*$J$7</f>
        <v>62.298342871664779</v>
      </c>
      <c r="L44" s="14">
        <f>$J$3+[12]FormattedData!E56*$J$4+$M$4*$J$5+[12]FormattedData!E56^2*$J$6+$M$5*$J$7</f>
        <v>62.298342871664779</v>
      </c>
      <c r="M44" s="14">
        <f>$J$3+[12]FormattedData!F56*$J$4+$M$4*$J$5+[12]FormattedData!F56^2*$J$6+$M$5*$J$7</f>
        <v>62.298342871664779</v>
      </c>
      <c r="N44" s="14">
        <f>$J$3+[12]FormattedData!G56*$J$4+$M$4*$J$5+[12]FormattedData!G56^2*$J$6+$M$5*$J$7</f>
        <v>62.216196229842232</v>
      </c>
      <c r="O44" s="14">
        <f>$J$3+[12]FormattedData!H56*$J$4+$M$4*$J$5+[12]FormattedData!H56^2*$J$6+$M$5*$J$7</f>
        <v>61.804828992660532</v>
      </c>
      <c r="P44" s="14">
        <f>$J$3+[12]FormattedData!I56*$J$4+$M$4*$J$5+[12]FormattedData!I56^2*$J$6+$M$5*$J$7</f>
        <v>61.969502693147007</v>
      </c>
      <c r="Q44" s="14">
        <f>$J$3+[12]FormattedData!J56*$J$4+$M$4*$J$5+[12]FormattedData!J56^2*$J$6+$M$5*$J$7</f>
        <v>62.216196229842232</v>
      </c>
      <c r="R44" s="14">
        <f>$J$3+[12]FormattedData!K56*$J$4+$M$4*$J$5+[12]FormattedData!K56^2*$J$6+$M$5*$J$7</f>
        <v>62.051776140583357</v>
      </c>
      <c r="S44" s="14">
        <f>$J$3+[12]FormattedData!L56*$J$4+$M$4*$J$5+[12]FormattedData!L56^2*$J$6+$M$5*$J$7</f>
        <v>62.380447244949394</v>
      </c>
      <c r="T44" s="14">
        <f>$J$3+[12]FormattedData!M56*$J$4+$M$4*$J$5+[12]FormattedData!M56^2*$J$6+$M$5*$J$7</f>
        <v>62.380447244949394</v>
      </c>
      <c r="U44" s="14">
        <f>$J$3+[12]FormattedData!N56*$J$4+$M$4*$J$5+[12]FormattedData!N56^2*$J$6+$M$5*$J$7</f>
        <v>62.380447244949394</v>
      </c>
      <c r="V44" s="14">
        <f>$J$3+[12]FormattedData!O56*$J$4+$M$4*$J$5+[12]FormattedData!O56^2*$J$6+$M$5*$J$7</f>
        <v>62.544529185904842</v>
      </c>
      <c r="W44" s="16">
        <f t="shared" si="9"/>
        <v>62.236616651818565</v>
      </c>
      <c r="X44" s="15">
        <f t="shared" si="10"/>
        <v>5.9102676273652739E-2</v>
      </c>
      <c r="Y44" s="14">
        <f t="shared" si="11"/>
        <v>61.804828992660532</v>
      </c>
      <c r="Z44" s="13">
        <f t="shared" si="12"/>
        <v>62.175091207527515</v>
      </c>
      <c r="AA44" s="14">
        <f t="shared" si="13"/>
        <v>62.298342871664779</v>
      </c>
      <c r="AB44" s="13">
        <f t="shared" si="14"/>
        <v>62.380447244949394</v>
      </c>
      <c r="AC44" s="13">
        <f t="shared" si="15"/>
        <v>62.544529185904842</v>
      </c>
      <c r="AD44" s="13">
        <f t="shared" si="16"/>
        <v>-0.85253726912594396</v>
      </c>
      <c r="AE44" s="13">
        <f t="shared" si="17"/>
        <v>0.57041439827316154</v>
      </c>
    </row>
    <row r="45" spans="2:31" x14ac:dyDescent="0.2">
      <c r="B45" s="1">
        <f>[12]FormattedData!A54</f>
        <v>904</v>
      </c>
      <c r="C45" s="1" t="str">
        <f>VLOOKUP($B45,[12]TrtCodes!$B$11:I97,2)</f>
        <v>Early</v>
      </c>
      <c r="D45" s="1">
        <f>VLOOKUP($B45,[12]TrtCodes!$B$11:J97,3)</f>
        <v>21</v>
      </c>
      <c r="E45" s="1">
        <f>VLOOKUP($B45,[12]TrtCodes!$B$11:K97,4)</f>
        <v>3</v>
      </c>
      <c r="F45" s="1">
        <f>VLOOKUP($B45,[12]TrtCodes!$B$11:L97,5)</f>
        <v>2</v>
      </c>
      <c r="G45" s="1">
        <f>VLOOKUP($B45,[12]TrtCodes!$B$11:M97,6)</f>
        <v>2</v>
      </c>
      <c r="H45" s="1">
        <f>VLOOKUP($B45,[12]TrtCodes!$B$11:N97,7)</f>
        <v>1</v>
      </c>
      <c r="I45" s="1">
        <f>[12]FormattedData!B54</f>
        <v>1</v>
      </c>
      <c r="J45" s="4">
        <f>[12]FormattedData!C54</f>
        <v>13.433999999999999</v>
      </c>
      <c r="K45" s="6">
        <f>$J$3+[12]FormattedData!D54*$J$4+$M$4*$J$5+[12]FormattedData!D54^2*$J$6+$M$5*$J$7</f>
        <v>61.061705047843802</v>
      </c>
      <c r="L45" s="6">
        <f>$J$3+[12]FormattedData!E54*$J$4+$M$4*$J$5+[12]FormattedData!E54^2*$J$6+$M$5*$J$7</f>
        <v>47.726226214450875</v>
      </c>
      <c r="M45" s="6">
        <f>$J$3+[12]FormattedData!F54*$J$4+$M$4*$J$5+[12]FormattedData!F54^2*$J$6+$M$5*$J$7</f>
        <v>48.083132702154927</v>
      </c>
      <c r="N45" s="6">
        <f>$J$3+[12]FormattedData!G54*$J$4+$M$4*$J$5+[12]FormattedData!G54^2*$J$6+$M$5*$J$7</f>
        <v>50.8262273000337</v>
      </c>
      <c r="O45" s="6">
        <f>$J$3+[12]FormattedData!H54*$J$4+$M$4*$J$5+[12]FormattedData!H54^2*$J$6+$M$5*$J$7</f>
        <v>50.210369399634388</v>
      </c>
      <c r="P45" s="6">
        <f>$J$3+[12]FormattedData!I54*$J$4+$M$4*$J$5+[12]FormattedData!I54^2*$J$6+$M$5*$J$7</f>
        <v>57.801937935467755</v>
      </c>
      <c r="Q45" s="6">
        <f>$J$3+[12]FormattedData!J54*$J$4+$M$4*$J$5+[12]FormattedData!J54^2*$J$6+$M$5*$J$7</f>
        <v>43.390597226664163</v>
      </c>
      <c r="R45" s="6">
        <f>$J$3+[12]FormattedData!K54*$J$4+$M$4*$J$5+[12]FormattedData!K54^2*$J$6+$M$5*$J$7</f>
        <v>60.89610143952283</v>
      </c>
      <c r="S45" s="6">
        <f>$J$3+[12]FormattedData!L54*$J$4+$M$4*$J$5+[12]FormattedData!L54^2*$J$6+$M$5*$J$7</f>
        <v>44.210945790281087</v>
      </c>
      <c r="T45" s="6">
        <f>$J$3+[12]FormattedData!M54*$J$4+$M$4*$J$5+[12]FormattedData!M54^2*$J$6+$M$5*$J$7</f>
        <v>57.21004629607539</v>
      </c>
      <c r="U45" s="6">
        <f>$J$3+[12]FormattedData!N54*$J$4+$M$4*$J$5+[12]FormattedData!N54^2*$J$6+$M$5*$J$7</f>
        <v>47.100012522258424</v>
      </c>
      <c r="V45" s="6">
        <f>$J$3+[12]FormattedData!O54*$J$4+$M$4*$J$5+[12]FormattedData!O54^2*$J$6+$M$5*$J$7</f>
        <v>56.445999424982759</v>
      </c>
      <c r="W45" s="5">
        <f t="shared" si="9"/>
        <v>52.080275108280851</v>
      </c>
      <c r="X45" s="4">
        <f t="shared" si="10"/>
        <v>1.823126555836907</v>
      </c>
      <c r="Y45" s="3">
        <f t="shared" si="11"/>
        <v>43.390597226664163</v>
      </c>
      <c r="Z45" s="2">
        <f t="shared" si="12"/>
        <v>47.569672791402766</v>
      </c>
      <c r="AA45" s="3">
        <f t="shared" si="13"/>
        <v>50.518298349834041</v>
      </c>
      <c r="AB45" s="2">
        <f t="shared" si="14"/>
        <v>57.358019205923483</v>
      </c>
      <c r="AC45" s="2">
        <f t="shared" si="15"/>
        <v>61.061705047843802</v>
      </c>
      <c r="AD45" s="2">
        <f t="shared" si="16"/>
        <v>0.17030300948727542</v>
      </c>
      <c r="AE45" s="2">
        <f t="shared" si="17"/>
        <v>-1.5118914243710875</v>
      </c>
    </row>
    <row r="46" spans="2:31" x14ac:dyDescent="0.2">
      <c r="B46" s="17">
        <f>[12]FormattedData!A52</f>
        <v>905</v>
      </c>
      <c r="C46" s="17" t="str">
        <f>VLOOKUP($B46,[12]TrtCodes!$B$11:I95,2)</f>
        <v>WS</v>
      </c>
      <c r="D46" s="17">
        <f>VLOOKUP($B46,[12]TrtCodes!$B$11:J95,3)</f>
        <v>32</v>
      </c>
      <c r="E46" s="17">
        <f>VLOOKUP($B46,[12]TrtCodes!$B$11:K95,4)</f>
        <v>9</v>
      </c>
      <c r="F46" s="17">
        <f>VLOOKUP($B46,[12]TrtCodes!$B$11:L95,5)</f>
        <v>0</v>
      </c>
      <c r="G46" s="17">
        <f>VLOOKUP($B46,[12]TrtCodes!$B$11:M95,6)</f>
        <v>1</v>
      </c>
      <c r="H46" s="17">
        <f>VLOOKUP($B46,[12]TrtCodes!$B$11:N95,7)</f>
        <v>2</v>
      </c>
      <c r="I46" s="17">
        <f>[12]FormattedData!B52</f>
        <v>1</v>
      </c>
      <c r="J46" s="15">
        <f>[12]FormattedData!C52</f>
        <v>13.426</v>
      </c>
      <c r="K46" s="14">
        <f>$J$3+[12]FormattedData!D52*$J$4+$M$4*$J$5+[12]FormattedData!D52^2*$J$6+$M$5*$J$7</f>
        <v>35.189009151408584</v>
      </c>
      <c r="L46" s="14">
        <f>$J$3+[12]FormattedData!E52*$J$4+$M$4*$J$5+[12]FormattedData!E52^2*$J$6+$M$5*$J$7</f>
        <v>35.093928336979104</v>
      </c>
      <c r="M46" s="14">
        <f>$J$3+[12]FormattedData!F52*$J$4+$M$4*$J$5+[12]FormattedData!F52^2*$J$6+$M$5*$J$7</f>
        <v>34.808432282463087</v>
      </c>
      <c r="N46" s="14">
        <f>$J$3+[12]FormattedData!G52*$J$4+$M$4*$J$5+[12]FormattedData!G52^2*$J$6+$M$5*$J$7</f>
        <v>34.998805254011707</v>
      </c>
      <c r="O46" s="14">
        <f>$J$3+[12]FormattedData!H52*$J$4+$M$4*$J$5+[12]FormattedData!H52^2*$J$6+$M$5*$J$7</f>
        <v>35.189009151408584</v>
      </c>
      <c r="P46" s="14">
        <f>$J$3+[12]FormattedData!I52*$J$4+$M$4*$J$5+[12]FormattedData!I52^2*$J$6+$M$5*$J$7</f>
        <v>36.515702356938476</v>
      </c>
      <c r="Q46" s="14">
        <f>$J$3+[12]FormattedData!J52*$J$4+$M$4*$J$5+[12]FormattedData!J52^2*$J$6+$M$5*$J$7</f>
        <v>38.396607061941751</v>
      </c>
      <c r="R46" s="14">
        <f>$J$3+[12]FormattedData!K52*$J$4+$M$4*$J$5+[12]FormattedData!K52^2*$J$6+$M$5*$J$7</f>
        <v>35.853391333352846</v>
      </c>
      <c r="S46" s="14">
        <f>$J$3+[12]FormattedData!L52*$J$4+$M$4*$J$5+[12]FormattedData!L52^2*$J$6+$M$5*$J$7</f>
        <v>36.232108386629371</v>
      </c>
      <c r="T46" s="14">
        <f>$J$3+[12]FormattedData!M52*$J$4+$M$4*$J$5+[12]FormattedData!M52^2*$J$6+$M$5*$J$7</f>
        <v>36.042834397066969</v>
      </c>
      <c r="U46" s="14">
        <f>$J$3+[12]FormattedData!N52*$J$4+$M$4*$J$5+[12]FormattedData!N52^2*$J$6+$M$5*$J$7</f>
        <v>35.948133999478877</v>
      </c>
      <c r="V46" s="14">
        <f>$J$3+[12]FormattedData!O52*$J$4+$M$4*$J$5+[12]FormattedData!O52^2*$J$6+$M$5*$J$7</f>
        <v>35.663779195486995</v>
      </c>
      <c r="W46" s="16">
        <f t="shared" si="9"/>
        <v>35.827645075597196</v>
      </c>
      <c r="X46" s="15">
        <f t="shared" si="10"/>
        <v>0.28075574562184713</v>
      </c>
      <c r="Y46" s="14">
        <f t="shared" si="11"/>
        <v>34.808432282463087</v>
      </c>
      <c r="Z46" s="13">
        <f t="shared" si="12"/>
        <v>35.165238947801214</v>
      </c>
      <c r="AA46" s="14">
        <f t="shared" si="13"/>
        <v>35.758585264419921</v>
      </c>
      <c r="AB46" s="13">
        <f t="shared" si="14"/>
        <v>36.090152894457567</v>
      </c>
      <c r="AC46" s="13">
        <f t="shared" si="15"/>
        <v>38.396607061941751</v>
      </c>
      <c r="AD46" s="13">
        <f t="shared" si="16"/>
        <v>1.7561523408200415</v>
      </c>
      <c r="AE46" s="13">
        <f t="shared" si="17"/>
        <v>4.0650431413449422</v>
      </c>
    </row>
    <row r="47" spans="2:31" x14ac:dyDescent="0.2">
      <c r="B47" s="1">
        <f>[12]FormattedData!A50</f>
        <v>906</v>
      </c>
      <c r="C47" s="1" t="str">
        <f>VLOOKUP($B47,[12]TrtCodes!$B$11:I93,2)</f>
        <v>Late</v>
      </c>
      <c r="D47" s="1">
        <f>VLOOKUP($B47,[12]TrtCodes!$B$11:J93,3)</f>
        <v>22</v>
      </c>
      <c r="E47" s="1">
        <f>VLOOKUP($B47,[12]TrtCodes!$B$11:K93,4)</f>
        <v>4</v>
      </c>
      <c r="F47" s="1">
        <f>VLOOKUP($B47,[12]TrtCodes!$B$11:L93,5)</f>
        <v>2</v>
      </c>
      <c r="G47" s="1">
        <f>VLOOKUP($B47,[12]TrtCodes!$B$11:M93,6)</f>
        <v>2</v>
      </c>
      <c r="H47" s="1">
        <f>VLOOKUP($B47,[12]TrtCodes!$B$11:N93,7)</f>
        <v>2</v>
      </c>
      <c r="I47" s="1">
        <f>[12]FormattedData!B50</f>
        <v>1</v>
      </c>
      <c r="J47" s="4">
        <f>[12]FormattedData!C50</f>
        <v>13.409000000000001</v>
      </c>
      <c r="K47" s="6">
        <f>$J$3+[12]FormattedData!D50*$J$4+$M$4*$J$5+[12]FormattedData!D50^2*$J$6+$M$5*$J$7</f>
        <v>53.874449426650891</v>
      </c>
      <c r="L47" s="6">
        <f>$J$3+[12]FormattedData!E50*$J$4+$M$4*$J$5+[12]FormattedData!E50^2*$J$6+$M$5*$J$7</f>
        <v>37.834110929033884</v>
      </c>
      <c r="M47" s="6">
        <f>$J$3+[12]FormattedData!F50*$J$4+$M$4*$J$5+[12]FormattedData!F50^2*$J$6+$M$5*$J$7</f>
        <v>43.664427164711185</v>
      </c>
      <c r="N47" s="6">
        <f>$J$3+[12]FormattedData!G50*$J$4+$M$4*$J$5+[12]FormattedData!G50^2*$J$6+$M$5*$J$7</f>
        <v>45.751151730230269</v>
      </c>
      <c r="O47" s="6">
        <f>$J$3+[12]FormattedData!H50*$J$4+$M$4*$J$5+[12]FormattedData!H50^2*$J$6+$M$5*$J$7</f>
        <v>35.663779195486995</v>
      </c>
      <c r="P47" s="6">
        <f>$J$3+[12]FormattedData!I50*$J$4+$M$4*$J$5+[12]FormattedData!I50^2*$J$6+$M$5*$J$7</f>
        <v>54.305682876660228</v>
      </c>
      <c r="Q47" s="6">
        <f>$J$3+[12]FormattedData!J50*$J$4+$M$4*$J$5+[12]FormattedData!J50^2*$J$6+$M$5*$J$7</f>
        <v>34.998805254011707</v>
      </c>
      <c r="R47" s="6">
        <f>$J$3+[12]FormattedData!K50*$J$4+$M$4*$J$5+[12]FormattedData!K50^2*$J$6+$M$5*$J$7</f>
        <v>54.047069612268416</v>
      </c>
      <c r="S47" s="6">
        <f>$J$3+[12]FormattedData!L50*$J$4+$M$4*$J$5+[12]FormattedData!L50^2*$J$6+$M$5*$J$7</f>
        <v>39.610128518807649</v>
      </c>
      <c r="T47" s="6">
        <f>$J$3+[12]FormattedData!M50*$J$4+$M$4*$J$5+[12]FormattedData!M50^2*$J$6+$M$5*$J$7</f>
        <v>52.487401272248562</v>
      </c>
      <c r="U47" s="6">
        <f>$J$3+[12]FormattedData!N50*$J$4+$M$4*$J$5+[12]FormattedData!N50^2*$J$6+$M$5*$J$7</f>
        <v>47.010384349222079</v>
      </c>
      <c r="V47" s="6">
        <f>$J$3+[12]FormattedData!O50*$J$4+$M$4*$J$5+[12]FormattedData!O50^2*$J$6+$M$5*$J$7</f>
        <v>37.364201766817551</v>
      </c>
      <c r="W47" s="5">
        <f t="shared" si="9"/>
        <v>44.717632674679116</v>
      </c>
      <c r="X47" s="4">
        <f t="shared" si="10"/>
        <v>2.192601362087637</v>
      </c>
      <c r="Y47" s="3">
        <f t="shared" si="11"/>
        <v>34.998805254011707</v>
      </c>
      <c r="Z47" s="2">
        <f t="shared" si="12"/>
        <v>37.716633638479799</v>
      </c>
      <c r="AA47" s="3">
        <f t="shared" si="13"/>
        <v>44.707789447470731</v>
      </c>
      <c r="AB47" s="2">
        <f t="shared" si="14"/>
        <v>52.834163310849142</v>
      </c>
      <c r="AC47" s="2">
        <f t="shared" si="15"/>
        <v>54.305682876660228</v>
      </c>
      <c r="AD47" s="2">
        <f t="shared" si="16"/>
        <v>0.10583252062448668</v>
      </c>
      <c r="AE47" s="2">
        <f t="shared" si="17"/>
        <v>-1.7501600377450579</v>
      </c>
    </row>
    <row r="48" spans="2:31" x14ac:dyDescent="0.2">
      <c r="B48" s="17">
        <f>[12]FormattedData!A48</f>
        <v>907</v>
      </c>
      <c r="C48" s="17" t="str">
        <f>VLOOKUP($B48,[12]TrtCodes!$B$11:I91,2)</f>
        <v>DS</v>
      </c>
      <c r="D48" s="17">
        <f>VLOOKUP($B48,[12]TrtCodes!$B$11:J91,3)</f>
        <v>31</v>
      </c>
      <c r="E48" s="17">
        <f>VLOOKUP($B48,[12]TrtCodes!$B$11:K91,4)</f>
        <v>8</v>
      </c>
      <c r="F48" s="17">
        <f>VLOOKUP($B48,[12]TrtCodes!$B$11:L91,5)</f>
        <v>0</v>
      </c>
      <c r="G48" s="17">
        <f>VLOOKUP($B48,[12]TrtCodes!$B$11:M91,6)</f>
        <v>1</v>
      </c>
      <c r="H48" s="17">
        <f>VLOOKUP($B48,[12]TrtCodes!$B$11:N91,7)</f>
        <v>2</v>
      </c>
      <c r="I48" s="17">
        <f>[12]FormattedData!B48</f>
        <v>1</v>
      </c>
      <c r="J48" s="15">
        <f>[12]FormattedData!C48</f>
        <v>13.4</v>
      </c>
      <c r="K48" s="14">
        <f>$J$3+[12]FormattedData!D48*$J$4+$M$4*$J$5+[12]FormattedData!D48^2*$J$6+$M$5*$J$7</f>
        <v>62.544529185904842</v>
      </c>
      <c r="L48" s="14">
        <f>$J$3+[12]FormattedData!E48*$J$4+$M$4*$J$5+[12]FormattedData!E48^2*$J$6+$M$5*$J$7</f>
        <v>62.298342871664779</v>
      </c>
      <c r="M48" s="14">
        <f>$J$3+[12]FormattedData!F48*$J$4+$M$4*$J$5+[12]FormattedData!F48^2*$J$6+$M$5*$J$7</f>
        <v>62.544529185904842</v>
      </c>
      <c r="N48" s="14">
        <f>$J$3+[12]FormattedData!G48*$J$4+$M$4*$J$5+[12]FormattedData!G48^2*$J$6+$M$5*$J$7</f>
        <v>62.462509349696091</v>
      </c>
      <c r="O48" s="14">
        <f>$J$3+[12]FormattedData!H48*$J$4+$M$4*$J$5+[12]FormattedData!H48^2*$J$6+$M$5*$J$7</f>
        <v>62.626506753575661</v>
      </c>
      <c r="P48" s="14">
        <f>$J$3+[12]FormattedData!I48*$J$4+$M$4*$J$5+[12]FormattedData!I48^2*$J$6+$M$5*$J$7</f>
        <v>62.216196229842232</v>
      </c>
      <c r="Q48" s="14">
        <f>$J$3+[12]FormattedData!J48*$J$4+$M$4*$J$5+[12]FormattedData!J48^2*$J$6+$M$5*$J$7</f>
        <v>62.462509349696091</v>
      </c>
      <c r="R48" s="14">
        <f>$J$3+[12]FormattedData!K48*$J$4+$M$4*$J$5+[12]FormattedData!K48^2*$J$6+$M$5*$J$7</f>
        <v>61.557501427896334</v>
      </c>
      <c r="S48" s="14">
        <f>$J$3+[12]FormattedData!L48*$J$4+$M$4*$J$5+[12]FormattedData!L48^2*$J$6+$M$5*$J$7</f>
        <v>62.051776140583357</v>
      </c>
      <c r="T48" s="14">
        <f>$J$3+[12]FormattedData!M48*$J$4+$M$4*$J$5+[12]FormattedData!M48^2*$J$6+$M$5*$J$7</f>
        <v>62.626506753575661</v>
      </c>
      <c r="U48" s="14">
        <f>$J$3+[12]FormattedData!N48*$J$4+$M$4*$J$5+[12]FormattedData!N48^2*$J$6+$M$5*$J$7</f>
        <v>62.626506753575661</v>
      </c>
      <c r="V48" s="14">
        <f>$J$3+[12]FormattedData!O48*$J$4+$M$4*$J$5+[12]FormattedData!O48^2*$J$6+$M$5*$J$7</f>
        <v>62.872185845360548</v>
      </c>
      <c r="W48" s="16">
        <f t="shared" si="9"/>
        <v>62.407466653939672</v>
      </c>
      <c r="X48" s="15">
        <f t="shared" si="10"/>
        <v>9.9276942623376094E-2</v>
      </c>
      <c r="Y48" s="14">
        <f t="shared" si="11"/>
        <v>61.557501427896334</v>
      </c>
      <c r="Z48" s="13">
        <f t="shared" si="12"/>
        <v>62.277806211209139</v>
      </c>
      <c r="AA48" s="14">
        <f t="shared" si="13"/>
        <v>62.503519267800471</v>
      </c>
      <c r="AB48" s="13">
        <f t="shared" si="14"/>
        <v>62.626506753575661</v>
      </c>
      <c r="AC48" s="13">
        <f t="shared" si="15"/>
        <v>62.872185845360548</v>
      </c>
      <c r="AD48" s="13">
        <f t="shared" si="16"/>
        <v>-1.4214305775426994</v>
      </c>
      <c r="AE48" s="13">
        <f t="shared" si="17"/>
        <v>2.654479185790831</v>
      </c>
    </row>
    <row r="49" spans="2:31" ht="13.5" thickBot="1" x14ac:dyDescent="0.25">
      <c r="B49" s="12">
        <f>[12]FormattedData!A46</f>
        <v>908</v>
      </c>
      <c r="C49" s="12" t="str">
        <f>VLOOKUP($B49,[12]TrtCodes!$B$11:I89,2)</f>
        <v>Early</v>
      </c>
      <c r="D49" s="12">
        <f>VLOOKUP($B49,[12]TrtCodes!$B$11:J89,3)</f>
        <v>21</v>
      </c>
      <c r="E49" s="12">
        <f>VLOOKUP($B49,[12]TrtCodes!$B$11:K89,4)</f>
        <v>3</v>
      </c>
      <c r="F49" s="12">
        <f>VLOOKUP($B49,[12]TrtCodes!$B$11:L89,5)</f>
        <v>2</v>
      </c>
      <c r="G49" s="12">
        <f>VLOOKUP($B49,[12]TrtCodes!$B$11:M89,6)</f>
        <v>2</v>
      </c>
      <c r="H49" s="12">
        <f>VLOOKUP($B49,[12]TrtCodes!$B$11:N89,7)</f>
        <v>2</v>
      </c>
      <c r="I49" s="12">
        <f>[12]FormattedData!B46</f>
        <v>1</v>
      </c>
      <c r="J49" s="9">
        <f>[12]FormattedData!C46</f>
        <v>13.382999999999999</v>
      </c>
      <c r="K49" s="11">
        <f>$J$3+[12]FormattedData!D46*$J$4+$M$4*$J$5+[12]FormattedData!D46^2*$J$6+$M$5*$J$7</f>
        <v>59.815556802988311</v>
      </c>
      <c r="L49" s="11">
        <f>$J$3+[12]FormattedData!E46*$J$4+$M$4*$J$5+[12]FormattedData!E46^2*$J$6+$M$5*$J$7</f>
        <v>49.59244034087645</v>
      </c>
      <c r="M49" s="11">
        <f>$J$3+[12]FormattedData!F46*$J$4+$M$4*$J$5+[12]FormattedData!F46^2*$J$6+$M$5*$J$7</f>
        <v>50.738374405590449</v>
      </c>
      <c r="N49" s="11">
        <f>$J$3+[12]FormattedData!G46*$J$4+$M$4*$J$5+[12]FormattedData!G46^2*$J$6+$M$5*$J$7</f>
        <v>54.305682876660228</v>
      </c>
      <c r="O49" s="11">
        <f>$J$3+[12]FormattedData!H46*$J$4+$M$4*$J$5+[12]FormattedData!H46^2*$J$6+$M$5*$J$7</f>
        <v>50.034029582678926</v>
      </c>
      <c r="P49" s="11">
        <f>$J$3+[12]FormattedData!I46*$J$4+$M$4*$J$5+[12]FormattedData!I46^2*$J$6+$M$5*$J$7</f>
        <v>56.360893985505022</v>
      </c>
      <c r="Q49" s="11">
        <f>$J$3+[12]FormattedData!J46*$J$4+$M$4*$J$5+[12]FormattedData!J46^2*$J$6+$M$5*$J$7</f>
        <v>54.9076344280802</v>
      </c>
      <c r="R49" s="11">
        <f>$J$3+[12]FormattedData!K46*$J$4+$M$4*$J$5+[12]FormattedData!K46^2*$J$6+$M$5*$J$7</f>
        <v>50.386540142438136</v>
      </c>
      <c r="S49" s="11">
        <f>$J$3+[12]FormattedData!L46*$J$4+$M$4*$J$5+[12]FormattedData!L46^2*$J$6+$M$5*$J$7</f>
        <v>44.48363447780396</v>
      </c>
      <c r="T49" s="11">
        <f>$J$3+[12]FormattedData!M46*$J$4+$M$4*$J$5+[12]FormattedData!M46^2*$J$6+$M$5*$J$7</f>
        <v>58.054971752852651</v>
      </c>
      <c r="U49" s="11">
        <f>$J$3+[12]FormattedData!N46*$J$4+$M$4*$J$5+[12]FormattedData!N46^2*$J$6+$M$5*$J$7</f>
        <v>53.355574424887948</v>
      </c>
      <c r="V49" s="11">
        <f>$J$3+[12]FormattedData!O46*$J$4+$M$4*$J$5+[12]FormattedData!O46^2*$J$6+$M$5*$J$7</f>
        <v>49.503995686902165</v>
      </c>
      <c r="W49" s="10">
        <f t="shared" si="9"/>
        <v>52.628277408938693</v>
      </c>
      <c r="X49" s="9">
        <f t="shared" si="10"/>
        <v>1.2438224142086893</v>
      </c>
      <c r="Y49" s="8">
        <f t="shared" si="11"/>
        <v>44.48363447780396</v>
      </c>
      <c r="Z49" s="7">
        <f t="shared" si="12"/>
        <v>49.923632272228303</v>
      </c>
      <c r="AA49" s="8">
        <f t="shared" si="13"/>
        <v>52.046974415239198</v>
      </c>
      <c r="AB49" s="7">
        <f t="shared" si="14"/>
        <v>55.270949317436404</v>
      </c>
      <c r="AC49" s="7">
        <f t="shared" si="15"/>
        <v>59.815556802988311</v>
      </c>
      <c r="AD49" s="7">
        <f t="shared" si="16"/>
        <v>-4.6630954372072306E-2</v>
      </c>
      <c r="AE49" s="7">
        <f t="shared" si="17"/>
        <v>-0.17976469180308863</v>
      </c>
    </row>
    <row r="50" spans="2:31" ht="13.5" thickTop="1" x14ac:dyDescent="0.2">
      <c r="B50" s="1">
        <f>[12]FormattedData!A29</f>
        <v>101</v>
      </c>
      <c r="C50" s="1" t="str">
        <f>VLOOKUP($B50,[12]TrtCodes!$B$11:I72,2)</f>
        <v>FSH</v>
      </c>
      <c r="D50" s="1">
        <f>VLOOKUP($B50,[12]TrtCodes!$B$11:J72,3)</f>
        <v>1</v>
      </c>
      <c r="E50" s="1">
        <f>VLOOKUP($B50,[12]TrtCodes!$B$11:K72,4)</f>
        <v>1</v>
      </c>
      <c r="F50" s="1">
        <f>VLOOKUP($B50,[12]TrtCodes!$B$11:L72,5)</f>
        <v>1</v>
      </c>
      <c r="G50" s="1">
        <f>VLOOKUP($B50,[12]TrtCodes!$B$11:M72,6)</f>
        <v>2</v>
      </c>
      <c r="H50" s="1">
        <f>VLOOKUP($B50,[12]TrtCodes!$B$11:N72,7)</f>
        <v>1</v>
      </c>
      <c r="I50" s="1">
        <f>[12]FormattedData!B29</f>
        <v>2</v>
      </c>
      <c r="J50" s="4">
        <f>[12]FormattedData!C29</f>
        <v>13.227</v>
      </c>
      <c r="K50" s="6">
        <f>$J$3+[12]FormattedData!D29*$J$4+$M$4*$J$5+[12]FormattedData!D29^2*$J$6+$M$5*$J$7</f>
        <v>31.256035558696517</v>
      </c>
      <c r="L50" s="6">
        <f>$J$3+[12]FormattedData!E29*$J$4+$M$4*$J$5+[12]FormattedData!E29^2*$J$6+$M$5*$J$7</f>
        <v>32.125457894851493</v>
      </c>
      <c r="M50" s="6">
        <f>$J$3+[12]FormattedData!F29*$J$4+$M$4*$J$5+[12]FormattedData!F29^2*$J$6+$M$5*$J$7</f>
        <v>31.352807114643234</v>
      </c>
      <c r="N50" s="6">
        <f>$J$3+[12]FormattedData!G29*$J$4+$M$4*$J$5+[12]FormattedData!G29^2*$J$6+$M$5*$J$7</f>
        <v>31.546223420922889</v>
      </c>
      <c r="O50" s="6">
        <f>$J$3+[12]FormattedData!H29*$J$4+$M$4*$J$5+[12]FormattedData!H29^2*$J$6+$M$5*$J$7</f>
        <v>30.577451148007391</v>
      </c>
      <c r="P50" s="6">
        <f>$J$3+[12]FormattedData!I29*$J$4+$M$4*$J$5+[12]FormattedData!I29^2*$J$6+$M$5*$J$7</f>
        <v>30.868526649530317</v>
      </c>
      <c r="Q50" s="6">
        <f>$J$3+[12]FormattedData!J29*$J$4+$M$4*$J$5+[12]FormattedData!J29^2*$J$6+$M$5*$J$7</f>
        <v>31.739470653050816</v>
      </c>
      <c r="R50" s="6">
        <f>$J$3+[12]FormattedData!K29*$J$4+$M$4*$J$5+[12]FormattedData!K29^2*$J$6+$M$5*$J$7</f>
        <v>30.77154375089394</v>
      </c>
      <c r="S50" s="6">
        <f>$J$3+[12]FormattedData!L29*$J$4+$M$4*$J$5+[12]FormattedData!L29^2*$J$6+$M$5*$J$7</f>
        <v>32.991456479434049</v>
      </c>
      <c r="T50" s="6">
        <f>$J$3+[12]FormattedData!M29*$J$4+$M$4*$J$5+[12]FormattedData!M29^2*$J$6+$M$5*$J$7</f>
        <v>31.546223420922889</v>
      </c>
      <c r="U50" s="6">
        <f>$J$3+[12]FormattedData!N29*$J$4+$M$4*$J$5+[12]FormattedData!N29^2*$J$6+$M$5*$J$7</f>
        <v>33.758358738483672</v>
      </c>
      <c r="V50" s="6">
        <f>$J$3+[12]FormattedData!O29*$J$4+$M$4*$J$5+[12]FormattedData!O29^2*$J$6+$M$5*$J$7</f>
        <v>32.895403488632155</v>
      </c>
      <c r="W50" s="5">
        <f t="shared" si="9"/>
        <v>31.785746526505779</v>
      </c>
      <c r="X50" s="4">
        <f t="shared" si="10"/>
        <v>0.28346435626142774</v>
      </c>
      <c r="Y50" s="3">
        <f t="shared" si="11"/>
        <v>30.577451148007391</v>
      </c>
      <c r="Z50" s="2">
        <f t="shared" si="12"/>
        <v>31.159158331404967</v>
      </c>
      <c r="AA50" s="3">
        <f t="shared" si="13"/>
        <v>31.546223420922889</v>
      </c>
      <c r="AB50" s="2">
        <f t="shared" si="14"/>
        <v>32.317944293296662</v>
      </c>
      <c r="AC50" s="2">
        <f t="shared" si="15"/>
        <v>33.758358738483672</v>
      </c>
      <c r="AD50" s="2">
        <f t="shared" si="16"/>
        <v>0.80628161026014422</v>
      </c>
      <c r="AE50" s="2">
        <f t="shared" si="17"/>
        <v>-0.16870578273435255</v>
      </c>
    </row>
    <row r="51" spans="2:31" x14ac:dyDescent="0.2">
      <c r="B51" s="1">
        <f>[12]FormattedData!A27</f>
        <v>102</v>
      </c>
      <c r="C51" s="1" t="str">
        <f>VLOOKUP($B51,[12]TrtCodes!$B$11:I70,2)</f>
        <v>FTL</v>
      </c>
      <c r="D51" s="1">
        <f>VLOOKUP($B51,[12]TrtCodes!$B$11:J70,3)</f>
        <v>4</v>
      </c>
      <c r="E51" s="1">
        <f>VLOOKUP($B51,[12]TrtCodes!$B$11:K70,4)</f>
        <v>1</v>
      </c>
      <c r="F51" s="1">
        <f>VLOOKUP($B51,[12]TrtCodes!$B$11:L70,5)</f>
        <v>2</v>
      </c>
      <c r="G51" s="1">
        <f>VLOOKUP($B51,[12]TrtCodes!$B$11:M70,6)</f>
        <v>1</v>
      </c>
      <c r="H51" s="1">
        <f>VLOOKUP($B51,[12]TrtCodes!$B$11:N70,7)</f>
        <v>1</v>
      </c>
      <c r="I51" s="1">
        <f>[12]FormattedData!B27</f>
        <v>2</v>
      </c>
      <c r="J51" s="4">
        <f>[12]FormattedData!C27</f>
        <v>13.208</v>
      </c>
      <c r="K51" s="6">
        <f>$J$3+[12]FormattedData!D27*$J$4+$M$4*$J$5+[12]FormattedData!D27^2*$J$6+$M$5*$J$7</f>
        <v>30.091479941377226</v>
      </c>
      <c r="L51" s="6">
        <f>$J$3+[12]FormattedData!E27*$J$4+$M$4*$J$5+[12]FormattedData!E27^2*$J$6+$M$5*$J$7</f>
        <v>29.994158894437405</v>
      </c>
      <c r="M51" s="6">
        <f>$J$3+[12]FormattedData!F27*$J$4+$M$4*$J$5+[12]FormattedData!F27^2*$J$6+$M$5*$J$7</f>
        <v>30.868526649530317</v>
      </c>
      <c r="N51" s="6">
        <f>$J$3+[12]FormattedData!G27*$J$4+$M$4*$J$5+[12]FormattedData!G27^2*$J$6+$M$5*$J$7</f>
        <v>33.087467201698011</v>
      </c>
      <c r="O51" s="6">
        <f>$J$3+[12]FormattedData!H27*$J$4+$M$4*$J$5+[12]FormattedData!H27^2*$J$6+$M$5*$J$7</f>
        <v>29.409344973501884</v>
      </c>
      <c r="P51" s="6">
        <f>$J$3+[12]FormattedData!I27*$J$4+$M$4*$J$5+[12]FormattedData!I27^2*$J$6+$M$5*$J$7</f>
        <v>32.029024487208225</v>
      </c>
      <c r="Q51" s="6">
        <f>$J$3+[12]FormattedData!J27*$J$4+$M$4*$J$5+[12]FormattedData!J27^2*$J$6+$M$5*$J$7</f>
        <v>29.89679557895964</v>
      </c>
      <c r="R51" s="6">
        <f>$J$3+[12]FormattedData!K27*$J$4+$M$4*$J$5+[12]FormattedData!K27^2*$J$6+$M$5*$J$7</f>
        <v>30.480341443757222</v>
      </c>
      <c r="S51" s="6">
        <f>$J$3+[12]FormattedData!L27*$J$4+$M$4*$J$5+[12]FormattedData!L27^2*$J$6+$M$5*$J$7</f>
        <v>31.449536402052033</v>
      </c>
      <c r="T51" s="6">
        <f>$J$3+[12]FormattedData!M27*$J$4+$M$4*$J$5+[12]FormattedData!M27^2*$J$6+$M$5*$J$7</f>
        <v>29.604452021298783</v>
      </c>
      <c r="U51" s="6">
        <f>$J$3+[12]FormattedData!N27*$J$4+$M$4*$J$5+[12]FormattedData!N27^2*$J$6+$M$5*$J$7</f>
        <v>29.799389994943954</v>
      </c>
      <c r="V51" s="6">
        <f>$J$3+[12]FormattedData!O27*$J$4+$M$4*$J$5+[12]FormattedData!O27^2*$J$6+$M$5*$J$7</f>
        <v>29.409344973501884</v>
      </c>
      <c r="W51" s="5">
        <f t="shared" si="9"/>
        <v>30.509988546855553</v>
      </c>
      <c r="X51" s="4">
        <f t="shared" si="10"/>
        <v>0.331754514590136</v>
      </c>
      <c r="Y51" s="3">
        <f t="shared" si="11"/>
        <v>29.409344973501884</v>
      </c>
      <c r="Z51" s="2">
        <f t="shared" si="12"/>
        <v>29.750655501532663</v>
      </c>
      <c r="AA51" s="3">
        <f t="shared" si="13"/>
        <v>30.042819417907317</v>
      </c>
      <c r="AB51" s="2">
        <f t="shared" si="14"/>
        <v>31.013779087660744</v>
      </c>
      <c r="AC51" s="2">
        <f t="shared" si="15"/>
        <v>33.087467201698011</v>
      </c>
      <c r="AD51" s="2">
        <f t="shared" si="16"/>
        <v>1.243019194462041</v>
      </c>
      <c r="AE51" s="2">
        <f t="shared" si="17"/>
        <v>0.87733392271928867</v>
      </c>
    </row>
    <row r="52" spans="2:31" x14ac:dyDescent="0.2">
      <c r="B52" s="1">
        <f>[12]FormattedData!A25</f>
        <v>103</v>
      </c>
      <c r="C52" s="1" t="str">
        <f>VLOOKUP($B52,[12]TrtCodes!$B$11:I68,2)</f>
        <v>FDH</v>
      </c>
      <c r="D52" s="1">
        <f>VLOOKUP($B52,[12]TrtCodes!$B$11:J68,3)</f>
        <v>5</v>
      </c>
      <c r="E52" s="1">
        <f>VLOOKUP($B52,[12]TrtCodes!$B$11:K68,4)</f>
        <v>1</v>
      </c>
      <c r="F52" s="1">
        <f>VLOOKUP($B52,[12]TrtCodes!$B$11:L68,5)</f>
        <v>3</v>
      </c>
      <c r="G52" s="1">
        <f>VLOOKUP($B52,[12]TrtCodes!$B$11:M68,6)</f>
        <v>2</v>
      </c>
      <c r="H52" s="1">
        <f>VLOOKUP($B52,[12]TrtCodes!$B$11:N68,7)</f>
        <v>1</v>
      </c>
      <c r="I52" s="1">
        <f>[12]FormattedData!B25</f>
        <v>2</v>
      </c>
      <c r="J52" s="4">
        <f>[12]FormattedData!C25</f>
        <v>13.191000000000001</v>
      </c>
      <c r="K52" s="6">
        <f>$J$3+[12]FormattedData!D25*$J$4+$M$4*$J$5+[12]FormattedData!D25^2*$J$6+$M$5*$J$7</f>
        <v>29.799389994943954</v>
      </c>
      <c r="L52" s="6">
        <f>$J$3+[12]FormattedData!E25*$J$4+$M$4*$J$5+[12]FormattedData!E25^2*$J$6+$M$5*$J$7</f>
        <v>29.994158894437405</v>
      </c>
      <c r="M52" s="6">
        <f>$J$3+[12]FormattedData!F25*$J$4+$M$4*$J$5+[12]FormattedData!F25^2*$J$6+$M$5*$J$7</f>
        <v>31.546223420922889</v>
      </c>
      <c r="N52" s="6">
        <f>$J$3+[12]FormattedData!G25*$J$4+$M$4*$J$5+[12]FormattedData!G25^2*$J$6+$M$5*$J$7</f>
        <v>28.823009385200848</v>
      </c>
      <c r="O52" s="6">
        <f>$J$3+[12]FormattedData!H25*$J$4+$M$4*$J$5+[12]FormattedData!H25^2*$J$6+$M$5*$J$7</f>
        <v>29.604452021298783</v>
      </c>
      <c r="P52" s="6">
        <f>$J$3+[12]FormattedData!I25*$J$4+$M$4*$J$5+[12]FormattedData!I25^2*$J$6+$M$5*$J$7</f>
        <v>29.409344973501884</v>
      </c>
      <c r="Q52" s="6">
        <f>$J$3+[12]FormattedData!J25*$J$4+$M$4*$J$5+[12]FormattedData!J25^2*$J$6+$M$5*$J$7</f>
        <v>30.091479941377226</v>
      </c>
      <c r="R52" s="6">
        <f>$J$3+[12]FormattedData!K25*$J$4+$M$4*$J$5+[12]FormattedData!K25^2*$J$6+$M$5*$J$7</f>
        <v>29.89679557895964</v>
      </c>
      <c r="S52" s="6">
        <f>$J$3+[12]FormattedData!L25*$J$4+$M$4*$J$5+[12]FormattedData!L25^2*$J$6+$M$5*$J$7</f>
        <v>29.604452021298783</v>
      </c>
      <c r="T52" s="6">
        <f>$J$3+[12]FormattedData!M25*$J$4+$M$4*$J$5+[12]FormattedData!M25^2*$J$6+$M$5*$J$7</f>
        <v>30.480341443757222</v>
      </c>
      <c r="U52" s="6">
        <f>$J$3+[12]FormattedData!N25*$J$4+$M$4*$J$5+[12]FormattedData!N25^2*$J$6+$M$5*$J$7</f>
        <v>30.091479941377226</v>
      </c>
      <c r="V52" s="6">
        <f>$J$3+[12]FormattedData!O25*$J$4+$M$4*$J$5+[12]FormattedData!O25^2*$J$6+$M$5*$J$7</f>
        <v>28.627226040797055</v>
      </c>
      <c r="W52" s="5">
        <f t="shared" si="9"/>
        <v>29.830696138156071</v>
      </c>
      <c r="X52" s="4">
        <f t="shared" si="10"/>
        <v>0.2180638115621833</v>
      </c>
      <c r="Y52" s="3">
        <f t="shared" si="11"/>
        <v>28.627226040797055</v>
      </c>
      <c r="Z52" s="2">
        <f t="shared" si="12"/>
        <v>29.55567525934956</v>
      </c>
      <c r="AA52" s="3">
        <f t="shared" si="13"/>
        <v>29.848092786951796</v>
      </c>
      <c r="AB52" s="2">
        <f t="shared" si="14"/>
        <v>30.091479941377226</v>
      </c>
      <c r="AC52" s="2">
        <f t="shared" si="15"/>
        <v>31.546223420922889</v>
      </c>
      <c r="AD52" s="2">
        <f t="shared" si="16"/>
        <v>0.63243045289843891</v>
      </c>
      <c r="AE52" s="2">
        <f t="shared" si="17"/>
        <v>1.7812683561614966</v>
      </c>
    </row>
    <row r="53" spans="2:31" x14ac:dyDescent="0.2">
      <c r="B53" s="1">
        <f>[12]FormattedData!A23</f>
        <v>104</v>
      </c>
      <c r="C53" s="1" t="str">
        <f>VLOOKUP($B53,[12]TrtCodes!$B$11:I66,2)</f>
        <v>NTL</v>
      </c>
      <c r="D53" s="1">
        <f>VLOOKUP($B53,[12]TrtCodes!$B$11:J66,3)</f>
        <v>10</v>
      </c>
      <c r="E53" s="1">
        <f>VLOOKUP($B53,[12]TrtCodes!$B$11:K66,4)</f>
        <v>2</v>
      </c>
      <c r="F53" s="1">
        <f>VLOOKUP($B53,[12]TrtCodes!$B$11:L66,5)</f>
        <v>2</v>
      </c>
      <c r="G53" s="1">
        <f>VLOOKUP($B53,[12]TrtCodes!$B$11:M66,6)</f>
        <v>1</v>
      </c>
      <c r="H53" s="1">
        <f>VLOOKUP($B53,[12]TrtCodes!$B$11:N66,7)</f>
        <v>1</v>
      </c>
      <c r="I53" s="1">
        <f>[12]FormattedData!B23</f>
        <v>2</v>
      </c>
      <c r="J53" s="4">
        <f>[12]FormattedData!C23</f>
        <v>13.173999999999999</v>
      </c>
      <c r="K53" s="6">
        <f>$J$3+[12]FormattedData!D23*$J$4+$M$4*$J$5+[12]FormattedData!D23^2*$J$6+$M$5*$J$7</f>
        <v>28.92083765459585</v>
      </c>
      <c r="L53" s="6">
        <f>$J$3+[12]FormattedData!E23*$J$4+$M$4*$J$5+[12]FormattedData!E23^2*$J$6+$M$5*$J$7</f>
        <v>28.431273622241534</v>
      </c>
      <c r="M53" s="6">
        <f>$J$3+[12]FormattedData!F23*$J$4+$M$4*$J$5+[12]FormattedData!F23^2*$J$6+$M$5*$J$7</f>
        <v>29.506919631669298</v>
      </c>
      <c r="N53" s="6">
        <f>$J$3+[12]FormattedData!G23*$J$4+$M$4*$J$5+[12]FormattedData!G23^2*$J$6+$M$5*$J$7</f>
        <v>29.214068851553264</v>
      </c>
      <c r="O53" s="6">
        <f>$J$3+[12]FormattedData!H23*$J$4+$M$4*$J$5+[12]FormattedData!H23^2*$J$6+$M$5*$J$7</f>
        <v>30.285995229643085</v>
      </c>
      <c r="P53" s="6">
        <f>$J$3+[12]FormattedData!I23*$J$4+$M$4*$J$5+[12]FormattedData!I23^2*$J$6+$M$5*$J$7</f>
        <v>29.214068851553264</v>
      </c>
      <c r="Q53" s="6">
        <f>$J$3+[12]FormattedData!J23*$J$4+$M$4*$J$5+[12]FormattedData!J23^2*$J$6+$M$5*$J$7</f>
        <v>28.823009385200848</v>
      </c>
      <c r="R53" s="6">
        <f>$J$3+[12]FormattedData!K23*$J$4+$M$4*$J$5+[12]FormattedData!K23^2*$J$6+$M$5*$J$7</f>
        <v>28.333234010156879</v>
      </c>
      <c r="S53" s="6">
        <f>$J$3+[12]FormattedData!L23*$J$4+$M$4*$J$5+[12]FormattedData!L23^2*$J$6+$M$5*$J$7</f>
        <v>29.01862365545292</v>
      </c>
      <c r="T53" s="6">
        <f>$J$3+[12]FormattedData!M23*$J$4+$M$4*$J$5+[12]FormattedData!M23^2*$J$6+$M$5*$J$7</f>
        <v>29.214068851553264</v>
      </c>
      <c r="U53" s="6">
        <f>$J$3+[12]FormattedData!N23*$J$4+$M$4*$J$5+[12]FormattedData!N23^2*$J$6+$M$5*$J$7</f>
        <v>29.409344973501884</v>
      </c>
      <c r="V53" s="6">
        <f>$J$3+[12]FormattedData!O23*$J$4+$M$4*$J$5+[12]FormattedData!O23^2*$J$6+$M$5*$J$7</f>
        <v>28.333234010156879</v>
      </c>
      <c r="W53" s="5">
        <f t="shared" si="9"/>
        <v>29.058723227273251</v>
      </c>
      <c r="X53" s="4">
        <f t="shared" si="10"/>
        <v>0.16107951687559838</v>
      </c>
      <c r="Y53" s="3">
        <f t="shared" si="11"/>
        <v>28.333234010156879</v>
      </c>
      <c r="Z53" s="2">
        <f t="shared" si="12"/>
        <v>28.725075444461019</v>
      </c>
      <c r="AA53" s="3">
        <f t="shared" si="13"/>
        <v>29.116346253503092</v>
      </c>
      <c r="AB53" s="2">
        <f t="shared" si="14"/>
        <v>29.26288788204042</v>
      </c>
      <c r="AC53" s="2">
        <f t="shared" si="15"/>
        <v>30.285995229643085</v>
      </c>
      <c r="AD53" s="2">
        <f t="shared" si="16"/>
        <v>0.60680475191073358</v>
      </c>
      <c r="AE53" s="2">
        <f t="shared" si="17"/>
        <v>0.90525000972166225</v>
      </c>
    </row>
    <row r="54" spans="2:31" x14ac:dyDescent="0.2">
      <c r="B54" s="1">
        <f>[12]FormattedData!A21</f>
        <v>105</v>
      </c>
      <c r="C54" s="1" t="str">
        <f>VLOOKUP($B54,[12]TrtCodes!$B$11:I64,2)</f>
        <v>NDL</v>
      </c>
      <c r="D54" s="1">
        <f>VLOOKUP($B54,[12]TrtCodes!$B$11:J64,3)</f>
        <v>12</v>
      </c>
      <c r="E54" s="1">
        <f>VLOOKUP($B54,[12]TrtCodes!$B$11:K64,4)</f>
        <v>2</v>
      </c>
      <c r="F54" s="1">
        <f>VLOOKUP($B54,[12]TrtCodes!$B$11:L64,5)</f>
        <v>3</v>
      </c>
      <c r="G54" s="1">
        <f>VLOOKUP($B54,[12]TrtCodes!$B$11:M64,6)</f>
        <v>1</v>
      </c>
      <c r="H54" s="1">
        <f>VLOOKUP($B54,[12]TrtCodes!$B$11:N64,7)</f>
        <v>2</v>
      </c>
      <c r="I54" s="1">
        <f>[12]FormattedData!B21</f>
        <v>2</v>
      </c>
      <c r="J54" s="4">
        <f>[12]FormattedData!C21</f>
        <v>13.156000000000001</v>
      </c>
      <c r="K54" s="6">
        <f>$J$3+[12]FormattedData!D21*$J$4+$M$4*$J$5+[12]FormattedData!D21^2*$J$6+$M$5*$J$7</f>
        <v>28.823009385200848</v>
      </c>
      <c r="L54" s="6">
        <f>$J$3+[12]FormattedData!E21*$J$4+$M$4*$J$5+[12]FormattedData!E21^2*$J$6+$M$5*$J$7</f>
        <v>27.842401921664631</v>
      </c>
      <c r="M54" s="6">
        <f>$J$3+[12]FormattedData!F21*$J$4+$M$4*$J$5+[12]FormattedData!F21^2*$J$6+$M$5*$J$7</f>
        <v>29.70194214239033</v>
      </c>
      <c r="N54" s="6">
        <f>$J$3+[12]FormattedData!G21*$J$4+$M$4*$J$5+[12]FormattedData!G21^2*$J$6+$M$5*$J$7</f>
        <v>28.235152129534292</v>
      </c>
      <c r="O54" s="6">
        <f>$J$3+[12]FormattedData!H21*$J$4+$M$4*$J$5+[12]FormattedData!H21^2*$J$6+$M$5*$J$7</f>
        <v>27.842401921664631</v>
      </c>
      <c r="P54" s="6">
        <f>$J$3+[12]FormattedData!I21*$J$4+$M$4*$J$5+[12]FormattedData!I21^2*$J$6+$M$5*$J$7</f>
        <v>28.235152129534292</v>
      </c>
      <c r="Q54" s="6">
        <f>$J$3+[12]FormattedData!J21*$J$4+$M$4*$J$5+[12]FormattedData!J21^2*$J$6+$M$5*$J$7</f>
        <v>28.92083765459585</v>
      </c>
      <c r="R54" s="6">
        <f>$J$3+[12]FormattedData!K21*$J$4+$M$4*$J$5+[12]FormattedData!K21^2*$J$6+$M$5*$J$7</f>
        <v>28.627226040797055</v>
      </c>
      <c r="S54" s="6">
        <f>$J$3+[12]FormattedData!L21*$J$4+$M$4*$J$5+[12]FormattedData!L21^2*$J$6+$M$5*$J$7</f>
        <v>29.311728046796542</v>
      </c>
      <c r="T54" s="6">
        <f>$J$3+[12]FormattedData!M21*$J$4+$M$4*$J$5+[12]FormattedData!M21^2*$J$6+$M$5*$J$7</f>
        <v>29.116367387772058</v>
      </c>
      <c r="U54" s="6">
        <f>$J$3+[12]FormattedData!N21*$J$4+$M$4*$J$5+[12]FormattedData!N21^2*$J$6+$M$5*$J$7</f>
        <v>29.604452021298783</v>
      </c>
      <c r="V54" s="6">
        <f>$J$3+[12]FormattedData!O21*$J$4+$M$4*$J$5+[12]FormattedData!O21^2*$J$6+$M$5*$J$7</f>
        <v>28.725138847267917</v>
      </c>
      <c r="W54" s="5">
        <f t="shared" si="9"/>
        <v>28.748817469043107</v>
      </c>
      <c r="X54" s="4">
        <f t="shared" si="10"/>
        <v>0.18077780978816707</v>
      </c>
      <c r="Y54" s="3">
        <f t="shared" si="11"/>
        <v>27.842401921664631</v>
      </c>
      <c r="Z54" s="2">
        <f t="shared" si="12"/>
        <v>28.235152129534292</v>
      </c>
      <c r="AA54" s="3">
        <f t="shared" si="13"/>
        <v>28.774074116234381</v>
      </c>
      <c r="AB54" s="2">
        <f t="shared" si="14"/>
        <v>29.16520755252818</v>
      </c>
      <c r="AC54" s="2">
        <f t="shared" si="15"/>
        <v>29.70194214239033</v>
      </c>
      <c r="AD54" s="2">
        <f t="shared" si="16"/>
        <v>-1.620191467536557E-2</v>
      </c>
      <c r="AE54" s="2">
        <f t="shared" si="17"/>
        <v>-0.99002478432485841</v>
      </c>
    </row>
    <row r="55" spans="2:31" x14ac:dyDescent="0.2">
      <c r="B55" s="1">
        <f>[12]FormattedData!A19</f>
        <v>106</v>
      </c>
      <c r="C55" s="1" t="str">
        <f>VLOOKUP($B55,[12]TrtCodes!$B$11:I62,2)</f>
        <v>NTH</v>
      </c>
      <c r="D55" s="1">
        <f>VLOOKUP($B55,[12]TrtCodes!$B$11:J62,3)</f>
        <v>9</v>
      </c>
      <c r="E55" s="1">
        <f>VLOOKUP($B55,[12]TrtCodes!$B$11:K62,4)</f>
        <v>2</v>
      </c>
      <c r="F55" s="1">
        <f>VLOOKUP($B55,[12]TrtCodes!$B$11:L62,5)</f>
        <v>2</v>
      </c>
      <c r="G55" s="1">
        <f>VLOOKUP($B55,[12]TrtCodes!$B$11:M62,6)</f>
        <v>2</v>
      </c>
      <c r="H55" s="1">
        <f>VLOOKUP($B55,[12]TrtCodes!$B$11:N62,7)</f>
        <v>2</v>
      </c>
      <c r="I55" s="1">
        <f>[12]FormattedData!B19</f>
        <v>2</v>
      </c>
      <c r="J55" s="4">
        <f>[12]FormattedData!C19</f>
        <v>13.138</v>
      </c>
      <c r="K55" s="6">
        <f>$J$3+[12]FormattedData!D19*$J$4+$M$4*$J$5+[12]FormattedData!D19^2*$J$6+$M$5*$J$7</f>
        <v>29.506919631669298</v>
      </c>
      <c r="L55" s="6">
        <f>$J$3+[12]FormattedData!E19*$J$4+$M$4*$J$5+[12]FormattedData!E19^2*$J$6+$M$5*$J$7</f>
        <v>29.994158894437405</v>
      </c>
      <c r="M55" s="6">
        <f>$J$3+[12]FormattedData!F19*$J$4+$M$4*$J$5+[12]FormattedData!F19^2*$J$6+$M$5*$J$7</f>
        <v>29.604452021298783</v>
      </c>
      <c r="N55" s="6">
        <f>$J$3+[12]FormattedData!G19*$J$4+$M$4*$J$5+[12]FormattedData!G19^2*$J$6+$M$5*$J$7</f>
        <v>28.823009385200848</v>
      </c>
      <c r="O55" s="6">
        <f>$J$3+[12]FormattedData!H19*$J$4+$M$4*$J$5+[12]FormattedData!H19^2*$J$6+$M$5*$J$7</f>
        <v>30.577451148007391</v>
      </c>
      <c r="P55" s="6">
        <f>$J$3+[12]FormattedData!I19*$J$4+$M$4*$J$5+[12]FormattedData!I19^2*$J$6+$M$5*$J$7</f>
        <v>29.799389994943954</v>
      </c>
      <c r="Q55" s="6">
        <f>$J$3+[12]FormattedData!J19*$J$4+$M$4*$J$5+[12]FormattedData!J19^2*$J$6+$M$5*$J$7</f>
        <v>29.604452021298783</v>
      </c>
      <c r="R55" s="6">
        <f>$J$3+[12]FormattedData!K19*$J$4+$M$4*$J$5+[12]FormattedData!K19^2*$J$6+$M$5*$J$7</f>
        <v>30.188758719779116</v>
      </c>
      <c r="S55" s="6">
        <f>$J$3+[12]FormattedData!L19*$J$4+$M$4*$J$5+[12]FormattedData!L19^2*$J$6+$M$5*$J$7</f>
        <v>29.311728046796542</v>
      </c>
      <c r="T55" s="6">
        <f>$J$3+[12]FormattedData!M19*$J$4+$M$4*$J$5+[12]FormattedData!M19^2*$J$6+$M$5*$J$7</f>
        <v>29.409344973501884</v>
      </c>
      <c r="U55" s="6">
        <f>$J$3+[12]FormattedData!N19*$J$4+$M$4*$J$5+[12]FormattedData!N19^2*$J$6+$M$5*$J$7</f>
        <v>28.529270965788264</v>
      </c>
      <c r="V55" s="6">
        <f>$J$3+[12]FormattedData!O19*$J$4+$M$4*$J$5+[12]FormattedData!O19^2*$J$6+$M$5*$J$7</f>
        <v>28.725138847267917</v>
      </c>
      <c r="W55" s="5">
        <f t="shared" si="9"/>
        <v>29.50617288749919</v>
      </c>
      <c r="X55" s="4">
        <f t="shared" si="10"/>
        <v>0.17484264846548581</v>
      </c>
      <c r="Y55" s="3">
        <f t="shared" si="11"/>
        <v>28.529270965788264</v>
      </c>
      <c r="Z55" s="2">
        <f t="shared" si="12"/>
        <v>29.189548381397618</v>
      </c>
      <c r="AA55" s="3">
        <f t="shared" si="13"/>
        <v>29.555685826484041</v>
      </c>
      <c r="AB55" s="2">
        <f t="shared" si="14"/>
        <v>29.848082219817318</v>
      </c>
      <c r="AC55" s="2">
        <f t="shared" si="15"/>
        <v>30.577451148007391</v>
      </c>
      <c r="AD55" s="2">
        <f t="shared" si="16"/>
        <v>-2.2120340723988573E-2</v>
      </c>
      <c r="AE55" s="2">
        <f t="shared" si="17"/>
        <v>-0.40262917250456676</v>
      </c>
    </row>
    <row r="56" spans="2:31" x14ac:dyDescent="0.2">
      <c r="B56" s="1">
        <f>[12]FormattedData!A17</f>
        <v>107</v>
      </c>
      <c r="C56" s="1" t="str">
        <f>VLOOKUP($B56,[12]TrtCodes!$B$11:I60,2)</f>
        <v>NTL</v>
      </c>
      <c r="D56" s="1">
        <f>VLOOKUP($B56,[12]TrtCodes!$B$11:J60,3)</f>
        <v>10</v>
      </c>
      <c r="E56" s="1">
        <f>VLOOKUP($B56,[12]TrtCodes!$B$11:K60,4)</f>
        <v>2</v>
      </c>
      <c r="F56" s="1">
        <f>VLOOKUP($B56,[12]TrtCodes!$B$11:L60,5)</f>
        <v>2</v>
      </c>
      <c r="G56" s="1">
        <f>VLOOKUP($B56,[12]TrtCodes!$B$11:M60,6)</f>
        <v>1</v>
      </c>
      <c r="H56" s="1">
        <f>VLOOKUP($B56,[12]TrtCodes!$B$11:N60,7)</f>
        <v>2</v>
      </c>
      <c r="I56" s="1">
        <f>[12]FormattedData!B17</f>
        <v>2</v>
      </c>
      <c r="J56" s="4">
        <f>[12]FormattedData!C17</f>
        <v>13.12</v>
      </c>
      <c r="K56" s="6">
        <f>$J$3+[12]FormattedData!D17*$J$4+$M$4*$J$5+[12]FormattedData!D17^2*$J$6+$M$5*$J$7</f>
        <v>30.091479941377226</v>
      </c>
      <c r="L56" s="6">
        <f>$J$3+[12]FormattedData!E17*$J$4+$M$4*$J$5+[12]FormattedData!E17^2*$J$6+$M$5*$J$7</f>
        <v>30.285995229643085</v>
      </c>
      <c r="M56" s="6">
        <f>$J$3+[12]FormattedData!F17*$J$4+$M$4*$J$5+[12]FormattedData!F17^2*$J$6+$M$5*$J$7</f>
        <v>30.868526649530317</v>
      </c>
      <c r="N56" s="6">
        <f>$J$3+[12]FormattedData!G17*$J$4+$M$4*$J$5+[12]FormattedData!G17^2*$J$6+$M$5*$J$7</f>
        <v>29.799389994943954</v>
      </c>
      <c r="O56" s="6">
        <f>$J$3+[12]FormattedData!H17*$J$4+$M$4*$J$5+[12]FormattedData!H17^2*$J$6+$M$5*$J$7</f>
        <v>29.311728046796542</v>
      </c>
      <c r="P56" s="6">
        <f>$J$3+[12]FormattedData!I17*$J$4+$M$4*$J$5+[12]FormattedData!I17^2*$J$6+$M$5*$J$7</f>
        <v>29.311728046796542</v>
      </c>
      <c r="Q56" s="6">
        <f>$J$3+[12]FormattedData!J17*$J$4+$M$4*$J$5+[12]FormattedData!J17^2*$J$6+$M$5*$J$7</f>
        <v>32.51076884004528</v>
      </c>
      <c r="R56" s="6">
        <f>$J$3+[12]FormattedData!K17*$J$4+$M$4*$J$5+[12]FormattedData!K17^2*$J$6+$M$5*$J$7</f>
        <v>29.506919631669298</v>
      </c>
      <c r="S56" s="6">
        <f>$J$3+[12]FormattedData!L17*$J$4+$M$4*$J$5+[12]FormattedData!L17^2*$J$6+$M$5*$J$7</f>
        <v>31.159221734211858</v>
      </c>
      <c r="T56" s="6">
        <f>$J$3+[12]FormattedData!M17*$J$4+$M$4*$J$5+[12]FormattedData!M17^2*$J$6+$M$5*$J$7</f>
        <v>29.994158894437405</v>
      </c>
      <c r="U56" s="6">
        <f>$J$3+[12]FormattedData!N17*$J$4+$M$4*$J$5+[12]FormattedData!N17^2*$J$6+$M$5*$J$7</f>
        <v>30.188758719779116</v>
      </c>
      <c r="V56" s="6">
        <f>$J$3+[12]FormattedData!O17*$J$4+$M$4*$J$5+[12]FormattedData!O17^2*$J$6+$M$5*$J$7</f>
        <v>30.480341443757222</v>
      </c>
      <c r="W56" s="5">
        <f t="shared" si="9"/>
        <v>30.292418097748982</v>
      </c>
      <c r="X56" s="4">
        <f t="shared" si="10"/>
        <v>0.26058437423803199</v>
      </c>
      <c r="Y56" s="3">
        <f t="shared" si="11"/>
        <v>29.311728046796542</v>
      </c>
      <c r="Z56" s="2">
        <f t="shared" si="12"/>
        <v>29.726272404125289</v>
      </c>
      <c r="AA56" s="3">
        <f t="shared" si="13"/>
        <v>30.140119330578173</v>
      </c>
      <c r="AB56" s="2">
        <f t="shared" si="14"/>
        <v>30.577387745200497</v>
      </c>
      <c r="AC56" s="2">
        <f t="shared" si="15"/>
        <v>32.51076884004528</v>
      </c>
      <c r="AD56" s="2">
        <f t="shared" si="16"/>
        <v>1.3702657084678149</v>
      </c>
      <c r="AE56" s="2">
        <f t="shared" si="17"/>
        <v>2.4199394203007074</v>
      </c>
    </row>
    <row r="57" spans="2:31" x14ac:dyDescent="0.2">
      <c r="B57" s="1">
        <f>[12]FormattedData!A15</f>
        <v>108</v>
      </c>
      <c r="C57" s="1" t="str">
        <f>VLOOKUP($B57,[12]TrtCodes!$B$11:I58,2)</f>
        <v>FTH</v>
      </c>
      <c r="D57" s="1">
        <f>VLOOKUP($B57,[12]TrtCodes!$B$11:J58,3)</f>
        <v>3</v>
      </c>
      <c r="E57" s="1">
        <f>VLOOKUP($B57,[12]TrtCodes!$B$11:K58,4)</f>
        <v>1</v>
      </c>
      <c r="F57" s="1">
        <f>VLOOKUP($B57,[12]TrtCodes!$B$11:L58,5)</f>
        <v>2</v>
      </c>
      <c r="G57" s="1">
        <f>VLOOKUP($B57,[12]TrtCodes!$B$11:M58,6)</f>
        <v>2</v>
      </c>
      <c r="H57" s="1">
        <f>VLOOKUP($B57,[12]TrtCodes!$B$11:N58,7)</f>
        <v>2</v>
      </c>
      <c r="I57" s="1">
        <f>[12]FormattedData!B15</f>
        <v>2</v>
      </c>
      <c r="J57" s="4">
        <f>[12]FormattedData!C15</f>
        <v>13.102</v>
      </c>
      <c r="K57" s="6">
        <f>$J$3+[12]FormattedData!D15*$J$4+$M$4*$J$5+[12]FormattedData!D15^2*$J$6+$M$5*$J$7</f>
        <v>29.116367387772058</v>
      </c>
      <c r="L57" s="6">
        <f>$J$3+[12]FormattedData!E15*$J$4+$M$4*$J$5+[12]FormattedData!E15^2*$J$6+$M$5*$J$7</f>
        <v>29.994158894437405</v>
      </c>
      <c r="M57" s="6">
        <f>$J$3+[12]FormattedData!F15*$J$4+$M$4*$J$5+[12]FormattedData!F15^2*$J$6+$M$5*$J$7</f>
        <v>29.70194214239033</v>
      </c>
      <c r="N57" s="6">
        <f>$J$3+[12]FormattedData!G15*$J$4+$M$4*$J$5+[12]FormattedData!G15^2*$J$6+$M$5*$J$7</f>
        <v>31.739470653050816</v>
      </c>
      <c r="O57" s="6">
        <f>$J$3+[12]FormattedData!H15*$J$4+$M$4*$J$5+[12]FormattedData!H15^2*$J$6+$M$5*$J$7</f>
        <v>30.091479941377226</v>
      </c>
      <c r="P57" s="6">
        <f>$J$3+[12]FormattedData!I15*$J$4+$M$4*$J$5+[12]FormattedData!I15^2*$J$6+$M$5*$J$7</f>
        <v>31.352807114643234</v>
      </c>
      <c r="Q57" s="6">
        <f>$J$3+[12]FormattedData!J15*$J$4+$M$4*$J$5+[12]FormattedData!J15^2*$J$6+$M$5*$J$7</f>
        <v>31.256035558696517</v>
      </c>
      <c r="R57" s="6">
        <f>$J$3+[12]FormattedData!K15*$J$4+$M$4*$J$5+[12]FormattedData!K15^2*$J$6+$M$5*$J$7</f>
        <v>30.480341443757222</v>
      </c>
      <c r="S57" s="6">
        <f>$J$3+[12]FormattedData!L15*$J$4+$M$4*$J$5+[12]FormattedData!L15^2*$J$6+$M$5*$J$7</f>
        <v>30.577451148007391</v>
      </c>
      <c r="T57" s="6">
        <f>$J$3+[12]FormattedData!M15*$J$4+$M$4*$J$5+[12]FormattedData!M15^2*$J$6+$M$5*$J$7</f>
        <v>30.383189470969114</v>
      </c>
      <c r="U57" s="6">
        <f>$J$3+[12]FormattedData!N15*$J$4+$M$4*$J$5+[12]FormattedData!N15^2*$J$6+$M$5*$J$7</f>
        <v>30.480341443757222</v>
      </c>
      <c r="V57" s="6">
        <f>$J$3+[12]FormattedData!O15*$J$4+$M$4*$J$5+[12]FormattedData!O15^2*$J$6+$M$5*$J$7</f>
        <v>31.546223420922889</v>
      </c>
      <c r="W57" s="5">
        <f t="shared" si="9"/>
        <v>30.559984051648453</v>
      </c>
      <c r="X57" s="4">
        <f t="shared" si="10"/>
        <v>0.22831861309678411</v>
      </c>
      <c r="Y57" s="3">
        <f t="shared" si="11"/>
        <v>29.116367387772058</v>
      </c>
      <c r="Z57" s="2">
        <f t="shared" si="12"/>
        <v>30.06714967964227</v>
      </c>
      <c r="AA57" s="3">
        <f t="shared" si="13"/>
        <v>30.480341443757222</v>
      </c>
      <c r="AB57" s="2">
        <f t="shared" si="14"/>
        <v>31.280228447683196</v>
      </c>
      <c r="AC57" s="2">
        <f t="shared" si="15"/>
        <v>31.739470653050816</v>
      </c>
      <c r="AD57" s="2">
        <f t="shared" si="16"/>
        <v>-0.1091514105347081</v>
      </c>
      <c r="AE57" s="2">
        <f t="shared" si="17"/>
        <v>-0.59110206679149746</v>
      </c>
    </row>
    <row r="58" spans="2:31" x14ac:dyDescent="0.2">
      <c r="B58" s="1">
        <f>[12]FormattedData!A31</f>
        <v>201</v>
      </c>
      <c r="C58" s="1" t="str">
        <f>VLOOKUP($B58,[12]TrtCodes!$B$11:I74,2)</f>
        <v>NDL</v>
      </c>
      <c r="D58" s="1">
        <f>VLOOKUP($B58,[12]TrtCodes!$B$11:J74,3)</f>
        <v>12</v>
      </c>
      <c r="E58" s="1">
        <f>VLOOKUP($B58,[12]TrtCodes!$B$11:K74,4)</f>
        <v>2</v>
      </c>
      <c r="F58" s="1">
        <f>VLOOKUP($B58,[12]TrtCodes!$B$11:L74,5)</f>
        <v>3</v>
      </c>
      <c r="G58" s="1">
        <f>VLOOKUP($B58,[12]TrtCodes!$B$11:M74,6)</f>
        <v>1</v>
      </c>
      <c r="H58" s="1">
        <f>VLOOKUP($B58,[12]TrtCodes!$B$11:N74,7)</f>
        <v>1</v>
      </c>
      <c r="I58" s="1">
        <f>[12]FormattedData!B31</f>
        <v>2</v>
      </c>
      <c r="J58" s="4">
        <f>[12]FormattedData!C31</f>
        <v>13.247999999999999</v>
      </c>
      <c r="K58" s="6">
        <f>$J$3+[12]FormattedData!D31*$J$4+$M$4*$J$5+[12]FormattedData!D31^2*$J$6+$M$5*$J$7</f>
        <v>30.091479941377226</v>
      </c>
      <c r="L58" s="6">
        <f>$J$3+[12]FormattedData!E31*$J$4+$M$4*$J$5+[12]FormattedData!E31^2*$J$6+$M$5*$J$7</f>
        <v>30.77154375089394</v>
      </c>
      <c r="M58" s="6">
        <f>$J$3+[12]FormattedData!F31*$J$4+$M$4*$J$5+[12]FormattedData!F31^2*$J$6+$M$5*$J$7</f>
        <v>31.739470653050816</v>
      </c>
      <c r="N58" s="6">
        <f>$J$3+[12]FormattedData!G31*$J$4+$M$4*$J$5+[12]FormattedData!G31^2*$J$6+$M$5*$J$7</f>
        <v>31.352807114643234</v>
      </c>
      <c r="O58" s="6">
        <f>$J$3+[12]FormattedData!H31*$J$4+$M$4*$J$5+[12]FormattedData!H31^2*$J$6+$M$5*$J$7</f>
        <v>30.188758719779116</v>
      </c>
      <c r="P58" s="6">
        <f>$J$3+[12]FormattedData!I31*$J$4+$M$4*$J$5+[12]FormattedData!I31^2*$J$6+$M$5*$J$7</f>
        <v>30.383189470969114</v>
      </c>
      <c r="Q58" s="6">
        <f>$J$3+[12]FormattedData!J31*$J$4+$M$4*$J$5+[12]FormattedData!J31^2*$J$6+$M$5*$J$7</f>
        <v>28.431273622241534</v>
      </c>
      <c r="R58" s="6">
        <f>$J$3+[12]FormattedData!K31*$J$4+$M$4*$J$5+[12]FormattedData!K31^2*$J$6+$M$5*$J$7</f>
        <v>30.383189470969114</v>
      </c>
      <c r="S58" s="6">
        <f>$J$3+[12]FormattedData!L31*$J$4+$M$4*$J$5+[12]FormattedData!L31^2*$J$6+$M$5*$J$7</f>
        <v>30.383189470969114</v>
      </c>
      <c r="T58" s="6">
        <f>$J$3+[12]FormattedData!M31*$J$4+$M$4*$J$5+[12]FormattedData!M31^2*$J$6+$M$5*$J$7</f>
        <v>30.188758719779116</v>
      </c>
      <c r="U58" s="6">
        <f>$J$3+[12]FormattedData!N31*$J$4+$M$4*$J$5+[12]FormattedData!N31^2*$J$6+$M$5*$J$7</f>
        <v>32.221849033956836</v>
      </c>
      <c r="V58" s="6">
        <f>$J$3+[12]FormattedData!O31*$J$4+$M$4*$J$5+[12]FormattedData!O31^2*$J$6+$M$5*$J$7</f>
        <v>33.854031312444178</v>
      </c>
      <c r="W58" s="5">
        <f t="shared" si="9"/>
        <v>30.832461773422782</v>
      </c>
      <c r="X58" s="4">
        <f t="shared" si="10"/>
        <v>0.3883377306955178</v>
      </c>
      <c r="Y58" s="3">
        <f t="shared" si="11"/>
        <v>28.431273622241534</v>
      </c>
      <c r="Z58" s="2">
        <f t="shared" si="12"/>
        <v>30.188758719779116</v>
      </c>
      <c r="AA58" s="3">
        <f t="shared" si="13"/>
        <v>30.383189470969114</v>
      </c>
      <c r="AB58" s="2">
        <f t="shared" si="14"/>
        <v>31.449472999245131</v>
      </c>
      <c r="AC58" s="2">
        <f t="shared" si="15"/>
        <v>33.854031312444178</v>
      </c>
      <c r="AD58" s="2">
        <f t="shared" si="16"/>
        <v>0.72139972984664591</v>
      </c>
      <c r="AE58" s="2">
        <f t="shared" si="17"/>
        <v>1.8291890029740765</v>
      </c>
    </row>
    <row r="59" spans="2:31" x14ac:dyDescent="0.2">
      <c r="B59" s="1">
        <f>[12]FormattedData!A33</f>
        <v>202</v>
      </c>
      <c r="C59" s="1" t="str">
        <f>VLOOKUP($B59,[12]TrtCodes!$B$11:I76,2)</f>
        <v>NTH</v>
      </c>
      <c r="D59" s="1">
        <f>VLOOKUP($B59,[12]TrtCodes!$B$11:J76,3)</f>
        <v>9</v>
      </c>
      <c r="E59" s="1">
        <f>VLOOKUP($B59,[12]TrtCodes!$B$11:K76,4)</f>
        <v>2</v>
      </c>
      <c r="F59" s="1">
        <f>VLOOKUP($B59,[12]TrtCodes!$B$11:L76,5)</f>
        <v>2</v>
      </c>
      <c r="G59" s="1">
        <f>VLOOKUP($B59,[12]TrtCodes!$B$11:M76,6)</f>
        <v>2</v>
      </c>
      <c r="H59" s="1">
        <f>VLOOKUP($B59,[12]TrtCodes!$B$11:N76,7)</f>
        <v>1</v>
      </c>
      <c r="I59" s="1">
        <f>[12]FormattedData!B33</f>
        <v>2</v>
      </c>
      <c r="J59" s="4">
        <f>[12]FormattedData!C33</f>
        <v>13.265000000000001</v>
      </c>
      <c r="K59" s="6">
        <f>$J$3+[12]FormattedData!D33*$J$4+$M$4*$J$5+[12]FormattedData!D33^2*$J$6+$M$5*$J$7</f>
        <v>31.062365641189277</v>
      </c>
      <c r="L59" s="6">
        <f>$J$3+[12]FormattedData!E33*$J$4+$M$4*$J$5+[12]FormattedData!E33^2*$J$6+$M$5*$J$7</f>
        <v>31.932548811027019</v>
      </c>
      <c r="M59" s="6">
        <f>$J$3+[12]FormattedData!F33*$J$4+$M$4*$J$5+[12]FormattedData!F33^2*$J$6+$M$5*$J$7</f>
        <v>32.125457894851493</v>
      </c>
      <c r="N59" s="6">
        <f>$J$3+[12]FormattedData!G33*$J$4+$M$4*$J$5+[12]FormattedData!G33^2*$J$6+$M$5*$J$7</f>
        <v>31.83603086630788</v>
      </c>
      <c r="O59" s="6">
        <f>$J$3+[12]FormattedData!H33*$J$4+$M$4*$J$5+[12]FormattedData!H33^2*$J$6+$M$5*$J$7</f>
        <v>31.449536402052033</v>
      </c>
      <c r="P59" s="6">
        <f>$J$3+[12]FormattedData!I33*$J$4+$M$4*$J$5+[12]FormattedData!I33^2*$J$6+$M$5*$J$7</f>
        <v>31.546223420922889</v>
      </c>
      <c r="Q59" s="6">
        <f>$J$3+[12]FormattedData!J33*$J$4+$M$4*$J$5+[12]FormattedData!J33^2*$J$6+$M$5*$J$7</f>
        <v>32.606990904998895</v>
      </c>
      <c r="R59" s="6">
        <f>$J$3+[12]FormattedData!K33*$J$4+$M$4*$J$5+[12]FormattedData!K33^2*$J$6+$M$5*$J$7</f>
        <v>32.125457894851493</v>
      </c>
      <c r="S59" s="6">
        <f>$J$3+[12]FormattedData!L33*$J$4+$M$4*$J$5+[12]FormattedData!L33^2*$J$6+$M$5*$J$7</f>
        <v>32.51076884004528</v>
      </c>
      <c r="T59" s="6">
        <f>$J$3+[12]FormattedData!M33*$J$4+$M$4*$J$5+[12]FormattedData!M33^2*$J$6+$M$5*$J$7</f>
        <v>32.125457894851493</v>
      </c>
      <c r="U59" s="6">
        <f>$J$3+[12]FormattedData!N33*$J$4+$M$4*$J$5+[12]FormattedData!N33^2*$J$6+$M$5*$J$7</f>
        <v>31.932548811027019</v>
      </c>
      <c r="V59" s="6">
        <f>$J$3+[12]FormattedData!O33*$J$4+$M$4*$J$5+[12]FormattedData!O33^2*$J$6+$M$5*$J$7</f>
        <v>30.480341443757222</v>
      </c>
      <c r="W59" s="5">
        <f t="shared" si="9"/>
        <v>31.811144068823495</v>
      </c>
      <c r="X59" s="4">
        <f t="shared" si="10"/>
        <v>0.17368492767356578</v>
      </c>
      <c r="Y59" s="3">
        <f t="shared" si="11"/>
        <v>30.480341443757222</v>
      </c>
      <c r="Z59" s="2">
        <f t="shared" si="12"/>
        <v>31.522051666205176</v>
      </c>
      <c r="AA59" s="3">
        <f t="shared" si="13"/>
        <v>31.932548811027019</v>
      </c>
      <c r="AB59" s="2">
        <f t="shared" si="14"/>
        <v>32.125457894851493</v>
      </c>
      <c r="AC59" s="2">
        <f t="shared" si="15"/>
        <v>32.606990904998895</v>
      </c>
      <c r="AD59" s="2">
        <f t="shared" si="16"/>
        <v>-0.95132708159480284</v>
      </c>
      <c r="AE59" s="2">
        <f t="shared" si="17"/>
        <v>0.94903067441457978</v>
      </c>
    </row>
    <row r="60" spans="2:31" x14ac:dyDescent="0.2">
      <c r="B60" s="1">
        <f>[12]FormattedData!A35</f>
        <v>203</v>
      </c>
      <c r="C60" s="1" t="str">
        <f>VLOOKUP($B60,[12]TrtCodes!$B$11:I78,2)</f>
        <v>FTH</v>
      </c>
      <c r="D60" s="1">
        <f>VLOOKUP($B60,[12]TrtCodes!$B$11:J78,3)</f>
        <v>3</v>
      </c>
      <c r="E60" s="1">
        <f>VLOOKUP($B60,[12]TrtCodes!$B$11:K78,4)</f>
        <v>1</v>
      </c>
      <c r="F60" s="1">
        <f>VLOOKUP($B60,[12]TrtCodes!$B$11:L78,5)</f>
        <v>2</v>
      </c>
      <c r="G60" s="1">
        <f>VLOOKUP($B60,[12]TrtCodes!$B$11:M78,6)</f>
        <v>2</v>
      </c>
      <c r="H60" s="1">
        <f>VLOOKUP($B60,[12]TrtCodes!$B$11:N78,7)</f>
        <v>1</v>
      </c>
      <c r="I60" s="1">
        <f>[12]FormattedData!B35</f>
        <v>2</v>
      </c>
      <c r="J60" s="4">
        <f>[12]FormattedData!C35</f>
        <v>13.282999999999999</v>
      </c>
      <c r="K60" s="6">
        <f>$J$3+[12]FormattedData!D35*$J$4+$M$4*$J$5+[12]FormattedData!D35^2*$J$6+$M$5*$J$7</f>
        <v>31.83603086630788</v>
      </c>
      <c r="L60" s="6">
        <f>$J$3+[12]FormattedData!E35*$J$4+$M$4*$J$5+[12]FormattedData!E35^2*$J$6+$M$5*$J$7</f>
        <v>30.383189470969114</v>
      </c>
      <c r="M60" s="6">
        <f>$J$3+[12]FormattedData!F35*$J$4+$M$4*$J$5+[12]FormattedData!F35^2*$J$6+$M$5*$J$7</f>
        <v>29.89679557895964</v>
      </c>
      <c r="N60" s="6">
        <f>$J$3+[12]FormattedData!G35*$J$4+$M$4*$J$5+[12]FormattedData!G35^2*$J$6+$M$5*$J$7</f>
        <v>31.449536402052033</v>
      </c>
      <c r="O60" s="6">
        <f>$J$3+[12]FormattedData!H35*$J$4+$M$4*$J$5+[12]FormattedData!H35^2*$J$6+$M$5*$J$7</f>
        <v>30.383189470969114</v>
      </c>
      <c r="P60" s="6">
        <f>$J$3+[12]FormattedData!I35*$J$4+$M$4*$J$5+[12]FormattedData!I35^2*$J$6+$M$5*$J$7</f>
        <v>32.799308229292329</v>
      </c>
      <c r="Q60" s="6">
        <f>$J$3+[12]FormattedData!J35*$J$4+$M$4*$J$5+[12]FormattedData!J35^2*$J$6+$M$5*$J$7</f>
        <v>31.159221734211858</v>
      </c>
      <c r="R60" s="6">
        <f>$J$3+[12]FormattedData!K35*$J$4+$M$4*$J$5+[12]FormattedData!K35^2*$J$6+$M$5*$J$7</f>
        <v>29.506919631669298</v>
      </c>
      <c r="S60" s="6">
        <f>$J$3+[12]FormattedData!L35*$J$4+$M$4*$J$5+[12]FormattedData!L35^2*$J$6+$M$5*$J$7</f>
        <v>31.546223420922889</v>
      </c>
      <c r="T60" s="6">
        <f>$J$3+[12]FormattedData!M35*$J$4+$M$4*$J$5+[12]FormattedData!M35^2*$J$6+$M$5*$J$7</f>
        <v>29.116367387772058</v>
      </c>
      <c r="U60" s="6">
        <f>$J$3+[12]FormattedData!N35*$J$4+$M$4*$J$5+[12]FormattedData!N35^2*$J$6+$M$5*$J$7</f>
        <v>31.159221734211858</v>
      </c>
      <c r="V60" s="6">
        <f>$J$3+[12]FormattedData!O35*$J$4+$M$4*$J$5+[12]FormattedData!O35^2*$J$6+$M$5*$J$7</f>
        <v>29.604452021298783</v>
      </c>
      <c r="W60" s="5">
        <f t="shared" si="9"/>
        <v>30.736704662386405</v>
      </c>
      <c r="X60" s="4">
        <f t="shared" si="10"/>
        <v>0.31812180862702794</v>
      </c>
      <c r="Y60" s="3">
        <f t="shared" si="11"/>
        <v>29.116367387772058</v>
      </c>
      <c r="Z60" s="2">
        <f t="shared" si="12"/>
        <v>29.823709689544426</v>
      </c>
      <c r="AA60" s="3">
        <f t="shared" si="13"/>
        <v>30.771205602590484</v>
      </c>
      <c r="AB60" s="2">
        <f t="shared" si="14"/>
        <v>31.473708156769746</v>
      </c>
      <c r="AC60" s="2">
        <f t="shared" si="15"/>
        <v>32.799308229292329</v>
      </c>
      <c r="AD60" s="2">
        <f t="shared" si="16"/>
        <v>0.23644420230669816</v>
      </c>
      <c r="AE60" s="2">
        <f t="shared" si="17"/>
        <v>-0.65018714898919505</v>
      </c>
    </row>
    <row r="61" spans="2:31" x14ac:dyDescent="0.2">
      <c r="B61" s="1">
        <f>[12]FormattedData!A37</f>
        <v>204</v>
      </c>
      <c r="C61" s="1" t="str">
        <f>VLOOKUP($B61,[12]TrtCodes!$B$11:I80,2)</f>
        <v>NDH</v>
      </c>
      <c r="D61" s="1">
        <f>VLOOKUP($B61,[12]TrtCodes!$B$11:J80,3)</f>
        <v>11</v>
      </c>
      <c r="E61" s="1">
        <f>VLOOKUP($B61,[12]TrtCodes!$B$11:K80,4)</f>
        <v>2</v>
      </c>
      <c r="F61" s="1">
        <f>VLOOKUP($B61,[12]TrtCodes!$B$11:L80,5)</f>
        <v>3</v>
      </c>
      <c r="G61" s="1">
        <f>VLOOKUP($B61,[12]TrtCodes!$B$11:M80,6)</f>
        <v>2</v>
      </c>
      <c r="H61" s="1">
        <f>VLOOKUP($B61,[12]TrtCodes!$B$11:N80,7)</f>
        <v>1</v>
      </c>
      <c r="I61" s="1">
        <f>[12]FormattedData!B37</f>
        <v>2</v>
      </c>
      <c r="J61" s="4">
        <f>[12]FormattedData!C37</f>
        <v>13.3</v>
      </c>
      <c r="K61" s="6">
        <f>$J$3+[12]FormattedData!D37*$J$4+$M$4*$J$5+[12]FormattedData!D37^2*$J$6+$M$5*$J$7</f>
        <v>30.188758719779116</v>
      </c>
      <c r="L61" s="6">
        <f>$J$3+[12]FormattedData!E37*$J$4+$M$4*$J$5+[12]FormattedData!E37^2*$J$6+$M$5*$J$7</f>
        <v>29.311728046796542</v>
      </c>
      <c r="M61" s="6">
        <f>$J$3+[12]FormattedData!F37*$J$4+$M$4*$J$5+[12]FormattedData!F37^2*$J$6+$M$5*$J$7</f>
        <v>29.89679557895964</v>
      </c>
      <c r="N61" s="6">
        <f>$J$3+[12]FormattedData!G37*$J$4+$M$4*$J$5+[12]FormattedData!G37^2*$J$6+$M$5*$J$7</f>
        <v>29.70194214239033</v>
      </c>
      <c r="O61" s="6">
        <f>$J$3+[12]FormattedData!H37*$J$4+$M$4*$J$5+[12]FormattedData!H37^2*$J$6+$M$5*$J$7</f>
        <v>30.091479941377226</v>
      </c>
      <c r="P61" s="6">
        <f>$J$3+[12]FormattedData!I37*$J$4+$M$4*$J$5+[12]FormattedData!I37^2*$J$6+$M$5*$J$7</f>
        <v>30.965467279628765</v>
      </c>
      <c r="Q61" s="6">
        <f>$J$3+[12]FormattedData!J37*$J$4+$M$4*$J$5+[12]FormattedData!J37^2*$J$6+$M$5*$J$7</f>
        <v>29.604452021298783</v>
      </c>
      <c r="R61" s="6">
        <f>$J$3+[12]FormattedData!K37*$J$4+$M$4*$J$5+[12]FormattedData!K37^2*$J$6+$M$5*$J$7</f>
        <v>29.799389994943954</v>
      </c>
      <c r="S61" s="6">
        <f>$J$3+[12]FormattedData!L37*$J$4+$M$4*$J$5+[12]FormattedData!L37^2*$J$6+$M$5*$J$7</f>
        <v>29.799389994943954</v>
      </c>
      <c r="T61" s="6">
        <f>$J$3+[12]FormattedData!M37*$J$4+$M$4*$J$5+[12]FormattedData!M37^2*$J$6+$M$5*$J$7</f>
        <v>29.89679557895964</v>
      </c>
      <c r="U61" s="6">
        <f>$J$3+[12]FormattedData!N37*$J$4+$M$4*$J$5+[12]FormattedData!N37^2*$J$6+$M$5*$J$7</f>
        <v>30.480341443757222</v>
      </c>
      <c r="V61" s="6">
        <f>$J$3+[12]FormattedData!O37*$J$4+$M$4*$J$5+[12]FormattedData!O37^2*$J$6+$M$5*$J$7</f>
        <v>29.116367387772058</v>
      </c>
      <c r="W61" s="5">
        <f t="shared" si="9"/>
        <v>29.904409010883938</v>
      </c>
      <c r="X61" s="4">
        <f t="shared" si="10"/>
        <v>0.14298798361220225</v>
      </c>
      <c r="Y61" s="3">
        <f t="shared" si="11"/>
        <v>29.116367387772058</v>
      </c>
      <c r="Z61" s="2">
        <f t="shared" si="12"/>
        <v>29.677569612117445</v>
      </c>
      <c r="AA61" s="3">
        <f t="shared" si="13"/>
        <v>29.848092786951796</v>
      </c>
      <c r="AB61" s="2">
        <f t="shared" si="14"/>
        <v>30.115799635977698</v>
      </c>
      <c r="AC61" s="2">
        <f t="shared" si="15"/>
        <v>30.965467279628765</v>
      </c>
      <c r="AD61" s="2">
        <f t="shared" si="16"/>
        <v>0.61040118970705803</v>
      </c>
      <c r="AE61" s="2">
        <f t="shared" si="17"/>
        <v>0.95185126391106589</v>
      </c>
    </row>
    <row r="62" spans="2:31" x14ac:dyDescent="0.2">
      <c r="B62" s="1">
        <f>[12]FormattedData!A39</f>
        <v>205</v>
      </c>
      <c r="C62" s="1" t="str">
        <f>VLOOKUP($B62,[12]TrtCodes!$B$11:I82,2)</f>
        <v>FSH</v>
      </c>
      <c r="D62" s="1">
        <f>VLOOKUP($B62,[12]TrtCodes!$B$11:J82,3)</f>
        <v>1</v>
      </c>
      <c r="E62" s="1">
        <f>VLOOKUP($B62,[12]TrtCodes!$B$11:K82,4)</f>
        <v>1</v>
      </c>
      <c r="F62" s="1">
        <f>VLOOKUP($B62,[12]TrtCodes!$B$11:L82,5)</f>
        <v>1</v>
      </c>
      <c r="G62" s="1">
        <f>VLOOKUP($B62,[12]TrtCodes!$B$11:M82,6)</f>
        <v>2</v>
      </c>
      <c r="H62" s="1">
        <f>VLOOKUP($B62,[12]TrtCodes!$B$11:N82,7)</f>
        <v>2</v>
      </c>
      <c r="I62" s="1">
        <f>[12]FormattedData!B39</f>
        <v>2</v>
      </c>
      <c r="J62" s="4">
        <f>[12]FormattedData!C39</f>
        <v>13.316000000000001</v>
      </c>
      <c r="K62" s="6">
        <f>$J$3+[12]FormattedData!D39*$J$4+$M$4*$J$5+[12]FormattedData!D39^2*$J$6+$M$5*$J$7</f>
        <v>29.89679557895964</v>
      </c>
      <c r="L62" s="6">
        <f>$J$3+[12]FormattedData!E39*$J$4+$M$4*$J$5+[12]FormattedData!E39^2*$J$6+$M$5*$J$7</f>
        <v>28.725138847267917</v>
      </c>
      <c r="M62" s="6">
        <f>$J$3+[12]FormattedData!F39*$J$4+$M$4*$J$5+[12]FormattedData!F39^2*$J$6+$M$5*$J$7</f>
        <v>29.116367387772058</v>
      </c>
      <c r="N62" s="6">
        <f>$J$3+[12]FormattedData!G39*$J$4+$M$4*$J$5+[12]FormattedData!G39^2*$J$6+$M$5*$J$7</f>
        <v>29.214068851553264</v>
      </c>
      <c r="O62" s="6">
        <f>$J$3+[12]FormattedData!H39*$J$4+$M$4*$J$5+[12]FormattedData!H39^2*$J$6+$M$5*$J$7</f>
        <v>31.932548811027019</v>
      </c>
      <c r="P62" s="6">
        <f>$J$3+[12]FormattedData!I39*$J$4+$M$4*$J$5+[12]FormattedData!I39^2*$J$6+$M$5*$J$7</f>
        <v>31.546223420922889</v>
      </c>
      <c r="Q62" s="6">
        <f>$J$3+[12]FormattedData!J39*$J$4+$M$4*$J$5+[12]FormattedData!J39^2*$J$6+$M$5*$J$7</f>
        <v>30.77154375089394</v>
      </c>
      <c r="R62" s="6">
        <f>$J$3+[12]FormattedData!K39*$J$4+$M$4*$J$5+[12]FormattedData!K39^2*$J$6+$M$5*$J$7</f>
        <v>30.674518583719628</v>
      </c>
      <c r="S62" s="6">
        <f>$J$3+[12]FormattedData!L39*$J$4+$M$4*$J$5+[12]FormattedData!L39^2*$J$6+$M$5*$J$7</f>
        <v>33.183435655424034</v>
      </c>
      <c r="T62" s="6">
        <f>$J$3+[12]FormattedData!M39*$J$4+$M$4*$J$5+[12]FormattedData!M39^2*$J$6+$M$5*$J$7</f>
        <v>31.932548811027019</v>
      </c>
      <c r="U62" s="6">
        <f>$J$3+[12]FormattedData!N39*$J$4+$M$4*$J$5+[12]FormattedData!N39^2*$J$6+$M$5*$J$7</f>
        <v>32.31819790452424</v>
      </c>
      <c r="V62" s="6">
        <f>$J$3+[12]FormattedData!O39*$J$4+$M$4*$J$5+[12]FormattedData!O39^2*$J$6+$M$5*$J$7</f>
        <v>33.375245757262306</v>
      </c>
      <c r="W62" s="5">
        <f t="shared" si="9"/>
        <v>31.057219446696166</v>
      </c>
      <c r="X62" s="4">
        <f t="shared" si="10"/>
        <v>0.45587911037533874</v>
      </c>
      <c r="Y62" s="3">
        <f t="shared" si="11"/>
        <v>28.725138847267917</v>
      </c>
      <c r="Z62" s="2">
        <f t="shared" si="12"/>
        <v>29.726113897108046</v>
      </c>
      <c r="AA62" s="3">
        <f t="shared" si="13"/>
        <v>31.158883585908413</v>
      </c>
      <c r="AB62" s="2">
        <f t="shared" si="14"/>
        <v>32.028961084401324</v>
      </c>
      <c r="AC62" s="2">
        <f t="shared" si="15"/>
        <v>33.375245757262306</v>
      </c>
      <c r="AD62" s="2">
        <f t="shared" si="16"/>
        <v>-6.5562650091376379E-2</v>
      </c>
      <c r="AE62" s="2">
        <f t="shared" si="17"/>
        <v>-1.2408799776239419</v>
      </c>
    </row>
    <row r="63" spans="2:31" x14ac:dyDescent="0.2">
      <c r="B63" s="1">
        <f>[12]FormattedData!A41</f>
        <v>206</v>
      </c>
      <c r="C63" s="1" t="str">
        <f>VLOOKUP($B63,[12]TrtCodes!$B$11:I84,2)</f>
        <v>NSL</v>
      </c>
      <c r="D63" s="1">
        <f>VLOOKUP($B63,[12]TrtCodes!$B$11:J84,3)</f>
        <v>8</v>
      </c>
      <c r="E63" s="1">
        <f>VLOOKUP($B63,[12]TrtCodes!$B$11:K84,4)</f>
        <v>2</v>
      </c>
      <c r="F63" s="1">
        <f>VLOOKUP($B63,[12]TrtCodes!$B$11:L84,5)</f>
        <v>1</v>
      </c>
      <c r="G63" s="1">
        <f>VLOOKUP($B63,[12]TrtCodes!$B$11:M84,6)</f>
        <v>1</v>
      </c>
      <c r="H63" s="1">
        <f>VLOOKUP($B63,[12]TrtCodes!$B$11:N84,7)</f>
        <v>2</v>
      </c>
      <c r="I63" s="1">
        <f>[12]FormattedData!B41</f>
        <v>2</v>
      </c>
      <c r="J63" s="4">
        <f>[12]FormattedData!C41</f>
        <v>13.334</v>
      </c>
      <c r="K63" s="6">
        <f>$J$3+[12]FormattedData!D41*$J$4+$M$4*$J$5+[12]FormattedData!D41^2*$J$6+$M$5*$J$7</f>
        <v>35.093928336979104</v>
      </c>
      <c r="L63" s="6">
        <f>$J$3+[12]FormattedData!E41*$J$4+$M$4*$J$5+[12]FormattedData!E41^2*$J$6+$M$5*$J$7</f>
        <v>36.704553661121572</v>
      </c>
      <c r="M63" s="6">
        <f>$J$3+[12]FormattedData!F41*$J$4+$M$4*$J$5+[12]FormattedData!F41^2*$J$6+$M$5*$J$7</f>
        <v>35.473997983469431</v>
      </c>
      <c r="N63" s="6">
        <f>$J$3+[12]FormattedData!G41*$J$4+$M$4*$J$5+[12]FormattedData!G41^2*$J$6+$M$5*$J$7</f>
        <v>34.808432282463087</v>
      </c>
      <c r="O63" s="6">
        <f>$J$3+[12]FormattedData!H41*$J$4+$M$4*$J$5+[12]FormattedData!H41^2*$J$6+$M$5*$J$7</f>
        <v>34.4271791169107</v>
      </c>
      <c r="P63" s="6">
        <f>$J$3+[12]FormattedData!I41*$J$4+$M$4*$J$5+[12]FormattedData!I41^2*$J$6+$M$5*$J$7</f>
        <v>36.137492526117136</v>
      </c>
      <c r="Q63" s="6">
        <f>$J$3+[12]FormattedData!J41*$J$4+$M$4*$J$5+[12]FormattedData!J41^2*$J$6+$M$5*$J$7</f>
        <v>34.236298922906919</v>
      </c>
      <c r="R63" s="6">
        <f>$J$3+[12]FormattedData!K41*$J$4+$M$4*$J$5+[12]FormattedData!K41^2*$J$6+$M$5*$J$7</f>
        <v>34.713182393881894</v>
      </c>
      <c r="S63" s="6">
        <f>$J$3+[12]FormattedData!L41*$J$4+$M$4*$J$5+[12]FormattedData!L41^2*$J$6+$M$5*$J$7</f>
        <v>34.617890236762754</v>
      </c>
      <c r="T63" s="6">
        <f>$J$3+[12]FormattedData!M41*$J$4+$M$4*$J$5+[12]FormattedData!M41^2*$J$6+$M$5*$J$7</f>
        <v>34.713182393881894</v>
      </c>
      <c r="U63" s="6">
        <f>$J$3+[12]FormattedData!N41*$J$4+$M$4*$J$5+[12]FormattedData!N41^2*$J$6+$M$5*$J$7</f>
        <v>34.617890236762754</v>
      </c>
      <c r="V63" s="6">
        <f>$J$3+[12]FormattedData!O41*$J$4+$M$4*$J$5+[12]FormattedData!O41^2*$J$6+$M$5*$J$7</f>
        <v>33.854031312444178</v>
      </c>
      <c r="W63" s="5">
        <f t="shared" si="9"/>
        <v>34.949838283641789</v>
      </c>
      <c r="X63" s="4">
        <f t="shared" si="10"/>
        <v>0.23225744306138038</v>
      </c>
      <c r="Y63" s="3">
        <f t="shared" si="11"/>
        <v>33.854031312444178</v>
      </c>
      <c r="Z63" s="2">
        <f t="shared" si="12"/>
        <v>34.570212456799737</v>
      </c>
      <c r="AA63" s="3">
        <f t="shared" si="13"/>
        <v>34.713182393881894</v>
      </c>
      <c r="AB63" s="2">
        <f t="shared" si="14"/>
        <v>35.188945748601682</v>
      </c>
      <c r="AC63" s="2">
        <f t="shared" si="15"/>
        <v>36.704553661121572</v>
      </c>
      <c r="AD63" s="2">
        <f t="shared" si="16"/>
        <v>1.1102879796227423</v>
      </c>
      <c r="AE63" s="2">
        <f t="shared" si="17"/>
        <v>0.98794222749918514</v>
      </c>
    </row>
    <row r="64" spans="2:31" x14ac:dyDescent="0.2">
      <c r="B64" s="1">
        <f>[12]FormattedData!A43</f>
        <v>207</v>
      </c>
      <c r="C64" s="1" t="str">
        <f>VLOOKUP($B64,[12]TrtCodes!$B$11:I86,2)</f>
        <v>FTL</v>
      </c>
      <c r="D64" s="1">
        <f>VLOOKUP($B64,[12]TrtCodes!$B$11:J86,3)</f>
        <v>4</v>
      </c>
      <c r="E64" s="1">
        <f>VLOOKUP($B64,[12]TrtCodes!$B$11:K86,4)</f>
        <v>1</v>
      </c>
      <c r="F64" s="1">
        <f>VLOOKUP($B64,[12]TrtCodes!$B$11:L86,5)</f>
        <v>2</v>
      </c>
      <c r="G64" s="1">
        <f>VLOOKUP($B64,[12]TrtCodes!$B$11:M86,6)</f>
        <v>1</v>
      </c>
      <c r="H64" s="1">
        <f>VLOOKUP($B64,[12]TrtCodes!$B$11:N86,7)</f>
        <v>2</v>
      </c>
      <c r="I64" s="1">
        <f>[12]FormattedData!B43</f>
        <v>2</v>
      </c>
      <c r="J64" s="4">
        <f>[12]FormattedData!C43</f>
        <v>13.351000000000001</v>
      </c>
      <c r="K64" s="6">
        <f>$J$3+[12]FormattedData!D43*$J$4+$M$4*$J$5+[12]FormattedData!D43^2*$J$6+$M$5*$J$7</f>
        <v>33.949661617866767</v>
      </c>
      <c r="L64" s="6">
        <f>$J$3+[12]FormattedData!E43*$J$4+$M$4*$J$5+[12]FormattedData!E43^2*$J$6+$M$5*$J$7</f>
        <v>33.27936184061214</v>
      </c>
      <c r="M64" s="6">
        <f>$J$3+[12]FormattedData!F43*$J$4+$M$4*$J$5+[12]FormattedData!F43^2*$J$6+$M$5*$J$7</f>
        <v>32.221849033956836</v>
      </c>
      <c r="N64" s="6">
        <f>$J$3+[12]FormattedData!G43*$J$4+$M$4*$J$5+[12]FormattedData!G43^2*$J$6+$M$5*$J$7</f>
        <v>33.758358738483672</v>
      </c>
      <c r="O64" s="6">
        <f>$J$3+[12]FormattedData!H43*$J$4+$M$4*$J$5+[12]FormattedData!H43^2*$J$6+$M$5*$J$7</f>
        <v>33.566886784948849</v>
      </c>
      <c r="P64" s="6">
        <f>$J$3+[12]FormattedData!I43*$J$4+$M$4*$J$5+[12]FormattedData!I43^2*$J$6+$M$5*$J$7</f>
        <v>31.256035558696517</v>
      </c>
      <c r="Q64" s="6">
        <f>$J$3+[12]FormattedData!J43*$J$4+$M$4*$J$5+[12]FormattedData!J43^2*$J$6+$M$5*$J$7</f>
        <v>36.042834397066969</v>
      </c>
      <c r="R64" s="6">
        <f>$J$3+[12]FormattedData!K43*$J$4+$M$4*$J$5+[12]FormattedData!K43^2*$J$6+$M$5*$J$7</f>
        <v>35.093928336979104</v>
      </c>
      <c r="S64" s="6">
        <f>$J$3+[12]FormattedData!L43*$J$4+$M$4*$J$5+[12]FormattedData!L43^2*$J$6+$M$5*$J$7</f>
        <v>34.236298922906919</v>
      </c>
      <c r="T64" s="6">
        <f>$J$3+[12]FormattedData!M43*$J$4+$M$4*$J$5+[12]FormattedData!M43^2*$J$6+$M$5*$J$7</f>
        <v>34.045249654751416</v>
      </c>
      <c r="U64" s="6">
        <f>$J$3+[12]FormattedData!N43*$J$4+$M$4*$J$5+[12]FormattedData!N43^2*$J$6+$M$5*$J$7</f>
        <v>35.75860639868889</v>
      </c>
      <c r="V64" s="6">
        <f>$J$3+[12]FormattedData!O43*$J$4+$M$4*$J$5+[12]FormattedData!O43^2*$J$6+$M$5*$J$7</f>
        <v>33.949661617866767</v>
      </c>
      <c r="W64" s="5">
        <f t="shared" si="9"/>
        <v>33.929894408568735</v>
      </c>
      <c r="X64" s="4">
        <f t="shared" si="10"/>
        <v>0.38849926643112698</v>
      </c>
      <c r="Y64" s="3">
        <f t="shared" si="11"/>
        <v>31.256035558696517</v>
      </c>
      <c r="Z64" s="2">
        <f t="shared" si="12"/>
        <v>33.495005548864668</v>
      </c>
      <c r="AA64" s="3">
        <f t="shared" si="13"/>
        <v>33.949661617866767</v>
      </c>
      <c r="AB64" s="2">
        <f t="shared" si="14"/>
        <v>34.450706276424967</v>
      </c>
      <c r="AC64" s="2">
        <f t="shared" si="15"/>
        <v>36.042834397066969</v>
      </c>
      <c r="AD64" s="2">
        <f t="shared" si="16"/>
        <v>-0.32544898571636344</v>
      </c>
      <c r="AE64" s="2">
        <f t="shared" si="17"/>
        <v>0.42366713410253354</v>
      </c>
    </row>
    <row r="65" spans="2:31" x14ac:dyDescent="0.2">
      <c r="B65" s="1">
        <f>[12]FormattedData!A45</f>
        <v>208</v>
      </c>
      <c r="C65" s="1" t="str">
        <f>VLOOKUP($B65,[12]TrtCodes!$B$11:I88,2)</f>
        <v>FSL</v>
      </c>
      <c r="D65" s="1">
        <f>VLOOKUP($B65,[12]TrtCodes!$B$11:J88,3)</f>
        <v>2</v>
      </c>
      <c r="E65" s="1">
        <f>VLOOKUP($B65,[12]TrtCodes!$B$11:K88,4)</f>
        <v>1</v>
      </c>
      <c r="F65" s="1">
        <f>VLOOKUP($B65,[12]TrtCodes!$B$11:L88,5)</f>
        <v>1</v>
      </c>
      <c r="G65" s="1">
        <f>VLOOKUP($B65,[12]TrtCodes!$B$11:M88,6)</f>
        <v>1</v>
      </c>
      <c r="H65" s="1">
        <f>VLOOKUP($B65,[12]TrtCodes!$B$11:N88,7)</f>
        <v>2</v>
      </c>
      <c r="I65" s="1">
        <f>[12]FormattedData!B45</f>
        <v>2</v>
      </c>
      <c r="J65" s="4">
        <f>[12]FormattedData!C45</f>
        <v>13.368</v>
      </c>
      <c r="K65" s="6">
        <f>$J$3+[12]FormattedData!D45*$J$4+$M$4*$J$5+[12]FormattedData!D45^2*$J$6+$M$5*$J$7</f>
        <v>32.703170701414578</v>
      </c>
      <c r="L65" s="6">
        <f>$J$3+[12]FormattedData!E45*$J$4+$M$4*$J$5+[12]FormattedData!E45^2*$J$6+$M$5*$J$7</f>
        <v>33.087467201698011</v>
      </c>
      <c r="M65" s="6">
        <f>$J$3+[12]FormattedData!F45*$J$4+$M$4*$J$5+[12]FormattedData!F45^2*$J$6+$M$5*$J$7</f>
        <v>34.522555811105704</v>
      </c>
      <c r="N65" s="6">
        <f>$J$3+[12]FormattedData!G45*$J$4+$M$4*$J$5+[12]FormattedData!G45^2*$J$6+$M$5*$J$7</f>
        <v>33.375245757262306</v>
      </c>
      <c r="O65" s="6">
        <f>$J$3+[12]FormattedData!H45*$J$4+$M$4*$J$5+[12]FormattedData!H45^2*$J$6+$M$5*$J$7</f>
        <v>33.566886784948849</v>
      </c>
      <c r="P65" s="6">
        <f>$J$3+[12]FormattedData!I45*$J$4+$M$4*$J$5+[12]FormattedData!I45^2*$J$6+$M$5*$J$7</f>
        <v>31.739470653050816</v>
      </c>
      <c r="Q65" s="6">
        <f>$J$3+[12]FormattedData!J45*$J$4+$M$4*$J$5+[12]FormattedData!J45^2*$J$6+$M$5*$J$7</f>
        <v>31.83603086630788</v>
      </c>
      <c r="R65" s="6">
        <f>$J$3+[12]FormattedData!K45*$J$4+$M$4*$J$5+[12]FormattedData!K45^2*$J$6+$M$5*$J$7</f>
        <v>30.965467279628765</v>
      </c>
      <c r="S65" s="6">
        <f>$J$3+[12]FormattedData!L45*$J$4+$M$4*$J$5+[12]FormattedData!L45^2*$J$6+$M$5*$J$7</f>
        <v>30.868526649530317</v>
      </c>
      <c r="T65" s="6">
        <f>$J$3+[12]FormattedData!M45*$J$4+$M$4*$J$5+[12]FormattedData!M45^2*$J$6+$M$5*$J$7</f>
        <v>31.352807114643234</v>
      </c>
      <c r="U65" s="6">
        <f>$J$3+[12]FormattedData!N45*$J$4+$M$4*$J$5+[12]FormattedData!N45^2*$J$6+$M$5*$J$7</f>
        <v>31.159221734211858</v>
      </c>
      <c r="V65" s="6">
        <f>$J$3+[12]FormattedData!O45*$J$4+$M$4*$J$5+[12]FormattedData!O45^2*$J$6+$M$5*$J$7</f>
        <v>32.414504506553726</v>
      </c>
      <c r="W65" s="5">
        <f t="shared" si="9"/>
        <v>32.299279588363007</v>
      </c>
      <c r="X65" s="4">
        <f t="shared" si="10"/>
        <v>0.33771479825332273</v>
      </c>
      <c r="Y65" s="3">
        <f t="shared" si="11"/>
        <v>30.868526649530317</v>
      </c>
      <c r="Z65" s="2">
        <f t="shared" si="12"/>
        <v>31.304410769535391</v>
      </c>
      <c r="AA65" s="3">
        <f t="shared" si="13"/>
        <v>32.125267686430803</v>
      </c>
      <c r="AB65" s="2">
        <f t="shared" si="14"/>
        <v>33.159411840589087</v>
      </c>
      <c r="AC65" s="2">
        <f t="shared" si="15"/>
        <v>34.522555811105704</v>
      </c>
      <c r="AD65" s="2">
        <f t="shared" si="16"/>
        <v>0.4716857002842349</v>
      </c>
      <c r="AE65" s="2">
        <f t="shared" si="17"/>
        <v>-0.77270170525852633</v>
      </c>
    </row>
    <row r="66" spans="2:31" x14ac:dyDescent="0.2">
      <c r="B66" s="1">
        <f>[12]FormattedData!A63</f>
        <v>301</v>
      </c>
      <c r="C66" s="1" t="str">
        <f>VLOOKUP($B66,[12]TrtCodes!$B$11:I106,2)</f>
        <v>NTL</v>
      </c>
      <c r="D66" s="1">
        <f>VLOOKUP($B66,[12]TrtCodes!$B$11:J106,3)</f>
        <v>10</v>
      </c>
      <c r="E66" s="1">
        <f>VLOOKUP($B66,[12]TrtCodes!$B$11:K106,4)</f>
        <v>2</v>
      </c>
      <c r="F66" s="1">
        <f>VLOOKUP($B66,[12]TrtCodes!$B$11:L106,5)</f>
        <v>2</v>
      </c>
      <c r="G66" s="1">
        <f>VLOOKUP($B66,[12]TrtCodes!$B$11:M106,6)</f>
        <v>1</v>
      </c>
      <c r="H66" s="1">
        <f>VLOOKUP($B66,[12]TrtCodes!$B$11:N106,7)</f>
        <v>3</v>
      </c>
      <c r="I66" s="1">
        <f>[12]FormattedData!B63</f>
        <v>2</v>
      </c>
      <c r="J66" s="4">
        <f>[12]FormattedData!C63</f>
        <v>13.497999999999999</v>
      </c>
      <c r="K66" s="6">
        <f>$J$3+[12]FormattedData!D63*$J$4+$M$4*$J$5+[12]FormattedData!D63^2*$J$6+$M$5*$J$7</f>
        <v>28.627226040797055</v>
      </c>
      <c r="L66" s="6">
        <f>$J$3+[12]FormattedData!E63*$J$4+$M$4*$J$5+[12]FormattedData!E63^2*$J$6+$M$5*$J$7</f>
        <v>28.823009385200848</v>
      </c>
      <c r="M66" s="6">
        <f>$J$3+[12]FormattedData!F63*$J$4+$M$4*$J$5+[12]FormattedData!F63^2*$J$6+$M$5*$J$7</f>
        <v>30.091479941377226</v>
      </c>
      <c r="N66" s="6">
        <f>$J$3+[12]FormattedData!G63*$J$4+$M$4*$J$5+[12]FormattedData!G63^2*$J$6+$M$5*$J$7</f>
        <v>29.214068851553264</v>
      </c>
      <c r="O66" s="6">
        <f>$J$3+[12]FormattedData!H63*$J$4+$M$4*$J$5+[12]FormattedData!H63^2*$J$6+$M$5*$J$7</f>
        <v>28.529270965788264</v>
      </c>
      <c r="P66" s="6">
        <f>$J$3+[12]FormattedData!I63*$J$4+$M$4*$J$5+[12]FormattedData!I63^2*$J$6+$M$5*$J$7</f>
        <v>28.431273622241534</v>
      </c>
      <c r="Q66" s="6">
        <f>$J$3+[12]FormattedData!J63*$J$4+$M$4*$J$5+[12]FormattedData!J63^2*$J$6+$M$5*$J$7</f>
        <v>29.116367387772058</v>
      </c>
      <c r="R66" s="6">
        <f>$J$3+[12]FormattedData!K63*$J$4+$M$4*$J$5+[12]FormattedData!K63^2*$J$6+$M$5*$J$7</f>
        <v>29.116367387772058</v>
      </c>
      <c r="S66" s="6">
        <f>$J$3+[12]FormattedData!L63*$J$4+$M$4*$J$5+[12]FormattedData!L63^2*$J$6+$M$5*$J$7</f>
        <v>30.577451148007391</v>
      </c>
      <c r="T66" s="6">
        <f>$J$3+[12]FormattedData!M63*$J$4+$M$4*$J$5+[12]FormattedData!M63^2*$J$6+$M$5*$J$7</f>
        <v>28.823009385200848</v>
      </c>
      <c r="U66" s="6">
        <f>$J$3+[12]FormattedData!N63*$J$4+$M$4*$J$5+[12]FormattedData!N63^2*$J$6+$M$5*$J$7</f>
        <v>29.214068851553264</v>
      </c>
      <c r="V66" s="6">
        <f>$J$3+[12]FormattedData!O63*$J$4+$M$4*$J$5+[12]FormattedData!O63^2*$J$6+$M$5*$J$7</f>
        <v>29.409344973501884</v>
      </c>
      <c r="W66" s="5">
        <f t="shared" si="9"/>
        <v>29.164411495063813</v>
      </c>
      <c r="X66" s="4">
        <f t="shared" si="10"/>
        <v>0.1823302697323152</v>
      </c>
      <c r="Y66" s="3">
        <f t="shared" si="11"/>
        <v>28.431273622241534</v>
      </c>
      <c r="Z66" s="2">
        <f t="shared" si="12"/>
        <v>28.7740635490999</v>
      </c>
      <c r="AA66" s="3">
        <f t="shared" si="13"/>
        <v>29.116367387772058</v>
      </c>
      <c r="AB66" s="2">
        <f t="shared" si="14"/>
        <v>29.26288788204042</v>
      </c>
      <c r="AC66" s="2">
        <f t="shared" si="15"/>
        <v>30.577451148007391</v>
      </c>
      <c r="AD66" s="2">
        <f t="shared" si="16"/>
        <v>1.1897576989536272</v>
      </c>
      <c r="AE66" s="2">
        <f t="shared" si="17"/>
        <v>1.2055333252140921</v>
      </c>
    </row>
    <row r="67" spans="2:31" x14ac:dyDescent="0.2">
      <c r="B67" s="1">
        <f>[12]FormattedData!A65</f>
        <v>302</v>
      </c>
      <c r="C67" s="1" t="str">
        <f>VLOOKUP($B67,[12]TrtCodes!$B$11:I108,2)</f>
        <v>FTL</v>
      </c>
      <c r="D67" s="1">
        <f>VLOOKUP($B67,[12]TrtCodes!$B$11:J108,3)</f>
        <v>4</v>
      </c>
      <c r="E67" s="1">
        <f>VLOOKUP($B67,[12]TrtCodes!$B$11:K108,4)</f>
        <v>1</v>
      </c>
      <c r="F67" s="1">
        <f>VLOOKUP($B67,[12]TrtCodes!$B$11:L108,5)</f>
        <v>2</v>
      </c>
      <c r="G67" s="1">
        <f>VLOOKUP($B67,[12]TrtCodes!$B$11:M108,6)</f>
        <v>1</v>
      </c>
      <c r="H67" s="1">
        <f>VLOOKUP($B67,[12]TrtCodes!$B$11:N108,7)</f>
        <v>3</v>
      </c>
      <c r="I67" s="1">
        <f>[12]FormattedData!B65</f>
        <v>2</v>
      </c>
      <c r="J67" s="4">
        <f>[12]FormattedData!C65</f>
        <v>13.513999999999999</v>
      </c>
      <c r="K67" s="6">
        <f>$J$3+[12]FormattedData!D65*$J$4+$M$4*$J$5+[12]FormattedData!D65^2*$J$6+$M$5*$J$7</f>
        <v>29.116367387772058</v>
      </c>
      <c r="L67" s="6">
        <f>$J$3+[12]FormattedData!E65*$J$4+$M$4*$J$5+[12]FormattedData!E65^2*$J$6+$M$5*$J$7</f>
        <v>29.409344973501884</v>
      </c>
      <c r="M67" s="6">
        <f>$J$3+[12]FormattedData!F65*$J$4+$M$4*$J$5+[12]FormattedData!F65^2*$J$6+$M$5*$J$7</f>
        <v>29.116367387772058</v>
      </c>
      <c r="N67" s="6">
        <f>$J$3+[12]FormattedData!G65*$J$4+$M$4*$J$5+[12]FormattedData!G65^2*$J$6+$M$5*$J$7</f>
        <v>28.333234010156879</v>
      </c>
      <c r="O67" s="6">
        <f>$J$3+[12]FormattedData!H65*$J$4+$M$4*$J$5+[12]FormattedData!H65^2*$J$6+$M$5*$J$7</f>
        <v>29.116367387772058</v>
      </c>
      <c r="P67" s="6">
        <f>$J$3+[12]FormattedData!I65*$J$4+$M$4*$J$5+[12]FormattedData!I65^2*$J$6+$M$5*$J$7</f>
        <v>29.994158894437405</v>
      </c>
      <c r="Q67" s="6">
        <f>$J$3+[12]FormattedData!J65*$J$4+$M$4*$J$5+[12]FormattedData!J65^2*$J$6+$M$5*$J$7</f>
        <v>29.311728046796542</v>
      </c>
      <c r="R67" s="6">
        <f>$J$3+[12]FormattedData!K65*$J$4+$M$4*$J$5+[12]FormattedData!K65^2*$J$6+$M$5*$J$7</f>
        <v>29.70194214239033</v>
      </c>
      <c r="S67" s="6">
        <f>$J$3+[12]FormattedData!L65*$J$4+$M$4*$J$5+[12]FormattedData!L65^2*$J$6+$M$5*$J$7</f>
        <v>29.994158894437405</v>
      </c>
      <c r="T67" s="6">
        <f>$J$3+[12]FormattedData!M65*$J$4+$M$4*$J$5+[12]FormattedData!M65^2*$J$6+$M$5*$J$7</f>
        <v>29.89679557895964</v>
      </c>
      <c r="U67" s="6">
        <f>$J$3+[12]FormattedData!N65*$J$4+$M$4*$J$5+[12]FormattedData!N65^2*$J$6+$M$5*$J$7</f>
        <v>30.285995229643085</v>
      </c>
      <c r="V67" s="6">
        <f>$J$3+[12]FormattedData!O65*$J$4+$M$4*$J$5+[12]FormattedData!O65^2*$J$6+$M$5*$J$7</f>
        <v>28.823009385200848</v>
      </c>
      <c r="W67" s="5">
        <f t="shared" si="9"/>
        <v>29.42495577657002</v>
      </c>
      <c r="X67" s="4">
        <f t="shared" si="10"/>
        <v>0.16380115520426292</v>
      </c>
      <c r="Y67" s="3">
        <f t="shared" si="11"/>
        <v>28.333234010156879</v>
      </c>
      <c r="Z67" s="2">
        <f t="shared" si="12"/>
        <v>29.116367387772058</v>
      </c>
      <c r="AA67" s="3">
        <f t="shared" si="13"/>
        <v>29.360536510149213</v>
      </c>
      <c r="AB67" s="2">
        <f t="shared" si="14"/>
        <v>29.921136407829081</v>
      </c>
      <c r="AC67" s="2">
        <f t="shared" si="15"/>
        <v>30.285995229643085</v>
      </c>
      <c r="AD67" s="2">
        <f t="shared" si="16"/>
        <v>-0.28387355582039941</v>
      </c>
      <c r="AE67" s="2">
        <f t="shared" si="17"/>
        <v>-0.3939718183459231</v>
      </c>
    </row>
    <row r="68" spans="2:31" x14ac:dyDescent="0.2">
      <c r="B68" s="1">
        <f>[12]FormattedData!A67</f>
        <v>303</v>
      </c>
      <c r="C68" s="1" t="str">
        <f>VLOOKUP($B68,[12]TrtCodes!$B$11:I110,2)</f>
        <v>NSL</v>
      </c>
      <c r="D68" s="1">
        <f>VLOOKUP($B68,[12]TrtCodes!$B$11:J110,3)</f>
        <v>8</v>
      </c>
      <c r="E68" s="1">
        <f>VLOOKUP($B68,[12]TrtCodes!$B$11:K110,4)</f>
        <v>2</v>
      </c>
      <c r="F68" s="1">
        <f>VLOOKUP($B68,[12]TrtCodes!$B$11:L110,5)</f>
        <v>1</v>
      </c>
      <c r="G68" s="1">
        <f>VLOOKUP($B68,[12]TrtCodes!$B$11:M110,6)</f>
        <v>1</v>
      </c>
      <c r="H68" s="1">
        <f>VLOOKUP($B68,[12]TrtCodes!$B$11:N110,7)</f>
        <v>3</v>
      </c>
      <c r="I68" s="1">
        <f>[12]FormattedData!B67</f>
        <v>2</v>
      </c>
      <c r="J68" s="4">
        <f>[12]FormattedData!C67</f>
        <v>13.531000000000001</v>
      </c>
      <c r="K68" s="6">
        <f>$J$3+[12]FormattedData!D67*$J$4+$M$4*$J$5+[12]FormattedData!D67^2*$J$6+$M$5*$J$7</f>
        <v>33.662643895985219</v>
      </c>
      <c r="L68" s="6">
        <f>$J$3+[12]FormattedData!E67*$J$4+$M$4*$J$5+[12]FormattedData!E67^2*$J$6+$M$5*$J$7</f>
        <v>34.903639902506363</v>
      </c>
      <c r="M68" s="6">
        <f>$J$3+[12]FormattedData!F67*$J$4+$M$4*$J$5+[12]FormattedData!F67^2*$J$6+$M$5*$J$7</f>
        <v>34.331760154177772</v>
      </c>
      <c r="N68" s="6">
        <f>$J$3+[12]FormattedData!G67*$J$4+$M$4*$J$5+[12]FormattedData!G67^2*$J$6+$M$5*$J$7</f>
        <v>35.75860639868889</v>
      </c>
      <c r="O68" s="6">
        <f>$J$3+[12]FormattedData!H67*$J$4+$M$4*$J$5+[12]FormattedData!H67^2*$J$6+$M$5*$J$7</f>
        <v>32.991456479434049</v>
      </c>
      <c r="P68" s="6">
        <f>$J$3+[12]FormattedData!I67*$J$4+$M$4*$J$5+[12]FormattedData!I67^2*$J$6+$M$5*$J$7</f>
        <v>36.98751360336172</v>
      </c>
      <c r="Q68" s="6">
        <f>$J$3+[12]FormattedData!J67*$J$4+$M$4*$J$5+[12]FormattedData!J67^2*$J$6+$M$5*$J$7</f>
        <v>33.854031312444178</v>
      </c>
      <c r="R68" s="6">
        <f>$J$3+[12]FormattedData!K67*$J$4+$M$4*$J$5+[12]FormattedData!K67^2*$J$6+$M$5*$J$7</f>
        <v>34.713182393881894</v>
      </c>
      <c r="S68" s="6">
        <f>$J$3+[12]FormattedData!L67*$J$4+$M$4*$J$5+[12]FormattedData!L67^2*$J$6+$M$5*$J$7</f>
        <v>33.087467201698011</v>
      </c>
      <c r="T68" s="6">
        <f>$J$3+[12]FormattedData!M67*$J$4+$M$4*$J$5+[12]FormattedData!M67^2*$J$6+$M$5*$J$7</f>
        <v>33.183435655424034</v>
      </c>
      <c r="U68" s="6">
        <f>$J$3+[12]FormattedData!N67*$J$4+$M$4*$J$5+[12]FormattedData!N67^2*$J$6+$M$5*$J$7</f>
        <v>33.949661617866767</v>
      </c>
      <c r="V68" s="6">
        <f>$J$3+[12]FormattedData!O67*$J$4+$M$4*$J$5+[12]FormattedData!O67^2*$J$6+$M$5*$J$7</f>
        <v>34.808432282463087</v>
      </c>
      <c r="W68" s="5">
        <f t="shared" si="9"/>
        <v>34.352652574827665</v>
      </c>
      <c r="X68" s="4">
        <f t="shared" si="10"/>
        <v>0.34010574458571635</v>
      </c>
      <c r="Y68" s="3">
        <f t="shared" si="11"/>
        <v>32.991456479434049</v>
      </c>
      <c r="Z68" s="2">
        <f t="shared" si="12"/>
        <v>33.542841835844925</v>
      </c>
      <c r="AA68" s="3">
        <f t="shared" si="13"/>
        <v>34.140710886022269</v>
      </c>
      <c r="AB68" s="2">
        <f t="shared" si="14"/>
        <v>34.832234187473908</v>
      </c>
      <c r="AC68" s="2">
        <f t="shared" si="15"/>
        <v>36.98751360336172</v>
      </c>
      <c r="AD68" s="2">
        <f t="shared" si="16"/>
        <v>0.98172514188479587</v>
      </c>
      <c r="AE68" s="2">
        <f t="shared" si="17"/>
        <v>0.90946253283426959</v>
      </c>
    </row>
    <row r="69" spans="2:31" x14ac:dyDescent="0.2">
      <c r="B69" s="1">
        <f>[12]FormattedData!A69</f>
        <v>304</v>
      </c>
      <c r="C69" s="1" t="str">
        <f>VLOOKUP($B69,[12]TrtCodes!$B$11:I112,2)</f>
        <v>FSL</v>
      </c>
      <c r="D69" s="1">
        <f>VLOOKUP($B69,[12]TrtCodes!$B$11:J112,3)</f>
        <v>2</v>
      </c>
      <c r="E69" s="1">
        <f>VLOOKUP($B69,[12]TrtCodes!$B$11:K112,4)</f>
        <v>1</v>
      </c>
      <c r="F69" s="1">
        <f>VLOOKUP($B69,[12]TrtCodes!$B$11:L112,5)</f>
        <v>1</v>
      </c>
      <c r="G69" s="1">
        <f>VLOOKUP($B69,[12]TrtCodes!$B$11:M112,6)</f>
        <v>1</v>
      </c>
      <c r="H69" s="1">
        <f>VLOOKUP($B69,[12]TrtCodes!$B$11:N112,7)</f>
        <v>3</v>
      </c>
      <c r="I69" s="1">
        <f>[12]FormattedData!B69</f>
        <v>2</v>
      </c>
      <c r="J69" s="4">
        <f>[12]FormattedData!C69</f>
        <v>13.548</v>
      </c>
      <c r="K69" s="6">
        <f>$J$3+[12]FormattedData!D69*$J$4+$M$4*$J$5+[12]FormattedData!D69^2*$J$6+$M$5*$J$7</f>
        <v>28.92083765459585</v>
      </c>
      <c r="L69" s="6">
        <f>$J$3+[12]FormattedData!E69*$J$4+$M$4*$J$5+[12]FormattedData!E69^2*$J$6+$M$5*$J$7</f>
        <v>29.214068851553264</v>
      </c>
      <c r="M69" s="6">
        <f>$J$3+[12]FormattedData!F69*$J$4+$M$4*$J$5+[12]FormattedData!F69^2*$J$6+$M$5*$J$7</f>
        <v>31.352807114643234</v>
      </c>
      <c r="N69" s="6">
        <f>$J$3+[12]FormattedData!G69*$J$4+$M$4*$J$5+[12]FormattedData!G69^2*$J$6+$M$5*$J$7</f>
        <v>29.409344973501884</v>
      </c>
      <c r="O69" s="6">
        <f>$J$3+[12]FormattedData!H69*$J$4+$M$4*$J$5+[12]FormattedData!H69^2*$J$6+$M$5*$J$7</f>
        <v>29.116367387772058</v>
      </c>
      <c r="P69" s="6">
        <f>$J$3+[12]FormattedData!I69*$J$4+$M$4*$J$5+[12]FormattedData!I69^2*$J$6+$M$5*$J$7</f>
        <v>29.89679557895964</v>
      </c>
      <c r="Q69" s="6">
        <f>$J$3+[12]FormattedData!J69*$J$4+$M$4*$J$5+[12]FormattedData!J69^2*$J$6+$M$5*$J$7</f>
        <v>29.89679557895964</v>
      </c>
      <c r="R69" s="6">
        <f>$J$3+[12]FormattedData!K69*$J$4+$M$4*$J$5+[12]FormattedData!K69^2*$J$6+$M$5*$J$7</f>
        <v>30.674518583719628</v>
      </c>
      <c r="S69" s="6">
        <f>$J$3+[12]FormattedData!L69*$J$4+$M$4*$J$5+[12]FormattedData!L69^2*$J$6+$M$5*$J$7</f>
        <v>30.091479941377226</v>
      </c>
      <c r="T69" s="6">
        <f>$J$3+[12]FormattedData!M69*$J$4+$M$4*$J$5+[12]FormattedData!M69^2*$J$6+$M$5*$J$7</f>
        <v>30.674518583719628</v>
      </c>
      <c r="U69" s="6">
        <f>$J$3+[12]FormattedData!N69*$J$4+$M$4*$J$5+[12]FormattedData!N69^2*$J$6+$M$5*$J$7</f>
        <v>32.703170701414578</v>
      </c>
      <c r="V69" s="6">
        <f>$J$3+[12]FormattedData!O69*$J$4+$M$4*$J$5+[12]FormattedData!O69^2*$J$6+$M$5*$J$7</f>
        <v>30.577451148007391</v>
      </c>
      <c r="W69" s="5">
        <f t="shared" si="9"/>
        <v>30.210679674852006</v>
      </c>
      <c r="X69" s="4">
        <f t="shared" si="10"/>
        <v>0.31127326820467399</v>
      </c>
      <c r="Y69" s="3">
        <f t="shared" si="11"/>
        <v>28.92083765459585</v>
      </c>
      <c r="Z69" s="2">
        <f t="shared" si="12"/>
        <v>29.360525943014729</v>
      </c>
      <c r="AA69" s="3">
        <f t="shared" si="13"/>
        <v>29.994137760168435</v>
      </c>
      <c r="AB69" s="2">
        <f t="shared" si="14"/>
        <v>30.674518583719628</v>
      </c>
      <c r="AC69" s="2">
        <f t="shared" si="15"/>
        <v>32.703170701414578</v>
      </c>
      <c r="AD69" s="2">
        <f t="shared" si="16"/>
        <v>1.0614950187873806</v>
      </c>
      <c r="AE69" s="2">
        <f t="shared" si="17"/>
        <v>1.3318109763179997</v>
      </c>
    </row>
    <row r="70" spans="2:31" x14ac:dyDescent="0.2">
      <c r="B70" s="1">
        <f>[12]FormattedData!A71</f>
        <v>305</v>
      </c>
      <c r="C70" s="1" t="str">
        <f>VLOOKUP($B70,[12]TrtCodes!$B$11:I114,2)</f>
        <v>NDH</v>
      </c>
      <c r="D70" s="1">
        <f>VLOOKUP($B70,[12]TrtCodes!$B$11:J114,3)</f>
        <v>11</v>
      </c>
      <c r="E70" s="1">
        <f>VLOOKUP($B70,[12]TrtCodes!$B$11:K114,4)</f>
        <v>2</v>
      </c>
      <c r="F70" s="1">
        <f>VLOOKUP($B70,[12]TrtCodes!$B$11:L114,5)</f>
        <v>3</v>
      </c>
      <c r="G70" s="1">
        <f>VLOOKUP($B70,[12]TrtCodes!$B$11:M114,6)</f>
        <v>2</v>
      </c>
      <c r="H70" s="1">
        <f>VLOOKUP($B70,[12]TrtCodes!$B$11:N114,7)</f>
        <v>4</v>
      </c>
      <c r="I70" s="1">
        <f>[12]FormattedData!B71</f>
        <v>2</v>
      </c>
      <c r="J70" s="4">
        <f>[12]FormattedData!C71</f>
        <v>13.565</v>
      </c>
      <c r="K70" s="6">
        <f>$J$3+[12]FormattedData!D71*$J$4+$M$4*$J$5+[12]FormattedData!D71^2*$J$6+$M$5*$J$7</f>
        <v>28.333234010156879</v>
      </c>
      <c r="L70" s="6">
        <f>$J$3+[12]FormattedData!E71*$J$4+$M$4*$J$5+[12]FormattedData!E71^2*$J$6+$M$5*$J$7</f>
        <v>27.44897541718807</v>
      </c>
      <c r="M70" s="6">
        <f>$J$3+[12]FormattedData!F71*$J$4+$M$4*$J$5+[12]FormattedData!F71^2*$J$6+$M$5*$J$7</f>
        <v>28.333234010156879</v>
      </c>
      <c r="N70" s="6">
        <f>$J$3+[12]FormattedData!G71*$J$4+$M$4*$J$5+[12]FormattedData!G71^2*$J$6+$M$5*$J$7</f>
        <v>28.235152129534292</v>
      </c>
      <c r="O70" s="6">
        <f>$J$3+[12]FormattedData!H71*$J$4+$M$4*$J$5+[12]FormattedData!H71^2*$J$6+$M$5*$J$7</f>
        <v>29.311728046796542</v>
      </c>
      <c r="P70" s="6">
        <f>$J$3+[12]FormattedData!I71*$J$4+$M$4*$J$5+[12]FormattedData!I71^2*$J$6+$M$5*$J$7</f>
        <v>29.70194214239033</v>
      </c>
      <c r="Q70" s="6">
        <f>$J$3+[12]FormattedData!J71*$J$4+$M$4*$J$5+[12]FormattedData!J71^2*$J$6+$M$5*$J$7</f>
        <v>29.311728046796542</v>
      </c>
      <c r="R70" s="6">
        <f>$J$3+[12]FormattedData!K71*$J$4+$M$4*$J$5+[12]FormattedData!K71^2*$J$6+$M$5*$J$7</f>
        <v>30.188758719779116</v>
      </c>
      <c r="S70" s="6">
        <f>$J$3+[12]FormattedData!L71*$J$4+$M$4*$J$5+[12]FormattedData!L71^2*$J$6+$M$5*$J$7</f>
        <v>29.70194214239033</v>
      </c>
      <c r="T70" s="6">
        <f>$J$3+[12]FormattedData!M71*$J$4+$M$4*$J$5+[12]FormattedData!M71^2*$J$6+$M$5*$J$7</f>
        <v>28.92083765459585</v>
      </c>
      <c r="U70" s="6">
        <f>$J$3+[12]FormattedData!N71*$J$4+$M$4*$J$5+[12]FormattedData!N71^2*$J$6+$M$5*$J$7</f>
        <v>30.480341443757222</v>
      </c>
      <c r="V70" s="6">
        <f>$J$3+[12]FormattedData!O71*$J$4+$M$4*$J$5+[12]FormattedData!O71^2*$J$6+$M$5*$J$7</f>
        <v>29.214068851553264</v>
      </c>
      <c r="W70" s="5">
        <f t="shared" si="9"/>
        <v>29.098495217924608</v>
      </c>
      <c r="X70" s="4">
        <f t="shared" si="10"/>
        <v>0.25524575388026083</v>
      </c>
      <c r="Y70" s="3">
        <f t="shared" si="11"/>
        <v>27.44897541718807</v>
      </c>
      <c r="Z70" s="2">
        <f t="shared" si="12"/>
        <v>28.333234010156879</v>
      </c>
      <c r="AA70" s="3">
        <f t="shared" si="13"/>
        <v>29.262898449174905</v>
      </c>
      <c r="AB70" s="2">
        <f t="shared" si="14"/>
        <v>29.70194214239033</v>
      </c>
      <c r="AC70" s="2">
        <f t="shared" si="15"/>
        <v>30.480341443757222</v>
      </c>
      <c r="AD70" s="2">
        <f t="shared" si="16"/>
        <v>-0.25859149411479654</v>
      </c>
      <c r="AE70" s="2">
        <f t="shared" si="17"/>
        <v>-0.43062303923026857</v>
      </c>
    </row>
    <row r="71" spans="2:31" x14ac:dyDescent="0.2">
      <c r="B71" s="1">
        <f>[12]FormattedData!A73</f>
        <v>306</v>
      </c>
      <c r="C71" s="1" t="str">
        <f>VLOOKUP($B71,[12]TrtCodes!$B$11:I116,2)</f>
        <v>FTL</v>
      </c>
      <c r="D71" s="1">
        <f>VLOOKUP($B71,[12]TrtCodes!$B$11:J116,3)</f>
        <v>4</v>
      </c>
      <c r="E71" s="1">
        <f>VLOOKUP($B71,[12]TrtCodes!$B$11:K116,4)</f>
        <v>1</v>
      </c>
      <c r="F71" s="1">
        <f>VLOOKUP($B71,[12]TrtCodes!$B$11:L116,5)</f>
        <v>2</v>
      </c>
      <c r="G71" s="1">
        <f>VLOOKUP($B71,[12]TrtCodes!$B$11:M116,6)</f>
        <v>1</v>
      </c>
      <c r="H71" s="1">
        <f>VLOOKUP($B71,[12]TrtCodes!$B$11:N116,7)</f>
        <v>4</v>
      </c>
      <c r="I71" s="1">
        <f>[12]FormattedData!B73</f>
        <v>2</v>
      </c>
      <c r="J71" s="4">
        <f>[12]FormattedData!C73</f>
        <v>13.581</v>
      </c>
      <c r="K71" s="6">
        <f>$J$3+[12]FormattedData!D73*$J$4+$M$4*$J$5+[12]FormattedData!D73^2*$J$6+$M$5*$J$7</f>
        <v>29.214068851553264</v>
      </c>
      <c r="L71" s="6">
        <f>$J$3+[12]FormattedData!E73*$J$4+$M$4*$J$5+[12]FormattedData!E73^2*$J$6+$M$5*$J$7</f>
        <v>28.725138847267917</v>
      </c>
      <c r="M71" s="6">
        <f>$J$3+[12]FormattedData!F73*$J$4+$M$4*$J$5+[12]FormattedData!F73^2*$J$6+$M$5*$J$7</f>
        <v>29.311728046796542</v>
      </c>
      <c r="N71" s="6">
        <f>$J$3+[12]FormattedData!G73*$J$4+$M$4*$J$5+[12]FormattedData!G73^2*$J$6+$M$5*$J$7</f>
        <v>29.994158894437405</v>
      </c>
      <c r="O71" s="6">
        <f>$J$3+[12]FormattedData!H73*$J$4+$M$4*$J$5+[12]FormattedData!H73^2*$J$6+$M$5*$J$7</f>
        <v>29.89679557895964</v>
      </c>
      <c r="P71" s="6">
        <f>$J$3+[12]FormattedData!I73*$J$4+$M$4*$J$5+[12]FormattedData!I73^2*$J$6+$M$5*$J$7</f>
        <v>30.480341443757222</v>
      </c>
      <c r="Q71" s="6">
        <f>$J$3+[12]FormattedData!J73*$J$4+$M$4*$J$5+[12]FormattedData!J73^2*$J$6+$M$5*$J$7</f>
        <v>29.70194214239033</v>
      </c>
      <c r="R71" s="6">
        <f>$J$3+[12]FormattedData!K73*$J$4+$M$4*$J$5+[12]FormattedData!K73^2*$J$6+$M$5*$J$7</f>
        <v>29.604452021298783</v>
      </c>
      <c r="S71" s="6">
        <f>$J$3+[12]FormattedData!L73*$J$4+$M$4*$J$5+[12]FormattedData!L73^2*$J$6+$M$5*$J$7</f>
        <v>30.188758719779116</v>
      </c>
      <c r="T71" s="6">
        <f>$J$3+[12]FormattedData!M73*$J$4+$M$4*$J$5+[12]FormattedData!M73^2*$J$6+$M$5*$J$7</f>
        <v>30.577451148007391</v>
      </c>
      <c r="U71" s="6">
        <f>$J$3+[12]FormattedData!N73*$J$4+$M$4*$J$5+[12]FormattedData!N73^2*$J$6+$M$5*$J$7</f>
        <v>31.062365641189277</v>
      </c>
      <c r="V71" s="6">
        <f>$J$3+[12]FormattedData!O73*$J$4+$M$4*$J$5+[12]FormattedData!O73^2*$J$6+$M$5*$J$7</f>
        <v>30.091479941377226</v>
      </c>
      <c r="W71" s="5">
        <f t="shared" si="9"/>
        <v>29.904056773067847</v>
      </c>
      <c r="X71" s="4">
        <f t="shared" si="10"/>
        <v>0.18665708832961692</v>
      </c>
      <c r="Y71" s="3">
        <f t="shared" si="11"/>
        <v>28.725138847267917</v>
      </c>
      <c r="Z71" s="2">
        <f t="shared" si="12"/>
        <v>29.531271027673224</v>
      </c>
      <c r="AA71" s="3">
        <f t="shared" si="13"/>
        <v>29.945477236698522</v>
      </c>
      <c r="AB71" s="2">
        <f t="shared" si="14"/>
        <v>30.261654400773644</v>
      </c>
      <c r="AC71" s="2">
        <f t="shared" si="15"/>
        <v>31.062365641189277</v>
      </c>
      <c r="AD71" s="2">
        <f t="shared" si="16"/>
        <v>-5.1960944656732705E-2</v>
      </c>
      <c r="AE71" s="2">
        <f t="shared" si="17"/>
        <v>-5.3321153783603581E-2</v>
      </c>
    </row>
    <row r="72" spans="2:31" x14ac:dyDescent="0.2">
      <c r="B72" s="1">
        <f>[12]FormattedData!A75</f>
        <v>307</v>
      </c>
      <c r="C72" s="1" t="str">
        <f>VLOOKUP($B72,[12]TrtCodes!$B$11:I118,2)</f>
        <v>NTH</v>
      </c>
      <c r="D72" s="1">
        <f>VLOOKUP($B72,[12]TrtCodes!$B$11:J118,3)</f>
        <v>9</v>
      </c>
      <c r="E72" s="1">
        <f>VLOOKUP($B72,[12]TrtCodes!$B$11:K118,4)</f>
        <v>2</v>
      </c>
      <c r="F72" s="1">
        <f>VLOOKUP($B72,[12]TrtCodes!$B$11:L118,5)</f>
        <v>2</v>
      </c>
      <c r="G72" s="1">
        <f>VLOOKUP($B72,[12]TrtCodes!$B$11:M118,6)</f>
        <v>2</v>
      </c>
      <c r="H72" s="1">
        <f>VLOOKUP($B72,[12]TrtCodes!$B$11:N118,7)</f>
        <v>4</v>
      </c>
      <c r="I72" s="1">
        <f>[12]FormattedData!B75</f>
        <v>2</v>
      </c>
      <c r="J72" s="4">
        <f>[12]FormattedData!C75</f>
        <v>13.598000000000001</v>
      </c>
      <c r="K72" s="6">
        <f>$J$3+[12]FormattedData!D75*$J$4+$M$4*$J$5+[12]FormattedData!D75^2*$J$6+$M$5*$J$7</f>
        <v>29.506919631669298</v>
      </c>
      <c r="L72" s="6">
        <f>$J$3+[12]FormattedData!E75*$J$4+$M$4*$J$5+[12]FormattedData!E75^2*$J$6+$M$5*$J$7</f>
        <v>29.70194214239033</v>
      </c>
      <c r="M72" s="6">
        <f>$J$3+[12]FormattedData!F75*$J$4+$M$4*$J$5+[12]FormattedData!F75^2*$J$6+$M$5*$J$7</f>
        <v>28.333234010156879</v>
      </c>
      <c r="N72" s="6">
        <f>$J$3+[12]FormattedData!G75*$J$4+$M$4*$J$5+[12]FormattedData!G75^2*$J$6+$M$5*$J$7</f>
        <v>29.214068851553264</v>
      </c>
      <c r="O72" s="6">
        <f>$J$3+[12]FormattedData!H75*$J$4+$M$4*$J$5+[12]FormattedData!H75^2*$J$6+$M$5*$J$7</f>
        <v>30.091479941377226</v>
      </c>
      <c r="P72" s="6">
        <f>$J$3+[12]FormattedData!I75*$J$4+$M$4*$J$5+[12]FormattedData!I75^2*$J$6+$M$5*$J$7</f>
        <v>29.116367387772058</v>
      </c>
      <c r="Q72" s="6">
        <f>$J$3+[12]FormattedData!J75*$J$4+$M$4*$J$5+[12]FormattedData!J75^2*$J$6+$M$5*$J$7</f>
        <v>29.70194214239033</v>
      </c>
      <c r="R72" s="6">
        <f>$J$3+[12]FormattedData!K75*$J$4+$M$4*$J$5+[12]FormattedData!K75^2*$J$6+$M$5*$J$7</f>
        <v>29.70194214239033</v>
      </c>
      <c r="S72" s="6">
        <f>$J$3+[12]FormattedData!L75*$J$4+$M$4*$J$5+[12]FormattedData!L75^2*$J$6+$M$5*$J$7</f>
        <v>30.188758719779116</v>
      </c>
      <c r="T72" s="6">
        <f>$J$3+[12]FormattedData!M75*$J$4+$M$4*$J$5+[12]FormattedData!M75^2*$J$6+$M$5*$J$7</f>
        <v>29.994158894437405</v>
      </c>
      <c r="U72" s="6">
        <f>$J$3+[12]FormattedData!N75*$J$4+$M$4*$J$5+[12]FormattedData!N75^2*$J$6+$M$5*$J$7</f>
        <v>28.823009385200848</v>
      </c>
      <c r="V72" s="6">
        <f>$J$3+[12]FormattedData!O75*$J$4+$M$4*$J$5+[12]FormattedData!O75^2*$J$6+$M$5*$J$7</f>
        <v>29.116367387772058</v>
      </c>
      <c r="W72" s="5">
        <f t="shared" si="9"/>
        <v>29.457515886407432</v>
      </c>
      <c r="X72" s="4">
        <f t="shared" si="10"/>
        <v>0.15966168846227663</v>
      </c>
      <c r="Y72" s="3">
        <f t="shared" si="11"/>
        <v>28.333234010156879</v>
      </c>
      <c r="Z72" s="2">
        <f t="shared" si="12"/>
        <v>29.116367387772058</v>
      </c>
      <c r="AA72" s="3">
        <f t="shared" si="13"/>
        <v>29.604430887029814</v>
      </c>
      <c r="AB72" s="2">
        <f t="shared" si="14"/>
        <v>29.774996330402097</v>
      </c>
      <c r="AC72" s="2">
        <f t="shared" si="15"/>
        <v>30.188758719779116</v>
      </c>
      <c r="AD72" s="2">
        <f t="shared" si="16"/>
        <v>-0.59714183570434065</v>
      </c>
      <c r="AE72" s="2">
        <f t="shared" si="17"/>
        <v>-0.10723115916417081</v>
      </c>
    </row>
    <row r="73" spans="2:31" x14ac:dyDescent="0.2">
      <c r="B73" s="1">
        <f>[12]FormattedData!A77</f>
        <v>308</v>
      </c>
      <c r="C73" s="1" t="str">
        <f>VLOOKUP($B73,[12]TrtCodes!$B$11:I120,2)</f>
        <v>FDH</v>
      </c>
      <c r="D73" s="1">
        <f>VLOOKUP($B73,[12]TrtCodes!$B$11:J120,3)</f>
        <v>5</v>
      </c>
      <c r="E73" s="1">
        <f>VLOOKUP($B73,[12]TrtCodes!$B$11:K120,4)</f>
        <v>1</v>
      </c>
      <c r="F73" s="1">
        <f>VLOOKUP($B73,[12]TrtCodes!$B$11:L120,5)</f>
        <v>3</v>
      </c>
      <c r="G73" s="1">
        <f>VLOOKUP($B73,[12]TrtCodes!$B$11:M120,6)</f>
        <v>2</v>
      </c>
      <c r="H73" s="1">
        <f>VLOOKUP($B73,[12]TrtCodes!$B$11:N120,7)</f>
        <v>4</v>
      </c>
      <c r="I73" s="1">
        <f>[12]FormattedData!B77</f>
        <v>2</v>
      </c>
      <c r="J73" s="4">
        <f>[12]FormattedData!C77</f>
        <v>13.614000000000001</v>
      </c>
      <c r="K73" s="6">
        <f>$J$3+[12]FormattedData!D77*$J$4+$M$4*$J$5+[12]FormattedData!D77^2*$J$6+$M$5*$J$7</f>
        <v>32.606990904998895</v>
      </c>
      <c r="L73" s="6">
        <f>$J$3+[12]FormattedData!E77*$J$4+$M$4*$J$5+[12]FormattedData!E77^2*$J$6+$M$5*$J$7</f>
        <v>30.091479941377226</v>
      </c>
      <c r="M73" s="6">
        <f>$J$3+[12]FormattedData!F77*$J$4+$M$4*$J$5+[12]FormattedData!F77^2*$J$6+$M$5*$J$7</f>
        <v>30.383189470969114</v>
      </c>
      <c r="N73" s="6">
        <f>$J$3+[12]FormattedData!G77*$J$4+$M$4*$J$5+[12]FormattedData!G77^2*$J$6+$M$5*$J$7</f>
        <v>30.091479941377226</v>
      </c>
      <c r="O73" s="6">
        <f>$J$3+[12]FormattedData!H77*$J$4+$M$4*$J$5+[12]FormattedData!H77^2*$J$6+$M$5*$J$7</f>
        <v>30.188758719779116</v>
      </c>
      <c r="P73" s="6">
        <f>$J$3+[12]FormattedData!I77*$J$4+$M$4*$J$5+[12]FormattedData!I77^2*$J$6+$M$5*$J$7</f>
        <v>31.256035558696517</v>
      </c>
      <c r="Q73" s="6">
        <f>$J$3+[12]FormattedData!J77*$J$4+$M$4*$J$5+[12]FormattedData!J77^2*$J$6+$M$5*$J$7</f>
        <v>30.868526649530317</v>
      </c>
      <c r="R73" s="6">
        <f>$J$3+[12]FormattedData!K77*$J$4+$M$4*$J$5+[12]FormattedData!K77^2*$J$6+$M$5*$J$7</f>
        <v>30.965467279628765</v>
      </c>
      <c r="S73" s="6">
        <f>$J$3+[12]FormattedData!L77*$J$4+$M$4*$J$5+[12]FormattedData!L77^2*$J$6+$M$5*$J$7</f>
        <v>30.091479941377226</v>
      </c>
      <c r="T73" s="6">
        <f>$J$3+[12]FormattedData!M77*$J$4+$M$4*$J$5+[12]FormattedData!M77^2*$J$6+$M$5*$J$7</f>
        <v>30.674518583719628</v>
      </c>
      <c r="U73" s="6">
        <f>$J$3+[12]FormattedData!N77*$J$4+$M$4*$J$5+[12]FormattedData!N77^2*$J$6+$M$5*$J$7</f>
        <v>29.799389994943954</v>
      </c>
      <c r="V73" s="6">
        <f>$J$3+[12]FormattedData!O77*$J$4+$M$4*$J$5+[12]FormattedData!O77^2*$J$6+$M$5*$J$7</f>
        <v>30.674518583719628</v>
      </c>
      <c r="W73" s="5">
        <f t="shared" si="9"/>
        <v>30.640986297509802</v>
      </c>
      <c r="X73" s="4">
        <f t="shared" si="10"/>
        <v>0.21825575918263929</v>
      </c>
      <c r="Y73" s="3">
        <f t="shared" si="11"/>
        <v>29.799389994943954</v>
      </c>
      <c r="Z73" s="2">
        <f t="shared" si="12"/>
        <v>30.091479941377226</v>
      </c>
      <c r="AA73" s="3">
        <f t="shared" si="13"/>
        <v>30.528854027344373</v>
      </c>
      <c r="AB73" s="2">
        <f t="shared" si="14"/>
        <v>30.892761807054928</v>
      </c>
      <c r="AC73" s="2">
        <f t="shared" si="15"/>
        <v>32.606990904998895</v>
      </c>
      <c r="AD73" s="2">
        <f t="shared" si="16"/>
        <v>1.6846713252095553</v>
      </c>
      <c r="AE73" s="2">
        <f t="shared" si="17"/>
        <v>3.6429207395873062</v>
      </c>
    </row>
    <row r="74" spans="2:31" x14ac:dyDescent="0.2">
      <c r="B74" s="1">
        <f>[12]FormattedData!A93</f>
        <v>401</v>
      </c>
      <c r="C74" s="1" t="str">
        <f>VLOOKUP($B74,[12]TrtCodes!$B$11:I130,2)</f>
        <v>NSH</v>
      </c>
      <c r="D74" s="1">
        <f>VLOOKUP($B74,[12]TrtCodes!$B$11:J130,3)</f>
        <v>7</v>
      </c>
      <c r="E74" s="1">
        <f>VLOOKUP($B74,[12]TrtCodes!$B$11:K130,4)</f>
        <v>2</v>
      </c>
      <c r="F74" s="1">
        <f>VLOOKUP($B74,[12]TrtCodes!$B$11:L130,5)</f>
        <v>1</v>
      </c>
      <c r="G74" s="1">
        <f>VLOOKUP($B74,[12]TrtCodes!$B$11:M130,6)</f>
        <v>2</v>
      </c>
      <c r="H74" s="1">
        <f>VLOOKUP($B74,[12]TrtCodes!$B$11:N130,7)</f>
        <v>3</v>
      </c>
      <c r="I74" s="1">
        <f>[12]FormattedData!B93</f>
        <v>2</v>
      </c>
      <c r="J74" s="4">
        <f>[12]FormattedData!C93</f>
        <v>13.756</v>
      </c>
      <c r="K74" s="6">
        <f>$J$3+[12]FormattedData!D93*$J$4+$M$4*$J$5+[12]FormattedData!D93^2*$J$6+$M$5*$J$7</f>
        <v>32.703170701414578</v>
      </c>
      <c r="L74" s="6">
        <f>$J$3+[12]FormattedData!E93*$J$4+$M$4*$J$5+[12]FormattedData!E93^2*$J$6+$M$5*$J$7</f>
        <v>33.183435655424034</v>
      </c>
      <c r="M74" s="6">
        <f>$J$3+[12]FormattedData!F93*$J$4+$M$4*$J$5+[12]FormattedData!F93^2*$J$6+$M$5*$J$7</f>
        <v>32.51076884004528</v>
      </c>
      <c r="N74" s="6">
        <f>$J$3+[12]FormattedData!G93*$J$4+$M$4*$J$5+[12]FormattedData!G93^2*$J$6+$M$5*$J$7</f>
        <v>32.029024487208225</v>
      </c>
      <c r="O74" s="6">
        <f>$J$3+[12]FormattedData!H93*$J$4+$M$4*$J$5+[12]FormattedData!H93^2*$J$6+$M$5*$J$7</f>
        <v>33.662643895985219</v>
      </c>
      <c r="P74" s="6">
        <f>$J$3+[12]FormattedData!I93*$J$4+$M$4*$J$5+[12]FormattedData!I93^2*$J$6+$M$5*$J$7</f>
        <v>33.183435655424034</v>
      </c>
      <c r="Q74" s="6">
        <f>$J$3+[12]FormattedData!J93*$J$4+$M$4*$J$5+[12]FormattedData!J93^2*$J$6+$M$5*$J$7</f>
        <v>34.522555811105704</v>
      </c>
      <c r="R74" s="6">
        <f>$J$3+[12]FormattedData!K93*$J$4+$M$4*$J$5+[12]FormattedData!K93^2*$J$6+$M$5*$J$7</f>
        <v>33.183435655424034</v>
      </c>
      <c r="S74" s="6">
        <f>$J$3+[12]FormattedData!L93*$J$4+$M$4*$J$5+[12]FormattedData!L93^2*$J$6+$M$5*$J$7</f>
        <v>33.471087405374547</v>
      </c>
      <c r="T74" s="6">
        <f>$J$3+[12]FormattedData!M93*$J$4+$M$4*$J$5+[12]FormattedData!M93^2*$J$6+$M$5*$J$7</f>
        <v>34.045249654751416</v>
      </c>
      <c r="U74" s="6">
        <f>$J$3+[12]FormattedData!N93*$J$4+$M$4*$J$5+[12]FormattedData!N93^2*$J$6+$M$5*$J$7</f>
        <v>39.98208260601519</v>
      </c>
      <c r="V74" s="6">
        <f>$J$3+[12]FormattedData!O93*$J$4+$M$4*$J$5+[12]FormattedData!O93^2*$J$6+$M$5*$J$7</f>
        <v>35.379043974653747</v>
      </c>
      <c r="W74" s="5">
        <f t="shared" ref="W74:W105" si="18">AVERAGE(K74:V74)</f>
        <v>33.987994528568834</v>
      </c>
      <c r="X74" s="4">
        <f t="shared" ref="X74:X85" si="19">STDEV(K74:V74)/SQRT(COUNT(K74:V74))</f>
        <v>0.60389309540644698</v>
      </c>
      <c r="Y74" s="3">
        <f t="shared" ref="Y74:Y85" si="20">MIN(K74:V74)</f>
        <v>32.029024487208225</v>
      </c>
      <c r="Z74" s="2">
        <f t="shared" ref="Z74:Z85" si="21">QUARTILE(K74:V74,1)</f>
        <v>33.063369416921674</v>
      </c>
      <c r="AA74" s="3">
        <f t="shared" ref="AA74:AA85" si="22">MEDIAN(K74:V74)</f>
        <v>33.327261530399291</v>
      </c>
      <c r="AB74" s="2">
        <f t="shared" ref="AB74:AB85" si="23">QUARTILE(K74:V74,3)</f>
        <v>34.164576193839991</v>
      </c>
      <c r="AC74" s="2">
        <f t="shared" ref="AC74:AC85" si="24">MAX(K74:V74)</f>
        <v>39.98208260601519</v>
      </c>
      <c r="AD74" s="2">
        <f t="shared" ref="AD74:AD85" si="25">SKEW(K74:V74)</f>
        <v>2.4262456330182021</v>
      </c>
      <c r="AE74" s="2">
        <f t="shared" ref="AE74:AE85" si="26">KURT(K74:V74)</f>
        <v>6.8132772166664566</v>
      </c>
    </row>
    <row r="75" spans="2:31" x14ac:dyDescent="0.2">
      <c r="B75" s="1">
        <f>[12]FormattedData!A91</f>
        <v>402</v>
      </c>
      <c r="C75" s="1" t="str">
        <f>VLOOKUP($B75,[12]TrtCodes!$B$11:I131,2)</f>
        <v>NTH</v>
      </c>
      <c r="D75" s="1">
        <f>VLOOKUP($B75,[12]TrtCodes!$B$11:J131,3)</f>
        <v>9</v>
      </c>
      <c r="E75" s="1">
        <f>VLOOKUP($B75,[12]TrtCodes!$B$11:K131,4)</f>
        <v>2</v>
      </c>
      <c r="F75" s="1">
        <f>VLOOKUP($B75,[12]TrtCodes!$B$11:L131,5)</f>
        <v>2</v>
      </c>
      <c r="G75" s="1">
        <f>VLOOKUP($B75,[12]TrtCodes!$B$11:M131,6)</f>
        <v>2</v>
      </c>
      <c r="H75" s="1">
        <f>VLOOKUP($B75,[12]TrtCodes!$B$11:N131,7)</f>
        <v>3</v>
      </c>
      <c r="I75" s="1">
        <f>[12]FormattedData!B91</f>
        <v>2</v>
      </c>
      <c r="J75" s="4">
        <f>[12]FormattedData!C91</f>
        <v>13.739000000000001</v>
      </c>
      <c r="K75" s="6">
        <f>$J$3+[12]FormattedData!D91*$J$4+$M$4*$J$5+[12]FormattedData!D91^2*$J$6+$M$5*$J$7</f>
        <v>29.506919631669298</v>
      </c>
      <c r="L75" s="6">
        <f>$J$3+[12]FormattedData!E91*$J$4+$M$4*$J$5+[12]FormattedData!E91^2*$J$6+$M$5*$J$7</f>
        <v>29.214068851553264</v>
      </c>
      <c r="M75" s="6">
        <f>$J$3+[12]FormattedData!F91*$J$4+$M$4*$J$5+[12]FormattedData!F91^2*$J$6+$M$5*$J$7</f>
        <v>30.188758719779116</v>
      </c>
      <c r="N75" s="6">
        <f>$J$3+[12]FormattedData!G91*$J$4+$M$4*$J$5+[12]FormattedData!G91^2*$J$6+$M$5*$J$7</f>
        <v>29.70194214239033</v>
      </c>
      <c r="O75" s="6">
        <f>$J$3+[12]FormattedData!H91*$J$4+$M$4*$J$5+[12]FormattedData!H91^2*$J$6+$M$5*$J$7</f>
        <v>29.89679557895964</v>
      </c>
      <c r="P75" s="6">
        <f>$J$3+[12]FormattedData!I91*$J$4+$M$4*$J$5+[12]FormattedData!I91^2*$J$6+$M$5*$J$7</f>
        <v>28.725138847267917</v>
      </c>
      <c r="Q75" s="6">
        <f>$J$3+[12]FormattedData!J91*$J$4+$M$4*$J$5+[12]FormattedData!J91^2*$J$6+$M$5*$J$7</f>
        <v>29.311728046796542</v>
      </c>
      <c r="R75" s="6">
        <f>$J$3+[12]FormattedData!K91*$J$4+$M$4*$J$5+[12]FormattedData!K91^2*$J$6+$M$5*$J$7</f>
        <v>29.506919631669298</v>
      </c>
      <c r="S75" s="6">
        <f>$J$3+[12]FormattedData!L91*$J$4+$M$4*$J$5+[12]FormattedData!L91^2*$J$6+$M$5*$J$7</f>
        <v>29.116367387772058</v>
      </c>
      <c r="T75" s="6">
        <f>$J$3+[12]FormattedData!M91*$J$4+$M$4*$J$5+[12]FormattedData!M91^2*$J$6+$M$5*$J$7</f>
        <v>29.311728046796542</v>
      </c>
      <c r="U75" s="6">
        <f>$J$3+[12]FormattedData!N91*$J$4+$M$4*$J$5+[12]FormattedData!N91^2*$J$6+$M$5*$J$7</f>
        <v>29.506919631669298</v>
      </c>
      <c r="V75" s="6">
        <f>$J$3+[12]FormattedData!O91*$J$4+$M$4*$J$5+[12]FormattedData!O91^2*$J$6+$M$5*$J$7</f>
        <v>29.116367387772058</v>
      </c>
      <c r="W75" s="5">
        <f t="shared" si="18"/>
        <v>29.425304492007943</v>
      </c>
      <c r="X75" s="4">
        <f t="shared" si="19"/>
        <v>0.11191222203154609</v>
      </c>
      <c r="Y75" s="3">
        <f t="shared" si="20"/>
        <v>28.725138847267917</v>
      </c>
      <c r="Z75" s="2">
        <f t="shared" si="21"/>
        <v>29.189643485607963</v>
      </c>
      <c r="AA75" s="3">
        <f t="shared" si="22"/>
        <v>29.409323839232918</v>
      </c>
      <c r="AB75" s="2">
        <f t="shared" si="23"/>
        <v>29.555675259349556</v>
      </c>
      <c r="AC75" s="2">
        <f t="shared" si="24"/>
        <v>30.188758719779116</v>
      </c>
      <c r="AD75" s="2">
        <f t="shared" si="25"/>
        <v>0.29589328135810022</v>
      </c>
      <c r="AE75" s="2">
        <f t="shared" si="26"/>
        <v>0.54307908197109889</v>
      </c>
    </row>
    <row r="76" spans="2:31" x14ac:dyDescent="0.2">
      <c r="B76" s="1">
        <f>[12]FormattedData!A89</f>
        <v>403</v>
      </c>
      <c r="C76" s="1" t="str">
        <f>VLOOKUP($B76,[12]TrtCodes!$B$11:I132,2)</f>
        <v>FDL</v>
      </c>
      <c r="D76" s="1">
        <f>VLOOKUP($B76,[12]TrtCodes!$B$11:J132,3)</f>
        <v>6</v>
      </c>
      <c r="E76" s="1">
        <f>VLOOKUP($B76,[12]TrtCodes!$B$11:K132,4)</f>
        <v>1</v>
      </c>
      <c r="F76" s="1">
        <f>VLOOKUP($B76,[12]TrtCodes!$B$11:L132,5)</f>
        <v>3</v>
      </c>
      <c r="G76" s="1">
        <f>VLOOKUP($B76,[12]TrtCodes!$B$11:M132,6)</f>
        <v>1</v>
      </c>
      <c r="H76" s="1">
        <f>VLOOKUP($B76,[12]TrtCodes!$B$11:N132,7)</f>
        <v>3</v>
      </c>
      <c r="I76" s="1">
        <f>[12]FormattedData!B89</f>
        <v>2</v>
      </c>
      <c r="J76" s="4">
        <f>[12]FormattedData!C89</f>
        <v>13.722</v>
      </c>
      <c r="K76" s="6">
        <f>$J$3+[12]FormattedData!D89*$J$4+$M$4*$J$5+[12]FormattedData!D89^2*$J$6+$M$5*$J$7</f>
        <v>31.932548811027019</v>
      </c>
      <c r="L76" s="6">
        <f>$J$3+[12]FormattedData!E89*$J$4+$M$4*$J$5+[12]FormattedData!E89^2*$J$6+$M$5*$J$7</f>
        <v>31.352807114643234</v>
      </c>
      <c r="M76" s="6">
        <f>$J$3+[12]FormattedData!F89*$J$4+$M$4*$J$5+[12]FormattedData!F89^2*$J$6+$M$5*$J$7</f>
        <v>31.062365641189277</v>
      </c>
      <c r="N76" s="6">
        <f>$J$3+[12]FormattedData!G89*$J$4+$M$4*$J$5+[12]FormattedData!G89^2*$J$6+$M$5*$J$7</f>
        <v>30.77154375089394</v>
      </c>
      <c r="O76" s="6">
        <f>$J$3+[12]FormattedData!H89*$J$4+$M$4*$J$5+[12]FormattedData!H89^2*$J$6+$M$5*$J$7</f>
        <v>31.932548811027019</v>
      </c>
      <c r="P76" s="6">
        <f>$J$3+[12]FormattedData!I89*$J$4+$M$4*$J$5+[12]FormattedData!I89^2*$J$6+$M$5*$J$7</f>
        <v>31.739470653050816</v>
      </c>
      <c r="Q76" s="6">
        <f>$J$3+[12]FormattedData!J89*$J$4+$M$4*$J$5+[12]FormattedData!J89^2*$J$6+$M$5*$J$7</f>
        <v>29.89679557895964</v>
      </c>
      <c r="R76" s="6">
        <f>$J$3+[12]FormattedData!K89*$J$4+$M$4*$J$5+[12]FormattedData!K89^2*$J$6+$M$5*$J$7</f>
        <v>30.674518583719628</v>
      </c>
      <c r="S76" s="6">
        <f>$J$3+[12]FormattedData!L89*$J$4+$M$4*$J$5+[12]FormattedData!L89^2*$J$6+$M$5*$J$7</f>
        <v>31.64286817125582</v>
      </c>
      <c r="T76" s="6">
        <f>$J$3+[12]FormattedData!M89*$J$4+$M$4*$J$5+[12]FormattedData!M89^2*$J$6+$M$5*$J$7</f>
        <v>30.285995229643085</v>
      </c>
      <c r="U76" s="6">
        <f>$J$3+[12]FormattedData!N89*$J$4+$M$4*$J$5+[12]FormattedData!N89^2*$J$6+$M$5*$J$7</f>
        <v>30.383189470969114</v>
      </c>
      <c r="V76" s="6">
        <f>$J$3+[12]FormattedData!O89*$J$4+$M$4*$J$5+[12]FormattedData!O89^2*$J$6+$M$5*$J$7</f>
        <v>30.480341443757222</v>
      </c>
      <c r="W76" s="5">
        <f t="shared" si="18"/>
        <v>31.012916105011318</v>
      </c>
      <c r="X76" s="4">
        <f t="shared" si="19"/>
        <v>0.20153285293025616</v>
      </c>
      <c r="Y76" s="3">
        <f t="shared" si="20"/>
        <v>29.89679557895964</v>
      </c>
      <c r="Z76" s="2">
        <f t="shared" si="21"/>
        <v>30.456053450560194</v>
      </c>
      <c r="AA76" s="3">
        <f t="shared" si="22"/>
        <v>30.916954696041607</v>
      </c>
      <c r="AB76" s="2">
        <f t="shared" si="23"/>
        <v>31.667018791704571</v>
      </c>
      <c r="AC76" s="2">
        <f t="shared" si="24"/>
        <v>31.932548811027019</v>
      </c>
      <c r="AD76" s="2">
        <f t="shared" si="25"/>
        <v>1.0791623398429943E-4</v>
      </c>
      <c r="AE76" s="2">
        <f t="shared" si="26"/>
        <v>-1.4029752700881271</v>
      </c>
    </row>
    <row r="77" spans="2:31" x14ac:dyDescent="0.2">
      <c r="B77" s="1">
        <f>[12]FormattedData!A87</f>
        <v>404</v>
      </c>
      <c r="C77" s="1" t="str">
        <f>VLOOKUP($B77,[12]TrtCodes!$B$11:I130,2)</f>
        <v>FTH</v>
      </c>
      <c r="D77" s="1">
        <f>VLOOKUP($B77,[12]TrtCodes!$B$11:J130,3)</f>
        <v>3</v>
      </c>
      <c r="E77" s="1">
        <f>VLOOKUP($B77,[12]TrtCodes!$B$11:K130,4)</f>
        <v>1</v>
      </c>
      <c r="F77" s="1">
        <f>VLOOKUP($B77,[12]TrtCodes!$B$11:L130,5)</f>
        <v>2</v>
      </c>
      <c r="G77" s="1">
        <f>VLOOKUP($B77,[12]TrtCodes!$B$11:M130,6)</f>
        <v>2</v>
      </c>
      <c r="H77" s="1">
        <f>VLOOKUP($B77,[12]TrtCodes!$B$11:N130,7)</f>
        <v>3</v>
      </c>
      <c r="I77" s="1">
        <f>[12]FormattedData!B87</f>
        <v>2</v>
      </c>
      <c r="J77" s="4">
        <f>[12]FormattedData!C87</f>
        <v>13.705</v>
      </c>
      <c r="K77" s="6">
        <f>$J$3+[12]FormattedData!D87*$J$4+$M$4*$J$5+[12]FormattedData!D87^2*$J$6+$M$5*$J$7</f>
        <v>30.188758719779116</v>
      </c>
      <c r="L77" s="6">
        <f>$J$3+[12]FormattedData!E87*$J$4+$M$4*$J$5+[12]FormattedData!E87^2*$J$6+$M$5*$J$7</f>
        <v>29.994158894437405</v>
      </c>
      <c r="M77" s="6">
        <f>$J$3+[12]FormattedData!F87*$J$4+$M$4*$J$5+[12]FormattedData!F87^2*$J$6+$M$5*$J$7</f>
        <v>30.480341443757222</v>
      </c>
      <c r="N77" s="6">
        <f>$J$3+[12]FormattedData!G87*$J$4+$M$4*$J$5+[12]FormattedData!G87^2*$J$6+$M$5*$J$7</f>
        <v>30.188758719779116</v>
      </c>
      <c r="O77" s="6">
        <f>$J$3+[12]FormattedData!H87*$J$4+$M$4*$J$5+[12]FormattedData!H87^2*$J$6+$M$5*$J$7</f>
        <v>29.89679557895964</v>
      </c>
      <c r="P77" s="6">
        <f>$J$3+[12]FormattedData!I87*$J$4+$M$4*$J$5+[12]FormattedData!I87^2*$J$6+$M$5*$J$7</f>
        <v>29.214068851553264</v>
      </c>
      <c r="Q77" s="6">
        <f>$J$3+[12]FormattedData!J87*$J$4+$M$4*$J$5+[12]FormattedData!J87^2*$J$6+$M$5*$J$7</f>
        <v>31.352807114643234</v>
      </c>
      <c r="R77" s="6">
        <f>$J$3+[12]FormattedData!K87*$J$4+$M$4*$J$5+[12]FormattedData!K87^2*$J$6+$M$5*$J$7</f>
        <v>31.64286817125582</v>
      </c>
      <c r="S77" s="6">
        <f>$J$3+[12]FormattedData!L87*$J$4+$M$4*$J$5+[12]FormattedData!L87^2*$J$6+$M$5*$J$7</f>
        <v>31.932548811027019</v>
      </c>
      <c r="T77" s="6">
        <f>$J$3+[12]FormattedData!M87*$J$4+$M$4*$J$5+[12]FormattedData!M87^2*$J$6+$M$5*$J$7</f>
        <v>29.799389994943954</v>
      </c>
      <c r="U77" s="6">
        <f>$J$3+[12]FormattedData!N87*$J$4+$M$4*$J$5+[12]FormattedData!N87^2*$J$6+$M$5*$J$7</f>
        <v>29.506919631669298</v>
      </c>
      <c r="V77" s="6">
        <f>$J$3+[12]FormattedData!O87*$J$4+$M$4*$J$5+[12]FormattedData!O87^2*$J$6+$M$5*$J$7</f>
        <v>29.604452021298783</v>
      </c>
      <c r="W77" s="5">
        <f t="shared" si="18"/>
        <v>30.316822329425321</v>
      </c>
      <c r="X77" s="4">
        <f t="shared" si="19"/>
        <v>0.25270540164950517</v>
      </c>
      <c r="Y77" s="3">
        <f t="shared" si="20"/>
        <v>29.214068851553264</v>
      </c>
      <c r="Z77" s="2">
        <f t="shared" si="21"/>
        <v>29.750655501532663</v>
      </c>
      <c r="AA77" s="3">
        <f t="shared" si="22"/>
        <v>30.09145880710826</v>
      </c>
      <c r="AB77" s="2">
        <f t="shared" si="23"/>
        <v>30.698457861478726</v>
      </c>
      <c r="AC77" s="2">
        <f t="shared" si="24"/>
        <v>31.932548811027019</v>
      </c>
      <c r="AD77" s="2">
        <f t="shared" si="25"/>
        <v>0.84265223415269153</v>
      </c>
      <c r="AE77" s="2">
        <f t="shared" si="26"/>
        <v>-0.45369459575688831</v>
      </c>
    </row>
    <row r="78" spans="2:31" x14ac:dyDescent="0.2">
      <c r="B78" s="1">
        <f>[12]FormattedData!A85</f>
        <v>405</v>
      </c>
      <c r="C78" s="1" t="str">
        <f>VLOOKUP($B78,[12]TrtCodes!$B$11:I128,2)</f>
        <v>FDL</v>
      </c>
      <c r="D78" s="1">
        <f>VLOOKUP($B78,[12]TrtCodes!$B$11:J128,3)</f>
        <v>6</v>
      </c>
      <c r="E78" s="1">
        <f>VLOOKUP($B78,[12]TrtCodes!$B$11:K128,4)</f>
        <v>1</v>
      </c>
      <c r="F78" s="1">
        <f>VLOOKUP($B78,[12]TrtCodes!$B$11:L128,5)</f>
        <v>3</v>
      </c>
      <c r="G78" s="1">
        <f>VLOOKUP($B78,[12]TrtCodes!$B$11:M128,6)</f>
        <v>1</v>
      </c>
      <c r="H78" s="1">
        <f>VLOOKUP($B78,[12]TrtCodes!$B$11:N128,7)</f>
        <v>4</v>
      </c>
      <c r="I78" s="1">
        <f>[12]FormattedData!B85</f>
        <v>2</v>
      </c>
      <c r="J78" s="4">
        <f>[12]FormattedData!C85</f>
        <v>13.688000000000001</v>
      </c>
      <c r="K78" s="6">
        <f>$J$3+[12]FormattedData!D85*$J$4+$M$4*$J$5+[12]FormattedData!D85^2*$J$6+$M$5*$J$7</f>
        <v>30.674518583719628</v>
      </c>
      <c r="L78" s="6">
        <f>$J$3+[12]FormattedData!E85*$J$4+$M$4*$J$5+[12]FormattedData!E85^2*$J$6+$M$5*$J$7</f>
        <v>29.506919631669298</v>
      </c>
      <c r="M78" s="6">
        <f>$J$3+[12]FormattedData!F85*$J$4+$M$4*$J$5+[12]FormattedData!F85^2*$J$6+$M$5*$J$7</f>
        <v>28.431273622241534</v>
      </c>
      <c r="N78" s="6">
        <f>$J$3+[12]FormattedData!G85*$J$4+$M$4*$J$5+[12]FormattedData!G85^2*$J$6+$M$5*$J$7</f>
        <v>28.92083765459585</v>
      </c>
      <c r="O78" s="6">
        <f>$J$3+[12]FormattedData!H85*$J$4+$M$4*$J$5+[12]FormattedData!H85^2*$J$6+$M$5*$J$7</f>
        <v>29.116367387772058</v>
      </c>
      <c r="P78" s="6">
        <f>$J$3+[12]FormattedData!I85*$J$4+$M$4*$J$5+[12]FormattedData!I85^2*$J$6+$M$5*$J$7</f>
        <v>29.799389994943954</v>
      </c>
      <c r="Q78" s="6">
        <f>$J$3+[12]FormattedData!J85*$J$4+$M$4*$J$5+[12]FormattedData!J85^2*$J$6+$M$5*$J$7</f>
        <v>29.799389994943954</v>
      </c>
      <c r="R78" s="6">
        <f>$J$3+[12]FormattedData!K85*$J$4+$M$4*$J$5+[12]FormattedData!K85^2*$J$6+$M$5*$J$7</f>
        <v>29.214068851553264</v>
      </c>
      <c r="S78" s="6">
        <f>$J$3+[12]FormattedData!L85*$J$4+$M$4*$J$5+[12]FormattedData!L85^2*$J$6+$M$5*$J$7</f>
        <v>29.799389994943954</v>
      </c>
      <c r="T78" s="6">
        <f>$J$3+[12]FormattedData!M85*$J$4+$M$4*$J$5+[12]FormattedData!M85^2*$J$6+$M$5*$J$7</f>
        <v>29.409344973501884</v>
      </c>
      <c r="U78" s="6">
        <f>$J$3+[12]FormattedData!N85*$J$4+$M$4*$J$5+[12]FormattedData!N85^2*$J$6+$M$5*$J$7</f>
        <v>27.744108698352388</v>
      </c>
      <c r="V78" s="6">
        <f>$J$3+[12]FormattedData!O85*$J$4+$M$4*$J$5+[12]FormattedData!O85^2*$J$6+$M$5*$J$7</f>
        <v>28.431273622241534</v>
      </c>
      <c r="W78" s="5">
        <f t="shared" si="18"/>
        <v>29.237240250873274</v>
      </c>
      <c r="X78" s="4">
        <f t="shared" si="19"/>
        <v>0.22630123772918848</v>
      </c>
      <c r="Y78" s="3">
        <f t="shared" si="20"/>
        <v>27.744108698352388</v>
      </c>
      <c r="Z78" s="2">
        <f t="shared" si="21"/>
        <v>28.798446646507273</v>
      </c>
      <c r="AA78" s="3">
        <f t="shared" si="22"/>
        <v>29.311706912527576</v>
      </c>
      <c r="AB78" s="2">
        <f t="shared" si="23"/>
        <v>29.799389994943954</v>
      </c>
      <c r="AC78" s="2">
        <f t="shared" si="24"/>
        <v>30.674518583719628</v>
      </c>
      <c r="AD78" s="2">
        <f t="shared" si="25"/>
        <v>-0.19986905180453499</v>
      </c>
      <c r="AE78" s="2">
        <f t="shared" si="26"/>
        <v>0.30494417021915599</v>
      </c>
    </row>
    <row r="79" spans="2:31" x14ac:dyDescent="0.2">
      <c r="B79" s="1">
        <f>[12]FormattedData!A83</f>
        <v>406</v>
      </c>
      <c r="C79" s="1" t="str">
        <f>VLOOKUP($B79,[12]TrtCodes!$B$11:I126,2)</f>
        <v>FTH</v>
      </c>
      <c r="D79" s="1">
        <f>VLOOKUP($B79,[12]TrtCodes!$B$11:J126,3)</f>
        <v>3</v>
      </c>
      <c r="E79" s="1">
        <f>VLOOKUP($B79,[12]TrtCodes!$B$11:K126,4)</f>
        <v>1</v>
      </c>
      <c r="F79" s="1">
        <f>VLOOKUP($B79,[12]TrtCodes!$B$11:L126,5)</f>
        <v>2</v>
      </c>
      <c r="G79" s="1">
        <f>VLOOKUP($B79,[12]TrtCodes!$B$11:M126,6)</f>
        <v>2</v>
      </c>
      <c r="H79" s="1">
        <f>VLOOKUP($B79,[12]TrtCodes!$B$11:N126,7)</f>
        <v>4</v>
      </c>
      <c r="I79" s="1">
        <f>[12]FormattedData!B83</f>
        <v>2</v>
      </c>
      <c r="J79" s="4">
        <f>[12]FormattedData!C83</f>
        <v>13.670999999999999</v>
      </c>
      <c r="K79" s="6">
        <f>$J$3+[12]FormattedData!D83*$J$4+$M$4*$J$5+[12]FormattedData!D83^2*$J$6+$M$5*$J$7</f>
        <v>29.89679557895964</v>
      </c>
      <c r="L79" s="6">
        <f>$J$3+[12]FormattedData!E83*$J$4+$M$4*$J$5+[12]FormattedData!E83^2*$J$6+$M$5*$J$7</f>
        <v>29.70194214239033</v>
      </c>
      <c r="M79" s="6">
        <f>$J$3+[12]FormattedData!F83*$J$4+$M$4*$J$5+[12]FormattedData!F83^2*$J$6+$M$5*$J$7</f>
        <v>30.091479941377226</v>
      </c>
      <c r="N79" s="6">
        <f>$J$3+[12]FormattedData!G83*$J$4+$M$4*$J$5+[12]FormattedData!G83^2*$J$6+$M$5*$J$7</f>
        <v>28.92083765459585</v>
      </c>
      <c r="O79" s="6">
        <f>$J$3+[12]FormattedData!H83*$J$4+$M$4*$J$5+[12]FormattedData!H83^2*$J$6+$M$5*$J$7</f>
        <v>30.868526649530317</v>
      </c>
      <c r="P79" s="6">
        <f>$J$3+[12]FormattedData!I83*$J$4+$M$4*$J$5+[12]FormattedData!I83^2*$J$6+$M$5*$J$7</f>
        <v>29.116367387772058</v>
      </c>
      <c r="Q79" s="6">
        <f>$J$3+[12]FormattedData!J83*$J$4+$M$4*$J$5+[12]FormattedData!J83^2*$J$6+$M$5*$J$7</f>
        <v>29.994158894437405</v>
      </c>
      <c r="R79" s="6">
        <f>$J$3+[12]FormattedData!K83*$J$4+$M$4*$J$5+[12]FormattedData!K83^2*$J$6+$M$5*$J$7</f>
        <v>28.529270965788264</v>
      </c>
      <c r="S79" s="6">
        <f>$J$3+[12]FormattedData!L83*$J$4+$M$4*$J$5+[12]FormattedData!L83^2*$J$6+$M$5*$J$7</f>
        <v>30.965467279628765</v>
      </c>
      <c r="T79" s="6">
        <f>$J$3+[12]FormattedData!M83*$J$4+$M$4*$J$5+[12]FormattedData!M83^2*$J$6+$M$5*$J$7</f>
        <v>29.409344973501884</v>
      </c>
      <c r="U79" s="6">
        <f>$J$3+[12]FormattedData!N83*$J$4+$M$4*$J$5+[12]FormattedData!N83^2*$J$6+$M$5*$J$7</f>
        <v>30.188758719779116</v>
      </c>
      <c r="V79" s="6">
        <f>$J$3+[12]FormattedData!O83*$J$4+$M$4*$J$5+[12]FormattedData!O83^2*$J$6+$M$5*$J$7</f>
        <v>29.604452021298783</v>
      </c>
      <c r="W79" s="5">
        <f t="shared" si="18"/>
        <v>29.773950184088307</v>
      </c>
      <c r="X79" s="4">
        <f t="shared" si="19"/>
        <v>0.21016910554480425</v>
      </c>
      <c r="Y79" s="3">
        <f t="shared" si="20"/>
        <v>28.529270965788264</v>
      </c>
      <c r="Z79" s="2">
        <f t="shared" si="21"/>
        <v>29.336100577069427</v>
      </c>
      <c r="AA79" s="3">
        <f t="shared" si="22"/>
        <v>29.799368860674985</v>
      </c>
      <c r="AB79" s="2">
        <f t="shared" si="23"/>
        <v>30.115799635977698</v>
      </c>
      <c r="AC79" s="2">
        <f t="shared" si="24"/>
        <v>30.965467279628765</v>
      </c>
      <c r="AD79" s="2">
        <f t="shared" si="25"/>
        <v>6.5498141982059679E-2</v>
      </c>
      <c r="AE79" s="2">
        <f t="shared" si="26"/>
        <v>-0.31559888778330691</v>
      </c>
    </row>
    <row r="80" spans="2:31" x14ac:dyDescent="0.2">
      <c r="B80" s="1">
        <f>[12]FormattedData!A81</f>
        <v>407</v>
      </c>
      <c r="C80" s="1" t="str">
        <f>VLOOKUP($B80,[12]TrtCodes!$B$11:I124,2)</f>
        <v>NSH</v>
      </c>
      <c r="D80" s="1">
        <f>VLOOKUP($B80,[12]TrtCodes!$B$11:J124,3)</f>
        <v>7</v>
      </c>
      <c r="E80" s="1">
        <f>VLOOKUP($B80,[12]TrtCodes!$B$11:K124,4)</f>
        <v>2</v>
      </c>
      <c r="F80" s="1">
        <f>VLOOKUP($B80,[12]TrtCodes!$B$11:L124,5)</f>
        <v>1</v>
      </c>
      <c r="G80" s="1">
        <f>VLOOKUP($B80,[12]TrtCodes!$B$11:M124,6)</f>
        <v>2</v>
      </c>
      <c r="H80" s="1">
        <f>VLOOKUP($B80,[12]TrtCodes!$B$11:N124,7)</f>
        <v>4</v>
      </c>
      <c r="I80" s="1">
        <f>[12]FormattedData!B81</f>
        <v>2</v>
      </c>
      <c r="J80" s="4">
        <f>[12]FormattedData!C81</f>
        <v>13.654999999999999</v>
      </c>
      <c r="K80" s="6">
        <f>$J$3+[12]FormattedData!D81*$J$4+$M$4*$J$5+[12]FormattedData!D81^2*$J$6+$M$5*$J$7</f>
        <v>32.221849033956836</v>
      </c>
      <c r="L80" s="6">
        <f>$J$3+[12]FormattedData!E81*$J$4+$M$4*$J$5+[12]FormattedData!E81^2*$J$6+$M$5*$J$7</f>
        <v>32.895403488632155</v>
      </c>
      <c r="M80" s="6">
        <f>$J$3+[12]FormattedData!F81*$J$4+$M$4*$J$5+[12]FormattedData!F81^2*$J$6+$M$5*$J$7</f>
        <v>32.221849033956836</v>
      </c>
      <c r="N80" s="6">
        <f>$J$3+[12]FormattedData!G81*$J$4+$M$4*$J$5+[12]FormattedData!G81^2*$J$6+$M$5*$J$7</f>
        <v>32.31819790452424</v>
      </c>
      <c r="O80" s="6">
        <f>$J$3+[12]FormattedData!H81*$J$4+$M$4*$J$5+[12]FormattedData!H81^2*$J$6+$M$5*$J$7</f>
        <v>32.51076884004528</v>
      </c>
      <c r="P80" s="6">
        <f>$J$3+[12]FormattedData!I81*$J$4+$M$4*$J$5+[12]FormattedData!I81^2*$J$6+$M$5*$J$7</f>
        <v>33.183435655424034</v>
      </c>
      <c r="Q80" s="6">
        <f>$J$3+[12]FormattedData!J81*$J$4+$M$4*$J$5+[12]FormattedData!J81^2*$J$6+$M$5*$J$7</f>
        <v>32.606990904998895</v>
      </c>
      <c r="R80" s="6">
        <f>$J$3+[12]FormattedData!K81*$J$4+$M$4*$J$5+[12]FormattedData!K81^2*$J$6+$M$5*$J$7</f>
        <v>32.895403488632155</v>
      </c>
      <c r="S80" s="6">
        <f>$J$3+[12]FormattedData!L81*$J$4+$M$4*$J$5+[12]FormattedData!L81^2*$J$6+$M$5*$J$7</f>
        <v>32.31819790452424</v>
      </c>
      <c r="T80" s="6">
        <f>$J$3+[12]FormattedData!M81*$J$4+$M$4*$J$5+[12]FormattedData!M81^2*$J$6+$M$5*$J$7</f>
        <v>32.029024487208225</v>
      </c>
      <c r="U80" s="6">
        <f>$J$3+[12]FormattedData!N81*$J$4+$M$4*$J$5+[12]FormattedData!N81^2*$J$6+$M$5*$J$7</f>
        <v>32.221849033956836</v>
      </c>
      <c r="V80" s="6">
        <f>$J$3+[12]FormattedData!O81*$J$4+$M$4*$J$5+[12]FormattedData!O81^2*$J$6+$M$5*$J$7</f>
        <v>31.932548811027019</v>
      </c>
      <c r="W80" s="5">
        <f t="shared" si="18"/>
        <v>32.446293215573895</v>
      </c>
      <c r="X80" s="4">
        <f t="shared" si="19"/>
        <v>0.11005332038224915</v>
      </c>
      <c r="Y80" s="3">
        <f t="shared" si="20"/>
        <v>31.932548811027019</v>
      </c>
      <c r="Z80" s="2">
        <f t="shared" si="21"/>
        <v>32.221849033956836</v>
      </c>
      <c r="AA80" s="3">
        <f t="shared" si="22"/>
        <v>32.31819790452424</v>
      </c>
      <c r="AB80" s="2">
        <f t="shared" si="23"/>
        <v>32.67909405090721</v>
      </c>
      <c r="AC80" s="2">
        <f t="shared" si="24"/>
        <v>33.183435655424034</v>
      </c>
      <c r="AD80" s="2">
        <f t="shared" si="25"/>
        <v>0.66894290769365428</v>
      </c>
      <c r="AE80" s="2">
        <f t="shared" si="26"/>
        <v>-0.41216789880612703</v>
      </c>
    </row>
    <row r="81" spans="2:31" x14ac:dyDescent="0.2">
      <c r="B81" s="1">
        <f>[12]FormattedData!A79</f>
        <v>408</v>
      </c>
      <c r="C81" s="1" t="str">
        <f>VLOOKUP($B81,[12]TrtCodes!$B$11:I122,2)</f>
        <v>NTL</v>
      </c>
      <c r="D81" s="1">
        <f>VLOOKUP($B81,[12]TrtCodes!$B$11:J122,3)</f>
        <v>10</v>
      </c>
      <c r="E81" s="1">
        <f>VLOOKUP($B81,[12]TrtCodes!$B$11:K122,4)</f>
        <v>2</v>
      </c>
      <c r="F81" s="1">
        <f>VLOOKUP($B81,[12]TrtCodes!$B$11:L122,5)</f>
        <v>2</v>
      </c>
      <c r="G81" s="1">
        <f>VLOOKUP($B81,[12]TrtCodes!$B$11:M122,6)</f>
        <v>1</v>
      </c>
      <c r="H81" s="1">
        <f>VLOOKUP($B81,[12]TrtCodes!$B$11:N122,7)</f>
        <v>4</v>
      </c>
      <c r="I81" s="1">
        <f>[12]FormattedData!B79</f>
        <v>2</v>
      </c>
      <c r="J81" s="4">
        <f>[12]FormattedData!C79</f>
        <v>13.635999999999999</v>
      </c>
      <c r="K81" s="6">
        <f>$J$3+[12]FormattedData!D79*$J$4+$M$4*$J$5+[12]FormattedData!D79^2*$J$6+$M$5*$J$7</f>
        <v>29.01862365545292</v>
      </c>
      <c r="L81" s="6">
        <f>$J$3+[12]FormattedData!E79*$J$4+$M$4*$J$5+[12]FormattedData!E79^2*$J$6+$M$5*$J$7</f>
        <v>29.214068851553264</v>
      </c>
      <c r="M81" s="6">
        <f>$J$3+[12]FormattedData!F79*$J$4+$M$4*$J$5+[12]FormattedData!F79^2*$J$6+$M$5*$J$7</f>
        <v>29.89679557895964</v>
      </c>
      <c r="N81" s="6">
        <f>$J$3+[12]FormattedData!G79*$J$4+$M$4*$J$5+[12]FormattedData!G79^2*$J$6+$M$5*$J$7</f>
        <v>29.70194214239033</v>
      </c>
      <c r="O81" s="6">
        <f>$J$3+[12]FormattedData!H79*$J$4+$M$4*$J$5+[12]FormattedData!H79^2*$J$6+$M$5*$J$7</f>
        <v>28.725138847267917</v>
      </c>
      <c r="P81" s="6">
        <f>$J$3+[12]FormattedData!I79*$J$4+$M$4*$J$5+[12]FormattedData!I79^2*$J$6+$M$5*$J$7</f>
        <v>28.823009385200848</v>
      </c>
      <c r="Q81" s="6">
        <f>$J$3+[12]FormattedData!J79*$J$4+$M$4*$J$5+[12]FormattedData!J79^2*$J$6+$M$5*$J$7</f>
        <v>29.994158894437405</v>
      </c>
      <c r="R81" s="6">
        <f>$J$3+[12]FormattedData!K79*$J$4+$M$4*$J$5+[12]FormattedData!K79^2*$J$6+$M$5*$J$7</f>
        <v>29.311728046796542</v>
      </c>
      <c r="S81" s="6">
        <f>$J$3+[12]FormattedData!L79*$J$4+$M$4*$J$5+[12]FormattedData!L79^2*$J$6+$M$5*$J$7</f>
        <v>28.823009385200848</v>
      </c>
      <c r="T81" s="6">
        <f>$J$3+[12]FormattedData!M79*$J$4+$M$4*$J$5+[12]FormattedData!M79^2*$J$6+$M$5*$J$7</f>
        <v>29.506919631669298</v>
      </c>
      <c r="U81" s="6">
        <f>$J$3+[12]FormattedData!N79*$J$4+$M$4*$J$5+[12]FormattedData!N79^2*$J$6+$M$5*$J$7</f>
        <v>30.480341443757222</v>
      </c>
      <c r="V81" s="6">
        <f>$J$3+[12]FormattedData!O79*$J$4+$M$4*$J$5+[12]FormattedData!O79^2*$J$6+$M$5*$J$7</f>
        <v>28.627226040797055</v>
      </c>
      <c r="W81" s="5">
        <f t="shared" si="18"/>
        <v>29.343580158623606</v>
      </c>
      <c r="X81" s="4">
        <f t="shared" si="19"/>
        <v>0.16827184242197887</v>
      </c>
      <c r="Y81" s="3">
        <f t="shared" si="20"/>
        <v>28.627226040797055</v>
      </c>
      <c r="Z81" s="2">
        <f t="shared" si="21"/>
        <v>28.823009385200848</v>
      </c>
      <c r="AA81" s="3">
        <f t="shared" si="22"/>
        <v>29.262898449174905</v>
      </c>
      <c r="AB81" s="2">
        <f t="shared" si="23"/>
        <v>29.750655501532655</v>
      </c>
      <c r="AC81" s="2">
        <f t="shared" si="24"/>
        <v>30.480341443757222</v>
      </c>
      <c r="AD81" s="2">
        <f t="shared" si="25"/>
        <v>0.57347670967783637</v>
      </c>
      <c r="AE81" s="2">
        <f t="shared" si="26"/>
        <v>-0.58331115414313262</v>
      </c>
    </row>
    <row r="82" spans="2:31" x14ac:dyDescent="0.2">
      <c r="B82" s="1">
        <f>[12]FormattedData!A59</f>
        <v>902</v>
      </c>
      <c r="C82" s="1" t="str">
        <f>VLOOKUP($B82,[12]TrtCodes!$B$11:I102,2)</f>
        <v>Late</v>
      </c>
      <c r="D82" s="1">
        <f>VLOOKUP($B82,[12]TrtCodes!$B$11:J102,3)</f>
        <v>22</v>
      </c>
      <c r="E82" s="1">
        <f>VLOOKUP($B82,[12]TrtCodes!$B$11:K102,4)</f>
        <v>4</v>
      </c>
      <c r="F82" s="1">
        <f>VLOOKUP($B82,[12]TrtCodes!$B$11:L102,5)</f>
        <v>2</v>
      </c>
      <c r="G82" s="1">
        <f>VLOOKUP($B82,[12]TrtCodes!$B$11:M102,6)</f>
        <v>2</v>
      </c>
      <c r="H82" s="1">
        <f>VLOOKUP($B82,[12]TrtCodes!$B$11:N102,7)</f>
        <v>1</v>
      </c>
      <c r="I82" s="1">
        <f>[12]FormattedData!B59</f>
        <v>2</v>
      </c>
      <c r="J82" s="4">
        <f>[12]FormattedData!C59</f>
        <v>13.465</v>
      </c>
      <c r="K82" s="6">
        <f>$J$3+[12]FormattedData!D59*$J$4+$M$4*$J$5+[12]FormattedData!D59^2*$J$6+$M$5*$J$7</f>
        <v>31.062365641189277</v>
      </c>
      <c r="L82" s="6">
        <f>$J$3+[12]FormattedData!E59*$J$4+$M$4*$J$5+[12]FormattedData!E59^2*$J$6+$M$5*$J$7</f>
        <v>31.352807114643234</v>
      </c>
      <c r="M82" s="6">
        <f>$J$3+[12]FormattedData!F59*$J$4+$M$4*$J$5+[12]FormattedData!F59^2*$J$6+$M$5*$J$7</f>
        <v>31.83603086630788</v>
      </c>
      <c r="N82" s="6">
        <f>$J$3+[12]FormattedData!G59*$J$4+$M$4*$J$5+[12]FormattedData!G59^2*$J$6+$M$5*$J$7</f>
        <v>32.31819790452424</v>
      </c>
      <c r="O82" s="6">
        <f>$J$3+[12]FormattedData!H59*$J$4+$M$4*$J$5+[12]FormattedData!H59^2*$J$6+$M$5*$J$7</f>
        <v>32.799308229292329</v>
      </c>
      <c r="P82" s="6">
        <f>$J$3+[12]FormattedData!I59*$J$4+$M$4*$J$5+[12]FormattedData!I59^2*$J$6+$M$5*$J$7</f>
        <v>31.159221734211858</v>
      </c>
      <c r="Q82" s="6">
        <f>$J$3+[12]FormattedData!J59*$J$4+$M$4*$J$5+[12]FormattedData!J59^2*$J$6+$M$5*$J$7</f>
        <v>31.159221734211858</v>
      </c>
      <c r="R82" s="6">
        <f>$J$3+[12]FormattedData!K59*$J$4+$M$4*$J$5+[12]FormattedData!K59^2*$J$6+$M$5*$J$7</f>
        <v>32.029024487208225</v>
      </c>
      <c r="S82" s="6">
        <f>$J$3+[12]FormattedData!L59*$J$4+$M$4*$J$5+[12]FormattedData!L59^2*$J$6+$M$5*$J$7</f>
        <v>31.739470653050816</v>
      </c>
      <c r="T82" s="6">
        <f>$J$3+[12]FormattedData!M59*$J$4+$M$4*$J$5+[12]FormattedData!M59^2*$J$6+$M$5*$J$7</f>
        <v>31.932548811027019</v>
      </c>
      <c r="U82" s="6">
        <f>$J$3+[12]FormattedData!N59*$J$4+$M$4*$J$5+[12]FormattedData!N59^2*$J$6+$M$5*$J$7</f>
        <v>32.895403488632155</v>
      </c>
      <c r="V82" s="6">
        <f>$J$3+[12]FormattedData!O59*$J$4+$M$4*$J$5+[12]FormattedData!O59^2*$J$6+$M$5*$J$7</f>
        <v>32.895403488632155</v>
      </c>
      <c r="W82" s="5">
        <f t="shared" si="18"/>
        <v>31.93158367941092</v>
      </c>
      <c r="X82" s="4">
        <f t="shared" si="19"/>
        <v>0.19655085237188807</v>
      </c>
      <c r="Y82" s="3">
        <f t="shared" si="20"/>
        <v>31.062365641189277</v>
      </c>
      <c r="Z82" s="2">
        <f t="shared" si="21"/>
        <v>31.304410769535391</v>
      </c>
      <c r="AA82" s="3">
        <f t="shared" si="22"/>
        <v>31.884289838667449</v>
      </c>
      <c r="AB82" s="2">
        <f t="shared" si="23"/>
        <v>32.43847548571626</v>
      </c>
      <c r="AC82" s="2">
        <f t="shared" si="24"/>
        <v>32.895403488632155</v>
      </c>
      <c r="AD82" s="2">
        <f t="shared" si="25"/>
        <v>0.2497667569466297</v>
      </c>
      <c r="AE82" s="2">
        <f t="shared" si="26"/>
        <v>-1.3120490493068973</v>
      </c>
    </row>
    <row r="83" spans="2:31" x14ac:dyDescent="0.2">
      <c r="B83" s="1">
        <f>[12]FormattedData!A55</f>
        <v>904</v>
      </c>
      <c r="C83" s="1" t="str">
        <f>VLOOKUP($B83,[12]TrtCodes!$B$11:I98,2)</f>
        <v>Early</v>
      </c>
      <c r="D83" s="1">
        <f>VLOOKUP($B83,[12]TrtCodes!$B$11:J98,3)</f>
        <v>21</v>
      </c>
      <c r="E83" s="1">
        <f>VLOOKUP($B83,[12]TrtCodes!$B$11:K98,4)</f>
        <v>3</v>
      </c>
      <c r="F83" s="1">
        <f>VLOOKUP($B83,[12]TrtCodes!$B$11:L98,5)</f>
        <v>2</v>
      </c>
      <c r="G83" s="1">
        <f>VLOOKUP($B83,[12]TrtCodes!$B$11:M98,6)</f>
        <v>2</v>
      </c>
      <c r="H83" s="1">
        <f>VLOOKUP($B83,[12]TrtCodes!$B$11:N98,7)</f>
        <v>1</v>
      </c>
      <c r="I83" s="1">
        <f>[12]FormattedData!B55</f>
        <v>2</v>
      </c>
      <c r="J83" s="4">
        <f>[12]FormattedData!C55</f>
        <v>13.439</v>
      </c>
      <c r="K83" s="6">
        <f>$J$3+[12]FormattedData!D55*$J$4+$M$4*$J$5+[12]FormattedData!D55^2*$J$6+$M$5*$J$7</f>
        <v>33.27936184061214</v>
      </c>
      <c r="L83" s="6">
        <f>$J$3+[12]FormattedData!E55*$J$4+$M$4*$J$5+[12]FormattedData!E55^2*$J$6+$M$5*$J$7</f>
        <v>33.662643895985219</v>
      </c>
      <c r="M83" s="6">
        <f>$J$3+[12]FormattedData!F55*$J$4+$M$4*$J$5+[12]FormattedData!F55^2*$J$6+$M$5*$J$7</f>
        <v>31.932548811027019</v>
      </c>
      <c r="N83" s="6">
        <f>$J$3+[12]FormattedData!G55*$J$4+$M$4*$J$5+[12]FormattedData!G55^2*$J$6+$M$5*$J$7</f>
        <v>38.115549203908508</v>
      </c>
      <c r="O83" s="6">
        <f>$J$3+[12]FormattedData!H55*$J$4+$M$4*$J$5+[12]FormattedData!H55^2*$J$6+$M$5*$J$7</f>
        <v>31.932548811027019</v>
      </c>
      <c r="P83" s="6">
        <f>$J$3+[12]FormattedData!I55*$J$4+$M$4*$J$5+[12]FormattedData!I55^2*$J$6+$M$5*$J$7</f>
        <v>34.713182393881894</v>
      </c>
      <c r="Q83" s="6">
        <f>$J$3+[12]FormattedData!J55*$J$4+$M$4*$J$5+[12]FormattedData!J55^2*$J$6+$M$5*$J$7</f>
        <v>33.566886784948849</v>
      </c>
      <c r="R83" s="6">
        <f>$J$3+[12]FormattedData!K55*$J$4+$M$4*$J$5+[12]FormattedData!K55^2*$J$6+$M$5*$J$7</f>
        <v>35.663779195486995</v>
      </c>
      <c r="S83" s="6">
        <f>$J$3+[12]FormattedData!L55*$J$4+$M$4*$J$5+[12]FormattedData!L55^2*$J$6+$M$5*$J$7</f>
        <v>34.998805254011707</v>
      </c>
      <c r="T83" s="6">
        <f>$J$3+[12]FormattedData!M55*$J$4+$M$4*$J$5+[12]FormattedData!M55^2*$J$6+$M$5*$J$7</f>
        <v>35.568909723747176</v>
      </c>
      <c r="U83" s="6">
        <f>$J$3+[12]FormattedData!N55*$J$4+$M$4*$J$5+[12]FormattedData!N55^2*$J$6+$M$5*$J$7</f>
        <v>35.948133999478877</v>
      </c>
      <c r="V83" s="6">
        <f>$J$3+[12]FormattedData!O55*$J$4+$M$4*$J$5+[12]FormattedData!O55^2*$J$6+$M$5*$J$7</f>
        <v>36.98751360336172</v>
      </c>
      <c r="W83" s="5">
        <f t="shared" si="18"/>
        <v>34.697488626456426</v>
      </c>
      <c r="X83" s="4">
        <f t="shared" si="19"/>
        <v>0.54996989338294655</v>
      </c>
      <c r="Y83" s="3">
        <f t="shared" si="20"/>
        <v>31.932548811027019</v>
      </c>
      <c r="Z83" s="2">
        <f t="shared" si="21"/>
        <v>33.495005548864668</v>
      </c>
      <c r="AA83" s="3">
        <f t="shared" si="22"/>
        <v>34.855993823946804</v>
      </c>
      <c r="AB83" s="2">
        <f t="shared" si="23"/>
        <v>35.734867896484964</v>
      </c>
      <c r="AC83" s="2">
        <f t="shared" si="24"/>
        <v>38.115549203908508</v>
      </c>
      <c r="AD83" s="2">
        <f t="shared" si="25"/>
        <v>0.12320855668050595</v>
      </c>
      <c r="AE83" s="2">
        <f t="shared" si="26"/>
        <v>-0.54530009643474209</v>
      </c>
    </row>
    <row r="84" spans="2:31" x14ac:dyDescent="0.2">
      <c r="B84" s="1">
        <f>[12]FormattedData!A51</f>
        <v>906</v>
      </c>
      <c r="C84" s="1" t="str">
        <f>VLOOKUP($B84,[12]TrtCodes!$B$11:I94,2)</f>
        <v>Late</v>
      </c>
      <c r="D84" s="1">
        <f>VLOOKUP($B84,[12]TrtCodes!$B$11:J94,3)</f>
        <v>22</v>
      </c>
      <c r="E84" s="1">
        <f>VLOOKUP($B84,[12]TrtCodes!$B$11:K94,4)</f>
        <v>4</v>
      </c>
      <c r="F84" s="1">
        <f>VLOOKUP($B84,[12]TrtCodes!$B$11:L94,5)</f>
        <v>2</v>
      </c>
      <c r="G84" s="1">
        <f>VLOOKUP($B84,[12]TrtCodes!$B$11:M94,6)</f>
        <v>2</v>
      </c>
      <c r="H84" s="1">
        <f>VLOOKUP($B84,[12]TrtCodes!$B$11:N94,7)</f>
        <v>2</v>
      </c>
      <c r="I84" s="1">
        <f>[12]FormattedData!B51</f>
        <v>2</v>
      </c>
      <c r="J84" s="4">
        <f>[12]FormattedData!C51</f>
        <v>13.413</v>
      </c>
      <c r="K84" s="6">
        <f>$J$3+[12]FormattedData!D51*$J$4+$M$4*$J$5+[12]FormattedData!D51^2*$J$6+$M$5*$J$7</f>
        <v>30.091479941377226</v>
      </c>
      <c r="L84" s="6">
        <f>$J$3+[12]FormattedData!E51*$J$4+$M$4*$J$5+[12]FormattedData!E51^2*$J$6+$M$5*$J$7</f>
        <v>30.674518583719628</v>
      </c>
      <c r="M84" s="6">
        <f>$J$3+[12]FormattedData!F51*$J$4+$M$4*$J$5+[12]FormattedData!F51^2*$J$6+$M$5*$J$7</f>
        <v>30.285995229643085</v>
      </c>
      <c r="N84" s="6">
        <f>$J$3+[12]FormattedData!G51*$J$4+$M$4*$J$5+[12]FormattedData!G51^2*$J$6+$M$5*$J$7</f>
        <v>30.868526649530317</v>
      </c>
      <c r="O84" s="6">
        <f>$J$3+[12]FormattedData!H51*$J$4+$M$4*$J$5+[12]FormattedData!H51^2*$J$6+$M$5*$J$7</f>
        <v>32.414504506553726</v>
      </c>
      <c r="P84" s="6">
        <f>$J$3+[12]FormattedData!I51*$J$4+$M$4*$J$5+[12]FormattedData!I51^2*$J$6+$M$5*$J$7</f>
        <v>30.285995229643085</v>
      </c>
      <c r="Q84" s="6">
        <f>$J$3+[12]FormattedData!J51*$J$4+$M$4*$J$5+[12]FormattedData!J51^2*$J$6+$M$5*$J$7</f>
        <v>29.311728046796542</v>
      </c>
      <c r="R84" s="6">
        <f>$J$3+[12]FormattedData!K51*$J$4+$M$4*$J$5+[12]FormattedData!K51^2*$J$6+$M$5*$J$7</f>
        <v>30.091479941377226</v>
      </c>
      <c r="S84" s="6">
        <f>$J$3+[12]FormattedData!L51*$J$4+$M$4*$J$5+[12]FormattedData!L51^2*$J$6+$M$5*$J$7</f>
        <v>32.029024487208225</v>
      </c>
      <c r="T84" s="6">
        <f>$J$3+[12]FormattedData!M51*$J$4+$M$4*$J$5+[12]FormattedData!M51^2*$J$6+$M$5*$J$7</f>
        <v>29.994158894437405</v>
      </c>
      <c r="U84" s="6">
        <f>$J$3+[12]FormattedData!N51*$J$4+$M$4*$J$5+[12]FormattedData!N51^2*$J$6+$M$5*$J$7</f>
        <v>30.091479941377226</v>
      </c>
      <c r="V84" s="6">
        <f>$J$3+[12]FormattedData!O51*$J$4+$M$4*$J$5+[12]FormattedData!O51^2*$J$6+$M$5*$J$7</f>
        <v>30.77154375089394</v>
      </c>
      <c r="W84" s="5">
        <f t="shared" si="18"/>
        <v>30.575869600213135</v>
      </c>
      <c r="X84" s="4">
        <f t="shared" si="19"/>
        <v>0.25277701765790433</v>
      </c>
      <c r="Y84" s="3">
        <f t="shared" si="20"/>
        <v>29.311728046796542</v>
      </c>
      <c r="Z84" s="2">
        <f t="shared" si="21"/>
        <v>30.091479941377226</v>
      </c>
      <c r="AA84" s="3">
        <f t="shared" si="22"/>
        <v>30.285995229643085</v>
      </c>
      <c r="AB84" s="2">
        <f t="shared" si="23"/>
        <v>30.795789475553036</v>
      </c>
      <c r="AC84" s="2">
        <f t="shared" si="24"/>
        <v>32.414504506553726</v>
      </c>
      <c r="AD84" s="2">
        <f t="shared" si="25"/>
        <v>1.0904212336077641</v>
      </c>
      <c r="AE84" s="2">
        <f t="shared" si="26"/>
        <v>0.99050759814534217</v>
      </c>
    </row>
    <row r="85" spans="2:31" x14ac:dyDescent="0.2">
      <c r="B85" s="1">
        <f>[12]FormattedData!A47</f>
        <v>908</v>
      </c>
      <c r="C85" s="1" t="str">
        <f>VLOOKUP($B85,[12]TrtCodes!$B$11:I90,2)</f>
        <v>Early</v>
      </c>
      <c r="D85" s="1">
        <f>VLOOKUP($B85,[12]TrtCodes!$B$11:J90,3)</f>
        <v>21</v>
      </c>
      <c r="E85" s="1">
        <f>VLOOKUP($B85,[12]TrtCodes!$B$11:K90,4)</f>
        <v>3</v>
      </c>
      <c r="F85" s="1">
        <f>VLOOKUP($B85,[12]TrtCodes!$B$11:L90,5)</f>
        <v>2</v>
      </c>
      <c r="G85" s="1">
        <f>VLOOKUP($B85,[12]TrtCodes!$B$11:M90,6)</f>
        <v>2</v>
      </c>
      <c r="H85" s="1">
        <f>VLOOKUP($B85,[12]TrtCodes!$B$11:N90,7)</f>
        <v>2</v>
      </c>
      <c r="I85" s="1">
        <f>[12]FormattedData!B47</f>
        <v>2</v>
      </c>
      <c r="J85" s="4">
        <f>[12]FormattedData!C47</f>
        <v>13.388</v>
      </c>
      <c r="K85" s="6">
        <f>$J$3+[12]FormattedData!D47*$J$4+$M$4*$J$5+[12]FormattedData!D47^2*$J$6+$M$5*$J$7</f>
        <v>31.256035558696517</v>
      </c>
      <c r="L85" s="6">
        <f>$J$3+[12]FormattedData!E47*$J$4+$M$4*$J$5+[12]FormattedData!E47^2*$J$6+$M$5*$J$7</f>
        <v>32.895403488632155</v>
      </c>
      <c r="M85" s="6">
        <f>$J$3+[12]FormattedData!F47*$J$4+$M$4*$J$5+[12]FormattedData!F47^2*$J$6+$M$5*$J$7</f>
        <v>32.606990904998895</v>
      </c>
      <c r="N85" s="6">
        <f>$J$3+[12]FormattedData!G47*$J$4+$M$4*$J$5+[12]FormattedData!G47^2*$J$6+$M$5*$J$7</f>
        <v>34.236298922906919</v>
      </c>
      <c r="O85" s="6">
        <f>$J$3+[12]FormattedData!H47*$J$4+$M$4*$J$5+[12]FormattedData!H47^2*$J$6+$M$5*$J$7</f>
        <v>31.352807114643234</v>
      </c>
      <c r="P85" s="6">
        <f>$J$3+[12]FormattedData!I47*$J$4+$M$4*$J$5+[12]FormattedData!I47^2*$J$6+$M$5*$J$7</f>
        <v>32.221849033956836</v>
      </c>
      <c r="Q85" s="6">
        <f>$J$3+[12]FormattedData!J47*$J$4+$M$4*$J$5+[12]FormattedData!J47^2*$J$6+$M$5*$J$7</f>
        <v>33.183435655424034</v>
      </c>
      <c r="R85" s="6">
        <f>$J$3+[12]FormattedData!K47*$J$4+$M$4*$J$5+[12]FormattedData!K47^2*$J$6+$M$5*$J$7</f>
        <v>33.183435655424034</v>
      </c>
      <c r="S85" s="6">
        <f>$J$3+[12]FormattedData!L47*$J$4+$M$4*$J$5+[12]FormattedData!L47^2*$J$6+$M$5*$J$7</f>
        <v>33.471087405374547</v>
      </c>
      <c r="T85" s="6">
        <f>$J$3+[12]FormattedData!M47*$J$4+$M$4*$J$5+[12]FormattedData!M47^2*$J$6+$M$5*$J$7</f>
        <v>34.045249654751416</v>
      </c>
      <c r="U85" s="6">
        <f>$J$3+[12]FormattedData!N47*$J$4+$M$4*$J$5+[12]FormattedData!N47^2*$J$6+$M$5*$J$7</f>
        <v>34.4271791169107</v>
      </c>
      <c r="V85" s="6">
        <f>$J$3+[12]FormattedData!O47*$J$4+$M$4*$J$5+[12]FormattedData!O47^2*$J$6+$M$5*$J$7</f>
        <v>36.232108386629371</v>
      </c>
      <c r="W85" s="5">
        <f t="shared" si="18"/>
        <v>33.259323408195719</v>
      </c>
      <c r="X85" s="4">
        <f t="shared" si="19"/>
        <v>0.39992570961261892</v>
      </c>
      <c r="Y85" s="3">
        <f t="shared" si="20"/>
        <v>31.256035558696517</v>
      </c>
      <c r="Z85" s="2">
        <f t="shared" si="21"/>
        <v>32.510705437238379</v>
      </c>
      <c r="AA85" s="3">
        <f t="shared" si="22"/>
        <v>33.183435655424034</v>
      </c>
      <c r="AB85" s="2">
        <f t="shared" si="23"/>
        <v>34.09301197179029</v>
      </c>
      <c r="AC85" s="2">
        <f t="shared" si="24"/>
        <v>36.232108386629371</v>
      </c>
      <c r="AD85" s="2">
        <f t="shared" si="25"/>
        <v>0.52841531231037187</v>
      </c>
      <c r="AE85" s="2">
        <f t="shared" si="26"/>
        <v>0.75467954861861752</v>
      </c>
    </row>
    <row r="88" spans="2:31" x14ac:dyDescent="0.2">
      <c r="W88" s="2"/>
    </row>
  </sheetData>
  <autoFilter ref="B9:AE85" xr:uid="{3AEA352A-D23D-412E-B4C8-ED0756F015F0}"/>
  <conditionalFormatting sqref="K10:V85">
    <cfRule type="cellIs" dxfId="79" priority="1" stopIfTrue="1" operator="lessThan">
      <formula>$W10-$V$5*$X10</formula>
    </cfRule>
    <cfRule type="cellIs" dxfId="78" priority="2" stopIfTrue="1" operator="greaterThan">
      <formula>$W10+$V$5*$X10</formula>
    </cfRule>
  </conditionalFormatting>
  <conditionalFormatting sqref="W10:W85">
    <cfRule type="cellIs" dxfId="77" priority="3" stopIfTrue="1" operator="lessThan">
      <formula>AVERAGE($W$10:$W$41)</formula>
    </cfRule>
    <cfRule type="cellIs" dxfId="7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DBF4-F0C7-4388-8637-D094871DDE3F}">
  <sheetPr codeName="Sheet21"/>
  <dimension ref="A1:AI88"/>
  <sheetViews>
    <sheetView topLeftCell="A8" workbookViewId="0">
      <pane xSplit="4" ySplit="2" topLeftCell="L37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[13]FormattedData!A1</f>
        <v>Raw data file name - 'IA182.03R'</v>
      </c>
    </row>
    <row r="2" spans="1:35" ht="15" x14ac:dyDescent="0.25">
      <c r="I2" s="32" t="s">
        <v>136</v>
      </c>
      <c r="J2" s="24"/>
      <c r="P2" s="31">
        <f>[13]AncillaryData!C10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[13]AncillaryData!E25</f>
        <v>38.35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"&amp;[13]AncillaryData!C7</f>
        <v>Time Sequence of Midday IRT Temps - FISE 2003 - DOY 182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"&amp;[13]AncillaryData!E25&amp;", VPD = "&amp;ROUND([13]AncillaryData!E29,1)&amp;", Quality = "&amp;[13]AncillaryData!C20&amp;")"</f>
        <v>(Ta = 38.35, VPD = 5.4, Quality = 2)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[13]FormattedData!A28</f>
        <v>101</v>
      </c>
      <c r="C10" s="1" t="str">
        <f>VLOOKUP($B10,[13]TrtCodes!$B$11:I71,2)</f>
        <v>FSH</v>
      </c>
      <c r="D10" s="1">
        <f>VLOOKUP($B10,[13]TrtCodes!$B$11:J71,3)</f>
        <v>1</v>
      </c>
      <c r="E10" s="1">
        <f>VLOOKUP($B10,[13]TrtCodes!$B$11:K71,4)</f>
        <v>1</v>
      </c>
      <c r="F10" s="1">
        <f>VLOOKUP($B10,[13]TrtCodes!$B$11:L71,5)</f>
        <v>1</v>
      </c>
      <c r="G10" s="1">
        <f>VLOOKUP($B10,[13]TrtCodes!$B$11:M71,6)</f>
        <v>2</v>
      </c>
      <c r="H10" s="1">
        <f>VLOOKUP($B10,[13]TrtCodes!$B$11:N71,7)</f>
        <v>1</v>
      </c>
      <c r="I10" s="1">
        <f>[13]FormattedData!B28</f>
        <v>1</v>
      </c>
      <c r="J10" s="4">
        <f>[13]FormattedData!C28</f>
        <v>12.992000000000001</v>
      </c>
      <c r="K10" s="6">
        <f>$J$3+[13]FormattedData!D28*$J$4+$M$4*$J$5+[13]FormattedData!D28^2*$J$6+$M$5*$J$7</f>
        <v>58.07239459005627</v>
      </c>
      <c r="L10" s="6">
        <f>$J$3+[13]FormattedData!E28*$J$4+$M$4*$J$5+[13]FormattedData!E28^2*$J$6+$M$5*$J$7</f>
        <v>37.203255897244993</v>
      </c>
      <c r="M10" s="6">
        <f>$J$3+[13]FormattedData!F28*$J$4+$M$4*$J$5+[13]FormattedData!F28^2*$J$6+$M$5*$J$7</f>
        <v>54.324965529532804</v>
      </c>
      <c r="N10" s="6">
        <f>$J$3+[13]FormattedData!G28*$J$4+$M$4*$J$5+[13]FormattedData!G28^2*$J$6+$M$5*$J$7</f>
        <v>33.691521506968179</v>
      </c>
      <c r="O10" s="6">
        <f>$J$3+[13]FormattedData!H28*$J$4+$M$4*$J$5+[13]FormattedData!H28^2*$J$6+$M$5*$J$7</f>
        <v>50.759390068518208</v>
      </c>
      <c r="P10" s="6">
        <f>$J$3+[13]FormattedData!I28*$J$4+$M$4*$J$5+[13]FormattedData!I28^2*$J$6+$M$5*$J$7</f>
        <v>34.551053005247262</v>
      </c>
      <c r="Q10" s="6">
        <f>$J$3+[13]FormattedData!J28*$J$4+$M$4*$J$5+[13]FormattedData!J28^2*$J$6+$M$5*$J$7</f>
        <v>51.810327855878604</v>
      </c>
      <c r="R10" s="6">
        <f>$J$3+[13]FormattedData!K28*$J$4+$M$4*$J$5+[13]FormattedData!K28^2*$J$6+$M$5*$J$7</f>
        <v>38.797354223056381</v>
      </c>
      <c r="S10" s="6">
        <f>$J$3+[13]FormattedData!L28*$J$4+$M$4*$J$5+[13]FormattedData!L28^2*$J$6+$M$5*$J$7</f>
        <v>55.098142404818581</v>
      </c>
      <c r="T10" s="6">
        <f>$J$3+[13]FormattedData!M28*$J$4+$M$4*$J$5+[13]FormattedData!M28^2*$J$6+$M$5*$J$7</f>
        <v>42.132767669000074</v>
      </c>
      <c r="U10" s="6">
        <f>$J$3+[13]FormattedData!N28*$J$4+$M$4*$J$5+[13]FormattedData!N28^2*$J$6+$M$5*$J$7</f>
        <v>56.208909045973869</v>
      </c>
      <c r="V10" s="6">
        <f>$J$3+[13]FormattedData!O28*$J$4+$M$4*$J$5+[13]FormattedData!O28^2*$J$6+$M$5*$J$7</f>
        <v>36.920676371846227</v>
      </c>
      <c r="W10" s="5">
        <f t="shared" ref="W10:W41" si="0">AVERAGE(K10:V10)</f>
        <v>45.797563180678452</v>
      </c>
      <c r="X10" s="4">
        <f t="shared" ref="X10:X41" si="1">STDEV(K10:V10)/SQRT(COUNT(K10:V10))</f>
        <v>2.7068839900626749</v>
      </c>
      <c r="Y10" s="3">
        <f t="shared" ref="Y10:Y41" si="2">MIN(K10:V10)</f>
        <v>33.691521506968179</v>
      </c>
      <c r="Z10" s="2">
        <f t="shared" ref="Z10:Z41" si="3">QUARTILE(K10:V10,1)</f>
        <v>37.1326110158953</v>
      </c>
      <c r="AA10" s="3">
        <f t="shared" ref="AA10:AA41" si="4">MEDIAN(K10:V10)</f>
        <v>46.446078868759145</v>
      </c>
      <c r="AB10" s="2">
        <f t="shared" ref="AB10:AB41" si="5">QUARTILE(K10:V10,3)</f>
        <v>54.518259748354247</v>
      </c>
      <c r="AC10" s="2">
        <f t="shared" ref="AC10:AC41" si="6">MAX(K10:V10)</f>
        <v>58.07239459005627</v>
      </c>
      <c r="AD10" s="2">
        <f t="shared" ref="AD10:AD41" si="7">SKEW(K10:V10)</f>
        <v>-2.3963206247303352E-2</v>
      </c>
      <c r="AE10" s="2">
        <f t="shared" ref="AE10:AE41" si="8">KURT(K10:V10)</f>
        <v>-1.9776298228776583</v>
      </c>
    </row>
    <row r="11" spans="1:35" x14ac:dyDescent="0.2">
      <c r="B11" s="1">
        <f>[13]FormattedData!A26</f>
        <v>102</v>
      </c>
      <c r="C11" s="1" t="str">
        <f>VLOOKUP($B11,[13]TrtCodes!$B$11:I69,2)</f>
        <v>FTL</v>
      </c>
      <c r="D11" s="1">
        <f>VLOOKUP($B11,[13]TrtCodes!$B$11:J69,3)</f>
        <v>4</v>
      </c>
      <c r="E11" s="1">
        <f>VLOOKUP($B11,[13]TrtCodes!$B$11:K69,4)</f>
        <v>1</v>
      </c>
      <c r="F11" s="1">
        <f>VLOOKUP($B11,[13]TrtCodes!$B$11:L69,5)</f>
        <v>2</v>
      </c>
      <c r="G11" s="1">
        <f>VLOOKUP($B11,[13]TrtCodes!$B$11:M69,6)</f>
        <v>1</v>
      </c>
      <c r="H11" s="1">
        <f>VLOOKUP($B11,[13]TrtCodes!$B$11:N69,7)</f>
        <v>1</v>
      </c>
      <c r="I11" s="1">
        <f>[13]FormattedData!B26</f>
        <v>1</v>
      </c>
      <c r="J11" s="4">
        <f>[13]FormattedData!C26</f>
        <v>12.978</v>
      </c>
      <c r="K11" s="6">
        <f>$J$3+[13]FormattedData!D26*$J$4+$M$4*$J$5+[13]FormattedData!D26^2*$J$6+$M$5*$J$7</f>
        <v>56.719161265998849</v>
      </c>
      <c r="L11" s="6">
        <f>$J$3+[13]FormattedData!E26*$J$4+$M$4*$J$5+[13]FormattedData!E26^2*$J$6+$M$5*$J$7</f>
        <v>39.263881902238225</v>
      </c>
      <c r="M11" s="6">
        <f>$J$3+[13]FormattedData!F26*$J$4+$M$4*$J$5+[13]FormattedData!F26^2*$J$6+$M$5*$J$7</f>
        <v>54.152683492218728</v>
      </c>
      <c r="N11" s="6">
        <f>$J$3+[13]FormattedData!G26*$J$4+$M$4*$J$5+[13]FormattedData!G26^2*$J$6+$M$5*$J$7</f>
        <v>33.500049553433357</v>
      </c>
      <c r="O11" s="6">
        <f>$J$3+[13]FormattedData!H26*$J$4+$M$4*$J$5+[13]FormattedData!H26^2*$J$6+$M$5*$J$7</f>
        <v>56.719161265998849</v>
      </c>
      <c r="P11" s="6">
        <f>$J$3+[13]FormattedData!I26*$J$4+$M$4*$J$5+[13]FormattedData!I26^2*$J$6+$M$5*$J$7</f>
        <v>37.861128724347864</v>
      </c>
      <c r="Q11" s="6">
        <f>$J$3+[13]FormattedData!J26*$J$4+$M$4*$J$5+[13]FormattedData!J26^2*$J$6+$M$5*$J$7</f>
        <v>57.143209064559898</v>
      </c>
      <c r="R11" s="6">
        <f>$J$3+[13]FormattedData!K26*$J$4+$M$4*$J$5+[13]FormattedData!K26^2*$J$6+$M$5*$J$7</f>
        <v>34.741595050947595</v>
      </c>
      <c r="S11" s="6">
        <f>$J$3+[13]FormattedData!L26*$J$4+$M$4*$J$5+[13]FormattedData!L26^2*$J$6+$M$5*$J$7</f>
        <v>55.269494534298175</v>
      </c>
      <c r="T11" s="6">
        <f>$J$3+[13]FormattedData!M26*$J$4+$M$4*$J$5+[13]FormattedData!M26^2*$J$6+$M$5*$J$7</f>
        <v>37.014911815517081</v>
      </c>
      <c r="U11" s="6">
        <f>$J$3+[13]FormattedData!N26*$J$4+$M$4*$J$5+[13]FormattedData!N26^2*$J$6+$M$5*$J$7</f>
        <v>52.681459806173166</v>
      </c>
      <c r="V11" s="6">
        <f>$J$3+[13]FormattedData!O26*$J$4+$M$4*$J$5+[13]FormattedData!O26^2*$J$6+$M$5*$J$7</f>
        <v>34.264922922662279</v>
      </c>
      <c r="W11" s="5">
        <f t="shared" si="0"/>
        <v>45.777638283199515</v>
      </c>
      <c r="X11" s="4">
        <f t="shared" si="1"/>
        <v>2.9688676160631906</v>
      </c>
      <c r="Y11" s="3">
        <f t="shared" si="2"/>
        <v>33.500049553433357</v>
      </c>
      <c r="Z11" s="2">
        <f t="shared" si="3"/>
        <v>36.446582624374713</v>
      </c>
      <c r="AA11" s="3">
        <f t="shared" si="4"/>
        <v>45.972670854205695</v>
      </c>
      <c r="AB11" s="2">
        <f t="shared" si="5"/>
        <v>55.631911217223347</v>
      </c>
      <c r="AC11" s="2">
        <f t="shared" si="6"/>
        <v>57.143209064559898</v>
      </c>
      <c r="AD11" s="2">
        <f t="shared" si="7"/>
        <v>-3.0740669007063678E-2</v>
      </c>
      <c r="AE11" s="2">
        <f t="shared" si="8"/>
        <v>-2.2387769825546311</v>
      </c>
    </row>
    <row r="12" spans="1:35" x14ac:dyDescent="0.2">
      <c r="B12" s="1">
        <f>[13]FormattedData!A24</f>
        <v>103</v>
      </c>
      <c r="C12" s="1" t="str">
        <f>VLOOKUP($B12,[13]TrtCodes!$B$11:I67,2)</f>
        <v>FDH</v>
      </c>
      <c r="D12" s="1">
        <f>VLOOKUP($B12,[13]TrtCodes!$B$11:J67,3)</f>
        <v>5</v>
      </c>
      <c r="E12" s="1">
        <f>VLOOKUP($B12,[13]TrtCodes!$B$11:K67,4)</f>
        <v>1</v>
      </c>
      <c r="F12" s="1">
        <f>VLOOKUP($B12,[13]TrtCodes!$B$11:L67,5)</f>
        <v>3</v>
      </c>
      <c r="G12" s="1">
        <f>VLOOKUP($B12,[13]TrtCodes!$B$11:M67,6)</f>
        <v>2</v>
      </c>
      <c r="H12" s="1">
        <f>VLOOKUP($B12,[13]TrtCodes!$B$11:N67,7)</f>
        <v>1</v>
      </c>
      <c r="I12" s="1">
        <f>[13]FormattedData!B24</f>
        <v>1</v>
      </c>
      <c r="J12" s="4">
        <f>[13]FormattedData!C24</f>
        <v>12.962999999999999</v>
      </c>
      <c r="K12" s="6">
        <f>$J$3+[13]FormattedData!D24*$J$4+$M$4*$J$5+[13]FormattedData!D24^2*$J$6+$M$5*$J$7</f>
        <v>48.550387146057588</v>
      </c>
      <c r="L12" s="6">
        <f>$J$3+[13]FormattedData!E24*$J$4+$M$4*$J$5+[13]FormattedData!E24^2*$J$6+$M$5*$J$7</f>
        <v>34.741595050947595</v>
      </c>
      <c r="M12" s="6">
        <f>$J$3+[13]FormattedData!F24*$J$4+$M$4*$J$5+[13]FormattedData!F24^2*$J$6+$M$5*$J$7</f>
        <v>48.816862358504586</v>
      </c>
      <c r="N12" s="6">
        <f>$J$3+[13]FormattedData!G24*$J$4+$M$4*$J$5+[13]FormattedData!G24^2*$J$6+$M$5*$J$7</f>
        <v>32.155011802441344</v>
      </c>
      <c r="O12" s="6">
        <f>$J$3+[13]FormattedData!H24*$J$4+$M$4*$J$5+[13]FormattedData!H24^2*$J$6+$M$5*$J$7</f>
        <v>48.461477538166051</v>
      </c>
      <c r="P12" s="6">
        <f>$J$3+[13]FormattedData!I24*$J$4+$M$4*$J$5+[13]FormattedData!I24^2*$J$6+$M$5*$J$7</f>
        <v>32.347667275038233</v>
      </c>
      <c r="Q12" s="6">
        <f>$J$3+[13]FormattedData!J24*$J$4+$M$4*$J$5+[13]FormattedData!J24^2*$J$6+$M$5*$J$7</f>
        <v>50.319702910922643</v>
      </c>
      <c r="R12" s="6">
        <f>$J$3+[13]FormattedData!K24*$J$4+$M$4*$J$5+[13]FormattedData!K24^2*$J$6+$M$5*$J$7</f>
        <v>32.251360673008747</v>
      </c>
      <c r="S12" s="6">
        <f>$J$3+[13]FormattedData!L24*$J$4+$M$4*$J$5+[13]FormattedData!L24^2*$J$6+$M$5*$J$7</f>
        <v>50.671537174074956</v>
      </c>
      <c r="T12" s="6">
        <f>$J$3+[13]FormattedData!M24*$J$4+$M$4*$J$5+[13]FormattedData!M24^2*$J$6+$M$5*$J$7</f>
        <v>33.020629970182519</v>
      </c>
      <c r="U12" s="6">
        <f>$J$3+[13]FormattedData!N24*$J$4+$M$4*$J$5+[13]FormattedData!N24^2*$J$6+$M$5*$J$7</f>
        <v>46.584611740181828</v>
      </c>
      <c r="V12" s="6">
        <f>$J$3+[13]FormattedData!O24*$J$4+$M$4*$J$5+[13]FormattedData!O24^2*$J$6+$M$5*$J$7</f>
        <v>32.636333469899085</v>
      </c>
      <c r="W12" s="5">
        <f t="shared" si="0"/>
        <v>40.879764759118764</v>
      </c>
      <c r="X12" s="4">
        <f t="shared" si="1"/>
        <v>2.4427063640775337</v>
      </c>
      <c r="Y12" s="3">
        <f t="shared" si="2"/>
        <v>32.155011802441344</v>
      </c>
      <c r="Z12" s="2">
        <f t="shared" si="3"/>
        <v>32.564166921183869</v>
      </c>
      <c r="AA12" s="3">
        <f t="shared" si="4"/>
        <v>40.663103395564711</v>
      </c>
      <c r="AB12" s="2">
        <f t="shared" si="5"/>
        <v>48.617005949169339</v>
      </c>
      <c r="AC12" s="2">
        <f t="shared" si="6"/>
        <v>50.671537174074956</v>
      </c>
      <c r="AD12" s="2">
        <f t="shared" si="7"/>
        <v>2.6713958190292639E-2</v>
      </c>
      <c r="AE12" s="2">
        <f t="shared" si="8"/>
        <v>-2.330066234280618</v>
      </c>
    </row>
    <row r="13" spans="1:35" x14ac:dyDescent="0.2">
      <c r="B13" s="1">
        <f>[13]FormattedData!A22</f>
        <v>104</v>
      </c>
      <c r="C13" s="1" t="str">
        <f>VLOOKUP($B13,[13]TrtCodes!$B$11:I65,2)</f>
        <v>NTL</v>
      </c>
      <c r="D13" s="1">
        <f>VLOOKUP($B13,[13]TrtCodes!$B$11:J65,3)</f>
        <v>10</v>
      </c>
      <c r="E13" s="1">
        <f>VLOOKUP($B13,[13]TrtCodes!$B$11:K65,4)</f>
        <v>2</v>
      </c>
      <c r="F13" s="1">
        <f>VLOOKUP($B13,[13]TrtCodes!$B$11:L65,5)</f>
        <v>2</v>
      </c>
      <c r="G13" s="1">
        <f>VLOOKUP($B13,[13]TrtCodes!$B$11:M65,6)</f>
        <v>1</v>
      </c>
      <c r="H13" s="1">
        <f>VLOOKUP($B13,[13]TrtCodes!$B$11:N65,7)</f>
        <v>1</v>
      </c>
      <c r="I13" s="1">
        <f>[13]FormattedData!B22</f>
        <v>1</v>
      </c>
      <c r="J13" s="4">
        <f>[13]FormattedData!C22</f>
        <v>12.949</v>
      </c>
      <c r="K13" s="6">
        <f>$J$3+[13]FormattedData!D22*$J$4+$M$4*$J$5+[13]FormattedData!D22^2*$J$6+$M$5*$J$7</f>
        <v>52.768340524243996</v>
      </c>
      <c r="L13" s="6">
        <f>$J$3+[13]FormattedData!E22*$J$4+$M$4*$J$5+[13]FormattedData!E22^2*$J$6+$M$5*$J$7</f>
        <v>36.543311911783498</v>
      </c>
      <c r="M13" s="6">
        <f>$J$3+[13]FormattedData!F22*$J$4+$M$4*$J$5+[13]FormattedData!F22^2*$J$6+$M$5*$J$7</f>
        <v>49.70236561169574</v>
      </c>
      <c r="N13" s="6">
        <f>$J$3+[13]FormattedData!G22*$J$4+$M$4*$J$5+[13]FormattedData!G22^2*$J$6+$M$5*$J$7</f>
        <v>31.576030939740328</v>
      </c>
      <c r="O13" s="6">
        <f>$J$3+[13]FormattedData!H22*$J$4+$M$4*$J$5+[13]FormattedData!H22^2*$J$6+$M$5*$J$7</f>
        <v>49.878959039878794</v>
      </c>
      <c r="P13" s="6">
        <f>$J$3+[13]FormattedData!I22*$J$4+$M$4*$J$5+[13]FormattedData!I22^2*$J$6+$M$5*$J$7</f>
        <v>32.155011802441344</v>
      </c>
      <c r="Q13" s="6">
        <f>$J$3+[13]FormattedData!J22*$J$4+$M$4*$J$5+[13]FormattedData!J22^2*$J$6+$M$5*$J$7</f>
        <v>49.790683460056229</v>
      </c>
      <c r="R13" s="6">
        <f>$J$3+[13]FormattedData!K22*$J$4+$M$4*$J$5+[13]FormattedData!K22^2*$J$6+$M$5*$J$7</f>
        <v>33.116598423908542</v>
      </c>
      <c r="S13" s="6">
        <f>$J$3+[13]FormattedData!L22*$J$4+$M$4*$J$5+[13]FormattedData!L22^2*$J$6+$M$5*$J$7</f>
        <v>50.143532168118895</v>
      </c>
      <c r="T13" s="6">
        <f>$J$3+[13]FormattedData!M22*$J$4+$M$4*$J$5+[13]FormattedData!M22^2*$J$6+$M$5*$J$7</f>
        <v>33.020629970182519</v>
      </c>
      <c r="U13" s="6">
        <f>$J$3+[13]FormattedData!N22*$J$4+$M$4*$J$5+[13]FormattedData!N22^2*$J$6+$M$5*$J$7</f>
        <v>51.198020512665501</v>
      </c>
      <c r="V13" s="6">
        <f>$J$3+[13]FormattedData!O22*$J$4+$M$4*$J$5+[13]FormattedData!O22^2*$J$6+$M$5*$J$7</f>
        <v>33.308408525746813</v>
      </c>
      <c r="W13" s="5">
        <f t="shared" si="0"/>
        <v>41.933491074205186</v>
      </c>
      <c r="X13" s="4">
        <f t="shared" si="1"/>
        <v>2.6391142837973045</v>
      </c>
      <c r="Y13" s="3">
        <f t="shared" si="2"/>
        <v>31.576030939740328</v>
      </c>
      <c r="Z13" s="2">
        <f t="shared" si="3"/>
        <v>33.092606310477038</v>
      </c>
      <c r="AA13" s="3">
        <f t="shared" si="4"/>
        <v>43.122838761739615</v>
      </c>
      <c r="AB13" s="2">
        <f t="shared" si="5"/>
        <v>49.945102321938819</v>
      </c>
      <c r="AC13" s="2">
        <f t="shared" si="6"/>
        <v>52.768340524243996</v>
      </c>
      <c r="AD13" s="2">
        <f t="shared" si="7"/>
        <v>-2.308720867972219E-2</v>
      </c>
      <c r="AE13" s="2">
        <f t="shared" si="8"/>
        <v>-2.3073429703483628</v>
      </c>
    </row>
    <row r="14" spans="1:35" x14ac:dyDescent="0.2">
      <c r="B14" s="1">
        <f>[13]FormattedData!A20</f>
        <v>105</v>
      </c>
      <c r="C14" s="1" t="str">
        <f>VLOOKUP($B14,[13]TrtCodes!$B$11:I63,2)</f>
        <v>NDL</v>
      </c>
      <c r="D14" s="1">
        <f>VLOOKUP($B14,[13]TrtCodes!$B$11:J63,3)</f>
        <v>12</v>
      </c>
      <c r="E14" s="1">
        <f>VLOOKUP($B14,[13]TrtCodes!$B$11:K63,4)</f>
        <v>2</v>
      </c>
      <c r="F14" s="1">
        <f>VLOOKUP($B14,[13]TrtCodes!$B$11:L63,5)</f>
        <v>3</v>
      </c>
      <c r="G14" s="1">
        <f>VLOOKUP($B14,[13]TrtCodes!$B$11:M63,6)</f>
        <v>1</v>
      </c>
      <c r="H14" s="1">
        <f>VLOOKUP($B14,[13]TrtCodes!$B$11:N63,7)</f>
        <v>2</v>
      </c>
      <c r="I14" s="1">
        <f>[13]FormattedData!B20</f>
        <v>1</v>
      </c>
      <c r="J14" s="4">
        <f>[13]FormattedData!C20</f>
        <v>12.933999999999999</v>
      </c>
      <c r="K14" s="6">
        <f>$J$3+[13]FormattedData!D20*$J$4+$M$4*$J$5+[13]FormattedData!D20^2*$J$6+$M$5*$J$7</f>
        <v>43.049549640260267</v>
      </c>
      <c r="L14" s="6">
        <f>$J$3+[13]FormattedData!E20*$J$4+$M$4*$J$5+[13]FormattedData!E20^2*$J$6+$M$5*$J$7</f>
        <v>32.924619247918557</v>
      </c>
      <c r="M14" s="6">
        <f>$J$3+[13]FormattedData!F20*$J$4+$M$4*$J$5+[13]FormattedData!F20^2*$J$6+$M$5*$J$7</f>
        <v>38.984092100342913</v>
      </c>
      <c r="N14" s="6">
        <f>$J$3+[13]FormattedData!G20*$J$4+$M$4*$J$5+[13]FormattedData!G20^2*$J$6+$M$5*$J$7</f>
        <v>30.607681352204136</v>
      </c>
      <c r="O14" s="6">
        <f>$J$3+[13]FormattedData!H20*$J$4+$M$4*$J$5+[13]FormattedData!H20^2*$J$6+$M$5*$J$7</f>
        <v>41.304049934872779</v>
      </c>
      <c r="P14" s="6">
        <f>$J$3+[13]FormattedData!I20*$J$4+$M$4*$J$5+[13]FormattedData!I20^2*$J$6+$M$5*$J$7</f>
        <v>31.479386189407396</v>
      </c>
      <c r="Q14" s="6">
        <f>$J$3+[13]FormattedData!J20*$J$4+$M$4*$J$5+[13]FormattedData!J20^2*$J$6+$M$5*$J$7</f>
        <v>41.304049934872779</v>
      </c>
      <c r="R14" s="6">
        <f>$J$3+[13]FormattedData!K20*$J$4+$M$4*$J$5+[13]FormattedData!K20^2*$J$6+$M$5*$J$7</f>
        <v>31.092384502696365</v>
      </c>
      <c r="S14" s="6">
        <f>$J$3+[13]FormattedData!L20*$J$4+$M$4*$J$5+[13]FormattedData!L20^2*$J$6+$M$5*$J$7</f>
        <v>46.40489044019187</v>
      </c>
      <c r="T14" s="6">
        <f>$J$3+[13]FormattedData!M20*$J$4+$M$4*$J$5+[13]FormattedData!M20^2*$J$6+$M$5*$J$7</f>
        <v>33.212524609096647</v>
      </c>
      <c r="U14" s="6">
        <f>$J$3+[13]FormattedData!N20*$J$4+$M$4*$J$5+[13]FormattedData!N20^2*$J$6+$M$5*$J$7</f>
        <v>48.283531516769202</v>
      </c>
      <c r="V14" s="6">
        <f>$J$3+[13]FormattedData!O20*$J$4+$M$4*$J$5+[13]FormattedData!O20^2*$J$6+$M$5*$J$7</f>
        <v>32.732470997776836</v>
      </c>
      <c r="W14" s="5">
        <f t="shared" si="0"/>
        <v>37.61493587220081</v>
      </c>
      <c r="X14" s="4">
        <f t="shared" si="1"/>
        <v>1.8344762184007288</v>
      </c>
      <c r="Y14" s="3">
        <f t="shared" si="2"/>
        <v>30.607681352204136</v>
      </c>
      <c r="Z14" s="2">
        <f t="shared" si="3"/>
        <v>32.419199795684477</v>
      </c>
      <c r="AA14" s="3">
        <f t="shared" si="4"/>
        <v>36.098308354719777</v>
      </c>
      <c r="AB14" s="2">
        <f t="shared" si="5"/>
        <v>41.740424861219651</v>
      </c>
      <c r="AC14" s="2">
        <f t="shared" si="6"/>
        <v>48.283531516769202</v>
      </c>
      <c r="AD14" s="2">
        <f t="shared" si="7"/>
        <v>0.42487318535739232</v>
      </c>
      <c r="AE14" s="2">
        <f t="shared" si="8"/>
        <v>-1.4016651142884342</v>
      </c>
    </row>
    <row r="15" spans="1:35" x14ac:dyDescent="0.2">
      <c r="B15" s="1">
        <f>[13]FormattedData!A18</f>
        <v>106</v>
      </c>
      <c r="C15" s="1" t="str">
        <f>VLOOKUP($B15,[13]TrtCodes!$B$11:I61,2)</f>
        <v>NTH</v>
      </c>
      <c r="D15" s="1">
        <f>VLOOKUP($B15,[13]TrtCodes!$B$11:J61,3)</f>
        <v>9</v>
      </c>
      <c r="E15" s="1">
        <f>VLOOKUP($B15,[13]TrtCodes!$B$11:K61,4)</f>
        <v>2</v>
      </c>
      <c r="F15" s="1">
        <f>VLOOKUP($B15,[13]TrtCodes!$B$11:L61,5)</f>
        <v>2</v>
      </c>
      <c r="G15" s="1">
        <f>VLOOKUP($B15,[13]TrtCodes!$B$11:M61,6)</f>
        <v>2</v>
      </c>
      <c r="H15" s="1">
        <f>VLOOKUP($B15,[13]TrtCodes!$B$11:N61,7)</f>
        <v>2</v>
      </c>
      <c r="I15" s="1">
        <f>[13]FormattedData!B18</f>
        <v>1</v>
      </c>
      <c r="J15" s="4">
        <f>[13]FormattedData!C18</f>
        <v>12.92</v>
      </c>
      <c r="K15" s="6">
        <f>$J$3+[13]FormattedData!D18*$J$4+$M$4*$J$5+[13]FormattedData!D18^2*$J$6+$M$5*$J$7</f>
        <v>51.635594243364508</v>
      </c>
      <c r="L15" s="6">
        <f>$J$3+[13]FormattedData!E18*$J$4+$M$4*$J$5+[13]FormattedData!E18^2*$J$6+$M$5*$J$7</f>
        <v>39.636343211900936</v>
      </c>
      <c r="M15" s="6">
        <f>$J$3+[13]FormattedData!F18*$J$4+$M$4*$J$5+[13]FormattedData!F18^2*$J$6+$M$5*$J$7</f>
        <v>44.689105516969974</v>
      </c>
      <c r="N15" s="6">
        <f>$J$3+[13]FormattedData!G18*$J$4+$M$4*$J$5+[13]FormattedData!G18^2*$J$6+$M$5*$J$7</f>
        <v>34.83680267099087</v>
      </c>
      <c r="O15" s="6">
        <f>$J$3+[13]FormattedData!H18*$J$4+$M$4*$J$5+[13]FormattedData!H18^2*$J$6+$M$5*$J$7</f>
        <v>51.022695140620378</v>
      </c>
      <c r="P15" s="6">
        <f>$J$3+[13]FormattedData!I18*$J$4+$M$4*$J$5+[13]FormattedData!I18^2*$J$6+$M$5*$J$7</f>
        <v>34.741595050947595</v>
      </c>
      <c r="Q15" s="6">
        <f>$J$3+[13]FormattedData!J18*$J$4+$M$4*$J$5+[13]FormattedData!J18^2*$J$6+$M$5*$J$7</f>
        <v>48.639254485411179</v>
      </c>
      <c r="R15" s="6">
        <f>$J$3+[13]FormattedData!K18*$J$4+$M$4*$J$5+[13]FormattedData!K18^2*$J$6+$M$5*$J$7</f>
        <v>33.978412423235923</v>
      </c>
      <c r="S15" s="6">
        <f>$J$3+[13]FormattedData!L18*$J$4+$M$4*$J$5+[13]FormattedData!L18^2*$J$6+$M$5*$J$7</f>
        <v>49.790683460056229</v>
      </c>
      <c r="T15" s="6">
        <f>$J$3+[13]FormattedData!M18*$J$4+$M$4*$J$5+[13]FormattedData!M18^2*$J$6+$M$5*$J$7</f>
        <v>34.741595050947595</v>
      </c>
      <c r="U15" s="6">
        <f>$J$3+[13]FormattedData!N18*$J$4+$M$4*$J$5+[13]FormattedData!N18^2*$J$6+$M$5*$J$7</f>
        <v>51.984892394240958</v>
      </c>
      <c r="V15" s="6">
        <f>$J$3+[13]FormattedData!O18*$J$4+$M$4*$J$5+[13]FormattedData!O18^2*$J$6+$M$5*$J$7</f>
        <v>36.259844747088181</v>
      </c>
      <c r="W15" s="5">
        <f t="shared" si="0"/>
        <v>42.66306819964786</v>
      </c>
      <c r="X15" s="4">
        <f t="shared" si="1"/>
        <v>2.2023472465377396</v>
      </c>
      <c r="Y15" s="3">
        <f t="shared" si="2"/>
        <v>33.978412423235923</v>
      </c>
      <c r="Z15" s="2">
        <f t="shared" si="3"/>
        <v>34.81300076598005</v>
      </c>
      <c r="AA15" s="3">
        <f t="shared" si="4"/>
        <v>42.162724364435455</v>
      </c>
      <c r="AB15" s="2">
        <f t="shared" si="5"/>
        <v>50.098686380197265</v>
      </c>
      <c r="AC15" s="2">
        <f t="shared" si="6"/>
        <v>51.984892394240958</v>
      </c>
      <c r="AD15" s="2">
        <f t="shared" si="7"/>
        <v>6.9191228187639356E-2</v>
      </c>
      <c r="AE15" s="2">
        <f t="shared" si="8"/>
        <v>-2.085809516242525</v>
      </c>
    </row>
    <row r="16" spans="1:35" x14ac:dyDescent="0.2">
      <c r="B16" s="1">
        <f>[13]FormattedData!A16</f>
        <v>107</v>
      </c>
      <c r="C16" s="1" t="str">
        <f>VLOOKUP($B16,[13]TrtCodes!$B$11:I59,2)</f>
        <v>NTL</v>
      </c>
      <c r="D16" s="1">
        <f>VLOOKUP($B16,[13]TrtCodes!$B$11:J59,3)</f>
        <v>10</v>
      </c>
      <c r="E16" s="1">
        <f>VLOOKUP($B16,[13]TrtCodes!$B$11:K59,4)</f>
        <v>2</v>
      </c>
      <c r="F16" s="1">
        <f>VLOOKUP($B16,[13]TrtCodes!$B$11:L59,5)</f>
        <v>2</v>
      </c>
      <c r="G16" s="1">
        <f>VLOOKUP($B16,[13]TrtCodes!$B$11:M59,6)</f>
        <v>1</v>
      </c>
      <c r="H16" s="1">
        <f>VLOOKUP($B16,[13]TrtCodes!$B$11:N59,7)</f>
        <v>2</v>
      </c>
      <c r="I16" s="1">
        <f>[13]FormattedData!B16</f>
        <v>1</v>
      </c>
      <c r="J16" s="4">
        <f>[13]FormattedData!C16</f>
        <v>12.906000000000001</v>
      </c>
      <c r="K16" s="6">
        <f>$J$3+[13]FormattedData!D16*$J$4+$M$4*$J$5+[13]FormattedData!D16^2*$J$6+$M$5*$J$7</f>
        <v>53.288737193372455</v>
      </c>
      <c r="L16" s="6">
        <f>$J$3+[13]FormattedData!E16*$J$4+$M$4*$J$5+[13]FormattedData!E16^2*$J$6+$M$5*$J$7</f>
        <v>38.797354223056381</v>
      </c>
      <c r="M16" s="6">
        <f>$J$3+[13]FormattedData!F16*$J$4+$M$4*$J$5+[13]FormattedData!F16^2*$J$6+$M$5*$J$7</f>
        <v>52.159287858451599</v>
      </c>
      <c r="N16" s="6">
        <f>$J$3+[13]FormattedData!G16*$J$4+$M$4*$J$5+[13]FormattedData!G16^2*$J$6+$M$5*$J$7</f>
        <v>32.443931608529788</v>
      </c>
      <c r="O16" s="6">
        <f>$J$3+[13]FormattedData!H16*$J$4+$M$4*$J$5+[13]FormattedData!H16^2*$J$6+$M$5*$J$7</f>
        <v>50.671537174074956</v>
      </c>
      <c r="P16" s="6">
        <f>$J$3+[13]FormattedData!I16*$J$4+$M$4*$J$5+[13]FormattedData!I16^2*$J$6+$M$5*$J$7</f>
        <v>36.070655294601643</v>
      </c>
      <c r="Q16" s="6">
        <f>$J$3+[13]FormattedData!J16*$J$4+$M$4*$J$5+[13]FormattedData!J16^2*$J$6+$M$5*$J$7</f>
        <v>53.202110086529203</v>
      </c>
      <c r="R16" s="6">
        <f>$J$3+[13]FormattedData!K16*$J$4+$M$4*$J$5+[13]FormattedData!K16^2*$J$6+$M$5*$J$7</f>
        <v>32.251360673008747</v>
      </c>
      <c r="S16" s="6">
        <f>$J$3+[13]FormattedData!L16*$J$4+$M$4*$J$5+[13]FormattedData!L16^2*$J$6+$M$5*$J$7</f>
        <v>47.927132251520312</v>
      </c>
      <c r="T16" s="6">
        <f>$J$3+[13]FormattedData!M16*$J$4+$M$4*$J$5+[13]FormattedData!M16^2*$J$6+$M$5*$J$7</f>
        <v>33.308408525746813</v>
      </c>
      <c r="U16" s="6">
        <f>$J$3+[13]FormattedData!N16*$J$4+$M$4*$J$5+[13]FormattedData!N16^2*$J$6+$M$5*$J$7</f>
        <v>50.231638673789732</v>
      </c>
      <c r="V16" s="6">
        <f>$J$3+[13]FormattedData!O16*$J$4+$M$4*$J$5+[13]FormattedData!O16^2*$J$6+$M$5*$J$7</f>
        <v>32.443931608529788</v>
      </c>
      <c r="W16" s="5">
        <f t="shared" si="0"/>
        <v>42.733007097600961</v>
      </c>
      <c r="X16" s="4">
        <f t="shared" si="1"/>
        <v>2.6491899985358929</v>
      </c>
      <c r="Y16" s="3">
        <f t="shared" si="2"/>
        <v>32.251360673008747</v>
      </c>
      <c r="Z16" s="2">
        <f t="shared" si="3"/>
        <v>33.092289296442559</v>
      </c>
      <c r="AA16" s="3">
        <f t="shared" si="4"/>
        <v>43.362243237288347</v>
      </c>
      <c r="AB16" s="2">
        <f t="shared" si="5"/>
        <v>51.043474845169115</v>
      </c>
      <c r="AC16" s="2">
        <f t="shared" si="6"/>
        <v>53.288737193372455</v>
      </c>
      <c r="AD16" s="2">
        <f t="shared" si="7"/>
        <v>-4.2436477022962535E-2</v>
      </c>
      <c r="AE16" s="2">
        <f t="shared" si="8"/>
        <v>-2.1500694323835203</v>
      </c>
    </row>
    <row r="17" spans="2:31" x14ac:dyDescent="0.2">
      <c r="B17" s="1">
        <f>[13]FormattedData!A14</f>
        <v>108</v>
      </c>
      <c r="C17" s="1" t="str">
        <f>VLOOKUP($B17,[13]TrtCodes!$B$11:I57,2)</f>
        <v>FTH</v>
      </c>
      <c r="D17" s="1">
        <f>VLOOKUP($B17,[13]TrtCodes!$B$11:J57,3)</f>
        <v>3</v>
      </c>
      <c r="E17" s="1">
        <f>VLOOKUP($B17,[13]TrtCodes!$B$11:K57,4)</f>
        <v>1</v>
      </c>
      <c r="F17" s="1">
        <f>VLOOKUP($B17,[13]TrtCodes!$B$11:L57,5)</f>
        <v>2</v>
      </c>
      <c r="G17" s="1">
        <f>VLOOKUP($B17,[13]TrtCodes!$B$11:M57,6)</f>
        <v>2</v>
      </c>
      <c r="H17" s="1">
        <f>VLOOKUP($B17,[13]TrtCodes!$B$11:N57,7)</f>
        <v>2</v>
      </c>
      <c r="I17" s="1">
        <f>[13]FormattedData!B14</f>
        <v>1</v>
      </c>
      <c r="J17" s="4">
        <f>[13]FormattedData!C14</f>
        <v>12.891999999999999</v>
      </c>
      <c r="K17" s="6">
        <f>$J$3+[13]FormattedData!D14*$J$4+$M$4*$J$5+[13]FormattedData!D14^2*$J$6+$M$5*$J$7</f>
        <v>51.635594243364508</v>
      </c>
      <c r="L17" s="6">
        <f>$J$3+[13]FormattedData!E14*$J$4+$M$4*$J$5+[13]FormattedData!E14^2*$J$6+$M$5*$J$7</f>
        <v>37.954941482639398</v>
      </c>
      <c r="M17" s="6">
        <f>$J$3+[13]FormattedData!F14*$J$4+$M$4*$J$5+[13]FormattedData!F14^2*$J$6+$M$5*$J$7</f>
        <v>48.105416421220625</v>
      </c>
      <c r="N17" s="6">
        <f>$J$3+[13]FormattedData!G14*$J$4+$M$4*$J$5+[13]FormattedData!G14^2*$J$6+$M$5*$J$7</f>
        <v>35.312206743138255</v>
      </c>
      <c r="O17" s="6">
        <f>$J$3+[13]FormattedData!H14*$J$4+$M$4*$J$5+[13]FormattedData!H14^2*$J$6+$M$5*$J$7</f>
        <v>44.144108558765595</v>
      </c>
      <c r="P17" s="6">
        <f>$J$3+[13]FormattedData!I14*$J$4+$M$4*$J$5+[13]FormattedData!I14^2*$J$6+$M$5*$J$7</f>
        <v>38.42337124602814</v>
      </c>
      <c r="Q17" s="6">
        <f>$J$3+[13]FormattedData!J14*$J$4+$M$4*$J$5+[13]FormattedData!J14^2*$J$6+$M$5*$J$7</f>
        <v>51.198020512665501</v>
      </c>
      <c r="R17" s="6">
        <f>$J$3+[13]FormattedData!K14*$J$4+$M$4*$J$5+[13]FormattedData!K14^2*$J$6+$M$5*$J$7</f>
        <v>33.691521506968179</v>
      </c>
      <c r="S17" s="6">
        <f>$J$3+[13]FormattedData!L14*$J$4+$M$4*$J$5+[13]FormattedData!L14^2*$J$6+$M$5*$J$7</f>
        <v>48.550387146057588</v>
      </c>
      <c r="T17" s="6">
        <f>$J$3+[13]FormattedData!M14*$J$4+$M$4*$J$5+[13]FormattedData!M14^2*$J$6+$M$5*$J$7</f>
        <v>32.540153673483402</v>
      </c>
      <c r="U17" s="6">
        <f>$J$3+[13]FormattedData!N14*$J$4+$M$4*$J$5+[13]FormattedData!N14^2*$J$6+$M$5*$J$7</f>
        <v>52.420564040733069</v>
      </c>
      <c r="V17" s="6">
        <f>$J$3+[13]FormattedData!O14*$J$4+$M$4*$J$5+[13]FormattedData!O14^2*$J$6+$M$5*$J$7</f>
        <v>34.073958191582634</v>
      </c>
      <c r="W17" s="5">
        <f t="shared" si="0"/>
        <v>42.337520313887239</v>
      </c>
      <c r="X17" s="4">
        <f t="shared" si="1"/>
        <v>2.2439704606703592</v>
      </c>
      <c r="Y17" s="3">
        <f t="shared" si="2"/>
        <v>32.540153673483402</v>
      </c>
      <c r="Z17" s="2">
        <f t="shared" si="3"/>
        <v>35.002644605249351</v>
      </c>
      <c r="AA17" s="3">
        <f t="shared" si="4"/>
        <v>41.283739902396867</v>
      </c>
      <c r="AB17" s="2">
        <f t="shared" si="5"/>
        <v>49.212295487709568</v>
      </c>
      <c r="AC17" s="2">
        <f t="shared" si="6"/>
        <v>52.420564040733069</v>
      </c>
      <c r="AD17" s="2">
        <f t="shared" si="7"/>
        <v>7.4388020356122256E-2</v>
      </c>
      <c r="AE17" s="2">
        <f t="shared" si="8"/>
        <v>-1.91489211893489</v>
      </c>
    </row>
    <row r="18" spans="2:31" x14ac:dyDescent="0.2">
      <c r="B18" s="1">
        <f>[13]FormattedData!A30</f>
        <v>201</v>
      </c>
      <c r="C18" s="1" t="str">
        <f>VLOOKUP($B18,[13]TrtCodes!$B$11:I73,2)</f>
        <v>NDL</v>
      </c>
      <c r="D18" s="1">
        <f>VLOOKUP($B18,[13]TrtCodes!$B$11:J73,3)</f>
        <v>12</v>
      </c>
      <c r="E18" s="1">
        <f>VLOOKUP($B18,[13]TrtCodes!$B$11:K73,4)</f>
        <v>2</v>
      </c>
      <c r="F18" s="1">
        <f>VLOOKUP($B18,[13]TrtCodes!$B$11:L73,5)</f>
        <v>3</v>
      </c>
      <c r="G18" s="1">
        <f>VLOOKUP($B18,[13]TrtCodes!$B$11:M73,6)</f>
        <v>1</v>
      </c>
      <c r="H18" s="1">
        <f>VLOOKUP($B18,[13]TrtCodes!$B$11:N73,7)</f>
        <v>1</v>
      </c>
      <c r="I18" s="1">
        <f>[13]FormattedData!B30</f>
        <v>1</v>
      </c>
      <c r="J18" s="4">
        <f>[13]FormattedData!C30</f>
        <v>13.012</v>
      </c>
      <c r="K18" s="6">
        <f>$J$3+[13]FormattedData!D30*$J$4+$M$4*$J$5+[13]FormattedData!D30^2*$J$6+$M$5*$J$7</f>
        <v>36.259844747088181</v>
      </c>
      <c r="L18" s="6">
        <f>$J$3+[13]FormattedData!E30*$J$4+$M$4*$J$5+[13]FormattedData!E30^2*$J$6+$M$5*$J$7</f>
        <v>34.264922922662279</v>
      </c>
      <c r="M18" s="6">
        <f>$J$3+[13]FormattedData!F30*$J$4+$M$4*$J$5+[13]FormattedData!F30^2*$J$6+$M$5*$J$7</f>
        <v>45.684314498714777</v>
      </c>
      <c r="N18" s="6">
        <f>$J$3+[13]FormattedData!G30*$J$4+$M$4*$J$5+[13]FormattedData!G30^2*$J$6+$M$5*$J$7</f>
        <v>32.636333469899085</v>
      </c>
      <c r="O18" s="6">
        <f>$J$3+[13]FormattedData!H30*$J$4+$M$4*$J$5+[13]FormattedData!H30^2*$J$6+$M$5*$J$7</f>
        <v>41.027049856480929</v>
      </c>
      <c r="P18" s="6">
        <f>$J$3+[13]FormattedData!I30*$J$4+$M$4*$J$5+[13]FormattedData!I30^2*$J$6+$M$5*$J$7</f>
        <v>31.672633421535323</v>
      </c>
      <c r="Q18" s="6">
        <f>$J$3+[13]FormattedData!J30*$J$4+$M$4*$J$5+[13]FormattedData!J30^2*$J$6+$M$5*$J$7</f>
        <v>41.94890405229286</v>
      </c>
      <c r="R18" s="6">
        <f>$J$3+[13]FormattedData!K30*$J$4+$M$4*$J$5+[13]FormattedData!K30^2*$J$6+$M$5*$J$7</f>
        <v>31.479386189407396</v>
      </c>
      <c r="S18" s="6">
        <f>$J$3+[13]FormattedData!L30*$J$4+$M$4*$J$5+[13]FormattedData!L30^2*$J$6+$M$5*$J$7</f>
        <v>41.211758843946761</v>
      </c>
      <c r="T18" s="6">
        <f>$J$3+[13]FormattedData!M30*$J$4+$M$4*$J$5+[13]FormattedData!M30^2*$J$6+$M$5*$J$7</f>
        <v>31.479386189407396</v>
      </c>
      <c r="U18" s="6">
        <f>$J$3+[13]FormattedData!N30*$J$4+$M$4*$J$5+[13]FormattedData!N30^2*$J$6+$M$5*$J$7</f>
        <v>43.597589933195692</v>
      </c>
      <c r="V18" s="6">
        <f>$J$3+[13]FormattedData!O30*$J$4+$M$4*$J$5+[13]FormattedData!O30^2*$J$6+$M$5*$J$7</f>
        <v>30.995528409673785</v>
      </c>
      <c r="W18" s="5">
        <f t="shared" si="0"/>
        <v>36.854804377858713</v>
      </c>
      <c r="X18" s="4">
        <f t="shared" si="1"/>
        <v>1.5801782453038562</v>
      </c>
      <c r="Y18" s="3">
        <f t="shared" si="2"/>
        <v>30.995528409673785</v>
      </c>
      <c r="Z18" s="2">
        <f t="shared" si="3"/>
        <v>31.624321613503341</v>
      </c>
      <c r="AA18" s="3">
        <f t="shared" si="4"/>
        <v>35.26238383487523</v>
      </c>
      <c r="AB18" s="2">
        <f t="shared" si="5"/>
        <v>41.396045146033288</v>
      </c>
      <c r="AC18" s="2">
        <f t="shared" si="6"/>
        <v>45.684314498714777</v>
      </c>
      <c r="AD18" s="2">
        <f t="shared" si="7"/>
        <v>0.35837875706469891</v>
      </c>
      <c r="AE18" s="2">
        <f t="shared" si="8"/>
        <v>-1.6791926931507608</v>
      </c>
    </row>
    <row r="19" spans="2:31" x14ac:dyDescent="0.2">
      <c r="B19" s="1">
        <f>[13]FormattedData!A32</f>
        <v>202</v>
      </c>
      <c r="C19" s="1" t="str">
        <f>VLOOKUP($B19,[13]TrtCodes!$B$11:I75,2)</f>
        <v>NTH</v>
      </c>
      <c r="D19" s="1">
        <f>VLOOKUP($B19,[13]TrtCodes!$B$11:J75,3)</f>
        <v>9</v>
      </c>
      <c r="E19" s="1">
        <f>VLOOKUP($B19,[13]TrtCodes!$B$11:K75,4)</f>
        <v>2</v>
      </c>
      <c r="F19" s="1">
        <f>VLOOKUP($B19,[13]TrtCodes!$B$11:L75,5)</f>
        <v>2</v>
      </c>
      <c r="G19" s="1">
        <f>VLOOKUP($B19,[13]TrtCodes!$B$11:M75,6)</f>
        <v>2</v>
      </c>
      <c r="H19" s="1">
        <f>VLOOKUP($B19,[13]TrtCodes!$B$11:N75,7)</f>
        <v>1</v>
      </c>
      <c r="I19" s="1">
        <f>[13]FormattedData!B32</f>
        <v>1</v>
      </c>
      <c r="J19" s="4">
        <f>[13]FormattedData!C32</f>
        <v>13.026</v>
      </c>
      <c r="K19" s="6">
        <f>$J$3+[13]FormattedData!D32*$J$4+$M$4*$J$5+[13]FormattedData!D32^2*$J$6+$M$5*$J$7</f>
        <v>44.870433021401311</v>
      </c>
      <c r="L19" s="6">
        <f>$J$3+[13]FormattedData!E32*$J$4+$M$4*$J$5+[13]FormattedData!E32^2*$J$6+$M$5*$J$7</f>
        <v>37.391430904821185</v>
      </c>
      <c r="M19" s="6">
        <f>$J$3+[13]FormattedData!F32*$J$4+$M$4*$J$5+[13]FormattedData!F32^2*$J$6+$M$5*$J$7</f>
        <v>51.110378960911909</v>
      </c>
      <c r="N19" s="6">
        <f>$J$3+[13]FormattedData!G32*$J$4+$M$4*$J$5+[13]FormattedData!G32^2*$J$6+$M$5*$J$7</f>
        <v>32.443931608529788</v>
      </c>
      <c r="O19" s="6">
        <f>$J$3+[13]FormattedData!H32*$J$4+$M$4*$J$5+[13]FormattedData!H32^2*$J$6+$M$5*$J$7</f>
        <v>52.072111260615245</v>
      </c>
      <c r="P19" s="6">
        <f>$J$3+[13]FormattedData!I32*$J$4+$M$4*$J$5+[13]FormattedData!I32^2*$J$6+$M$5*$J$7</f>
        <v>31.092384502696365</v>
      </c>
      <c r="Q19" s="6">
        <f>$J$3+[13]FormattedData!J32*$J$4+$M$4*$J$5+[13]FormattedData!J32^2*$J$6+$M$5*$J$7</f>
        <v>52.333514248510511</v>
      </c>
      <c r="R19" s="6">
        <f>$J$3+[13]FormattedData!K32*$J$4+$M$4*$J$5+[13]FormattedData!K32^2*$J$6+$M$5*$J$7</f>
        <v>32.155011802441344</v>
      </c>
      <c r="S19" s="6">
        <f>$J$3+[13]FormattedData!L32*$J$4+$M$4*$J$5+[13]FormattedData!L32^2*$J$6+$M$5*$J$7</f>
        <v>52.246422187750028</v>
      </c>
      <c r="T19" s="6">
        <f>$J$3+[13]FormattedData!M32*$J$4+$M$4*$J$5+[13]FormattedData!M32^2*$J$6+$M$5*$J$7</f>
        <v>32.251360673008747</v>
      </c>
      <c r="U19" s="6">
        <f>$J$3+[13]FormattedData!N32*$J$4+$M$4*$J$5+[13]FormattedData!N32^2*$J$6+$M$5*$J$7</f>
        <v>50.055383393910127</v>
      </c>
      <c r="V19" s="6">
        <f>$J$3+[13]FormattedData!O32*$J$4+$M$4*$J$5+[13]FormattedData!O32^2*$J$6+$M$5*$J$7</f>
        <v>33.020629970182519</v>
      </c>
      <c r="W19" s="5">
        <f t="shared" si="0"/>
        <v>41.753582711231594</v>
      </c>
      <c r="X19" s="4">
        <f t="shared" si="1"/>
        <v>2.7146339107178274</v>
      </c>
      <c r="Y19" s="3">
        <f t="shared" si="2"/>
        <v>31.092384502696365</v>
      </c>
      <c r="Z19" s="2">
        <f t="shared" si="3"/>
        <v>32.395788874649526</v>
      </c>
      <c r="AA19" s="3">
        <f t="shared" si="4"/>
        <v>41.130931963111252</v>
      </c>
      <c r="AB19" s="2">
        <f t="shared" si="5"/>
        <v>51.350812035837741</v>
      </c>
      <c r="AC19" s="2">
        <f t="shared" si="6"/>
        <v>52.333514248510511</v>
      </c>
      <c r="AD19" s="2">
        <f t="shared" si="7"/>
        <v>4.5890446470375421E-2</v>
      </c>
      <c r="AE19" s="2">
        <f t="shared" si="8"/>
        <v>-2.1846053931537313</v>
      </c>
    </row>
    <row r="20" spans="2:31" x14ac:dyDescent="0.2">
      <c r="B20" s="1">
        <f>[13]FormattedData!A34</f>
        <v>203</v>
      </c>
      <c r="C20" s="1" t="str">
        <f>VLOOKUP($B20,[13]TrtCodes!$B$11:I77,2)</f>
        <v>FTH</v>
      </c>
      <c r="D20" s="1">
        <f>VLOOKUP($B20,[13]TrtCodes!$B$11:J77,3)</f>
        <v>3</v>
      </c>
      <c r="E20" s="1">
        <f>VLOOKUP($B20,[13]TrtCodes!$B$11:K77,4)</f>
        <v>1</v>
      </c>
      <c r="F20" s="1">
        <f>VLOOKUP($B20,[13]TrtCodes!$B$11:L77,5)</f>
        <v>2</v>
      </c>
      <c r="G20" s="1">
        <f>VLOOKUP($B20,[13]TrtCodes!$B$11:M77,6)</f>
        <v>2</v>
      </c>
      <c r="H20" s="1">
        <f>VLOOKUP($B20,[13]TrtCodes!$B$11:N77,7)</f>
        <v>1</v>
      </c>
      <c r="I20" s="1">
        <f>[13]FormattedData!B34</f>
        <v>1</v>
      </c>
      <c r="J20" s="4">
        <f>[13]FormattedData!C34</f>
        <v>13.039</v>
      </c>
      <c r="K20" s="6">
        <f>$J$3+[13]FormattedData!D34*$J$4+$M$4*$J$5+[13]FormattedData!D34^2*$J$6+$M$5*$J$7</f>
        <v>36.63771642960608</v>
      </c>
      <c r="L20" s="6">
        <f>$J$3+[13]FormattedData!E34*$J$4+$M$4*$J$5+[13]FormattedData!E34^2*$J$6+$M$5*$J$7</f>
        <v>43.597589933195692</v>
      </c>
      <c r="M20" s="6">
        <f>$J$3+[13]FormattedData!F34*$J$4+$M$4*$J$5+[13]FormattedData!F34^2*$J$6+$M$5*$J$7</f>
        <v>51.984892394240958</v>
      </c>
      <c r="N20" s="6">
        <f>$J$3+[13]FormattedData!G34*$J$4+$M$4*$J$5+[13]FormattedData!G34^2*$J$6+$M$5*$J$7</f>
        <v>33.500049553433357</v>
      </c>
      <c r="O20" s="6">
        <f>$J$3+[13]FormattedData!H34*$J$4+$M$4*$J$5+[13]FormattedData!H34^2*$J$6+$M$5*$J$7</f>
        <v>49.70236561169574</v>
      </c>
      <c r="P20" s="6">
        <f>$J$3+[13]FormattedData!I34*$J$4+$M$4*$J$5+[13]FormattedData!I34^2*$J$6+$M$5*$J$7</f>
        <v>32.443931608529788</v>
      </c>
      <c r="Q20" s="6">
        <f>$J$3+[13]FormattedData!J34*$J$4+$M$4*$J$5+[13]FormattedData!J34^2*$J$6+$M$5*$J$7</f>
        <v>47.659388982935383</v>
      </c>
      <c r="R20" s="6">
        <f>$J$3+[13]FormattedData!K34*$J$4+$M$4*$J$5+[13]FormattedData!K34^2*$J$6+$M$5*$J$7</f>
        <v>37.861128724347864</v>
      </c>
      <c r="S20" s="6">
        <f>$J$3+[13]FormattedData!L34*$J$4+$M$4*$J$5+[13]FormattedData!L34^2*$J$6+$M$5*$J$7</f>
        <v>53.980232380752923</v>
      </c>
      <c r="T20" s="6">
        <f>$J$3+[13]FormattedData!M34*$J$4+$M$4*$J$5+[13]FormattedData!M34^2*$J$6+$M$5*$J$7</f>
        <v>33.882824386351274</v>
      </c>
      <c r="U20" s="6">
        <f>$J$3+[13]FormattedData!N34*$J$4+$M$4*$J$5+[13]FormattedData!N34^2*$J$6+$M$5*$J$7</f>
        <v>49.614005494797311</v>
      </c>
      <c r="V20" s="6">
        <f>$J$3+[13]FormattedData!O34*$J$4+$M$4*$J$5+[13]FormattedData!O34^2*$J$6+$M$5*$J$7</f>
        <v>34.741595050947595</v>
      </c>
      <c r="W20" s="5">
        <f t="shared" si="0"/>
        <v>42.133810045902827</v>
      </c>
      <c r="X20" s="4">
        <f t="shared" si="1"/>
        <v>2.3402191670805177</v>
      </c>
      <c r="Y20" s="3">
        <f t="shared" si="2"/>
        <v>32.443931608529788</v>
      </c>
      <c r="Z20" s="2">
        <f t="shared" si="3"/>
        <v>34.526902384798518</v>
      </c>
      <c r="AA20" s="3">
        <f t="shared" si="4"/>
        <v>40.729359328771778</v>
      </c>
      <c r="AB20" s="2">
        <f t="shared" si="5"/>
        <v>49.636095524021918</v>
      </c>
      <c r="AC20" s="2">
        <f t="shared" si="6"/>
        <v>53.980232380752923</v>
      </c>
      <c r="AD20" s="2">
        <f t="shared" si="7"/>
        <v>0.18005472366368594</v>
      </c>
      <c r="AE20" s="2">
        <f t="shared" si="8"/>
        <v>-1.8552421045705136</v>
      </c>
    </row>
    <row r="21" spans="2:31" x14ac:dyDescent="0.2">
      <c r="B21" s="1">
        <f>[13]FormattedData!A36</f>
        <v>204</v>
      </c>
      <c r="C21" s="1" t="str">
        <f>VLOOKUP($B21,[13]TrtCodes!$B$11:I79,2)</f>
        <v>NDH</v>
      </c>
      <c r="D21" s="1">
        <f>VLOOKUP($B21,[13]TrtCodes!$B$11:J79,3)</f>
        <v>11</v>
      </c>
      <c r="E21" s="1">
        <f>VLOOKUP($B21,[13]TrtCodes!$B$11:K79,4)</f>
        <v>2</v>
      </c>
      <c r="F21" s="1">
        <f>VLOOKUP($B21,[13]TrtCodes!$B$11:L79,5)</f>
        <v>3</v>
      </c>
      <c r="G21" s="1">
        <f>VLOOKUP($B21,[13]TrtCodes!$B$11:M79,6)</f>
        <v>2</v>
      </c>
      <c r="H21" s="1">
        <f>VLOOKUP($B21,[13]TrtCodes!$B$11:N79,7)</f>
        <v>1</v>
      </c>
      <c r="I21" s="1">
        <f>[13]FormattedData!B36</f>
        <v>1</v>
      </c>
      <c r="J21" s="4">
        <f>[13]FormattedData!C36</f>
        <v>13.054</v>
      </c>
      <c r="K21" s="6">
        <f>$J$3+[13]FormattedData!D36*$J$4+$M$4*$J$5+[13]FormattedData!D36^2*$J$6+$M$5*$J$7</f>
        <v>37.767273697518391</v>
      </c>
      <c r="L21" s="6">
        <f>$J$3+[13]FormattedData!E36*$J$4+$M$4*$J$5+[13]FormattedData!E36^2*$J$6+$M$5*$J$7</f>
        <v>33.308408525746813</v>
      </c>
      <c r="M21" s="6">
        <f>$J$3+[13]FormattedData!F36*$J$4+$M$4*$J$5+[13]FormattedData!F36^2*$J$6+$M$5*$J$7</f>
        <v>34.931968022496214</v>
      </c>
      <c r="N21" s="6">
        <f>$J$3+[13]FormattedData!G36*$J$4+$M$4*$J$5+[13]FormattedData!G36^2*$J$6+$M$5*$J$7</f>
        <v>31.092384502696365</v>
      </c>
      <c r="O21" s="6">
        <f>$J$3+[13]FormattedData!H36*$J$4+$M$4*$J$5+[13]FormattedData!H36^2*$J$6+$M$5*$J$7</f>
        <v>45.413401089785005</v>
      </c>
      <c r="P21" s="6">
        <f>$J$3+[13]FormattedData!I36*$J$4+$M$4*$J$5+[13]FormattedData!I36^2*$J$6+$M$5*$J$7</f>
        <v>31.479386189407396</v>
      </c>
      <c r="Q21" s="6">
        <f>$J$3+[13]FormattedData!J36*$J$4+$M$4*$J$5+[13]FormattedData!J36^2*$J$6+$M$5*$J$7</f>
        <v>44.235047056477818</v>
      </c>
      <c r="R21" s="6">
        <f>$J$3+[13]FormattedData!K36*$J$4+$M$4*$J$5+[13]FormattedData!K36^2*$J$6+$M$5*$J$7</f>
        <v>30.316352239453622</v>
      </c>
      <c r="S21" s="6">
        <f>$J$3+[13]FormattedData!L36*$J$4+$M$4*$J$5+[13]FormattedData!L36^2*$J$6+$M$5*$J$7</f>
        <v>44.961033370810092</v>
      </c>
      <c r="T21" s="6">
        <f>$J$3+[13]FormattedData!M36*$J$4+$M$4*$J$5+[13]FormattedData!M36^2*$J$6+$M$5*$J$7</f>
        <v>31.189198327181025</v>
      </c>
      <c r="U21" s="6">
        <f>$J$3+[13]FormattedData!N36*$J$4+$M$4*$J$5+[13]FormattedData!N36^2*$J$6+$M$5*$J$7</f>
        <v>43.779931882537383</v>
      </c>
      <c r="V21" s="6">
        <f>$J$3+[13]FormattedData!O36*$J$4+$M$4*$J$5+[13]FormattedData!O36^2*$J$6+$M$5*$J$7</f>
        <v>30.510613916491899</v>
      </c>
      <c r="W21" s="5">
        <f t="shared" si="0"/>
        <v>36.58208323505017</v>
      </c>
      <c r="X21" s="4">
        <f t="shared" si="1"/>
        <v>1.8149213296227684</v>
      </c>
      <c r="Y21" s="3">
        <f t="shared" si="2"/>
        <v>30.316352239453622</v>
      </c>
      <c r="Z21" s="2">
        <f t="shared" si="3"/>
        <v>31.164994871059861</v>
      </c>
      <c r="AA21" s="3">
        <f t="shared" si="4"/>
        <v>34.120188274121517</v>
      </c>
      <c r="AB21" s="2">
        <f t="shared" si="5"/>
        <v>43.893710676022494</v>
      </c>
      <c r="AC21" s="2">
        <f t="shared" si="6"/>
        <v>45.413401089785005</v>
      </c>
      <c r="AD21" s="2">
        <f t="shared" si="7"/>
        <v>0.49837520035910171</v>
      </c>
      <c r="AE21" s="2">
        <f t="shared" si="8"/>
        <v>-1.7557787604513484</v>
      </c>
    </row>
    <row r="22" spans="2:31" x14ac:dyDescent="0.2">
      <c r="B22" s="1">
        <f>[13]FormattedData!A38</f>
        <v>205</v>
      </c>
      <c r="C22" s="1" t="str">
        <f>VLOOKUP($B22,[13]TrtCodes!$B$11:I81,2)</f>
        <v>FSH</v>
      </c>
      <c r="D22" s="1">
        <f>VLOOKUP($B22,[13]TrtCodes!$B$11:J81,3)</f>
        <v>1</v>
      </c>
      <c r="E22" s="1">
        <f>VLOOKUP($B22,[13]TrtCodes!$B$11:K81,4)</f>
        <v>1</v>
      </c>
      <c r="F22" s="1">
        <f>VLOOKUP($B22,[13]TrtCodes!$B$11:L81,5)</f>
        <v>1</v>
      </c>
      <c r="G22" s="1">
        <f>VLOOKUP($B22,[13]TrtCodes!$B$11:M81,6)</f>
        <v>2</v>
      </c>
      <c r="H22" s="1">
        <f>VLOOKUP($B22,[13]TrtCodes!$B$11:N81,7)</f>
        <v>2</v>
      </c>
      <c r="I22" s="1">
        <f>[13]FormattedData!B38</f>
        <v>1</v>
      </c>
      <c r="J22" s="4">
        <f>[13]FormattedData!C38</f>
        <v>13.068</v>
      </c>
      <c r="K22" s="6">
        <f>$J$3+[13]FormattedData!D38*$J$4+$M$4*$J$5+[13]FormattedData!D38^2*$J$6+$M$5*$J$7</f>
        <v>42.683344074211362</v>
      </c>
      <c r="L22" s="6">
        <f>$J$3+[13]FormattedData!E38*$J$4+$M$4*$J$5+[13]FormattedData!E38^2*$J$6+$M$5*$J$7</f>
        <v>45.23258080780883</v>
      </c>
      <c r="M22" s="6">
        <f>$J$3+[13]FormattedData!F38*$J$4+$M$4*$J$5+[13]FormattedData!F38^2*$J$6+$M$5*$J$7</f>
        <v>52.855178973776901</v>
      </c>
      <c r="N22" s="6">
        <f>$J$3+[13]FormattedData!G38*$J$4+$M$4*$J$5+[13]FormattedData!G38^2*$J$6+$M$5*$J$7</f>
        <v>32.828566257116663</v>
      </c>
      <c r="O22" s="6">
        <f>$J$3+[13]FormattedData!H38*$J$4+$M$4*$J$5+[13]FormattedData!H38^2*$J$6+$M$5*$J$7</f>
        <v>53.807612195135398</v>
      </c>
      <c r="P22" s="6">
        <f>$J$3+[13]FormattedData!I38*$J$4+$M$4*$J$5+[13]FormattedData!I38^2*$J$6+$M$5*$J$7</f>
        <v>32.828566257116663</v>
      </c>
      <c r="Q22" s="6">
        <f>$J$3+[13]FormattedData!J38*$J$4+$M$4*$J$5+[13]FormattedData!J38^2*$J$6+$M$5*$J$7</f>
        <v>53.115440711148032</v>
      </c>
      <c r="R22" s="6">
        <f>$J$3+[13]FormattedData!K38*$J$4+$M$4*$J$5+[13]FormattedData!K38^2*$J$6+$M$5*$J$7</f>
        <v>36.543311911783498</v>
      </c>
      <c r="S22" s="6">
        <f>$J$3+[13]FormattedData!L38*$J$4+$M$4*$J$5+[13]FormattedData!L38^2*$J$6+$M$5*$J$7</f>
        <v>53.461864601445157</v>
      </c>
      <c r="T22" s="6">
        <f>$J$3+[13]FormattedData!M38*$J$4+$M$4*$J$5+[13]FormattedData!M38^2*$J$6+$M$5*$J$7</f>
        <v>31.576030939740328</v>
      </c>
      <c r="U22" s="6">
        <f>$J$3+[13]FormattedData!N38*$J$4+$M$4*$J$5+[13]FormattedData!N38^2*$J$6+$M$5*$J$7</f>
        <v>52.768340524243996</v>
      </c>
      <c r="V22" s="6">
        <f>$J$3+[13]FormattedData!O38*$J$4+$M$4*$J$5+[13]FormattedData!O38^2*$J$6+$M$5*$J$7</f>
        <v>34.455718579590211</v>
      </c>
      <c r="W22" s="5">
        <f t="shared" si="0"/>
        <v>43.513046319426422</v>
      </c>
      <c r="X22" s="4">
        <f t="shared" si="1"/>
        <v>2.7180166509127015</v>
      </c>
      <c r="Y22" s="3">
        <f t="shared" si="2"/>
        <v>31.576030939740328</v>
      </c>
      <c r="Z22" s="2">
        <f t="shared" si="3"/>
        <v>34.048930498971828</v>
      </c>
      <c r="AA22" s="3">
        <f t="shared" si="4"/>
        <v>43.957962441010096</v>
      </c>
      <c r="AB22" s="2">
        <f t="shared" si="5"/>
        <v>52.920244408119686</v>
      </c>
      <c r="AC22" s="2">
        <f t="shared" si="6"/>
        <v>53.807612195135398</v>
      </c>
      <c r="AD22" s="2">
        <f t="shared" si="7"/>
        <v>-8.4713875187166471E-2</v>
      </c>
      <c r="AE22" s="2">
        <f t="shared" si="8"/>
        <v>-2.0292808182667006</v>
      </c>
    </row>
    <row r="23" spans="2:31" x14ac:dyDescent="0.2">
      <c r="B23" s="1">
        <f>[13]FormattedData!A40</f>
        <v>206</v>
      </c>
      <c r="C23" s="1" t="str">
        <f>VLOOKUP($B23,[13]TrtCodes!$B$11:I83,2)</f>
        <v>NSL</v>
      </c>
      <c r="D23" s="1">
        <f>VLOOKUP($B23,[13]TrtCodes!$B$11:J83,3)</f>
        <v>8</v>
      </c>
      <c r="E23" s="1">
        <f>VLOOKUP($B23,[13]TrtCodes!$B$11:K83,4)</f>
        <v>2</v>
      </c>
      <c r="F23" s="1">
        <f>VLOOKUP($B23,[13]TrtCodes!$B$11:L83,5)</f>
        <v>1</v>
      </c>
      <c r="G23" s="1">
        <f>VLOOKUP($B23,[13]TrtCodes!$B$11:M83,6)</f>
        <v>1</v>
      </c>
      <c r="H23" s="1">
        <f>VLOOKUP($B23,[13]TrtCodes!$B$11:N83,7)</f>
        <v>2</v>
      </c>
      <c r="I23" s="1">
        <f>[13]FormattedData!B40</f>
        <v>1</v>
      </c>
      <c r="J23" s="4">
        <f>[13]FormattedData!C40</f>
        <v>13.081</v>
      </c>
      <c r="K23" s="6">
        <f>$J$3+[13]FormattedData!D40*$J$4+$M$4*$J$5+[13]FormattedData!D40^2*$J$6+$M$5*$J$7</f>
        <v>35.502072492231683</v>
      </c>
      <c r="L23" s="6">
        <f>$J$3+[13]FormattedData!E40*$J$4+$M$4*$J$5+[13]FormattedData!E40^2*$J$6+$M$5*$J$7</f>
        <v>33.787194080928685</v>
      </c>
      <c r="M23" s="6">
        <f>$J$3+[13]FormattedData!F40*$J$4+$M$4*$J$5+[13]FormattedData!F40^2*$J$6+$M$5*$J$7</f>
        <v>39.450197094145445</v>
      </c>
      <c r="N23" s="6">
        <f>$J$3+[13]FormattedData!G40*$J$4+$M$4*$J$5+[13]FormattedData!G40^2*$J$6+$M$5*$J$7</f>
        <v>33.595806664469727</v>
      </c>
      <c r="O23" s="6">
        <f>$J$3+[13]FormattedData!H40*$J$4+$M$4*$J$5+[13]FormattedData!H40^2*$J$6+$M$5*$J$7</f>
        <v>41.119425484482804</v>
      </c>
      <c r="P23" s="6">
        <f>$J$3+[13]FormattedData!I40*$J$4+$M$4*$J$5+[13]FormattedData!I40^2*$J$6+$M$5*$J$7</f>
        <v>31.38269917053654</v>
      </c>
      <c r="Q23" s="6">
        <f>$J$3+[13]FormattedData!J40*$J$4+$M$4*$J$5+[13]FormattedData!J40^2*$J$6+$M$5*$J$7</f>
        <v>39.822320255504707</v>
      </c>
      <c r="R23" s="6">
        <f>$J$3+[13]FormattedData!K40*$J$4+$M$4*$J$5+[13]FormattedData!K40^2*$J$6+$M$5*$J$7</f>
        <v>33.020629970182519</v>
      </c>
      <c r="S23" s="6">
        <f>$J$3+[13]FormattedData!L40*$J$4+$M$4*$J$5+[13]FormattedData!L40^2*$J$6+$M$5*$J$7</f>
        <v>38.890744295968609</v>
      </c>
      <c r="T23" s="6">
        <f>$J$3+[13]FormattedData!M40*$J$4+$M$4*$J$5+[13]FormattedData!M40^2*$J$6+$M$5*$J$7</f>
        <v>33.404250173859054</v>
      </c>
      <c r="U23" s="6">
        <f>$J$3+[13]FormattedData!N40*$J$4+$M$4*$J$5+[13]FormattedData!N40^2*$J$6+$M$5*$J$7</f>
        <v>37.579436838245648</v>
      </c>
      <c r="V23" s="6">
        <f>$J$3+[13]FormattedData!O40*$J$4+$M$4*$J$5+[13]FormattedData!O40^2*$J$6+$M$5*$J$7</f>
        <v>35.975997165551476</v>
      </c>
      <c r="W23" s="5">
        <f t="shared" si="0"/>
        <v>36.127564473842241</v>
      </c>
      <c r="X23" s="4">
        <f t="shared" si="1"/>
        <v>0.91799127644685885</v>
      </c>
      <c r="Y23" s="3">
        <f t="shared" si="2"/>
        <v>31.38269917053654</v>
      </c>
      <c r="Z23" s="2">
        <f t="shared" si="3"/>
        <v>33.547917541817057</v>
      </c>
      <c r="AA23" s="3">
        <f t="shared" si="4"/>
        <v>35.739034828891576</v>
      </c>
      <c r="AB23" s="2">
        <f t="shared" si="5"/>
        <v>39.030607495512818</v>
      </c>
      <c r="AC23" s="2">
        <f t="shared" si="6"/>
        <v>41.119425484482804</v>
      </c>
      <c r="AD23" s="2">
        <f t="shared" si="7"/>
        <v>0.16744367065453553</v>
      </c>
      <c r="AE23" s="2">
        <f t="shared" si="8"/>
        <v>-1.3857568214763543</v>
      </c>
    </row>
    <row r="24" spans="2:31" x14ac:dyDescent="0.2">
      <c r="B24" s="1">
        <f>[13]FormattedData!A42</f>
        <v>207</v>
      </c>
      <c r="C24" s="1" t="str">
        <f>VLOOKUP($B24,[13]TrtCodes!$B$11:I85,2)</f>
        <v>FTL</v>
      </c>
      <c r="D24" s="1">
        <f>VLOOKUP($B24,[13]TrtCodes!$B$11:J85,3)</f>
        <v>4</v>
      </c>
      <c r="E24" s="1">
        <f>VLOOKUP($B24,[13]TrtCodes!$B$11:K85,4)</f>
        <v>1</v>
      </c>
      <c r="F24" s="1">
        <f>VLOOKUP($B24,[13]TrtCodes!$B$11:L85,5)</f>
        <v>2</v>
      </c>
      <c r="G24" s="1">
        <f>VLOOKUP($B24,[13]TrtCodes!$B$11:M85,6)</f>
        <v>1</v>
      </c>
      <c r="H24" s="1">
        <f>VLOOKUP($B24,[13]TrtCodes!$B$11:N85,7)</f>
        <v>2</v>
      </c>
      <c r="I24" s="1">
        <f>[13]FormattedData!B42</f>
        <v>1</v>
      </c>
      <c r="J24" s="4">
        <f>[13]FormattedData!C42</f>
        <v>13.095000000000001</v>
      </c>
      <c r="K24" s="6">
        <f>$J$3+[13]FormattedData!D42*$J$4+$M$4*$J$5+[13]FormattedData!D42^2*$J$6+$M$5*$J$7</f>
        <v>30.704706519378448</v>
      </c>
      <c r="L24" s="6">
        <f>$J$3+[13]FormattedData!E42*$J$4+$M$4*$J$5+[13]FormattedData!E42^2*$J$6+$M$5*$J$7</f>
        <v>44.598378361947411</v>
      </c>
      <c r="M24" s="6">
        <f>$J$3+[13]FormattedData!F42*$J$4+$M$4*$J$5+[13]FormattedData!F42^2*$J$6+$M$5*$J$7</f>
        <v>34.455718579590211</v>
      </c>
      <c r="N24" s="6">
        <f>$J$3+[13]FormattedData!G42*$J$4+$M$4*$J$5+[13]FormattedData!G42^2*$J$6+$M$5*$J$7</f>
        <v>55.611691570802193</v>
      </c>
      <c r="O24" s="6">
        <f>$J$3+[13]FormattedData!H42*$J$4+$M$4*$J$5+[13]FormattedData!H42^2*$J$6+$M$5*$J$7</f>
        <v>31.092384502696365</v>
      </c>
      <c r="P24" s="6">
        <f>$J$3+[13]FormattedData!I42*$J$4+$M$4*$J$5+[13]FormattedData!I42^2*$J$6+$M$5*$J$7</f>
        <v>53.202110086529203</v>
      </c>
      <c r="Q24" s="6">
        <f>$J$3+[13]FormattedData!J42*$J$4+$M$4*$J$5+[13]FormattedData!J42^2*$J$6+$M$5*$J$7</f>
        <v>32.058620663336001</v>
      </c>
      <c r="R24" s="6">
        <f>$J$3+[13]FormattedData!K42*$J$4+$M$4*$J$5+[13]FormattedData!K42^2*$J$6+$M$5*$J$7</f>
        <v>53.202110086529203</v>
      </c>
      <c r="S24" s="6">
        <f>$J$3+[13]FormattedData!L42*$J$4+$M$4*$J$5+[13]FormattedData!L42^2*$J$6+$M$5*$J$7</f>
        <v>30.607681352204136</v>
      </c>
      <c r="T24" s="6">
        <f>$J$3+[13]FormattedData!M42*$J$4+$M$4*$J$5+[13]FormattedData!M42^2*$J$6+$M$5*$J$7</f>
        <v>51.635594243364508</v>
      </c>
      <c r="U24" s="6">
        <f>$J$3+[13]FormattedData!N42*$J$4+$M$4*$J$5+[13]FormattedData!N42^2*$J$6+$M$5*$J$7</f>
        <v>30.219157998127592</v>
      </c>
      <c r="V24" s="6">
        <f>$J$3+[13]FormattedData!O42*$J$4+$M$4*$J$5+[13]FormattedData!O42^2*$J$6+$M$5*$J$7</f>
        <v>52.333514248510511</v>
      </c>
      <c r="W24" s="5">
        <f t="shared" si="0"/>
        <v>41.643472351084647</v>
      </c>
      <c r="X24" s="4">
        <f t="shared" si="1"/>
        <v>3.1526626628158598</v>
      </c>
      <c r="Y24" s="3">
        <f t="shared" si="2"/>
        <v>30.219157998127592</v>
      </c>
      <c r="Z24" s="2">
        <f t="shared" si="3"/>
        <v>30.995465006866887</v>
      </c>
      <c r="AA24" s="3">
        <f t="shared" si="4"/>
        <v>39.527048470768811</v>
      </c>
      <c r="AB24" s="2">
        <f t="shared" si="5"/>
        <v>52.55066320801518</v>
      </c>
      <c r="AC24" s="2">
        <f t="shared" si="6"/>
        <v>55.611691570802193</v>
      </c>
      <c r="AD24" s="2">
        <f t="shared" si="7"/>
        <v>0.12465811953915137</v>
      </c>
      <c r="AE24" s="2">
        <f t="shared" si="8"/>
        <v>-2.1883901679115043</v>
      </c>
    </row>
    <row r="25" spans="2:31" x14ac:dyDescent="0.2">
      <c r="B25" s="1">
        <f>[13]FormattedData!A44</f>
        <v>208</v>
      </c>
      <c r="C25" s="1" t="str">
        <f>VLOOKUP($B25,[13]TrtCodes!$B$11:I87,2)</f>
        <v>FSL</v>
      </c>
      <c r="D25" s="1">
        <f>VLOOKUP($B25,[13]TrtCodes!$B$11:J87,3)</f>
        <v>2</v>
      </c>
      <c r="E25" s="1">
        <f>VLOOKUP($B25,[13]TrtCodes!$B$11:K87,4)</f>
        <v>1</v>
      </c>
      <c r="F25" s="1">
        <f>VLOOKUP($B25,[13]TrtCodes!$B$11:L87,5)</f>
        <v>1</v>
      </c>
      <c r="G25" s="1">
        <f>VLOOKUP($B25,[13]TrtCodes!$B$11:M87,6)</f>
        <v>1</v>
      </c>
      <c r="H25" s="1">
        <f>VLOOKUP($B25,[13]TrtCodes!$B$11:N87,7)</f>
        <v>2</v>
      </c>
      <c r="I25" s="1">
        <f>[13]FormattedData!B44</f>
        <v>1</v>
      </c>
      <c r="J25" s="4">
        <f>[13]FormattedData!C44</f>
        <v>13.112</v>
      </c>
      <c r="K25" s="6">
        <f>$J$3+[13]FormattedData!D44*$J$4+$M$4*$J$5+[13]FormattedData!D44^2*$J$6+$M$5*$J$7</f>
        <v>44.144108558765595</v>
      </c>
      <c r="L25" s="6">
        <f>$J$3+[13]FormattedData!E44*$J$4+$M$4*$J$5+[13]FormattedData!E44^2*$J$6+$M$5*$J$7</f>
        <v>40.379236941405665</v>
      </c>
      <c r="M25" s="6">
        <f>$J$3+[13]FormattedData!F44*$J$4+$M$4*$J$5+[13]FormattedData!F44^2*$J$6+$M$5*$J$7</f>
        <v>48.728079556226852</v>
      </c>
      <c r="N25" s="6">
        <f>$J$3+[13]FormattedData!G44*$J$4+$M$4*$J$5+[13]FormattedData!G44^2*$J$6+$M$5*$J$7</f>
        <v>40.471908449173071</v>
      </c>
      <c r="O25" s="6">
        <f>$J$3+[13]FormattedData!H44*$J$4+$M$4*$J$5+[13]FormattedData!H44^2*$J$6+$M$5*$J$7</f>
        <v>47.122761195241367</v>
      </c>
      <c r="P25" s="6">
        <f>$J$3+[13]FormattedData!I44*$J$4+$M$4*$J$5+[13]FormattedData!I44^2*$J$6+$M$5*$J$7</f>
        <v>47.837926763863273</v>
      </c>
      <c r="Q25" s="6">
        <f>$J$3+[13]FormattedData!J44*$J$4+$M$4*$J$5+[13]FormattedData!J44^2*$J$6+$M$5*$J$7</f>
        <v>51.285619795881168</v>
      </c>
      <c r="R25" s="6">
        <f>$J$3+[13]FormattedData!K44*$J$4+$M$4*$J$5+[13]FormattedData!K44^2*$J$6+$M$5*$J$7</f>
        <v>38.048711972393015</v>
      </c>
      <c r="S25" s="6">
        <f>$J$3+[13]FormattedData!L44*$J$4+$M$4*$J$5+[13]FormattedData!L44^2*$J$6+$M$5*$J$7</f>
        <v>53.375322031677776</v>
      </c>
      <c r="T25" s="6">
        <f>$J$3+[13]FormattedData!M44*$J$4+$M$4*$J$5+[13]FormattedData!M44^2*$J$6+$M$5*$J$7</f>
        <v>36.448865125422984</v>
      </c>
      <c r="U25" s="6">
        <f>$J$3+[13]FormattedData!N44*$J$4+$M$4*$J$5+[13]FormattedData!N44^2*$J$6+$M$5*$J$7</f>
        <v>54.411043145382955</v>
      </c>
      <c r="V25" s="6">
        <f>$J$3+[13]FormattedData!O44*$J$4+$M$4*$J$5+[13]FormattedData!O44^2*$J$6+$M$5*$J$7</f>
        <v>34.264922922662279</v>
      </c>
      <c r="W25" s="5">
        <f t="shared" si="0"/>
        <v>44.709875538174664</v>
      </c>
      <c r="X25" s="4">
        <f t="shared" si="1"/>
        <v>1.9519668205025282</v>
      </c>
      <c r="Y25" s="3">
        <f t="shared" si="2"/>
        <v>34.264922922662279</v>
      </c>
      <c r="Z25" s="2">
        <f t="shared" si="3"/>
        <v>39.796605699152501</v>
      </c>
      <c r="AA25" s="3">
        <f t="shared" si="4"/>
        <v>45.633434877003481</v>
      </c>
      <c r="AB25" s="2">
        <f t="shared" si="5"/>
        <v>49.367464616140431</v>
      </c>
      <c r="AC25" s="2">
        <f t="shared" si="6"/>
        <v>54.411043145382955</v>
      </c>
      <c r="AD25" s="2">
        <f t="shared" si="7"/>
        <v>-7.0147112565107625E-2</v>
      </c>
      <c r="AE25" s="2">
        <f t="shared" si="8"/>
        <v>-1.3229071862200783</v>
      </c>
    </row>
    <row r="26" spans="2:31" x14ac:dyDescent="0.2">
      <c r="B26" s="1">
        <f>[13]FormattedData!A62</f>
        <v>301</v>
      </c>
      <c r="C26" s="1" t="str">
        <f>VLOOKUP($B26,[13]TrtCodes!$B$11:I105,2)</f>
        <v>NTL</v>
      </c>
      <c r="D26" s="1">
        <f>VLOOKUP($B26,[13]TrtCodes!$B$11:J105,3)</f>
        <v>10</v>
      </c>
      <c r="E26" s="1">
        <f>VLOOKUP($B26,[13]TrtCodes!$B$11:K105,4)</f>
        <v>2</v>
      </c>
      <c r="F26" s="1">
        <f>VLOOKUP($B26,[13]TrtCodes!$B$11:L105,5)</f>
        <v>2</v>
      </c>
      <c r="G26" s="1">
        <f>VLOOKUP($B26,[13]TrtCodes!$B$11:M105,6)</f>
        <v>1</v>
      </c>
      <c r="H26" s="1">
        <f>VLOOKUP($B26,[13]TrtCodes!$B$11:N105,7)</f>
        <v>3</v>
      </c>
      <c r="I26" s="1">
        <f>[13]FormattedData!B62</f>
        <v>1</v>
      </c>
      <c r="J26" s="4">
        <f>[13]FormattedData!C62</f>
        <v>13.212999999999999</v>
      </c>
      <c r="K26" s="6">
        <f>$J$3+[13]FormattedData!D62*$J$4+$M$4*$J$5+[13]FormattedData!D62^2*$J$6+$M$5*$J$7</f>
        <v>42.408246080026409</v>
      </c>
      <c r="L26" s="6">
        <f>$J$3+[13]FormattedData!E62*$J$4+$M$4*$J$5+[13]FormattedData!E62^2*$J$6+$M$5*$J$7</f>
        <v>34.741595050947595</v>
      </c>
      <c r="M26" s="6">
        <f>$J$3+[13]FormattedData!F62*$J$4+$M$4*$J$5+[13]FormattedData!F62^2*$J$6+$M$5*$J$7</f>
        <v>45.142107264013852</v>
      </c>
      <c r="N26" s="6">
        <f>$J$3+[13]FormattedData!G62*$J$4+$M$4*$J$5+[13]FormattedData!G62^2*$J$6+$M$5*$J$7</f>
        <v>32.058620663336001</v>
      </c>
      <c r="O26" s="6">
        <f>$J$3+[13]FormattedData!H62*$J$4+$M$4*$J$5+[13]FormattedData!H62^2*$J$6+$M$5*$J$7</f>
        <v>44.416797246288468</v>
      </c>
      <c r="P26" s="6">
        <f>$J$3+[13]FormattedData!I62*$J$4+$M$4*$J$5+[13]FormattedData!I62^2*$J$6+$M$5*$J$7</f>
        <v>31.092384502696365</v>
      </c>
      <c r="Q26" s="6">
        <f>$J$3+[13]FormattedData!J62*$J$4+$M$4*$J$5+[13]FormattedData!J62^2*$J$6+$M$5*$J$7</f>
        <v>46.314966387389987</v>
      </c>
      <c r="R26" s="6">
        <f>$J$3+[13]FormattedData!K62*$J$4+$M$4*$J$5+[13]FormattedData!K62^2*$J$6+$M$5*$J$7</f>
        <v>30.510613916491899</v>
      </c>
      <c r="S26" s="6">
        <f>$J$3+[13]FormattedData!L62*$J$4+$M$4*$J$5+[13]FormattedData!L62^2*$J$6+$M$5*$J$7</f>
        <v>45.503747827966194</v>
      </c>
      <c r="T26" s="6">
        <f>$J$3+[13]FormattedData!M62*$J$4+$M$4*$J$5+[13]FormattedData!M62^2*$J$6+$M$5*$J$7</f>
        <v>31.38269917053654</v>
      </c>
      <c r="U26" s="6">
        <f>$J$3+[13]FormattedData!N62*$J$4+$M$4*$J$5+[13]FormattedData!N62^2*$J$6+$M$5*$J$7</f>
        <v>48.994301157446266</v>
      </c>
      <c r="V26" s="6">
        <f>$J$3+[13]FormattedData!O62*$J$4+$M$4*$J$5+[13]FormattedData!O62^2*$J$6+$M$5*$J$7</f>
        <v>32.924619247918557</v>
      </c>
      <c r="W26" s="5">
        <f t="shared" si="0"/>
        <v>38.790891542921514</v>
      </c>
      <c r="X26" s="4">
        <f t="shared" si="1"/>
        <v>2.0774811122236962</v>
      </c>
      <c r="Y26" s="3">
        <f t="shared" si="2"/>
        <v>30.510613916491899</v>
      </c>
      <c r="Z26" s="2">
        <f t="shared" si="3"/>
        <v>31.889640290136136</v>
      </c>
      <c r="AA26" s="3">
        <f t="shared" si="4"/>
        <v>38.574920565487005</v>
      </c>
      <c r="AB26" s="2">
        <f t="shared" si="5"/>
        <v>45.232517405001936</v>
      </c>
      <c r="AC26" s="2">
        <f t="shared" si="6"/>
        <v>48.994301157446266</v>
      </c>
      <c r="AD26" s="2">
        <f t="shared" si="7"/>
        <v>7.8543680638857721E-2</v>
      </c>
      <c r="AE26" s="2">
        <f t="shared" si="8"/>
        <v>-2.0590425280909654</v>
      </c>
    </row>
    <row r="27" spans="2:31" x14ac:dyDescent="0.2">
      <c r="B27" s="1">
        <f>[13]FormattedData!A64</f>
        <v>302</v>
      </c>
      <c r="C27" s="1" t="str">
        <f>VLOOKUP($B27,[13]TrtCodes!$B$11:I107,2)</f>
        <v>FTL</v>
      </c>
      <c r="D27" s="1">
        <f>VLOOKUP($B27,[13]TrtCodes!$B$11:J107,3)</f>
        <v>4</v>
      </c>
      <c r="E27" s="1">
        <f>VLOOKUP($B27,[13]TrtCodes!$B$11:K107,4)</f>
        <v>1</v>
      </c>
      <c r="F27" s="1">
        <f>VLOOKUP($B27,[13]TrtCodes!$B$11:L107,5)</f>
        <v>2</v>
      </c>
      <c r="G27" s="1">
        <f>VLOOKUP($B27,[13]TrtCodes!$B$11:M107,6)</f>
        <v>1</v>
      </c>
      <c r="H27" s="1">
        <f>VLOOKUP($B27,[13]TrtCodes!$B$11:N107,7)</f>
        <v>3</v>
      </c>
      <c r="I27" s="1">
        <f>[13]FormattedData!B64</f>
        <v>1</v>
      </c>
      <c r="J27" s="4">
        <f>[13]FormattedData!C64</f>
        <v>13.226000000000001</v>
      </c>
      <c r="K27" s="6">
        <f>$J$3+[13]FormattedData!D64*$J$4+$M$4*$J$5+[13]FormattedData!D64^2*$J$6+$M$5*$J$7</f>
        <v>53.980232380752923</v>
      </c>
      <c r="L27" s="6">
        <f>$J$3+[13]FormattedData!E64*$J$4+$M$4*$J$5+[13]FormattedData!E64^2*$J$6+$M$5*$J$7</f>
        <v>37.861128724347864</v>
      </c>
      <c r="M27" s="6">
        <f>$J$3+[13]FormattedData!F64*$J$4+$M$4*$J$5+[13]FormattedData!F64^2*$J$6+$M$5*$J$7</f>
        <v>48.816862358504586</v>
      </c>
      <c r="N27" s="6">
        <f>$J$3+[13]FormattedData!G64*$J$4+$M$4*$J$5+[13]FormattedData!G64^2*$J$6+$M$5*$J$7</f>
        <v>33.020629970182519</v>
      </c>
      <c r="O27" s="6">
        <f>$J$3+[13]FormattedData!H64*$J$4+$M$4*$J$5+[13]FormattedData!H64^2*$J$6+$M$5*$J$7</f>
        <v>50.583642011093772</v>
      </c>
      <c r="P27" s="6">
        <f>$J$3+[13]FormattedData!I64*$J$4+$M$4*$J$5+[13]FormattedData!I64^2*$J$6+$M$5*$J$7</f>
        <v>31.479386189407396</v>
      </c>
      <c r="Q27" s="6">
        <f>$J$3+[13]FormattedData!J64*$J$4+$M$4*$J$5+[13]FormattedData!J64^2*$J$6+$M$5*$J$7</f>
        <v>54.497078492695167</v>
      </c>
      <c r="R27" s="6">
        <f>$J$3+[13]FormattedData!K64*$J$4+$M$4*$J$5+[13]FormattedData!K64^2*$J$6+$M$5*$J$7</f>
        <v>31.865711579511526</v>
      </c>
      <c r="S27" s="6">
        <f>$J$3+[13]FormattedData!L64*$J$4+$M$4*$J$5+[13]FormattedData!L64^2*$J$6+$M$5*$J$7</f>
        <v>50.934969051790922</v>
      </c>
      <c r="T27" s="6">
        <f>$J$3+[13]FormattedData!M64*$J$4+$M$4*$J$5+[13]FormattedData!M64^2*$J$6+$M$5*$J$7</f>
        <v>31.285969883127741</v>
      </c>
      <c r="U27" s="6">
        <f>$J$3+[13]FormattedData!N64*$J$4+$M$4*$J$5+[13]FormattedData!N64^2*$J$6+$M$5*$J$7</f>
        <v>50.319702910922643</v>
      </c>
      <c r="V27" s="6">
        <f>$J$3+[13]FormattedData!O64*$J$4+$M$4*$J$5+[13]FormattedData!O64^2*$J$6+$M$5*$J$7</f>
        <v>32.155011802441344</v>
      </c>
      <c r="W27" s="5">
        <f t="shared" si="0"/>
        <v>42.233360446231529</v>
      </c>
      <c r="X27" s="4">
        <f t="shared" si="1"/>
        <v>2.8750623140971903</v>
      </c>
      <c r="Y27" s="3">
        <f t="shared" si="2"/>
        <v>31.285969883127741</v>
      </c>
      <c r="Z27" s="2">
        <f t="shared" si="3"/>
        <v>32.082686746708887</v>
      </c>
      <c r="AA27" s="3">
        <f t="shared" si="4"/>
        <v>43.338995541426229</v>
      </c>
      <c r="AB27" s="2">
        <f t="shared" si="5"/>
        <v>50.671473771268062</v>
      </c>
      <c r="AC27" s="2">
        <f t="shared" si="6"/>
        <v>54.497078492695167</v>
      </c>
      <c r="AD27" s="2">
        <f t="shared" si="7"/>
        <v>-4.2695363003075948E-3</v>
      </c>
      <c r="AE27" s="2">
        <f t="shared" si="8"/>
        <v>-2.1821545738857262</v>
      </c>
    </row>
    <row r="28" spans="2:31" x14ac:dyDescent="0.2">
      <c r="B28" s="1">
        <f>[13]FormattedData!A66</f>
        <v>303</v>
      </c>
      <c r="C28" s="1" t="str">
        <f>VLOOKUP($B28,[13]TrtCodes!$B$11:I109,2)</f>
        <v>NSL</v>
      </c>
      <c r="D28" s="1">
        <f>VLOOKUP($B28,[13]TrtCodes!$B$11:J109,3)</f>
        <v>8</v>
      </c>
      <c r="E28" s="1">
        <f>VLOOKUP($B28,[13]TrtCodes!$B$11:K109,4)</f>
        <v>2</v>
      </c>
      <c r="F28" s="1">
        <f>VLOOKUP($B28,[13]TrtCodes!$B$11:L109,5)</f>
        <v>1</v>
      </c>
      <c r="G28" s="1">
        <f>VLOOKUP($B28,[13]TrtCodes!$B$11:M109,6)</f>
        <v>1</v>
      </c>
      <c r="H28" s="1">
        <f>VLOOKUP($B28,[13]TrtCodes!$B$11:N109,7)</f>
        <v>3</v>
      </c>
      <c r="I28" s="1">
        <f>[13]FormattedData!B66</f>
        <v>1</v>
      </c>
      <c r="J28" s="4">
        <f>[13]FormattedData!C66</f>
        <v>13.239000000000001</v>
      </c>
      <c r="K28" s="6">
        <f>$J$3+[13]FormattedData!D66*$J$4+$M$4*$J$5+[13]FormattedData!D66^2*$J$6+$M$5*$J$7</f>
        <v>37.109104990650003</v>
      </c>
      <c r="L28" s="6">
        <f>$J$3+[13]FormattedData!E66*$J$4+$M$4*$J$5+[13]FormattedData!E66^2*$J$6+$M$5*$J$7</f>
        <v>34.931968022496214</v>
      </c>
      <c r="M28" s="6">
        <f>$J$3+[13]FormattedData!F66*$J$4+$M$4*$J$5+[13]FormattedData!F66^2*$J$6+$M$5*$J$7</f>
        <v>38.890744295968609</v>
      </c>
      <c r="N28" s="6">
        <f>$J$3+[13]FormattedData!G66*$J$4+$M$4*$J$5+[13]FormattedData!G66^2*$J$6+$M$5*$J$7</f>
        <v>32.251360673008747</v>
      </c>
      <c r="O28" s="6">
        <f>$J$3+[13]FormattedData!H66*$J$4+$M$4*$J$5+[13]FormattedData!H66^2*$J$6+$M$5*$J$7</f>
        <v>41.119425484482804</v>
      </c>
      <c r="P28" s="6">
        <f>$J$3+[13]FormattedData!I66*$J$4+$M$4*$J$5+[13]FormattedData!I66^2*$J$6+$M$5*$J$7</f>
        <v>31.092384502696365</v>
      </c>
      <c r="Q28" s="6">
        <f>$J$3+[13]FormattedData!J66*$J$4+$M$4*$J$5+[13]FormattedData!J66^2*$J$6+$M$5*$J$7</f>
        <v>40.379236941405665</v>
      </c>
      <c r="R28" s="6">
        <f>$J$3+[13]FormattedData!K66*$J$4+$M$4*$J$5+[13]FormattedData!K66^2*$J$6+$M$5*$J$7</f>
        <v>31.189198327181025</v>
      </c>
      <c r="S28" s="6">
        <f>$J$3+[13]FormattedData!L66*$J$4+$M$4*$J$5+[13]FormattedData!L66^2*$J$6+$M$5*$J$7</f>
        <v>40.564537688402545</v>
      </c>
      <c r="T28" s="6">
        <f>$J$3+[13]FormattedData!M66*$J$4+$M$4*$J$5+[13]FormattedData!M66^2*$J$6+$M$5*$J$7</f>
        <v>31.189198327181025</v>
      </c>
      <c r="U28" s="6">
        <f>$J$3+[13]FormattedData!N66*$J$4+$M$4*$J$5+[13]FormattedData!N66^2*$J$6+$M$5*$J$7</f>
        <v>41.119425484482804</v>
      </c>
      <c r="V28" s="6">
        <f>$J$3+[13]FormattedData!O66*$J$4+$M$4*$J$5+[13]FormattedData!O66^2*$J$6+$M$5*$J$7</f>
        <v>31.479386189407396</v>
      </c>
      <c r="W28" s="5">
        <f t="shared" si="0"/>
        <v>35.942997577280273</v>
      </c>
      <c r="X28" s="4">
        <f t="shared" si="1"/>
        <v>1.2552270526950053</v>
      </c>
      <c r="Y28" s="3">
        <f t="shared" si="2"/>
        <v>31.092384502696365</v>
      </c>
      <c r="Z28" s="2">
        <f t="shared" si="3"/>
        <v>31.406839223850803</v>
      </c>
      <c r="AA28" s="3">
        <f t="shared" si="4"/>
        <v>36.020536506573109</v>
      </c>
      <c r="AB28" s="2">
        <f t="shared" si="5"/>
        <v>40.425562128154887</v>
      </c>
      <c r="AC28" s="2">
        <f t="shared" si="6"/>
        <v>41.119425484482804</v>
      </c>
      <c r="AD28" s="2">
        <f t="shared" si="7"/>
        <v>2.8346440380937709E-2</v>
      </c>
      <c r="AE28" s="2">
        <f t="shared" si="8"/>
        <v>-2.0428945880719835</v>
      </c>
    </row>
    <row r="29" spans="2:31" x14ac:dyDescent="0.2">
      <c r="B29" s="1">
        <f>[13]FormattedData!A68</f>
        <v>304</v>
      </c>
      <c r="C29" s="1" t="str">
        <f>VLOOKUP($B29,[13]TrtCodes!$B$11:I111,2)</f>
        <v>FSL</v>
      </c>
      <c r="D29" s="1">
        <f>VLOOKUP($B29,[13]TrtCodes!$B$11:J111,3)</f>
        <v>2</v>
      </c>
      <c r="E29" s="1">
        <f>VLOOKUP($B29,[13]TrtCodes!$B$11:K111,4)</f>
        <v>1</v>
      </c>
      <c r="F29" s="1">
        <f>VLOOKUP($B29,[13]TrtCodes!$B$11:L111,5)</f>
        <v>1</v>
      </c>
      <c r="G29" s="1">
        <f>VLOOKUP($B29,[13]TrtCodes!$B$11:M111,6)</f>
        <v>1</v>
      </c>
      <c r="H29" s="1">
        <f>VLOOKUP($B29,[13]TrtCodes!$B$11:N111,7)</f>
        <v>3</v>
      </c>
      <c r="I29" s="1">
        <f>[13]FormattedData!B68</f>
        <v>1</v>
      </c>
      <c r="J29" s="4">
        <f>[13]FormattedData!C68</f>
        <v>13.253</v>
      </c>
      <c r="K29" s="6">
        <f>$J$3+[13]FormattedData!D68*$J$4+$M$4*$J$5+[13]FormattedData!D68^2*$J$6+$M$5*$J$7</f>
        <v>47.748679007668294</v>
      </c>
      <c r="L29" s="6">
        <f>$J$3+[13]FormattedData!E68*$J$4+$M$4*$J$5+[13]FormattedData!E68^2*$J$6+$M$5*$J$7</f>
        <v>37.391430904821185</v>
      </c>
      <c r="M29" s="6">
        <f>$J$3+[13]FormattedData!F68*$J$4+$M$4*$J$5+[13]FormattedData!F68^2*$J$6+$M$5*$J$7</f>
        <v>47.57005668966454</v>
      </c>
      <c r="N29" s="6">
        <f>$J$3+[13]FormattedData!G68*$J$4+$M$4*$J$5+[13]FormattedData!G68^2*$J$6+$M$5*$J$7</f>
        <v>33.787194080928685</v>
      </c>
      <c r="O29" s="6">
        <f>$J$3+[13]FormattedData!H68*$J$4+$M$4*$J$5+[13]FormattedData!H68^2*$J$6+$M$5*$J$7</f>
        <v>51.722982183890522</v>
      </c>
      <c r="P29" s="6">
        <f>$J$3+[13]FormattedData!I68*$J$4+$M$4*$J$5+[13]FormattedData!I68^2*$J$6+$M$5*$J$7</f>
        <v>34.931968022496214</v>
      </c>
      <c r="Q29" s="6">
        <f>$J$3+[13]FormattedData!J68*$J$4+$M$4*$J$5+[13]FormattedData!J68^2*$J$6+$M$5*$J$7</f>
        <v>53.980232380752923</v>
      </c>
      <c r="R29" s="6">
        <f>$J$3+[13]FormattedData!K68*$J$4+$M$4*$J$5+[13]FormattedData!K68^2*$J$6+$M$5*$J$7</f>
        <v>34.169461691391426</v>
      </c>
      <c r="S29" s="6">
        <f>$J$3+[13]FormattedData!L68*$J$4+$M$4*$J$5+[13]FormattedData!L68^2*$J$6+$M$5*$J$7</f>
        <v>53.375322031677776</v>
      </c>
      <c r="T29" s="6">
        <f>$J$3+[13]FormattedData!M68*$J$4+$M$4*$J$5+[13]FormattedData!M68^2*$J$6+$M$5*$J$7</f>
        <v>35.217210465784632</v>
      </c>
      <c r="U29" s="6">
        <f>$J$3+[13]FormattedData!N68*$J$4+$M$4*$J$5+[13]FormattedData!N68^2*$J$6+$M$5*$J$7</f>
        <v>54.497078492695167</v>
      </c>
      <c r="V29" s="6">
        <f>$J$3+[13]FormattedData!O68*$J$4+$M$4*$J$5+[13]FormattedData!O68^2*$J$6+$M$5*$J$7</f>
        <v>36.070655294601643</v>
      </c>
      <c r="W29" s="5">
        <f t="shared" si="0"/>
        <v>43.371855937197751</v>
      </c>
      <c r="X29" s="4">
        <f t="shared" si="1"/>
        <v>2.5319969194894076</v>
      </c>
      <c r="Y29" s="3">
        <f t="shared" si="2"/>
        <v>33.787194080928685</v>
      </c>
      <c r="Z29" s="2">
        <f t="shared" si="3"/>
        <v>35.145899854962529</v>
      </c>
      <c r="AA29" s="3">
        <f t="shared" si="4"/>
        <v>42.480743797242866</v>
      </c>
      <c r="AB29" s="2">
        <f t="shared" si="5"/>
        <v>52.136067145837337</v>
      </c>
      <c r="AC29" s="2">
        <f t="shared" si="6"/>
        <v>54.497078492695167</v>
      </c>
      <c r="AD29" s="2">
        <f t="shared" si="7"/>
        <v>0.14643284902640866</v>
      </c>
      <c r="AE29" s="2">
        <f t="shared" si="8"/>
        <v>-2.0959872566833577</v>
      </c>
    </row>
    <row r="30" spans="2:31" x14ac:dyDescent="0.2">
      <c r="B30" s="1">
        <f>[13]FormattedData!A70</f>
        <v>305</v>
      </c>
      <c r="C30" s="1" t="str">
        <f>VLOOKUP($B30,[13]TrtCodes!$B$11:I113,2)</f>
        <v>NDH</v>
      </c>
      <c r="D30" s="1">
        <f>VLOOKUP($B30,[13]TrtCodes!$B$11:J113,3)</f>
        <v>11</v>
      </c>
      <c r="E30" s="1">
        <f>VLOOKUP($B30,[13]TrtCodes!$B$11:K113,4)</f>
        <v>2</v>
      </c>
      <c r="F30" s="1">
        <f>VLOOKUP($B30,[13]TrtCodes!$B$11:L113,5)</f>
        <v>3</v>
      </c>
      <c r="G30" s="1">
        <f>VLOOKUP($B30,[13]TrtCodes!$B$11:M113,6)</f>
        <v>2</v>
      </c>
      <c r="H30" s="1">
        <f>VLOOKUP($B30,[13]TrtCodes!$B$11:N113,7)</f>
        <v>4</v>
      </c>
      <c r="I30" s="1">
        <f>[13]FormattedData!B70</f>
        <v>1</v>
      </c>
      <c r="J30" s="4">
        <f>[13]FormattedData!C70</f>
        <v>13.268000000000001</v>
      </c>
      <c r="K30" s="6">
        <f>$J$3+[13]FormattedData!D70*$J$4+$M$4*$J$5+[13]FormattedData!D70^2*$J$6+$M$5*$J$7</f>
        <v>30.607681352204136</v>
      </c>
      <c r="L30" s="6">
        <f>$J$3+[13]FormattedData!E70*$J$4+$M$4*$J$5+[13]FormattedData!E70^2*$J$6+$M$5*$J$7</f>
        <v>33.116598423908542</v>
      </c>
      <c r="M30" s="6">
        <f>$J$3+[13]FormattedData!F70*$J$4+$M$4*$J$5+[13]FormattedData!F70^2*$J$6+$M$5*$J$7</f>
        <v>38.70392188160622</v>
      </c>
      <c r="N30" s="6">
        <f>$J$3+[13]FormattedData!G70*$J$4+$M$4*$J$5+[13]FormattedData!G70^2*$J$6+$M$5*$J$7</f>
        <v>33.500049553433357</v>
      </c>
      <c r="O30" s="6">
        <f>$J$3+[13]FormattedData!H70*$J$4+$M$4*$J$5+[13]FormattedData!H70^2*$J$6+$M$5*$J$7</f>
        <v>38.236126146286445</v>
      </c>
      <c r="P30" s="6">
        <f>$J$3+[13]FormattedData!I70*$J$4+$M$4*$J$5+[13]FormattedData!I70^2*$J$6+$M$5*$J$7</f>
        <v>33.787194080928685</v>
      </c>
      <c r="Q30" s="6">
        <f>$J$3+[13]FormattedData!J70*$J$4+$M$4*$J$5+[13]FormattedData!J70^2*$J$6+$M$5*$J$7</f>
        <v>42.774958868530483</v>
      </c>
      <c r="R30" s="6">
        <f>$J$3+[13]FormattedData!K70*$J$4+$M$4*$J$5+[13]FormattedData!K70^2*$J$6+$M$5*$J$7</f>
        <v>31.189198327181025</v>
      </c>
      <c r="S30" s="6">
        <f>$J$3+[13]FormattedData!L70*$J$4+$M$4*$J$5+[13]FormattedData!L70^2*$J$6+$M$5*$J$7</f>
        <v>41.856908841132359</v>
      </c>
      <c r="T30" s="6">
        <f>$J$3+[13]FormattedData!M70*$J$4+$M$4*$J$5+[13]FormattedData!M70^2*$J$6+$M$5*$J$7</f>
        <v>31.092384502696365</v>
      </c>
      <c r="U30" s="6">
        <f>$J$3+[13]FormattedData!N70*$J$4+$M$4*$J$5+[13]FormattedData!N70^2*$J$6+$M$5*$J$7</f>
        <v>38.329769830426258</v>
      </c>
      <c r="V30" s="6">
        <f>$J$3+[13]FormattedData!O70*$J$4+$M$4*$J$5+[13]FormattedData!O70^2*$J$6+$M$5*$J$7</f>
        <v>30.12192148826362</v>
      </c>
      <c r="W30" s="5">
        <f t="shared" si="0"/>
        <v>35.276392774716456</v>
      </c>
      <c r="X30" s="4">
        <f t="shared" si="1"/>
        <v>1.2967824924111486</v>
      </c>
      <c r="Y30" s="3">
        <f t="shared" si="2"/>
        <v>30.12192148826362</v>
      </c>
      <c r="Z30" s="2">
        <f t="shared" si="3"/>
        <v>31.164994871059861</v>
      </c>
      <c r="AA30" s="3">
        <f t="shared" si="4"/>
        <v>33.643621817181021</v>
      </c>
      <c r="AB30" s="2">
        <f t="shared" si="5"/>
        <v>38.423307843221252</v>
      </c>
      <c r="AC30" s="2">
        <f t="shared" si="6"/>
        <v>42.774958868530483</v>
      </c>
      <c r="AD30" s="2">
        <f t="shared" si="7"/>
        <v>0.48381634131424989</v>
      </c>
      <c r="AE30" s="2">
        <f t="shared" si="8"/>
        <v>-1.2698575640531917</v>
      </c>
    </row>
    <row r="31" spans="2:31" x14ac:dyDescent="0.2">
      <c r="B31" s="1">
        <f>[13]FormattedData!A72</f>
        <v>306</v>
      </c>
      <c r="C31" s="1" t="str">
        <f>VLOOKUP($B31,[13]TrtCodes!$B$11:I115,2)</f>
        <v>FTL</v>
      </c>
      <c r="D31" s="1">
        <f>VLOOKUP($B31,[13]TrtCodes!$B$11:J115,3)</f>
        <v>4</v>
      </c>
      <c r="E31" s="1">
        <f>VLOOKUP($B31,[13]TrtCodes!$B$11:K115,4)</f>
        <v>1</v>
      </c>
      <c r="F31" s="1">
        <f>VLOOKUP($B31,[13]TrtCodes!$B$11:L115,5)</f>
        <v>2</v>
      </c>
      <c r="G31" s="1">
        <f>VLOOKUP($B31,[13]TrtCodes!$B$11:M115,6)</f>
        <v>1</v>
      </c>
      <c r="H31" s="1">
        <f>VLOOKUP($B31,[13]TrtCodes!$B$11:N115,7)</f>
        <v>4</v>
      </c>
      <c r="I31" s="1">
        <f>[13]FormattedData!B72</f>
        <v>1</v>
      </c>
      <c r="J31" s="4">
        <f>[13]FormattedData!C72</f>
        <v>13.282999999999999</v>
      </c>
      <c r="K31" s="6">
        <f>$J$3+[13]FormattedData!D72*$J$4+$M$4*$J$5+[13]FormattedData!D72^2*$J$6+$M$5*$J$7</f>
        <v>49.790683460056229</v>
      </c>
      <c r="L31" s="6">
        <f>$J$3+[13]FormattedData!E72*$J$4+$M$4*$J$5+[13]FormattedData!E72^2*$J$6+$M$5*$J$7</f>
        <v>37.203255897244993</v>
      </c>
      <c r="M31" s="6">
        <f>$J$3+[13]FormattedData!F72*$J$4+$M$4*$J$5+[13]FormattedData!F72^2*$J$6+$M$5*$J$7</f>
        <v>38.70392188160622</v>
      </c>
      <c r="N31" s="6">
        <f>$J$3+[13]FormattedData!G72*$J$4+$M$4*$J$5+[13]FormattedData!G72^2*$J$6+$M$5*$J$7</f>
        <v>35.975997165551476</v>
      </c>
      <c r="O31" s="6">
        <f>$J$3+[13]FormattedData!H72*$J$4+$M$4*$J$5+[13]FormattedData!H72^2*$J$6+$M$5*$J$7</f>
        <v>45.594052297609451</v>
      </c>
      <c r="P31" s="6">
        <f>$J$3+[13]FormattedData!I72*$J$4+$M$4*$J$5+[13]FormattedData!I72^2*$J$6+$M$5*$J$7</f>
        <v>33.978412423235923</v>
      </c>
      <c r="Q31" s="6">
        <f>$J$3+[13]FormattedData!J72*$J$4+$M$4*$J$5+[13]FormattedData!J72^2*$J$6+$M$5*$J$7</f>
        <v>40.286523165100341</v>
      </c>
      <c r="R31" s="6">
        <f>$J$3+[13]FormattedData!K72*$J$4+$M$4*$J$5+[13]FormattedData!K72^2*$J$6+$M$5*$J$7</f>
        <v>34.931968022496214</v>
      </c>
      <c r="S31" s="6">
        <f>$J$3+[13]FormattedData!L72*$J$4+$M$4*$J$5+[13]FormattedData!L72^2*$J$6+$M$5*$J$7</f>
        <v>42.04085699491543</v>
      </c>
      <c r="T31" s="6">
        <f>$J$3+[13]FormattedData!M72*$J$4+$M$4*$J$5+[13]FormattedData!M72^2*$J$6+$M$5*$J$7</f>
        <v>31.865711579511526</v>
      </c>
      <c r="U31" s="6">
        <f>$J$3+[13]FormattedData!N72*$J$4+$M$4*$J$5+[13]FormattedData!N72^2*$J$6+$M$5*$J$7</f>
        <v>51.722982183890522</v>
      </c>
      <c r="V31" s="6">
        <f>$J$3+[13]FormattedData!O72*$J$4+$M$4*$J$5+[13]FormattedData!O72^2*$J$6+$M$5*$J$7</f>
        <v>31.38269917053654</v>
      </c>
      <c r="W31" s="5">
        <f t="shared" si="0"/>
        <v>39.456422020146242</v>
      </c>
      <c r="X31" s="4">
        <f t="shared" si="1"/>
        <v>1.9332494728467304</v>
      </c>
      <c r="Y31" s="3">
        <f t="shared" si="2"/>
        <v>31.38269917053654</v>
      </c>
      <c r="Z31" s="2">
        <f t="shared" si="3"/>
        <v>34.693579122681143</v>
      </c>
      <c r="AA31" s="3">
        <f t="shared" si="4"/>
        <v>37.953588889425603</v>
      </c>
      <c r="AB31" s="2">
        <f t="shared" si="5"/>
        <v>42.929155820588932</v>
      </c>
      <c r="AC31" s="2">
        <f t="shared" si="6"/>
        <v>51.722982183890522</v>
      </c>
      <c r="AD31" s="2">
        <f t="shared" si="7"/>
        <v>0.69871969120296129</v>
      </c>
      <c r="AE31" s="2">
        <f t="shared" si="8"/>
        <v>-0.54163499963556694</v>
      </c>
    </row>
    <row r="32" spans="2:31" x14ac:dyDescent="0.2">
      <c r="B32" s="1">
        <f>[13]FormattedData!A74</f>
        <v>307</v>
      </c>
      <c r="C32" s="1" t="str">
        <f>VLOOKUP($B32,[13]TrtCodes!$B$11:I117,2)</f>
        <v>NTH</v>
      </c>
      <c r="D32" s="1">
        <f>VLOOKUP($B32,[13]TrtCodes!$B$11:J117,3)</f>
        <v>9</v>
      </c>
      <c r="E32" s="1">
        <f>VLOOKUP($B32,[13]TrtCodes!$B$11:K117,4)</f>
        <v>2</v>
      </c>
      <c r="F32" s="1">
        <f>VLOOKUP($B32,[13]TrtCodes!$B$11:L117,5)</f>
        <v>2</v>
      </c>
      <c r="G32" s="1">
        <f>VLOOKUP($B32,[13]TrtCodes!$B$11:M117,6)</f>
        <v>2</v>
      </c>
      <c r="H32" s="1">
        <f>VLOOKUP($B32,[13]TrtCodes!$B$11:N117,7)</f>
        <v>4</v>
      </c>
      <c r="I32" s="1">
        <f>[13]FormattedData!B74</f>
        <v>1</v>
      </c>
      <c r="J32" s="4">
        <f>[13]FormattedData!C74</f>
        <v>13.297000000000001</v>
      </c>
      <c r="K32" s="6">
        <f>$J$3+[13]FormattedData!D74*$J$4+$M$4*$J$5+[13]FormattedData!D74^2*$J$6+$M$5*$J$7</f>
        <v>45.774534431282177</v>
      </c>
      <c r="L32" s="6">
        <f>$J$3+[13]FormattedData!E74*$J$4+$M$4*$J$5+[13]FormattedData!E74^2*$J$6+$M$5*$J$7</f>
        <v>34.169461691391426</v>
      </c>
      <c r="M32" s="6">
        <f>$J$3+[13]FormattedData!F74*$J$4+$M$4*$J$5+[13]FormattedData!F74^2*$J$6+$M$5*$J$7</f>
        <v>50.319702910922643</v>
      </c>
      <c r="N32" s="6">
        <f>$J$3+[13]FormattedData!G74*$J$4+$M$4*$J$5+[13]FormattedData!G74^2*$J$6+$M$5*$J$7</f>
        <v>30.898630048113272</v>
      </c>
      <c r="O32" s="6">
        <f>$J$3+[13]FormattedData!H74*$J$4+$M$4*$J$5+[13]FormattedData!H74^2*$J$6+$M$5*$J$7</f>
        <v>49.878959039878794</v>
      </c>
      <c r="P32" s="6">
        <f>$J$3+[13]FormattedData!I74*$J$4+$M$4*$J$5+[13]FormattedData!I74^2*$J$6+$M$5*$J$7</f>
        <v>31.865711579511526</v>
      </c>
      <c r="Q32" s="6">
        <f>$J$3+[13]FormattedData!J74*$J$4+$M$4*$J$5+[13]FormattedData!J74^2*$J$6+$M$5*$J$7</f>
        <v>49.525603109360958</v>
      </c>
      <c r="R32" s="6">
        <f>$J$3+[13]FormattedData!K74*$J$4+$M$4*$J$5+[13]FormattedData!K74^2*$J$6+$M$5*$J$7</f>
        <v>31.092384502696365</v>
      </c>
      <c r="S32" s="6">
        <f>$J$3+[13]FormattedData!L74*$J$4+$M$4*$J$5+[13]FormattedData!L74^2*$J$6+$M$5*$J$7</f>
        <v>51.460691556698698</v>
      </c>
      <c r="T32" s="6">
        <f>$J$3+[13]FormattedData!M74*$J$4+$M$4*$J$5+[13]FormattedData!M74^2*$J$6+$M$5*$J$7</f>
        <v>31.769193634792387</v>
      </c>
      <c r="U32" s="6">
        <f>$J$3+[13]FormattedData!N74*$J$4+$M$4*$J$5+[13]FormattedData!N74^2*$J$6+$M$5*$J$7</f>
        <v>53.288737193372455</v>
      </c>
      <c r="V32" s="6">
        <f>$J$3+[13]FormattedData!O74*$J$4+$M$4*$J$5+[13]FormattedData!O74^2*$J$6+$M$5*$J$7</f>
        <v>33.978412423235923</v>
      </c>
      <c r="W32" s="5">
        <f t="shared" si="0"/>
        <v>41.168501843438051</v>
      </c>
      <c r="X32" s="4">
        <f t="shared" si="1"/>
        <v>2.7331768549845545</v>
      </c>
      <c r="Y32" s="3">
        <f t="shared" si="2"/>
        <v>30.898630048113272</v>
      </c>
      <c r="Z32" s="2">
        <f t="shared" si="3"/>
        <v>31.841582093331741</v>
      </c>
      <c r="AA32" s="3">
        <f t="shared" si="4"/>
        <v>39.971998061336805</v>
      </c>
      <c r="AB32" s="2">
        <f t="shared" si="5"/>
        <v>49.989145007639756</v>
      </c>
      <c r="AC32" s="2">
        <f t="shared" si="6"/>
        <v>53.288737193372455</v>
      </c>
      <c r="AD32" s="2">
        <f t="shared" si="7"/>
        <v>6.7237192025559986E-2</v>
      </c>
      <c r="AE32" s="2">
        <f t="shared" si="8"/>
        <v>-2.215632540615438</v>
      </c>
    </row>
    <row r="33" spans="2:31" x14ac:dyDescent="0.2">
      <c r="B33" s="1">
        <f>[13]FormattedData!A76</f>
        <v>308</v>
      </c>
      <c r="C33" s="1" t="str">
        <f>VLOOKUP($B33,[13]TrtCodes!$B$11:I119,2)</f>
        <v>FDH</v>
      </c>
      <c r="D33" s="1">
        <f>VLOOKUP($B33,[13]TrtCodes!$B$11:J119,3)</f>
        <v>5</v>
      </c>
      <c r="E33" s="1">
        <f>VLOOKUP($B33,[13]TrtCodes!$B$11:K119,4)</f>
        <v>1</v>
      </c>
      <c r="F33" s="1">
        <f>VLOOKUP($B33,[13]TrtCodes!$B$11:L119,5)</f>
        <v>3</v>
      </c>
      <c r="G33" s="1">
        <f>VLOOKUP($B33,[13]TrtCodes!$B$11:M119,6)</f>
        <v>2</v>
      </c>
      <c r="H33" s="1">
        <f>VLOOKUP($B33,[13]TrtCodes!$B$11:N119,7)</f>
        <v>4</v>
      </c>
      <c r="I33" s="1">
        <f>[13]FormattedData!B76</f>
        <v>1</v>
      </c>
      <c r="J33" s="4">
        <f>[13]FormattedData!C76</f>
        <v>13.311</v>
      </c>
      <c r="K33" s="6">
        <f>$J$3+[13]FormattedData!D76*$J$4+$M$4*$J$5+[13]FormattedData!D76^2*$J$6+$M$5*$J$7</f>
        <v>35.975997165551476</v>
      </c>
      <c r="L33" s="6">
        <f>$J$3+[13]FormattedData!E76*$J$4+$M$4*$J$5+[13]FormattedData!E76^2*$J$6+$M$5*$J$7</f>
        <v>34.931968022496214</v>
      </c>
      <c r="M33" s="6">
        <f>$J$3+[13]FormattedData!F76*$J$4+$M$4*$J$5+[13]FormattedData!F76^2*$J$6+$M$5*$J$7</f>
        <v>48.550387146057588</v>
      </c>
      <c r="N33" s="6">
        <f>$J$3+[13]FormattedData!G76*$J$4+$M$4*$J$5+[13]FormattedData!G76^2*$J$6+$M$5*$J$7</f>
        <v>32.732470997776836</v>
      </c>
      <c r="O33" s="6">
        <f>$J$3+[13]FormattedData!H76*$J$4+$M$4*$J$5+[13]FormattedData!H76^2*$J$6+$M$5*$J$7</f>
        <v>51.984892394240958</v>
      </c>
      <c r="P33" s="6">
        <f>$J$3+[13]FormattedData!I76*$J$4+$M$4*$J$5+[13]FormattedData!I76^2*$J$6+$M$5*$J$7</f>
        <v>34.360341885395208</v>
      </c>
      <c r="Q33" s="6">
        <f>$J$3+[13]FormattedData!J76*$J$4+$M$4*$J$5+[13]FormattedData!J76^2*$J$6+$M$5*$J$7</f>
        <v>52.333514248510511</v>
      </c>
      <c r="R33" s="6">
        <f>$J$3+[13]FormattedData!K76*$J$4+$M$4*$J$5+[13]FormattedData!K76^2*$J$6+$M$5*$J$7</f>
        <v>34.169461691391426</v>
      </c>
      <c r="S33" s="6">
        <f>$J$3+[13]FormattedData!L76*$J$4+$M$4*$J$5+[13]FormattedData!L76^2*$J$6+$M$5*$J$7</f>
        <v>50.495704579574664</v>
      </c>
      <c r="T33" s="6">
        <f>$J$3+[13]FormattedData!M76*$J$4+$M$4*$J$5+[13]FormattedData!M76^2*$J$6+$M$5*$J$7</f>
        <v>32.251360673008747</v>
      </c>
      <c r="U33" s="6">
        <f>$J$3+[13]FormattedData!N76*$J$4+$M$4*$J$5+[13]FormattedData!N76^2*$J$6+$M$5*$J$7</f>
        <v>50.583642011093772</v>
      </c>
      <c r="V33" s="6">
        <f>$J$3+[13]FormattedData!O76*$J$4+$M$4*$J$5+[13]FormattedData!O76^2*$J$6+$M$5*$J$7</f>
        <v>34.264922922662279</v>
      </c>
      <c r="W33" s="5">
        <f t="shared" si="0"/>
        <v>41.052888644813315</v>
      </c>
      <c r="X33" s="4">
        <f t="shared" si="1"/>
        <v>2.5093170392872466</v>
      </c>
      <c r="Y33" s="3">
        <f t="shared" si="2"/>
        <v>32.251360673008747</v>
      </c>
      <c r="Z33" s="2">
        <f t="shared" si="3"/>
        <v>34.241057614844564</v>
      </c>
      <c r="AA33" s="3">
        <f t="shared" si="4"/>
        <v>35.453982594023842</v>
      </c>
      <c r="AB33" s="2">
        <f t="shared" si="5"/>
        <v>50.517688937454437</v>
      </c>
      <c r="AC33" s="2">
        <f t="shared" si="6"/>
        <v>52.333514248510511</v>
      </c>
      <c r="AD33" s="2">
        <f t="shared" si="7"/>
        <v>0.38440893109621777</v>
      </c>
      <c r="AE33" s="2">
        <f t="shared" si="8"/>
        <v>-2.1269322187989546</v>
      </c>
    </row>
    <row r="34" spans="2:31" x14ac:dyDescent="0.2">
      <c r="B34" s="1">
        <f>[13]FormattedData!A92</f>
        <v>401</v>
      </c>
      <c r="C34" s="1" t="str">
        <f>VLOOKUP($B34,[13]TrtCodes!$B$11:I129,2)</f>
        <v>NSH</v>
      </c>
      <c r="D34" s="1">
        <f>VLOOKUP($B34,[13]TrtCodes!$B$11:J129,3)</f>
        <v>7</v>
      </c>
      <c r="E34" s="1">
        <f>VLOOKUP($B34,[13]TrtCodes!$B$11:K129,4)</f>
        <v>2</v>
      </c>
      <c r="F34" s="1">
        <f>VLOOKUP($B34,[13]TrtCodes!$B$11:L129,5)</f>
        <v>1</v>
      </c>
      <c r="G34" s="1">
        <f>VLOOKUP($B34,[13]TrtCodes!$B$11:M129,6)</f>
        <v>2</v>
      </c>
      <c r="H34" s="1">
        <f>VLOOKUP($B34,[13]TrtCodes!$B$11:N129,7)</f>
        <v>3</v>
      </c>
      <c r="I34" s="1">
        <f>[13]FormattedData!B92</f>
        <v>1</v>
      </c>
      <c r="J34" s="4">
        <f>[13]FormattedData!C92</f>
        <v>13.446</v>
      </c>
      <c r="K34" s="6">
        <f>$J$3+[13]FormattedData!D92*$J$4+$M$4*$J$5+[13]FormattedData!D92^2*$J$6+$M$5*$J$7</f>
        <v>59.748719571472819</v>
      </c>
      <c r="L34" s="6">
        <f>$J$3+[13]FormattedData!E92*$J$4+$M$4*$J$5+[13]FormattedData!E92^2*$J$6+$M$5*$J$7</f>
        <v>43.688782042135507</v>
      </c>
      <c r="M34" s="6">
        <f>$J$3+[13]FormattedData!F92*$J$4+$M$4*$J$5+[13]FormattedData!F92^2*$J$6+$M$5*$J$7</f>
        <v>57.397130521241358</v>
      </c>
      <c r="N34" s="6">
        <f>$J$3+[13]FormattedData!G92*$J$4+$M$4*$J$5+[13]FormattedData!G92^2*$J$6+$M$5*$J$7</f>
        <v>39.263881902238225</v>
      </c>
      <c r="O34" s="6">
        <f>$J$3+[13]FormattedData!H92*$J$4+$M$4*$J$5+[13]FormattedData!H92^2*$J$6+$M$5*$J$7</f>
        <v>57.058484041923556</v>
      </c>
      <c r="P34" s="6">
        <f>$J$3+[13]FormattedData!I92*$J$4+$M$4*$J$5+[13]FormattedData!I92^2*$J$6+$M$5*$J$7</f>
        <v>39.636343211900936</v>
      </c>
      <c r="Q34" s="6">
        <f>$J$3+[13]FormattedData!J92*$J$4+$M$4*$J$5+[13]FormattedData!J92^2*$J$6+$M$5*$J$7</f>
        <v>52.420564040733069</v>
      </c>
      <c r="R34" s="6">
        <f>$J$3+[13]FormattedData!K92*$J$4+$M$4*$J$5+[13]FormattedData!K92^2*$J$6+$M$5*$J$7</f>
        <v>50.671537174074956</v>
      </c>
      <c r="S34" s="6">
        <f>$J$3+[13]FormattedData!L92*$J$4+$M$4*$J$5+[13]FormattedData!L92^2*$J$6+$M$5*$J$7</f>
        <v>50.319702910922643</v>
      </c>
      <c r="T34" s="6">
        <f>$J$3+[13]FormattedData!M92*$J$4+$M$4*$J$5+[13]FormattedData!M92^2*$J$6+$M$5*$J$7</f>
        <v>51.460691556698698</v>
      </c>
      <c r="U34" s="6">
        <f>$J$3+[13]FormattedData!N92*$J$4+$M$4*$J$5+[13]FormattedData!N92^2*$J$6+$M$5*$J$7</f>
        <v>42.408246080026409</v>
      </c>
      <c r="V34" s="6">
        <f>$J$3+[13]FormattedData!O92*$J$4+$M$4*$J$5+[13]FormattedData!O92^2*$J$6+$M$5*$J$7</f>
        <v>45.32301208306589</v>
      </c>
      <c r="W34" s="5">
        <f t="shared" si="0"/>
        <v>49.116424594702842</v>
      </c>
      <c r="X34" s="4">
        <f t="shared" si="1"/>
        <v>2.024031298350645</v>
      </c>
      <c r="Y34" s="3">
        <f t="shared" si="2"/>
        <v>39.263881902238225</v>
      </c>
      <c r="Z34" s="2">
        <f t="shared" si="3"/>
        <v>43.368648051608233</v>
      </c>
      <c r="AA34" s="3">
        <f t="shared" si="4"/>
        <v>50.4956200424988</v>
      </c>
      <c r="AB34" s="2">
        <f t="shared" si="5"/>
        <v>53.580044041030689</v>
      </c>
      <c r="AC34" s="2">
        <f t="shared" si="6"/>
        <v>59.748719571472819</v>
      </c>
      <c r="AD34" s="2">
        <f t="shared" si="7"/>
        <v>1.283786343695788E-4</v>
      </c>
      <c r="AE34" s="2">
        <f t="shared" si="8"/>
        <v>-1.280713097610346</v>
      </c>
    </row>
    <row r="35" spans="2:31" x14ac:dyDescent="0.2">
      <c r="B35" s="1">
        <f>[13]FormattedData!A90</f>
        <v>402</v>
      </c>
      <c r="C35" s="1" t="str">
        <f>VLOOKUP($B35,[13]TrtCodes!$B$11:I130,2)</f>
        <v>NTH</v>
      </c>
      <c r="D35" s="1">
        <f>VLOOKUP($B35,[13]TrtCodes!$B$11:J130,3)</f>
        <v>9</v>
      </c>
      <c r="E35" s="1">
        <f>VLOOKUP($B35,[13]TrtCodes!$B$11:K130,4)</f>
        <v>2</v>
      </c>
      <c r="F35" s="1">
        <f>VLOOKUP($B35,[13]TrtCodes!$B$11:L130,5)</f>
        <v>2</v>
      </c>
      <c r="G35" s="1">
        <f>VLOOKUP($B35,[13]TrtCodes!$B$11:M130,6)</f>
        <v>2</v>
      </c>
      <c r="H35" s="1">
        <f>VLOOKUP($B35,[13]TrtCodes!$B$11:N130,7)</f>
        <v>3</v>
      </c>
      <c r="I35" s="1">
        <f>[13]FormattedData!B90</f>
        <v>1</v>
      </c>
      <c r="J35" s="4">
        <f>[13]FormattedData!C90</f>
        <v>13.43</v>
      </c>
      <c r="K35" s="6">
        <f>$J$3+[13]FormattedData!D90*$J$4+$M$4*$J$5+[13]FormattedData!D90^2*$J$6+$M$5*$J$7</f>
        <v>48.905602892244389</v>
      </c>
      <c r="L35" s="6">
        <f>$J$3+[13]FormattedData!E90*$J$4+$M$4*$J$5+[13]FormattedData!E90^2*$J$6+$M$5*$J$7</f>
        <v>33.500049553433357</v>
      </c>
      <c r="M35" s="6">
        <f>$J$3+[13]FormattedData!F90*$J$4+$M$4*$J$5+[13]FormattedData!F90^2*$J$6+$M$5*$J$7</f>
        <v>44.235047056477818</v>
      </c>
      <c r="N35" s="6">
        <f>$J$3+[13]FormattedData!G90*$J$4+$M$4*$J$5+[13]FormattedData!G90^2*$J$6+$M$5*$J$7</f>
        <v>31.092384502696365</v>
      </c>
      <c r="O35" s="6">
        <f>$J$3+[13]FormattedData!H90*$J$4+$M$4*$J$5+[13]FormattedData!H90^2*$J$6+$M$5*$J$7</f>
        <v>43.779931882537383</v>
      </c>
      <c r="P35" s="6">
        <f>$J$3+[13]FormattedData!I90*$J$4+$M$4*$J$5+[13]FormattedData!I90^2*$J$6+$M$5*$J$7</f>
        <v>31.092384502696365</v>
      </c>
      <c r="Q35" s="6">
        <f>$J$3+[13]FormattedData!J90*$J$4+$M$4*$J$5+[13]FormattedData!J90^2*$J$6+$M$5*$J$7</f>
        <v>40.193767120257071</v>
      </c>
      <c r="R35" s="6">
        <f>$J$3+[13]FormattedData!K90*$J$4+$M$4*$J$5+[13]FormattedData!K90^2*$J$6+$M$5*$J$7</f>
        <v>30.510613916491899</v>
      </c>
      <c r="S35" s="6">
        <f>$J$3+[13]FormattedData!L90*$J$4+$M$4*$J$5+[13]FormattedData!L90^2*$J$6+$M$5*$J$7</f>
        <v>44.779790403454612</v>
      </c>
      <c r="T35" s="6">
        <f>$J$3+[13]FormattedData!M90*$J$4+$M$4*$J$5+[13]FormattedData!M90^2*$J$6+$M$5*$J$7</f>
        <v>37.485455005802379</v>
      </c>
      <c r="U35" s="6">
        <f>$J$3+[13]FormattedData!N90*$J$4+$M$4*$J$5+[13]FormattedData!N90^2*$J$6+$M$5*$J$7</f>
        <v>45.594052297609451</v>
      </c>
      <c r="V35" s="6">
        <f>$J$3+[13]FormattedData!O90*$J$4+$M$4*$J$5+[13]FormattedData!O90^2*$J$6+$M$5*$J$7</f>
        <v>31.576030939740328</v>
      </c>
      <c r="W35" s="5">
        <f t="shared" si="0"/>
        <v>38.562092506120116</v>
      </c>
      <c r="X35" s="4">
        <f t="shared" si="1"/>
        <v>1.9640228545422496</v>
      </c>
      <c r="Y35" s="3">
        <f t="shared" si="2"/>
        <v>30.510613916491899</v>
      </c>
      <c r="Z35" s="2">
        <f t="shared" si="3"/>
        <v>31.455119330479338</v>
      </c>
      <c r="AA35" s="3">
        <f t="shared" si="4"/>
        <v>38.839611063029722</v>
      </c>
      <c r="AB35" s="2">
        <f t="shared" si="5"/>
        <v>44.371232893222015</v>
      </c>
      <c r="AC35" s="2">
        <f t="shared" si="6"/>
        <v>48.905602892244389</v>
      </c>
      <c r="AD35" s="2">
        <f t="shared" si="7"/>
        <v>6.7988463486481562E-2</v>
      </c>
      <c r="AE35" s="2">
        <f t="shared" si="8"/>
        <v>-1.7800461115850226</v>
      </c>
    </row>
    <row r="36" spans="2:31" x14ac:dyDescent="0.2">
      <c r="B36" s="1">
        <f>[13]FormattedData!A88</f>
        <v>403</v>
      </c>
      <c r="C36" s="1" t="str">
        <f>VLOOKUP($B36,[13]TrtCodes!$B$11:I131,2)</f>
        <v>FDL</v>
      </c>
      <c r="D36" s="1">
        <f>VLOOKUP($B36,[13]TrtCodes!$B$11:J131,3)</f>
        <v>6</v>
      </c>
      <c r="E36" s="1">
        <f>VLOOKUP($B36,[13]TrtCodes!$B$11:K131,4)</f>
        <v>1</v>
      </c>
      <c r="F36" s="1">
        <f>VLOOKUP($B36,[13]TrtCodes!$B$11:L131,5)</f>
        <v>3</v>
      </c>
      <c r="G36" s="1">
        <f>VLOOKUP($B36,[13]TrtCodes!$B$11:M131,6)</f>
        <v>1</v>
      </c>
      <c r="H36" s="1">
        <f>VLOOKUP($B36,[13]TrtCodes!$B$11:N131,7)</f>
        <v>3</v>
      </c>
      <c r="I36" s="1">
        <f>[13]FormattedData!B88</f>
        <v>1</v>
      </c>
      <c r="J36" s="4">
        <f>[13]FormattedData!C88</f>
        <v>13.416</v>
      </c>
      <c r="K36" s="6">
        <f>$J$3+[13]FormattedData!D88*$J$4+$M$4*$J$5+[13]FormattedData!D88^2*$J$6+$M$5*$J$7</f>
        <v>47.301806198624433</v>
      </c>
      <c r="L36" s="6">
        <f>$J$3+[13]FormattedData!E88*$J$4+$M$4*$J$5+[13]FormattedData!E88^2*$J$6+$M$5*$J$7</f>
        <v>32.443931608529788</v>
      </c>
      <c r="M36" s="6">
        <f>$J$3+[13]FormattedData!F88*$J$4+$M$4*$J$5+[13]FormattedData!F88^2*$J$6+$M$5*$J$7</f>
        <v>45.774534431282177</v>
      </c>
      <c r="N36" s="6">
        <f>$J$3+[13]FormattedData!G88*$J$4+$M$4*$J$5+[13]FormattedData!G88^2*$J$6+$M$5*$J$7</f>
        <v>31.769193634792387</v>
      </c>
      <c r="O36" s="6">
        <f>$J$3+[13]FormattedData!H88*$J$4+$M$4*$J$5+[13]FormattedData!H88^2*$J$6+$M$5*$J$7</f>
        <v>42.59168701135431</v>
      </c>
      <c r="P36" s="6">
        <f>$J$3+[13]FormattedData!I88*$J$4+$M$4*$J$5+[13]FormattedData!I88^2*$J$6+$M$5*$J$7</f>
        <v>31.769193634792387</v>
      </c>
      <c r="Q36" s="6">
        <f>$J$3+[13]FormattedData!J88*$J$4+$M$4*$J$5+[13]FormattedData!J88^2*$J$6+$M$5*$J$7</f>
        <v>35.502072492231683</v>
      </c>
      <c r="R36" s="6">
        <f>$J$3+[13]FormattedData!K88*$J$4+$M$4*$J$5+[13]FormattedData!K88^2*$J$6+$M$5*$J$7</f>
        <v>33.691521506968179</v>
      </c>
      <c r="S36" s="6">
        <f>$J$3+[13]FormattedData!L88*$J$4+$M$4*$J$5+[13]FormattedData!L88^2*$J$6+$M$5*$J$7</f>
        <v>41.580669596423256</v>
      </c>
      <c r="T36" s="6">
        <f>$J$3+[13]FormattedData!M88*$J$4+$M$4*$J$5+[13]FormattedData!M88^2*$J$6+$M$5*$J$7</f>
        <v>37.579436838245648</v>
      </c>
      <c r="U36" s="6">
        <f>$J$3+[13]FormattedData!N88*$J$4+$M$4*$J$5+[13]FormattedData!N88^2*$J$6+$M$5*$J$7</f>
        <v>37.579436838245648</v>
      </c>
      <c r="V36" s="6">
        <f>$J$3+[13]FormattedData!O88*$J$4+$M$4*$J$5+[13]FormattedData!O88^2*$J$6+$M$5*$J$7</f>
        <v>32.251360673008747</v>
      </c>
      <c r="W36" s="5">
        <f t="shared" si="0"/>
        <v>37.486237038708225</v>
      </c>
      <c r="X36" s="4">
        <f t="shared" si="1"/>
        <v>1.6153228439231286</v>
      </c>
      <c r="Y36" s="3">
        <f t="shared" si="2"/>
        <v>31.769193634792387</v>
      </c>
      <c r="Z36" s="2">
        <f t="shared" si="3"/>
        <v>32.395788874649526</v>
      </c>
      <c r="AA36" s="3">
        <f t="shared" si="4"/>
        <v>36.540754665238666</v>
      </c>
      <c r="AB36" s="2">
        <f t="shared" si="5"/>
        <v>41.833423950156018</v>
      </c>
      <c r="AC36" s="2">
        <f t="shared" si="6"/>
        <v>47.301806198624433</v>
      </c>
      <c r="AD36" s="2">
        <f t="shared" si="7"/>
        <v>0.62821281660571582</v>
      </c>
      <c r="AE36" s="2">
        <f t="shared" si="8"/>
        <v>-1.0247056537342112</v>
      </c>
    </row>
    <row r="37" spans="2:31" x14ac:dyDescent="0.2">
      <c r="B37" s="1">
        <f>[13]FormattedData!A86</f>
        <v>404</v>
      </c>
      <c r="C37" s="1" t="str">
        <f>VLOOKUP($B37,[13]TrtCodes!$B$11:I129,2)</f>
        <v>FTH</v>
      </c>
      <c r="D37" s="1">
        <f>VLOOKUP($B37,[13]TrtCodes!$B$11:J129,3)</f>
        <v>3</v>
      </c>
      <c r="E37" s="1">
        <f>VLOOKUP($B37,[13]TrtCodes!$B$11:K129,4)</f>
        <v>1</v>
      </c>
      <c r="F37" s="1">
        <f>VLOOKUP($B37,[13]TrtCodes!$B$11:L129,5)</f>
        <v>2</v>
      </c>
      <c r="G37" s="1">
        <f>VLOOKUP($B37,[13]TrtCodes!$B$11:M129,6)</f>
        <v>2</v>
      </c>
      <c r="H37" s="1">
        <f>VLOOKUP($B37,[13]TrtCodes!$B$11:N129,7)</f>
        <v>3</v>
      </c>
      <c r="I37" s="1">
        <f>[13]FormattedData!B86</f>
        <v>1</v>
      </c>
      <c r="J37" s="4">
        <f>[13]FormattedData!C86</f>
        <v>13.401</v>
      </c>
      <c r="K37" s="6">
        <f>$J$3+[13]FormattedData!D86*$J$4+$M$4*$J$5+[13]FormattedData!D86^2*$J$6+$M$5*$J$7</f>
        <v>51.198020512665501</v>
      </c>
      <c r="L37" s="6">
        <f>$J$3+[13]FormattedData!E86*$J$4+$M$4*$J$5+[13]FormattedData!E86^2*$J$6+$M$5*$J$7</f>
        <v>34.741595050947595</v>
      </c>
      <c r="M37" s="6">
        <f>$J$3+[13]FormattedData!F86*$J$4+$M$4*$J$5+[13]FormattedData!F86^2*$J$6+$M$5*$J$7</f>
        <v>48.283531516769202</v>
      </c>
      <c r="N37" s="6">
        <f>$J$3+[13]FormattedData!G86*$J$4+$M$4*$J$5+[13]FormattedData!G86^2*$J$6+$M$5*$J$7</f>
        <v>32.251360673008747</v>
      </c>
      <c r="O37" s="6">
        <f>$J$3+[13]FormattedData!H86*$J$4+$M$4*$J$5+[13]FormattedData!H86^2*$J$6+$M$5*$J$7</f>
        <v>50.583642011093772</v>
      </c>
      <c r="P37" s="6">
        <f>$J$3+[13]FormattedData!I86*$J$4+$M$4*$J$5+[13]FormattedData!I86^2*$J$6+$M$5*$J$7</f>
        <v>34.741595050947595</v>
      </c>
      <c r="Q37" s="6">
        <f>$J$3+[13]FormattedData!J86*$J$4+$M$4*$J$5+[13]FormattedData!J86^2*$J$6+$M$5*$J$7</f>
        <v>46.40489044019187</v>
      </c>
      <c r="R37" s="6">
        <f>$J$3+[13]FormattedData!K86*$J$4+$M$4*$J$5+[13]FormattedData!K86^2*$J$6+$M$5*$J$7</f>
        <v>40.65712465909408</v>
      </c>
      <c r="S37" s="6">
        <f>$J$3+[13]FormattedData!L86*$J$4+$M$4*$J$5+[13]FormattedData!L86^2*$J$6+$M$5*$J$7</f>
        <v>38.329769830426258</v>
      </c>
      <c r="T37" s="6">
        <f>$J$3+[13]FormattedData!M86*$J$4+$M$4*$J$5+[13]FormattedData!M86^2*$J$6+$M$5*$J$7</f>
        <v>35.881296767963384</v>
      </c>
      <c r="U37" s="6">
        <f>$J$3+[13]FormattedData!N86*$J$4+$M$4*$J$5+[13]FormattedData!N86^2*$J$6+$M$5*$J$7</f>
        <v>50.231638673789732</v>
      </c>
      <c r="V37" s="6">
        <f>$J$3+[13]FormattedData!O86*$J$4+$M$4*$J$5+[13]FormattedData!O86^2*$J$6+$M$5*$J$7</f>
        <v>34.646345162366401</v>
      </c>
      <c r="W37" s="5">
        <f t="shared" si="0"/>
        <v>41.495900862438681</v>
      </c>
      <c r="X37" s="4">
        <f t="shared" si="1"/>
        <v>2.1125030563660365</v>
      </c>
      <c r="Y37" s="3">
        <f t="shared" si="2"/>
        <v>32.251360673008747</v>
      </c>
      <c r="Z37" s="2">
        <f t="shared" si="3"/>
        <v>34.741595050947595</v>
      </c>
      <c r="AA37" s="3">
        <f t="shared" si="4"/>
        <v>39.493447244760169</v>
      </c>
      <c r="AB37" s="2">
        <f t="shared" si="5"/>
        <v>48.770558306024334</v>
      </c>
      <c r="AC37" s="2">
        <f t="shared" si="6"/>
        <v>51.198020512665501</v>
      </c>
      <c r="AD37" s="2">
        <f t="shared" si="7"/>
        <v>0.22950792768963557</v>
      </c>
      <c r="AE37" s="2">
        <f t="shared" si="8"/>
        <v>-1.8920605313114969</v>
      </c>
    </row>
    <row r="38" spans="2:31" x14ac:dyDescent="0.2">
      <c r="B38" s="1">
        <f>[13]FormattedData!A84</f>
        <v>405</v>
      </c>
      <c r="C38" s="1" t="str">
        <f>VLOOKUP($B38,[13]TrtCodes!$B$11:I127,2)</f>
        <v>FDL</v>
      </c>
      <c r="D38" s="1">
        <f>VLOOKUP($B38,[13]TrtCodes!$B$11:J127,3)</f>
        <v>6</v>
      </c>
      <c r="E38" s="1">
        <f>VLOOKUP($B38,[13]TrtCodes!$B$11:K127,4)</f>
        <v>1</v>
      </c>
      <c r="F38" s="1">
        <f>VLOOKUP($B38,[13]TrtCodes!$B$11:L127,5)</f>
        <v>3</v>
      </c>
      <c r="G38" s="1">
        <f>VLOOKUP($B38,[13]TrtCodes!$B$11:M127,6)</f>
        <v>1</v>
      </c>
      <c r="H38" s="1">
        <f>VLOOKUP($B38,[13]TrtCodes!$B$11:N127,7)</f>
        <v>4</v>
      </c>
      <c r="I38" s="1">
        <f>[13]FormattedData!B84</f>
        <v>1</v>
      </c>
      <c r="J38" s="4">
        <f>[13]FormattedData!C84</f>
        <v>13.381</v>
      </c>
      <c r="K38" s="6">
        <f>$J$3+[13]FormattedData!D84*$J$4+$M$4*$J$5+[13]FormattedData!D84^2*$J$6+$M$5*$J$7</f>
        <v>45.684314498714777</v>
      </c>
      <c r="L38" s="6">
        <f>$J$3+[13]FormattedData!E84*$J$4+$M$4*$J$5+[13]FormattedData!E84^2*$J$6+$M$5*$J$7</f>
        <v>32.347667275038233</v>
      </c>
      <c r="M38" s="6">
        <f>$J$3+[13]FormattedData!F84*$J$4+$M$4*$J$5+[13]FormattedData!F84^2*$J$6+$M$5*$J$7</f>
        <v>40.286523165100341</v>
      </c>
      <c r="N38" s="6">
        <f>$J$3+[13]FormattedData!G84*$J$4+$M$4*$J$5+[13]FormattedData!G84^2*$J$6+$M$5*$J$7</f>
        <v>33.500049553433357</v>
      </c>
      <c r="O38" s="6">
        <f>$J$3+[13]FormattedData!H84*$J$4+$M$4*$J$5+[13]FormattedData!H84^2*$J$6+$M$5*$J$7</f>
        <v>38.236126146286445</v>
      </c>
      <c r="P38" s="6">
        <f>$J$3+[13]FormattedData!I84*$J$4+$M$4*$J$5+[13]FormattedData!I84^2*$J$6+$M$5*$J$7</f>
        <v>32.251360673008747</v>
      </c>
      <c r="Q38" s="6">
        <f>$J$3+[13]FormattedData!J84*$J$4+$M$4*$J$5+[13]FormattedData!J84^2*$J$6+$M$5*$J$7</f>
        <v>39.729352867971784</v>
      </c>
      <c r="R38" s="6">
        <f>$J$3+[13]FormattedData!K84*$J$4+$M$4*$J$5+[13]FormattedData!K84^2*$J$6+$M$5*$J$7</f>
        <v>32.828566257116663</v>
      </c>
      <c r="S38" s="6">
        <f>$J$3+[13]FormattedData!L84*$J$4+$M$4*$J$5+[13]FormattedData!L84^2*$J$6+$M$5*$J$7</f>
        <v>46.044940617756779</v>
      </c>
      <c r="T38" s="6">
        <f>$J$3+[13]FormattedData!M84*$J$4+$M$4*$J$5+[13]FormattedData!M84^2*$J$6+$M$5*$J$7</f>
        <v>31.38269917053654</v>
      </c>
      <c r="U38" s="6">
        <f>$J$3+[13]FormattedData!N84*$J$4+$M$4*$J$5+[13]FormattedData!N84^2*$J$6+$M$5*$J$7</f>
        <v>44.05312779251544</v>
      </c>
      <c r="V38" s="6">
        <f>$J$3+[13]FormattedData!O84*$J$4+$M$4*$J$5+[13]FormattedData!O84^2*$J$6+$M$5*$J$7</f>
        <v>35.975997165551476</v>
      </c>
      <c r="W38" s="5">
        <f t="shared" si="0"/>
        <v>37.693393765252544</v>
      </c>
      <c r="X38" s="4">
        <f t="shared" si="1"/>
        <v>1.5749720764280519</v>
      </c>
      <c r="Y38" s="3">
        <f t="shared" si="2"/>
        <v>31.38269917053654</v>
      </c>
      <c r="Z38" s="2">
        <f t="shared" si="3"/>
        <v>32.708341511597055</v>
      </c>
      <c r="AA38" s="3">
        <f t="shared" si="4"/>
        <v>37.106061655918964</v>
      </c>
      <c r="AB38" s="2">
        <f t="shared" si="5"/>
        <v>41.228174321954114</v>
      </c>
      <c r="AC38" s="2">
        <f t="shared" si="6"/>
        <v>46.044940617756779</v>
      </c>
      <c r="AD38" s="2">
        <f t="shared" si="7"/>
        <v>0.41435128925101372</v>
      </c>
      <c r="AE38" s="2">
        <f t="shared" si="8"/>
        <v>-1.4015493543643629</v>
      </c>
    </row>
    <row r="39" spans="2:31" x14ac:dyDescent="0.2">
      <c r="B39" s="1">
        <f>[13]FormattedData!A82</f>
        <v>406</v>
      </c>
      <c r="C39" s="1" t="str">
        <f>VLOOKUP($B39,[13]TrtCodes!$B$11:I125,2)</f>
        <v>FTH</v>
      </c>
      <c r="D39" s="1">
        <f>VLOOKUP($B39,[13]TrtCodes!$B$11:J125,3)</f>
        <v>3</v>
      </c>
      <c r="E39" s="1">
        <f>VLOOKUP($B39,[13]TrtCodes!$B$11:K125,4)</f>
        <v>1</v>
      </c>
      <c r="F39" s="1">
        <f>VLOOKUP($B39,[13]TrtCodes!$B$11:L125,5)</f>
        <v>2</v>
      </c>
      <c r="G39" s="1">
        <f>VLOOKUP($B39,[13]TrtCodes!$B$11:M125,6)</f>
        <v>2</v>
      </c>
      <c r="H39" s="1">
        <f>VLOOKUP($B39,[13]TrtCodes!$B$11:N125,7)</f>
        <v>4</v>
      </c>
      <c r="I39" s="1">
        <f>[13]FormattedData!B82</f>
        <v>1</v>
      </c>
      <c r="J39" s="4">
        <f>[13]FormattedData!C82</f>
        <v>13.366</v>
      </c>
      <c r="K39" s="6">
        <f>$J$3+[13]FormattedData!D82*$J$4+$M$4*$J$5+[13]FormattedData!D82^2*$J$6+$M$5*$J$7</f>
        <v>56.038486824328764</v>
      </c>
      <c r="L39" s="6">
        <f>$J$3+[13]FormattedData!E82*$J$4+$M$4*$J$5+[13]FormattedData!E82^2*$J$6+$M$5*$J$7</f>
        <v>37.297364535302059</v>
      </c>
      <c r="M39" s="6">
        <f>$J$3+[13]FormattedData!F82*$J$4+$M$4*$J$5+[13]FormattedData!F82^2*$J$6+$M$5*$J$7</f>
        <v>48.550387146057588</v>
      </c>
      <c r="N39" s="6">
        <f>$J$3+[13]FormattedData!G82*$J$4+$M$4*$J$5+[13]FormattedData!G82^2*$J$6+$M$5*$J$7</f>
        <v>31.962187255692733</v>
      </c>
      <c r="O39" s="6">
        <f>$J$3+[13]FormattedData!H82*$J$4+$M$4*$J$5+[13]FormattedData!H82^2*$J$6+$M$5*$J$7</f>
        <v>46.764163966020064</v>
      </c>
      <c r="P39" s="6">
        <f>$J$3+[13]FormattedData!I82*$J$4+$M$4*$J$5+[13]FormattedData!I82^2*$J$6+$M$5*$J$7</f>
        <v>31.962187255692733</v>
      </c>
      <c r="Q39" s="6">
        <f>$J$3+[13]FormattedData!J82*$J$4+$M$4*$J$5+[13]FormattedData!J82^2*$J$6+$M$5*$J$7</f>
        <v>43.32375999514867</v>
      </c>
      <c r="R39" s="6">
        <f>$J$3+[13]FormattedData!K82*$J$4+$M$4*$J$5+[13]FormattedData!K82^2*$J$6+$M$5*$J$7</f>
        <v>34.741595050947595</v>
      </c>
      <c r="S39" s="6">
        <f>$J$3+[13]FormattedData!L82*$J$4+$M$4*$J$5+[13]FormattedData!L82^2*$J$6+$M$5*$J$7</f>
        <v>46.044940617756779</v>
      </c>
      <c r="T39" s="6">
        <f>$J$3+[13]FormattedData!M82*$J$4+$M$4*$J$5+[13]FormattedData!M82^2*$J$6+$M$5*$J$7</f>
        <v>35.596941963971503</v>
      </c>
      <c r="U39" s="6">
        <f>$J$3+[13]FormattedData!N82*$J$4+$M$4*$J$5+[13]FormattedData!N82^2*$J$6+$M$5*$J$7</f>
        <v>45.142107264013852</v>
      </c>
      <c r="V39" s="6">
        <f>$J$3+[13]FormattedData!O82*$J$4+$M$4*$J$5+[13]FormattedData!O82^2*$J$6+$M$5*$J$7</f>
        <v>36.354376070524552</v>
      </c>
      <c r="W39" s="5">
        <f t="shared" si="0"/>
        <v>41.148208162121406</v>
      </c>
      <c r="X39" s="4">
        <f t="shared" si="1"/>
        <v>2.1866518050858192</v>
      </c>
      <c r="Y39" s="3">
        <f t="shared" si="2"/>
        <v>31.962187255692733</v>
      </c>
      <c r="Z39" s="2">
        <f t="shared" si="3"/>
        <v>35.383105235715526</v>
      </c>
      <c r="AA39" s="3">
        <f t="shared" si="4"/>
        <v>40.310562265225364</v>
      </c>
      <c r="AB39" s="2">
        <f t="shared" si="5"/>
        <v>46.224746454822601</v>
      </c>
      <c r="AC39" s="2">
        <f t="shared" si="6"/>
        <v>56.038486824328764</v>
      </c>
      <c r="AD39" s="2">
        <f t="shared" si="7"/>
        <v>0.48293203136589569</v>
      </c>
      <c r="AE39" s="2">
        <f t="shared" si="8"/>
        <v>-0.60474704787460487</v>
      </c>
    </row>
    <row r="40" spans="2:31" x14ac:dyDescent="0.2">
      <c r="B40" s="1">
        <f>[13]FormattedData!A80</f>
        <v>407</v>
      </c>
      <c r="C40" s="1" t="str">
        <f>VLOOKUP($B40,[13]TrtCodes!$B$11:I123,2)</f>
        <v>NSH</v>
      </c>
      <c r="D40" s="1">
        <f>VLOOKUP($B40,[13]TrtCodes!$B$11:J123,3)</f>
        <v>7</v>
      </c>
      <c r="E40" s="1">
        <f>VLOOKUP($B40,[13]TrtCodes!$B$11:K123,4)</f>
        <v>2</v>
      </c>
      <c r="F40" s="1">
        <f>VLOOKUP($B40,[13]TrtCodes!$B$11:L123,5)</f>
        <v>1</v>
      </c>
      <c r="G40" s="1">
        <f>VLOOKUP($B40,[13]TrtCodes!$B$11:M123,6)</f>
        <v>2</v>
      </c>
      <c r="H40" s="1">
        <f>VLOOKUP($B40,[13]TrtCodes!$B$11:N123,7)</f>
        <v>4</v>
      </c>
      <c r="I40" s="1">
        <f>[13]FormattedData!B80</f>
        <v>1</v>
      </c>
      <c r="J40" s="4">
        <f>[13]FormattedData!C80</f>
        <v>13.349</v>
      </c>
      <c r="K40" s="6">
        <f>$J$3+[13]FormattedData!D80*$J$4+$M$4*$J$5+[13]FormattedData!D80^2*$J$6+$M$5*$J$7</f>
        <v>59.498348671977574</v>
      </c>
      <c r="L40" s="6">
        <f>$J$3+[13]FormattedData!E80*$J$4+$M$4*$J$5+[13]FormattedData!E80^2*$J$6+$M$5*$J$7</f>
        <v>44.325943285652109</v>
      </c>
      <c r="M40" s="6">
        <f>$J$3+[13]FormattedData!F80*$J$4+$M$4*$J$5+[13]FormattedData!F80^2*$J$6+$M$5*$J$7</f>
        <v>59.331223396291101</v>
      </c>
      <c r="N40" s="6">
        <f>$J$3+[13]FormattedData!G80*$J$4+$M$4*$J$5+[13]FormattedData!G80^2*$J$6+$M$5*$J$7</f>
        <v>37.391430904821185</v>
      </c>
      <c r="O40" s="6">
        <f>$J$3+[13]FormattedData!H80*$J$4+$M$4*$J$5+[13]FormattedData!H80^2*$J$6+$M$5*$J$7</f>
        <v>58.493060905582823</v>
      </c>
      <c r="P40" s="6">
        <f>$J$3+[13]FormattedData!I80*$J$4+$M$4*$J$5+[13]FormattedData!I80^2*$J$6+$M$5*$J$7</f>
        <v>45.32301208306589</v>
      </c>
      <c r="Q40" s="6">
        <f>$J$3+[13]FormattedData!J80*$J$4+$M$4*$J$5+[13]FormattedData!J80^2*$J$6+$M$5*$J$7</f>
        <v>60.248320119939152</v>
      </c>
      <c r="R40" s="6">
        <f>$J$3+[13]FormattedData!K80*$J$4+$M$4*$J$5+[13]FormattedData!K80^2*$J$6+$M$5*$J$7</f>
        <v>40.564537688402545</v>
      </c>
      <c r="S40" s="6">
        <f>$J$3+[13]FormattedData!L80*$J$4+$M$4*$J$5+[13]FormattedData!L80^2*$J$6+$M$5*$J$7</f>
        <v>56.208909045973869</v>
      </c>
      <c r="T40" s="6">
        <f>$J$3+[13]FormattedData!M80*$J$4+$M$4*$J$5+[13]FormattedData!M80^2*$J$6+$M$5*$J$7</f>
        <v>37.954941482639398</v>
      </c>
      <c r="U40" s="6">
        <f>$J$3+[13]FormattedData!N80*$J$4+$M$4*$J$5+[13]FormattedData!N80^2*$J$6+$M$5*$J$7</f>
        <v>57.903832184080123</v>
      </c>
      <c r="V40" s="6">
        <f>$J$3+[13]FormattedData!O80*$J$4+$M$4*$J$5+[13]FormattedData!O80^2*$J$6+$M$5*$J$7</f>
        <v>43.506355555717946</v>
      </c>
      <c r="W40" s="5">
        <f t="shared" si="0"/>
        <v>50.062492943678642</v>
      </c>
      <c r="X40" s="4">
        <f t="shared" si="1"/>
        <v>2.6752919818012062</v>
      </c>
      <c r="Y40" s="3">
        <f t="shared" si="2"/>
        <v>37.391430904821185</v>
      </c>
      <c r="Z40" s="2">
        <f t="shared" si="3"/>
        <v>42.770901088889097</v>
      </c>
      <c r="AA40" s="3">
        <f t="shared" si="4"/>
        <v>50.765960564519879</v>
      </c>
      <c r="AB40" s="2">
        <f t="shared" si="5"/>
        <v>58.702601528259891</v>
      </c>
      <c r="AC40" s="2">
        <f t="shared" si="6"/>
        <v>60.248320119939152</v>
      </c>
      <c r="AD40" s="2">
        <f t="shared" si="7"/>
        <v>-0.16946244364590204</v>
      </c>
      <c r="AE40" s="2">
        <f t="shared" si="8"/>
        <v>-2.0002655971628469</v>
      </c>
    </row>
    <row r="41" spans="2:31" x14ac:dyDescent="0.2">
      <c r="B41" s="1">
        <f>[13]FormattedData!A78</f>
        <v>408</v>
      </c>
      <c r="C41" s="1" t="str">
        <f>VLOOKUP($B41,[13]TrtCodes!$B$11:I121,2)</f>
        <v>NTL</v>
      </c>
      <c r="D41" s="1">
        <f>VLOOKUP($B41,[13]TrtCodes!$B$11:J121,3)</f>
        <v>10</v>
      </c>
      <c r="E41" s="1">
        <f>VLOOKUP($B41,[13]TrtCodes!$B$11:K121,4)</f>
        <v>2</v>
      </c>
      <c r="F41" s="1">
        <f>VLOOKUP($B41,[13]TrtCodes!$B$11:L121,5)</f>
        <v>2</v>
      </c>
      <c r="G41" s="1">
        <f>VLOOKUP($B41,[13]TrtCodes!$B$11:M121,6)</f>
        <v>1</v>
      </c>
      <c r="H41" s="1">
        <f>VLOOKUP($B41,[13]TrtCodes!$B$11:N121,7)</f>
        <v>4</v>
      </c>
      <c r="I41" s="1">
        <f>[13]FormattedData!B78</f>
        <v>1</v>
      </c>
      <c r="J41" s="4">
        <f>[13]FormattedData!C78</f>
        <v>13.334</v>
      </c>
      <c r="K41" s="6">
        <f>$J$3+[13]FormattedData!D78*$J$4+$M$4*$J$5+[13]FormattedData!D78^2*$J$6+$M$5*$J$7</f>
        <v>46.134991476172438</v>
      </c>
      <c r="L41" s="6">
        <f>$J$3+[13]FormattedData!E78*$J$4+$M$4*$J$5+[13]FormattedData!E78^2*$J$6+$M$5*$J$7</f>
        <v>33.691521506968179</v>
      </c>
      <c r="M41" s="6">
        <f>$J$3+[13]FormattedData!F78*$J$4+$M$4*$J$5+[13]FormattedData!F78^2*$J$6+$M$5*$J$7</f>
        <v>40.74966936124769</v>
      </c>
      <c r="N41" s="6">
        <f>$J$3+[13]FormattedData!G78*$J$4+$M$4*$J$5+[13]FormattedData!G78^2*$J$6+$M$5*$J$7</f>
        <v>33.787194080928685</v>
      </c>
      <c r="O41" s="6">
        <f>$J$3+[13]FormattedData!H78*$J$4+$M$4*$J$5+[13]FormattedData!H78^2*$J$6+$M$5*$J$7</f>
        <v>45.23258080780883</v>
      </c>
      <c r="P41" s="6">
        <f>$J$3+[13]FormattedData!I78*$J$4+$M$4*$J$5+[13]FormattedData!I78^2*$J$6+$M$5*$J$7</f>
        <v>34.741595050947595</v>
      </c>
      <c r="Q41" s="6">
        <f>$J$3+[13]FormattedData!J78*$J$4+$M$4*$J$5+[13]FormattedData!J78^2*$J$6+$M$5*$J$7</f>
        <v>42.31646221155556</v>
      </c>
      <c r="R41" s="6">
        <f>$J$3+[13]FormattedData!K78*$J$4+$M$4*$J$5+[13]FormattedData!K78^2*$J$6+$M$5*$J$7</f>
        <v>37.391430904821185</v>
      </c>
      <c r="S41" s="6">
        <f>$J$3+[13]FormattedData!L78*$J$4+$M$4*$J$5+[13]FormattedData!L78^2*$J$6+$M$5*$J$7</f>
        <v>40.65712465909408</v>
      </c>
      <c r="T41" s="6">
        <f>$J$3+[13]FormattedData!M78*$J$4+$M$4*$J$5+[13]FormattedData!M78^2*$J$6+$M$5*$J$7</f>
        <v>36.732078678890723</v>
      </c>
      <c r="U41" s="6">
        <f>$J$3+[13]FormattedData!N78*$J$4+$M$4*$J$5+[13]FormattedData!N78^2*$J$6+$M$5*$J$7</f>
        <v>40.934631959941115</v>
      </c>
      <c r="V41" s="6">
        <f>$J$3+[13]FormattedData!O78*$J$4+$M$4*$J$5+[13]FormattedData!O78^2*$J$6+$M$5*$J$7</f>
        <v>32.155011802441344</v>
      </c>
      <c r="W41" s="5">
        <f t="shared" si="0"/>
        <v>38.710357708401446</v>
      </c>
      <c r="X41" s="4">
        <f t="shared" si="1"/>
        <v>1.3409847966646815</v>
      </c>
      <c r="Y41" s="3">
        <f t="shared" si="2"/>
        <v>32.155011802441344</v>
      </c>
      <c r="Z41" s="2">
        <f t="shared" si="3"/>
        <v>34.502994808442864</v>
      </c>
      <c r="AA41" s="3">
        <f t="shared" si="4"/>
        <v>39.024277781957636</v>
      </c>
      <c r="AB41" s="2">
        <f t="shared" si="5"/>
        <v>41.280089522844726</v>
      </c>
      <c r="AC41" s="2">
        <f t="shared" si="6"/>
        <v>46.134991476172438</v>
      </c>
      <c r="AD41" s="2">
        <f t="shared" si="7"/>
        <v>0.17467155619589281</v>
      </c>
      <c r="AE41" s="2">
        <f t="shared" si="8"/>
        <v>-1.1878437608593644</v>
      </c>
    </row>
    <row r="42" spans="2:31" x14ac:dyDescent="0.2">
      <c r="B42" s="17">
        <f>[13]FormattedData!A60</f>
        <v>901</v>
      </c>
      <c r="C42" s="17" t="str">
        <f>VLOOKUP($B42,[13]TrtCodes!$B$11:I103,2)</f>
        <v>WS</v>
      </c>
      <c r="D42" s="17">
        <f>VLOOKUP($B42,[13]TrtCodes!$B$11:J103,3)</f>
        <v>32</v>
      </c>
      <c r="E42" s="17">
        <f>VLOOKUP($B42,[13]TrtCodes!$B$11:K103,4)</f>
        <v>9</v>
      </c>
      <c r="F42" s="17">
        <f>VLOOKUP($B42,[13]TrtCodes!$B$11:L103,5)</f>
        <v>0</v>
      </c>
      <c r="G42" s="17">
        <f>VLOOKUP($B42,[13]TrtCodes!$B$11:M103,6)</f>
        <v>1</v>
      </c>
      <c r="H42" s="17">
        <f>VLOOKUP($B42,[13]TrtCodes!$B$11:N103,7)</f>
        <v>1</v>
      </c>
      <c r="I42" s="17">
        <f>[13]FormattedData!B60</f>
        <v>1</v>
      </c>
      <c r="J42" s="15">
        <f>[13]FormattedData!C60</f>
        <v>13.202999999999999</v>
      </c>
      <c r="K42" s="14">
        <f>$J$3+[13]FormattedData!D60*$J$4+$M$4*$J$5+[13]FormattedData!D60^2*$J$6+$M$5*$J$7</f>
        <v>38.516930393092103</v>
      </c>
      <c r="L42" s="14">
        <f>$J$3+[13]FormattedData!E60*$J$4+$M$4*$J$5+[13]FormattedData!E60^2*$J$6+$M$5*$J$7</f>
        <v>38.329769830426258</v>
      </c>
      <c r="M42" s="14">
        <f>$J$3+[13]FormattedData!F60*$J$4+$M$4*$J$5+[13]FormattedData!F60^2*$J$6+$M$5*$J$7</f>
        <v>38.329769830426258</v>
      </c>
      <c r="N42" s="14">
        <f>$J$3+[13]FormattedData!G60*$J$4+$M$4*$J$5+[13]FormattedData!G60^2*$J$6+$M$5*$J$7</f>
        <v>38.42337124602814</v>
      </c>
      <c r="O42" s="14">
        <f>$J$3+[13]FormattedData!H60*$J$4+$M$4*$J$5+[13]FormattedData!H60^2*$J$6+$M$5*$J$7</f>
        <v>38.70392188160622</v>
      </c>
      <c r="P42" s="14">
        <f>$J$3+[13]FormattedData!I60*$J$4+$M$4*$J$5+[13]FormattedData!I60^2*$J$6+$M$5*$J$7</f>
        <v>38.42337124602814</v>
      </c>
      <c r="Q42" s="14">
        <f>$J$3+[13]FormattedData!J60*$J$4+$M$4*$J$5+[13]FormattedData!J60^2*$J$6+$M$5*$J$7</f>
        <v>37.954941482639398</v>
      </c>
      <c r="R42" s="14">
        <f>$J$3+[13]FormattedData!K60*$J$4+$M$4*$J$5+[13]FormattedData!K60^2*$J$6+$M$5*$J$7</f>
        <v>38.236126146286445</v>
      </c>
      <c r="S42" s="14">
        <f>$J$3+[13]FormattedData!L60*$J$4+$M$4*$J$5+[13]FormattedData!L60^2*$J$6+$M$5*$J$7</f>
        <v>38.610447271618128</v>
      </c>
      <c r="T42" s="14">
        <f>$J$3+[13]FormattedData!M60*$J$4+$M$4*$J$5+[13]FormattedData!M60^2*$J$6+$M$5*$J$7</f>
        <v>38.797354223056381</v>
      </c>
      <c r="U42" s="14">
        <f>$J$3+[13]FormattedData!N60*$J$4+$M$4*$J$5+[13]FormattedData!N60^2*$J$6+$M$5*$J$7</f>
        <v>38.70392188160622</v>
      </c>
      <c r="V42" s="14">
        <f>$J$3+[13]FormattedData!O60*$J$4+$M$4*$J$5+[13]FormattedData!O60^2*$J$6+$M$5*$J$7</f>
        <v>38.610447271618128</v>
      </c>
      <c r="W42" s="16">
        <f t="shared" ref="W42:W73" si="9">AVERAGE(K42:V42)</f>
        <v>38.470031058702652</v>
      </c>
      <c r="X42" s="15">
        <f t="shared" ref="X42:X73" si="10">STDEV(K42:V42)/SQRT(COUNT(K42:V42))</f>
        <v>6.8640076929605151E-2</v>
      </c>
      <c r="Y42" s="14">
        <f t="shared" ref="Y42:Y73" si="11">MIN(K42:V42)</f>
        <v>37.954941482639398</v>
      </c>
      <c r="Z42" s="13">
        <f t="shared" ref="Z42:Z73" si="12">QUARTILE(K42:V42,1)</f>
        <v>38.329769830426258</v>
      </c>
      <c r="AA42" s="14">
        <f t="shared" ref="AA42:AA73" si="13">MEDIAN(K42:V42)</f>
        <v>38.470150819560118</v>
      </c>
      <c r="AB42" s="13">
        <f t="shared" ref="AB42:AB73" si="14">QUARTILE(K42:V42,3)</f>
        <v>38.633815924115154</v>
      </c>
      <c r="AC42" s="13">
        <f t="shared" ref="AC42:AC73" si="15">MAX(K42:V42)</f>
        <v>38.797354223056381</v>
      </c>
      <c r="AD42" s="13">
        <f t="shared" ref="AD42:AD73" si="16">SKEW(K42:V42)</f>
        <v>-0.7212660158537143</v>
      </c>
      <c r="AE42" s="13">
        <f t="shared" ref="AE42:AE73" si="17">KURT(K42:V42)</f>
        <v>0.5224902340006139</v>
      </c>
    </row>
    <row r="43" spans="2:31" x14ac:dyDescent="0.2">
      <c r="B43" s="1">
        <f>[13]FormattedData!A58</f>
        <v>902</v>
      </c>
      <c r="C43" s="1" t="str">
        <f>VLOOKUP($B43,[13]TrtCodes!$B$11:I101,2)</f>
        <v>Late</v>
      </c>
      <c r="D43" s="1">
        <f>VLOOKUP($B43,[13]TrtCodes!$B$11:J101,3)</f>
        <v>22</v>
      </c>
      <c r="E43" s="1">
        <f>VLOOKUP($B43,[13]TrtCodes!$B$11:K101,4)</f>
        <v>4</v>
      </c>
      <c r="F43" s="1">
        <f>VLOOKUP($B43,[13]TrtCodes!$B$11:L101,5)</f>
        <v>2</v>
      </c>
      <c r="G43" s="1">
        <f>VLOOKUP($B43,[13]TrtCodes!$B$11:M101,6)</f>
        <v>2</v>
      </c>
      <c r="H43" s="1">
        <f>VLOOKUP($B43,[13]TrtCodes!$B$11:N101,7)</f>
        <v>1</v>
      </c>
      <c r="I43" s="1">
        <f>[13]FormattedData!B58</f>
        <v>1</v>
      </c>
      <c r="J43" s="4">
        <f>[13]FormattedData!C58</f>
        <v>13.19</v>
      </c>
      <c r="K43" s="6">
        <f>$J$3+[13]FormattedData!D58*$J$4+$M$4*$J$5+[13]FormattedData!D58^2*$J$6+$M$5*$J$7</f>
        <v>57.227891818658321</v>
      </c>
      <c r="L43" s="6">
        <f>$J$3+[13]FormattedData!E58*$J$4+$M$4*$J$5+[13]FormattedData!E58^2*$J$6+$M$5*$J$7</f>
        <v>41.119425484482804</v>
      </c>
      <c r="M43" s="6">
        <f>$J$3+[13]FormattedData!F58*$J$4+$M$4*$J$5+[13]FormattedData!F58^2*$J$6+$M$5*$J$7</f>
        <v>53.461864601445157</v>
      </c>
      <c r="N43" s="6">
        <f>$J$3+[13]FormattedData!G58*$J$4+$M$4*$J$5+[13]FormattedData!G58^2*$J$6+$M$5*$J$7</f>
        <v>34.360341885395208</v>
      </c>
      <c r="O43" s="6">
        <f>$J$3+[13]FormattedData!H58*$J$4+$M$4*$J$5+[13]FormattedData!H58^2*$J$6+$M$5*$J$7</f>
        <v>55.611691570802193</v>
      </c>
      <c r="P43" s="6">
        <f>$J$3+[13]FormattedData!I58*$J$4+$M$4*$J$5+[13]FormattedData!I58^2*$J$6+$M$5*$J$7</f>
        <v>35.881296767963384</v>
      </c>
      <c r="Q43" s="6">
        <f>$J$3+[13]FormattedData!J58*$J$4+$M$4*$J$5+[13]FormattedData!J58^2*$J$6+$M$5*$J$7</f>
        <v>53.288737193372455</v>
      </c>
      <c r="R43" s="6">
        <f>$J$3+[13]FormattedData!K58*$J$4+$M$4*$J$5+[13]FormattedData!K58^2*$J$6+$M$5*$J$7</f>
        <v>35.596941963971503</v>
      </c>
      <c r="S43" s="6">
        <f>$J$3+[13]FormattedData!L58*$J$4+$M$4*$J$5+[13]FormattedData!L58^2*$J$6+$M$5*$J$7</f>
        <v>52.507571564417695</v>
      </c>
      <c r="T43" s="6">
        <f>$J$3+[13]FormattedData!M58*$J$4+$M$4*$J$5+[13]FormattedData!M58^2*$J$6+$M$5*$J$7</f>
        <v>35.217210465784632</v>
      </c>
      <c r="U43" s="6">
        <f>$J$3+[13]FormattedData!N58*$J$4+$M$4*$J$5+[13]FormattedData!N58^2*$J$6+$M$5*$J$7</f>
        <v>55.355107196231074</v>
      </c>
      <c r="V43" s="6">
        <f>$J$3+[13]FormattedData!O58*$J$4+$M$4*$J$5+[13]FormattedData!O58^2*$J$6+$M$5*$J$7</f>
        <v>35.596941963971503</v>
      </c>
      <c r="W43" s="5">
        <f t="shared" si="9"/>
        <v>45.435418539707996</v>
      </c>
      <c r="X43" s="4">
        <f t="shared" si="10"/>
        <v>2.8172928673141961</v>
      </c>
      <c r="Y43" s="3">
        <f t="shared" si="11"/>
        <v>34.360341885395208</v>
      </c>
      <c r="Z43" s="2">
        <f t="shared" si="12"/>
        <v>35.596941963971503</v>
      </c>
      <c r="AA43" s="3">
        <f t="shared" si="13"/>
        <v>46.813498524450253</v>
      </c>
      <c r="AB43" s="2">
        <f t="shared" si="14"/>
        <v>53.93517525014164</v>
      </c>
      <c r="AC43" s="2">
        <f t="shared" si="15"/>
        <v>57.227891818658321</v>
      </c>
      <c r="AD43" s="2">
        <f t="shared" si="16"/>
        <v>-3.0222923701044093E-2</v>
      </c>
      <c r="AE43" s="2">
        <f t="shared" si="17"/>
        <v>-2.2344073399830542</v>
      </c>
    </row>
    <row r="44" spans="2:31" x14ac:dyDescent="0.2">
      <c r="B44" s="17">
        <f>[13]FormattedData!A56</f>
        <v>903</v>
      </c>
      <c r="C44" s="17" t="str">
        <f>VLOOKUP($B44,[13]TrtCodes!$B$11:I99,2)</f>
        <v>DS</v>
      </c>
      <c r="D44" s="17">
        <f>VLOOKUP($B44,[13]TrtCodes!$B$11:J99,3)</f>
        <v>31</v>
      </c>
      <c r="E44" s="17">
        <f>VLOOKUP($B44,[13]TrtCodes!$B$11:K99,4)</f>
        <v>8</v>
      </c>
      <c r="F44" s="17">
        <f>VLOOKUP($B44,[13]TrtCodes!$B$11:L99,5)</f>
        <v>0</v>
      </c>
      <c r="G44" s="17">
        <f>VLOOKUP($B44,[13]TrtCodes!$B$11:M99,6)</f>
        <v>1</v>
      </c>
      <c r="H44" s="17">
        <f>VLOOKUP($B44,[13]TrtCodes!$B$11:N99,7)</f>
        <v>1</v>
      </c>
      <c r="I44" s="17">
        <f>[13]FormattedData!B56</f>
        <v>1</v>
      </c>
      <c r="J44" s="15">
        <f>[13]FormattedData!C56</f>
        <v>13.183999999999999</v>
      </c>
      <c r="K44" s="14">
        <f>$J$3+[13]FormattedData!D56*$J$4+$M$4*$J$5+[13]FormattedData!D56^2*$J$6+$M$5*$J$7</f>
        <v>63.458633042935759</v>
      </c>
      <c r="L44" s="14">
        <f>$J$3+[13]FormattedData!E56*$J$4+$M$4*$J$5+[13]FormattedData!E56^2*$J$6+$M$5*$J$7</f>
        <v>63.702917272968925</v>
      </c>
      <c r="M44" s="14">
        <f>$J$3+[13]FormattedData!F56*$J$4+$M$4*$J$5+[13]FormattedData!F56^2*$J$6+$M$5*$J$7</f>
        <v>63.62153146482914</v>
      </c>
      <c r="N44" s="14">
        <f>$J$3+[13]FormattedData!G56*$J$4+$M$4*$J$5+[13]FormattedData!G56^2*$J$6+$M$5*$J$7</f>
        <v>63.540103388151408</v>
      </c>
      <c r="O44" s="14">
        <f>$J$3+[13]FormattedData!H56*$J$4+$M$4*$J$5+[13]FormattedData!H56^2*$J$6+$M$5*$J$7</f>
        <v>63.540103388151408</v>
      </c>
      <c r="P44" s="14">
        <f>$J$3+[13]FormattedData!I56*$J$4+$M$4*$J$5+[13]FormattedData!I56^2*$J$6+$M$5*$J$7</f>
        <v>63.946821086160689</v>
      </c>
      <c r="Q44" s="14">
        <f>$J$3+[13]FormattedData!J56*$J$4+$M$4*$J$5+[13]FormattedData!J56^2*$J$6+$M$5*$J$7</f>
        <v>63.377120429182185</v>
      </c>
      <c r="R44" s="14">
        <f>$J$3+[13]FormattedData!K56*$J$4+$M$4*$J$5+[13]FormattedData!K56^2*$J$6+$M$5*$J$7</f>
        <v>63.62153146482914</v>
      </c>
      <c r="S44" s="14">
        <f>$J$3+[13]FormattedData!L56*$J$4+$M$4*$J$5+[13]FormattedData!L56^2*$J$6+$M$5*$J$7</f>
        <v>62.805348613845055</v>
      </c>
      <c r="T44" s="14">
        <f>$J$3+[13]FormattedData!M56*$J$4+$M$4*$J$5+[13]FormattedData!M56^2*$J$6+$M$5*$J$7</f>
        <v>62.968923332345312</v>
      </c>
      <c r="U44" s="14">
        <f>$J$3+[13]FormattedData!N56*$J$4+$M$4*$J$5+[13]FormattedData!N56^2*$J$6+$M$5*$J$7</f>
        <v>63.458633042935759</v>
      </c>
      <c r="V44" s="14">
        <f>$J$3+[13]FormattedData!O56*$J$4+$M$4*$J$5+[13]FormattedData!O56^2*$J$6+$M$5*$J$7</f>
        <v>63.702917272968925</v>
      </c>
      <c r="W44" s="16">
        <f t="shared" si="9"/>
        <v>63.478715316608636</v>
      </c>
      <c r="X44" s="15">
        <f t="shared" si="10"/>
        <v>9.0972216920666107E-2</v>
      </c>
      <c r="Y44" s="14">
        <f t="shared" si="11"/>
        <v>62.805348613845055</v>
      </c>
      <c r="Z44" s="13">
        <f t="shared" si="12"/>
        <v>63.438254889497365</v>
      </c>
      <c r="AA44" s="14">
        <f t="shared" si="13"/>
        <v>63.540103388151408</v>
      </c>
      <c r="AB44" s="13">
        <f t="shared" si="14"/>
        <v>63.64187791686409</v>
      </c>
      <c r="AC44" s="13">
        <f t="shared" si="15"/>
        <v>63.946821086160689</v>
      </c>
      <c r="AD44" s="13">
        <f t="shared" si="16"/>
        <v>-1.0717570869781374</v>
      </c>
      <c r="AE44" s="13">
        <f t="shared" si="17"/>
        <v>1.1938123369338642</v>
      </c>
    </row>
    <row r="45" spans="2:31" x14ac:dyDescent="0.2">
      <c r="B45" s="1">
        <f>[13]FormattedData!A54</f>
        <v>904</v>
      </c>
      <c r="C45" s="1" t="str">
        <f>VLOOKUP($B45,[13]TrtCodes!$B$11:I97,2)</f>
        <v>Early</v>
      </c>
      <c r="D45" s="1">
        <f>VLOOKUP($B45,[13]TrtCodes!$B$11:J97,3)</f>
        <v>21</v>
      </c>
      <c r="E45" s="1">
        <f>VLOOKUP($B45,[13]TrtCodes!$B$11:K97,4)</f>
        <v>3</v>
      </c>
      <c r="F45" s="1">
        <f>VLOOKUP($B45,[13]TrtCodes!$B$11:L97,5)</f>
        <v>2</v>
      </c>
      <c r="G45" s="1">
        <f>VLOOKUP($B45,[13]TrtCodes!$B$11:M97,6)</f>
        <v>2</v>
      </c>
      <c r="H45" s="1">
        <f>VLOOKUP($B45,[13]TrtCodes!$B$11:N97,7)</f>
        <v>1</v>
      </c>
      <c r="I45" s="1">
        <f>[13]FormattedData!B54</f>
        <v>1</v>
      </c>
      <c r="J45" s="4">
        <f>[13]FormattedData!C54</f>
        <v>13.170999999999999</v>
      </c>
      <c r="K45" s="6">
        <f>$J$3+[13]FormattedData!D54*$J$4+$M$4*$J$5+[13]FormattedData!D54^2*$J$6+$M$5*$J$7</f>
        <v>61.73799176114504</v>
      </c>
      <c r="L45" s="6">
        <f>$J$3+[13]FormattedData!E54*$J$4+$M$4*$J$5+[13]FormattedData!E54^2*$J$6+$M$5*$J$7</f>
        <v>43.688782042135507</v>
      </c>
      <c r="M45" s="6">
        <f>$J$3+[13]FormattedData!F54*$J$4+$M$4*$J$5+[13]FormattedData!F54^2*$J$6+$M$5*$J$7</f>
        <v>56.973716750749276</v>
      </c>
      <c r="N45" s="6">
        <f>$J$3+[13]FormattedData!G54*$J$4+$M$4*$J$5+[13]FormattedData!G54^2*$J$6+$M$5*$J$7</f>
        <v>42.774958868530483</v>
      </c>
      <c r="O45" s="6">
        <f>$J$3+[13]FormattedData!H54*$J$4+$M$4*$J$5+[13]FormattedData!H54^2*$J$6+$M$5*$J$7</f>
        <v>51.810327855878604</v>
      </c>
      <c r="P45" s="6">
        <f>$J$3+[13]FormattedData!I54*$J$4+$M$4*$J$5+[13]FormattedData!I54^2*$J$6+$M$5*$J$7</f>
        <v>41.027049856480929</v>
      </c>
      <c r="Q45" s="6">
        <f>$J$3+[13]FormattedData!J54*$J$4+$M$4*$J$5+[13]FormattedData!J54^2*$J$6+$M$5*$J$7</f>
        <v>56.549246266808922</v>
      </c>
      <c r="R45" s="6">
        <f>$J$3+[13]FormattedData!K54*$J$4+$M$4*$J$5+[13]FormattedData!K54^2*$J$6+$M$5*$J$7</f>
        <v>42.224636074546787</v>
      </c>
      <c r="S45" s="6">
        <f>$J$3+[13]FormattedData!L54*$J$4+$M$4*$J$5+[13]FormattedData!L54^2*$J$6+$M$5*$J$7</f>
        <v>57.903832184080123</v>
      </c>
      <c r="T45" s="6">
        <f>$J$3+[13]FormattedData!M54*$J$4+$M$4*$J$5+[13]FormattedData!M54^2*$J$6+$M$5*$J$7</f>
        <v>42.499987679959318</v>
      </c>
      <c r="U45" s="6">
        <f>$J$3+[13]FormattedData!N54*$J$4+$M$4*$J$5+[13]FormattedData!N54^2*$J$6+$M$5*$J$7</f>
        <v>56.88890719103707</v>
      </c>
      <c r="V45" s="6">
        <f>$J$3+[13]FormattedData!O54*$J$4+$M$4*$J$5+[13]FormattedData!O54^2*$J$6+$M$5*$J$7</f>
        <v>47.301806198624433</v>
      </c>
      <c r="W45" s="5">
        <f t="shared" si="9"/>
        <v>50.115103560831379</v>
      </c>
      <c r="X45" s="4">
        <f t="shared" si="10"/>
        <v>2.2000085288103555</v>
      </c>
      <c r="Y45" s="3">
        <f t="shared" si="11"/>
        <v>41.027049856480929</v>
      </c>
      <c r="Z45" s="2">
        <f t="shared" si="12"/>
        <v>42.706216071387693</v>
      </c>
      <c r="AA45" s="3">
        <f t="shared" si="13"/>
        <v>49.556067027251515</v>
      </c>
      <c r="AB45" s="2">
        <f t="shared" si="14"/>
        <v>56.91010958096512</v>
      </c>
      <c r="AC45" s="2">
        <f t="shared" si="15"/>
        <v>61.73799176114504</v>
      </c>
      <c r="AD45" s="2">
        <f t="shared" si="16"/>
        <v>0.1431277490847486</v>
      </c>
      <c r="AE45" s="2">
        <f t="shared" si="17"/>
        <v>-1.8517974078883199</v>
      </c>
    </row>
    <row r="46" spans="2:31" x14ac:dyDescent="0.2">
      <c r="B46" s="17">
        <f>[13]FormattedData!A52</f>
        <v>905</v>
      </c>
      <c r="C46" s="17" t="str">
        <f>VLOOKUP($B46,[13]TrtCodes!$B$11:I95,2)</f>
        <v>WS</v>
      </c>
      <c r="D46" s="17">
        <f>VLOOKUP($B46,[13]TrtCodes!$B$11:J95,3)</f>
        <v>32</v>
      </c>
      <c r="E46" s="17">
        <f>VLOOKUP($B46,[13]TrtCodes!$B$11:K95,4)</f>
        <v>9</v>
      </c>
      <c r="F46" s="17">
        <f>VLOOKUP($B46,[13]TrtCodes!$B$11:L95,5)</f>
        <v>0</v>
      </c>
      <c r="G46" s="17">
        <f>VLOOKUP($B46,[13]TrtCodes!$B$11:M95,6)</f>
        <v>1</v>
      </c>
      <c r="H46" s="17">
        <f>VLOOKUP($B46,[13]TrtCodes!$B$11:N95,7)</f>
        <v>2</v>
      </c>
      <c r="I46" s="17">
        <f>[13]FormattedData!B52</f>
        <v>1</v>
      </c>
      <c r="J46" s="15">
        <f>[13]FormattedData!C52</f>
        <v>13.164999999999999</v>
      </c>
      <c r="K46" s="14">
        <f>$J$3+[13]FormattedData!D52*$J$4+$M$4*$J$5+[13]FormattedData!D52^2*$J$6+$M$5*$J$7</f>
        <v>50.143532168118895</v>
      </c>
      <c r="L46" s="14">
        <f>$J$3+[13]FormattedData!E52*$J$4+$M$4*$J$5+[13]FormattedData!E52^2*$J$6+$M$5*$J$7</f>
        <v>50.583642011093772</v>
      </c>
      <c r="M46" s="14">
        <f>$J$3+[13]FormattedData!F52*$J$4+$M$4*$J$5+[13]FormattedData!F52^2*$J$6+$M$5*$J$7</f>
        <v>50.671537174074956</v>
      </c>
      <c r="N46" s="14">
        <f>$J$3+[13]FormattedData!G52*$J$4+$M$4*$J$5+[13]FormattedData!G52^2*$J$6+$M$5*$J$7</f>
        <v>50.934969051790922</v>
      </c>
      <c r="O46" s="14">
        <f>$J$3+[13]FormattedData!H52*$J$4+$M$4*$J$5+[13]FormattedData!H52^2*$J$6+$M$5*$J$7</f>
        <v>50.143532168118895</v>
      </c>
      <c r="P46" s="14">
        <f>$J$3+[13]FormattedData!I52*$J$4+$M$4*$J$5+[13]FormattedData!I52^2*$J$6+$M$5*$J$7</f>
        <v>51.285619795881168</v>
      </c>
      <c r="Q46" s="14">
        <f>$J$3+[13]FormattedData!J52*$J$4+$M$4*$J$5+[13]FormattedData!J52^2*$J$6+$M$5*$J$7</f>
        <v>51.022695140620378</v>
      </c>
      <c r="R46" s="14">
        <f>$J$3+[13]FormattedData!K52*$J$4+$M$4*$J$5+[13]FormattedData!K52^2*$J$6+$M$5*$J$7</f>
        <v>51.984892394240958</v>
      </c>
      <c r="S46" s="14">
        <f>$J$3+[13]FormattedData!L52*$J$4+$M$4*$J$5+[13]FormattedData!L52^2*$J$6+$M$5*$J$7</f>
        <v>51.722982183890522</v>
      </c>
      <c r="T46" s="14">
        <f>$J$3+[13]FormattedData!M52*$J$4+$M$4*$J$5+[13]FormattedData!M52^2*$J$6+$M$5*$J$7</f>
        <v>50.231638673789732</v>
      </c>
      <c r="U46" s="14">
        <f>$J$3+[13]FormattedData!N52*$J$4+$M$4*$J$5+[13]FormattedData!N52^2*$J$6+$M$5*$J$7</f>
        <v>48.994301157446266</v>
      </c>
      <c r="V46" s="14">
        <f>$J$3+[13]FormattedData!O52*$J$4+$M$4*$J$5+[13]FormattedData!O52^2*$J$6+$M$5*$J$7</f>
        <v>50.319702910922643</v>
      </c>
      <c r="W46" s="16">
        <f t="shared" si="9"/>
        <v>50.669920402499088</v>
      </c>
      <c r="X46" s="15">
        <f t="shared" si="10"/>
        <v>0.23185575029516825</v>
      </c>
      <c r="Y46" s="14">
        <f t="shared" si="11"/>
        <v>48.994301157446266</v>
      </c>
      <c r="Z46" s="13">
        <f t="shared" si="12"/>
        <v>50.209612047372019</v>
      </c>
      <c r="AA46" s="14">
        <f t="shared" si="13"/>
        <v>50.627589592584364</v>
      </c>
      <c r="AB46" s="13">
        <f t="shared" si="14"/>
        <v>51.088426304435572</v>
      </c>
      <c r="AC46" s="13">
        <f t="shared" si="15"/>
        <v>51.984892394240958</v>
      </c>
      <c r="AD46" s="13">
        <f t="shared" si="16"/>
        <v>-0.29196202974341323</v>
      </c>
      <c r="AE46" s="13">
        <f t="shared" si="17"/>
        <v>0.68959423573908474</v>
      </c>
    </row>
    <row r="47" spans="2:31" x14ac:dyDescent="0.2">
      <c r="B47" s="1">
        <f>[13]FormattedData!A50</f>
        <v>906</v>
      </c>
      <c r="C47" s="1" t="str">
        <f>VLOOKUP($B47,[13]TrtCodes!$B$11:I93,2)</f>
        <v>Late</v>
      </c>
      <c r="D47" s="1">
        <f>VLOOKUP($B47,[13]TrtCodes!$B$11:J93,3)</f>
        <v>22</v>
      </c>
      <c r="E47" s="1">
        <f>VLOOKUP($B47,[13]TrtCodes!$B$11:K93,4)</f>
        <v>4</v>
      </c>
      <c r="F47" s="1">
        <f>VLOOKUP($B47,[13]TrtCodes!$B$11:L93,5)</f>
        <v>2</v>
      </c>
      <c r="G47" s="1">
        <f>VLOOKUP($B47,[13]TrtCodes!$B$11:M93,6)</f>
        <v>2</v>
      </c>
      <c r="H47" s="1">
        <f>VLOOKUP($B47,[13]TrtCodes!$B$11:N93,7)</f>
        <v>2</v>
      </c>
      <c r="I47" s="1">
        <f>[13]FormattedData!B50</f>
        <v>1</v>
      </c>
      <c r="J47" s="4">
        <f>[13]FormattedData!C50</f>
        <v>13.153</v>
      </c>
      <c r="K47" s="6">
        <f>$J$3+[13]FormattedData!D50*$J$4+$M$4*$J$5+[13]FormattedData!D50^2*$J$6+$M$5*$J$7</f>
        <v>56.464225364407056</v>
      </c>
      <c r="L47" s="6">
        <f>$J$3+[13]FormattedData!E50*$J$4+$M$4*$J$5+[13]FormattedData!E50^2*$J$6+$M$5*$J$7</f>
        <v>38.142440193608699</v>
      </c>
      <c r="M47" s="6">
        <f>$J$3+[13]FormattedData!F50*$J$4+$M$4*$J$5+[13]FormattedData!F50^2*$J$6+$M$5*$J$7</f>
        <v>52.507571564417695</v>
      </c>
      <c r="N47" s="6">
        <f>$J$3+[13]FormattedData!G50*$J$4+$M$4*$J$5+[13]FormattedData!G50^2*$J$6+$M$5*$J$7</f>
        <v>33.691521506968179</v>
      </c>
      <c r="O47" s="6">
        <f>$J$3+[13]FormattedData!H50*$J$4+$M$4*$J$5+[13]FormattedData!H50^2*$J$6+$M$5*$J$7</f>
        <v>51.984892394240958</v>
      </c>
      <c r="P47" s="6">
        <f>$J$3+[13]FormattedData!I50*$J$4+$M$4*$J$5+[13]FormattedData!I50^2*$J$6+$M$5*$J$7</f>
        <v>34.83680267099087</v>
      </c>
      <c r="Q47" s="6">
        <f>$J$3+[13]FormattedData!J50*$J$4+$M$4*$J$5+[13]FormattedData!J50^2*$J$6+$M$5*$J$7</f>
        <v>54.324965529532804</v>
      </c>
      <c r="R47" s="6">
        <f>$J$3+[13]FormattedData!K50*$J$4+$M$4*$J$5+[13]FormattedData!K50^2*$J$6+$M$5*$J$7</f>
        <v>38.42337124602814</v>
      </c>
      <c r="S47" s="6">
        <f>$J$3+[13]FormattedData!L50*$J$4+$M$4*$J$5+[13]FormattedData!L50^2*$J$6+$M$5*$J$7</f>
        <v>50.934969051790922</v>
      </c>
      <c r="T47" s="6">
        <f>$J$3+[13]FormattedData!M50*$J$4+$M$4*$J$5+[13]FormattedData!M50^2*$J$6+$M$5*$J$7</f>
        <v>36.259844747088181</v>
      </c>
      <c r="U47" s="6">
        <f>$J$3+[13]FormattedData!N50*$J$4+$M$4*$J$5+[13]FormattedData!N50^2*$J$6+$M$5*$J$7</f>
        <v>53.375322031677776</v>
      </c>
      <c r="V47" s="6">
        <f>$J$3+[13]FormattedData!O50*$J$4+$M$4*$J$5+[13]FormattedData!O50^2*$J$6+$M$5*$J$7</f>
        <v>33.882824386351274</v>
      </c>
      <c r="W47" s="5">
        <f t="shared" si="9"/>
        <v>44.56906255725854</v>
      </c>
      <c r="X47" s="4">
        <f t="shared" si="10"/>
        <v>2.6800462671598089</v>
      </c>
      <c r="Y47" s="3">
        <f t="shared" si="11"/>
        <v>33.691521506968179</v>
      </c>
      <c r="Z47" s="2">
        <f t="shared" si="12"/>
        <v>35.904084228063851</v>
      </c>
      <c r="AA47" s="3">
        <f t="shared" si="13"/>
        <v>44.679170148909535</v>
      </c>
      <c r="AB47" s="2">
        <f t="shared" si="14"/>
        <v>52.724509181232719</v>
      </c>
      <c r="AC47" s="2">
        <f t="shared" si="15"/>
        <v>56.464225364407056</v>
      </c>
      <c r="AD47" s="2">
        <f t="shared" si="16"/>
        <v>-5.4188086818281033E-3</v>
      </c>
      <c r="AE47" s="2">
        <f t="shared" si="17"/>
        <v>-2.1743550360197226</v>
      </c>
    </row>
    <row r="48" spans="2:31" x14ac:dyDescent="0.2">
      <c r="B48" s="17">
        <f>[13]FormattedData!A48</f>
        <v>907</v>
      </c>
      <c r="C48" s="17" t="str">
        <f>VLOOKUP($B48,[13]TrtCodes!$B$11:I91,2)</f>
        <v>DS</v>
      </c>
      <c r="D48" s="17">
        <f>VLOOKUP($B48,[13]TrtCodes!$B$11:J91,3)</f>
        <v>31</v>
      </c>
      <c r="E48" s="17">
        <f>VLOOKUP($B48,[13]TrtCodes!$B$11:K91,4)</f>
        <v>8</v>
      </c>
      <c r="F48" s="17">
        <f>VLOOKUP($B48,[13]TrtCodes!$B$11:L91,5)</f>
        <v>0</v>
      </c>
      <c r="G48" s="17">
        <f>VLOOKUP($B48,[13]TrtCodes!$B$11:M91,6)</f>
        <v>1</v>
      </c>
      <c r="H48" s="17">
        <f>VLOOKUP($B48,[13]TrtCodes!$B$11:N91,7)</f>
        <v>2</v>
      </c>
      <c r="I48" s="17">
        <f>[13]FormattedData!B48</f>
        <v>1</v>
      </c>
      <c r="J48" s="15">
        <f>[13]FormattedData!C48</f>
        <v>13.147</v>
      </c>
      <c r="K48" s="14">
        <f>$J$3+[13]FormattedData!D48*$J$4+$M$4*$J$5+[13]FormattedData!D48^2*$J$6+$M$5*$J$7</f>
        <v>62.968923332345312</v>
      </c>
      <c r="L48" s="14">
        <f>$J$3+[13]FormattedData!E48*$J$4+$M$4*$J$5+[13]FormattedData!E48^2*$J$6+$M$5*$J$7</f>
        <v>62.887157107364153</v>
      </c>
      <c r="M48" s="14">
        <f>$J$3+[13]FormattedData!F48*$J$4+$M$4*$J$5+[13]FormattedData!F48^2*$J$6+$M$5*$J$7</f>
        <v>63.213968396061233</v>
      </c>
      <c r="N48" s="14">
        <f>$J$3+[13]FormattedData!G48*$J$4+$M$4*$J$5+[13]FormattedData!G48^2*$J$6+$M$5*$J$7</f>
        <v>63.050647288788554</v>
      </c>
      <c r="O48" s="14">
        <f>$J$3+[13]FormattedData!H48*$J$4+$M$4*$J$5+[13]FormattedData!H48^2*$J$6+$M$5*$J$7</f>
        <v>63.213968396061233</v>
      </c>
      <c r="P48" s="14">
        <f>$J$3+[13]FormattedData!I48*$J$4+$M$4*$J$5+[13]FormattedData!I48^2*$J$6+$M$5*$J$7</f>
        <v>62.641604821193056</v>
      </c>
      <c r="Q48" s="14">
        <f>$J$3+[13]FormattedData!J48*$J$4+$M$4*$J$5+[13]FormattedData!J48^2*$J$6+$M$5*$J$7</f>
        <v>63.213968396061233</v>
      </c>
      <c r="R48" s="14">
        <f>$J$3+[13]FormattedData!K48*$J$4+$M$4*$J$5+[13]FormattedData!K48^2*$J$6+$M$5*$J$7</f>
        <v>62.805348613845055</v>
      </c>
      <c r="S48" s="14">
        <f>$J$3+[13]FormattedData!L48*$J$4+$M$4*$J$5+[13]FormattedData!L48^2*$J$6+$M$5*$J$7</f>
        <v>62.723497851788018</v>
      </c>
      <c r="T48" s="14">
        <f>$J$3+[13]FormattedData!M48*$J$4+$M$4*$J$5+[13]FormattedData!M48^2*$J$6+$M$5*$J$7</f>
        <v>63.213968396061233</v>
      </c>
      <c r="U48" s="14">
        <f>$J$3+[13]FormattedData!N48*$J$4+$M$4*$J$5+[13]FormattedData!N48^2*$J$6+$M$5*$J$7</f>
        <v>63.8655620836347</v>
      </c>
      <c r="V48" s="14">
        <f>$J$3+[13]FormattedData!O48*$J$4+$M$4*$J$5+[13]FormattedData!O48^2*$J$6+$M$5*$J$7</f>
        <v>63.62153146482914</v>
      </c>
      <c r="W48" s="16">
        <f t="shared" si="9"/>
        <v>63.118345512336077</v>
      </c>
      <c r="X48" s="15">
        <f t="shared" si="10"/>
        <v>0.1033387774767809</v>
      </c>
      <c r="Y48" s="14">
        <f t="shared" si="11"/>
        <v>62.641604821193056</v>
      </c>
      <c r="Z48" s="13">
        <f t="shared" si="12"/>
        <v>62.866704983984377</v>
      </c>
      <c r="AA48" s="14">
        <f t="shared" si="13"/>
        <v>63.132307842424893</v>
      </c>
      <c r="AB48" s="13">
        <f t="shared" si="14"/>
        <v>63.213968396061233</v>
      </c>
      <c r="AC48" s="13">
        <f t="shared" si="15"/>
        <v>63.8655620836347</v>
      </c>
      <c r="AD48" s="13">
        <f t="shared" si="16"/>
        <v>0.78837706013192499</v>
      </c>
      <c r="AE48" s="13">
        <f t="shared" si="17"/>
        <v>0.42973925346443664</v>
      </c>
    </row>
    <row r="49" spans="2:31" ht="13.5" thickBot="1" x14ac:dyDescent="0.25">
      <c r="B49" s="12">
        <f>[13]FormattedData!A46</f>
        <v>908</v>
      </c>
      <c r="C49" s="12" t="str">
        <f>VLOOKUP($B49,[13]TrtCodes!$B$11:I89,2)</f>
        <v>Early</v>
      </c>
      <c r="D49" s="12">
        <f>VLOOKUP($B49,[13]TrtCodes!$B$11:J89,3)</f>
        <v>21</v>
      </c>
      <c r="E49" s="12">
        <f>VLOOKUP($B49,[13]TrtCodes!$B$11:K89,4)</f>
        <v>3</v>
      </c>
      <c r="F49" s="12">
        <f>VLOOKUP($B49,[13]TrtCodes!$B$11:L89,5)</f>
        <v>2</v>
      </c>
      <c r="G49" s="12">
        <f>VLOOKUP($B49,[13]TrtCodes!$B$11:M89,6)</f>
        <v>2</v>
      </c>
      <c r="H49" s="12">
        <f>VLOOKUP($B49,[13]TrtCodes!$B$11:N89,7)</f>
        <v>2</v>
      </c>
      <c r="I49" s="12">
        <f>[13]FormattedData!B46</f>
        <v>1</v>
      </c>
      <c r="J49" s="9">
        <f>[13]FormattedData!C46</f>
        <v>13.132999999999999</v>
      </c>
      <c r="K49" s="11">
        <f>$J$3+[13]FormattedData!D46*$J$4+$M$4*$J$5+[13]FormattedData!D46^2*$J$6+$M$5*$J$7</f>
        <v>60.165159033206258</v>
      </c>
      <c r="L49" s="11">
        <f>$J$3+[13]FormattedData!E46*$J$4+$M$4*$J$5+[13]FormattedData!E46^2*$J$6+$M$5*$J$7</f>
        <v>48.194495103263876</v>
      </c>
      <c r="M49" s="11">
        <f>$J$3+[13]FormattedData!F46*$J$4+$M$4*$J$5+[13]FormattedData!F46^2*$J$6+$M$5*$J$7</f>
        <v>57.481686469725979</v>
      </c>
      <c r="N49" s="11">
        <f>$J$3+[13]FormattedData!G46*$J$4+$M$4*$J$5+[13]FormattedData!G46^2*$J$6+$M$5*$J$7</f>
        <v>38.42337124602814</v>
      </c>
      <c r="O49" s="11">
        <f>$J$3+[13]FormattedData!H46*$J$4+$M$4*$J$5+[13]FormattedData!H46^2*$J$6+$M$5*$J$7</f>
        <v>59.331223396291101</v>
      </c>
      <c r="P49" s="11">
        <f>$J$3+[13]FormattedData!I46*$J$4+$M$4*$J$5+[13]FormattedData!I46^2*$J$6+$M$5*$J$7</f>
        <v>38.610447271618128</v>
      </c>
      <c r="Q49" s="11">
        <f>$J$3+[13]FormattedData!J46*$J$4+$M$4*$J$5+[13]FormattedData!J46^2*$J$6+$M$5*$J$7</f>
        <v>57.143209064559898</v>
      </c>
      <c r="R49" s="11">
        <f>$J$3+[13]FormattedData!K46*$J$4+$M$4*$J$5+[13]FormattedData!K46^2*$J$6+$M$5*$J$7</f>
        <v>38.797354223056381</v>
      </c>
      <c r="S49" s="11">
        <f>$J$3+[13]FormattedData!L46*$J$4+$M$4*$J$5+[13]FormattedData!L46^2*$J$6+$M$5*$J$7</f>
        <v>57.397130521241358</v>
      </c>
      <c r="T49" s="11">
        <f>$J$3+[13]FormattedData!M46*$J$4+$M$4*$J$5+[13]FormattedData!M46^2*$J$6+$M$5*$J$7</f>
        <v>43.049549640260267</v>
      </c>
      <c r="U49" s="11">
        <f>$J$3+[13]FormattedData!N46*$J$4+$M$4*$J$5+[13]FormattedData!N46^2*$J$6+$M$5*$J$7</f>
        <v>59.247597355640963</v>
      </c>
      <c r="V49" s="11">
        <f>$J$3+[13]FormattedData!O46*$J$4+$M$4*$J$5+[13]FormattedData!O46^2*$J$6+$M$5*$J$7</f>
        <v>41.488505311111034</v>
      </c>
      <c r="W49" s="10">
        <f t="shared" si="9"/>
        <v>49.944144053000286</v>
      </c>
      <c r="X49" s="9">
        <f t="shared" si="10"/>
        <v>2.683923916200202</v>
      </c>
      <c r="Y49" s="8">
        <f t="shared" si="11"/>
        <v>38.42337124602814</v>
      </c>
      <c r="Z49" s="7">
        <f t="shared" si="12"/>
        <v>40.815717539097371</v>
      </c>
      <c r="AA49" s="8">
        <f t="shared" si="13"/>
        <v>52.668852083911887</v>
      </c>
      <c r="AB49" s="7">
        <f t="shared" si="14"/>
        <v>57.923164191204727</v>
      </c>
      <c r="AC49" s="7">
        <f t="shared" si="15"/>
        <v>60.165159033206258</v>
      </c>
      <c r="AD49" s="7">
        <f t="shared" si="16"/>
        <v>-0.18896209440733475</v>
      </c>
      <c r="AE49" s="7">
        <f t="shared" si="17"/>
        <v>-2.0909639442155932</v>
      </c>
    </row>
    <row r="50" spans="2:31" ht="13.5" thickTop="1" x14ac:dyDescent="0.2">
      <c r="B50" s="1">
        <f>[13]FormattedData!A29</f>
        <v>101</v>
      </c>
      <c r="C50" s="1" t="str">
        <f>VLOOKUP($B50,[13]TrtCodes!$B$11:I72,2)</f>
        <v>FSH</v>
      </c>
      <c r="D50" s="1">
        <f>VLOOKUP($B50,[13]TrtCodes!$B$11:J72,3)</f>
        <v>1</v>
      </c>
      <c r="E50" s="1">
        <f>VLOOKUP($B50,[13]TrtCodes!$B$11:K72,4)</f>
        <v>1</v>
      </c>
      <c r="F50" s="1">
        <f>VLOOKUP($B50,[13]TrtCodes!$B$11:L72,5)</f>
        <v>1</v>
      </c>
      <c r="G50" s="1">
        <f>VLOOKUP($B50,[13]TrtCodes!$B$11:M72,6)</f>
        <v>2</v>
      </c>
      <c r="H50" s="1">
        <f>VLOOKUP($B50,[13]TrtCodes!$B$11:N72,7)</f>
        <v>1</v>
      </c>
      <c r="I50" s="1">
        <f>[13]FormattedData!B29</f>
        <v>2</v>
      </c>
      <c r="J50" s="4">
        <f>[13]FormattedData!C29</f>
        <v>12.997</v>
      </c>
      <c r="K50" s="6">
        <f>$J$3+[13]FormattedData!D29*$J$4+$M$4*$J$5+[13]FormattedData!D29^2*$J$6+$M$5*$J$7</f>
        <v>31.38269917053654</v>
      </c>
      <c r="L50" s="6">
        <f>$J$3+[13]FormattedData!E29*$J$4+$M$4*$J$5+[13]FormattedData!E29^2*$J$6+$M$5*$J$7</f>
        <v>30.41350421224173</v>
      </c>
      <c r="M50" s="6">
        <f>$J$3+[13]FormattedData!F29*$J$4+$M$4*$J$5+[13]FormattedData!F29^2*$J$6+$M$5*$J$7</f>
        <v>31.479386189407396</v>
      </c>
      <c r="N50" s="6">
        <f>$J$3+[13]FormattedData!G29*$J$4+$M$4*$J$5+[13]FormattedData!G29^2*$J$6+$M$5*$J$7</f>
        <v>32.732470997776836</v>
      </c>
      <c r="O50" s="6">
        <f>$J$3+[13]FormattedData!H29*$J$4+$M$4*$J$5+[13]FormattedData!H29^2*$J$6+$M$5*$J$7</f>
        <v>32.443931608529788</v>
      </c>
      <c r="P50" s="6">
        <f>$J$3+[13]FormattedData!I29*$J$4+$M$4*$J$5+[13]FormattedData!I29^2*$J$6+$M$5*$J$7</f>
        <v>32.155011802441344</v>
      </c>
      <c r="Q50" s="6">
        <f>$J$3+[13]FormattedData!J29*$J$4+$M$4*$J$5+[13]FormattedData!J29^2*$J$6+$M$5*$J$7</f>
        <v>32.540153673483402</v>
      </c>
      <c r="R50" s="6">
        <f>$J$3+[13]FormattedData!K29*$J$4+$M$4*$J$5+[13]FormattedData!K29^2*$J$6+$M$5*$J$7</f>
        <v>32.732470997776836</v>
      </c>
      <c r="S50" s="6">
        <f>$J$3+[13]FormattedData!L29*$J$4+$M$4*$J$5+[13]FormattedData!L29^2*$J$6+$M$5*$J$7</f>
        <v>31.479386189407396</v>
      </c>
      <c r="T50" s="6">
        <f>$J$3+[13]FormattedData!M29*$J$4+$M$4*$J$5+[13]FormattedData!M29^2*$J$6+$M$5*$J$7</f>
        <v>30.12192148826362</v>
      </c>
      <c r="U50" s="6">
        <f>$J$3+[13]FormattedData!N29*$J$4+$M$4*$J$5+[13]FormattedData!N29^2*$J$6+$M$5*$J$7</f>
        <v>33.595806664469727</v>
      </c>
      <c r="V50" s="6">
        <f>$J$3+[13]FormattedData!O29*$J$4+$M$4*$J$5+[13]FormattedData!O29^2*$J$6+$M$5*$J$7</f>
        <v>30.801689418014824</v>
      </c>
      <c r="W50" s="5">
        <f t="shared" si="9"/>
        <v>31.823202701029121</v>
      </c>
      <c r="X50" s="4">
        <f t="shared" si="10"/>
        <v>0.30352278588412129</v>
      </c>
      <c r="Y50" s="3">
        <f t="shared" si="11"/>
        <v>30.12192148826362</v>
      </c>
      <c r="Z50" s="2">
        <f t="shared" si="12"/>
        <v>31.237446732406113</v>
      </c>
      <c r="AA50" s="3">
        <f t="shared" si="13"/>
        <v>31.817198995924372</v>
      </c>
      <c r="AB50" s="2">
        <f t="shared" si="14"/>
        <v>32.588233004556763</v>
      </c>
      <c r="AC50" s="2">
        <f t="shared" si="15"/>
        <v>33.595806664469727</v>
      </c>
      <c r="AD50" s="2">
        <f t="shared" si="16"/>
        <v>-0.11644763351683027</v>
      </c>
      <c r="AE50" s="2">
        <f t="shared" si="17"/>
        <v>-0.79123064620087202</v>
      </c>
    </row>
    <row r="51" spans="2:31" x14ac:dyDescent="0.2">
      <c r="B51" s="1">
        <f>[13]FormattedData!A27</f>
        <v>102</v>
      </c>
      <c r="C51" s="1" t="str">
        <f>VLOOKUP($B51,[13]TrtCodes!$B$11:I70,2)</f>
        <v>FTL</v>
      </c>
      <c r="D51" s="1">
        <f>VLOOKUP($B51,[13]TrtCodes!$B$11:J70,3)</f>
        <v>4</v>
      </c>
      <c r="E51" s="1">
        <f>VLOOKUP($B51,[13]TrtCodes!$B$11:K70,4)</f>
        <v>1</v>
      </c>
      <c r="F51" s="1">
        <f>VLOOKUP($B51,[13]TrtCodes!$B$11:L70,5)</f>
        <v>2</v>
      </c>
      <c r="G51" s="1">
        <f>VLOOKUP($B51,[13]TrtCodes!$B$11:M70,6)</f>
        <v>1</v>
      </c>
      <c r="H51" s="1">
        <f>VLOOKUP($B51,[13]TrtCodes!$B$11:N70,7)</f>
        <v>1</v>
      </c>
      <c r="I51" s="1">
        <f>[13]FormattedData!B27</f>
        <v>2</v>
      </c>
      <c r="J51" s="4">
        <f>[13]FormattedData!C27</f>
        <v>12.983000000000001</v>
      </c>
      <c r="K51" s="6">
        <f>$J$3+[13]FormattedData!D27*$J$4+$M$4*$J$5+[13]FormattedData!D27^2*$J$6+$M$5*$J$7</f>
        <v>30.995528409673785</v>
      </c>
      <c r="L51" s="6">
        <f>$J$3+[13]FormattedData!E27*$J$4+$M$4*$J$5+[13]FormattedData!E27^2*$J$6+$M$5*$J$7</f>
        <v>29.244890815281043</v>
      </c>
      <c r="M51" s="6">
        <f>$J$3+[13]FormattedData!F27*$J$4+$M$4*$J$5+[13]FormattedData!F27^2*$J$6+$M$5*$J$7</f>
        <v>30.024642709861727</v>
      </c>
      <c r="N51" s="6">
        <f>$J$3+[13]FormattedData!G27*$J$4+$M$4*$J$5+[13]FormattedData!G27^2*$J$6+$M$5*$J$7</f>
        <v>30.219157998127592</v>
      </c>
      <c r="O51" s="6">
        <f>$J$3+[13]FormattedData!H27*$J$4+$M$4*$J$5+[13]FormattedData!H27^2*$J$6+$M$5*$J$7</f>
        <v>32.924619247918557</v>
      </c>
      <c r="P51" s="6">
        <f>$J$3+[13]FormattedData!I27*$J$4+$M$4*$J$5+[13]FormattedData!I27^2*$J$6+$M$5*$J$7</f>
        <v>31.962187255692733</v>
      </c>
      <c r="Q51" s="6">
        <f>$J$3+[13]FormattedData!J27*$J$4+$M$4*$J$5+[13]FormattedData!J27^2*$J$6+$M$5*$J$7</f>
        <v>33.787194080928685</v>
      </c>
      <c r="R51" s="6">
        <f>$J$3+[13]FormattedData!K27*$J$4+$M$4*$J$5+[13]FormattedData!K27^2*$J$6+$M$5*$J$7</f>
        <v>32.058620663336001</v>
      </c>
      <c r="S51" s="6">
        <f>$J$3+[13]FormattedData!L27*$J$4+$M$4*$J$5+[13]FormattedData!L27^2*$J$6+$M$5*$J$7</f>
        <v>30.995528409673785</v>
      </c>
      <c r="T51" s="6">
        <f>$J$3+[13]FormattedData!M27*$J$4+$M$4*$J$5+[13]FormattedData!M27^2*$J$6+$M$5*$J$7</f>
        <v>29.63510491087483</v>
      </c>
      <c r="U51" s="6">
        <f>$J$3+[13]FormattedData!N27*$J$4+$M$4*$J$5+[13]FormattedData!N27^2*$J$6+$M$5*$J$7</f>
        <v>31.285969883127741</v>
      </c>
      <c r="V51" s="6">
        <f>$J$3+[13]FormattedData!O27*$J$4+$M$4*$J$5+[13]FormattedData!O27^2*$J$6+$M$5*$J$7</f>
        <v>31.285969883127741</v>
      </c>
      <c r="W51" s="5">
        <f t="shared" si="9"/>
        <v>31.201617855635348</v>
      </c>
      <c r="X51" s="4">
        <f t="shared" si="10"/>
        <v>0.38631196639169418</v>
      </c>
      <c r="Y51" s="3">
        <f t="shared" si="11"/>
        <v>29.244890815281043</v>
      </c>
      <c r="Z51" s="2">
        <f t="shared" si="12"/>
        <v>30.170529176061127</v>
      </c>
      <c r="AA51" s="3">
        <f t="shared" si="13"/>
        <v>31.140749146400765</v>
      </c>
      <c r="AB51" s="2">
        <f t="shared" si="14"/>
        <v>31.986295607603552</v>
      </c>
      <c r="AC51" s="2">
        <f t="shared" si="15"/>
        <v>33.787194080928685</v>
      </c>
      <c r="AD51" s="2">
        <f t="shared" si="16"/>
        <v>0.43419498182076838</v>
      </c>
      <c r="AE51" s="2">
        <f t="shared" si="17"/>
        <v>-0.20511584653947068</v>
      </c>
    </row>
    <row r="52" spans="2:31" x14ac:dyDescent="0.2">
      <c r="B52" s="1">
        <f>[13]FormattedData!A25</f>
        <v>103</v>
      </c>
      <c r="C52" s="1" t="str">
        <f>VLOOKUP($B52,[13]TrtCodes!$B$11:I68,2)</f>
        <v>FDH</v>
      </c>
      <c r="D52" s="1">
        <f>VLOOKUP($B52,[13]TrtCodes!$B$11:J68,3)</f>
        <v>5</v>
      </c>
      <c r="E52" s="1">
        <f>VLOOKUP($B52,[13]TrtCodes!$B$11:K68,4)</f>
        <v>1</v>
      </c>
      <c r="F52" s="1">
        <f>VLOOKUP($B52,[13]TrtCodes!$B$11:L68,5)</f>
        <v>3</v>
      </c>
      <c r="G52" s="1">
        <f>VLOOKUP($B52,[13]TrtCodes!$B$11:M68,6)</f>
        <v>2</v>
      </c>
      <c r="H52" s="1">
        <f>VLOOKUP($B52,[13]TrtCodes!$B$11:N68,7)</f>
        <v>1</v>
      </c>
      <c r="I52" s="1">
        <f>[13]FormattedData!B25</f>
        <v>2</v>
      </c>
      <c r="J52" s="4">
        <f>[13]FormattedData!C25</f>
        <v>12.968</v>
      </c>
      <c r="K52" s="6">
        <f>$J$3+[13]FormattedData!D25*$J$4+$M$4*$J$5+[13]FormattedData!D25^2*$J$6+$M$5*$J$7</f>
        <v>30.12192148826362</v>
      </c>
      <c r="L52" s="6">
        <f>$J$3+[13]FormattedData!E25*$J$4+$M$4*$J$5+[13]FormattedData!E25^2*$J$6+$M$5*$J$7</f>
        <v>30.024642709861727</v>
      </c>
      <c r="M52" s="6">
        <f>$J$3+[13]FormattedData!F25*$J$4+$M$4*$J$5+[13]FormattedData!F25^2*$J$6+$M$5*$J$7</f>
        <v>31.962187255692733</v>
      </c>
      <c r="N52" s="6">
        <f>$J$3+[13]FormattedData!G25*$J$4+$M$4*$J$5+[13]FormattedData!G25^2*$J$6+$M$5*$J$7</f>
        <v>31.092384502696365</v>
      </c>
      <c r="O52" s="6">
        <f>$J$3+[13]FormattedData!H25*$J$4+$M$4*$J$5+[13]FormattedData!H25^2*$J$6+$M$5*$J$7</f>
        <v>30.510613916491899</v>
      </c>
      <c r="P52" s="6">
        <f>$J$3+[13]FormattedData!I25*$J$4+$M$4*$J$5+[13]FormattedData!I25^2*$J$6+$M$5*$J$7</f>
        <v>30.995528409673785</v>
      </c>
      <c r="Q52" s="6">
        <f>$J$3+[13]FormattedData!J25*$J$4+$M$4*$J$5+[13]FormattedData!J25^2*$J$6+$M$5*$J$7</f>
        <v>33.020629970182519</v>
      </c>
      <c r="R52" s="6">
        <f>$J$3+[13]FormattedData!K25*$J$4+$M$4*$J$5+[13]FormattedData!K25^2*$J$6+$M$5*$J$7</f>
        <v>30.801689418014824</v>
      </c>
      <c r="S52" s="6">
        <f>$J$3+[13]FormattedData!L25*$J$4+$M$4*$J$5+[13]FormattedData!L25^2*$J$6+$M$5*$J$7</f>
        <v>32.347667275038233</v>
      </c>
      <c r="T52" s="6">
        <f>$J$3+[13]FormattedData!M25*$J$4+$M$4*$J$5+[13]FormattedData!M25^2*$J$6+$M$5*$J$7</f>
        <v>30.898630048113272</v>
      </c>
      <c r="U52" s="6">
        <f>$J$3+[13]FormattedData!N25*$J$4+$M$4*$J$5+[13]FormattedData!N25^2*$J$6+$M$5*$J$7</f>
        <v>31.092384502696365</v>
      </c>
      <c r="V52" s="6">
        <f>$J$3+[13]FormattedData!O25*$J$4+$M$4*$J$5+[13]FormattedData!O25^2*$J$6+$M$5*$J$7</f>
        <v>30.316352239453622</v>
      </c>
      <c r="W52" s="5">
        <f t="shared" si="9"/>
        <v>31.098719311348248</v>
      </c>
      <c r="X52" s="4">
        <f t="shared" si="10"/>
        <v>0.26405807877747178</v>
      </c>
      <c r="Y52" s="3">
        <f t="shared" si="11"/>
        <v>30.024642709861727</v>
      </c>
      <c r="Z52" s="2">
        <f t="shared" si="12"/>
        <v>30.462048497232331</v>
      </c>
      <c r="AA52" s="3">
        <f t="shared" si="13"/>
        <v>30.947079228893529</v>
      </c>
      <c r="AB52" s="2">
        <f t="shared" si="14"/>
        <v>31.309835190945456</v>
      </c>
      <c r="AC52" s="2">
        <f t="shared" si="15"/>
        <v>33.020629970182519</v>
      </c>
      <c r="AD52" s="2">
        <f t="shared" si="16"/>
        <v>0.96956098447105299</v>
      </c>
      <c r="AE52" s="2">
        <f t="shared" si="17"/>
        <v>0.32815432479869155</v>
      </c>
    </row>
    <row r="53" spans="2:31" x14ac:dyDescent="0.2">
      <c r="B53" s="1">
        <f>[13]FormattedData!A23</f>
        <v>104</v>
      </c>
      <c r="C53" s="1" t="str">
        <f>VLOOKUP($B53,[13]TrtCodes!$B$11:I66,2)</f>
        <v>NTL</v>
      </c>
      <c r="D53" s="1">
        <f>VLOOKUP($B53,[13]TrtCodes!$B$11:J66,3)</f>
        <v>10</v>
      </c>
      <c r="E53" s="1">
        <f>VLOOKUP($B53,[13]TrtCodes!$B$11:K66,4)</f>
        <v>2</v>
      </c>
      <c r="F53" s="1">
        <f>VLOOKUP($B53,[13]TrtCodes!$B$11:L66,5)</f>
        <v>2</v>
      </c>
      <c r="G53" s="1">
        <f>VLOOKUP($B53,[13]TrtCodes!$B$11:M66,6)</f>
        <v>1</v>
      </c>
      <c r="H53" s="1">
        <f>VLOOKUP($B53,[13]TrtCodes!$B$11:N66,7)</f>
        <v>1</v>
      </c>
      <c r="I53" s="1">
        <f>[13]FormattedData!B23</f>
        <v>2</v>
      </c>
      <c r="J53" s="4">
        <f>[13]FormattedData!C23</f>
        <v>12.954000000000001</v>
      </c>
      <c r="K53" s="6">
        <f>$J$3+[13]FormattedData!D23*$J$4+$M$4*$J$5+[13]FormattedData!D23^2*$J$6+$M$5*$J$7</f>
        <v>29.440082400153798</v>
      </c>
      <c r="L53" s="6">
        <f>$J$3+[13]FormattedData!E23*$J$4+$M$4*$J$5+[13]FormattedData!E23^2*$J$6+$M$5*$J$7</f>
        <v>28.462433734272764</v>
      </c>
      <c r="M53" s="6">
        <f>$J$3+[13]FormattedData!F23*$J$4+$M$4*$J$5+[13]FormattedData!F23^2*$J$6+$M$5*$J$7</f>
        <v>30.510613916491899</v>
      </c>
      <c r="N53" s="6">
        <f>$J$3+[13]FormattedData!G23*$J$4+$M$4*$J$5+[13]FormattedData!G23^2*$J$6+$M$5*$J$7</f>
        <v>28.364436390726034</v>
      </c>
      <c r="O53" s="6">
        <f>$J$3+[13]FormattedData!H23*$J$4+$M$4*$J$5+[13]FormattedData!H23^2*$J$6+$M$5*$J$7</f>
        <v>31.285969883127741</v>
      </c>
      <c r="P53" s="6">
        <f>$J$3+[13]FormattedData!I23*$J$4+$M$4*$J$5+[13]FormattedData!I23^2*$J$6+$M$5*$J$7</f>
        <v>29.440082400153798</v>
      </c>
      <c r="Q53" s="6">
        <f>$J$3+[13]FormattedData!J23*$J$4+$M$4*$J$5+[13]FormattedData!J23^2*$J$6+$M$5*$J$7</f>
        <v>32.155011802441344</v>
      </c>
      <c r="R53" s="6">
        <f>$J$3+[13]FormattedData!K23*$J$4+$M$4*$J$5+[13]FormattedData!K23^2*$J$6+$M$5*$J$7</f>
        <v>29.927321662921905</v>
      </c>
      <c r="S53" s="6">
        <f>$J$3+[13]FormattedData!L23*$J$4+$M$4*$J$5+[13]FormattedData!L23^2*$J$6+$M$5*$J$7</f>
        <v>30.704706519378448</v>
      </c>
      <c r="T53" s="6">
        <f>$J$3+[13]FormattedData!M23*$J$4+$M$4*$J$5+[13]FormattedData!M23^2*$J$6+$M$5*$J$7</f>
        <v>29.63510491087483</v>
      </c>
      <c r="U53" s="6">
        <f>$J$3+[13]FormattedData!N23*$J$4+$M$4*$J$5+[13]FormattedData!N23^2*$J$6+$M$5*$J$7</f>
        <v>31.769193634792387</v>
      </c>
      <c r="V53" s="6">
        <f>$J$3+[13]FormattedData!O23*$J$4+$M$4*$J$5+[13]FormattedData!O23^2*$J$6+$M$5*$J$7</f>
        <v>29.440082400153798</v>
      </c>
      <c r="W53" s="5">
        <f t="shared" si="9"/>
        <v>30.094586637957391</v>
      </c>
      <c r="X53" s="4">
        <f t="shared" si="10"/>
        <v>0.35028074082274846</v>
      </c>
      <c r="Y53" s="3">
        <f t="shared" si="11"/>
        <v>28.364436390726034</v>
      </c>
      <c r="Z53" s="2">
        <f t="shared" si="12"/>
        <v>29.440082400153798</v>
      </c>
      <c r="AA53" s="3">
        <f t="shared" si="13"/>
        <v>29.781213286898367</v>
      </c>
      <c r="AB53" s="2">
        <f t="shared" si="14"/>
        <v>30.850022360315769</v>
      </c>
      <c r="AC53" s="2">
        <f t="shared" si="15"/>
        <v>32.155011802441344</v>
      </c>
      <c r="AD53" s="2">
        <f t="shared" si="16"/>
        <v>0.30309145160451267</v>
      </c>
      <c r="AE53" s="2">
        <f t="shared" si="17"/>
        <v>-0.78249358184260753</v>
      </c>
    </row>
    <row r="54" spans="2:31" x14ac:dyDescent="0.2">
      <c r="B54" s="1">
        <f>[13]FormattedData!A21</f>
        <v>105</v>
      </c>
      <c r="C54" s="1" t="str">
        <f>VLOOKUP($B54,[13]TrtCodes!$B$11:I64,2)</f>
        <v>NDL</v>
      </c>
      <c r="D54" s="1">
        <f>VLOOKUP($B54,[13]TrtCodes!$B$11:J64,3)</f>
        <v>12</v>
      </c>
      <c r="E54" s="1">
        <f>VLOOKUP($B54,[13]TrtCodes!$B$11:K64,4)</f>
        <v>2</v>
      </c>
      <c r="F54" s="1">
        <f>VLOOKUP($B54,[13]TrtCodes!$B$11:L64,5)</f>
        <v>3</v>
      </c>
      <c r="G54" s="1">
        <f>VLOOKUP($B54,[13]TrtCodes!$B$11:M64,6)</f>
        <v>1</v>
      </c>
      <c r="H54" s="1">
        <f>VLOOKUP($B54,[13]TrtCodes!$B$11:N64,7)</f>
        <v>2</v>
      </c>
      <c r="I54" s="1">
        <f>[13]FormattedData!B21</f>
        <v>2</v>
      </c>
      <c r="J54" s="4">
        <f>[13]FormattedData!C21</f>
        <v>12.939</v>
      </c>
      <c r="K54" s="6">
        <f>$J$3+[13]FormattedData!D21*$J$4+$M$4*$J$5+[13]FormattedData!D21^2*$J$6+$M$5*$J$7</f>
        <v>29.342507741986385</v>
      </c>
      <c r="L54" s="6">
        <f>$J$3+[13]FormattedData!E21*$J$4+$M$4*$J$5+[13]FormattedData!E21^2*$J$6+$M$5*$J$7</f>
        <v>28.756172153685348</v>
      </c>
      <c r="M54" s="6">
        <f>$J$3+[13]FormattedData!F21*$J$4+$M$4*$J$5+[13]FormattedData!F21^2*$J$6+$M$5*$J$7</f>
        <v>30.12192148826362</v>
      </c>
      <c r="N54" s="6">
        <f>$J$3+[13]FormattedData!G21*$J$4+$M$4*$J$5+[13]FormattedData!G21^2*$J$6+$M$5*$J$7</f>
        <v>28.951786423937421</v>
      </c>
      <c r="O54" s="6">
        <f>$J$3+[13]FormattedData!H21*$J$4+$M$4*$J$5+[13]FormattedData!H21^2*$J$6+$M$5*$J$7</f>
        <v>30.316352239453622</v>
      </c>
      <c r="P54" s="6">
        <f>$J$3+[13]FormattedData!I21*$J$4+$M$4*$J$5+[13]FormattedData!I21^2*$J$6+$M$5*$J$7</f>
        <v>28.462433734272764</v>
      </c>
      <c r="Q54" s="6">
        <f>$J$3+[13]FormattedData!J21*$J$4+$M$4*$J$5+[13]FormattedData!J21^2*$J$6+$M$5*$J$7</f>
        <v>30.607681352204136</v>
      </c>
      <c r="R54" s="6">
        <f>$J$3+[13]FormattedData!K21*$J$4+$M$4*$J$5+[13]FormattedData!K21^2*$J$6+$M$5*$J$7</f>
        <v>29.440082400153798</v>
      </c>
      <c r="S54" s="6">
        <f>$J$3+[13]FormattedData!L21*$J$4+$M$4*$J$5+[13]FormattedData!L21^2*$J$6+$M$5*$J$7</f>
        <v>31.189198327181025</v>
      </c>
      <c r="T54" s="6">
        <f>$J$3+[13]FormattedData!M21*$J$4+$M$4*$J$5+[13]FormattedData!M21^2*$J$6+$M$5*$J$7</f>
        <v>29.732552763428455</v>
      </c>
      <c r="U54" s="6">
        <f>$J$3+[13]FormattedData!N21*$J$4+$M$4*$J$5+[13]FormattedData!N21^2*$J$6+$M$5*$J$7</f>
        <v>28.85400042308035</v>
      </c>
      <c r="V54" s="6">
        <f>$J$3+[13]FormattedData!O21*$J$4+$M$4*$J$5+[13]FormattedData!O21^2*$J$6+$M$5*$J$7</f>
        <v>29.63510491087483</v>
      </c>
      <c r="W54" s="5">
        <f t="shared" si="9"/>
        <v>29.61748282987681</v>
      </c>
      <c r="X54" s="4">
        <f t="shared" si="10"/>
        <v>0.23703255359345923</v>
      </c>
      <c r="Y54" s="3">
        <f t="shared" si="11"/>
        <v>28.462433734272764</v>
      </c>
      <c r="Z54" s="2">
        <f t="shared" si="12"/>
        <v>28.927339923723153</v>
      </c>
      <c r="AA54" s="3">
        <f t="shared" si="13"/>
        <v>29.537593655514314</v>
      </c>
      <c r="AB54" s="2">
        <f t="shared" si="14"/>
        <v>30.17052917606112</v>
      </c>
      <c r="AC54" s="2">
        <f t="shared" si="15"/>
        <v>31.189198327181025</v>
      </c>
      <c r="AD54" s="2">
        <f t="shared" si="16"/>
        <v>0.46866613011248581</v>
      </c>
      <c r="AE54" s="2">
        <f t="shared" si="17"/>
        <v>-0.48349598459553933</v>
      </c>
    </row>
    <row r="55" spans="2:31" x14ac:dyDescent="0.2">
      <c r="B55" s="1">
        <f>[13]FormattedData!A19</f>
        <v>106</v>
      </c>
      <c r="C55" s="1" t="str">
        <f>VLOOKUP($B55,[13]TrtCodes!$B$11:I62,2)</f>
        <v>NTH</v>
      </c>
      <c r="D55" s="1">
        <f>VLOOKUP($B55,[13]TrtCodes!$B$11:J62,3)</f>
        <v>9</v>
      </c>
      <c r="E55" s="1">
        <f>VLOOKUP($B55,[13]TrtCodes!$B$11:K62,4)</f>
        <v>2</v>
      </c>
      <c r="F55" s="1">
        <f>VLOOKUP($B55,[13]TrtCodes!$B$11:L62,5)</f>
        <v>2</v>
      </c>
      <c r="G55" s="1">
        <f>VLOOKUP($B55,[13]TrtCodes!$B$11:M62,6)</f>
        <v>2</v>
      </c>
      <c r="H55" s="1">
        <f>VLOOKUP($B55,[13]TrtCodes!$B$11:N62,7)</f>
        <v>2</v>
      </c>
      <c r="I55" s="1">
        <f>[13]FormattedData!B19</f>
        <v>2</v>
      </c>
      <c r="J55" s="4">
        <f>[13]FormattedData!C19</f>
        <v>12.925000000000001</v>
      </c>
      <c r="K55" s="6">
        <f>$J$3+[13]FormattedData!D19*$J$4+$M$4*$J$5+[13]FormattedData!D19^2*$J$6+$M$5*$J$7</f>
        <v>30.801689418014824</v>
      </c>
      <c r="L55" s="6">
        <f>$J$3+[13]FormattedData!E19*$J$4+$M$4*$J$5+[13]FormattedData!E19^2*$J$6+$M$5*$J$7</f>
        <v>30.995528409673785</v>
      </c>
      <c r="M55" s="6">
        <f>$J$3+[13]FormattedData!F19*$J$4+$M$4*$J$5+[13]FormattedData!F19^2*$J$6+$M$5*$J$7</f>
        <v>29.63510491087483</v>
      </c>
      <c r="N55" s="6">
        <f>$J$3+[13]FormattedData!G19*$J$4+$M$4*$J$5+[13]FormattedData!G19^2*$J$6+$M$5*$J$7</f>
        <v>30.704706519378448</v>
      </c>
      <c r="O55" s="6">
        <f>$J$3+[13]FormattedData!H19*$J$4+$M$4*$J$5+[13]FormattedData!H19^2*$J$6+$M$5*$J$7</f>
        <v>30.704706519378448</v>
      </c>
      <c r="P55" s="6">
        <f>$J$3+[13]FormattedData!I19*$J$4+$M$4*$J$5+[13]FormattedData!I19^2*$J$6+$M$5*$J$7</f>
        <v>30.607681352204136</v>
      </c>
      <c r="Q55" s="6">
        <f>$J$3+[13]FormattedData!J19*$J$4+$M$4*$J$5+[13]FormattedData!J19^2*$J$6+$M$5*$J$7</f>
        <v>31.672633421535323</v>
      </c>
      <c r="R55" s="6">
        <f>$J$3+[13]FormattedData!K19*$J$4+$M$4*$J$5+[13]FormattedData!K19^2*$J$6+$M$5*$J$7</f>
        <v>31.092384502696365</v>
      </c>
      <c r="S55" s="6">
        <f>$J$3+[13]FormattedData!L19*$J$4+$M$4*$J$5+[13]FormattedData!L19^2*$J$6+$M$5*$J$7</f>
        <v>30.801689418014824</v>
      </c>
      <c r="T55" s="6">
        <f>$J$3+[13]FormattedData!M19*$J$4+$M$4*$J$5+[13]FormattedData!M19^2*$J$6+$M$5*$J$7</f>
        <v>29.829958347444141</v>
      </c>
      <c r="U55" s="6">
        <f>$J$3+[13]FormattedData!N19*$J$4+$M$4*$J$5+[13]FormattedData!N19^2*$J$6+$M$5*$J$7</f>
        <v>32.155011802441344</v>
      </c>
      <c r="V55" s="6">
        <f>$J$3+[13]FormattedData!O19*$J$4+$M$4*$J$5+[13]FormattedData!O19^2*$J$6+$M$5*$J$7</f>
        <v>29.440082400153798</v>
      </c>
      <c r="W55" s="5">
        <f t="shared" si="9"/>
        <v>30.703431418484186</v>
      </c>
      <c r="X55" s="4">
        <f t="shared" si="10"/>
        <v>0.22716719510984398</v>
      </c>
      <c r="Y55" s="3">
        <f t="shared" si="11"/>
        <v>29.440082400153798</v>
      </c>
      <c r="Z55" s="2">
        <f t="shared" si="12"/>
        <v>30.413250601014138</v>
      </c>
      <c r="AA55" s="3">
        <f t="shared" si="13"/>
        <v>30.753197968696636</v>
      </c>
      <c r="AB55" s="2">
        <f t="shared" si="14"/>
        <v>31.01974243292943</v>
      </c>
      <c r="AC55" s="2">
        <f t="shared" si="15"/>
        <v>32.155011802441344</v>
      </c>
      <c r="AD55" s="2">
        <f t="shared" si="16"/>
        <v>3.3963497370579625E-2</v>
      </c>
      <c r="AE55" s="2">
        <f t="shared" si="17"/>
        <v>-1.2713550240096794E-2</v>
      </c>
    </row>
    <row r="56" spans="2:31" x14ac:dyDescent="0.2">
      <c r="B56" s="1">
        <f>[13]FormattedData!A17</f>
        <v>107</v>
      </c>
      <c r="C56" s="1" t="str">
        <f>VLOOKUP($B56,[13]TrtCodes!$B$11:I60,2)</f>
        <v>NTL</v>
      </c>
      <c r="D56" s="1">
        <f>VLOOKUP($B56,[13]TrtCodes!$B$11:J60,3)</f>
        <v>10</v>
      </c>
      <c r="E56" s="1">
        <f>VLOOKUP($B56,[13]TrtCodes!$B$11:K60,4)</f>
        <v>2</v>
      </c>
      <c r="F56" s="1">
        <f>VLOOKUP($B56,[13]TrtCodes!$B$11:L60,5)</f>
        <v>2</v>
      </c>
      <c r="G56" s="1">
        <f>VLOOKUP($B56,[13]TrtCodes!$B$11:M60,6)</f>
        <v>1</v>
      </c>
      <c r="H56" s="1">
        <f>VLOOKUP($B56,[13]TrtCodes!$B$11:N60,7)</f>
        <v>2</v>
      </c>
      <c r="I56" s="1">
        <f>[13]FormattedData!B17</f>
        <v>2</v>
      </c>
      <c r="J56" s="4">
        <f>[13]FormattedData!C17</f>
        <v>12.911</v>
      </c>
      <c r="K56" s="6">
        <f>$J$3+[13]FormattedData!D17*$J$4+$M$4*$J$5+[13]FormattedData!D17^2*$J$6+$M$5*$J$7</f>
        <v>29.537614789783284</v>
      </c>
      <c r="L56" s="6">
        <f>$J$3+[13]FormattedData!E17*$J$4+$M$4*$J$5+[13]FormattedData!E17^2*$J$6+$M$5*$J$7</f>
        <v>29.244890815281043</v>
      </c>
      <c r="M56" s="6">
        <f>$J$3+[13]FormattedData!F17*$J$4+$M$4*$J$5+[13]FormattedData!F17^2*$J$6+$M$5*$J$7</f>
        <v>30.995528409673785</v>
      </c>
      <c r="N56" s="6">
        <f>$J$3+[13]FormattedData!G17*$J$4+$M$4*$J$5+[13]FormattedData!G17^2*$J$6+$M$5*$J$7</f>
        <v>30.995528409673785</v>
      </c>
      <c r="O56" s="6">
        <f>$J$3+[13]FormattedData!H17*$J$4+$M$4*$J$5+[13]FormattedData!H17^2*$J$6+$M$5*$J$7</f>
        <v>30.607681352204136</v>
      </c>
      <c r="P56" s="6">
        <f>$J$3+[13]FormattedData!I17*$J$4+$M$4*$J$5+[13]FormattedData!I17^2*$J$6+$M$5*$J$7</f>
        <v>31.479386189407396</v>
      </c>
      <c r="Q56" s="6">
        <f>$J$3+[13]FormattedData!J17*$J$4+$M$4*$J$5+[13]FormattedData!J17^2*$J$6+$M$5*$J$7</f>
        <v>31.769193634792387</v>
      </c>
      <c r="R56" s="6">
        <f>$J$3+[13]FormattedData!K17*$J$4+$M$4*$J$5+[13]FormattedData!K17^2*$J$6+$M$5*$J$7</f>
        <v>30.704706519378448</v>
      </c>
      <c r="S56" s="6">
        <f>$J$3+[13]FormattedData!L17*$J$4+$M$4*$J$5+[13]FormattedData!L17^2*$J$6+$M$5*$J$7</f>
        <v>32.347667275038233</v>
      </c>
      <c r="T56" s="6">
        <f>$J$3+[13]FormattedData!M17*$J$4+$M$4*$J$5+[13]FormattedData!M17^2*$J$6+$M$5*$J$7</f>
        <v>31.189198327181025</v>
      </c>
      <c r="U56" s="6">
        <f>$J$3+[13]FormattedData!N17*$J$4+$M$4*$J$5+[13]FormattedData!N17^2*$J$6+$M$5*$J$7</f>
        <v>31.769193634792387</v>
      </c>
      <c r="V56" s="6">
        <f>$J$3+[13]FormattedData!O17*$J$4+$M$4*$J$5+[13]FormattedData!O17^2*$J$6+$M$5*$J$7</f>
        <v>32.155011802441344</v>
      </c>
      <c r="W56" s="5">
        <f t="shared" si="9"/>
        <v>31.066300096637267</v>
      </c>
      <c r="X56" s="4">
        <f t="shared" si="10"/>
        <v>0.27533129686113328</v>
      </c>
      <c r="Y56" s="3">
        <f t="shared" si="11"/>
        <v>29.244890815281043</v>
      </c>
      <c r="Z56" s="2">
        <f t="shared" si="12"/>
        <v>30.680450227584871</v>
      </c>
      <c r="AA56" s="3">
        <f t="shared" si="13"/>
        <v>31.092363368427407</v>
      </c>
      <c r="AB56" s="2">
        <f t="shared" si="14"/>
        <v>31.769193634792387</v>
      </c>
      <c r="AC56" s="2">
        <f t="shared" si="15"/>
        <v>32.347667275038233</v>
      </c>
      <c r="AD56" s="2">
        <f t="shared" si="16"/>
        <v>-0.70387645887974903</v>
      </c>
      <c r="AE56" s="2">
        <f t="shared" si="17"/>
        <v>-6.652368521296026E-3</v>
      </c>
    </row>
    <row r="57" spans="2:31" x14ac:dyDescent="0.2">
      <c r="B57" s="1">
        <f>[13]FormattedData!A15</f>
        <v>108</v>
      </c>
      <c r="C57" s="1" t="str">
        <f>VLOOKUP($B57,[13]TrtCodes!$B$11:I58,2)</f>
        <v>FTH</v>
      </c>
      <c r="D57" s="1">
        <f>VLOOKUP($B57,[13]TrtCodes!$B$11:J58,3)</f>
        <v>3</v>
      </c>
      <c r="E57" s="1">
        <f>VLOOKUP($B57,[13]TrtCodes!$B$11:K58,4)</f>
        <v>1</v>
      </c>
      <c r="F57" s="1">
        <f>VLOOKUP($B57,[13]TrtCodes!$B$11:L58,5)</f>
        <v>2</v>
      </c>
      <c r="G57" s="1">
        <f>VLOOKUP($B57,[13]TrtCodes!$B$11:M58,6)</f>
        <v>2</v>
      </c>
      <c r="H57" s="1">
        <f>VLOOKUP($B57,[13]TrtCodes!$B$11:N58,7)</f>
        <v>2</v>
      </c>
      <c r="I57" s="1">
        <f>[13]FormattedData!B15</f>
        <v>2</v>
      </c>
      <c r="J57" s="4">
        <f>[13]FormattedData!C15</f>
        <v>12.897</v>
      </c>
      <c r="K57" s="6">
        <f>$J$3+[13]FormattedData!D15*$J$4+$M$4*$J$5+[13]FormattedData!D15^2*$J$6+$M$5*$J$7</f>
        <v>29.049530156256559</v>
      </c>
      <c r="L57" s="6">
        <f>$J$3+[13]FormattedData!E15*$J$4+$M$4*$J$5+[13]FormattedData!E15^2*$J$6+$M$5*$J$7</f>
        <v>31.38269917053654</v>
      </c>
      <c r="M57" s="6">
        <f>$J$3+[13]FormattedData!F15*$J$4+$M$4*$J$5+[13]FormattedData!F15^2*$J$6+$M$5*$J$7</f>
        <v>30.024642709861727</v>
      </c>
      <c r="N57" s="6">
        <f>$J$3+[13]FormattedData!G15*$J$4+$M$4*$J$5+[13]FormattedData!G15^2*$J$6+$M$5*$J$7</f>
        <v>30.41350421224173</v>
      </c>
      <c r="O57" s="6">
        <f>$J$3+[13]FormattedData!H15*$J$4+$M$4*$J$5+[13]FormattedData!H15^2*$J$6+$M$5*$J$7</f>
        <v>31.479386189407396</v>
      </c>
      <c r="P57" s="6">
        <f>$J$3+[13]FormattedData!I15*$J$4+$M$4*$J$5+[13]FormattedData!I15^2*$J$6+$M$5*$J$7</f>
        <v>30.219157998127592</v>
      </c>
      <c r="Q57" s="6">
        <f>$J$3+[13]FormattedData!J15*$J$4+$M$4*$J$5+[13]FormattedData!J15^2*$J$6+$M$5*$J$7</f>
        <v>32.443931608529788</v>
      </c>
      <c r="R57" s="6">
        <f>$J$3+[13]FormattedData!K15*$J$4+$M$4*$J$5+[13]FormattedData!K15^2*$J$6+$M$5*$J$7</f>
        <v>30.024642709861727</v>
      </c>
      <c r="S57" s="6">
        <f>$J$3+[13]FormattedData!L15*$J$4+$M$4*$J$5+[13]FormattedData!L15^2*$J$6+$M$5*$J$7</f>
        <v>29.927321662921905</v>
      </c>
      <c r="T57" s="6">
        <f>$J$3+[13]FormattedData!M15*$J$4+$M$4*$J$5+[13]FormattedData!M15^2*$J$6+$M$5*$J$7</f>
        <v>31.479386189407396</v>
      </c>
      <c r="U57" s="6">
        <f>$J$3+[13]FormattedData!N15*$J$4+$M$4*$J$5+[13]FormattedData!N15^2*$J$6+$M$5*$J$7</f>
        <v>29.927321662921905</v>
      </c>
      <c r="V57" s="6">
        <f>$J$3+[13]FormattedData!O15*$J$4+$M$4*$J$5+[13]FormattedData!O15^2*$J$6+$M$5*$J$7</f>
        <v>30.607681352204136</v>
      </c>
      <c r="W57" s="5">
        <f t="shared" si="9"/>
        <v>30.581600468523202</v>
      </c>
      <c r="X57" s="4">
        <f t="shared" si="10"/>
        <v>0.27116724065493131</v>
      </c>
      <c r="Y57" s="3">
        <f t="shared" si="11"/>
        <v>29.049530156256559</v>
      </c>
      <c r="Z57" s="2">
        <f t="shared" si="12"/>
        <v>30.00031244812677</v>
      </c>
      <c r="AA57" s="3">
        <f t="shared" si="13"/>
        <v>30.316331105184659</v>
      </c>
      <c r="AB57" s="2">
        <f t="shared" si="14"/>
        <v>31.406870925254253</v>
      </c>
      <c r="AC57" s="2">
        <f t="shared" si="15"/>
        <v>32.443931608529788</v>
      </c>
      <c r="AD57" s="2">
        <f t="shared" si="16"/>
        <v>0.50885885275495191</v>
      </c>
      <c r="AE57" s="2">
        <f t="shared" si="17"/>
        <v>-2.0713195876293611E-2</v>
      </c>
    </row>
    <row r="58" spans="2:31" x14ac:dyDescent="0.2">
      <c r="B58" s="1">
        <f>[13]FormattedData!A31</f>
        <v>201</v>
      </c>
      <c r="C58" s="1" t="str">
        <f>VLOOKUP($B58,[13]TrtCodes!$B$11:I74,2)</f>
        <v>NDL</v>
      </c>
      <c r="D58" s="1">
        <f>VLOOKUP($B58,[13]TrtCodes!$B$11:J74,3)</f>
        <v>12</v>
      </c>
      <c r="E58" s="1">
        <f>VLOOKUP($B58,[13]TrtCodes!$B$11:K74,4)</f>
        <v>2</v>
      </c>
      <c r="F58" s="1">
        <f>VLOOKUP($B58,[13]TrtCodes!$B$11:L74,5)</f>
        <v>3</v>
      </c>
      <c r="G58" s="1">
        <f>VLOOKUP($B58,[13]TrtCodes!$B$11:M74,6)</f>
        <v>1</v>
      </c>
      <c r="H58" s="1">
        <f>VLOOKUP($B58,[13]TrtCodes!$B$11:N74,7)</f>
        <v>1</v>
      </c>
      <c r="I58" s="1">
        <f>[13]FormattedData!B31</f>
        <v>2</v>
      </c>
      <c r="J58" s="4">
        <f>[13]FormattedData!C31</f>
        <v>13.016999999999999</v>
      </c>
      <c r="K58" s="6">
        <f>$J$3+[13]FormattedData!D31*$J$4+$M$4*$J$5+[13]FormattedData!D31^2*$J$6+$M$5*$J$7</f>
        <v>29.927321662921905</v>
      </c>
      <c r="L58" s="6">
        <f>$J$3+[13]FormattedData!E31*$J$4+$M$4*$J$5+[13]FormattedData!E31^2*$J$6+$M$5*$J$7</f>
        <v>29.440082400153798</v>
      </c>
      <c r="M58" s="6">
        <f>$J$3+[13]FormattedData!F31*$J$4+$M$4*$J$5+[13]FormattedData!F31^2*$J$6+$M$5*$J$7</f>
        <v>29.829958347444141</v>
      </c>
      <c r="N58" s="6">
        <f>$J$3+[13]FormattedData!G31*$J$4+$M$4*$J$5+[13]FormattedData!G31^2*$J$6+$M$5*$J$7</f>
        <v>30.995528409673785</v>
      </c>
      <c r="O58" s="6">
        <f>$J$3+[13]FormattedData!H31*$J$4+$M$4*$J$5+[13]FormattedData!H31^2*$J$6+$M$5*$J$7</f>
        <v>30.12192148826362</v>
      </c>
      <c r="P58" s="6">
        <f>$J$3+[13]FormattedData!I31*$J$4+$M$4*$J$5+[13]FormattedData!I31^2*$J$6+$M$5*$J$7</f>
        <v>30.510613916491899</v>
      </c>
      <c r="Q58" s="6">
        <f>$J$3+[13]FormattedData!J31*$J$4+$M$4*$J$5+[13]FormattedData!J31^2*$J$6+$M$5*$J$7</f>
        <v>30.316352239453622</v>
      </c>
      <c r="R58" s="6">
        <f>$J$3+[13]FormattedData!K31*$J$4+$M$4*$J$5+[13]FormattedData!K31^2*$J$6+$M$5*$J$7</f>
        <v>31.38269917053654</v>
      </c>
      <c r="S58" s="6">
        <f>$J$3+[13]FormattedData!L31*$J$4+$M$4*$J$5+[13]FormattedData!L31^2*$J$6+$M$5*$J$7</f>
        <v>31.285969883127741</v>
      </c>
      <c r="T58" s="6">
        <f>$J$3+[13]FormattedData!M31*$J$4+$M$4*$J$5+[13]FormattedData!M31^2*$J$6+$M$5*$J$7</f>
        <v>30.219157998127592</v>
      </c>
      <c r="U58" s="6">
        <f>$J$3+[13]FormattedData!N31*$J$4+$M$4*$J$5+[13]FormattedData!N31^2*$J$6+$M$5*$J$7</f>
        <v>30.801689418014824</v>
      </c>
      <c r="V58" s="6">
        <f>$J$3+[13]FormattedData!O31*$J$4+$M$4*$J$5+[13]FormattedData!O31^2*$J$6+$M$5*$J$7</f>
        <v>29.537614789783284</v>
      </c>
      <c r="W58" s="5">
        <f t="shared" si="9"/>
        <v>30.364075810332725</v>
      </c>
      <c r="X58" s="4">
        <f t="shared" si="10"/>
        <v>0.1865546556520622</v>
      </c>
      <c r="Y58" s="3">
        <f t="shared" si="11"/>
        <v>29.440082400153798</v>
      </c>
      <c r="Z58" s="2">
        <f t="shared" si="12"/>
        <v>29.902980834052464</v>
      </c>
      <c r="AA58" s="3">
        <f t="shared" si="13"/>
        <v>30.267755118790607</v>
      </c>
      <c r="AB58" s="2">
        <f t="shared" si="14"/>
        <v>30.850149165929565</v>
      </c>
      <c r="AC58" s="2">
        <f t="shared" si="15"/>
        <v>31.38269917053654</v>
      </c>
      <c r="AD58" s="2">
        <f t="shared" si="16"/>
        <v>0.23150368313764277</v>
      </c>
      <c r="AE58" s="2">
        <f t="shared" si="17"/>
        <v>-1.040986871760762</v>
      </c>
    </row>
    <row r="59" spans="2:31" x14ac:dyDescent="0.2">
      <c r="B59" s="1">
        <f>[13]FormattedData!A33</f>
        <v>202</v>
      </c>
      <c r="C59" s="1" t="str">
        <f>VLOOKUP($B59,[13]TrtCodes!$B$11:I76,2)</f>
        <v>NTH</v>
      </c>
      <c r="D59" s="1">
        <f>VLOOKUP($B59,[13]TrtCodes!$B$11:J76,3)</f>
        <v>9</v>
      </c>
      <c r="E59" s="1">
        <f>VLOOKUP($B59,[13]TrtCodes!$B$11:K76,4)</f>
        <v>2</v>
      </c>
      <c r="F59" s="1">
        <f>VLOOKUP($B59,[13]TrtCodes!$B$11:L76,5)</f>
        <v>2</v>
      </c>
      <c r="G59" s="1">
        <f>VLOOKUP($B59,[13]TrtCodes!$B$11:M76,6)</f>
        <v>2</v>
      </c>
      <c r="H59" s="1">
        <f>VLOOKUP($B59,[13]TrtCodes!$B$11:N76,7)</f>
        <v>1</v>
      </c>
      <c r="I59" s="1">
        <f>[13]FormattedData!B33</f>
        <v>2</v>
      </c>
      <c r="J59" s="4">
        <f>[13]FormattedData!C33</f>
        <v>13.031000000000001</v>
      </c>
      <c r="K59" s="6">
        <f>$J$3+[13]FormattedData!D33*$J$4+$M$4*$J$5+[13]FormattedData!D33^2*$J$6+$M$5*$J$7</f>
        <v>31.865711579511526</v>
      </c>
      <c r="L59" s="6">
        <f>$J$3+[13]FormattedData!E33*$J$4+$M$4*$J$5+[13]FormattedData!E33^2*$J$6+$M$5*$J$7</f>
        <v>30.316352239453622</v>
      </c>
      <c r="M59" s="6">
        <f>$J$3+[13]FormattedData!F33*$J$4+$M$4*$J$5+[13]FormattedData!F33^2*$J$6+$M$5*$J$7</f>
        <v>32.251360673008747</v>
      </c>
      <c r="N59" s="6">
        <f>$J$3+[13]FormattedData!G33*$J$4+$M$4*$J$5+[13]FormattedData!G33^2*$J$6+$M$5*$J$7</f>
        <v>30.12192148826362</v>
      </c>
      <c r="O59" s="6">
        <f>$J$3+[13]FormattedData!H33*$J$4+$M$4*$J$5+[13]FormattedData!H33^2*$J$6+$M$5*$J$7</f>
        <v>30.995528409673785</v>
      </c>
      <c r="P59" s="6">
        <f>$J$3+[13]FormattedData!I33*$J$4+$M$4*$J$5+[13]FormattedData!I33^2*$J$6+$M$5*$J$7</f>
        <v>29.537614789783284</v>
      </c>
      <c r="Q59" s="6">
        <f>$J$3+[13]FormattedData!J33*$J$4+$M$4*$J$5+[13]FormattedData!J33^2*$J$6+$M$5*$J$7</f>
        <v>30.801689418014824</v>
      </c>
      <c r="R59" s="6">
        <f>$J$3+[13]FormattedData!K33*$J$4+$M$4*$J$5+[13]FormattedData!K33^2*$J$6+$M$5*$J$7</f>
        <v>29.342507741986385</v>
      </c>
      <c r="S59" s="6">
        <f>$J$3+[13]FormattedData!L33*$J$4+$M$4*$J$5+[13]FormattedData!L33^2*$J$6+$M$5*$J$7</f>
        <v>29.829958347444141</v>
      </c>
      <c r="T59" s="6">
        <f>$J$3+[13]FormattedData!M33*$J$4+$M$4*$J$5+[13]FormattedData!M33^2*$J$6+$M$5*$J$7</f>
        <v>29.440082400153798</v>
      </c>
      <c r="U59" s="6">
        <f>$J$3+[13]FormattedData!N33*$J$4+$M$4*$J$5+[13]FormattedData!N33^2*$J$6+$M$5*$J$7</f>
        <v>30.995528409673785</v>
      </c>
      <c r="V59" s="6">
        <f>$J$3+[13]FormattedData!O33*$J$4+$M$4*$J$5+[13]FormattedData!O33^2*$J$6+$M$5*$J$7</f>
        <v>28.462433734272764</v>
      </c>
      <c r="W59" s="5">
        <f t="shared" si="9"/>
        <v>30.330057435936691</v>
      </c>
      <c r="X59" s="4">
        <f t="shared" si="10"/>
        <v>0.31783692266474484</v>
      </c>
      <c r="Y59" s="3">
        <f t="shared" si="11"/>
        <v>28.462433734272764</v>
      </c>
      <c r="Z59" s="2">
        <f t="shared" si="12"/>
        <v>29.513231692375911</v>
      </c>
      <c r="AA59" s="3">
        <f t="shared" si="13"/>
        <v>30.219136863858623</v>
      </c>
      <c r="AB59" s="2">
        <f t="shared" si="14"/>
        <v>30.995528409673785</v>
      </c>
      <c r="AC59" s="2">
        <f t="shared" si="15"/>
        <v>32.251360673008747</v>
      </c>
      <c r="AD59" s="2">
        <f t="shared" si="16"/>
        <v>0.21201944709110362</v>
      </c>
      <c r="AE59" s="2">
        <f t="shared" si="17"/>
        <v>-0.40548063776648213</v>
      </c>
    </row>
    <row r="60" spans="2:31" x14ac:dyDescent="0.2">
      <c r="B60" s="1">
        <f>[13]FormattedData!A35</f>
        <v>203</v>
      </c>
      <c r="C60" s="1" t="str">
        <f>VLOOKUP($B60,[13]TrtCodes!$B$11:I78,2)</f>
        <v>FTH</v>
      </c>
      <c r="D60" s="1">
        <f>VLOOKUP($B60,[13]TrtCodes!$B$11:J78,3)</f>
        <v>3</v>
      </c>
      <c r="E60" s="1">
        <f>VLOOKUP($B60,[13]TrtCodes!$B$11:K78,4)</f>
        <v>1</v>
      </c>
      <c r="F60" s="1">
        <f>VLOOKUP($B60,[13]TrtCodes!$B$11:L78,5)</f>
        <v>2</v>
      </c>
      <c r="G60" s="1">
        <f>VLOOKUP($B60,[13]TrtCodes!$B$11:M78,6)</f>
        <v>2</v>
      </c>
      <c r="H60" s="1">
        <f>VLOOKUP($B60,[13]TrtCodes!$B$11:N78,7)</f>
        <v>1</v>
      </c>
      <c r="I60" s="1">
        <f>[13]FormattedData!B35</f>
        <v>2</v>
      </c>
      <c r="J60" s="4">
        <f>[13]FormattedData!C35</f>
        <v>13.044</v>
      </c>
      <c r="K60" s="6">
        <f>$J$3+[13]FormattedData!D35*$J$4+$M$4*$J$5+[13]FormattedData!D35^2*$J$6+$M$5*$J$7</f>
        <v>29.537614789783284</v>
      </c>
      <c r="L60" s="6">
        <f>$J$3+[13]FormattedData!E35*$J$4+$M$4*$J$5+[13]FormattedData!E35^2*$J$6+$M$5*$J$7</f>
        <v>30.024642709861727</v>
      </c>
      <c r="M60" s="6">
        <f>$J$3+[13]FormattedData!F35*$J$4+$M$4*$J$5+[13]FormattedData!F35^2*$J$6+$M$5*$J$7</f>
        <v>31.962187255692733</v>
      </c>
      <c r="N60" s="6">
        <f>$J$3+[13]FormattedData!G35*$J$4+$M$4*$J$5+[13]FormattedData!G35^2*$J$6+$M$5*$J$7</f>
        <v>31.479386189407396</v>
      </c>
      <c r="O60" s="6">
        <f>$J$3+[13]FormattedData!H35*$J$4+$M$4*$J$5+[13]FormattedData!H35^2*$J$6+$M$5*$J$7</f>
        <v>29.732552763428455</v>
      </c>
      <c r="P60" s="6">
        <f>$J$3+[13]FormattedData!I35*$J$4+$M$4*$J$5+[13]FormattedData!I35^2*$J$6+$M$5*$J$7</f>
        <v>29.342507741986385</v>
      </c>
      <c r="Q60" s="6">
        <f>$J$3+[13]FormattedData!J35*$J$4+$M$4*$J$5+[13]FormattedData!J35^2*$J$6+$M$5*$J$7</f>
        <v>31.285969883127741</v>
      </c>
      <c r="R60" s="6">
        <f>$J$3+[13]FormattedData!K35*$J$4+$M$4*$J$5+[13]FormattedData!K35^2*$J$6+$M$5*$J$7</f>
        <v>31.189198327181025</v>
      </c>
      <c r="S60" s="6">
        <f>$J$3+[13]FormattedData!L35*$J$4+$M$4*$J$5+[13]FormattedData!L35^2*$J$6+$M$5*$J$7</f>
        <v>30.219157998127592</v>
      </c>
      <c r="T60" s="6">
        <f>$J$3+[13]FormattedData!M35*$J$4+$M$4*$J$5+[13]FormattedData!M35^2*$J$6+$M$5*$J$7</f>
        <v>29.440082400153798</v>
      </c>
      <c r="U60" s="6">
        <f>$J$3+[13]FormattedData!N35*$J$4+$M$4*$J$5+[13]FormattedData!N35^2*$J$6+$M$5*$J$7</f>
        <v>29.342507741986385</v>
      </c>
      <c r="V60" s="6">
        <f>$J$3+[13]FormattedData!O35*$J$4+$M$4*$J$5+[13]FormattedData!O35^2*$J$6+$M$5*$J$7</f>
        <v>30.024642709861727</v>
      </c>
      <c r="W60" s="5">
        <f t="shared" si="9"/>
        <v>30.29837087588319</v>
      </c>
      <c r="X60" s="4">
        <f t="shared" si="10"/>
        <v>0.26899143967063283</v>
      </c>
      <c r="Y60" s="3">
        <f t="shared" si="11"/>
        <v>29.342507741986385</v>
      </c>
      <c r="Z60" s="2">
        <f t="shared" si="12"/>
        <v>29.513231692375911</v>
      </c>
      <c r="AA60" s="3">
        <f t="shared" si="13"/>
        <v>30.024642709861727</v>
      </c>
      <c r="AB60" s="2">
        <f t="shared" si="14"/>
        <v>31.213391216167704</v>
      </c>
      <c r="AC60" s="2">
        <f t="shared" si="15"/>
        <v>31.962187255692733</v>
      </c>
      <c r="AD60" s="2">
        <f t="shared" si="16"/>
        <v>0.65819186566718901</v>
      </c>
      <c r="AE60" s="2">
        <f t="shared" si="17"/>
        <v>-1.1383137447922969</v>
      </c>
    </row>
    <row r="61" spans="2:31" x14ac:dyDescent="0.2">
      <c r="B61" s="1">
        <f>[13]FormattedData!A37</f>
        <v>204</v>
      </c>
      <c r="C61" s="1" t="str">
        <f>VLOOKUP($B61,[13]TrtCodes!$B$11:I80,2)</f>
        <v>NDH</v>
      </c>
      <c r="D61" s="1">
        <f>VLOOKUP($B61,[13]TrtCodes!$B$11:J80,3)</f>
        <v>11</v>
      </c>
      <c r="E61" s="1">
        <f>VLOOKUP($B61,[13]TrtCodes!$B$11:K80,4)</f>
        <v>2</v>
      </c>
      <c r="F61" s="1">
        <f>VLOOKUP($B61,[13]TrtCodes!$B$11:L80,5)</f>
        <v>3</v>
      </c>
      <c r="G61" s="1">
        <f>VLOOKUP($B61,[13]TrtCodes!$B$11:M80,6)</f>
        <v>2</v>
      </c>
      <c r="H61" s="1">
        <f>VLOOKUP($B61,[13]TrtCodes!$B$11:N80,7)</f>
        <v>1</v>
      </c>
      <c r="I61" s="1">
        <f>[13]FormattedData!B37</f>
        <v>2</v>
      </c>
      <c r="J61" s="4">
        <f>[13]FormattedData!C37</f>
        <v>13.058999999999999</v>
      </c>
      <c r="K61" s="6">
        <f>$J$3+[13]FormattedData!D37*$J$4+$M$4*$J$5+[13]FormattedData!D37^2*$J$6+$M$5*$J$7</f>
        <v>28.560388809281555</v>
      </c>
      <c r="L61" s="6">
        <f>$J$3+[13]FormattedData!E37*$J$4+$M$4*$J$5+[13]FormattedData!E37^2*$J$6+$M$5*$J$7</f>
        <v>28.560388809281555</v>
      </c>
      <c r="M61" s="6">
        <f>$J$3+[13]FormattedData!F37*$J$4+$M$4*$J$5+[13]FormattedData!F37^2*$J$6+$M$5*$J$7</f>
        <v>28.168314898018792</v>
      </c>
      <c r="N61" s="6">
        <f>$J$3+[13]FormattedData!G37*$J$4+$M$4*$J$5+[13]FormattedData!G37^2*$J$6+$M$5*$J$7</f>
        <v>29.147231620037765</v>
      </c>
      <c r="O61" s="6">
        <f>$J$3+[13]FormattedData!H37*$J$4+$M$4*$J$5+[13]FormattedData!H37^2*$J$6+$M$5*$J$7</f>
        <v>30.704706519378448</v>
      </c>
      <c r="P61" s="6">
        <f>$J$3+[13]FormattedData!I37*$J$4+$M$4*$J$5+[13]FormattedData!I37^2*$J$6+$M$5*$J$7</f>
        <v>28.266396778641379</v>
      </c>
      <c r="Q61" s="6">
        <f>$J$3+[13]FormattedData!J37*$J$4+$M$4*$J$5+[13]FormattedData!J37^2*$J$6+$M$5*$J$7</f>
        <v>29.927321662921905</v>
      </c>
      <c r="R61" s="6">
        <f>$J$3+[13]FormattedData!K37*$J$4+$M$4*$J$5+[13]FormattedData!K37^2*$J$6+$M$5*$J$7</f>
        <v>29.927321662921905</v>
      </c>
      <c r="S61" s="6">
        <f>$J$3+[13]FormattedData!L37*$J$4+$M$4*$J$5+[13]FormattedData!L37^2*$J$6+$M$5*$J$7</f>
        <v>29.244890815281043</v>
      </c>
      <c r="T61" s="6">
        <f>$J$3+[13]FormattedData!M37*$J$4+$M$4*$J$5+[13]FormattedData!M37^2*$J$6+$M$5*$J$7</f>
        <v>29.63510491087483</v>
      </c>
      <c r="U61" s="6">
        <f>$J$3+[13]FormattedData!N37*$J$4+$M$4*$J$5+[13]FormattedData!N37^2*$J$6+$M$5*$J$7</f>
        <v>31.189198327181025</v>
      </c>
      <c r="V61" s="6">
        <f>$J$3+[13]FormattedData!O37*$J$4+$M$4*$J$5+[13]FormattedData!O37^2*$J$6+$M$5*$J$7</f>
        <v>29.049530156256559</v>
      </c>
      <c r="W61" s="5">
        <f t="shared" si="9"/>
        <v>29.365066247506395</v>
      </c>
      <c r="X61" s="4">
        <f t="shared" si="10"/>
        <v>0.27417968732050396</v>
      </c>
      <c r="Y61" s="3">
        <f t="shared" si="11"/>
        <v>28.168314898018792</v>
      </c>
      <c r="Z61" s="2">
        <f t="shared" si="12"/>
        <v>28.560388809281555</v>
      </c>
      <c r="AA61" s="3">
        <f t="shared" si="13"/>
        <v>29.196061217659405</v>
      </c>
      <c r="AB61" s="2">
        <f t="shared" si="14"/>
        <v>29.927321662921905</v>
      </c>
      <c r="AC61" s="2">
        <f t="shared" si="15"/>
        <v>31.189198327181025</v>
      </c>
      <c r="AD61" s="2">
        <f t="shared" si="16"/>
        <v>0.60139526918022213</v>
      </c>
      <c r="AE61" s="2">
        <f t="shared" si="17"/>
        <v>-0.38193103915100757</v>
      </c>
    </row>
    <row r="62" spans="2:31" x14ac:dyDescent="0.2">
      <c r="B62" s="1">
        <f>[13]FormattedData!A39</f>
        <v>205</v>
      </c>
      <c r="C62" s="1" t="str">
        <f>VLOOKUP($B62,[13]TrtCodes!$B$11:I82,2)</f>
        <v>FSH</v>
      </c>
      <c r="D62" s="1">
        <f>VLOOKUP($B62,[13]TrtCodes!$B$11:J82,3)</f>
        <v>1</v>
      </c>
      <c r="E62" s="1">
        <f>VLOOKUP($B62,[13]TrtCodes!$B$11:K82,4)</f>
        <v>1</v>
      </c>
      <c r="F62" s="1">
        <f>VLOOKUP($B62,[13]TrtCodes!$B$11:L82,5)</f>
        <v>1</v>
      </c>
      <c r="G62" s="1">
        <f>VLOOKUP($B62,[13]TrtCodes!$B$11:M82,6)</f>
        <v>2</v>
      </c>
      <c r="H62" s="1">
        <f>VLOOKUP($B62,[13]TrtCodes!$B$11:N82,7)</f>
        <v>2</v>
      </c>
      <c r="I62" s="1">
        <f>[13]FormattedData!B39</f>
        <v>2</v>
      </c>
      <c r="J62" s="4">
        <f>[13]FormattedData!C39</f>
        <v>13.073</v>
      </c>
      <c r="K62" s="6">
        <f>$J$3+[13]FormattedData!D39*$J$4+$M$4*$J$5+[13]FormattedData!D39^2*$J$6+$M$5*$J$7</f>
        <v>29.147231620037765</v>
      </c>
      <c r="L62" s="6">
        <f>$J$3+[13]FormattedData!E39*$J$4+$M$4*$J$5+[13]FormattedData!E39^2*$J$6+$M$5*$J$7</f>
        <v>29.732552763428455</v>
      </c>
      <c r="M62" s="6">
        <f>$J$3+[13]FormattedData!F39*$J$4+$M$4*$J$5+[13]FormattedData!F39^2*$J$6+$M$5*$J$7</f>
        <v>29.244890815281043</v>
      </c>
      <c r="N62" s="6">
        <f>$J$3+[13]FormattedData!G39*$J$4+$M$4*$J$5+[13]FormattedData!G39^2*$J$6+$M$5*$J$7</f>
        <v>28.266396778641379</v>
      </c>
      <c r="O62" s="6">
        <f>$J$3+[13]FormattedData!H39*$J$4+$M$4*$J$5+[13]FormattedData!H39^2*$J$6+$M$5*$J$7</f>
        <v>30.510613916491899</v>
      </c>
      <c r="P62" s="6">
        <f>$J$3+[13]FormattedData!I39*$J$4+$M$4*$J$5+[13]FormattedData!I39^2*$J$6+$M$5*$J$7</f>
        <v>29.049530156256559</v>
      </c>
      <c r="Q62" s="6">
        <f>$J$3+[13]FormattedData!J39*$J$4+$M$4*$J$5+[13]FormattedData!J39^2*$J$6+$M$5*$J$7</f>
        <v>29.927321662921905</v>
      </c>
      <c r="R62" s="6">
        <f>$J$3+[13]FormattedData!K39*$J$4+$M$4*$J$5+[13]FormattedData!K39^2*$J$6+$M$5*$J$7</f>
        <v>28.756172153685348</v>
      </c>
      <c r="S62" s="6">
        <f>$J$3+[13]FormattedData!L39*$J$4+$M$4*$J$5+[13]FormattedData!L39^2*$J$6+$M$5*$J$7</f>
        <v>29.927321662921905</v>
      </c>
      <c r="T62" s="6">
        <f>$J$3+[13]FormattedData!M39*$J$4+$M$4*$J$5+[13]FormattedData!M39^2*$J$6+$M$5*$J$7</f>
        <v>28.951786423937421</v>
      </c>
      <c r="U62" s="6">
        <f>$J$3+[13]FormattedData!N39*$J$4+$M$4*$J$5+[13]FormattedData!N39^2*$J$6+$M$5*$J$7</f>
        <v>29.049530156256559</v>
      </c>
      <c r="V62" s="6">
        <f>$J$3+[13]FormattedData!O39*$J$4+$M$4*$J$5+[13]FormattedData!O39^2*$J$6+$M$5*$J$7</f>
        <v>27.972024331159826</v>
      </c>
      <c r="W62" s="5">
        <f t="shared" si="9"/>
        <v>29.211281036751675</v>
      </c>
      <c r="X62" s="4">
        <f t="shared" si="10"/>
        <v>0.20863920821200196</v>
      </c>
      <c r="Y62" s="3">
        <f t="shared" si="11"/>
        <v>27.972024331159826</v>
      </c>
      <c r="Z62" s="2">
        <f t="shared" si="12"/>
        <v>28.902882856374404</v>
      </c>
      <c r="AA62" s="3">
        <f t="shared" si="13"/>
        <v>29.098380888147162</v>
      </c>
      <c r="AB62" s="2">
        <f t="shared" si="14"/>
        <v>29.781244988301818</v>
      </c>
      <c r="AC62" s="2">
        <f t="shared" si="15"/>
        <v>30.510613916491899</v>
      </c>
      <c r="AD62" s="2">
        <f t="shared" si="16"/>
        <v>5.8451833635118723E-2</v>
      </c>
      <c r="AE62" s="2">
        <f t="shared" si="17"/>
        <v>-0.19055128871308646</v>
      </c>
    </row>
    <row r="63" spans="2:31" x14ac:dyDescent="0.2">
      <c r="B63" s="1">
        <f>[13]FormattedData!A41</f>
        <v>206</v>
      </c>
      <c r="C63" s="1" t="str">
        <f>VLOOKUP($B63,[13]TrtCodes!$B$11:I84,2)</f>
        <v>NSL</v>
      </c>
      <c r="D63" s="1">
        <f>VLOOKUP($B63,[13]TrtCodes!$B$11:J84,3)</f>
        <v>8</v>
      </c>
      <c r="E63" s="1">
        <f>VLOOKUP($B63,[13]TrtCodes!$B$11:K84,4)</f>
        <v>2</v>
      </c>
      <c r="F63" s="1">
        <f>VLOOKUP($B63,[13]TrtCodes!$B$11:L84,5)</f>
        <v>1</v>
      </c>
      <c r="G63" s="1">
        <f>VLOOKUP($B63,[13]TrtCodes!$B$11:M84,6)</f>
        <v>1</v>
      </c>
      <c r="H63" s="1">
        <f>VLOOKUP($B63,[13]TrtCodes!$B$11:N84,7)</f>
        <v>2</v>
      </c>
      <c r="I63" s="1">
        <f>[13]FormattedData!B41</f>
        <v>2</v>
      </c>
      <c r="J63" s="4">
        <f>[13]FormattedData!C41</f>
        <v>13.086</v>
      </c>
      <c r="K63" s="6">
        <f>$J$3+[13]FormattedData!D41*$J$4+$M$4*$J$5+[13]FormattedData!D41^2*$J$6+$M$5*$J$7</f>
        <v>30.607681352204136</v>
      </c>
      <c r="L63" s="6">
        <f>$J$3+[13]FormattedData!E41*$J$4+$M$4*$J$5+[13]FormattedData!E41^2*$J$6+$M$5*$J$7</f>
        <v>31.189198327181025</v>
      </c>
      <c r="M63" s="6">
        <f>$J$3+[13]FormattedData!F41*$J$4+$M$4*$J$5+[13]FormattedData!F41^2*$J$6+$M$5*$J$7</f>
        <v>30.607681352204136</v>
      </c>
      <c r="N63" s="6">
        <f>$J$3+[13]FormattedData!G41*$J$4+$M$4*$J$5+[13]FormattedData!G41^2*$J$6+$M$5*$J$7</f>
        <v>31.479386189407396</v>
      </c>
      <c r="O63" s="6">
        <f>$J$3+[13]FormattedData!H41*$J$4+$M$4*$J$5+[13]FormattedData!H41^2*$J$6+$M$5*$J$7</f>
        <v>33.691521506968179</v>
      </c>
      <c r="P63" s="6">
        <f>$J$3+[13]FormattedData!I41*$J$4+$M$4*$J$5+[13]FormattedData!I41^2*$J$6+$M$5*$J$7</f>
        <v>30.607681352204136</v>
      </c>
      <c r="Q63" s="6">
        <f>$J$3+[13]FormattedData!J41*$J$4+$M$4*$J$5+[13]FormattedData!J41^2*$J$6+$M$5*$J$7</f>
        <v>32.155011802441344</v>
      </c>
      <c r="R63" s="6">
        <f>$J$3+[13]FormattedData!K41*$J$4+$M$4*$J$5+[13]FormattedData!K41^2*$J$6+$M$5*$J$7</f>
        <v>30.801689418014824</v>
      </c>
      <c r="S63" s="6">
        <f>$J$3+[13]FormattedData!L41*$J$4+$M$4*$J$5+[13]FormattedData!L41^2*$J$6+$M$5*$J$7</f>
        <v>33.212524609096647</v>
      </c>
      <c r="T63" s="6">
        <f>$J$3+[13]FormattedData!M41*$J$4+$M$4*$J$5+[13]FormattedData!M41^2*$J$6+$M$5*$J$7</f>
        <v>32.155011802441344</v>
      </c>
      <c r="U63" s="6">
        <f>$J$3+[13]FormattedData!N41*$J$4+$M$4*$J$5+[13]FormattedData!N41^2*$J$6+$M$5*$J$7</f>
        <v>32.347667275038233</v>
      </c>
      <c r="V63" s="6">
        <f>$J$3+[13]FormattedData!O41*$J$4+$M$4*$J$5+[13]FormattedData!O41^2*$J$6+$M$5*$J$7</f>
        <v>32.732470997776836</v>
      </c>
      <c r="W63" s="5">
        <f t="shared" si="9"/>
        <v>31.798960498748187</v>
      </c>
      <c r="X63" s="4">
        <f t="shared" si="10"/>
        <v>0.31057061330804492</v>
      </c>
      <c r="Y63" s="3">
        <f t="shared" si="11"/>
        <v>30.607681352204136</v>
      </c>
      <c r="Z63" s="2">
        <f t="shared" si="12"/>
        <v>30.753187401562151</v>
      </c>
      <c r="AA63" s="3">
        <f t="shared" si="13"/>
        <v>31.817198995924372</v>
      </c>
      <c r="AB63" s="2">
        <f t="shared" si="14"/>
        <v>32.443868205722886</v>
      </c>
      <c r="AC63" s="2">
        <f t="shared" si="15"/>
        <v>33.691521506968179</v>
      </c>
      <c r="AD63" s="2">
        <f t="shared" si="16"/>
        <v>0.38102426752972363</v>
      </c>
      <c r="AE63" s="2">
        <f t="shared" si="17"/>
        <v>-1.1064733978979935</v>
      </c>
    </row>
    <row r="64" spans="2:31" x14ac:dyDescent="0.2">
      <c r="B64" s="1">
        <f>[13]FormattedData!A43</f>
        <v>207</v>
      </c>
      <c r="C64" s="1" t="str">
        <f>VLOOKUP($B64,[13]TrtCodes!$B$11:I86,2)</f>
        <v>FTL</v>
      </c>
      <c r="D64" s="1">
        <f>VLOOKUP($B64,[13]TrtCodes!$B$11:J86,3)</f>
        <v>4</v>
      </c>
      <c r="E64" s="1">
        <f>VLOOKUP($B64,[13]TrtCodes!$B$11:K86,4)</f>
        <v>1</v>
      </c>
      <c r="F64" s="1">
        <f>VLOOKUP($B64,[13]TrtCodes!$B$11:L86,5)</f>
        <v>2</v>
      </c>
      <c r="G64" s="1">
        <f>VLOOKUP($B64,[13]TrtCodes!$B$11:M86,6)</f>
        <v>1</v>
      </c>
      <c r="H64" s="1">
        <f>VLOOKUP($B64,[13]TrtCodes!$B$11:N86,7)</f>
        <v>2</v>
      </c>
      <c r="I64" s="1">
        <f>[13]FormattedData!B43</f>
        <v>2</v>
      </c>
      <c r="J64" s="4">
        <f>[13]FormattedData!C43</f>
        <v>13.102</v>
      </c>
      <c r="K64" s="6">
        <f>$J$3+[13]FormattedData!D43*$J$4+$M$4*$J$5+[13]FormattedData!D43^2*$J$6+$M$5*$J$7</f>
        <v>28.266396778641379</v>
      </c>
      <c r="L64" s="6">
        <f>$J$3+[13]FormattedData!E43*$J$4+$M$4*$J$5+[13]FormattedData!E43^2*$J$6+$M$5*$J$7</f>
        <v>28.756172153685348</v>
      </c>
      <c r="M64" s="6">
        <f>$J$3+[13]FormattedData!F43*$J$4+$M$4*$J$5+[13]FormattedData!F43^2*$J$6+$M$5*$J$7</f>
        <v>30.510613916491899</v>
      </c>
      <c r="N64" s="6">
        <f>$J$3+[13]FormattedData!G43*$J$4+$M$4*$J$5+[13]FormattedData!G43^2*$J$6+$M$5*$J$7</f>
        <v>29.732552763428455</v>
      </c>
      <c r="O64" s="6">
        <f>$J$3+[13]FormattedData!H43*$J$4+$M$4*$J$5+[13]FormattedData!H43^2*$J$6+$M$5*$J$7</f>
        <v>30.024642709861727</v>
      </c>
      <c r="P64" s="6">
        <f>$J$3+[13]FormattedData!I43*$J$4+$M$4*$J$5+[13]FormattedData!I43^2*$J$6+$M$5*$J$7</f>
        <v>28.756172153685348</v>
      </c>
      <c r="Q64" s="6">
        <f>$J$3+[13]FormattedData!J43*$J$4+$M$4*$J$5+[13]FormattedData!J43^2*$J$6+$M$5*$J$7</f>
        <v>29.63510491087483</v>
      </c>
      <c r="R64" s="6">
        <f>$J$3+[13]FormattedData!K43*$J$4+$M$4*$J$5+[13]FormattedData!K43^2*$J$6+$M$5*$J$7</f>
        <v>30.801689418014824</v>
      </c>
      <c r="S64" s="6">
        <f>$J$3+[13]FormattedData!L43*$J$4+$M$4*$J$5+[13]FormattedData!L43^2*$J$6+$M$5*$J$7</f>
        <v>29.537614789783284</v>
      </c>
      <c r="T64" s="6">
        <f>$J$3+[13]FormattedData!M43*$J$4+$M$4*$J$5+[13]FormattedData!M43^2*$J$6+$M$5*$J$7</f>
        <v>30.219157998127592</v>
      </c>
      <c r="U64" s="6">
        <f>$J$3+[13]FormattedData!N43*$J$4+$M$4*$J$5+[13]FormattedData!N43^2*$J$6+$M$5*$J$7</f>
        <v>32.636333469899085</v>
      </c>
      <c r="V64" s="6">
        <f>$J$3+[13]FormattedData!O43*$J$4+$M$4*$J$5+[13]FormattedData!O43^2*$J$6+$M$5*$J$7</f>
        <v>30.607681352204136</v>
      </c>
      <c r="W64" s="5">
        <f t="shared" si="9"/>
        <v>29.957011034558153</v>
      </c>
      <c r="X64" s="4">
        <f t="shared" si="10"/>
        <v>0.33447716150664414</v>
      </c>
      <c r="Y64" s="3">
        <f t="shared" si="11"/>
        <v>28.266396778641379</v>
      </c>
      <c r="Z64" s="2">
        <f t="shared" si="12"/>
        <v>29.3422541307588</v>
      </c>
      <c r="AA64" s="3">
        <f t="shared" si="13"/>
        <v>29.878597736645091</v>
      </c>
      <c r="AB64" s="2">
        <f t="shared" si="14"/>
        <v>30.534880775419957</v>
      </c>
      <c r="AC64" s="2">
        <f t="shared" si="15"/>
        <v>32.636333469899085</v>
      </c>
      <c r="AD64" s="2">
        <f t="shared" si="16"/>
        <v>0.83363326912023783</v>
      </c>
      <c r="AE64" s="2">
        <f t="shared" si="17"/>
        <v>1.62286052923361</v>
      </c>
    </row>
    <row r="65" spans="2:31" x14ac:dyDescent="0.2">
      <c r="B65" s="1">
        <f>[13]FormattedData!A45</f>
        <v>208</v>
      </c>
      <c r="C65" s="1" t="str">
        <f>VLOOKUP($B65,[13]TrtCodes!$B$11:I88,2)</f>
        <v>FSL</v>
      </c>
      <c r="D65" s="1">
        <f>VLOOKUP($B65,[13]TrtCodes!$B$11:J88,3)</f>
        <v>2</v>
      </c>
      <c r="E65" s="1">
        <f>VLOOKUP($B65,[13]TrtCodes!$B$11:K88,4)</f>
        <v>1</v>
      </c>
      <c r="F65" s="1">
        <f>VLOOKUP($B65,[13]TrtCodes!$B$11:L88,5)</f>
        <v>1</v>
      </c>
      <c r="G65" s="1">
        <f>VLOOKUP($B65,[13]TrtCodes!$B$11:M88,6)</f>
        <v>1</v>
      </c>
      <c r="H65" s="1">
        <f>VLOOKUP($B65,[13]TrtCodes!$B$11:N88,7)</f>
        <v>2</v>
      </c>
      <c r="I65" s="1">
        <f>[13]FormattedData!B45</f>
        <v>2</v>
      </c>
      <c r="J65" s="4">
        <f>[13]FormattedData!C45</f>
        <v>13.118</v>
      </c>
      <c r="K65" s="6">
        <f>$J$3+[13]FormattedData!D45*$J$4+$M$4*$J$5+[13]FormattedData!D45^2*$J$6+$M$5*$J$7</f>
        <v>29.147231620037765</v>
      </c>
      <c r="L65" s="6">
        <f>$J$3+[13]FormattedData!E45*$J$4+$M$4*$J$5+[13]FormattedData!E45^2*$J$6+$M$5*$J$7</f>
        <v>29.244890815281043</v>
      </c>
      <c r="M65" s="6">
        <f>$J$3+[13]FormattedData!F45*$J$4+$M$4*$J$5+[13]FormattedData!F45^2*$J$6+$M$5*$J$7</f>
        <v>31.865711579511526</v>
      </c>
      <c r="N65" s="6">
        <f>$J$3+[13]FormattedData!G45*$J$4+$M$4*$J$5+[13]FormattedData!G45^2*$J$6+$M$5*$J$7</f>
        <v>30.898630048113272</v>
      </c>
      <c r="O65" s="6">
        <f>$J$3+[13]FormattedData!H45*$J$4+$M$4*$J$5+[13]FormattedData!H45^2*$J$6+$M$5*$J$7</f>
        <v>30.316352239453622</v>
      </c>
      <c r="P65" s="6">
        <f>$J$3+[13]FormattedData!I45*$J$4+$M$4*$J$5+[13]FormattedData!I45^2*$J$6+$M$5*$J$7</f>
        <v>28.756172153685348</v>
      </c>
      <c r="Q65" s="6">
        <f>$J$3+[13]FormattedData!J45*$J$4+$M$4*$J$5+[13]FormattedData!J45^2*$J$6+$M$5*$J$7</f>
        <v>30.995528409673785</v>
      </c>
      <c r="R65" s="6">
        <f>$J$3+[13]FormattedData!K45*$J$4+$M$4*$J$5+[13]FormattedData!K45^2*$J$6+$M$5*$J$7</f>
        <v>29.732552763428455</v>
      </c>
      <c r="S65" s="6">
        <f>$J$3+[13]FormattedData!L45*$J$4+$M$4*$J$5+[13]FormattedData!L45^2*$J$6+$M$5*$J$7</f>
        <v>30.41350421224173</v>
      </c>
      <c r="T65" s="6">
        <f>$J$3+[13]FormattedData!M45*$J$4+$M$4*$J$5+[13]FormattedData!M45^2*$J$6+$M$5*$J$7</f>
        <v>28.462433734272764</v>
      </c>
      <c r="U65" s="6">
        <f>$J$3+[13]FormattedData!N45*$J$4+$M$4*$J$5+[13]FormattedData!N45^2*$J$6+$M$5*$J$7</f>
        <v>29.342507741986385</v>
      </c>
      <c r="V65" s="6">
        <f>$J$3+[13]FormattedData!O45*$J$4+$M$4*$J$5+[13]FormattedData!O45^2*$J$6+$M$5*$J$7</f>
        <v>30.12192148826362</v>
      </c>
      <c r="W65" s="5">
        <f t="shared" si="9"/>
        <v>29.941453067162442</v>
      </c>
      <c r="X65" s="4">
        <f t="shared" si="10"/>
        <v>0.29176493359840938</v>
      </c>
      <c r="Y65" s="3">
        <f t="shared" si="11"/>
        <v>28.462433734272764</v>
      </c>
      <c r="Z65" s="2">
        <f t="shared" si="12"/>
        <v>29.220476016470222</v>
      </c>
      <c r="AA65" s="3">
        <f t="shared" si="13"/>
        <v>29.927237125846037</v>
      </c>
      <c r="AB65" s="2">
        <f t="shared" si="14"/>
        <v>30.534785671209615</v>
      </c>
      <c r="AC65" s="2">
        <f t="shared" si="15"/>
        <v>31.865711579511526</v>
      </c>
      <c r="AD65" s="2">
        <f t="shared" si="16"/>
        <v>0.35644730993406243</v>
      </c>
      <c r="AE65" s="2">
        <f t="shared" si="17"/>
        <v>-0.50316650704333554</v>
      </c>
    </row>
    <row r="66" spans="2:31" x14ac:dyDescent="0.2">
      <c r="B66" s="1">
        <f>[13]FormattedData!A63</f>
        <v>301</v>
      </c>
      <c r="C66" s="1" t="str">
        <f>VLOOKUP($B66,[13]TrtCodes!$B$11:I106,2)</f>
        <v>NTL</v>
      </c>
      <c r="D66" s="1">
        <f>VLOOKUP($B66,[13]TrtCodes!$B$11:J106,3)</f>
        <v>10</v>
      </c>
      <c r="E66" s="1">
        <f>VLOOKUP($B66,[13]TrtCodes!$B$11:K106,4)</f>
        <v>2</v>
      </c>
      <c r="F66" s="1">
        <f>VLOOKUP($B66,[13]TrtCodes!$B$11:L106,5)</f>
        <v>2</v>
      </c>
      <c r="G66" s="1">
        <f>VLOOKUP($B66,[13]TrtCodes!$B$11:M106,6)</f>
        <v>1</v>
      </c>
      <c r="H66" s="1">
        <f>VLOOKUP($B66,[13]TrtCodes!$B$11:N106,7)</f>
        <v>3</v>
      </c>
      <c r="I66" s="1">
        <f>[13]FormattedData!B63</f>
        <v>2</v>
      </c>
      <c r="J66" s="4">
        <f>[13]FormattedData!C63</f>
        <v>13.217000000000001</v>
      </c>
      <c r="K66" s="6">
        <f>$J$3+[13]FormattedData!D63*$J$4+$M$4*$J$5+[13]FormattedData!D63^2*$J$6+$M$5*$J$7</f>
        <v>29.147231620037765</v>
      </c>
      <c r="L66" s="6">
        <f>$J$3+[13]FormattedData!E63*$J$4+$M$4*$J$5+[13]FormattedData!E63^2*$J$6+$M$5*$J$7</f>
        <v>29.732552763428455</v>
      </c>
      <c r="M66" s="6">
        <f>$J$3+[13]FormattedData!F63*$J$4+$M$4*$J$5+[13]FormattedData!F63^2*$J$6+$M$5*$J$7</f>
        <v>27.972024331159826</v>
      </c>
      <c r="N66" s="6">
        <f>$J$3+[13]FormattedData!G63*$J$4+$M$4*$J$5+[13]FormattedData!G63^2*$J$6+$M$5*$J$7</f>
        <v>28.951786423937421</v>
      </c>
      <c r="O66" s="6">
        <f>$J$3+[13]FormattedData!H63*$J$4+$M$4*$J$5+[13]FormattedData!H63^2*$J$6+$M$5*$J$7</f>
        <v>29.147231620037765</v>
      </c>
      <c r="P66" s="6">
        <f>$J$3+[13]FormattedData!I63*$J$4+$M$4*$J$5+[13]FormattedData!I63^2*$J$6+$M$5*$J$7</f>
        <v>27.578935974986717</v>
      </c>
      <c r="Q66" s="6">
        <f>$J$3+[13]FormattedData!J63*$J$4+$M$4*$J$5+[13]FormattedData!J63^2*$J$6+$M$5*$J$7</f>
        <v>28.266396778641379</v>
      </c>
      <c r="R66" s="6">
        <f>$J$3+[13]FormattedData!K63*$J$4+$M$4*$J$5+[13]FormattedData!K63^2*$J$6+$M$5*$J$7</f>
        <v>27.677271466836888</v>
      </c>
      <c r="S66" s="6">
        <f>$J$3+[13]FormattedData!L63*$J$4+$M$4*$J$5+[13]FormattedData!L63^2*$J$6+$M$5*$J$7</f>
        <v>28.168314898018792</v>
      </c>
      <c r="T66" s="6">
        <f>$J$3+[13]FormattedData!M63*$J$4+$M$4*$J$5+[13]FormattedData!M63^2*$J$6+$M$5*$J$7</f>
        <v>29.147231620037765</v>
      </c>
      <c r="U66" s="6">
        <f>$J$3+[13]FormattedData!N63*$J$4+$M$4*$J$5+[13]FormattedData!N63^2*$J$6+$M$5*$J$7</f>
        <v>28.756172153685348</v>
      </c>
      <c r="V66" s="6">
        <f>$J$3+[13]FormattedData!O63*$J$4+$M$4*$J$5+[13]FormattedData!O63^2*$J$6+$M$5*$J$7</f>
        <v>27.873815644923443</v>
      </c>
      <c r="W66" s="5">
        <f t="shared" si="9"/>
        <v>28.534913774644295</v>
      </c>
      <c r="X66" s="4">
        <f t="shared" si="10"/>
        <v>0.20210468170798845</v>
      </c>
      <c r="Y66" s="3">
        <f t="shared" si="11"/>
        <v>27.578935974986717</v>
      </c>
      <c r="Z66" s="2">
        <f t="shared" si="12"/>
        <v>27.947472159600729</v>
      </c>
      <c r="AA66" s="3">
        <f t="shared" si="13"/>
        <v>28.511284466163364</v>
      </c>
      <c r="AB66" s="2">
        <f t="shared" si="14"/>
        <v>29.147231620037765</v>
      </c>
      <c r="AC66" s="2">
        <f t="shared" si="15"/>
        <v>29.732552763428455</v>
      </c>
      <c r="AD66" s="2">
        <f t="shared" si="16"/>
        <v>0.14286964980582986</v>
      </c>
      <c r="AE66" s="2">
        <f t="shared" si="17"/>
        <v>-1.2769833586431418</v>
      </c>
    </row>
    <row r="67" spans="2:31" x14ac:dyDescent="0.2">
      <c r="B67" s="1">
        <f>[13]FormattedData!A65</f>
        <v>302</v>
      </c>
      <c r="C67" s="1" t="str">
        <f>VLOOKUP($B67,[13]TrtCodes!$B$11:I108,2)</f>
        <v>FTL</v>
      </c>
      <c r="D67" s="1">
        <f>VLOOKUP($B67,[13]TrtCodes!$B$11:J108,3)</f>
        <v>4</v>
      </c>
      <c r="E67" s="1">
        <f>VLOOKUP($B67,[13]TrtCodes!$B$11:K108,4)</f>
        <v>1</v>
      </c>
      <c r="F67" s="1">
        <f>VLOOKUP($B67,[13]TrtCodes!$B$11:L108,5)</f>
        <v>2</v>
      </c>
      <c r="G67" s="1">
        <f>VLOOKUP($B67,[13]TrtCodes!$B$11:M108,6)</f>
        <v>1</v>
      </c>
      <c r="H67" s="1">
        <f>VLOOKUP($B67,[13]TrtCodes!$B$11:N108,7)</f>
        <v>3</v>
      </c>
      <c r="I67" s="1">
        <f>[13]FormattedData!B65</f>
        <v>2</v>
      </c>
      <c r="J67" s="4">
        <f>[13]FormattedData!C65</f>
        <v>13.231</v>
      </c>
      <c r="K67" s="6">
        <f>$J$3+[13]FormattedData!D65*$J$4+$M$4*$J$5+[13]FormattedData!D65^2*$J$6+$M$5*$J$7</f>
        <v>28.462433734272764</v>
      </c>
      <c r="L67" s="6">
        <f>$J$3+[13]FormattedData!E65*$J$4+$M$4*$J$5+[13]FormattedData!E65^2*$J$6+$M$5*$J$7</f>
        <v>31.672633421535323</v>
      </c>
      <c r="M67" s="6">
        <f>$J$3+[13]FormattedData!F65*$J$4+$M$4*$J$5+[13]FormattedData!F65^2*$J$6+$M$5*$J$7</f>
        <v>29.732552763428455</v>
      </c>
      <c r="N67" s="6">
        <f>$J$3+[13]FormattedData!G65*$J$4+$M$4*$J$5+[13]FormattedData!G65^2*$J$6+$M$5*$J$7</f>
        <v>28.266396778641379</v>
      </c>
      <c r="O67" s="6">
        <f>$J$3+[13]FormattedData!H65*$J$4+$M$4*$J$5+[13]FormattedData!H65^2*$J$6+$M$5*$J$7</f>
        <v>30.316352239453622</v>
      </c>
      <c r="P67" s="6">
        <f>$J$3+[13]FormattedData!I65*$J$4+$M$4*$J$5+[13]FormattedData!I65^2*$J$6+$M$5*$J$7</f>
        <v>31.092384502696365</v>
      </c>
      <c r="Q67" s="6">
        <f>$J$3+[13]FormattedData!J65*$J$4+$M$4*$J$5+[13]FormattedData!J65^2*$J$6+$M$5*$J$7</f>
        <v>30.024642709861727</v>
      </c>
      <c r="R67" s="6">
        <f>$J$3+[13]FormattedData!K65*$J$4+$M$4*$J$5+[13]FormattedData!K65^2*$J$6+$M$5*$J$7</f>
        <v>30.510613916491899</v>
      </c>
      <c r="S67" s="6">
        <f>$J$3+[13]FormattedData!L65*$J$4+$M$4*$J$5+[13]FormattedData!L65^2*$J$6+$M$5*$J$7</f>
        <v>29.244890815281043</v>
      </c>
      <c r="T67" s="6">
        <f>$J$3+[13]FormattedData!M65*$J$4+$M$4*$J$5+[13]FormattedData!M65^2*$J$6+$M$5*$J$7</f>
        <v>30.704706519378448</v>
      </c>
      <c r="U67" s="6">
        <f>$J$3+[13]FormattedData!N65*$J$4+$M$4*$J$5+[13]FormattedData!N65^2*$J$6+$M$5*$J$7</f>
        <v>32.924619247918557</v>
      </c>
      <c r="V67" s="6">
        <f>$J$3+[13]FormattedData!O65*$J$4+$M$4*$J$5+[13]FormattedData!O65^2*$J$6+$M$5*$J$7</f>
        <v>30.898630048113272</v>
      </c>
      <c r="W67" s="5">
        <f t="shared" si="9"/>
        <v>30.320904724756065</v>
      </c>
      <c r="X67" s="4">
        <f t="shared" si="10"/>
        <v>0.37924779991089019</v>
      </c>
      <c r="Y67" s="3">
        <f t="shared" si="11"/>
        <v>28.266396778641379</v>
      </c>
      <c r="Z67" s="2">
        <f t="shared" si="12"/>
        <v>29.6106372763916</v>
      </c>
      <c r="AA67" s="3">
        <f t="shared" si="13"/>
        <v>30.41348307797276</v>
      </c>
      <c r="AB67" s="2">
        <f t="shared" si="14"/>
        <v>30.947068661759047</v>
      </c>
      <c r="AC67" s="2">
        <f t="shared" si="15"/>
        <v>32.924619247918557</v>
      </c>
      <c r="AD67" s="2">
        <f t="shared" si="16"/>
        <v>0.20543881997460467</v>
      </c>
      <c r="AE67" s="2">
        <f t="shared" si="17"/>
        <v>0.25140807469092419</v>
      </c>
    </row>
    <row r="68" spans="2:31" x14ac:dyDescent="0.2">
      <c r="B68" s="1">
        <f>[13]FormattedData!A67</f>
        <v>303</v>
      </c>
      <c r="C68" s="1" t="str">
        <f>VLOOKUP($B68,[13]TrtCodes!$B$11:I110,2)</f>
        <v>NSL</v>
      </c>
      <c r="D68" s="1">
        <f>VLOOKUP($B68,[13]TrtCodes!$B$11:J110,3)</f>
        <v>8</v>
      </c>
      <c r="E68" s="1">
        <f>VLOOKUP($B68,[13]TrtCodes!$B$11:K110,4)</f>
        <v>2</v>
      </c>
      <c r="F68" s="1">
        <f>VLOOKUP($B68,[13]TrtCodes!$B$11:L110,5)</f>
        <v>1</v>
      </c>
      <c r="G68" s="1">
        <f>VLOOKUP($B68,[13]TrtCodes!$B$11:M110,6)</f>
        <v>1</v>
      </c>
      <c r="H68" s="1">
        <f>VLOOKUP($B68,[13]TrtCodes!$B$11:N110,7)</f>
        <v>3</v>
      </c>
      <c r="I68" s="1">
        <f>[13]FormattedData!B67</f>
        <v>2</v>
      </c>
      <c r="J68" s="4">
        <f>[13]FormattedData!C67</f>
        <v>13.244</v>
      </c>
      <c r="K68" s="6">
        <f>$J$3+[13]FormattedData!D67*$J$4+$M$4*$J$5+[13]FormattedData!D67^2*$J$6+$M$5*$J$7</f>
        <v>30.316352239453622</v>
      </c>
      <c r="L68" s="6">
        <f>$J$3+[13]FormattedData!E67*$J$4+$M$4*$J$5+[13]FormattedData!E67^2*$J$6+$M$5*$J$7</f>
        <v>30.510613916491899</v>
      </c>
      <c r="M68" s="6">
        <f>$J$3+[13]FormattedData!F67*$J$4+$M$4*$J$5+[13]FormattedData!F67^2*$J$6+$M$5*$J$7</f>
        <v>31.576030939740328</v>
      </c>
      <c r="N68" s="6">
        <f>$J$3+[13]FormattedData!G67*$J$4+$M$4*$J$5+[13]FormattedData!G67^2*$J$6+$M$5*$J$7</f>
        <v>31.962187255692733</v>
      </c>
      <c r="O68" s="6">
        <f>$J$3+[13]FormattedData!H67*$J$4+$M$4*$J$5+[13]FormattedData!H67^2*$J$6+$M$5*$J$7</f>
        <v>30.898630048113272</v>
      </c>
      <c r="P68" s="6">
        <f>$J$3+[13]FormattedData!I67*$J$4+$M$4*$J$5+[13]FormattedData!I67^2*$J$6+$M$5*$J$7</f>
        <v>29.244890815281043</v>
      </c>
      <c r="Q68" s="6">
        <f>$J$3+[13]FormattedData!J67*$J$4+$M$4*$J$5+[13]FormattedData!J67^2*$J$6+$M$5*$J$7</f>
        <v>31.285969883127741</v>
      </c>
      <c r="R68" s="6">
        <f>$J$3+[13]FormattedData!K67*$J$4+$M$4*$J$5+[13]FormattedData!K67^2*$J$6+$M$5*$J$7</f>
        <v>31.189198327181025</v>
      </c>
      <c r="S68" s="6">
        <f>$J$3+[13]FormattedData!L67*$J$4+$M$4*$J$5+[13]FormattedData!L67^2*$J$6+$M$5*$J$7</f>
        <v>31.285969883127741</v>
      </c>
      <c r="T68" s="6">
        <f>$J$3+[13]FormattedData!M67*$J$4+$M$4*$J$5+[13]FormattedData!M67^2*$J$6+$M$5*$J$7</f>
        <v>30.801689418014824</v>
      </c>
      <c r="U68" s="6">
        <f>$J$3+[13]FormattedData!N67*$J$4+$M$4*$J$5+[13]FormattedData!N67^2*$J$6+$M$5*$J$7</f>
        <v>31.962187255692733</v>
      </c>
      <c r="V68" s="6">
        <f>$J$3+[13]FormattedData!O67*$J$4+$M$4*$J$5+[13]FormattedData!O67^2*$J$6+$M$5*$J$7</f>
        <v>31.576030939740328</v>
      </c>
      <c r="W68" s="5">
        <f t="shared" si="9"/>
        <v>31.050812576804777</v>
      </c>
      <c r="X68" s="4">
        <f t="shared" si="10"/>
        <v>0.2222557675612922</v>
      </c>
      <c r="Y68" s="3">
        <f t="shared" si="11"/>
        <v>29.244890815281043</v>
      </c>
      <c r="Z68" s="2">
        <f t="shared" si="12"/>
        <v>30.728920542634093</v>
      </c>
      <c r="AA68" s="3">
        <f t="shared" si="13"/>
        <v>31.237584105154383</v>
      </c>
      <c r="AB68" s="2">
        <f t="shared" si="14"/>
        <v>31.576030939740328</v>
      </c>
      <c r="AC68" s="2">
        <f t="shared" si="15"/>
        <v>31.962187255692733</v>
      </c>
      <c r="AD68" s="2">
        <f t="shared" si="16"/>
        <v>-1.1067593016632096</v>
      </c>
      <c r="AE68" s="2">
        <f t="shared" si="17"/>
        <v>1.5971613570101537</v>
      </c>
    </row>
    <row r="69" spans="2:31" x14ac:dyDescent="0.2">
      <c r="B69" s="1">
        <f>[13]FormattedData!A69</f>
        <v>304</v>
      </c>
      <c r="C69" s="1" t="str">
        <f>VLOOKUP($B69,[13]TrtCodes!$B$11:I112,2)</f>
        <v>FSL</v>
      </c>
      <c r="D69" s="1">
        <f>VLOOKUP($B69,[13]TrtCodes!$B$11:J112,3)</f>
        <v>2</v>
      </c>
      <c r="E69" s="1">
        <f>VLOOKUP($B69,[13]TrtCodes!$B$11:K112,4)</f>
        <v>1</v>
      </c>
      <c r="F69" s="1">
        <f>VLOOKUP($B69,[13]TrtCodes!$B$11:L112,5)</f>
        <v>1</v>
      </c>
      <c r="G69" s="1">
        <f>VLOOKUP($B69,[13]TrtCodes!$B$11:M112,6)</f>
        <v>1</v>
      </c>
      <c r="H69" s="1">
        <f>VLOOKUP($B69,[13]TrtCodes!$B$11:N112,7)</f>
        <v>3</v>
      </c>
      <c r="I69" s="1">
        <f>[13]FormattedData!B69</f>
        <v>2</v>
      </c>
      <c r="J69" s="4">
        <f>[13]FormattedData!C69</f>
        <v>13.257999999999999</v>
      </c>
      <c r="K69" s="6">
        <f>$J$3+[13]FormattedData!D69*$J$4+$M$4*$J$5+[13]FormattedData!D69^2*$J$6+$M$5*$J$7</f>
        <v>31.38269917053654</v>
      </c>
      <c r="L69" s="6">
        <f>$J$3+[13]FormattedData!E69*$J$4+$M$4*$J$5+[13]FormattedData!E69^2*$J$6+$M$5*$J$7</f>
        <v>32.443931608529788</v>
      </c>
      <c r="M69" s="6">
        <f>$J$3+[13]FormattedData!F69*$J$4+$M$4*$J$5+[13]FormattedData!F69^2*$J$6+$M$5*$J$7</f>
        <v>31.672633421535323</v>
      </c>
      <c r="N69" s="6">
        <f>$J$3+[13]FormattedData!G69*$J$4+$M$4*$J$5+[13]FormattedData!G69^2*$J$6+$M$5*$J$7</f>
        <v>30.995528409673785</v>
      </c>
      <c r="O69" s="6">
        <f>$J$3+[13]FormattedData!H69*$J$4+$M$4*$J$5+[13]FormattedData!H69^2*$J$6+$M$5*$J$7</f>
        <v>32.155011802441344</v>
      </c>
      <c r="P69" s="6">
        <f>$J$3+[13]FormattedData!I69*$J$4+$M$4*$J$5+[13]FormattedData!I69^2*$J$6+$M$5*$J$7</f>
        <v>32.155011802441344</v>
      </c>
      <c r="Q69" s="6">
        <f>$J$3+[13]FormattedData!J69*$J$4+$M$4*$J$5+[13]FormattedData!J69^2*$J$6+$M$5*$J$7</f>
        <v>28.560388809281555</v>
      </c>
      <c r="R69" s="6">
        <f>$J$3+[13]FormattedData!K69*$J$4+$M$4*$J$5+[13]FormattedData!K69^2*$J$6+$M$5*$J$7</f>
        <v>29.829958347444141</v>
      </c>
      <c r="S69" s="6">
        <f>$J$3+[13]FormattedData!L69*$J$4+$M$4*$J$5+[13]FormattedData!L69^2*$J$6+$M$5*$J$7</f>
        <v>30.607681352204136</v>
      </c>
      <c r="T69" s="6">
        <f>$J$3+[13]FormattedData!M69*$J$4+$M$4*$J$5+[13]FormattedData!M69^2*$J$6+$M$5*$J$7</f>
        <v>28.462433734272764</v>
      </c>
      <c r="U69" s="6">
        <f>$J$3+[13]FormattedData!N69*$J$4+$M$4*$J$5+[13]FormattedData!N69^2*$J$6+$M$5*$J$7</f>
        <v>29.732552763428455</v>
      </c>
      <c r="V69" s="6">
        <f>$J$3+[13]FormattedData!O69*$J$4+$M$4*$J$5+[13]FormattedData!O69^2*$J$6+$M$5*$J$7</f>
        <v>30.12192148826362</v>
      </c>
      <c r="W69" s="5">
        <f t="shared" si="9"/>
        <v>30.676646059171066</v>
      </c>
      <c r="X69" s="4">
        <f t="shared" si="10"/>
        <v>0.39301250279205113</v>
      </c>
      <c r="Y69" s="3">
        <f t="shared" si="11"/>
        <v>28.462433734272764</v>
      </c>
      <c r="Z69" s="2">
        <f t="shared" si="12"/>
        <v>29.805606951440218</v>
      </c>
      <c r="AA69" s="3">
        <f t="shared" si="13"/>
        <v>30.80160488093896</v>
      </c>
      <c r="AB69" s="2">
        <f t="shared" si="14"/>
        <v>31.79322801676183</v>
      </c>
      <c r="AC69" s="2">
        <f t="shared" si="15"/>
        <v>32.443931608529788</v>
      </c>
      <c r="AD69" s="2">
        <f t="shared" si="16"/>
        <v>-0.37172951320468239</v>
      </c>
      <c r="AE69" s="2">
        <f t="shared" si="17"/>
        <v>-1.0038774112486211</v>
      </c>
    </row>
    <row r="70" spans="2:31" x14ac:dyDescent="0.2">
      <c r="B70" s="1">
        <f>[13]FormattedData!A71</f>
        <v>305</v>
      </c>
      <c r="C70" s="1" t="str">
        <f>VLOOKUP($B70,[13]TrtCodes!$B$11:I114,2)</f>
        <v>NDH</v>
      </c>
      <c r="D70" s="1">
        <f>VLOOKUP($B70,[13]TrtCodes!$B$11:J114,3)</f>
        <v>11</v>
      </c>
      <c r="E70" s="1">
        <f>VLOOKUP($B70,[13]TrtCodes!$B$11:K114,4)</f>
        <v>2</v>
      </c>
      <c r="F70" s="1">
        <f>VLOOKUP($B70,[13]TrtCodes!$B$11:L114,5)</f>
        <v>3</v>
      </c>
      <c r="G70" s="1">
        <f>VLOOKUP($B70,[13]TrtCodes!$B$11:M114,6)</f>
        <v>2</v>
      </c>
      <c r="H70" s="1">
        <f>VLOOKUP($B70,[13]TrtCodes!$B$11:N114,7)</f>
        <v>4</v>
      </c>
      <c r="I70" s="1">
        <f>[13]FormattedData!B71</f>
        <v>2</v>
      </c>
      <c r="J70" s="4">
        <f>[13]FormattedData!C71</f>
        <v>13.273999999999999</v>
      </c>
      <c r="K70" s="6">
        <f>$J$3+[13]FormattedData!D71*$J$4+$M$4*$J$5+[13]FormattedData!D71^2*$J$6+$M$5*$J$7</f>
        <v>30.316352239453622</v>
      </c>
      <c r="L70" s="6">
        <f>$J$3+[13]FormattedData!E71*$J$4+$M$4*$J$5+[13]FormattedData!E71^2*$J$6+$M$5*$J$7</f>
        <v>29.63510491087483</v>
      </c>
      <c r="M70" s="6">
        <f>$J$3+[13]FormattedData!F71*$J$4+$M$4*$J$5+[13]FormattedData!F71^2*$J$6+$M$5*$J$7</f>
        <v>29.732552763428455</v>
      </c>
      <c r="N70" s="6">
        <f>$J$3+[13]FormattedData!G71*$J$4+$M$4*$J$5+[13]FormattedData!G71^2*$J$6+$M$5*$J$7</f>
        <v>31.285969883127741</v>
      </c>
      <c r="O70" s="6">
        <f>$J$3+[13]FormattedData!H71*$J$4+$M$4*$J$5+[13]FormattedData!H71^2*$J$6+$M$5*$J$7</f>
        <v>29.927321662921905</v>
      </c>
      <c r="P70" s="6">
        <f>$J$3+[13]FormattedData!I71*$J$4+$M$4*$J$5+[13]FormattedData!I71^2*$J$6+$M$5*$J$7</f>
        <v>29.147231620037765</v>
      </c>
      <c r="Q70" s="6">
        <f>$J$3+[13]FormattedData!J71*$J$4+$M$4*$J$5+[13]FormattedData!J71^2*$J$6+$M$5*$J$7</f>
        <v>28.560388809281555</v>
      </c>
      <c r="R70" s="6">
        <f>$J$3+[13]FormattedData!K71*$J$4+$M$4*$J$5+[13]FormattedData!K71^2*$J$6+$M$5*$J$7</f>
        <v>29.63510491087483</v>
      </c>
      <c r="S70" s="6">
        <f>$J$3+[13]FormattedData!L71*$J$4+$M$4*$J$5+[13]FormattedData!L71^2*$J$6+$M$5*$J$7</f>
        <v>28.168314898018792</v>
      </c>
      <c r="T70" s="6">
        <f>$J$3+[13]FormattedData!M71*$J$4+$M$4*$J$5+[13]FormattedData!M71^2*$J$6+$M$5*$J$7</f>
        <v>29.537614789783284</v>
      </c>
      <c r="U70" s="6">
        <f>$J$3+[13]FormattedData!N71*$J$4+$M$4*$J$5+[13]FormattedData!N71^2*$J$6+$M$5*$J$7</f>
        <v>29.440082400153798</v>
      </c>
      <c r="V70" s="6">
        <f>$J$3+[13]FormattedData!O71*$J$4+$M$4*$J$5+[13]FormattedData!O71^2*$J$6+$M$5*$J$7</f>
        <v>28.070190748858277</v>
      </c>
      <c r="W70" s="5">
        <f t="shared" si="9"/>
        <v>29.454685803067907</v>
      </c>
      <c r="X70" s="4">
        <f t="shared" si="10"/>
        <v>0.26016791731696226</v>
      </c>
      <c r="Y70" s="3">
        <f t="shared" si="11"/>
        <v>28.070190748858277</v>
      </c>
      <c r="Z70" s="2">
        <f t="shared" si="12"/>
        <v>29.000520917348712</v>
      </c>
      <c r="AA70" s="3">
        <f t="shared" si="13"/>
        <v>29.586359850329057</v>
      </c>
      <c r="AB70" s="2">
        <f t="shared" si="14"/>
        <v>29.781244988301818</v>
      </c>
      <c r="AC70" s="2">
        <f t="shared" si="15"/>
        <v>31.285969883127741</v>
      </c>
      <c r="AD70" s="2">
        <f t="shared" si="16"/>
        <v>0.2077022037529718</v>
      </c>
      <c r="AE70" s="2">
        <f t="shared" si="17"/>
        <v>0.48483374203628316</v>
      </c>
    </row>
    <row r="71" spans="2:31" x14ac:dyDescent="0.2">
      <c r="B71" s="1">
        <f>[13]FormattedData!A73</f>
        <v>306</v>
      </c>
      <c r="C71" s="1" t="str">
        <f>VLOOKUP($B71,[13]TrtCodes!$B$11:I116,2)</f>
        <v>FTL</v>
      </c>
      <c r="D71" s="1">
        <f>VLOOKUP($B71,[13]TrtCodes!$B$11:J116,3)</f>
        <v>4</v>
      </c>
      <c r="E71" s="1">
        <f>VLOOKUP($B71,[13]TrtCodes!$B$11:K116,4)</f>
        <v>1</v>
      </c>
      <c r="F71" s="1">
        <f>VLOOKUP($B71,[13]TrtCodes!$B$11:L116,5)</f>
        <v>2</v>
      </c>
      <c r="G71" s="1">
        <f>VLOOKUP($B71,[13]TrtCodes!$B$11:M116,6)</f>
        <v>1</v>
      </c>
      <c r="H71" s="1">
        <f>VLOOKUP($B71,[13]TrtCodes!$B$11:N116,7)</f>
        <v>4</v>
      </c>
      <c r="I71" s="1">
        <f>[13]FormattedData!B73</f>
        <v>2</v>
      </c>
      <c r="J71" s="4">
        <f>[13]FormattedData!C73</f>
        <v>13.289</v>
      </c>
      <c r="K71" s="6">
        <f>$J$3+[13]FormattedData!D73*$J$4+$M$4*$J$5+[13]FormattedData!D73^2*$J$6+$M$5*$J$7</f>
        <v>27.972024331159826</v>
      </c>
      <c r="L71" s="6">
        <f>$J$3+[13]FormattedData!E73*$J$4+$M$4*$J$5+[13]FormattedData!E73^2*$J$6+$M$5*$J$7</f>
        <v>27.38213818567257</v>
      </c>
      <c r="M71" s="6">
        <f>$J$3+[13]FormattedData!F73*$J$4+$M$4*$J$5+[13]FormattedData!F73^2*$J$6+$M$5*$J$7</f>
        <v>29.342507741986385</v>
      </c>
      <c r="N71" s="6">
        <f>$J$3+[13]FormattedData!G73*$J$4+$M$4*$J$5+[13]FormattedData!G73^2*$J$6+$M$5*$J$7</f>
        <v>28.85400042308035</v>
      </c>
      <c r="O71" s="6">
        <f>$J$3+[13]FormattedData!H73*$J$4+$M$4*$J$5+[13]FormattedData!H73^2*$J$6+$M$5*$J$7</f>
        <v>29.147231620037765</v>
      </c>
      <c r="P71" s="6">
        <f>$J$3+[13]FormattedData!I73*$J$4+$M$4*$J$5+[13]FormattedData!I73^2*$J$6+$M$5*$J$7</f>
        <v>28.364436390726034</v>
      </c>
      <c r="Q71" s="6">
        <f>$J$3+[13]FormattedData!J73*$J$4+$M$4*$J$5+[13]FormattedData!J73^2*$J$6+$M$5*$J$7</f>
        <v>29.829958347444141</v>
      </c>
      <c r="R71" s="6">
        <f>$J$3+[13]FormattedData!K73*$J$4+$M$4*$J$5+[13]FormattedData!K73^2*$J$6+$M$5*$J$7</f>
        <v>28.756172153685348</v>
      </c>
      <c r="S71" s="6">
        <f>$J$3+[13]FormattedData!L73*$J$4+$M$4*$J$5+[13]FormattedData!L73^2*$J$6+$M$5*$J$7</f>
        <v>28.658301615752418</v>
      </c>
      <c r="T71" s="6">
        <f>$J$3+[13]FormattedData!M73*$J$4+$M$4*$J$5+[13]FormattedData!M73^2*$J$6+$M$5*$J$7</f>
        <v>28.85400042308035</v>
      </c>
      <c r="U71" s="6">
        <f>$J$3+[13]FormattedData!N73*$J$4+$M$4*$J$5+[13]FormattedData!N73^2*$J$6+$M$5*$J$7</f>
        <v>29.927321662921905</v>
      </c>
      <c r="V71" s="6">
        <f>$J$3+[13]FormattedData!O73*$J$4+$M$4*$J$5+[13]FormattedData!O73^2*$J$6+$M$5*$J$7</f>
        <v>29.049530156256559</v>
      </c>
      <c r="W71" s="5">
        <f t="shared" si="9"/>
        <v>28.844801920983631</v>
      </c>
      <c r="X71" s="4">
        <f t="shared" si="10"/>
        <v>0.20776870926708274</v>
      </c>
      <c r="Y71" s="3">
        <f t="shared" si="11"/>
        <v>27.38213818567257</v>
      </c>
      <c r="Z71" s="2">
        <f t="shared" si="12"/>
        <v>28.584835309495823</v>
      </c>
      <c r="AA71" s="3">
        <f t="shared" si="13"/>
        <v>28.85400042308035</v>
      </c>
      <c r="AB71" s="2">
        <f t="shared" si="14"/>
        <v>29.196050650524921</v>
      </c>
      <c r="AC71" s="2">
        <f t="shared" si="15"/>
        <v>29.927321662921905</v>
      </c>
      <c r="AD71" s="2">
        <f t="shared" si="16"/>
        <v>-0.44705138800610617</v>
      </c>
      <c r="AE71" s="2">
        <f t="shared" si="17"/>
        <v>0.42864594308472004</v>
      </c>
    </row>
    <row r="72" spans="2:31" x14ac:dyDescent="0.2">
      <c r="B72" s="1">
        <f>[13]FormattedData!A75</f>
        <v>307</v>
      </c>
      <c r="C72" s="1" t="str">
        <f>VLOOKUP($B72,[13]TrtCodes!$B$11:I118,2)</f>
        <v>NTH</v>
      </c>
      <c r="D72" s="1">
        <f>VLOOKUP($B72,[13]TrtCodes!$B$11:J118,3)</f>
        <v>9</v>
      </c>
      <c r="E72" s="1">
        <f>VLOOKUP($B72,[13]TrtCodes!$B$11:K118,4)</f>
        <v>2</v>
      </c>
      <c r="F72" s="1">
        <f>VLOOKUP($B72,[13]TrtCodes!$B$11:L118,5)</f>
        <v>2</v>
      </c>
      <c r="G72" s="1">
        <f>VLOOKUP($B72,[13]TrtCodes!$B$11:M118,6)</f>
        <v>2</v>
      </c>
      <c r="H72" s="1">
        <f>VLOOKUP($B72,[13]TrtCodes!$B$11:N118,7)</f>
        <v>4</v>
      </c>
      <c r="I72" s="1">
        <f>[13]FormattedData!B75</f>
        <v>2</v>
      </c>
      <c r="J72" s="4">
        <f>[13]FormattedData!C75</f>
        <v>13.302</v>
      </c>
      <c r="K72" s="6">
        <f>$J$3+[13]FormattedData!D75*$J$4+$M$4*$J$5+[13]FormattedData!D75^2*$J$6+$M$5*$J$7</f>
        <v>29.63510491087483</v>
      </c>
      <c r="L72" s="6">
        <f>$J$3+[13]FormattedData!E75*$J$4+$M$4*$J$5+[13]FormattedData!E75^2*$J$6+$M$5*$J$7</f>
        <v>29.147231620037765</v>
      </c>
      <c r="M72" s="6">
        <f>$J$3+[13]FormattedData!F75*$J$4+$M$4*$J$5+[13]FormattedData!F75^2*$J$6+$M$5*$J$7</f>
        <v>30.607681352204136</v>
      </c>
      <c r="N72" s="6">
        <f>$J$3+[13]FormattedData!G75*$J$4+$M$4*$J$5+[13]FormattedData!G75^2*$J$6+$M$5*$J$7</f>
        <v>28.756172153685348</v>
      </c>
      <c r="O72" s="6">
        <f>$J$3+[13]FormattedData!H75*$J$4+$M$4*$J$5+[13]FormattedData!H75^2*$J$6+$M$5*$J$7</f>
        <v>30.219157998127592</v>
      </c>
      <c r="P72" s="6">
        <f>$J$3+[13]FormattedData!I75*$J$4+$M$4*$J$5+[13]FormattedData!I75^2*$J$6+$M$5*$J$7</f>
        <v>30.024642709861727</v>
      </c>
      <c r="Q72" s="6">
        <f>$J$3+[13]FormattedData!J75*$J$4+$M$4*$J$5+[13]FormattedData!J75^2*$J$6+$M$5*$J$7</f>
        <v>30.898630048113272</v>
      </c>
      <c r="R72" s="6">
        <f>$J$3+[13]FormattedData!K75*$J$4+$M$4*$J$5+[13]FormattedData!K75^2*$J$6+$M$5*$J$7</f>
        <v>30.12192148826362</v>
      </c>
      <c r="S72" s="6">
        <f>$J$3+[13]FormattedData!L75*$J$4+$M$4*$J$5+[13]FormattedData!L75^2*$J$6+$M$5*$J$7</f>
        <v>31.189198327181025</v>
      </c>
      <c r="T72" s="6">
        <f>$J$3+[13]FormattedData!M75*$J$4+$M$4*$J$5+[13]FormattedData!M75^2*$J$6+$M$5*$J$7</f>
        <v>29.927321662921905</v>
      </c>
      <c r="U72" s="6">
        <f>$J$3+[13]FormattedData!N75*$J$4+$M$4*$J$5+[13]FormattedData!N75^2*$J$6+$M$5*$J$7</f>
        <v>30.316352239453622</v>
      </c>
      <c r="V72" s="6">
        <f>$J$3+[13]FormattedData!O75*$J$4+$M$4*$J$5+[13]FormattedData!O75^2*$J$6+$M$5*$J$7</f>
        <v>28.168314898018792</v>
      </c>
      <c r="W72" s="5">
        <f t="shared" si="9"/>
        <v>29.917644117395298</v>
      </c>
      <c r="X72" s="4">
        <f t="shared" si="10"/>
        <v>0.25287766437523257</v>
      </c>
      <c r="Y72" s="3">
        <f t="shared" si="11"/>
        <v>28.168314898018792</v>
      </c>
      <c r="Z72" s="2">
        <f t="shared" si="12"/>
        <v>29.513136588165565</v>
      </c>
      <c r="AA72" s="3">
        <f t="shared" si="13"/>
        <v>30.073282099062673</v>
      </c>
      <c r="AB72" s="2">
        <f t="shared" si="14"/>
        <v>30.389184517641251</v>
      </c>
      <c r="AC72" s="2">
        <f t="shared" si="15"/>
        <v>31.189198327181025</v>
      </c>
      <c r="AD72" s="2">
        <f t="shared" si="16"/>
        <v>-0.64441616356348297</v>
      </c>
      <c r="AE72" s="2">
        <f t="shared" si="17"/>
        <v>7.3100637871797325E-2</v>
      </c>
    </row>
    <row r="73" spans="2:31" x14ac:dyDescent="0.2">
      <c r="B73" s="1">
        <f>[13]FormattedData!A77</f>
        <v>308</v>
      </c>
      <c r="C73" s="1" t="str">
        <f>VLOOKUP($B73,[13]TrtCodes!$B$11:I120,2)</f>
        <v>FDH</v>
      </c>
      <c r="D73" s="1">
        <f>VLOOKUP($B73,[13]TrtCodes!$B$11:J120,3)</f>
        <v>5</v>
      </c>
      <c r="E73" s="1">
        <f>VLOOKUP($B73,[13]TrtCodes!$B$11:K120,4)</f>
        <v>1</v>
      </c>
      <c r="F73" s="1">
        <f>VLOOKUP($B73,[13]TrtCodes!$B$11:L120,5)</f>
        <v>3</v>
      </c>
      <c r="G73" s="1">
        <f>VLOOKUP($B73,[13]TrtCodes!$B$11:M120,6)</f>
        <v>2</v>
      </c>
      <c r="H73" s="1">
        <f>VLOOKUP($B73,[13]TrtCodes!$B$11:N120,7)</f>
        <v>4</v>
      </c>
      <c r="I73" s="1">
        <f>[13]FormattedData!B77</f>
        <v>2</v>
      </c>
      <c r="J73" s="4">
        <f>[13]FormattedData!C77</f>
        <v>13.316000000000001</v>
      </c>
      <c r="K73" s="6">
        <f>$J$3+[13]FormattedData!D77*$J$4+$M$4*$J$5+[13]FormattedData!D77^2*$J$6+$M$5*$J$7</f>
        <v>29.63510491087483</v>
      </c>
      <c r="L73" s="6">
        <f>$J$3+[13]FormattedData!E77*$J$4+$M$4*$J$5+[13]FormattedData!E77^2*$J$6+$M$5*$J$7</f>
        <v>30.219157998127592</v>
      </c>
      <c r="M73" s="6">
        <f>$J$3+[13]FormattedData!F77*$J$4+$M$4*$J$5+[13]FormattedData!F77^2*$J$6+$M$5*$J$7</f>
        <v>31.769193634792387</v>
      </c>
      <c r="N73" s="6">
        <f>$J$3+[13]FormattedData!G77*$J$4+$M$4*$J$5+[13]FormattedData!G77^2*$J$6+$M$5*$J$7</f>
        <v>29.63510491087483</v>
      </c>
      <c r="O73" s="6">
        <f>$J$3+[13]FormattedData!H77*$J$4+$M$4*$J$5+[13]FormattedData!H77^2*$J$6+$M$5*$J$7</f>
        <v>31.865711579511526</v>
      </c>
      <c r="P73" s="6">
        <f>$J$3+[13]FormattedData!I77*$J$4+$M$4*$J$5+[13]FormattedData!I77^2*$J$6+$M$5*$J$7</f>
        <v>30.024642709861727</v>
      </c>
      <c r="Q73" s="6">
        <f>$J$3+[13]FormattedData!J77*$J$4+$M$4*$J$5+[13]FormattedData!J77^2*$J$6+$M$5*$J$7</f>
        <v>31.672633421535323</v>
      </c>
      <c r="R73" s="6">
        <f>$J$3+[13]FormattedData!K77*$J$4+$M$4*$J$5+[13]FormattedData!K77^2*$J$6+$M$5*$J$7</f>
        <v>31.285969883127741</v>
      </c>
      <c r="S73" s="6">
        <f>$J$3+[13]FormattedData!L77*$J$4+$M$4*$J$5+[13]FormattedData!L77^2*$J$6+$M$5*$J$7</f>
        <v>30.024642709861727</v>
      </c>
      <c r="T73" s="6">
        <f>$J$3+[13]FormattedData!M77*$J$4+$M$4*$J$5+[13]FormattedData!M77^2*$J$6+$M$5*$J$7</f>
        <v>30.219157998127592</v>
      </c>
      <c r="U73" s="6">
        <f>$J$3+[13]FormattedData!N77*$J$4+$M$4*$J$5+[13]FormattedData!N77^2*$J$6+$M$5*$J$7</f>
        <v>31.092384502696365</v>
      </c>
      <c r="V73" s="6">
        <f>$J$3+[13]FormattedData!O77*$J$4+$M$4*$J$5+[13]FormattedData!O77^2*$J$6+$M$5*$J$7</f>
        <v>30.801689418014824</v>
      </c>
      <c r="W73" s="5">
        <f t="shared" si="9"/>
        <v>30.687116139783868</v>
      </c>
      <c r="X73" s="4">
        <f t="shared" si="10"/>
        <v>0.23989242385836493</v>
      </c>
      <c r="Y73" s="3">
        <f t="shared" si="11"/>
        <v>29.63510491087483</v>
      </c>
      <c r="Z73" s="2">
        <f t="shared" si="12"/>
        <v>30.024642709861727</v>
      </c>
      <c r="AA73" s="3">
        <f t="shared" si="13"/>
        <v>30.510423708071208</v>
      </c>
      <c r="AB73" s="2">
        <f t="shared" si="14"/>
        <v>31.382635767729639</v>
      </c>
      <c r="AC73" s="2">
        <f t="shared" si="15"/>
        <v>31.865711579511526</v>
      </c>
      <c r="AD73" s="2">
        <f t="shared" si="16"/>
        <v>0.19563732748130191</v>
      </c>
      <c r="AE73" s="2">
        <f t="shared" si="17"/>
        <v>-1.6112393122721409</v>
      </c>
    </row>
    <row r="74" spans="2:31" x14ac:dyDescent="0.2">
      <c r="B74" s="1">
        <f>[13]FormattedData!A93</f>
        <v>401</v>
      </c>
      <c r="C74" s="1" t="str">
        <f>VLOOKUP($B74,[13]TrtCodes!$B$11:I130,2)</f>
        <v>NSH</v>
      </c>
      <c r="D74" s="1">
        <f>VLOOKUP($B74,[13]TrtCodes!$B$11:J130,3)</f>
        <v>7</v>
      </c>
      <c r="E74" s="1">
        <f>VLOOKUP($B74,[13]TrtCodes!$B$11:K130,4)</f>
        <v>2</v>
      </c>
      <c r="F74" s="1">
        <f>VLOOKUP($B74,[13]TrtCodes!$B$11:L130,5)</f>
        <v>1</v>
      </c>
      <c r="G74" s="1">
        <f>VLOOKUP($B74,[13]TrtCodes!$B$11:M130,6)</f>
        <v>2</v>
      </c>
      <c r="H74" s="1">
        <f>VLOOKUP($B74,[13]TrtCodes!$B$11:N130,7)</f>
        <v>3</v>
      </c>
      <c r="I74" s="1">
        <f>[13]FormattedData!B93</f>
        <v>2</v>
      </c>
      <c r="J74" s="4">
        <f>[13]FormattedData!C93</f>
        <v>13.452</v>
      </c>
      <c r="K74" s="6">
        <f>$J$3+[13]FormattedData!D93*$J$4+$M$4*$J$5+[13]FormattedData!D93^2*$J$6+$M$5*$J$7</f>
        <v>32.540153673483402</v>
      </c>
      <c r="L74" s="6">
        <f>$J$3+[13]FormattedData!E93*$J$4+$M$4*$J$5+[13]FormattedData!E93^2*$J$6+$M$5*$J$7</f>
        <v>31.189198327181025</v>
      </c>
      <c r="M74" s="6">
        <f>$J$3+[13]FormattedData!F93*$J$4+$M$4*$J$5+[13]FormattedData!F93^2*$J$6+$M$5*$J$7</f>
        <v>34.264922922662279</v>
      </c>
      <c r="N74" s="6">
        <f>$J$3+[13]FormattedData!G93*$J$4+$M$4*$J$5+[13]FormattedData!G93^2*$J$6+$M$5*$J$7</f>
        <v>31.092384502696365</v>
      </c>
      <c r="O74" s="6">
        <f>$J$3+[13]FormattedData!H93*$J$4+$M$4*$J$5+[13]FormattedData!H93^2*$J$6+$M$5*$J$7</f>
        <v>33.116598423908542</v>
      </c>
      <c r="P74" s="6">
        <f>$J$3+[13]FormattedData!I93*$J$4+$M$4*$J$5+[13]FormattedData!I93^2*$J$6+$M$5*$J$7</f>
        <v>32.828566257116663</v>
      </c>
      <c r="Q74" s="6">
        <f>$J$3+[13]FormattedData!J93*$J$4+$M$4*$J$5+[13]FormattedData!J93^2*$J$6+$M$5*$J$7</f>
        <v>32.540153673483402</v>
      </c>
      <c r="R74" s="6">
        <f>$J$3+[13]FormattedData!K93*$J$4+$M$4*$J$5+[13]FormattedData!K93^2*$J$6+$M$5*$J$7</f>
        <v>32.443931608529788</v>
      </c>
      <c r="S74" s="6">
        <f>$J$3+[13]FormattedData!L93*$J$4+$M$4*$J$5+[13]FormattedData!L93^2*$J$6+$M$5*$J$7</f>
        <v>34.455718579590211</v>
      </c>
      <c r="T74" s="6">
        <f>$J$3+[13]FormattedData!M93*$J$4+$M$4*$J$5+[13]FormattedData!M93^2*$J$6+$M$5*$J$7</f>
        <v>37.203255897244993</v>
      </c>
      <c r="U74" s="6">
        <f>$J$3+[13]FormattedData!N93*$J$4+$M$4*$J$5+[13]FormattedData!N93^2*$J$6+$M$5*$J$7</f>
        <v>32.347667275038233</v>
      </c>
      <c r="V74" s="6">
        <f>$J$3+[13]FormattedData!O93*$J$4+$M$4*$J$5+[13]FormattedData!O93^2*$J$6+$M$5*$J$7</f>
        <v>30.607681352204136</v>
      </c>
      <c r="W74" s="5">
        <f t="shared" ref="W74:W105" si="18">AVERAGE(K74:V74)</f>
        <v>32.885852707761593</v>
      </c>
      <c r="X74" s="4">
        <f t="shared" ref="X74:X85" si="19">STDEV(K74:V74)/SQRT(COUNT(K74:V74))</f>
        <v>0.51545795771169267</v>
      </c>
      <c r="Y74" s="3">
        <f t="shared" ref="Y74:Y85" si="20">MIN(K74:V74)</f>
        <v>30.607681352204136</v>
      </c>
      <c r="Z74" s="2">
        <f t="shared" ref="Z74:Z85" si="21">QUARTILE(K74:V74,1)</f>
        <v>32.058050038073929</v>
      </c>
      <c r="AA74" s="3">
        <f t="shared" ref="AA74:AA85" si="22">MEDIAN(K74:V74)</f>
        <v>32.540153673483402</v>
      </c>
      <c r="AB74" s="2">
        <f t="shared" ref="AB74:AB85" si="23">QUARTILE(K74:V74,3)</f>
        <v>33.403679548596976</v>
      </c>
      <c r="AC74" s="2">
        <f t="shared" ref="AC74:AC85" si="24">MAX(K74:V74)</f>
        <v>37.203255897244993</v>
      </c>
      <c r="AD74" s="2">
        <f t="shared" ref="AD74:AD85" si="25">SKEW(K74:V74)</f>
        <v>1.2297786905548038</v>
      </c>
      <c r="AE74" s="2">
        <f t="shared" ref="AE74:AE85" si="26">KURT(K74:V74)</f>
        <v>2.2113461816885946</v>
      </c>
    </row>
    <row r="75" spans="2:31" x14ac:dyDescent="0.2">
      <c r="B75" s="1">
        <f>[13]FormattedData!A91</f>
        <v>402</v>
      </c>
      <c r="C75" s="1" t="str">
        <f>VLOOKUP($B75,[13]TrtCodes!$B$11:I131,2)</f>
        <v>NTH</v>
      </c>
      <c r="D75" s="1">
        <f>VLOOKUP($B75,[13]TrtCodes!$B$11:J131,3)</f>
        <v>9</v>
      </c>
      <c r="E75" s="1">
        <f>VLOOKUP($B75,[13]TrtCodes!$B$11:K131,4)</f>
        <v>2</v>
      </c>
      <c r="F75" s="1">
        <f>VLOOKUP($B75,[13]TrtCodes!$B$11:L131,5)</f>
        <v>2</v>
      </c>
      <c r="G75" s="1">
        <f>VLOOKUP($B75,[13]TrtCodes!$B$11:M131,6)</f>
        <v>2</v>
      </c>
      <c r="H75" s="1">
        <f>VLOOKUP($B75,[13]TrtCodes!$B$11:N131,7)</f>
        <v>3</v>
      </c>
      <c r="I75" s="1">
        <f>[13]FormattedData!B91</f>
        <v>2</v>
      </c>
      <c r="J75" s="4">
        <f>[13]FormattedData!C91</f>
        <v>13.435</v>
      </c>
      <c r="K75" s="6">
        <f>$J$3+[13]FormattedData!D91*$J$4+$M$4*$J$5+[13]FormattedData!D91^2*$J$6+$M$5*$J$7</f>
        <v>30.024642709861727</v>
      </c>
      <c r="L75" s="6">
        <f>$J$3+[13]FormattedData!E91*$J$4+$M$4*$J$5+[13]FormattedData!E91^2*$J$6+$M$5*$J$7</f>
        <v>30.219157998127592</v>
      </c>
      <c r="M75" s="6">
        <f>$J$3+[13]FormattedData!F91*$J$4+$M$4*$J$5+[13]FormattedData!F91^2*$J$6+$M$5*$J$7</f>
        <v>31.285969883127741</v>
      </c>
      <c r="N75" s="6">
        <f>$J$3+[13]FormattedData!G91*$J$4+$M$4*$J$5+[13]FormattedData!G91^2*$J$6+$M$5*$J$7</f>
        <v>29.342507741986385</v>
      </c>
      <c r="O75" s="6">
        <f>$J$3+[13]FormattedData!H91*$J$4+$M$4*$J$5+[13]FormattedData!H91^2*$J$6+$M$5*$J$7</f>
        <v>31.189198327181025</v>
      </c>
      <c r="P75" s="6">
        <f>$J$3+[13]FormattedData!I91*$J$4+$M$4*$J$5+[13]FormattedData!I91^2*$J$6+$M$5*$J$7</f>
        <v>30.607681352204136</v>
      </c>
      <c r="Q75" s="6">
        <f>$J$3+[13]FormattedData!J91*$J$4+$M$4*$J$5+[13]FormattedData!J91^2*$J$6+$M$5*$J$7</f>
        <v>29.732552763428455</v>
      </c>
      <c r="R75" s="6">
        <f>$J$3+[13]FormattedData!K91*$J$4+$M$4*$J$5+[13]FormattedData!K91^2*$J$6+$M$5*$J$7</f>
        <v>30.12192148826362</v>
      </c>
      <c r="S75" s="6">
        <f>$J$3+[13]FormattedData!L91*$J$4+$M$4*$J$5+[13]FormattedData!L91^2*$J$6+$M$5*$J$7</f>
        <v>31.576030939740328</v>
      </c>
      <c r="T75" s="6">
        <f>$J$3+[13]FormattedData!M91*$J$4+$M$4*$J$5+[13]FormattedData!M91^2*$J$6+$M$5*$J$7</f>
        <v>30.704706519378448</v>
      </c>
      <c r="U75" s="6">
        <f>$J$3+[13]FormattedData!N91*$J$4+$M$4*$J$5+[13]FormattedData!N91^2*$J$6+$M$5*$J$7</f>
        <v>29.049530156256559</v>
      </c>
      <c r="V75" s="6">
        <f>$J$3+[13]FormattedData!O91*$J$4+$M$4*$J$5+[13]FormattedData!O91^2*$J$6+$M$5*$J$7</f>
        <v>29.537614789783284</v>
      </c>
      <c r="W75" s="5">
        <f t="shared" si="18"/>
        <v>30.282626222444943</v>
      </c>
      <c r="X75" s="4">
        <f t="shared" si="19"/>
        <v>0.23263414328982426</v>
      </c>
      <c r="Y75" s="3">
        <f t="shared" si="20"/>
        <v>29.049530156256559</v>
      </c>
      <c r="Z75" s="2">
        <f t="shared" si="21"/>
        <v>29.683818270017163</v>
      </c>
      <c r="AA75" s="3">
        <f t="shared" si="22"/>
        <v>30.170539743195604</v>
      </c>
      <c r="AB75" s="2">
        <f t="shared" si="23"/>
        <v>30.825829471329094</v>
      </c>
      <c r="AC75" s="2">
        <f t="shared" si="24"/>
        <v>31.576030939740328</v>
      </c>
      <c r="AD75" s="2">
        <f t="shared" si="25"/>
        <v>0.15029879556089093</v>
      </c>
      <c r="AE75" s="2">
        <f t="shared" si="26"/>
        <v>-1.0337864814329358</v>
      </c>
    </row>
    <row r="76" spans="2:31" x14ac:dyDescent="0.2">
      <c r="B76" s="1">
        <f>[13]FormattedData!A89</f>
        <v>403</v>
      </c>
      <c r="C76" s="1" t="str">
        <f>VLOOKUP($B76,[13]TrtCodes!$B$11:I132,2)</f>
        <v>FDL</v>
      </c>
      <c r="D76" s="1">
        <f>VLOOKUP($B76,[13]TrtCodes!$B$11:J132,3)</f>
        <v>6</v>
      </c>
      <c r="E76" s="1">
        <f>VLOOKUP($B76,[13]TrtCodes!$B$11:K132,4)</f>
        <v>1</v>
      </c>
      <c r="F76" s="1">
        <f>VLOOKUP($B76,[13]TrtCodes!$B$11:L132,5)</f>
        <v>3</v>
      </c>
      <c r="G76" s="1">
        <f>VLOOKUP($B76,[13]TrtCodes!$B$11:M132,6)</f>
        <v>1</v>
      </c>
      <c r="H76" s="1">
        <f>VLOOKUP($B76,[13]TrtCodes!$B$11:N132,7)</f>
        <v>3</v>
      </c>
      <c r="I76" s="1">
        <f>[13]FormattedData!B89</f>
        <v>2</v>
      </c>
      <c r="J76" s="4">
        <f>[13]FormattedData!C89</f>
        <v>13.420999999999999</v>
      </c>
      <c r="K76" s="6">
        <f>$J$3+[13]FormattedData!D89*$J$4+$M$4*$J$5+[13]FormattedData!D89^2*$J$6+$M$5*$J$7</f>
        <v>30.316352239453622</v>
      </c>
      <c r="L76" s="6">
        <f>$J$3+[13]FormattedData!E89*$J$4+$M$4*$J$5+[13]FormattedData!E89^2*$J$6+$M$5*$J$7</f>
        <v>30.898630048113272</v>
      </c>
      <c r="M76" s="6">
        <f>$J$3+[13]FormattedData!F89*$J$4+$M$4*$J$5+[13]FormattedData!F89^2*$J$6+$M$5*$J$7</f>
        <v>30.316352239453622</v>
      </c>
      <c r="N76" s="6">
        <f>$J$3+[13]FormattedData!G89*$J$4+$M$4*$J$5+[13]FormattedData!G89^2*$J$6+$M$5*$J$7</f>
        <v>30.995528409673785</v>
      </c>
      <c r="O76" s="6">
        <f>$J$3+[13]FormattedData!H89*$J$4+$M$4*$J$5+[13]FormattedData!H89^2*$J$6+$M$5*$J$7</f>
        <v>31.285969883127741</v>
      </c>
      <c r="P76" s="6">
        <f>$J$3+[13]FormattedData!I89*$J$4+$M$4*$J$5+[13]FormattedData!I89^2*$J$6+$M$5*$J$7</f>
        <v>28.951786423937421</v>
      </c>
      <c r="Q76" s="6">
        <f>$J$3+[13]FormattedData!J89*$J$4+$M$4*$J$5+[13]FormattedData!J89^2*$J$6+$M$5*$J$7</f>
        <v>30.219157998127592</v>
      </c>
      <c r="R76" s="6">
        <f>$J$3+[13]FormattedData!K89*$J$4+$M$4*$J$5+[13]FormattedData!K89^2*$J$6+$M$5*$J$7</f>
        <v>28.658301615752418</v>
      </c>
      <c r="S76" s="6">
        <f>$J$3+[13]FormattedData!L89*$J$4+$M$4*$J$5+[13]FormattedData!L89^2*$J$6+$M$5*$J$7</f>
        <v>30.024642709861727</v>
      </c>
      <c r="T76" s="6">
        <f>$J$3+[13]FormattedData!M89*$J$4+$M$4*$J$5+[13]FormattedData!M89^2*$J$6+$M$5*$J$7</f>
        <v>28.364436390726034</v>
      </c>
      <c r="U76" s="6">
        <f>$J$3+[13]FormattedData!N89*$J$4+$M$4*$J$5+[13]FormattedData!N89^2*$J$6+$M$5*$J$7</f>
        <v>29.244890815281043</v>
      </c>
      <c r="V76" s="6">
        <f>$J$3+[13]FormattedData!O89*$J$4+$M$4*$J$5+[13]FormattedData!O89^2*$J$6+$M$5*$J$7</f>
        <v>28.85400042308035</v>
      </c>
      <c r="W76" s="5">
        <f t="shared" si="18"/>
        <v>29.844170766382387</v>
      </c>
      <c r="X76" s="4">
        <f t="shared" si="19"/>
        <v>0.28692746383177004</v>
      </c>
      <c r="Y76" s="3">
        <f t="shared" si="20"/>
        <v>28.364436390726034</v>
      </c>
      <c r="Z76" s="2">
        <f t="shared" si="21"/>
        <v>28.927339923723153</v>
      </c>
      <c r="AA76" s="3">
        <f t="shared" si="22"/>
        <v>30.121900353994661</v>
      </c>
      <c r="AB76" s="2">
        <f t="shared" si="23"/>
        <v>30.461921691618535</v>
      </c>
      <c r="AC76" s="2">
        <f t="shared" si="24"/>
        <v>31.285969883127741</v>
      </c>
      <c r="AD76" s="2">
        <f t="shared" si="25"/>
        <v>-9.3247575909647051E-2</v>
      </c>
      <c r="AE76" s="2">
        <f t="shared" si="26"/>
        <v>-1.4611707200596316</v>
      </c>
    </row>
    <row r="77" spans="2:31" x14ac:dyDescent="0.2">
      <c r="B77" s="1">
        <f>[13]FormattedData!A87</f>
        <v>404</v>
      </c>
      <c r="C77" s="1" t="str">
        <f>VLOOKUP($B77,[13]TrtCodes!$B$11:I130,2)</f>
        <v>FTH</v>
      </c>
      <c r="D77" s="1">
        <f>VLOOKUP($B77,[13]TrtCodes!$B$11:J130,3)</f>
        <v>3</v>
      </c>
      <c r="E77" s="1">
        <f>VLOOKUP($B77,[13]TrtCodes!$B$11:K130,4)</f>
        <v>1</v>
      </c>
      <c r="F77" s="1">
        <f>VLOOKUP($B77,[13]TrtCodes!$B$11:L130,5)</f>
        <v>2</v>
      </c>
      <c r="G77" s="1">
        <f>VLOOKUP($B77,[13]TrtCodes!$B$11:M130,6)</f>
        <v>2</v>
      </c>
      <c r="H77" s="1">
        <f>VLOOKUP($B77,[13]TrtCodes!$B$11:N130,7)</f>
        <v>3</v>
      </c>
      <c r="I77" s="1">
        <f>[13]FormattedData!B87</f>
        <v>2</v>
      </c>
      <c r="J77" s="4">
        <f>[13]FormattedData!C87</f>
        <v>13.407</v>
      </c>
      <c r="K77" s="6">
        <f>$J$3+[13]FormattedData!D87*$J$4+$M$4*$J$5+[13]FormattedData!D87^2*$J$6+$M$5*$J$7</f>
        <v>31.285969883127741</v>
      </c>
      <c r="L77" s="6">
        <f>$J$3+[13]FormattedData!E87*$J$4+$M$4*$J$5+[13]FormattedData!E87^2*$J$6+$M$5*$J$7</f>
        <v>29.049530156256559</v>
      </c>
      <c r="M77" s="6">
        <f>$J$3+[13]FormattedData!F87*$J$4+$M$4*$J$5+[13]FormattedData!F87^2*$J$6+$M$5*$J$7</f>
        <v>27.677271466836888</v>
      </c>
      <c r="N77" s="6">
        <f>$J$3+[13]FormattedData!G87*$J$4+$M$4*$J$5+[13]FormattedData!G87^2*$J$6+$M$5*$J$7</f>
        <v>29.244890815281043</v>
      </c>
      <c r="O77" s="6">
        <f>$J$3+[13]FormattedData!H87*$J$4+$M$4*$J$5+[13]FormattedData!H87^2*$J$6+$M$5*$J$7</f>
        <v>29.537614789783284</v>
      </c>
      <c r="P77" s="6">
        <f>$J$3+[13]FormattedData!I87*$J$4+$M$4*$J$5+[13]FormattedData!I87^2*$J$6+$M$5*$J$7</f>
        <v>29.342507741986385</v>
      </c>
      <c r="Q77" s="6">
        <f>$J$3+[13]FormattedData!J87*$J$4+$M$4*$J$5+[13]FormattedData!J87^2*$J$6+$M$5*$J$7</f>
        <v>31.092384502696365</v>
      </c>
      <c r="R77" s="6">
        <f>$J$3+[13]FormattedData!K87*$J$4+$M$4*$J$5+[13]FormattedData!K87^2*$J$6+$M$5*$J$7</f>
        <v>30.510613916491899</v>
      </c>
      <c r="S77" s="6">
        <f>$J$3+[13]FormattedData!L87*$J$4+$M$4*$J$5+[13]FormattedData!L87^2*$J$6+$M$5*$J$7</f>
        <v>31.672633421535323</v>
      </c>
      <c r="T77" s="6">
        <f>$J$3+[13]FormattedData!M87*$J$4+$M$4*$J$5+[13]FormattedData!M87^2*$J$6+$M$5*$J$7</f>
        <v>28.658301615752418</v>
      </c>
      <c r="U77" s="6">
        <f>$J$3+[13]FormattedData!N87*$J$4+$M$4*$J$5+[13]FormattedData!N87^2*$J$6+$M$5*$J$7</f>
        <v>31.479386189407396</v>
      </c>
      <c r="V77" s="6">
        <f>$J$3+[13]FormattedData!O87*$J$4+$M$4*$J$5+[13]FormattedData!O87^2*$J$6+$M$5*$J$7</f>
        <v>28.756172153685348</v>
      </c>
      <c r="W77" s="5">
        <f t="shared" si="18"/>
        <v>29.858939721070055</v>
      </c>
      <c r="X77" s="4">
        <f t="shared" si="19"/>
        <v>0.37656006912979467</v>
      </c>
      <c r="Y77" s="3">
        <f t="shared" si="20"/>
        <v>27.677271466836888</v>
      </c>
      <c r="Z77" s="2">
        <f t="shared" si="21"/>
        <v>28.976190655613756</v>
      </c>
      <c r="AA77" s="3">
        <f t="shared" si="22"/>
        <v>29.440061265884836</v>
      </c>
      <c r="AB77" s="2">
        <f t="shared" si="23"/>
        <v>31.140780847804209</v>
      </c>
      <c r="AC77" s="2">
        <f t="shared" si="24"/>
        <v>31.672633421535323</v>
      </c>
      <c r="AD77" s="2">
        <f t="shared" si="25"/>
        <v>4.3835951178714964E-2</v>
      </c>
      <c r="AE77" s="2">
        <f t="shared" si="26"/>
        <v>-1.245612882863341</v>
      </c>
    </row>
    <row r="78" spans="2:31" x14ac:dyDescent="0.2">
      <c r="B78" s="1">
        <f>[13]FormattedData!A85</f>
        <v>405</v>
      </c>
      <c r="C78" s="1" t="str">
        <f>VLOOKUP($B78,[13]TrtCodes!$B$11:I128,2)</f>
        <v>FDL</v>
      </c>
      <c r="D78" s="1">
        <f>VLOOKUP($B78,[13]TrtCodes!$B$11:J128,3)</f>
        <v>6</v>
      </c>
      <c r="E78" s="1">
        <f>VLOOKUP($B78,[13]TrtCodes!$B$11:K128,4)</f>
        <v>1</v>
      </c>
      <c r="F78" s="1">
        <f>VLOOKUP($B78,[13]TrtCodes!$B$11:L128,5)</f>
        <v>3</v>
      </c>
      <c r="G78" s="1">
        <f>VLOOKUP($B78,[13]TrtCodes!$B$11:M128,6)</f>
        <v>1</v>
      </c>
      <c r="H78" s="1">
        <f>VLOOKUP($B78,[13]TrtCodes!$B$11:N128,7)</f>
        <v>4</v>
      </c>
      <c r="I78" s="1">
        <f>[13]FormattedData!B85</f>
        <v>2</v>
      </c>
      <c r="J78" s="4">
        <f>[13]FormattedData!C85</f>
        <v>13.39</v>
      </c>
      <c r="K78" s="6">
        <f>$J$3+[13]FormattedData!D85*$J$4+$M$4*$J$5+[13]FormattedData!D85^2*$J$6+$M$5*$J$7</f>
        <v>31.672633421535323</v>
      </c>
      <c r="L78" s="6">
        <f>$J$3+[13]FormattedData!E85*$J$4+$M$4*$J$5+[13]FormattedData!E85^2*$J$6+$M$5*$J$7</f>
        <v>30.024642709861727</v>
      </c>
      <c r="M78" s="6">
        <f>$J$3+[13]FormattedData!F85*$J$4+$M$4*$J$5+[13]FormattedData!F85^2*$J$6+$M$5*$J$7</f>
        <v>32.347667275038233</v>
      </c>
      <c r="N78" s="6">
        <f>$J$3+[13]FormattedData!G85*$J$4+$M$4*$J$5+[13]FormattedData!G85^2*$J$6+$M$5*$J$7</f>
        <v>30.607681352204136</v>
      </c>
      <c r="O78" s="6">
        <f>$J$3+[13]FormattedData!H85*$J$4+$M$4*$J$5+[13]FormattedData!H85^2*$J$6+$M$5*$J$7</f>
        <v>29.732552763428455</v>
      </c>
      <c r="P78" s="6">
        <f>$J$3+[13]FormattedData!I85*$J$4+$M$4*$J$5+[13]FormattedData!I85^2*$J$6+$M$5*$J$7</f>
        <v>28.756172153685348</v>
      </c>
      <c r="Q78" s="6">
        <f>$J$3+[13]FormattedData!J85*$J$4+$M$4*$J$5+[13]FormattedData!J85^2*$J$6+$M$5*$J$7</f>
        <v>29.342507741986385</v>
      </c>
      <c r="R78" s="6">
        <f>$J$3+[13]FormattedData!K85*$J$4+$M$4*$J$5+[13]FormattedData!K85^2*$J$6+$M$5*$J$7</f>
        <v>28.560388809281555</v>
      </c>
      <c r="S78" s="6">
        <f>$J$3+[13]FormattedData!L85*$J$4+$M$4*$J$5+[13]FormattedData!L85^2*$J$6+$M$5*$J$7</f>
        <v>29.342507741986385</v>
      </c>
      <c r="T78" s="6">
        <f>$J$3+[13]FormattedData!M85*$J$4+$M$4*$J$5+[13]FormattedData!M85^2*$J$6+$M$5*$J$7</f>
        <v>29.440082400153798</v>
      </c>
      <c r="U78" s="6">
        <f>$J$3+[13]FormattedData!N85*$J$4+$M$4*$J$5+[13]FormattedData!N85^2*$J$6+$M$5*$J$7</f>
        <v>28.560388809281555</v>
      </c>
      <c r="V78" s="6">
        <f>$J$3+[13]FormattedData!O85*$J$4+$M$4*$J$5+[13]FormattedData!O85^2*$J$6+$M$5*$J$7</f>
        <v>28.756172153685348</v>
      </c>
      <c r="W78" s="5">
        <f t="shared" si="18"/>
        <v>29.761949777677355</v>
      </c>
      <c r="X78" s="4">
        <f t="shared" si="19"/>
        <v>0.3534239154651217</v>
      </c>
      <c r="Y78" s="3">
        <f t="shared" si="20"/>
        <v>28.560388809281555</v>
      </c>
      <c r="Z78" s="2">
        <f t="shared" si="21"/>
        <v>28.756172153685348</v>
      </c>
      <c r="AA78" s="3">
        <f t="shared" si="22"/>
        <v>29.39129507107009</v>
      </c>
      <c r="AB78" s="2">
        <f t="shared" si="23"/>
        <v>30.170402370447327</v>
      </c>
      <c r="AC78" s="2">
        <f t="shared" si="24"/>
        <v>32.347667275038233</v>
      </c>
      <c r="AD78" s="2">
        <f t="shared" si="25"/>
        <v>1.1414399549613166</v>
      </c>
      <c r="AE78" s="2">
        <f t="shared" si="26"/>
        <v>0.51387764676381309</v>
      </c>
    </row>
    <row r="79" spans="2:31" x14ac:dyDescent="0.2">
      <c r="B79" s="1">
        <f>[13]FormattedData!A83</f>
        <v>406</v>
      </c>
      <c r="C79" s="1" t="str">
        <f>VLOOKUP($B79,[13]TrtCodes!$B$11:I126,2)</f>
        <v>FTH</v>
      </c>
      <c r="D79" s="1">
        <f>VLOOKUP($B79,[13]TrtCodes!$B$11:J126,3)</f>
        <v>3</v>
      </c>
      <c r="E79" s="1">
        <f>VLOOKUP($B79,[13]TrtCodes!$B$11:K126,4)</f>
        <v>1</v>
      </c>
      <c r="F79" s="1">
        <f>VLOOKUP($B79,[13]TrtCodes!$B$11:L126,5)</f>
        <v>2</v>
      </c>
      <c r="G79" s="1">
        <f>VLOOKUP($B79,[13]TrtCodes!$B$11:M126,6)</f>
        <v>2</v>
      </c>
      <c r="H79" s="1">
        <f>VLOOKUP($B79,[13]TrtCodes!$B$11:N126,7)</f>
        <v>4</v>
      </c>
      <c r="I79" s="1">
        <f>[13]FormattedData!B83</f>
        <v>2</v>
      </c>
      <c r="J79" s="4">
        <f>[13]FormattedData!C83</f>
        <v>13.371</v>
      </c>
      <c r="K79" s="6">
        <f>$J$3+[13]FormattedData!D83*$J$4+$M$4*$J$5+[13]FormattedData!D83^2*$J$6+$M$5*$J$7</f>
        <v>29.440082400153798</v>
      </c>
      <c r="L79" s="6">
        <f>$J$3+[13]FormattedData!E83*$J$4+$M$4*$J$5+[13]FormattedData!E83^2*$J$6+$M$5*$J$7</f>
        <v>29.63510491087483</v>
      </c>
      <c r="M79" s="6">
        <f>$J$3+[13]FormattedData!F83*$J$4+$M$4*$J$5+[13]FormattedData!F83^2*$J$6+$M$5*$J$7</f>
        <v>30.316352239453622</v>
      </c>
      <c r="N79" s="6">
        <f>$J$3+[13]FormattedData!G83*$J$4+$M$4*$J$5+[13]FormattedData!G83^2*$J$6+$M$5*$J$7</f>
        <v>29.440082400153798</v>
      </c>
      <c r="O79" s="6">
        <f>$J$3+[13]FormattedData!H83*$J$4+$M$4*$J$5+[13]FormattedData!H83^2*$J$6+$M$5*$J$7</f>
        <v>30.607681352204136</v>
      </c>
      <c r="P79" s="6">
        <f>$J$3+[13]FormattedData!I83*$J$4+$M$4*$J$5+[13]FormattedData!I83^2*$J$6+$M$5*$J$7</f>
        <v>30.510613916491899</v>
      </c>
      <c r="Q79" s="6">
        <f>$J$3+[13]FormattedData!J83*$J$4+$M$4*$J$5+[13]FormattedData!J83^2*$J$6+$M$5*$J$7</f>
        <v>30.12192148826362</v>
      </c>
      <c r="R79" s="6">
        <f>$J$3+[13]FormattedData!K83*$J$4+$M$4*$J$5+[13]FormattedData!K83^2*$J$6+$M$5*$J$7</f>
        <v>29.147231620037765</v>
      </c>
      <c r="S79" s="6">
        <f>$J$3+[13]FormattedData!L83*$J$4+$M$4*$J$5+[13]FormattedData!L83^2*$J$6+$M$5*$J$7</f>
        <v>29.732552763428455</v>
      </c>
      <c r="T79" s="6">
        <f>$J$3+[13]FormattedData!M83*$J$4+$M$4*$J$5+[13]FormattedData!M83^2*$J$6+$M$5*$J$7</f>
        <v>30.510613916491899</v>
      </c>
      <c r="U79" s="6">
        <f>$J$3+[13]FormattedData!N83*$J$4+$M$4*$J$5+[13]FormattedData!N83^2*$J$6+$M$5*$J$7</f>
        <v>29.732552763428455</v>
      </c>
      <c r="V79" s="6">
        <f>$J$3+[13]FormattedData!O83*$J$4+$M$4*$J$5+[13]FormattedData!O83^2*$J$6+$M$5*$J$7</f>
        <v>32.924619247918557</v>
      </c>
      <c r="W79" s="5">
        <f t="shared" si="18"/>
        <v>30.176617418241729</v>
      </c>
      <c r="X79" s="4">
        <f t="shared" si="19"/>
        <v>0.28623973285807786</v>
      </c>
      <c r="Y79" s="3">
        <f t="shared" si="20"/>
        <v>29.147231620037765</v>
      </c>
      <c r="Z79" s="2">
        <f t="shared" si="21"/>
        <v>29.586349283194572</v>
      </c>
      <c r="AA79" s="3">
        <f t="shared" si="22"/>
        <v>29.927237125846037</v>
      </c>
      <c r="AB79" s="2">
        <f t="shared" si="23"/>
        <v>30.510613916491899</v>
      </c>
      <c r="AC79" s="2">
        <f t="shared" si="24"/>
        <v>32.924619247918557</v>
      </c>
      <c r="AD79" s="2">
        <f t="shared" si="25"/>
        <v>2.0908297189564506</v>
      </c>
      <c r="AE79" s="2">
        <f t="shared" si="26"/>
        <v>5.5776353989260379</v>
      </c>
    </row>
    <row r="80" spans="2:31" x14ac:dyDescent="0.2">
      <c r="B80" s="1">
        <f>[13]FormattedData!A81</f>
        <v>407</v>
      </c>
      <c r="C80" s="1" t="str">
        <f>VLOOKUP($B80,[13]TrtCodes!$B$11:I124,2)</f>
        <v>NSH</v>
      </c>
      <c r="D80" s="1">
        <f>VLOOKUP($B80,[13]TrtCodes!$B$11:J124,3)</f>
        <v>7</v>
      </c>
      <c r="E80" s="1">
        <f>VLOOKUP($B80,[13]TrtCodes!$B$11:K124,4)</f>
        <v>2</v>
      </c>
      <c r="F80" s="1">
        <f>VLOOKUP($B80,[13]TrtCodes!$B$11:L124,5)</f>
        <v>1</v>
      </c>
      <c r="G80" s="1">
        <f>VLOOKUP($B80,[13]TrtCodes!$B$11:M124,6)</f>
        <v>2</v>
      </c>
      <c r="H80" s="1">
        <f>VLOOKUP($B80,[13]TrtCodes!$B$11:N124,7)</f>
        <v>4</v>
      </c>
      <c r="I80" s="1">
        <f>[13]FormattedData!B81</f>
        <v>2</v>
      </c>
      <c r="J80" s="4">
        <f>[13]FormattedData!C81</f>
        <v>13.353999999999999</v>
      </c>
      <c r="K80" s="6">
        <f>$J$3+[13]FormattedData!D81*$J$4+$M$4*$J$5+[13]FormattedData!D81^2*$J$6+$M$5*$J$7</f>
        <v>31.38269917053654</v>
      </c>
      <c r="L80" s="6">
        <f>$J$3+[13]FormattedData!E81*$J$4+$M$4*$J$5+[13]FormattedData!E81^2*$J$6+$M$5*$J$7</f>
        <v>31.962187255692733</v>
      </c>
      <c r="M80" s="6">
        <f>$J$3+[13]FormattedData!F81*$J$4+$M$4*$J$5+[13]FormattedData!F81^2*$J$6+$M$5*$J$7</f>
        <v>33.882824386351274</v>
      </c>
      <c r="N80" s="6">
        <f>$J$3+[13]FormattedData!G81*$J$4+$M$4*$J$5+[13]FormattedData!G81^2*$J$6+$M$5*$J$7</f>
        <v>31.962187255692733</v>
      </c>
      <c r="O80" s="6">
        <f>$J$3+[13]FormattedData!H81*$J$4+$M$4*$J$5+[13]FormattedData!H81^2*$J$6+$M$5*$J$7</f>
        <v>32.540153673483402</v>
      </c>
      <c r="P80" s="6">
        <f>$J$3+[13]FormattedData!I81*$J$4+$M$4*$J$5+[13]FormattedData!I81^2*$J$6+$M$5*$J$7</f>
        <v>32.540153673483402</v>
      </c>
      <c r="Q80" s="6">
        <f>$J$3+[13]FormattedData!J81*$J$4+$M$4*$J$5+[13]FormattedData!J81^2*$J$6+$M$5*$J$7</f>
        <v>32.540153673483402</v>
      </c>
      <c r="R80" s="6">
        <f>$J$3+[13]FormattedData!K81*$J$4+$M$4*$J$5+[13]FormattedData!K81^2*$J$6+$M$5*$J$7</f>
        <v>32.732470997776836</v>
      </c>
      <c r="S80" s="6">
        <f>$J$3+[13]FormattedData!L81*$J$4+$M$4*$J$5+[13]FormattedData!L81^2*$J$6+$M$5*$J$7</f>
        <v>33.212524609096647</v>
      </c>
      <c r="T80" s="6">
        <f>$J$3+[13]FormattedData!M81*$J$4+$M$4*$J$5+[13]FormattedData!M81^2*$J$6+$M$5*$J$7</f>
        <v>31.962187255692733</v>
      </c>
      <c r="U80" s="6">
        <f>$J$3+[13]FormattedData!N81*$J$4+$M$4*$J$5+[13]FormattedData!N81^2*$J$6+$M$5*$J$7</f>
        <v>31.672633421535323</v>
      </c>
      <c r="V80" s="6">
        <f>$J$3+[13]FormattedData!O81*$J$4+$M$4*$J$5+[13]FormattedData!O81^2*$J$6+$M$5*$J$7</f>
        <v>30.995528409673785</v>
      </c>
      <c r="W80" s="5">
        <f t="shared" si="18"/>
        <v>32.282141981874908</v>
      </c>
      <c r="X80" s="4">
        <f t="shared" si="19"/>
        <v>0.22984329205586193</v>
      </c>
      <c r="Y80" s="3">
        <f t="shared" si="20"/>
        <v>30.995528409673785</v>
      </c>
      <c r="Z80" s="2">
        <f t="shared" si="21"/>
        <v>31.889798797153382</v>
      </c>
      <c r="AA80" s="3">
        <f t="shared" si="22"/>
        <v>32.251170464588071</v>
      </c>
      <c r="AB80" s="2">
        <f t="shared" si="23"/>
        <v>32.588233004556763</v>
      </c>
      <c r="AC80" s="2">
        <f t="shared" si="24"/>
        <v>33.882824386351274</v>
      </c>
      <c r="AD80" s="2">
        <f t="shared" si="25"/>
        <v>0.40358019538815187</v>
      </c>
      <c r="AE80" s="2">
        <f t="shared" si="26"/>
        <v>0.25339992737607808</v>
      </c>
    </row>
    <row r="81" spans="2:31" x14ac:dyDescent="0.2">
      <c r="B81" s="1">
        <f>[13]FormattedData!A79</f>
        <v>408</v>
      </c>
      <c r="C81" s="1" t="str">
        <f>VLOOKUP($B81,[13]TrtCodes!$B$11:I122,2)</f>
        <v>NTL</v>
      </c>
      <c r="D81" s="1">
        <f>VLOOKUP($B81,[13]TrtCodes!$B$11:J122,3)</f>
        <v>10</v>
      </c>
      <c r="E81" s="1">
        <f>VLOOKUP($B81,[13]TrtCodes!$B$11:K122,4)</f>
        <v>2</v>
      </c>
      <c r="F81" s="1">
        <f>VLOOKUP($B81,[13]TrtCodes!$B$11:L122,5)</f>
        <v>2</v>
      </c>
      <c r="G81" s="1">
        <f>VLOOKUP($B81,[13]TrtCodes!$B$11:M122,6)</f>
        <v>1</v>
      </c>
      <c r="H81" s="1">
        <f>VLOOKUP($B81,[13]TrtCodes!$B$11:N122,7)</f>
        <v>4</v>
      </c>
      <c r="I81" s="1">
        <f>[13]FormattedData!B79</f>
        <v>2</v>
      </c>
      <c r="J81" s="4">
        <f>[13]FormattedData!C79</f>
        <v>13.34</v>
      </c>
      <c r="K81" s="6">
        <f>$J$3+[13]FormattedData!D79*$J$4+$M$4*$J$5+[13]FormattedData!D79^2*$J$6+$M$5*$J$7</f>
        <v>28.756172153685348</v>
      </c>
      <c r="L81" s="6">
        <f>$J$3+[13]FormattedData!E79*$J$4+$M$4*$J$5+[13]FormattedData!E79^2*$J$6+$M$5*$J$7</f>
        <v>30.024642709861727</v>
      </c>
      <c r="M81" s="6">
        <f>$J$3+[13]FormattedData!F79*$J$4+$M$4*$J$5+[13]FormattedData!F79^2*$J$6+$M$5*$J$7</f>
        <v>29.440082400153798</v>
      </c>
      <c r="N81" s="6">
        <f>$J$3+[13]FormattedData!G79*$J$4+$M$4*$J$5+[13]FormattedData!G79^2*$J$6+$M$5*$J$7</f>
        <v>28.85400042308035</v>
      </c>
      <c r="O81" s="6">
        <f>$J$3+[13]FormattedData!H79*$J$4+$M$4*$J$5+[13]FormattedData!H79^2*$J$6+$M$5*$J$7</f>
        <v>30.510613916491899</v>
      </c>
      <c r="P81" s="6">
        <f>$J$3+[13]FormattedData!I79*$J$4+$M$4*$J$5+[13]FormattedData!I79^2*$J$6+$M$5*$J$7</f>
        <v>29.147231620037765</v>
      </c>
      <c r="Q81" s="6">
        <f>$J$3+[13]FormattedData!J79*$J$4+$M$4*$J$5+[13]FormattedData!J79^2*$J$6+$M$5*$J$7</f>
        <v>29.147231620037765</v>
      </c>
      <c r="R81" s="6">
        <f>$J$3+[13]FormattedData!K79*$J$4+$M$4*$J$5+[13]FormattedData!K79^2*$J$6+$M$5*$J$7</f>
        <v>29.147231620037765</v>
      </c>
      <c r="S81" s="6">
        <f>$J$3+[13]FormattedData!L79*$J$4+$M$4*$J$5+[13]FormattedData!L79^2*$J$6+$M$5*$J$7</f>
        <v>29.049530156256559</v>
      </c>
      <c r="T81" s="6">
        <f>$J$3+[13]FormattedData!M79*$J$4+$M$4*$J$5+[13]FormattedData!M79^2*$J$6+$M$5*$J$7</f>
        <v>29.049530156256559</v>
      </c>
      <c r="U81" s="6">
        <f>$J$3+[13]FormattedData!N79*$J$4+$M$4*$J$5+[13]FormattedData!N79^2*$J$6+$M$5*$J$7</f>
        <v>30.219157998127592</v>
      </c>
      <c r="V81" s="6">
        <f>$J$3+[13]FormattedData!O79*$J$4+$M$4*$J$5+[13]FormattedData!O79^2*$J$6+$M$5*$J$7</f>
        <v>29.440082400153798</v>
      </c>
      <c r="W81" s="5">
        <f t="shared" si="18"/>
        <v>29.39879226451507</v>
      </c>
      <c r="X81" s="4">
        <f t="shared" si="19"/>
        <v>0.16161638372939716</v>
      </c>
      <c r="Y81" s="3">
        <f t="shared" si="20"/>
        <v>28.756172153685348</v>
      </c>
      <c r="Z81" s="2">
        <f t="shared" si="21"/>
        <v>29.049530156256559</v>
      </c>
      <c r="AA81" s="3">
        <f t="shared" si="22"/>
        <v>29.147231620037765</v>
      </c>
      <c r="AB81" s="2">
        <f t="shared" si="23"/>
        <v>29.58622247758078</v>
      </c>
      <c r="AC81" s="2">
        <f t="shared" si="24"/>
        <v>30.510613916491899</v>
      </c>
      <c r="AD81" s="2">
        <f t="shared" si="25"/>
        <v>1.0019617525576296</v>
      </c>
      <c r="AE81" s="2">
        <f t="shared" si="26"/>
        <v>-0.12806066830919027</v>
      </c>
    </row>
    <row r="82" spans="2:31" x14ac:dyDescent="0.2">
      <c r="B82" s="1">
        <f>[13]FormattedData!A59</f>
        <v>902</v>
      </c>
      <c r="C82" s="1" t="str">
        <f>VLOOKUP($B82,[13]TrtCodes!$B$11:I102,2)</f>
        <v>Late</v>
      </c>
      <c r="D82" s="1">
        <f>VLOOKUP($B82,[13]TrtCodes!$B$11:J102,3)</f>
        <v>22</v>
      </c>
      <c r="E82" s="1">
        <f>VLOOKUP($B82,[13]TrtCodes!$B$11:K102,4)</f>
        <v>4</v>
      </c>
      <c r="F82" s="1">
        <f>VLOOKUP($B82,[13]TrtCodes!$B$11:L102,5)</f>
        <v>2</v>
      </c>
      <c r="G82" s="1">
        <f>VLOOKUP($B82,[13]TrtCodes!$B$11:M102,6)</f>
        <v>2</v>
      </c>
      <c r="H82" s="1">
        <f>VLOOKUP($B82,[13]TrtCodes!$B$11:N102,7)</f>
        <v>1</v>
      </c>
      <c r="I82" s="1">
        <f>[13]FormattedData!B59</f>
        <v>2</v>
      </c>
      <c r="J82" s="4">
        <f>[13]FormattedData!C59</f>
        <v>13.195</v>
      </c>
      <c r="K82" s="6">
        <f>$J$3+[13]FormattedData!D59*$J$4+$M$4*$J$5+[13]FormattedData!D59^2*$J$6+$M$5*$J$7</f>
        <v>29.63510491087483</v>
      </c>
      <c r="L82" s="6">
        <f>$J$3+[13]FormattedData!E59*$J$4+$M$4*$J$5+[13]FormattedData!E59^2*$J$6+$M$5*$J$7</f>
        <v>28.85400042308035</v>
      </c>
      <c r="M82" s="6">
        <f>$J$3+[13]FormattedData!F59*$J$4+$M$4*$J$5+[13]FormattedData!F59^2*$J$6+$M$5*$J$7</f>
        <v>31.38269917053654</v>
      </c>
      <c r="N82" s="6">
        <f>$J$3+[13]FormattedData!G59*$J$4+$M$4*$J$5+[13]FormattedData!G59^2*$J$6+$M$5*$J$7</f>
        <v>30.219157998127592</v>
      </c>
      <c r="O82" s="6">
        <f>$J$3+[13]FormattedData!H59*$J$4+$M$4*$J$5+[13]FormattedData!H59^2*$J$6+$M$5*$J$7</f>
        <v>30.801689418014824</v>
      </c>
      <c r="P82" s="6">
        <f>$J$3+[13]FormattedData!I59*$J$4+$M$4*$J$5+[13]FormattedData!I59^2*$J$6+$M$5*$J$7</f>
        <v>30.510613916491899</v>
      </c>
      <c r="Q82" s="6">
        <f>$J$3+[13]FormattedData!J59*$J$4+$M$4*$J$5+[13]FormattedData!J59^2*$J$6+$M$5*$J$7</f>
        <v>31.38269917053654</v>
      </c>
      <c r="R82" s="6">
        <f>$J$3+[13]FormattedData!K59*$J$4+$M$4*$J$5+[13]FormattedData!K59^2*$J$6+$M$5*$J$7</f>
        <v>30.12192148826362</v>
      </c>
      <c r="S82" s="6">
        <f>$J$3+[13]FormattedData!L59*$J$4+$M$4*$J$5+[13]FormattedData!L59^2*$J$6+$M$5*$J$7</f>
        <v>31.479386189407396</v>
      </c>
      <c r="T82" s="6">
        <f>$J$3+[13]FormattedData!M59*$J$4+$M$4*$J$5+[13]FormattedData!M59^2*$J$6+$M$5*$J$7</f>
        <v>28.85400042308035</v>
      </c>
      <c r="U82" s="6">
        <f>$J$3+[13]FormattedData!N59*$J$4+$M$4*$J$5+[13]FormattedData!N59^2*$J$6+$M$5*$J$7</f>
        <v>32.251360673008747</v>
      </c>
      <c r="V82" s="6">
        <f>$J$3+[13]FormattedData!O59*$J$4+$M$4*$J$5+[13]FormattedData!O59^2*$J$6+$M$5*$J$7</f>
        <v>30.024642709861727</v>
      </c>
      <c r="W82" s="5">
        <f t="shared" si="18"/>
        <v>30.459773040940366</v>
      </c>
      <c r="X82" s="4">
        <f t="shared" si="19"/>
        <v>0.30489616590226321</v>
      </c>
      <c r="Y82" s="3">
        <f t="shared" si="20"/>
        <v>28.85400042308035</v>
      </c>
      <c r="Z82" s="2">
        <f t="shared" si="21"/>
        <v>29.927258260115003</v>
      </c>
      <c r="AA82" s="3">
        <f t="shared" si="22"/>
        <v>30.364885957309745</v>
      </c>
      <c r="AB82" s="2">
        <f t="shared" si="23"/>
        <v>31.38269917053654</v>
      </c>
      <c r="AC82" s="2">
        <f t="shared" si="24"/>
        <v>32.251360673008747</v>
      </c>
      <c r="AD82" s="2">
        <f t="shared" si="25"/>
        <v>-5.1267206813143631E-2</v>
      </c>
      <c r="AE82" s="2">
        <f t="shared" si="26"/>
        <v>-0.65746171153646271</v>
      </c>
    </row>
    <row r="83" spans="2:31" x14ac:dyDescent="0.2">
      <c r="B83" s="1">
        <f>[13]FormattedData!A55</f>
        <v>904</v>
      </c>
      <c r="C83" s="1" t="str">
        <f>VLOOKUP($B83,[13]TrtCodes!$B$11:I98,2)</f>
        <v>Early</v>
      </c>
      <c r="D83" s="1">
        <f>VLOOKUP($B83,[13]TrtCodes!$B$11:J98,3)</f>
        <v>21</v>
      </c>
      <c r="E83" s="1">
        <f>VLOOKUP($B83,[13]TrtCodes!$B$11:K98,4)</f>
        <v>3</v>
      </c>
      <c r="F83" s="1">
        <f>VLOOKUP($B83,[13]TrtCodes!$B$11:L98,5)</f>
        <v>2</v>
      </c>
      <c r="G83" s="1">
        <f>VLOOKUP($B83,[13]TrtCodes!$B$11:M98,6)</f>
        <v>2</v>
      </c>
      <c r="H83" s="1">
        <f>VLOOKUP($B83,[13]TrtCodes!$B$11:N98,7)</f>
        <v>1</v>
      </c>
      <c r="I83" s="1">
        <f>[13]FormattedData!B55</f>
        <v>2</v>
      </c>
      <c r="J83" s="4">
        <f>[13]FormattedData!C55</f>
        <v>13.176</v>
      </c>
      <c r="K83" s="6">
        <f>$J$3+[13]FormattedData!D55*$J$4+$M$4*$J$5+[13]FormattedData!D55^2*$J$6+$M$5*$J$7</f>
        <v>33.020629970182519</v>
      </c>
      <c r="L83" s="6">
        <f>$J$3+[13]FormattedData!E55*$J$4+$M$4*$J$5+[13]FormattedData!E55^2*$J$6+$M$5*$J$7</f>
        <v>34.741595050947595</v>
      </c>
      <c r="M83" s="6">
        <f>$J$3+[13]FormattedData!F55*$J$4+$M$4*$J$5+[13]FormattedData!F55^2*$J$6+$M$5*$J$7</f>
        <v>37.485455005802379</v>
      </c>
      <c r="N83" s="6">
        <f>$J$3+[13]FormattedData!G55*$J$4+$M$4*$J$5+[13]FormattedData!G55^2*$J$6+$M$5*$J$7</f>
        <v>32.443931608529788</v>
      </c>
      <c r="O83" s="6">
        <f>$J$3+[13]FormattedData!H55*$J$4+$M$4*$J$5+[13]FormattedData!H55^2*$J$6+$M$5*$J$7</f>
        <v>34.169461691391426</v>
      </c>
      <c r="P83" s="6">
        <f>$J$3+[13]FormattedData!I55*$J$4+$M$4*$J$5+[13]FormattedData!I55^2*$J$6+$M$5*$J$7</f>
        <v>33.978412423235923</v>
      </c>
      <c r="Q83" s="6">
        <f>$J$3+[13]FormattedData!J55*$J$4+$M$4*$J$5+[13]FormattedData!J55^2*$J$6+$M$5*$J$7</f>
        <v>36.448865125422984</v>
      </c>
      <c r="R83" s="6">
        <f>$J$3+[13]FormattedData!K55*$J$4+$M$4*$J$5+[13]FormattedData!K55^2*$J$6+$M$5*$J$7</f>
        <v>34.360341885395208</v>
      </c>
      <c r="S83" s="6">
        <f>$J$3+[13]FormattedData!L55*$J$4+$M$4*$J$5+[13]FormattedData!L55^2*$J$6+$M$5*$J$7</f>
        <v>33.595806664469727</v>
      </c>
      <c r="T83" s="6">
        <f>$J$3+[13]FormattedData!M55*$J$4+$M$4*$J$5+[13]FormattedData!M55^2*$J$6+$M$5*$J$7</f>
        <v>33.978412423235923</v>
      </c>
      <c r="U83" s="6">
        <f>$J$3+[13]FormattedData!N55*$J$4+$M$4*$J$5+[13]FormattedData!N55^2*$J$6+$M$5*$J$7</f>
        <v>35.596941963971503</v>
      </c>
      <c r="V83" s="6">
        <f>$J$3+[13]FormattedData!O55*$J$4+$M$4*$J$5+[13]FormattedData!O55^2*$J$6+$M$5*$J$7</f>
        <v>34.169461691391426</v>
      </c>
      <c r="W83" s="5">
        <f t="shared" si="18"/>
        <v>34.499109625331364</v>
      </c>
      <c r="X83" s="4">
        <f t="shared" si="19"/>
        <v>0.40813970458379006</v>
      </c>
      <c r="Y83" s="3">
        <f t="shared" si="20"/>
        <v>32.443931608529788</v>
      </c>
      <c r="Z83" s="2">
        <f t="shared" si="21"/>
        <v>33.882760983544372</v>
      </c>
      <c r="AA83" s="3">
        <f t="shared" si="22"/>
        <v>34.169461691391426</v>
      </c>
      <c r="AB83" s="2">
        <f t="shared" si="23"/>
        <v>34.955431779203572</v>
      </c>
      <c r="AC83" s="2">
        <f t="shared" si="24"/>
        <v>37.485455005802379</v>
      </c>
      <c r="AD83" s="2">
        <f t="shared" si="25"/>
        <v>0.86373422259625077</v>
      </c>
      <c r="AE83" s="2">
        <f t="shared" si="26"/>
        <v>0.65552270696374393</v>
      </c>
    </row>
    <row r="84" spans="2:31" x14ac:dyDescent="0.2">
      <c r="B84" s="1">
        <f>[13]FormattedData!A51</f>
        <v>906</v>
      </c>
      <c r="C84" s="1" t="str">
        <f>VLOOKUP($B84,[13]TrtCodes!$B$11:I94,2)</f>
        <v>Late</v>
      </c>
      <c r="D84" s="1">
        <f>VLOOKUP($B84,[13]TrtCodes!$B$11:J94,3)</f>
        <v>22</v>
      </c>
      <c r="E84" s="1">
        <f>VLOOKUP($B84,[13]TrtCodes!$B$11:K94,4)</f>
        <v>4</v>
      </c>
      <c r="F84" s="1">
        <f>VLOOKUP($B84,[13]TrtCodes!$B$11:L94,5)</f>
        <v>2</v>
      </c>
      <c r="G84" s="1">
        <f>VLOOKUP($B84,[13]TrtCodes!$B$11:M94,6)</f>
        <v>2</v>
      </c>
      <c r="H84" s="1">
        <f>VLOOKUP($B84,[13]TrtCodes!$B$11:N94,7)</f>
        <v>2</v>
      </c>
      <c r="I84" s="1">
        <f>[13]FormattedData!B51</f>
        <v>2</v>
      </c>
      <c r="J84" s="4">
        <f>[13]FormattedData!C51</f>
        <v>13.157999999999999</v>
      </c>
      <c r="K84" s="6">
        <f>$J$3+[13]FormattedData!D51*$J$4+$M$4*$J$5+[13]FormattedData!D51^2*$J$6+$M$5*$J$7</f>
        <v>28.756172153685348</v>
      </c>
      <c r="L84" s="6">
        <f>$J$3+[13]FormattedData!E51*$J$4+$M$4*$J$5+[13]FormattedData!E51^2*$J$6+$M$5*$J$7</f>
        <v>30.219157998127592</v>
      </c>
      <c r="M84" s="6">
        <f>$J$3+[13]FormattedData!F51*$J$4+$M$4*$J$5+[13]FormattedData!F51^2*$J$6+$M$5*$J$7</f>
        <v>31.576030939740328</v>
      </c>
      <c r="N84" s="6">
        <f>$J$3+[13]FormattedData!G51*$J$4+$M$4*$J$5+[13]FormattedData!G51^2*$J$6+$M$5*$J$7</f>
        <v>30.704706519378448</v>
      </c>
      <c r="O84" s="6">
        <f>$J$3+[13]FormattedData!H51*$J$4+$M$4*$J$5+[13]FormattedData!H51^2*$J$6+$M$5*$J$7</f>
        <v>30.316352239453622</v>
      </c>
      <c r="P84" s="6">
        <f>$J$3+[13]FormattedData!I51*$J$4+$M$4*$J$5+[13]FormattedData!I51^2*$J$6+$M$5*$J$7</f>
        <v>30.607681352204136</v>
      </c>
      <c r="Q84" s="6">
        <f>$J$3+[13]FormattedData!J51*$J$4+$M$4*$J$5+[13]FormattedData!J51^2*$J$6+$M$5*$J$7</f>
        <v>31.479386189407396</v>
      </c>
      <c r="R84" s="6">
        <f>$J$3+[13]FormattedData!K51*$J$4+$M$4*$J$5+[13]FormattedData!K51^2*$J$6+$M$5*$J$7</f>
        <v>30.316352239453622</v>
      </c>
      <c r="S84" s="6">
        <f>$J$3+[13]FormattedData!L51*$J$4+$M$4*$J$5+[13]FormattedData!L51^2*$J$6+$M$5*$J$7</f>
        <v>29.244890815281043</v>
      </c>
      <c r="T84" s="6">
        <f>$J$3+[13]FormattedData!M51*$J$4+$M$4*$J$5+[13]FormattedData!M51^2*$J$6+$M$5*$J$7</f>
        <v>29.342507741986385</v>
      </c>
      <c r="U84" s="6">
        <f>$J$3+[13]FormattedData!N51*$J$4+$M$4*$J$5+[13]FormattedData!N51^2*$J$6+$M$5*$J$7</f>
        <v>31.769193634792387</v>
      </c>
      <c r="V84" s="6">
        <f>$J$3+[13]FormattedData!O51*$J$4+$M$4*$J$5+[13]FormattedData!O51^2*$J$6+$M$5*$J$7</f>
        <v>30.704706519378448</v>
      </c>
      <c r="W84" s="5">
        <f t="shared" si="18"/>
        <v>30.41976152857406</v>
      </c>
      <c r="X84" s="4">
        <f t="shared" si="19"/>
        <v>0.27314646418695226</v>
      </c>
      <c r="Y84" s="3">
        <f t="shared" si="20"/>
        <v>28.756172153685348</v>
      </c>
      <c r="Z84" s="2">
        <f t="shared" si="21"/>
        <v>29.999995434092291</v>
      </c>
      <c r="AA84" s="3">
        <f t="shared" si="22"/>
        <v>30.46201679582888</v>
      </c>
      <c r="AB84" s="2">
        <f t="shared" si="23"/>
        <v>30.898376436885684</v>
      </c>
      <c r="AC84" s="2">
        <f t="shared" si="24"/>
        <v>31.769193634792387</v>
      </c>
      <c r="AD84" s="2">
        <f t="shared" si="25"/>
        <v>-0.28849715852078939</v>
      </c>
      <c r="AE84" s="2">
        <f t="shared" si="26"/>
        <v>-0.63411729481874257</v>
      </c>
    </row>
    <row r="85" spans="2:31" x14ac:dyDescent="0.2">
      <c r="B85" s="1">
        <f>[13]FormattedData!A47</f>
        <v>908</v>
      </c>
      <c r="C85" s="1" t="str">
        <f>VLOOKUP($B85,[13]TrtCodes!$B$11:I90,2)</f>
        <v>Early</v>
      </c>
      <c r="D85" s="1">
        <f>VLOOKUP($B85,[13]TrtCodes!$B$11:J90,3)</f>
        <v>21</v>
      </c>
      <c r="E85" s="1">
        <f>VLOOKUP($B85,[13]TrtCodes!$B$11:K90,4)</f>
        <v>3</v>
      </c>
      <c r="F85" s="1">
        <f>VLOOKUP($B85,[13]TrtCodes!$B$11:L90,5)</f>
        <v>2</v>
      </c>
      <c r="G85" s="1">
        <f>VLOOKUP($B85,[13]TrtCodes!$B$11:M90,6)</f>
        <v>2</v>
      </c>
      <c r="H85" s="1">
        <f>VLOOKUP($B85,[13]TrtCodes!$B$11:N90,7)</f>
        <v>2</v>
      </c>
      <c r="I85" s="1">
        <f>[13]FormattedData!B47</f>
        <v>2</v>
      </c>
      <c r="J85" s="4">
        <f>[13]FormattedData!C47</f>
        <v>13.138</v>
      </c>
      <c r="K85" s="6">
        <f>$J$3+[13]FormattedData!D47*$J$4+$M$4*$J$5+[13]FormattedData!D47^2*$J$6+$M$5*$J$7</f>
        <v>33.595806664469727</v>
      </c>
      <c r="L85" s="6">
        <f>$J$3+[13]FormattedData!E47*$J$4+$M$4*$J$5+[13]FormattedData!E47^2*$J$6+$M$5*$J$7</f>
        <v>33.500049553433357</v>
      </c>
      <c r="M85" s="6">
        <f>$J$3+[13]FormattedData!F47*$J$4+$M$4*$J$5+[13]FormattedData!F47^2*$J$6+$M$5*$J$7</f>
        <v>35.975997165551476</v>
      </c>
      <c r="N85" s="6">
        <f>$J$3+[13]FormattedData!G47*$J$4+$M$4*$J$5+[13]FormattedData!G47^2*$J$6+$M$5*$J$7</f>
        <v>37.203255897244993</v>
      </c>
      <c r="O85" s="6">
        <f>$J$3+[13]FormattedData!H47*$J$4+$M$4*$J$5+[13]FormattedData!H47^2*$J$6+$M$5*$J$7</f>
        <v>31.769193634792387</v>
      </c>
      <c r="P85" s="6">
        <f>$J$3+[13]FormattedData!I47*$J$4+$M$4*$J$5+[13]FormattedData!I47^2*$J$6+$M$5*$J$7</f>
        <v>35.217210465784632</v>
      </c>
      <c r="Q85" s="6">
        <f>$J$3+[13]FormattedData!J47*$J$4+$M$4*$J$5+[13]FormattedData!J47^2*$J$6+$M$5*$J$7</f>
        <v>33.691521506968179</v>
      </c>
      <c r="R85" s="6">
        <f>$J$3+[13]FormattedData!K47*$J$4+$M$4*$J$5+[13]FormattedData!K47^2*$J$6+$M$5*$J$7</f>
        <v>32.636333469899085</v>
      </c>
      <c r="S85" s="6">
        <f>$J$3+[13]FormattedData!L47*$J$4+$M$4*$J$5+[13]FormattedData!L47^2*$J$6+$M$5*$J$7</f>
        <v>35.502072492231683</v>
      </c>
      <c r="T85" s="6">
        <f>$J$3+[13]FormattedData!M47*$J$4+$M$4*$J$5+[13]FormattedData!M47^2*$J$6+$M$5*$J$7</f>
        <v>33.978412423235923</v>
      </c>
      <c r="U85" s="6">
        <f>$J$3+[13]FormattedData!N47*$J$4+$M$4*$J$5+[13]FormattedData!N47^2*$J$6+$M$5*$J$7</f>
        <v>34.455718579590211</v>
      </c>
      <c r="V85" s="6">
        <f>$J$3+[13]FormattedData!O47*$J$4+$M$4*$J$5+[13]FormattedData!O47^2*$J$6+$M$5*$J$7</f>
        <v>33.500049553433357</v>
      </c>
      <c r="W85" s="5">
        <f t="shared" si="18"/>
        <v>34.252135117219581</v>
      </c>
      <c r="X85" s="4">
        <f t="shared" si="19"/>
        <v>0.43469801296007904</v>
      </c>
      <c r="Y85" s="3">
        <f t="shared" si="20"/>
        <v>31.769193634792387</v>
      </c>
      <c r="Z85" s="2">
        <f t="shared" si="21"/>
        <v>33.500049553433357</v>
      </c>
      <c r="AA85" s="3">
        <f t="shared" si="22"/>
        <v>33.834966965102055</v>
      </c>
      <c r="AB85" s="2">
        <f t="shared" si="23"/>
        <v>35.288425972396396</v>
      </c>
      <c r="AC85" s="2">
        <f t="shared" si="24"/>
        <v>37.203255897244993</v>
      </c>
      <c r="AD85" s="2">
        <f t="shared" si="25"/>
        <v>0.40985234085291533</v>
      </c>
      <c r="AE85" s="2">
        <f t="shared" si="26"/>
        <v>6.5382608302927636E-2</v>
      </c>
    </row>
    <row r="88" spans="2:31" x14ac:dyDescent="0.2">
      <c r="W88" s="2"/>
    </row>
  </sheetData>
  <autoFilter ref="B9:AE85" xr:uid="{F5693A78-81E0-4714-81B0-959DEAB1766D}"/>
  <conditionalFormatting sqref="K10:V85">
    <cfRule type="cellIs" dxfId="75" priority="1" stopIfTrue="1" operator="lessThan">
      <formula>$W10-$V$5*$X10</formula>
    </cfRule>
    <cfRule type="cellIs" dxfId="74" priority="2" stopIfTrue="1" operator="greaterThan">
      <formula>$W10+$V$5*$X10</formula>
    </cfRule>
  </conditionalFormatting>
  <conditionalFormatting sqref="W10:W85">
    <cfRule type="cellIs" dxfId="73" priority="3" stopIfTrue="1" operator="lessThan">
      <formula>AVERAGE($W$10:$W$41)</formula>
    </cfRule>
    <cfRule type="cellIs" dxfId="7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78BE-D229-44CC-AA6D-C8CAF292E7B2}">
  <sheetPr codeName="Sheet20"/>
  <dimension ref="A1:AI88"/>
  <sheetViews>
    <sheetView topLeftCell="A8" workbookViewId="0">
      <pane xSplit="4" ySplit="2" topLeftCell="L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[14]FormattedData!A1</f>
        <v>Raw data file name - 'IA183.03R'</v>
      </c>
    </row>
    <row r="2" spans="1:35" ht="15" x14ac:dyDescent="0.25">
      <c r="I2" s="32" t="s">
        <v>136</v>
      </c>
      <c r="J2" s="24"/>
      <c r="P2" s="31">
        <f>[14]AncillaryData!C10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[14]AncillaryData!E25</f>
        <v>39.5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"&amp;[14]AncillaryData!C7</f>
        <v>Time Sequence of Midday IRT Temps - FISE 2003 - DOY 183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"&amp;[14]AncillaryData!E25&amp;", VPD = "&amp;ROUND([14]AncillaryData!E29,1)&amp;", Quality = "&amp;[14]AncillaryData!C20&amp;")"</f>
        <v>(Ta = 39.5, VPD = 6,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[14]FormattedData!A28</f>
        <v>101</v>
      </c>
      <c r="C10" s="1" t="str">
        <f>VLOOKUP($B10,[14]TrtCodes!$B$11:I71,2)</f>
        <v>FSH</v>
      </c>
      <c r="D10" s="1">
        <f>VLOOKUP($B10,[14]TrtCodes!$B$11:J71,3)</f>
        <v>1</v>
      </c>
      <c r="E10" s="1">
        <f>VLOOKUP($B10,[14]TrtCodes!$B$11:K71,4)</f>
        <v>1</v>
      </c>
      <c r="F10" s="1">
        <f>VLOOKUP($B10,[14]TrtCodes!$B$11:L71,5)</f>
        <v>1</v>
      </c>
      <c r="G10" s="1">
        <f>VLOOKUP($B10,[14]TrtCodes!$B$11:M71,6)</f>
        <v>2</v>
      </c>
      <c r="H10" s="1">
        <f>VLOOKUP($B10,[14]TrtCodes!$B$11:N71,7)</f>
        <v>1</v>
      </c>
      <c r="I10" s="1">
        <f>[14]FormattedData!B28</f>
        <v>1</v>
      </c>
      <c r="J10" s="4">
        <f>[14]FormattedData!C28</f>
        <v>13.036</v>
      </c>
      <c r="K10" s="6">
        <f>$J$3+[14]FormattedData!D28*$J$4+$M$4*$J$5+[14]FormattedData!D28^2*$J$6+$M$5*$J$7</f>
        <v>57.08922916842068</v>
      </c>
      <c r="L10" s="6">
        <f>$J$3+[14]FormattedData!E28*$J$4+$M$4*$J$5+[14]FormattedData!E28^2*$J$6+$M$5*$J$7</f>
        <v>43.628335059692816</v>
      </c>
      <c r="M10" s="6">
        <f>$J$3+[14]FormattedData!F28*$J$4+$M$4*$J$5+[14]FormattedData!F28^2*$J$6+$M$5*$J$7</f>
        <v>53.751983826016854</v>
      </c>
      <c r="N10" s="6">
        <f>$J$3+[14]FormattedData!G28*$J$4+$M$4*$J$5+[14]FormattedData!G28^2*$J$6+$M$5*$J$7</f>
        <v>36.95142149834335</v>
      </c>
      <c r="O10" s="6">
        <f>$J$3+[14]FormattedData!H28*$J$4+$M$4*$J$5+[14]FormattedData!H28^2*$J$6+$M$5*$J$7</f>
        <v>50.790135195015331</v>
      </c>
      <c r="P10" s="6">
        <f>$J$3+[14]FormattedData!I28*$J$4+$M$4*$J$5+[14]FormattedData!I28^2*$J$6+$M$5*$J$7</f>
        <v>39.014837226840037</v>
      </c>
      <c r="Q10" s="6">
        <f>$J$3+[14]FormattedData!J28*$J$4+$M$4*$J$5+[14]FormattedData!J28^2*$J$6+$M$5*$J$7</f>
        <v>51.753727310387646</v>
      </c>
      <c r="R10" s="6">
        <f>$J$3+[14]FormattedData!K28*$J$4+$M$4*$J$5+[14]FormattedData!K28^2*$J$6+$M$5*$J$7</f>
        <v>36.479610251920107</v>
      </c>
      <c r="S10" s="6">
        <f>$J$3+[14]FormattedData!L28*$J$4+$M$4*$J$5+[14]FormattedData!L28^2*$J$6+$M$5*$J$7</f>
        <v>46.255745192547309</v>
      </c>
      <c r="T10" s="6">
        <f>$J$3+[14]FormattedData!M28*$J$4+$M$4*$J$5+[14]FormattedData!M28^2*$J$6+$M$5*$J$7</f>
        <v>38.454116372525263</v>
      </c>
      <c r="U10" s="6">
        <f>$J$3+[14]FormattedData!N28*$J$4+$M$4*$J$5+[14]FormattedData!N28^2*$J$6+$M$5*$J$7</f>
        <v>51.053440267117502</v>
      </c>
      <c r="V10" s="6">
        <f>$J$3+[14]FormattedData!O28*$J$4+$M$4*$J$5+[14]FormattedData!O28^2*$J$6+$M$5*$J$7</f>
        <v>39.014837226840037</v>
      </c>
      <c r="W10" s="5">
        <f t="shared" ref="W10:W41" si="0">AVERAGE(K10:V10)</f>
        <v>45.353118216305582</v>
      </c>
      <c r="X10" s="4">
        <f t="shared" ref="X10:X41" si="1">STDEV(K10:V10)/SQRT(COUNT(K10:V10))</f>
        <v>2.1183916277214934</v>
      </c>
      <c r="Y10" s="3">
        <f t="shared" ref="Y10:Y41" si="2">MIN(K10:V10)</f>
        <v>36.479610251920107</v>
      </c>
      <c r="Z10" s="2">
        <f t="shared" ref="Z10:Z41" si="3">QUARTILE(K10:V10,1)</f>
        <v>38.874657013261341</v>
      </c>
      <c r="AA10" s="3">
        <f t="shared" ref="AA10:AA41" si="4">MEDIAN(K10:V10)</f>
        <v>44.942040126120062</v>
      </c>
      <c r="AB10" s="2">
        <f t="shared" ref="AB10:AB41" si="5">QUARTILE(K10:V10,3)</f>
        <v>51.228512027935039</v>
      </c>
      <c r="AC10" s="2">
        <f t="shared" ref="AC10:AC41" si="6">MAX(K10:V10)</f>
        <v>57.08922916842068</v>
      </c>
      <c r="AD10" s="2">
        <f t="shared" ref="AD10:AD41" si="7">SKEW(K10:V10)</f>
        <v>0.18863951615804692</v>
      </c>
      <c r="AE10" s="2">
        <f t="shared" ref="AE10:AE41" si="8">KURT(K10:V10)</f>
        <v>-1.6293892192031953</v>
      </c>
    </row>
    <row r="11" spans="1:35" x14ac:dyDescent="0.2">
      <c r="B11" s="1">
        <f>[14]FormattedData!A26</f>
        <v>102</v>
      </c>
      <c r="C11" s="1" t="str">
        <f>VLOOKUP($B11,[14]TrtCodes!$B$11:I69,2)</f>
        <v>FTL</v>
      </c>
      <c r="D11" s="1">
        <f>VLOOKUP($B11,[14]TrtCodes!$B$11:J69,3)</f>
        <v>4</v>
      </c>
      <c r="E11" s="1">
        <f>VLOOKUP($B11,[14]TrtCodes!$B$11:K69,4)</f>
        <v>1</v>
      </c>
      <c r="F11" s="1">
        <f>VLOOKUP($B11,[14]TrtCodes!$B$11:L69,5)</f>
        <v>2</v>
      </c>
      <c r="G11" s="1">
        <f>VLOOKUP($B11,[14]TrtCodes!$B$11:M69,6)</f>
        <v>1</v>
      </c>
      <c r="H11" s="1">
        <f>VLOOKUP($B11,[14]TrtCodes!$B$11:N69,7)</f>
        <v>1</v>
      </c>
      <c r="I11" s="1">
        <f>[14]FormattedData!B26</f>
        <v>1</v>
      </c>
      <c r="J11" s="4">
        <f>[14]FormattedData!C26</f>
        <v>13.021000000000001</v>
      </c>
      <c r="K11" s="6">
        <f>$J$3+[14]FormattedData!D26*$J$4+$M$4*$J$5+[14]FormattedData!D26^2*$J$6+$M$5*$J$7</f>
        <v>57.343277430715929</v>
      </c>
      <c r="L11" s="6">
        <f>$J$3+[14]FormattedData!E26*$J$4+$M$4*$J$5+[14]FormattedData!E26^2*$J$6+$M$5*$J$7</f>
        <v>42.071602121412553</v>
      </c>
      <c r="M11" s="6">
        <f>$J$3+[14]FormattedData!F26*$J$4+$M$4*$J$5+[14]FormattedData!F26^2*$J$6+$M$5*$J$7</f>
        <v>51.5789091607977</v>
      </c>
      <c r="N11" s="6">
        <f>$J$3+[14]FormattedData!G26*$J$4+$M$4*$J$5+[14]FormattedData!G26^2*$J$6+$M$5*$J$7</f>
        <v>34.677090288863525</v>
      </c>
      <c r="O11" s="6">
        <f>$J$3+[14]FormattedData!H26*$J$4+$M$4*$J$5+[14]FormattedData!H26^2*$J$6+$M$5*$J$7</f>
        <v>54.441788271880078</v>
      </c>
      <c r="P11" s="6">
        <f>$J$3+[14]FormattedData!I26*$J$4+$M$4*$J$5+[14]FormattedData!I26^2*$J$6+$M$5*$J$7</f>
        <v>39.85306538200183</v>
      </c>
      <c r="Q11" s="6">
        <f>$J$3+[14]FormattedData!J26*$J$4+$M$4*$J$5+[14]FormattedData!J26^2*$J$6+$M$5*$J$7</f>
        <v>55.642436697299317</v>
      </c>
      <c r="R11" s="6">
        <f>$J$3+[14]FormattedData!K26*$J$4+$M$4*$J$5+[14]FormattedData!K26^2*$J$6+$M$5*$J$7</f>
        <v>35.817299228334477</v>
      </c>
      <c r="S11" s="6">
        <f>$J$3+[14]FormattedData!L26*$J$4+$M$4*$J$5+[14]FormattedData!L26^2*$J$6+$M$5*$J$7</f>
        <v>53.665568061863254</v>
      </c>
      <c r="T11" s="6">
        <f>$J$3+[14]FormattedData!M26*$J$4+$M$4*$J$5+[14]FormattedData!M26^2*$J$6+$M$5*$J$7</f>
        <v>35.532817618728807</v>
      </c>
      <c r="U11" s="6">
        <f>$J$3+[14]FormattedData!N26*$J$4+$M$4*$J$5+[14]FormattedData!N26^2*$J$6+$M$5*$J$7</f>
        <v>53.059474193726039</v>
      </c>
      <c r="V11" s="6">
        <f>$J$3+[14]FormattedData!O26*$J$4+$M$4*$J$5+[14]FormattedData!O26^2*$J$6+$M$5*$J$7</f>
        <v>34.200206817888549</v>
      </c>
      <c r="W11" s="5">
        <f t="shared" si="0"/>
        <v>45.656961272792678</v>
      </c>
      <c r="X11" s="4">
        <f t="shared" si="1"/>
        <v>2.7039944755349694</v>
      </c>
      <c r="Y11" s="3">
        <f t="shared" si="2"/>
        <v>34.200206817888549</v>
      </c>
      <c r="Z11" s="2">
        <f t="shared" si="3"/>
        <v>35.746178825933058</v>
      </c>
      <c r="AA11" s="3">
        <f t="shared" si="4"/>
        <v>46.82525564110513</v>
      </c>
      <c r="AB11" s="2">
        <f t="shared" si="5"/>
        <v>53.859623114367459</v>
      </c>
      <c r="AC11" s="2">
        <f t="shared" si="6"/>
        <v>57.343277430715929</v>
      </c>
      <c r="AD11" s="2">
        <f t="shared" si="7"/>
        <v>-8.7990585109283453E-2</v>
      </c>
      <c r="AE11" s="2">
        <f t="shared" si="8"/>
        <v>-2.0715999179137237</v>
      </c>
    </row>
    <row r="12" spans="1:35" x14ac:dyDescent="0.2">
      <c r="B12" s="1">
        <f>[14]FormattedData!A24</f>
        <v>103</v>
      </c>
      <c r="C12" s="1" t="str">
        <f>VLOOKUP($B12,[14]TrtCodes!$B$11:I67,2)</f>
        <v>FDH</v>
      </c>
      <c r="D12" s="1">
        <f>VLOOKUP($B12,[14]TrtCodes!$B$11:J67,3)</f>
        <v>5</v>
      </c>
      <c r="E12" s="1">
        <f>VLOOKUP($B12,[14]TrtCodes!$B$11:K67,4)</f>
        <v>1</v>
      </c>
      <c r="F12" s="1">
        <f>VLOOKUP($B12,[14]TrtCodes!$B$11:L67,5)</f>
        <v>3</v>
      </c>
      <c r="G12" s="1">
        <f>VLOOKUP($B12,[14]TrtCodes!$B$11:M67,6)</f>
        <v>2</v>
      </c>
      <c r="H12" s="1">
        <f>VLOOKUP($B12,[14]TrtCodes!$B$11:N67,7)</f>
        <v>1</v>
      </c>
      <c r="I12" s="1">
        <f>[14]FormattedData!B24</f>
        <v>1</v>
      </c>
      <c r="J12" s="4">
        <f>[14]FormattedData!C24</f>
        <v>13.005000000000001</v>
      </c>
      <c r="K12" s="6">
        <f>$J$3+[14]FormattedData!D24*$J$4+$M$4*$J$5+[14]FormattedData!D24^2*$J$6+$M$5*$J$7</f>
        <v>50.350448037419767</v>
      </c>
      <c r="L12" s="6">
        <f>$J$3+[14]FormattedData!E24*$J$4+$M$4*$J$5+[14]FormattedData!E24^2*$J$6+$M$5*$J$7</f>
        <v>37.985686609136522</v>
      </c>
      <c r="M12" s="6">
        <f>$J$3+[14]FormattedData!F24*$J$4+$M$4*$J$5+[14]FormattedData!F24^2*$J$6+$M$5*$J$7</f>
        <v>45.985592617300298</v>
      </c>
      <c r="N12" s="6">
        <f>$J$3+[14]FormattedData!G24*$J$4+$M$4*$J$5+[14]FormattedData!G24^2*$J$6+$M$5*$J$7</f>
        <v>34.295668049159403</v>
      </c>
      <c r="O12" s="6">
        <f>$J$3+[14]FormattedData!H24*$J$4+$M$4*$J$5+[14]FormattedData!H24^2*$J$6+$M$5*$J$7</f>
        <v>41.242503970443884</v>
      </c>
      <c r="P12" s="6">
        <f>$J$3+[14]FormattedData!I24*$J$4+$M$4*$J$5+[14]FormattedData!I24^2*$J$6+$M$5*$J$7</f>
        <v>35.152917046390215</v>
      </c>
      <c r="Q12" s="6">
        <f>$J$3+[14]FormattedData!J24*$J$4+$M$4*$J$5+[14]FormattedData!J24^2*$J$6+$M$5*$J$7</f>
        <v>47.868671890360396</v>
      </c>
      <c r="R12" s="6">
        <f>$J$3+[14]FormattedData!K24*$J$4+$M$4*$J$5+[14]FormattedData!K24^2*$J$6+$M$5*$J$7</f>
        <v>34.772340177444718</v>
      </c>
      <c r="S12" s="6">
        <f>$J$3+[14]FormattedData!L24*$J$4+$M$4*$J$5+[14]FormattedData!L24^2*$J$6+$M$5*$J$7</f>
        <v>50.877945820920658</v>
      </c>
      <c r="T12" s="6">
        <f>$J$3+[14]FormattedData!M24*$J$4+$M$4*$J$5+[14]FormattedData!M24^2*$J$6+$M$5*$J$7</f>
        <v>33.913569512848397</v>
      </c>
      <c r="U12" s="6">
        <f>$J$3+[14]FormattedData!N24*$J$4+$M$4*$J$5+[14]FormattedData!N24^2*$J$6+$M$5*$J$7</f>
        <v>50.70228230057208</v>
      </c>
      <c r="V12" s="6">
        <f>$J$3+[14]FormattedData!O24*$J$4+$M$4*$J$5+[14]FormattedData!O24^2*$J$6+$M$5*$J$7</f>
        <v>34.962713148993338</v>
      </c>
      <c r="W12" s="5">
        <f t="shared" si="0"/>
        <v>41.509194931749143</v>
      </c>
      <c r="X12" s="4">
        <f t="shared" si="1"/>
        <v>2.0630108611141851</v>
      </c>
      <c r="Y12" s="3">
        <f t="shared" si="2"/>
        <v>33.913569512848397</v>
      </c>
      <c r="Z12" s="2">
        <f t="shared" si="3"/>
        <v>34.915119906106185</v>
      </c>
      <c r="AA12" s="3">
        <f t="shared" si="4"/>
        <v>39.6140952897902</v>
      </c>
      <c r="AB12" s="2">
        <f t="shared" si="5"/>
        <v>48.489115927125241</v>
      </c>
      <c r="AC12" s="2">
        <f t="shared" si="6"/>
        <v>50.877945820920658</v>
      </c>
      <c r="AD12" s="2">
        <f t="shared" si="7"/>
        <v>0.28000047377124099</v>
      </c>
      <c r="AE12" s="2">
        <f t="shared" si="8"/>
        <v>-1.9362556780298577</v>
      </c>
    </row>
    <row r="13" spans="1:35" x14ac:dyDescent="0.2">
      <c r="B13" s="1">
        <f>[14]FormattedData!A22</f>
        <v>104</v>
      </c>
      <c r="C13" s="1" t="str">
        <f>VLOOKUP($B13,[14]TrtCodes!$B$11:I65,2)</f>
        <v>NTL</v>
      </c>
      <c r="D13" s="1">
        <f>VLOOKUP($B13,[14]TrtCodes!$B$11:J65,3)</f>
        <v>10</v>
      </c>
      <c r="E13" s="1">
        <f>VLOOKUP($B13,[14]TrtCodes!$B$11:K65,4)</f>
        <v>2</v>
      </c>
      <c r="F13" s="1">
        <f>VLOOKUP($B13,[14]TrtCodes!$B$11:L65,5)</f>
        <v>2</v>
      </c>
      <c r="G13" s="1">
        <f>VLOOKUP($B13,[14]TrtCodes!$B$11:M65,6)</f>
        <v>1</v>
      </c>
      <c r="H13" s="1">
        <f>VLOOKUP($B13,[14]TrtCodes!$B$11:N65,7)</f>
        <v>1</v>
      </c>
      <c r="I13" s="1">
        <f>[14]FormattedData!B22</f>
        <v>1</v>
      </c>
      <c r="J13" s="4">
        <f>[14]FormattedData!C22</f>
        <v>12.991</v>
      </c>
      <c r="K13" s="6">
        <f>$J$3+[14]FormattedData!D22*$J$4+$M$4*$J$5+[14]FormattedData!D22^2*$J$6+$M$5*$J$7</f>
        <v>53.319482319869579</v>
      </c>
      <c r="L13" s="6">
        <f>$J$3+[14]FormattedData!E22*$J$4+$M$4*$J$5+[14]FormattedData!E22^2*$J$6+$M$5*$J$7</f>
        <v>39.294627028735349</v>
      </c>
      <c r="M13" s="6">
        <f>$J$3+[14]FormattedData!F22*$J$4+$M$4*$J$5+[14]FormattedData!F22^2*$J$6+$M$5*$J$7</f>
        <v>47.15350632173849</v>
      </c>
      <c r="N13" s="6">
        <f>$J$3+[14]FormattedData!G22*$J$4+$M$4*$J$5+[14]FormattedData!G22^2*$J$6+$M$5*$J$7</f>
        <v>32.76321612427396</v>
      </c>
      <c r="O13" s="6">
        <f>$J$3+[14]FormattedData!H22*$J$4+$M$4*$J$5+[14]FormattedData!H22^2*$J$6+$M$5*$J$7</f>
        <v>48.403270788233712</v>
      </c>
      <c r="P13" s="6">
        <f>$J$3+[14]FormattedData!I22*$J$4+$M$4*$J$5+[14]FormattedData!I22^2*$J$6+$M$5*$J$7</f>
        <v>33.913569512848397</v>
      </c>
      <c r="Q13" s="6">
        <f>$J$3+[14]FormattedData!J22*$J$4+$M$4*$J$5+[14]FormattedData!J22^2*$J$6+$M$5*$J$7</f>
        <v>50.965714178288046</v>
      </c>
      <c r="R13" s="6">
        <f>$J$3+[14]FormattedData!K22*$J$4+$M$4*$J$5+[14]FormattedData!K22^2*$J$6+$M$5*$J$7</f>
        <v>30.929375174610396</v>
      </c>
      <c r="S13" s="6">
        <f>$J$3+[14]FormattedData!L22*$J$4+$M$4*$J$5+[14]FormattedData!L22^2*$J$6+$M$5*$J$7</f>
        <v>50.614387137590896</v>
      </c>
      <c r="T13" s="6">
        <f>$J$3+[14]FormattedData!M22*$J$4+$M$4*$J$5+[14]FormattedData!M22^2*$J$6+$M$5*$J$7</f>
        <v>32.570898799980526</v>
      </c>
      <c r="U13" s="6">
        <f>$J$3+[14]FormattedData!N22*$J$4+$M$4*$J$5+[14]FormattedData!N22^2*$J$6+$M$5*$J$7</f>
        <v>50.174277294616019</v>
      </c>
      <c r="V13" s="6">
        <f>$J$3+[14]FormattedData!O22*$J$4+$M$4*$J$5+[14]FormattedData!O22^2*$J$6+$M$5*$J$7</f>
        <v>34.009157549733047</v>
      </c>
      <c r="W13" s="5">
        <f t="shared" si="0"/>
        <v>42.009290185876537</v>
      </c>
      <c r="X13" s="4">
        <f t="shared" si="1"/>
        <v>2.5382654512018168</v>
      </c>
      <c r="Y13" s="3">
        <f t="shared" si="2"/>
        <v>30.929375174610396</v>
      </c>
      <c r="Z13" s="2">
        <f t="shared" si="3"/>
        <v>33.625981165704786</v>
      </c>
      <c r="AA13" s="3">
        <f t="shared" si="4"/>
        <v>43.224066675236919</v>
      </c>
      <c r="AB13" s="2">
        <f t="shared" si="5"/>
        <v>50.284304755359742</v>
      </c>
      <c r="AC13" s="2">
        <f t="shared" si="6"/>
        <v>53.319482319869579</v>
      </c>
      <c r="AD13" s="2">
        <f t="shared" si="7"/>
        <v>-4.9710538320153208E-2</v>
      </c>
      <c r="AE13" s="2">
        <f t="shared" si="8"/>
        <v>-2.0862504812474274</v>
      </c>
    </row>
    <row r="14" spans="1:35" x14ac:dyDescent="0.2">
      <c r="B14" s="1">
        <f>[14]FormattedData!A20</f>
        <v>105</v>
      </c>
      <c r="C14" s="1" t="str">
        <f>VLOOKUP($B14,[14]TrtCodes!$B$11:I63,2)</f>
        <v>NDL</v>
      </c>
      <c r="D14" s="1">
        <f>VLOOKUP($B14,[14]TrtCodes!$B$11:J63,3)</f>
        <v>12</v>
      </c>
      <c r="E14" s="1">
        <f>VLOOKUP($B14,[14]TrtCodes!$B$11:K63,4)</f>
        <v>2</v>
      </c>
      <c r="F14" s="1">
        <f>VLOOKUP($B14,[14]TrtCodes!$B$11:L63,5)</f>
        <v>3</v>
      </c>
      <c r="G14" s="1">
        <f>VLOOKUP($B14,[14]TrtCodes!$B$11:M63,6)</f>
        <v>1</v>
      </c>
      <c r="H14" s="1">
        <f>VLOOKUP($B14,[14]TrtCodes!$B$11:N63,7)</f>
        <v>2</v>
      </c>
      <c r="I14" s="1">
        <f>[14]FormattedData!B20</f>
        <v>1</v>
      </c>
      <c r="J14" s="4">
        <f>[14]FormattedData!C20</f>
        <v>12.976000000000001</v>
      </c>
      <c r="K14" s="6">
        <f>$J$3+[14]FormattedData!D20*$J$4+$M$4*$J$5+[14]FormattedData!D20^2*$J$6+$M$5*$J$7</f>
        <v>38.734667008103344</v>
      </c>
      <c r="L14" s="6">
        <f>$J$3+[14]FormattedData!E20*$J$4+$M$4*$J$5+[14]FormattedData!E20^2*$J$6+$M$5*$J$7</f>
        <v>33.53079467993048</v>
      </c>
      <c r="M14" s="6">
        <f>$J$3+[14]FormattedData!F20*$J$4+$M$4*$J$5+[14]FormattedData!F20^2*$J$6+$M$5*$J$7</f>
        <v>39.014837226840037</v>
      </c>
      <c r="N14" s="6">
        <f>$J$3+[14]FormattedData!G20*$J$4+$M$4*$J$5+[14]FormattedData!G20^2*$J$6+$M$5*$J$7</f>
        <v>30.735451645875571</v>
      </c>
      <c r="O14" s="6">
        <f>$J$3+[14]FormattedData!H20*$J$4+$M$4*$J$5+[14]FormattedData!H20^2*$J$6+$M$5*$J$7</f>
        <v>45.172852390510975</v>
      </c>
      <c r="P14" s="6">
        <f>$J$3+[14]FormattedData!I20*$J$4+$M$4*$J$5+[14]FormattedData!I20^2*$J$6+$M$5*$J$7</f>
        <v>30.444249338738853</v>
      </c>
      <c r="Q14" s="6">
        <f>$J$3+[14]FormattedData!J20*$J$4+$M$4*$J$5+[14]FormattedData!J20^2*$J$6+$M$5*$J$7</f>
        <v>42.438991206523532</v>
      </c>
      <c r="R14" s="6">
        <f>$J$3+[14]FormattedData!K20*$J$4+$M$4*$J$5+[14]FormattedData!K20^2*$J$6+$M$5*$J$7</f>
        <v>30.832434544511948</v>
      </c>
      <c r="S14" s="6">
        <f>$J$3+[14]FormattedData!L20*$J$4+$M$4*$J$5+[14]FormattedData!L20^2*$J$6+$M$5*$J$7</f>
        <v>47.600801816161663</v>
      </c>
      <c r="T14" s="6">
        <f>$J$3+[14]FormattedData!M20*$J$4+$M$4*$J$5+[14]FormattedData!M20^2*$J$6+$M$5*$J$7</f>
        <v>31.992932382189856</v>
      </c>
      <c r="U14" s="6">
        <f>$J$3+[14]FormattedData!N20*$J$4+$M$4*$J$5+[14]FormattedData!N20^2*$J$6+$M$5*$J$7</f>
        <v>47.511427254352888</v>
      </c>
      <c r="V14" s="6">
        <f>$J$3+[14]FormattedData!O20*$J$4+$M$4*$J$5+[14]FormattedData!O20^2*$J$6+$M$5*$J$7</f>
        <v>31.123129629193489</v>
      </c>
      <c r="W14" s="5">
        <f t="shared" si="0"/>
        <v>37.42771409357772</v>
      </c>
      <c r="X14" s="4">
        <f t="shared" si="1"/>
        <v>1.9771873649340443</v>
      </c>
      <c r="Y14" s="3">
        <f t="shared" si="2"/>
        <v>30.444249338738853</v>
      </c>
      <c r="Z14" s="2">
        <f t="shared" si="3"/>
        <v>31.050455858023103</v>
      </c>
      <c r="AA14" s="3">
        <f t="shared" si="4"/>
        <v>36.132730844016912</v>
      </c>
      <c r="AB14" s="2">
        <f t="shared" si="5"/>
        <v>43.122456502520393</v>
      </c>
      <c r="AC14" s="2">
        <f t="shared" si="6"/>
        <v>47.600801816161663</v>
      </c>
      <c r="AD14" s="2">
        <f t="shared" si="7"/>
        <v>0.43369948999227914</v>
      </c>
      <c r="AE14" s="2">
        <f t="shared" si="8"/>
        <v>-1.5811072326618474</v>
      </c>
    </row>
    <row r="15" spans="1:35" x14ac:dyDescent="0.2">
      <c r="B15" s="1">
        <f>[14]FormattedData!A18</f>
        <v>106</v>
      </c>
      <c r="C15" s="1" t="str">
        <f>VLOOKUP($B15,[14]TrtCodes!$B$11:I61,2)</f>
        <v>NTH</v>
      </c>
      <c r="D15" s="1">
        <f>VLOOKUP($B15,[14]TrtCodes!$B$11:J61,3)</f>
        <v>9</v>
      </c>
      <c r="E15" s="1">
        <f>VLOOKUP($B15,[14]TrtCodes!$B$11:K61,4)</f>
        <v>2</v>
      </c>
      <c r="F15" s="1">
        <f>VLOOKUP($B15,[14]TrtCodes!$B$11:L61,5)</f>
        <v>2</v>
      </c>
      <c r="G15" s="1">
        <f>VLOOKUP($B15,[14]TrtCodes!$B$11:M61,6)</f>
        <v>2</v>
      </c>
      <c r="H15" s="1">
        <f>VLOOKUP($B15,[14]TrtCodes!$B$11:N61,7)</f>
        <v>2</v>
      </c>
      <c r="I15" s="1">
        <f>[14]FormattedData!B18</f>
        <v>1</v>
      </c>
      <c r="J15" s="4">
        <f>[14]FormattedData!C18</f>
        <v>12.961</v>
      </c>
      <c r="K15" s="6">
        <f>$J$3+[14]FormattedData!D18*$J$4+$M$4*$J$5+[14]FormattedData!D18^2*$J$6+$M$5*$J$7</f>
        <v>51.403921937056019</v>
      </c>
      <c r="L15" s="6">
        <f>$J$3+[14]FormattedData!E18*$J$4+$M$4*$J$5+[14]FormattedData!E18^2*$J$6+$M$5*$J$7</f>
        <v>40.317268291597465</v>
      </c>
      <c r="M15" s="6">
        <f>$J$3+[14]FormattedData!F18*$J$4+$M$4*$J$5+[14]FormattedData!F18^2*$J$6+$M$5*$J$7</f>
        <v>43.901784580898457</v>
      </c>
      <c r="N15" s="6">
        <f>$J$3+[14]FormattedData!G18*$J$4+$M$4*$J$5+[14]FormattedData!G18^2*$J$6+$M$5*$J$7</f>
        <v>32.667078596396209</v>
      </c>
      <c r="O15" s="6">
        <f>$J$3+[14]FormattedData!H18*$J$4+$M$4*$J$5+[14]FormattedData!H18^2*$J$6+$M$5*$J$7</f>
        <v>51.053440267117502</v>
      </c>
      <c r="P15" s="6">
        <f>$J$3+[14]FormattedData!I18*$J$4+$M$4*$J$5+[14]FormattedData!I18^2*$J$6+$M$5*$J$7</f>
        <v>31.413444297033664</v>
      </c>
      <c r="Q15" s="6">
        <f>$J$3+[14]FormattedData!J18*$J$4+$M$4*$J$5+[14]FormattedData!J18^2*$J$6+$M$5*$J$7</f>
        <v>50.70228230057208</v>
      </c>
      <c r="R15" s="6">
        <f>$J$3+[14]FormattedData!K18*$J$4+$M$4*$J$5+[14]FormattedData!K18^2*$J$6+$M$5*$J$7</f>
        <v>31.799938761289511</v>
      </c>
      <c r="S15" s="6">
        <f>$J$3+[14]FormattedData!L18*$J$4+$M$4*$J$5+[14]FormattedData!L18^2*$J$6+$M$5*$J$7</f>
        <v>48.314276643266325</v>
      </c>
      <c r="T15" s="6">
        <f>$J$3+[14]FormattedData!M18*$J$4+$M$4*$J$5+[14]FormattedData!M18^2*$J$6+$M$5*$J$7</f>
        <v>33.339153652243937</v>
      </c>
      <c r="U15" s="6">
        <f>$J$3+[14]FormattedData!N18*$J$4+$M$4*$J$5+[14]FormattedData!N18^2*$J$6+$M$5*$J$7</f>
        <v>49.821428586553353</v>
      </c>
      <c r="V15" s="6">
        <f>$J$3+[14]FormattedData!O18*$J$4+$M$4*$J$5+[14]FormattedData!O18^2*$J$6+$M$5*$J$7</f>
        <v>34.486463706087335</v>
      </c>
      <c r="W15" s="5">
        <f t="shared" si="0"/>
        <v>41.601706801675988</v>
      </c>
      <c r="X15" s="4">
        <f t="shared" si="1"/>
        <v>2.4408163085156791</v>
      </c>
      <c r="Y15" s="3">
        <f t="shared" si="2"/>
        <v>31.413444297033664</v>
      </c>
      <c r="Z15" s="2">
        <f t="shared" si="3"/>
        <v>33.171134888282005</v>
      </c>
      <c r="AA15" s="3">
        <f t="shared" si="4"/>
        <v>42.109526436247961</v>
      </c>
      <c r="AB15" s="2">
        <f t="shared" si="5"/>
        <v>50.041642015058031</v>
      </c>
      <c r="AC15" s="2">
        <f t="shared" si="6"/>
        <v>51.403921937056019</v>
      </c>
      <c r="AD15" s="2">
        <f t="shared" si="7"/>
        <v>-4.1328667650003481E-2</v>
      </c>
      <c r="AE15" s="2">
        <f t="shared" si="8"/>
        <v>-2.0509329641636476</v>
      </c>
    </row>
    <row r="16" spans="1:35" x14ac:dyDescent="0.2">
      <c r="B16" s="1">
        <f>[14]FormattedData!A16</f>
        <v>107</v>
      </c>
      <c r="C16" s="1" t="str">
        <f>VLOOKUP($B16,[14]TrtCodes!$B$11:I59,2)</f>
        <v>NTL</v>
      </c>
      <c r="D16" s="1">
        <f>VLOOKUP($B16,[14]TrtCodes!$B$11:J59,3)</f>
        <v>10</v>
      </c>
      <c r="E16" s="1">
        <f>VLOOKUP($B16,[14]TrtCodes!$B$11:K59,4)</f>
        <v>2</v>
      </c>
      <c r="F16" s="1">
        <f>VLOOKUP($B16,[14]TrtCodes!$B$11:L59,5)</f>
        <v>2</v>
      </c>
      <c r="G16" s="1">
        <f>VLOOKUP($B16,[14]TrtCodes!$B$11:M59,6)</f>
        <v>1</v>
      </c>
      <c r="H16" s="1">
        <f>VLOOKUP($B16,[14]TrtCodes!$B$11:N59,7)</f>
        <v>2</v>
      </c>
      <c r="I16" s="1">
        <f>[14]FormattedData!B16</f>
        <v>1</v>
      </c>
      <c r="J16" s="4">
        <f>[14]FormattedData!C16</f>
        <v>12.946</v>
      </c>
      <c r="K16" s="6">
        <f>$J$3+[14]FormattedData!D16*$J$4+$M$4*$J$5+[14]FormattedData!D16^2*$J$6+$M$5*$J$7</f>
        <v>54.699767508202918</v>
      </c>
      <c r="L16" s="6">
        <f>$J$3+[14]FormattedData!E16*$J$4+$M$4*$J$5+[14]FormattedData!E16^2*$J$6+$M$5*$J$7</f>
        <v>40.595282814899669</v>
      </c>
      <c r="M16" s="6">
        <f>$J$3+[14]FormattedData!F16*$J$4+$M$4*$J$5+[14]FormattedData!F16^2*$J$6+$M$5*$J$7</f>
        <v>53.146185837645156</v>
      </c>
      <c r="N16" s="6">
        <f>$J$3+[14]FormattedData!G16*$J$4+$M$4*$J$5+[14]FormattedData!G16^2*$J$6+$M$5*$J$7</f>
        <v>33.147343550405665</v>
      </c>
      <c r="O16" s="6">
        <f>$J$3+[14]FormattedData!H16*$J$4+$M$4*$J$5+[14]FormattedData!H16^2*$J$6+$M$5*$J$7</f>
        <v>49.025046283943389</v>
      </c>
      <c r="P16" s="6">
        <f>$J$3+[14]FormattedData!I16*$J$4+$M$4*$J$5+[14]FormattedData!I16^2*$J$6+$M$5*$J$7</f>
        <v>33.339153652243937</v>
      </c>
      <c r="Q16" s="6">
        <f>$J$3+[14]FormattedData!J16*$J$4+$M$4*$J$5+[14]FormattedData!J16^2*$J$6+$M$5*$J$7</f>
        <v>53.406067158174899</v>
      </c>
      <c r="R16" s="6">
        <f>$J$3+[14]FormattedData!K16*$J$4+$M$4*$J$5+[14]FormattedData!K16^2*$J$6+$M$5*$J$7</f>
        <v>32.378412401535357</v>
      </c>
      <c r="S16" s="6">
        <f>$J$3+[14]FormattedData!L16*$J$4+$M$4*$J$5+[14]FormattedData!L16^2*$J$6+$M$5*$J$7</f>
        <v>52.451309167230193</v>
      </c>
      <c r="T16" s="6">
        <f>$J$3+[14]FormattedData!M16*$J$4+$M$4*$J$5+[14]FormattedData!M16^2*$J$6+$M$5*$J$7</f>
        <v>33.434995300356178</v>
      </c>
      <c r="U16" s="6">
        <f>$J$3+[14]FormattedData!N16*$J$4+$M$4*$J$5+[14]FormattedData!N16^2*$J$6+$M$5*$J$7</f>
        <v>52.885924100274025</v>
      </c>
      <c r="V16" s="6">
        <f>$J$3+[14]FormattedData!O16*$J$4+$M$4*$J$5+[14]FormattedData!O16^2*$J$6+$M$5*$J$7</f>
        <v>32.859311383613786</v>
      </c>
      <c r="W16" s="5">
        <f t="shared" si="0"/>
        <v>43.447399929877093</v>
      </c>
      <c r="X16" s="4">
        <f t="shared" si="1"/>
        <v>2.8503113370424709</v>
      </c>
      <c r="Y16" s="3">
        <f t="shared" si="2"/>
        <v>32.378412401535357</v>
      </c>
      <c r="Z16" s="2">
        <f t="shared" si="3"/>
        <v>33.291201126784372</v>
      </c>
      <c r="AA16" s="3">
        <f t="shared" si="4"/>
        <v>44.810164549421529</v>
      </c>
      <c r="AB16" s="2">
        <f t="shared" si="5"/>
        <v>52.950989534616809</v>
      </c>
      <c r="AC16" s="2">
        <f t="shared" si="6"/>
        <v>54.699767508202918</v>
      </c>
      <c r="AD16" s="2">
        <f t="shared" si="7"/>
        <v>-7.1021386043974288E-2</v>
      </c>
      <c r="AE16" s="2">
        <f t="shared" si="8"/>
        <v>-2.2165524186752741</v>
      </c>
    </row>
    <row r="17" spans="2:31" x14ac:dyDescent="0.2">
      <c r="B17" s="1">
        <f>[14]FormattedData!A14</f>
        <v>108</v>
      </c>
      <c r="C17" s="1" t="str">
        <f>VLOOKUP($B17,[14]TrtCodes!$B$11:I57,2)</f>
        <v>FTH</v>
      </c>
      <c r="D17" s="1">
        <f>VLOOKUP($B17,[14]TrtCodes!$B$11:J57,3)</f>
        <v>3</v>
      </c>
      <c r="E17" s="1">
        <f>VLOOKUP($B17,[14]TrtCodes!$B$11:K57,4)</f>
        <v>1</v>
      </c>
      <c r="F17" s="1">
        <f>VLOOKUP($B17,[14]TrtCodes!$B$11:L57,5)</f>
        <v>2</v>
      </c>
      <c r="G17" s="1">
        <f>VLOOKUP($B17,[14]TrtCodes!$B$11:M57,6)</f>
        <v>2</v>
      </c>
      <c r="H17" s="1">
        <f>VLOOKUP($B17,[14]TrtCodes!$B$11:N57,7)</f>
        <v>2</v>
      </c>
      <c r="I17" s="1">
        <f>[14]FormattedData!B14</f>
        <v>1</v>
      </c>
      <c r="J17" s="4">
        <f>[14]FormattedData!C14</f>
        <v>12.930999999999999</v>
      </c>
      <c r="K17" s="6">
        <f>$J$3+[14]FormattedData!D14*$J$4+$M$4*$J$5+[14]FormattedData!D14^2*$J$6+$M$5*$J$7</f>
        <v>46.34571151388711</v>
      </c>
      <c r="L17" s="6">
        <f>$J$3+[14]FormattedData!E14*$J$4+$M$4*$J$5+[14]FormattedData!E14^2*$J$6+$M$5*$J$7</f>
        <v>35.057836231960735</v>
      </c>
      <c r="M17" s="6">
        <f>$J$3+[14]FormattedData!F14*$J$4+$M$4*$J$5+[14]FormattedData!F14^2*$J$6+$M$5*$J$7</f>
        <v>53.406067158174899</v>
      </c>
      <c r="N17" s="6">
        <f>$J$3+[14]FormattedData!G14*$J$4+$M$4*$J$5+[14]FormattedData!G14^2*$J$6+$M$5*$J$7</f>
        <v>34.104703318079757</v>
      </c>
      <c r="O17" s="6">
        <f>$J$3+[14]FormattedData!H14*$J$4+$M$4*$J$5+[14]FormattedData!H14^2*$J$6+$M$5*$J$7</f>
        <v>52.364259375007634</v>
      </c>
      <c r="P17" s="6">
        <f>$J$3+[14]FormattedData!I14*$J$4+$M$4*$J$5+[14]FormattedData!I14^2*$J$6+$M$5*$J$7</f>
        <v>32.859311383613786</v>
      </c>
      <c r="Q17" s="6">
        <f>$J$3+[14]FormattedData!J14*$J$4+$M$4*$J$5+[14]FormattedData!J14^2*$J$6+$M$5*$J$7</f>
        <v>48.581132272554711</v>
      </c>
      <c r="R17" s="6">
        <f>$J$3+[14]FormattedData!K14*$J$4+$M$4*$J$5+[14]FormattedData!K14^2*$J$6+$M$5*$J$7</f>
        <v>31.703378548032447</v>
      </c>
      <c r="S17" s="6">
        <f>$J$3+[14]FormattedData!L14*$J$4+$M$4*$J$5+[14]FormattedData!L14^2*$J$6+$M$5*$J$7</f>
        <v>48.403270788233712</v>
      </c>
      <c r="T17" s="6">
        <f>$J$3+[14]FormattedData!M14*$J$4+$M$4*$J$5+[14]FormattedData!M14^2*$J$6+$M$5*$J$7</f>
        <v>32.089365789833124</v>
      </c>
      <c r="U17" s="6">
        <f>$J$3+[14]FormattedData!N14*$J$4+$M$4*$J$5+[14]FormattedData!N14^2*$J$6+$M$5*$J$7</f>
        <v>52.102856387112368</v>
      </c>
      <c r="V17" s="6">
        <f>$J$3+[14]FormattedData!O14*$J$4+$M$4*$J$5+[14]FormattedData!O14^2*$J$6+$M$5*$J$7</f>
        <v>32.378412401535357</v>
      </c>
      <c r="W17" s="5">
        <f t="shared" si="0"/>
        <v>41.616358764002136</v>
      </c>
      <c r="X17" s="4">
        <f t="shared" si="1"/>
        <v>2.6570571202245024</v>
      </c>
      <c r="Y17" s="3">
        <f t="shared" si="2"/>
        <v>31.703378548032447</v>
      </c>
      <c r="Z17" s="2">
        <f t="shared" si="3"/>
        <v>32.739086638094179</v>
      </c>
      <c r="AA17" s="3">
        <f t="shared" si="4"/>
        <v>40.701773872923923</v>
      </c>
      <c r="AB17" s="2">
        <f t="shared" si="5"/>
        <v>49.461563301194126</v>
      </c>
      <c r="AC17" s="2">
        <f t="shared" si="6"/>
        <v>53.406067158174899</v>
      </c>
      <c r="AD17" s="2">
        <f t="shared" si="7"/>
        <v>0.10982538207992358</v>
      </c>
      <c r="AE17" s="2">
        <f t="shared" si="8"/>
        <v>-2.1491061799541598</v>
      </c>
    </row>
    <row r="18" spans="2:31" x14ac:dyDescent="0.2">
      <c r="B18" s="1">
        <f>[14]FormattedData!A30</f>
        <v>201</v>
      </c>
      <c r="C18" s="1" t="str">
        <f>VLOOKUP($B18,[14]TrtCodes!$B$11:I73,2)</f>
        <v>NDL</v>
      </c>
      <c r="D18" s="1">
        <f>VLOOKUP($B18,[14]TrtCodes!$B$11:J73,3)</f>
        <v>12</v>
      </c>
      <c r="E18" s="1">
        <f>VLOOKUP($B18,[14]TrtCodes!$B$11:K73,4)</f>
        <v>2</v>
      </c>
      <c r="F18" s="1">
        <f>VLOOKUP($B18,[14]TrtCodes!$B$11:L73,5)</f>
        <v>3</v>
      </c>
      <c r="G18" s="1">
        <f>VLOOKUP($B18,[14]TrtCodes!$B$11:M73,6)</f>
        <v>1</v>
      </c>
      <c r="H18" s="1">
        <f>VLOOKUP($B18,[14]TrtCodes!$B$11:N73,7)</f>
        <v>1</v>
      </c>
      <c r="I18" s="1">
        <f>[14]FormattedData!B30</f>
        <v>1</v>
      </c>
      <c r="J18" s="4">
        <f>[14]FormattedData!C30</f>
        <v>13.055</v>
      </c>
      <c r="K18" s="6">
        <f>$J$3+[14]FormattedData!D30*$J$4+$M$4*$J$5+[14]FormattedData!D30^2*$J$6+$M$5*$J$7</f>
        <v>30.832434544511948</v>
      </c>
      <c r="L18" s="6">
        <f>$J$3+[14]FormattedData!E30*$J$4+$M$4*$J$5+[14]FormattedData!E30^2*$J$6+$M$5*$J$7</f>
        <v>37.422176031318308</v>
      </c>
      <c r="M18" s="6">
        <f>$J$3+[14]FormattedData!F30*$J$4+$M$4*$J$5+[14]FormattedData!F30^2*$J$6+$M$5*$J$7</f>
        <v>37.234001023742117</v>
      </c>
      <c r="N18" s="6">
        <f>$J$3+[14]FormattedData!G30*$J$4+$M$4*$J$5+[14]FormattedData!G30^2*$J$6+$M$5*$J$7</f>
        <v>32.570898799980526</v>
      </c>
      <c r="O18" s="6">
        <f>$J$3+[14]FormattedData!H30*$J$4+$M$4*$J$5+[14]FormattedData!H30^2*$J$6+$M$5*$J$7</f>
        <v>41.150170610979927</v>
      </c>
      <c r="P18" s="6">
        <f>$J$3+[14]FormattedData!I30*$J$4+$M$4*$J$5+[14]FormattedData!I30^2*$J$6+$M$5*$J$7</f>
        <v>29.66585003737196</v>
      </c>
      <c r="Q18" s="6">
        <f>$J$3+[14]FormattedData!J30*$J$4+$M$4*$J$5+[14]FormattedData!J30^2*$J$6+$M$5*$J$7</f>
        <v>43.901784580898457</v>
      </c>
      <c r="R18" s="6">
        <f>$J$3+[14]FormattedData!K30*$J$4+$M$4*$J$5+[14]FormattedData!K30^2*$J$6+$M$5*$J$7</f>
        <v>29.958066789419036</v>
      </c>
      <c r="S18" s="6">
        <f>$J$3+[14]FormattedData!L30*$J$4+$M$4*$J$5+[14]FormattedData!L30^2*$J$6+$M$5*$J$7</f>
        <v>41.519250437608157</v>
      </c>
      <c r="T18" s="6">
        <f>$J$3+[14]FormattedData!M30*$J$4+$M$4*$J$5+[14]FormattedData!M30^2*$J$6+$M$5*$J$7</f>
        <v>30.347097365950745</v>
      </c>
      <c r="U18" s="6">
        <f>$J$3+[14]FormattedData!N30*$J$4+$M$4*$J$5+[14]FormattedData!N30^2*$J$6+$M$5*$J$7</f>
        <v>43.628335059692816</v>
      </c>
      <c r="V18" s="6">
        <f>$J$3+[14]FormattedData!O30*$J$4+$M$4*$J$5+[14]FormattedData!O30^2*$J$6+$M$5*$J$7</f>
        <v>29.958066789419036</v>
      </c>
      <c r="W18" s="5">
        <f t="shared" si="0"/>
        <v>35.682344339241084</v>
      </c>
      <c r="X18" s="4">
        <f t="shared" si="1"/>
        <v>1.6594534181016061</v>
      </c>
      <c r="Y18" s="3">
        <f t="shared" si="2"/>
        <v>29.66585003737196</v>
      </c>
      <c r="Z18" s="2">
        <f t="shared" si="3"/>
        <v>30.249839721817818</v>
      </c>
      <c r="AA18" s="3">
        <f t="shared" si="4"/>
        <v>34.902449911861325</v>
      </c>
      <c r="AB18" s="2">
        <f t="shared" si="5"/>
        <v>41.242440567636983</v>
      </c>
      <c r="AC18" s="2">
        <f t="shared" si="6"/>
        <v>43.901784580898457</v>
      </c>
      <c r="AD18" s="2">
        <f t="shared" si="7"/>
        <v>0.30973154095619099</v>
      </c>
      <c r="AE18" s="2">
        <f t="shared" si="8"/>
        <v>-1.7915989631764506</v>
      </c>
    </row>
    <row r="19" spans="2:31" x14ac:dyDescent="0.2">
      <c r="B19" s="1">
        <f>[14]FormattedData!A32</f>
        <v>202</v>
      </c>
      <c r="C19" s="1" t="str">
        <f>VLOOKUP($B19,[14]TrtCodes!$B$11:I75,2)</f>
        <v>NTH</v>
      </c>
      <c r="D19" s="1">
        <f>VLOOKUP($B19,[14]TrtCodes!$B$11:J75,3)</f>
        <v>9</v>
      </c>
      <c r="E19" s="1">
        <f>VLOOKUP($B19,[14]TrtCodes!$B$11:K75,4)</f>
        <v>2</v>
      </c>
      <c r="F19" s="1">
        <f>VLOOKUP($B19,[14]TrtCodes!$B$11:L75,5)</f>
        <v>2</v>
      </c>
      <c r="G19" s="1">
        <f>VLOOKUP($B19,[14]TrtCodes!$B$11:M75,6)</f>
        <v>2</v>
      </c>
      <c r="H19" s="1">
        <f>VLOOKUP($B19,[14]TrtCodes!$B$11:N75,7)</f>
        <v>1</v>
      </c>
      <c r="I19" s="1">
        <f>[14]FormattedData!B32</f>
        <v>1</v>
      </c>
      <c r="J19" s="4">
        <f>[14]FormattedData!C32</f>
        <v>13.069000000000001</v>
      </c>
      <c r="K19" s="6">
        <f>$J$3+[14]FormattedData!D32*$J$4+$M$4*$J$5+[14]FormattedData!D32^2*$J$6+$M$5*$J$7</f>
        <v>33.817939207425809</v>
      </c>
      <c r="L19" s="6">
        <f>$J$3+[14]FormattedData!E32*$J$4+$M$4*$J$5+[14]FormattedData!E32^2*$J$6+$M$5*$J$7</f>
        <v>42.897276520808802</v>
      </c>
      <c r="M19" s="6">
        <f>$J$3+[14]FormattedData!F32*$J$4+$M$4*$J$5+[14]FormattedData!F32^2*$J$6+$M$5*$J$7</f>
        <v>46.255745192547309</v>
      </c>
      <c r="N19" s="6">
        <f>$J$3+[14]FormattedData!G32*$J$4+$M$4*$J$5+[14]FormattedData!G32^2*$J$6+$M$5*$J$7</f>
        <v>33.62655179096685</v>
      </c>
      <c r="O19" s="6">
        <f>$J$3+[14]FormattedData!H32*$J$4+$M$4*$J$5+[14]FormattedData!H32^2*$J$6+$M$5*$J$7</f>
        <v>47.868671890360396</v>
      </c>
      <c r="P19" s="6">
        <f>$J$3+[14]FormattedData!I32*$J$4+$M$4*$J$5+[14]FormattedData!I32^2*$J$6+$M$5*$J$7</f>
        <v>32.474676735026911</v>
      </c>
      <c r="Q19" s="6">
        <f>$J$3+[14]FormattedData!J32*$J$4+$M$4*$J$5+[14]FormattedData!J32^2*$J$6+$M$5*$J$7</f>
        <v>53.838357321632522</v>
      </c>
      <c r="R19" s="6">
        <f>$J$3+[14]FormattedData!K32*$J$4+$M$4*$J$5+[14]FormattedData!K32^2*$J$6+$M$5*$J$7</f>
        <v>33.339153652243937</v>
      </c>
      <c r="S19" s="6">
        <f>$J$3+[14]FormattedData!L32*$J$4+$M$4*$J$5+[14]FormattedData!L32^2*$J$6+$M$5*$J$7</f>
        <v>50.790135195015331</v>
      </c>
      <c r="T19" s="6">
        <f>$J$3+[14]FormattedData!M32*$J$4+$M$4*$J$5+[14]FormattedData!M32^2*$J$6+$M$5*$J$7</f>
        <v>32.667078596396209</v>
      </c>
      <c r="U19" s="6">
        <f>$J$3+[14]FormattedData!N32*$J$4+$M$4*$J$5+[14]FormattedData!N32^2*$J$6+$M$5*$J$7</f>
        <v>51.228765639162624</v>
      </c>
      <c r="V19" s="6">
        <f>$J$3+[14]FormattedData!O32*$J$4+$M$4*$J$5+[14]FormattedData!O32^2*$J$6+$M$5*$J$7</f>
        <v>33.243269735593771</v>
      </c>
      <c r="W19" s="5">
        <f t="shared" si="0"/>
        <v>41.003968456431714</v>
      </c>
      <c r="X19" s="4">
        <f t="shared" si="1"/>
        <v>2.4781204317527616</v>
      </c>
      <c r="Y19" s="3">
        <f t="shared" si="2"/>
        <v>32.474676735026911</v>
      </c>
      <c r="Z19" s="2">
        <f t="shared" si="3"/>
        <v>33.315182673081395</v>
      </c>
      <c r="AA19" s="3">
        <f t="shared" si="4"/>
        <v>38.357607864117305</v>
      </c>
      <c r="AB19" s="2">
        <f t="shared" si="5"/>
        <v>48.59903771652413</v>
      </c>
      <c r="AC19" s="2">
        <f t="shared" si="6"/>
        <v>53.838357321632522</v>
      </c>
      <c r="AD19" s="2">
        <f t="shared" si="7"/>
        <v>0.29404301950182377</v>
      </c>
      <c r="AE19" s="2">
        <f t="shared" si="8"/>
        <v>-1.9134244465323005</v>
      </c>
    </row>
    <row r="20" spans="2:31" x14ac:dyDescent="0.2">
      <c r="B20" s="1">
        <f>[14]FormattedData!A34</f>
        <v>203</v>
      </c>
      <c r="C20" s="1" t="str">
        <f>VLOOKUP($B20,[14]TrtCodes!$B$11:I77,2)</f>
        <v>FTH</v>
      </c>
      <c r="D20" s="1">
        <f>VLOOKUP($B20,[14]TrtCodes!$B$11:J77,3)</f>
        <v>3</v>
      </c>
      <c r="E20" s="1">
        <f>VLOOKUP($B20,[14]TrtCodes!$B$11:K77,4)</f>
        <v>1</v>
      </c>
      <c r="F20" s="1">
        <f>VLOOKUP($B20,[14]TrtCodes!$B$11:L77,5)</f>
        <v>2</v>
      </c>
      <c r="G20" s="1">
        <f>VLOOKUP($B20,[14]TrtCodes!$B$11:M77,6)</f>
        <v>2</v>
      </c>
      <c r="H20" s="1">
        <f>VLOOKUP($B20,[14]TrtCodes!$B$11:N77,7)</f>
        <v>1</v>
      </c>
      <c r="I20" s="1">
        <f>[14]FormattedData!B34</f>
        <v>1</v>
      </c>
      <c r="J20" s="4">
        <f>[14]FormattedData!C34</f>
        <v>13.083</v>
      </c>
      <c r="K20" s="6">
        <f>$J$3+[14]FormattedData!D34*$J$4+$M$4*$J$5+[14]FormattedData!D34^2*$J$6+$M$5*$J$7</f>
        <v>41.334795061369903</v>
      </c>
      <c r="L20" s="6">
        <f>$J$3+[14]FormattedData!E34*$J$4+$M$4*$J$5+[14]FormattedData!E34^2*$J$6+$M$5*$J$7</f>
        <v>39.945990500996821</v>
      </c>
      <c r="M20" s="6">
        <f>$J$3+[14]FormattedData!F34*$J$4+$M$4*$J$5+[14]FormattedData!F34^2*$J$6+$M$5*$J$7</f>
        <v>53.406067158174899</v>
      </c>
      <c r="N20" s="6">
        <f>$J$3+[14]FormattedData!G34*$J$4+$M$4*$J$5+[14]FormattedData!G34^2*$J$6+$M$5*$J$7</f>
        <v>33.53079467993048</v>
      </c>
      <c r="O20" s="6">
        <f>$J$3+[14]FormattedData!H34*$J$4+$M$4*$J$5+[14]FormattedData!H34^2*$J$6+$M$5*$J$7</f>
        <v>50.438470006014747</v>
      </c>
      <c r="P20" s="6">
        <f>$J$3+[14]FormattedData!I34*$J$4+$M$4*$J$5+[14]FormattedData!I34^2*$J$6+$M$5*$J$7</f>
        <v>33.339153652243937</v>
      </c>
      <c r="Q20" s="6">
        <f>$J$3+[14]FormattedData!J34*$J$4+$M$4*$J$5+[14]FormattedData!J34^2*$J$6+$M$5*$J$7</f>
        <v>54.957366327684383</v>
      </c>
      <c r="R20" s="6">
        <f>$J$3+[14]FormattedData!K34*$J$4+$M$4*$J$5+[14]FormattedData!K34^2*$J$6+$M$5*$J$7</f>
        <v>39.760097994468907</v>
      </c>
      <c r="S20" s="6">
        <f>$J$3+[14]FormattedData!L34*$J$4+$M$4*$J$5+[14]FormattedData!L34^2*$J$6+$M$5*$J$7</f>
        <v>54.269590771641859</v>
      </c>
      <c r="T20" s="6">
        <f>$J$3+[14]FormattedData!M34*$J$4+$M$4*$J$5+[14]FormattedData!M34^2*$J$6+$M$5*$J$7</f>
        <v>34.677090288863525</v>
      </c>
      <c r="U20" s="6">
        <f>$J$3+[14]FormattedData!N34*$J$4+$M$4*$J$5+[14]FormattedData!N34^2*$J$6+$M$5*$J$7</f>
        <v>47.690134109432506</v>
      </c>
      <c r="V20" s="6">
        <f>$J$3+[14]FormattedData!O34*$J$4+$M$4*$J$5+[14]FormattedData!O34^2*$J$6+$M$5*$J$7</f>
        <v>35.722514293670521</v>
      </c>
      <c r="W20" s="5">
        <f t="shared" si="0"/>
        <v>43.256005403707711</v>
      </c>
      <c r="X20" s="4">
        <f t="shared" si="1"/>
        <v>2.4349686085906712</v>
      </c>
      <c r="Y20" s="3">
        <f t="shared" si="2"/>
        <v>33.339153652243937</v>
      </c>
      <c r="Z20" s="2">
        <f t="shared" si="3"/>
        <v>35.461158292468774</v>
      </c>
      <c r="AA20" s="3">
        <f t="shared" si="4"/>
        <v>40.640392781183365</v>
      </c>
      <c r="AB20" s="2">
        <f t="shared" si="5"/>
        <v>51.180369294054785</v>
      </c>
      <c r="AC20" s="2">
        <f t="shared" si="6"/>
        <v>54.957366327684383</v>
      </c>
      <c r="AD20" s="2">
        <f t="shared" si="7"/>
        <v>0.25474523361159301</v>
      </c>
      <c r="AE20" s="2">
        <f t="shared" si="8"/>
        <v>-1.7092956983773671</v>
      </c>
    </row>
    <row r="21" spans="2:31" x14ac:dyDescent="0.2">
      <c r="B21" s="1">
        <f>[14]FormattedData!A36</f>
        <v>204</v>
      </c>
      <c r="C21" s="1" t="str">
        <f>VLOOKUP($B21,[14]TrtCodes!$B$11:I79,2)</f>
        <v>NDH</v>
      </c>
      <c r="D21" s="1">
        <f>VLOOKUP($B21,[14]TrtCodes!$B$11:J79,3)</f>
        <v>11</v>
      </c>
      <c r="E21" s="1">
        <f>VLOOKUP($B21,[14]TrtCodes!$B$11:K79,4)</f>
        <v>2</v>
      </c>
      <c r="F21" s="1">
        <f>VLOOKUP($B21,[14]TrtCodes!$B$11:L79,5)</f>
        <v>3</v>
      </c>
      <c r="G21" s="1">
        <f>VLOOKUP($B21,[14]TrtCodes!$B$11:M79,6)</f>
        <v>2</v>
      </c>
      <c r="H21" s="1">
        <f>VLOOKUP($B21,[14]TrtCodes!$B$11:N79,7)</f>
        <v>1</v>
      </c>
      <c r="I21" s="1">
        <f>[14]FormattedData!B36</f>
        <v>1</v>
      </c>
      <c r="J21" s="4">
        <f>[14]FormattedData!C36</f>
        <v>13.096</v>
      </c>
      <c r="K21" s="6">
        <f>$J$3+[14]FormattedData!D36*$J$4+$M$4*$J$5+[14]FormattedData!D36^2*$J$6+$M$5*$J$7</f>
        <v>33.722266633465303</v>
      </c>
      <c r="L21" s="6">
        <f>$J$3+[14]FormattedData!E36*$J$4+$M$4*$J$5+[14]FormattedData!E36^2*$J$6+$M$5*$J$7</f>
        <v>33.817939207425809</v>
      </c>
      <c r="M21" s="6">
        <f>$J$3+[14]FormattedData!F36*$J$4+$M$4*$J$5+[14]FormattedData!F36^2*$J$6+$M$5*$J$7</f>
        <v>34.581798131744385</v>
      </c>
      <c r="N21" s="6">
        <f>$J$3+[14]FormattedData!G36*$J$4+$M$4*$J$5+[14]FormattedData!G36^2*$J$6+$M$5*$J$7</f>
        <v>30.249903124624716</v>
      </c>
      <c r="O21" s="6">
        <f>$J$3+[14]FormattedData!H36*$J$4+$M$4*$J$5+[14]FormattedData!H36^2*$J$6+$M$5*$J$7</f>
        <v>45.082336578178065</v>
      </c>
      <c r="P21" s="6">
        <f>$J$3+[14]FormattedData!I36*$J$4+$M$4*$J$5+[14]FormattedData!I36^2*$J$6+$M$5*$J$7</f>
        <v>31.123129629193489</v>
      </c>
      <c r="Q21" s="6">
        <f>$J$3+[14]FormattedData!J36*$J$4+$M$4*$J$5+[14]FormattedData!J36^2*$J$6+$M$5*$J$7</f>
        <v>43.354505121645794</v>
      </c>
      <c r="R21" s="6">
        <f>$J$3+[14]FormattedData!K36*$J$4+$M$4*$J$5+[14]FormattedData!K36^2*$J$6+$M$5*$J$7</f>
        <v>30.152666614760747</v>
      </c>
      <c r="S21" s="6">
        <f>$J$3+[14]FormattedData!L36*$J$4+$M$4*$J$5+[14]FormattedData!L36^2*$J$6+$M$5*$J$7</f>
        <v>45.082336578178065</v>
      </c>
      <c r="T21" s="6">
        <f>$J$3+[14]FormattedData!M36*$J$4+$M$4*$J$5+[14]FormattedData!M36^2*$J$6+$M$5*$J$7</f>
        <v>31.026273536170908</v>
      </c>
      <c r="U21" s="6">
        <f>$J$3+[14]FormattedData!N36*$J$4+$M$4*$J$5+[14]FormattedData!N36^2*$J$6+$M$5*$J$7</f>
        <v>44.083872919012563</v>
      </c>
      <c r="V21" s="6">
        <f>$J$3+[14]FormattedData!O36*$J$4+$M$4*$J$5+[14]FormattedData!O36^2*$J$6+$M$5*$J$7</f>
        <v>30.444249338738853</v>
      </c>
      <c r="W21" s="5">
        <f t="shared" si="0"/>
        <v>36.060106451094889</v>
      </c>
      <c r="X21" s="4">
        <f t="shared" si="1"/>
        <v>1.8319056373198597</v>
      </c>
      <c r="Y21" s="3">
        <f t="shared" si="2"/>
        <v>30.152666614760747</v>
      </c>
      <c r="Z21" s="2">
        <f t="shared" si="3"/>
        <v>30.880767486812893</v>
      </c>
      <c r="AA21" s="3">
        <f t="shared" si="4"/>
        <v>33.770102920445552</v>
      </c>
      <c r="AB21" s="2">
        <f t="shared" si="5"/>
        <v>43.536847070987484</v>
      </c>
      <c r="AC21" s="2">
        <f t="shared" si="6"/>
        <v>45.082336578178065</v>
      </c>
      <c r="AD21" s="2">
        <f t="shared" si="7"/>
        <v>0.64841152157631388</v>
      </c>
      <c r="AE21" s="2">
        <f t="shared" si="8"/>
        <v>-1.6161963184696302</v>
      </c>
    </row>
    <row r="22" spans="2:31" x14ac:dyDescent="0.2">
      <c r="B22" s="1">
        <f>[14]FormattedData!A38</f>
        <v>205</v>
      </c>
      <c r="C22" s="1" t="str">
        <f>VLOOKUP($B22,[14]TrtCodes!$B$11:I81,2)</f>
        <v>FSH</v>
      </c>
      <c r="D22" s="1">
        <f>VLOOKUP($B22,[14]TrtCodes!$B$11:J81,3)</f>
        <v>1</v>
      </c>
      <c r="E22" s="1">
        <f>VLOOKUP($B22,[14]TrtCodes!$B$11:K81,4)</f>
        <v>1</v>
      </c>
      <c r="F22" s="1">
        <f>VLOOKUP($B22,[14]TrtCodes!$B$11:L81,5)</f>
        <v>1</v>
      </c>
      <c r="G22" s="1">
        <f>VLOOKUP($B22,[14]TrtCodes!$B$11:M81,6)</f>
        <v>2</v>
      </c>
      <c r="H22" s="1">
        <f>VLOOKUP($B22,[14]TrtCodes!$B$11:N81,7)</f>
        <v>2</v>
      </c>
      <c r="I22" s="1">
        <f>[14]FormattedData!B38</f>
        <v>1</v>
      </c>
      <c r="J22" s="4">
        <f>[14]FormattedData!C38</f>
        <v>13.109</v>
      </c>
      <c r="K22" s="6">
        <f>$J$3+[14]FormattedData!D38*$J$4+$M$4*$J$5+[14]FormattedData!D38^2*$J$6+$M$5*$J$7</f>
        <v>48.758824682723976</v>
      </c>
      <c r="L22" s="6">
        <f>$J$3+[14]FormattedData!E38*$J$4+$M$4*$J$5+[14]FormattedData!E38^2*$J$6+$M$5*$J$7</f>
        <v>41.334795061369903</v>
      </c>
      <c r="M22" s="6">
        <f>$J$3+[14]FormattedData!F38*$J$4+$M$4*$J$5+[14]FormattedData!F38^2*$J$6+$M$5*$J$7</f>
        <v>54.097224197251904</v>
      </c>
      <c r="N22" s="6">
        <f>$J$3+[14]FormattedData!G38*$J$4+$M$4*$J$5+[14]FormattedData!G38^2*$J$6+$M$5*$J$7</f>
        <v>33.817939207425809</v>
      </c>
      <c r="O22" s="6">
        <f>$J$3+[14]FormattedData!H38*$J$4+$M$4*$J$5+[14]FormattedData!H38^2*$J$6+$M$5*$J$7</f>
        <v>54.699767508202918</v>
      </c>
      <c r="P22" s="6">
        <f>$J$3+[14]FormattedData!I38*$J$4+$M$4*$J$5+[14]FormattedData!I38^2*$J$6+$M$5*$J$7</f>
        <v>33.817939207425809</v>
      </c>
      <c r="Q22" s="6">
        <f>$J$3+[14]FormattedData!J38*$J$4+$M$4*$J$5+[14]FormattedData!J38^2*$J$6+$M$5*$J$7</f>
        <v>51.228765639162624</v>
      </c>
      <c r="R22" s="6">
        <f>$J$3+[14]FormattedData!K38*$J$4+$M$4*$J$5+[14]FormattedData!K38^2*$J$6+$M$5*$J$7</f>
        <v>36.0067422920486</v>
      </c>
      <c r="S22" s="6">
        <f>$J$3+[14]FormattedData!L38*$J$4+$M$4*$J$5+[14]FormattedData!L38^2*$J$6+$M$5*$J$7</f>
        <v>54.52782361919229</v>
      </c>
      <c r="T22" s="6">
        <f>$J$3+[14]FormattedData!M38*$J$4+$M$4*$J$5+[14]FormattedData!M38^2*$J$6+$M$5*$J$7</f>
        <v>32.667078596396209</v>
      </c>
      <c r="U22" s="6">
        <f>$J$3+[14]FormattedData!N38*$J$4+$M$4*$J$5+[14]FormattedData!N38^2*$J$6+$M$5*$J$7</f>
        <v>50.965714178288046</v>
      </c>
      <c r="V22" s="6">
        <f>$J$3+[14]FormattedData!O38*$J$4+$M$4*$J$5+[14]FormattedData!O38^2*$J$6+$M$5*$J$7</f>
        <v>33.53079467993048</v>
      </c>
      <c r="W22" s="5">
        <f t="shared" si="0"/>
        <v>43.787784072451558</v>
      </c>
      <c r="X22" s="4">
        <f t="shared" si="1"/>
        <v>2.7059695804881074</v>
      </c>
      <c r="Y22" s="3">
        <f t="shared" si="2"/>
        <v>32.667078596396209</v>
      </c>
      <c r="Z22" s="2">
        <f t="shared" si="3"/>
        <v>33.817939207425809</v>
      </c>
      <c r="AA22" s="3">
        <f t="shared" si="4"/>
        <v>45.046809872046936</v>
      </c>
      <c r="AB22" s="2">
        <f t="shared" si="5"/>
        <v>51.945880278684946</v>
      </c>
      <c r="AC22" s="2">
        <f t="shared" si="6"/>
        <v>54.699767508202918</v>
      </c>
      <c r="AD22" s="2">
        <f t="shared" si="7"/>
        <v>-5.0816438349390709E-2</v>
      </c>
      <c r="AE22" s="2">
        <f t="shared" si="8"/>
        <v>-2.0957485996241285</v>
      </c>
    </row>
    <row r="23" spans="2:31" x14ac:dyDescent="0.2">
      <c r="B23" s="1">
        <f>[14]FormattedData!A40</f>
        <v>206</v>
      </c>
      <c r="C23" s="1" t="str">
        <f>VLOOKUP($B23,[14]TrtCodes!$B$11:I83,2)</f>
        <v>NSL</v>
      </c>
      <c r="D23" s="1">
        <f>VLOOKUP($B23,[14]TrtCodes!$B$11:J83,3)</f>
        <v>8</v>
      </c>
      <c r="E23" s="1">
        <f>VLOOKUP($B23,[14]TrtCodes!$B$11:K83,4)</f>
        <v>2</v>
      </c>
      <c r="F23" s="1">
        <f>VLOOKUP($B23,[14]TrtCodes!$B$11:L83,5)</f>
        <v>1</v>
      </c>
      <c r="G23" s="1">
        <f>VLOOKUP($B23,[14]TrtCodes!$B$11:M83,6)</f>
        <v>1</v>
      </c>
      <c r="H23" s="1">
        <f>VLOOKUP($B23,[14]TrtCodes!$B$11:N83,7)</f>
        <v>2</v>
      </c>
      <c r="I23" s="1">
        <f>[14]FormattedData!B40</f>
        <v>1</v>
      </c>
      <c r="J23" s="4">
        <f>[14]FormattedData!C40</f>
        <v>13.122</v>
      </c>
      <c r="K23" s="6">
        <f>$J$3+[14]FormattedData!D40*$J$4+$M$4*$J$5+[14]FormattedData!D40^2*$J$6+$M$5*$J$7</f>
        <v>36.290589873585304</v>
      </c>
      <c r="L23" s="6">
        <f>$J$3+[14]FormattedData!E40*$J$4+$M$4*$J$5+[14]FormattedData!E40^2*$J$6+$M$5*$J$7</f>
        <v>34.104703318079757</v>
      </c>
      <c r="M23" s="6">
        <f>$J$3+[14]FormattedData!F40*$J$4+$M$4*$J$5+[14]FormattedData!F40^2*$J$6+$M$5*$J$7</f>
        <v>37.422176031318308</v>
      </c>
      <c r="N23" s="6">
        <f>$J$3+[14]FormattedData!G40*$J$4+$M$4*$J$5+[14]FormattedData!G40^2*$J$6+$M$5*$J$7</f>
        <v>33.434995300356178</v>
      </c>
      <c r="O23" s="6">
        <f>$J$3+[14]FormattedData!H40*$J$4+$M$4*$J$5+[14]FormattedData!H40^2*$J$6+$M$5*$J$7</f>
        <v>39.480942220642568</v>
      </c>
      <c r="P23" s="6">
        <f>$J$3+[14]FormattedData!I40*$J$4+$M$4*$J$5+[14]FormattedData!I40^2*$J$6+$M$5*$J$7</f>
        <v>31.703378548032447</v>
      </c>
      <c r="Q23" s="6">
        <f>$J$3+[14]FormattedData!J40*$J$4+$M$4*$J$5+[14]FormattedData!J40^2*$J$6+$M$5*$J$7</f>
        <v>38.360514956923382</v>
      </c>
      <c r="R23" s="6">
        <f>$J$3+[14]FormattedData!K40*$J$4+$M$4*$J$5+[14]FormattedData!K40^2*$J$6+$M$5*$J$7</f>
        <v>31.413444297033664</v>
      </c>
      <c r="S23" s="6">
        <f>$J$3+[14]FormattedData!L40*$J$4+$M$4*$J$5+[14]FormattedData!L40^2*$J$6+$M$5*$J$7</f>
        <v>38.828099349553504</v>
      </c>
      <c r="T23" s="6">
        <f>$J$3+[14]FormattedData!M40*$J$4+$M$4*$J$5+[14]FormattedData!M40^2*$J$6+$M$5*$J$7</f>
        <v>31.123129629193489</v>
      </c>
      <c r="U23" s="6">
        <f>$J$3+[14]FormattedData!N40*$J$4+$M$4*$J$5+[14]FormattedData!N40^2*$J$6+$M$5*$J$7</f>
        <v>39.760097994468907</v>
      </c>
      <c r="V23" s="6">
        <f>$J$3+[14]FormattedData!O40*$J$4+$M$4*$J$5+[14]FormattedData!O40^2*$J$6+$M$5*$J$7</f>
        <v>33.913569512848397</v>
      </c>
      <c r="W23" s="5">
        <f t="shared" si="0"/>
        <v>35.48630341933633</v>
      </c>
      <c r="X23" s="4">
        <f t="shared" si="1"/>
        <v>0.93974446079330665</v>
      </c>
      <c r="Y23" s="3">
        <f t="shared" si="2"/>
        <v>31.123129629193489</v>
      </c>
      <c r="Z23" s="2">
        <f t="shared" si="3"/>
        <v>33.002091112275245</v>
      </c>
      <c r="AA23" s="3">
        <f t="shared" si="4"/>
        <v>35.197646595832531</v>
      </c>
      <c r="AB23" s="2">
        <f t="shared" si="5"/>
        <v>38.477411055080914</v>
      </c>
      <c r="AC23" s="2">
        <f t="shared" si="6"/>
        <v>39.760097994468907</v>
      </c>
      <c r="AD23" s="2">
        <f t="shared" si="7"/>
        <v>-2.9327935030468433E-2</v>
      </c>
      <c r="AE23" s="2">
        <f t="shared" si="8"/>
        <v>-1.6964451869457271</v>
      </c>
    </row>
    <row r="24" spans="2:31" x14ac:dyDescent="0.2">
      <c r="B24" s="1">
        <f>[14]FormattedData!A42</f>
        <v>207</v>
      </c>
      <c r="C24" s="1" t="str">
        <f>VLOOKUP($B24,[14]TrtCodes!$B$11:I85,2)</f>
        <v>FTL</v>
      </c>
      <c r="D24" s="1">
        <f>VLOOKUP($B24,[14]TrtCodes!$B$11:J85,3)</f>
        <v>4</v>
      </c>
      <c r="E24" s="1">
        <f>VLOOKUP($B24,[14]TrtCodes!$B$11:K85,4)</f>
        <v>1</v>
      </c>
      <c r="F24" s="1">
        <f>VLOOKUP($B24,[14]TrtCodes!$B$11:L85,5)</f>
        <v>2</v>
      </c>
      <c r="G24" s="1">
        <f>VLOOKUP($B24,[14]TrtCodes!$B$11:M85,6)</f>
        <v>1</v>
      </c>
      <c r="H24" s="1">
        <f>VLOOKUP($B24,[14]TrtCodes!$B$11:N85,7)</f>
        <v>2</v>
      </c>
      <c r="I24" s="1">
        <f>[14]FormattedData!B42</f>
        <v>1</v>
      </c>
      <c r="J24" s="4">
        <f>[14]FormattedData!C42</f>
        <v>13.135999999999999</v>
      </c>
      <c r="K24" s="6">
        <f>$J$3+[14]FormattedData!D42*$J$4+$M$4*$J$5+[14]FormattedData!D42^2*$J$6+$M$5*$J$7</f>
        <v>46.435635566688994</v>
      </c>
      <c r="L24" s="6">
        <f>$J$3+[14]FormattedData!E42*$J$4+$M$4*$J$5+[14]FormattedData!E42^2*$J$6+$M$5*$J$7</f>
        <v>40.409982067902789</v>
      </c>
      <c r="M24" s="6">
        <f>$J$3+[14]FormattedData!F42*$J$4+$M$4*$J$5+[14]FormattedData!F42^2*$J$6+$M$5*$J$7</f>
        <v>50.965714178288046</v>
      </c>
      <c r="N24" s="6">
        <f>$J$3+[14]FormattedData!G42*$J$4+$M$4*$J$5+[14]FormattedData!G42^2*$J$6+$M$5*$J$7</f>
        <v>36.385121197021675</v>
      </c>
      <c r="O24" s="6">
        <f>$J$3+[14]FormattedData!H42*$J$4+$M$4*$J$5+[14]FormattedData!H42^2*$J$6+$M$5*$J$7</f>
        <v>50.790135195015331</v>
      </c>
      <c r="P24" s="6">
        <f>$J$3+[14]FormattedData!I42*$J$4+$M$4*$J$5+[14]FormattedData!I42^2*$J$6+$M$5*$J$7</f>
        <v>33.434995300356178</v>
      </c>
      <c r="Q24" s="6">
        <f>$J$3+[14]FormattedData!J42*$J$4+$M$4*$J$5+[14]FormattedData!J42^2*$J$6+$M$5*$J$7</f>
        <v>51.841072982375728</v>
      </c>
      <c r="R24" s="6">
        <f>$J$3+[14]FormattedData!K42*$J$4+$M$4*$J$5+[14]FormattedData!K42^2*$J$6+$M$5*$J$7</f>
        <v>32.95536437441568</v>
      </c>
      <c r="S24" s="6">
        <f>$J$3+[14]FormattedData!L42*$J$4+$M$4*$J$5+[14]FormattedData!L42^2*$J$6+$M$5*$J$7</f>
        <v>47.690134109432506</v>
      </c>
      <c r="T24" s="6">
        <f>$J$3+[14]FormattedData!M42*$J$4+$M$4*$J$5+[14]FormattedData!M42^2*$J$6+$M$5*$J$7</f>
        <v>33.339153652243937</v>
      </c>
      <c r="U24" s="6">
        <f>$J$3+[14]FormattedData!N42*$J$4+$M$4*$J$5+[14]FormattedData!N42^2*$J$6+$M$5*$J$7</f>
        <v>51.666339369861632</v>
      </c>
      <c r="V24" s="6">
        <f>$J$3+[14]FormattedData!O42*$J$4+$M$4*$J$5+[14]FormattedData!O42^2*$J$6+$M$5*$J$7</f>
        <v>32.282105799505871</v>
      </c>
      <c r="W24" s="5">
        <f t="shared" si="0"/>
        <v>42.349646149425702</v>
      </c>
      <c r="X24" s="4">
        <f t="shared" si="1"/>
        <v>2.3950521739268051</v>
      </c>
      <c r="Y24" s="3">
        <f t="shared" si="2"/>
        <v>32.282105799505871</v>
      </c>
      <c r="Z24" s="2">
        <f t="shared" si="3"/>
        <v>33.411034888328118</v>
      </c>
      <c r="AA24" s="3">
        <f t="shared" si="4"/>
        <v>43.422808817295888</v>
      </c>
      <c r="AB24" s="2">
        <f t="shared" si="5"/>
        <v>50.83402994083351</v>
      </c>
      <c r="AC24" s="2">
        <f t="shared" si="6"/>
        <v>51.841072982375728</v>
      </c>
      <c r="AD24" s="2">
        <f t="shared" si="7"/>
        <v>-7.3300481510809826E-2</v>
      </c>
      <c r="AE24" s="2">
        <f t="shared" si="8"/>
        <v>-2.0520474476958199</v>
      </c>
    </row>
    <row r="25" spans="2:31" x14ac:dyDescent="0.2">
      <c r="B25" s="1">
        <f>[14]FormattedData!A44</f>
        <v>208</v>
      </c>
      <c r="C25" s="1" t="str">
        <f>VLOOKUP($B25,[14]TrtCodes!$B$11:I87,2)</f>
        <v>FSL</v>
      </c>
      <c r="D25" s="1">
        <f>VLOOKUP($B25,[14]TrtCodes!$B$11:J87,3)</f>
        <v>2</v>
      </c>
      <c r="E25" s="1">
        <f>VLOOKUP($B25,[14]TrtCodes!$B$11:K87,4)</f>
        <v>1</v>
      </c>
      <c r="F25" s="1">
        <f>VLOOKUP($B25,[14]TrtCodes!$B$11:L87,5)</f>
        <v>1</v>
      </c>
      <c r="G25" s="1">
        <f>VLOOKUP($B25,[14]TrtCodes!$B$11:M87,6)</f>
        <v>1</v>
      </c>
      <c r="H25" s="1">
        <f>VLOOKUP($B25,[14]TrtCodes!$B$11:N87,7)</f>
        <v>2</v>
      </c>
      <c r="I25" s="1">
        <f>[14]FormattedData!B44</f>
        <v>1</v>
      </c>
      <c r="J25" s="4">
        <f>[14]FormattedData!C44</f>
        <v>13.15</v>
      </c>
      <c r="K25" s="6">
        <f>$J$3+[14]FormattedData!D44*$J$4+$M$4*$J$5+[14]FormattedData!D44^2*$J$6+$M$5*$J$7</f>
        <v>49.290887468321422</v>
      </c>
      <c r="L25" s="6">
        <f>$J$3+[14]FormattedData!E44*$J$4+$M$4*$J$5+[14]FormattedData!E44^2*$J$6+$M$5*$J$7</f>
        <v>41.334795061369903</v>
      </c>
      <c r="M25" s="6">
        <f>$J$3+[14]FormattedData!F44*$J$4+$M$4*$J$5+[14]FormattedData!F44^2*$J$6+$M$5*$J$7</f>
        <v>51.666339369861632</v>
      </c>
      <c r="N25" s="6">
        <f>$J$3+[14]FormattedData!G44*$J$4+$M$4*$J$5+[14]FormattedData!G44^2*$J$6+$M$5*$J$7</f>
        <v>36.857143786134571</v>
      </c>
      <c r="O25" s="6">
        <f>$J$3+[14]FormattedData!H44*$J$4+$M$4*$J$5+[14]FormattedData!H44^2*$J$6+$M$5*$J$7</f>
        <v>53.579110029171744</v>
      </c>
      <c r="P25" s="6">
        <f>$J$3+[14]FormattedData!I44*$J$4+$M$4*$J$5+[14]FormattedData!I44^2*$J$6+$M$5*$J$7</f>
        <v>37.422176031318308</v>
      </c>
      <c r="Q25" s="6">
        <f>$J$3+[14]FormattedData!J44*$J$4+$M$4*$J$5+[14]FormattedData!J44^2*$J$6+$M$5*$J$7</f>
        <v>55.727880285080495</v>
      </c>
      <c r="R25" s="6">
        <f>$J$3+[14]FormattedData!K44*$J$4+$M$4*$J$5+[14]FormattedData!K44^2*$J$6+$M$5*$J$7</f>
        <v>36.574057038280621</v>
      </c>
      <c r="S25" s="6">
        <f>$J$3+[14]FormattedData!L44*$J$4+$M$4*$J$5+[14]FormattedData!L44^2*$J$6+$M$5*$J$7</f>
        <v>53.665568061863254</v>
      </c>
      <c r="T25" s="6">
        <f>$J$3+[14]FormattedData!M44*$J$4+$M$4*$J$5+[14]FormattedData!M44^2*$J$6+$M$5*$J$7</f>
        <v>36.574057038280621</v>
      </c>
      <c r="U25" s="6">
        <f>$J$3+[14]FormattedData!N44*$J$4+$M$4*$J$5+[14]FormattedData!N44^2*$J$6+$M$5*$J$7</f>
        <v>53.406067158174899</v>
      </c>
      <c r="V25" s="6">
        <f>$J$3+[14]FormattedData!O44*$J$4+$M$4*$J$5+[14]FormattedData!O44^2*$J$6+$M$5*$J$7</f>
        <v>35.152917046390215</v>
      </c>
      <c r="W25" s="5">
        <f t="shared" si="0"/>
        <v>45.104249864520646</v>
      </c>
      <c r="X25" s="4">
        <f t="shared" si="1"/>
        <v>2.4203763819516886</v>
      </c>
      <c r="Y25" s="3">
        <f t="shared" si="2"/>
        <v>35.152917046390215</v>
      </c>
      <c r="Z25" s="2">
        <f t="shared" si="3"/>
        <v>36.786372099171082</v>
      </c>
      <c r="AA25" s="3">
        <f t="shared" si="4"/>
        <v>45.312841264845659</v>
      </c>
      <c r="AB25" s="2">
        <f t="shared" si="5"/>
        <v>53.449327875924112</v>
      </c>
      <c r="AC25" s="2">
        <f t="shared" si="6"/>
        <v>55.727880285080495</v>
      </c>
      <c r="AD25" s="2">
        <f t="shared" si="7"/>
        <v>1.2701711003732749E-2</v>
      </c>
      <c r="AE25" s="2">
        <f t="shared" si="8"/>
        <v>-2.1556931000663933</v>
      </c>
    </row>
    <row r="26" spans="2:31" x14ac:dyDescent="0.2">
      <c r="B26" s="1">
        <f>[14]FormattedData!A62</f>
        <v>301</v>
      </c>
      <c r="C26" s="1" t="str">
        <f>VLOOKUP($B26,[14]TrtCodes!$B$11:I105,2)</f>
        <v>NTL</v>
      </c>
      <c r="D26" s="1">
        <f>VLOOKUP($B26,[14]TrtCodes!$B$11:J105,3)</f>
        <v>10</v>
      </c>
      <c r="E26" s="1">
        <f>VLOOKUP($B26,[14]TrtCodes!$B$11:K105,4)</f>
        <v>2</v>
      </c>
      <c r="F26" s="1">
        <f>VLOOKUP($B26,[14]TrtCodes!$B$11:L105,5)</f>
        <v>2</v>
      </c>
      <c r="G26" s="1">
        <f>VLOOKUP($B26,[14]TrtCodes!$B$11:M105,6)</f>
        <v>1</v>
      </c>
      <c r="H26" s="1">
        <f>VLOOKUP($B26,[14]TrtCodes!$B$11:N105,7)</f>
        <v>3</v>
      </c>
      <c r="I26" s="1">
        <f>[14]FormattedData!B62</f>
        <v>1</v>
      </c>
      <c r="J26" s="4">
        <f>[14]FormattedData!C62</f>
        <v>13.249000000000001</v>
      </c>
      <c r="K26" s="6">
        <f>$J$3+[14]FormattedData!D62*$J$4+$M$4*$J$5+[14]FormattedData!D62^2*$J$6+$M$5*$J$7</f>
        <v>51.228765639162624</v>
      </c>
      <c r="L26" s="6">
        <f>$J$3+[14]FormattedData!E62*$J$4+$M$4*$J$5+[14]FormattedData!E62^2*$J$6+$M$5*$J$7</f>
        <v>44.356688412149232</v>
      </c>
      <c r="M26" s="6">
        <f>$J$3+[14]FormattedData!F62*$J$4+$M$4*$J$5+[14]FormattedData!F62^2*$J$6+$M$5*$J$7</f>
        <v>38.828099349553504</v>
      </c>
      <c r="N26" s="6">
        <f>$J$3+[14]FormattedData!G62*$J$4+$M$4*$J$5+[14]FormattedData!G62^2*$J$6+$M$5*$J$7</f>
        <v>38.734667008103344</v>
      </c>
      <c r="O26" s="6">
        <f>$J$3+[14]FormattedData!H62*$J$4+$M$4*$J$5+[14]FormattedData!H62^2*$J$6+$M$5*$J$7</f>
        <v>33.722266633465303</v>
      </c>
      <c r="P26" s="6">
        <f>$J$3+[14]FormattedData!I62*$J$4+$M$4*$J$5+[14]FormattedData!I62^2*$J$6+$M$5*$J$7</f>
        <v>41.150170610979927</v>
      </c>
      <c r="Q26" s="6">
        <f>$J$3+[14]FormattedData!J62*$J$4+$M$4*$J$5+[14]FormattedData!J62^2*$J$6+$M$5*$J$7</f>
        <v>31.703378548032447</v>
      </c>
      <c r="R26" s="6">
        <f>$J$3+[14]FormattedData!K62*$J$4+$M$4*$J$5+[14]FormattedData!K62^2*$J$6+$M$5*$J$7</f>
        <v>40.872916921360485</v>
      </c>
      <c r="S26" s="6">
        <f>$J$3+[14]FormattedData!L62*$J$4+$M$4*$J$5+[14]FormattedData!L62^2*$J$6+$M$5*$J$7</f>
        <v>36.290589873585304</v>
      </c>
      <c r="T26" s="6">
        <f>$J$3+[14]FormattedData!M62*$J$4+$M$4*$J$5+[14]FormattedData!M62^2*$J$6+$M$5*$J$7</f>
        <v>38.734667008103344</v>
      </c>
      <c r="U26" s="6">
        <f>$J$3+[14]FormattedData!N62*$J$4+$M$4*$J$5+[14]FormattedData!N62^2*$J$6+$M$5*$J$7</f>
        <v>36.857143786134571</v>
      </c>
      <c r="V26" s="6">
        <f>$J$3+[14]FormattedData!O62*$J$4+$M$4*$J$5+[14]FormattedData!O62^2*$J$6+$M$5*$J$7</f>
        <v>33.62655179096685</v>
      </c>
      <c r="W26" s="5">
        <f t="shared" si="0"/>
        <v>38.842158798466407</v>
      </c>
      <c r="X26" s="4">
        <f t="shared" si="1"/>
        <v>1.5278750689749541</v>
      </c>
      <c r="Y26" s="3">
        <f t="shared" si="2"/>
        <v>31.703378548032447</v>
      </c>
      <c r="Z26" s="2">
        <f t="shared" si="3"/>
        <v>35.648509063555302</v>
      </c>
      <c r="AA26" s="3">
        <f t="shared" si="4"/>
        <v>38.734667008103344</v>
      </c>
      <c r="AB26" s="2">
        <f t="shared" si="5"/>
        <v>40.942230343765345</v>
      </c>
      <c r="AC26" s="2">
        <f t="shared" si="6"/>
        <v>51.228765639162624</v>
      </c>
      <c r="AD26" s="2">
        <f t="shared" si="7"/>
        <v>1.0481224184677993</v>
      </c>
      <c r="AE26" s="2">
        <f t="shared" si="8"/>
        <v>1.7081943058872895</v>
      </c>
    </row>
    <row r="27" spans="2:31" x14ac:dyDescent="0.2">
      <c r="B27" s="1">
        <f>[14]FormattedData!A64</f>
        <v>302</v>
      </c>
      <c r="C27" s="1" t="str">
        <f>VLOOKUP($B27,[14]TrtCodes!$B$11:I107,2)</f>
        <v>FTL</v>
      </c>
      <c r="D27" s="1">
        <f>VLOOKUP($B27,[14]TrtCodes!$B$11:J107,3)</f>
        <v>4</v>
      </c>
      <c r="E27" s="1">
        <f>VLOOKUP($B27,[14]TrtCodes!$B$11:K107,4)</f>
        <v>1</v>
      </c>
      <c r="F27" s="1">
        <f>VLOOKUP($B27,[14]TrtCodes!$B$11:L107,5)</f>
        <v>2</v>
      </c>
      <c r="G27" s="1">
        <f>VLOOKUP($B27,[14]TrtCodes!$B$11:M107,6)</f>
        <v>1</v>
      </c>
      <c r="H27" s="1">
        <f>VLOOKUP($B27,[14]TrtCodes!$B$11:N107,7)</f>
        <v>3</v>
      </c>
      <c r="I27" s="1">
        <f>[14]FormattedData!B64</f>
        <v>1</v>
      </c>
      <c r="J27" s="4">
        <f>[14]FormattedData!C64</f>
        <v>13.269</v>
      </c>
      <c r="K27" s="6">
        <f>$J$3+[14]FormattedData!D64*$J$4+$M$4*$J$5+[14]FormattedData!D64^2*$J$6+$M$5*$J$7</f>
        <v>41.611414722920379</v>
      </c>
      <c r="L27" s="6">
        <f>$J$3+[14]FormattedData!E64*$J$4+$M$4*$J$5+[14]FormattedData!E64^2*$J$6+$M$5*$J$7</f>
        <v>35.722514293670521</v>
      </c>
      <c r="M27" s="6">
        <f>$J$3+[14]FormattedData!F64*$J$4+$M$4*$J$5+[14]FormattedData!F64^2*$J$6+$M$5*$J$7</f>
        <v>52.102856387112368</v>
      </c>
      <c r="N27" s="6">
        <f>$J$3+[14]FormattedData!G64*$J$4+$M$4*$J$5+[14]FormattedData!G64^2*$J$6+$M$5*$J$7</f>
        <v>32.859311383613786</v>
      </c>
      <c r="O27" s="6">
        <f>$J$3+[14]FormattedData!H64*$J$4+$M$4*$J$5+[14]FormattedData!H64^2*$J$6+$M$5*$J$7</f>
        <v>52.451309167230193</v>
      </c>
      <c r="P27" s="6">
        <f>$J$3+[14]FormattedData!I64*$J$4+$M$4*$J$5+[14]FormattedData!I64^2*$J$6+$M$5*$J$7</f>
        <v>31.799938761289511</v>
      </c>
      <c r="Q27" s="6">
        <f>$J$3+[14]FormattedData!J64*$J$4+$M$4*$J$5+[14]FormattedData!J64^2*$J$6+$M$5*$J$7</f>
        <v>51.053440267117502</v>
      </c>
      <c r="R27" s="6">
        <f>$J$3+[14]FormattedData!K64*$J$4+$M$4*$J$5+[14]FormattedData!K64^2*$J$6+$M$5*$J$7</f>
        <v>33.147343550405665</v>
      </c>
      <c r="S27" s="6">
        <f>$J$3+[14]FormattedData!L64*$J$4+$M$4*$J$5+[14]FormattedData!L64^2*$J$6+$M$5*$J$7</f>
        <v>49.467903581883796</v>
      </c>
      <c r="T27" s="6">
        <f>$J$3+[14]FormattedData!M64*$J$4+$M$4*$J$5+[14]FormattedData!M64^2*$J$6+$M$5*$J$7</f>
        <v>33.243269735593771</v>
      </c>
      <c r="U27" s="6">
        <f>$J$3+[14]FormattedData!N64*$J$4+$M$4*$J$5+[14]FormattedData!N64^2*$J$6+$M$5*$J$7</f>
        <v>49.909704166375917</v>
      </c>
      <c r="V27" s="6">
        <f>$J$3+[14]FormattedData!O64*$J$4+$M$4*$J$5+[14]FormattedData!O64^2*$J$6+$M$5*$J$7</f>
        <v>33.147343550405665</v>
      </c>
      <c r="W27" s="5">
        <f t="shared" si="0"/>
        <v>41.376362463968249</v>
      </c>
      <c r="X27" s="4">
        <f t="shared" si="1"/>
        <v>2.5635837103380608</v>
      </c>
      <c r="Y27" s="3">
        <f t="shared" si="2"/>
        <v>31.799938761289511</v>
      </c>
      <c r="Z27" s="2">
        <f t="shared" si="3"/>
        <v>33.147343550405665</v>
      </c>
      <c r="AA27" s="3">
        <f t="shared" si="4"/>
        <v>38.66696450829545</v>
      </c>
      <c r="AB27" s="2">
        <f t="shared" si="5"/>
        <v>50.195638191561315</v>
      </c>
      <c r="AC27" s="2">
        <f t="shared" si="6"/>
        <v>52.451309167230193</v>
      </c>
      <c r="AD27" s="2">
        <f t="shared" si="7"/>
        <v>0.20571883577893998</v>
      </c>
      <c r="AE27" s="2">
        <f t="shared" si="8"/>
        <v>-2.1361305445625463</v>
      </c>
    </row>
    <row r="28" spans="2:31" x14ac:dyDescent="0.2">
      <c r="B28" s="1">
        <f>[14]FormattedData!A66</f>
        <v>303</v>
      </c>
      <c r="C28" s="1" t="str">
        <f>VLOOKUP($B28,[14]TrtCodes!$B$11:I109,2)</f>
        <v>NSL</v>
      </c>
      <c r="D28" s="1">
        <f>VLOOKUP($B28,[14]TrtCodes!$B$11:J109,3)</f>
        <v>8</v>
      </c>
      <c r="E28" s="1">
        <f>VLOOKUP($B28,[14]TrtCodes!$B$11:K109,4)</f>
        <v>2</v>
      </c>
      <c r="F28" s="1">
        <f>VLOOKUP($B28,[14]TrtCodes!$B$11:L109,5)</f>
        <v>1</v>
      </c>
      <c r="G28" s="1">
        <f>VLOOKUP($B28,[14]TrtCodes!$B$11:M109,6)</f>
        <v>1</v>
      </c>
      <c r="H28" s="1">
        <f>VLOOKUP($B28,[14]TrtCodes!$B$11:N109,7)</f>
        <v>3</v>
      </c>
      <c r="I28" s="1">
        <f>[14]FormattedData!B66</f>
        <v>1</v>
      </c>
      <c r="J28" s="4">
        <f>[14]FormattedData!C66</f>
        <v>13.282</v>
      </c>
      <c r="K28" s="6">
        <f>$J$3+[14]FormattedData!D66*$J$4+$M$4*$J$5+[14]FormattedData!D66^2*$J$6+$M$5*$J$7</f>
        <v>31.799938761289511</v>
      </c>
      <c r="L28" s="6">
        <f>$J$3+[14]FormattedData!E66*$J$4+$M$4*$J$5+[14]FormattedData!E66^2*$J$6+$M$5*$J$7</f>
        <v>36.95142149834335</v>
      </c>
      <c r="M28" s="6">
        <f>$J$3+[14]FormattedData!F66*$J$4+$M$4*$J$5+[14]FormattedData!F66^2*$J$6+$M$5*$J$7</f>
        <v>31.606776066237451</v>
      </c>
      <c r="N28" s="6">
        <f>$J$3+[14]FormattedData!G66*$J$4+$M$4*$J$5+[14]FormattedData!G66^2*$J$6+$M$5*$J$7</f>
        <v>31.316715009624865</v>
      </c>
      <c r="O28" s="6">
        <f>$J$3+[14]FormattedData!H66*$J$4+$M$4*$J$5+[14]FormattedData!H66^2*$J$6+$M$5*$J$7</f>
        <v>39.014837226840037</v>
      </c>
      <c r="P28" s="6">
        <f>$J$3+[14]FormattedData!I66*$J$4+$M$4*$J$5+[14]FormattedData!I66^2*$J$6+$M$5*$J$7</f>
        <v>31.799938761289511</v>
      </c>
      <c r="Q28" s="6">
        <f>$J$3+[14]FormattedData!J66*$J$4+$M$4*$J$5+[14]FormattedData!J66^2*$J$6+$M$5*$J$7</f>
        <v>37.985686609136522</v>
      </c>
      <c r="R28" s="6">
        <f>$J$3+[14]FormattedData!K66*$J$4+$M$4*$J$5+[14]FormattedData!K66^2*$J$6+$M$5*$J$7</f>
        <v>30.152666614760747</v>
      </c>
      <c r="S28" s="6">
        <f>$J$3+[14]FormattedData!L66*$J$4+$M$4*$J$5+[14]FormattedData!L66^2*$J$6+$M$5*$J$7</f>
        <v>36.95142149834335</v>
      </c>
      <c r="T28" s="6">
        <f>$J$3+[14]FormattedData!M66*$J$4+$M$4*$J$5+[14]FormattedData!M66^2*$J$6+$M$5*$J$7</f>
        <v>31.413444297033664</v>
      </c>
      <c r="U28" s="6">
        <f>$J$3+[14]FormattedData!N66*$J$4+$M$4*$J$5+[14]FormattedData!N66^2*$J$6+$M$5*$J$7</f>
        <v>36.290589873585304</v>
      </c>
      <c r="V28" s="6">
        <f>$J$3+[14]FormattedData!O66*$J$4+$M$4*$J$5+[14]FormattedData!O66^2*$J$6+$M$5*$J$7</f>
        <v>31.896456706008649</v>
      </c>
      <c r="W28" s="5">
        <f t="shared" si="0"/>
        <v>33.931657743541074</v>
      </c>
      <c r="X28" s="4">
        <f t="shared" si="1"/>
        <v>0.92183955950059648</v>
      </c>
      <c r="Y28" s="3">
        <f t="shared" si="2"/>
        <v>30.152666614760747</v>
      </c>
      <c r="Z28" s="2">
        <f t="shared" si="3"/>
        <v>31.558443123936506</v>
      </c>
      <c r="AA28" s="3">
        <f t="shared" si="4"/>
        <v>31.84819773364908</v>
      </c>
      <c r="AB28" s="2">
        <f t="shared" si="5"/>
        <v>36.95142149834335</v>
      </c>
      <c r="AC28" s="2">
        <f t="shared" si="6"/>
        <v>39.014837226840037</v>
      </c>
      <c r="AD28" s="2">
        <f t="shared" si="7"/>
        <v>0.46225709135885029</v>
      </c>
      <c r="AE28" s="2">
        <f t="shared" si="8"/>
        <v>-1.7397214734882929</v>
      </c>
    </row>
    <row r="29" spans="2:31" x14ac:dyDescent="0.2">
      <c r="B29" s="1">
        <f>[14]FormattedData!A68</f>
        <v>304</v>
      </c>
      <c r="C29" s="1" t="str">
        <f>VLOOKUP($B29,[14]TrtCodes!$B$11:I111,2)</f>
        <v>FSL</v>
      </c>
      <c r="D29" s="1">
        <f>VLOOKUP($B29,[14]TrtCodes!$B$11:J111,3)</f>
        <v>2</v>
      </c>
      <c r="E29" s="1">
        <f>VLOOKUP($B29,[14]TrtCodes!$B$11:K111,4)</f>
        <v>1</v>
      </c>
      <c r="F29" s="1">
        <f>VLOOKUP($B29,[14]TrtCodes!$B$11:L111,5)</f>
        <v>1</v>
      </c>
      <c r="G29" s="1">
        <f>VLOOKUP($B29,[14]TrtCodes!$B$11:M111,6)</f>
        <v>1</v>
      </c>
      <c r="H29" s="1">
        <f>VLOOKUP($B29,[14]TrtCodes!$B$11:N111,7)</f>
        <v>3</v>
      </c>
      <c r="I29" s="1">
        <f>[14]FormattedData!B68</f>
        <v>1</v>
      </c>
      <c r="J29" s="4">
        <f>[14]FormattedData!C68</f>
        <v>13.295</v>
      </c>
      <c r="K29" s="6">
        <f>$J$3+[14]FormattedData!D68*$J$4+$M$4*$J$5+[14]FormattedData!D68^2*$J$6+$M$5*$J$7</f>
        <v>40.502653575670195</v>
      </c>
      <c r="L29" s="6">
        <f>$J$3+[14]FormattedData!E68*$J$4+$M$4*$J$5+[14]FormattedData!E68^2*$J$6+$M$5*$J$7</f>
        <v>42.25538120104391</v>
      </c>
      <c r="M29" s="6">
        <f>$J$3+[14]FormattedData!F68*$J$4+$M$4*$J$5+[14]FormattedData!F68^2*$J$6+$M$5*$J$7</f>
        <v>43.263143938554258</v>
      </c>
      <c r="N29" s="6">
        <f>$J$3+[14]FormattedData!G68*$J$4+$M$4*$J$5+[14]FormattedData!G68^2*$J$6+$M$5*$J$7</f>
        <v>36.196016281611001</v>
      </c>
      <c r="O29" s="6">
        <f>$J$3+[14]FormattedData!H68*$J$4+$M$4*$J$5+[14]FormattedData!H68^2*$J$6+$M$5*$J$7</f>
        <v>54.699767508202918</v>
      </c>
      <c r="P29" s="6">
        <f>$J$3+[14]FormattedData!I68*$J$4+$M$4*$J$5+[14]FormattedData!I68^2*$J$6+$M$5*$J$7</f>
        <v>34.677090288863525</v>
      </c>
      <c r="Q29" s="6">
        <f>$J$3+[14]FormattedData!J68*$J$4+$M$4*$J$5+[14]FormattedData!J68^2*$J$6+$M$5*$J$7</f>
        <v>45.172852390510975</v>
      </c>
      <c r="R29" s="6">
        <f>$J$3+[14]FormattedData!K68*$J$4+$M$4*$J$5+[14]FormattedData!K68^2*$J$6+$M$5*$J$7</f>
        <v>32.859311383613786</v>
      </c>
      <c r="S29" s="6">
        <f>$J$3+[14]FormattedData!L68*$J$4+$M$4*$J$5+[14]FormattedData!L68^2*$J$6+$M$5*$J$7</f>
        <v>41.703536739694677</v>
      </c>
      <c r="T29" s="6">
        <f>$J$3+[14]FormattedData!M68*$J$4+$M$4*$J$5+[14]FormattedData!M68^2*$J$6+$M$5*$J$7</f>
        <v>38.079457098890138</v>
      </c>
      <c r="U29" s="6">
        <f>$J$3+[14]FormattedData!N68*$J$4+$M$4*$J$5+[14]FormattedData!N68^2*$J$6+$M$5*$J$7</f>
        <v>45.7150596252119</v>
      </c>
      <c r="V29" s="6">
        <f>$J$3+[14]FormattedData!O68*$J$4+$M$4*$J$5+[14]FormattedData!O68^2*$J$6+$M$5*$J$7</f>
        <v>36.385121197021675</v>
      </c>
      <c r="W29" s="5">
        <f t="shared" si="0"/>
        <v>40.959115935740748</v>
      </c>
      <c r="X29" s="4">
        <f t="shared" si="1"/>
        <v>1.7274589655064181</v>
      </c>
      <c r="Y29" s="3">
        <f t="shared" si="2"/>
        <v>32.859311383613786</v>
      </c>
      <c r="Z29" s="2">
        <f t="shared" si="3"/>
        <v>36.337844968169009</v>
      </c>
      <c r="AA29" s="3">
        <f t="shared" si="4"/>
        <v>41.103095157682432</v>
      </c>
      <c r="AB29" s="2">
        <f t="shared" si="5"/>
        <v>43.740571051543441</v>
      </c>
      <c r="AC29" s="2">
        <f t="shared" si="6"/>
        <v>54.699767508202918</v>
      </c>
      <c r="AD29" s="2">
        <f t="shared" si="7"/>
        <v>0.9084580931948496</v>
      </c>
      <c r="AE29" s="2">
        <f t="shared" si="8"/>
        <v>1.2984365657980339</v>
      </c>
    </row>
    <row r="30" spans="2:31" x14ac:dyDescent="0.2">
      <c r="B30" s="1">
        <f>[14]FormattedData!A70</f>
        <v>305</v>
      </c>
      <c r="C30" s="1" t="str">
        <f>VLOOKUP($B30,[14]TrtCodes!$B$11:I113,2)</f>
        <v>NDH</v>
      </c>
      <c r="D30" s="1">
        <f>VLOOKUP($B30,[14]TrtCodes!$B$11:J113,3)</f>
        <v>11</v>
      </c>
      <c r="E30" s="1">
        <f>VLOOKUP($B30,[14]TrtCodes!$B$11:K113,4)</f>
        <v>2</v>
      </c>
      <c r="F30" s="1">
        <f>VLOOKUP($B30,[14]TrtCodes!$B$11:L113,5)</f>
        <v>3</v>
      </c>
      <c r="G30" s="1">
        <f>VLOOKUP($B30,[14]TrtCodes!$B$11:M113,6)</f>
        <v>2</v>
      </c>
      <c r="H30" s="1">
        <f>VLOOKUP($B30,[14]TrtCodes!$B$11:N113,7)</f>
        <v>4</v>
      </c>
      <c r="I30" s="1">
        <f>[14]FormattedData!B70</f>
        <v>1</v>
      </c>
      <c r="J30" s="4">
        <f>[14]FormattedData!C70</f>
        <v>13.308999999999999</v>
      </c>
      <c r="K30" s="6">
        <f>$J$3+[14]FormattedData!D70*$J$4+$M$4*$J$5+[14]FormattedData!D70^2*$J$6+$M$5*$J$7</f>
        <v>30.444249338738853</v>
      </c>
      <c r="L30" s="6">
        <f>$J$3+[14]FormattedData!E70*$J$4+$M$4*$J$5+[14]FormattedData!E70^2*$J$6+$M$5*$J$7</f>
        <v>38.454116372525263</v>
      </c>
      <c r="M30" s="6">
        <f>$J$3+[14]FormattedData!F70*$J$4+$M$4*$J$5+[14]FormattedData!F70^2*$J$6+$M$5*$J$7</f>
        <v>31.703378548032447</v>
      </c>
      <c r="N30" s="6">
        <f>$J$3+[14]FormattedData!G70*$J$4+$M$4*$J$5+[14]FormattedData!G70^2*$J$6+$M$5*$J$7</f>
        <v>35.342951869635378</v>
      </c>
      <c r="O30" s="6">
        <f>$J$3+[14]FormattedData!H70*$J$4+$M$4*$J$5+[14]FormattedData!H70^2*$J$6+$M$5*$J$7</f>
        <v>33.434995300356178</v>
      </c>
      <c r="P30" s="6">
        <f>$J$3+[14]FormattedData!I70*$J$4+$M$4*$J$5+[14]FormattedData!I70^2*$J$6+$M$5*$J$7</f>
        <v>32.570898799980526</v>
      </c>
      <c r="Q30" s="6">
        <f>$J$3+[14]FormattedData!J70*$J$4+$M$4*$J$5+[14]FormattedData!J70^2*$J$6+$M$5*$J$7</f>
        <v>40.224512246754195</v>
      </c>
      <c r="R30" s="6">
        <f>$J$3+[14]FormattedData!K70*$J$4+$M$4*$J$5+[14]FormattedData!K70^2*$J$6+$M$5*$J$7</f>
        <v>30.832434544511948</v>
      </c>
      <c r="S30" s="6">
        <f>$J$3+[14]FormattedData!L70*$J$4+$M$4*$J$5+[14]FormattedData!L70^2*$J$6+$M$5*$J$7</f>
        <v>39.294627028735349</v>
      </c>
      <c r="T30" s="6">
        <f>$J$3+[14]FormattedData!M70*$J$4+$M$4*$J$5+[14]FormattedData!M70^2*$J$6+$M$5*$J$7</f>
        <v>30.735451645875571</v>
      </c>
      <c r="U30" s="6">
        <f>$J$3+[14]FormattedData!N70*$J$4+$M$4*$J$5+[14]FormattedData!N70^2*$J$6+$M$5*$J$7</f>
        <v>35.057836231960735</v>
      </c>
      <c r="V30" s="6">
        <f>$J$3+[14]FormattedData!O70*$J$4+$M$4*$J$5+[14]FormattedData!O70^2*$J$6+$M$5*$J$7</f>
        <v>30.832434544511948</v>
      </c>
      <c r="W30" s="5">
        <f t="shared" si="0"/>
        <v>34.077323872634864</v>
      </c>
      <c r="X30" s="4">
        <f t="shared" si="1"/>
        <v>1.0315888796043851</v>
      </c>
      <c r="Y30" s="3">
        <f t="shared" si="2"/>
        <v>30.444249338738853</v>
      </c>
      <c r="Z30" s="2">
        <f t="shared" si="3"/>
        <v>30.832434544511948</v>
      </c>
      <c r="AA30" s="3">
        <f t="shared" si="4"/>
        <v>33.002947050168352</v>
      </c>
      <c r="AB30" s="2">
        <f t="shared" si="5"/>
        <v>36.120742995357851</v>
      </c>
      <c r="AC30" s="2">
        <f t="shared" si="6"/>
        <v>40.224512246754195</v>
      </c>
      <c r="AD30" s="2">
        <f t="shared" si="7"/>
        <v>0.69432800788666782</v>
      </c>
      <c r="AE30" s="2">
        <f t="shared" si="8"/>
        <v>-1.0407024974578838</v>
      </c>
    </row>
    <row r="31" spans="2:31" x14ac:dyDescent="0.2">
      <c r="B31" s="1">
        <f>[14]FormattedData!A72</f>
        <v>306</v>
      </c>
      <c r="C31" s="1" t="str">
        <f>VLOOKUP($B31,[14]TrtCodes!$B$11:I115,2)</f>
        <v>FTL</v>
      </c>
      <c r="D31" s="1">
        <f>VLOOKUP($B31,[14]TrtCodes!$B$11:J115,3)</f>
        <v>4</v>
      </c>
      <c r="E31" s="1">
        <f>VLOOKUP($B31,[14]TrtCodes!$B$11:K115,4)</f>
        <v>1</v>
      </c>
      <c r="F31" s="1">
        <f>VLOOKUP($B31,[14]TrtCodes!$B$11:L115,5)</f>
        <v>2</v>
      </c>
      <c r="G31" s="1">
        <f>VLOOKUP($B31,[14]TrtCodes!$B$11:M115,6)</f>
        <v>1</v>
      </c>
      <c r="H31" s="1">
        <f>VLOOKUP($B31,[14]TrtCodes!$B$11:N115,7)</f>
        <v>4</v>
      </c>
      <c r="I31" s="1">
        <f>[14]FormattedData!B72</f>
        <v>1</v>
      </c>
      <c r="J31" s="4">
        <f>[14]FormattedData!C72</f>
        <v>13.321999999999999</v>
      </c>
      <c r="K31" s="6">
        <f>$J$3+[14]FormattedData!D72*$J$4+$M$4*$J$5+[14]FormattedData!D72^2*$J$6+$M$5*$J$7</f>
        <v>39.667088338398059</v>
      </c>
      <c r="L31" s="6">
        <f>$J$3+[14]FormattedData!E72*$J$4+$M$4*$J$5+[14]FormattedData!E72^2*$J$6+$M$5*$J$7</f>
        <v>38.173185320105823</v>
      </c>
      <c r="M31" s="6">
        <f>$J$3+[14]FormattedData!F72*$J$4+$M$4*$J$5+[14]FormattedData!F72^2*$J$6+$M$5*$J$7</f>
        <v>45.624797424106575</v>
      </c>
      <c r="N31" s="6">
        <f>$J$3+[14]FormattedData!G72*$J$4+$M$4*$J$5+[14]FormattedData!G72^2*$J$6+$M$5*$J$7</f>
        <v>32.185756928938467</v>
      </c>
      <c r="O31" s="6">
        <f>$J$3+[14]FormattedData!H72*$J$4+$M$4*$J$5+[14]FormattedData!H72^2*$J$6+$M$5*$J$7</f>
        <v>54.183428618715851</v>
      </c>
      <c r="P31" s="6">
        <f>$J$3+[14]FormattedData!I72*$J$4+$M$4*$J$5+[14]FormattedData!I72^2*$J$6+$M$5*$J$7</f>
        <v>31.799938761289511</v>
      </c>
      <c r="Q31" s="6">
        <f>$J$3+[14]FormattedData!J72*$J$4+$M$4*$J$5+[14]FormattedData!J72^2*$J$6+$M$5*$J$7</f>
        <v>54.183428618715851</v>
      </c>
      <c r="R31" s="6">
        <f>$J$3+[14]FormattedData!K72*$J$4+$M$4*$J$5+[14]FormattedData!K72^2*$J$6+$M$5*$J$7</f>
        <v>31.606776066237451</v>
      </c>
      <c r="S31" s="6">
        <f>$J$3+[14]FormattedData!L72*$J$4+$M$4*$J$5+[14]FormattedData!L72^2*$J$6+$M$5*$J$7</f>
        <v>46.705154113867039</v>
      </c>
      <c r="T31" s="6">
        <f>$J$3+[14]FormattedData!M72*$J$4+$M$4*$J$5+[14]FormattedData!M72^2*$J$6+$M$5*$J$7</f>
        <v>31.799938761289511</v>
      </c>
      <c r="U31" s="6">
        <f>$J$3+[14]FormattedData!N72*$J$4+$M$4*$J$5+[14]FormattedData!N72^2*$J$6+$M$5*$J$7</f>
        <v>52.799085650741119</v>
      </c>
      <c r="V31" s="6">
        <f>$J$3+[14]FormattedData!O72*$J$4+$M$4*$J$5+[14]FormattedData!O72^2*$J$6+$M$5*$J$7</f>
        <v>33.434995300356178</v>
      </c>
      <c r="W31" s="5">
        <f t="shared" si="0"/>
        <v>41.013631158563449</v>
      </c>
      <c r="X31" s="4">
        <f t="shared" si="1"/>
        <v>2.6727609273558537</v>
      </c>
      <c r="Y31" s="3">
        <f t="shared" si="2"/>
        <v>31.606776066237451</v>
      </c>
      <c r="Z31" s="2">
        <f t="shared" si="3"/>
        <v>32.08930238702623</v>
      </c>
      <c r="AA31" s="3">
        <f t="shared" si="4"/>
        <v>38.920136829251945</v>
      </c>
      <c r="AB31" s="2">
        <f t="shared" si="5"/>
        <v>48.228636998085562</v>
      </c>
      <c r="AC31" s="2">
        <f t="shared" si="6"/>
        <v>54.183428618715851</v>
      </c>
      <c r="AD31" s="2">
        <f t="shared" si="7"/>
        <v>0.4044329844539119</v>
      </c>
      <c r="AE31" s="2">
        <f t="shared" si="8"/>
        <v>-1.6179175277831854</v>
      </c>
    </row>
    <row r="32" spans="2:31" x14ac:dyDescent="0.2">
      <c r="B32" s="1">
        <f>[14]FormattedData!A74</f>
        <v>307</v>
      </c>
      <c r="C32" s="1" t="str">
        <f>VLOOKUP($B32,[14]TrtCodes!$B$11:I117,2)</f>
        <v>NTH</v>
      </c>
      <c r="D32" s="1">
        <f>VLOOKUP($B32,[14]TrtCodes!$B$11:J117,3)</f>
        <v>9</v>
      </c>
      <c r="E32" s="1">
        <f>VLOOKUP($B32,[14]TrtCodes!$B$11:K117,4)</f>
        <v>2</v>
      </c>
      <c r="F32" s="1">
        <f>VLOOKUP($B32,[14]TrtCodes!$B$11:L117,5)</f>
        <v>2</v>
      </c>
      <c r="G32" s="1">
        <f>VLOOKUP($B32,[14]TrtCodes!$B$11:M117,6)</f>
        <v>2</v>
      </c>
      <c r="H32" s="1">
        <f>VLOOKUP($B32,[14]TrtCodes!$B$11:N117,7)</f>
        <v>4</v>
      </c>
      <c r="I32" s="1">
        <f>[14]FormattedData!B74</f>
        <v>1</v>
      </c>
      <c r="J32" s="4">
        <f>[14]FormattedData!C74</f>
        <v>13.335000000000001</v>
      </c>
      <c r="K32" s="6">
        <f>$J$3+[14]FormattedData!D74*$J$4+$M$4*$J$5+[14]FormattedData!D74^2*$J$6+$M$5*$J$7</f>
        <v>43.445824036199397</v>
      </c>
      <c r="L32" s="6">
        <f>$J$3+[14]FormattedData!E74*$J$4+$M$4*$J$5+[14]FormattedData!E74^2*$J$6+$M$5*$J$7</f>
        <v>39.57403641378928</v>
      </c>
      <c r="M32" s="6">
        <f>$J$3+[14]FormattedData!F74*$J$4+$M$4*$J$5+[14]FormattedData!F74^2*$J$6+$M$5*$J$7</f>
        <v>48.492222664663174</v>
      </c>
      <c r="N32" s="6">
        <f>$J$3+[14]FormattedData!G74*$J$4+$M$4*$J$5+[14]FormattedData!G74^2*$J$6+$M$5*$J$7</f>
        <v>33.147343550405665</v>
      </c>
      <c r="O32" s="6">
        <f>$J$3+[14]FormattedData!H74*$J$4+$M$4*$J$5+[14]FormattedData!H74^2*$J$6+$M$5*$J$7</f>
        <v>49.821428586553353</v>
      </c>
      <c r="P32" s="6">
        <f>$J$3+[14]FormattedData!I74*$J$4+$M$4*$J$5+[14]FormattedData!I74^2*$J$6+$M$5*$J$7</f>
        <v>33.53079467993048</v>
      </c>
      <c r="Q32" s="6">
        <f>$J$3+[14]FormattedData!J74*$J$4+$M$4*$J$5+[14]FormattedData!J74^2*$J$6+$M$5*$J$7</f>
        <v>53.059474193726039</v>
      </c>
      <c r="R32" s="6">
        <f>$J$3+[14]FormattedData!K74*$J$4+$M$4*$J$5+[14]FormattedData!K74^2*$J$6+$M$5*$J$7</f>
        <v>32.667078596396209</v>
      </c>
      <c r="S32" s="6">
        <f>$J$3+[14]FormattedData!L74*$J$4+$M$4*$J$5+[14]FormattedData!L74^2*$J$6+$M$5*$J$7</f>
        <v>51.141124087409032</v>
      </c>
      <c r="T32" s="6">
        <f>$J$3+[14]FormattedData!M74*$J$4+$M$4*$J$5+[14]FormattedData!M74^2*$J$6+$M$5*$J$7</f>
        <v>32.378412401535357</v>
      </c>
      <c r="U32" s="6">
        <f>$J$3+[14]FormattedData!N74*$J$4+$M$4*$J$5+[14]FormattedData!N74^2*$J$6+$M$5*$J$7</f>
        <v>53.146185837645156</v>
      </c>
      <c r="V32" s="6">
        <f>$J$3+[14]FormattedData!O74*$J$4+$M$4*$J$5+[14]FormattedData!O74^2*$J$6+$M$5*$J$7</f>
        <v>34.104703318079757</v>
      </c>
      <c r="W32" s="5">
        <f t="shared" si="0"/>
        <v>42.042385697194398</v>
      </c>
      <c r="X32" s="4">
        <f t="shared" si="1"/>
        <v>2.5128434793323629</v>
      </c>
      <c r="Y32" s="3">
        <f t="shared" si="2"/>
        <v>32.378412401535357</v>
      </c>
      <c r="Z32" s="2">
        <f t="shared" si="3"/>
        <v>33.434931897549276</v>
      </c>
      <c r="AA32" s="3">
        <f t="shared" si="4"/>
        <v>41.509930224994335</v>
      </c>
      <c r="AB32" s="2">
        <f t="shared" si="5"/>
        <v>50.151352461767274</v>
      </c>
      <c r="AC32" s="2">
        <f t="shared" si="6"/>
        <v>53.146185837645156</v>
      </c>
      <c r="AD32" s="2">
        <f t="shared" si="7"/>
        <v>0.10570798551512293</v>
      </c>
      <c r="AE32" s="2">
        <f t="shared" si="8"/>
        <v>-1.9983465909561162</v>
      </c>
    </row>
    <row r="33" spans="2:31" x14ac:dyDescent="0.2">
      <c r="B33" s="1">
        <f>[14]FormattedData!A76</f>
        <v>308</v>
      </c>
      <c r="C33" s="1" t="str">
        <f>VLOOKUP($B33,[14]TrtCodes!$B$11:I119,2)</f>
        <v>FDH</v>
      </c>
      <c r="D33" s="1">
        <f>VLOOKUP($B33,[14]TrtCodes!$B$11:J119,3)</f>
        <v>5</v>
      </c>
      <c r="E33" s="1">
        <f>VLOOKUP($B33,[14]TrtCodes!$B$11:K119,4)</f>
        <v>1</v>
      </c>
      <c r="F33" s="1">
        <f>VLOOKUP($B33,[14]TrtCodes!$B$11:L119,5)</f>
        <v>3</v>
      </c>
      <c r="G33" s="1">
        <f>VLOOKUP($B33,[14]TrtCodes!$B$11:M119,6)</f>
        <v>2</v>
      </c>
      <c r="H33" s="1">
        <f>VLOOKUP($B33,[14]TrtCodes!$B$11:N119,7)</f>
        <v>4</v>
      </c>
      <c r="I33" s="1">
        <f>[14]FormattedData!B76</f>
        <v>1</v>
      </c>
      <c r="J33" s="4">
        <f>[14]FormattedData!C76</f>
        <v>13.349</v>
      </c>
      <c r="K33" s="6">
        <f>$J$3+[14]FormattedData!D76*$J$4+$M$4*$J$5+[14]FormattedData!D76^2*$J$6+$M$5*$J$7</f>
        <v>33.722266633465303</v>
      </c>
      <c r="L33" s="6">
        <f>$J$3+[14]FormattedData!E76*$J$4+$M$4*$J$5+[14]FormattedData!E76^2*$J$6+$M$5*$J$7</f>
        <v>38.173185320105823</v>
      </c>
      <c r="M33" s="6">
        <f>$J$3+[14]FormattedData!F76*$J$4+$M$4*$J$5+[14]FormattedData!F76^2*$J$6+$M$5*$J$7</f>
        <v>44.538354064884032</v>
      </c>
      <c r="N33" s="6">
        <f>$J$3+[14]FormattedData!G76*$J$4+$M$4*$J$5+[14]FormattedData!G76^2*$J$6+$M$5*$J$7</f>
        <v>36.290589873585304</v>
      </c>
      <c r="O33" s="6">
        <f>$J$3+[14]FormattedData!H76*$J$4+$M$4*$J$5+[14]FormattedData!H76^2*$J$6+$M$5*$J$7</f>
        <v>52.799085650741119</v>
      </c>
      <c r="P33" s="6">
        <f>$J$3+[14]FormattedData!I76*$J$4+$M$4*$J$5+[14]FormattedData!I76^2*$J$6+$M$5*$J$7</f>
        <v>35.817299228334477</v>
      </c>
      <c r="Q33" s="6">
        <f>$J$3+[14]FormattedData!J76*$J$4+$M$4*$J$5+[14]FormattedData!J76^2*$J$6+$M$5*$J$7</f>
        <v>52.102856387112368</v>
      </c>
      <c r="R33" s="6">
        <f>$J$3+[14]FormattedData!K76*$J$4+$M$4*$J$5+[14]FormattedData!K76^2*$J$6+$M$5*$J$7</f>
        <v>35.057836231960735</v>
      </c>
      <c r="S33" s="6">
        <f>$J$3+[14]FormattedData!L76*$J$4+$M$4*$J$5+[14]FormattedData!L76^2*$J$6+$M$5*$J$7</f>
        <v>52.538316690914819</v>
      </c>
      <c r="T33" s="6">
        <f>$J$3+[14]FormattedData!M76*$J$4+$M$4*$J$5+[14]FormattedData!M76^2*$J$6+$M$5*$J$7</f>
        <v>33.243269735593771</v>
      </c>
      <c r="U33" s="6">
        <f>$J$3+[14]FormattedData!N76*$J$4+$M$4*$J$5+[14]FormattedData!N76^2*$J$6+$M$5*$J$7</f>
        <v>51.5789091607977</v>
      </c>
      <c r="V33" s="6">
        <f>$J$3+[14]FormattedData!O76*$J$4+$M$4*$J$5+[14]FormattedData!O76^2*$J$6+$M$5*$J$7</f>
        <v>33.62655179096685</v>
      </c>
      <c r="W33" s="5">
        <f t="shared" si="0"/>
        <v>41.624043397371857</v>
      </c>
      <c r="X33" s="4">
        <f t="shared" si="1"/>
        <v>2.423408301642402</v>
      </c>
      <c r="Y33" s="3">
        <f t="shared" si="2"/>
        <v>33.243269735593771</v>
      </c>
      <c r="Z33" s="2">
        <f t="shared" si="3"/>
        <v>34.723943832336879</v>
      </c>
      <c r="AA33" s="3">
        <f t="shared" si="4"/>
        <v>37.231887596845567</v>
      </c>
      <c r="AB33" s="2">
        <f t="shared" si="5"/>
        <v>51.709895967376369</v>
      </c>
      <c r="AC33" s="2">
        <f t="shared" si="6"/>
        <v>52.799085650741119</v>
      </c>
      <c r="AD33" s="2">
        <f t="shared" si="7"/>
        <v>0.47800220683567979</v>
      </c>
      <c r="AE33" s="2">
        <f t="shared" si="8"/>
        <v>-1.8567499156562421</v>
      </c>
    </row>
    <row r="34" spans="2:31" x14ac:dyDescent="0.2">
      <c r="B34" s="1">
        <f>[14]FormattedData!A92</f>
        <v>401</v>
      </c>
      <c r="C34" s="1" t="str">
        <f>VLOOKUP($B34,[14]TrtCodes!$B$11:I129,2)</f>
        <v>NSH</v>
      </c>
      <c r="D34" s="1">
        <f>VLOOKUP($B34,[14]TrtCodes!$B$11:J129,3)</f>
        <v>7</v>
      </c>
      <c r="E34" s="1">
        <f>VLOOKUP($B34,[14]TrtCodes!$B$11:K129,4)</f>
        <v>2</v>
      </c>
      <c r="F34" s="1">
        <f>VLOOKUP($B34,[14]TrtCodes!$B$11:L129,5)</f>
        <v>1</v>
      </c>
      <c r="G34" s="1">
        <f>VLOOKUP($B34,[14]TrtCodes!$B$11:M129,6)</f>
        <v>2</v>
      </c>
      <c r="H34" s="1">
        <f>VLOOKUP($B34,[14]TrtCodes!$B$11:N129,7)</f>
        <v>3</v>
      </c>
      <c r="I34" s="1">
        <f>[14]FormattedData!B92</f>
        <v>1</v>
      </c>
      <c r="J34" s="4">
        <f>[14]FormattedData!C92</f>
        <v>13.472</v>
      </c>
      <c r="K34" s="6">
        <f>$J$3+[14]FormattedData!D92*$J$4+$M$4*$J$5+[14]FormattedData!D92^2*$J$6+$M$5*$J$7</f>
        <v>60.611286907988543</v>
      </c>
      <c r="L34" s="6">
        <f>$J$3+[14]FormattedData!E92*$J$4+$M$4*$J$5+[14]FormattedData!E92^2*$J$6+$M$5*$J$7</f>
        <v>46.97429224420371</v>
      </c>
      <c r="M34" s="6">
        <f>$J$3+[14]FormattedData!F92*$J$4+$M$4*$J$5+[14]FormattedData!F92^2*$J$6+$M$5*$J$7</f>
        <v>60.195904159703382</v>
      </c>
      <c r="N34" s="6">
        <f>$J$3+[14]FormattedData!G92*$J$4+$M$4*$J$5+[14]FormattedData!G92^2*$J$6+$M$5*$J$7</f>
        <v>45.172852390510975</v>
      </c>
      <c r="O34" s="6">
        <f>$J$3+[14]FormattedData!H92*$J$4+$M$4*$J$5+[14]FormattedData!H92^2*$J$6+$M$5*$J$7</f>
        <v>57.258636945155445</v>
      </c>
      <c r="P34" s="6">
        <f>$J$3+[14]FormattedData!I92*$J$4+$M$4*$J$5+[14]FormattedData!I92^2*$J$6+$M$5*$J$7</f>
        <v>42.25538120104391</v>
      </c>
      <c r="Q34" s="6">
        <f>$J$3+[14]FormattedData!J92*$J$4+$M$4*$J$5+[14]FormattedData!J92^2*$J$6+$M$5*$J$7</f>
        <v>58.103139716553393</v>
      </c>
      <c r="R34" s="6">
        <f>$J$3+[14]FormattedData!K92*$J$4+$M$4*$J$5+[14]FormattedData!K92^2*$J$6+$M$5*$J$7</f>
        <v>51.053440267117502</v>
      </c>
      <c r="S34" s="6">
        <f>$J$3+[14]FormattedData!L92*$J$4+$M$4*$J$5+[14]FormattedData!L92^2*$J$6+$M$5*$J$7</f>
        <v>59.61259303351104</v>
      </c>
      <c r="T34" s="6">
        <f>$J$3+[14]FormattedData!M92*$J$4+$M$4*$J$5+[14]FormattedData!M92^2*$J$6+$M$5*$J$7</f>
        <v>40.502653575670195</v>
      </c>
      <c r="U34" s="6">
        <f>$J$3+[14]FormattedData!N92*$J$4+$M$4*$J$5+[14]FormattedData!N92^2*$J$6+$M$5*$J$7</f>
        <v>57.512431596223102</v>
      </c>
      <c r="V34" s="6">
        <f>$J$3+[14]FormattedData!O92*$J$4+$M$4*$J$5+[14]FormattedData!O92^2*$J$6+$M$5*$J$7</f>
        <v>38.547675519589227</v>
      </c>
      <c r="W34" s="5">
        <f t="shared" si="0"/>
        <v>51.483357296439202</v>
      </c>
      <c r="X34" s="4">
        <f t="shared" si="1"/>
        <v>2.4187390047471751</v>
      </c>
      <c r="Y34" s="3">
        <f t="shared" si="2"/>
        <v>38.547675519589227</v>
      </c>
      <c r="Z34" s="2">
        <f t="shared" si="3"/>
        <v>44.443484593144206</v>
      </c>
      <c r="AA34" s="3">
        <f t="shared" si="4"/>
        <v>54.156038606136477</v>
      </c>
      <c r="AB34" s="2">
        <f t="shared" si="5"/>
        <v>58.480503045792801</v>
      </c>
      <c r="AC34" s="2">
        <f t="shared" si="6"/>
        <v>60.611286907988543</v>
      </c>
      <c r="AD34" s="2">
        <f t="shared" si="7"/>
        <v>-0.36284340527083331</v>
      </c>
      <c r="AE34" s="2">
        <f t="shared" si="8"/>
        <v>-1.6925093775785531</v>
      </c>
    </row>
    <row r="35" spans="2:31" x14ac:dyDescent="0.2">
      <c r="B35" s="1">
        <f>[14]FormattedData!A90</f>
        <v>402</v>
      </c>
      <c r="C35" s="1" t="str">
        <f>VLOOKUP($B35,[14]TrtCodes!$B$11:I130,2)</f>
        <v>NTH</v>
      </c>
      <c r="D35" s="1">
        <f>VLOOKUP($B35,[14]TrtCodes!$B$11:J130,3)</f>
        <v>9</v>
      </c>
      <c r="E35" s="1">
        <f>VLOOKUP($B35,[14]TrtCodes!$B$11:K130,4)</f>
        <v>2</v>
      </c>
      <c r="F35" s="1">
        <f>VLOOKUP($B35,[14]TrtCodes!$B$11:L130,5)</f>
        <v>2</v>
      </c>
      <c r="G35" s="1">
        <f>VLOOKUP($B35,[14]TrtCodes!$B$11:M130,6)</f>
        <v>2</v>
      </c>
      <c r="H35" s="1">
        <f>VLOOKUP($B35,[14]TrtCodes!$B$11:N130,7)</f>
        <v>3</v>
      </c>
      <c r="I35" s="1">
        <f>[14]FormattedData!B90</f>
        <v>1</v>
      </c>
      <c r="J35" s="4">
        <f>[14]FormattedData!C90</f>
        <v>13.457000000000001</v>
      </c>
      <c r="K35" s="6">
        <f>$J$3+[14]FormattedData!D90*$J$4+$M$4*$J$5+[14]FormattedData!D90^2*$J$6+$M$5*$J$7</f>
        <v>51.228765639162624</v>
      </c>
      <c r="L35" s="6">
        <f>$J$3+[14]FormattedData!E90*$J$4+$M$4*$J$5+[14]FormattedData!E90^2*$J$6+$M$5*$J$7</f>
        <v>35.817299228334477</v>
      </c>
      <c r="M35" s="6">
        <f>$J$3+[14]FormattedData!F90*$J$4+$M$4*$J$5+[14]FormattedData!F90^2*$J$6+$M$5*$J$7</f>
        <v>46.34571151388711</v>
      </c>
      <c r="N35" s="6">
        <f>$J$3+[14]FormattedData!G90*$J$4+$M$4*$J$5+[14]FormattedData!G90^2*$J$6+$M$5*$J$7</f>
        <v>35.627687090468626</v>
      </c>
      <c r="O35" s="6">
        <f>$J$3+[14]FormattedData!H90*$J$4+$M$4*$J$5+[14]FormattedData!H90^2*$J$6+$M$5*$J$7</f>
        <v>45.082336578178065</v>
      </c>
      <c r="P35" s="6">
        <f>$J$3+[14]FormattedData!I90*$J$4+$M$4*$J$5+[14]FormattedData!I90^2*$J$6+$M$5*$J$7</f>
        <v>36.385121197021675</v>
      </c>
      <c r="Q35" s="6">
        <f>$J$3+[14]FormattedData!J90*$J$4+$M$4*$J$5+[14]FormattedData!J90^2*$J$6+$M$5*$J$7</f>
        <v>37.891873850844988</v>
      </c>
      <c r="R35" s="6">
        <f>$J$3+[14]FormattedData!K90*$J$4+$M$4*$J$5+[14]FormattedData!K90^2*$J$6+$M$5*$J$7</f>
        <v>34.009157549733047</v>
      </c>
      <c r="S35" s="6">
        <f>$J$3+[14]FormattedData!L90*$J$4+$M$4*$J$5+[14]FormattedData!L90^2*$J$6+$M$5*$J$7</f>
        <v>43.992849884224469</v>
      </c>
      <c r="T35" s="6">
        <f>$J$3+[14]FormattedData!M90*$J$4+$M$4*$J$5+[14]FormattedData!M90^2*$J$6+$M$5*$J$7</f>
        <v>42.805703995027606</v>
      </c>
      <c r="U35" s="6">
        <f>$J$3+[14]FormattedData!N90*$J$4+$M$4*$J$5+[14]FormattedData!N90^2*$J$6+$M$5*$J$7</f>
        <v>41.057794982978052</v>
      </c>
      <c r="V35" s="6">
        <f>$J$3+[14]FormattedData!O90*$J$4+$M$4*$J$5+[14]FormattedData!O90^2*$J$6+$M$5*$J$7</f>
        <v>32.95536437441568</v>
      </c>
      <c r="W35" s="5">
        <f t="shared" si="0"/>
        <v>40.266638823689703</v>
      </c>
      <c r="X35" s="4">
        <f t="shared" si="1"/>
        <v>1.642025524339763</v>
      </c>
      <c r="Y35" s="3">
        <f t="shared" si="2"/>
        <v>32.95536437441568</v>
      </c>
      <c r="Z35" s="2">
        <f t="shared" si="3"/>
        <v>35.769896193868014</v>
      </c>
      <c r="AA35" s="3">
        <f t="shared" si="4"/>
        <v>39.47483441691152</v>
      </c>
      <c r="AB35" s="2">
        <f t="shared" si="5"/>
        <v>44.26522155771287</v>
      </c>
      <c r="AC35" s="2">
        <f t="shared" si="6"/>
        <v>51.228765639162624</v>
      </c>
      <c r="AD35" s="2">
        <f t="shared" si="7"/>
        <v>0.48997906284036541</v>
      </c>
      <c r="AE35" s="2">
        <f t="shared" si="8"/>
        <v>-0.70929217119752197</v>
      </c>
    </row>
    <row r="36" spans="2:31" x14ac:dyDescent="0.2">
      <c r="B36" s="1">
        <f>[14]FormattedData!A88</f>
        <v>403</v>
      </c>
      <c r="C36" s="1" t="str">
        <f>VLOOKUP($B36,[14]TrtCodes!$B$11:I131,2)</f>
        <v>FDL</v>
      </c>
      <c r="D36" s="1">
        <f>VLOOKUP($B36,[14]TrtCodes!$B$11:J131,3)</f>
        <v>6</v>
      </c>
      <c r="E36" s="1">
        <f>VLOOKUP($B36,[14]TrtCodes!$B$11:K131,4)</f>
        <v>1</v>
      </c>
      <c r="F36" s="1">
        <f>VLOOKUP($B36,[14]TrtCodes!$B$11:L131,5)</f>
        <v>3</v>
      </c>
      <c r="G36" s="1">
        <f>VLOOKUP($B36,[14]TrtCodes!$B$11:M131,6)</f>
        <v>1</v>
      </c>
      <c r="H36" s="1">
        <f>VLOOKUP($B36,[14]TrtCodes!$B$11:N131,7)</f>
        <v>3</v>
      </c>
      <c r="I36" s="1">
        <f>[14]FormattedData!B88</f>
        <v>1</v>
      </c>
      <c r="J36" s="4">
        <f>[14]FormattedData!C88</f>
        <v>13.443</v>
      </c>
      <c r="K36" s="6">
        <f>$J$3+[14]FormattedData!D88*$J$4+$M$4*$J$5+[14]FormattedData!D88^2*$J$6+$M$5*$J$7</f>
        <v>48.136161547717748</v>
      </c>
      <c r="L36" s="6">
        <f>$J$3+[14]FormattedData!E88*$J$4+$M$4*$J$5+[14]FormattedData!E88^2*$J$6+$M$5*$J$7</f>
        <v>33.913569512848397</v>
      </c>
      <c r="M36" s="6">
        <f>$J$3+[14]FormattedData!F88*$J$4+$M$4*$J$5+[14]FormattedData!F88^2*$J$6+$M$5*$J$7</f>
        <v>42.714089200708486</v>
      </c>
      <c r="N36" s="6">
        <f>$J$3+[14]FormattedData!G88*$J$4+$M$4*$J$5+[14]FormattedData!G88^2*$J$6+$M$5*$J$7</f>
        <v>31.606776066237451</v>
      </c>
      <c r="O36" s="6">
        <f>$J$3+[14]FormattedData!H88*$J$4+$M$4*$J$5+[14]FormattedData!H88^2*$J$6+$M$5*$J$7</f>
        <v>41.795616487931049</v>
      </c>
      <c r="P36" s="6">
        <f>$J$3+[14]FormattedData!I88*$J$4+$M$4*$J$5+[14]FormattedData!I88^2*$J$6+$M$5*$J$7</f>
        <v>31.606776066237451</v>
      </c>
      <c r="Q36" s="6">
        <f>$J$3+[14]FormattedData!J88*$J$4+$M$4*$J$5+[14]FormattedData!J88^2*$J$6+$M$5*$J$7</f>
        <v>43.263143938554258</v>
      </c>
      <c r="R36" s="6">
        <f>$J$3+[14]FormattedData!K88*$J$4+$M$4*$J$5+[14]FormattedData!K88^2*$J$6+$M$5*$J$7</f>
        <v>32.95536437441568</v>
      </c>
      <c r="S36" s="6">
        <f>$J$3+[14]FormattedData!L88*$J$4+$M$4*$J$5+[14]FormattedData!L88^2*$J$6+$M$5*$J$7</f>
        <v>54.269590771641859</v>
      </c>
      <c r="T36" s="6">
        <f>$J$3+[14]FormattedData!M88*$J$4+$M$4*$J$5+[14]FormattedData!M88^2*$J$6+$M$5*$J$7</f>
        <v>34.200206817888549</v>
      </c>
      <c r="U36" s="6">
        <f>$J$3+[14]FormattedData!N88*$J$4+$M$4*$J$5+[14]FormattedData!N88^2*$J$6+$M$5*$J$7</f>
        <v>47.063920417240055</v>
      </c>
      <c r="V36" s="6">
        <f>$J$3+[14]FormattedData!O88*$J$4+$M$4*$J$5+[14]FormattedData!O88^2*$J$6+$M$5*$J$7</f>
        <v>33.53079467993048</v>
      </c>
      <c r="W36" s="5">
        <f t="shared" si="0"/>
        <v>39.588000823445959</v>
      </c>
      <c r="X36" s="4">
        <f t="shared" si="1"/>
        <v>2.20531586766328</v>
      </c>
      <c r="Y36" s="3">
        <f t="shared" si="2"/>
        <v>31.606776066237451</v>
      </c>
      <c r="Z36" s="2">
        <f t="shared" si="3"/>
        <v>33.38693710355178</v>
      </c>
      <c r="AA36" s="3">
        <f t="shared" si="4"/>
        <v>37.997911652909799</v>
      </c>
      <c r="AB36" s="2">
        <f t="shared" si="5"/>
        <v>44.213338058225709</v>
      </c>
      <c r="AC36" s="2">
        <f t="shared" si="6"/>
        <v>54.269590771641859</v>
      </c>
      <c r="AD36" s="2">
        <f t="shared" si="7"/>
        <v>0.59410591373647581</v>
      </c>
      <c r="AE36" s="2">
        <f t="shared" si="8"/>
        <v>-0.86413867891694496</v>
      </c>
    </row>
    <row r="37" spans="2:31" x14ac:dyDescent="0.2">
      <c r="B37" s="1">
        <f>[14]FormattedData!A86</f>
        <v>404</v>
      </c>
      <c r="C37" s="1" t="str">
        <f>VLOOKUP($B37,[14]TrtCodes!$B$11:I129,2)</f>
        <v>FTH</v>
      </c>
      <c r="D37" s="1">
        <f>VLOOKUP($B37,[14]TrtCodes!$B$11:J129,3)</f>
        <v>3</v>
      </c>
      <c r="E37" s="1">
        <f>VLOOKUP($B37,[14]TrtCodes!$B$11:K129,4)</f>
        <v>1</v>
      </c>
      <c r="F37" s="1">
        <f>VLOOKUP($B37,[14]TrtCodes!$B$11:L129,5)</f>
        <v>2</v>
      </c>
      <c r="G37" s="1">
        <f>VLOOKUP($B37,[14]TrtCodes!$B$11:M129,6)</f>
        <v>2</v>
      </c>
      <c r="H37" s="1">
        <f>VLOOKUP($B37,[14]TrtCodes!$B$11:N129,7)</f>
        <v>3</v>
      </c>
      <c r="I37" s="1">
        <f>[14]FormattedData!B86</f>
        <v>1</v>
      </c>
      <c r="J37" s="4">
        <f>[14]FormattedData!C86</f>
        <v>13.428000000000001</v>
      </c>
      <c r="K37" s="6">
        <f>$J$3+[14]FormattedData!D86*$J$4+$M$4*$J$5+[14]FormattedData!D86^2*$J$6+$M$5*$J$7</f>
        <v>48.492222664663174</v>
      </c>
      <c r="L37" s="6">
        <f>$J$3+[14]FormattedData!E86*$J$4+$M$4*$J$5+[14]FormattedData!E86^2*$J$6+$M$5*$J$7</f>
        <v>34.772340177444718</v>
      </c>
      <c r="M37" s="6">
        <f>$J$3+[14]FormattedData!F86*$J$4+$M$4*$J$5+[14]FormattedData!F86^2*$J$6+$M$5*$J$7</f>
        <v>42.530732806456442</v>
      </c>
      <c r="N37" s="6">
        <f>$J$3+[14]FormattedData!G86*$J$4+$M$4*$J$5+[14]FormattedData!G86^2*$J$6+$M$5*$J$7</f>
        <v>38.173185320105823</v>
      </c>
      <c r="O37" s="6">
        <f>$J$3+[14]FormattedData!H86*$J$4+$M$4*$J$5+[14]FormattedData!H86^2*$J$6+$M$5*$J$7</f>
        <v>36.385121197021675</v>
      </c>
      <c r="P37" s="6">
        <f>$J$3+[14]FormattedData!I86*$J$4+$M$4*$J$5+[14]FormattedData!I86^2*$J$6+$M$5*$J$7</f>
        <v>39.760097994468907</v>
      </c>
      <c r="Q37" s="6">
        <f>$J$3+[14]FormattedData!J86*$J$4+$M$4*$J$5+[14]FormattedData!J86^2*$J$6+$M$5*$J$7</f>
        <v>40.317268291597465</v>
      </c>
      <c r="R37" s="6">
        <f>$J$3+[14]FormattedData!K86*$J$4+$M$4*$J$5+[14]FormattedData!K86^2*$J$6+$M$5*$J$7</f>
        <v>36.290589873585304</v>
      </c>
      <c r="S37" s="6">
        <f>$J$3+[14]FormattedData!L86*$J$4+$M$4*$J$5+[14]FormattedData!L86^2*$J$6+$M$5*$J$7</f>
        <v>40.595282814899669</v>
      </c>
      <c r="T37" s="6">
        <f>$J$3+[14]FormattedData!M86*$J$4+$M$4*$J$5+[14]FormattedData!M86^2*$J$6+$M$5*$J$7</f>
        <v>36.857143786134571</v>
      </c>
      <c r="U37" s="6">
        <f>$J$3+[14]FormattedData!N86*$J$4+$M$4*$J$5+[14]FormattedData!N86^2*$J$6+$M$5*$J$7</f>
        <v>47.779424134165417</v>
      </c>
      <c r="V37" s="6">
        <f>$J$3+[14]FormattedData!O86*$J$4+$M$4*$J$5+[14]FormattedData!O86^2*$J$6+$M$5*$J$7</f>
        <v>35.152917046390215</v>
      </c>
      <c r="W37" s="5">
        <f t="shared" si="0"/>
        <v>39.75886050891112</v>
      </c>
      <c r="X37" s="4">
        <f t="shared" si="1"/>
        <v>1.3192088957005805</v>
      </c>
      <c r="Y37" s="3">
        <f t="shared" si="2"/>
        <v>34.772340177444718</v>
      </c>
      <c r="Z37" s="2">
        <f t="shared" si="3"/>
        <v>36.361488366162583</v>
      </c>
      <c r="AA37" s="3">
        <f t="shared" si="4"/>
        <v>38.966641657287369</v>
      </c>
      <c r="AB37" s="2">
        <f t="shared" si="5"/>
        <v>41.07914531278886</v>
      </c>
      <c r="AC37" s="2">
        <f t="shared" si="6"/>
        <v>48.492222664663174</v>
      </c>
      <c r="AD37" s="2">
        <f t="shared" si="7"/>
        <v>0.99891067440071324</v>
      </c>
      <c r="AE37" s="2">
        <f t="shared" si="8"/>
        <v>9.8202517624733865E-2</v>
      </c>
    </row>
    <row r="38" spans="2:31" x14ac:dyDescent="0.2">
      <c r="B38" s="1">
        <f>[14]FormattedData!A84</f>
        <v>405</v>
      </c>
      <c r="C38" s="1" t="str">
        <f>VLOOKUP($B38,[14]TrtCodes!$B$11:I127,2)</f>
        <v>FDL</v>
      </c>
      <c r="D38" s="1">
        <f>VLOOKUP($B38,[14]TrtCodes!$B$11:J127,3)</f>
        <v>6</v>
      </c>
      <c r="E38" s="1">
        <f>VLOOKUP($B38,[14]TrtCodes!$B$11:K127,4)</f>
        <v>1</v>
      </c>
      <c r="F38" s="1">
        <f>VLOOKUP($B38,[14]TrtCodes!$B$11:L127,5)</f>
        <v>3</v>
      </c>
      <c r="G38" s="1">
        <f>VLOOKUP($B38,[14]TrtCodes!$B$11:M127,6)</f>
        <v>1</v>
      </c>
      <c r="H38" s="1">
        <f>VLOOKUP($B38,[14]TrtCodes!$B$11:N127,7)</f>
        <v>4</v>
      </c>
      <c r="I38" s="1">
        <f>[14]FormattedData!B84</f>
        <v>1</v>
      </c>
      <c r="J38" s="4">
        <f>[14]FormattedData!C84</f>
        <v>13.414</v>
      </c>
      <c r="K38" s="6">
        <f>$J$3+[14]FormattedData!D84*$J$4+$M$4*$J$5+[14]FormattedData!D84^2*$J$6+$M$5*$J$7</f>
        <v>42.438991206523532</v>
      </c>
      <c r="L38" s="6">
        <f>$J$3+[14]FormattedData!E84*$J$4+$M$4*$J$5+[14]FormattedData!E84^2*$J$6+$M$5*$J$7</f>
        <v>34.772340177444718</v>
      </c>
      <c r="M38" s="6">
        <f>$J$3+[14]FormattedData!F84*$J$4+$M$4*$J$5+[14]FormattedData!F84^2*$J$6+$M$5*$J$7</f>
        <v>54.010977507250047</v>
      </c>
      <c r="N38" s="6">
        <f>$J$3+[14]FormattedData!G84*$J$4+$M$4*$J$5+[14]FormattedData!G84^2*$J$6+$M$5*$J$7</f>
        <v>36.668461556103203</v>
      </c>
      <c r="O38" s="6">
        <f>$J$3+[14]FormattedData!H84*$J$4+$M$4*$J$5+[14]FormattedData!H84^2*$J$6+$M$5*$J$7</f>
        <v>40.965377086438238</v>
      </c>
      <c r="P38" s="6">
        <f>$J$3+[14]FormattedData!I84*$J$4+$M$4*$J$5+[14]FormattedData!I84^2*$J$6+$M$5*$J$7</f>
        <v>35.247955592281755</v>
      </c>
      <c r="Q38" s="6">
        <f>$J$3+[14]FormattedData!J84*$J$4+$M$4*$J$5+[14]FormattedData!J84^2*$J$6+$M$5*$J$7</f>
        <v>47.600801816161663</v>
      </c>
      <c r="R38" s="6">
        <f>$J$3+[14]FormattedData!K84*$J$4+$M$4*$J$5+[14]FormattedData!K84^2*$J$6+$M$5*$J$7</f>
        <v>35.247955592281755</v>
      </c>
      <c r="S38" s="6">
        <f>$J$3+[14]FormattedData!L84*$J$4+$M$4*$J$5+[14]FormattedData!L84^2*$J$6+$M$5*$J$7</f>
        <v>45.805279557779301</v>
      </c>
      <c r="T38" s="6">
        <f>$J$3+[14]FormattedData!M84*$J$4+$M$4*$J$5+[14]FormattedData!M84^2*$J$6+$M$5*$J$7</f>
        <v>45.172852390510975</v>
      </c>
      <c r="U38" s="6">
        <f>$J$3+[14]FormattedData!N84*$J$4+$M$4*$J$5+[14]FormattedData!N84^2*$J$6+$M$5*$J$7</f>
        <v>48.403270788233712</v>
      </c>
      <c r="V38" s="6">
        <f>$J$3+[14]FormattedData!O84*$J$4+$M$4*$J$5+[14]FormattedData!O84^2*$J$6+$M$5*$J$7</f>
        <v>35.057836231960735</v>
      </c>
      <c r="W38" s="5">
        <f t="shared" si="0"/>
        <v>41.782674958580799</v>
      </c>
      <c r="X38" s="4">
        <f t="shared" si="1"/>
        <v>1.8706590008486528</v>
      </c>
      <c r="Y38" s="3">
        <f t="shared" si="2"/>
        <v>34.772340177444718</v>
      </c>
      <c r="Z38" s="2">
        <f t="shared" si="3"/>
        <v>35.247955592281755</v>
      </c>
      <c r="AA38" s="3">
        <f t="shared" si="4"/>
        <v>41.702184146480889</v>
      </c>
      <c r="AB38" s="2">
        <f t="shared" si="5"/>
        <v>46.254160122374891</v>
      </c>
      <c r="AC38" s="2">
        <f t="shared" si="6"/>
        <v>54.010977507250047</v>
      </c>
      <c r="AD38" s="2">
        <f t="shared" si="7"/>
        <v>0.43254649688316188</v>
      </c>
      <c r="AE38" s="2">
        <f t="shared" si="8"/>
        <v>-0.9402950541791979</v>
      </c>
    </row>
    <row r="39" spans="2:31" x14ac:dyDescent="0.2">
      <c r="B39" s="1">
        <f>[14]FormattedData!A82</f>
        <v>406</v>
      </c>
      <c r="C39" s="1" t="str">
        <f>VLOOKUP($B39,[14]TrtCodes!$B$11:I125,2)</f>
        <v>FTH</v>
      </c>
      <c r="D39" s="1">
        <f>VLOOKUP($B39,[14]TrtCodes!$B$11:J125,3)</f>
        <v>3</v>
      </c>
      <c r="E39" s="1">
        <f>VLOOKUP($B39,[14]TrtCodes!$B$11:K125,4)</f>
        <v>1</v>
      </c>
      <c r="F39" s="1">
        <f>VLOOKUP($B39,[14]TrtCodes!$B$11:L125,5)</f>
        <v>2</v>
      </c>
      <c r="G39" s="1">
        <f>VLOOKUP($B39,[14]TrtCodes!$B$11:M125,6)</f>
        <v>2</v>
      </c>
      <c r="H39" s="1">
        <f>VLOOKUP($B39,[14]TrtCodes!$B$11:N125,7)</f>
        <v>4</v>
      </c>
      <c r="I39" s="1">
        <f>[14]FormattedData!B82</f>
        <v>1</v>
      </c>
      <c r="J39" s="4">
        <f>[14]FormattedData!C82</f>
        <v>13.401</v>
      </c>
      <c r="K39" s="6">
        <f>$J$3+[14]FormattedData!D82*$J$4+$M$4*$J$5+[14]FormattedData!D82^2*$J$6+$M$5*$J$7</f>
        <v>55.642436697299317</v>
      </c>
      <c r="L39" s="6">
        <f>$J$3+[14]FormattedData!E82*$J$4+$M$4*$J$5+[14]FormattedData!E82^2*$J$6+$M$5*$J$7</f>
        <v>39.014837226840037</v>
      </c>
      <c r="M39" s="6">
        <f>$J$3+[14]FormattedData!F82*$J$4+$M$4*$J$5+[14]FormattedData!F82^2*$J$6+$M$5*$J$7</f>
        <v>51.316364922378291</v>
      </c>
      <c r="N39" s="6">
        <f>$J$3+[14]FormattedData!G82*$J$4+$M$4*$J$5+[14]FormattedData!G82^2*$J$6+$M$5*$J$7</f>
        <v>35.152917046390215</v>
      </c>
      <c r="O39" s="6">
        <f>$J$3+[14]FormattedData!H82*$J$4+$M$4*$J$5+[14]FormattedData!H82^2*$J$6+$M$5*$J$7</f>
        <v>45.534492954463317</v>
      </c>
      <c r="P39" s="6">
        <f>$J$3+[14]FormattedData!I82*$J$4+$M$4*$J$5+[14]FormattedData!I82^2*$J$6+$M$5*$J$7</f>
        <v>34.104703318079757</v>
      </c>
      <c r="Q39" s="6">
        <f>$J$3+[14]FormattedData!J82*$J$4+$M$4*$J$5+[14]FormattedData!J82^2*$J$6+$M$5*$J$7</f>
        <v>49.556348235858081</v>
      </c>
      <c r="R39" s="6">
        <f>$J$3+[14]FormattedData!K82*$J$4+$M$4*$J$5+[14]FormattedData!K82^2*$J$6+$M$5*$J$7</f>
        <v>33.913569512848397</v>
      </c>
      <c r="S39" s="6">
        <f>$J$3+[14]FormattedData!L82*$J$4+$M$4*$J$5+[14]FormattedData!L82^2*$J$6+$M$5*$J$7</f>
        <v>49.556348235858081</v>
      </c>
      <c r="T39" s="6">
        <f>$J$3+[14]FormattedData!M82*$J$4+$M$4*$J$5+[14]FormattedData!M82^2*$J$6+$M$5*$J$7</f>
        <v>34.772340177444718</v>
      </c>
      <c r="U39" s="6">
        <f>$J$3+[14]FormattedData!N82*$J$4+$M$4*$J$5+[14]FormattedData!N82^2*$J$6+$M$5*$J$7</f>
        <v>47.600801816161663</v>
      </c>
      <c r="V39" s="6">
        <f>$J$3+[14]FormattedData!O82*$J$4+$M$4*$J$5+[14]FormattedData!O82^2*$J$6+$M$5*$J$7</f>
        <v>35.912041894460508</v>
      </c>
      <c r="W39" s="5">
        <f t="shared" si="0"/>
        <v>42.67310016984019</v>
      </c>
      <c r="X39" s="4">
        <f t="shared" si="1"/>
        <v>2.3001226860815911</v>
      </c>
      <c r="Y39" s="3">
        <f t="shared" si="2"/>
        <v>33.913569512848397</v>
      </c>
      <c r="Z39" s="2">
        <f t="shared" si="3"/>
        <v>35.057772829153841</v>
      </c>
      <c r="AA39" s="3">
        <f t="shared" si="4"/>
        <v>42.274665090651681</v>
      </c>
      <c r="AB39" s="2">
        <f t="shared" si="5"/>
        <v>49.556348235858081</v>
      </c>
      <c r="AC39" s="2">
        <f t="shared" si="6"/>
        <v>55.642436697299317</v>
      </c>
      <c r="AD39" s="2">
        <f t="shared" si="7"/>
        <v>0.22532898560636355</v>
      </c>
      <c r="AE39" s="2">
        <f t="shared" si="8"/>
        <v>-1.7008909006832504</v>
      </c>
    </row>
    <row r="40" spans="2:31" x14ac:dyDescent="0.2">
      <c r="B40" s="1">
        <f>[14]FormattedData!A80</f>
        <v>407</v>
      </c>
      <c r="C40" s="1" t="str">
        <f>VLOOKUP($B40,[14]TrtCodes!$B$11:I123,2)</f>
        <v>NSH</v>
      </c>
      <c r="D40" s="1">
        <f>VLOOKUP($B40,[14]TrtCodes!$B$11:J123,3)</f>
        <v>7</v>
      </c>
      <c r="E40" s="1">
        <f>VLOOKUP($B40,[14]TrtCodes!$B$11:K123,4)</f>
        <v>2</v>
      </c>
      <c r="F40" s="1">
        <f>VLOOKUP($B40,[14]TrtCodes!$B$11:L123,5)</f>
        <v>1</v>
      </c>
      <c r="G40" s="1">
        <f>VLOOKUP($B40,[14]TrtCodes!$B$11:M123,6)</f>
        <v>2</v>
      </c>
      <c r="H40" s="1">
        <f>VLOOKUP($B40,[14]TrtCodes!$B$11:N123,7)</f>
        <v>4</v>
      </c>
      <c r="I40" s="1">
        <f>[14]FormattedData!B80</f>
        <v>1</v>
      </c>
      <c r="J40" s="4">
        <f>[14]FormattedData!C80</f>
        <v>13.385999999999999</v>
      </c>
      <c r="K40" s="6">
        <f>$J$3+[14]FormattedData!D80*$J$4+$M$4*$J$5+[14]FormattedData!D80^2*$J$6+$M$5*$J$7</f>
        <v>60.112700804432563</v>
      </c>
      <c r="L40" s="6">
        <f>$J$3+[14]FormattedData!E80*$J$4+$M$4*$J$5+[14]FormattedData!E80^2*$J$6+$M$5*$J$7</f>
        <v>40.224512246754195</v>
      </c>
      <c r="M40" s="6">
        <f>$J$3+[14]FormattedData!F80*$J$4+$M$4*$J$5+[14]FormattedData!F80^2*$J$6+$M$5*$J$7</f>
        <v>58.859578250818423</v>
      </c>
      <c r="N40" s="6">
        <f>$J$3+[14]FormattedData!G80*$J$4+$M$4*$J$5+[14]FormattedData!G80^2*$J$6+$M$5*$J$7</f>
        <v>39.760097994468907</v>
      </c>
      <c r="O40" s="6">
        <f>$J$3+[14]FormattedData!H80*$J$4+$M$4*$J$5+[14]FormattedData!H80^2*$J$6+$M$5*$J$7</f>
        <v>56.834800489284056</v>
      </c>
      <c r="P40" s="6">
        <f>$J$3+[14]FormattedData!I80*$J$4+$M$4*$J$5+[14]FormattedData!I80^2*$J$6+$M$5*$J$7</f>
        <v>42.622432137851433</v>
      </c>
      <c r="Q40" s="6">
        <f>$J$3+[14]FormattedData!J80*$J$4+$M$4*$J$5+[14]FormattedData!J80^2*$J$6+$M$5*$J$7</f>
        <v>58.018879647834282</v>
      </c>
      <c r="R40" s="6">
        <f>$J$3+[14]FormattedData!K80*$J$4+$M$4*$J$5+[14]FormattedData!K80^2*$J$6+$M$5*$J$7</f>
        <v>41.519250437608157</v>
      </c>
      <c r="S40" s="6">
        <f>$J$3+[14]FormattedData!L80*$J$4+$M$4*$J$5+[14]FormattedData!L80^2*$J$6+$M$5*$J$7</f>
        <v>54.52782361919229</v>
      </c>
      <c r="T40" s="6">
        <f>$J$3+[14]FormattedData!M80*$J$4+$M$4*$J$5+[14]FormattedData!M80^2*$J$6+$M$5*$J$7</f>
        <v>42.622432137851433</v>
      </c>
      <c r="U40" s="6">
        <f>$J$3+[14]FormattedData!N80*$J$4+$M$4*$J$5+[14]FormattedData!N80^2*$J$6+$M$5*$J$7</f>
        <v>56.40990731996439</v>
      </c>
      <c r="V40" s="6">
        <f>$J$3+[14]FormattedData!O80*$J$4+$M$4*$J$5+[14]FormattedData!O80^2*$J$6+$M$5*$J$7</f>
        <v>39.480942220642568</v>
      </c>
      <c r="W40" s="5">
        <f t="shared" si="0"/>
        <v>49.249446442225228</v>
      </c>
      <c r="X40" s="4">
        <f t="shared" si="1"/>
        <v>2.5202969438752651</v>
      </c>
      <c r="Y40" s="3">
        <f t="shared" si="2"/>
        <v>39.480942220642568</v>
      </c>
      <c r="Z40" s="2">
        <f t="shared" si="3"/>
        <v>41.195565889894667</v>
      </c>
      <c r="AA40" s="3">
        <f t="shared" si="4"/>
        <v>48.575127878521862</v>
      </c>
      <c r="AB40" s="2">
        <f t="shared" si="5"/>
        <v>57.130820278921611</v>
      </c>
      <c r="AC40" s="2">
        <f t="shared" si="6"/>
        <v>60.112700804432563</v>
      </c>
      <c r="AD40" s="2">
        <f t="shared" si="7"/>
        <v>3.7511739360414187E-2</v>
      </c>
      <c r="AE40" s="2">
        <f t="shared" si="8"/>
        <v>-2.2334685855478194</v>
      </c>
    </row>
    <row r="41" spans="2:31" x14ac:dyDescent="0.2">
      <c r="B41" s="1">
        <f>[14]FormattedData!A78</f>
        <v>408</v>
      </c>
      <c r="C41" s="1" t="str">
        <f>VLOOKUP($B41,[14]TrtCodes!$B$11:I121,2)</f>
        <v>NTL</v>
      </c>
      <c r="D41" s="1">
        <f>VLOOKUP($B41,[14]TrtCodes!$B$11:J121,3)</f>
        <v>10</v>
      </c>
      <c r="E41" s="1">
        <f>VLOOKUP($B41,[14]TrtCodes!$B$11:K121,4)</f>
        <v>2</v>
      </c>
      <c r="F41" s="1">
        <f>VLOOKUP($B41,[14]TrtCodes!$B$11:L121,5)</f>
        <v>2</v>
      </c>
      <c r="G41" s="1">
        <f>VLOOKUP($B41,[14]TrtCodes!$B$11:M121,6)</f>
        <v>1</v>
      </c>
      <c r="H41" s="1">
        <f>VLOOKUP($B41,[14]TrtCodes!$B$11:N121,7)</f>
        <v>4</v>
      </c>
      <c r="I41" s="1">
        <f>[14]FormattedData!B78</f>
        <v>1</v>
      </c>
      <c r="J41" s="4">
        <f>[14]FormattedData!C78</f>
        <v>13.371</v>
      </c>
      <c r="K41" s="6">
        <f>$J$3+[14]FormattedData!D78*$J$4+$M$4*$J$5+[14]FormattedData!D78^2*$J$6+$M$5*$J$7</f>
        <v>51.841072982375728</v>
      </c>
      <c r="L41" s="6">
        <f>$J$3+[14]FormattedData!E78*$J$4+$M$4*$J$5+[14]FormattedData!E78^2*$J$6+$M$5*$J$7</f>
        <v>36.479610251920107</v>
      </c>
      <c r="M41" s="6">
        <f>$J$3+[14]FormattedData!F78*$J$4+$M$4*$J$5+[14]FormattedData!F78^2*$J$6+$M$5*$J$7</f>
        <v>48.492222664663174</v>
      </c>
      <c r="N41" s="6">
        <f>$J$3+[14]FormattedData!G78*$J$4+$M$4*$J$5+[14]FormattedData!G78^2*$J$6+$M$5*$J$7</f>
        <v>33.339153652243937</v>
      </c>
      <c r="O41" s="6">
        <f>$J$3+[14]FormattedData!H78*$J$4+$M$4*$J$5+[14]FormattedData!H78^2*$J$6+$M$5*$J$7</f>
        <v>50.438470006014747</v>
      </c>
      <c r="P41" s="6">
        <f>$J$3+[14]FormattedData!I78*$J$4+$M$4*$J$5+[14]FormattedData!I78^2*$J$6+$M$5*$J$7</f>
        <v>32.089365789833124</v>
      </c>
      <c r="Q41" s="6">
        <f>$J$3+[14]FormattedData!J78*$J$4+$M$4*$J$5+[14]FormattedData!J78^2*$J$6+$M$5*$J$7</f>
        <v>50.614387137590896</v>
      </c>
      <c r="R41" s="6">
        <f>$J$3+[14]FormattedData!K78*$J$4+$M$4*$J$5+[14]FormattedData!K78^2*$J$6+$M$5*$J$7</f>
        <v>32.282105799505871</v>
      </c>
      <c r="S41" s="6">
        <f>$J$3+[14]FormattedData!L78*$J$4+$M$4*$J$5+[14]FormattedData!L78^2*$J$6+$M$5*$J$7</f>
        <v>48.314276643266325</v>
      </c>
      <c r="T41" s="6">
        <f>$J$3+[14]FormattedData!M78*$J$4+$M$4*$J$5+[14]FormattedData!M78^2*$J$6+$M$5*$J$7</f>
        <v>34.009157549733047</v>
      </c>
      <c r="U41" s="6">
        <f>$J$3+[14]FormattedData!N78*$J$4+$M$4*$J$5+[14]FormattedData!N78^2*$J$6+$M$5*$J$7</f>
        <v>47.868671890360396</v>
      </c>
      <c r="V41" s="6">
        <f>$J$3+[14]FormattedData!O78*$J$4+$M$4*$J$5+[14]FormattedData!O78^2*$J$6+$M$5*$J$7</f>
        <v>36.857143786134571</v>
      </c>
      <c r="W41" s="5">
        <f t="shared" si="0"/>
        <v>41.885469846136829</v>
      </c>
      <c r="X41" s="4">
        <f t="shared" si="1"/>
        <v>2.3789014867650393</v>
      </c>
      <c r="Y41" s="3">
        <f t="shared" si="2"/>
        <v>32.089365789833124</v>
      </c>
      <c r="Z41" s="2">
        <f t="shared" si="3"/>
        <v>33.841656575360773</v>
      </c>
      <c r="AA41" s="3">
        <f t="shared" si="4"/>
        <v>42.36290783824748</v>
      </c>
      <c r="AB41" s="2">
        <f t="shared" si="5"/>
        <v>48.978784500001069</v>
      </c>
      <c r="AC41" s="2">
        <f t="shared" si="6"/>
        <v>51.841072982375728</v>
      </c>
      <c r="AD41" s="2">
        <f t="shared" si="7"/>
        <v>-3.4678826899094482E-2</v>
      </c>
      <c r="AE41" s="2">
        <f t="shared" si="8"/>
        <v>-2.1791494860743508</v>
      </c>
    </row>
    <row r="42" spans="2:31" x14ac:dyDescent="0.2">
      <c r="B42" s="17">
        <f>[14]FormattedData!A60</f>
        <v>901</v>
      </c>
      <c r="C42" s="17" t="str">
        <f>VLOOKUP($B42,[14]TrtCodes!$B$11:I103,2)</f>
        <v>WS</v>
      </c>
      <c r="D42" s="17">
        <f>VLOOKUP($B42,[14]TrtCodes!$B$11:J103,3)</f>
        <v>32</v>
      </c>
      <c r="E42" s="17">
        <f>VLOOKUP($B42,[14]TrtCodes!$B$11:K103,4)</f>
        <v>9</v>
      </c>
      <c r="F42" s="17">
        <f>VLOOKUP($B42,[14]TrtCodes!$B$11:L103,5)</f>
        <v>0</v>
      </c>
      <c r="G42" s="17">
        <f>VLOOKUP($B42,[14]TrtCodes!$B$11:M103,6)</f>
        <v>1</v>
      </c>
      <c r="H42" s="17">
        <f>VLOOKUP($B42,[14]TrtCodes!$B$11:N103,7)</f>
        <v>1</v>
      </c>
      <c r="I42" s="17">
        <f>[14]FormattedData!B60</f>
        <v>1</v>
      </c>
      <c r="J42" s="15">
        <f>[14]FormattedData!C60</f>
        <v>13.239000000000001</v>
      </c>
      <c r="K42" s="14">
        <f>$J$3+[14]FormattedData!D60*$J$4+$M$4*$J$5+[14]FormattedData!D60^2*$J$6+$M$5*$J$7</f>
        <v>36.857143786134571</v>
      </c>
      <c r="L42" s="14">
        <f>$J$3+[14]FormattedData!E60*$J$4+$M$4*$J$5+[14]FormattedData!E60^2*$J$6+$M$5*$J$7</f>
        <v>36.290589873585304</v>
      </c>
      <c r="M42" s="14">
        <f>$J$3+[14]FormattedData!F60*$J$4+$M$4*$J$5+[14]FormattedData!F60^2*$J$6+$M$5*$J$7</f>
        <v>36.574057038280621</v>
      </c>
      <c r="N42" s="14">
        <f>$J$3+[14]FormattedData!G60*$J$4+$M$4*$J$5+[14]FormattedData!G60^2*$J$6+$M$5*$J$7</f>
        <v>36.290589873585304</v>
      </c>
      <c r="O42" s="14">
        <f>$J$3+[14]FormattedData!H60*$J$4+$M$4*$J$5+[14]FormattedData!H60^2*$J$6+$M$5*$J$7</f>
        <v>35.912041894460508</v>
      </c>
      <c r="P42" s="14">
        <f>$J$3+[14]FormattedData!I60*$J$4+$M$4*$J$5+[14]FormattedData!I60^2*$J$6+$M$5*$J$7</f>
        <v>35.627687090468626</v>
      </c>
      <c r="Q42" s="14">
        <f>$J$3+[14]FormattedData!J60*$J$4+$M$4*$J$5+[14]FormattedData!J60^2*$J$6+$M$5*$J$7</f>
        <v>35.532817618728807</v>
      </c>
      <c r="R42" s="14">
        <f>$J$3+[14]FormattedData!K60*$J$4+$M$4*$J$5+[14]FormattedData!K60^2*$J$6+$M$5*$J$7</f>
        <v>35.342951869635378</v>
      </c>
      <c r="S42" s="14">
        <f>$J$3+[14]FormattedData!L60*$J$4+$M$4*$J$5+[14]FormattedData!L60^2*$J$6+$M$5*$J$7</f>
        <v>35.437905878451062</v>
      </c>
      <c r="T42" s="14">
        <f>$J$3+[14]FormattedData!M60*$J$4+$M$4*$J$5+[14]FormattedData!M60^2*$J$6+$M$5*$J$7</f>
        <v>35.057836231960735</v>
      </c>
      <c r="U42" s="14">
        <f>$J$3+[14]FormattedData!N60*$J$4+$M$4*$J$5+[14]FormattedData!N60^2*$J$6+$M$5*$J$7</f>
        <v>35.342951869635378</v>
      </c>
      <c r="V42" s="14">
        <f>$J$3+[14]FormattedData!O60*$J$4+$M$4*$J$5+[14]FormattedData!O60^2*$J$6+$M$5*$J$7</f>
        <v>35.532817618728807</v>
      </c>
      <c r="W42" s="16">
        <f t="shared" ref="W42:W73" si="9">AVERAGE(K42:V42)</f>
        <v>35.816615886971263</v>
      </c>
      <c r="X42" s="15">
        <f t="shared" ref="X42:X73" si="10">STDEV(K42:V42)/SQRT(COUNT(K42:V42))</f>
        <v>0.16235679591716898</v>
      </c>
      <c r="Y42" s="14">
        <f t="shared" ref="Y42:Y73" si="11">MIN(K42:V42)</f>
        <v>35.057836231960735</v>
      </c>
      <c r="Z42" s="13">
        <f t="shared" ref="Z42:Z73" si="12">QUARTILE(K42:V42,1)</f>
        <v>35.414167376247143</v>
      </c>
      <c r="AA42" s="14">
        <f t="shared" ref="AA42:AA73" si="13">MEDIAN(K42:V42)</f>
        <v>35.580252354598713</v>
      </c>
      <c r="AB42" s="13">
        <f t="shared" ref="AB42:AB73" si="14">QUARTILE(K42:V42,3)</f>
        <v>36.290589873585304</v>
      </c>
      <c r="AC42" s="13">
        <f t="shared" ref="AC42:AC73" si="15">MAX(K42:V42)</f>
        <v>36.857143786134571</v>
      </c>
      <c r="AD42" s="13">
        <f t="shared" ref="AD42:AD73" si="16">SKEW(K42:V42)</f>
        <v>0.6247220471767968</v>
      </c>
      <c r="AE42" s="13">
        <f t="shared" ref="AE42:AE73" si="17">KURT(K42:V42)</f>
        <v>-0.77432545747621084</v>
      </c>
    </row>
    <row r="43" spans="2:31" x14ac:dyDescent="0.2">
      <c r="B43" s="1">
        <f>[14]FormattedData!A58</f>
        <v>902</v>
      </c>
      <c r="C43" s="1" t="str">
        <f>VLOOKUP($B43,[14]TrtCodes!$B$11:I101,2)</f>
        <v>Late</v>
      </c>
      <c r="D43" s="1">
        <f>VLOOKUP($B43,[14]TrtCodes!$B$11:J101,3)</f>
        <v>22</v>
      </c>
      <c r="E43" s="1">
        <f>VLOOKUP($B43,[14]TrtCodes!$B$11:K101,4)</f>
        <v>4</v>
      </c>
      <c r="F43" s="1">
        <f>VLOOKUP($B43,[14]TrtCodes!$B$11:L101,5)</f>
        <v>2</v>
      </c>
      <c r="G43" s="1">
        <f>VLOOKUP($B43,[14]TrtCodes!$B$11:M101,6)</f>
        <v>2</v>
      </c>
      <c r="H43" s="1">
        <f>VLOOKUP($B43,[14]TrtCodes!$B$11:N101,7)</f>
        <v>1</v>
      </c>
      <c r="I43" s="1">
        <f>[14]FormattedData!B58</f>
        <v>1</v>
      </c>
      <c r="J43" s="4">
        <f>[14]FormattedData!C58</f>
        <v>13.226000000000001</v>
      </c>
      <c r="K43" s="6">
        <f>$J$3+[14]FormattedData!D58*$J$4+$M$4*$J$5+[14]FormattedData!D58^2*$J$6+$M$5*$J$7</f>
        <v>56.49497049090418</v>
      </c>
      <c r="L43" s="6">
        <f>$J$3+[14]FormattedData!E58*$J$4+$M$4*$J$5+[14]FormattedData!E58^2*$J$6+$M$5*$J$7</f>
        <v>39.760097994468907</v>
      </c>
      <c r="M43" s="6">
        <f>$J$3+[14]FormattedData!F58*$J$4+$M$4*$J$5+[14]FormattedData!F58^2*$J$6+$M$5*$J$7</f>
        <v>53.838357321632522</v>
      </c>
      <c r="N43" s="6">
        <f>$J$3+[14]FormattedData!G58*$J$4+$M$4*$J$5+[14]FormattedData!G58^2*$J$6+$M$5*$J$7</f>
        <v>37.139850117147127</v>
      </c>
      <c r="O43" s="6">
        <f>$J$3+[14]FormattedData!H58*$J$4+$M$4*$J$5+[14]FormattedData!H58^2*$J$6+$M$5*$J$7</f>
        <v>49.997937477660557</v>
      </c>
      <c r="P43" s="6">
        <f>$J$3+[14]FormattedData!I58*$J$4+$M$4*$J$5+[14]FormattedData!I58^2*$J$6+$M$5*$J$7</f>
        <v>38.360514956923382</v>
      </c>
      <c r="Q43" s="6">
        <f>$J$3+[14]FormattedData!J58*$J$4+$M$4*$J$5+[14]FormattedData!J58^2*$J$6+$M$5*$J$7</f>
        <v>48.581132272554711</v>
      </c>
      <c r="R43" s="6">
        <f>$J$3+[14]FormattedData!K58*$J$4+$M$4*$J$5+[14]FormattedData!K58^2*$J$6+$M$5*$J$7</f>
        <v>36.574057038280621</v>
      </c>
      <c r="S43" s="6">
        <f>$J$3+[14]FormattedData!L58*$J$4+$M$4*$J$5+[14]FormattedData!L58^2*$J$6+$M$5*$J$7</f>
        <v>53.319482319869579</v>
      </c>
      <c r="T43" s="6">
        <f>$J$3+[14]FormattedData!M58*$J$4+$M$4*$J$5+[14]FormattedData!M58^2*$J$6+$M$5*$J$7</f>
        <v>37.045656942014205</v>
      </c>
      <c r="U43" s="6">
        <f>$J$3+[14]FormattedData!N58*$J$4+$M$4*$J$5+[14]FormattedData!N58^2*$J$6+$M$5*$J$7</f>
        <v>54.183428618715851</v>
      </c>
      <c r="V43" s="6">
        <f>$J$3+[14]FormattedData!O58*$J$4+$M$4*$J$5+[14]FormattedData!O58^2*$J$6+$M$5*$J$7</f>
        <v>35.437905878451062</v>
      </c>
      <c r="W43" s="5">
        <f t="shared" si="9"/>
        <v>45.061115952385222</v>
      </c>
      <c r="X43" s="4">
        <f t="shared" si="10"/>
        <v>2.4004136994755578</v>
      </c>
      <c r="Y43" s="3">
        <f t="shared" si="11"/>
        <v>35.437905878451062</v>
      </c>
      <c r="Z43" s="2">
        <f t="shared" si="12"/>
        <v>37.116301823363898</v>
      </c>
      <c r="AA43" s="3">
        <f t="shared" si="13"/>
        <v>44.170615133511809</v>
      </c>
      <c r="AB43" s="2">
        <f t="shared" si="14"/>
        <v>53.449201070310316</v>
      </c>
      <c r="AC43" s="2">
        <f t="shared" si="15"/>
        <v>56.49497049090418</v>
      </c>
      <c r="AD43" s="2">
        <f t="shared" si="16"/>
        <v>0.13148310450481407</v>
      </c>
      <c r="AE43" s="2">
        <f t="shared" si="17"/>
        <v>-2.0562575170691959</v>
      </c>
    </row>
    <row r="44" spans="2:31" x14ac:dyDescent="0.2">
      <c r="B44" s="17">
        <f>[14]FormattedData!A56</f>
        <v>903</v>
      </c>
      <c r="C44" s="17" t="str">
        <f>VLOOKUP($B44,[14]TrtCodes!$B$11:I99,2)</f>
        <v>DS</v>
      </c>
      <c r="D44" s="17">
        <f>VLOOKUP($B44,[14]TrtCodes!$B$11:J99,3)</f>
        <v>31</v>
      </c>
      <c r="E44" s="17">
        <f>VLOOKUP($B44,[14]TrtCodes!$B$11:K99,4)</f>
        <v>8</v>
      </c>
      <c r="F44" s="17">
        <f>VLOOKUP($B44,[14]TrtCodes!$B$11:L99,5)</f>
        <v>0</v>
      </c>
      <c r="G44" s="17">
        <f>VLOOKUP($B44,[14]TrtCodes!$B$11:M99,6)</f>
        <v>1</v>
      </c>
      <c r="H44" s="17">
        <f>VLOOKUP($B44,[14]TrtCodes!$B$11:N99,7)</f>
        <v>1</v>
      </c>
      <c r="I44" s="17">
        <f>[14]FormattedData!B56</f>
        <v>1</v>
      </c>
      <c r="J44" s="15">
        <f>[14]FormattedData!C56</f>
        <v>13.221</v>
      </c>
      <c r="K44" s="14">
        <f>$J$3+[14]FormattedData!D56*$J$4+$M$4*$J$5+[14]FormattedData!D56^2*$J$6+$M$5*$J$7</f>
        <v>62.754242978285141</v>
      </c>
      <c r="L44" s="14">
        <f>$J$3+[14]FormattedData!E56*$J$4+$M$4*$J$5+[14]FormattedData!E56^2*$J$6+$M$5*$J$7</f>
        <v>62.426417244677722</v>
      </c>
      <c r="M44" s="14">
        <f>$J$3+[14]FormattedData!F56*$J$4+$M$4*$J$5+[14]FormattedData!F56^2*$J$6+$M$5*$J$7</f>
        <v>62.097915214463377</v>
      </c>
      <c r="N44" s="14">
        <f>$J$3+[14]FormattedData!G56*$J$4+$M$4*$J$5+[14]FormattedData!G56^2*$J$6+$M$5*$J$7</f>
        <v>62.015684035564988</v>
      </c>
      <c r="O44" s="14">
        <f>$J$3+[14]FormattedData!H56*$J$4+$M$4*$J$5+[14]FormattedData!H56^2*$J$6+$M$5*$J$7</f>
        <v>61.768736887642163</v>
      </c>
      <c r="P44" s="14">
        <f>$J$3+[14]FormattedData!I56*$J$4+$M$4*$J$5+[14]FormattedData!I56^2*$J$6+$M$5*$J$7</f>
        <v>61.768736887642163</v>
      </c>
      <c r="Q44" s="14">
        <f>$J$3+[14]FormattedData!J56*$J$4+$M$4*$J$5+[14]FormattedData!J56^2*$J$6+$M$5*$J$7</f>
        <v>61.768736887642163</v>
      </c>
      <c r="R44" s="14">
        <f>$J$3+[14]FormattedData!K56*$J$4+$M$4*$J$5+[14]FormattedData!K56^2*$J$6+$M$5*$J$7</f>
        <v>61.273701341272378</v>
      </c>
      <c r="S44" s="14">
        <f>$J$3+[14]FormattedData!L56*$J$4+$M$4*$J$5+[14]FormattedData!L56^2*$J$6+$M$5*$J$7</f>
        <v>61.191047476994676</v>
      </c>
      <c r="T44" s="14">
        <f>$J$3+[14]FormattedData!M56*$J$4+$M$4*$J$5+[14]FormattedData!M56^2*$J$6+$M$5*$J$7</f>
        <v>61.025612942825433</v>
      </c>
      <c r="U44" s="14">
        <f>$J$3+[14]FormattedData!N56*$J$4+$M$4*$J$5+[14]FormattedData!N56^2*$J$6+$M$5*$J$7</f>
        <v>61.108351344179013</v>
      </c>
      <c r="V44" s="14">
        <f>$J$3+[14]FormattedData!O56*$J$4+$M$4*$J$5+[14]FormattedData!O56^2*$J$6+$M$5*$J$7</f>
        <v>61.108351344179013</v>
      </c>
      <c r="W44" s="16">
        <f t="shared" si="9"/>
        <v>61.692294548780687</v>
      </c>
      <c r="X44" s="15">
        <f t="shared" si="10"/>
        <v>0.16297941806586452</v>
      </c>
      <c r="Y44" s="14">
        <f t="shared" si="11"/>
        <v>61.025612942825433</v>
      </c>
      <c r="Z44" s="13">
        <f t="shared" si="12"/>
        <v>61.170373443790758</v>
      </c>
      <c r="AA44" s="14">
        <f t="shared" si="13"/>
        <v>61.768736887642163</v>
      </c>
      <c r="AB44" s="13">
        <f t="shared" si="14"/>
        <v>62.036241830289583</v>
      </c>
      <c r="AC44" s="13">
        <f t="shared" si="15"/>
        <v>62.754242978285141</v>
      </c>
      <c r="AD44" s="13">
        <f t="shared" si="16"/>
        <v>0.4857510713293286</v>
      </c>
      <c r="AE44" s="13">
        <f t="shared" si="17"/>
        <v>-0.7387103026101296</v>
      </c>
    </row>
    <row r="45" spans="2:31" x14ac:dyDescent="0.2">
      <c r="B45" s="1">
        <f>[14]FormattedData!A54</f>
        <v>904</v>
      </c>
      <c r="C45" s="1" t="str">
        <f>VLOOKUP($B45,[14]TrtCodes!$B$11:I97,2)</f>
        <v>Early</v>
      </c>
      <c r="D45" s="1">
        <f>VLOOKUP($B45,[14]TrtCodes!$B$11:J97,3)</f>
        <v>21</v>
      </c>
      <c r="E45" s="1">
        <f>VLOOKUP($B45,[14]TrtCodes!$B$11:K97,4)</f>
        <v>3</v>
      </c>
      <c r="F45" s="1">
        <f>VLOOKUP($B45,[14]TrtCodes!$B$11:L97,5)</f>
        <v>2</v>
      </c>
      <c r="G45" s="1">
        <f>VLOOKUP($B45,[14]TrtCodes!$B$11:M97,6)</f>
        <v>2</v>
      </c>
      <c r="H45" s="1">
        <f>VLOOKUP($B45,[14]TrtCodes!$B$11:N97,7)</f>
        <v>1</v>
      </c>
      <c r="I45" s="1">
        <f>[14]FormattedData!B54</f>
        <v>1</v>
      </c>
      <c r="J45" s="4">
        <f>[14]FormattedData!C54</f>
        <v>13.207000000000001</v>
      </c>
      <c r="K45" s="6">
        <f>$J$3+[14]FormattedData!D54*$J$4+$M$4*$J$5+[14]FormattedData!D54^2*$J$6+$M$5*$J$7</f>
        <v>58.018879647834282</v>
      </c>
      <c r="L45" s="6">
        <f>$J$3+[14]FormattedData!E54*$J$4+$M$4*$J$5+[14]FormattedData!E54^2*$J$6+$M$5*$J$7</f>
        <v>42.897276520808802</v>
      </c>
      <c r="M45" s="6">
        <f>$J$3+[14]FormattedData!F54*$J$4+$M$4*$J$5+[14]FormattedData!F54^2*$J$6+$M$5*$J$7</f>
        <v>53.924688548710243</v>
      </c>
      <c r="N45" s="6">
        <f>$J$3+[14]FormattedData!G54*$J$4+$M$4*$J$5+[14]FormattedData!G54^2*$J$6+$M$5*$J$7</f>
        <v>40.409982067902789</v>
      </c>
      <c r="O45" s="6">
        <f>$J$3+[14]FormattedData!H54*$J$4+$M$4*$J$5+[14]FormattedData!H54^2*$J$6+$M$5*$J$7</f>
        <v>47.511427254352888</v>
      </c>
      <c r="P45" s="6">
        <f>$J$3+[14]FormattedData!I54*$J$4+$M$4*$J$5+[14]FormattedData!I54^2*$J$6+$M$5*$J$7</f>
        <v>44.538354064884032</v>
      </c>
      <c r="Q45" s="6">
        <f>$J$3+[14]FormattedData!J54*$J$4+$M$4*$J$5+[14]FormattedData!J54^2*$J$6+$M$5*$J$7</f>
        <v>58.523806032079946</v>
      </c>
      <c r="R45" s="6">
        <f>$J$3+[14]FormattedData!K54*$J$4+$M$4*$J$5+[14]FormattedData!K54^2*$J$6+$M$5*$J$7</f>
        <v>44.719850643467097</v>
      </c>
      <c r="S45" s="6">
        <f>$J$3+[14]FormattedData!L54*$J$4+$M$4*$J$5+[14]FormattedData!L54^2*$J$6+$M$5*$J$7</f>
        <v>56.154464195917406</v>
      </c>
      <c r="T45" s="6">
        <f>$J$3+[14]FormattedData!M54*$J$4+$M$4*$J$5+[14]FormattedData!M54^2*$J$6+$M$5*$J$7</f>
        <v>46.794909092517187</v>
      </c>
      <c r="U45" s="6">
        <f>$J$3+[14]FormattedData!N54*$J$4+$M$4*$J$5+[14]FormattedData!N54^2*$J$6+$M$5*$J$7</f>
        <v>58.187357516734565</v>
      </c>
      <c r="V45" s="6">
        <f>$J$3+[14]FormattedData!O54*$J$4+$M$4*$J$5+[14]FormattedData!O54^2*$J$6+$M$5*$J$7</f>
        <v>48.136161547717748</v>
      </c>
      <c r="W45" s="5">
        <f t="shared" si="9"/>
        <v>49.984763094410575</v>
      </c>
      <c r="X45" s="4">
        <f t="shared" si="10"/>
        <v>1.901623152549041</v>
      </c>
      <c r="Y45" s="3">
        <f t="shared" si="11"/>
        <v>40.409982067902789</v>
      </c>
      <c r="Z45" s="2">
        <f t="shared" si="12"/>
        <v>44.674476498821335</v>
      </c>
      <c r="AA45" s="3">
        <f t="shared" si="13"/>
        <v>47.823794401035315</v>
      </c>
      <c r="AB45" s="2">
        <f t="shared" si="14"/>
        <v>56.620568058896623</v>
      </c>
      <c r="AC45" s="2">
        <f t="shared" si="15"/>
        <v>58.523806032079946</v>
      </c>
      <c r="AD45" s="2">
        <f t="shared" si="16"/>
        <v>0.15032420914459932</v>
      </c>
      <c r="AE45" s="2">
        <f t="shared" si="17"/>
        <v>-1.6543875945692159</v>
      </c>
    </row>
    <row r="46" spans="2:31" x14ac:dyDescent="0.2">
      <c r="B46" s="17">
        <f>[14]FormattedData!A52</f>
        <v>905</v>
      </c>
      <c r="C46" s="17" t="str">
        <f>VLOOKUP($B46,[14]TrtCodes!$B$11:I95,2)</f>
        <v>WS</v>
      </c>
      <c r="D46" s="17">
        <f>VLOOKUP($B46,[14]TrtCodes!$B$11:J95,3)</f>
        <v>32</v>
      </c>
      <c r="E46" s="17">
        <f>VLOOKUP($B46,[14]TrtCodes!$B$11:K95,4)</f>
        <v>9</v>
      </c>
      <c r="F46" s="17">
        <f>VLOOKUP($B46,[14]TrtCodes!$B$11:L95,5)</f>
        <v>0</v>
      </c>
      <c r="G46" s="17">
        <f>VLOOKUP($B46,[14]TrtCodes!$B$11:M95,6)</f>
        <v>1</v>
      </c>
      <c r="H46" s="17">
        <f>VLOOKUP($B46,[14]TrtCodes!$B$11:N95,7)</f>
        <v>2</v>
      </c>
      <c r="I46" s="17">
        <f>[14]FormattedData!B52</f>
        <v>1</v>
      </c>
      <c r="J46" s="15">
        <f>[14]FormattedData!C52</f>
        <v>13.201000000000001</v>
      </c>
      <c r="K46" s="14">
        <f>$J$3+[14]FormattedData!D52*$J$4+$M$4*$J$5+[14]FormattedData!D52^2*$J$6+$M$5*$J$7</f>
        <v>36.857143786134571</v>
      </c>
      <c r="L46" s="14">
        <f>$J$3+[14]FormattedData!E52*$J$4+$M$4*$J$5+[14]FormattedData!E52^2*$J$6+$M$5*$J$7</f>
        <v>37.045656942014205</v>
      </c>
      <c r="M46" s="14">
        <f>$J$3+[14]FormattedData!F52*$J$4+$M$4*$J$5+[14]FormattedData!F52^2*$J$6+$M$5*$J$7</f>
        <v>37.045656942014205</v>
      </c>
      <c r="N46" s="14">
        <f>$J$3+[14]FormattedData!G52*$J$4+$M$4*$J$5+[14]FormattedData!G52^2*$J$6+$M$5*$J$7</f>
        <v>37.234001023742117</v>
      </c>
      <c r="O46" s="14">
        <f>$J$3+[14]FormattedData!H52*$J$4+$M$4*$J$5+[14]FormattedData!H52^2*$J$6+$M$5*$J$7</f>
        <v>36.857143786134571</v>
      </c>
      <c r="P46" s="14">
        <f>$J$3+[14]FormattedData!I52*$J$4+$M$4*$J$5+[14]FormattedData!I52^2*$J$6+$M$5*$J$7</f>
        <v>37.045656942014205</v>
      </c>
      <c r="Q46" s="14">
        <f>$J$3+[14]FormattedData!J52*$J$4+$M$4*$J$5+[14]FormattedData!J52^2*$J$6+$M$5*$J$7</f>
        <v>36.762823805387846</v>
      </c>
      <c r="R46" s="14">
        <f>$J$3+[14]FormattedData!K52*$J$4+$M$4*$J$5+[14]FormattedData!K52^2*$J$6+$M$5*$J$7</f>
        <v>36.479610251920107</v>
      </c>
      <c r="S46" s="14">
        <f>$J$3+[14]FormattedData!L52*$J$4+$M$4*$J$5+[14]FormattedData!L52^2*$J$6+$M$5*$J$7</f>
        <v>36.101400421098766</v>
      </c>
      <c r="T46" s="14">
        <f>$J$3+[14]FormattedData!M52*$J$4+$M$4*$J$5+[14]FormattedData!M52^2*$J$6+$M$5*$J$7</f>
        <v>36.196016281611001</v>
      </c>
      <c r="U46" s="14">
        <f>$J$3+[14]FormattedData!N52*$J$4+$M$4*$J$5+[14]FormattedData!N52^2*$J$6+$M$5*$J$7</f>
        <v>36.196016281611001</v>
      </c>
      <c r="V46" s="14">
        <f>$J$3+[14]FormattedData!O52*$J$4+$M$4*$J$5+[14]FormattedData!O52^2*$J$6+$M$5*$J$7</f>
        <v>36.196016281611001</v>
      </c>
      <c r="W46" s="16">
        <f t="shared" si="9"/>
        <v>36.668095228774462</v>
      </c>
      <c r="X46" s="15">
        <f t="shared" si="10"/>
        <v>0.11850090514326034</v>
      </c>
      <c r="Y46" s="14">
        <f t="shared" si="11"/>
        <v>36.101400421098766</v>
      </c>
      <c r="Z46" s="13">
        <f t="shared" si="12"/>
        <v>36.196016281611001</v>
      </c>
      <c r="AA46" s="14">
        <f t="shared" si="13"/>
        <v>36.809983795761212</v>
      </c>
      <c r="AB46" s="13">
        <f t="shared" si="14"/>
        <v>37.045656942014205</v>
      </c>
      <c r="AC46" s="13">
        <f t="shared" si="15"/>
        <v>37.234001023742117</v>
      </c>
      <c r="AD46" s="13">
        <f t="shared" si="16"/>
        <v>-0.23221653723487115</v>
      </c>
      <c r="AE46" s="13">
        <f t="shared" si="17"/>
        <v>-1.7051054250481612</v>
      </c>
    </row>
    <row r="47" spans="2:31" x14ac:dyDescent="0.2">
      <c r="B47" s="1">
        <f>[14]FormattedData!A50</f>
        <v>906</v>
      </c>
      <c r="C47" s="1" t="str">
        <f>VLOOKUP($B47,[14]TrtCodes!$B$11:I93,2)</f>
        <v>Late</v>
      </c>
      <c r="D47" s="1">
        <f>VLOOKUP($B47,[14]TrtCodes!$B$11:J93,3)</f>
        <v>22</v>
      </c>
      <c r="E47" s="1">
        <f>VLOOKUP($B47,[14]TrtCodes!$B$11:K93,4)</f>
        <v>4</v>
      </c>
      <c r="F47" s="1">
        <f>VLOOKUP($B47,[14]TrtCodes!$B$11:L93,5)</f>
        <v>2</v>
      </c>
      <c r="G47" s="1">
        <f>VLOOKUP($B47,[14]TrtCodes!$B$11:M93,6)</f>
        <v>2</v>
      </c>
      <c r="H47" s="1">
        <f>VLOOKUP($B47,[14]TrtCodes!$B$11:N93,7)</f>
        <v>2</v>
      </c>
      <c r="I47" s="1">
        <f>[14]FormattedData!B50</f>
        <v>1</v>
      </c>
      <c r="J47" s="4">
        <f>[14]FormattedData!C50</f>
        <v>13.189</v>
      </c>
      <c r="K47" s="6">
        <f>$J$3+[14]FormattedData!D50*$J$4+$M$4*$J$5+[14]FormattedData!D50^2*$J$6+$M$5*$J$7</f>
        <v>56.324801880486653</v>
      </c>
      <c r="L47" s="6">
        <f>$J$3+[14]FormattedData!E50*$J$4+$M$4*$J$5+[14]FormattedData!E50^2*$J$6+$M$5*$J$7</f>
        <v>37.045656942014205</v>
      </c>
      <c r="M47" s="6">
        <f>$J$3+[14]FormattedData!F50*$J$4+$M$4*$J$5+[14]FormattedData!F50^2*$J$6+$M$5*$J$7</f>
        <v>46.705154113867039</v>
      </c>
      <c r="N47" s="6">
        <f>$J$3+[14]FormattedData!G50*$J$4+$M$4*$J$5+[14]FormattedData!G50^2*$J$6+$M$5*$J$7</f>
        <v>35.817299228334477</v>
      </c>
      <c r="O47" s="6">
        <f>$J$3+[14]FormattedData!H50*$J$4+$M$4*$J$5+[14]FormattedData!H50^2*$J$6+$M$5*$J$7</f>
        <v>48.047040597136558</v>
      </c>
      <c r="P47" s="6">
        <f>$J$3+[14]FormattedData!I50*$J$4+$M$4*$J$5+[14]FormattedData!I50^2*$J$6+$M$5*$J$7</f>
        <v>37.139850117147127</v>
      </c>
      <c r="Q47" s="6">
        <f>$J$3+[14]FormattedData!J50*$J$4+$M$4*$J$5+[14]FormattedData!J50^2*$J$6+$M$5*$J$7</f>
        <v>49.821428586553353</v>
      </c>
      <c r="R47" s="6">
        <f>$J$3+[14]FormattedData!K50*$J$4+$M$4*$J$5+[14]FormattedData!K50^2*$J$6+$M$5*$J$7</f>
        <v>41.334795061369903</v>
      </c>
      <c r="S47" s="6">
        <f>$J$3+[14]FormattedData!L50*$J$4+$M$4*$J$5+[14]FormattedData!L50^2*$J$6+$M$5*$J$7</f>
        <v>54.957366327684383</v>
      </c>
      <c r="T47" s="6">
        <f>$J$3+[14]FormattedData!M50*$J$4+$M$4*$J$5+[14]FormattedData!M50^2*$J$6+$M$5*$J$7</f>
        <v>40.224512246754195</v>
      </c>
      <c r="U47" s="6">
        <f>$J$3+[14]FormattedData!N50*$J$4+$M$4*$J$5+[14]FormattedData!N50^2*$J$6+$M$5*$J$7</f>
        <v>54.52782361919229</v>
      </c>
      <c r="V47" s="6">
        <f>$J$3+[14]FormattedData!O50*$J$4+$M$4*$J$5+[14]FormattedData!O50^2*$J$6+$M$5*$J$7</f>
        <v>32.859311383613786</v>
      </c>
      <c r="W47" s="5">
        <f t="shared" si="9"/>
        <v>44.567086675346168</v>
      </c>
      <c r="X47" s="4">
        <f t="shared" si="10"/>
        <v>2.374708549378596</v>
      </c>
      <c r="Y47" s="3">
        <f t="shared" si="11"/>
        <v>32.859311383613786</v>
      </c>
      <c r="Z47" s="2">
        <f t="shared" si="12"/>
        <v>37.116301823363898</v>
      </c>
      <c r="AA47" s="3">
        <f t="shared" si="13"/>
        <v>44.019974587618471</v>
      </c>
      <c r="AB47" s="2">
        <f t="shared" si="14"/>
        <v>50.998027344713087</v>
      </c>
      <c r="AC47" s="2">
        <f t="shared" si="15"/>
        <v>56.324801880486653</v>
      </c>
      <c r="AD47" s="2">
        <f t="shared" si="16"/>
        <v>0.13851645734983209</v>
      </c>
      <c r="AE47" s="2">
        <f t="shared" si="17"/>
        <v>-1.5249042787482638</v>
      </c>
    </row>
    <row r="48" spans="2:31" x14ac:dyDescent="0.2">
      <c r="B48" s="17">
        <f>[14]FormattedData!A48</f>
        <v>907</v>
      </c>
      <c r="C48" s="17" t="str">
        <f>VLOOKUP($B48,[14]TrtCodes!$B$11:I91,2)</f>
        <v>DS</v>
      </c>
      <c r="D48" s="17">
        <f>VLOOKUP($B48,[14]TrtCodes!$B$11:J91,3)</f>
        <v>31</v>
      </c>
      <c r="E48" s="17">
        <f>VLOOKUP($B48,[14]TrtCodes!$B$11:K91,4)</f>
        <v>8</v>
      </c>
      <c r="F48" s="17">
        <f>VLOOKUP($B48,[14]TrtCodes!$B$11:L91,5)</f>
        <v>0</v>
      </c>
      <c r="G48" s="17">
        <f>VLOOKUP($B48,[14]TrtCodes!$B$11:M91,6)</f>
        <v>1</v>
      </c>
      <c r="H48" s="17">
        <f>VLOOKUP($B48,[14]TrtCodes!$B$11:N91,7)</f>
        <v>2</v>
      </c>
      <c r="I48" s="17">
        <f>[14]FormattedData!B48</f>
        <v>1</v>
      </c>
      <c r="J48" s="15">
        <f>[14]FormattedData!C48</f>
        <v>13.180999999999999</v>
      </c>
      <c r="K48" s="14">
        <f>$J$3+[14]FormattedData!D48*$J$4+$M$4*$J$5+[14]FormattedData!D48^2*$J$6+$M$5*$J$7</f>
        <v>63.652276591326263</v>
      </c>
      <c r="L48" s="14">
        <f>$J$3+[14]FormattedData!E48*$J$4+$M$4*$J$5+[14]FormattedData!E48^2*$J$6+$M$5*$J$7</f>
        <v>62.426417244677722</v>
      </c>
      <c r="M48" s="14">
        <f>$J$3+[14]FormattedData!F48*$J$4+$M$4*$J$5+[14]FormattedData!F48^2*$J$6+$M$5*$J$7</f>
        <v>61.686336634592017</v>
      </c>
      <c r="N48" s="14">
        <f>$J$3+[14]FormattedData!G48*$J$4+$M$4*$J$5+[14]FormattedData!G48^2*$J$6+$M$5*$J$7</f>
        <v>61.603894113003967</v>
      </c>
      <c r="O48" s="14">
        <f>$J$3+[14]FormattedData!H48*$J$4+$M$4*$J$5+[14]FormattedData!H48^2*$J$6+$M$5*$J$7</f>
        <v>61.686336634592017</v>
      </c>
      <c r="P48" s="14">
        <f>$J$3+[14]FormattedData!I48*$J$4+$M$4*$J$5+[14]FormattedData!I48^2*$J$6+$M$5*$J$7</f>
        <v>62.426417244677722</v>
      </c>
      <c r="Q48" s="14">
        <f>$J$3+[14]FormattedData!J48*$J$4+$M$4*$J$5+[14]FormattedData!J48^2*$J$6+$M$5*$J$7</f>
        <v>62.26225076664641</v>
      </c>
      <c r="R48" s="14">
        <f>$J$3+[14]FormattedData!K48*$J$4+$M$4*$J$5+[14]FormattedData!K48^2*$J$6+$M$5*$J$7</f>
        <v>60.860009334504461</v>
      </c>
      <c r="S48" s="14">
        <f>$J$3+[14]FormattedData!L48*$J$4+$M$4*$J$5+[14]FormattedData!L48^2*$J$6+$M$5*$J$7</f>
        <v>62.426417244677722</v>
      </c>
      <c r="T48" s="14">
        <f>$J$3+[14]FormattedData!M48*$J$4+$M$4*$J$5+[14]FormattedData!M48^2*$J$6+$M$5*$J$7</f>
        <v>61.851094872154363</v>
      </c>
      <c r="U48" s="14">
        <f>$J$3+[14]FormattedData!N48*$J$4+$M$4*$J$5+[14]FormattedData!N48^2*$J$6+$M$5*$J$7</f>
        <v>61.768736887642163</v>
      </c>
      <c r="V48" s="14">
        <f>$J$3+[14]FormattedData!O48*$J$4+$M$4*$J$5+[14]FormattedData!O48^2*$J$6+$M$5*$J$7</f>
        <v>61.768736887642163</v>
      </c>
      <c r="W48" s="16">
        <f t="shared" si="9"/>
        <v>62.034910371344751</v>
      </c>
      <c r="X48" s="15">
        <f t="shared" si="10"/>
        <v>0.19679341549212556</v>
      </c>
      <c r="Y48" s="14">
        <f t="shared" si="11"/>
        <v>60.860009334504461</v>
      </c>
      <c r="Z48" s="13">
        <f t="shared" si="12"/>
        <v>61.686336634592017</v>
      </c>
      <c r="AA48" s="14">
        <f t="shared" si="13"/>
        <v>61.809915879898263</v>
      </c>
      <c r="AB48" s="13">
        <f t="shared" si="14"/>
        <v>62.426417244677722</v>
      </c>
      <c r="AC48" s="13">
        <f t="shared" si="15"/>
        <v>63.652276591326263</v>
      </c>
      <c r="AD48" s="13">
        <f t="shared" si="16"/>
        <v>0.89254958715132371</v>
      </c>
      <c r="AE48" s="13">
        <f t="shared" si="17"/>
        <v>2.4576599807745385</v>
      </c>
    </row>
    <row r="49" spans="2:31" ht="13.5" thickBot="1" x14ac:dyDescent="0.25">
      <c r="B49" s="12">
        <f>[14]FormattedData!A46</f>
        <v>908</v>
      </c>
      <c r="C49" s="12" t="str">
        <f>VLOOKUP($B49,[14]TrtCodes!$B$11:I89,2)</f>
        <v>Early</v>
      </c>
      <c r="D49" s="12">
        <f>VLOOKUP($B49,[14]TrtCodes!$B$11:J89,3)</f>
        <v>21</v>
      </c>
      <c r="E49" s="12">
        <f>VLOOKUP($B49,[14]TrtCodes!$B$11:K89,4)</f>
        <v>3</v>
      </c>
      <c r="F49" s="12">
        <f>VLOOKUP($B49,[14]TrtCodes!$B$11:L89,5)</f>
        <v>2</v>
      </c>
      <c r="G49" s="12">
        <f>VLOOKUP($B49,[14]TrtCodes!$B$11:M89,6)</f>
        <v>2</v>
      </c>
      <c r="H49" s="12">
        <f>VLOOKUP($B49,[14]TrtCodes!$B$11:N89,7)</f>
        <v>2</v>
      </c>
      <c r="I49" s="12">
        <f>[14]FormattedData!B46</f>
        <v>1</v>
      </c>
      <c r="J49" s="9">
        <f>[14]FormattedData!C46</f>
        <v>13.167999999999999</v>
      </c>
      <c r="K49" s="11">
        <f>$J$3+[14]FormattedData!D46*$J$4+$M$4*$J$5+[14]FormattedData!D46^2*$J$6+$M$5*$J$7</f>
        <v>60.94283227293392</v>
      </c>
      <c r="L49" s="11">
        <f>$J$3+[14]FormattedData!E46*$J$4+$M$4*$J$5+[14]FormattedData!E46^2*$J$6+$M$5*$J$7</f>
        <v>48.403270788233712</v>
      </c>
      <c r="M49" s="11">
        <f>$J$3+[14]FormattedData!F46*$J$4+$M$4*$J$5+[14]FormattedData!F46^2*$J$6+$M$5*$J$7</f>
        <v>55.727880285080495</v>
      </c>
      <c r="N49" s="11">
        <f>$J$3+[14]FormattedData!G46*$J$4+$M$4*$J$5+[14]FormattedData!G46^2*$J$6+$M$5*$J$7</f>
        <v>42.071602121412553</v>
      </c>
      <c r="O49" s="11">
        <f>$J$3+[14]FormattedData!H46*$J$4+$M$4*$J$5+[14]FormattedData!H46^2*$J$6+$M$5*$J$7</f>
        <v>57.258636945155445</v>
      </c>
      <c r="P49" s="11">
        <f>$J$3+[14]FormattedData!I46*$J$4+$M$4*$J$5+[14]FormattedData!I46^2*$J$6+$M$5*$J$7</f>
        <v>41.887653967629483</v>
      </c>
      <c r="Q49" s="11">
        <f>$J$3+[14]FormattedData!J46*$J$4+$M$4*$J$5+[14]FormattedData!J46^2*$J$6+$M$5*$J$7</f>
        <v>54.871542323061831</v>
      </c>
      <c r="R49" s="11">
        <f>$J$3+[14]FormattedData!K46*$J$4+$M$4*$J$5+[14]FormattedData!K46^2*$J$6+$M$5*$J$7</f>
        <v>40.131713933373007</v>
      </c>
      <c r="S49" s="11">
        <f>$J$3+[14]FormattedData!L46*$J$4+$M$4*$J$5+[14]FormattedData!L46^2*$J$6+$M$5*$J$7</f>
        <v>56.324801880486653</v>
      </c>
      <c r="T49" s="11">
        <f>$J$3+[14]FormattedData!M46*$J$4+$M$4*$J$5+[14]FormattedData!M46^2*$J$6+$M$5*$J$7</f>
        <v>45.534492954463317</v>
      </c>
      <c r="U49" s="11">
        <f>$J$3+[14]FormattedData!N46*$J$4+$M$4*$J$5+[14]FormattedData!N46^2*$J$6+$M$5*$J$7</f>
        <v>58.523806032079946</v>
      </c>
      <c r="V49" s="11">
        <f>$J$3+[14]FormattedData!O46*$J$4+$M$4*$J$5+[14]FormattedData!O46^2*$J$6+$M$5*$J$7</f>
        <v>42.988806778052066</v>
      </c>
      <c r="W49" s="10">
        <f t="shared" si="9"/>
        <v>50.388920023496865</v>
      </c>
      <c r="X49" s="9">
        <f t="shared" si="10"/>
        <v>2.1976520821859262</v>
      </c>
      <c r="Y49" s="8">
        <f t="shared" si="11"/>
        <v>40.131713933373007</v>
      </c>
      <c r="Z49" s="7">
        <f t="shared" si="12"/>
        <v>42.759505613892188</v>
      </c>
      <c r="AA49" s="8">
        <f t="shared" si="13"/>
        <v>51.637406555647772</v>
      </c>
      <c r="AB49" s="7">
        <f t="shared" si="14"/>
        <v>56.558260646653849</v>
      </c>
      <c r="AC49" s="7">
        <f t="shared" si="15"/>
        <v>60.94283227293392</v>
      </c>
      <c r="AD49" s="7">
        <f t="shared" si="16"/>
        <v>-7.5884168804237873E-2</v>
      </c>
      <c r="AE49" s="7">
        <f t="shared" si="17"/>
        <v>-1.8697845796474795</v>
      </c>
    </row>
    <row r="50" spans="2:31" ht="13.5" thickTop="1" x14ac:dyDescent="0.2">
      <c r="B50" s="1">
        <f>[14]FormattedData!A29</f>
        <v>101</v>
      </c>
      <c r="C50" s="1" t="str">
        <f>VLOOKUP($B50,[14]TrtCodes!$B$11:I72,2)</f>
        <v>FSH</v>
      </c>
      <c r="D50" s="1">
        <f>VLOOKUP($B50,[14]TrtCodes!$B$11:J72,3)</f>
        <v>1</v>
      </c>
      <c r="E50" s="1">
        <f>VLOOKUP($B50,[14]TrtCodes!$B$11:K72,4)</f>
        <v>1</v>
      </c>
      <c r="F50" s="1">
        <f>VLOOKUP($B50,[14]TrtCodes!$B$11:L72,5)</f>
        <v>1</v>
      </c>
      <c r="G50" s="1">
        <f>VLOOKUP($B50,[14]TrtCodes!$B$11:M72,6)</f>
        <v>2</v>
      </c>
      <c r="H50" s="1">
        <f>VLOOKUP($B50,[14]TrtCodes!$B$11:N72,7)</f>
        <v>1</v>
      </c>
      <c r="I50" s="1">
        <f>[14]FormattedData!B29</f>
        <v>2</v>
      </c>
      <c r="J50" s="4">
        <f>[14]FormattedData!C29</f>
        <v>13.041</v>
      </c>
      <c r="K50" s="6">
        <f>$J$3+[14]FormattedData!D29*$J$4+$M$4*$J$5+[14]FormattedData!D29^2*$J$6+$M$5*$J$7</f>
        <v>32.378412401535357</v>
      </c>
      <c r="L50" s="6">
        <f>$J$3+[14]FormattedData!E29*$J$4+$M$4*$J$5+[14]FormattedData!E29^2*$J$6+$M$5*$J$7</f>
        <v>31.606776066237451</v>
      </c>
      <c r="M50" s="6">
        <f>$J$3+[14]FormattedData!F29*$J$4+$M$4*$J$5+[14]FormattedData!F29^2*$J$6+$M$5*$J$7</f>
        <v>34.009157549733047</v>
      </c>
      <c r="N50" s="6">
        <f>$J$3+[14]FormattedData!G29*$J$4+$M$4*$J$5+[14]FormattedData!G29^2*$J$6+$M$5*$J$7</f>
        <v>32.282105799505871</v>
      </c>
      <c r="O50" s="6">
        <f>$J$3+[14]FormattedData!H29*$J$4+$M$4*$J$5+[14]FormattedData!H29^2*$J$6+$M$5*$J$7</f>
        <v>31.799938761289511</v>
      </c>
      <c r="P50" s="6">
        <f>$J$3+[14]FormattedData!I29*$J$4+$M$4*$J$5+[14]FormattedData!I29^2*$J$6+$M$5*$J$7</f>
        <v>31.026273536170908</v>
      </c>
      <c r="Q50" s="6">
        <f>$J$3+[14]FormattedData!J29*$J$4+$M$4*$J$5+[14]FormattedData!J29^2*$J$6+$M$5*$J$7</f>
        <v>33.62655179096685</v>
      </c>
      <c r="R50" s="6">
        <f>$J$3+[14]FormattedData!K29*$J$4+$M$4*$J$5+[14]FormattedData!K29^2*$J$6+$M$5*$J$7</f>
        <v>32.185756928938467</v>
      </c>
      <c r="S50" s="6">
        <f>$J$3+[14]FormattedData!L29*$J$4+$M$4*$J$5+[14]FormattedData!L29^2*$J$6+$M$5*$J$7</f>
        <v>32.378412401535357</v>
      </c>
      <c r="T50" s="6">
        <f>$J$3+[14]FormattedData!M29*$J$4+$M$4*$J$5+[14]FormattedData!M29^2*$J$6+$M$5*$J$7</f>
        <v>31.799938761289511</v>
      </c>
      <c r="U50" s="6">
        <f>$J$3+[14]FormattedData!N29*$J$4+$M$4*$J$5+[14]FormattedData!N29^2*$J$6+$M$5*$J$7</f>
        <v>33.339153652243937</v>
      </c>
      <c r="V50" s="6">
        <f>$J$3+[14]FormattedData!O29*$J$4+$M$4*$J$5+[14]FormattedData!O29^2*$J$6+$M$5*$J$7</f>
        <v>32.859311383613786</v>
      </c>
      <c r="W50" s="5">
        <f t="shared" si="9"/>
        <v>32.440982419421665</v>
      </c>
      <c r="X50" s="4">
        <f t="shared" si="10"/>
        <v>0.25321936101647241</v>
      </c>
      <c r="Y50" s="3">
        <f t="shared" si="11"/>
        <v>31.026273536170908</v>
      </c>
      <c r="Z50" s="2">
        <f t="shared" si="12"/>
        <v>31.799938761289511</v>
      </c>
      <c r="AA50" s="3">
        <f t="shared" si="13"/>
        <v>32.330259100520614</v>
      </c>
      <c r="AB50" s="2">
        <f t="shared" si="14"/>
        <v>32.97927195077132</v>
      </c>
      <c r="AC50" s="2">
        <f t="shared" si="15"/>
        <v>34.009157549733047</v>
      </c>
      <c r="AD50" s="2">
        <f t="shared" si="16"/>
        <v>0.38156114864343604</v>
      </c>
      <c r="AE50" s="2">
        <f t="shared" si="17"/>
        <v>-0.43032392310845857</v>
      </c>
    </row>
    <row r="51" spans="2:31" x14ac:dyDescent="0.2">
      <c r="B51" s="1">
        <f>[14]FormattedData!A27</f>
        <v>102</v>
      </c>
      <c r="C51" s="1" t="str">
        <f>VLOOKUP($B51,[14]TrtCodes!$B$11:I70,2)</f>
        <v>FTL</v>
      </c>
      <c r="D51" s="1">
        <f>VLOOKUP($B51,[14]TrtCodes!$B$11:J70,3)</f>
        <v>4</v>
      </c>
      <c r="E51" s="1">
        <f>VLOOKUP($B51,[14]TrtCodes!$B$11:K70,4)</f>
        <v>1</v>
      </c>
      <c r="F51" s="1">
        <f>VLOOKUP($B51,[14]TrtCodes!$B$11:L70,5)</f>
        <v>2</v>
      </c>
      <c r="G51" s="1">
        <f>VLOOKUP($B51,[14]TrtCodes!$B$11:M70,6)</f>
        <v>1</v>
      </c>
      <c r="H51" s="1">
        <f>VLOOKUP($B51,[14]TrtCodes!$B$11:N70,7)</f>
        <v>1</v>
      </c>
      <c r="I51" s="1">
        <f>[14]FormattedData!B27</f>
        <v>2</v>
      </c>
      <c r="J51" s="4">
        <f>[14]FormattedData!C27</f>
        <v>13.026</v>
      </c>
      <c r="K51" s="6">
        <f>$J$3+[14]FormattedData!D27*$J$4+$M$4*$J$5+[14]FormattedData!D27^2*$J$6+$M$5*$J$7</f>
        <v>30.541359042989022</v>
      </c>
      <c r="L51" s="6">
        <f>$J$3+[14]FormattedData!E27*$J$4+$M$4*$J$5+[14]FormattedData!E27^2*$J$6+$M$5*$J$7</f>
        <v>30.347097365950745</v>
      </c>
      <c r="M51" s="6">
        <f>$J$3+[14]FormattedData!F27*$J$4+$M$4*$J$5+[14]FormattedData!F27^2*$J$6+$M$5*$J$7</f>
        <v>29.373252868483515</v>
      </c>
      <c r="N51" s="6">
        <f>$J$3+[14]FormattedData!G27*$J$4+$M$4*$J$5+[14]FormattedData!G27^2*$J$6+$M$5*$J$7</f>
        <v>31.026273536170908</v>
      </c>
      <c r="O51" s="6">
        <f>$J$3+[14]FormattedData!H27*$J$4+$M$4*$J$5+[14]FormattedData!H27^2*$J$6+$M$5*$J$7</f>
        <v>30.638426478701259</v>
      </c>
      <c r="P51" s="6">
        <f>$J$3+[14]FormattedData!I27*$J$4+$M$4*$J$5+[14]FormattedData!I27^2*$J$6+$M$5*$J$7</f>
        <v>30.638426478701259</v>
      </c>
      <c r="Q51" s="6">
        <f>$J$3+[14]FormattedData!J27*$J$4+$M$4*$J$5+[14]FormattedData!J27^2*$J$6+$M$5*$J$7</f>
        <v>31.799938761289511</v>
      </c>
      <c r="R51" s="6">
        <f>$J$3+[14]FormattedData!K27*$J$4+$M$4*$J$5+[14]FormattedData!K27^2*$J$6+$M$5*$J$7</f>
        <v>30.444249338738853</v>
      </c>
      <c r="S51" s="6">
        <f>$J$3+[14]FormattedData!L27*$J$4+$M$4*$J$5+[14]FormattedData!L27^2*$J$6+$M$5*$J$7</f>
        <v>31.992932382189856</v>
      </c>
      <c r="T51" s="6">
        <f>$J$3+[14]FormattedData!M27*$J$4+$M$4*$J$5+[14]FormattedData!M27^2*$J$6+$M$5*$J$7</f>
        <v>29.275635941778173</v>
      </c>
      <c r="U51" s="6">
        <f>$J$3+[14]FormattedData!N27*$J$4+$M$4*$J$5+[14]FormattedData!N27^2*$J$6+$M$5*$J$7</f>
        <v>30.249903124624716</v>
      </c>
      <c r="V51" s="6">
        <f>$J$3+[14]FormattedData!O27*$J$4+$M$4*$J$5+[14]FormattedData!O27^2*$J$6+$M$5*$J$7</f>
        <v>29.470827526650929</v>
      </c>
      <c r="W51" s="5">
        <f t="shared" si="9"/>
        <v>30.483193570522392</v>
      </c>
      <c r="X51" s="4">
        <f t="shared" si="10"/>
        <v>0.24846734462443659</v>
      </c>
      <c r="Y51" s="3">
        <f t="shared" si="11"/>
        <v>29.275635941778173</v>
      </c>
      <c r="Z51" s="2">
        <f t="shared" si="12"/>
        <v>30.055134225131269</v>
      </c>
      <c r="AA51" s="3">
        <f t="shared" si="13"/>
        <v>30.492804190863936</v>
      </c>
      <c r="AB51" s="2">
        <f t="shared" si="14"/>
        <v>30.73538824306867</v>
      </c>
      <c r="AC51" s="2">
        <f t="shared" si="15"/>
        <v>31.992932382189856</v>
      </c>
      <c r="AD51" s="2">
        <f t="shared" si="16"/>
        <v>0.29270902009415728</v>
      </c>
      <c r="AE51" s="2">
        <f t="shared" si="17"/>
        <v>-0.30453229273457083</v>
      </c>
    </row>
    <row r="52" spans="2:31" x14ac:dyDescent="0.2">
      <c r="B52" s="1">
        <f>[14]FormattedData!A25</f>
        <v>103</v>
      </c>
      <c r="C52" s="1" t="str">
        <f>VLOOKUP($B52,[14]TrtCodes!$B$11:I68,2)</f>
        <v>FDH</v>
      </c>
      <c r="D52" s="1">
        <f>VLOOKUP($B52,[14]TrtCodes!$B$11:J68,3)</f>
        <v>5</v>
      </c>
      <c r="E52" s="1">
        <f>VLOOKUP($B52,[14]TrtCodes!$B$11:K68,4)</f>
        <v>1</v>
      </c>
      <c r="F52" s="1">
        <f>VLOOKUP($B52,[14]TrtCodes!$B$11:L68,5)</f>
        <v>3</v>
      </c>
      <c r="G52" s="1">
        <f>VLOOKUP($B52,[14]TrtCodes!$B$11:M68,6)</f>
        <v>2</v>
      </c>
      <c r="H52" s="1">
        <f>VLOOKUP($B52,[14]TrtCodes!$B$11:N68,7)</f>
        <v>1</v>
      </c>
      <c r="I52" s="1">
        <f>[14]FormattedData!B25</f>
        <v>2</v>
      </c>
      <c r="J52" s="4">
        <f>[14]FormattedData!C25</f>
        <v>13.012</v>
      </c>
      <c r="K52" s="6">
        <f>$J$3+[14]FormattedData!D25*$J$4+$M$4*$J$5+[14]FormattedData!D25^2*$J$6+$M$5*$J$7</f>
        <v>30.638426478701259</v>
      </c>
      <c r="L52" s="6">
        <f>$J$3+[14]FormattedData!E25*$J$4+$M$4*$J$5+[14]FormattedData!E25^2*$J$6+$M$5*$J$7</f>
        <v>32.859311383613786</v>
      </c>
      <c r="M52" s="6">
        <f>$J$3+[14]FormattedData!F25*$J$4+$M$4*$J$5+[14]FormattedData!F25^2*$J$6+$M$5*$J$7</f>
        <v>32.570898799980526</v>
      </c>
      <c r="N52" s="6">
        <f>$J$3+[14]FormattedData!G25*$J$4+$M$4*$J$5+[14]FormattedData!G25^2*$J$6+$M$5*$J$7</f>
        <v>31.896456706008649</v>
      </c>
      <c r="O52" s="6">
        <f>$J$3+[14]FormattedData!H25*$J$4+$M$4*$J$5+[14]FormattedData!H25^2*$J$6+$M$5*$J$7</f>
        <v>33.147343550405665</v>
      </c>
      <c r="P52" s="6">
        <f>$J$3+[14]FormattedData!I25*$J$4+$M$4*$J$5+[14]FormattedData!I25^2*$J$6+$M$5*$J$7</f>
        <v>31.123129629193489</v>
      </c>
      <c r="Q52" s="6">
        <f>$J$3+[14]FormattedData!J25*$J$4+$M$4*$J$5+[14]FormattedData!J25^2*$J$6+$M$5*$J$7</f>
        <v>33.243269735593771</v>
      </c>
      <c r="R52" s="6">
        <f>$J$3+[14]FormattedData!K25*$J$4+$M$4*$J$5+[14]FormattedData!K25^2*$J$6+$M$5*$J$7</f>
        <v>31.799938761289511</v>
      </c>
      <c r="S52" s="6">
        <f>$J$3+[14]FormattedData!L25*$J$4+$M$4*$J$5+[14]FormattedData!L25^2*$J$6+$M$5*$J$7</f>
        <v>31.606776066237451</v>
      </c>
      <c r="T52" s="6">
        <f>$J$3+[14]FormattedData!M25*$J$4+$M$4*$J$5+[14]FormattedData!M25^2*$J$6+$M$5*$J$7</f>
        <v>30.347097365950745</v>
      </c>
      <c r="U52" s="6">
        <f>$J$3+[14]FormattedData!N25*$J$4+$M$4*$J$5+[14]FormattedData!N25^2*$J$6+$M$5*$J$7</f>
        <v>29.958066789419036</v>
      </c>
      <c r="V52" s="6">
        <f>$J$3+[14]FormattedData!O25*$J$4+$M$4*$J$5+[14]FormattedData!O25^2*$J$6+$M$5*$J$7</f>
        <v>28.591133935778686</v>
      </c>
      <c r="W52" s="5">
        <f t="shared" si="9"/>
        <v>31.481820766847715</v>
      </c>
      <c r="X52" s="4">
        <f t="shared" si="10"/>
        <v>0.40875311892011673</v>
      </c>
      <c r="Y52" s="3">
        <f t="shared" si="11"/>
        <v>28.591133935778686</v>
      </c>
      <c r="Z52" s="2">
        <f t="shared" si="12"/>
        <v>30.56559420051363</v>
      </c>
      <c r="AA52" s="3">
        <f t="shared" si="13"/>
        <v>31.703357413763481</v>
      </c>
      <c r="AB52" s="2">
        <f t="shared" si="14"/>
        <v>32.643001945888841</v>
      </c>
      <c r="AC52" s="2">
        <f t="shared" si="15"/>
        <v>33.243269735593771</v>
      </c>
      <c r="AD52" s="2">
        <f t="shared" si="16"/>
        <v>-0.60343478443470411</v>
      </c>
      <c r="AE52" s="2">
        <f t="shared" si="17"/>
        <v>-0.1226098189132161</v>
      </c>
    </row>
    <row r="53" spans="2:31" x14ac:dyDescent="0.2">
      <c r="B53" s="1">
        <f>[14]FormattedData!A23</f>
        <v>104</v>
      </c>
      <c r="C53" s="1" t="str">
        <f>VLOOKUP($B53,[14]TrtCodes!$B$11:I66,2)</f>
        <v>NTL</v>
      </c>
      <c r="D53" s="1">
        <f>VLOOKUP($B53,[14]TrtCodes!$B$11:J66,3)</f>
        <v>10</v>
      </c>
      <c r="E53" s="1">
        <f>VLOOKUP($B53,[14]TrtCodes!$B$11:K66,4)</f>
        <v>2</v>
      </c>
      <c r="F53" s="1">
        <f>VLOOKUP($B53,[14]TrtCodes!$B$11:L66,5)</f>
        <v>2</v>
      </c>
      <c r="G53" s="1">
        <f>VLOOKUP($B53,[14]TrtCodes!$B$11:M66,6)</f>
        <v>1</v>
      </c>
      <c r="H53" s="1">
        <f>VLOOKUP($B53,[14]TrtCodes!$B$11:N66,7)</f>
        <v>1</v>
      </c>
      <c r="I53" s="1">
        <f>[14]FormattedData!B23</f>
        <v>2</v>
      </c>
      <c r="J53" s="4">
        <f>[14]FormattedData!C23</f>
        <v>12.996</v>
      </c>
      <c r="K53" s="6">
        <f>$J$3+[14]FormattedData!D23*$J$4+$M$4*$J$5+[14]FormattedData!D23^2*$J$6+$M$5*$J$7</f>
        <v>29.763297889925585</v>
      </c>
      <c r="L53" s="6">
        <f>$J$3+[14]FormattedData!E23*$J$4+$M$4*$J$5+[14]FormattedData!E23^2*$J$6+$M$5*$J$7</f>
        <v>27.609681101483847</v>
      </c>
      <c r="M53" s="6">
        <f>$J$3+[14]FormattedData!F23*$J$4+$M$4*$J$5+[14]FormattedData!F23^2*$J$6+$M$5*$J$7</f>
        <v>28.493178860769895</v>
      </c>
      <c r="N53" s="6">
        <f>$J$3+[14]FormattedData!G23*$J$4+$M$4*$J$5+[14]FormattedData!G23^2*$J$6+$M$5*$J$7</f>
        <v>28.493178860769895</v>
      </c>
      <c r="O53" s="6">
        <f>$J$3+[14]FormattedData!H23*$J$4+$M$4*$J$5+[14]FormattedData!H23^2*$J$6+$M$5*$J$7</f>
        <v>28.884745549577481</v>
      </c>
      <c r="P53" s="6">
        <f>$J$3+[14]FormattedData!I23*$J$4+$M$4*$J$5+[14]FormattedData!I23^2*$J$6+$M$5*$J$7</f>
        <v>28.786917280182479</v>
      </c>
      <c r="Q53" s="6">
        <f>$J$3+[14]FormattedData!J23*$J$4+$M$4*$J$5+[14]FormattedData!J23^2*$J$6+$M$5*$J$7</f>
        <v>28.982531550434551</v>
      </c>
      <c r="R53" s="6">
        <f>$J$3+[14]FormattedData!K23*$J$4+$M$4*$J$5+[14]FormattedData!K23^2*$J$6+$M$5*$J$7</f>
        <v>28.199060024515923</v>
      </c>
      <c r="S53" s="6">
        <f>$J$3+[14]FormattedData!L23*$J$4+$M$4*$J$5+[14]FormattedData!L23^2*$J$6+$M$5*$J$7</f>
        <v>29.958066789419036</v>
      </c>
      <c r="T53" s="6">
        <f>$J$3+[14]FormattedData!M23*$J$4+$M$4*$J$5+[14]FormattedData!M23^2*$J$6+$M$5*$J$7</f>
        <v>28.884745549577481</v>
      </c>
      <c r="U53" s="6">
        <f>$J$3+[14]FormattedData!N23*$J$4+$M$4*$J$5+[14]FormattedData!N23^2*$J$6+$M$5*$J$7</f>
        <v>34.772340177444718</v>
      </c>
      <c r="V53" s="6">
        <f>$J$3+[14]FormattedData!O23*$J$4+$M$4*$J$5+[14]FormattedData!O23^2*$J$6+$M$5*$J$7</f>
        <v>29.275635941778173</v>
      </c>
      <c r="W53" s="5">
        <f t="shared" si="9"/>
        <v>29.341948297989916</v>
      </c>
      <c r="X53" s="4">
        <f t="shared" si="10"/>
        <v>0.5269535203430602</v>
      </c>
      <c r="Y53" s="3">
        <f t="shared" si="11"/>
        <v>27.609681101483847</v>
      </c>
      <c r="Z53" s="2">
        <f t="shared" si="12"/>
        <v>28.493178860769895</v>
      </c>
      <c r="AA53" s="3">
        <f t="shared" si="13"/>
        <v>28.884745549577481</v>
      </c>
      <c r="AB53" s="2">
        <f t="shared" si="14"/>
        <v>29.397551428815028</v>
      </c>
      <c r="AC53" s="2">
        <f t="shared" si="15"/>
        <v>34.772340177444718</v>
      </c>
      <c r="AD53" s="2">
        <f t="shared" si="16"/>
        <v>2.7283275721907962</v>
      </c>
      <c r="AE53" s="2">
        <f t="shared" si="17"/>
        <v>8.4800583603240423</v>
      </c>
    </row>
    <row r="54" spans="2:31" x14ac:dyDescent="0.2">
      <c r="B54" s="1">
        <f>[14]FormattedData!A21</f>
        <v>105</v>
      </c>
      <c r="C54" s="1" t="str">
        <f>VLOOKUP($B54,[14]TrtCodes!$B$11:I64,2)</f>
        <v>NDL</v>
      </c>
      <c r="D54" s="1">
        <f>VLOOKUP($B54,[14]TrtCodes!$B$11:J64,3)</f>
        <v>12</v>
      </c>
      <c r="E54" s="1">
        <f>VLOOKUP($B54,[14]TrtCodes!$B$11:K64,4)</f>
        <v>2</v>
      </c>
      <c r="F54" s="1">
        <f>VLOOKUP($B54,[14]TrtCodes!$B$11:L64,5)</f>
        <v>3</v>
      </c>
      <c r="G54" s="1">
        <f>VLOOKUP($B54,[14]TrtCodes!$B$11:M64,6)</f>
        <v>1</v>
      </c>
      <c r="H54" s="1">
        <f>VLOOKUP($B54,[14]TrtCodes!$B$11:N64,7)</f>
        <v>2</v>
      </c>
      <c r="I54" s="1">
        <f>[14]FormattedData!B21</f>
        <v>2</v>
      </c>
      <c r="J54" s="4">
        <f>[14]FormattedData!C21</f>
        <v>12.98</v>
      </c>
      <c r="K54" s="6">
        <f>$J$3+[14]FormattedData!D21*$J$4+$M$4*$J$5+[14]FormattedData!D21^2*$J$6+$M$5*$J$7</f>
        <v>29.763297889925585</v>
      </c>
      <c r="L54" s="6">
        <f>$J$3+[14]FormattedData!E21*$J$4+$M$4*$J$5+[14]FormattedData!E21^2*$J$6+$M$5*$J$7</f>
        <v>29.080275282753689</v>
      </c>
      <c r="M54" s="6">
        <f>$J$3+[14]FormattedData!F21*$J$4+$M$4*$J$5+[14]FormattedData!F21^2*$J$6+$M$5*$J$7</f>
        <v>30.444249338738853</v>
      </c>
      <c r="N54" s="6">
        <f>$J$3+[14]FormattedData!G21*$J$4+$M$4*$J$5+[14]FormattedData!G21^2*$J$6+$M$5*$J$7</f>
        <v>29.66585003737196</v>
      </c>
      <c r="O54" s="6">
        <f>$J$3+[14]FormattedData!H21*$J$4+$M$4*$J$5+[14]FormattedData!H21^2*$J$6+$M$5*$J$7</f>
        <v>30.832434544511948</v>
      </c>
      <c r="P54" s="6">
        <f>$J$3+[14]FormattedData!I21*$J$4+$M$4*$J$5+[14]FormattedData!I21^2*$J$6+$M$5*$J$7</f>
        <v>30.152666614760747</v>
      </c>
      <c r="Q54" s="6">
        <f>$J$3+[14]FormattedData!J21*$J$4+$M$4*$J$5+[14]FormattedData!J21^2*$J$6+$M$5*$J$7</f>
        <v>28.786917280182479</v>
      </c>
      <c r="R54" s="6">
        <f>$J$3+[14]FormattedData!K21*$J$4+$M$4*$J$5+[14]FormattedData!K21^2*$J$6+$M$5*$J$7</f>
        <v>28.493178860769895</v>
      </c>
      <c r="S54" s="6">
        <f>$J$3+[14]FormattedData!L21*$J$4+$M$4*$J$5+[14]FormattedData!L21^2*$J$6+$M$5*$J$7</f>
        <v>28.786917280182479</v>
      </c>
      <c r="T54" s="6">
        <f>$J$3+[14]FormattedData!M21*$J$4+$M$4*$J$5+[14]FormattedData!M21^2*$J$6+$M$5*$J$7</f>
        <v>28.689046742249548</v>
      </c>
      <c r="U54" s="6">
        <f>$J$3+[14]FormattedData!N21*$J$4+$M$4*$J$5+[14]FormattedData!N21^2*$J$6+$M$5*$J$7</f>
        <v>28.493178860769895</v>
      </c>
      <c r="V54" s="6">
        <f>$J$3+[14]FormattedData!O21*$J$4+$M$4*$J$5+[14]FormattedData!O21^2*$J$6+$M$5*$J$7</f>
        <v>31.51013131590452</v>
      </c>
      <c r="W54" s="5">
        <f t="shared" si="9"/>
        <v>29.558178670676799</v>
      </c>
      <c r="X54" s="4">
        <f t="shared" si="10"/>
        <v>0.28956564565984533</v>
      </c>
      <c r="Y54" s="3">
        <f t="shared" si="11"/>
        <v>28.493178860769895</v>
      </c>
      <c r="Z54" s="2">
        <f t="shared" si="12"/>
        <v>28.762449645699245</v>
      </c>
      <c r="AA54" s="3">
        <f t="shared" si="13"/>
        <v>29.373062660062825</v>
      </c>
      <c r="AB54" s="2">
        <f t="shared" si="14"/>
        <v>30.225562295755275</v>
      </c>
      <c r="AC54" s="2">
        <f t="shared" si="15"/>
        <v>31.51013131590452</v>
      </c>
      <c r="AD54" s="2">
        <f t="shared" si="16"/>
        <v>0.6834080778506938</v>
      </c>
      <c r="AE54" s="2">
        <f t="shared" si="17"/>
        <v>-0.64022704300384659</v>
      </c>
    </row>
    <row r="55" spans="2:31" x14ac:dyDescent="0.2">
      <c r="B55" s="1">
        <f>[14]FormattedData!A19</f>
        <v>106</v>
      </c>
      <c r="C55" s="1" t="str">
        <f>VLOOKUP($B55,[14]TrtCodes!$B$11:I62,2)</f>
        <v>NTH</v>
      </c>
      <c r="D55" s="1">
        <f>VLOOKUP($B55,[14]TrtCodes!$B$11:J62,3)</f>
        <v>9</v>
      </c>
      <c r="E55" s="1">
        <f>VLOOKUP($B55,[14]TrtCodes!$B$11:K62,4)</f>
        <v>2</v>
      </c>
      <c r="F55" s="1">
        <f>VLOOKUP($B55,[14]TrtCodes!$B$11:L62,5)</f>
        <v>2</v>
      </c>
      <c r="G55" s="1">
        <f>VLOOKUP($B55,[14]TrtCodes!$B$11:M62,6)</f>
        <v>2</v>
      </c>
      <c r="H55" s="1">
        <f>VLOOKUP($B55,[14]TrtCodes!$B$11:N62,7)</f>
        <v>2</v>
      </c>
      <c r="I55" s="1">
        <f>[14]FormattedData!B19</f>
        <v>2</v>
      </c>
      <c r="J55" s="4">
        <f>[14]FormattedData!C19</f>
        <v>12.965999999999999</v>
      </c>
      <c r="K55" s="6">
        <f>$J$3+[14]FormattedData!D19*$J$4+$M$4*$J$5+[14]FormattedData!D19^2*$J$6+$M$5*$J$7</f>
        <v>27.806309816646262</v>
      </c>
      <c r="L55" s="6">
        <f>$J$3+[14]FormattedData!E19*$J$4+$M$4*$J$5+[14]FormattedData!E19^2*$J$6+$M$5*$J$7</f>
        <v>27.904560771420574</v>
      </c>
      <c r="M55" s="6">
        <f>$J$3+[14]FormattedData!F19*$J$4+$M$4*$J$5+[14]FormattedData!F19^2*$J$6+$M$5*$J$7</f>
        <v>29.763297889925585</v>
      </c>
      <c r="N55" s="6">
        <f>$J$3+[14]FormattedData!G19*$J$4+$M$4*$J$5+[14]FormattedData!G19^2*$J$6+$M$5*$J$7</f>
        <v>30.055387836358857</v>
      </c>
      <c r="O55" s="6">
        <f>$J$3+[14]FormattedData!H19*$J$4+$M$4*$J$5+[14]FormattedData!H19^2*$J$6+$M$5*$J$7</f>
        <v>29.080275282753689</v>
      </c>
      <c r="P55" s="6">
        <f>$J$3+[14]FormattedData!I19*$J$4+$M$4*$J$5+[14]FormattedData!I19^2*$J$6+$M$5*$J$7</f>
        <v>28.884745549577481</v>
      </c>
      <c r="Q55" s="6">
        <f>$J$3+[14]FormattedData!J19*$J$4+$M$4*$J$5+[14]FormattedData!J19^2*$J$6+$M$5*$J$7</f>
        <v>30.541359042989022</v>
      </c>
      <c r="R55" s="6">
        <f>$J$3+[14]FormattedData!K19*$J$4+$M$4*$J$5+[14]FormattedData!K19^2*$J$6+$M$5*$J$7</f>
        <v>29.470827526650929</v>
      </c>
      <c r="S55" s="6">
        <f>$J$3+[14]FormattedData!L19*$J$4+$M$4*$J$5+[14]FormattedData!L19^2*$J$6+$M$5*$J$7</f>
        <v>28.100935875355407</v>
      </c>
      <c r="T55" s="6">
        <f>$J$3+[14]FormattedData!M19*$J$4+$M$4*$J$5+[14]FormattedData!M19^2*$J$6+$M$5*$J$7</f>
        <v>29.66585003737196</v>
      </c>
      <c r="U55" s="6">
        <f>$J$3+[14]FormattedData!N19*$J$4+$M$4*$J$5+[14]FormattedData!N19^2*$J$6+$M$5*$J$7</f>
        <v>29.763297889925585</v>
      </c>
      <c r="V55" s="6">
        <f>$J$3+[14]FormattedData!O19*$J$4+$M$4*$J$5+[14]FormattedData!O19^2*$J$6+$M$5*$J$7</f>
        <v>29.080275282753689</v>
      </c>
      <c r="W55" s="5">
        <f t="shared" si="9"/>
        <v>29.17642690014409</v>
      </c>
      <c r="X55" s="4">
        <f t="shared" si="10"/>
        <v>0.25234907624234715</v>
      </c>
      <c r="Y55" s="3">
        <f t="shared" si="11"/>
        <v>27.806309816646262</v>
      </c>
      <c r="Z55" s="2">
        <f t="shared" si="12"/>
        <v>28.688793131021963</v>
      </c>
      <c r="AA55" s="3">
        <f t="shared" si="13"/>
        <v>29.275551404702309</v>
      </c>
      <c r="AB55" s="2">
        <f t="shared" si="14"/>
        <v>29.763297889925585</v>
      </c>
      <c r="AC55" s="2">
        <f t="shared" si="15"/>
        <v>30.541359042989022</v>
      </c>
      <c r="AD55" s="2">
        <f t="shared" si="16"/>
        <v>-0.34801922139282643</v>
      </c>
      <c r="AE55" s="2">
        <f t="shared" si="17"/>
        <v>-0.83401757828396184</v>
      </c>
    </row>
    <row r="56" spans="2:31" x14ac:dyDescent="0.2">
      <c r="B56" s="1">
        <f>[14]FormattedData!A17</f>
        <v>107</v>
      </c>
      <c r="C56" s="1" t="str">
        <f>VLOOKUP($B56,[14]TrtCodes!$B$11:I60,2)</f>
        <v>NTL</v>
      </c>
      <c r="D56" s="1">
        <f>VLOOKUP($B56,[14]TrtCodes!$B$11:J60,3)</f>
        <v>10</v>
      </c>
      <c r="E56" s="1">
        <f>VLOOKUP($B56,[14]TrtCodes!$B$11:K60,4)</f>
        <v>2</v>
      </c>
      <c r="F56" s="1">
        <f>VLOOKUP($B56,[14]TrtCodes!$B$11:L60,5)</f>
        <v>2</v>
      </c>
      <c r="G56" s="1">
        <f>VLOOKUP($B56,[14]TrtCodes!$B$11:M60,6)</f>
        <v>1</v>
      </c>
      <c r="H56" s="1">
        <f>VLOOKUP($B56,[14]TrtCodes!$B$11:N60,7)</f>
        <v>2</v>
      </c>
      <c r="I56" s="1">
        <f>[14]FormattedData!B17</f>
        <v>2</v>
      </c>
      <c r="J56" s="4">
        <f>[14]FormattedData!C17</f>
        <v>12.952</v>
      </c>
      <c r="K56" s="6">
        <f>$J$3+[14]FormattedData!D17*$J$4+$M$4*$J$5+[14]FormattedData!D17^2*$J$6+$M$5*$J$7</f>
        <v>30.735451645875571</v>
      </c>
      <c r="L56" s="6">
        <f>$J$3+[14]FormattedData!E17*$J$4+$M$4*$J$5+[14]FormattedData!E17^2*$J$6+$M$5*$J$7</f>
        <v>29.275635941778173</v>
      </c>
      <c r="M56" s="6">
        <f>$J$3+[14]FormattedData!F17*$J$4+$M$4*$J$5+[14]FormattedData!F17^2*$J$6+$M$5*$J$7</f>
        <v>36.95142149834335</v>
      </c>
      <c r="N56" s="6">
        <f>$J$3+[14]FormattedData!G17*$J$4+$M$4*$J$5+[14]FormattedData!G17^2*$J$6+$M$5*$J$7</f>
        <v>30.055387836358857</v>
      </c>
      <c r="O56" s="6">
        <f>$J$3+[14]FormattedData!H17*$J$4+$M$4*$J$5+[14]FormattedData!H17^2*$J$6+$M$5*$J$7</f>
        <v>28.493178860769895</v>
      </c>
      <c r="P56" s="6">
        <f>$J$3+[14]FormattedData!I17*$J$4+$M$4*$J$5+[14]FormattedData!I17^2*$J$6+$M$5*$J$7</f>
        <v>28.29714190513851</v>
      </c>
      <c r="Q56" s="6">
        <f>$J$3+[14]FormattedData!J17*$J$4+$M$4*$J$5+[14]FormattedData!J17^2*$J$6+$M$5*$J$7</f>
        <v>31.51013131590452</v>
      </c>
      <c r="R56" s="6">
        <f>$J$3+[14]FormattedData!K17*$J$4+$M$4*$J$5+[14]FormattedData!K17^2*$J$6+$M$5*$J$7</f>
        <v>28.002769457656957</v>
      </c>
      <c r="S56" s="6">
        <f>$J$3+[14]FormattedData!L17*$J$4+$M$4*$J$5+[14]FormattedData!L17^2*$J$6+$M$5*$J$7</f>
        <v>29.66585003737196</v>
      </c>
      <c r="T56" s="6">
        <f>$J$3+[14]FormattedData!M17*$J$4+$M$4*$J$5+[14]FormattedData!M17^2*$J$6+$M$5*$J$7</f>
        <v>29.080275282753689</v>
      </c>
      <c r="U56" s="6">
        <f>$J$3+[14]FormattedData!N17*$J$4+$M$4*$J$5+[14]FormattedData!N17^2*$J$6+$M$5*$J$7</f>
        <v>29.470827526650929</v>
      </c>
      <c r="V56" s="6">
        <f>$J$3+[14]FormattedData!O17*$J$4+$M$4*$J$5+[14]FormattedData!O17^2*$J$6+$M$5*$J$7</f>
        <v>28.786917280182479</v>
      </c>
      <c r="W56" s="5">
        <f t="shared" si="9"/>
        <v>30.027082382398742</v>
      </c>
      <c r="X56" s="4">
        <f t="shared" si="10"/>
        <v>0.69375419528730087</v>
      </c>
      <c r="Y56" s="3">
        <f t="shared" si="11"/>
        <v>28.002769457656957</v>
      </c>
      <c r="Z56" s="2">
        <f t="shared" si="12"/>
        <v>28.713482675329331</v>
      </c>
      <c r="AA56" s="3">
        <f t="shared" si="13"/>
        <v>29.373231734214549</v>
      </c>
      <c r="AB56" s="2">
        <f t="shared" si="14"/>
        <v>30.225403788738035</v>
      </c>
      <c r="AC56" s="2">
        <f t="shared" si="15"/>
        <v>36.95142149834335</v>
      </c>
      <c r="AD56" s="2">
        <f t="shared" si="16"/>
        <v>2.4768212733517143</v>
      </c>
      <c r="AE56" s="2">
        <f t="shared" si="17"/>
        <v>7.0152015439810285</v>
      </c>
    </row>
    <row r="57" spans="2:31" x14ac:dyDescent="0.2">
      <c r="B57" s="1">
        <f>[14]FormattedData!A15</f>
        <v>108</v>
      </c>
      <c r="C57" s="1" t="str">
        <f>VLOOKUP($B57,[14]TrtCodes!$B$11:I58,2)</f>
        <v>FTH</v>
      </c>
      <c r="D57" s="1">
        <f>VLOOKUP($B57,[14]TrtCodes!$B$11:J58,3)</f>
        <v>3</v>
      </c>
      <c r="E57" s="1">
        <f>VLOOKUP($B57,[14]TrtCodes!$B$11:K58,4)</f>
        <v>1</v>
      </c>
      <c r="F57" s="1">
        <f>VLOOKUP($B57,[14]TrtCodes!$B$11:L58,5)</f>
        <v>2</v>
      </c>
      <c r="G57" s="1">
        <f>VLOOKUP($B57,[14]TrtCodes!$B$11:M58,6)</f>
        <v>2</v>
      </c>
      <c r="H57" s="1">
        <f>VLOOKUP($B57,[14]TrtCodes!$B$11:N58,7)</f>
        <v>2</v>
      </c>
      <c r="I57" s="1">
        <f>[14]FormattedData!B15</f>
        <v>2</v>
      </c>
      <c r="J57" s="4">
        <f>[14]FormattedData!C15</f>
        <v>12.936</v>
      </c>
      <c r="K57" s="6">
        <f>$J$3+[14]FormattedData!D15*$J$4+$M$4*$J$5+[14]FormattedData!D15^2*$J$6+$M$5*$J$7</f>
        <v>29.275635941778173</v>
      </c>
      <c r="L57" s="6">
        <f>$J$3+[14]FormattedData!E15*$J$4+$M$4*$J$5+[14]FormattedData!E15^2*$J$6+$M$5*$J$7</f>
        <v>29.177976746534895</v>
      </c>
      <c r="M57" s="6">
        <f>$J$3+[14]FormattedData!F15*$J$4+$M$4*$J$5+[14]FormattedData!F15^2*$J$6+$M$5*$J$7</f>
        <v>29.860703473941271</v>
      </c>
      <c r="N57" s="6">
        <f>$J$3+[14]FormattedData!G15*$J$4+$M$4*$J$5+[14]FormattedData!G15^2*$J$6+$M$5*$J$7</f>
        <v>30.444249338738853</v>
      </c>
      <c r="O57" s="6">
        <f>$J$3+[14]FormattedData!H15*$J$4+$M$4*$J$5+[14]FormattedData!H15^2*$J$6+$M$5*$J$7</f>
        <v>29.66585003737196</v>
      </c>
      <c r="P57" s="6">
        <f>$J$3+[14]FormattedData!I15*$J$4+$M$4*$J$5+[14]FormattedData!I15^2*$J$6+$M$5*$J$7</f>
        <v>30.055387836358857</v>
      </c>
      <c r="Q57" s="6">
        <f>$J$3+[14]FormattedData!J15*$J$4+$M$4*$J$5+[14]FormattedData!J15^2*$J$6+$M$5*$J$7</f>
        <v>29.66585003737196</v>
      </c>
      <c r="R57" s="6">
        <f>$J$3+[14]FormattedData!K15*$J$4+$M$4*$J$5+[14]FormattedData!K15^2*$J$6+$M$5*$J$7</f>
        <v>30.638426478701259</v>
      </c>
      <c r="S57" s="6">
        <f>$J$3+[14]FormattedData!L15*$J$4+$M$4*$J$5+[14]FormattedData!L15^2*$J$6+$M$5*$J$7</f>
        <v>30.541359042989022</v>
      </c>
      <c r="T57" s="6">
        <f>$J$3+[14]FormattedData!M15*$J$4+$M$4*$J$5+[14]FormattedData!M15^2*$J$6+$M$5*$J$7</f>
        <v>30.929375174610396</v>
      </c>
      <c r="U57" s="6">
        <f>$J$3+[14]FormattedData!N15*$J$4+$M$4*$J$5+[14]FormattedData!N15^2*$J$6+$M$5*$J$7</f>
        <v>30.735451645875571</v>
      </c>
      <c r="V57" s="6">
        <f>$J$3+[14]FormattedData!O15*$J$4+$M$4*$J$5+[14]FormattedData!O15^2*$J$6+$M$5*$J$7</f>
        <v>29.763297889925585</v>
      </c>
      <c r="W57" s="5">
        <f t="shared" si="9"/>
        <v>30.062796970349819</v>
      </c>
      <c r="X57" s="4">
        <f t="shared" si="10"/>
        <v>0.16871974293314732</v>
      </c>
      <c r="Y57" s="3">
        <f t="shared" si="11"/>
        <v>29.177976746534895</v>
      </c>
      <c r="Z57" s="2">
        <f t="shared" si="12"/>
        <v>29.66585003737196</v>
      </c>
      <c r="AA57" s="3">
        <f t="shared" si="13"/>
        <v>29.958045655150066</v>
      </c>
      <c r="AB57" s="2">
        <f t="shared" si="14"/>
        <v>30.56562590191708</v>
      </c>
      <c r="AC57" s="2">
        <f t="shared" si="15"/>
        <v>30.929375174610396</v>
      </c>
      <c r="AD57" s="2">
        <f t="shared" si="16"/>
        <v>-1.6244831876003434E-2</v>
      </c>
      <c r="AE57" s="2">
        <f t="shared" si="17"/>
        <v>-1.3212917194295613</v>
      </c>
    </row>
    <row r="58" spans="2:31" x14ac:dyDescent="0.2">
      <c r="B58" s="1">
        <f>[14]FormattedData!A31</f>
        <v>201</v>
      </c>
      <c r="C58" s="1" t="str">
        <f>VLOOKUP($B58,[14]TrtCodes!$B$11:I74,2)</f>
        <v>NDL</v>
      </c>
      <c r="D58" s="1">
        <f>VLOOKUP($B58,[14]TrtCodes!$B$11:J74,3)</f>
        <v>12</v>
      </c>
      <c r="E58" s="1">
        <f>VLOOKUP($B58,[14]TrtCodes!$B$11:K74,4)</f>
        <v>2</v>
      </c>
      <c r="F58" s="1">
        <f>VLOOKUP($B58,[14]TrtCodes!$B$11:L74,5)</f>
        <v>3</v>
      </c>
      <c r="G58" s="1">
        <f>VLOOKUP($B58,[14]TrtCodes!$B$11:M74,6)</f>
        <v>1</v>
      </c>
      <c r="H58" s="1">
        <f>VLOOKUP($B58,[14]TrtCodes!$B$11:N74,7)</f>
        <v>1</v>
      </c>
      <c r="I58" s="1">
        <f>[14]FormattedData!B31</f>
        <v>2</v>
      </c>
      <c r="J58" s="4">
        <f>[14]FormattedData!C31</f>
        <v>13.06</v>
      </c>
      <c r="K58" s="6">
        <f>$J$3+[14]FormattedData!D31*$J$4+$M$4*$J$5+[14]FormattedData!D31^2*$J$6+$M$5*$J$7</f>
        <v>28.100935875355407</v>
      </c>
      <c r="L58" s="6">
        <f>$J$3+[14]FormattedData!E31*$J$4+$M$4*$J$5+[14]FormattedData!E31^2*$J$6+$M$5*$J$7</f>
        <v>28.395181517223165</v>
      </c>
      <c r="M58" s="6">
        <f>$J$3+[14]FormattedData!F31*$J$4+$M$4*$J$5+[14]FormattedData!F31^2*$J$6+$M$5*$J$7</f>
        <v>29.568359916280414</v>
      </c>
      <c r="N58" s="6">
        <f>$J$3+[14]FormattedData!G31*$J$4+$M$4*$J$5+[14]FormattedData!G31^2*$J$6+$M$5*$J$7</f>
        <v>29.66585003737196</v>
      </c>
      <c r="O58" s="6">
        <f>$J$3+[14]FormattedData!H31*$J$4+$M$4*$J$5+[14]FormattedData!H31^2*$J$6+$M$5*$J$7</f>
        <v>27.904560771420574</v>
      </c>
      <c r="P58" s="6">
        <f>$J$3+[14]FormattedData!I31*$J$4+$M$4*$J$5+[14]FormattedData!I31^2*$J$6+$M$5*$J$7</f>
        <v>28.100935875355407</v>
      </c>
      <c r="Q58" s="6">
        <f>$J$3+[14]FormattedData!J31*$J$4+$M$4*$J$5+[14]FormattedData!J31^2*$J$6+$M$5*$J$7</f>
        <v>27.806309816646262</v>
      </c>
      <c r="R58" s="6">
        <f>$J$3+[14]FormattedData!K31*$J$4+$M$4*$J$5+[14]FormattedData!K31^2*$J$6+$M$5*$J$7</f>
        <v>29.66585003737196</v>
      </c>
      <c r="S58" s="6">
        <f>$J$3+[14]FormattedData!L31*$J$4+$M$4*$J$5+[14]FormattedData!L31^2*$J$6+$M$5*$J$7</f>
        <v>28.884745549577481</v>
      </c>
      <c r="T58" s="6">
        <f>$J$3+[14]FormattedData!M31*$J$4+$M$4*$J$5+[14]FormattedData!M31^2*$J$6+$M$5*$J$7</f>
        <v>29.177976746534895</v>
      </c>
      <c r="U58" s="6">
        <f>$J$3+[14]FormattedData!N31*$J$4+$M$4*$J$5+[14]FormattedData!N31^2*$J$6+$M$5*$J$7</f>
        <v>29.080275282753689</v>
      </c>
      <c r="V58" s="6">
        <f>$J$3+[14]FormattedData!O31*$J$4+$M$4*$J$5+[14]FormattedData!O31^2*$J$6+$M$5*$J$7</f>
        <v>30.444249338738853</v>
      </c>
      <c r="W58" s="5">
        <f t="shared" si="9"/>
        <v>28.899602563719174</v>
      </c>
      <c r="X58" s="4">
        <f t="shared" si="10"/>
        <v>0.24360566022321203</v>
      </c>
      <c r="Y58" s="3">
        <f t="shared" si="11"/>
        <v>27.806309816646262</v>
      </c>
      <c r="Z58" s="2">
        <f t="shared" si="12"/>
        <v>28.100935875355407</v>
      </c>
      <c r="AA58" s="3">
        <f t="shared" si="13"/>
        <v>28.982510416165585</v>
      </c>
      <c r="AB58" s="2">
        <f t="shared" si="14"/>
        <v>29.592732446553299</v>
      </c>
      <c r="AC58" s="2">
        <f t="shared" si="15"/>
        <v>30.444249338738853</v>
      </c>
      <c r="AD58" s="2">
        <f t="shared" si="16"/>
        <v>0.26731245529878306</v>
      </c>
      <c r="AE58" s="2">
        <f t="shared" si="17"/>
        <v>-0.96437210815415231</v>
      </c>
    </row>
    <row r="59" spans="2:31" x14ac:dyDescent="0.2">
      <c r="B59" s="1">
        <f>[14]FormattedData!A33</f>
        <v>202</v>
      </c>
      <c r="C59" s="1" t="str">
        <f>VLOOKUP($B59,[14]TrtCodes!$B$11:I76,2)</f>
        <v>NTH</v>
      </c>
      <c r="D59" s="1">
        <f>VLOOKUP($B59,[14]TrtCodes!$B$11:J76,3)</f>
        <v>9</v>
      </c>
      <c r="E59" s="1">
        <f>VLOOKUP($B59,[14]TrtCodes!$B$11:K76,4)</f>
        <v>2</v>
      </c>
      <c r="F59" s="1">
        <f>VLOOKUP($B59,[14]TrtCodes!$B$11:L76,5)</f>
        <v>2</v>
      </c>
      <c r="G59" s="1">
        <f>VLOOKUP($B59,[14]TrtCodes!$B$11:M76,6)</f>
        <v>2</v>
      </c>
      <c r="H59" s="1">
        <f>VLOOKUP($B59,[14]TrtCodes!$B$11:N76,7)</f>
        <v>1</v>
      </c>
      <c r="I59" s="1">
        <f>[14]FormattedData!B33</f>
        <v>2</v>
      </c>
      <c r="J59" s="4">
        <f>[14]FormattedData!C33</f>
        <v>13.074</v>
      </c>
      <c r="K59" s="6">
        <f>$J$3+[14]FormattedData!D33*$J$4+$M$4*$J$5+[14]FormattedData!D33^2*$J$6+$M$5*$J$7</f>
        <v>30.152666614760747</v>
      </c>
      <c r="L59" s="6">
        <f>$J$3+[14]FormattedData!E33*$J$4+$M$4*$J$5+[14]FormattedData!E33^2*$J$6+$M$5*$J$7</f>
        <v>30.249903124624716</v>
      </c>
      <c r="M59" s="6">
        <f>$J$3+[14]FormattedData!F33*$J$4+$M$4*$J$5+[14]FormattedData!F33^2*$J$6+$M$5*$J$7</f>
        <v>31.896456706008649</v>
      </c>
      <c r="N59" s="6">
        <f>$J$3+[14]FormattedData!G33*$J$4+$M$4*$J$5+[14]FormattedData!G33^2*$J$6+$M$5*$J$7</f>
        <v>30.347097365950745</v>
      </c>
      <c r="O59" s="6">
        <f>$J$3+[14]FormattedData!H33*$J$4+$M$4*$J$5+[14]FormattedData!H33^2*$J$6+$M$5*$J$7</f>
        <v>30.249903124624716</v>
      </c>
      <c r="P59" s="6">
        <f>$J$3+[14]FormattedData!I33*$J$4+$M$4*$J$5+[14]FormattedData!I33^2*$J$6+$M$5*$J$7</f>
        <v>29.373252868483515</v>
      </c>
      <c r="Q59" s="6">
        <f>$J$3+[14]FormattedData!J33*$J$4+$M$4*$J$5+[14]FormattedData!J33^2*$J$6+$M$5*$J$7</f>
        <v>31.026273536170908</v>
      </c>
      <c r="R59" s="6">
        <f>$J$3+[14]FormattedData!K33*$J$4+$M$4*$J$5+[14]FormattedData!K33^2*$J$6+$M$5*$J$7</f>
        <v>29.66585003737196</v>
      </c>
      <c r="S59" s="6">
        <f>$J$3+[14]FormattedData!L33*$J$4+$M$4*$J$5+[14]FormattedData!L33^2*$J$6+$M$5*$J$7</f>
        <v>30.832434544511948</v>
      </c>
      <c r="T59" s="6">
        <f>$J$3+[14]FormattedData!M33*$J$4+$M$4*$J$5+[14]FormattedData!M33^2*$J$6+$M$5*$J$7</f>
        <v>30.152666614760747</v>
      </c>
      <c r="U59" s="6">
        <f>$J$3+[14]FormattedData!N33*$J$4+$M$4*$J$5+[14]FormattedData!N33^2*$J$6+$M$5*$J$7</f>
        <v>30.735451645875571</v>
      </c>
      <c r="V59" s="6">
        <f>$J$3+[14]FormattedData!O33*$J$4+$M$4*$J$5+[14]FormattedData!O33^2*$J$6+$M$5*$J$7</f>
        <v>30.347097365950745</v>
      </c>
      <c r="W59" s="5">
        <f t="shared" si="9"/>
        <v>30.419087795757914</v>
      </c>
      <c r="X59" s="4">
        <f t="shared" si="10"/>
        <v>0.18855401721202955</v>
      </c>
      <c r="Y59" s="3">
        <f t="shared" si="11"/>
        <v>29.373252868483515</v>
      </c>
      <c r="Z59" s="2">
        <f t="shared" si="12"/>
        <v>30.152666614760747</v>
      </c>
      <c r="AA59" s="3">
        <f t="shared" si="13"/>
        <v>30.29850024528773</v>
      </c>
      <c r="AB59" s="2">
        <f t="shared" si="14"/>
        <v>30.759697370534667</v>
      </c>
      <c r="AC59" s="2">
        <f t="shared" si="15"/>
        <v>31.896456706008649</v>
      </c>
      <c r="AD59" s="2">
        <f t="shared" si="16"/>
        <v>0.75600799552540654</v>
      </c>
      <c r="AE59" s="2">
        <f t="shared" si="17"/>
        <v>1.5670590083903262</v>
      </c>
    </row>
    <row r="60" spans="2:31" x14ac:dyDescent="0.2">
      <c r="B60" s="1">
        <f>[14]FormattedData!A35</f>
        <v>203</v>
      </c>
      <c r="C60" s="1" t="str">
        <f>VLOOKUP($B60,[14]TrtCodes!$B$11:I78,2)</f>
        <v>FTH</v>
      </c>
      <c r="D60" s="1">
        <f>VLOOKUP($B60,[14]TrtCodes!$B$11:J78,3)</f>
        <v>3</v>
      </c>
      <c r="E60" s="1">
        <f>VLOOKUP($B60,[14]TrtCodes!$B$11:K78,4)</f>
        <v>1</v>
      </c>
      <c r="F60" s="1">
        <f>VLOOKUP($B60,[14]TrtCodes!$B$11:L78,5)</f>
        <v>2</v>
      </c>
      <c r="G60" s="1">
        <f>VLOOKUP($B60,[14]TrtCodes!$B$11:M78,6)</f>
        <v>2</v>
      </c>
      <c r="H60" s="1">
        <f>VLOOKUP($B60,[14]TrtCodes!$B$11:N78,7)</f>
        <v>1</v>
      </c>
      <c r="I60" s="1">
        <f>[14]FormattedData!B35</f>
        <v>2</v>
      </c>
      <c r="J60" s="4">
        <f>[14]FormattedData!C35</f>
        <v>13.087999999999999</v>
      </c>
      <c r="K60" s="6">
        <f>$J$3+[14]FormattedData!D35*$J$4+$M$4*$J$5+[14]FormattedData!D35^2*$J$6+$M$5*$J$7</f>
        <v>29.568359916280414</v>
      </c>
      <c r="L60" s="6">
        <f>$J$3+[14]FormattedData!E35*$J$4+$M$4*$J$5+[14]FormattedData!E35^2*$J$6+$M$5*$J$7</f>
        <v>30.152666614760747</v>
      </c>
      <c r="M60" s="6">
        <f>$J$3+[14]FormattedData!F35*$J$4+$M$4*$J$5+[14]FormattedData!F35^2*$J$6+$M$5*$J$7</f>
        <v>31.123129629193489</v>
      </c>
      <c r="N60" s="6">
        <f>$J$3+[14]FormattedData!G35*$J$4+$M$4*$J$5+[14]FormattedData!G35^2*$J$6+$M$5*$J$7</f>
        <v>29.080275282753689</v>
      </c>
      <c r="O60" s="6">
        <f>$J$3+[14]FormattedData!H35*$J$4+$M$4*$J$5+[14]FormattedData!H35^2*$J$6+$M$5*$J$7</f>
        <v>30.929375174610396</v>
      </c>
      <c r="P60" s="6">
        <f>$J$3+[14]FormattedData!I35*$J$4+$M$4*$J$5+[14]FormattedData!I35^2*$J$6+$M$5*$J$7</f>
        <v>33.051375096679642</v>
      </c>
      <c r="Q60" s="6">
        <f>$J$3+[14]FormattedData!J35*$J$4+$M$4*$J$5+[14]FormattedData!J35^2*$J$6+$M$5*$J$7</f>
        <v>31.123129629193489</v>
      </c>
      <c r="R60" s="6">
        <f>$J$3+[14]FormattedData!K35*$J$4+$M$4*$J$5+[14]FormattedData!K35^2*$J$6+$M$5*$J$7</f>
        <v>30.541359042989022</v>
      </c>
      <c r="S60" s="6">
        <f>$J$3+[14]FormattedData!L35*$J$4+$M$4*$J$5+[14]FormattedData!L35^2*$J$6+$M$5*$J$7</f>
        <v>29.080275282753689</v>
      </c>
      <c r="T60" s="6">
        <f>$J$3+[14]FormattedData!M35*$J$4+$M$4*$J$5+[14]FormattedData!M35^2*$J$6+$M$5*$J$7</f>
        <v>29.860703473941271</v>
      </c>
      <c r="U60" s="6">
        <f>$J$3+[14]FormattedData!N35*$J$4+$M$4*$J$5+[14]FormattedData!N35^2*$J$6+$M$5*$J$7</f>
        <v>30.929375174610396</v>
      </c>
      <c r="V60" s="6">
        <f>$J$3+[14]FormattedData!O35*$J$4+$M$4*$J$5+[14]FormattedData!O35^2*$J$6+$M$5*$J$7</f>
        <v>30.735451645875571</v>
      </c>
      <c r="W60" s="5">
        <f t="shared" si="9"/>
        <v>30.514622996970157</v>
      </c>
      <c r="X60" s="4">
        <f t="shared" si="10"/>
        <v>0.31548344837246634</v>
      </c>
      <c r="Y60" s="3">
        <f t="shared" si="11"/>
        <v>29.080275282753689</v>
      </c>
      <c r="Z60" s="2">
        <f t="shared" si="12"/>
        <v>29.787617584526057</v>
      </c>
      <c r="AA60" s="3">
        <f t="shared" si="13"/>
        <v>30.638405344432297</v>
      </c>
      <c r="AB60" s="2">
        <f t="shared" si="14"/>
        <v>30.977813788256171</v>
      </c>
      <c r="AC60" s="2">
        <f t="shared" si="15"/>
        <v>33.051375096679642</v>
      </c>
      <c r="AD60" s="2">
        <f t="shared" si="16"/>
        <v>0.82341227297617969</v>
      </c>
      <c r="AE60" s="2">
        <f t="shared" si="17"/>
        <v>1.6239255577453147</v>
      </c>
    </row>
    <row r="61" spans="2:31" x14ac:dyDescent="0.2">
      <c r="B61" s="1">
        <f>[14]FormattedData!A37</f>
        <v>204</v>
      </c>
      <c r="C61" s="1" t="str">
        <f>VLOOKUP($B61,[14]TrtCodes!$B$11:I80,2)</f>
        <v>NDH</v>
      </c>
      <c r="D61" s="1">
        <f>VLOOKUP($B61,[14]TrtCodes!$B$11:J80,3)</f>
        <v>11</v>
      </c>
      <c r="E61" s="1">
        <f>VLOOKUP($B61,[14]TrtCodes!$B$11:K80,4)</f>
        <v>2</v>
      </c>
      <c r="F61" s="1">
        <f>VLOOKUP($B61,[14]TrtCodes!$B$11:L80,5)</f>
        <v>3</v>
      </c>
      <c r="G61" s="1">
        <f>VLOOKUP($B61,[14]TrtCodes!$B$11:M80,6)</f>
        <v>2</v>
      </c>
      <c r="H61" s="1">
        <f>VLOOKUP($B61,[14]TrtCodes!$B$11:N80,7)</f>
        <v>1</v>
      </c>
      <c r="I61" s="1">
        <f>[14]FormattedData!B37</f>
        <v>2</v>
      </c>
      <c r="J61" s="4">
        <f>[14]FormattedData!C37</f>
        <v>13.101000000000001</v>
      </c>
      <c r="K61" s="6">
        <f>$J$3+[14]FormattedData!D37*$J$4+$M$4*$J$5+[14]FormattedData!D37^2*$J$6+$M$5*$J$7</f>
        <v>31.219943453678148</v>
      </c>
      <c r="L61" s="6">
        <f>$J$3+[14]FormattedData!E37*$J$4+$M$4*$J$5+[14]FormattedData!E37^2*$J$6+$M$5*$J$7</f>
        <v>29.275635941778173</v>
      </c>
      <c r="M61" s="6">
        <f>$J$3+[14]FormattedData!F37*$J$4+$M$4*$J$5+[14]FormattedData!F37^2*$J$6+$M$5*$J$7</f>
        <v>28.982531550434551</v>
      </c>
      <c r="N61" s="6">
        <f>$J$3+[14]FormattedData!G37*$J$4+$M$4*$J$5+[14]FormattedData!G37^2*$J$6+$M$5*$J$7</f>
        <v>28.591133935778686</v>
      </c>
      <c r="O61" s="6">
        <f>$J$3+[14]FormattedData!H37*$J$4+$M$4*$J$5+[14]FormattedData!H37^2*$J$6+$M$5*$J$7</f>
        <v>30.832434544511948</v>
      </c>
      <c r="P61" s="6">
        <f>$J$3+[14]FormattedData!I37*$J$4+$M$4*$J$5+[14]FormattedData!I37^2*$J$6+$M$5*$J$7</f>
        <v>29.177976746534895</v>
      </c>
      <c r="Q61" s="6">
        <f>$J$3+[14]FormattedData!J37*$J$4+$M$4*$J$5+[14]FormattedData!J37^2*$J$6+$M$5*$J$7</f>
        <v>27.412883312169701</v>
      </c>
      <c r="R61" s="6">
        <f>$J$3+[14]FormattedData!K37*$J$4+$M$4*$J$5+[14]FormattedData!K37^2*$J$6+$M$5*$J$7</f>
        <v>28.002769457656957</v>
      </c>
      <c r="S61" s="6">
        <f>$J$3+[14]FormattedData!L37*$J$4+$M$4*$J$5+[14]FormattedData!L37^2*$J$6+$M$5*$J$7</f>
        <v>31.026273536170908</v>
      </c>
      <c r="T61" s="6">
        <f>$J$3+[14]FormattedData!M37*$J$4+$M$4*$J$5+[14]FormattedData!M37^2*$J$6+$M$5*$J$7</f>
        <v>29.568359916280414</v>
      </c>
      <c r="U61" s="6">
        <f>$J$3+[14]FormattedData!N37*$J$4+$M$4*$J$5+[14]FormattedData!N37^2*$J$6+$M$5*$J$7</f>
        <v>28.29714190513851</v>
      </c>
      <c r="V61" s="6">
        <f>$J$3+[14]FormattedData!O37*$J$4+$M$4*$J$5+[14]FormattedData!O37^2*$J$6+$M$5*$J$7</f>
        <v>28.884745549577481</v>
      </c>
      <c r="W61" s="5">
        <f t="shared" si="9"/>
        <v>29.272652487475867</v>
      </c>
      <c r="X61" s="4">
        <f t="shared" si="10"/>
        <v>0.34944261801109971</v>
      </c>
      <c r="Y61" s="3">
        <f t="shared" si="11"/>
        <v>27.412883312169701</v>
      </c>
      <c r="Z61" s="2">
        <f t="shared" si="12"/>
        <v>28.517635928118644</v>
      </c>
      <c r="AA61" s="3">
        <f t="shared" si="13"/>
        <v>29.080254148484723</v>
      </c>
      <c r="AB61" s="2">
        <f t="shared" si="14"/>
        <v>29.884378573338296</v>
      </c>
      <c r="AC61" s="2">
        <f t="shared" si="15"/>
        <v>31.219943453678148</v>
      </c>
      <c r="AD61" s="2">
        <f t="shared" si="16"/>
        <v>0.41751448353627846</v>
      </c>
      <c r="AE61" s="2">
        <f t="shared" si="17"/>
        <v>-0.69589115451095829</v>
      </c>
    </row>
    <row r="62" spans="2:31" x14ac:dyDescent="0.2">
      <c r="B62" s="1">
        <f>[14]FormattedData!A39</f>
        <v>205</v>
      </c>
      <c r="C62" s="1" t="str">
        <f>VLOOKUP($B62,[14]TrtCodes!$B$11:I82,2)</f>
        <v>FSH</v>
      </c>
      <c r="D62" s="1">
        <f>VLOOKUP($B62,[14]TrtCodes!$B$11:J82,3)</f>
        <v>1</v>
      </c>
      <c r="E62" s="1">
        <f>VLOOKUP($B62,[14]TrtCodes!$B$11:K82,4)</f>
        <v>1</v>
      </c>
      <c r="F62" s="1">
        <f>VLOOKUP($B62,[14]TrtCodes!$B$11:L82,5)</f>
        <v>1</v>
      </c>
      <c r="G62" s="1">
        <f>VLOOKUP($B62,[14]TrtCodes!$B$11:M82,6)</f>
        <v>2</v>
      </c>
      <c r="H62" s="1">
        <f>VLOOKUP($B62,[14]TrtCodes!$B$11:N82,7)</f>
        <v>2</v>
      </c>
      <c r="I62" s="1">
        <f>[14]FormattedData!B39</f>
        <v>2</v>
      </c>
      <c r="J62" s="4">
        <f>[14]FormattedData!C39</f>
        <v>13.114000000000001</v>
      </c>
      <c r="K62" s="6">
        <f>$J$3+[14]FormattedData!D39*$J$4+$M$4*$J$5+[14]FormattedData!D39^2*$J$6+$M$5*$J$7</f>
        <v>30.832434544511948</v>
      </c>
      <c r="L62" s="6">
        <f>$J$3+[14]FormattedData!E39*$J$4+$M$4*$J$5+[14]FormattedData!E39^2*$J$6+$M$5*$J$7</f>
        <v>30.638426478701259</v>
      </c>
      <c r="M62" s="6">
        <f>$J$3+[14]FormattedData!F39*$J$4+$M$4*$J$5+[14]FormattedData!F39^2*$J$6+$M$5*$J$7</f>
        <v>30.055387836358857</v>
      </c>
      <c r="N62" s="6">
        <f>$J$3+[14]FormattedData!G39*$J$4+$M$4*$J$5+[14]FormattedData!G39^2*$J$6+$M$5*$J$7</f>
        <v>29.177976746534895</v>
      </c>
      <c r="O62" s="6">
        <f>$J$3+[14]FormattedData!H39*$J$4+$M$4*$J$5+[14]FormattedData!H39^2*$J$6+$M$5*$J$7</f>
        <v>32.474676735026911</v>
      </c>
      <c r="P62" s="6">
        <f>$J$3+[14]FormattedData!I39*$J$4+$M$4*$J$5+[14]FormattedData!I39^2*$J$6+$M$5*$J$7</f>
        <v>30.152666614760747</v>
      </c>
      <c r="Q62" s="6">
        <f>$J$3+[14]FormattedData!J39*$J$4+$M$4*$J$5+[14]FormattedData!J39^2*$J$6+$M$5*$J$7</f>
        <v>30.929375174610396</v>
      </c>
      <c r="R62" s="6">
        <f>$J$3+[14]FormattedData!K39*$J$4+$M$4*$J$5+[14]FormattedData!K39^2*$J$6+$M$5*$J$7</f>
        <v>30.055387836358857</v>
      </c>
      <c r="S62" s="6">
        <f>$J$3+[14]FormattedData!L39*$J$4+$M$4*$J$5+[14]FormattedData!L39^2*$J$6+$M$5*$J$7</f>
        <v>30.929375174610396</v>
      </c>
      <c r="T62" s="6">
        <f>$J$3+[14]FormattedData!M39*$J$4+$M$4*$J$5+[14]FormattedData!M39^2*$J$6+$M$5*$J$7</f>
        <v>31.219943453678148</v>
      </c>
      <c r="U62" s="6">
        <f>$J$3+[14]FormattedData!N39*$J$4+$M$4*$J$5+[14]FormattedData!N39^2*$J$6+$M$5*$J$7</f>
        <v>30.541359042989022</v>
      </c>
      <c r="V62" s="6">
        <f>$J$3+[14]FormattedData!O39*$J$4+$M$4*$J$5+[14]FormattedData!O39^2*$J$6+$M$5*$J$7</f>
        <v>30.541359042989022</v>
      </c>
      <c r="W62" s="5">
        <f t="shared" si="9"/>
        <v>30.629030723427537</v>
      </c>
      <c r="X62" s="4">
        <f t="shared" si="10"/>
        <v>0.23001066192381134</v>
      </c>
      <c r="Y62" s="3">
        <f t="shared" si="11"/>
        <v>29.177976746534895</v>
      </c>
      <c r="Z62" s="2">
        <f t="shared" si="12"/>
        <v>30.128346920160276</v>
      </c>
      <c r="AA62" s="3">
        <f t="shared" si="13"/>
        <v>30.589892760845139</v>
      </c>
      <c r="AB62" s="2">
        <f t="shared" si="14"/>
        <v>30.929375174610396</v>
      </c>
      <c r="AC62" s="2">
        <f t="shared" si="15"/>
        <v>32.474676735026911</v>
      </c>
      <c r="AD62" s="2">
        <f t="shared" si="16"/>
        <v>0.64994046932922833</v>
      </c>
      <c r="AE62" s="2">
        <f t="shared" si="17"/>
        <v>2.3960789474568713</v>
      </c>
    </row>
    <row r="63" spans="2:31" x14ac:dyDescent="0.2">
      <c r="B63" s="1">
        <f>[14]FormattedData!A41</f>
        <v>206</v>
      </c>
      <c r="C63" s="1" t="str">
        <f>VLOOKUP($B63,[14]TrtCodes!$B$11:I84,2)</f>
        <v>NSL</v>
      </c>
      <c r="D63" s="1">
        <f>VLOOKUP($B63,[14]TrtCodes!$B$11:J84,3)</f>
        <v>8</v>
      </c>
      <c r="E63" s="1">
        <f>VLOOKUP($B63,[14]TrtCodes!$B$11:K84,4)</f>
        <v>2</v>
      </c>
      <c r="F63" s="1">
        <f>VLOOKUP($B63,[14]TrtCodes!$B$11:L84,5)</f>
        <v>1</v>
      </c>
      <c r="G63" s="1">
        <f>VLOOKUP($B63,[14]TrtCodes!$B$11:M84,6)</f>
        <v>1</v>
      </c>
      <c r="H63" s="1">
        <f>VLOOKUP($B63,[14]TrtCodes!$B$11:N84,7)</f>
        <v>2</v>
      </c>
      <c r="I63" s="1">
        <f>[14]FormattedData!B41</f>
        <v>2</v>
      </c>
      <c r="J63" s="4">
        <f>[14]FormattedData!C41</f>
        <v>13.127000000000001</v>
      </c>
      <c r="K63" s="6">
        <f>$J$3+[14]FormattedData!D41*$J$4+$M$4*$J$5+[14]FormattedData!D41^2*$J$6+$M$5*$J$7</f>
        <v>31.123129629193489</v>
      </c>
      <c r="L63" s="6">
        <f>$J$3+[14]FormattedData!E41*$J$4+$M$4*$J$5+[14]FormattedData!E41^2*$J$6+$M$5*$J$7</f>
        <v>30.638426478701259</v>
      </c>
      <c r="M63" s="6">
        <f>$J$3+[14]FormattedData!F41*$J$4+$M$4*$J$5+[14]FormattedData!F41^2*$J$6+$M$5*$J$7</f>
        <v>32.089365789833124</v>
      </c>
      <c r="N63" s="6">
        <f>$J$3+[14]FormattedData!G41*$J$4+$M$4*$J$5+[14]FormattedData!G41^2*$J$6+$M$5*$J$7</f>
        <v>30.638426478701259</v>
      </c>
      <c r="O63" s="6">
        <f>$J$3+[14]FormattedData!H41*$J$4+$M$4*$J$5+[14]FormattedData!H41^2*$J$6+$M$5*$J$7</f>
        <v>31.896456706008649</v>
      </c>
      <c r="P63" s="6">
        <f>$J$3+[14]FormattedData!I41*$J$4+$M$4*$J$5+[14]FormattedData!I41^2*$J$6+$M$5*$J$7</f>
        <v>31.703378548032447</v>
      </c>
      <c r="Q63" s="6">
        <f>$J$3+[14]FormattedData!J41*$J$4+$M$4*$J$5+[14]FormattedData!J41^2*$J$6+$M$5*$J$7</f>
        <v>31.51013131590452</v>
      </c>
      <c r="R63" s="6">
        <f>$J$3+[14]FormattedData!K41*$J$4+$M$4*$J$5+[14]FormattedData!K41^2*$J$6+$M$5*$J$7</f>
        <v>29.860703473941271</v>
      </c>
      <c r="S63" s="6">
        <f>$J$3+[14]FormattedData!L41*$J$4+$M$4*$J$5+[14]FormattedData!L41^2*$J$6+$M$5*$J$7</f>
        <v>30.541359042989022</v>
      </c>
      <c r="T63" s="6">
        <f>$J$3+[14]FormattedData!M41*$J$4+$M$4*$J$5+[14]FormattedData!M41^2*$J$6+$M$5*$J$7</f>
        <v>30.929375174610396</v>
      </c>
      <c r="U63" s="6">
        <f>$J$3+[14]FormattedData!N41*$J$4+$M$4*$J$5+[14]FormattedData!N41^2*$J$6+$M$5*$J$7</f>
        <v>31.51013131590452</v>
      </c>
      <c r="V63" s="6">
        <f>$J$3+[14]FormattedData!O41*$J$4+$M$4*$J$5+[14]FormattedData!O41^2*$J$6+$M$5*$J$7</f>
        <v>29.958066789419036</v>
      </c>
      <c r="W63" s="5">
        <f t="shared" si="9"/>
        <v>31.033245895269918</v>
      </c>
      <c r="X63" s="4">
        <f t="shared" si="10"/>
        <v>0.21084050389917761</v>
      </c>
      <c r="Y63" s="3">
        <f t="shared" si="11"/>
        <v>29.860703473941271</v>
      </c>
      <c r="Z63" s="2">
        <f t="shared" si="12"/>
        <v>30.614159619773201</v>
      </c>
      <c r="AA63" s="3">
        <f t="shared" si="13"/>
        <v>31.026252401901942</v>
      </c>
      <c r="AB63" s="2">
        <f t="shared" si="14"/>
        <v>31.558443123936502</v>
      </c>
      <c r="AC63" s="2">
        <f t="shared" si="15"/>
        <v>32.089365789833124</v>
      </c>
      <c r="AD63" s="2">
        <f t="shared" si="16"/>
        <v>-0.21236533489233103</v>
      </c>
      <c r="AE63" s="2">
        <f t="shared" si="17"/>
        <v>-1.0218759048562753</v>
      </c>
    </row>
    <row r="64" spans="2:31" x14ac:dyDescent="0.2">
      <c r="B64" s="1">
        <f>[14]FormattedData!A43</f>
        <v>207</v>
      </c>
      <c r="C64" s="1" t="str">
        <f>VLOOKUP($B64,[14]TrtCodes!$B$11:I86,2)</f>
        <v>FTL</v>
      </c>
      <c r="D64" s="1">
        <f>VLOOKUP($B64,[14]TrtCodes!$B$11:J86,3)</f>
        <v>4</v>
      </c>
      <c r="E64" s="1">
        <f>VLOOKUP($B64,[14]TrtCodes!$B$11:K86,4)</f>
        <v>1</v>
      </c>
      <c r="F64" s="1">
        <f>VLOOKUP($B64,[14]TrtCodes!$B$11:L86,5)</f>
        <v>2</v>
      </c>
      <c r="G64" s="1">
        <f>VLOOKUP($B64,[14]TrtCodes!$B$11:M86,6)</f>
        <v>1</v>
      </c>
      <c r="H64" s="1">
        <f>VLOOKUP($B64,[14]TrtCodes!$B$11:N86,7)</f>
        <v>2</v>
      </c>
      <c r="I64" s="1">
        <f>[14]FormattedData!B43</f>
        <v>2</v>
      </c>
      <c r="J64" s="4">
        <f>[14]FormattedData!C43</f>
        <v>13.141</v>
      </c>
      <c r="K64" s="6">
        <f>$J$3+[14]FormattedData!D43*$J$4+$M$4*$J$5+[14]FormattedData!D43^2*$J$6+$M$5*$J$7</f>
        <v>30.638426478701259</v>
      </c>
      <c r="L64" s="6">
        <f>$J$3+[14]FormattedData!E43*$J$4+$M$4*$J$5+[14]FormattedData!E43^2*$J$6+$M$5*$J$7</f>
        <v>29.568359916280414</v>
      </c>
      <c r="M64" s="6">
        <f>$J$3+[14]FormattedData!F43*$J$4+$M$4*$J$5+[14]FormattedData!F43^2*$J$6+$M$5*$J$7</f>
        <v>31.316715009624865</v>
      </c>
      <c r="N64" s="6">
        <f>$J$3+[14]FormattedData!G43*$J$4+$M$4*$J$5+[14]FormattedData!G43^2*$J$6+$M$5*$J$7</f>
        <v>29.860703473941271</v>
      </c>
      <c r="O64" s="6">
        <f>$J$3+[14]FormattedData!H43*$J$4+$M$4*$J$5+[14]FormattedData!H43^2*$J$6+$M$5*$J$7</f>
        <v>31.316715009624865</v>
      </c>
      <c r="P64" s="6">
        <f>$J$3+[14]FormattedData!I43*$J$4+$M$4*$J$5+[14]FormattedData!I43^2*$J$6+$M$5*$J$7</f>
        <v>31.219943453678148</v>
      </c>
      <c r="Q64" s="6">
        <f>$J$3+[14]FormattedData!J43*$J$4+$M$4*$J$5+[14]FormattedData!J43^2*$J$6+$M$5*$J$7</f>
        <v>30.638426478701259</v>
      </c>
      <c r="R64" s="6">
        <f>$J$3+[14]FormattedData!K43*$J$4+$M$4*$J$5+[14]FormattedData!K43^2*$J$6+$M$5*$J$7</f>
        <v>29.763297889925585</v>
      </c>
      <c r="S64" s="6">
        <f>$J$3+[14]FormattedData!L43*$J$4+$M$4*$J$5+[14]FormattedData!L43^2*$J$6+$M$5*$J$7</f>
        <v>31.703378548032447</v>
      </c>
      <c r="T64" s="6">
        <f>$J$3+[14]FormattedData!M43*$J$4+$M$4*$J$5+[14]FormattedData!M43^2*$J$6+$M$5*$J$7</f>
        <v>31.606776066237451</v>
      </c>
      <c r="U64" s="6">
        <f>$J$3+[14]FormattedData!N43*$J$4+$M$4*$J$5+[14]FormattedData!N43^2*$J$6+$M$5*$J$7</f>
        <v>29.275635941778173</v>
      </c>
      <c r="V64" s="6">
        <f>$J$3+[14]FormattedData!O43*$J$4+$M$4*$J$5+[14]FormattedData!O43^2*$J$6+$M$5*$J$7</f>
        <v>29.275635941778173</v>
      </c>
      <c r="W64" s="5">
        <f t="shared" si="9"/>
        <v>30.515334517358657</v>
      </c>
      <c r="X64" s="4">
        <f t="shared" si="10"/>
        <v>0.26655004901192614</v>
      </c>
      <c r="Y64" s="3">
        <f t="shared" si="11"/>
        <v>29.275635941778173</v>
      </c>
      <c r="Z64" s="2">
        <f t="shared" si="12"/>
        <v>29.714563396514293</v>
      </c>
      <c r="AA64" s="3">
        <f t="shared" si="13"/>
        <v>30.638426478701259</v>
      </c>
      <c r="AB64" s="2">
        <f t="shared" si="14"/>
        <v>31.316715009624865</v>
      </c>
      <c r="AC64" s="2">
        <f t="shared" si="15"/>
        <v>31.703378548032447</v>
      </c>
      <c r="AD64" s="2">
        <f t="shared" si="16"/>
        <v>-0.13935489484090821</v>
      </c>
      <c r="AE64" s="2">
        <f t="shared" si="17"/>
        <v>-1.7540208377357609</v>
      </c>
    </row>
    <row r="65" spans="2:31" x14ac:dyDescent="0.2">
      <c r="B65" s="1">
        <f>[14]FormattedData!A45</f>
        <v>208</v>
      </c>
      <c r="C65" s="1" t="str">
        <f>VLOOKUP($B65,[14]TrtCodes!$B$11:I88,2)</f>
        <v>FSL</v>
      </c>
      <c r="D65" s="1">
        <f>VLOOKUP($B65,[14]TrtCodes!$B$11:J88,3)</f>
        <v>2</v>
      </c>
      <c r="E65" s="1">
        <f>VLOOKUP($B65,[14]TrtCodes!$B$11:K88,4)</f>
        <v>1</v>
      </c>
      <c r="F65" s="1">
        <f>VLOOKUP($B65,[14]TrtCodes!$B$11:L88,5)</f>
        <v>1</v>
      </c>
      <c r="G65" s="1">
        <f>VLOOKUP($B65,[14]TrtCodes!$B$11:M88,6)</f>
        <v>1</v>
      </c>
      <c r="H65" s="1">
        <f>VLOOKUP($B65,[14]TrtCodes!$B$11:N88,7)</f>
        <v>2</v>
      </c>
      <c r="I65" s="1">
        <f>[14]FormattedData!B45</f>
        <v>2</v>
      </c>
      <c r="J65" s="4">
        <f>[14]FormattedData!C45</f>
        <v>13.154999999999999</v>
      </c>
      <c r="K65" s="6">
        <f>$J$3+[14]FormattedData!D45*$J$4+$M$4*$J$5+[14]FormattedData!D45^2*$J$6+$M$5*$J$7</f>
        <v>29.568359916280414</v>
      </c>
      <c r="L65" s="6">
        <f>$J$3+[14]FormattedData!E45*$J$4+$M$4*$J$5+[14]FormattedData!E45^2*$J$6+$M$5*$J$7</f>
        <v>29.373252868483515</v>
      </c>
      <c r="M65" s="6">
        <f>$J$3+[14]FormattedData!F45*$J$4+$M$4*$J$5+[14]FormattedData!F45^2*$J$6+$M$5*$J$7</f>
        <v>30.832434544511948</v>
      </c>
      <c r="N65" s="6">
        <f>$J$3+[14]FormattedData!G45*$J$4+$M$4*$J$5+[14]FormattedData!G45^2*$J$6+$M$5*$J$7</f>
        <v>30.735451645875571</v>
      </c>
      <c r="O65" s="6">
        <f>$J$3+[14]FormattedData!H45*$J$4+$M$4*$J$5+[14]FormattedData!H45^2*$J$6+$M$5*$J$7</f>
        <v>30.638426478701259</v>
      </c>
      <c r="P65" s="6">
        <f>$J$3+[14]FormattedData!I45*$J$4+$M$4*$J$5+[14]FormattedData!I45^2*$J$6+$M$5*$J$7</f>
        <v>29.470827526650929</v>
      </c>
      <c r="Q65" s="6">
        <f>$J$3+[14]FormattedData!J45*$J$4+$M$4*$J$5+[14]FormattedData!J45^2*$J$6+$M$5*$J$7</f>
        <v>31.799938761289511</v>
      </c>
      <c r="R65" s="6">
        <f>$J$3+[14]FormattedData!K45*$J$4+$M$4*$J$5+[14]FormattedData!K45^2*$J$6+$M$5*$J$7</f>
        <v>30.735451645875571</v>
      </c>
      <c r="S65" s="6">
        <f>$J$3+[14]FormattedData!L45*$J$4+$M$4*$J$5+[14]FormattedData!L45^2*$J$6+$M$5*$J$7</f>
        <v>31.413444297033664</v>
      </c>
      <c r="T65" s="6">
        <f>$J$3+[14]FormattedData!M45*$J$4+$M$4*$J$5+[14]FormattedData!M45^2*$J$6+$M$5*$J$7</f>
        <v>30.444249338738853</v>
      </c>
      <c r="U65" s="6">
        <f>$J$3+[14]FormattedData!N45*$J$4+$M$4*$J$5+[14]FormattedData!N45^2*$J$6+$M$5*$J$7</f>
        <v>32.570898799980526</v>
      </c>
      <c r="V65" s="6">
        <f>$J$3+[14]FormattedData!O45*$J$4+$M$4*$J$5+[14]FormattedData!O45^2*$J$6+$M$5*$J$7</f>
        <v>30.832434544511948</v>
      </c>
      <c r="W65" s="5">
        <f t="shared" si="9"/>
        <v>30.701264197327813</v>
      </c>
      <c r="X65" s="4">
        <f t="shared" si="10"/>
        <v>0.27355175870425885</v>
      </c>
      <c r="Y65" s="3">
        <f t="shared" si="11"/>
        <v>29.373252868483515</v>
      </c>
      <c r="Z65" s="2">
        <f t="shared" si="12"/>
        <v>30.225276983124242</v>
      </c>
      <c r="AA65" s="3">
        <f t="shared" si="13"/>
        <v>30.735451645875571</v>
      </c>
      <c r="AB65" s="2">
        <f t="shared" si="14"/>
        <v>30.977686982642375</v>
      </c>
      <c r="AC65" s="2">
        <f t="shared" si="15"/>
        <v>32.570898799980526</v>
      </c>
      <c r="AD65" s="2">
        <f t="shared" si="16"/>
        <v>0.32706517365048754</v>
      </c>
      <c r="AE65" s="2">
        <f t="shared" si="17"/>
        <v>6.8099423356735578E-2</v>
      </c>
    </row>
    <row r="66" spans="2:31" x14ac:dyDescent="0.2">
      <c r="B66" s="1">
        <f>[14]FormattedData!A63</f>
        <v>301</v>
      </c>
      <c r="C66" s="1" t="str">
        <f>VLOOKUP($B66,[14]TrtCodes!$B$11:I106,2)</f>
        <v>NTL</v>
      </c>
      <c r="D66" s="1">
        <f>VLOOKUP($B66,[14]TrtCodes!$B$11:J106,3)</f>
        <v>10</v>
      </c>
      <c r="E66" s="1">
        <f>VLOOKUP($B66,[14]TrtCodes!$B$11:K106,4)</f>
        <v>2</v>
      </c>
      <c r="F66" s="1">
        <f>VLOOKUP($B66,[14]TrtCodes!$B$11:L106,5)</f>
        <v>2</v>
      </c>
      <c r="G66" s="1">
        <f>VLOOKUP($B66,[14]TrtCodes!$B$11:M106,6)</f>
        <v>1</v>
      </c>
      <c r="H66" s="1">
        <f>VLOOKUP($B66,[14]TrtCodes!$B$11:N106,7)</f>
        <v>3</v>
      </c>
      <c r="I66" s="1">
        <f>[14]FormattedData!B63</f>
        <v>2</v>
      </c>
      <c r="J66" s="4">
        <f>[14]FormattedData!C63</f>
        <v>13.26</v>
      </c>
      <c r="K66" s="6">
        <f>$J$3+[14]FormattedData!D63*$J$4+$M$4*$J$5+[14]FormattedData!D63^2*$J$6+$M$5*$J$7</f>
        <v>29.275635941778173</v>
      </c>
      <c r="L66" s="6">
        <f>$J$3+[14]FormattedData!E63*$J$4+$M$4*$J$5+[14]FormattedData!E63^2*$J$6+$M$5*$J$7</f>
        <v>29.373252868483515</v>
      </c>
      <c r="M66" s="6">
        <f>$J$3+[14]FormattedData!F63*$J$4+$M$4*$J$5+[14]FormattedData!F63^2*$J$6+$M$5*$J$7</f>
        <v>30.832434544511948</v>
      </c>
      <c r="N66" s="6">
        <f>$J$3+[14]FormattedData!G63*$J$4+$M$4*$J$5+[14]FormattedData!G63^2*$J$6+$M$5*$J$7</f>
        <v>30.055387836358857</v>
      </c>
      <c r="O66" s="6">
        <f>$J$3+[14]FormattedData!H63*$J$4+$M$4*$J$5+[14]FormattedData!H63^2*$J$6+$M$5*$J$7</f>
        <v>29.568359916280414</v>
      </c>
      <c r="P66" s="6">
        <f>$J$3+[14]FormattedData!I63*$J$4+$M$4*$J$5+[14]FormattedData!I63^2*$J$6+$M$5*$J$7</f>
        <v>29.470827526650929</v>
      </c>
      <c r="Q66" s="6">
        <f>$J$3+[14]FormattedData!J63*$J$4+$M$4*$J$5+[14]FormattedData!J63^2*$J$6+$M$5*$J$7</f>
        <v>29.958066789419036</v>
      </c>
      <c r="R66" s="6">
        <f>$J$3+[14]FormattedData!K63*$J$4+$M$4*$J$5+[14]FormattedData!K63^2*$J$6+$M$5*$J$7</f>
        <v>29.763297889925585</v>
      </c>
      <c r="S66" s="6">
        <f>$J$3+[14]FormattedData!L63*$J$4+$M$4*$J$5+[14]FormattedData!L63^2*$J$6+$M$5*$J$7</f>
        <v>30.249903124624716</v>
      </c>
      <c r="T66" s="6">
        <f>$J$3+[14]FormattedData!M63*$J$4+$M$4*$J$5+[14]FormattedData!M63^2*$J$6+$M$5*$J$7</f>
        <v>29.568359916280414</v>
      </c>
      <c r="U66" s="6">
        <f>$J$3+[14]FormattedData!N63*$J$4+$M$4*$J$5+[14]FormattedData!N63^2*$J$6+$M$5*$J$7</f>
        <v>30.444249338738853</v>
      </c>
      <c r="V66" s="6">
        <f>$J$3+[14]FormattedData!O63*$J$4+$M$4*$J$5+[14]FormattedData!O63^2*$J$6+$M$5*$J$7</f>
        <v>30.929375174610396</v>
      </c>
      <c r="W66" s="5">
        <f t="shared" si="9"/>
        <v>29.957429238971908</v>
      </c>
      <c r="X66" s="4">
        <f t="shared" si="10"/>
        <v>0.16109865408408114</v>
      </c>
      <c r="Y66" s="3">
        <f t="shared" si="11"/>
        <v>29.275635941778173</v>
      </c>
      <c r="Z66" s="2">
        <f t="shared" si="12"/>
        <v>29.543976818873041</v>
      </c>
      <c r="AA66" s="3">
        <f t="shared" si="13"/>
        <v>29.860682339672309</v>
      </c>
      <c r="AB66" s="2">
        <f t="shared" si="14"/>
        <v>30.298489678153249</v>
      </c>
      <c r="AC66" s="2">
        <f t="shared" si="15"/>
        <v>30.929375174610396</v>
      </c>
      <c r="AD66" s="2">
        <f t="shared" si="16"/>
        <v>0.61063233265741768</v>
      </c>
      <c r="AE66" s="2">
        <f t="shared" si="17"/>
        <v>-0.81971173228536776</v>
      </c>
    </row>
    <row r="67" spans="2:31" x14ac:dyDescent="0.2">
      <c r="B67" s="1">
        <f>[14]FormattedData!A65</f>
        <v>302</v>
      </c>
      <c r="C67" s="1" t="str">
        <f>VLOOKUP($B67,[14]TrtCodes!$B$11:I108,2)</f>
        <v>FTL</v>
      </c>
      <c r="D67" s="1">
        <f>VLOOKUP($B67,[14]TrtCodes!$B$11:J108,3)</f>
        <v>4</v>
      </c>
      <c r="E67" s="1">
        <f>VLOOKUP($B67,[14]TrtCodes!$B$11:K108,4)</f>
        <v>1</v>
      </c>
      <c r="F67" s="1">
        <f>VLOOKUP($B67,[14]TrtCodes!$B$11:L108,5)</f>
        <v>2</v>
      </c>
      <c r="G67" s="1">
        <f>VLOOKUP($B67,[14]TrtCodes!$B$11:M108,6)</f>
        <v>1</v>
      </c>
      <c r="H67" s="1">
        <f>VLOOKUP($B67,[14]TrtCodes!$B$11:N108,7)</f>
        <v>3</v>
      </c>
      <c r="I67" s="1">
        <f>[14]FormattedData!B65</f>
        <v>2</v>
      </c>
      <c r="J67" s="4">
        <f>[14]FormattedData!C65</f>
        <v>13.273999999999999</v>
      </c>
      <c r="K67" s="6">
        <f>$J$3+[14]FormattedData!D65*$J$4+$M$4*$J$5+[14]FormattedData!D65^2*$J$6+$M$5*$J$7</f>
        <v>30.152666614760747</v>
      </c>
      <c r="L67" s="6">
        <f>$J$3+[14]FormattedData!E65*$J$4+$M$4*$J$5+[14]FormattedData!E65^2*$J$6+$M$5*$J$7</f>
        <v>29.275635941778173</v>
      </c>
      <c r="M67" s="6">
        <f>$J$3+[14]FormattedData!F65*$J$4+$M$4*$J$5+[14]FormattedData!F65^2*$J$6+$M$5*$J$7</f>
        <v>29.568359916280414</v>
      </c>
      <c r="N67" s="6">
        <f>$J$3+[14]FormattedData!G65*$J$4+$M$4*$J$5+[14]FormattedData!G65^2*$J$6+$M$5*$J$7</f>
        <v>31.123129629193489</v>
      </c>
      <c r="O67" s="6">
        <f>$J$3+[14]FormattedData!H65*$J$4+$M$4*$J$5+[14]FormattedData!H65^2*$J$6+$M$5*$J$7</f>
        <v>32.185756928938467</v>
      </c>
      <c r="P67" s="6">
        <f>$J$3+[14]FormattedData!I65*$J$4+$M$4*$J$5+[14]FormattedData!I65^2*$J$6+$M$5*$J$7</f>
        <v>29.275635941778173</v>
      </c>
      <c r="Q67" s="6">
        <f>$J$3+[14]FormattedData!J65*$J$4+$M$4*$J$5+[14]FormattedData!J65^2*$J$6+$M$5*$J$7</f>
        <v>29.568359916280414</v>
      </c>
      <c r="R67" s="6">
        <f>$J$3+[14]FormattedData!K65*$J$4+$M$4*$J$5+[14]FormattedData!K65^2*$J$6+$M$5*$J$7</f>
        <v>30.249903124624716</v>
      </c>
      <c r="S67" s="6">
        <f>$J$3+[14]FormattedData!L65*$J$4+$M$4*$J$5+[14]FormattedData!L65^2*$J$6+$M$5*$J$7</f>
        <v>30.444249338738853</v>
      </c>
      <c r="T67" s="6">
        <f>$J$3+[14]FormattedData!M65*$J$4+$M$4*$J$5+[14]FormattedData!M65^2*$J$6+$M$5*$J$7</f>
        <v>30.152666614760747</v>
      </c>
      <c r="U67" s="6">
        <f>$J$3+[14]FormattedData!N65*$J$4+$M$4*$J$5+[14]FormattedData!N65^2*$J$6+$M$5*$J$7</f>
        <v>31.123129629193489</v>
      </c>
      <c r="V67" s="6">
        <f>$J$3+[14]FormattedData!O65*$J$4+$M$4*$J$5+[14]FormattedData!O65^2*$J$6+$M$5*$J$7</f>
        <v>30.152666614760747</v>
      </c>
      <c r="W67" s="5">
        <f t="shared" si="9"/>
        <v>30.272680017590702</v>
      </c>
      <c r="X67" s="4">
        <f t="shared" si="10"/>
        <v>0.24863086015941588</v>
      </c>
      <c r="Y67" s="3">
        <f t="shared" si="11"/>
        <v>29.275635941778173</v>
      </c>
      <c r="Z67" s="2">
        <f t="shared" si="12"/>
        <v>29.568359916280414</v>
      </c>
      <c r="AA67" s="3">
        <f t="shared" si="13"/>
        <v>30.152666614760747</v>
      </c>
      <c r="AB67" s="2">
        <f t="shared" si="14"/>
        <v>30.613969411352514</v>
      </c>
      <c r="AC67" s="2">
        <f t="shared" si="15"/>
        <v>32.185756928938467</v>
      </c>
      <c r="AD67" s="2">
        <f t="shared" si="16"/>
        <v>0.94773759206807351</v>
      </c>
      <c r="AE67" s="2">
        <f t="shared" si="17"/>
        <v>0.80921938243639868</v>
      </c>
    </row>
    <row r="68" spans="2:31" x14ac:dyDescent="0.2">
      <c r="B68" s="1">
        <f>[14]FormattedData!A67</f>
        <v>303</v>
      </c>
      <c r="C68" s="1" t="str">
        <f>VLOOKUP($B68,[14]TrtCodes!$B$11:I110,2)</f>
        <v>NSL</v>
      </c>
      <c r="D68" s="1">
        <f>VLOOKUP($B68,[14]TrtCodes!$B$11:J110,3)</f>
        <v>8</v>
      </c>
      <c r="E68" s="1">
        <f>VLOOKUP($B68,[14]TrtCodes!$B$11:K110,4)</f>
        <v>2</v>
      </c>
      <c r="F68" s="1">
        <f>VLOOKUP($B68,[14]TrtCodes!$B$11:L110,5)</f>
        <v>1</v>
      </c>
      <c r="G68" s="1">
        <f>VLOOKUP($B68,[14]TrtCodes!$B$11:M110,6)</f>
        <v>1</v>
      </c>
      <c r="H68" s="1">
        <f>VLOOKUP($B68,[14]TrtCodes!$B$11:N110,7)</f>
        <v>3</v>
      </c>
      <c r="I68" s="1">
        <f>[14]FormattedData!B67</f>
        <v>2</v>
      </c>
      <c r="J68" s="4">
        <f>[14]FormattedData!C67</f>
        <v>13.287000000000001</v>
      </c>
      <c r="K68" s="6">
        <f>$J$3+[14]FormattedData!D67*$J$4+$M$4*$J$5+[14]FormattedData!D67^2*$J$6+$M$5*$J$7</f>
        <v>28.689046742249548</v>
      </c>
      <c r="L68" s="6">
        <f>$J$3+[14]FormattedData!E67*$J$4+$M$4*$J$5+[14]FormattedData!E67^2*$J$6+$M$5*$J$7</f>
        <v>30.055387836358857</v>
      </c>
      <c r="M68" s="6">
        <f>$J$3+[14]FormattedData!F67*$J$4+$M$4*$J$5+[14]FormattedData!F67^2*$J$6+$M$5*$J$7</f>
        <v>29.66585003737196</v>
      </c>
      <c r="N68" s="6">
        <f>$J$3+[14]FormattedData!G67*$J$4+$M$4*$J$5+[14]FormattedData!G67^2*$J$6+$M$5*$J$7</f>
        <v>30.444249338738853</v>
      </c>
      <c r="O68" s="6">
        <f>$J$3+[14]FormattedData!H67*$J$4+$M$4*$J$5+[14]FormattedData!H67^2*$J$6+$M$5*$J$7</f>
        <v>31.413444297033664</v>
      </c>
      <c r="P68" s="6">
        <f>$J$3+[14]FormattedData!I67*$J$4+$M$4*$J$5+[14]FormattedData!I67^2*$J$6+$M$5*$J$7</f>
        <v>30.152666614760747</v>
      </c>
      <c r="Q68" s="6">
        <f>$J$3+[14]FormattedData!J67*$J$4+$M$4*$J$5+[14]FormattedData!J67^2*$J$6+$M$5*$J$7</f>
        <v>31.219943453678148</v>
      </c>
      <c r="R68" s="6">
        <f>$J$3+[14]FormattedData!K67*$J$4+$M$4*$J$5+[14]FormattedData!K67^2*$J$6+$M$5*$J$7</f>
        <v>29.470827526650929</v>
      </c>
      <c r="S68" s="6">
        <f>$J$3+[14]FormattedData!L67*$J$4+$M$4*$J$5+[14]FormattedData!L67^2*$J$6+$M$5*$J$7</f>
        <v>29.373252868483515</v>
      </c>
      <c r="T68" s="6">
        <f>$J$3+[14]FormattedData!M67*$J$4+$M$4*$J$5+[14]FormattedData!M67^2*$J$6+$M$5*$J$7</f>
        <v>30.638426478701259</v>
      </c>
      <c r="U68" s="6">
        <f>$J$3+[14]FormattedData!N67*$J$4+$M$4*$J$5+[14]FormattedData!N67^2*$J$6+$M$5*$J$7</f>
        <v>31.026273536170908</v>
      </c>
      <c r="V68" s="6">
        <f>$J$3+[14]FormattedData!O67*$J$4+$M$4*$J$5+[14]FormattedData!O67^2*$J$6+$M$5*$J$7</f>
        <v>28.884745549577481</v>
      </c>
      <c r="W68" s="5">
        <f t="shared" si="9"/>
        <v>30.08617618998132</v>
      </c>
      <c r="X68" s="4">
        <f t="shared" si="10"/>
        <v>0.25861536182204659</v>
      </c>
      <c r="Y68" s="3">
        <f t="shared" si="11"/>
        <v>28.689046742249548</v>
      </c>
      <c r="Z68" s="2">
        <f t="shared" si="12"/>
        <v>29.446433862109075</v>
      </c>
      <c r="AA68" s="3">
        <f t="shared" si="13"/>
        <v>30.104027225559804</v>
      </c>
      <c r="AB68" s="2">
        <f t="shared" si="14"/>
        <v>30.73538824306867</v>
      </c>
      <c r="AC68" s="2">
        <f t="shared" si="15"/>
        <v>31.413444297033664</v>
      </c>
      <c r="AD68" s="2">
        <f t="shared" si="16"/>
        <v>-4.3995286734430455E-2</v>
      </c>
      <c r="AE68" s="2">
        <f t="shared" si="17"/>
        <v>-1.104411881488196</v>
      </c>
    </row>
    <row r="69" spans="2:31" x14ac:dyDescent="0.2">
      <c r="B69" s="1">
        <f>[14]FormattedData!A69</f>
        <v>304</v>
      </c>
      <c r="C69" s="1" t="str">
        <f>VLOOKUP($B69,[14]TrtCodes!$B$11:I112,2)</f>
        <v>FSL</v>
      </c>
      <c r="D69" s="1">
        <f>VLOOKUP($B69,[14]TrtCodes!$B$11:J112,3)</f>
        <v>2</v>
      </c>
      <c r="E69" s="1">
        <f>VLOOKUP($B69,[14]TrtCodes!$B$11:K112,4)</f>
        <v>1</v>
      </c>
      <c r="F69" s="1">
        <f>VLOOKUP($B69,[14]TrtCodes!$B$11:L112,5)</f>
        <v>1</v>
      </c>
      <c r="G69" s="1">
        <f>VLOOKUP($B69,[14]TrtCodes!$B$11:M112,6)</f>
        <v>1</v>
      </c>
      <c r="H69" s="1">
        <f>VLOOKUP($B69,[14]TrtCodes!$B$11:N112,7)</f>
        <v>3</v>
      </c>
      <c r="I69" s="1">
        <f>[14]FormattedData!B69</f>
        <v>2</v>
      </c>
      <c r="J69" s="4">
        <f>[14]FormattedData!C69</f>
        <v>13.3</v>
      </c>
      <c r="K69" s="6">
        <f>$J$3+[14]FormattedData!D69*$J$4+$M$4*$J$5+[14]FormattedData!D69^2*$J$6+$M$5*$J$7</f>
        <v>30.929375174610396</v>
      </c>
      <c r="L69" s="6">
        <f>$J$3+[14]FormattedData!E69*$J$4+$M$4*$J$5+[14]FormattedData!E69^2*$J$6+$M$5*$J$7</f>
        <v>28.982531550434551</v>
      </c>
      <c r="M69" s="6">
        <f>$J$3+[14]FormattedData!F69*$J$4+$M$4*$J$5+[14]FormattedData!F69^2*$J$6+$M$5*$J$7</f>
        <v>30.249903124624716</v>
      </c>
      <c r="N69" s="6">
        <f>$J$3+[14]FormattedData!G69*$J$4+$M$4*$J$5+[14]FormattedData!G69^2*$J$6+$M$5*$J$7</f>
        <v>30.541359042989022</v>
      </c>
      <c r="O69" s="6">
        <f>$J$3+[14]FormattedData!H69*$J$4+$M$4*$J$5+[14]FormattedData!H69^2*$J$6+$M$5*$J$7</f>
        <v>31.026273536170908</v>
      </c>
      <c r="P69" s="6">
        <f>$J$3+[14]FormattedData!I69*$J$4+$M$4*$J$5+[14]FormattedData!I69^2*$J$6+$M$5*$J$7</f>
        <v>29.470827526650929</v>
      </c>
      <c r="Q69" s="6">
        <f>$J$3+[14]FormattedData!J69*$J$4+$M$4*$J$5+[14]FormattedData!J69^2*$J$6+$M$5*$J$7</f>
        <v>29.275635941778173</v>
      </c>
      <c r="R69" s="6">
        <f>$J$3+[14]FormattedData!K69*$J$4+$M$4*$J$5+[14]FormattedData!K69^2*$J$6+$M$5*$J$7</f>
        <v>30.832434544511948</v>
      </c>
      <c r="S69" s="6">
        <f>$J$3+[14]FormattedData!L69*$J$4+$M$4*$J$5+[14]FormattedData!L69^2*$J$6+$M$5*$J$7</f>
        <v>30.638426478701259</v>
      </c>
      <c r="T69" s="6">
        <f>$J$3+[14]FormattedData!M69*$J$4+$M$4*$J$5+[14]FormattedData!M69^2*$J$6+$M$5*$J$7</f>
        <v>28.689046742249548</v>
      </c>
      <c r="U69" s="6">
        <f>$J$3+[14]FormattedData!N69*$J$4+$M$4*$J$5+[14]FormattedData!N69^2*$J$6+$M$5*$J$7</f>
        <v>30.055387836358857</v>
      </c>
      <c r="V69" s="6">
        <f>$J$3+[14]FormattedData!O69*$J$4+$M$4*$J$5+[14]FormattedData!O69^2*$J$6+$M$5*$J$7</f>
        <v>28.982531550434551</v>
      </c>
      <c r="W69" s="5">
        <f t="shared" si="9"/>
        <v>29.972811087459576</v>
      </c>
      <c r="X69" s="4">
        <f t="shared" si="10"/>
        <v>0.24558277489491476</v>
      </c>
      <c r="Y69" s="3">
        <f t="shared" si="11"/>
        <v>28.689046742249548</v>
      </c>
      <c r="Z69" s="2">
        <f t="shared" si="12"/>
        <v>29.202359843942268</v>
      </c>
      <c r="AA69" s="3">
        <f t="shared" si="13"/>
        <v>30.152645480491785</v>
      </c>
      <c r="AB69" s="2">
        <f t="shared" si="14"/>
        <v>30.686928495153932</v>
      </c>
      <c r="AC69" s="2">
        <f t="shared" si="15"/>
        <v>31.026273536170908</v>
      </c>
      <c r="AD69" s="2">
        <f t="shared" si="16"/>
        <v>-0.23799035435964372</v>
      </c>
      <c r="AE69" s="2">
        <f t="shared" si="17"/>
        <v>-1.6684859007059298</v>
      </c>
    </row>
    <row r="70" spans="2:31" x14ac:dyDescent="0.2">
      <c r="B70" s="1">
        <f>[14]FormattedData!A71</f>
        <v>305</v>
      </c>
      <c r="C70" s="1" t="str">
        <f>VLOOKUP($B70,[14]TrtCodes!$B$11:I114,2)</f>
        <v>NDH</v>
      </c>
      <c r="D70" s="1">
        <f>VLOOKUP($B70,[14]TrtCodes!$B$11:J114,3)</f>
        <v>11</v>
      </c>
      <c r="E70" s="1">
        <f>VLOOKUP($B70,[14]TrtCodes!$B$11:K114,4)</f>
        <v>2</v>
      </c>
      <c r="F70" s="1">
        <f>VLOOKUP($B70,[14]TrtCodes!$B$11:L114,5)</f>
        <v>3</v>
      </c>
      <c r="G70" s="1">
        <f>VLOOKUP($B70,[14]TrtCodes!$B$11:M114,6)</f>
        <v>2</v>
      </c>
      <c r="H70" s="1">
        <f>VLOOKUP($B70,[14]TrtCodes!$B$11:N114,7)</f>
        <v>4</v>
      </c>
      <c r="I70" s="1">
        <f>[14]FormattedData!B71</f>
        <v>2</v>
      </c>
      <c r="J70" s="4">
        <f>[14]FormattedData!C71</f>
        <v>13.314</v>
      </c>
      <c r="K70" s="6">
        <f>$J$3+[14]FormattedData!D71*$J$4+$M$4*$J$5+[14]FormattedData!D71^2*$J$6+$M$5*$J$7</f>
        <v>31.51013131590452</v>
      </c>
      <c r="L70" s="6">
        <f>$J$3+[14]FormattedData!E71*$J$4+$M$4*$J$5+[14]FormattedData!E71^2*$J$6+$M$5*$J$7</f>
        <v>30.152666614760747</v>
      </c>
      <c r="M70" s="6">
        <f>$J$3+[14]FormattedData!F71*$J$4+$M$4*$J$5+[14]FormattedData!F71^2*$J$6+$M$5*$J$7</f>
        <v>29.763297889925585</v>
      </c>
      <c r="N70" s="6">
        <f>$J$3+[14]FormattedData!G71*$J$4+$M$4*$J$5+[14]FormattedData!G71^2*$J$6+$M$5*$J$7</f>
        <v>30.929375174610396</v>
      </c>
      <c r="O70" s="6">
        <f>$J$3+[14]FormattedData!H71*$J$4+$M$4*$J$5+[14]FormattedData!H71^2*$J$6+$M$5*$J$7</f>
        <v>31.123129629193489</v>
      </c>
      <c r="P70" s="6">
        <f>$J$3+[14]FormattedData!I71*$J$4+$M$4*$J$5+[14]FormattedData!I71^2*$J$6+$M$5*$J$7</f>
        <v>30.541359042989022</v>
      </c>
      <c r="Q70" s="6">
        <f>$J$3+[14]FormattedData!J71*$J$4+$M$4*$J$5+[14]FormattedData!J71^2*$J$6+$M$5*$J$7</f>
        <v>30.735451645875571</v>
      </c>
      <c r="R70" s="6">
        <f>$J$3+[14]FormattedData!K71*$J$4+$M$4*$J$5+[14]FormattedData!K71^2*$J$6+$M$5*$J$7</f>
        <v>30.541359042989022</v>
      </c>
      <c r="S70" s="6">
        <f>$J$3+[14]FormattedData!L71*$J$4+$M$4*$J$5+[14]FormattedData!L71^2*$J$6+$M$5*$J$7</f>
        <v>29.177976746534895</v>
      </c>
      <c r="T70" s="6">
        <f>$J$3+[14]FormattedData!M71*$J$4+$M$4*$J$5+[14]FormattedData!M71^2*$J$6+$M$5*$J$7</f>
        <v>30.638426478701259</v>
      </c>
      <c r="U70" s="6">
        <f>$J$3+[14]FormattedData!N71*$J$4+$M$4*$J$5+[14]FormattedData!N71^2*$J$6+$M$5*$J$7</f>
        <v>31.026273536170908</v>
      </c>
      <c r="V70" s="6">
        <f>$J$3+[14]FormattedData!O71*$J$4+$M$4*$J$5+[14]FormattedData!O71^2*$J$6+$M$5*$J$7</f>
        <v>30.055387836358857</v>
      </c>
      <c r="W70" s="5">
        <f t="shared" si="9"/>
        <v>30.51623624616786</v>
      </c>
      <c r="X70" s="4">
        <f t="shared" si="10"/>
        <v>0.18573432769633635</v>
      </c>
      <c r="Y70" s="3">
        <f t="shared" si="11"/>
        <v>29.177976746534895</v>
      </c>
      <c r="Z70" s="2">
        <f t="shared" si="12"/>
        <v>30.128346920160276</v>
      </c>
      <c r="AA70" s="3">
        <f t="shared" si="13"/>
        <v>30.589892760845139</v>
      </c>
      <c r="AB70" s="2">
        <f t="shared" si="14"/>
        <v>30.953599765000526</v>
      </c>
      <c r="AC70" s="2">
        <f t="shared" si="15"/>
        <v>31.51013131590452</v>
      </c>
      <c r="AD70" s="2">
        <f t="shared" si="16"/>
        <v>-0.63428271373676526</v>
      </c>
      <c r="AE70" s="2">
        <f t="shared" si="17"/>
        <v>0.38238547486509855</v>
      </c>
    </row>
    <row r="71" spans="2:31" x14ac:dyDescent="0.2">
      <c r="B71" s="1">
        <f>[14]FormattedData!A73</f>
        <v>306</v>
      </c>
      <c r="C71" s="1" t="str">
        <f>VLOOKUP($B71,[14]TrtCodes!$B$11:I116,2)</f>
        <v>FTL</v>
      </c>
      <c r="D71" s="1">
        <f>VLOOKUP($B71,[14]TrtCodes!$B$11:J116,3)</f>
        <v>4</v>
      </c>
      <c r="E71" s="1">
        <f>VLOOKUP($B71,[14]TrtCodes!$B$11:K116,4)</f>
        <v>1</v>
      </c>
      <c r="F71" s="1">
        <f>VLOOKUP($B71,[14]TrtCodes!$B$11:L116,5)</f>
        <v>2</v>
      </c>
      <c r="G71" s="1">
        <f>VLOOKUP($B71,[14]TrtCodes!$B$11:M116,6)</f>
        <v>1</v>
      </c>
      <c r="H71" s="1">
        <f>VLOOKUP($B71,[14]TrtCodes!$B$11:N116,7)</f>
        <v>4</v>
      </c>
      <c r="I71" s="1">
        <f>[14]FormattedData!B73</f>
        <v>2</v>
      </c>
      <c r="J71" s="4">
        <f>[14]FormattedData!C73</f>
        <v>13.327</v>
      </c>
      <c r="K71" s="6">
        <f>$J$3+[14]FormattedData!D73*$J$4+$M$4*$J$5+[14]FormattedData!D73^2*$J$6+$M$5*$J$7</f>
        <v>30.152666614760747</v>
      </c>
      <c r="L71" s="6">
        <f>$J$3+[14]FormattedData!E73*$J$4+$M$4*$J$5+[14]FormattedData!E73^2*$J$6+$M$5*$J$7</f>
        <v>28.493178860769895</v>
      </c>
      <c r="M71" s="6">
        <f>$J$3+[14]FormattedData!F73*$J$4+$M$4*$J$5+[14]FormattedData!F73^2*$J$6+$M$5*$J$7</f>
        <v>28.786917280182479</v>
      </c>
      <c r="N71" s="6">
        <f>$J$3+[14]FormattedData!G73*$J$4+$M$4*$J$5+[14]FormattedData!G73^2*$J$6+$M$5*$J$7</f>
        <v>29.860703473941271</v>
      </c>
      <c r="O71" s="6">
        <f>$J$3+[14]FormattedData!H73*$J$4+$M$4*$J$5+[14]FormattedData!H73^2*$J$6+$M$5*$J$7</f>
        <v>29.763297889925585</v>
      </c>
      <c r="P71" s="6">
        <f>$J$3+[14]FormattedData!I73*$J$4+$M$4*$J$5+[14]FormattedData!I73^2*$J$6+$M$5*$J$7</f>
        <v>29.177976746534895</v>
      </c>
      <c r="Q71" s="6">
        <f>$J$3+[14]FormattedData!J73*$J$4+$M$4*$J$5+[14]FormattedData!J73^2*$J$6+$M$5*$J$7</f>
        <v>31.51013131590452</v>
      </c>
      <c r="R71" s="6">
        <f>$J$3+[14]FormattedData!K73*$J$4+$M$4*$J$5+[14]FormattedData!K73^2*$J$6+$M$5*$J$7</f>
        <v>29.568359916280414</v>
      </c>
      <c r="S71" s="6">
        <f>$J$3+[14]FormattedData!L73*$J$4+$M$4*$J$5+[14]FormattedData!L73^2*$J$6+$M$5*$J$7</f>
        <v>31.219943453678148</v>
      </c>
      <c r="T71" s="6">
        <f>$J$3+[14]FormattedData!M73*$J$4+$M$4*$J$5+[14]FormattedData!M73^2*$J$6+$M$5*$J$7</f>
        <v>30.249903124624716</v>
      </c>
      <c r="U71" s="6">
        <f>$J$3+[14]FormattedData!N73*$J$4+$M$4*$J$5+[14]FormattedData!N73^2*$J$6+$M$5*$J$7</f>
        <v>31.703378548032447</v>
      </c>
      <c r="V71" s="6">
        <f>$J$3+[14]FormattedData!O73*$J$4+$M$4*$J$5+[14]FormattedData!O73^2*$J$6+$M$5*$J$7</f>
        <v>30.541359042989022</v>
      </c>
      <c r="W71" s="5">
        <f t="shared" si="9"/>
        <v>30.085651355635346</v>
      </c>
      <c r="X71" s="4">
        <f t="shared" si="10"/>
        <v>0.29696186312656814</v>
      </c>
      <c r="Y71" s="3">
        <f t="shared" si="11"/>
        <v>28.493178860769895</v>
      </c>
      <c r="Z71" s="2">
        <f t="shared" si="12"/>
        <v>29.470764123844035</v>
      </c>
      <c r="AA71" s="3">
        <f t="shared" si="13"/>
        <v>30.006685044351009</v>
      </c>
      <c r="AB71" s="2">
        <f t="shared" si="14"/>
        <v>30.711005145661304</v>
      </c>
      <c r="AC71" s="2">
        <f t="shared" si="15"/>
        <v>31.703378548032447</v>
      </c>
      <c r="AD71" s="2">
        <f t="shared" si="16"/>
        <v>0.15259547098277362</v>
      </c>
      <c r="AE71" s="2">
        <f t="shared" si="17"/>
        <v>-0.83845553321480315</v>
      </c>
    </row>
    <row r="72" spans="2:31" x14ac:dyDescent="0.2">
      <c r="B72" s="1">
        <f>[14]FormattedData!A75</f>
        <v>307</v>
      </c>
      <c r="C72" s="1" t="str">
        <f>VLOOKUP($B72,[14]TrtCodes!$B$11:I118,2)</f>
        <v>NTH</v>
      </c>
      <c r="D72" s="1">
        <f>VLOOKUP($B72,[14]TrtCodes!$B$11:J118,3)</f>
        <v>9</v>
      </c>
      <c r="E72" s="1">
        <f>VLOOKUP($B72,[14]TrtCodes!$B$11:K118,4)</f>
        <v>2</v>
      </c>
      <c r="F72" s="1">
        <f>VLOOKUP($B72,[14]TrtCodes!$B$11:L118,5)</f>
        <v>2</v>
      </c>
      <c r="G72" s="1">
        <f>VLOOKUP($B72,[14]TrtCodes!$B$11:M118,6)</f>
        <v>2</v>
      </c>
      <c r="H72" s="1">
        <f>VLOOKUP($B72,[14]TrtCodes!$B$11:N118,7)</f>
        <v>4</v>
      </c>
      <c r="I72" s="1">
        <f>[14]FormattedData!B75</f>
        <v>2</v>
      </c>
      <c r="J72" s="4">
        <f>[14]FormattedData!C75</f>
        <v>13.34</v>
      </c>
      <c r="K72" s="6">
        <f>$J$3+[14]FormattedData!D75*$J$4+$M$4*$J$5+[14]FormattedData!D75^2*$J$6+$M$5*$J$7</f>
        <v>30.735451645875571</v>
      </c>
      <c r="L72" s="6">
        <f>$J$3+[14]FormattedData!E75*$J$4+$M$4*$J$5+[14]FormattedData!E75^2*$J$6+$M$5*$J$7</f>
        <v>31.123129629193489</v>
      </c>
      <c r="M72" s="6">
        <f>$J$3+[14]FormattedData!F75*$J$4+$M$4*$J$5+[14]FormattedData!F75^2*$J$6+$M$5*$J$7</f>
        <v>31.026273536170908</v>
      </c>
      <c r="N72" s="6">
        <f>$J$3+[14]FormattedData!G75*$J$4+$M$4*$J$5+[14]FormattedData!G75^2*$J$6+$M$5*$J$7</f>
        <v>30.735451645875571</v>
      </c>
      <c r="O72" s="6">
        <f>$J$3+[14]FormattedData!H75*$J$4+$M$4*$J$5+[14]FormattedData!H75^2*$J$6+$M$5*$J$7</f>
        <v>30.444249338738853</v>
      </c>
      <c r="P72" s="6">
        <f>$J$3+[14]FormattedData!I75*$J$4+$M$4*$J$5+[14]FormattedData!I75^2*$J$6+$M$5*$J$7</f>
        <v>30.638426478701259</v>
      </c>
      <c r="Q72" s="6">
        <f>$J$3+[14]FormattedData!J75*$J$4+$M$4*$J$5+[14]FormattedData!J75^2*$J$6+$M$5*$J$7</f>
        <v>30.735451645875571</v>
      </c>
      <c r="R72" s="6">
        <f>$J$3+[14]FormattedData!K75*$J$4+$M$4*$J$5+[14]FormattedData!K75^2*$J$6+$M$5*$J$7</f>
        <v>29.66585003737196</v>
      </c>
      <c r="S72" s="6">
        <f>$J$3+[14]FormattedData!L75*$J$4+$M$4*$J$5+[14]FormattedData!L75^2*$J$6+$M$5*$J$7</f>
        <v>31.316715009624865</v>
      </c>
      <c r="T72" s="6">
        <f>$J$3+[14]FormattedData!M75*$J$4+$M$4*$J$5+[14]FormattedData!M75^2*$J$6+$M$5*$J$7</f>
        <v>29.470827526650929</v>
      </c>
      <c r="U72" s="6">
        <f>$J$3+[14]FormattedData!N75*$J$4+$M$4*$J$5+[14]FormattedData!N75^2*$J$6+$M$5*$J$7</f>
        <v>30.832434544511948</v>
      </c>
      <c r="V72" s="6">
        <f>$J$3+[14]FormattedData!O75*$J$4+$M$4*$J$5+[14]FormattedData!O75^2*$J$6+$M$5*$J$7</f>
        <v>31.316715009624865</v>
      </c>
      <c r="W72" s="5">
        <f t="shared" si="9"/>
        <v>30.670081337351316</v>
      </c>
      <c r="X72" s="4">
        <f t="shared" si="10"/>
        <v>0.16756424758502494</v>
      </c>
      <c r="Y72" s="3">
        <f t="shared" si="11"/>
        <v>29.470827526650929</v>
      </c>
      <c r="Z72" s="2">
        <f t="shared" si="12"/>
        <v>30.589882193710658</v>
      </c>
      <c r="AA72" s="3">
        <f t="shared" si="13"/>
        <v>30.735451645875571</v>
      </c>
      <c r="AB72" s="2">
        <f t="shared" si="14"/>
        <v>31.050487559426553</v>
      </c>
      <c r="AC72" s="2">
        <f t="shared" si="15"/>
        <v>31.316715009624865</v>
      </c>
      <c r="AD72" s="2">
        <f t="shared" si="16"/>
        <v>-1.1518507621257528</v>
      </c>
      <c r="AE72" s="2">
        <f t="shared" si="17"/>
        <v>0.82026343151374093</v>
      </c>
    </row>
    <row r="73" spans="2:31" x14ac:dyDescent="0.2">
      <c r="B73" s="1">
        <f>[14]FormattedData!A77</f>
        <v>308</v>
      </c>
      <c r="C73" s="1" t="str">
        <f>VLOOKUP($B73,[14]TrtCodes!$B$11:I120,2)</f>
        <v>FDH</v>
      </c>
      <c r="D73" s="1">
        <f>VLOOKUP($B73,[14]TrtCodes!$B$11:J120,3)</f>
        <v>5</v>
      </c>
      <c r="E73" s="1">
        <f>VLOOKUP($B73,[14]TrtCodes!$B$11:K120,4)</f>
        <v>1</v>
      </c>
      <c r="F73" s="1">
        <f>VLOOKUP($B73,[14]TrtCodes!$B$11:L120,5)</f>
        <v>3</v>
      </c>
      <c r="G73" s="1">
        <f>VLOOKUP($B73,[14]TrtCodes!$B$11:M120,6)</f>
        <v>2</v>
      </c>
      <c r="H73" s="1">
        <f>VLOOKUP($B73,[14]TrtCodes!$B$11:N120,7)</f>
        <v>4</v>
      </c>
      <c r="I73" s="1">
        <f>[14]FormattedData!B77</f>
        <v>2</v>
      </c>
      <c r="J73" s="4">
        <f>[14]FormattedData!C77</f>
        <v>13.355</v>
      </c>
      <c r="K73" s="6">
        <f>$J$3+[14]FormattedData!D77*$J$4+$M$4*$J$5+[14]FormattedData!D77^2*$J$6+$M$5*$J$7</f>
        <v>30.541359042989022</v>
      </c>
      <c r="L73" s="6">
        <f>$J$3+[14]FormattedData!E77*$J$4+$M$4*$J$5+[14]FormattedData!E77^2*$J$6+$M$5*$J$7</f>
        <v>30.638426478701259</v>
      </c>
      <c r="M73" s="6">
        <f>$J$3+[14]FormattedData!F77*$J$4+$M$4*$J$5+[14]FormattedData!F77^2*$J$6+$M$5*$J$7</f>
        <v>31.413444297033664</v>
      </c>
      <c r="N73" s="6">
        <f>$J$3+[14]FormattedData!G77*$J$4+$M$4*$J$5+[14]FormattedData!G77^2*$J$6+$M$5*$J$7</f>
        <v>31.51013131590452</v>
      </c>
      <c r="O73" s="6">
        <f>$J$3+[14]FormattedData!H77*$J$4+$M$4*$J$5+[14]FormattedData!H77^2*$J$6+$M$5*$J$7</f>
        <v>32.089365789833124</v>
      </c>
      <c r="P73" s="6">
        <f>$J$3+[14]FormattedData!I77*$J$4+$M$4*$J$5+[14]FormattedData!I77^2*$J$6+$M$5*$J$7</f>
        <v>31.703378548032447</v>
      </c>
      <c r="Q73" s="6">
        <f>$J$3+[14]FormattedData!J77*$J$4+$M$4*$J$5+[14]FormattedData!J77^2*$J$6+$M$5*$J$7</f>
        <v>31.992932382189856</v>
      </c>
      <c r="R73" s="6">
        <f>$J$3+[14]FormattedData!K77*$J$4+$M$4*$J$5+[14]FormattedData!K77^2*$J$6+$M$5*$J$7</f>
        <v>31.992932382189856</v>
      </c>
      <c r="S73" s="6">
        <f>$J$3+[14]FormattedData!L77*$J$4+$M$4*$J$5+[14]FormattedData!L77^2*$J$6+$M$5*$J$7</f>
        <v>31.316715009624865</v>
      </c>
      <c r="T73" s="6">
        <f>$J$3+[14]FormattedData!M77*$J$4+$M$4*$J$5+[14]FormattedData!M77^2*$J$6+$M$5*$J$7</f>
        <v>32.089365789833124</v>
      </c>
      <c r="U73" s="6">
        <f>$J$3+[14]FormattedData!N77*$J$4+$M$4*$J$5+[14]FormattedData!N77^2*$J$6+$M$5*$J$7</f>
        <v>32.282105799505871</v>
      </c>
      <c r="V73" s="6">
        <f>$J$3+[14]FormattedData!O77*$J$4+$M$4*$J$5+[14]FormattedData!O77^2*$J$6+$M$5*$J$7</f>
        <v>31.219943453678148</v>
      </c>
      <c r="W73" s="5">
        <f t="shared" si="9"/>
        <v>31.565841690792976</v>
      </c>
      <c r="X73" s="4">
        <f t="shared" si="10"/>
        <v>0.16428496396716111</v>
      </c>
      <c r="Y73" s="3">
        <f t="shared" si="11"/>
        <v>30.541359042989022</v>
      </c>
      <c r="Z73" s="2">
        <f t="shared" si="12"/>
        <v>31.292522120638186</v>
      </c>
      <c r="AA73" s="3">
        <f t="shared" si="13"/>
        <v>31.606754931968482</v>
      </c>
      <c r="AB73" s="2">
        <f t="shared" si="14"/>
        <v>32.017040734100675</v>
      </c>
      <c r="AC73" s="2">
        <f t="shared" si="15"/>
        <v>32.282105799505871</v>
      </c>
      <c r="AD73" s="2">
        <f t="shared" si="16"/>
        <v>-0.6632677569384563</v>
      </c>
      <c r="AE73" s="2">
        <f t="shared" si="17"/>
        <v>-0.51749730775911695</v>
      </c>
    </row>
    <row r="74" spans="2:31" x14ac:dyDescent="0.2">
      <c r="B74" s="1">
        <f>[14]FormattedData!A93</f>
        <v>401</v>
      </c>
      <c r="C74" s="1" t="str">
        <f>VLOOKUP($B74,[14]TrtCodes!$B$11:I130,2)</f>
        <v>NSH</v>
      </c>
      <c r="D74" s="1">
        <f>VLOOKUP($B74,[14]TrtCodes!$B$11:J130,3)</f>
        <v>7</v>
      </c>
      <c r="E74" s="1">
        <f>VLOOKUP($B74,[14]TrtCodes!$B$11:K130,4)</f>
        <v>2</v>
      </c>
      <c r="F74" s="1">
        <f>VLOOKUP($B74,[14]TrtCodes!$B$11:L130,5)</f>
        <v>1</v>
      </c>
      <c r="G74" s="1">
        <f>VLOOKUP($B74,[14]TrtCodes!$B$11:M130,6)</f>
        <v>2</v>
      </c>
      <c r="H74" s="1">
        <f>VLOOKUP($B74,[14]TrtCodes!$B$11:N130,7)</f>
        <v>3</v>
      </c>
      <c r="I74" s="1">
        <f>[14]FormattedData!B93</f>
        <v>2</v>
      </c>
      <c r="J74" s="4">
        <f>[14]FormattedData!C93</f>
        <v>13.477</v>
      </c>
      <c r="K74" s="6">
        <f>$J$3+[14]FormattedData!D93*$J$4+$M$4*$J$5+[14]FormattedData!D93^2*$J$6+$M$5*$J$7</f>
        <v>33.339153652243937</v>
      </c>
      <c r="L74" s="6">
        <f>$J$3+[14]FormattedData!E93*$J$4+$M$4*$J$5+[14]FormattedData!E93^2*$J$6+$M$5*$J$7</f>
        <v>33.62655179096685</v>
      </c>
      <c r="M74" s="6">
        <f>$J$3+[14]FormattedData!F93*$J$4+$M$4*$J$5+[14]FormattedData!F93^2*$J$6+$M$5*$J$7</f>
        <v>34.009157549733047</v>
      </c>
      <c r="N74" s="6">
        <f>$J$3+[14]FormattedData!G93*$J$4+$M$4*$J$5+[14]FormattedData!G93^2*$J$6+$M$5*$J$7</f>
        <v>34.581798131744385</v>
      </c>
      <c r="O74" s="6">
        <f>$J$3+[14]FormattedData!H93*$J$4+$M$4*$J$5+[14]FormattedData!H93^2*$J$6+$M$5*$J$7</f>
        <v>33.339153652243937</v>
      </c>
      <c r="P74" s="6">
        <f>$J$3+[14]FormattedData!I93*$J$4+$M$4*$J$5+[14]FormattedData!I93^2*$J$6+$M$5*$J$7</f>
        <v>34.772340177444718</v>
      </c>
      <c r="Q74" s="6">
        <f>$J$3+[14]FormattedData!J93*$J$4+$M$4*$J$5+[14]FormattedData!J93^2*$J$6+$M$5*$J$7</f>
        <v>33.913569512848397</v>
      </c>
      <c r="R74" s="6">
        <f>$J$3+[14]FormattedData!K93*$J$4+$M$4*$J$5+[14]FormattedData!K93^2*$J$6+$M$5*$J$7</f>
        <v>32.95536437441568</v>
      </c>
      <c r="S74" s="6">
        <f>$J$3+[14]FormattedData!L93*$J$4+$M$4*$J$5+[14]FormattedData!L93^2*$J$6+$M$5*$J$7</f>
        <v>35.057836231960735</v>
      </c>
      <c r="T74" s="6">
        <f>$J$3+[14]FormattedData!M93*$J$4+$M$4*$J$5+[14]FormattedData!M93^2*$J$6+$M$5*$J$7</f>
        <v>34.009157549733047</v>
      </c>
      <c r="U74" s="6">
        <f>$J$3+[14]FormattedData!N93*$J$4+$M$4*$J$5+[14]FormattedData!N93^2*$J$6+$M$5*$J$7</f>
        <v>37.985686609136522</v>
      </c>
      <c r="V74" s="6">
        <f>$J$3+[14]FormattedData!O93*$J$4+$M$4*$J$5+[14]FormattedData!O93^2*$J$6+$M$5*$J$7</f>
        <v>33.434995300356178</v>
      </c>
      <c r="W74" s="5">
        <f t="shared" ref="W74:W105" si="18">AVERAGE(K74:V74)</f>
        <v>34.252063711068949</v>
      </c>
      <c r="X74" s="4">
        <f t="shared" ref="X74:X85" si="19">STDEV(K74:V74)/SQRT(COUNT(K74:V74))</f>
        <v>0.38541901135430556</v>
      </c>
      <c r="Y74" s="3">
        <f t="shared" ref="Y74:Y85" si="20">MIN(K74:V74)</f>
        <v>32.95536437441568</v>
      </c>
      <c r="Z74" s="2">
        <f t="shared" ref="Z74:Z85" si="21">QUARTILE(K74:V74,1)</f>
        <v>33.411034888328118</v>
      </c>
      <c r="AA74" s="3">
        <f t="shared" ref="AA74:AA85" si="22">MEDIAN(K74:V74)</f>
        <v>33.961363531290722</v>
      </c>
      <c r="AB74" s="2">
        <f t="shared" ref="AB74:AB85" si="23">QUARTILE(K74:V74,3)</f>
        <v>34.62943364316947</v>
      </c>
      <c r="AC74" s="2">
        <f t="shared" ref="AC74:AC85" si="24">MAX(K74:V74)</f>
        <v>37.985686609136522</v>
      </c>
      <c r="AD74" s="2">
        <f t="shared" ref="AD74:AD85" si="25">SKEW(K74:V74)</f>
        <v>2.2087396073495746</v>
      </c>
      <c r="AE74" s="2">
        <f t="shared" ref="AE74:AE85" si="26">KURT(K74:V74)</f>
        <v>5.8679992299747337</v>
      </c>
    </row>
    <row r="75" spans="2:31" x14ac:dyDescent="0.2">
      <c r="B75" s="1">
        <f>[14]FormattedData!A91</f>
        <v>402</v>
      </c>
      <c r="C75" s="1" t="str">
        <f>VLOOKUP($B75,[14]TrtCodes!$B$11:I131,2)</f>
        <v>NTH</v>
      </c>
      <c r="D75" s="1">
        <f>VLOOKUP($B75,[14]TrtCodes!$B$11:J131,3)</f>
        <v>9</v>
      </c>
      <c r="E75" s="1">
        <f>VLOOKUP($B75,[14]TrtCodes!$B$11:K131,4)</f>
        <v>2</v>
      </c>
      <c r="F75" s="1">
        <f>VLOOKUP($B75,[14]TrtCodes!$B$11:L131,5)</f>
        <v>2</v>
      </c>
      <c r="G75" s="1">
        <f>VLOOKUP($B75,[14]TrtCodes!$B$11:M131,6)</f>
        <v>2</v>
      </c>
      <c r="H75" s="1">
        <f>VLOOKUP($B75,[14]TrtCodes!$B$11:N131,7)</f>
        <v>3</v>
      </c>
      <c r="I75" s="1">
        <f>[14]FormattedData!B91</f>
        <v>2</v>
      </c>
      <c r="J75" s="4">
        <f>[14]FormattedData!C91</f>
        <v>13.462</v>
      </c>
      <c r="K75" s="6">
        <f>$J$3+[14]FormattedData!D91*$J$4+$M$4*$J$5+[14]FormattedData!D91^2*$J$6+$M$5*$J$7</f>
        <v>30.444249338738853</v>
      </c>
      <c r="L75" s="6">
        <f>$J$3+[14]FormattedData!E91*$J$4+$M$4*$J$5+[14]FormattedData!E91^2*$J$6+$M$5*$J$7</f>
        <v>29.860703473941271</v>
      </c>
      <c r="M75" s="6">
        <f>$J$3+[14]FormattedData!F91*$J$4+$M$4*$J$5+[14]FormattedData!F91^2*$J$6+$M$5*$J$7</f>
        <v>31.316715009624865</v>
      </c>
      <c r="N75" s="6">
        <f>$J$3+[14]FormattedData!G91*$J$4+$M$4*$J$5+[14]FormattedData!G91^2*$J$6+$M$5*$J$7</f>
        <v>29.860703473941271</v>
      </c>
      <c r="O75" s="6">
        <f>$J$3+[14]FormattedData!H91*$J$4+$M$4*$J$5+[14]FormattedData!H91^2*$J$6+$M$5*$J$7</f>
        <v>30.347097365950745</v>
      </c>
      <c r="P75" s="6">
        <f>$J$3+[14]FormattedData!I91*$J$4+$M$4*$J$5+[14]FormattedData!I91^2*$J$6+$M$5*$J$7</f>
        <v>31.026273536170908</v>
      </c>
      <c r="Q75" s="6">
        <f>$J$3+[14]FormattedData!J91*$J$4+$M$4*$J$5+[14]FormattedData!J91^2*$J$6+$M$5*$J$7</f>
        <v>30.152666614760747</v>
      </c>
      <c r="R75" s="6">
        <f>$J$3+[14]FormattedData!K91*$J$4+$M$4*$J$5+[14]FormattedData!K91^2*$J$6+$M$5*$J$7</f>
        <v>29.373252868483515</v>
      </c>
      <c r="S75" s="6">
        <f>$J$3+[14]FormattedData!L91*$J$4+$M$4*$J$5+[14]FormattedData!L91^2*$J$6+$M$5*$J$7</f>
        <v>31.316715009624865</v>
      </c>
      <c r="T75" s="6">
        <f>$J$3+[14]FormattedData!M91*$J$4+$M$4*$J$5+[14]FormattedData!M91^2*$J$6+$M$5*$J$7</f>
        <v>29.177976746534895</v>
      </c>
      <c r="U75" s="6">
        <f>$J$3+[14]FormattedData!N91*$J$4+$M$4*$J$5+[14]FormattedData!N91^2*$J$6+$M$5*$J$7</f>
        <v>31.703378548032447</v>
      </c>
      <c r="V75" s="6">
        <f>$J$3+[14]FormattedData!O91*$J$4+$M$4*$J$5+[14]FormattedData!O91^2*$J$6+$M$5*$J$7</f>
        <v>30.735451645875571</v>
      </c>
      <c r="W75" s="5">
        <f t="shared" si="18"/>
        <v>30.44293196930667</v>
      </c>
      <c r="X75" s="4">
        <f t="shared" si="19"/>
        <v>0.23122400663784934</v>
      </c>
      <c r="Y75" s="3">
        <f t="shared" si="20"/>
        <v>29.177976746534895</v>
      </c>
      <c r="Z75" s="2">
        <f t="shared" si="21"/>
        <v>29.860703473941271</v>
      </c>
      <c r="AA75" s="3">
        <f t="shared" si="22"/>
        <v>30.395673352344801</v>
      </c>
      <c r="AB75" s="2">
        <f t="shared" si="23"/>
        <v>31.098883904534397</v>
      </c>
      <c r="AC75" s="2">
        <f t="shared" si="24"/>
        <v>31.703378548032447</v>
      </c>
      <c r="AD75" s="2">
        <f t="shared" si="25"/>
        <v>-2.288158099897647E-2</v>
      </c>
      <c r="AE75" s="2">
        <f t="shared" si="26"/>
        <v>-1.0015423563058077</v>
      </c>
    </row>
    <row r="76" spans="2:31" x14ac:dyDescent="0.2">
      <c r="B76" s="1">
        <f>[14]FormattedData!A89</f>
        <v>403</v>
      </c>
      <c r="C76" s="1" t="str">
        <f>VLOOKUP($B76,[14]TrtCodes!$B$11:I132,2)</f>
        <v>FDL</v>
      </c>
      <c r="D76" s="1">
        <f>VLOOKUP($B76,[14]TrtCodes!$B$11:J132,3)</f>
        <v>6</v>
      </c>
      <c r="E76" s="1">
        <f>VLOOKUP($B76,[14]TrtCodes!$B$11:K132,4)</f>
        <v>1</v>
      </c>
      <c r="F76" s="1">
        <f>VLOOKUP($B76,[14]TrtCodes!$B$11:L132,5)</f>
        <v>3</v>
      </c>
      <c r="G76" s="1">
        <f>VLOOKUP($B76,[14]TrtCodes!$B$11:M132,6)</f>
        <v>1</v>
      </c>
      <c r="H76" s="1">
        <f>VLOOKUP($B76,[14]TrtCodes!$B$11:N132,7)</f>
        <v>3</v>
      </c>
      <c r="I76" s="1">
        <f>[14]FormattedData!B89</f>
        <v>2</v>
      </c>
      <c r="J76" s="4">
        <f>[14]FormattedData!C89</f>
        <v>13.448</v>
      </c>
      <c r="K76" s="6">
        <f>$J$3+[14]FormattedData!D89*$J$4+$M$4*$J$5+[14]FormattedData!D89^2*$J$6+$M$5*$J$7</f>
        <v>30.055387836358857</v>
      </c>
      <c r="L76" s="6">
        <f>$J$3+[14]FormattedData!E89*$J$4+$M$4*$J$5+[14]FormattedData!E89^2*$J$6+$M$5*$J$7</f>
        <v>30.055387836358857</v>
      </c>
      <c r="M76" s="6">
        <f>$J$3+[14]FormattedData!F89*$J$4+$M$4*$J$5+[14]FormattedData!F89^2*$J$6+$M$5*$J$7</f>
        <v>31.219943453678148</v>
      </c>
      <c r="N76" s="6">
        <f>$J$3+[14]FormattedData!G89*$J$4+$M$4*$J$5+[14]FormattedData!G89^2*$J$6+$M$5*$J$7</f>
        <v>30.055387836358857</v>
      </c>
      <c r="O76" s="6">
        <f>$J$3+[14]FormattedData!H89*$J$4+$M$4*$J$5+[14]FormattedData!H89^2*$J$6+$M$5*$J$7</f>
        <v>30.055387836358857</v>
      </c>
      <c r="P76" s="6">
        <f>$J$3+[14]FormattedData!I89*$J$4+$M$4*$J$5+[14]FormattedData!I89^2*$J$6+$M$5*$J$7</f>
        <v>30.638426478701259</v>
      </c>
      <c r="Q76" s="6">
        <f>$J$3+[14]FormattedData!J89*$J$4+$M$4*$J$5+[14]FormattedData!J89^2*$J$6+$M$5*$J$7</f>
        <v>31.413444297033664</v>
      </c>
      <c r="R76" s="6">
        <f>$J$3+[14]FormattedData!K89*$J$4+$M$4*$J$5+[14]FormattedData!K89^2*$J$6+$M$5*$J$7</f>
        <v>29.373252868483515</v>
      </c>
      <c r="S76" s="6">
        <f>$J$3+[14]FormattedData!L89*$J$4+$M$4*$J$5+[14]FormattedData!L89^2*$J$6+$M$5*$J$7</f>
        <v>30.929375174610396</v>
      </c>
      <c r="T76" s="6">
        <f>$J$3+[14]FormattedData!M89*$J$4+$M$4*$J$5+[14]FormattedData!M89^2*$J$6+$M$5*$J$7</f>
        <v>29.177976746534895</v>
      </c>
      <c r="U76" s="6">
        <f>$J$3+[14]FormattedData!N89*$J$4+$M$4*$J$5+[14]FormattedData!N89^2*$J$6+$M$5*$J$7</f>
        <v>29.568359916280414</v>
      </c>
      <c r="V76" s="6">
        <f>$J$3+[14]FormattedData!O89*$J$4+$M$4*$J$5+[14]FormattedData!O89^2*$J$6+$M$5*$J$7</f>
        <v>30.735451645875571</v>
      </c>
      <c r="W76" s="5">
        <f t="shared" si="18"/>
        <v>30.273148493886112</v>
      </c>
      <c r="X76" s="4">
        <f t="shared" si="19"/>
        <v>0.2072566102574378</v>
      </c>
      <c r="Y76" s="3">
        <f t="shared" si="20"/>
        <v>29.177976746534895</v>
      </c>
      <c r="Z76" s="2">
        <f t="shared" si="21"/>
        <v>29.933630856339246</v>
      </c>
      <c r="AA76" s="3">
        <f t="shared" si="22"/>
        <v>30.055387836358857</v>
      </c>
      <c r="AB76" s="2">
        <f t="shared" si="23"/>
        <v>30.783932528059278</v>
      </c>
      <c r="AC76" s="2">
        <f t="shared" si="24"/>
        <v>31.413444297033664</v>
      </c>
      <c r="AD76" s="2">
        <f t="shared" si="25"/>
        <v>9.6648753442717367E-2</v>
      </c>
      <c r="AE76" s="2">
        <f t="shared" si="26"/>
        <v>-1.0127369264069279</v>
      </c>
    </row>
    <row r="77" spans="2:31" x14ac:dyDescent="0.2">
      <c r="B77" s="1">
        <f>[14]FormattedData!A87</f>
        <v>404</v>
      </c>
      <c r="C77" s="1" t="str">
        <f>VLOOKUP($B77,[14]TrtCodes!$B$11:I130,2)</f>
        <v>FTH</v>
      </c>
      <c r="D77" s="1">
        <f>VLOOKUP($B77,[14]TrtCodes!$B$11:J130,3)</f>
        <v>3</v>
      </c>
      <c r="E77" s="1">
        <f>VLOOKUP($B77,[14]TrtCodes!$B$11:K130,4)</f>
        <v>1</v>
      </c>
      <c r="F77" s="1">
        <f>VLOOKUP($B77,[14]TrtCodes!$B$11:L130,5)</f>
        <v>2</v>
      </c>
      <c r="G77" s="1">
        <f>VLOOKUP($B77,[14]TrtCodes!$B$11:M130,6)</f>
        <v>2</v>
      </c>
      <c r="H77" s="1">
        <f>VLOOKUP($B77,[14]TrtCodes!$B$11:N130,7)</f>
        <v>3</v>
      </c>
      <c r="I77" s="1">
        <f>[14]FormattedData!B87</f>
        <v>2</v>
      </c>
      <c r="J77" s="4">
        <f>[14]FormattedData!C87</f>
        <v>13.433999999999999</v>
      </c>
      <c r="K77" s="6">
        <f>$J$3+[14]FormattedData!D87*$J$4+$M$4*$J$5+[14]FormattedData!D87^2*$J$6+$M$5*$J$7</f>
        <v>29.66585003737196</v>
      </c>
      <c r="L77" s="6">
        <f>$J$3+[14]FormattedData!E87*$J$4+$M$4*$J$5+[14]FormattedData!E87^2*$J$6+$M$5*$J$7</f>
        <v>28.884745549577481</v>
      </c>
      <c r="M77" s="6">
        <f>$J$3+[14]FormattedData!F87*$J$4+$M$4*$J$5+[14]FormattedData!F87^2*$J$6+$M$5*$J$7</f>
        <v>30.735451645875571</v>
      </c>
      <c r="N77" s="6">
        <f>$J$3+[14]FormattedData!G87*$J$4+$M$4*$J$5+[14]FormattedData!G87^2*$J$6+$M$5*$J$7</f>
        <v>29.568359916280414</v>
      </c>
      <c r="O77" s="6">
        <f>$J$3+[14]FormattedData!H87*$J$4+$M$4*$J$5+[14]FormattedData!H87^2*$J$6+$M$5*$J$7</f>
        <v>31.413444297033664</v>
      </c>
      <c r="P77" s="6">
        <f>$J$3+[14]FormattedData!I87*$J$4+$M$4*$J$5+[14]FormattedData!I87^2*$J$6+$M$5*$J$7</f>
        <v>30.832434544511948</v>
      </c>
      <c r="Q77" s="6">
        <f>$J$3+[14]FormattedData!J87*$J$4+$M$4*$J$5+[14]FormattedData!J87^2*$J$6+$M$5*$J$7</f>
        <v>30.735451645875571</v>
      </c>
      <c r="R77" s="6">
        <f>$J$3+[14]FormattedData!K87*$J$4+$M$4*$J$5+[14]FormattedData!K87^2*$J$6+$M$5*$J$7</f>
        <v>30.055387836358857</v>
      </c>
      <c r="S77" s="6">
        <f>$J$3+[14]FormattedData!L87*$J$4+$M$4*$J$5+[14]FormattedData!L87^2*$J$6+$M$5*$J$7</f>
        <v>30.929375174610396</v>
      </c>
      <c r="T77" s="6">
        <f>$J$3+[14]FormattedData!M87*$J$4+$M$4*$J$5+[14]FormattedData!M87^2*$J$6+$M$5*$J$7</f>
        <v>30.249903124624716</v>
      </c>
      <c r="U77" s="6">
        <f>$J$3+[14]FormattedData!N87*$J$4+$M$4*$J$5+[14]FormattedData!N87^2*$J$6+$M$5*$J$7</f>
        <v>31.123129629193489</v>
      </c>
      <c r="V77" s="6">
        <f>$J$3+[14]FormattedData!O87*$J$4+$M$4*$J$5+[14]FormattedData!O87^2*$J$6+$M$5*$J$7</f>
        <v>29.470827526650929</v>
      </c>
      <c r="W77" s="5">
        <f t="shared" si="18"/>
        <v>30.305363410663748</v>
      </c>
      <c r="X77" s="4">
        <f t="shared" si="19"/>
        <v>0.2247229214161213</v>
      </c>
      <c r="Y77" s="3">
        <f t="shared" si="20"/>
        <v>28.884745549577481</v>
      </c>
      <c r="Z77" s="2">
        <f t="shared" si="21"/>
        <v>29.641477507099076</v>
      </c>
      <c r="AA77" s="3">
        <f t="shared" si="22"/>
        <v>30.492677385250143</v>
      </c>
      <c r="AB77" s="2">
        <f t="shared" si="23"/>
        <v>30.856669702036559</v>
      </c>
      <c r="AC77" s="2">
        <f t="shared" si="24"/>
        <v>31.413444297033664</v>
      </c>
      <c r="AD77" s="2">
        <f t="shared" si="25"/>
        <v>-0.38617093429671995</v>
      </c>
      <c r="AE77" s="2">
        <f t="shared" si="26"/>
        <v>-0.91124422635943469</v>
      </c>
    </row>
    <row r="78" spans="2:31" x14ac:dyDescent="0.2">
      <c r="B78" s="1">
        <f>[14]FormattedData!A85</f>
        <v>405</v>
      </c>
      <c r="C78" s="1" t="str">
        <f>VLOOKUP($B78,[14]TrtCodes!$B$11:I128,2)</f>
        <v>FDL</v>
      </c>
      <c r="D78" s="1">
        <f>VLOOKUP($B78,[14]TrtCodes!$B$11:J128,3)</f>
        <v>6</v>
      </c>
      <c r="E78" s="1">
        <f>VLOOKUP($B78,[14]TrtCodes!$B$11:K128,4)</f>
        <v>1</v>
      </c>
      <c r="F78" s="1">
        <f>VLOOKUP($B78,[14]TrtCodes!$B$11:L128,5)</f>
        <v>3</v>
      </c>
      <c r="G78" s="1">
        <f>VLOOKUP($B78,[14]TrtCodes!$B$11:M128,6)</f>
        <v>1</v>
      </c>
      <c r="H78" s="1">
        <f>VLOOKUP($B78,[14]TrtCodes!$B$11:N128,7)</f>
        <v>4</v>
      </c>
      <c r="I78" s="1">
        <f>[14]FormattedData!B85</f>
        <v>2</v>
      </c>
      <c r="J78" s="4">
        <f>[14]FormattedData!C85</f>
        <v>13.419</v>
      </c>
      <c r="K78" s="6">
        <f>$J$3+[14]FormattedData!D85*$J$4+$M$4*$J$5+[14]FormattedData!D85^2*$J$6+$M$5*$J$7</f>
        <v>32.474676735026911</v>
      </c>
      <c r="L78" s="6">
        <f>$J$3+[14]FormattedData!E85*$J$4+$M$4*$J$5+[14]FormattedData!E85^2*$J$6+$M$5*$J$7</f>
        <v>32.282105799505871</v>
      </c>
      <c r="M78" s="6">
        <f>$J$3+[14]FormattedData!F85*$J$4+$M$4*$J$5+[14]FormattedData!F85^2*$J$6+$M$5*$J$7</f>
        <v>31.606776066237451</v>
      </c>
      <c r="N78" s="6">
        <f>$J$3+[14]FormattedData!G85*$J$4+$M$4*$J$5+[14]FormattedData!G85^2*$J$6+$M$5*$J$7</f>
        <v>31.606776066237451</v>
      </c>
      <c r="O78" s="6">
        <f>$J$3+[14]FormattedData!H85*$J$4+$M$4*$J$5+[14]FormattedData!H85^2*$J$6+$M$5*$J$7</f>
        <v>34.391087011892331</v>
      </c>
      <c r="P78" s="6">
        <f>$J$3+[14]FormattedData!I85*$J$4+$M$4*$J$5+[14]FormattedData!I85^2*$J$6+$M$5*$J$7</f>
        <v>31.413444297033664</v>
      </c>
      <c r="Q78" s="6">
        <f>$J$3+[14]FormattedData!J85*$J$4+$M$4*$J$5+[14]FormattedData!J85^2*$J$6+$M$5*$J$7</f>
        <v>32.76321612427396</v>
      </c>
      <c r="R78" s="6">
        <f>$J$3+[14]FormattedData!K85*$J$4+$M$4*$J$5+[14]FormattedData!K85^2*$J$6+$M$5*$J$7</f>
        <v>32.282105799505871</v>
      </c>
      <c r="S78" s="6">
        <f>$J$3+[14]FormattedData!L85*$J$4+$M$4*$J$5+[14]FormattedData!L85^2*$J$6+$M$5*$J$7</f>
        <v>32.859311383613786</v>
      </c>
      <c r="T78" s="6">
        <f>$J$3+[14]FormattedData!M85*$J$4+$M$4*$J$5+[14]FormattedData!M85^2*$J$6+$M$5*$J$7</f>
        <v>33.339153652243937</v>
      </c>
      <c r="U78" s="6">
        <f>$J$3+[14]FormattedData!N85*$J$4+$M$4*$J$5+[14]FormattedData!N85^2*$J$6+$M$5*$J$7</f>
        <v>32.378412401535357</v>
      </c>
      <c r="V78" s="6">
        <f>$J$3+[14]FormattedData!O85*$J$4+$M$4*$J$5+[14]FormattedData!O85^2*$J$6+$M$5*$J$7</f>
        <v>31.413444297033664</v>
      </c>
      <c r="W78" s="5">
        <f t="shared" si="18"/>
        <v>32.400875802845015</v>
      </c>
      <c r="X78" s="4">
        <f t="shared" si="19"/>
        <v>0.25268488909881331</v>
      </c>
      <c r="Y78" s="3">
        <f t="shared" si="20"/>
        <v>31.413444297033664</v>
      </c>
      <c r="Z78" s="2">
        <f t="shared" si="21"/>
        <v>31.606776066237451</v>
      </c>
      <c r="AA78" s="3">
        <f t="shared" si="22"/>
        <v>32.330259100520614</v>
      </c>
      <c r="AB78" s="2">
        <f t="shared" si="23"/>
        <v>32.787239939108915</v>
      </c>
      <c r="AC78" s="2">
        <f t="shared" si="24"/>
        <v>34.391087011892331</v>
      </c>
      <c r="AD78" s="2">
        <f t="shared" si="25"/>
        <v>0.96343930992048576</v>
      </c>
      <c r="AE78" s="2">
        <f t="shared" si="26"/>
        <v>1.126325750138224</v>
      </c>
    </row>
    <row r="79" spans="2:31" x14ac:dyDescent="0.2">
      <c r="B79" s="1">
        <f>[14]FormattedData!A83</f>
        <v>406</v>
      </c>
      <c r="C79" s="1" t="str">
        <f>VLOOKUP($B79,[14]TrtCodes!$B$11:I126,2)</f>
        <v>FTH</v>
      </c>
      <c r="D79" s="1">
        <f>VLOOKUP($B79,[14]TrtCodes!$B$11:J126,3)</f>
        <v>3</v>
      </c>
      <c r="E79" s="1">
        <f>VLOOKUP($B79,[14]TrtCodes!$B$11:K126,4)</f>
        <v>1</v>
      </c>
      <c r="F79" s="1">
        <f>VLOOKUP($B79,[14]TrtCodes!$B$11:L126,5)</f>
        <v>2</v>
      </c>
      <c r="G79" s="1">
        <f>VLOOKUP($B79,[14]TrtCodes!$B$11:M126,6)</f>
        <v>2</v>
      </c>
      <c r="H79" s="1">
        <f>VLOOKUP($B79,[14]TrtCodes!$B$11:N126,7)</f>
        <v>4</v>
      </c>
      <c r="I79" s="1">
        <f>[14]FormattedData!B83</f>
        <v>2</v>
      </c>
      <c r="J79" s="4">
        <f>[14]FormattedData!C83</f>
        <v>13.406000000000001</v>
      </c>
      <c r="K79" s="6">
        <f>$J$3+[14]FormattedData!D83*$J$4+$M$4*$J$5+[14]FormattedData!D83^2*$J$6+$M$5*$J$7</f>
        <v>32.667078596396209</v>
      </c>
      <c r="L79" s="6">
        <f>$J$3+[14]FormattedData!E83*$J$4+$M$4*$J$5+[14]FormattedData!E83^2*$J$6+$M$5*$J$7</f>
        <v>30.929375174610396</v>
      </c>
      <c r="M79" s="6">
        <f>$J$3+[14]FormattedData!F83*$J$4+$M$4*$J$5+[14]FormattedData!F83^2*$J$6+$M$5*$J$7</f>
        <v>30.929375174610396</v>
      </c>
      <c r="N79" s="6">
        <f>$J$3+[14]FormattedData!G83*$J$4+$M$4*$J$5+[14]FormattedData!G83^2*$J$6+$M$5*$J$7</f>
        <v>30.735451645875571</v>
      </c>
      <c r="O79" s="6">
        <f>$J$3+[14]FormattedData!H83*$J$4+$M$4*$J$5+[14]FormattedData!H83^2*$J$6+$M$5*$J$7</f>
        <v>31.219943453678148</v>
      </c>
      <c r="P79" s="6">
        <f>$J$3+[14]FormattedData!I83*$J$4+$M$4*$J$5+[14]FormattedData!I83^2*$J$6+$M$5*$J$7</f>
        <v>30.638426478701259</v>
      </c>
      <c r="Q79" s="6">
        <f>$J$3+[14]FormattedData!J83*$J$4+$M$4*$J$5+[14]FormattedData!J83^2*$J$6+$M$5*$J$7</f>
        <v>32.474676735026911</v>
      </c>
      <c r="R79" s="6">
        <f>$J$3+[14]FormattedData!K83*$J$4+$M$4*$J$5+[14]FormattedData!K83^2*$J$6+$M$5*$J$7</f>
        <v>31.992932382189856</v>
      </c>
      <c r="S79" s="6">
        <f>$J$3+[14]FormattedData!L83*$J$4+$M$4*$J$5+[14]FormattedData!L83^2*$J$6+$M$5*$J$7</f>
        <v>31.413444297033664</v>
      </c>
      <c r="T79" s="6">
        <f>$J$3+[14]FormattedData!M83*$J$4+$M$4*$J$5+[14]FormattedData!M83^2*$J$6+$M$5*$J$7</f>
        <v>32.570898799980526</v>
      </c>
      <c r="U79" s="6">
        <f>$J$3+[14]FormattedData!N83*$J$4+$M$4*$J$5+[14]FormattedData!N83^2*$J$6+$M$5*$J$7</f>
        <v>30.832434544511948</v>
      </c>
      <c r="V79" s="6">
        <f>$J$3+[14]FormattedData!O83*$J$4+$M$4*$J$5+[14]FormattedData!O83^2*$J$6+$M$5*$J$7</f>
        <v>32.282105799505871</v>
      </c>
      <c r="W79" s="5">
        <f t="shared" si="18"/>
        <v>31.557178590176733</v>
      </c>
      <c r="X79" s="4">
        <f t="shared" si="19"/>
        <v>0.22670175050485597</v>
      </c>
      <c r="Y79" s="3">
        <f t="shared" si="20"/>
        <v>30.638426478701259</v>
      </c>
      <c r="Z79" s="2">
        <f t="shared" si="21"/>
        <v>30.905140017085785</v>
      </c>
      <c r="AA79" s="3">
        <f t="shared" si="22"/>
        <v>31.316693875355906</v>
      </c>
      <c r="AB79" s="2">
        <f t="shared" si="23"/>
        <v>32.330248533386133</v>
      </c>
      <c r="AC79" s="2">
        <f t="shared" si="24"/>
        <v>32.667078596396209</v>
      </c>
      <c r="AD79" s="2">
        <f t="shared" si="25"/>
        <v>0.31484203993659665</v>
      </c>
      <c r="AE79" s="2">
        <f t="shared" si="26"/>
        <v>-1.8115641787531938</v>
      </c>
    </row>
    <row r="80" spans="2:31" x14ac:dyDescent="0.2">
      <c r="B80" s="1">
        <f>[14]FormattedData!A81</f>
        <v>407</v>
      </c>
      <c r="C80" s="1" t="str">
        <f>VLOOKUP($B80,[14]TrtCodes!$B$11:I124,2)</f>
        <v>NSH</v>
      </c>
      <c r="D80" s="1">
        <f>VLOOKUP($B80,[14]TrtCodes!$B$11:J124,3)</f>
        <v>7</v>
      </c>
      <c r="E80" s="1">
        <f>VLOOKUP($B80,[14]TrtCodes!$B$11:K124,4)</f>
        <v>2</v>
      </c>
      <c r="F80" s="1">
        <f>VLOOKUP($B80,[14]TrtCodes!$B$11:L124,5)</f>
        <v>1</v>
      </c>
      <c r="G80" s="1">
        <f>VLOOKUP($B80,[14]TrtCodes!$B$11:M124,6)</f>
        <v>2</v>
      </c>
      <c r="H80" s="1">
        <f>VLOOKUP($B80,[14]TrtCodes!$B$11:N124,7)</f>
        <v>4</v>
      </c>
      <c r="I80" s="1">
        <f>[14]FormattedData!B81</f>
        <v>2</v>
      </c>
      <c r="J80" s="4">
        <f>[14]FormattedData!C81</f>
        <v>13.391</v>
      </c>
      <c r="K80" s="6">
        <f>$J$3+[14]FormattedData!D81*$J$4+$M$4*$J$5+[14]FormattedData!D81^2*$J$6+$M$5*$J$7</f>
        <v>34.295668049159403</v>
      </c>
      <c r="L80" s="6">
        <f>$J$3+[14]FormattedData!E81*$J$4+$M$4*$J$5+[14]FormattedData!E81^2*$J$6+$M$5*$J$7</f>
        <v>34.486463706087335</v>
      </c>
      <c r="M80" s="6">
        <f>$J$3+[14]FormattedData!F81*$J$4+$M$4*$J$5+[14]FormattedData!F81^2*$J$6+$M$5*$J$7</f>
        <v>33.051375096679642</v>
      </c>
      <c r="N80" s="6">
        <f>$J$3+[14]FormattedData!G81*$J$4+$M$4*$J$5+[14]FormattedData!G81^2*$J$6+$M$5*$J$7</f>
        <v>33.051375096679642</v>
      </c>
      <c r="O80" s="6">
        <f>$J$3+[14]FormattedData!H81*$J$4+$M$4*$J$5+[14]FormattedData!H81^2*$J$6+$M$5*$J$7</f>
        <v>35.152917046390215</v>
      </c>
      <c r="P80" s="6">
        <f>$J$3+[14]FormattedData!I81*$J$4+$M$4*$J$5+[14]FormattedData!I81^2*$J$6+$M$5*$J$7</f>
        <v>34.486463706087335</v>
      </c>
      <c r="Q80" s="6">
        <f>$J$3+[14]FormattedData!J81*$J$4+$M$4*$J$5+[14]FormattedData!J81^2*$J$6+$M$5*$J$7</f>
        <v>35.057836231960735</v>
      </c>
      <c r="R80" s="6">
        <f>$J$3+[14]FormattedData!K81*$J$4+$M$4*$J$5+[14]FormattedData!K81^2*$J$6+$M$5*$J$7</f>
        <v>34.104703318079757</v>
      </c>
      <c r="S80" s="6">
        <f>$J$3+[14]FormattedData!L81*$J$4+$M$4*$J$5+[14]FormattedData!L81^2*$J$6+$M$5*$J$7</f>
        <v>34.867547797487994</v>
      </c>
      <c r="T80" s="6">
        <f>$J$3+[14]FormattedData!M81*$J$4+$M$4*$J$5+[14]FormattedData!M81^2*$J$6+$M$5*$J$7</f>
        <v>33.243269735593771</v>
      </c>
      <c r="U80" s="6">
        <f>$J$3+[14]FormattedData!N81*$J$4+$M$4*$J$5+[14]FormattedData!N81^2*$J$6+$M$5*$J$7</f>
        <v>34.009157549733047</v>
      </c>
      <c r="V80" s="6">
        <f>$J$3+[14]FormattedData!O81*$J$4+$M$4*$J$5+[14]FormattedData!O81^2*$J$6+$M$5*$J$7</f>
        <v>34.391087011892331</v>
      </c>
      <c r="W80" s="5">
        <f t="shared" si="18"/>
        <v>34.183155362152604</v>
      </c>
      <c r="X80" s="4">
        <f t="shared" si="19"/>
        <v>0.21133507833238682</v>
      </c>
      <c r="Y80" s="3">
        <f t="shared" si="20"/>
        <v>33.051375096679642</v>
      </c>
      <c r="Z80" s="2">
        <f t="shared" si="21"/>
        <v>33.817685596198231</v>
      </c>
      <c r="AA80" s="3">
        <f t="shared" si="22"/>
        <v>34.343377530525871</v>
      </c>
      <c r="AB80" s="2">
        <f t="shared" si="23"/>
        <v>34.581734728937498</v>
      </c>
      <c r="AC80" s="2">
        <f t="shared" si="24"/>
        <v>35.152917046390215</v>
      </c>
      <c r="AD80" s="2">
        <f t="shared" si="25"/>
        <v>-0.49143283257325437</v>
      </c>
      <c r="AE80" s="2">
        <f t="shared" si="26"/>
        <v>-0.86749177203285255</v>
      </c>
    </row>
    <row r="81" spans="2:31" x14ac:dyDescent="0.2">
      <c r="B81" s="1">
        <f>[14]FormattedData!A79</f>
        <v>408</v>
      </c>
      <c r="C81" s="1" t="str">
        <f>VLOOKUP($B81,[14]TrtCodes!$B$11:I122,2)</f>
        <v>NTL</v>
      </c>
      <c r="D81" s="1">
        <f>VLOOKUP($B81,[14]TrtCodes!$B$11:J122,3)</f>
        <v>10</v>
      </c>
      <c r="E81" s="1">
        <f>VLOOKUP($B81,[14]TrtCodes!$B$11:K122,4)</f>
        <v>2</v>
      </c>
      <c r="F81" s="1">
        <f>VLOOKUP($B81,[14]TrtCodes!$B$11:L122,5)</f>
        <v>2</v>
      </c>
      <c r="G81" s="1">
        <f>VLOOKUP($B81,[14]TrtCodes!$B$11:M122,6)</f>
        <v>1</v>
      </c>
      <c r="H81" s="1">
        <f>VLOOKUP($B81,[14]TrtCodes!$B$11:N122,7)</f>
        <v>4</v>
      </c>
      <c r="I81" s="1">
        <f>[14]FormattedData!B79</f>
        <v>2</v>
      </c>
      <c r="J81" s="4">
        <f>[14]FormattedData!C79</f>
        <v>13.375999999999999</v>
      </c>
      <c r="K81" s="6">
        <f>$J$3+[14]FormattedData!D79*$J$4+$M$4*$J$5+[14]FormattedData!D79^2*$J$6+$M$5*$J$7</f>
        <v>29.275635941778173</v>
      </c>
      <c r="L81" s="6">
        <f>$J$3+[14]FormattedData!E79*$J$4+$M$4*$J$5+[14]FormattedData!E79^2*$J$6+$M$5*$J$7</f>
        <v>30.735451645875571</v>
      </c>
      <c r="M81" s="6">
        <f>$J$3+[14]FormattedData!F79*$J$4+$M$4*$J$5+[14]FormattedData!F79^2*$J$6+$M$5*$J$7</f>
        <v>30.444249338738853</v>
      </c>
      <c r="N81" s="6">
        <f>$J$3+[14]FormattedData!G79*$J$4+$M$4*$J$5+[14]FormattedData!G79^2*$J$6+$M$5*$J$7</f>
        <v>29.958066789419036</v>
      </c>
      <c r="O81" s="6">
        <f>$J$3+[14]FormattedData!H79*$J$4+$M$4*$J$5+[14]FormattedData!H79^2*$J$6+$M$5*$J$7</f>
        <v>32.474676735026911</v>
      </c>
      <c r="P81" s="6">
        <f>$J$3+[14]FormattedData!I79*$J$4+$M$4*$J$5+[14]FormattedData!I79^2*$J$6+$M$5*$J$7</f>
        <v>29.958066789419036</v>
      </c>
      <c r="Q81" s="6">
        <f>$J$3+[14]FormattedData!J79*$J$4+$M$4*$J$5+[14]FormattedData!J79^2*$J$6+$M$5*$J$7</f>
        <v>31.316715009624865</v>
      </c>
      <c r="R81" s="6">
        <f>$J$3+[14]FormattedData!K79*$J$4+$M$4*$J$5+[14]FormattedData!K79^2*$J$6+$M$5*$J$7</f>
        <v>31.219943453678148</v>
      </c>
      <c r="S81" s="6">
        <f>$J$3+[14]FormattedData!L79*$J$4+$M$4*$J$5+[14]FormattedData!L79^2*$J$6+$M$5*$J$7</f>
        <v>31.51013131590452</v>
      </c>
      <c r="T81" s="6">
        <f>$J$3+[14]FormattedData!M79*$J$4+$M$4*$J$5+[14]FormattedData!M79^2*$J$6+$M$5*$J$7</f>
        <v>30.638426478701259</v>
      </c>
      <c r="U81" s="6">
        <f>$J$3+[14]FormattedData!N79*$J$4+$M$4*$J$5+[14]FormattedData!N79^2*$J$6+$M$5*$J$7</f>
        <v>31.992932382189856</v>
      </c>
      <c r="V81" s="6">
        <f>$J$3+[14]FormattedData!O79*$J$4+$M$4*$J$5+[14]FormattedData!O79^2*$J$6+$M$5*$J$7</f>
        <v>31.992932382189856</v>
      </c>
      <c r="W81" s="5">
        <f t="shared" si="18"/>
        <v>30.959769021878841</v>
      </c>
      <c r="X81" s="4">
        <f t="shared" si="19"/>
        <v>0.27784693138279037</v>
      </c>
      <c r="Y81" s="3">
        <f t="shared" si="20"/>
        <v>29.275635941778173</v>
      </c>
      <c r="Z81" s="2">
        <f t="shared" si="21"/>
        <v>30.322703701408898</v>
      </c>
      <c r="AA81" s="3">
        <f t="shared" si="22"/>
        <v>30.97769754977686</v>
      </c>
      <c r="AB81" s="2">
        <f t="shared" si="23"/>
        <v>31.630831582475853</v>
      </c>
      <c r="AC81" s="2">
        <f t="shared" si="24"/>
        <v>32.474676735026911</v>
      </c>
      <c r="AD81" s="2">
        <f t="shared" si="25"/>
        <v>-0.12924226555398594</v>
      </c>
      <c r="AE81" s="2">
        <f t="shared" si="26"/>
        <v>-0.76497095395060555</v>
      </c>
    </row>
    <row r="82" spans="2:31" x14ac:dyDescent="0.2">
      <c r="B82" s="1">
        <f>[14]FormattedData!A59</f>
        <v>902</v>
      </c>
      <c r="C82" s="1" t="str">
        <f>VLOOKUP($B82,[14]TrtCodes!$B$11:I102,2)</f>
        <v>Late</v>
      </c>
      <c r="D82" s="1">
        <f>VLOOKUP($B82,[14]TrtCodes!$B$11:J102,3)</f>
        <v>22</v>
      </c>
      <c r="E82" s="1">
        <f>VLOOKUP($B82,[14]TrtCodes!$B$11:K102,4)</f>
        <v>4</v>
      </c>
      <c r="F82" s="1">
        <f>VLOOKUP($B82,[14]TrtCodes!$B$11:L102,5)</f>
        <v>2</v>
      </c>
      <c r="G82" s="1">
        <f>VLOOKUP($B82,[14]TrtCodes!$B$11:M102,6)</f>
        <v>2</v>
      </c>
      <c r="H82" s="1">
        <f>VLOOKUP($B82,[14]TrtCodes!$B$11:N102,7)</f>
        <v>1</v>
      </c>
      <c r="I82" s="1">
        <f>[14]FormattedData!B59</f>
        <v>2</v>
      </c>
      <c r="J82" s="4">
        <f>[14]FormattedData!C59</f>
        <v>13.231</v>
      </c>
      <c r="K82" s="6">
        <f>$J$3+[14]FormattedData!D59*$J$4+$M$4*$J$5+[14]FormattedData!D59^2*$J$6+$M$5*$J$7</f>
        <v>30.055387836358857</v>
      </c>
      <c r="L82" s="6">
        <f>$J$3+[14]FormattedData!E59*$J$4+$M$4*$J$5+[14]FormattedData!E59^2*$J$6+$M$5*$J$7</f>
        <v>33.243269735593771</v>
      </c>
      <c r="M82" s="6">
        <f>$J$3+[14]FormattedData!F59*$J$4+$M$4*$J$5+[14]FormattedData!F59^2*$J$6+$M$5*$J$7</f>
        <v>33.147343550405665</v>
      </c>
      <c r="N82" s="6">
        <f>$J$3+[14]FormattedData!G59*$J$4+$M$4*$J$5+[14]FormattedData!G59^2*$J$6+$M$5*$J$7</f>
        <v>31.992932382189856</v>
      </c>
      <c r="O82" s="6">
        <f>$J$3+[14]FormattedData!H59*$J$4+$M$4*$J$5+[14]FormattedData!H59^2*$J$6+$M$5*$J$7</f>
        <v>32.089365789833124</v>
      </c>
      <c r="P82" s="6">
        <f>$J$3+[14]FormattedData!I59*$J$4+$M$4*$J$5+[14]FormattedData!I59^2*$J$6+$M$5*$J$7</f>
        <v>32.378412401535357</v>
      </c>
      <c r="Q82" s="6">
        <f>$J$3+[14]FormattedData!J59*$J$4+$M$4*$J$5+[14]FormattedData!J59^2*$J$6+$M$5*$J$7</f>
        <v>31.992932382189856</v>
      </c>
      <c r="R82" s="6">
        <f>$J$3+[14]FormattedData!K59*$J$4+$M$4*$J$5+[14]FormattedData!K59^2*$J$6+$M$5*$J$7</f>
        <v>32.282105799505871</v>
      </c>
      <c r="S82" s="6">
        <f>$J$3+[14]FormattedData!L59*$J$4+$M$4*$J$5+[14]FormattedData!L59^2*$J$6+$M$5*$J$7</f>
        <v>33.53079467993048</v>
      </c>
      <c r="T82" s="6">
        <f>$J$3+[14]FormattedData!M59*$J$4+$M$4*$J$5+[14]FormattedData!M59^2*$J$6+$M$5*$J$7</f>
        <v>32.859311383613786</v>
      </c>
      <c r="U82" s="6">
        <f>$J$3+[14]FormattedData!N59*$J$4+$M$4*$J$5+[14]FormattedData!N59^2*$J$6+$M$5*$J$7</f>
        <v>32.474676735026911</v>
      </c>
      <c r="V82" s="6">
        <f>$J$3+[14]FormattedData!O59*$J$4+$M$4*$J$5+[14]FormattedData!O59^2*$J$6+$M$5*$J$7</f>
        <v>33.53079467993048</v>
      </c>
      <c r="W82" s="5">
        <f t="shared" si="18"/>
        <v>32.464777279676163</v>
      </c>
      <c r="X82" s="4">
        <f t="shared" si="19"/>
        <v>0.27431295476734002</v>
      </c>
      <c r="Y82" s="3">
        <f t="shared" si="20"/>
        <v>30.055387836358857</v>
      </c>
      <c r="Z82" s="2">
        <f t="shared" si="21"/>
        <v>32.065257437922305</v>
      </c>
      <c r="AA82" s="3">
        <f t="shared" si="22"/>
        <v>32.42654456828113</v>
      </c>
      <c r="AB82" s="2">
        <f t="shared" si="23"/>
        <v>33.171325096702688</v>
      </c>
      <c r="AC82" s="2">
        <f t="shared" si="24"/>
        <v>33.53079467993048</v>
      </c>
      <c r="AD82" s="2">
        <f t="shared" si="25"/>
        <v>-1.3963108644822033</v>
      </c>
      <c r="AE82" s="2">
        <f t="shared" si="26"/>
        <v>3.1194813167082618</v>
      </c>
    </row>
    <row r="83" spans="2:31" x14ac:dyDescent="0.2">
      <c r="B83" s="1">
        <f>[14]FormattedData!A55</f>
        <v>904</v>
      </c>
      <c r="C83" s="1" t="str">
        <f>VLOOKUP($B83,[14]TrtCodes!$B$11:I98,2)</f>
        <v>Early</v>
      </c>
      <c r="D83" s="1">
        <f>VLOOKUP($B83,[14]TrtCodes!$B$11:J98,3)</f>
        <v>21</v>
      </c>
      <c r="E83" s="1">
        <f>VLOOKUP($B83,[14]TrtCodes!$B$11:K98,4)</f>
        <v>3</v>
      </c>
      <c r="F83" s="1">
        <f>VLOOKUP($B83,[14]TrtCodes!$B$11:L98,5)</f>
        <v>2</v>
      </c>
      <c r="G83" s="1">
        <f>VLOOKUP($B83,[14]TrtCodes!$B$11:M98,6)</f>
        <v>2</v>
      </c>
      <c r="H83" s="1">
        <f>VLOOKUP($B83,[14]TrtCodes!$B$11:N98,7)</f>
        <v>1</v>
      </c>
      <c r="I83" s="1">
        <f>[14]FormattedData!B55</f>
        <v>2</v>
      </c>
      <c r="J83" s="4">
        <f>[14]FormattedData!C55</f>
        <v>13.212</v>
      </c>
      <c r="K83" s="6">
        <f>$J$3+[14]FormattedData!D55*$J$4+$M$4*$J$5+[14]FormattedData!D55^2*$J$6+$M$5*$J$7</f>
        <v>32.95536437441568</v>
      </c>
      <c r="L83" s="6">
        <f>$J$3+[14]FormattedData!E55*$J$4+$M$4*$J$5+[14]FormattedData!E55^2*$J$6+$M$5*$J$7</f>
        <v>33.62655179096685</v>
      </c>
      <c r="M83" s="6">
        <f>$J$3+[14]FormattedData!F55*$J$4+$M$4*$J$5+[14]FormattedData!F55^2*$J$6+$M$5*$J$7</f>
        <v>32.378412401535357</v>
      </c>
      <c r="N83" s="6">
        <f>$J$3+[14]FormattedData!G55*$J$4+$M$4*$J$5+[14]FormattedData!G55^2*$J$6+$M$5*$J$7</f>
        <v>37.798018824015514</v>
      </c>
      <c r="O83" s="6">
        <f>$J$3+[14]FormattedData!H55*$J$4+$M$4*$J$5+[14]FormattedData!H55^2*$J$6+$M$5*$J$7</f>
        <v>34.772340177444718</v>
      </c>
      <c r="P83" s="6">
        <f>$J$3+[14]FormattedData!I55*$J$4+$M$4*$J$5+[14]FormattedData!I55^2*$J$6+$M$5*$J$7</f>
        <v>35.627687090468626</v>
      </c>
      <c r="Q83" s="6">
        <f>$J$3+[14]FormattedData!J55*$J$4+$M$4*$J$5+[14]FormattedData!J55^2*$J$6+$M$5*$J$7</f>
        <v>36.385121197021675</v>
      </c>
      <c r="R83" s="6">
        <f>$J$3+[14]FormattedData!K55*$J$4+$M$4*$J$5+[14]FormattedData!K55^2*$J$6+$M$5*$J$7</f>
        <v>32.185756928938467</v>
      </c>
      <c r="S83" s="6">
        <f>$J$3+[14]FormattedData!L55*$J$4+$M$4*$J$5+[14]FormattedData!L55^2*$J$6+$M$5*$J$7</f>
        <v>35.152917046390215</v>
      </c>
      <c r="T83" s="6">
        <f>$J$3+[14]FormattedData!M55*$J$4+$M$4*$J$5+[14]FormattedData!M55^2*$J$6+$M$5*$J$7</f>
        <v>36.668461556103203</v>
      </c>
      <c r="U83" s="6">
        <f>$J$3+[14]FormattedData!N55*$J$4+$M$4*$J$5+[14]FormattedData!N55^2*$J$6+$M$5*$J$7</f>
        <v>36.196016281611001</v>
      </c>
      <c r="V83" s="6">
        <f>$J$3+[14]FormattedData!O55*$J$4+$M$4*$J$5+[14]FormattedData!O55^2*$J$6+$M$5*$J$7</f>
        <v>32.95536437441568</v>
      </c>
      <c r="W83" s="5">
        <f t="shared" si="18"/>
        <v>34.725167670277244</v>
      </c>
      <c r="X83" s="4">
        <f t="shared" si="19"/>
        <v>0.54051472545400348</v>
      </c>
      <c r="Y83" s="3">
        <f t="shared" si="20"/>
        <v>32.185756928938467</v>
      </c>
      <c r="Z83" s="2">
        <f t="shared" si="21"/>
        <v>32.95536437441568</v>
      </c>
      <c r="AA83" s="3">
        <f t="shared" si="22"/>
        <v>34.962628611917467</v>
      </c>
      <c r="AB83" s="2">
        <f t="shared" si="23"/>
        <v>36.243292510463668</v>
      </c>
      <c r="AC83" s="2">
        <f t="shared" si="24"/>
        <v>37.798018824015514</v>
      </c>
      <c r="AD83" s="2">
        <f t="shared" si="25"/>
        <v>5.3355890395998654E-2</v>
      </c>
      <c r="AE83" s="2">
        <f t="shared" si="26"/>
        <v>-1.3489938325691573</v>
      </c>
    </row>
    <row r="84" spans="2:31" x14ac:dyDescent="0.2">
      <c r="B84" s="1">
        <f>[14]FormattedData!A51</f>
        <v>906</v>
      </c>
      <c r="C84" s="1" t="str">
        <f>VLOOKUP($B84,[14]TrtCodes!$B$11:I94,2)</f>
        <v>Late</v>
      </c>
      <c r="D84" s="1">
        <f>VLOOKUP($B84,[14]TrtCodes!$B$11:J94,3)</f>
        <v>22</v>
      </c>
      <c r="E84" s="1">
        <f>VLOOKUP($B84,[14]TrtCodes!$B$11:K94,4)</f>
        <v>4</v>
      </c>
      <c r="F84" s="1">
        <f>VLOOKUP($B84,[14]TrtCodes!$B$11:L94,5)</f>
        <v>2</v>
      </c>
      <c r="G84" s="1">
        <f>VLOOKUP($B84,[14]TrtCodes!$B$11:M94,6)</f>
        <v>2</v>
      </c>
      <c r="H84" s="1">
        <f>VLOOKUP($B84,[14]TrtCodes!$B$11:N94,7)</f>
        <v>2</v>
      </c>
      <c r="I84" s="1">
        <f>[14]FormattedData!B51</f>
        <v>2</v>
      </c>
      <c r="J84" s="4">
        <f>[14]FormattedData!C51</f>
        <v>13.193</v>
      </c>
      <c r="K84" s="6">
        <f>$J$3+[14]FormattedData!D51*$J$4+$M$4*$J$5+[14]FormattedData!D51^2*$J$6+$M$5*$J$7</f>
        <v>29.568359916280414</v>
      </c>
      <c r="L84" s="6">
        <f>$J$3+[14]FormattedData!E51*$J$4+$M$4*$J$5+[14]FormattedData!E51^2*$J$6+$M$5*$J$7</f>
        <v>31.123129629193489</v>
      </c>
      <c r="M84" s="6">
        <f>$J$3+[14]FormattedData!F51*$J$4+$M$4*$J$5+[14]FormattedData!F51^2*$J$6+$M$5*$J$7</f>
        <v>31.123129629193489</v>
      </c>
      <c r="N84" s="6">
        <f>$J$3+[14]FormattedData!G51*$J$4+$M$4*$J$5+[14]FormattedData!G51^2*$J$6+$M$5*$J$7</f>
        <v>30.152666614760747</v>
      </c>
      <c r="O84" s="6">
        <f>$J$3+[14]FormattedData!H51*$J$4+$M$4*$J$5+[14]FormattedData!H51^2*$J$6+$M$5*$J$7</f>
        <v>34.295668049159403</v>
      </c>
      <c r="P84" s="6">
        <f>$J$3+[14]FormattedData!I51*$J$4+$M$4*$J$5+[14]FormattedData!I51^2*$J$6+$M$5*$J$7</f>
        <v>32.089365789833124</v>
      </c>
      <c r="Q84" s="6">
        <f>$J$3+[14]FormattedData!J51*$J$4+$M$4*$J$5+[14]FormattedData!J51^2*$J$6+$M$5*$J$7</f>
        <v>32.185756928938467</v>
      </c>
      <c r="R84" s="6">
        <f>$J$3+[14]FormattedData!K51*$J$4+$M$4*$J$5+[14]FormattedData!K51^2*$J$6+$M$5*$J$7</f>
        <v>31.413444297033664</v>
      </c>
      <c r="S84" s="6">
        <f>$J$3+[14]FormattedData!L51*$J$4+$M$4*$J$5+[14]FormattedData!L51^2*$J$6+$M$5*$J$7</f>
        <v>30.832434544511948</v>
      </c>
      <c r="T84" s="6">
        <f>$J$3+[14]FormattedData!M51*$J$4+$M$4*$J$5+[14]FormattedData!M51^2*$J$6+$M$5*$J$7</f>
        <v>31.219943453678148</v>
      </c>
      <c r="U84" s="6">
        <f>$J$3+[14]FormattedData!N51*$J$4+$M$4*$J$5+[14]FormattedData!N51^2*$J$6+$M$5*$J$7</f>
        <v>32.378412401535357</v>
      </c>
      <c r="V84" s="6">
        <f>$J$3+[14]FormattedData!O51*$J$4+$M$4*$J$5+[14]FormattedData!O51^2*$J$6+$M$5*$J$7</f>
        <v>31.219943453678148</v>
      </c>
      <c r="W84" s="5">
        <f t="shared" si="18"/>
        <v>31.466854558983027</v>
      </c>
      <c r="X84" s="4">
        <f t="shared" si="19"/>
        <v>0.34632706370393979</v>
      </c>
      <c r="Y84" s="3">
        <f t="shared" si="20"/>
        <v>29.568359916280414</v>
      </c>
      <c r="Z84" s="2">
        <f t="shared" si="21"/>
        <v>31.050455858023103</v>
      </c>
      <c r="AA84" s="3">
        <f t="shared" si="22"/>
        <v>31.219943453678148</v>
      </c>
      <c r="AB84" s="2">
        <f t="shared" si="23"/>
        <v>32.113463574609462</v>
      </c>
      <c r="AC84" s="2">
        <f t="shared" si="24"/>
        <v>34.295668049159403</v>
      </c>
      <c r="AD84" s="2">
        <f t="shared" si="25"/>
        <v>0.91781073173812644</v>
      </c>
      <c r="AE84" s="2">
        <f t="shared" si="26"/>
        <v>2.151744929094475</v>
      </c>
    </row>
    <row r="85" spans="2:31" x14ac:dyDescent="0.2">
      <c r="B85" s="1">
        <f>[14]FormattedData!A47</f>
        <v>908</v>
      </c>
      <c r="C85" s="1" t="str">
        <f>VLOOKUP($B85,[14]TrtCodes!$B$11:I90,2)</f>
        <v>Early</v>
      </c>
      <c r="D85" s="1">
        <f>VLOOKUP($B85,[14]TrtCodes!$B$11:J90,3)</f>
        <v>21</v>
      </c>
      <c r="E85" s="1">
        <f>VLOOKUP($B85,[14]TrtCodes!$B$11:K90,4)</f>
        <v>3</v>
      </c>
      <c r="F85" s="1">
        <f>VLOOKUP($B85,[14]TrtCodes!$B$11:L90,5)</f>
        <v>2</v>
      </c>
      <c r="G85" s="1">
        <f>VLOOKUP($B85,[14]TrtCodes!$B$11:M90,6)</f>
        <v>2</v>
      </c>
      <c r="H85" s="1">
        <f>VLOOKUP($B85,[14]TrtCodes!$B$11:N90,7)</f>
        <v>2</v>
      </c>
      <c r="I85" s="1">
        <f>[14]FormattedData!B47</f>
        <v>2</v>
      </c>
      <c r="J85" s="4">
        <f>[14]FormattedData!C47</f>
        <v>13.172000000000001</v>
      </c>
      <c r="K85" s="6">
        <f>$J$3+[14]FormattedData!D47*$J$4+$M$4*$J$5+[14]FormattedData!D47^2*$J$6+$M$5*$J$7</f>
        <v>34.486463706087335</v>
      </c>
      <c r="L85" s="6">
        <f>$J$3+[14]FormattedData!E47*$J$4+$M$4*$J$5+[14]FormattedData!E47^2*$J$6+$M$5*$J$7</f>
        <v>36.95142149834335</v>
      </c>
      <c r="M85" s="6">
        <f>$J$3+[14]FormattedData!F47*$J$4+$M$4*$J$5+[14]FormattedData!F47^2*$J$6+$M$5*$J$7</f>
        <v>39.201406029974841</v>
      </c>
      <c r="N85" s="6">
        <f>$J$3+[14]FormattedData!G47*$J$4+$M$4*$J$5+[14]FormattedData!G47^2*$J$6+$M$5*$J$7</f>
        <v>35.627687090468626</v>
      </c>
      <c r="O85" s="6">
        <f>$J$3+[14]FormattedData!H47*$J$4+$M$4*$J$5+[14]FormattedData!H47^2*$J$6+$M$5*$J$7</f>
        <v>32.185756928938467</v>
      </c>
      <c r="P85" s="6">
        <f>$J$3+[14]FormattedData!I47*$J$4+$M$4*$J$5+[14]FormattedData!I47^2*$J$6+$M$5*$J$7</f>
        <v>37.139850117147127</v>
      </c>
      <c r="Q85" s="6">
        <f>$J$3+[14]FormattedData!J47*$J$4+$M$4*$J$5+[14]FormattedData!J47^2*$J$6+$M$5*$J$7</f>
        <v>41.334795061369903</v>
      </c>
      <c r="R85" s="6">
        <f>$J$3+[14]FormattedData!K47*$J$4+$M$4*$J$5+[14]FormattedData!K47^2*$J$6+$M$5*$J$7</f>
        <v>32.859311383613786</v>
      </c>
      <c r="S85" s="6">
        <f>$J$3+[14]FormattedData!L47*$J$4+$M$4*$J$5+[14]FormattedData!L47^2*$J$6+$M$5*$J$7</f>
        <v>36.574057038280621</v>
      </c>
      <c r="T85" s="6">
        <f>$J$3+[14]FormattedData!M47*$J$4+$M$4*$J$5+[14]FormattedData!M47^2*$J$6+$M$5*$J$7</f>
        <v>37.798018824015514</v>
      </c>
      <c r="U85" s="6">
        <f>$J$3+[14]FormattedData!N47*$J$4+$M$4*$J$5+[14]FormattedData!N47^2*$J$6+$M$5*$J$7</f>
        <v>36.196016281611001</v>
      </c>
      <c r="V85" s="6">
        <f>$J$3+[14]FormattedData!O47*$J$4+$M$4*$J$5+[14]FormattedData!O47^2*$J$6+$M$5*$J$7</f>
        <v>32.185756928938467</v>
      </c>
      <c r="W85" s="5">
        <f t="shared" si="18"/>
        <v>36.045045074065747</v>
      </c>
      <c r="X85" s="4">
        <f t="shared" si="19"/>
        <v>0.80660258950652686</v>
      </c>
      <c r="Y85" s="3">
        <f t="shared" si="20"/>
        <v>32.185756928938467</v>
      </c>
      <c r="Z85" s="2">
        <f t="shared" si="21"/>
        <v>34.079675625468951</v>
      </c>
      <c r="AA85" s="3">
        <f t="shared" si="22"/>
        <v>36.385036659945811</v>
      </c>
      <c r="AB85" s="2">
        <f t="shared" si="23"/>
        <v>37.304392293864225</v>
      </c>
      <c r="AC85" s="2">
        <f t="shared" si="24"/>
        <v>41.334795061369903</v>
      </c>
      <c r="AD85" s="2">
        <f t="shared" si="25"/>
        <v>0.17954720653647468</v>
      </c>
      <c r="AE85" s="2">
        <f t="shared" si="26"/>
        <v>-0.29402280243277579</v>
      </c>
    </row>
    <row r="88" spans="2:31" x14ac:dyDescent="0.2">
      <c r="W88" s="2"/>
    </row>
  </sheetData>
  <autoFilter ref="B9:AE85" xr:uid="{4F5AB7EA-B25C-40BE-AF5D-45069D146B8E}"/>
  <conditionalFormatting sqref="K10:V85">
    <cfRule type="cellIs" dxfId="71" priority="1" stopIfTrue="1" operator="lessThan">
      <formula>$W10-$V$5*$X10</formula>
    </cfRule>
    <cfRule type="cellIs" dxfId="70" priority="2" stopIfTrue="1" operator="greaterThan">
      <formula>$W10+$V$5*$X10</formula>
    </cfRule>
  </conditionalFormatting>
  <conditionalFormatting sqref="W10:W85">
    <cfRule type="cellIs" dxfId="69" priority="3" stopIfTrue="1" operator="lessThan">
      <formula>AVERAGE($W$10:$W$41)</formula>
    </cfRule>
    <cfRule type="cellIs" dxfId="6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1083-5849-4AE1-945E-12CED109C29D}">
  <sheetPr codeName="Sheet19"/>
  <dimension ref="A1:AI88"/>
  <sheetViews>
    <sheetView topLeftCell="A8" workbookViewId="0">
      <pane xSplit="4" ySplit="2" topLeftCell="M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[15]FormattedData!A1</f>
        <v>Raw data file name - 'IA184.03R'</v>
      </c>
    </row>
    <row r="2" spans="1:35" ht="15" x14ac:dyDescent="0.25">
      <c r="I2" s="32" t="s">
        <v>136</v>
      </c>
      <c r="J2" s="24"/>
      <c r="P2" s="31">
        <f>[15]AncillaryData!C10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[15]AncillaryData!E25</f>
        <v>40.85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"&amp;[15]AncillaryData!C7</f>
        <v>Time Sequence of Midday IRT Temps - FISE 2003 - DOY 184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"&amp;[15]AncillaryData!E25&amp;", VPD = "&amp;ROUND([15]AncillaryData!E29,1)&amp;", Quality = "&amp;[15]AncillaryData!C20&amp;")"</f>
        <v>(Ta = 40.85, VPD = 6.6,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[15]FormattedData!A28</f>
        <v>101</v>
      </c>
      <c r="C10" s="1" t="str">
        <f>VLOOKUP($B10,[15]TrtCodes!$B$11:I71,2)</f>
        <v>FSH</v>
      </c>
      <c r="D10" s="1">
        <f>VLOOKUP($B10,[15]TrtCodes!$B$11:J71,3)</f>
        <v>1</v>
      </c>
      <c r="E10" s="1">
        <f>VLOOKUP($B10,[15]TrtCodes!$B$11:K71,4)</f>
        <v>1</v>
      </c>
      <c r="F10" s="1">
        <f>VLOOKUP($B10,[15]TrtCodes!$B$11:L71,5)</f>
        <v>1</v>
      </c>
      <c r="G10" s="1">
        <f>VLOOKUP($B10,[15]TrtCodes!$B$11:M71,6)</f>
        <v>2</v>
      </c>
      <c r="H10" s="1">
        <f>VLOOKUP($B10,[15]TrtCodes!$B$11:N71,7)</f>
        <v>1</v>
      </c>
      <c r="I10" s="1">
        <f>[15]FormattedData!B28</f>
        <v>1</v>
      </c>
      <c r="J10" s="4">
        <f>[15]FormattedData!C28</f>
        <v>13.194000000000001</v>
      </c>
      <c r="K10" s="6">
        <f>$J$3+[15]FormattedData!D28*$J$4+$M$4*$J$5+[15]FormattedData!D28^2*$J$6+$M$5*$J$7</f>
        <v>59.732142105027833</v>
      </c>
      <c r="L10" s="6">
        <f>$J$3+[15]FormattedData!E28*$J$4+$M$4*$J$5+[15]FormattedData!E28^2*$J$6+$M$5*$J$7</f>
        <v>41.555342542626526</v>
      </c>
      <c r="M10" s="6">
        <f>$J$3+[15]FormattedData!F28*$J$4+$M$4*$J$5+[15]FormattedData!F28^2*$J$6+$M$5*$J$7</f>
        <v>52.138948492130737</v>
      </c>
      <c r="N10" s="6">
        <f>$J$3+[15]FormattedData!G28*$J$4+$M$4*$J$5+[15]FormattedData!G28^2*$J$6+$M$5*$J$7</f>
        <v>41.370887166388272</v>
      </c>
      <c r="O10" s="6">
        <f>$J$3+[15]FormattedData!H28*$J$4+$M$4*$J$5+[15]FormattedData!H28^2*$J$6+$M$5*$J$7</f>
        <v>34.998805254011707</v>
      </c>
      <c r="P10" s="6">
        <f>$J$3+[15]FormattedData!I28*$J$4+$M$4*$J$5+[15]FormattedData!I28^2*$J$6+$M$5*$J$7</f>
        <v>42.107694226430922</v>
      </c>
      <c r="Q10" s="6">
        <f>$J$3+[15]FormattedData!J28*$J$4+$M$4*$J$5+[15]FormattedData!J28^2*$J$6+$M$5*$J$7</f>
        <v>35.473997983469431</v>
      </c>
      <c r="R10" s="6">
        <f>$J$3+[15]FormattedData!K28*$J$4+$M$4*$J$5+[15]FormattedData!K28^2*$J$6+$M$5*$J$7</f>
        <v>50.650479242609265</v>
      </c>
      <c r="S10" s="6">
        <f>$J$3+[15]FormattedData!L28*$J$4+$M$4*$J$5+[15]FormattedData!L28^2*$J$6+$M$5*$J$7</f>
        <v>43.755619273651</v>
      </c>
      <c r="T10" s="6">
        <f>$J$3+[15]FormattedData!M28*$J$4+$M$4*$J$5+[15]FormattedData!M28^2*$J$6+$M$5*$J$7</f>
        <v>54.735859613221287</v>
      </c>
      <c r="U10" s="6">
        <f>$J$3+[15]FormattedData!N28*$J$4+$M$4*$J$5+[15]FormattedData!N28^2*$J$6+$M$5*$J$7</f>
        <v>51.527528788214191</v>
      </c>
      <c r="V10" s="6">
        <f>$J$3+[15]FormattedData!O28*$J$4+$M$4*$J$5+[15]FormattedData!O28^2*$J$6+$M$5*$J$7</f>
        <v>39.23749813499321</v>
      </c>
      <c r="W10" s="5">
        <f t="shared" ref="W10:W41" si="0">AVERAGE(K10:V10)</f>
        <v>45.607066901897866</v>
      </c>
      <c r="X10" s="4">
        <f t="shared" ref="X10:X41" si="1">STDEV(K10:V10)/SQRT(COUNT(K10:V10))</f>
        <v>2.289347570822275</v>
      </c>
      <c r="Y10" s="3">
        <f t="shared" ref="Y10:Y41" si="2">MIN(K10:V10)</f>
        <v>34.998805254011707</v>
      </c>
      <c r="Z10" s="2">
        <f t="shared" ref="Z10:Z41" si="3">QUARTILE(K10:V10,1)</f>
        <v>40.837539908539505</v>
      </c>
      <c r="AA10" s="3">
        <f t="shared" ref="AA10:AA41" si="4">MEDIAN(K10:V10)</f>
        <v>42.931656750040958</v>
      </c>
      <c r="AB10" s="2">
        <f t="shared" ref="AB10:AB41" si="5">QUARTILE(K10:V10,3)</f>
        <v>51.680383714193326</v>
      </c>
      <c r="AC10" s="2">
        <f t="shared" ref="AC10:AC41" si="6">MAX(K10:V10)</f>
        <v>59.732142105027833</v>
      </c>
      <c r="AD10" s="2">
        <f t="shared" ref="AD10:AD41" si="7">SKEW(K10:V10)</f>
        <v>0.33004993018350914</v>
      </c>
      <c r="AE10" s="2">
        <f t="shared" ref="AE10:AE41" si="8">KURT(K10:V10)</f>
        <v>-1.0035988643938651</v>
      </c>
    </row>
    <row r="11" spans="1:35" x14ac:dyDescent="0.2">
      <c r="B11" s="1">
        <f>[15]FormattedData!A26</f>
        <v>102</v>
      </c>
      <c r="C11" s="1" t="str">
        <f>VLOOKUP($B11,[15]TrtCodes!$B$11:I69,2)</f>
        <v>FTL</v>
      </c>
      <c r="D11" s="1">
        <f>VLOOKUP($B11,[15]TrtCodes!$B$11:J69,3)</f>
        <v>4</v>
      </c>
      <c r="E11" s="1">
        <f>VLOOKUP($B11,[15]TrtCodes!$B$11:K69,4)</f>
        <v>1</v>
      </c>
      <c r="F11" s="1">
        <f>VLOOKUP($B11,[15]TrtCodes!$B$11:L69,5)</f>
        <v>2</v>
      </c>
      <c r="G11" s="1">
        <f>VLOOKUP($B11,[15]TrtCodes!$B$11:M69,6)</f>
        <v>1</v>
      </c>
      <c r="H11" s="1">
        <f>VLOOKUP($B11,[15]TrtCodes!$B$11:N69,7)</f>
        <v>1</v>
      </c>
      <c r="I11" s="1">
        <f>[15]FormattedData!B26</f>
        <v>1</v>
      </c>
      <c r="J11" s="4">
        <f>[15]FormattedData!C26</f>
        <v>13.176</v>
      </c>
      <c r="K11" s="6">
        <f>$J$3+[15]FormattedData!D26*$J$4+$M$4*$J$5+[15]FormattedData!D26^2*$J$6+$M$5*$J$7</f>
        <v>58.727868783543414</v>
      </c>
      <c r="L11" s="6">
        <f>$J$3+[15]FormattedData!E26*$J$4+$M$4*$J$5+[15]FormattedData!E26^2*$J$6+$M$5*$J$7</f>
        <v>43.024898883070435</v>
      </c>
      <c r="M11" s="6">
        <f>$J$3+[15]FormattedData!F26*$J$4+$M$4*$J$5+[15]FormattedData!F26^2*$J$6+$M$5*$J$7</f>
        <v>51.35245702739666</v>
      </c>
      <c r="N11" s="6">
        <f>$J$3+[15]FormattedData!G26*$J$4+$M$4*$J$5+[15]FormattedData!G26^2*$J$6+$M$5*$J$7</f>
        <v>39.050929331858406</v>
      </c>
      <c r="O11" s="6">
        <f>$J$3+[15]FormattedData!H26*$J$4+$M$4*$J$5+[15]FormattedData!H26^2*$J$6+$M$5*$J$7</f>
        <v>52.051729625756451</v>
      </c>
      <c r="P11" s="6">
        <f>$J$3+[15]FormattedData!I26*$J$4+$M$4*$J$5+[15]FormattedData!I26^2*$J$6+$M$5*$J$7</f>
        <v>51.177216192427402</v>
      </c>
      <c r="Q11" s="6">
        <f>$J$3+[15]FormattedData!J26*$J$4+$M$4*$J$5+[15]FormattedData!J26^2*$J$6+$M$5*$J$7</f>
        <v>52.31325941926552</v>
      </c>
      <c r="R11" s="6">
        <f>$J$3+[15]FormattedData!K26*$J$4+$M$4*$J$5+[15]FormattedData!K26^2*$J$6+$M$5*$J$7</f>
        <v>48.172253652736117</v>
      </c>
      <c r="S11" s="6">
        <f>$J$3+[15]FormattedData!L26*$J$4+$M$4*$J$5+[15]FormattedData!L26^2*$J$6+$M$5*$J$7</f>
        <v>50.034029582678926</v>
      </c>
      <c r="T11" s="6">
        <f>$J$3+[15]FormattedData!M26*$J$4+$M$4*$J$5+[15]FormattedData!M26^2*$J$6+$M$5*$J$7</f>
        <v>52.748297037688658</v>
      </c>
      <c r="U11" s="6">
        <f>$J$3+[15]FormattedData!N26*$J$4+$M$4*$J$5+[15]FormattedData!N26^2*$J$6+$M$5*$J$7</f>
        <v>41.831708592949418</v>
      </c>
      <c r="V11" s="6">
        <f>$J$3+[15]FormattedData!O26*$J$4+$M$4*$J$5+[15]FormattedData!O26^2*$J$6+$M$5*$J$7</f>
        <v>36.232108386629371</v>
      </c>
      <c r="W11" s="5">
        <f t="shared" si="0"/>
        <v>48.059729709666733</v>
      </c>
      <c r="X11" s="4">
        <f t="shared" si="1"/>
        <v>1.9058931909204928</v>
      </c>
      <c r="Y11" s="3">
        <f t="shared" si="2"/>
        <v>36.232108386629371</v>
      </c>
      <c r="Z11" s="2">
        <f t="shared" si="3"/>
        <v>42.726601310540183</v>
      </c>
      <c r="AA11" s="3">
        <f t="shared" si="4"/>
        <v>50.605622887553167</v>
      </c>
      <c r="AB11" s="2">
        <f t="shared" si="5"/>
        <v>52.117112074133715</v>
      </c>
      <c r="AC11" s="2">
        <f t="shared" si="6"/>
        <v>58.727868783543414</v>
      </c>
      <c r="AD11" s="2">
        <f t="shared" si="7"/>
        <v>-0.46378399694468603</v>
      </c>
      <c r="AE11" s="2">
        <f t="shared" si="8"/>
        <v>-0.50465393098276268</v>
      </c>
    </row>
    <row r="12" spans="1:35" x14ac:dyDescent="0.2">
      <c r="B12" s="1">
        <f>[15]FormattedData!A24</f>
        <v>103</v>
      </c>
      <c r="C12" s="1" t="str">
        <f>VLOOKUP($B12,[15]TrtCodes!$B$11:I67,2)</f>
        <v>FDH</v>
      </c>
      <c r="D12" s="1">
        <f>VLOOKUP($B12,[15]TrtCodes!$B$11:J67,3)</f>
        <v>5</v>
      </c>
      <c r="E12" s="1">
        <f>VLOOKUP($B12,[15]TrtCodes!$B$11:K67,4)</f>
        <v>1</v>
      </c>
      <c r="F12" s="1">
        <f>VLOOKUP($B12,[15]TrtCodes!$B$11:L67,5)</f>
        <v>3</v>
      </c>
      <c r="G12" s="1">
        <f>VLOOKUP($B12,[15]TrtCodes!$B$11:M67,6)</f>
        <v>2</v>
      </c>
      <c r="H12" s="1">
        <f>VLOOKUP($B12,[15]TrtCodes!$B$11:N67,7)</f>
        <v>1</v>
      </c>
      <c r="I12" s="1">
        <f>[15]FormattedData!B24</f>
        <v>1</v>
      </c>
      <c r="J12" s="4">
        <f>[15]FormattedData!C24</f>
        <v>13.157999999999999</v>
      </c>
      <c r="K12" s="6">
        <f>$J$3+[15]FormattedData!D24*$J$4+$M$4*$J$5+[15]FormattedData!D24^2*$J$6+$M$5*$J$7</f>
        <v>50.8262273000337</v>
      </c>
      <c r="L12" s="6">
        <f>$J$3+[15]FormattedData!E24*$J$4+$M$4*$J$5+[15]FormattedData!E24^2*$J$6+$M$5*$J$7</f>
        <v>36.232108386629371</v>
      </c>
      <c r="M12" s="6">
        <f>$J$3+[15]FormattedData!F24*$J$4+$M$4*$J$5+[15]FormattedData!F24^2*$J$6+$M$5*$J$7</f>
        <v>37.458268136336677</v>
      </c>
      <c r="N12" s="6">
        <f>$J$3+[15]FormattedData!G24*$J$4+$M$4*$J$5+[15]FormattedData!G24^2*$J$6+$M$5*$J$7</f>
        <v>50.298475905305224</v>
      </c>
      <c r="O12" s="6">
        <f>$J$3+[15]FormattedData!H24*$J$4+$M$4*$J$5+[15]FormattedData!H24^2*$J$6+$M$5*$J$7</f>
        <v>35.853391333352846</v>
      </c>
      <c r="P12" s="6">
        <f>$J$3+[15]FormattedData!I24*$J$4+$M$4*$J$5+[15]FormattedData!I24^2*$J$6+$M$5*$J$7</f>
        <v>44.846627634970105</v>
      </c>
      <c r="Q12" s="6">
        <f>$J$3+[15]FormattedData!J24*$J$4+$M$4*$J$5+[15]FormattedData!J24^2*$J$6+$M$5*$J$7</f>
        <v>37.081749047032574</v>
      </c>
      <c r="R12" s="6">
        <f>$J$3+[15]FormattedData!K24*$J$4+$M$4*$J$5+[15]FormattedData!K24^2*$J$6+$M$5*$J$7</f>
        <v>45.931549326827131</v>
      </c>
      <c r="S12" s="6">
        <f>$J$3+[15]FormattedData!L24*$J$4+$M$4*$J$5+[15]FormattedData!L24^2*$J$6+$M$5*$J$7</f>
        <v>39.796190099487276</v>
      </c>
      <c r="T12" s="6">
        <f>$J$3+[15]FormattedData!M24*$J$4+$M$4*$J$5+[15]FormattedData!M24^2*$J$6+$M$5*$J$7</f>
        <v>45.027870602325585</v>
      </c>
      <c r="U12" s="6">
        <f>$J$3+[15]FormattedData!N24*$J$4+$M$4*$J$5+[15]FormattedData!N24^2*$J$6+$M$5*$J$7</f>
        <v>38.115549203908508</v>
      </c>
      <c r="V12" s="6">
        <f>$J$3+[15]FormattedData!O24*$J$4+$M$4*$J$5+[15]FormattedData!O24^2*$J$6+$M$5*$J$7</f>
        <v>38.864191454571873</v>
      </c>
      <c r="W12" s="5">
        <f t="shared" si="0"/>
        <v>41.694349869231736</v>
      </c>
      <c r="X12" s="4">
        <f t="shared" si="1"/>
        <v>1.5667453716854636</v>
      </c>
      <c r="Y12" s="3">
        <f t="shared" si="2"/>
        <v>35.853391333352846</v>
      </c>
      <c r="Z12" s="2">
        <f t="shared" si="3"/>
        <v>37.36413836401065</v>
      </c>
      <c r="AA12" s="3">
        <f t="shared" si="4"/>
        <v>39.330190777029571</v>
      </c>
      <c r="AB12" s="2">
        <f t="shared" si="5"/>
        <v>45.253790283450968</v>
      </c>
      <c r="AC12" s="2">
        <f t="shared" si="6"/>
        <v>50.8262273000337</v>
      </c>
      <c r="AD12" s="2">
        <f t="shared" si="7"/>
        <v>0.63541677842723399</v>
      </c>
      <c r="AE12" s="2">
        <f t="shared" si="8"/>
        <v>-1.1186742377274457</v>
      </c>
    </row>
    <row r="13" spans="1:35" x14ac:dyDescent="0.2">
      <c r="B13" s="1">
        <f>[15]FormattedData!A22</f>
        <v>104</v>
      </c>
      <c r="C13" s="1" t="str">
        <f>VLOOKUP($B13,[15]TrtCodes!$B$11:I65,2)</f>
        <v>NTL</v>
      </c>
      <c r="D13" s="1">
        <f>VLOOKUP($B13,[15]TrtCodes!$B$11:J65,3)</f>
        <v>10</v>
      </c>
      <c r="E13" s="1">
        <f>VLOOKUP($B13,[15]TrtCodes!$B$11:K65,4)</f>
        <v>2</v>
      </c>
      <c r="F13" s="1">
        <f>VLOOKUP($B13,[15]TrtCodes!$B$11:L65,5)</f>
        <v>2</v>
      </c>
      <c r="G13" s="1">
        <f>VLOOKUP($B13,[15]TrtCodes!$B$11:M65,6)</f>
        <v>1</v>
      </c>
      <c r="H13" s="1">
        <f>VLOOKUP($B13,[15]TrtCodes!$B$11:N65,7)</f>
        <v>1</v>
      </c>
      <c r="I13" s="1">
        <f>[15]FormattedData!B22</f>
        <v>1</v>
      </c>
      <c r="J13" s="4">
        <f>[15]FormattedData!C22</f>
        <v>13.138</v>
      </c>
      <c r="K13" s="6">
        <f>$J$3+[15]FormattedData!D22*$J$4+$M$4*$J$5+[15]FormattedData!D22^2*$J$6+$M$5*$J$7</f>
        <v>51.001806283306415</v>
      </c>
      <c r="L13" s="6">
        <f>$J$3+[15]FormattedData!E22*$J$4+$M$4*$J$5+[15]FormattedData!E22^2*$J$6+$M$5*$J$7</f>
        <v>49.857520691571722</v>
      </c>
      <c r="M13" s="6">
        <f>$J$3+[15]FormattedData!F22*$J$4+$M$4*$J$5+[15]FormattedData!F22^2*$J$6+$M$5*$J$7</f>
        <v>42.475083311541901</v>
      </c>
      <c r="N13" s="6">
        <f>$J$3+[15]FormattedData!G22*$J$4+$M$4*$J$5+[15]FormattedData!G22^2*$J$6+$M$5*$J$7</f>
        <v>37.740213633666471</v>
      </c>
      <c r="O13" s="6">
        <f>$J$3+[15]FormattedData!H22*$J$4+$M$4*$J$5+[15]FormattedData!H22^2*$J$6+$M$5*$J$7</f>
        <v>37.646274069761141</v>
      </c>
      <c r="P13" s="6">
        <f>$J$3+[15]FormattedData!I22*$J$4+$M$4*$J$5+[15]FormattedData!I22^2*$J$6+$M$5*$J$7</f>
        <v>43.299236043572627</v>
      </c>
      <c r="Q13" s="6">
        <f>$J$3+[15]FormattedData!J22*$J$4+$M$4*$J$5+[15]FormattedData!J22^2*$J$6+$M$5*$J$7</f>
        <v>35.093928336979104</v>
      </c>
      <c r="R13" s="6">
        <f>$J$3+[15]FormattedData!K22*$J$4+$M$4*$J$5+[15]FormattedData!K22^2*$J$6+$M$5*$J$7</f>
        <v>52.138948492130737</v>
      </c>
      <c r="S13" s="6">
        <f>$J$3+[15]FormattedData!L22*$J$4+$M$4*$J$5+[15]FormattedData!L22^2*$J$6+$M$5*$J$7</f>
        <v>39.610128518807649</v>
      </c>
      <c r="T13" s="6">
        <f>$J$3+[15]FormattedData!M22*$J$4+$M$4*$J$5+[15]FormattedData!M22^2*$J$6+$M$5*$J$7</f>
        <v>39.98208260601519</v>
      </c>
      <c r="U13" s="6">
        <f>$J$3+[15]FormattedData!N22*$J$4+$M$4*$J$5+[15]FormattedData!N22^2*$J$6+$M$5*$J$7</f>
        <v>41.001469191456607</v>
      </c>
      <c r="V13" s="6">
        <f>$J$3+[15]FormattedData!O22*$J$4+$M$4*$J$5+[15]FormattedData!O22^2*$J$6+$M$5*$J$7</f>
        <v>42.015741283808353</v>
      </c>
      <c r="W13" s="5">
        <f t="shared" si="0"/>
        <v>42.655202705218159</v>
      </c>
      <c r="X13" s="4">
        <f t="shared" si="1"/>
        <v>1.5999739078929891</v>
      </c>
      <c r="Y13" s="3">
        <f t="shared" si="2"/>
        <v>35.093928336979104</v>
      </c>
      <c r="Z13" s="2">
        <f t="shared" si="3"/>
        <v>39.142649797522353</v>
      </c>
      <c r="AA13" s="3">
        <f t="shared" si="4"/>
        <v>41.50860523763248</v>
      </c>
      <c r="AB13" s="2">
        <f t="shared" si="5"/>
        <v>44.938807205572402</v>
      </c>
      <c r="AC13" s="2">
        <f t="shared" si="6"/>
        <v>52.138948492130737</v>
      </c>
      <c r="AD13" s="2">
        <f t="shared" si="7"/>
        <v>0.69167350396975191</v>
      </c>
      <c r="AE13" s="2">
        <f t="shared" si="8"/>
        <v>-0.65018900232805432</v>
      </c>
    </row>
    <row r="14" spans="1:35" x14ac:dyDescent="0.2">
      <c r="B14" s="1">
        <f>[15]FormattedData!A20</f>
        <v>105</v>
      </c>
      <c r="C14" s="1" t="str">
        <f>VLOOKUP($B14,[15]TrtCodes!$B$11:I63,2)</f>
        <v>NDL</v>
      </c>
      <c r="D14" s="1">
        <f>VLOOKUP($B14,[15]TrtCodes!$B$11:J63,3)</f>
        <v>12</v>
      </c>
      <c r="E14" s="1">
        <f>VLOOKUP($B14,[15]TrtCodes!$B$11:K63,4)</f>
        <v>2</v>
      </c>
      <c r="F14" s="1">
        <f>VLOOKUP($B14,[15]TrtCodes!$B$11:L63,5)</f>
        <v>3</v>
      </c>
      <c r="G14" s="1">
        <f>VLOOKUP($B14,[15]TrtCodes!$B$11:M63,6)</f>
        <v>1</v>
      </c>
      <c r="H14" s="1">
        <f>VLOOKUP($B14,[15]TrtCodes!$B$11:N63,7)</f>
        <v>2</v>
      </c>
      <c r="I14" s="1">
        <f>[15]FormattedData!B20</f>
        <v>1</v>
      </c>
      <c r="J14" s="4">
        <f>[15]FormattedData!C20</f>
        <v>13.12</v>
      </c>
      <c r="K14" s="6">
        <f>$J$3+[15]FormattedData!D20*$J$4+$M$4*$J$5+[15]FormattedData!D20^2*$J$6+$M$5*$J$7</f>
        <v>43.207832591943159</v>
      </c>
      <c r="L14" s="6">
        <f>$J$3+[15]FormattedData!E20*$J$4+$M$4*$J$5+[15]FormattedData!E20^2*$J$6+$M$5*$J$7</f>
        <v>35.853391333352846</v>
      </c>
      <c r="M14" s="6">
        <f>$J$3+[15]FormattedData!F20*$J$4+$M$4*$J$5+[15]FormattedData!F20^2*$J$6+$M$5*$J$7</f>
        <v>31.83603086630788</v>
      </c>
      <c r="N14" s="6">
        <f>$J$3+[15]FormattedData!G20*$J$4+$M$4*$J$5+[15]FormattedData!G20^2*$J$6+$M$5*$J$7</f>
        <v>39.703180443416429</v>
      </c>
      <c r="O14" s="6">
        <f>$J$3+[15]FormattedData!H20*$J$4+$M$4*$J$5+[15]FormattedData!H20^2*$J$6+$M$5*$J$7</f>
        <v>33.949661617866767</v>
      </c>
      <c r="P14" s="6">
        <f>$J$3+[15]FormattedData!I20*$J$4+$M$4*$J$5+[15]FormattedData!I20^2*$J$6+$M$5*$J$7</f>
        <v>47.279142062717362</v>
      </c>
      <c r="Q14" s="6">
        <f>$J$3+[15]FormattedData!J20*$J$4+$M$4*$J$5+[15]FormattedData!J20^2*$J$6+$M$5*$J$7</f>
        <v>34.045249654751416</v>
      </c>
      <c r="R14" s="6">
        <f>$J$3+[15]FormattedData!K20*$J$4+$M$4*$J$5+[15]FormattedData!K20^2*$J$6+$M$5*$J$7</f>
        <v>43.937876685916827</v>
      </c>
      <c r="S14" s="6">
        <f>$J$3+[15]FormattedData!L20*$J$4+$M$4*$J$5+[15]FormattedData!L20^2*$J$6+$M$5*$J$7</f>
        <v>32.991456479434049</v>
      </c>
      <c r="T14" s="6">
        <f>$J$3+[15]FormattedData!M20*$J$4+$M$4*$J$5+[15]FormattedData!M20^2*$J$6+$M$5*$J$7</f>
        <v>47.279142062717362</v>
      </c>
      <c r="U14" s="6">
        <f>$J$3+[15]FormattedData!N20*$J$4+$M$4*$J$5+[15]FormattedData!N20^2*$J$6+$M$5*$J$7</f>
        <v>33.566886784948849</v>
      </c>
      <c r="V14" s="6">
        <f>$J$3+[15]FormattedData!O20*$J$4+$M$4*$J$5+[15]FormattedData!O20^2*$J$6+$M$5*$J$7</f>
        <v>43.024898883070435</v>
      </c>
      <c r="W14" s="5">
        <f t="shared" si="0"/>
        <v>38.889562455536947</v>
      </c>
      <c r="X14" s="4">
        <f t="shared" si="1"/>
        <v>1.6801541399122206</v>
      </c>
      <c r="Y14" s="3">
        <f t="shared" si="2"/>
        <v>31.83603086630788</v>
      </c>
      <c r="Z14" s="2">
        <f t="shared" si="3"/>
        <v>33.853967909637291</v>
      </c>
      <c r="AA14" s="3">
        <f t="shared" si="4"/>
        <v>37.778285888384637</v>
      </c>
      <c r="AB14" s="2">
        <f t="shared" si="5"/>
        <v>43.390343615436578</v>
      </c>
      <c r="AC14" s="2">
        <f t="shared" si="6"/>
        <v>47.279142062717362</v>
      </c>
      <c r="AD14" s="2">
        <f t="shared" si="7"/>
        <v>0.27240459025667929</v>
      </c>
      <c r="AE14" s="2">
        <f t="shared" si="8"/>
        <v>-1.7102371100449187</v>
      </c>
    </row>
    <row r="15" spans="1:35" x14ac:dyDescent="0.2">
      <c r="B15" s="1">
        <f>[15]FormattedData!A18</f>
        <v>106</v>
      </c>
      <c r="C15" s="1" t="str">
        <f>VLOOKUP($B15,[15]TrtCodes!$B$11:I61,2)</f>
        <v>NTH</v>
      </c>
      <c r="D15" s="1">
        <f>VLOOKUP($B15,[15]TrtCodes!$B$11:J61,3)</f>
        <v>9</v>
      </c>
      <c r="E15" s="1">
        <f>VLOOKUP($B15,[15]TrtCodes!$B$11:K61,4)</f>
        <v>2</v>
      </c>
      <c r="F15" s="1">
        <f>VLOOKUP($B15,[15]TrtCodes!$B$11:L61,5)</f>
        <v>2</v>
      </c>
      <c r="G15" s="1">
        <f>VLOOKUP($B15,[15]TrtCodes!$B$11:M61,6)</f>
        <v>2</v>
      </c>
      <c r="H15" s="1">
        <f>VLOOKUP($B15,[15]TrtCodes!$B$11:N61,7)</f>
        <v>2</v>
      </c>
      <c r="I15" s="1">
        <f>[15]FormattedData!B18</f>
        <v>1</v>
      </c>
      <c r="J15" s="4">
        <f>[15]FormattedData!C18</f>
        <v>13.102</v>
      </c>
      <c r="K15" s="6">
        <f>$J$3+[15]FormattedData!D18*$J$4+$M$4*$J$5+[15]FormattedData!D18^2*$J$6+$M$5*$J$7</f>
        <v>50.386540142438136</v>
      </c>
      <c r="L15" s="6">
        <f>$J$3+[15]FormattedData!E18*$J$4+$M$4*$J$5+[15]FormattedData!E18^2*$J$6+$M$5*$J$7</f>
        <v>45.389849314581383</v>
      </c>
      <c r="M15" s="6">
        <f>$J$3+[15]FormattedData!F18*$J$4+$M$4*$J$5+[15]FormattedData!F18^2*$J$6+$M$5*$J$7</f>
        <v>35.75860639868889</v>
      </c>
      <c r="N15" s="6">
        <f>$J$3+[15]FormattedData!G18*$J$4+$M$4*$J$5+[15]FormattedData!G18^2*$J$6+$M$5*$J$7</f>
        <v>40.167806038391376</v>
      </c>
      <c r="O15" s="6">
        <f>$J$3+[15]FormattedData!H18*$J$4+$M$4*$J$5+[15]FormattedData!H18^2*$J$6+$M$5*$J$7</f>
        <v>37.834110929033884</v>
      </c>
      <c r="P15" s="6">
        <f>$J$3+[15]FormattedData!I18*$J$4+$M$4*$J$5+[15]FormattedData!I18^2*$J$6+$M$5*$J$7</f>
        <v>44.119965024030932</v>
      </c>
      <c r="Q15" s="6">
        <f>$J$3+[15]FormattedData!J18*$J$4+$M$4*$J$5+[15]FormattedData!J18^2*$J$6+$M$5*$J$7</f>
        <v>47.458102529024558</v>
      </c>
      <c r="R15" s="6">
        <f>$J$3+[15]FormattedData!K18*$J$4+$M$4*$J$5+[15]FormattedData!K18^2*$J$6+$M$5*$J$7</f>
        <v>36.042834397066969</v>
      </c>
      <c r="S15" s="6">
        <f>$J$3+[15]FormattedData!L18*$J$4+$M$4*$J$5+[15]FormattedData!L18^2*$J$6+$M$5*$J$7</f>
        <v>48.883699590020079</v>
      </c>
      <c r="T15" s="6">
        <f>$J$3+[15]FormattedData!M18*$J$4+$M$4*$J$5+[15]FormattedData!M18^2*$J$6+$M$5*$J$7</f>
        <v>34.236298922906919</v>
      </c>
      <c r="U15" s="6">
        <f>$J$3+[15]FormattedData!N18*$J$4+$M$4*$J$5+[15]FormattedData!N18^2*$J$6+$M$5*$J$7</f>
        <v>47.100012522258424</v>
      </c>
      <c r="V15" s="6">
        <f>$J$3+[15]FormattedData!O18*$J$4+$M$4*$J$5+[15]FormattedData!O18^2*$J$6+$M$5*$J$7</f>
        <v>40.631374919918038</v>
      </c>
      <c r="W15" s="5">
        <f t="shared" si="0"/>
        <v>42.33410006069662</v>
      </c>
      <c r="X15" s="4">
        <f t="shared" si="1"/>
        <v>1.6177725380882295</v>
      </c>
      <c r="Y15" s="3">
        <f t="shared" si="2"/>
        <v>34.236298922906919</v>
      </c>
      <c r="Z15" s="2">
        <f t="shared" si="3"/>
        <v>37.386291796042158</v>
      </c>
      <c r="AA15" s="3">
        <f t="shared" si="4"/>
        <v>42.375669971974489</v>
      </c>
      <c r="AB15" s="2">
        <f t="shared" si="5"/>
        <v>47.189535023949958</v>
      </c>
      <c r="AC15" s="2">
        <f t="shared" si="6"/>
        <v>50.386540142438136</v>
      </c>
      <c r="AD15" s="2">
        <f t="shared" si="7"/>
        <v>-5.6056583650225429E-2</v>
      </c>
      <c r="AE15" s="2">
        <f t="shared" si="8"/>
        <v>-1.5533174857382166</v>
      </c>
    </row>
    <row r="16" spans="1:35" x14ac:dyDescent="0.2">
      <c r="B16" s="1">
        <f>[15]FormattedData!A16</f>
        <v>107</v>
      </c>
      <c r="C16" s="1" t="str">
        <f>VLOOKUP($B16,[15]TrtCodes!$B$11:I59,2)</f>
        <v>NTL</v>
      </c>
      <c r="D16" s="1">
        <f>VLOOKUP($B16,[15]TrtCodes!$B$11:J59,3)</f>
        <v>10</v>
      </c>
      <c r="E16" s="1">
        <f>VLOOKUP($B16,[15]TrtCodes!$B$11:K59,4)</f>
        <v>2</v>
      </c>
      <c r="F16" s="1">
        <f>VLOOKUP($B16,[15]TrtCodes!$B$11:L59,5)</f>
        <v>2</v>
      </c>
      <c r="G16" s="1">
        <f>VLOOKUP($B16,[15]TrtCodes!$B$11:M59,6)</f>
        <v>1</v>
      </c>
      <c r="H16" s="1">
        <f>VLOOKUP($B16,[15]TrtCodes!$B$11:N59,7)</f>
        <v>2</v>
      </c>
      <c r="I16" s="1">
        <f>[15]FormattedData!B16</f>
        <v>1</v>
      </c>
      <c r="J16" s="4">
        <f>[15]FormattedData!C16</f>
        <v>13.084</v>
      </c>
      <c r="K16" s="6">
        <f>$J$3+[15]FormattedData!D16*$J$4+$M$4*$J$5+[15]FormattedData!D16^2*$J$6+$M$5*$J$7</f>
        <v>55.250676835342837</v>
      </c>
      <c r="L16" s="6">
        <f>$J$3+[15]FormattedData!E16*$J$4+$M$4*$J$5+[15]FormattedData!E16^2*$J$6+$M$5*$J$7</f>
        <v>48.350368748284694</v>
      </c>
      <c r="M16" s="6">
        <f>$J$3+[15]FormattedData!F16*$J$4+$M$4*$J$5+[15]FormattedData!F16^2*$J$6+$M$5*$J$7</f>
        <v>50.386540142438136</v>
      </c>
      <c r="N16" s="6">
        <f>$J$3+[15]FormattedData!G16*$J$4+$M$4*$J$5+[15]FormattedData!G16^2*$J$6+$M$5*$J$7</f>
        <v>42.841796100045975</v>
      </c>
      <c r="O16" s="6">
        <f>$J$3+[15]FormattedData!H16*$J$4+$M$4*$J$5+[15]FormattedData!H16^2*$J$6+$M$5*$J$7</f>
        <v>36.61014914329899</v>
      </c>
      <c r="P16" s="6">
        <f>$J$3+[15]FormattedData!I16*$J$4+$M$4*$J$5+[15]FormattedData!I16^2*$J$6+$M$5*$J$7</f>
        <v>46.741246218885408</v>
      </c>
      <c r="Q16" s="6">
        <f>$J$3+[15]FormattedData!J16*$J$4+$M$4*$J$5+[15]FormattedData!J16^2*$J$6+$M$5*$J$7</f>
        <v>43.573192787233438</v>
      </c>
      <c r="R16" s="6">
        <f>$J$3+[15]FormattedData!K16*$J$4+$M$4*$J$5+[15]FormattedData!K16^2*$J$6+$M$5*$J$7</f>
        <v>43.299236043572627</v>
      </c>
      <c r="S16" s="6">
        <f>$J$3+[15]FormattedData!L16*$J$4+$M$4*$J$5+[15]FormattedData!L16^2*$J$6+$M$5*$J$7</f>
        <v>36.893235891152941</v>
      </c>
      <c r="T16" s="6">
        <f>$J$3+[15]FormattedData!M16*$J$4+$M$4*$J$5+[15]FormattedData!M16^2*$J$6+$M$5*$J$7</f>
        <v>48.794916787742345</v>
      </c>
      <c r="U16" s="6">
        <f>$J$3+[15]FormattedData!N16*$J$4+$M$4*$J$5+[15]FormattedData!N16^2*$J$6+$M$5*$J$7</f>
        <v>33.949661617866767</v>
      </c>
      <c r="V16" s="6">
        <f>$J$3+[15]FormattedData!O16*$J$4+$M$4*$J$5+[15]FormattedData!O16^2*$J$6+$M$5*$J$7</f>
        <v>46.381803618905479</v>
      </c>
      <c r="W16" s="5">
        <f t="shared" si="0"/>
        <v>44.42273532789747</v>
      </c>
      <c r="X16" s="4">
        <f t="shared" si="1"/>
        <v>1.8016521901536855</v>
      </c>
      <c r="Y16" s="3">
        <f t="shared" si="2"/>
        <v>33.949661617866767</v>
      </c>
      <c r="Z16" s="2">
        <f t="shared" si="3"/>
        <v>41.354656047822715</v>
      </c>
      <c r="AA16" s="3">
        <f t="shared" si="4"/>
        <v>44.977498203069459</v>
      </c>
      <c r="AB16" s="2">
        <f t="shared" si="5"/>
        <v>48.461505758149109</v>
      </c>
      <c r="AC16" s="2">
        <f t="shared" si="6"/>
        <v>55.250676835342837</v>
      </c>
      <c r="AD16" s="2">
        <f t="shared" si="7"/>
        <v>-0.18518619116160595</v>
      </c>
      <c r="AE16" s="2">
        <f t="shared" si="8"/>
        <v>-0.4359706925618263</v>
      </c>
    </row>
    <row r="17" spans="2:31" x14ac:dyDescent="0.2">
      <c r="B17" s="1">
        <f>[15]FormattedData!A14</f>
        <v>108</v>
      </c>
      <c r="C17" s="1" t="str">
        <f>VLOOKUP($B17,[15]TrtCodes!$B$11:I57,2)</f>
        <v>FTH</v>
      </c>
      <c r="D17" s="1">
        <f>VLOOKUP($B17,[15]TrtCodes!$B$11:J57,3)</f>
        <v>3</v>
      </c>
      <c r="E17" s="1">
        <f>VLOOKUP($B17,[15]TrtCodes!$B$11:K57,4)</f>
        <v>1</v>
      </c>
      <c r="F17" s="1">
        <f>VLOOKUP($B17,[15]TrtCodes!$B$11:L57,5)</f>
        <v>2</v>
      </c>
      <c r="G17" s="1">
        <f>VLOOKUP($B17,[15]TrtCodes!$B$11:M57,6)</f>
        <v>2</v>
      </c>
      <c r="H17" s="1">
        <f>VLOOKUP($B17,[15]TrtCodes!$B$11:N57,7)</f>
        <v>2</v>
      </c>
      <c r="I17" s="1">
        <f>[15]FormattedData!B14</f>
        <v>1</v>
      </c>
      <c r="J17" s="4">
        <f>[15]FormattedData!C14</f>
        <v>13.067</v>
      </c>
      <c r="K17" s="6">
        <f>$J$3+[15]FormattedData!D14*$J$4+$M$4*$J$5+[15]FormattedData!D14^2*$J$6+$M$5*$J$7</f>
        <v>55.336331765813668</v>
      </c>
      <c r="L17" s="6">
        <f>$J$3+[15]FormattedData!E14*$J$4+$M$4*$J$5+[15]FormattedData!E14^2*$J$6+$M$5*$J$7</f>
        <v>44.028941989242838</v>
      </c>
      <c r="M17" s="6">
        <f>$J$3+[15]FormattedData!F14*$J$4+$M$4*$J$5+[15]FormattedData!F14^2*$J$6+$M$5*$J$7</f>
        <v>39.423897863976293</v>
      </c>
      <c r="N17" s="6">
        <f>$J$3+[15]FormattedData!G14*$J$4+$M$4*$J$5+[15]FormattedData!G14^2*$J$6+$M$5*$J$7</f>
        <v>45.389849314581383</v>
      </c>
      <c r="O17" s="6">
        <f>$J$3+[15]FormattedData!H14*$J$4+$M$4*$J$5+[15]FormattedData!H14^2*$J$6+$M$5*$J$7</f>
        <v>47.010384349222079</v>
      </c>
      <c r="P17" s="6">
        <f>$J$3+[15]FormattedData!I14*$J$4+$M$4*$J$5+[15]FormattedData!I14^2*$J$6+$M$5*$J$7</f>
        <v>48.883699590020079</v>
      </c>
      <c r="Q17" s="6">
        <f>$J$3+[15]FormattedData!J14*$J$4+$M$4*$J$5+[15]FormattedData!J14^2*$J$6+$M$5*$J$7</f>
        <v>45.027870602325585</v>
      </c>
      <c r="R17" s="6">
        <f>$J$3+[15]FormattedData!K14*$J$4+$M$4*$J$5+[15]FormattedData!K14^2*$J$6+$M$5*$J$7</f>
        <v>44.48363447780396</v>
      </c>
      <c r="S17" s="6">
        <f>$J$3+[15]FormattedData!L14*$J$4+$M$4*$J$5+[15]FormattedData!L14^2*$J$6+$M$5*$J$7</f>
        <v>34.140795423098126</v>
      </c>
      <c r="T17" s="6">
        <f>$J$3+[15]FormattedData!M14*$J$4+$M$4*$J$5+[15]FormattedData!M14^2*$J$6+$M$5*$J$7</f>
        <v>40.074965456472249</v>
      </c>
      <c r="U17" s="6">
        <f>$J$3+[15]FormattedData!N14*$J$4+$M$4*$J$5+[15]FormattedData!N14^2*$J$6+$M$5*$J$7</f>
        <v>47.726226214450875</v>
      </c>
      <c r="V17" s="6">
        <f>$J$3+[15]FormattedData!O14*$J$4+$M$4*$J$5+[15]FormattedData!O14^2*$J$6+$M$5*$J$7</f>
        <v>38.770759113121713</v>
      </c>
      <c r="W17" s="5">
        <f t="shared" si="0"/>
        <v>44.191446346677402</v>
      </c>
      <c r="X17" s="4">
        <f t="shared" si="1"/>
        <v>1.602528106845214</v>
      </c>
      <c r="Y17" s="3">
        <f t="shared" si="2"/>
        <v>34.140795423098126</v>
      </c>
      <c r="Z17" s="2">
        <f t="shared" si="3"/>
        <v>39.912198558348258</v>
      </c>
      <c r="AA17" s="3">
        <f t="shared" si="4"/>
        <v>44.755752540064776</v>
      </c>
      <c r="AB17" s="2">
        <f t="shared" si="5"/>
        <v>47.189344815529282</v>
      </c>
      <c r="AC17" s="2">
        <f t="shared" si="6"/>
        <v>55.336331765813668</v>
      </c>
      <c r="AD17" s="2">
        <f t="shared" si="7"/>
        <v>0.12997122873760941</v>
      </c>
      <c r="AE17" s="2">
        <f t="shared" si="8"/>
        <v>0.61342555303466195</v>
      </c>
    </row>
    <row r="18" spans="2:31" x14ac:dyDescent="0.2">
      <c r="B18" s="1">
        <f>[15]FormattedData!A30</f>
        <v>201</v>
      </c>
      <c r="C18" s="1" t="str">
        <f>VLOOKUP($B18,[15]TrtCodes!$B$11:I73,2)</f>
        <v>NDL</v>
      </c>
      <c r="D18" s="1">
        <f>VLOOKUP($B18,[15]TrtCodes!$B$11:J73,3)</f>
        <v>12</v>
      </c>
      <c r="E18" s="1">
        <f>VLOOKUP($B18,[15]TrtCodes!$B$11:K73,4)</f>
        <v>2</v>
      </c>
      <c r="F18" s="1">
        <f>VLOOKUP($B18,[15]TrtCodes!$B$11:L73,5)</f>
        <v>3</v>
      </c>
      <c r="G18" s="1">
        <f>VLOOKUP($B18,[15]TrtCodes!$B$11:M73,6)</f>
        <v>1</v>
      </c>
      <c r="H18" s="1">
        <f>VLOOKUP($B18,[15]TrtCodes!$B$11:N73,7)</f>
        <v>1</v>
      </c>
      <c r="I18" s="1">
        <f>[15]FormattedData!B30</f>
        <v>1</v>
      </c>
      <c r="J18" s="4">
        <f>[15]FormattedData!C30</f>
        <v>13.217000000000001</v>
      </c>
      <c r="K18" s="6">
        <f>$J$3+[15]FormattedData!D30*$J$4+$M$4*$J$5+[15]FormattedData!D30^2*$J$6+$M$5*$J$7</f>
        <v>45.480238321300497</v>
      </c>
      <c r="L18" s="6">
        <f>$J$3+[15]FormattedData!E30*$J$4+$M$4*$J$5+[15]FormattedData!E30^2*$J$6+$M$5*$J$7</f>
        <v>35.948133999478877</v>
      </c>
      <c r="M18" s="6">
        <f>$J$3+[15]FormattedData!F30*$J$4+$M$4*$J$5+[15]FormattedData!F30^2*$J$6+$M$5*$J$7</f>
        <v>39.703180443416429</v>
      </c>
      <c r="N18" s="6">
        <f>$J$3+[15]FormattedData!G30*$J$4+$M$4*$J$5+[15]FormattedData!G30^2*$J$6+$M$5*$J$7</f>
        <v>35.189009151408584</v>
      </c>
      <c r="O18" s="6">
        <f>$J$3+[15]FormattedData!H30*$J$4+$M$4*$J$5+[15]FormattedData!H30^2*$J$6+$M$5*$J$7</f>
        <v>33.854031312444178</v>
      </c>
      <c r="P18" s="6">
        <f>$J$3+[15]FormattedData!I30*$J$4+$M$4*$J$5+[15]FormattedData!I30^2*$J$6+$M$5*$J$7</f>
        <v>34.998805254011707</v>
      </c>
      <c r="Q18" s="6">
        <f>$J$3+[15]FormattedData!J30*$J$4+$M$4*$J$5+[15]FormattedData!J30^2*$J$6+$M$5*$J$7</f>
        <v>39.889157487020199</v>
      </c>
      <c r="R18" s="6">
        <f>$J$3+[15]FormattedData!K30*$J$4+$M$4*$J$5+[15]FormattedData!K30^2*$J$6+$M$5*$J$7</f>
        <v>35.75860639868889</v>
      </c>
      <c r="S18" s="6">
        <f>$J$3+[15]FormattedData!L30*$J$4+$M$4*$J$5+[15]FormattedData!L30^2*$J$6+$M$5*$J$7</f>
        <v>41.093887087996421</v>
      </c>
      <c r="T18" s="6">
        <f>$J$3+[15]FormattedData!M30*$J$4+$M$4*$J$5+[15]FormattedData!M30^2*$J$6+$M$5*$J$7</f>
        <v>34.522555811105704</v>
      </c>
      <c r="U18" s="6">
        <f>$J$3+[15]FormattedData!N30*$J$4+$M$4*$J$5+[15]FormattedData!N30^2*$J$6+$M$5*$J$7</f>
        <v>39.703180443416429</v>
      </c>
      <c r="V18" s="6">
        <f>$J$3+[15]FormattedData!O30*$J$4+$M$4*$J$5+[15]FormattedData!O30^2*$J$6+$M$5*$J$7</f>
        <v>34.617890236762754</v>
      </c>
      <c r="W18" s="5">
        <f t="shared" si="0"/>
        <v>37.563222995587559</v>
      </c>
      <c r="X18" s="4">
        <f t="shared" si="1"/>
        <v>1.0279081280582198</v>
      </c>
      <c r="Y18" s="3">
        <f t="shared" si="2"/>
        <v>33.854031312444178</v>
      </c>
      <c r="Z18" s="2">
        <f t="shared" si="3"/>
        <v>34.903576499699469</v>
      </c>
      <c r="AA18" s="3">
        <f t="shared" si="4"/>
        <v>35.853370199083884</v>
      </c>
      <c r="AB18" s="2">
        <f t="shared" si="5"/>
        <v>39.749674704317371</v>
      </c>
      <c r="AC18" s="2">
        <f t="shared" si="6"/>
        <v>45.480238321300497</v>
      </c>
      <c r="AD18" s="2">
        <f t="shared" si="7"/>
        <v>1.0327184069748485</v>
      </c>
      <c r="AE18" s="2">
        <f t="shared" si="8"/>
        <v>0.47330869986872326</v>
      </c>
    </row>
    <row r="19" spans="2:31" x14ac:dyDescent="0.2">
      <c r="B19" s="1">
        <f>[15]FormattedData!A32</f>
        <v>202</v>
      </c>
      <c r="C19" s="1" t="str">
        <f>VLOOKUP($B19,[15]TrtCodes!$B$11:I75,2)</f>
        <v>NTH</v>
      </c>
      <c r="D19" s="1">
        <f>VLOOKUP($B19,[15]TrtCodes!$B$11:J75,3)</f>
        <v>9</v>
      </c>
      <c r="E19" s="1">
        <f>VLOOKUP($B19,[15]TrtCodes!$B$11:K75,4)</f>
        <v>2</v>
      </c>
      <c r="F19" s="1">
        <f>VLOOKUP($B19,[15]TrtCodes!$B$11:L75,5)</f>
        <v>2</v>
      </c>
      <c r="G19" s="1">
        <f>VLOOKUP($B19,[15]TrtCodes!$B$11:M75,6)</f>
        <v>2</v>
      </c>
      <c r="H19" s="1">
        <f>VLOOKUP($B19,[15]TrtCodes!$B$11:N75,7)</f>
        <v>1</v>
      </c>
      <c r="I19" s="1">
        <f>[15]FormattedData!B32</f>
        <v>1</v>
      </c>
      <c r="J19" s="4">
        <f>[15]FormattedData!C32</f>
        <v>13.234999999999999</v>
      </c>
      <c r="K19" s="6">
        <f>$J$3+[15]FormattedData!D32*$J$4+$M$4*$J$5+[15]FormattedData!D32^2*$J$6+$M$5*$J$7</f>
        <v>56.445999424982759</v>
      </c>
      <c r="L19" s="6">
        <f>$J$3+[15]FormattedData!E32*$J$4+$M$4*$J$5+[15]FormattedData!E32^2*$J$6+$M$5*$J$7</f>
        <v>38.770759113121713</v>
      </c>
      <c r="M19" s="6">
        <f>$J$3+[15]FormattedData!F32*$J$4+$M$4*$J$5+[15]FormattedData!F32^2*$J$6+$M$5*$J$7</f>
        <v>45.299418039324323</v>
      </c>
      <c r="N19" s="6">
        <f>$J$3+[15]FormattedData!G32*$J$4+$M$4*$J$5+[15]FormattedData!G32^2*$J$6+$M$5*$J$7</f>
        <v>44.119965024030932</v>
      </c>
      <c r="O19" s="6">
        <f>$J$3+[15]FormattedData!H32*$J$4+$M$4*$J$5+[15]FormattedData!H32^2*$J$6+$M$5*$J$7</f>
        <v>48.439362893252081</v>
      </c>
      <c r="P19" s="6">
        <f>$J$3+[15]FormattedData!I32*$J$4+$M$4*$J$5+[15]FormattedData!I32^2*$J$6+$M$5*$J$7</f>
        <v>41.555342542626526</v>
      </c>
      <c r="Q19" s="6">
        <f>$J$3+[15]FormattedData!J32*$J$4+$M$4*$J$5+[15]FormattedData!J32^2*$J$6+$M$5*$J$7</f>
        <v>45.480238321300497</v>
      </c>
      <c r="R19" s="6">
        <f>$J$3+[15]FormattedData!K32*$J$4+$M$4*$J$5+[15]FormattedData!K32^2*$J$6+$M$5*$J$7</f>
        <v>50.738374405590449</v>
      </c>
      <c r="S19" s="6">
        <f>$J$3+[15]FormattedData!L32*$J$4+$M$4*$J$5+[15]FormattedData!L32^2*$J$6+$M$5*$J$7</f>
        <v>53.442159263193268</v>
      </c>
      <c r="T19" s="6">
        <f>$J$3+[15]FormattedData!M32*$J$4+$M$4*$J$5+[15]FormattedData!M32^2*$J$6+$M$5*$J$7</f>
        <v>55.421944427746567</v>
      </c>
      <c r="U19" s="6">
        <f>$J$3+[15]FormattedData!N32*$J$4+$M$4*$J$5+[15]FormattedData!N32^2*$J$6+$M$5*$J$7</f>
        <v>37.175942222165496</v>
      </c>
      <c r="V19" s="6">
        <f>$J$3+[15]FormattedData!O32*$J$4+$M$4*$J$5+[15]FormattedData!O32^2*$J$6+$M$5*$J$7</f>
        <v>45.751151730230269</v>
      </c>
      <c r="W19" s="5">
        <f t="shared" si="0"/>
        <v>46.886721450630404</v>
      </c>
      <c r="X19" s="4">
        <f t="shared" si="1"/>
        <v>1.79748010290421</v>
      </c>
      <c r="Y19" s="3">
        <f t="shared" si="2"/>
        <v>37.175942222165496</v>
      </c>
      <c r="Z19" s="2">
        <f t="shared" si="3"/>
        <v>43.478809403679833</v>
      </c>
      <c r="AA19" s="3">
        <f t="shared" si="4"/>
        <v>45.615695025765383</v>
      </c>
      <c r="AB19" s="2">
        <f t="shared" si="5"/>
        <v>51.414320619991152</v>
      </c>
      <c r="AC19" s="2">
        <f t="shared" si="6"/>
        <v>56.445999424982759</v>
      </c>
      <c r="AD19" s="2">
        <f t="shared" si="7"/>
        <v>9.3377093825003504E-2</v>
      </c>
      <c r="AE19" s="2">
        <f t="shared" si="8"/>
        <v>-0.90536609367254428</v>
      </c>
    </row>
    <row r="20" spans="2:31" x14ac:dyDescent="0.2">
      <c r="B20" s="1">
        <f>[15]FormattedData!A34</f>
        <v>203</v>
      </c>
      <c r="C20" s="1" t="str">
        <f>VLOOKUP($B20,[15]TrtCodes!$B$11:I77,2)</f>
        <v>FTH</v>
      </c>
      <c r="D20" s="1">
        <f>VLOOKUP($B20,[15]TrtCodes!$B$11:J77,3)</f>
        <v>3</v>
      </c>
      <c r="E20" s="1">
        <f>VLOOKUP($B20,[15]TrtCodes!$B$11:K77,4)</f>
        <v>1</v>
      </c>
      <c r="F20" s="1">
        <f>VLOOKUP($B20,[15]TrtCodes!$B$11:L77,5)</f>
        <v>2</v>
      </c>
      <c r="G20" s="1">
        <f>VLOOKUP($B20,[15]TrtCodes!$B$11:M77,6)</f>
        <v>2</v>
      </c>
      <c r="H20" s="1">
        <f>VLOOKUP($B20,[15]TrtCodes!$B$11:N77,7)</f>
        <v>1</v>
      </c>
      <c r="I20" s="1">
        <f>[15]FormattedData!B34</f>
        <v>1</v>
      </c>
      <c r="J20" s="4">
        <f>[15]FormattedData!C34</f>
        <v>13.253</v>
      </c>
      <c r="K20" s="6">
        <f>$J$3+[15]FormattedData!D34*$J$4+$M$4*$J$5+[15]FormattedData!D34^2*$J$6+$M$5*$J$7</f>
        <v>54.477880376898447</v>
      </c>
      <c r="L20" s="6">
        <f>$J$3+[15]FormattedData!E34*$J$4+$M$4*$J$5+[15]FormattedData!E34^2*$J$6+$M$5*$J$7</f>
        <v>37.834110929033884</v>
      </c>
      <c r="M20" s="6">
        <f>$J$3+[15]FormattedData!F34*$J$4+$M$4*$J$5+[15]FormattedData!F34^2*$J$6+$M$5*$J$7</f>
        <v>54.391802761048297</v>
      </c>
      <c r="N20" s="6">
        <f>$J$3+[15]FormattedData!G34*$J$4+$M$4*$J$5+[15]FormattedData!G34^2*$J$6+$M$5*$J$7</f>
        <v>35.473997983469431</v>
      </c>
      <c r="O20" s="6">
        <f>$J$3+[15]FormattedData!H34*$J$4+$M$4*$J$5+[15]FormattedData!H34^2*$J$6+$M$5*$J$7</f>
        <v>48.350368748284694</v>
      </c>
      <c r="P20" s="6">
        <f>$J$3+[15]FormattedData!I34*$J$4+$M$4*$J$5+[15]FormattedData!I34^2*$J$6+$M$5*$J$7</f>
        <v>43.846769114052876</v>
      </c>
      <c r="Q20" s="6">
        <f>$J$3+[15]FormattedData!J34*$J$4+$M$4*$J$5+[15]FormattedData!J34^2*$J$6+$M$5*$J$7</f>
        <v>38.396607061941751</v>
      </c>
      <c r="R20" s="6">
        <f>$J$3+[15]FormattedData!K34*$J$4+$M$4*$J$5+[15]FormattedData!K34^2*$J$6+$M$5*$J$7</f>
        <v>54.391802761048297</v>
      </c>
      <c r="S20" s="6">
        <f>$J$3+[15]FormattedData!L34*$J$4+$M$4*$J$5+[15]FormattedData!L34^2*$J$6+$M$5*$J$7</f>
        <v>47.636893921180032</v>
      </c>
      <c r="T20" s="6">
        <f>$J$3+[15]FormattedData!M34*$J$4+$M$4*$J$5+[15]FormattedData!M34^2*$J$6+$M$5*$J$7</f>
        <v>42.841796100045975</v>
      </c>
      <c r="U20" s="6">
        <f>$J$3+[15]FormattedData!N34*$J$4+$M$4*$J$5+[15]FormattedData!N34^2*$J$6+$M$5*$J$7</f>
        <v>41.831708592949418</v>
      </c>
      <c r="V20" s="6">
        <f>$J$3+[15]FormattedData!O34*$J$4+$M$4*$J$5+[15]FormattedData!O34^2*$J$6+$M$5*$J$7</f>
        <v>38.490208477543632</v>
      </c>
      <c r="W20" s="5">
        <f t="shared" si="0"/>
        <v>44.830328902291406</v>
      </c>
      <c r="X20" s="4">
        <f t="shared" si="1"/>
        <v>2.000336290126036</v>
      </c>
      <c r="Y20" s="3">
        <f t="shared" si="2"/>
        <v>35.473997983469431</v>
      </c>
      <c r="Z20" s="2">
        <f t="shared" si="3"/>
        <v>38.466808123643162</v>
      </c>
      <c r="AA20" s="3">
        <f t="shared" si="4"/>
        <v>43.344282607049422</v>
      </c>
      <c r="AB20" s="2">
        <f t="shared" si="5"/>
        <v>49.860727251475595</v>
      </c>
      <c r="AC20" s="2">
        <f t="shared" si="6"/>
        <v>54.477880376898447</v>
      </c>
      <c r="AD20" s="2">
        <f t="shared" si="7"/>
        <v>0.32573570854896916</v>
      </c>
      <c r="AE20" s="2">
        <f t="shared" si="8"/>
        <v>-1.362341514295013</v>
      </c>
    </row>
    <row r="21" spans="2:31" x14ac:dyDescent="0.2">
      <c r="B21" s="1">
        <f>[15]FormattedData!A36</f>
        <v>204</v>
      </c>
      <c r="C21" s="1" t="str">
        <f>VLOOKUP($B21,[15]TrtCodes!$B$11:I79,2)</f>
        <v>NDH</v>
      </c>
      <c r="D21" s="1">
        <f>VLOOKUP($B21,[15]TrtCodes!$B$11:J79,3)</f>
        <v>11</v>
      </c>
      <c r="E21" s="1">
        <f>VLOOKUP($B21,[15]TrtCodes!$B$11:K79,4)</f>
        <v>2</v>
      </c>
      <c r="F21" s="1">
        <f>VLOOKUP($B21,[15]TrtCodes!$B$11:L79,5)</f>
        <v>3</v>
      </c>
      <c r="G21" s="1">
        <f>VLOOKUP($B21,[15]TrtCodes!$B$11:M79,6)</f>
        <v>2</v>
      </c>
      <c r="H21" s="1">
        <f>VLOOKUP($B21,[15]TrtCodes!$B$11:N79,7)</f>
        <v>1</v>
      </c>
      <c r="I21" s="1">
        <f>[15]FormattedData!B36</f>
        <v>1</v>
      </c>
      <c r="J21" s="4">
        <f>[15]FormattedData!C36</f>
        <v>13.273</v>
      </c>
      <c r="K21" s="6">
        <f>$J$3+[15]FormattedData!D36*$J$4+$M$4*$J$5+[15]FormattedData!D36^2*$J$6+$M$5*$J$7</f>
        <v>44.574446169902401</v>
      </c>
      <c r="L21" s="6">
        <f>$J$3+[15]FormattedData!E36*$J$4+$M$4*$J$5+[15]FormattedData!E36^2*$J$6+$M$5*$J$7</f>
        <v>31.739470653050816</v>
      </c>
      <c r="M21" s="6">
        <f>$J$3+[15]FormattedData!F36*$J$4+$M$4*$J$5+[15]FormattedData!F36^2*$J$6+$M$5*$J$7</f>
        <v>35.75860639868889</v>
      </c>
      <c r="N21" s="6">
        <f>$J$3+[15]FormattedData!G36*$J$4+$M$4*$J$5+[15]FormattedData!G36^2*$J$6+$M$5*$J$7</f>
        <v>32.895403488632155</v>
      </c>
      <c r="O21" s="6">
        <f>$J$3+[15]FormattedData!H36*$J$4+$M$4*$J$5+[15]FormattedData!H36^2*$J$6+$M$5*$J$7</f>
        <v>36.798915910406215</v>
      </c>
      <c r="P21" s="6">
        <f>$J$3+[15]FormattedData!I36*$J$4+$M$4*$J$5+[15]FormattedData!I36^2*$J$6+$M$5*$J$7</f>
        <v>30.965467279628765</v>
      </c>
      <c r="Q21" s="6">
        <f>$J$3+[15]FormattedData!J36*$J$4+$M$4*$J$5+[15]FormattedData!J36^2*$J$6+$M$5*$J$7</f>
        <v>32.703170701414578</v>
      </c>
      <c r="R21" s="6">
        <f>$J$3+[15]FormattedData!K36*$J$4+$M$4*$J$5+[15]FormattedData!K36^2*$J$6+$M$5*$J$7</f>
        <v>34.617890236762754</v>
      </c>
      <c r="S21" s="6">
        <f>$J$3+[15]FormattedData!L36*$J$4+$M$4*$J$5+[15]FormattedData!L36^2*$J$6+$M$5*$J$7</f>
        <v>31.062365641189277</v>
      </c>
      <c r="T21" s="6">
        <f>$J$3+[15]FormattedData!M36*$J$4+$M$4*$J$5+[15]FormattedData!M36^2*$J$6+$M$5*$J$7</f>
        <v>35.948133999478877</v>
      </c>
      <c r="U21" s="6">
        <f>$J$3+[15]FormattedData!N36*$J$4+$M$4*$J$5+[15]FormattedData!N36^2*$J$6+$M$5*$J$7</f>
        <v>33.854031312444178</v>
      </c>
      <c r="V21" s="6">
        <f>$J$3+[15]FormattedData!O36*$J$4+$M$4*$J$5+[15]FormattedData!O36^2*$J$6+$M$5*$J$7</f>
        <v>33.375245757262306</v>
      </c>
      <c r="W21" s="5">
        <f t="shared" si="0"/>
        <v>34.524428962405104</v>
      </c>
      <c r="X21" s="4">
        <f t="shared" si="1"/>
        <v>1.0655907662736819</v>
      </c>
      <c r="Y21" s="3">
        <f t="shared" si="2"/>
        <v>30.965467279628765</v>
      </c>
      <c r="Z21" s="2">
        <f t="shared" si="3"/>
        <v>32.462245689323638</v>
      </c>
      <c r="AA21" s="3">
        <f t="shared" si="4"/>
        <v>33.614638534853242</v>
      </c>
      <c r="AB21" s="2">
        <f t="shared" si="5"/>
        <v>35.80598829888639</v>
      </c>
      <c r="AC21" s="2">
        <f t="shared" si="6"/>
        <v>44.574446169902401</v>
      </c>
      <c r="AD21" s="2">
        <f t="shared" si="7"/>
        <v>1.9764492629992909</v>
      </c>
      <c r="AE21" s="2">
        <f t="shared" si="8"/>
        <v>4.9792442219922517</v>
      </c>
    </row>
    <row r="22" spans="2:31" x14ac:dyDescent="0.2">
      <c r="B22" s="1">
        <f>[15]FormattedData!A38</f>
        <v>205</v>
      </c>
      <c r="C22" s="1" t="str">
        <f>VLOOKUP($B22,[15]TrtCodes!$B$11:I81,2)</f>
        <v>FSH</v>
      </c>
      <c r="D22" s="1">
        <f>VLOOKUP($B22,[15]TrtCodes!$B$11:J81,3)</f>
        <v>1</v>
      </c>
      <c r="E22" s="1">
        <f>VLOOKUP($B22,[15]TrtCodes!$B$11:K81,4)</f>
        <v>1</v>
      </c>
      <c r="F22" s="1">
        <f>VLOOKUP($B22,[15]TrtCodes!$B$11:L81,5)</f>
        <v>1</v>
      </c>
      <c r="G22" s="1">
        <f>VLOOKUP($B22,[15]TrtCodes!$B$11:M81,6)</f>
        <v>2</v>
      </c>
      <c r="H22" s="1">
        <f>VLOOKUP($B22,[15]TrtCodes!$B$11:N81,7)</f>
        <v>2</v>
      </c>
      <c r="I22" s="1">
        <f>[15]FormattedData!B38</f>
        <v>1</v>
      </c>
      <c r="J22" s="4">
        <f>[15]FormattedData!C38</f>
        <v>13.29</v>
      </c>
      <c r="K22" s="6">
        <f>$J$3+[15]FormattedData!D38*$J$4+$M$4*$J$5+[15]FormattedData!D38^2*$J$6+$M$5*$J$7</f>
        <v>54.047069612268416</v>
      </c>
      <c r="L22" s="6">
        <f>$J$3+[15]FormattedData!E38*$J$4+$M$4*$J$5+[15]FormattedData!E38^2*$J$6+$M$5*$J$7</f>
        <v>44.392780517167601</v>
      </c>
      <c r="M22" s="6">
        <f>$J$3+[15]FormattedData!F38*$J$4+$M$4*$J$5+[15]FormattedData!F38^2*$J$6+$M$5*$J$7</f>
        <v>47.279142062717362</v>
      </c>
      <c r="N22" s="6">
        <f>$J$3+[15]FormattedData!G38*$J$4+$M$4*$J$5+[15]FormattedData!G38^2*$J$6+$M$5*$J$7</f>
        <v>33.375245757262306</v>
      </c>
      <c r="O22" s="6">
        <f>$J$3+[15]FormattedData!H38*$J$4+$M$4*$J$5+[15]FormattedData!H38^2*$J$6+$M$5*$J$7</f>
        <v>50.8262273000337</v>
      </c>
      <c r="P22" s="6">
        <f>$J$3+[15]FormattedData!I38*$J$4+$M$4*$J$5+[15]FormattedData!I38^2*$J$6+$M$5*$J$7</f>
        <v>35.284047697300124</v>
      </c>
      <c r="Q22" s="6">
        <f>$J$3+[15]FormattedData!J38*$J$4+$M$4*$J$5+[15]FormattedData!J38^2*$J$6+$M$5*$J$7</f>
        <v>36.704553661121572</v>
      </c>
      <c r="R22" s="6">
        <f>$J$3+[15]FormattedData!K38*$J$4+$M$4*$J$5+[15]FormattedData!K38^2*$J$6+$M$5*$J$7</f>
        <v>56.870892594302425</v>
      </c>
      <c r="S22" s="6">
        <f>$J$3+[15]FormattedData!L38*$J$4+$M$4*$J$5+[15]FormattedData!L38^2*$J$6+$M$5*$J$7</f>
        <v>50.298475905305224</v>
      </c>
      <c r="T22" s="6">
        <f>$J$3+[15]FormattedData!M38*$J$4+$M$4*$J$5+[15]FormattedData!M38^2*$J$6+$M$5*$J$7</f>
        <v>39.703180443416429</v>
      </c>
      <c r="U22" s="6">
        <f>$J$3+[15]FormattedData!N38*$J$4+$M$4*$J$5+[15]FormattedData!N38^2*$J$6+$M$5*$J$7</f>
        <v>33.662643895985219</v>
      </c>
      <c r="V22" s="6">
        <f>$J$3+[15]FormattedData!O38*$J$4+$M$4*$J$5+[15]FormattedData!O38^2*$J$6+$M$5*$J$7</f>
        <v>34.998805254011707</v>
      </c>
      <c r="W22" s="5">
        <f t="shared" si="0"/>
        <v>43.120255391741011</v>
      </c>
      <c r="X22" s="4">
        <f t="shared" si="1"/>
        <v>2.466308069345867</v>
      </c>
      <c r="Y22" s="3">
        <f t="shared" si="2"/>
        <v>33.375245757262306</v>
      </c>
      <c r="Z22" s="2">
        <f t="shared" si="3"/>
        <v>35.212737086478022</v>
      </c>
      <c r="AA22" s="3">
        <f t="shared" si="4"/>
        <v>42.047980480292011</v>
      </c>
      <c r="AB22" s="2">
        <f t="shared" si="5"/>
        <v>50.430413753987345</v>
      </c>
      <c r="AC22" s="2">
        <f t="shared" si="6"/>
        <v>56.870892594302425</v>
      </c>
      <c r="AD22" s="2">
        <f t="shared" si="7"/>
        <v>0.29980446298983232</v>
      </c>
      <c r="AE22" s="2">
        <f t="shared" si="8"/>
        <v>-1.5649214276108592</v>
      </c>
    </row>
    <row r="23" spans="2:31" x14ac:dyDescent="0.2">
      <c r="B23" s="1">
        <f>[15]FormattedData!A40</f>
        <v>206</v>
      </c>
      <c r="C23" s="1" t="str">
        <f>VLOOKUP($B23,[15]TrtCodes!$B$11:I83,2)</f>
        <v>NSL</v>
      </c>
      <c r="D23" s="1">
        <f>VLOOKUP($B23,[15]TrtCodes!$B$11:J83,3)</f>
        <v>8</v>
      </c>
      <c r="E23" s="1">
        <f>VLOOKUP($B23,[15]TrtCodes!$B$11:K83,4)</f>
        <v>2</v>
      </c>
      <c r="F23" s="1">
        <f>VLOOKUP($B23,[15]TrtCodes!$B$11:L83,5)</f>
        <v>1</v>
      </c>
      <c r="G23" s="1">
        <f>VLOOKUP($B23,[15]TrtCodes!$B$11:M83,6)</f>
        <v>1</v>
      </c>
      <c r="H23" s="1">
        <f>VLOOKUP($B23,[15]TrtCodes!$B$11:N83,7)</f>
        <v>2</v>
      </c>
      <c r="I23" s="1">
        <f>[15]FormattedData!B40</f>
        <v>1</v>
      </c>
      <c r="J23" s="4">
        <f>[15]FormattedData!C40</f>
        <v>13.308</v>
      </c>
      <c r="K23" s="6">
        <f>$J$3+[15]FormattedData!D40*$J$4+$M$4*$J$5+[15]FormattedData!D40^2*$J$6+$M$5*$J$7</f>
        <v>39.98208260601519</v>
      </c>
      <c r="L23" s="6">
        <f>$J$3+[15]FormattedData!E40*$J$4+$M$4*$J$5+[15]FormattedData!E40^2*$J$6+$M$5*$J$7</f>
        <v>36.61014914329899</v>
      </c>
      <c r="M23" s="6">
        <f>$J$3+[15]FormattedData!F40*$J$4+$M$4*$J$5+[15]FormattedData!F40^2*$J$6+$M$5*$J$7</f>
        <v>35.853391333352846</v>
      </c>
      <c r="N23" s="6">
        <f>$J$3+[15]FormattedData!G40*$J$4+$M$4*$J$5+[15]FormattedData!G40^2*$J$6+$M$5*$J$7</f>
        <v>37.175942222165496</v>
      </c>
      <c r="O23" s="6">
        <f>$J$3+[15]FormattedData!H40*$J$4+$M$4*$J$5+[15]FormattedData!H40^2*$J$6+$M$5*$J$7</f>
        <v>35.75860639868889</v>
      </c>
      <c r="P23" s="6">
        <f>$J$3+[15]FormattedData!I40*$J$4+$M$4*$J$5+[15]FormattedData!I40^2*$J$6+$M$5*$J$7</f>
        <v>39.98208260601519</v>
      </c>
      <c r="Q23" s="6">
        <f>$J$3+[15]FormattedData!J40*$J$4+$M$4*$J$5+[15]FormattedData!J40^2*$J$6+$M$5*$J$7</f>
        <v>35.568909723747176</v>
      </c>
      <c r="R23" s="6">
        <f>$J$3+[15]FormattedData!K40*$J$4+$M$4*$J$5+[15]FormattedData!K40^2*$J$6+$M$5*$J$7</f>
        <v>35.093928336979104</v>
      </c>
      <c r="S23" s="6">
        <f>$J$3+[15]FormattedData!L40*$J$4+$M$4*$J$5+[15]FormattedData!L40^2*$J$6+$M$5*$J$7</f>
        <v>36.61014914329899</v>
      </c>
      <c r="T23" s="6">
        <f>$J$3+[15]FormattedData!M40*$J$4+$M$4*$J$5+[15]FormattedData!M40^2*$J$6+$M$5*$J$7</f>
        <v>33.854031312444178</v>
      </c>
      <c r="U23" s="6">
        <f>$J$3+[15]FormattedData!N40*$J$4+$M$4*$J$5+[15]FormattedData!N40^2*$J$6+$M$5*$J$7</f>
        <v>39.703180443416429</v>
      </c>
      <c r="V23" s="6">
        <f>$J$3+[15]FormattedData!O40*$J$4+$M$4*$J$5+[15]FormattedData!O40^2*$J$6+$M$5*$J$7</f>
        <v>34.522555811105704</v>
      </c>
      <c r="W23" s="5">
        <f t="shared" si="0"/>
        <v>36.726250756710684</v>
      </c>
      <c r="X23" s="4">
        <f t="shared" si="1"/>
        <v>0.60989457533634572</v>
      </c>
      <c r="Y23" s="3">
        <f t="shared" si="2"/>
        <v>33.854031312444178</v>
      </c>
      <c r="Z23" s="2">
        <f t="shared" si="3"/>
        <v>35.45016437705516</v>
      </c>
      <c r="AA23" s="3">
        <f t="shared" si="4"/>
        <v>36.231770238325922</v>
      </c>
      <c r="AB23" s="2">
        <f t="shared" si="5"/>
        <v>37.807751777478231</v>
      </c>
      <c r="AC23" s="2">
        <f t="shared" si="6"/>
        <v>39.98208260601519</v>
      </c>
      <c r="AD23" s="2">
        <f t="shared" si="7"/>
        <v>0.62037340890244064</v>
      </c>
      <c r="AE23" s="2">
        <f t="shared" si="8"/>
        <v>-0.82785631180770203</v>
      </c>
    </row>
    <row r="24" spans="2:31" x14ac:dyDescent="0.2">
      <c r="B24" s="1">
        <f>[15]FormattedData!A42</f>
        <v>207</v>
      </c>
      <c r="C24" s="1" t="str">
        <f>VLOOKUP($B24,[15]TrtCodes!$B$11:I85,2)</f>
        <v>FTL</v>
      </c>
      <c r="D24" s="1">
        <f>VLOOKUP($B24,[15]TrtCodes!$B$11:J85,3)</f>
        <v>4</v>
      </c>
      <c r="E24" s="1">
        <f>VLOOKUP($B24,[15]TrtCodes!$B$11:K85,4)</f>
        <v>1</v>
      </c>
      <c r="F24" s="1">
        <f>VLOOKUP($B24,[15]TrtCodes!$B$11:L85,5)</f>
        <v>2</v>
      </c>
      <c r="G24" s="1">
        <f>VLOOKUP($B24,[15]TrtCodes!$B$11:M85,6)</f>
        <v>1</v>
      </c>
      <c r="H24" s="1">
        <f>VLOOKUP($B24,[15]TrtCodes!$B$11:N85,7)</f>
        <v>2</v>
      </c>
      <c r="I24" s="1">
        <f>[15]FormattedData!B42</f>
        <v>1</v>
      </c>
      <c r="J24" s="4">
        <f>[15]FormattedData!C42</f>
        <v>13.326000000000001</v>
      </c>
      <c r="K24" s="6">
        <f>$J$3+[15]FormattedData!D42*$J$4+$M$4*$J$5+[15]FormattedData!D42^2*$J$6+$M$5*$J$7</f>
        <v>51.964468490844233</v>
      </c>
      <c r="L24" s="6">
        <f>$J$3+[15]FormattedData!E42*$J$4+$M$4*$J$5+[15]FormattedData!E42^2*$J$6+$M$5*$J$7</f>
        <v>40.816506592763183</v>
      </c>
      <c r="M24" s="6">
        <f>$J$3+[15]FormattedData!F42*$J$4+$M$4*$J$5+[15]FormattedData!F42^2*$J$6+$M$5*$J$7</f>
        <v>42.475083311541901</v>
      </c>
      <c r="N24" s="6">
        <f>$J$3+[15]FormattedData!G42*$J$4+$M$4*$J$5+[15]FormattedData!G42^2*$J$6+$M$5*$J$7</f>
        <v>44.210945790281087</v>
      </c>
      <c r="O24" s="6">
        <f>$J$3+[15]FormattedData!H42*$J$4+$M$4*$J$5+[15]FormattedData!H42^2*$J$6+$M$5*$J$7</f>
        <v>39.610128518807649</v>
      </c>
      <c r="P24" s="6">
        <f>$J$3+[15]FormattedData!I42*$J$4+$M$4*$J$5+[15]FormattedData!I42^2*$J$6+$M$5*$J$7</f>
        <v>43.664427164711185</v>
      </c>
      <c r="Q24" s="6">
        <f>$J$3+[15]FormattedData!J42*$J$4+$M$4*$J$5+[15]FormattedData!J42^2*$J$6+$M$5*$J$7</f>
        <v>31.64286817125582</v>
      </c>
      <c r="R24" s="6">
        <f>$J$3+[15]FormattedData!K42*$J$4+$M$4*$J$5+[15]FormattedData!K42^2*$J$6+$M$5*$J$7</f>
        <v>41.739628844713046</v>
      </c>
      <c r="S24" s="6">
        <f>$J$3+[15]FormattedData!L42*$J$4+$M$4*$J$5+[15]FormattedData!L42^2*$J$6+$M$5*$J$7</f>
        <v>33.183435655424034</v>
      </c>
      <c r="T24" s="6">
        <f>$J$3+[15]FormattedData!M42*$J$4+$M$4*$J$5+[15]FormattedData!M42^2*$J$6+$M$5*$J$7</f>
        <v>48.528314769681543</v>
      </c>
      <c r="U24" s="6">
        <f>$J$3+[15]FormattedData!N42*$J$4+$M$4*$J$5+[15]FormattedData!N42^2*$J$6+$M$5*$J$7</f>
        <v>31.256035558696517</v>
      </c>
      <c r="V24" s="6">
        <f>$J$3+[15]FormattedData!O42*$J$4+$M$4*$J$5+[15]FormattedData!O42^2*$J$6+$M$5*$J$7</f>
        <v>43.937876685916827</v>
      </c>
      <c r="W24" s="5">
        <f t="shared" si="0"/>
        <v>41.085809962886422</v>
      </c>
      <c r="X24" s="4">
        <f t="shared" si="1"/>
        <v>1.8486993138146051</v>
      </c>
      <c r="Y24" s="3">
        <f t="shared" si="2"/>
        <v>31.256035558696517</v>
      </c>
      <c r="Z24" s="2">
        <f t="shared" si="3"/>
        <v>38.003455302961747</v>
      </c>
      <c r="AA24" s="3">
        <f t="shared" si="4"/>
        <v>42.107356078127474</v>
      </c>
      <c r="AB24" s="2">
        <f t="shared" si="5"/>
        <v>44.00614396200789</v>
      </c>
      <c r="AC24" s="2">
        <f t="shared" si="6"/>
        <v>51.964468490844233</v>
      </c>
      <c r="AD24" s="2">
        <f t="shared" si="7"/>
        <v>-0.2139155852953237</v>
      </c>
      <c r="AE24" s="2">
        <f t="shared" si="8"/>
        <v>-0.4288459025278395</v>
      </c>
    </row>
    <row r="25" spans="2:31" x14ac:dyDescent="0.2">
      <c r="B25" s="1">
        <f>[15]FormattedData!A44</f>
        <v>208</v>
      </c>
      <c r="C25" s="1" t="str">
        <f>VLOOKUP($B25,[15]TrtCodes!$B$11:I87,2)</f>
        <v>FSL</v>
      </c>
      <c r="D25" s="1">
        <f>VLOOKUP($B25,[15]TrtCodes!$B$11:J87,3)</f>
        <v>2</v>
      </c>
      <c r="E25" s="1">
        <f>VLOOKUP($B25,[15]TrtCodes!$B$11:K87,4)</f>
        <v>1</v>
      </c>
      <c r="F25" s="1">
        <f>VLOOKUP($B25,[15]TrtCodes!$B$11:L87,5)</f>
        <v>1</v>
      </c>
      <c r="G25" s="1">
        <f>VLOOKUP($B25,[15]TrtCodes!$B$11:M87,6)</f>
        <v>1</v>
      </c>
      <c r="H25" s="1">
        <f>VLOOKUP($B25,[15]TrtCodes!$B$11:N87,7)</f>
        <v>2</v>
      </c>
      <c r="I25" s="1">
        <f>[15]FormattedData!B44</f>
        <v>1</v>
      </c>
      <c r="J25" s="4">
        <f>[15]FormattedData!C44</f>
        <v>13.343</v>
      </c>
      <c r="K25" s="6">
        <f>$J$3+[15]FormattedData!D44*$J$4+$M$4*$J$5+[15]FormattedData!D44^2*$J$6+$M$5*$J$7</f>
        <v>53.095566298744409</v>
      </c>
      <c r="L25" s="6">
        <f>$J$3+[15]FormattedData!E44*$J$4+$M$4*$J$5+[15]FormattedData!E44^2*$J$6+$M$5*$J$7</f>
        <v>51.089532372135871</v>
      </c>
      <c r="M25" s="6">
        <f>$J$3+[15]FormattedData!F44*$J$4+$M$4*$J$5+[15]FormattedData!F44^2*$J$6+$M$5*$J$7</f>
        <v>36.704553661121572</v>
      </c>
      <c r="N25" s="6">
        <f>$J$3+[15]FormattedData!G44*$J$4+$M$4*$J$5+[15]FormattedData!G44^2*$J$6+$M$5*$J$7</f>
        <v>45.480238321300497</v>
      </c>
      <c r="O25" s="6">
        <f>$J$3+[15]FormattedData!H44*$J$4+$M$4*$J$5+[15]FormattedData!H44^2*$J$6+$M$5*$J$7</f>
        <v>33.662643895985219</v>
      </c>
      <c r="P25" s="6">
        <f>$J$3+[15]FormattedData!I44*$J$4+$M$4*$J$5+[15]FormattedData!I44^2*$J$6+$M$5*$J$7</f>
        <v>56.955744422552563</v>
      </c>
      <c r="Q25" s="6">
        <f>$J$3+[15]FormattedData!J44*$J$4+$M$4*$J$5+[15]FormattedData!J44^2*$J$6+$M$5*$J$7</f>
        <v>48.883699590020079</v>
      </c>
      <c r="R25" s="6">
        <f>$J$3+[15]FormattedData!K44*$J$4+$M$4*$J$5+[15]FormattedData!K44^2*$J$6+$M$5*$J$7</f>
        <v>48.083132702154927</v>
      </c>
      <c r="S25" s="6">
        <f>$J$3+[15]FormattedData!L44*$J$4+$M$4*$J$5+[15]FormattedData!L44^2*$J$6+$M$5*$J$7</f>
        <v>36.61014914329899</v>
      </c>
      <c r="T25" s="6">
        <f>$J$3+[15]FormattedData!M44*$J$4+$M$4*$J$5+[15]FormattedData!M44^2*$J$6+$M$5*$J$7</f>
        <v>50.8262273000337</v>
      </c>
      <c r="U25" s="6">
        <f>$J$3+[15]FormattedData!N44*$J$4+$M$4*$J$5+[15]FormattedData!N44^2*$J$6+$M$5*$J$7</f>
        <v>53.701660166881624</v>
      </c>
      <c r="V25" s="6">
        <f>$J$3+[15]FormattedData!O44*$J$4+$M$4*$J$5+[15]FormattedData!O44^2*$J$6+$M$5*$J$7</f>
        <v>39.423897863976293</v>
      </c>
      <c r="W25" s="5">
        <f t="shared" si="0"/>
        <v>46.209753811517146</v>
      </c>
      <c r="X25" s="4">
        <f t="shared" si="1"/>
        <v>2.2382931641963126</v>
      </c>
      <c r="Y25" s="3">
        <f t="shared" si="2"/>
        <v>33.662643895985219</v>
      </c>
      <c r="Z25" s="2">
        <f t="shared" si="3"/>
        <v>38.744061813262611</v>
      </c>
      <c r="AA25" s="3">
        <f t="shared" si="4"/>
        <v>48.483416146087507</v>
      </c>
      <c r="AB25" s="2">
        <f t="shared" si="5"/>
        <v>51.591040853788002</v>
      </c>
      <c r="AC25" s="2">
        <f t="shared" si="6"/>
        <v>56.955744422552563</v>
      </c>
      <c r="AD25" s="2">
        <f t="shared" si="7"/>
        <v>-0.42203981848206734</v>
      </c>
      <c r="AE25" s="2">
        <f t="shared" si="8"/>
        <v>-1.2702338421507111</v>
      </c>
    </row>
    <row r="26" spans="2:31" x14ac:dyDescent="0.2">
      <c r="B26" s="1">
        <f>[15]FormattedData!A62</f>
        <v>301</v>
      </c>
      <c r="C26" s="1" t="str">
        <f>VLOOKUP($B26,[15]TrtCodes!$B$11:I105,2)</f>
        <v>NTL</v>
      </c>
      <c r="D26" s="1">
        <f>VLOOKUP($B26,[15]TrtCodes!$B$11:J105,3)</f>
        <v>10</v>
      </c>
      <c r="E26" s="1">
        <f>VLOOKUP($B26,[15]TrtCodes!$B$11:K105,4)</f>
        <v>2</v>
      </c>
      <c r="F26" s="1">
        <f>VLOOKUP($B26,[15]TrtCodes!$B$11:L105,5)</f>
        <v>2</v>
      </c>
      <c r="G26" s="1">
        <f>VLOOKUP($B26,[15]TrtCodes!$B$11:M105,6)</f>
        <v>1</v>
      </c>
      <c r="H26" s="1">
        <f>VLOOKUP($B26,[15]TrtCodes!$B$11:N105,7)</f>
        <v>3</v>
      </c>
      <c r="I26" s="1">
        <f>[15]FormattedData!B62</f>
        <v>1</v>
      </c>
      <c r="J26" s="4">
        <f>[15]FormattedData!C62</f>
        <v>13.484999999999999</v>
      </c>
      <c r="K26" s="6">
        <f>$J$3+[15]FormattedData!D62*$J$4+$M$4*$J$5+[15]FormattedData!D62^2*$J$6+$M$5*$J$7</f>
        <v>46.381803618905479</v>
      </c>
      <c r="L26" s="6">
        <f>$J$3+[15]FormattedData!E62*$J$4+$M$4*$J$5+[15]FormattedData!E62^2*$J$6+$M$5*$J$7</f>
        <v>38.864191454571873</v>
      </c>
      <c r="M26" s="6">
        <f>$J$3+[15]FormattedData!F62*$J$4+$M$4*$J$5+[15]FormattedData!F62^2*$J$6+$M$5*$J$7</f>
        <v>46.021684722318668</v>
      </c>
      <c r="N26" s="6">
        <f>$J$3+[15]FormattedData!G62*$J$4+$M$4*$J$5+[15]FormattedData!G62^2*$J$6+$M$5*$J$7</f>
        <v>37.458268136336677</v>
      </c>
      <c r="O26" s="6">
        <f>$J$3+[15]FormattedData!H62*$J$4+$M$4*$J$5+[15]FormattedData!H62^2*$J$6+$M$5*$J$7</f>
        <v>47.189598426756859</v>
      </c>
      <c r="P26" s="6">
        <f>$J$3+[15]FormattedData!I62*$J$4+$M$4*$J$5+[15]FormattedData!I62^2*$J$6+$M$5*$J$7</f>
        <v>38.396607061941751</v>
      </c>
      <c r="Q26" s="6">
        <f>$J$3+[15]FormattedData!J62*$J$4+$M$4*$J$5+[15]FormattedData!J62^2*$J$6+$M$5*$J$7</f>
        <v>31.546223420922889</v>
      </c>
      <c r="R26" s="6">
        <f>$J$3+[15]FormattedData!K62*$J$4+$M$4*$J$5+[15]FormattedData!K62^2*$J$6+$M$5*$J$7</f>
        <v>38.770759113121713</v>
      </c>
      <c r="S26" s="6">
        <f>$J$3+[15]FormattedData!L62*$J$4+$M$4*$J$5+[15]FormattedData!L62^2*$J$6+$M$5*$J$7</f>
        <v>35.473997983469431</v>
      </c>
      <c r="T26" s="6">
        <f>$J$3+[15]FormattedData!M62*$J$4+$M$4*$J$5+[15]FormattedData!M62^2*$J$6+$M$5*$J$7</f>
        <v>45.751151730230269</v>
      </c>
      <c r="U26" s="6">
        <f>$J$3+[15]FormattedData!N62*$J$4+$M$4*$J$5+[15]FormattedData!N62^2*$J$6+$M$5*$J$7</f>
        <v>32.31819790452424</v>
      </c>
      <c r="V26" s="6">
        <f>$J$3+[15]FormattedData!O62*$J$4+$M$4*$J$5+[15]FormattedData!O62^2*$J$6+$M$5*$J$7</f>
        <v>38.209277425124192</v>
      </c>
      <c r="W26" s="5">
        <f t="shared" si="0"/>
        <v>39.698480083185338</v>
      </c>
      <c r="X26" s="4">
        <f t="shared" si="1"/>
        <v>1.5731250803489987</v>
      </c>
      <c r="Y26" s="3">
        <f t="shared" si="2"/>
        <v>31.546223420922889</v>
      </c>
      <c r="Z26" s="2">
        <f t="shared" si="3"/>
        <v>36.962200598119864</v>
      </c>
      <c r="AA26" s="3">
        <f t="shared" si="4"/>
        <v>38.583683087531732</v>
      </c>
      <c r="AB26" s="2">
        <f t="shared" si="5"/>
        <v>45.818784978252367</v>
      </c>
      <c r="AC26" s="2">
        <f t="shared" si="6"/>
        <v>47.189598426756859</v>
      </c>
      <c r="AD26" s="2">
        <f t="shared" si="7"/>
        <v>0.10526195789105992</v>
      </c>
      <c r="AE26" s="2">
        <f t="shared" si="8"/>
        <v>-1.2063928011926914</v>
      </c>
    </row>
    <row r="27" spans="2:31" x14ac:dyDescent="0.2">
      <c r="B27" s="1">
        <f>[15]FormattedData!A64</f>
        <v>302</v>
      </c>
      <c r="C27" s="1" t="str">
        <f>VLOOKUP($B27,[15]TrtCodes!$B$11:I107,2)</f>
        <v>FTL</v>
      </c>
      <c r="D27" s="1">
        <f>VLOOKUP($B27,[15]TrtCodes!$B$11:J107,3)</f>
        <v>4</v>
      </c>
      <c r="E27" s="1">
        <f>VLOOKUP($B27,[15]TrtCodes!$B$11:K107,4)</f>
        <v>1</v>
      </c>
      <c r="F27" s="1">
        <f>VLOOKUP($B27,[15]TrtCodes!$B$11:L107,5)</f>
        <v>2</v>
      </c>
      <c r="G27" s="1">
        <f>VLOOKUP($B27,[15]TrtCodes!$B$11:M107,6)</f>
        <v>1</v>
      </c>
      <c r="H27" s="1">
        <f>VLOOKUP($B27,[15]TrtCodes!$B$11:N107,7)</f>
        <v>3</v>
      </c>
      <c r="I27" s="1">
        <f>[15]FormattedData!B64</f>
        <v>1</v>
      </c>
      <c r="J27" s="4">
        <f>[15]FormattedData!C64</f>
        <v>13.502000000000001</v>
      </c>
      <c r="K27" s="6">
        <f>$J$3+[15]FormattedData!D64*$J$4+$M$4*$J$5+[15]FormattedData!D64^2*$J$6+$M$5*$J$7</f>
        <v>49.238408113751717</v>
      </c>
      <c r="L27" s="6">
        <f>$J$3+[15]FormattedData!E64*$J$4+$M$4*$J$5+[15]FormattedData!E64^2*$J$6+$M$5*$J$7</f>
        <v>39.703180443416429</v>
      </c>
      <c r="M27" s="6">
        <f>$J$3+[15]FormattedData!F64*$J$4+$M$4*$J$5+[15]FormattedData!F64^2*$J$6+$M$5*$J$7</f>
        <v>43.116386871775759</v>
      </c>
      <c r="N27" s="6">
        <f>$J$3+[15]FormattedData!G64*$J$4+$M$4*$J$5+[15]FormattedData!G64^2*$J$6+$M$5*$J$7</f>
        <v>45.931549326827131</v>
      </c>
      <c r="O27" s="6">
        <f>$J$3+[15]FormattedData!H64*$J$4+$M$4*$J$5+[15]FormattedData!H64^2*$J$6+$M$5*$J$7</f>
        <v>41.647506827938749</v>
      </c>
      <c r="P27" s="6">
        <f>$J$3+[15]FormattedData!I64*$J$4+$M$4*$J$5+[15]FormattedData!I64^2*$J$6+$M$5*$J$7</f>
        <v>45.027870602325585</v>
      </c>
      <c r="Q27" s="6">
        <f>$J$3+[15]FormattedData!J64*$J$4+$M$4*$J$5+[15]FormattedData!J64^2*$J$6+$M$5*$J$7</f>
        <v>43.937876685916827</v>
      </c>
      <c r="R27" s="6">
        <f>$J$3+[15]FormattedData!K64*$J$4+$M$4*$J$5+[15]FormattedData!K64^2*$J$6+$M$5*$J$7</f>
        <v>40.353360396615834</v>
      </c>
      <c r="S27" s="6">
        <f>$J$3+[15]FormattedData!L64*$J$4+$M$4*$J$5+[15]FormattedData!L64^2*$J$6+$M$5*$J$7</f>
        <v>51.264857744180993</v>
      </c>
      <c r="T27" s="6">
        <f>$J$3+[15]FormattedData!M64*$J$4+$M$4*$J$5+[15]FormattedData!M64^2*$J$6+$M$5*$J$7</f>
        <v>38.864191454571873</v>
      </c>
      <c r="U27" s="6">
        <f>$J$3+[15]FormattedData!N64*$J$4+$M$4*$J$5+[15]FormattedData!N64^2*$J$6+$M$5*$J$7</f>
        <v>51.615001265816069</v>
      </c>
      <c r="V27" s="6">
        <f>$J$3+[15]FormattedData!O64*$J$4+$M$4*$J$5+[15]FormattedData!O64^2*$J$6+$M$5*$J$7</f>
        <v>36.042834397066969</v>
      </c>
      <c r="W27" s="5">
        <f t="shared" si="0"/>
        <v>43.895252010850328</v>
      </c>
      <c r="X27" s="4">
        <f t="shared" si="1"/>
        <v>1.4318761931937682</v>
      </c>
      <c r="Y27" s="3">
        <f t="shared" si="2"/>
        <v>36.042834397066969</v>
      </c>
      <c r="Z27" s="2">
        <f t="shared" si="3"/>
        <v>40.190815408315984</v>
      </c>
      <c r="AA27" s="3">
        <f t="shared" si="4"/>
        <v>43.527131778846297</v>
      </c>
      <c r="AB27" s="2">
        <f t="shared" si="5"/>
        <v>46.758264023558276</v>
      </c>
      <c r="AC27" s="2">
        <f t="shared" si="6"/>
        <v>51.615001265816069</v>
      </c>
      <c r="AD27" s="2">
        <f t="shared" si="7"/>
        <v>0.25144925056242529</v>
      </c>
      <c r="AE27" s="2">
        <f t="shared" si="8"/>
        <v>-0.83925368708961834</v>
      </c>
    </row>
    <row r="28" spans="2:31" x14ac:dyDescent="0.2">
      <c r="B28" s="1">
        <f>[15]FormattedData!A66</f>
        <v>303</v>
      </c>
      <c r="C28" s="1" t="str">
        <f>VLOOKUP($B28,[15]TrtCodes!$B$11:I109,2)</f>
        <v>NSL</v>
      </c>
      <c r="D28" s="1">
        <f>VLOOKUP($B28,[15]TrtCodes!$B$11:J109,3)</f>
        <v>8</v>
      </c>
      <c r="E28" s="1">
        <f>VLOOKUP($B28,[15]TrtCodes!$B$11:K109,4)</f>
        <v>2</v>
      </c>
      <c r="F28" s="1">
        <f>VLOOKUP($B28,[15]TrtCodes!$B$11:L109,5)</f>
        <v>1</v>
      </c>
      <c r="G28" s="1">
        <f>VLOOKUP($B28,[15]TrtCodes!$B$11:M109,6)</f>
        <v>1</v>
      </c>
      <c r="H28" s="1">
        <f>VLOOKUP($B28,[15]TrtCodes!$B$11:N109,7)</f>
        <v>3</v>
      </c>
      <c r="I28" s="1">
        <f>[15]FormattedData!B66</f>
        <v>1</v>
      </c>
      <c r="J28" s="4">
        <f>[15]FormattedData!C66</f>
        <v>13.519</v>
      </c>
      <c r="K28" s="6">
        <f>$J$3+[15]FormattedData!D66*$J$4+$M$4*$J$5+[15]FormattedData!D66^2*$J$6+$M$5*$J$7</f>
        <v>37.834110929033884</v>
      </c>
      <c r="L28" s="6">
        <f>$J$3+[15]FormattedData!E66*$J$4+$M$4*$J$5+[15]FormattedData!E66^2*$J$6+$M$5*$J$7</f>
        <v>37.552292237317872</v>
      </c>
      <c r="M28" s="6">
        <f>$J$3+[15]FormattedData!F66*$J$4+$M$4*$J$5+[15]FormattedData!F66^2*$J$6+$M$5*$J$7</f>
        <v>34.998805254011707</v>
      </c>
      <c r="N28" s="6">
        <f>$J$3+[15]FormattedData!G66*$J$4+$M$4*$J$5+[15]FormattedData!G66^2*$J$6+$M$5*$J$7</f>
        <v>35.948133999478877</v>
      </c>
      <c r="O28" s="6">
        <f>$J$3+[15]FormattedData!H66*$J$4+$M$4*$J$5+[15]FormattedData!H66^2*$J$6+$M$5*$J$7</f>
        <v>33.854031312444178</v>
      </c>
      <c r="P28" s="6">
        <f>$J$3+[15]FormattedData!I66*$J$4+$M$4*$J$5+[15]FormattedData!I66^2*$J$6+$M$5*$J$7</f>
        <v>38.396607061941751</v>
      </c>
      <c r="Q28" s="6">
        <f>$J$3+[15]FormattedData!J66*$J$4+$M$4*$J$5+[15]FormattedData!J66^2*$J$6+$M$5*$J$7</f>
        <v>30.77154375089394</v>
      </c>
      <c r="R28" s="6">
        <f>$J$3+[15]FormattedData!K66*$J$4+$M$4*$J$5+[15]FormattedData!K66^2*$J$6+$M$5*$J$7</f>
        <v>35.663779195486995</v>
      </c>
      <c r="S28" s="6">
        <f>$J$3+[15]FormattedData!L66*$J$4+$M$4*$J$5+[15]FormattedData!L66^2*$J$6+$M$5*$J$7</f>
        <v>31.159221734211858</v>
      </c>
      <c r="T28" s="6">
        <f>$J$3+[15]FormattedData!M66*$J$4+$M$4*$J$5+[15]FormattedData!M66^2*$J$6+$M$5*$J$7</f>
        <v>37.552292237317872</v>
      </c>
      <c r="U28" s="6">
        <f>$J$3+[15]FormattedData!N66*$J$4+$M$4*$J$5+[15]FormattedData!N66^2*$J$6+$M$5*$J$7</f>
        <v>30.77154375089394</v>
      </c>
      <c r="V28" s="6">
        <f>$J$3+[15]FormattedData!O66*$J$4+$M$4*$J$5+[15]FormattedData!O66^2*$J$6+$M$5*$J$7</f>
        <v>35.284047697300124</v>
      </c>
      <c r="W28" s="5">
        <f t="shared" si="0"/>
        <v>34.982200763361085</v>
      </c>
      <c r="X28" s="4">
        <f t="shared" si="1"/>
        <v>0.80640647746680116</v>
      </c>
      <c r="Y28" s="3">
        <f t="shared" si="2"/>
        <v>30.77154375089394</v>
      </c>
      <c r="Z28" s="2">
        <f t="shared" si="3"/>
        <v>33.180328917886101</v>
      </c>
      <c r="AA28" s="3">
        <f t="shared" si="4"/>
        <v>35.47391344639356</v>
      </c>
      <c r="AB28" s="2">
        <f t="shared" si="5"/>
        <v>37.552292237317872</v>
      </c>
      <c r="AC28" s="2">
        <f t="shared" si="6"/>
        <v>38.396607061941751</v>
      </c>
      <c r="AD28" s="2">
        <f t="shared" si="7"/>
        <v>-0.54256316537390092</v>
      </c>
      <c r="AE28" s="2">
        <f t="shared" si="8"/>
        <v>-1.0980629271440554</v>
      </c>
    </row>
    <row r="29" spans="2:31" x14ac:dyDescent="0.2">
      <c r="B29" s="1">
        <f>[15]FormattedData!A68</f>
        <v>304</v>
      </c>
      <c r="C29" s="1" t="str">
        <f>VLOOKUP($B29,[15]TrtCodes!$B$11:I111,2)</f>
        <v>FSL</v>
      </c>
      <c r="D29" s="1">
        <f>VLOOKUP($B29,[15]TrtCodes!$B$11:J111,3)</f>
        <v>2</v>
      </c>
      <c r="E29" s="1">
        <f>VLOOKUP($B29,[15]TrtCodes!$B$11:K111,4)</f>
        <v>1</v>
      </c>
      <c r="F29" s="1">
        <f>VLOOKUP($B29,[15]TrtCodes!$B$11:L111,5)</f>
        <v>1</v>
      </c>
      <c r="G29" s="1">
        <f>VLOOKUP($B29,[15]TrtCodes!$B$11:M111,6)</f>
        <v>1</v>
      </c>
      <c r="H29" s="1">
        <f>VLOOKUP($B29,[15]TrtCodes!$B$11:N111,7)</f>
        <v>3</v>
      </c>
      <c r="I29" s="1">
        <f>[15]FormattedData!B68</f>
        <v>1</v>
      </c>
      <c r="J29" s="4">
        <f>[15]FormattedData!C68</f>
        <v>13.537000000000001</v>
      </c>
      <c r="K29" s="6">
        <f>$J$3+[15]FormattedData!D68*$J$4+$M$4*$J$5+[15]FormattedData!D68^2*$J$6+$M$5*$J$7</f>
        <v>51.001806283306415</v>
      </c>
      <c r="L29" s="6">
        <f>$J$3+[15]FormattedData!E68*$J$4+$M$4*$J$5+[15]FormattedData!E68^2*$J$6+$M$5*$J$7</f>
        <v>41.278596075462254</v>
      </c>
      <c r="M29" s="6">
        <f>$J$3+[15]FormattedData!F68*$J$4+$M$4*$J$5+[15]FormattedData!F68^2*$J$6+$M$5*$J$7</f>
        <v>41.001469191456607</v>
      </c>
      <c r="N29" s="6">
        <f>$J$3+[15]FormattedData!G68*$J$4+$M$4*$J$5+[15]FormattedData!G68^2*$J$6+$M$5*$J$7</f>
        <v>46.561609455971315</v>
      </c>
      <c r="O29" s="6">
        <f>$J$3+[15]FormattedData!H68*$J$4+$M$4*$J$5+[15]FormattedData!H68^2*$J$6+$M$5*$J$7</f>
        <v>47.636893921180032</v>
      </c>
      <c r="P29" s="6">
        <f>$J$3+[15]FormattedData!I68*$J$4+$M$4*$J$5+[15]FormattedData!I68^2*$J$6+$M$5*$J$7</f>
        <v>47.547519359371258</v>
      </c>
      <c r="Q29" s="6">
        <f>$J$3+[15]FormattedData!J68*$J$4+$M$4*$J$5+[15]FormattedData!J68^2*$J$6+$M$5*$J$7</f>
        <v>42.566824911474811</v>
      </c>
      <c r="R29" s="6">
        <f>$J$3+[15]FormattedData!K68*$J$4+$M$4*$J$5+[15]FormattedData!K68^2*$J$6+$M$5*$J$7</f>
        <v>47.010384349222079</v>
      </c>
      <c r="S29" s="6">
        <f>$J$3+[15]FormattedData!L68*$J$4+$M$4*$J$5+[15]FormattedData!L68^2*$J$6+$M$5*$J$7</f>
        <v>44.846627634970105</v>
      </c>
      <c r="T29" s="6">
        <f>$J$3+[15]FormattedData!M68*$J$4+$M$4*$J$5+[15]FormattedData!M68^2*$J$6+$M$5*$J$7</f>
        <v>43.937876685916827</v>
      </c>
      <c r="U29" s="6">
        <f>$J$3+[15]FormattedData!N68*$J$4+$M$4*$J$5+[15]FormattedData!N68^2*$J$6+$M$5*$J$7</f>
        <v>40.353360396615834</v>
      </c>
      <c r="V29" s="6">
        <f>$J$3+[15]FormattedData!O68*$J$4+$M$4*$J$5+[15]FormattedData!O68^2*$J$6+$M$5*$J$7</f>
        <v>46.831001197535556</v>
      </c>
      <c r="W29" s="5">
        <f t="shared" si="0"/>
        <v>45.04783078854026</v>
      </c>
      <c r="X29" s="4">
        <f t="shared" si="1"/>
        <v>0.94456359101621601</v>
      </c>
      <c r="Y29" s="3">
        <f t="shared" si="2"/>
        <v>40.353360396615834</v>
      </c>
      <c r="Z29" s="2">
        <f t="shared" si="3"/>
        <v>42.24476770247167</v>
      </c>
      <c r="AA29" s="3">
        <f t="shared" si="4"/>
        <v>45.704118545470706</v>
      </c>
      <c r="AB29" s="2">
        <f t="shared" si="5"/>
        <v>47.144668101759372</v>
      </c>
      <c r="AC29" s="2">
        <f t="shared" si="6"/>
        <v>51.001806283306415</v>
      </c>
      <c r="AD29" s="2">
        <f t="shared" si="7"/>
        <v>6.4877988641832446E-2</v>
      </c>
      <c r="AE29" s="2">
        <f t="shared" si="8"/>
        <v>-0.78102068060200036</v>
      </c>
    </row>
    <row r="30" spans="2:31" x14ac:dyDescent="0.2">
      <c r="B30" s="1">
        <f>[15]FormattedData!A70</f>
        <v>305</v>
      </c>
      <c r="C30" s="1" t="str">
        <f>VLOOKUP($B30,[15]TrtCodes!$B$11:I113,2)</f>
        <v>NDH</v>
      </c>
      <c r="D30" s="1">
        <f>VLOOKUP($B30,[15]TrtCodes!$B$11:J113,3)</f>
        <v>11</v>
      </c>
      <c r="E30" s="1">
        <f>VLOOKUP($B30,[15]TrtCodes!$B$11:K113,4)</f>
        <v>2</v>
      </c>
      <c r="F30" s="1">
        <f>VLOOKUP($B30,[15]TrtCodes!$B$11:L113,5)</f>
        <v>3</v>
      </c>
      <c r="G30" s="1">
        <f>VLOOKUP($B30,[15]TrtCodes!$B$11:M113,6)</f>
        <v>2</v>
      </c>
      <c r="H30" s="1">
        <f>VLOOKUP($B30,[15]TrtCodes!$B$11:N113,7)</f>
        <v>4</v>
      </c>
      <c r="I30" s="1">
        <f>[15]FormattedData!B70</f>
        <v>1</v>
      </c>
      <c r="J30" s="4">
        <f>[15]FormattedData!C70</f>
        <v>13.554</v>
      </c>
      <c r="K30" s="6">
        <f>$J$3+[15]FormattedData!D70*$J$4+$M$4*$J$5+[15]FormattedData!D70^2*$J$6+$M$5*$J$7</f>
        <v>39.98208260601519</v>
      </c>
      <c r="L30" s="6">
        <f>$J$3+[15]FormattedData!E70*$J$4+$M$4*$J$5+[15]FormattedData!E70^2*$J$6+$M$5*$J$7</f>
        <v>33.27936184061214</v>
      </c>
      <c r="M30" s="6">
        <f>$J$3+[15]FormattedData!F70*$J$4+$M$4*$J$5+[15]FormattedData!F70^2*$J$6+$M$5*$J$7</f>
        <v>35.284047697300124</v>
      </c>
      <c r="N30" s="6">
        <f>$J$3+[15]FormattedData!G70*$J$4+$M$4*$J$5+[15]FormattedData!G70^2*$J$6+$M$5*$J$7</f>
        <v>36.893235891152941</v>
      </c>
      <c r="O30" s="6">
        <f>$J$3+[15]FormattedData!H70*$J$4+$M$4*$J$5+[15]FormattedData!H70^2*$J$6+$M$5*$J$7</f>
        <v>33.854031312444178</v>
      </c>
      <c r="P30" s="6">
        <f>$J$3+[15]FormattedData!I70*$J$4+$M$4*$J$5+[15]FormattedData!I70^2*$J$6+$M$5*$J$7</f>
        <v>36.98751360336172</v>
      </c>
      <c r="Q30" s="6">
        <f>$J$3+[15]FormattedData!J70*$J$4+$M$4*$J$5+[15]FormattedData!J70^2*$J$6+$M$5*$J$7</f>
        <v>37.081749047032574</v>
      </c>
      <c r="R30" s="6">
        <f>$J$3+[15]FormattedData!K70*$J$4+$M$4*$J$5+[15]FormattedData!K70^2*$J$6+$M$5*$J$7</f>
        <v>34.4271791169107</v>
      </c>
      <c r="S30" s="6">
        <f>$J$3+[15]FormattedData!L70*$J$4+$M$4*$J$5+[15]FormattedData!L70^2*$J$6+$M$5*$J$7</f>
        <v>37.834110929033884</v>
      </c>
      <c r="T30" s="6">
        <f>$J$3+[15]FormattedData!M70*$J$4+$M$4*$J$5+[15]FormattedData!M70^2*$J$6+$M$5*$J$7</f>
        <v>31.739470653050816</v>
      </c>
      <c r="U30" s="6">
        <f>$J$3+[15]FormattedData!N70*$J$4+$M$4*$J$5+[15]FormattedData!N70^2*$J$6+$M$5*$J$7</f>
        <v>32.991456479434049</v>
      </c>
      <c r="V30" s="6">
        <f>$J$3+[15]FormattedData!O70*$J$4+$M$4*$J$5+[15]FormattedData!O70^2*$J$6+$M$5*$J$7</f>
        <v>31.932548811027019</v>
      </c>
      <c r="W30" s="5">
        <f t="shared" si="0"/>
        <v>35.190565665614606</v>
      </c>
      <c r="X30" s="4">
        <f t="shared" si="1"/>
        <v>0.74387897350855237</v>
      </c>
      <c r="Y30" s="3">
        <f t="shared" si="2"/>
        <v>31.739470653050816</v>
      </c>
      <c r="Z30" s="2">
        <f t="shared" si="3"/>
        <v>33.207385500317613</v>
      </c>
      <c r="AA30" s="3">
        <f t="shared" si="4"/>
        <v>34.855613407105409</v>
      </c>
      <c r="AB30" s="2">
        <f t="shared" si="5"/>
        <v>37.011072464279437</v>
      </c>
      <c r="AC30" s="2">
        <f t="shared" si="6"/>
        <v>39.98208260601519</v>
      </c>
      <c r="AD30" s="2">
        <f t="shared" si="7"/>
        <v>0.31781545925495286</v>
      </c>
      <c r="AE30" s="2">
        <f t="shared" si="8"/>
        <v>-0.80864270633012891</v>
      </c>
    </row>
    <row r="31" spans="2:31" x14ac:dyDescent="0.2">
      <c r="B31" s="1">
        <f>[15]FormattedData!A72</f>
        <v>306</v>
      </c>
      <c r="C31" s="1" t="str">
        <f>VLOOKUP($B31,[15]TrtCodes!$B$11:I115,2)</f>
        <v>FTL</v>
      </c>
      <c r="D31" s="1">
        <f>VLOOKUP($B31,[15]TrtCodes!$B$11:J115,3)</f>
        <v>4</v>
      </c>
      <c r="E31" s="1">
        <f>VLOOKUP($B31,[15]TrtCodes!$B$11:K115,4)</f>
        <v>1</v>
      </c>
      <c r="F31" s="1">
        <f>VLOOKUP($B31,[15]TrtCodes!$B$11:L115,5)</f>
        <v>2</v>
      </c>
      <c r="G31" s="1">
        <f>VLOOKUP($B31,[15]TrtCodes!$B$11:M115,6)</f>
        <v>1</v>
      </c>
      <c r="H31" s="1">
        <f>VLOOKUP($B31,[15]TrtCodes!$B$11:N115,7)</f>
        <v>4</v>
      </c>
      <c r="I31" s="1">
        <f>[15]FormattedData!B72</f>
        <v>1</v>
      </c>
      <c r="J31" s="4">
        <f>[15]FormattedData!C72</f>
        <v>13.573</v>
      </c>
      <c r="K31" s="6">
        <f>$J$3+[15]FormattedData!D72*$J$4+$M$4*$J$5+[15]FormattedData!D72^2*$J$6+$M$5*$J$7</f>
        <v>48.972440123759881</v>
      </c>
      <c r="L31" s="6">
        <f>$J$3+[15]FormattedData!E72*$J$4+$M$4*$J$5+[15]FormattedData!E72^2*$J$6+$M$5*$J$7</f>
        <v>40.446074172921158</v>
      </c>
      <c r="M31" s="6">
        <f>$J$3+[15]FormattedData!F72*$J$4+$M$4*$J$5+[15]FormattedData!F72^2*$J$6+$M$5*$J$7</f>
        <v>40.723961890609573</v>
      </c>
      <c r="N31" s="6">
        <f>$J$3+[15]FormattedData!G72*$J$4+$M$4*$J$5+[15]FormattedData!G72^2*$J$6+$M$5*$J$7</f>
        <v>49.326979573339791</v>
      </c>
      <c r="O31" s="6">
        <f>$J$3+[15]FormattedData!H72*$J$4+$M$4*$J$5+[15]FormattedData!H72^2*$J$6+$M$5*$J$7</f>
        <v>37.364201766817551</v>
      </c>
      <c r="P31" s="6">
        <f>$J$3+[15]FormattedData!I72*$J$4+$M$4*$J$5+[15]FormattedData!I72^2*$J$6+$M$5*$J$7</f>
        <v>43.846769114052876</v>
      </c>
      <c r="Q31" s="6">
        <f>$J$3+[15]FormattedData!J72*$J$4+$M$4*$J$5+[15]FormattedData!J72^2*$J$6+$M$5*$J$7</f>
        <v>37.364201766817551</v>
      </c>
      <c r="R31" s="6">
        <f>$J$3+[15]FormattedData!K72*$J$4+$M$4*$J$5+[15]FormattedData!K72^2*$J$6+$M$5*$J$7</f>
        <v>51.527528788214191</v>
      </c>
      <c r="S31" s="6">
        <f>$J$3+[15]FormattedData!L72*$J$4+$M$4*$J$5+[15]FormattedData!L72^2*$J$6+$M$5*$J$7</f>
        <v>33.27936184061214</v>
      </c>
      <c r="T31" s="6">
        <f>$J$3+[15]FormattedData!M72*$J$4+$M$4*$J$5+[15]FormattedData!M72^2*$J$6+$M$5*$J$7</f>
        <v>50.210369399634388</v>
      </c>
      <c r="U31" s="6">
        <f>$J$3+[15]FormattedData!N72*$J$4+$M$4*$J$5+[15]FormattedData!N72^2*$J$6+$M$5*$J$7</f>
        <v>34.903639902506363</v>
      </c>
      <c r="V31" s="6">
        <f>$J$3+[15]FormattedData!O72*$J$4+$M$4*$J$5+[15]FormattedData!O72^2*$J$6+$M$5*$J$7</f>
        <v>50.210369399634388</v>
      </c>
      <c r="W31" s="5">
        <f t="shared" si="0"/>
        <v>43.181324811576651</v>
      </c>
      <c r="X31" s="4">
        <f t="shared" si="1"/>
        <v>1.9227307942415715</v>
      </c>
      <c r="Y31" s="3">
        <f t="shared" si="2"/>
        <v>33.27936184061214</v>
      </c>
      <c r="Z31" s="2">
        <f t="shared" si="3"/>
        <v>37.364201766817551</v>
      </c>
      <c r="AA31" s="3">
        <f t="shared" si="4"/>
        <v>42.285365502331224</v>
      </c>
      <c r="AB31" s="2">
        <f t="shared" si="5"/>
        <v>49.547827029913442</v>
      </c>
      <c r="AC31" s="2">
        <f t="shared" si="6"/>
        <v>51.527528788214191</v>
      </c>
      <c r="AD31" s="2">
        <f t="shared" si="7"/>
        <v>-9.7640893239605314E-2</v>
      </c>
      <c r="AE31" s="2">
        <f t="shared" si="8"/>
        <v>-1.7132201693057221</v>
      </c>
    </row>
    <row r="32" spans="2:31" x14ac:dyDescent="0.2">
      <c r="B32" s="1">
        <f>[15]FormattedData!A74</f>
        <v>307</v>
      </c>
      <c r="C32" s="1" t="str">
        <f>VLOOKUP($B32,[15]TrtCodes!$B$11:I117,2)</f>
        <v>NTH</v>
      </c>
      <c r="D32" s="1">
        <f>VLOOKUP($B32,[15]TrtCodes!$B$11:J117,3)</f>
        <v>9</v>
      </c>
      <c r="E32" s="1">
        <f>VLOOKUP($B32,[15]TrtCodes!$B$11:K117,4)</f>
        <v>2</v>
      </c>
      <c r="F32" s="1">
        <f>VLOOKUP($B32,[15]TrtCodes!$B$11:L117,5)</f>
        <v>2</v>
      </c>
      <c r="G32" s="1">
        <f>VLOOKUP($B32,[15]TrtCodes!$B$11:M117,6)</f>
        <v>2</v>
      </c>
      <c r="H32" s="1">
        <f>VLOOKUP($B32,[15]TrtCodes!$B$11:N117,7)</f>
        <v>4</v>
      </c>
      <c r="I32" s="1">
        <f>[15]FormattedData!B74</f>
        <v>1</v>
      </c>
      <c r="J32" s="4">
        <f>[15]FormattedData!C74</f>
        <v>13.59</v>
      </c>
      <c r="K32" s="6">
        <f>$J$3+[15]FormattedData!D74*$J$4+$M$4*$J$5+[15]FormattedData!D74^2*$J$6+$M$5*$J$7</f>
        <v>48.261332334779368</v>
      </c>
      <c r="L32" s="6">
        <f>$J$3+[15]FormattedData!E74*$J$4+$M$4*$J$5+[15]FormattedData!E74^2*$J$6+$M$5*$J$7</f>
        <v>36.232108386629371</v>
      </c>
      <c r="M32" s="6">
        <f>$J$3+[15]FormattedData!F74*$J$4+$M$4*$J$5+[15]FormattedData!F74^2*$J$6+$M$5*$J$7</f>
        <v>45.027870602325585</v>
      </c>
      <c r="N32" s="6">
        <f>$J$3+[15]FormattedData!G74*$J$4+$M$4*$J$5+[15]FormattedData!G74^2*$J$6+$M$5*$J$7</f>
        <v>41.463135988776365</v>
      </c>
      <c r="O32" s="6">
        <f>$J$3+[15]FormattedData!H74*$J$4+$M$4*$J$5+[15]FormattedData!H74^2*$J$6+$M$5*$J$7</f>
        <v>41.278596075462254</v>
      </c>
      <c r="P32" s="6">
        <f>$J$3+[15]FormattedData!I74*$J$4+$M$4*$J$5+[15]FormattedData!I74^2*$J$6+$M$5*$J$7</f>
        <v>39.98208260601519</v>
      </c>
      <c r="Q32" s="6">
        <f>$J$3+[15]FormattedData!J74*$J$4+$M$4*$J$5+[15]FormattedData!J74^2*$J$6+$M$5*$J$7</f>
        <v>47.010384349222079</v>
      </c>
      <c r="R32" s="6">
        <f>$J$3+[15]FormattedData!K74*$J$4+$M$4*$J$5+[15]FormattedData!K74^2*$J$6+$M$5*$J$7</f>
        <v>39.050929331858406</v>
      </c>
      <c r="S32" s="6">
        <f>$J$3+[15]FormattedData!L74*$J$4+$M$4*$J$5+[15]FormattedData!L74^2*$J$6+$M$5*$J$7</f>
        <v>38.957581527484102</v>
      </c>
      <c r="T32" s="6">
        <f>$J$3+[15]FormattedData!M74*$J$4+$M$4*$J$5+[15]FormattedData!M74^2*$J$6+$M$5*$J$7</f>
        <v>37.081749047032574</v>
      </c>
      <c r="U32" s="6">
        <f>$J$3+[15]FormattedData!N74*$J$4+$M$4*$J$5+[15]FormattedData!N74^2*$J$6+$M$5*$J$7</f>
        <v>48.972440123759881</v>
      </c>
      <c r="V32" s="6">
        <f>$J$3+[15]FormattedData!O74*$J$4+$M$4*$J$5+[15]FormattedData!O74^2*$J$6+$M$5*$J$7</f>
        <v>34.998805254011707</v>
      </c>
      <c r="W32" s="5">
        <f t="shared" si="0"/>
        <v>41.526417968946404</v>
      </c>
      <c r="X32" s="4">
        <f t="shared" si="1"/>
        <v>1.3726446919710897</v>
      </c>
      <c r="Y32" s="3">
        <f t="shared" si="2"/>
        <v>34.998805254011707</v>
      </c>
      <c r="Z32" s="2">
        <f t="shared" si="3"/>
        <v>38.488623407371222</v>
      </c>
      <c r="AA32" s="3">
        <f t="shared" si="4"/>
        <v>40.630339340738722</v>
      </c>
      <c r="AB32" s="2">
        <f t="shared" si="5"/>
        <v>45.52349903904971</v>
      </c>
      <c r="AC32" s="2">
        <f t="shared" si="6"/>
        <v>48.972440123759881</v>
      </c>
      <c r="AD32" s="2">
        <f t="shared" si="7"/>
        <v>0.38154241607266792</v>
      </c>
      <c r="AE32" s="2">
        <f t="shared" si="8"/>
        <v>-1.1776217779081524</v>
      </c>
    </row>
    <row r="33" spans="2:31" x14ac:dyDescent="0.2">
      <c r="B33" s="1">
        <f>[15]FormattedData!A76</f>
        <v>308</v>
      </c>
      <c r="C33" s="1" t="str">
        <f>VLOOKUP($B33,[15]TrtCodes!$B$11:I119,2)</f>
        <v>FDH</v>
      </c>
      <c r="D33" s="1">
        <f>VLOOKUP($B33,[15]TrtCodes!$B$11:J119,3)</f>
        <v>5</v>
      </c>
      <c r="E33" s="1">
        <f>VLOOKUP($B33,[15]TrtCodes!$B$11:K119,4)</f>
        <v>1</v>
      </c>
      <c r="F33" s="1">
        <f>VLOOKUP($B33,[15]TrtCodes!$B$11:L119,5)</f>
        <v>3</v>
      </c>
      <c r="G33" s="1">
        <f>VLOOKUP($B33,[15]TrtCodes!$B$11:M119,6)</f>
        <v>2</v>
      </c>
      <c r="H33" s="1">
        <f>VLOOKUP($B33,[15]TrtCodes!$B$11:N119,7)</f>
        <v>4</v>
      </c>
      <c r="I33" s="1">
        <f>[15]FormattedData!B76</f>
        <v>1</v>
      </c>
      <c r="J33" s="4">
        <f>[15]FormattedData!C76</f>
        <v>13.609</v>
      </c>
      <c r="K33" s="6">
        <f>$J$3+[15]FormattedData!D76*$J$4+$M$4*$J$5+[15]FormattedData!D76^2*$J$6+$M$5*$J$7</f>
        <v>46.561609455971315</v>
      </c>
      <c r="L33" s="6">
        <f>$J$3+[15]FormattedData!E76*$J$4+$M$4*$J$5+[15]FormattedData!E76^2*$J$6+$M$5*$J$7</f>
        <v>35.663779195486995</v>
      </c>
      <c r="M33" s="6">
        <f>$J$3+[15]FormattedData!F76*$J$4+$M$4*$J$5+[15]FormattedData!F76^2*$J$6+$M$5*$J$7</f>
        <v>42.015741283808353</v>
      </c>
      <c r="N33" s="6">
        <f>$J$3+[15]FormattedData!G76*$J$4+$M$4*$J$5+[15]FormattedData!G76^2*$J$6+$M$5*$J$7</f>
        <v>38.396607061941751</v>
      </c>
      <c r="O33" s="6">
        <f>$J$3+[15]FormattedData!H76*$J$4+$M$4*$J$5+[15]FormattedData!H76^2*$J$6+$M$5*$J$7</f>
        <v>39.98208260601519</v>
      </c>
      <c r="P33" s="6">
        <f>$J$3+[15]FormattedData!I76*$J$4+$M$4*$J$5+[15]FormattedData!I76^2*$J$6+$M$5*$J$7</f>
        <v>42.566824911474811</v>
      </c>
      <c r="Q33" s="6">
        <f>$J$3+[15]FormattedData!J76*$J$4+$M$4*$J$5+[15]FormattedData!J76^2*$J$6+$M$5*$J$7</f>
        <v>45.027870602325585</v>
      </c>
      <c r="R33" s="6">
        <f>$J$3+[15]FormattedData!K76*$J$4+$M$4*$J$5+[15]FormattedData!K76^2*$J$6+$M$5*$J$7</f>
        <v>37.552292237317872</v>
      </c>
      <c r="S33" s="6">
        <f>$J$3+[15]FormattedData!L76*$J$4+$M$4*$J$5+[15]FormattedData!L76^2*$J$6+$M$5*$J$7</f>
        <v>42.566824911474811</v>
      </c>
      <c r="T33" s="6">
        <f>$J$3+[15]FormattedData!M76*$J$4+$M$4*$J$5+[15]FormattedData!M76^2*$J$6+$M$5*$J$7</f>
        <v>36.326681978603673</v>
      </c>
      <c r="U33" s="6">
        <f>$J$3+[15]FormattedData!N76*$J$4+$M$4*$J$5+[15]FormattedData!N76^2*$J$6+$M$5*$J$7</f>
        <v>49.503995686902165</v>
      </c>
      <c r="V33" s="6">
        <f>$J$3+[15]FormattedData!O76*$J$4+$M$4*$J$5+[15]FormattedData!O76^2*$J$6+$M$5*$J$7</f>
        <v>34.808432282463087</v>
      </c>
      <c r="W33" s="5">
        <f t="shared" si="0"/>
        <v>40.914395184482139</v>
      </c>
      <c r="X33" s="4">
        <f t="shared" si="1"/>
        <v>1.3305217157239173</v>
      </c>
      <c r="Y33" s="3">
        <f t="shared" si="2"/>
        <v>34.808432282463087</v>
      </c>
      <c r="Z33" s="2">
        <f t="shared" si="3"/>
        <v>37.245889672639322</v>
      </c>
      <c r="AA33" s="3">
        <f t="shared" si="4"/>
        <v>40.998911944911768</v>
      </c>
      <c r="AB33" s="2">
        <f t="shared" si="5"/>
        <v>43.182086334187503</v>
      </c>
      <c r="AC33" s="2">
        <f t="shared" si="6"/>
        <v>49.503995686902165</v>
      </c>
      <c r="AD33" s="2">
        <f t="shared" si="7"/>
        <v>0.41232520280858248</v>
      </c>
      <c r="AE33" s="2">
        <f t="shared" si="8"/>
        <v>-0.70741982152194494</v>
      </c>
    </row>
    <row r="34" spans="2:31" x14ac:dyDescent="0.2">
      <c r="B34" s="1">
        <f>[15]FormattedData!A92</f>
        <v>401</v>
      </c>
      <c r="C34" s="1" t="str">
        <f>VLOOKUP($B34,[15]TrtCodes!$B$11:I129,2)</f>
        <v>NSH</v>
      </c>
      <c r="D34" s="1">
        <f>VLOOKUP($B34,[15]TrtCodes!$B$11:J129,3)</f>
        <v>7</v>
      </c>
      <c r="E34" s="1">
        <f>VLOOKUP($B34,[15]TrtCodes!$B$11:K129,4)</f>
        <v>2</v>
      </c>
      <c r="F34" s="1">
        <f>VLOOKUP($B34,[15]TrtCodes!$B$11:L129,5)</f>
        <v>1</v>
      </c>
      <c r="G34" s="1">
        <f>VLOOKUP($B34,[15]TrtCodes!$B$11:M129,6)</f>
        <v>2</v>
      </c>
      <c r="H34" s="1">
        <f>VLOOKUP($B34,[15]TrtCodes!$B$11:N129,7)</f>
        <v>3</v>
      </c>
      <c r="I34" s="1">
        <f>[15]FormattedData!B92</f>
        <v>1</v>
      </c>
      <c r="J34" s="4">
        <f>[15]FormattedData!C92</f>
        <v>13.757999999999999</v>
      </c>
      <c r="K34" s="6">
        <f>$J$3+[15]FormattedData!D92*$J$4+$M$4*$J$5+[15]FormattedData!D92^2*$J$6+$M$5*$J$7</f>
        <v>60.730328757050152</v>
      </c>
      <c r="L34" s="6">
        <f>$J$3+[15]FormattedData!E92*$J$4+$M$4*$J$5+[15]FormattedData!E92^2*$J$6+$M$5*$J$7</f>
        <v>57.970669415595616</v>
      </c>
      <c r="M34" s="6">
        <f>$J$3+[15]FormattedData!F92*$J$4+$M$4*$J$5+[15]FormattedData!F92^2*$J$6+$M$5*$J$7</f>
        <v>58.727868783543414</v>
      </c>
      <c r="N34" s="6">
        <f>$J$3+[15]FormattedData!G92*$J$4+$M$4*$J$5+[15]FormattedData!G92^2*$J$6+$M$5*$J$7</f>
        <v>59.565185903493067</v>
      </c>
      <c r="O34" s="6">
        <f>$J$3+[15]FormattedData!H92*$J$4+$M$4*$J$5+[15]FormattedData!H92^2*$J$6+$M$5*$J$7</f>
        <v>53.615202134190113</v>
      </c>
      <c r="P34" s="6">
        <f>$J$3+[15]FormattedData!I92*$J$4+$M$4*$J$5+[15]FormattedData!I92^2*$J$6+$M$5*$J$7</f>
        <v>59.314434587156455</v>
      </c>
      <c r="Q34" s="6">
        <f>$J$3+[15]FormattedData!J92*$J$4+$M$4*$J$5+[15]FormattedData!J92^2*$J$6+$M$5*$J$7</f>
        <v>54.047069612268416</v>
      </c>
      <c r="R34" s="6">
        <f>$J$3+[15]FormattedData!K92*$J$4+$M$4*$J$5+[15]FormattedData!K92^2*$J$6+$M$5*$J$7</f>
        <v>61.887186977172732</v>
      </c>
      <c r="S34" s="6">
        <f>$J$3+[15]FormattedData!L92*$J$4+$M$4*$J$5+[15]FormattedData!L92^2*$J$6+$M$5*$J$7</f>
        <v>56.616083498324414</v>
      </c>
      <c r="T34" s="6">
        <f>$J$3+[15]FormattedData!M92*$J$4+$M$4*$J$5+[15]FormattedData!M92^2*$J$6+$M$5*$J$7</f>
        <v>58.643904594589834</v>
      </c>
      <c r="U34" s="6">
        <f>$J$3+[15]FormattedData!N92*$J$4+$M$4*$J$5+[15]FormattedData!N92^2*$J$6+$M$5*$J$7</f>
        <v>45.299418039324323</v>
      </c>
      <c r="V34" s="6">
        <f>$J$3+[15]FormattedData!O92*$J$4+$M$4*$J$5+[15]FormattedData!O92^2*$J$6+$M$5*$J$7</f>
        <v>51.702431474880001</v>
      </c>
      <c r="W34" s="5">
        <f t="shared" si="0"/>
        <v>56.509981981465707</v>
      </c>
      <c r="X34" s="4">
        <f t="shared" si="1"/>
        <v>1.3449607752229789</v>
      </c>
      <c r="Y34" s="3">
        <f t="shared" si="2"/>
        <v>45.299418039324323</v>
      </c>
      <c r="Z34" s="2">
        <f t="shared" si="3"/>
        <v>53.939102742748844</v>
      </c>
      <c r="AA34" s="3">
        <f t="shared" si="4"/>
        <v>58.307287005092725</v>
      </c>
      <c r="AB34" s="2">
        <f t="shared" si="5"/>
        <v>59.37712241624061</v>
      </c>
      <c r="AC34" s="2">
        <f t="shared" si="6"/>
        <v>61.887186977172732</v>
      </c>
      <c r="AD34" s="2">
        <f t="shared" si="7"/>
        <v>-1.3529209495103156</v>
      </c>
      <c r="AE34" s="2">
        <f t="shared" si="8"/>
        <v>1.9151444805655986</v>
      </c>
    </row>
    <row r="35" spans="2:31" x14ac:dyDescent="0.2">
      <c r="B35" s="1">
        <f>[15]FormattedData!A90</f>
        <v>402</v>
      </c>
      <c r="C35" s="1" t="str">
        <f>VLOOKUP($B35,[15]TrtCodes!$B$11:I130,2)</f>
        <v>NTH</v>
      </c>
      <c r="D35" s="1">
        <f>VLOOKUP($B35,[15]TrtCodes!$B$11:J130,3)</f>
        <v>9</v>
      </c>
      <c r="E35" s="1">
        <f>VLOOKUP($B35,[15]TrtCodes!$B$11:K130,4)</f>
        <v>2</v>
      </c>
      <c r="F35" s="1">
        <f>VLOOKUP($B35,[15]TrtCodes!$B$11:L130,5)</f>
        <v>2</v>
      </c>
      <c r="G35" s="1">
        <f>VLOOKUP($B35,[15]TrtCodes!$B$11:M130,6)</f>
        <v>2</v>
      </c>
      <c r="H35" s="1">
        <f>VLOOKUP($B35,[15]TrtCodes!$B$11:N130,7)</f>
        <v>3</v>
      </c>
      <c r="I35" s="1">
        <f>[15]FormattedData!B90</f>
        <v>1</v>
      </c>
      <c r="J35" s="4">
        <f>[15]FormattedData!C90</f>
        <v>13.74</v>
      </c>
      <c r="K35" s="6">
        <f>$J$3+[15]FormattedData!D90*$J$4+$M$4*$J$5+[15]FormattedData!D90^2*$J$6+$M$5*$J$7</f>
        <v>51.615001265816069</v>
      </c>
      <c r="L35" s="6">
        <f>$J$3+[15]FormattedData!E90*$J$4+$M$4*$J$5+[15]FormattedData!E90^2*$J$6+$M$5*$J$7</f>
        <v>48.083132702154927</v>
      </c>
      <c r="M35" s="6">
        <f>$J$3+[15]FormattedData!F90*$J$4+$M$4*$J$5+[15]FormattedData!F90^2*$J$6+$M$5*$J$7</f>
        <v>39.796190099487276</v>
      </c>
      <c r="N35" s="6">
        <f>$J$3+[15]FormattedData!G90*$J$4+$M$4*$J$5+[15]FormattedData!G90^2*$J$6+$M$5*$J$7</f>
        <v>47.189598426756859</v>
      </c>
      <c r="O35" s="6">
        <f>$J$3+[15]FormattedData!H90*$J$4+$M$4*$J$5+[15]FormattedData!H90^2*$J$6+$M$5*$J$7</f>
        <v>36.98751360336172</v>
      </c>
      <c r="P35" s="6">
        <f>$J$3+[15]FormattedData!I90*$J$4+$M$4*$J$5+[15]FormattedData!I90^2*$J$6+$M$5*$J$7</f>
        <v>49.59244034087645</v>
      </c>
      <c r="Q35" s="6">
        <f>$J$3+[15]FormattedData!J90*$J$4+$M$4*$J$5+[15]FormattedData!J90^2*$J$6+$M$5*$J$7</f>
        <v>40.723961890609573</v>
      </c>
      <c r="R35" s="6">
        <f>$J$3+[15]FormattedData!K90*$J$4+$M$4*$J$5+[15]FormattedData!K90^2*$J$6+$M$5*$J$7</f>
        <v>39.610128518807649</v>
      </c>
      <c r="S35" s="6">
        <f>$J$3+[15]FormattedData!L90*$J$4+$M$4*$J$5+[15]FormattedData!L90^2*$J$6+$M$5*$J$7</f>
        <v>44.755942748485467</v>
      </c>
      <c r="T35" s="6">
        <f>$J$3+[15]FormattedData!M90*$J$4+$M$4*$J$5+[15]FormattedData!M90^2*$J$6+$M$5*$J$7</f>
        <v>40.631374919918038</v>
      </c>
      <c r="U35" s="6">
        <f>$J$3+[15]FormattedData!N90*$J$4+$M$4*$J$5+[15]FormattedData!N90^2*$J$6+$M$5*$J$7</f>
        <v>48.706091716926672</v>
      </c>
      <c r="V35" s="6">
        <f>$J$3+[15]FormattedData!O90*$J$4+$M$4*$J$5+[15]FormattedData!O90^2*$J$6+$M$5*$J$7</f>
        <v>32.895403488632155</v>
      </c>
      <c r="W35" s="5">
        <f t="shared" si="0"/>
        <v>43.382231643486058</v>
      </c>
      <c r="X35" s="4">
        <f t="shared" si="1"/>
        <v>1.6646009597355107</v>
      </c>
      <c r="Y35" s="3">
        <f t="shared" si="2"/>
        <v>32.895403488632155</v>
      </c>
      <c r="Z35" s="2">
        <f t="shared" si="3"/>
        <v>39.749674704317371</v>
      </c>
      <c r="AA35" s="3">
        <f t="shared" si="4"/>
        <v>42.73995231954752</v>
      </c>
      <c r="AB35" s="2">
        <f t="shared" si="5"/>
        <v>48.238872455847861</v>
      </c>
      <c r="AC35" s="2">
        <f t="shared" si="6"/>
        <v>51.615001265816069</v>
      </c>
      <c r="AD35" s="2">
        <f t="shared" si="7"/>
        <v>-0.2526677315524945</v>
      </c>
      <c r="AE35" s="2">
        <f t="shared" si="8"/>
        <v>-0.92231604580964532</v>
      </c>
    </row>
    <row r="36" spans="2:31" x14ac:dyDescent="0.2">
      <c r="B36" s="1">
        <f>[15]FormattedData!A88</f>
        <v>403</v>
      </c>
      <c r="C36" s="1" t="str">
        <f>VLOOKUP($B36,[15]TrtCodes!$B$11:I131,2)</f>
        <v>FDL</v>
      </c>
      <c r="D36" s="1">
        <f>VLOOKUP($B36,[15]TrtCodes!$B$11:J131,3)</f>
        <v>6</v>
      </c>
      <c r="E36" s="1">
        <f>VLOOKUP($B36,[15]TrtCodes!$B$11:K131,4)</f>
        <v>1</v>
      </c>
      <c r="F36" s="1">
        <f>VLOOKUP($B36,[15]TrtCodes!$B$11:L131,5)</f>
        <v>3</v>
      </c>
      <c r="G36" s="1">
        <f>VLOOKUP($B36,[15]TrtCodes!$B$11:M131,6)</f>
        <v>1</v>
      </c>
      <c r="H36" s="1">
        <f>VLOOKUP($B36,[15]TrtCodes!$B$11:N131,7)</f>
        <v>3</v>
      </c>
      <c r="I36" s="1">
        <f>[15]FormattedData!B88</f>
        <v>1</v>
      </c>
      <c r="J36" s="4">
        <f>[15]FormattedData!C88</f>
        <v>13.722</v>
      </c>
      <c r="K36" s="6">
        <f>$J$3+[15]FormattedData!D88*$J$4+$M$4*$J$5+[15]FormattedData!D88^2*$J$6+$M$5*$J$7</f>
        <v>48.350368748284694</v>
      </c>
      <c r="L36" s="6">
        <f>$J$3+[15]FormattedData!E88*$J$4+$M$4*$J$5+[15]FormattedData!E88^2*$J$6+$M$5*$J$7</f>
        <v>33.662643895985219</v>
      </c>
      <c r="M36" s="6">
        <f>$J$3+[15]FormattedData!F88*$J$4+$M$4*$J$5+[15]FormattedData!F88^2*$J$6+$M$5*$J$7</f>
        <v>35.284047697300124</v>
      </c>
      <c r="N36" s="6">
        <f>$J$3+[15]FormattedData!G88*$J$4+$M$4*$J$5+[15]FormattedData!G88^2*$J$6+$M$5*$J$7</f>
        <v>41.278596075462254</v>
      </c>
      <c r="O36" s="6">
        <f>$J$3+[15]FormattedData!H88*$J$4+$M$4*$J$5+[15]FormattedData!H88^2*$J$6+$M$5*$J$7</f>
        <v>31.932548811027019</v>
      </c>
      <c r="P36" s="6">
        <f>$J$3+[15]FormattedData!I88*$J$4+$M$4*$J$5+[15]FormattedData!I88^2*$J$6+$M$5*$J$7</f>
        <v>44.755942748485467</v>
      </c>
      <c r="Q36" s="6">
        <f>$J$3+[15]FormattedData!J88*$J$4+$M$4*$J$5+[15]FormattedData!J88^2*$J$6+$M$5*$J$7</f>
        <v>32.125457894851493</v>
      </c>
      <c r="R36" s="6">
        <f>$J$3+[15]FormattedData!K88*$J$4+$M$4*$J$5+[15]FormattedData!K88^2*$J$6+$M$5*$J$7</f>
        <v>47.279142062717362</v>
      </c>
      <c r="S36" s="6">
        <f>$J$3+[15]FormattedData!L88*$J$4+$M$4*$J$5+[15]FormattedData!L88^2*$J$6+$M$5*$J$7</f>
        <v>42.658524242869802</v>
      </c>
      <c r="T36" s="6">
        <f>$J$3+[15]FormattedData!M88*$J$4+$M$4*$J$5+[15]FormattedData!M88^2*$J$6+$M$5*$J$7</f>
        <v>51.089532372135871</v>
      </c>
      <c r="U36" s="6">
        <f>$J$3+[15]FormattedData!N88*$J$4+$M$4*$J$5+[15]FormattedData!N88^2*$J$6+$M$5*$J$7</f>
        <v>36.137492526117136</v>
      </c>
      <c r="V36" s="6">
        <f>$J$3+[15]FormattedData!O88*$J$4+$M$4*$J$5+[15]FormattedData!O88^2*$J$6+$M$5*$J$7</f>
        <v>37.834110929033884</v>
      </c>
      <c r="W36" s="5">
        <f t="shared" si="0"/>
        <v>40.199034000355859</v>
      </c>
      <c r="X36" s="4">
        <f t="shared" si="1"/>
        <v>1.9181015348827786</v>
      </c>
      <c r="Y36" s="3">
        <f t="shared" si="2"/>
        <v>31.932548811027019</v>
      </c>
      <c r="Z36" s="2">
        <f t="shared" si="3"/>
        <v>34.8786967469714</v>
      </c>
      <c r="AA36" s="3">
        <f t="shared" si="4"/>
        <v>39.556353502248072</v>
      </c>
      <c r="AB36" s="2">
        <f t="shared" si="5"/>
        <v>45.386742577043442</v>
      </c>
      <c r="AC36" s="2">
        <f t="shared" si="6"/>
        <v>51.089532372135871</v>
      </c>
      <c r="AD36" s="2">
        <f t="shared" si="7"/>
        <v>0.27130858159377425</v>
      </c>
      <c r="AE36" s="2">
        <f t="shared" si="8"/>
        <v>-1.3579088696441741</v>
      </c>
    </row>
    <row r="37" spans="2:31" x14ac:dyDescent="0.2">
      <c r="B37" s="1">
        <f>[15]FormattedData!A86</f>
        <v>404</v>
      </c>
      <c r="C37" s="1" t="str">
        <f>VLOOKUP($B37,[15]TrtCodes!$B$11:I129,2)</f>
        <v>FTH</v>
      </c>
      <c r="D37" s="1">
        <f>VLOOKUP($B37,[15]TrtCodes!$B$11:J129,3)</f>
        <v>3</v>
      </c>
      <c r="E37" s="1">
        <f>VLOOKUP($B37,[15]TrtCodes!$B$11:K129,4)</f>
        <v>1</v>
      </c>
      <c r="F37" s="1">
        <f>VLOOKUP($B37,[15]TrtCodes!$B$11:L129,5)</f>
        <v>2</v>
      </c>
      <c r="G37" s="1">
        <f>VLOOKUP($B37,[15]TrtCodes!$B$11:M129,6)</f>
        <v>2</v>
      </c>
      <c r="H37" s="1">
        <f>VLOOKUP($B37,[15]TrtCodes!$B$11:N129,7)</f>
        <v>3</v>
      </c>
      <c r="I37" s="1">
        <f>[15]FormattedData!B86</f>
        <v>1</v>
      </c>
      <c r="J37" s="4">
        <f>[15]FormattedData!C86</f>
        <v>13.705</v>
      </c>
      <c r="K37" s="6">
        <f>$J$3+[15]FormattedData!D86*$J$4+$M$4*$J$5+[15]FormattedData!D86^2*$J$6+$M$5*$J$7</f>
        <v>53.701660166881624</v>
      </c>
      <c r="L37" s="6">
        <f>$J$3+[15]FormattedData!E86*$J$4+$M$4*$J$5+[15]FormattedData!E86^2*$J$6+$M$5*$J$7</f>
        <v>36.61014914329899</v>
      </c>
      <c r="M37" s="6">
        <f>$J$3+[15]FormattedData!F86*$J$4+$M$4*$J$5+[15]FormattedData!F86^2*$J$6+$M$5*$J$7</f>
        <v>43.207832591943159</v>
      </c>
      <c r="N37" s="6">
        <f>$J$3+[15]FormattedData!G86*$J$4+$M$4*$J$5+[15]FormattedData!G86^2*$J$6+$M$5*$J$7</f>
        <v>38.957581527484102</v>
      </c>
      <c r="O37" s="6">
        <f>$J$3+[15]FormattedData!H86*$J$4+$M$4*$J$5+[15]FormattedData!H86^2*$J$6+$M$5*$J$7</f>
        <v>39.98208260601519</v>
      </c>
      <c r="P37" s="6">
        <f>$J$3+[15]FormattedData!I86*$J$4+$M$4*$J$5+[15]FormattedData!I86^2*$J$6+$M$5*$J$7</f>
        <v>49.238408113751717</v>
      </c>
      <c r="Q37" s="6">
        <f>$J$3+[15]FormattedData!J86*$J$4+$M$4*$J$5+[15]FormattedData!J86^2*$J$6+$M$5*$J$7</f>
        <v>39.889157487020199</v>
      </c>
      <c r="R37" s="6">
        <f>$J$3+[15]FormattedData!K86*$J$4+$M$4*$J$5+[15]FormattedData!K86^2*$J$6+$M$5*$J$7</f>
        <v>53.788075931035223</v>
      </c>
      <c r="S37" s="6">
        <f>$J$3+[15]FormattedData!L86*$J$4+$M$4*$J$5+[15]FormattedData!L86^2*$J$6+$M$5*$J$7</f>
        <v>34.045249654751416</v>
      </c>
      <c r="T37" s="6">
        <f>$J$3+[15]FormattedData!M86*$J$4+$M$4*$J$5+[15]FormattedData!M86^2*$J$6+$M$5*$J$7</f>
        <v>51.789819415406015</v>
      </c>
      <c r="U37" s="6">
        <f>$J$3+[15]FormattedData!N86*$J$4+$M$4*$J$5+[15]FormattedData!N86^2*$J$6+$M$5*$J$7</f>
        <v>33.471087405374547</v>
      </c>
      <c r="V37" s="6">
        <f>$J$3+[15]FormattedData!O86*$J$4+$M$4*$J$5+[15]FormattedData!O86^2*$J$6+$M$5*$J$7</f>
        <v>54.305682876660228</v>
      </c>
      <c r="W37" s="5">
        <f t="shared" si="0"/>
        <v>44.08223224330186</v>
      </c>
      <c r="X37" s="4">
        <f t="shared" si="1"/>
        <v>2.3156875255656955</v>
      </c>
      <c r="Y37" s="3">
        <f t="shared" si="2"/>
        <v>33.471087405374547</v>
      </c>
      <c r="Z37" s="2">
        <f t="shared" si="3"/>
        <v>38.370723431437824</v>
      </c>
      <c r="AA37" s="3">
        <f t="shared" si="4"/>
        <v>41.594957598979178</v>
      </c>
      <c r="AB37" s="2">
        <f t="shared" si="5"/>
        <v>52.267779603274917</v>
      </c>
      <c r="AC37" s="2">
        <f t="shared" si="6"/>
        <v>54.305682876660228</v>
      </c>
      <c r="AD37" s="2">
        <f t="shared" si="7"/>
        <v>0.11981907375945296</v>
      </c>
      <c r="AE37" s="2">
        <f t="shared" si="8"/>
        <v>-1.7567987950660462</v>
      </c>
    </row>
    <row r="38" spans="2:31" x14ac:dyDescent="0.2">
      <c r="B38" s="1">
        <f>[15]FormattedData!A84</f>
        <v>405</v>
      </c>
      <c r="C38" s="1" t="str">
        <f>VLOOKUP($B38,[15]TrtCodes!$B$11:I127,2)</f>
        <v>FDL</v>
      </c>
      <c r="D38" s="1">
        <f>VLOOKUP($B38,[15]TrtCodes!$B$11:J127,3)</f>
        <v>6</v>
      </c>
      <c r="E38" s="1">
        <f>VLOOKUP($B38,[15]TrtCodes!$B$11:K127,4)</f>
        <v>1</v>
      </c>
      <c r="F38" s="1">
        <f>VLOOKUP($B38,[15]TrtCodes!$B$11:L127,5)</f>
        <v>3</v>
      </c>
      <c r="G38" s="1">
        <f>VLOOKUP($B38,[15]TrtCodes!$B$11:M127,6)</f>
        <v>1</v>
      </c>
      <c r="H38" s="1">
        <f>VLOOKUP($B38,[15]TrtCodes!$B$11:N127,7)</f>
        <v>4</v>
      </c>
      <c r="I38" s="1">
        <f>[15]FormattedData!B84</f>
        <v>1</v>
      </c>
      <c r="J38" s="4">
        <f>[15]FormattedData!C84</f>
        <v>13.686</v>
      </c>
      <c r="K38" s="6">
        <f>$J$3+[15]FormattedData!D84*$J$4+$M$4*$J$5+[15]FormattedData!D84^2*$J$6+$M$5*$J$7</f>
        <v>48.883699590020079</v>
      </c>
      <c r="L38" s="6">
        <f>$J$3+[15]FormattedData!E84*$J$4+$M$4*$J$5+[15]FormattedData!E84^2*$J$6+$M$5*$J$7</f>
        <v>37.081749047032574</v>
      </c>
      <c r="M38" s="6">
        <f>$J$3+[15]FormattedData!F84*$J$4+$M$4*$J$5+[15]FormattedData!F84^2*$J$6+$M$5*$J$7</f>
        <v>43.390597226664163</v>
      </c>
      <c r="N38" s="6">
        <f>$J$3+[15]FormattedData!G84*$J$4+$M$4*$J$5+[15]FormattedData!G84^2*$J$6+$M$5*$J$7</f>
        <v>46.111777849272272</v>
      </c>
      <c r="O38" s="6">
        <f>$J$3+[15]FormattedData!H84*$J$4+$M$4*$J$5+[15]FormattedData!H84^2*$J$6+$M$5*$J$7</f>
        <v>33.087467201698011</v>
      </c>
      <c r="P38" s="6">
        <f>$J$3+[15]FormattedData!I84*$J$4+$M$4*$J$5+[15]FormattedData!I84^2*$J$6+$M$5*$J$7</f>
        <v>45.570585059481687</v>
      </c>
      <c r="Q38" s="6">
        <f>$J$3+[15]FormattedData!J84*$J$4+$M$4*$J$5+[15]FormattedData!J84^2*$J$6+$M$5*$J$7</f>
        <v>32.221849033956836</v>
      </c>
      <c r="R38" s="6">
        <f>$J$3+[15]FormattedData!K84*$J$4+$M$4*$J$5+[15]FormattedData!K84^2*$J$6+$M$5*$J$7</f>
        <v>44.665215593462904</v>
      </c>
      <c r="S38" s="6">
        <f>$J$3+[15]FormattedData!L84*$J$4+$M$4*$J$5+[15]FormattedData!L84^2*$J$6+$M$5*$J$7</f>
        <v>46.831001197535556</v>
      </c>
      <c r="T38" s="6">
        <f>$J$3+[15]FormattedData!M84*$J$4+$M$4*$J$5+[15]FormattedData!M84^2*$J$6+$M$5*$J$7</f>
        <v>34.4271791169107</v>
      </c>
      <c r="U38" s="6">
        <f>$J$3+[15]FormattedData!N84*$J$4+$M$4*$J$5+[15]FormattedData!N84^2*$J$6+$M$5*$J$7</f>
        <v>36.137492526117136</v>
      </c>
      <c r="V38" s="6">
        <f>$J$3+[15]FormattedData!O84*$J$4+$M$4*$J$5+[15]FormattedData!O84^2*$J$6+$M$5*$J$7</f>
        <v>40.909009026378854</v>
      </c>
      <c r="W38" s="5">
        <f t="shared" si="0"/>
        <v>40.776468539044224</v>
      </c>
      <c r="X38" s="4">
        <f t="shared" si="1"/>
        <v>1.7047038583239713</v>
      </c>
      <c r="Y38" s="3">
        <f t="shared" si="2"/>
        <v>32.221849033956836</v>
      </c>
      <c r="Z38" s="2">
        <f t="shared" si="3"/>
        <v>35.709914173815527</v>
      </c>
      <c r="AA38" s="3">
        <f t="shared" si="4"/>
        <v>42.149803126521505</v>
      </c>
      <c r="AB38" s="2">
        <f t="shared" si="5"/>
        <v>45.705883256929333</v>
      </c>
      <c r="AC38" s="2">
        <f t="shared" si="6"/>
        <v>48.883699590020079</v>
      </c>
      <c r="AD38" s="2">
        <f t="shared" si="7"/>
        <v>-0.20835472406319214</v>
      </c>
      <c r="AE38" s="2">
        <f t="shared" si="8"/>
        <v>-1.6486872001811874</v>
      </c>
    </row>
    <row r="39" spans="2:31" x14ac:dyDescent="0.2">
      <c r="B39" s="1">
        <f>[15]FormattedData!A82</f>
        <v>406</v>
      </c>
      <c r="C39" s="1" t="str">
        <f>VLOOKUP($B39,[15]TrtCodes!$B$11:I125,2)</f>
        <v>FTH</v>
      </c>
      <c r="D39" s="1">
        <f>VLOOKUP($B39,[15]TrtCodes!$B$11:J125,3)</f>
        <v>3</v>
      </c>
      <c r="E39" s="1">
        <f>VLOOKUP($B39,[15]TrtCodes!$B$11:K125,4)</f>
        <v>1</v>
      </c>
      <c r="F39" s="1">
        <f>VLOOKUP($B39,[15]TrtCodes!$B$11:L125,5)</f>
        <v>2</v>
      </c>
      <c r="G39" s="1">
        <f>VLOOKUP($B39,[15]TrtCodes!$B$11:M125,6)</f>
        <v>2</v>
      </c>
      <c r="H39" s="1">
        <f>VLOOKUP($B39,[15]TrtCodes!$B$11:N125,7)</f>
        <v>4</v>
      </c>
      <c r="I39" s="1">
        <f>[15]FormattedData!B82</f>
        <v>1</v>
      </c>
      <c r="J39" s="4">
        <f>[15]FormattedData!C82</f>
        <v>13.667999999999999</v>
      </c>
      <c r="K39" s="6">
        <f>$J$3+[15]FormattedData!D82*$J$4+$M$4*$J$5+[15]FormattedData!D82^2*$J$6+$M$5*$J$7</f>
        <v>55.763972390098864</v>
      </c>
      <c r="L39" s="6">
        <f>$J$3+[15]FormattedData!E82*$J$4+$M$4*$J$5+[15]FormattedData!E82^2*$J$6+$M$5*$J$7</f>
        <v>55.079240168787372</v>
      </c>
      <c r="M39" s="6">
        <f>$J$3+[15]FormattedData!F82*$J$4+$M$4*$J$5+[15]FormattedData!F82^2*$J$6+$M$5*$J$7</f>
        <v>40.167806038391376</v>
      </c>
      <c r="N39" s="6">
        <f>$J$3+[15]FormattedData!G82*$J$4+$M$4*$J$5+[15]FormattedData!G82^2*$J$6+$M$5*$J$7</f>
        <v>44.392780517167601</v>
      </c>
      <c r="O39" s="6">
        <f>$J$3+[15]FormattedData!H82*$J$4+$M$4*$J$5+[15]FormattedData!H82^2*$J$6+$M$5*$J$7</f>
        <v>43.207832591943159</v>
      </c>
      <c r="P39" s="6">
        <f>$J$3+[15]FormattedData!I82*$J$4+$M$4*$J$5+[15]FormattedData!I82^2*$J$6+$M$5*$J$7</f>
        <v>38.864191454571873</v>
      </c>
      <c r="Q39" s="6">
        <f>$J$3+[15]FormattedData!J82*$J$4+$M$4*$J$5+[15]FormattedData!J82^2*$J$6+$M$5*$J$7</f>
        <v>34.4271791169107</v>
      </c>
      <c r="R39" s="6">
        <f>$J$3+[15]FormattedData!K82*$J$4+$M$4*$J$5+[15]FormattedData!K82^2*$J$6+$M$5*$J$7</f>
        <v>45.931549326827131</v>
      </c>
      <c r="S39" s="6">
        <f>$J$3+[15]FormattedData!L82*$J$4+$M$4*$J$5+[15]FormattedData!L82^2*$J$6+$M$5*$J$7</f>
        <v>34.522555811105704</v>
      </c>
      <c r="T39" s="6">
        <f>$J$3+[15]FormattedData!M82*$J$4+$M$4*$J$5+[15]FormattedData!M82^2*$J$6+$M$5*$J$7</f>
        <v>41.647506827938749</v>
      </c>
      <c r="U39" s="6">
        <f>$J$3+[15]FormattedData!N82*$J$4+$M$4*$J$5+[15]FormattedData!N82^2*$J$6+$M$5*$J$7</f>
        <v>37.175942222165496</v>
      </c>
      <c r="V39" s="6">
        <f>$J$3+[15]FormattedData!O82*$J$4+$M$4*$J$5+[15]FormattedData!O82^2*$J$6+$M$5*$J$7</f>
        <v>40.074965456472249</v>
      </c>
      <c r="W39" s="5">
        <f t="shared" si="0"/>
        <v>42.604626826865015</v>
      </c>
      <c r="X39" s="4">
        <f t="shared" si="1"/>
        <v>2.0081641604463383</v>
      </c>
      <c r="Y39" s="3">
        <f t="shared" si="2"/>
        <v>34.4271791169107</v>
      </c>
      <c r="Z39" s="2">
        <f t="shared" si="3"/>
        <v>38.442129146470279</v>
      </c>
      <c r="AA39" s="3">
        <f t="shared" si="4"/>
        <v>40.907656433165059</v>
      </c>
      <c r="AB39" s="2">
        <f t="shared" si="5"/>
        <v>44.777472719582484</v>
      </c>
      <c r="AC39" s="2">
        <f t="shared" si="6"/>
        <v>55.763972390098864</v>
      </c>
      <c r="AD39" s="2">
        <f t="shared" si="7"/>
        <v>0.95407962192680762</v>
      </c>
      <c r="AE39" s="2">
        <f t="shared" si="8"/>
        <v>0.28756885081608985</v>
      </c>
    </row>
    <row r="40" spans="2:31" x14ac:dyDescent="0.2">
      <c r="B40" s="1">
        <f>[15]FormattedData!A80</f>
        <v>407</v>
      </c>
      <c r="C40" s="1" t="str">
        <f>VLOOKUP($B40,[15]TrtCodes!$B$11:I123,2)</f>
        <v>NSH</v>
      </c>
      <c r="D40" s="1">
        <f>VLOOKUP($B40,[15]TrtCodes!$B$11:J123,3)</f>
        <v>7</v>
      </c>
      <c r="E40" s="1">
        <f>VLOOKUP($B40,[15]TrtCodes!$B$11:K123,4)</f>
        <v>2</v>
      </c>
      <c r="F40" s="1">
        <f>VLOOKUP($B40,[15]TrtCodes!$B$11:L123,5)</f>
        <v>1</v>
      </c>
      <c r="G40" s="1">
        <f>VLOOKUP($B40,[15]TrtCodes!$B$11:M123,6)</f>
        <v>2</v>
      </c>
      <c r="H40" s="1">
        <f>VLOOKUP($B40,[15]TrtCodes!$B$11:N123,7)</f>
        <v>4</v>
      </c>
      <c r="I40" s="1">
        <f>[15]FormattedData!B80</f>
        <v>1</v>
      </c>
      <c r="J40" s="4">
        <f>[15]FormattedData!C80</f>
        <v>13.65</v>
      </c>
      <c r="K40" s="6">
        <f>$J$3+[15]FormattedData!D80*$J$4+$M$4*$J$5+[15]FormattedData!D80^2*$J$6+$M$5*$J$7</f>
        <v>60.315157351454644</v>
      </c>
      <c r="L40" s="6">
        <f>$J$3+[15]FormattedData!E80*$J$4+$M$4*$J$5+[15]FormattedData!E80^2*$J$6+$M$5*$J$7</f>
        <v>47.726226214450875</v>
      </c>
      <c r="M40" s="6">
        <f>$J$3+[15]FormattedData!F80*$J$4+$M$4*$J$5+[15]FormattedData!F80^2*$J$6+$M$5*$J$7</f>
        <v>55.934732760047417</v>
      </c>
      <c r="N40" s="6">
        <f>$J$3+[15]FormattedData!G80*$J$4+$M$4*$J$5+[15]FormattedData!G80^2*$J$6+$M$5*$J$7</f>
        <v>51.615001265816069</v>
      </c>
      <c r="O40" s="6">
        <f>$J$3+[15]FormattedData!H80*$J$4+$M$4*$J$5+[15]FormattedData!H80^2*$J$6+$M$5*$J$7</f>
        <v>53.008812386287374</v>
      </c>
      <c r="P40" s="6">
        <f>$J$3+[15]FormattedData!I80*$J$4+$M$4*$J$5+[15]FormattedData!I80^2*$J$6+$M$5*$J$7</f>
        <v>54.563915724210659</v>
      </c>
      <c r="Q40" s="6">
        <f>$J$3+[15]FormattedData!J80*$J$4+$M$4*$J$5+[15]FormattedData!J80^2*$J$6+$M$5*$J$7</f>
        <v>48.172253652736117</v>
      </c>
      <c r="R40" s="6">
        <f>$J$3+[15]FormattedData!K80*$J$4+$M$4*$J$5+[15]FormattedData!K80^2*$J$6+$M$5*$J$7</f>
        <v>58.391758416501482</v>
      </c>
      <c r="S40" s="6">
        <f>$J$3+[15]FormattedData!L80*$J$4+$M$4*$J$5+[15]FormattedData!L80^2*$J$6+$M$5*$J$7</f>
        <v>42.566824911474811</v>
      </c>
      <c r="T40" s="6">
        <f>$J$3+[15]FormattedData!M80*$J$4+$M$4*$J$5+[15]FormattedData!M80^2*$J$6+$M$5*$J$7</f>
        <v>58.391758416501482</v>
      </c>
      <c r="U40" s="6">
        <f>$J$3+[15]FormattedData!N80*$J$4+$M$4*$J$5+[15]FormattedData!N80^2*$J$6+$M$5*$J$7</f>
        <v>53.008812386287374</v>
      </c>
      <c r="V40" s="6">
        <f>$J$3+[15]FormattedData!O80*$J$4+$M$4*$J$5+[15]FormattedData!O80^2*$J$6+$M$5*$J$7</f>
        <v>46.561609455971315</v>
      </c>
      <c r="W40" s="5">
        <f t="shared" si="0"/>
        <v>52.521405245144962</v>
      </c>
      <c r="X40" s="4">
        <f t="shared" si="1"/>
        <v>1.5650193991031265</v>
      </c>
      <c r="Y40" s="3">
        <f t="shared" si="2"/>
        <v>42.566824911474811</v>
      </c>
      <c r="Z40" s="2">
        <f t="shared" si="3"/>
        <v>48.06074679316481</v>
      </c>
      <c r="AA40" s="3">
        <f t="shared" si="4"/>
        <v>53.008812386287374</v>
      </c>
      <c r="AB40" s="2">
        <f t="shared" si="5"/>
        <v>56.548989174160937</v>
      </c>
      <c r="AC40" s="2">
        <f t="shared" si="6"/>
        <v>60.315157351454644</v>
      </c>
      <c r="AD40" s="2">
        <f t="shared" si="7"/>
        <v>-0.31825906204441939</v>
      </c>
      <c r="AE40" s="2">
        <f t="shared" si="8"/>
        <v>-0.71596034854214308</v>
      </c>
    </row>
    <row r="41" spans="2:31" x14ac:dyDescent="0.2">
      <c r="B41" s="1">
        <f>[15]FormattedData!A78</f>
        <v>408</v>
      </c>
      <c r="C41" s="1" t="str">
        <f>VLOOKUP($B41,[15]TrtCodes!$B$11:I121,2)</f>
        <v>NTL</v>
      </c>
      <c r="D41" s="1">
        <f>VLOOKUP($B41,[15]TrtCodes!$B$11:J121,3)</f>
        <v>10</v>
      </c>
      <c r="E41" s="1">
        <f>VLOOKUP($B41,[15]TrtCodes!$B$11:K121,4)</f>
        <v>2</v>
      </c>
      <c r="F41" s="1">
        <f>VLOOKUP($B41,[15]TrtCodes!$B$11:L121,5)</f>
        <v>2</v>
      </c>
      <c r="G41" s="1">
        <f>VLOOKUP($B41,[15]TrtCodes!$B$11:M121,6)</f>
        <v>1</v>
      </c>
      <c r="H41" s="1">
        <f>VLOOKUP($B41,[15]TrtCodes!$B$11:N121,7)</f>
        <v>4</v>
      </c>
      <c r="I41" s="1">
        <f>[15]FormattedData!B78</f>
        <v>1</v>
      </c>
      <c r="J41" s="4">
        <f>[15]FormattedData!C78</f>
        <v>13.632</v>
      </c>
      <c r="K41" s="6">
        <f>$J$3+[15]FormattedData!D78*$J$4+$M$4*$J$5+[15]FormattedData!D78^2*$J$6+$M$5*$J$7</f>
        <v>50.738374405590449</v>
      </c>
      <c r="L41" s="6">
        <f>$J$3+[15]FormattedData!E78*$J$4+$M$4*$J$5+[15]FormattedData!E78^2*$J$6+$M$5*$J$7</f>
        <v>40.631374919918038</v>
      </c>
      <c r="M41" s="6">
        <f>$J$3+[15]FormattedData!F78*$J$4+$M$4*$J$5+[15]FormattedData!F78^2*$J$6+$M$5*$J$7</f>
        <v>41.555342542626526</v>
      </c>
      <c r="N41" s="6">
        <f>$J$3+[15]FormattedData!G78*$J$4+$M$4*$J$5+[15]FormattedData!G78^2*$J$6+$M$5*$J$7</f>
        <v>42.291473306062279</v>
      </c>
      <c r="O41" s="6">
        <f>$J$3+[15]FormattedData!H78*$J$4+$M$4*$J$5+[15]FormattedData!H78^2*$J$6+$M$5*$J$7</f>
        <v>40.260604351772564</v>
      </c>
      <c r="P41" s="6">
        <f>$J$3+[15]FormattedData!I78*$J$4+$M$4*$J$5+[15]FormattedData!I78^2*$J$6+$M$5*$J$7</f>
        <v>49.149794385625697</v>
      </c>
      <c r="Q41" s="6">
        <f>$J$3+[15]FormattedData!J78*$J$4+$M$4*$J$5+[15]FormattedData!J78^2*$J$6+$M$5*$J$7</f>
        <v>34.522555811105704</v>
      </c>
      <c r="R41" s="6">
        <f>$J$3+[15]FormattedData!K78*$J$4+$M$4*$J$5+[15]FormattedData!K78^2*$J$6+$M$5*$J$7</f>
        <v>49.238408113751717</v>
      </c>
      <c r="S41" s="6">
        <f>$J$3+[15]FormattedData!L78*$J$4+$M$4*$J$5+[15]FormattedData!L78^2*$J$6+$M$5*$J$7</f>
        <v>34.331760154177772</v>
      </c>
      <c r="T41" s="6">
        <f>$J$3+[15]FormattedData!M78*$J$4+$M$4*$J$5+[15]FormattedData!M78^2*$J$6+$M$5*$J$7</f>
        <v>48.972440123759881</v>
      </c>
      <c r="U41" s="6">
        <f>$J$3+[15]FormattedData!N78*$J$4+$M$4*$J$5+[15]FormattedData!N78^2*$J$6+$M$5*$J$7</f>
        <v>35.379043974653747</v>
      </c>
      <c r="V41" s="6">
        <f>$J$3+[15]FormattedData!O78*$J$4+$M$4*$J$5+[15]FormattedData!O78^2*$J$6+$M$5*$J$7</f>
        <v>32.606990904998895</v>
      </c>
      <c r="W41" s="5">
        <f t="shared" si="0"/>
        <v>41.639846916170278</v>
      </c>
      <c r="X41" s="4">
        <f t="shared" si="1"/>
        <v>1.9047245061214986</v>
      </c>
      <c r="Y41" s="3">
        <f t="shared" si="2"/>
        <v>32.606990904998895</v>
      </c>
      <c r="Z41" s="2">
        <f t="shared" si="3"/>
        <v>35.164921933766735</v>
      </c>
      <c r="AA41" s="3">
        <f t="shared" si="4"/>
        <v>41.093358731272282</v>
      </c>
      <c r="AB41" s="2">
        <f t="shared" si="5"/>
        <v>49.016778689226335</v>
      </c>
      <c r="AC41" s="2">
        <f t="shared" si="6"/>
        <v>50.738374405590449</v>
      </c>
      <c r="AD41" s="2">
        <f t="shared" si="7"/>
        <v>0.1037150648222785</v>
      </c>
      <c r="AE41" s="2">
        <f t="shared" si="8"/>
        <v>-1.5495449920907296</v>
      </c>
    </row>
    <row r="42" spans="2:31" x14ac:dyDescent="0.2">
      <c r="B42" s="17">
        <f>[15]FormattedData!A60</f>
        <v>901</v>
      </c>
      <c r="C42" s="17" t="str">
        <f>VLOOKUP($B42,[15]TrtCodes!$B$11:I103,2)</f>
        <v>WS</v>
      </c>
      <c r="D42" s="17">
        <f>VLOOKUP($B42,[15]TrtCodes!$B$11:J103,3)</f>
        <v>32</v>
      </c>
      <c r="E42" s="17">
        <f>VLOOKUP($B42,[15]TrtCodes!$B$11:K103,4)</f>
        <v>9</v>
      </c>
      <c r="F42" s="17">
        <f>VLOOKUP($B42,[15]TrtCodes!$B$11:L103,5)</f>
        <v>0</v>
      </c>
      <c r="G42" s="17">
        <f>VLOOKUP($B42,[15]TrtCodes!$B$11:M103,6)</f>
        <v>1</v>
      </c>
      <c r="H42" s="17">
        <f>VLOOKUP($B42,[15]TrtCodes!$B$11:N103,7)</f>
        <v>1</v>
      </c>
      <c r="I42" s="17">
        <f>[15]FormattedData!B60</f>
        <v>1</v>
      </c>
      <c r="J42" s="15">
        <f>[15]FormattedData!C60</f>
        <v>13.471</v>
      </c>
      <c r="K42" s="14">
        <f>$J$3+[15]FormattedData!D60*$J$4+$M$4*$J$5+[15]FormattedData!D60^2*$J$6+$M$5*$J$7</f>
        <v>35.663779195486995</v>
      </c>
      <c r="L42" s="14">
        <f>$J$3+[15]FormattedData!E60*$J$4+$M$4*$J$5+[15]FormattedData!E60^2*$J$6+$M$5*$J$7</f>
        <v>35.473997983469431</v>
      </c>
      <c r="M42" s="14">
        <f>$J$3+[15]FormattedData!F60*$J$4+$M$4*$J$5+[15]FormattedData!F60^2*$J$6+$M$5*$J$7</f>
        <v>35.284047697300124</v>
      </c>
      <c r="N42" s="14">
        <f>$J$3+[15]FormattedData!G60*$J$4+$M$4*$J$5+[15]FormattedData!G60^2*$J$6+$M$5*$J$7</f>
        <v>35.093928336979104</v>
      </c>
      <c r="O42" s="14">
        <f>$J$3+[15]FormattedData!H60*$J$4+$M$4*$J$5+[15]FormattedData!H60^2*$J$6+$M$5*$J$7</f>
        <v>35.093928336979104</v>
      </c>
      <c r="P42" s="14">
        <f>$J$3+[15]FormattedData!I60*$J$4+$M$4*$J$5+[15]FormattedData!I60^2*$J$6+$M$5*$J$7</f>
        <v>35.189009151408584</v>
      </c>
      <c r="Q42" s="14">
        <f>$J$3+[15]FormattedData!J60*$J$4+$M$4*$J$5+[15]FormattedData!J60^2*$J$6+$M$5*$J$7</f>
        <v>35.379043974653747</v>
      </c>
      <c r="R42" s="14">
        <f>$J$3+[15]FormattedData!K60*$J$4+$M$4*$J$5+[15]FormattedData!K60^2*$J$6+$M$5*$J$7</f>
        <v>35.663779195486995</v>
      </c>
      <c r="S42" s="14">
        <f>$J$3+[15]FormattedData!L60*$J$4+$M$4*$J$5+[15]FormattedData!L60^2*$J$6+$M$5*$J$7</f>
        <v>35.379043974653747</v>
      </c>
      <c r="T42" s="14">
        <f>$J$3+[15]FormattedData!M60*$J$4+$M$4*$J$5+[15]FormattedData!M60^2*$J$6+$M$5*$J$7</f>
        <v>35.093928336979104</v>
      </c>
      <c r="U42" s="14">
        <f>$J$3+[15]FormattedData!N60*$J$4+$M$4*$J$5+[15]FormattedData!N60^2*$J$6+$M$5*$J$7</f>
        <v>35.379043974653747</v>
      </c>
      <c r="V42" s="14">
        <f>$J$3+[15]FormattedData!O60*$J$4+$M$4*$J$5+[15]FormattedData!O60^2*$J$6+$M$5*$J$7</f>
        <v>35.473997983469431</v>
      </c>
      <c r="W42" s="16">
        <f t="shared" ref="W42:W73" si="9">AVERAGE(K42:V42)</f>
        <v>35.347294011793345</v>
      </c>
      <c r="X42" s="15">
        <f t="shared" ref="X42:X73" si="10">STDEV(K42:V42)/SQRT(COUNT(K42:V42))</f>
        <v>5.8845869885668305E-2</v>
      </c>
      <c r="Y42" s="14">
        <f t="shared" ref="Y42:Y73" si="11">MIN(K42:V42)</f>
        <v>35.093928336979104</v>
      </c>
      <c r="Z42" s="13">
        <f t="shared" ref="Z42:Z73" si="12">QUARTILE(K42:V42,1)</f>
        <v>35.165238947801214</v>
      </c>
      <c r="AA42" s="14">
        <f t="shared" ref="AA42:AA73" si="13">MEDIAN(K42:V42)</f>
        <v>35.379043974653747</v>
      </c>
      <c r="AB42" s="13">
        <f t="shared" ref="AB42:AB73" si="14">QUARTILE(K42:V42,3)</f>
        <v>35.473997983469431</v>
      </c>
      <c r="AC42" s="13">
        <f t="shared" ref="AC42:AC73" si="15">MAX(K42:V42)</f>
        <v>35.663779195486995</v>
      </c>
      <c r="AD42" s="13">
        <f t="shared" ref="AD42:AD73" si="16">SKEW(K42:V42)</f>
        <v>0.18740764950809907</v>
      </c>
      <c r="AE42" s="13">
        <f t="shared" ref="AE42:AE73" si="17">KURT(K42:V42)</f>
        <v>-0.9680255723779676</v>
      </c>
    </row>
    <row r="43" spans="2:31" x14ac:dyDescent="0.2">
      <c r="B43" s="1">
        <f>[15]FormattedData!A58</f>
        <v>902</v>
      </c>
      <c r="C43" s="1" t="str">
        <f>VLOOKUP($B43,[15]TrtCodes!$B$11:I101,2)</f>
        <v>Late</v>
      </c>
      <c r="D43" s="1">
        <f>VLOOKUP($B43,[15]TrtCodes!$B$11:J101,3)</f>
        <v>22</v>
      </c>
      <c r="E43" s="1">
        <f>VLOOKUP($B43,[15]TrtCodes!$B$11:K101,4)</f>
        <v>4</v>
      </c>
      <c r="F43" s="1">
        <f>VLOOKUP($B43,[15]TrtCodes!$B$11:L101,5)</f>
        <v>2</v>
      </c>
      <c r="G43" s="1">
        <f>VLOOKUP($B43,[15]TrtCodes!$B$11:M101,6)</f>
        <v>2</v>
      </c>
      <c r="H43" s="1">
        <f>VLOOKUP($B43,[15]TrtCodes!$B$11:N101,7)</f>
        <v>1</v>
      </c>
      <c r="I43" s="1">
        <f>[15]FormattedData!B58</f>
        <v>1</v>
      </c>
      <c r="J43" s="4">
        <f>[15]FormattedData!C58</f>
        <v>13.452999999999999</v>
      </c>
      <c r="K43" s="6">
        <f>$J$3+[15]FormattedData!D58*$J$4+$M$4*$J$5+[15]FormattedData!D58^2*$J$6+$M$5*$J$7</f>
        <v>56.531062595922549</v>
      </c>
      <c r="L43" s="6">
        <f>$J$3+[15]FormattedData!E58*$J$4+$M$4*$J$5+[15]FormattedData!E58^2*$J$6+$M$5*$J$7</f>
        <v>52.748297037688658</v>
      </c>
      <c r="M43" s="6">
        <f>$J$3+[15]FormattedData!F58*$J$4+$M$4*$J$5+[15]FormattedData!F58^2*$J$6+$M$5*$J$7</f>
        <v>40.260604351772564</v>
      </c>
      <c r="N43" s="6">
        <f>$J$3+[15]FormattedData!G58*$J$4+$M$4*$J$5+[15]FormattedData!G58^2*$J$6+$M$5*$J$7</f>
        <v>53.788075931035223</v>
      </c>
      <c r="O43" s="6">
        <f>$J$3+[15]FormattedData!H58*$J$4+$M$4*$J$5+[15]FormattedData!H58^2*$J$6+$M$5*$J$7</f>
        <v>37.927965955863357</v>
      </c>
      <c r="P43" s="6">
        <f>$J$3+[15]FormattedData!I58*$J$4+$M$4*$J$5+[15]FormattedData!I58^2*$J$6+$M$5*$J$7</f>
        <v>56.190556300935775</v>
      </c>
      <c r="Q43" s="6">
        <f>$J$3+[15]FormattedData!J58*$J$4+$M$4*$J$5+[15]FormattedData!J58^2*$J$6+$M$5*$J$7</f>
        <v>38.302963377801937</v>
      </c>
      <c r="R43" s="6">
        <f>$J$3+[15]FormattedData!K58*$J$4+$M$4*$J$5+[15]FormattedData!K58^2*$J$6+$M$5*$J$7</f>
        <v>52.400351480026004</v>
      </c>
      <c r="S43" s="6">
        <f>$J$3+[15]FormattedData!L58*$J$4+$M$4*$J$5+[15]FormattedData!L58^2*$J$6+$M$5*$J$7</f>
        <v>37.458268136336677</v>
      </c>
      <c r="T43" s="6">
        <f>$J$3+[15]FormattedData!M58*$J$4+$M$4*$J$5+[15]FormattedData!M58^2*$J$6+$M$5*$J$7</f>
        <v>55.079240168787372</v>
      </c>
      <c r="U43" s="6">
        <f>$J$3+[15]FormattedData!N58*$J$4+$M$4*$J$5+[15]FormattedData!N58^2*$J$6+$M$5*$J$7</f>
        <v>46.021684722318668</v>
      </c>
      <c r="V43" s="6">
        <f>$J$3+[15]FormattedData!O58*$J$4+$M$4*$J$5+[15]FormattedData!O58^2*$J$6+$M$5*$J$7</f>
        <v>40.167806038391376</v>
      </c>
      <c r="W43" s="5">
        <f t="shared" si="9"/>
        <v>47.239739674740015</v>
      </c>
      <c r="X43" s="4">
        <f t="shared" si="10"/>
        <v>2.2866823144600521</v>
      </c>
      <c r="Y43" s="3">
        <f t="shared" si="11"/>
        <v>37.458268136336677</v>
      </c>
      <c r="Z43" s="2">
        <f t="shared" si="12"/>
        <v>39.701595373244018</v>
      </c>
      <c r="AA43" s="3">
        <f t="shared" si="13"/>
        <v>49.211018101172336</v>
      </c>
      <c r="AB43" s="2">
        <f t="shared" si="14"/>
        <v>54.110866990473262</v>
      </c>
      <c r="AC43" s="2">
        <f t="shared" si="15"/>
        <v>56.531062595922549</v>
      </c>
      <c r="AD43" s="2">
        <f t="shared" si="16"/>
        <v>-0.12423780350301931</v>
      </c>
      <c r="AE43" s="2">
        <f t="shared" si="17"/>
        <v>-2.0704593604707844</v>
      </c>
    </row>
    <row r="44" spans="2:31" x14ac:dyDescent="0.2">
      <c r="B44" s="17">
        <f>[15]FormattedData!A56</f>
        <v>903</v>
      </c>
      <c r="C44" s="17" t="str">
        <f>VLOOKUP($B44,[15]TrtCodes!$B$11:I99,2)</f>
        <v>DS</v>
      </c>
      <c r="D44" s="17">
        <f>VLOOKUP($B44,[15]TrtCodes!$B$11:J99,3)</f>
        <v>31</v>
      </c>
      <c r="E44" s="17">
        <f>VLOOKUP($B44,[15]TrtCodes!$B$11:K99,4)</f>
        <v>8</v>
      </c>
      <c r="F44" s="17">
        <f>VLOOKUP($B44,[15]TrtCodes!$B$11:L99,5)</f>
        <v>0</v>
      </c>
      <c r="G44" s="17">
        <f>VLOOKUP($B44,[15]TrtCodes!$B$11:M99,6)</f>
        <v>1</v>
      </c>
      <c r="H44" s="17">
        <f>VLOOKUP($B44,[15]TrtCodes!$B$11:N99,7)</f>
        <v>1</v>
      </c>
      <c r="I44" s="17">
        <f>[15]FormattedData!B56</f>
        <v>1</v>
      </c>
      <c r="J44" s="15">
        <f>[15]FormattedData!C56</f>
        <v>13.444000000000001</v>
      </c>
      <c r="K44" s="14">
        <f>$J$3+[15]FormattedData!D56*$J$4+$M$4*$J$5+[15]FormattedData!D56^2*$J$6+$M$5*$J$7</f>
        <v>62.790335083303511</v>
      </c>
      <c r="L44" s="14">
        <f>$J$3+[15]FormattedData!E56*$J$4+$M$4*$J$5+[15]FormattedData!E56^2*$J$6+$M$5*$J$7</f>
        <v>62.872185845360548</v>
      </c>
      <c r="M44" s="14">
        <f>$J$3+[15]FormattedData!F56*$J$4+$M$4*$J$5+[15]FormattedData!F56^2*$J$6+$M$5*$J$7</f>
        <v>62.790335083303511</v>
      </c>
      <c r="N44" s="14">
        <f>$J$3+[15]FormattedData!G56*$J$4+$M$4*$J$5+[15]FormattedData!G56^2*$J$6+$M$5*$J$7</f>
        <v>62.544529185904842</v>
      </c>
      <c r="O44" s="14">
        <f>$J$3+[15]FormattedData!H56*$J$4+$M$4*$J$5+[15]FormattedData!H56^2*$J$6+$M$5*$J$7</f>
        <v>62.544529185904842</v>
      </c>
      <c r="P44" s="14">
        <f>$J$3+[15]FormattedData!I56*$J$4+$M$4*$J$5+[15]FormattedData!I56^2*$J$6+$M$5*$J$7</f>
        <v>62.462509349696091</v>
      </c>
      <c r="Q44" s="14">
        <f>$J$3+[15]FormattedData!J56*$J$4+$M$4*$J$5+[15]FormattedData!J56^2*$J$6+$M$5*$J$7</f>
        <v>62.626506753575661</v>
      </c>
      <c r="R44" s="14">
        <f>$J$3+[15]FormattedData!K56*$J$4+$M$4*$J$5+[15]FormattedData!K56^2*$J$6+$M$5*$J$7</f>
        <v>62.708442052708548</v>
      </c>
      <c r="S44" s="14">
        <f>$J$3+[15]FormattedData!L56*$J$4+$M$4*$J$5+[15]FormattedData!L56^2*$J$6+$M$5*$J$7</f>
        <v>62.626506753575661</v>
      </c>
      <c r="T44" s="14">
        <f>$J$3+[15]FormattedData!M56*$J$4+$M$4*$J$5+[15]FormattedData!M56^2*$J$6+$M$5*$J$7</f>
        <v>63.035760563860805</v>
      </c>
      <c r="U44" s="14">
        <f>$J$3+[15]FormattedData!N56*$J$4+$M$4*$J$5+[15]FormattedData!N56^2*$J$6+$M$5*$J$7</f>
        <v>62.790335083303511</v>
      </c>
      <c r="V44" s="14">
        <f>$J$3+[15]FormattedData!O56*$J$4+$M$4*$J$5+[15]FormattedData!O56^2*$J$6+$M$5*$J$7</f>
        <v>62.626506753575661</v>
      </c>
      <c r="W44" s="16">
        <f t="shared" si="9"/>
        <v>62.701540141172764</v>
      </c>
      <c r="X44" s="15">
        <f t="shared" si="10"/>
        <v>4.6698187632043808E-2</v>
      </c>
      <c r="Y44" s="14">
        <f t="shared" si="11"/>
        <v>62.462509349696091</v>
      </c>
      <c r="Z44" s="13">
        <f t="shared" si="12"/>
        <v>62.60601236165796</v>
      </c>
      <c r="AA44" s="14">
        <f t="shared" si="13"/>
        <v>62.667474403142108</v>
      </c>
      <c r="AB44" s="13">
        <f t="shared" si="14"/>
        <v>62.790335083303511</v>
      </c>
      <c r="AC44" s="13">
        <f t="shared" si="15"/>
        <v>63.035760563860805</v>
      </c>
      <c r="AD44" s="13">
        <f t="shared" si="16"/>
        <v>0.56017689580343943</v>
      </c>
      <c r="AE44" s="13">
        <f t="shared" si="17"/>
        <v>0.12862083613249453</v>
      </c>
    </row>
    <row r="45" spans="2:31" x14ac:dyDescent="0.2">
      <c r="B45" s="1">
        <f>[15]FormattedData!A54</f>
        <v>904</v>
      </c>
      <c r="C45" s="1" t="str">
        <f>VLOOKUP($B45,[15]TrtCodes!$B$11:I97,2)</f>
        <v>Early</v>
      </c>
      <c r="D45" s="1">
        <f>VLOOKUP($B45,[15]TrtCodes!$B$11:J97,3)</f>
        <v>21</v>
      </c>
      <c r="E45" s="1">
        <f>VLOOKUP($B45,[15]TrtCodes!$B$11:K97,4)</f>
        <v>3</v>
      </c>
      <c r="F45" s="1">
        <f>VLOOKUP($B45,[15]TrtCodes!$B$11:L97,5)</f>
        <v>2</v>
      </c>
      <c r="G45" s="1">
        <f>VLOOKUP($B45,[15]TrtCodes!$B$11:M97,6)</f>
        <v>2</v>
      </c>
      <c r="H45" s="1">
        <f>VLOOKUP($B45,[15]TrtCodes!$B$11:N97,7)</f>
        <v>1</v>
      </c>
      <c r="I45" s="1">
        <f>[15]FormattedData!B54</f>
        <v>1</v>
      </c>
      <c r="J45" s="4">
        <f>[15]FormattedData!C54</f>
        <v>13.426</v>
      </c>
      <c r="K45" s="6">
        <f>$J$3+[15]FormattedData!D54*$J$4+$M$4*$J$5+[15]FormattedData!D54^2*$J$6+$M$5*$J$7</f>
        <v>61.722428739610386</v>
      </c>
      <c r="L45" s="6">
        <f>$J$3+[15]FormattedData!E54*$J$4+$M$4*$J$5+[15]FormattedData!E54^2*$J$6+$M$5*$J$7</f>
        <v>53.268947318044695</v>
      </c>
      <c r="M45" s="6">
        <f>$J$3+[15]FormattedData!F54*$J$4+$M$4*$J$5+[15]FormattedData!F54^2*$J$6+$M$5*$J$7</f>
        <v>46.111777849272272</v>
      </c>
      <c r="N45" s="6">
        <f>$J$3+[15]FormattedData!G54*$J$4+$M$4*$J$5+[15]FormattedData!G54^2*$J$6+$M$5*$J$7</f>
        <v>57.463967752756851</v>
      </c>
      <c r="O45" s="6">
        <f>$J$3+[15]FormattedData!H54*$J$4+$M$4*$J$5+[15]FormattedData!H54^2*$J$6+$M$5*$J$7</f>
        <v>42.566824911474811</v>
      </c>
      <c r="P45" s="6">
        <f>$J$3+[15]FormattedData!I54*$J$4+$M$4*$J$5+[15]FormattedData!I54^2*$J$6+$M$5*$J$7</f>
        <v>54.133316302270273</v>
      </c>
      <c r="Q45" s="6">
        <f>$J$3+[15]FormattedData!J54*$J$4+$M$4*$J$5+[15]FormattedData!J54^2*$J$6+$M$5*$J$7</f>
        <v>44.665215593462904</v>
      </c>
      <c r="R45" s="6">
        <f>$J$3+[15]FormattedData!K54*$J$4+$M$4*$J$5+[15]FormattedData!K54^2*$J$6+$M$5*$J$7</f>
        <v>61.392405042030546</v>
      </c>
      <c r="S45" s="6">
        <f>$J$3+[15]FormattedData!L54*$J$4+$M$4*$J$5+[15]FormattedData!L54^2*$J$6+$M$5*$J$7</f>
        <v>42.291473306062279</v>
      </c>
      <c r="T45" s="6">
        <f>$J$3+[15]FormattedData!M54*$J$4+$M$4*$J$5+[15]FormattedData!M54^2*$J$6+$M$5*$J$7</f>
        <v>57.040553982264768</v>
      </c>
      <c r="U45" s="6">
        <f>$J$3+[15]FormattedData!N54*$J$4+$M$4*$J$5+[15]FormattedData!N54^2*$J$6+$M$5*$J$7</f>
        <v>43.116386871775759</v>
      </c>
      <c r="V45" s="6">
        <f>$J$3+[15]FormattedData!O54*$J$4+$M$4*$J$5+[15]FormattedData!O54^2*$J$6+$M$5*$J$7</f>
        <v>60.231996264721751</v>
      </c>
      <c r="W45" s="5">
        <f t="shared" si="9"/>
        <v>52.000441161145602</v>
      </c>
      <c r="X45" s="4">
        <f t="shared" si="10"/>
        <v>2.2404023151400545</v>
      </c>
      <c r="Y45" s="3">
        <f t="shared" si="11"/>
        <v>42.291473306062279</v>
      </c>
      <c r="Z45" s="2">
        <f t="shared" si="12"/>
        <v>44.278008413041121</v>
      </c>
      <c r="AA45" s="3">
        <f t="shared" si="13"/>
        <v>53.701131810157484</v>
      </c>
      <c r="AB45" s="2">
        <f t="shared" si="14"/>
        <v>58.155974880748076</v>
      </c>
      <c r="AC45" s="2">
        <f t="shared" si="15"/>
        <v>61.722428739610386</v>
      </c>
      <c r="AD45" s="2">
        <f t="shared" si="16"/>
        <v>-0.10427351341698496</v>
      </c>
      <c r="AE45" s="2">
        <f t="shared" si="17"/>
        <v>-1.8617778090626174</v>
      </c>
    </row>
    <row r="46" spans="2:31" x14ac:dyDescent="0.2">
      <c r="B46" s="17">
        <f>[15]FormattedData!A52</f>
        <v>905</v>
      </c>
      <c r="C46" s="17" t="str">
        <f>VLOOKUP($B46,[15]TrtCodes!$B$11:I95,2)</f>
        <v>WS</v>
      </c>
      <c r="D46" s="17">
        <f>VLOOKUP($B46,[15]TrtCodes!$B$11:J95,3)</f>
        <v>32</v>
      </c>
      <c r="E46" s="17">
        <f>VLOOKUP($B46,[15]TrtCodes!$B$11:K95,4)</f>
        <v>9</v>
      </c>
      <c r="F46" s="17">
        <f>VLOOKUP($B46,[15]TrtCodes!$B$11:L95,5)</f>
        <v>0</v>
      </c>
      <c r="G46" s="17">
        <f>VLOOKUP($B46,[15]TrtCodes!$B$11:M95,6)</f>
        <v>1</v>
      </c>
      <c r="H46" s="17">
        <f>VLOOKUP($B46,[15]TrtCodes!$B$11:N95,7)</f>
        <v>2</v>
      </c>
      <c r="I46" s="17">
        <f>[15]FormattedData!B52</f>
        <v>1</v>
      </c>
      <c r="J46" s="15">
        <f>[15]FormattedData!C52</f>
        <v>13.417</v>
      </c>
      <c r="K46" s="14">
        <f>$J$3+[15]FormattedData!D52*$J$4+$M$4*$J$5+[15]FormattedData!D52^2*$J$6+$M$5*$J$7</f>
        <v>35.948133999478877</v>
      </c>
      <c r="L46" s="14">
        <f>$J$3+[15]FormattedData!E52*$J$4+$M$4*$J$5+[15]FormattedData!E52^2*$J$6+$M$5*$J$7</f>
        <v>35.853391333352846</v>
      </c>
      <c r="M46" s="14">
        <f>$J$3+[15]FormattedData!F52*$J$4+$M$4*$J$5+[15]FormattedData!F52^2*$J$6+$M$5*$J$7</f>
        <v>35.853391333352846</v>
      </c>
      <c r="N46" s="14">
        <f>$J$3+[15]FormattedData!G52*$J$4+$M$4*$J$5+[15]FormattedData!G52^2*$J$6+$M$5*$J$7</f>
        <v>35.568909723747176</v>
      </c>
      <c r="O46" s="14">
        <f>$J$3+[15]FormattedData!H52*$J$4+$M$4*$J$5+[15]FormattedData!H52^2*$J$6+$M$5*$J$7</f>
        <v>35.473997983469431</v>
      </c>
      <c r="P46" s="14">
        <f>$J$3+[15]FormattedData!I52*$J$4+$M$4*$J$5+[15]FormattedData!I52^2*$J$6+$M$5*$J$7</f>
        <v>35.948133999478877</v>
      </c>
      <c r="Q46" s="14">
        <f>$J$3+[15]FormattedData!J52*$J$4+$M$4*$J$5+[15]FormattedData!J52^2*$J$6+$M$5*$J$7</f>
        <v>35.284047697300124</v>
      </c>
      <c r="R46" s="14">
        <f>$J$3+[15]FormattedData!K52*$J$4+$M$4*$J$5+[15]FormattedData!K52^2*$J$6+$M$5*$J$7</f>
        <v>34.998805254011707</v>
      </c>
      <c r="S46" s="14">
        <f>$J$3+[15]FormattedData!L52*$J$4+$M$4*$J$5+[15]FormattedData!L52^2*$J$6+$M$5*$J$7</f>
        <v>34.903639902506363</v>
      </c>
      <c r="T46" s="14">
        <f>$J$3+[15]FormattedData!M52*$J$4+$M$4*$J$5+[15]FormattedData!M52^2*$J$6+$M$5*$J$7</f>
        <v>35.284047697300124</v>
      </c>
      <c r="U46" s="14">
        <f>$J$3+[15]FormattedData!N52*$J$4+$M$4*$J$5+[15]FormattedData!N52^2*$J$6+$M$5*$J$7</f>
        <v>35.284047697300124</v>
      </c>
      <c r="V46" s="14">
        <f>$J$3+[15]FormattedData!O52*$J$4+$M$4*$J$5+[15]FormattedData!O52^2*$J$6+$M$5*$J$7</f>
        <v>35.75860639868889</v>
      </c>
      <c r="W46" s="16">
        <f t="shared" si="9"/>
        <v>35.513262751665614</v>
      </c>
      <c r="X46" s="15">
        <f t="shared" si="10"/>
        <v>0.10547001152565146</v>
      </c>
      <c r="Y46" s="14">
        <f t="shared" si="11"/>
        <v>34.903639902506363</v>
      </c>
      <c r="Z46" s="13">
        <f t="shared" si="12"/>
        <v>35.284047697300124</v>
      </c>
      <c r="AA46" s="14">
        <f t="shared" si="13"/>
        <v>35.521453853608307</v>
      </c>
      <c r="AB46" s="13">
        <f t="shared" si="14"/>
        <v>35.853391333352846</v>
      </c>
      <c r="AC46" s="13">
        <f t="shared" si="15"/>
        <v>35.948133999478877</v>
      </c>
      <c r="AD46" s="13">
        <f t="shared" si="16"/>
        <v>-0.31492489746262831</v>
      </c>
      <c r="AE46" s="13">
        <f t="shared" si="17"/>
        <v>-1.2178634096376446</v>
      </c>
    </row>
    <row r="47" spans="2:31" x14ac:dyDescent="0.2">
      <c r="B47" s="1">
        <f>[15]FormattedData!A50</f>
        <v>906</v>
      </c>
      <c r="C47" s="1" t="str">
        <f>VLOOKUP($B47,[15]TrtCodes!$B$11:I93,2)</f>
        <v>Late</v>
      </c>
      <c r="D47" s="1">
        <f>VLOOKUP($B47,[15]TrtCodes!$B$11:J93,3)</f>
        <v>22</v>
      </c>
      <c r="E47" s="1">
        <f>VLOOKUP($B47,[15]TrtCodes!$B$11:K93,4)</f>
        <v>4</v>
      </c>
      <c r="F47" s="1">
        <f>VLOOKUP($B47,[15]TrtCodes!$B$11:L93,5)</f>
        <v>2</v>
      </c>
      <c r="G47" s="1">
        <f>VLOOKUP($B47,[15]TrtCodes!$B$11:M93,6)</f>
        <v>2</v>
      </c>
      <c r="H47" s="1">
        <f>VLOOKUP($B47,[15]TrtCodes!$B$11:N93,7)</f>
        <v>2</v>
      </c>
      <c r="I47" s="1">
        <f>[15]FormattedData!B50</f>
        <v>1</v>
      </c>
      <c r="J47" s="4">
        <f>[15]FormattedData!C50</f>
        <v>13.398999999999999</v>
      </c>
      <c r="K47" s="6">
        <f>$J$3+[15]FormattedData!D50*$J$4+$M$4*$J$5+[15]FormattedData!D50^2*$J$6+$M$5*$J$7</f>
        <v>51.527528788214191</v>
      </c>
      <c r="L47" s="6">
        <f>$J$3+[15]FormattedData!E50*$J$4+$M$4*$J$5+[15]FormattedData!E50^2*$J$6+$M$5*$J$7</f>
        <v>44.755942748485467</v>
      </c>
      <c r="M47" s="6">
        <f>$J$3+[15]FormattedData!F50*$J$4+$M$4*$J$5+[15]FormattedData!F50^2*$J$6+$M$5*$J$7</f>
        <v>34.903639902506363</v>
      </c>
      <c r="N47" s="6">
        <f>$J$3+[15]FormattedData!G50*$J$4+$M$4*$J$5+[15]FormattedData!G50^2*$J$6+$M$5*$J$7</f>
        <v>46.381803618905479</v>
      </c>
      <c r="O47" s="6">
        <f>$J$3+[15]FormattedData!H50*$J$4+$M$4*$J$5+[15]FormattedData!H50^2*$J$6+$M$5*$J$7</f>
        <v>38.770759113121713</v>
      </c>
      <c r="P47" s="6">
        <f>$J$3+[15]FormattedData!I50*$J$4+$M$4*$J$5+[15]FormattedData!I50^2*$J$6+$M$5*$J$7</f>
        <v>54.047069612268416</v>
      </c>
      <c r="Q47" s="6">
        <f>$J$3+[15]FormattedData!J50*$J$4+$M$4*$J$5+[15]FormattedData!J50^2*$J$6+$M$5*$J$7</f>
        <v>35.473997983469431</v>
      </c>
      <c r="R47" s="6">
        <f>$J$3+[15]FormattedData!K50*$J$4+$M$4*$J$5+[15]FormattedData!K50^2*$J$6+$M$5*$J$7</f>
        <v>56.190556300935775</v>
      </c>
      <c r="S47" s="6">
        <f>$J$3+[15]FormattedData!L50*$J$4+$M$4*$J$5+[15]FormattedData!L50^2*$J$6+$M$5*$J$7</f>
        <v>35.663779195486995</v>
      </c>
      <c r="T47" s="6">
        <f>$J$3+[15]FormattedData!M50*$J$4+$M$4*$J$5+[15]FormattedData!M50^2*$J$6+$M$5*$J$7</f>
        <v>54.993458432702752</v>
      </c>
      <c r="U47" s="6">
        <f>$J$3+[15]FormattedData!N50*$J$4+$M$4*$J$5+[15]FormattedData!N50^2*$J$6+$M$5*$J$7</f>
        <v>38.770759113121713</v>
      </c>
      <c r="V47" s="6">
        <f>$J$3+[15]FormattedData!O50*$J$4+$M$4*$J$5+[15]FormattedData!O50^2*$J$6+$M$5*$J$7</f>
        <v>38.302963377801937</v>
      </c>
      <c r="W47" s="5">
        <f t="shared" si="9"/>
        <v>44.148521515585024</v>
      </c>
      <c r="X47" s="4">
        <f t="shared" si="10"/>
        <v>2.3759017816070531</v>
      </c>
      <c r="Y47" s="3">
        <f t="shared" si="11"/>
        <v>34.903639902506363</v>
      </c>
      <c r="Z47" s="2">
        <f t="shared" si="12"/>
        <v>37.6431673322232</v>
      </c>
      <c r="AA47" s="3">
        <f t="shared" si="13"/>
        <v>41.76335093080359</v>
      </c>
      <c r="AB47" s="2">
        <f t="shared" si="14"/>
        <v>52.157413994227745</v>
      </c>
      <c r="AC47" s="2">
        <f t="shared" si="15"/>
        <v>56.190556300935775</v>
      </c>
      <c r="AD47" s="2">
        <f t="shared" si="16"/>
        <v>0.3600868215612989</v>
      </c>
      <c r="AE47" s="2">
        <f t="shared" si="17"/>
        <v>-1.6830034490550454</v>
      </c>
    </row>
    <row r="48" spans="2:31" x14ac:dyDescent="0.2">
      <c r="B48" s="17">
        <f>[15]FormattedData!A48</f>
        <v>907</v>
      </c>
      <c r="C48" s="17" t="str">
        <f>VLOOKUP($B48,[15]TrtCodes!$B$11:I91,2)</f>
        <v>DS</v>
      </c>
      <c r="D48" s="17">
        <f>VLOOKUP($B48,[15]TrtCodes!$B$11:J91,3)</f>
        <v>31</v>
      </c>
      <c r="E48" s="17">
        <f>VLOOKUP($B48,[15]TrtCodes!$B$11:K91,4)</f>
        <v>8</v>
      </c>
      <c r="F48" s="17">
        <f>VLOOKUP($B48,[15]TrtCodes!$B$11:L91,5)</f>
        <v>0</v>
      </c>
      <c r="G48" s="17">
        <f>VLOOKUP($B48,[15]TrtCodes!$B$11:M91,6)</f>
        <v>1</v>
      </c>
      <c r="H48" s="17">
        <f>VLOOKUP($B48,[15]TrtCodes!$B$11:N91,7)</f>
        <v>2</v>
      </c>
      <c r="I48" s="17">
        <f>[15]FormattedData!B48</f>
        <v>1</v>
      </c>
      <c r="J48" s="15">
        <f>[15]FormattedData!C48</f>
        <v>13.388</v>
      </c>
      <c r="K48" s="14">
        <f>$J$3+[15]FormattedData!D48*$J$4+$M$4*$J$5+[15]FormattedData!D48^2*$J$6+$M$5*$J$7</f>
        <v>61.392405042030546</v>
      </c>
      <c r="L48" s="14">
        <f>$J$3+[15]FormattedData!E48*$J$4+$M$4*$J$5+[15]FormattedData!E48^2*$J$6+$M$5*$J$7</f>
        <v>61.392405042030546</v>
      </c>
      <c r="M48" s="14">
        <f>$J$3+[15]FormattedData!F48*$J$4+$M$4*$J$5+[15]FormattedData!F48^2*$J$6+$M$5*$J$7</f>
        <v>61.639986218022337</v>
      </c>
      <c r="N48" s="14">
        <f>$J$3+[15]FormattedData!G48*$J$4+$M$4*$J$5+[15]FormattedData!G48^2*$J$6+$M$5*$J$7</f>
        <v>61.392405042030546</v>
      </c>
      <c r="O48" s="14">
        <f>$J$3+[15]FormattedData!H48*$J$4+$M$4*$J$5+[15]FormattedData!H48^2*$J$6+$M$5*$J$7</f>
        <v>61.474974369232406</v>
      </c>
      <c r="P48" s="14">
        <f>$J$3+[15]FormattedData!I48*$J$4+$M$4*$J$5+[15]FormattedData!I48^2*$J$6+$M$5*$J$7</f>
        <v>61.887186977172732</v>
      </c>
      <c r="Q48" s="14">
        <f>$J$3+[15]FormattedData!J48*$J$4+$M$4*$J$5+[15]FormattedData!J48^2*$J$6+$M$5*$J$7</f>
        <v>60.978924377952289</v>
      </c>
      <c r="R48" s="14">
        <f>$J$3+[15]FormattedData!K48*$J$4+$M$4*$J$5+[15]FormattedData!K48^2*$J$6+$M$5*$J$7</f>
        <v>61.227139582013045</v>
      </c>
      <c r="S48" s="14">
        <f>$J$3+[15]FormattedData!L48*$J$4+$M$4*$J$5+[15]FormattedData!L48^2*$J$6+$M$5*$J$7</f>
        <v>60.813236232555468</v>
      </c>
      <c r="T48" s="14">
        <f>$J$3+[15]FormattedData!M48*$J$4+$M$4*$J$5+[15]FormattedData!M48^2*$J$6+$M$5*$J$7</f>
        <v>61.392405042030546</v>
      </c>
      <c r="U48" s="14">
        <f>$J$3+[15]FormattedData!N48*$J$4+$M$4*$J$5+[15]FormattedData!N48^2*$J$6+$M$5*$J$7</f>
        <v>61.887186977172732</v>
      </c>
      <c r="V48" s="14">
        <f>$J$3+[15]FormattedData!O48*$J$4+$M$4*$J$5+[15]FormattedData!O48^2*$J$6+$M$5*$J$7</f>
        <v>61.474974369232406</v>
      </c>
      <c r="W48" s="16">
        <f t="shared" si="9"/>
        <v>61.412769105956301</v>
      </c>
      <c r="X48" s="15">
        <f t="shared" si="10"/>
        <v>9.1008210314601587E-2</v>
      </c>
      <c r="Y48" s="14">
        <f t="shared" si="11"/>
        <v>60.813236232555468</v>
      </c>
      <c r="Z48" s="13">
        <f t="shared" si="12"/>
        <v>61.351088677026169</v>
      </c>
      <c r="AA48" s="14">
        <f t="shared" si="13"/>
        <v>61.392405042030546</v>
      </c>
      <c r="AB48" s="13">
        <f t="shared" si="14"/>
        <v>61.516227331429889</v>
      </c>
      <c r="AC48" s="13">
        <f t="shared" si="15"/>
        <v>61.887186977172732</v>
      </c>
      <c r="AD48" s="13">
        <f t="shared" si="16"/>
        <v>-0.27092248459484602</v>
      </c>
      <c r="AE48" s="13">
        <f t="shared" si="17"/>
        <v>0.27077290996007797</v>
      </c>
    </row>
    <row r="49" spans="2:31" ht="13.5" thickBot="1" x14ac:dyDescent="0.25">
      <c r="B49" s="12">
        <f>[15]FormattedData!A46</f>
        <v>908</v>
      </c>
      <c r="C49" s="12" t="str">
        <f>VLOOKUP($B49,[15]TrtCodes!$B$11:I89,2)</f>
        <v>Early</v>
      </c>
      <c r="D49" s="12">
        <f>VLOOKUP($B49,[15]TrtCodes!$B$11:J89,3)</f>
        <v>21</v>
      </c>
      <c r="E49" s="12">
        <f>VLOOKUP($B49,[15]TrtCodes!$B$11:K89,4)</f>
        <v>3</v>
      </c>
      <c r="F49" s="12">
        <f>VLOOKUP($B49,[15]TrtCodes!$B$11:L89,5)</f>
        <v>2</v>
      </c>
      <c r="G49" s="12">
        <f>VLOOKUP($B49,[15]TrtCodes!$B$11:M89,6)</f>
        <v>2</v>
      </c>
      <c r="H49" s="12">
        <f>VLOOKUP($B49,[15]TrtCodes!$B$11:N89,7)</f>
        <v>2</v>
      </c>
      <c r="I49" s="12">
        <f>[15]FormattedData!B46</f>
        <v>1</v>
      </c>
      <c r="J49" s="9">
        <f>[15]FormattedData!C46</f>
        <v>13.364000000000001</v>
      </c>
      <c r="K49" s="11">
        <f>$J$3+[15]FormattedData!D46*$J$4+$M$4*$J$5+[15]FormattedData!D46^2*$J$6+$M$5*$J$7</f>
        <v>56.445999424982759</v>
      </c>
      <c r="L49" s="11">
        <f>$J$3+[15]FormattedData!E46*$J$4+$M$4*$J$5+[15]FormattedData!E46^2*$J$6+$M$5*$J$7</f>
        <v>52.400351480026004</v>
      </c>
      <c r="M49" s="11">
        <f>$J$3+[15]FormattedData!F46*$J$4+$M$4*$J$5+[15]FormattedData!F46^2*$J$6+$M$5*$J$7</f>
        <v>55.763972390098864</v>
      </c>
      <c r="N49" s="11">
        <f>$J$3+[15]FormattedData!G46*$J$4+$M$4*$J$5+[15]FormattedData!G46^2*$J$6+$M$5*$J$7</f>
        <v>49.857520691571722</v>
      </c>
      <c r="O49" s="11">
        <f>$J$3+[15]FormattedData!H46*$J$4+$M$4*$J$5+[15]FormattedData!H46^2*$J$6+$M$5*$J$7</f>
        <v>56.105324055844257</v>
      </c>
      <c r="P49" s="11">
        <f>$J$3+[15]FormattedData!I46*$J$4+$M$4*$J$5+[15]FormattedData!I46^2*$J$6+$M$5*$J$7</f>
        <v>47.547519359371258</v>
      </c>
      <c r="Q49" s="11">
        <f>$J$3+[15]FormattedData!J46*$J$4+$M$4*$J$5+[15]FormattedData!J46^2*$J$6+$M$5*$J$7</f>
        <v>55.336331765813668</v>
      </c>
      <c r="R49" s="11">
        <f>$J$3+[15]FormattedData!K46*$J$4+$M$4*$J$5+[15]FormattedData!K46^2*$J$6+$M$5*$J$7</f>
        <v>52.574408795933188</v>
      </c>
      <c r="S49" s="11">
        <f>$J$3+[15]FormattedData!L46*$J$4+$M$4*$J$5+[15]FormattedData!L46^2*$J$6+$M$5*$J$7</f>
        <v>49.503995686902165</v>
      </c>
      <c r="T49" s="11">
        <f>$J$3+[15]FormattedData!M46*$J$4+$M$4*$J$5+[15]FormattedData!M46^2*$J$6+$M$5*$J$7</f>
        <v>55.507514821141534</v>
      </c>
      <c r="U49" s="11">
        <f>$J$3+[15]FormattedData!N46*$J$4+$M$4*$J$5+[15]FormattedData!N46^2*$J$6+$M$5*$J$7</f>
        <v>55.763972390098864</v>
      </c>
      <c r="V49" s="11">
        <f>$J$3+[15]FormattedData!O46*$J$4+$M$4*$J$5+[15]FormattedData!O46^2*$J$6+$M$5*$J$7</f>
        <v>45.84137166279767</v>
      </c>
      <c r="W49" s="10">
        <f t="shared" si="9"/>
        <v>52.720690210381832</v>
      </c>
      <c r="X49" s="9">
        <f t="shared" si="10"/>
        <v>1.070331224784165</v>
      </c>
      <c r="Y49" s="8">
        <f t="shared" si="11"/>
        <v>45.84137166279767</v>
      </c>
      <c r="Z49" s="7">
        <f t="shared" si="12"/>
        <v>49.769139440404331</v>
      </c>
      <c r="AA49" s="8">
        <f t="shared" si="13"/>
        <v>53.955370280873424</v>
      </c>
      <c r="AB49" s="7">
        <f t="shared" si="14"/>
        <v>55.763972390098864</v>
      </c>
      <c r="AC49" s="7">
        <f t="shared" si="15"/>
        <v>56.445999424982759</v>
      </c>
      <c r="AD49" s="7">
        <f t="shared" si="16"/>
        <v>-0.71572754092518565</v>
      </c>
      <c r="AE49" s="7">
        <f t="shared" si="17"/>
        <v>-0.92112081458664141</v>
      </c>
    </row>
    <row r="50" spans="2:31" ht="13.5" thickTop="1" x14ac:dyDescent="0.2">
      <c r="B50" s="1">
        <f>[15]FormattedData!A29</f>
        <v>101</v>
      </c>
      <c r="C50" s="1" t="str">
        <f>VLOOKUP($B50,[15]TrtCodes!$B$11:I72,2)</f>
        <v>FSH</v>
      </c>
      <c r="D50" s="1">
        <f>VLOOKUP($B50,[15]TrtCodes!$B$11:J72,3)</f>
        <v>1</v>
      </c>
      <c r="E50" s="1">
        <f>VLOOKUP($B50,[15]TrtCodes!$B$11:K72,4)</f>
        <v>1</v>
      </c>
      <c r="F50" s="1">
        <f>VLOOKUP($B50,[15]TrtCodes!$B$11:L72,5)</f>
        <v>1</v>
      </c>
      <c r="G50" s="1">
        <f>VLOOKUP($B50,[15]TrtCodes!$B$11:M72,6)</f>
        <v>2</v>
      </c>
      <c r="H50" s="1">
        <f>VLOOKUP($B50,[15]TrtCodes!$B$11:N72,7)</f>
        <v>1</v>
      </c>
      <c r="I50" s="1">
        <f>[15]FormattedData!B29</f>
        <v>2</v>
      </c>
      <c r="J50" s="4">
        <f>[15]FormattedData!C29</f>
        <v>13.198</v>
      </c>
      <c r="K50" s="6">
        <f>$J$3+[15]FormattedData!D29*$J$4+$M$4*$J$5+[15]FormattedData!D29^2*$J$6+$M$5*$J$7</f>
        <v>32.029024487208225</v>
      </c>
      <c r="L50" s="6">
        <f>$J$3+[15]FormattedData!E29*$J$4+$M$4*$J$5+[15]FormattedData!E29^2*$J$6+$M$5*$J$7</f>
        <v>30.868526649530317</v>
      </c>
      <c r="M50" s="6">
        <f>$J$3+[15]FormattedData!F29*$J$4+$M$4*$J$5+[15]FormattedData!F29^2*$J$6+$M$5*$J$7</f>
        <v>32.221849033956836</v>
      </c>
      <c r="N50" s="6">
        <f>$J$3+[15]FormattedData!G29*$J$4+$M$4*$J$5+[15]FormattedData!G29^2*$J$6+$M$5*$J$7</f>
        <v>30.868526649530317</v>
      </c>
      <c r="O50" s="6">
        <f>$J$3+[15]FormattedData!H29*$J$4+$M$4*$J$5+[15]FormattedData!H29^2*$J$6+$M$5*$J$7</f>
        <v>32.029024487208225</v>
      </c>
      <c r="P50" s="6">
        <f>$J$3+[15]FormattedData!I29*$J$4+$M$4*$J$5+[15]FormattedData!I29^2*$J$6+$M$5*$J$7</f>
        <v>30.577451148007391</v>
      </c>
      <c r="Q50" s="6">
        <f>$J$3+[15]FormattedData!J29*$J$4+$M$4*$J$5+[15]FormattedData!J29^2*$J$6+$M$5*$J$7</f>
        <v>32.414504506553726</v>
      </c>
      <c r="R50" s="6">
        <f>$J$3+[15]FormattedData!K29*$J$4+$M$4*$J$5+[15]FormattedData!K29^2*$J$6+$M$5*$J$7</f>
        <v>31.062365641189277</v>
      </c>
      <c r="S50" s="6">
        <f>$J$3+[15]FormattedData!L29*$J$4+$M$4*$J$5+[15]FormattedData!L29^2*$J$6+$M$5*$J$7</f>
        <v>31.64286817125582</v>
      </c>
      <c r="T50" s="6">
        <f>$J$3+[15]FormattedData!M29*$J$4+$M$4*$J$5+[15]FormattedData!M29^2*$J$6+$M$5*$J$7</f>
        <v>30.091479941377226</v>
      </c>
      <c r="U50" s="6">
        <f>$J$3+[15]FormattedData!N29*$J$4+$M$4*$J$5+[15]FormattedData!N29^2*$J$6+$M$5*$J$7</f>
        <v>30.868526649530317</v>
      </c>
      <c r="V50" s="6">
        <f>$J$3+[15]FormattedData!O29*$J$4+$M$4*$J$5+[15]FormattedData!O29^2*$J$6+$M$5*$J$7</f>
        <v>31.64286817125582</v>
      </c>
      <c r="W50" s="5">
        <f t="shared" si="9"/>
        <v>31.359751294716958</v>
      </c>
      <c r="X50" s="4">
        <f t="shared" si="10"/>
        <v>0.21221646542565262</v>
      </c>
      <c r="Y50" s="3">
        <f t="shared" si="11"/>
        <v>30.091479941377226</v>
      </c>
      <c r="Z50" s="2">
        <f t="shared" si="12"/>
        <v>30.868526649530317</v>
      </c>
      <c r="AA50" s="3">
        <f t="shared" si="13"/>
        <v>31.352616906222551</v>
      </c>
      <c r="AB50" s="2">
        <f t="shared" si="14"/>
        <v>32.029024487208225</v>
      </c>
      <c r="AC50" s="2">
        <f t="shared" si="15"/>
        <v>32.414504506553726</v>
      </c>
      <c r="AD50" s="2">
        <f t="shared" si="16"/>
        <v>-0.12125647782269586</v>
      </c>
      <c r="AE50" s="2">
        <f t="shared" si="17"/>
        <v>-1.147687418706397</v>
      </c>
    </row>
    <row r="51" spans="2:31" x14ac:dyDescent="0.2">
      <c r="B51" s="1">
        <f>[15]FormattedData!A27</f>
        <v>102</v>
      </c>
      <c r="C51" s="1" t="str">
        <f>VLOOKUP($B51,[15]TrtCodes!$B$11:I70,2)</f>
        <v>FTL</v>
      </c>
      <c r="D51" s="1">
        <f>VLOOKUP($B51,[15]TrtCodes!$B$11:J70,3)</f>
        <v>4</v>
      </c>
      <c r="E51" s="1">
        <f>VLOOKUP($B51,[15]TrtCodes!$B$11:K70,4)</f>
        <v>1</v>
      </c>
      <c r="F51" s="1">
        <f>VLOOKUP($B51,[15]TrtCodes!$B$11:L70,5)</f>
        <v>2</v>
      </c>
      <c r="G51" s="1">
        <f>VLOOKUP($B51,[15]TrtCodes!$B$11:M70,6)</f>
        <v>1</v>
      </c>
      <c r="H51" s="1">
        <f>VLOOKUP($B51,[15]TrtCodes!$B$11:N70,7)</f>
        <v>1</v>
      </c>
      <c r="I51" s="1">
        <f>[15]FormattedData!B27</f>
        <v>2</v>
      </c>
      <c r="J51" s="4">
        <f>[15]FormattedData!C27</f>
        <v>13.18</v>
      </c>
      <c r="K51" s="6">
        <f>$J$3+[15]FormattedData!D27*$J$4+$M$4*$J$5+[15]FormattedData!D27^2*$J$6+$M$5*$J$7</f>
        <v>31.159221734211858</v>
      </c>
      <c r="L51" s="6">
        <f>$J$3+[15]FormattedData!E27*$J$4+$M$4*$J$5+[15]FormattedData!E27^2*$J$6+$M$5*$J$7</f>
        <v>31.546223420922889</v>
      </c>
      <c r="M51" s="6">
        <f>$J$3+[15]FormattedData!F27*$J$4+$M$4*$J$5+[15]FormattedData!F27^2*$J$6+$M$5*$J$7</f>
        <v>30.480341443757222</v>
      </c>
      <c r="N51" s="6">
        <f>$J$3+[15]FormattedData!G27*$J$4+$M$4*$J$5+[15]FormattedData!G27^2*$J$6+$M$5*$J$7</f>
        <v>32.029024487208225</v>
      </c>
      <c r="O51" s="6">
        <f>$J$3+[15]FormattedData!H27*$J$4+$M$4*$J$5+[15]FormattedData!H27^2*$J$6+$M$5*$J$7</f>
        <v>32.895403488632155</v>
      </c>
      <c r="P51" s="6">
        <f>$J$3+[15]FormattedData!I27*$J$4+$M$4*$J$5+[15]FormattedData!I27^2*$J$6+$M$5*$J$7</f>
        <v>31.932548811027019</v>
      </c>
      <c r="Q51" s="6">
        <f>$J$3+[15]FormattedData!J27*$J$4+$M$4*$J$5+[15]FormattedData!J27^2*$J$6+$M$5*$J$7</f>
        <v>32.606990904998895</v>
      </c>
      <c r="R51" s="6">
        <f>$J$3+[15]FormattedData!K27*$J$4+$M$4*$J$5+[15]FormattedData!K27^2*$J$6+$M$5*$J$7</f>
        <v>32.414504506553726</v>
      </c>
      <c r="S51" s="6">
        <f>$J$3+[15]FormattedData!L27*$J$4+$M$4*$J$5+[15]FormattedData!L27^2*$J$6+$M$5*$J$7</f>
        <v>30.091479941377226</v>
      </c>
      <c r="T51" s="6">
        <f>$J$3+[15]FormattedData!M27*$J$4+$M$4*$J$5+[15]FormattedData!M27^2*$J$6+$M$5*$J$7</f>
        <v>31.062365641189277</v>
      </c>
      <c r="U51" s="6">
        <f>$J$3+[15]FormattedData!N27*$J$4+$M$4*$J$5+[15]FormattedData!N27^2*$J$6+$M$5*$J$7</f>
        <v>30.965467279628765</v>
      </c>
      <c r="V51" s="6">
        <f>$J$3+[15]FormattedData!O27*$J$4+$M$4*$J$5+[15]FormattedData!O27^2*$J$6+$M$5*$J$7</f>
        <v>30.285995229643085</v>
      </c>
      <c r="W51" s="5">
        <f t="shared" si="9"/>
        <v>31.455797240762525</v>
      </c>
      <c r="X51" s="4">
        <f t="shared" si="10"/>
        <v>0.2689115607236035</v>
      </c>
      <c r="Y51" s="3">
        <f t="shared" si="11"/>
        <v>30.091479941377226</v>
      </c>
      <c r="Z51" s="2">
        <f t="shared" si="12"/>
        <v>30.844185820660879</v>
      </c>
      <c r="AA51" s="3">
        <f t="shared" si="13"/>
        <v>31.352722577567373</v>
      </c>
      <c r="AB51" s="2">
        <f t="shared" si="14"/>
        <v>32.125394492044599</v>
      </c>
      <c r="AC51" s="2">
        <f t="shared" si="15"/>
        <v>32.895403488632155</v>
      </c>
      <c r="AD51" s="2">
        <f t="shared" si="16"/>
        <v>5.5932829791199991E-2</v>
      </c>
      <c r="AE51" s="2">
        <f t="shared" si="17"/>
        <v>-1.2317339615956824</v>
      </c>
    </row>
    <row r="52" spans="2:31" x14ac:dyDescent="0.2">
      <c r="B52" s="1">
        <f>[15]FormattedData!A25</f>
        <v>103</v>
      </c>
      <c r="C52" s="1" t="str">
        <f>VLOOKUP($B52,[15]TrtCodes!$B$11:I68,2)</f>
        <v>FDH</v>
      </c>
      <c r="D52" s="1">
        <f>VLOOKUP($B52,[15]TrtCodes!$B$11:J68,3)</f>
        <v>5</v>
      </c>
      <c r="E52" s="1">
        <f>VLOOKUP($B52,[15]TrtCodes!$B$11:K68,4)</f>
        <v>1</v>
      </c>
      <c r="F52" s="1">
        <f>VLOOKUP($B52,[15]TrtCodes!$B$11:L68,5)</f>
        <v>3</v>
      </c>
      <c r="G52" s="1">
        <f>VLOOKUP($B52,[15]TrtCodes!$B$11:M68,6)</f>
        <v>2</v>
      </c>
      <c r="H52" s="1">
        <f>VLOOKUP($B52,[15]TrtCodes!$B$11:N68,7)</f>
        <v>1</v>
      </c>
      <c r="I52" s="1">
        <f>[15]FormattedData!B25</f>
        <v>2</v>
      </c>
      <c r="J52" s="4">
        <f>[15]FormattedData!C25</f>
        <v>13.163</v>
      </c>
      <c r="K52" s="6">
        <f>$J$3+[15]FormattedData!D25*$J$4+$M$4*$J$5+[15]FormattedData!D25^2*$J$6+$M$5*$J$7</f>
        <v>34.331760154177772</v>
      </c>
      <c r="L52" s="6">
        <f>$J$3+[15]FormattedData!E25*$J$4+$M$4*$J$5+[15]FormattedData!E25^2*$J$6+$M$5*$J$7</f>
        <v>32.799308229292329</v>
      </c>
      <c r="M52" s="6">
        <f>$J$3+[15]FormattedData!F25*$J$4+$M$4*$J$5+[15]FormattedData!F25^2*$J$6+$M$5*$J$7</f>
        <v>34.713182393881894</v>
      </c>
      <c r="N52" s="6">
        <f>$J$3+[15]FormattedData!G25*$J$4+$M$4*$J$5+[15]FormattedData!G25^2*$J$6+$M$5*$J$7</f>
        <v>32.895403488632155</v>
      </c>
      <c r="O52" s="6">
        <f>$J$3+[15]FormattedData!H25*$J$4+$M$4*$J$5+[15]FormattedData!H25^2*$J$6+$M$5*$J$7</f>
        <v>33.662643895985219</v>
      </c>
      <c r="P52" s="6">
        <f>$J$3+[15]FormattedData!I25*$J$4+$M$4*$J$5+[15]FormattedData!I25^2*$J$6+$M$5*$J$7</f>
        <v>33.087467201698011</v>
      </c>
      <c r="Q52" s="6">
        <f>$J$3+[15]FormattedData!J25*$J$4+$M$4*$J$5+[15]FormattedData!J25^2*$J$6+$M$5*$J$7</f>
        <v>33.854031312444178</v>
      </c>
      <c r="R52" s="6">
        <f>$J$3+[15]FormattedData!K25*$J$4+$M$4*$J$5+[15]FormattedData!K25^2*$J$6+$M$5*$J$7</f>
        <v>34.522555811105704</v>
      </c>
      <c r="S52" s="6">
        <f>$J$3+[15]FormattedData!L25*$J$4+$M$4*$J$5+[15]FormattedData!L25^2*$J$6+$M$5*$J$7</f>
        <v>33.27936184061214</v>
      </c>
      <c r="T52" s="6">
        <f>$J$3+[15]FormattedData!M25*$J$4+$M$4*$J$5+[15]FormattedData!M25^2*$J$6+$M$5*$J$7</f>
        <v>33.949661617866767</v>
      </c>
      <c r="U52" s="6">
        <f>$J$3+[15]FormattedData!N25*$J$4+$M$4*$J$5+[15]FormattedData!N25^2*$J$6+$M$5*$J$7</f>
        <v>32.414504506553726</v>
      </c>
      <c r="V52" s="6">
        <f>$J$3+[15]FormattedData!O25*$J$4+$M$4*$J$5+[15]FormattedData!O25^2*$J$6+$M$5*$J$7</f>
        <v>32.31819790452424</v>
      </c>
      <c r="W52" s="5">
        <f t="shared" si="9"/>
        <v>33.48567319639784</v>
      </c>
      <c r="X52" s="4">
        <f t="shared" si="10"/>
        <v>0.23372976524146813</v>
      </c>
      <c r="Y52" s="3">
        <f t="shared" si="11"/>
        <v>32.31819790452424</v>
      </c>
      <c r="Z52" s="2">
        <f t="shared" si="12"/>
        <v>32.8713796737972</v>
      </c>
      <c r="AA52" s="3">
        <f t="shared" si="13"/>
        <v>33.471002868298683</v>
      </c>
      <c r="AB52" s="2">
        <f t="shared" si="14"/>
        <v>34.045186251944514</v>
      </c>
      <c r="AC52" s="2">
        <f t="shared" si="15"/>
        <v>34.713182393881894</v>
      </c>
      <c r="AD52" s="2">
        <f t="shared" si="16"/>
        <v>6.2522613820482548E-2</v>
      </c>
      <c r="AE52" s="2">
        <f t="shared" si="17"/>
        <v>-1.2653494472924676</v>
      </c>
    </row>
    <row r="53" spans="2:31" x14ac:dyDescent="0.2">
      <c r="B53" s="1">
        <f>[15]FormattedData!A23</f>
        <v>104</v>
      </c>
      <c r="C53" s="1" t="str">
        <f>VLOOKUP($B53,[15]TrtCodes!$B$11:I66,2)</f>
        <v>NTL</v>
      </c>
      <c r="D53" s="1">
        <f>VLOOKUP($B53,[15]TrtCodes!$B$11:J66,3)</f>
        <v>10</v>
      </c>
      <c r="E53" s="1">
        <f>VLOOKUP($B53,[15]TrtCodes!$B$11:K66,4)</f>
        <v>2</v>
      </c>
      <c r="F53" s="1">
        <f>VLOOKUP($B53,[15]TrtCodes!$B$11:L66,5)</f>
        <v>2</v>
      </c>
      <c r="G53" s="1">
        <f>VLOOKUP($B53,[15]TrtCodes!$B$11:M66,6)</f>
        <v>1</v>
      </c>
      <c r="H53" s="1">
        <f>VLOOKUP($B53,[15]TrtCodes!$B$11:N66,7)</f>
        <v>1</v>
      </c>
      <c r="I53" s="1">
        <f>[15]FormattedData!B23</f>
        <v>2</v>
      </c>
      <c r="J53" s="4">
        <f>[15]FormattedData!C23</f>
        <v>13.143000000000001</v>
      </c>
      <c r="K53" s="6">
        <f>$J$3+[15]FormattedData!D23*$J$4+$M$4*$J$5+[15]FormattedData!D23^2*$J$6+$M$5*$J$7</f>
        <v>33.566886784948849</v>
      </c>
      <c r="L53" s="6">
        <f>$J$3+[15]FormattedData!E23*$J$4+$M$4*$J$5+[15]FormattedData!E23^2*$J$6+$M$5*$J$7</f>
        <v>32.703170701414578</v>
      </c>
      <c r="M53" s="6">
        <f>$J$3+[15]FormattedData!F23*$J$4+$M$4*$J$5+[15]FormattedData!F23^2*$J$6+$M$5*$J$7</f>
        <v>32.51076884004528</v>
      </c>
      <c r="N53" s="6">
        <f>$J$3+[15]FormattedData!G23*$J$4+$M$4*$J$5+[15]FormattedData!G23^2*$J$6+$M$5*$J$7</f>
        <v>29.311728046796542</v>
      </c>
      <c r="O53" s="6">
        <f>$J$3+[15]FormattedData!H23*$J$4+$M$4*$J$5+[15]FormattedData!H23^2*$J$6+$M$5*$J$7</f>
        <v>30.577451148007391</v>
      </c>
      <c r="P53" s="6">
        <f>$J$3+[15]FormattedData!I23*$J$4+$M$4*$J$5+[15]FormattedData!I23^2*$J$6+$M$5*$J$7</f>
        <v>32.51076884004528</v>
      </c>
      <c r="Q53" s="6">
        <f>$J$3+[15]FormattedData!J23*$J$4+$M$4*$J$5+[15]FormattedData!J23^2*$J$6+$M$5*$J$7</f>
        <v>30.965467279628765</v>
      </c>
      <c r="R53" s="6">
        <f>$J$3+[15]FormattedData!K23*$J$4+$M$4*$J$5+[15]FormattedData!K23^2*$J$6+$M$5*$J$7</f>
        <v>31.352807114643234</v>
      </c>
      <c r="S53" s="6">
        <f>$J$3+[15]FormattedData!L23*$J$4+$M$4*$J$5+[15]FormattedData!L23^2*$J$6+$M$5*$J$7</f>
        <v>31.932548811027019</v>
      </c>
      <c r="T53" s="6">
        <f>$J$3+[15]FormattedData!M23*$J$4+$M$4*$J$5+[15]FormattedData!M23^2*$J$6+$M$5*$J$7</f>
        <v>31.449536402052033</v>
      </c>
      <c r="U53" s="6">
        <f>$J$3+[15]FormattedData!N23*$J$4+$M$4*$J$5+[15]FormattedData!N23^2*$J$6+$M$5*$J$7</f>
        <v>32.414504506553726</v>
      </c>
      <c r="V53" s="6">
        <f>$J$3+[15]FormattedData!O23*$J$4+$M$4*$J$5+[15]FormattedData!O23^2*$J$6+$M$5*$J$7</f>
        <v>31.83603086630788</v>
      </c>
      <c r="W53" s="5">
        <f t="shared" si="9"/>
        <v>31.760972445122547</v>
      </c>
      <c r="X53" s="4">
        <f t="shared" si="10"/>
        <v>0.3260364637720643</v>
      </c>
      <c r="Y53" s="3">
        <f t="shared" si="11"/>
        <v>29.311728046796542</v>
      </c>
      <c r="Z53" s="2">
        <f t="shared" si="12"/>
        <v>31.255972155889616</v>
      </c>
      <c r="AA53" s="3">
        <f t="shared" si="13"/>
        <v>31.884289838667449</v>
      </c>
      <c r="AB53" s="2">
        <f t="shared" si="14"/>
        <v>32.51076884004528</v>
      </c>
      <c r="AC53" s="2">
        <f t="shared" si="15"/>
        <v>33.566886784948849</v>
      </c>
      <c r="AD53" s="2">
        <f t="shared" si="16"/>
        <v>-0.68892532708452314</v>
      </c>
      <c r="AE53" s="2">
        <f t="shared" si="17"/>
        <v>0.86927642523186055</v>
      </c>
    </row>
    <row r="54" spans="2:31" x14ac:dyDescent="0.2">
      <c r="B54" s="1">
        <f>[15]FormattedData!A21</f>
        <v>105</v>
      </c>
      <c r="C54" s="1" t="str">
        <f>VLOOKUP($B54,[15]TrtCodes!$B$11:I64,2)</f>
        <v>NDL</v>
      </c>
      <c r="D54" s="1">
        <f>VLOOKUP($B54,[15]TrtCodes!$B$11:J64,3)</f>
        <v>12</v>
      </c>
      <c r="E54" s="1">
        <f>VLOOKUP($B54,[15]TrtCodes!$B$11:K64,4)</f>
        <v>2</v>
      </c>
      <c r="F54" s="1">
        <f>VLOOKUP($B54,[15]TrtCodes!$B$11:L64,5)</f>
        <v>3</v>
      </c>
      <c r="G54" s="1">
        <f>VLOOKUP($B54,[15]TrtCodes!$B$11:M64,6)</f>
        <v>1</v>
      </c>
      <c r="H54" s="1">
        <f>VLOOKUP($B54,[15]TrtCodes!$B$11:N64,7)</f>
        <v>2</v>
      </c>
      <c r="I54" s="1">
        <f>[15]FormattedData!B21</f>
        <v>2</v>
      </c>
      <c r="J54" s="4">
        <f>[15]FormattedData!C21</f>
        <v>13.125</v>
      </c>
      <c r="K54" s="6">
        <f>$J$3+[15]FormattedData!D21*$J$4+$M$4*$J$5+[15]FormattedData!D21^2*$J$6+$M$5*$J$7</f>
        <v>30.480341443757222</v>
      </c>
      <c r="L54" s="6">
        <f>$J$3+[15]FormattedData!E21*$J$4+$M$4*$J$5+[15]FormattedData!E21^2*$J$6+$M$5*$J$7</f>
        <v>32.029024487208225</v>
      </c>
      <c r="M54" s="6">
        <f>$J$3+[15]FormattedData!F21*$J$4+$M$4*$J$5+[15]FormattedData!F21^2*$J$6+$M$5*$J$7</f>
        <v>33.566886784948849</v>
      </c>
      <c r="N54" s="6">
        <f>$J$3+[15]FormattedData!G21*$J$4+$M$4*$J$5+[15]FormattedData!G21^2*$J$6+$M$5*$J$7</f>
        <v>30.188758719779116</v>
      </c>
      <c r="O54" s="6">
        <f>$J$3+[15]FormattedData!H21*$J$4+$M$4*$J$5+[15]FormattedData!H21^2*$J$6+$M$5*$J$7</f>
        <v>32.606990904998895</v>
      </c>
      <c r="P54" s="6">
        <f>$J$3+[15]FormattedData!I21*$J$4+$M$4*$J$5+[15]FormattedData!I21^2*$J$6+$M$5*$J$7</f>
        <v>30.77154375089394</v>
      </c>
      <c r="Q54" s="6">
        <f>$J$3+[15]FormattedData!J21*$J$4+$M$4*$J$5+[15]FormattedData!J21^2*$J$6+$M$5*$J$7</f>
        <v>30.868526649530317</v>
      </c>
      <c r="R54" s="6">
        <f>$J$3+[15]FormattedData!K21*$J$4+$M$4*$J$5+[15]FormattedData!K21^2*$J$6+$M$5*$J$7</f>
        <v>30.577451148007391</v>
      </c>
      <c r="S54" s="6">
        <f>$J$3+[15]FormattedData!L21*$J$4+$M$4*$J$5+[15]FormattedData!L21^2*$J$6+$M$5*$J$7</f>
        <v>30.188758719779116</v>
      </c>
      <c r="T54" s="6">
        <f>$J$3+[15]FormattedData!M21*$J$4+$M$4*$J$5+[15]FormattedData!M21^2*$J$6+$M$5*$J$7</f>
        <v>33.27936184061214</v>
      </c>
      <c r="U54" s="6">
        <f>$J$3+[15]FormattedData!N21*$J$4+$M$4*$J$5+[15]FormattedData!N21^2*$J$6+$M$5*$J$7</f>
        <v>30.674518583719628</v>
      </c>
      <c r="V54" s="6">
        <f>$J$3+[15]FormattedData!O21*$J$4+$M$4*$J$5+[15]FormattedData!O21^2*$J$6+$M$5*$J$7</f>
        <v>31.739470653050816</v>
      </c>
      <c r="W54" s="5">
        <f t="shared" si="9"/>
        <v>31.41430280719047</v>
      </c>
      <c r="X54" s="4">
        <f t="shared" si="10"/>
        <v>0.34655225473123874</v>
      </c>
      <c r="Y54" s="3">
        <f t="shared" si="11"/>
        <v>30.188758719779116</v>
      </c>
      <c r="Z54" s="2">
        <f t="shared" si="12"/>
        <v>30.553173721944848</v>
      </c>
      <c r="AA54" s="3">
        <f t="shared" si="13"/>
        <v>30.820035200212129</v>
      </c>
      <c r="AB54" s="2">
        <f t="shared" si="14"/>
        <v>32.173516091655891</v>
      </c>
      <c r="AC54" s="2">
        <f t="shared" si="15"/>
        <v>33.566886784948849</v>
      </c>
      <c r="AD54" s="2">
        <f t="shared" si="16"/>
        <v>0.7887934457432566</v>
      </c>
      <c r="AE54" s="2">
        <f t="shared" si="17"/>
        <v>-0.8416530442778094</v>
      </c>
    </row>
    <row r="55" spans="2:31" x14ac:dyDescent="0.2">
      <c r="B55" s="1">
        <f>[15]FormattedData!A19</f>
        <v>106</v>
      </c>
      <c r="C55" s="1" t="str">
        <f>VLOOKUP($B55,[15]TrtCodes!$B$11:I62,2)</f>
        <v>NTH</v>
      </c>
      <c r="D55" s="1">
        <f>VLOOKUP($B55,[15]TrtCodes!$B$11:J62,3)</f>
        <v>9</v>
      </c>
      <c r="E55" s="1">
        <f>VLOOKUP($B55,[15]TrtCodes!$B$11:K62,4)</f>
        <v>2</v>
      </c>
      <c r="F55" s="1">
        <f>VLOOKUP($B55,[15]TrtCodes!$B$11:L62,5)</f>
        <v>2</v>
      </c>
      <c r="G55" s="1">
        <f>VLOOKUP($B55,[15]TrtCodes!$B$11:M62,6)</f>
        <v>2</v>
      </c>
      <c r="H55" s="1">
        <f>VLOOKUP($B55,[15]TrtCodes!$B$11:N62,7)</f>
        <v>2</v>
      </c>
      <c r="I55" s="1">
        <f>[15]FormattedData!B19</f>
        <v>2</v>
      </c>
      <c r="J55" s="4">
        <f>[15]FormattedData!C19</f>
        <v>13.106999999999999</v>
      </c>
      <c r="K55" s="6">
        <f>$J$3+[15]FormattedData!D19*$J$4+$M$4*$J$5+[15]FormattedData!D19^2*$J$6+$M$5*$J$7</f>
        <v>32.31819790452424</v>
      </c>
      <c r="L55" s="6">
        <f>$J$3+[15]FormattedData!E19*$J$4+$M$4*$J$5+[15]FormattedData!E19^2*$J$6+$M$5*$J$7</f>
        <v>32.221849033956836</v>
      </c>
      <c r="M55" s="6">
        <f>$J$3+[15]FormattedData!F19*$J$4+$M$4*$J$5+[15]FormattedData!F19^2*$J$6+$M$5*$J$7</f>
        <v>31.159221734211858</v>
      </c>
      <c r="N55" s="6">
        <f>$J$3+[15]FormattedData!G19*$J$4+$M$4*$J$5+[15]FormattedData!G19^2*$J$6+$M$5*$J$7</f>
        <v>31.932548811027019</v>
      </c>
      <c r="O55" s="6">
        <f>$J$3+[15]FormattedData!H19*$J$4+$M$4*$J$5+[15]FormattedData!H19^2*$J$6+$M$5*$J$7</f>
        <v>32.125457894851493</v>
      </c>
      <c r="P55" s="6">
        <f>$J$3+[15]FormattedData!I19*$J$4+$M$4*$J$5+[15]FormattedData!I19^2*$J$6+$M$5*$J$7</f>
        <v>32.125457894851493</v>
      </c>
      <c r="Q55" s="6">
        <f>$J$3+[15]FormattedData!J19*$J$4+$M$4*$J$5+[15]FormattedData!J19^2*$J$6+$M$5*$J$7</f>
        <v>32.029024487208225</v>
      </c>
      <c r="R55" s="6">
        <f>$J$3+[15]FormattedData!K19*$J$4+$M$4*$J$5+[15]FormattedData!K19^2*$J$6+$M$5*$J$7</f>
        <v>32.31819790452424</v>
      </c>
      <c r="S55" s="6">
        <f>$J$3+[15]FormattedData!L19*$J$4+$M$4*$J$5+[15]FormattedData!L19^2*$J$6+$M$5*$J$7</f>
        <v>30.577451148007391</v>
      </c>
      <c r="T55" s="6">
        <f>$J$3+[15]FormattedData!M19*$J$4+$M$4*$J$5+[15]FormattedData!M19^2*$J$6+$M$5*$J$7</f>
        <v>31.159221734211858</v>
      </c>
      <c r="U55" s="6">
        <f>$J$3+[15]FormattedData!N19*$J$4+$M$4*$J$5+[15]FormattedData!N19^2*$J$6+$M$5*$J$7</f>
        <v>31.739470653050816</v>
      </c>
      <c r="V55" s="6">
        <f>$J$3+[15]FormattedData!O19*$J$4+$M$4*$J$5+[15]FormattedData!O19^2*$J$6+$M$5*$J$7</f>
        <v>32.895403488632155</v>
      </c>
      <c r="W55" s="5">
        <f t="shared" si="9"/>
        <v>31.883458557421477</v>
      </c>
      <c r="X55" s="4">
        <f t="shared" si="10"/>
        <v>0.18325114684070884</v>
      </c>
      <c r="Y55" s="3">
        <f t="shared" si="11"/>
        <v>30.577451148007391</v>
      </c>
      <c r="Z55" s="2">
        <f t="shared" si="12"/>
        <v>31.594408423341076</v>
      </c>
      <c r="AA55" s="3">
        <f t="shared" si="13"/>
        <v>32.077241191029856</v>
      </c>
      <c r="AB55" s="2">
        <f t="shared" si="14"/>
        <v>32.245936251598685</v>
      </c>
      <c r="AC55" s="2">
        <f t="shared" si="15"/>
        <v>32.895403488632155</v>
      </c>
      <c r="AD55" s="2">
        <f t="shared" si="16"/>
        <v>-0.73327169590183505</v>
      </c>
      <c r="AE55" s="2">
        <f t="shared" si="17"/>
        <v>0.43082386419120056</v>
      </c>
    </row>
    <row r="56" spans="2:31" x14ac:dyDescent="0.2">
      <c r="B56" s="1">
        <f>[15]FormattedData!A17</f>
        <v>107</v>
      </c>
      <c r="C56" s="1" t="str">
        <f>VLOOKUP($B56,[15]TrtCodes!$B$11:I60,2)</f>
        <v>NTL</v>
      </c>
      <c r="D56" s="1">
        <f>VLOOKUP($B56,[15]TrtCodes!$B$11:J60,3)</f>
        <v>10</v>
      </c>
      <c r="E56" s="1">
        <f>VLOOKUP($B56,[15]TrtCodes!$B$11:K60,4)</f>
        <v>2</v>
      </c>
      <c r="F56" s="1">
        <f>VLOOKUP($B56,[15]TrtCodes!$B$11:L60,5)</f>
        <v>2</v>
      </c>
      <c r="G56" s="1">
        <f>VLOOKUP($B56,[15]TrtCodes!$B$11:M60,6)</f>
        <v>1</v>
      </c>
      <c r="H56" s="1">
        <f>VLOOKUP($B56,[15]TrtCodes!$B$11:N60,7)</f>
        <v>2</v>
      </c>
      <c r="I56" s="1">
        <f>[15]FormattedData!B17</f>
        <v>2</v>
      </c>
      <c r="J56" s="4">
        <f>[15]FormattedData!C17</f>
        <v>13.089</v>
      </c>
      <c r="K56" s="6">
        <f>$J$3+[15]FormattedData!D17*$J$4+$M$4*$J$5+[15]FormattedData!D17^2*$J$6+$M$5*$J$7</f>
        <v>33.183435655424034</v>
      </c>
      <c r="L56" s="6">
        <f>$J$3+[15]FormattedData!E17*$J$4+$M$4*$J$5+[15]FormattedData!E17^2*$J$6+$M$5*$J$7</f>
        <v>33.375245757262306</v>
      </c>
      <c r="M56" s="6">
        <f>$J$3+[15]FormattedData!F17*$J$4+$M$4*$J$5+[15]FormattedData!F17^2*$J$6+$M$5*$J$7</f>
        <v>32.51076884004528</v>
      </c>
      <c r="N56" s="6">
        <f>$J$3+[15]FormattedData!G17*$J$4+$M$4*$J$5+[15]FormattedData!G17^2*$J$6+$M$5*$J$7</f>
        <v>33.566886784948849</v>
      </c>
      <c r="O56" s="6">
        <f>$J$3+[15]FormattedData!H17*$J$4+$M$4*$J$5+[15]FormattedData!H17^2*$J$6+$M$5*$J$7</f>
        <v>32.991456479434049</v>
      </c>
      <c r="P56" s="6">
        <f>$J$3+[15]FormattedData!I17*$J$4+$M$4*$J$5+[15]FormattedData!I17^2*$J$6+$M$5*$J$7</f>
        <v>32.221849033956836</v>
      </c>
      <c r="Q56" s="6">
        <f>$J$3+[15]FormattedData!J17*$J$4+$M$4*$J$5+[15]FormattedData!J17^2*$J$6+$M$5*$J$7</f>
        <v>33.471087405374547</v>
      </c>
      <c r="R56" s="6">
        <f>$J$3+[15]FormattedData!K17*$J$4+$M$4*$J$5+[15]FormattedData!K17^2*$J$6+$M$5*$J$7</f>
        <v>32.125457894851493</v>
      </c>
      <c r="S56" s="6">
        <f>$J$3+[15]FormattedData!L17*$J$4+$M$4*$J$5+[15]FormattedData!L17^2*$J$6+$M$5*$J$7</f>
        <v>31.64286817125582</v>
      </c>
      <c r="T56" s="6">
        <f>$J$3+[15]FormattedData!M17*$J$4+$M$4*$J$5+[15]FormattedData!M17^2*$J$6+$M$5*$J$7</f>
        <v>31.352807114643234</v>
      </c>
      <c r="U56" s="6">
        <f>$J$3+[15]FormattedData!N17*$J$4+$M$4*$J$5+[15]FormattedData!N17^2*$J$6+$M$5*$J$7</f>
        <v>32.799308229292329</v>
      </c>
      <c r="V56" s="6">
        <f>$J$3+[15]FormattedData!O17*$J$4+$M$4*$J$5+[15]FormattedData!O17^2*$J$6+$M$5*$J$7</f>
        <v>31.546223420922889</v>
      </c>
      <c r="W56" s="5">
        <f t="shared" si="9"/>
        <v>32.565616232284306</v>
      </c>
      <c r="X56" s="4">
        <f t="shared" si="10"/>
        <v>0.22650220024897905</v>
      </c>
      <c r="Y56" s="3">
        <f t="shared" si="11"/>
        <v>31.352807114643234</v>
      </c>
      <c r="Z56" s="2">
        <f t="shared" si="12"/>
        <v>32.004810463952573</v>
      </c>
      <c r="AA56" s="3">
        <f t="shared" si="13"/>
        <v>32.655038534668805</v>
      </c>
      <c r="AB56" s="2">
        <f t="shared" si="14"/>
        <v>33.231388180883599</v>
      </c>
      <c r="AC56" s="2">
        <f t="shared" si="15"/>
        <v>33.566886784948849</v>
      </c>
      <c r="AD56" s="2">
        <f t="shared" si="16"/>
        <v>-0.26023092335346026</v>
      </c>
      <c r="AE56" s="2">
        <f t="shared" si="17"/>
        <v>-1.4105627934445946</v>
      </c>
    </row>
    <row r="57" spans="2:31" x14ac:dyDescent="0.2">
      <c r="B57" s="1">
        <f>[15]FormattedData!A15</f>
        <v>108</v>
      </c>
      <c r="C57" s="1" t="str">
        <f>VLOOKUP($B57,[15]TrtCodes!$B$11:I58,2)</f>
        <v>FTH</v>
      </c>
      <c r="D57" s="1">
        <f>VLOOKUP($B57,[15]TrtCodes!$B$11:J58,3)</f>
        <v>3</v>
      </c>
      <c r="E57" s="1">
        <f>VLOOKUP($B57,[15]TrtCodes!$B$11:K58,4)</f>
        <v>1</v>
      </c>
      <c r="F57" s="1">
        <f>VLOOKUP($B57,[15]TrtCodes!$B$11:L58,5)</f>
        <v>2</v>
      </c>
      <c r="G57" s="1">
        <f>VLOOKUP($B57,[15]TrtCodes!$B$11:M58,6)</f>
        <v>2</v>
      </c>
      <c r="H57" s="1">
        <f>VLOOKUP($B57,[15]TrtCodes!$B$11:N58,7)</f>
        <v>2</v>
      </c>
      <c r="I57" s="1">
        <f>[15]FormattedData!B15</f>
        <v>2</v>
      </c>
      <c r="J57" s="4">
        <f>[15]FormattedData!C15</f>
        <v>13.071999999999999</v>
      </c>
      <c r="K57" s="6">
        <f>$J$3+[15]FormattedData!D15*$J$4+$M$4*$J$5+[15]FormattedData!D15^2*$J$6+$M$5*$J$7</f>
        <v>30.091479941377226</v>
      </c>
      <c r="L57" s="6">
        <f>$J$3+[15]FormattedData!E15*$J$4+$M$4*$J$5+[15]FormattedData!E15^2*$J$6+$M$5*$J$7</f>
        <v>31.159221734211858</v>
      </c>
      <c r="M57" s="6">
        <f>$J$3+[15]FormattedData!F15*$J$4+$M$4*$J$5+[15]FormattedData!F15^2*$J$6+$M$5*$J$7</f>
        <v>31.83603086630788</v>
      </c>
      <c r="N57" s="6">
        <f>$J$3+[15]FormattedData!G15*$J$4+$M$4*$J$5+[15]FormattedData!G15^2*$J$6+$M$5*$J$7</f>
        <v>32.414504506553726</v>
      </c>
      <c r="O57" s="6">
        <f>$J$3+[15]FormattedData!H15*$J$4+$M$4*$J$5+[15]FormattedData!H15^2*$J$6+$M$5*$J$7</f>
        <v>31.739470653050816</v>
      </c>
      <c r="P57" s="6">
        <f>$J$3+[15]FormattedData!I15*$J$4+$M$4*$J$5+[15]FormattedData!I15^2*$J$6+$M$5*$J$7</f>
        <v>30.868526649530317</v>
      </c>
      <c r="Q57" s="6">
        <f>$J$3+[15]FormattedData!J15*$J$4+$M$4*$J$5+[15]FormattedData!J15^2*$J$6+$M$5*$J$7</f>
        <v>33.662643895985219</v>
      </c>
      <c r="R57" s="6">
        <f>$J$3+[15]FormattedData!K15*$J$4+$M$4*$J$5+[15]FormattedData!K15^2*$J$6+$M$5*$J$7</f>
        <v>32.991456479434049</v>
      </c>
      <c r="S57" s="6">
        <f>$J$3+[15]FormattedData!L15*$J$4+$M$4*$J$5+[15]FormattedData!L15^2*$J$6+$M$5*$J$7</f>
        <v>32.31819790452424</v>
      </c>
      <c r="T57" s="6">
        <f>$J$3+[15]FormattedData!M15*$J$4+$M$4*$J$5+[15]FormattedData!M15^2*$J$6+$M$5*$J$7</f>
        <v>31.352807114643234</v>
      </c>
      <c r="U57" s="6">
        <f>$J$3+[15]FormattedData!N15*$J$4+$M$4*$J$5+[15]FormattedData!N15^2*$J$6+$M$5*$J$7</f>
        <v>32.991456479434049</v>
      </c>
      <c r="V57" s="6">
        <f>$J$3+[15]FormattedData!O15*$J$4+$M$4*$J$5+[15]FormattedData!O15^2*$J$6+$M$5*$J$7</f>
        <v>31.256035558696517</v>
      </c>
      <c r="W57" s="5">
        <f t="shared" si="9"/>
        <v>31.890152648645753</v>
      </c>
      <c r="X57" s="4">
        <f t="shared" si="10"/>
        <v>0.29587204465499362</v>
      </c>
      <c r="Y57" s="3">
        <f t="shared" si="11"/>
        <v>30.091479941377226</v>
      </c>
      <c r="Z57" s="2">
        <f t="shared" si="12"/>
        <v>31.231832102575353</v>
      </c>
      <c r="AA57" s="3">
        <f t="shared" si="13"/>
        <v>31.787750759679348</v>
      </c>
      <c r="AB57" s="2">
        <f t="shared" si="14"/>
        <v>32.558742499773807</v>
      </c>
      <c r="AC57" s="2">
        <f t="shared" si="15"/>
        <v>33.662643895985219</v>
      </c>
      <c r="AD57" s="2">
        <f t="shared" si="16"/>
        <v>7.8335492215413124E-2</v>
      </c>
      <c r="AE57" s="2">
        <f t="shared" si="17"/>
        <v>-0.46222396211761252</v>
      </c>
    </row>
    <row r="58" spans="2:31" x14ac:dyDescent="0.2">
      <c r="B58" s="1">
        <f>[15]FormattedData!A31</f>
        <v>201</v>
      </c>
      <c r="C58" s="1" t="str">
        <f>VLOOKUP($B58,[15]TrtCodes!$B$11:I74,2)</f>
        <v>NDL</v>
      </c>
      <c r="D58" s="1">
        <f>VLOOKUP($B58,[15]TrtCodes!$B$11:J74,3)</f>
        <v>12</v>
      </c>
      <c r="E58" s="1">
        <f>VLOOKUP($B58,[15]TrtCodes!$B$11:K74,4)</f>
        <v>2</v>
      </c>
      <c r="F58" s="1">
        <f>VLOOKUP($B58,[15]TrtCodes!$B$11:L74,5)</f>
        <v>3</v>
      </c>
      <c r="G58" s="1">
        <f>VLOOKUP($B58,[15]TrtCodes!$B$11:M74,6)</f>
        <v>1</v>
      </c>
      <c r="H58" s="1">
        <f>VLOOKUP($B58,[15]TrtCodes!$B$11:N74,7)</f>
        <v>1</v>
      </c>
      <c r="I58" s="1">
        <f>[15]FormattedData!B31</f>
        <v>2</v>
      </c>
      <c r="J58" s="4">
        <f>[15]FormattedData!C31</f>
        <v>13.222</v>
      </c>
      <c r="K58" s="6">
        <f>$J$3+[15]FormattedData!D31*$J$4+$M$4*$J$5+[15]FormattedData!D31^2*$J$6+$M$5*$J$7</f>
        <v>32.31819790452424</v>
      </c>
      <c r="L58" s="6">
        <f>$J$3+[15]FormattedData!E31*$J$4+$M$4*$J$5+[15]FormattedData!E31^2*$J$6+$M$5*$J$7</f>
        <v>34.045249654751416</v>
      </c>
      <c r="M58" s="6">
        <f>$J$3+[15]FormattedData!F31*$J$4+$M$4*$J$5+[15]FormattedData!F31^2*$J$6+$M$5*$J$7</f>
        <v>34.045249654751416</v>
      </c>
      <c r="N58" s="6">
        <f>$J$3+[15]FormattedData!G31*$J$4+$M$4*$J$5+[15]FormattedData!G31^2*$J$6+$M$5*$J$7</f>
        <v>33.087467201698011</v>
      </c>
      <c r="O58" s="6">
        <f>$J$3+[15]FormattedData!H31*$J$4+$M$4*$J$5+[15]FormattedData!H31^2*$J$6+$M$5*$J$7</f>
        <v>34.140795423098126</v>
      </c>
      <c r="P58" s="6">
        <f>$J$3+[15]FormattedData!I31*$J$4+$M$4*$J$5+[15]FormattedData!I31^2*$J$6+$M$5*$J$7</f>
        <v>33.758358738483672</v>
      </c>
      <c r="Q58" s="6">
        <f>$J$3+[15]FormattedData!J31*$J$4+$M$4*$J$5+[15]FormattedData!J31^2*$J$6+$M$5*$J$7</f>
        <v>32.414504506553726</v>
      </c>
      <c r="R58" s="6">
        <f>$J$3+[15]FormattedData!K31*$J$4+$M$4*$J$5+[15]FormattedData!K31^2*$J$6+$M$5*$J$7</f>
        <v>32.029024487208225</v>
      </c>
      <c r="S58" s="6">
        <f>$J$3+[15]FormattedData!L31*$J$4+$M$4*$J$5+[15]FormattedData!L31^2*$J$6+$M$5*$J$7</f>
        <v>31.062365641189277</v>
      </c>
      <c r="T58" s="6">
        <f>$J$3+[15]FormattedData!M31*$J$4+$M$4*$J$5+[15]FormattedData!M31^2*$J$6+$M$5*$J$7</f>
        <v>31.159221734211858</v>
      </c>
      <c r="U58" s="6">
        <f>$J$3+[15]FormattedData!N31*$J$4+$M$4*$J$5+[15]FormattedData!N31^2*$J$6+$M$5*$J$7</f>
        <v>31.062365641189277</v>
      </c>
      <c r="V58" s="6">
        <f>$J$3+[15]FormattedData!O31*$J$4+$M$4*$J$5+[15]FormattedData!O31^2*$J$6+$M$5*$J$7</f>
        <v>32.703170701414578</v>
      </c>
      <c r="W58" s="5">
        <f t="shared" si="9"/>
        <v>32.652164274089486</v>
      </c>
      <c r="X58" s="4">
        <f t="shared" si="10"/>
        <v>0.34104639169139739</v>
      </c>
      <c r="Y58" s="3">
        <f t="shared" si="11"/>
        <v>31.062365641189277</v>
      </c>
      <c r="Z58" s="2">
        <f t="shared" si="12"/>
        <v>31.811573798959135</v>
      </c>
      <c r="AA58" s="3">
        <f t="shared" si="13"/>
        <v>32.558837603984152</v>
      </c>
      <c r="AB58" s="2">
        <f t="shared" si="14"/>
        <v>33.830081467550606</v>
      </c>
      <c r="AC58" s="2">
        <f t="shared" si="15"/>
        <v>34.140795423098126</v>
      </c>
      <c r="AD58" s="2">
        <f t="shared" si="16"/>
        <v>-0.10018650152305694</v>
      </c>
      <c r="AE58" s="2">
        <f t="shared" si="17"/>
        <v>-1.4541256987755644</v>
      </c>
    </row>
    <row r="59" spans="2:31" x14ac:dyDescent="0.2">
      <c r="B59" s="1">
        <f>[15]FormattedData!A33</f>
        <v>202</v>
      </c>
      <c r="C59" s="1" t="str">
        <f>VLOOKUP($B59,[15]TrtCodes!$B$11:I76,2)</f>
        <v>NTH</v>
      </c>
      <c r="D59" s="1">
        <f>VLOOKUP($B59,[15]TrtCodes!$B$11:J76,3)</f>
        <v>9</v>
      </c>
      <c r="E59" s="1">
        <f>VLOOKUP($B59,[15]TrtCodes!$B$11:K76,4)</f>
        <v>2</v>
      </c>
      <c r="F59" s="1">
        <f>VLOOKUP($B59,[15]TrtCodes!$B$11:L76,5)</f>
        <v>2</v>
      </c>
      <c r="G59" s="1">
        <f>VLOOKUP($B59,[15]TrtCodes!$B$11:M76,6)</f>
        <v>2</v>
      </c>
      <c r="H59" s="1">
        <f>VLOOKUP($B59,[15]TrtCodes!$B$11:N76,7)</f>
        <v>1</v>
      </c>
      <c r="I59" s="1">
        <f>[15]FormattedData!B33</f>
        <v>2</v>
      </c>
      <c r="J59" s="4">
        <f>[15]FormattedData!C33</f>
        <v>13.24</v>
      </c>
      <c r="K59" s="6">
        <f>$J$3+[15]FormattedData!D33*$J$4+$M$4*$J$5+[15]FormattedData!D33^2*$J$6+$M$5*$J$7</f>
        <v>32.51076884004528</v>
      </c>
      <c r="L59" s="6">
        <f>$J$3+[15]FormattedData!E33*$J$4+$M$4*$J$5+[15]FormattedData!E33^2*$J$6+$M$5*$J$7</f>
        <v>32.991456479434049</v>
      </c>
      <c r="M59" s="6">
        <f>$J$3+[15]FormattedData!F33*$J$4+$M$4*$J$5+[15]FormattedData!F33^2*$J$6+$M$5*$J$7</f>
        <v>32.703170701414578</v>
      </c>
      <c r="N59" s="6">
        <f>$J$3+[15]FormattedData!G33*$J$4+$M$4*$J$5+[15]FormattedData!G33^2*$J$6+$M$5*$J$7</f>
        <v>32.799308229292329</v>
      </c>
      <c r="O59" s="6">
        <f>$J$3+[15]FormattedData!H33*$J$4+$M$4*$J$5+[15]FormattedData!H33^2*$J$6+$M$5*$J$7</f>
        <v>31.932548811027019</v>
      </c>
      <c r="P59" s="6">
        <f>$J$3+[15]FormattedData!I33*$J$4+$M$4*$J$5+[15]FormattedData!I33^2*$J$6+$M$5*$J$7</f>
        <v>31.352807114643234</v>
      </c>
      <c r="Q59" s="6">
        <f>$J$3+[15]FormattedData!J33*$J$4+$M$4*$J$5+[15]FormattedData!J33^2*$J$6+$M$5*$J$7</f>
        <v>29.89679557895964</v>
      </c>
      <c r="R59" s="6">
        <f>$J$3+[15]FormattedData!K33*$J$4+$M$4*$J$5+[15]FormattedData!K33^2*$J$6+$M$5*$J$7</f>
        <v>31.932548811027019</v>
      </c>
      <c r="S59" s="6">
        <f>$J$3+[15]FormattedData!L33*$J$4+$M$4*$J$5+[15]FormattedData!L33^2*$J$6+$M$5*$J$7</f>
        <v>30.383189470969114</v>
      </c>
      <c r="T59" s="6">
        <f>$J$3+[15]FormattedData!M33*$J$4+$M$4*$J$5+[15]FormattedData!M33^2*$J$6+$M$5*$J$7</f>
        <v>29.994158894437405</v>
      </c>
      <c r="U59" s="6">
        <f>$J$3+[15]FormattedData!N33*$J$4+$M$4*$J$5+[15]FormattedData!N33^2*$J$6+$M$5*$J$7</f>
        <v>30.77154375089394</v>
      </c>
      <c r="V59" s="6">
        <f>$J$3+[15]FormattedData!O33*$J$4+$M$4*$J$5+[15]FormattedData!O33^2*$J$6+$M$5*$J$7</f>
        <v>29.994158894437405</v>
      </c>
      <c r="W59" s="5">
        <f t="shared" si="9"/>
        <v>31.438537964715085</v>
      </c>
      <c r="X59" s="4">
        <f t="shared" si="10"/>
        <v>0.34394924475957239</v>
      </c>
      <c r="Y59" s="3">
        <f t="shared" si="11"/>
        <v>29.89679557895964</v>
      </c>
      <c r="Z59" s="2">
        <f t="shared" si="12"/>
        <v>30.285931826836187</v>
      </c>
      <c r="AA59" s="3">
        <f t="shared" si="13"/>
        <v>31.642677962835126</v>
      </c>
      <c r="AB59" s="2">
        <f t="shared" si="14"/>
        <v>32.558869305387603</v>
      </c>
      <c r="AC59" s="2">
        <f t="shared" si="15"/>
        <v>32.991456479434049</v>
      </c>
      <c r="AD59" s="2">
        <f t="shared" si="16"/>
        <v>-9.0488761278352717E-2</v>
      </c>
      <c r="AE59" s="2">
        <f t="shared" si="17"/>
        <v>-1.7630062751658215</v>
      </c>
    </row>
    <row r="60" spans="2:31" x14ac:dyDescent="0.2">
      <c r="B60" s="1">
        <f>[15]FormattedData!A35</f>
        <v>203</v>
      </c>
      <c r="C60" s="1" t="str">
        <f>VLOOKUP($B60,[15]TrtCodes!$B$11:I78,2)</f>
        <v>FTH</v>
      </c>
      <c r="D60" s="1">
        <f>VLOOKUP($B60,[15]TrtCodes!$B$11:J78,3)</f>
        <v>3</v>
      </c>
      <c r="E60" s="1">
        <f>VLOOKUP($B60,[15]TrtCodes!$B$11:K78,4)</f>
        <v>1</v>
      </c>
      <c r="F60" s="1">
        <f>VLOOKUP($B60,[15]TrtCodes!$B$11:L78,5)</f>
        <v>2</v>
      </c>
      <c r="G60" s="1">
        <f>VLOOKUP($B60,[15]TrtCodes!$B$11:M78,6)</f>
        <v>2</v>
      </c>
      <c r="H60" s="1">
        <f>VLOOKUP($B60,[15]TrtCodes!$B$11:N78,7)</f>
        <v>1</v>
      </c>
      <c r="I60" s="1">
        <f>[15]FormattedData!B35</f>
        <v>2</v>
      </c>
      <c r="J60" s="4">
        <f>[15]FormattedData!C35</f>
        <v>13.257999999999999</v>
      </c>
      <c r="K60" s="6">
        <f>$J$3+[15]FormattedData!D35*$J$4+$M$4*$J$5+[15]FormattedData!D35^2*$J$6+$M$5*$J$7</f>
        <v>32.221849033956836</v>
      </c>
      <c r="L60" s="6">
        <f>$J$3+[15]FormattedData!E35*$J$4+$M$4*$J$5+[15]FormattedData!E35^2*$J$6+$M$5*$J$7</f>
        <v>30.965467279628765</v>
      </c>
      <c r="M60" s="6">
        <f>$J$3+[15]FormattedData!F35*$J$4+$M$4*$J$5+[15]FormattedData!F35^2*$J$6+$M$5*$J$7</f>
        <v>30.285995229643085</v>
      </c>
      <c r="N60" s="6">
        <f>$J$3+[15]FormattedData!G35*$J$4+$M$4*$J$5+[15]FormattedData!G35^2*$J$6+$M$5*$J$7</f>
        <v>29.604452021298783</v>
      </c>
      <c r="O60" s="6">
        <f>$J$3+[15]FormattedData!H35*$J$4+$M$4*$J$5+[15]FormattedData!H35^2*$J$6+$M$5*$J$7</f>
        <v>29.604452021298783</v>
      </c>
      <c r="P60" s="6">
        <f>$J$3+[15]FormattedData!I35*$J$4+$M$4*$J$5+[15]FormattedData!I35^2*$J$6+$M$5*$J$7</f>
        <v>32.51076884004528</v>
      </c>
      <c r="Q60" s="6">
        <f>$J$3+[15]FormattedData!J35*$J$4+$M$4*$J$5+[15]FormattedData!J35^2*$J$6+$M$5*$J$7</f>
        <v>30.480341443757222</v>
      </c>
      <c r="R60" s="6">
        <f>$J$3+[15]FormattedData!K35*$J$4+$M$4*$J$5+[15]FormattedData!K35^2*$J$6+$M$5*$J$7</f>
        <v>30.480341443757222</v>
      </c>
      <c r="S60" s="6">
        <f>$J$3+[15]FormattedData!L35*$J$4+$M$4*$J$5+[15]FormattedData!L35^2*$J$6+$M$5*$J$7</f>
        <v>29.604452021298783</v>
      </c>
      <c r="T60" s="6">
        <f>$J$3+[15]FormattedData!M35*$J$4+$M$4*$J$5+[15]FormattedData!M35^2*$J$6+$M$5*$J$7</f>
        <v>29.409344973501884</v>
      </c>
      <c r="U60" s="6">
        <f>$J$3+[15]FormattedData!N35*$J$4+$M$4*$J$5+[15]FormattedData!N35^2*$J$6+$M$5*$J$7</f>
        <v>31.546223420922889</v>
      </c>
      <c r="V60" s="6">
        <f>$J$3+[15]FormattedData!O35*$J$4+$M$4*$J$5+[15]FormattedData!O35^2*$J$6+$M$5*$J$7</f>
        <v>31.159221734211858</v>
      </c>
      <c r="W60" s="5">
        <f t="shared" si="9"/>
        <v>30.656075788610121</v>
      </c>
      <c r="X60" s="4">
        <f t="shared" si="10"/>
        <v>0.30280974656061249</v>
      </c>
      <c r="Y60" s="3">
        <f t="shared" si="11"/>
        <v>29.409344973501884</v>
      </c>
      <c r="Z60" s="2">
        <f t="shared" si="12"/>
        <v>29.604452021298783</v>
      </c>
      <c r="AA60" s="3">
        <f t="shared" si="13"/>
        <v>30.480341443757222</v>
      </c>
      <c r="AB60" s="2">
        <f t="shared" si="14"/>
        <v>31.255972155889616</v>
      </c>
      <c r="AC60" s="2">
        <f t="shared" si="15"/>
        <v>32.51076884004528</v>
      </c>
      <c r="AD60" s="2">
        <f t="shared" si="16"/>
        <v>0.52858973818556543</v>
      </c>
      <c r="AE60" s="2">
        <f t="shared" si="17"/>
        <v>-0.82508073743308197</v>
      </c>
    </row>
    <row r="61" spans="2:31" x14ac:dyDescent="0.2">
      <c r="B61" s="1">
        <f>[15]FormattedData!A37</f>
        <v>204</v>
      </c>
      <c r="C61" s="1" t="str">
        <f>VLOOKUP($B61,[15]TrtCodes!$B$11:I80,2)</f>
        <v>NDH</v>
      </c>
      <c r="D61" s="1">
        <f>VLOOKUP($B61,[15]TrtCodes!$B$11:J80,3)</f>
        <v>11</v>
      </c>
      <c r="E61" s="1">
        <f>VLOOKUP($B61,[15]TrtCodes!$B$11:K80,4)</f>
        <v>2</v>
      </c>
      <c r="F61" s="1">
        <f>VLOOKUP($B61,[15]TrtCodes!$B$11:L80,5)</f>
        <v>3</v>
      </c>
      <c r="G61" s="1">
        <f>VLOOKUP($B61,[15]TrtCodes!$B$11:M80,6)</f>
        <v>2</v>
      </c>
      <c r="H61" s="1">
        <f>VLOOKUP($B61,[15]TrtCodes!$B$11:N80,7)</f>
        <v>1</v>
      </c>
      <c r="I61" s="1">
        <f>[15]FormattedData!B37</f>
        <v>2</v>
      </c>
      <c r="J61" s="4">
        <f>[15]FormattedData!C37</f>
        <v>13.278</v>
      </c>
      <c r="K61" s="6">
        <f>$J$3+[15]FormattedData!D37*$J$4+$M$4*$J$5+[15]FormattedData!D37^2*$J$6+$M$5*$J$7</f>
        <v>28.333234010156879</v>
      </c>
      <c r="L61" s="6">
        <f>$J$3+[15]FormattedData!E37*$J$4+$M$4*$J$5+[15]FormattedData!E37^2*$J$6+$M$5*$J$7</f>
        <v>28.529270965788264</v>
      </c>
      <c r="M61" s="6">
        <f>$J$3+[15]FormattedData!F37*$J$4+$M$4*$J$5+[15]FormattedData!F37^2*$J$6+$M$5*$J$7</f>
        <v>28.137027980373777</v>
      </c>
      <c r="N61" s="6">
        <f>$J$3+[15]FormattedData!G37*$J$4+$M$4*$J$5+[15]FormattedData!G37^2*$J$6+$M$5*$J$7</f>
        <v>28.333234010156879</v>
      </c>
      <c r="O61" s="6">
        <f>$J$3+[15]FormattedData!H37*$J$4+$M$4*$J$5+[15]FormattedData!H37^2*$J$6+$M$5*$J$7</f>
        <v>28.137027980373777</v>
      </c>
      <c r="P61" s="6">
        <f>$J$3+[15]FormattedData!I37*$J$4+$M$4*$J$5+[15]FormattedData!I37^2*$J$6+$M$5*$J$7</f>
        <v>28.235152129534292</v>
      </c>
      <c r="Q61" s="6">
        <f>$J$3+[15]FormattedData!J37*$J$4+$M$4*$J$5+[15]FormattedData!J37^2*$J$6+$M$5*$J$7</f>
        <v>29.70194214239033</v>
      </c>
      <c r="R61" s="6">
        <f>$J$3+[15]FormattedData!K37*$J$4+$M$4*$J$5+[15]FormattedData!K37^2*$J$6+$M$5*$J$7</f>
        <v>28.137027980373777</v>
      </c>
      <c r="S61" s="6">
        <f>$J$3+[15]FormattedData!L37*$J$4+$M$4*$J$5+[15]FormattedData!L37^2*$J$6+$M$5*$J$7</f>
        <v>29.799389994943954</v>
      </c>
      <c r="T61" s="6">
        <f>$J$3+[15]FormattedData!M37*$J$4+$M$4*$J$5+[15]FormattedData!M37^2*$J$6+$M$5*$J$7</f>
        <v>28.627226040797055</v>
      </c>
      <c r="U61" s="6">
        <f>$J$3+[15]FormattedData!N37*$J$4+$M$4*$J$5+[15]FormattedData!N37^2*$J$6+$M$5*$J$7</f>
        <v>28.137027980373777</v>
      </c>
      <c r="V61" s="6">
        <f>$J$3+[15]FormattedData!O37*$J$4+$M$4*$J$5+[15]FormattedData!O37^2*$J$6+$M$5*$J$7</f>
        <v>28.823009385200848</v>
      </c>
      <c r="W61" s="5">
        <f t="shared" si="9"/>
        <v>28.577547550038631</v>
      </c>
      <c r="X61" s="4">
        <f t="shared" si="10"/>
        <v>0.17045071831956088</v>
      </c>
      <c r="Y61" s="3">
        <f t="shared" si="11"/>
        <v>28.137027980373777</v>
      </c>
      <c r="Z61" s="2">
        <f t="shared" si="12"/>
        <v>28.137027980373777</v>
      </c>
      <c r="AA61" s="3">
        <f t="shared" si="13"/>
        <v>28.333234010156879</v>
      </c>
      <c r="AB61" s="2">
        <f t="shared" si="14"/>
        <v>28.676171876898003</v>
      </c>
      <c r="AC61" s="2">
        <f t="shared" si="15"/>
        <v>29.799389994943954</v>
      </c>
      <c r="AD61" s="2">
        <f t="shared" si="16"/>
        <v>1.5098647728372512</v>
      </c>
      <c r="AE61" s="2">
        <f t="shared" si="17"/>
        <v>1.155098775116457</v>
      </c>
    </row>
    <row r="62" spans="2:31" x14ac:dyDescent="0.2">
      <c r="B62" s="1">
        <f>[15]FormattedData!A39</f>
        <v>205</v>
      </c>
      <c r="C62" s="1" t="str">
        <f>VLOOKUP($B62,[15]TrtCodes!$B$11:I82,2)</f>
        <v>FSH</v>
      </c>
      <c r="D62" s="1">
        <f>VLOOKUP($B62,[15]TrtCodes!$B$11:J82,3)</f>
        <v>1</v>
      </c>
      <c r="E62" s="1">
        <f>VLOOKUP($B62,[15]TrtCodes!$B$11:K82,4)</f>
        <v>1</v>
      </c>
      <c r="F62" s="1">
        <f>VLOOKUP($B62,[15]TrtCodes!$B$11:L82,5)</f>
        <v>1</v>
      </c>
      <c r="G62" s="1">
        <f>VLOOKUP($B62,[15]TrtCodes!$B$11:M82,6)</f>
        <v>2</v>
      </c>
      <c r="H62" s="1">
        <f>VLOOKUP($B62,[15]TrtCodes!$B$11:N82,7)</f>
        <v>2</v>
      </c>
      <c r="I62" s="1">
        <f>[15]FormattedData!B39</f>
        <v>2</v>
      </c>
      <c r="J62" s="4">
        <f>[15]FormattedData!C39</f>
        <v>13.295</v>
      </c>
      <c r="K62" s="6">
        <f>$J$3+[15]FormattedData!D39*$J$4+$M$4*$J$5+[15]FormattedData!D39^2*$J$6+$M$5*$J$7</f>
        <v>28.235152129534292</v>
      </c>
      <c r="L62" s="6">
        <f>$J$3+[15]FormattedData!E39*$J$4+$M$4*$J$5+[15]FormattedData!E39^2*$J$6+$M$5*$J$7</f>
        <v>28.725138847267917</v>
      </c>
      <c r="M62" s="6">
        <f>$J$3+[15]FormattedData!F39*$J$4+$M$4*$J$5+[15]FormattedData!F39^2*$J$6+$M$5*$J$7</f>
        <v>28.627226040797055</v>
      </c>
      <c r="N62" s="6">
        <f>$J$3+[15]FormattedData!G39*$J$4+$M$4*$J$5+[15]FormattedData!G39^2*$J$6+$M$5*$J$7</f>
        <v>28.725138847267917</v>
      </c>
      <c r="O62" s="6">
        <f>$J$3+[15]FormattedData!H39*$J$4+$M$4*$J$5+[15]FormattedData!H39^2*$J$6+$M$5*$J$7</f>
        <v>30.480341443757222</v>
      </c>
      <c r="P62" s="6">
        <f>$J$3+[15]FormattedData!I39*$J$4+$M$4*$J$5+[15]FormattedData!I39^2*$J$6+$M$5*$J$7</f>
        <v>30.188758719779116</v>
      </c>
      <c r="Q62" s="6">
        <f>$J$3+[15]FormattedData!J39*$J$4+$M$4*$J$5+[15]FormattedData!J39^2*$J$6+$M$5*$J$7</f>
        <v>30.674518583719628</v>
      </c>
      <c r="R62" s="6">
        <f>$J$3+[15]FormattedData!K39*$J$4+$M$4*$J$5+[15]FormattedData!K39^2*$J$6+$M$5*$J$7</f>
        <v>30.965467279628765</v>
      </c>
      <c r="S62" s="6">
        <f>$J$3+[15]FormattedData!L39*$J$4+$M$4*$J$5+[15]FormattedData!L39^2*$J$6+$M$5*$J$7</f>
        <v>30.383189470969114</v>
      </c>
      <c r="T62" s="6">
        <f>$J$3+[15]FormattedData!M39*$J$4+$M$4*$J$5+[15]FormattedData!M39^2*$J$6+$M$5*$J$7</f>
        <v>30.480341443757222</v>
      </c>
      <c r="U62" s="6">
        <f>$J$3+[15]FormattedData!N39*$J$4+$M$4*$J$5+[15]FormattedData!N39^2*$J$6+$M$5*$J$7</f>
        <v>31.062365641189277</v>
      </c>
      <c r="V62" s="6">
        <f>$J$3+[15]FormattedData!O39*$J$4+$M$4*$J$5+[15]FormattedData!O39^2*$J$6+$M$5*$J$7</f>
        <v>31.062365641189277</v>
      </c>
      <c r="W62" s="5">
        <f t="shared" si="9"/>
        <v>29.967500340738059</v>
      </c>
      <c r="X62" s="4">
        <f t="shared" si="10"/>
        <v>0.30804032672502846</v>
      </c>
      <c r="Y62" s="3">
        <f t="shared" si="11"/>
        <v>28.235152129534292</v>
      </c>
      <c r="Z62" s="2">
        <f t="shared" si="12"/>
        <v>28.725138847267917</v>
      </c>
      <c r="AA62" s="3">
        <f t="shared" si="13"/>
        <v>30.43176545736317</v>
      </c>
      <c r="AB62" s="2">
        <f t="shared" si="14"/>
        <v>30.747255757696912</v>
      </c>
      <c r="AC62" s="2">
        <f t="shared" si="15"/>
        <v>31.062365641189277</v>
      </c>
      <c r="AD62" s="2">
        <f t="shared" si="16"/>
        <v>-0.63897059311719229</v>
      </c>
      <c r="AE62" s="2">
        <f t="shared" si="17"/>
        <v>-1.4466316050095096</v>
      </c>
    </row>
    <row r="63" spans="2:31" x14ac:dyDescent="0.2">
      <c r="B63" s="1">
        <f>[15]FormattedData!A41</f>
        <v>206</v>
      </c>
      <c r="C63" s="1" t="str">
        <f>VLOOKUP($B63,[15]TrtCodes!$B$11:I84,2)</f>
        <v>NSL</v>
      </c>
      <c r="D63" s="1">
        <f>VLOOKUP($B63,[15]TrtCodes!$B$11:J84,3)</f>
        <v>8</v>
      </c>
      <c r="E63" s="1">
        <f>VLOOKUP($B63,[15]TrtCodes!$B$11:K84,4)</f>
        <v>2</v>
      </c>
      <c r="F63" s="1">
        <f>VLOOKUP($B63,[15]TrtCodes!$B$11:L84,5)</f>
        <v>1</v>
      </c>
      <c r="G63" s="1">
        <f>VLOOKUP($B63,[15]TrtCodes!$B$11:M84,6)</f>
        <v>1</v>
      </c>
      <c r="H63" s="1">
        <f>VLOOKUP($B63,[15]TrtCodes!$B$11:N84,7)</f>
        <v>2</v>
      </c>
      <c r="I63" s="1">
        <f>[15]FormattedData!B41</f>
        <v>2</v>
      </c>
      <c r="J63" s="4">
        <f>[15]FormattedData!C41</f>
        <v>13.313000000000001</v>
      </c>
      <c r="K63" s="6">
        <f>$J$3+[15]FormattedData!D41*$J$4+$M$4*$J$5+[15]FormattedData!D41^2*$J$6+$M$5*$J$7</f>
        <v>29.409344973501884</v>
      </c>
      <c r="L63" s="6">
        <f>$J$3+[15]FormattedData!E41*$J$4+$M$4*$J$5+[15]FormattedData!E41^2*$J$6+$M$5*$J$7</f>
        <v>29.604452021298783</v>
      </c>
      <c r="M63" s="6">
        <f>$J$3+[15]FormattedData!F41*$J$4+$M$4*$J$5+[15]FormattedData!F41^2*$J$6+$M$5*$J$7</f>
        <v>29.409344973501884</v>
      </c>
      <c r="N63" s="6">
        <f>$J$3+[15]FormattedData!G41*$J$4+$M$4*$J$5+[15]FormattedData!G41^2*$J$6+$M$5*$J$7</f>
        <v>28.431273622241534</v>
      </c>
      <c r="O63" s="6">
        <f>$J$3+[15]FormattedData!H41*$J$4+$M$4*$J$5+[15]FormattedData!H41^2*$J$6+$M$5*$J$7</f>
        <v>29.506919631669298</v>
      </c>
      <c r="P63" s="6">
        <f>$J$3+[15]FormattedData!I41*$J$4+$M$4*$J$5+[15]FormattedData!I41^2*$J$6+$M$5*$J$7</f>
        <v>29.994158894437405</v>
      </c>
      <c r="Q63" s="6">
        <f>$J$3+[15]FormattedData!J41*$J$4+$M$4*$J$5+[15]FormattedData!J41^2*$J$6+$M$5*$J$7</f>
        <v>29.311728046796542</v>
      </c>
      <c r="R63" s="6">
        <f>$J$3+[15]FormattedData!K41*$J$4+$M$4*$J$5+[15]FormattedData!K41^2*$J$6+$M$5*$J$7</f>
        <v>29.311728046796542</v>
      </c>
      <c r="S63" s="6">
        <f>$J$3+[15]FormattedData!L41*$J$4+$M$4*$J$5+[15]FormattedData!L41^2*$J$6+$M$5*$J$7</f>
        <v>29.506919631669298</v>
      </c>
      <c r="T63" s="6">
        <f>$J$3+[15]FormattedData!M41*$J$4+$M$4*$J$5+[15]FormattedData!M41^2*$J$6+$M$5*$J$7</f>
        <v>30.868526649530317</v>
      </c>
      <c r="U63" s="6">
        <f>$J$3+[15]FormattedData!N41*$J$4+$M$4*$J$5+[15]FormattedData!N41^2*$J$6+$M$5*$J$7</f>
        <v>29.70194214239033</v>
      </c>
      <c r="V63" s="6">
        <f>$J$3+[15]FormattedData!O41*$J$4+$M$4*$J$5+[15]FormattedData!O41^2*$J$6+$M$5*$J$7</f>
        <v>29.214068851553264</v>
      </c>
      <c r="W63" s="5">
        <f t="shared" si="9"/>
        <v>29.522533957115588</v>
      </c>
      <c r="X63" s="4">
        <f t="shared" si="10"/>
        <v>0.16222910953741493</v>
      </c>
      <c r="Y63" s="3">
        <f t="shared" si="11"/>
        <v>28.431273622241534</v>
      </c>
      <c r="Z63" s="2">
        <f t="shared" si="12"/>
        <v>29.311728046796542</v>
      </c>
      <c r="AA63" s="3">
        <f t="shared" si="13"/>
        <v>29.458132302585589</v>
      </c>
      <c r="AB63" s="2">
        <f t="shared" si="14"/>
        <v>29.628824551571668</v>
      </c>
      <c r="AC63" s="2">
        <f t="shared" si="15"/>
        <v>30.868526649530317</v>
      </c>
      <c r="AD63" s="2">
        <f t="shared" si="16"/>
        <v>0.73711513200402434</v>
      </c>
      <c r="AE63" s="2">
        <f t="shared" si="17"/>
        <v>3.4934012666601895</v>
      </c>
    </row>
    <row r="64" spans="2:31" x14ac:dyDescent="0.2">
      <c r="B64" s="1">
        <f>[15]FormattedData!A43</f>
        <v>207</v>
      </c>
      <c r="C64" s="1" t="str">
        <f>VLOOKUP($B64,[15]TrtCodes!$B$11:I86,2)</f>
        <v>FTL</v>
      </c>
      <c r="D64" s="1">
        <f>VLOOKUP($B64,[15]TrtCodes!$B$11:J86,3)</f>
        <v>4</v>
      </c>
      <c r="E64" s="1">
        <f>VLOOKUP($B64,[15]TrtCodes!$B$11:K86,4)</f>
        <v>1</v>
      </c>
      <c r="F64" s="1">
        <f>VLOOKUP($B64,[15]TrtCodes!$B$11:L86,5)</f>
        <v>2</v>
      </c>
      <c r="G64" s="1">
        <f>VLOOKUP($B64,[15]TrtCodes!$B$11:M86,6)</f>
        <v>1</v>
      </c>
      <c r="H64" s="1">
        <f>VLOOKUP($B64,[15]TrtCodes!$B$11:N86,7)</f>
        <v>2</v>
      </c>
      <c r="I64" s="1">
        <f>[15]FormattedData!B43</f>
        <v>2</v>
      </c>
      <c r="J64" s="4">
        <f>[15]FormattedData!C43</f>
        <v>13.33</v>
      </c>
      <c r="K64" s="6">
        <f>$J$3+[15]FormattedData!D43*$J$4+$M$4*$J$5+[15]FormattedData!D43^2*$J$6+$M$5*$J$7</f>
        <v>28.235152129534292</v>
      </c>
      <c r="L64" s="6">
        <f>$J$3+[15]FormattedData!E43*$J$4+$M$4*$J$5+[15]FormattedData!E43^2*$J$6+$M$5*$J$7</f>
        <v>28.529270965788264</v>
      </c>
      <c r="M64" s="6">
        <f>$J$3+[15]FormattedData!F43*$J$4+$M$4*$J$5+[15]FormattedData!F43^2*$J$6+$M$5*$J$7</f>
        <v>28.038861562675326</v>
      </c>
      <c r="N64" s="6">
        <f>$J$3+[15]FormattedData!G43*$J$4+$M$4*$J$5+[15]FormattedData!G43^2*$J$6+$M$5*$J$7</f>
        <v>28.137027980373777</v>
      </c>
      <c r="O64" s="6">
        <f>$J$3+[15]FormattedData!H43*$J$4+$M$4*$J$5+[15]FormattedData!H43^2*$J$6+$M$5*$J$7</f>
        <v>29.506919631669298</v>
      </c>
      <c r="P64" s="6">
        <f>$J$3+[15]FormattedData!I43*$J$4+$M$4*$J$5+[15]FormattedData!I43^2*$J$6+$M$5*$J$7</f>
        <v>29.89679557895964</v>
      </c>
      <c r="Q64" s="6">
        <f>$J$3+[15]FormattedData!J43*$J$4+$M$4*$J$5+[15]FormattedData!J43^2*$J$6+$M$5*$J$7</f>
        <v>27.940652876438943</v>
      </c>
      <c r="R64" s="6">
        <f>$J$3+[15]FormattedData!K43*$J$4+$M$4*$J$5+[15]FormattedData!K43^2*$J$6+$M$5*$J$7</f>
        <v>29.01862365545292</v>
      </c>
      <c r="S64" s="6">
        <f>$J$3+[15]FormattedData!L43*$J$4+$M$4*$J$5+[15]FormattedData!L43^2*$J$6+$M$5*$J$7</f>
        <v>28.725138847267917</v>
      </c>
      <c r="T64" s="6">
        <f>$J$3+[15]FormattedData!M43*$J$4+$M$4*$J$5+[15]FormattedData!M43^2*$J$6+$M$5*$J$7</f>
        <v>27.744108698352388</v>
      </c>
      <c r="U64" s="6">
        <f>$J$3+[15]FormattedData!N43*$J$4+$M$4*$J$5+[15]FormattedData!N43^2*$J$6+$M$5*$J$7</f>
        <v>29.506919631669298</v>
      </c>
      <c r="V64" s="6">
        <f>$J$3+[15]FormattedData!O43*$J$4+$M$4*$J$5+[15]FormattedData!O43^2*$J$6+$M$5*$J$7</f>
        <v>28.725138847267917</v>
      </c>
      <c r="W64" s="5">
        <f t="shared" si="9"/>
        <v>28.667050867120835</v>
      </c>
      <c r="X64" s="4">
        <f t="shared" si="10"/>
        <v>0.20064149324610878</v>
      </c>
      <c r="Y64" s="3">
        <f t="shared" si="11"/>
        <v>27.744108698352388</v>
      </c>
      <c r="Z64" s="2">
        <f t="shared" si="12"/>
        <v>28.112486375949164</v>
      </c>
      <c r="AA64" s="3">
        <f t="shared" si="13"/>
        <v>28.627204906528092</v>
      </c>
      <c r="AB64" s="2">
        <f t="shared" si="14"/>
        <v>29.140697649507015</v>
      </c>
      <c r="AC64" s="2">
        <f t="shared" si="15"/>
        <v>29.89679557895964</v>
      </c>
      <c r="AD64" s="2">
        <f t="shared" si="16"/>
        <v>0.46752490147228309</v>
      </c>
      <c r="AE64" s="2">
        <f t="shared" si="17"/>
        <v>-0.94677153563010075</v>
      </c>
    </row>
    <row r="65" spans="2:31" x14ac:dyDescent="0.2">
      <c r="B65" s="1">
        <f>[15]FormattedData!A45</f>
        <v>208</v>
      </c>
      <c r="C65" s="1" t="str">
        <f>VLOOKUP($B65,[15]TrtCodes!$B$11:I88,2)</f>
        <v>FSL</v>
      </c>
      <c r="D65" s="1">
        <f>VLOOKUP($B65,[15]TrtCodes!$B$11:J88,3)</f>
        <v>2</v>
      </c>
      <c r="E65" s="1">
        <f>VLOOKUP($B65,[15]TrtCodes!$B$11:K88,4)</f>
        <v>1</v>
      </c>
      <c r="F65" s="1">
        <f>VLOOKUP($B65,[15]TrtCodes!$B$11:L88,5)</f>
        <v>1</v>
      </c>
      <c r="G65" s="1">
        <f>VLOOKUP($B65,[15]TrtCodes!$B$11:M88,6)</f>
        <v>1</v>
      </c>
      <c r="H65" s="1">
        <f>VLOOKUP($B65,[15]TrtCodes!$B$11:N88,7)</f>
        <v>2</v>
      </c>
      <c r="I65" s="1">
        <f>[15]FormattedData!B45</f>
        <v>2</v>
      </c>
      <c r="J65" s="4">
        <f>[15]FormattedData!C45</f>
        <v>13.348000000000001</v>
      </c>
      <c r="K65" s="6">
        <f>$J$3+[15]FormattedData!D45*$J$4+$M$4*$J$5+[15]FormattedData!D45^2*$J$6+$M$5*$J$7</f>
        <v>29.994158894437405</v>
      </c>
      <c r="L65" s="6">
        <f>$J$3+[15]FormattedData!E45*$J$4+$M$4*$J$5+[15]FormattedData!E45^2*$J$6+$M$5*$J$7</f>
        <v>29.214068851553264</v>
      </c>
      <c r="M65" s="6">
        <f>$J$3+[15]FormattedData!F45*$J$4+$M$4*$J$5+[15]FormattedData!F45^2*$J$6+$M$5*$J$7</f>
        <v>28.627226040797055</v>
      </c>
      <c r="N65" s="6">
        <f>$J$3+[15]FormattedData!G45*$J$4+$M$4*$J$5+[15]FormattedData!G45^2*$J$6+$M$5*$J$7</f>
        <v>29.01862365545292</v>
      </c>
      <c r="O65" s="6">
        <f>$J$3+[15]FormattedData!H45*$J$4+$M$4*$J$5+[15]FormattedData!H45^2*$J$6+$M$5*$J$7</f>
        <v>28.92083765459585</v>
      </c>
      <c r="P65" s="6">
        <f>$J$3+[15]FormattedData!I45*$J$4+$M$4*$J$5+[15]FormattedData!I45^2*$J$6+$M$5*$J$7</f>
        <v>29.01862365545292</v>
      </c>
      <c r="Q65" s="6">
        <f>$J$3+[15]FormattedData!J45*$J$4+$M$4*$J$5+[15]FormattedData!J45^2*$J$6+$M$5*$J$7</f>
        <v>28.333234010156879</v>
      </c>
      <c r="R65" s="6">
        <f>$J$3+[15]FormattedData!K45*$J$4+$M$4*$J$5+[15]FormattedData!K45^2*$J$6+$M$5*$J$7</f>
        <v>32.414504506553726</v>
      </c>
      <c r="S65" s="6">
        <f>$J$3+[15]FormattedData!L45*$J$4+$M$4*$J$5+[15]FormattedData!L45^2*$J$6+$M$5*$J$7</f>
        <v>29.604452021298783</v>
      </c>
      <c r="T65" s="6">
        <f>$J$3+[15]FormattedData!M45*$J$4+$M$4*$J$5+[15]FormattedData!M45^2*$J$6+$M$5*$J$7</f>
        <v>27.350513119724106</v>
      </c>
      <c r="U65" s="6">
        <f>$J$3+[15]FormattedData!N45*$J$4+$M$4*$J$5+[15]FormattedData!N45^2*$J$6+$M$5*$J$7</f>
        <v>28.137027980373777</v>
      </c>
      <c r="V65" s="6">
        <f>$J$3+[15]FormattedData!O45*$J$4+$M$4*$J$5+[15]FormattedData!O45^2*$J$6+$M$5*$J$7</f>
        <v>29.799389994943954</v>
      </c>
      <c r="W65" s="5">
        <f t="shared" si="9"/>
        <v>29.20272169877839</v>
      </c>
      <c r="X65" s="4">
        <f t="shared" si="10"/>
        <v>0.36160707489242433</v>
      </c>
      <c r="Y65" s="3">
        <f t="shared" si="11"/>
        <v>27.350513119724106</v>
      </c>
      <c r="Z65" s="2">
        <f t="shared" si="12"/>
        <v>28.553728033137013</v>
      </c>
      <c r="AA65" s="3">
        <f t="shared" si="13"/>
        <v>29.01862365545292</v>
      </c>
      <c r="AB65" s="2">
        <f t="shared" si="14"/>
        <v>29.653186514710075</v>
      </c>
      <c r="AC65" s="2">
        <f t="shared" si="15"/>
        <v>32.414504506553726</v>
      </c>
      <c r="AD65" s="2">
        <f t="shared" si="16"/>
        <v>1.4128964891885276</v>
      </c>
      <c r="AE65" s="2">
        <f t="shared" si="17"/>
        <v>3.6917668520025249</v>
      </c>
    </row>
    <row r="66" spans="2:31" x14ac:dyDescent="0.2">
      <c r="B66" s="1">
        <f>[15]FormattedData!A63</f>
        <v>301</v>
      </c>
      <c r="C66" s="1" t="str">
        <f>VLOOKUP($B66,[15]TrtCodes!$B$11:I106,2)</f>
        <v>NTL</v>
      </c>
      <c r="D66" s="1">
        <f>VLOOKUP($B66,[15]TrtCodes!$B$11:J106,3)</f>
        <v>10</v>
      </c>
      <c r="E66" s="1">
        <f>VLOOKUP($B66,[15]TrtCodes!$B$11:K106,4)</f>
        <v>2</v>
      </c>
      <c r="F66" s="1">
        <f>VLOOKUP($B66,[15]TrtCodes!$B$11:L106,5)</f>
        <v>2</v>
      </c>
      <c r="G66" s="1">
        <f>VLOOKUP($B66,[15]TrtCodes!$B$11:M106,6)</f>
        <v>1</v>
      </c>
      <c r="H66" s="1">
        <f>VLOOKUP($B66,[15]TrtCodes!$B$11:N106,7)</f>
        <v>3</v>
      </c>
      <c r="I66" s="1">
        <f>[15]FormattedData!B63</f>
        <v>2</v>
      </c>
      <c r="J66" s="4">
        <f>[15]FormattedData!C63</f>
        <v>13.489000000000001</v>
      </c>
      <c r="K66" s="6">
        <f>$J$3+[15]FormattedData!D63*$J$4+$M$4*$J$5+[15]FormattedData!D63^2*$J$6+$M$5*$J$7</f>
        <v>31.352807114643234</v>
      </c>
      <c r="L66" s="6">
        <f>$J$3+[15]FormattedData!E63*$J$4+$M$4*$J$5+[15]FormattedData!E63^2*$J$6+$M$5*$J$7</f>
        <v>31.83603086630788</v>
      </c>
      <c r="M66" s="6">
        <f>$J$3+[15]FormattedData!F63*$J$4+$M$4*$J$5+[15]FormattedData!F63^2*$J$6+$M$5*$J$7</f>
        <v>31.932548811027019</v>
      </c>
      <c r="N66" s="6">
        <f>$J$3+[15]FormattedData!G63*$J$4+$M$4*$J$5+[15]FormattedData!G63^2*$J$6+$M$5*$J$7</f>
        <v>29.116367387772058</v>
      </c>
      <c r="O66" s="6">
        <f>$J$3+[15]FormattedData!H63*$J$4+$M$4*$J$5+[15]FormattedData!H63^2*$J$6+$M$5*$J$7</f>
        <v>29.89679557895964</v>
      </c>
      <c r="P66" s="6">
        <f>$J$3+[15]FormattedData!I63*$J$4+$M$4*$J$5+[15]FormattedData!I63^2*$J$6+$M$5*$J$7</f>
        <v>30.383189470969114</v>
      </c>
      <c r="Q66" s="6">
        <f>$J$3+[15]FormattedData!J63*$J$4+$M$4*$J$5+[15]FormattedData!J63^2*$J$6+$M$5*$J$7</f>
        <v>29.506919631669298</v>
      </c>
      <c r="R66" s="6">
        <f>$J$3+[15]FormattedData!K63*$J$4+$M$4*$J$5+[15]FormattedData!K63^2*$J$6+$M$5*$J$7</f>
        <v>32.51076884004528</v>
      </c>
      <c r="S66" s="6">
        <f>$J$3+[15]FormattedData!L63*$J$4+$M$4*$J$5+[15]FormattedData!L63^2*$J$6+$M$5*$J$7</f>
        <v>33.566886784948849</v>
      </c>
      <c r="T66" s="6">
        <f>$J$3+[15]FormattedData!M63*$J$4+$M$4*$J$5+[15]FormattedData!M63^2*$J$6+$M$5*$J$7</f>
        <v>32.414504506553726</v>
      </c>
      <c r="U66" s="6">
        <f>$J$3+[15]FormattedData!N63*$J$4+$M$4*$J$5+[15]FormattedData!N63^2*$J$6+$M$5*$J$7</f>
        <v>31.546223420922889</v>
      </c>
      <c r="V66" s="6">
        <f>$J$3+[15]FormattedData!O63*$J$4+$M$4*$J$5+[15]FormattedData!O63^2*$J$6+$M$5*$J$7</f>
        <v>32.895403488632155</v>
      </c>
      <c r="W66" s="5">
        <f t="shared" si="9"/>
        <v>31.413203825204263</v>
      </c>
      <c r="X66" s="4">
        <f t="shared" si="10"/>
        <v>0.40622208652037728</v>
      </c>
      <c r="Y66" s="3">
        <f t="shared" si="11"/>
        <v>29.116367387772058</v>
      </c>
      <c r="Z66" s="2">
        <f t="shared" si="12"/>
        <v>30.261590997966746</v>
      </c>
      <c r="AA66" s="3">
        <f t="shared" si="13"/>
        <v>31.691127143615383</v>
      </c>
      <c r="AB66" s="2">
        <f t="shared" si="14"/>
        <v>32.438570589926613</v>
      </c>
      <c r="AC66" s="2">
        <f t="shared" si="15"/>
        <v>33.566886784948849</v>
      </c>
      <c r="AD66" s="2">
        <f t="shared" si="16"/>
        <v>-0.30670470188696447</v>
      </c>
      <c r="AE66" s="2">
        <f t="shared" si="17"/>
        <v>-0.96509691036126855</v>
      </c>
    </row>
    <row r="67" spans="2:31" x14ac:dyDescent="0.2">
      <c r="B67" s="1">
        <f>[15]FormattedData!A65</f>
        <v>302</v>
      </c>
      <c r="C67" s="1" t="str">
        <f>VLOOKUP($B67,[15]TrtCodes!$B$11:I108,2)</f>
        <v>FTL</v>
      </c>
      <c r="D67" s="1">
        <f>VLOOKUP($B67,[15]TrtCodes!$B$11:J108,3)</f>
        <v>4</v>
      </c>
      <c r="E67" s="1">
        <f>VLOOKUP($B67,[15]TrtCodes!$B$11:K108,4)</f>
        <v>1</v>
      </c>
      <c r="F67" s="1">
        <f>VLOOKUP($B67,[15]TrtCodes!$B$11:L108,5)</f>
        <v>2</v>
      </c>
      <c r="G67" s="1">
        <f>VLOOKUP($B67,[15]TrtCodes!$B$11:M108,6)</f>
        <v>1</v>
      </c>
      <c r="H67" s="1">
        <f>VLOOKUP($B67,[15]TrtCodes!$B$11:N108,7)</f>
        <v>3</v>
      </c>
      <c r="I67" s="1">
        <f>[15]FormattedData!B65</f>
        <v>2</v>
      </c>
      <c r="J67" s="4">
        <f>[15]FormattedData!C65</f>
        <v>13.507</v>
      </c>
      <c r="K67" s="6">
        <f>$J$3+[15]FormattedData!D65*$J$4+$M$4*$J$5+[15]FormattedData!D65^2*$J$6+$M$5*$J$7</f>
        <v>34.617890236762754</v>
      </c>
      <c r="L67" s="6">
        <f>$J$3+[15]FormattedData!E65*$J$4+$M$4*$J$5+[15]FormattedData!E65^2*$J$6+$M$5*$J$7</f>
        <v>31.932548811027019</v>
      </c>
      <c r="M67" s="6">
        <f>$J$3+[15]FormattedData!F65*$J$4+$M$4*$J$5+[15]FormattedData!F65^2*$J$6+$M$5*$J$7</f>
        <v>33.183435655424034</v>
      </c>
      <c r="N67" s="6">
        <f>$J$3+[15]FormattedData!G65*$J$4+$M$4*$J$5+[15]FormattedData!G65^2*$J$6+$M$5*$J$7</f>
        <v>31.739470653050816</v>
      </c>
      <c r="O67" s="6">
        <f>$J$3+[15]FormattedData!H65*$J$4+$M$4*$J$5+[15]FormattedData!H65^2*$J$6+$M$5*$J$7</f>
        <v>32.221849033956836</v>
      </c>
      <c r="P67" s="6">
        <f>$J$3+[15]FormattedData!I65*$J$4+$M$4*$J$5+[15]FormattedData!I65^2*$J$6+$M$5*$J$7</f>
        <v>32.125457894851493</v>
      </c>
      <c r="Q67" s="6">
        <f>$J$3+[15]FormattedData!J65*$J$4+$M$4*$J$5+[15]FormattedData!J65^2*$J$6+$M$5*$J$7</f>
        <v>31.83603086630788</v>
      </c>
      <c r="R67" s="6">
        <f>$J$3+[15]FormattedData!K65*$J$4+$M$4*$J$5+[15]FormattedData!K65^2*$J$6+$M$5*$J$7</f>
        <v>34.331760154177772</v>
      </c>
      <c r="S67" s="6">
        <f>$J$3+[15]FormattedData!L65*$J$4+$M$4*$J$5+[15]FormattedData!L65^2*$J$6+$M$5*$J$7</f>
        <v>32.799308229292329</v>
      </c>
      <c r="T67" s="6">
        <f>$J$3+[15]FormattedData!M65*$J$4+$M$4*$J$5+[15]FormattedData!M65^2*$J$6+$M$5*$J$7</f>
        <v>30.77154375089394</v>
      </c>
      <c r="U67" s="6">
        <f>$J$3+[15]FormattedData!N65*$J$4+$M$4*$J$5+[15]FormattedData!N65^2*$J$6+$M$5*$J$7</f>
        <v>33.566886784948849</v>
      </c>
      <c r="V67" s="6">
        <f>$J$3+[15]FormattedData!O65*$J$4+$M$4*$J$5+[15]FormattedData!O65^2*$J$6+$M$5*$J$7</f>
        <v>30.868526649530317</v>
      </c>
      <c r="W67" s="5">
        <f t="shared" si="9"/>
        <v>32.499559060018676</v>
      </c>
      <c r="X67" s="4">
        <f t="shared" si="10"/>
        <v>0.3561568421966127</v>
      </c>
      <c r="Y67" s="3">
        <f t="shared" si="11"/>
        <v>30.77154375089394</v>
      </c>
      <c r="Z67" s="2">
        <f t="shared" si="12"/>
        <v>31.811890812993614</v>
      </c>
      <c r="AA67" s="3">
        <f t="shared" si="13"/>
        <v>32.173653464404168</v>
      </c>
      <c r="AB67" s="2">
        <f t="shared" si="14"/>
        <v>33.279298437805238</v>
      </c>
      <c r="AC67" s="2">
        <f t="shared" si="15"/>
        <v>34.617890236762754</v>
      </c>
      <c r="AD67" s="2">
        <f t="shared" si="16"/>
        <v>0.39109511028794569</v>
      </c>
      <c r="AE67" s="2">
        <f t="shared" si="17"/>
        <v>-0.66149739124723395</v>
      </c>
    </row>
    <row r="68" spans="2:31" x14ac:dyDescent="0.2">
      <c r="B68" s="1">
        <f>[15]FormattedData!A67</f>
        <v>303</v>
      </c>
      <c r="C68" s="1" t="str">
        <f>VLOOKUP($B68,[15]TrtCodes!$B$11:I110,2)</f>
        <v>NSL</v>
      </c>
      <c r="D68" s="1">
        <f>VLOOKUP($B68,[15]TrtCodes!$B$11:J110,3)</f>
        <v>8</v>
      </c>
      <c r="E68" s="1">
        <f>VLOOKUP($B68,[15]TrtCodes!$B$11:K110,4)</f>
        <v>2</v>
      </c>
      <c r="F68" s="1">
        <f>VLOOKUP($B68,[15]TrtCodes!$B$11:L110,5)</f>
        <v>1</v>
      </c>
      <c r="G68" s="1">
        <f>VLOOKUP($B68,[15]TrtCodes!$B$11:M110,6)</f>
        <v>1</v>
      </c>
      <c r="H68" s="1">
        <f>VLOOKUP($B68,[15]TrtCodes!$B$11:N110,7)</f>
        <v>3</v>
      </c>
      <c r="I68" s="1">
        <f>[15]FormattedData!B67</f>
        <v>2</v>
      </c>
      <c r="J68" s="4">
        <f>[15]FormattedData!C67</f>
        <v>13.523999999999999</v>
      </c>
      <c r="K68" s="6">
        <f>$J$3+[15]FormattedData!D67*$J$4+$M$4*$J$5+[15]FormattedData!D67^2*$J$6+$M$5*$J$7</f>
        <v>31.352807114643234</v>
      </c>
      <c r="L68" s="6">
        <f>$J$3+[15]FormattedData!E67*$J$4+$M$4*$J$5+[15]FormattedData!E67^2*$J$6+$M$5*$J$7</f>
        <v>32.991456479434049</v>
      </c>
      <c r="M68" s="6">
        <f>$J$3+[15]FormattedData!F67*$J$4+$M$4*$J$5+[15]FormattedData!F67^2*$J$6+$M$5*$J$7</f>
        <v>30.674518583719628</v>
      </c>
      <c r="N68" s="6">
        <f>$J$3+[15]FormattedData!G67*$J$4+$M$4*$J$5+[15]FormattedData!G67^2*$J$6+$M$5*$J$7</f>
        <v>30.577451148007391</v>
      </c>
      <c r="O68" s="6">
        <f>$J$3+[15]FormattedData!H67*$J$4+$M$4*$J$5+[15]FormattedData!H67^2*$J$6+$M$5*$J$7</f>
        <v>29.89679557895964</v>
      </c>
      <c r="P68" s="6">
        <f>$J$3+[15]FormattedData!I67*$J$4+$M$4*$J$5+[15]FormattedData!I67^2*$J$6+$M$5*$J$7</f>
        <v>30.188758719779116</v>
      </c>
      <c r="Q68" s="6">
        <f>$J$3+[15]FormattedData!J67*$J$4+$M$4*$J$5+[15]FormattedData!J67^2*$J$6+$M$5*$J$7</f>
        <v>33.375245757262306</v>
      </c>
      <c r="R68" s="6">
        <f>$J$3+[15]FormattedData!K67*$J$4+$M$4*$J$5+[15]FormattedData!K67^2*$J$6+$M$5*$J$7</f>
        <v>30.091479941377226</v>
      </c>
      <c r="S68" s="6">
        <f>$J$3+[15]FormattedData!L67*$J$4+$M$4*$J$5+[15]FormattedData!L67^2*$J$6+$M$5*$J$7</f>
        <v>33.375245757262306</v>
      </c>
      <c r="T68" s="6">
        <f>$J$3+[15]FormattedData!M67*$J$4+$M$4*$J$5+[15]FormattedData!M67^2*$J$6+$M$5*$J$7</f>
        <v>29.70194214239033</v>
      </c>
      <c r="U68" s="6">
        <f>$J$3+[15]FormattedData!N67*$J$4+$M$4*$J$5+[15]FormattedData!N67^2*$J$6+$M$5*$J$7</f>
        <v>29.409344973501884</v>
      </c>
      <c r="V68" s="6">
        <f>$J$3+[15]FormattedData!O67*$J$4+$M$4*$J$5+[15]FormattedData!O67^2*$J$6+$M$5*$J$7</f>
        <v>32.895403488632155</v>
      </c>
      <c r="W68" s="5">
        <f t="shared" si="9"/>
        <v>31.210870807080777</v>
      </c>
      <c r="X68" s="4">
        <f t="shared" si="10"/>
        <v>0.44067026606281839</v>
      </c>
      <c r="Y68" s="3">
        <f t="shared" si="11"/>
        <v>29.409344973501884</v>
      </c>
      <c r="Z68" s="2">
        <f t="shared" si="12"/>
        <v>30.042808850772829</v>
      </c>
      <c r="AA68" s="3">
        <f t="shared" si="13"/>
        <v>30.625984865863508</v>
      </c>
      <c r="AB68" s="2">
        <f t="shared" si="14"/>
        <v>32.919416736332629</v>
      </c>
      <c r="AC68" s="2">
        <f t="shared" si="15"/>
        <v>33.375245757262306</v>
      </c>
      <c r="AD68" s="2">
        <f t="shared" si="16"/>
        <v>0.49913814201687817</v>
      </c>
      <c r="AE68" s="2">
        <f t="shared" si="17"/>
        <v>-1.6074469393596336</v>
      </c>
    </row>
    <row r="69" spans="2:31" x14ac:dyDescent="0.2">
      <c r="B69" s="1">
        <f>[15]FormattedData!A69</f>
        <v>304</v>
      </c>
      <c r="C69" s="1" t="str">
        <f>VLOOKUP($B69,[15]TrtCodes!$B$11:I112,2)</f>
        <v>FSL</v>
      </c>
      <c r="D69" s="1">
        <f>VLOOKUP($B69,[15]TrtCodes!$B$11:J112,3)</f>
        <v>2</v>
      </c>
      <c r="E69" s="1">
        <f>VLOOKUP($B69,[15]TrtCodes!$B$11:K112,4)</f>
        <v>1</v>
      </c>
      <c r="F69" s="1">
        <f>VLOOKUP($B69,[15]TrtCodes!$B$11:L112,5)</f>
        <v>1</v>
      </c>
      <c r="G69" s="1">
        <f>VLOOKUP($B69,[15]TrtCodes!$B$11:M112,6)</f>
        <v>1</v>
      </c>
      <c r="H69" s="1">
        <f>VLOOKUP($B69,[15]TrtCodes!$B$11:N112,7)</f>
        <v>3</v>
      </c>
      <c r="I69" s="1">
        <f>[15]FormattedData!B69</f>
        <v>2</v>
      </c>
      <c r="J69" s="4">
        <f>[15]FormattedData!C69</f>
        <v>13.542</v>
      </c>
      <c r="K69" s="6">
        <f>$J$3+[15]FormattedData!D69*$J$4+$M$4*$J$5+[15]FormattedData!D69^2*$J$6+$M$5*$J$7</f>
        <v>30.480341443757222</v>
      </c>
      <c r="L69" s="6">
        <f>$J$3+[15]FormattedData!E69*$J$4+$M$4*$J$5+[15]FormattedData!E69^2*$J$6+$M$5*$J$7</f>
        <v>31.739470653050816</v>
      </c>
      <c r="M69" s="6">
        <f>$J$3+[15]FormattedData!F69*$J$4+$M$4*$J$5+[15]FormattedData!F69^2*$J$6+$M$5*$J$7</f>
        <v>32.125457894851493</v>
      </c>
      <c r="N69" s="6">
        <f>$J$3+[15]FormattedData!G69*$J$4+$M$4*$J$5+[15]FormattedData!G69^2*$J$6+$M$5*$J$7</f>
        <v>30.868526649530317</v>
      </c>
      <c r="O69" s="6">
        <f>$J$3+[15]FormattedData!H69*$J$4+$M$4*$J$5+[15]FormattedData!H69^2*$J$6+$M$5*$J$7</f>
        <v>31.64286817125582</v>
      </c>
      <c r="P69" s="6">
        <f>$J$3+[15]FormattedData!I69*$J$4+$M$4*$J$5+[15]FormattedData!I69^2*$J$6+$M$5*$J$7</f>
        <v>31.159221734211858</v>
      </c>
      <c r="Q69" s="6">
        <f>$J$3+[15]FormattedData!J69*$J$4+$M$4*$J$5+[15]FormattedData!J69^2*$J$6+$M$5*$J$7</f>
        <v>31.546223420922889</v>
      </c>
      <c r="R69" s="6">
        <f>$J$3+[15]FormattedData!K69*$J$4+$M$4*$J$5+[15]FormattedData!K69^2*$J$6+$M$5*$J$7</f>
        <v>30.868526649530317</v>
      </c>
      <c r="S69" s="6">
        <f>$J$3+[15]FormattedData!L69*$J$4+$M$4*$J$5+[15]FormattedData!L69^2*$J$6+$M$5*$J$7</f>
        <v>31.352807114643234</v>
      </c>
      <c r="T69" s="6">
        <f>$J$3+[15]FormattedData!M69*$J$4+$M$4*$J$5+[15]FormattedData!M69^2*$J$6+$M$5*$J$7</f>
        <v>31.159221734211858</v>
      </c>
      <c r="U69" s="6">
        <f>$J$3+[15]FormattedData!N69*$J$4+$M$4*$J$5+[15]FormattedData!N69^2*$J$6+$M$5*$J$7</f>
        <v>30.577451148007391</v>
      </c>
      <c r="V69" s="6">
        <f>$J$3+[15]FormattedData!O69*$J$4+$M$4*$J$5+[15]FormattedData!O69^2*$J$6+$M$5*$J$7</f>
        <v>29.89679557895964</v>
      </c>
      <c r="W69" s="5">
        <f t="shared" si="9"/>
        <v>31.11807601607774</v>
      </c>
      <c r="X69" s="4">
        <f t="shared" si="10"/>
        <v>0.17908029964813674</v>
      </c>
      <c r="Y69" s="3">
        <f t="shared" si="11"/>
        <v>29.89679557895964</v>
      </c>
      <c r="Z69" s="2">
        <f t="shared" si="12"/>
        <v>30.795757774149585</v>
      </c>
      <c r="AA69" s="3">
        <f t="shared" si="13"/>
        <v>31.159221734211858</v>
      </c>
      <c r="AB69" s="2">
        <f t="shared" si="14"/>
        <v>31.570384608506121</v>
      </c>
      <c r="AC69" s="2">
        <f t="shared" si="15"/>
        <v>32.125457894851493</v>
      </c>
      <c r="AD69" s="2">
        <f t="shared" si="16"/>
        <v>-0.35263058321934737</v>
      </c>
      <c r="AE69" s="2">
        <f t="shared" si="17"/>
        <v>-1.7122031170459628E-2</v>
      </c>
    </row>
    <row r="70" spans="2:31" x14ac:dyDescent="0.2">
      <c r="B70" s="1">
        <f>[15]FormattedData!A71</f>
        <v>305</v>
      </c>
      <c r="C70" s="1" t="str">
        <f>VLOOKUP($B70,[15]TrtCodes!$B$11:I114,2)</f>
        <v>NDH</v>
      </c>
      <c r="D70" s="1">
        <f>VLOOKUP($B70,[15]TrtCodes!$B$11:J114,3)</f>
        <v>11</v>
      </c>
      <c r="E70" s="1">
        <f>VLOOKUP($B70,[15]TrtCodes!$B$11:K114,4)</f>
        <v>2</v>
      </c>
      <c r="F70" s="1">
        <f>VLOOKUP($B70,[15]TrtCodes!$B$11:L114,5)</f>
        <v>3</v>
      </c>
      <c r="G70" s="1">
        <f>VLOOKUP($B70,[15]TrtCodes!$B$11:M114,6)</f>
        <v>2</v>
      </c>
      <c r="H70" s="1">
        <f>VLOOKUP($B70,[15]TrtCodes!$B$11:N114,7)</f>
        <v>4</v>
      </c>
      <c r="I70" s="1">
        <f>[15]FormattedData!B71</f>
        <v>2</v>
      </c>
      <c r="J70" s="4">
        <f>[15]FormattedData!C71</f>
        <v>13.558999999999999</v>
      </c>
      <c r="K70" s="6">
        <f>$J$3+[15]FormattedData!D71*$J$4+$M$4*$J$5+[15]FormattedData!D71^2*$J$6+$M$5*$J$7</f>
        <v>31.159221734211858</v>
      </c>
      <c r="L70" s="6">
        <f>$J$3+[15]FormattedData!E71*$J$4+$M$4*$J$5+[15]FormattedData!E71^2*$J$6+$M$5*$J$7</f>
        <v>32.31819790452424</v>
      </c>
      <c r="M70" s="6">
        <f>$J$3+[15]FormattedData!F71*$J$4+$M$4*$J$5+[15]FormattedData!F71^2*$J$6+$M$5*$J$7</f>
        <v>30.77154375089394</v>
      </c>
      <c r="N70" s="6">
        <f>$J$3+[15]FormattedData!G71*$J$4+$M$4*$J$5+[15]FormattedData!G71^2*$J$6+$M$5*$J$7</f>
        <v>32.029024487208225</v>
      </c>
      <c r="O70" s="6">
        <f>$J$3+[15]FormattedData!H71*$J$4+$M$4*$J$5+[15]FormattedData!H71^2*$J$6+$M$5*$J$7</f>
        <v>30.188758719779116</v>
      </c>
      <c r="P70" s="6">
        <f>$J$3+[15]FormattedData!I71*$J$4+$M$4*$J$5+[15]FormattedData!I71^2*$J$6+$M$5*$J$7</f>
        <v>30.480341443757222</v>
      </c>
      <c r="Q70" s="6">
        <f>$J$3+[15]FormattedData!J71*$J$4+$M$4*$J$5+[15]FormattedData!J71^2*$J$6+$M$5*$J$7</f>
        <v>30.480341443757222</v>
      </c>
      <c r="R70" s="6">
        <f>$J$3+[15]FormattedData!K71*$J$4+$M$4*$J$5+[15]FormattedData!K71^2*$J$6+$M$5*$J$7</f>
        <v>32.703170701414578</v>
      </c>
      <c r="S70" s="6">
        <f>$J$3+[15]FormattedData!L71*$J$4+$M$4*$J$5+[15]FormattedData!L71^2*$J$6+$M$5*$J$7</f>
        <v>30.091479941377226</v>
      </c>
      <c r="T70" s="6">
        <f>$J$3+[15]FormattedData!M71*$J$4+$M$4*$J$5+[15]FormattedData!M71^2*$J$6+$M$5*$J$7</f>
        <v>30.577451148007391</v>
      </c>
      <c r="U70" s="6">
        <f>$J$3+[15]FormattedData!N71*$J$4+$M$4*$J$5+[15]FormattedData!N71^2*$J$6+$M$5*$J$7</f>
        <v>30.77154375089394</v>
      </c>
      <c r="V70" s="6">
        <f>$J$3+[15]FormattedData!O71*$J$4+$M$4*$J$5+[15]FormattedData!O71^2*$J$6+$M$5*$J$7</f>
        <v>32.221849033956836</v>
      </c>
      <c r="W70" s="5">
        <f t="shared" si="9"/>
        <v>31.149410338315153</v>
      </c>
      <c r="X70" s="4">
        <f t="shared" si="10"/>
        <v>0.26477915283798142</v>
      </c>
      <c r="Y70" s="3">
        <f t="shared" si="11"/>
        <v>30.091479941377226</v>
      </c>
      <c r="Z70" s="2">
        <f t="shared" si="12"/>
        <v>30.480341443757222</v>
      </c>
      <c r="AA70" s="3">
        <f t="shared" si="13"/>
        <v>30.77154375089394</v>
      </c>
      <c r="AB70" s="2">
        <f t="shared" si="14"/>
        <v>32.077230623895375</v>
      </c>
      <c r="AC70" s="2">
        <f t="shared" si="15"/>
        <v>32.703170701414578</v>
      </c>
      <c r="AD70" s="2">
        <f t="shared" si="16"/>
        <v>0.6074879142742724</v>
      </c>
      <c r="AE70" s="2">
        <f t="shared" si="17"/>
        <v>-1.3019093056175493</v>
      </c>
    </row>
    <row r="71" spans="2:31" x14ac:dyDescent="0.2">
      <c r="B71" s="1">
        <f>[15]FormattedData!A73</f>
        <v>306</v>
      </c>
      <c r="C71" s="1" t="str">
        <f>VLOOKUP($B71,[15]TrtCodes!$B$11:I116,2)</f>
        <v>FTL</v>
      </c>
      <c r="D71" s="1">
        <f>VLOOKUP($B71,[15]TrtCodes!$B$11:J116,3)</f>
        <v>4</v>
      </c>
      <c r="E71" s="1">
        <f>VLOOKUP($B71,[15]TrtCodes!$B$11:K116,4)</f>
        <v>1</v>
      </c>
      <c r="F71" s="1">
        <f>VLOOKUP($B71,[15]TrtCodes!$B$11:L116,5)</f>
        <v>2</v>
      </c>
      <c r="G71" s="1">
        <f>VLOOKUP($B71,[15]TrtCodes!$B$11:M116,6)</f>
        <v>1</v>
      </c>
      <c r="H71" s="1">
        <f>VLOOKUP($B71,[15]TrtCodes!$B$11:N116,7)</f>
        <v>4</v>
      </c>
      <c r="I71" s="1">
        <f>[15]FormattedData!B73</f>
        <v>2</v>
      </c>
      <c r="J71" s="4">
        <f>[15]FormattedData!C73</f>
        <v>13.577999999999999</v>
      </c>
      <c r="K71" s="6">
        <f>$J$3+[15]FormattedData!D73*$J$4+$M$4*$J$5+[15]FormattedData!D73^2*$J$6+$M$5*$J$7</f>
        <v>30.77154375089394</v>
      </c>
      <c r="L71" s="6">
        <f>$J$3+[15]FormattedData!E73*$J$4+$M$4*$J$5+[15]FormattedData!E73^2*$J$6+$M$5*$J$7</f>
        <v>30.77154375089394</v>
      </c>
      <c r="M71" s="6">
        <f>$J$3+[15]FormattedData!F73*$J$4+$M$4*$J$5+[15]FormattedData!F73^2*$J$6+$M$5*$J$7</f>
        <v>30.77154375089394</v>
      </c>
      <c r="N71" s="6">
        <f>$J$3+[15]FormattedData!G73*$J$4+$M$4*$J$5+[15]FormattedData!G73^2*$J$6+$M$5*$J$7</f>
        <v>30.383189470969114</v>
      </c>
      <c r="O71" s="6">
        <f>$J$3+[15]FormattedData!H73*$J$4+$M$4*$J$5+[15]FormattedData!H73^2*$J$6+$M$5*$J$7</f>
        <v>30.577451148007391</v>
      </c>
      <c r="P71" s="6">
        <f>$J$3+[15]FormattedData!I73*$J$4+$M$4*$J$5+[15]FormattedData!I73^2*$J$6+$M$5*$J$7</f>
        <v>31.256035558696517</v>
      </c>
      <c r="Q71" s="6">
        <f>$J$3+[15]FormattedData!J73*$J$4+$M$4*$J$5+[15]FormattedData!J73^2*$J$6+$M$5*$J$7</f>
        <v>31.352807114643234</v>
      </c>
      <c r="R71" s="6">
        <f>$J$3+[15]FormattedData!K73*$J$4+$M$4*$J$5+[15]FormattedData!K73^2*$J$6+$M$5*$J$7</f>
        <v>30.188758719779116</v>
      </c>
      <c r="S71" s="6">
        <f>$J$3+[15]FormattedData!L73*$J$4+$M$4*$J$5+[15]FormattedData!L73^2*$J$6+$M$5*$J$7</f>
        <v>29.70194214239033</v>
      </c>
      <c r="T71" s="6">
        <f>$J$3+[15]FormattedData!M73*$J$4+$M$4*$J$5+[15]FormattedData!M73^2*$J$6+$M$5*$J$7</f>
        <v>31.83603086630788</v>
      </c>
      <c r="U71" s="6">
        <f>$J$3+[15]FormattedData!N73*$J$4+$M$4*$J$5+[15]FormattedData!N73^2*$J$6+$M$5*$J$7</f>
        <v>32.414504506553726</v>
      </c>
      <c r="V71" s="6">
        <f>$J$3+[15]FormattedData!O73*$J$4+$M$4*$J$5+[15]FormattedData!O73^2*$J$6+$M$5*$J$7</f>
        <v>31.64286817125582</v>
      </c>
      <c r="W71" s="5">
        <f t="shared" si="9"/>
        <v>30.972351579273749</v>
      </c>
      <c r="X71" s="4">
        <f t="shared" si="10"/>
        <v>0.21937497457959357</v>
      </c>
      <c r="Y71" s="3">
        <f t="shared" si="11"/>
        <v>29.70194214239033</v>
      </c>
      <c r="Z71" s="2">
        <f t="shared" si="12"/>
        <v>30.528885728747824</v>
      </c>
      <c r="AA71" s="3">
        <f t="shared" si="13"/>
        <v>30.77154375089394</v>
      </c>
      <c r="AB71" s="2">
        <f t="shared" si="14"/>
        <v>31.42532237879638</v>
      </c>
      <c r="AC71" s="2">
        <f t="shared" si="15"/>
        <v>32.414504506553726</v>
      </c>
      <c r="AD71" s="2">
        <f t="shared" si="16"/>
        <v>0.29856827747958131</v>
      </c>
      <c r="AE71" s="2">
        <f t="shared" si="17"/>
        <v>-0.13868429017558359</v>
      </c>
    </row>
    <row r="72" spans="2:31" x14ac:dyDescent="0.2">
      <c r="B72" s="1">
        <f>[15]FormattedData!A75</f>
        <v>307</v>
      </c>
      <c r="C72" s="1" t="str">
        <f>VLOOKUP($B72,[15]TrtCodes!$B$11:I118,2)</f>
        <v>NTH</v>
      </c>
      <c r="D72" s="1">
        <f>VLOOKUP($B72,[15]TrtCodes!$B$11:J118,3)</f>
        <v>9</v>
      </c>
      <c r="E72" s="1">
        <f>VLOOKUP($B72,[15]TrtCodes!$B$11:K118,4)</f>
        <v>2</v>
      </c>
      <c r="F72" s="1">
        <f>VLOOKUP($B72,[15]TrtCodes!$B$11:L118,5)</f>
        <v>2</v>
      </c>
      <c r="G72" s="1">
        <f>VLOOKUP($B72,[15]TrtCodes!$B$11:M118,6)</f>
        <v>2</v>
      </c>
      <c r="H72" s="1">
        <f>VLOOKUP($B72,[15]TrtCodes!$B$11:N118,7)</f>
        <v>4</v>
      </c>
      <c r="I72" s="1">
        <f>[15]FormattedData!B75</f>
        <v>2</v>
      </c>
      <c r="J72" s="4">
        <f>[15]FormattedData!C75</f>
        <v>13.596</v>
      </c>
      <c r="K72" s="6">
        <f>$J$3+[15]FormattedData!D75*$J$4+$M$4*$J$5+[15]FormattedData!D75^2*$J$6+$M$5*$J$7</f>
        <v>31.256035558696517</v>
      </c>
      <c r="L72" s="6">
        <f>$J$3+[15]FormattedData!E75*$J$4+$M$4*$J$5+[15]FormattedData!E75^2*$J$6+$M$5*$J$7</f>
        <v>31.739470653050816</v>
      </c>
      <c r="M72" s="6">
        <f>$J$3+[15]FormattedData!F75*$J$4+$M$4*$J$5+[15]FormattedData!F75^2*$J$6+$M$5*$J$7</f>
        <v>29.214068851553264</v>
      </c>
      <c r="N72" s="6">
        <f>$J$3+[15]FormattedData!G75*$J$4+$M$4*$J$5+[15]FormattedData!G75^2*$J$6+$M$5*$J$7</f>
        <v>29.214068851553264</v>
      </c>
      <c r="O72" s="6">
        <f>$J$3+[15]FormattedData!H75*$J$4+$M$4*$J$5+[15]FormattedData!H75^2*$J$6+$M$5*$J$7</f>
        <v>29.506919631669298</v>
      </c>
      <c r="P72" s="6">
        <f>$J$3+[15]FormattedData!I75*$J$4+$M$4*$J$5+[15]FormattedData!I75^2*$J$6+$M$5*$J$7</f>
        <v>30.285995229643085</v>
      </c>
      <c r="Q72" s="6">
        <f>$J$3+[15]FormattedData!J75*$J$4+$M$4*$J$5+[15]FormattedData!J75^2*$J$6+$M$5*$J$7</f>
        <v>30.285995229643085</v>
      </c>
      <c r="R72" s="6">
        <f>$J$3+[15]FormattedData!K75*$J$4+$M$4*$J$5+[15]FormattedData!K75^2*$J$6+$M$5*$J$7</f>
        <v>32.51076884004528</v>
      </c>
      <c r="S72" s="6">
        <f>$J$3+[15]FormattedData!L75*$J$4+$M$4*$J$5+[15]FormattedData!L75^2*$J$6+$M$5*$J$7</f>
        <v>32.125457894851493</v>
      </c>
      <c r="T72" s="6">
        <f>$J$3+[15]FormattedData!M75*$J$4+$M$4*$J$5+[15]FormattedData!M75^2*$J$6+$M$5*$J$7</f>
        <v>29.01862365545292</v>
      </c>
      <c r="U72" s="6">
        <f>$J$3+[15]FormattedData!N75*$J$4+$M$4*$J$5+[15]FormattedData!N75^2*$J$6+$M$5*$J$7</f>
        <v>28.529270965788264</v>
      </c>
      <c r="V72" s="6">
        <f>$J$3+[15]FormattedData!O75*$J$4+$M$4*$J$5+[15]FormattedData!O75^2*$J$6+$M$5*$J$7</f>
        <v>30.188758719779116</v>
      </c>
      <c r="W72" s="5">
        <f t="shared" si="9"/>
        <v>30.322952840143866</v>
      </c>
      <c r="X72" s="4">
        <f t="shared" si="10"/>
        <v>0.37916571168948004</v>
      </c>
      <c r="Y72" s="3">
        <f t="shared" si="11"/>
        <v>28.529270965788264</v>
      </c>
      <c r="Z72" s="2">
        <f t="shared" si="12"/>
        <v>29.214068851553264</v>
      </c>
      <c r="AA72" s="3">
        <f t="shared" si="13"/>
        <v>30.237376974711101</v>
      </c>
      <c r="AB72" s="2">
        <f t="shared" si="14"/>
        <v>31.37689433228509</v>
      </c>
      <c r="AC72" s="2">
        <f t="shared" si="15"/>
        <v>32.51076884004528</v>
      </c>
      <c r="AD72" s="2">
        <f t="shared" si="16"/>
        <v>0.41981977565080492</v>
      </c>
      <c r="AE72" s="2">
        <f t="shared" si="17"/>
        <v>-1.1233440192452235</v>
      </c>
    </row>
    <row r="73" spans="2:31" x14ac:dyDescent="0.2">
      <c r="B73" s="1">
        <f>[15]FormattedData!A77</f>
        <v>308</v>
      </c>
      <c r="C73" s="1" t="str">
        <f>VLOOKUP($B73,[15]TrtCodes!$B$11:I120,2)</f>
        <v>FDH</v>
      </c>
      <c r="D73" s="1">
        <f>VLOOKUP($B73,[15]TrtCodes!$B$11:J120,3)</f>
        <v>5</v>
      </c>
      <c r="E73" s="1">
        <f>VLOOKUP($B73,[15]TrtCodes!$B$11:K120,4)</f>
        <v>1</v>
      </c>
      <c r="F73" s="1">
        <f>VLOOKUP($B73,[15]TrtCodes!$B$11:L120,5)</f>
        <v>3</v>
      </c>
      <c r="G73" s="1">
        <f>VLOOKUP($B73,[15]TrtCodes!$B$11:M120,6)</f>
        <v>2</v>
      </c>
      <c r="H73" s="1">
        <f>VLOOKUP($B73,[15]TrtCodes!$B$11:N120,7)</f>
        <v>4</v>
      </c>
      <c r="I73" s="1">
        <f>[15]FormattedData!B77</f>
        <v>2</v>
      </c>
      <c r="J73" s="4">
        <f>[15]FormattedData!C77</f>
        <v>13.614000000000001</v>
      </c>
      <c r="K73" s="6">
        <f>$J$3+[15]FormattedData!D77*$J$4+$M$4*$J$5+[15]FormattedData!D77^2*$J$6+$M$5*$J$7</f>
        <v>32.029024487208225</v>
      </c>
      <c r="L73" s="6">
        <f>$J$3+[15]FormattedData!E77*$J$4+$M$4*$J$5+[15]FormattedData!E77^2*$J$6+$M$5*$J$7</f>
        <v>31.83603086630788</v>
      </c>
      <c r="M73" s="6">
        <f>$J$3+[15]FormattedData!F77*$J$4+$M$4*$J$5+[15]FormattedData!F77^2*$J$6+$M$5*$J$7</f>
        <v>32.51076884004528</v>
      </c>
      <c r="N73" s="6">
        <f>$J$3+[15]FormattedData!G77*$J$4+$M$4*$J$5+[15]FormattedData!G77^2*$J$6+$M$5*$J$7</f>
        <v>32.221849033956836</v>
      </c>
      <c r="O73" s="6">
        <f>$J$3+[15]FormattedData!H77*$J$4+$M$4*$J$5+[15]FormattedData!H77^2*$J$6+$M$5*$J$7</f>
        <v>34.331760154177772</v>
      </c>
      <c r="P73" s="6">
        <f>$J$3+[15]FormattedData!I77*$J$4+$M$4*$J$5+[15]FormattedData!I77^2*$J$6+$M$5*$J$7</f>
        <v>34.713182393881894</v>
      </c>
      <c r="Q73" s="6">
        <f>$J$3+[15]FormattedData!J77*$J$4+$M$4*$J$5+[15]FormattedData!J77^2*$J$6+$M$5*$J$7</f>
        <v>34.045249654751416</v>
      </c>
      <c r="R73" s="6">
        <f>$J$3+[15]FormattedData!K77*$J$4+$M$4*$J$5+[15]FormattedData!K77^2*$J$6+$M$5*$J$7</f>
        <v>32.799308229292329</v>
      </c>
      <c r="S73" s="6">
        <f>$J$3+[15]FormattedData!L77*$J$4+$M$4*$J$5+[15]FormattedData!L77^2*$J$6+$M$5*$J$7</f>
        <v>33.471087405374547</v>
      </c>
      <c r="T73" s="6">
        <f>$J$3+[15]FormattedData!M77*$J$4+$M$4*$J$5+[15]FormattedData!M77^2*$J$6+$M$5*$J$7</f>
        <v>32.51076884004528</v>
      </c>
      <c r="U73" s="6">
        <f>$J$3+[15]FormattedData!N77*$J$4+$M$4*$J$5+[15]FormattedData!N77^2*$J$6+$M$5*$J$7</f>
        <v>33.566886784948849</v>
      </c>
      <c r="V73" s="6">
        <f>$J$3+[15]FormattedData!O77*$J$4+$M$4*$J$5+[15]FormattedData!O77^2*$J$6+$M$5*$J$7</f>
        <v>32.221849033956836</v>
      </c>
      <c r="W73" s="5">
        <f t="shared" si="9"/>
        <v>33.021480476995599</v>
      </c>
      <c r="X73" s="4">
        <f t="shared" si="10"/>
        <v>0.28023934289710872</v>
      </c>
      <c r="Y73" s="3">
        <f t="shared" si="11"/>
        <v>31.83603086630788</v>
      </c>
      <c r="Z73" s="2">
        <f t="shared" si="12"/>
        <v>32.221849033956836</v>
      </c>
      <c r="AA73" s="3">
        <f t="shared" si="13"/>
        <v>32.655038534668805</v>
      </c>
      <c r="AB73" s="2">
        <f t="shared" si="14"/>
        <v>33.686477502399491</v>
      </c>
      <c r="AC73" s="2">
        <f t="shared" si="15"/>
        <v>34.713182393881894</v>
      </c>
      <c r="AD73" s="2">
        <f t="shared" si="16"/>
        <v>0.53345009233388263</v>
      </c>
      <c r="AE73" s="2">
        <f t="shared" si="17"/>
        <v>-1.147225672269538</v>
      </c>
    </row>
    <row r="74" spans="2:31" x14ac:dyDescent="0.2">
      <c r="B74" s="1">
        <f>[15]FormattedData!A93</f>
        <v>401</v>
      </c>
      <c r="C74" s="1" t="str">
        <f>VLOOKUP($B74,[15]TrtCodes!$B$11:I130,2)</f>
        <v>NSH</v>
      </c>
      <c r="D74" s="1">
        <f>VLOOKUP($B74,[15]TrtCodes!$B$11:J130,3)</f>
        <v>7</v>
      </c>
      <c r="E74" s="1">
        <f>VLOOKUP($B74,[15]TrtCodes!$B$11:K130,4)</f>
        <v>2</v>
      </c>
      <c r="F74" s="1">
        <f>VLOOKUP($B74,[15]TrtCodes!$B$11:L130,5)</f>
        <v>1</v>
      </c>
      <c r="G74" s="1">
        <f>VLOOKUP($B74,[15]TrtCodes!$B$11:M130,6)</f>
        <v>2</v>
      </c>
      <c r="H74" s="1">
        <f>VLOOKUP($B74,[15]TrtCodes!$B$11:N130,7)</f>
        <v>3</v>
      </c>
      <c r="I74" s="1">
        <f>[15]FormattedData!B93</f>
        <v>2</v>
      </c>
      <c r="J74" s="4">
        <f>[15]FormattedData!C93</f>
        <v>13.762</v>
      </c>
      <c r="K74" s="6">
        <f>$J$3+[15]FormattedData!D93*$J$4+$M$4*$J$5+[15]FormattedData!D93^2*$J$6+$M$5*$J$7</f>
        <v>33.854031312444178</v>
      </c>
      <c r="L74" s="6">
        <f>$J$3+[15]FormattedData!E93*$J$4+$M$4*$J$5+[15]FormattedData!E93^2*$J$6+$M$5*$J$7</f>
        <v>35.379043974653747</v>
      </c>
      <c r="M74" s="6">
        <f>$J$3+[15]FormattedData!F93*$J$4+$M$4*$J$5+[15]FormattedData!F93^2*$J$6+$M$5*$J$7</f>
        <v>36.042834397066969</v>
      </c>
      <c r="N74" s="6">
        <f>$J$3+[15]FormattedData!G93*$J$4+$M$4*$J$5+[15]FormattedData!G93^2*$J$6+$M$5*$J$7</f>
        <v>34.903639902506363</v>
      </c>
      <c r="O74" s="6">
        <f>$J$3+[15]FormattedData!H93*$J$4+$M$4*$J$5+[15]FormattedData!H93^2*$J$6+$M$5*$J$7</f>
        <v>37.175942222165496</v>
      </c>
      <c r="P74" s="6">
        <f>$J$3+[15]FormattedData!I93*$J$4+$M$4*$J$5+[15]FormattedData!I93^2*$J$6+$M$5*$J$7</f>
        <v>34.331760154177772</v>
      </c>
      <c r="Q74" s="6">
        <f>$J$3+[15]FormattedData!J93*$J$4+$M$4*$J$5+[15]FormattedData!J93^2*$J$6+$M$5*$J$7</f>
        <v>34.998805254011707</v>
      </c>
      <c r="R74" s="6">
        <f>$J$3+[15]FormattedData!K93*$J$4+$M$4*$J$5+[15]FormattedData!K93^2*$J$6+$M$5*$J$7</f>
        <v>35.663779195486995</v>
      </c>
      <c r="S74" s="6">
        <f>$J$3+[15]FormattedData!L93*$J$4+$M$4*$J$5+[15]FormattedData!L93^2*$J$6+$M$5*$J$7</f>
        <v>34.4271791169107</v>
      </c>
      <c r="T74" s="6">
        <f>$J$3+[15]FormattedData!M93*$J$4+$M$4*$J$5+[15]FormattedData!M93^2*$J$6+$M$5*$J$7</f>
        <v>36.98751360336172</v>
      </c>
      <c r="U74" s="6">
        <f>$J$3+[15]FormattedData!N93*$J$4+$M$4*$J$5+[15]FormattedData!N93^2*$J$6+$M$5*$J$7</f>
        <v>35.379043974653747</v>
      </c>
      <c r="V74" s="6">
        <f>$J$3+[15]FormattedData!O93*$J$4+$M$4*$J$5+[15]FormattedData!O93^2*$J$6+$M$5*$J$7</f>
        <v>39.144234867694777</v>
      </c>
      <c r="W74" s="5">
        <f t="shared" ref="W74:W105" si="18">AVERAGE(K74:V74)</f>
        <v>35.690650664594514</v>
      </c>
      <c r="X74" s="4">
        <f t="shared" ref="X74:X85" si="19">STDEV(K74:V74)/SQRT(COUNT(K74:V74))</f>
        <v>0.42683020969712876</v>
      </c>
      <c r="Y74" s="3">
        <f t="shared" ref="Y74:Y85" si="20">MIN(K74:V74)</f>
        <v>33.854031312444178</v>
      </c>
      <c r="Z74" s="2">
        <f t="shared" ref="Z74:Z85" si="21">QUARTILE(K74:V74,1)</f>
        <v>34.784524706107447</v>
      </c>
      <c r="AA74" s="3">
        <f t="shared" ref="AA74:AA85" si="22">MEDIAN(K74:V74)</f>
        <v>35.379043974653747</v>
      </c>
      <c r="AB74" s="2">
        <f t="shared" ref="AB74:AB85" si="23">QUARTILE(K74:V74,3)</f>
        <v>36.279004198640656</v>
      </c>
      <c r="AC74" s="2">
        <f t="shared" ref="AC74:AC85" si="24">MAX(K74:V74)</f>
        <v>39.144234867694777</v>
      </c>
      <c r="AD74" s="2">
        <f t="shared" ref="AD74:AD85" si="25">SKEW(K74:V74)</f>
        <v>1.1843140102553407</v>
      </c>
      <c r="AE74" s="2">
        <f t="shared" ref="AE74:AE85" si="26">KURT(K74:V74)</f>
        <v>1.5034253137298359</v>
      </c>
    </row>
    <row r="75" spans="2:31" x14ac:dyDescent="0.2">
      <c r="B75" s="1">
        <f>[15]FormattedData!A91</f>
        <v>402</v>
      </c>
      <c r="C75" s="1" t="str">
        <f>VLOOKUP($B75,[15]TrtCodes!$B$11:I131,2)</f>
        <v>NTH</v>
      </c>
      <c r="D75" s="1">
        <f>VLOOKUP($B75,[15]TrtCodes!$B$11:J131,3)</f>
        <v>9</v>
      </c>
      <c r="E75" s="1">
        <f>VLOOKUP($B75,[15]TrtCodes!$B$11:K131,4)</f>
        <v>2</v>
      </c>
      <c r="F75" s="1">
        <f>VLOOKUP($B75,[15]TrtCodes!$B$11:L131,5)</f>
        <v>2</v>
      </c>
      <c r="G75" s="1">
        <f>VLOOKUP($B75,[15]TrtCodes!$B$11:M131,6)</f>
        <v>2</v>
      </c>
      <c r="H75" s="1">
        <f>VLOOKUP($B75,[15]TrtCodes!$B$11:N131,7)</f>
        <v>3</v>
      </c>
      <c r="I75" s="1">
        <f>[15]FormattedData!B91</f>
        <v>2</v>
      </c>
      <c r="J75" s="4">
        <f>[15]FormattedData!C91</f>
        <v>13.744</v>
      </c>
      <c r="K75" s="6">
        <f>$J$3+[15]FormattedData!D91*$J$4+$M$4*$J$5+[15]FormattedData!D91^2*$J$6+$M$5*$J$7</f>
        <v>32.029024487208225</v>
      </c>
      <c r="L75" s="6">
        <f>$J$3+[15]FormattedData!E91*$J$4+$M$4*$J$5+[15]FormattedData!E91^2*$J$6+$M$5*$J$7</f>
        <v>32.799308229292329</v>
      </c>
      <c r="M75" s="6">
        <f>$J$3+[15]FormattedData!F91*$J$4+$M$4*$J$5+[15]FormattedData!F91^2*$J$6+$M$5*$J$7</f>
        <v>34.045249654751416</v>
      </c>
      <c r="N75" s="6">
        <f>$J$3+[15]FormattedData!G91*$J$4+$M$4*$J$5+[15]FormattedData!G91^2*$J$6+$M$5*$J$7</f>
        <v>30.091479941377226</v>
      </c>
      <c r="O75" s="6">
        <f>$J$3+[15]FormattedData!H91*$J$4+$M$4*$J$5+[15]FormattedData!H91^2*$J$6+$M$5*$J$7</f>
        <v>31.64286817125582</v>
      </c>
      <c r="P75" s="6">
        <f>$J$3+[15]FormattedData!I91*$J$4+$M$4*$J$5+[15]FormattedData!I91^2*$J$6+$M$5*$J$7</f>
        <v>31.932548811027019</v>
      </c>
      <c r="Q75" s="6">
        <f>$J$3+[15]FormattedData!J91*$J$4+$M$4*$J$5+[15]FormattedData!J91^2*$J$6+$M$5*$J$7</f>
        <v>31.449536402052033</v>
      </c>
      <c r="R75" s="6">
        <f>$J$3+[15]FormattedData!K91*$J$4+$M$4*$J$5+[15]FormattedData!K91^2*$J$6+$M$5*$J$7</f>
        <v>31.64286817125582</v>
      </c>
      <c r="S75" s="6">
        <f>$J$3+[15]FormattedData!L91*$J$4+$M$4*$J$5+[15]FormattedData!L91^2*$J$6+$M$5*$J$7</f>
        <v>30.091479941377226</v>
      </c>
      <c r="T75" s="6">
        <f>$J$3+[15]FormattedData!M91*$J$4+$M$4*$J$5+[15]FormattedData!M91^2*$J$6+$M$5*$J$7</f>
        <v>31.932548811027019</v>
      </c>
      <c r="U75" s="6">
        <f>$J$3+[15]FormattedData!N91*$J$4+$M$4*$J$5+[15]FormattedData!N91^2*$J$6+$M$5*$J$7</f>
        <v>31.64286817125582</v>
      </c>
      <c r="V75" s="6">
        <f>$J$3+[15]FormattedData!O91*$J$4+$M$4*$J$5+[15]FormattedData!O91^2*$J$6+$M$5*$J$7</f>
        <v>30.480341443757222</v>
      </c>
      <c r="W75" s="5">
        <f t="shared" si="18"/>
        <v>31.648343519636427</v>
      </c>
      <c r="X75" s="4">
        <f t="shared" si="19"/>
        <v>0.32131162936736085</v>
      </c>
      <c r="Y75" s="3">
        <f t="shared" si="20"/>
        <v>30.091479941377226</v>
      </c>
      <c r="Z75" s="2">
        <f t="shared" si="21"/>
        <v>31.207237662478331</v>
      </c>
      <c r="AA75" s="3">
        <f t="shared" si="22"/>
        <v>31.64286817125582</v>
      </c>
      <c r="AB75" s="2">
        <f t="shared" si="23"/>
        <v>31.956667730072319</v>
      </c>
      <c r="AC75" s="2">
        <f t="shared" si="24"/>
        <v>34.045249654751416</v>
      </c>
      <c r="AD75" s="2">
        <f t="shared" si="25"/>
        <v>0.49428485989019877</v>
      </c>
      <c r="AE75" s="2">
        <f t="shared" si="26"/>
        <v>0.93649163744287733</v>
      </c>
    </row>
    <row r="76" spans="2:31" x14ac:dyDescent="0.2">
      <c r="B76" s="1">
        <f>[15]FormattedData!A89</f>
        <v>403</v>
      </c>
      <c r="C76" s="1" t="str">
        <f>VLOOKUP($B76,[15]TrtCodes!$B$11:I132,2)</f>
        <v>FDL</v>
      </c>
      <c r="D76" s="1">
        <f>VLOOKUP($B76,[15]TrtCodes!$B$11:J132,3)</f>
        <v>6</v>
      </c>
      <c r="E76" s="1">
        <f>VLOOKUP($B76,[15]TrtCodes!$B$11:K132,4)</f>
        <v>1</v>
      </c>
      <c r="F76" s="1">
        <f>VLOOKUP($B76,[15]TrtCodes!$B$11:L132,5)</f>
        <v>3</v>
      </c>
      <c r="G76" s="1">
        <f>VLOOKUP($B76,[15]TrtCodes!$B$11:M132,6)</f>
        <v>1</v>
      </c>
      <c r="H76" s="1">
        <f>VLOOKUP($B76,[15]TrtCodes!$B$11:N132,7)</f>
        <v>3</v>
      </c>
      <c r="I76" s="1">
        <f>[15]FormattedData!B89</f>
        <v>2</v>
      </c>
      <c r="J76" s="4">
        <f>[15]FormattedData!C89</f>
        <v>13.727</v>
      </c>
      <c r="K76" s="6">
        <f>$J$3+[15]FormattedData!D89*$J$4+$M$4*$J$5+[15]FormattedData!D89^2*$J$6+$M$5*$J$7</f>
        <v>31.159221734211858</v>
      </c>
      <c r="L76" s="6">
        <f>$J$3+[15]FormattedData!E89*$J$4+$M$4*$J$5+[15]FormattedData!E89^2*$J$6+$M$5*$J$7</f>
        <v>31.64286817125582</v>
      </c>
      <c r="M76" s="6">
        <f>$J$3+[15]FormattedData!F89*$J$4+$M$4*$J$5+[15]FormattedData!F89^2*$J$6+$M$5*$J$7</f>
        <v>31.159221734211858</v>
      </c>
      <c r="N76" s="6">
        <f>$J$3+[15]FormattedData!G89*$J$4+$M$4*$J$5+[15]FormattedData!G89^2*$J$6+$M$5*$J$7</f>
        <v>31.83603086630788</v>
      </c>
      <c r="O76" s="6">
        <f>$J$3+[15]FormattedData!H89*$J$4+$M$4*$J$5+[15]FormattedData!H89^2*$J$6+$M$5*$J$7</f>
        <v>34.045249654751416</v>
      </c>
      <c r="P76" s="6">
        <f>$J$3+[15]FormattedData!I89*$J$4+$M$4*$J$5+[15]FormattedData!I89^2*$J$6+$M$5*$J$7</f>
        <v>32.125457894851493</v>
      </c>
      <c r="Q76" s="6">
        <f>$J$3+[15]FormattedData!J89*$J$4+$M$4*$J$5+[15]FormattedData!J89^2*$J$6+$M$5*$J$7</f>
        <v>32.895403488632155</v>
      </c>
      <c r="R76" s="6">
        <f>$J$3+[15]FormattedData!K89*$J$4+$M$4*$J$5+[15]FormattedData!K89^2*$J$6+$M$5*$J$7</f>
        <v>31.546223420922889</v>
      </c>
      <c r="S76" s="6">
        <f>$J$3+[15]FormattedData!L89*$J$4+$M$4*$J$5+[15]FormattedData!L89^2*$J$6+$M$5*$J$7</f>
        <v>32.991456479434049</v>
      </c>
      <c r="T76" s="6">
        <f>$J$3+[15]FormattedData!M89*$J$4+$M$4*$J$5+[15]FormattedData!M89^2*$J$6+$M$5*$J$7</f>
        <v>30.480341443757222</v>
      </c>
      <c r="U76" s="6">
        <f>$J$3+[15]FormattedData!N89*$J$4+$M$4*$J$5+[15]FormattedData!N89^2*$J$6+$M$5*$J$7</f>
        <v>32.414504506553726</v>
      </c>
      <c r="V76" s="6">
        <f>$J$3+[15]FormattedData!O89*$J$4+$M$4*$J$5+[15]FormattedData!O89^2*$J$6+$M$5*$J$7</f>
        <v>32.799308229292329</v>
      </c>
      <c r="W76" s="5">
        <f t="shared" si="18"/>
        <v>32.091273968681882</v>
      </c>
      <c r="X76" s="4">
        <f t="shared" si="19"/>
        <v>0.28574432429473434</v>
      </c>
      <c r="Y76" s="3">
        <f t="shared" si="20"/>
        <v>30.480341443757222</v>
      </c>
      <c r="Z76" s="2">
        <f t="shared" si="21"/>
        <v>31.449472999245131</v>
      </c>
      <c r="AA76" s="3">
        <f t="shared" si="22"/>
        <v>31.980744380579686</v>
      </c>
      <c r="AB76" s="2">
        <f t="shared" si="23"/>
        <v>32.823332044127284</v>
      </c>
      <c r="AC76" s="2">
        <f t="shared" si="24"/>
        <v>34.045249654751416</v>
      </c>
      <c r="AD76" s="2">
        <f t="shared" si="25"/>
        <v>0.34080464420364287</v>
      </c>
      <c r="AE76" s="2">
        <f t="shared" si="26"/>
        <v>-4.6170846989870284E-2</v>
      </c>
    </row>
    <row r="77" spans="2:31" x14ac:dyDescent="0.2">
      <c r="B77" s="1">
        <f>[15]FormattedData!A87</f>
        <v>404</v>
      </c>
      <c r="C77" s="1" t="str">
        <f>VLOOKUP($B77,[15]TrtCodes!$B$11:I130,2)</f>
        <v>FTH</v>
      </c>
      <c r="D77" s="1">
        <f>VLOOKUP($B77,[15]TrtCodes!$B$11:J130,3)</f>
        <v>3</v>
      </c>
      <c r="E77" s="1">
        <f>VLOOKUP($B77,[15]TrtCodes!$B$11:K130,4)</f>
        <v>1</v>
      </c>
      <c r="F77" s="1">
        <f>VLOOKUP($B77,[15]TrtCodes!$B$11:L130,5)</f>
        <v>2</v>
      </c>
      <c r="G77" s="1">
        <f>VLOOKUP($B77,[15]TrtCodes!$B$11:M130,6)</f>
        <v>2</v>
      </c>
      <c r="H77" s="1">
        <f>VLOOKUP($B77,[15]TrtCodes!$B$11:N130,7)</f>
        <v>3</v>
      </c>
      <c r="I77" s="1">
        <f>[15]FormattedData!B87</f>
        <v>2</v>
      </c>
      <c r="J77" s="4">
        <f>[15]FormattedData!C87</f>
        <v>13.709</v>
      </c>
      <c r="K77" s="6">
        <f>$J$3+[15]FormattedData!D87*$J$4+$M$4*$J$5+[15]FormattedData!D87^2*$J$6+$M$5*$J$7</f>
        <v>31.64286817125582</v>
      </c>
      <c r="L77" s="6">
        <f>$J$3+[15]FormattedData!E87*$J$4+$M$4*$J$5+[15]FormattedData!E87^2*$J$6+$M$5*$J$7</f>
        <v>31.64286817125582</v>
      </c>
      <c r="M77" s="6">
        <f>$J$3+[15]FormattedData!F87*$J$4+$M$4*$J$5+[15]FormattedData!F87^2*$J$6+$M$5*$J$7</f>
        <v>32.414504506553726</v>
      </c>
      <c r="N77" s="6">
        <f>$J$3+[15]FormattedData!G87*$J$4+$M$4*$J$5+[15]FormattedData!G87^2*$J$6+$M$5*$J$7</f>
        <v>31.546223420922889</v>
      </c>
      <c r="O77" s="6">
        <f>$J$3+[15]FormattedData!H87*$J$4+$M$4*$J$5+[15]FormattedData!H87^2*$J$6+$M$5*$J$7</f>
        <v>30.965467279628765</v>
      </c>
      <c r="P77" s="6">
        <f>$J$3+[15]FormattedData!I87*$J$4+$M$4*$J$5+[15]FormattedData!I87^2*$J$6+$M$5*$J$7</f>
        <v>30.383189470969114</v>
      </c>
      <c r="Q77" s="6">
        <f>$J$3+[15]FormattedData!J87*$J$4+$M$4*$J$5+[15]FormattedData!J87^2*$J$6+$M$5*$J$7</f>
        <v>31.64286817125582</v>
      </c>
      <c r="R77" s="6">
        <f>$J$3+[15]FormattedData!K87*$J$4+$M$4*$J$5+[15]FormattedData!K87^2*$J$6+$M$5*$J$7</f>
        <v>32.51076884004528</v>
      </c>
      <c r="S77" s="6">
        <f>$J$3+[15]FormattedData!L87*$J$4+$M$4*$J$5+[15]FormattedData!L87^2*$J$6+$M$5*$J$7</f>
        <v>32.029024487208225</v>
      </c>
      <c r="T77" s="6">
        <f>$J$3+[15]FormattedData!M87*$J$4+$M$4*$J$5+[15]FormattedData!M87^2*$J$6+$M$5*$J$7</f>
        <v>32.703170701414578</v>
      </c>
      <c r="U77" s="6">
        <f>$J$3+[15]FormattedData!N87*$J$4+$M$4*$J$5+[15]FormattedData!N87^2*$J$6+$M$5*$J$7</f>
        <v>32.029024487208225</v>
      </c>
      <c r="V77" s="6">
        <f>$J$3+[15]FormattedData!O87*$J$4+$M$4*$J$5+[15]FormattedData!O87^2*$J$6+$M$5*$J$7</f>
        <v>32.414504506553726</v>
      </c>
      <c r="W77" s="5">
        <f t="shared" si="18"/>
        <v>31.827040184522669</v>
      </c>
      <c r="X77" s="4">
        <f t="shared" si="19"/>
        <v>0.19490756031562562</v>
      </c>
      <c r="Y77" s="3">
        <f t="shared" si="20"/>
        <v>30.383189470969114</v>
      </c>
      <c r="Z77" s="2">
        <f t="shared" si="21"/>
        <v>31.618706983672588</v>
      </c>
      <c r="AA77" s="3">
        <f t="shared" si="22"/>
        <v>31.835946329232023</v>
      </c>
      <c r="AB77" s="2">
        <f t="shared" si="23"/>
        <v>32.414504506553726</v>
      </c>
      <c r="AC77" s="2">
        <f t="shared" si="24"/>
        <v>32.703170701414578</v>
      </c>
      <c r="AD77" s="2">
        <f t="shared" si="25"/>
        <v>-0.80679648241556357</v>
      </c>
      <c r="AE77" s="2">
        <f t="shared" si="26"/>
        <v>0.482786925709485</v>
      </c>
    </row>
    <row r="78" spans="2:31" x14ac:dyDescent="0.2">
      <c r="B78" s="1">
        <f>[15]FormattedData!A85</f>
        <v>405</v>
      </c>
      <c r="C78" s="1" t="str">
        <f>VLOOKUP($B78,[15]TrtCodes!$B$11:I128,2)</f>
        <v>FDL</v>
      </c>
      <c r="D78" s="1">
        <f>VLOOKUP($B78,[15]TrtCodes!$B$11:J128,3)</f>
        <v>6</v>
      </c>
      <c r="E78" s="1">
        <f>VLOOKUP($B78,[15]TrtCodes!$B$11:K128,4)</f>
        <v>1</v>
      </c>
      <c r="F78" s="1">
        <f>VLOOKUP($B78,[15]TrtCodes!$B$11:L128,5)</f>
        <v>3</v>
      </c>
      <c r="G78" s="1">
        <f>VLOOKUP($B78,[15]TrtCodes!$B$11:M128,6)</f>
        <v>1</v>
      </c>
      <c r="H78" s="1">
        <f>VLOOKUP($B78,[15]TrtCodes!$B$11:N128,7)</f>
        <v>4</v>
      </c>
      <c r="I78" s="1">
        <f>[15]FormattedData!B85</f>
        <v>2</v>
      </c>
      <c r="J78" s="4">
        <f>[15]FormattedData!C85</f>
        <v>13.692</v>
      </c>
      <c r="K78" s="6">
        <f>$J$3+[15]FormattedData!D85*$J$4+$M$4*$J$5+[15]FormattedData!D85^2*$J$6+$M$5*$J$7</f>
        <v>31.64286817125582</v>
      </c>
      <c r="L78" s="6">
        <f>$J$3+[15]FormattedData!E85*$J$4+$M$4*$J$5+[15]FormattedData!E85^2*$J$6+$M$5*$J$7</f>
        <v>29.89679557895964</v>
      </c>
      <c r="M78" s="6">
        <f>$J$3+[15]FormattedData!F85*$J$4+$M$4*$J$5+[15]FormattedData!F85^2*$J$6+$M$5*$J$7</f>
        <v>31.64286817125582</v>
      </c>
      <c r="N78" s="6">
        <f>$J$3+[15]FormattedData!G85*$J$4+$M$4*$J$5+[15]FormattedData!G85^2*$J$6+$M$5*$J$7</f>
        <v>31.64286817125582</v>
      </c>
      <c r="O78" s="6">
        <f>$J$3+[15]FormattedData!H85*$J$4+$M$4*$J$5+[15]FormattedData!H85^2*$J$6+$M$5*$J$7</f>
        <v>30.674518583719628</v>
      </c>
      <c r="P78" s="6">
        <f>$J$3+[15]FormattedData!I85*$J$4+$M$4*$J$5+[15]FormattedData!I85^2*$J$6+$M$5*$J$7</f>
        <v>29.311728046796542</v>
      </c>
      <c r="Q78" s="6">
        <f>$J$3+[15]FormattedData!J85*$J$4+$M$4*$J$5+[15]FormattedData!J85^2*$J$6+$M$5*$J$7</f>
        <v>30.383189470969114</v>
      </c>
      <c r="R78" s="6">
        <f>$J$3+[15]FormattedData!K85*$J$4+$M$4*$J$5+[15]FormattedData!K85^2*$J$6+$M$5*$J$7</f>
        <v>30.868526649530317</v>
      </c>
      <c r="S78" s="6">
        <f>$J$3+[15]FormattedData!L85*$J$4+$M$4*$J$5+[15]FormattedData!L85^2*$J$6+$M$5*$J$7</f>
        <v>31.83603086630788</v>
      </c>
      <c r="T78" s="6">
        <f>$J$3+[15]FormattedData!M85*$J$4+$M$4*$J$5+[15]FormattedData!M85^2*$J$6+$M$5*$J$7</f>
        <v>31.256035558696517</v>
      </c>
      <c r="U78" s="6">
        <f>$J$3+[15]FormattedData!N85*$J$4+$M$4*$J$5+[15]FormattedData!N85^2*$J$6+$M$5*$J$7</f>
        <v>31.062365641189277</v>
      </c>
      <c r="V78" s="6">
        <f>$J$3+[15]FormattedData!O85*$J$4+$M$4*$J$5+[15]FormattedData!O85^2*$J$6+$M$5*$J$7</f>
        <v>32.125457894851493</v>
      </c>
      <c r="W78" s="5">
        <f t="shared" si="18"/>
        <v>31.028604400398986</v>
      </c>
      <c r="X78" s="4">
        <f t="shared" si="19"/>
        <v>0.24364758897133054</v>
      </c>
      <c r="Y78" s="3">
        <f t="shared" si="20"/>
        <v>29.311728046796542</v>
      </c>
      <c r="Z78" s="2">
        <f t="shared" si="21"/>
        <v>30.601686305531999</v>
      </c>
      <c r="AA78" s="3">
        <f t="shared" si="22"/>
        <v>31.159200599942899</v>
      </c>
      <c r="AB78" s="2">
        <f t="shared" si="23"/>
        <v>31.64286817125582</v>
      </c>
      <c r="AC78" s="2">
        <f t="shared" si="24"/>
        <v>32.125457894851493</v>
      </c>
      <c r="AD78" s="2">
        <f t="shared" si="25"/>
        <v>-0.77562145288667406</v>
      </c>
      <c r="AE78" s="2">
        <f t="shared" si="26"/>
        <v>-5.2012391373617017E-2</v>
      </c>
    </row>
    <row r="79" spans="2:31" x14ac:dyDescent="0.2">
      <c r="B79" s="1">
        <f>[15]FormattedData!A83</f>
        <v>406</v>
      </c>
      <c r="C79" s="1" t="str">
        <f>VLOOKUP($B79,[15]TrtCodes!$B$11:I126,2)</f>
        <v>FTH</v>
      </c>
      <c r="D79" s="1">
        <f>VLOOKUP($B79,[15]TrtCodes!$B$11:J126,3)</f>
        <v>3</v>
      </c>
      <c r="E79" s="1">
        <f>VLOOKUP($B79,[15]TrtCodes!$B$11:K126,4)</f>
        <v>1</v>
      </c>
      <c r="F79" s="1">
        <f>VLOOKUP($B79,[15]TrtCodes!$B$11:L126,5)</f>
        <v>2</v>
      </c>
      <c r="G79" s="1">
        <f>VLOOKUP($B79,[15]TrtCodes!$B$11:M126,6)</f>
        <v>2</v>
      </c>
      <c r="H79" s="1">
        <f>VLOOKUP($B79,[15]TrtCodes!$B$11:N126,7)</f>
        <v>4</v>
      </c>
      <c r="I79" s="1">
        <f>[15]FormattedData!B83</f>
        <v>2</v>
      </c>
      <c r="J79" s="4">
        <f>[15]FormattedData!C83</f>
        <v>13.673</v>
      </c>
      <c r="K79" s="6">
        <f>$J$3+[15]FormattedData!D83*$J$4+$M$4*$J$5+[15]FormattedData!D83^2*$J$6+$M$5*$J$7</f>
        <v>31.739470653050816</v>
      </c>
      <c r="L79" s="6">
        <f>$J$3+[15]FormattedData!E83*$J$4+$M$4*$J$5+[15]FormattedData!E83^2*$J$6+$M$5*$J$7</f>
        <v>32.125457894851493</v>
      </c>
      <c r="M79" s="6">
        <f>$J$3+[15]FormattedData!F83*$J$4+$M$4*$J$5+[15]FormattedData!F83^2*$J$6+$M$5*$J$7</f>
        <v>31.352807114643234</v>
      </c>
      <c r="N79" s="6">
        <f>$J$3+[15]FormattedData!G83*$J$4+$M$4*$J$5+[15]FormattedData!G83^2*$J$6+$M$5*$J$7</f>
        <v>31.546223420922889</v>
      </c>
      <c r="O79" s="6">
        <f>$J$3+[15]FormattedData!H83*$J$4+$M$4*$J$5+[15]FormattedData!H83^2*$J$6+$M$5*$J$7</f>
        <v>30.868526649530317</v>
      </c>
      <c r="P79" s="6">
        <f>$J$3+[15]FormattedData!I83*$J$4+$M$4*$J$5+[15]FormattedData!I83^2*$J$6+$M$5*$J$7</f>
        <v>31.062365641189277</v>
      </c>
      <c r="Q79" s="6">
        <f>$J$3+[15]FormattedData!J83*$J$4+$M$4*$J$5+[15]FormattedData!J83^2*$J$6+$M$5*$J$7</f>
        <v>33.949661617866767</v>
      </c>
      <c r="R79" s="6">
        <f>$J$3+[15]FormattedData!K83*$J$4+$M$4*$J$5+[15]FormattedData!K83^2*$J$6+$M$5*$J$7</f>
        <v>30.577451148007391</v>
      </c>
      <c r="S79" s="6">
        <f>$J$3+[15]FormattedData!L83*$J$4+$M$4*$J$5+[15]FormattedData!L83^2*$J$6+$M$5*$J$7</f>
        <v>34.713182393881894</v>
      </c>
      <c r="T79" s="6">
        <f>$J$3+[15]FormattedData!M83*$J$4+$M$4*$J$5+[15]FormattedData!M83^2*$J$6+$M$5*$J$7</f>
        <v>30.285995229643085</v>
      </c>
      <c r="U79" s="6">
        <f>$J$3+[15]FormattedData!N83*$J$4+$M$4*$J$5+[15]FormattedData!N83^2*$J$6+$M$5*$J$7</f>
        <v>30.868526649530317</v>
      </c>
      <c r="V79" s="6">
        <f>$J$3+[15]FormattedData!O83*$J$4+$M$4*$J$5+[15]FormattedData!O83^2*$J$6+$M$5*$J$7</f>
        <v>31.159221734211858</v>
      </c>
      <c r="W79" s="5">
        <f t="shared" si="18"/>
        <v>31.687407512277449</v>
      </c>
      <c r="X79" s="4">
        <f t="shared" si="19"/>
        <v>0.38736038699462277</v>
      </c>
      <c r="Y79" s="3">
        <f t="shared" si="20"/>
        <v>30.285995229643085</v>
      </c>
      <c r="Z79" s="2">
        <f t="shared" si="21"/>
        <v>30.868526649530317</v>
      </c>
      <c r="AA79" s="3">
        <f t="shared" si="22"/>
        <v>31.256014424427548</v>
      </c>
      <c r="AB79" s="2">
        <f t="shared" si="23"/>
        <v>31.835967463500985</v>
      </c>
      <c r="AC79" s="2">
        <f t="shared" si="24"/>
        <v>34.713182393881894</v>
      </c>
      <c r="AD79" s="2">
        <f t="shared" si="25"/>
        <v>1.5222354893934427</v>
      </c>
      <c r="AE79" s="2">
        <f t="shared" si="26"/>
        <v>1.6321667416140722</v>
      </c>
    </row>
    <row r="80" spans="2:31" x14ac:dyDescent="0.2">
      <c r="B80" s="1">
        <f>[15]FormattedData!A81</f>
        <v>407</v>
      </c>
      <c r="C80" s="1" t="str">
        <f>VLOOKUP($B80,[15]TrtCodes!$B$11:I124,2)</f>
        <v>NSH</v>
      </c>
      <c r="D80" s="1">
        <f>VLOOKUP($B80,[15]TrtCodes!$B$11:J124,3)</f>
        <v>7</v>
      </c>
      <c r="E80" s="1">
        <f>VLOOKUP($B80,[15]TrtCodes!$B$11:K124,4)</f>
        <v>2</v>
      </c>
      <c r="F80" s="1">
        <f>VLOOKUP($B80,[15]TrtCodes!$B$11:L124,5)</f>
        <v>1</v>
      </c>
      <c r="G80" s="1">
        <f>VLOOKUP($B80,[15]TrtCodes!$B$11:M124,6)</f>
        <v>2</v>
      </c>
      <c r="H80" s="1">
        <f>VLOOKUP($B80,[15]TrtCodes!$B$11:N124,7)</f>
        <v>4</v>
      </c>
      <c r="I80" s="1">
        <f>[15]FormattedData!B81</f>
        <v>2</v>
      </c>
      <c r="J80" s="4">
        <f>[15]FormattedData!C81</f>
        <v>13.654999999999999</v>
      </c>
      <c r="K80" s="6">
        <f>$J$3+[15]FormattedData!D81*$J$4+$M$4*$J$5+[15]FormattedData!D81^2*$J$6+$M$5*$J$7</f>
        <v>34.903639902506363</v>
      </c>
      <c r="L80" s="6">
        <f>$J$3+[15]FormattedData!E81*$J$4+$M$4*$J$5+[15]FormattedData!E81^2*$J$6+$M$5*$J$7</f>
        <v>36.798915910406215</v>
      </c>
      <c r="M80" s="6">
        <f>$J$3+[15]FormattedData!F81*$J$4+$M$4*$J$5+[15]FormattedData!F81^2*$J$6+$M$5*$J$7</f>
        <v>34.522555811105704</v>
      </c>
      <c r="N80" s="6">
        <f>$J$3+[15]FormattedData!G81*$J$4+$M$4*$J$5+[15]FormattedData!G81^2*$J$6+$M$5*$J$7</f>
        <v>34.903639902506363</v>
      </c>
      <c r="O80" s="6">
        <f>$J$3+[15]FormattedData!H81*$J$4+$M$4*$J$5+[15]FormattedData!H81^2*$J$6+$M$5*$J$7</f>
        <v>35.75860639868889</v>
      </c>
      <c r="P80" s="6">
        <f>$J$3+[15]FormattedData!I81*$J$4+$M$4*$J$5+[15]FormattedData!I81^2*$J$6+$M$5*$J$7</f>
        <v>36.798915910406215</v>
      </c>
      <c r="Q80" s="6">
        <f>$J$3+[15]FormattedData!J81*$J$4+$M$4*$J$5+[15]FormattedData!J81^2*$J$6+$M$5*$J$7</f>
        <v>35.663779195486995</v>
      </c>
      <c r="R80" s="6">
        <f>$J$3+[15]FormattedData!K81*$J$4+$M$4*$J$5+[15]FormattedData!K81^2*$J$6+$M$5*$J$7</f>
        <v>36.61014914329899</v>
      </c>
      <c r="S80" s="6">
        <f>$J$3+[15]FormattedData!L81*$J$4+$M$4*$J$5+[15]FormattedData!L81^2*$J$6+$M$5*$J$7</f>
        <v>35.093928336979104</v>
      </c>
      <c r="T80" s="6">
        <f>$J$3+[15]FormattedData!M81*$J$4+$M$4*$J$5+[15]FormattedData!M81^2*$J$6+$M$5*$J$7</f>
        <v>33.566886784948849</v>
      </c>
      <c r="U80" s="6">
        <f>$J$3+[15]FormattedData!N81*$J$4+$M$4*$J$5+[15]FormattedData!N81^2*$J$6+$M$5*$J$7</f>
        <v>34.045249654751416</v>
      </c>
      <c r="V80" s="6">
        <f>$J$3+[15]FormattedData!O81*$J$4+$M$4*$J$5+[15]FormattedData!O81^2*$J$6+$M$5*$J$7</f>
        <v>34.713182393881894</v>
      </c>
      <c r="W80" s="5">
        <f t="shared" si="18"/>
        <v>35.281620778747246</v>
      </c>
      <c r="X80" s="4">
        <f t="shared" si="19"/>
        <v>0.30689195330173463</v>
      </c>
      <c r="Y80" s="3">
        <f t="shared" si="20"/>
        <v>33.566886784948849</v>
      </c>
      <c r="Z80" s="2">
        <f t="shared" si="21"/>
        <v>34.665525748187846</v>
      </c>
      <c r="AA80" s="3">
        <f t="shared" si="22"/>
        <v>34.998784119742737</v>
      </c>
      <c r="AB80" s="2">
        <f t="shared" si="23"/>
        <v>35.971492084841415</v>
      </c>
      <c r="AC80" s="2">
        <f t="shared" si="24"/>
        <v>36.798915910406215</v>
      </c>
      <c r="AD80" s="2">
        <f t="shared" si="25"/>
        <v>0.16596533787581616</v>
      </c>
      <c r="AE80" s="2">
        <f t="shared" si="26"/>
        <v>-0.91854919026587156</v>
      </c>
    </row>
    <row r="81" spans="2:31" x14ac:dyDescent="0.2">
      <c r="B81" s="1">
        <f>[15]FormattedData!A79</f>
        <v>408</v>
      </c>
      <c r="C81" s="1" t="str">
        <f>VLOOKUP($B81,[15]TrtCodes!$B$11:I122,2)</f>
        <v>NTL</v>
      </c>
      <c r="D81" s="1">
        <f>VLOOKUP($B81,[15]TrtCodes!$B$11:J122,3)</f>
        <v>10</v>
      </c>
      <c r="E81" s="1">
        <f>VLOOKUP($B81,[15]TrtCodes!$B$11:K122,4)</f>
        <v>2</v>
      </c>
      <c r="F81" s="1">
        <f>VLOOKUP($B81,[15]TrtCodes!$B$11:L122,5)</f>
        <v>2</v>
      </c>
      <c r="G81" s="1">
        <f>VLOOKUP($B81,[15]TrtCodes!$B$11:M122,6)</f>
        <v>1</v>
      </c>
      <c r="H81" s="1">
        <f>VLOOKUP($B81,[15]TrtCodes!$B$11:N122,7)</f>
        <v>4</v>
      </c>
      <c r="I81" s="1">
        <f>[15]FormattedData!B79</f>
        <v>2</v>
      </c>
      <c r="J81" s="4">
        <f>[15]FormattedData!C79</f>
        <v>13.637</v>
      </c>
      <c r="K81" s="6">
        <f>$J$3+[15]FormattedData!D79*$J$4+$M$4*$J$5+[15]FormattedData!D79^2*$J$6+$M$5*$J$7</f>
        <v>28.823009385200848</v>
      </c>
      <c r="L81" s="6">
        <f>$J$3+[15]FormattedData!E79*$J$4+$M$4*$J$5+[15]FormattedData!E79^2*$J$6+$M$5*$J$7</f>
        <v>29.214068851553264</v>
      </c>
      <c r="M81" s="6">
        <f>$J$3+[15]FormattedData!F79*$J$4+$M$4*$J$5+[15]FormattedData!F79^2*$J$6+$M$5*$J$7</f>
        <v>29.604452021298783</v>
      </c>
      <c r="N81" s="6">
        <f>$J$3+[15]FormattedData!G79*$J$4+$M$4*$J$5+[15]FormattedData!G79^2*$J$6+$M$5*$J$7</f>
        <v>29.116367387772058</v>
      </c>
      <c r="O81" s="6">
        <f>$J$3+[15]FormattedData!H79*$J$4+$M$4*$J$5+[15]FormattedData!H79^2*$J$6+$M$5*$J$7</f>
        <v>31.64286817125582</v>
      </c>
      <c r="P81" s="6">
        <f>$J$3+[15]FormattedData!I79*$J$4+$M$4*$J$5+[15]FormattedData!I79^2*$J$6+$M$5*$J$7</f>
        <v>32.125457894851493</v>
      </c>
      <c r="Q81" s="6">
        <f>$J$3+[15]FormattedData!J79*$J$4+$M$4*$J$5+[15]FormattedData!J79^2*$J$6+$M$5*$J$7</f>
        <v>30.577451148007391</v>
      </c>
      <c r="R81" s="6">
        <f>$J$3+[15]FormattedData!K79*$J$4+$M$4*$J$5+[15]FormattedData!K79^2*$J$6+$M$5*$J$7</f>
        <v>29.994158894437405</v>
      </c>
      <c r="S81" s="6">
        <f>$J$3+[15]FormattedData!L79*$J$4+$M$4*$J$5+[15]FormattedData!L79^2*$J$6+$M$5*$J$7</f>
        <v>29.604452021298783</v>
      </c>
      <c r="T81" s="6">
        <f>$J$3+[15]FormattedData!M79*$J$4+$M$4*$J$5+[15]FormattedData!M79^2*$J$6+$M$5*$J$7</f>
        <v>29.116367387772058</v>
      </c>
      <c r="U81" s="6">
        <f>$J$3+[15]FormattedData!N79*$J$4+$M$4*$J$5+[15]FormattedData!N79^2*$J$6+$M$5*$J$7</f>
        <v>29.89679557895964</v>
      </c>
      <c r="V81" s="6">
        <f>$J$3+[15]FormattedData!O79*$J$4+$M$4*$J$5+[15]FormattedData!O79^2*$J$6+$M$5*$J$7</f>
        <v>29.70194214239033</v>
      </c>
      <c r="W81" s="5">
        <f t="shared" si="18"/>
        <v>29.951449240399825</v>
      </c>
      <c r="X81" s="4">
        <f t="shared" si="19"/>
        <v>0.29514761115353433</v>
      </c>
      <c r="Y81" s="3">
        <f t="shared" si="20"/>
        <v>28.823009385200848</v>
      </c>
      <c r="Z81" s="2">
        <f t="shared" si="21"/>
        <v>29.189643485607963</v>
      </c>
      <c r="AA81" s="3">
        <f t="shared" si="22"/>
        <v>29.653197081844556</v>
      </c>
      <c r="AB81" s="2">
        <f t="shared" si="23"/>
        <v>30.139981957829903</v>
      </c>
      <c r="AC81" s="2">
        <f t="shared" si="24"/>
        <v>32.125457894851493</v>
      </c>
      <c r="AD81" s="2">
        <f t="shared" si="25"/>
        <v>1.2511341669250711</v>
      </c>
      <c r="AE81" s="2">
        <f t="shared" si="26"/>
        <v>0.81169142242201175</v>
      </c>
    </row>
    <row r="82" spans="2:31" x14ac:dyDescent="0.2">
      <c r="B82" s="1">
        <f>[15]FormattedData!A59</f>
        <v>902</v>
      </c>
      <c r="C82" s="1" t="str">
        <f>VLOOKUP($B82,[15]TrtCodes!$B$11:I102,2)</f>
        <v>Late</v>
      </c>
      <c r="D82" s="1">
        <f>VLOOKUP($B82,[15]TrtCodes!$B$11:J102,3)</f>
        <v>22</v>
      </c>
      <c r="E82" s="1">
        <f>VLOOKUP($B82,[15]TrtCodes!$B$11:K102,4)</f>
        <v>4</v>
      </c>
      <c r="F82" s="1">
        <f>VLOOKUP($B82,[15]TrtCodes!$B$11:L102,5)</f>
        <v>2</v>
      </c>
      <c r="G82" s="1">
        <f>VLOOKUP($B82,[15]TrtCodes!$B$11:M102,6)</f>
        <v>2</v>
      </c>
      <c r="H82" s="1">
        <f>VLOOKUP($B82,[15]TrtCodes!$B$11:N102,7)</f>
        <v>1</v>
      </c>
      <c r="I82" s="1">
        <f>[15]FormattedData!B59</f>
        <v>2</v>
      </c>
      <c r="J82" s="4">
        <f>[15]FormattedData!C59</f>
        <v>13.457000000000001</v>
      </c>
      <c r="K82" s="6">
        <f>$J$3+[15]FormattedData!D59*$J$4+$M$4*$J$5+[15]FormattedData!D59^2*$J$6+$M$5*$J$7</f>
        <v>35.093928336979104</v>
      </c>
      <c r="L82" s="6">
        <f>$J$3+[15]FormattedData!E59*$J$4+$M$4*$J$5+[15]FormattedData!E59^2*$J$6+$M$5*$J$7</f>
        <v>35.189009151408584</v>
      </c>
      <c r="M82" s="6">
        <f>$J$3+[15]FormattedData!F59*$J$4+$M$4*$J$5+[15]FormattedData!F59^2*$J$6+$M$5*$J$7</f>
        <v>34.998805254011707</v>
      </c>
      <c r="N82" s="6">
        <f>$J$3+[15]FormattedData!G59*$J$4+$M$4*$J$5+[15]FormattedData!G59^2*$J$6+$M$5*$J$7</f>
        <v>35.75860639868889</v>
      </c>
      <c r="O82" s="6">
        <f>$J$3+[15]FormattedData!H59*$J$4+$M$4*$J$5+[15]FormattedData!H59^2*$J$6+$M$5*$J$7</f>
        <v>33.566886784948849</v>
      </c>
      <c r="P82" s="6">
        <f>$J$3+[15]FormattedData!I59*$J$4+$M$4*$J$5+[15]FormattedData!I59^2*$J$6+$M$5*$J$7</f>
        <v>34.522555811105704</v>
      </c>
      <c r="Q82" s="6">
        <f>$J$3+[15]FormattedData!J59*$J$4+$M$4*$J$5+[15]FormattedData!J59^2*$J$6+$M$5*$J$7</f>
        <v>35.189009151408584</v>
      </c>
      <c r="R82" s="6">
        <f>$J$3+[15]FormattedData!K59*$J$4+$M$4*$J$5+[15]FormattedData!K59^2*$J$6+$M$5*$J$7</f>
        <v>35.284047697300124</v>
      </c>
      <c r="S82" s="6">
        <f>$J$3+[15]FormattedData!L59*$J$4+$M$4*$J$5+[15]FormattedData!L59^2*$J$6+$M$5*$J$7</f>
        <v>35.568909723747176</v>
      </c>
      <c r="T82" s="6">
        <f>$J$3+[15]FormattedData!M59*$J$4+$M$4*$J$5+[15]FormattedData!M59^2*$J$6+$M$5*$J$7</f>
        <v>34.903639902506363</v>
      </c>
      <c r="U82" s="6">
        <f>$J$3+[15]FormattedData!N59*$J$4+$M$4*$J$5+[15]FormattedData!N59^2*$J$6+$M$5*$J$7</f>
        <v>34.331760154177772</v>
      </c>
      <c r="V82" s="6">
        <f>$J$3+[15]FormattedData!O59*$J$4+$M$4*$J$5+[15]FormattedData!O59^2*$J$6+$M$5*$J$7</f>
        <v>35.75860639868889</v>
      </c>
      <c r="W82" s="5">
        <f t="shared" si="18"/>
        <v>35.01381373041432</v>
      </c>
      <c r="X82" s="4">
        <f t="shared" si="19"/>
        <v>0.18196919389918711</v>
      </c>
      <c r="Y82" s="3">
        <f t="shared" si="20"/>
        <v>33.566886784948849</v>
      </c>
      <c r="Z82" s="2">
        <f t="shared" si="21"/>
        <v>34.8083688796562</v>
      </c>
      <c r="AA82" s="3">
        <f t="shared" si="22"/>
        <v>35.141468744193844</v>
      </c>
      <c r="AB82" s="2">
        <f t="shared" si="23"/>
        <v>35.355263203911889</v>
      </c>
      <c r="AC82" s="2">
        <f t="shared" si="24"/>
        <v>35.75860639868889</v>
      </c>
      <c r="AD82" s="2">
        <f t="shared" si="25"/>
        <v>-1.0618898995466428</v>
      </c>
      <c r="AE82" s="2">
        <f t="shared" si="26"/>
        <v>1.3315479290917729</v>
      </c>
    </row>
    <row r="83" spans="2:31" x14ac:dyDescent="0.2">
      <c r="B83" s="1">
        <f>[15]FormattedData!A55</f>
        <v>904</v>
      </c>
      <c r="C83" s="1" t="str">
        <f>VLOOKUP($B83,[15]TrtCodes!$B$11:I98,2)</f>
        <v>Early</v>
      </c>
      <c r="D83" s="1">
        <f>VLOOKUP($B83,[15]TrtCodes!$B$11:J98,3)</f>
        <v>21</v>
      </c>
      <c r="E83" s="1">
        <f>VLOOKUP($B83,[15]TrtCodes!$B$11:K98,4)</f>
        <v>3</v>
      </c>
      <c r="F83" s="1">
        <f>VLOOKUP($B83,[15]TrtCodes!$B$11:L98,5)</f>
        <v>2</v>
      </c>
      <c r="G83" s="1">
        <f>VLOOKUP($B83,[15]TrtCodes!$B$11:M98,6)</f>
        <v>2</v>
      </c>
      <c r="H83" s="1">
        <f>VLOOKUP($B83,[15]TrtCodes!$B$11:N98,7)</f>
        <v>1</v>
      </c>
      <c r="I83" s="1">
        <f>[15]FormattedData!B55</f>
        <v>2</v>
      </c>
      <c r="J83" s="4">
        <f>[15]FormattedData!C55</f>
        <v>13.43</v>
      </c>
      <c r="K83" s="6">
        <f>$J$3+[15]FormattedData!D55*$J$4+$M$4*$J$5+[15]FormattedData!D55^2*$J$6+$M$5*$J$7</f>
        <v>35.473997983469431</v>
      </c>
      <c r="L83" s="6">
        <f>$J$3+[15]FormattedData!E55*$J$4+$M$4*$J$5+[15]FormattedData!E55^2*$J$6+$M$5*$J$7</f>
        <v>38.021778714154891</v>
      </c>
      <c r="M83" s="6">
        <f>$J$3+[15]FormattedData!F55*$J$4+$M$4*$J$5+[15]FormattedData!F55^2*$J$6+$M$5*$J$7</f>
        <v>34.617890236762754</v>
      </c>
      <c r="N83" s="6">
        <f>$J$3+[15]FormattedData!G55*$J$4+$M$4*$J$5+[15]FormattedData!G55^2*$J$6+$M$5*$J$7</f>
        <v>40.260604351772564</v>
      </c>
      <c r="O83" s="6">
        <f>$J$3+[15]FormattedData!H55*$J$4+$M$4*$J$5+[15]FormattedData!H55^2*$J$6+$M$5*$J$7</f>
        <v>33.854031312444178</v>
      </c>
      <c r="P83" s="6">
        <f>$J$3+[15]FormattedData!I55*$J$4+$M$4*$J$5+[15]FormattedData!I55^2*$J$6+$M$5*$J$7</f>
        <v>38.770759113121713</v>
      </c>
      <c r="Q83" s="6">
        <f>$J$3+[15]FormattedData!J55*$J$4+$M$4*$J$5+[15]FormattedData!J55^2*$J$6+$M$5*$J$7</f>
        <v>37.552292237317872</v>
      </c>
      <c r="R83" s="6">
        <f>$J$3+[15]FormattedData!K55*$J$4+$M$4*$J$5+[15]FormattedData!K55^2*$J$6+$M$5*$J$7</f>
        <v>40.353360396615834</v>
      </c>
      <c r="S83" s="6">
        <f>$J$3+[15]FormattedData!L55*$J$4+$M$4*$J$5+[15]FormattedData!L55^2*$J$6+$M$5*$J$7</f>
        <v>38.957581527484102</v>
      </c>
      <c r="T83" s="6">
        <f>$J$3+[15]FormattedData!M55*$J$4+$M$4*$J$5+[15]FormattedData!M55^2*$J$6+$M$5*$J$7</f>
        <v>41.093887087996421</v>
      </c>
      <c r="U83" s="6">
        <f>$J$3+[15]FormattedData!N55*$J$4+$M$4*$J$5+[15]FormattedData!N55^2*$J$6+$M$5*$J$7</f>
        <v>37.740213633666471</v>
      </c>
      <c r="V83" s="6">
        <f>$J$3+[15]FormattedData!O55*$J$4+$M$4*$J$5+[15]FormattedData!O55^2*$J$6+$M$5*$J$7</f>
        <v>39.98208260601519</v>
      </c>
      <c r="W83" s="5">
        <f t="shared" si="18"/>
        <v>38.05653993340178</v>
      </c>
      <c r="X83" s="4">
        <f t="shared" si="19"/>
        <v>0.67923146906468279</v>
      </c>
      <c r="Y83" s="3">
        <f t="shared" si="20"/>
        <v>33.854031312444178</v>
      </c>
      <c r="Z83" s="2">
        <f t="shared" si="21"/>
        <v>37.032718673855761</v>
      </c>
      <c r="AA83" s="3">
        <f t="shared" si="22"/>
        <v>38.396268913638302</v>
      </c>
      <c r="AB83" s="2">
        <f t="shared" si="23"/>
        <v>40.051713042454537</v>
      </c>
      <c r="AC83" s="2">
        <f t="shared" si="24"/>
        <v>41.093887087996421</v>
      </c>
      <c r="AD83" s="2">
        <f t="shared" si="25"/>
        <v>-0.61289225978360307</v>
      </c>
      <c r="AE83" s="2">
        <f t="shared" si="26"/>
        <v>-0.70452474211485461</v>
      </c>
    </row>
    <row r="84" spans="2:31" x14ac:dyDescent="0.2">
      <c r="B84" s="1">
        <f>[15]FormattedData!A51</f>
        <v>906</v>
      </c>
      <c r="C84" s="1" t="str">
        <f>VLOOKUP($B84,[15]TrtCodes!$B$11:I94,2)</f>
        <v>Late</v>
      </c>
      <c r="D84" s="1">
        <f>VLOOKUP($B84,[15]TrtCodes!$B$11:J94,3)</f>
        <v>22</v>
      </c>
      <c r="E84" s="1">
        <f>VLOOKUP($B84,[15]TrtCodes!$B$11:K94,4)</f>
        <v>4</v>
      </c>
      <c r="F84" s="1">
        <f>VLOOKUP($B84,[15]TrtCodes!$B$11:L94,5)</f>
        <v>2</v>
      </c>
      <c r="G84" s="1">
        <f>VLOOKUP($B84,[15]TrtCodes!$B$11:M94,6)</f>
        <v>2</v>
      </c>
      <c r="H84" s="1">
        <f>VLOOKUP($B84,[15]TrtCodes!$B$11:N94,7)</f>
        <v>2</v>
      </c>
      <c r="I84" s="1">
        <f>[15]FormattedData!B51</f>
        <v>2</v>
      </c>
      <c r="J84" s="4">
        <f>[15]FormattedData!C51</f>
        <v>13.403</v>
      </c>
      <c r="K84" s="6">
        <f>$J$3+[15]FormattedData!D51*$J$4+$M$4*$J$5+[15]FormattedData!D51^2*$J$6+$M$5*$J$7</f>
        <v>31.83603086630788</v>
      </c>
      <c r="L84" s="6">
        <f>$J$3+[15]FormattedData!E51*$J$4+$M$4*$J$5+[15]FormattedData!E51^2*$J$6+$M$5*$J$7</f>
        <v>30.77154375089394</v>
      </c>
      <c r="M84" s="6">
        <f>$J$3+[15]FormattedData!F51*$J$4+$M$4*$J$5+[15]FormattedData!F51^2*$J$6+$M$5*$J$7</f>
        <v>29.604452021298783</v>
      </c>
      <c r="N84" s="6">
        <f>$J$3+[15]FormattedData!G51*$J$4+$M$4*$J$5+[15]FormattedData!G51^2*$J$6+$M$5*$J$7</f>
        <v>32.31819790452424</v>
      </c>
      <c r="O84" s="6">
        <f>$J$3+[15]FormattedData!H51*$J$4+$M$4*$J$5+[15]FormattedData!H51^2*$J$6+$M$5*$J$7</f>
        <v>31.256035558696517</v>
      </c>
      <c r="P84" s="6">
        <f>$J$3+[15]FormattedData!I51*$J$4+$M$4*$J$5+[15]FormattedData!I51^2*$J$6+$M$5*$J$7</f>
        <v>32.895403488632155</v>
      </c>
      <c r="Q84" s="6">
        <f>$J$3+[15]FormattedData!J51*$J$4+$M$4*$J$5+[15]FormattedData!J51^2*$J$6+$M$5*$J$7</f>
        <v>31.062365641189277</v>
      </c>
      <c r="R84" s="6">
        <f>$J$3+[15]FormattedData!K51*$J$4+$M$4*$J$5+[15]FormattedData!K51^2*$J$6+$M$5*$J$7</f>
        <v>30.674518583719628</v>
      </c>
      <c r="S84" s="6">
        <f>$J$3+[15]FormattedData!L51*$J$4+$M$4*$J$5+[15]FormattedData!L51^2*$J$6+$M$5*$J$7</f>
        <v>33.758358738483672</v>
      </c>
      <c r="T84" s="6">
        <f>$J$3+[15]FormattedData!M51*$J$4+$M$4*$J$5+[15]FormattedData!M51^2*$J$6+$M$5*$J$7</f>
        <v>33.087467201698011</v>
      </c>
      <c r="U84" s="6">
        <f>$J$3+[15]FormattedData!N51*$J$4+$M$4*$J$5+[15]FormattedData!N51^2*$J$6+$M$5*$J$7</f>
        <v>33.566886784948849</v>
      </c>
      <c r="V84" s="6">
        <f>$J$3+[15]FormattedData!O51*$J$4+$M$4*$J$5+[15]FormattedData!O51^2*$J$6+$M$5*$J$7</f>
        <v>33.949661617866767</v>
      </c>
      <c r="W84" s="5">
        <f t="shared" si="18"/>
        <v>32.065076846521642</v>
      </c>
      <c r="X84" s="4">
        <f t="shared" si="19"/>
        <v>0.40682701789081105</v>
      </c>
      <c r="Y84" s="3">
        <f t="shared" si="20"/>
        <v>29.604452021298783</v>
      </c>
      <c r="Z84" s="2">
        <f t="shared" si="21"/>
        <v>30.989660168615444</v>
      </c>
      <c r="AA84" s="3">
        <f t="shared" si="22"/>
        <v>32.07711438541606</v>
      </c>
      <c r="AB84" s="2">
        <f t="shared" si="23"/>
        <v>33.207322097510719</v>
      </c>
      <c r="AC84" s="2">
        <f t="shared" si="24"/>
        <v>33.949661617866767</v>
      </c>
      <c r="AD84" s="2">
        <f t="shared" si="25"/>
        <v>-0.18350481067646765</v>
      </c>
      <c r="AE84" s="2">
        <f t="shared" si="26"/>
        <v>-1.1517712982935473</v>
      </c>
    </row>
    <row r="85" spans="2:31" x14ac:dyDescent="0.2">
      <c r="B85" s="1">
        <f>[15]FormattedData!A47</f>
        <v>908</v>
      </c>
      <c r="C85" s="1" t="str">
        <f>VLOOKUP($B85,[15]TrtCodes!$B$11:I90,2)</f>
        <v>Early</v>
      </c>
      <c r="D85" s="1">
        <f>VLOOKUP($B85,[15]TrtCodes!$B$11:J90,3)</f>
        <v>21</v>
      </c>
      <c r="E85" s="1">
        <f>VLOOKUP($B85,[15]TrtCodes!$B$11:K90,4)</f>
        <v>3</v>
      </c>
      <c r="F85" s="1">
        <f>VLOOKUP($B85,[15]TrtCodes!$B$11:L90,5)</f>
        <v>2</v>
      </c>
      <c r="G85" s="1">
        <f>VLOOKUP($B85,[15]TrtCodes!$B$11:M90,6)</f>
        <v>2</v>
      </c>
      <c r="H85" s="1">
        <f>VLOOKUP($B85,[15]TrtCodes!$B$11:N90,7)</f>
        <v>2</v>
      </c>
      <c r="I85" s="1">
        <f>[15]FormattedData!B47</f>
        <v>2</v>
      </c>
      <c r="J85" s="4">
        <f>[15]FormattedData!C47</f>
        <v>13.368</v>
      </c>
      <c r="K85" s="6">
        <f>$J$3+[15]FormattedData!D47*$J$4+$M$4*$J$5+[15]FormattedData!D47^2*$J$6+$M$5*$J$7</f>
        <v>36.326681978603673</v>
      </c>
      <c r="L85" s="6">
        <f>$J$3+[15]FormattedData!E47*$J$4+$M$4*$J$5+[15]FormattedData!E47^2*$J$6+$M$5*$J$7</f>
        <v>38.115549203908508</v>
      </c>
      <c r="M85" s="6">
        <f>$J$3+[15]FormattedData!F47*$J$4+$M$4*$J$5+[15]FormattedData!F47^2*$J$6+$M$5*$J$7</f>
        <v>36.232108386629371</v>
      </c>
      <c r="N85" s="6">
        <f>$J$3+[15]FormattedData!G47*$J$4+$M$4*$J$5+[15]FormattedData!G47^2*$J$6+$M$5*$J$7</f>
        <v>38.770759113121713</v>
      </c>
      <c r="O85" s="6">
        <f>$J$3+[15]FormattedData!H47*$J$4+$M$4*$J$5+[15]FormattedData!H47^2*$J$6+$M$5*$J$7</f>
        <v>34.808432282463087</v>
      </c>
      <c r="P85" s="6">
        <f>$J$3+[15]FormattedData!I47*$J$4+$M$4*$J$5+[15]FormattedData!I47^2*$J$6+$M$5*$J$7</f>
        <v>36.893235891152941</v>
      </c>
      <c r="Q85" s="6">
        <f>$J$3+[15]FormattedData!J47*$J$4+$M$4*$J$5+[15]FormattedData!J47^2*$J$6+$M$5*$J$7</f>
        <v>37.458268136336677</v>
      </c>
      <c r="R85" s="6">
        <f>$J$3+[15]FormattedData!K47*$J$4+$M$4*$J$5+[15]FormattedData!K47^2*$J$6+$M$5*$J$7</f>
        <v>38.115549203908508</v>
      </c>
      <c r="S85" s="6">
        <f>$J$3+[15]FormattedData!L47*$J$4+$M$4*$J$5+[15]FormattedData!L47^2*$J$6+$M$5*$J$7</f>
        <v>36.704553661121572</v>
      </c>
      <c r="T85" s="6">
        <f>$J$3+[15]FormattedData!M47*$J$4+$M$4*$J$5+[15]FormattedData!M47^2*$J$6+$M$5*$J$7</f>
        <v>40.446074172921158</v>
      </c>
      <c r="U85" s="6">
        <f>$J$3+[15]FormattedData!N47*$J$4+$M$4*$J$5+[15]FormattedData!N47^2*$J$6+$M$5*$J$7</f>
        <v>38.302963377801937</v>
      </c>
      <c r="V85" s="6">
        <f>$J$3+[15]FormattedData!O47*$J$4+$M$4*$J$5+[15]FormattedData!O47^2*$J$6+$M$5*$J$7</f>
        <v>36.98751360336172</v>
      </c>
      <c r="W85" s="5">
        <f t="shared" si="18"/>
        <v>37.43014075094424</v>
      </c>
      <c r="X85" s="4">
        <f t="shared" si="19"/>
        <v>0.4186215866282047</v>
      </c>
      <c r="Y85" s="3">
        <f t="shared" si="20"/>
        <v>34.808432282463087</v>
      </c>
      <c r="Z85" s="2">
        <f t="shared" si="21"/>
        <v>36.610085740492096</v>
      </c>
      <c r="AA85" s="3">
        <f t="shared" si="22"/>
        <v>37.222890869849195</v>
      </c>
      <c r="AB85" s="2">
        <f t="shared" si="23"/>
        <v>38.162402747381861</v>
      </c>
      <c r="AC85" s="2">
        <f t="shared" si="24"/>
        <v>40.446074172921158</v>
      </c>
      <c r="AD85" s="2">
        <f t="shared" si="25"/>
        <v>0.33784942389730127</v>
      </c>
      <c r="AE85" s="2">
        <f t="shared" si="26"/>
        <v>0.88997034990986812</v>
      </c>
    </row>
    <row r="88" spans="2:31" x14ac:dyDescent="0.2">
      <c r="W88" s="2"/>
    </row>
  </sheetData>
  <autoFilter ref="B9:AE85" xr:uid="{827C54EA-FCD7-4107-B559-6C47C7F0BEC7}"/>
  <conditionalFormatting sqref="K10:V85">
    <cfRule type="cellIs" dxfId="67" priority="1" stopIfTrue="1" operator="lessThan">
      <formula>$W10-$V$5*$X10</formula>
    </cfRule>
    <cfRule type="cellIs" dxfId="66" priority="2" stopIfTrue="1" operator="greaterThan">
      <formula>$W10+$V$5*$X10</formula>
    </cfRule>
  </conditionalFormatting>
  <conditionalFormatting sqref="W10:W85">
    <cfRule type="cellIs" dxfId="65" priority="3" stopIfTrue="1" operator="lessThan">
      <formula>AVERAGE($W$10:$W$41)</formula>
    </cfRule>
    <cfRule type="cellIs" dxfId="6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98BE-51F9-4D12-A54B-ED1D490C845E}">
  <sheetPr codeName="Sheet18"/>
  <dimension ref="A1:AI88"/>
  <sheetViews>
    <sheetView topLeftCell="A8" workbookViewId="0">
      <pane xSplit="4" ySplit="2" topLeftCell="N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[16]FormattedData!A1</f>
        <v>Raw data file name - 'IA185.03R'</v>
      </c>
    </row>
    <row r="2" spans="1:35" ht="15" x14ac:dyDescent="0.25">
      <c r="I2" s="32" t="s">
        <v>136</v>
      </c>
      <c r="J2" s="24"/>
      <c r="P2" s="31">
        <f>[16]AncillaryData!C10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[16]AncillaryData!E25</f>
        <v>41.4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"&amp;[16]AncillaryData!C7</f>
        <v>Time Sequence of Midday IRT Temps - FISE 2003 - DOY 185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"&amp;[16]AncillaryData!E25&amp;", VPD = "&amp;ROUND([16]AncillaryData!E29,1)&amp;", Quality = "&amp;[16]AncillaryData!C20&amp;")"</f>
        <v>(Ta = 41.4, VPD = 7,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[16]FormattedData!A28</f>
        <v>101</v>
      </c>
      <c r="C10" s="1" t="str">
        <f>VLOOKUP($B10,[16]TrtCodes!$B$11:I71,2)</f>
        <v>FSH</v>
      </c>
      <c r="D10" s="1">
        <f>VLOOKUP($B10,[16]TrtCodes!$B$11:J71,3)</f>
        <v>1</v>
      </c>
      <c r="E10" s="1">
        <f>VLOOKUP($B10,[16]TrtCodes!$B$11:K71,4)</f>
        <v>1</v>
      </c>
      <c r="F10" s="1">
        <f>VLOOKUP($B10,[16]TrtCodes!$B$11:L71,5)</f>
        <v>1</v>
      </c>
      <c r="G10" s="1">
        <f>VLOOKUP($B10,[16]TrtCodes!$B$11:M71,6)</f>
        <v>2</v>
      </c>
      <c r="H10" s="1">
        <f>VLOOKUP($B10,[16]TrtCodes!$B$11:N71,7)</f>
        <v>1</v>
      </c>
      <c r="I10" s="1">
        <f>[16]FormattedData!B28</f>
        <v>1</v>
      </c>
      <c r="J10" s="4">
        <f>[16]FormattedData!C28</f>
        <v>13.205</v>
      </c>
      <c r="K10" s="6">
        <f>$J$3+[16]FormattedData!D28*$J$4+$M$4*$J$5+[16]FormattedData!D28^2*$J$6+$M$5*$J$7</f>
        <v>32.717874892347993</v>
      </c>
      <c r="L10" s="6">
        <f>$J$3+[16]FormattedData!E28*$J$4+$M$4*$J$5+[16]FormattedData!E28^2*$J$6+$M$5*$J$7</f>
        <v>31.367511305576649</v>
      </c>
      <c r="M10" s="6">
        <f>$J$3+[16]FormattedData!F28*$J$4+$M$4*$J$5+[16]FormattedData!F28^2*$J$6+$M$5*$J$7</f>
        <v>31.464240592985448</v>
      </c>
      <c r="N10" s="6">
        <f>$J$3+[16]FormattedData!G28*$J$4+$M$4*$J$5+[16]FormattedData!G28^2*$J$6+$M$5*$J$7</f>
        <v>30.786247941827355</v>
      </c>
      <c r="O10" s="6">
        <f>$J$3+[16]FormattedData!H28*$J$4+$M$4*$J$5+[16]FormattedData!H28^2*$J$6+$M$5*$J$7</f>
        <v>32.525473030978695</v>
      </c>
      <c r="P10" s="6">
        <f>$J$3+[16]FormattedData!I28*$J$4+$M$4*$J$5+[16]FormattedData!I28^2*$J$6+$M$5*$J$7</f>
        <v>31.464240592985448</v>
      </c>
      <c r="Q10" s="6">
        <f>$J$3+[16]FormattedData!J28*$J$4+$M$4*$J$5+[16]FormattedData!J28^2*$J$6+$M$5*$J$7</f>
        <v>31.754174843984231</v>
      </c>
      <c r="R10" s="6">
        <f>$J$3+[16]FormattedData!K28*$J$4+$M$4*$J$5+[16]FormattedData!K28^2*$J$6+$M$5*$J$7</f>
        <v>31.464240592985448</v>
      </c>
      <c r="S10" s="6">
        <f>$J$3+[16]FormattedData!L28*$J$4+$M$4*$J$5+[16]FormattedData!L28^2*$J$6+$M$5*$J$7</f>
        <v>32.91010767956557</v>
      </c>
      <c r="T10" s="6">
        <f>$J$3+[16]FormattedData!M28*$J$4+$M$4*$J$5+[16]FormattedData!M28^2*$J$6+$M$5*$J$7</f>
        <v>30.883230840463732</v>
      </c>
      <c r="U10" s="6">
        <f>$J$3+[16]FormattedData!N28*$J$4+$M$4*$J$5+[16]FormattedData!N28^2*$J$6+$M$5*$J$7</f>
        <v>31.464240592985448</v>
      </c>
      <c r="V10" s="6">
        <f>$J$3+[16]FormattedData!O28*$J$4+$M$4*$J$5+[16]FormattedData!O28^2*$J$6+$M$5*$J$7</f>
        <v>31.754174843984231</v>
      </c>
      <c r="W10" s="5">
        <f t="shared" ref="W10:W41" si="0">AVERAGE(K10:V10)</f>
        <v>31.712979812555854</v>
      </c>
      <c r="X10" s="4">
        <f t="shared" ref="X10:X41" si="1">STDEV(K10:V10)/SQRT(COUNT(K10:V10))</f>
        <v>0.19502558391241312</v>
      </c>
      <c r="Y10" s="3">
        <f t="shared" ref="Y10:Y41" si="2">MIN(K10:V10)</f>
        <v>30.786247941827355</v>
      </c>
      <c r="Z10" s="2">
        <f t="shared" ref="Z10:Z41" si="3">QUARTILE(K10:V10,1)</f>
        <v>31.440058271133246</v>
      </c>
      <c r="AA10" s="3">
        <f t="shared" ref="AA10:AA41" si="4">MEDIAN(K10:V10)</f>
        <v>31.464240592985448</v>
      </c>
      <c r="AB10" s="2">
        <f t="shared" ref="AB10:AB41" si="5">QUARTILE(K10:V10,3)</f>
        <v>31.946999390732849</v>
      </c>
      <c r="AC10" s="2">
        <f t="shared" ref="AC10:AC41" si="6">MAX(K10:V10)</f>
        <v>32.91010767956557</v>
      </c>
      <c r="AD10" s="2">
        <f t="shared" ref="AD10:AD41" si="7">SKEW(K10:V10)</f>
        <v>0.63572596885859678</v>
      </c>
      <c r="AE10" s="2">
        <f t="shared" ref="AE10:AE41" si="8">KURT(K10:V10)</f>
        <v>-0.43998111208342694</v>
      </c>
    </row>
    <row r="11" spans="1:35" x14ac:dyDescent="0.2">
      <c r="B11" s="1">
        <f>[16]FormattedData!A26</f>
        <v>102</v>
      </c>
      <c r="C11" s="1" t="str">
        <f>VLOOKUP($B11,[16]TrtCodes!$B$11:I69,2)</f>
        <v>FTL</v>
      </c>
      <c r="D11" s="1">
        <f>VLOOKUP($B11,[16]TrtCodes!$B$11:J69,3)</f>
        <v>4</v>
      </c>
      <c r="E11" s="1">
        <f>VLOOKUP($B11,[16]TrtCodes!$B$11:K69,4)</f>
        <v>1</v>
      </c>
      <c r="F11" s="1">
        <f>VLOOKUP($B11,[16]TrtCodes!$B$11:L69,5)</f>
        <v>2</v>
      </c>
      <c r="G11" s="1">
        <f>VLOOKUP($B11,[16]TrtCodes!$B$11:M69,6)</f>
        <v>1</v>
      </c>
      <c r="H11" s="1">
        <f>VLOOKUP($B11,[16]TrtCodes!$B$11:N69,7)</f>
        <v>1</v>
      </c>
      <c r="I11" s="1">
        <f>[16]FormattedData!B26</f>
        <v>1</v>
      </c>
      <c r="J11" s="4">
        <f>[16]FormattedData!C26</f>
        <v>13.183999999999999</v>
      </c>
      <c r="K11" s="6">
        <f>$J$3+[16]FormattedData!D26*$J$4+$M$4*$J$5+[16]FormattedData!D26^2*$J$6+$M$5*$J$7</f>
        <v>39.438602054909708</v>
      </c>
      <c r="L11" s="6">
        <f>$J$3+[16]FormattedData!E26*$J$4+$M$4*$J$5+[16]FormattedData!E26^2*$J$6+$M$5*$J$7</f>
        <v>32.04372867814164</v>
      </c>
      <c r="M11" s="6">
        <f>$J$3+[16]FormattedData!F26*$J$4+$M$4*$J$5+[16]FormattedData!F26^2*$J$6+$M$5*$J$7</f>
        <v>37.754917824599886</v>
      </c>
      <c r="N11" s="6">
        <f>$J$3+[16]FormattedData!G26*$J$4+$M$4*$J$5+[16]FormattedData!G26^2*$J$6+$M$5*$J$7</f>
        <v>32.91010767956557</v>
      </c>
      <c r="O11" s="6">
        <f>$J$3+[16]FormattedData!H26*$J$4+$M$4*$J$5+[16]FormattedData!H26^2*$J$6+$M$5*$J$7</f>
        <v>40.738666081542988</v>
      </c>
      <c r="P11" s="6">
        <f>$J$3+[16]FormattedData!I26*$J$4+$M$4*$J$5+[16]FormattedData!I26^2*$J$6+$M$5*$J$7</f>
        <v>37.190646413098911</v>
      </c>
      <c r="Q11" s="6">
        <f>$J$3+[16]FormattedData!J26*$J$4+$M$4*$J$5+[16]FormattedData!J26^2*$J$6+$M$5*$J$7</f>
        <v>36.81362010133963</v>
      </c>
      <c r="R11" s="6">
        <f>$J$3+[16]FormattedData!K26*$J$4+$M$4*$J$5+[16]FormattedData!K26^2*$J$6+$M$5*$J$7</f>
        <v>38.598471815541011</v>
      </c>
      <c r="S11" s="6">
        <f>$J$3+[16]FormattedData!L26*$J$4+$M$4*$J$5+[16]FormattedData!L26^2*$J$6+$M$5*$J$7</f>
        <v>36.530406547871891</v>
      </c>
      <c r="T11" s="6">
        <f>$J$3+[16]FormattedData!M26*$J$4+$M$4*$J$5+[16]FormattedData!M26^2*$J$6+$M$5*$J$7</f>
        <v>40.923713217312269</v>
      </c>
      <c r="U11" s="6">
        <f>$J$3+[16]FormattedData!N26*$J$4+$M$4*$J$5+[16]FormattedData!N26^2*$J$6+$M$5*$J$7</f>
        <v>33.198139846357449</v>
      </c>
      <c r="V11" s="6">
        <f>$J$3+[16]FormattedData!O26*$J$4+$M$4*$J$5+[16]FormattedData!O26^2*$J$6+$M$5*$J$7</f>
        <v>31.464240592985448</v>
      </c>
      <c r="W11" s="5">
        <f t="shared" si="0"/>
        <v>36.467105071105529</v>
      </c>
      <c r="X11" s="4">
        <f t="shared" si="1"/>
        <v>0.96026920723433362</v>
      </c>
      <c r="Y11" s="3">
        <f t="shared" si="2"/>
        <v>31.464240592985448</v>
      </c>
      <c r="Z11" s="2">
        <f t="shared" si="3"/>
        <v>33.126131804659479</v>
      </c>
      <c r="AA11" s="3">
        <f t="shared" si="4"/>
        <v>37.00213325721927</v>
      </c>
      <c r="AB11" s="2">
        <f t="shared" si="5"/>
        <v>38.808504375383187</v>
      </c>
      <c r="AC11" s="2">
        <f t="shared" si="6"/>
        <v>40.923713217312269</v>
      </c>
      <c r="AD11" s="2">
        <f t="shared" si="7"/>
        <v>-0.25716200591170341</v>
      </c>
      <c r="AE11" s="2">
        <f t="shared" si="8"/>
        <v>-1.3145864677209813</v>
      </c>
    </row>
    <row r="12" spans="1:35" x14ac:dyDescent="0.2">
      <c r="B12" s="1">
        <f>[16]FormattedData!A24</f>
        <v>103</v>
      </c>
      <c r="C12" s="1" t="str">
        <f>VLOOKUP($B12,[16]TrtCodes!$B$11:I67,2)</f>
        <v>FDH</v>
      </c>
      <c r="D12" s="1">
        <f>VLOOKUP($B12,[16]TrtCodes!$B$11:J67,3)</f>
        <v>5</v>
      </c>
      <c r="E12" s="1">
        <f>VLOOKUP($B12,[16]TrtCodes!$B$11:K67,4)</f>
        <v>1</v>
      </c>
      <c r="F12" s="1">
        <f>VLOOKUP($B12,[16]TrtCodes!$B$11:L67,5)</f>
        <v>3</v>
      </c>
      <c r="G12" s="1">
        <f>VLOOKUP($B12,[16]TrtCodes!$B$11:M67,6)</f>
        <v>2</v>
      </c>
      <c r="H12" s="1">
        <f>VLOOKUP($B12,[16]TrtCodes!$B$11:N67,7)</f>
        <v>1</v>
      </c>
      <c r="I12" s="1">
        <f>[16]FormattedData!B24</f>
        <v>1</v>
      </c>
      <c r="J12" s="4">
        <f>[16]FormattedData!C24</f>
        <v>13.161</v>
      </c>
      <c r="K12" s="6">
        <f>$J$3+[16]FormattedData!D24*$J$4+$M$4*$J$5+[16]FormattedData!D24^2*$J$6+$M$5*$J$7</f>
        <v>33.964365808800181</v>
      </c>
      <c r="L12" s="6">
        <f>$J$3+[16]FormattedData!E24*$J$4+$M$4*$J$5+[16]FormattedData!E24^2*$J$6+$M$5*$J$7</f>
        <v>31.173925925145273</v>
      </c>
      <c r="M12" s="6">
        <f>$J$3+[16]FormattedData!F24*$J$4+$M$4*$J$5+[16]FormattedData!F24^2*$J$6+$M$5*$J$7</f>
        <v>33.581590975882264</v>
      </c>
      <c r="N12" s="6">
        <f>$J$3+[16]FormattedData!G24*$J$4+$M$4*$J$5+[16]FormattedData!G24^2*$J$6+$M$5*$J$7</f>
        <v>31.947253001960433</v>
      </c>
      <c r="O12" s="6">
        <f>$J$3+[16]FormattedData!H24*$J$4+$M$4*$J$5+[16]FormattedData!H24^2*$J$6+$M$5*$J$7</f>
        <v>33.006160670367464</v>
      </c>
      <c r="P12" s="6">
        <f>$J$3+[16]FormattedData!I24*$J$4+$M$4*$J$5+[16]FormattedData!I24^2*$J$6+$M$5*$J$7</f>
        <v>33.294066031545555</v>
      </c>
      <c r="Q12" s="6">
        <f>$J$3+[16]FormattedData!J24*$J$4+$M$4*$J$5+[16]FormattedData!J24^2*$J$6+$M$5*$J$7</f>
        <v>32.62169509593231</v>
      </c>
      <c r="R12" s="6">
        <f>$J$3+[16]FormattedData!K24*$J$4+$M$4*$J$5+[16]FormattedData!K24^2*$J$6+$M$5*$J$7</f>
        <v>35.393748165587162</v>
      </c>
      <c r="S12" s="6">
        <f>$J$3+[16]FormattedData!L24*$J$4+$M$4*$J$5+[16]FormattedData!L24^2*$J$6+$M$5*$J$7</f>
        <v>33.102171392631426</v>
      </c>
      <c r="T12" s="6">
        <f>$J$3+[16]FormattedData!M24*$J$4+$M$4*$J$5+[16]FormattedData!M24^2*$J$6+$M$5*$J$7</f>
        <v>34.823136473396502</v>
      </c>
      <c r="U12" s="6">
        <f>$J$3+[16]FormattedData!N24*$J$4+$M$4*$J$5+[16]FormattedData!N24^2*$J$6+$M$5*$J$7</f>
        <v>32.717874892347993</v>
      </c>
      <c r="V12" s="6">
        <f>$J$3+[16]FormattedData!O24*$J$4+$M$4*$J$5+[16]FormattedData!O24^2*$J$6+$M$5*$J$7</f>
        <v>32.717874892347993</v>
      </c>
      <c r="W12" s="5">
        <f t="shared" si="0"/>
        <v>33.195321943828716</v>
      </c>
      <c r="X12" s="4">
        <f t="shared" si="1"/>
        <v>0.33378427887241768</v>
      </c>
      <c r="Y12" s="3">
        <f t="shared" si="2"/>
        <v>31.173925925145273</v>
      </c>
      <c r="Z12" s="2">
        <f t="shared" si="3"/>
        <v>32.693829943244069</v>
      </c>
      <c r="AA12" s="3">
        <f t="shared" si="4"/>
        <v>33.054166031499449</v>
      </c>
      <c r="AB12" s="2">
        <f t="shared" si="5"/>
        <v>33.67728468411174</v>
      </c>
      <c r="AC12" s="2">
        <f t="shared" si="6"/>
        <v>35.393748165587162</v>
      </c>
      <c r="AD12" s="2">
        <f t="shared" si="7"/>
        <v>0.34115916421976322</v>
      </c>
      <c r="AE12" s="2">
        <f t="shared" si="8"/>
        <v>0.38232123629136527</v>
      </c>
    </row>
    <row r="13" spans="1:35" x14ac:dyDescent="0.2">
      <c r="B13" s="1">
        <f>[16]FormattedData!A22</f>
        <v>104</v>
      </c>
      <c r="C13" s="1" t="str">
        <f>VLOOKUP($B13,[16]TrtCodes!$B$11:I65,2)</f>
        <v>NTL</v>
      </c>
      <c r="D13" s="1">
        <f>VLOOKUP($B13,[16]TrtCodes!$B$11:J65,3)</f>
        <v>10</v>
      </c>
      <c r="E13" s="1">
        <f>VLOOKUP($B13,[16]TrtCodes!$B$11:K65,4)</f>
        <v>2</v>
      </c>
      <c r="F13" s="1">
        <f>VLOOKUP($B13,[16]TrtCodes!$B$11:L65,5)</f>
        <v>2</v>
      </c>
      <c r="G13" s="1">
        <f>VLOOKUP($B13,[16]TrtCodes!$B$11:M65,6)</f>
        <v>1</v>
      </c>
      <c r="H13" s="1">
        <f>VLOOKUP($B13,[16]TrtCodes!$B$11:N65,7)</f>
        <v>1</v>
      </c>
      <c r="I13" s="1">
        <f>[16]FormattedData!B22</f>
        <v>1</v>
      </c>
      <c r="J13" s="4">
        <f>[16]FormattedData!C22</f>
        <v>13.141</v>
      </c>
      <c r="K13" s="6">
        <f>$J$3+[16]FormattedData!D22*$J$4+$M$4*$J$5+[16]FormattedData!D22^2*$J$6+$M$5*$J$7</f>
        <v>41.846412783882833</v>
      </c>
      <c r="L13" s="6">
        <f>$J$3+[16]FormattedData!E22*$J$4+$M$4*$J$5+[16]FormattedData!E22^2*$J$6+$M$5*$J$7</f>
        <v>35.773310589622305</v>
      </c>
      <c r="M13" s="6">
        <f>$J$3+[16]FormattedData!F22*$J$4+$M$4*$J$5+[16]FormattedData!F22^2*$J$6+$M$5*$J$7</f>
        <v>36.057538588000384</v>
      </c>
      <c r="N13" s="6">
        <f>$J$3+[16]FormattedData!G22*$J$4+$M$4*$J$5+[16]FormattedData!G22^2*$J$6+$M$5*$J$7</f>
        <v>35.013509444945122</v>
      </c>
      <c r="O13" s="6">
        <f>$J$3+[16]FormattedData!H22*$J$4+$M$4*$J$5+[16]FormattedData!H22^2*$J$6+$M$5*$J$7</f>
        <v>33.294066031545555</v>
      </c>
      <c r="P13" s="6">
        <f>$J$3+[16]FormattedData!I22*$J$4+$M$4*$J$5+[16]FormattedData!I22^2*$J$6+$M$5*$J$7</f>
        <v>37.096453237965989</v>
      </c>
      <c r="Q13" s="6">
        <f>$J$3+[16]FormattedData!J22*$J$4+$M$4*$J$5+[16]FormattedData!J22^2*$J$6+$M$5*$J$7</f>
        <v>33.581590975882264</v>
      </c>
      <c r="R13" s="6">
        <f>$J$3+[16]FormattedData!K22*$J$4+$M$4*$J$5+[16]FormattedData!K22^2*$J$6+$M$5*$J$7</f>
        <v>36.624853334232405</v>
      </c>
      <c r="S13" s="6">
        <f>$J$3+[16]FormattedData!L22*$J$4+$M$4*$J$5+[16]FormattedData!L22^2*$J$6+$M$5*$J$7</f>
        <v>33.198139846357449</v>
      </c>
      <c r="T13" s="6">
        <f>$J$3+[16]FormattedData!M22*$J$4+$M$4*$J$5+[16]FormattedData!M22^2*$J$6+$M$5*$J$7</f>
        <v>38.411311252875166</v>
      </c>
      <c r="U13" s="6">
        <f>$J$3+[16]FormattedData!N22*$J$4+$M$4*$J$5+[16]FormattedData!N22^2*$J$6+$M$5*$J$7</f>
        <v>34.727886584815309</v>
      </c>
      <c r="V13" s="6">
        <f>$J$3+[16]FormattedData!O22*$J$4+$M$4*$J$5+[16]FormattedData!O22^2*$J$6+$M$5*$J$7</f>
        <v>36.530406547871891</v>
      </c>
      <c r="W13" s="5">
        <f t="shared" si="0"/>
        <v>36.012956601499717</v>
      </c>
      <c r="X13" s="4">
        <f t="shared" si="1"/>
        <v>0.7046075015203026</v>
      </c>
      <c r="Y13" s="3">
        <f t="shared" si="2"/>
        <v>33.198139846357449</v>
      </c>
      <c r="Z13" s="2">
        <f t="shared" si="3"/>
        <v>34.441312682582051</v>
      </c>
      <c r="AA13" s="3">
        <f t="shared" si="4"/>
        <v>35.915424588811348</v>
      </c>
      <c r="AB13" s="2">
        <f t="shared" si="5"/>
        <v>36.742753310165803</v>
      </c>
      <c r="AC13" s="2">
        <f t="shared" si="6"/>
        <v>41.846412783882833</v>
      </c>
      <c r="AD13" s="2">
        <f t="shared" si="7"/>
        <v>1.155560854417315</v>
      </c>
      <c r="AE13" s="2">
        <f t="shared" si="8"/>
        <v>1.9545505482003094</v>
      </c>
    </row>
    <row r="14" spans="1:35" x14ac:dyDescent="0.2">
      <c r="B14" s="1">
        <f>[16]FormattedData!A20</f>
        <v>105</v>
      </c>
      <c r="C14" s="1" t="str">
        <f>VLOOKUP($B14,[16]TrtCodes!$B$11:I63,2)</f>
        <v>NDL</v>
      </c>
      <c r="D14" s="1">
        <f>VLOOKUP($B14,[16]TrtCodes!$B$11:J63,3)</f>
        <v>12</v>
      </c>
      <c r="E14" s="1">
        <f>VLOOKUP($B14,[16]TrtCodes!$B$11:K63,4)</f>
        <v>2</v>
      </c>
      <c r="F14" s="1">
        <f>VLOOKUP($B14,[16]TrtCodes!$B$11:L63,5)</f>
        <v>3</v>
      </c>
      <c r="G14" s="1">
        <f>VLOOKUP($B14,[16]TrtCodes!$B$11:M63,6)</f>
        <v>1</v>
      </c>
      <c r="H14" s="1">
        <f>VLOOKUP($B14,[16]TrtCodes!$B$11:N63,7)</f>
        <v>2</v>
      </c>
      <c r="I14" s="1">
        <f>[16]FormattedData!B20</f>
        <v>1</v>
      </c>
      <c r="J14" s="4">
        <f>[16]FormattedData!C20</f>
        <v>13.121</v>
      </c>
      <c r="K14" s="6">
        <f>$J$3+[16]FormattedData!D20*$J$4+$M$4*$J$5+[16]FormattedData!D20^2*$J$6+$M$5*$J$7</f>
        <v>31.947253001960433</v>
      </c>
      <c r="L14" s="6">
        <f>$J$3+[16]FormattedData!E20*$J$4+$M$4*$J$5+[16]FormattedData!E20^2*$J$6+$M$5*$J$7</f>
        <v>30.592155338940806</v>
      </c>
      <c r="M14" s="6">
        <f>$J$3+[16]FormattedData!F20*$J$4+$M$4*$J$5+[16]FormattedData!F20^2*$J$6+$M$5*$J$7</f>
        <v>35.393748165587162</v>
      </c>
      <c r="N14" s="6">
        <f>$J$3+[16]FormattedData!G20*$J$4+$M$4*$J$5+[16]FormattedData!G20^2*$J$6+$M$5*$J$7</f>
        <v>32.62169509593231</v>
      </c>
      <c r="O14" s="6">
        <f>$J$3+[16]FormattedData!H20*$J$4+$M$4*$J$5+[16]FormattedData!H20^2*$J$6+$M$5*$J$7</f>
        <v>34.155499614031541</v>
      </c>
      <c r="P14" s="6">
        <f>$J$3+[16]FormattedData!I20*$J$4+$M$4*$J$5+[16]FormattedData!I20^2*$J$6+$M$5*$J$7</f>
        <v>31.850735057241295</v>
      </c>
      <c r="Q14" s="6">
        <f>$J$3+[16]FormattedData!J20*$J$4+$M$4*$J$5+[16]FormattedData!J20^2*$J$6+$M$5*$J$7</f>
        <v>32.429208697487141</v>
      </c>
      <c r="R14" s="6">
        <f>$J$3+[16]FormattedData!K20*$J$4+$M$4*$J$5+[16]FormattedData!K20^2*$J$6+$M$5*$J$7</f>
        <v>33.964365808800181</v>
      </c>
      <c r="S14" s="6">
        <f>$J$3+[16]FormattedData!L20*$J$4+$M$4*$J$5+[16]FormattedData!L20^2*$J$6+$M$5*$J$7</f>
        <v>32.236553224890251</v>
      </c>
      <c r="T14" s="6">
        <f>$J$3+[16]FormattedData!M20*$J$4+$M$4*$J$5+[16]FormattedData!M20^2*$J$6+$M$5*$J$7</f>
        <v>38.317667568735352</v>
      </c>
      <c r="U14" s="6">
        <f>$J$3+[16]FormattedData!N20*$J$4+$M$4*$J$5+[16]FormattedData!N20^2*$J$6+$M$5*$J$7</f>
        <v>32.814012420225744</v>
      </c>
      <c r="V14" s="6">
        <f>$J$3+[16]FormattedData!O20*$J$4+$M$4*$J$5+[16]FormattedData!O20^2*$J$6+$M$5*$J$7</f>
        <v>35.298751888233539</v>
      </c>
      <c r="W14" s="5">
        <f t="shared" si="0"/>
        <v>33.468470490172145</v>
      </c>
      <c r="X14" s="4">
        <f t="shared" si="1"/>
        <v>0.60450735136519107</v>
      </c>
      <c r="Y14" s="3">
        <f t="shared" si="2"/>
        <v>30.592155338940806</v>
      </c>
      <c r="Z14" s="2">
        <f t="shared" si="3"/>
        <v>32.164228169157795</v>
      </c>
      <c r="AA14" s="3">
        <f t="shared" si="4"/>
        <v>32.717853758079031</v>
      </c>
      <c r="AB14" s="2">
        <f t="shared" si="5"/>
        <v>34.441312682582037</v>
      </c>
      <c r="AC14" s="2">
        <f t="shared" si="6"/>
        <v>38.317667568735352</v>
      </c>
      <c r="AD14" s="2">
        <f t="shared" si="7"/>
        <v>1.0966507798934604</v>
      </c>
      <c r="AE14" s="2">
        <f t="shared" si="8"/>
        <v>1.3996262729427666</v>
      </c>
    </row>
    <row r="15" spans="1:35" x14ac:dyDescent="0.2">
      <c r="B15" s="1">
        <f>[16]FormattedData!A18</f>
        <v>106</v>
      </c>
      <c r="C15" s="1" t="str">
        <f>VLOOKUP($B15,[16]TrtCodes!$B$11:I61,2)</f>
        <v>NTH</v>
      </c>
      <c r="D15" s="1">
        <f>VLOOKUP($B15,[16]TrtCodes!$B$11:J61,3)</f>
        <v>9</v>
      </c>
      <c r="E15" s="1">
        <f>VLOOKUP($B15,[16]TrtCodes!$B$11:K61,4)</f>
        <v>2</v>
      </c>
      <c r="F15" s="1">
        <f>VLOOKUP($B15,[16]TrtCodes!$B$11:L61,5)</f>
        <v>2</v>
      </c>
      <c r="G15" s="1">
        <f>VLOOKUP($B15,[16]TrtCodes!$B$11:M61,6)</f>
        <v>2</v>
      </c>
      <c r="H15" s="1">
        <f>VLOOKUP($B15,[16]TrtCodes!$B$11:N61,7)</f>
        <v>2</v>
      </c>
      <c r="I15" s="1">
        <f>[16]FormattedData!B18</f>
        <v>1</v>
      </c>
      <c r="J15" s="4">
        <f>[16]FormattedData!C18</f>
        <v>13.102</v>
      </c>
      <c r="K15" s="6">
        <f>$J$3+[16]FormattedData!D18*$J$4+$M$4*$J$5+[16]FormattedData!D18^2*$J$6+$M$5*$J$7</f>
        <v>37.284797319693901</v>
      </c>
      <c r="L15" s="6">
        <f>$J$3+[16]FormattedData!E18*$J$4+$M$4*$J$5+[16]FormattedData!E18^2*$J$6+$M$5*$J$7</f>
        <v>30.203462910712531</v>
      </c>
      <c r="M15" s="6">
        <f>$J$3+[16]FormattedData!F18*$J$4+$M$4*$J$5+[16]FormattedData!F18^2*$J$6+$M$5*$J$7</f>
        <v>39.065633522791821</v>
      </c>
      <c r="N15" s="6">
        <f>$J$3+[16]FormattedData!G18*$J$4+$M$4*$J$5+[16]FormattedData!G18^2*$J$6+$M$5*$J$7</f>
        <v>32.525473030978695</v>
      </c>
      <c r="O15" s="6">
        <f>$J$3+[16]FormattedData!H18*$J$4+$M$4*$J$5+[16]FormattedData!H18^2*$J$6+$M$5*$J$7</f>
        <v>38.317667568735352</v>
      </c>
      <c r="P15" s="6">
        <f>$J$3+[16]FormattedData!I18*$J$4+$M$4*$J$5+[16]FormattedData!I18^2*$J$6+$M$5*$J$7</f>
        <v>31.367511305576649</v>
      </c>
      <c r="Q15" s="6">
        <f>$J$3+[16]FormattedData!J18*$J$4+$M$4*$J$5+[16]FormattedData!J18^2*$J$6+$M$5*$J$7</f>
        <v>35.962838190412292</v>
      </c>
      <c r="R15" s="6">
        <f>$J$3+[16]FormattedData!K18*$J$4+$M$4*$J$5+[16]FormattedData!K18^2*$J$6+$M$5*$J$7</f>
        <v>35.013509444945122</v>
      </c>
      <c r="S15" s="6">
        <f>$J$3+[16]FormattedData!L18*$J$4+$M$4*$J$5+[16]FormattedData!L18^2*$J$6+$M$5*$J$7</f>
        <v>34.155499614031541</v>
      </c>
      <c r="T15" s="6">
        <f>$J$3+[16]FormattedData!M18*$J$4+$M$4*$J$5+[16]FormattedData!M18^2*$J$6+$M$5*$J$7</f>
        <v>35.488702174402846</v>
      </c>
      <c r="U15" s="6">
        <f>$J$3+[16]FormattedData!N18*$J$4+$M$4*$J$5+[16]FormattedData!N18^2*$J$6+$M$5*$J$7</f>
        <v>35.962838190412292</v>
      </c>
      <c r="V15" s="6">
        <f>$J$3+[16]FormattedData!O18*$J$4+$M$4*$J$5+[16]FormattedData!O18^2*$J$6+$M$5*$J$7</f>
        <v>34.059953845684831</v>
      </c>
      <c r="W15" s="5">
        <f t="shared" si="0"/>
        <v>34.950657259864819</v>
      </c>
      <c r="X15" s="4">
        <f t="shared" si="1"/>
        <v>0.77235568917387709</v>
      </c>
      <c r="Y15" s="3">
        <f t="shared" si="2"/>
        <v>30.203462910712531</v>
      </c>
      <c r="Z15" s="2">
        <f t="shared" si="3"/>
        <v>33.676333642008295</v>
      </c>
      <c r="AA15" s="3">
        <f t="shared" si="4"/>
        <v>35.251105809673987</v>
      </c>
      <c r="AB15" s="2">
        <f t="shared" si="5"/>
        <v>36.293327972732698</v>
      </c>
      <c r="AC15" s="2">
        <f t="shared" si="6"/>
        <v>39.065633522791821</v>
      </c>
      <c r="AD15" s="2">
        <f t="shared" si="7"/>
        <v>-0.26008843310608371</v>
      </c>
      <c r="AE15" s="2">
        <f t="shared" si="8"/>
        <v>-0.48025378754356751</v>
      </c>
    </row>
    <row r="16" spans="1:35" x14ac:dyDescent="0.2">
      <c r="B16" s="1">
        <f>[16]FormattedData!A16</f>
        <v>107</v>
      </c>
      <c r="C16" s="1" t="str">
        <f>VLOOKUP($B16,[16]TrtCodes!$B$11:I59,2)</f>
        <v>NTL</v>
      </c>
      <c r="D16" s="1">
        <f>VLOOKUP($B16,[16]TrtCodes!$B$11:J59,3)</f>
        <v>10</v>
      </c>
      <c r="E16" s="1">
        <f>VLOOKUP($B16,[16]TrtCodes!$B$11:K59,4)</f>
        <v>2</v>
      </c>
      <c r="F16" s="1">
        <f>VLOOKUP($B16,[16]TrtCodes!$B$11:L59,5)</f>
        <v>2</v>
      </c>
      <c r="G16" s="1">
        <f>VLOOKUP($B16,[16]TrtCodes!$B$11:M59,6)</f>
        <v>1</v>
      </c>
      <c r="H16" s="1">
        <f>VLOOKUP($B16,[16]TrtCodes!$B$11:N59,7)</f>
        <v>2</v>
      </c>
      <c r="I16" s="1">
        <f>[16]FormattedData!B16</f>
        <v>1</v>
      </c>
      <c r="J16" s="4">
        <f>[16]FormattedData!C16</f>
        <v>13.083</v>
      </c>
      <c r="K16" s="6">
        <f>$J$3+[16]FormattedData!D16*$J$4+$M$4*$J$5+[16]FormattedData!D16^2*$J$6+$M$5*$J$7</f>
        <v>39.624832709741064</v>
      </c>
      <c r="L16" s="6">
        <f>$J$3+[16]FormattedData!E16*$J$4+$M$4*$J$5+[16]FormattedData!E16^2*$J$6+$M$5*$J$7</f>
        <v>34.632594427696169</v>
      </c>
      <c r="M16" s="6">
        <f>$J$3+[16]FormattedData!F16*$J$4+$M$4*$J$5+[16]FormattedData!F16^2*$J$6+$M$5*$J$7</f>
        <v>37.190646413098911</v>
      </c>
      <c r="N16" s="6">
        <f>$J$3+[16]FormattedData!G16*$J$4+$M$4*$J$5+[16]FormattedData!G16^2*$J$6+$M$5*$J$7</f>
        <v>30.98017147056218</v>
      </c>
      <c r="O16" s="6">
        <f>$J$3+[16]FormattedData!H16*$J$4+$M$4*$J$5+[16]FormattedData!H16^2*$J$6+$M$5*$J$7</f>
        <v>38.036482905088306</v>
      </c>
      <c r="P16" s="6">
        <f>$J$3+[16]FormattedData!I16*$J$4+$M$4*$J$5+[16]FormattedData!I16^2*$J$6+$M$5*$J$7</f>
        <v>33.198139846357449</v>
      </c>
      <c r="Q16" s="6">
        <f>$J$3+[16]FormattedData!J16*$J$4+$M$4*$J$5+[16]FormattedData!J16^2*$J$6+$M$5*$J$7</f>
        <v>35.108632527912519</v>
      </c>
      <c r="R16" s="6">
        <f>$J$3+[16]FormattedData!K16*$J$4+$M$4*$J$5+[16]FormattedData!K16^2*$J$6+$M$5*$J$7</f>
        <v>32.236553224890251</v>
      </c>
      <c r="S16" s="6">
        <f>$J$3+[16]FormattedData!L16*$J$4+$M$4*$J$5+[16]FormattedData!L16^2*$J$6+$M$5*$J$7</f>
        <v>36.719257852054987</v>
      </c>
      <c r="T16" s="6">
        <f>$J$3+[16]FormattedData!M16*$J$4+$M$4*$J$5+[16]FormattedData!M16^2*$J$6+$M$5*$J$7</f>
        <v>34.441883307844115</v>
      </c>
      <c r="U16" s="6">
        <f>$J$3+[16]FormattedData!N16*$J$4+$M$4*$J$5+[16]FormattedData!N16^2*$J$6+$M$5*$J$7</f>
        <v>32.525473030978695</v>
      </c>
      <c r="V16" s="6">
        <f>$J$3+[16]FormattedData!O16*$J$4+$M$4*$J$5+[16]FormattedData!O16^2*$J$6+$M$5*$J$7</f>
        <v>29.814094185877362</v>
      </c>
      <c r="W16" s="5">
        <f t="shared" si="0"/>
        <v>34.542396825175167</v>
      </c>
      <c r="X16" s="4">
        <f t="shared" si="1"/>
        <v>0.85443948383190405</v>
      </c>
      <c r="Y16" s="3">
        <f t="shared" si="2"/>
        <v>29.814094185877362</v>
      </c>
      <c r="Z16" s="2">
        <f t="shared" si="3"/>
        <v>32.453243079456584</v>
      </c>
      <c r="AA16" s="3">
        <f t="shared" si="4"/>
        <v>34.537238867770142</v>
      </c>
      <c r="AB16" s="2">
        <f t="shared" si="5"/>
        <v>36.837104992315972</v>
      </c>
      <c r="AC16" s="2">
        <f t="shared" si="6"/>
        <v>39.624832709741064</v>
      </c>
      <c r="AD16" s="2">
        <f t="shared" si="7"/>
        <v>0.12287096145881413</v>
      </c>
      <c r="AE16" s="2">
        <f t="shared" si="8"/>
        <v>-0.75464292273298517</v>
      </c>
    </row>
    <row r="17" spans="2:31" x14ac:dyDescent="0.2">
      <c r="B17" s="1">
        <f>[16]FormattedData!A14</f>
        <v>108</v>
      </c>
      <c r="C17" s="1" t="str">
        <f>VLOOKUP($B17,[16]TrtCodes!$B$11:I57,2)</f>
        <v>FTH</v>
      </c>
      <c r="D17" s="1">
        <f>VLOOKUP($B17,[16]TrtCodes!$B$11:J57,3)</f>
        <v>3</v>
      </c>
      <c r="E17" s="1">
        <f>VLOOKUP($B17,[16]TrtCodes!$B$11:K57,4)</f>
        <v>1</v>
      </c>
      <c r="F17" s="1">
        <f>VLOOKUP($B17,[16]TrtCodes!$B$11:L57,5)</f>
        <v>2</v>
      </c>
      <c r="G17" s="1">
        <f>VLOOKUP($B17,[16]TrtCodes!$B$11:M57,6)</f>
        <v>2</v>
      </c>
      <c r="H17" s="1">
        <f>VLOOKUP($B17,[16]TrtCodes!$B$11:N57,7)</f>
        <v>2</v>
      </c>
      <c r="I17" s="1">
        <f>[16]FormattedData!B14</f>
        <v>1</v>
      </c>
      <c r="J17" s="4">
        <f>[16]FormattedData!C14</f>
        <v>13.061999999999999</v>
      </c>
      <c r="K17" s="6">
        <f>$J$3+[16]FormattedData!D14*$J$4+$M$4*$J$5+[16]FormattedData!D14^2*$J$6+$M$5*$J$7</f>
        <v>39.996786796948605</v>
      </c>
      <c r="L17" s="6">
        <f>$J$3+[16]FormattedData!E14*$J$4+$M$4*$J$5+[16]FormattedData!E14^2*$J$6+$M$5*$J$7</f>
        <v>34.823136473396502</v>
      </c>
      <c r="M17" s="6">
        <f>$J$3+[16]FormattedData!F14*$J$4+$M$4*$J$5+[16]FormattedData!F14^2*$J$6+$M$5*$J$7</f>
        <v>33.773062929417087</v>
      </c>
      <c r="N17" s="6">
        <f>$J$3+[16]FormattedData!G14*$J$4+$M$4*$J$5+[16]FormattedData!G14^2*$J$6+$M$5*$J$7</f>
        <v>39.438602054909708</v>
      </c>
      <c r="O17" s="6">
        <f>$J$3+[16]FormattedData!H14*$J$4+$M$4*$J$5+[16]FormattedData!H14^2*$J$6+$M$5*$J$7</f>
        <v>31.560927611856304</v>
      </c>
      <c r="P17" s="6">
        <f>$J$3+[16]FormattedData!I14*$J$4+$M$4*$J$5+[16]FormattedData!I14^2*$J$6+$M$5*$J$7</f>
        <v>39.065633522791821</v>
      </c>
      <c r="Q17" s="6">
        <f>$J$3+[16]FormattedData!J14*$J$4+$M$4*$J$5+[16]FormattedData!J14^2*$J$6+$M$5*$J$7</f>
        <v>33.773062929417087</v>
      </c>
      <c r="R17" s="6">
        <f>$J$3+[16]FormattedData!K14*$J$4+$M$4*$J$5+[16]FormattedData!K14^2*$J$6+$M$5*$J$7</f>
        <v>34.537260002039119</v>
      </c>
      <c r="S17" s="6">
        <f>$J$3+[16]FormattedData!L14*$J$4+$M$4*$J$5+[16]FormattedData!L14^2*$J$6+$M$5*$J$7</f>
        <v>38.504912668477047</v>
      </c>
      <c r="T17" s="6">
        <f>$J$3+[16]FormattedData!M14*$J$4+$M$4*$J$5+[16]FormattedData!M14^2*$J$6+$M$5*$J$7</f>
        <v>31.173925925145273</v>
      </c>
      <c r="U17" s="6">
        <f>$J$3+[16]FormattedData!N14*$J$4+$M$4*$J$5+[16]FormattedData!N14^2*$J$6+$M$5*$J$7</f>
        <v>37.848815119967298</v>
      </c>
      <c r="V17" s="6">
        <f>$J$3+[16]FormattedData!O14*$J$4+$M$4*$J$5+[16]FormattedData!O14^2*$J$6+$M$5*$J$7</f>
        <v>31.077069832122692</v>
      </c>
      <c r="W17" s="5">
        <f t="shared" si="0"/>
        <v>35.464432988874044</v>
      </c>
      <c r="X17" s="4">
        <f t="shared" si="1"/>
        <v>0.96969937471860801</v>
      </c>
      <c r="Y17" s="3">
        <f t="shared" si="2"/>
        <v>31.077069832122692</v>
      </c>
      <c r="Z17" s="2">
        <f t="shared" si="3"/>
        <v>33.220029100026892</v>
      </c>
      <c r="AA17" s="3">
        <f t="shared" si="4"/>
        <v>34.680198237717811</v>
      </c>
      <c r="AB17" s="2">
        <f t="shared" si="5"/>
        <v>38.645092882055742</v>
      </c>
      <c r="AC17" s="2">
        <f t="shared" si="6"/>
        <v>39.996786796948605</v>
      </c>
      <c r="AD17" s="2">
        <f t="shared" si="7"/>
        <v>3.0474311831869435E-2</v>
      </c>
      <c r="AE17" s="2">
        <f t="shared" si="8"/>
        <v>-1.6617929581947686</v>
      </c>
    </row>
    <row r="18" spans="2:31" x14ac:dyDescent="0.2">
      <c r="B18" s="1">
        <f>[16]FormattedData!A30</f>
        <v>201</v>
      </c>
      <c r="C18" s="1" t="str">
        <f>VLOOKUP($B18,[16]TrtCodes!$B$11:I73,2)</f>
        <v>NDL</v>
      </c>
      <c r="D18" s="1">
        <f>VLOOKUP($B18,[16]TrtCodes!$B$11:J73,3)</f>
        <v>12</v>
      </c>
      <c r="E18" s="1">
        <f>VLOOKUP($B18,[16]TrtCodes!$B$11:K73,4)</f>
        <v>2</v>
      </c>
      <c r="F18" s="1">
        <f>VLOOKUP($B18,[16]TrtCodes!$B$11:L73,5)</f>
        <v>3</v>
      </c>
      <c r="G18" s="1">
        <f>VLOOKUP($B18,[16]TrtCodes!$B$11:M73,6)</f>
        <v>1</v>
      </c>
      <c r="H18" s="1">
        <f>VLOOKUP($B18,[16]TrtCodes!$B$11:N73,7)</f>
        <v>1</v>
      </c>
      <c r="I18" s="1">
        <f>[16]FormattedData!B30</f>
        <v>1</v>
      </c>
      <c r="J18" s="4">
        <f>[16]FormattedData!C30</f>
        <v>13.25</v>
      </c>
      <c r="K18" s="6">
        <f>$J$3+[16]FormattedData!D30*$J$4+$M$4*$J$5+[16]FormattedData!D30^2*$J$6+$M$5*$J$7</f>
        <v>33.677348086918634</v>
      </c>
      <c r="L18" s="6">
        <f>$J$3+[16]FormattedData!E30*$J$4+$M$4*$J$5+[16]FormattedData!E30^2*$J$6+$M$5*$J$7</f>
        <v>29.521623822602706</v>
      </c>
      <c r="M18" s="6">
        <f>$J$3+[16]FormattedData!F30*$J$4+$M$4*$J$5+[16]FormattedData!F30^2*$J$6+$M$5*$J$7</f>
        <v>36.719257852054987</v>
      </c>
      <c r="N18" s="6">
        <f>$J$3+[16]FormattedData!G30*$J$4+$M$4*$J$5+[16]FormattedData!G30^2*$J$6+$M$5*$J$7</f>
        <v>29.424049164435292</v>
      </c>
      <c r="O18" s="6">
        <f>$J$3+[16]FormattedData!H30*$J$4+$M$4*$J$5+[16]FormattedData!H30^2*$J$6+$M$5*$J$7</f>
        <v>32.91010767956557</v>
      </c>
      <c r="P18" s="6">
        <f>$J$3+[16]FormattedData!I30*$J$4+$M$4*$J$5+[16]FormattedData!I30^2*$J$6+$M$5*$J$7</f>
        <v>31.173925925145273</v>
      </c>
      <c r="Q18" s="6">
        <f>$J$3+[16]FormattedData!J30*$J$4+$M$4*$J$5+[16]FormattedData!J30^2*$J$6+$M$5*$J$7</f>
        <v>33.294066031545555</v>
      </c>
      <c r="R18" s="6">
        <f>$J$3+[16]FormattedData!K30*$J$4+$M$4*$J$5+[16]FormattedData!K30^2*$J$6+$M$5*$J$7</f>
        <v>30.98017147056218</v>
      </c>
      <c r="S18" s="6">
        <f>$J$3+[16]FormattedData!L30*$J$4+$M$4*$J$5+[16]FormattedData!L30^2*$J$6+$M$5*$J$7</f>
        <v>31.173925925145273</v>
      </c>
      <c r="T18" s="6">
        <f>$J$3+[16]FormattedData!M30*$J$4+$M$4*$J$5+[16]FormattedData!M30^2*$J$6+$M$5*$J$7</f>
        <v>30.106184132310634</v>
      </c>
      <c r="U18" s="6">
        <f>$J$3+[16]FormattedData!N30*$J$4+$M$4*$J$5+[16]FormattedData!N30^2*$J$6+$M$5*$J$7</f>
        <v>30.592155338940806</v>
      </c>
      <c r="V18" s="6">
        <f>$J$3+[16]FormattedData!O30*$J$4+$M$4*$J$5+[16]FormattedData!O30^2*$J$6+$M$5*$J$7</f>
        <v>28.837713576134256</v>
      </c>
      <c r="W18" s="5">
        <f t="shared" si="0"/>
        <v>31.534210750446771</v>
      </c>
      <c r="X18" s="4">
        <f t="shared" si="1"/>
        <v>0.64979960422496208</v>
      </c>
      <c r="Y18" s="3">
        <f t="shared" si="2"/>
        <v>28.837713576134256</v>
      </c>
      <c r="Z18" s="2">
        <f t="shared" si="3"/>
        <v>29.960044054883653</v>
      </c>
      <c r="AA18" s="3">
        <f t="shared" si="4"/>
        <v>31.077048697853726</v>
      </c>
      <c r="AB18" s="2">
        <f t="shared" si="5"/>
        <v>33.006097267560563</v>
      </c>
      <c r="AC18" s="2">
        <f t="shared" si="6"/>
        <v>36.719257852054987</v>
      </c>
      <c r="AD18" s="2">
        <f t="shared" si="7"/>
        <v>1.1107742561723322</v>
      </c>
      <c r="AE18" s="2">
        <f t="shared" si="8"/>
        <v>1.1913422634813378</v>
      </c>
    </row>
    <row r="19" spans="2:31" x14ac:dyDescent="0.2">
      <c r="B19" s="1">
        <f>[16]FormattedData!A32</f>
        <v>202</v>
      </c>
      <c r="C19" s="1" t="str">
        <f>VLOOKUP($B19,[16]TrtCodes!$B$11:I75,2)</f>
        <v>NTH</v>
      </c>
      <c r="D19" s="1">
        <f>VLOOKUP($B19,[16]TrtCodes!$B$11:J75,3)</f>
        <v>9</v>
      </c>
      <c r="E19" s="1">
        <f>VLOOKUP($B19,[16]TrtCodes!$B$11:K75,4)</f>
        <v>2</v>
      </c>
      <c r="F19" s="1">
        <f>VLOOKUP($B19,[16]TrtCodes!$B$11:L75,5)</f>
        <v>2</v>
      </c>
      <c r="G19" s="1">
        <f>VLOOKUP($B19,[16]TrtCodes!$B$11:M75,6)</f>
        <v>2</v>
      </c>
      <c r="H19" s="1">
        <f>VLOOKUP($B19,[16]TrtCodes!$B$11:N75,7)</f>
        <v>1</v>
      </c>
      <c r="I19" s="1">
        <f>[16]FormattedData!B32</f>
        <v>1</v>
      </c>
      <c r="J19" s="4">
        <f>[16]FormattedData!C32</f>
        <v>13.27</v>
      </c>
      <c r="K19" s="6">
        <f>$J$3+[16]FormattedData!D32*$J$4+$M$4*$J$5+[16]FormattedData!D32^2*$J$6+$M$5*$J$7</f>
        <v>33.485791596307962</v>
      </c>
      <c r="L19" s="6">
        <f>$J$3+[16]FormattedData!E32*$J$4+$M$4*$J$5+[16]FormattedData!E32^2*$J$6+$M$5*$J$7</f>
        <v>30.3006994205765</v>
      </c>
      <c r="M19" s="6">
        <f>$J$3+[16]FormattedData!F32*$J$4+$M$4*$J$5+[16]FormattedData!F32^2*$J$6+$M$5*$J$7</f>
        <v>32.04372867814164</v>
      </c>
      <c r="N19" s="6">
        <f>$J$3+[16]FormattedData!G32*$J$4+$M$4*$J$5+[16]FormattedData!G32^2*$J$6+$M$5*$J$7</f>
        <v>30.203462910712531</v>
      </c>
      <c r="O19" s="6">
        <f>$J$3+[16]FormattedData!H32*$J$4+$M$4*$J$5+[16]FormattedData!H32^2*$J$6+$M$5*$J$7</f>
        <v>32.717874892347993</v>
      </c>
      <c r="P19" s="6">
        <f>$J$3+[16]FormattedData!I32*$J$4+$M$4*$J$5+[16]FormattedData!I32^2*$J$6+$M$5*$J$7</f>
        <v>30.203462910712531</v>
      </c>
      <c r="Q19" s="6">
        <f>$J$3+[16]FormattedData!J32*$J$4+$M$4*$J$5+[16]FormattedData!J32^2*$J$6+$M$5*$J$7</f>
        <v>33.773062929417087</v>
      </c>
      <c r="R19" s="6">
        <f>$J$3+[16]FormattedData!K32*$J$4+$M$4*$J$5+[16]FormattedData!K32^2*$J$6+$M$5*$J$7</f>
        <v>30.592155338940806</v>
      </c>
      <c r="S19" s="6">
        <f>$J$3+[16]FormattedData!L32*$J$4+$M$4*$J$5+[16]FormattedData!L32^2*$J$6+$M$5*$J$7</f>
        <v>33.102171392631426</v>
      </c>
      <c r="T19" s="6">
        <f>$J$3+[16]FormattedData!M32*$J$4+$M$4*$J$5+[16]FormattedData!M32^2*$J$6+$M$5*$J$7</f>
        <v>29.911499769893048</v>
      </c>
      <c r="U19" s="6">
        <f>$J$3+[16]FormattedData!N32*$J$4+$M$4*$J$5+[16]FormattedData!N32^2*$J$6+$M$5*$J$7</f>
        <v>32.04372867814164</v>
      </c>
      <c r="V19" s="6">
        <f>$J$3+[16]FormattedData!O32*$J$4+$M$4*$J$5+[16]FormattedData!O32^2*$J$6+$M$5*$J$7</f>
        <v>29.911499769893048</v>
      </c>
      <c r="W19" s="5">
        <f t="shared" si="0"/>
        <v>31.524094857309688</v>
      </c>
      <c r="X19" s="4">
        <f t="shared" si="1"/>
        <v>0.43007977936122371</v>
      </c>
      <c r="Y19" s="3">
        <f t="shared" si="2"/>
        <v>29.911499769893048</v>
      </c>
      <c r="Z19" s="2">
        <f t="shared" si="3"/>
        <v>30.203462910712531</v>
      </c>
      <c r="AA19" s="3">
        <f t="shared" si="4"/>
        <v>31.317942008541223</v>
      </c>
      <c r="AB19" s="2">
        <f t="shared" si="5"/>
        <v>32.81394901741885</v>
      </c>
      <c r="AC19" s="2">
        <f t="shared" si="6"/>
        <v>33.773062929417087</v>
      </c>
      <c r="AD19" s="2">
        <f t="shared" si="7"/>
        <v>0.30356173985652274</v>
      </c>
      <c r="AE19" s="2">
        <f t="shared" si="8"/>
        <v>-1.7505738559379926</v>
      </c>
    </row>
    <row r="20" spans="2:31" x14ac:dyDescent="0.2">
      <c r="B20" s="1">
        <f>[16]FormattedData!A34</f>
        <v>203</v>
      </c>
      <c r="C20" s="1" t="str">
        <f>VLOOKUP($B20,[16]TrtCodes!$B$11:I77,2)</f>
        <v>FTH</v>
      </c>
      <c r="D20" s="1">
        <f>VLOOKUP($B20,[16]TrtCodes!$B$11:J77,3)</f>
        <v>3</v>
      </c>
      <c r="E20" s="1">
        <f>VLOOKUP($B20,[16]TrtCodes!$B$11:K77,4)</f>
        <v>1</v>
      </c>
      <c r="F20" s="1">
        <f>VLOOKUP($B20,[16]TrtCodes!$B$11:L77,5)</f>
        <v>2</v>
      </c>
      <c r="G20" s="1">
        <f>VLOOKUP($B20,[16]TrtCodes!$B$11:M77,6)</f>
        <v>2</v>
      </c>
      <c r="H20" s="1">
        <f>VLOOKUP($B20,[16]TrtCodes!$B$11:N77,7)</f>
        <v>1</v>
      </c>
      <c r="I20" s="1">
        <f>[16]FormattedData!B34</f>
        <v>1</v>
      </c>
      <c r="J20" s="4">
        <f>[16]FormattedData!C34</f>
        <v>13.29</v>
      </c>
      <c r="K20" s="6">
        <f>$J$3+[16]FormattedData!D34*$J$4+$M$4*$J$5+[16]FormattedData!D34^2*$J$6+$M$5*$J$7</f>
        <v>37.378905957750966</v>
      </c>
      <c r="L20" s="6">
        <f>$J$3+[16]FormattedData!E34*$J$4+$M$4*$J$5+[16]FormattedData!E34^2*$J$6+$M$5*$J$7</f>
        <v>34.059953845684831</v>
      </c>
      <c r="M20" s="6">
        <f>$J$3+[16]FormattedData!F34*$J$4+$M$4*$J$5+[16]FormattedData!F34^2*$J$6+$M$5*$J$7</f>
        <v>36.15219671705055</v>
      </c>
      <c r="N20" s="6">
        <f>$J$3+[16]FormattedData!G34*$J$4+$M$4*$J$5+[16]FormattedData!G34^2*$J$6+$M$5*$J$7</f>
        <v>33.006160670367464</v>
      </c>
      <c r="O20" s="6">
        <f>$J$3+[16]FormattedData!H34*$J$4+$M$4*$J$5+[16]FormattedData!H34^2*$J$6+$M$5*$J$7</f>
        <v>37.848815119967298</v>
      </c>
      <c r="P20" s="6">
        <f>$J$3+[16]FormattedData!I34*$J$4+$M$4*$J$5+[16]FormattedData!I34^2*$J$6+$M$5*$J$7</f>
        <v>31.173925925145273</v>
      </c>
      <c r="Q20" s="6">
        <f>$J$3+[16]FormattedData!J34*$J$4+$M$4*$J$5+[16]FormattedData!J34^2*$J$6+$M$5*$J$7</f>
        <v>39.717884634349844</v>
      </c>
      <c r="R20" s="6">
        <f>$J$3+[16]FormattedData!K34*$J$4+$M$4*$J$5+[16]FormattedData!K34^2*$J$6+$M$5*$J$7</f>
        <v>35.488702174402846</v>
      </c>
      <c r="S20" s="6">
        <f>$J$3+[16]FormattedData!L34*$J$4+$M$4*$J$5+[16]FormattedData!L34^2*$J$6+$M$5*$J$7</f>
        <v>38.317667568735352</v>
      </c>
      <c r="T20" s="6">
        <f>$J$3+[16]FormattedData!M34*$J$4+$M$4*$J$5+[16]FormattedData!M34^2*$J$6+$M$5*$J$7</f>
        <v>31.173925925145273</v>
      </c>
      <c r="U20" s="6">
        <f>$J$3+[16]FormattedData!N34*$J$4+$M$4*$J$5+[16]FormattedData!N34^2*$J$6+$M$5*$J$7</f>
        <v>35.773310589622305</v>
      </c>
      <c r="V20" s="6">
        <f>$J$3+[16]FormattedData!O34*$J$4+$M$4*$J$5+[16]FormattedData!O34^2*$J$6+$M$5*$J$7</f>
        <v>31.657572362189235</v>
      </c>
      <c r="W20" s="5">
        <f t="shared" si="0"/>
        <v>35.145751790867607</v>
      </c>
      <c r="X20" s="4">
        <f t="shared" si="1"/>
        <v>0.84503163925889191</v>
      </c>
      <c r="Y20" s="3">
        <f t="shared" si="2"/>
        <v>31.173925925145273</v>
      </c>
      <c r="Z20" s="2">
        <f t="shared" si="3"/>
        <v>32.669013593322909</v>
      </c>
      <c r="AA20" s="3">
        <f t="shared" si="4"/>
        <v>35.631006382012572</v>
      </c>
      <c r="AB20" s="2">
        <f t="shared" si="5"/>
        <v>37.496383248305051</v>
      </c>
      <c r="AC20" s="2">
        <f t="shared" si="6"/>
        <v>39.717884634349844</v>
      </c>
      <c r="AD20" s="2">
        <f t="shared" si="7"/>
        <v>-8.3271852840430607E-2</v>
      </c>
      <c r="AE20" s="2">
        <f t="shared" si="8"/>
        <v>-1.2739986983826066</v>
      </c>
    </row>
    <row r="21" spans="2:31" x14ac:dyDescent="0.2">
      <c r="B21" s="1">
        <f>[16]FormattedData!A36</f>
        <v>204</v>
      </c>
      <c r="C21" s="1" t="str">
        <f>VLOOKUP($B21,[16]TrtCodes!$B$11:I79,2)</f>
        <v>NDH</v>
      </c>
      <c r="D21" s="1">
        <f>VLOOKUP($B21,[16]TrtCodes!$B$11:J79,3)</f>
        <v>11</v>
      </c>
      <c r="E21" s="1">
        <f>VLOOKUP($B21,[16]TrtCodes!$B$11:K79,4)</f>
        <v>2</v>
      </c>
      <c r="F21" s="1">
        <f>VLOOKUP($B21,[16]TrtCodes!$B$11:L79,5)</f>
        <v>3</v>
      </c>
      <c r="G21" s="1">
        <f>VLOOKUP($B21,[16]TrtCodes!$B$11:M79,6)</f>
        <v>2</v>
      </c>
      <c r="H21" s="1">
        <f>VLOOKUP($B21,[16]TrtCodes!$B$11:N79,7)</f>
        <v>1</v>
      </c>
      <c r="I21" s="1">
        <f>[16]FormattedData!B36</f>
        <v>1</v>
      </c>
      <c r="J21" s="4">
        <f>[16]FormattedData!C36</f>
        <v>13.31</v>
      </c>
      <c r="K21" s="6">
        <f>$J$3+[16]FormattedData!D36*$J$4+$M$4*$J$5+[16]FormattedData!D36^2*$J$6+$M$5*$J$7</f>
        <v>34.727886584815309</v>
      </c>
      <c r="L21" s="6">
        <f>$J$3+[16]FormattedData!E36*$J$4+$M$4*$J$5+[16]FormattedData!E36^2*$J$6+$M$5*$J$7</f>
        <v>33.102171392631426</v>
      </c>
      <c r="M21" s="6">
        <f>$J$3+[16]FormattedData!F36*$J$4+$M$4*$J$5+[16]FormattedData!F36^2*$J$6+$M$5*$J$7</f>
        <v>34.251003113840333</v>
      </c>
      <c r="N21" s="6">
        <f>$J$3+[16]FormattedData!G36*$J$4+$M$4*$J$5+[16]FormattedData!G36^2*$J$6+$M$5*$J$7</f>
        <v>33.485791596307962</v>
      </c>
      <c r="O21" s="6">
        <f>$J$3+[16]FormattedData!H36*$J$4+$M$4*$J$5+[16]FormattedData!H36^2*$J$6+$M$5*$J$7</f>
        <v>36.15219671705055</v>
      </c>
      <c r="P21" s="6">
        <f>$J$3+[16]FormattedData!I36*$J$4+$M$4*$J$5+[16]FormattedData!I36^2*$J$6+$M$5*$J$7</f>
        <v>34.251003113840333</v>
      </c>
      <c r="Q21" s="6">
        <f>$J$3+[16]FormattedData!J36*$J$4+$M$4*$J$5+[16]FormattedData!J36^2*$J$6+$M$5*$J$7</f>
        <v>34.251003113840333</v>
      </c>
      <c r="R21" s="6">
        <f>$J$3+[16]FormattedData!K36*$J$4+$M$4*$J$5+[16]FormattedData!K36^2*$J$6+$M$5*$J$7</f>
        <v>33.485791596307962</v>
      </c>
      <c r="S21" s="6">
        <f>$J$3+[16]FormattedData!L36*$J$4+$M$4*$J$5+[16]FormattedData!L36^2*$J$6+$M$5*$J$7</f>
        <v>35.67848338642041</v>
      </c>
      <c r="T21" s="6">
        <f>$J$3+[16]FormattedData!M36*$J$4+$M$4*$J$5+[16]FormattedData!M36^2*$J$6+$M$5*$J$7</f>
        <v>33.773062929417087</v>
      </c>
      <c r="U21" s="6">
        <f>$J$3+[16]FormattedData!N36*$J$4+$M$4*$J$5+[16]FormattedData!N36^2*$J$6+$M$5*$J$7</f>
        <v>34.823136473396502</v>
      </c>
      <c r="V21" s="6">
        <f>$J$3+[16]FormattedData!O36*$J$4+$M$4*$J$5+[16]FormattedData!O36^2*$J$6+$M$5*$J$7</f>
        <v>32.717874892347993</v>
      </c>
      <c r="W21" s="5">
        <f t="shared" si="0"/>
        <v>34.224950409184686</v>
      </c>
      <c r="X21" s="4">
        <f t="shared" si="1"/>
        <v>0.29217920988132334</v>
      </c>
      <c r="Y21" s="3">
        <f t="shared" si="2"/>
        <v>32.717874892347993</v>
      </c>
      <c r="Z21" s="2">
        <f t="shared" si="3"/>
        <v>33.485791596307962</v>
      </c>
      <c r="AA21" s="3">
        <f t="shared" si="4"/>
        <v>34.251003113840333</v>
      </c>
      <c r="AB21" s="2">
        <f t="shared" si="5"/>
        <v>34.751699056960604</v>
      </c>
      <c r="AC21" s="2">
        <f t="shared" si="6"/>
        <v>36.15219671705055</v>
      </c>
      <c r="AD21" s="2">
        <f t="shared" si="7"/>
        <v>0.50841441493440687</v>
      </c>
      <c r="AE21" s="2">
        <f t="shared" si="8"/>
        <v>-0.15368396596237455</v>
      </c>
    </row>
    <row r="22" spans="2:31" x14ac:dyDescent="0.2">
      <c r="B22" s="1">
        <f>[16]FormattedData!A38</f>
        <v>205</v>
      </c>
      <c r="C22" s="1" t="str">
        <f>VLOOKUP($B22,[16]TrtCodes!$B$11:I81,2)</f>
        <v>FSH</v>
      </c>
      <c r="D22" s="1">
        <f>VLOOKUP($B22,[16]TrtCodes!$B$11:J81,3)</f>
        <v>1</v>
      </c>
      <c r="E22" s="1">
        <f>VLOOKUP($B22,[16]TrtCodes!$B$11:K81,4)</f>
        <v>1</v>
      </c>
      <c r="F22" s="1">
        <f>VLOOKUP($B22,[16]TrtCodes!$B$11:L81,5)</f>
        <v>1</v>
      </c>
      <c r="G22" s="1">
        <f>VLOOKUP($B22,[16]TrtCodes!$B$11:M81,6)</f>
        <v>2</v>
      </c>
      <c r="H22" s="1">
        <f>VLOOKUP($B22,[16]TrtCodes!$B$11:N81,7)</f>
        <v>2</v>
      </c>
      <c r="I22" s="1">
        <f>[16]FormattedData!B38</f>
        <v>1</v>
      </c>
      <c r="J22" s="4">
        <f>[16]FormattedData!C38</f>
        <v>13.331</v>
      </c>
      <c r="K22" s="6">
        <f>$J$3+[16]FormattedData!D38*$J$4+$M$4*$J$5+[16]FormattedData!D38^2*$J$6+$M$5*$J$7</f>
        <v>39.996786796948605</v>
      </c>
      <c r="L22" s="6">
        <f>$J$3+[16]FormattedData!E38*$J$4+$M$4*$J$5+[16]FormattedData!E38^2*$J$6+$M$5*$J$7</f>
        <v>34.823136473396502</v>
      </c>
      <c r="M22" s="6">
        <f>$J$3+[16]FormattedData!F38*$J$4+$M$4*$J$5+[16]FormattedData!F38^2*$J$6+$M$5*$J$7</f>
        <v>36.907940082086355</v>
      </c>
      <c r="N22" s="6">
        <f>$J$3+[16]FormattedData!G38*$J$4+$M$4*$J$5+[16]FormattedData!G38^2*$J$6+$M$5*$J$7</f>
        <v>33.198139846357449</v>
      </c>
      <c r="O22" s="6">
        <f>$J$3+[16]FormattedData!H38*$J$4+$M$4*$J$5+[16]FormattedData!H38^2*$J$6+$M$5*$J$7</f>
        <v>38.878895645505288</v>
      </c>
      <c r="P22" s="6">
        <f>$J$3+[16]FormattedData!I38*$J$4+$M$4*$J$5+[16]FormattedData!I38^2*$J$6+$M$5*$J$7</f>
        <v>32.525473030978695</v>
      </c>
      <c r="Q22" s="6">
        <f>$J$3+[16]FormattedData!J38*$J$4+$M$4*$J$5+[16]FormattedData!J38^2*$J$6+$M$5*$J$7</f>
        <v>39.996786796948605</v>
      </c>
      <c r="R22" s="6">
        <f>$J$3+[16]FormattedData!K38*$J$4+$M$4*$J$5+[16]FormattedData!K38^2*$J$6+$M$5*$J$7</f>
        <v>33.773062929417087</v>
      </c>
      <c r="S22" s="6">
        <f>$J$3+[16]FormattedData!L38*$J$4+$M$4*$J$5+[16]FormattedData!L38^2*$J$6+$M$5*$J$7</f>
        <v>37.190646413098911</v>
      </c>
      <c r="T22" s="6">
        <f>$J$3+[16]FormattedData!M38*$J$4+$M$4*$J$5+[16]FormattedData!M38^2*$J$6+$M$5*$J$7</f>
        <v>31.947253001960433</v>
      </c>
      <c r="U22" s="6">
        <f>$J$3+[16]FormattedData!N38*$J$4+$M$4*$J$5+[16]FormattedData!N38^2*$J$6+$M$5*$J$7</f>
        <v>37.096453237965989</v>
      </c>
      <c r="V22" s="6">
        <f>$J$3+[16]FormattedData!O38*$J$4+$M$4*$J$5+[16]FormattedData!O38^2*$J$6+$M$5*$J$7</f>
        <v>33.868735503377593</v>
      </c>
      <c r="W22" s="5">
        <f t="shared" si="0"/>
        <v>35.850275813170128</v>
      </c>
      <c r="X22" s="4">
        <f t="shared" si="1"/>
        <v>0.8286805246247797</v>
      </c>
      <c r="Y22" s="3">
        <f t="shared" si="2"/>
        <v>31.947253001960433</v>
      </c>
      <c r="Z22" s="2">
        <f t="shared" si="3"/>
        <v>33.629332158652176</v>
      </c>
      <c r="AA22" s="3">
        <f t="shared" si="4"/>
        <v>35.865538277741429</v>
      </c>
      <c r="AB22" s="2">
        <f t="shared" si="5"/>
        <v>37.612708721200505</v>
      </c>
      <c r="AC22" s="2">
        <f t="shared" si="6"/>
        <v>39.996786796948605</v>
      </c>
      <c r="AD22" s="2">
        <f t="shared" si="7"/>
        <v>0.19922788365711458</v>
      </c>
      <c r="AE22" s="2">
        <f t="shared" si="8"/>
        <v>-1.4317340115887136</v>
      </c>
    </row>
    <row r="23" spans="2:31" x14ac:dyDescent="0.2">
      <c r="B23" s="1">
        <f>[16]FormattedData!A40</f>
        <v>206</v>
      </c>
      <c r="C23" s="1" t="str">
        <f>VLOOKUP($B23,[16]TrtCodes!$B$11:I83,2)</f>
        <v>NSL</v>
      </c>
      <c r="D23" s="1">
        <f>VLOOKUP($B23,[16]TrtCodes!$B$11:J83,3)</f>
        <v>8</v>
      </c>
      <c r="E23" s="1">
        <f>VLOOKUP($B23,[16]TrtCodes!$B$11:K83,4)</f>
        <v>2</v>
      </c>
      <c r="F23" s="1">
        <f>VLOOKUP($B23,[16]TrtCodes!$B$11:L83,5)</f>
        <v>1</v>
      </c>
      <c r="G23" s="1">
        <f>VLOOKUP($B23,[16]TrtCodes!$B$11:M83,6)</f>
        <v>1</v>
      </c>
      <c r="H23" s="1">
        <f>VLOOKUP($B23,[16]TrtCodes!$B$11:N83,7)</f>
        <v>2</v>
      </c>
      <c r="I23" s="1">
        <f>[16]FormattedData!B40</f>
        <v>1</v>
      </c>
      <c r="J23" s="4">
        <f>[16]FormattedData!C40</f>
        <v>13.349</v>
      </c>
      <c r="K23" s="6">
        <f>$J$3+[16]FormattedData!D40*$J$4+$M$4*$J$5+[16]FormattedData!D40^2*$J$6+$M$5*$J$7</f>
        <v>43.03960307400385</v>
      </c>
      <c r="L23" s="6">
        <f>$J$3+[16]FormattedData!E40*$J$4+$M$4*$J$5+[16]FormattedData!E40^2*$J$6+$M$5*$J$7</f>
        <v>38.223981616057607</v>
      </c>
      <c r="M23" s="6">
        <f>$J$3+[16]FormattedData!F40*$J$4+$M$4*$J$5+[16]FormattedData!F40^2*$J$6+$M$5*$J$7</f>
        <v>36.530406547871891</v>
      </c>
      <c r="N23" s="6">
        <f>$J$3+[16]FormattedData!G40*$J$4+$M$4*$J$5+[16]FormattedData!G40^2*$J$6+$M$5*$J$7</f>
        <v>38.411311252875166</v>
      </c>
      <c r="O23" s="6">
        <f>$J$3+[16]FormattedData!H40*$J$4+$M$4*$J$5+[16]FormattedData!H40^2*$J$6+$M$5*$J$7</f>
        <v>39.065633522791821</v>
      </c>
      <c r="P23" s="6">
        <f>$J$3+[16]FormattedData!I40*$J$4+$M$4*$J$5+[16]FormattedData!I40^2*$J$6+$M$5*$J$7</f>
        <v>39.438602054909708</v>
      </c>
      <c r="Q23" s="6">
        <f>$J$3+[16]FormattedData!J40*$J$4+$M$4*$J$5+[16]FormattedData!J40^2*$J$6+$M$5*$J$7</f>
        <v>38.130253394841922</v>
      </c>
      <c r="R23" s="6">
        <f>$J$3+[16]FormattedData!K40*$J$4+$M$4*$J$5+[16]FormattedData!K40^2*$J$6+$M$5*$J$7</f>
        <v>35.393748165587162</v>
      </c>
      <c r="S23" s="6">
        <f>$J$3+[16]FormattedData!L40*$J$4+$M$4*$J$5+[16]FormattedData!L40^2*$J$6+$M$5*$J$7</f>
        <v>37.942670146796772</v>
      </c>
      <c r="T23" s="6">
        <f>$J$3+[16]FormattedData!M40*$J$4+$M$4*$J$5+[16]FormattedData!M40^2*$J$6+$M$5*$J$7</f>
        <v>35.488702174402846</v>
      </c>
      <c r="U23" s="6">
        <f>$J$3+[16]FormattedData!N40*$J$4+$M$4*$J$5+[16]FormattedData!N40^2*$J$6+$M$5*$J$7</f>
        <v>43.222536782876574</v>
      </c>
      <c r="V23" s="6">
        <f>$J$3+[16]FormattedData!O40*$J$4+$M$4*$J$5+[16]FormattedData!O40^2*$J$6+$M$5*$J$7</f>
        <v>38.130253394841922</v>
      </c>
      <c r="W23" s="5">
        <f t="shared" si="0"/>
        <v>38.584808510654767</v>
      </c>
      <c r="X23" s="4">
        <f t="shared" si="1"/>
        <v>0.71397872583284361</v>
      </c>
      <c r="Y23" s="3">
        <f t="shared" si="2"/>
        <v>35.393748165587162</v>
      </c>
      <c r="Z23" s="2">
        <f t="shared" si="3"/>
        <v>37.589604247065552</v>
      </c>
      <c r="AA23" s="3">
        <f t="shared" si="4"/>
        <v>38.177117505449765</v>
      </c>
      <c r="AB23" s="2">
        <f t="shared" si="5"/>
        <v>39.158875655821291</v>
      </c>
      <c r="AC23" s="2">
        <f t="shared" si="6"/>
        <v>43.222536782876574</v>
      </c>
      <c r="AD23" s="2">
        <f t="shared" si="7"/>
        <v>0.84752714895846604</v>
      </c>
      <c r="AE23" s="2">
        <f t="shared" si="8"/>
        <v>0.47538781614792569</v>
      </c>
    </row>
    <row r="24" spans="2:31" x14ac:dyDescent="0.2">
      <c r="B24" s="1">
        <f>[16]FormattedData!A42</f>
        <v>207</v>
      </c>
      <c r="C24" s="1" t="str">
        <f>VLOOKUP($B24,[16]TrtCodes!$B$11:I85,2)</f>
        <v>FTL</v>
      </c>
      <c r="D24" s="1">
        <f>VLOOKUP($B24,[16]TrtCodes!$B$11:J85,3)</f>
        <v>4</v>
      </c>
      <c r="E24" s="1">
        <f>VLOOKUP($B24,[16]TrtCodes!$B$11:K85,4)</f>
        <v>1</v>
      </c>
      <c r="F24" s="1">
        <f>VLOOKUP($B24,[16]TrtCodes!$B$11:L85,5)</f>
        <v>2</v>
      </c>
      <c r="G24" s="1">
        <f>VLOOKUP($B24,[16]TrtCodes!$B$11:M85,6)</f>
        <v>1</v>
      </c>
      <c r="H24" s="1">
        <f>VLOOKUP($B24,[16]TrtCodes!$B$11:N85,7)</f>
        <v>2</v>
      </c>
      <c r="I24" s="1">
        <f>[16]FormattedData!B42</f>
        <v>1</v>
      </c>
      <c r="J24" s="4">
        <f>[16]FormattedData!C42</f>
        <v>13.37</v>
      </c>
      <c r="K24" s="6">
        <f>$J$3+[16]FormattedData!D42*$J$4+$M$4*$J$5+[16]FormattedData!D42^2*$J$6+$M$5*$J$7</f>
        <v>38.878895645505288</v>
      </c>
      <c r="L24" s="6">
        <f>$J$3+[16]FormattedData!E42*$J$4+$M$4*$J$5+[16]FormattedData!E42^2*$J$6+$M$5*$J$7</f>
        <v>35.298751888233539</v>
      </c>
      <c r="M24" s="6">
        <f>$J$3+[16]FormattedData!F42*$J$4+$M$4*$J$5+[16]FormattedData!F42^2*$J$6+$M$5*$J$7</f>
        <v>35.868095524286261</v>
      </c>
      <c r="N24" s="6">
        <f>$J$3+[16]FormattedData!G42*$J$4+$M$4*$J$5+[16]FormattedData!G42^2*$J$6+$M$5*$J$7</f>
        <v>33.964365808800181</v>
      </c>
      <c r="O24" s="6">
        <f>$J$3+[16]FormattedData!H42*$J$4+$M$4*$J$5+[16]FormattedData!H42^2*$J$6+$M$5*$J$7</f>
        <v>35.013509444945122</v>
      </c>
      <c r="P24" s="6">
        <f>$J$3+[16]FormattedData!I42*$J$4+$M$4*$J$5+[16]FormattedData!I42^2*$J$6+$M$5*$J$7</f>
        <v>35.108632527912519</v>
      </c>
      <c r="Q24" s="6">
        <f>$J$3+[16]FormattedData!J42*$J$4+$M$4*$J$5+[16]FormattedData!J42^2*$J$6+$M$5*$J$7</f>
        <v>36.81362010133963</v>
      </c>
      <c r="R24" s="6">
        <f>$J$3+[16]FormattedData!K42*$J$4+$M$4*$J$5+[16]FormattedData!K42^2*$J$6+$M$5*$J$7</f>
        <v>32.717874892347993</v>
      </c>
      <c r="S24" s="6">
        <f>$J$3+[16]FormattedData!L42*$J$4+$M$4*$J$5+[16]FormattedData!L42^2*$J$6+$M$5*$J$7</f>
        <v>34.632594427696169</v>
      </c>
      <c r="T24" s="6">
        <f>$J$3+[16]FormattedData!M42*$J$4+$M$4*$J$5+[16]FormattedData!M42^2*$J$6+$M$5*$J$7</f>
        <v>34.251003113840333</v>
      </c>
      <c r="U24" s="6">
        <f>$J$3+[16]FormattedData!N42*$J$4+$M$4*$J$5+[16]FormattedData!N42^2*$J$6+$M$5*$J$7</f>
        <v>31.560927611856304</v>
      </c>
      <c r="V24" s="6">
        <f>$J$3+[16]FormattedData!O42*$J$4+$M$4*$J$5+[16]FormattedData!O42^2*$J$6+$M$5*$J$7</f>
        <v>36.246812577562785</v>
      </c>
      <c r="W24" s="5">
        <f t="shared" si="0"/>
        <v>35.029590297027177</v>
      </c>
      <c r="X24" s="4">
        <f t="shared" si="1"/>
        <v>0.54729185335789388</v>
      </c>
      <c r="Y24" s="3">
        <f t="shared" si="2"/>
        <v>31.560927611856304</v>
      </c>
      <c r="Z24" s="2">
        <f t="shared" si="3"/>
        <v>34.179343787580294</v>
      </c>
      <c r="AA24" s="3">
        <f t="shared" si="4"/>
        <v>35.061070986428817</v>
      </c>
      <c r="AB24" s="2">
        <f t="shared" si="5"/>
        <v>35.96277478760539</v>
      </c>
      <c r="AC24" s="2">
        <f t="shared" si="6"/>
        <v>38.878895645505288</v>
      </c>
      <c r="AD24" s="2">
        <f t="shared" si="7"/>
        <v>0.14882014826115189</v>
      </c>
      <c r="AE24" s="2">
        <f t="shared" si="8"/>
        <v>0.93534996562701611</v>
      </c>
    </row>
    <row r="25" spans="2:31" x14ac:dyDescent="0.2">
      <c r="B25" s="1">
        <f>[16]FormattedData!A44</f>
        <v>208</v>
      </c>
      <c r="C25" s="1" t="str">
        <f>VLOOKUP($B25,[16]TrtCodes!$B$11:I87,2)</f>
        <v>FSL</v>
      </c>
      <c r="D25" s="1">
        <f>VLOOKUP($B25,[16]TrtCodes!$B$11:J87,3)</f>
        <v>2</v>
      </c>
      <c r="E25" s="1">
        <f>VLOOKUP($B25,[16]TrtCodes!$B$11:K87,4)</f>
        <v>1</v>
      </c>
      <c r="F25" s="1">
        <f>VLOOKUP($B25,[16]TrtCodes!$B$11:L87,5)</f>
        <v>1</v>
      </c>
      <c r="G25" s="1">
        <f>VLOOKUP($B25,[16]TrtCodes!$B$11:M87,6)</f>
        <v>1</v>
      </c>
      <c r="H25" s="1">
        <f>VLOOKUP($B25,[16]TrtCodes!$B$11:N87,7)</f>
        <v>2</v>
      </c>
      <c r="I25" s="1">
        <f>[16]FormattedData!B44</f>
        <v>1</v>
      </c>
      <c r="J25" s="4">
        <f>[16]FormattedData!C44</f>
        <v>13.388999999999999</v>
      </c>
      <c r="K25" s="6">
        <f>$J$3+[16]FormattedData!D44*$J$4+$M$4*$J$5+[16]FormattedData!D44^2*$J$6+$M$5*$J$7</f>
        <v>32.62169509593231</v>
      </c>
      <c r="L25" s="6">
        <f>$J$3+[16]FormattedData!E44*$J$4+$M$4*$J$5+[16]FormattedData!E44^2*$J$6+$M$5*$J$7</f>
        <v>38.317667568735352</v>
      </c>
      <c r="M25" s="6">
        <f>$J$3+[16]FormattedData!F44*$J$4+$M$4*$J$5+[16]FormattedData!F44^2*$J$6+$M$5*$J$7</f>
        <v>33.677348086918634</v>
      </c>
      <c r="N25" s="6">
        <f>$J$3+[16]FormattedData!G44*$J$4+$M$4*$J$5+[16]FormattedData!G44^2*$J$6+$M$5*$J$7</f>
        <v>35.868095524286261</v>
      </c>
      <c r="O25" s="6">
        <f>$J$3+[16]FormattedData!H44*$J$4+$M$4*$J$5+[16]FormattedData!H44^2*$J$6+$M$5*$J$7</f>
        <v>37.002217794295134</v>
      </c>
      <c r="P25" s="6">
        <f>$J$3+[16]FormattedData!I44*$J$4+$M$4*$J$5+[16]FormattedData!I44^2*$J$6+$M$5*$J$7</f>
        <v>38.504912668477047</v>
      </c>
      <c r="Q25" s="6">
        <f>$J$3+[16]FormattedData!J44*$J$4+$M$4*$J$5+[16]FormattedData!J44^2*$J$6+$M$5*$J$7</f>
        <v>34.251003113840333</v>
      </c>
      <c r="R25" s="6">
        <f>$J$3+[16]FormattedData!K44*$J$4+$M$4*$J$5+[16]FormattedData!K44^2*$J$6+$M$5*$J$7</f>
        <v>36.719257852054987</v>
      </c>
      <c r="S25" s="6">
        <f>$J$3+[16]FormattedData!L44*$J$4+$M$4*$J$5+[16]FormattedData!L44^2*$J$6+$M$5*$J$7</f>
        <v>36.907940082086355</v>
      </c>
      <c r="T25" s="6">
        <f>$J$3+[16]FormattedData!M44*$J$4+$M$4*$J$5+[16]FormattedData!M44^2*$J$6+$M$5*$J$7</f>
        <v>37.190646413098911</v>
      </c>
      <c r="U25" s="6">
        <f>$J$3+[16]FormattedData!N44*$J$4+$M$4*$J$5+[16]FormattedData!N44^2*$J$6+$M$5*$J$7</f>
        <v>33.485791596307962</v>
      </c>
      <c r="V25" s="6">
        <f>$J$3+[16]FormattedData!O44*$J$4+$M$4*$J$5+[16]FormattedData!O44^2*$J$6+$M$5*$J$7</f>
        <v>35.108632527912519</v>
      </c>
      <c r="W25" s="5">
        <f t="shared" si="0"/>
        <v>35.804600693662145</v>
      </c>
      <c r="X25" s="4">
        <f t="shared" si="1"/>
        <v>0.56375090477435075</v>
      </c>
      <c r="Y25" s="3">
        <f t="shared" si="2"/>
        <v>32.62169509593231</v>
      </c>
      <c r="Z25" s="2">
        <f t="shared" si="3"/>
        <v>34.107589357109909</v>
      </c>
      <c r="AA25" s="3">
        <f t="shared" si="4"/>
        <v>36.293676688170621</v>
      </c>
      <c r="AB25" s="2">
        <f t="shared" si="5"/>
        <v>37.04932494899608</v>
      </c>
      <c r="AC25" s="2">
        <f t="shared" si="6"/>
        <v>38.504912668477047</v>
      </c>
      <c r="AD25" s="2">
        <f t="shared" si="7"/>
        <v>-0.23987175183213605</v>
      </c>
      <c r="AE25" s="2">
        <f t="shared" si="8"/>
        <v>-1.2266657519855144</v>
      </c>
    </row>
    <row r="26" spans="2:31" x14ac:dyDescent="0.2">
      <c r="B26" s="1">
        <f>[16]FormattedData!A62</f>
        <v>301</v>
      </c>
      <c r="C26" s="1" t="str">
        <f>VLOOKUP($B26,[16]TrtCodes!$B$11:I105,2)</f>
        <v>NTL</v>
      </c>
      <c r="D26" s="1">
        <f>VLOOKUP($B26,[16]TrtCodes!$B$11:J105,3)</f>
        <v>10</v>
      </c>
      <c r="E26" s="1">
        <f>VLOOKUP($B26,[16]TrtCodes!$B$11:K105,4)</f>
        <v>2</v>
      </c>
      <c r="F26" s="1">
        <f>VLOOKUP($B26,[16]TrtCodes!$B$11:L105,5)</f>
        <v>2</v>
      </c>
      <c r="G26" s="1">
        <f>VLOOKUP($B26,[16]TrtCodes!$B$11:M105,6)</f>
        <v>1</v>
      </c>
      <c r="H26" s="1">
        <f>VLOOKUP($B26,[16]TrtCodes!$B$11:N105,7)</f>
        <v>3</v>
      </c>
      <c r="I26" s="1">
        <f>[16]FormattedData!B62</f>
        <v>1</v>
      </c>
      <c r="J26" s="4">
        <f>[16]FormattedData!C62</f>
        <v>13.554</v>
      </c>
      <c r="K26" s="6">
        <f>$J$3+[16]FormattedData!D62*$J$4+$M$4*$J$5+[16]FormattedData!D62^2*$J$6+$M$5*$J$7</f>
        <v>37.848815119967298</v>
      </c>
      <c r="L26" s="6">
        <f>$J$3+[16]FormattedData!E62*$J$4+$M$4*$J$5+[16]FormattedData!E62^2*$J$6+$M$5*$J$7</f>
        <v>32.04372867814164</v>
      </c>
      <c r="M26" s="6">
        <f>$J$3+[16]FormattedData!F62*$J$4+$M$4*$J$5+[16]FormattedData!F62^2*$J$6+$M$5*$J$7</f>
        <v>36.624853334232405</v>
      </c>
      <c r="N26" s="6">
        <f>$J$3+[16]FormattedData!G62*$J$4+$M$4*$J$5+[16]FormattedData!G62^2*$J$6+$M$5*$J$7</f>
        <v>35.583613914680591</v>
      </c>
      <c r="O26" s="6">
        <f>$J$3+[16]FormattedData!H62*$J$4+$M$4*$J$5+[16]FormattedData!H62^2*$J$6+$M$5*$J$7</f>
        <v>32.429208697487141</v>
      </c>
      <c r="P26" s="6">
        <f>$J$3+[16]FormattedData!I62*$J$4+$M$4*$J$5+[16]FormattedData!I62^2*$J$6+$M$5*$J$7</f>
        <v>33.773062929417087</v>
      </c>
      <c r="Q26" s="6">
        <f>$J$3+[16]FormattedData!J62*$J$4+$M$4*$J$5+[16]FormattedData!J62^2*$J$6+$M$5*$J$7</f>
        <v>31.560927611856304</v>
      </c>
      <c r="R26" s="6">
        <f>$J$3+[16]FormattedData!K62*$J$4+$M$4*$J$5+[16]FormattedData!K62^2*$J$6+$M$5*$J$7</f>
        <v>37.284797319693901</v>
      </c>
      <c r="S26" s="6">
        <f>$J$3+[16]FormattedData!L62*$J$4+$M$4*$J$5+[16]FormattedData!L62^2*$J$6+$M$5*$J$7</f>
        <v>32.236553224890251</v>
      </c>
      <c r="T26" s="6">
        <f>$J$3+[16]FormattedData!M62*$J$4+$M$4*$J$5+[16]FormattedData!M62^2*$J$6+$M$5*$J$7</f>
        <v>38.036482905088306</v>
      </c>
      <c r="U26" s="6">
        <f>$J$3+[16]FormattedData!N62*$J$4+$M$4*$J$5+[16]FormattedData!N62^2*$J$6+$M$5*$J$7</f>
        <v>30.883230840463732</v>
      </c>
      <c r="V26" s="6">
        <f>$J$3+[16]FormattedData!O62*$J$4+$M$4*$J$5+[16]FormattedData!O62^2*$J$6+$M$5*$J$7</f>
        <v>38.223981616057607</v>
      </c>
      <c r="W26" s="5">
        <f t="shared" si="0"/>
        <v>34.710771349331353</v>
      </c>
      <c r="X26" s="4">
        <f t="shared" si="1"/>
        <v>0.81739041148295255</v>
      </c>
      <c r="Y26" s="3">
        <f t="shared" si="2"/>
        <v>30.883230840463732</v>
      </c>
      <c r="Z26" s="2">
        <f t="shared" si="3"/>
        <v>32.188347088203102</v>
      </c>
      <c r="AA26" s="3">
        <f t="shared" si="4"/>
        <v>34.678338422048839</v>
      </c>
      <c r="AB26" s="2">
        <f t="shared" si="5"/>
        <v>37.425801769762252</v>
      </c>
      <c r="AC26" s="2">
        <f t="shared" si="6"/>
        <v>38.223981616057607</v>
      </c>
      <c r="AD26" s="2">
        <f t="shared" si="7"/>
        <v>7.8594265260929167E-3</v>
      </c>
      <c r="AE26" s="2">
        <f t="shared" si="8"/>
        <v>-1.9287152464401833</v>
      </c>
    </row>
    <row r="27" spans="2:31" x14ac:dyDescent="0.2">
      <c r="B27" s="1">
        <f>[16]FormattedData!A64</f>
        <v>302</v>
      </c>
      <c r="C27" s="1" t="str">
        <f>VLOOKUP($B27,[16]TrtCodes!$B$11:I107,2)</f>
        <v>FTL</v>
      </c>
      <c r="D27" s="1">
        <f>VLOOKUP($B27,[16]TrtCodes!$B$11:J107,3)</f>
        <v>4</v>
      </c>
      <c r="E27" s="1">
        <f>VLOOKUP($B27,[16]TrtCodes!$B$11:K107,4)</f>
        <v>1</v>
      </c>
      <c r="F27" s="1">
        <f>VLOOKUP($B27,[16]TrtCodes!$B$11:L107,5)</f>
        <v>2</v>
      </c>
      <c r="G27" s="1">
        <f>VLOOKUP($B27,[16]TrtCodes!$B$11:M107,6)</f>
        <v>1</v>
      </c>
      <c r="H27" s="1">
        <f>VLOOKUP($B27,[16]TrtCodes!$B$11:N107,7)</f>
        <v>3</v>
      </c>
      <c r="I27" s="1">
        <f>[16]FormattedData!B64</f>
        <v>1</v>
      </c>
      <c r="J27" s="4">
        <f>[16]FormattedData!C64</f>
        <v>13.577</v>
      </c>
      <c r="K27" s="6">
        <f>$J$3+[16]FormattedData!D64*$J$4+$M$4*$J$5+[16]FormattedData!D64^2*$J$6+$M$5*$J$7</f>
        <v>41.385591357321687</v>
      </c>
      <c r="L27" s="6">
        <f>$J$3+[16]FormattedData!E64*$J$4+$M$4*$J$5+[16]FormattedData!E64^2*$J$6+$M$5*$J$7</f>
        <v>32.332902095457655</v>
      </c>
      <c r="M27" s="6">
        <f>$J$3+[16]FormattedData!F64*$J$4+$M$4*$J$5+[16]FormattedData!F64^2*$J$6+$M$5*$J$7</f>
        <v>37.566996428251286</v>
      </c>
      <c r="N27" s="6">
        <f>$J$3+[16]FormattedData!G64*$J$4+$M$4*$J$5+[16]FormattedData!G64^2*$J$6+$M$5*$J$7</f>
        <v>34.823136473396502</v>
      </c>
      <c r="O27" s="6">
        <f>$J$3+[16]FormattedData!H64*$J$4+$M$4*$J$5+[16]FormattedData!H64^2*$J$6+$M$5*$J$7</f>
        <v>34.155499614031541</v>
      </c>
      <c r="P27" s="6">
        <f>$J$3+[16]FormattedData!I64*$J$4+$M$4*$J$5+[16]FormattedData!I64^2*$J$6+$M$5*$J$7</f>
        <v>37.378905957750966</v>
      </c>
      <c r="Q27" s="6">
        <f>$J$3+[16]FormattedData!J64*$J$4+$M$4*$J$5+[16]FormattedData!J64^2*$J$6+$M$5*$J$7</f>
        <v>35.962838190412292</v>
      </c>
      <c r="R27" s="6">
        <f>$J$3+[16]FormattedData!K64*$J$4+$M$4*$J$5+[16]FormattedData!K64^2*$J$6+$M$5*$J$7</f>
        <v>37.190646413098911</v>
      </c>
      <c r="S27" s="6">
        <f>$J$3+[16]FormattedData!L64*$J$4+$M$4*$J$5+[16]FormattedData!L64^2*$J$6+$M$5*$J$7</f>
        <v>33.677348086918634</v>
      </c>
      <c r="T27" s="6">
        <f>$J$3+[16]FormattedData!M64*$J$4+$M$4*$J$5+[16]FormattedData!M64^2*$J$6+$M$5*$J$7</f>
        <v>40.460778363854573</v>
      </c>
      <c r="U27" s="6">
        <f>$J$3+[16]FormattedData!N64*$J$4+$M$4*$J$5+[16]FormattedData!N64^2*$J$6+$M$5*$J$7</f>
        <v>31.754174843984231</v>
      </c>
      <c r="V27" s="6">
        <f>$J$3+[16]FormattedData!O64*$J$4+$M$4*$J$5+[16]FormattedData!O64^2*$J$6+$M$5*$J$7</f>
        <v>40.831210783696598</v>
      </c>
      <c r="W27" s="5">
        <f t="shared" si="0"/>
        <v>36.460002384014572</v>
      </c>
      <c r="X27" s="4">
        <f t="shared" si="1"/>
        <v>0.94201962343800882</v>
      </c>
      <c r="Y27" s="3">
        <f t="shared" si="2"/>
        <v>31.754174843984231</v>
      </c>
      <c r="Z27" s="2">
        <f t="shared" si="3"/>
        <v>34.035961732253313</v>
      </c>
      <c r="AA27" s="3">
        <f t="shared" si="4"/>
        <v>36.576742301755601</v>
      </c>
      <c r="AB27" s="2">
        <f t="shared" si="5"/>
        <v>38.290441912152104</v>
      </c>
      <c r="AC27" s="2">
        <f t="shared" si="6"/>
        <v>41.385591357321687</v>
      </c>
      <c r="AD27" s="2">
        <f t="shared" si="7"/>
        <v>0.17826412413686671</v>
      </c>
      <c r="AE27" s="2">
        <f t="shared" si="8"/>
        <v>-1.1314147951899951</v>
      </c>
    </row>
    <row r="28" spans="2:31" x14ac:dyDescent="0.2">
      <c r="B28" s="1">
        <f>[16]FormattedData!A66</f>
        <v>303</v>
      </c>
      <c r="C28" s="1" t="str">
        <f>VLOOKUP($B28,[16]TrtCodes!$B$11:I109,2)</f>
        <v>NSL</v>
      </c>
      <c r="D28" s="1">
        <f>VLOOKUP($B28,[16]TrtCodes!$B$11:J109,3)</f>
        <v>8</v>
      </c>
      <c r="E28" s="1">
        <f>VLOOKUP($B28,[16]TrtCodes!$B$11:K109,4)</f>
        <v>2</v>
      </c>
      <c r="F28" s="1">
        <f>VLOOKUP($B28,[16]TrtCodes!$B$11:L109,5)</f>
        <v>1</v>
      </c>
      <c r="G28" s="1">
        <f>VLOOKUP($B28,[16]TrtCodes!$B$11:M109,6)</f>
        <v>1</v>
      </c>
      <c r="H28" s="1">
        <f>VLOOKUP($B28,[16]TrtCodes!$B$11:N109,7)</f>
        <v>3</v>
      </c>
      <c r="I28" s="1">
        <f>[16]FormattedData!B66</f>
        <v>1</v>
      </c>
      <c r="J28" s="4">
        <f>[16]FormattedData!C66</f>
        <v>13.597</v>
      </c>
      <c r="K28" s="6">
        <f>$J$3+[16]FormattedData!D66*$J$4+$M$4*$J$5+[16]FormattedData!D66^2*$J$6+$M$5*$J$7</f>
        <v>37.472972327270092</v>
      </c>
      <c r="L28" s="6">
        <f>$J$3+[16]FormattedData!E66*$J$4+$M$4*$J$5+[16]FormattedData!E66^2*$J$6+$M$5*$J$7</f>
        <v>32.91010767956557</v>
      </c>
      <c r="M28" s="6">
        <f>$J$3+[16]FormattedData!F66*$J$4+$M$4*$J$5+[16]FormattedData!F66^2*$J$6+$M$5*$J$7</f>
        <v>36.15219671705055</v>
      </c>
      <c r="N28" s="6">
        <f>$J$3+[16]FormattedData!G66*$J$4+$M$4*$J$5+[16]FormattedData!G66^2*$J$6+$M$5*$J$7</f>
        <v>34.251003113840333</v>
      </c>
      <c r="O28" s="6">
        <f>$J$3+[16]FormattedData!H66*$J$4+$M$4*$J$5+[16]FormattedData!H66^2*$J$6+$M$5*$J$7</f>
        <v>38.504912668477047</v>
      </c>
      <c r="P28" s="6">
        <f>$J$3+[16]FormattedData!I66*$J$4+$M$4*$J$5+[16]FormattedData!I66^2*$J$6+$M$5*$J$7</f>
        <v>33.581590975882264</v>
      </c>
      <c r="Q28" s="6">
        <f>$J$3+[16]FormattedData!J66*$J$4+$M$4*$J$5+[16]FormattedData!J66^2*$J$6+$M$5*$J$7</f>
        <v>36.624853334232405</v>
      </c>
      <c r="R28" s="6">
        <f>$J$3+[16]FormattedData!K66*$J$4+$M$4*$J$5+[16]FormattedData!K66^2*$J$6+$M$5*$J$7</f>
        <v>33.389949948195721</v>
      </c>
      <c r="S28" s="6">
        <f>$J$3+[16]FormattedData!L66*$J$4+$M$4*$J$5+[16]FormattedData!L66^2*$J$6+$M$5*$J$7</f>
        <v>37.284797319693901</v>
      </c>
      <c r="T28" s="6">
        <f>$J$3+[16]FormattedData!M66*$J$4+$M$4*$J$5+[16]FormattedData!M66^2*$J$6+$M$5*$J$7</f>
        <v>31.270739749629932</v>
      </c>
      <c r="U28" s="6">
        <f>$J$3+[16]FormattedData!N66*$J$4+$M$4*$J$5+[16]FormattedData!N66^2*$J$6+$M$5*$J$7</f>
        <v>39.438602054909708</v>
      </c>
      <c r="V28" s="6">
        <f>$J$3+[16]FormattedData!O66*$J$4+$M$4*$J$5+[16]FormattedData!O66^2*$J$6+$M$5*$J$7</f>
        <v>32.717874892347993</v>
      </c>
      <c r="W28" s="5">
        <f t="shared" si="0"/>
        <v>35.299966731757955</v>
      </c>
      <c r="X28" s="4">
        <f t="shared" si="1"/>
        <v>0.75306296613422863</v>
      </c>
      <c r="Y28" s="3">
        <f t="shared" si="2"/>
        <v>31.270739749629932</v>
      </c>
      <c r="Z28" s="2">
        <f t="shared" si="3"/>
        <v>33.269989381038187</v>
      </c>
      <c r="AA28" s="3">
        <f t="shared" si="4"/>
        <v>35.201599915445442</v>
      </c>
      <c r="AB28" s="2">
        <f t="shared" si="5"/>
        <v>37.331841071587945</v>
      </c>
      <c r="AC28" s="2">
        <f t="shared" si="6"/>
        <v>39.438602054909708</v>
      </c>
      <c r="AD28" s="2">
        <f t="shared" si="7"/>
        <v>9.4377751570367513E-2</v>
      </c>
      <c r="AE28" s="2">
        <f t="shared" si="8"/>
        <v>-1.2970640306489201</v>
      </c>
    </row>
    <row r="29" spans="2:31" x14ac:dyDescent="0.2">
      <c r="B29" s="1">
        <f>[16]FormattedData!A68</f>
        <v>304</v>
      </c>
      <c r="C29" s="1" t="str">
        <f>VLOOKUP($B29,[16]TrtCodes!$B$11:I111,2)</f>
        <v>FSL</v>
      </c>
      <c r="D29" s="1">
        <f>VLOOKUP($B29,[16]TrtCodes!$B$11:J111,3)</f>
        <v>2</v>
      </c>
      <c r="E29" s="1">
        <f>VLOOKUP($B29,[16]TrtCodes!$B$11:K111,4)</f>
        <v>1</v>
      </c>
      <c r="F29" s="1">
        <f>VLOOKUP($B29,[16]TrtCodes!$B$11:L111,5)</f>
        <v>1</v>
      </c>
      <c r="G29" s="1">
        <f>VLOOKUP($B29,[16]TrtCodes!$B$11:M111,6)</f>
        <v>1</v>
      </c>
      <c r="H29" s="1">
        <f>VLOOKUP($B29,[16]TrtCodes!$B$11:N111,7)</f>
        <v>3</v>
      </c>
      <c r="I29" s="1">
        <f>[16]FormattedData!B68</f>
        <v>1</v>
      </c>
      <c r="J29" s="4">
        <f>[16]FormattedData!C68</f>
        <v>13.615</v>
      </c>
      <c r="K29" s="6">
        <f>$J$3+[16]FormattedData!D68*$J$4+$M$4*$J$5+[16]FormattedData!D68^2*$J$6+$M$5*$J$7</f>
        <v>35.108632527912519</v>
      </c>
      <c r="L29" s="6">
        <f>$J$3+[16]FormattedData!E68*$J$4+$M$4*$J$5+[16]FormattedData!E68^2*$J$6+$M$5*$J$7</f>
        <v>32.717874892347993</v>
      </c>
      <c r="M29" s="6">
        <f>$J$3+[16]FormattedData!F68*$J$4+$M$4*$J$5+[16]FormattedData!F68^2*$J$6+$M$5*$J$7</f>
        <v>35.67848338642041</v>
      </c>
      <c r="N29" s="6">
        <f>$J$3+[16]FormattedData!G68*$J$4+$M$4*$J$5+[16]FormattedData!G68^2*$J$6+$M$5*$J$7</f>
        <v>32.236553224890251</v>
      </c>
      <c r="O29" s="6">
        <f>$J$3+[16]FormattedData!H68*$J$4+$M$4*$J$5+[16]FormattedData!H68^2*$J$6+$M$5*$J$7</f>
        <v>37.848815119967298</v>
      </c>
      <c r="P29" s="6">
        <f>$J$3+[16]FormattedData!I68*$J$4+$M$4*$J$5+[16]FormattedData!I68^2*$J$6+$M$5*$J$7</f>
        <v>32.140162085784908</v>
      </c>
      <c r="Q29" s="6">
        <f>$J$3+[16]FormattedData!J68*$J$4+$M$4*$J$5+[16]FormattedData!J68^2*$J$6+$M$5*$J$7</f>
        <v>34.918344093439778</v>
      </c>
      <c r="R29" s="6">
        <f>$J$3+[16]FormattedData!K68*$J$4+$M$4*$J$5+[16]FormattedData!K68^2*$J$6+$M$5*$J$7</f>
        <v>33.102171392631426</v>
      </c>
      <c r="S29" s="6">
        <f>$J$3+[16]FormattedData!L68*$J$4+$M$4*$J$5+[16]FormattedData!L68^2*$J$6+$M$5*$J$7</f>
        <v>32.525473030978695</v>
      </c>
      <c r="T29" s="6">
        <f>$J$3+[16]FormattedData!M68*$J$4+$M$4*$J$5+[16]FormattedData!M68^2*$J$6+$M$5*$J$7</f>
        <v>32.429208697487141</v>
      </c>
      <c r="U29" s="6">
        <f>$J$3+[16]FormattedData!N68*$J$4+$M$4*$J$5+[16]FormattedData!N68^2*$J$6+$M$5*$J$7</f>
        <v>41.385591357321687</v>
      </c>
      <c r="V29" s="6">
        <f>$J$3+[16]FormattedData!O68*$J$4+$M$4*$J$5+[16]FormattedData!O68^2*$J$6+$M$5*$J$7</f>
        <v>36.81362010133963</v>
      </c>
      <c r="W29" s="5">
        <f t="shared" si="0"/>
        <v>34.742077492543473</v>
      </c>
      <c r="X29" s="4">
        <f t="shared" si="1"/>
        <v>0.82213079430604774</v>
      </c>
      <c r="Y29" s="3">
        <f t="shared" si="2"/>
        <v>32.140162085784908</v>
      </c>
      <c r="Z29" s="2">
        <f t="shared" si="3"/>
        <v>32.501406947605808</v>
      </c>
      <c r="AA29" s="3">
        <f t="shared" si="4"/>
        <v>34.010257743035602</v>
      </c>
      <c r="AB29" s="2">
        <f t="shared" si="5"/>
        <v>35.962267565150213</v>
      </c>
      <c r="AC29" s="2">
        <f t="shared" si="6"/>
        <v>41.385591357321687</v>
      </c>
      <c r="AD29" s="2">
        <f t="shared" si="7"/>
        <v>1.2451969823943312</v>
      </c>
      <c r="AE29" s="2">
        <f t="shared" si="8"/>
        <v>1.2899991815264231</v>
      </c>
    </row>
    <row r="30" spans="2:31" x14ac:dyDescent="0.2">
      <c r="B30" s="1">
        <f>[16]FormattedData!A70</f>
        <v>305</v>
      </c>
      <c r="C30" s="1" t="str">
        <f>VLOOKUP($B30,[16]TrtCodes!$B$11:I113,2)</f>
        <v>NDH</v>
      </c>
      <c r="D30" s="1">
        <f>VLOOKUP($B30,[16]TrtCodes!$B$11:J113,3)</f>
        <v>11</v>
      </c>
      <c r="E30" s="1">
        <f>VLOOKUP($B30,[16]TrtCodes!$B$11:K113,4)</f>
        <v>2</v>
      </c>
      <c r="F30" s="1">
        <f>VLOOKUP($B30,[16]TrtCodes!$B$11:L113,5)</f>
        <v>3</v>
      </c>
      <c r="G30" s="1">
        <f>VLOOKUP($B30,[16]TrtCodes!$B$11:M113,6)</f>
        <v>2</v>
      </c>
      <c r="H30" s="1">
        <f>VLOOKUP($B30,[16]TrtCodes!$B$11:N113,7)</f>
        <v>4</v>
      </c>
      <c r="I30" s="1">
        <f>[16]FormattedData!B70</f>
        <v>1</v>
      </c>
      <c r="J30" s="4">
        <f>[16]FormattedData!C70</f>
        <v>13.638</v>
      </c>
      <c r="K30" s="6">
        <f>$J$3+[16]FormattedData!D70*$J$4+$M$4*$J$5+[16]FormattedData!D70^2*$J$6+$M$5*$J$7</f>
        <v>30.592155338940806</v>
      </c>
      <c r="L30" s="6">
        <f>$J$3+[16]FormattedData!E70*$J$4+$M$4*$J$5+[16]FormattedData!E70^2*$J$6+$M$5*$J$7</f>
        <v>29.814094185877362</v>
      </c>
      <c r="M30" s="6">
        <f>$J$3+[16]FormattedData!F70*$J$4+$M$4*$J$5+[16]FormattedData!F70^2*$J$6+$M$5*$J$7</f>
        <v>32.62169509593231</v>
      </c>
      <c r="N30" s="6">
        <f>$J$3+[16]FormattedData!G70*$J$4+$M$4*$J$5+[16]FormattedData!G70^2*$J$6+$M$5*$J$7</f>
        <v>30.203462910712531</v>
      </c>
      <c r="O30" s="6">
        <f>$J$3+[16]FormattedData!H70*$J$4+$M$4*$J$5+[16]FormattedData!H70^2*$J$6+$M$5*$J$7</f>
        <v>30.883230840463732</v>
      </c>
      <c r="P30" s="6">
        <f>$J$3+[16]FormattedData!I70*$J$4+$M$4*$J$5+[16]FormattedData!I70^2*$J$6+$M$5*$J$7</f>
        <v>31.947253001960433</v>
      </c>
      <c r="Q30" s="6">
        <f>$J$3+[16]FormattedData!J70*$J$4+$M$4*$J$5+[16]FormattedData!J70^2*$J$6+$M$5*$J$7</f>
        <v>31.754174843984231</v>
      </c>
      <c r="R30" s="6">
        <f>$J$3+[16]FormattedData!K70*$J$4+$M$4*$J$5+[16]FormattedData!K70^2*$J$6+$M$5*$J$7</f>
        <v>31.464240592985448</v>
      </c>
      <c r="S30" s="6">
        <f>$J$3+[16]FormattedData!L70*$J$4+$M$4*$J$5+[16]FormattedData!L70^2*$J$6+$M$5*$J$7</f>
        <v>30.98017147056218</v>
      </c>
      <c r="T30" s="6">
        <f>$J$3+[16]FormattedData!M70*$J$4+$M$4*$J$5+[16]FormattedData!M70^2*$J$6+$M$5*$J$7</f>
        <v>30.98017147056218</v>
      </c>
      <c r="U30" s="6">
        <f>$J$3+[16]FormattedData!N70*$J$4+$M$4*$J$5+[16]FormattedData!N70^2*$J$6+$M$5*$J$7</f>
        <v>31.464240592985448</v>
      </c>
      <c r="V30" s="6">
        <f>$J$3+[16]FormattedData!O70*$J$4+$M$4*$J$5+[16]FormattedData!O70^2*$J$6+$M$5*$J$7</f>
        <v>30.883230840463732</v>
      </c>
      <c r="W30" s="5">
        <f t="shared" si="0"/>
        <v>31.1323434321192</v>
      </c>
      <c r="X30" s="4">
        <f t="shared" si="1"/>
        <v>0.2227932489350111</v>
      </c>
      <c r="Y30" s="3">
        <f t="shared" si="2"/>
        <v>29.814094185877362</v>
      </c>
      <c r="Z30" s="2">
        <f t="shared" si="3"/>
        <v>30.810461965083</v>
      </c>
      <c r="AA30" s="3">
        <f t="shared" si="4"/>
        <v>30.98017147056218</v>
      </c>
      <c r="AB30" s="2">
        <f t="shared" si="5"/>
        <v>31.536724155735143</v>
      </c>
      <c r="AC30" s="2">
        <f t="shared" si="6"/>
        <v>32.62169509593231</v>
      </c>
      <c r="AD30" s="2">
        <f t="shared" si="7"/>
        <v>0.20657199427590922</v>
      </c>
      <c r="AE30" s="2">
        <f t="shared" si="8"/>
        <v>0.13860497054178555</v>
      </c>
    </row>
    <row r="31" spans="2:31" x14ac:dyDescent="0.2">
      <c r="B31" s="1">
        <f>[16]FormattedData!A72</f>
        <v>306</v>
      </c>
      <c r="C31" s="1" t="str">
        <f>VLOOKUP($B31,[16]TrtCodes!$B$11:I115,2)</f>
        <v>FTL</v>
      </c>
      <c r="D31" s="1">
        <f>VLOOKUP($B31,[16]TrtCodes!$B$11:J115,3)</f>
        <v>4</v>
      </c>
      <c r="E31" s="1">
        <f>VLOOKUP($B31,[16]TrtCodes!$B$11:K115,4)</f>
        <v>1</v>
      </c>
      <c r="F31" s="1">
        <f>VLOOKUP($B31,[16]TrtCodes!$B$11:L115,5)</f>
        <v>2</v>
      </c>
      <c r="G31" s="1">
        <f>VLOOKUP($B31,[16]TrtCodes!$B$11:M115,6)</f>
        <v>1</v>
      </c>
      <c r="H31" s="1">
        <f>VLOOKUP($B31,[16]TrtCodes!$B$11:N115,7)</f>
        <v>4</v>
      </c>
      <c r="I31" s="1">
        <f>[16]FormattedData!B72</f>
        <v>1</v>
      </c>
      <c r="J31" s="4">
        <f>[16]FormattedData!C72</f>
        <v>13.657999999999999</v>
      </c>
      <c r="K31" s="6">
        <f>$J$3+[16]FormattedData!D72*$J$4+$M$4*$J$5+[16]FormattedData!D72^2*$J$6+$M$5*$J$7</f>
        <v>37.284797319693901</v>
      </c>
      <c r="L31" s="6">
        <f>$J$3+[16]FormattedData!E72*$J$4+$M$4*$J$5+[16]FormattedData!E72^2*$J$6+$M$5*$J$7</f>
        <v>32.62169509593231</v>
      </c>
      <c r="M31" s="6">
        <f>$J$3+[16]FormattedData!F72*$J$4+$M$4*$J$5+[16]FormattedData!F72^2*$J$6+$M$5*$J$7</f>
        <v>34.918344093439778</v>
      </c>
      <c r="N31" s="6">
        <f>$J$3+[16]FormattedData!G72*$J$4+$M$4*$J$5+[16]FormattedData!G72^2*$J$6+$M$5*$J$7</f>
        <v>37.096453237965989</v>
      </c>
      <c r="O31" s="6">
        <f>$J$3+[16]FormattedData!H72*$J$4+$M$4*$J$5+[16]FormattedData!H72^2*$J$6+$M$5*$J$7</f>
        <v>33.677348086918634</v>
      </c>
      <c r="P31" s="6">
        <f>$J$3+[16]FormattedData!I72*$J$4+$M$4*$J$5+[16]FormattedData!I72^2*$J$6+$M$5*$J$7</f>
        <v>37.096453237965989</v>
      </c>
      <c r="Q31" s="6">
        <f>$J$3+[16]FormattedData!J72*$J$4+$M$4*$J$5+[16]FormattedData!J72^2*$J$6+$M$5*$J$7</f>
        <v>35.203713342341999</v>
      </c>
      <c r="R31" s="6">
        <f>$J$3+[16]FormattedData!K72*$J$4+$M$4*$J$5+[16]FormattedData!K72^2*$J$6+$M$5*$J$7</f>
        <v>35.298751888233539</v>
      </c>
      <c r="S31" s="6">
        <f>$J$3+[16]FormattedData!L72*$J$4+$M$4*$J$5+[16]FormattedData!L72^2*$J$6+$M$5*$J$7</f>
        <v>33.102171392631426</v>
      </c>
      <c r="T31" s="6">
        <f>$J$3+[16]FormattedData!M72*$J$4+$M$4*$J$5+[16]FormattedData!M72^2*$J$6+$M$5*$J$7</f>
        <v>34.155499614031541</v>
      </c>
      <c r="U31" s="6">
        <f>$J$3+[16]FormattedData!N72*$J$4+$M$4*$J$5+[16]FormattedData!N72^2*$J$6+$M$5*$J$7</f>
        <v>32.814012420225744</v>
      </c>
      <c r="V31" s="6">
        <f>$J$3+[16]FormattedData!O72*$J$4+$M$4*$J$5+[16]FormattedData!O72^2*$J$6+$M$5*$J$7</f>
        <v>36.246812577562785</v>
      </c>
      <c r="W31" s="5">
        <f t="shared" si="0"/>
        <v>34.959671025578636</v>
      </c>
      <c r="X31" s="4">
        <f t="shared" si="1"/>
        <v>0.49376562857339373</v>
      </c>
      <c r="Y31" s="3">
        <f t="shared" si="2"/>
        <v>32.62169509593231</v>
      </c>
      <c r="Z31" s="2">
        <f t="shared" si="3"/>
        <v>33.533553913346836</v>
      </c>
      <c r="AA31" s="3">
        <f t="shared" si="4"/>
        <v>35.061028717890892</v>
      </c>
      <c r="AB31" s="2">
        <f t="shared" si="5"/>
        <v>36.459222742663584</v>
      </c>
      <c r="AC31" s="2">
        <f t="shared" si="6"/>
        <v>37.284797319693901</v>
      </c>
      <c r="AD31" s="2">
        <f t="shared" si="7"/>
        <v>5.6088325049673461E-2</v>
      </c>
      <c r="AE31" s="2">
        <f t="shared" si="8"/>
        <v>-1.4599862450681518</v>
      </c>
    </row>
    <row r="32" spans="2:31" x14ac:dyDescent="0.2">
      <c r="B32" s="1">
        <f>[16]FormattedData!A74</f>
        <v>307</v>
      </c>
      <c r="C32" s="1" t="str">
        <f>VLOOKUP($B32,[16]TrtCodes!$B$11:I117,2)</f>
        <v>NTH</v>
      </c>
      <c r="D32" s="1">
        <f>VLOOKUP($B32,[16]TrtCodes!$B$11:J117,3)</f>
        <v>9</v>
      </c>
      <c r="E32" s="1">
        <f>VLOOKUP($B32,[16]TrtCodes!$B$11:K117,4)</f>
        <v>2</v>
      </c>
      <c r="F32" s="1">
        <f>VLOOKUP($B32,[16]TrtCodes!$B$11:L117,5)</f>
        <v>2</v>
      </c>
      <c r="G32" s="1">
        <f>VLOOKUP($B32,[16]TrtCodes!$B$11:M117,6)</f>
        <v>2</v>
      </c>
      <c r="H32" s="1">
        <f>VLOOKUP($B32,[16]TrtCodes!$B$11:N117,7)</f>
        <v>4</v>
      </c>
      <c r="I32" s="1">
        <f>[16]FormattedData!B74</f>
        <v>1</v>
      </c>
      <c r="J32" s="4">
        <f>[16]FormattedData!C74</f>
        <v>13.677</v>
      </c>
      <c r="K32" s="6">
        <f>$J$3+[16]FormattedData!D74*$J$4+$M$4*$J$5+[16]FormattedData!D74^2*$J$6+$M$5*$J$7</f>
        <v>36.530406547871891</v>
      </c>
      <c r="L32" s="6">
        <f>$J$3+[16]FormattedData!E74*$J$4+$M$4*$J$5+[16]FormattedData!E74^2*$J$6+$M$5*$J$7</f>
        <v>31.560927611856304</v>
      </c>
      <c r="M32" s="6">
        <f>$J$3+[16]FormattedData!F74*$J$4+$M$4*$J$5+[16]FormattedData!F74^2*$J$6+$M$5*$J$7</f>
        <v>33.102171392631426</v>
      </c>
      <c r="N32" s="6">
        <f>$J$3+[16]FormattedData!G74*$J$4+$M$4*$J$5+[16]FormattedData!G74^2*$J$6+$M$5*$J$7</f>
        <v>33.198139846357449</v>
      </c>
      <c r="O32" s="6">
        <f>$J$3+[16]FormattedData!H74*$J$4+$M$4*$J$5+[16]FormattedData!H74^2*$J$6+$M$5*$J$7</f>
        <v>32.62169509593231</v>
      </c>
      <c r="P32" s="6">
        <f>$J$3+[16]FormattedData!I74*$J$4+$M$4*$J$5+[16]FormattedData!I74^2*$J$6+$M$5*$J$7</f>
        <v>32.332902095457655</v>
      </c>
      <c r="Q32" s="6">
        <f>$J$3+[16]FormattedData!J74*$J$4+$M$4*$J$5+[16]FormattedData!J74^2*$J$6+$M$5*$J$7</f>
        <v>32.62169509593231</v>
      </c>
      <c r="R32" s="6">
        <f>$J$3+[16]FormattedData!K74*$J$4+$M$4*$J$5+[16]FormattedData!K74^2*$J$6+$M$5*$J$7</f>
        <v>31.754174843984231</v>
      </c>
      <c r="S32" s="6">
        <f>$J$3+[16]FormattedData!L74*$J$4+$M$4*$J$5+[16]FormattedData!L74^2*$J$6+$M$5*$J$7</f>
        <v>33.198139846357449</v>
      </c>
      <c r="T32" s="6">
        <f>$J$3+[16]FormattedData!M74*$J$4+$M$4*$J$5+[16]FormattedData!M74^2*$J$6+$M$5*$J$7</f>
        <v>32.236553224890251</v>
      </c>
      <c r="U32" s="6">
        <f>$J$3+[16]FormattedData!N74*$J$4+$M$4*$J$5+[16]FormattedData!N74^2*$J$6+$M$5*$J$7</f>
        <v>32.525473030978695</v>
      </c>
      <c r="V32" s="6">
        <f>$J$3+[16]FormattedData!O74*$J$4+$M$4*$J$5+[16]FormattedData!O74^2*$J$6+$M$5*$J$7</f>
        <v>31.850735057241295</v>
      </c>
      <c r="W32" s="5">
        <f t="shared" si="0"/>
        <v>32.794417807457599</v>
      </c>
      <c r="X32" s="4">
        <f t="shared" si="1"/>
        <v>0.37465797466820211</v>
      </c>
      <c r="Y32" s="3">
        <f t="shared" si="2"/>
        <v>31.560927611856304</v>
      </c>
      <c r="Z32" s="2">
        <f t="shared" si="3"/>
        <v>32.140098682978014</v>
      </c>
      <c r="AA32" s="3">
        <f t="shared" si="4"/>
        <v>32.573584063455499</v>
      </c>
      <c r="AB32" s="2">
        <f t="shared" si="5"/>
        <v>33.12616350606293</v>
      </c>
      <c r="AC32" s="2">
        <f t="shared" si="6"/>
        <v>36.530406547871891</v>
      </c>
      <c r="AD32" s="2">
        <f t="shared" si="7"/>
        <v>2.4033343413488559</v>
      </c>
      <c r="AE32" s="2">
        <f t="shared" si="8"/>
        <v>7.0355977136938783</v>
      </c>
    </row>
    <row r="33" spans="2:31" x14ac:dyDescent="0.2">
      <c r="B33" s="1">
        <f>[16]FormattedData!A76</f>
        <v>308</v>
      </c>
      <c r="C33" s="1" t="str">
        <f>VLOOKUP($B33,[16]TrtCodes!$B$11:I119,2)</f>
        <v>FDH</v>
      </c>
      <c r="D33" s="1">
        <f>VLOOKUP($B33,[16]TrtCodes!$B$11:J119,3)</f>
        <v>5</v>
      </c>
      <c r="E33" s="1">
        <f>VLOOKUP($B33,[16]TrtCodes!$B$11:K119,4)</f>
        <v>1</v>
      </c>
      <c r="F33" s="1">
        <f>VLOOKUP($B33,[16]TrtCodes!$B$11:L119,5)</f>
        <v>3</v>
      </c>
      <c r="G33" s="1">
        <f>VLOOKUP($B33,[16]TrtCodes!$B$11:M119,6)</f>
        <v>2</v>
      </c>
      <c r="H33" s="1">
        <f>VLOOKUP($B33,[16]TrtCodes!$B$11:N119,7)</f>
        <v>4</v>
      </c>
      <c r="I33" s="1">
        <f>[16]FormattedData!B76</f>
        <v>1</v>
      </c>
      <c r="J33" s="4">
        <f>[16]FormattedData!C76</f>
        <v>13.696</v>
      </c>
      <c r="K33" s="6">
        <f>$J$3+[16]FormattedData!D76*$J$4+$M$4*$J$5+[16]FormattedData!D76^2*$J$6+$M$5*$J$7</f>
        <v>33.006160670367464</v>
      </c>
      <c r="L33" s="6">
        <f>$J$3+[16]FormattedData!E76*$J$4+$M$4*$J$5+[16]FormattedData!E76^2*$J$6+$M$5*$J$7</f>
        <v>30.98017147056218</v>
      </c>
      <c r="M33" s="6">
        <f>$J$3+[16]FormattedData!F76*$J$4+$M$4*$J$5+[16]FormattedData!F76^2*$J$6+$M$5*$J$7</f>
        <v>33.102171392631426</v>
      </c>
      <c r="N33" s="6">
        <f>$J$3+[16]FormattedData!G76*$J$4+$M$4*$J$5+[16]FormattedData!G76^2*$J$6+$M$5*$J$7</f>
        <v>31.464240592985448</v>
      </c>
      <c r="O33" s="6">
        <f>$J$3+[16]FormattedData!H76*$J$4+$M$4*$J$5+[16]FormattedData!H76^2*$J$6+$M$5*$J$7</f>
        <v>36.719257852054987</v>
      </c>
      <c r="P33" s="6">
        <f>$J$3+[16]FormattedData!I76*$J$4+$M$4*$J$5+[16]FormattedData!I76^2*$J$6+$M$5*$J$7</f>
        <v>32.236553224890251</v>
      </c>
      <c r="Q33" s="6">
        <f>$J$3+[16]FormattedData!J76*$J$4+$M$4*$J$5+[16]FormattedData!J76^2*$J$6+$M$5*$J$7</f>
        <v>33.964365808800181</v>
      </c>
      <c r="R33" s="6">
        <f>$J$3+[16]FormattedData!K76*$J$4+$M$4*$J$5+[16]FormattedData!K76^2*$J$6+$M$5*$J$7</f>
        <v>31.947253001960433</v>
      </c>
      <c r="S33" s="6">
        <f>$J$3+[16]FormattedData!L76*$J$4+$M$4*$J$5+[16]FormattedData!L76^2*$J$6+$M$5*$J$7</f>
        <v>33.294066031545555</v>
      </c>
      <c r="T33" s="6">
        <f>$J$3+[16]FormattedData!M76*$J$4+$M$4*$J$5+[16]FormattedData!M76^2*$J$6+$M$5*$J$7</f>
        <v>32.332902095457655</v>
      </c>
      <c r="U33" s="6">
        <f>$J$3+[16]FormattedData!N76*$J$4+$M$4*$J$5+[16]FormattedData!N76^2*$J$6+$M$5*$J$7</f>
        <v>33.294066031545555</v>
      </c>
      <c r="V33" s="6">
        <f>$J$3+[16]FormattedData!O76*$J$4+$M$4*$J$5+[16]FormattedData!O76^2*$J$6+$M$5*$J$7</f>
        <v>32.814012420225744</v>
      </c>
      <c r="W33" s="5">
        <f t="shared" si="0"/>
        <v>32.929601716085578</v>
      </c>
      <c r="X33" s="4">
        <f t="shared" si="1"/>
        <v>0.42189901160232413</v>
      </c>
      <c r="Y33" s="3">
        <f t="shared" si="2"/>
        <v>30.98017147056218</v>
      </c>
      <c r="Z33" s="2">
        <f t="shared" si="3"/>
        <v>32.164228169157795</v>
      </c>
      <c r="AA33" s="3">
        <f t="shared" si="4"/>
        <v>32.910086545296608</v>
      </c>
      <c r="AB33" s="2">
        <f t="shared" si="5"/>
        <v>33.294066031545555</v>
      </c>
      <c r="AC33" s="2">
        <f t="shared" si="6"/>
        <v>36.719257852054987</v>
      </c>
      <c r="AD33" s="2">
        <f t="shared" si="7"/>
        <v>1.5231243506840881</v>
      </c>
      <c r="AE33" s="2">
        <f t="shared" si="8"/>
        <v>3.8335515409069769</v>
      </c>
    </row>
    <row r="34" spans="2:31" x14ac:dyDescent="0.2">
      <c r="B34" s="1">
        <f>[16]FormattedData!A92</f>
        <v>401</v>
      </c>
      <c r="C34" s="1" t="str">
        <f>VLOOKUP($B34,[16]TrtCodes!$B$11:I129,2)</f>
        <v>NSH</v>
      </c>
      <c r="D34" s="1">
        <f>VLOOKUP($B34,[16]TrtCodes!$B$11:J129,3)</f>
        <v>7</v>
      </c>
      <c r="E34" s="1">
        <f>VLOOKUP($B34,[16]TrtCodes!$B$11:K129,4)</f>
        <v>2</v>
      </c>
      <c r="F34" s="1">
        <f>VLOOKUP($B34,[16]TrtCodes!$B$11:L129,5)</f>
        <v>1</v>
      </c>
      <c r="G34" s="1">
        <f>VLOOKUP($B34,[16]TrtCodes!$B$11:M129,6)</f>
        <v>2</v>
      </c>
      <c r="H34" s="1">
        <f>VLOOKUP($B34,[16]TrtCodes!$B$11:N129,7)</f>
        <v>3</v>
      </c>
      <c r="I34" s="1">
        <f>[16]FormattedData!B92</f>
        <v>1</v>
      </c>
      <c r="J34" s="4">
        <f>[16]FormattedData!C92</f>
        <v>13.874000000000001</v>
      </c>
      <c r="K34" s="6">
        <f>$J$3+[16]FormattedData!D92*$J$4+$M$4*$J$5+[16]FormattedData!D92^2*$J$6+$M$5*$J$7</f>
        <v>34.059953845684831</v>
      </c>
      <c r="L34" s="6">
        <f>$J$3+[16]FormattedData!E92*$J$4+$M$4*$J$5+[16]FormattedData!E92^2*$J$6+$M$5*$J$7</f>
        <v>32.04372867814164</v>
      </c>
      <c r="M34" s="6">
        <f>$J$3+[16]FormattedData!F92*$J$4+$M$4*$J$5+[16]FormattedData!F92^2*$J$6+$M$5*$J$7</f>
        <v>33.773062929417087</v>
      </c>
      <c r="N34" s="6">
        <f>$J$3+[16]FormattedData!G92*$J$4+$M$4*$J$5+[16]FormattedData!G92^2*$J$6+$M$5*$J$7</f>
        <v>32.236553224890251</v>
      </c>
      <c r="O34" s="6">
        <f>$J$3+[16]FormattedData!H92*$J$4+$M$4*$J$5+[16]FormattedData!H92^2*$J$6+$M$5*$J$7</f>
        <v>35.298751888233539</v>
      </c>
      <c r="P34" s="6">
        <f>$J$3+[16]FormattedData!I92*$J$4+$M$4*$J$5+[16]FormattedData!I92^2*$J$6+$M$5*$J$7</f>
        <v>34.441883307844115</v>
      </c>
      <c r="Q34" s="6">
        <f>$J$3+[16]FormattedData!J92*$J$4+$M$4*$J$5+[16]FormattedData!J92^2*$J$6+$M$5*$J$7</f>
        <v>33.485791596307962</v>
      </c>
      <c r="R34" s="6">
        <f>$J$3+[16]FormattedData!K92*$J$4+$M$4*$J$5+[16]FormattedData!K92^2*$J$6+$M$5*$J$7</f>
        <v>32.525473030978695</v>
      </c>
      <c r="S34" s="6">
        <f>$J$3+[16]FormattedData!L92*$J$4+$M$4*$J$5+[16]FormattedData!L92^2*$J$6+$M$5*$J$7</f>
        <v>32.04372867814164</v>
      </c>
      <c r="T34" s="6">
        <f>$J$3+[16]FormattedData!M92*$J$4+$M$4*$J$5+[16]FormattedData!M92^2*$J$6+$M$5*$J$7</f>
        <v>32.62169509593231</v>
      </c>
      <c r="U34" s="6">
        <f>$J$3+[16]FormattedData!N92*$J$4+$M$4*$J$5+[16]FormattedData!N92^2*$J$6+$M$5*$J$7</f>
        <v>31.657572362189235</v>
      </c>
      <c r="V34" s="6">
        <f>$J$3+[16]FormattedData!O92*$J$4+$M$4*$J$5+[16]FormattedData!O92^2*$J$6+$M$5*$J$7</f>
        <v>32.332902095457655</v>
      </c>
      <c r="W34" s="5">
        <f t="shared" si="0"/>
        <v>33.043424727768247</v>
      </c>
      <c r="X34" s="4">
        <f t="shared" si="1"/>
        <v>0.32942746291283082</v>
      </c>
      <c r="Y34" s="3">
        <f t="shared" si="2"/>
        <v>31.657572362189235</v>
      </c>
      <c r="Z34" s="2">
        <f t="shared" si="3"/>
        <v>32.188347088203102</v>
      </c>
      <c r="AA34" s="3">
        <f t="shared" si="4"/>
        <v>32.573584063455499</v>
      </c>
      <c r="AB34" s="2">
        <f t="shared" si="5"/>
        <v>33.844785658484021</v>
      </c>
      <c r="AC34" s="2">
        <f t="shared" si="6"/>
        <v>35.298751888233539</v>
      </c>
      <c r="AD34" s="2">
        <f t="shared" si="7"/>
        <v>0.73218241240626025</v>
      </c>
      <c r="AE34" s="2">
        <f t="shared" si="8"/>
        <v>-0.5438737892436083</v>
      </c>
    </row>
    <row r="35" spans="2:31" x14ac:dyDescent="0.2">
      <c r="B35" s="1">
        <f>[16]FormattedData!A90</f>
        <v>402</v>
      </c>
      <c r="C35" s="1" t="str">
        <f>VLOOKUP($B35,[16]TrtCodes!$B$11:I130,2)</f>
        <v>NTH</v>
      </c>
      <c r="D35" s="1">
        <f>VLOOKUP($B35,[16]TrtCodes!$B$11:J130,3)</f>
        <v>9</v>
      </c>
      <c r="E35" s="1">
        <f>VLOOKUP($B35,[16]TrtCodes!$B$11:K130,4)</f>
        <v>2</v>
      </c>
      <c r="F35" s="1">
        <f>VLOOKUP($B35,[16]TrtCodes!$B$11:L130,5)</f>
        <v>2</v>
      </c>
      <c r="G35" s="1">
        <f>VLOOKUP($B35,[16]TrtCodes!$B$11:M130,6)</f>
        <v>2</v>
      </c>
      <c r="H35" s="1">
        <f>VLOOKUP($B35,[16]TrtCodes!$B$11:N130,7)</f>
        <v>3</v>
      </c>
      <c r="I35" s="1">
        <f>[16]FormattedData!B90</f>
        <v>1</v>
      </c>
      <c r="J35" s="4">
        <f>[16]FormattedData!C90</f>
        <v>13.847</v>
      </c>
      <c r="K35" s="6">
        <f>$J$3+[16]FormattedData!D90*$J$4+$M$4*$J$5+[16]FormattedData!D90^2*$J$6+$M$5*$J$7</f>
        <v>44.134669214964347</v>
      </c>
      <c r="L35" s="6">
        <f>$J$3+[16]FormattedData!E90*$J$4+$M$4*$J$5+[16]FormattedData!E90^2*$J$6+$M$5*$J$7</f>
        <v>36.057538588000384</v>
      </c>
      <c r="M35" s="6">
        <f>$J$3+[16]FormattedData!F90*$J$4+$M$4*$J$5+[16]FormattedData!F90^2*$J$6+$M$5*$J$7</f>
        <v>46.845705388468971</v>
      </c>
      <c r="N35" s="6">
        <f>$J$3+[16]FormattedData!G90*$J$4+$M$4*$J$5+[16]FormattedData!G90^2*$J$6+$M$5*$J$7</f>
        <v>39.996786796948605</v>
      </c>
      <c r="O35" s="6">
        <f>$J$3+[16]FormattedData!H90*$J$4+$M$4*$J$5+[16]FormattedData!H90^2*$J$6+$M$5*$J$7</f>
        <v>42.673228433803217</v>
      </c>
      <c r="P35" s="6">
        <f>$J$3+[16]FormattedData!I90*$J$4+$M$4*$J$5+[16]FormattedData!I90^2*$J$6+$M$5*$J$7</f>
        <v>36.907940082086355</v>
      </c>
      <c r="Q35" s="6">
        <f>$J$3+[16]FormattedData!J90*$J$4+$M$4*$J$5+[16]FormattedData!J90^2*$J$6+$M$5*$J$7</f>
        <v>36.81362010133963</v>
      </c>
      <c r="R35" s="6">
        <f>$J$3+[16]FormattedData!K90*$J$4+$M$4*$J$5+[16]FormattedData!K90^2*$J$6+$M$5*$J$7</f>
        <v>42.581529102408226</v>
      </c>
      <c r="S35" s="6">
        <f>$J$3+[16]FormattedData!L90*$J$4+$M$4*$J$5+[16]FormattedData!L90^2*$J$6+$M$5*$J$7</f>
        <v>38.878895645505288</v>
      </c>
      <c r="T35" s="6">
        <f>$J$3+[16]FormattedData!M90*$J$4+$M$4*$J$5+[16]FormattedData!M90^2*$J$6+$M$5*$J$7</f>
        <v>43.861473304986291</v>
      </c>
      <c r="U35" s="6">
        <f>$J$3+[16]FormattedData!N90*$J$4+$M$4*$J$5+[16]FormattedData!N90^2*$J$6+$M$5*$J$7</f>
        <v>35.108632527912519</v>
      </c>
      <c r="V35" s="6">
        <f>$J$3+[16]FormattedData!O90*$J$4+$M$4*$J$5+[16]FormattedData!O90^2*$J$6+$M$5*$J$7</f>
        <v>37.754917824599886</v>
      </c>
      <c r="W35" s="5">
        <f t="shared" si="0"/>
        <v>40.134578084251977</v>
      </c>
      <c r="X35" s="4">
        <f t="shared" si="1"/>
        <v>1.0938632673958595</v>
      </c>
      <c r="Y35" s="3">
        <f t="shared" si="2"/>
        <v>35.108632527912519</v>
      </c>
      <c r="Z35" s="2">
        <f t="shared" si="3"/>
        <v>36.884360086899676</v>
      </c>
      <c r="AA35" s="3">
        <f t="shared" si="4"/>
        <v>39.437841221226947</v>
      </c>
      <c r="AB35" s="2">
        <f t="shared" si="5"/>
        <v>42.970289651598989</v>
      </c>
      <c r="AC35" s="2">
        <f t="shared" si="6"/>
        <v>46.845705388468971</v>
      </c>
      <c r="AD35" s="2">
        <f t="shared" si="7"/>
        <v>0.33814039121965256</v>
      </c>
      <c r="AE35" s="2">
        <f t="shared" si="8"/>
        <v>-1.1795032480532139</v>
      </c>
    </row>
    <row r="36" spans="2:31" x14ac:dyDescent="0.2">
      <c r="B36" s="1">
        <f>[16]FormattedData!A88</f>
        <v>403</v>
      </c>
      <c r="C36" s="1" t="str">
        <f>VLOOKUP($B36,[16]TrtCodes!$B$11:I131,2)</f>
        <v>FDL</v>
      </c>
      <c r="D36" s="1">
        <f>VLOOKUP($B36,[16]TrtCodes!$B$11:J131,3)</f>
        <v>6</v>
      </c>
      <c r="E36" s="1">
        <f>VLOOKUP($B36,[16]TrtCodes!$B$11:K131,4)</f>
        <v>1</v>
      </c>
      <c r="F36" s="1">
        <f>VLOOKUP($B36,[16]TrtCodes!$B$11:L131,5)</f>
        <v>3</v>
      </c>
      <c r="G36" s="1">
        <f>VLOOKUP($B36,[16]TrtCodes!$B$11:M131,6)</f>
        <v>1</v>
      </c>
      <c r="H36" s="1">
        <f>VLOOKUP($B36,[16]TrtCodes!$B$11:N131,7)</f>
        <v>3</v>
      </c>
      <c r="I36" s="1">
        <f>[16]FormattedData!B88</f>
        <v>1</v>
      </c>
      <c r="J36" s="4">
        <f>[16]FormattedData!C88</f>
        <v>13.827999999999999</v>
      </c>
      <c r="K36" s="6">
        <f>$J$3+[16]FormattedData!D88*$J$4+$M$4*$J$5+[16]FormattedData!D88^2*$J$6+$M$5*$J$7</f>
        <v>36.530406547871891</v>
      </c>
      <c r="L36" s="6">
        <f>$J$3+[16]FormattedData!E88*$J$4+$M$4*$J$5+[16]FormattedData!E88^2*$J$6+$M$5*$J$7</f>
        <v>31.270739749629932</v>
      </c>
      <c r="M36" s="6">
        <f>$J$3+[16]FormattedData!F88*$J$4+$M$4*$J$5+[16]FormattedData!F88^2*$J$6+$M$5*$J$7</f>
        <v>34.346464345111187</v>
      </c>
      <c r="N36" s="6">
        <f>$J$3+[16]FormattedData!G88*$J$4+$M$4*$J$5+[16]FormattedData!G88^2*$J$6+$M$5*$J$7</f>
        <v>34.823136473396502</v>
      </c>
      <c r="O36" s="6">
        <f>$J$3+[16]FormattedData!H88*$J$4+$M$4*$J$5+[16]FormattedData!H88^2*$J$6+$M$5*$J$7</f>
        <v>34.537260002039119</v>
      </c>
      <c r="P36" s="6">
        <f>$J$3+[16]FormattedData!I88*$J$4+$M$4*$J$5+[16]FormattedData!I88^2*$J$6+$M$5*$J$7</f>
        <v>34.823136473396502</v>
      </c>
      <c r="Q36" s="6">
        <f>$J$3+[16]FormattedData!J88*$J$4+$M$4*$J$5+[16]FormattedData!J88^2*$J$6+$M$5*$J$7</f>
        <v>31.657572362189235</v>
      </c>
      <c r="R36" s="6">
        <f>$J$3+[16]FormattedData!K88*$J$4+$M$4*$J$5+[16]FormattedData!K88^2*$J$6+$M$5*$J$7</f>
        <v>37.002217794295134</v>
      </c>
      <c r="S36" s="6">
        <f>$J$3+[16]FormattedData!L88*$J$4+$M$4*$J$5+[16]FormattedData!L88^2*$J$6+$M$5*$J$7</f>
        <v>33.485791596307962</v>
      </c>
      <c r="T36" s="6">
        <f>$J$3+[16]FormattedData!M88*$J$4+$M$4*$J$5+[16]FormattedData!M88^2*$J$6+$M$5*$J$7</f>
        <v>33.389949948195721</v>
      </c>
      <c r="U36" s="6">
        <f>$J$3+[16]FormattedData!N88*$J$4+$M$4*$J$5+[16]FormattedData!N88^2*$J$6+$M$5*$J$7</f>
        <v>33.773062929417087</v>
      </c>
      <c r="V36" s="6">
        <f>$J$3+[16]FormattedData!O88*$J$4+$M$4*$J$5+[16]FormattedData!O88^2*$J$6+$M$5*$J$7</f>
        <v>32.332902095457655</v>
      </c>
      <c r="W36" s="5">
        <f t="shared" si="0"/>
        <v>33.99772002644233</v>
      </c>
      <c r="X36" s="4">
        <f t="shared" si="1"/>
        <v>0.50439819918135365</v>
      </c>
      <c r="Y36" s="3">
        <f t="shared" si="2"/>
        <v>31.270739749629932</v>
      </c>
      <c r="Z36" s="2">
        <f t="shared" si="3"/>
        <v>33.125687985011204</v>
      </c>
      <c r="AA36" s="3">
        <f t="shared" si="4"/>
        <v>34.05976363726414</v>
      </c>
      <c r="AB36" s="2">
        <f t="shared" si="5"/>
        <v>34.823136473396502</v>
      </c>
      <c r="AC36" s="2">
        <f t="shared" si="6"/>
        <v>37.002217794295134</v>
      </c>
      <c r="AD36" s="2">
        <f t="shared" si="7"/>
        <v>0.13524093737834325</v>
      </c>
      <c r="AE36" s="2">
        <f t="shared" si="8"/>
        <v>-0.36750006460115658</v>
      </c>
    </row>
    <row r="37" spans="2:31" x14ac:dyDescent="0.2">
      <c r="B37" s="1">
        <f>[16]FormattedData!A86</f>
        <v>404</v>
      </c>
      <c r="C37" s="1" t="str">
        <f>VLOOKUP($B37,[16]TrtCodes!$B$11:I129,2)</f>
        <v>FTH</v>
      </c>
      <c r="D37" s="1">
        <f>VLOOKUP($B37,[16]TrtCodes!$B$11:J129,3)</f>
        <v>3</v>
      </c>
      <c r="E37" s="1">
        <f>VLOOKUP($B37,[16]TrtCodes!$B$11:K129,4)</f>
        <v>1</v>
      </c>
      <c r="F37" s="1">
        <f>VLOOKUP($B37,[16]TrtCodes!$B$11:L129,5)</f>
        <v>2</v>
      </c>
      <c r="G37" s="1">
        <f>VLOOKUP($B37,[16]TrtCodes!$B$11:M129,6)</f>
        <v>2</v>
      </c>
      <c r="H37" s="1">
        <f>VLOOKUP($B37,[16]TrtCodes!$B$11:N129,7)</f>
        <v>3</v>
      </c>
      <c r="I37" s="1">
        <f>[16]FormattedData!B86</f>
        <v>1</v>
      </c>
      <c r="J37" s="4">
        <f>[16]FormattedData!C86</f>
        <v>13.808</v>
      </c>
      <c r="K37" s="6">
        <f>$J$3+[16]FormattedData!D86*$J$4+$M$4*$J$5+[16]FormattedData!D86^2*$J$6+$M$5*$J$7</f>
        <v>33.198139846357449</v>
      </c>
      <c r="L37" s="6">
        <f>$J$3+[16]FormattedData!E86*$J$4+$M$4*$J$5+[16]FormattedData!E86^2*$J$6+$M$5*$J$7</f>
        <v>30.3006994205765</v>
      </c>
      <c r="M37" s="6">
        <f>$J$3+[16]FormattedData!F86*$J$4+$M$4*$J$5+[16]FormattedData!F86^2*$J$6+$M$5*$J$7</f>
        <v>31.270739749629932</v>
      </c>
      <c r="N37" s="6">
        <f>$J$3+[16]FormattedData!G86*$J$4+$M$4*$J$5+[16]FormattedData!G86^2*$J$6+$M$5*$J$7</f>
        <v>30.592155338940806</v>
      </c>
      <c r="O37" s="6">
        <f>$J$3+[16]FormattedData!H86*$J$4+$M$4*$J$5+[16]FormattedData!H86^2*$J$6+$M$5*$J$7</f>
        <v>35.108632527912519</v>
      </c>
      <c r="P37" s="6">
        <f>$J$3+[16]FormattedData!I86*$J$4+$M$4*$J$5+[16]FormattedData!I86^2*$J$6+$M$5*$J$7</f>
        <v>29.911499769893048</v>
      </c>
      <c r="Q37" s="6">
        <f>$J$3+[16]FormattedData!J86*$J$4+$M$4*$J$5+[16]FormattedData!J86^2*$J$6+$M$5*$J$7</f>
        <v>33.773062929417087</v>
      </c>
      <c r="R37" s="6">
        <f>$J$3+[16]FormattedData!K86*$J$4+$M$4*$J$5+[16]FormattedData!K86^2*$J$6+$M$5*$J$7</f>
        <v>30.3006994205765</v>
      </c>
      <c r="S37" s="6">
        <f>$J$3+[16]FormattedData!L86*$J$4+$M$4*$J$5+[16]FormattedData!L86^2*$J$6+$M$5*$J$7</f>
        <v>32.140162085784908</v>
      </c>
      <c r="T37" s="6">
        <f>$J$3+[16]FormattedData!M86*$J$4+$M$4*$J$5+[16]FormattedData!M86^2*$J$6+$M$5*$J$7</f>
        <v>31.464240592985448</v>
      </c>
      <c r="U37" s="6">
        <f>$J$3+[16]FormattedData!N86*$J$4+$M$4*$J$5+[16]FormattedData!N86^2*$J$6+$M$5*$J$7</f>
        <v>31.657572362189235</v>
      </c>
      <c r="V37" s="6">
        <f>$J$3+[16]FormattedData!O86*$J$4+$M$4*$J$5+[16]FormattedData!O86^2*$J$6+$M$5*$J$7</f>
        <v>30.689222774653043</v>
      </c>
      <c r="W37" s="5">
        <f t="shared" si="0"/>
        <v>31.700568901576375</v>
      </c>
      <c r="X37" s="4">
        <f t="shared" si="1"/>
        <v>0.46023694531910175</v>
      </c>
      <c r="Y37" s="3">
        <f t="shared" si="2"/>
        <v>29.911499769893048</v>
      </c>
      <c r="Z37" s="2">
        <f t="shared" si="3"/>
        <v>30.519291359349729</v>
      </c>
      <c r="AA37" s="3">
        <f t="shared" si="4"/>
        <v>31.36749017130769</v>
      </c>
      <c r="AB37" s="2">
        <f t="shared" si="5"/>
        <v>32.404656525928047</v>
      </c>
      <c r="AC37" s="2">
        <f t="shared" si="6"/>
        <v>35.108632527912519</v>
      </c>
      <c r="AD37" s="2">
        <f t="shared" si="7"/>
        <v>1.0290905012231193</v>
      </c>
      <c r="AE37" s="2">
        <f t="shared" si="8"/>
        <v>0.33090652553900402</v>
      </c>
    </row>
    <row r="38" spans="2:31" x14ac:dyDescent="0.2">
      <c r="B38" s="1">
        <f>[16]FormattedData!A84</f>
        <v>405</v>
      </c>
      <c r="C38" s="1" t="str">
        <f>VLOOKUP($B38,[16]TrtCodes!$B$11:I127,2)</f>
        <v>FDL</v>
      </c>
      <c r="D38" s="1">
        <f>VLOOKUP($B38,[16]TrtCodes!$B$11:J127,3)</f>
        <v>6</v>
      </c>
      <c r="E38" s="1">
        <f>VLOOKUP($B38,[16]TrtCodes!$B$11:K127,4)</f>
        <v>1</v>
      </c>
      <c r="F38" s="1">
        <f>VLOOKUP($B38,[16]TrtCodes!$B$11:L127,5)</f>
        <v>3</v>
      </c>
      <c r="G38" s="1">
        <f>VLOOKUP($B38,[16]TrtCodes!$B$11:M127,6)</f>
        <v>1</v>
      </c>
      <c r="H38" s="1">
        <f>VLOOKUP($B38,[16]TrtCodes!$B$11:N127,7)</f>
        <v>4</v>
      </c>
      <c r="I38" s="1">
        <f>[16]FormattedData!B84</f>
        <v>1</v>
      </c>
      <c r="J38" s="4">
        <f>[16]FormattedData!C84</f>
        <v>13.787000000000001</v>
      </c>
      <c r="K38" s="6">
        <f>$J$3+[16]FormattedData!D84*$J$4+$M$4*$J$5+[16]FormattedData!D84^2*$J$6+$M$5*$J$7</f>
        <v>37.660978260694556</v>
      </c>
      <c r="L38" s="6">
        <f>$J$3+[16]FormattedData!E84*$J$4+$M$4*$J$5+[16]FormattedData!E84^2*$J$6+$M$5*$J$7</f>
        <v>31.270739749629932</v>
      </c>
      <c r="M38" s="6">
        <f>$J$3+[16]FormattedData!F84*$J$4+$M$4*$J$5+[16]FormattedData!F84^2*$J$6+$M$5*$J$7</f>
        <v>40.368064587549249</v>
      </c>
      <c r="N38" s="6">
        <f>$J$3+[16]FormattedData!G84*$J$4+$M$4*$J$5+[16]FormattedData!G84^2*$J$6+$M$5*$J$7</f>
        <v>31.077069832122692</v>
      </c>
      <c r="O38" s="6">
        <f>$J$3+[16]FormattedData!H84*$J$4+$M$4*$J$5+[16]FormattedData!H84^2*$J$6+$M$5*$J$7</f>
        <v>38.691988694067035</v>
      </c>
      <c r="P38" s="6">
        <f>$J$3+[16]FormattedData!I84*$J$4+$M$4*$J$5+[16]FormattedData!I84^2*$J$6+$M$5*$J$7</f>
        <v>31.173925925145273</v>
      </c>
      <c r="Q38" s="6">
        <f>$J$3+[16]FormattedData!J84*$J$4+$M$4*$J$5+[16]FormattedData!J84^2*$J$6+$M$5*$J$7</f>
        <v>36.341386169537088</v>
      </c>
      <c r="R38" s="6">
        <f>$J$3+[16]FormattedData!K84*$J$4+$M$4*$J$5+[16]FormattedData!K84^2*$J$6+$M$5*$J$7</f>
        <v>32.140162085784908</v>
      </c>
      <c r="S38" s="6">
        <f>$J$3+[16]FormattedData!L84*$J$4+$M$4*$J$5+[16]FormattedData!L84^2*$J$6+$M$5*$J$7</f>
        <v>37.660978260694556</v>
      </c>
      <c r="T38" s="6">
        <f>$J$3+[16]FormattedData!M84*$J$4+$M$4*$J$5+[16]FormattedData!M84^2*$J$6+$M$5*$J$7</f>
        <v>32.140162085784908</v>
      </c>
      <c r="U38" s="6">
        <f>$J$3+[16]FormattedData!N84*$J$4+$M$4*$J$5+[16]FormattedData!N84^2*$J$6+$M$5*$J$7</f>
        <v>35.773310589622305</v>
      </c>
      <c r="V38" s="6">
        <f>$J$3+[16]FormattedData!O84*$J$4+$M$4*$J$5+[16]FormattedData!O84^2*$J$6+$M$5*$J$7</f>
        <v>33.677348086918634</v>
      </c>
      <c r="W38" s="5">
        <f t="shared" si="0"/>
        <v>34.831342860629256</v>
      </c>
      <c r="X38" s="4">
        <f t="shared" si="1"/>
        <v>0.95626661884772801</v>
      </c>
      <c r="Y38" s="3">
        <f t="shared" si="2"/>
        <v>31.077069832122692</v>
      </c>
      <c r="Z38" s="2">
        <f t="shared" si="3"/>
        <v>31.922806501746166</v>
      </c>
      <c r="AA38" s="3">
        <f t="shared" si="4"/>
        <v>34.72532933827047</v>
      </c>
      <c r="AB38" s="2">
        <f t="shared" si="5"/>
        <v>37.660978260694556</v>
      </c>
      <c r="AC38" s="2">
        <f t="shared" si="6"/>
        <v>40.368064587549249</v>
      </c>
      <c r="AD38" s="2">
        <f t="shared" si="7"/>
        <v>0.26819220194161802</v>
      </c>
      <c r="AE38" s="2">
        <f t="shared" si="8"/>
        <v>-1.4931856941177655</v>
      </c>
    </row>
    <row r="39" spans="2:31" x14ac:dyDescent="0.2">
      <c r="B39" s="1">
        <f>[16]FormattedData!A82</f>
        <v>406</v>
      </c>
      <c r="C39" s="1" t="str">
        <f>VLOOKUP($B39,[16]TrtCodes!$B$11:I125,2)</f>
        <v>FTH</v>
      </c>
      <c r="D39" s="1">
        <f>VLOOKUP($B39,[16]TrtCodes!$B$11:J125,3)</f>
        <v>3</v>
      </c>
      <c r="E39" s="1">
        <f>VLOOKUP($B39,[16]TrtCodes!$B$11:K125,4)</f>
        <v>1</v>
      </c>
      <c r="F39" s="1">
        <f>VLOOKUP($B39,[16]TrtCodes!$B$11:L125,5)</f>
        <v>2</v>
      </c>
      <c r="G39" s="1">
        <f>VLOOKUP($B39,[16]TrtCodes!$B$11:M125,6)</f>
        <v>2</v>
      </c>
      <c r="H39" s="1">
        <f>VLOOKUP($B39,[16]TrtCodes!$B$11:N125,7)</f>
        <v>4</v>
      </c>
      <c r="I39" s="1">
        <f>[16]FormattedData!B82</f>
        <v>1</v>
      </c>
      <c r="J39" s="4">
        <f>[16]FormattedData!C82</f>
        <v>13.765000000000001</v>
      </c>
      <c r="K39" s="6">
        <f>$J$3+[16]FormattedData!D82*$J$4+$M$4*$J$5+[16]FormattedData!D82^2*$J$6+$M$5*$J$7</f>
        <v>34.632594427696169</v>
      </c>
      <c r="L39" s="6">
        <f>$J$3+[16]FormattedData!E82*$J$4+$M$4*$J$5+[16]FormattedData!E82^2*$J$6+$M$5*$J$7</f>
        <v>33.677348086918634</v>
      </c>
      <c r="M39" s="6">
        <f>$J$3+[16]FormattedData!F82*$J$4+$M$4*$J$5+[16]FormattedData!F82^2*$J$6+$M$5*$J$7</f>
        <v>31.270739749629932</v>
      </c>
      <c r="N39" s="6">
        <f>$J$3+[16]FormattedData!G82*$J$4+$M$4*$J$5+[16]FormattedData!G82^2*$J$6+$M$5*$J$7</f>
        <v>33.677348086918634</v>
      </c>
      <c r="O39" s="6">
        <f>$J$3+[16]FormattedData!H82*$J$4+$M$4*$J$5+[16]FormattedData!H82^2*$J$6+$M$5*$J$7</f>
        <v>32.62169509593231</v>
      </c>
      <c r="P39" s="6">
        <f>$J$3+[16]FormattedData!I82*$J$4+$M$4*$J$5+[16]FormattedData!I82^2*$J$6+$M$5*$J$7</f>
        <v>31.367511305576649</v>
      </c>
      <c r="Q39" s="6">
        <f>$J$3+[16]FormattedData!J82*$J$4+$M$4*$J$5+[16]FormattedData!J82^2*$J$6+$M$5*$J$7</f>
        <v>32.04372867814164</v>
      </c>
      <c r="R39" s="6">
        <f>$J$3+[16]FormattedData!K82*$J$4+$M$4*$J$5+[16]FormattedData!K82^2*$J$6+$M$5*$J$7</f>
        <v>31.464240592985448</v>
      </c>
      <c r="S39" s="6">
        <f>$J$3+[16]FormattedData!L82*$J$4+$M$4*$J$5+[16]FormattedData!L82^2*$J$6+$M$5*$J$7</f>
        <v>31.657572362189235</v>
      </c>
      <c r="T39" s="6">
        <f>$J$3+[16]FormattedData!M82*$J$4+$M$4*$J$5+[16]FormattedData!M82^2*$J$6+$M$5*$J$7</f>
        <v>30.008863085370812</v>
      </c>
      <c r="U39" s="6">
        <f>$J$3+[16]FormattedData!N82*$J$4+$M$4*$J$5+[16]FormattedData!N82^2*$J$6+$M$5*$J$7</f>
        <v>32.332902095457655</v>
      </c>
      <c r="V39" s="6">
        <f>$J$3+[16]FormattedData!O82*$J$4+$M$4*$J$5+[16]FormattedData!O82^2*$J$6+$M$5*$J$7</f>
        <v>29.228773042486672</v>
      </c>
      <c r="W39" s="5">
        <f t="shared" si="0"/>
        <v>31.99860971744198</v>
      </c>
      <c r="X39" s="4">
        <f t="shared" si="1"/>
        <v>0.44413046288104957</v>
      </c>
      <c r="Y39" s="3">
        <f t="shared" si="2"/>
        <v>29.228773042486672</v>
      </c>
      <c r="Z39" s="2">
        <f t="shared" si="3"/>
        <v>31.34331841658997</v>
      </c>
      <c r="AA39" s="3">
        <f t="shared" si="4"/>
        <v>31.850650520165438</v>
      </c>
      <c r="AB39" s="2">
        <f t="shared" si="5"/>
        <v>32.885608343678889</v>
      </c>
      <c r="AC39" s="2">
        <f t="shared" si="6"/>
        <v>34.632594427696169</v>
      </c>
      <c r="AD39" s="2">
        <f t="shared" si="7"/>
        <v>-5.815882493435573E-2</v>
      </c>
      <c r="AE39" s="2">
        <f t="shared" si="8"/>
        <v>-0.11700614881932347</v>
      </c>
    </row>
    <row r="40" spans="2:31" x14ac:dyDescent="0.2">
      <c r="B40" s="1">
        <f>[16]FormattedData!A80</f>
        <v>407</v>
      </c>
      <c r="C40" s="1" t="str">
        <f>VLOOKUP($B40,[16]TrtCodes!$B$11:I123,2)</f>
        <v>NSH</v>
      </c>
      <c r="D40" s="1">
        <f>VLOOKUP($B40,[16]TrtCodes!$B$11:J123,3)</f>
        <v>7</v>
      </c>
      <c r="E40" s="1">
        <f>VLOOKUP($B40,[16]TrtCodes!$B$11:K123,4)</f>
        <v>2</v>
      </c>
      <c r="F40" s="1">
        <f>VLOOKUP($B40,[16]TrtCodes!$B$11:L123,5)</f>
        <v>1</v>
      </c>
      <c r="G40" s="1">
        <f>VLOOKUP($B40,[16]TrtCodes!$B$11:M123,6)</f>
        <v>2</v>
      </c>
      <c r="H40" s="1">
        <f>VLOOKUP($B40,[16]TrtCodes!$B$11:N123,7)</f>
        <v>4</v>
      </c>
      <c r="I40" s="1">
        <f>[16]FormattedData!B80</f>
        <v>1</v>
      </c>
      <c r="J40" s="4">
        <f>[16]FormattedData!C80</f>
        <v>13.744</v>
      </c>
      <c r="K40" s="6">
        <f>$J$3+[16]FormattedData!D80*$J$4+$M$4*$J$5+[16]FormattedData!D80^2*$J$6+$M$5*$J$7</f>
        <v>37.096453237965989</v>
      </c>
      <c r="L40" s="6">
        <f>$J$3+[16]FormattedData!E80*$J$4+$M$4*$J$5+[16]FormattedData!E80^2*$J$6+$M$5*$J$7</f>
        <v>33.389949948195721</v>
      </c>
      <c r="M40" s="6">
        <f>$J$3+[16]FormattedData!F80*$J$4+$M$4*$J$5+[16]FormattedData!F80^2*$J$6+$M$5*$J$7</f>
        <v>38.317667568735352</v>
      </c>
      <c r="N40" s="6">
        <f>$J$3+[16]FormattedData!G80*$J$4+$M$4*$J$5+[16]FormattedData!G80^2*$J$6+$M$5*$J$7</f>
        <v>34.441883307844115</v>
      </c>
      <c r="O40" s="6">
        <f>$J$3+[16]FormattedData!H80*$J$4+$M$4*$J$5+[16]FormattedData!H80^2*$J$6+$M$5*$J$7</f>
        <v>36.719257852054987</v>
      </c>
      <c r="P40" s="6">
        <f>$J$3+[16]FormattedData!I80*$J$4+$M$4*$J$5+[16]FormattedData!I80^2*$J$6+$M$5*$J$7</f>
        <v>35.488702174402846</v>
      </c>
      <c r="Q40" s="6">
        <f>$J$3+[16]FormattedData!J80*$J$4+$M$4*$J$5+[16]FormattedData!J80^2*$J$6+$M$5*$J$7</f>
        <v>36.057538588000384</v>
      </c>
      <c r="R40" s="6">
        <f>$J$3+[16]FormattedData!K80*$J$4+$M$4*$J$5+[16]FormattedData!K80^2*$J$6+$M$5*$J$7</f>
        <v>34.251003113840333</v>
      </c>
      <c r="S40" s="6">
        <f>$J$3+[16]FormattedData!L80*$J$4+$M$4*$J$5+[16]FormattedData!L80^2*$J$6+$M$5*$J$7</f>
        <v>35.488702174402846</v>
      </c>
      <c r="T40" s="6">
        <f>$J$3+[16]FormattedData!M80*$J$4+$M$4*$J$5+[16]FormattedData!M80^2*$J$6+$M$5*$J$7</f>
        <v>33.868735503377593</v>
      </c>
      <c r="U40" s="6">
        <f>$J$3+[16]FormattedData!N80*$J$4+$M$4*$J$5+[16]FormattedData!N80^2*$J$6+$M$5*$J$7</f>
        <v>32.525473030978695</v>
      </c>
      <c r="V40" s="6">
        <f>$J$3+[16]FormattedData!O80*$J$4+$M$4*$J$5+[16]FormattedData!O80^2*$J$6+$M$5*$J$7</f>
        <v>35.203713342341999</v>
      </c>
      <c r="W40" s="5">
        <f t="shared" si="0"/>
        <v>35.237423320178401</v>
      </c>
      <c r="X40" s="4">
        <f t="shared" si="1"/>
        <v>0.47821309827672315</v>
      </c>
      <c r="Y40" s="3">
        <f t="shared" si="2"/>
        <v>32.525473030978695</v>
      </c>
      <c r="Z40" s="2">
        <f t="shared" si="3"/>
        <v>34.155436211224647</v>
      </c>
      <c r="AA40" s="3">
        <f t="shared" si="4"/>
        <v>35.346207758372422</v>
      </c>
      <c r="AB40" s="2">
        <f t="shared" si="5"/>
        <v>36.222968404014033</v>
      </c>
      <c r="AC40" s="2">
        <f t="shared" si="6"/>
        <v>38.317667568735352</v>
      </c>
      <c r="AD40" s="2">
        <f t="shared" si="7"/>
        <v>0.2209743864076959</v>
      </c>
      <c r="AE40" s="2">
        <f t="shared" si="8"/>
        <v>-0.31216255614883126</v>
      </c>
    </row>
    <row r="41" spans="2:31" x14ac:dyDescent="0.2">
      <c r="B41" s="1">
        <f>[16]FormattedData!A78</f>
        <v>408</v>
      </c>
      <c r="C41" s="1" t="str">
        <f>VLOOKUP($B41,[16]TrtCodes!$B$11:I121,2)</f>
        <v>NTL</v>
      </c>
      <c r="D41" s="1">
        <f>VLOOKUP($B41,[16]TrtCodes!$B$11:J121,3)</f>
        <v>10</v>
      </c>
      <c r="E41" s="1">
        <f>VLOOKUP($B41,[16]TrtCodes!$B$11:K121,4)</f>
        <v>2</v>
      </c>
      <c r="F41" s="1">
        <f>VLOOKUP($B41,[16]TrtCodes!$B$11:L121,5)</f>
        <v>2</v>
      </c>
      <c r="G41" s="1">
        <f>VLOOKUP($B41,[16]TrtCodes!$B$11:M121,6)</f>
        <v>1</v>
      </c>
      <c r="H41" s="1">
        <f>VLOOKUP($B41,[16]TrtCodes!$B$11:N121,7)</f>
        <v>4</v>
      </c>
      <c r="I41" s="1">
        <f>[16]FormattedData!B78</f>
        <v>1</v>
      </c>
      <c r="J41" s="4">
        <f>[16]FormattedData!C78</f>
        <v>13.724</v>
      </c>
      <c r="K41" s="6">
        <f>$J$3+[16]FormattedData!D78*$J$4+$M$4*$J$5+[16]FormattedData!D78^2*$J$6+$M$5*$J$7</f>
        <v>49.695546917246219</v>
      </c>
      <c r="L41" s="6">
        <f>$J$3+[16]FormattedData!E78*$J$4+$M$4*$J$5+[16]FormattedData!E78^2*$J$6+$M$5*$J$7</f>
        <v>33.006160670367464</v>
      </c>
      <c r="M41" s="6">
        <f>$J$3+[16]FormattedData!F78*$J$4+$M$4*$J$5+[16]FormattedData!F78^2*$J$6+$M$5*$J$7</f>
        <v>50.048733773612341</v>
      </c>
      <c r="N41" s="6">
        <f>$J$3+[16]FormattedData!G78*$J$4+$M$4*$J$5+[16]FormattedData!G78^2*$J$6+$M$5*$J$7</f>
        <v>32.332902095457655</v>
      </c>
      <c r="O41" s="6">
        <f>$J$3+[16]FormattedData!H78*$J$4+$M$4*$J$5+[16]FormattedData!H78^2*$J$6+$M$5*$J$7</f>
        <v>46.57631364690473</v>
      </c>
      <c r="P41" s="6">
        <f>$J$3+[16]FormattedData!I78*$J$4+$M$4*$J$5+[16]FormattedData!I78^2*$J$6+$M$5*$J$7</f>
        <v>33.006160670367464</v>
      </c>
      <c r="Q41" s="6">
        <f>$J$3+[16]FormattedData!J78*$J$4+$M$4*$J$5+[16]FormattedData!J78^2*$J$6+$M$5*$J$7</f>
        <v>40.182510229324791</v>
      </c>
      <c r="R41" s="6">
        <f>$J$3+[16]FormattedData!K78*$J$4+$M$4*$J$5+[16]FormattedData!K78^2*$J$6+$M$5*$J$7</f>
        <v>36.057538588000384</v>
      </c>
      <c r="S41" s="6">
        <f>$J$3+[16]FormattedData!L78*$J$4+$M$4*$J$5+[16]FormattedData!L78^2*$J$6+$M$5*$J$7</f>
        <v>43.952580876850242</v>
      </c>
      <c r="T41" s="6">
        <f>$J$3+[16]FormattedData!M78*$J$4+$M$4*$J$5+[16]FormattedData!M78^2*$J$6+$M$5*$J$7</f>
        <v>40.831210783696598</v>
      </c>
      <c r="U41" s="6">
        <f>$J$3+[16]FormattedData!N78*$J$4+$M$4*$J$5+[16]FormattedData!N78^2*$J$6+$M$5*$J$7</f>
        <v>41.016173382390022</v>
      </c>
      <c r="V41" s="6">
        <f>$J$3+[16]FormattedData!O78*$J$4+$M$4*$J$5+[16]FormattedData!O78^2*$J$6+$M$5*$J$7</f>
        <v>47.025088540155494</v>
      </c>
      <c r="W41" s="5">
        <f t="shared" si="0"/>
        <v>41.144243347864453</v>
      </c>
      <c r="X41" s="4">
        <f t="shared" si="1"/>
        <v>1.869620831899534</v>
      </c>
      <c r="Y41" s="3">
        <f t="shared" si="2"/>
        <v>32.332902095457655</v>
      </c>
      <c r="Z41" s="2">
        <f t="shared" si="3"/>
        <v>35.294694108592154</v>
      </c>
      <c r="AA41" s="3">
        <f t="shared" si="4"/>
        <v>40.923692083043306</v>
      </c>
      <c r="AB41" s="2">
        <f t="shared" si="5"/>
        <v>46.688507370217422</v>
      </c>
      <c r="AC41" s="2">
        <f t="shared" si="6"/>
        <v>50.048733773612341</v>
      </c>
      <c r="AD41" s="2">
        <f t="shared" si="7"/>
        <v>-7.1247331645445014E-2</v>
      </c>
      <c r="AE41" s="2">
        <f t="shared" si="8"/>
        <v>-1.4151639046603028</v>
      </c>
    </row>
    <row r="42" spans="2:31" x14ac:dyDescent="0.2">
      <c r="B42" s="17">
        <f>[16]FormattedData!A60</f>
        <v>901</v>
      </c>
      <c r="C42" s="17" t="str">
        <f>VLOOKUP($B42,[16]TrtCodes!$B$11:I103,2)</f>
        <v>WS</v>
      </c>
      <c r="D42" s="17">
        <f>VLOOKUP($B42,[16]TrtCodes!$B$11:J103,3)</f>
        <v>32</v>
      </c>
      <c r="E42" s="17">
        <f>VLOOKUP($B42,[16]TrtCodes!$B$11:K103,4)</f>
        <v>9</v>
      </c>
      <c r="F42" s="17">
        <f>VLOOKUP($B42,[16]TrtCodes!$B$11:L103,5)</f>
        <v>0</v>
      </c>
      <c r="G42" s="17">
        <f>VLOOKUP($B42,[16]TrtCodes!$B$11:M103,6)</f>
        <v>1</v>
      </c>
      <c r="H42" s="17">
        <f>VLOOKUP($B42,[16]TrtCodes!$B$11:N103,7)</f>
        <v>1</v>
      </c>
      <c r="I42" s="17">
        <f>[16]FormattedData!B60</f>
        <v>1</v>
      </c>
      <c r="J42" s="15">
        <f>[16]FormattedData!C60</f>
        <v>13.542999999999999</v>
      </c>
      <c r="K42" s="14">
        <f>$J$3+[16]FormattedData!D60*$J$4+$M$4*$J$5+[16]FormattedData!D60^2*$J$6+$M$5*$J$7</f>
        <v>38.317667568735352</v>
      </c>
      <c r="L42" s="14">
        <f>$J$3+[16]FormattedData!E60*$J$4+$M$4*$J$5+[16]FormattedData!E60^2*$J$6+$M$5*$J$7</f>
        <v>38.411311252875166</v>
      </c>
      <c r="M42" s="14">
        <f>$J$3+[16]FormattedData!F60*$J$4+$M$4*$J$5+[16]FormattedData!F60^2*$J$6+$M$5*$J$7</f>
        <v>38.223981616057607</v>
      </c>
      <c r="N42" s="14">
        <f>$J$3+[16]FormattedData!G60*$J$4+$M$4*$J$5+[16]FormattedData!G60^2*$J$6+$M$5*$J$7</f>
        <v>38.223981616057607</v>
      </c>
      <c r="O42" s="14">
        <f>$J$3+[16]FormattedData!H60*$J$4+$M$4*$J$5+[16]FormattedData!H60^2*$J$6+$M$5*$J$7</f>
        <v>38.223981616057607</v>
      </c>
      <c r="P42" s="14">
        <f>$J$3+[16]FormattedData!I60*$J$4+$M$4*$J$5+[16]FormattedData!I60^2*$J$6+$M$5*$J$7</f>
        <v>38.972285718417517</v>
      </c>
      <c r="Q42" s="14">
        <f>$J$3+[16]FormattedData!J60*$J$4+$M$4*$J$5+[16]FormattedData!J60^2*$J$6+$M$5*$J$7</f>
        <v>38.598471815541011</v>
      </c>
      <c r="R42" s="14">
        <f>$J$3+[16]FormattedData!K60*$J$4+$M$4*$J$5+[16]FormattedData!K60^2*$J$6+$M$5*$J$7</f>
        <v>38.411311252875166</v>
      </c>
      <c r="S42" s="14">
        <f>$J$3+[16]FormattedData!L60*$J$4+$M$4*$J$5+[16]FormattedData!L60^2*$J$6+$M$5*$J$7</f>
        <v>38.878895645505288</v>
      </c>
      <c r="T42" s="14">
        <f>$J$3+[16]FormattedData!M60*$J$4+$M$4*$J$5+[16]FormattedData!M60^2*$J$6+$M$5*$J$7</f>
        <v>38.598471815541011</v>
      </c>
      <c r="U42" s="14">
        <f>$J$3+[16]FormattedData!N60*$J$4+$M$4*$J$5+[16]FormattedData!N60^2*$J$6+$M$5*$J$7</f>
        <v>38.504912668477047</v>
      </c>
      <c r="V42" s="14">
        <f>$J$3+[16]FormattedData!O60*$J$4+$M$4*$J$5+[16]FormattedData!O60^2*$J$6+$M$5*$J$7</f>
        <v>38.878895645505288</v>
      </c>
      <c r="W42" s="16">
        <f t="shared" ref="W42:W73" si="9">AVERAGE(K42:V42)</f>
        <v>38.520347352637138</v>
      </c>
      <c r="X42" s="15">
        <f t="shared" ref="X42:X73" si="10">STDEV(K42:V42)/SQRT(COUNT(K42:V42))</f>
        <v>7.7955014336396733E-2</v>
      </c>
      <c r="Y42" s="14">
        <f t="shared" ref="Y42:Y73" si="11">MIN(K42:V42)</f>
        <v>38.223981616057607</v>
      </c>
      <c r="Z42" s="13">
        <f t="shared" ref="Z42:Z73" si="12">QUARTILE(K42:V42,1)</f>
        <v>38.294246080565912</v>
      </c>
      <c r="AA42" s="14">
        <f t="shared" ref="AA42:AA73" si="13">MEDIAN(K42:V42)</f>
        <v>38.458111960676106</v>
      </c>
      <c r="AB42" s="13">
        <f t="shared" ref="AB42:AB73" si="14">QUARTILE(K42:V42,3)</f>
        <v>38.668577773032084</v>
      </c>
      <c r="AC42" s="13">
        <f t="shared" ref="AC42:AC73" si="15">MAX(K42:V42)</f>
        <v>38.972285718417517</v>
      </c>
      <c r="AD42" s="13">
        <f t="shared" ref="AD42:AD73" si="16">SKEW(K42:V42)</f>
        <v>0.53421893339548054</v>
      </c>
      <c r="AE42" s="13">
        <f t="shared" ref="AE42:AE73" si="17">KURT(K42:V42)</f>
        <v>-1.0714014231068312</v>
      </c>
    </row>
    <row r="43" spans="2:31" x14ac:dyDescent="0.2">
      <c r="B43" s="1">
        <f>[16]FormattedData!A58</f>
        <v>902</v>
      </c>
      <c r="C43" s="1" t="str">
        <f>VLOOKUP($B43,[16]TrtCodes!$B$11:I101,2)</f>
        <v>Late</v>
      </c>
      <c r="D43" s="1">
        <f>VLOOKUP($B43,[16]TrtCodes!$B$11:J101,3)</f>
        <v>22</v>
      </c>
      <c r="E43" s="1">
        <f>VLOOKUP($B43,[16]TrtCodes!$B$11:K101,4)</f>
        <v>4</v>
      </c>
      <c r="F43" s="1">
        <f>VLOOKUP($B43,[16]TrtCodes!$B$11:L101,5)</f>
        <v>2</v>
      </c>
      <c r="G43" s="1">
        <f>VLOOKUP($B43,[16]TrtCodes!$B$11:M101,6)</f>
        <v>2</v>
      </c>
      <c r="H43" s="1">
        <f>VLOOKUP($B43,[16]TrtCodes!$B$11:N101,7)</f>
        <v>1</v>
      </c>
      <c r="I43" s="1">
        <f>[16]FormattedData!B58</f>
        <v>1</v>
      </c>
      <c r="J43" s="4">
        <f>[16]FormattedData!C58</f>
        <v>13.525</v>
      </c>
      <c r="K43" s="6">
        <f>$J$3+[16]FormattedData!D58*$J$4+$M$4*$J$5+[16]FormattedData!D58^2*$J$6+$M$5*$J$7</f>
        <v>33.485791596307962</v>
      </c>
      <c r="L43" s="6">
        <f>$J$3+[16]FormattedData!E58*$J$4+$M$4*$J$5+[16]FormattedData!E58^2*$J$6+$M$5*$J$7</f>
        <v>32.814012420225744</v>
      </c>
      <c r="M43" s="6">
        <f>$J$3+[16]FormattedData!F58*$J$4+$M$4*$J$5+[16]FormattedData!F58^2*$J$6+$M$5*$J$7</f>
        <v>34.727886584815309</v>
      </c>
      <c r="N43" s="6">
        <f>$J$3+[16]FormattedData!G58*$J$4+$M$4*$J$5+[16]FormattedData!G58^2*$J$6+$M$5*$J$7</f>
        <v>32.62169509593231</v>
      </c>
      <c r="O43" s="6">
        <f>$J$3+[16]FormattedData!H58*$J$4+$M$4*$J$5+[16]FormattedData!H58^2*$J$6+$M$5*$J$7</f>
        <v>34.059953845684831</v>
      </c>
      <c r="P43" s="6">
        <f>$J$3+[16]FormattedData!I58*$J$4+$M$4*$J$5+[16]FormattedData!I58^2*$J$6+$M$5*$J$7</f>
        <v>32.62169509593231</v>
      </c>
      <c r="Q43" s="6">
        <f>$J$3+[16]FormattedData!J58*$J$4+$M$4*$J$5+[16]FormattedData!J58^2*$J$6+$M$5*$J$7</f>
        <v>33.006160670367464</v>
      </c>
      <c r="R43" s="6">
        <f>$J$3+[16]FormattedData!K58*$J$4+$M$4*$J$5+[16]FormattedData!K58^2*$J$6+$M$5*$J$7</f>
        <v>32.429208697487141</v>
      </c>
      <c r="S43" s="6">
        <f>$J$3+[16]FormattedData!L58*$J$4+$M$4*$J$5+[16]FormattedData!L58^2*$J$6+$M$5*$J$7</f>
        <v>32.04372867814164</v>
      </c>
      <c r="T43" s="6">
        <f>$J$3+[16]FormattedData!M58*$J$4+$M$4*$J$5+[16]FormattedData!M58^2*$J$6+$M$5*$J$7</f>
        <v>32.91010767956557</v>
      </c>
      <c r="U43" s="6">
        <f>$J$3+[16]FormattedData!N58*$J$4+$M$4*$J$5+[16]FormattedData!N58^2*$J$6+$M$5*$J$7</f>
        <v>33.198139846357449</v>
      </c>
      <c r="V43" s="6">
        <f>$J$3+[16]FormattedData!O58*$J$4+$M$4*$J$5+[16]FormattedData!O58^2*$J$6+$M$5*$J$7</f>
        <v>32.429208697487141</v>
      </c>
      <c r="W43" s="5">
        <f t="shared" si="9"/>
        <v>33.028965742358736</v>
      </c>
      <c r="X43" s="4">
        <f t="shared" si="10"/>
        <v>0.21793240429058525</v>
      </c>
      <c r="Y43" s="3">
        <f t="shared" si="11"/>
        <v>32.04372867814164</v>
      </c>
      <c r="Z43" s="2">
        <f t="shared" si="12"/>
        <v>32.573573496321018</v>
      </c>
      <c r="AA43" s="3">
        <f t="shared" si="13"/>
        <v>32.862060049895661</v>
      </c>
      <c r="AB43" s="2">
        <f t="shared" si="14"/>
        <v>33.270052783845074</v>
      </c>
      <c r="AC43" s="2">
        <f t="shared" si="15"/>
        <v>34.727886584815309</v>
      </c>
      <c r="AD43" s="2">
        <f t="shared" si="16"/>
        <v>1.1574566915452817</v>
      </c>
      <c r="AE43" s="2">
        <f t="shared" si="17"/>
        <v>1.1881417809118195</v>
      </c>
    </row>
    <row r="44" spans="2:31" x14ac:dyDescent="0.2">
      <c r="B44" s="17">
        <f>[16]FormattedData!A56</f>
        <v>903</v>
      </c>
      <c r="C44" s="17" t="str">
        <f>VLOOKUP($B44,[16]TrtCodes!$B$11:I99,2)</f>
        <v>DS</v>
      </c>
      <c r="D44" s="17">
        <f>VLOOKUP($B44,[16]TrtCodes!$B$11:J99,3)</f>
        <v>31</v>
      </c>
      <c r="E44" s="17">
        <f>VLOOKUP($B44,[16]TrtCodes!$B$11:K99,4)</f>
        <v>8</v>
      </c>
      <c r="F44" s="17">
        <f>VLOOKUP($B44,[16]TrtCodes!$B$11:L99,5)</f>
        <v>0</v>
      </c>
      <c r="G44" s="17">
        <f>VLOOKUP($B44,[16]TrtCodes!$B$11:M99,6)</f>
        <v>1</v>
      </c>
      <c r="H44" s="17">
        <f>VLOOKUP($B44,[16]TrtCodes!$B$11:N99,7)</f>
        <v>1</v>
      </c>
      <c r="I44" s="17">
        <f>[16]FormattedData!B56</f>
        <v>1</v>
      </c>
      <c r="J44" s="15">
        <f>[16]FormattedData!C56</f>
        <v>13.512</v>
      </c>
      <c r="K44" s="14">
        <f>$J$3+[16]FormattedData!D56*$J$4+$M$4*$J$5+[16]FormattedData!D56^2*$J$6+$M$5*$J$7</f>
        <v>63.865802235019693</v>
      </c>
      <c r="L44" s="14">
        <f>$J$3+[16]FormattedData!E56*$J$4+$M$4*$J$5+[16]FormattedData!E56^2*$J$6+$M$5*$J$7</f>
        <v>64.190753708047794</v>
      </c>
      <c r="M44" s="14">
        <f>$J$3+[16]FormattedData!F56*$J$4+$M$4*$J$5+[16]FormattedData!F56^2*$J$6+$M$5*$J$7</f>
        <v>64.352975833334256</v>
      </c>
      <c r="N44" s="14">
        <f>$J$3+[16]FormattedData!G56*$J$4+$M$4*$J$5+[16]FormattedData!G56^2*$J$6+$M$5*$J$7</f>
        <v>64.028362508609604</v>
      </c>
      <c r="O44" s="14">
        <f>$J$3+[16]FormattedData!H56*$J$4+$M$4*$J$5+[16]FormattedData!H56^2*$J$6+$M$5*$J$7</f>
        <v>64.028362508609604</v>
      </c>
      <c r="P44" s="14">
        <f>$J$3+[16]FormattedData!I56*$J$4+$M$4*$J$5+[16]FormattedData!I56^2*$J$6+$M$5*$J$7</f>
        <v>64.028362508609604</v>
      </c>
      <c r="Q44" s="14">
        <f>$J$3+[16]FormattedData!J56*$J$4+$M$4*$J$5+[16]FormattedData!J56^2*$J$6+$M$5*$J$7</f>
        <v>64.028362508609604</v>
      </c>
      <c r="R44" s="14">
        <f>$J$3+[16]FormattedData!K56*$J$4+$M$4*$J$5+[16]FormattedData!K56^2*$J$6+$M$5*$J$7</f>
        <v>64.109579242597675</v>
      </c>
      <c r="S44" s="14">
        <f>$J$3+[16]FormattedData!L56*$J$4+$M$4*$J$5+[16]FormattedData!L56^2*$J$6+$M$5*$J$7</f>
        <v>63.865802235019693</v>
      </c>
      <c r="T44" s="14">
        <f>$J$3+[16]FormattedData!M56*$J$4+$M$4*$J$5+[16]FormattedData!M56^2*$J$6+$M$5*$J$7</f>
        <v>64.352975833334256</v>
      </c>
      <c r="U44" s="14">
        <f>$J$3+[16]FormattedData!N56*$J$4+$M$4*$J$5+[16]FormattedData!N56^2*$J$6+$M$5*$J$7</f>
        <v>64.919421812892082</v>
      </c>
      <c r="V44" s="14">
        <f>$J$3+[16]FormattedData!O56*$J$4+$M$4*$J$5+[16]FormattedData!O56^2*$J$6+$M$5*$J$7</f>
        <v>64.919421812892082</v>
      </c>
      <c r="W44" s="16">
        <f t="shared" si="9"/>
        <v>64.224181895631318</v>
      </c>
      <c r="X44" s="15">
        <f t="shared" si="10"/>
        <v>0.10387918920209162</v>
      </c>
      <c r="Y44" s="14">
        <f t="shared" si="11"/>
        <v>63.865802235019693</v>
      </c>
      <c r="Z44" s="13">
        <f t="shared" si="12"/>
        <v>64.028362508609604</v>
      </c>
      <c r="AA44" s="14">
        <f t="shared" si="13"/>
        <v>64.06897087560364</v>
      </c>
      <c r="AB44" s="13">
        <f t="shared" si="14"/>
        <v>64.352975833334256</v>
      </c>
      <c r="AC44" s="13">
        <f t="shared" si="15"/>
        <v>64.919421812892082</v>
      </c>
      <c r="AD44" s="13">
        <f t="shared" si="16"/>
        <v>1.2940478732908836</v>
      </c>
      <c r="AE44" s="13">
        <f t="shared" si="17"/>
        <v>0.72996326200994766</v>
      </c>
    </row>
    <row r="45" spans="2:31" x14ac:dyDescent="0.2">
      <c r="B45" s="1">
        <f>[16]FormattedData!A54</f>
        <v>904</v>
      </c>
      <c r="C45" s="1" t="str">
        <f>VLOOKUP($B45,[16]TrtCodes!$B$11:I97,2)</f>
        <v>Early</v>
      </c>
      <c r="D45" s="1">
        <f>VLOOKUP($B45,[16]TrtCodes!$B$11:J97,3)</f>
        <v>21</v>
      </c>
      <c r="E45" s="1">
        <f>VLOOKUP($B45,[16]TrtCodes!$B$11:K97,4)</f>
        <v>3</v>
      </c>
      <c r="F45" s="1">
        <f>VLOOKUP($B45,[16]TrtCodes!$B$11:L97,5)</f>
        <v>2</v>
      </c>
      <c r="G45" s="1">
        <f>VLOOKUP($B45,[16]TrtCodes!$B$11:M97,6)</f>
        <v>2</v>
      </c>
      <c r="H45" s="1">
        <f>VLOOKUP($B45,[16]TrtCodes!$B$11:N97,7)</f>
        <v>1</v>
      </c>
      <c r="I45" s="1">
        <f>[16]FormattedData!B54</f>
        <v>1</v>
      </c>
      <c r="J45" s="4">
        <f>[16]FormattedData!C54</f>
        <v>13.494</v>
      </c>
      <c r="K45" s="6">
        <f>$J$3+[16]FormattedData!D54*$J$4+$M$4*$J$5+[16]FormattedData!D54^2*$J$6+$M$5*$J$7</f>
        <v>62.886890036293963</v>
      </c>
      <c r="L45" s="6">
        <f>$J$3+[16]FormattedData!E54*$J$4+$M$4*$J$5+[16]FormattedData!E54^2*$J$6+$M$5*$J$7</f>
        <v>50.928742116872442</v>
      </c>
      <c r="M45" s="6">
        <f>$J$3+[16]FormattedData!F54*$J$4+$M$4*$J$5+[16]FormattedData!F54^2*$J$6+$M$5*$J$7</f>
        <v>51.279561935114408</v>
      </c>
      <c r="N45" s="6">
        <f>$J$3+[16]FormattedData!G54*$J$4+$M$4*$J$5+[16]FormattedData!G54^2*$J$6+$M$5*$J$7</f>
        <v>49.430212955323356</v>
      </c>
      <c r="O45" s="6">
        <f>$J$3+[16]FormattedData!H54*$J$4+$M$4*$J$5+[16]FormattedData!H54^2*$J$6+$M$5*$J$7</f>
        <v>52.153652683064152</v>
      </c>
      <c r="P45" s="6">
        <f>$J$3+[16]FormattedData!I54*$J$4+$M$4*$J$5+[16]FormattedData!I54^2*$J$6+$M$5*$J$7</f>
        <v>53.716364357815038</v>
      </c>
      <c r="Q45" s="6">
        <f>$J$3+[16]FormattedData!J54*$J$4+$M$4*$J$5+[16]FormattedData!J54^2*$J$6+$M$5*$J$7</f>
        <v>56.460703615916174</v>
      </c>
      <c r="R45" s="6">
        <f>$J$3+[16]FormattedData!K54*$J$4+$M$4*$J$5+[16]FormattedData!K54^2*$J$6+$M$5*$J$7</f>
        <v>48.631928568506495</v>
      </c>
      <c r="S45" s="6">
        <f>$J$3+[16]FormattedData!L54*$J$4+$M$4*$J$5+[16]FormattedData!L54^2*$J$6+$M$5*$J$7</f>
        <v>59.496348590852207</v>
      </c>
      <c r="T45" s="6">
        <f>$J$3+[16]FormattedData!M54*$J$4+$M$4*$J$5+[16]FormattedData!M54^2*$J$6+$M$5*$J$7</f>
        <v>46.935418098581195</v>
      </c>
      <c r="U45" s="6">
        <f>$J$3+[16]FormattedData!N54*$J$4+$M$4*$J$5+[16]FormattedData!N54^2*$J$6+$M$5*$J$7</f>
        <v>56.034753733148221</v>
      </c>
      <c r="V45" s="6">
        <f>$J$3+[16]FormattedData!O54*$J$4+$M$4*$J$5+[16]FormattedData!O54^2*$J$6+$M$5*$J$7</f>
        <v>48.898403780953494</v>
      </c>
      <c r="W45" s="5">
        <f t="shared" si="9"/>
        <v>53.071081706036757</v>
      </c>
      <c r="X45" s="4">
        <f t="shared" si="10"/>
        <v>1.3898546872489321</v>
      </c>
      <c r="Y45" s="3">
        <f t="shared" si="11"/>
        <v>46.935418098581195</v>
      </c>
      <c r="Z45" s="2">
        <f t="shared" si="12"/>
        <v>49.297260661730888</v>
      </c>
      <c r="AA45" s="3">
        <f t="shared" si="13"/>
        <v>51.716607309089284</v>
      </c>
      <c r="AB45" s="2">
        <f t="shared" si="14"/>
        <v>56.14124120384021</v>
      </c>
      <c r="AC45" s="2">
        <f t="shared" si="15"/>
        <v>62.886890036293963</v>
      </c>
      <c r="AD45" s="2">
        <f t="shared" si="16"/>
        <v>0.80204984423496373</v>
      </c>
      <c r="AE45" s="2">
        <f t="shared" si="17"/>
        <v>-7.0376520099865392E-2</v>
      </c>
    </row>
    <row r="46" spans="2:31" x14ac:dyDescent="0.2">
      <c r="B46" s="17">
        <f>[16]FormattedData!A52</f>
        <v>905</v>
      </c>
      <c r="C46" s="17" t="str">
        <f>VLOOKUP($B46,[16]TrtCodes!$B$11:I95,2)</f>
        <v>WS</v>
      </c>
      <c r="D46" s="17">
        <f>VLOOKUP($B46,[16]TrtCodes!$B$11:J95,3)</f>
        <v>32</v>
      </c>
      <c r="E46" s="17">
        <f>VLOOKUP($B46,[16]TrtCodes!$B$11:K95,4)</f>
        <v>9</v>
      </c>
      <c r="F46" s="17">
        <f>VLOOKUP($B46,[16]TrtCodes!$B$11:L95,5)</f>
        <v>0</v>
      </c>
      <c r="G46" s="17">
        <f>VLOOKUP($B46,[16]TrtCodes!$B$11:M95,6)</f>
        <v>1</v>
      </c>
      <c r="H46" s="17">
        <f>VLOOKUP($B46,[16]TrtCodes!$B$11:N95,7)</f>
        <v>2</v>
      </c>
      <c r="I46" s="17">
        <f>[16]FormattedData!B52</f>
        <v>1</v>
      </c>
      <c r="J46" s="15">
        <f>[16]FormattedData!C52</f>
        <v>13.486000000000001</v>
      </c>
      <c r="K46" s="14">
        <f>$J$3+[16]FormattedData!D52*$J$4+$M$4*$J$5+[16]FormattedData!D52^2*$J$6+$M$5*$J$7</f>
        <v>39.158939058628192</v>
      </c>
      <c r="L46" s="14">
        <f>$J$3+[16]FormattedData!E52*$J$4+$M$4*$J$5+[16]FormattedData!E52^2*$J$6+$M$5*$J$7</f>
        <v>39.252202325926625</v>
      </c>
      <c r="M46" s="14">
        <f>$J$3+[16]FormattedData!F52*$J$4+$M$4*$J$5+[16]FormattedData!F52^2*$J$6+$M$5*$J$7</f>
        <v>39.252202325926625</v>
      </c>
      <c r="N46" s="14">
        <f>$J$3+[16]FormattedData!G52*$J$4+$M$4*$J$5+[16]FormattedData!G52^2*$J$6+$M$5*$J$7</f>
        <v>39.252202325926625</v>
      </c>
      <c r="O46" s="14">
        <f>$J$3+[16]FormattedData!H52*$J$4+$M$4*$J$5+[16]FormattedData!H52^2*$J$6+$M$5*$J$7</f>
        <v>39.158939058628192</v>
      </c>
      <c r="P46" s="14">
        <f>$J$3+[16]FormattedData!I52*$J$4+$M$4*$J$5+[16]FormattedData!I52^2*$J$6+$M$5*$J$7</f>
        <v>39.252202325926625</v>
      </c>
      <c r="Q46" s="14">
        <f>$J$3+[16]FormattedData!J52*$J$4+$M$4*$J$5+[16]FormattedData!J52^2*$J$6+$M$5*$J$7</f>
        <v>39.158939058628192</v>
      </c>
      <c r="R46" s="14">
        <f>$J$3+[16]FormattedData!K52*$J$4+$M$4*$J$5+[16]FormattedData!K52^2*$J$6+$M$5*$J$7</f>
        <v>38.878895645505288</v>
      </c>
      <c r="S46" s="14">
        <f>$J$3+[16]FormattedData!L52*$J$4+$M$4*$J$5+[16]FormattedData!L52^2*$J$6+$M$5*$J$7</f>
        <v>38.878895645505288</v>
      </c>
      <c r="T46" s="14">
        <f>$J$3+[16]FormattedData!M52*$J$4+$M$4*$J$5+[16]FormattedData!M52^2*$J$6+$M$5*$J$7</f>
        <v>39.065633522791821</v>
      </c>
      <c r="U46" s="14">
        <f>$J$3+[16]FormattedData!N52*$J$4+$M$4*$J$5+[16]FormattedData!N52^2*$J$6+$M$5*$J$7</f>
        <v>38.878895645505288</v>
      </c>
      <c r="V46" s="14">
        <f>$J$3+[16]FormattedData!O52*$J$4+$M$4*$J$5+[16]FormattedData!O52^2*$J$6+$M$5*$J$7</f>
        <v>38.972285718417517</v>
      </c>
      <c r="W46" s="16">
        <f t="shared" si="9"/>
        <v>39.096686054776349</v>
      </c>
      <c r="X46" s="15">
        <f t="shared" si="10"/>
        <v>4.4983603273344892E-2</v>
      </c>
      <c r="Y46" s="14">
        <f t="shared" si="11"/>
        <v>38.878895645505288</v>
      </c>
      <c r="Z46" s="13">
        <f t="shared" si="12"/>
        <v>38.94893820018946</v>
      </c>
      <c r="AA46" s="14">
        <f t="shared" si="13"/>
        <v>39.158939058628192</v>
      </c>
      <c r="AB46" s="13">
        <f t="shared" si="14"/>
        <v>39.252202325926625</v>
      </c>
      <c r="AC46" s="13">
        <f t="shared" si="15"/>
        <v>39.252202325926625</v>
      </c>
      <c r="AD46" s="13">
        <f t="shared" si="16"/>
        <v>-0.49524142178957575</v>
      </c>
      <c r="AE46" s="13">
        <f t="shared" si="17"/>
        <v>-1.5279720264451919</v>
      </c>
    </row>
    <row r="47" spans="2:31" x14ac:dyDescent="0.2">
      <c r="B47" s="1">
        <f>[16]FormattedData!A50</f>
        <v>906</v>
      </c>
      <c r="C47" s="1" t="str">
        <f>VLOOKUP($B47,[16]TrtCodes!$B$11:I93,2)</f>
        <v>Late</v>
      </c>
      <c r="D47" s="1">
        <f>VLOOKUP($B47,[16]TrtCodes!$B$11:J93,3)</f>
        <v>22</v>
      </c>
      <c r="E47" s="1">
        <f>VLOOKUP($B47,[16]TrtCodes!$B$11:K93,4)</f>
        <v>4</v>
      </c>
      <c r="F47" s="1">
        <f>VLOOKUP($B47,[16]TrtCodes!$B$11:L93,5)</f>
        <v>2</v>
      </c>
      <c r="G47" s="1">
        <f>VLOOKUP($B47,[16]TrtCodes!$B$11:M93,6)</f>
        <v>2</v>
      </c>
      <c r="H47" s="1">
        <f>VLOOKUP($B47,[16]TrtCodes!$B$11:N93,7)</f>
        <v>2</v>
      </c>
      <c r="I47" s="1">
        <f>[16]FormattedData!B50</f>
        <v>1</v>
      </c>
      <c r="J47" s="4">
        <f>[16]FormattedData!C50</f>
        <v>13.465999999999999</v>
      </c>
      <c r="K47" s="6">
        <f>$J$3+[16]FormattedData!D50*$J$4+$M$4*$J$5+[16]FormattedData!D50^2*$J$6+$M$5*$J$7</f>
        <v>34.251003113840333</v>
      </c>
      <c r="L47" s="6">
        <f>$J$3+[16]FormattedData!E50*$J$4+$M$4*$J$5+[16]FormattedData!E50^2*$J$6+$M$5*$J$7</f>
        <v>33.773062929417087</v>
      </c>
      <c r="M47" s="6">
        <f>$J$3+[16]FormattedData!F50*$J$4+$M$4*$J$5+[16]FormattedData!F50^2*$J$6+$M$5*$J$7</f>
        <v>34.251003113840333</v>
      </c>
      <c r="N47" s="6">
        <f>$J$3+[16]FormattedData!G50*$J$4+$M$4*$J$5+[16]FormattedData!G50^2*$J$6+$M$5*$J$7</f>
        <v>33.677348086918634</v>
      </c>
      <c r="O47" s="6">
        <f>$J$3+[16]FormattedData!H50*$J$4+$M$4*$J$5+[16]FormattedData!H50^2*$J$6+$M$5*$J$7</f>
        <v>35.203713342341999</v>
      </c>
      <c r="P47" s="6">
        <f>$J$3+[16]FormattedData!I50*$J$4+$M$4*$J$5+[16]FormattedData!I50^2*$J$6+$M$5*$J$7</f>
        <v>33.677348086918634</v>
      </c>
      <c r="Q47" s="6">
        <f>$J$3+[16]FormattedData!J50*$J$4+$M$4*$J$5+[16]FormattedData!J50^2*$J$6+$M$5*$J$7</f>
        <v>33.581590975882264</v>
      </c>
      <c r="R47" s="6">
        <f>$J$3+[16]FormattedData!K50*$J$4+$M$4*$J$5+[16]FormattedData!K50^2*$J$6+$M$5*$J$7</f>
        <v>34.059953845684831</v>
      </c>
      <c r="S47" s="6">
        <f>$J$3+[16]FormattedData!L50*$J$4+$M$4*$J$5+[16]FormattedData!L50^2*$J$6+$M$5*$J$7</f>
        <v>33.198139846357449</v>
      </c>
      <c r="T47" s="6">
        <f>$J$3+[16]FormattedData!M50*$J$4+$M$4*$J$5+[16]FormattedData!M50^2*$J$6+$M$5*$J$7</f>
        <v>33.389949948195721</v>
      </c>
      <c r="U47" s="6">
        <f>$J$3+[16]FormattedData!N50*$J$4+$M$4*$J$5+[16]FormattedData!N50^2*$J$6+$M$5*$J$7</f>
        <v>32.717874892347993</v>
      </c>
      <c r="V47" s="6">
        <f>$J$3+[16]FormattedData!O50*$J$4+$M$4*$J$5+[16]FormattedData!O50^2*$J$6+$M$5*$J$7</f>
        <v>33.485791596307962</v>
      </c>
      <c r="W47" s="5">
        <f t="shared" si="9"/>
        <v>33.7722316481711</v>
      </c>
      <c r="X47" s="4">
        <f t="shared" si="10"/>
        <v>0.18078438607124447</v>
      </c>
      <c r="Y47" s="3">
        <f t="shared" si="11"/>
        <v>32.717874892347993</v>
      </c>
      <c r="Z47" s="2">
        <f t="shared" si="12"/>
        <v>33.461831184279902</v>
      </c>
      <c r="AA47" s="3">
        <f t="shared" si="13"/>
        <v>33.677348086918634</v>
      </c>
      <c r="AB47" s="2">
        <f t="shared" si="14"/>
        <v>34.107716162723705</v>
      </c>
      <c r="AC47" s="2">
        <f t="shared" si="15"/>
        <v>35.203713342341999</v>
      </c>
      <c r="AD47" s="2">
        <f t="shared" si="16"/>
        <v>0.76719002290116256</v>
      </c>
      <c r="AE47" s="2">
        <f t="shared" si="17"/>
        <v>1.790476238071367</v>
      </c>
    </row>
    <row r="48" spans="2:31" x14ac:dyDescent="0.2">
      <c r="B48" s="17">
        <f>[16]FormattedData!A48</f>
        <v>907</v>
      </c>
      <c r="C48" s="17" t="str">
        <f>VLOOKUP($B48,[16]TrtCodes!$B$11:I91,2)</f>
        <v>DS</v>
      </c>
      <c r="D48" s="17">
        <f>VLOOKUP($B48,[16]TrtCodes!$B$11:J91,3)</f>
        <v>31</v>
      </c>
      <c r="E48" s="17">
        <f>VLOOKUP($B48,[16]TrtCodes!$B$11:K91,4)</f>
        <v>8</v>
      </c>
      <c r="F48" s="17">
        <f>VLOOKUP($B48,[16]TrtCodes!$B$11:L91,5)</f>
        <v>0</v>
      </c>
      <c r="G48" s="17">
        <f>VLOOKUP($B48,[16]TrtCodes!$B$11:M91,6)</f>
        <v>1</v>
      </c>
      <c r="H48" s="17">
        <f>VLOOKUP($B48,[16]TrtCodes!$B$11:N91,7)</f>
        <v>2</v>
      </c>
      <c r="I48" s="17">
        <f>[16]FormattedData!B48</f>
        <v>1</v>
      </c>
      <c r="J48" s="15">
        <f>[16]FormattedData!C48</f>
        <v>13.451000000000001</v>
      </c>
      <c r="K48" s="14">
        <f>$J$3+[16]FormattedData!D48*$J$4+$M$4*$J$5+[16]FormattedData!D48^2*$J$6+$M$5*$J$7</f>
        <v>64.028362508609604</v>
      </c>
      <c r="L48" s="14">
        <f>$J$3+[16]FormattedData!E48*$J$4+$M$4*$J$5+[16]FormattedData!E48^2*$J$6+$M$5*$J$7</f>
        <v>64.595992007229484</v>
      </c>
      <c r="M48" s="14">
        <f>$J$3+[16]FormattedData!F48*$J$4+$M$4*$J$5+[16]FormattedData!F48^2*$J$6+$M$5*$J$7</f>
        <v>64.109579242597675</v>
      </c>
      <c r="N48" s="14">
        <f>$J$3+[16]FormattedData!G48*$J$4+$M$4*$J$5+[16]FormattedData!G48^2*$J$6+$M$5*$J$7</f>
        <v>64.515028884469018</v>
      </c>
      <c r="O48" s="14">
        <f>$J$3+[16]FormattedData!H48*$J$4+$M$4*$J$5+[16]FormattedData!H48^2*$J$6+$M$5*$J$7</f>
        <v>64.515028884469018</v>
      </c>
      <c r="P48" s="14">
        <f>$J$3+[16]FormattedData!I48*$J$4+$M$4*$J$5+[16]FormattedData!I48^2*$J$6+$M$5*$J$7</f>
        <v>64.676912861452038</v>
      </c>
      <c r="Q48" s="14">
        <f>$J$3+[16]FormattedData!J48*$J$4+$M$4*$J$5+[16]FormattedData!J48^2*$J$6+$M$5*$J$7</f>
        <v>64.676912861452038</v>
      </c>
      <c r="R48" s="14">
        <f>$J$3+[16]FormattedData!K48*$J$4+$M$4*$J$5+[16]FormattedData!K48^2*$J$6+$M$5*$J$7</f>
        <v>62.886890036293963</v>
      </c>
      <c r="S48" s="14">
        <f>$J$3+[16]FormattedData!L48*$J$4+$M$4*$J$5+[16]FormattedData!L48^2*$J$6+$M$5*$J$7</f>
        <v>64.434023493170599</v>
      </c>
      <c r="T48" s="14">
        <f>$J$3+[16]FormattedData!M48*$J$4+$M$4*$J$5+[16]FormattedData!M48^2*$J$6+$M$5*$J$7</f>
        <v>62.968698529813061</v>
      </c>
      <c r="U48" s="14">
        <f>$J$3+[16]FormattedData!N48*$J$4+$M$4*$J$5+[16]FormattedData!N48^2*$J$6+$M$5*$J$7</f>
        <v>64.515028884469018</v>
      </c>
      <c r="V48" s="14">
        <f>$J$3+[16]FormattedData!O48*$J$4+$M$4*$J$5+[16]FormattedData!O48^2*$J$6+$M$5*$J$7</f>
        <v>63.784458695417833</v>
      </c>
      <c r="W48" s="16">
        <f t="shared" si="9"/>
        <v>64.142243074120273</v>
      </c>
      <c r="X48" s="15">
        <f t="shared" si="10"/>
        <v>0.18205141359194721</v>
      </c>
      <c r="Y48" s="14">
        <f t="shared" si="11"/>
        <v>62.886890036293963</v>
      </c>
      <c r="Z48" s="13">
        <f t="shared" si="12"/>
        <v>63.967386555311663</v>
      </c>
      <c r="AA48" s="14">
        <f t="shared" si="13"/>
        <v>64.474526188819809</v>
      </c>
      <c r="AB48" s="13">
        <f t="shared" si="14"/>
        <v>64.535269665159134</v>
      </c>
      <c r="AC48" s="13">
        <f t="shared" si="15"/>
        <v>64.676912861452038</v>
      </c>
      <c r="AD48" s="13">
        <f t="shared" si="16"/>
        <v>-1.3320093219232232</v>
      </c>
      <c r="AE48" s="13">
        <f t="shared" si="17"/>
        <v>0.61674495643925464</v>
      </c>
    </row>
    <row r="49" spans="2:31" ht="13.5" thickBot="1" x14ac:dyDescent="0.25">
      <c r="B49" s="12">
        <f>[16]FormattedData!A46</f>
        <v>908</v>
      </c>
      <c r="C49" s="12" t="str">
        <f>VLOOKUP($B49,[16]TrtCodes!$B$11:I89,2)</f>
        <v>Early</v>
      </c>
      <c r="D49" s="12">
        <f>VLOOKUP($B49,[16]TrtCodes!$B$11:J89,3)</f>
        <v>21</v>
      </c>
      <c r="E49" s="12">
        <f>VLOOKUP($B49,[16]TrtCodes!$B$11:K89,4)</f>
        <v>3</v>
      </c>
      <c r="F49" s="12">
        <f>VLOOKUP($B49,[16]TrtCodes!$B$11:L89,5)</f>
        <v>2</v>
      </c>
      <c r="G49" s="12">
        <f>VLOOKUP($B49,[16]TrtCodes!$B$11:M89,6)</f>
        <v>2</v>
      </c>
      <c r="H49" s="12">
        <f>VLOOKUP($B49,[16]TrtCodes!$B$11:N89,7)</f>
        <v>2</v>
      </c>
      <c r="I49" s="12">
        <f>[16]FormattedData!B46</f>
        <v>1</v>
      </c>
      <c r="J49" s="9">
        <f>[16]FormattedData!C46</f>
        <v>13.426</v>
      </c>
      <c r="K49" s="11">
        <f>$J$3+[16]FormattedData!D46*$J$4+$M$4*$J$5+[16]FormattedData!D46^2*$J$6+$M$5*$J$7</f>
        <v>49.872224882505137</v>
      </c>
      <c r="L49" s="11">
        <f>$J$3+[16]FormattedData!E46*$J$4+$M$4*$J$5+[16]FormattedData!E46^2*$J$6+$M$5*$J$7</f>
        <v>49.960500462327701</v>
      </c>
      <c r="M49" s="11">
        <f>$J$3+[16]FormattedData!F46*$J$4+$M$4*$J$5+[16]FormattedData!F46^2*$J$6+$M$5*$J$7</f>
        <v>56.800702688447757</v>
      </c>
      <c r="N49" s="11">
        <f>$J$3+[16]FormattedData!G46*$J$4+$M$4*$J$5+[16]FormattedData!G46^2*$J$6+$M$5*$J$7</f>
        <v>50.928742116872442</v>
      </c>
      <c r="O49" s="11">
        <f>$J$3+[16]FormattedData!H46*$J$4+$M$4*$J$5+[16]FormattedData!H46^2*$J$6+$M$5*$J$7</f>
        <v>57.055258173198183</v>
      </c>
      <c r="P49" s="11">
        <f>$J$3+[16]FormattedData!I46*$J$4+$M$4*$J$5+[16]FormattedData!I46^2*$J$6+$M$5*$J$7</f>
        <v>49.51869987783558</v>
      </c>
      <c r="Q49" s="11">
        <f>$J$3+[16]FormattedData!J46*$J$4+$M$4*$J$5+[16]FormattedData!J46^2*$J$6+$M$5*$J$7</f>
        <v>50.313180096238639</v>
      </c>
      <c r="R49" s="11">
        <f>$J$3+[16]FormattedData!K46*$J$4+$M$4*$J$5+[16]FormattedData!K46^2*$J$6+$M$5*$J$7</f>
        <v>47.562223550304672</v>
      </c>
      <c r="S49" s="11">
        <f>$J$3+[16]FormattedData!L46*$J$4+$M$4*$J$5+[16]FormattedData!L46^2*$J$6+$M$5*$J$7</f>
        <v>58.57460232803173</v>
      </c>
      <c r="T49" s="11">
        <f>$J$3+[16]FormattedData!M46*$J$4+$M$4*$J$5+[16]FormattedData!M46^2*$J$6+$M$5*$J$7</f>
        <v>53.28365150897811</v>
      </c>
      <c r="U49" s="11">
        <f>$J$3+[16]FormattedData!N46*$J$4+$M$4*$J$5+[16]FormattedData!N46^2*$J$6+$M$5*$J$7</f>
        <v>53.629906325123528</v>
      </c>
      <c r="V49" s="11">
        <f>$J$3+[16]FormattedData!O46*$J$4+$M$4*$J$5+[16]FormattedData!O46^2*$J$6+$M$5*$J$7</f>
        <v>53.629906325123528</v>
      </c>
      <c r="W49" s="10">
        <f t="shared" si="9"/>
        <v>52.594133194582263</v>
      </c>
      <c r="X49" s="9">
        <f t="shared" si="10"/>
        <v>1.0040955788733901</v>
      </c>
      <c r="Y49" s="8">
        <f t="shared" si="11"/>
        <v>47.562223550304672</v>
      </c>
      <c r="Z49" s="7">
        <f t="shared" si="12"/>
        <v>49.938431567372064</v>
      </c>
      <c r="AA49" s="8">
        <f t="shared" si="13"/>
        <v>52.106196812925276</v>
      </c>
      <c r="AB49" s="7">
        <f t="shared" si="14"/>
        <v>54.422605415954585</v>
      </c>
      <c r="AC49" s="7">
        <f t="shared" si="15"/>
        <v>58.57460232803173</v>
      </c>
      <c r="AD49" s="7">
        <f t="shared" si="16"/>
        <v>0.43616485824802115</v>
      </c>
      <c r="AE49" s="7">
        <f t="shared" si="17"/>
        <v>-0.95525168762365853</v>
      </c>
    </row>
    <row r="50" spans="2:31" ht="13.5" thickTop="1" x14ac:dyDescent="0.2">
      <c r="B50" s="1">
        <f>[16]FormattedData!A29</f>
        <v>101</v>
      </c>
      <c r="C50" s="1" t="str">
        <f>VLOOKUP($B50,[16]TrtCodes!$B$11:I72,2)</f>
        <v>FSH</v>
      </c>
      <c r="D50" s="1">
        <f>VLOOKUP($B50,[16]TrtCodes!$B$11:J72,3)</f>
        <v>1</v>
      </c>
      <c r="E50" s="1">
        <f>VLOOKUP($B50,[16]TrtCodes!$B$11:K72,4)</f>
        <v>1</v>
      </c>
      <c r="F50" s="1">
        <f>VLOOKUP($B50,[16]TrtCodes!$B$11:L72,5)</f>
        <v>1</v>
      </c>
      <c r="G50" s="1">
        <f>VLOOKUP($B50,[16]TrtCodes!$B$11:M72,6)</f>
        <v>2</v>
      </c>
      <c r="H50" s="1">
        <f>VLOOKUP($B50,[16]TrtCodes!$B$11:N72,7)</f>
        <v>1</v>
      </c>
      <c r="I50" s="1">
        <f>[16]FormattedData!B29</f>
        <v>2</v>
      </c>
      <c r="J50" s="4">
        <f>[16]FormattedData!C29</f>
        <v>13.211</v>
      </c>
      <c r="K50" s="6">
        <f>$J$3+[16]FormattedData!D29*$J$4+$M$4*$J$5+[16]FormattedData!D29^2*$J$6+$M$5*$J$7</f>
        <v>30.689222774653043</v>
      </c>
      <c r="L50" s="6">
        <f>$J$3+[16]FormattedData!E29*$J$4+$M$4*$J$5+[16]FormattedData!E29^2*$J$6+$M$5*$J$7</f>
        <v>30.3006994205765</v>
      </c>
      <c r="M50" s="6">
        <f>$J$3+[16]FormattedData!F29*$J$4+$M$4*$J$5+[16]FormattedData!F29^2*$J$6+$M$5*$J$7</f>
        <v>32.525473030978695</v>
      </c>
      <c r="N50" s="6">
        <f>$J$3+[16]FormattedData!G29*$J$4+$M$4*$J$5+[16]FormattedData!G29^2*$J$6+$M$5*$J$7</f>
        <v>32.332902095457655</v>
      </c>
      <c r="O50" s="6">
        <f>$J$3+[16]FormattedData!H29*$J$4+$M$4*$J$5+[16]FormattedData!H29^2*$J$6+$M$5*$J$7</f>
        <v>30.786247941827355</v>
      </c>
      <c r="P50" s="6">
        <f>$J$3+[16]FormattedData!I29*$J$4+$M$4*$J$5+[16]FormattedData!I29^2*$J$6+$M$5*$J$7</f>
        <v>31.270739749629932</v>
      </c>
      <c r="Q50" s="6">
        <f>$J$3+[16]FormattedData!J29*$J$4+$M$4*$J$5+[16]FormattedData!J29^2*$J$6+$M$5*$J$7</f>
        <v>30.203462910712531</v>
      </c>
      <c r="R50" s="6">
        <f>$J$3+[16]FormattedData!K29*$J$4+$M$4*$J$5+[16]FormattedData!K29^2*$J$6+$M$5*$J$7</f>
        <v>30.786247941827355</v>
      </c>
      <c r="S50" s="6">
        <f>$J$3+[16]FormattedData!L29*$J$4+$M$4*$J$5+[16]FormattedData!L29^2*$J$6+$M$5*$J$7</f>
        <v>30.689222774653043</v>
      </c>
      <c r="T50" s="6">
        <f>$J$3+[16]FormattedData!M29*$J$4+$M$4*$J$5+[16]FormattedData!M29^2*$J$6+$M$5*$J$7</f>
        <v>31.173925925145273</v>
      </c>
      <c r="U50" s="6">
        <f>$J$3+[16]FormattedData!N29*$J$4+$M$4*$J$5+[16]FormattedData!N29^2*$J$6+$M$5*$J$7</f>
        <v>30.397893661902529</v>
      </c>
      <c r="V50" s="6">
        <f>$J$3+[16]FormattedData!O29*$J$4+$M$4*$J$5+[16]FormattedData!O29^2*$J$6+$M$5*$J$7</f>
        <v>31.077069832122692</v>
      </c>
      <c r="W50" s="5">
        <f t="shared" si="9"/>
        <v>31.019425671623882</v>
      </c>
      <c r="X50" s="4">
        <f t="shared" si="10"/>
        <v>0.21283133192203779</v>
      </c>
      <c r="Y50" s="3">
        <f t="shared" si="11"/>
        <v>30.203462910712531</v>
      </c>
      <c r="Z50" s="2">
        <f t="shared" si="12"/>
        <v>30.616390496465414</v>
      </c>
      <c r="AA50" s="3">
        <f t="shared" si="13"/>
        <v>30.786247941827355</v>
      </c>
      <c r="AB50" s="2">
        <f t="shared" si="14"/>
        <v>31.198129381266437</v>
      </c>
      <c r="AC50" s="2">
        <f t="shared" si="15"/>
        <v>32.525473030978695</v>
      </c>
      <c r="AD50" s="2">
        <f t="shared" si="16"/>
        <v>1.2112900163000957</v>
      </c>
      <c r="AE50" s="2">
        <f t="shared" si="17"/>
        <v>0.7743153272365646</v>
      </c>
    </row>
    <row r="51" spans="2:31" x14ac:dyDescent="0.2">
      <c r="B51" s="1">
        <f>[16]FormattedData!A27</f>
        <v>102</v>
      </c>
      <c r="C51" s="1" t="str">
        <f>VLOOKUP($B51,[16]TrtCodes!$B$11:I70,2)</f>
        <v>FTL</v>
      </c>
      <c r="D51" s="1">
        <f>VLOOKUP($B51,[16]TrtCodes!$B$11:J70,3)</f>
        <v>4</v>
      </c>
      <c r="E51" s="1">
        <f>VLOOKUP($B51,[16]TrtCodes!$B$11:K70,4)</f>
        <v>1</v>
      </c>
      <c r="F51" s="1">
        <f>VLOOKUP($B51,[16]TrtCodes!$B$11:L70,5)</f>
        <v>2</v>
      </c>
      <c r="G51" s="1">
        <f>VLOOKUP($B51,[16]TrtCodes!$B$11:M70,6)</f>
        <v>1</v>
      </c>
      <c r="H51" s="1">
        <f>VLOOKUP($B51,[16]TrtCodes!$B$11:N70,7)</f>
        <v>1</v>
      </c>
      <c r="I51" s="1">
        <f>[16]FormattedData!B27</f>
        <v>2</v>
      </c>
      <c r="J51" s="4">
        <f>[16]FormattedData!C27</f>
        <v>13.189</v>
      </c>
      <c r="K51" s="6">
        <f>$J$3+[16]FormattedData!D27*$J$4+$M$4*$J$5+[16]FormattedData!D27^2*$J$6+$M$5*$J$7</f>
        <v>28.151732171307184</v>
      </c>
      <c r="L51" s="6">
        <f>$J$3+[16]FormattedData!E27*$J$4+$M$4*$J$5+[16]FormattedData!E27^2*$J$6+$M$5*$J$7</f>
        <v>29.228773042486672</v>
      </c>
      <c r="M51" s="6">
        <f>$J$3+[16]FormattedData!F27*$J$4+$M$4*$J$5+[16]FormattedData!F27^2*$J$6+$M$5*$J$7</f>
        <v>27.660477397435624</v>
      </c>
      <c r="N51" s="6">
        <f>$J$3+[16]FormattedData!G27*$J$4+$M$4*$J$5+[16]FormattedData!G27^2*$J$6+$M$5*$J$7</f>
        <v>29.131071578705466</v>
      </c>
      <c r="O51" s="6">
        <f>$J$3+[16]FormattedData!H27*$J$4+$M$4*$J$5+[16]FormattedData!H27^2*$J$6+$M$5*$J$7</f>
        <v>30.3006994205765</v>
      </c>
      <c r="P51" s="6">
        <f>$J$3+[16]FormattedData!I27*$J$4+$M$4*$J$5+[16]FormattedData!I27^2*$J$6+$M$5*$J$7</f>
        <v>30.3006994205765</v>
      </c>
      <c r="Q51" s="6">
        <f>$J$3+[16]FormattedData!J27*$J$4+$M$4*$J$5+[16]FormattedData!J27^2*$J$6+$M$5*$J$7</f>
        <v>29.228773042486672</v>
      </c>
      <c r="R51" s="6">
        <f>$J$3+[16]FormattedData!K27*$J$4+$M$4*$J$5+[16]FormattedData!K27^2*$J$6+$M$5*$J$7</f>
        <v>30.495045634690637</v>
      </c>
      <c r="S51" s="6">
        <f>$J$3+[16]FormattedData!L27*$J$4+$M$4*$J$5+[16]FormattedData!L27^2*$J$6+$M$5*$J$7</f>
        <v>28.739843038201325</v>
      </c>
      <c r="T51" s="6">
        <f>$J$3+[16]FormattedData!M27*$J$4+$M$4*$J$5+[16]FormattedData!M27^2*$J$6+$M$5*$J$7</f>
        <v>28.2498563204677</v>
      </c>
      <c r="U51" s="6">
        <f>$J$3+[16]FormattedData!N27*$J$4+$M$4*$J$5+[16]FormattedData!N27^2*$J$6+$M$5*$J$7</f>
        <v>28.837713576134256</v>
      </c>
      <c r="V51" s="6">
        <f>$J$3+[16]FormattedData!O27*$J$4+$M$4*$J$5+[16]FormattedData!O27^2*$J$6+$M$5*$J$7</f>
        <v>28.543975156721672</v>
      </c>
      <c r="W51" s="5">
        <f t="shared" si="9"/>
        <v>29.072388316649185</v>
      </c>
      <c r="X51" s="4">
        <f t="shared" si="10"/>
        <v>0.26193256709369006</v>
      </c>
      <c r="Y51" s="3">
        <f t="shared" si="11"/>
        <v>27.660477397435624</v>
      </c>
      <c r="Z51" s="2">
        <f t="shared" si="12"/>
        <v>28.470445447658179</v>
      </c>
      <c r="AA51" s="3">
        <f t="shared" si="13"/>
        <v>28.984392577419861</v>
      </c>
      <c r="AB51" s="2">
        <f t="shared" si="14"/>
        <v>29.496754637009129</v>
      </c>
      <c r="AC51" s="2">
        <f t="shared" si="15"/>
        <v>30.495045634690637</v>
      </c>
      <c r="AD51" s="2">
        <f t="shared" si="16"/>
        <v>0.32783394181391406</v>
      </c>
      <c r="AE51" s="2">
        <f t="shared" si="17"/>
        <v>-0.80346197961730903</v>
      </c>
    </row>
    <row r="52" spans="2:31" x14ac:dyDescent="0.2">
      <c r="B52" s="1">
        <f>[16]FormattedData!A25</f>
        <v>103</v>
      </c>
      <c r="C52" s="1" t="str">
        <f>VLOOKUP($B52,[16]TrtCodes!$B$11:I68,2)</f>
        <v>FDH</v>
      </c>
      <c r="D52" s="1">
        <f>VLOOKUP($B52,[16]TrtCodes!$B$11:J68,3)</f>
        <v>5</v>
      </c>
      <c r="E52" s="1">
        <f>VLOOKUP($B52,[16]TrtCodes!$B$11:K68,4)</f>
        <v>1</v>
      </c>
      <c r="F52" s="1">
        <f>VLOOKUP($B52,[16]TrtCodes!$B$11:L68,5)</f>
        <v>3</v>
      </c>
      <c r="G52" s="1">
        <f>VLOOKUP($B52,[16]TrtCodes!$B$11:M68,6)</f>
        <v>2</v>
      </c>
      <c r="H52" s="1">
        <f>VLOOKUP($B52,[16]TrtCodes!$B$11:N68,7)</f>
        <v>1</v>
      </c>
      <c r="I52" s="1">
        <f>[16]FormattedData!B25</f>
        <v>2</v>
      </c>
      <c r="J52" s="4">
        <f>[16]FormattedData!C25</f>
        <v>13.167</v>
      </c>
      <c r="K52" s="6">
        <f>$J$3+[16]FormattedData!D25*$J$4+$M$4*$J$5+[16]FormattedData!D25^2*$J$6+$M$5*$J$7</f>
        <v>31.560927611856304</v>
      </c>
      <c r="L52" s="6">
        <f>$J$3+[16]FormattedData!E25*$J$4+$M$4*$J$5+[16]FormattedData!E25^2*$J$6+$M$5*$J$7</f>
        <v>32.140162085784908</v>
      </c>
      <c r="M52" s="6">
        <f>$J$3+[16]FormattedData!F25*$J$4+$M$4*$J$5+[16]FormattedData!F25^2*$J$6+$M$5*$J$7</f>
        <v>32.332902095457655</v>
      </c>
      <c r="N52" s="6">
        <f>$J$3+[16]FormattedData!G25*$J$4+$M$4*$J$5+[16]FormattedData!G25^2*$J$6+$M$5*$J$7</f>
        <v>31.657572362189235</v>
      </c>
      <c r="O52" s="6">
        <f>$J$3+[16]FormattedData!H25*$J$4+$M$4*$J$5+[16]FormattedData!H25^2*$J$6+$M$5*$J$7</f>
        <v>33.581590975882264</v>
      </c>
      <c r="P52" s="6">
        <f>$J$3+[16]FormattedData!I25*$J$4+$M$4*$J$5+[16]FormattedData!I25^2*$J$6+$M$5*$J$7</f>
        <v>33.389949948195721</v>
      </c>
      <c r="Q52" s="6">
        <f>$J$3+[16]FormattedData!J25*$J$4+$M$4*$J$5+[16]FormattedData!J25^2*$J$6+$M$5*$J$7</f>
        <v>33.006160670367464</v>
      </c>
      <c r="R52" s="6">
        <f>$J$3+[16]FormattedData!K25*$J$4+$M$4*$J$5+[16]FormattedData!K25^2*$J$6+$M$5*$J$7</f>
        <v>31.560927611856304</v>
      </c>
      <c r="S52" s="6">
        <f>$J$3+[16]FormattedData!L25*$J$4+$M$4*$J$5+[16]FormattedData!L25^2*$J$6+$M$5*$J$7</f>
        <v>31.947253001960433</v>
      </c>
      <c r="T52" s="6">
        <f>$J$3+[16]FormattedData!M25*$J$4+$M$4*$J$5+[16]FormattedData!M25^2*$J$6+$M$5*$J$7</f>
        <v>31.947253001960433</v>
      </c>
      <c r="U52" s="6">
        <f>$J$3+[16]FormattedData!N25*$J$4+$M$4*$J$5+[16]FormattedData!N25^2*$J$6+$M$5*$J$7</f>
        <v>31.464240592985448</v>
      </c>
      <c r="V52" s="6">
        <f>$J$3+[16]FormattedData!O25*$J$4+$M$4*$J$5+[16]FormattedData!O25^2*$J$6+$M$5*$J$7</f>
        <v>31.077069832122692</v>
      </c>
      <c r="W52" s="5">
        <f t="shared" si="9"/>
        <v>32.138834149218241</v>
      </c>
      <c r="X52" s="4">
        <f t="shared" si="10"/>
        <v>0.23015391542107078</v>
      </c>
      <c r="Y52" s="3">
        <f t="shared" si="11"/>
        <v>31.077069832122692</v>
      </c>
      <c r="Z52" s="2">
        <f t="shared" si="12"/>
        <v>31.560927611856304</v>
      </c>
      <c r="AA52" s="3">
        <f t="shared" si="13"/>
        <v>31.947253001960433</v>
      </c>
      <c r="AB52" s="2">
        <f t="shared" si="14"/>
        <v>32.501216739185111</v>
      </c>
      <c r="AC52" s="2">
        <f t="shared" si="15"/>
        <v>33.581590975882264</v>
      </c>
      <c r="AD52" s="2">
        <f t="shared" si="16"/>
        <v>0.77617670323760324</v>
      </c>
      <c r="AE52" s="2">
        <f t="shared" si="17"/>
        <v>-0.48142275874671459</v>
      </c>
    </row>
    <row r="53" spans="2:31" x14ac:dyDescent="0.2">
      <c r="B53" s="1">
        <f>[16]FormattedData!A23</f>
        <v>104</v>
      </c>
      <c r="C53" s="1" t="str">
        <f>VLOOKUP($B53,[16]TrtCodes!$B$11:I66,2)</f>
        <v>NTL</v>
      </c>
      <c r="D53" s="1">
        <f>VLOOKUP($B53,[16]TrtCodes!$B$11:J66,3)</f>
        <v>10</v>
      </c>
      <c r="E53" s="1">
        <f>VLOOKUP($B53,[16]TrtCodes!$B$11:K66,4)</f>
        <v>2</v>
      </c>
      <c r="F53" s="1">
        <f>VLOOKUP($B53,[16]TrtCodes!$B$11:L66,5)</f>
        <v>2</v>
      </c>
      <c r="G53" s="1">
        <f>VLOOKUP($B53,[16]TrtCodes!$B$11:M66,6)</f>
        <v>1</v>
      </c>
      <c r="H53" s="1">
        <f>VLOOKUP($B53,[16]TrtCodes!$B$11:N66,7)</f>
        <v>1</v>
      </c>
      <c r="I53" s="1">
        <f>[16]FormattedData!B23</f>
        <v>2</v>
      </c>
      <c r="J53" s="4">
        <f>[16]FormattedData!C23</f>
        <v>13.146000000000001</v>
      </c>
      <c r="K53" s="6">
        <f>$J$3+[16]FormattedData!D23*$J$4+$M$4*$J$5+[16]FormattedData!D23^2*$J$6+$M$5*$J$7</f>
        <v>29.131071578705466</v>
      </c>
      <c r="L53" s="6">
        <f>$J$3+[16]FormattedData!E23*$J$4+$M$4*$J$5+[16]FormattedData!E23^2*$J$6+$M$5*$J$7</f>
        <v>28.739843038201325</v>
      </c>
      <c r="M53" s="6">
        <f>$J$3+[16]FormattedData!F23*$J$4+$M$4*$J$5+[16]FormattedData!F23^2*$J$6+$M$5*$J$7</f>
        <v>29.521623822602706</v>
      </c>
      <c r="N53" s="6">
        <f>$J$3+[16]FormattedData!G23*$J$4+$M$4*$J$5+[16]FormattedData!G23^2*$J$6+$M$5*$J$7</f>
        <v>28.641930231730463</v>
      </c>
      <c r="O53" s="6">
        <f>$J$3+[16]FormattedData!H23*$J$4+$M$4*$J$5+[16]FormattedData!H23^2*$J$6+$M$5*$J$7</f>
        <v>30.495045634690637</v>
      </c>
      <c r="P53" s="6">
        <f>$J$3+[16]FormattedData!I23*$J$4+$M$4*$J$5+[16]FormattedData!I23^2*$J$6+$M$5*$J$7</f>
        <v>29.228773042486672</v>
      </c>
      <c r="Q53" s="6">
        <f>$J$3+[16]FormattedData!J23*$J$4+$M$4*$J$5+[16]FormattedData!J23^2*$J$6+$M$5*$J$7</f>
        <v>29.619156212232191</v>
      </c>
      <c r="R53" s="6">
        <f>$J$3+[16]FormattedData!K23*$J$4+$M$4*$J$5+[16]FormattedData!K23^2*$J$6+$M$5*$J$7</f>
        <v>29.033327846386328</v>
      </c>
      <c r="S53" s="6">
        <f>$J$3+[16]FormattedData!L23*$J$4+$M$4*$J$5+[16]FormattedData!L23^2*$J$6+$M$5*$J$7</f>
        <v>30.203462910712531</v>
      </c>
      <c r="T53" s="6">
        <f>$J$3+[16]FormattedData!M23*$J$4+$M$4*$J$5+[16]FormattedData!M23^2*$J$6+$M$5*$J$7</f>
        <v>29.424049164435292</v>
      </c>
      <c r="U53" s="6">
        <f>$J$3+[16]FormattedData!N23*$J$4+$M$4*$J$5+[16]FormattedData!N23^2*$J$6+$M$5*$J$7</f>
        <v>30.495045634690637</v>
      </c>
      <c r="V53" s="6">
        <f>$J$3+[16]FormattedData!O23*$J$4+$M$4*$J$5+[16]FormattedData!O23^2*$J$6+$M$5*$J$7</f>
        <v>29.228773042486672</v>
      </c>
      <c r="W53" s="5">
        <f t="shared" si="9"/>
        <v>29.480175179946745</v>
      </c>
      <c r="X53" s="4">
        <f t="shared" si="10"/>
        <v>0.18061241095671743</v>
      </c>
      <c r="Y53" s="3">
        <f t="shared" si="11"/>
        <v>28.641930231730463</v>
      </c>
      <c r="Z53" s="2">
        <f t="shared" si="12"/>
        <v>29.10663564562568</v>
      </c>
      <c r="AA53" s="3">
        <f t="shared" si="13"/>
        <v>29.326411103460984</v>
      </c>
      <c r="AB53" s="2">
        <f t="shared" si="14"/>
        <v>29.765232886852274</v>
      </c>
      <c r="AC53" s="2">
        <f t="shared" si="15"/>
        <v>30.495045634690637</v>
      </c>
      <c r="AD53" s="2">
        <f t="shared" si="16"/>
        <v>0.58493326487640296</v>
      </c>
      <c r="AE53" s="2">
        <f t="shared" si="17"/>
        <v>-0.68860757320291022</v>
      </c>
    </row>
    <row r="54" spans="2:31" x14ac:dyDescent="0.2">
      <c r="B54" s="1">
        <f>[16]FormattedData!A21</f>
        <v>105</v>
      </c>
      <c r="C54" s="1" t="str">
        <f>VLOOKUP($B54,[16]TrtCodes!$B$11:I64,2)</f>
        <v>NDL</v>
      </c>
      <c r="D54" s="1">
        <f>VLOOKUP($B54,[16]TrtCodes!$B$11:J64,3)</f>
        <v>12</v>
      </c>
      <c r="E54" s="1">
        <f>VLOOKUP($B54,[16]TrtCodes!$B$11:K64,4)</f>
        <v>2</v>
      </c>
      <c r="F54" s="1">
        <f>VLOOKUP($B54,[16]TrtCodes!$B$11:L64,5)</f>
        <v>3</v>
      </c>
      <c r="G54" s="1">
        <f>VLOOKUP($B54,[16]TrtCodes!$B$11:M64,6)</f>
        <v>1</v>
      </c>
      <c r="H54" s="1">
        <f>VLOOKUP($B54,[16]TrtCodes!$B$11:N64,7)</f>
        <v>2</v>
      </c>
      <c r="I54" s="1">
        <f>[16]FormattedData!B21</f>
        <v>2</v>
      </c>
      <c r="J54" s="4">
        <f>[16]FormattedData!C21</f>
        <v>13.125999999999999</v>
      </c>
      <c r="K54" s="6">
        <f>$J$3+[16]FormattedData!D21*$J$4+$M$4*$J$5+[16]FormattedData!D21^2*$J$6+$M$5*$J$7</f>
        <v>28.347938201090287</v>
      </c>
      <c r="L54" s="6">
        <f>$J$3+[16]FormattedData!E21*$J$4+$M$4*$J$5+[16]FormattedData!E21^2*$J$6+$M$5*$J$7</f>
        <v>28.837713576134256</v>
      </c>
      <c r="M54" s="6">
        <f>$J$3+[16]FormattedData!F21*$J$4+$M$4*$J$5+[16]FormattedData!F21^2*$J$6+$M$5*$J$7</f>
        <v>29.424049164435292</v>
      </c>
      <c r="N54" s="6">
        <f>$J$3+[16]FormattedData!G21*$J$4+$M$4*$J$5+[16]FormattedData!G21^2*$J$6+$M$5*$J$7</f>
        <v>30.203462910712531</v>
      </c>
      <c r="O54" s="6">
        <f>$J$3+[16]FormattedData!H21*$J$4+$M$4*$J$5+[16]FormattedData!H21^2*$J$6+$M$5*$J$7</f>
        <v>30.883230840463732</v>
      </c>
      <c r="P54" s="6">
        <f>$J$3+[16]FormattedData!I21*$J$4+$M$4*$J$5+[16]FormattedData!I21^2*$J$6+$M$5*$J$7</f>
        <v>28.347938201090287</v>
      </c>
      <c r="Q54" s="6">
        <f>$J$3+[16]FormattedData!J21*$J$4+$M$4*$J$5+[16]FormattedData!J21^2*$J$6+$M$5*$J$7</f>
        <v>29.424049164435292</v>
      </c>
      <c r="R54" s="6">
        <f>$J$3+[16]FormattedData!K21*$J$4+$M$4*$J$5+[16]FormattedData!K21^2*$J$6+$M$5*$J$7</f>
        <v>29.716646333323737</v>
      </c>
      <c r="S54" s="6">
        <f>$J$3+[16]FormattedData!L21*$J$4+$M$4*$J$5+[16]FormattedData!L21^2*$J$6+$M$5*$J$7</f>
        <v>29.814094185877362</v>
      </c>
      <c r="T54" s="6">
        <f>$J$3+[16]FormattedData!M21*$J$4+$M$4*$J$5+[16]FormattedData!M21^2*$J$6+$M$5*$J$7</f>
        <v>29.424049164435292</v>
      </c>
      <c r="U54" s="6">
        <f>$J$3+[16]FormattedData!N21*$J$4+$M$4*$J$5+[16]FormattedData!N21^2*$J$6+$M$5*$J$7</f>
        <v>30.689222774653043</v>
      </c>
      <c r="V54" s="6">
        <f>$J$3+[16]FormattedData!O21*$J$4+$M$4*$J$5+[16]FormattedData!O21^2*$J$6+$M$5*$J$7</f>
        <v>28.739843038201325</v>
      </c>
      <c r="W54" s="5">
        <f t="shared" si="9"/>
        <v>29.487686462904374</v>
      </c>
      <c r="X54" s="4">
        <f t="shared" si="10"/>
        <v>0.24080782644518411</v>
      </c>
      <c r="Y54" s="3">
        <f t="shared" si="11"/>
        <v>28.347938201090287</v>
      </c>
      <c r="Z54" s="2">
        <f t="shared" si="12"/>
        <v>28.813245941651022</v>
      </c>
      <c r="AA54" s="3">
        <f t="shared" si="13"/>
        <v>29.424049164435292</v>
      </c>
      <c r="AB54" s="2">
        <f t="shared" si="14"/>
        <v>29.911436367086154</v>
      </c>
      <c r="AC54" s="2">
        <f t="shared" si="15"/>
        <v>30.883230840463732</v>
      </c>
      <c r="AD54" s="2">
        <f t="shared" si="16"/>
        <v>0.22764250543681883</v>
      </c>
      <c r="AE54" s="2">
        <f t="shared" si="17"/>
        <v>-0.7726225491413512</v>
      </c>
    </row>
    <row r="55" spans="2:31" x14ac:dyDescent="0.2">
      <c r="B55" s="1">
        <f>[16]FormattedData!A19</f>
        <v>106</v>
      </c>
      <c r="C55" s="1" t="str">
        <f>VLOOKUP($B55,[16]TrtCodes!$B$11:I62,2)</f>
        <v>NTH</v>
      </c>
      <c r="D55" s="1">
        <f>VLOOKUP($B55,[16]TrtCodes!$B$11:J62,3)</f>
        <v>9</v>
      </c>
      <c r="E55" s="1">
        <f>VLOOKUP($B55,[16]TrtCodes!$B$11:K62,4)</f>
        <v>2</v>
      </c>
      <c r="F55" s="1">
        <f>VLOOKUP($B55,[16]TrtCodes!$B$11:L62,5)</f>
        <v>2</v>
      </c>
      <c r="G55" s="1">
        <f>VLOOKUP($B55,[16]TrtCodes!$B$11:M62,6)</f>
        <v>2</v>
      </c>
      <c r="H55" s="1">
        <f>VLOOKUP($B55,[16]TrtCodes!$B$11:N62,7)</f>
        <v>2</v>
      </c>
      <c r="I55" s="1">
        <f>[16]FormattedData!B19</f>
        <v>2</v>
      </c>
      <c r="J55" s="4">
        <f>[16]FormattedData!C19</f>
        <v>13.106999999999999</v>
      </c>
      <c r="K55" s="6">
        <f>$J$3+[16]FormattedData!D19*$J$4+$M$4*$J$5+[16]FormattedData!D19^2*$J$6+$M$5*$J$7</f>
        <v>29.32643223772995</v>
      </c>
      <c r="L55" s="6">
        <f>$J$3+[16]FormattedData!E19*$J$4+$M$4*$J$5+[16]FormattedData!E19^2*$J$6+$M$5*$J$7</f>
        <v>29.424049164435292</v>
      </c>
      <c r="M55" s="6">
        <f>$J$3+[16]FormattedData!F19*$J$4+$M$4*$J$5+[16]FormattedData!F19^2*$J$6+$M$5*$J$7</f>
        <v>28.445977813174942</v>
      </c>
      <c r="N55" s="6">
        <f>$J$3+[16]FormattedData!G19*$J$4+$M$4*$J$5+[16]FormattedData!G19^2*$J$6+$M$5*$J$7</f>
        <v>29.716646333323737</v>
      </c>
      <c r="O55" s="6">
        <f>$J$3+[16]FormattedData!H19*$J$4+$M$4*$J$5+[16]FormattedData!H19^2*$J$6+$M$5*$J$7</f>
        <v>29.033327846386328</v>
      </c>
      <c r="P55" s="6">
        <f>$J$3+[16]FormattedData!I19*$J$4+$M$4*$J$5+[16]FormattedData!I19^2*$J$6+$M$5*$J$7</f>
        <v>30.397893661902529</v>
      </c>
      <c r="Q55" s="6">
        <f>$J$3+[16]FormattedData!J19*$J$4+$M$4*$J$5+[16]FormattedData!J19^2*$J$6+$M$5*$J$7</f>
        <v>29.32643223772995</v>
      </c>
      <c r="R55" s="6">
        <f>$J$3+[16]FormattedData!K19*$J$4+$M$4*$J$5+[16]FormattedData!K19^2*$J$6+$M$5*$J$7</f>
        <v>30.3006994205765</v>
      </c>
      <c r="S55" s="6">
        <f>$J$3+[16]FormattedData!L19*$J$4+$M$4*$J$5+[16]FormattedData!L19^2*$J$6+$M$5*$J$7</f>
        <v>29.619156212232191</v>
      </c>
      <c r="T55" s="6">
        <f>$J$3+[16]FormattedData!M19*$J$4+$M$4*$J$5+[16]FormattedData!M19^2*$J$6+$M$5*$J$7</f>
        <v>29.716646333323737</v>
      </c>
      <c r="U55" s="6">
        <f>$J$3+[16]FormattedData!N19*$J$4+$M$4*$J$5+[16]FormattedData!N19^2*$J$6+$M$5*$J$7</f>
        <v>31.270739749629932</v>
      </c>
      <c r="V55" s="6">
        <f>$J$3+[16]FormattedData!O19*$J$4+$M$4*$J$5+[16]FormattedData!O19^2*$J$6+$M$5*$J$7</f>
        <v>29.911499769893048</v>
      </c>
      <c r="W55" s="5">
        <f t="shared" si="9"/>
        <v>29.70745839836151</v>
      </c>
      <c r="X55" s="4">
        <f t="shared" si="10"/>
        <v>0.20850389271178299</v>
      </c>
      <c r="Y55" s="3">
        <f t="shared" si="11"/>
        <v>28.445977813174942</v>
      </c>
      <c r="Z55" s="2">
        <f t="shared" si="12"/>
        <v>29.32643223772995</v>
      </c>
      <c r="AA55" s="3">
        <f t="shared" si="13"/>
        <v>29.667901272777964</v>
      </c>
      <c r="AB55" s="2">
        <f t="shared" si="14"/>
        <v>30.008799682563911</v>
      </c>
      <c r="AC55" s="2">
        <f t="shared" si="15"/>
        <v>31.270739749629932</v>
      </c>
      <c r="AD55" s="2">
        <f t="shared" si="16"/>
        <v>0.55556849957830057</v>
      </c>
      <c r="AE55" s="2">
        <f t="shared" si="17"/>
        <v>1.2428573723929652</v>
      </c>
    </row>
    <row r="56" spans="2:31" x14ac:dyDescent="0.2">
      <c r="B56" s="1">
        <f>[16]FormattedData!A17</f>
        <v>107</v>
      </c>
      <c r="C56" s="1" t="str">
        <f>VLOOKUP($B56,[16]TrtCodes!$B$11:I60,2)</f>
        <v>NTL</v>
      </c>
      <c r="D56" s="1">
        <f>VLOOKUP($B56,[16]TrtCodes!$B$11:J60,3)</f>
        <v>10</v>
      </c>
      <c r="E56" s="1">
        <f>VLOOKUP($B56,[16]TrtCodes!$B$11:K60,4)</f>
        <v>2</v>
      </c>
      <c r="F56" s="1">
        <f>VLOOKUP($B56,[16]TrtCodes!$B$11:L60,5)</f>
        <v>2</v>
      </c>
      <c r="G56" s="1">
        <f>VLOOKUP($B56,[16]TrtCodes!$B$11:M60,6)</f>
        <v>1</v>
      </c>
      <c r="H56" s="1">
        <f>VLOOKUP($B56,[16]TrtCodes!$B$11:N60,7)</f>
        <v>2</v>
      </c>
      <c r="I56" s="1">
        <f>[16]FormattedData!B17</f>
        <v>2</v>
      </c>
      <c r="J56" s="4">
        <f>[16]FormattedData!C17</f>
        <v>13.087999999999999</v>
      </c>
      <c r="K56" s="6">
        <f>$J$3+[16]FormattedData!D17*$J$4+$M$4*$J$5+[16]FormattedData!D17^2*$J$6+$M$5*$J$7</f>
        <v>28.641930231730463</v>
      </c>
      <c r="L56" s="6">
        <f>$J$3+[16]FormattedData!E17*$J$4+$M$4*$J$5+[16]FormattedData!E17^2*$J$6+$M$5*$J$7</f>
        <v>29.131071578705466</v>
      </c>
      <c r="M56" s="6">
        <f>$J$3+[16]FormattedData!F17*$J$4+$M$4*$J$5+[16]FormattedData!F17^2*$J$6+$M$5*$J$7</f>
        <v>30.397893661902529</v>
      </c>
      <c r="N56" s="6">
        <f>$J$3+[16]FormattedData!G17*$J$4+$M$4*$J$5+[16]FormattedData!G17^2*$J$6+$M$5*$J$7</f>
        <v>29.32643223772995</v>
      </c>
      <c r="O56" s="6">
        <f>$J$3+[16]FormattedData!H17*$J$4+$M$4*$J$5+[16]FormattedData!H17^2*$J$6+$M$5*$J$7</f>
        <v>28.641930231730463</v>
      </c>
      <c r="P56" s="6">
        <f>$J$3+[16]FormattedData!I17*$J$4+$M$4*$J$5+[16]FormattedData!I17^2*$J$6+$M$5*$J$7</f>
        <v>29.716646333323737</v>
      </c>
      <c r="Q56" s="6">
        <f>$J$3+[16]FormattedData!J17*$J$4+$M$4*$J$5+[16]FormattedData!J17^2*$J$6+$M$5*$J$7</f>
        <v>30.689222774653043</v>
      </c>
      <c r="R56" s="6">
        <f>$J$3+[16]FormattedData!K17*$J$4+$M$4*$J$5+[16]FormattedData!K17^2*$J$6+$M$5*$J$7</f>
        <v>30.3006994205765</v>
      </c>
      <c r="S56" s="6">
        <f>$J$3+[16]FormattedData!L17*$J$4+$M$4*$J$5+[16]FormattedData!L17^2*$J$6+$M$5*$J$7</f>
        <v>29.228773042486672</v>
      </c>
      <c r="T56" s="6">
        <f>$J$3+[16]FormattedData!M17*$J$4+$M$4*$J$5+[16]FormattedData!M17^2*$J$6+$M$5*$J$7</f>
        <v>29.619156212232191</v>
      </c>
      <c r="U56" s="6">
        <f>$J$3+[16]FormattedData!N17*$J$4+$M$4*$J$5+[16]FormattedData!N17^2*$J$6+$M$5*$J$7</f>
        <v>31.173925925145273</v>
      </c>
      <c r="V56" s="6">
        <f>$J$3+[16]FormattedData!O17*$J$4+$M$4*$J$5+[16]FormattedData!O17^2*$J$6+$M$5*$J$7</f>
        <v>29.32643223772995</v>
      </c>
      <c r="W56" s="5">
        <f t="shared" si="9"/>
        <v>29.682842823995525</v>
      </c>
      <c r="X56" s="4">
        <f t="shared" si="10"/>
        <v>0.23136712416724195</v>
      </c>
      <c r="Y56" s="3">
        <f t="shared" si="11"/>
        <v>28.641930231730463</v>
      </c>
      <c r="Z56" s="2">
        <f t="shared" si="12"/>
        <v>29.204347676541371</v>
      </c>
      <c r="AA56" s="3">
        <f t="shared" si="13"/>
        <v>29.472794224981072</v>
      </c>
      <c r="AB56" s="2">
        <f t="shared" si="14"/>
        <v>30.324997980908009</v>
      </c>
      <c r="AC56" s="2">
        <f t="shared" si="15"/>
        <v>31.173925925145273</v>
      </c>
      <c r="AD56" s="2">
        <f t="shared" si="16"/>
        <v>0.49325332583852605</v>
      </c>
      <c r="AE56" s="2">
        <f t="shared" si="17"/>
        <v>-0.63788239188276696</v>
      </c>
    </row>
    <row r="57" spans="2:31" x14ac:dyDescent="0.2">
      <c r="B57" s="1">
        <f>[16]FormattedData!A15</f>
        <v>108</v>
      </c>
      <c r="C57" s="1" t="str">
        <f>VLOOKUP($B57,[16]TrtCodes!$B$11:I58,2)</f>
        <v>FTH</v>
      </c>
      <c r="D57" s="1">
        <f>VLOOKUP($B57,[16]TrtCodes!$B$11:J58,3)</f>
        <v>3</v>
      </c>
      <c r="E57" s="1">
        <f>VLOOKUP($B57,[16]TrtCodes!$B$11:K58,4)</f>
        <v>1</v>
      </c>
      <c r="F57" s="1">
        <f>VLOOKUP($B57,[16]TrtCodes!$B$11:L58,5)</f>
        <v>2</v>
      </c>
      <c r="G57" s="1">
        <f>VLOOKUP($B57,[16]TrtCodes!$B$11:M58,6)</f>
        <v>2</v>
      </c>
      <c r="H57" s="1">
        <f>VLOOKUP($B57,[16]TrtCodes!$B$11:N58,7)</f>
        <v>2</v>
      </c>
      <c r="I57" s="1">
        <f>[16]FormattedData!B15</f>
        <v>2</v>
      </c>
      <c r="J57" s="4">
        <f>[16]FormattedData!C15</f>
        <v>13.068</v>
      </c>
      <c r="K57" s="6">
        <f>$J$3+[16]FormattedData!D15*$J$4+$M$4*$J$5+[16]FormattedData!D15^2*$J$6+$M$5*$J$7</f>
        <v>28.837713576134256</v>
      </c>
      <c r="L57" s="6">
        <f>$J$3+[16]FormattedData!E15*$J$4+$M$4*$J$5+[16]FormattedData!E15^2*$J$6+$M$5*$J$7</f>
        <v>30.008863085370812</v>
      </c>
      <c r="M57" s="6">
        <f>$J$3+[16]FormattedData!F15*$J$4+$M$4*$J$5+[16]FormattedData!F15^2*$J$6+$M$5*$J$7</f>
        <v>28.935541845529258</v>
      </c>
      <c r="N57" s="6">
        <f>$J$3+[16]FormattedData!G15*$J$4+$M$4*$J$5+[16]FormattedData!G15^2*$J$6+$M$5*$J$7</f>
        <v>29.228773042486672</v>
      </c>
      <c r="O57" s="6">
        <f>$J$3+[16]FormattedData!H15*$J$4+$M$4*$J$5+[16]FormattedData!H15^2*$J$6+$M$5*$J$7</f>
        <v>29.131071578705466</v>
      </c>
      <c r="P57" s="6">
        <f>$J$3+[16]FormattedData!I15*$J$4+$M$4*$J$5+[16]FormattedData!I15^2*$J$6+$M$5*$J$7</f>
        <v>29.716646333323737</v>
      </c>
      <c r="Q57" s="6">
        <f>$J$3+[16]FormattedData!J15*$J$4+$M$4*$J$5+[16]FormattedData!J15^2*$J$6+$M$5*$J$7</f>
        <v>29.424049164435292</v>
      </c>
      <c r="R57" s="6">
        <f>$J$3+[16]FormattedData!K15*$J$4+$M$4*$J$5+[16]FormattedData!K15^2*$J$6+$M$5*$J$7</f>
        <v>31.657572362189235</v>
      </c>
      <c r="S57" s="6">
        <f>$J$3+[16]FormattedData!L15*$J$4+$M$4*$J$5+[16]FormattedData!L15^2*$J$6+$M$5*$J$7</f>
        <v>29.228773042486672</v>
      </c>
      <c r="T57" s="6">
        <f>$J$3+[16]FormattedData!M15*$J$4+$M$4*$J$5+[16]FormattedData!M15^2*$J$6+$M$5*$J$7</f>
        <v>28.739843038201325</v>
      </c>
      <c r="U57" s="6">
        <f>$J$3+[16]FormattedData!N15*$J$4+$M$4*$J$5+[16]FormattedData!N15^2*$J$6+$M$5*$J$7</f>
        <v>30.592155338940806</v>
      </c>
      <c r="V57" s="6">
        <f>$J$3+[16]FormattedData!O15*$J$4+$M$4*$J$5+[16]FormattedData!O15^2*$J$6+$M$5*$J$7</f>
        <v>29.32643223772995</v>
      </c>
      <c r="W57" s="5">
        <f t="shared" si="9"/>
        <v>29.568952887127793</v>
      </c>
      <c r="X57" s="4">
        <f t="shared" si="10"/>
        <v>0.24232070179791224</v>
      </c>
      <c r="Y57" s="3">
        <f t="shared" si="11"/>
        <v>28.739843038201325</v>
      </c>
      <c r="Z57" s="2">
        <f t="shared" si="12"/>
        <v>29.082189145411412</v>
      </c>
      <c r="AA57" s="3">
        <f t="shared" si="13"/>
        <v>29.277602640108313</v>
      </c>
      <c r="AB57" s="2">
        <f t="shared" si="14"/>
        <v>29.789700521335504</v>
      </c>
      <c r="AC57" s="2">
        <f t="shared" si="15"/>
        <v>31.657572362189235</v>
      </c>
      <c r="AD57" s="2">
        <f t="shared" si="16"/>
        <v>1.6370072345824522</v>
      </c>
      <c r="AE57" s="2">
        <f t="shared" si="17"/>
        <v>2.6792909218465608</v>
      </c>
    </row>
    <row r="58" spans="2:31" x14ac:dyDescent="0.2">
      <c r="B58" s="1">
        <f>[16]FormattedData!A31</f>
        <v>201</v>
      </c>
      <c r="C58" s="1" t="str">
        <f>VLOOKUP($B58,[16]TrtCodes!$B$11:I74,2)</f>
        <v>NDL</v>
      </c>
      <c r="D58" s="1">
        <f>VLOOKUP($B58,[16]TrtCodes!$B$11:J74,3)</f>
        <v>12</v>
      </c>
      <c r="E58" s="1">
        <f>VLOOKUP($B58,[16]TrtCodes!$B$11:K74,4)</f>
        <v>2</v>
      </c>
      <c r="F58" s="1">
        <f>VLOOKUP($B58,[16]TrtCodes!$B$11:L74,5)</f>
        <v>3</v>
      </c>
      <c r="G58" s="1">
        <f>VLOOKUP($B58,[16]TrtCodes!$B$11:M74,6)</f>
        <v>1</v>
      </c>
      <c r="H58" s="1">
        <f>VLOOKUP($B58,[16]TrtCodes!$B$11:N74,7)</f>
        <v>1</v>
      </c>
      <c r="I58" s="1">
        <f>[16]FormattedData!B31</f>
        <v>2</v>
      </c>
      <c r="J58" s="4">
        <f>[16]FormattedData!C31</f>
        <v>13.255000000000001</v>
      </c>
      <c r="K58" s="6">
        <f>$J$3+[16]FormattedData!D31*$J$4+$M$4*$J$5+[16]FormattedData!D31^2*$J$6+$M$5*$J$7</f>
        <v>28.543975156721672</v>
      </c>
      <c r="L58" s="6">
        <f>$J$3+[16]FormattedData!E31*$J$4+$M$4*$J$5+[16]FormattedData!E31^2*$J$6+$M$5*$J$7</f>
        <v>27.758812889285796</v>
      </c>
      <c r="M58" s="6">
        <f>$J$3+[16]FormattedData!F31*$J$4+$M$4*$J$5+[16]FormattedData!F31^2*$J$6+$M$5*$J$7</f>
        <v>28.053565753608734</v>
      </c>
      <c r="N58" s="6">
        <f>$J$3+[16]FormattedData!G31*$J$4+$M$4*$J$5+[16]FormattedData!G31^2*$J$6+$M$5*$J$7</f>
        <v>30.689222774653043</v>
      </c>
      <c r="O58" s="6">
        <f>$J$3+[16]FormattedData!H31*$J$4+$M$4*$J$5+[16]FormattedData!H31^2*$J$6+$M$5*$J$7</f>
        <v>27.955357067372351</v>
      </c>
      <c r="P58" s="6">
        <f>$J$3+[16]FormattedData!I31*$J$4+$M$4*$J$5+[16]FormattedData!I31^2*$J$6+$M$5*$J$7</f>
        <v>31.077069832122692</v>
      </c>
      <c r="Q58" s="6">
        <f>$J$3+[16]FormattedData!J31*$J$4+$M$4*$J$5+[16]FormattedData!J31^2*$J$6+$M$5*$J$7</f>
        <v>29.033327846386328</v>
      </c>
      <c r="R58" s="6">
        <f>$J$3+[16]FormattedData!K31*$J$4+$M$4*$J$5+[16]FormattedData!K31^2*$J$6+$M$5*$J$7</f>
        <v>29.911499769893048</v>
      </c>
      <c r="S58" s="6">
        <f>$J$3+[16]FormattedData!L31*$J$4+$M$4*$J$5+[16]FormattedData!L31^2*$J$6+$M$5*$J$7</f>
        <v>29.32643223772995</v>
      </c>
      <c r="T58" s="6">
        <f>$J$3+[16]FormattedData!M31*$J$4+$M$4*$J$5+[16]FormattedData!M31^2*$J$6+$M$5*$J$7</f>
        <v>29.131071578705466</v>
      </c>
      <c r="U58" s="6">
        <f>$J$3+[16]FormattedData!N31*$J$4+$M$4*$J$5+[16]FormattedData!N31^2*$J$6+$M$5*$J$7</f>
        <v>29.521623822602706</v>
      </c>
      <c r="V58" s="6">
        <f>$J$3+[16]FormattedData!O31*$J$4+$M$4*$J$5+[16]FormattedData!O31^2*$J$6+$M$5*$J$7</f>
        <v>28.347938201090287</v>
      </c>
      <c r="W58" s="5">
        <f t="shared" si="9"/>
        <v>29.112491410847678</v>
      </c>
      <c r="X58" s="4">
        <f t="shared" si="10"/>
        <v>0.30654870025630437</v>
      </c>
      <c r="Y58" s="3">
        <f t="shared" si="11"/>
        <v>27.758812889285796</v>
      </c>
      <c r="Z58" s="2">
        <f t="shared" si="12"/>
        <v>28.274345089219899</v>
      </c>
      <c r="AA58" s="3">
        <f t="shared" si="13"/>
        <v>29.082199712545897</v>
      </c>
      <c r="AB58" s="2">
        <f t="shared" si="14"/>
        <v>29.61909280942529</v>
      </c>
      <c r="AC58" s="2">
        <f t="shared" si="15"/>
        <v>31.077069832122692</v>
      </c>
      <c r="AD58" s="2">
        <f t="shared" si="16"/>
        <v>0.56866722739139308</v>
      </c>
      <c r="AE58" s="2">
        <f t="shared" si="17"/>
        <v>-0.51797357920056752</v>
      </c>
    </row>
    <row r="59" spans="2:31" x14ac:dyDescent="0.2">
      <c r="B59" s="1">
        <f>[16]FormattedData!A33</f>
        <v>202</v>
      </c>
      <c r="C59" s="1" t="str">
        <f>VLOOKUP($B59,[16]TrtCodes!$B$11:I76,2)</f>
        <v>NTH</v>
      </c>
      <c r="D59" s="1">
        <f>VLOOKUP($B59,[16]TrtCodes!$B$11:J76,3)</f>
        <v>9</v>
      </c>
      <c r="E59" s="1">
        <f>VLOOKUP($B59,[16]TrtCodes!$B$11:K76,4)</f>
        <v>2</v>
      </c>
      <c r="F59" s="1">
        <f>VLOOKUP($B59,[16]TrtCodes!$B$11:L76,5)</f>
        <v>2</v>
      </c>
      <c r="G59" s="1">
        <f>VLOOKUP($B59,[16]TrtCodes!$B$11:M76,6)</f>
        <v>2</v>
      </c>
      <c r="H59" s="1">
        <f>VLOOKUP($B59,[16]TrtCodes!$B$11:N76,7)</f>
        <v>1</v>
      </c>
      <c r="I59" s="1">
        <f>[16]FormattedData!B33</f>
        <v>2</v>
      </c>
      <c r="J59" s="4">
        <f>[16]FormattedData!C33</f>
        <v>13.275</v>
      </c>
      <c r="K59" s="6">
        <f>$J$3+[16]FormattedData!D33*$J$4+$M$4*$J$5+[16]FormattedData!D33^2*$J$6+$M$5*$J$7</f>
        <v>29.424049164435292</v>
      </c>
      <c r="L59" s="6">
        <f>$J$3+[16]FormattedData!E33*$J$4+$M$4*$J$5+[16]FormattedData!E33^2*$J$6+$M$5*$J$7</f>
        <v>27.955357067372351</v>
      </c>
      <c r="M59" s="6">
        <f>$J$3+[16]FormattedData!F33*$J$4+$M$4*$J$5+[16]FormattedData!F33^2*$J$6+$M$5*$J$7</f>
        <v>29.716646333323737</v>
      </c>
      <c r="N59" s="6">
        <f>$J$3+[16]FormattedData!G33*$J$4+$M$4*$J$5+[16]FormattedData!G33^2*$J$6+$M$5*$J$7</f>
        <v>30.3006994205765</v>
      </c>
      <c r="O59" s="6">
        <f>$J$3+[16]FormattedData!H33*$J$4+$M$4*$J$5+[16]FormattedData!H33^2*$J$6+$M$5*$J$7</f>
        <v>31.367511305576649</v>
      </c>
      <c r="P59" s="6">
        <f>$J$3+[16]FormattedData!I33*$J$4+$M$4*$J$5+[16]FormattedData!I33^2*$J$6+$M$5*$J$7</f>
        <v>28.837713576134256</v>
      </c>
      <c r="Q59" s="6">
        <f>$J$3+[16]FormattedData!J33*$J$4+$M$4*$J$5+[16]FormattedData!J33^2*$J$6+$M$5*$J$7</f>
        <v>30.592155338940806</v>
      </c>
      <c r="R59" s="6">
        <f>$J$3+[16]FormattedData!K33*$J$4+$M$4*$J$5+[16]FormattedData!K33^2*$J$6+$M$5*$J$7</f>
        <v>29.228773042486672</v>
      </c>
      <c r="S59" s="6">
        <f>$J$3+[16]FormattedData!L33*$J$4+$M$4*$J$5+[16]FormattedData!L33^2*$J$6+$M$5*$J$7</f>
        <v>29.911499769893048</v>
      </c>
      <c r="T59" s="6">
        <f>$J$3+[16]FormattedData!M33*$J$4+$M$4*$J$5+[16]FormattedData!M33^2*$J$6+$M$5*$J$7</f>
        <v>28.935541845529258</v>
      </c>
      <c r="U59" s="6">
        <f>$J$3+[16]FormattedData!N33*$J$4+$M$4*$J$5+[16]FormattedData!N33^2*$J$6+$M$5*$J$7</f>
        <v>30.3006994205765</v>
      </c>
      <c r="V59" s="6">
        <f>$J$3+[16]FormattedData!O33*$J$4+$M$4*$J$5+[16]FormattedData!O33^2*$J$6+$M$5*$J$7</f>
        <v>28.445977813174942</v>
      </c>
      <c r="W59" s="5">
        <f t="shared" si="9"/>
        <v>29.584718674834999</v>
      </c>
      <c r="X59" s="4">
        <f t="shared" si="10"/>
        <v>0.28104559912505395</v>
      </c>
      <c r="Y59" s="3">
        <f t="shared" si="11"/>
        <v>27.955357067372351</v>
      </c>
      <c r="Z59" s="2">
        <f t="shared" si="12"/>
        <v>28.911084778180509</v>
      </c>
      <c r="AA59" s="3">
        <f t="shared" si="13"/>
        <v>29.570347748879513</v>
      </c>
      <c r="AB59" s="2">
        <f t="shared" si="14"/>
        <v>30.3006994205765</v>
      </c>
      <c r="AC59" s="2">
        <f t="shared" si="15"/>
        <v>31.367511305576649</v>
      </c>
      <c r="AD59" s="2">
        <f t="shared" si="16"/>
        <v>0.10853667452164888</v>
      </c>
      <c r="AE59" s="2">
        <f t="shared" si="17"/>
        <v>-0.36675849961421259</v>
      </c>
    </row>
    <row r="60" spans="2:31" x14ac:dyDescent="0.2">
      <c r="B60" s="1">
        <f>[16]FormattedData!A35</f>
        <v>203</v>
      </c>
      <c r="C60" s="1" t="str">
        <f>VLOOKUP($B60,[16]TrtCodes!$B$11:I78,2)</f>
        <v>FTH</v>
      </c>
      <c r="D60" s="1">
        <f>VLOOKUP($B60,[16]TrtCodes!$B$11:J78,3)</f>
        <v>3</v>
      </c>
      <c r="E60" s="1">
        <f>VLOOKUP($B60,[16]TrtCodes!$B$11:K78,4)</f>
        <v>1</v>
      </c>
      <c r="F60" s="1">
        <f>VLOOKUP($B60,[16]TrtCodes!$B$11:L78,5)</f>
        <v>2</v>
      </c>
      <c r="G60" s="1">
        <f>VLOOKUP($B60,[16]TrtCodes!$B$11:M78,6)</f>
        <v>2</v>
      </c>
      <c r="H60" s="1">
        <f>VLOOKUP($B60,[16]TrtCodes!$B$11:N78,7)</f>
        <v>1</v>
      </c>
      <c r="I60" s="1">
        <f>[16]FormattedData!B35</f>
        <v>2</v>
      </c>
      <c r="J60" s="4">
        <f>[16]FormattedData!C35</f>
        <v>13.294</v>
      </c>
      <c r="K60" s="6">
        <f>$J$3+[16]FormattedData!D35*$J$4+$M$4*$J$5+[16]FormattedData!D35^2*$J$6+$M$5*$J$7</f>
        <v>31.560927611856304</v>
      </c>
      <c r="L60" s="6">
        <f>$J$3+[16]FormattedData!E35*$J$4+$M$4*$J$5+[16]FormattedData!E35^2*$J$6+$M$5*$J$7</f>
        <v>30.106184132310634</v>
      </c>
      <c r="M60" s="6">
        <f>$J$3+[16]FormattedData!F35*$J$4+$M$4*$J$5+[16]FormattedData!F35^2*$J$6+$M$5*$J$7</f>
        <v>31.754174843984231</v>
      </c>
      <c r="N60" s="6">
        <f>$J$3+[16]FormattedData!G35*$J$4+$M$4*$J$5+[16]FormattedData!G35^2*$J$6+$M$5*$J$7</f>
        <v>30.203462910712531</v>
      </c>
      <c r="O60" s="6">
        <f>$J$3+[16]FormattedData!H35*$J$4+$M$4*$J$5+[16]FormattedData!H35^2*$J$6+$M$5*$J$7</f>
        <v>32.717874892347993</v>
      </c>
      <c r="P60" s="6">
        <f>$J$3+[16]FormattedData!I35*$J$4+$M$4*$J$5+[16]FormattedData!I35^2*$J$6+$M$5*$J$7</f>
        <v>34.727886584815309</v>
      </c>
      <c r="Q60" s="6">
        <f>$J$3+[16]FormattedData!J35*$J$4+$M$4*$J$5+[16]FormattedData!J35^2*$J$6+$M$5*$J$7</f>
        <v>32.62169509593231</v>
      </c>
      <c r="R60" s="6">
        <f>$J$3+[16]FormattedData!K35*$J$4+$M$4*$J$5+[16]FormattedData!K35^2*$J$6+$M$5*$J$7</f>
        <v>32.429208697487141</v>
      </c>
      <c r="S60" s="6">
        <f>$J$3+[16]FormattedData!L35*$J$4+$M$4*$J$5+[16]FormattedData!L35^2*$J$6+$M$5*$J$7</f>
        <v>33.868735503377593</v>
      </c>
      <c r="T60" s="6">
        <f>$J$3+[16]FormattedData!M35*$J$4+$M$4*$J$5+[16]FormattedData!M35^2*$J$6+$M$5*$J$7</f>
        <v>33.198139846357449</v>
      </c>
      <c r="U60" s="6">
        <f>$J$3+[16]FormattedData!N35*$J$4+$M$4*$J$5+[16]FormattedData!N35^2*$J$6+$M$5*$J$7</f>
        <v>31.947253001960433</v>
      </c>
      <c r="V60" s="6">
        <f>$J$3+[16]FormattedData!O35*$J$4+$M$4*$J$5+[16]FormattedData!O35^2*$J$6+$M$5*$J$7</f>
        <v>32.332902095457655</v>
      </c>
      <c r="W60" s="5">
        <f t="shared" si="9"/>
        <v>32.2890371013833</v>
      </c>
      <c r="X60" s="4">
        <f t="shared" si="10"/>
        <v>0.38566688871262728</v>
      </c>
      <c r="Y60" s="3">
        <f t="shared" si="11"/>
        <v>30.106184132310634</v>
      </c>
      <c r="Z60" s="2">
        <f t="shared" si="12"/>
        <v>31.705863035952248</v>
      </c>
      <c r="AA60" s="3">
        <f t="shared" si="13"/>
        <v>32.381055396472398</v>
      </c>
      <c r="AB60" s="2">
        <f t="shared" si="14"/>
        <v>32.837941130850353</v>
      </c>
      <c r="AC60" s="2">
        <f t="shared" si="15"/>
        <v>34.727886584815309</v>
      </c>
      <c r="AD60" s="2">
        <f t="shared" si="16"/>
        <v>-3.3542942346493E-2</v>
      </c>
      <c r="AE60" s="2">
        <f t="shared" si="17"/>
        <v>0.1380907257947781</v>
      </c>
    </row>
    <row r="61" spans="2:31" x14ac:dyDescent="0.2">
      <c r="B61" s="1">
        <f>[16]FormattedData!A37</f>
        <v>204</v>
      </c>
      <c r="C61" s="1" t="str">
        <f>VLOOKUP($B61,[16]TrtCodes!$B$11:I80,2)</f>
        <v>NDH</v>
      </c>
      <c r="D61" s="1">
        <f>VLOOKUP($B61,[16]TrtCodes!$B$11:J80,3)</f>
        <v>11</v>
      </c>
      <c r="E61" s="1">
        <f>VLOOKUP($B61,[16]TrtCodes!$B$11:K80,4)</f>
        <v>2</v>
      </c>
      <c r="F61" s="1">
        <f>VLOOKUP($B61,[16]TrtCodes!$B$11:L80,5)</f>
        <v>3</v>
      </c>
      <c r="G61" s="1">
        <f>VLOOKUP($B61,[16]TrtCodes!$B$11:M80,6)</f>
        <v>2</v>
      </c>
      <c r="H61" s="1">
        <f>VLOOKUP($B61,[16]TrtCodes!$B$11:N80,7)</f>
        <v>1</v>
      </c>
      <c r="I61" s="1">
        <f>[16]FormattedData!B37</f>
        <v>2</v>
      </c>
      <c r="J61" s="4">
        <f>[16]FormattedData!C37</f>
        <v>13.315</v>
      </c>
      <c r="K61" s="6">
        <f>$J$3+[16]FormattedData!D37*$J$4+$M$4*$J$5+[16]FormattedData!D37^2*$J$6+$M$5*$J$7</f>
        <v>33.868735503377593</v>
      </c>
      <c r="L61" s="6">
        <f>$J$3+[16]FormattedData!E37*$J$4+$M$4*$J$5+[16]FormattedData!E37^2*$J$6+$M$5*$J$7</f>
        <v>33.485791596307962</v>
      </c>
      <c r="M61" s="6">
        <f>$J$3+[16]FormattedData!F37*$J$4+$M$4*$J$5+[16]FormattedData!F37^2*$J$6+$M$5*$J$7</f>
        <v>33.006160670367464</v>
      </c>
      <c r="N61" s="6">
        <f>$J$3+[16]FormattedData!G37*$J$4+$M$4*$J$5+[16]FormattedData!G37^2*$J$6+$M$5*$J$7</f>
        <v>35.203713342341999</v>
      </c>
      <c r="O61" s="6">
        <f>$J$3+[16]FormattedData!H37*$J$4+$M$4*$J$5+[16]FormattedData!H37^2*$J$6+$M$5*$J$7</f>
        <v>32.236553224890251</v>
      </c>
      <c r="P61" s="6">
        <f>$J$3+[16]FormattedData!I37*$J$4+$M$4*$J$5+[16]FormattedData!I37^2*$J$6+$M$5*$J$7</f>
        <v>34.251003113840333</v>
      </c>
      <c r="Q61" s="6">
        <f>$J$3+[16]FormattedData!J37*$J$4+$M$4*$J$5+[16]FormattedData!J37^2*$J$6+$M$5*$J$7</f>
        <v>32.91010767956557</v>
      </c>
      <c r="R61" s="6">
        <f>$J$3+[16]FormattedData!K37*$J$4+$M$4*$J$5+[16]FormattedData!K37^2*$J$6+$M$5*$J$7</f>
        <v>34.537260002039119</v>
      </c>
      <c r="S61" s="6">
        <f>$J$3+[16]FormattedData!L37*$J$4+$M$4*$J$5+[16]FormattedData!L37^2*$J$6+$M$5*$J$7</f>
        <v>33.294066031545555</v>
      </c>
      <c r="T61" s="6">
        <f>$J$3+[16]FormattedData!M37*$J$4+$M$4*$J$5+[16]FormattedData!M37^2*$J$6+$M$5*$J$7</f>
        <v>34.251003113840333</v>
      </c>
      <c r="U61" s="6">
        <f>$J$3+[16]FormattedData!N37*$J$4+$M$4*$J$5+[16]FormattedData!N37^2*$J$6+$M$5*$J$7</f>
        <v>33.389949948195721</v>
      </c>
      <c r="V61" s="6">
        <f>$J$3+[16]FormattedData!O37*$J$4+$M$4*$J$5+[16]FormattedData!O37^2*$J$6+$M$5*$J$7</f>
        <v>32.717874892347993</v>
      </c>
      <c r="W61" s="5">
        <f t="shared" si="9"/>
        <v>33.596018259888318</v>
      </c>
      <c r="X61" s="4">
        <f t="shared" si="10"/>
        <v>0.24597486903726493</v>
      </c>
      <c r="Y61" s="3">
        <f t="shared" si="11"/>
        <v>32.236553224890251</v>
      </c>
      <c r="Z61" s="2">
        <f t="shared" si="12"/>
        <v>32.982147422666991</v>
      </c>
      <c r="AA61" s="3">
        <f t="shared" si="13"/>
        <v>33.437870772251841</v>
      </c>
      <c r="AB61" s="2">
        <f t="shared" si="14"/>
        <v>34.251003113840333</v>
      </c>
      <c r="AC61" s="2">
        <f t="shared" si="15"/>
        <v>35.203713342341999</v>
      </c>
      <c r="AD61" s="2">
        <f t="shared" si="16"/>
        <v>0.32028520335408606</v>
      </c>
      <c r="AE61" s="2">
        <f t="shared" si="17"/>
        <v>-0.38582099023069016</v>
      </c>
    </row>
    <row r="62" spans="2:31" x14ac:dyDescent="0.2">
      <c r="B62" s="1">
        <f>[16]FormattedData!A39</f>
        <v>205</v>
      </c>
      <c r="C62" s="1" t="str">
        <f>VLOOKUP($B62,[16]TrtCodes!$B$11:I82,2)</f>
        <v>FSH</v>
      </c>
      <c r="D62" s="1">
        <f>VLOOKUP($B62,[16]TrtCodes!$B$11:J82,3)</f>
        <v>1</v>
      </c>
      <c r="E62" s="1">
        <f>VLOOKUP($B62,[16]TrtCodes!$B$11:K82,4)</f>
        <v>1</v>
      </c>
      <c r="F62" s="1">
        <f>VLOOKUP($B62,[16]TrtCodes!$B$11:L82,5)</f>
        <v>1</v>
      </c>
      <c r="G62" s="1">
        <f>VLOOKUP($B62,[16]TrtCodes!$B$11:M82,6)</f>
        <v>2</v>
      </c>
      <c r="H62" s="1">
        <f>VLOOKUP($B62,[16]TrtCodes!$B$11:N82,7)</f>
        <v>2</v>
      </c>
      <c r="I62" s="1">
        <f>[16]FormattedData!B39</f>
        <v>2</v>
      </c>
      <c r="J62" s="4">
        <f>[16]FormattedData!C39</f>
        <v>13.335000000000001</v>
      </c>
      <c r="K62" s="6">
        <f>$J$3+[16]FormattedData!D39*$J$4+$M$4*$J$5+[16]FormattedData!D39^2*$J$6+$M$5*$J$7</f>
        <v>30.203462910712531</v>
      </c>
      <c r="L62" s="6">
        <f>$J$3+[16]FormattedData!E39*$J$4+$M$4*$J$5+[16]FormattedData!E39^2*$J$6+$M$5*$J$7</f>
        <v>29.814094185877362</v>
      </c>
      <c r="M62" s="6">
        <f>$J$3+[16]FormattedData!F39*$J$4+$M$4*$J$5+[16]FormattedData!F39^2*$J$6+$M$5*$J$7</f>
        <v>30.495045634690637</v>
      </c>
      <c r="N62" s="6">
        <f>$J$3+[16]FormattedData!G39*$J$4+$M$4*$J$5+[16]FormattedData!G39^2*$J$6+$M$5*$J$7</f>
        <v>29.131071578705466</v>
      </c>
      <c r="O62" s="6">
        <f>$J$3+[16]FormattedData!H39*$J$4+$M$4*$J$5+[16]FormattedData!H39^2*$J$6+$M$5*$J$7</f>
        <v>30.495045634690637</v>
      </c>
      <c r="P62" s="6">
        <f>$J$3+[16]FormattedData!I39*$J$4+$M$4*$J$5+[16]FormattedData!I39^2*$J$6+$M$5*$J$7</f>
        <v>31.657572362189235</v>
      </c>
      <c r="Q62" s="6">
        <f>$J$3+[16]FormattedData!J39*$J$4+$M$4*$J$5+[16]FormattedData!J39^2*$J$6+$M$5*$J$7</f>
        <v>29.228773042486672</v>
      </c>
      <c r="R62" s="6">
        <f>$J$3+[16]FormattedData!K39*$J$4+$M$4*$J$5+[16]FormattedData!K39^2*$J$6+$M$5*$J$7</f>
        <v>30.106184132310634</v>
      </c>
      <c r="S62" s="6">
        <f>$J$3+[16]FormattedData!L39*$J$4+$M$4*$J$5+[16]FormattedData!L39^2*$J$6+$M$5*$J$7</f>
        <v>30.592155338940806</v>
      </c>
      <c r="T62" s="6">
        <f>$J$3+[16]FormattedData!M39*$J$4+$M$4*$J$5+[16]FormattedData!M39^2*$J$6+$M$5*$J$7</f>
        <v>30.786247941827355</v>
      </c>
      <c r="U62" s="6">
        <f>$J$3+[16]FormattedData!N39*$J$4+$M$4*$J$5+[16]FormattedData!N39^2*$J$6+$M$5*$J$7</f>
        <v>30.689222774653043</v>
      </c>
      <c r="V62" s="6">
        <f>$J$3+[16]FormattedData!O39*$J$4+$M$4*$J$5+[16]FormattedData!O39^2*$J$6+$M$5*$J$7</f>
        <v>30.883230840463732</v>
      </c>
      <c r="W62" s="5">
        <f t="shared" si="9"/>
        <v>30.340175531462339</v>
      </c>
      <c r="X62" s="4">
        <f t="shared" si="10"/>
        <v>0.20431098420893415</v>
      </c>
      <c r="Y62" s="3">
        <f t="shared" si="11"/>
        <v>29.131071578705466</v>
      </c>
      <c r="Z62" s="2">
        <f t="shared" si="12"/>
        <v>30.033161645702315</v>
      </c>
      <c r="AA62" s="3">
        <f t="shared" si="13"/>
        <v>30.495045634690637</v>
      </c>
      <c r="AB62" s="2">
        <f t="shared" si="14"/>
        <v>30.71347906644662</v>
      </c>
      <c r="AC62" s="2">
        <f t="shared" si="15"/>
        <v>31.657572362189235</v>
      </c>
      <c r="AD62" s="2">
        <f t="shared" si="16"/>
        <v>-0.21544692206515295</v>
      </c>
      <c r="AE62" s="2">
        <f t="shared" si="17"/>
        <v>0.30088648425739528</v>
      </c>
    </row>
    <row r="63" spans="2:31" x14ac:dyDescent="0.2">
      <c r="B63" s="1">
        <f>[16]FormattedData!A41</f>
        <v>206</v>
      </c>
      <c r="C63" s="1" t="str">
        <f>VLOOKUP($B63,[16]TrtCodes!$B$11:I84,2)</f>
        <v>NSL</v>
      </c>
      <c r="D63" s="1">
        <f>VLOOKUP($B63,[16]TrtCodes!$B$11:J84,3)</f>
        <v>8</v>
      </c>
      <c r="E63" s="1">
        <f>VLOOKUP($B63,[16]TrtCodes!$B$11:K84,4)</f>
        <v>2</v>
      </c>
      <c r="F63" s="1">
        <f>VLOOKUP($B63,[16]TrtCodes!$B$11:L84,5)</f>
        <v>1</v>
      </c>
      <c r="G63" s="1">
        <f>VLOOKUP($B63,[16]TrtCodes!$B$11:M84,6)</f>
        <v>1</v>
      </c>
      <c r="H63" s="1">
        <f>VLOOKUP($B63,[16]TrtCodes!$B$11:N84,7)</f>
        <v>2</v>
      </c>
      <c r="I63" s="1">
        <f>[16]FormattedData!B41</f>
        <v>2</v>
      </c>
      <c r="J63" s="4">
        <f>[16]FormattedData!C41</f>
        <v>13.355</v>
      </c>
      <c r="K63" s="6">
        <f>$J$3+[16]FormattedData!D41*$J$4+$M$4*$J$5+[16]FormattedData!D41^2*$J$6+$M$5*$J$7</f>
        <v>29.32643223772995</v>
      </c>
      <c r="L63" s="6">
        <f>$J$3+[16]FormattedData!E41*$J$4+$M$4*$J$5+[16]FormattedData!E41^2*$J$6+$M$5*$J$7</f>
        <v>30.397893661902529</v>
      </c>
      <c r="M63" s="6">
        <f>$J$3+[16]FormattedData!F41*$J$4+$M$4*$J$5+[16]FormattedData!F41^2*$J$6+$M$5*$J$7</f>
        <v>28.053565753608734</v>
      </c>
      <c r="N63" s="6">
        <f>$J$3+[16]FormattedData!G41*$J$4+$M$4*$J$5+[16]FormattedData!G41^2*$J$6+$M$5*$J$7</f>
        <v>28.347938201090287</v>
      </c>
      <c r="O63" s="6">
        <f>$J$3+[16]FormattedData!H41*$J$4+$M$4*$J$5+[16]FormattedData!H41^2*$J$6+$M$5*$J$7</f>
        <v>27.955357067372351</v>
      </c>
      <c r="P63" s="6">
        <f>$J$3+[16]FormattedData!I41*$J$4+$M$4*$J$5+[16]FormattedData!I41^2*$J$6+$M$5*$J$7</f>
        <v>29.424049164435292</v>
      </c>
      <c r="Q63" s="6">
        <f>$J$3+[16]FormattedData!J41*$J$4+$M$4*$J$5+[16]FormattedData!J41^2*$J$6+$M$5*$J$7</f>
        <v>29.619156212232191</v>
      </c>
      <c r="R63" s="6">
        <f>$J$3+[16]FormattedData!K41*$J$4+$M$4*$J$5+[16]FormattedData!K41^2*$J$6+$M$5*$J$7</f>
        <v>28.2498563204677</v>
      </c>
      <c r="S63" s="6">
        <f>$J$3+[16]FormattedData!L41*$J$4+$M$4*$J$5+[16]FormattedData!L41^2*$J$6+$M$5*$J$7</f>
        <v>31.077069832122692</v>
      </c>
      <c r="T63" s="6">
        <f>$J$3+[16]FormattedData!M41*$J$4+$M$4*$J$5+[16]FormattedData!M41^2*$J$6+$M$5*$J$7</f>
        <v>29.814094185877362</v>
      </c>
      <c r="U63" s="6">
        <f>$J$3+[16]FormattedData!N41*$J$4+$M$4*$J$5+[16]FormattedData!N41^2*$J$6+$M$5*$J$7</f>
        <v>29.424049164435292</v>
      </c>
      <c r="V63" s="6">
        <f>$J$3+[16]FormattedData!O41*$J$4+$M$4*$J$5+[16]FormattedData!O41^2*$J$6+$M$5*$J$7</f>
        <v>30.203462910712531</v>
      </c>
      <c r="W63" s="5">
        <f t="shared" si="9"/>
        <v>29.324410392665573</v>
      </c>
      <c r="X63" s="4">
        <f t="shared" si="10"/>
        <v>0.28789935954214535</v>
      </c>
      <c r="Y63" s="3">
        <f t="shared" si="11"/>
        <v>27.955357067372351</v>
      </c>
      <c r="Z63" s="2">
        <f t="shared" si="12"/>
        <v>28.32341773093464</v>
      </c>
      <c r="AA63" s="3">
        <f t="shared" si="13"/>
        <v>29.424049164435292</v>
      </c>
      <c r="AB63" s="2">
        <f t="shared" si="14"/>
        <v>29.911436367086154</v>
      </c>
      <c r="AC63" s="2">
        <f t="shared" si="15"/>
        <v>31.077069832122692</v>
      </c>
      <c r="AD63" s="2">
        <f t="shared" si="16"/>
        <v>7.2017902392271627E-2</v>
      </c>
      <c r="AE63" s="2">
        <f t="shared" si="17"/>
        <v>-0.8811341664390584</v>
      </c>
    </row>
    <row r="64" spans="2:31" x14ac:dyDescent="0.2">
      <c r="B64" s="1">
        <f>[16]FormattedData!A43</f>
        <v>207</v>
      </c>
      <c r="C64" s="1" t="str">
        <f>VLOOKUP($B64,[16]TrtCodes!$B$11:I86,2)</f>
        <v>FTL</v>
      </c>
      <c r="D64" s="1">
        <f>VLOOKUP($B64,[16]TrtCodes!$B$11:J86,3)</f>
        <v>4</v>
      </c>
      <c r="E64" s="1">
        <f>VLOOKUP($B64,[16]TrtCodes!$B$11:K86,4)</f>
        <v>1</v>
      </c>
      <c r="F64" s="1">
        <f>VLOOKUP($B64,[16]TrtCodes!$B$11:L86,5)</f>
        <v>2</v>
      </c>
      <c r="G64" s="1">
        <f>VLOOKUP($B64,[16]TrtCodes!$B$11:M86,6)</f>
        <v>1</v>
      </c>
      <c r="H64" s="1">
        <f>VLOOKUP($B64,[16]TrtCodes!$B$11:N86,7)</f>
        <v>2</v>
      </c>
      <c r="I64" s="1">
        <f>[16]FormattedData!B43</f>
        <v>2</v>
      </c>
      <c r="J64" s="4">
        <f>[16]FormattedData!C43</f>
        <v>13.375</v>
      </c>
      <c r="K64" s="6">
        <f>$J$3+[16]FormattedData!D43*$J$4+$M$4*$J$5+[16]FormattedData!D43^2*$J$6+$M$5*$J$7</f>
        <v>28.837713576134256</v>
      </c>
      <c r="L64" s="6">
        <f>$J$3+[16]FormattedData!E43*$J$4+$M$4*$J$5+[16]FormattedData!E43^2*$J$6+$M$5*$J$7</f>
        <v>28.837713576134256</v>
      </c>
      <c r="M64" s="6">
        <f>$J$3+[16]FormattedData!F43*$J$4+$M$4*$J$5+[16]FormattedData!F43^2*$J$6+$M$5*$J$7</f>
        <v>28.2498563204677</v>
      </c>
      <c r="N64" s="6">
        <f>$J$3+[16]FormattedData!G43*$J$4+$M$4*$J$5+[16]FormattedData!G43^2*$J$6+$M$5*$J$7</f>
        <v>28.2498563204677</v>
      </c>
      <c r="O64" s="6">
        <f>$J$3+[16]FormattedData!H43*$J$4+$M$4*$J$5+[16]FormattedData!H43^2*$J$6+$M$5*$J$7</f>
        <v>30.106184132310634</v>
      </c>
      <c r="P64" s="6">
        <f>$J$3+[16]FormattedData!I43*$J$4+$M$4*$J$5+[16]FormattedData!I43^2*$J$6+$M$5*$J$7</f>
        <v>29.619156212232191</v>
      </c>
      <c r="Q64" s="6">
        <f>$J$3+[16]FormattedData!J43*$J$4+$M$4*$J$5+[16]FormattedData!J43^2*$J$6+$M$5*$J$7</f>
        <v>28.053565753608734</v>
      </c>
      <c r="R64" s="6">
        <f>$J$3+[16]FormattedData!K43*$J$4+$M$4*$J$5+[16]FormattedData!K43^2*$J$6+$M$5*$J$7</f>
        <v>28.641930231730463</v>
      </c>
      <c r="S64" s="6">
        <f>$J$3+[16]FormattedData!L43*$J$4+$M$4*$J$5+[16]FormattedData!L43^2*$J$6+$M$5*$J$7</f>
        <v>28.445977813174942</v>
      </c>
      <c r="T64" s="6">
        <f>$J$3+[16]FormattedData!M43*$J$4+$M$4*$J$5+[16]FormattedData!M43^2*$J$6+$M$5*$J$7</f>
        <v>28.739843038201325</v>
      </c>
      <c r="U64" s="6">
        <f>$J$3+[16]FormattedData!N43*$J$4+$M$4*$J$5+[16]FormattedData!N43^2*$J$6+$M$5*$J$7</f>
        <v>29.619156212232191</v>
      </c>
      <c r="V64" s="6">
        <f>$J$3+[16]FormattedData!O43*$J$4+$M$4*$J$5+[16]FormattedData!O43^2*$J$6+$M$5*$J$7</f>
        <v>29.521623822602706</v>
      </c>
      <c r="W64" s="5">
        <f t="shared" si="9"/>
        <v>28.91021475077476</v>
      </c>
      <c r="X64" s="4">
        <f t="shared" si="10"/>
        <v>0.18954462379402776</v>
      </c>
      <c r="Y64" s="3">
        <f t="shared" si="11"/>
        <v>28.053565753608734</v>
      </c>
      <c r="Z64" s="2">
        <f t="shared" si="12"/>
        <v>28.396947439998129</v>
      </c>
      <c r="AA64" s="3">
        <f t="shared" si="13"/>
        <v>28.788778307167789</v>
      </c>
      <c r="AB64" s="2">
        <f t="shared" si="14"/>
        <v>29.546006920010079</v>
      </c>
      <c r="AC64" s="2">
        <f t="shared" si="15"/>
        <v>30.106184132310634</v>
      </c>
      <c r="AD64" s="2">
        <f t="shared" si="16"/>
        <v>0.50953428273520252</v>
      </c>
      <c r="AE64" s="2">
        <f t="shared" si="17"/>
        <v>-0.92860059630759162</v>
      </c>
    </row>
    <row r="65" spans="2:31" x14ac:dyDescent="0.2">
      <c r="B65" s="1">
        <f>[16]FormattedData!A45</f>
        <v>208</v>
      </c>
      <c r="C65" s="1" t="str">
        <f>VLOOKUP($B65,[16]TrtCodes!$B$11:I88,2)</f>
        <v>FSL</v>
      </c>
      <c r="D65" s="1">
        <f>VLOOKUP($B65,[16]TrtCodes!$B$11:J88,3)</f>
        <v>2</v>
      </c>
      <c r="E65" s="1">
        <f>VLOOKUP($B65,[16]TrtCodes!$B$11:K88,4)</f>
        <v>1</v>
      </c>
      <c r="F65" s="1">
        <f>VLOOKUP($B65,[16]TrtCodes!$B$11:L88,5)</f>
        <v>1</v>
      </c>
      <c r="G65" s="1">
        <f>VLOOKUP($B65,[16]TrtCodes!$B$11:M88,6)</f>
        <v>1</v>
      </c>
      <c r="H65" s="1">
        <f>VLOOKUP($B65,[16]TrtCodes!$B$11:N88,7)</f>
        <v>2</v>
      </c>
      <c r="I65" s="1">
        <f>[16]FormattedData!B45</f>
        <v>2</v>
      </c>
      <c r="J65" s="4">
        <f>[16]FormattedData!C45</f>
        <v>13.394</v>
      </c>
      <c r="K65" s="6">
        <f>$J$3+[16]FormattedData!D45*$J$4+$M$4*$J$5+[16]FormattedData!D45^2*$J$6+$M$5*$J$7</f>
        <v>29.424049164435292</v>
      </c>
      <c r="L65" s="6">
        <f>$J$3+[16]FormattedData!E45*$J$4+$M$4*$J$5+[16]FormattedData!E45^2*$J$6+$M$5*$J$7</f>
        <v>30.495045634690637</v>
      </c>
      <c r="M65" s="6">
        <f>$J$3+[16]FormattedData!F45*$J$4+$M$4*$J$5+[16]FormattedData!F45^2*$J$6+$M$5*$J$7</f>
        <v>29.131071578705466</v>
      </c>
      <c r="N65" s="6">
        <f>$J$3+[16]FormattedData!G45*$J$4+$M$4*$J$5+[16]FormattedData!G45^2*$J$6+$M$5*$J$7</f>
        <v>28.151732171307184</v>
      </c>
      <c r="O65" s="6">
        <f>$J$3+[16]FormattedData!H45*$J$4+$M$4*$J$5+[16]FormattedData!H45^2*$J$6+$M$5*$J$7</f>
        <v>28.347938201090287</v>
      </c>
      <c r="P65" s="6">
        <f>$J$3+[16]FormattedData!I45*$J$4+$M$4*$J$5+[16]FormattedData!I45^2*$J$6+$M$5*$J$7</f>
        <v>28.641930231730463</v>
      </c>
      <c r="Q65" s="6">
        <f>$J$3+[16]FormattedData!J45*$J$4+$M$4*$J$5+[16]FormattedData!J45^2*$J$6+$M$5*$J$7</f>
        <v>27.955357067372351</v>
      </c>
      <c r="R65" s="6">
        <f>$J$3+[16]FormattedData!K45*$J$4+$M$4*$J$5+[16]FormattedData!K45^2*$J$6+$M$5*$J$7</f>
        <v>27.758812889285796</v>
      </c>
      <c r="S65" s="6">
        <f>$J$3+[16]FormattedData!L45*$J$4+$M$4*$J$5+[16]FormattedData!L45^2*$J$6+$M$5*$J$7</f>
        <v>29.424049164435292</v>
      </c>
      <c r="T65" s="6">
        <f>$J$3+[16]FormattedData!M45*$J$4+$M$4*$J$5+[16]FormattedData!M45^2*$J$6+$M$5*$J$7</f>
        <v>27.562099637047517</v>
      </c>
      <c r="U65" s="6">
        <f>$J$3+[16]FormattedData!N45*$J$4+$M$4*$J$5+[16]FormattedData!N45^2*$J$6+$M$5*$J$7</f>
        <v>27.660477397435624</v>
      </c>
      <c r="V65" s="6">
        <f>$J$3+[16]FormattedData!O45*$J$4+$M$4*$J$5+[16]FormattedData!O45^2*$J$6+$M$5*$J$7</f>
        <v>27.660477397435624</v>
      </c>
      <c r="W65" s="5">
        <f t="shared" si="9"/>
        <v>28.517753377914293</v>
      </c>
      <c r="X65" s="4">
        <f t="shared" si="10"/>
        <v>0.26660342753493099</v>
      </c>
      <c r="Y65" s="3">
        <f t="shared" si="11"/>
        <v>27.562099637047517</v>
      </c>
      <c r="Z65" s="2">
        <f t="shared" si="12"/>
        <v>27.734229016323255</v>
      </c>
      <c r="AA65" s="3">
        <f t="shared" si="13"/>
        <v>28.249835186198737</v>
      </c>
      <c r="AB65" s="2">
        <f t="shared" si="14"/>
        <v>29.204315975137924</v>
      </c>
      <c r="AC65" s="2">
        <f t="shared" si="15"/>
        <v>30.495045634690637</v>
      </c>
      <c r="AD65" s="2">
        <f t="shared" si="16"/>
        <v>0.92099256760859582</v>
      </c>
      <c r="AE65" s="2">
        <f t="shared" si="17"/>
        <v>0.11277861822379176</v>
      </c>
    </row>
    <row r="66" spans="2:31" x14ac:dyDescent="0.2">
      <c r="B66" s="1">
        <f>[16]FormattedData!A63</f>
        <v>301</v>
      </c>
      <c r="C66" s="1" t="str">
        <f>VLOOKUP($B66,[16]TrtCodes!$B$11:I106,2)</f>
        <v>NTL</v>
      </c>
      <c r="D66" s="1">
        <f>VLOOKUP($B66,[16]TrtCodes!$B$11:J106,3)</f>
        <v>10</v>
      </c>
      <c r="E66" s="1">
        <f>VLOOKUP($B66,[16]TrtCodes!$B$11:K106,4)</f>
        <v>2</v>
      </c>
      <c r="F66" s="1">
        <f>VLOOKUP($B66,[16]TrtCodes!$B$11:L106,5)</f>
        <v>2</v>
      </c>
      <c r="G66" s="1">
        <f>VLOOKUP($B66,[16]TrtCodes!$B$11:M106,6)</f>
        <v>1</v>
      </c>
      <c r="H66" s="1">
        <f>VLOOKUP($B66,[16]TrtCodes!$B$11:N106,7)</f>
        <v>3</v>
      </c>
      <c r="I66" s="1">
        <f>[16]FormattedData!B63</f>
        <v>2</v>
      </c>
      <c r="J66" s="4">
        <f>[16]FormattedData!C63</f>
        <v>13.558999999999999</v>
      </c>
      <c r="K66" s="6">
        <f>$J$3+[16]FormattedData!D63*$J$4+$M$4*$J$5+[16]FormattedData!D63^2*$J$6+$M$5*$J$7</f>
        <v>29.228773042486672</v>
      </c>
      <c r="L66" s="6">
        <f>$J$3+[16]FormattedData!E63*$J$4+$M$4*$J$5+[16]FormattedData!E63^2*$J$6+$M$5*$J$7</f>
        <v>29.619156212232191</v>
      </c>
      <c r="M66" s="6">
        <f>$J$3+[16]FormattedData!F63*$J$4+$M$4*$J$5+[16]FormattedData!F63^2*$J$6+$M$5*$J$7</f>
        <v>30.689222774653043</v>
      </c>
      <c r="N66" s="6">
        <f>$J$3+[16]FormattedData!G63*$J$4+$M$4*$J$5+[16]FormattedData!G63^2*$J$6+$M$5*$J$7</f>
        <v>29.814094185877362</v>
      </c>
      <c r="O66" s="6">
        <f>$J$3+[16]FormattedData!H63*$J$4+$M$4*$J$5+[16]FormattedData!H63^2*$J$6+$M$5*$J$7</f>
        <v>29.131071578705466</v>
      </c>
      <c r="P66" s="6">
        <f>$J$3+[16]FormattedData!I63*$J$4+$M$4*$J$5+[16]FormattedData!I63^2*$J$6+$M$5*$J$7</f>
        <v>30.883230840463732</v>
      </c>
      <c r="Q66" s="6">
        <f>$J$3+[16]FormattedData!J63*$J$4+$M$4*$J$5+[16]FormattedData!J63^2*$J$6+$M$5*$J$7</f>
        <v>30.106184132310634</v>
      </c>
      <c r="R66" s="6">
        <f>$J$3+[16]FormattedData!K63*$J$4+$M$4*$J$5+[16]FormattedData!K63^2*$J$6+$M$5*$J$7</f>
        <v>31.560927611856304</v>
      </c>
      <c r="S66" s="6">
        <f>$J$3+[16]FormattedData!L63*$J$4+$M$4*$J$5+[16]FormattedData!L63^2*$J$6+$M$5*$J$7</f>
        <v>30.3006994205765</v>
      </c>
      <c r="T66" s="6">
        <f>$J$3+[16]FormattedData!M63*$J$4+$M$4*$J$5+[16]FormattedData!M63^2*$J$6+$M$5*$J$7</f>
        <v>31.464240592985448</v>
      </c>
      <c r="U66" s="6">
        <f>$J$3+[16]FormattedData!N63*$J$4+$M$4*$J$5+[16]FormattedData!N63^2*$J$6+$M$5*$J$7</f>
        <v>31.464240592985448</v>
      </c>
      <c r="V66" s="6">
        <f>$J$3+[16]FormattedData!O63*$J$4+$M$4*$J$5+[16]FormattedData!O63^2*$J$6+$M$5*$J$7</f>
        <v>30.883230840463732</v>
      </c>
      <c r="W66" s="5">
        <f t="shared" si="9"/>
        <v>30.428755985466378</v>
      </c>
      <c r="X66" s="4">
        <f t="shared" si="10"/>
        <v>0.249011119386118</v>
      </c>
      <c r="Y66" s="3">
        <f t="shared" si="11"/>
        <v>29.131071578705466</v>
      </c>
      <c r="Z66" s="2">
        <f t="shared" si="12"/>
        <v>29.76535969246607</v>
      </c>
      <c r="AA66" s="3">
        <f t="shared" si="13"/>
        <v>30.49496109761477</v>
      </c>
      <c r="AB66" s="2">
        <f t="shared" si="14"/>
        <v>31.028483278594159</v>
      </c>
      <c r="AC66" s="2">
        <f t="shared" si="15"/>
        <v>31.560927611856304</v>
      </c>
      <c r="AD66" s="2">
        <f t="shared" si="16"/>
        <v>-0.14184531598411779</v>
      </c>
      <c r="AE66" s="2">
        <f t="shared" si="17"/>
        <v>-1.3223957124614882</v>
      </c>
    </row>
    <row r="67" spans="2:31" x14ac:dyDescent="0.2">
      <c r="B67" s="1">
        <f>[16]FormattedData!A65</f>
        <v>302</v>
      </c>
      <c r="C67" s="1" t="str">
        <f>VLOOKUP($B67,[16]TrtCodes!$B$11:I108,2)</f>
        <v>FTL</v>
      </c>
      <c r="D67" s="1">
        <f>VLOOKUP($B67,[16]TrtCodes!$B$11:J108,3)</f>
        <v>4</v>
      </c>
      <c r="E67" s="1">
        <f>VLOOKUP($B67,[16]TrtCodes!$B$11:K108,4)</f>
        <v>1</v>
      </c>
      <c r="F67" s="1">
        <f>VLOOKUP($B67,[16]TrtCodes!$B$11:L108,5)</f>
        <v>2</v>
      </c>
      <c r="G67" s="1">
        <f>VLOOKUP($B67,[16]TrtCodes!$B$11:M108,6)</f>
        <v>1</v>
      </c>
      <c r="H67" s="1">
        <f>VLOOKUP($B67,[16]TrtCodes!$B$11:N108,7)</f>
        <v>3</v>
      </c>
      <c r="I67" s="1">
        <f>[16]FormattedData!B65</f>
        <v>2</v>
      </c>
      <c r="J67" s="4">
        <f>[16]FormattedData!C65</f>
        <v>13.582000000000001</v>
      </c>
      <c r="K67" s="6">
        <f>$J$3+[16]FormattedData!D65*$J$4+$M$4*$J$5+[16]FormattedData!D65^2*$J$6+$M$5*$J$7</f>
        <v>29.619156212232191</v>
      </c>
      <c r="L67" s="6">
        <f>$J$3+[16]FormattedData!E65*$J$4+$M$4*$J$5+[16]FormattedData!E65^2*$J$6+$M$5*$J$7</f>
        <v>31.173925925145273</v>
      </c>
      <c r="M67" s="6">
        <f>$J$3+[16]FormattedData!F65*$J$4+$M$4*$J$5+[16]FormattedData!F65^2*$J$6+$M$5*$J$7</f>
        <v>30.592155338940806</v>
      </c>
      <c r="N67" s="6">
        <f>$J$3+[16]FormattedData!G65*$J$4+$M$4*$J$5+[16]FormattedData!G65^2*$J$6+$M$5*$J$7</f>
        <v>30.397893661902529</v>
      </c>
      <c r="O67" s="6">
        <f>$J$3+[16]FormattedData!H65*$J$4+$M$4*$J$5+[16]FormattedData!H65^2*$J$6+$M$5*$J$7</f>
        <v>30.397893661902529</v>
      </c>
      <c r="P67" s="6">
        <f>$J$3+[16]FormattedData!I65*$J$4+$M$4*$J$5+[16]FormattedData!I65^2*$J$6+$M$5*$J$7</f>
        <v>30.008863085370812</v>
      </c>
      <c r="Q67" s="6">
        <f>$J$3+[16]FormattedData!J65*$J$4+$M$4*$J$5+[16]FormattedData!J65^2*$J$6+$M$5*$J$7</f>
        <v>30.98017147056218</v>
      </c>
      <c r="R67" s="6">
        <f>$J$3+[16]FormattedData!K65*$J$4+$M$4*$J$5+[16]FormattedData!K65^2*$J$6+$M$5*$J$7</f>
        <v>30.786247941827355</v>
      </c>
      <c r="S67" s="6">
        <f>$J$3+[16]FormattedData!L65*$J$4+$M$4*$J$5+[16]FormattedData!L65^2*$J$6+$M$5*$J$7</f>
        <v>30.106184132310634</v>
      </c>
      <c r="T67" s="6">
        <f>$J$3+[16]FormattedData!M65*$J$4+$M$4*$J$5+[16]FormattedData!M65^2*$J$6+$M$5*$J$7</f>
        <v>30.3006994205765</v>
      </c>
      <c r="U67" s="6">
        <f>$J$3+[16]FormattedData!N65*$J$4+$M$4*$J$5+[16]FormattedData!N65^2*$J$6+$M$5*$J$7</f>
        <v>29.911499769893048</v>
      </c>
      <c r="V67" s="6">
        <f>$J$3+[16]FormattedData!O65*$J$4+$M$4*$J$5+[16]FormattedData!O65^2*$J$6+$M$5*$J$7</f>
        <v>30.786247941827355</v>
      </c>
      <c r="W67" s="5">
        <f t="shared" si="9"/>
        <v>30.421744880207601</v>
      </c>
      <c r="X67" s="4">
        <f t="shared" si="10"/>
        <v>0.13378860639916779</v>
      </c>
      <c r="Y67" s="3">
        <f t="shared" si="11"/>
        <v>29.619156212232191</v>
      </c>
      <c r="Z67" s="2">
        <f t="shared" si="12"/>
        <v>30.081853870575678</v>
      </c>
      <c r="AA67" s="3">
        <f t="shared" si="13"/>
        <v>30.397893661902529</v>
      </c>
      <c r="AB67" s="2">
        <f t="shared" si="14"/>
        <v>30.786247941827355</v>
      </c>
      <c r="AC67" s="2">
        <f t="shared" si="15"/>
        <v>31.173925925145273</v>
      </c>
      <c r="AD67" s="2">
        <f t="shared" si="16"/>
        <v>-5.690270814039227E-2</v>
      </c>
      <c r="AE67" s="2">
        <f t="shared" si="17"/>
        <v>-0.70189603471661011</v>
      </c>
    </row>
    <row r="68" spans="2:31" x14ac:dyDescent="0.2">
      <c r="B68" s="1">
        <f>[16]FormattedData!A67</f>
        <v>303</v>
      </c>
      <c r="C68" s="1" t="str">
        <f>VLOOKUP($B68,[16]TrtCodes!$B$11:I110,2)</f>
        <v>NSL</v>
      </c>
      <c r="D68" s="1">
        <f>VLOOKUP($B68,[16]TrtCodes!$B$11:J110,3)</f>
        <v>8</v>
      </c>
      <c r="E68" s="1">
        <f>VLOOKUP($B68,[16]TrtCodes!$B$11:K110,4)</f>
        <v>2</v>
      </c>
      <c r="F68" s="1">
        <f>VLOOKUP($B68,[16]TrtCodes!$B$11:L110,5)</f>
        <v>1</v>
      </c>
      <c r="G68" s="1">
        <f>VLOOKUP($B68,[16]TrtCodes!$B$11:M110,6)</f>
        <v>1</v>
      </c>
      <c r="H68" s="1">
        <f>VLOOKUP($B68,[16]TrtCodes!$B$11:N110,7)</f>
        <v>3</v>
      </c>
      <c r="I68" s="1">
        <f>[16]FormattedData!B67</f>
        <v>2</v>
      </c>
      <c r="J68" s="4">
        <f>[16]FormattedData!C67</f>
        <v>13.601000000000001</v>
      </c>
      <c r="K68" s="6">
        <f>$J$3+[16]FormattedData!D67*$J$4+$M$4*$J$5+[16]FormattedData!D67^2*$J$6+$M$5*$J$7</f>
        <v>29.033327846386328</v>
      </c>
      <c r="L68" s="6">
        <f>$J$3+[16]FormattedData!E67*$J$4+$M$4*$J$5+[16]FormattedData!E67^2*$J$6+$M$5*$J$7</f>
        <v>29.228773042486672</v>
      </c>
      <c r="M68" s="6">
        <f>$J$3+[16]FormattedData!F67*$J$4+$M$4*$J$5+[16]FormattedData!F67^2*$J$6+$M$5*$J$7</f>
        <v>27.562099637047517</v>
      </c>
      <c r="N68" s="6">
        <f>$J$3+[16]FormattedData!G67*$J$4+$M$4*$J$5+[16]FormattedData!G67^2*$J$6+$M$5*$J$7</f>
        <v>28.347938201090287</v>
      </c>
      <c r="O68" s="6">
        <f>$J$3+[16]FormattedData!H67*$J$4+$M$4*$J$5+[16]FormattedData!H67^2*$J$6+$M$5*$J$7</f>
        <v>28.935541845529258</v>
      </c>
      <c r="P68" s="6">
        <f>$J$3+[16]FormattedData!I67*$J$4+$M$4*$J$5+[16]FormattedData!I67^2*$J$6+$M$5*$J$7</f>
        <v>29.131071578705466</v>
      </c>
      <c r="Q68" s="6">
        <f>$J$3+[16]FormattedData!J67*$J$4+$M$4*$J$5+[16]FormattedData!J67^2*$J$6+$M$5*$J$7</f>
        <v>27.660477397435624</v>
      </c>
      <c r="R68" s="6">
        <f>$J$3+[16]FormattedData!K67*$J$4+$M$4*$J$5+[16]FormattedData!K67^2*$J$6+$M$5*$J$7</f>
        <v>28.053565753608734</v>
      </c>
      <c r="S68" s="6">
        <f>$J$3+[16]FormattedData!L67*$J$4+$M$4*$J$5+[16]FormattedData!L67^2*$J$6+$M$5*$J$7</f>
        <v>27.463679608121478</v>
      </c>
      <c r="T68" s="6">
        <f>$J$3+[16]FormattedData!M67*$J$4+$M$4*$J$5+[16]FormattedData!M67^2*$J$6+$M$5*$J$7</f>
        <v>27.955357067372351</v>
      </c>
      <c r="U68" s="6">
        <f>$J$3+[16]FormattedData!N67*$J$4+$M$4*$J$5+[16]FormattedData!N67^2*$J$6+$M$5*$J$7</f>
        <v>29.521623822602706</v>
      </c>
      <c r="V68" s="6">
        <f>$J$3+[16]FormattedData!O67*$J$4+$M$4*$J$5+[16]FormattedData!O67^2*$J$6+$M$5*$J$7</f>
        <v>29.32643223772995</v>
      </c>
      <c r="W68" s="5">
        <f t="shared" si="9"/>
        <v>28.51832400317636</v>
      </c>
      <c r="X68" s="4">
        <f t="shared" si="10"/>
        <v>0.21852900996603314</v>
      </c>
      <c r="Y68" s="3">
        <f t="shared" si="11"/>
        <v>27.463679608121478</v>
      </c>
      <c r="Z68" s="2">
        <f t="shared" si="12"/>
        <v>27.881637149888171</v>
      </c>
      <c r="AA68" s="3">
        <f t="shared" si="13"/>
        <v>28.641740023309772</v>
      </c>
      <c r="AB68" s="2">
        <f t="shared" si="14"/>
        <v>29.155496944650768</v>
      </c>
      <c r="AC68" s="2">
        <f t="shared" si="15"/>
        <v>29.521623822602706</v>
      </c>
      <c r="AD68" s="2">
        <f t="shared" si="16"/>
        <v>-0.15764995744855079</v>
      </c>
      <c r="AE68" s="2">
        <f t="shared" si="17"/>
        <v>-1.7786846810804948</v>
      </c>
    </row>
    <row r="69" spans="2:31" x14ac:dyDescent="0.2">
      <c r="B69" s="1">
        <f>[16]FormattedData!A69</f>
        <v>304</v>
      </c>
      <c r="C69" s="1" t="str">
        <f>VLOOKUP($B69,[16]TrtCodes!$B$11:I112,2)</f>
        <v>FSL</v>
      </c>
      <c r="D69" s="1">
        <f>VLOOKUP($B69,[16]TrtCodes!$B$11:J112,3)</f>
        <v>2</v>
      </c>
      <c r="E69" s="1">
        <f>VLOOKUP($B69,[16]TrtCodes!$B$11:K112,4)</f>
        <v>1</v>
      </c>
      <c r="F69" s="1">
        <f>VLOOKUP($B69,[16]TrtCodes!$B$11:L112,5)</f>
        <v>1</v>
      </c>
      <c r="G69" s="1">
        <f>VLOOKUP($B69,[16]TrtCodes!$B$11:M112,6)</f>
        <v>1</v>
      </c>
      <c r="H69" s="1">
        <f>VLOOKUP($B69,[16]TrtCodes!$B$11:N112,7)</f>
        <v>3</v>
      </c>
      <c r="I69" s="1">
        <f>[16]FormattedData!B69</f>
        <v>2</v>
      </c>
      <c r="J69" s="4">
        <f>[16]FormattedData!C69</f>
        <v>13.619</v>
      </c>
      <c r="K69" s="6">
        <f>$J$3+[16]FormattedData!D69*$J$4+$M$4*$J$5+[16]FormattedData!D69^2*$J$6+$M$5*$J$7</f>
        <v>30.203462910712531</v>
      </c>
      <c r="L69" s="6">
        <f>$J$3+[16]FormattedData!E69*$J$4+$M$4*$J$5+[16]FormattedData!E69^2*$J$6+$M$5*$J$7</f>
        <v>29.033327846386328</v>
      </c>
      <c r="M69" s="6">
        <f>$J$3+[16]FormattedData!F69*$J$4+$M$4*$J$5+[16]FormattedData!F69^2*$J$6+$M$5*$J$7</f>
        <v>30.689222774653043</v>
      </c>
      <c r="N69" s="6">
        <f>$J$3+[16]FormattedData!G69*$J$4+$M$4*$J$5+[16]FormattedData!G69^2*$J$6+$M$5*$J$7</f>
        <v>28.543975156721672</v>
      </c>
      <c r="O69" s="6">
        <f>$J$3+[16]FormattedData!H69*$J$4+$M$4*$J$5+[16]FormattedData!H69^2*$J$6+$M$5*$J$7</f>
        <v>28.739843038201325</v>
      </c>
      <c r="P69" s="6">
        <f>$J$3+[16]FormattedData!I69*$J$4+$M$4*$J$5+[16]FormattedData!I69^2*$J$6+$M$5*$J$7</f>
        <v>29.131071578705466</v>
      </c>
      <c r="Q69" s="6">
        <f>$J$3+[16]FormattedData!J69*$J$4+$M$4*$J$5+[16]FormattedData!J69^2*$J$6+$M$5*$J$7</f>
        <v>31.560927611856304</v>
      </c>
      <c r="R69" s="6">
        <f>$J$3+[16]FormattedData!K69*$J$4+$M$4*$J$5+[16]FormattedData!K69^2*$J$6+$M$5*$J$7</f>
        <v>29.716646333323737</v>
      </c>
      <c r="S69" s="6">
        <f>$J$3+[16]FormattedData!L69*$J$4+$M$4*$J$5+[16]FormattedData!L69^2*$J$6+$M$5*$J$7</f>
        <v>30.106184132310634</v>
      </c>
      <c r="T69" s="6">
        <f>$J$3+[16]FormattedData!M69*$J$4+$M$4*$J$5+[16]FormattedData!M69^2*$J$6+$M$5*$J$7</f>
        <v>31.077069832122692</v>
      </c>
      <c r="U69" s="6">
        <f>$J$3+[16]FormattedData!N69*$J$4+$M$4*$J$5+[16]FormattedData!N69^2*$J$6+$M$5*$J$7</f>
        <v>29.716646333323737</v>
      </c>
      <c r="V69" s="6">
        <f>$J$3+[16]FormattedData!O69*$J$4+$M$4*$J$5+[16]FormattedData!O69^2*$J$6+$M$5*$J$7</f>
        <v>28.347938201090287</v>
      </c>
      <c r="W69" s="5">
        <f t="shared" si="9"/>
        <v>29.738859645783986</v>
      </c>
      <c r="X69" s="4">
        <f t="shared" si="10"/>
        <v>0.29635827047715047</v>
      </c>
      <c r="Y69" s="3">
        <f t="shared" si="11"/>
        <v>28.347938201090287</v>
      </c>
      <c r="Z69" s="2">
        <f t="shared" si="12"/>
        <v>28.959956644340078</v>
      </c>
      <c r="AA69" s="3">
        <f t="shared" si="13"/>
        <v>29.716646333323737</v>
      </c>
      <c r="AB69" s="2">
        <f t="shared" si="14"/>
        <v>30.32490287669766</v>
      </c>
      <c r="AC69" s="2">
        <f t="shared" si="15"/>
        <v>31.560927611856304</v>
      </c>
      <c r="AD69" s="2">
        <f t="shared" si="16"/>
        <v>0.35127964561952707</v>
      </c>
      <c r="AE69" s="2">
        <f t="shared" si="17"/>
        <v>-0.87395204708476371</v>
      </c>
    </row>
    <row r="70" spans="2:31" x14ac:dyDescent="0.2">
      <c r="B70" s="1">
        <f>[16]FormattedData!A71</f>
        <v>305</v>
      </c>
      <c r="C70" s="1" t="str">
        <f>VLOOKUP($B70,[16]TrtCodes!$B$11:I114,2)</f>
        <v>NDH</v>
      </c>
      <c r="D70" s="1">
        <f>VLOOKUP($B70,[16]TrtCodes!$B$11:J114,3)</f>
        <v>11</v>
      </c>
      <c r="E70" s="1">
        <f>VLOOKUP($B70,[16]TrtCodes!$B$11:K114,4)</f>
        <v>2</v>
      </c>
      <c r="F70" s="1">
        <f>VLOOKUP($B70,[16]TrtCodes!$B$11:L114,5)</f>
        <v>3</v>
      </c>
      <c r="G70" s="1">
        <f>VLOOKUP($B70,[16]TrtCodes!$B$11:M114,6)</f>
        <v>2</v>
      </c>
      <c r="H70" s="1">
        <f>VLOOKUP($B70,[16]TrtCodes!$B$11:N114,7)</f>
        <v>4</v>
      </c>
      <c r="I70" s="1">
        <f>[16]FormattedData!B71</f>
        <v>2</v>
      </c>
      <c r="J70" s="4">
        <f>[16]FormattedData!C71</f>
        <v>13.643000000000001</v>
      </c>
      <c r="K70" s="6">
        <f>$J$3+[16]FormattedData!D71*$J$4+$M$4*$J$5+[16]FormattedData!D71^2*$J$6+$M$5*$J$7</f>
        <v>29.911499769893048</v>
      </c>
      <c r="L70" s="6">
        <f>$J$3+[16]FormattedData!E71*$J$4+$M$4*$J$5+[16]FormattedData!E71^2*$J$6+$M$5*$J$7</f>
        <v>30.495045634690637</v>
      </c>
      <c r="M70" s="6">
        <f>$J$3+[16]FormattedData!F71*$J$4+$M$4*$J$5+[16]FormattedData!F71^2*$J$6+$M$5*$J$7</f>
        <v>31.560927611856304</v>
      </c>
      <c r="N70" s="6">
        <f>$J$3+[16]FormattedData!G71*$J$4+$M$4*$J$5+[16]FormattedData!G71^2*$J$6+$M$5*$J$7</f>
        <v>31.657572362189235</v>
      </c>
      <c r="O70" s="6">
        <f>$J$3+[16]FormattedData!H71*$J$4+$M$4*$J$5+[16]FormattedData!H71^2*$J$6+$M$5*$J$7</f>
        <v>32.04372867814164</v>
      </c>
      <c r="P70" s="6">
        <f>$J$3+[16]FormattedData!I71*$J$4+$M$4*$J$5+[16]FormattedData!I71^2*$J$6+$M$5*$J$7</f>
        <v>31.367511305576649</v>
      </c>
      <c r="Q70" s="6">
        <f>$J$3+[16]FormattedData!J71*$J$4+$M$4*$J$5+[16]FormattedData!J71^2*$J$6+$M$5*$J$7</f>
        <v>30.495045634690637</v>
      </c>
      <c r="R70" s="6">
        <f>$J$3+[16]FormattedData!K71*$J$4+$M$4*$J$5+[16]FormattedData!K71^2*$J$6+$M$5*$J$7</f>
        <v>36.15219671705055</v>
      </c>
      <c r="S70" s="6">
        <f>$J$3+[16]FormattedData!L71*$J$4+$M$4*$J$5+[16]FormattedData!L71^2*$J$6+$M$5*$J$7</f>
        <v>32.04372867814164</v>
      </c>
      <c r="T70" s="6">
        <f>$J$3+[16]FormattedData!M71*$J$4+$M$4*$J$5+[16]FormattedData!M71^2*$J$6+$M$5*$J$7</f>
        <v>32.429208697487141</v>
      </c>
      <c r="U70" s="6">
        <f>$J$3+[16]FormattedData!N71*$J$4+$M$4*$J$5+[16]FormattedData!N71^2*$J$6+$M$5*$J$7</f>
        <v>31.077069832122692</v>
      </c>
      <c r="V70" s="6">
        <f>$J$3+[16]FormattedData!O71*$J$4+$M$4*$J$5+[16]FormattedData!O71^2*$J$6+$M$5*$J$7</f>
        <v>31.367511305576649</v>
      </c>
      <c r="W70" s="5">
        <f t="shared" si="9"/>
        <v>31.716753852284729</v>
      </c>
      <c r="X70" s="4">
        <f t="shared" si="10"/>
        <v>0.45493568685415853</v>
      </c>
      <c r="Y70" s="3">
        <f t="shared" si="11"/>
        <v>29.911499769893048</v>
      </c>
      <c r="Z70" s="2">
        <f t="shared" si="12"/>
        <v>30.931563782764677</v>
      </c>
      <c r="AA70" s="3">
        <f t="shared" si="13"/>
        <v>31.464219458716478</v>
      </c>
      <c r="AB70" s="2">
        <f t="shared" si="14"/>
        <v>32.04372867814164</v>
      </c>
      <c r="AC70" s="2">
        <f t="shared" si="15"/>
        <v>36.15219671705055</v>
      </c>
      <c r="AD70" s="2">
        <f t="shared" si="16"/>
        <v>2.1687009623188898</v>
      </c>
      <c r="AE70" s="2">
        <f t="shared" si="17"/>
        <v>6.2512615267333622</v>
      </c>
    </row>
    <row r="71" spans="2:31" x14ac:dyDescent="0.2">
      <c r="B71" s="1">
        <f>[16]FormattedData!A73</f>
        <v>306</v>
      </c>
      <c r="C71" s="1" t="str">
        <f>VLOOKUP($B71,[16]TrtCodes!$B$11:I116,2)</f>
        <v>FTL</v>
      </c>
      <c r="D71" s="1">
        <f>VLOOKUP($B71,[16]TrtCodes!$B$11:J116,3)</f>
        <v>4</v>
      </c>
      <c r="E71" s="1">
        <f>VLOOKUP($B71,[16]TrtCodes!$B$11:K116,4)</f>
        <v>1</v>
      </c>
      <c r="F71" s="1">
        <f>VLOOKUP($B71,[16]TrtCodes!$B$11:L116,5)</f>
        <v>2</v>
      </c>
      <c r="G71" s="1">
        <f>VLOOKUP($B71,[16]TrtCodes!$B$11:M116,6)</f>
        <v>1</v>
      </c>
      <c r="H71" s="1">
        <f>VLOOKUP($B71,[16]TrtCodes!$B$11:N116,7)</f>
        <v>4</v>
      </c>
      <c r="I71" s="1">
        <f>[16]FormattedData!B73</f>
        <v>2</v>
      </c>
      <c r="J71" s="4">
        <f>[16]FormattedData!C73</f>
        <v>13.662000000000001</v>
      </c>
      <c r="K71" s="6">
        <f>$J$3+[16]FormattedData!D73*$J$4+$M$4*$J$5+[16]FormattedData!D73^2*$J$6+$M$5*$J$7</f>
        <v>29.033327846386328</v>
      </c>
      <c r="L71" s="6">
        <f>$J$3+[16]FormattedData!E73*$J$4+$M$4*$J$5+[16]FormattedData!E73^2*$J$6+$M$5*$J$7</f>
        <v>29.228773042486672</v>
      </c>
      <c r="M71" s="6">
        <f>$J$3+[16]FormattedData!F73*$J$4+$M$4*$J$5+[16]FormattedData!F73^2*$J$6+$M$5*$J$7</f>
        <v>30.3006994205765</v>
      </c>
      <c r="N71" s="6">
        <f>$J$3+[16]FormattedData!G73*$J$4+$M$4*$J$5+[16]FormattedData!G73^2*$J$6+$M$5*$J$7</f>
        <v>31.077069832122692</v>
      </c>
      <c r="O71" s="6">
        <f>$J$3+[16]FormattedData!H73*$J$4+$M$4*$J$5+[16]FormattedData!H73^2*$J$6+$M$5*$J$7</f>
        <v>30.203462910712531</v>
      </c>
      <c r="P71" s="6">
        <f>$J$3+[16]FormattedData!I73*$J$4+$M$4*$J$5+[16]FormattedData!I73^2*$J$6+$M$5*$J$7</f>
        <v>29.814094185877362</v>
      </c>
      <c r="Q71" s="6">
        <f>$J$3+[16]FormattedData!J73*$J$4+$M$4*$J$5+[16]FormattedData!J73^2*$J$6+$M$5*$J$7</f>
        <v>29.32643223772995</v>
      </c>
      <c r="R71" s="6">
        <f>$J$3+[16]FormattedData!K73*$J$4+$M$4*$J$5+[16]FormattedData!K73^2*$J$6+$M$5*$J$7</f>
        <v>29.814094185877362</v>
      </c>
      <c r="S71" s="6">
        <f>$J$3+[16]FormattedData!L73*$J$4+$M$4*$J$5+[16]FormattedData!L73^2*$J$6+$M$5*$J$7</f>
        <v>30.106184132310634</v>
      </c>
      <c r="T71" s="6">
        <f>$J$3+[16]FormattedData!M73*$J$4+$M$4*$J$5+[16]FormattedData!M73^2*$J$6+$M$5*$J$7</f>
        <v>31.077069832122692</v>
      </c>
      <c r="U71" s="6">
        <f>$J$3+[16]FormattedData!N73*$J$4+$M$4*$J$5+[16]FormattedData!N73^2*$J$6+$M$5*$J$7</f>
        <v>31.173925925145273</v>
      </c>
      <c r="V71" s="6">
        <f>$J$3+[16]FormattedData!O73*$J$4+$M$4*$J$5+[16]FormattedData!O73^2*$J$6+$M$5*$J$7</f>
        <v>30.689222774653043</v>
      </c>
      <c r="W71" s="5">
        <f t="shared" si="9"/>
        <v>30.153696360500089</v>
      </c>
      <c r="X71" s="4">
        <f t="shared" si="10"/>
        <v>0.21470508343380429</v>
      </c>
      <c r="Y71" s="3">
        <f t="shared" si="11"/>
        <v>29.033327846386328</v>
      </c>
      <c r="Z71" s="2">
        <f t="shared" si="12"/>
        <v>29.692178698840507</v>
      </c>
      <c r="AA71" s="3">
        <f t="shared" si="13"/>
        <v>30.154823521511581</v>
      </c>
      <c r="AB71" s="2">
        <f t="shared" si="14"/>
        <v>30.786184539020454</v>
      </c>
      <c r="AC71" s="2">
        <f t="shared" si="15"/>
        <v>31.173925925145273</v>
      </c>
      <c r="AD71" s="2">
        <f t="shared" si="16"/>
        <v>-1.2935113801618596E-2</v>
      </c>
      <c r="AE71" s="2">
        <f t="shared" si="17"/>
        <v>-1.2410901523814606</v>
      </c>
    </row>
    <row r="72" spans="2:31" x14ac:dyDescent="0.2">
      <c r="B72" s="1">
        <f>[16]FormattedData!A75</f>
        <v>307</v>
      </c>
      <c r="C72" s="1" t="str">
        <f>VLOOKUP($B72,[16]TrtCodes!$B$11:I118,2)</f>
        <v>NTH</v>
      </c>
      <c r="D72" s="1">
        <f>VLOOKUP($B72,[16]TrtCodes!$B$11:J118,3)</f>
        <v>9</v>
      </c>
      <c r="E72" s="1">
        <f>VLOOKUP($B72,[16]TrtCodes!$B$11:K118,4)</f>
        <v>2</v>
      </c>
      <c r="F72" s="1">
        <f>VLOOKUP($B72,[16]TrtCodes!$B$11:L118,5)</f>
        <v>2</v>
      </c>
      <c r="G72" s="1">
        <f>VLOOKUP($B72,[16]TrtCodes!$B$11:M118,6)</f>
        <v>2</v>
      </c>
      <c r="H72" s="1">
        <f>VLOOKUP($B72,[16]TrtCodes!$B$11:N118,7)</f>
        <v>4</v>
      </c>
      <c r="I72" s="1">
        <f>[16]FormattedData!B75</f>
        <v>2</v>
      </c>
      <c r="J72" s="4">
        <f>[16]FormattedData!C75</f>
        <v>13.682</v>
      </c>
      <c r="K72" s="6">
        <f>$J$3+[16]FormattedData!D75*$J$4+$M$4*$J$5+[16]FormattedData!D75^2*$J$6+$M$5*$J$7</f>
        <v>29.911499769893048</v>
      </c>
      <c r="L72" s="6">
        <f>$J$3+[16]FormattedData!E75*$J$4+$M$4*$J$5+[16]FormattedData!E75^2*$J$6+$M$5*$J$7</f>
        <v>32.62169509593231</v>
      </c>
      <c r="M72" s="6">
        <f>$J$3+[16]FormattedData!F75*$J$4+$M$4*$J$5+[16]FormattedData!F75^2*$J$6+$M$5*$J$7</f>
        <v>29.814094185877362</v>
      </c>
      <c r="N72" s="6">
        <f>$J$3+[16]FormattedData!G75*$J$4+$M$4*$J$5+[16]FormattedData!G75^2*$J$6+$M$5*$J$7</f>
        <v>29.424049164435292</v>
      </c>
      <c r="O72" s="6">
        <f>$J$3+[16]FormattedData!H75*$J$4+$M$4*$J$5+[16]FormattedData!H75^2*$J$6+$M$5*$J$7</f>
        <v>29.521623822602706</v>
      </c>
      <c r="P72" s="6">
        <f>$J$3+[16]FormattedData!I75*$J$4+$M$4*$J$5+[16]FormattedData!I75^2*$J$6+$M$5*$J$7</f>
        <v>29.32643223772995</v>
      </c>
      <c r="Q72" s="6">
        <f>$J$3+[16]FormattedData!J75*$J$4+$M$4*$J$5+[16]FormattedData!J75^2*$J$6+$M$5*$J$7</f>
        <v>29.228773042486672</v>
      </c>
      <c r="R72" s="6">
        <f>$J$3+[16]FormattedData!K75*$J$4+$M$4*$J$5+[16]FormattedData!K75^2*$J$6+$M$5*$J$7</f>
        <v>28.445977813174942</v>
      </c>
      <c r="S72" s="6">
        <f>$J$3+[16]FormattedData!L75*$J$4+$M$4*$J$5+[16]FormattedData!L75^2*$J$6+$M$5*$J$7</f>
        <v>29.033327846386328</v>
      </c>
      <c r="T72" s="6">
        <f>$J$3+[16]FormattedData!M75*$J$4+$M$4*$J$5+[16]FormattedData!M75^2*$J$6+$M$5*$J$7</f>
        <v>30.883230840463732</v>
      </c>
      <c r="U72" s="6">
        <f>$J$3+[16]FormattedData!N75*$J$4+$M$4*$J$5+[16]FormattedData!N75^2*$J$6+$M$5*$J$7</f>
        <v>29.521623822602706</v>
      </c>
      <c r="V72" s="6">
        <f>$J$3+[16]FormattedData!O75*$J$4+$M$4*$J$5+[16]FormattedData!O75^2*$J$6+$M$5*$J$7</f>
        <v>29.32643223772995</v>
      </c>
      <c r="W72" s="5">
        <f t="shared" si="9"/>
        <v>29.754896656609578</v>
      </c>
      <c r="X72" s="4">
        <f t="shared" si="10"/>
        <v>0.30915197251345217</v>
      </c>
      <c r="Y72" s="3">
        <f t="shared" si="11"/>
        <v>28.445977813174942</v>
      </c>
      <c r="Z72" s="2">
        <f t="shared" si="12"/>
        <v>29.30201743891913</v>
      </c>
      <c r="AA72" s="3">
        <f t="shared" si="13"/>
        <v>29.472836493518997</v>
      </c>
      <c r="AB72" s="2">
        <f t="shared" si="14"/>
        <v>29.838445581881285</v>
      </c>
      <c r="AC72" s="2">
        <f t="shared" si="15"/>
        <v>32.62169509593231</v>
      </c>
      <c r="AD72" s="2">
        <f t="shared" si="16"/>
        <v>1.9556531377754627</v>
      </c>
      <c r="AE72" s="2">
        <f t="shared" si="17"/>
        <v>4.655890755627297</v>
      </c>
    </row>
    <row r="73" spans="2:31" x14ac:dyDescent="0.2">
      <c r="B73" s="1">
        <f>[16]FormattedData!A77</f>
        <v>308</v>
      </c>
      <c r="C73" s="1" t="str">
        <f>VLOOKUP($B73,[16]TrtCodes!$B$11:I120,2)</f>
        <v>FDH</v>
      </c>
      <c r="D73" s="1">
        <f>VLOOKUP($B73,[16]TrtCodes!$B$11:J120,3)</f>
        <v>5</v>
      </c>
      <c r="E73" s="1">
        <f>VLOOKUP($B73,[16]TrtCodes!$B$11:K120,4)</f>
        <v>1</v>
      </c>
      <c r="F73" s="1">
        <f>VLOOKUP($B73,[16]TrtCodes!$B$11:L120,5)</f>
        <v>3</v>
      </c>
      <c r="G73" s="1">
        <f>VLOOKUP($B73,[16]TrtCodes!$B$11:M120,6)</f>
        <v>2</v>
      </c>
      <c r="H73" s="1">
        <f>VLOOKUP($B73,[16]TrtCodes!$B$11:N120,7)</f>
        <v>4</v>
      </c>
      <c r="I73" s="1">
        <f>[16]FormattedData!B77</f>
        <v>2</v>
      </c>
      <c r="J73" s="4">
        <f>[16]FormattedData!C77</f>
        <v>13.701000000000001</v>
      </c>
      <c r="K73" s="6">
        <f>$J$3+[16]FormattedData!D77*$J$4+$M$4*$J$5+[16]FormattedData!D77^2*$J$6+$M$5*$J$7</f>
        <v>28.2498563204677</v>
      </c>
      <c r="L73" s="6">
        <f>$J$3+[16]FormattedData!E77*$J$4+$M$4*$J$5+[16]FormattedData!E77^2*$J$6+$M$5*$J$7</f>
        <v>29.424049164435292</v>
      </c>
      <c r="M73" s="6">
        <f>$J$3+[16]FormattedData!F77*$J$4+$M$4*$J$5+[16]FormattedData!F77^2*$J$6+$M$5*$J$7</f>
        <v>28.347938201090287</v>
      </c>
      <c r="N73" s="6">
        <f>$J$3+[16]FormattedData!G77*$J$4+$M$4*$J$5+[16]FormattedData!G77^2*$J$6+$M$5*$J$7</f>
        <v>29.228773042486672</v>
      </c>
      <c r="O73" s="6">
        <f>$J$3+[16]FormattedData!H77*$J$4+$M$4*$J$5+[16]FormattedData!H77^2*$J$6+$M$5*$J$7</f>
        <v>29.814094185877362</v>
      </c>
      <c r="P73" s="6">
        <f>$J$3+[16]FormattedData!I77*$J$4+$M$4*$J$5+[16]FormattedData!I77^2*$J$6+$M$5*$J$7</f>
        <v>29.228773042486672</v>
      </c>
      <c r="Q73" s="6">
        <f>$J$3+[16]FormattedData!J77*$J$4+$M$4*$J$5+[16]FormattedData!J77^2*$J$6+$M$5*$J$7</f>
        <v>30.203462910712531</v>
      </c>
      <c r="R73" s="6">
        <f>$J$3+[16]FormattedData!K77*$J$4+$M$4*$J$5+[16]FormattedData!K77^2*$J$6+$M$5*$J$7</f>
        <v>29.521623822602706</v>
      </c>
      <c r="S73" s="6">
        <f>$J$3+[16]FormattedData!L77*$J$4+$M$4*$J$5+[16]FormattedData!L77^2*$J$6+$M$5*$J$7</f>
        <v>29.033327846386328</v>
      </c>
      <c r="T73" s="6">
        <f>$J$3+[16]FormattedData!M77*$J$4+$M$4*$J$5+[16]FormattedData!M77^2*$J$6+$M$5*$J$7</f>
        <v>31.464240592985448</v>
      </c>
      <c r="U73" s="6">
        <f>$J$3+[16]FormattedData!N77*$J$4+$M$4*$J$5+[16]FormattedData!N77^2*$J$6+$M$5*$J$7</f>
        <v>30.786247941827355</v>
      </c>
      <c r="V73" s="6">
        <f>$J$3+[16]FormattedData!O77*$J$4+$M$4*$J$5+[16]FormattedData!O77^2*$J$6+$M$5*$J$7</f>
        <v>31.077069832122692</v>
      </c>
      <c r="W73" s="5">
        <f t="shared" si="9"/>
        <v>29.698288075290083</v>
      </c>
      <c r="X73" s="4">
        <f t="shared" si="10"/>
        <v>0.29365479341902972</v>
      </c>
      <c r="Y73" s="3">
        <f t="shared" si="11"/>
        <v>28.2498563204677</v>
      </c>
      <c r="Z73" s="2">
        <f t="shared" si="12"/>
        <v>29.179911743461588</v>
      </c>
      <c r="AA73" s="3">
        <f t="shared" si="13"/>
        <v>29.472836493518997</v>
      </c>
      <c r="AB73" s="2">
        <f t="shared" si="14"/>
        <v>30.349159168491237</v>
      </c>
      <c r="AC73" s="2">
        <f t="shared" si="15"/>
        <v>31.464240592985448</v>
      </c>
      <c r="AD73" s="2">
        <f t="shared" si="16"/>
        <v>0.36463273715914796</v>
      </c>
      <c r="AE73" s="2">
        <f t="shared" si="17"/>
        <v>-0.67352273228384929</v>
      </c>
    </row>
    <row r="74" spans="2:31" x14ac:dyDescent="0.2">
      <c r="B74" s="1">
        <f>[16]FormattedData!A93</f>
        <v>401</v>
      </c>
      <c r="C74" s="1" t="str">
        <f>VLOOKUP($B74,[16]TrtCodes!$B$11:I130,2)</f>
        <v>NSH</v>
      </c>
      <c r="D74" s="1">
        <f>VLOOKUP($B74,[16]TrtCodes!$B$11:J130,3)</f>
        <v>7</v>
      </c>
      <c r="E74" s="1">
        <f>VLOOKUP($B74,[16]TrtCodes!$B$11:K130,4)</f>
        <v>2</v>
      </c>
      <c r="F74" s="1">
        <f>VLOOKUP($B74,[16]TrtCodes!$B$11:L130,5)</f>
        <v>1</v>
      </c>
      <c r="G74" s="1">
        <f>VLOOKUP($B74,[16]TrtCodes!$B$11:M130,6)</f>
        <v>2</v>
      </c>
      <c r="H74" s="1">
        <f>VLOOKUP($B74,[16]TrtCodes!$B$11:N130,7)</f>
        <v>3</v>
      </c>
      <c r="I74" s="1">
        <f>[16]FormattedData!B93</f>
        <v>2</v>
      </c>
      <c r="J74" s="4">
        <f>[16]FormattedData!C93</f>
        <v>13.879</v>
      </c>
      <c r="K74" s="6">
        <f>$J$3+[16]FormattedData!D93*$J$4+$M$4*$J$5+[16]FormattedData!D93^2*$J$6+$M$5*$J$7</f>
        <v>32.814012420225744</v>
      </c>
      <c r="L74" s="6">
        <f>$J$3+[16]FormattedData!E93*$J$4+$M$4*$J$5+[16]FormattedData!E93^2*$J$6+$M$5*$J$7</f>
        <v>31.657572362189235</v>
      </c>
      <c r="M74" s="6">
        <f>$J$3+[16]FormattedData!F93*$J$4+$M$4*$J$5+[16]FormattedData!F93^2*$J$6+$M$5*$J$7</f>
        <v>31.657572362189235</v>
      </c>
      <c r="N74" s="6">
        <f>$J$3+[16]FormattedData!G93*$J$4+$M$4*$J$5+[16]FormattedData!G93^2*$J$6+$M$5*$J$7</f>
        <v>32.91010767956557</v>
      </c>
      <c r="O74" s="6">
        <f>$J$3+[16]FormattedData!H93*$J$4+$M$4*$J$5+[16]FormattedData!H93^2*$J$6+$M$5*$J$7</f>
        <v>32.717874892347993</v>
      </c>
      <c r="P74" s="6">
        <f>$J$3+[16]FormattedData!I93*$J$4+$M$4*$J$5+[16]FormattedData!I93^2*$J$6+$M$5*$J$7</f>
        <v>31.367511305576649</v>
      </c>
      <c r="Q74" s="6">
        <f>$J$3+[16]FormattedData!J93*$J$4+$M$4*$J$5+[16]FormattedData!J93^2*$J$6+$M$5*$J$7</f>
        <v>32.140162085784908</v>
      </c>
      <c r="R74" s="6">
        <f>$J$3+[16]FormattedData!K93*$J$4+$M$4*$J$5+[16]FormattedData!K93^2*$J$6+$M$5*$J$7</f>
        <v>30.3006994205765</v>
      </c>
      <c r="S74" s="6">
        <f>$J$3+[16]FormattedData!L93*$J$4+$M$4*$J$5+[16]FormattedData!L93^2*$J$6+$M$5*$J$7</f>
        <v>29.32643223772995</v>
      </c>
      <c r="T74" s="6">
        <f>$J$3+[16]FormattedData!M93*$J$4+$M$4*$J$5+[16]FormattedData!M93^2*$J$6+$M$5*$J$7</f>
        <v>30.98017147056218</v>
      </c>
      <c r="U74" s="6">
        <f>$J$3+[16]FormattedData!N93*$J$4+$M$4*$J$5+[16]FormattedData!N93^2*$J$6+$M$5*$J$7</f>
        <v>30.786247941827355</v>
      </c>
      <c r="V74" s="6">
        <f>$J$3+[16]FormattedData!O93*$J$4+$M$4*$J$5+[16]FormattedData!O93^2*$J$6+$M$5*$J$7</f>
        <v>31.173925925145273</v>
      </c>
      <c r="W74" s="5">
        <f t="shared" ref="W74:W105" si="18">AVERAGE(K74:V74)</f>
        <v>31.48602417531005</v>
      </c>
      <c r="X74" s="4">
        <f t="shared" ref="X74:X85" si="19">STDEV(K74:V74)/SQRT(COUNT(K74:V74))</f>
        <v>0.31044485708682207</v>
      </c>
      <c r="Y74" s="3">
        <f t="shared" ref="Y74:Y85" si="20">MIN(K74:V74)</f>
        <v>29.32643223772995</v>
      </c>
      <c r="Z74" s="2">
        <f t="shared" ref="Z74:Z85" si="21">QUARTILE(K74:V74,1)</f>
        <v>30.931690588378473</v>
      </c>
      <c r="AA74" s="3">
        <f t="shared" ref="AA74:AA85" si="22">MEDIAN(K74:V74)</f>
        <v>31.512541833882942</v>
      </c>
      <c r="AB74" s="2">
        <f t="shared" ref="AB74:AB85" si="23">QUARTILE(K74:V74,3)</f>
        <v>32.284590287425679</v>
      </c>
      <c r="AC74" s="2">
        <f t="shared" ref="AC74:AC85" si="24">MAX(K74:V74)</f>
        <v>32.91010767956557</v>
      </c>
      <c r="AD74" s="2">
        <f t="shared" ref="AD74:AD85" si="25">SKEW(K74:V74)</f>
        <v>-0.42560205112788996</v>
      </c>
      <c r="AE74" s="2">
        <f t="shared" ref="AE74:AE85" si="26">KURT(K74:V74)</f>
        <v>-5.7088081215548314E-2</v>
      </c>
    </row>
    <row r="75" spans="2:31" x14ac:dyDescent="0.2">
      <c r="B75" s="1">
        <f>[16]FormattedData!A91</f>
        <v>402</v>
      </c>
      <c r="C75" s="1" t="str">
        <f>VLOOKUP($B75,[16]TrtCodes!$B$11:I131,2)</f>
        <v>NTH</v>
      </c>
      <c r="D75" s="1">
        <f>VLOOKUP($B75,[16]TrtCodes!$B$11:J131,3)</f>
        <v>9</v>
      </c>
      <c r="E75" s="1">
        <f>VLOOKUP($B75,[16]TrtCodes!$B$11:K131,4)</f>
        <v>2</v>
      </c>
      <c r="F75" s="1">
        <f>VLOOKUP($B75,[16]TrtCodes!$B$11:L131,5)</f>
        <v>2</v>
      </c>
      <c r="G75" s="1">
        <f>VLOOKUP($B75,[16]TrtCodes!$B$11:M131,6)</f>
        <v>2</v>
      </c>
      <c r="H75" s="1">
        <f>VLOOKUP($B75,[16]TrtCodes!$B$11:N131,7)</f>
        <v>3</v>
      </c>
      <c r="I75" s="1">
        <f>[16]FormattedData!B91</f>
        <v>2</v>
      </c>
      <c r="J75" s="4">
        <f>[16]FormattedData!C91</f>
        <v>13.852</v>
      </c>
      <c r="K75" s="6">
        <f>$J$3+[16]FormattedData!D91*$J$4+$M$4*$J$5+[16]FormattedData!D91^2*$J$6+$M$5*$J$7</f>
        <v>31.270739749629932</v>
      </c>
      <c r="L75" s="6">
        <f>$J$3+[16]FormattedData!E91*$J$4+$M$4*$J$5+[16]FormattedData!E91^2*$J$6+$M$5*$J$7</f>
        <v>32.525473030978695</v>
      </c>
      <c r="M75" s="6">
        <f>$J$3+[16]FormattedData!F91*$J$4+$M$4*$J$5+[16]FormattedData!F91^2*$J$6+$M$5*$J$7</f>
        <v>32.91010767956557</v>
      </c>
      <c r="N75" s="6">
        <f>$J$3+[16]FormattedData!G91*$J$4+$M$4*$J$5+[16]FormattedData!G91^2*$J$6+$M$5*$J$7</f>
        <v>31.173925925145273</v>
      </c>
      <c r="O75" s="6">
        <f>$J$3+[16]FormattedData!H91*$J$4+$M$4*$J$5+[16]FormattedData!H91^2*$J$6+$M$5*$J$7</f>
        <v>31.560927611856304</v>
      </c>
      <c r="P75" s="6">
        <f>$J$3+[16]FormattedData!I91*$J$4+$M$4*$J$5+[16]FormattedData!I91^2*$J$6+$M$5*$J$7</f>
        <v>30.98017147056218</v>
      </c>
      <c r="Q75" s="6">
        <f>$J$3+[16]FormattedData!J91*$J$4+$M$4*$J$5+[16]FormattedData!J91^2*$J$6+$M$5*$J$7</f>
        <v>33.294066031545555</v>
      </c>
      <c r="R75" s="6">
        <f>$J$3+[16]FormattedData!K91*$J$4+$M$4*$J$5+[16]FormattedData!K91^2*$J$6+$M$5*$J$7</f>
        <v>31.754174843984231</v>
      </c>
      <c r="S75" s="6">
        <f>$J$3+[16]FormattedData!L91*$J$4+$M$4*$J$5+[16]FormattedData!L91^2*$J$6+$M$5*$J$7</f>
        <v>32.429208697487141</v>
      </c>
      <c r="T75" s="6">
        <f>$J$3+[16]FormattedData!M91*$J$4+$M$4*$J$5+[16]FormattedData!M91^2*$J$6+$M$5*$J$7</f>
        <v>32.140162085784908</v>
      </c>
      <c r="U75" s="6">
        <f>$J$3+[16]FormattedData!N91*$J$4+$M$4*$J$5+[16]FormattedData!N91^2*$J$6+$M$5*$J$7</f>
        <v>30.883230840463732</v>
      </c>
      <c r="V75" s="6">
        <f>$J$3+[16]FormattedData!O91*$J$4+$M$4*$J$5+[16]FormattedData!O91^2*$J$6+$M$5*$J$7</f>
        <v>33.198139846357449</v>
      </c>
      <c r="W75" s="5">
        <f t="shared" si="18"/>
        <v>32.010027317780079</v>
      </c>
      <c r="X75" s="4">
        <f t="shared" si="19"/>
        <v>0.24881354640743403</v>
      </c>
      <c r="Y75" s="3">
        <f t="shared" si="20"/>
        <v>30.883230840463732</v>
      </c>
      <c r="Z75" s="2">
        <f t="shared" si="21"/>
        <v>31.246536293508768</v>
      </c>
      <c r="AA75" s="3">
        <f t="shared" si="22"/>
        <v>31.94716846488457</v>
      </c>
      <c r="AB75" s="2">
        <f t="shared" si="23"/>
        <v>32.621631693125416</v>
      </c>
      <c r="AC75" s="2">
        <f t="shared" si="24"/>
        <v>33.294066031545555</v>
      </c>
      <c r="AD75" s="2">
        <f t="shared" si="25"/>
        <v>0.19037541043251552</v>
      </c>
      <c r="AE75" s="2">
        <f t="shared" si="26"/>
        <v>-1.4527128796643805</v>
      </c>
    </row>
    <row r="76" spans="2:31" x14ac:dyDescent="0.2">
      <c r="B76" s="1">
        <f>[16]FormattedData!A89</f>
        <v>403</v>
      </c>
      <c r="C76" s="1" t="str">
        <f>VLOOKUP($B76,[16]TrtCodes!$B$11:I132,2)</f>
        <v>FDL</v>
      </c>
      <c r="D76" s="1">
        <f>VLOOKUP($B76,[16]TrtCodes!$B$11:J132,3)</f>
        <v>6</v>
      </c>
      <c r="E76" s="1">
        <f>VLOOKUP($B76,[16]TrtCodes!$B$11:K132,4)</f>
        <v>1</v>
      </c>
      <c r="F76" s="1">
        <f>VLOOKUP($B76,[16]TrtCodes!$B$11:L132,5)</f>
        <v>3</v>
      </c>
      <c r="G76" s="1">
        <f>VLOOKUP($B76,[16]TrtCodes!$B$11:M132,6)</f>
        <v>1</v>
      </c>
      <c r="H76" s="1">
        <f>VLOOKUP($B76,[16]TrtCodes!$B$11:N132,7)</f>
        <v>3</v>
      </c>
      <c r="I76" s="1">
        <f>[16]FormattedData!B89</f>
        <v>2</v>
      </c>
      <c r="J76" s="4">
        <f>[16]FormattedData!C89</f>
        <v>13.833</v>
      </c>
      <c r="K76" s="6">
        <f>$J$3+[16]FormattedData!D89*$J$4+$M$4*$J$5+[16]FormattedData!D89^2*$J$6+$M$5*$J$7</f>
        <v>31.077069832122692</v>
      </c>
      <c r="L76" s="6">
        <f>$J$3+[16]FormattedData!E89*$J$4+$M$4*$J$5+[16]FormattedData!E89^2*$J$6+$M$5*$J$7</f>
        <v>30.495045634690637</v>
      </c>
      <c r="M76" s="6">
        <f>$J$3+[16]FormattedData!F89*$J$4+$M$4*$J$5+[16]FormattedData!F89^2*$J$6+$M$5*$J$7</f>
        <v>31.850735057241295</v>
      </c>
      <c r="N76" s="6">
        <f>$J$3+[16]FormattedData!G89*$J$4+$M$4*$J$5+[16]FormattedData!G89^2*$J$6+$M$5*$J$7</f>
        <v>30.495045634690637</v>
      </c>
      <c r="O76" s="6">
        <f>$J$3+[16]FormattedData!H89*$J$4+$M$4*$J$5+[16]FormattedData!H89^2*$J$6+$M$5*$J$7</f>
        <v>31.173925925145273</v>
      </c>
      <c r="P76" s="6">
        <f>$J$3+[16]FormattedData!I89*$J$4+$M$4*$J$5+[16]FormattedData!I89^2*$J$6+$M$5*$J$7</f>
        <v>31.077069832122692</v>
      </c>
      <c r="Q76" s="6">
        <f>$J$3+[16]FormattedData!J89*$J$4+$M$4*$J$5+[16]FormattedData!J89^2*$J$6+$M$5*$J$7</f>
        <v>31.850735057241295</v>
      </c>
      <c r="R76" s="6">
        <f>$J$3+[16]FormattedData!K89*$J$4+$M$4*$J$5+[16]FormattedData!K89^2*$J$6+$M$5*$J$7</f>
        <v>32.140162085784908</v>
      </c>
      <c r="S76" s="6">
        <f>$J$3+[16]FormattedData!L89*$J$4+$M$4*$J$5+[16]FormattedData!L89^2*$J$6+$M$5*$J$7</f>
        <v>33.198139846357449</v>
      </c>
      <c r="T76" s="6">
        <f>$J$3+[16]FormattedData!M89*$J$4+$M$4*$J$5+[16]FormattedData!M89^2*$J$6+$M$5*$J$7</f>
        <v>31.367511305576649</v>
      </c>
      <c r="U76" s="6">
        <f>$J$3+[16]FormattedData!N89*$J$4+$M$4*$J$5+[16]FormattedData!N89^2*$J$6+$M$5*$J$7</f>
        <v>33.581590975882264</v>
      </c>
      <c r="V76" s="6">
        <f>$J$3+[16]FormattedData!O89*$J$4+$M$4*$J$5+[16]FormattedData!O89^2*$J$6+$M$5*$J$7</f>
        <v>32.717874892347993</v>
      </c>
      <c r="W76" s="5">
        <f t="shared" si="18"/>
        <v>31.75207550660032</v>
      </c>
      <c r="X76" s="4">
        <f t="shared" si="19"/>
        <v>0.28991555810223557</v>
      </c>
      <c r="Y76" s="3">
        <f t="shared" si="20"/>
        <v>30.495045634690637</v>
      </c>
      <c r="Z76" s="2">
        <f t="shared" si="21"/>
        <v>31.077069832122692</v>
      </c>
      <c r="AA76" s="3">
        <f t="shared" si="22"/>
        <v>31.609123181408972</v>
      </c>
      <c r="AB76" s="2">
        <f t="shared" si="23"/>
        <v>32.284590287425679</v>
      </c>
      <c r="AC76" s="2">
        <f t="shared" si="24"/>
        <v>33.581590975882264</v>
      </c>
      <c r="AD76" s="2">
        <f t="shared" si="25"/>
        <v>0.56766543153415572</v>
      </c>
      <c r="AE76" s="2">
        <f t="shared" si="26"/>
        <v>-0.62386894277871452</v>
      </c>
    </row>
    <row r="77" spans="2:31" x14ac:dyDescent="0.2">
      <c r="B77" s="1">
        <f>[16]FormattedData!A87</f>
        <v>404</v>
      </c>
      <c r="C77" s="1" t="str">
        <f>VLOOKUP($B77,[16]TrtCodes!$B$11:I130,2)</f>
        <v>FTH</v>
      </c>
      <c r="D77" s="1">
        <f>VLOOKUP($B77,[16]TrtCodes!$B$11:J130,3)</f>
        <v>3</v>
      </c>
      <c r="E77" s="1">
        <f>VLOOKUP($B77,[16]TrtCodes!$B$11:K130,4)</f>
        <v>1</v>
      </c>
      <c r="F77" s="1">
        <f>VLOOKUP($B77,[16]TrtCodes!$B$11:L130,5)</f>
        <v>2</v>
      </c>
      <c r="G77" s="1">
        <f>VLOOKUP($B77,[16]TrtCodes!$B$11:M130,6)</f>
        <v>2</v>
      </c>
      <c r="H77" s="1">
        <f>VLOOKUP($B77,[16]TrtCodes!$B$11:N130,7)</f>
        <v>3</v>
      </c>
      <c r="I77" s="1">
        <f>[16]FormattedData!B87</f>
        <v>2</v>
      </c>
      <c r="J77" s="4">
        <f>[16]FormattedData!C87</f>
        <v>13.813000000000001</v>
      </c>
      <c r="K77" s="6">
        <f>$J$3+[16]FormattedData!D87*$J$4+$M$4*$J$5+[16]FormattedData!D87^2*$J$6+$M$5*$J$7</f>
        <v>29.424049164435292</v>
      </c>
      <c r="L77" s="6">
        <f>$J$3+[16]FormattedData!E87*$J$4+$M$4*$J$5+[16]FormattedData!E87^2*$J$6+$M$5*$J$7</f>
        <v>28.935541845529258</v>
      </c>
      <c r="M77" s="6">
        <f>$J$3+[16]FormattedData!F87*$J$4+$M$4*$J$5+[16]FormattedData!F87^2*$J$6+$M$5*$J$7</f>
        <v>29.424049164435292</v>
      </c>
      <c r="N77" s="6">
        <f>$J$3+[16]FormattedData!G87*$J$4+$M$4*$J$5+[16]FormattedData!G87^2*$J$6+$M$5*$J$7</f>
        <v>29.228773042486672</v>
      </c>
      <c r="O77" s="6">
        <f>$J$3+[16]FormattedData!H87*$J$4+$M$4*$J$5+[16]FormattedData!H87^2*$J$6+$M$5*$J$7</f>
        <v>29.424049164435292</v>
      </c>
      <c r="P77" s="6">
        <f>$J$3+[16]FormattedData!I87*$J$4+$M$4*$J$5+[16]FormattedData!I87^2*$J$6+$M$5*$J$7</f>
        <v>29.716646333323737</v>
      </c>
      <c r="Q77" s="6">
        <f>$J$3+[16]FormattedData!J87*$J$4+$M$4*$J$5+[16]FormattedData!J87^2*$J$6+$M$5*$J$7</f>
        <v>30.203462910712531</v>
      </c>
      <c r="R77" s="6">
        <f>$J$3+[16]FormattedData!K87*$J$4+$M$4*$J$5+[16]FormattedData!K87^2*$J$6+$M$5*$J$7</f>
        <v>29.619156212232191</v>
      </c>
      <c r="S77" s="6">
        <f>$J$3+[16]FormattedData!L87*$J$4+$M$4*$J$5+[16]FormattedData!L87^2*$J$6+$M$5*$J$7</f>
        <v>31.077069832122692</v>
      </c>
      <c r="T77" s="6">
        <f>$J$3+[16]FormattedData!M87*$J$4+$M$4*$J$5+[16]FormattedData!M87^2*$J$6+$M$5*$J$7</f>
        <v>30.495045634690637</v>
      </c>
      <c r="U77" s="6">
        <f>$J$3+[16]FormattedData!N87*$J$4+$M$4*$J$5+[16]FormattedData!N87^2*$J$6+$M$5*$J$7</f>
        <v>29.716646333323737</v>
      </c>
      <c r="V77" s="6">
        <f>$J$3+[16]FormattedData!O87*$J$4+$M$4*$J$5+[16]FormattedData!O87^2*$J$6+$M$5*$J$7</f>
        <v>30.008863085370812</v>
      </c>
      <c r="W77" s="5">
        <f t="shared" si="18"/>
        <v>29.772779393591517</v>
      </c>
      <c r="X77" s="4">
        <f t="shared" si="19"/>
        <v>0.17090923817145787</v>
      </c>
      <c r="Y77" s="3">
        <f t="shared" si="20"/>
        <v>28.935541845529258</v>
      </c>
      <c r="Z77" s="2">
        <f t="shared" si="21"/>
        <v>29.424049164435292</v>
      </c>
      <c r="AA77" s="3">
        <f t="shared" si="22"/>
        <v>29.667901272777964</v>
      </c>
      <c r="AB77" s="2">
        <f t="shared" si="23"/>
        <v>30.057513041706244</v>
      </c>
      <c r="AC77" s="2">
        <f t="shared" si="24"/>
        <v>31.077069832122692</v>
      </c>
      <c r="AD77" s="2">
        <f t="shared" si="25"/>
        <v>0.95125335241283426</v>
      </c>
      <c r="AE77" s="2">
        <f t="shared" si="26"/>
        <v>0.87554992063976567</v>
      </c>
    </row>
    <row r="78" spans="2:31" x14ac:dyDescent="0.2">
      <c r="B78" s="1">
        <f>[16]FormattedData!A85</f>
        <v>405</v>
      </c>
      <c r="C78" s="1" t="str">
        <f>VLOOKUP($B78,[16]TrtCodes!$B$11:I128,2)</f>
        <v>FDL</v>
      </c>
      <c r="D78" s="1">
        <f>VLOOKUP($B78,[16]TrtCodes!$B$11:J128,3)</f>
        <v>6</v>
      </c>
      <c r="E78" s="1">
        <f>VLOOKUP($B78,[16]TrtCodes!$B$11:K128,4)</f>
        <v>1</v>
      </c>
      <c r="F78" s="1">
        <f>VLOOKUP($B78,[16]TrtCodes!$B$11:L128,5)</f>
        <v>3</v>
      </c>
      <c r="G78" s="1">
        <f>VLOOKUP($B78,[16]TrtCodes!$B$11:M128,6)</f>
        <v>1</v>
      </c>
      <c r="H78" s="1">
        <f>VLOOKUP($B78,[16]TrtCodes!$B$11:N128,7)</f>
        <v>4</v>
      </c>
      <c r="I78" s="1">
        <f>[16]FormattedData!B85</f>
        <v>2</v>
      </c>
      <c r="J78" s="4">
        <f>[16]FormattedData!C85</f>
        <v>13.792</v>
      </c>
      <c r="K78" s="6">
        <f>$J$3+[16]FormattedData!D85*$J$4+$M$4*$J$5+[16]FormattedData!D85^2*$J$6+$M$5*$J$7</f>
        <v>30.106184132310634</v>
      </c>
      <c r="L78" s="6">
        <f>$J$3+[16]FormattedData!E85*$J$4+$M$4*$J$5+[16]FormattedData!E85^2*$J$6+$M$5*$J$7</f>
        <v>32.814012420225744</v>
      </c>
      <c r="M78" s="6">
        <f>$J$3+[16]FormattedData!F85*$J$4+$M$4*$J$5+[16]FormattedData!F85^2*$J$6+$M$5*$J$7</f>
        <v>30.397893661902529</v>
      </c>
      <c r="N78" s="6">
        <f>$J$3+[16]FormattedData!G85*$J$4+$M$4*$J$5+[16]FormattedData!G85^2*$J$6+$M$5*$J$7</f>
        <v>30.98017147056218</v>
      </c>
      <c r="O78" s="6">
        <f>$J$3+[16]FormattedData!H85*$J$4+$M$4*$J$5+[16]FormattedData!H85^2*$J$6+$M$5*$J$7</f>
        <v>33.102171392631426</v>
      </c>
      <c r="P78" s="6">
        <f>$J$3+[16]FormattedData!I85*$J$4+$M$4*$J$5+[16]FormattedData!I85^2*$J$6+$M$5*$J$7</f>
        <v>29.814094185877362</v>
      </c>
      <c r="Q78" s="6">
        <f>$J$3+[16]FormattedData!J85*$J$4+$M$4*$J$5+[16]FormattedData!J85^2*$J$6+$M$5*$J$7</f>
        <v>31.173925925145273</v>
      </c>
      <c r="R78" s="6">
        <f>$J$3+[16]FormattedData!K85*$J$4+$M$4*$J$5+[16]FormattedData!K85^2*$J$6+$M$5*$J$7</f>
        <v>31.560927611856304</v>
      </c>
      <c r="S78" s="6">
        <f>$J$3+[16]FormattedData!L85*$J$4+$M$4*$J$5+[16]FormattedData!L85^2*$J$6+$M$5*$J$7</f>
        <v>31.464240592985448</v>
      </c>
      <c r="T78" s="6">
        <f>$J$3+[16]FormattedData!M85*$J$4+$M$4*$J$5+[16]FormattedData!M85^2*$J$6+$M$5*$J$7</f>
        <v>31.657572362189235</v>
      </c>
      <c r="U78" s="6">
        <f>$J$3+[16]FormattedData!N85*$J$4+$M$4*$J$5+[16]FormattedData!N85^2*$J$6+$M$5*$J$7</f>
        <v>32.62169509593231</v>
      </c>
      <c r="V78" s="6">
        <f>$J$3+[16]FormattedData!O85*$J$4+$M$4*$J$5+[16]FormattedData!O85^2*$J$6+$M$5*$J$7</f>
        <v>31.077069832122692</v>
      </c>
      <c r="W78" s="5">
        <f t="shared" si="18"/>
        <v>31.397496556978425</v>
      </c>
      <c r="X78" s="4">
        <f t="shared" si="19"/>
        <v>0.30164415099307706</v>
      </c>
      <c r="Y78" s="3">
        <f t="shared" si="20"/>
        <v>29.814094185877362</v>
      </c>
      <c r="Z78" s="2">
        <f t="shared" si="21"/>
        <v>30.834602018397266</v>
      </c>
      <c r="AA78" s="3">
        <f t="shared" si="22"/>
        <v>31.319083259065359</v>
      </c>
      <c r="AB78" s="2">
        <f t="shared" si="23"/>
        <v>31.898603045625002</v>
      </c>
      <c r="AC78" s="2">
        <f t="shared" si="24"/>
        <v>33.102171392631426</v>
      </c>
      <c r="AD78" s="2">
        <f t="shared" si="25"/>
        <v>0.23083298919669873</v>
      </c>
      <c r="AE78" s="2">
        <f t="shared" si="26"/>
        <v>-0.75145359503637366</v>
      </c>
    </row>
    <row r="79" spans="2:31" x14ac:dyDescent="0.2">
      <c r="B79" s="1">
        <f>[16]FormattedData!A83</f>
        <v>406</v>
      </c>
      <c r="C79" s="1" t="str">
        <f>VLOOKUP($B79,[16]TrtCodes!$B$11:I126,2)</f>
        <v>FTH</v>
      </c>
      <c r="D79" s="1">
        <f>VLOOKUP($B79,[16]TrtCodes!$B$11:J126,3)</f>
        <v>3</v>
      </c>
      <c r="E79" s="1">
        <f>VLOOKUP($B79,[16]TrtCodes!$B$11:K126,4)</f>
        <v>1</v>
      </c>
      <c r="F79" s="1">
        <f>VLOOKUP($B79,[16]TrtCodes!$B$11:L126,5)</f>
        <v>2</v>
      </c>
      <c r="G79" s="1">
        <f>VLOOKUP($B79,[16]TrtCodes!$B$11:M126,6)</f>
        <v>2</v>
      </c>
      <c r="H79" s="1">
        <f>VLOOKUP($B79,[16]TrtCodes!$B$11:N126,7)</f>
        <v>4</v>
      </c>
      <c r="I79" s="1">
        <f>[16]FormattedData!B83</f>
        <v>2</v>
      </c>
      <c r="J79" s="4">
        <f>[16]FormattedData!C83</f>
        <v>13.77</v>
      </c>
      <c r="K79" s="6">
        <f>$J$3+[16]FormattedData!D83*$J$4+$M$4*$J$5+[16]FormattedData!D83^2*$J$6+$M$5*$J$7</f>
        <v>28.151732171307184</v>
      </c>
      <c r="L79" s="6">
        <f>$J$3+[16]FormattedData!E83*$J$4+$M$4*$J$5+[16]FormattedData!E83^2*$J$6+$M$5*$J$7</f>
        <v>29.228773042486672</v>
      </c>
      <c r="M79" s="6">
        <f>$J$3+[16]FormattedData!F83*$J$4+$M$4*$J$5+[16]FormattedData!F83^2*$J$6+$M$5*$J$7</f>
        <v>29.424049164435292</v>
      </c>
      <c r="N79" s="6">
        <f>$J$3+[16]FormattedData!G83*$J$4+$M$4*$J$5+[16]FormattedData!G83^2*$J$6+$M$5*$J$7</f>
        <v>29.32643223772995</v>
      </c>
      <c r="O79" s="6">
        <f>$J$3+[16]FormattedData!H83*$J$4+$M$4*$J$5+[16]FormattedData!H83^2*$J$6+$M$5*$J$7</f>
        <v>27.463679608121478</v>
      </c>
      <c r="P79" s="6">
        <f>$J$3+[16]FormattedData!I83*$J$4+$M$4*$J$5+[16]FormattedData!I83^2*$J$6+$M$5*$J$7</f>
        <v>29.716646333323737</v>
      </c>
      <c r="Q79" s="6">
        <f>$J$3+[16]FormattedData!J83*$J$4+$M$4*$J$5+[16]FormattedData!J83^2*$J$6+$M$5*$J$7</f>
        <v>30.495045634690637</v>
      </c>
      <c r="R79" s="6">
        <f>$J$3+[16]FormattedData!K83*$J$4+$M$4*$J$5+[16]FormattedData!K83^2*$J$6+$M$5*$J$7</f>
        <v>28.445977813174942</v>
      </c>
      <c r="S79" s="6">
        <f>$J$3+[16]FormattedData!L83*$J$4+$M$4*$J$5+[16]FormattedData!L83^2*$J$6+$M$5*$J$7</f>
        <v>30.3006994205765</v>
      </c>
      <c r="T79" s="6">
        <f>$J$3+[16]FormattedData!M83*$J$4+$M$4*$J$5+[16]FormattedData!M83^2*$J$6+$M$5*$J$7</f>
        <v>30.008863085370812</v>
      </c>
      <c r="U79" s="6">
        <f>$J$3+[16]FormattedData!N83*$J$4+$M$4*$J$5+[16]FormattedData!N83^2*$J$6+$M$5*$J$7</f>
        <v>30.203462910712531</v>
      </c>
      <c r="V79" s="6">
        <f>$J$3+[16]FormattedData!O83*$J$4+$M$4*$J$5+[16]FormattedData!O83^2*$J$6+$M$5*$J$7</f>
        <v>30.592155338940806</v>
      </c>
      <c r="W79" s="5">
        <f t="shared" si="18"/>
        <v>29.446459730072544</v>
      </c>
      <c r="X79" s="4">
        <f t="shared" si="19"/>
        <v>0.28571050831713779</v>
      </c>
      <c r="Y79" s="3">
        <f t="shared" si="20"/>
        <v>27.463679608121478</v>
      </c>
      <c r="Z79" s="2">
        <f t="shared" si="21"/>
        <v>29.03307423515874</v>
      </c>
      <c r="AA79" s="3">
        <f t="shared" si="22"/>
        <v>29.570347748879513</v>
      </c>
      <c r="AB79" s="2">
        <f t="shared" si="23"/>
        <v>30.227772038178522</v>
      </c>
      <c r="AC79" s="2">
        <f t="shared" si="24"/>
        <v>30.592155338940806</v>
      </c>
      <c r="AD79" s="2">
        <f t="shared" si="25"/>
        <v>-0.79524191155433299</v>
      </c>
      <c r="AE79" s="2">
        <f t="shared" si="26"/>
        <v>-0.22860917483661591</v>
      </c>
    </row>
    <row r="80" spans="2:31" x14ac:dyDescent="0.2">
      <c r="B80" s="1">
        <f>[16]FormattedData!A81</f>
        <v>407</v>
      </c>
      <c r="C80" s="1" t="str">
        <f>VLOOKUP($B80,[16]TrtCodes!$B$11:I124,2)</f>
        <v>NSH</v>
      </c>
      <c r="D80" s="1">
        <f>VLOOKUP($B80,[16]TrtCodes!$B$11:J124,3)</f>
        <v>7</v>
      </c>
      <c r="E80" s="1">
        <f>VLOOKUP($B80,[16]TrtCodes!$B$11:K124,4)</f>
        <v>2</v>
      </c>
      <c r="F80" s="1">
        <f>VLOOKUP($B80,[16]TrtCodes!$B$11:L124,5)</f>
        <v>1</v>
      </c>
      <c r="G80" s="1">
        <f>VLOOKUP($B80,[16]TrtCodes!$B$11:M124,6)</f>
        <v>2</v>
      </c>
      <c r="H80" s="1">
        <f>VLOOKUP($B80,[16]TrtCodes!$B$11:N124,7)</f>
        <v>4</v>
      </c>
      <c r="I80" s="1">
        <f>[16]FormattedData!B81</f>
        <v>2</v>
      </c>
      <c r="J80" s="4">
        <f>[16]FormattedData!C81</f>
        <v>13.749000000000001</v>
      </c>
      <c r="K80" s="6">
        <f>$J$3+[16]FormattedData!D81*$J$4+$M$4*$J$5+[16]FormattedData!D81^2*$J$6+$M$5*$J$7</f>
        <v>30.3006994205765</v>
      </c>
      <c r="L80" s="6">
        <f>$J$3+[16]FormattedData!E81*$J$4+$M$4*$J$5+[16]FormattedData!E81^2*$J$6+$M$5*$J$7</f>
        <v>30.3006994205765</v>
      </c>
      <c r="M80" s="6">
        <f>$J$3+[16]FormattedData!F81*$J$4+$M$4*$J$5+[16]FormattedData!F81^2*$J$6+$M$5*$J$7</f>
        <v>29.814094185877362</v>
      </c>
      <c r="N80" s="6">
        <f>$J$3+[16]FormattedData!G81*$J$4+$M$4*$J$5+[16]FormattedData!G81^2*$J$6+$M$5*$J$7</f>
        <v>28.347938201090287</v>
      </c>
      <c r="O80" s="6">
        <f>$J$3+[16]FormattedData!H81*$J$4+$M$4*$J$5+[16]FormattedData!H81^2*$J$6+$M$5*$J$7</f>
        <v>28.543975156721672</v>
      </c>
      <c r="P80" s="6">
        <f>$J$3+[16]FormattedData!I81*$J$4+$M$4*$J$5+[16]FormattedData!I81^2*$J$6+$M$5*$J$7</f>
        <v>29.32643223772995</v>
      </c>
      <c r="Q80" s="6">
        <f>$J$3+[16]FormattedData!J81*$J$4+$M$4*$J$5+[16]FormattedData!J81^2*$J$6+$M$5*$J$7</f>
        <v>28.935541845529258</v>
      </c>
      <c r="R80" s="6">
        <f>$J$3+[16]FormattedData!K81*$J$4+$M$4*$J$5+[16]FormattedData!K81^2*$J$6+$M$5*$J$7</f>
        <v>29.228773042486672</v>
      </c>
      <c r="S80" s="6">
        <f>$J$3+[16]FormattedData!L81*$J$4+$M$4*$J$5+[16]FormattedData!L81^2*$J$6+$M$5*$J$7</f>
        <v>29.521623822602706</v>
      </c>
      <c r="T80" s="6">
        <f>$J$3+[16]FormattedData!M81*$J$4+$M$4*$J$5+[16]FormattedData!M81^2*$J$6+$M$5*$J$7</f>
        <v>30.106184132310634</v>
      </c>
      <c r="U80" s="6">
        <f>$J$3+[16]FormattedData!N81*$J$4+$M$4*$J$5+[16]FormattedData!N81^2*$J$6+$M$5*$J$7</f>
        <v>28.935541845529258</v>
      </c>
      <c r="V80" s="6">
        <f>$J$3+[16]FormattedData!O81*$J$4+$M$4*$J$5+[16]FormattedData!O81^2*$J$6+$M$5*$J$7</f>
        <v>29.911499769893048</v>
      </c>
      <c r="W80" s="5">
        <f t="shared" si="18"/>
        <v>29.439416923410324</v>
      </c>
      <c r="X80" s="4">
        <f t="shared" si="19"/>
        <v>0.19180670432436495</v>
      </c>
      <c r="Y80" s="3">
        <f t="shared" si="20"/>
        <v>28.347938201090287</v>
      </c>
      <c r="Z80" s="2">
        <f t="shared" si="21"/>
        <v>28.935541845529258</v>
      </c>
      <c r="AA80" s="3">
        <f t="shared" si="22"/>
        <v>29.424028030166326</v>
      </c>
      <c r="AB80" s="2">
        <f t="shared" si="23"/>
        <v>29.960170860497445</v>
      </c>
      <c r="AC80" s="2">
        <f t="shared" si="24"/>
        <v>30.3006994205765</v>
      </c>
      <c r="AD80" s="2">
        <f t="shared" si="25"/>
        <v>-0.20541016785528385</v>
      </c>
      <c r="AE80" s="2">
        <f t="shared" si="26"/>
        <v>-1.1544443024114592</v>
      </c>
    </row>
    <row r="81" spans="2:31" x14ac:dyDescent="0.2">
      <c r="B81" s="1">
        <f>[16]FormattedData!A79</f>
        <v>408</v>
      </c>
      <c r="C81" s="1" t="str">
        <f>VLOOKUP($B81,[16]TrtCodes!$B$11:I122,2)</f>
        <v>NTL</v>
      </c>
      <c r="D81" s="1">
        <f>VLOOKUP($B81,[16]TrtCodes!$B$11:J122,3)</f>
        <v>10</v>
      </c>
      <c r="E81" s="1">
        <f>VLOOKUP($B81,[16]TrtCodes!$B$11:K122,4)</f>
        <v>2</v>
      </c>
      <c r="F81" s="1">
        <f>VLOOKUP($B81,[16]TrtCodes!$B$11:L122,5)</f>
        <v>2</v>
      </c>
      <c r="G81" s="1">
        <f>VLOOKUP($B81,[16]TrtCodes!$B$11:M122,6)</f>
        <v>1</v>
      </c>
      <c r="H81" s="1">
        <f>VLOOKUP($B81,[16]TrtCodes!$B$11:N122,7)</f>
        <v>4</v>
      </c>
      <c r="I81" s="1">
        <f>[16]FormattedData!B79</f>
        <v>2</v>
      </c>
      <c r="J81" s="4">
        <f>[16]FormattedData!C79</f>
        <v>13.73</v>
      </c>
      <c r="K81" s="6">
        <f>$J$3+[16]FormattedData!D79*$J$4+$M$4*$J$5+[16]FormattedData!D79^2*$J$6+$M$5*$J$7</f>
        <v>28.347938201090287</v>
      </c>
      <c r="L81" s="6">
        <f>$J$3+[16]FormattedData!E79*$J$4+$M$4*$J$5+[16]FormattedData!E79^2*$J$6+$M$5*$J$7</f>
        <v>27.857106112598039</v>
      </c>
      <c r="M81" s="6">
        <f>$J$3+[16]FormattedData!F79*$J$4+$M$4*$J$5+[16]FormattedData!F79^2*$J$6+$M$5*$J$7</f>
        <v>27.758812889285796</v>
      </c>
      <c r="N81" s="6">
        <f>$J$3+[16]FormattedData!G79*$J$4+$M$4*$J$5+[16]FormattedData!G79^2*$J$6+$M$5*$J$7</f>
        <v>28.347938201090287</v>
      </c>
      <c r="O81" s="6">
        <f>$J$3+[16]FormattedData!H79*$J$4+$M$4*$J$5+[16]FormattedData!H79^2*$J$6+$M$5*$J$7</f>
        <v>29.131071578705466</v>
      </c>
      <c r="P81" s="6">
        <f>$J$3+[16]FormattedData!I79*$J$4+$M$4*$J$5+[16]FormattedData!I79^2*$J$6+$M$5*$J$7</f>
        <v>28.2498563204677</v>
      </c>
      <c r="Q81" s="6">
        <f>$J$3+[16]FormattedData!J79*$J$4+$M$4*$J$5+[16]FormattedData!J79^2*$J$6+$M$5*$J$7</f>
        <v>28.641930231730463</v>
      </c>
      <c r="R81" s="6">
        <f>$J$3+[16]FormattedData!K79*$J$4+$M$4*$J$5+[16]FormattedData!K79^2*$J$6+$M$5*$J$7</f>
        <v>30.106184132310634</v>
      </c>
      <c r="S81" s="6">
        <f>$J$3+[16]FormattedData!L79*$J$4+$M$4*$J$5+[16]FormattedData!L79^2*$J$6+$M$5*$J$7</f>
        <v>29.619156212232191</v>
      </c>
      <c r="T81" s="6">
        <f>$J$3+[16]FormattedData!M79*$J$4+$M$4*$J$5+[16]FormattedData!M79^2*$J$6+$M$5*$J$7</f>
        <v>31.850735057241295</v>
      </c>
      <c r="U81" s="6">
        <f>$J$3+[16]FormattedData!N79*$J$4+$M$4*$J$5+[16]FormattedData!N79^2*$J$6+$M$5*$J$7</f>
        <v>29.619156212232191</v>
      </c>
      <c r="V81" s="6">
        <f>$J$3+[16]FormattedData!O79*$J$4+$M$4*$J$5+[16]FormattedData!O79^2*$J$6+$M$5*$J$7</f>
        <v>32.04372867814164</v>
      </c>
      <c r="W81" s="5">
        <f t="shared" si="18"/>
        <v>29.297801152260504</v>
      </c>
      <c r="X81" s="4">
        <f t="shared" si="19"/>
        <v>0.41489621557900747</v>
      </c>
      <c r="Y81" s="3">
        <f t="shared" si="20"/>
        <v>27.758812889285796</v>
      </c>
      <c r="Z81" s="2">
        <f t="shared" si="21"/>
        <v>28.32341773093464</v>
      </c>
      <c r="AA81" s="3">
        <f t="shared" si="22"/>
        <v>28.886500905217964</v>
      </c>
      <c r="AB81" s="2">
        <f t="shared" si="23"/>
        <v>29.740913192251803</v>
      </c>
      <c r="AC81" s="2">
        <f t="shared" si="24"/>
        <v>32.04372867814164</v>
      </c>
      <c r="AD81" s="2">
        <f t="shared" si="25"/>
        <v>1.0344059869410276</v>
      </c>
      <c r="AE81" s="2">
        <f t="shared" si="26"/>
        <v>0.12920444455392754</v>
      </c>
    </row>
    <row r="82" spans="2:31" x14ac:dyDescent="0.2">
      <c r="B82" s="1">
        <f>[16]FormattedData!A59</f>
        <v>902</v>
      </c>
      <c r="C82" s="1" t="str">
        <f>VLOOKUP($B82,[16]TrtCodes!$B$11:I102,2)</f>
        <v>Late</v>
      </c>
      <c r="D82" s="1">
        <f>VLOOKUP($B82,[16]TrtCodes!$B$11:J102,3)</f>
        <v>22</v>
      </c>
      <c r="E82" s="1">
        <f>VLOOKUP($B82,[16]TrtCodes!$B$11:K102,4)</f>
        <v>4</v>
      </c>
      <c r="F82" s="1">
        <f>VLOOKUP($B82,[16]TrtCodes!$B$11:L102,5)</f>
        <v>2</v>
      </c>
      <c r="G82" s="1">
        <f>VLOOKUP($B82,[16]TrtCodes!$B$11:M102,6)</f>
        <v>2</v>
      </c>
      <c r="H82" s="1">
        <f>VLOOKUP($B82,[16]TrtCodes!$B$11:N102,7)</f>
        <v>1</v>
      </c>
      <c r="I82" s="1">
        <f>[16]FormattedData!B59</f>
        <v>2</v>
      </c>
      <c r="J82" s="4">
        <f>[16]FormattedData!C59</f>
        <v>13.53</v>
      </c>
      <c r="K82" s="6">
        <f>$J$3+[16]FormattedData!D59*$J$4+$M$4*$J$5+[16]FormattedData!D59^2*$J$6+$M$5*$J$7</f>
        <v>30.98017147056218</v>
      </c>
      <c r="L82" s="6">
        <f>$J$3+[16]FormattedData!E59*$J$4+$M$4*$J$5+[16]FormattedData!E59^2*$J$6+$M$5*$J$7</f>
        <v>30.883230840463732</v>
      </c>
      <c r="M82" s="6">
        <f>$J$3+[16]FormattedData!F59*$J$4+$M$4*$J$5+[16]FormattedData!F59^2*$J$6+$M$5*$J$7</f>
        <v>30.3006994205765</v>
      </c>
      <c r="N82" s="6">
        <f>$J$3+[16]FormattedData!G59*$J$4+$M$4*$J$5+[16]FormattedData!G59^2*$J$6+$M$5*$J$7</f>
        <v>31.270739749629932</v>
      </c>
      <c r="O82" s="6">
        <f>$J$3+[16]FormattedData!H59*$J$4+$M$4*$J$5+[16]FormattedData!H59^2*$J$6+$M$5*$J$7</f>
        <v>29.716646333323737</v>
      </c>
      <c r="P82" s="6">
        <f>$J$3+[16]FormattedData!I59*$J$4+$M$4*$J$5+[16]FormattedData!I59^2*$J$6+$M$5*$J$7</f>
        <v>30.592155338940806</v>
      </c>
      <c r="Q82" s="6">
        <f>$J$3+[16]FormattedData!J59*$J$4+$M$4*$J$5+[16]FormattedData!J59^2*$J$6+$M$5*$J$7</f>
        <v>32.717874892347993</v>
      </c>
      <c r="R82" s="6">
        <f>$J$3+[16]FormattedData!K59*$J$4+$M$4*$J$5+[16]FormattedData!K59^2*$J$6+$M$5*$J$7</f>
        <v>32.91010767956557</v>
      </c>
      <c r="S82" s="6">
        <f>$J$3+[16]FormattedData!L59*$J$4+$M$4*$J$5+[16]FormattedData!L59^2*$J$6+$M$5*$J$7</f>
        <v>32.04372867814164</v>
      </c>
      <c r="T82" s="6">
        <f>$J$3+[16]FormattedData!M59*$J$4+$M$4*$J$5+[16]FormattedData!M59^2*$J$6+$M$5*$J$7</f>
        <v>31.464240592985448</v>
      </c>
      <c r="U82" s="6">
        <f>$J$3+[16]FormattedData!N59*$J$4+$M$4*$J$5+[16]FormattedData!N59^2*$J$6+$M$5*$J$7</f>
        <v>31.657572362189235</v>
      </c>
      <c r="V82" s="6">
        <f>$J$3+[16]FormattedData!O59*$J$4+$M$4*$J$5+[16]FormattedData!O59^2*$J$6+$M$5*$J$7</f>
        <v>32.62169509593231</v>
      </c>
      <c r="W82" s="5">
        <f t="shared" si="18"/>
        <v>31.429905204554924</v>
      </c>
      <c r="X82" s="4">
        <f t="shared" si="19"/>
        <v>0.29048877791951622</v>
      </c>
      <c r="Y82" s="3">
        <f t="shared" si="20"/>
        <v>29.716646333323737</v>
      </c>
      <c r="Z82" s="2">
        <f t="shared" si="21"/>
        <v>30.810461965083</v>
      </c>
      <c r="AA82" s="3">
        <f t="shared" si="22"/>
        <v>31.36749017130769</v>
      </c>
      <c r="AB82" s="2">
        <f t="shared" si="23"/>
        <v>32.188220282589306</v>
      </c>
      <c r="AC82" s="2">
        <f t="shared" si="24"/>
        <v>32.91010767956557</v>
      </c>
      <c r="AD82" s="2">
        <f t="shared" si="25"/>
        <v>5.8733818935572589E-5</v>
      </c>
      <c r="AE82" s="2">
        <f t="shared" si="26"/>
        <v>-0.87074225405307271</v>
      </c>
    </row>
    <row r="83" spans="2:31" x14ac:dyDescent="0.2">
      <c r="B83" s="1">
        <f>[16]FormattedData!A55</f>
        <v>904</v>
      </c>
      <c r="C83" s="1" t="str">
        <f>VLOOKUP($B83,[16]TrtCodes!$B$11:I98,2)</f>
        <v>Early</v>
      </c>
      <c r="D83" s="1">
        <f>VLOOKUP($B83,[16]TrtCodes!$B$11:J98,3)</f>
        <v>21</v>
      </c>
      <c r="E83" s="1">
        <f>VLOOKUP($B83,[16]TrtCodes!$B$11:K98,4)</f>
        <v>3</v>
      </c>
      <c r="F83" s="1">
        <f>VLOOKUP($B83,[16]TrtCodes!$B$11:L98,5)</f>
        <v>2</v>
      </c>
      <c r="G83" s="1">
        <f>VLOOKUP($B83,[16]TrtCodes!$B$11:M98,6)</f>
        <v>2</v>
      </c>
      <c r="H83" s="1">
        <f>VLOOKUP($B83,[16]TrtCodes!$B$11:N98,7)</f>
        <v>1</v>
      </c>
      <c r="I83" s="1">
        <f>[16]FormattedData!B55</f>
        <v>2</v>
      </c>
      <c r="J83" s="4">
        <f>[16]FormattedData!C55</f>
        <v>13.499000000000001</v>
      </c>
      <c r="K83" s="6">
        <f>$J$3+[16]FormattedData!D55*$J$4+$M$4*$J$5+[16]FormattedData!D55^2*$J$6+$M$5*$J$7</f>
        <v>34.059953845684831</v>
      </c>
      <c r="L83" s="6">
        <f>$J$3+[16]FormattedData!E55*$J$4+$M$4*$J$5+[16]FormattedData!E55^2*$J$6+$M$5*$J$7</f>
        <v>36.719257852054987</v>
      </c>
      <c r="M83" s="6">
        <f>$J$3+[16]FormattedData!F55*$J$4+$M$4*$J$5+[16]FormattedData!F55^2*$J$6+$M$5*$J$7</f>
        <v>33.102171392631426</v>
      </c>
      <c r="N83" s="6">
        <f>$J$3+[16]FormattedData!G55*$J$4+$M$4*$J$5+[16]FormattedData!G55^2*$J$6+$M$5*$J$7</f>
        <v>37.002217794295134</v>
      </c>
      <c r="O83" s="6">
        <f>$J$3+[16]FormattedData!H55*$J$4+$M$4*$J$5+[16]FormattedData!H55^2*$J$6+$M$5*$J$7</f>
        <v>35.108632527912519</v>
      </c>
      <c r="P83" s="6">
        <f>$J$3+[16]FormattedData!I55*$J$4+$M$4*$J$5+[16]FormattedData!I55^2*$J$6+$M$5*$J$7</f>
        <v>35.962838190412292</v>
      </c>
      <c r="Q83" s="6">
        <f>$J$3+[16]FormattedData!J55*$J$4+$M$4*$J$5+[16]FormattedData!J55^2*$J$6+$M$5*$J$7</f>
        <v>32.525473030978695</v>
      </c>
      <c r="R83" s="6">
        <f>$J$3+[16]FormattedData!K55*$J$4+$M$4*$J$5+[16]FormattedData!K55^2*$J$6+$M$5*$J$7</f>
        <v>34.727886584815309</v>
      </c>
      <c r="S83" s="6">
        <f>$J$3+[16]FormattedData!L55*$J$4+$M$4*$J$5+[16]FormattedData!L55^2*$J$6+$M$5*$J$7</f>
        <v>32.140162085784908</v>
      </c>
      <c r="T83" s="6">
        <f>$J$3+[16]FormattedData!M55*$J$4+$M$4*$J$5+[16]FormattedData!M55^2*$J$6+$M$5*$J$7</f>
        <v>35.67848338642041</v>
      </c>
      <c r="U83" s="6">
        <f>$J$3+[16]FormattedData!N55*$J$4+$M$4*$J$5+[16]FormattedData!N55^2*$J$6+$M$5*$J$7</f>
        <v>35.203713342341999</v>
      </c>
      <c r="V83" s="6">
        <f>$J$3+[16]FormattedData!O55*$J$4+$M$4*$J$5+[16]FormattedData!O55^2*$J$6+$M$5*$J$7</f>
        <v>34.632594427696169</v>
      </c>
      <c r="W83" s="5">
        <f t="shared" si="18"/>
        <v>34.738615371752381</v>
      </c>
      <c r="X83" s="4">
        <f t="shared" si="19"/>
        <v>0.44875237136232904</v>
      </c>
      <c r="Y83" s="3">
        <f t="shared" si="20"/>
        <v>32.140162085784908</v>
      </c>
      <c r="Z83" s="2">
        <f t="shared" si="21"/>
        <v>33.820508232421481</v>
      </c>
      <c r="AA83" s="3">
        <f t="shared" si="22"/>
        <v>34.918259556363914</v>
      </c>
      <c r="AB83" s="2">
        <f t="shared" si="23"/>
        <v>35.749572087418379</v>
      </c>
      <c r="AC83" s="2">
        <f t="shared" si="24"/>
        <v>37.002217794295134</v>
      </c>
      <c r="AD83" s="2">
        <f t="shared" si="25"/>
        <v>-0.3164202831982863</v>
      </c>
      <c r="AE83" s="2">
        <f t="shared" si="26"/>
        <v>-0.74946050514643892</v>
      </c>
    </row>
    <row r="84" spans="2:31" x14ac:dyDescent="0.2">
      <c r="B84" s="1">
        <f>[16]FormattedData!A51</f>
        <v>906</v>
      </c>
      <c r="C84" s="1" t="str">
        <f>VLOOKUP($B84,[16]TrtCodes!$B$11:I94,2)</f>
        <v>Late</v>
      </c>
      <c r="D84" s="1">
        <f>VLOOKUP($B84,[16]TrtCodes!$B$11:J94,3)</f>
        <v>22</v>
      </c>
      <c r="E84" s="1">
        <f>VLOOKUP($B84,[16]TrtCodes!$B$11:K94,4)</f>
        <v>4</v>
      </c>
      <c r="F84" s="1">
        <f>VLOOKUP($B84,[16]TrtCodes!$B$11:L94,5)</f>
        <v>2</v>
      </c>
      <c r="G84" s="1">
        <f>VLOOKUP($B84,[16]TrtCodes!$B$11:M94,6)</f>
        <v>2</v>
      </c>
      <c r="H84" s="1">
        <f>VLOOKUP($B84,[16]TrtCodes!$B$11:N94,7)</f>
        <v>2</v>
      </c>
      <c r="I84" s="1">
        <f>[16]FormattedData!B51</f>
        <v>2</v>
      </c>
      <c r="J84" s="4">
        <f>[16]FormattedData!C51</f>
        <v>13.472</v>
      </c>
      <c r="K84" s="6">
        <f>$J$3+[16]FormattedData!D51*$J$4+$M$4*$J$5+[16]FormattedData!D51^2*$J$6+$M$5*$J$7</f>
        <v>30.689222774653043</v>
      </c>
      <c r="L84" s="6">
        <f>$J$3+[16]FormattedData!E51*$J$4+$M$4*$J$5+[16]FormattedData!E51^2*$J$6+$M$5*$J$7</f>
        <v>30.98017147056218</v>
      </c>
      <c r="M84" s="6">
        <f>$J$3+[16]FormattedData!F51*$J$4+$M$4*$J$5+[16]FormattedData!F51^2*$J$6+$M$5*$J$7</f>
        <v>31.270739749629932</v>
      </c>
      <c r="N84" s="6">
        <f>$J$3+[16]FormattedData!G51*$J$4+$M$4*$J$5+[16]FormattedData!G51^2*$J$6+$M$5*$J$7</f>
        <v>30.883230840463732</v>
      </c>
      <c r="O84" s="6">
        <f>$J$3+[16]FormattedData!H51*$J$4+$M$4*$J$5+[16]FormattedData!H51^2*$J$6+$M$5*$J$7</f>
        <v>33.485791596307962</v>
      </c>
      <c r="P84" s="6">
        <f>$J$3+[16]FormattedData!I51*$J$4+$M$4*$J$5+[16]FormattedData!I51^2*$J$6+$M$5*$J$7</f>
        <v>33.389949948195721</v>
      </c>
      <c r="Q84" s="6">
        <f>$J$3+[16]FormattedData!J51*$J$4+$M$4*$J$5+[16]FormattedData!J51^2*$J$6+$M$5*$J$7</f>
        <v>33.485791596307962</v>
      </c>
      <c r="R84" s="6">
        <f>$J$3+[16]FormattedData!K51*$J$4+$M$4*$J$5+[16]FormattedData!K51^2*$J$6+$M$5*$J$7</f>
        <v>34.251003113840333</v>
      </c>
      <c r="S84" s="6">
        <f>$J$3+[16]FormattedData!L51*$J$4+$M$4*$J$5+[16]FormattedData!L51^2*$J$6+$M$5*$J$7</f>
        <v>32.332902095457655</v>
      </c>
      <c r="T84" s="6">
        <f>$J$3+[16]FormattedData!M51*$J$4+$M$4*$J$5+[16]FormattedData!M51^2*$J$6+$M$5*$J$7</f>
        <v>33.102171392631426</v>
      </c>
      <c r="U84" s="6">
        <f>$J$3+[16]FormattedData!N51*$J$4+$M$4*$J$5+[16]FormattedData!N51^2*$J$6+$M$5*$J$7</f>
        <v>33.006160670367464</v>
      </c>
      <c r="V84" s="6">
        <f>$J$3+[16]FormattedData!O51*$J$4+$M$4*$J$5+[16]FormattedData!O51^2*$J$6+$M$5*$J$7</f>
        <v>32.91010767956557</v>
      </c>
      <c r="W84" s="5">
        <f t="shared" si="18"/>
        <v>32.482270243998578</v>
      </c>
      <c r="X84" s="4">
        <f t="shared" si="19"/>
        <v>0.35169024823277334</v>
      </c>
      <c r="Y84" s="3">
        <f t="shared" si="20"/>
        <v>30.689222774653043</v>
      </c>
      <c r="Z84" s="2">
        <f t="shared" si="21"/>
        <v>31.198097679862993</v>
      </c>
      <c r="AA84" s="3">
        <f t="shared" si="22"/>
        <v>32.958134174966517</v>
      </c>
      <c r="AB84" s="2">
        <f t="shared" si="23"/>
        <v>33.413910360223781</v>
      </c>
      <c r="AC84" s="2">
        <f t="shared" si="24"/>
        <v>34.251003113840333</v>
      </c>
      <c r="AD84" s="2">
        <f t="shared" si="25"/>
        <v>-0.37775529129915963</v>
      </c>
      <c r="AE84" s="2">
        <f t="shared" si="26"/>
        <v>-1.3959907670999425</v>
      </c>
    </row>
    <row r="85" spans="2:31" x14ac:dyDescent="0.2">
      <c r="B85" s="1">
        <f>[16]FormattedData!A47</f>
        <v>908</v>
      </c>
      <c r="C85" s="1" t="str">
        <f>VLOOKUP($B85,[16]TrtCodes!$B$11:I90,2)</f>
        <v>Early</v>
      </c>
      <c r="D85" s="1">
        <f>VLOOKUP($B85,[16]TrtCodes!$B$11:J90,3)</f>
        <v>21</v>
      </c>
      <c r="E85" s="1">
        <f>VLOOKUP($B85,[16]TrtCodes!$B$11:K90,4)</f>
        <v>3</v>
      </c>
      <c r="F85" s="1">
        <f>VLOOKUP($B85,[16]TrtCodes!$B$11:L90,5)</f>
        <v>2</v>
      </c>
      <c r="G85" s="1">
        <f>VLOOKUP($B85,[16]TrtCodes!$B$11:M90,6)</f>
        <v>2</v>
      </c>
      <c r="H85" s="1">
        <f>VLOOKUP($B85,[16]TrtCodes!$B$11:N90,7)</f>
        <v>2</v>
      </c>
      <c r="I85" s="1">
        <f>[16]FormattedData!B47</f>
        <v>2</v>
      </c>
      <c r="J85" s="4">
        <f>[16]FormattedData!C47</f>
        <v>13.430999999999999</v>
      </c>
      <c r="K85" s="6">
        <f>$J$3+[16]FormattedData!D47*$J$4+$M$4*$J$5+[16]FormattedData!D47^2*$J$6+$M$5*$J$7</f>
        <v>35.298751888233539</v>
      </c>
      <c r="L85" s="6">
        <f>$J$3+[16]FormattedData!E47*$J$4+$M$4*$J$5+[16]FormattedData!E47^2*$J$6+$M$5*$J$7</f>
        <v>38.878895645505288</v>
      </c>
      <c r="M85" s="6">
        <f>$J$3+[16]FormattedData!F47*$J$4+$M$4*$J$5+[16]FormattedData!F47^2*$J$6+$M$5*$J$7</f>
        <v>35.868095524286261</v>
      </c>
      <c r="N85" s="6">
        <f>$J$3+[16]FormattedData!G47*$J$4+$M$4*$J$5+[16]FormattedData!G47^2*$J$6+$M$5*$J$7</f>
        <v>37.284797319693901</v>
      </c>
      <c r="O85" s="6">
        <f>$J$3+[16]FormattedData!H47*$J$4+$M$4*$J$5+[16]FormattedData!H47^2*$J$6+$M$5*$J$7</f>
        <v>33.294066031545555</v>
      </c>
      <c r="P85" s="6">
        <f>$J$3+[16]FormattedData!I47*$J$4+$M$4*$J$5+[16]FormattedData!I47^2*$J$6+$M$5*$J$7</f>
        <v>34.727886584815309</v>
      </c>
      <c r="Q85" s="6">
        <f>$J$3+[16]FormattedData!J47*$J$4+$M$4*$J$5+[16]FormattedData!J47^2*$J$6+$M$5*$J$7</f>
        <v>33.198139846357449</v>
      </c>
      <c r="R85" s="6">
        <f>$J$3+[16]FormattedData!K47*$J$4+$M$4*$J$5+[16]FormattedData!K47^2*$J$6+$M$5*$J$7</f>
        <v>34.155499614031541</v>
      </c>
      <c r="S85" s="6">
        <f>$J$3+[16]FormattedData!L47*$J$4+$M$4*$J$5+[16]FormattedData!L47^2*$J$6+$M$5*$J$7</f>
        <v>34.251003113840333</v>
      </c>
      <c r="T85" s="6">
        <f>$J$3+[16]FormattedData!M47*$J$4+$M$4*$J$5+[16]FormattedData!M47^2*$J$6+$M$5*$J$7</f>
        <v>35.962838190412292</v>
      </c>
      <c r="U85" s="6">
        <f>$J$3+[16]FormattedData!N47*$J$4+$M$4*$J$5+[16]FormattedData!N47^2*$J$6+$M$5*$J$7</f>
        <v>37.848815119967298</v>
      </c>
      <c r="V85" s="6">
        <f>$J$3+[16]FormattedData!O47*$J$4+$M$4*$J$5+[16]FormattedData!O47^2*$J$6+$M$5*$J$7</f>
        <v>37.284797319693901</v>
      </c>
      <c r="W85" s="5">
        <f t="shared" si="18"/>
        <v>35.671132183198559</v>
      </c>
      <c r="X85" s="4">
        <f t="shared" si="19"/>
        <v>0.53280411212023637</v>
      </c>
      <c r="Y85" s="3">
        <f t="shared" si="20"/>
        <v>33.198139846357449</v>
      </c>
      <c r="Z85" s="2">
        <f t="shared" si="21"/>
        <v>34.227127238888137</v>
      </c>
      <c r="AA85" s="3">
        <f t="shared" si="22"/>
        <v>35.5834237062599</v>
      </c>
      <c r="AB85" s="2">
        <f t="shared" si="23"/>
        <v>37.284797319693901</v>
      </c>
      <c r="AC85" s="2">
        <f t="shared" si="24"/>
        <v>38.878895645505288</v>
      </c>
      <c r="AD85" s="2">
        <f t="shared" si="25"/>
        <v>0.27723416832159647</v>
      </c>
      <c r="AE85" s="2">
        <f t="shared" si="26"/>
        <v>-1.0267207964409066</v>
      </c>
    </row>
    <row r="88" spans="2:31" x14ac:dyDescent="0.2">
      <c r="W88" s="2"/>
    </row>
  </sheetData>
  <autoFilter ref="B9:AE85" xr:uid="{F9826E2B-6ABA-4F6E-95FD-61B2083A647D}"/>
  <conditionalFormatting sqref="K10:V85">
    <cfRule type="cellIs" dxfId="63" priority="1" stopIfTrue="1" operator="lessThan">
      <formula>$W10-$V$5*$X10</formula>
    </cfRule>
    <cfRule type="cellIs" dxfId="62" priority="2" stopIfTrue="1" operator="greaterThan">
      <formula>$W10+$V$5*$X10</formula>
    </cfRule>
  </conditionalFormatting>
  <conditionalFormatting sqref="W10:W85">
    <cfRule type="cellIs" dxfId="61" priority="3" stopIfTrue="1" operator="lessThan">
      <formula>AVERAGE($W$10:$W$41)</formula>
    </cfRule>
    <cfRule type="cellIs" dxfId="6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BC14-6212-4D63-9469-6BE1D29DFDED}">
  <sheetPr codeName="Sheet17"/>
  <dimension ref="A1:AI88"/>
  <sheetViews>
    <sheetView topLeftCell="A8" workbookViewId="0">
      <pane xSplit="4" ySplit="2" topLeftCell="K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[17]FormattedData!A1</f>
        <v>Raw data file name - 'IA188.03R'</v>
      </c>
    </row>
    <row r="2" spans="1:35" ht="15" x14ac:dyDescent="0.25">
      <c r="I2" s="32" t="s">
        <v>136</v>
      </c>
      <c r="J2" s="24"/>
      <c r="P2" s="31">
        <f>[17]AncillaryData!C10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[17]AncillaryData!E25</f>
        <v>39.950000000000003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"&amp;[17]AncillaryData!C7</f>
        <v>Time Sequence of Midday IRT Temps - FISE 2003 - DOY 188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"&amp;[17]AncillaryData!E25&amp;", VPD = "&amp;ROUND([17]AncillaryData!E29,1)&amp;", Quality = "&amp;[17]AncillaryData!C20&amp;")"</f>
        <v>(Ta = 39.95, VPD = 6.1,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[17]FormattedData!A28</f>
        <v>101</v>
      </c>
      <c r="C10" s="1" t="str">
        <f>VLOOKUP($B10,[17]TrtCodes!$B$11:I71,2)</f>
        <v>FSH</v>
      </c>
      <c r="D10" s="1">
        <f>VLOOKUP($B10,[17]TrtCodes!$B$11:J71,3)</f>
        <v>1</v>
      </c>
      <c r="E10" s="1">
        <f>VLOOKUP($B10,[17]TrtCodes!$B$11:K71,4)</f>
        <v>1</v>
      </c>
      <c r="F10" s="1">
        <f>VLOOKUP($B10,[17]TrtCodes!$B$11:L71,5)</f>
        <v>1</v>
      </c>
      <c r="G10" s="1">
        <f>VLOOKUP($B10,[17]TrtCodes!$B$11:M71,6)</f>
        <v>2</v>
      </c>
      <c r="H10" s="1">
        <f>VLOOKUP($B10,[17]TrtCodes!$B$11:N71,7)</f>
        <v>1</v>
      </c>
      <c r="I10" s="1">
        <f>[17]FormattedData!B28</f>
        <v>1</v>
      </c>
      <c r="J10" s="4">
        <f>[17]FormattedData!C28</f>
        <v>13.253</v>
      </c>
      <c r="K10" s="6">
        <f>$J$3+[17]FormattedData!D28*$J$4+$M$4*$J$5+[17]FormattedData!D28^2*$J$6+$M$5*$J$7</f>
        <v>46.627387568351743</v>
      </c>
      <c r="L10" s="6">
        <f>$J$3+[17]FormattedData!E28*$J$4+$M$4*$J$5+[17]FormattedData!E28^2*$J$6+$M$5*$J$7</f>
        <v>35.35498257130817</v>
      </c>
      <c r="M10" s="6">
        <f>$J$3+[17]FormattedData!F28*$J$4+$M$4*$J$5+[17]FormattedData!F28^2*$J$6+$M$5*$J$7</f>
        <v>35.639717792141418</v>
      </c>
      <c r="N10" s="6">
        <f>$J$3+[17]FormattedData!G28*$J$4+$M$4*$J$5+[17]FormattedData!G28^2*$J$6+$M$5*$J$7</f>
        <v>35.9240725961333</v>
      </c>
      <c r="O10" s="6">
        <f>$J$3+[17]FormattedData!H28*$J$4+$M$4*$J$5+[17]FormattedData!H28^2*$J$6+$M$5*$J$7</f>
        <v>34.021188251405839</v>
      </c>
      <c r="P10" s="6">
        <f>$J$3+[17]FormattedData!I28*$J$4+$M$4*$J$5+[17]FormattedData!I28^2*$J$6+$M$5*$J$7</f>
        <v>37.246031725414909</v>
      </c>
      <c r="Q10" s="6">
        <f>$J$3+[17]FormattedData!J28*$J$4+$M$4*$J$5+[17]FormattedData!J28^2*$J$6+$M$5*$J$7</f>
        <v>33.542825381603272</v>
      </c>
      <c r="R10" s="6">
        <f>$J$3+[17]FormattedData!K28*$J$4+$M$4*$J$5+[17]FormattedData!K28^2*$J$6+$M$5*$J$7</f>
        <v>36.018772993721385</v>
      </c>
      <c r="S10" s="6">
        <f>$J$3+[17]FormattedData!L28*$J$4+$M$4*$J$5+[17]FormattedData!L28^2*$J$6+$M$5*$J$7</f>
        <v>35.259986293954547</v>
      </c>
      <c r="T10" s="6">
        <f>$J$3+[17]FormattedData!M28*$J$4+$M$4*$J$5+[17]FormattedData!M28^2*$J$6+$M$5*$J$7</f>
        <v>38.840130051226296</v>
      </c>
      <c r="U10" s="6">
        <f>$J$3+[17]FormattedData!N28*$J$4+$M$4*$J$5+[17]FormattedData!N28^2*$J$6+$M$5*$J$7</f>
        <v>41.162201312652719</v>
      </c>
      <c r="V10" s="6">
        <f>$J$3+[17]FormattedData!O28*$J$4+$M$4*$J$5+[17]FormattedData!O28^2*$J$6+$M$5*$J$7</f>
        <v>31.908487407681442</v>
      </c>
      <c r="W10" s="5">
        <f t="shared" ref="W10:W41" si="0">AVERAGE(K10:V10)</f>
        <v>36.795481995466254</v>
      </c>
      <c r="X10" s="4">
        <f t="shared" ref="X10:X41" si="1">STDEV(K10:V10)/SQRT(COUNT(K10:V10))</f>
        <v>1.1328717538081143</v>
      </c>
      <c r="Y10" s="3">
        <f t="shared" ref="Y10:Y41" si="2">MIN(K10:V10)</f>
        <v>31.908487407681442</v>
      </c>
      <c r="Z10" s="2">
        <f t="shared" ref="Z10:Z41" si="3">QUARTILE(K10:V10,1)</f>
        <v>34.950286783317367</v>
      </c>
      <c r="AA10" s="3">
        <f t="shared" ref="AA10:AA41" si="4">MEDIAN(K10:V10)</f>
        <v>35.781895194137363</v>
      </c>
      <c r="AB10" s="2">
        <f t="shared" ref="AB10:AB41" si="5">QUARTILE(K10:V10,3)</f>
        <v>37.644556306867756</v>
      </c>
      <c r="AC10" s="2">
        <f t="shared" ref="AC10:AC41" si="6">MAX(K10:V10)</f>
        <v>46.627387568351743</v>
      </c>
      <c r="AD10" s="2">
        <f t="shared" ref="AD10:AD41" si="7">SKEW(K10:V10)</f>
        <v>1.5532936694341002</v>
      </c>
      <c r="AE10" s="2">
        <f t="shared" ref="AE10:AE41" si="8">KURT(K10:V10)</f>
        <v>2.9289323094151065</v>
      </c>
    </row>
    <row r="11" spans="1:35" x14ac:dyDescent="0.2">
      <c r="B11" s="1">
        <f>[17]FormattedData!A26</f>
        <v>102</v>
      </c>
      <c r="C11" s="1" t="str">
        <f>VLOOKUP($B11,[17]TrtCodes!$B$11:I69,2)</f>
        <v>FTL</v>
      </c>
      <c r="D11" s="1">
        <f>VLOOKUP($B11,[17]TrtCodes!$B$11:J69,3)</f>
        <v>4</v>
      </c>
      <c r="E11" s="1">
        <f>VLOOKUP($B11,[17]TrtCodes!$B$11:K69,4)</f>
        <v>1</v>
      </c>
      <c r="F11" s="1">
        <f>VLOOKUP($B11,[17]TrtCodes!$B$11:L69,5)</f>
        <v>2</v>
      </c>
      <c r="G11" s="1">
        <f>VLOOKUP($B11,[17]TrtCodes!$B$11:M69,6)</f>
        <v>1</v>
      </c>
      <c r="H11" s="1">
        <f>VLOOKUP($B11,[17]TrtCodes!$B$11:N69,7)</f>
        <v>1</v>
      </c>
      <c r="I11" s="1">
        <f>[17]FormattedData!B26</f>
        <v>1</v>
      </c>
      <c r="J11" s="4">
        <f>[17]FormattedData!C26</f>
        <v>13.234999999999999</v>
      </c>
      <c r="K11" s="6">
        <f>$J$3+[17]FormattedData!D26*$J$4+$M$4*$J$5+[17]FormattedData!D26^2*$J$6+$M$5*$J$7</f>
        <v>41.899684669302275</v>
      </c>
      <c r="L11" s="6">
        <f>$J$3+[17]FormattedData!E26*$J$4+$M$4*$J$5+[17]FormattedData!E26^2*$J$6+$M$5*$J$7</f>
        <v>35.734544995343313</v>
      </c>
      <c r="M11" s="6">
        <f>$J$3+[17]FormattedData!F26*$J$4+$M$4*$J$5+[17]FormattedData!F26^2*$J$6+$M$5*$J$7</f>
        <v>30.261933826297508</v>
      </c>
      <c r="N11" s="6">
        <f>$J$3+[17]FormattedData!G26*$J$4+$M$4*$J$5+[17]FormattedData!G26^2*$J$6+$M$5*$J$7</f>
        <v>37.810049525688306</v>
      </c>
      <c r="O11" s="6">
        <f>$J$3+[17]FormattedData!H26*$J$4+$M$4*$J$5+[17]FormattedData!H26^2*$J$6+$M$5*$J$7</f>
        <v>30.553389744661814</v>
      </c>
      <c r="P11" s="6">
        <f>$J$3+[17]FormattedData!I26*$J$4+$M$4*$J$5+[17]FormattedData!I26^2*$J$6+$M$5*$J$7</f>
        <v>40.514684277342987</v>
      </c>
      <c r="Q11" s="6">
        <f>$J$3+[17]FormattedData!J26*$J$4+$M$4*$J$5+[17]FormattedData!J26^2*$J$6+$M$5*$J$7</f>
        <v>33.44702600202897</v>
      </c>
      <c r="R11" s="6">
        <f>$J$3+[17]FormattedData!K26*$J$4+$M$4*$J$5+[17]FormattedData!K26^2*$J$6+$M$5*$J$7</f>
        <v>36.774854507060638</v>
      </c>
      <c r="S11" s="6">
        <f>$J$3+[17]FormattedData!L26*$J$4+$M$4*$J$5+[17]FormattedData!L26^2*$J$6+$M$5*$J$7</f>
        <v>32.967395076088472</v>
      </c>
      <c r="T11" s="6">
        <f>$J$3+[17]FormattedData!M26*$J$4+$M$4*$J$5+[17]FormattedData!M26^2*$J$6+$M$5*$J$7</f>
        <v>39.213436731647633</v>
      </c>
      <c r="U11" s="6">
        <f>$J$3+[17]FormattedData!N26*$J$4+$M$4*$J$5+[17]FormattedData!N26^2*$J$6+$M$5*$J$7</f>
        <v>33.351184353916729</v>
      </c>
      <c r="V11" s="6">
        <f>$J$3+[17]FormattedData!O26*$J$4+$M$4*$J$5+[17]FormattedData!O26^2*$J$6+$M$5*$J$7</f>
        <v>32.486707436699703</v>
      </c>
      <c r="W11" s="5">
        <f t="shared" si="0"/>
        <v>35.417907595506527</v>
      </c>
      <c r="X11" s="4">
        <f t="shared" si="1"/>
        <v>1.1114445275818146</v>
      </c>
      <c r="Y11" s="3">
        <f t="shared" si="2"/>
        <v>30.261933826297508</v>
      </c>
      <c r="Z11" s="2">
        <f t="shared" si="3"/>
        <v>32.847223166241278</v>
      </c>
      <c r="AA11" s="3">
        <f t="shared" si="4"/>
        <v>34.590785498686145</v>
      </c>
      <c r="AB11" s="2">
        <f t="shared" si="5"/>
        <v>38.160896327178136</v>
      </c>
      <c r="AC11" s="2">
        <f t="shared" si="6"/>
        <v>41.899684669302275</v>
      </c>
      <c r="AD11" s="2">
        <f t="shared" si="7"/>
        <v>0.31931415828266041</v>
      </c>
      <c r="AE11" s="2">
        <f t="shared" si="8"/>
        <v>-1.0979046479398979</v>
      </c>
    </row>
    <row r="12" spans="1:35" x14ac:dyDescent="0.2">
      <c r="B12" s="1">
        <f>[17]FormattedData!A24</f>
        <v>103</v>
      </c>
      <c r="C12" s="1" t="str">
        <f>VLOOKUP($B12,[17]TrtCodes!$B$11:I67,2)</f>
        <v>FDH</v>
      </c>
      <c r="D12" s="1">
        <f>VLOOKUP($B12,[17]TrtCodes!$B$11:J67,3)</f>
        <v>5</v>
      </c>
      <c r="E12" s="1">
        <f>VLOOKUP($B12,[17]TrtCodes!$B$11:K67,4)</f>
        <v>1</v>
      </c>
      <c r="F12" s="1">
        <f>VLOOKUP($B12,[17]TrtCodes!$B$11:L67,5)</f>
        <v>3</v>
      </c>
      <c r="G12" s="1">
        <f>VLOOKUP($B12,[17]TrtCodes!$B$11:M67,6)</f>
        <v>2</v>
      </c>
      <c r="H12" s="1">
        <f>VLOOKUP($B12,[17]TrtCodes!$B$11:N67,7)</f>
        <v>1</v>
      </c>
      <c r="I12" s="1">
        <f>[17]FormattedData!B24</f>
        <v>1</v>
      </c>
      <c r="J12" s="4">
        <f>[17]FormattedData!C24</f>
        <v>13.218</v>
      </c>
      <c r="K12" s="6">
        <f>$J$3+[17]FormattedData!D24*$J$4+$M$4*$J$5+[17]FormattedData!D24^2*$J$6+$M$5*$J$7</f>
        <v>37.4342067329911</v>
      </c>
      <c r="L12" s="6">
        <f>$J$3+[17]FormattedData!E24*$J$4+$M$4*$J$5+[17]FormattedData!E24^2*$J$6+$M$5*$J$7</f>
        <v>30.84446524618474</v>
      </c>
      <c r="M12" s="6">
        <f>$J$3+[17]FormattedData!F24*$J$4+$M$4*$J$5+[17]FormattedData!F24^2*$J$6+$M$5*$J$7</f>
        <v>35.9240725961333</v>
      </c>
      <c r="N12" s="6">
        <f>$J$3+[17]FormattedData!G24*$J$4+$M$4*$J$5+[17]FormattedData!G24^2*$J$6+$M$5*$J$7</f>
        <v>32.101396491505916</v>
      </c>
      <c r="O12" s="6">
        <f>$J$3+[17]FormattedData!H24*$J$4+$M$4*$J$5+[17]FormattedData!H24^2*$J$6+$M$5*$J$7</f>
        <v>32.004963083862648</v>
      </c>
      <c r="P12" s="6">
        <f>$J$3+[17]FormattedData!I24*$J$4+$M$4*$J$5+[17]FormattedData!I24^2*$J$6+$M$5*$J$7</f>
        <v>32.390443103208149</v>
      </c>
      <c r="Q12" s="6">
        <f>$J$3+[17]FormattedData!J24*$J$4+$M$4*$J$5+[17]FormattedData!J24^2*$J$6+$M$5*$J$7</f>
        <v>31.908487407681442</v>
      </c>
      <c r="R12" s="6">
        <f>$J$3+[17]FormattedData!K24*$J$4+$M$4*$J$5+[17]FormattedData!K24^2*$J$6+$M$5*$J$7</f>
        <v>33.063405798352434</v>
      </c>
      <c r="S12" s="6">
        <f>$J$3+[17]FormattedData!L24*$J$4+$M$4*$J$5+[17]FormattedData!L24^2*$J$6+$M$5*$J$7</f>
        <v>32.679109298069001</v>
      </c>
      <c r="T12" s="6">
        <f>$J$3+[17]FormattedData!M24*$J$4+$M$4*$J$5+[17]FormattedData!M24^2*$J$6+$M$5*$J$7</f>
        <v>38.746697709776136</v>
      </c>
      <c r="U12" s="6">
        <f>$J$3+[17]FormattedData!N24*$J$4+$M$4*$J$5+[17]FormattedData!N24^2*$J$6+$M$5*$J$7</f>
        <v>32.486707436699703</v>
      </c>
      <c r="V12" s="6">
        <f>$J$3+[17]FormattedData!O24*$J$4+$M$4*$J$5+[17]FormattedData!O24^2*$J$6+$M$5*$J$7</f>
        <v>31.425474998706456</v>
      </c>
      <c r="W12" s="5">
        <f t="shared" si="0"/>
        <v>33.417452491930923</v>
      </c>
      <c r="X12" s="4">
        <f t="shared" si="1"/>
        <v>0.72823047777950667</v>
      </c>
      <c r="Y12" s="3">
        <f t="shared" si="2"/>
        <v>30.84446524618474</v>
      </c>
      <c r="Z12" s="2">
        <f t="shared" si="3"/>
        <v>31.980844164817348</v>
      </c>
      <c r="AA12" s="3">
        <f t="shared" si="4"/>
        <v>32.43857526995393</v>
      </c>
      <c r="AB12" s="2">
        <f t="shared" si="5"/>
        <v>33.778572497797654</v>
      </c>
      <c r="AC12" s="2">
        <f t="shared" si="6"/>
        <v>38.746697709776136</v>
      </c>
      <c r="AD12" s="2">
        <f t="shared" si="7"/>
        <v>1.3325927191335174</v>
      </c>
      <c r="AE12" s="2">
        <f t="shared" si="8"/>
        <v>0.55917375673215641</v>
      </c>
    </row>
    <row r="13" spans="1:35" x14ac:dyDescent="0.2">
      <c r="B13" s="1">
        <f>[17]FormattedData!A22</f>
        <v>104</v>
      </c>
      <c r="C13" s="1" t="str">
        <f>VLOOKUP($B13,[17]TrtCodes!$B$11:I65,2)</f>
        <v>NTL</v>
      </c>
      <c r="D13" s="1">
        <f>VLOOKUP($B13,[17]TrtCodes!$B$11:J65,3)</f>
        <v>10</v>
      </c>
      <c r="E13" s="1">
        <f>VLOOKUP($B13,[17]TrtCodes!$B$11:K65,4)</f>
        <v>2</v>
      </c>
      <c r="F13" s="1">
        <f>VLOOKUP($B13,[17]TrtCodes!$B$11:L65,5)</f>
        <v>2</v>
      </c>
      <c r="G13" s="1">
        <f>VLOOKUP($B13,[17]TrtCodes!$B$11:M65,6)</f>
        <v>1</v>
      </c>
      <c r="H13" s="1">
        <f>VLOOKUP($B13,[17]TrtCodes!$B$11:N65,7)</f>
        <v>1</v>
      </c>
      <c r="I13" s="1">
        <f>[17]FormattedData!B22</f>
        <v>1</v>
      </c>
      <c r="J13" s="4">
        <f>[17]FormattedData!C22</f>
        <v>13.2</v>
      </c>
      <c r="K13" s="6">
        <f>$J$3+[17]FormattedData!D22*$J$4+$M$4*$J$5+[17]FormattedData!D22^2*$J$6+$M$5*$J$7</f>
        <v>36.208046983283793</v>
      </c>
      <c r="L13" s="6">
        <f>$J$3+[17]FormattedData!E22*$J$4+$M$4*$J$5+[17]FormattedData!E22^2*$J$6+$M$5*$J$7</f>
        <v>37.810049525688306</v>
      </c>
      <c r="M13" s="6">
        <f>$J$3+[17]FormattedData!F22*$J$4+$M$4*$J$5+[17]FormattedData!F22^2*$J$6+$M$5*$J$7</f>
        <v>30.553389744661814</v>
      </c>
      <c r="N13" s="6">
        <f>$J$3+[17]FormattedData!G22*$J$4+$M$4*$J$5+[17]FormattedData!G22^2*$J$6+$M$5*$J$7</f>
        <v>30.84446524618474</v>
      </c>
      <c r="O13" s="6">
        <f>$J$3+[17]FormattedData!H22*$J$4+$M$4*$J$5+[17]FormattedData!H22^2*$J$6+$M$5*$J$7</f>
        <v>28.896776251250269</v>
      </c>
      <c r="P13" s="6">
        <f>$J$3+[17]FormattedData!I22*$J$4+$M$4*$J$5+[17]FormattedData!I22^2*$J$6+$M$5*$J$7</f>
        <v>36.208046983283793</v>
      </c>
      <c r="Q13" s="6">
        <f>$J$3+[17]FormattedData!J22*$J$4+$M$4*$J$5+[17]FormattedData!J22^2*$J$6+$M$5*$J$7</f>
        <v>29.482858228323717</v>
      </c>
      <c r="R13" s="6">
        <f>$J$3+[17]FormattedData!K22*$J$4+$M$4*$J$5+[17]FormattedData!K22^2*$J$6+$M$5*$J$7</f>
        <v>37.716152230320894</v>
      </c>
      <c r="S13" s="6">
        <f>$J$3+[17]FormattedData!L22*$J$4+$M$4*$J$5+[17]FormattedData!L22^2*$J$6+$M$5*$J$7</f>
        <v>29.482858228323717</v>
      </c>
      <c r="T13" s="6">
        <f>$J$3+[17]FormattedData!M22*$J$4+$M$4*$J$5+[17]FormattedData!M22^2*$J$6+$M$5*$J$7</f>
        <v>36.208046983283793</v>
      </c>
      <c r="U13" s="6">
        <f>$J$3+[17]FormattedData!N22*$J$4+$M$4*$J$5+[17]FormattedData!N22^2*$J$6+$M$5*$J$7</f>
        <v>29.87273417561406</v>
      </c>
      <c r="V13" s="6">
        <f>$J$3+[17]FormattedData!O22*$J$4+$M$4*$J$5+[17]FormattedData!O22^2*$J$6+$M$5*$J$7</f>
        <v>39.679119040070852</v>
      </c>
      <c r="W13" s="5">
        <f t="shared" si="0"/>
        <v>33.580211968357482</v>
      </c>
      <c r="X13" s="4">
        <f t="shared" si="1"/>
        <v>1.1638926510623013</v>
      </c>
      <c r="Y13" s="3">
        <f t="shared" si="2"/>
        <v>28.896776251250269</v>
      </c>
      <c r="Z13" s="2">
        <f t="shared" si="3"/>
        <v>29.775265188791472</v>
      </c>
      <c r="AA13" s="3">
        <f t="shared" si="4"/>
        <v>33.526256114734267</v>
      </c>
      <c r="AB13" s="2">
        <f t="shared" si="5"/>
        <v>36.585073295043067</v>
      </c>
      <c r="AC13" s="2">
        <f t="shared" si="6"/>
        <v>39.679119040070852</v>
      </c>
      <c r="AD13" s="2">
        <f t="shared" si="7"/>
        <v>0.14689898925672229</v>
      </c>
      <c r="AE13" s="2">
        <f t="shared" si="8"/>
        <v>-1.9384341455547003</v>
      </c>
    </row>
    <row r="14" spans="1:35" x14ac:dyDescent="0.2">
      <c r="B14" s="1">
        <f>[17]FormattedData!A20</f>
        <v>105</v>
      </c>
      <c r="C14" s="1" t="str">
        <f>VLOOKUP($B14,[17]TrtCodes!$B$11:I63,2)</f>
        <v>NDL</v>
      </c>
      <c r="D14" s="1">
        <f>VLOOKUP($B14,[17]TrtCodes!$B$11:J63,3)</f>
        <v>12</v>
      </c>
      <c r="E14" s="1">
        <f>VLOOKUP($B14,[17]TrtCodes!$B$11:K63,4)</f>
        <v>2</v>
      </c>
      <c r="F14" s="1">
        <f>VLOOKUP($B14,[17]TrtCodes!$B$11:L63,5)</f>
        <v>3</v>
      </c>
      <c r="G14" s="1">
        <f>VLOOKUP($B14,[17]TrtCodes!$B$11:M63,6)</f>
        <v>1</v>
      </c>
      <c r="H14" s="1">
        <f>VLOOKUP($B14,[17]TrtCodes!$B$11:N63,7)</f>
        <v>2</v>
      </c>
      <c r="I14" s="1">
        <f>[17]FormattedData!B20</f>
        <v>1</v>
      </c>
      <c r="J14" s="4">
        <f>[17]FormattedData!C20</f>
        <v>13.180999999999999</v>
      </c>
      <c r="K14" s="6">
        <f>$J$3+[17]FormattedData!D20*$J$4+$M$4*$J$5+[17]FormattedData!D20^2*$J$6+$M$5*$J$7</f>
        <v>33.063405798352434</v>
      </c>
      <c r="L14" s="6">
        <f>$J$3+[17]FormattedData!E20*$J$4+$M$4*$J$5+[17]FormattedData!E20^2*$J$6+$M$5*$J$7</f>
        <v>29.677880739044749</v>
      </c>
      <c r="M14" s="6">
        <f>$J$3+[17]FormattedData!F20*$J$4+$M$4*$J$5+[17]FormattedData!F20^2*$J$6+$M$5*$J$7</f>
        <v>29.677880739044749</v>
      </c>
      <c r="N14" s="6">
        <f>$J$3+[17]FormattedData!G20*$J$4+$M$4*$J$5+[17]FormattedData!G20^2*$J$6+$M$5*$J$7</f>
        <v>32.197787630611259</v>
      </c>
      <c r="O14" s="6">
        <f>$J$3+[17]FormattedData!H20*$J$4+$M$4*$J$5+[17]FormattedData!H20^2*$J$6+$M$5*$J$7</f>
        <v>33.255300437266563</v>
      </c>
      <c r="P14" s="6">
        <f>$J$3+[17]FormattedData!I20*$J$4+$M$4*$J$5+[17]FormattedData!I20^2*$J$6+$M$5*$J$7</f>
        <v>33.44702600202897</v>
      </c>
      <c r="Q14" s="6">
        <f>$J$3+[17]FormattedData!J20*$J$4+$M$4*$J$5+[17]FormattedData!J20^2*$J$6+$M$5*$J$7</f>
        <v>30.941405876283188</v>
      </c>
      <c r="R14" s="6">
        <f>$J$3+[17]FormattedData!K20*$J$4+$M$4*$J$5+[17]FormattedData!K20^2*$J$6+$M$5*$J$7</f>
        <v>30.261933826297508</v>
      </c>
      <c r="S14" s="6">
        <f>$J$3+[17]FormattedData!L20*$J$4+$M$4*$J$5+[17]FormattedData!L20^2*$J$6+$M$5*$J$7</f>
        <v>30.164697316433539</v>
      </c>
      <c r="T14" s="6">
        <f>$J$3+[17]FormattedData!M20*$J$4+$M$4*$J$5+[17]FormattedData!M20^2*$J$6+$M$5*$J$7</f>
        <v>32.390443103208149</v>
      </c>
      <c r="U14" s="6">
        <f>$J$3+[17]FormattedData!N20*$J$4+$M$4*$J$5+[17]FormattedData!N20^2*$J$6+$M$5*$J$7</f>
        <v>33.925600214521189</v>
      </c>
      <c r="V14" s="6">
        <f>$J$3+[17]FormattedData!O20*$J$4+$M$4*$J$5+[17]FormattedData!O20^2*$J$6+$M$5*$J$7</f>
        <v>30.553389744661814</v>
      </c>
      <c r="W14" s="5">
        <f t="shared" si="0"/>
        <v>31.629729285646174</v>
      </c>
      <c r="X14" s="4">
        <f t="shared" si="1"/>
        <v>0.45595205834790203</v>
      </c>
      <c r="Y14" s="3">
        <f t="shared" si="2"/>
        <v>29.677880739044749</v>
      </c>
      <c r="Z14" s="2">
        <f t="shared" si="3"/>
        <v>30.237624698831517</v>
      </c>
      <c r="AA14" s="3">
        <f t="shared" si="4"/>
        <v>31.569596753447222</v>
      </c>
      <c r="AB14" s="2">
        <f t="shared" si="5"/>
        <v>33.111379458080968</v>
      </c>
      <c r="AC14" s="2">
        <f t="shared" si="6"/>
        <v>33.925600214521189</v>
      </c>
      <c r="AD14" s="2">
        <f t="shared" si="7"/>
        <v>0.10578239305286612</v>
      </c>
      <c r="AE14" s="2">
        <f t="shared" si="8"/>
        <v>-1.7789513750002568</v>
      </c>
    </row>
    <row r="15" spans="1:35" x14ac:dyDescent="0.2">
      <c r="B15" s="1">
        <f>[17]FormattedData!A18</f>
        <v>106</v>
      </c>
      <c r="C15" s="1" t="str">
        <f>VLOOKUP($B15,[17]TrtCodes!$B$11:I61,2)</f>
        <v>NTH</v>
      </c>
      <c r="D15" s="1">
        <f>VLOOKUP($B15,[17]TrtCodes!$B$11:J61,3)</f>
        <v>9</v>
      </c>
      <c r="E15" s="1">
        <f>VLOOKUP($B15,[17]TrtCodes!$B$11:K61,4)</f>
        <v>2</v>
      </c>
      <c r="F15" s="1">
        <f>VLOOKUP($B15,[17]TrtCodes!$B$11:L61,5)</f>
        <v>2</v>
      </c>
      <c r="G15" s="1">
        <f>VLOOKUP($B15,[17]TrtCodes!$B$11:M61,6)</f>
        <v>2</v>
      </c>
      <c r="H15" s="1">
        <f>VLOOKUP($B15,[17]TrtCodes!$B$11:N61,7)</f>
        <v>2</v>
      </c>
      <c r="I15" s="1">
        <f>[17]FormattedData!B18</f>
        <v>1</v>
      </c>
      <c r="J15" s="4">
        <f>[17]FormattedData!C18</f>
        <v>13.163</v>
      </c>
      <c r="K15" s="6">
        <f>$J$3+[17]FormattedData!D18*$J$4+$M$4*$J$5+[17]FormattedData!D18^2*$J$6+$M$5*$J$7</f>
        <v>37.246031725414909</v>
      </c>
      <c r="L15" s="6">
        <f>$J$3+[17]FormattedData!E18*$J$4+$M$4*$J$5+[17]FormattedData!E18^2*$J$6+$M$5*$J$7</f>
        <v>32.197787630611259</v>
      </c>
      <c r="M15" s="6">
        <f>$J$3+[17]FormattedData!F18*$J$4+$M$4*$J$5+[17]FormattedData!F18^2*$J$6+$M$5*$J$7</f>
        <v>30.941405876283188</v>
      </c>
      <c r="N15" s="6">
        <f>$J$3+[17]FormattedData!G18*$J$4+$M$4*$J$5+[17]FormattedData!G18^2*$J$6+$M$5*$J$7</f>
        <v>34.78437087911751</v>
      </c>
      <c r="O15" s="6">
        <f>$J$3+[17]FormattedData!H18*$J$4+$M$4*$J$5+[17]FormattedData!H18^2*$J$6+$M$5*$J$7</f>
        <v>33.542825381603272</v>
      </c>
      <c r="P15" s="6">
        <f>$J$3+[17]FormattedData!I18*$J$4+$M$4*$J$5+[17]FormattedData!I18^2*$J$6+$M$5*$J$7</f>
        <v>34.78437087911751</v>
      </c>
      <c r="Q15" s="6">
        <f>$J$3+[17]FormattedData!J18*$J$4+$M$4*$J$5+[17]FormattedData!J18^2*$J$6+$M$5*$J$7</f>
        <v>29.677880739044749</v>
      </c>
      <c r="R15" s="6">
        <f>$J$3+[17]FormattedData!K18*$J$4+$M$4*$J$5+[17]FormattedData!K18^2*$J$6+$M$5*$J$7</f>
        <v>36.302620575258096</v>
      </c>
      <c r="S15" s="6">
        <f>$J$3+[17]FormattedData!L18*$J$4+$M$4*$J$5+[17]FormattedData!L18^2*$J$6+$M$5*$J$7</f>
        <v>30.261933826297508</v>
      </c>
      <c r="T15" s="6">
        <f>$J$3+[17]FormattedData!M18*$J$4+$M$4*$J$5+[17]FormattedData!M18^2*$J$6+$M$5*$J$7</f>
        <v>35.639717792141418</v>
      </c>
      <c r="U15" s="6">
        <f>$J$3+[17]FormattedData!N18*$J$4+$M$4*$J$5+[17]FormattedData!N18^2*$J$6+$M$5*$J$7</f>
        <v>30.164697316433539</v>
      </c>
      <c r="V15" s="6">
        <f>$J$3+[17]FormattedData!O18*$J$4+$M$4*$J$5+[17]FormattedData!O18^2*$J$6+$M$5*$J$7</f>
        <v>38.372545658596174</v>
      </c>
      <c r="W15" s="5">
        <f t="shared" si="0"/>
        <v>33.659682356659928</v>
      </c>
      <c r="X15" s="4">
        <f t="shared" si="1"/>
        <v>0.86015622255828883</v>
      </c>
      <c r="Y15" s="3">
        <f t="shared" si="2"/>
        <v>29.677880739044749</v>
      </c>
      <c r="Z15" s="2">
        <f t="shared" si="3"/>
        <v>30.771537863786769</v>
      </c>
      <c r="AA15" s="3">
        <f t="shared" si="4"/>
        <v>34.163598130360391</v>
      </c>
      <c r="AB15" s="2">
        <f t="shared" si="5"/>
        <v>35.805443487920584</v>
      </c>
      <c r="AC15" s="2">
        <f t="shared" si="6"/>
        <v>38.372545658596174</v>
      </c>
      <c r="AD15" s="2">
        <f t="shared" si="7"/>
        <v>4.7899581582246185E-2</v>
      </c>
      <c r="AE15" s="2">
        <f t="shared" si="8"/>
        <v>-1.3963321054697233</v>
      </c>
    </row>
    <row r="16" spans="1:35" x14ac:dyDescent="0.2">
      <c r="B16" s="1">
        <f>[17]FormattedData!A16</f>
        <v>107</v>
      </c>
      <c r="C16" s="1" t="str">
        <f>VLOOKUP($B16,[17]TrtCodes!$B$11:I59,2)</f>
        <v>NTL</v>
      </c>
      <c r="D16" s="1">
        <f>VLOOKUP($B16,[17]TrtCodes!$B$11:J59,3)</f>
        <v>10</v>
      </c>
      <c r="E16" s="1">
        <f>VLOOKUP($B16,[17]TrtCodes!$B$11:K59,4)</f>
        <v>2</v>
      </c>
      <c r="F16" s="1">
        <f>VLOOKUP($B16,[17]TrtCodes!$B$11:L59,5)</f>
        <v>2</v>
      </c>
      <c r="G16" s="1">
        <f>VLOOKUP($B16,[17]TrtCodes!$B$11:M59,6)</f>
        <v>1</v>
      </c>
      <c r="H16" s="1">
        <f>VLOOKUP($B16,[17]TrtCodes!$B$11:N59,7)</f>
        <v>2</v>
      </c>
      <c r="I16" s="1">
        <f>[17]FormattedData!B16</f>
        <v>1</v>
      </c>
      <c r="J16" s="4">
        <f>[17]FormattedData!C16</f>
        <v>13.145</v>
      </c>
      <c r="K16" s="6">
        <f>$J$3+[17]FormattedData!D16*$J$4+$M$4*$J$5+[17]FormattedData!D16^2*$J$6+$M$5*$J$7</f>
        <v>38.840130051226296</v>
      </c>
      <c r="L16" s="6">
        <f>$J$3+[17]FormattedData!E16*$J$4+$M$4*$J$5+[17]FormattedData!E16^2*$J$6+$M$5*$J$7</f>
        <v>36.491640953592899</v>
      </c>
      <c r="M16" s="6">
        <f>$J$3+[17]FormattedData!F16*$J$4+$M$4*$J$5+[17]FormattedData!F16^2*$J$6+$M$5*$J$7</f>
        <v>31.811969462962303</v>
      </c>
      <c r="N16" s="6">
        <f>$J$3+[17]FormattedData!G16*$J$4+$M$4*$J$5+[17]FormattedData!G16^2*$J$6+$M$5*$J$7</f>
        <v>36.963452200016143</v>
      </c>
      <c r="O16" s="6">
        <f>$J$3+[17]FormattedData!H16*$J$4+$M$4*$J$5+[17]FormattedData!H16^2*$J$6+$M$5*$J$7</f>
        <v>30.747482347548363</v>
      </c>
      <c r="P16" s="6">
        <f>$J$3+[17]FormattedData!I16*$J$4+$M$4*$J$5+[17]FormattedData!I16^2*$J$6+$M$5*$J$7</f>
        <v>37.528230833972295</v>
      </c>
      <c r="Q16" s="6">
        <f>$J$3+[17]FormattedData!J16*$J$4+$M$4*$J$5+[17]FormattedData!J16^2*$J$6+$M$5*$J$7</f>
        <v>32.390443103208149</v>
      </c>
      <c r="R16" s="6">
        <f>$J$3+[17]FormattedData!K16*$J$4+$M$4*$J$5+[17]FormattedData!K16^2*$J$6+$M$5*$J$7</f>
        <v>40.792445189417606</v>
      </c>
      <c r="S16" s="6">
        <f>$J$3+[17]FormattedData!L16*$J$4+$M$4*$J$5+[17]FormattedData!L16^2*$J$6+$M$5*$J$7</f>
        <v>30.84446524618474</v>
      </c>
      <c r="T16" s="6">
        <f>$J$3+[17]FormattedData!M16*$J$4+$M$4*$J$5+[17]FormattedData!M16^2*$J$6+$M$5*$J$7</f>
        <v>37.810049525688306</v>
      </c>
      <c r="U16" s="6">
        <f>$J$3+[17]FormattedData!N16*$J$4+$M$4*$J$5+[17]FormattedData!N16^2*$J$6+$M$5*$J$7</f>
        <v>30.359128067623537</v>
      </c>
      <c r="V16" s="6">
        <f>$J$3+[17]FormattedData!O16*$J$4+$M$4*$J$5+[17]FormattedData!O16^2*$J$6+$M$5*$J$7</f>
        <v>38.653223099788043</v>
      </c>
      <c r="W16" s="5">
        <f t="shared" si="0"/>
        <v>35.269388340102388</v>
      </c>
      <c r="X16" s="4">
        <f t="shared" si="1"/>
        <v>1.0836459173710022</v>
      </c>
      <c r="Y16" s="3">
        <f t="shared" si="2"/>
        <v>30.359128067623537</v>
      </c>
      <c r="Z16" s="2">
        <f t="shared" si="3"/>
        <v>31.57009340876791</v>
      </c>
      <c r="AA16" s="3">
        <f t="shared" si="4"/>
        <v>36.727546576804521</v>
      </c>
      <c r="AB16" s="2">
        <f t="shared" si="5"/>
        <v>38.020842919213237</v>
      </c>
      <c r="AC16" s="2">
        <f t="shared" si="6"/>
        <v>40.792445189417606</v>
      </c>
      <c r="AD16" s="2">
        <f t="shared" si="7"/>
        <v>-0.15533237261160421</v>
      </c>
      <c r="AE16" s="2">
        <f t="shared" si="8"/>
        <v>-1.734607858943034</v>
      </c>
    </row>
    <row r="17" spans="2:31" x14ac:dyDescent="0.2">
      <c r="B17" s="1">
        <f>[17]FormattedData!A14</f>
        <v>108</v>
      </c>
      <c r="C17" s="1" t="str">
        <f>VLOOKUP($B17,[17]TrtCodes!$B$11:I57,2)</f>
        <v>FTH</v>
      </c>
      <c r="D17" s="1">
        <f>VLOOKUP($B17,[17]TrtCodes!$B$11:J57,3)</f>
        <v>3</v>
      </c>
      <c r="E17" s="1">
        <f>VLOOKUP($B17,[17]TrtCodes!$B$11:K57,4)</f>
        <v>1</v>
      </c>
      <c r="F17" s="1">
        <f>VLOOKUP($B17,[17]TrtCodes!$B$11:L57,5)</f>
        <v>2</v>
      </c>
      <c r="G17" s="1">
        <f>VLOOKUP($B17,[17]TrtCodes!$B$11:M57,6)</f>
        <v>2</v>
      </c>
      <c r="H17" s="1">
        <f>VLOOKUP($B17,[17]TrtCodes!$B$11:N57,7)</f>
        <v>2</v>
      </c>
      <c r="I17" s="1">
        <f>[17]FormattedData!B14</f>
        <v>1</v>
      </c>
      <c r="J17" s="4">
        <f>[17]FormattedData!C14</f>
        <v>13.128</v>
      </c>
      <c r="K17" s="6">
        <f>$J$3+[17]FormattedData!D14*$J$4+$M$4*$J$5+[17]FormattedData!D14^2*$J$6+$M$5*$J$7</f>
        <v>38.840130051226296</v>
      </c>
      <c r="L17" s="6">
        <f>$J$3+[17]FormattedData!E14*$J$4+$M$4*$J$5+[17]FormattedData!E14^2*$J$6+$M$5*$J$7</f>
        <v>31.23197415535094</v>
      </c>
      <c r="M17" s="6">
        <f>$J$3+[17]FormattedData!F14*$J$4+$M$4*$J$5+[17]FormattedData!F14^2*$J$6+$M$5*$J$7</f>
        <v>32.871342085286578</v>
      </c>
      <c r="N17" s="6">
        <f>$J$3+[17]FormattedData!G14*$J$4+$M$4*$J$5+[17]FormattedData!G14^2*$J$6+$M$5*$J$7</f>
        <v>30.553389744661814</v>
      </c>
      <c r="O17" s="6">
        <f>$J$3+[17]FormattedData!H14*$J$4+$M$4*$J$5+[17]FormattedData!H14^2*$J$6+$M$5*$J$7</f>
        <v>34.403117713565123</v>
      </c>
      <c r="P17" s="6">
        <f>$J$3+[17]FormattedData!I14*$J$4+$M$4*$J$5+[17]FormattedData!I14^2*$J$6+$M$5*$J$7</f>
        <v>34.97474385066613</v>
      </c>
      <c r="Q17" s="6">
        <f>$J$3+[17]FormattedData!J14*$J$4+$M$4*$J$5+[17]FormattedData!J14^2*$J$6+$M$5*$J$7</f>
        <v>35.639717792141418</v>
      </c>
      <c r="R17" s="6">
        <f>$J$3+[17]FormattedData!K14*$J$4+$M$4*$J$5+[17]FormattedData!K14^2*$J$6+$M$5*$J$7</f>
        <v>32.390443103208149</v>
      </c>
      <c r="S17" s="6">
        <f>$J$3+[17]FormattedData!L14*$J$4+$M$4*$J$5+[17]FormattedData!L14^2*$J$6+$M$5*$J$7</f>
        <v>30.650457180374051</v>
      </c>
      <c r="T17" s="6">
        <f>$J$3+[17]FormattedData!M14*$J$4+$M$4*$J$5+[17]FormattedData!M14^2*$J$6+$M$5*$J$7</f>
        <v>31.328745711297657</v>
      </c>
      <c r="U17" s="6">
        <f>$J$3+[17]FormattedData!N14*$J$4+$M$4*$J$5+[17]FormattedData!N14^2*$J$6+$M$5*$J$7</f>
        <v>32.679109298069001</v>
      </c>
      <c r="V17" s="6">
        <f>$J$3+[17]FormattedData!O14*$J$4+$M$4*$J$5+[17]FormattedData!O14^2*$J$6+$M$5*$J$7</f>
        <v>30.650457180374051</v>
      </c>
      <c r="W17" s="5">
        <f t="shared" si="0"/>
        <v>33.017802322185105</v>
      </c>
      <c r="X17" s="4">
        <f t="shared" si="1"/>
        <v>0.73017470315104993</v>
      </c>
      <c r="Y17" s="3">
        <f t="shared" si="2"/>
        <v>30.553389744661814</v>
      </c>
      <c r="Z17" s="2">
        <f t="shared" si="3"/>
        <v>31.086594911606717</v>
      </c>
      <c r="AA17" s="3">
        <f t="shared" si="4"/>
        <v>32.534776200638575</v>
      </c>
      <c r="AB17" s="2">
        <f t="shared" si="5"/>
        <v>34.546024247840379</v>
      </c>
      <c r="AC17" s="2">
        <f t="shared" si="6"/>
        <v>38.840130051226296</v>
      </c>
      <c r="AD17" s="2">
        <f t="shared" si="7"/>
        <v>1.1678849979834656</v>
      </c>
      <c r="AE17" s="2">
        <f t="shared" si="8"/>
        <v>1.098093041902052</v>
      </c>
    </row>
    <row r="18" spans="2:31" x14ac:dyDescent="0.2">
      <c r="B18" s="1">
        <f>[17]FormattedData!A30</f>
        <v>201</v>
      </c>
      <c r="C18" s="1" t="str">
        <f>VLOOKUP($B18,[17]TrtCodes!$B$11:I73,2)</f>
        <v>NDL</v>
      </c>
      <c r="D18" s="1">
        <f>VLOOKUP($B18,[17]TrtCodes!$B$11:J73,3)</f>
        <v>12</v>
      </c>
      <c r="E18" s="1">
        <f>VLOOKUP($B18,[17]TrtCodes!$B$11:K73,4)</f>
        <v>2</v>
      </c>
      <c r="F18" s="1">
        <f>VLOOKUP($B18,[17]TrtCodes!$B$11:L73,5)</f>
        <v>3</v>
      </c>
      <c r="G18" s="1">
        <f>VLOOKUP($B18,[17]TrtCodes!$B$11:M73,6)</f>
        <v>1</v>
      </c>
      <c r="H18" s="1">
        <f>VLOOKUP($B18,[17]TrtCodes!$B$11:N73,7)</f>
        <v>1</v>
      </c>
      <c r="I18" s="1">
        <f>[17]FormattedData!B30</f>
        <v>1</v>
      </c>
      <c r="J18" s="4">
        <f>[17]FormattedData!C30</f>
        <v>13.273999999999999</v>
      </c>
      <c r="K18" s="6">
        <f>$J$3+[17]FormattedData!D30*$J$4+$M$4*$J$5+[17]FormattedData!D30^2*$J$6+$M$5*$J$7</f>
        <v>32.197787630611259</v>
      </c>
      <c r="L18" s="6">
        <f>$J$3+[17]FormattedData!E30*$J$4+$M$4*$J$5+[17]FormattedData!E30^2*$J$6+$M$5*$J$7</f>
        <v>31.811969462962303</v>
      </c>
      <c r="M18" s="6">
        <f>$J$3+[17]FormattedData!F30*$J$4+$M$4*$J$5+[17]FormattedData!F30^2*$J$6+$M$5*$J$7</f>
        <v>31.522162017577312</v>
      </c>
      <c r="N18" s="6">
        <f>$J$3+[17]FormattedData!G30*$J$4+$M$4*$J$5+[17]FormattedData!G30^2*$J$6+$M$5*$J$7</f>
        <v>32.294136501178663</v>
      </c>
      <c r="O18" s="6">
        <f>$J$3+[17]FormattedData!H30*$J$4+$M$4*$J$5+[17]FormattedData!H30^2*$J$6+$M$5*$J$7</f>
        <v>31.425474998706456</v>
      </c>
      <c r="P18" s="6">
        <f>$J$3+[17]FormattedData!I30*$J$4+$M$4*$J$5+[17]FormattedData!I30^2*$J$6+$M$5*$J$7</f>
        <v>31.715409249705239</v>
      </c>
      <c r="Q18" s="6">
        <f>$J$3+[17]FormattedData!J30*$J$4+$M$4*$J$5+[17]FormattedData!J30^2*$J$6+$M$5*$J$7</f>
        <v>30.261933826297508</v>
      </c>
      <c r="R18" s="6">
        <f>$J$3+[17]FormattedData!K30*$J$4+$M$4*$J$5+[17]FormattedData!K30^2*$J$6+$M$5*$J$7</f>
        <v>35.164947748063007</v>
      </c>
      <c r="S18" s="6">
        <f>$J$3+[17]FormattedData!L30*$J$4+$M$4*$J$5+[17]FormattedData!L30^2*$J$6+$M$5*$J$7</f>
        <v>30.164697316433539</v>
      </c>
      <c r="T18" s="6">
        <f>$J$3+[17]FormattedData!M30*$J$4+$M$4*$J$5+[17]FormattedData!M30^2*$J$6+$M$5*$J$7</f>
        <v>34.78437087911751</v>
      </c>
      <c r="U18" s="6">
        <f>$J$3+[17]FormattedData!N30*$J$4+$M$4*$J$5+[17]FormattedData!N30^2*$J$6+$M$5*$J$7</f>
        <v>29.87273417561406</v>
      </c>
      <c r="V18" s="6">
        <f>$J$3+[17]FormattedData!O30*$J$4+$M$4*$J$5+[17]FormattedData!O30^2*$J$6+$M$5*$J$7</f>
        <v>33.829969909098601</v>
      </c>
      <c r="W18" s="5">
        <f t="shared" si="0"/>
        <v>32.087132809613792</v>
      </c>
      <c r="X18" s="4">
        <f t="shared" si="1"/>
        <v>0.49804284654514058</v>
      </c>
      <c r="Y18" s="3">
        <f t="shared" si="2"/>
        <v>29.87273417561406</v>
      </c>
      <c r="Z18" s="2">
        <f t="shared" si="3"/>
        <v>31.13458970560422</v>
      </c>
      <c r="AA18" s="3">
        <f t="shared" si="4"/>
        <v>31.763689356333771</v>
      </c>
      <c r="AB18" s="2">
        <f t="shared" si="5"/>
        <v>32.678094853158647</v>
      </c>
      <c r="AC18" s="2">
        <f t="shared" si="6"/>
        <v>35.164947748063007</v>
      </c>
      <c r="AD18" s="2">
        <f t="shared" si="7"/>
        <v>0.62660185964035797</v>
      </c>
      <c r="AE18" s="2">
        <f t="shared" si="8"/>
        <v>-0.45828807554450046</v>
      </c>
    </row>
    <row r="19" spans="2:31" x14ac:dyDescent="0.2">
      <c r="B19" s="1">
        <f>[17]FormattedData!A32</f>
        <v>202</v>
      </c>
      <c r="C19" s="1" t="str">
        <f>VLOOKUP($B19,[17]TrtCodes!$B$11:I75,2)</f>
        <v>NTH</v>
      </c>
      <c r="D19" s="1">
        <f>VLOOKUP($B19,[17]TrtCodes!$B$11:J75,3)</f>
        <v>9</v>
      </c>
      <c r="E19" s="1">
        <f>VLOOKUP($B19,[17]TrtCodes!$B$11:K75,4)</f>
        <v>2</v>
      </c>
      <c r="F19" s="1">
        <f>VLOOKUP($B19,[17]TrtCodes!$B$11:L75,5)</f>
        <v>2</v>
      </c>
      <c r="G19" s="1">
        <f>VLOOKUP($B19,[17]TrtCodes!$B$11:M75,6)</f>
        <v>2</v>
      </c>
      <c r="H19" s="1">
        <f>VLOOKUP($B19,[17]TrtCodes!$B$11:N75,7)</f>
        <v>1</v>
      </c>
      <c r="I19" s="1">
        <f>[17]FormattedData!B32</f>
        <v>1</v>
      </c>
      <c r="J19" s="4">
        <f>[17]FormattedData!C32</f>
        <v>13.291</v>
      </c>
      <c r="K19" s="6">
        <f>$J$3+[17]FormattedData!D32*$J$4+$M$4*$J$5+[17]FormattedData!D32^2*$J$6+$M$5*$J$7</f>
        <v>40.792445189417606</v>
      </c>
      <c r="L19" s="6">
        <f>$J$3+[17]FormattedData!E32*$J$4+$M$4*$J$5+[17]FormattedData!E32^2*$J$6+$M$5*$J$7</f>
        <v>33.925600214521189</v>
      </c>
      <c r="M19" s="6">
        <f>$J$3+[17]FormattedData!F32*$J$4+$M$4*$J$5+[17]FormattedData!F32^2*$J$6+$M$5*$J$7</f>
        <v>30.941405876283188</v>
      </c>
      <c r="N19" s="6">
        <f>$J$3+[17]FormattedData!G32*$J$4+$M$4*$J$5+[17]FormattedData!G32^2*$J$6+$M$5*$J$7</f>
        <v>39.49297292231536</v>
      </c>
      <c r="O19" s="6">
        <f>$J$3+[17]FormattedData!H32*$J$4+$M$4*$J$5+[17]FormattedData!H32^2*$J$6+$M$5*$J$7</f>
        <v>34.307698750832195</v>
      </c>
      <c r="P19" s="6">
        <f>$J$3+[17]FormattedData!I32*$J$4+$M$4*$J$5+[17]FormattedData!I32^2*$J$6+$M$5*$J$7</f>
        <v>37.810049525688306</v>
      </c>
      <c r="Q19" s="6">
        <f>$J$3+[17]FormattedData!J32*$J$4+$M$4*$J$5+[17]FormattedData!J32^2*$J$6+$M$5*$J$7</f>
        <v>32.486707436699703</v>
      </c>
      <c r="R19" s="6">
        <f>$J$3+[17]FormattedData!K32*$J$4+$M$4*$J$5+[17]FormattedData!K32^2*$J$6+$M$5*$J$7</f>
        <v>40.884947623033277</v>
      </c>
      <c r="S19" s="6">
        <f>$J$3+[17]FormattedData!L32*$J$4+$M$4*$J$5+[17]FormattedData!L32^2*$J$6+$M$5*$J$7</f>
        <v>32.390443103208149</v>
      </c>
      <c r="T19" s="6">
        <f>$J$3+[17]FormattedData!M32*$J$4+$M$4*$J$5+[17]FormattedData!M32^2*$J$6+$M$5*$J$7</f>
        <v>39.399836460630716</v>
      </c>
      <c r="U19" s="6">
        <f>$J$3+[17]FormattedData!N32*$J$4+$M$4*$J$5+[17]FormattedData!N32^2*$J$6+$M$5*$J$7</f>
        <v>31.618806767910243</v>
      </c>
      <c r="V19" s="6">
        <f>$J$3+[17]FormattedData!O32*$J$4+$M$4*$J$5+[17]FormattedData!O32^2*$J$6+$M$5*$J$7</f>
        <v>33.44702600202897</v>
      </c>
      <c r="W19" s="5">
        <f t="shared" si="0"/>
        <v>35.624828322714073</v>
      </c>
      <c r="X19" s="4">
        <f t="shared" si="1"/>
        <v>1.0871782850460265</v>
      </c>
      <c r="Y19" s="3">
        <f t="shared" si="2"/>
        <v>30.941405876283188</v>
      </c>
      <c r="Z19" s="2">
        <f t="shared" si="3"/>
        <v>32.462641353326816</v>
      </c>
      <c r="AA19" s="3">
        <f t="shared" si="4"/>
        <v>34.116649482676692</v>
      </c>
      <c r="AB19" s="2">
        <f t="shared" si="5"/>
        <v>39.423120576051879</v>
      </c>
      <c r="AC19" s="2">
        <f t="shared" si="6"/>
        <v>40.884947623033277</v>
      </c>
      <c r="AD19" s="2">
        <f t="shared" si="7"/>
        <v>0.3193510409176874</v>
      </c>
      <c r="AE19" s="2">
        <f t="shared" si="8"/>
        <v>-1.7560142931209057</v>
      </c>
    </row>
    <row r="20" spans="2:31" x14ac:dyDescent="0.2">
      <c r="B20" s="1">
        <f>[17]FormattedData!A34</f>
        <v>203</v>
      </c>
      <c r="C20" s="1" t="str">
        <f>VLOOKUP($B20,[17]TrtCodes!$B$11:I77,2)</f>
        <v>FTH</v>
      </c>
      <c r="D20" s="1">
        <f>VLOOKUP($B20,[17]TrtCodes!$B$11:J77,3)</f>
        <v>3</v>
      </c>
      <c r="E20" s="1">
        <f>VLOOKUP($B20,[17]TrtCodes!$B$11:K77,4)</f>
        <v>1</v>
      </c>
      <c r="F20" s="1">
        <f>VLOOKUP($B20,[17]TrtCodes!$B$11:L77,5)</f>
        <v>2</v>
      </c>
      <c r="G20" s="1">
        <f>VLOOKUP($B20,[17]TrtCodes!$B$11:M77,6)</f>
        <v>2</v>
      </c>
      <c r="H20" s="1">
        <f>VLOOKUP($B20,[17]TrtCodes!$B$11:N77,7)</f>
        <v>1</v>
      </c>
      <c r="I20" s="1">
        <f>[17]FormattedData!B34</f>
        <v>1</v>
      </c>
      <c r="J20" s="4">
        <f>[17]FormattedData!C34</f>
        <v>13.308</v>
      </c>
      <c r="K20" s="6">
        <f>$J$3+[17]FormattedData!D34*$J$4+$M$4*$J$5+[17]FormattedData!D34^2*$J$6+$M$5*$J$7</f>
        <v>32.967395076088472</v>
      </c>
      <c r="L20" s="6">
        <f>$J$3+[17]FormattedData!E34*$J$4+$M$4*$J$5+[17]FormattedData!E34^2*$J$6+$M$5*$J$7</f>
        <v>36.586087739953413</v>
      </c>
      <c r="M20" s="6">
        <f>$J$3+[17]FormattedData!F34*$J$4+$M$4*$J$5+[17]FormattedData!F34^2*$J$6+$M$5*$J$7</f>
        <v>31.715409249705239</v>
      </c>
      <c r="N20" s="6">
        <f>$J$3+[17]FormattedData!G34*$J$4+$M$4*$J$5+[17]FormattedData!G34^2*$J$6+$M$5*$J$7</f>
        <v>39.306657730408141</v>
      </c>
      <c r="O20" s="6">
        <f>$J$3+[17]FormattedData!H34*$J$4+$M$4*$J$5+[17]FormattedData!H34^2*$J$6+$M$5*$J$7</f>
        <v>31.908487407681442</v>
      </c>
      <c r="P20" s="6">
        <f>$J$3+[17]FormattedData!I34*$J$4+$M$4*$J$5+[17]FormattedData!I34^2*$J$6+$M$5*$J$7</f>
        <v>37.4342067329911</v>
      </c>
      <c r="Q20" s="6">
        <f>$J$3+[17]FormattedData!J34*$J$4+$M$4*$J$5+[17]FormattedData!J34^2*$J$6+$M$5*$J$7</f>
        <v>33.159374252078464</v>
      </c>
      <c r="R20" s="6">
        <f>$J$3+[17]FormattedData!K34*$J$4+$M$4*$J$5+[17]FormattedData!K34^2*$J$6+$M$5*$J$7</f>
        <v>37.057687643686997</v>
      </c>
      <c r="S20" s="6">
        <f>$J$3+[17]FormattedData!L34*$J$4+$M$4*$J$5+[17]FormattedData!L34^2*$J$6+$M$5*$J$7</f>
        <v>37.716152230320894</v>
      </c>
      <c r="T20" s="6">
        <f>$J$3+[17]FormattedData!M34*$J$4+$M$4*$J$5+[17]FormattedData!M34^2*$J$6+$M$5*$J$7</f>
        <v>32.004963083862648</v>
      </c>
      <c r="U20" s="6">
        <f>$J$3+[17]FormattedData!N34*$J$4+$M$4*$J$5+[17]FormattedData!N34^2*$J$6+$M$5*$J$7</f>
        <v>36.018772993721385</v>
      </c>
      <c r="V20" s="6">
        <f>$J$3+[17]FormattedData!O34*$J$4+$M$4*$J$5+[17]FormattedData!O34^2*$J$6+$M$5*$J$7</f>
        <v>32.004963083862648</v>
      </c>
      <c r="W20" s="5">
        <f t="shared" si="0"/>
        <v>34.823346435363405</v>
      </c>
      <c r="X20" s="4">
        <f t="shared" si="1"/>
        <v>0.80278485096494023</v>
      </c>
      <c r="Y20" s="3">
        <f t="shared" si="2"/>
        <v>31.715409249705239</v>
      </c>
      <c r="Z20" s="2">
        <f t="shared" si="3"/>
        <v>32.004963083862648</v>
      </c>
      <c r="AA20" s="3">
        <f t="shared" si="4"/>
        <v>34.589073622899924</v>
      </c>
      <c r="AB20" s="2">
        <f t="shared" si="5"/>
        <v>37.151817416013024</v>
      </c>
      <c r="AC20" s="2">
        <f t="shared" si="6"/>
        <v>39.306657730408141</v>
      </c>
      <c r="AD20" s="2">
        <f t="shared" si="7"/>
        <v>0.20238774089074585</v>
      </c>
      <c r="AE20" s="2">
        <f t="shared" si="8"/>
        <v>-1.7455194220110717</v>
      </c>
    </row>
    <row r="21" spans="2:31" x14ac:dyDescent="0.2">
      <c r="B21" s="1">
        <f>[17]FormattedData!A36</f>
        <v>204</v>
      </c>
      <c r="C21" s="1" t="str">
        <f>VLOOKUP($B21,[17]TrtCodes!$B$11:I79,2)</f>
        <v>NDH</v>
      </c>
      <c r="D21" s="1">
        <f>VLOOKUP($B21,[17]TrtCodes!$B$11:J79,3)</f>
        <v>11</v>
      </c>
      <c r="E21" s="1">
        <f>VLOOKUP($B21,[17]TrtCodes!$B$11:K79,4)</f>
        <v>2</v>
      </c>
      <c r="F21" s="1">
        <f>VLOOKUP($B21,[17]TrtCodes!$B$11:L79,5)</f>
        <v>3</v>
      </c>
      <c r="G21" s="1">
        <f>VLOOKUP($B21,[17]TrtCodes!$B$11:M79,6)</f>
        <v>2</v>
      </c>
      <c r="H21" s="1">
        <f>VLOOKUP($B21,[17]TrtCodes!$B$11:N79,7)</f>
        <v>1</v>
      </c>
      <c r="I21" s="1">
        <f>[17]FormattedData!B36</f>
        <v>1</v>
      </c>
      <c r="J21" s="4">
        <f>[17]FormattedData!C36</f>
        <v>13.324999999999999</v>
      </c>
      <c r="K21" s="6">
        <f>$J$3+[17]FormattedData!D36*$J$4+$M$4*$J$5+[17]FormattedData!D36^2*$J$6+$M$5*$J$7</f>
        <v>32.004963083862648</v>
      </c>
      <c r="L21" s="6">
        <f>$J$3+[17]FormattedData!E36*$J$4+$M$4*$J$5+[17]FormattedData!E36^2*$J$6+$M$5*$J$7</f>
        <v>33.925600214521189</v>
      </c>
      <c r="M21" s="6">
        <f>$J$3+[17]FormattedData!F36*$J$4+$M$4*$J$5+[17]FormattedData!F36^2*$J$6+$M$5*$J$7</f>
        <v>34.021188251405839</v>
      </c>
      <c r="N21" s="6">
        <f>$J$3+[17]FormattedData!G36*$J$4+$M$4*$J$5+[17]FormattedData!G36^2*$J$6+$M$5*$J$7</f>
        <v>35.259986293954547</v>
      </c>
      <c r="O21" s="6">
        <f>$J$3+[17]FormattedData!H36*$J$4+$M$4*$J$5+[17]FormattedData!H36^2*$J$6+$M$5*$J$7</f>
        <v>34.498494407760127</v>
      </c>
      <c r="P21" s="6">
        <f>$J$3+[17]FormattedData!I36*$J$4+$M$4*$J$5+[17]FormattedData!I36^2*$J$6+$M$5*$J$7</f>
        <v>34.021188251405839</v>
      </c>
      <c r="Q21" s="6">
        <f>$J$3+[17]FormattedData!J36*$J$4+$M$4*$J$5+[17]FormattedData!J36^2*$J$6+$M$5*$J$7</f>
        <v>32.775246825946752</v>
      </c>
      <c r="R21" s="6">
        <f>$J$3+[17]FormattedData!K36*$J$4+$M$4*$J$5+[17]FormattedData!K36^2*$J$6+$M$5*$J$7</f>
        <v>34.498494407760127</v>
      </c>
      <c r="S21" s="6">
        <f>$J$3+[17]FormattedData!L36*$J$4+$M$4*$J$5+[17]FormattedData!L36^2*$J$6+$M$5*$J$7</f>
        <v>32.197787630611259</v>
      </c>
      <c r="T21" s="6">
        <f>$J$3+[17]FormattedData!M36*$J$4+$M$4*$J$5+[17]FormattedData!M36^2*$J$6+$M$5*$J$7</f>
        <v>33.063405798352434</v>
      </c>
      <c r="U21" s="6">
        <f>$J$3+[17]FormattedData!N36*$J$4+$M$4*$J$5+[17]FormattedData!N36^2*$J$6+$M$5*$J$7</f>
        <v>30.650457180374051</v>
      </c>
      <c r="V21" s="6">
        <f>$J$3+[17]FormattedData!O36*$J$4+$M$4*$J$5+[17]FormattedData!O36^2*$J$6+$M$5*$J$7</f>
        <v>32.775246825946752</v>
      </c>
      <c r="W21" s="5">
        <f t="shared" si="0"/>
        <v>33.307671597658469</v>
      </c>
      <c r="X21" s="4">
        <f t="shared" si="1"/>
        <v>0.37602382275436025</v>
      </c>
      <c r="Y21" s="3">
        <f t="shared" si="2"/>
        <v>30.650457180374051</v>
      </c>
      <c r="Z21" s="2">
        <f t="shared" si="3"/>
        <v>32.630882027112875</v>
      </c>
      <c r="AA21" s="3">
        <f t="shared" si="4"/>
        <v>33.494503006436815</v>
      </c>
      <c r="AB21" s="2">
        <f t="shared" si="5"/>
        <v>34.140514790494407</v>
      </c>
      <c r="AC21" s="2">
        <f t="shared" si="6"/>
        <v>35.259986293954547</v>
      </c>
      <c r="AD21" s="2">
        <f t="shared" si="7"/>
        <v>-0.53680126531825745</v>
      </c>
      <c r="AE21" s="2">
        <f t="shared" si="8"/>
        <v>-3.1830764912958998E-3</v>
      </c>
    </row>
    <row r="22" spans="2:31" x14ac:dyDescent="0.2">
      <c r="B22" s="1">
        <f>[17]FormattedData!A38</f>
        <v>205</v>
      </c>
      <c r="C22" s="1" t="str">
        <f>VLOOKUP($B22,[17]TrtCodes!$B$11:I81,2)</f>
        <v>FSH</v>
      </c>
      <c r="D22" s="1">
        <f>VLOOKUP($B22,[17]TrtCodes!$B$11:J81,3)</f>
        <v>1</v>
      </c>
      <c r="E22" s="1">
        <f>VLOOKUP($B22,[17]TrtCodes!$B$11:K81,4)</f>
        <v>1</v>
      </c>
      <c r="F22" s="1">
        <f>VLOOKUP($B22,[17]TrtCodes!$B$11:L81,5)</f>
        <v>1</v>
      </c>
      <c r="G22" s="1">
        <f>VLOOKUP($B22,[17]TrtCodes!$B$11:M81,6)</f>
        <v>2</v>
      </c>
      <c r="H22" s="1">
        <f>VLOOKUP($B22,[17]TrtCodes!$B$11:N81,7)</f>
        <v>2</v>
      </c>
      <c r="I22" s="1">
        <f>[17]FormattedData!B38</f>
        <v>1</v>
      </c>
      <c r="J22" s="4">
        <f>[17]FormattedData!C38</f>
        <v>13.340999999999999</v>
      </c>
      <c r="K22" s="6">
        <f>$J$3+[17]FormattedData!D38*$J$4+$M$4*$J$5+[17]FormattedData!D38^2*$J$6+$M$5*$J$7</f>
        <v>38.840130051226296</v>
      </c>
      <c r="L22" s="6">
        <f>$J$3+[17]FormattedData!E38*$J$4+$M$4*$J$5+[17]FormattedData!E38^2*$J$6+$M$5*$J$7</f>
        <v>38.840130051226296</v>
      </c>
      <c r="M22" s="6">
        <f>$J$3+[17]FormattedData!F38*$J$4+$M$4*$J$5+[17]FormattedData!F38^2*$J$6+$M$5*$J$7</f>
        <v>35.9240725961333</v>
      </c>
      <c r="N22" s="6">
        <f>$J$3+[17]FormattedData!G38*$J$4+$M$4*$J$5+[17]FormattedData!G38^2*$J$6+$M$5*$J$7</f>
        <v>33.638582492639642</v>
      </c>
      <c r="O22" s="6">
        <f>$J$3+[17]FormattedData!H38*$J$4+$M$4*$J$5+[17]FormattedData!H38^2*$J$6+$M$5*$J$7</f>
        <v>32.582929501653318</v>
      </c>
      <c r="P22" s="6">
        <f>$J$3+[17]FormattedData!I38*$J$4+$M$4*$J$5+[17]FormattedData!I38^2*$J$6+$M$5*$J$7</f>
        <v>36.302620575258096</v>
      </c>
      <c r="Q22" s="6">
        <f>$J$3+[17]FormattedData!J38*$J$4+$M$4*$J$5+[17]FormattedData!J38^2*$J$6+$M$5*$J$7</f>
        <v>31.908487407681442</v>
      </c>
      <c r="R22" s="6">
        <f>$J$3+[17]FormattedData!K38*$J$4+$M$4*$J$5+[17]FormattedData!K38^2*$J$6+$M$5*$J$7</f>
        <v>40.607313516572461</v>
      </c>
      <c r="S22" s="6">
        <f>$J$3+[17]FormattedData!L38*$J$4+$M$4*$J$5+[17]FormattedData!L38^2*$J$6+$M$5*$J$7</f>
        <v>35.9240725961333</v>
      </c>
      <c r="T22" s="6">
        <f>$J$3+[17]FormattedData!M38*$J$4+$M$4*$J$5+[17]FormattedData!M38^2*$J$6+$M$5*$J$7</f>
        <v>33.255300437266563</v>
      </c>
      <c r="U22" s="6">
        <f>$J$3+[17]FormattedData!N38*$J$4+$M$4*$J$5+[17]FormattedData!N38^2*$J$6+$M$5*$J$7</f>
        <v>30.84446524618474</v>
      </c>
      <c r="V22" s="6">
        <f>$J$3+[17]FormattedData!O38*$J$4+$M$4*$J$5+[17]FormattedData!O38^2*$J$6+$M$5*$J$7</f>
        <v>32.294136501178663</v>
      </c>
      <c r="W22" s="5">
        <f t="shared" si="0"/>
        <v>35.080186747762845</v>
      </c>
      <c r="X22" s="4">
        <f t="shared" si="1"/>
        <v>0.90933677408544333</v>
      </c>
      <c r="Y22" s="3">
        <f t="shared" si="2"/>
        <v>30.84446524618474</v>
      </c>
      <c r="Z22" s="2">
        <f t="shared" si="3"/>
        <v>32.510731251534651</v>
      </c>
      <c r="AA22" s="3">
        <f t="shared" si="4"/>
        <v>34.781327544386471</v>
      </c>
      <c r="AB22" s="2">
        <f t="shared" si="5"/>
        <v>36.936997944250145</v>
      </c>
      <c r="AC22" s="2">
        <f t="shared" si="6"/>
        <v>40.607313516572461</v>
      </c>
      <c r="AD22" s="2">
        <f t="shared" si="7"/>
        <v>0.43282706990959813</v>
      </c>
      <c r="AE22" s="2">
        <f t="shared" si="8"/>
        <v>-1.0344199061033419</v>
      </c>
    </row>
    <row r="23" spans="2:31" x14ac:dyDescent="0.2">
      <c r="B23" s="1">
        <f>[17]FormattedData!A40</f>
        <v>206</v>
      </c>
      <c r="C23" s="1" t="str">
        <f>VLOOKUP($B23,[17]TrtCodes!$B$11:I83,2)</f>
        <v>NSL</v>
      </c>
      <c r="D23" s="1">
        <f>VLOOKUP($B23,[17]TrtCodes!$B$11:J83,3)</f>
        <v>8</v>
      </c>
      <c r="E23" s="1">
        <f>VLOOKUP($B23,[17]TrtCodes!$B$11:K83,4)</f>
        <v>2</v>
      </c>
      <c r="F23" s="1">
        <f>VLOOKUP($B23,[17]TrtCodes!$B$11:L83,5)</f>
        <v>1</v>
      </c>
      <c r="G23" s="1">
        <f>VLOOKUP($B23,[17]TrtCodes!$B$11:M83,6)</f>
        <v>1</v>
      </c>
      <c r="H23" s="1">
        <f>VLOOKUP($B23,[17]TrtCodes!$B$11:N83,7)</f>
        <v>2</v>
      </c>
      <c r="I23" s="1">
        <f>[17]FormattedData!B40</f>
        <v>1</v>
      </c>
      <c r="J23" s="4">
        <f>[17]FormattedData!C40</f>
        <v>13.359</v>
      </c>
      <c r="K23" s="6">
        <f>$J$3+[17]FormattedData!D40*$J$4+$M$4*$J$5+[17]FormattedData!D40^2*$J$6+$M$5*$J$7</f>
        <v>51.153154789081825</v>
      </c>
      <c r="L23" s="6">
        <f>$J$3+[17]FormattedData!E40*$J$4+$M$4*$J$5+[17]FormattedData!E40^2*$J$6+$M$5*$J$7</f>
        <v>46.177767304342353</v>
      </c>
      <c r="M23" s="6">
        <f>$J$3+[17]FormattedData!F40*$J$4+$M$4*$J$5+[17]FormattedData!F40^2*$J$6+$M$5*$J$7</f>
        <v>49.037076985616181</v>
      </c>
      <c r="N23" s="6">
        <f>$J$3+[17]FormattedData!G40*$J$4+$M$4*$J$5+[17]FormattedData!G40^2*$J$6+$M$5*$J$7</f>
        <v>44.186884386935517</v>
      </c>
      <c r="O23" s="6">
        <f>$J$3+[17]FormattedData!H40*$J$4+$M$4*$J$5+[17]FormattedData!H40^2*$J$6+$M$5*$J$7</f>
        <v>40.884947623033277</v>
      </c>
      <c r="P23" s="6">
        <f>$J$3+[17]FormattedData!I40*$J$4+$M$4*$J$5+[17]FormattedData!I40^2*$J$6+$M$5*$J$7</f>
        <v>48.948378720414304</v>
      </c>
      <c r="Q23" s="6">
        <f>$J$3+[17]FormattedData!J40*$J$4+$M$4*$J$5+[17]FormattedData!J40^2*$J$6+$M$5*$J$7</f>
        <v>37.528230833972295</v>
      </c>
      <c r="R23" s="6">
        <f>$J$3+[17]FormattedData!K40*$J$4+$M$4*$J$5+[17]FormattedData!K40^2*$J$6+$M$5*$J$7</f>
        <v>48.682030313581095</v>
      </c>
      <c r="S23" s="6">
        <f>$J$3+[17]FormattedData!L40*$J$4+$M$4*$J$5+[17]FormattedData!L40^2*$J$6+$M$5*$J$7</f>
        <v>44.641154190117327</v>
      </c>
      <c r="T23" s="6">
        <f>$J$3+[17]FormattedData!M40*$J$4+$M$4*$J$5+[17]FormattedData!M40^2*$J$6+$M$5*$J$7</f>
        <v>51.590939862470492</v>
      </c>
      <c r="U23" s="6">
        <f>$J$3+[17]FormattedData!N40*$J$4+$M$4*$J$5+[17]FormattedData!N40^2*$J$6+$M$5*$J$7</f>
        <v>50.186307996288811</v>
      </c>
      <c r="V23" s="6">
        <f>$J$3+[17]FormattedData!O40*$J$4+$M$4*$J$5+[17]FormattedData!O40^2*$J$6+$M$5*$J$7</f>
        <v>38.933520124138525</v>
      </c>
      <c r="W23" s="5">
        <f t="shared" si="0"/>
        <v>45.995866094166011</v>
      </c>
      <c r="X23" s="4">
        <f t="shared" si="1"/>
        <v>1.3857605545702425</v>
      </c>
      <c r="Y23" s="3">
        <f t="shared" si="2"/>
        <v>37.528230833972295</v>
      </c>
      <c r="Z23" s="2">
        <f t="shared" si="3"/>
        <v>43.361400195959959</v>
      </c>
      <c r="AA23" s="3">
        <f t="shared" si="4"/>
        <v>47.429898808961724</v>
      </c>
      <c r="AB23" s="2">
        <f t="shared" si="5"/>
        <v>49.324384738284337</v>
      </c>
      <c r="AC23" s="2">
        <f t="shared" si="6"/>
        <v>51.590939862470492</v>
      </c>
      <c r="AD23" s="2">
        <f t="shared" si="7"/>
        <v>-0.6332519058741557</v>
      </c>
      <c r="AE23" s="2">
        <f t="shared" si="8"/>
        <v>-0.90734521599437112</v>
      </c>
    </row>
    <row r="24" spans="2:31" x14ac:dyDescent="0.2">
      <c r="B24" s="1">
        <f>[17]FormattedData!A42</f>
        <v>207</v>
      </c>
      <c r="C24" s="1" t="str">
        <f>VLOOKUP($B24,[17]TrtCodes!$B$11:I85,2)</f>
        <v>FTL</v>
      </c>
      <c r="D24" s="1">
        <f>VLOOKUP($B24,[17]TrtCodes!$B$11:J85,3)</f>
        <v>4</v>
      </c>
      <c r="E24" s="1">
        <f>VLOOKUP($B24,[17]TrtCodes!$B$11:K85,4)</f>
        <v>1</v>
      </c>
      <c r="F24" s="1">
        <f>VLOOKUP($B24,[17]TrtCodes!$B$11:L85,5)</f>
        <v>2</v>
      </c>
      <c r="G24" s="1">
        <f>VLOOKUP($B24,[17]TrtCodes!$B$11:M85,6)</f>
        <v>1</v>
      </c>
      <c r="H24" s="1">
        <f>VLOOKUP($B24,[17]TrtCodes!$B$11:N85,7)</f>
        <v>2</v>
      </c>
      <c r="I24" s="1">
        <f>[17]FormattedData!B42</f>
        <v>1</v>
      </c>
      <c r="J24" s="4">
        <f>[17]FormattedData!C42</f>
        <v>13.375999999999999</v>
      </c>
      <c r="K24" s="6">
        <f>$J$3+[17]FormattedData!D42*$J$4+$M$4*$J$5+[17]FormattedData!D42^2*$J$6+$M$5*$J$7</f>
        <v>39.772128696141699</v>
      </c>
      <c r="L24" s="6">
        <f>$J$3+[17]FormattedData!E42*$J$4+$M$4*$J$5+[17]FormattedData!E42^2*$J$6+$M$5*$J$7</f>
        <v>35.9240725961333</v>
      </c>
      <c r="M24" s="6">
        <f>$J$3+[17]FormattedData!F42*$J$4+$M$4*$J$5+[17]FormattedData!F42^2*$J$6+$M$5*$J$7</f>
        <v>35.35498257130817</v>
      </c>
      <c r="N24" s="6">
        <f>$J$3+[17]FormattedData!G42*$J$4+$M$4*$J$5+[17]FormattedData!G42^2*$J$6+$M$5*$J$7</f>
        <v>37.716152230320894</v>
      </c>
      <c r="O24" s="6">
        <f>$J$3+[17]FormattedData!H42*$J$4+$M$4*$J$5+[17]FormattedData!H42^2*$J$6+$M$5*$J$7</f>
        <v>36.113431122771559</v>
      </c>
      <c r="P24" s="6">
        <f>$J$3+[17]FormattedData!I42*$J$4+$M$4*$J$5+[17]FormattedData!I42^2*$J$6+$M$5*$J$7</f>
        <v>36.963452200016143</v>
      </c>
      <c r="Q24" s="6">
        <f>$J$3+[17]FormattedData!J42*$J$4+$M$4*$J$5+[17]FormattedData!J42^2*$J$6+$M$5*$J$7</f>
        <v>35.259986293954547</v>
      </c>
      <c r="R24" s="6">
        <f>$J$3+[17]FormattedData!K42*$J$4+$M$4*$J$5+[17]FormattedData!K42^2*$J$6+$M$5*$J$7</f>
        <v>38.466147074198062</v>
      </c>
      <c r="S24" s="6">
        <f>$J$3+[17]FormattedData!L42*$J$4+$M$4*$J$5+[17]FormattedData!L42^2*$J$6+$M$5*$J$7</f>
        <v>33.925600214521189</v>
      </c>
      <c r="T24" s="6">
        <f>$J$3+[17]FormattedData!M42*$J$4+$M$4*$J$5+[17]FormattedData!M42^2*$J$6+$M$5*$J$7</f>
        <v>37.057687643686997</v>
      </c>
      <c r="U24" s="6">
        <f>$J$3+[17]FormattedData!N42*$J$4+$M$4*$J$5+[17]FormattedData!N42^2*$J$6+$M$5*$J$7</f>
        <v>36.963452200016143</v>
      </c>
      <c r="V24" s="6">
        <f>$J$3+[17]FormattedData!O42*$J$4+$M$4*$J$5+[17]FormattedData!O42^2*$J$6+$M$5*$J$7</f>
        <v>36.113431122771559</v>
      </c>
      <c r="W24" s="5">
        <f t="shared" si="0"/>
        <v>36.63587699715336</v>
      </c>
      <c r="X24" s="4">
        <f t="shared" si="1"/>
        <v>0.44955722313091606</v>
      </c>
      <c r="Y24" s="3">
        <f t="shared" si="2"/>
        <v>33.925600214521189</v>
      </c>
      <c r="Z24" s="2">
        <f t="shared" si="3"/>
        <v>35.781800089927017</v>
      </c>
      <c r="AA24" s="3">
        <f t="shared" si="4"/>
        <v>36.538441661393847</v>
      </c>
      <c r="AB24" s="2">
        <f t="shared" si="5"/>
        <v>37.222303790345471</v>
      </c>
      <c r="AC24" s="2">
        <f t="shared" si="6"/>
        <v>39.772128696141699</v>
      </c>
      <c r="AD24" s="2">
        <f t="shared" si="7"/>
        <v>0.37910515285413338</v>
      </c>
      <c r="AE24" s="2">
        <f t="shared" si="8"/>
        <v>0.5218085862677917</v>
      </c>
    </row>
    <row r="25" spans="2:31" x14ac:dyDescent="0.2">
      <c r="B25" s="1">
        <f>[17]FormattedData!A44</f>
        <v>208</v>
      </c>
      <c r="C25" s="1" t="str">
        <f>VLOOKUP($B25,[17]TrtCodes!$B$11:I87,2)</f>
        <v>FSL</v>
      </c>
      <c r="D25" s="1">
        <f>VLOOKUP($B25,[17]TrtCodes!$B$11:J87,3)</f>
        <v>2</v>
      </c>
      <c r="E25" s="1">
        <f>VLOOKUP($B25,[17]TrtCodes!$B$11:K87,4)</f>
        <v>1</v>
      </c>
      <c r="F25" s="1">
        <f>VLOOKUP($B25,[17]TrtCodes!$B$11:L87,5)</f>
        <v>1</v>
      </c>
      <c r="G25" s="1">
        <f>VLOOKUP($B25,[17]TrtCodes!$B$11:M87,6)</f>
        <v>1</v>
      </c>
      <c r="H25" s="1">
        <f>VLOOKUP($B25,[17]TrtCodes!$B$11:N87,7)</f>
        <v>2</v>
      </c>
      <c r="I25" s="1">
        <f>[17]FormattedData!B44</f>
        <v>1</v>
      </c>
      <c r="J25" s="4">
        <f>[17]FormattedData!C44</f>
        <v>13.393000000000001</v>
      </c>
      <c r="K25" s="6">
        <f>$J$3+[17]FormattedData!D44*$J$4+$M$4*$J$5+[17]FormattedData!D44^2*$J$6+$M$5*$J$7</f>
        <v>40.792445189417606</v>
      </c>
      <c r="L25" s="6">
        <f>$J$3+[17]FormattedData!E44*$J$4+$M$4*$J$5+[17]FormattedData!E44^2*$J$6+$M$5*$J$7</f>
        <v>36.680492257775995</v>
      </c>
      <c r="M25" s="6">
        <f>$J$3+[17]FormattedData!F44*$J$4+$M$4*$J$5+[17]FormattedData!F44^2*$J$6+$M$5*$J$7</f>
        <v>35.639717792141418</v>
      </c>
      <c r="N25" s="6">
        <f>$J$3+[17]FormattedData!G44*$J$4+$M$4*$J$5+[17]FormattedData!G44^2*$J$6+$M$5*$J$7</f>
        <v>34.021188251405839</v>
      </c>
      <c r="O25" s="6">
        <f>$J$3+[17]FormattedData!H44*$J$4+$M$4*$J$5+[17]FormattedData!H44^2*$J$6+$M$5*$J$7</f>
        <v>37.810049525688306</v>
      </c>
      <c r="P25" s="6">
        <f>$J$3+[17]FormattedData!I44*$J$4+$M$4*$J$5+[17]FormattedData!I44^2*$J$6+$M$5*$J$7</f>
        <v>35.544848320401599</v>
      </c>
      <c r="Q25" s="6">
        <f>$J$3+[17]FormattedData!J44*$J$4+$M$4*$J$5+[17]FormattedData!J44^2*$J$6+$M$5*$J$7</f>
        <v>38.559706221262019</v>
      </c>
      <c r="R25" s="6">
        <f>$J$3+[17]FormattedData!K44*$J$4+$M$4*$J$5+[17]FormattedData!K44^2*$J$6+$M$5*$J$7</f>
        <v>36.586087739953413</v>
      </c>
      <c r="S25" s="6">
        <f>$J$3+[17]FormattedData!L44*$J$4+$M$4*$J$5+[17]FormattedData!L44^2*$J$6+$M$5*$J$7</f>
        <v>34.021188251405839</v>
      </c>
      <c r="T25" s="6">
        <f>$J$3+[17]FormattedData!M44*$J$4+$M$4*$J$5+[17]FormattedData!M44^2*$J$6+$M$5*$J$7</f>
        <v>39.49297292231536</v>
      </c>
      <c r="U25" s="6">
        <f>$J$3+[17]FormattedData!N44*$J$4+$M$4*$J$5+[17]FormattedData!N44^2*$J$6+$M$5*$J$7</f>
        <v>37.622212666415564</v>
      </c>
      <c r="V25" s="6">
        <f>$J$3+[17]FormattedData!O44*$J$4+$M$4*$J$5+[17]FormattedData!O44^2*$J$6+$M$5*$J$7</f>
        <v>33.255300437266563</v>
      </c>
      <c r="W25" s="5">
        <f t="shared" si="0"/>
        <v>36.668850797954128</v>
      </c>
      <c r="X25" s="4">
        <f t="shared" si="1"/>
        <v>0.66724391095453917</v>
      </c>
      <c r="Y25" s="3">
        <f t="shared" si="2"/>
        <v>33.255300437266563</v>
      </c>
      <c r="Z25" s="2">
        <f t="shared" si="3"/>
        <v>35.16393330315266</v>
      </c>
      <c r="AA25" s="3">
        <f t="shared" si="4"/>
        <v>36.633289998864704</v>
      </c>
      <c r="AB25" s="2">
        <f t="shared" si="5"/>
        <v>37.997463699581736</v>
      </c>
      <c r="AC25" s="2">
        <f t="shared" si="6"/>
        <v>40.792445189417606</v>
      </c>
      <c r="AD25" s="2">
        <f t="shared" si="7"/>
        <v>0.19742402073359835</v>
      </c>
      <c r="AE25" s="2">
        <f t="shared" si="8"/>
        <v>-0.69428356469946229</v>
      </c>
    </row>
    <row r="26" spans="2:31" x14ac:dyDescent="0.2">
      <c r="B26" s="1">
        <f>[17]FormattedData!A62</f>
        <v>301</v>
      </c>
      <c r="C26" s="1" t="str">
        <f>VLOOKUP($B26,[17]TrtCodes!$B$11:I105,2)</f>
        <v>NTL</v>
      </c>
      <c r="D26" s="1">
        <f>VLOOKUP($B26,[17]TrtCodes!$B$11:J105,3)</f>
        <v>10</v>
      </c>
      <c r="E26" s="1">
        <f>VLOOKUP($B26,[17]TrtCodes!$B$11:K105,4)</f>
        <v>2</v>
      </c>
      <c r="F26" s="1">
        <f>VLOOKUP($B26,[17]TrtCodes!$B$11:L105,5)</f>
        <v>2</v>
      </c>
      <c r="G26" s="1">
        <f>VLOOKUP($B26,[17]TrtCodes!$B$11:M105,6)</f>
        <v>1</v>
      </c>
      <c r="H26" s="1">
        <f>VLOOKUP($B26,[17]TrtCodes!$B$11:N105,7)</f>
        <v>3</v>
      </c>
      <c r="I26" s="1">
        <f>[17]FormattedData!B62</f>
        <v>1</v>
      </c>
      <c r="J26" s="4">
        <f>[17]FormattedData!C62</f>
        <v>13.519</v>
      </c>
      <c r="K26" s="6">
        <f>$J$3+[17]FormattedData!D62*$J$4+$M$4*$J$5+[17]FormattedData!D62^2*$J$6+$M$5*$J$7</f>
        <v>37.057687643686997</v>
      </c>
      <c r="L26" s="6">
        <f>$J$3+[17]FormattedData!E62*$J$4+$M$4*$J$5+[17]FormattedData!E62^2*$J$6+$M$5*$J$7</f>
        <v>33.44702600202897</v>
      </c>
      <c r="M26" s="6">
        <f>$J$3+[17]FormattedData!F62*$J$4+$M$4*$J$5+[17]FormattedData!F62^2*$J$6+$M$5*$J$7</f>
        <v>35.544848320401599</v>
      </c>
      <c r="N26" s="6">
        <f>$J$3+[17]FormattedData!G62*$J$4+$M$4*$J$5+[17]FormattedData!G62^2*$J$6+$M$5*$J$7</f>
        <v>34.78437087911751</v>
      </c>
      <c r="O26" s="6">
        <f>$J$3+[17]FormattedData!H62*$J$4+$M$4*$J$5+[17]FormattedData!H62^2*$J$6+$M$5*$J$7</f>
        <v>32.101396491505916</v>
      </c>
      <c r="P26" s="6">
        <f>$J$3+[17]FormattedData!I62*$J$4+$M$4*$J$5+[17]FormattedData!I62^2*$J$6+$M$5*$J$7</f>
        <v>37.246031725414909</v>
      </c>
      <c r="Q26" s="6">
        <f>$J$3+[17]FormattedData!J62*$J$4+$M$4*$J$5+[17]FormattedData!J62^2*$J$6+$M$5*$J$7</f>
        <v>33.063405798352434</v>
      </c>
      <c r="R26" s="6">
        <f>$J$3+[17]FormattedData!K62*$J$4+$M$4*$J$5+[17]FormattedData!K62^2*$J$6+$M$5*$J$7</f>
        <v>34.307698750832195</v>
      </c>
      <c r="S26" s="6">
        <f>$J$3+[17]FormattedData!L62*$J$4+$M$4*$J$5+[17]FormattedData!L62^2*$J$6+$M$5*$J$7</f>
        <v>35.259986293954547</v>
      </c>
      <c r="T26" s="6">
        <f>$J$3+[17]FormattedData!M62*$J$4+$M$4*$J$5+[17]FormattedData!M62^2*$J$6+$M$5*$J$7</f>
        <v>36.397151898694467</v>
      </c>
      <c r="U26" s="6">
        <f>$J$3+[17]FormattedData!N62*$J$4+$M$4*$J$5+[17]FormattedData!N62^2*$J$6+$M$5*$J$7</f>
        <v>34.116734019752549</v>
      </c>
      <c r="V26" s="6">
        <f>$J$3+[17]FormattedData!O62*$J$4+$M$4*$J$5+[17]FormattedData!O62^2*$J$6+$M$5*$J$7</f>
        <v>34.97474385066613</v>
      </c>
      <c r="W26" s="5">
        <f t="shared" si="0"/>
        <v>34.858423472867351</v>
      </c>
      <c r="X26" s="4">
        <f t="shared" si="1"/>
        <v>0.45415003219003902</v>
      </c>
      <c r="Y26" s="3">
        <f t="shared" si="2"/>
        <v>32.101396491505916</v>
      </c>
      <c r="Z26" s="2">
        <f t="shared" si="3"/>
        <v>33.949307015321651</v>
      </c>
      <c r="AA26" s="3">
        <f t="shared" si="4"/>
        <v>34.879557364891824</v>
      </c>
      <c r="AB26" s="2">
        <f t="shared" si="5"/>
        <v>35.757924214974814</v>
      </c>
      <c r="AC26" s="2">
        <f t="shared" si="6"/>
        <v>37.246031725414909</v>
      </c>
      <c r="AD26" s="2">
        <f t="shared" si="7"/>
        <v>-5.1723190011532749E-2</v>
      </c>
      <c r="AE26" s="2">
        <f t="shared" si="8"/>
        <v>-0.57946885279690719</v>
      </c>
    </row>
    <row r="27" spans="2:31" x14ac:dyDescent="0.2">
      <c r="B27" s="1">
        <f>[17]FormattedData!A64</f>
        <v>302</v>
      </c>
      <c r="C27" s="1" t="str">
        <f>VLOOKUP($B27,[17]TrtCodes!$B$11:I107,2)</f>
        <v>FTL</v>
      </c>
      <c r="D27" s="1">
        <f>VLOOKUP($B27,[17]TrtCodes!$B$11:J107,3)</f>
        <v>4</v>
      </c>
      <c r="E27" s="1">
        <f>VLOOKUP($B27,[17]TrtCodes!$B$11:K107,4)</f>
        <v>1</v>
      </c>
      <c r="F27" s="1">
        <f>VLOOKUP($B27,[17]TrtCodes!$B$11:L107,5)</f>
        <v>2</v>
      </c>
      <c r="G27" s="1">
        <f>VLOOKUP($B27,[17]TrtCodes!$B$11:M107,6)</f>
        <v>1</v>
      </c>
      <c r="H27" s="1">
        <f>VLOOKUP($B27,[17]TrtCodes!$B$11:N107,7)</f>
        <v>3</v>
      </c>
      <c r="I27" s="1">
        <f>[17]FormattedData!B64</f>
        <v>1</v>
      </c>
      <c r="J27" s="4">
        <f>[17]FormattedData!C64</f>
        <v>13.536</v>
      </c>
      <c r="K27" s="6">
        <f>$J$3+[17]FormattedData!D64*$J$4+$M$4*$J$5+[17]FormattedData!D64^2*$J$6+$M$5*$J$7</f>
        <v>39.026867928512829</v>
      </c>
      <c r="L27" s="6">
        <f>$J$3+[17]FormattedData!E64*$J$4+$M$4*$J$5+[17]FormattedData!E64^2*$J$6+$M$5*$J$7</f>
        <v>32.486707436699703</v>
      </c>
      <c r="M27" s="6">
        <f>$J$3+[17]FormattedData!F64*$J$4+$M$4*$J$5+[17]FormattedData!F64^2*$J$6+$M$5*$J$7</f>
        <v>36.018772993721385</v>
      </c>
      <c r="N27" s="6">
        <f>$J$3+[17]FormattedData!G64*$J$4+$M$4*$J$5+[17]FormattedData!G64^2*$J$6+$M$5*$J$7</f>
        <v>37.716152230320894</v>
      </c>
      <c r="O27" s="6">
        <f>$J$3+[17]FormattedData!H64*$J$4+$M$4*$J$5+[17]FormattedData!H64^2*$J$6+$M$5*$J$7</f>
        <v>34.116734019752549</v>
      </c>
      <c r="P27" s="6">
        <f>$J$3+[17]FormattedData!I64*$J$4+$M$4*$J$5+[17]FormattedData!I64^2*$J$6+$M$5*$J$7</f>
        <v>34.021188251405839</v>
      </c>
      <c r="Q27" s="6">
        <f>$J$3+[17]FormattedData!J64*$J$4+$M$4*$J$5+[17]FormattedData!J64^2*$J$6+$M$5*$J$7</f>
        <v>30.84446524618474</v>
      </c>
      <c r="R27" s="6">
        <f>$J$3+[17]FormattedData!K64*$J$4+$M$4*$J$5+[17]FormattedData!K64^2*$J$6+$M$5*$J$7</f>
        <v>40.699900487263996</v>
      </c>
      <c r="S27" s="6">
        <f>$J$3+[17]FormattedData!L64*$J$4+$M$4*$J$5+[17]FormattedData!L64^2*$J$6+$M$5*$J$7</f>
        <v>31.908487407681442</v>
      </c>
      <c r="T27" s="6">
        <f>$J$3+[17]FormattedData!M64*$J$4+$M$4*$J$5+[17]FormattedData!M64^2*$J$6+$M$5*$J$7</f>
        <v>38.840130051226296</v>
      </c>
      <c r="U27" s="6">
        <f>$J$3+[17]FormattedData!N64*$J$4+$M$4*$J$5+[17]FormattedData!N64^2*$J$6+$M$5*$J$7</f>
        <v>32.101396491505916</v>
      </c>
      <c r="V27" s="6">
        <f>$J$3+[17]FormattedData!O64*$J$4+$M$4*$J$5+[17]FormattedData!O64^2*$J$6+$M$5*$J$7</f>
        <v>37.997717310809314</v>
      </c>
      <c r="W27" s="5">
        <f t="shared" si="0"/>
        <v>35.481543321257078</v>
      </c>
      <c r="X27" s="4">
        <f t="shared" si="1"/>
        <v>0.95882229177167633</v>
      </c>
      <c r="Y27" s="3">
        <f t="shared" si="2"/>
        <v>30.84446524618474</v>
      </c>
      <c r="Z27" s="2">
        <f t="shared" si="3"/>
        <v>32.390379700401255</v>
      </c>
      <c r="AA27" s="3">
        <f t="shared" si="4"/>
        <v>35.067753506736963</v>
      </c>
      <c r="AB27" s="2">
        <f t="shared" si="5"/>
        <v>38.208320495913561</v>
      </c>
      <c r="AC27" s="2">
        <f t="shared" si="6"/>
        <v>40.699900487263996</v>
      </c>
      <c r="AD27" s="2">
        <f t="shared" si="7"/>
        <v>0.10518836328410852</v>
      </c>
      <c r="AE27" s="2">
        <f t="shared" si="8"/>
        <v>-1.5264803894711263</v>
      </c>
    </row>
    <row r="28" spans="2:31" x14ac:dyDescent="0.2">
      <c r="B28" s="1">
        <f>[17]FormattedData!A66</f>
        <v>303</v>
      </c>
      <c r="C28" s="1" t="str">
        <f>VLOOKUP($B28,[17]TrtCodes!$B$11:I109,2)</f>
        <v>NSL</v>
      </c>
      <c r="D28" s="1">
        <f>VLOOKUP($B28,[17]TrtCodes!$B$11:J109,3)</f>
        <v>8</v>
      </c>
      <c r="E28" s="1">
        <f>VLOOKUP($B28,[17]TrtCodes!$B$11:K109,4)</f>
        <v>2</v>
      </c>
      <c r="F28" s="1">
        <f>VLOOKUP($B28,[17]TrtCodes!$B$11:L109,5)</f>
        <v>1</v>
      </c>
      <c r="G28" s="1">
        <f>VLOOKUP($B28,[17]TrtCodes!$B$11:M109,6)</f>
        <v>1</v>
      </c>
      <c r="H28" s="1">
        <f>VLOOKUP($B28,[17]TrtCodes!$B$11:N109,7)</f>
        <v>3</v>
      </c>
      <c r="I28" s="1">
        <f>[17]FormattedData!B66</f>
        <v>1</v>
      </c>
      <c r="J28" s="4">
        <f>[17]FormattedData!C66</f>
        <v>13.553000000000001</v>
      </c>
      <c r="K28" s="6">
        <f>$J$3+[17]FormattedData!D66*$J$4+$M$4*$J$5+[17]FormattedData!D66^2*$J$6+$M$5*$J$7</f>
        <v>49.833459288226145</v>
      </c>
      <c r="L28" s="6">
        <f>$J$3+[17]FormattedData!E66*$J$4+$M$4*$J$5+[17]FormattedData!E66^2*$J$6+$M$5*$J$7</f>
        <v>44.913208849571234</v>
      </c>
      <c r="M28" s="6">
        <f>$J$3+[17]FormattedData!F66*$J$4+$M$4*$J$5+[17]FormattedData!F66^2*$J$6+$M$5*$J$7</f>
        <v>34.593828833417177</v>
      </c>
      <c r="N28" s="6">
        <f>$J$3+[17]FormattedData!G66*$J$4+$M$4*$J$5+[17]FormattedData!G66^2*$J$6+$M$5*$J$7</f>
        <v>44.277822884647733</v>
      </c>
      <c r="O28" s="6">
        <f>$J$3+[17]FormattedData!H66*$J$4+$M$4*$J$5+[17]FormattedData!H66^2*$J$6+$M$5*$J$7</f>
        <v>37.810049525688306</v>
      </c>
      <c r="P28" s="6">
        <f>$J$3+[17]FormattedData!I66*$J$4+$M$4*$J$5+[17]FormattedData!I66^2*$J$6+$M$5*$J$7</f>
        <v>48.859638186674502</v>
      </c>
      <c r="Q28" s="6">
        <f>$J$3+[17]FormattedData!J66*$J$4+$M$4*$J$5+[17]FormattedData!J66^2*$J$6+$M$5*$J$7</f>
        <v>32.967395076088472</v>
      </c>
      <c r="R28" s="6">
        <f>$J$3+[17]FormattedData!K66*$J$4+$M$4*$J$5+[17]FormattedData!K66^2*$J$6+$M$5*$J$7</f>
        <v>46.896652504302203</v>
      </c>
      <c r="S28" s="6">
        <f>$J$3+[17]FormattedData!L66*$J$4+$M$4*$J$5+[17]FormattedData!L66^2*$J$6+$M$5*$J$7</f>
        <v>33.063405798352434</v>
      </c>
      <c r="T28" s="6">
        <f>$J$3+[17]FormattedData!M66*$J$4+$M$4*$J$5+[17]FormattedData!M66^2*$J$6+$M$5*$J$7</f>
        <v>47.612832517834455</v>
      </c>
      <c r="U28" s="6">
        <f>$J$3+[17]FormattedData!N66*$J$4+$M$4*$J$5+[17]FormattedData!N66^2*$J$6+$M$5*$J$7</f>
        <v>32.390443103208149</v>
      </c>
      <c r="V28" s="6">
        <f>$J$3+[17]FormattedData!O66*$J$4+$M$4*$J$5+[17]FormattedData!O66^2*$J$6+$M$5*$J$7</f>
        <v>47.969908079690228</v>
      </c>
      <c r="W28" s="5">
        <f t="shared" si="0"/>
        <v>41.765720387308427</v>
      </c>
      <c r="X28" s="4">
        <f t="shared" si="1"/>
        <v>2.0202695307362895</v>
      </c>
      <c r="Y28" s="3">
        <f t="shared" si="2"/>
        <v>32.390443103208149</v>
      </c>
      <c r="Z28" s="2">
        <f t="shared" si="3"/>
        <v>34.211223074650988</v>
      </c>
      <c r="AA28" s="3">
        <f t="shared" si="4"/>
        <v>44.595515867109484</v>
      </c>
      <c r="AB28" s="2">
        <f t="shared" si="5"/>
        <v>47.702101408298397</v>
      </c>
      <c r="AC28" s="2">
        <f t="shared" si="6"/>
        <v>49.833459288226145</v>
      </c>
      <c r="AD28" s="2">
        <f t="shared" si="7"/>
        <v>-0.34754860098172569</v>
      </c>
      <c r="AE28" s="2">
        <f t="shared" si="8"/>
        <v>-1.8922699318223577</v>
      </c>
    </row>
    <row r="29" spans="2:31" x14ac:dyDescent="0.2">
      <c r="B29" s="1">
        <f>[17]FormattedData!A68</f>
        <v>304</v>
      </c>
      <c r="C29" s="1" t="str">
        <f>VLOOKUP($B29,[17]TrtCodes!$B$11:I111,2)</f>
        <v>FSL</v>
      </c>
      <c r="D29" s="1">
        <f>VLOOKUP($B29,[17]TrtCodes!$B$11:J111,3)</f>
        <v>2</v>
      </c>
      <c r="E29" s="1">
        <f>VLOOKUP($B29,[17]TrtCodes!$B$11:K111,4)</f>
        <v>1</v>
      </c>
      <c r="F29" s="1">
        <f>VLOOKUP($B29,[17]TrtCodes!$B$11:L111,5)</f>
        <v>1</v>
      </c>
      <c r="G29" s="1">
        <f>VLOOKUP($B29,[17]TrtCodes!$B$11:M111,6)</f>
        <v>1</v>
      </c>
      <c r="H29" s="1">
        <f>VLOOKUP($B29,[17]TrtCodes!$B$11:N111,7)</f>
        <v>3</v>
      </c>
      <c r="I29" s="1">
        <f>[17]FormattedData!B68</f>
        <v>1</v>
      </c>
      <c r="J29" s="4">
        <f>[17]FormattedData!C68</f>
        <v>13.57</v>
      </c>
      <c r="K29" s="6">
        <f>$J$3+[17]FormattedData!D68*$J$4+$M$4*$J$5+[17]FormattedData!D68^2*$J$6+$M$5*$J$7</f>
        <v>37.716152230320894</v>
      </c>
      <c r="L29" s="6">
        <f>$J$3+[17]FormattedData!E68*$J$4+$M$4*$J$5+[17]FormattedData!E68^2*$J$6+$M$5*$J$7</f>
        <v>38.27890197445636</v>
      </c>
      <c r="M29" s="6">
        <f>$J$3+[17]FormattedData!F68*$J$4+$M$4*$J$5+[17]FormattedData!F68^2*$J$6+$M$5*$J$7</f>
        <v>32.101396491505916</v>
      </c>
      <c r="N29" s="6">
        <f>$J$3+[17]FormattedData!G68*$J$4+$M$4*$J$5+[17]FormattedData!G68^2*$J$6+$M$5*$J$7</f>
        <v>37.716152230320894</v>
      </c>
      <c r="O29" s="6">
        <f>$J$3+[17]FormattedData!H68*$J$4+$M$4*$J$5+[17]FormattedData!H68^2*$J$6+$M$5*$J$7</f>
        <v>31.425474998706456</v>
      </c>
      <c r="P29" s="6">
        <f>$J$3+[17]FormattedData!I68*$J$4+$M$4*$J$5+[17]FormattedData!I68^2*$J$6+$M$5*$J$7</f>
        <v>34.78437087911751</v>
      </c>
      <c r="Q29" s="6">
        <f>$J$3+[17]FormattedData!J68*$J$4+$M$4*$J$5+[17]FormattedData!J68^2*$J$6+$M$5*$J$7</f>
        <v>31.425474998706456</v>
      </c>
      <c r="R29" s="6">
        <f>$J$3+[17]FormattedData!K68*$J$4+$M$4*$J$5+[17]FormattedData!K68^2*$J$6+$M$5*$J$7</f>
        <v>32.967395076088472</v>
      </c>
      <c r="S29" s="6">
        <f>$J$3+[17]FormattedData!L68*$J$4+$M$4*$J$5+[17]FormattedData!L68^2*$J$6+$M$5*$J$7</f>
        <v>30.359128067623537</v>
      </c>
      <c r="T29" s="6">
        <f>$J$3+[17]FormattedData!M68*$J$4+$M$4*$J$5+[17]FormattedData!M68^2*$J$6+$M$5*$J$7</f>
        <v>31.908487407681442</v>
      </c>
      <c r="U29" s="6">
        <f>$J$3+[17]FormattedData!N68*$J$4+$M$4*$J$5+[17]FormattedData!N68^2*$J$6+$M$5*$J$7</f>
        <v>32.775246825946752</v>
      </c>
      <c r="V29" s="6">
        <f>$J$3+[17]FormattedData!O68*$J$4+$M$4*$J$5+[17]FormattedData!O68^2*$J$6+$M$5*$J$7</f>
        <v>37.340140363471974</v>
      </c>
      <c r="W29" s="5">
        <f t="shared" si="0"/>
        <v>34.066526795328883</v>
      </c>
      <c r="X29" s="4">
        <f t="shared" si="1"/>
        <v>0.84703118936375354</v>
      </c>
      <c r="Y29" s="3">
        <f t="shared" si="2"/>
        <v>30.359128067623537</v>
      </c>
      <c r="Z29" s="2">
        <f t="shared" si="3"/>
        <v>31.787734305437695</v>
      </c>
      <c r="AA29" s="3">
        <f t="shared" si="4"/>
        <v>32.871320951017609</v>
      </c>
      <c r="AB29" s="2">
        <f t="shared" si="5"/>
        <v>37.434143330184206</v>
      </c>
      <c r="AC29" s="2">
        <f t="shared" si="6"/>
        <v>38.27890197445636</v>
      </c>
      <c r="AD29" s="2">
        <f t="shared" si="7"/>
        <v>0.42535758552915759</v>
      </c>
      <c r="AE29" s="2">
        <f t="shared" si="8"/>
        <v>-1.6696988462915021</v>
      </c>
    </row>
    <row r="30" spans="2:31" x14ac:dyDescent="0.2">
      <c r="B30" s="1">
        <f>[17]FormattedData!A70</f>
        <v>305</v>
      </c>
      <c r="C30" s="1" t="str">
        <f>VLOOKUP($B30,[17]TrtCodes!$B$11:I113,2)</f>
        <v>NDH</v>
      </c>
      <c r="D30" s="1">
        <f>VLOOKUP($B30,[17]TrtCodes!$B$11:J113,3)</f>
        <v>11</v>
      </c>
      <c r="E30" s="1">
        <f>VLOOKUP($B30,[17]TrtCodes!$B$11:K113,4)</f>
        <v>2</v>
      </c>
      <c r="F30" s="1">
        <f>VLOOKUP($B30,[17]TrtCodes!$B$11:L113,5)</f>
        <v>3</v>
      </c>
      <c r="G30" s="1">
        <f>VLOOKUP($B30,[17]TrtCodes!$B$11:M113,6)</f>
        <v>2</v>
      </c>
      <c r="H30" s="1">
        <f>VLOOKUP($B30,[17]TrtCodes!$B$11:N113,7)</f>
        <v>4</v>
      </c>
      <c r="I30" s="1">
        <f>[17]FormattedData!B70</f>
        <v>1</v>
      </c>
      <c r="J30" s="4">
        <f>[17]FormattedData!C70</f>
        <v>13.586</v>
      </c>
      <c r="K30" s="6">
        <f>$J$3+[17]FormattedData!D70*$J$4+$M$4*$J$5+[17]FormattedData!D70^2*$J$6+$M$5*$J$7</f>
        <v>33.734297335138095</v>
      </c>
      <c r="L30" s="6">
        <f>$J$3+[17]FormattedData!E70*$J$4+$M$4*$J$5+[17]FormattedData!E70^2*$J$6+$M$5*$J$7</f>
        <v>31.522162017577312</v>
      </c>
      <c r="M30" s="6">
        <f>$J$3+[17]FormattedData!F70*$J$4+$M$4*$J$5+[17]FormattedData!F70^2*$J$6+$M$5*$J$7</f>
        <v>29.970097491091824</v>
      </c>
      <c r="N30" s="6">
        <f>$J$3+[17]FormattedData!G70*$J$4+$M$4*$J$5+[17]FormattedData!G70^2*$J$6+$M$5*$J$7</f>
        <v>31.715409249705239</v>
      </c>
      <c r="O30" s="6">
        <f>$J$3+[17]FormattedData!H70*$J$4+$M$4*$J$5+[17]FormattedData!H70^2*$J$6+$M$5*$J$7</f>
        <v>30.261933826297508</v>
      </c>
      <c r="P30" s="6">
        <f>$J$3+[17]FormattedData!I70*$J$4+$M$4*$J$5+[17]FormattedData!I70^2*$J$6+$M$5*$J$7</f>
        <v>32.582929501653318</v>
      </c>
      <c r="Q30" s="6">
        <f>$J$3+[17]FormattedData!J70*$J$4+$M$4*$J$5+[17]FormattedData!J70^2*$J$6+$M$5*$J$7</f>
        <v>29.092305984426478</v>
      </c>
      <c r="R30" s="6">
        <f>$J$3+[17]FormattedData!K70*$J$4+$M$4*$J$5+[17]FormattedData!K70^2*$J$6+$M$5*$J$7</f>
        <v>31.618806767910243</v>
      </c>
      <c r="S30" s="6">
        <f>$J$3+[17]FormattedData!L70*$J$4+$M$4*$J$5+[17]FormattedData!L70^2*$J$6+$M$5*$J$7</f>
        <v>30.067418538031646</v>
      </c>
      <c r="T30" s="6">
        <f>$J$3+[17]FormattedData!M70*$J$4+$M$4*$J$5+[17]FormattedData!M70^2*$J$6+$M$5*$J$7</f>
        <v>29.775328591598374</v>
      </c>
      <c r="U30" s="6">
        <f>$J$3+[17]FormattedData!N70*$J$4+$M$4*$J$5+[17]FormattedData!N70^2*$J$6+$M$5*$J$7</f>
        <v>29.482858228323717</v>
      </c>
      <c r="V30" s="6">
        <f>$J$3+[17]FormattedData!O70*$J$4+$M$4*$J$5+[17]FormattedData!O70^2*$J$6+$M$5*$J$7</f>
        <v>29.482858228323717</v>
      </c>
      <c r="W30" s="5">
        <f t="shared" si="0"/>
        <v>30.775533813339791</v>
      </c>
      <c r="X30" s="4">
        <f t="shared" si="1"/>
        <v>0.4152629337197819</v>
      </c>
      <c r="Y30" s="3">
        <f t="shared" si="2"/>
        <v>29.092305984426478</v>
      </c>
      <c r="Z30" s="2">
        <f t="shared" si="3"/>
        <v>29.702211000779709</v>
      </c>
      <c r="AA30" s="3">
        <f t="shared" si="4"/>
        <v>30.164676182164577</v>
      </c>
      <c r="AB30" s="2">
        <f t="shared" si="5"/>
        <v>31.642957388358994</v>
      </c>
      <c r="AC30" s="2">
        <f t="shared" si="6"/>
        <v>33.734297335138095</v>
      </c>
      <c r="AD30" s="2">
        <f t="shared" si="7"/>
        <v>0.82638153985110496</v>
      </c>
      <c r="AE30" s="2">
        <f t="shared" si="8"/>
        <v>-0.19668622380050049</v>
      </c>
    </row>
    <row r="31" spans="2:31" x14ac:dyDescent="0.2">
      <c r="B31" s="1">
        <f>[17]FormattedData!A72</f>
        <v>306</v>
      </c>
      <c r="C31" s="1" t="str">
        <f>VLOOKUP($B31,[17]TrtCodes!$B$11:I115,2)</f>
        <v>FTL</v>
      </c>
      <c r="D31" s="1">
        <f>VLOOKUP($B31,[17]TrtCodes!$B$11:J115,3)</f>
        <v>4</v>
      </c>
      <c r="E31" s="1">
        <f>VLOOKUP($B31,[17]TrtCodes!$B$11:K115,4)</f>
        <v>1</v>
      </c>
      <c r="F31" s="1">
        <f>VLOOKUP($B31,[17]TrtCodes!$B$11:L115,5)</f>
        <v>2</v>
      </c>
      <c r="G31" s="1">
        <f>VLOOKUP($B31,[17]TrtCodes!$B$11:M115,6)</f>
        <v>1</v>
      </c>
      <c r="H31" s="1">
        <f>VLOOKUP($B31,[17]TrtCodes!$B$11:N115,7)</f>
        <v>4</v>
      </c>
      <c r="I31" s="1">
        <f>[17]FormattedData!B72</f>
        <v>1</v>
      </c>
      <c r="J31" s="4">
        <f>[17]FormattedData!C72</f>
        <v>13.603</v>
      </c>
      <c r="K31" s="6">
        <f>$J$3+[17]FormattedData!D72*$J$4+$M$4*$J$5+[17]FormattedData!D72^2*$J$6+$M$5*$J$7</f>
        <v>34.593828833417177</v>
      </c>
      <c r="L31" s="6">
        <f>$J$3+[17]FormattedData!E72*$J$4+$M$4*$J$5+[17]FormattedData!E72^2*$J$6+$M$5*$J$7</f>
        <v>31.522162017577312</v>
      </c>
      <c r="M31" s="6">
        <f>$J$3+[17]FormattedData!F72*$J$4+$M$4*$J$5+[17]FormattedData!F72^2*$J$6+$M$5*$J$7</f>
        <v>31.522162017577312</v>
      </c>
      <c r="N31" s="6">
        <f>$J$3+[17]FormattedData!G72*$J$4+$M$4*$J$5+[17]FormattedData!G72^2*$J$6+$M$5*$J$7</f>
        <v>31.618806767910243</v>
      </c>
      <c r="O31" s="6">
        <f>$J$3+[17]FormattedData!H72*$J$4+$M$4*$J$5+[17]FormattedData!H72^2*$J$6+$M$5*$J$7</f>
        <v>32.679109298069001</v>
      </c>
      <c r="P31" s="6">
        <f>$J$3+[17]FormattedData!I72*$J$4+$M$4*$J$5+[17]FormattedData!I72^2*$J$6+$M$5*$J$7</f>
        <v>35.829329930007269</v>
      </c>
      <c r="Q31" s="6">
        <f>$J$3+[17]FormattedData!J72*$J$4+$M$4*$J$5+[17]FormattedData!J72^2*$J$6+$M$5*$J$7</f>
        <v>30.359128067623537</v>
      </c>
      <c r="R31" s="6">
        <f>$J$3+[17]FormattedData!K72*$J$4+$M$4*$J$5+[17]FormattedData!K72^2*$J$6+$M$5*$J$7</f>
        <v>32.101396491505916</v>
      </c>
      <c r="S31" s="6">
        <f>$J$3+[17]FormattedData!L72*$J$4+$M$4*$J$5+[17]FormattedData!L72^2*$J$6+$M$5*$J$7</f>
        <v>33.829969909098601</v>
      </c>
      <c r="T31" s="6">
        <f>$J$3+[17]FormattedData!M72*$J$4+$M$4*$J$5+[17]FormattedData!M72^2*$J$6+$M$5*$J$7</f>
        <v>29.775328591598374</v>
      </c>
      <c r="U31" s="6">
        <f>$J$3+[17]FormattedData!N72*$J$4+$M$4*$J$5+[17]FormattedData!N72^2*$J$6+$M$5*$J$7</f>
        <v>34.879578499160786</v>
      </c>
      <c r="V31" s="6">
        <f>$J$3+[17]FormattedData!O72*$J$4+$M$4*$J$5+[17]FormattedData!O72^2*$J$6+$M$5*$J$7</f>
        <v>29.677880739044749</v>
      </c>
      <c r="W31" s="5">
        <f t="shared" si="0"/>
        <v>32.365723430215859</v>
      </c>
      <c r="X31" s="4">
        <f t="shared" si="1"/>
        <v>0.5873330393336359</v>
      </c>
      <c r="Y31" s="3">
        <f t="shared" si="2"/>
        <v>29.677880739044749</v>
      </c>
      <c r="Z31" s="2">
        <f t="shared" si="3"/>
        <v>31.231403530088869</v>
      </c>
      <c r="AA31" s="3">
        <f t="shared" si="4"/>
        <v>31.86010162970808</v>
      </c>
      <c r="AB31" s="2">
        <f t="shared" si="5"/>
        <v>34.020934640178247</v>
      </c>
      <c r="AC31" s="2">
        <f t="shared" si="6"/>
        <v>35.829329930007269</v>
      </c>
      <c r="AD31" s="2">
        <f t="shared" si="7"/>
        <v>0.32581115662927906</v>
      </c>
      <c r="AE31" s="2">
        <f t="shared" si="8"/>
        <v>-1.0183455217293584</v>
      </c>
    </row>
    <row r="32" spans="2:31" x14ac:dyDescent="0.2">
      <c r="B32" s="1">
        <f>[17]FormattedData!A74</f>
        <v>307</v>
      </c>
      <c r="C32" s="1" t="str">
        <f>VLOOKUP($B32,[17]TrtCodes!$B$11:I117,2)</f>
        <v>NTH</v>
      </c>
      <c r="D32" s="1">
        <f>VLOOKUP($B32,[17]TrtCodes!$B$11:J117,3)</f>
        <v>9</v>
      </c>
      <c r="E32" s="1">
        <f>VLOOKUP($B32,[17]TrtCodes!$B$11:K117,4)</f>
        <v>2</v>
      </c>
      <c r="F32" s="1">
        <f>VLOOKUP($B32,[17]TrtCodes!$B$11:L117,5)</f>
        <v>2</v>
      </c>
      <c r="G32" s="1">
        <f>VLOOKUP($B32,[17]TrtCodes!$B$11:M117,6)</f>
        <v>2</v>
      </c>
      <c r="H32" s="1">
        <f>VLOOKUP($B32,[17]TrtCodes!$B$11:N117,7)</f>
        <v>4</v>
      </c>
      <c r="I32" s="1">
        <f>[17]FormattedData!B74</f>
        <v>1</v>
      </c>
      <c r="J32" s="4">
        <f>[17]FormattedData!C74</f>
        <v>13.619</v>
      </c>
      <c r="K32" s="6">
        <f>$J$3+[17]FormattedData!D74*$J$4+$M$4*$J$5+[17]FormattedData!D74^2*$J$6+$M$5*$J$7</f>
        <v>35.259986293954547</v>
      </c>
      <c r="L32" s="6">
        <f>$J$3+[17]FormattedData!E74*$J$4+$M$4*$J$5+[17]FormattedData!E74^2*$J$6+$M$5*$J$7</f>
        <v>31.522162017577312</v>
      </c>
      <c r="M32" s="6">
        <f>$J$3+[17]FormattedData!F74*$J$4+$M$4*$J$5+[17]FormattedData!F74^2*$J$6+$M$5*$J$7</f>
        <v>30.164697316433539</v>
      </c>
      <c r="N32" s="6">
        <f>$J$3+[17]FormattedData!G74*$J$4+$M$4*$J$5+[17]FormattedData!G74^2*$J$6+$M$5*$J$7</f>
        <v>37.4342067329911</v>
      </c>
      <c r="O32" s="6">
        <f>$J$3+[17]FormattedData!H74*$J$4+$M$4*$J$5+[17]FormattedData!H74^2*$J$6+$M$5*$J$7</f>
        <v>30.941405876283188</v>
      </c>
      <c r="P32" s="6">
        <f>$J$3+[17]FormattedData!I74*$J$4+$M$4*$J$5+[17]FormattedData!I74^2*$J$6+$M$5*$J$7</f>
        <v>38.185216021778615</v>
      </c>
      <c r="Q32" s="6">
        <f>$J$3+[17]FormattedData!J74*$J$4+$M$4*$J$5+[17]FormattedData!J74^2*$J$6+$M$5*$J$7</f>
        <v>31.618806767910243</v>
      </c>
      <c r="R32" s="6">
        <f>$J$3+[17]FormattedData!K74*$J$4+$M$4*$J$5+[17]FormattedData!K74^2*$J$6+$M$5*$J$7</f>
        <v>37.4342067329911</v>
      </c>
      <c r="S32" s="6">
        <f>$J$3+[17]FormattedData!L74*$J$4+$M$4*$J$5+[17]FormattedData!L74^2*$J$6+$M$5*$J$7</f>
        <v>31.0383042378437</v>
      </c>
      <c r="T32" s="6">
        <f>$J$3+[17]FormattedData!M74*$J$4+$M$4*$J$5+[17]FormattedData!M74^2*$J$6+$M$5*$J$7</f>
        <v>36.586087739953413</v>
      </c>
      <c r="U32" s="6">
        <f>$J$3+[17]FormattedData!N74*$J$4+$M$4*$J$5+[17]FormattedData!N74^2*$J$6+$M$5*$J$7</f>
        <v>30.747482347548363</v>
      </c>
      <c r="V32" s="6">
        <f>$J$3+[17]FormattedData!O74*$J$4+$M$4*$J$5+[17]FormattedData!O74^2*$J$6+$M$5*$J$7</f>
        <v>32.486707436699703</v>
      </c>
      <c r="W32" s="5">
        <f t="shared" si="0"/>
        <v>33.618272460163745</v>
      </c>
      <c r="X32" s="4">
        <f t="shared" si="1"/>
        <v>0.89249939909822018</v>
      </c>
      <c r="Y32" s="3">
        <f t="shared" si="2"/>
        <v>30.164697316433539</v>
      </c>
      <c r="Z32" s="2">
        <f t="shared" si="3"/>
        <v>31.01407964745357</v>
      </c>
      <c r="AA32" s="3">
        <f t="shared" si="4"/>
        <v>32.052757102304973</v>
      </c>
      <c r="AB32" s="2">
        <f t="shared" si="5"/>
        <v>36.798117488212839</v>
      </c>
      <c r="AC32" s="2">
        <f t="shared" si="6"/>
        <v>38.185216021778615</v>
      </c>
      <c r="AD32" s="2">
        <f t="shared" si="7"/>
        <v>0.43223077200076959</v>
      </c>
      <c r="AE32" s="2">
        <f t="shared" si="8"/>
        <v>-1.8142893499784907</v>
      </c>
    </row>
    <row r="33" spans="2:31" x14ac:dyDescent="0.2">
      <c r="B33" s="1">
        <f>[17]FormattedData!A76</f>
        <v>308</v>
      </c>
      <c r="C33" s="1" t="str">
        <f>VLOOKUP($B33,[17]TrtCodes!$B$11:I119,2)</f>
        <v>FDH</v>
      </c>
      <c r="D33" s="1">
        <f>VLOOKUP($B33,[17]TrtCodes!$B$11:J119,3)</f>
        <v>5</v>
      </c>
      <c r="E33" s="1">
        <f>VLOOKUP($B33,[17]TrtCodes!$B$11:K119,4)</f>
        <v>1</v>
      </c>
      <c r="F33" s="1">
        <f>VLOOKUP($B33,[17]TrtCodes!$B$11:L119,5)</f>
        <v>3</v>
      </c>
      <c r="G33" s="1">
        <f>VLOOKUP($B33,[17]TrtCodes!$B$11:M119,6)</f>
        <v>2</v>
      </c>
      <c r="H33" s="1">
        <f>VLOOKUP($B33,[17]TrtCodes!$B$11:N119,7)</f>
        <v>4</v>
      </c>
      <c r="I33" s="1">
        <f>[17]FormattedData!B76</f>
        <v>1</v>
      </c>
      <c r="J33" s="4">
        <f>[17]FormattedData!C76</f>
        <v>13.635</v>
      </c>
      <c r="K33" s="6">
        <f>$J$3+[17]FormattedData!D76*$J$4+$M$4*$J$5+[17]FormattedData!D76^2*$J$6+$M$5*$J$7</f>
        <v>30.359128067623537</v>
      </c>
      <c r="L33" s="6">
        <f>$J$3+[17]FormattedData!E76*$J$4+$M$4*$J$5+[17]FormattedData!E76^2*$J$6+$M$5*$J$7</f>
        <v>31.908487407681442</v>
      </c>
      <c r="M33" s="6">
        <f>$J$3+[17]FormattedData!F76*$J$4+$M$4*$J$5+[17]FormattedData!F76^2*$J$6+$M$5*$J$7</f>
        <v>29.580390617953203</v>
      </c>
      <c r="N33" s="6">
        <f>$J$3+[17]FormattedData!G76*$J$4+$M$4*$J$5+[17]FormattedData!G76^2*$J$6+$M$5*$J$7</f>
        <v>31.328745711297657</v>
      </c>
      <c r="O33" s="6">
        <f>$J$3+[17]FormattedData!H76*$J$4+$M$4*$J$5+[17]FormattedData!H76^2*$J$6+$M$5*$J$7</f>
        <v>30.164697316433539</v>
      </c>
      <c r="P33" s="6">
        <f>$J$3+[17]FormattedData!I76*$J$4+$M$4*$J$5+[17]FormattedData!I76^2*$J$6+$M$5*$J$7</f>
        <v>33.829969909098601</v>
      </c>
      <c r="Q33" s="6">
        <f>$J$3+[17]FormattedData!J76*$J$4+$M$4*$J$5+[17]FormattedData!J76^2*$J$6+$M$5*$J$7</f>
        <v>29.775328591598374</v>
      </c>
      <c r="R33" s="6">
        <f>$J$3+[17]FormattedData!K76*$J$4+$M$4*$J$5+[17]FormattedData!K76^2*$J$6+$M$5*$J$7</f>
        <v>31.811969462962303</v>
      </c>
      <c r="S33" s="6">
        <f>$J$3+[17]FormattedData!L76*$J$4+$M$4*$J$5+[17]FormattedData!L76^2*$J$6+$M$5*$J$7</f>
        <v>29.677880739044749</v>
      </c>
      <c r="T33" s="6">
        <f>$J$3+[17]FormattedData!M76*$J$4+$M$4*$J$5+[17]FormattedData!M76^2*$J$6+$M$5*$J$7</f>
        <v>31.328745711297657</v>
      </c>
      <c r="U33" s="6">
        <f>$J$3+[17]FormattedData!N76*$J$4+$M$4*$J$5+[17]FormattedData!N76^2*$J$6+$M$5*$J$7</f>
        <v>30.067418538031646</v>
      </c>
      <c r="V33" s="6">
        <f>$J$3+[17]FormattedData!O76*$J$4+$M$4*$J$5+[17]FormattedData!O76^2*$J$6+$M$5*$J$7</f>
        <v>29.775328591598374</v>
      </c>
      <c r="W33" s="5">
        <f t="shared" si="0"/>
        <v>30.800674222051754</v>
      </c>
      <c r="X33" s="4">
        <f t="shared" si="1"/>
        <v>0.3690060113498298</v>
      </c>
      <c r="Y33" s="3">
        <f t="shared" si="2"/>
        <v>29.580390617953203</v>
      </c>
      <c r="Z33" s="2">
        <f t="shared" si="3"/>
        <v>29.775328591598374</v>
      </c>
      <c r="AA33" s="3">
        <f t="shared" si="4"/>
        <v>30.261912692028538</v>
      </c>
      <c r="AB33" s="2">
        <f t="shared" si="5"/>
        <v>31.449551649213817</v>
      </c>
      <c r="AC33" s="2">
        <f t="shared" si="6"/>
        <v>33.829969909098601</v>
      </c>
      <c r="AD33" s="2">
        <f t="shared" si="7"/>
        <v>1.2723631785938623</v>
      </c>
      <c r="AE33" s="2">
        <f t="shared" si="8"/>
        <v>1.4806019985366206</v>
      </c>
    </row>
    <row r="34" spans="2:31" x14ac:dyDescent="0.2">
      <c r="B34" s="1">
        <f>[17]FormattedData!A92</f>
        <v>401</v>
      </c>
      <c r="C34" s="1" t="str">
        <f>VLOOKUP($B34,[17]TrtCodes!$B$11:I129,2)</f>
        <v>NSH</v>
      </c>
      <c r="D34" s="1">
        <f>VLOOKUP($B34,[17]TrtCodes!$B$11:J129,3)</f>
        <v>7</v>
      </c>
      <c r="E34" s="1">
        <f>VLOOKUP($B34,[17]TrtCodes!$B$11:K129,4)</f>
        <v>2</v>
      </c>
      <c r="F34" s="1">
        <f>VLOOKUP($B34,[17]TrtCodes!$B$11:L129,5)</f>
        <v>1</v>
      </c>
      <c r="G34" s="1">
        <f>VLOOKUP($B34,[17]TrtCodes!$B$11:M129,6)</f>
        <v>2</v>
      </c>
      <c r="H34" s="1">
        <f>VLOOKUP($B34,[17]TrtCodes!$B$11:N129,7)</f>
        <v>3</v>
      </c>
      <c r="I34" s="1">
        <f>[17]FormattedData!B92</f>
        <v>1</v>
      </c>
      <c r="J34" s="4">
        <f>[17]FormattedData!C92</f>
        <v>13.773999999999999</v>
      </c>
      <c r="K34" s="6">
        <f>$J$3+[17]FormattedData!D92*$J$4+$M$4*$J$5+[17]FormattedData!D92^2*$J$6+$M$5*$J$7</f>
        <v>47.702164811105298</v>
      </c>
      <c r="L34" s="6">
        <f>$J$3+[17]FormattedData!E92*$J$4+$M$4*$J$5+[17]FormattedData!E92^2*$J$6+$M$5*$J$7</f>
        <v>37.716152230320894</v>
      </c>
      <c r="M34" s="6">
        <f>$J$3+[17]FormattedData!F92*$J$4+$M$4*$J$5+[17]FormattedData!F92^2*$J$6+$M$5*$J$7</f>
        <v>42.909307222481594</v>
      </c>
      <c r="N34" s="6">
        <f>$J$3+[17]FormattedData!G92*$J$4+$M$4*$J$5+[17]FormattedData!G92^2*$J$6+$M$5*$J$7</f>
        <v>46.717184815539831</v>
      </c>
      <c r="O34" s="6">
        <f>$J$3+[17]FormattedData!H92*$J$4+$M$4*$J$5+[17]FormattedData!H92^2*$J$6+$M$5*$J$7</f>
        <v>38.746697709776136</v>
      </c>
      <c r="P34" s="6">
        <f>$J$3+[17]FormattedData!I92*$J$4+$M$4*$J$5+[17]FormattedData!I92^2*$J$6+$M$5*$J$7</f>
        <v>46.447666268361786</v>
      </c>
      <c r="Q34" s="6">
        <f>$J$3+[17]FormattedData!J92*$J$4+$M$4*$J$5+[17]FormattedData!J92^2*$J$6+$M$5*$J$7</f>
        <v>37.340140363471974</v>
      </c>
      <c r="R34" s="6">
        <f>$J$3+[17]FormattedData!K92*$J$4+$M$4*$J$5+[17]FormattedData!K92^2*$J$6+$M$5*$J$7</f>
        <v>44.368719113822024</v>
      </c>
      <c r="S34" s="6">
        <f>$J$3+[17]FormattedData!L92*$J$4+$M$4*$J$5+[17]FormattedData!L92^2*$J$6+$M$5*$J$7</f>
        <v>40.143744635045799</v>
      </c>
      <c r="T34" s="6">
        <f>$J$3+[17]FormattedData!M92*$J$4+$M$4*$J$5+[17]FormattedData!M92^2*$J$6+$M$5*$J$7</f>
        <v>42.542763508129234</v>
      </c>
      <c r="U34" s="6">
        <f>$J$3+[17]FormattedData!N92*$J$4+$M$4*$J$5+[17]FormattedData!N92^2*$J$6+$M$5*$J$7</f>
        <v>36.113431122771559</v>
      </c>
      <c r="V34" s="6">
        <f>$J$3+[17]FormattedData!O92*$J$4+$M$4*$J$5+[17]FormattedData!O92^2*$J$6+$M$5*$J$7</f>
        <v>34.78437087911751</v>
      </c>
      <c r="W34" s="5">
        <f t="shared" si="0"/>
        <v>41.294361889995294</v>
      </c>
      <c r="X34" s="4">
        <f t="shared" si="1"/>
        <v>1.2795528095751956</v>
      </c>
      <c r="Y34" s="3">
        <f t="shared" si="2"/>
        <v>34.78437087911751</v>
      </c>
      <c r="Z34" s="2">
        <f t="shared" si="3"/>
        <v>37.622149263608662</v>
      </c>
      <c r="AA34" s="3">
        <f t="shared" si="4"/>
        <v>41.343254071587516</v>
      </c>
      <c r="AB34" s="2">
        <f t="shared" si="5"/>
        <v>44.888455902456968</v>
      </c>
      <c r="AC34" s="2">
        <f t="shared" si="6"/>
        <v>47.702164811105298</v>
      </c>
      <c r="AD34" s="2">
        <f t="shared" si="7"/>
        <v>6.7621746188032864E-2</v>
      </c>
      <c r="AE34" s="2">
        <f t="shared" si="8"/>
        <v>-1.4520139856941929</v>
      </c>
    </row>
    <row r="35" spans="2:31" x14ac:dyDescent="0.2">
      <c r="B35" s="1">
        <f>[17]FormattedData!A90</f>
        <v>402</v>
      </c>
      <c r="C35" s="1" t="str">
        <f>VLOOKUP($B35,[17]TrtCodes!$B$11:I130,2)</f>
        <v>NTH</v>
      </c>
      <c r="D35" s="1">
        <f>VLOOKUP($B35,[17]TrtCodes!$B$11:J130,3)</f>
        <v>9</v>
      </c>
      <c r="E35" s="1">
        <f>VLOOKUP($B35,[17]TrtCodes!$B$11:K130,4)</f>
        <v>2</v>
      </c>
      <c r="F35" s="1">
        <f>VLOOKUP($B35,[17]TrtCodes!$B$11:L130,5)</f>
        <v>2</v>
      </c>
      <c r="G35" s="1">
        <f>VLOOKUP($B35,[17]TrtCodes!$B$11:M130,6)</f>
        <v>2</v>
      </c>
      <c r="H35" s="1">
        <f>VLOOKUP($B35,[17]TrtCodes!$B$11:N130,7)</f>
        <v>3</v>
      </c>
      <c r="I35" s="1">
        <f>[17]FormattedData!B90</f>
        <v>1</v>
      </c>
      <c r="J35" s="4">
        <f>[17]FormattedData!C90</f>
        <v>13.757999999999999</v>
      </c>
      <c r="K35" s="6">
        <f>$J$3+[17]FormattedData!D90*$J$4+$M$4*$J$5+[17]FormattedData!D90^2*$J$6+$M$5*$J$7</f>
        <v>41.069825684650844</v>
      </c>
      <c r="L35" s="6">
        <f>$J$3+[17]FormattedData!E90*$J$4+$M$4*$J$5+[17]FormattedData!E90^2*$J$6+$M$5*$J$7</f>
        <v>36.586087739953413</v>
      </c>
      <c r="M35" s="6">
        <f>$J$3+[17]FormattedData!F90*$J$4+$M$4*$J$5+[17]FormattedData!F90^2*$J$6+$M$5*$J$7</f>
        <v>33.063405798352434</v>
      </c>
      <c r="N35" s="6">
        <f>$J$3+[17]FormattedData!G90*$J$4+$M$4*$J$5+[17]FormattedData!G90^2*$J$6+$M$5*$J$7</f>
        <v>39.772128696141699</v>
      </c>
      <c r="O35" s="6">
        <f>$J$3+[17]FormattedData!H90*$J$4+$M$4*$J$5+[17]FormattedData!H90^2*$J$6+$M$5*$J$7</f>
        <v>33.542825381603272</v>
      </c>
      <c r="P35" s="6">
        <f>$J$3+[17]FormattedData!I90*$J$4+$M$4*$J$5+[17]FormattedData!I90^2*$J$6+$M$5*$J$7</f>
        <v>40.884947623033277</v>
      </c>
      <c r="Q35" s="6">
        <f>$J$3+[17]FormattedData!J90*$J$4+$M$4*$J$5+[17]FormattedData!J90^2*$J$6+$M$5*$J$7</f>
        <v>33.925600214521189</v>
      </c>
      <c r="R35" s="6">
        <f>$J$3+[17]FormattedData!K90*$J$4+$M$4*$J$5+[17]FormattedData!K90^2*$J$6+$M$5*$J$7</f>
        <v>37.151880818819919</v>
      </c>
      <c r="S35" s="6">
        <f>$J$3+[17]FormattedData!L90*$J$4+$M$4*$J$5+[17]FormattedData!L90^2*$J$6+$M$5*$J$7</f>
        <v>35.35498257130817</v>
      </c>
      <c r="T35" s="6">
        <f>$J$3+[17]FormattedData!M90*$J$4+$M$4*$J$5+[17]FormattedData!M90^2*$J$6+$M$5*$J$7</f>
        <v>39.586067115462072</v>
      </c>
      <c r="U35" s="6">
        <f>$J$3+[17]FormattedData!N90*$J$4+$M$4*$J$5+[17]FormattedData!N90^2*$J$6+$M$5*$J$7</f>
        <v>35.069866933633527</v>
      </c>
      <c r="V35" s="6">
        <f>$J$3+[17]FormattedData!O90*$J$4+$M$4*$J$5+[17]FormattedData!O90^2*$J$6+$M$5*$J$7</f>
        <v>35.544848320401599</v>
      </c>
      <c r="W35" s="5">
        <f t="shared" si="0"/>
        <v>36.796038908156788</v>
      </c>
      <c r="X35" s="4">
        <f t="shared" si="1"/>
        <v>0.83108935488408509</v>
      </c>
      <c r="Y35" s="3">
        <f t="shared" si="2"/>
        <v>33.063405798352434</v>
      </c>
      <c r="Z35" s="2">
        <f t="shared" si="3"/>
        <v>34.783800253855446</v>
      </c>
      <c r="AA35" s="3">
        <f t="shared" si="4"/>
        <v>36.065468030177506</v>
      </c>
      <c r="AB35" s="2">
        <f t="shared" si="5"/>
        <v>39.632582510631977</v>
      </c>
      <c r="AC35" s="2">
        <f t="shared" si="6"/>
        <v>41.069825684650844</v>
      </c>
      <c r="AD35" s="2">
        <f t="shared" si="7"/>
        <v>0.33993938727036704</v>
      </c>
      <c r="AE35" s="2">
        <f t="shared" si="8"/>
        <v>-1.4142406252519844</v>
      </c>
    </row>
    <row r="36" spans="2:31" x14ac:dyDescent="0.2">
      <c r="B36" s="1">
        <f>[17]FormattedData!A88</f>
        <v>403</v>
      </c>
      <c r="C36" s="1" t="str">
        <f>VLOOKUP($B36,[17]TrtCodes!$B$11:I131,2)</f>
        <v>FDL</v>
      </c>
      <c r="D36" s="1">
        <f>VLOOKUP($B36,[17]TrtCodes!$B$11:J131,3)</f>
        <v>6</v>
      </c>
      <c r="E36" s="1">
        <f>VLOOKUP($B36,[17]TrtCodes!$B$11:K131,4)</f>
        <v>1</v>
      </c>
      <c r="F36" s="1">
        <f>VLOOKUP($B36,[17]TrtCodes!$B$11:L131,5)</f>
        <v>3</v>
      </c>
      <c r="G36" s="1">
        <f>VLOOKUP($B36,[17]TrtCodes!$B$11:M131,6)</f>
        <v>1</v>
      </c>
      <c r="H36" s="1">
        <f>VLOOKUP($B36,[17]TrtCodes!$B$11:N131,7)</f>
        <v>3</v>
      </c>
      <c r="I36" s="1">
        <f>[17]FormattedData!B88</f>
        <v>1</v>
      </c>
      <c r="J36" s="4">
        <f>[17]FormattedData!C88</f>
        <v>13.742000000000001</v>
      </c>
      <c r="K36" s="6">
        <f>$J$3+[17]FormattedData!D88*$J$4+$M$4*$J$5+[17]FormattedData!D88^2*$J$6+$M$5*$J$7</f>
        <v>36.774854507060638</v>
      </c>
      <c r="L36" s="6">
        <f>$J$3+[17]FormattedData!E88*$J$4+$M$4*$J$5+[17]FormattedData!E88^2*$J$6+$M$5*$J$7</f>
        <v>31.425474998706456</v>
      </c>
      <c r="M36" s="6">
        <f>$J$3+[17]FormattedData!F88*$J$4+$M$4*$J$5+[17]FormattedData!F88^2*$J$6+$M$5*$J$7</f>
        <v>30.553389744661814</v>
      </c>
      <c r="N36" s="6">
        <f>$J$3+[17]FormattedData!G88*$J$4+$M$4*$J$5+[17]FormattedData!G88^2*$J$6+$M$5*$J$7</f>
        <v>34.212237519561342</v>
      </c>
      <c r="O36" s="6">
        <f>$J$3+[17]FormattedData!H88*$J$4+$M$4*$J$5+[17]FormattedData!H88^2*$J$6+$M$5*$J$7</f>
        <v>29.677880739044749</v>
      </c>
      <c r="P36" s="6">
        <f>$J$3+[17]FormattedData!I88*$J$4+$M$4*$J$5+[17]FormattedData!I88^2*$J$6+$M$5*$J$7</f>
        <v>33.734297335138095</v>
      </c>
      <c r="Q36" s="6">
        <f>$J$3+[17]FormattedData!J88*$J$4+$M$4*$J$5+[17]FormattedData!J88^2*$J$6+$M$5*$J$7</f>
        <v>30.164697316433539</v>
      </c>
      <c r="R36" s="6">
        <f>$J$3+[17]FormattedData!K88*$J$4+$M$4*$J$5+[17]FormattedData!K88^2*$J$6+$M$5*$J$7</f>
        <v>34.97474385066613</v>
      </c>
      <c r="S36" s="6">
        <f>$J$3+[17]FormattedData!L88*$J$4+$M$4*$J$5+[17]FormattedData!L88^2*$J$6+$M$5*$J$7</f>
        <v>35.734544995343313</v>
      </c>
      <c r="T36" s="6">
        <f>$J$3+[17]FormattedData!M88*$J$4+$M$4*$J$5+[17]FormattedData!M88^2*$J$6+$M$5*$J$7</f>
        <v>37.622212666415564</v>
      </c>
      <c r="U36" s="6">
        <f>$J$3+[17]FormattedData!N88*$J$4+$M$4*$J$5+[17]FormattedData!N88^2*$J$6+$M$5*$J$7</f>
        <v>33.925600214521189</v>
      </c>
      <c r="V36" s="6">
        <f>$J$3+[17]FormattedData!O88*$J$4+$M$4*$J$5+[17]FormattedData!O88^2*$J$6+$M$5*$J$7</f>
        <v>31.23197415535094</v>
      </c>
      <c r="W36" s="5">
        <f t="shared" si="0"/>
        <v>33.335992336908646</v>
      </c>
      <c r="X36" s="4">
        <f t="shared" si="1"/>
        <v>0.7744443160440061</v>
      </c>
      <c r="Y36" s="3">
        <f t="shared" si="2"/>
        <v>29.677880739044749</v>
      </c>
      <c r="Z36" s="2">
        <f t="shared" si="3"/>
        <v>31.062328052678659</v>
      </c>
      <c r="AA36" s="3">
        <f t="shared" si="4"/>
        <v>33.829948774829646</v>
      </c>
      <c r="AB36" s="2">
        <f t="shared" si="5"/>
        <v>35.164694136835422</v>
      </c>
      <c r="AC36" s="2">
        <f t="shared" si="6"/>
        <v>37.622212666415564</v>
      </c>
      <c r="AD36" s="2">
        <f t="shared" si="7"/>
        <v>0.11228668968397996</v>
      </c>
      <c r="AE36" s="2">
        <f t="shared" si="8"/>
        <v>-1.3213381047454811</v>
      </c>
    </row>
    <row r="37" spans="2:31" x14ac:dyDescent="0.2">
      <c r="B37" s="1">
        <f>[17]FormattedData!A86</f>
        <v>404</v>
      </c>
      <c r="C37" s="1" t="str">
        <f>VLOOKUP($B37,[17]TrtCodes!$B$11:I129,2)</f>
        <v>FTH</v>
      </c>
      <c r="D37" s="1">
        <f>VLOOKUP($B37,[17]TrtCodes!$B$11:J129,3)</f>
        <v>3</v>
      </c>
      <c r="E37" s="1">
        <f>VLOOKUP($B37,[17]TrtCodes!$B$11:K129,4)</f>
        <v>1</v>
      </c>
      <c r="F37" s="1">
        <f>VLOOKUP($B37,[17]TrtCodes!$B$11:L129,5)</f>
        <v>2</v>
      </c>
      <c r="G37" s="1">
        <f>VLOOKUP($B37,[17]TrtCodes!$B$11:M129,6)</f>
        <v>2</v>
      </c>
      <c r="H37" s="1">
        <f>VLOOKUP($B37,[17]TrtCodes!$B$11:N129,7)</f>
        <v>3</v>
      </c>
      <c r="I37" s="1">
        <f>[17]FormattedData!B86</f>
        <v>1</v>
      </c>
      <c r="J37" s="4">
        <f>[17]FormattedData!C86</f>
        <v>13.724</v>
      </c>
      <c r="K37" s="6">
        <f>$J$3+[17]FormattedData!D86*$J$4+$M$4*$J$5+[17]FormattedData!D86^2*$J$6+$M$5*$J$7</f>
        <v>38.27890197445636</v>
      </c>
      <c r="L37" s="6">
        <f>$J$3+[17]FormattedData!E86*$J$4+$M$4*$J$5+[17]FormattedData!E86^2*$J$6+$M$5*$J$7</f>
        <v>31.425474998706456</v>
      </c>
      <c r="M37" s="6">
        <f>$J$3+[17]FormattedData!F86*$J$4+$M$4*$J$5+[17]FormattedData!F86^2*$J$6+$M$5*$J$7</f>
        <v>30.941405876283188</v>
      </c>
      <c r="N37" s="6">
        <f>$J$3+[17]FormattedData!G86*$J$4+$M$4*$J$5+[17]FormattedData!G86^2*$J$6+$M$5*$J$7</f>
        <v>34.307698750832195</v>
      </c>
      <c r="O37" s="6">
        <f>$J$3+[17]FormattedData!H86*$J$4+$M$4*$J$5+[17]FormattedData!H86^2*$J$6+$M$5*$J$7</f>
        <v>31.23197415535094</v>
      </c>
      <c r="P37" s="6">
        <f>$J$3+[17]FormattedData!I86*$J$4+$M$4*$J$5+[17]FormattedData!I86^2*$J$6+$M$5*$J$7</f>
        <v>34.307698750832195</v>
      </c>
      <c r="Q37" s="6">
        <f>$J$3+[17]FormattedData!J86*$J$4+$M$4*$J$5+[17]FormattedData!J86^2*$J$6+$M$5*$J$7</f>
        <v>33.351184353916729</v>
      </c>
      <c r="R37" s="6">
        <f>$J$3+[17]FormattedData!K86*$J$4+$M$4*$J$5+[17]FormattedData!K86^2*$J$6+$M$5*$J$7</f>
        <v>32.967395076088472</v>
      </c>
      <c r="S37" s="6">
        <f>$J$3+[17]FormattedData!L86*$J$4+$M$4*$J$5+[17]FormattedData!L86^2*$J$6+$M$5*$J$7</f>
        <v>31.618806767910243</v>
      </c>
      <c r="T37" s="6">
        <f>$J$3+[17]FormattedData!M86*$J$4+$M$4*$J$5+[17]FormattedData!M86^2*$J$6+$M$5*$J$7</f>
        <v>31.328745711297657</v>
      </c>
      <c r="U37" s="6">
        <f>$J$3+[17]FormattedData!N86*$J$4+$M$4*$J$5+[17]FormattedData!N86^2*$J$6+$M$5*$J$7</f>
        <v>37.622212666415564</v>
      </c>
      <c r="V37" s="6">
        <f>$J$3+[17]FormattedData!O86*$J$4+$M$4*$J$5+[17]FormattedData!O86^2*$J$6+$M$5*$J$7</f>
        <v>31.425474998706456</v>
      </c>
      <c r="W37" s="5">
        <f t="shared" si="0"/>
        <v>33.233914506733036</v>
      </c>
      <c r="X37" s="4">
        <f t="shared" si="1"/>
        <v>0.72374435866408182</v>
      </c>
      <c r="Y37" s="3">
        <f t="shared" si="2"/>
        <v>30.941405876283188</v>
      </c>
      <c r="Z37" s="2">
        <f t="shared" si="3"/>
        <v>31.401292676854254</v>
      </c>
      <c r="AA37" s="3">
        <f t="shared" si="4"/>
        <v>32.293100921999354</v>
      </c>
      <c r="AB37" s="2">
        <f t="shared" si="5"/>
        <v>34.307698750832195</v>
      </c>
      <c r="AC37" s="2">
        <f t="shared" si="6"/>
        <v>38.27890197445636</v>
      </c>
      <c r="AD37" s="2">
        <f t="shared" si="7"/>
        <v>1.1930229360337026</v>
      </c>
      <c r="AE37" s="2">
        <f t="shared" si="8"/>
        <v>0.37912864402822866</v>
      </c>
    </row>
    <row r="38" spans="2:31" x14ac:dyDescent="0.2">
      <c r="B38" s="1">
        <f>[17]FormattedData!A84</f>
        <v>405</v>
      </c>
      <c r="C38" s="1" t="str">
        <f>VLOOKUP($B38,[17]TrtCodes!$B$11:I127,2)</f>
        <v>FDL</v>
      </c>
      <c r="D38" s="1">
        <f>VLOOKUP($B38,[17]TrtCodes!$B$11:J127,3)</f>
        <v>6</v>
      </c>
      <c r="E38" s="1">
        <f>VLOOKUP($B38,[17]TrtCodes!$B$11:K127,4)</f>
        <v>1</v>
      </c>
      <c r="F38" s="1">
        <f>VLOOKUP($B38,[17]TrtCodes!$B$11:L127,5)</f>
        <v>3</v>
      </c>
      <c r="G38" s="1">
        <f>VLOOKUP($B38,[17]TrtCodes!$B$11:M127,6)</f>
        <v>1</v>
      </c>
      <c r="H38" s="1">
        <f>VLOOKUP($B38,[17]TrtCodes!$B$11:N127,7)</f>
        <v>4</v>
      </c>
      <c r="I38" s="1">
        <f>[17]FormattedData!B84</f>
        <v>1</v>
      </c>
      <c r="J38" s="4">
        <f>[17]FormattedData!C84</f>
        <v>13.707000000000001</v>
      </c>
      <c r="K38" s="6">
        <f>$J$3+[17]FormattedData!D84*$J$4+$M$4*$J$5+[17]FormattedData!D84^2*$J$6+$M$5*$J$7</f>
        <v>35.449936580123854</v>
      </c>
      <c r="L38" s="6">
        <f>$J$3+[17]FormattedData!E84*$J$4+$M$4*$J$5+[17]FormattedData!E84^2*$J$6+$M$5*$J$7</f>
        <v>30.650457180374051</v>
      </c>
      <c r="M38" s="6">
        <f>$J$3+[17]FormattedData!F84*$J$4+$M$4*$J$5+[17]FormattedData!F84^2*$J$6+$M$5*$J$7</f>
        <v>29.970097491091824</v>
      </c>
      <c r="N38" s="6">
        <f>$J$3+[17]FormattedData!G84*$J$4+$M$4*$J$5+[17]FormattedData!G84^2*$J$6+$M$5*$J$7</f>
        <v>33.638582492639642</v>
      </c>
      <c r="O38" s="6">
        <f>$J$3+[17]FormattedData!H84*$J$4+$M$4*$J$5+[17]FormattedData!H84^2*$J$6+$M$5*$J$7</f>
        <v>29.970097491091824</v>
      </c>
      <c r="P38" s="6">
        <f>$J$3+[17]FormattedData!I84*$J$4+$M$4*$J$5+[17]FormattedData!I84^2*$J$6+$M$5*$J$7</f>
        <v>35.259986293954547</v>
      </c>
      <c r="Q38" s="6">
        <f>$J$3+[17]FormattedData!J84*$J$4+$M$4*$J$5+[17]FormattedData!J84^2*$J$6+$M$5*$J$7</f>
        <v>29.87273417561406</v>
      </c>
      <c r="R38" s="6">
        <f>$J$3+[17]FormattedData!K84*$J$4+$M$4*$J$5+[17]FormattedData!K84^2*$J$6+$M$5*$J$7</f>
        <v>35.259986293954547</v>
      </c>
      <c r="S38" s="6">
        <f>$J$3+[17]FormattedData!L84*$J$4+$M$4*$J$5+[17]FormattedData!L84^2*$J$6+$M$5*$J$7</f>
        <v>30.164697316433539</v>
      </c>
      <c r="T38" s="6">
        <f>$J$3+[17]FormattedData!M84*$J$4+$M$4*$J$5+[17]FormattedData!M84^2*$J$6+$M$5*$J$7</f>
        <v>34.689120990536317</v>
      </c>
      <c r="U38" s="6">
        <f>$J$3+[17]FormattedData!N84*$J$4+$M$4*$J$5+[17]FormattedData!N84^2*$J$6+$M$5*$J$7</f>
        <v>29.482858228323717</v>
      </c>
      <c r="V38" s="6">
        <f>$J$3+[17]FormattedData!O84*$J$4+$M$4*$J$5+[17]FormattedData!O84^2*$J$6+$M$5*$J$7</f>
        <v>32.004963083862648</v>
      </c>
      <c r="W38" s="5">
        <f t="shared" si="0"/>
        <v>32.201126468166713</v>
      </c>
      <c r="X38" s="4">
        <f t="shared" si="1"/>
        <v>0.71180459453183054</v>
      </c>
      <c r="Y38" s="3">
        <f t="shared" si="2"/>
        <v>29.482858228323717</v>
      </c>
      <c r="Z38" s="2">
        <f t="shared" si="3"/>
        <v>29.970097491091824</v>
      </c>
      <c r="AA38" s="3">
        <f t="shared" si="4"/>
        <v>31.327710132118348</v>
      </c>
      <c r="AB38" s="2">
        <f t="shared" si="5"/>
        <v>34.831837316390875</v>
      </c>
      <c r="AC38" s="2">
        <f t="shared" si="6"/>
        <v>35.449936580123854</v>
      </c>
      <c r="AD38" s="2">
        <f t="shared" si="7"/>
        <v>0.31146543242999103</v>
      </c>
      <c r="AE38" s="2">
        <f t="shared" si="8"/>
        <v>-1.9633540527779076</v>
      </c>
    </row>
    <row r="39" spans="2:31" x14ac:dyDescent="0.2">
      <c r="B39" s="1">
        <f>[17]FormattedData!A82</f>
        <v>406</v>
      </c>
      <c r="C39" s="1" t="str">
        <f>VLOOKUP($B39,[17]TrtCodes!$B$11:I125,2)</f>
        <v>FTH</v>
      </c>
      <c r="D39" s="1">
        <f>VLOOKUP($B39,[17]TrtCodes!$B$11:J125,3)</f>
        <v>3</v>
      </c>
      <c r="E39" s="1">
        <f>VLOOKUP($B39,[17]TrtCodes!$B$11:K125,4)</f>
        <v>1</v>
      </c>
      <c r="F39" s="1">
        <f>VLOOKUP($B39,[17]TrtCodes!$B$11:L125,5)</f>
        <v>2</v>
      </c>
      <c r="G39" s="1">
        <f>VLOOKUP($B39,[17]TrtCodes!$B$11:M125,6)</f>
        <v>2</v>
      </c>
      <c r="H39" s="1">
        <f>VLOOKUP($B39,[17]TrtCodes!$B$11:N125,7)</f>
        <v>4</v>
      </c>
      <c r="I39" s="1">
        <f>[17]FormattedData!B82</f>
        <v>1</v>
      </c>
      <c r="J39" s="4">
        <f>[17]FormattedData!C82</f>
        <v>13.69</v>
      </c>
      <c r="K39" s="6">
        <f>$J$3+[17]FormattedData!D82*$J$4+$M$4*$J$5+[17]FormattedData!D82^2*$J$6+$M$5*$J$7</f>
        <v>41.807647189603841</v>
      </c>
      <c r="L39" s="6">
        <f>$J$3+[17]FormattedData!E82*$J$4+$M$4*$J$5+[17]FormattedData!E82^2*$J$6+$M$5*$J$7</f>
        <v>33.829969909098601</v>
      </c>
      <c r="M39" s="6">
        <f>$J$3+[17]FormattedData!F82*$J$4+$M$4*$J$5+[17]FormattedData!F82^2*$J$6+$M$5*$J$7</f>
        <v>30.456280040411645</v>
      </c>
      <c r="N39" s="6">
        <f>$J$3+[17]FormattedData!G82*$J$4+$M$4*$J$5+[17]FormattedData!G82^2*$J$6+$M$5*$J$7</f>
        <v>32.582929501653318</v>
      </c>
      <c r="O39" s="6">
        <f>$J$3+[17]FormattedData!H82*$J$4+$M$4*$J$5+[17]FormattedData!H82^2*$J$6+$M$5*$J$7</f>
        <v>32.004963083862648</v>
      </c>
      <c r="P39" s="6">
        <f>$J$3+[17]FormattedData!I82*$J$4+$M$4*$J$5+[17]FormattedData!I82^2*$J$6+$M$5*$J$7</f>
        <v>30.941405876283188</v>
      </c>
      <c r="Q39" s="6">
        <f>$J$3+[17]FormattedData!J82*$J$4+$M$4*$J$5+[17]FormattedData!J82^2*$J$6+$M$5*$J$7</f>
        <v>31.522162017577312</v>
      </c>
      <c r="R39" s="6">
        <f>$J$3+[17]FormattedData!K82*$J$4+$M$4*$J$5+[17]FormattedData!K82^2*$J$6+$M$5*$J$7</f>
        <v>32.486707436699703</v>
      </c>
      <c r="S39" s="6">
        <f>$J$3+[17]FormattedData!L82*$J$4+$M$4*$J$5+[17]FormattedData!L82^2*$J$6+$M$5*$J$7</f>
        <v>34.307698750832195</v>
      </c>
      <c r="T39" s="6">
        <f>$J$3+[17]FormattedData!M82*$J$4+$M$4*$J$5+[17]FormattedData!M82^2*$J$6+$M$5*$J$7</f>
        <v>32.582929501653318</v>
      </c>
      <c r="U39" s="6">
        <f>$J$3+[17]FormattedData!N82*$J$4+$M$4*$J$5+[17]FormattedData!N82^2*$J$6+$M$5*$J$7</f>
        <v>35.449936580123854</v>
      </c>
      <c r="V39" s="6">
        <f>$J$3+[17]FormattedData!O82*$J$4+$M$4*$J$5+[17]FormattedData!O82^2*$J$6+$M$5*$J$7</f>
        <v>31.715409249705239</v>
      </c>
      <c r="W39" s="5">
        <f t="shared" si="0"/>
        <v>33.307336594792069</v>
      </c>
      <c r="X39" s="4">
        <f t="shared" si="1"/>
        <v>0.87466988475983531</v>
      </c>
      <c r="Y39" s="3">
        <f t="shared" si="2"/>
        <v>30.456280040411645</v>
      </c>
      <c r="Z39" s="2">
        <f t="shared" si="3"/>
        <v>31.667097441673256</v>
      </c>
      <c r="AA39" s="3">
        <f t="shared" si="4"/>
        <v>32.534818469176514</v>
      </c>
      <c r="AB39" s="2">
        <f t="shared" si="5"/>
        <v>33.949402119531996</v>
      </c>
      <c r="AC39" s="2">
        <f t="shared" si="6"/>
        <v>41.807647189603841</v>
      </c>
      <c r="AD39" s="2">
        <f t="shared" si="7"/>
        <v>2.2570222987626591</v>
      </c>
      <c r="AE39" s="2">
        <f t="shared" si="8"/>
        <v>5.989332582553768</v>
      </c>
    </row>
    <row r="40" spans="2:31" x14ac:dyDescent="0.2">
      <c r="B40" s="1">
        <f>[17]FormattedData!A80</f>
        <v>407</v>
      </c>
      <c r="C40" s="1" t="str">
        <f>VLOOKUP($B40,[17]TrtCodes!$B$11:I123,2)</f>
        <v>NSH</v>
      </c>
      <c r="D40" s="1">
        <f>VLOOKUP($B40,[17]TrtCodes!$B$11:J123,3)</f>
        <v>7</v>
      </c>
      <c r="E40" s="1">
        <f>VLOOKUP($B40,[17]TrtCodes!$B$11:K123,4)</f>
        <v>2</v>
      </c>
      <c r="F40" s="1">
        <f>VLOOKUP($B40,[17]TrtCodes!$B$11:L123,5)</f>
        <v>1</v>
      </c>
      <c r="G40" s="1">
        <f>VLOOKUP($B40,[17]TrtCodes!$B$11:M123,6)</f>
        <v>2</v>
      </c>
      <c r="H40" s="1">
        <f>VLOOKUP($B40,[17]TrtCodes!$B$11:N123,7)</f>
        <v>4</v>
      </c>
      <c r="I40" s="1">
        <f>[17]FormattedData!B80</f>
        <v>1</v>
      </c>
      <c r="J40" s="4">
        <f>[17]FormattedData!C80</f>
        <v>13.673999999999999</v>
      </c>
      <c r="K40" s="6">
        <f>$J$3+[17]FormattedData!D80*$J$4+$M$4*$J$5+[17]FormattedData!D80^2*$J$6+$M$5*$J$7</f>
        <v>40.143744635045799</v>
      </c>
      <c r="L40" s="6">
        <f>$J$3+[17]FormattedData!E80*$J$4+$M$4*$J$5+[17]FormattedData!E80^2*$J$6+$M$5*$J$7</f>
        <v>37.246031725414909</v>
      </c>
      <c r="M40" s="6">
        <f>$J$3+[17]FormattedData!F80*$J$4+$M$4*$J$5+[17]FormattedData!F80^2*$J$6+$M$5*$J$7</f>
        <v>35.734544995343313</v>
      </c>
      <c r="N40" s="6">
        <f>$J$3+[17]FormattedData!G80*$J$4+$M$4*$J$5+[17]FormattedData!G80^2*$J$6+$M$5*$J$7</f>
        <v>37.246031725414909</v>
      </c>
      <c r="O40" s="6">
        <f>$J$3+[17]FormattedData!H80*$J$4+$M$4*$J$5+[17]FormattedData!H80^2*$J$6+$M$5*$J$7</f>
        <v>31.618806767910243</v>
      </c>
      <c r="P40" s="6">
        <f>$J$3+[17]FormattedData!I80*$J$4+$M$4*$J$5+[17]FormattedData!I80^2*$J$6+$M$5*$J$7</f>
        <v>39.399836460630716</v>
      </c>
      <c r="Q40" s="6">
        <f>$J$3+[17]FormattedData!J80*$J$4+$M$4*$J$5+[17]FormattedData!J80^2*$J$6+$M$5*$J$7</f>
        <v>34.212237519561342</v>
      </c>
      <c r="R40" s="6">
        <f>$J$3+[17]FormattedData!K80*$J$4+$M$4*$J$5+[17]FormattedData!K80^2*$J$6+$M$5*$J$7</f>
        <v>38.933520124138525</v>
      </c>
      <c r="S40" s="6">
        <f>$J$3+[17]FormattedData!L80*$J$4+$M$4*$J$5+[17]FormattedData!L80^2*$J$6+$M$5*$J$7</f>
        <v>34.116734019752549</v>
      </c>
      <c r="T40" s="6">
        <f>$J$3+[17]FormattedData!M80*$J$4+$M$4*$J$5+[17]FormattedData!M80^2*$J$6+$M$5*$J$7</f>
        <v>41.069825684650844</v>
      </c>
      <c r="U40" s="6">
        <f>$J$3+[17]FormattedData!N80*$J$4+$M$4*$J$5+[17]FormattedData!N80^2*$J$6+$M$5*$J$7</f>
        <v>33.925600214521189</v>
      </c>
      <c r="V40" s="6">
        <f>$J$3+[17]FormattedData!O80*$J$4+$M$4*$J$5+[17]FormattedData!O80^2*$J$6+$M$5*$J$7</f>
        <v>36.208046983283793</v>
      </c>
      <c r="W40" s="5">
        <f t="shared" si="0"/>
        <v>36.654580071305674</v>
      </c>
      <c r="X40" s="4">
        <f t="shared" si="1"/>
        <v>0.83192089507723521</v>
      </c>
      <c r="Y40" s="3">
        <f t="shared" si="2"/>
        <v>31.618806767910243</v>
      </c>
      <c r="Z40" s="2">
        <f t="shared" si="3"/>
        <v>34.188361644609145</v>
      </c>
      <c r="AA40" s="3">
        <f t="shared" si="4"/>
        <v>36.727039354349351</v>
      </c>
      <c r="AB40" s="2">
        <f t="shared" si="5"/>
        <v>39.050099208261571</v>
      </c>
      <c r="AC40" s="2">
        <f t="shared" si="6"/>
        <v>41.069825684650844</v>
      </c>
      <c r="AD40" s="2">
        <f t="shared" si="7"/>
        <v>-8.3493225604944085E-2</v>
      </c>
      <c r="AE40" s="2">
        <f t="shared" si="8"/>
        <v>-0.86097012540621609</v>
      </c>
    </row>
    <row r="41" spans="2:31" x14ac:dyDescent="0.2">
      <c r="B41" s="1">
        <f>[17]FormattedData!A78</f>
        <v>408</v>
      </c>
      <c r="C41" s="1" t="str">
        <f>VLOOKUP($B41,[17]TrtCodes!$B$11:I121,2)</f>
        <v>NTL</v>
      </c>
      <c r="D41" s="1">
        <f>VLOOKUP($B41,[17]TrtCodes!$B$11:J121,3)</f>
        <v>10</v>
      </c>
      <c r="E41" s="1">
        <f>VLOOKUP($B41,[17]TrtCodes!$B$11:K121,4)</f>
        <v>2</v>
      </c>
      <c r="F41" s="1">
        <f>VLOOKUP($B41,[17]TrtCodes!$B$11:L121,5)</f>
        <v>2</v>
      </c>
      <c r="G41" s="1">
        <f>VLOOKUP($B41,[17]TrtCodes!$B$11:M121,6)</f>
        <v>1</v>
      </c>
      <c r="H41" s="1">
        <f>VLOOKUP($B41,[17]TrtCodes!$B$11:N121,7)</f>
        <v>4</v>
      </c>
      <c r="I41" s="1">
        <f>[17]FormattedData!B78</f>
        <v>1</v>
      </c>
      <c r="J41" s="4">
        <f>[17]FormattedData!C78</f>
        <v>13.657</v>
      </c>
      <c r="K41" s="6">
        <f>$J$3+[17]FormattedData!D78*$J$4+$M$4*$J$5+[17]FormattedData!D78^2*$J$6+$M$5*$J$7</f>
        <v>37.622212666415564</v>
      </c>
      <c r="L41" s="6">
        <f>$J$3+[17]FormattedData!E78*$J$4+$M$4*$J$5+[17]FormattedData!E78^2*$J$6+$M$5*$J$7</f>
        <v>34.021188251405839</v>
      </c>
      <c r="M41" s="6">
        <f>$J$3+[17]FormattedData!F78*$J$4+$M$4*$J$5+[17]FormattedData!F78^2*$J$6+$M$5*$J$7</f>
        <v>30.261933826297508</v>
      </c>
      <c r="N41" s="6">
        <f>$J$3+[17]FormattedData!G78*$J$4+$M$4*$J$5+[17]FormattedData!G78^2*$J$6+$M$5*$J$7</f>
        <v>38.840130051226296</v>
      </c>
      <c r="O41" s="6">
        <f>$J$3+[17]FormattedData!H78*$J$4+$M$4*$J$5+[17]FormattedData!H78^2*$J$6+$M$5*$J$7</f>
        <v>29.87273417561406</v>
      </c>
      <c r="P41" s="6">
        <f>$J$3+[17]FormattedData!I78*$J$4+$M$4*$J$5+[17]FormattedData!I78^2*$J$6+$M$5*$J$7</f>
        <v>36.869174487807364</v>
      </c>
      <c r="Q41" s="6">
        <f>$J$3+[17]FormattedData!J78*$J$4+$M$4*$J$5+[17]FormattedData!J78^2*$J$6+$M$5*$J$7</f>
        <v>30.941405876283188</v>
      </c>
      <c r="R41" s="6">
        <f>$J$3+[17]FormattedData!K78*$J$4+$M$4*$J$5+[17]FormattedData!K78^2*$J$6+$M$5*$J$7</f>
        <v>35.9240725961333</v>
      </c>
      <c r="S41" s="6">
        <f>$J$3+[17]FormattedData!L78*$J$4+$M$4*$J$5+[17]FormattedData!L78^2*$J$6+$M$5*$J$7</f>
        <v>30.553389744661814</v>
      </c>
      <c r="T41" s="6">
        <f>$J$3+[17]FormattedData!M78*$J$4+$M$4*$J$5+[17]FormattedData!M78^2*$J$6+$M$5*$J$7</f>
        <v>36.774854507060638</v>
      </c>
      <c r="U41" s="6">
        <f>$J$3+[17]FormattedData!N78*$J$4+$M$4*$J$5+[17]FormattedData!N78^2*$J$6+$M$5*$J$7</f>
        <v>29.482858228323717</v>
      </c>
      <c r="V41" s="6">
        <f>$J$3+[17]FormattedData!O78*$J$4+$M$4*$J$5+[17]FormattedData!O78^2*$J$6+$M$5*$J$7</f>
        <v>32.871342085286578</v>
      </c>
      <c r="W41" s="5">
        <f t="shared" si="0"/>
        <v>33.669608041376314</v>
      </c>
      <c r="X41" s="4">
        <f t="shared" si="1"/>
        <v>0.98777329197016228</v>
      </c>
      <c r="Y41" s="3">
        <f t="shared" si="2"/>
        <v>29.482858228323717</v>
      </c>
      <c r="Z41" s="2">
        <f t="shared" si="3"/>
        <v>30.480525765070738</v>
      </c>
      <c r="AA41" s="3">
        <f t="shared" si="4"/>
        <v>33.446265168346208</v>
      </c>
      <c r="AB41" s="2">
        <f t="shared" si="5"/>
        <v>36.798434502247318</v>
      </c>
      <c r="AC41" s="2">
        <f t="shared" si="6"/>
        <v>38.840130051226296</v>
      </c>
      <c r="AD41" s="2">
        <f t="shared" si="7"/>
        <v>0.15087767577745859</v>
      </c>
      <c r="AE41" s="2">
        <f t="shared" si="8"/>
        <v>-1.7545418533912329</v>
      </c>
    </row>
    <row r="42" spans="2:31" x14ac:dyDescent="0.2">
      <c r="B42" s="17">
        <f>[17]FormattedData!A60</f>
        <v>901</v>
      </c>
      <c r="C42" s="17" t="str">
        <f>VLOOKUP($B42,[17]TrtCodes!$B$11:I103,2)</f>
        <v>WS</v>
      </c>
      <c r="D42" s="17">
        <f>VLOOKUP($B42,[17]TrtCodes!$B$11:J103,3)</f>
        <v>32</v>
      </c>
      <c r="E42" s="17">
        <f>VLOOKUP($B42,[17]TrtCodes!$B$11:K103,4)</f>
        <v>9</v>
      </c>
      <c r="F42" s="17">
        <f>VLOOKUP($B42,[17]TrtCodes!$B$11:L103,5)</f>
        <v>0</v>
      </c>
      <c r="G42" s="17">
        <f>VLOOKUP($B42,[17]TrtCodes!$B$11:M103,6)</f>
        <v>1</v>
      </c>
      <c r="H42" s="17">
        <f>VLOOKUP($B42,[17]TrtCodes!$B$11:N103,7)</f>
        <v>1</v>
      </c>
      <c r="I42" s="17">
        <f>[17]FormattedData!B60</f>
        <v>1</v>
      </c>
      <c r="J42" s="15">
        <f>[17]FormattedData!C60</f>
        <v>13.507999999999999</v>
      </c>
      <c r="K42" s="14">
        <f>$J$3+[17]FormattedData!D60*$J$4+$M$4*$J$5+[17]FormattedData!D60^2*$J$6+$M$5*$J$7</f>
        <v>39.586067115462072</v>
      </c>
      <c r="L42" s="14">
        <f>$J$3+[17]FormattedData!E60*$J$4+$M$4*$J$5+[17]FormattedData!E60^2*$J$6+$M$5*$J$7</f>
        <v>39.49297292231536</v>
      </c>
      <c r="M42" s="14">
        <f>$J$3+[17]FormattedData!F60*$J$4+$M$4*$J$5+[17]FormattedData!F60^2*$J$6+$M$5*$J$7</f>
        <v>39.586067115462072</v>
      </c>
      <c r="N42" s="14">
        <f>$J$3+[17]FormattedData!G60*$J$4+$M$4*$J$5+[17]FormattedData!G60^2*$J$6+$M$5*$J$7</f>
        <v>39.679119040070852</v>
      </c>
      <c r="O42" s="14">
        <f>$J$3+[17]FormattedData!H60*$J$4+$M$4*$J$5+[17]FormattedData!H60^2*$J$6+$M$5*$J$7</f>
        <v>39.772128696141699</v>
      </c>
      <c r="P42" s="14">
        <f>$J$3+[17]FormattedData!I60*$J$4+$M$4*$J$5+[17]FormattedData!I60^2*$J$6+$M$5*$J$7</f>
        <v>39.679119040070852</v>
      </c>
      <c r="Q42" s="14">
        <f>$J$3+[17]FormattedData!J60*$J$4+$M$4*$J$5+[17]FormattedData!J60^2*$J$6+$M$5*$J$7</f>
        <v>39.679119040070852</v>
      </c>
      <c r="R42" s="14">
        <f>$J$3+[17]FormattedData!K60*$J$4+$M$4*$J$5+[17]FormattedData!K60^2*$J$6+$M$5*$J$7</f>
        <v>40.050904053126672</v>
      </c>
      <c r="S42" s="14">
        <f>$J$3+[17]FormattedData!L60*$J$4+$M$4*$J$5+[17]FormattedData!L60^2*$J$6+$M$5*$J$7</f>
        <v>39.865096083674622</v>
      </c>
      <c r="T42" s="14">
        <f>$J$3+[17]FormattedData!M60*$J$4+$M$4*$J$5+[17]FormattedData!M60^2*$J$6+$M$5*$J$7</f>
        <v>39.958021202669613</v>
      </c>
      <c r="U42" s="14">
        <f>$J$3+[17]FormattedData!N60*$J$4+$M$4*$J$5+[17]FormattedData!N60^2*$J$6+$M$5*$J$7</f>
        <v>40.236542948426987</v>
      </c>
      <c r="V42" s="14">
        <f>$J$3+[17]FormattedData!O60*$J$4+$M$4*$J$5+[17]FormattedData!O60^2*$J$6+$M$5*$J$7</f>
        <v>40.329298993270257</v>
      </c>
      <c r="W42" s="16">
        <f t="shared" ref="W42:W73" si="9">AVERAGE(K42:V42)</f>
        <v>39.826204687563489</v>
      </c>
      <c r="X42" s="15">
        <f t="shared" ref="X42:X73" si="10">STDEV(K42:V42)/SQRT(COUNT(K42:V42))</f>
        <v>7.7119623744489413E-2</v>
      </c>
      <c r="Y42" s="14">
        <f t="shared" ref="Y42:Y73" si="11">MIN(K42:V42)</f>
        <v>39.49297292231536</v>
      </c>
      <c r="Z42" s="13">
        <f t="shared" ref="Z42:Z73" si="12">QUARTILE(K42:V42,1)</f>
        <v>39.655856058918658</v>
      </c>
      <c r="AA42" s="14">
        <f t="shared" ref="AA42:AA73" si="13">MEDIAN(K42:V42)</f>
        <v>39.725623868106275</v>
      </c>
      <c r="AB42" s="13">
        <f t="shared" ref="AB42:AB73" si="14">QUARTILE(K42:V42,3)</f>
        <v>39.981241915283874</v>
      </c>
      <c r="AC42" s="13">
        <f t="shared" ref="AC42:AC73" si="15">MAX(K42:V42)</f>
        <v>40.329298993270257</v>
      </c>
      <c r="AD42" s="13">
        <f t="shared" ref="AD42:AD73" si="16">SKEW(K42:V42)</f>
        <v>0.77653191422632506</v>
      </c>
      <c r="AE42" s="13">
        <f t="shared" ref="AE42:AE73" si="17">KURT(K42:V42)</f>
        <v>-0.455248931355138</v>
      </c>
    </row>
    <row r="43" spans="2:31" x14ac:dyDescent="0.2">
      <c r="B43" s="1">
        <f>[17]FormattedData!A58</f>
        <v>902</v>
      </c>
      <c r="C43" s="1" t="str">
        <f>VLOOKUP($B43,[17]TrtCodes!$B$11:I101,2)</f>
        <v>Late</v>
      </c>
      <c r="D43" s="1">
        <f>VLOOKUP($B43,[17]TrtCodes!$B$11:J101,3)</f>
        <v>22</v>
      </c>
      <c r="E43" s="1">
        <f>VLOOKUP($B43,[17]TrtCodes!$B$11:K101,4)</f>
        <v>4</v>
      </c>
      <c r="F43" s="1">
        <f>VLOOKUP($B43,[17]TrtCodes!$B$11:L101,5)</f>
        <v>2</v>
      </c>
      <c r="G43" s="1">
        <f>VLOOKUP($B43,[17]TrtCodes!$B$11:M101,6)</f>
        <v>2</v>
      </c>
      <c r="H43" s="1">
        <f>VLOOKUP($B43,[17]TrtCodes!$B$11:N101,7)</f>
        <v>1</v>
      </c>
      <c r="I43" s="1">
        <f>[17]FormattedData!B58</f>
        <v>1</v>
      </c>
      <c r="J43" s="4">
        <f>[17]FormattedData!C58</f>
        <v>13.49</v>
      </c>
      <c r="K43" s="6">
        <f>$J$3+[17]FormattedData!D58*$J$4+$M$4*$J$5+[17]FormattedData!D58^2*$J$6+$M$5*$J$7</f>
        <v>40.236542948426987</v>
      </c>
      <c r="L43" s="6">
        <f>$J$3+[17]FormattedData!E58*$J$4+$M$4*$J$5+[17]FormattedData!E58^2*$J$6+$M$5*$J$7</f>
        <v>35.639717792141418</v>
      </c>
      <c r="M43" s="6">
        <f>$J$3+[17]FormattedData!F58*$J$4+$M$4*$J$5+[17]FormattedData!F58^2*$J$6+$M$5*$J$7</f>
        <v>33.829969909098601</v>
      </c>
      <c r="N43" s="6">
        <f>$J$3+[17]FormattedData!G58*$J$4+$M$4*$J$5+[17]FormattedData!G58^2*$J$6+$M$5*$J$7</f>
        <v>35.449936580123854</v>
      </c>
      <c r="O43" s="6">
        <f>$J$3+[17]FormattedData!H58*$J$4+$M$4*$J$5+[17]FormattedData!H58^2*$J$6+$M$5*$J$7</f>
        <v>33.638582492639642</v>
      </c>
      <c r="P43" s="6">
        <f>$J$3+[17]FormattedData!I58*$J$4+$M$4*$J$5+[17]FormattedData!I58^2*$J$6+$M$5*$J$7</f>
        <v>36.018772993721385</v>
      </c>
      <c r="Q43" s="6">
        <f>$J$3+[17]FormattedData!J58*$J$4+$M$4*$J$5+[17]FormattedData!J58^2*$J$6+$M$5*$J$7</f>
        <v>34.593828833417177</v>
      </c>
      <c r="R43" s="6">
        <f>$J$3+[17]FormattedData!K58*$J$4+$M$4*$J$5+[17]FormattedData!K58^2*$J$6+$M$5*$J$7</f>
        <v>36.963452200016143</v>
      </c>
      <c r="S43" s="6">
        <f>$J$3+[17]FormattedData!L58*$J$4+$M$4*$J$5+[17]FormattedData!L58^2*$J$6+$M$5*$J$7</f>
        <v>31.811969462962303</v>
      </c>
      <c r="T43" s="6">
        <f>$J$3+[17]FormattedData!M58*$J$4+$M$4*$J$5+[17]FormattedData!M58^2*$J$6+$M$5*$J$7</f>
        <v>41.346825763042695</v>
      </c>
      <c r="U43" s="6">
        <f>$J$3+[17]FormattedData!N58*$J$4+$M$4*$J$5+[17]FormattedData!N58^2*$J$6+$M$5*$J$7</f>
        <v>38.933520124138525</v>
      </c>
      <c r="V43" s="6">
        <f>$J$3+[17]FormattedData!O58*$J$4+$M$4*$J$5+[17]FormattedData!O58^2*$J$6+$M$5*$J$7</f>
        <v>37.528230833972295</v>
      </c>
      <c r="W43" s="5">
        <f t="shared" si="9"/>
        <v>36.332612494475079</v>
      </c>
      <c r="X43" s="4">
        <f t="shared" si="10"/>
        <v>0.81330556712244062</v>
      </c>
      <c r="Y43" s="3">
        <f t="shared" si="11"/>
        <v>31.811969462962303</v>
      </c>
      <c r="Z43" s="2">
        <f t="shared" si="12"/>
        <v>34.402864102337531</v>
      </c>
      <c r="AA43" s="3">
        <f t="shared" si="13"/>
        <v>35.829245392931398</v>
      </c>
      <c r="AB43" s="2">
        <f t="shared" si="14"/>
        <v>37.87955315651385</v>
      </c>
      <c r="AC43" s="2">
        <f t="shared" si="15"/>
        <v>41.346825763042695</v>
      </c>
      <c r="AD43" s="2">
        <f t="shared" si="16"/>
        <v>0.34733302195333687</v>
      </c>
      <c r="AE43" s="2">
        <f t="shared" si="17"/>
        <v>-0.45214406138063046</v>
      </c>
    </row>
    <row r="44" spans="2:31" x14ac:dyDescent="0.2">
      <c r="B44" s="17">
        <f>[17]FormattedData!A56</f>
        <v>903</v>
      </c>
      <c r="C44" s="17" t="str">
        <f>VLOOKUP($B44,[17]TrtCodes!$B$11:I99,2)</f>
        <v>DS</v>
      </c>
      <c r="D44" s="17">
        <f>VLOOKUP($B44,[17]TrtCodes!$B$11:J99,3)</f>
        <v>31</v>
      </c>
      <c r="E44" s="17">
        <f>VLOOKUP($B44,[17]TrtCodes!$B$11:K99,4)</f>
        <v>8</v>
      </c>
      <c r="F44" s="17">
        <f>VLOOKUP($B44,[17]TrtCodes!$B$11:L99,5)</f>
        <v>0</v>
      </c>
      <c r="G44" s="17">
        <f>VLOOKUP($B44,[17]TrtCodes!$B$11:M99,6)</f>
        <v>1</v>
      </c>
      <c r="H44" s="17">
        <f>VLOOKUP($B44,[17]TrtCodes!$B$11:N99,7)</f>
        <v>1</v>
      </c>
      <c r="I44" s="17">
        <f>[17]FormattedData!B56</f>
        <v>1</v>
      </c>
      <c r="J44" s="15">
        <f>[17]FormattedData!C56</f>
        <v>13.481</v>
      </c>
      <c r="K44" s="14">
        <f>$J$3+[17]FormattedData!D56*$J$4+$M$4*$J$5+[17]FormattedData!D56^2*$J$6+$M$5*$J$7</f>
        <v>64.395257898891614</v>
      </c>
      <c r="L44" s="14">
        <f>$J$3+[17]FormattedData!E56*$J$4+$M$4*$J$5+[17]FormattedData!E56^2*$J$6+$M$5*$J$7</f>
        <v>64.476263290190033</v>
      </c>
      <c r="M44" s="14">
        <f>$J$3+[17]FormattedData!F56*$J$4+$M$4*$J$5+[17]FormattedData!F56^2*$J$6+$M$5*$J$7</f>
        <v>64.719025852857655</v>
      </c>
      <c r="N44" s="14">
        <f>$J$3+[17]FormattedData!G56*$J$4+$M$4*$J$5+[17]FormattedData!G56^2*$J$6+$M$5*$J$7</f>
        <v>64.557226412950499</v>
      </c>
      <c r="O44" s="14">
        <f>$J$3+[17]FormattedData!H56*$J$4+$M$4*$J$5+[17]FormattedData!H56^2*$J$6+$M$5*$J$7</f>
        <v>64.070813648318691</v>
      </c>
      <c r="P44" s="14">
        <f>$J$3+[17]FormattedData!I56*$J$4+$M$4*$J$5+[17]FormattedData!I56^2*$J$6+$M$5*$J$7</f>
        <v>64.719025852857655</v>
      </c>
      <c r="Q44" s="14">
        <f>$J$3+[17]FormattedData!J56*$J$4+$M$4*$J$5+[17]FormattedData!J56^2*$J$6+$M$5*$J$7</f>
        <v>64.476263290190033</v>
      </c>
      <c r="R44" s="14">
        <f>$J$3+[17]FormattedData!K56*$J$4+$M$4*$J$5+[17]FormattedData!K56^2*$J$6+$M$5*$J$7</f>
        <v>64.476263290190033</v>
      </c>
      <c r="S44" s="14">
        <f>$J$3+[17]FormattedData!L56*$J$4+$M$4*$J$5+[17]FormattedData!L56^2*$J$6+$M$5*$J$7</f>
        <v>64.476263290190033</v>
      </c>
      <c r="T44" s="14">
        <f>$J$3+[17]FormattedData!M56*$J$4+$M$4*$J$5+[17]FormattedData!M56^2*$J$6+$M$5*$J$7</f>
        <v>64.719025852857655</v>
      </c>
      <c r="U44" s="14">
        <f>$J$3+[17]FormattedData!N56*$J$4+$M$4*$J$5+[17]FormattedData!N56^2*$J$6+$M$5*$J$7</f>
        <v>64.880656218613098</v>
      </c>
      <c r="V44" s="14">
        <f>$J$3+[17]FormattedData!O56*$J$4+$M$4*$J$5+[17]FormattedData!O56^2*$J$6+$M$5*$J$7</f>
        <v>64.638147267173053</v>
      </c>
      <c r="W44" s="16">
        <f t="shared" si="9"/>
        <v>64.55035268044</v>
      </c>
      <c r="X44" s="15">
        <f t="shared" si="10"/>
        <v>6.0187617513026641E-2</v>
      </c>
      <c r="Y44" s="14">
        <f t="shared" si="11"/>
        <v>64.070813648318691</v>
      </c>
      <c r="Z44" s="13">
        <f t="shared" si="12"/>
        <v>64.476263290190033</v>
      </c>
      <c r="AA44" s="14">
        <f t="shared" si="13"/>
        <v>64.516744851570266</v>
      </c>
      <c r="AB44" s="13">
        <f t="shared" si="14"/>
        <v>64.719025852857655</v>
      </c>
      <c r="AC44" s="13">
        <f t="shared" si="15"/>
        <v>64.880656218613098</v>
      </c>
      <c r="AD44" s="13">
        <f t="shared" si="16"/>
        <v>-0.77660172424127183</v>
      </c>
      <c r="AE44" s="13">
        <f t="shared" si="17"/>
        <v>1.6345063208261399</v>
      </c>
    </row>
    <row r="45" spans="2:31" x14ac:dyDescent="0.2">
      <c r="B45" s="1">
        <f>[17]FormattedData!A54</f>
        <v>904</v>
      </c>
      <c r="C45" s="1" t="str">
        <f>VLOOKUP($B45,[17]TrtCodes!$B$11:I97,2)</f>
        <v>Early</v>
      </c>
      <c r="D45" s="1">
        <f>VLOOKUP($B45,[17]TrtCodes!$B$11:J97,3)</f>
        <v>21</v>
      </c>
      <c r="E45" s="1">
        <f>VLOOKUP($B45,[17]TrtCodes!$B$11:K97,4)</f>
        <v>3</v>
      </c>
      <c r="F45" s="1">
        <f>VLOOKUP($B45,[17]TrtCodes!$B$11:L97,5)</f>
        <v>2</v>
      </c>
      <c r="G45" s="1">
        <f>VLOOKUP($B45,[17]TrtCodes!$B$11:M97,6)</f>
        <v>2</v>
      </c>
      <c r="H45" s="1">
        <f>VLOOKUP($B45,[17]TrtCodes!$B$11:N97,7)</f>
        <v>1</v>
      </c>
      <c r="I45" s="1">
        <f>[17]FormattedData!B54</f>
        <v>1</v>
      </c>
      <c r="J45" s="4">
        <f>[17]FormattedData!C54</f>
        <v>13.464</v>
      </c>
      <c r="K45" s="6">
        <f>$J$3+[17]FormattedData!D54*$J$4+$M$4*$J$5+[17]FormattedData!D54^2*$J$6+$M$5*$J$7</f>
        <v>63.256744224231156</v>
      </c>
      <c r="L45" s="6">
        <f>$J$3+[17]FormattedData!E54*$J$4+$M$4*$J$5+[17]FormattedData!E54^2*$J$6+$M$5*$J$7</f>
        <v>48.415301489906497</v>
      </c>
      <c r="M45" s="6">
        <f>$J$3+[17]FormattedData!F54*$J$4+$M$4*$J$5+[17]FormattedData!F54^2*$J$6+$M$5*$J$7</f>
        <v>51.065470968790294</v>
      </c>
      <c r="N45" s="6">
        <f>$J$3+[17]FormattedData!G54*$J$4+$M$4*$J$5+[17]FormattedData!G54^2*$J$6+$M$5*$J$7</f>
        <v>57.355308132388728</v>
      </c>
      <c r="O45" s="6">
        <f>$J$3+[17]FormattedData!H54*$J$4+$M$4*$J$5+[17]FormattedData!H54^2*$J$6+$M$5*$J$7</f>
        <v>46.087716445926695</v>
      </c>
      <c r="P45" s="6">
        <f>$J$3+[17]FormattedData!I54*$J$4+$M$4*$J$5+[17]FormattedData!I54^2*$J$6+$M$5*$J$7</f>
        <v>61.037643644498232</v>
      </c>
      <c r="Q45" s="6">
        <f>$J$3+[17]FormattedData!J54*$J$4+$M$4*$J$5+[17]FormattedData!J54^2*$J$6+$M$5*$J$7</f>
        <v>41.439074585430788</v>
      </c>
      <c r="R45" s="6">
        <f>$J$3+[17]FormattedData!K54*$J$4+$M$4*$J$5+[17]FormattedData!K54^2*$J$6+$M$5*$J$7</f>
        <v>63.908337911804622</v>
      </c>
      <c r="S45" s="6">
        <f>$J$3+[17]FormattedData!L54*$J$4+$M$4*$J$5+[17]FormattedData!L54^2*$J$6+$M$5*$J$7</f>
        <v>41.162201312652719</v>
      </c>
      <c r="T45" s="6">
        <f>$J$3+[17]FormattedData!M54*$J$4+$M$4*$J$5+[17]FormattedData!M54^2*$J$6+$M$5*$J$7</f>
        <v>57.60897597784259</v>
      </c>
      <c r="U45" s="6">
        <f>$J$3+[17]FormattedData!N54*$J$4+$M$4*$J$5+[17]FormattedData!N54^2*$J$6+$M$5*$J$7</f>
        <v>46.806939794189979</v>
      </c>
      <c r="V45" s="6">
        <f>$J$3+[17]FormattedData!O54*$J$4+$M$4*$J$5+[17]FormattedData!O54^2*$J$6+$M$5*$J$7</f>
        <v>52.027668222410881</v>
      </c>
      <c r="W45" s="5">
        <f t="shared" si="9"/>
        <v>52.514281892506091</v>
      </c>
      <c r="X45" s="4">
        <f t="shared" si="10"/>
        <v>2.3221693128298542</v>
      </c>
      <c r="Y45" s="3">
        <f t="shared" si="11"/>
        <v>41.162201312652719</v>
      </c>
      <c r="Z45" s="2">
        <f t="shared" si="12"/>
        <v>46.627133957124158</v>
      </c>
      <c r="AA45" s="3">
        <f t="shared" si="13"/>
        <v>51.546569595600587</v>
      </c>
      <c r="AB45" s="2">
        <f t="shared" si="14"/>
        <v>58.466142894506504</v>
      </c>
      <c r="AC45" s="2">
        <f t="shared" si="15"/>
        <v>63.908337911804622</v>
      </c>
      <c r="AD45" s="2">
        <f t="shared" si="16"/>
        <v>5.0092301015756409E-2</v>
      </c>
      <c r="AE45" s="2">
        <f t="shared" si="17"/>
        <v>-1.3472431046743303</v>
      </c>
    </row>
    <row r="46" spans="2:31" x14ac:dyDescent="0.2">
      <c r="B46" s="17">
        <f>[17]FormattedData!A52</f>
        <v>905</v>
      </c>
      <c r="C46" s="17" t="str">
        <f>VLOOKUP($B46,[17]TrtCodes!$B$11:I95,2)</f>
        <v>WS</v>
      </c>
      <c r="D46" s="17">
        <f>VLOOKUP($B46,[17]TrtCodes!$B$11:J95,3)</f>
        <v>32</v>
      </c>
      <c r="E46" s="17">
        <f>VLOOKUP($B46,[17]TrtCodes!$B$11:K95,4)</f>
        <v>9</v>
      </c>
      <c r="F46" s="17">
        <f>VLOOKUP($B46,[17]TrtCodes!$B$11:L95,5)</f>
        <v>0</v>
      </c>
      <c r="G46" s="17">
        <f>VLOOKUP($B46,[17]TrtCodes!$B$11:M95,6)</f>
        <v>1</v>
      </c>
      <c r="H46" s="17">
        <f>VLOOKUP($B46,[17]TrtCodes!$B$11:N95,7)</f>
        <v>2</v>
      </c>
      <c r="I46" s="17">
        <f>[17]FormattedData!B52</f>
        <v>1</v>
      </c>
      <c r="J46" s="15">
        <f>[17]FormattedData!C52</f>
        <v>13.456</v>
      </c>
      <c r="K46" s="14">
        <f>$J$3+[17]FormattedData!D52*$J$4+$M$4*$J$5+[17]FormattedData!D52^2*$J$6+$M$5*$J$7</f>
        <v>51.678370071534424</v>
      </c>
      <c r="L46" s="14">
        <f>$J$3+[17]FormattedData!E52*$J$4+$M$4*$J$5+[17]FormattedData!E52^2*$J$6+$M$5*$J$7</f>
        <v>49.391447361044364</v>
      </c>
      <c r="M46" s="14">
        <f>$J$3+[17]FormattedData!F52*$J$4+$M$4*$J$5+[17]FormattedData!F52^2*$J$6+$M$5*$J$7</f>
        <v>50.009968179333349</v>
      </c>
      <c r="N46" s="14">
        <f>$J$3+[17]FormattedData!G52*$J$4+$M$4*$J$5+[17]FormattedData!G52^2*$J$6+$M$5*$J$7</f>
        <v>51.590939862470492</v>
      </c>
      <c r="O46" s="14">
        <f>$J$3+[17]FormattedData!H52*$J$4+$M$4*$J$5+[17]FormattedData!H52^2*$J$6+$M$5*$J$7</f>
        <v>51.503467384868614</v>
      </c>
      <c r="P46" s="14">
        <f>$J$3+[17]FormattedData!I52*$J$4+$M$4*$J$5+[17]FormattedData!I52^2*$J$6+$M$5*$J$7</f>
        <v>51.415952638728811</v>
      </c>
      <c r="Q46" s="14">
        <f>$J$3+[17]FormattedData!J52*$J$4+$M$4*$J$5+[17]FormattedData!J52^2*$J$6+$M$5*$J$7</f>
        <v>50.362478739092559</v>
      </c>
      <c r="R46" s="14">
        <f>$J$3+[17]FormattedData!K52*$J$4+$M$4*$J$5+[17]FormattedData!K52^2*$J$6+$M$5*$J$7</f>
        <v>50.538480407744579</v>
      </c>
      <c r="S46" s="14">
        <f>$J$3+[17]FormattedData!L52*$J$4+$M$4*$J$5+[17]FormattedData!L52^2*$J$6+$M$5*$J$7</f>
        <v>51.065470968790294</v>
      </c>
      <c r="T46" s="14">
        <f>$J$3+[17]FormattedData!M52*$J$4+$M$4*$J$5+[17]FormattedData!M52^2*$J$6+$M$5*$J$7</f>
        <v>51.240796340835416</v>
      </c>
      <c r="U46" s="14">
        <f>$J$3+[17]FormattedData!N52*$J$4+$M$4*$J$5+[17]FormattedData!N52^2*$J$6+$M$5*$J$7</f>
        <v>52.376290076680426</v>
      </c>
      <c r="V46" s="14">
        <f>$J$3+[17]FormattedData!O52*$J$4+$M$4*$J$5+[17]FormattedData!O52^2*$J$6+$M$5*$J$7</f>
        <v>52.376290076680426</v>
      </c>
      <c r="W46" s="16">
        <f t="shared" si="9"/>
        <v>51.129162675650321</v>
      </c>
      <c r="X46" s="15">
        <f t="shared" si="10"/>
        <v>0.26217840740940729</v>
      </c>
      <c r="Y46" s="14">
        <f t="shared" si="11"/>
        <v>49.391447361044364</v>
      </c>
      <c r="Z46" s="13">
        <f t="shared" si="12"/>
        <v>50.494479990581574</v>
      </c>
      <c r="AA46" s="14">
        <f t="shared" si="13"/>
        <v>51.328374489782114</v>
      </c>
      <c r="AB46" s="13">
        <f t="shared" si="14"/>
        <v>51.612797414736477</v>
      </c>
      <c r="AC46" s="13">
        <f t="shared" si="15"/>
        <v>52.376290076680426</v>
      </c>
      <c r="AD46" s="13">
        <f t="shared" si="16"/>
        <v>-0.44928387400690367</v>
      </c>
      <c r="AE46" s="13">
        <f t="shared" si="17"/>
        <v>-0.29167700439097866</v>
      </c>
    </row>
    <row r="47" spans="2:31" x14ac:dyDescent="0.2">
      <c r="B47" s="1">
        <f>[17]FormattedData!A50</f>
        <v>906</v>
      </c>
      <c r="C47" s="1" t="str">
        <f>VLOOKUP($B47,[17]TrtCodes!$B$11:I93,2)</f>
        <v>Late</v>
      </c>
      <c r="D47" s="1">
        <f>VLOOKUP($B47,[17]TrtCodes!$B$11:J93,3)</f>
        <v>22</v>
      </c>
      <c r="E47" s="1">
        <f>VLOOKUP($B47,[17]TrtCodes!$B$11:K93,4)</f>
        <v>4</v>
      </c>
      <c r="F47" s="1">
        <f>VLOOKUP($B47,[17]TrtCodes!$B$11:L93,5)</f>
        <v>2</v>
      </c>
      <c r="G47" s="1">
        <f>VLOOKUP($B47,[17]TrtCodes!$B$11:M93,6)</f>
        <v>2</v>
      </c>
      <c r="H47" s="1">
        <f>VLOOKUP($B47,[17]TrtCodes!$B$11:N93,7)</f>
        <v>2</v>
      </c>
      <c r="I47" s="1">
        <f>[17]FormattedData!B50</f>
        <v>1</v>
      </c>
      <c r="J47" s="4">
        <f>[17]FormattedData!C50</f>
        <v>13.439</v>
      </c>
      <c r="K47" s="6">
        <f>$J$3+[17]FormattedData!D50*$J$4+$M$4*$J$5+[17]FormattedData!D50^2*$J$6+$M$5*$J$7</f>
        <v>38.746697709776136</v>
      </c>
      <c r="L47" s="6">
        <f>$J$3+[17]FormattedData!E50*$J$4+$M$4*$J$5+[17]FormattedData!E50^2*$J$6+$M$5*$J$7</f>
        <v>35.069866933633527</v>
      </c>
      <c r="M47" s="6">
        <f>$J$3+[17]FormattedData!F50*$J$4+$M$4*$J$5+[17]FormattedData!F50^2*$J$6+$M$5*$J$7</f>
        <v>32.197787630611259</v>
      </c>
      <c r="N47" s="6">
        <f>$J$3+[17]FormattedData!G50*$J$4+$M$4*$J$5+[17]FormattedData!G50^2*$J$6+$M$5*$J$7</f>
        <v>37.340140363471974</v>
      </c>
      <c r="O47" s="6">
        <f>$J$3+[17]FormattedData!H50*$J$4+$M$4*$J$5+[17]FormattedData!H50^2*$J$6+$M$5*$J$7</f>
        <v>32.197787630611259</v>
      </c>
      <c r="P47" s="6">
        <f>$J$3+[17]FormattedData!I50*$J$4+$M$4*$J$5+[17]FormattedData!I50^2*$J$6+$M$5*$J$7</f>
        <v>37.528230833972295</v>
      </c>
      <c r="Q47" s="6">
        <f>$J$3+[17]FormattedData!J50*$J$4+$M$4*$J$5+[17]FormattedData!J50^2*$J$6+$M$5*$J$7</f>
        <v>32.390443103208149</v>
      </c>
      <c r="R47" s="6">
        <f>$J$3+[17]FormattedData!K50*$J$4+$M$4*$J$5+[17]FormattedData!K50^2*$J$6+$M$5*$J$7</f>
        <v>38.933520124138525</v>
      </c>
      <c r="S47" s="6">
        <f>$J$3+[17]FormattedData!L50*$J$4+$M$4*$J$5+[17]FormattedData!L50^2*$J$6+$M$5*$J$7</f>
        <v>33.351184353916729</v>
      </c>
      <c r="T47" s="6">
        <f>$J$3+[17]FormattedData!M50*$J$4+$M$4*$J$5+[17]FormattedData!M50^2*$J$6+$M$5*$J$7</f>
        <v>39.026867928512829</v>
      </c>
      <c r="U47" s="6">
        <f>$J$3+[17]FormattedData!N50*$J$4+$M$4*$J$5+[17]FormattedData!N50^2*$J$6+$M$5*$J$7</f>
        <v>38.559706221262019</v>
      </c>
      <c r="V47" s="6">
        <f>$J$3+[17]FormattedData!O50*$J$4+$M$4*$J$5+[17]FormattedData!O50^2*$J$6+$M$5*$J$7</f>
        <v>30.650457180374051</v>
      </c>
      <c r="W47" s="5">
        <f t="shared" si="9"/>
        <v>35.499390834457401</v>
      </c>
      <c r="X47" s="4">
        <f t="shared" si="10"/>
        <v>0.91878371627182898</v>
      </c>
      <c r="Y47" s="3">
        <f t="shared" si="11"/>
        <v>30.650457180374051</v>
      </c>
      <c r="Z47" s="2">
        <f t="shared" si="12"/>
        <v>32.342279235058925</v>
      </c>
      <c r="AA47" s="3">
        <f t="shared" si="13"/>
        <v>36.205003648552747</v>
      </c>
      <c r="AB47" s="2">
        <f t="shared" si="14"/>
        <v>38.606454093390546</v>
      </c>
      <c r="AC47" s="2">
        <f t="shared" si="15"/>
        <v>39.026867928512829</v>
      </c>
      <c r="AD47" s="2">
        <f t="shared" si="16"/>
        <v>-0.21704117160553446</v>
      </c>
      <c r="AE47" s="2">
        <f t="shared" si="17"/>
        <v>-1.8428744639777253</v>
      </c>
    </row>
    <row r="48" spans="2:31" x14ac:dyDescent="0.2">
      <c r="B48" s="17">
        <f>[17]FormattedData!A48</f>
        <v>907</v>
      </c>
      <c r="C48" s="17" t="str">
        <f>VLOOKUP($B48,[17]TrtCodes!$B$11:I91,2)</f>
        <v>DS</v>
      </c>
      <c r="D48" s="17">
        <f>VLOOKUP($B48,[17]TrtCodes!$B$11:J91,3)</f>
        <v>31</v>
      </c>
      <c r="E48" s="17">
        <f>VLOOKUP($B48,[17]TrtCodes!$B$11:K91,4)</f>
        <v>8</v>
      </c>
      <c r="F48" s="17">
        <f>VLOOKUP($B48,[17]TrtCodes!$B$11:L91,5)</f>
        <v>0</v>
      </c>
      <c r="G48" s="17">
        <f>VLOOKUP($B48,[17]TrtCodes!$B$11:M91,6)</f>
        <v>1</v>
      </c>
      <c r="H48" s="17">
        <f>VLOOKUP($B48,[17]TrtCodes!$B$11:N91,7)</f>
        <v>2</v>
      </c>
      <c r="I48" s="17">
        <f>[17]FormattedData!B48</f>
        <v>1</v>
      </c>
      <c r="J48" s="15">
        <f>[17]FormattedData!C48</f>
        <v>13.43</v>
      </c>
      <c r="K48" s="14">
        <f>$J$3+[17]FormattedData!D48*$J$4+$M$4*$J$5+[17]FormattedData!D48^2*$J$6+$M$5*$J$7</f>
        <v>64.233120310681016</v>
      </c>
      <c r="L48" s="14">
        <f>$J$3+[17]FormattedData!E48*$J$4+$M$4*$J$5+[17]FormattedData!E48^2*$J$6+$M$5*$J$7</f>
        <v>65.364532870969043</v>
      </c>
      <c r="M48" s="14">
        <f>$J$3+[17]FormattedData!F48*$J$4+$M$4*$J$5+[17]FormattedData!F48^2*$J$6+$M$5*$J$7</f>
        <v>64.233120310681016</v>
      </c>
      <c r="N48" s="14">
        <f>$J$3+[17]FormattedData!G48*$J$4+$M$4*$J$5+[17]FormattedData!G48^2*$J$6+$M$5*$J$7</f>
        <v>64.395257898891614</v>
      </c>
      <c r="O48" s="14">
        <f>$J$3+[17]FormattedData!H48*$J$4+$M$4*$J$5+[17]FormattedData!H48^2*$J$6+$M$5*$J$7</f>
        <v>64.151988113768809</v>
      </c>
      <c r="P48" s="14">
        <f>$J$3+[17]FormattedData!I48*$J$4+$M$4*$J$5+[17]FormattedData!I48^2*$J$6+$M$5*$J$7</f>
        <v>64.476263290190033</v>
      </c>
      <c r="Q48" s="14">
        <f>$J$3+[17]FormattedData!J48*$J$4+$M$4*$J$5+[17]FormattedData!J48^2*$J$6+$M$5*$J$7</f>
        <v>64.395257898891614</v>
      </c>
      <c r="R48" s="14">
        <f>$J$3+[17]FormattedData!K48*$J$4+$M$4*$J$5+[17]FormattedData!K48^2*$J$6+$M$5*$J$7</f>
        <v>63.827036640740708</v>
      </c>
      <c r="S48" s="14">
        <f>$J$3+[17]FormattedData!L48*$J$4+$M$4*$J$5+[17]FormattedData!L48^2*$J$6+$M$5*$J$7</f>
        <v>64.233120310681016</v>
      </c>
      <c r="T48" s="14">
        <f>$J$3+[17]FormattedData!M48*$J$4+$M$4*$J$5+[17]FormattedData!M48^2*$J$6+$M$5*$J$7</f>
        <v>64.233120310681016</v>
      </c>
      <c r="U48" s="14">
        <f>$J$3+[17]FormattedData!N48*$J$4+$M$4*$J$5+[17]FormattedData!N48^2*$J$6+$M$5*$J$7</f>
        <v>64.880656218613098</v>
      </c>
      <c r="V48" s="14">
        <f>$J$3+[17]FormattedData!O48*$J$4+$M$4*$J$5+[17]FormattedData!O48^2*$J$6+$M$5*$J$7</f>
        <v>64.880656218613098</v>
      </c>
      <c r="W48" s="16">
        <f t="shared" si="9"/>
        <v>64.442010866116846</v>
      </c>
      <c r="X48" s="15">
        <f t="shared" si="10"/>
        <v>0.11928635014786025</v>
      </c>
      <c r="Y48" s="14">
        <f t="shared" si="11"/>
        <v>63.827036640740708</v>
      </c>
      <c r="Z48" s="13">
        <f t="shared" si="12"/>
        <v>64.233120310681016</v>
      </c>
      <c r="AA48" s="14">
        <f t="shared" si="13"/>
        <v>64.314189104786323</v>
      </c>
      <c r="AB48" s="13">
        <f t="shared" si="14"/>
        <v>64.577361522295803</v>
      </c>
      <c r="AC48" s="13">
        <f t="shared" si="15"/>
        <v>65.364532870969043</v>
      </c>
      <c r="AD48" s="13">
        <f t="shared" si="16"/>
        <v>1.0209224598251494</v>
      </c>
      <c r="AE48" s="13">
        <f t="shared" si="17"/>
        <v>1.1337713259317264</v>
      </c>
    </row>
    <row r="49" spans="2:31" ht="13.5" thickBot="1" x14ac:dyDescent="0.25">
      <c r="B49" s="12">
        <f>[17]FormattedData!A46</f>
        <v>908</v>
      </c>
      <c r="C49" s="12" t="str">
        <f>VLOOKUP($B49,[17]TrtCodes!$B$11:I89,2)</f>
        <v>Early</v>
      </c>
      <c r="D49" s="12">
        <f>VLOOKUP($B49,[17]TrtCodes!$B$11:J89,3)</f>
        <v>21</v>
      </c>
      <c r="E49" s="12">
        <f>VLOOKUP($B49,[17]TrtCodes!$B$11:K89,4)</f>
        <v>3</v>
      </c>
      <c r="F49" s="12">
        <f>VLOOKUP($B49,[17]TrtCodes!$B$11:L89,5)</f>
        <v>2</v>
      </c>
      <c r="G49" s="12">
        <f>VLOOKUP($B49,[17]TrtCodes!$B$11:M89,6)</f>
        <v>2</v>
      </c>
      <c r="H49" s="12">
        <f>VLOOKUP($B49,[17]TrtCodes!$B$11:N89,7)</f>
        <v>2</v>
      </c>
      <c r="I49" s="12">
        <f>[17]FormattedData!B46</f>
        <v>1</v>
      </c>
      <c r="J49" s="9">
        <f>[17]FormattedData!C46</f>
        <v>13.412000000000001</v>
      </c>
      <c r="K49" s="11">
        <f>$J$3+[17]FormattedData!D46*$J$4+$M$4*$J$5+[17]FormattedData!D46^2*$J$6+$M$5*$J$7</f>
        <v>48.14819224939054</v>
      </c>
      <c r="L49" s="11">
        <f>$J$3+[17]FormattedData!E46*$J$4+$M$4*$J$5+[17]FormattedData!E46^2*$J$6+$M$5*$J$7</f>
        <v>55.739910986753287</v>
      </c>
      <c r="M49" s="11">
        <f>$J$3+[17]FormattedData!F46*$J$4+$M$4*$J$5+[17]FormattedData!F46^2*$J$6+$M$5*$J$7</f>
        <v>48.05907129880935</v>
      </c>
      <c r="N49" s="11">
        <f>$J$3+[17]FormattedData!G46*$J$4+$M$4*$J$5+[17]FormattedData!G46^2*$J$6+$M$5*$J$7</f>
        <v>53.158216539317948</v>
      </c>
      <c r="O49" s="11">
        <f>$J$3+[17]FormattedData!H46*$J$4+$M$4*$J$5+[17]FormattedData!H46^2*$J$6+$M$5*$J$7</f>
        <v>49.833459288226145</v>
      </c>
      <c r="P49" s="11">
        <f>$J$3+[17]FormattedData!I46*$J$4+$M$4*$J$5+[17]FormattedData!I46^2*$J$6+$M$5*$J$7</f>
        <v>55.140918232988497</v>
      </c>
      <c r="Q49" s="11">
        <f>$J$3+[17]FormattedData!J46*$J$4+$M$4*$J$5+[17]FormattedData!J46^2*$J$6+$M$5*$J$7</f>
        <v>50.274414501959647</v>
      </c>
      <c r="R49" s="11">
        <f>$J$3+[17]FormattedData!K46*$J$4+$M$4*$J$5+[17]FormattedData!K46^2*$J$6+$M$5*$J$7</f>
        <v>59.039241450632886</v>
      </c>
      <c r="S49" s="11">
        <f>$J$3+[17]FormattedData!L46*$J$4+$M$4*$J$5+[17]FormattedData!L46^2*$J$6+$M$5*$J$7</f>
        <v>47.344582026794342</v>
      </c>
      <c r="T49" s="11">
        <f>$J$3+[17]FormattedData!M46*$J$4+$M$4*$J$5+[17]FormattedData!M46^2*$J$6+$M$5*$J$7</f>
        <v>55.91067135670184</v>
      </c>
      <c r="U49" s="11">
        <f>$J$3+[17]FormattedData!N46*$J$4+$M$4*$J$5+[17]FormattedData!N46^2*$J$6+$M$5*$J$7</f>
        <v>58.115170418226192</v>
      </c>
      <c r="V49" s="11">
        <f>$J$3+[17]FormattedData!O46*$J$4+$M$4*$J$5+[17]FormattedData!O46^2*$J$6+$M$5*$J$7</f>
        <v>53.850388023305314</v>
      </c>
      <c r="W49" s="10">
        <f t="shared" si="9"/>
        <v>52.884519697758833</v>
      </c>
      <c r="X49" s="9">
        <f t="shared" si="10"/>
        <v>1.1715716720635456</v>
      </c>
      <c r="Y49" s="8">
        <f t="shared" si="11"/>
        <v>47.344582026794342</v>
      </c>
      <c r="Z49" s="7">
        <f t="shared" si="12"/>
        <v>49.412142528517244</v>
      </c>
      <c r="AA49" s="8">
        <f t="shared" si="13"/>
        <v>53.504302281311631</v>
      </c>
      <c r="AB49" s="7">
        <f t="shared" si="14"/>
        <v>55.782601079240422</v>
      </c>
      <c r="AC49" s="7">
        <f t="shared" si="15"/>
        <v>59.039241450632886</v>
      </c>
      <c r="AD49" s="7">
        <f t="shared" si="16"/>
        <v>7.894099999872178E-3</v>
      </c>
      <c r="AE49" s="7">
        <f t="shared" si="17"/>
        <v>-1.4305913431138366</v>
      </c>
    </row>
    <row r="50" spans="2:31" ht="13.5" thickTop="1" x14ac:dyDescent="0.2">
      <c r="B50" s="1">
        <f>[17]FormattedData!A29</f>
        <v>101</v>
      </c>
      <c r="C50" s="1" t="str">
        <f>VLOOKUP($B50,[17]TrtCodes!$B$11:I72,2)</f>
        <v>FSH</v>
      </c>
      <c r="D50" s="1">
        <f>VLOOKUP($B50,[17]TrtCodes!$B$11:J72,3)</f>
        <v>1</v>
      </c>
      <c r="E50" s="1">
        <f>VLOOKUP($B50,[17]TrtCodes!$B$11:K72,4)</f>
        <v>1</v>
      </c>
      <c r="F50" s="1">
        <f>VLOOKUP($B50,[17]TrtCodes!$B$11:L72,5)</f>
        <v>1</v>
      </c>
      <c r="G50" s="1">
        <f>VLOOKUP($B50,[17]TrtCodes!$B$11:M72,6)</f>
        <v>2</v>
      </c>
      <c r="H50" s="1">
        <f>VLOOKUP($B50,[17]TrtCodes!$B$11:N72,7)</f>
        <v>1</v>
      </c>
      <c r="I50" s="1">
        <f>[17]FormattedData!B29</f>
        <v>2</v>
      </c>
      <c r="J50" s="4">
        <f>[17]FormattedData!C29</f>
        <v>13.257</v>
      </c>
      <c r="K50" s="6">
        <f>$J$3+[17]FormattedData!D29*$J$4+$M$4*$J$5+[17]FormattedData!D29^2*$J$6+$M$5*$J$7</f>
        <v>30.84446524618474</v>
      </c>
      <c r="L50" s="6">
        <f>$J$3+[17]FormattedData!E29*$J$4+$M$4*$J$5+[17]FormattedData!E29^2*$J$6+$M$5*$J$7</f>
        <v>31.715409249705239</v>
      </c>
      <c r="M50" s="6">
        <f>$J$3+[17]FormattedData!F29*$J$4+$M$4*$J$5+[17]FormattedData!F29^2*$J$6+$M$5*$J$7</f>
        <v>32.486707436699703</v>
      </c>
      <c r="N50" s="6">
        <f>$J$3+[17]FormattedData!G29*$J$4+$M$4*$J$5+[17]FormattedData!G29^2*$J$6+$M$5*$J$7</f>
        <v>32.582929501653318</v>
      </c>
      <c r="O50" s="6">
        <f>$J$3+[17]FormattedData!H29*$J$4+$M$4*$J$5+[17]FormattedData!H29^2*$J$6+$M$5*$J$7</f>
        <v>33.255300437266563</v>
      </c>
      <c r="P50" s="6">
        <f>$J$3+[17]FormattedData!I29*$J$4+$M$4*$J$5+[17]FormattedData!I29^2*$J$6+$M$5*$J$7</f>
        <v>32.486707436699703</v>
      </c>
      <c r="Q50" s="6">
        <f>$J$3+[17]FormattedData!J29*$J$4+$M$4*$J$5+[17]FormattedData!J29^2*$J$6+$M$5*$J$7</f>
        <v>32.197787630611259</v>
      </c>
      <c r="R50" s="6">
        <f>$J$3+[17]FormattedData!K29*$J$4+$M$4*$J$5+[17]FormattedData!K29^2*$J$6+$M$5*$J$7</f>
        <v>32.679109298069001</v>
      </c>
      <c r="S50" s="6">
        <f>$J$3+[17]FormattedData!L29*$J$4+$M$4*$J$5+[17]FormattedData!L29^2*$J$6+$M$5*$J$7</f>
        <v>32.294136501178663</v>
      </c>
      <c r="T50" s="6">
        <f>$J$3+[17]FormattedData!M29*$J$4+$M$4*$J$5+[17]FormattedData!M29^2*$J$6+$M$5*$J$7</f>
        <v>32.197787630611259</v>
      </c>
      <c r="U50" s="6">
        <f>$J$3+[17]FormattedData!N29*$J$4+$M$4*$J$5+[17]FormattedData!N29^2*$J$6+$M$5*$J$7</f>
        <v>31.23197415535094</v>
      </c>
      <c r="V50" s="6">
        <f>$J$3+[17]FormattedData!O29*$J$4+$M$4*$J$5+[17]FormattedData!O29^2*$J$6+$M$5*$J$7</f>
        <v>32.967395076088472</v>
      </c>
      <c r="W50" s="5">
        <f t="shared" si="9"/>
        <v>32.244975800009904</v>
      </c>
      <c r="X50" s="4">
        <f t="shared" si="10"/>
        <v>0.19918606243652098</v>
      </c>
      <c r="Y50" s="3">
        <f t="shared" si="11"/>
        <v>30.84446524618474</v>
      </c>
      <c r="Z50" s="2">
        <f t="shared" si="12"/>
        <v>32.077193035384752</v>
      </c>
      <c r="AA50" s="3">
        <f t="shared" si="13"/>
        <v>32.390421968939179</v>
      </c>
      <c r="AB50" s="2">
        <f t="shared" si="14"/>
        <v>32.606974450757235</v>
      </c>
      <c r="AC50" s="2">
        <f t="shared" si="15"/>
        <v>33.255300437266563</v>
      </c>
      <c r="AD50" s="2">
        <f t="shared" si="16"/>
        <v>-0.78972469668954259</v>
      </c>
      <c r="AE50" s="2">
        <f t="shared" si="17"/>
        <v>0.38002811655397029</v>
      </c>
    </row>
    <row r="51" spans="2:31" x14ac:dyDescent="0.2">
      <c r="B51" s="1">
        <f>[17]FormattedData!A27</f>
        <v>102</v>
      </c>
      <c r="C51" s="1" t="str">
        <f>VLOOKUP($B51,[17]TrtCodes!$B$11:I70,2)</f>
        <v>FTL</v>
      </c>
      <c r="D51" s="1">
        <f>VLOOKUP($B51,[17]TrtCodes!$B$11:J70,3)</f>
        <v>4</v>
      </c>
      <c r="E51" s="1">
        <f>VLOOKUP($B51,[17]TrtCodes!$B$11:K70,4)</f>
        <v>1</v>
      </c>
      <c r="F51" s="1">
        <f>VLOOKUP($B51,[17]TrtCodes!$B$11:L70,5)</f>
        <v>2</v>
      </c>
      <c r="G51" s="1">
        <f>VLOOKUP($B51,[17]TrtCodes!$B$11:M70,6)</f>
        <v>1</v>
      </c>
      <c r="H51" s="1">
        <f>VLOOKUP($B51,[17]TrtCodes!$B$11:N70,7)</f>
        <v>1</v>
      </c>
      <c r="I51" s="1">
        <f>[17]FormattedData!B27</f>
        <v>2</v>
      </c>
      <c r="J51" s="4">
        <f>[17]FormattedData!C27</f>
        <v>13.24</v>
      </c>
      <c r="K51" s="6">
        <f>$J$3+[17]FormattedData!D27*$J$4+$M$4*$J$5+[17]FormattedData!D27^2*$J$6+$M$5*$J$7</f>
        <v>33.159374252078464</v>
      </c>
      <c r="L51" s="6">
        <f>$J$3+[17]FormattedData!E27*$J$4+$M$4*$J$5+[17]FormattedData!E27^2*$J$6+$M$5*$J$7</f>
        <v>31.908487407681442</v>
      </c>
      <c r="M51" s="6">
        <f>$J$3+[17]FormattedData!F27*$J$4+$M$4*$J$5+[17]FormattedData!F27^2*$J$6+$M$5*$J$7</f>
        <v>31.135160330866281</v>
      </c>
      <c r="N51" s="6">
        <f>$J$3+[17]FormattedData!G27*$J$4+$M$4*$J$5+[17]FormattedData!G27^2*$J$6+$M$5*$J$7</f>
        <v>31.522162017577312</v>
      </c>
      <c r="O51" s="6">
        <f>$J$3+[17]FormattedData!H27*$J$4+$M$4*$J$5+[17]FormattedData!H27^2*$J$6+$M$5*$J$7</f>
        <v>32.967395076088472</v>
      </c>
      <c r="P51" s="6">
        <f>$J$3+[17]FormattedData!I27*$J$4+$M$4*$J$5+[17]FormattedData!I27^2*$J$6+$M$5*$J$7</f>
        <v>31.811969462962303</v>
      </c>
      <c r="Q51" s="6">
        <f>$J$3+[17]FormattedData!J27*$J$4+$M$4*$J$5+[17]FormattedData!J27^2*$J$6+$M$5*$J$7</f>
        <v>33.255300437266563</v>
      </c>
      <c r="R51" s="6">
        <f>$J$3+[17]FormattedData!K27*$J$4+$M$4*$J$5+[17]FormattedData!K27^2*$J$6+$M$5*$J$7</f>
        <v>34.78437087911751</v>
      </c>
      <c r="S51" s="6">
        <f>$J$3+[17]FormattedData!L27*$J$4+$M$4*$J$5+[17]FormattedData!L27^2*$J$6+$M$5*$J$7</f>
        <v>31.908487407681442</v>
      </c>
      <c r="T51" s="6">
        <f>$J$3+[17]FormattedData!M27*$J$4+$M$4*$J$5+[17]FormattedData!M27^2*$J$6+$M$5*$J$7</f>
        <v>34.021188251405839</v>
      </c>
      <c r="U51" s="6">
        <f>$J$3+[17]FormattedData!N27*$J$4+$M$4*$J$5+[17]FormattedData!N27^2*$J$6+$M$5*$J$7</f>
        <v>32.871342085286578</v>
      </c>
      <c r="V51" s="6">
        <f>$J$3+[17]FormattedData!O27*$J$4+$M$4*$J$5+[17]FormattedData!O27^2*$J$6+$M$5*$J$7</f>
        <v>33.159374252078464</v>
      </c>
      <c r="W51" s="5">
        <f t="shared" si="9"/>
        <v>32.708717655007554</v>
      </c>
      <c r="X51" s="4">
        <f t="shared" si="10"/>
        <v>0.31137649811059664</v>
      </c>
      <c r="Y51" s="3">
        <f t="shared" si="11"/>
        <v>31.135160330866281</v>
      </c>
      <c r="Z51" s="2">
        <f t="shared" si="12"/>
        <v>31.884357921501657</v>
      </c>
      <c r="AA51" s="3">
        <f t="shared" si="13"/>
        <v>32.919368580687525</v>
      </c>
      <c r="AB51" s="2">
        <f t="shared" si="14"/>
        <v>33.183355798375487</v>
      </c>
      <c r="AC51" s="2">
        <f t="shared" si="15"/>
        <v>34.78437087911751</v>
      </c>
      <c r="AD51" s="2">
        <f t="shared" si="16"/>
        <v>0.37018777023270122</v>
      </c>
      <c r="AE51" s="2">
        <f t="shared" si="17"/>
        <v>-0.39138820670834384</v>
      </c>
    </row>
    <row r="52" spans="2:31" x14ac:dyDescent="0.2">
      <c r="B52" s="1">
        <f>[17]FormattedData!A25</f>
        <v>103</v>
      </c>
      <c r="C52" s="1" t="str">
        <f>VLOOKUP($B52,[17]TrtCodes!$B$11:I68,2)</f>
        <v>FDH</v>
      </c>
      <c r="D52" s="1">
        <f>VLOOKUP($B52,[17]TrtCodes!$B$11:J68,3)</f>
        <v>5</v>
      </c>
      <c r="E52" s="1">
        <f>VLOOKUP($B52,[17]TrtCodes!$B$11:K68,4)</f>
        <v>1</v>
      </c>
      <c r="F52" s="1">
        <f>VLOOKUP($B52,[17]TrtCodes!$B$11:L68,5)</f>
        <v>3</v>
      </c>
      <c r="G52" s="1">
        <f>VLOOKUP($B52,[17]TrtCodes!$B$11:M68,6)</f>
        <v>2</v>
      </c>
      <c r="H52" s="1">
        <f>VLOOKUP($B52,[17]TrtCodes!$B$11:N68,7)</f>
        <v>1</v>
      </c>
      <c r="I52" s="1">
        <f>[17]FormattedData!B25</f>
        <v>2</v>
      </c>
      <c r="J52" s="4">
        <f>[17]FormattedData!C25</f>
        <v>13.223000000000001</v>
      </c>
      <c r="K52" s="6">
        <f>$J$3+[17]FormattedData!D25*$J$4+$M$4*$J$5+[17]FormattedData!D25^2*$J$6+$M$5*$J$7</f>
        <v>31.715409249705239</v>
      </c>
      <c r="L52" s="6">
        <f>$J$3+[17]FormattedData!E25*$J$4+$M$4*$J$5+[17]FormattedData!E25^2*$J$6+$M$5*$J$7</f>
        <v>30.650457180374051</v>
      </c>
      <c r="M52" s="6">
        <f>$J$3+[17]FormattedData!F25*$J$4+$M$4*$J$5+[17]FormattedData!F25^2*$J$6+$M$5*$J$7</f>
        <v>33.638582492639642</v>
      </c>
      <c r="N52" s="6">
        <f>$J$3+[17]FormattedData!G25*$J$4+$M$4*$J$5+[17]FormattedData!G25^2*$J$6+$M$5*$J$7</f>
        <v>32.775246825946752</v>
      </c>
      <c r="O52" s="6">
        <f>$J$3+[17]FormattedData!H25*$J$4+$M$4*$J$5+[17]FormattedData!H25^2*$J$6+$M$5*$J$7</f>
        <v>32.679109298069001</v>
      </c>
      <c r="P52" s="6">
        <f>$J$3+[17]FormattedData!I25*$J$4+$M$4*$J$5+[17]FormattedData!I25^2*$J$6+$M$5*$J$7</f>
        <v>31.522162017577312</v>
      </c>
      <c r="Q52" s="6">
        <f>$J$3+[17]FormattedData!J25*$J$4+$M$4*$J$5+[17]FormattedData!J25^2*$J$6+$M$5*$J$7</f>
        <v>32.390443103208149</v>
      </c>
      <c r="R52" s="6">
        <f>$J$3+[17]FormattedData!K25*$J$4+$M$4*$J$5+[17]FormattedData!K25^2*$J$6+$M$5*$J$7</f>
        <v>32.197787630611259</v>
      </c>
      <c r="S52" s="6">
        <f>$J$3+[17]FormattedData!L25*$J$4+$M$4*$J$5+[17]FormattedData!L25^2*$J$6+$M$5*$J$7</f>
        <v>32.679109298069001</v>
      </c>
      <c r="T52" s="6">
        <f>$J$3+[17]FormattedData!M25*$J$4+$M$4*$J$5+[17]FormattedData!M25^2*$J$6+$M$5*$J$7</f>
        <v>32.486707436699703</v>
      </c>
      <c r="U52" s="6">
        <f>$J$3+[17]FormattedData!N25*$J$4+$M$4*$J$5+[17]FormattedData!N25^2*$J$6+$M$5*$J$7</f>
        <v>32.679109298069001</v>
      </c>
      <c r="V52" s="6">
        <f>$J$3+[17]FormattedData!O25*$J$4+$M$4*$J$5+[17]FormattedData!O25^2*$J$6+$M$5*$J$7</f>
        <v>33.542825381603272</v>
      </c>
      <c r="W52" s="5">
        <f t="shared" si="9"/>
        <v>32.413079101047707</v>
      </c>
      <c r="X52" s="4">
        <f t="shared" si="10"/>
        <v>0.23933720542926734</v>
      </c>
      <c r="Y52" s="3">
        <f t="shared" si="11"/>
        <v>30.650457180374051</v>
      </c>
      <c r="Z52" s="2">
        <f t="shared" si="12"/>
        <v>32.077193035384752</v>
      </c>
      <c r="AA52" s="3">
        <f t="shared" si="13"/>
        <v>32.582908367384348</v>
      </c>
      <c r="AB52" s="2">
        <f t="shared" si="14"/>
        <v>32.703143680038437</v>
      </c>
      <c r="AC52" s="2">
        <f t="shared" si="15"/>
        <v>33.638582492639642</v>
      </c>
      <c r="AD52" s="2">
        <f t="shared" si="16"/>
        <v>-0.60221718318502271</v>
      </c>
      <c r="AE52" s="2">
        <f t="shared" si="17"/>
        <v>0.78175082331320578</v>
      </c>
    </row>
    <row r="53" spans="2:31" x14ac:dyDescent="0.2">
      <c r="B53" s="1">
        <f>[17]FormattedData!A23</f>
        <v>104</v>
      </c>
      <c r="C53" s="1" t="str">
        <f>VLOOKUP($B53,[17]TrtCodes!$B$11:I66,2)</f>
        <v>NTL</v>
      </c>
      <c r="D53" s="1">
        <f>VLOOKUP($B53,[17]TrtCodes!$B$11:J66,3)</f>
        <v>10</v>
      </c>
      <c r="E53" s="1">
        <f>VLOOKUP($B53,[17]TrtCodes!$B$11:K66,4)</f>
        <v>2</v>
      </c>
      <c r="F53" s="1">
        <f>VLOOKUP($B53,[17]TrtCodes!$B$11:L66,5)</f>
        <v>2</v>
      </c>
      <c r="G53" s="1">
        <f>VLOOKUP($B53,[17]TrtCodes!$B$11:M66,6)</f>
        <v>1</v>
      </c>
      <c r="H53" s="1">
        <f>VLOOKUP($B53,[17]TrtCodes!$B$11:N66,7)</f>
        <v>1</v>
      </c>
      <c r="I53" s="1">
        <f>[17]FormattedData!B23</f>
        <v>2</v>
      </c>
      <c r="J53" s="4">
        <f>[17]FormattedData!C23</f>
        <v>13.205</v>
      </c>
      <c r="K53" s="6">
        <f>$J$3+[17]FormattedData!D23*$J$4+$M$4*$J$5+[17]FormattedData!D23^2*$J$6+$M$5*$J$7</f>
        <v>30.650457180374051</v>
      </c>
      <c r="L53" s="6">
        <f>$J$3+[17]FormattedData!E23*$J$4+$M$4*$J$5+[17]FormattedData!E23^2*$J$6+$M$5*$J$7</f>
        <v>29.580390617953203</v>
      </c>
      <c r="M53" s="6">
        <f>$J$3+[17]FormattedData!F23*$J$4+$M$4*$J$5+[17]FormattedData!F23^2*$J$6+$M$5*$J$7</f>
        <v>30.067418538031646</v>
      </c>
      <c r="N53" s="6">
        <f>$J$3+[17]FormattedData!G23*$J$4+$M$4*$J$5+[17]FormattedData!G23^2*$J$6+$M$5*$J$7</f>
        <v>29.580390617953203</v>
      </c>
      <c r="O53" s="6">
        <f>$J$3+[17]FormattedData!H23*$J$4+$M$4*$J$5+[17]FormattedData!H23^2*$J$6+$M$5*$J$7</f>
        <v>30.261933826297508</v>
      </c>
      <c r="P53" s="6">
        <f>$J$3+[17]FormattedData!I23*$J$4+$M$4*$J$5+[17]FormattedData!I23^2*$J$6+$M$5*$J$7</f>
        <v>28.701077443922337</v>
      </c>
      <c r="Q53" s="6">
        <f>$J$3+[17]FormattedData!J23*$J$4+$M$4*$J$5+[17]FormattedData!J23^2*$J$6+$M$5*$J$7</f>
        <v>29.482858228323717</v>
      </c>
      <c r="R53" s="6">
        <f>$J$3+[17]FormattedData!K23*$J$4+$M$4*$J$5+[17]FormattedData!K23^2*$J$6+$M$5*$J$7</f>
        <v>29.677880739044749</v>
      </c>
      <c r="S53" s="6">
        <f>$J$3+[17]FormattedData!L23*$J$4+$M$4*$J$5+[17]FormattedData!L23^2*$J$6+$M$5*$J$7</f>
        <v>29.482858228323717</v>
      </c>
      <c r="T53" s="6">
        <f>$J$3+[17]FormattedData!M23*$J$4+$M$4*$J$5+[17]FormattedData!M23^2*$J$6+$M$5*$J$7</f>
        <v>28.99456225210734</v>
      </c>
      <c r="U53" s="6">
        <f>$J$3+[17]FormattedData!N23*$J$4+$M$4*$J$5+[17]FormattedData!N23^2*$J$6+$M$5*$J$7</f>
        <v>30.067418538031646</v>
      </c>
      <c r="V53" s="6">
        <f>$J$3+[17]FormattedData!O23*$J$4+$M$4*$J$5+[17]FormattedData!O23^2*$J$6+$M$5*$J$7</f>
        <v>29.677880739044749</v>
      </c>
      <c r="W53" s="5">
        <f t="shared" si="9"/>
        <v>29.685427245783988</v>
      </c>
      <c r="X53" s="4">
        <f t="shared" si="10"/>
        <v>0.15339501340663744</v>
      </c>
      <c r="Y53" s="3">
        <f t="shared" si="11"/>
        <v>28.701077443922337</v>
      </c>
      <c r="Z53" s="2">
        <f t="shared" si="12"/>
        <v>29.482858228323717</v>
      </c>
      <c r="AA53" s="3">
        <f t="shared" si="13"/>
        <v>29.629135678498976</v>
      </c>
      <c r="AB53" s="2">
        <f t="shared" si="14"/>
        <v>30.067418538031646</v>
      </c>
      <c r="AC53" s="2">
        <f t="shared" si="15"/>
        <v>30.650457180374051</v>
      </c>
      <c r="AD53" s="2">
        <f t="shared" si="16"/>
        <v>-7.3193621898985275E-2</v>
      </c>
      <c r="AE53" s="2">
        <f t="shared" si="17"/>
        <v>0.29625699336159705</v>
      </c>
    </row>
    <row r="54" spans="2:31" x14ac:dyDescent="0.2">
      <c r="B54" s="1">
        <f>[17]FormattedData!A21</f>
        <v>105</v>
      </c>
      <c r="C54" s="1" t="str">
        <f>VLOOKUP($B54,[17]TrtCodes!$B$11:I64,2)</f>
        <v>NDL</v>
      </c>
      <c r="D54" s="1">
        <f>VLOOKUP($B54,[17]TrtCodes!$B$11:J64,3)</f>
        <v>12</v>
      </c>
      <c r="E54" s="1">
        <f>VLOOKUP($B54,[17]TrtCodes!$B$11:K64,4)</f>
        <v>2</v>
      </c>
      <c r="F54" s="1">
        <f>VLOOKUP($B54,[17]TrtCodes!$B$11:L64,5)</f>
        <v>3</v>
      </c>
      <c r="G54" s="1">
        <f>VLOOKUP($B54,[17]TrtCodes!$B$11:M64,6)</f>
        <v>1</v>
      </c>
      <c r="H54" s="1">
        <f>VLOOKUP($B54,[17]TrtCodes!$B$11:N64,7)</f>
        <v>2</v>
      </c>
      <c r="I54" s="1">
        <f>[17]FormattedData!B21</f>
        <v>2</v>
      </c>
      <c r="J54" s="4">
        <f>[17]FormattedData!C21</f>
        <v>13.185</v>
      </c>
      <c r="K54" s="6">
        <f>$J$3+[17]FormattedData!D21*$J$4+$M$4*$J$5+[17]FormattedData!D21^2*$J$6+$M$5*$J$7</f>
        <v>30.359128067623537</v>
      </c>
      <c r="L54" s="6">
        <f>$J$3+[17]FormattedData!E21*$J$4+$M$4*$J$5+[17]FormattedData!E21^2*$J$6+$M$5*$J$7</f>
        <v>31.522162017577312</v>
      </c>
      <c r="M54" s="6">
        <f>$J$3+[17]FormattedData!F21*$J$4+$M$4*$J$5+[17]FormattedData!F21^2*$J$6+$M$5*$J$7</f>
        <v>30.747482347548363</v>
      </c>
      <c r="N54" s="6">
        <f>$J$3+[17]FormattedData!G21*$J$4+$M$4*$J$5+[17]FormattedData!G21^2*$J$6+$M$5*$J$7</f>
        <v>30.067418538031646</v>
      </c>
      <c r="O54" s="6">
        <f>$J$3+[17]FormattedData!H21*$J$4+$M$4*$J$5+[17]FormattedData!H21^2*$J$6+$M$5*$J$7</f>
        <v>30.650457180374051</v>
      </c>
      <c r="P54" s="6">
        <f>$J$3+[17]FormattedData!I21*$J$4+$M$4*$J$5+[17]FormattedData!I21^2*$J$6+$M$5*$J$7</f>
        <v>30.067418538031646</v>
      </c>
      <c r="Q54" s="6">
        <f>$J$3+[17]FormattedData!J21*$J$4+$M$4*$J$5+[17]FormattedData!J21^2*$J$6+$M$5*$J$7</f>
        <v>29.287666643450962</v>
      </c>
      <c r="R54" s="6">
        <f>$J$3+[17]FormattedData!K21*$J$4+$M$4*$J$5+[17]FormattedData!K21^2*$J$6+$M$5*$J$7</f>
        <v>28.896776251250269</v>
      </c>
      <c r="S54" s="6">
        <f>$J$3+[17]FormattedData!L21*$J$4+$M$4*$J$5+[17]FormattedData!L21^2*$J$6+$M$5*$J$7</f>
        <v>30.261933826297508</v>
      </c>
      <c r="T54" s="6">
        <f>$J$3+[17]FormattedData!M21*$J$4+$M$4*$J$5+[17]FormattedData!M21^2*$J$6+$M$5*$J$7</f>
        <v>29.677880739044749</v>
      </c>
      <c r="U54" s="6">
        <f>$J$3+[17]FormattedData!N21*$J$4+$M$4*$J$5+[17]FormattedData!N21^2*$J$6+$M$5*$J$7</f>
        <v>29.287666643450962</v>
      </c>
      <c r="V54" s="6">
        <f>$J$3+[17]FormattedData!O21*$J$4+$M$4*$J$5+[17]FormattedData!O21^2*$J$6+$M$5*$J$7</f>
        <v>28.701077443922337</v>
      </c>
      <c r="W54" s="5">
        <f t="shared" si="9"/>
        <v>29.960589019716938</v>
      </c>
      <c r="X54" s="4">
        <f t="shared" si="10"/>
        <v>0.23852032201838599</v>
      </c>
      <c r="Y54" s="3">
        <f t="shared" si="11"/>
        <v>28.701077443922337</v>
      </c>
      <c r="Z54" s="2">
        <f t="shared" si="12"/>
        <v>29.287666643450962</v>
      </c>
      <c r="AA54" s="3">
        <f t="shared" si="13"/>
        <v>30.067418538031646</v>
      </c>
      <c r="AB54" s="2">
        <f t="shared" si="14"/>
        <v>30.431960345811166</v>
      </c>
      <c r="AC54" s="2">
        <f t="shared" si="15"/>
        <v>31.522162017577312</v>
      </c>
      <c r="AD54" s="2">
        <f t="shared" si="16"/>
        <v>0.17068672339954108</v>
      </c>
      <c r="AE54" s="2">
        <f t="shared" si="17"/>
        <v>-0.38074520776678566</v>
      </c>
    </row>
    <row r="55" spans="2:31" x14ac:dyDescent="0.2">
      <c r="B55" s="1">
        <f>[17]FormattedData!A19</f>
        <v>106</v>
      </c>
      <c r="C55" s="1" t="str">
        <f>VLOOKUP($B55,[17]TrtCodes!$B$11:I62,2)</f>
        <v>NTH</v>
      </c>
      <c r="D55" s="1">
        <f>VLOOKUP($B55,[17]TrtCodes!$B$11:J62,3)</f>
        <v>9</v>
      </c>
      <c r="E55" s="1">
        <f>VLOOKUP($B55,[17]TrtCodes!$B$11:K62,4)</f>
        <v>2</v>
      </c>
      <c r="F55" s="1">
        <f>VLOOKUP($B55,[17]TrtCodes!$B$11:L62,5)</f>
        <v>2</v>
      </c>
      <c r="G55" s="1">
        <f>VLOOKUP($B55,[17]TrtCodes!$B$11:M62,6)</f>
        <v>2</v>
      </c>
      <c r="H55" s="1">
        <f>VLOOKUP($B55,[17]TrtCodes!$B$11:N62,7)</f>
        <v>2</v>
      </c>
      <c r="I55" s="1">
        <f>[17]FormattedData!B19</f>
        <v>2</v>
      </c>
      <c r="J55" s="4">
        <f>[17]FormattedData!C19</f>
        <v>13.167</v>
      </c>
      <c r="K55" s="6">
        <f>$J$3+[17]FormattedData!D19*$J$4+$M$4*$J$5+[17]FormattedData!D19^2*$J$6+$M$5*$J$7</f>
        <v>33.063405798352434</v>
      </c>
      <c r="L55" s="6">
        <f>$J$3+[17]FormattedData!E19*$J$4+$M$4*$J$5+[17]FormattedData!E19^2*$J$6+$M$5*$J$7</f>
        <v>30.553389744661814</v>
      </c>
      <c r="M55" s="6">
        <f>$J$3+[17]FormattedData!F19*$J$4+$M$4*$J$5+[17]FormattedData!F19^2*$J$6+$M$5*$J$7</f>
        <v>30.359128067623537</v>
      </c>
      <c r="N55" s="6">
        <f>$J$3+[17]FormattedData!G19*$J$4+$M$4*$J$5+[17]FormattedData!G19^2*$J$6+$M$5*$J$7</f>
        <v>30.650457180374051</v>
      </c>
      <c r="O55" s="6">
        <f>$J$3+[17]FormattedData!H19*$J$4+$M$4*$J$5+[17]FormattedData!H19^2*$J$6+$M$5*$J$7</f>
        <v>30.164697316433539</v>
      </c>
      <c r="P55" s="6">
        <f>$J$3+[17]FormattedData!I19*$J$4+$M$4*$J$5+[17]FormattedData!I19^2*$J$6+$M$5*$J$7</f>
        <v>29.482858228323717</v>
      </c>
      <c r="Q55" s="6">
        <f>$J$3+[17]FormattedData!J19*$J$4+$M$4*$J$5+[17]FormattedData!J19^2*$J$6+$M$5*$J$7</f>
        <v>28.112966577028196</v>
      </c>
      <c r="R55" s="6">
        <f>$J$3+[17]FormattedData!K19*$J$4+$M$4*$J$5+[17]FormattedData!K19^2*$J$6+$M$5*$J$7</f>
        <v>29.482858228323717</v>
      </c>
      <c r="S55" s="6">
        <f>$J$3+[17]FormattedData!L19*$J$4+$M$4*$J$5+[17]FormattedData!L19^2*$J$6+$M$5*$J$7</f>
        <v>29.482858228323717</v>
      </c>
      <c r="T55" s="6">
        <f>$J$3+[17]FormattedData!M19*$J$4+$M$4*$J$5+[17]FormattedData!M19^2*$J$6+$M$5*$J$7</f>
        <v>30.067418538031646</v>
      </c>
      <c r="U55" s="6">
        <f>$J$3+[17]FormattedData!N19*$J$4+$M$4*$J$5+[17]FormattedData!N19^2*$J$6+$M$5*$J$7</f>
        <v>30.261933826297508</v>
      </c>
      <c r="V55" s="6">
        <f>$J$3+[17]FormattedData!O19*$J$4+$M$4*$J$5+[17]FormattedData!O19^2*$J$6+$M$5*$J$7</f>
        <v>30.164697316433539</v>
      </c>
      <c r="W55" s="5">
        <f t="shared" si="9"/>
        <v>30.153889087517282</v>
      </c>
      <c r="X55" s="4">
        <f t="shared" si="10"/>
        <v>0.33085275000355385</v>
      </c>
      <c r="Y55" s="3">
        <f t="shared" si="11"/>
        <v>28.112966577028196</v>
      </c>
      <c r="Z55" s="2">
        <f t="shared" si="12"/>
        <v>29.482858228323717</v>
      </c>
      <c r="AA55" s="3">
        <f t="shared" si="13"/>
        <v>30.164697316433539</v>
      </c>
      <c r="AB55" s="2">
        <f t="shared" si="14"/>
        <v>30.407693486883105</v>
      </c>
      <c r="AC55" s="2">
        <f t="shared" si="15"/>
        <v>33.063405798352434</v>
      </c>
      <c r="AD55" s="2">
        <f t="shared" si="16"/>
        <v>1.1172039775851625</v>
      </c>
      <c r="AE55" s="2">
        <f t="shared" si="17"/>
        <v>4.1592035778689791</v>
      </c>
    </row>
    <row r="56" spans="2:31" x14ac:dyDescent="0.2">
      <c r="B56" s="1">
        <f>[17]FormattedData!A17</f>
        <v>107</v>
      </c>
      <c r="C56" s="1" t="str">
        <f>VLOOKUP($B56,[17]TrtCodes!$B$11:I60,2)</f>
        <v>NTL</v>
      </c>
      <c r="D56" s="1">
        <f>VLOOKUP($B56,[17]TrtCodes!$B$11:J60,3)</f>
        <v>10</v>
      </c>
      <c r="E56" s="1">
        <f>VLOOKUP($B56,[17]TrtCodes!$B$11:K60,4)</f>
        <v>2</v>
      </c>
      <c r="F56" s="1">
        <f>VLOOKUP($B56,[17]TrtCodes!$B$11:L60,5)</f>
        <v>2</v>
      </c>
      <c r="G56" s="1">
        <f>VLOOKUP($B56,[17]TrtCodes!$B$11:M60,6)</f>
        <v>1</v>
      </c>
      <c r="H56" s="1">
        <f>VLOOKUP($B56,[17]TrtCodes!$B$11:N60,7)</f>
        <v>2</v>
      </c>
      <c r="I56" s="1">
        <f>[17]FormattedData!B17</f>
        <v>2</v>
      </c>
      <c r="J56" s="4">
        <f>[17]FormattedData!C17</f>
        <v>13.15</v>
      </c>
      <c r="K56" s="6">
        <f>$J$3+[17]FormattedData!D17*$J$4+$M$4*$J$5+[17]FormattedData!D17^2*$J$6+$M$5*$J$7</f>
        <v>29.092305984426478</v>
      </c>
      <c r="L56" s="6">
        <f>$J$3+[17]FormattedData!E17*$J$4+$M$4*$J$5+[17]FormattedData!E17^2*$J$6+$M$5*$J$7</f>
        <v>29.190007448207684</v>
      </c>
      <c r="M56" s="6">
        <f>$J$3+[17]FormattedData!F17*$J$4+$M$4*$J$5+[17]FormattedData!F17^2*$J$6+$M$5*$J$7</f>
        <v>29.190007448207684</v>
      </c>
      <c r="N56" s="6">
        <f>$J$3+[17]FormattedData!G17*$J$4+$M$4*$J$5+[17]FormattedData!G17^2*$J$6+$M$5*$J$7</f>
        <v>29.287666643450962</v>
      </c>
      <c r="O56" s="6">
        <f>$J$3+[17]FormattedData!H17*$J$4+$M$4*$J$5+[17]FormattedData!H17^2*$J$6+$M$5*$J$7</f>
        <v>29.970097491091824</v>
      </c>
      <c r="P56" s="6">
        <f>$J$3+[17]FormattedData!I17*$J$4+$M$4*$J$5+[17]FormattedData!I17^2*$J$6+$M$5*$J$7</f>
        <v>28.798947981855267</v>
      </c>
      <c r="Q56" s="6">
        <f>$J$3+[17]FormattedData!J17*$J$4+$M$4*$J$5+[17]FormattedData!J17^2*$J$6+$M$5*$J$7</f>
        <v>29.385283570156304</v>
      </c>
      <c r="R56" s="6">
        <f>$J$3+[17]FormattedData!K17*$J$4+$M$4*$J$5+[17]FormattedData!K17^2*$J$6+$M$5*$J$7</f>
        <v>30.941405876283188</v>
      </c>
      <c r="S56" s="6">
        <f>$J$3+[17]FormattedData!L17*$J$4+$M$4*$J$5+[17]FormattedData!L17^2*$J$6+$M$5*$J$7</f>
        <v>29.092305984426478</v>
      </c>
      <c r="T56" s="6">
        <f>$J$3+[17]FormattedData!M17*$J$4+$M$4*$J$5+[17]FormattedData!M17^2*$J$6+$M$5*$J$7</f>
        <v>30.553389744661814</v>
      </c>
      <c r="U56" s="6">
        <f>$J$3+[17]FormattedData!N17*$J$4+$M$4*$J$5+[17]FormattedData!N17^2*$J$6+$M$5*$J$7</f>
        <v>30.261933826297508</v>
      </c>
      <c r="V56" s="6">
        <f>$J$3+[17]FormattedData!O17*$J$4+$M$4*$J$5+[17]FormattedData!O17^2*$J$6+$M$5*$J$7</f>
        <v>30.553389744661814</v>
      </c>
      <c r="W56" s="5">
        <f t="shared" si="9"/>
        <v>29.693061811977248</v>
      </c>
      <c r="X56" s="4">
        <f t="shared" si="10"/>
        <v>0.20826683945681401</v>
      </c>
      <c r="Y56" s="3">
        <f t="shared" si="11"/>
        <v>28.798947981855267</v>
      </c>
      <c r="Z56" s="2">
        <f t="shared" si="12"/>
        <v>29.165582082262382</v>
      </c>
      <c r="AA56" s="3">
        <f t="shared" si="13"/>
        <v>29.336475106803633</v>
      </c>
      <c r="AB56" s="2">
        <f t="shared" si="14"/>
        <v>30.334797805888584</v>
      </c>
      <c r="AC56" s="2">
        <f t="shared" si="15"/>
        <v>30.941405876283188</v>
      </c>
      <c r="AD56" s="2">
        <f t="shared" si="16"/>
        <v>0.55936642391083802</v>
      </c>
      <c r="AE56" s="2">
        <f t="shared" si="17"/>
        <v>-1.3005615642527601</v>
      </c>
    </row>
    <row r="57" spans="2:31" x14ac:dyDescent="0.2">
      <c r="B57" s="1">
        <f>[17]FormattedData!A15</f>
        <v>108</v>
      </c>
      <c r="C57" s="1" t="str">
        <f>VLOOKUP($B57,[17]TrtCodes!$B$11:I58,2)</f>
        <v>FTH</v>
      </c>
      <c r="D57" s="1">
        <f>VLOOKUP($B57,[17]TrtCodes!$B$11:J58,3)</f>
        <v>3</v>
      </c>
      <c r="E57" s="1">
        <f>VLOOKUP($B57,[17]TrtCodes!$B$11:K58,4)</f>
        <v>1</v>
      </c>
      <c r="F57" s="1">
        <f>VLOOKUP($B57,[17]TrtCodes!$B$11:L58,5)</f>
        <v>2</v>
      </c>
      <c r="G57" s="1">
        <f>VLOOKUP($B57,[17]TrtCodes!$B$11:M58,6)</f>
        <v>2</v>
      </c>
      <c r="H57" s="1">
        <f>VLOOKUP($B57,[17]TrtCodes!$B$11:N58,7)</f>
        <v>2</v>
      </c>
      <c r="I57" s="1">
        <f>[17]FormattedData!B15</f>
        <v>2</v>
      </c>
      <c r="J57" s="4">
        <f>[17]FormattedData!C15</f>
        <v>13.132</v>
      </c>
      <c r="K57" s="6">
        <f>$J$3+[17]FormattedData!D15*$J$4+$M$4*$J$5+[17]FormattedData!D15^2*$J$6+$M$5*$J$7</f>
        <v>29.482858228323717</v>
      </c>
      <c r="L57" s="6">
        <f>$J$3+[17]FormattedData!E15*$J$4+$M$4*$J$5+[17]FormattedData!E15^2*$J$6+$M$5*$J$7</f>
        <v>28.701077443922337</v>
      </c>
      <c r="M57" s="6">
        <f>$J$3+[17]FormattedData!F15*$J$4+$M$4*$J$5+[17]FormattedData!F15^2*$J$6+$M$5*$J$7</f>
        <v>29.775328591598374</v>
      </c>
      <c r="N57" s="6">
        <f>$J$3+[17]FormattedData!G15*$J$4+$M$4*$J$5+[17]FormattedData!G15^2*$J$6+$M$5*$J$7</f>
        <v>29.677880739044749</v>
      </c>
      <c r="O57" s="6">
        <f>$J$3+[17]FormattedData!H15*$J$4+$M$4*$J$5+[17]FormattedData!H15^2*$J$6+$M$5*$J$7</f>
        <v>30.941405876283188</v>
      </c>
      <c r="P57" s="6">
        <f>$J$3+[17]FormattedData!I15*$J$4+$M$4*$J$5+[17]FormattedData!I15^2*$J$6+$M$5*$J$7</f>
        <v>31.135160330866281</v>
      </c>
      <c r="Q57" s="6">
        <f>$J$3+[17]FormattedData!J15*$J$4+$M$4*$J$5+[17]FormattedData!J15^2*$J$6+$M$5*$J$7</f>
        <v>30.067418538031646</v>
      </c>
      <c r="R57" s="6">
        <f>$J$3+[17]FormattedData!K15*$J$4+$M$4*$J$5+[17]FormattedData!K15^2*$J$6+$M$5*$J$7</f>
        <v>29.677880739044749</v>
      </c>
      <c r="S57" s="6">
        <f>$J$3+[17]FormattedData!L15*$J$4+$M$4*$J$5+[17]FormattedData!L15^2*$J$6+$M$5*$J$7</f>
        <v>29.677880739044749</v>
      </c>
      <c r="T57" s="6">
        <f>$J$3+[17]FormattedData!M15*$J$4+$M$4*$J$5+[17]FormattedData!M15^2*$J$6+$M$5*$J$7</f>
        <v>30.941405876283188</v>
      </c>
      <c r="U57" s="6">
        <f>$J$3+[17]FormattedData!N15*$J$4+$M$4*$J$5+[17]FormattedData!N15^2*$J$6+$M$5*$J$7</f>
        <v>31.135160330866281</v>
      </c>
      <c r="V57" s="6">
        <f>$J$3+[17]FormattedData!O15*$J$4+$M$4*$J$5+[17]FormattedData!O15^2*$J$6+$M$5*$J$7</f>
        <v>31.135160330866281</v>
      </c>
      <c r="W57" s="5">
        <f t="shared" si="9"/>
        <v>30.195718147014627</v>
      </c>
      <c r="X57" s="4">
        <f t="shared" si="10"/>
        <v>0.23835818215175017</v>
      </c>
      <c r="Y57" s="3">
        <f t="shared" si="11"/>
        <v>28.701077443922337</v>
      </c>
      <c r="Z57" s="2">
        <f t="shared" si="12"/>
        <v>29.677880739044749</v>
      </c>
      <c r="AA57" s="3">
        <f t="shared" si="13"/>
        <v>29.92137356481501</v>
      </c>
      <c r="AB57" s="2">
        <f t="shared" si="14"/>
        <v>30.989844489928963</v>
      </c>
      <c r="AC57" s="2">
        <f t="shared" si="15"/>
        <v>31.135160330866281</v>
      </c>
      <c r="AD57" s="2">
        <f t="shared" si="16"/>
        <v>-0.17006787149017635</v>
      </c>
      <c r="AE57" s="2">
        <f t="shared" si="17"/>
        <v>-1.1683734397732417</v>
      </c>
    </row>
    <row r="58" spans="2:31" x14ac:dyDescent="0.2">
      <c r="B58" s="1">
        <f>[17]FormattedData!A31</f>
        <v>201</v>
      </c>
      <c r="C58" s="1" t="str">
        <f>VLOOKUP($B58,[17]TrtCodes!$B$11:I74,2)</f>
        <v>NDL</v>
      </c>
      <c r="D58" s="1">
        <f>VLOOKUP($B58,[17]TrtCodes!$B$11:J74,3)</f>
        <v>12</v>
      </c>
      <c r="E58" s="1">
        <f>VLOOKUP($B58,[17]TrtCodes!$B$11:K74,4)</f>
        <v>2</v>
      </c>
      <c r="F58" s="1">
        <f>VLOOKUP($B58,[17]TrtCodes!$B$11:L74,5)</f>
        <v>3</v>
      </c>
      <c r="G58" s="1">
        <f>VLOOKUP($B58,[17]TrtCodes!$B$11:M74,6)</f>
        <v>1</v>
      </c>
      <c r="H58" s="1">
        <f>VLOOKUP($B58,[17]TrtCodes!$B$11:N74,7)</f>
        <v>1</v>
      </c>
      <c r="I58" s="1">
        <f>[17]FormattedData!B31</f>
        <v>2</v>
      </c>
      <c r="J58" s="4">
        <f>[17]FormattedData!C31</f>
        <v>13.279</v>
      </c>
      <c r="K58" s="6">
        <f>$J$3+[17]FormattedData!D31*$J$4+$M$4*$J$5+[17]FormattedData!D31^2*$J$6+$M$5*$J$7</f>
        <v>30.747482347548363</v>
      </c>
      <c r="L58" s="6">
        <f>$J$3+[17]FormattedData!E31*$J$4+$M$4*$J$5+[17]FormattedData!E31^2*$J$6+$M$5*$J$7</f>
        <v>30.553389744661814</v>
      </c>
      <c r="M58" s="6">
        <f>$J$3+[17]FormattedData!F31*$J$4+$M$4*$J$5+[17]FormattedData!F31^2*$J$6+$M$5*$J$7</f>
        <v>28.112966577028196</v>
      </c>
      <c r="N58" s="6">
        <f>$J$3+[17]FormattedData!G31*$J$4+$M$4*$J$5+[17]FormattedData!G31^2*$J$6+$M$5*$J$7</f>
        <v>29.677880739044749</v>
      </c>
      <c r="O58" s="6">
        <f>$J$3+[17]FormattedData!H31*$J$4+$M$4*$J$5+[17]FormattedData!H31^2*$J$6+$M$5*$J$7</f>
        <v>29.190007448207684</v>
      </c>
      <c r="P58" s="6">
        <f>$J$3+[17]FormattedData!I31*$J$4+$M$4*$J$5+[17]FormattedData!I31^2*$J$6+$M$5*$J$7</f>
        <v>29.092305984426478</v>
      </c>
      <c r="Q58" s="6">
        <f>$J$3+[17]FormattedData!J31*$J$4+$M$4*$J$5+[17]FormattedData!J31^2*$J$6+$M$5*$J$7</f>
        <v>29.580390617953203</v>
      </c>
      <c r="R58" s="6">
        <f>$J$3+[17]FormattedData!K31*$J$4+$M$4*$J$5+[17]FormattedData!K31^2*$J$6+$M$5*$J$7</f>
        <v>31.328745711297657</v>
      </c>
      <c r="S58" s="6">
        <f>$J$3+[17]FormattedData!L31*$J$4+$M$4*$J$5+[17]FormattedData!L31^2*$J$6+$M$5*$J$7</f>
        <v>32.004963083862648</v>
      </c>
      <c r="T58" s="6">
        <f>$J$3+[17]FormattedData!M31*$J$4+$M$4*$J$5+[17]FormattedData!M31^2*$J$6+$M$5*$J$7</f>
        <v>30.84446524618474</v>
      </c>
      <c r="U58" s="6">
        <f>$J$3+[17]FormattedData!N31*$J$4+$M$4*$J$5+[17]FormattedData!N31^2*$J$6+$M$5*$J$7</f>
        <v>30.747482347548363</v>
      </c>
      <c r="V58" s="6">
        <f>$J$3+[17]FormattedData!O31*$J$4+$M$4*$J$5+[17]FormattedData!O31^2*$J$6+$M$5*$J$7</f>
        <v>30.553389744661814</v>
      </c>
      <c r="W58" s="5">
        <f t="shared" si="9"/>
        <v>30.20278913270214</v>
      </c>
      <c r="X58" s="4">
        <f t="shared" si="10"/>
        <v>0.31449510988512924</v>
      </c>
      <c r="Y58" s="3">
        <f t="shared" si="11"/>
        <v>28.112966577028196</v>
      </c>
      <c r="Z58" s="2">
        <f t="shared" si="12"/>
        <v>29.482794825516823</v>
      </c>
      <c r="AA58" s="3">
        <f t="shared" si="13"/>
        <v>30.553389744661814</v>
      </c>
      <c r="AB58" s="2">
        <f t="shared" si="14"/>
        <v>30.771728072207459</v>
      </c>
      <c r="AC58" s="2">
        <f t="shared" si="15"/>
        <v>32.004963083862648</v>
      </c>
      <c r="AD58" s="2">
        <f t="shared" si="16"/>
        <v>-0.3346654259527031</v>
      </c>
      <c r="AE58" s="2">
        <f t="shared" si="17"/>
        <v>-0.18492137401317521</v>
      </c>
    </row>
    <row r="59" spans="2:31" x14ac:dyDescent="0.2">
      <c r="B59" s="1">
        <f>[17]FormattedData!A33</f>
        <v>202</v>
      </c>
      <c r="C59" s="1" t="str">
        <f>VLOOKUP($B59,[17]TrtCodes!$B$11:I76,2)</f>
        <v>NTH</v>
      </c>
      <c r="D59" s="1">
        <f>VLOOKUP($B59,[17]TrtCodes!$B$11:J76,3)</f>
        <v>9</v>
      </c>
      <c r="E59" s="1">
        <f>VLOOKUP($B59,[17]TrtCodes!$B$11:K76,4)</f>
        <v>2</v>
      </c>
      <c r="F59" s="1">
        <f>VLOOKUP($B59,[17]TrtCodes!$B$11:L76,5)</f>
        <v>2</v>
      </c>
      <c r="G59" s="1">
        <f>VLOOKUP($B59,[17]TrtCodes!$B$11:M76,6)</f>
        <v>2</v>
      </c>
      <c r="H59" s="1">
        <f>VLOOKUP($B59,[17]TrtCodes!$B$11:N76,7)</f>
        <v>1</v>
      </c>
      <c r="I59" s="1">
        <f>[17]FormattedData!B33</f>
        <v>2</v>
      </c>
      <c r="J59" s="4">
        <f>[17]FormattedData!C33</f>
        <v>13.295</v>
      </c>
      <c r="K59" s="6">
        <f>$J$3+[17]FormattedData!D33*$J$4+$M$4*$J$5+[17]FormattedData!D33^2*$J$6+$M$5*$J$7</f>
        <v>29.190007448207684</v>
      </c>
      <c r="L59" s="6">
        <f>$J$3+[17]FormattedData!E33*$J$4+$M$4*$J$5+[17]FormattedData!E33^2*$J$6+$M$5*$J$7</f>
        <v>29.385283570156304</v>
      </c>
      <c r="M59" s="6">
        <f>$J$3+[17]FormattedData!F33*$J$4+$M$4*$J$5+[17]FormattedData!F33^2*$J$6+$M$5*$J$7</f>
        <v>31.715409249705239</v>
      </c>
      <c r="N59" s="6">
        <f>$J$3+[17]FormattedData!G33*$J$4+$M$4*$J$5+[17]FormattedData!G33^2*$J$6+$M$5*$J$7</f>
        <v>31.135160330866281</v>
      </c>
      <c r="O59" s="6">
        <f>$J$3+[17]FormattedData!H33*$J$4+$M$4*$J$5+[17]FormattedData!H33^2*$J$6+$M$5*$J$7</f>
        <v>31.811969462962303</v>
      </c>
      <c r="P59" s="6">
        <f>$J$3+[17]FormattedData!I33*$J$4+$M$4*$J$5+[17]FormattedData!I33^2*$J$6+$M$5*$J$7</f>
        <v>31.715409249705239</v>
      </c>
      <c r="Q59" s="6">
        <f>$J$3+[17]FormattedData!J33*$J$4+$M$4*$J$5+[17]FormattedData!J33^2*$J$6+$M$5*$J$7</f>
        <v>31.135160330866281</v>
      </c>
      <c r="R59" s="6">
        <f>$J$3+[17]FormattedData!K33*$J$4+$M$4*$J$5+[17]FormattedData!K33^2*$J$6+$M$5*$J$7</f>
        <v>31.715409249705239</v>
      </c>
      <c r="S59" s="6">
        <f>$J$3+[17]FormattedData!L33*$J$4+$M$4*$J$5+[17]FormattedData!L33^2*$J$6+$M$5*$J$7</f>
        <v>31.908487407681442</v>
      </c>
      <c r="T59" s="6">
        <f>$J$3+[17]FormattedData!M33*$J$4+$M$4*$J$5+[17]FormattedData!M33^2*$J$6+$M$5*$J$7</f>
        <v>31.522162017577312</v>
      </c>
      <c r="U59" s="6">
        <f>$J$3+[17]FormattedData!N33*$J$4+$M$4*$J$5+[17]FormattedData!N33^2*$J$6+$M$5*$J$7</f>
        <v>31.0383042378437</v>
      </c>
      <c r="V59" s="6">
        <f>$J$3+[17]FormattedData!O33*$J$4+$M$4*$J$5+[17]FormattedData!O33^2*$J$6+$M$5*$J$7</f>
        <v>31.811969462962303</v>
      </c>
      <c r="W59" s="5">
        <f t="shared" si="9"/>
        <v>31.173727668186611</v>
      </c>
      <c r="X59" s="4">
        <f t="shared" si="10"/>
        <v>0.2684302423704944</v>
      </c>
      <c r="Y59" s="3">
        <f t="shared" si="11"/>
        <v>29.190007448207684</v>
      </c>
      <c r="Z59" s="2">
        <f t="shared" si="12"/>
        <v>31.110946307610636</v>
      </c>
      <c r="AA59" s="3">
        <f t="shared" si="13"/>
        <v>31.618785633641274</v>
      </c>
      <c r="AB59" s="2">
        <f t="shared" si="14"/>
        <v>31.739549303019505</v>
      </c>
      <c r="AC59" s="2">
        <f t="shared" si="15"/>
        <v>31.908487407681442</v>
      </c>
      <c r="AD59" s="2">
        <f t="shared" si="16"/>
        <v>-1.6408635384674803</v>
      </c>
      <c r="AE59" s="2">
        <f t="shared" si="17"/>
        <v>1.5757224052719314</v>
      </c>
    </row>
    <row r="60" spans="2:31" x14ac:dyDescent="0.2">
      <c r="B60" s="1">
        <f>[17]FormattedData!A35</f>
        <v>203</v>
      </c>
      <c r="C60" s="1" t="str">
        <f>VLOOKUP($B60,[17]TrtCodes!$B$11:I78,2)</f>
        <v>FTH</v>
      </c>
      <c r="D60" s="1">
        <f>VLOOKUP($B60,[17]TrtCodes!$B$11:J78,3)</f>
        <v>3</v>
      </c>
      <c r="E60" s="1">
        <f>VLOOKUP($B60,[17]TrtCodes!$B$11:K78,4)</f>
        <v>1</v>
      </c>
      <c r="F60" s="1">
        <f>VLOOKUP($B60,[17]TrtCodes!$B$11:L78,5)</f>
        <v>2</v>
      </c>
      <c r="G60" s="1">
        <f>VLOOKUP($B60,[17]TrtCodes!$B$11:M78,6)</f>
        <v>2</v>
      </c>
      <c r="H60" s="1">
        <f>VLOOKUP($B60,[17]TrtCodes!$B$11:N78,7)</f>
        <v>1</v>
      </c>
      <c r="I60" s="1">
        <f>[17]FormattedData!B35</f>
        <v>2</v>
      </c>
      <c r="J60" s="4">
        <f>[17]FormattedData!C35</f>
        <v>13.311999999999999</v>
      </c>
      <c r="K60" s="6">
        <f>$J$3+[17]FormattedData!D35*$J$4+$M$4*$J$5+[17]FormattedData!D35^2*$J$6+$M$5*$J$7</f>
        <v>32.294136501178663</v>
      </c>
      <c r="L60" s="6">
        <f>$J$3+[17]FormattedData!E35*$J$4+$M$4*$J$5+[17]FormattedData!E35^2*$J$6+$M$5*$J$7</f>
        <v>31.715409249705239</v>
      </c>
      <c r="M60" s="6">
        <f>$J$3+[17]FormattedData!F35*$J$4+$M$4*$J$5+[17]FormattedData!F35^2*$J$6+$M$5*$J$7</f>
        <v>31.618806767910243</v>
      </c>
      <c r="N60" s="6">
        <f>$J$3+[17]FormattedData!G35*$J$4+$M$4*$J$5+[17]FormattedData!G35^2*$J$6+$M$5*$J$7</f>
        <v>33.638582492639642</v>
      </c>
      <c r="O60" s="6">
        <f>$J$3+[17]FormattedData!H35*$J$4+$M$4*$J$5+[17]FormattedData!H35^2*$J$6+$M$5*$J$7</f>
        <v>31.908487407681442</v>
      </c>
      <c r="P60" s="6">
        <f>$J$3+[17]FormattedData!I35*$J$4+$M$4*$J$5+[17]FormattedData!I35^2*$J$6+$M$5*$J$7</f>
        <v>33.925600214521189</v>
      </c>
      <c r="Q60" s="6">
        <f>$J$3+[17]FormattedData!J35*$J$4+$M$4*$J$5+[17]FormattedData!J35^2*$J$6+$M$5*$J$7</f>
        <v>32.486707436699703</v>
      </c>
      <c r="R60" s="6">
        <f>$J$3+[17]FormattedData!K35*$J$4+$M$4*$J$5+[17]FormattedData!K35^2*$J$6+$M$5*$J$7</f>
        <v>31.0383042378437</v>
      </c>
      <c r="S60" s="6">
        <f>$J$3+[17]FormattedData!L35*$J$4+$M$4*$J$5+[17]FormattedData!L35^2*$J$6+$M$5*$J$7</f>
        <v>31.908487407681442</v>
      </c>
      <c r="T60" s="6">
        <f>$J$3+[17]FormattedData!M35*$J$4+$M$4*$J$5+[17]FormattedData!M35^2*$J$6+$M$5*$J$7</f>
        <v>31.425474998706456</v>
      </c>
      <c r="U60" s="6">
        <f>$J$3+[17]FormattedData!N35*$J$4+$M$4*$J$5+[17]FormattedData!N35^2*$J$6+$M$5*$J$7</f>
        <v>32.004963083862648</v>
      </c>
      <c r="V60" s="6">
        <f>$J$3+[17]FormattedData!O35*$J$4+$M$4*$J$5+[17]FormattedData!O35^2*$J$6+$M$5*$J$7</f>
        <v>31.715409249705239</v>
      </c>
      <c r="W60" s="5">
        <f t="shared" si="9"/>
        <v>32.140030754011299</v>
      </c>
      <c r="X60" s="4">
        <f t="shared" si="10"/>
        <v>0.24710428059785669</v>
      </c>
      <c r="Y60" s="3">
        <f t="shared" si="11"/>
        <v>31.0383042378437</v>
      </c>
      <c r="Z60" s="2">
        <f t="shared" si="12"/>
        <v>31.691258629256488</v>
      </c>
      <c r="AA60" s="3">
        <f t="shared" si="13"/>
        <v>31.908487407681442</v>
      </c>
      <c r="AB60" s="2">
        <f t="shared" si="14"/>
        <v>32.342279235058925</v>
      </c>
      <c r="AC60" s="2">
        <f t="shared" si="15"/>
        <v>33.925600214521189</v>
      </c>
      <c r="AD60" s="2">
        <f t="shared" si="16"/>
        <v>1.2313026552412067</v>
      </c>
      <c r="AE60" s="2">
        <f t="shared" si="17"/>
        <v>0.98604775454742821</v>
      </c>
    </row>
    <row r="61" spans="2:31" x14ac:dyDescent="0.2">
      <c r="B61" s="1">
        <f>[17]FormattedData!A37</f>
        <v>204</v>
      </c>
      <c r="C61" s="1" t="str">
        <f>VLOOKUP($B61,[17]TrtCodes!$B$11:I80,2)</f>
        <v>NDH</v>
      </c>
      <c r="D61" s="1">
        <f>VLOOKUP($B61,[17]TrtCodes!$B$11:J80,3)</f>
        <v>11</v>
      </c>
      <c r="E61" s="1">
        <f>VLOOKUP($B61,[17]TrtCodes!$B$11:K80,4)</f>
        <v>2</v>
      </c>
      <c r="F61" s="1">
        <f>VLOOKUP($B61,[17]TrtCodes!$B$11:L80,5)</f>
        <v>3</v>
      </c>
      <c r="G61" s="1">
        <f>VLOOKUP($B61,[17]TrtCodes!$B$11:M80,6)</f>
        <v>2</v>
      </c>
      <c r="H61" s="1">
        <f>VLOOKUP($B61,[17]TrtCodes!$B$11:N80,7)</f>
        <v>1</v>
      </c>
      <c r="I61" s="1">
        <f>[17]FormattedData!B37</f>
        <v>2</v>
      </c>
      <c r="J61" s="4">
        <f>[17]FormattedData!C37</f>
        <v>13.33</v>
      </c>
      <c r="K61" s="6">
        <f>$J$3+[17]FormattedData!D37*$J$4+$M$4*$J$5+[17]FormattedData!D37^2*$J$6+$M$5*$J$7</f>
        <v>32.101396491505916</v>
      </c>
      <c r="L61" s="6">
        <f>$J$3+[17]FormattedData!E37*$J$4+$M$4*$J$5+[17]FormattedData!E37^2*$J$6+$M$5*$J$7</f>
        <v>30.164697316433539</v>
      </c>
      <c r="M61" s="6">
        <f>$J$3+[17]FormattedData!F37*$J$4+$M$4*$J$5+[17]FormattedData!F37^2*$J$6+$M$5*$J$7</f>
        <v>31.522162017577312</v>
      </c>
      <c r="N61" s="6">
        <f>$J$3+[17]FormattedData!G37*$J$4+$M$4*$J$5+[17]FormattedData!G37^2*$J$6+$M$5*$J$7</f>
        <v>32.197787630611259</v>
      </c>
      <c r="O61" s="6">
        <f>$J$3+[17]FormattedData!H37*$J$4+$M$4*$J$5+[17]FormattedData!H37^2*$J$6+$M$5*$J$7</f>
        <v>32.967395076088472</v>
      </c>
      <c r="P61" s="6">
        <f>$J$3+[17]FormattedData!I37*$J$4+$M$4*$J$5+[17]FormattedData!I37^2*$J$6+$M$5*$J$7</f>
        <v>31.618806767910243</v>
      </c>
      <c r="Q61" s="6">
        <f>$J$3+[17]FormattedData!J37*$J$4+$M$4*$J$5+[17]FormattedData!J37^2*$J$6+$M$5*$J$7</f>
        <v>31.715409249705239</v>
      </c>
      <c r="R61" s="6">
        <f>$J$3+[17]FormattedData!K37*$J$4+$M$4*$J$5+[17]FormattedData!K37^2*$J$6+$M$5*$J$7</f>
        <v>31.522162017577312</v>
      </c>
      <c r="S61" s="6">
        <f>$J$3+[17]FormattedData!L37*$J$4+$M$4*$J$5+[17]FormattedData!L37^2*$J$6+$M$5*$J$7</f>
        <v>32.582929501653318</v>
      </c>
      <c r="T61" s="6">
        <f>$J$3+[17]FormattedData!M37*$J$4+$M$4*$J$5+[17]FormattedData!M37^2*$J$6+$M$5*$J$7</f>
        <v>32.582929501653318</v>
      </c>
      <c r="U61" s="6">
        <f>$J$3+[17]FormattedData!N37*$J$4+$M$4*$J$5+[17]FormattedData!N37^2*$J$6+$M$5*$J$7</f>
        <v>31.0383042378437</v>
      </c>
      <c r="V61" s="6">
        <f>$J$3+[17]FormattedData!O37*$J$4+$M$4*$J$5+[17]FormattedData!O37^2*$J$6+$M$5*$J$7</f>
        <v>31.23197415535094</v>
      </c>
      <c r="W61" s="5">
        <f t="shared" si="9"/>
        <v>31.770496163659214</v>
      </c>
      <c r="X61" s="4">
        <f t="shared" si="10"/>
        <v>0.2235868201844769</v>
      </c>
      <c r="Y61" s="3">
        <f t="shared" si="11"/>
        <v>30.164697316433539</v>
      </c>
      <c r="Z61" s="2">
        <f t="shared" si="12"/>
        <v>31.449615052020718</v>
      </c>
      <c r="AA61" s="3">
        <f t="shared" si="13"/>
        <v>31.667108008807741</v>
      </c>
      <c r="AB61" s="2">
        <f t="shared" si="14"/>
        <v>32.294073098371776</v>
      </c>
      <c r="AC61" s="2">
        <f t="shared" si="15"/>
        <v>32.967395076088472</v>
      </c>
      <c r="AD61" s="2">
        <f t="shared" si="16"/>
        <v>-0.42786016654139281</v>
      </c>
      <c r="AE61" s="2">
        <f t="shared" si="17"/>
        <v>0.34432055358982794</v>
      </c>
    </row>
    <row r="62" spans="2:31" x14ac:dyDescent="0.2">
      <c r="B62" s="1">
        <f>[17]FormattedData!A39</f>
        <v>205</v>
      </c>
      <c r="C62" s="1" t="str">
        <f>VLOOKUP($B62,[17]TrtCodes!$B$11:I82,2)</f>
        <v>FSH</v>
      </c>
      <c r="D62" s="1">
        <f>VLOOKUP($B62,[17]TrtCodes!$B$11:J82,3)</f>
        <v>1</v>
      </c>
      <c r="E62" s="1">
        <f>VLOOKUP($B62,[17]TrtCodes!$B$11:K82,4)</f>
        <v>1</v>
      </c>
      <c r="F62" s="1">
        <f>VLOOKUP($B62,[17]TrtCodes!$B$11:L82,5)</f>
        <v>1</v>
      </c>
      <c r="G62" s="1">
        <f>VLOOKUP($B62,[17]TrtCodes!$B$11:M82,6)</f>
        <v>2</v>
      </c>
      <c r="H62" s="1">
        <f>VLOOKUP($B62,[17]TrtCodes!$B$11:N82,7)</f>
        <v>2</v>
      </c>
      <c r="I62" s="1">
        <f>[17]FormattedData!B39</f>
        <v>2</v>
      </c>
      <c r="J62" s="4">
        <f>[17]FormattedData!C39</f>
        <v>13.348000000000001</v>
      </c>
      <c r="K62" s="6">
        <f>$J$3+[17]FormattedData!D39*$J$4+$M$4*$J$5+[17]FormattedData!D39^2*$J$6+$M$5*$J$7</f>
        <v>32.197787630611259</v>
      </c>
      <c r="L62" s="6">
        <f>$J$3+[17]FormattedData!E39*$J$4+$M$4*$J$5+[17]FormattedData!E39^2*$J$6+$M$5*$J$7</f>
        <v>31.908487407681442</v>
      </c>
      <c r="M62" s="6">
        <f>$J$3+[17]FormattedData!F39*$J$4+$M$4*$J$5+[17]FormattedData!F39^2*$J$6+$M$5*$J$7</f>
        <v>32.775246825946752</v>
      </c>
      <c r="N62" s="6">
        <f>$J$3+[17]FormattedData!G39*$J$4+$M$4*$J$5+[17]FormattedData!G39^2*$J$6+$M$5*$J$7</f>
        <v>31.715409249705239</v>
      </c>
      <c r="O62" s="6">
        <f>$J$3+[17]FormattedData!H39*$J$4+$M$4*$J$5+[17]FormattedData!H39^2*$J$6+$M$5*$J$7</f>
        <v>32.294136501178663</v>
      </c>
      <c r="P62" s="6">
        <f>$J$3+[17]FormattedData!I39*$J$4+$M$4*$J$5+[17]FormattedData!I39^2*$J$6+$M$5*$J$7</f>
        <v>31.618806767910243</v>
      </c>
      <c r="Q62" s="6">
        <f>$J$3+[17]FormattedData!J39*$J$4+$M$4*$J$5+[17]FormattedData!J39^2*$J$6+$M$5*$J$7</f>
        <v>32.679109298069001</v>
      </c>
      <c r="R62" s="6">
        <f>$J$3+[17]FormattedData!K39*$J$4+$M$4*$J$5+[17]FormattedData!K39^2*$J$6+$M$5*$J$7</f>
        <v>31.522162017577312</v>
      </c>
      <c r="S62" s="6">
        <f>$J$3+[17]FormattedData!L39*$J$4+$M$4*$J$5+[17]FormattedData!L39^2*$J$6+$M$5*$J$7</f>
        <v>32.004963083862648</v>
      </c>
      <c r="T62" s="6">
        <f>$J$3+[17]FormattedData!M39*$J$4+$M$4*$J$5+[17]FormattedData!M39^2*$J$6+$M$5*$J$7</f>
        <v>30.84446524618474</v>
      </c>
      <c r="U62" s="6">
        <f>$J$3+[17]FormattedData!N39*$J$4+$M$4*$J$5+[17]FormattedData!N39^2*$J$6+$M$5*$J$7</f>
        <v>32.390443103208149</v>
      </c>
      <c r="V62" s="6">
        <f>$J$3+[17]FormattedData!O39*$J$4+$M$4*$J$5+[17]FormattedData!O39^2*$J$6+$M$5*$J$7</f>
        <v>33.159374252078464</v>
      </c>
      <c r="W62" s="5">
        <f t="shared" si="9"/>
        <v>32.092532615334491</v>
      </c>
      <c r="X62" s="4">
        <f t="shared" si="10"/>
        <v>0.18215813620375251</v>
      </c>
      <c r="Y62" s="3">
        <f t="shared" si="11"/>
        <v>30.84446524618474</v>
      </c>
      <c r="Z62" s="2">
        <f t="shared" si="12"/>
        <v>31.691258629256488</v>
      </c>
      <c r="AA62" s="3">
        <f t="shared" si="13"/>
        <v>32.101375357236954</v>
      </c>
      <c r="AB62" s="2">
        <f t="shared" si="14"/>
        <v>32.462609651923358</v>
      </c>
      <c r="AC62" s="2">
        <f t="shared" si="15"/>
        <v>33.159374252078464</v>
      </c>
      <c r="AD62" s="2">
        <f t="shared" si="16"/>
        <v>-0.22856299955204273</v>
      </c>
      <c r="AE62" s="2">
        <f t="shared" si="17"/>
        <v>0.18532261287411789</v>
      </c>
    </row>
    <row r="63" spans="2:31" x14ac:dyDescent="0.2">
      <c r="B63" s="1">
        <f>[17]FormattedData!A41</f>
        <v>206</v>
      </c>
      <c r="C63" s="1" t="str">
        <f>VLOOKUP($B63,[17]TrtCodes!$B$11:I84,2)</f>
        <v>NSL</v>
      </c>
      <c r="D63" s="1">
        <f>VLOOKUP($B63,[17]TrtCodes!$B$11:J84,3)</f>
        <v>8</v>
      </c>
      <c r="E63" s="1">
        <f>VLOOKUP($B63,[17]TrtCodes!$B$11:K84,4)</f>
        <v>2</v>
      </c>
      <c r="F63" s="1">
        <f>VLOOKUP($B63,[17]TrtCodes!$B$11:L84,5)</f>
        <v>1</v>
      </c>
      <c r="G63" s="1">
        <f>VLOOKUP($B63,[17]TrtCodes!$B$11:M84,6)</f>
        <v>1</v>
      </c>
      <c r="H63" s="1">
        <f>VLOOKUP($B63,[17]TrtCodes!$B$11:N84,7)</f>
        <v>2</v>
      </c>
      <c r="I63" s="1">
        <f>[17]FormattedData!B41</f>
        <v>2</v>
      </c>
      <c r="J63" s="4">
        <f>[17]FormattedData!C41</f>
        <v>13.363</v>
      </c>
      <c r="K63" s="6">
        <f>$J$3+[17]FormattedData!D41*$J$4+$M$4*$J$5+[17]FormattedData!D41^2*$J$6+$M$5*$J$7</f>
        <v>34.403117713565123</v>
      </c>
      <c r="L63" s="6">
        <f>$J$3+[17]FormattedData!E41*$J$4+$M$4*$J$5+[17]FormattedData!E41^2*$J$6+$M$5*$J$7</f>
        <v>33.159374252078464</v>
      </c>
      <c r="M63" s="6">
        <f>$J$3+[17]FormattedData!F41*$J$4+$M$4*$J$5+[17]FormattedData!F41^2*$J$6+$M$5*$J$7</f>
        <v>32.582929501653318</v>
      </c>
      <c r="N63" s="6">
        <f>$J$3+[17]FormattedData!G41*$J$4+$M$4*$J$5+[17]FormattedData!G41^2*$J$6+$M$5*$J$7</f>
        <v>32.004963083862648</v>
      </c>
      <c r="O63" s="6">
        <f>$J$3+[17]FormattedData!H41*$J$4+$M$4*$J$5+[17]FormattedData!H41^2*$J$6+$M$5*$J$7</f>
        <v>32.004963083862648</v>
      </c>
      <c r="P63" s="6">
        <f>$J$3+[17]FormattedData!I41*$J$4+$M$4*$J$5+[17]FormattedData!I41^2*$J$6+$M$5*$J$7</f>
        <v>31.0383042378437</v>
      </c>
      <c r="Q63" s="6">
        <f>$J$3+[17]FormattedData!J41*$J$4+$M$4*$J$5+[17]FormattedData!J41^2*$J$6+$M$5*$J$7</f>
        <v>31.135160330866281</v>
      </c>
      <c r="R63" s="6">
        <f>$J$3+[17]FormattedData!K41*$J$4+$M$4*$J$5+[17]FormattedData!K41^2*$J$6+$M$5*$J$7</f>
        <v>31.522162017577312</v>
      </c>
      <c r="S63" s="6">
        <f>$J$3+[17]FormattedData!L41*$J$4+$M$4*$J$5+[17]FormattedData!L41^2*$J$6+$M$5*$J$7</f>
        <v>32.294136501178663</v>
      </c>
      <c r="T63" s="6">
        <f>$J$3+[17]FormattedData!M41*$J$4+$M$4*$J$5+[17]FormattedData!M41^2*$J$6+$M$5*$J$7</f>
        <v>32.871342085286578</v>
      </c>
      <c r="U63" s="6">
        <f>$J$3+[17]FormattedData!N41*$J$4+$M$4*$J$5+[17]FormattedData!N41^2*$J$6+$M$5*$J$7</f>
        <v>32.197787630611259</v>
      </c>
      <c r="V63" s="6">
        <f>$J$3+[17]FormattedData!O41*$J$4+$M$4*$J$5+[17]FormattedData!O41^2*$J$6+$M$5*$J$7</f>
        <v>31.0383042378437</v>
      </c>
      <c r="W63" s="5">
        <f t="shared" si="9"/>
        <v>32.187712056352474</v>
      </c>
      <c r="X63" s="4">
        <f t="shared" si="10"/>
        <v>0.28533628755096702</v>
      </c>
      <c r="Y63" s="3">
        <f t="shared" si="11"/>
        <v>31.0383042378437</v>
      </c>
      <c r="Z63" s="2">
        <f t="shared" si="12"/>
        <v>31.425411595899554</v>
      </c>
      <c r="AA63" s="3">
        <f t="shared" si="13"/>
        <v>32.101375357236954</v>
      </c>
      <c r="AB63" s="2">
        <f t="shared" si="14"/>
        <v>32.655032647561633</v>
      </c>
      <c r="AC63" s="2">
        <f t="shared" si="15"/>
        <v>34.403117713565123</v>
      </c>
      <c r="AD63" s="2">
        <f t="shared" si="16"/>
        <v>0.86564419050529873</v>
      </c>
      <c r="AE63" s="2">
        <f t="shared" si="17"/>
        <v>0.94216587372527982</v>
      </c>
    </row>
    <row r="64" spans="2:31" x14ac:dyDescent="0.2">
      <c r="B64" s="1">
        <f>[17]FormattedData!A43</f>
        <v>207</v>
      </c>
      <c r="C64" s="1" t="str">
        <f>VLOOKUP($B64,[17]TrtCodes!$B$11:I86,2)</f>
        <v>FTL</v>
      </c>
      <c r="D64" s="1">
        <f>VLOOKUP($B64,[17]TrtCodes!$B$11:J86,3)</f>
        <v>4</v>
      </c>
      <c r="E64" s="1">
        <f>VLOOKUP($B64,[17]TrtCodes!$B$11:K86,4)</f>
        <v>1</v>
      </c>
      <c r="F64" s="1">
        <f>VLOOKUP($B64,[17]TrtCodes!$B$11:L86,5)</f>
        <v>2</v>
      </c>
      <c r="G64" s="1">
        <f>VLOOKUP($B64,[17]TrtCodes!$B$11:M86,6)</f>
        <v>1</v>
      </c>
      <c r="H64" s="1">
        <f>VLOOKUP($B64,[17]TrtCodes!$B$11:N86,7)</f>
        <v>2</v>
      </c>
      <c r="I64" s="1">
        <f>[17]FormattedData!B43</f>
        <v>2</v>
      </c>
      <c r="J64" s="4">
        <f>[17]FormattedData!C43</f>
        <v>13.381</v>
      </c>
      <c r="K64" s="6">
        <f>$J$3+[17]FormattedData!D43*$J$4+$M$4*$J$5+[17]FormattedData!D43^2*$J$6+$M$5*$J$7</f>
        <v>34.498494407760127</v>
      </c>
      <c r="L64" s="6">
        <f>$J$3+[17]FormattedData!E43*$J$4+$M$4*$J$5+[17]FormattedData!E43^2*$J$6+$M$5*$J$7</f>
        <v>34.021188251405839</v>
      </c>
      <c r="M64" s="6">
        <f>$J$3+[17]FormattedData!F43*$J$4+$M$4*$J$5+[17]FormattedData!F43^2*$J$6+$M$5*$J$7</f>
        <v>33.734297335138095</v>
      </c>
      <c r="N64" s="6">
        <f>$J$3+[17]FormattedData!G43*$J$4+$M$4*$J$5+[17]FormattedData!G43^2*$J$6+$M$5*$J$7</f>
        <v>32.582929501653318</v>
      </c>
      <c r="O64" s="6">
        <f>$J$3+[17]FormattedData!H43*$J$4+$M$4*$J$5+[17]FormattedData!H43^2*$J$6+$M$5*$J$7</f>
        <v>33.351184353916729</v>
      </c>
      <c r="P64" s="6">
        <f>$J$3+[17]FormattedData!I43*$J$4+$M$4*$J$5+[17]FormattedData!I43^2*$J$6+$M$5*$J$7</f>
        <v>33.925600214521189</v>
      </c>
      <c r="Q64" s="6">
        <f>$J$3+[17]FormattedData!J43*$J$4+$M$4*$J$5+[17]FormattedData!J43^2*$J$6+$M$5*$J$7</f>
        <v>33.44702600202897</v>
      </c>
      <c r="R64" s="6">
        <f>$J$3+[17]FormattedData!K43*$J$4+$M$4*$J$5+[17]FormattedData!K43^2*$J$6+$M$5*$J$7</f>
        <v>31.522162017577312</v>
      </c>
      <c r="S64" s="6">
        <f>$J$3+[17]FormattedData!L43*$J$4+$M$4*$J$5+[17]FormattedData!L43^2*$J$6+$M$5*$J$7</f>
        <v>32.004963083862648</v>
      </c>
      <c r="T64" s="6">
        <f>$J$3+[17]FormattedData!M43*$J$4+$M$4*$J$5+[17]FormattedData!M43^2*$J$6+$M$5*$J$7</f>
        <v>31.328745711297657</v>
      </c>
      <c r="U64" s="6">
        <f>$J$3+[17]FormattedData!N43*$J$4+$M$4*$J$5+[17]FormattedData!N43^2*$J$6+$M$5*$J$7</f>
        <v>31.811969462962303</v>
      </c>
      <c r="V64" s="6">
        <f>$J$3+[17]FormattedData!O43*$J$4+$M$4*$J$5+[17]FormattedData!O43^2*$J$6+$M$5*$J$7</f>
        <v>31.811969462962303</v>
      </c>
      <c r="W64" s="5">
        <f t="shared" si="9"/>
        <v>32.836710817090534</v>
      </c>
      <c r="X64" s="4">
        <f t="shared" si="10"/>
        <v>0.32158953059675094</v>
      </c>
      <c r="Y64" s="3">
        <f t="shared" si="11"/>
        <v>31.328745711297657</v>
      </c>
      <c r="Z64" s="2">
        <f t="shared" si="12"/>
        <v>31.811969462962303</v>
      </c>
      <c r="AA64" s="3">
        <f t="shared" si="13"/>
        <v>32.967056927785023</v>
      </c>
      <c r="AB64" s="2">
        <f t="shared" si="14"/>
        <v>33.78212305498387</v>
      </c>
      <c r="AC64" s="2">
        <f t="shared" si="15"/>
        <v>34.498494407760127</v>
      </c>
      <c r="AD64" s="2">
        <f t="shared" si="16"/>
        <v>1.4522635551122482E-2</v>
      </c>
      <c r="AE64" s="2">
        <f t="shared" si="17"/>
        <v>-1.7105557048289164</v>
      </c>
    </row>
    <row r="65" spans="2:31" x14ac:dyDescent="0.2">
      <c r="B65" s="1">
        <f>[17]FormattedData!A45</f>
        <v>208</v>
      </c>
      <c r="C65" s="1" t="str">
        <f>VLOOKUP($B65,[17]TrtCodes!$B$11:I88,2)</f>
        <v>FSL</v>
      </c>
      <c r="D65" s="1">
        <f>VLOOKUP($B65,[17]TrtCodes!$B$11:J88,3)</f>
        <v>2</v>
      </c>
      <c r="E65" s="1">
        <f>VLOOKUP($B65,[17]TrtCodes!$B$11:K88,4)</f>
        <v>1</v>
      </c>
      <c r="F65" s="1">
        <f>VLOOKUP($B65,[17]TrtCodes!$B$11:L88,5)</f>
        <v>1</v>
      </c>
      <c r="G65" s="1">
        <f>VLOOKUP($B65,[17]TrtCodes!$B$11:M88,6)</f>
        <v>1</v>
      </c>
      <c r="H65" s="1">
        <f>VLOOKUP($B65,[17]TrtCodes!$B$11:N88,7)</f>
        <v>2</v>
      </c>
      <c r="I65" s="1">
        <f>[17]FormattedData!B45</f>
        <v>2</v>
      </c>
      <c r="J65" s="4">
        <f>[17]FormattedData!C45</f>
        <v>13.397</v>
      </c>
      <c r="K65" s="6">
        <f>$J$3+[17]FormattedData!D45*$J$4+$M$4*$J$5+[17]FormattedData!D45^2*$J$6+$M$5*$J$7</f>
        <v>29.87273417561406</v>
      </c>
      <c r="L65" s="6">
        <f>$J$3+[17]FormattedData!E45*$J$4+$M$4*$J$5+[17]FormattedData!E45^2*$J$6+$M$5*$J$7</f>
        <v>29.385283570156304</v>
      </c>
      <c r="M65" s="6">
        <f>$J$3+[17]FormattedData!F45*$J$4+$M$4*$J$5+[17]FormattedData!F45^2*$J$6+$M$5*$J$7</f>
        <v>32.390443103208149</v>
      </c>
      <c r="N65" s="6">
        <f>$J$3+[17]FormattedData!G45*$J$4+$M$4*$J$5+[17]FormattedData!G45^2*$J$6+$M$5*$J$7</f>
        <v>30.650457180374051</v>
      </c>
      <c r="O65" s="6">
        <f>$J$3+[17]FormattedData!H45*$J$4+$M$4*$J$5+[17]FormattedData!H45^2*$J$6+$M$5*$J$7</f>
        <v>30.553389744661814</v>
      </c>
      <c r="P65" s="6">
        <f>$J$3+[17]FormattedData!I45*$J$4+$M$4*$J$5+[17]FormattedData!I45^2*$J$6+$M$5*$J$7</f>
        <v>31.811969462962303</v>
      </c>
      <c r="Q65" s="6">
        <f>$J$3+[17]FormattedData!J45*$J$4+$M$4*$J$5+[17]FormattedData!J45^2*$J$6+$M$5*$J$7</f>
        <v>30.067418538031646</v>
      </c>
      <c r="R65" s="6">
        <f>$J$3+[17]FormattedData!K45*$J$4+$M$4*$J$5+[17]FormattedData!K45^2*$J$6+$M$5*$J$7</f>
        <v>30.650457180374051</v>
      </c>
      <c r="S65" s="6">
        <f>$J$3+[17]FormattedData!L45*$J$4+$M$4*$J$5+[17]FormattedData!L45^2*$J$6+$M$5*$J$7</f>
        <v>32.101396491505916</v>
      </c>
      <c r="T65" s="6">
        <f>$J$3+[17]FormattedData!M45*$J$4+$M$4*$J$5+[17]FormattedData!M45^2*$J$6+$M$5*$J$7</f>
        <v>31.811969462962303</v>
      </c>
      <c r="U65" s="6">
        <f>$J$3+[17]FormattedData!N45*$J$4+$M$4*$J$5+[17]FormattedData!N45^2*$J$6+$M$5*$J$7</f>
        <v>31.811969462962303</v>
      </c>
      <c r="V65" s="6">
        <f>$J$3+[17]FormattedData!O45*$J$4+$M$4*$J$5+[17]FormattedData!O45^2*$J$6+$M$5*$J$7</f>
        <v>30.84446524618474</v>
      </c>
      <c r="W65" s="5">
        <f t="shared" si="9"/>
        <v>30.995996134916471</v>
      </c>
      <c r="X65" s="4">
        <f t="shared" si="10"/>
        <v>0.27987896228667186</v>
      </c>
      <c r="Y65" s="3">
        <f t="shared" si="11"/>
        <v>29.385283570156304</v>
      </c>
      <c r="Z65" s="2">
        <f t="shared" si="12"/>
        <v>30.431896943004272</v>
      </c>
      <c r="AA65" s="3">
        <f t="shared" si="13"/>
        <v>30.747461213279394</v>
      </c>
      <c r="AB65" s="2">
        <f t="shared" si="14"/>
        <v>31.811969462962303</v>
      </c>
      <c r="AC65" s="2">
        <f t="shared" si="15"/>
        <v>32.390443103208149</v>
      </c>
      <c r="AD65" s="2">
        <f t="shared" si="16"/>
        <v>-0.10502783701732757</v>
      </c>
      <c r="AE65" s="2">
        <f t="shared" si="17"/>
        <v>-1.2266883317554109</v>
      </c>
    </row>
    <row r="66" spans="2:31" x14ac:dyDescent="0.2">
      <c r="B66" s="1">
        <f>[17]FormattedData!A63</f>
        <v>301</v>
      </c>
      <c r="C66" s="1" t="str">
        <f>VLOOKUP($B66,[17]TrtCodes!$B$11:I106,2)</f>
        <v>NTL</v>
      </c>
      <c r="D66" s="1">
        <f>VLOOKUP($B66,[17]TrtCodes!$B$11:J106,3)</f>
        <v>10</v>
      </c>
      <c r="E66" s="1">
        <f>VLOOKUP($B66,[17]TrtCodes!$B$11:K106,4)</f>
        <v>2</v>
      </c>
      <c r="F66" s="1">
        <f>VLOOKUP($B66,[17]TrtCodes!$B$11:L106,5)</f>
        <v>2</v>
      </c>
      <c r="G66" s="1">
        <f>VLOOKUP($B66,[17]TrtCodes!$B$11:M106,6)</f>
        <v>1</v>
      </c>
      <c r="H66" s="1">
        <f>VLOOKUP($B66,[17]TrtCodes!$B$11:N106,7)</f>
        <v>3</v>
      </c>
      <c r="I66" s="1">
        <f>[17]FormattedData!B63</f>
        <v>2</v>
      </c>
      <c r="J66" s="4">
        <f>[17]FormattedData!C63</f>
        <v>13.523999999999999</v>
      </c>
      <c r="K66" s="6">
        <f>$J$3+[17]FormattedData!D63*$J$4+$M$4*$J$5+[17]FormattedData!D63^2*$J$6+$M$5*$J$7</f>
        <v>33.063405798352434</v>
      </c>
      <c r="L66" s="6">
        <f>$J$3+[17]FormattedData!E63*$J$4+$M$4*$J$5+[17]FormattedData!E63^2*$J$6+$M$5*$J$7</f>
        <v>32.101396491505916</v>
      </c>
      <c r="M66" s="6">
        <f>$J$3+[17]FormattedData!F63*$J$4+$M$4*$J$5+[17]FormattedData!F63^2*$J$6+$M$5*$J$7</f>
        <v>30.941405876283188</v>
      </c>
      <c r="N66" s="6">
        <f>$J$3+[17]FormattedData!G63*$J$4+$M$4*$J$5+[17]FormattedData!G63^2*$J$6+$M$5*$J$7</f>
        <v>30.941405876283188</v>
      </c>
      <c r="O66" s="6">
        <f>$J$3+[17]FormattedData!H63*$J$4+$M$4*$J$5+[17]FormattedData!H63^2*$J$6+$M$5*$J$7</f>
        <v>31.135160330866281</v>
      </c>
      <c r="P66" s="6">
        <f>$J$3+[17]FormattedData!I63*$J$4+$M$4*$J$5+[17]FormattedData!I63^2*$J$6+$M$5*$J$7</f>
        <v>31.0383042378437</v>
      </c>
      <c r="Q66" s="6">
        <f>$J$3+[17]FormattedData!J63*$J$4+$M$4*$J$5+[17]FormattedData!J63^2*$J$6+$M$5*$J$7</f>
        <v>30.84446524618474</v>
      </c>
      <c r="R66" s="6">
        <f>$J$3+[17]FormattedData!K63*$J$4+$M$4*$J$5+[17]FormattedData!K63^2*$J$6+$M$5*$J$7</f>
        <v>30.456280040411645</v>
      </c>
      <c r="S66" s="6">
        <f>$J$3+[17]FormattedData!L63*$J$4+$M$4*$J$5+[17]FormattedData!L63^2*$J$6+$M$5*$J$7</f>
        <v>29.87273417561406</v>
      </c>
      <c r="T66" s="6">
        <f>$J$3+[17]FormattedData!M63*$J$4+$M$4*$J$5+[17]FormattedData!M63^2*$J$6+$M$5*$J$7</f>
        <v>30.067418538031646</v>
      </c>
      <c r="U66" s="6">
        <f>$J$3+[17]FormattedData!N63*$J$4+$M$4*$J$5+[17]FormattedData!N63^2*$J$6+$M$5*$J$7</f>
        <v>28.701077443922337</v>
      </c>
      <c r="V66" s="6">
        <f>$J$3+[17]FormattedData!O63*$J$4+$M$4*$J$5+[17]FormattedData!O63^2*$J$6+$M$5*$J$7</f>
        <v>28.896776251250269</v>
      </c>
      <c r="W66" s="5">
        <f t="shared" si="9"/>
        <v>30.671652525545785</v>
      </c>
      <c r="X66" s="4">
        <f t="shared" si="10"/>
        <v>0.35218397565027049</v>
      </c>
      <c r="Y66" s="3">
        <f t="shared" si="11"/>
        <v>28.701077443922337</v>
      </c>
      <c r="Z66" s="2">
        <f t="shared" si="12"/>
        <v>30.018747447427248</v>
      </c>
      <c r="AA66" s="3">
        <f t="shared" si="13"/>
        <v>30.892935561233962</v>
      </c>
      <c r="AB66" s="2">
        <f t="shared" si="14"/>
        <v>31.062518261099346</v>
      </c>
      <c r="AC66" s="2">
        <f t="shared" si="15"/>
        <v>33.063405798352434</v>
      </c>
      <c r="AD66" s="2">
        <f t="shared" si="16"/>
        <v>0.1690643473997574</v>
      </c>
      <c r="AE66" s="2">
        <f t="shared" si="17"/>
        <v>0.41393763087192514</v>
      </c>
    </row>
    <row r="67" spans="2:31" x14ac:dyDescent="0.2">
      <c r="B67" s="1">
        <f>[17]FormattedData!A65</f>
        <v>302</v>
      </c>
      <c r="C67" s="1" t="str">
        <f>VLOOKUP($B67,[17]TrtCodes!$B$11:I108,2)</f>
        <v>FTL</v>
      </c>
      <c r="D67" s="1">
        <f>VLOOKUP($B67,[17]TrtCodes!$B$11:J108,3)</f>
        <v>4</v>
      </c>
      <c r="E67" s="1">
        <f>VLOOKUP($B67,[17]TrtCodes!$B$11:K108,4)</f>
        <v>1</v>
      </c>
      <c r="F67" s="1">
        <f>VLOOKUP($B67,[17]TrtCodes!$B$11:L108,5)</f>
        <v>2</v>
      </c>
      <c r="G67" s="1">
        <f>VLOOKUP($B67,[17]TrtCodes!$B$11:M108,6)</f>
        <v>1</v>
      </c>
      <c r="H67" s="1">
        <f>VLOOKUP($B67,[17]TrtCodes!$B$11:N108,7)</f>
        <v>3</v>
      </c>
      <c r="I67" s="1">
        <f>[17]FormattedData!B65</f>
        <v>2</v>
      </c>
      <c r="J67" s="4">
        <f>[17]FormattedData!C65</f>
        <v>13.541</v>
      </c>
      <c r="K67" s="6">
        <f>$J$3+[17]FormattedData!D65*$J$4+$M$4*$J$5+[17]FormattedData!D65^2*$J$6+$M$5*$J$7</f>
        <v>31.522162017577312</v>
      </c>
      <c r="L67" s="6">
        <f>$J$3+[17]FormattedData!E65*$J$4+$M$4*$J$5+[17]FormattedData!E65^2*$J$6+$M$5*$J$7</f>
        <v>31.618806767910243</v>
      </c>
      <c r="M67" s="6">
        <f>$J$3+[17]FormattedData!F65*$J$4+$M$4*$J$5+[17]FormattedData!F65^2*$J$6+$M$5*$J$7</f>
        <v>30.941405876283188</v>
      </c>
      <c r="N67" s="6">
        <f>$J$3+[17]FormattedData!G65*$J$4+$M$4*$J$5+[17]FormattedData!G65^2*$J$6+$M$5*$J$7</f>
        <v>31.23197415535094</v>
      </c>
      <c r="O67" s="6">
        <f>$J$3+[17]FormattedData!H65*$J$4+$M$4*$J$5+[17]FormattedData!H65^2*$J$6+$M$5*$J$7</f>
        <v>29.580390617953203</v>
      </c>
      <c r="P67" s="6">
        <f>$J$3+[17]FormattedData!I65*$J$4+$M$4*$J$5+[17]FormattedData!I65^2*$J$6+$M$5*$J$7</f>
        <v>31.618806767910243</v>
      </c>
      <c r="Q67" s="6">
        <f>$J$3+[17]FormattedData!J65*$J$4+$M$4*$J$5+[17]FormattedData!J65^2*$J$6+$M$5*$J$7</f>
        <v>29.580390617953203</v>
      </c>
      <c r="R67" s="6">
        <f>$J$3+[17]FormattedData!K65*$J$4+$M$4*$J$5+[17]FormattedData!K65^2*$J$6+$M$5*$J$7</f>
        <v>29.677880739044749</v>
      </c>
      <c r="S67" s="6">
        <f>$J$3+[17]FormattedData!L65*$J$4+$M$4*$J$5+[17]FormattedData!L65^2*$J$6+$M$5*$J$7</f>
        <v>30.164697316433539</v>
      </c>
      <c r="T67" s="6">
        <f>$J$3+[17]FormattedData!M65*$J$4+$M$4*$J$5+[17]FormattedData!M65^2*$J$6+$M$5*$J$7</f>
        <v>30.067418538031646</v>
      </c>
      <c r="U67" s="6">
        <f>$J$3+[17]FormattedData!N65*$J$4+$M$4*$J$5+[17]FormattedData!N65^2*$J$6+$M$5*$J$7</f>
        <v>30.747482347548363</v>
      </c>
      <c r="V67" s="6">
        <f>$J$3+[17]FormattedData!O65*$J$4+$M$4*$J$5+[17]FormattedData!O65^2*$J$6+$M$5*$J$7</f>
        <v>30.359128067623537</v>
      </c>
      <c r="W67" s="5">
        <f t="shared" si="9"/>
        <v>30.592545319135017</v>
      </c>
      <c r="X67" s="4">
        <f t="shared" si="10"/>
        <v>0.22902977131260177</v>
      </c>
      <c r="Y67" s="3">
        <f t="shared" si="11"/>
        <v>29.580390617953203</v>
      </c>
      <c r="Z67" s="2">
        <f t="shared" si="12"/>
        <v>29.970034088284923</v>
      </c>
      <c r="AA67" s="3">
        <f t="shared" si="13"/>
        <v>30.55330520758595</v>
      </c>
      <c r="AB67" s="2">
        <f t="shared" si="14"/>
        <v>31.304521120907534</v>
      </c>
      <c r="AC67" s="2">
        <f t="shared" si="15"/>
        <v>31.618806767910243</v>
      </c>
      <c r="AD67" s="2">
        <f t="shared" si="16"/>
        <v>4.3217888712469774E-2</v>
      </c>
      <c r="AE67" s="2">
        <f t="shared" si="17"/>
        <v>-1.6235068489996349</v>
      </c>
    </row>
    <row r="68" spans="2:31" x14ac:dyDescent="0.2">
      <c r="B68" s="1">
        <f>[17]FormattedData!A67</f>
        <v>303</v>
      </c>
      <c r="C68" s="1" t="str">
        <f>VLOOKUP($B68,[17]TrtCodes!$B$11:I110,2)</f>
        <v>NSL</v>
      </c>
      <c r="D68" s="1">
        <f>VLOOKUP($B68,[17]TrtCodes!$B$11:J110,3)</f>
        <v>8</v>
      </c>
      <c r="E68" s="1">
        <f>VLOOKUP($B68,[17]TrtCodes!$B$11:K110,4)</f>
        <v>2</v>
      </c>
      <c r="F68" s="1">
        <f>VLOOKUP($B68,[17]TrtCodes!$B$11:L110,5)</f>
        <v>1</v>
      </c>
      <c r="G68" s="1">
        <f>VLOOKUP($B68,[17]TrtCodes!$B$11:M110,6)</f>
        <v>1</v>
      </c>
      <c r="H68" s="1">
        <f>VLOOKUP($B68,[17]TrtCodes!$B$11:N110,7)</f>
        <v>3</v>
      </c>
      <c r="I68" s="1">
        <f>[17]FormattedData!B67</f>
        <v>2</v>
      </c>
      <c r="J68" s="4">
        <f>[17]FormattedData!C67</f>
        <v>13.558</v>
      </c>
      <c r="K68" s="6">
        <f>$J$3+[17]FormattedData!D67*$J$4+$M$4*$J$5+[17]FormattedData!D67^2*$J$6+$M$5*$J$7</f>
        <v>31.908487407681442</v>
      </c>
      <c r="L68" s="6">
        <f>$J$3+[17]FormattedData!E67*$J$4+$M$4*$J$5+[17]FormattedData!E67^2*$J$6+$M$5*$J$7</f>
        <v>30.941405876283188</v>
      </c>
      <c r="M68" s="6">
        <f>$J$3+[17]FormattedData!F67*$J$4+$M$4*$J$5+[17]FormattedData!F67^2*$J$6+$M$5*$J$7</f>
        <v>32.101396491505916</v>
      </c>
      <c r="N68" s="6">
        <f>$J$3+[17]FormattedData!G67*$J$4+$M$4*$J$5+[17]FormattedData!G67^2*$J$6+$M$5*$J$7</f>
        <v>32.004963083862648</v>
      </c>
      <c r="O68" s="6">
        <f>$J$3+[17]FormattedData!H67*$J$4+$M$4*$J$5+[17]FormattedData!H67^2*$J$6+$M$5*$J$7</f>
        <v>32.101396491505916</v>
      </c>
      <c r="P68" s="6">
        <f>$J$3+[17]FormattedData!I67*$J$4+$M$4*$J$5+[17]FormattedData!I67^2*$J$6+$M$5*$J$7</f>
        <v>32.197787630611259</v>
      </c>
      <c r="Q68" s="6">
        <f>$J$3+[17]FormattedData!J67*$J$4+$M$4*$J$5+[17]FormattedData!J67^2*$J$6+$M$5*$J$7</f>
        <v>31.715409249705239</v>
      </c>
      <c r="R68" s="6">
        <f>$J$3+[17]FormattedData!K67*$J$4+$M$4*$J$5+[17]FormattedData!K67^2*$J$6+$M$5*$J$7</f>
        <v>32.294136501178663</v>
      </c>
      <c r="S68" s="6">
        <f>$J$3+[17]FormattedData!L67*$J$4+$M$4*$J$5+[17]FormattedData!L67^2*$J$6+$M$5*$J$7</f>
        <v>32.486707436699703</v>
      </c>
      <c r="T68" s="6">
        <f>$J$3+[17]FormattedData!M67*$J$4+$M$4*$J$5+[17]FormattedData!M67^2*$J$6+$M$5*$J$7</f>
        <v>33.063405798352434</v>
      </c>
      <c r="U68" s="6">
        <f>$J$3+[17]FormattedData!N67*$J$4+$M$4*$J$5+[17]FormattedData!N67^2*$J$6+$M$5*$J$7</f>
        <v>31.23197415535094</v>
      </c>
      <c r="V68" s="6">
        <f>$J$3+[17]FormattedData!O67*$J$4+$M$4*$J$5+[17]FormattedData!O67^2*$J$6+$M$5*$J$7</f>
        <v>32.294136501178663</v>
      </c>
      <c r="W68" s="5">
        <f t="shared" si="9"/>
        <v>32.028433885326336</v>
      </c>
      <c r="X68" s="4">
        <f t="shared" si="10"/>
        <v>0.1602697890222953</v>
      </c>
      <c r="Y68" s="3">
        <f t="shared" si="11"/>
        <v>30.941405876283188</v>
      </c>
      <c r="Z68" s="2">
        <f t="shared" si="12"/>
        <v>31.860217868187391</v>
      </c>
      <c r="AA68" s="3">
        <f t="shared" si="13"/>
        <v>32.101396491505916</v>
      </c>
      <c r="AB68" s="2">
        <f t="shared" si="14"/>
        <v>32.294136501178663</v>
      </c>
      <c r="AC68" s="2">
        <f t="shared" si="15"/>
        <v>33.063405798352434</v>
      </c>
      <c r="AD68" s="2">
        <f t="shared" si="16"/>
        <v>-0.3659641047522213</v>
      </c>
      <c r="AE68" s="2">
        <f t="shared" si="17"/>
        <v>0.96014487247890035</v>
      </c>
    </row>
    <row r="69" spans="2:31" x14ac:dyDescent="0.2">
      <c r="B69" s="1">
        <f>[17]FormattedData!A69</f>
        <v>304</v>
      </c>
      <c r="C69" s="1" t="str">
        <f>VLOOKUP($B69,[17]TrtCodes!$B$11:I112,2)</f>
        <v>FSL</v>
      </c>
      <c r="D69" s="1">
        <f>VLOOKUP($B69,[17]TrtCodes!$B$11:J112,3)</f>
        <v>2</v>
      </c>
      <c r="E69" s="1">
        <f>VLOOKUP($B69,[17]TrtCodes!$B$11:K112,4)</f>
        <v>1</v>
      </c>
      <c r="F69" s="1">
        <f>VLOOKUP($B69,[17]TrtCodes!$B$11:L112,5)</f>
        <v>1</v>
      </c>
      <c r="G69" s="1">
        <f>VLOOKUP($B69,[17]TrtCodes!$B$11:M112,6)</f>
        <v>1</v>
      </c>
      <c r="H69" s="1">
        <f>VLOOKUP($B69,[17]TrtCodes!$B$11:N112,7)</f>
        <v>3</v>
      </c>
      <c r="I69" s="1">
        <f>[17]FormattedData!B69</f>
        <v>2</v>
      </c>
      <c r="J69" s="4">
        <f>[17]FormattedData!C69</f>
        <v>13.574</v>
      </c>
      <c r="K69" s="6">
        <f>$J$3+[17]FormattedData!D69*$J$4+$M$4*$J$5+[17]FormattedData!D69^2*$J$6+$M$5*$J$7</f>
        <v>29.482858228323717</v>
      </c>
      <c r="L69" s="6">
        <f>$J$3+[17]FormattedData!E69*$J$4+$M$4*$J$5+[17]FormattedData!E69^2*$J$6+$M$5*$J$7</f>
        <v>29.482858228323717</v>
      </c>
      <c r="M69" s="6">
        <f>$J$3+[17]FormattedData!F69*$J$4+$M$4*$J$5+[17]FormattedData!F69^2*$J$6+$M$5*$J$7</f>
        <v>29.092305984426478</v>
      </c>
      <c r="N69" s="6">
        <f>$J$3+[17]FormattedData!G69*$J$4+$M$4*$J$5+[17]FormattedData!G69^2*$J$6+$M$5*$J$7</f>
        <v>31.23197415535094</v>
      </c>
      <c r="O69" s="6">
        <f>$J$3+[17]FormattedData!H69*$J$4+$M$4*$J$5+[17]FormattedData!H69^2*$J$6+$M$5*$J$7</f>
        <v>30.456280040411645</v>
      </c>
      <c r="P69" s="6">
        <f>$J$3+[17]FormattedData!I69*$J$4+$M$4*$J$5+[17]FormattedData!I69^2*$J$6+$M$5*$J$7</f>
        <v>30.941405876283188</v>
      </c>
      <c r="Q69" s="6">
        <f>$J$3+[17]FormattedData!J69*$J$4+$M$4*$J$5+[17]FormattedData!J69^2*$J$6+$M$5*$J$7</f>
        <v>30.164697316433539</v>
      </c>
      <c r="R69" s="6">
        <f>$J$3+[17]FormattedData!K69*$J$4+$M$4*$J$5+[17]FormattedData!K69^2*$J$6+$M$5*$J$7</f>
        <v>30.164697316433539</v>
      </c>
      <c r="S69" s="6">
        <f>$J$3+[17]FormattedData!L69*$J$4+$M$4*$J$5+[17]FormattedData!L69^2*$J$6+$M$5*$J$7</f>
        <v>31.135160330866281</v>
      </c>
      <c r="T69" s="6">
        <f>$J$3+[17]FormattedData!M69*$J$4+$M$4*$J$5+[17]FormattedData!M69^2*$J$6+$M$5*$J$7</f>
        <v>30.650457180374051</v>
      </c>
      <c r="U69" s="6">
        <f>$J$3+[17]FormattedData!N69*$J$4+$M$4*$J$5+[17]FormattedData!N69^2*$J$6+$M$5*$J$7</f>
        <v>29.87273417561406</v>
      </c>
      <c r="V69" s="6">
        <f>$J$3+[17]FormattedData!O69*$J$4+$M$4*$J$5+[17]FormattedData!O69^2*$J$6+$M$5*$J$7</f>
        <v>29.87273417561406</v>
      </c>
      <c r="W69" s="5">
        <f t="shared" si="9"/>
        <v>30.212346917371278</v>
      </c>
      <c r="X69" s="4">
        <f t="shared" si="10"/>
        <v>0.19901669301894331</v>
      </c>
      <c r="Y69" s="3">
        <f t="shared" si="11"/>
        <v>29.092305984426478</v>
      </c>
      <c r="Z69" s="2">
        <f t="shared" si="12"/>
        <v>29.775265188791472</v>
      </c>
      <c r="AA69" s="3">
        <f t="shared" si="13"/>
        <v>30.164697316433539</v>
      </c>
      <c r="AB69" s="2">
        <f t="shared" si="14"/>
        <v>30.723194354351335</v>
      </c>
      <c r="AC69" s="2">
        <f t="shared" si="15"/>
        <v>31.23197415535094</v>
      </c>
      <c r="AD69" s="2">
        <f t="shared" si="16"/>
        <v>2.3964282816321569E-2</v>
      </c>
      <c r="AE69" s="2">
        <f t="shared" si="17"/>
        <v>-1.0369193696285923</v>
      </c>
    </row>
    <row r="70" spans="2:31" x14ac:dyDescent="0.2">
      <c r="B70" s="1">
        <f>[17]FormattedData!A71</f>
        <v>305</v>
      </c>
      <c r="C70" s="1" t="str">
        <f>VLOOKUP($B70,[17]TrtCodes!$B$11:I114,2)</f>
        <v>NDH</v>
      </c>
      <c r="D70" s="1">
        <f>VLOOKUP($B70,[17]TrtCodes!$B$11:J114,3)</f>
        <v>11</v>
      </c>
      <c r="E70" s="1">
        <f>VLOOKUP($B70,[17]TrtCodes!$B$11:K114,4)</f>
        <v>2</v>
      </c>
      <c r="F70" s="1">
        <f>VLOOKUP($B70,[17]TrtCodes!$B$11:L114,5)</f>
        <v>3</v>
      </c>
      <c r="G70" s="1">
        <f>VLOOKUP($B70,[17]TrtCodes!$B$11:M114,6)</f>
        <v>2</v>
      </c>
      <c r="H70" s="1">
        <f>VLOOKUP($B70,[17]TrtCodes!$B$11:N114,7)</f>
        <v>4</v>
      </c>
      <c r="I70" s="1">
        <f>[17]FormattedData!B71</f>
        <v>2</v>
      </c>
      <c r="J70" s="4">
        <f>[17]FormattedData!C71</f>
        <v>13.59</v>
      </c>
      <c r="K70" s="6">
        <f>$J$3+[17]FormattedData!D71*$J$4+$M$4*$J$5+[17]FormattedData!D71^2*$J$6+$M$5*$J$7</f>
        <v>28.603164637451474</v>
      </c>
      <c r="L70" s="6">
        <f>$J$3+[17]FormattedData!E71*$J$4+$M$4*$J$5+[17]FormattedData!E71^2*$J$6+$M$5*$J$7</f>
        <v>29.190007448207684</v>
      </c>
      <c r="M70" s="6">
        <f>$J$3+[17]FormattedData!F71*$J$4+$M$4*$J$5+[17]FormattedData!F71^2*$J$6+$M$5*$J$7</f>
        <v>29.092305984426478</v>
      </c>
      <c r="N70" s="6">
        <f>$J$3+[17]FormattedData!G71*$J$4+$M$4*$J$5+[17]FormattedData!G71^2*$J$6+$M$5*$J$7</f>
        <v>29.092305984426478</v>
      </c>
      <c r="O70" s="6">
        <f>$J$3+[17]FormattedData!H71*$J$4+$M$4*$J$5+[17]FormattedData!H71^2*$J$6+$M$5*$J$7</f>
        <v>28.112966577028196</v>
      </c>
      <c r="P70" s="6">
        <f>$J$3+[17]FormattedData!I71*$J$4+$M$4*$J$5+[17]FormattedData!I71^2*$J$6+$M$5*$J$7</f>
        <v>28.798947981855267</v>
      </c>
      <c r="Q70" s="6">
        <f>$J$3+[17]FormattedData!J71*$J$4+$M$4*$J$5+[17]FormattedData!J71^2*$J$6+$M$5*$J$7</f>
        <v>29.190007448207684</v>
      </c>
      <c r="R70" s="6">
        <f>$J$3+[17]FormattedData!K71*$J$4+$M$4*$J$5+[17]FormattedData!K71^2*$J$6+$M$5*$J$7</f>
        <v>29.677880739044749</v>
      </c>
      <c r="S70" s="6">
        <f>$J$3+[17]FormattedData!L71*$J$4+$M$4*$J$5+[17]FormattedData!L71^2*$J$6+$M$5*$J$7</f>
        <v>28.50520956244268</v>
      </c>
      <c r="T70" s="6">
        <f>$J$3+[17]FormattedData!M71*$J$4+$M$4*$J$5+[17]FormattedData!M71^2*$J$6+$M$5*$J$7</f>
        <v>29.580390617953203</v>
      </c>
      <c r="U70" s="6">
        <f>$J$3+[17]FormattedData!N71*$J$4+$M$4*$J$5+[17]FormattedData!N71^2*$J$6+$M$5*$J$7</f>
        <v>28.896776251250269</v>
      </c>
      <c r="V70" s="6">
        <f>$J$3+[17]FormattedData!O71*$J$4+$M$4*$J$5+[17]FormattedData!O71^2*$J$6+$M$5*$J$7</f>
        <v>28.99456225210734</v>
      </c>
      <c r="W70" s="5">
        <f t="shared" si="9"/>
        <v>28.977877123700129</v>
      </c>
      <c r="X70" s="4">
        <f t="shared" si="10"/>
        <v>0.12672984141656374</v>
      </c>
      <c r="Y70" s="3">
        <f t="shared" si="11"/>
        <v>28.112966577028196</v>
      </c>
      <c r="Z70" s="2">
        <f t="shared" si="12"/>
        <v>28.750002145754319</v>
      </c>
      <c r="AA70" s="3">
        <f t="shared" si="13"/>
        <v>29.043434118266909</v>
      </c>
      <c r="AB70" s="2">
        <f t="shared" si="14"/>
        <v>29.190007448207684</v>
      </c>
      <c r="AC70" s="2">
        <f t="shared" si="15"/>
        <v>29.677880739044749</v>
      </c>
      <c r="AD70" s="2">
        <f t="shared" si="16"/>
        <v>-0.29354715499912687</v>
      </c>
      <c r="AE70" s="2">
        <f t="shared" si="17"/>
        <v>0.23701902129295593</v>
      </c>
    </row>
    <row r="71" spans="2:31" x14ac:dyDescent="0.2">
      <c r="B71" s="1">
        <f>[17]FormattedData!A73</f>
        <v>306</v>
      </c>
      <c r="C71" s="1" t="str">
        <f>VLOOKUP($B71,[17]TrtCodes!$B$11:I116,2)</f>
        <v>FTL</v>
      </c>
      <c r="D71" s="1">
        <f>VLOOKUP($B71,[17]TrtCodes!$B$11:J116,3)</f>
        <v>4</v>
      </c>
      <c r="E71" s="1">
        <f>VLOOKUP($B71,[17]TrtCodes!$B$11:K116,4)</f>
        <v>1</v>
      </c>
      <c r="F71" s="1">
        <f>VLOOKUP($B71,[17]TrtCodes!$B$11:L116,5)</f>
        <v>2</v>
      </c>
      <c r="G71" s="1">
        <f>VLOOKUP($B71,[17]TrtCodes!$B$11:M116,6)</f>
        <v>1</v>
      </c>
      <c r="H71" s="1">
        <f>VLOOKUP($B71,[17]TrtCodes!$B$11:N116,7)</f>
        <v>4</v>
      </c>
      <c r="I71" s="1">
        <f>[17]FormattedData!B73</f>
        <v>2</v>
      </c>
      <c r="J71" s="4">
        <f>[17]FormattedData!C73</f>
        <v>13.606999999999999</v>
      </c>
      <c r="K71" s="6">
        <f>$J$3+[17]FormattedData!D73*$J$4+$M$4*$J$5+[17]FormattedData!D73^2*$J$6+$M$5*$J$7</f>
        <v>28.407212218895953</v>
      </c>
      <c r="L71" s="6">
        <f>$J$3+[17]FormattedData!E73*$J$4+$M$4*$J$5+[17]FormattedData!E73^2*$J$6+$M$5*$J$7</f>
        <v>28.896776251250269</v>
      </c>
      <c r="M71" s="6">
        <f>$J$3+[17]FormattedData!F73*$J$4+$M$4*$J$5+[17]FormattedData!F73^2*$J$6+$M$5*$J$7</f>
        <v>28.99456225210734</v>
      </c>
      <c r="N71" s="6">
        <f>$J$3+[17]FormattedData!G73*$J$4+$M$4*$J$5+[17]FormattedData!G73^2*$J$6+$M$5*$J$7</f>
        <v>28.603164637451474</v>
      </c>
      <c r="O71" s="6">
        <f>$J$3+[17]FormattedData!H73*$J$4+$M$4*$J$5+[17]FormattedData!H73^2*$J$6+$M$5*$J$7</f>
        <v>29.482858228323717</v>
      </c>
      <c r="P71" s="6">
        <f>$J$3+[17]FormattedData!I73*$J$4+$M$4*$J$5+[17]FormattedData!I73^2*$J$6+$M$5*$J$7</f>
        <v>28.896776251250269</v>
      </c>
      <c r="Q71" s="6">
        <f>$J$3+[17]FormattedData!J73*$J$4+$M$4*$J$5+[17]FormattedData!J73^2*$J$6+$M$5*$J$7</f>
        <v>28.407212218895953</v>
      </c>
      <c r="R71" s="6">
        <f>$J$3+[17]FormattedData!K73*$J$4+$M$4*$J$5+[17]FormattedData!K73^2*$J$6+$M$5*$J$7</f>
        <v>28.603164637451474</v>
      </c>
      <c r="S71" s="6">
        <f>$J$3+[17]FormattedData!L73*$J$4+$M$4*$J$5+[17]FormattedData!L73^2*$J$6+$M$5*$J$7</f>
        <v>28.896776251250269</v>
      </c>
      <c r="T71" s="6">
        <f>$J$3+[17]FormattedData!M73*$J$4+$M$4*$J$5+[17]FormattedData!M73^2*$J$6+$M$5*$J$7</f>
        <v>28.99456225210734</v>
      </c>
      <c r="U71" s="6">
        <f>$J$3+[17]FormattedData!N73*$J$4+$M$4*$J$5+[17]FormattedData!N73^2*$J$6+$M$5*$J$7</f>
        <v>28.112966577028196</v>
      </c>
      <c r="V71" s="6">
        <f>$J$3+[17]FormattedData!O73*$J$4+$M$4*$J$5+[17]FormattedData!O73^2*$J$6+$M$5*$J$7</f>
        <v>29.092305984426478</v>
      </c>
      <c r="W71" s="5">
        <f t="shared" si="9"/>
        <v>28.782361480036567</v>
      </c>
      <c r="X71" s="4">
        <f t="shared" si="10"/>
        <v>0.10695079349798824</v>
      </c>
      <c r="Y71" s="3">
        <f t="shared" si="11"/>
        <v>28.112966577028196</v>
      </c>
      <c r="Z71" s="2">
        <f t="shared" si="12"/>
        <v>28.554176532812594</v>
      </c>
      <c r="AA71" s="3">
        <f t="shared" si="13"/>
        <v>28.896776251250269</v>
      </c>
      <c r="AB71" s="2">
        <f t="shared" si="14"/>
        <v>28.99456225210734</v>
      </c>
      <c r="AC71" s="2">
        <f t="shared" si="15"/>
        <v>29.482858228323717</v>
      </c>
      <c r="AD71" s="2">
        <f t="shared" si="16"/>
        <v>-4.2780644249562703E-2</v>
      </c>
      <c r="AE71" s="2">
        <f t="shared" si="17"/>
        <v>0.12369205130836747</v>
      </c>
    </row>
    <row r="72" spans="2:31" x14ac:dyDescent="0.2">
      <c r="B72" s="1">
        <f>[17]FormattedData!A75</f>
        <v>307</v>
      </c>
      <c r="C72" s="1" t="str">
        <f>VLOOKUP($B72,[17]TrtCodes!$B$11:I118,2)</f>
        <v>NTH</v>
      </c>
      <c r="D72" s="1">
        <f>VLOOKUP($B72,[17]TrtCodes!$B$11:J118,3)</f>
        <v>9</v>
      </c>
      <c r="E72" s="1">
        <f>VLOOKUP($B72,[17]TrtCodes!$B$11:K118,4)</f>
        <v>2</v>
      </c>
      <c r="F72" s="1">
        <f>VLOOKUP($B72,[17]TrtCodes!$B$11:L118,5)</f>
        <v>2</v>
      </c>
      <c r="G72" s="1">
        <f>VLOOKUP($B72,[17]TrtCodes!$B$11:M118,6)</f>
        <v>2</v>
      </c>
      <c r="H72" s="1">
        <f>VLOOKUP($B72,[17]TrtCodes!$B$11:N118,7)</f>
        <v>4</v>
      </c>
      <c r="I72" s="1">
        <f>[17]FormattedData!B75</f>
        <v>2</v>
      </c>
      <c r="J72" s="4">
        <f>[17]FormattedData!C75</f>
        <v>13.624000000000001</v>
      </c>
      <c r="K72" s="6">
        <f>$J$3+[17]FormattedData!D75*$J$4+$M$4*$J$5+[17]FormattedData!D75^2*$J$6+$M$5*$J$7</f>
        <v>29.87273417561406</v>
      </c>
      <c r="L72" s="6">
        <f>$J$3+[17]FormattedData!E75*$J$4+$M$4*$J$5+[17]FormattedData!E75^2*$J$6+$M$5*$J$7</f>
        <v>30.164697316433539</v>
      </c>
      <c r="M72" s="6">
        <f>$J$3+[17]FormattedData!F75*$J$4+$M$4*$J$5+[17]FormattedData!F75^2*$J$6+$M$5*$J$7</f>
        <v>28.603164637451474</v>
      </c>
      <c r="N72" s="6">
        <f>$J$3+[17]FormattedData!G75*$J$4+$M$4*$J$5+[17]FormattedData!G75^2*$J$6+$M$5*$J$7</f>
        <v>29.385283570156304</v>
      </c>
      <c r="O72" s="6">
        <f>$J$3+[17]FormattedData!H75*$J$4+$M$4*$J$5+[17]FormattedData!H75^2*$J$6+$M$5*$J$7</f>
        <v>30.941405876283188</v>
      </c>
      <c r="P72" s="6">
        <f>$J$3+[17]FormattedData!I75*$J$4+$M$4*$J$5+[17]FormattedData!I75^2*$J$6+$M$5*$J$7</f>
        <v>29.87273417561406</v>
      </c>
      <c r="Q72" s="6">
        <f>$J$3+[17]FormattedData!J75*$J$4+$M$4*$J$5+[17]FormattedData!J75^2*$J$6+$M$5*$J$7</f>
        <v>29.287666643450962</v>
      </c>
      <c r="R72" s="6">
        <f>$J$3+[17]FormattedData!K75*$J$4+$M$4*$J$5+[17]FormattedData!K75^2*$J$6+$M$5*$J$7</f>
        <v>30.067418538031646</v>
      </c>
      <c r="S72" s="6">
        <f>$J$3+[17]FormattedData!L75*$J$4+$M$4*$J$5+[17]FormattedData!L75^2*$J$6+$M$5*$J$7</f>
        <v>29.580390617953203</v>
      </c>
      <c r="T72" s="6">
        <f>$J$3+[17]FormattedData!M75*$J$4+$M$4*$J$5+[17]FormattedData!M75^2*$J$6+$M$5*$J$7</f>
        <v>29.87273417561406</v>
      </c>
      <c r="U72" s="6">
        <f>$J$3+[17]FormattedData!N75*$J$4+$M$4*$J$5+[17]FormattedData!N75^2*$J$6+$M$5*$J$7</f>
        <v>30.553389744661814</v>
      </c>
      <c r="V72" s="6">
        <f>$J$3+[17]FormattedData!O75*$J$4+$M$4*$J$5+[17]FormattedData!O75^2*$J$6+$M$5*$J$7</f>
        <v>28.50520956244268</v>
      </c>
      <c r="W72" s="5">
        <f t="shared" si="9"/>
        <v>29.725569086142247</v>
      </c>
      <c r="X72" s="4">
        <f t="shared" si="10"/>
        <v>0.206263882303441</v>
      </c>
      <c r="Y72" s="3">
        <f t="shared" si="11"/>
        <v>28.50520956244268</v>
      </c>
      <c r="Z72" s="2">
        <f t="shared" si="12"/>
        <v>29.360879338479968</v>
      </c>
      <c r="AA72" s="3">
        <f t="shared" si="13"/>
        <v>29.87273417561406</v>
      </c>
      <c r="AB72" s="2">
        <f t="shared" si="14"/>
        <v>30.091738232632117</v>
      </c>
      <c r="AC72" s="2">
        <f t="shared" si="15"/>
        <v>30.941405876283188</v>
      </c>
      <c r="AD72" s="2">
        <f t="shared" si="16"/>
        <v>-0.2569093503033858</v>
      </c>
      <c r="AE72" s="2">
        <f t="shared" si="17"/>
        <v>-6.5797315680899526E-2</v>
      </c>
    </row>
    <row r="73" spans="2:31" x14ac:dyDescent="0.2">
      <c r="B73" s="1">
        <f>[17]FormattedData!A77</f>
        <v>308</v>
      </c>
      <c r="C73" s="1" t="str">
        <f>VLOOKUP($B73,[17]TrtCodes!$B$11:I120,2)</f>
        <v>FDH</v>
      </c>
      <c r="D73" s="1">
        <f>VLOOKUP($B73,[17]TrtCodes!$B$11:J120,3)</f>
        <v>5</v>
      </c>
      <c r="E73" s="1">
        <f>VLOOKUP($B73,[17]TrtCodes!$B$11:K120,4)</f>
        <v>1</v>
      </c>
      <c r="F73" s="1">
        <f>VLOOKUP($B73,[17]TrtCodes!$B$11:L120,5)</f>
        <v>3</v>
      </c>
      <c r="G73" s="1">
        <f>VLOOKUP($B73,[17]TrtCodes!$B$11:M120,6)</f>
        <v>2</v>
      </c>
      <c r="H73" s="1">
        <f>VLOOKUP($B73,[17]TrtCodes!$B$11:N120,7)</f>
        <v>4</v>
      </c>
      <c r="I73" s="1">
        <f>[17]FormattedData!B77</f>
        <v>2</v>
      </c>
      <c r="J73" s="4">
        <f>[17]FormattedData!C77</f>
        <v>13.641</v>
      </c>
      <c r="K73" s="6">
        <f>$J$3+[17]FormattedData!D77*$J$4+$M$4*$J$5+[17]FormattedData!D77^2*$J$6+$M$5*$J$7</f>
        <v>29.677880739044749</v>
      </c>
      <c r="L73" s="6">
        <f>$J$3+[17]FormattedData!E77*$J$4+$M$4*$J$5+[17]FormattedData!E77^2*$J$6+$M$5*$J$7</f>
        <v>29.87273417561406</v>
      </c>
      <c r="M73" s="6">
        <f>$J$3+[17]FormattedData!F77*$J$4+$M$4*$J$5+[17]FormattedData!F77^2*$J$6+$M$5*$J$7</f>
        <v>30.359128067623537</v>
      </c>
      <c r="N73" s="6">
        <f>$J$3+[17]FormattedData!G77*$J$4+$M$4*$J$5+[17]FormattedData!G77^2*$J$6+$M$5*$J$7</f>
        <v>31.425474998706456</v>
      </c>
      <c r="O73" s="6">
        <f>$J$3+[17]FormattedData!H77*$J$4+$M$4*$J$5+[17]FormattedData!H77^2*$J$6+$M$5*$J$7</f>
        <v>29.580390617953203</v>
      </c>
      <c r="P73" s="6">
        <f>$J$3+[17]FormattedData!I77*$J$4+$M$4*$J$5+[17]FormattedData!I77^2*$J$6+$M$5*$J$7</f>
        <v>30.747482347548363</v>
      </c>
      <c r="Q73" s="6">
        <f>$J$3+[17]FormattedData!J77*$J$4+$M$4*$J$5+[17]FormattedData!J77^2*$J$6+$M$5*$J$7</f>
        <v>30.456280040411645</v>
      </c>
      <c r="R73" s="6">
        <f>$J$3+[17]FormattedData!K77*$J$4+$M$4*$J$5+[17]FormattedData!K77^2*$J$6+$M$5*$J$7</f>
        <v>31.328745711297657</v>
      </c>
      <c r="S73" s="6">
        <f>$J$3+[17]FormattedData!L77*$J$4+$M$4*$J$5+[17]FormattedData!L77^2*$J$6+$M$5*$J$7</f>
        <v>29.970097491091824</v>
      </c>
      <c r="T73" s="6">
        <f>$J$3+[17]FormattedData!M77*$J$4+$M$4*$J$5+[17]FormattedData!M77^2*$J$6+$M$5*$J$7</f>
        <v>29.775328591598374</v>
      </c>
      <c r="U73" s="6">
        <f>$J$3+[17]FormattedData!N77*$J$4+$M$4*$J$5+[17]FormattedData!N77^2*$J$6+$M$5*$J$7</f>
        <v>29.87273417561406</v>
      </c>
      <c r="V73" s="6">
        <f>$J$3+[17]FormattedData!O77*$J$4+$M$4*$J$5+[17]FormattedData!O77^2*$J$6+$M$5*$J$7</f>
        <v>29.775328591598374</v>
      </c>
      <c r="W73" s="5">
        <f t="shared" si="9"/>
        <v>30.236800462341865</v>
      </c>
      <c r="X73" s="4">
        <f t="shared" si="10"/>
        <v>0.18329103387809678</v>
      </c>
      <c r="Y73" s="3">
        <f t="shared" si="11"/>
        <v>29.580390617953203</v>
      </c>
      <c r="Z73" s="2">
        <f t="shared" si="12"/>
        <v>29.775328591598374</v>
      </c>
      <c r="AA73" s="3">
        <f t="shared" si="13"/>
        <v>29.921415833352942</v>
      </c>
      <c r="AB73" s="2">
        <f t="shared" si="14"/>
        <v>30.529080617195824</v>
      </c>
      <c r="AC73" s="2">
        <f t="shared" si="15"/>
        <v>31.425474998706456</v>
      </c>
      <c r="AD73" s="2">
        <f t="shared" si="16"/>
        <v>1.0047778154344</v>
      </c>
      <c r="AE73" s="2">
        <f t="shared" si="17"/>
        <v>-0.24944420759128061</v>
      </c>
    </row>
    <row r="74" spans="2:31" x14ac:dyDescent="0.2">
      <c r="B74" s="1">
        <f>[17]FormattedData!A93</f>
        <v>401</v>
      </c>
      <c r="C74" s="1" t="str">
        <f>VLOOKUP($B74,[17]TrtCodes!$B$11:I130,2)</f>
        <v>NSH</v>
      </c>
      <c r="D74" s="1">
        <f>VLOOKUP($B74,[17]TrtCodes!$B$11:J130,3)</f>
        <v>7</v>
      </c>
      <c r="E74" s="1">
        <f>VLOOKUP($B74,[17]TrtCodes!$B$11:K130,4)</f>
        <v>2</v>
      </c>
      <c r="F74" s="1">
        <f>VLOOKUP($B74,[17]TrtCodes!$B$11:L130,5)</f>
        <v>1</v>
      </c>
      <c r="G74" s="1">
        <f>VLOOKUP($B74,[17]TrtCodes!$B$11:M130,6)</f>
        <v>2</v>
      </c>
      <c r="H74" s="1">
        <f>VLOOKUP($B74,[17]TrtCodes!$B$11:N130,7)</f>
        <v>3</v>
      </c>
      <c r="I74" s="1">
        <f>[17]FormattedData!B93</f>
        <v>2</v>
      </c>
      <c r="J74" s="4">
        <f>[17]FormattedData!C93</f>
        <v>13.779</v>
      </c>
      <c r="K74" s="6">
        <f>$J$3+[17]FormattedData!D93*$J$4+$M$4*$J$5+[17]FormattedData!D93^2*$J$6+$M$5*$J$7</f>
        <v>30.84446524618474</v>
      </c>
      <c r="L74" s="6">
        <f>$J$3+[17]FormattedData!E93*$J$4+$M$4*$J$5+[17]FormattedData!E93^2*$J$6+$M$5*$J$7</f>
        <v>32.197787630611259</v>
      </c>
      <c r="M74" s="6">
        <f>$J$3+[17]FormattedData!F93*$J$4+$M$4*$J$5+[17]FormattedData!F93^2*$J$6+$M$5*$J$7</f>
        <v>31.715409249705239</v>
      </c>
      <c r="N74" s="6">
        <f>$J$3+[17]FormattedData!G93*$J$4+$M$4*$J$5+[17]FormattedData!G93^2*$J$6+$M$5*$J$7</f>
        <v>30.553389744661814</v>
      </c>
      <c r="O74" s="6">
        <f>$J$3+[17]FormattedData!H93*$J$4+$M$4*$J$5+[17]FormattedData!H93^2*$J$6+$M$5*$J$7</f>
        <v>31.522162017577312</v>
      </c>
      <c r="P74" s="6">
        <f>$J$3+[17]FormattedData!I93*$J$4+$M$4*$J$5+[17]FormattedData!I93^2*$J$6+$M$5*$J$7</f>
        <v>30.747482347548363</v>
      </c>
      <c r="Q74" s="6">
        <f>$J$3+[17]FormattedData!J93*$J$4+$M$4*$J$5+[17]FormattedData!J93^2*$J$6+$M$5*$J$7</f>
        <v>32.871342085286578</v>
      </c>
      <c r="R74" s="6">
        <f>$J$3+[17]FormattedData!K93*$J$4+$M$4*$J$5+[17]FormattedData!K93^2*$J$6+$M$5*$J$7</f>
        <v>31.23197415535094</v>
      </c>
      <c r="S74" s="6">
        <f>$J$3+[17]FormattedData!L93*$J$4+$M$4*$J$5+[17]FormattedData!L93^2*$J$6+$M$5*$J$7</f>
        <v>30.553389744661814</v>
      </c>
      <c r="T74" s="6">
        <f>$J$3+[17]FormattedData!M93*$J$4+$M$4*$J$5+[17]FormattedData!M93^2*$J$6+$M$5*$J$7</f>
        <v>30.650457180374051</v>
      </c>
      <c r="U74" s="6">
        <f>$J$3+[17]FormattedData!N93*$J$4+$M$4*$J$5+[17]FormattedData!N93^2*$J$6+$M$5*$J$7</f>
        <v>30.164697316433539</v>
      </c>
      <c r="V74" s="6">
        <f>$J$3+[17]FormattedData!O93*$J$4+$M$4*$J$5+[17]FormattedData!O93^2*$J$6+$M$5*$J$7</f>
        <v>30.650457180374051</v>
      </c>
      <c r="W74" s="5">
        <f t="shared" ref="W74:W105" si="18">AVERAGE(K74:V74)</f>
        <v>31.141917824897476</v>
      </c>
      <c r="X74" s="4">
        <f t="shared" ref="X74:X85" si="19">STDEV(K74:V74)/SQRT(COUNT(K74:V74))</f>
        <v>0.22966003463798459</v>
      </c>
      <c r="Y74" s="3">
        <f t="shared" ref="Y74:Y85" si="20">MIN(K74:V74)</f>
        <v>30.164697316433539</v>
      </c>
      <c r="Z74" s="2">
        <f t="shared" ref="Z74:Z85" si="21">QUARTILE(K74:V74,1)</f>
        <v>30.626190321445993</v>
      </c>
      <c r="AA74" s="3">
        <f t="shared" ref="AA74:AA85" si="22">MEDIAN(K74:V74)</f>
        <v>30.795973796866551</v>
      </c>
      <c r="AB74" s="2">
        <f t="shared" ref="AB74:AB85" si="23">QUARTILE(K74:V74,3)</f>
        <v>31.570473825609294</v>
      </c>
      <c r="AC74" s="2">
        <f t="shared" ref="AC74:AC85" si="24">MAX(K74:V74)</f>
        <v>32.871342085286578</v>
      </c>
      <c r="AD74" s="2">
        <f t="shared" ref="AD74:AD85" si="25">SKEW(K74:V74)</f>
        <v>1.0676624264572399</v>
      </c>
      <c r="AE74" s="2">
        <f t="shared" ref="AE74:AE85" si="26">KURT(K74:V74)</f>
        <v>0.53674342174846679</v>
      </c>
    </row>
    <row r="75" spans="2:31" x14ac:dyDescent="0.2">
      <c r="B75" s="1">
        <f>[17]FormattedData!A91</f>
        <v>402</v>
      </c>
      <c r="C75" s="1" t="str">
        <f>VLOOKUP($B75,[17]TrtCodes!$B$11:I131,2)</f>
        <v>NTH</v>
      </c>
      <c r="D75" s="1">
        <f>VLOOKUP($B75,[17]TrtCodes!$B$11:J131,3)</f>
        <v>9</v>
      </c>
      <c r="E75" s="1">
        <f>VLOOKUP($B75,[17]TrtCodes!$B$11:K131,4)</f>
        <v>2</v>
      </c>
      <c r="F75" s="1">
        <f>VLOOKUP($B75,[17]TrtCodes!$B$11:L131,5)</f>
        <v>2</v>
      </c>
      <c r="G75" s="1">
        <f>VLOOKUP($B75,[17]TrtCodes!$B$11:M131,6)</f>
        <v>2</v>
      </c>
      <c r="H75" s="1">
        <f>VLOOKUP($B75,[17]TrtCodes!$B$11:N131,7)</f>
        <v>3</v>
      </c>
      <c r="I75" s="1">
        <f>[17]FormattedData!B91</f>
        <v>2</v>
      </c>
      <c r="J75" s="4">
        <f>[17]FormattedData!C91</f>
        <v>13.763</v>
      </c>
      <c r="K75" s="6">
        <f>$J$3+[17]FormattedData!D91*$J$4+$M$4*$J$5+[17]FormattedData!D91^2*$J$6+$M$5*$J$7</f>
        <v>32.004963083862648</v>
      </c>
      <c r="L75" s="6">
        <f>$J$3+[17]FormattedData!E91*$J$4+$M$4*$J$5+[17]FormattedData!E91^2*$J$6+$M$5*$J$7</f>
        <v>31.135160330866281</v>
      </c>
      <c r="M75" s="6">
        <f>$J$3+[17]FormattedData!F91*$J$4+$M$4*$J$5+[17]FormattedData!F91^2*$J$6+$M$5*$J$7</f>
        <v>32.390443103208149</v>
      </c>
      <c r="N75" s="6">
        <f>$J$3+[17]FormattedData!G91*$J$4+$M$4*$J$5+[17]FormattedData!G91^2*$J$6+$M$5*$J$7</f>
        <v>32.294136501178663</v>
      </c>
      <c r="O75" s="6">
        <f>$J$3+[17]FormattedData!H91*$J$4+$M$4*$J$5+[17]FormattedData!H91^2*$J$6+$M$5*$J$7</f>
        <v>32.294136501178663</v>
      </c>
      <c r="P75" s="6">
        <f>$J$3+[17]FormattedData!I91*$J$4+$M$4*$J$5+[17]FormattedData!I91^2*$J$6+$M$5*$J$7</f>
        <v>32.486707436699703</v>
      </c>
      <c r="Q75" s="6">
        <f>$J$3+[17]FormattedData!J91*$J$4+$M$4*$J$5+[17]FormattedData!J91^2*$J$6+$M$5*$J$7</f>
        <v>33.925600214521189</v>
      </c>
      <c r="R75" s="6">
        <f>$J$3+[17]FormattedData!K91*$J$4+$M$4*$J$5+[17]FormattedData!K91^2*$J$6+$M$5*$J$7</f>
        <v>33.925600214521189</v>
      </c>
      <c r="S75" s="6">
        <f>$J$3+[17]FormattedData!L91*$J$4+$M$4*$J$5+[17]FormattedData!L91^2*$J$6+$M$5*$J$7</f>
        <v>33.829969909098601</v>
      </c>
      <c r="T75" s="6">
        <f>$J$3+[17]FormattedData!M91*$J$4+$M$4*$J$5+[17]FormattedData!M91^2*$J$6+$M$5*$J$7</f>
        <v>35.164947748063007</v>
      </c>
      <c r="U75" s="6">
        <f>$J$3+[17]FormattedData!N91*$J$4+$M$4*$J$5+[17]FormattedData!N91^2*$J$6+$M$5*$J$7</f>
        <v>34.689120990536317</v>
      </c>
      <c r="V75" s="6">
        <f>$J$3+[17]FormattedData!O91*$J$4+$M$4*$J$5+[17]FormattedData!O91^2*$J$6+$M$5*$J$7</f>
        <v>33.063405798352434</v>
      </c>
      <c r="W75" s="5">
        <f t="shared" si="18"/>
        <v>33.100349319340573</v>
      </c>
      <c r="X75" s="4">
        <f t="shared" si="19"/>
        <v>0.34733696176722523</v>
      </c>
      <c r="Y75" s="3">
        <f t="shared" si="20"/>
        <v>31.135160330866281</v>
      </c>
      <c r="Z75" s="2">
        <f t="shared" si="21"/>
        <v>32.294136501178663</v>
      </c>
      <c r="AA75" s="3">
        <f t="shared" si="22"/>
        <v>32.775056617526069</v>
      </c>
      <c r="AB75" s="2">
        <f t="shared" si="23"/>
        <v>33.925600214521189</v>
      </c>
      <c r="AC75" s="2">
        <f t="shared" si="24"/>
        <v>35.164947748063007</v>
      </c>
      <c r="AD75" s="2">
        <f t="shared" si="25"/>
        <v>0.23689236522311646</v>
      </c>
      <c r="AE75" s="2">
        <f t="shared" si="26"/>
        <v>-0.77433123328630193</v>
      </c>
    </row>
    <row r="76" spans="2:31" x14ac:dyDescent="0.2">
      <c r="B76" s="1">
        <f>[17]FormattedData!A89</f>
        <v>403</v>
      </c>
      <c r="C76" s="1" t="str">
        <f>VLOOKUP($B76,[17]TrtCodes!$B$11:I132,2)</f>
        <v>FDL</v>
      </c>
      <c r="D76" s="1">
        <f>VLOOKUP($B76,[17]TrtCodes!$B$11:J132,3)</f>
        <v>6</v>
      </c>
      <c r="E76" s="1">
        <f>VLOOKUP($B76,[17]TrtCodes!$B$11:K132,4)</f>
        <v>1</v>
      </c>
      <c r="F76" s="1">
        <f>VLOOKUP($B76,[17]TrtCodes!$B$11:L132,5)</f>
        <v>3</v>
      </c>
      <c r="G76" s="1">
        <f>VLOOKUP($B76,[17]TrtCodes!$B$11:M132,6)</f>
        <v>1</v>
      </c>
      <c r="H76" s="1">
        <f>VLOOKUP($B76,[17]TrtCodes!$B$11:N132,7)</f>
        <v>3</v>
      </c>
      <c r="I76" s="1">
        <f>[17]FormattedData!B89</f>
        <v>2</v>
      </c>
      <c r="J76" s="4">
        <f>[17]FormattedData!C89</f>
        <v>13.746</v>
      </c>
      <c r="K76" s="6">
        <f>$J$3+[17]FormattedData!D89*$J$4+$M$4*$J$5+[17]FormattedData!D89^2*$J$6+$M$5*$J$7</f>
        <v>31.135160330866281</v>
      </c>
      <c r="L76" s="6">
        <f>$J$3+[17]FormattedData!E89*$J$4+$M$4*$J$5+[17]FormattedData!E89^2*$J$6+$M$5*$J$7</f>
        <v>30.747482347548363</v>
      </c>
      <c r="M76" s="6">
        <f>$J$3+[17]FormattedData!F89*$J$4+$M$4*$J$5+[17]FormattedData!F89^2*$J$6+$M$5*$J$7</f>
        <v>33.159374252078464</v>
      </c>
      <c r="N76" s="6">
        <f>$J$3+[17]FormattedData!G89*$J$4+$M$4*$J$5+[17]FormattedData!G89^2*$J$6+$M$5*$J$7</f>
        <v>29.87273417561406</v>
      </c>
      <c r="O76" s="6">
        <f>$J$3+[17]FormattedData!H89*$J$4+$M$4*$J$5+[17]FormattedData!H89^2*$J$6+$M$5*$J$7</f>
        <v>32.004963083862648</v>
      </c>
      <c r="P76" s="6">
        <f>$J$3+[17]FormattedData!I89*$J$4+$M$4*$J$5+[17]FormattedData!I89^2*$J$6+$M$5*$J$7</f>
        <v>31.0383042378437</v>
      </c>
      <c r="Q76" s="6">
        <f>$J$3+[17]FormattedData!J89*$J$4+$M$4*$J$5+[17]FormattedData!J89^2*$J$6+$M$5*$J$7</f>
        <v>29.970097491091824</v>
      </c>
      <c r="R76" s="6">
        <f>$J$3+[17]FormattedData!K89*$J$4+$M$4*$J$5+[17]FormattedData!K89^2*$J$6+$M$5*$J$7</f>
        <v>31.618806767910243</v>
      </c>
      <c r="S76" s="6">
        <f>$J$3+[17]FormattedData!L89*$J$4+$M$4*$J$5+[17]FormattedData!L89^2*$J$6+$M$5*$J$7</f>
        <v>28.603164637451474</v>
      </c>
      <c r="T76" s="6">
        <f>$J$3+[17]FormattedData!M89*$J$4+$M$4*$J$5+[17]FormattedData!M89^2*$J$6+$M$5*$J$7</f>
        <v>30.84446524618474</v>
      </c>
      <c r="U76" s="6">
        <f>$J$3+[17]FormattedData!N89*$J$4+$M$4*$J$5+[17]FormattedData!N89^2*$J$6+$M$5*$J$7</f>
        <v>29.677880739044749</v>
      </c>
      <c r="V76" s="6">
        <f>$J$3+[17]FormattedData!O89*$J$4+$M$4*$J$5+[17]FormattedData!O89^2*$J$6+$M$5*$J$7</f>
        <v>29.287666643450962</v>
      </c>
      <c r="W76" s="5">
        <f t="shared" si="18"/>
        <v>30.663341662745623</v>
      </c>
      <c r="X76" s="4">
        <f t="shared" si="19"/>
        <v>0.36473036464554348</v>
      </c>
      <c r="Y76" s="3">
        <f t="shared" si="20"/>
        <v>28.603164637451474</v>
      </c>
      <c r="Z76" s="2">
        <f t="shared" si="21"/>
        <v>29.82402081647173</v>
      </c>
      <c r="AA76" s="3">
        <f t="shared" si="22"/>
        <v>30.795973796866551</v>
      </c>
      <c r="AB76" s="2">
        <f t="shared" si="23"/>
        <v>31.256071940127271</v>
      </c>
      <c r="AC76" s="2">
        <f t="shared" si="24"/>
        <v>33.159374252078464</v>
      </c>
      <c r="AD76" s="2">
        <f t="shared" si="25"/>
        <v>0.31751055562860242</v>
      </c>
      <c r="AE76" s="2">
        <f t="shared" si="26"/>
        <v>5.520457765706599E-2</v>
      </c>
    </row>
    <row r="77" spans="2:31" x14ac:dyDescent="0.2">
      <c r="B77" s="1">
        <f>[17]FormattedData!A87</f>
        <v>404</v>
      </c>
      <c r="C77" s="1" t="str">
        <f>VLOOKUP($B77,[17]TrtCodes!$B$11:I130,2)</f>
        <v>FTH</v>
      </c>
      <c r="D77" s="1">
        <f>VLOOKUP($B77,[17]TrtCodes!$B$11:J130,3)</f>
        <v>3</v>
      </c>
      <c r="E77" s="1">
        <f>VLOOKUP($B77,[17]TrtCodes!$B$11:K130,4)</f>
        <v>1</v>
      </c>
      <c r="F77" s="1">
        <f>VLOOKUP($B77,[17]TrtCodes!$B$11:L130,5)</f>
        <v>2</v>
      </c>
      <c r="G77" s="1">
        <f>VLOOKUP($B77,[17]TrtCodes!$B$11:M130,6)</f>
        <v>2</v>
      </c>
      <c r="H77" s="1">
        <f>VLOOKUP($B77,[17]TrtCodes!$B$11:N130,7)</f>
        <v>3</v>
      </c>
      <c r="I77" s="1">
        <f>[17]FormattedData!B87</f>
        <v>2</v>
      </c>
      <c r="J77" s="4">
        <f>[17]FormattedData!C87</f>
        <v>13.728999999999999</v>
      </c>
      <c r="K77" s="6">
        <f>$J$3+[17]FormattedData!D87*$J$4+$M$4*$J$5+[17]FormattedData!D87^2*$J$6+$M$5*$J$7</f>
        <v>31.715409249705239</v>
      </c>
      <c r="L77" s="6">
        <f>$J$3+[17]FormattedData!E87*$J$4+$M$4*$J$5+[17]FormattedData!E87^2*$J$6+$M$5*$J$7</f>
        <v>31.0383042378437</v>
      </c>
      <c r="M77" s="6">
        <f>$J$3+[17]FormattedData!F87*$J$4+$M$4*$J$5+[17]FormattedData!F87^2*$J$6+$M$5*$J$7</f>
        <v>30.941405876283188</v>
      </c>
      <c r="N77" s="6">
        <f>$J$3+[17]FormattedData!G87*$J$4+$M$4*$J$5+[17]FormattedData!G87^2*$J$6+$M$5*$J$7</f>
        <v>32.679109298069001</v>
      </c>
      <c r="O77" s="6">
        <f>$J$3+[17]FormattedData!H87*$J$4+$M$4*$J$5+[17]FormattedData!H87^2*$J$6+$M$5*$J$7</f>
        <v>32.197787630611259</v>
      </c>
      <c r="P77" s="6">
        <f>$J$3+[17]FormattedData!I87*$J$4+$M$4*$J$5+[17]FormattedData!I87^2*$J$6+$M$5*$J$7</f>
        <v>31.522162017577312</v>
      </c>
      <c r="Q77" s="6">
        <f>$J$3+[17]FormattedData!J87*$J$4+$M$4*$J$5+[17]FormattedData!J87^2*$J$6+$M$5*$J$7</f>
        <v>32.967395076088472</v>
      </c>
      <c r="R77" s="6">
        <f>$J$3+[17]FormattedData!K87*$J$4+$M$4*$J$5+[17]FormattedData!K87^2*$J$6+$M$5*$J$7</f>
        <v>34.498494407760127</v>
      </c>
      <c r="S77" s="6">
        <f>$J$3+[17]FormattedData!L87*$J$4+$M$4*$J$5+[17]FormattedData!L87^2*$J$6+$M$5*$J$7</f>
        <v>32.197787630611259</v>
      </c>
      <c r="T77" s="6">
        <f>$J$3+[17]FormattedData!M87*$J$4+$M$4*$J$5+[17]FormattedData!M87^2*$J$6+$M$5*$J$7</f>
        <v>32.101396491505916</v>
      </c>
      <c r="U77" s="6">
        <f>$J$3+[17]FormattedData!N87*$J$4+$M$4*$J$5+[17]FormattedData!N87^2*$J$6+$M$5*$J$7</f>
        <v>32.967395076088472</v>
      </c>
      <c r="V77" s="6">
        <f>$J$3+[17]FormattedData!O87*$J$4+$M$4*$J$5+[17]FormattedData!O87^2*$J$6+$M$5*$J$7</f>
        <v>32.486707436699703</v>
      </c>
      <c r="W77" s="5">
        <f t="shared" si="18"/>
        <v>32.276112869070303</v>
      </c>
      <c r="X77" s="4">
        <f t="shared" si="19"/>
        <v>0.27989063035256251</v>
      </c>
      <c r="Y77" s="3">
        <f t="shared" si="20"/>
        <v>30.941405876283188</v>
      </c>
      <c r="Z77" s="2">
        <f t="shared" si="21"/>
        <v>31.667097441673256</v>
      </c>
      <c r="AA77" s="3">
        <f t="shared" si="22"/>
        <v>32.197787630611259</v>
      </c>
      <c r="AB77" s="2">
        <f t="shared" si="23"/>
        <v>32.751180742573865</v>
      </c>
      <c r="AC77" s="2">
        <f t="shared" si="24"/>
        <v>34.498494407760127</v>
      </c>
      <c r="AD77" s="2">
        <f t="shared" si="25"/>
        <v>0.81703834826358324</v>
      </c>
      <c r="AE77" s="2">
        <f t="shared" si="26"/>
        <v>1.4626237546396599</v>
      </c>
    </row>
    <row r="78" spans="2:31" x14ac:dyDescent="0.2">
      <c r="B78" s="1">
        <f>[17]FormattedData!A85</f>
        <v>405</v>
      </c>
      <c r="C78" s="1" t="str">
        <f>VLOOKUP($B78,[17]TrtCodes!$B$11:I128,2)</f>
        <v>FDL</v>
      </c>
      <c r="D78" s="1">
        <f>VLOOKUP($B78,[17]TrtCodes!$B$11:J128,3)</f>
        <v>6</v>
      </c>
      <c r="E78" s="1">
        <f>VLOOKUP($B78,[17]TrtCodes!$B$11:K128,4)</f>
        <v>1</v>
      </c>
      <c r="F78" s="1">
        <f>VLOOKUP($B78,[17]TrtCodes!$B$11:L128,5)</f>
        <v>3</v>
      </c>
      <c r="G78" s="1">
        <f>VLOOKUP($B78,[17]TrtCodes!$B$11:M128,6)</f>
        <v>1</v>
      </c>
      <c r="H78" s="1">
        <f>VLOOKUP($B78,[17]TrtCodes!$B$11:N128,7)</f>
        <v>4</v>
      </c>
      <c r="I78" s="1">
        <f>[17]FormattedData!B85</f>
        <v>2</v>
      </c>
      <c r="J78" s="4">
        <f>[17]FormattedData!C85</f>
        <v>13.712</v>
      </c>
      <c r="K78" s="6">
        <f>$J$3+[17]FormattedData!D85*$J$4+$M$4*$J$5+[17]FormattedData!D85^2*$J$6+$M$5*$J$7</f>
        <v>30.067418538031646</v>
      </c>
      <c r="L78" s="6">
        <f>$J$3+[17]FormattedData!E85*$J$4+$M$4*$J$5+[17]FormattedData!E85^2*$J$6+$M$5*$J$7</f>
        <v>29.677880739044749</v>
      </c>
      <c r="M78" s="6">
        <f>$J$3+[17]FormattedData!F85*$J$4+$M$4*$J$5+[17]FormattedData!F85^2*$J$6+$M$5*$J$7</f>
        <v>29.87273417561406</v>
      </c>
      <c r="N78" s="6">
        <f>$J$3+[17]FormattedData!G85*$J$4+$M$4*$J$5+[17]FormattedData!G85^2*$J$6+$M$5*$J$7</f>
        <v>29.385283570156304</v>
      </c>
      <c r="O78" s="6">
        <f>$J$3+[17]FormattedData!H85*$J$4+$M$4*$J$5+[17]FormattedData!H85^2*$J$6+$M$5*$J$7</f>
        <v>29.580390617953203</v>
      </c>
      <c r="P78" s="6">
        <f>$J$3+[17]FormattedData!I85*$J$4+$M$4*$J$5+[17]FormattedData!I85^2*$J$6+$M$5*$J$7</f>
        <v>28.309172606811298</v>
      </c>
      <c r="Q78" s="6">
        <f>$J$3+[17]FormattedData!J85*$J$4+$M$4*$J$5+[17]FormattedData!J85^2*$J$6+$M$5*$J$7</f>
        <v>29.190007448207684</v>
      </c>
      <c r="R78" s="6">
        <f>$J$3+[17]FormattedData!K85*$J$4+$M$4*$J$5+[17]FormattedData!K85^2*$J$6+$M$5*$J$7</f>
        <v>28.407212218895953</v>
      </c>
      <c r="S78" s="6">
        <f>$J$3+[17]FormattedData!L85*$J$4+$M$4*$J$5+[17]FormattedData!L85^2*$J$6+$M$5*$J$7</f>
        <v>29.775328591598374</v>
      </c>
      <c r="T78" s="6">
        <f>$J$3+[17]FormattedData!M85*$J$4+$M$4*$J$5+[17]FormattedData!M85^2*$J$6+$M$5*$J$7</f>
        <v>30.067418538031646</v>
      </c>
      <c r="U78" s="6">
        <f>$J$3+[17]FormattedData!N85*$J$4+$M$4*$J$5+[17]FormattedData!N85^2*$J$6+$M$5*$J$7</f>
        <v>28.50520956244268</v>
      </c>
      <c r="V78" s="6">
        <f>$J$3+[17]FormattedData!O85*$J$4+$M$4*$J$5+[17]FormattedData!O85^2*$J$6+$M$5*$J$7</f>
        <v>28.407212218895953</v>
      </c>
      <c r="W78" s="5">
        <f t="shared" si="18"/>
        <v>29.270439068806965</v>
      </c>
      <c r="X78" s="4">
        <f t="shared" si="19"/>
        <v>0.19789982839445258</v>
      </c>
      <c r="Y78" s="3">
        <f t="shared" si="20"/>
        <v>28.309172606811298</v>
      </c>
      <c r="Z78" s="2">
        <f t="shared" si="21"/>
        <v>28.480710226555999</v>
      </c>
      <c r="AA78" s="3">
        <f t="shared" si="22"/>
        <v>29.482837094054752</v>
      </c>
      <c r="AB78" s="2">
        <f t="shared" si="23"/>
        <v>29.799679987602296</v>
      </c>
      <c r="AC78" s="2">
        <f t="shared" si="24"/>
        <v>30.067418538031646</v>
      </c>
      <c r="AD78" s="2">
        <f t="shared" si="25"/>
        <v>-0.39438895482162539</v>
      </c>
      <c r="AE78" s="2">
        <f t="shared" si="26"/>
        <v>-1.6449869829223558</v>
      </c>
    </row>
    <row r="79" spans="2:31" x14ac:dyDescent="0.2">
      <c r="B79" s="1">
        <f>[17]FormattedData!A83</f>
        <v>406</v>
      </c>
      <c r="C79" s="1" t="str">
        <f>VLOOKUP($B79,[17]TrtCodes!$B$11:I126,2)</f>
        <v>FTH</v>
      </c>
      <c r="D79" s="1">
        <f>VLOOKUP($B79,[17]TrtCodes!$B$11:J126,3)</f>
        <v>3</v>
      </c>
      <c r="E79" s="1">
        <f>VLOOKUP($B79,[17]TrtCodes!$B$11:K126,4)</f>
        <v>1</v>
      </c>
      <c r="F79" s="1">
        <f>VLOOKUP($B79,[17]TrtCodes!$B$11:L126,5)</f>
        <v>2</v>
      </c>
      <c r="G79" s="1">
        <f>VLOOKUP($B79,[17]TrtCodes!$B$11:M126,6)</f>
        <v>2</v>
      </c>
      <c r="H79" s="1">
        <f>VLOOKUP($B79,[17]TrtCodes!$B$11:N126,7)</f>
        <v>4</v>
      </c>
      <c r="I79" s="1">
        <f>[17]FormattedData!B83</f>
        <v>2</v>
      </c>
      <c r="J79" s="4">
        <f>[17]FormattedData!C83</f>
        <v>13.695</v>
      </c>
      <c r="K79" s="6">
        <f>$J$3+[17]FormattedData!D83*$J$4+$M$4*$J$5+[17]FormattedData!D83^2*$J$6+$M$5*$J$7</f>
        <v>29.970097491091824</v>
      </c>
      <c r="L79" s="6">
        <f>$J$3+[17]FormattedData!E83*$J$4+$M$4*$J$5+[17]FormattedData!E83^2*$J$6+$M$5*$J$7</f>
        <v>29.580390617953203</v>
      </c>
      <c r="M79" s="6">
        <f>$J$3+[17]FormattedData!F83*$J$4+$M$4*$J$5+[17]FormattedData!F83^2*$J$6+$M$5*$J$7</f>
        <v>29.482858228323717</v>
      </c>
      <c r="N79" s="6">
        <f>$J$3+[17]FormattedData!G83*$J$4+$M$4*$J$5+[17]FormattedData!G83^2*$J$6+$M$5*$J$7</f>
        <v>29.580390617953203</v>
      </c>
      <c r="O79" s="6">
        <f>$J$3+[17]FormattedData!H83*$J$4+$M$4*$J$5+[17]FormattedData!H83^2*$J$6+$M$5*$J$7</f>
        <v>30.941405876283188</v>
      </c>
      <c r="P79" s="6">
        <f>$J$3+[17]FormattedData!I83*$J$4+$M$4*$J$5+[17]FormattedData!I83^2*$J$6+$M$5*$J$7</f>
        <v>30.84446524618474</v>
      </c>
      <c r="Q79" s="6">
        <f>$J$3+[17]FormattedData!J83*$J$4+$M$4*$J$5+[17]FormattedData!J83^2*$J$6+$M$5*$J$7</f>
        <v>30.747482347548363</v>
      </c>
      <c r="R79" s="6">
        <f>$J$3+[17]FormattedData!K83*$J$4+$M$4*$J$5+[17]FormattedData!K83^2*$J$6+$M$5*$J$7</f>
        <v>30.941405876283188</v>
      </c>
      <c r="S79" s="6">
        <f>$J$3+[17]FormattedData!L83*$J$4+$M$4*$J$5+[17]FormattedData!L83^2*$J$6+$M$5*$J$7</f>
        <v>31.715409249705239</v>
      </c>
      <c r="T79" s="6">
        <f>$J$3+[17]FormattedData!M83*$J$4+$M$4*$J$5+[17]FormattedData!M83^2*$J$6+$M$5*$J$7</f>
        <v>30.650457180374051</v>
      </c>
      <c r="U79" s="6">
        <f>$J$3+[17]FormattedData!N83*$J$4+$M$4*$J$5+[17]FormattedData!N83^2*$J$6+$M$5*$J$7</f>
        <v>31.135160330866281</v>
      </c>
      <c r="V79" s="6">
        <f>$J$3+[17]FormattedData!O83*$J$4+$M$4*$J$5+[17]FormattedData!O83^2*$J$6+$M$5*$J$7</f>
        <v>30.941405876283188</v>
      </c>
      <c r="W79" s="5">
        <f t="shared" si="18"/>
        <v>30.544244078237515</v>
      </c>
      <c r="X79" s="4">
        <f t="shared" si="19"/>
        <v>0.20690638595667901</v>
      </c>
      <c r="Y79" s="3">
        <f t="shared" si="20"/>
        <v>29.482858228323717</v>
      </c>
      <c r="Z79" s="2">
        <f t="shared" si="21"/>
        <v>29.872670772807169</v>
      </c>
      <c r="AA79" s="3">
        <f t="shared" si="22"/>
        <v>30.795973796866551</v>
      </c>
      <c r="AB79" s="2">
        <f t="shared" si="23"/>
        <v>30.941405876283188</v>
      </c>
      <c r="AC79" s="2">
        <f t="shared" si="24"/>
        <v>31.715409249705239</v>
      </c>
      <c r="AD79" s="2">
        <f t="shared" si="25"/>
        <v>-0.33730568269480132</v>
      </c>
      <c r="AE79" s="2">
        <f t="shared" si="26"/>
        <v>-0.93343296524563257</v>
      </c>
    </row>
    <row r="80" spans="2:31" x14ac:dyDescent="0.2">
      <c r="B80" s="1">
        <f>[17]FormattedData!A81</f>
        <v>407</v>
      </c>
      <c r="C80" s="1" t="str">
        <f>VLOOKUP($B80,[17]TrtCodes!$B$11:I124,2)</f>
        <v>NSH</v>
      </c>
      <c r="D80" s="1">
        <f>VLOOKUP($B80,[17]TrtCodes!$B$11:J124,3)</f>
        <v>7</v>
      </c>
      <c r="E80" s="1">
        <f>VLOOKUP($B80,[17]TrtCodes!$B$11:K124,4)</f>
        <v>2</v>
      </c>
      <c r="F80" s="1">
        <f>VLOOKUP($B80,[17]TrtCodes!$B$11:L124,5)</f>
        <v>1</v>
      </c>
      <c r="G80" s="1">
        <f>VLOOKUP($B80,[17]TrtCodes!$B$11:M124,6)</f>
        <v>2</v>
      </c>
      <c r="H80" s="1">
        <f>VLOOKUP($B80,[17]TrtCodes!$B$11:N124,7)</f>
        <v>4</v>
      </c>
      <c r="I80" s="1">
        <f>[17]FormattedData!B81</f>
        <v>2</v>
      </c>
      <c r="J80" s="4">
        <f>[17]FormattedData!C81</f>
        <v>13.678000000000001</v>
      </c>
      <c r="K80" s="6">
        <f>$J$3+[17]FormattedData!D81*$J$4+$M$4*$J$5+[17]FormattedData!D81^2*$J$6+$M$5*$J$7</f>
        <v>30.164697316433539</v>
      </c>
      <c r="L80" s="6">
        <f>$J$3+[17]FormattedData!E81*$J$4+$M$4*$J$5+[17]FormattedData!E81^2*$J$6+$M$5*$J$7</f>
        <v>30.359128067623537</v>
      </c>
      <c r="M80" s="6">
        <f>$J$3+[17]FormattedData!F81*$J$4+$M$4*$J$5+[17]FormattedData!F81^2*$J$6+$M$5*$J$7</f>
        <v>29.87273417561406</v>
      </c>
      <c r="N80" s="6">
        <f>$J$3+[17]FormattedData!G81*$J$4+$M$4*$J$5+[17]FormattedData!G81^2*$J$6+$M$5*$J$7</f>
        <v>29.970097491091824</v>
      </c>
      <c r="O80" s="6">
        <f>$J$3+[17]FormattedData!H81*$J$4+$M$4*$J$5+[17]FormattedData!H81^2*$J$6+$M$5*$J$7</f>
        <v>32.197787630611259</v>
      </c>
      <c r="P80" s="6">
        <f>$J$3+[17]FormattedData!I81*$J$4+$M$4*$J$5+[17]FormattedData!I81^2*$J$6+$M$5*$J$7</f>
        <v>30.84446524618474</v>
      </c>
      <c r="Q80" s="6">
        <f>$J$3+[17]FormattedData!J81*$J$4+$M$4*$J$5+[17]FormattedData!J81^2*$J$6+$M$5*$J$7</f>
        <v>33.255300437266563</v>
      </c>
      <c r="R80" s="6">
        <f>$J$3+[17]FormattedData!K81*$J$4+$M$4*$J$5+[17]FormattedData!K81^2*$J$6+$M$5*$J$7</f>
        <v>32.004963083862648</v>
      </c>
      <c r="S80" s="6">
        <f>$J$3+[17]FormattedData!L81*$J$4+$M$4*$J$5+[17]FormattedData!L81^2*$J$6+$M$5*$J$7</f>
        <v>33.255300437266563</v>
      </c>
      <c r="T80" s="6">
        <f>$J$3+[17]FormattedData!M81*$J$4+$M$4*$J$5+[17]FormattedData!M81^2*$J$6+$M$5*$J$7</f>
        <v>32.775246825946752</v>
      </c>
      <c r="U80" s="6">
        <f>$J$3+[17]FormattedData!N81*$J$4+$M$4*$J$5+[17]FormattedData!N81^2*$J$6+$M$5*$J$7</f>
        <v>33.44702600202897</v>
      </c>
      <c r="V80" s="6">
        <f>$J$3+[17]FormattedData!O81*$J$4+$M$4*$J$5+[17]FormattedData!O81^2*$J$6+$M$5*$J$7</f>
        <v>32.101396491505916</v>
      </c>
      <c r="W80" s="5">
        <f t="shared" si="18"/>
        <v>31.687345267119692</v>
      </c>
      <c r="X80" s="4">
        <f t="shared" si="19"/>
        <v>0.39662077911505833</v>
      </c>
      <c r="Y80" s="3">
        <f t="shared" si="20"/>
        <v>29.87273417561406</v>
      </c>
      <c r="Z80" s="2">
        <f t="shared" si="21"/>
        <v>30.310520379826038</v>
      </c>
      <c r="AA80" s="3">
        <f t="shared" si="22"/>
        <v>32.053179787684286</v>
      </c>
      <c r="AB80" s="2">
        <f t="shared" si="23"/>
        <v>32.895260228776706</v>
      </c>
      <c r="AC80" s="2">
        <f t="shared" si="24"/>
        <v>33.44702600202897</v>
      </c>
      <c r="AD80" s="2">
        <f t="shared" si="25"/>
        <v>-0.11901286983404419</v>
      </c>
      <c r="AE80" s="2">
        <f t="shared" si="26"/>
        <v>-1.7464295081656602</v>
      </c>
    </row>
    <row r="81" spans="2:31" x14ac:dyDescent="0.2">
      <c r="B81" s="1">
        <f>[17]FormattedData!A79</f>
        <v>408</v>
      </c>
      <c r="C81" s="1" t="str">
        <f>VLOOKUP($B81,[17]TrtCodes!$B$11:I122,2)</f>
        <v>NTL</v>
      </c>
      <c r="D81" s="1">
        <f>VLOOKUP($B81,[17]TrtCodes!$B$11:J122,3)</f>
        <v>10</v>
      </c>
      <c r="E81" s="1">
        <f>VLOOKUP($B81,[17]TrtCodes!$B$11:K122,4)</f>
        <v>2</v>
      </c>
      <c r="F81" s="1">
        <f>VLOOKUP($B81,[17]TrtCodes!$B$11:L122,5)</f>
        <v>2</v>
      </c>
      <c r="G81" s="1">
        <f>VLOOKUP($B81,[17]TrtCodes!$B$11:M122,6)</f>
        <v>1</v>
      </c>
      <c r="H81" s="1">
        <f>VLOOKUP($B81,[17]TrtCodes!$B$11:N122,7)</f>
        <v>4</v>
      </c>
      <c r="I81" s="1">
        <f>[17]FormattedData!B79</f>
        <v>2</v>
      </c>
      <c r="J81" s="4">
        <f>[17]FormattedData!C79</f>
        <v>13.662000000000001</v>
      </c>
      <c r="K81" s="6">
        <f>$J$3+[17]FormattedData!D79*$J$4+$M$4*$J$5+[17]FormattedData!D79^2*$J$6+$M$5*$J$7</f>
        <v>30.650457180374051</v>
      </c>
      <c r="L81" s="6">
        <f>$J$3+[17]FormattedData!E79*$J$4+$M$4*$J$5+[17]FormattedData!E79^2*$J$6+$M$5*$J$7</f>
        <v>29.970097491091824</v>
      </c>
      <c r="M81" s="6">
        <f>$J$3+[17]FormattedData!F79*$J$4+$M$4*$J$5+[17]FormattedData!F79^2*$J$6+$M$5*$J$7</f>
        <v>29.287666643450962</v>
      </c>
      <c r="N81" s="6">
        <f>$J$3+[17]FormattedData!G79*$J$4+$M$4*$J$5+[17]FormattedData!G79^2*$J$6+$M$5*$J$7</f>
        <v>29.287666643450962</v>
      </c>
      <c r="O81" s="6">
        <f>$J$3+[17]FormattedData!H79*$J$4+$M$4*$J$5+[17]FormattedData!H79^2*$J$6+$M$5*$J$7</f>
        <v>28.603164637451474</v>
      </c>
      <c r="P81" s="6">
        <f>$J$3+[17]FormattedData!I79*$J$4+$M$4*$J$5+[17]FormattedData!I79^2*$J$6+$M$5*$J$7</f>
        <v>29.970097491091824</v>
      </c>
      <c r="Q81" s="6">
        <f>$J$3+[17]FormattedData!J79*$J$4+$M$4*$J$5+[17]FormattedData!J79^2*$J$6+$M$5*$J$7</f>
        <v>31.135160330866281</v>
      </c>
      <c r="R81" s="6">
        <f>$J$3+[17]FormattedData!K79*$J$4+$M$4*$J$5+[17]FormattedData!K79^2*$J$6+$M$5*$J$7</f>
        <v>29.482858228323717</v>
      </c>
      <c r="S81" s="6">
        <f>$J$3+[17]FormattedData!L79*$J$4+$M$4*$J$5+[17]FormattedData!L79^2*$J$6+$M$5*$J$7</f>
        <v>29.482858228323717</v>
      </c>
      <c r="T81" s="6">
        <f>$J$3+[17]FormattedData!M79*$J$4+$M$4*$J$5+[17]FormattedData!M79^2*$J$6+$M$5*$J$7</f>
        <v>30.261933826297508</v>
      </c>
      <c r="U81" s="6">
        <f>$J$3+[17]FormattedData!N79*$J$4+$M$4*$J$5+[17]FormattedData!N79^2*$J$6+$M$5*$J$7</f>
        <v>32.871342085286578</v>
      </c>
      <c r="V81" s="6">
        <f>$J$3+[17]FormattedData!O79*$J$4+$M$4*$J$5+[17]FormattedData!O79^2*$J$6+$M$5*$J$7</f>
        <v>30.553389744661814</v>
      </c>
      <c r="W81" s="5">
        <f t="shared" si="18"/>
        <v>30.129724377555892</v>
      </c>
      <c r="X81" s="4">
        <f t="shared" si="19"/>
        <v>0.32135890037408854</v>
      </c>
      <c r="Y81" s="3">
        <f t="shared" si="20"/>
        <v>28.603164637451474</v>
      </c>
      <c r="Z81" s="2">
        <f t="shared" si="21"/>
        <v>29.434060332105528</v>
      </c>
      <c r="AA81" s="3">
        <f t="shared" si="22"/>
        <v>29.970097491091824</v>
      </c>
      <c r="AB81" s="2">
        <f t="shared" si="23"/>
        <v>30.577656603589872</v>
      </c>
      <c r="AC81" s="2">
        <f t="shared" si="24"/>
        <v>32.871342085286578</v>
      </c>
      <c r="AD81" s="2">
        <f t="shared" si="25"/>
        <v>1.3080896970607647</v>
      </c>
      <c r="AE81" s="2">
        <f t="shared" si="26"/>
        <v>2.5757140205806044</v>
      </c>
    </row>
    <row r="82" spans="2:31" x14ac:dyDescent="0.2">
      <c r="B82" s="1">
        <f>[17]FormattedData!A59</f>
        <v>902</v>
      </c>
      <c r="C82" s="1" t="str">
        <f>VLOOKUP($B82,[17]TrtCodes!$B$11:I102,2)</f>
        <v>Late</v>
      </c>
      <c r="D82" s="1">
        <f>VLOOKUP($B82,[17]TrtCodes!$B$11:J102,3)</f>
        <v>22</v>
      </c>
      <c r="E82" s="1">
        <f>VLOOKUP($B82,[17]TrtCodes!$B$11:K102,4)</f>
        <v>4</v>
      </c>
      <c r="F82" s="1">
        <f>VLOOKUP($B82,[17]TrtCodes!$B$11:L102,5)</f>
        <v>2</v>
      </c>
      <c r="G82" s="1">
        <f>VLOOKUP($B82,[17]TrtCodes!$B$11:M102,6)</f>
        <v>2</v>
      </c>
      <c r="H82" s="1">
        <f>VLOOKUP($B82,[17]TrtCodes!$B$11:N102,7)</f>
        <v>1</v>
      </c>
      <c r="I82" s="1">
        <f>[17]FormattedData!B59</f>
        <v>2</v>
      </c>
      <c r="J82" s="4">
        <f>[17]FormattedData!C59</f>
        <v>13.494999999999999</v>
      </c>
      <c r="K82" s="6">
        <f>$J$3+[17]FormattedData!D59*$J$4+$M$4*$J$5+[17]FormattedData!D59^2*$J$6+$M$5*$J$7</f>
        <v>31.135160330866281</v>
      </c>
      <c r="L82" s="6">
        <f>$J$3+[17]FormattedData!E59*$J$4+$M$4*$J$5+[17]FormattedData!E59^2*$J$6+$M$5*$J$7</f>
        <v>30.553389744661814</v>
      </c>
      <c r="M82" s="6">
        <f>$J$3+[17]FormattedData!F59*$J$4+$M$4*$J$5+[17]FormattedData!F59^2*$J$6+$M$5*$J$7</f>
        <v>32.390443103208149</v>
      </c>
      <c r="N82" s="6">
        <f>$J$3+[17]FormattedData!G59*$J$4+$M$4*$J$5+[17]FormattedData!G59^2*$J$6+$M$5*$J$7</f>
        <v>32.390443103208149</v>
      </c>
      <c r="O82" s="6">
        <f>$J$3+[17]FormattedData!H59*$J$4+$M$4*$J$5+[17]FormattedData!H59^2*$J$6+$M$5*$J$7</f>
        <v>32.486707436699703</v>
      </c>
      <c r="P82" s="6">
        <f>$J$3+[17]FormattedData!I59*$J$4+$M$4*$J$5+[17]FormattedData!I59^2*$J$6+$M$5*$J$7</f>
        <v>34.116734019752549</v>
      </c>
      <c r="Q82" s="6">
        <f>$J$3+[17]FormattedData!J59*$J$4+$M$4*$J$5+[17]FormattedData!J59^2*$J$6+$M$5*$J$7</f>
        <v>33.159374252078464</v>
      </c>
      <c r="R82" s="6">
        <f>$J$3+[17]FormattedData!K59*$J$4+$M$4*$J$5+[17]FormattedData!K59^2*$J$6+$M$5*$J$7</f>
        <v>33.925600214521189</v>
      </c>
      <c r="S82" s="6">
        <f>$J$3+[17]FormattedData!L59*$J$4+$M$4*$J$5+[17]FormattedData!L59^2*$J$6+$M$5*$J$7</f>
        <v>31.618806767910243</v>
      </c>
      <c r="T82" s="6">
        <f>$J$3+[17]FormattedData!M59*$J$4+$M$4*$J$5+[17]FormattedData!M59^2*$J$6+$M$5*$J$7</f>
        <v>33.159374252078464</v>
      </c>
      <c r="U82" s="6">
        <f>$J$3+[17]FormattedData!N59*$J$4+$M$4*$J$5+[17]FormattedData!N59^2*$J$6+$M$5*$J$7</f>
        <v>31.425474998706456</v>
      </c>
      <c r="V82" s="6">
        <f>$J$3+[17]FormattedData!O59*$J$4+$M$4*$J$5+[17]FormattedData!O59^2*$J$6+$M$5*$J$7</f>
        <v>32.871342085286578</v>
      </c>
      <c r="W82" s="5">
        <f t="shared" si="18"/>
        <v>32.436070859081511</v>
      </c>
      <c r="X82" s="4">
        <f t="shared" si="19"/>
        <v>0.31637065686471116</v>
      </c>
      <c r="Y82" s="3">
        <f t="shared" si="20"/>
        <v>30.553389744661814</v>
      </c>
      <c r="Z82" s="2">
        <f t="shared" si="21"/>
        <v>31.570473825609298</v>
      </c>
      <c r="AA82" s="3">
        <f t="shared" si="22"/>
        <v>32.43857526995393</v>
      </c>
      <c r="AB82" s="2">
        <f t="shared" si="23"/>
        <v>33.159374252078464</v>
      </c>
      <c r="AC82" s="2">
        <f t="shared" si="24"/>
        <v>34.116734019752549</v>
      </c>
      <c r="AD82" s="2">
        <f t="shared" si="25"/>
        <v>-0.12940769712622394</v>
      </c>
      <c r="AE82" s="2">
        <f t="shared" si="26"/>
        <v>-0.71261394496173835</v>
      </c>
    </row>
    <row r="83" spans="2:31" x14ac:dyDescent="0.2">
      <c r="B83" s="1">
        <f>[17]FormattedData!A55</f>
        <v>904</v>
      </c>
      <c r="C83" s="1" t="str">
        <f>VLOOKUP($B83,[17]TrtCodes!$B$11:I98,2)</f>
        <v>Early</v>
      </c>
      <c r="D83" s="1">
        <f>VLOOKUP($B83,[17]TrtCodes!$B$11:J98,3)</f>
        <v>21</v>
      </c>
      <c r="E83" s="1">
        <f>VLOOKUP($B83,[17]TrtCodes!$B$11:K98,4)</f>
        <v>3</v>
      </c>
      <c r="F83" s="1">
        <f>VLOOKUP($B83,[17]TrtCodes!$B$11:L98,5)</f>
        <v>2</v>
      </c>
      <c r="G83" s="1">
        <f>VLOOKUP($B83,[17]TrtCodes!$B$11:M98,6)</f>
        <v>2</v>
      </c>
      <c r="H83" s="1">
        <f>VLOOKUP($B83,[17]TrtCodes!$B$11:N98,7)</f>
        <v>1</v>
      </c>
      <c r="I83" s="1">
        <f>[17]FormattedData!B55</f>
        <v>2</v>
      </c>
      <c r="J83" s="4">
        <f>[17]FormattedData!C55</f>
        <v>13.468</v>
      </c>
      <c r="K83" s="6">
        <f>$J$3+[17]FormattedData!D55*$J$4+$M$4*$J$5+[17]FormattedData!D55^2*$J$6+$M$5*$J$7</f>
        <v>34.403117713565123</v>
      </c>
      <c r="L83" s="6">
        <f>$J$3+[17]FormattedData!E55*$J$4+$M$4*$J$5+[17]FormattedData!E55^2*$J$6+$M$5*$J$7</f>
        <v>35.164947748063007</v>
      </c>
      <c r="M83" s="6">
        <f>$J$3+[17]FormattedData!F55*$J$4+$M$4*$J$5+[17]FormattedData!F55^2*$J$6+$M$5*$J$7</f>
        <v>33.44702600202897</v>
      </c>
      <c r="N83" s="6">
        <f>$J$3+[17]FormattedData!G55*$J$4+$M$4*$J$5+[17]FormattedData!G55^2*$J$6+$M$5*$J$7</f>
        <v>38.653223099788043</v>
      </c>
      <c r="O83" s="6">
        <f>$J$3+[17]FormattedData!H55*$J$4+$M$4*$J$5+[17]FormattedData!H55^2*$J$6+$M$5*$J$7</f>
        <v>34.689120990536317</v>
      </c>
      <c r="P83" s="6">
        <f>$J$3+[17]FormattedData!I55*$J$4+$M$4*$J$5+[17]FormattedData!I55^2*$J$6+$M$5*$J$7</f>
        <v>38.466147074198062</v>
      </c>
      <c r="Q83" s="6">
        <f>$J$3+[17]FormattedData!J55*$J$4+$M$4*$J$5+[17]FormattedData!J55^2*$J$6+$M$5*$J$7</f>
        <v>35.069866933633527</v>
      </c>
      <c r="R83" s="6">
        <f>$J$3+[17]FormattedData!K55*$J$4+$M$4*$J$5+[17]FormattedData!K55^2*$J$6+$M$5*$J$7</f>
        <v>39.306657730408141</v>
      </c>
      <c r="S83" s="6">
        <f>$J$3+[17]FormattedData!L55*$J$4+$M$4*$J$5+[17]FormattedData!L55^2*$J$6+$M$5*$J$7</f>
        <v>37.057687643686997</v>
      </c>
      <c r="T83" s="6">
        <f>$J$3+[17]FormattedData!M55*$J$4+$M$4*$J$5+[17]FormattedData!M55^2*$J$6+$M$5*$J$7</f>
        <v>40.699900487263996</v>
      </c>
      <c r="U83" s="6">
        <f>$J$3+[17]FormattedData!N55*$J$4+$M$4*$J$5+[17]FormattedData!N55^2*$J$6+$M$5*$J$7</f>
        <v>41.069825684650844</v>
      </c>
      <c r="V83" s="6">
        <f>$J$3+[17]FormattedData!O55*$J$4+$M$4*$J$5+[17]FormattedData!O55^2*$J$6+$M$5*$J$7</f>
        <v>42.542763508129234</v>
      </c>
      <c r="W83" s="5">
        <f t="shared" si="18"/>
        <v>37.547523717996022</v>
      </c>
      <c r="X83" s="4">
        <f t="shared" si="19"/>
        <v>0.8677065339363349</v>
      </c>
      <c r="Y83" s="3">
        <f t="shared" si="20"/>
        <v>33.44702600202897</v>
      </c>
      <c r="Z83" s="2">
        <f t="shared" si="21"/>
        <v>34.974680447859228</v>
      </c>
      <c r="AA83" s="3">
        <f t="shared" si="22"/>
        <v>37.761917358942526</v>
      </c>
      <c r="AB83" s="2">
        <f t="shared" si="23"/>
        <v>39.654968419622108</v>
      </c>
      <c r="AC83" s="2">
        <f t="shared" si="24"/>
        <v>42.542763508129234</v>
      </c>
      <c r="AD83" s="2">
        <f t="shared" si="25"/>
        <v>0.22092466475800154</v>
      </c>
      <c r="AE83" s="2">
        <f t="shared" si="26"/>
        <v>-1.3225872910813616</v>
      </c>
    </row>
    <row r="84" spans="2:31" x14ac:dyDescent="0.2">
      <c r="B84" s="1">
        <f>[17]FormattedData!A51</f>
        <v>906</v>
      </c>
      <c r="C84" s="1" t="str">
        <f>VLOOKUP($B84,[17]TrtCodes!$B$11:I94,2)</f>
        <v>Late</v>
      </c>
      <c r="D84" s="1">
        <f>VLOOKUP($B84,[17]TrtCodes!$B$11:J94,3)</f>
        <v>22</v>
      </c>
      <c r="E84" s="1">
        <f>VLOOKUP($B84,[17]TrtCodes!$B$11:K94,4)</f>
        <v>4</v>
      </c>
      <c r="F84" s="1">
        <f>VLOOKUP($B84,[17]TrtCodes!$B$11:L94,5)</f>
        <v>2</v>
      </c>
      <c r="G84" s="1">
        <f>VLOOKUP($B84,[17]TrtCodes!$B$11:M94,6)</f>
        <v>2</v>
      </c>
      <c r="H84" s="1">
        <f>VLOOKUP($B84,[17]TrtCodes!$B$11:N94,7)</f>
        <v>2</v>
      </c>
      <c r="I84" s="1">
        <f>[17]FormattedData!B51</f>
        <v>2</v>
      </c>
      <c r="J84" s="4">
        <f>[17]FormattedData!C51</f>
        <v>13.443</v>
      </c>
      <c r="K84" s="6">
        <f>$J$3+[17]FormattedData!D51*$J$4+$M$4*$J$5+[17]FormattedData!D51^2*$J$6+$M$5*$J$7</f>
        <v>30.261933826297508</v>
      </c>
      <c r="L84" s="6">
        <f>$J$3+[17]FormattedData!E51*$J$4+$M$4*$J$5+[17]FormattedData!E51^2*$J$6+$M$5*$J$7</f>
        <v>29.385283570156304</v>
      </c>
      <c r="M84" s="6">
        <f>$J$3+[17]FormattedData!F51*$J$4+$M$4*$J$5+[17]FormattedData!F51^2*$J$6+$M$5*$J$7</f>
        <v>31.0383042378437</v>
      </c>
      <c r="N84" s="6">
        <f>$J$3+[17]FormattedData!G51*$J$4+$M$4*$J$5+[17]FormattedData!G51^2*$J$6+$M$5*$J$7</f>
        <v>31.0383042378437</v>
      </c>
      <c r="O84" s="6">
        <f>$J$3+[17]FormattedData!H51*$J$4+$M$4*$J$5+[17]FormattedData!H51^2*$J$6+$M$5*$J$7</f>
        <v>30.941405876283188</v>
      </c>
      <c r="P84" s="6">
        <f>$J$3+[17]FormattedData!I51*$J$4+$M$4*$J$5+[17]FormattedData!I51^2*$J$6+$M$5*$J$7</f>
        <v>30.456280040411645</v>
      </c>
      <c r="Q84" s="6">
        <f>$J$3+[17]FormattedData!J51*$J$4+$M$4*$J$5+[17]FormattedData!J51^2*$J$6+$M$5*$J$7</f>
        <v>31.618806767910243</v>
      </c>
      <c r="R84" s="6">
        <f>$J$3+[17]FormattedData!K51*$J$4+$M$4*$J$5+[17]FormattedData!K51^2*$J$6+$M$5*$J$7</f>
        <v>30.553389744661814</v>
      </c>
      <c r="S84" s="6">
        <f>$J$3+[17]FormattedData!L51*$J$4+$M$4*$J$5+[17]FormattedData!L51^2*$J$6+$M$5*$J$7</f>
        <v>31.522162017577312</v>
      </c>
      <c r="T84" s="6">
        <f>$J$3+[17]FormattedData!M51*$J$4+$M$4*$J$5+[17]FormattedData!M51^2*$J$6+$M$5*$J$7</f>
        <v>31.135160330866281</v>
      </c>
      <c r="U84" s="6">
        <f>$J$3+[17]FormattedData!N51*$J$4+$M$4*$J$5+[17]FormattedData!N51^2*$J$6+$M$5*$J$7</f>
        <v>31.908487407681442</v>
      </c>
      <c r="V84" s="6">
        <f>$J$3+[17]FormattedData!O51*$J$4+$M$4*$J$5+[17]FormattedData!O51^2*$J$6+$M$5*$J$7</f>
        <v>31.0383042378437</v>
      </c>
      <c r="W84" s="5">
        <f t="shared" si="18"/>
        <v>30.90815185794807</v>
      </c>
      <c r="X84" s="4">
        <f t="shared" si="19"/>
        <v>0.19565231907473271</v>
      </c>
      <c r="Y84" s="3">
        <f t="shared" si="20"/>
        <v>29.385283570156304</v>
      </c>
      <c r="Z84" s="2">
        <f t="shared" si="21"/>
        <v>30.529112318599271</v>
      </c>
      <c r="AA84" s="3">
        <f t="shared" si="22"/>
        <v>31.0383042378437</v>
      </c>
      <c r="AB84" s="2">
        <f t="shared" si="23"/>
        <v>31.231910752544039</v>
      </c>
      <c r="AC84" s="2">
        <f t="shared" si="24"/>
        <v>31.908487407681442</v>
      </c>
      <c r="AD84" s="2">
        <f t="shared" si="25"/>
        <v>-0.8159914226125411</v>
      </c>
      <c r="AE84" s="2">
        <f t="shared" si="26"/>
        <v>1.2032619320395872</v>
      </c>
    </row>
    <row r="85" spans="2:31" x14ac:dyDescent="0.2">
      <c r="B85" s="1">
        <f>[17]FormattedData!A47</f>
        <v>908</v>
      </c>
      <c r="C85" s="1" t="str">
        <f>VLOOKUP($B85,[17]TrtCodes!$B$11:I90,2)</f>
        <v>Early</v>
      </c>
      <c r="D85" s="1">
        <f>VLOOKUP($B85,[17]TrtCodes!$B$11:J90,3)</f>
        <v>21</v>
      </c>
      <c r="E85" s="1">
        <f>VLOOKUP($B85,[17]TrtCodes!$B$11:K90,4)</f>
        <v>3</v>
      </c>
      <c r="F85" s="1">
        <f>VLOOKUP($B85,[17]TrtCodes!$B$11:L90,5)</f>
        <v>2</v>
      </c>
      <c r="G85" s="1">
        <f>VLOOKUP($B85,[17]TrtCodes!$B$11:M90,6)</f>
        <v>2</v>
      </c>
      <c r="H85" s="1">
        <f>VLOOKUP($B85,[17]TrtCodes!$B$11:N90,7)</f>
        <v>2</v>
      </c>
      <c r="I85" s="1">
        <f>[17]FormattedData!B47</f>
        <v>2</v>
      </c>
      <c r="J85" s="4">
        <f>[17]FormattedData!C47</f>
        <v>13.417</v>
      </c>
      <c r="K85" s="6">
        <f>$J$3+[17]FormattedData!D47*$J$4+$M$4*$J$5+[17]FormattedData!D47^2*$J$6+$M$5*$J$7</f>
        <v>37.997717310809314</v>
      </c>
      <c r="L85" s="6">
        <f>$J$3+[17]FormattedData!E47*$J$4+$M$4*$J$5+[17]FormattedData!E47^2*$J$6+$M$5*$J$7</f>
        <v>38.372545658596174</v>
      </c>
      <c r="M85" s="6">
        <f>$J$3+[17]FormattedData!F47*$J$4+$M$4*$J$5+[17]FormattedData!F47^2*$J$6+$M$5*$J$7</f>
        <v>33.734297335138095</v>
      </c>
      <c r="N85" s="6">
        <f>$J$3+[17]FormattedData!G47*$J$4+$M$4*$J$5+[17]FormattedData!G47^2*$J$6+$M$5*$J$7</f>
        <v>39.865096083674622</v>
      </c>
      <c r="O85" s="6">
        <f>$J$3+[17]FormattedData!H47*$J$4+$M$4*$J$5+[17]FormattedData!H47^2*$J$6+$M$5*$J$7</f>
        <v>33.159374252078464</v>
      </c>
      <c r="P85" s="6">
        <f>$J$3+[17]FormattedData!I47*$J$4+$M$4*$J$5+[17]FormattedData!I47^2*$J$6+$M$5*$J$7</f>
        <v>34.97474385066613</v>
      </c>
      <c r="Q85" s="6">
        <f>$J$3+[17]FormattedData!J47*$J$4+$M$4*$J$5+[17]FormattedData!J47^2*$J$6+$M$5*$J$7</f>
        <v>32.197787630611259</v>
      </c>
      <c r="R85" s="6">
        <f>$J$3+[17]FormattedData!K47*$J$4+$M$4*$J$5+[17]FormattedData!K47^2*$J$6+$M$5*$J$7</f>
        <v>37.4342067329911</v>
      </c>
      <c r="S85" s="6">
        <f>$J$3+[17]FormattedData!L47*$J$4+$M$4*$J$5+[17]FormattedData!L47^2*$J$6+$M$5*$J$7</f>
        <v>36.963452200016143</v>
      </c>
      <c r="T85" s="6">
        <f>$J$3+[17]FormattedData!M47*$J$4+$M$4*$J$5+[17]FormattedData!M47^2*$J$6+$M$5*$J$7</f>
        <v>39.679119040070852</v>
      </c>
      <c r="U85" s="6">
        <f>$J$3+[17]FormattedData!N47*$J$4+$M$4*$J$5+[17]FormattedData!N47^2*$J$6+$M$5*$J$7</f>
        <v>36.963452200016143</v>
      </c>
      <c r="V85" s="6">
        <f>$J$3+[17]FormattedData!O47*$J$4+$M$4*$J$5+[17]FormattedData!O47^2*$J$6+$M$5*$J$7</f>
        <v>39.586067115462072</v>
      </c>
      <c r="W85" s="5">
        <f t="shared" si="18"/>
        <v>36.743988284177533</v>
      </c>
      <c r="X85" s="4">
        <f t="shared" si="19"/>
        <v>0.76344686897719338</v>
      </c>
      <c r="Y85" s="3">
        <f t="shared" si="20"/>
        <v>32.197787630611259</v>
      </c>
      <c r="Z85" s="2">
        <f t="shared" si="21"/>
        <v>34.664632221784117</v>
      </c>
      <c r="AA85" s="3">
        <f t="shared" si="22"/>
        <v>37.198829466503625</v>
      </c>
      <c r="AB85" s="2">
        <f t="shared" si="23"/>
        <v>38.675926022812646</v>
      </c>
      <c r="AC85" s="2">
        <f t="shared" si="24"/>
        <v>39.865096083674622</v>
      </c>
      <c r="AD85" s="2">
        <f t="shared" si="25"/>
        <v>-0.51625372851064999</v>
      </c>
      <c r="AE85" s="2">
        <f t="shared" si="26"/>
        <v>-1.0434099676896307</v>
      </c>
    </row>
    <row r="88" spans="2:31" x14ac:dyDescent="0.2">
      <c r="W88" s="2"/>
    </row>
  </sheetData>
  <autoFilter ref="B9:AE85" xr:uid="{63BC306E-94C5-44EC-8B40-EEE78B4FBF4B}"/>
  <conditionalFormatting sqref="K10:V85">
    <cfRule type="cellIs" dxfId="59" priority="1" stopIfTrue="1" operator="lessThan">
      <formula>$W10-$V$5*$X10</formula>
    </cfRule>
    <cfRule type="cellIs" dxfId="58" priority="2" stopIfTrue="1" operator="greaterThan">
      <formula>$W10+$V$5*$X10</formula>
    </cfRule>
  </conditionalFormatting>
  <conditionalFormatting sqref="W10:W85">
    <cfRule type="cellIs" dxfId="57" priority="3" stopIfTrue="1" operator="lessThan">
      <formula>AVERAGE($W$10:$W$41)</formula>
    </cfRule>
    <cfRule type="cellIs" dxfId="5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CB46-0BE7-4E36-BEB0-D3B52F028737}">
  <sheetPr codeName="Sheet16"/>
  <dimension ref="A1:AI88"/>
  <sheetViews>
    <sheetView topLeftCell="A8" workbookViewId="0">
      <pane xSplit="4" ySplit="2" topLeftCell="L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[18]FormattedData!A1</f>
        <v>Raw data file name - 'IA189.03R'</v>
      </c>
    </row>
    <row r="2" spans="1:35" ht="15" x14ac:dyDescent="0.25">
      <c r="I2" s="32" t="s">
        <v>136</v>
      </c>
      <c r="J2" s="24"/>
      <c r="P2" s="31">
        <f>[18]AncillaryData!C10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[18]AncillaryData!E25</f>
        <v>39.200000000000003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"&amp;[18]AncillaryData!C7</f>
        <v>Time Sequence of Midday IRT Temps - FISE 2003 - DOY 189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"&amp;[18]AncillaryData!E25&amp;", VPD = "&amp;ROUND([18]AncillaryData!E29,1)&amp;", Quality = "&amp;[18]AncillaryData!C20&amp;")"</f>
        <v>(Ta = 39.2, VPD = 6.1,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[18]FormattedData!A28</f>
        <v>101</v>
      </c>
      <c r="C10" s="1" t="str">
        <f>VLOOKUP($B10,[18]TrtCodes!$B$11:I71,2)</f>
        <v>FSH</v>
      </c>
      <c r="D10" s="1">
        <f>VLOOKUP($B10,[18]TrtCodes!$B$11:J71,3)</f>
        <v>1</v>
      </c>
      <c r="E10" s="1">
        <f>VLOOKUP($B10,[18]TrtCodes!$B$11:K71,4)</f>
        <v>1</v>
      </c>
      <c r="F10" s="1">
        <f>VLOOKUP($B10,[18]TrtCodes!$B$11:L71,5)</f>
        <v>1</v>
      </c>
      <c r="G10" s="1">
        <f>VLOOKUP($B10,[18]TrtCodes!$B$11:M71,6)</f>
        <v>2</v>
      </c>
      <c r="H10" s="1">
        <f>VLOOKUP($B10,[18]TrtCodes!$B$11:N71,7)</f>
        <v>1</v>
      </c>
      <c r="I10" s="1">
        <f>[18]FormattedData!B28</f>
        <v>1</v>
      </c>
      <c r="J10" s="4">
        <f>[18]FormattedData!C28</f>
        <v>12.939</v>
      </c>
      <c r="K10" s="6">
        <f>$J$3+[18]FormattedData!D28*$J$4+$M$4*$J$5+[18]FormattedData!D28^2*$J$6+$M$5*$J$7</f>
        <v>41.97162871100813</v>
      </c>
      <c r="L10" s="6">
        <f>$J$3+[18]FormattedData!E28*$J$4+$M$4*$J$5+[18]FormattedData!E28^2*$J$6+$M$5*$J$7</f>
        <v>34.573777663962531</v>
      </c>
      <c r="M10" s="6">
        <f>$J$3+[18]FormattedData!F28*$J$4+$M$4*$J$5+[18]FormattedData!F28^2*$J$6+$M$5*$J$7</f>
        <v>43.346484653863939</v>
      </c>
      <c r="N10" s="6">
        <f>$J$3+[18]FormattedData!G28*$J$4+$M$4*$J$5+[18]FormattedData!G28^2*$J$6+$M$5*$J$7</f>
        <v>32.562878332198672</v>
      </c>
      <c r="O10" s="6">
        <f>$J$3+[18]FormattedData!H28*$J$4+$M$4*$J$5+[18]FormattedData!H28^2*$J$6+$M$5*$J$7</f>
        <v>37.883853383063133</v>
      </c>
      <c r="P10" s="6">
        <f>$J$3+[18]FormattedData!I28*$J$4+$M$4*$J$5+[18]FormattedData!I28^2*$J$6+$M$5*$J$7</f>
        <v>32.659058128614355</v>
      </c>
      <c r="Q10" s="6">
        <f>$J$3+[18]FormattedData!J28*$J$4+$M$4*$J$5+[18]FormattedData!J28^2*$J$6+$M$5*$J$7</f>
        <v>34.669069821081671</v>
      </c>
      <c r="R10" s="6">
        <f>$J$3+[18]FormattedData!K28*$J$4+$M$4*$J$5+[18]FormattedData!K28^2*$J$6+$M$5*$J$7</f>
        <v>31.791918293507656</v>
      </c>
      <c r="S10" s="6">
        <f>$J$3+[18]FormattedData!L28*$J$4+$M$4*$J$5+[18]FormattedData!L28^2*$J$6+$M$5*$J$7</f>
        <v>38.913468954683879</v>
      </c>
      <c r="T10" s="6">
        <f>$J$3+[18]FormattedData!M28*$J$4+$M$4*$J$5+[18]FormattedData!M28^2*$J$6+$M$5*$J$7</f>
        <v>32.370391933753503</v>
      </c>
      <c r="U10" s="6">
        <f>$J$3+[18]FormattedData!N28*$J$4+$M$4*$J$5+[18]FormattedData!N28^2*$J$6+$M$5*$J$7</f>
        <v>45.616776956324721</v>
      </c>
      <c r="V10" s="6">
        <f>$J$3+[18]FormattedData!O28*$J$4+$M$4*$J$5+[18]FormattedData!O28^2*$J$6+$M$5*$J$7</f>
        <v>32.08134532205127</v>
      </c>
      <c r="W10" s="5">
        <f t="shared" ref="W10:W41" si="0">AVERAGE(K10:V10)</f>
        <v>36.53672101284279</v>
      </c>
      <c r="X10" s="4">
        <f t="shared" ref="X10:X41" si="1">STDEV(K10:V10)/SQRT(COUNT(K10:V10))</f>
        <v>1.4134446450203724</v>
      </c>
      <c r="Y10" s="3">
        <f t="shared" ref="Y10:Y41" si="2">MIN(K10:V10)</f>
        <v>31.791918293507656</v>
      </c>
      <c r="Z10" s="2">
        <f t="shared" ref="Z10:Z41" si="3">QUARTILE(K10:V10,1)</f>
        <v>32.514756732587379</v>
      </c>
      <c r="AA10" s="3">
        <f t="shared" ref="AA10:AA41" si="4">MEDIAN(K10:V10)</f>
        <v>34.621423742522097</v>
      </c>
      <c r="AB10" s="2">
        <f t="shared" ref="AB10:AB41" si="5">QUARTILE(K10:V10,3)</f>
        <v>39.67800889376494</v>
      </c>
      <c r="AC10" s="2">
        <f t="shared" ref="AC10:AC41" si="6">MAX(K10:V10)</f>
        <v>45.616776956324721</v>
      </c>
      <c r="AD10" s="2">
        <f t="shared" ref="AD10:AD41" si="7">SKEW(K10:V10)</f>
        <v>0.77889535815368338</v>
      </c>
      <c r="AE10" s="2">
        <f t="shared" ref="AE10:AE41" si="8">KURT(K10:V10)</f>
        <v>-0.86388054295710992</v>
      </c>
    </row>
    <row r="11" spans="1:35" x14ac:dyDescent="0.2">
      <c r="B11" s="1">
        <f>[18]FormattedData!A26</f>
        <v>102</v>
      </c>
      <c r="C11" s="1" t="str">
        <f>VLOOKUP($B11,[18]TrtCodes!$B$11:I69,2)</f>
        <v>FTL</v>
      </c>
      <c r="D11" s="1">
        <f>VLOOKUP($B11,[18]TrtCodes!$B$11:J69,3)</f>
        <v>4</v>
      </c>
      <c r="E11" s="1">
        <f>VLOOKUP($B11,[18]TrtCodes!$B$11:K69,4)</f>
        <v>1</v>
      </c>
      <c r="F11" s="1">
        <f>VLOOKUP($B11,[18]TrtCodes!$B$11:L69,5)</f>
        <v>2</v>
      </c>
      <c r="G11" s="1">
        <f>VLOOKUP($B11,[18]TrtCodes!$B$11:M69,6)</f>
        <v>1</v>
      </c>
      <c r="H11" s="1">
        <f>VLOOKUP($B11,[18]TrtCodes!$B$11:N69,7)</f>
        <v>1</v>
      </c>
      <c r="I11" s="1">
        <f>[18]FormattedData!B26</f>
        <v>1</v>
      </c>
      <c r="J11" s="4">
        <f>[18]FormattedData!C26</f>
        <v>12.925000000000001</v>
      </c>
      <c r="K11" s="6">
        <f>$J$3+[18]FormattedData!D26*$J$4+$M$4*$J$5+[18]FormattedData!D26^2*$J$6+$M$5*$J$7</f>
        <v>47.949856910235582</v>
      </c>
      <c r="L11" s="6">
        <f>$J$3+[18]FormattedData!E26*$J$4+$M$4*$J$5+[18]FormattedData!E26^2*$J$6+$M$5*$J$7</f>
        <v>33.043354628897788</v>
      </c>
      <c r="M11" s="6">
        <f>$J$3+[18]FormattedData!F26*$J$4+$M$4*$J$5+[18]FormattedData!F26^2*$J$6+$M$5*$J$7</f>
        <v>39.566015946007425</v>
      </c>
      <c r="N11" s="6">
        <f>$J$3+[18]FormattedData!G26*$J$4+$M$4*$J$5+[18]FormattedData!G26^2*$J$6+$M$5*$J$7</f>
        <v>31.115109161411635</v>
      </c>
      <c r="O11" s="6">
        <f>$J$3+[18]FormattedData!H26*$J$4+$M$4*$J$5+[18]FormattedData!H26^2*$J$6+$M$5*$J$7</f>
        <v>37.414155563536454</v>
      </c>
      <c r="P11" s="6">
        <f>$J$3+[18]FormattedData!I26*$J$4+$M$4*$J$5+[18]FormattedData!I26^2*$J$6+$M$5*$J$7</f>
        <v>31.888436238226795</v>
      </c>
      <c r="Q11" s="6">
        <f>$J$3+[18]FormattedData!J26*$J$4+$M$4*$J$5+[18]FormattedData!J26^2*$J$6+$M$5*$J$7</f>
        <v>47.324530857339695</v>
      </c>
      <c r="R11" s="6">
        <f>$J$3+[18]FormattedData!K26*$J$4+$M$4*$J$5+[18]FormattedData!K26^2*$J$6+$M$5*$J$7</f>
        <v>32.08134532205127</v>
      </c>
      <c r="S11" s="6">
        <f>$J$3+[18]FormattedData!L26*$J$4+$M$4*$J$5+[18]FormattedData!L26^2*$J$6+$M$5*$J$7</f>
        <v>45.436125748500274</v>
      </c>
      <c r="T11" s="6">
        <f>$J$3+[18]FormattedData!M26*$J$4+$M$4*$J$5+[18]FormattedData!M26^2*$J$6+$M$5*$J$7</f>
        <v>32.08134532205127</v>
      </c>
      <c r="U11" s="6">
        <f>$J$3+[18]FormattedData!N26*$J$4+$M$4*$J$5+[18]FormattedData!N26^2*$J$6+$M$5*$J$7</f>
        <v>41.419023415976142</v>
      </c>
      <c r="V11" s="6">
        <f>$J$3+[18]FormattedData!O26*$J$4+$M$4*$J$5+[18]FormattedData!O26^2*$J$6+$M$5*$J$7</f>
        <v>30.047367368576996</v>
      </c>
      <c r="W11" s="5">
        <f t="shared" si="0"/>
        <v>37.447222206900946</v>
      </c>
      <c r="X11" s="4">
        <f t="shared" si="1"/>
        <v>1.9358806129191275</v>
      </c>
      <c r="Y11" s="3">
        <f t="shared" si="2"/>
        <v>30.047367368576996</v>
      </c>
      <c r="Z11" s="2">
        <f t="shared" si="3"/>
        <v>32.033118051095151</v>
      </c>
      <c r="AA11" s="3">
        <f t="shared" si="4"/>
        <v>35.228755096217121</v>
      </c>
      <c r="AB11" s="2">
        <f t="shared" si="5"/>
        <v>42.423298999107175</v>
      </c>
      <c r="AC11" s="2">
        <f t="shared" si="6"/>
        <v>47.949856910235582</v>
      </c>
      <c r="AD11" s="2">
        <f t="shared" si="7"/>
        <v>0.53496446296843725</v>
      </c>
      <c r="AE11" s="2">
        <f t="shared" si="8"/>
        <v>-1.4136596555916152</v>
      </c>
    </row>
    <row r="12" spans="1:35" x14ac:dyDescent="0.2">
      <c r="B12" s="1">
        <f>[18]FormattedData!A24</f>
        <v>103</v>
      </c>
      <c r="C12" s="1" t="str">
        <f>VLOOKUP($B12,[18]TrtCodes!$B$11:I67,2)</f>
        <v>FDH</v>
      </c>
      <c r="D12" s="1">
        <f>VLOOKUP($B12,[18]TrtCodes!$B$11:J67,3)</f>
        <v>5</v>
      </c>
      <c r="E12" s="1">
        <f>VLOOKUP($B12,[18]TrtCodes!$B$11:K67,4)</f>
        <v>1</v>
      </c>
      <c r="F12" s="1">
        <f>VLOOKUP($B12,[18]TrtCodes!$B$11:L67,5)</f>
        <v>3</v>
      </c>
      <c r="G12" s="1">
        <f>VLOOKUP($B12,[18]TrtCodes!$B$11:M67,6)</f>
        <v>2</v>
      </c>
      <c r="H12" s="1">
        <f>VLOOKUP($B12,[18]TrtCodes!$B$11:N67,7)</f>
        <v>1</v>
      </c>
      <c r="I12" s="1">
        <f>[18]FormattedData!B24</f>
        <v>1</v>
      </c>
      <c r="J12" s="4">
        <f>[18]FormattedData!C24</f>
        <v>12.911</v>
      </c>
      <c r="K12" s="6">
        <f>$J$3+[18]FormattedData!D24*$J$4+$M$4*$J$5+[18]FormattedData!D24^2*$J$6+$M$5*$J$7</f>
        <v>36.943401030561496</v>
      </c>
      <c r="L12" s="6">
        <f>$J$3+[18]FormattedData!E24*$J$4+$M$4*$J$5+[18]FormattedData!E24^2*$J$6+$M$5*$J$7</f>
        <v>29.657829569590099</v>
      </c>
      <c r="M12" s="6">
        <f>$J$3+[18]FormattedData!F24*$J$4+$M$4*$J$5+[18]FormattedData!F24^2*$J$6+$M$5*$J$7</f>
        <v>36.471589784138253</v>
      </c>
      <c r="N12" s="6">
        <f>$J$3+[18]FormattedData!G24*$J$4+$M$4*$J$5+[18]FormattedData!G24^2*$J$6+$M$5*$J$7</f>
        <v>29.169956278753034</v>
      </c>
      <c r="O12" s="6">
        <f>$J$3+[18]FormattedData!H24*$J$4+$M$4*$J$5+[18]FormattedData!H24^2*$J$6+$M$5*$J$7</f>
        <v>33.139323082623818</v>
      </c>
      <c r="P12" s="6">
        <f>$J$3+[18]FormattedData!I24*$J$4+$M$4*$J$5+[18]FormattedData!I24^2*$J$6+$M$5*$J$7</f>
        <v>29.169956278753034</v>
      </c>
      <c r="Q12" s="6">
        <f>$J$3+[18]FormattedData!J24*$J$4+$M$4*$J$5+[18]FormattedData!J24^2*$J$6+$M$5*$J$7</f>
        <v>34.954692681211483</v>
      </c>
      <c r="R12" s="6">
        <f>$J$3+[18]FormattedData!K24*$J$4+$M$4*$J$5+[18]FormattedData!K24^2*$J$6+$M$5*$J$7</f>
        <v>29.560339448498553</v>
      </c>
      <c r="S12" s="6">
        <f>$J$3+[18]FormattedData!L24*$J$4+$M$4*$J$5+[18]FormattedData!L24^2*$J$6+$M$5*$J$7</f>
        <v>35.714493825888667</v>
      </c>
      <c r="T12" s="6">
        <f>$J$3+[18]FormattedData!M24*$J$4+$M$4*$J$5+[18]FormattedData!M24^2*$J$6+$M$5*$J$7</f>
        <v>30.339076898168891</v>
      </c>
      <c r="U12" s="6">
        <f>$J$3+[18]FormattedData!N24*$J$4+$M$4*$J$5+[18]FormattedData!N24^2*$J$6+$M$5*$J$7</f>
        <v>37.696101060866248</v>
      </c>
      <c r="V12" s="6">
        <f>$J$3+[18]FormattedData!O24*$J$4+$M$4*$J$5+[18]FormattedData!O24^2*$J$6+$M$5*$J$7</f>
        <v>28.778896812400617</v>
      </c>
      <c r="W12" s="5">
        <f t="shared" si="0"/>
        <v>32.63297139595452</v>
      </c>
      <c r="X12" s="4">
        <f t="shared" si="1"/>
        <v>1.0168503258723109</v>
      </c>
      <c r="Y12" s="3">
        <f t="shared" si="2"/>
        <v>28.778896812400617</v>
      </c>
      <c r="Z12" s="2">
        <f t="shared" si="3"/>
        <v>29.462743656062173</v>
      </c>
      <c r="AA12" s="3">
        <f t="shared" si="4"/>
        <v>31.739199990396354</v>
      </c>
      <c r="AB12" s="2">
        <f t="shared" si="5"/>
        <v>35.903767815451062</v>
      </c>
      <c r="AC12" s="2">
        <f t="shared" si="6"/>
        <v>37.696101060866248</v>
      </c>
      <c r="AD12" s="2">
        <f t="shared" si="7"/>
        <v>0.25116824289172446</v>
      </c>
      <c r="AE12" s="2">
        <f t="shared" si="8"/>
        <v>-1.9430522044513254</v>
      </c>
    </row>
    <row r="13" spans="1:35" x14ac:dyDescent="0.2">
      <c r="B13" s="1">
        <f>[18]FormattedData!A22</f>
        <v>104</v>
      </c>
      <c r="C13" s="1" t="str">
        <f>VLOOKUP($B13,[18]TrtCodes!$B$11:I65,2)</f>
        <v>NTL</v>
      </c>
      <c r="D13" s="1">
        <f>VLOOKUP($B13,[18]TrtCodes!$B$11:J65,3)</f>
        <v>10</v>
      </c>
      <c r="E13" s="1">
        <f>VLOOKUP($B13,[18]TrtCodes!$B$11:K65,4)</f>
        <v>2</v>
      </c>
      <c r="F13" s="1">
        <f>VLOOKUP($B13,[18]TrtCodes!$B$11:L65,5)</f>
        <v>2</v>
      </c>
      <c r="G13" s="1">
        <f>VLOOKUP($B13,[18]TrtCodes!$B$11:M65,6)</f>
        <v>1</v>
      </c>
      <c r="H13" s="1">
        <f>VLOOKUP($B13,[18]TrtCodes!$B$11:N65,7)</f>
        <v>1</v>
      </c>
      <c r="I13" s="1">
        <f>[18]FormattedData!B22</f>
        <v>1</v>
      </c>
      <c r="J13" s="4">
        <f>[18]FormattedData!C22</f>
        <v>12.898</v>
      </c>
      <c r="K13" s="6">
        <f>$J$3+[18]FormattedData!D22*$J$4+$M$4*$J$5+[18]FormattedData!D22^2*$J$6+$M$5*$J$7</f>
        <v>39.100122294894554</v>
      </c>
      <c r="L13" s="6">
        <f>$J$3+[18]FormattedData!E22*$J$4+$M$4*$J$5+[18]FormattedData!E22^2*$J$6+$M$5*$J$7</f>
        <v>30.533338575207168</v>
      </c>
      <c r="M13" s="6">
        <f>$J$3+[18]FormattedData!F22*$J$4+$M$4*$J$5+[18]FormattedData!F22^2*$J$6+$M$5*$J$7</f>
        <v>33.139323082623818</v>
      </c>
      <c r="N13" s="6">
        <f>$J$3+[18]FormattedData!G22*$J$4+$M$4*$J$5+[18]FormattedData!G22^2*$J$6+$M$5*$J$7</f>
        <v>28.87672508179562</v>
      </c>
      <c r="O13" s="6">
        <f>$J$3+[18]FormattedData!H22*$J$4+$M$4*$J$5+[18]FormattedData!H22^2*$J$6+$M$5*$J$7</f>
        <v>34.478443238305481</v>
      </c>
      <c r="P13" s="6">
        <f>$J$3+[18]FormattedData!I22*$J$4+$M$4*$J$5+[18]FormattedData!I22^2*$J$6+$M$5*$J$7</f>
        <v>29.560339448498553</v>
      </c>
      <c r="Q13" s="6">
        <f>$J$3+[18]FormattedData!J22*$J$4+$M$4*$J$5+[18]FormattedData!J22^2*$J$6+$M$5*$J$7</f>
        <v>35.904021426678653</v>
      </c>
      <c r="R13" s="6">
        <f>$J$3+[18]FormattedData!K22*$J$4+$M$4*$J$5+[18]FormattedData!K22^2*$J$6+$M$5*$J$7</f>
        <v>29.267615473996312</v>
      </c>
      <c r="S13" s="6">
        <f>$J$3+[18]FormattedData!L22*$J$4+$M$4*$J$5+[18]FormattedData!L22^2*$J$6+$M$5*$J$7</f>
        <v>36.377100729239821</v>
      </c>
      <c r="T13" s="6">
        <f>$J$3+[18]FormattedData!M22*$J$4+$M$4*$J$5+[18]FormattedData!M22^2*$J$6+$M$5*$J$7</f>
        <v>29.267615473996312</v>
      </c>
      <c r="U13" s="6">
        <f>$J$3+[18]FormattedData!N22*$J$4+$M$4*$J$5+[18]FormattedData!N22^2*$J$6+$M$5*$J$7</f>
        <v>32.947343906633826</v>
      </c>
      <c r="V13" s="6">
        <f>$J$3+[18]FormattedData!O22*$J$4+$M$4*$J$5+[18]FormattedData!O22^2*$J$6+$M$5*$J$7</f>
        <v>29.657829569590099</v>
      </c>
      <c r="W13" s="5">
        <f t="shared" si="0"/>
        <v>32.425818191788352</v>
      </c>
      <c r="X13" s="4">
        <f t="shared" si="1"/>
        <v>0.9895284070890078</v>
      </c>
      <c r="Y13" s="3">
        <f t="shared" si="2"/>
        <v>28.87672508179562</v>
      </c>
      <c r="Z13" s="2">
        <f t="shared" si="3"/>
        <v>29.487158454872993</v>
      </c>
      <c r="AA13" s="3">
        <f t="shared" si="4"/>
        <v>31.740341240920497</v>
      </c>
      <c r="AB13" s="2">
        <f t="shared" si="5"/>
        <v>34.834837785398776</v>
      </c>
      <c r="AC13" s="2">
        <f t="shared" si="6"/>
        <v>39.100122294894554</v>
      </c>
      <c r="AD13" s="2">
        <f t="shared" si="7"/>
        <v>0.67988742418285664</v>
      </c>
      <c r="AE13" s="2">
        <f t="shared" si="8"/>
        <v>-0.73583342438651123</v>
      </c>
    </row>
    <row r="14" spans="1:35" x14ac:dyDescent="0.2">
      <c r="B14" s="1">
        <f>[18]FormattedData!A20</f>
        <v>105</v>
      </c>
      <c r="C14" s="1" t="str">
        <f>VLOOKUP($B14,[18]TrtCodes!$B$11:I63,2)</f>
        <v>NDL</v>
      </c>
      <c r="D14" s="1">
        <f>VLOOKUP($B14,[18]TrtCodes!$B$11:J63,3)</f>
        <v>12</v>
      </c>
      <c r="E14" s="1">
        <f>VLOOKUP($B14,[18]TrtCodes!$B$11:K63,4)</f>
        <v>2</v>
      </c>
      <c r="F14" s="1">
        <f>VLOOKUP($B14,[18]TrtCodes!$B$11:L63,5)</f>
        <v>3</v>
      </c>
      <c r="G14" s="1">
        <f>VLOOKUP($B14,[18]TrtCodes!$B$11:M63,6)</f>
        <v>1</v>
      </c>
      <c r="H14" s="1">
        <f>VLOOKUP($B14,[18]TrtCodes!$B$11:N63,7)</f>
        <v>2</v>
      </c>
      <c r="I14" s="1">
        <f>[18]FormattedData!B20</f>
        <v>1</v>
      </c>
      <c r="J14" s="4">
        <f>[18]FormattedData!C20</f>
        <v>12.884</v>
      </c>
      <c r="K14" s="6">
        <f>$J$3+[18]FormattedData!D20*$J$4+$M$4*$J$5+[18]FormattedData!D20^2*$J$6+$M$5*$J$7</f>
        <v>32.851290915831932</v>
      </c>
      <c r="L14" s="6">
        <f>$J$3+[18]FormattedData!E20*$J$4+$M$4*$J$5+[18]FormattedData!E20^2*$J$6+$M$5*$J$7</f>
        <v>28.87672508179562</v>
      </c>
      <c r="M14" s="6">
        <f>$J$3+[18]FormattedData!F20*$J$4+$M$4*$J$5+[18]FormattedData!F20^2*$J$6+$M$5*$J$7</f>
        <v>33.235249267811916</v>
      </c>
      <c r="N14" s="6">
        <f>$J$3+[18]FormattedData!G20*$J$4+$M$4*$J$5+[18]FormattedData!G20^2*$J$6+$M$5*$J$7</f>
        <v>27.798289348864401</v>
      </c>
      <c r="O14" s="6">
        <f>$J$3+[18]FormattedData!H20*$J$4+$M$4*$J$5+[18]FormattedData!H20^2*$J$6+$M$5*$J$7</f>
        <v>33.331133184462082</v>
      </c>
      <c r="P14" s="6">
        <f>$J$3+[18]FormattedData!I20*$J$4+$M$4*$J$5+[18]FormattedData!I20^2*$J$6+$M$5*$J$7</f>
        <v>28.583113467996824</v>
      </c>
      <c r="Q14" s="6">
        <f>$J$3+[18]FormattedData!J20*$J$4+$M$4*$J$5+[18]FormattedData!J20^2*$J$6+$M$5*$J$7</f>
        <v>34.001137081951192</v>
      </c>
      <c r="R14" s="6">
        <f>$J$3+[18]FormattedData!K20*$J$4+$M$4*$J$5+[18]FormattedData!K20^2*$J$6+$M$5*$J$7</f>
        <v>28.778896812400617</v>
      </c>
      <c r="S14" s="6">
        <f>$J$3+[18]FormattedData!L20*$J$4+$M$4*$J$5+[18]FormattedData!L20^2*$J$6+$M$5*$J$7</f>
        <v>35.334931401853524</v>
      </c>
      <c r="T14" s="6">
        <f>$J$3+[18]FormattedData!M20*$J$4+$M$4*$J$5+[18]FormattedData!M20^2*$J$6+$M$5*$J$7</f>
        <v>29.560339448498553</v>
      </c>
      <c r="U14" s="6">
        <f>$J$3+[18]FormattedData!N20*$J$4+$M$4*$J$5+[18]FormattedData!N20^2*$J$6+$M$5*$J$7</f>
        <v>33.905549045066543</v>
      </c>
      <c r="V14" s="6">
        <f>$J$3+[18]FormattedData!O20*$J$4+$M$4*$J$5+[18]FormattedData!O20^2*$J$6+$M$5*$J$7</f>
        <v>28.583113467996824</v>
      </c>
      <c r="W14" s="5">
        <f t="shared" si="0"/>
        <v>31.236647377044168</v>
      </c>
      <c r="X14" s="4">
        <f t="shared" si="1"/>
        <v>0.79236075707497222</v>
      </c>
      <c r="Y14" s="3">
        <f t="shared" si="2"/>
        <v>27.798289348864401</v>
      </c>
      <c r="Z14" s="2">
        <f t="shared" si="3"/>
        <v>28.729950976299669</v>
      </c>
      <c r="AA14" s="3">
        <f t="shared" si="4"/>
        <v>31.205815182165242</v>
      </c>
      <c r="AB14" s="2">
        <f t="shared" si="5"/>
        <v>33.474737149613198</v>
      </c>
      <c r="AC14" s="2">
        <f t="shared" si="6"/>
        <v>35.334931401853524</v>
      </c>
      <c r="AD14" s="2">
        <f t="shared" si="7"/>
        <v>0.10358749348823557</v>
      </c>
      <c r="AE14" s="2">
        <f t="shared" si="8"/>
        <v>-1.9580049922619471</v>
      </c>
    </row>
    <row r="15" spans="1:35" x14ac:dyDescent="0.2">
      <c r="B15" s="1">
        <f>[18]FormattedData!A18</f>
        <v>106</v>
      </c>
      <c r="C15" s="1" t="str">
        <f>VLOOKUP($B15,[18]TrtCodes!$B$11:I61,2)</f>
        <v>NTH</v>
      </c>
      <c r="D15" s="1">
        <f>VLOOKUP($B15,[18]TrtCodes!$B$11:J61,3)</f>
        <v>9</v>
      </c>
      <c r="E15" s="1">
        <f>VLOOKUP($B15,[18]TrtCodes!$B$11:K61,4)</f>
        <v>2</v>
      </c>
      <c r="F15" s="1">
        <f>VLOOKUP($B15,[18]TrtCodes!$B$11:L61,5)</f>
        <v>2</v>
      </c>
      <c r="G15" s="1">
        <f>VLOOKUP($B15,[18]TrtCodes!$B$11:M61,6)</f>
        <v>2</v>
      </c>
      <c r="H15" s="1">
        <f>VLOOKUP($B15,[18]TrtCodes!$B$11:N61,7)</f>
        <v>2</v>
      </c>
      <c r="I15" s="1">
        <f>[18]FormattedData!B18</f>
        <v>1</v>
      </c>
      <c r="J15" s="4">
        <f>[18]FormattedData!C18</f>
        <v>12.87</v>
      </c>
      <c r="K15" s="6">
        <f>$J$3+[18]FormattedData!D18*$J$4+$M$4*$J$5+[18]FormattedData!D18^2*$J$6+$M$5*$J$7</f>
        <v>38.539655051807372</v>
      </c>
      <c r="L15" s="6">
        <f>$J$3+[18]FormattedData!E18*$J$4+$M$4*$J$5+[18]FormattedData!E18^2*$J$6+$M$5*$J$7</f>
        <v>30.339076898168891</v>
      </c>
      <c r="M15" s="6">
        <f>$J$3+[18]FormattedData!F18*$J$4+$M$4*$J$5+[18]FormattedData!F18^2*$J$6+$M$5*$J$7</f>
        <v>36.093379953316912</v>
      </c>
      <c r="N15" s="6">
        <f>$J$3+[18]FormattedData!G18*$J$4+$M$4*$J$5+[18]FormattedData!G18^2*$J$6+$M$5*$J$7</f>
        <v>30.533338575207168</v>
      </c>
      <c r="O15" s="6">
        <f>$J$3+[18]FormattedData!H18*$J$4+$M$4*$J$5+[18]FormattedData!H18^2*$J$6+$M$5*$J$7</f>
        <v>36.660441088321349</v>
      </c>
      <c r="P15" s="6">
        <f>$J$3+[18]FormattedData!I18*$J$4+$M$4*$J$5+[18]FormattedData!I18^2*$J$6+$M$5*$J$7</f>
        <v>31.598755598455597</v>
      </c>
      <c r="Q15" s="6">
        <f>$J$3+[18]FormattedData!J18*$J$4+$M$4*$J$5+[18]FormattedData!J18^2*$J$6+$M$5*$J$7</f>
        <v>31.115109161411635</v>
      </c>
      <c r="R15" s="6">
        <f>$J$3+[18]FormattedData!K18*$J$4+$M$4*$J$5+[18]FormattedData!K18^2*$J$6+$M$5*$J$7</f>
        <v>31.791918293507656</v>
      </c>
      <c r="S15" s="6">
        <f>$J$3+[18]FormattedData!L18*$J$4+$M$4*$J$5+[18]FormattedData!L18^2*$J$6+$M$5*$J$7</f>
        <v>34.287647581377549</v>
      </c>
      <c r="T15" s="6">
        <f>$J$3+[18]FormattedData!M18*$J$4+$M$4*$J$5+[18]FormattedData!M18^2*$J$6+$M$5*$J$7</f>
        <v>30.921354706828541</v>
      </c>
      <c r="U15" s="6">
        <f>$J$3+[18]FormattedData!N18*$J$4+$M$4*$J$5+[18]FormattedData!N18^2*$J$6+$M$5*$J$7</f>
        <v>38.913468954683879</v>
      </c>
      <c r="V15" s="6">
        <f>$J$3+[18]FormattedData!O18*$J$4+$M$4*$J$5+[18]FormattedData!O18^2*$J$6+$M$5*$J$7</f>
        <v>31.405423829251809</v>
      </c>
      <c r="W15" s="5">
        <f t="shared" si="0"/>
        <v>33.51663080769486</v>
      </c>
      <c r="X15" s="4">
        <f t="shared" si="1"/>
        <v>0.92966269452212369</v>
      </c>
      <c r="Y15" s="3">
        <f t="shared" si="2"/>
        <v>30.339076898168891</v>
      </c>
      <c r="Z15" s="2">
        <f t="shared" si="3"/>
        <v>31.06667054776586</v>
      </c>
      <c r="AA15" s="3">
        <f t="shared" si="4"/>
        <v>31.695336945981627</v>
      </c>
      <c r="AB15" s="2">
        <f t="shared" si="5"/>
        <v>36.235145237068025</v>
      </c>
      <c r="AC15" s="2">
        <f t="shared" si="6"/>
        <v>38.913468954683879</v>
      </c>
      <c r="AD15" s="2">
        <f t="shared" si="7"/>
        <v>0.72183005478724982</v>
      </c>
      <c r="AE15" s="2">
        <f t="shared" si="8"/>
        <v>-1.2073406985527297</v>
      </c>
    </row>
    <row r="16" spans="1:35" x14ac:dyDescent="0.2">
      <c r="B16" s="1">
        <f>[18]FormattedData!A16</f>
        <v>107</v>
      </c>
      <c r="C16" s="1" t="str">
        <f>VLOOKUP($B16,[18]TrtCodes!$B$11:I59,2)</f>
        <v>NTL</v>
      </c>
      <c r="D16" s="1">
        <f>VLOOKUP($B16,[18]TrtCodes!$B$11:J59,3)</f>
        <v>10</v>
      </c>
      <c r="E16" s="1">
        <f>VLOOKUP($B16,[18]TrtCodes!$B$11:K59,4)</f>
        <v>2</v>
      </c>
      <c r="F16" s="1">
        <f>VLOOKUP($B16,[18]TrtCodes!$B$11:L59,5)</f>
        <v>2</v>
      </c>
      <c r="G16" s="1">
        <f>VLOOKUP($B16,[18]TrtCodes!$B$11:M59,6)</f>
        <v>1</v>
      </c>
      <c r="H16" s="1">
        <f>VLOOKUP($B16,[18]TrtCodes!$B$11:N59,7)</f>
        <v>2</v>
      </c>
      <c r="I16" s="1">
        <f>[18]FormattedData!B16</f>
        <v>1</v>
      </c>
      <c r="J16" s="4">
        <f>[18]FormattedData!C16</f>
        <v>12.856999999999999</v>
      </c>
      <c r="K16" s="6">
        <f>$J$3+[18]FormattedData!D16*$J$4+$M$4*$J$5+[18]FormattedData!D16^2*$J$6+$M$5*$J$7</f>
        <v>42.706068732926639</v>
      </c>
      <c r="L16" s="6">
        <f>$J$3+[18]FormattedData!E16*$J$4+$M$4*$J$5+[18]FormattedData!E16^2*$J$6+$M$5*$J$7</f>
        <v>41.142150143198073</v>
      </c>
      <c r="M16" s="6">
        <f>$J$3+[18]FormattedData!F16*$J$4+$M$4*$J$5+[18]FormattedData!F16^2*$J$6+$M$5*$J$7</f>
        <v>42.522712338674587</v>
      </c>
      <c r="N16" s="6">
        <f>$J$3+[18]FormattedData!G16*$J$4+$M$4*$J$5+[18]FormattedData!G16^2*$J$6+$M$5*$J$7</f>
        <v>31.405423829251809</v>
      </c>
      <c r="O16" s="6">
        <f>$J$3+[18]FormattedData!H16*$J$4+$M$4*$J$5+[18]FormattedData!H16^2*$J$6+$M$5*$J$7</f>
        <v>38.633171930333397</v>
      </c>
      <c r="P16" s="6">
        <f>$J$3+[18]FormattedData!I16*$J$4+$M$4*$J$5+[18]FormattedData!I16^2*$J$6+$M$5*$J$7</f>
        <v>31.30869454184301</v>
      </c>
      <c r="Q16" s="6">
        <f>$J$3+[18]FormattedData!J16*$J$4+$M$4*$J$5+[18]FormattedData!J16^2*$J$6+$M$5*$J$7</f>
        <v>37.131829649365272</v>
      </c>
      <c r="R16" s="6">
        <f>$J$3+[18]FormattedData!K16*$J$4+$M$4*$J$5+[18]FormattedData!K16^2*$J$6+$M$5*$J$7</f>
        <v>31.598755598455597</v>
      </c>
      <c r="S16" s="6">
        <f>$J$3+[18]FormattedData!L16*$J$4+$M$4*$J$5+[18]FormattedData!L16^2*$J$6+$M$5*$J$7</f>
        <v>29.755277422143724</v>
      </c>
      <c r="T16" s="6">
        <f>$J$3+[18]FormattedData!M16*$J$4+$M$4*$J$5+[18]FormattedData!M16^2*$J$6+$M$5*$J$7</f>
        <v>34.001137081951192</v>
      </c>
      <c r="U16" s="6">
        <f>$J$3+[18]FormattedData!N16*$J$4+$M$4*$J$5+[18]FormattedData!N16^2*$J$6+$M$5*$J$7</f>
        <v>31.30869454184301</v>
      </c>
      <c r="V16" s="6">
        <f>$J$3+[18]FormattedData!O16*$J$4+$M$4*$J$5+[18]FormattedData!O16^2*$J$6+$M$5*$J$7</f>
        <v>30.921354706828541</v>
      </c>
      <c r="W16" s="5">
        <f t="shared" si="0"/>
        <v>35.202939209734573</v>
      </c>
      <c r="X16" s="4">
        <f t="shared" si="1"/>
        <v>1.4244409627941763</v>
      </c>
      <c r="Y16" s="3">
        <f t="shared" si="2"/>
        <v>29.755277422143724</v>
      </c>
      <c r="Z16" s="2">
        <f t="shared" si="3"/>
        <v>31.30869454184301</v>
      </c>
      <c r="AA16" s="3">
        <f t="shared" si="4"/>
        <v>32.799946340203391</v>
      </c>
      <c r="AB16" s="2">
        <f t="shared" si="5"/>
        <v>39.260416483549562</v>
      </c>
      <c r="AC16" s="2">
        <f t="shared" si="6"/>
        <v>42.706068732926639</v>
      </c>
      <c r="AD16" s="2">
        <f t="shared" si="7"/>
        <v>0.55391014510609393</v>
      </c>
      <c r="AE16" s="2">
        <f t="shared" si="8"/>
        <v>-1.510346829321632</v>
      </c>
    </row>
    <row r="17" spans="2:31" x14ac:dyDescent="0.2">
      <c r="B17" s="1">
        <f>[18]FormattedData!A14</f>
        <v>108</v>
      </c>
      <c r="C17" s="1" t="str">
        <f>VLOOKUP($B17,[18]TrtCodes!$B$11:I57,2)</f>
        <v>FTH</v>
      </c>
      <c r="D17" s="1">
        <f>VLOOKUP($B17,[18]TrtCodes!$B$11:J57,3)</f>
        <v>3</v>
      </c>
      <c r="E17" s="1">
        <f>VLOOKUP($B17,[18]TrtCodes!$B$11:K57,4)</f>
        <v>1</v>
      </c>
      <c r="F17" s="1">
        <f>VLOOKUP($B17,[18]TrtCodes!$B$11:L57,5)</f>
        <v>2</v>
      </c>
      <c r="G17" s="1">
        <f>VLOOKUP($B17,[18]TrtCodes!$B$11:M57,6)</f>
        <v>2</v>
      </c>
      <c r="H17" s="1">
        <f>VLOOKUP($B17,[18]TrtCodes!$B$11:N57,7)</f>
        <v>2</v>
      </c>
      <c r="I17" s="1">
        <f>[18]FormattedData!B14</f>
        <v>1</v>
      </c>
      <c r="J17" s="4">
        <f>[18]FormattedData!C14</f>
        <v>12.843999999999999</v>
      </c>
      <c r="K17" s="6">
        <f>$J$3+[18]FormattedData!D14*$J$4+$M$4*$J$5+[18]FormattedData!D14^2*$J$6+$M$5*$J$7</f>
        <v>39.566015946007425</v>
      </c>
      <c r="L17" s="6">
        <f>$J$3+[18]FormattedData!E14*$J$4+$M$4*$J$5+[18]FormattedData!E14^2*$J$6+$M$5*$J$7</f>
        <v>32.562878332198672</v>
      </c>
      <c r="M17" s="6">
        <f>$J$3+[18]FormattedData!F14*$J$4+$M$4*$J$5+[18]FormattedData!F14^2*$J$6+$M$5*$J$7</f>
        <v>37.320089194017328</v>
      </c>
      <c r="N17" s="6">
        <f>$J$3+[18]FormattedData!G14*$J$4+$M$4*$J$5+[18]FormattedData!G14^2*$J$6+$M$5*$J$7</f>
        <v>30.339076898168891</v>
      </c>
      <c r="O17" s="6">
        <f>$J$3+[18]FormattedData!H14*$J$4+$M$4*$J$5+[18]FormattedData!H14^2*$J$6+$M$5*$J$7</f>
        <v>35.619666622686772</v>
      </c>
      <c r="P17" s="6">
        <f>$J$3+[18]FormattedData!I14*$J$4+$M$4*$J$5+[18]FormattedData!I14^2*$J$6+$M$5*$J$7</f>
        <v>30.144646146978893</v>
      </c>
      <c r="Q17" s="6">
        <f>$J$3+[18]FormattedData!J14*$J$4+$M$4*$J$5+[18]FormattedData!J14^2*$J$6+$M$5*$J$7</f>
        <v>39.752077526687053</v>
      </c>
      <c r="R17" s="6">
        <f>$J$3+[18]FormattedData!K14*$J$4+$M$4*$J$5+[18]FormattedData!K14^2*$J$6+$M$5*$J$7</f>
        <v>30.047367368576996</v>
      </c>
      <c r="S17" s="6">
        <f>$J$3+[18]FormattedData!L14*$J$4+$M$4*$J$5+[18]FormattedData!L14^2*$J$6+$M$5*$J$7</f>
        <v>35.998721824266738</v>
      </c>
      <c r="T17" s="6">
        <f>$J$3+[18]FormattedData!M14*$J$4+$M$4*$J$5+[18]FormattedData!M14^2*$J$6+$M$5*$J$7</f>
        <v>30.144646146978893</v>
      </c>
      <c r="U17" s="6">
        <f>$J$3+[18]FormattedData!N14*$J$4+$M$4*$J$5+[18]FormattedData!N14^2*$J$6+$M$5*$J$7</f>
        <v>37.696101060866248</v>
      </c>
      <c r="V17" s="6">
        <f>$J$3+[18]FormattedData!O14*$J$4+$M$4*$J$5+[18]FormattedData!O14^2*$J$6+$M$5*$J$7</f>
        <v>31.018253068389054</v>
      </c>
      <c r="W17" s="5">
        <f t="shared" si="0"/>
        <v>34.184128344651917</v>
      </c>
      <c r="X17" s="4">
        <f t="shared" si="1"/>
        <v>1.1169213552288506</v>
      </c>
      <c r="Y17" s="3">
        <f t="shared" si="2"/>
        <v>30.047367368576996</v>
      </c>
      <c r="Z17" s="2">
        <f t="shared" si="3"/>
        <v>30.290469210371391</v>
      </c>
      <c r="AA17" s="3">
        <f t="shared" si="4"/>
        <v>34.091272477442722</v>
      </c>
      <c r="AB17" s="2">
        <f t="shared" si="5"/>
        <v>37.41409216072956</v>
      </c>
      <c r="AC17" s="2">
        <f t="shared" si="6"/>
        <v>39.752077526687053</v>
      </c>
      <c r="AD17" s="2">
        <f t="shared" si="7"/>
        <v>0.21872987141427472</v>
      </c>
      <c r="AE17" s="2">
        <f t="shared" si="8"/>
        <v>-1.7725423655672827</v>
      </c>
    </row>
    <row r="18" spans="2:31" x14ac:dyDescent="0.2">
      <c r="B18" s="1">
        <f>[18]FormattedData!A30</f>
        <v>201</v>
      </c>
      <c r="C18" s="1" t="str">
        <f>VLOOKUP($B18,[18]TrtCodes!$B$11:I73,2)</f>
        <v>NDL</v>
      </c>
      <c r="D18" s="1">
        <f>VLOOKUP($B18,[18]TrtCodes!$B$11:J73,3)</f>
        <v>12</v>
      </c>
      <c r="E18" s="1">
        <f>VLOOKUP($B18,[18]TrtCodes!$B$11:K73,4)</f>
        <v>2</v>
      </c>
      <c r="F18" s="1">
        <f>VLOOKUP($B18,[18]TrtCodes!$B$11:L73,5)</f>
        <v>3</v>
      </c>
      <c r="G18" s="1">
        <f>VLOOKUP($B18,[18]TrtCodes!$B$11:M73,6)</f>
        <v>1</v>
      </c>
      <c r="H18" s="1">
        <f>VLOOKUP($B18,[18]TrtCodes!$B$11:N73,7)</f>
        <v>1</v>
      </c>
      <c r="I18" s="1">
        <f>[18]FormattedData!B30</f>
        <v>1</v>
      </c>
      <c r="J18" s="4">
        <f>[18]FormattedData!C30</f>
        <v>12.958</v>
      </c>
      <c r="K18" s="6">
        <f>$J$3+[18]FormattedData!D30*$J$4+$M$4*$J$5+[18]FormattedData!D30^2*$J$6+$M$5*$J$7</f>
        <v>30.824414076730093</v>
      </c>
      <c r="L18" s="6">
        <f>$J$3+[18]FormattedData!E30*$J$4+$M$4*$J$5+[18]FormattedData!E30^2*$J$6+$M$5*$J$7</f>
        <v>31.984911914408002</v>
      </c>
      <c r="M18" s="6">
        <f>$J$3+[18]FormattedData!F30*$J$4+$M$4*$J$5+[18]FormattedData!F30^2*$J$6+$M$5*$J$7</f>
        <v>31.598755598455597</v>
      </c>
      <c r="N18" s="6">
        <f>$J$3+[18]FormattedData!G30*$J$4+$M$4*$J$5+[18]FormattedData!G30^2*$J$6+$M$5*$J$7</f>
        <v>32.274085331724017</v>
      </c>
      <c r="O18" s="6">
        <f>$J$3+[18]FormattedData!H30*$J$4+$M$4*$J$5+[18]FormattedData!H30^2*$J$6+$M$5*$J$7</f>
        <v>33.809918739643955</v>
      </c>
      <c r="P18" s="6">
        <f>$J$3+[18]FormattedData!I30*$J$4+$M$4*$J$5+[18]FormattedData!I30^2*$J$6+$M$5*$J$7</f>
        <v>32.851290915831932</v>
      </c>
      <c r="Q18" s="6">
        <f>$J$3+[18]FormattedData!J30*$J$4+$M$4*$J$5+[18]FormattedData!J30^2*$J$6+$M$5*$J$7</f>
        <v>35.429885410669208</v>
      </c>
      <c r="R18" s="6">
        <f>$J$3+[18]FormattedData!K30*$J$4+$M$4*$J$5+[18]FormattedData!K30^2*$J$6+$M$5*$J$7</f>
        <v>32.274085331724017</v>
      </c>
      <c r="S18" s="6">
        <f>$J$3+[18]FormattedData!L30*$J$4+$M$4*$J$5+[18]FormattedData!L30^2*$J$6+$M$5*$J$7</f>
        <v>35.239935124499901</v>
      </c>
      <c r="T18" s="6">
        <f>$J$3+[18]FormattedData!M30*$J$4+$M$4*$J$5+[18]FormattedData!M30^2*$J$6+$M$5*$J$7</f>
        <v>31.018253068389054</v>
      </c>
      <c r="U18" s="6">
        <f>$J$3+[18]FormattedData!N30*$J$4+$M$4*$J$5+[18]FormattedData!N30^2*$J$6+$M$5*$J$7</f>
        <v>35.904021426678653</v>
      </c>
      <c r="V18" s="6">
        <f>$J$3+[18]FormattedData!O30*$J$4+$M$4*$J$5+[18]FormattedData!O30^2*$J$6+$M$5*$J$7</f>
        <v>33.905549045066543</v>
      </c>
      <c r="W18" s="5">
        <f t="shared" si="0"/>
        <v>33.092925498651745</v>
      </c>
      <c r="X18" s="4">
        <f t="shared" si="1"/>
        <v>0.50345594947092065</v>
      </c>
      <c r="Y18" s="3">
        <f t="shared" si="2"/>
        <v>30.824414076730093</v>
      </c>
      <c r="Z18" s="2">
        <f t="shared" si="3"/>
        <v>31.888372835419901</v>
      </c>
      <c r="AA18" s="3">
        <f t="shared" si="4"/>
        <v>32.562688123777974</v>
      </c>
      <c r="AB18" s="2">
        <f t="shared" si="5"/>
        <v>34.239145564924883</v>
      </c>
      <c r="AC18" s="2">
        <f t="shared" si="6"/>
        <v>35.904021426678653</v>
      </c>
      <c r="AD18" s="2">
        <f t="shared" si="7"/>
        <v>0.39828390734739055</v>
      </c>
      <c r="AE18" s="2">
        <f t="shared" si="8"/>
        <v>-1.1952731712509053</v>
      </c>
    </row>
    <row r="19" spans="2:31" x14ac:dyDescent="0.2">
      <c r="B19" s="1">
        <f>[18]FormattedData!A32</f>
        <v>202</v>
      </c>
      <c r="C19" s="1" t="str">
        <f>VLOOKUP($B19,[18]TrtCodes!$B$11:I75,2)</f>
        <v>NTH</v>
      </c>
      <c r="D19" s="1">
        <f>VLOOKUP($B19,[18]TrtCodes!$B$11:J75,3)</f>
        <v>9</v>
      </c>
      <c r="E19" s="1">
        <f>VLOOKUP($B19,[18]TrtCodes!$B$11:K75,4)</f>
        <v>2</v>
      </c>
      <c r="F19" s="1">
        <f>VLOOKUP($B19,[18]TrtCodes!$B$11:L75,5)</f>
        <v>2</v>
      </c>
      <c r="G19" s="1">
        <f>VLOOKUP($B19,[18]TrtCodes!$B$11:M75,6)</f>
        <v>2</v>
      </c>
      <c r="H19" s="1">
        <f>VLOOKUP($B19,[18]TrtCodes!$B$11:N75,7)</f>
        <v>1</v>
      </c>
      <c r="I19" s="1">
        <f>[18]FormattedData!B32</f>
        <v>1</v>
      </c>
      <c r="J19" s="4">
        <f>[18]FormattedData!C32</f>
        <v>12.971</v>
      </c>
      <c r="K19" s="6">
        <f>$J$3+[18]FormattedData!D32*$J$4+$M$4*$J$5+[18]FormattedData!D32^2*$J$6+$M$5*$J$7</f>
        <v>31.018253068389054</v>
      </c>
      <c r="L19" s="6">
        <f>$J$3+[18]FormattedData!E32*$J$4+$M$4*$J$5+[18]FormattedData!E32^2*$J$6+$M$5*$J$7</f>
        <v>33.235249267811916</v>
      </c>
      <c r="M19" s="6">
        <f>$J$3+[18]FormattedData!F32*$J$4+$M$4*$J$5+[18]FormattedData!F32^2*$J$6+$M$5*$J$7</f>
        <v>37.225980555960263</v>
      </c>
      <c r="N19" s="6">
        <f>$J$3+[18]FormattedData!G32*$J$4+$M$4*$J$5+[18]FormattedData!G32^2*$J$6+$M$5*$J$7</f>
        <v>30.339076898168891</v>
      </c>
      <c r="O19" s="6">
        <f>$J$3+[18]FormattedData!H32*$J$4+$M$4*$J$5+[18]FormattedData!H32^2*$J$6+$M$5*$J$7</f>
        <v>39.566015946007425</v>
      </c>
      <c r="P19" s="6">
        <f>$J$3+[18]FormattedData!I32*$J$4+$M$4*$J$5+[18]FormattedData!I32^2*$J$6+$M$5*$J$7</f>
        <v>29.950046321637174</v>
      </c>
      <c r="Q19" s="6">
        <f>$J$3+[18]FormattedData!J32*$J$4+$M$4*$J$5+[18]FormattedData!J32^2*$J$6+$M$5*$J$7</f>
        <v>44.075852451230709</v>
      </c>
      <c r="R19" s="6">
        <f>$J$3+[18]FormattedData!K32*$J$4+$M$4*$J$5+[18]FormattedData!K32^2*$J$6+$M$5*$J$7</f>
        <v>30.824414076730093</v>
      </c>
      <c r="S19" s="6">
        <f>$J$3+[18]FormattedData!L32*$J$4+$M$4*$J$5+[18]FormattedData!L32^2*$J$6+$M$5*$J$7</f>
        <v>44.62110302066268</v>
      </c>
      <c r="T19" s="6">
        <f>$J$3+[18]FormattedData!M32*$J$4+$M$4*$J$5+[18]FormattedData!M32^2*$J$6+$M$5*$J$7</f>
        <v>31.791918293507656</v>
      </c>
      <c r="U19" s="6">
        <f>$J$3+[18]FormattedData!N32*$J$4+$M$4*$J$5+[18]FormattedData!N32^2*$J$6+$M$5*$J$7</f>
        <v>37.78999835623366</v>
      </c>
      <c r="V19" s="6">
        <f>$J$3+[18]FormattedData!O32*$J$4+$M$4*$J$5+[18]FormattedData!O32^2*$J$6+$M$5*$J$7</f>
        <v>30.339076898168891</v>
      </c>
      <c r="W19" s="5">
        <f t="shared" si="0"/>
        <v>35.064748762875702</v>
      </c>
      <c r="X19" s="4">
        <f t="shared" si="1"/>
        <v>1.566989959536278</v>
      </c>
      <c r="Y19" s="3">
        <f t="shared" si="2"/>
        <v>29.950046321637174</v>
      </c>
      <c r="Z19" s="2">
        <f t="shared" si="3"/>
        <v>30.703079782089794</v>
      </c>
      <c r="AA19" s="3">
        <f t="shared" si="4"/>
        <v>32.513583780659786</v>
      </c>
      <c r="AB19" s="2">
        <f t="shared" si="5"/>
        <v>38.234002753677103</v>
      </c>
      <c r="AC19" s="2">
        <f t="shared" si="6"/>
        <v>44.62110302066268</v>
      </c>
      <c r="AD19" s="2">
        <f t="shared" si="7"/>
        <v>0.81669880682528873</v>
      </c>
      <c r="AE19" s="2">
        <f t="shared" si="8"/>
        <v>-0.79908802836137527</v>
      </c>
    </row>
    <row r="20" spans="2:31" x14ac:dyDescent="0.2">
      <c r="B20" s="1">
        <f>[18]FormattedData!A34</f>
        <v>203</v>
      </c>
      <c r="C20" s="1" t="str">
        <f>VLOOKUP($B20,[18]TrtCodes!$B$11:I77,2)</f>
        <v>FTH</v>
      </c>
      <c r="D20" s="1">
        <f>VLOOKUP($B20,[18]TrtCodes!$B$11:J77,3)</f>
        <v>3</v>
      </c>
      <c r="E20" s="1">
        <f>VLOOKUP($B20,[18]TrtCodes!$B$11:K77,4)</f>
        <v>1</v>
      </c>
      <c r="F20" s="1">
        <f>VLOOKUP($B20,[18]TrtCodes!$B$11:L77,5)</f>
        <v>2</v>
      </c>
      <c r="G20" s="1">
        <f>VLOOKUP($B20,[18]TrtCodes!$B$11:M77,6)</f>
        <v>2</v>
      </c>
      <c r="H20" s="1">
        <f>VLOOKUP($B20,[18]TrtCodes!$B$11:N77,7)</f>
        <v>1</v>
      </c>
      <c r="I20" s="1">
        <f>[18]FormattedData!B34</f>
        <v>1</v>
      </c>
      <c r="J20" s="4">
        <f>[18]FormattedData!C34</f>
        <v>12.983000000000001</v>
      </c>
      <c r="K20" s="6">
        <f>$J$3+[18]FormattedData!D34*$J$4+$M$4*$J$5+[18]FormattedData!D34^2*$J$6+$M$5*$J$7</f>
        <v>32.755195656492106</v>
      </c>
      <c r="L20" s="6">
        <f>$J$3+[18]FormattedData!E34*$J$4+$M$4*$J$5+[18]FormattedData!E34^2*$J$6+$M$5*$J$7</f>
        <v>34.096682850297903</v>
      </c>
      <c r="M20" s="6">
        <f>$J$3+[18]FormattedData!F34*$J$4+$M$4*$J$5+[18]FormattedData!F34^2*$J$6+$M$5*$J$7</f>
        <v>39.472921752860714</v>
      </c>
      <c r="N20" s="6">
        <f>$J$3+[18]FormattedData!G34*$J$4+$M$4*$J$5+[18]FormattedData!G34^2*$J$6+$M$5*$J$7</f>
        <v>30.144646146978893</v>
      </c>
      <c r="O20" s="6">
        <f>$J$3+[18]FormattedData!H34*$J$4+$M$4*$J$5+[18]FormattedData!H34^2*$J$6+$M$5*$J$7</f>
        <v>34.764319709662864</v>
      </c>
      <c r="P20" s="6">
        <f>$J$3+[18]FormattedData!I34*$J$4+$M$4*$J$5+[18]FormattedData!I34^2*$J$6+$M$5*$J$7</f>
        <v>30.241882656842861</v>
      </c>
      <c r="Q20" s="6">
        <f>$J$3+[18]FormattedData!J34*$J$4+$M$4*$J$5+[18]FormattedData!J34^2*$J$6+$M$5*$J$7</f>
        <v>44.257771715193087</v>
      </c>
      <c r="R20" s="6">
        <f>$J$3+[18]FormattedData!K34*$J$4+$M$4*$J$5+[18]FormattedData!K34^2*$J$6+$M$5*$J$7</f>
        <v>32.370391933753503</v>
      </c>
      <c r="S20" s="6">
        <f>$J$3+[18]FormattedData!L34*$J$4+$M$4*$J$5+[18]FormattedData!L34^2*$J$6+$M$5*$J$7</f>
        <v>42.797683527245752</v>
      </c>
      <c r="T20" s="6">
        <f>$J$3+[18]FormattedData!M34*$J$4+$M$4*$J$5+[18]FormattedData!M34^2*$J$6+$M$5*$J$7</f>
        <v>29.950046321637174</v>
      </c>
      <c r="U20" s="6">
        <f>$J$3+[18]FormattedData!N34*$J$4+$M$4*$J$5+[18]FormattedData!N34^2*$J$6+$M$5*$J$7</f>
        <v>36.377100729239821</v>
      </c>
      <c r="V20" s="6">
        <f>$J$3+[18]FormattedData!O34*$J$4+$M$4*$J$5+[18]FormattedData!O34^2*$J$6+$M$5*$J$7</f>
        <v>30.339076898168891</v>
      </c>
      <c r="W20" s="5">
        <f t="shared" si="0"/>
        <v>34.797309991531129</v>
      </c>
      <c r="X20" s="4">
        <f t="shared" si="1"/>
        <v>1.4412392927721052</v>
      </c>
      <c r="Y20" s="3">
        <f t="shared" si="2"/>
        <v>29.950046321637174</v>
      </c>
      <c r="Z20" s="2">
        <f t="shared" si="3"/>
        <v>30.314778337837382</v>
      </c>
      <c r="AA20" s="3">
        <f t="shared" si="4"/>
        <v>33.425939253395001</v>
      </c>
      <c r="AB20" s="2">
        <f t="shared" si="5"/>
        <v>37.151055985145042</v>
      </c>
      <c r="AC20" s="2">
        <f t="shared" si="6"/>
        <v>44.257771715193087</v>
      </c>
      <c r="AD20" s="2">
        <f t="shared" si="7"/>
        <v>0.91521663814273124</v>
      </c>
      <c r="AE20" s="2">
        <f t="shared" si="8"/>
        <v>-0.358412585425262</v>
      </c>
    </row>
    <row r="21" spans="2:31" x14ac:dyDescent="0.2">
      <c r="B21" s="1">
        <f>[18]FormattedData!A36</f>
        <v>204</v>
      </c>
      <c r="C21" s="1" t="str">
        <f>VLOOKUP($B21,[18]TrtCodes!$B$11:I79,2)</f>
        <v>NDH</v>
      </c>
      <c r="D21" s="1">
        <f>VLOOKUP($B21,[18]TrtCodes!$B$11:J79,3)</f>
        <v>11</v>
      </c>
      <c r="E21" s="1">
        <f>VLOOKUP($B21,[18]TrtCodes!$B$11:K79,4)</f>
        <v>2</v>
      </c>
      <c r="F21" s="1">
        <f>VLOOKUP($B21,[18]TrtCodes!$B$11:L79,5)</f>
        <v>3</v>
      </c>
      <c r="G21" s="1">
        <f>VLOOKUP($B21,[18]TrtCodes!$B$11:M79,6)</f>
        <v>2</v>
      </c>
      <c r="H21" s="1">
        <f>VLOOKUP($B21,[18]TrtCodes!$B$11:N79,7)</f>
        <v>1</v>
      </c>
      <c r="I21" s="1">
        <f>[18]FormattedData!B36</f>
        <v>1</v>
      </c>
      <c r="J21" s="4">
        <f>[18]FormattedData!C36</f>
        <v>12.997</v>
      </c>
      <c r="K21" s="6">
        <f>$J$3+[18]FormattedData!D36*$J$4+$M$4*$J$5+[18]FormattedData!D36^2*$J$6+$M$5*$J$7</f>
        <v>27.896540303638712</v>
      </c>
      <c r="L21" s="6">
        <f>$J$3+[18]FormattedData!E36*$J$4+$M$4*$J$5+[18]FormattedData!E36^2*$J$6+$M$5*$J$7</f>
        <v>28.97451108265269</v>
      </c>
      <c r="M21" s="6">
        <f>$J$3+[18]FormattedData!F36*$J$4+$M$4*$J$5+[18]FormattedData!F36^2*$J$6+$M$5*$J$7</f>
        <v>28.97451108265269</v>
      </c>
      <c r="N21" s="6">
        <f>$J$3+[18]FormattedData!G36*$J$4+$M$4*$J$5+[18]FormattedData!G36^2*$J$6+$M$5*$J$7</f>
        <v>28.583113467996824</v>
      </c>
      <c r="O21" s="6">
        <f>$J$3+[18]FormattedData!H36*$J$4+$M$4*$J$5+[18]FormattedData!H36^2*$J$6+$M$5*$J$7</f>
        <v>30.727431178093717</v>
      </c>
      <c r="P21" s="6">
        <f>$J$3+[18]FormattedData!I36*$J$4+$M$4*$J$5+[18]FormattedData!I36^2*$J$6+$M$5*$J$7</f>
        <v>28.583113467996824</v>
      </c>
      <c r="Q21" s="6">
        <f>$J$3+[18]FormattedData!J36*$J$4+$M$4*$J$5+[18]FormattedData!J36^2*$J$6+$M$5*$J$7</f>
        <v>30.047367368576996</v>
      </c>
      <c r="R21" s="6">
        <f>$J$3+[18]FormattedData!K36*$J$4+$M$4*$J$5+[18]FormattedData!K36^2*$J$6+$M$5*$J$7</f>
        <v>29.462807058869068</v>
      </c>
      <c r="S21" s="6">
        <f>$J$3+[18]FormattedData!L36*$J$4+$M$4*$J$5+[18]FormattedData!L36^2*$J$6+$M$5*$J$7</f>
        <v>29.169956278753034</v>
      </c>
      <c r="T21" s="6">
        <f>$J$3+[18]FormattedData!M36*$J$4+$M$4*$J$5+[18]FormattedData!M36^2*$J$6+$M$5*$J$7</f>
        <v>30.727431178093717</v>
      </c>
      <c r="U21" s="6">
        <f>$J$3+[18]FormattedData!N36*$J$4+$M$4*$J$5+[18]FormattedData!N36^2*$J$6+$M$5*$J$7</f>
        <v>29.169956278753034</v>
      </c>
      <c r="V21" s="6">
        <f>$J$3+[18]FormattedData!O36*$J$4+$M$4*$J$5+[18]FormattedData!O36^2*$J$6+$M$5*$J$7</f>
        <v>28.97451108265269</v>
      </c>
      <c r="W21" s="5">
        <f t="shared" si="0"/>
        <v>29.274270819060831</v>
      </c>
      <c r="X21" s="4">
        <f t="shared" si="1"/>
        <v>0.24620518870942598</v>
      </c>
      <c r="Y21" s="3">
        <f t="shared" si="2"/>
        <v>27.896540303638712</v>
      </c>
      <c r="Z21" s="2">
        <f t="shared" si="3"/>
        <v>28.876661678988725</v>
      </c>
      <c r="AA21" s="3">
        <f t="shared" si="4"/>
        <v>29.072233680702862</v>
      </c>
      <c r="AB21" s="2">
        <f t="shared" si="5"/>
        <v>29.608947136296049</v>
      </c>
      <c r="AC21" s="2">
        <f t="shared" si="6"/>
        <v>30.727431178093717</v>
      </c>
      <c r="AD21" s="2">
        <f t="shared" si="7"/>
        <v>0.57103905422209922</v>
      </c>
      <c r="AE21" s="2">
        <f t="shared" si="8"/>
        <v>-5.4418674306386805E-2</v>
      </c>
    </row>
    <row r="22" spans="2:31" x14ac:dyDescent="0.2">
      <c r="B22" s="1">
        <f>[18]FormattedData!A38</f>
        <v>205</v>
      </c>
      <c r="C22" s="1" t="str">
        <f>VLOOKUP($B22,[18]TrtCodes!$B$11:I81,2)</f>
        <v>FSH</v>
      </c>
      <c r="D22" s="1">
        <f>VLOOKUP($B22,[18]TrtCodes!$B$11:J81,3)</f>
        <v>1</v>
      </c>
      <c r="E22" s="1">
        <f>VLOOKUP($B22,[18]TrtCodes!$B$11:K81,4)</f>
        <v>1</v>
      </c>
      <c r="F22" s="1">
        <f>VLOOKUP($B22,[18]TrtCodes!$B$11:L81,5)</f>
        <v>1</v>
      </c>
      <c r="G22" s="1">
        <f>VLOOKUP($B22,[18]TrtCodes!$B$11:M81,6)</f>
        <v>2</v>
      </c>
      <c r="H22" s="1">
        <f>VLOOKUP($B22,[18]TrtCodes!$B$11:N81,7)</f>
        <v>2</v>
      </c>
      <c r="I22" s="1">
        <f>[18]FormattedData!B38</f>
        <v>1</v>
      </c>
      <c r="J22" s="4">
        <f>[18]FormattedData!C38</f>
        <v>13.010999999999999</v>
      </c>
      <c r="K22" s="6">
        <f>$J$3+[18]FormattedData!D38*$J$4+$M$4*$J$5+[18]FormattedData!D38^2*$J$6+$M$5*$J$7</f>
        <v>34.85952732970614</v>
      </c>
      <c r="L22" s="6">
        <f>$J$3+[18]FormattedData!E38*$J$4+$M$4*$J$5+[18]FormattedData!E38^2*$J$6+$M$5*$J$7</f>
        <v>35.049815764178881</v>
      </c>
      <c r="M22" s="6">
        <f>$J$3+[18]FormattedData!F38*$J$4+$M$4*$J$5+[18]FormattedData!F38^2*$J$6+$M$5*$J$7</f>
        <v>38.258850805001714</v>
      </c>
      <c r="N22" s="6">
        <f>$J$3+[18]FormattedData!G38*$J$4+$M$4*$J$5+[18]FormattedData!G38^2*$J$6+$M$5*$J$7</f>
        <v>30.630406010919405</v>
      </c>
      <c r="O22" s="6">
        <f>$J$3+[18]FormattedData!H38*$J$4+$M$4*$J$5+[18]FormattedData!H38^2*$J$6+$M$5*$J$7</f>
        <v>36.660441088321349</v>
      </c>
      <c r="P22" s="6">
        <f>$J$3+[18]FormattedData!I38*$J$4+$M$4*$J$5+[18]FormattedData!I38^2*$J$6+$M$5*$J$7</f>
        <v>31.502110848122665</v>
      </c>
      <c r="Q22" s="6">
        <f>$J$3+[18]FormattedData!J38*$J$4+$M$4*$J$5+[18]FormattedData!J38^2*$J$6+$M$5*$J$7</f>
        <v>31.984911914408002</v>
      </c>
      <c r="R22" s="6">
        <f>$J$3+[18]FormattedData!K38*$J$4+$M$4*$J$5+[18]FormattedData!K38^2*$J$6+$M$5*$J$7</f>
        <v>34.85952732970614</v>
      </c>
      <c r="S22" s="6">
        <f>$J$3+[18]FormattedData!L38*$J$4+$M$4*$J$5+[18]FormattedData!L38^2*$J$6+$M$5*$J$7</f>
        <v>41.049774515196198</v>
      </c>
      <c r="T22" s="6">
        <f>$J$3+[18]FormattedData!M38*$J$4+$M$4*$J$5+[18]FormattedData!M38^2*$J$6+$M$5*$J$7</f>
        <v>30.241882656842861</v>
      </c>
      <c r="U22" s="6">
        <f>$J$3+[18]FormattedData!N38*$J$4+$M$4*$J$5+[18]FormattedData!N38^2*$J$6+$M$5*$J$7</f>
        <v>32.466656267245057</v>
      </c>
      <c r="V22" s="6">
        <f>$J$3+[18]FormattedData!O38*$J$4+$M$4*$J$5+[18]FormattedData!O38^2*$J$6+$M$5*$J$7</f>
        <v>29.657829569590099</v>
      </c>
      <c r="W22" s="5">
        <f t="shared" si="0"/>
        <v>33.935144508269872</v>
      </c>
      <c r="X22" s="4">
        <f t="shared" si="1"/>
        <v>1.00915325042119</v>
      </c>
      <c r="Y22" s="3">
        <f t="shared" si="2"/>
        <v>29.657829569590099</v>
      </c>
      <c r="Z22" s="2">
        <f t="shared" si="3"/>
        <v>31.284184638821849</v>
      </c>
      <c r="AA22" s="3">
        <f t="shared" si="4"/>
        <v>33.663091798475598</v>
      </c>
      <c r="AB22" s="2">
        <f t="shared" si="5"/>
        <v>35.452472095214496</v>
      </c>
      <c r="AC22" s="2">
        <f t="shared" si="6"/>
        <v>41.049774515196198</v>
      </c>
      <c r="AD22" s="2">
        <f t="shared" si="7"/>
        <v>0.70082945719774681</v>
      </c>
      <c r="AE22" s="2">
        <f t="shared" si="8"/>
        <v>-0.16736400594595624</v>
      </c>
    </row>
    <row r="23" spans="2:31" x14ac:dyDescent="0.2">
      <c r="B23" s="1">
        <f>[18]FormattedData!A40</f>
        <v>206</v>
      </c>
      <c r="C23" s="1" t="str">
        <f>VLOOKUP($B23,[18]TrtCodes!$B$11:I83,2)</f>
        <v>NSL</v>
      </c>
      <c r="D23" s="1">
        <f>VLOOKUP($B23,[18]TrtCodes!$B$11:J83,3)</f>
        <v>8</v>
      </c>
      <c r="E23" s="1">
        <f>VLOOKUP($B23,[18]TrtCodes!$B$11:K83,4)</f>
        <v>2</v>
      </c>
      <c r="F23" s="1">
        <f>VLOOKUP($B23,[18]TrtCodes!$B$11:L83,5)</f>
        <v>1</v>
      </c>
      <c r="G23" s="1">
        <f>VLOOKUP($B23,[18]TrtCodes!$B$11:M83,6)</f>
        <v>1</v>
      </c>
      <c r="H23" s="1">
        <f>VLOOKUP($B23,[18]TrtCodes!$B$11:N83,7)</f>
        <v>2</v>
      </c>
      <c r="I23" s="1">
        <f>[18]FormattedData!B40</f>
        <v>1</v>
      </c>
      <c r="J23" s="4">
        <f>[18]FormattedData!C40</f>
        <v>13.023999999999999</v>
      </c>
      <c r="K23" s="6">
        <f>$J$3+[18]FormattedData!D40*$J$4+$M$4*$J$5+[18]FormattedData!D40^2*$J$6+$M$5*$J$7</f>
        <v>34.954692681211483</v>
      </c>
      <c r="L23" s="6">
        <f>$J$3+[18]FormattedData!E40*$J$4+$M$4*$J$5+[18]FormattedData!E40^2*$J$6+$M$5*$J$7</f>
        <v>40.957356618656384</v>
      </c>
      <c r="M23" s="6">
        <f>$J$3+[18]FormattedData!F40*$J$4+$M$4*$J$5+[18]FormattedData!F40^2*$J$6+$M$5*$J$7</f>
        <v>46.607336398897097</v>
      </c>
      <c r="N23" s="6">
        <f>$J$3+[18]FormattedData!G40*$J$4+$M$4*$J$5+[18]FormattedData!G40^2*$J$6+$M$5*$J$7</f>
        <v>46.697133646085184</v>
      </c>
      <c r="O23" s="6">
        <f>$J$3+[18]FormattedData!H40*$J$4+$M$4*$J$5+[18]FormattedData!H40^2*$J$6+$M$5*$J$7</f>
        <v>50.254363332505001</v>
      </c>
      <c r="P23" s="6">
        <f>$J$3+[18]FormattedData!I40*$J$4+$M$4*$J$5+[18]FormattedData!I40^2*$J$6+$M$5*$J$7</f>
        <v>35.239935124499901</v>
      </c>
      <c r="Q23" s="6">
        <f>$J$3+[18]FormattedData!J40*$J$4+$M$4*$J$5+[18]FormattedData!J40^2*$J$6+$M$5*$J$7</f>
        <v>50.430449538232892</v>
      </c>
      <c r="R23" s="6">
        <f>$J$3+[18]FormattedData!K40*$J$4+$M$4*$J$5+[18]FormattedData!K40^2*$J$6+$M$5*$J$7</f>
        <v>34.287647581377549</v>
      </c>
      <c r="S23" s="6">
        <f>$J$3+[18]FormattedData!L40*$J$4+$M$4*$J$5+[18]FormattedData!L40^2*$J$6+$M$5*$J$7</f>
        <v>49.017025816161535</v>
      </c>
      <c r="T23" s="6">
        <f>$J$3+[18]FormattedData!M40*$J$4+$M$4*$J$5+[18]FormattedData!M40^2*$J$6+$M$5*$J$7</f>
        <v>33.522774212148626</v>
      </c>
      <c r="U23" s="6">
        <f>$J$3+[18]FormattedData!N40*$J$4+$M$4*$J$5+[18]FormattedData!N40^2*$J$6+$M$5*$J$7</f>
        <v>51.045419799335647</v>
      </c>
      <c r="V23" s="6">
        <f>$J$3+[18]FormattedData!O40*$J$4+$M$4*$J$5+[18]FormattedData!O40^2*$J$6+$M$5*$J$7</f>
        <v>35.239935124499901</v>
      </c>
      <c r="W23" s="5">
        <f t="shared" si="0"/>
        <v>42.354505822800938</v>
      </c>
      <c r="X23" s="4">
        <f t="shared" si="1"/>
        <v>2.1061093245883895</v>
      </c>
      <c r="Y23" s="3">
        <f t="shared" si="2"/>
        <v>33.522774212148626</v>
      </c>
      <c r="Z23" s="2">
        <f t="shared" si="3"/>
        <v>35.168624513677798</v>
      </c>
      <c r="AA23" s="3">
        <f t="shared" si="4"/>
        <v>43.78234650877674</v>
      </c>
      <c r="AB23" s="2">
        <f t="shared" si="5"/>
        <v>49.326360195247403</v>
      </c>
      <c r="AC23" s="2">
        <f t="shared" si="6"/>
        <v>51.045419799335647</v>
      </c>
      <c r="AD23" s="2">
        <f t="shared" si="7"/>
        <v>-5.9340699318339012E-2</v>
      </c>
      <c r="AE23" s="2">
        <f t="shared" si="8"/>
        <v>-2.0894464510669613</v>
      </c>
    </row>
    <row r="24" spans="2:31" x14ac:dyDescent="0.2">
      <c r="B24" s="1">
        <f>[18]FormattedData!A42</f>
        <v>207</v>
      </c>
      <c r="C24" s="1" t="str">
        <f>VLOOKUP($B24,[18]TrtCodes!$B$11:I85,2)</f>
        <v>FTL</v>
      </c>
      <c r="D24" s="1">
        <f>VLOOKUP($B24,[18]TrtCodes!$B$11:J85,3)</f>
        <v>4</v>
      </c>
      <c r="E24" s="1">
        <f>VLOOKUP($B24,[18]TrtCodes!$B$11:K85,4)</f>
        <v>1</v>
      </c>
      <c r="F24" s="1">
        <f>VLOOKUP($B24,[18]TrtCodes!$B$11:L85,5)</f>
        <v>2</v>
      </c>
      <c r="G24" s="1">
        <f>VLOOKUP($B24,[18]TrtCodes!$B$11:M85,6)</f>
        <v>1</v>
      </c>
      <c r="H24" s="1">
        <f>VLOOKUP($B24,[18]TrtCodes!$B$11:N85,7)</f>
        <v>2</v>
      </c>
      <c r="I24" s="1">
        <f>[18]FormattedData!B42</f>
        <v>1</v>
      </c>
      <c r="J24" s="4">
        <f>[18]FormattedData!C42</f>
        <v>13.037000000000001</v>
      </c>
      <c r="K24" s="6">
        <f>$J$3+[18]FormattedData!D42*$J$4+$M$4*$J$5+[18]FormattedData!D42^2*$J$6+$M$5*$J$7</f>
        <v>34.001137081951192</v>
      </c>
      <c r="L24" s="6">
        <f>$J$3+[18]FormattedData!E42*$J$4+$M$4*$J$5+[18]FormattedData!E42^2*$J$6+$M$5*$J$7</f>
        <v>31.211922985896294</v>
      </c>
      <c r="M24" s="6">
        <f>$J$3+[18]FormattedData!F42*$J$4+$M$4*$J$5+[18]FormattedData!F42^2*$J$6+$M$5*$J$7</f>
        <v>39.006816759058182</v>
      </c>
      <c r="N24" s="6">
        <f>$J$3+[18]FormattedData!G42*$J$4+$M$4*$J$5+[18]FormattedData!G42^2*$J$6+$M$5*$J$7</f>
        <v>29.169956278753034</v>
      </c>
      <c r="O24" s="6">
        <f>$J$3+[18]FormattedData!H42*$J$4+$M$4*$J$5+[18]FormattedData!H42^2*$J$6+$M$5*$J$7</f>
        <v>32.755195656492106</v>
      </c>
      <c r="P24" s="6">
        <f>$J$3+[18]FormattedData!I42*$J$4+$M$4*$J$5+[18]FormattedData!I42^2*$J$6+$M$5*$J$7</f>
        <v>28.778896812400617</v>
      </c>
      <c r="Q24" s="6">
        <f>$J$3+[18]FormattedData!J42*$J$4+$M$4*$J$5+[18]FormattedData!J42^2*$J$6+$M$5*$J$7</f>
        <v>34.478443238305481</v>
      </c>
      <c r="R24" s="6">
        <f>$J$3+[18]FormattedData!K42*$J$4+$M$4*$J$5+[18]FormattedData!K42^2*$J$6+$M$5*$J$7</f>
        <v>28.289121437356648</v>
      </c>
      <c r="S24" s="6">
        <f>$J$3+[18]FormattedData!L42*$J$4+$M$4*$J$5+[18]FormattedData!L42^2*$J$6+$M$5*$J$7</f>
        <v>33.618531323184996</v>
      </c>
      <c r="T24" s="6">
        <f>$J$3+[18]FormattedData!M42*$J$4+$M$4*$J$5+[18]FormattedData!M42^2*$J$6+$M$5*$J$7</f>
        <v>29.072254814971828</v>
      </c>
      <c r="U24" s="6">
        <f>$J$3+[18]FormattedData!N42*$J$4+$M$4*$J$5+[18]FormattedData!N42^2*$J$6+$M$5*$J$7</f>
        <v>36.660441088321349</v>
      </c>
      <c r="V24" s="6">
        <f>$J$3+[18]FormattedData!O42*$J$4+$M$4*$J$5+[18]FormattedData!O42^2*$J$6+$M$5*$J$7</f>
        <v>28.681026274467687</v>
      </c>
      <c r="W24" s="5">
        <f t="shared" si="0"/>
        <v>32.143645312596618</v>
      </c>
      <c r="X24" s="4">
        <f t="shared" si="1"/>
        <v>1.0160395330091587</v>
      </c>
      <c r="Y24" s="3">
        <f t="shared" si="2"/>
        <v>28.289121437356648</v>
      </c>
      <c r="Z24" s="2">
        <f t="shared" si="3"/>
        <v>28.998915314329025</v>
      </c>
      <c r="AA24" s="3">
        <f t="shared" si="4"/>
        <v>31.9835593211942</v>
      </c>
      <c r="AB24" s="2">
        <f t="shared" si="5"/>
        <v>34.120463621039761</v>
      </c>
      <c r="AC24" s="2">
        <f t="shared" si="6"/>
        <v>39.006816759058182</v>
      </c>
      <c r="AD24" s="2">
        <f t="shared" si="7"/>
        <v>0.61309426700553193</v>
      </c>
      <c r="AE24" s="2">
        <f t="shared" si="8"/>
        <v>-0.6017515169874077</v>
      </c>
    </row>
    <row r="25" spans="2:31" x14ac:dyDescent="0.2">
      <c r="B25" s="1">
        <f>[18]FormattedData!A44</f>
        <v>208</v>
      </c>
      <c r="C25" s="1" t="str">
        <f>VLOOKUP($B25,[18]TrtCodes!$B$11:I87,2)</f>
        <v>FSL</v>
      </c>
      <c r="D25" s="1">
        <f>VLOOKUP($B25,[18]TrtCodes!$B$11:J87,3)</f>
        <v>2</v>
      </c>
      <c r="E25" s="1">
        <f>VLOOKUP($B25,[18]TrtCodes!$B$11:K87,4)</f>
        <v>1</v>
      </c>
      <c r="F25" s="1">
        <f>VLOOKUP($B25,[18]TrtCodes!$B$11:L87,5)</f>
        <v>1</v>
      </c>
      <c r="G25" s="1">
        <f>VLOOKUP($B25,[18]TrtCodes!$B$11:M87,6)</f>
        <v>1</v>
      </c>
      <c r="H25" s="1">
        <f>VLOOKUP($B25,[18]TrtCodes!$B$11:N87,7)</f>
        <v>2</v>
      </c>
      <c r="I25" s="1">
        <f>[18]FormattedData!B44</f>
        <v>1</v>
      </c>
      <c r="J25" s="4">
        <f>[18]FormattedData!C44</f>
        <v>13.051</v>
      </c>
      <c r="K25" s="6">
        <f>$J$3+[18]FormattedData!D44*$J$4+$M$4*$J$5+[18]FormattedData!D44^2*$J$6+$M$5*$J$7</f>
        <v>28.778896812400617</v>
      </c>
      <c r="L25" s="6">
        <f>$J$3+[18]FormattedData!E44*$J$4+$M$4*$J$5+[18]FormattedData!E44^2*$J$6+$M$5*$J$7</f>
        <v>41.23448350266203</v>
      </c>
      <c r="M25" s="6">
        <f>$J$3+[18]FormattedData!F44*$J$4+$M$4*$J$5+[18]FormattedData!F44^2*$J$6+$M$5*$J$7</f>
        <v>29.169956278753034</v>
      </c>
      <c r="N25" s="6">
        <f>$J$3+[18]FormattedData!G44*$J$4+$M$4*$J$5+[18]FormattedData!G44^2*$J$6+$M$5*$J$7</f>
        <v>40.123693465591153</v>
      </c>
      <c r="O25" s="6">
        <f>$J$3+[18]FormattedData!H44*$J$4+$M$4*$J$5+[18]FormattedData!H44^2*$J$6+$M$5*$J$7</f>
        <v>29.267615473996312</v>
      </c>
      <c r="P25" s="6">
        <f>$J$3+[18]FormattedData!I44*$J$4+$M$4*$J$5+[18]FormattedData!I44^2*$J$6+$M$5*$J$7</f>
        <v>41.326774593588048</v>
      </c>
      <c r="Q25" s="6">
        <f>$J$3+[18]FormattedData!J44*$J$4+$M$4*$J$5+[18]FormattedData!J44^2*$J$6+$M$5*$J$7</f>
        <v>31.405423829251809</v>
      </c>
      <c r="R25" s="6">
        <f>$J$3+[18]FormattedData!K44*$J$4+$M$4*$J$5+[18]FormattedData!K44^2*$J$6+$M$5*$J$7</f>
        <v>46.42761509890714</v>
      </c>
      <c r="S25" s="6">
        <f>$J$3+[18]FormattedData!L44*$J$4+$M$4*$J$5+[18]FormattedData!L44^2*$J$6+$M$5*$J$7</f>
        <v>30.824414076730093</v>
      </c>
      <c r="T25" s="6">
        <f>$J$3+[18]FormattedData!M44*$J$4+$M$4*$J$5+[18]FormattedData!M44^2*$J$6+$M$5*$J$7</f>
        <v>43.346484653863939</v>
      </c>
      <c r="U25" s="6">
        <f>$J$3+[18]FormattedData!N44*$J$4+$M$4*$J$5+[18]FormattedData!N44^2*$J$6+$M$5*$J$7</f>
        <v>32.370391933753503</v>
      </c>
      <c r="V25" s="6">
        <f>$J$3+[18]FormattedData!O44*$J$4+$M$4*$J$5+[18]FormattedData!O44^2*$J$6+$M$5*$J$7</f>
        <v>42.247360733262056</v>
      </c>
      <c r="W25" s="5">
        <f t="shared" si="0"/>
        <v>36.376925871063314</v>
      </c>
      <c r="X25" s="4">
        <f t="shared" si="1"/>
        <v>1.902947334324115</v>
      </c>
      <c r="Y25" s="3">
        <f t="shared" si="2"/>
        <v>28.778896812400617</v>
      </c>
      <c r="Z25" s="2">
        <f t="shared" si="3"/>
        <v>30.435214426046649</v>
      </c>
      <c r="AA25" s="3">
        <f t="shared" si="4"/>
        <v>36.247042699672328</v>
      </c>
      <c r="AB25" s="2">
        <f t="shared" si="5"/>
        <v>41.556921128506552</v>
      </c>
      <c r="AC25" s="2">
        <f t="shared" si="6"/>
        <v>46.42761509890714</v>
      </c>
      <c r="AD25" s="2">
        <f t="shared" si="7"/>
        <v>0.11956863505985833</v>
      </c>
      <c r="AE25" s="2">
        <f t="shared" si="8"/>
        <v>-1.9045785233425883</v>
      </c>
    </row>
    <row r="26" spans="2:31" x14ac:dyDescent="0.2">
      <c r="B26" s="1">
        <f>[18]FormattedData!A62</f>
        <v>301</v>
      </c>
      <c r="C26" s="1" t="str">
        <f>VLOOKUP($B26,[18]TrtCodes!$B$11:I105,2)</f>
        <v>NTL</v>
      </c>
      <c r="D26" s="1">
        <f>VLOOKUP($B26,[18]TrtCodes!$B$11:J105,3)</f>
        <v>10</v>
      </c>
      <c r="E26" s="1">
        <f>VLOOKUP($B26,[18]TrtCodes!$B$11:K105,4)</f>
        <v>2</v>
      </c>
      <c r="F26" s="1">
        <f>VLOOKUP($B26,[18]TrtCodes!$B$11:L105,5)</f>
        <v>2</v>
      </c>
      <c r="G26" s="1">
        <f>VLOOKUP($B26,[18]TrtCodes!$B$11:M105,6)</f>
        <v>1</v>
      </c>
      <c r="H26" s="1">
        <f>VLOOKUP($B26,[18]TrtCodes!$B$11:N105,7)</f>
        <v>3</v>
      </c>
      <c r="I26" s="1">
        <f>[18]FormattedData!B62</f>
        <v>1</v>
      </c>
      <c r="J26" s="4">
        <f>[18]FormattedData!C62</f>
        <v>13.154</v>
      </c>
      <c r="K26" s="6">
        <f>$J$3+[18]FormattedData!D62*$J$4+$M$4*$J$5+[18]FormattedData!D62^2*$J$6+$M$5*$J$7</f>
        <v>37.131829649365272</v>
      </c>
      <c r="L26" s="6">
        <f>$J$3+[18]FormattedData!E62*$J$4+$M$4*$J$5+[18]FormattedData!E62^2*$J$6+$M$5*$J$7</f>
        <v>31.211922985896294</v>
      </c>
      <c r="M26" s="6">
        <f>$J$3+[18]FormattedData!F62*$J$4+$M$4*$J$5+[18]FormattedData!F62^2*$J$6+$M$5*$J$7</f>
        <v>31.115109161411635</v>
      </c>
      <c r="N26" s="6">
        <f>$J$3+[18]FormattedData!G62*$J$4+$M$4*$J$5+[18]FormattedData!G62^2*$J$6+$M$5*$J$7</f>
        <v>28.681026274467687</v>
      </c>
      <c r="O26" s="6">
        <f>$J$3+[18]FormattedData!H62*$J$4+$M$4*$J$5+[18]FormattedData!H62^2*$J$6+$M$5*$J$7</f>
        <v>30.339076898168891</v>
      </c>
      <c r="P26" s="6">
        <f>$J$3+[18]FormattedData!I62*$J$4+$M$4*$J$5+[18]FormattedData!I62^2*$J$6+$M$5*$J$7</f>
        <v>28.485158392988033</v>
      </c>
      <c r="Q26" s="6">
        <f>$J$3+[18]FormattedData!J62*$J$4+$M$4*$J$5+[18]FormattedData!J62^2*$J$6+$M$5*$J$7</f>
        <v>32.755195656492106</v>
      </c>
      <c r="R26" s="6">
        <f>$J$3+[18]FormattedData!K62*$J$4+$M$4*$J$5+[18]FormattedData!K62^2*$J$6+$M$5*$J$7</f>
        <v>27.896540303638712</v>
      </c>
      <c r="S26" s="6">
        <f>$J$3+[18]FormattedData!L62*$J$4+$M$4*$J$5+[18]FormattedData!L62^2*$J$6+$M$5*$J$7</f>
        <v>34.669069821081671</v>
      </c>
      <c r="T26" s="6">
        <f>$J$3+[18]FormattedData!M62*$J$4+$M$4*$J$5+[18]FormattedData!M62^2*$J$6+$M$5*$J$7</f>
        <v>27.699996125552158</v>
      </c>
      <c r="U26" s="6">
        <f>$J$3+[18]FormattedData!N62*$J$4+$M$4*$J$5+[18]FormattedData!N62^2*$J$6+$M$5*$J$7</f>
        <v>34.764319709662864</v>
      </c>
      <c r="V26" s="6">
        <f>$J$3+[18]FormattedData!O62*$J$4+$M$4*$J$5+[18]FormattedData!O62^2*$J$6+$M$5*$J$7</f>
        <v>27.896540303638712</v>
      </c>
      <c r="W26" s="5">
        <f t="shared" si="0"/>
        <v>31.053815440196999</v>
      </c>
      <c r="X26" s="4">
        <f t="shared" si="1"/>
        <v>0.91547084946694224</v>
      </c>
      <c r="Y26" s="3">
        <f t="shared" si="2"/>
        <v>27.699996125552158</v>
      </c>
      <c r="Z26" s="2">
        <f t="shared" si="3"/>
        <v>28.338003870650702</v>
      </c>
      <c r="AA26" s="3">
        <f t="shared" si="4"/>
        <v>30.727093029790261</v>
      </c>
      <c r="AB26" s="2">
        <f t="shared" si="5"/>
        <v>33.233664197639499</v>
      </c>
      <c r="AC26" s="2">
        <f t="shared" si="6"/>
        <v>37.131829649365272</v>
      </c>
      <c r="AD26" s="2">
        <f t="shared" si="7"/>
        <v>0.67198057191101168</v>
      </c>
      <c r="AE26" s="2">
        <f t="shared" si="8"/>
        <v>-0.70832923980919249</v>
      </c>
    </row>
    <row r="27" spans="2:31" x14ac:dyDescent="0.2">
      <c r="B27" s="1">
        <f>[18]FormattedData!A64</f>
        <v>302</v>
      </c>
      <c r="C27" s="1" t="str">
        <f>VLOOKUP($B27,[18]TrtCodes!$B$11:I107,2)</f>
        <v>FTL</v>
      </c>
      <c r="D27" s="1">
        <f>VLOOKUP($B27,[18]TrtCodes!$B$11:J107,3)</f>
        <v>4</v>
      </c>
      <c r="E27" s="1">
        <f>VLOOKUP($B27,[18]TrtCodes!$B$11:K107,4)</f>
        <v>1</v>
      </c>
      <c r="F27" s="1">
        <f>VLOOKUP($B27,[18]TrtCodes!$B$11:L107,5)</f>
        <v>2</v>
      </c>
      <c r="G27" s="1">
        <f>VLOOKUP($B27,[18]TrtCodes!$B$11:M107,6)</f>
        <v>1</v>
      </c>
      <c r="H27" s="1">
        <f>VLOOKUP($B27,[18]TrtCodes!$B$11:N107,7)</f>
        <v>3</v>
      </c>
      <c r="I27" s="1">
        <f>[18]FormattedData!B64</f>
        <v>1</v>
      </c>
      <c r="J27" s="4">
        <f>[18]FormattedData!C64</f>
        <v>13.167999999999999</v>
      </c>
      <c r="K27" s="6">
        <f>$J$3+[18]FormattedData!D64*$J$4+$M$4*$J$5+[18]FormattedData!D64^2*$J$6+$M$5*$J$7</f>
        <v>33.522774212148626</v>
      </c>
      <c r="L27" s="6">
        <f>$J$3+[18]FormattedData!E64*$J$4+$M$4*$J$5+[18]FormattedData!E64^2*$J$6+$M$5*$J$7</f>
        <v>31.018253068389054</v>
      </c>
      <c r="M27" s="6">
        <f>$J$3+[18]FormattedData!F64*$J$4+$M$4*$J$5+[18]FormattedData!F64^2*$J$6+$M$5*$J$7</f>
        <v>35.239935124499901</v>
      </c>
      <c r="N27" s="6">
        <f>$J$3+[18]FormattedData!G64*$J$4+$M$4*$J$5+[18]FormattedData!G64^2*$J$6+$M$5*$J$7</f>
        <v>30.339076898168891</v>
      </c>
      <c r="O27" s="6">
        <f>$J$3+[18]FormattedData!H64*$J$4+$M$4*$J$5+[18]FormattedData!H64^2*$J$6+$M$5*$J$7</f>
        <v>36.377100729239821</v>
      </c>
      <c r="P27" s="6">
        <f>$J$3+[18]FormattedData!I64*$J$4+$M$4*$J$5+[18]FormattedData!I64^2*$J$6+$M$5*$J$7</f>
        <v>29.072254814971828</v>
      </c>
      <c r="Q27" s="6">
        <f>$J$3+[18]FormattedData!J64*$J$4+$M$4*$J$5+[18]FormattedData!J64^2*$J$6+$M$5*$J$7</f>
        <v>36.566036570498767</v>
      </c>
      <c r="R27" s="6">
        <f>$J$3+[18]FormattedData!K64*$J$4+$M$4*$J$5+[18]FormattedData!K64^2*$J$6+$M$5*$J$7</f>
        <v>29.560339448498553</v>
      </c>
      <c r="S27" s="6">
        <f>$J$3+[18]FormattedData!L64*$J$4+$M$4*$J$5+[18]FormattedData!L64^2*$J$6+$M$5*$J$7</f>
        <v>34.096682850297903</v>
      </c>
      <c r="T27" s="6">
        <f>$J$3+[18]FormattedData!M64*$J$4+$M$4*$J$5+[18]FormattedData!M64^2*$J$6+$M$5*$J$7</f>
        <v>28.97451108265269</v>
      </c>
      <c r="U27" s="6">
        <f>$J$3+[18]FormattedData!N64*$J$4+$M$4*$J$5+[18]FormattedData!N64^2*$J$6+$M$5*$J$7</f>
        <v>35.619666622686772</v>
      </c>
      <c r="V27" s="6">
        <f>$J$3+[18]FormattedData!O64*$J$4+$M$4*$J$5+[18]FormattedData!O64^2*$J$6+$M$5*$J$7</f>
        <v>30.533338575207168</v>
      </c>
      <c r="W27" s="5">
        <f t="shared" si="0"/>
        <v>32.576664166438327</v>
      </c>
      <c r="X27" s="4">
        <f t="shared" si="1"/>
        <v>0.85227900965753467</v>
      </c>
      <c r="Y27" s="3">
        <f t="shared" si="2"/>
        <v>28.97451108265269</v>
      </c>
      <c r="Z27" s="2">
        <f t="shared" si="3"/>
        <v>30.144392535751308</v>
      </c>
      <c r="AA27" s="3">
        <f t="shared" si="4"/>
        <v>32.270513640268838</v>
      </c>
      <c r="AB27" s="2">
        <f t="shared" si="5"/>
        <v>35.334867999046622</v>
      </c>
      <c r="AC27" s="2">
        <f t="shared" si="6"/>
        <v>36.566036570498767</v>
      </c>
      <c r="AD27" s="2">
        <f t="shared" si="7"/>
        <v>0.12322982606705672</v>
      </c>
      <c r="AE27" s="2">
        <f t="shared" si="8"/>
        <v>-1.8464393781411066</v>
      </c>
    </row>
    <row r="28" spans="2:31" x14ac:dyDescent="0.2">
      <c r="B28" s="1">
        <f>[18]FormattedData!A66</f>
        <v>303</v>
      </c>
      <c r="C28" s="1" t="str">
        <f>VLOOKUP($B28,[18]TrtCodes!$B$11:I109,2)</f>
        <v>NSL</v>
      </c>
      <c r="D28" s="1">
        <f>VLOOKUP($B28,[18]TrtCodes!$B$11:J109,3)</f>
        <v>8</v>
      </c>
      <c r="E28" s="1">
        <f>VLOOKUP($B28,[18]TrtCodes!$B$11:K109,4)</f>
        <v>2</v>
      </c>
      <c r="F28" s="1">
        <f>VLOOKUP($B28,[18]TrtCodes!$B$11:L109,5)</f>
        <v>1</v>
      </c>
      <c r="G28" s="1">
        <f>VLOOKUP($B28,[18]TrtCodes!$B$11:M109,6)</f>
        <v>1</v>
      </c>
      <c r="H28" s="1">
        <f>VLOOKUP($B28,[18]TrtCodes!$B$11:N109,7)</f>
        <v>3</v>
      </c>
      <c r="I28" s="1">
        <f>[18]FormattedData!B66</f>
        <v>1</v>
      </c>
      <c r="J28" s="4">
        <f>[18]FormattedData!C66</f>
        <v>13.182</v>
      </c>
      <c r="K28" s="6">
        <f>$J$3+[18]FormattedData!D66*$J$4+$M$4*$J$5+[18]FormattedData!D66^2*$J$6+$M$5*$J$7</f>
        <v>40.21649177897234</v>
      </c>
      <c r="L28" s="6">
        <f>$J$3+[18]FormattedData!E66*$J$4+$M$4*$J$5+[18]FormattedData!E66^2*$J$6+$M$5*$J$7</f>
        <v>35.714493825888667</v>
      </c>
      <c r="M28" s="6">
        <f>$J$3+[18]FormattedData!F66*$J$4+$M$4*$J$5+[18]FormattedData!F66^2*$J$6+$M$5*$J$7</f>
        <v>38.82007888177165</v>
      </c>
      <c r="N28" s="6">
        <f>$J$3+[18]FormattedData!G66*$J$4+$M$4*$J$5+[18]FormattedData!G66^2*$J$6+$M$5*$J$7</f>
        <v>33.522774212148626</v>
      </c>
      <c r="O28" s="6">
        <f>$J$3+[18]FormattedData!H66*$J$4+$M$4*$J$5+[18]FormattedData!H66^2*$J$6+$M$5*$J$7</f>
        <v>49.194295540951494</v>
      </c>
      <c r="P28" s="6">
        <f>$J$3+[18]FormattedData!I66*$J$4+$M$4*$J$5+[18]FormattedData!I66^2*$J$6+$M$5*$J$7</f>
        <v>33.139323082623818</v>
      </c>
      <c r="Q28" s="6">
        <f>$J$3+[18]FormattedData!J66*$J$4+$M$4*$J$5+[18]FormattedData!J66^2*$J$6+$M$5*$J$7</f>
        <v>43.255123470772403</v>
      </c>
      <c r="R28" s="6">
        <f>$J$3+[18]FormattedData!K66*$J$4+$M$4*$J$5+[18]FormattedData!K66^2*$J$6+$M$5*$J$7</f>
        <v>33.331133184462082</v>
      </c>
      <c r="S28" s="6">
        <f>$J$3+[18]FormattedData!L66*$J$4+$M$4*$J$5+[18]FormattedData!L66^2*$J$6+$M$5*$J$7</f>
        <v>40.21649177897234</v>
      </c>
      <c r="T28" s="6">
        <f>$J$3+[18]FormattedData!M66*$J$4+$M$4*$J$5+[18]FormattedData!M66^2*$J$6+$M$5*$J$7</f>
        <v>35.619666622686772</v>
      </c>
      <c r="U28" s="6">
        <f>$J$3+[18]FormattedData!N66*$J$4+$M$4*$J$5+[18]FormattedData!N66^2*$J$6+$M$5*$J$7</f>
        <v>43.437803568417543</v>
      </c>
      <c r="V28" s="6">
        <f>$J$3+[18]FormattedData!O66*$J$4+$M$4*$J$5+[18]FormattedData!O66^2*$J$6+$M$5*$J$7</f>
        <v>31.30869454184301</v>
      </c>
      <c r="W28" s="5">
        <f t="shared" si="0"/>
        <v>38.148030874125901</v>
      </c>
      <c r="X28" s="4">
        <f t="shared" si="1"/>
        <v>1.5420044724750981</v>
      </c>
      <c r="Y28" s="3">
        <f t="shared" si="2"/>
        <v>31.30869454184301</v>
      </c>
      <c r="Z28" s="2">
        <f t="shared" si="3"/>
        <v>33.474863955226994</v>
      </c>
      <c r="AA28" s="3">
        <f t="shared" si="4"/>
        <v>37.267286353830158</v>
      </c>
      <c r="AB28" s="2">
        <f t="shared" si="5"/>
        <v>40.976149701922353</v>
      </c>
      <c r="AC28" s="2">
        <f t="shared" si="6"/>
        <v>49.194295540951494</v>
      </c>
      <c r="AD28" s="2">
        <f t="shared" si="7"/>
        <v>0.68728140902421186</v>
      </c>
      <c r="AE28" s="2">
        <f t="shared" si="8"/>
        <v>-0.10854489409872858</v>
      </c>
    </row>
    <row r="29" spans="2:31" x14ac:dyDescent="0.2">
      <c r="B29" s="1">
        <f>[18]FormattedData!A68</f>
        <v>304</v>
      </c>
      <c r="C29" s="1" t="str">
        <f>VLOOKUP($B29,[18]TrtCodes!$B$11:I111,2)</f>
        <v>FSL</v>
      </c>
      <c r="D29" s="1">
        <f>VLOOKUP($B29,[18]TrtCodes!$B$11:J111,3)</f>
        <v>2</v>
      </c>
      <c r="E29" s="1">
        <f>VLOOKUP($B29,[18]TrtCodes!$B$11:K111,4)</f>
        <v>1</v>
      </c>
      <c r="F29" s="1">
        <f>VLOOKUP($B29,[18]TrtCodes!$B$11:L111,5)</f>
        <v>1</v>
      </c>
      <c r="G29" s="1">
        <f>VLOOKUP($B29,[18]TrtCodes!$B$11:M111,6)</f>
        <v>1</v>
      </c>
      <c r="H29" s="1">
        <f>VLOOKUP($B29,[18]TrtCodes!$B$11:N111,7)</f>
        <v>3</v>
      </c>
      <c r="I29" s="1">
        <f>[18]FormattedData!B68</f>
        <v>1</v>
      </c>
      <c r="J29" s="4">
        <f>[18]FormattedData!C68</f>
        <v>13.196</v>
      </c>
      <c r="K29" s="6">
        <f>$J$3+[18]FormattedData!D68*$J$4+$M$4*$J$5+[18]FormattedData!D68^2*$J$6+$M$5*$J$7</f>
        <v>36.849123318352717</v>
      </c>
      <c r="L29" s="6">
        <f>$J$3+[18]FormattedData!E68*$J$4+$M$4*$J$5+[18]FormattedData!E68^2*$J$6+$M$5*$J$7</f>
        <v>32.274085331724017</v>
      </c>
      <c r="M29" s="6">
        <f>$J$3+[18]FormattedData!F68*$J$4+$M$4*$J$5+[18]FormattedData!F68^2*$J$6+$M$5*$J$7</f>
        <v>32.755195656492106</v>
      </c>
      <c r="N29" s="6">
        <f>$J$3+[18]FormattedData!G68*$J$4+$M$4*$J$5+[18]FormattedData!G68^2*$J$6+$M$5*$J$7</f>
        <v>29.950046321637174</v>
      </c>
      <c r="O29" s="6">
        <f>$J$3+[18]FormattedData!H68*$J$4+$M$4*$J$5+[18]FormattedData!H68^2*$J$6+$M$5*$J$7</f>
        <v>35.809278760552623</v>
      </c>
      <c r="P29" s="6">
        <f>$J$3+[18]FormattedData!I68*$J$4+$M$4*$J$5+[18]FormattedData!I68^2*$J$6+$M$5*$J$7</f>
        <v>32.274085331724017</v>
      </c>
      <c r="Q29" s="6">
        <f>$J$3+[18]FormattedData!J68*$J$4+$M$4*$J$5+[18]FormattedData!J68^2*$J$6+$M$5*$J$7</f>
        <v>33.618531323184996</v>
      </c>
      <c r="R29" s="6">
        <f>$J$3+[18]FormattedData!K68*$J$4+$M$4*$J$5+[18]FormattedData!K68^2*$J$6+$M$5*$J$7</f>
        <v>28.778896812400617</v>
      </c>
      <c r="S29" s="6">
        <f>$J$3+[18]FormattedData!L68*$J$4+$M$4*$J$5+[18]FormattedData!L68^2*$J$6+$M$5*$J$7</f>
        <v>35.429885410669208</v>
      </c>
      <c r="T29" s="6">
        <f>$J$3+[18]FormattedData!M68*$J$4+$M$4*$J$5+[18]FormattedData!M68^2*$J$6+$M$5*$J$7</f>
        <v>29.072254814971828</v>
      </c>
      <c r="U29" s="6">
        <f>$J$3+[18]FormattedData!N68*$J$4+$M$4*$J$5+[18]FormattedData!N68^2*$J$6+$M$5*$J$7</f>
        <v>39.659067870616205</v>
      </c>
      <c r="V29" s="6">
        <f>$J$3+[18]FormattedData!O68*$J$4+$M$4*$J$5+[18]FormattedData!O68^2*$J$6+$M$5*$J$7</f>
        <v>29.365232400701654</v>
      </c>
      <c r="W29" s="5">
        <f t="shared" si="0"/>
        <v>32.986306946085591</v>
      </c>
      <c r="X29" s="4">
        <f t="shared" si="1"/>
        <v>0.9931894489840517</v>
      </c>
      <c r="Y29" s="3">
        <f t="shared" si="2"/>
        <v>28.778896812400617</v>
      </c>
      <c r="Z29" s="2">
        <f t="shared" si="3"/>
        <v>29.803842841403295</v>
      </c>
      <c r="AA29" s="3">
        <f t="shared" si="4"/>
        <v>32.514640494108065</v>
      </c>
      <c r="AB29" s="2">
        <f t="shared" si="5"/>
        <v>35.524733748140065</v>
      </c>
      <c r="AC29" s="2">
        <f t="shared" si="6"/>
        <v>39.659067870616205</v>
      </c>
      <c r="AD29" s="2">
        <f t="shared" si="7"/>
        <v>0.48601633205353184</v>
      </c>
      <c r="AE29" s="2">
        <f t="shared" si="8"/>
        <v>-0.535810758876611</v>
      </c>
    </row>
    <row r="30" spans="2:31" x14ac:dyDescent="0.2">
      <c r="B30" s="1">
        <f>[18]FormattedData!A70</f>
        <v>305</v>
      </c>
      <c r="C30" s="1" t="str">
        <f>VLOOKUP($B30,[18]TrtCodes!$B$11:I113,2)</f>
        <v>NDH</v>
      </c>
      <c r="D30" s="1">
        <f>VLOOKUP($B30,[18]TrtCodes!$B$11:J113,3)</f>
        <v>11</v>
      </c>
      <c r="E30" s="1">
        <f>VLOOKUP($B30,[18]TrtCodes!$B$11:K113,4)</f>
        <v>2</v>
      </c>
      <c r="F30" s="1">
        <f>VLOOKUP($B30,[18]TrtCodes!$B$11:L113,5)</f>
        <v>3</v>
      </c>
      <c r="G30" s="1">
        <f>VLOOKUP($B30,[18]TrtCodes!$B$11:M113,6)</f>
        <v>2</v>
      </c>
      <c r="H30" s="1">
        <f>VLOOKUP($B30,[18]TrtCodes!$B$11:N113,7)</f>
        <v>4</v>
      </c>
      <c r="I30" s="1">
        <f>[18]FormattedData!B70</f>
        <v>1</v>
      </c>
      <c r="J30" s="4">
        <f>[18]FormattedData!C70</f>
        <v>13.21</v>
      </c>
      <c r="K30" s="6">
        <f>$J$3+[18]FormattedData!D70*$J$4+$M$4*$J$5+[18]FormattedData!D70^2*$J$6+$M$5*$J$7</f>
        <v>28.681026274467687</v>
      </c>
      <c r="L30" s="6">
        <f>$J$3+[18]FormattedData!E70*$J$4+$M$4*$J$5+[18]FormattedData!E70^2*$J$6+$M$5*$J$7</f>
        <v>33.618531323184996</v>
      </c>
      <c r="M30" s="6">
        <f>$J$3+[18]FormattedData!F70*$J$4+$M$4*$J$5+[18]FormattedData!F70^2*$J$6+$M$5*$J$7</f>
        <v>29.462807058869068</v>
      </c>
      <c r="N30" s="6">
        <f>$J$3+[18]FormattedData!G70*$J$4+$M$4*$J$5+[18]FormattedData!G70^2*$J$6+$M$5*$J$7</f>
        <v>31.984911914408002</v>
      </c>
      <c r="O30" s="6">
        <f>$J$3+[18]FormattedData!H70*$J$4+$M$4*$J$5+[18]FormattedData!H70^2*$J$6+$M$5*$J$7</f>
        <v>29.950046321637174</v>
      </c>
      <c r="P30" s="6">
        <f>$J$3+[18]FormattedData!I70*$J$4+$M$4*$J$5+[18]FormattedData!I70^2*$J$6+$M$5*$J$7</f>
        <v>29.85268300615941</v>
      </c>
      <c r="Q30" s="6">
        <f>$J$3+[18]FormattedData!J70*$J$4+$M$4*$J$5+[18]FormattedData!J70^2*$J$6+$M$5*$J$7</f>
        <v>29.657829569590099</v>
      </c>
      <c r="R30" s="6">
        <f>$J$3+[18]FormattedData!K70*$J$4+$M$4*$J$5+[18]FormattedData!K70^2*$J$6+$M$5*$J$7</f>
        <v>32.851290915831932</v>
      </c>
      <c r="S30" s="6">
        <f>$J$3+[18]FormattedData!L70*$J$4+$M$4*$J$5+[18]FormattedData!L70^2*$J$6+$M$5*$J$7</f>
        <v>29.462807058869068</v>
      </c>
      <c r="T30" s="6">
        <f>$J$3+[18]FormattedData!M70*$J$4+$M$4*$J$5+[18]FormattedData!M70^2*$J$6+$M$5*$J$7</f>
        <v>31.502110848122665</v>
      </c>
      <c r="U30" s="6">
        <f>$J$3+[18]FormattedData!N70*$J$4+$M$4*$J$5+[18]FormattedData!N70^2*$J$6+$M$5*$J$7</f>
        <v>29.072254814971828</v>
      </c>
      <c r="V30" s="6">
        <f>$J$3+[18]FormattedData!O70*$J$4+$M$4*$J$5+[18]FormattedData!O70^2*$J$6+$M$5*$J$7</f>
        <v>31.598755598455597</v>
      </c>
      <c r="W30" s="5">
        <f t="shared" si="0"/>
        <v>30.641254558713957</v>
      </c>
      <c r="X30" s="4">
        <f t="shared" si="1"/>
        <v>0.46351919058545693</v>
      </c>
      <c r="Y30" s="3">
        <f t="shared" si="2"/>
        <v>28.681026274467687</v>
      </c>
      <c r="Z30" s="2">
        <f t="shared" si="3"/>
        <v>29.462807058869068</v>
      </c>
      <c r="AA30" s="3">
        <f t="shared" si="4"/>
        <v>29.901364663898292</v>
      </c>
      <c r="AB30" s="2">
        <f t="shared" si="5"/>
        <v>31.695294677443698</v>
      </c>
      <c r="AC30" s="2">
        <f t="shared" si="6"/>
        <v>33.618531323184996</v>
      </c>
      <c r="AD30" s="2">
        <f t="shared" si="7"/>
        <v>0.65056974373466592</v>
      </c>
      <c r="AE30" s="2">
        <f t="shared" si="8"/>
        <v>-0.87306985215157429</v>
      </c>
    </row>
    <row r="31" spans="2:31" x14ac:dyDescent="0.2">
      <c r="B31" s="1">
        <f>[18]FormattedData!A72</f>
        <v>306</v>
      </c>
      <c r="C31" s="1" t="str">
        <f>VLOOKUP($B31,[18]TrtCodes!$B$11:I115,2)</f>
        <v>FTL</v>
      </c>
      <c r="D31" s="1">
        <f>VLOOKUP($B31,[18]TrtCodes!$B$11:J115,3)</f>
        <v>4</v>
      </c>
      <c r="E31" s="1">
        <f>VLOOKUP($B31,[18]TrtCodes!$B$11:K115,4)</f>
        <v>1</v>
      </c>
      <c r="F31" s="1">
        <f>VLOOKUP($B31,[18]TrtCodes!$B$11:L115,5)</f>
        <v>2</v>
      </c>
      <c r="G31" s="1">
        <f>VLOOKUP($B31,[18]TrtCodes!$B$11:M115,6)</f>
        <v>1</v>
      </c>
      <c r="H31" s="1">
        <f>VLOOKUP($B31,[18]TrtCodes!$B$11:N115,7)</f>
        <v>4</v>
      </c>
      <c r="I31" s="1">
        <f>[18]FormattedData!B72</f>
        <v>1</v>
      </c>
      <c r="J31" s="4">
        <f>[18]FormattedData!C72</f>
        <v>13.223000000000001</v>
      </c>
      <c r="K31" s="6">
        <f>$J$3+[18]FormattedData!D72*$J$4+$M$4*$J$5+[18]FormattedData!D72^2*$J$6+$M$5*$J$7</f>
        <v>32.851290915831932</v>
      </c>
      <c r="L31" s="6">
        <f>$J$3+[18]FormattedData!E72*$J$4+$M$4*$J$5+[18]FormattedData!E72^2*$J$6+$M$5*$J$7</f>
        <v>31.502110848122665</v>
      </c>
      <c r="M31" s="6">
        <f>$J$3+[18]FormattedData!F72*$J$4+$M$4*$J$5+[18]FormattedData!F72^2*$J$6+$M$5*$J$7</f>
        <v>31.502110848122665</v>
      </c>
      <c r="N31" s="6">
        <f>$J$3+[18]FormattedData!G72*$J$4+$M$4*$J$5+[18]FormattedData!G72^2*$J$6+$M$5*$J$7</f>
        <v>29.462807058869068</v>
      </c>
      <c r="O31" s="6">
        <f>$J$3+[18]FormattedData!H72*$J$4+$M$4*$J$5+[18]FormattedData!H72^2*$J$6+$M$5*$J$7</f>
        <v>38.726646540321489</v>
      </c>
      <c r="P31" s="6">
        <f>$J$3+[18]FormattedData!I72*$J$4+$M$4*$J$5+[18]FormattedData!I72^2*$J$6+$M$5*$J$7</f>
        <v>30.144646146978893</v>
      </c>
      <c r="Q31" s="6">
        <f>$J$3+[18]FormattedData!J72*$J$4+$M$4*$J$5+[18]FormattedData!J72^2*$J$6+$M$5*$J$7</f>
        <v>31.598755598455597</v>
      </c>
      <c r="R31" s="6">
        <f>$J$3+[18]FormattedData!K72*$J$4+$M$4*$J$5+[18]FormattedData!K72^2*$J$6+$M$5*$J$7</f>
        <v>29.560339448498553</v>
      </c>
      <c r="S31" s="6">
        <f>$J$3+[18]FormattedData!L72*$J$4+$M$4*$J$5+[18]FormattedData!L72^2*$J$6+$M$5*$J$7</f>
        <v>30.727431178093717</v>
      </c>
      <c r="T31" s="6">
        <f>$J$3+[18]FormattedData!M72*$J$4+$M$4*$J$5+[18]FormattedData!M72^2*$J$6+$M$5*$J$7</f>
        <v>28.97451108265269</v>
      </c>
      <c r="U31" s="6">
        <f>$J$3+[18]FormattedData!N72*$J$4+$M$4*$J$5+[18]FormattedData!N72^2*$J$6+$M$5*$J$7</f>
        <v>32.851290915831932</v>
      </c>
      <c r="V31" s="6">
        <f>$J$3+[18]FormattedData!O72*$J$4+$M$4*$J$5+[18]FormattedData!O72^2*$J$6+$M$5*$J$7</f>
        <v>28.485158392988033</v>
      </c>
      <c r="W31" s="5">
        <f t="shared" si="0"/>
        <v>31.3655915812306</v>
      </c>
      <c r="X31" s="4">
        <f t="shared" si="1"/>
        <v>0.78568160706240331</v>
      </c>
      <c r="Y31" s="3">
        <f t="shared" si="2"/>
        <v>28.485158392988033</v>
      </c>
      <c r="Z31" s="2">
        <f t="shared" si="3"/>
        <v>29.53595635109118</v>
      </c>
      <c r="AA31" s="3">
        <f t="shared" si="4"/>
        <v>31.114771013108189</v>
      </c>
      <c r="AB31" s="2">
        <f t="shared" si="5"/>
        <v>31.911889427799679</v>
      </c>
      <c r="AC31" s="2">
        <f t="shared" si="6"/>
        <v>38.726646540321489</v>
      </c>
      <c r="AD31" s="2">
        <f t="shared" si="7"/>
        <v>1.9101604504349092</v>
      </c>
      <c r="AE31" s="2">
        <f t="shared" si="8"/>
        <v>4.7926354038488626</v>
      </c>
    </row>
    <row r="32" spans="2:31" x14ac:dyDescent="0.2">
      <c r="B32" s="1">
        <f>[18]FormattedData!A74</f>
        <v>307</v>
      </c>
      <c r="C32" s="1" t="str">
        <f>VLOOKUP($B32,[18]TrtCodes!$B$11:I117,2)</f>
        <v>NTH</v>
      </c>
      <c r="D32" s="1">
        <f>VLOOKUP($B32,[18]TrtCodes!$B$11:J117,3)</f>
        <v>9</v>
      </c>
      <c r="E32" s="1">
        <f>VLOOKUP($B32,[18]TrtCodes!$B$11:K117,4)</f>
        <v>2</v>
      </c>
      <c r="F32" s="1">
        <f>VLOOKUP($B32,[18]TrtCodes!$B$11:L117,5)</f>
        <v>2</v>
      </c>
      <c r="G32" s="1">
        <f>VLOOKUP($B32,[18]TrtCodes!$B$11:M117,6)</f>
        <v>2</v>
      </c>
      <c r="H32" s="1">
        <f>VLOOKUP($B32,[18]TrtCodes!$B$11:N117,7)</f>
        <v>4</v>
      </c>
      <c r="I32" s="1">
        <f>[18]FormattedData!B74</f>
        <v>1</v>
      </c>
      <c r="J32" s="4">
        <f>[18]FormattedData!C74</f>
        <v>13.276</v>
      </c>
      <c r="K32" s="6">
        <f>$J$3+[18]FormattedData!D74*$J$4+$M$4*$J$5+[18]FormattedData!D74^2*$J$6+$M$5*$J$7</f>
        <v>39.752077526687053</v>
      </c>
      <c r="L32" s="6">
        <f>$J$3+[18]FormattedData!E74*$J$4+$M$4*$J$5+[18]FormattedData!E74^2*$J$6+$M$5*$J$7</f>
        <v>32.370391933753503</v>
      </c>
      <c r="M32" s="6">
        <f>$J$3+[18]FormattedData!F74*$J$4+$M$4*$J$5+[18]FormattedData!F74^2*$J$6+$M$5*$J$7</f>
        <v>29.267615473996312</v>
      </c>
      <c r="N32" s="6">
        <f>$J$3+[18]FormattedData!G74*$J$4+$M$4*$J$5+[18]FormattedData!G74^2*$J$6+$M$5*$J$7</f>
        <v>29.462807058869068</v>
      </c>
      <c r="O32" s="6">
        <f>$J$3+[18]FormattedData!H74*$J$4+$M$4*$J$5+[18]FormattedData!H74^2*$J$6+$M$5*$J$7</f>
        <v>30.727431178093717</v>
      </c>
      <c r="P32" s="6">
        <f>$J$3+[18]FormattedData!I74*$J$4+$M$4*$J$5+[18]FormattedData!I74^2*$J$6+$M$5*$J$7</f>
        <v>29.85268300615941</v>
      </c>
      <c r="Q32" s="6">
        <f>$J$3+[18]FormattedData!J74*$J$4+$M$4*$J$5+[18]FormattedData!J74^2*$J$6+$M$5*$J$7</f>
        <v>35.619666622686772</v>
      </c>
      <c r="R32" s="6">
        <f>$J$3+[18]FormattedData!K74*$J$4+$M$4*$J$5+[18]FormattedData!K74^2*$J$6+$M$5*$J$7</f>
        <v>29.267615473996312</v>
      </c>
      <c r="S32" s="6">
        <f>$J$3+[18]FormattedData!L74*$J$4+$M$4*$J$5+[18]FormattedData!L74^2*$J$6+$M$5*$J$7</f>
        <v>29.462807058869068</v>
      </c>
      <c r="T32" s="6">
        <f>$J$3+[18]FormattedData!M74*$J$4+$M$4*$J$5+[18]FormattedData!M74^2*$J$6+$M$5*$J$7</f>
        <v>29.755277422143724</v>
      </c>
      <c r="U32" s="6">
        <f>$J$3+[18]FormattedData!N74*$J$4+$M$4*$J$5+[18]FormattedData!N74^2*$J$6+$M$5*$J$7</f>
        <v>34.573777663962531</v>
      </c>
      <c r="V32" s="6">
        <f>$J$3+[18]FormattedData!O74*$J$4+$M$4*$J$5+[18]FormattedData!O74^2*$J$6+$M$5*$J$7</f>
        <v>33.809918739643955</v>
      </c>
      <c r="W32" s="5">
        <f t="shared" si="0"/>
        <v>31.993505763238449</v>
      </c>
      <c r="X32" s="4">
        <f t="shared" si="1"/>
        <v>0.96259293686314085</v>
      </c>
      <c r="Y32" s="3">
        <f t="shared" si="2"/>
        <v>29.267615473996312</v>
      </c>
      <c r="Z32" s="2">
        <f t="shared" si="3"/>
        <v>29.462807058869068</v>
      </c>
      <c r="AA32" s="3">
        <f t="shared" si="4"/>
        <v>30.290057092126563</v>
      </c>
      <c r="AB32" s="2">
        <f t="shared" si="5"/>
        <v>34.000883470723601</v>
      </c>
      <c r="AC32" s="2">
        <f t="shared" si="6"/>
        <v>39.752077526687053</v>
      </c>
      <c r="AD32" s="2">
        <f t="shared" si="7"/>
        <v>1.3003782412212743</v>
      </c>
      <c r="AE32" s="2">
        <f t="shared" si="8"/>
        <v>1.183071962529552</v>
      </c>
    </row>
    <row r="33" spans="2:31" x14ac:dyDescent="0.2">
      <c r="B33" s="1">
        <f>[18]FormattedData!A76</f>
        <v>308</v>
      </c>
      <c r="C33" s="1" t="str">
        <f>VLOOKUP($B33,[18]TrtCodes!$B$11:I119,2)</f>
        <v>FDH</v>
      </c>
      <c r="D33" s="1">
        <f>VLOOKUP($B33,[18]TrtCodes!$B$11:J119,3)</f>
        <v>5</v>
      </c>
      <c r="E33" s="1">
        <f>VLOOKUP($B33,[18]TrtCodes!$B$11:K119,4)</f>
        <v>1</v>
      </c>
      <c r="F33" s="1">
        <f>VLOOKUP($B33,[18]TrtCodes!$B$11:L119,5)</f>
        <v>3</v>
      </c>
      <c r="G33" s="1">
        <f>VLOOKUP($B33,[18]TrtCodes!$B$11:M119,6)</f>
        <v>2</v>
      </c>
      <c r="H33" s="1">
        <f>VLOOKUP($B33,[18]TrtCodes!$B$11:N119,7)</f>
        <v>4</v>
      </c>
      <c r="I33" s="1">
        <f>[18]FormattedData!B76</f>
        <v>1</v>
      </c>
      <c r="J33" s="4">
        <f>[18]FormattedData!C76</f>
        <v>13.29</v>
      </c>
      <c r="K33" s="6">
        <f>$J$3+[18]FormattedData!D76*$J$4+$M$4*$J$5+[18]FormattedData!D76^2*$J$6+$M$5*$J$7</f>
        <v>30.047367368576996</v>
      </c>
      <c r="L33" s="6">
        <f>$J$3+[18]FormattedData!E76*$J$4+$M$4*$J$5+[18]FormattedData!E76^2*$J$6+$M$5*$J$7</f>
        <v>31.018253068389054</v>
      </c>
      <c r="M33" s="6">
        <f>$J$3+[18]FormattedData!F76*$J$4+$M$4*$J$5+[18]FormattedData!F76^2*$J$6+$M$5*$J$7</f>
        <v>33.331133184462082</v>
      </c>
      <c r="N33" s="6">
        <f>$J$3+[18]FormattedData!G76*$J$4+$M$4*$J$5+[18]FormattedData!G76^2*$J$6+$M$5*$J$7</f>
        <v>29.169956278753034</v>
      </c>
      <c r="O33" s="6">
        <f>$J$3+[18]FormattedData!H76*$J$4+$M$4*$J$5+[18]FormattedData!H76^2*$J$6+$M$5*$J$7</f>
        <v>37.696101060866248</v>
      </c>
      <c r="P33" s="6">
        <f>$J$3+[18]FormattedData!I76*$J$4+$M$4*$J$5+[18]FormattedData!I76^2*$J$6+$M$5*$J$7</f>
        <v>29.950046321637174</v>
      </c>
      <c r="Q33" s="6">
        <f>$J$3+[18]FormattedData!J76*$J$4+$M$4*$J$5+[18]FormattedData!J76^2*$J$6+$M$5*$J$7</f>
        <v>38.071436631108284</v>
      </c>
      <c r="R33" s="6">
        <f>$J$3+[18]FormattedData!K76*$J$4+$M$4*$J$5+[18]FormattedData!K76^2*$J$6+$M$5*$J$7</f>
        <v>29.950046321637174</v>
      </c>
      <c r="S33" s="6">
        <f>$J$3+[18]FormattedData!L76*$J$4+$M$4*$J$5+[18]FormattedData!L76^2*$J$6+$M$5*$J$7</f>
        <v>40.679849317809349</v>
      </c>
      <c r="T33" s="6">
        <f>$J$3+[18]FormattedData!M76*$J$4+$M$4*$J$5+[18]FormattedData!M76^2*$J$6+$M$5*$J$7</f>
        <v>29.462807058869068</v>
      </c>
      <c r="U33" s="6">
        <f>$J$3+[18]FormattedData!N76*$J$4+$M$4*$J$5+[18]FormattedData!N76^2*$J$6+$M$5*$J$7</f>
        <v>34.192186350106695</v>
      </c>
      <c r="V33" s="6">
        <f>$J$3+[18]FormattedData!O76*$J$4+$M$4*$J$5+[18]FormattedData!O76^2*$J$6+$M$5*$J$7</f>
        <v>29.072254814971828</v>
      </c>
      <c r="W33" s="5">
        <f t="shared" si="0"/>
        <v>32.720119814765575</v>
      </c>
      <c r="X33" s="4">
        <f t="shared" si="1"/>
        <v>1.1716403580251533</v>
      </c>
      <c r="Y33" s="3">
        <f t="shared" si="2"/>
        <v>29.072254814971828</v>
      </c>
      <c r="Z33" s="2">
        <f t="shared" si="3"/>
        <v>29.828236505945149</v>
      </c>
      <c r="AA33" s="3">
        <f t="shared" si="4"/>
        <v>30.532810218483025</v>
      </c>
      <c r="AB33" s="2">
        <f t="shared" si="5"/>
        <v>35.068165027796582</v>
      </c>
      <c r="AC33" s="2">
        <f t="shared" si="6"/>
        <v>40.679849317809349</v>
      </c>
      <c r="AD33" s="2">
        <f t="shared" si="7"/>
        <v>0.962353681064538</v>
      </c>
      <c r="AE33" s="2">
        <f t="shared" si="8"/>
        <v>-0.50397706529870501</v>
      </c>
    </row>
    <row r="34" spans="2:31" x14ac:dyDescent="0.2">
      <c r="B34" s="1">
        <f>[18]FormattedData!A92</f>
        <v>401</v>
      </c>
      <c r="C34" s="1" t="str">
        <f>VLOOKUP($B34,[18]TrtCodes!$B$11:I129,2)</f>
        <v>NSH</v>
      </c>
      <c r="D34" s="1">
        <f>VLOOKUP($B34,[18]TrtCodes!$B$11:J129,3)</f>
        <v>7</v>
      </c>
      <c r="E34" s="1">
        <f>VLOOKUP($B34,[18]TrtCodes!$B$11:K129,4)</f>
        <v>2</v>
      </c>
      <c r="F34" s="1">
        <f>VLOOKUP($B34,[18]TrtCodes!$B$11:L129,5)</f>
        <v>1</v>
      </c>
      <c r="G34" s="1">
        <f>VLOOKUP($B34,[18]TrtCodes!$B$11:M129,6)</f>
        <v>2</v>
      </c>
      <c r="H34" s="1">
        <f>VLOOKUP($B34,[18]TrtCodes!$B$11:N129,7)</f>
        <v>3</v>
      </c>
      <c r="I34" s="1">
        <f>[18]FormattedData!B92</f>
        <v>1</v>
      </c>
      <c r="J34" s="4">
        <f>[18]FormattedData!C92</f>
        <v>13.417</v>
      </c>
      <c r="K34" s="6">
        <f>$J$3+[18]FormattedData!D92*$J$4+$M$4*$J$5+[18]FormattedData!D92^2*$J$6+$M$5*$J$7</f>
        <v>52.443288699448338</v>
      </c>
      <c r="L34" s="6">
        <f>$J$3+[18]FormattedData!E92*$J$4+$M$4*$J$5+[18]FormattedData!E92^2*$J$6+$M$5*$J$7</f>
        <v>48.395250320451851</v>
      </c>
      <c r="M34" s="6">
        <f>$J$3+[18]FormattedData!F92*$J$4+$M$4*$J$5+[18]FormattedData!F92^2*$J$6+$M$5*$J$7</f>
        <v>47.145485853956636</v>
      </c>
      <c r="N34" s="6">
        <f>$J$3+[18]FormattedData!G92*$J$4+$M$4*$J$5+[18]FormattedData!G92^2*$J$6+$M$5*$J$7</f>
        <v>40.864896453578631</v>
      </c>
      <c r="O34" s="6">
        <f>$J$3+[18]FormattedData!H92*$J$4+$M$4*$J$5+[18]FormattedData!H92^2*$J$6+$M$5*$J$7</f>
        <v>47.771403666383563</v>
      </c>
      <c r="P34" s="6">
        <f>$J$3+[18]FormattedData!I92*$J$4+$M$4*$J$5+[18]FormattedData!I92^2*$J$6+$M$5*$J$7</f>
        <v>34.764319709662864</v>
      </c>
      <c r="Q34" s="6">
        <f>$J$3+[18]FormattedData!J92*$J$4+$M$4*$J$5+[18]FormattedData!J92^2*$J$6+$M$5*$J$7</f>
        <v>47.949856910235582</v>
      </c>
      <c r="R34" s="6">
        <f>$J$3+[18]FormattedData!K92*$J$4+$M$4*$J$5+[18]FormattedData!K92^2*$J$6+$M$5*$J$7</f>
        <v>38.258850805001714</v>
      </c>
      <c r="S34" s="6">
        <f>$J$3+[18]FormattedData!L92*$J$4+$M$4*$J$5+[18]FormattedData!L92^2*$J$6+$M$5*$J$7</f>
        <v>48.57311180477285</v>
      </c>
      <c r="T34" s="6">
        <f>$J$3+[18]FormattedData!M92*$J$4+$M$4*$J$5+[18]FormattedData!M92^2*$J$6+$M$5*$J$7</f>
        <v>33.809918739643955</v>
      </c>
      <c r="U34" s="6">
        <f>$J$3+[18]FormattedData!N92*$J$4+$M$4*$J$5+[18]FormattedData!N92^2*$J$6+$M$5*$J$7</f>
        <v>40.123693465591153</v>
      </c>
      <c r="V34" s="6">
        <f>$J$3+[18]FormattedData!O92*$J$4+$M$4*$J$5+[18]FormattedData!O92^2*$J$6+$M$5*$J$7</f>
        <v>32.274085331724017</v>
      </c>
      <c r="W34" s="5">
        <f t="shared" si="0"/>
        <v>42.697846813370937</v>
      </c>
      <c r="X34" s="4">
        <f t="shared" si="1"/>
        <v>1.9758781025445822</v>
      </c>
      <c r="Y34" s="3">
        <f t="shared" si="2"/>
        <v>32.274085331724017</v>
      </c>
      <c r="Z34" s="2">
        <f t="shared" si="3"/>
        <v>37.385218031167</v>
      </c>
      <c r="AA34" s="3">
        <f t="shared" si="4"/>
        <v>44.005191153767633</v>
      </c>
      <c r="AB34" s="2">
        <f t="shared" si="5"/>
        <v>48.061205262789649</v>
      </c>
      <c r="AC34" s="2">
        <f t="shared" si="6"/>
        <v>52.443288699448338</v>
      </c>
      <c r="AD34" s="2">
        <f t="shared" si="7"/>
        <v>-0.26126376775645382</v>
      </c>
      <c r="AE34" s="2">
        <f t="shared" si="8"/>
        <v>-1.4824233676643086</v>
      </c>
    </row>
    <row r="35" spans="2:31" x14ac:dyDescent="0.2">
      <c r="B35" s="1">
        <f>[18]FormattedData!A90</f>
        <v>402</v>
      </c>
      <c r="C35" s="1" t="str">
        <f>VLOOKUP($B35,[18]TrtCodes!$B$11:I130,2)</f>
        <v>NTH</v>
      </c>
      <c r="D35" s="1">
        <f>VLOOKUP($B35,[18]TrtCodes!$B$11:J130,3)</f>
        <v>9</v>
      </c>
      <c r="E35" s="1">
        <f>VLOOKUP($B35,[18]TrtCodes!$B$11:K130,4)</f>
        <v>2</v>
      </c>
      <c r="F35" s="1">
        <f>VLOOKUP($B35,[18]TrtCodes!$B$11:L130,5)</f>
        <v>2</v>
      </c>
      <c r="G35" s="1">
        <f>VLOOKUP($B35,[18]TrtCodes!$B$11:M130,6)</f>
        <v>2</v>
      </c>
      <c r="H35" s="1">
        <f>VLOOKUP($B35,[18]TrtCodes!$B$11:N130,7)</f>
        <v>3</v>
      </c>
      <c r="I35" s="1">
        <f>[18]FormattedData!B90</f>
        <v>1</v>
      </c>
      <c r="J35" s="4">
        <f>[18]FormattedData!C90</f>
        <v>13.401999999999999</v>
      </c>
      <c r="K35" s="6">
        <f>$J$3+[18]FormattedData!D90*$J$4+$M$4*$J$5+[18]FormattedData!D90^2*$J$6+$M$5*$J$7</f>
        <v>41.049774515196198</v>
      </c>
      <c r="L35" s="6">
        <f>$J$3+[18]FormattedData!E90*$J$4+$M$4*$J$5+[18]FormattedData!E90^2*$J$6+$M$5*$J$7</f>
        <v>36.943401030561496</v>
      </c>
      <c r="M35" s="6">
        <f>$J$3+[18]FormattedData!F90*$J$4+$M$4*$J$5+[18]FormattedData!F90^2*$J$6+$M$5*$J$7</f>
        <v>31.791918293507656</v>
      </c>
      <c r="N35" s="6">
        <f>$J$3+[18]FormattedData!G90*$J$4+$M$4*$J$5+[18]FormattedData!G90^2*$J$6+$M$5*$J$7</f>
        <v>32.274085331724017</v>
      </c>
      <c r="O35" s="6">
        <f>$J$3+[18]FormattedData!H90*$J$4+$M$4*$J$5+[18]FormattedData!H90^2*$J$6+$M$5*$J$7</f>
        <v>33.809918739643955</v>
      </c>
      <c r="P35" s="6">
        <f>$J$3+[18]FormattedData!I90*$J$4+$M$4*$J$5+[18]FormattedData!I90^2*$J$6+$M$5*$J$7</f>
        <v>31.598755598455597</v>
      </c>
      <c r="Q35" s="6">
        <f>$J$3+[18]FormattedData!J90*$J$4+$M$4*$J$5+[18]FormattedData!J90^2*$J$6+$M$5*$J$7</f>
        <v>32.755195656492106</v>
      </c>
      <c r="R35" s="6">
        <f>$J$3+[18]FormattedData!K90*$J$4+$M$4*$J$5+[18]FormattedData!K90^2*$J$6+$M$5*$J$7</f>
        <v>31.211922985896294</v>
      </c>
      <c r="S35" s="6">
        <f>$J$3+[18]FormattedData!L90*$J$4+$M$4*$J$5+[18]FormattedData!L90^2*$J$6+$M$5*$J$7</f>
        <v>38.071436631108284</v>
      </c>
      <c r="T35" s="6">
        <f>$J$3+[18]FormattedData!M90*$J$4+$M$4*$J$5+[18]FormattedData!M90^2*$J$6+$M$5*$J$7</f>
        <v>33.139323082623818</v>
      </c>
      <c r="U35" s="6">
        <f>$J$3+[18]FormattedData!N90*$J$4+$M$4*$J$5+[18]FormattedData!N90^2*$J$6+$M$5*$J$7</f>
        <v>35.429885410669208</v>
      </c>
      <c r="V35" s="6">
        <f>$J$3+[18]FormattedData!O90*$J$4+$M$4*$J$5+[18]FormattedData!O90^2*$J$6+$M$5*$J$7</f>
        <v>31.30869454184301</v>
      </c>
      <c r="W35" s="5">
        <f t="shared" si="0"/>
        <v>34.115359318143469</v>
      </c>
      <c r="X35" s="4">
        <f t="shared" si="1"/>
        <v>0.90364463443294507</v>
      </c>
      <c r="Y35" s="3">
        <f t="shared" si="2"/>
        <v>31.211922985896294</v>
      </c>
      <c r="Z35" s="2">
        <f t="shared" si="3"/>
        <v>31.743627619744643</v>
      </c>
      <c r="AA35" s="3">
        <f t="shared" si="4"/>
        <v>32.947259369557962</v>
      </c>
      <c r="AB35" s="2">
        <f t="shared" si="5"/>
        <v>35.808264315642276</v>
      </c>
      <c r="AC35" s="2">
        <f t="shared" si="6"/>
        <v>41.049774515196198</v>
      </c>
      <c r="AD35" s="2">
        <f t="shared" si="7"/>
        <v>1.1931022352085792</v>
      </c>
      <c r="AE35" s="2">
        <f t="shared" si="8"/>
        <v>0.63128930125041816</v>
      </c>
    </row>
    <row r="36" spans="2:31" x14ac:dyDescent="0.2">
      <c r="B36" s="1">
        <f>[18]FormattedData!A88</f>
        <v>403</v>
      </c>
      <c r="C36" s="1" t="str">
        <f>VLOOKUP($B36,[18]TrtCodes!$B$11:I131,2)</f>
        <v>FDL</v>
      </c>
      <c r="D36" s="1">
        <f>VLOOKUP($B36,[18]TrtCodes!$B$11:J131,3)</f>
        <v>6</v>
      </c>
      <c r="E36" s="1">
        <f>VLOOKUP($B36,[18]TrtCodes!$B$11:K131,4)</f>
        <v>1</v>
      </c>
      <c r="F36" s="1">
        <f>VLOOKUP($B36,[18]TrtCodes!$B$11:L131,5)</f>
        <v>3</v>
      </c>
      <c r="G36" s="1">
        <f>VLOOKUP($B36,[18]TrtCodes!$B$11:M131,6)</f>
        <v>1</v>
      </c>
      <c r="H36" s="1">
        <f>VLOOKUP($B36,[18]TrtCodes!$B$11:N131,7)</f>
        <v>3</v>
      </c>
      <c r="I36" s="1">
        <f>[18]FormattedData!B88</f>
        <v>1</v>
      </c>
      <c r="J36" s="4">
        <f>[18]FormattedData!C88</f>
        <v>13.385999999999999</v>
      </c>
      <c r="K36" s="6">
        <f>$J$3+[18]FormattedData!D88*$J$4+$M$4*$J$5+[18]FormattedData!D88^2*$J$6+$M$5*$J$7</f>
        <v>36.187995813829147</v>
      </c>
      <c r="L36" s="6">
        <f>$J$3+[18]FormattedData!E88*$J$4+$M$4*$J$5+[18]FormattedData!E88^2*$J$6+$M$5*$J$7</f>
        <v>32.562878332198672</v>
      </c>
      <c r="M36" s="6">
        <f>$J$3+[18]FormattedData!F88*$J$4+$M$4*$J$5+[18]FormattedData!F88^2*$J$6+$M$5*$J$7</f>
        <v>34.096682850297903</v>
      </c>
      <c r="N36" s="6">
        <f>$J$3+[18]FormattedData!G88*$J$4+$M$4*$J$5+[18]FormattedData!G88^2*$J$6+$M$5*$J$7</f>
        <v>30.824414076730093</v>
      </c>
      <c r="O36" s="6">
        <f>$J$3+[18]FormattedData!H88*$J$4+$M$4*$J$5+[18]FormattedData!H88^2*$J$6+$M$5*$J$7</f>
        <v>32.755195656492106</v>
      </c>
      <c r="P36" s="6">
        <f>$J$3+[18]FormattedData!I88*$J$4+$M$4*$J$5+[18]FormattedData!I88^2*$J$6+$M$5*$J$7</f>
        <v>30.727431178093717</v>
      </c>
      <c r="Q36" s="6">
        <f>$J$3+[18]FormattedData!J88*$J$4+$M$4*$J$5+[18]FormattedData!J88^2*$J$6+$M$5*$J$7</f>
        <v>31.598755598455597</v>
      </c>
      <c r="R36" s="6">
        <f>$J$3+[18]FormattedData!K88*$J$4+$M$4*$J$5+[18]FormattedData!K88^2*$J$6+$M$5*$J$7</f>
        <v>30.727431178093717</v>
      </c>
      <c r="S36" s="6">
        <f>$J$3+[18]FormattedData!L88*$J$4+$M$4*$J$5+[18]FormattedData!L88^2*$J$6+$M$5*$J$7</f>
        <v>41.879633499847628</v>
      </c>
      <c r="T36" s="6">
        <f>$J$3+[18]FormattedData!M88*$J$4+$M$4*$J$5+[18]FormattedData!M88^2*$J$6+$M$5*$J$7</f>
        <v>32.274085331724017</v>
      </c>
      <c r="U36" s="6">
        <f>$J$3+[18]FormattedData!N88*$J$4+$M$4*$J$5+[18]FormattedData!N88^2*$J$6+$M$5*$J$7</f>
        <v>34.383066544110477</v>
      </c>
      <c r="V36" s="6">
        <f>$J$3+[18]FormattedData!O88*$J$4+$M$4*$J$5+[18]FormattedData!O88^2*$J$6+$M$5*$J$7</f>
        <v>30.727431178093717</v>
      </c>
      <c r="W36" s="5">
        <f t="shared" si="0"/>
        <v>33.228750103163897</v>
      </c>
      <c r="X36" s="4">
        <f t="shared" si="1"/>
        <v>0.93122271846060478</v>
      </c>
      <c r="Y36" s="3">
        <f t="shared" si="2"/>
        <v>30.727431178093717</v>
      </c>
      <c r="Z36" s="2">
        <f t="shared" si="3"/>
        <v>30.800168352070997</v>
      </c>
      <c r="AA36" s="3">
        <f t="shared" si="4"/>
        <v>32.418481831961344</v>
      </c>
      <c r="AB36" s="2">
        <f t="shared" si="5"/>
        <v>34.168278773751048</v>
      </c>
      <c r="AC36" s="2">
        <f t="shared" si="6"/>
        <v>41.879633499847628</v>
      </c>
      <c r="AD36" s="2">
        <f t="shared" si="7"/>
        <v>1.9793490549445902</v>
      </c>
      <c r="AE36" s="2">
        <f t="shared" si="8"/>
        <v>4.4629666913263915</v>
      </c>
    </row>
    <row r="37" spans="2:31" x14ac:dyDescent="0.2">
      <c r="B37" s="1">
        <f>[18]FormattedData!A86</f>
        <v>404</v>
      </c>
      <c r="C37" s="1" t="str">
        <f>VLOOKUP($B37,[18]TrtCodes!$B$11:I129,2)</f>
        <v>FTH</v>
      </c>
      <c r="D37" s="1">
        <f>VLOOKUP($B37,[18]TrtCodes!$B$11:J129,3)</f>
        <v>3</v>
      </c>
      <c r="E37" s="1">
        <f>VLOOKUP($B37,[18]TrtCodes!$B$11:K129,4)</f>
        <v>1</v>
      </c>
      <c r="F37" s="1">
        <f>VLOOKUP($B37,[18]TrtCodes!$B$11:L129,5)</f>
        <v>2</v>
      </c>
      <c r="G37" s="1">
        <f>VLOOKUP($B37,[18]TrtCodes!$B$11:M129,6)</f>
        <v>2</v>
      </c>
      <c r="H37" s="1">
        <f>VLOOKUP($B37,[18]TrtCodes!$B$11:N129,7)</f>
        <v>3</v>
      </c>
      <c r="I37" s="1">
        <f>[18]FormattedData!B86</f>
        <v>1</v>
      </c>
      <c r="J37" s="4">
        <f>[18]FormattedData!C86</f>
        <v>13.37</v>
      </c>
      <c r="K37" s="6">
        <f>$J$3+[18]FormattedData!D86*$J$4+$M$4*$J$5+[18]FormattedData!D86^2*$J$6+$M$5*$J$7</f>
        <v>39.006816759058182</v>
      </c>
      <c r="L37" s="6">
        <f>$J$3+[18]FormattedData!E86*$J$4+$M$4*$J$5+[18]FormattedData!E86^2*$J$6+$M$5*$J$7</f>
        <v>34.85952732970614</v>
      </c>
      <c r="M37" s="6">
        <f>$J$3+[18]FormattedData!F86*$J$4+$M$4*$J$5+[18]FormattedData!F86^2*$J$6+$M$5*$J$7</f>
        <v>30.533338575207168</v>
      </c>
      <c r="N37" s="6">
        <f>$J$3+[18]FormattedData!G86*$J$4+$M$4*$J$5+[18]FormattedData!G86^2*$J$6+$M$5*$J$7</f>
        <v>30.630406010919405</v>
      </c>
      <c r="O37" s="6">
        <f>$J$3+[18]FormattedData!H86*$J$4+$M$4*$J$5+[18]FormattedData!H86^2*$J$6+$M$5*$J$7</f>
        <v>32.659058128614355</v>
      </c>
      <c r="P37" s="6">
        <f>$J$3+[18]FormattedData!I86*$J$4+$M$4*$J$5+[18]FormattedData!I86^2*$J$6+$M$5*$J$7</f>
        <v>31.018253068389054</v>
      </c>
      <c r="Q37" s="6">
        <f>$J$3+[18]FormattedData!J86*$J$4+$M$4*$J$5+[18]FormattedData!J86^2*$J$6+$M$5*$J$7</f>
        <v>36.471589784138253</v>
      </c>
      <c r="R37" s="6">
        <f>$J$3+[18]FormattedData!K86*$J$4+$M$4*$J$5+[18]FormattedData!K86^2*$J$6+$M$5*$J$7</f>
        <v>30.824414076730093</v>
      </c>
      <c r="S37" s="6">
        <f>$J$3+[18]FormattedData!L86*$J$4+$M$4*$J$5+[18]FormattedData!L86^2*$J$6+$M$5*$J$7</f>
        <v>30.241882656842861</v>
      </c>
      <c r="T37" s="6">
        <f>$J$3+[18]FormattedData!M86*$J$4+$M$4*$J$5+[18]FormattedData!M86^2*$J$6+$M$5*$J$7</f>
        <v>33.139323082623818</v>
      </c>
      <c r="U37" s="6">
        <f>$J$3+[18]FormattedData!N86*$J$4+$M$4*$J$5+[18]FormattedData!N86^2*$J$6+$M$5*$J$7</f>
        <v>35.524797150946952</v>
      </c>
      <c r="V37" s="6">
        <f>$J$3+[18]FormattedData!O86*$J$4+$M$4*$J$5+[18]FormattedData!O86^2*$J$6+$M$5*$J$7</f>
        <v>32.177736461156613</v>
      </c>
      <c r="W37" s="5">
        <f t="shared" si="0"/>
        <v>33.090595257027736</v>
      </c>
      <c r="X37" s="4">
        <f t="shared" si="1"/>
        <v>0.81019360713461208</v>
      </c>
      <c r="Y37" s="3">
        <f t="shared" si="2"/>
        <v>30.241882656842861</v>
      </c>
      <c r="Z37" s="2">
        <f t="shared" si="3"/>
        <v>30.77591206027742</v>
      </c>
      <c r="AA37" s="3">
        <f t="shared" si="4"/>
        <v>32.41839729488548</v>
      </c>
      <c r="AB37" s="2">
        <f t="shared" si="5"/>
        <v>35.025844785016346</v>
      </c>
      <c r="AC37" s="2">
        <f t="shared" si="6"/>
        <v>39.006816759058182</v>
      </c>
      <c r="AD37" s="2">
        <f t="shared" si="7"/>
        <v>0.93547046930531108</v>
      </c>
      <c r="AE37" s="2">
        <f t="shared" si="8"/>
        <v>8.4756198414517314E-3</v>
      </c>
    </row>
    <row r="38" spans="2:31" x14ac:dyDescent="0.2">
      <c r="B38" s="1">
        <f>[18]FormattedData!A84</f>
        <v>405</v>
      </c>
      <c r="C38" s="1" t="str">
        <f>VLOOKUP($B38,[18]TrtCodes!$B$11:I127,2)</f>
        <v>FDL</v>
      </c>
      <c r="D38" s="1">
        <f>VLOOKUP($B38,[18]TrtCodes!$B$11:J127,3)</f>
        <v>6</v>
      </c>
      <c r="E38" s="1">
        <f>VLOOKUP($B38,[18]TrtCodes!$B$11:K127,4)</f>
        <v>1</v>
      </c>
      <c r="F38" s="1">
        <f>VLOOKUP($B38,[18]TrtCodes!$B$11:L127,5)</f>
        <v>3</v>
      </c>
      <c r="G38" s="1">
        <f>VLOOKUP($B38,[18]TrtCodes!$B$11:M127,6)</f>
        <v>1</v>
      </c>
      <c r="H38" s="1">
        <f>VLOOKUP($B38,[18]TrtCodes!$B$11:N127,7)</f>
        <v>4</v>
      </c>
      <c r="I38" s="1">
        <f>[18]FormattedData!B84</f>
        <v>1</v>
      </c>
      <c r="J38" s="4">
        <f>[18]FormattedData!C84</f>
        <v>13.355</v>
      </c>
      <c r="K38" s="6">
        <f>$J$3+[18]FormattedData!D84*$J$4+$M$4*$J$5+[18]FormattedData!D84^2*$J$6+$M$5*$J$7</f>
        <v>37.225980555960263</v>
      </c>
      <c r="L38" s="6">
        <f>$J$3+[18]FormattedData!E84*$J$4+$M$4*$J$5+[18]FormattedData!E84^2*$J$6+$M$5*$J$7</f>
        <v>33.235249267811916</v>
      </c>
      <c r="M38" s="6">
        <f>$J$3+[18]FormattedData!F84*$J$4+$M$4*$J$5+[18]FormattedData!F84^2*$J$6+$M$5*$J$7</f>
        <v>39.472921752860714</v>
      </c>
      <c r="N38" s="6">
        <f>$J$3+[18]FormattedData!G84*$J$4+$M$4*$J$5+[18]FormattedData!G84^2*$J$6+$M$5*$J$7</f>
        <v>33.809918739643955</v>
      </c>
      <c r="O38" s="6">
        <f>$J$3+[18]FormattedData!H84*$J$4+$M$4*$J$5+[18]FormattedData!H84^2*$J$6+$M$5*$J$7</f>
        <v>35.998721824266738</v>
      </c>
      <c r="P38" s="6">
        <f>$J$3+[18]FormattedData!I84*$J$4+$M$4*$J$5+[18]FormattedData!I84^2*$J$6+$M$5*$J$7</f>
        <v>32.08134532205127</v>
      </c>
      <c r="Q38" s="6">
        <f>$J$3+[18]FormattedData!J84*$J$4+$M$4*$J$5+[18]FormattedData!J84^2*$J$6+$M$5*$J$7</f>
        <v>36.566036570498767</v>
      </c>
      <c r="R38" s="6">
        <f>$J$3+[18]FormattedData!K84*$J$4+$M$4*$J$5+[18]FormattedData!K84^2*$J$6+$M$5*$J$7</f>
        <v>31.791918293507656</v>
      </c>
      <c r="S38" s="6">
        <f>$J$3+[18]FormattedData!L84*$J$4+$M$4*$J$5+[18]FormattedData!L84^2*$J$6+$M$5*$J$7</f>
        <v>39.006816759058182</v>
      </c>
      <c r="T38" s="6">
        <f>$J$3+[18]FormattedData!M84*$J$4+$M$4*$J$5+[18]FormattedData!M84^2*$J$6+$M$5*$J$7</f>
        <v>31.984911914408002</v>
      </c>
      <c r="U38" s="6">
        <f>$J$3+[18]FormattedData!N84*$J$4+$M$4*$J$5+[18]FormattedData!N84^2*$J$6+$M$5*$J$7</f>
        <v>37.696101060866248</v>
      </c>
      <c r="V38" s="6">
        <f>$J$3+[18]FormattedData!O84*$J$4+$M$4*$J$5+[18]FormattedData!O84^2*$J$6+$M$5*$J$7</f>
        <v>33.139323082623818</v>
      </c>
      <c r="W38" s="5">
        <f t="shared" si="0"/>
        <v>35.167437095296464</v>
      </c>
      <c r="X38" s="4">
        <f t="shared" si="1"/>
        <v>0.81320959800534964</v>
      </c>
      <c r="Y38" s="3">
        <f t="shared" si="2"/>
        <v>31.791918293507656</v>
      </c>
      <c r="Z38" s="2">
        <f t="shared" si="3"/>
        <v>32.874828642480679</v>
      </c>
      <c r="AA38" s="3">
        <f t="shared" si="4"/>
        <v>34.90432028195535</v>
      </c>
      <c r="AB38" s="2">
        <f t="shared" si="5"/>
        <v>37.343510682186761</v>
      </c>
      <c r="AC38" s="2">
        <f t="shared" si="6"/>
        <v>39.472921752860714</v>
      </c>
      <c r="AD38" s="2">
        <f t="shared" si="7"/>
        <v>0.22674385378738948</v>
      </c>
      <c r="AE38" s="2">
        <f t="shared" si="8"/>
        <v>-1.5776112139732303</v>
      </c>
    </row>
    <row r="39" spans="2:31" x14ac:dyDescent="0.2">
      <c r="B39" s="1">
        <f>[18]FormattedData!A82</f>
        <v>406</v>
      </c>
      <c r="C39" s="1" t="str">
        <f>VLOOKUP($B39,[18]TrtCodes!$B$11:I125,2)</f>
        <v>FTH</v>
      </c>
      <c r="D39" s="1">
        <f>VLOOKUP($B39,[18]TrtCodes!$B$11:J125,3)</f>
        <v>3</v>
      </c>
      <c r="E39" s="1">
        <f>VLOOKUP($B39,[18]TrtCodes!$B$11:K125,4)</f>
        <v>1</v>
      </c>
      <c r="F39" s="1">
        <f>VLOOKUP($B39,[18]TrtCodes!$B$11:L125,5)</f>
        <v>2</v>
      </c>
      <c r="G39" s="1">
        <f>VLOOKUP($B39,[18]TrtCodes!$B$11:M125,6)</f>
        <v>2</v>
      </c>
      <c r="H39" s="1">
        <f>VLOOKUP($B39,[18]TrtCodes!$B$11:N125,7)</f>
        <v>4</v>
      </c>
      <c r="I39" s="1">
        <f>[18]FormattedData!B82</f>
        <v>1</v>
      </c>
      <c r="J39" s="4">
        <f>[18]FormattedData!C82</f>
        <v>13.34</v>
      </c>
      <c r="K39" s="6">
        <f>$J$3+[18]FormattedData!D82*$J$4+$M$4*$J$5+[18]FormattedData!D82^2*$J$6+$M$5*$J$7</f>
        <v>40.21649177897234</v>
      </c>
      <c r="L39" s="6">
        <f>$J$3+[18]FormattedData!E82*$J$4+$M$4*$J$5+[18]FormattedData!E82^2*$J$6+$M$5*$J$7</f>
        <v>34.764319709662864</v>
      </c>
      <c r="M39" s="6">
        <f>$J$3+[18]FormattedData!F82*$J$4+$M$4*$J$5+[18]FormattedData!F82^2*$J$6+$M$5*$J$7</f>
        <v>33.618531323184996</v>
      </c>
      <c r="N39" s="6">
        <f>$J$3+[18]FormattedData!G82*$J$4+$M$4*$J$5+[18]FormattedData!G82^2*$J$6+$M$5*$J$7</f>
        <v>31.502110848122665</v>
      </c>
      <c r="O39" s="6">
        <f>$J$3+[18]FormattedData!H82*$J$4+$M$4*$J$5+[18]FormattedData!H82^2*$J$6+$M$5*$J$7</f>
        <v>31.888436238226795</v>
      </c>
      <c r="P39" s="6">
        <f>$J$3+[18]FormattedData!I82*$J$4+$M$4*$J$5+[18]FormattedData!I82^2*$J$6+$M$5*$J$7</f>
        <v>30.824414076730093</v>
      </c>
      <c r="Q39" s="6">
        <f>$J$3+[18]FormattedData!J82*$J$4+$M$4*$J$5+[18]FormattedData!J82^2*$J$6+$M$5*$J$7</f>
        <v>32.466656267245057</v>
      </c>
      <c r="R39" s="6">
        <f>$J$3+[18]FormattedData!K82*$J$4+$M$4*$J$5+[18]FormattedData!K82^2*$J$6+$M$5*$J$7</f>
        <v>31.984911914408002</v>
      </c>
      <c r="S39" s="6">
        <f>$J$3+[18]FormattedData!L82*$J$4+$M$4*$J$5+[18]FormattedData!L82^2*$J$6+$M$5*$J$7</f>
        <v>32.562878332198672</v>
      </c>
      <c r="T39" s="6">
        <f>$J$3+[18]FormattedData!M82*$J$4+$M$4*$J$5+[18]FormattedData!M82^2*$J$6+$M$5*$J$7</f>
        <v>31.695358080250593</v>
      </c>
      <c r="U39" s="6">
        <f>$J$3+[18]FormattedData!N82*$J$4+$M$4*$J$5+[18]FormattedData!N82^2*$J$6+$M$5*$J$7</f>
        <v>33.235249267811916</v>
      </c>
      <c r="V39" s="6">
        <f>$J$3+[18]FormattedData!O82*$J$4+$M$4*$J$5+[18]FormattedData!O82^2*$J$6+$M$5*$J$7</f>
        <v>30.436228870956999</v>
      </c>
      <c r="W39" s="5">
        <f t="shared" si="0"/>
        <v>32.932965558980918</v>
      </c>
      <c r="X39" s="4">
        <f t="shared" si="1"/>
        <v>0.74654733112096738</v>
      </c>
      <c r="Y39" s="3">
        <f t="shared" si="2"/>
        <v>30.436228870956999</v>
      </c>
      <c r="Z39" s="2">
        <f t="shared" si="3"/>
        <v>31.64704627221861</v>
      </c>
      <c r="AA39" s="3">
        <f t="shared" si="4"/>
        <v>32.225784090826529</v>
      </c>
      <c r="AB39" s="2">
        <f t="shared" si="5"/>
        <v>33.331069781655188</v>
      </c>
      <c r="AC39" s="2">
        <f t="shared" si="6"/>
        <v>40.21649177897234</v>
      </c>
      <c r="AD39" s="2">
        <f t="shared" si="7"/>
        <v>2.2767763683737248</v>
      </c>
      <c r="AE39" s="2">
        <f t="shared" si="8"/>
        <v>6.1582863731925848</v>
      </c>
    </row>
    <row r="40" spans="2:31" x14ac:dyDescent="0.2">
      <c r="B40" s="1">
        <f>[18]FormattedData!A80</f>
        <v>407</v>
      </c>
      <c r="C40" s="1" t="str">
        <f>VLOOKUP($B40,[18]TrtCodes!$B$11:I123,2)</f>
        <v>NSH</v>
      </c>
      <c r="D40" s="1">
        <f>VLOOKUP($B40,[18]TrtCodes!$B$11:J123,3)</f>
        <v>7</v>
      </c>
      <c r="E40" s="1">
        <f>VLOOKUP($B40,[18]TrtCodes!$B$11:K123,4)</f>
        <v>2</v>
      </c>
      <c r="F40" s="1">
        <f>VLOOKUP($B40,[18]TrtCodes!$B$11:L123,5)</f>
        <v>1</v>
      </c>
      <c r="G40" s="1">
        <f>VLOOKUP($B40,[18]TrtCodes!$B$11:M123,6)</f>
        <v>2</v>
      </c>
      <c r="H40" s="1">
        <f>VLOOKUP($B40,[18]TrtCodes!$B$11:N123,7)</f>
        <v>4</v>
      </c>
      <c r="I40" s="1">
        <f>[18]FormattedData!B80</f>
        <v>1</v>
      </c>
      <c r="J40" s="4">
        <f>[18]FormattedData!C80</f>
        <v>13.324999999999999</v>
      </c>
      <c r="K40" s="6">
        <f>$J$3+[18]FormattedData!D80*$J$4+$M$4*$J$5+[18]FormattedData!D80^2*$J$6+$M$5*$J$7</f>
        <v>43.620314591910962</v>
      </c>
      <c r="L40" s="6">
        <f>$J$3+[18]FormattedData!E80*$J$4+$M$4*$J$5+[18]FormattedData!E80^2*$J$6+$M$5*$J$7</f>
        <v>33.139323082623818</v>
      </c>
      <c r="M40" s="6">
        <f>$J$3+[18]FormattedData!F80*$J$4+$M$4*$J$5+[18]FormattedData!F80^2*$J$6+$M$5*$J$7</f>
        <v>43.802656541252652</v>
      </c>
      <c r="N40" s="6">
        <f>$J$3+[18]FormattedData!G80*$J$4+$M$4*$J$5+[18]FormattedData!G80^2*$J$6+$M$5*$J$7</f>
        <v>33.618531323184996</v>
      </c>
      <c r="O40" s="6">
        <f>$J$3+[18]FormattedData!H80*$J$4+$M$4*$J$5+[18]FormattedData!H80^2*$J$6+$M$5*$J$7</f>
        <v>39.37978529117607</v>
      </c>
      <c r="P40" s="6">
        <f>$J$3+[18]FormattedData!I80*$J$4+$M$4*$J$5+[18]FormattedData!I80^2*$J$6+$M$5*$J$7</f>
        <v>33.331133184462082</v>
      </c>
      <c r="Q40" s="6">
        <f>$J$3+[18]FormattedData!J80*$J$4+$M$4*$J$5+[18]FormattedData!J80^2*$J$6+$M$5*$J$7</f>
        <v>41.511229969826303</v>
      </c>
      <c r="R40" s="6">
        <f>$J$3+[18]FormattedData!K80*$J$4+$M$4*$J$5+[18]FormattedData!K80^2*$J$6+$M$5*$J$7</f>
        <v>32.08134532205127</v>
      </c>
      <c r="S40" s="6">
        <f>$J$3+[18]FormattedData!L80*$J$4+$M$4*$J$5+[18]FormattedData!L80^2*$J$6+$M$5*$J$7</f>
        <v>37.602161496960917</v>
      </c>
      <c r="T40" s="6">
        <f>$J$3+[18]FormattedData!M80*$J$4+$M$4*$J$5+[18]FormattedData!M80^2*$J$6+$M$5*$J$7</f>
        <v>33.618531323184996</v>
      </c>
      <c r="U40" s="6">
        <f>$J$3+[18]FormattedData!N80*$J$4+$M$4*$J$5+[18]FormattedData!N80^2*$J$6+$M$5*$J$7</f>
        <v>38.071436631108284</v>
      </c>
      <c r="V40" s="6">
        <f>$J$3+[18]FormattedData!O80*$J$4+$M$4*$J$5+[18]FormattedData!O80^2*$J$6+$M$5*$J$7</f>
        <v>31.115109161411635</v>
      </c>
      <c r="W40" s="5">
        <f t="shared" si="0"/>
        <v>36.7409631599295</v>
      </c>
      <c r="X40" s="4">
        <f t="shared" si="1"/>
        <v>1.3110365547272211</v>
      </c>
      <c r="Y40" s="3">
        <f t="shared" si="2"/>
        <v>31.115109161411635</v>
      </c>
      <c r="Z40" s="2">
        <f t="shared" si="3"/>
        <v>33.283180659002518</v>
      </c>
      <c r="AA40" s="3">
        <f t="shared" si="4"/>
        <v>35.610346410072957</v>
      </c>
      <c r="AB40" s="2">
        <f t="shared" si="5"/>
        <v>39.91264646083863</v>
      </c>
      <c r="AC40" s="2">
        <f t="shared" si="6"/>
        <v>43.802656541252652</v>
      </c>
      <c r="AD40" s="2">
        <f t="shared" si="7"/>
        <v>0.44389007056804863</v>
      </c>
      <c r="AE40" s="2">
        <f t="shared" si="8"/>
        <v>-1.3430775532669146</v>
      </c>
    </row>
    <row r="41" spans="2:31" x14ac:dyDescent="0.2">
      <c r="B41" s="1">
        <f>[18]FormattedData!A78</f>
        <v>408</v>
      </c>
      <c r="C41" s="1" t="str">
        <f>VLOOKUP($B41,[18]TrtCodes!$B$11:I121,2)</f>
        <v>NTL</v>
      </c>
      <c r="D41" s="1">
        <f>VLOOKUP($B41,[18]TrtCodes!$B$11:J121,3)</f>
        <v>10</v>
      </c>
      <c r="E41" s="1">
        <f>VLOOKUP($B41,[18]TrtCodes!$B$11:K121,4)</f>
        <v>2</v>
      </c>
      <c r="F41" s="1">
        <f>VLOOKUP($B41,[18]TrtCodes!$B$11:L121,5)</f>
        <v>2</v>
      </c>
      <c r="G41" s="1">
        <f>VLOOKUP($B41,[18]TrtCodes!$B$11:M121,6)</f>
        <v>1</v>
      </c>
      <c r="H41" s="1">
        <f>VLOOKUP($B41,[18]TrtCodes!$B$11:N121,7)</f>
        <v>4</v>
      </c>
      <c r="I41" s="1">
        <f>[18]FormattedData!B78</f>
        <v>1</v>
      </c>
      <c r="J41" s="4">
        <f>[18]FormattedData!C78</f>
        <v>13.311</v>
      </c>
      <c r="K41" s="6">
        <f>$J$3+[18]FormattedData!D78*$J$4+$M$4*$J$5+[18]FormattedData!D78^2*$J$6+$M$5*$J$7</f>
        <v>39.566015946007425</v>
      </c>
      <c r="L41" s="6">
        <f>$J$3+[18]FormattedData!E78*$J$4+$M$4*$J$5+[18]FormattedData!E78^2*$J$6+$M$5*$J$7</f>
        <v>32.274085331724017</v>
      </c>
      <c r="M41" s="6">
        <f>$J$3+[18]FormattedData!F78*$J$4+$M$4*$J$5+[18]FormattedData!F78^2*$J$6+$M$5*$J$7</f>
        <v>34.85952732970614</v>
      </c>
      <c r="N41" s="6">
        <f>$J$3+[18]FormattedData!G78*$J$4+$M$4*$J$5+[18]FormattedData!G78^2*$J$6+$M$5*$J$7</f>
        <v>32.562878332198672</v>
      </c>
      <c r="O41" s="6">
        <f>$J$3+[18]FormattedData!H78*$J$4+$M$4*$J$5+[18]FormattedData!H78^2*$J$6+$M$5*$J$7</f>
        <v>34.287647581377549</v>
      </c>
      <c r="P41" s="6">
        <f>$J$3+[18]FormattedData!I78*$J$4+$M$4*$J$5+[18]FormattedData!I78^2*$J$6+$M$5*$J$7</f>
        <v>32.562878332198672</v>
      </c>
      <c r="Q41" s="6">
        <f>$J$3+[18]FormattedData!J78*$J$4+$M$4*$J$5+[18]FormattedData!J78^2*$J$6+$M$5*$J$7</f>
        <v>33.043354628897788</v>
      </c>
      <c r="R41" s="6">
        <f>$J$3+[18]FormattedData!K78*$J$4+$M$4*$J$5+[18]FormattedData!K78^2*$J$6+$M$5*$J$7</f>
        <v>32.755195656492106</v>
      </c>
      <c r="S41" s="6">
        <f>$J$3+[18]FormattedData!L78*$J$4+$M$4*$J$5+[18]FormattedData!L78^2*$J$6+$M$5*$J$7</f>
        <v>35.429885410669208</v>
      </c>
      <c r="T41" s="6">
        <f>$J$3+[18]FormattedData!M78*$J$4+$M$4*$J$5+[18]FormattedData!M78^2*$J$6+$M$5*$J$7</f>
        <v>34.192186350106695</v>
      </c>
      <c r="U41" s="6">
        <f>$J$3+[18]FormattedData!N78*$J$4+$M$4*$J$5+[18]FormattedData!N78^2*$J$6+$M$5*$J$7</f>
        <v>35.904021426678653</v>
      </c>
      <c r="V41" s="6">
        <f>$J$3+[18]FormattedData!O78*$J$4+$M$4*$J$5+[18]FormattedData!O78^2*$J$6+$M$5*$J$7</f>
        <v>33.139323082623818</v>
      </c>
      <c r="W41" s="5">
        <f t="shared" si="0"/>
        <v>34.214749950723395</v>
      </c>
      <c r="X41" s="4">
        <f t="shared" si="1"/>
        <v>0.59842184272909649</v>
      </c>
      <c r="Y41" s="3">
        <f t="shared" si="2"/>
        <v>32.274085331724017</v>
      </c>
      <c r="Z41" s="2">
        <f t="shared" si="3"/>
        <v>32.707116325418745</v>
      </c>
      <c r="AA41" s="3">
        <f t="shared" si="4"/>
        <v>33.665754716365257</v>
      </c>
      <c r="AB41" s="2">
        <f t="shared" si="5"/>
        <v>35.002116849946908</v>
      </c>
      <c r="AC41" s="2">
        <f t="shared" si="6"/>
        <v>39.566015946007425</v>
      </c>
      <c r="AD41" s="2">
        <f t="shared" si="7"/>
        <v>1.6879666360939489</v>
      </c>
      <c r="AE41" s="2">
        <f t="shared" si="8"/>
        <v>3.3677173503595323</v>
      </c>
    </row>
    <row r="42" spans="2:31" x14ac:dyDescent="0.2">
      <c r="B42" s="17">
        <f>[18]FormattedData!A60</f>
        <v>901</v>
      </c>
      <c r="C42" s="17" t="str">
        <f>VLOOKUP($B42,[18]TrtCodes!$B$11:I103,2)</f>
        <v>WS</v>
      </c>
      <c r="D42" s="17">
        <f>VLOOKUP($B42,[18]TrtCodes!$B$11:J103,3)</f>
        <v>32</v>
      </c>
      <c r="E42" s="17">
        <f>VLOOKUP($B42,[18]TrtCodes!$B$11:K103,4)</f>
        <v>9</v>
      </c>
      <c r="F42" s="17">
        <f>VLOOKUP($B42,[18]TrtCodes!$B$11:L103,5)</f>
        <v>0</v>
      </c>
      <c r="G42" s="17">
        <f>VLOOKUP($B42,[18]TrtCodes!$B$11:M103,6)</f>
        <v>1</v>
      </c>
      <c r="H42" s="17">
        <f>VLOOKUP($B42,[18]TrtCodes!$B$11:N103,7)</f>
        <v>1</v>
      </c>
      <c r="I42" s="17">
        <f>[18]FormattedData!B60</f>
        <v>1</v>
      </c>
      <c r="J42" s="15">
        <f>[18]FormattedData!C60</f>
        <v>13.144</v>
      </c>
      <c r="K42" s="14">
        <f>$J$3+[18]FormattedData!D60*$J$4+$M$4*$J$5+[18]FormattedData!D60^2*$J$6+$M$5*$J$7</f>
        <v>37.977666141354668</v>
      </c>
      <c r="L42" s="14">
        <f>$J$3+[18]FormattedData!E60*$J$4+$M$4*$J$5+[18]FormattedData!E60^2*$J$6+$M$5*$J$7</f>
        <v>36.660441088321349</v>
      </c>
      <c r="M42" s="14">
        <f>$J$3+[18]FormattedData!F60*$J$4+$M$4*$J$5+[18]FormattedData!F60^2*$J$6+$M$5*$J$7</f>
        <v>36.849123318352717</v>
      </c>
      <c r="N42" s="14">
        <f>$J$3+[18]FormattedData!G60*$J$4+$M$4*$J$5+[18]FormattedData!G60^2*$J$6+$M$5*$J$7</f>
        <v>36.849123318352717</v>
      </c>
      <c r="O42" s="14">
        <f>$J$3+[18]FormattedData!H60*$J$4+$M$4*$J$5+[18]FormattedData!H60^2*$J$6+$M$5*$J$7</f>
        <v>36.943401030561496</v>
      </c>
      <c r="P42" s="14">
        <f>$J$3+[18]FormattedData!I60*$J$4+$M$4*$J$5+[18]FormattedData!I60^2*$J$6+$M$5*$J$7</f>
        <v>36.943401030561496</v>
      </c>
      <c r="Q42" s="14">
        <f>$J$3+[18]FormattedData!J60*$J$4+$M$4*$J$5+[18]FormattedData!J60^2*$J$6+$M$5*$J$7</f>
        <v>36.943401030561496</v>
      </c>
      <c r="R42" s="14">
        <f>$J$3+[18]FormattedData!K60*$J$4+$M$4*$J$5+[18]FormattedData!K60^2*$J$6+$M$5*$J$7</f>
        <v>37.602161496960917</v>
      </c>
      <c r="S42" s="14">
        <f>$J$3+[18]FormattedData!L60*$J$4+$M$4*$J$5+[18]FormattedData!L60^2*$J$6+$M$5*$J$7</f>
        <v>37.508179664517648</v>
      </c>
      <c r="T42" s="14">
        <f>$J$3+[18]FormattedData!M60*$J$4+$M$4*$J$5+[18]FormattedData!M60^2*$J$6+$M$5*$J$7</f>
        <v>37.225980555960263</v>
      </c>
      <c r="U42" s="14">
        <f>$J$3+[18]FormattedData!N60*$J$4+$M$4*$J$5+[18]FormattedData!N60^2*$J$6+$M$5*$J$7</f>
        <v>37.225980555960263</v>
      </c>
      <c r="V42" s="14">
        <f>$J$3+[18]FormattedData!O60*$J$4+$M$4*$J$5+[18]FormattedData!O60^2*$J$6+$M$5*$J$7</f>
        <v>36.943401030561496</v>
      </c>
      <c r="W42" s="16">
        <f t="shared" ref="W42:W73" si="9">AVERAGE(K42:V42)</f>
        <v>37.139355021835541</v>
      </c>
      <c r="X42" s="15">
        <f t="shared" ref="X42:X73" si="10">STDEV(K42:V42)/SQRT(COUNT(K42:V42))</f>
        <v>0.11076231225814649</v>
      </c>
      <c r="Y42" s="14">
        <f t="shared" ref="Y42:Y73" si="11">MIN(K42:V42)</f>
        <v>36.660441088321349</v>
      </c>
      <c r="Z42" s="13">
        <f t="shared" ref="Z42:Z73" si="12">QUARTILE(K42:V42,1)</f>
        <v>36.919831602509305</v>
      </c>
      <c r="AA42" s="14">
        <f t="shared" ref="AA42:AA73" si="13">MEDIAN(K42:V42)</f>
        <v>36.943401030561496</v>
      </c>
      <c r="AB42" s="13">
        <f t="shared" ref="AB42:AB73" si="14">QUARTILE(K42:V42,3)</f>
        <v>37.296530333099611</v>
      </c>
      <c r="AC42" s="13">
        <f t="shared" ref="AC42:AC73" si="15">MAX(K42:V42)</f>
        <v>37.977666141354668</v>
      </c>
      <c r="AD42" s="13">
        <f t="shared" ref="AD42:AD73" si="16">SKEW(K42:V42)</f>
        <v>1.0639338581609525</v>
      </c>
      <c r="AE42" s="13">
        <f t="shared" ref="AE42:AE73" si="17">KURT(K42:V42)</f>
        <v>0.55478743326102631</v>
      </c>
    </row>
    <row r="43" spans="2:31" x14ac:dyDescent="0.2">
      <c r="B43" s="1">
        <f>[18]FormattedData!A58</f>
        <v>902</v>
      </c>
      <c r="C43" s="1" t="str">
        <f>VLOOKUP($B43,[18]TrtCodes!$B$11:I101,2)</f>
        <v>Late</v>
      </c>
      <c r="D43" s="1">
        <f>VLOOKUP($B43,[18]TrtCodes!$B$11:J101,3)</f>
        <v>22</v>
      </c>
      <c r="E43" s="1">
        <f>VLOOKUP($B43,[18]TrtCodes!$B$11:K101,4)</f>
        <v>4</v>
      </c>
      <c r="F43" s="1">
        <f>VLOOKUP($B43,[18]TrtCodes!$B$11:L101,5)</f>
        <v>2</v>
      </c>
      <c r="G43" s="1">
        <f>VLOOKUP($B43,[18]TrtCodes!$B$11:M101,6)</f>
        <v>2</v>
      </c>
      <c r="H43" s="1">
        <f>VLOOKUP($B43,[18]TrtCodes!$B$11:N101,7)</f>
        <v>1</v>
      </c>
      <c r="I43" s="1">
        <f>[18]FormattedData!B58</f>
        <v>1</v>
      </c>
      <c r="J43" s="4">
        <f>[18]FormattedData!C58</f>
        <v>13.13</v>
      </c>
      <c r="K43" s="6">
        <f>$J$3+[18]FormattedData!D58*$J$4+$M$4*$J$5+[18]FormattedData!D58^2*$J$6+$M$5*$J$7</f>
        <v>40.401961600120934</v>
      </c>
      <c r="L43" s="6">
        <f>$J$3+[18]FormattedData!E58*$J$4+$M$4*$J$5+[18]FormattedData!E58^2*$J$6+$M$5*$J$7</f>
        <v>32.08134532205127</v>
      </c>
      <c r="M43" s="6">
        <f>$J$3+[18]FormattedData!F58*$J$4+$M$4*$J$5+[18]FormattedData!F58^2*$J$6+$M$5*$J$7</f>
        <v>35.904021426678653</v>
      </c>
      <c r="N43" s="6">
        <f>$J$3+[18]FormattedData!G58*$J$4+$M$4*$J$5+[18]FormattedData!G58^2*$J$6+$M$5*$J$7</f>
        <v>30.241882656842861</v>
      </c>
      <c r="O43" s="6">
        <f>$J$3+[18]FormattedData!H58*$J$4+$M$4*$J$5+[18]FormattedData!H58^2*$J$6+$M$5*$J$7</f>
        <v>36.754803337605992</v>
      </c>
      <c r="P43" s="6">
        <f>$J$3+[18]FormattedData!I58*$J$4+$M$4*$J$5+[18]FormattedData!I58^2*$J$6+$M$5*$J$7</f>
        <v>31.598755598455597</v>
      </c>
      <c r="Q43" s="6">
        <f>$J$3+[18]FormattedData!J58*$J$4+$M$4*$J$5+[18]FormattedData!J58^2*$J$6+$M$5*$J$7</f>
        <v>38.82007888177165</v>
      </c>
      <c r="R43" s="6">
        <f>$J$3+[18]FormattedData!K58*$J$4+$M$4*$J$5+[18]FormattedData!K58^2*$J$6+$M$5*$J$7</f>
        <v>30.921354706828541</v>
      </c>
      <c r="S43" s="6">
        <f>$J$3+[18]FormattedData!L58*$J$4+$M$4*$J$5+[18]FormattedData!L58^2*$J$6+$M$5*$J$7</f>
        <v>37.03763647423235</v>
      </c>
      <c r="T43" s="6">
        <f>$J$3+[18]FormattedData!M58*$J$4+$M$4*$J$5+[18]FormattedData!M58^2*$J$6+$M$5*$J$7</f>
        <v>39.286606560953494</v>
      </c>
      <c r="U43" s="6">
        <f>$J$3+[18]FormattedData!N58*$J$4+$M$4*$J$5+[18]FormattedData!N58^2*$J$6+$M$5*$J$7</f>
        <v>43.893764113116603</v>
      </c>
      <c r="V43" s="6">
        <f>$J$3+[18]FormattedData!O58*$J$4+$M$4*$J$5+[18]FormattedData!O58^2*$J$6+$M$5*$J$7</f>
        <v>31.115109161411635</v>
      </c>
      <c r="W43" s="5">
        <f t="shared" si="9"/>
        <v>35.6714433200058</v>
      </c>
      <c r="X43" s="4">
        <f t="shared" si="10"/>
        <v>1.2861180713208222</v>
      </c>
      <c r="Y43" s="3">
        <f t="shared" si="11"/>
        <v>30.241882656842861</v>
      </c>
      <c r="Z43" s="2">
        <f t="shared" si="12"/>
        <v>31.477843989194607</v>
      </c>
      <c r="AA43" s="3">
        <f t="shared" si="13"/>
        <v>36.329412382142323</v>
      </c>
      <c r="AB43" s="2">
        <f t="shared" si="14"/>
        <v>38.936710801567109</v>
      </c>
      <c r="AC43" s="2">
        <f t="shared" si="15"/>
        <v>43.893764113116603</v>
      </c>
      <c r="AD43" s="2">
        <f t="shared" si="16"/>
        <v>0.33107538482244325</v>
      </c>
      <c r="AE43" s="2">
        <f t="shared" si="17"/>
        <v>-0.9954152879068241</v>
      </c>
    </row>
    <row r="44" spans="2:31" x14ac:dyDescent="0.2">
      <c r="B44" s="17">
        <f>[18]FormattedData!A56</f>
        <v>903</v>
      </c>
      <c r="C44" s="17" t="str">
        <f>VLOOKUP($B44,[18]TrtCodes!$B$11:I99,2)</f>
        <v>DS</v>
      </c>
      <c r="D44" s="17">
        <f>VLOOKUP($B44,[18]TrtCodes!$B$11:J99,3)</f>
        <v>31</v>
      </c>
      <c r="E44" s="17">
        <f>VLOOKUP($B44,[18]TrtCodes!$B$11:K99,4)</f>
        <v>8</v>
      </c>
      <c r="F44" s="17">
        <f>VLOOKUP($B44,[18]TrtCodes!$B$11:L99,5)</f>
        <v>0</v>
      </c>
      <c r="G44" s="17">
        <f>VLOOKUP($B44,[18]TrtCodes!$B$11:M99,6)</f>
        <v>1</v>
      </c>
      <c r="H44" s="17">
        <f>VLOOKUP($B44,[18]TrtCodes!$B$11:N99,7)</f>
        <v>1</v>
      </c>
      <c r="I44" s="17">
        <f>[18]FormattedData!B56</f>
        <v>1</v>
      </c>
      <c r="J44" s="15">
        <f>[18]FormattedData!C56</f>
        <v>13.124000000000001</v>
      </c>
      <c r="K44" s="14">
        <f>$J$3+[18]FormattedData!D56*$J$4+$M$4*$J$5+[18]FormattedData!D56^2*$J$6+$M$5*$J$7</f>
        <v>63.236693054776495</v>
      </c>
      <c r="L44" s="14">
        <f>$J$3+[18]FormattedData!E56*$J$4+$M$4*$J$5+[18]FormattedData!E56^2*$J$6+$M$5*$J$7</f>
        <v>63.073371947503816</v>
      </c>
      <c r="M44" s="14">
        <f>$J$3+[18]FormattedData!F56*$J$4+$M$4*$J$5+[18]FormattedData!F56^2*$J$6+$M$5*$J$7</f>
        <v>62.828073272560317</v>
      </c>
      <c r="N44" s="14">
        <f>$J$3+[18]FormattedData!G56*$J$4+$M$4*$J$5+[18]FormattedData!G56^2*$J$6+$M$5*$J$7</f>
        <v>62.582394180775431</v>
      </c>
      <c r="O44" s="14">
        <f>$J$3+[18]FormattedData!H56*$J$4+$M$4*$J$5+[18]FormattedData!H56^2*$J$6+$M$5*$J$7</f>
        <v>63.073371947503816</v>
      </c>
      <c r="P44" s="14">
        <f>$J$3+[18]FormattedData!I56*$J$4+$M$4*$J$5+[18]FormattedData!I56^2*$J$6+$M$5*$J$7</f>
        <v>62.909881766079415</v>
      </c>
      <c r="Q44" s="14">
        <f>$J$3+[18]FormattedData!J56*$J$4+$M$4*$J$5+[18]FormattedData!J56^2*$J$6+$M$5*$J$7</f>
        <v>62.664329479908318</v>
      </c>
      <c r="R44" s="14">
        <f>$J$3+[18]FormattedData!K56*$J$4+$M$4*$J$5+[18]FormattedData!K56^2*$J$6+$M$5*$J$7</f>
        <v>62.582394180775431</v>
      </c>
      <c r="S44" s="14">
        <f>$J$3+[18]FormattedData!L56*$J$4+$M$4*$J$5+[18]FormattedData!L56^2*$J$6+$M$5*$J$7</f>
        <v>61.843074404372501</v>
      </c>
      <c r="T44" s="14">
        <f>$J$3+[18]FormattedData!M56*$J$4+$M$4*$J$5+[18]FormattedData!M56^2*$J$6+$M$5*$J$7</f>
        <v>62.909881766079415</v>
      </c>
      <c r="U44" s="14">
        <f>$J$3+[18]FormattedData!N56*$J$4+$M$4*$J$5+[18]FormattedData!N56^2*$J$6+$M$5*$J$7</f>
        <v>63.073371947503816</v>
      </c>
      <c r="V44" s="14">
        <f>$J$3+[18]FormattedData!O56*$J$4+$M$4*$J$5+[18]FormattedData!O56^2*$J$6+$M$5*$J$7</f>
        <v>62.991647991060574</v>
      </c>
      <c r="W44" s="16">
        <f t="shared" si="9"/>
        <v>62.814040494908284</v>
      </c>
      <c r="X44" s="15">
        <f t="shared" si="10"/>
        <v>0.10670742355895557</v>
      </c>
      <c r="Y44" s="14">
        <f t="shared" si="11"/>
        <v>61.843074404372501</v>
      </c>
      <c r="Z44" s="13">
        <f t="shared" si="12"/>
        <v>62.643845655125098</v>
      </c>
      <c r="AA44" s="14">
        <f t="shared" si="13"/>
        <v>62.909881766079415</v>
      </c>
      <c r="AB44" s="13">
        <f t="shared" si="14"/>
        <v>63.073371947503816</v>
      </c>
      <c r="AC44" s="13">
        <f t="shared" si="15"/>
        <v>63.236693054776495</v>
      </c>
      <c r="AD44" s="13">
        <f t="shared" si="16"/>
        <v>-1.7461236625581209</v>
      </c>
      <c r="AE44" s="13">
        <f t="shared" si="17"/>
        <v>3.9149706519068115</v>
      </c>
    </row>
    <row r="45" spans="2:31" x14ac:dyDescent="0.2">
      <c r="B45" s="1">
        <f>[18]FormattedData!A54</f>
        <v>904</v>
      </c>
      <c r="C45" s="1" t="str">
        <f>VLOOKUP($B45,[18]TrtCodes!$B$11:I97,2)</f>
        <v>Early</v>
      </c>
      <c r="D45" s="1">
        <f>VLOOKUP($B45,[18]TrtCodes!$B$11:J97,3)</f>
        <v>21</v>
      </c>
      <c r="E45" s="1">
        <f>VLOOKUP($B45,[18]TrtCodes!$B$11:K97,4)</f>
        <v>3</v>
      </c>
      <c r="F45" s="1">
        <f>VLOOKUP($B45,[18]TrtCodes!$B$11:L97,5)</f>
        <v>2</v>
      </c>
      <c r="G45" s="1">
        <f>VLOOKUP($B45,[18]TrtCodes!$B$11:M97,6)</f>
        <v>2</v>
      </c>
      <c r="H45" s="1">
        <f>VLOOKUP($B45,[18]TrtCodes!$B$11:N97,7)</f>
        <v>1</v>
      </c>
      <c r="I45" s="1">
        <f>[18]FormattedData!B54</f>
        <v>1</v>
      </c>
      <c r="J45" s="4">
        <f>[18]FormattedData!C54</f>
        <v>13.11</v>
      </c>
      <c r="K45" s="6">
        <f>$J$3+[18]FormattedData!D54*$J$4+$M$4*$J$5+[18]FormattedData!D54^2*$J$6+$M$5*$J$7</f>
        <v>60.437240146506404</v>
      </c>
      <c r="L45" s="6">
        <f>$J$3+[18]FormattedData!E54*$J$4+$M$4*$J$5+[18]FormattedData!E54^2*$J$6+$M$5*$J$7</f>
        <v>43.802656541252652</v>
      </c>
      <c r="M45" s="6">
        <f>$J$3+[18]FormattedData!F54*$J$4+$M$4*$J$5+[18]FormattedData!F54^2*$J$6+$M$5*$J$7</f>
        <v>57.081208700638818</v>
      </c>
      <c r="N45" s="6">
        <f>$J$3+[18]FormattedData!G54*$J$4+$M$4*$J$5+[18]FormattedData!G54^2*$J$6+$M$5*$J$7</f>
        <v>42.980786310270211</v>
      </c>
      <c r="O45" s="6">
        <f>$J$3+[18]FormattedData!H54*$J$4+$M$4*$J$5+[18]FormattedData!H54^2*$J$6+$M$5*$J$7</f>
        <v>54.002957039468193</v>
      </c>
      <c r="P45" s="6">
        <f>$J$3+[18]FormattedData!I54*$J$4+$M$4*$J$5+[18]FormattedData!I54^2*$J$6+$M$5*$J$7</f>
        <v>44.983758029525362</v>
      </c>
      <c r="Q45" s="6">
        <f>$J$3+[18]FormattedData!J54*$J$4+$M$4*$J$5+[18]FormattedData!J54^2*$J$6+$M$5*$J$7</f>
        <v>57.16593372327516</v>
      </c>
      <c r="R45" s="6">
        <f>$J$3+[18]FormattedData!K54*$J$4+$M$4*$J$5+[18]FormattedData!K54^2*$J$6+$M$5*$J$7</f>
        <v>41.787596020149195</v>
      </c>
      <c r="S45" s="6">
        <f>$J$3+[18]FormattedData!L54*$J$4+$M$4*$J$5+[18]FormattedData!L54^2*$J$6+$M$5*$J$7</f>
        <v>56.741885924714111</v>
      </c>
      <c r="T45" s="6">
        <f>$J$3+[18]FormattedData!M54*$J$4+$M$4*$J$5+[18]FormattedData!M54^2*$J$6+$M$5*$J$7</f>
        <v>43.255123470772403</v>
      </c>
      <c r="U45" s="6">
        <f>$J$3+[18]FormattedData!N54*$J$4+$M$4*$J$5+[18]FormattedData!N54^2*$J$6+$M$5*$J$7</f>
        <v>59.437531827118562</v>
      </c>
      <c r="V45" s="6">
        <f>$J$3+[18]FormattedData!O54*$J$4+$M$4*$J$5+[18]FormattedData!O54^2*$J$6+$M$5*$J$7</f>
        <v>44.62110302066268</v>
      </c>
      <c r="W45" s="5">
        <f t="shared" si="9"/>
        <v>50.524815062862807</v>
      </c>
      <c r="X45" s="4">
        <f t="shared" si="10"/>
        <v>2.1538851680135878</v>
      </c>
      <c r="Y45" s="3">
        <f t="shared" si="11"/>
        <v>41.787596020149195</v>
      </c>
      <c r="Z45" s="2">
        <f t="shared" si="12"/>
        <v>43.665773273632588</v>
      </c>
      <c r="AA45" s="3">
        <f t="shared" si="13"/>
        <v>49.493357534496781</v>
      </c>
      <c r="AB45" s="2">
        <f t="shared" si="14"/>
        <v>57.102389956297905</v>
      </c>
      <c r="AC45" s="2">
        <f t="shared" si="15"/>
        <v>60.437240146506404</v>
      </c>
      <c r="AD45" s="2">
        <f t="shared" si="16"/>
        <v>9.9507774724157824E-2</v>
      </c>
      <c r="AE45" s="2">
        <f t="shared" si="17"/>
        <v>-2.1288936747388023</v>
      </c>
    </row>
    <row r="46" spans="2:31" x14ac:dyDescent="0.2">
      <c r="B46" s="17">
        <f>[18]FormattedData!A52</f>
        <v>905</v>
      </c>
      <c r="C46" s="17" t="str">
        <f>VLOOKUP($B46,[18]TrtCodes!$B$11:I95,2)</f>
        <v>WS</v>
      </c>
      <c r="D46" s="17">
        <f>VLOOKUP($B46,[18]TrtCodes!$B$11:J95,3)</f>
        <v>32</v>
      </c>
      <c r="E46" s="17">
        <f>VLOOKUP($B46,[18]TrtCodes!$B$11:K95,4)</f>
        <v>9</v>
      </c>
      <c r="F46" s="17">
        <f>VLOOKUP($B46,[18]TrtCodes!$B$11:L95,5)</f>
        <v>0</v>
      </c>
      <c r="G46" s="17">
        <f>VLOOKUP($B46,[18]TrtCodes!$B$11:M95,6)</f>
        <v>1</v>
      </c>
      <c r="H46" s="17">
        <f>VLOOKUP($B46,[18]TrtCodes!$B$11:N95,7)</f>
        <v>2</v>
      </c>
      <c r="I46" s="17">
        <f>[18]FormattedData!B52</f>
        <v>1</v>
      </c>
      <c r="J46" s="15">
        <f>[18]FormattedData!C52</f>
        <v>13.103</v>
      </c>
      <c r="K46" s="14">
        <f>$J$3+[18]FormattedData!D52*$J$4+$M$4*$J$5+[18]FormattedData!D52^2*$J$6+$M$5*$J$7</f>
        <v>53.6575475940814</v>
      </c>
      <c r="L46" s="14">
        <f>$J$3+[18]FormattedData!E52*$J$4+$M$4*$J$5+[18]FormattedData!E52^2*$J$6+$M$5*$J$7</f>
        <v>53.398046690393045</v>
      </c>
      <c r="M46" s="14">
        <f>$J$3+[18]FormattedData!F52*$J$4+$M$4*$J$5+[18]FormattedData!F52^2*$J$6+$M$5*$J$7</f>
        <v>53.743963358235</v>
      </c>
      <c r="N46" s="14">
        <f>$J$3+[18]FormattedData!G52*$J$4+$M$4*$J$5+[18]FormattedData!G52^2*$J$6+$M$5*$J$7</f>
        <v>53.6575475940814</v>
      </c>
      <c r="O46" s="14">
        <f>$J$3+[18]FormattedData!H52*$J$4+$M$4*$J$5+[18]FormattedData!H52^2*$J$6+$M$5*$J$7</f>
        <v>52.617261478279666</v>
      </c>
      <c r="P46" s="14">
        <f>$J$3+[18]FormattedData!I52*$J$4+$M$4*$J$5+[18]FormattedData!I52^2*$J$6+$M$5*$J$7</f>
        <v>52.791065182959265</v>
      </c>
      <c r="Q46" s="14">
        <f>$J$3+[18]FormattedData!J52*$J$4+$M$4*$J$5+[18]FormattedData!J52^2*$J$6+$M$5*$J$7</f>
        <v>51.395901469274165</v>
      </c>
      <c r="R46" s="14">
        <f>$J$3+[18]FormattedData!K52*$J$4+$M$4*$J$5+[18]FormattedData!K52^2*$J$6+$M$5*$J$7</f>
        <v>52.182012517166868</v>
      </c>
      <c r="S46" s="14">
        <f>$J$3+[18]FormattedData!L52*$J$4+$M$4*$J$5+[18]FormattedData!L52^2*$J$6+$M$5*$J$7</f>
        <v>51.92035591804401</v>
      </c>
      <c r="T46" s="14">
        <f>$J$3+[18]FormattedData!M52*$J$4+$M$4*$J$5+[18]FormattedData!M52^2*$J$6+$M$5*$J$7</f>
        <v>52.094835919330514</v>
      </c>
      <c r="U46" s="14">
        <f>$J$3+[18]FormattedData!N52*$J$4+$M$4*$J$5+[18]FormattedData!N52^2*$J$6+$M$5*$J$7</f>
        <v>52.530296223132964</v>
      </c>
      <c r="V46" s="14">
        <f>$J$3+[18]FormattedData!O52*$J$4+$M$4*$J$5+[18]FormattedData!O52^2*$J$6+$M$5*$J$7</f>
        <v>52.791065182959265</v>
      </c>
      <c r="W46" s="16">
        <f t="shared" si="9"/>
        <v>52.731658260661469</v>
      </c>
      <c r="X46" s="15">
        <f t="shared" si="10"/>
        <v>0.22009260720962628</v>
      </c>
      <c r="Y46" s="14">
        <f t="shared" si="11"/>
        <v>51.395901469274165</v>
      </c>
      <c r="Z46" s="13">
        <f t="shared" si="12"/>
        <v>52.160218367707778</v>
      </c>
      <c r="AA46" s="14">
        <f t="shared" si="13"/>
        <v>52.704163330619465</v>
      </c>
      <c r="AB46" s="13">
        <f t="shared" si="14"/>
        <v>53.462921916315132</v>
      </c>
      <c r="AC46" s="13">
        <f t="shared" si="15"/>
        <v>53.743963358235</v>
      </c>
      <c r="AD46" s="13">
        <f t="shared" si="16"/>
        <v>-0.10587146465353396</v>
      </c>
      <c r="AE46" s="13">
        <f t="shared" si="17"/>
        <v>-0.95942782485787426</v>
      </c>
    </row>
    <row r="47" spans="2:31" x14ac:dyDescent="0.2">
      <c r="B47" s="1">
        <f>[18]FormattedData!A50</f>
        <v>906</v>
      </c>
      <c r="C47" s="1" t="str">
        <f>VLOOKUP($B47,[18]TrtCodes!$B$11:I93,2)</f>
        <v>Late</v>
      </c>
      <c r="D47" s="1">
        <f>VLOOKUP($B47,[18]TrtCodes!$B$11:J93,3)</f>
        <v>22</v>
      </c>
      <c r="E47" s="1">
        <f>VLOOKUP($B47,[18]TrtCodes!$B$11:K93,4)</f>
        <v>4</v>
      </c>
      <c r="F47" s="1">
        <f>VLOOKUP($B47,[18]TrtCodes!$B$11:L93,5)</f>
        <v>2</v>
      </c>
      <c r="G47" s="1">
        <f>VLOOKUP($B47,[18]TrtCodes!$B$11:M93,6)</f>
        <v>2</v>
      </c>
      <c r="H47" s="1">
        <f>VLOOKUP($B47,[18]TrtCodes!$B$11:N93,7)</f>
        <v>2</v>
      </c>
      <c r="I47" s="1">
        <f>[18]FormattedData!B50</f>
        <v>1</v>
      </c>
      <c r="J47" s="4">
        <f>[18]FormattedData!C50</f>
        <v>13.09</v>
      </c>
      <c r="K47" s="6">
        <f>$J$3+[18]FormattedData!D50*$J$4+$M$4*$J$5+[18]FormattedData!D50^2*$J$6+$M$5*$J$7</f>
        <v>44.075852451230709</v>
      </c>
      <c r="L47" s="6">
        <f>$J$3+[18]FormattedData!E50*$J$4+$M$4*$J$5+[18]FormattedData!E50^2*$J$6+$M$5*$J$7</f>
        <v>33.331133184462082</v>
      </c>
      <c r="M47" s="6">
        <f>$J$3+[18]FormattedData!F50*$J$4+$M$4*$J$5+[18]FormattedData!F50^2*$J$6+$M$5*$J$7</f>
        <v>35.239935124499901</v>
      </c>
      <c r="N47" s="6">
        <f>$J$3+[18]FormattedData!G50*$J$4+$M$4*$J$5+[18]FormattedData!G50^2*$J$6+$M$5*$J$7</f>
        <v>30.921354706828541</v>
      </c>
      <c r="O47" s="6">
        <f>$J$3+[18]FormattedData!H50*$J$4+$M$4*$J$5+[18]FormattedData!H50^2*$J$6+$M$5*$J$7</f>
        <v>33.139323082623818</v>
      </c>
      <c r="P47" s="6">
        <f>$J$3+[18]FormattedData!I50*$J$4+$M$4*$J$5+[18]FormattedData!I50^2*$J$6+$M$5*$J$7</f>
        <v>35.239935124499901</v>
      </c>
      <c r="Q47" s="6">
        <f>$J$3+[18]FormattedData!J50*$J$4+$M$4*$J$5+[18]FormattedData!J50^2*$J$6+$M$5*$J$7</f>
        <v>31.502110848122665</v>
      </c>
      <c r="R47" s="6">
        <f>$J$3+[18]FormattedData!K50*$J$4+$M$4*$J$5+[18]FormattedData!K50^2*$J$6+$M$5*$J$7</f>
        <v>31.791918293507656</v>
      </c>
      <c r="S47" s="6">
        <f>$J$3+[18]FormattedData!L50*$J$4+$M$4*$J$5+[18]FormattedData!L50^2*$J$6+$M$5*$J$7</f>
        <v>33.235249267811916</v>
      </c>
      <c r="T47" s="6">
        <f>$J$3+[18]FormattedData!M50*$J$4+$M$4*$J$5+[18]FormattedData!M50^2*$J$6+$M$5*$J$7</f>
        <v>33.139323082623818</v>
      </c>
      <c r="U47" s="6">
        <f>$J$3+[18]FormattedData!N50*$J$4+$M$4*$J$5+[18]FormattedData!N50^2*$J$6+$M$5*$J$7</f>
        <v>42.063581653630699</v>
      </c>
      <c r="V47" s="6">
        <f>$J$3+[18]FormattedData!O50*$J$4+$M$4*$J$5+[18]FormattedData!O50^2*$J$6+$M$5*$J$7</f>
        <v>29.755277422143724</v>
      </c>
      <c r="W47" s="5">
        <f t="shared" si="9"/>
        <v>34.45291618683212</v>
      </c>
      <c r="X47" s="4">
        <f t="shared" si="10"/>
        <v>1.2561424557175298</v>
      </c>
      <c r="Y47" s="3">
        <f t="shared" si="11"/>
        <v>29.755277422143724</v>
      </c>
      <c r="Z47" s="2">
        <f t="shared" si="12"/>
        <v>31.719466432161408</v>
      </c>
      <c r="AA47" s="3">
        <f t="shared" si="13"/>
        <v>33.187286175217864</v>
      </c>
      <c r="AB47" s="2">
        <f t="shared" si="14"/>
        <v>35.239935124499901</v>
      </c>
      <c r="AC47" s="2">
        <f t="shared" si="15"/>
        <v>44.075852451230709</v>
      </c>
      <c r="AD47" s="2">
        <f t="shared" si="16"/>
        <v>1.4999960956110765</v>
      </c>
      <c r="AE47" s="2">
        <f t="shared" si="17"/>
        <v>1.5523921904436389</v>
      </c>
    </row>
    <row r="48" spans="2:31" x14ac:dyDescent="0.2">
      <c r="B48" s="17">
        <f>[18]FormattedData!A48</f>
        <v>907</v>
      </c>
      <c r="C48" s="17" t="str">
        <f>VLOOKUP($B48,[18]TrtCodes!$B$11:I91,2)</f>
        <v>DS</v>
      </c>
      <c r="D48" s="17">
        <f>VLOOKUP($B48,[18]TrtCodes!$B$11:J91,3)</f>
        <v>31</v>
      </c>
      <c r="E48" s="17">
        <f>VLOOKUP($B48,[18]TrtCodes!$B$11:K91,4)</f>
        <v>8</v>
      </c>
      <c r="F48" s="17">
        <f>VLOOKUP($B48,[18]TrtCodes!$B$11:L91,5)</f>
        <v>0</v>
      </c>
      <c r="G48" s="17">
        <f>VLOOKUP($B48,[18]TrtCodes!$B$11:M91,6)</f>
        <v>1</v>
      </c>
      <c r="H48" s="17">
        <f>VLOOKUP($B48,[18]TrtCodes!$B$11:N91,7)</f>
        <v>2</v>
      </c>
      <c r="I48" s="17">
        <f>[18]FormattedData!B48</f>
        <v>1</v>
      </c>
      <c r="J48" s="15">
        <f>[18]FormattedData!C48</f>
        <v>13.083</v>
      </c>
      <c r="K48" s="14">
        <f>$J$3+[18]FormattedData!D48*$J$4+$M$4*$J$5+[18]FormattedData!D48^2*$J$6+$M$5*$J$7</f>
        <v>63.236693054776495</v>
      </c>
      <c r="L48" s="14">
        <f>$J$3+[18]FormattedData!E48*$J$4+$M$4*$J$5+[18]FormattedData!E48^2*$J$6+$M$5*$J$7</f>
        <v>62.74622251050328</v>
      </c>
      <c r="M48" s="14">
        <f>$J$3+[18]FormattedData!F48*$J$4+$M$4*$J$5+[18]FormattedData!F48^2*$J$6+$M$5*$J$7</f>
        <v>62.74622251050328</v>
      </c>
      <c r="N48" s="14">
        <f>$J$3+[18]FormattedData!G48*$J$4+$M$4*$J$5+[18]FormattedData!G48^2*$J$6+$M$5*$J$7</f>
        <v>62.828073272560317</v>
      </c>
      <c r="O48" s="14">
        <f>$J$3+[18]FormattedData!H48*$J$4+$M$4*$J$5+[18]FormattedData!H48^2*$J$6+$M$5*$J$7</f>
        <v>63.31829020560594</v>
      </c>
      <c r="P48" s="14">
        <f>$J$3+[18]FormattedData!I48*$J$4+$M$4*$J$5+[18]FormattedData!I48^2*$J$6+$M$5*$J$7</f>
        <v>63.155053635409118</v>
      </c>
      <c r="Q48" s="14">
        <f>$J$3+[18]FormattedData!J48*$J$4+$M$4*$J$5+[18]FormattedData!J48^2*$J$6+$M$5*$J$7</f>
        <v>63.31829020560594</v>
      </c>
      <c r="R48" s="14">
        <f>$J$3+[18]FormattedData!K48*$J$4+$M$4*$J$5+[18]FormattedData!K48^2*$J$6+$M$5*$J$7</f>
        <v>62.991647991060574</v>
      </c>
      <c r="S48" s="14">
        <f>$J$3+[18]FormattedData!L48*$J$4+$M$4*$J$5+[18]FormattedData!L48^2*$J$6+$M$5*$J$7</f>
        <v>62.991647991060574</v>
      </c>
      <c r="T48" s="14">
        <f>$J$3+[18]FormattedData!M48*$J$4+$M$4*$J$5+[18]FormattedData!M48^2*$J$6+$M$5*$J$7</f>
        <v>62.909881766079415</v>
      </c>
      <c r="U48" s="14">
        <f>$J$3+[18]FormattedData!N48*$J$4+$M$4*$J$5+[18]FormattedData!N48^2*$J$6+$M$5*$J$7</f>
        <v>63.725641931684187</v>
      </c>
      <c r="V48" s="14">
        <f>$J$3+[18]FormattedData!O48*$J$4+$M$4*$J$5+[18]FormattedData!O48^2*$J$6+$M$5*$J$7</f>
        <v>63.806985471286048</v>
      </c>
      <c r="W48" s="16">
        <f t="shared" si="9"/>
        <v>63.147887545511253</v>
      </c>
      <c r="X48" s="15">
        <f t="shared" si="10"/>
        <v>0.10167689573340451</v>
      </c>
      <c r="Y48" s="14">
        <f t="shared" si="11"/>
        <v>62.74622251050328</v>
      </c>
      <c r="Z48" s="13">
        <f t="shared" si="12"/>
        <v>62.889429642699639</v>
      </c>
      <c r="AA48" s="14">
        <f t="shared" si="13"/>
        <v>63.073350813234846</v>
      </c>
      <c r="AB48" s="13">
        <f t="shared" si="14"/>
        <v>63.31829020560594</v>
      </c>
      <c r="AC48" s="13">
        <f t="shared" si="15"/>
        <v>63.806985471286048</v>
      </c>
      <c r="AD48" s="13">
        <f t="shared" si="16"/>
        <v>0.76481947108393633</v>
      </c>
      <c r="AE48" s="13">
        <f t="shared" si="17"/>
        <v>-0.25733064826231944</v>
      </c>
    </row>
    <row r="49" spans="2:31" ht="13.5" thickBot="1" x14ac:dyDescent="0.25">
      <c r="B49" s="12">
        <f>[18]FormattedData!A46</f>
        <v>908</v>
      </c>
      <c r="C49" s="12" t="str">
        <f>VLOOKUP($B49,[18]TrtCodes!$B$11:I89,2)</f>
        <v>Early</v>
      </c>
      <c r="D49" s="12">
        <f>VLOOKUP($B49,[18]TrtCodes!$B$11:J89,3)</f>
        <v>21</v>
      </c>
      <c r="E49" s="12">
        <f>VLOOKUP($B49,[18]TrtCodes!$B$11:K89,4)</f>
        <v>3</v>
      </c>
      <c r="F49" s="12">
        <f>VLOOKUP($B49,[18]TrtCodes!$B$11:L89,5)</f>
        <v>2</v>
      </c>
      <c r="G49" s="12">
        <f>VLOOKUP($B49,[18]TrtCodes!$B$11:M89,6)</f>
        <v>2</v>
      </c>
      <c r="H49" s="12">
        <f>VLOOKUP($B49,[18]TrtCodes!$B$11:N89,7)</f>
        <v>2</v>
      </c>
      <c r="I49" s="12">
        <f>[18]FormattedData!B46</f>
        <v>1</v>
      </c>
      <c r="J49" s="9">
        <f>[18]FormattedData!C46</f>
        <v>13.07</v>
      </c>
      <c r="K49" s="11">
        <f>$J$3+[18]FormattedData!D46*$J$4+$M$4*$J$5+[18]FormattedData!D46^2*$J$6+$M$5*$J$7</f>
        <v>54.949345859902529</v>
      </c>
      <c r="L49" s="11">
        <f>$J$3+[18]FormattedData!E46*$J$4+$M$4*$J$5+[18]FormattedData!E46^2*$J$6+$M$5*$J$7</f>
        <v>42.980786310270211</v>
      </c>
      <c r="M49" s="11">
        <f>$J$3+[18]FormattedData!F46*$J$4+$M$4*$J$5+[18]FormattedData!F46^2*$J$6+$M$5*$J$7</f>
        <v>57.6733962197967</v>
      </c>
      <c r="N49" s="11">
        <f>$J$3+[18]FormattedData!G46*$J$4+$M$4*$J$5+[18]FormattedData!G46^2*$J$6+$M$5*$J$7</f>
        <v>39.845044914219976</v>
      </c>
      <c r="O49" s="11">
        <f>$J$3+[18]FormattedData!H46*$J$4+$M$4*$J$5+[18]FormattedData!H46^2*$J$6+$M$5*$J$7</f>
        <v>56.061211483044033</v>
      </c>
      <c r="P49" s="11">
        <f>$J$3+[18]FormattedData!I46*$J$4+$M$4*$J$5+[18]FormattedData!I46^2*$J$6+$M$5*$J$7</f>
        <v>38.446095904743416</v>
      </c>
      <c r="Q49" s="11">
        <f>$J$3+[18]FormattedData!J46*$J$4+$M$4*$J$5+[18]FormattedData!J46^2*$J$6+$M$5*$J$7</f>
        <v>56.401886852182535</v>
      </c>
      <c r="R49" s="11">
        <f>$J$3+[18]FormattedData!K46*$J$4+$M$4*$J$5+[18]FormattedData!K46^2*$J$6+$M$5*$J$7</f>
        <v>41.97162871100813</v>
      </c>
      <c r="S49" s="11">
        <f>$J$3+[18]FormattedData!L46*$J$4+$M$4*$J$5+[18]FormattedData!L46^2*$J$6+$M$5*$J$7</f>
        <v>54.347690188248073</v>
      </c>
      <c r="T49" s="11">
        <f>$J$3+[18]FormattedData!M46*$J$4+$M$4*$J$5+[18]FormattedData!M46^2*$J$6+$M$5*$J$7</f>
        <v>45.34573674178116</v>
      </c>
      <c r="U49" s="11">
        <f>$J$3+[18]FormattedData!N46*$J$4+$M$4*$J$5+[18]FormattedData!N46^2*$J$6+$M$5*$J$7</f>
        <v>59.688029532227603</v>
      </c>
      <c r="V49" s="11">
        <f>$J$3+[18]FormattedData!O46*$J$4+$M$4*$J$5+[18]FormattedData!O46^2*$J$6+$M$5*$J$7</f>
        <v>48.839587017219856</v>
      </c>
      <c r="W49" s="10">
        <f t="shared" si="9"/>
        <v>49.712536644553687</v>
      </c>
      <c r="X49" s="9">
        <f t="shared" si="10"/>
        <v>2.2125962086578834</v>
      </c>
      <c r="Y49" s="8">
        <f t="shared" si="11"/>
        <v>38.446095904743416</v>
      </c>
      <c r="Z49" s="7">
        <f t="shared" si="12"/>
        <v>42.728496910454695</v>
      </c>
      <c r="AA49" s="8">
        <f t="shared" si="13"/>
        <v>51.593638602733961</v>
      </c>
      <c r="AB49" s="7">
        <f t="shared" si="14"/>
        <v>56.146380325328657</v>
      </c>
      <c r="AC49" s="7">
        <f t="shared" si="15"/>
        <v>59.688029532227603</v>
      </c>
      <c r="AD49" s="7">
        <f t="shared" si="16"/>
        <v>-0.22969887987811852</v>
      </c>
      <c r="AE49" s="7">
        <f t="shared" si="17"/>
        <v>-1.7339883202102224</v>
      </c>
    </row>
    <row r="50" spans="2:31" ht="13.5" thickTop="1" x14ac:dyDescent="0.2">
      <c r="B50" s="1">
        <f>[18]FormattedData!A29</f>
        <v>101</v>
      </c>
      <c r="C50" s="1" t="str">
        <f>VLOOKUP($B50,[18]TrtCodes!$B$11:I72,2)</f>
        <v>FSH</v>
      </c>
      <c r="D50" s="1">
        <f>VLOOKUP($B50,[18]TrtCodes!$B$11:J72,3)</f>
        <v>1</v>
      </c>
      <c r="E50" s="1">
        <f>VLOOKUP($B50,[18]TrtCodes!$B$11:K72,4)</f>
        <v>1</v>
      </c>
      <c r="F50" s="1">
        <f>VLOOKUP($B50,[18]TrtCodes!$B$11:L72,5)</f>
        <v>1</v>
      </c>
      <c r="G50" s="1">
        <f>VLOOKUP($B50,[18]TrtCodes!$B$11:M72,6)</f>
        <v>2</v>
      </c>
      <c r="H50" s="1">
        <f>VLOOKUP($B50,[18]TrtCodes!$B$11:N72,7)</f>
        <v>1</v>
      </c>
      <c r="I50" s="1">
        <f>[18]FormattedData!B29</f>
        <v>2</v>
      </c>
      <c r="J50" s="4">
        <f>[18]FormattedData!C29</f>
        <v>12.944000000000001</v>
      </c>
      <c r="K50" s="6">
        <f>$J$3+[18]FormattedData!D29*$J$4+$M$4*$J$5+[18]FormattedData!D29^2*$J$6+$M$5*$J$7</f>
        <v>29.462807058869068</v>
      </c>
      <c r="L50" s="6">
        <f>$J$3+[18]FormattedData!E29*$J$4+$M$4*$J$5+[18]FormattedData!E29^2*$J$6+$M$5*$J$7</f>
        <v>30.436228870956999</v>
      </c>
      <c r="M50" s="6">
        <f>$J$3+[18]FormattedData!F29*$J$4+$M$4*$J$5+[18]FormattedData!F29^2*$J$6+$M$5*$J$7</f>
        <v>31.115109161411635</v>
      </c>
      <c r="N50" s="6">
        <f>$J$3+[18]FormattedData!G29*$J$4+$M$4*$J$5+[18]FormattedData!G29^2*$J$6+$M$5*$J$7</f>
        <v>31.211922985896294</v>
      </c>
      <c r="O50" s="6">
        <f>$J$3+[18]FormattedData!H29*$J$4+$M$4*$J$5+[18]FormattedData!H29^2*$J$6+$M$5*$J$7</f>
        <v>31.30869454184301</v>
      </c>
      <c r="P50" s="6">
        <f>$J$3+[18]FormattedData!I29*$J$4+$M$4*$J$5+[18]FormattedData!I29^2*$J$6+$M$5*$J$7</f>
        <v>30.727431178093717</v>
      </c>
      <c r="Q50" s="6">
        <f>$J$3+[18]FormattedData!J29*$J$4+$M$4*$J$5+[18]FormattedData!J29^2*$J$6+$M$5*$J$7</f>
        <v>32.370391933753503</v>
      </c>
      <c r="R50" s="6">
        <f>$J$3+[18]FormattedData!K29*$J$4+$M$4*$J$5+[18]FormattedData!K29^2*$J$6+$M$5*$J$7</f>
        <v>30.339076898168891</v>
      </c>
      <c r="S50" s="6">
        <f>$J$3+[18]FormattedData!L29*$J$4+$M$4*$J$5+[18]FormattedData!L29^2*$J$6+$M$5*$J$7</f>
        <v>30.630406010919405</v>
      </c>
      <c r="T50" s="6">
        <f>$J$3+[18]FormattedData!M29*$J$4+$M$4*$J$5+[18]FormattedData!M29^2*$J$6+$M$5*$J$7</f>
        <v>29.85268300615941</v>
      </c>
      <c r="U50" s="6">
        <f>$J$3+[18]FormattedData!N29*$J$4+$M$4*$J$5+[18]FormattedData!N29^2*$J$6+$M$5*$J$7</f>
        <v>29.462807058869068</v>
      </c>
      <c r="V50" s="6">
        <f>$J$3+[18]FormattedData!O29*$J$4+$M$4*$J$5+[18]FormattedData!O29^2*$J$6+$M$5*$J$7</f>
        <v>29.560339448498553</v>
      </c>
      <c r="W50" s="5">
        <f t="shared" si="9"/>
        <v>30.539824846119966</v>
      </c>
      <c r="X50" s="4">
        <f t="shared" si="10"/>
        <v>0.25481317506457996</v>
      </c>
      <c r="Y50" s="3">
        <f t="shared" si="11"/>
        <v>29.462807058869068</v>
      </c>
      <c r="Z50" s="2">
        <f t="shared" si="12"/>
        <v>29.779597116744196</v>
      </c>
      <c r="AA50" s="3">
        <f t="shared" si="13"/>
        <v>30.533317440938202</v>
      </c>
      <c r="AB50" s="2">
        <f t="shared" si="14"/>
        <v>31.139312617532799</v>
      </c>
      <c r="AC50" s="2">
        <f t="shared" si="15"/>
        <v>32.370391933753503</v>
      </c>
      <c r="AD50" s="2">
        <f t="shared" si="16"/>
        <v>0.52630555141428637</v>
      </c>
      <c r="AE50" s="2">
        <f t="shared" si="17"/>
        <v>4.9444332768319832E-2</v>
      </c>
    </row>
    <row r="51" spans="2:31" x14ac:dyDescent="0.2">
      <c r="B51" s="1">
        <f>[18]FormattedData!A27</f>
        <v>102</v>
      </c>
      <c r="C51" s="1" t="str">
        <f>VLOOKUP($B51,[18]TrtCodes!$B$11:I70,2)</f>
        <v>FTL</v>
      </c>
      <c r="D51" s="1">
        <f>VLOOKUP($B51,[18]TrtCodes!$B$11:J70,3)</f>
        <v>4</v>
      </c>
      <c r="E51" s="1">
        <f>VLOOKUP($B51,[18]TrtCodes!$B$11:K70,4)</f>
        <v>1</v>
      </c>
      <c r="F51" s="1">
        <f>VLOOKUP($B51,[18]TrtCodes!$B$11:L70,5)</f>
        <v>2</v>
      </c>
      <c r="G51" s="1">
        <f>VLOOKUP($B51,[18]TrtCodes!$B$11:M70,6)</f>
        <v>1</v>
      </c>
      <c r="H51" s="1">
        <f>VLOOKUP($B51,[18]TrtCodes!$B$11:N70,7)</f>
        <v>1</v>
      </c>
      <c r="I51" s="1">
        <f>[18]FormattedData!B27</f>
        <v>2</v>
      </c>
      <c r="J51" s="4">
        <f>[18]FormattedData!C27</f>
        <v>12.93</v>
      </c>
      <c r="K51" s="6">
        <f>$J$3+[18]FormattedData!D27*$J$4+$M$4*$J$5+[18]FormattedData!D27^2*$J$6+$M$5*$J$7</f>
        <v>29.169956278753034</v>
      </c>
      <c r="L51" s="6">
        <f>$J$3+[18]FormattedData!E27*$J$4+$M$4*$J$5+[18]FormattedData!E27^2*$J$6+$M$5*$J$7</f>
        <v>28.485158392988033</v>
      </c>
      <c r="M51" s="6">
        <f>$J$3+[18]FormattedData!F27*$J$4+$M$4*$J$5+[18]FormattedData!F27^2*$J$6+$M$5*$J$7</f>
        <v>31.211922985896294</v>
      </c>
      <c r="N51" s="6">
        <f>$J$3+[18]FormattedData!G27*$J$4+$M$4*$J$5+[18]FormattedData!G27^2*$J$6+$M$5*$J$7</f>
        <v>30.339076898168891</v>
      </c>
      <c r="O51" s="6">
        <f>$J$3+[18]FormattedData!H27*$J$4+$M$4*$J$5+[18]FormattedData!H27^2*$J$6+$M$5*$J$7</f>
        <v>28.583113467996824</v>
      </c>
      <c r="P51" s="6">
        <f>$J$3+[18]FormattedData!I27*$J$4+$M$4*$J$5+[18]FormattedData!I27^2*$J$6+$M$5*$J$7</f>
        <v>28.092915407573546</v>
      </c>
      <c r="Q51" s="6">
        <f>$J$3+[18]FormattedData!J27*$J$4+$M$4*$J$5+[18]FormattedData!J27^2*$J$6+$M$5*$J$7</f>
        <v>27.896540303638712</v>
      </c>
      <c r="R51" s="6">
        <f>$J$3+[18]FormattedData!K27*$J$4+$M$4*$J$5+[18]FormattedData!K27^2*$J$6+$M$5*$J$7</f>
        <v>29.657829569590099</v>
      </c>
      <c r="S51" s="6">
        <f>$J$3+[18]FormattedData!L27*$J$4+$M$4*$J$5+[18]FormattedData!L27^2*$J$6+$M$5*$J$7</f>
        <v>29.462807058869068</v>
      </c>
      <c r="T51" s="6">
        <f>$J$3+[18]FormattedData!M27*$J$4+$M$4*$J$5+[18]FormattedData!M27^2*$J$6+$M$5*$J$7</f>
        <v>29.072254814971828</v>
      </c>
      <c r="U51" s="6">
        <f>$J$3+[18]FormattedData!N27*$J$4+$M$4*$J$5+[18]FormattedData!N27^2*$J$6+$M$5*$J$7</f>
        <v>30.047367368576996</v>
      </c>
      <c r="V51" s="6">
        <f>$J$3+[18]FormattedData!O27*$J$4+$M$4*$J$5+[18]FormattedData!O27^2*$J$6+$M$5*$J$7</f>
        <v>30.339076898168891</v>
      </c>
      <c r="W51" s="5">
        <f t="shared" si="9"/>
        <v>29.363168287099352</v>
      </c>
      <c r="X51" s="4">
        <f t="shared" si="10"/>
        <v>0.29068178937742351</v>
      </c>
      <c r="Y51" s="3">
        <f t="shared" si="11"/>
        <v>27.896540303638712</v>
      </c>
      <c r="Z51" s="2">
        <f t="shared" si="12"/>
        <v>28.558624699244625</v>
      </c>
      <c r="AA51" s="3">
        <f t="shared" si="13"/>
        <v>29.316381668811051</v>
      </c>
      <c r="AB51" s="2">
        <f t="shared" si="14"/>
        <v>30.120294750974971</v>
      </c>
      <c r="AC51" s="2">
        <f t="shared" si="15"/>
        <v>31.211922985896294</v>
      </c>
      <c r="AD51" s="2">
        <f t="shared" si="16"/>
        <v>0.22832775466995106</v>
      </c>
      <c r="AE51" s="2">
        <f t="shared" si="17"/>
        <v>-0.67269943215074468</v>
      </c>
    </row>
    <row r="52" spans="2:31" x14ac:dyDescent="0.2">
      <c r="B52" s="1">
        <f>[18]FormattedData!A25</f>
        <v>103</v>
      </c>
      <c r="C52" s="1" t="str">
        <f>VLOOKUP($B52,[18]TrtCodes!$B$11:I68,2)</f>
        <v>FDH</v>
      </c>
      <c r="D52" s="1">
        <f>VLOOKUP($B52,[18]TrtCodes!$B$11:J68,3)</f>
        <v>5</v>
      </c>
      <c r="E52" s="1">
        <f>VLOOKUP($B52,[18]TrtCodes!$B$11:K68,4)</f>
        <v>1</v>
      </c>
      <c r="F52" s="1">
        <f>VLOOKUP($B52,[18]TrtCodes!$B$11:L68,5)</f>
        <v>3</v>
      </c>
      <c r="G52" s="1">
        <f>VLOOKUP($B52,[18]TrtCodes!$B$11:M68,6)</f>
        <v>2</v>
      </c>
      <c r="H52" s="1">
        <f>VLOOKUP($B52,[18]TrtCodes!$B$11:N68,7)</f>
        <v>1</v>
      </c>
      <c r="I52" s="1">
        <f>[18]FormattedData!B25</f>
        <v>2</v>
      </c>
      <c r="J52" s="4">
        <f>[18]FormattedData!C25</f>
        <v>12.916</v>
      </c>
      <c r="K52" s="6">
        <f>$J$3+[18]FormattedData!D25*$J$4+$M$4*$J$5+[18]FormattedData!D25^2*$J$6+$M$5*$J$7</f>
        <v>28.191039556734061</v>
      </c>
      <c r="L52" s="6">
        <f>$J$3+[18]FormattedData!E25*$J$4+$M$4*$J$5+[18]FormattedData!E25^2*$J$6+$M$5*$J$7</f>
        <v>28.583113467996824</v>
      </c>
      <c r="M52" s="6">
        <f>$J$3+[18]FormattedData!F25*$J$4+$M$4*$J$5+[18]FormattedData!F25^2*$J$6+$M$5*$J$7</f>
        <v>28.87672508179562</v>
      </c>
      <c r="N52" s="6">
        <f>$J$3+[18]FormattedData!G25*$J$4+$M$4*$J$5+[18]FormattedData!G25^2*$J$6+$M$5*$J$7</f>
        <v>28.092915407573546</v>
      </c>
      <c r="O52" s="6">
        <f>$J$3+[18]FormattedData!H25*$J$4+$M$4*$J$5+[18]FormattedData!H25^2*$J$6+$M$5*$J$7</f>
        <v>28.583113467996824</v>
      </c>
      <c r="P52" s="6">
        <f>$J$3+[18]FormattedData!I25*$J$4+$M$4*$J$5+[18]FormattedData!I25^2*$J$6+$M$5*$J$7</f>
        <v>26.912128671688691</v>
      </c>
      <c r="Q52" s="6">
        <f>$J$3+[18]FormattedData!J25*$J$4+$M$4*$J$5+[18]FormattedData!J25^2*$J$6+$M$5*$J$7</f>
        <v>29.560339448498553</v>
      </c>
      <c r="R52" s="6">
        <f>$J$3+[18]FormattedData!K25*$J$4+$M$4*$J$5+[18]FormattedData!K25^2*$J$6+$M$5*$J$7</f>
        <v>30.047367368576996</v>
      </c>
      <c r="S52" s="6">
        <f>$J$3+[18]FormattedData!L25*$J$4+$M$4*$J$5+[18]FormattedData!L25^2*$J$6+$M$5*$J$7</f>
        <v>29.755277422143724</v>
      </c>
      <c r="T52" s="6">
        <f>$J$3+[18]FormattedData!M25*$J$4+$M$4*$J$5+[18]FormattedData!M25^2*$J$6+$M$5*$J$7</f>
        <v>29.560339448498553</v>
      </c>
      <c r="U52" s="6">
        <f>$J$3+[18]FormattedData!N25*$J$4+$M$4*$J$5+[18]FormattedData!N25^2*$J$6+$M$5*$J$7</f>
        <v>28.97451108265269</v>
      </c>
      <c r="V52" s="6">
        <f>$J$3+[18]FormattedData!O25*$J$4+$M$4*$J$5+[18]FormattedData!O25^2*$J$6+$M$5*$J$7</f>
        <v>28.191039556734061</v>
      </c>
      <c r="W52" s="5">
        <f t="shared" si="9"/>
        <v>28.777325831740843</v>
      </c>
      <c r="X52" s="4">
        <f t="shared" si="10"/>
        <v>0.2545741520265587</v>
      </c>
      <c r="Y52" s="3">
        <f t="shared" si="11"/>
        <v>26.912128671688691</v>
      </c>
      <c r="Z52" s="2">
        <f t="shared" si="12"/>
        <v>28.191039556734061</v>
      </c>
      <c r="AA52" s="3">
        <f t="shared" si="13"/>
        <v>28.729919274896222</v>
      </c>
      <c r="AB52" s="2">
        <f t="shared" si="14"/>
        <v>29.560339448498553</v>
      </c>
      <c r="AC52" s="2">
        <f t="shared" si="15"/>
        <v>30.047367368576996</v>
      </c>
      <c r="AD52" s="2">
        <f t="shared" si="16"/>
        <v>-0.52086608242725663</v>
      </c>
      <c r="AE52" s="2">
        <f t="shared" si="17"/>
        <v>0.35192778858648044</v>
      </c>
    </row>
    <row r="53" spans="2:31" x14ac:dyDescent="0.2">
      <c r="B53" s="1">
        <f>[18]FormattedData!A23</f>
        <v>104</v>
      </c>
      <c r="C53" s="1" t="str">
        <f>VLOOKUP($B53,[18]TrtCodes!$B$11:I66,2)</f>
        <v>NTL</v>
      </c>
      <c r="D53" s="1">
        <f>VLOOKUP($B53,[18]TrtCodes!$B$11:J66,3)</f>
        <v>10</v>
      </c>
      <c r="E53" s="1">
        <f>VLOOKUP($B53,[18]TrtCodes!$B$11:K66,4)</f>
        <v>2</v>
      </c>
      <c r="F53" s="1">
        <f>VLOOKUP($B53,[18]TrtCodes!$B$11:L66,5)</f>
        <v>2</v>
      </c>
      <c r="G53" s="1">
        <f>VLOOKUP($B53,[18]TrtCodes!$B$11:M66,6)</f>
        <v>1</v>
      </c>
      <c r="H53" s="1">
        <f>VLOOKUP($B53,[18]TrtCodes!$B$11:N66,7)</f>
        <v>1</v>
      </c>
      <c r="I53" s="1">
        <f>[18]FormattedData!B23</f>
        <v>2</v>
      </c>
      <c r="J53" s="4">
        <f>[18]FormattedData!C23</f>
        <v>12.903</v>
      </c>
      <c r="K53" s="6">
        <f>$J$3+[18]FormattedData!D23*$J$4+$M$4*$J$5+[18]FormattedData!D23^2*$J$6+$M$5*$J$7</f>
        <v>26.714739122843515</v>
      </c>
      <c r="L53" s="6">
        <f>$J$3+[18]FormattedData!E23*$J$4+$M$4*$J$5+[18]FormattedData!E23^2*$J$6+$M$5*$J$7</f>
        <v>27.896540303638712</v>
      </c>
      <c r="M53" s="6">
        <f>$J$3+[18]FormattedData!F23*$J$4+$M$4*$J$5+[18]FormattedData!F23^2*$J$6+$M$5*$J$7</f>
        <v>28.778896812400617</v>
      </c>
      <c r="N53" s="6">
        <f>$J$3+[18]FormattedData!G23*$J$4+$M$4*$J$5+[18]FormattedData!G23^2*$J$6+$M$5*$J$7</f>
        <v>27.896540303638712</v>
      </c>
      <c r="O53" s="6">
        <f>$J$3+[18]FormattedData!H23*$J$4+$M$4*$J$5+[18]FormattedData!H23^2*$J$6+$M$5*$J$7</f>
        <v>29.85268300615941</v>
      </c>
      <c r="P53" s="6">
        <f>$J$3+[18]FormattedData!I23*$J$4+$M$4*$J$5+[18]FormattedData!I23^2*$J$6+$M$5*$J$7</f>
        <v>28.87672508179562</v>
      </c>
      <c r="Q53" s="6">
        <f>$J$3+[18]FormattedData!J23*$J$4+$M$4*$J$5+[18]FormattedData!J23^2*$J$6+$M$5*$J$7</f>
        <v>27.994748989875095</v>
      </c>
      <c r="R53" s="6">
        <f>$J$3+[18]FormattedData!K23*$J$4+$M$4*$J$5+[18]FormattedData!K23^2*$J$6+$M$5*$J$7</f>
        <v>27.699996125552158</v>
      </c>
      <c r="S53" s="6">
        <f>$J$3+[18]FormattedData!L23*$J$4+$M$4*$J$5+[18]FormattedData!L23^2*$J$6+$M$5*$J$7</f>
        <v>28.583113467996824</v>
      </c>
      <c r="T53" s="6">
        <f>$J$3+[18]FormattedData!M23*$J$4+$M$4*$J$5+[18]FormattedData!M23^2*$J$6+$M$5*$J$7</f>
        <v>28.778896812400617</v>
      </c>
      <c r="U53" s="6">
        <f>$J$3+[18]FormattedData!N23*$J$4+$M$4*$J$5+[18]FormattedData!N23^2*$J$6+$M$5*$J$7</f>
        <v>28.191039556734061</v>
      </c>
      <c r="V53" s="6">
        <f>$J$3+[18]FormattedData!O23*$J$4+$M$4*$J$5+[18]FormattedData!O23^2*$J$6+$M$5*$J$7</f>
        <v>27.896540303638712</v>
      </c>
      <c r="W53" s="5">
        <f t="shared" si="9"/>
        <v>28.263371657222834</v>
      </c>
      <c r="X53" s="4">
        <f t="shared" si="10"/>
        <v>0.22584220651931133</v>
      </c>
      <c r="Y53" s="3">
        <f t="shared" si="11"/>
        <v>26.714739122843515</v>
      </c>
      <c r="Z53" s="2">
        <f t="shared" si="12"/>
        <v>27.896540303638712</v>
      </c>
      <c r="AA53" s="3">
        <f t="shared" si="13"/>
        <v>28.09289427330458</v>
      </c>
      <c r="AB53" s="2">
        <f t="shared" si="14"/>
        <v>28.778896812400617</v>
      </c>
      <c r="AC53" s="2">
        <f t="shared" si="15"/>
        <v>29.85268300615941</v>
      </c>
      <c r="AD53" s="2">
        <f t="shared" si="16"/>
        <v>0.11191261803667003</v>
      </c>
      <c r="AE53" s="2">
        <f t="shared" si="17"/>
        <v>1.260550860261497</v>
      </c>
    </row>
    <row r="54" spans="2:31" x14ac:dyDescent="0.2">
      <c r="B54" s="1">
        <f>[18]FormattedData!A21</f>
        <v>105</v>
      </c>
      <c r="C54" s="1" t="str">
        <f>VLOOKUP($B54,[18]TrtCodes!$B$11:I64,2)</f>
        <v>NDL</v>
      </c>
      <c r="D54" s="1">
        <f>VLOOKUP($B54,[18]TrtCodes!$B$11:J64,3)</f>
        <v>12</v>
      </c>
      <c r="E54" s="1">
        <f>VLOOKUP($B54,[18]TrtCodes!$B$11:K64,4)</f>
        <v>2</v>
      </c>
      <c r="F54" s="1">
        <f>VLOOKUP($B54,[18]TrtCodes!$B$11:L64,5)</f>
        <v>3</v>
      </c>
      <c r="G54" s="1">
        <f>VLOOKUP($B54,[18]TrtCodes!$B$11:M64,6)</f>
        <v>1</v>
      </c>
      <c r="H54" s="1">
        <f>VLOOKUP($B54,[18]TrtCodes!$B$11:N64,7)</f>
        <v>2</v>
      </c>
      <c r="I54" s="1">
        <f>[18]FormattedData!B21</f>
        <v>2</v>
      </c>
      <c r="J54" s="4">
        <f>[18]FormattedData!C21</f>
        <v>12.888999999999999</v>
      </c>
      <c r="K54" s="6">
        <f>$J$3+[18]FormattedData!D21*$J$4+$M$4*$J$5+[18]FormattedData!D21^2*$J$6+$M$5*$J$7</f>
        <v>29.462807058869068</v>
      </c>
      <c r="L54" s="6">
        <f>$J$3+[18]FormattedData!E21*$J$4+$M$4*$J$5+[18]FormattedData!E21^2*$J$6+$M$5*$J$7</f>
        <v>30.630406010919405</v>
      </c>
      <c r="M54" s="6">
        <f>$J$3+[18]FormattedData!F21*$J$4+$M$4*$J$5+[18]FormattedData!F21^2*$J$6+$M$5*$J$7</f>
        <v>30.241882656842861</v>
      </c>
      <c r="N54" s="6">
        <f>$J$3+[18]FormattedData!G21*$J$4+$M$4*$J$5+[18]FormattedData!G21^2*$J$6+$M$5*$J$7</f>
        <v>28.092915407573546</v>
      </c>
      <c r="O54" s="6">
        <f>$J$3+[18]FormattedData!H21*$J$4+$M$4*$J$5+[18]FormattedData!H21^2*$J$6+$M$5*$J$7</f>
        <v>31.30869454184301</v>
      </c>
      <c r="P54" s="6">
        <f>$J$3+[18]FormattedData!I21*$J$4+$M$4*$J$5+[18]FormattedData!I21^2*$J$6+$M$5*$J$7</f>
        <v>28.681026274467687</v>
      </c>
      <c r="Q54" s="6">
        <f>$J$3+[18]FormattedData!J21*$J$4+$M$4*$J$5+[18]FormattedData!J21^2*$J$6+$M$5*$J$7</f>
        <v>29.365232400701654</v>
      </c>
      <c r="R54" s="6">
        <f>$J$3+[18]FormattedData!K21*$J$4+$M$4*$J$5+[18]FormattedData!K21^2*$J$6+$M$5*$J$7</f>
        <v>30.727431178093717</v>
      </c>
      <c r="S54" s="6">
        <f>$J$3+[18]FormattedData!L21*$J$4+$M$4*$J$5+[18]FormattedData!L21^2*$J$6+$M$5*$J$7</f>
        <v>29.657829569590099</v>
      </c>
      <c r="T54" s="6">
        <f>$J$3+[18]FormattedData!M21*$J$4+$M$4*$J$5+[18]FormattedData!M21^2*$J$6+$M$5*$J$7</f>
        <v>32.659058128614355</v>
      </c>
      <c r="U54" s="6">
        <f>$J$3+[18]FormattedData!N21*$J$4+$M$4*$J$5+[18]FormattedData!N21^2*$J$6+$M$5*$J$7</f>
        <v>29.365232400701654</v>
      </c>
      <c r="V54" s="6">
        <f>$J$3+[18]FormattedData!O21*$J$4+$M$4*$J$5+[18]FormattedData!O21^2*$J$6+$M$5*$J$7</f>
        <v>27.798289348864401</v>
      </c>
      <c r="W54" s="5">
        <f t="shared" si="9"/>
        <v>29.832567081423452</v>
      </c>
      <c r="X54" s="4">
        <f t="shared" si="10"/>
        <v>0.39760315050039846</v>
      </c>
      <c r="Y54" s="3">
        <f t="shared" si="11"/>
        <v>27.798289348864401</v>
      </c>
      <c r="Z54" s="2">
        <f t="shared" si="12"/>
        <v>29.19418086914316</v>
      </c>
      <c r="AA54" s="3">
        <f t="shared" si="13"/>
        <v>29.560318314229583</v>
      </c>
      <c r="AB54" s="2">
        <f t="shared" si="14"/>
        <v>30.654662302712982</v>
      </c>
      <c r="AC54" s="2">
        <f t="shared" si="15"/>
        <v>32.659058128614355</v>
      </c>
      <c r="AD54" s="2">
        <f t="shared" si="16"/>
        <v>0.48515203967203269</v>
      </c>
      <c r="AE54" s="2">
        <f t="shared" si="17"/>
        <v>0.24908767798602138</v>
      </c>
    </row>
    <row r="55" spans="2:31" x14ac:dyDescent="0.2">
      <c r="B55" s="1">
        <f>[18]FormattedData!A19</f>
        <v>106</v>
      </c>
      <c r="C55" s="1" t="str">
        <f>VLOOKUP($B55,[18]TrtCodes!$B$11:I62,2)</f>
        <v>NTH</v>
      </c>
      <c r="D55" s="1">
        <f>VLOOKUP($B55,[18]TrtCodes!$B$11:J62,3)</f>
        <v>9</v>
      </c>
      <c r="E55" s="1">
        <f>VLOOKUP($B55,[18]TrtCodes!$B$11:K62,4)</f>
        <v>2</v>
      </c>
      <c r="F55" s="1">
        <f>VLOOKUP($B55,[18]TrtCodes!$B$11:L62,5)</f>
        <v>2</v>
      </c>
      <c r="G55" s="1">
        <f>VLOOKUP($B55,[18]TrtCodes!$B$11:M62,6)</f>
        <v>2</v>
      </c>
      <c r="H55" s="1">
        <f>VLOOKUP($B55,[18]TrtCodes!$B$11:N62,7)</f>
        <v>2</v>
      </c>
      <c r="I55" s="1">
        <f>[18]FormattedData!B19</f>
        <v>2</v>
      </c>
      <c r="J55" s="4">
        <f>[18]FormattedData!C19</f>
        <v>12.875</v>
      </c>
      <c r="K55" s="6">
        <f>$J$3+[18]FormattedData!D19*$J$4+$M$4*$J$5+[18]FormattedData!D19^2*$J$6+$M$5*$J$7</f>
        <v>28.191039556734061</v>
      </c>
      <c r="L55" s="6">
        <f>$J$3+[18]FormattedData!E19*$J$4+$M$4*$J$5+[18]FormattedData!E19^2*$J$6+$M$5*$J$7</f>
        <v>28.191039556734061</v>
      </c>
      <c r="M55" s="6">
        <f>$J$3+[18]FormattedData!F19*$J$4+$M$4*$J$5+[18]FormattedData!F19^2*$J$6+$M$5*$J$7</f>
        <v>29.755277422143724</v>
      </c>
      <c r="N55" s="6">
        <f>$J$3+[18]FormattedData!G19*$J$4+$M$4*$J$5+[18]FormattedData!G19^2*$J$6+$M$5*$J$7</f>
        <v>29.657829569590099</v>
      </c>
      <c r="O55" s="6">
        <f>$J$3+[18]FormattedData!H19*$J$4+$M$4*$J$5+[18]FormattedData!H19^2*$J$6+$M$5*$J$7</f>
        <v>28.778896812400617</v>
      </c>
      <c r="P55" s="6">
        <f>$J$3+[18]FormattedData!I19*$J$4+$M$4*$J$5+[18]FormattedData!I19^2*$J$6+$M$5*$J$7</f>
        <v>29.462807058869068</v>
      </c>
      <c r="Q55" s="6">
        <f>$J$3+[18]FormattedData!J19*$J$4+$M$4*$J$5+[18]FormattedData!J19^2*$J$6+$M$5*$J$7</f>
        <v>28.583113467996824</v>
      </c>
      <c r="R55" s="6">
        <f>$J$3+[18]FormattedData!K19*$J$4+$M$4*$J$5+[18]FormattedData!K19^2*$J$6+$M$5*$J$7</f>
        <v>28.092915407573546</v>
      </c>
      <c r="S55" s="6">
        <f>$J$3+[18]FormattedData!L19*$J$4+$M$4*$J$5+[18]FormattedData!L19^2*$J$6+$M$5*$J$7</f>
        <v>28.97451108265269</v>
      </c>
      <c r="T55" s="6">
        <f>$J$3+[18]FormattedData!M19*$J$4+$M$4*$J$5+[18]FormattedData!M19^2*$J$6+$M$5*$J$7</f>
        <v>28.778896812400617</v>
      </c>
      <c r="U55" s="6">
        <f>$J$3+[18]FormattedData!N19*$J$4+$M$4*$J$5+[18]FormattedData!N19^2*$J$6+$M$5*$J$7</f>
        <v>28.681026274467687</v>
      </c>
      <c r="V55" s="6">
        <f>$J$3+[18]FormattedData!O19*$J$4+$M$4*$J$5+[18]FormattedData!O19^2*$J$6+$M$5*$J$7</f>
        <v>29.072254814971828</v>
      </c>
      <c r="W55" s="5">
        <f t="shared" si="9"/>
        <v>28.851633986377895</v>
      </c>
      <c r="X55" s="4">
        <f t="shared" si="10"/>
        <v>0.16199614587206695</v>
      </c>
      <c r="Y55" s="3">
        <f t="shared" si="11"/>
        <v>28.092915407573546</v>
      </c>
      <c r="Z55" s="2">
        <f t="shared" si="12"/>
        <v>28.485094990181132</v>
      </c>
      <c r="AA55" s="3">
        <f t="shared" si="13"/>
        <v>28.778896812400617</v>
      </c>
      <c r="AB55" s="2">
        <f t="shared" si="14"/>
        <v>29.16989287594614</v>
      </c>
      <c r="AC55" s="2">
        <f t="shared" si="15"/>
        <v>29.755277422143724</v>
      </c>
      <c r="AD55" s="2">
        <f t="shared" si="16"/>
        <v>0.28665424492698266</v>
      </c>
      <c r="AE55" s="2">
        <f t="shared" si="17"/>
        <v>-0.93538403288405414</v>
      </c>
    </row>
    <row r="56" spans="2:31" x14ac:dyDescent="0.2">
      <c r="B56" s="1">
        <f>[18]FormattedData!A17</f>
        <v>107</v>
      </c>
      <c r="C56" s="1" t="str">
        <f>VLOOKUP($B56,[18]TrtCodes!$B$11:I60,2)</f>
        <v>NTL</v>
      </c>
      <c r="D56" s="1">
        <f>VLOOKUP($B56,[18]TrtCodes!$B$11:J60,3)</f>
        <v>10</v>
      </c>
      <c r="E56" s="1">
        <f>VLOOKUP($B56,[18]TrtCodes!$B$11:K60,4)</f>
        <v>2</v>
      </c>
      <c r="F56" s="1">
        <f>VLOOKUP($B56,[18]TrtCodes!$B$11:L60,5)</f>
        <v>2</v>
      </c>
      <c r="G56" s="1">
        <f>VLOOKUP($B56,[18]TrtCodes!$B$11:M60,6)</f>
        <v>1</v>
      </c>
      <c r="H56" s="1">
        <f>VLOOKUP($B56,[18]TrtCodes!$B$11:N60,7)</f>
        <v>2</v>
      </c>
      <c r="I56" s="1">
        <f>[18]FormattedData!B17</f>
        <v>2</v>
      </c>
      <c r="J56" s="4">
        <f>[18]FormattedData!C17</f>
        <v>12.862</v>
      </c>
      <c r="K56" s="6">
        <f>$J$3+[18]FormattedData!D17*$J$4+$M$4*$J$5+[18]FormattedData!D17^2*$J$6+$M$5*$J$7</f>
        <v>28.97451108265269</v>
      </c>
      <c r="L56" s="6">
        <f>$J$3+[18]FormattedData!E17*$J$4+$M$4*$J$5+[18]FormattedData!E17^2*$J$6+$M$5*$J$7</f>
        <v>31.115109161411635</v>
      </c>
      <c r="M56" s="6">
        <f>$J$3+[18]FormattedData!F17*$J$4+$M$4*$J$5+[18]FormattedData!F17^2*$J$6+$M$5*$J$7</f>
        <v>30.241882656842861</v>
      </c>
      <c r="N56" s="6">
        <f>$J$3+[18]FormattedData!G17*$J$4+$M$4*$J$5+[18]FormattedData!G17^2*$J$6+$M$5*$J$7</f>
        <v>29.950046321637174</v>
      </c>
      <c r="O56" s="6">
        <f>$J$3+[18]FormattedData!H17*$J$4+$M$4*$J$5+[18]FormattedData!H17^2*$J$6+$M$5*$J$7</f>
        <v>29.755277422143724</v>
      </c>
      <c r="P56" s="6">
        <f>$J$3+[18]FormattedData!I17*$J$4+$M$4*$J$5+[18]FormattedData!I17^2*$J$6+$M$5*$J$7</f>
        <v>29.85268300615941</v>
      </c>
      <c r="Q56" s="6">
        <f>$J$3+[18]FormattedData!J17*$J$4+$M$4*$J$5+[18]FormattedData!J17^2*$J$6+$M$5*$J$7</f>
        <v>30.824414076730093</v>
      </c>
      <c r="R56" s="6">
        <f>$J$3+[18]FormattedData!K17*$J$4+$M$4*$J$5+[18]FormattedData!K17^2*$J$6+$M$5*$J$7</f>
        <v>30.144646146978893</v>
      </c>
      <c r="S56" s="6">
        <f>$J$3+[18]FormattedData!L17*$J$4+$M$4*$J$5+[18]FormattedData!L17^2*$J$6+$M$5*$J$7</f>
        <v>29.462807058869068</v>
      </c>
      <c r="T56" s="6">
        <f>$J$3+[18]FormattedData!M17*$J$4+$M$4*$J$5+[18]FormattedData!M17^2*$J$6+$M$5*$J$7</f>
        <v>31.211922985896294</v>
      </c>
      <c r="U56" s="6">
        <f>$J$3+[18]FormattedData!N17*$J$4+$M$4*$J$5+[18]FormattedData!N17^2*$J$6+$M$5*$J$7</f>
        <v>29.950046321637174</v>
      </c>
      <c r="V56" s="6">
        <f>$J$3+[18]FormattedData!O17*$J$4+$M$4*$J$5+[18]FormattedData!O17^2*$J$6+$M$5*$J$7</f>
        <v>30.921354706828541</v>
      </c>
      <c r="W56" s="5">
        <f t="shared" si="9"/>
        <v>30.200391745648961</v>
      </c>
      <c r="X56" s="4">
        <f t="shared" si="10"/>
        <v>0.1997178367645818</v>
      </c>
      <c r="Y56" s="3">
        <f t="shared" si="11"/>
        <v>28.97451108265269</v>
      </c>
      <c r="Z56" s="2">
        <f t="shared" si="12"/>
        <v>29.828331610155487</v>
      </c>
      <c r="AA56" s="3">
        <f t="shared" si="13"/>
        <v>30.047346234308034</v>
      </c>
      <c r="AB56" s="2">
        <f t="shared" si="14"/>
        <v>30.848649234254705</v>
      </c>
      <c r="AC56" s="2">
        <f t="shared" si="15"/>
        <v>31.211922985896294</v>
      </c>
      <c r="AD56" s="2">
        <f t="shared" si="16"/>
        <v>4.2426251399515199E-3</v>
      </c>
      <c r="AE56" s="2">
        <f t="shared" si="17"/>
        <v>-0.74230539572738063</v>
      </c>
    </row>
    <row r="57" spans="2:31" x14ac:dyDescent="0.2">
      <c r="B57" s="1">
        <f>[18]FormattedData!A15</f>
        <v>108</v>
      </c>
      <c r="C57" s="1" t="str">
        <f>VLOOKUP($B57,[18]TrtCodes!$B$11:I58,2)</f>
        <v>FTH</v>
      </c>
      <c r="D57" s="1">
        <f>VLOOKUP($B57,[18]TrtCodes!$B$11:J58,3)</f>
        <v>3</v>
      </c>
      <c r="E57" s="1">
        <f>VLOOKUP($B57,[18]TrtCodes!$B$11:K58,4)</f>
        <v>1</v>
      </c>
      <c r="F57" s="1">
        <f>VLOOKUP($B57,[18]TrtCodes!$B$11:L58,5)</f>
        <v>2</v>
      </c>
      <c r="G57" s="1">
        <f>VLOOKUP($B57,[18]TrtCodes!$B$11:M58,6)</f>
        <v>2</v>
      </c>
      <c r="H57" s="1">
        <f>VLOOKUP($B57,[18]TrtCodes!$B$11:N58,7)</f>
        <v>2</v>
      </c>
      <c r="I57" s="1">
        <f>[18]FormattedData!B15</f>
        <v>2</v>
      </c>
      <c r="J57" s="4">
        <f>[18]FormattedData!C15</f>
        <v>12.848000000000001</v>
      </c>
      <c r="K57" s="6">
        <f>$J$3+[18]FormattedData!D15*$J$4+$M$4*$J$5+[18]FormattedData!D15^2*$J$6+$M$5*$J$7</f>
        <v>30.241882656842861</v>
      </c>
      <c r="L57" s="6">
        <f>$J$3+[18]FormattedData!E15*$J$4+$M$4*$J$5+[18]FormattedData!E15^2*$J$6+$M$5*$J$7</f>
        <v>31.018253068389054</v>
      </c>
      <c r="M57" s="6">
        <f>$J$3+[18]FormattedData!F15*$J$4+$M$4*$J$5+[18]FormattedData!F15^2*$J$6+$M$5*$J$7</f>
        <v>32.08134532205127</v>
      </c>
      <c r="N57" s="6">
        <f>$J$3+[18]FormattedData!G15*$J$4+$M$4*$J$5+[18]FormattedData!G15^2*$J$6+$M$5*$J$7</f>
        <v>31.598755598455597</v>
      </c>
      <c r="O57" s="6">
        <f>$J$3+[18]FormattedData!H15*$J$4+$M$4*$J$5+[18]FormattedData!H15^2*$J$6+$M$5*$J$7</f>
        <v>29.85268300615941</v>
      </c>
      <c r="P57" s="6">
        <f>$J$3+[18]FormattedData!I15*$J$4+$M$4*$J$5+[18]FormattedData!I15^2*$J$6+$M$5*$J$7</f>
        <v>29.560339448498553</v>
      </c>
      <c r="Q57" s="6">
        <f>$J$3+[18]FormattedData!J15*$J$4+$M$4*$J$5+[18]FormattedData!J15^2*$J$6+$M$5*$J$7</f>
        <v>29.560339448498553</v>
      </c>
      <c r="R57" s="6">
        <f>$J$3+[18]FormattedData!K15*$J$4+$M$4*$J$5+[18]FormattedData!K15^2*$J$6+$M$5*$J$7</f>
        <v>30.339076898168891</v>
      </c>
      <c r="S57" s="6">
        <f>$J$3+[18]FormattedData!L15*$J$4+$M$4*$J$5+[18]FormattedData!L15^2*$J$6+$M$5*$J$7</f>
        <v>31.695358080250593</v>
      </c>
      <c r="T57" s="6">
        <f>$J$3+[18]FormattedData!M15*$J$4+$M$4*$J$5+[18]FormattedData!M15^2*$J$6+$M$5*$J$7</f>
        <v>30.533338575207168</v>
      </c>
      <c r="U57" s="6">
        <f>$J$3+[18]FormattedData!N15*$J$4+$M$4*$J$5+[18]FormattedData!N15^2*$J$6+$M$5*$J$7</f>
        <v>30.047367368576996</v>
      </c>
      <c r="V57" s="6">
        <f>$J$3+[18]FormattedData!O15*$J$4+$M$4*$J$5+[18]FormattedData!O15^2*$J$6+$M$5*$J$7</f>
        <v>30.436228870956999</v>
      </c>
      <c r="W57" s="5">
        <f t="shared" si="9"/>
        <v>30.580414028504663</v>
      </c>
      <c r="X57" s="4">
        <f t="shared" si="10"/>
        <v>0.24332459930162731</v>
      </c>
      <c r="Y57" s="3">
        <f t="shared" si="11"/>
        <v>29.560339448498553</v>
      </c>
      <c r="Z57" s="2">
        <f t="shared" si="12"/>
        <v>29.998696277972599</v>
      </c>
      <c r="AA57" s="3">
        <f t="shared" si="13"/>
        <v>30.387652884562947</v>
      </c>
      <c r="AB57" s="2">
        <f t="shared" si="14"/>
        <v>31.163378700905689</v>
      </c>
      <c r="AC57" s="2">
        <f t="shared" si="15"/>
        <v>32.08134532205127</v>
      </c>
      <c r="AD57" s="2">
        <f t="shared" si="16"/>
        <v>0.58138133792596225</v>
      </c>
      <c r="AE57" s="2">
        <f t="shared" si="17"/>
        <v>-0.82547159551483507</v>
      </c>
    </row>
    <row r="58" spans="2:31" x14ac:dyDescent="0.2">
      <c r="B58" s="1">
        <f>[18]FormattedData!A31</f>
        <v>201</v>
      </c>
      <c r="C58" s="1" t="str">
        <f>VLOOKUP($B58,[18]TrtCodes!$B$11:I74,2)</f>
        <v>NDL</v>
      </c>
      <c r="D58" s="1">
        <f>VLOOKUP($B58,[18]TrtCodes!$B$11:J74,3)</f>
        <v>12</v>
      </c>
      <c r="E58" s="1">
        <f>VLOOKUP($B58,[18]TrtCodes!$B$11:K74,4)</f>
        <v>2</v>
      </c>
      <c r="F58" s="1">
        <f>VLOOKUP($B58,[18]TrtCodes!$B$11:L74,5)</f>
        <v>3</v>
      </c>
      <c r="G58" s="1">
        <f>VLOOKUP($B58,[18]TrtCodes!$B$11:M74,6)</f>
        <v>1</v>
      </c>
      <c r="H58" s="1">
        <f>VLOOKUP($B58,[18]TrtCodes!$B$11:N74,7)</f>
        <v>1</v>
      </c>
      <c r="I58" s="1">
        <f>[18]FormattedData!B31</f>
        <v>2</v>
      </c>
      <c r="J58" s="4">
        <f>[18]FormattedData!C31</f>
        <v>12.962999999999999</v>
      </c>
      <c r="K58" s="6">
        <f>$J$3+[18]FormattedData!D31*$J$4+$M$4*$J$5+[18]FormattedData!D31^2*$J$6+$M$5*$J$7</f>
        <v>32.755195656492106</v>
      </c>
      <c r="L58" s="6">
        <f>$J$3+[18]FormattedData!E31*$J$4+$M$4*$J$5+[18]FormattedData!E31^2*$J$6+$M$5*$J$7</f>
        <v>32.466656267245057</v>
      </c>
      <c r="M58" s="6">
        <f>$J$3+[18]FormattedData!F31*$J$4+$M$4*$J$5+[18]FormattedData!F31^2*$J$6+$M$5*$J$7</f>
        <v>31.888436238226795</v>
      </c>
      <c r="N58" s="6">
        <f>$J$3+[18]FormattedData!G31*$J$4+$M$4*$J$5+[18]FormattedData!G31^2*$J$6+$M$5*$J$7</f>
        <v>30.144646146978893</v>
      </c>
      <c r="O58" s="6">
        <f>$J$3+[18]FormattedData!H31*$J$4+$M$4*$J$5+[18]FormattedData!H31^2*$J$6+$M$5*$J$7</f>
        <v>32.851290915831932</v>
      </c>
      <c r="P58" s="6">
        <f>$J$3+[18]FormattedData!I31*$J$4+$M$4*$J$5+[18]FormattedData!I31^2*$J$6+$M$5*$J$7</f>
        <v>30.727431178093717</v>
      </c>
      <c r="Q58" s="6">
        <f>$J$3+[18]FormattedData!J31*$J$4+$M$4*$J$5+[18]FormattedData!J31^2*$J$6+$M$5*$J$7</f>
        <v>30.824414076730093</v>
      </c>
      <c r="R58" s="6">
        <f>$J$3+[18]FormattedData!K31*$J$4+$M$4*$J$5+[18]FormattedData!K31^2*$J$6+$M$5*$J$7</f>
        <v>31.502110848122665</v>
      </c>
      <c r="S58" s="6">
        <f>$J$3+[18]FormattedData!L31*$J$4+$M$4*$J$5+[18]FormattedData!L31^2*$J$6+$M$5*$J$7</f>
        <v>30.241882656842861</v>
      </c>
      <c r="T58" s="6">
        <f>$J$3+[18]FormattedData!M31*$J$4+$M$4*$J$5+[18]FormattedData!M31^2*$J$6+$M$5*$J$7</f>
        <v>31.018253068389054</v>
      </c>
      <c r="U58" s="6">
        <f>$J$3+[18]FormattedData!N31*$J$4+$M$4*$J$5+[18]FormattedData!N31^2*$J$6+$M$5*$J$7</f>
        <v>30.727431178093717</v>
      </c>
      <c r="V58" s="6">
        <f>$J$3+[18]FormattedData!O31*$J$4+$M$4*$J$5+[18]FormattedData!O31^2*$J$6+$M$5*$J$7</f>
        <v>27.503282873313879</v>
      </c>
      <c r="W58" s="5">
        <f t="shared" si="9"/>
        <v>31.054252592030064</v>
      </c>
      <c r="X58" s="4">
        <f t="shared" si="10"/>
        <v>0.42084275551162709</v>
      </c>
      <c r="Y58" s="3">
        <f t="shared" si="11"/>
        <v>27.503282873313879</v>
      </c>
      <c r="Z58" s="2">
        <f t="shared" si="12"/>
        <v>30.606044047781005</v>
      </c>
      <c r="AA58" s="3">
        <f t="shared" si="13"/>
        <v>30.921333572559575</v>
      </c>
      <c r="AB58" s="2">
        <f t="shared" si="14"/>
        <v>32.032991245481362</v>
      </c>
      <c r="AC58" s="2">
        <f t="shared" si="15"/>
        <v>32.851290915831932</v>
      </c>
      <c r="AD58" s="2">
        <f t="shared" si="16"/>
        <v>-1.1243708575292444</v>
      </c>
      <c r="AE58" s="2">
        <f t="shared" si="17"/>
        <v>2.3662977147529256</v>
      </c>
    </row>
    <row r="59" spans="2:31" x14ac:dyDescent="0.2">
      <c r="B59" s="1">
        <f>[18]FormattedData!A33</f>
        <v>202</v>
      </c>
      <c r="C59" s="1" t="str">
        <f>VLOOKUP($B59,[18]TrtCodes!$B$11:I76,2)</f>
        <v>NTH</v>
      </c>
      <c r="D59" s="1">
        <f>VLOOKUP($B59,[18]TrtCodes!$B$11:J76,3)</f>
        <v>9</v>
      </c>
      <c r="E59" s="1">
        <f>VLOOKUP($B59,[18]TrtCodes!$B$11:K76,4)</f>
        <v>2</v>
      </c>
      <c r="F59" s="1">
        <f>VLOOKUP($B59,[18]TrtCodes!$B$11:L76,5)</f>
        <v>2</v>
      </c>
      <c r="G59" s="1">
        <f>VLOOKUP($B59,[18]TrtCodes!$B$11:M76,6)</f>
        <v>2</v>
      </c>
      <c r="H59" s="1">
        <f>VLOOKUP($B59,[18]TrtCodes!$B$11:N76,7)</f>
        <v>1</v>
      </c>
      <c r="I59" s="1">
        <f>[18]FormattedData!B33</f>
        <v>2</v>
      </c>
      <c r="J59" s="4">
        <f>[18]FormattedData!C33</f>
        <v>12.976000000000001</v>
      </c>
      <c r="K59" s="6">
        <f>$J$3+[18]FormattedData!D33*$J$4+$M$4*$J$5+[18]FormattedData!D33^2*$J$6+$M$5*$J$7</f>
        <v>27.994748989875095</v>
      </c>
      <c r="L59" s="6">
        <f>$J$3+[18]FormattedData!E33*$J$4+$M$4*$J$5+[18]FormattedData!E33^2*$J$6+$M$5*$J$7</f>
        <v>30.533338575207168</v>
      </c>
      <c r="M59" s="6">
        <f>$J$3+[18]FormattedData!F33*$J$4+$M$4*$J$5+[18]FormattedData!F33^2*$J$6+$M$5*$J$7</f>
        <v>31.211922985896294</v>
      </c>
      <c r="N59" s="6">
        <f>$J$3+[18]FormattedData!G33*$J$4+$M$4*$J$5+[18]FormattedData!G33^2*$J$6+$M$5*$J$7</f>
        <v>30.241882656842861</v>
      </c>
      <c r="O59" s="6">
        <f>$J$3+[18]FormattedData!H33*$J$4+$M$4*$J$5+[18]FormattedData!H33^2*$J$6+$M$5*$J$7</f>
        <v>29.072254814971828</v>
      </c>
      <c r="P59" s="6">
        <f>$J$3+[18]FormattedData!I33*$J$4+$M$4*$J$5+[18]FormattedData!I33^2*$J$6+$M$5*$J$7</f>
        <v>29.169956278753034</v>
      </c>
      <c r="Q59" s="6">
        <f>$J$3+[18]FormattedData!J33*$J$4+$M$4*$J$5+[18]FormattedData!J33^2*$J$6+$M$5*$J$7</f>
        <v>29.755277422143724</v>
      </c>
      <c r="R59" s="6">
        <f>$J$3+[18]FormattedData!K33*$J$4+$M$4*$J$5+[18]FormattedData!K33^2*$J$6+$M$5*$J$7</f>
        <v>29.169956278753034</v>
      </c>
      <c r="S59" s="6">
        <f>$J$3+[18]FormattedData!L33*$J$4+$M$4*$J$5+[18]FormattedData!L33^2*$J$6+$M$5*$J$7</f>
        <v>30.241882656842861</v>
      </c>
      <c r="T59" s="6">
        <f>$J$3+[18]FormattedData!M33*$J$4+$M$4*$J$5+[18]FormattedData!M33^2*$J$6+$M$5*$J$7</f>
        <v>28.681026274467687</v>
      </c>
      <c r="U59" s="6">
        <f>$J$3+[18]FormattedData!N33*$J$4+$M$4*$J$5+[18]FormattedData!N33^2*$J$6+$M$5*$J$7</f>
        <v>29.072254814971828</v>
      </c>
      <c r="V59" s="6">
        <f>$J$3+[18]FormattedData!O33*$J$4+$M$4*$J$5+[18]FormattedData!O33^2*$J$6+$M$5*$J$7</f>
        <v>28.289121437356648</v>
      </c>
      <c r="W59" s="5">
        <f t="shared" si="9"/>
        <v>29.452801932173504</v>
      </c>
      <c r="X59" s="4">
        <f t="shared" si="10"/>
        <v>0.27694489123671928</v>
      </c>
      <c r="Y59" s="3">
        <f t="shared" si="11"/>
        <v>27.994748989875095</v>
      </c>
      <c r="Z59" s="2">
        <f t="shared" si="12"/>
        <v>28.974447679845792</v>
      </c>
      <c r="AA59" s="3">
        <f t="shared" si="13"/>
        <v>29.169956278753034</v>
      </c>
      <c r="AB59" s="2">
        <f t="shared" si="14"/>
        <v>30.241882656842861</v>
      </c>
      <c r="AC59" s="2">
        <f t="shared" si="15"/>
        <v>31.211922985896294</v>
      </c>
      <c r="AD59" s="2">
        <f t="shared" si="16"/>
        <v>0.29958484962144971</v>
      </c>
      <c r="AE59" s="2">
        <f t="shared" si="17"/>
        <v>-0.59467105433014833</v>
      </c>
    </row>
    <row r="60" spans="2:31" x14ac:dyDescent="0.2">
      <c r="B60" s="1">
        <f>[18]FormattedData!A35</f>
        <v>203</v>
      </c>
      <c r="C60" s="1" t="str">
        <f>VLOOKUP($B60,[18]TrtCodes!$B$11:I78,2)</f>
        <v>FTH</v>
      </c>
      <c r="D60" s="1">
        <f>VLOOKUP($B60,[18]TrtCodes!$B$11:J78,3)</f>
        <v>3</v>
      </c>
      <c r="E60" s="1">
        <f>VLOOKUP($B60,[18]TrtCodes!$B$11:K78,4)</f>
        <v>1</v>
      </c>
      <c r="F60" s="1">
        <f>VLOOKUP($B60,[18]TrtCodes!$B$11:L78,5)</f>
        <v>2</v>
      </c>
      <c r="G60" s="1">
        <f>VLOOKUP($B60,[18]TrtCodes!$B$11:M78,6)</f>
        <v>2</v>
      </c>
      <c r="H60" s="1">
        <f>VLOOKUP($B60,[18]TrtCodes!$B$11:N78,7)</f>
        <v>1</v>
      </c>
      <c r="I60" s="1">
        <f>[18]FormattedData!B35</f>
        <v>2</v>
      </c>
      <c r="J60" s="4">
        <f>[18]FormattedData!C35</f>
        <v>12.988</v>
      </c>
      <c r="K60" s="6">
        <f>$J$3+[18]FormattedData!D35*$J$4+$M$4*$J$5+[18]FormattedData!D35^2*$J$6+$M$5*$J$7</f>
        <v>29.267615473996312</v>
      </c>
      <c r="L60" s="6">
        <f>$J$3+[18]FormattedData!E35*$J$4+$M$4*$J$5+[18]FormattedData!E35^2*$J$6+$M$5*$J$7</f>
        <v>28.681026274467687</v>
      </c>
      <c r="M60" s="6">
        <f>$J$3+[18]FormattedData!F35*$J$4+$M$4*$J$5+[18]FormattedData!F35^2*$J$6+$M$5*$J$7</f>
        <v>31.211922985896294</v>
      </c>
      <c r="N60" s="6">
        <f>$J$3+[18]FormattedData!G35*$J$4+$M$4*$J$5+[18]FormattedData!G35^2*$J$6+$M$5*$J$7</f>
        <v>28.681026274467687</v>
      </c>
      <c r="O60" s="6">
        <f>$J$3+[18]FormattedData!H35*$J$4+$M$4*$J$5+[18]FormattedData!H35^2*$J$6+$M$5*$J$7</f>
        <v>30.144646146978893</v>
      </c>
      <c r="P60" s="6">
        <f>$J$3+[18]FormattedData!I35*$J$4+$M$4*$J$5+[18]FormattedData!I35^2*$J$6+$M$5*$J$7</f>
        <v>28.485158392988033</v>
      </c>
      <c r="Q60" s="6">
        <f>$J$3+[18]FormattedData!J35*$J$4+$M$4*$J$5+[18]FormattedData!J35^2*$J$6+$M$5*$J$7</f>
        <v>28.87672508179562</v>
      </c>
      <c r="R60" s="6">
        <f>$J$3+[18]FormattedData!K35*$J$4+$M$4*$J$5+[18]FormattedData!K35^2*$J$6+$M$5*$J$7</f>
        <v>29.560339448498553</v>
      </c>
      <c r="S60" s="6">
        <f>$J$3+[18]FormattedData!L35*$J$4+$M$4*$J$5+[18]FormattedData!L35^2*$J$6+$M$5*$J$7</f>
        <v>29.169956278753034</v>
      </c>
      <c r="T60" s="6">
        <f>$J$3+[18]FormattedData!M35*$J$4+$M$4*$J$5+[18]FormattedData!M35^2*$J$6+$M$5*$J$7</f>
        <v>30.436228870956999</v>
      </c>
      <c r="U60" s="6">
        <f>$J$3+[18]FormattedData!N35*$J$4+$M$4*$J$5+[18]FormattedData!N35^2*$J$6+$M$5*$J$7</f>
        <v>28.289121437356648</v>
      </c>
      <c r="V60" s="6">
        <f>$J$3+[18]FormattedData!O35*$J$4+$M$4*$J$5+[18]FormattedData!O35^2*$J$6+$M$5*$J$7</f>
        <v>28.289121437356648</v>
      </c>
      <c r="W60" s="5">
        <f t="shared" si="9"/>
        <v>29.257740675292698</v>
      </c>
      <c r="X60" s="4">
        <f t="shared" si="10"/>
        <v>0.26653409011354529</v>
      </c>
      <c r="Y60" s="3">
        <f t="shared" si="11"/>
        <v>28.289121437356648</v>
      </c>
      <c r="Z60" s="2">
        <f t="shared" si="12"/>
        <v>28.632059304097773</v>
      </c>
      <c r="AA60" s="3">
        <f t="shared" si="13"/>
        <v>29.023340680274327</v>
      </c>
      <c r="AB60" s="2">
        <f t="shared" si="14"/>
        <v>29.706416123118636</v>
      </c>
      <c r="AC60" s="2">
        <f t="shared" si="15"/>
        <v>31.211922985896294</v>
      </c>
      <c r="AD60" s="2">
        <f t="shared" si="16"/>
        <v>0.98494145145563927</v>
      </c>
      <c r="AE60" s="2">
        <f t="shared" si="17"/>
        <v>0.19451672090238503</v>
      </c>
    </row>
    <row r="61" spans="2:31" x14ac:dyDescent="0.2">
      <c r="B61" s="1">
        <f>[18]FormattedData!A37</f>
        <v>204</v>
      </c>
      <c r="C61" s="1" t="str">
        <f>VLOOKUP($B61,[18]TrtCodes!$B$11:I80,2)</f>
        <v>NDH</v>
      </c>
      <c r="D61" s="1">
        <f>VLOOKUP($B61,[18]TrtCodes!$B$11:J80,3)</f>
        <v>11</v>
      </c>
      <c r="E61" s="1">
        <f>VLOOKUP($B61,[18]TrtCodes!$B$11:K80,4)</f>
        <v>2</v>
      </c>
      <c r="F61" s="1">
        <f>VLOOKUP($B61,[18]TrtCodes!$B$11:L80,5)</f>
        <v>3</v>
      </c>
      <c r="G61" s="1">
        <f>VLOOKUP($B61,[18]TrtCodes!$B$11:M80,6)</f>
        <v>2</v>
      </c>
      <c r="H61" s="1">
        <f>VLOOKUP($B61,[18]TrtCodes!$B$11:N80,7)</f>
        <v>1</v>
      </c>
      <c r="I61" s="1">
        <f>[18]FormattedData!B37</f>
        <v>2</v>
      </c>
      <c r="J61" s="4">
        <f>[18]FormattedData!C37</f>
        <v>13.002000000000001</v>
      </c>
      <c r="K61" s="6">
        <f>$J$3+[18]FormattedData!D37*$J$4+$M$4*$J$5+[18]FormattedData!D37^2*$J$6+$M$5*$J$7</f>
        <v>28.289121437356648</v>
      </c>
      <c r="L61" s="6">
        <f>$J$3+[18]FormattedData!E37*$J$4+$M$4*$J$5+[18]FormattedData!E37^2*$J$6+$M$5*$J$7</f>
        <v>27.601660633701986</v>
      </c>
      <c r="M61" s="6">
        <f>$J$3+[18]FormattedData!F37*$J$4+$M$4*$J$5+[18]FormattedData!F37^2*$J$6+$M$5*$J$7</f>
        <v>28.289121437356648</v>
      </c>
      <c r="N61" s="6">
        <f>$J$3+[18]FormattedData!G37*$J$4+$M$4*$J$5+[18]FormattedData!G37^2*$J$6+$M$5*$J$7</f>
        <v>29.072254814971828</v>
      </c>
      <c r="O61" s="6">
        <f>$J$3+[18]FormattedData!H37*$J$4+$M$4*$J$5+[18]FormattedData!H37^2*$J$6+$M$5*$J$7</f>
        <v>27.798289348864401</v>
      </c>
      <c r="P61" s="6">
        <f>$J$3+[18]FormattedData!I37*$J$4+$M$4*$J$5+[18]FormattedData!I37^2*$J$6+$M$5*$J$7</f>
        <v>28.387161049441303</v>
      </c>
      <c r="Q61" s="6">
        <f>$J$3+[18]FormattedData!J37*$J$4+$M$4*$J$5+[18]FormattedData!J37^2*$J$6+$M$5*$J$7</f>
        <v>28.092915407573546</v>
      </c>
      <c r="R61" s="6">
        <f>$J$3+[18]FormattedData!K37*$J$4+$M$4*$J$5+[18]FormattedData!K37^2*$J$6+$M$5*$J$7</f>
        <v>28.583113467996824</v>
      </c>
      <c r="S61" s="6">
        <f>$J$3+[18]FormattedData!L37*$J$4+$M$4*$J$5+[18]FormattedData!L37^2*$J$6+$M$5*$J$7</f>
        <v>29.85268300615941</v>
      </c>
      <c r="T61" s="6">
        <f>$J$3+[18]FormattedData!M37*$J$4+$M$4*$J$5+[18]FormattedData!M37^2*$J$6+$M$5*$J$7</f>
        <v>28.87672508179562</v>
      </c>
      <c r="U61" s="6">
        <f>$J$3+[18]FormattedData!N37*$J$4+$M$4*$J$5+[18]FormattedData!N37^2*$J$6+$M$5*$J$7</f>
        <v>28.97451108265269</v>
      </c>
      <c r="V61" s="6">
        <f>$J$3+[18]FormattedData!O37*$J$4+$M$4*$J$5+[18]FormattedData!O37^2*$J$6+$M$5*$J$7</f>
        <v>29.560339448498553</v>
      </c>
      <c r="W61" s="5">
        <f t="shared" si="9"/>
        <v>28.614824684697449</v>
      </c>
      <c r="X61" s="4">
        <f t="shared" si="10"/>
        <v>0.1958687335776336</v>
      </c>
      <c r="Y61" s="3">
        <f t="shared" si="11"/>
        <v>27.601660633701986</v>
      </c>
      <c r="Z61" s="2">
        <f t="shared" si="12"/>
        <v>28.240069929910874</v>
      </c>
      <c r="AA61" s="3">
        <f t="shared" si="13"/>
        <v>28.485137258719064</v>
      </c>
      <c r="AB61" s="2">
        <f t="shared" si="14"/>
        <v>28.998947015732476</v>
      </c>
      <c r="AC61" s="2">
        <f t="shared" si="15"/>
        <v>29.85268300615941</v>
      </c>
      <c r="AD61" s="2">
        <f t="shared" si="16"/>
        <v>0.38232551508568502</v>
      </c>
      <c r="AE61" s="2">
        <f t="shared" si="17"/>
        <v>-0.4572145766954443</v>
      </c>
    </row>
    <row r="62" spans="2:31" x14ac:dyDescent="0.2">
      <c r="B62" s="1">
        <f>[18]FormattedData!A39</f>
        <v>205</v>
      </c>
      <c r="C62" s="1" t="str">
        <f>VLOOKUP($B62,[18]TrtCodes!$B$11:I82,2)</f>
        <v>FSH</v>
      </c>
      <c r="D62" s="1">
        <f>VLOOKUP($B62,[18]TrtCodes!$B$11:J82,3)</f>
        <v>1</v>
      </c>
      <c r="E62" s="1">
        <f>VLOOKUP($B62,[18]TrtCodes!$B$11:K82,4)</f>
        <v>1</v>
      </c>
      <c r="F62" s="1">
        <f>VLOOKUP($B62,[18]TrtCodes!$B$11:L82,5)</f>
        <v>1</v>
      </c>
      <c r="G62" s="1">
        <f>VLOOKUP($B62,[18]TrtCodes!$B$11:M82,6)</f>
        <v>2</v>
      </c>
      <c r="H62" s="1">
        <f>VLOOKUP($B62,[18]TrtCodes!$B$11:N82,7)</f>
        <v>2</v>
      </c>
      <c r="I62" s="1">
        <f>[18]FormattedData!B39</f>
        <v>2</v>
      </c>
      <c r="J62" s="4">
        <f>[18]FormattedData!C39</f>
        <v>13.016</v>
      </c>
      <c r="K62" s="6">
        <f>$J$3+[18]FormattedData!D39*$J$4+$M$4*$J$5+[18]FormattedData!D39^2*$J$6+$M$5*$J$7</f>
        <v>30.144646146978893</v>
      </c>
      <c r="L62" s="6">
        <f>$J$3+[18]FormattedData!E39*$J$4+$M$4*$J$5+[18]FormattedData!E39^2*$J$6+$M$5*$J$7</f>
        <v>28.97451108265269</v>
      </c>
      <c r="M62" s="6">
        <f>$J$3+[18]FormattedData!F39*$J$4+$M$4*$J$5+[18]FormattedData!F39^2*$J$6+$M$5*$J$7</f>
        <v>30.241882656842861</v>
      </c>
      <c r="N62" s="6">
        <f>$J$3+[18]FormattedData!G39*$J$4+$M$4*$J$5+[18]FormattedData!G39^2*$J$6+$M$5*$J$7</f>
        <v>30.047367368576996</v>
      </c>
      <c r="O62" s="6">
        <f>$J$3+[18]FormattedData!H39*$J$4+$M$4*$J$5+[18]FormattedData!H39^2*$J$6+$M$5*$J$7</f>
        <v>31.502110848122665</v>
      </c>
      <c r="P62" s="6">
        <f>$J$3+[18]FormattedData!I39*$J$4+$M$4*$J$5+[18]FormattedData!I39^2*$J$6+$M$5*$J$7</f>
        <v>29.365232400701654</v>
      </c>
      <c r="Q62" s="6">
        <f>$J$3+[18]FormattedData!J39*$J$4+$M$4*$J$5+[18]FormattedData!J39^2*$J$6+$M$5*$J$7</f>
        <v>29.950046321637174</v>
      </c>
      <c r="R62" s="6">
        <f>$J$3+[18]FormattedData!K39*$J$4+$M$4*$J$5+[18]FormattedData!K39^2*$J$6+$M$5*$J$7</f>
        <v>29.072254814971828</v>
      </c>
      <c r="S62" s="6">
        <f>$J$3+[18]FormattedData!L39*$J$4+$M$4*$J$5+[18]FormattedData!L39^2*$J$6+$M$5*$J$7</f>
        <v>29.85268300615941</v>
      </c>
      <c r="T62" s="6">
        <f>$J$3+[18]FormattedData!M39*$J$4+$M$4*$J$5+[18]FormattedData!M39^2*$J$6+$M$5*$J$7</f>
        <v>29.657829569590099</v>
      </c>
      <c r="U62" s="6">
        <f>$J$3+[18]FormattedData!N39*$J$4+$M$4*$J$5+[18]FormattedData!N39^2*$J$6+$M$5*$J$7</f>
        <v>28.289121437356648</v>
      </c>
      <c r="V62" s="6">
        <f>$J$3+[18]FormattedData!O39*$J$4+$M$4*$J$5+[18]FormattedData!O39^2*$J$6+$M$5*$J$7</f>
        <v>27.798289348864401</v>
      </c>
      <c r="W62" s="5">
        <f t="shared" si="9"/>
        <v>29.574664583537938</v>
      </c>
      <c r="X62" s="4">
        <f t="shared" si="10"/>
        <v>0.28066843735240798</v>
      </c>
      <c r="Y62" s="3">
        <f t="shared" si="11"/>
        <v>27.798289348864401</v>
      </c>
      <c r="Z62" s="2">
        <f t="shared" si="12"/>
        <v>29.047818881892042</v>
      </c>
      <c r="AA62" s="3">
        <f t="shared" si="13"/>
        <v>29.755256287874754</v>
      </c>
      <c r="AB62" s="2">
        <f t="shared" si="14"/>
        <v>30.071687063177471</v>
      </c>
      <c r="AC62" s="2">
        <f t="shared" si="15"/>
        <v>31.502110848122665</v>
      </c>
      <c r="AD62" s="2">
        <f t="shared" si="16"/>
        <v>-3.0706961668194081E-2</v>
      </c>
      <c r="AE62" s="2">
        <f t="shared" si="17"/>
        <v>0.73930923543095872</v>
      </c>
    </row>
    <row r="63" spans="2:31" x14ac:dyDescent="0.2">
      <c r="B63" s="1">
        <f>[18]FormattedData!A41</f>
        <v>206</v>
      </c>
      <c r="C63" s="1" t="str">
        <f>VLOOKUP($B63,[18]TrtCodes!$B$11:I84,2)</f>
        <v>NSL</v>
      </c>
      <c r="D63" s="1">
        <f>VLOOKUP($B63,[18]TrtCodes!$B$11:J84,3)</f>
        <v>8</v>
      </c>
      <c r="E63" s="1">
        <f>VLOOKUP($B63,[18]TrtCodes!$B$11:K84,4)</f>
        <v>2</v>
      </c>
      <c r="F63" s="1">
        <f>VLOOKUP($B63,[18]TrtCodes!$B$11:L84,5)</f>
        <v>1</v>
      </c>
      <c r="G63" s="1">
        <f>VLOOKUP($B63,[18]TrtCodes!$B$11:M84,6)</f>
        <v>1</v>
      </c>
      <c r="H63" s="1">
        <f>VLOOKUP($B63,[18]TrtCodes!$B$11:N84,7)</f>
        <v>2</v>
      </c>
      <c r="I63" s="1">
        <f>[18]FormattedData!B41</f>
        <v>2</v>
      </c>
      <c r="J63" s="4">
        <f>[18]FormattedData!C41</f>
        <v>13.029</v>
      </c>
      <c r="K63" s="6">
        <f>$J$3+[18]FormattedData!D41*$J$4+$M$4*$J$5+[18]FormattedData!D41^2*$J$6+$M$5*$J$7</f>
        <v>27.601660633701986</v>
      </c>
      <c r="L63" s="6">
        <f>$J$3+[18]FormattedData!E41*$J$4+$M$4*$J$5+[18]FormattedData!E41^2*$J$6+$M$5*$J$7</f>
        <v>28.97451108265269</v>
      </c>
      <c r="M63" s="6">
        <f>$J$3+[18]FormattedData!F41*$J$4+$M$4*$J$5+[18]FormattedData!F41^2*$J$6+$M$5*$J$7</f>
        <v>30.727431178093717</v>
      </c>
      <c r="N63" s="6">
        <f>$J$3+[18]FormattedData!G41*$J$4+$M$4*$J$5+[18]FormattedData!G41^2*$J$6+$M$5*$J$7</f>
        <v>28.191039556734061</v>
      </c>
      <c r="O63" s="6">
        <f>$J$3+[18]FormattedData!H41*$J$4+$M$4*$J$5+[18]FormattedData!H41^2*$J$6+$M$5*$J$7</f>
        <v>28.87672508179562</v>
      </c>
      <c r="P63" s="6">
        <f>$J$3+[18]FormattedData!I41*$J$4+$M$4*$J$5+[18]FormattedData!I41^2*$J$6+$M$5*$J$7</f>
        <v>28.191039556734061</v>
      </c>
      <c r="Q63" s="6">
        <f>$J$3+[18]FormattedData!J41*$J$4+$M$4*$J$5+[18]FormattedData!J41^2*$J$6+$M$5*$J$7</f>
        <v>29.365232400701654</v>
      </c>
      <c r="R63" s="6">
        <f>$J$3+[18]FormattedData!K41*$J$4+$M$4*$J$5+[18]FormattedData!K41^2*$J$6+$M$5*$J$7</f>
        <v>28.583113467996824</v>
      </c>
      <c r="S63" s="6">
        <f>$J$3+[18]FormattedData!L41*$J$4+$M$4*$J$5+[18]FormattedData!L41^2*$J$6+$M$5*$J$7</f>
        <v>29.072254814971828</v>
      </c>
      <c r="T63" s="6">
        <f>$J$3+[18]FormattedData!M41*$J$4+$M$4*$J$5+[18]FormattedData!M41^2*$J$6+$M$5*$J$7</f>
        <v>28.191039556734061</v>
      </c>
      <c r="U63" s="6">
        <f>$J$3+[18]FormattedData!N41*$J$4+$M$4*$J$5+[18]FormattedData!N41^2*$J$6+$M$5*$J$7</f>
        <v>29.560339448498553</v>
      </c>
      <c r="V63" s="6">
        <f>$J$3+[18]FormattedData!O41*$J$4+$M$4*$J$5+[18]FormattedData!O41^2*$J$6+$M$5*$J$7</f>
        <v>32.370391933753503</v>
      </c>
      <c r="W63" s="5">
        <f t="shared" si="9"/>
        <v>29.14206489269738</v>
      </c>
      <c r="X63" s="4">
        <f t="shared" si="10"/>
        <v>0.37600583862977038</v>
      </c>
      <c r="Y63" s="3">
        <f t="shared" si="11"/>
        <v>27.601660633701986</v>
      </c>
      <c r="Z63" s="2">
        <f t="shared" si="12"/>
        <v>28.191039556734061</v>
      </c>
      <c r="AA63" s="3">
        <f t="shared" si="13"/>
        <v>28.925618082224155</v>
      </c>
      <c r="AB63" s="2">
        <f t="shared" si="14"/>
        <v>29.414009162650878</v>
      </c>
      <c r="AC63" s="2">
        <f t="shared" si="15"/>
        <v>32.370391933753503</v>
      </c>
      <c r="AD63" s="2">
        <f t="shared" si="16"/>
        <v>1.5442308210075972</v>
      </c>
      <c r="AE63" s="2">
        <f t="shared" si="17"/>
        <v>2.7090222539440232</v>
      </c>
    </row>
    <row r="64" spans="2:31" x14ac:dyDescent="0.2">
      <c r="B64" s="1">
        <f>[18]FormattedData!A43</f>
        <v>207</v>
      </c>
      <c r="C64" s="1" t="str">
        <f>VLOOKUP($B64,[18]TrtCodes!$B$11:I86,2)</f>
        <v>FTL</v>
      </c>
      <c r="D64" s="1">
        <f>VLOOKUP($B64,[18]TrtCodes!$B$11:J86,3)</f>
        <v>4</v>
      </c>
      <c r="E64" s="1">
        <f>VLOOKUP($B64,[18]TrtCodes!$B$11:K86,4)</f>
        <v>1</v>
      </c>
      <c r="F64" s="1">
        <f>VLOOKUP($B64,[18]TrtCodes!$B$11:L86,5)</f>
        <v>2</v>
      </c>
      <c r="G64" s="1">
        <f>VLOOKUP($B64,[18]TrtCodes!$B$11:M86,6)</f>
        <v>1</v>
      </c>
      <c r="H64" s="1">
        <f>VLOOKUP($B64,[18]TrtCodes!$B$11:N86,7)</f>
        <v>2</v>
      </c>
      <c r="I64" s="1">
        <f>[18]FormattedData!B43</f>
        <v>2</v>
      </c>
      <c r="J64" s="4">
        <f>[18]FormattedData!C43</f>
        <v>13.042999999999999</v>
      </c>
      <c r="K64" s="6">
        <f>$J$3+[18]FormattedData!D43*$J$4+$M$4*$J$5+[18]FormattedData!D43^2*$J$6+$M$5*$J$7</f>
        <v>29.072254814971828</v>
      </c>
      <c r="L64" s="6">
        <f>$J$3+[18]FormattedData!E43*$J$4+$M$4*$J$5+[18]FormattedData!E43^2*$J$6+$M$5*$J$7</f>
        <v>27.798289348864401</v>
      </c>
      <c r="M64" s="6">
        <f>$J$3+[18]FormattedData!F43*$J$4+$M$4*$J$5+[18]FormattedData!F43^2*$J$6+$M$5*$J$7</f>
        <v>29.462807058869068</v>
      </c>
      <c r="N64" s="6">
        <f>$J$3+[18]FormattedData!G43*$J$4+$M$4*$J$5+[18]FormattedData!G43^2*$J$6+$M$5*$J$7</f>
        <v>28.681026274467687</v>
      </c>
      <c r="O64" s="6">
        <f>$J$3+[18]FormattedData!H43*$J$4+$M$4*$J$5+[18]FormattedData!H43^2*$J$6+$M$5*$J$7</f>
        <v>27.601660633701986</v>
      </c>
      <c r="P64" s="6">
        <f>$J$3+[18]FormattedData!I43*$J$4+$M$4*$J$5+[18]FormattedData!I43^2*$J$6+$M$5*$J$7</f>
        <v>28.681026274467687</v>
      </c>
      <c r="Q64" s="6">
        <f>$J$3+[18]FormattedData!J43*$J$4+$M$4*$J$5+[18]FormattedData!J43^2*$J$6+$M$5*$J$7</f>
        <v>29.755277422143724</v>
      </c>
      <c r="R64" s="6">
        <f>$J$3+[18]FormattedData!K43*$J$4+$M$4*$J$5+[18]FormattedData!K43^2*$J$6+$M$5*$J$7</f>
        <v>29.755277422143724</v>
      </c>
      <c r="S64" s="6">
        <f>$J$3+[18]FormattedData!L43*$J$4+$M$4*$J$5+[18]FormattedData!L43^2*$J$6+$M$5*$J$7</f>
        <v>27.207895980921975</v>
      </c>
      <c r="T64" s="6">
        <f>$J$3+[18]FormattedData!M43*$J$4+$M$4*$J$5+[18]FormattedData!M43^2*$J$6+$M$5*$J$7</f>
        <v>28.289121437356648</v>
      </c>
      <c r="U64" s="6">
        <f>$J$3+[18]FormattedData!N43*$J$4+$M$4*$J$5+[18]FormattedData!N43^2*$J$6+$M$5*$J$7</f>
        <v>27.601660633701986</v>
      </c>
      <c r="V64" s="6">
        <f>$J$3+[18]FormattedData!O43*$J$4+$M$4*$J$5+[18]FormattedData!O43^2*$J$6+$M$5*$J$7</f>
        <v>26.912128671688691</v>
      </c>
      <c r="W64" s="5">
        <f t="shared" si="9"/>
        <v>28.401535497774955</v>
      </c>
      <c r="X64" s="4">
        <f t="shared" si="10"/>
        <v>0.2846698877147284</v>
      </c>
      <c r="Y64" s="3">
        <f t="shared" si="11"/>
        <v>26.912128671688691</v>
      </c>
      <c r="Z64" s="2">
        <f t="shared" si="12"/>
        <v>27.601660633701986</v>
      </c>
      <c r="AA64" s="3">
        <f t="shared" si="13"/>
        <v>28.485073855912169</v>
      </c>
      <c r="AB64" s="2">
        <f t="shared" si="14"/>
        <v>29.16989287594614</v>
      </c>
      <c r="AC64" s="2">
        <f t="shared" si="15"/>
        <v>29.755277422143724</v>
      </c>
      <c r="AD64" s="2">
        <f t="shared" si="16"/>
        <v>2.8821662593873882E-2</v>
      </c>
      <c r="AE64" s="2">
        <f t="shared" si="17"/>
        <v>-1.3501503954309091</v>
      </c>
    </row>
    <row r="65" spans="2:31" x14ac:dyDescent="0.2">
      <c r="B65" s="1">
        <f>[18]FormattedData!A45</f>
        <v>208</v>
      </c>
      <c r="C65" s="1" t="str">
        <f>VLOOKUP($B65,[18]TrtCodes!$B$11:I88,2)</f>
        <v>FSL</v>
      </c>
      <c r="D65" s="1">
        <f>VLOOKUP($B65,[18]TrtCodes!$B$11:J88,3)</f>
        <v>2</v>
      </c>
      <c r="E65" s="1">
        <f>VLOOKUP($B65,[18]TrtCodes!$B$11:K88,4)</f>
        <v>1</v>
      </c>
      <c r="F65" s="1">
        <f>VLOOKUP($B65,[18]TrtCodes!$B$11:L88,5)</f>
        <v>1</v>
      </c>
      <c r="G65" s="1">
        <f>VLOOKUP($B65,[18]TrtCodes!$B$11:M88,6)</f>
        <v>1</v>
      </c>
      <c r="H65" s="1">
        <f>VLOOKUP($B65,[18]TrtCodes!$B$11:N88,7)</f>
        <v>2</v>
      </c>
      <c r="I65" s="1">
        <f>[18]FormattedData!B45</f>
        <v>2</v>
      </c>
      <c r="J65" s="4">
        <f>[18]FormattedData!C45</f>
        <v>13.055999999999999</v>
      </c>
      <c r="K65" s="6">
        <f>$J$3+[18]FormattedData!D45*$J$4+$M$4*$J$5+[18]FormattedData!D45^2*$J$6+$M$5*$J$7</f>
        <v>28.289121437356648</v>
      </c>
      <c r="L65" s="6">
        <f>$J$3+[18]FormattedData!E45*$J$4+$M$4*$J$5+[18]FormattedData!E45^2*$J$6+$M$5*$J$7</f>
        <v>29.462807058869068</v>
      </c>
      <c r="M65" s="6">
        <f>$J$3+[18]FormattedData!F45*$J$4+$M$4*$J$5+[18]FormattedData!F45^2*$J$6+$M$5*$J$7</f>
        <v>30.727431178093717</v>
      </c>
      <c r="N65" s="6">
        <f>$J$3+[18]FormattedData!G45*$J$4+$M$4*$J$5+[18]FormattedData!G45^2*$J$6+$M$5*$J$7</f>
        <v>27.994748989875095</v>
      </c>
      <c r="O65" s="6">
        <f>$J$3+[18]FormattedData!H45*$J$4+$M$4*$J$5+[18]FormattedData!H45^2*$J$6+$M$5*$J$7</f>
        <v>27.994748989875095</v>
      </c>
      <c r="P65" s="6">
        <f>$J$3+[18]FormattedData!I45*$J$4+$M$4*$J$5+[18]FormattedData!I45^2*$J$6+$M$5*$J$7</f>
        <v>28.092915407573546</v>
      </c>
      <c r="Q65" s="6">
        <f>$J$3+[18]FormattedData!J45*$J$4+$M$4*$J$5+[18]FormattedData!J45^2*$J$6+$M$5*$J$7</f>
        <v>28.289121437356648</v>
      </c>
      <c r="R65" s="6">
        <f>$J$3+[18]FormattedData!K45*$J$4+$M$4*$J$5+[18]FormattedData!K45^2*$J$6+$M$5*$J$7</f>
        <v>27.896540303638712</v>
      </c>
      <c r="S65" s="6">
        <f>$J$3+[18]FormattedData!L45*$J$4+$M$4*$J$5+[18]FormattedData!L45^2*$J$6+$M$5*$J$7</f>
        <v>28.289121437356648</v>
      </c>
      <c r="T65" s="6">
        <f>$J$3+[18]FormattedData!M45*$J$4+$M$4*$J$5+[18]FormattedData!M45^2*$J$6+$M$5*$J$7</f>
        <v>27.601660633701986</v>
      </c>
      <c r="U65" s="6">
        <f>$J$3+[18]FormattedData!N45*$J$4+$M$4*$J$5+[18]FormattedData!N45^2*$J$6+$M$5*$J$7</f>
        <v>27.109349146382151</v>
      </c>
      <c r="V65" s="6">
        <f>$J$3+[18]FormattedData!O45*$J$4+$M$4*$J$5+[18]FormattedData!O45^2*$J$6+$M$5*$J$7</f>
        <v>28.485158392988033</v>
      </c>
      <c r="W65" s="5">
        <f t="shared" si="9"/>
        <v>28.352727034422276</v>
      </c>
      <c r="X65" s="4">
        <f t="shared" si="10"/>
        <v>0.26888049048554136</v>
      </c>
      <c r="Y65" s="3">
        <f t="shared" si="11"/>
        <v>27.109349146382151</v>
      </c>
      <c r="Z65" s="2">
        <f t="shared" si="12"/>
        <v>27.970196818315998</v>
      </c>
      <c r="AA65" s="3">
        <f t="shared" si="13"/>
        <v>28.191018422465099</v>
      </c>
      <c r="AB65" s="2">
        <f t="shared" si="14"/>
        <v>28.338130676264495</v>
      </c>
      <c r="AC65" s="2">
        <f t="shared" si="15"/>
        <v>30.727431178093717</v>
      </c>
      <c r="AD65" s="2">
        <f t="shared" si="16"/>
        <v>1.6484783964980272</v>
      </c>
      <c r="AE65" s="2">
        <f t="shared" si="17"/>
        <v>3.5263074609649747</v>
      </c>
    </row>
    <row r="66" spans="2:31" x14ac:dyDescent="0.2">
      <c r="B66" s="1">
        <f>[18]FormattedData!A63</f>
        <v>301</v>
      </c>
      <c r="C66" s="1" t="str">
        <f>VLOOKUP($B66,[18]TrtCodes!$B$11:I106,2)</f>
        <v>NTL</v>
      </c>
      <c r="D66" s="1">
        <f>VLOOKUP($B66,[18]TrtCodes!$B$11:J106,3)</f>
        <v>10</v>
      </c>
      <c r="E66" s="1">
        <f>VLOOKUP($B66,[18]TrtCodes!$B$11:K106,4)</f>
        <v>2</v>
      </c>
      <c r="F66" s="1">
        <f>VLOOKUP($B66,[18]TrtCodes!$B$11:L106,5)</f>
        <v>2</v>
      </c>
      <c r="G66" s="1">
        <f>VLOOKUP($B66,[18]TrtCodes!$B$11:M106,6)</f>
        <v>1</v>
      </c>
      <c r="H66" s="1">
        <f>VLOOKUP($B66,[18]TrtCodes!$B$11:N106,7)</f>
        <v>3</v>
      </c>
      <c r="I66" s="1">
        <f>[18]FormattedData!B63</f>
        <v>2</v>
      </c>
      <c r="J66" s="4">
        <f>[18]FormattedData!C63</f>
        <v>13.16</v>
      </c>
      <c r="K66" s="6">
        <f>$J$3+[18]FormattedData!D63*$J$4+$M$4*$J$5+[18]FormattedData!D63^2*$J$6+$M$5*$J$7</f>
        <v>26.418337785541265</v>
      </c>
      <c r="L66" s="6">
        <f>$J$3+[18]FormattedData!E63*$J$4+$M$4*$J$5+[18]FormattedData!E63^2*$J$6+$M$5*$J$7</f>
        <v>26.813455031535071</v>
      </c>
      <c r="M66" s="6">
        <f>$J$3+[18]FormattedData!F63*$J$4+$M$4*$J$5+[18]FormattedData!F63^2*$J$6+$M$5*$J$7</f>
        <v>29.560339448498553</v>
      </c>
      <c r="N66" s="6">
        <f>$J$3+[18]FormattedData!G63*$J$4+$M$4*$J$5+[18]FormattedData!G63^2*$J$6+$M$5*$J$7</f>
        <v>27.503282873313879</v>
      </c>
      <c r="O66" s="6">
        <f>$J$3+[18]FormattedData!H63*$J$4+$M$4*$J$5+[18]FormattedData!H63^2*$J$6+$M$5*$J$7</f>
        <v>28.778896812400617</v>
      </c>
      <c r="P66" s="6">
        <f>$J$3+[18]FormattedData!I63*$J$4+$M$4*$J$5+[18]FormattedData!I63^2*$J$6+$M$5*$J$7</f>
        <v>27.404862844387839</v>
      </c>
      <c r="Q66" s="6">
        <f>$J$3+[18]FormattedData!J63*$J$4+$M$4*$J$5+[18]FormattedData!J63^2*$J$6+$M$5*$J$7</f>
        <v>27.699996125552158</v>
      </c>
      <c r="R66" s="6">
        <f>$J$3+[18]FormattedData!K63*$J$4+$M$4*$J$5+[18]FormattedData!K63^2*$J$6+$M$5*$J$7</f>
        <v>27.699996125552158</v>
      </c>
      <c r="S66" s="6">
        <f>$J$3+[18]FormattedData!L63*$J$4+$M$4*$J$5+[18]FormattedData!L63^2*$J$6+$M$5*$J$7</f>
        <v>27.404862844387839</v>
      </c>
      <c r="T66" s="6">
        <f>$J$3+[18]FormattedData!M63*$J$4+$M$4*$J$5+[18]FormattedData!M63^2*$J$6+$M$5*$J$7</f>
        <v>28.191039556734061</v>
      </c>
      <c r="U66" s="6">
        <f>$J$3+[18]FormattedData!N63*$J$4+$M$4*$J$5+[18]FormattedData!N63^2*$J$6+$M$5*$J$7</f>
        <v>29.169956278753034</v>
      </c>
      <c r="V66" s="6">
        <f>$J$3+[18]FormattedData!O63*$J$4+$M$4*$J$5+[18]FormattedData!O63^2*$J$6+$M$5*$J$7</f>
        <v>28.778896812400617</v>
      </c>
      <c r="W66" s="5">
        <f t="shared" si="9"/>
        <v>27.951993544921425</v>
      </c>
      <c r="X66" s="4">
        <f t="shared" si="10"/>
        <v>0.27620687510758046</v>
      </c>
      <c r="Y66" s="3">
        <f t="shared" si="11"/>
        <v>26.418337785541265</v>
      </c>
      <c r="Z66" s="2">
        <f t="shared" si="12"/>
        <v>27.404862844387839</v>
      </c>
      <c r="AA66" s="3">
        <f t="shared" si="13"/>
        <v>27.699996125552158</v>
      </c>
      <c r="AB66" s="2">
        <f t="shared" si="14"/>
        <v>28.778896812400617</v>
      </c>
      <c r="AC66" s="2">
        <f t="shared" si="15"/>
        <v>29.560339448498553</v>
      </c>
      <c r="AD66" s="2">
        <f t="shared" si="16"/>
        <v>0.196600328317447</v>
      </c>
      <c r="AE66" s="2">
        <f t="shared" si="17"/>
        <v>-0.78618095391174903</v>
      </c>
    </row>
    <row r="67" spans="2:31" x14ac:dyDescent="0.2">
      <c r="B67" s="1">
        <f>[18]FormattedData!A65</f>
        <v>302</v>
      </c>
      <c r="C67" s="1" t="str">
        <f>VLOOKUP($B67,[18]TrtCodes!$B$11:I108,2)</f>
        <v>FTL</v>
      </c>
      <c r="D67" s="1">
        <f>VLOOKUP($B67,[18]TrtCodes!$B$11:J108,3)</f>
        <v>4</v>
      </c>
      <c r="E67" s="1">
        <f>VLOOKUP($B67,[18]TrtCodes!$B$11:K108,4)</f>
        <v>1</v>
      </c>
      <c r="F67" s="1">
        <f>VLOOKUP($B67,[18]TrtCodes!$B$11:L108,5)</f>
        <v>2</v>
      </c>
      <c r="G67" s="1">
        <f>VLOOKUP($B67,[18]TrtCodes!$B$11:M108,6)</f>
        <v>1</v>
      </c>
      <c r="H67" s="1">
        <f>VLOOKUP($B67,[18]TrtCodes!$B$11:N108,7)</f>
        <v>3</v>
      </c>
      <c r="I67" s="1">
        <f>[18]FormattedData!B65</f>
        <v>2</v>
      </c>
      <c r="J67" s="4">
        <f>[18]FormattedData!C65</f>
        <v>13.173999999999999</v>
      </c>
      <c r="K67" s="6">
        <f>$J$3+[18]FormattedData!D65*$J$4+$M$4*$J$5+[18]FormattedData!D65^2*$J$6+$M$5*$J$7</f>
        <v>28.387161049441303</v>
      </c>
      <c r="L67" s="6">
        <f>$J$3+[18]FormattedData!E65*$J$4+$M$4*$J$5+[18]FormattedData!E65^2*$J$6+$M$5*$J$7</f>
        <v>27.207895980921975</v>
      </c>
      <c r="M67" s="6">
        <f>$J$3+[18]FormattedData!F65*$J$4+$M$4*$J$5+[18]FormattedData!F65^2*$J$6+$M$5*$J$7</f>
        <v>26.418337785541265</v>
      </c>
      <c r="N67" s="6">
        <f>$J$3+[18]FormattedData!G65*$J$4+$M$4*$J$5+[18]FormattedData!G65^2*$J$6+$M$5*$J$7</f>
        <v>25.228928267918462</v>
      </c>
      <c r="O67" s="6">
        <f>$J$3+[18]FormattedData!H65*$J$4+$M$4*$J$5+[18]FormattedData!H65^2*$J$6+$M$5*$J$7</f>
        <v>27.404862844387839</v>
      </c>
      <c r="P67" s="6">
        <f>$J$3+[18]FormattedData!I65*$J$4+$M$4*$J$5+[18]FormattedData!I65^2*$J$6+$M$5*$J$7</f>
        <v>26.61598094561403</v>
      </c>
      <c r="Q67" s="6">
        <f>$J$3+[18]FormattedData!J65*$J$4+$M$4*$J$5+[18]FormattedData!J65^2*$J$6+$M$5*$J$7</f>
        <v>27.601660633701986</v>
      </c>
      <c r="R67" s="6">
        <f>$J$3+[18]FormattedData!K65*$J$4+$M$4*$J$5+[18]FormattedData!K65^2*$J$6+$M$5*$J$7</f>
        <v>30.047367368576996</v>
      </c>
      <c r="S67" s="6">
        <f>$J$3+[18]FormattedData!L65*$J$4+$M$4*$J$5+[18]FormattedData!L65^2*$J$6+$M$5*$J$7</f>
        <v>28.289121437356648</v>
      </c>
      <c r="T67" s="6">
        <f>$J$3+[18]FormattedData!M65*$J$4+$M$4*$J$5+[18]FormattedData!M65^2*$J$6+$M$5*$J$7</f>
        <v>29.072254814971828</v>
      </c>
      <c r="U67" s="6">
        <f>$J$3+[18]FormattedData!N65*$J$4+$M$4*$J$5+[18]FormattedData!N65^2*$J$6+$M$5*$J$7</f>
        <v>27.109349146382151</v>
      </c>
      <c r="V67" s="6">
        <f>$J$3+[18]FormattedData!O65*$J$4+$M$4*$J$5+[18]FormattedData!O65^2*$J$6+$M$5*$J$7</f>
        <v>27.010760043304384</v>
      </c>
      <c r="W67" s="5">
        <f t="shared" si="9"/>
        <v>27.532806693176578</v>
      </c>
      <c r="X67" s="4">
        <f t="shared" si="10"/>
        <v>0.36890339056449684</v>
      </c>
      <c r="Y67" s="3">
        <f t="shared" si="11"/>
        <v>25.228928267918462</v>
      </c>
      <c r="Z67" s="2">
        <f t="shared" si="12"/>
        <v>26.912065268881797</v>
      </c>
      <c r="AA67" s="3">
        <f t="shared" si="13"/>
        <v>27.306379412654906</v>
      </c>
      <c r="AB67" s="2">
        <f t="shared" si="14"/>
        <v>28.31363134037781</v>
      </c>
      <c r="AC67" s="2">
        <f t="shared" si="15"/>
        <v>30.047367368576996</v>
      </c>
      <c r="AD67" s="2">
        <f t="shared" si="16"/>
        <v>0.31188131112951845</v>
      </c>
      <c r="AE67" s="2">
        <f t="shared" si="17"/>
        <v>0.51604574648015067</v>
      </c>
    </row>
    <row r="68" spans="2:31" x14ac:dyDescent="0.2">
      <c r="B68" s="1">
        <f>[18]FormattedData!A67</f>
        <v>303</v>
      </c>
      <c r="C68" s="1" t="str">
        <f>VLOOKUP($B68,[18]TrtCodes!$B$11:I110,2)</f>
        <v>NSL</v>
      </c>
      <c r="D68" s="1">
        <f>VLOOKUP($B68,[18]TrtCodes!$B$11:J110,3)</f>
        <v>8</v>
      </c>
      <c r="E68" s="1">
        <f>VLOOKUP($B68,[18]TrtCodes!$B$11:K110,4)</f>
        <v>2</v>
      </c>
      <c r="F68" s="1">
        <f>VLOOKUP($B68,[18]TrtCodes!$B$11:L110,5)</f>
        <v>1</v>
      </c>
      <c r="G68" s="1">
        <f>VLOOKUP($B68,[18]TrtCodes!$B$11:M110,6)</f>
        <v>1</v>
      </c>
      <c r="H68" s="1">
        <f>VLOOKUP($B68,[18]TrtCodes!$B$11:N110,7)</f>
        <v>3</v>
      </c>
      <c r="I68" s="1">
        <f>[18]FormattedData!B67</f>
        <v>2</v>
      </c>
      <c r="J68" s="4">
        <f>[18]FormattedData!C67</f>
        <v>13.186999999999999</v>
      </c>
      <c r="K68" s="6">
        <f>$J$3+[18]FormattedData!D67*$J$4+$M$4*$J$5+[18]FormattedData!D67^2*$J$6+$M$5*$J$7</f>
        <v>28.97451108265269</v>
      </c>
      <c r="L68" s="6">
        <f>$J$3+[18]FormattedData!E67*$J$4+$M$4*$J$5+[18]FormattedData!E67^2*$J$6+$M$5*$J$7</f>
        <v>29.85268300615941</v>
      </c>
      <c r="M68" s="6">
        <f>$J$3+[18]FormattedData!F67*$J$4+$M$4*$J$5+[18]FormattedData!F67^2*$J$6+$M$5*$J$7</f>
        <v>29.365232400701654</v>
      </c>
      <c r="N68" s="6">
        <f>$J$3+[18]FormattedData!G67*$J$4+$M$4*$J$5+[18]FormattedData!G67^2*$J$6+$M$5*$J$7</f>
        <v>29.560339448498553</v>
      </c>
      <c r="O68" s="6">
        <f>$J$3+[18]FormattedData!H67*$J$4+$M$4*$J$5+[18]FormattedData!H67^2*$J$6+$M$5*$J$7</f>
        <v>29.462807058869068</v>
      </c>
      <c r="P68" s="6">
        <f>$J$3+[18]FormattedData!I67*$J$4+$M$4*$J$5+[18]FormattedData!I67^2*$J$6+$M$5*$J$7</f>
        <v>28.387161049441303</v>
      </c>
      <c r="Q68" s="6">
        <f>$J$3+[18]FormattedData!J67*$J$4+$M$4*$J$5+[18]FormattedData!J67^2*$J$6+$M$5*$J$7</f>
        <v>29.072254814971828</v>
      </c>
      <c r="R68" s="6">
        <f>$J$3+[18]FormattedData!K67*$J$4+$M$4*$J$5+[18]FormattedData!K67^2*$J$6+$M$5*$J$7</f>
        <v>28.092915407573546</v>
      </c>
      <c r="S68" s="6">
        <f>$J$3+[18]FormattedData!L67*$J$4+$M$4*$J$5+[18]FormattedData!L67^2*$J$6+$M$5*$J$7</f>
        <v>28.97451108265269</v>
      </c>
      <c r="T68" s="6">
        <f>$J$3+[18]FormattedData!M67*$J$4+$M$4*$J$5+[18]FormattedData!M67^2*$J$6+$M$5*$J$7</f>
        <v>29.072254814971828</v>
      </c>
      <c r="U68" s="6">
        <f>$J$3+[18]FormattedData!N67*$J$4+$M$4*$J$5+[18]FormattedData!N67^2*$J$6+$M$5*$J$7</f>
        <v>28.87672508179562</v>
      </c>
      <c r="V68" s="6">
        <f>$J$3+[18]FormattedData!O67*$J$4+$M$4*$J$5+[18]FormattedData!O67^2*$J$6+$M$5*$J$7</f>
        <v>28.97451108265269</v>
      </c>
      <c r="W68" s="5">
        <f t="shared" si="9"/>
        <v>29.055492194245065</v>
      </c>
      <c r="X68" s="4">
        <f t="shared" si="10"/>
        <v>0.13974116758628533</v>
      </c>
      <c r="Y68" s="3">
        <f t="shared" si="11"/>
        <v>28.092915407573546</v>
      </c>
      <c r="Z68" s="2">
        <f t="shared" si="12"/>
        <v>28.950064582438422</v>
      </c>
      <c r="AA68" s="3">
        <f t="shared" si="13"/>
        <v>29.023382948812259</v>
      </c>
      <c r="AB68" s="2">
        <f t="shared" si="14"/>
        <v>29.389626065243508</v>
      </c>
      <c r="AC68" s="2">
        <f t="shared" si="15"/>
        <v>29.85268300615941</v>
      </c>
      <c r="AD68" s="2">
        <f t="shared" si="16"/>
        <v>-0.4472997841416757</v>
      </c>
      <c r="AE68" s="2">
        <f t="shared" si="17"/>
        <v>0.45689623868983631</v>
      </c>
    </row>
    <row r="69" spans="2:31" x14ac:dyDescent="0.2">
      <c r="B69" s="1">
        <f>[18]FormattedData!A69</f>
        <v>304</v>
      </c>
      <c r="C69" s="1" t="str">
        <f>VLOOKUP($B69,[18]TrtCodes!$B$11:I112,2)</f>
        <v>FSL</v>
      </c>
      <c r="D69" s="1">
        <f>VLOOKUP($B69,[18]TrtCodes!$B$11:J112,3)</f>
        <v>2</v>
      </c>
      <c r="E69" s="1">
        <f>VLOOKUP($B69,[18]TrtCodes!$B$11:K112,4)</f>
        <v>1</v>
      </c>
      <c r="F69" s="1">
        <f>VLOOKUP($B69,[18]TrtCodes!$B$11:L112,5)</f>
        <v>1</v>
      </c>
      <c r="G69" s="1">
        <f>VLOOKUP($B69,[18]TrtCodes!$B$11:M112,6)</f>
        <v>1</v>
      </c>
      <c r="H69" s="1">
        <f>VLOOKUP($B69,[18]TrtCodes!$B$11:N112,7)</f>
        <v>3</v>
      </c>
      <c r="I69" s="1">
        <f>[18]FormattedData!B69</f>
        <v>2</v>
      </c>
      <c r="J69" s="4">
        <f>[18]FormattedData!C69</f>
        <v>13.201000000000001</v>
      </c>
      <c r="K69" s="6">
        <f>$J$3+[18]FormattedData!D69*$J$4+$M$4*$J$5+[18]FormattedData!D69^2*$J$6+$M$5*$J$7</f>
        <v>27.503282873313879</v>
      </c>
      <c r="L69" s="6">
        <f>$J$3+[18]FormattedData!E69*$J$4+$M$4*$J$5+[18]FormattedData!E69^2*$J$6+$M$5*$J$7</f>
        <v>27.601660633701986</v>
      </c>
      <c r="M69" s="6">
        <f>$J$3+[18]FormattedData!F69*$J$4+$M$4*$J$5+[18]FormattedData!F69^2*$J$6+$M$5*$J$7</f>
        <v>27.994748989875095</v>
      </c>
      <c r="N69" s="6">
        <f>$J$3+[18]FormattedData!G69*$J$4+$M$4*$J$5+[18]FormattedData!G69^2*$J$6+$M$5*$J$7</f>
        <v>28.485158392988033</v>
      </c>
      <c r="O69" s="6">
        <f>$J$3+[18]FormattedData!H69*$J$4+$M$4*$J$5+[18]FormattedData!H69^2*$J$6+$M$5*$J$7</f>
        <v>28.681026274467687</v>
      </c>
      <c r="P69" s="6">
        <f>$J$3+[18]FormattedData!I69*$J$4+$M$4*$J$5+[18]FormattedData!I69^2*$J$6+$M$5*$J$7</f>
        <v>28.092915407573546</v>
      </c>
      <c r="Q69" s="6">
        <f>$J$3+[18]FormattedData!J69*$J$4+$M$4*$J$5+[18]FormattedData!J69^2*$J$6+$M$5*$J$7</f>
        <v>27.404862844387839</v>
      </c>
      <c r="R69" s="6">
        <f>$J$3+[18]FormattedData!K69*$J$4+$M$4*$J$5+[18]FormattedData!K69^2*$J$6+$M$5*$J$7</f>
        <v>27.010760043304384</v>
      </c>
      <c r="S69" s="6">
        <f>$J$3+[18]FormattedData!L69*$J$4+$M$4*$J$5+[18]FormattedData!L69^2*$J$6+$M$5*$J$7</f>
        <v>27.699996125552158</v>
      </c>
      <c r="T69" s="6">
        <f>$J$3+[18]FormattedData!M69*$J$4+$M$4*$J$5+[18]FormattedData!M69^2*$J$6+$M$5*$J$7</f>
        <v>27.699996125552158</v>
      </c>
      <c r="U69" s="6">
        <f>$J$3+[18]FormattedData!N69*$J$4+$M$4*$J$5+[18]FormattedData!N69^2*$J$6+$M$5*$J$7</f>
        <v>31.30869454184301</v>
      </c>
      <c r="V69" s="6">
        <f>$J$3+[18]FormattedData!O69*$J$4+$M$4*$J$5+[18]FormattedData!O69^2*$J$6+$M$5*$J$7</f>
        <v>28.387161049441303</v>
      </c>
      <c r="W69" s="5">
        <f t="shared" si="9"/>
        <v>28.155855275166758</v>
      </c>
      <c r="X69" s="4">
        <f t="shared" si="10"/>
        <v>0.31899332514983098</v>
      </c>
      <c r="Y69" s="3">
        <f t="shared" si="11"/>
        <v>27.010760043304384</v>
      </c>
      <c r="Z69" s="2">
        <f t="shared" si="12"/>
        <v>27.57706619360496</v>
      </c>
      <c r="AA69" s="3">
        <f t="shared" si="13"/>
        <v>27.847372557713626</v>
      </c>
      <c r="AB69" s="2">
        <f t="shared" si="14"/>
        <v>28.411660385327984</v>
      </c>
      <c r="AC69" s="2">
        <f t="shared" si="15"/>
        <v>31.30869454184301</v>
      </c>
      <c r="AD69" s="2">
        <f t="shared" si="16"/>
        <v>2.3418853453504318</v>
      </c>
      <c r="AE69" s="2">
        <f t="shared" si="17"/>
        <v>6.6724873535576172</v>
      </c>
    </row>
    <row r="70" spans="2:31" x14ac:dyDescent="0.2">
      <c r="B70" s="1">
        <f>[18]FormattedData!A71</f>
        <v>305</v>
      </c>
      <c r="C70" s="1" t="str">
        <f>VLOOKUP($B70,[18]TrtCodes!$B$11:I114,2)</f>
        <v>NDH</v>
      </c>
      <c r="D70" s="1">
        <f>VLOOKUP($B70,[18]TrtCodes!$B$11:J114,3)</f>
        <v>11</v>
      </c>
      <c r="E70" s="1">
        <f>VLOOKUP($B70,[18]TrtCodes!$B$11:K114,4)</f>
        <v>2</v>
      </c>
      <c r="F70" s="1">
        <f>VLOOKUP($B70,[18]TrtCodes!$B$11:L114,5)</f>
        <v>3</v>
      </c>
      <c r="G70" s="1">
        <f>VLOOKUP($B70,[18]TrtCodes!$B$11:M114,6)</f>
        <v>2</v>
      </c>
      <c r="H70" s="1">
        <f>VLOOKUP($B70,[18]TrtCodes!$B$11:N114,7)</f>
        <v>4</v>
      </c>
      <c r="I70" s="1">
        <f>[18]FormattedData!B71</f>
        <v>2</v>
      </c>
      <c r="J70" s="4">
        <f>[18]FormattedData!C71</f>
        <v>13.215</v>
      </c>
      <c r="K70" s="6">
        <f>$J$3+[18]FormattedData!D71*$J$4+$M$4*$J$5+[18]FormattedData!D71^2*$J$6+$M$5*$J$7</f>
        <v>27.994748989875095</v>
      </c>
      <c r="L70" s="6">
        <f>$J$3+[18]FormattedData!E71*$J$4+$M$4*$J$5+[18]FormattedData!E71^2*$J$6+$M$5*$J$7</f>
        <v>27.207895980921975</v>
      </c>
      <c r="M70" s="6">
        <f>$J$3+[18]FormattedData!F71*$J$4+$M$4*$J$5+[18]FormattedData!F71^2*$J$6+$M$5*$J$7</f>
        <v>28.387161049441303</v>
      </c>
      <c r="N70" s="6">
        <f>$J$3+[18]FormattedData!G71*$J$4+$M$4*$J$5+[18]FormattedData!G71^2*$J$6+$M$5*$J$7</f>
        <v>28.092915407573546</v>
      </c>
      <c r="O70" s="6">
        <f>$J$3+[18]FormattedData!H71*$J$4+$M$4*$J$5+[18]FormattedData!H71^2*$J$6+$M$5*$J$7</f>
        <v>28.191039556734061</v>
      </c>
      <c r="P70" s="6">
        <f>$J$3+[18]FormattedData!I71*$J$4+$M$4*$J$5+[18]FormattedData!I71^2*$J$6+$M$5*$J$7</f>
        <v>28.289121437356648</v>
      </c>
      <c r="Q70" s="6">
        <f>$J$3+[18]FormattedData!J71*$J$4+$M$4*$J$5+[18]FormattedData!J71^2*$J$6+$M$5*$J$7</f>
        <v>29.755277422143724</v>
      </c>
      <c r="R70" s="6">
        <f>$J$3+[18]FormattedData!K71*$J$4+$M$4*$J$5+[18]FormattedData!K71^2*$J$6+$M$5*$J$7</f>
        <v>28.289121437356648</v>
      </c>
      <c r="S70" s="6">
        <f>$J$3+[18]FormattedData!L71*$J$4+$M$4*$J$5+[18]FormattedData!L71^2*$J$6+$M$5*$J$7</f>
        <v>29.755277422143724</v>
      </c>
      <c r="T70" s="6">
        <f>$J$3+[18]FormattedData!M71*$J$4+$M$4*$J$5+[18]FormattedData!M71^2*$J$6+$M$5*$J$7</f>
        <v>27.798289348864401</v>
      </c>
      <c r="U70" s="6">
        <f>$J$3+[18]FormattedData!N71*$J$4+$M$4*$J$5+[18]FormattedData!N71^2*$J$6+$M$5*$J$7</f>
        <v>28.387161049441303</v>
      </c>
      <c r="V70" s="6">
        <f>$J$3+[18]FormattedData!O71*$J$4+$M$4*$J$5+[18]FormattedData!O71^2*$J$6+$M$5*$J$7</f>
        <v>29.169956278753034</v>
      </c>
      <c r="W70" s="5">
        <f t="shared" si="9"/>
        <v>28.443163781717121</v>
      </c>
      <c r="X70" s="4">
        <f t="shared" si="10"/>
        <v>0.2194053325240114</v>
      </c>
      <c r="Y70" s="3">
        <f t="shared" si="11"/>
        <v>27.207895980921975</v>
      </c>
      <c r="Z70" s="2">
        <f t="shared" si="12"/>
        <v>28.068373803148933</v>
      </c>
      <c r="AA70" s="3">
        <f t="shared" si="13"/>
        <v>28.289121437356648</v>
      </c>
      <c r="AB70" s="2">
        <f t="shared" si="14"/>
        <v>28.582859856769236</v>
      </c>
      <c r="AC70" s="2">
        <f t="shared" si="15"/>
        <v>29.755277422143724</v>
      </c>
      <c r="AD70" s="2">
        <f t="shared" si="16"/>
        <v>0.64403947125393834</v>
      </c>
      <c r="AE70" s="2">
        <f t="shared" si="17"/>
        <v>0.1075363643764593</v>
      </c>
    </row>
    <row r="71" spans="2:31" x14ac:dyDescent="0.2">
      <c r="B71" s="1">
        <f>[18]FormattedData!A73</f>
        <v>306</v>
      </c>
      <c r="C71" s="1" t="str">
        <f>VLOOKUP($B71,[18]TrtCodes!$B$11:I116,2)</f>
        <v>FTL</v>
      </c>
      <c r="D71" s="1">
        <f>VLOOKUP($B71,[18]TrtCodes!$B$11:J116,3)</f>
        <v>4</v>
      </c>
      <c r="E71" s="1">
        <f>VLOOKUP($B71,[18]TrtCodes!$B$11:K116,4)</f>
        <v>1</v>
      </c>
      <c r="F71" s="1">
        <f>VLOOKUP($B71,[18]TrtCodes!$B$11:L116,5)</f>
        <v>2</v>
      </c>
      <c r="G71" s="1">
        <f>VLOOKUP($B71,[18]TrtCodes!$B$11:M116,6)</f>
        <v>1</v>
      </c>
      <c r="H71" s="1">
        <f>VLOOKUP($B71,[18]TrtCodes!$B$11:N116,7)</f>
        <v>4</v>
      </c>
      <c r="I71" s="1">
        <f>[18]FormattedData!B73</f>
        <v>2</v>
      </c>
      <c r="J71" s="4">
        <f>[18]FormattedData!C73</f>
        <v>13.228</v>
      </c>
      <c r="K71" s="6">
        <f>$J$3+[18]FormattedData!D73*$J$4+$M$4*$J$5+[18]FormattedData!D73^2*$J$6+$M$5*$J$7</f>
        <v>27.306400546923875</v>
      </c>
      <c r="L71" s="6">
        <f>$J$3+[18]FormattedData!E73*$J$4+$M$4*$J$5+[18]FormattedData!E73^2*$J$6+$M$5*$J$7</f>
        <v>28.485158392988033</v>
      </c>
      <c r="M71" s="6">
        <f>$J$3+[18]FormattedData!F73*$J$4+$M$4*$J$5+[18]FormattedData!F73^2*$J$6+$M$5*$J$7</f>
        <v>26.912128671688691</v>
      </c>
      <c r="N71" s="6">
        <f>$J$3+[18]FormattedData!G73*$J$4+$M$4*$J$5+[18]FormattedData!G73^2*$J$6+$M$5*$J$7</f>
        <v>29.85268300615941</v>
      </c>
      <c r="O71" s="6">
        <f>$J$3+[18]FormattedData!H73*$J$4+$M$4*$J$5+[18]FormattedData!H73^2*$J$6+$M$5*$J$7</f>
        <v>30.727431178093717</v>
      </c>
      <c r="P71" s="6">
        <f>$J$3+[18]FormattedData!I73*$J$4+$M$4*$J$5+[18]FormattedData!I73^2*$J$6+$M$5*$J$7</f>
        <v>28.387161049441303</v>
      </c>
      <c r="Q71" s="6">
        <f>$J$3+[18]FormattedData!J73*$J$4+$M$4*$J$5+[18]FormattedData!J73^2*$J$6+$M$5*$J$7</f>
        <v>29.950046321637174</v>
      </c>
      <c r="R71" s="6">
        <f>$J$3+[18]FormattedData!K73*$J$4+$M$4*$J$5+[18]FormattedData!K73^2*$J$6+$M$5*$J$7</f>
        <v>28.97451108265269</v>
      </c>
      <c r="S71" s="6">
        <f>$J$3+[18]FormattedData!L73*$J$4+$M$4*$J$5+[18]FormattedData!L73^2*$J$6+$M$5*$J$7</f>
        <v>30.047367368576996</v>
      </c>
      <c r="T71" s="6">
        <f>$J$3+[18]FormattedData!M73*$J$4+$M$4*$J$5+[18]FormattedData!M73^2*$J$6+$M$5*$J$7</f>
        <v>29.950046321637174</v>
      </c>
      <c r="U71" s="6">
        <f>$J$3+[18]FormattedData!N73*$J$4+$M$4*$J$5+[18]FormattedData!N73^2*$J$6+$M$5*$J$7</f>
        <v>31.695358080250593</v>
      </c>
      <c r="V71" s="6">
        <f>$J$3+[18]FormattedData!O73*$J$4+$M$4*$J$5+[18]FormattedData!O73^2*$J$6+$M$5*$J$7</f>
        <v>29.365232400701654</v>
      </c>
      <c r="W71" s="5">
        <f t="shared" si="9"/>
        <v>29.304460368395937</v>
      </c>
      <c r="X71" s="4">
        <f t="shared" si="10"/>
        <v>0.39665272429446397</v>
      </c>
      <c r="Y71" s="3">
        <f t="shared" si="11"/>
        <v>26.912128671688691</v>
      </c>
      <c r="Z71" s="2">
        <f t="shared" si="12"/>
        <v>28.460659057101353</v>
      </c>
      <c r="AA71" s="3">
        <f t="shared" si="13"/>
        <v>29.608957703430534</v>
      </c>
      <c r="AB71" s="2">
        <f t="shared" si="14"/>
        <v>29.974376583372131</v>
      </c>
      <c r="AC71" s="2">
        <f t="shared" si="15"/>
        <v>31.695358080250593</v>
      </c>
      <c r="AD71" s="2">
        <f t="shared" si="16"/>
        <v>-0.22559300437241292</v>
      </c>
      <c r="AE71" s="2">
        <f t="shared" si="17"/>
        <v>-0.17042081569056045</v>
      </c>
    </row>
    <row r="72" spans="2:31" x14ac:dyDescent="0.2">
      <c r="B72" s="1">
        <f>[18]FormattedData!A75</f>
        <v>307</v>
      </c>
      <c r="C72" s="1" t="str">
        <f>VLOOKUP($B72,[18]TrtCodes!$B$11:I118,2)</f>
        <v>NTH</v>
      </c>
      <c r="D72" s="1">
        <f>VLOOKUP($B72,[18]TrtCodes!$B$11:J118,3)</f>
        <v>9</v>
      </c>
      <c r="E72" s="1">
        <f>VLOOKUP($B72,[18]TrtCodes!$B$11:K118,4)</f>
        <v>2</v>
      </c>
      <c r="F72" s="1">
        <f>VLOOKUP($B72,[18]TrtCodes!$B$11:L118,5)</f>
        <v>2</v>
      </c>
      <c r="G72" s="1">
        <f>VLOOKUP($B72,[18]TrtCodes!$B$11:M118,6)</f>
        <v>2</v>
      </c>
      <c r="H72" s="1">
        <f>VLOOKUP($B72,[18]TrtCodes!$B$11:N118,7)</f>
        <v>4</v>
      </c>
      <c r="I72" s="1">
        <f>[18]FormattedData!B75</f>
        <v>2</v>
      </c>
      <c r="J72" s="4">
        <f>[18]FormattedData!C75</f>
        <v>13.282</v>
      </c>
      <c r="K72" s="6">
        <f>$J$3+[18]FormattedData!D75*$J$4+$M$4*$J$5+[18]FormattedData!D75^2*$J$6+$M$5*$J$7</f>
        <v>28.87672508179562</v>
      </c>
      <c r="L72" s="6">
        <f>$J$3+[18]FormattedData!E75*$J$4+$M$4*$J$5+[18]FormattedData!E75^2*$J$6+$M$5*$J$7</f>
        <v>29.950046321637174</v>
      </c>
      <c r="M72" s="6">
        <f>$J$3+[18]FormattedData!F75*$J$4+$M$4*$J$5+[18]FormattedData!F75^2*$J$6+$M$5*$J$7</f>
        <v>27.798289348864401</v>
      </c>
      <c r="N72" s="6">
        <f>$J$3+[18]FormattedData!G75*$J$4+$M$4*$J$5+[18]FormattedData!G75^2*$J$6+$M$5*$J$7</f>
        <v>28.778896812400617</v>
      </c>
      <c r="O72" s="6">
        <f>$J$3+[18]FormattedData!H75*$J$4+$M$4*$J$5+[18]FormattedData!H75^2*$J$6+$M$5*$J$7</f>
        <v>29.365232400701654</v>
      </c>
      <c r="P72" s="6">
        <f>$J$3+[18]FormattedData!I75*$J$4+$M$4*$J$5+[18]FormattedData!I75^2*$J$6+$M$5*$J$7</f>
        <v>28.583113467996824</v>
      </c>
      <c r="Q72" s="6">
        <f>$J$3+[18]FormattedData!J75*$J$4+$M$4*$J$5+[18]FormattedData!J75^2*$J$6+$M$5*$J$7</f>
        <v>30.727431178093717</v>
      </c>
      <c r="R72" s="6">
        <f>$J$3+[18]FormattedData!K75*$J$4+$M$4*$J$5+[18]FormattedData!K75^2*$J$6+$M$5*$J$7</f>
        <v>29.560339448498553</v>
      </c>
      <c r="S72" s="6">
        <f>$J$3+[18]FormattedData!L75*$J$4+$M$4*$J$5+[18]FormattedData!L75^2*$J$6+$M$5*$J$7</f>
        <v>29.462807058869068</v>
      </c>
      <c r="T72" s="6">
        <f>$J$3+[18]FormattedData!M75*$J$4+$M$4*$J$5+[18]FormattedData!M75^2*$J$6+$M$5*$J$7</f>
        <v>30.533338575207168</v>
      </c>
      <c r="U72" s="6">
        <f>$J$3+[18]FormattedData!N75*$J$4+$M$4*$J$5+[18]FormattedData!N75^2*$J$6+$M$5*$J$7</f>
        <v>30.824414076730093</v>
      </c>
      <c r="V72" s="6">
        <f>$J$3+[18]FormattedData!O75*$J$4+$M$4*$J$5+[18]FormattedData!O75^2*$J$6+$M$5*$J$7</f>
        <v>31.502110848122665</v>
      </c>
      <c r="W72" s="5">
        <f t="shared" si="9"/>
        <v>29.663562051576459</v>
      </c>
      <c r="X72" s="4">
        <f t="shared" si="10"/>
        <v>0.312450668968487</v>
      </c>
      <c r="Y72" s="3">
        <f t="shared" si="11"/>
        <v>27.798289348864401</v>
      </c>
      <c r="Z72" s="2">
        <f t="shared" si="12"/>
        <v>28.852268014446871</v>
      </c>
      <c r="AA72" s="3">
        <f t="shared" si="13"/>
        <v>29.51157325368381</v>
      </c>
      <c r="AB72" s="2">
        <f t="shared" si="14"/>
        <v>30.581861725928803</v>
      </c>
      <c r="AC72" s="2">
        <f t="shared" si="15"/>
        <v>31.502110848122665</v>
      </c>
      <c r="AD72" s="2">
        <f t="shared" si="16"/>
        <v>6.0091569570918095E-2</v>
      </c>
      <c r="AE72" s="2">
        <f t="shared" si="17"/>
        <v>-0.63759854862674725</v>
      </c>
    </row>
    <row r="73" spans="2:31" x14ac:dyDescent="0.2">
      <c r="B73" s="1">
        <f>[18]FormattedData!A77</f>
        <v>308</v>
      </c>
      <c r="C73" s="1" t="str">
        <f>VLOOKUP($B73,[18]TrtCodes!$B$11:I120,2)</f>
        <v>FDH</v>
      </c>
      <c r="D73" s="1">
        <f>VLOOKUP($B73,[18]TrtCodes!$B$11:J120,3)</f>
        <v>5</v>
      </c>
      <c r="E73" s="1">
        <f>VLOOKUP($B73,[18]TrtCodes!$B$11:K120,4)</f>
        <v>1</v>
      </c>
      <c r="F73" s="1">
        <f>VLOOKUP($B73,[18]TrtCodes!$B$11:L120,5)</f>
        <v>3</v>
      </c>
      <c r="G73" s="1">
        <f>VLOOKUP($B73,[18]TrtCodes!$B$11:M120,6)</f>
        <v>2</v>
      </c>
      <c r="H73" s="1">
        <f>VLOOKUP($B73,[18]TrtCodes!$B$11:N120,7)</f>
        <v>4</v>
      </c>
      <c r="I73" s="1">
        <f>[18]FormattedData!B77</f>
        <v>2</v>
      </c>
      <c r="J73" s="4">
        <f>[18]FormattedData!C77</f>
        <v>13.295</v>
      </c>
      <c r="K73" s="6">
        <f>$J$3+[18]FormattedData!D77*$J$4+$M$4*$J$5+[18]FormattedData!D77^2*$J$6+$M$5*$J$7</f>
        <v>28.583113467996824</v>
      </c>
      <c r="L73" s="6">
        <f>$J$3+[18]FormattedData!E77*$J$4+$M$4*$J$5+[18]FormattedData!E77^2*$J$6+$M$5*$J$7</f>
        <v>28.092915407573546</v>
      </c>
      <c r="M73" s="6">
        <f>$J$3+[18]FormattedData!F77*$J$4+$M$4*$J$5+[18]FormattedData!F77^2*$J$6+$M$5*$J$7</f>
        <v>28.87672508179562</v>
      </c>
      <c r="N73" s="6">
        <f>$J$3+[18]FormattedData!G77*$J$4+$M$4*$J$5+[18]FormattedData!G77^2*$J$6+$M$5*$J$7</f>
        <v>28.583113467996824</v>
      </c>
      <c r="O73" s="6">
        <f>$J$3+[18]FormattedData!H77*$J$4+$M$4*$J$5+[18]FormattedData!H77^2*$J$6+$M$5*$J$7</f>
        <v>29.85268300615941</v>
      </c>
      <c r="P73" s="6">
        <f>$J$3+[18]FormattedData!I77*$J$4+$M$4*$J$5+[18]FormattedData!I77^2*$J$6+$M$5*$J$7</f>
        <v>30.339076898168891</v>
      </c>
      <c r="Q73" s="6">
        <f>$J$3+[18]FormattedData!J77*$J$4+$M$4*$J$5+[18]FormattedData!J77^2*$J$6+$M$5*$J$7</f>
        <v>29.169956278753034</v>
      </c>
      <c r="R73" s="6">
        <f>$J$3+[18]FormattedData!K77*$J$4+$M$4*$J$5+[18]FormattedData!K77^2*$J$6+$M$5*$J$7</f>
        <v>29.267615473996312</v>
      </c>
      <c r="S73" s="6">
        <f>$J$3+[18]FormattedData!L77*$J$4+$M$4*$J$5+[18]FormattedData!L77^2*$J$6+$M$5*$J$7</f>
        <v>30.144646146978893</v>
      </c>
      <c r="T73" s="6">
        <f>$J$3+[18]FormattedData!M77*$J$4+$M$4*$J$5+[18]FormattedData!M77^2*$J$6+$M$5*$J$7</f>
        <v>27.896540303638712</v>
      </c>
      <c r="U73" s="6">
        <f>$J$3+[18]FormattedData!N77*$J$4+$M$4*$J$5+[18]FormattedData!N77^2*$J$6+$M$5*$J$7</f>
        <v>28.97451108265269</v>
      </c>
      <c r="V73" s="6">
        <f>$J$3+[18]FormattedData!O77*$J$4+$M$4*$J$5+[18]FormattedData!O77^2*$J$6+$M$5*$J$7</f>
        <v>27.994748989875095</v>
      </c>
      <c r="W73" s="5">
        <f t="shared" si="9"/>
        <v>28.981303800465483</v>
      </c>
      <c r="X73" s="4">
        <f t="shared" si="10"/>
        <v>0.23582718952668383</v>
      </c>
      <c r="Y73" s="3">
        <f t="shared" si="11"/>
        <v>27.896540303638712</v>
      </c>
      <c r="Z73" s="2">
        <f t="shared" si="12"/>
        <v>28.460563952891004</v>
      </c>
      <c r="AA73" s="3">
        <f t="shared" si="13"/>
        <v>28.925618082224155</v>
      </c>
      <c r="AB73" s="2">
        <f t="shared" si="14"/>
        <v>29.413882357037085</v>
      </c>
      <c r="AC73" s="2">
        <f t="shared" si="15"/>
        <v>30.339076898168891</v>
      </c>
      <c r="AD73" s="2">
        <f t="shared" si="16"/>
        <v>0.34099130704426245</v>
      </c>
      <c r="AE73" s="2">
        <f t="shared" si="17"/>
        <v>-0.91285410614838858</v>
      </c>
    </row>
    <row r="74" spans="2:31" x14ac:dyDescent="0.2">
      <c r="B74" s="1">
        <f>[18]FormattedData!A93</f>
        <v>401</v>
      </c>
      <c r="C74" s="1" t="str">
        <f>VLOOKUP($B74,[18]TrtCodes!$B$11:I130,2)</f>
        <v>NSH</v>
      </c>
      <c r="D74" s="1">
        <f>VLOOKUP($B74,[18]TrtCodes!$B$11:J130,3)</f>
        <v>7</v>
      </c>
      <c r="E74" s="1">
        <f>VLOOKUP($B74,[18]TrtCodes!$B$11:K130,4)</f>
        <v>2</v>
      </c>
      <c r="F74" s="1">
        <f>VLOOKUP($B74,[18]TrtCodes!$B$11:L130,5)</f>
        <v>1</v>
      </c>
      <c r="G74" s="1">
        <f>VLOOKUP($B74,[18]TrtCodes!$B$11:M130,6)</f>
        <v>2</v>
      </c>
      <c r="H74" s="1">
        <f>VLOOKUP($B74,[18]TrtCodes!$B$11:N130,7)</f>
        <v>3</v>
      </c>
      <c r="I74" s="1">
        <f>[18]FormattedData!B93</f>
        <v>2</v>
      </c>
      <c r="J74" s="4">
        <f>[18]FormattedData!C93</f>
        <v>13.423</v>
      </c>
      <c r="K74" s="6">
        <f>$J$3+[18]FormattedData!D93*$J$4+$M$4*$J$5+[18]FormattedData!D93^2*$J$6+$M$5*$J$7</f>
        <v>28.681026274467687</v>
      </c>
      <c r="L74" s="6">
        <f>$J$3+[18]FormattedData!E93*$J$4+$M$4*$J$5+[18]FormattedData!E93^2*$J$6+$M$5*$J$7</f>
        <v>30.824414076730093</v>
      </c>
      <c r="M74" s="6">
        <f>$J$3+[18]FormattedData!F93*$J$4+$M$4*$J$5+[18]FormattedData!F93^2*$J$6+$M$5*$J$7</f>
        <v>28.485158392988033</v>
      </c>
      <c r="N74" s="6">
        <f>$J$3+[18]FormattedData!G93*$J$4+$M$4*$J$5+[18]FormattedData!G93^2*$J$6+$M$5*$J$7</f>
        <v>30.533338575207168</v>
      </c>
      <c r="O74" s="6">
        <f>$J$3+[18]FormattedData!H93*$J$4+$M$4*$J$5+[18]FormattedData!H93^2*$J$6+$M$5*$J$7</f>
        <v>28.87672508179562</v>
      </c>
      <c r="P74" s="6">
        <f>$J$3+[18]FormattedData!I93*$J$4+$M$4*$J$5+[18]FormattedData!I93^2*$J$6+$M$5*$J$7</f>
        <v>32.08134532205127</v>
      </c>
      <c r="Q74" s="6">
        <f>$J$3+[18]FormattedData!J93*$J$4+$M$4*$J$5+[18]FormattedData!J93^2*$J$6+$M$5*$J$7</f>
        <v>31.115109161411635</v>
      </c>
      <c r="R74" s="6">
        <f>$J$3+[18]FormattedData!K93*$J$4+$M$4*$J$5+[18]FormattedData!K93^2*$J$6+$M$5*$J$7</f>
        <v>31.211922985896294</v>
      </c>
      <c r="S74" s="6">
        <f>$J$3+[18]FormattedData!L93*$J$4+$M$4*$J$5+[18]FormattedData!L93^2*$J$6+$M$5*$J$7</f>
        <v>31.211922985896294</v>
      </c>
      <c r="T74" s="6">
        <f>$J$3+[18]FormattedData!M93*$J$4+$M$4*$J$5+[18]FormattedData!M93^2*$J$6+$M$5*$J$7</f>
        <v>32.177736461156613</v>
      </c>
      <c r="U74" s="6">
        <f>$J$3+[18]FormattedData!N93*$J$4+$M$4*$J$5+[18]FormattedData!N93^2*$J$6+$M$5*$J$7</f>
        <v>30.047367368576996</v>
      </c>
      <c r="V74" s="6">
        <f>$J$3+[18]FormattedData!O93*$J$4+$M$4*$J$5+[18]FormattedData!O93^2*$J$6+$M$5*$J$7</f>
        <v>31.598755598455597</v>
      </c>
      <c r="W74" s="5">
        <f t="shared" ref="W74:W105" si="18">AVERAGE(K74:V74)</f>
        <v>30.570401857052776</v>
      </c>
      <c r="X74" s="4">
        <f t="shared" ref="X74:X85" si="19">STDEV(K74:V74)/SQRT(COUNT(K74:V74))</f>
        <v>0.37101185610227749</v>
      </c>
      <c r="Y74" s="3">
        <f t="shared" ref="Y74:Y85" si="20">MIN(K74:V74)</f>
        <v>28.485158392988033</v>
      </c>
      <c r="Z74" s="2">
        <f t="shared" ref="Z74:Z85" si="21">QUARTILE(K74:V74,1)</f>
        <v>29.754706796881653</v>
      </c>
      <c r="AA74" s="3">
        <f t="shared" ref="AA74:AA85" si="22">MEDIAN(K74:V74)</f>
        <v>30.969761619070866</v>
      </c>
      <c r="AB74" s="2">
        <f t="shared" ref="AB74:AB85" si="23">QUARTILE(K74:V74,3)</f>
        <v>31.30863113903612</v>
      </c>
      <c r="AC74" s="2">
        <f t="shared" ref="AC74:AC85" si="24">MAX(K74:V74)</f>
        <v>32.177736461156613</v>
      </c>
      <c r="AD74" s="2">
        <f t="shared" ref="AD74:AD85" si="25">SKEW(K74:V74)</f>
        <v>-0.58672144604160259</v>
      </c>
      <c r="AE74" s="2">
        <f t="shared" ref="AE74:AE85" si="26">KURT(K74:V74)</f>
        <v>-0.94993021600607053</v>
      </c>
    </row>
    <row r="75" spans="2:31" x14ac:dyDescent="0.2">
      <c r="B75" s="1">
        <f>[18]FormattedData!A91</f>
        <v>402</v>
      </c>
      <c r="C75" s="1" t="str">
        <f>VLOOKUP($B75,[18]TrtCodes!$B$11:I131,2)</f>
        <v>NTH</v>
      </c>
      <c r="D75" s="1">
        <f>VLOOKUP($B75,[18]TrtCodes!$B$11:J131,3)</f>
        <v>9</v>
      </c>
      <c r="E75" s="1">
        <f>VLOOKUP($B75,[18]TrtCodes!$B$11:K131,4)</f>
        <v>2</v>
      </c>
      <c r="F75" s="1">
        <f>VLOOKUP($B75,[18]TrtCodes!$B$11:L131,5)</f>
        <v>2</v>
      </c>
      <c r="G75" s="1">
        <f>VLOOKUP($B75,[18]TrtCodes!$B$11:M131,6)</f>
        <v>2</v>
      </c>
      <c r="H75" s="1">
        <f>VLOOKUP($B75,[18]TrtCodes!$B$11:N131,7)</f>
        <v>3</v>
      </c>
      <c r="I75" s="1">
        <f>[18]FormattedData!B91</f>
        <v>2</v>
      </c>
      <c r="J75" s="4">
        <f>[18]FormattedData!C91</f>
        <v>13.406000000000001</v>
      </c>
      <c r="K75" s="6">
        <f>$J$3+[18]FormattedData!D91*$J$4+$M$4*$J$5+[18]FormattedData!D91^2*$J$6+$M$5*$J$7</f>
        <v>31.502110848122665</v>
      </c>
      <c r="L75" s="6">
        <f>$J$3+[18]FormattedData!E91*$J$4+$M$4*$J$5+[18]FormattedData!E91^2*$J$6+$M$5*$J$7</f>
        <v>31.502110848122665</v>
      </c>
      <c r="M75" s="6">
        <f>$J$3+[18]FormattedData!F91*$J$4+$M$4*$J$5+[18]FormattedData!F91^2*$J$6+$M$5*$J$7</f>
        <v>32.274085331724017</v>
      </c>
      <c r="N75" s="6">
        <f>$J$3+[18]FormattedData!G91*$J$4+$M$4*$J$5+[18]FormattedData!G91^2*$J$6+$M$5*$J$7</f>
        <v>30.144646146978893</v>
      </c>
      <c r="O75" s="6">
        <f>$J$3+[18]FormattedData!H91*$J$4+$M$4*$J$5+[18]FormattedData!H91^2*$J$6+$M$5*$J$7</f>
        <v>32.274085331724017</v>
      </c>
      <c r="P75" s="6">
        <f>$J$3+[18]FormattedData!I91*$J$4+$M$4*$J$5+[18]FormattedData!I91^2*$J$6+$M$5*$J$7</f>
        <v>32.08134532205127</v>
      </c>
      <c r="Q75" s="6">
        <f>$J$3+[18]FormattedData!J91*$J$4+$M$4*$J$5+[18]FormattedData!J91^2*$J$6+$M$5*$J$7</f>
        <v>32.274085331724017</v>
      </c>
      <c r="R75" s="6">
        <f>$J$3+[18]FormattedData!K91*$J$4+$M$4*$J$5+[18]FormattedData!K91^2*$J$6+$M$5*$J$7</f>
        <v>30.921354706828541</v>
      </c>
      <c r="S75" s="6">
        <f>$J$3+[18]FormattedData!L91*$J$4+$M$4*$J$5+[18]FormattedData!L91^2*$J$6+$M$5*$J$7</f>
        <v>32.370391933753503</v>
      </c>
      <c r="T75" s="6">
        <f>$J$3+[18]FormattedData!M91*$J$4+$M$4*$J$5+[18]FormattedData!M91^2*$J$6+$M$5*$J$7</f>
        <v>32.370391933753503</v>
      </c>
      <c r="U75" s="6">
        <f>$J$3+[18]FormattedData!N91*$J$4+$M$4*$J$5+[18]FormattedData!N91^2*$J$6+$M$5*$J$7</f>
        <v>32.947343906633826</v>
      </c>
      <c r="V75" s="6">
        <f>$J$3+[18]FormattedData!O91*$J$4+$M$4*$J$5+[18]FormattedData!O91^2*$J$6+$M$5*$J$7</f>
        <v>33.331133184462082</v>
      </c>
      <c r="W75" s="5">
        <f t="shared" si="18"/>
        <v>31.999423735489923</v>
      </c>
      <c r="X75" s="4">
        <f t="shared" si="19"/>
        <v>0.25041387844799062</v>
      </c>
      <c r="Y75" s="3">
        <f t="shared" si="20"/>
        <v>30.144646146978893</v>
      </c>
      <c r="Z75" s="2">
        <f t="shared" si="21"/>
        <v>31.502110848122665</v>
      </c>
      <c r="AA75" s="3">
        <f t="shared" si="22"/>
        <v>32.274085331724017</v>
      </c>
      <c r="AB75" s="2">
        <f t="shared" si="23"/>
        <v>32.370391933753503</v>
      </c>
      <c r="AC75" s="2">
        <f t="shared" si="24"/>
        <v>33.331133184462082</v>
      </c>
      <c r="AD75" s="2">
        <f t="shared" si="25"/>
        <v>-0.75230895056983538</v>
      </c>
      <c r="AE75" s="2">
        <f t="shared" si="26"/>
        <v>0.78538103916123081</v>
      </c>
    </row>
    <row r="76" spans="2:31" x14ac:dyDescent="0.2">
      <c r="B76" s="1">
        <f>[18]FormattedData!A89</f>
        <v>403</v>
      </c>
      <c r="C76" s="1" t="str">
        <f>VLOOKUP($B76,[18]TrtCodes!$B$11:I132,2)</f>
        <v>FDL</v>
      </c>
      <c r="D76" s="1">
        <f>VLOOKUP($B76,[18]TrtCodes!$B$11:J132,3)</f>
        <v>6</v>
      </c>
      <c r="E76" s="1">
        <f>VLOOKUP($B76,[18]TrtCodes!$B$11:K132,4)</f>
        <v>1</v>
      </c>
      <c r="F76" s="1">
        <f>VLOOKUP($B76,[18]TrtCodes!$B$11:L132,5)</f>
        <v>3</v>
      </c>
      <c r="G76" s="1">
        <f>VLOOKUP($B76,[18]TrtCodes!$B$11:M132,6)</f>
        <v>1</v>
      </c>
      <c r="H76" s="1">
        <f>VLOOKUP($B76,[18]TrtCodes!$B$11:N132,7)</f>
        <v>3</v>
      </c>
      <c r="I76" s="1">
        <f>[18]FormattedData!B89</f>
        <v>2</v>
      </c>
      <c r="J76" s="4">
        <f>[18]FormattedData!C89</f>
        <v>13.391</v>
      </c>
      <c r="K76" s="6">
        <f>$J$3+[18]FormattedData!D89*$J$4+$M$4*$J$5+[18]FormattedData!D89^2*$J$6+$M$5*$J$7</f>
        <v>30.241882656842861</v>
      </c>
      <c r="L76" s="6">
        <f>$J$3+[18]FormattedData!E89*$J$4+$M$4*$J$5+[18]FormattedData!E89^2*$J$6+$M$5*$J$7</f>
        <v>30.630406010919405</v>
      </c>
      <c r="M76" s="6">
        <f>$J$3+[18]FormattedData!F89*$J$4+$M$4*$J$5+[18]FormattedData!F89^2*$J$6+$M$5*$J$7</f>
        <v>30.921354706828541</v>
      </c>
      <c r="N76" s="6">
        <f>$J$3+[18]FormattedData!G89*$J$4+$M$4*$J$5+[18]FormattedData!G89^2*$J$6+$M$5*$J$7</f>
        <v>29.462807058869068</v>
      </c>
      <c r="O76" s="6">
        <f>$J$3+[18]FormattedData!H89*$J$4+$M$4*$J$5+[18]FormattedData!H89^2*$J$6+$M$5*$J$7</f>
        <v>31.598755598455597</v>
      </c>
      <c r="P76" s="6">
        <f>$J$3+[18]FormattedData!I89*$J$4+$M$4*$J$5+[18]FormattedData!I89^2*$J$6+$M$5*$J$7</f>
        <v>29.072254814971828</v>
      </c>
      <c r="Q76" s="6">
        <f>$J$3+[18]FormattedData!J89*$J$4+$M$4*$J$5+[18]FormattedData!J89^2*$J$6+$M$5*$J$7</f>
        <v>28.583113467996824</v>
      </c>
      <c r="R76" s="6">
        <f>$J$3+[18]FormattedData!K89*$J$4+$M$4*$J$5+[18]FormattedData!K89^2*$J$6+$M$5*$J$7</f>
        <v>30.144646146978893</v>
      </c>
      <c r="S76" s="6">
        <f>$J$3+[18]FormattedData!L89*$J$4+$M$4*$J$5+[18]FormattedData!L89^2*$J$6+$M$5*$J$7</f>
        <v>31.598755598455597</v>
      </c>
      <c r="T76" s="6">
        <f>$J$3+[18]FormattedData!M89*$J$4+$M$4*$J$5+[18]FormattedData!M89^2*$J$6+$M$5*$J$7</f>
        <v>30.047367368576996</v>
      </c>
      <c r="U76" s="6">
        <f>$J$3+[18]FormattedData!N89*$J$4+$M$4*$J$5+[18]FormattedData!N89^2*$J$6+$M$5*$J$7</f>
        <v>29.560339448498553</v>
      </c>
      <c r="V76" s="6">
        <f>$J$3+[18]FormattedData!O89*$J$4+$M$4*$J$5+[18]FormattedData!O89^2*$J$6+$M$5*$J$7</f>
        <v>29.950046321637174</v>
      </c>
      <c r="W76" s="5">
        <f t="shared" si="18"/>
        <v>30.15097743325261</v>
      </c>
      <c r="X76" s="4">
        <f t="shared" si="19"/>
        <v>0.26854179647504089</v>
      </c>
      <c r="Y76" s="3">
        <f t="shared" si="20"/>
        <v>28.583113467996824</v>
      </c>
      <c r="Z76" s="2">
        <f t="shared" si="21"/>
        <v>29.53595635109118</v>
      </c>
      <c r="AA76" s="3">
        <f t="shared" si="22"/>
        <v>30.096006757777943</v>
      </c>
      <c r="AB76" s="2">
        <f t="shared" si="23"/>
        <v>30.703143184896689</v>
      </c>
      <c r="AC76" s="2">
        <f t="shared" si="24"/>
        <v>31.598755598455597</v>
      </c>
      <c r="AD76" s="2">
        <f t="shared" si="25"/>
        <v>0.13373475910221105</v>
      </c>
      <c r="AE76" s="2">
        <f t="shared" si="26"/>
        <v>-0.46959951931797894</v>
      </c>
    </row>
    <row r="77" spans="2:31" x14ac:dyDescent="0.2">
      <c r="B77" s="1">
        <f>[18]FormattedData!A87</f>
        <v>404</v>
      </c>
      <c r="C77" s="1" t="str">
        <f>VLOOKUP($B77,[18]TrtCodes!$B$11:I130,2)</f>
        <v>FTH</v>
      </c>
      <c r="D77" s="1">
        <f>VLOOKUP($B77,[18]TrtCodes!$B$11:J130,3)</f>
        <v>3</v>
      </c>
      <c r="E77" s="1">
        <f>VLOOKUP($B77,[18]TrtCodes!$B$11:K130,4)</f>
        <v>1</v>
      </c>
      <c r="F77" s="1">
        <f>VLOOKUP($B77,[18]TrtCodes!$B$11:L130,5)</f>
        <v>2</v>
      </c>
      <c r="G77" s="1">
        <f>VLOOKUP($B77,[18]TrtCodes!$B$11:M130,6)</f>
        <v>2</v>
      </c>
      <c r="H77" s="1">
        <f>VLOOKUP($B77,[18]TrtCodes!$B$11:N130,7)</f>
        <v>3</v>
      </c>
      <c r="I77" s="1">
        <f>[18]FormattedData!B87</f>
        <v>2</v>
      </c>
      <c r="J77" s="4">
        <f>[18]FormattedData!C87</f>
        <v>13.375999999999999</v>
      </c>
      <c r="K77" s="6">
        <f>$J$3+[18]FormattedData!D87*$J$4+$M$4*$J$5+[18]FormattedData!D87^2*$J$6+$M$5*$J$7</f>
        <v>29.462807058869068</v>
      </c>
      <c r="L77" s="6">
        <f>$J$3+[18]FormattedData!E87*$J$4+$M$4*$J$5+[18]FormattedData!E87^2*$J$6+$M$5*$J$7</f>
        <v>29.169956278753034</v>
      </c>
      <c r="M77" s="6">
        <f>$J$3+[18]FormattedData!F87*$J$4+$M$4*$J$5+[18]FormattedData!F87^2*$J$6+$M$5*$J$7</f>
        <v>28.583113467996824</v>
      </c>
      <c r="N77" s="6">
        <f>$J$3+[18]FormattedData!G87*$J$4+$M$4*$J$5+[18]FormattedData!G87^2*$J$6+$M$5*$J$7</f>
        <v>28.583113467996824</v>
      </c>
      <c r="O77" s="6">
        <f>$J$3+[18]FormattedData!H87*$J$4+$M$4*$J$5+[18]FormattedData!H87^2*$J$6+$M$5*$J$7</f>
        <v>29.560339448498553</v>
      </c>
      <c r="P77" s="6">
        <f>$J$3+[18]FormattedData!I87*$J$4+$M$4*$J$5+[18]FormattedData!I87^2*$J$6+$M$5*$J$7</f>
        <v>29.657829569590099</v>
      </c>
      <c r="Q77" s="6">
        <f>$J$3+[18]FormattedData!J87*$J$4+$M$4*$J$5+[18]FormattedData!J87^2*$J$6+$M$5*$J$7</f>
        <v>29.657829569590099</v>
      </c>
      <c r="R77" s="6">
        <f>$J$3+[18]FormattedData!K87*$J$4+$M$4*$J$5+[18]FormattedData!K87^2*$J$6+$M$5*$J$7</f>
        <v>29.072254814971828</v>
      </c>
      <c r="S77" s="6">
        <f>$J$3+[18]FormattedData!L87*$J$4+$M$4*$J$5+[18]FormattedData!L87^2*$J$6+$M$5*$J$7</f>
        <v>29.169956278753034</v>
      </c>
      <c r="T77" s="6">
        <f>$J$3+[18]FormattedData!M87*$J$4+$M$4*$J$5+[18]FormattedData!M87^2*$J$6+$M$5*$J$7</f>
        <v>28.681026274467687</v>
      </c>
      <c r="U77" s="6">
        <f>$J$3+[18]FormattedData!N87*$J$4+$M$4*$J$5+[18]FormattedData!N87^2*$J$6+$M$5*$J$7</f>
        <v>28.681026274467687</v>
      </c>
      <c r="V77" s="6">
        <f>$J$3+[18]FormattedData!O87*$J$4+$M$4*$J$5+[18]FormattedData!O87^2*$J$6+$M$5*$J$7</f>
        <v>29.169956278753034</v>
      </c>
      <c r="W77" s="5">
        <f t="shared" si="18"/>
        <v>29.120767398558979</v>
      </c>
      <c r="X77" s="4">
        <f t="shared" si="19"/>
        <v>0.11875574584252151</v>
      </c>
      <c r="Y77" s="3">
        <f t="shared" si="20"/>
        <v>28.583113467996824</v>
      </c>
      <c r="Z77" s="2">
        <f t="shared" si="21"/>
        <v>28.681026274467687</v>
      </c>
      <c r="AA77" s="3">
        <f t="shared" si="22"/>
        <v>29.169956278753034</v>
      </c>
      <c r="AB77" s="2">
        <f t="shared" si="23"/>
        <v>29.487190156276441</v>
      </c>
      <c r="AC77" s="2">
        <f t="shared" si="24"/>
        <v>29.657829569590099</v>
      </c>
      <c r="AD77" s="2">
        <f t="shared" si="25"/>
        <v>-7.1920325522112749E-2</v>
      </c>
      <c r="AE77" s="2">
        <f t="shared" si="26"/>
        <v>-1.5060805240489539</v>
      </c>
    </row>
    <row r="78" spans="2:31" x14ac:dyDescent="0.2">
      <c r="B78" s="1">
        <f>[18]FormattedData!A85</f>
        <v>405</v>
      </c>
      <c r="C78" s="1" t="str">
        <f>VLOOKUP($B78,[18]TrtCodes!$B$11:I128,2)</f>
        <v>FDL</v>
      </c>
      <c r="D78" s="1">
        <f>VLOOKUP($B78,[18]TrtCodes!$B$11:J128,3)</f>
        <v>6</v>
      </c>
      <c r="E78" s="1">
        <f>VLOOKUP($B78,[18]TrtCodes!$B$11:K128,4)</f>
        <v>1</v>
      </c>
      <c r="F78" s="1">
        <f>VLOOKUP($B78,[18]TrtCodes!$B$11:L128,5)</f>
        <v>3</v>
      </c>
      <c r="G78" s="1">
        <f>VLOOKUP($B78,[18]TrtCodes!$B$11:M128,6)</f>
        <v>1</v>
      </c>
      <c r="H78" s="1">
        <f>VLOOKUP($B78,[18]TrtCodes!$B$11:N128,7)</f>
        <v>4</v>
      </c>
      <c r="I78" s="1">
        <f>[18]FormattedData!B85</f>
        <v>2</v>
      </c>
      <c r="J78" s="4">
        <f>[18]FormattedData!C85</f>
        <v>13.361000000000001</v>
      </c>
      <c r="K78" s="6">
        <f>$J$3+[18]FormattedData!D85*$J$4+$M$4*$J$5+[18]FormattedData!D85^2*$J$6+$M$5*$J$7</f>
        <v>31.115109161411635</v>
      </c>
      <c r="L78" s="6">
        <f>$J$3+[18]FormattedData!E85*$J$4+$M$4*$J$5+[18]FormattedData!E85^2*$J$6+$M$5*$J$7</f>
        <v>30.047367368576996</v>
      </c>
      <c r="M78" s="6">
        <f>$J$3+[18]FormattedData!F85*$J$4+$M$4*$J$5+[18]FormattedData!F85^2*$J$6+$M$5*$J$7</f>
        <v>32.370391933753503</v>
      </c>
      <c r="N78" s="6">
        <f>$J$3+[18]FormattedData!G85*$J$4+$M$4*$J$5+[18]FormattedData!G85^2*$J$6+$M$5*$J$7</f>
        <v>31.115109161411635</v>
      </c>
      <c r="O78" s="6">
        <f>$J$3+[18]FormattedData!H85*$J$4+$M$4*$J$5+[18]FormattedData!H85^2*$J$6+$M$5*$J$7</f>
        <v>30.241882656842861</v>
      </c>
      <c r="P78" s="6">
        <f>$J$3+[18]FormattedData!I85*$J$4+$M$4*$J$5+[18]FormattedData!I85^2*$J$6+$M$5*$J$7</f>
        <v>30.727431178093717</v>
      </c>
      <c r="Q78" s="6">
        <f>$J$3+[18]FormattedData!J85*$J$4+$M$4*$J$5+[18]FormattedData!J85^2*$J$6+$M$5*$J$7</f>
        <v>30.436228870956999</v>
      </c>
      <c r="R78" s="6">
        <f>$J$3+[18]FormattedData!K85*$J$4+$M$4*$J$5+[18]FormattedData!K85^2*$J$6+$M$5*$J$7</f>
        <v>30.144646146978893</v>
      </c>
      <c r="S78" s="6">
        <f>$J$3+[18]FormattedData!L85*$J$4+$M$4*$J$5+[18]FormattedData!L85^2*$J$6+$M$5*$J$7</f>
        <v>31.405423829251809</v>
      </c>
      <c r="T78" s="6">
        <f>$J$3+[18]FormattedData!M85*$J$4+$M$4*$J$5+[18]FormattedData!M85^2*$J$6+$M$5*$J$7</f>
        <v>32.274085331724017</v>
      </c>
      <c r="U78" s="6">
        <f>$J$3+[18]FormattedData!N85*$J$4+$M$4*$J$5+[18]FormattedData!N85^2*$J$6+$M$5*$J$7</f>
        <v>31.30869454184301</v>
      </c>
      <c r="V78" s="6">
        <f>$J$3+[18]FormattedData!O85*$J$4+$M$4*$J$5+[18]FormattedData!O85^2*$J$6+$M$5*$J$7</f>
        <v>31.115109161411635</v>
      </c>
      <c r="W78" s="5">
        <f t="shared" si="18"/>
        <v>31.025123278521388</v>
      </c>
      <c r="X78" s="4">
        <f t="shared" si="19"/>
        <v>0.22017756595670868</v>
      </c>
      <c r="Y78" s="3">
        <f t="shared" si="20"/>
        <v>30.047367368576996</v>
      </c>
      <c r="Z78" s="2">
        <f t="shared" si="21"/>
        <v>30.387642317428465</v>
      </c>
      <c r="AA78" s="3">
        <f t="shared" si="22"/>
        <v>31.115109161411635</v>
      </c>
      <c r="AB78" s="2">
        <f t="shared" si="23"/>
        <v>31.332876863695212</v>
      </c>
      <c r="AC78" s="2">
        <f t="shared" si="24"/>
        <v>32.370391933753503</v>
      </c>
      <c r="AD78" s="2">
        <f t="shared" si="25"/>
        <v>0.52478251915306118</v>
      </c>
      <c r="AE78" s="2">
        <f t="shared" si="26"/>
        <v>-0.42220060506137003</v>
      </c>
    </row>
    <row r="79" spans="2:31" x14ac:dyDescent="0.2">
      <c r="B79" s="1">
        <f>[18]FormattedData!A83</f>
        <v>406</v>
      </c>
      <c r="C79" s="1" t="str">
        <f>VLOOKUP($B79,[18]TrtCodes!$B$11:I126,2)</f>
        <v>FTH</v>
      </c>
      <c r="D79" s="1">
        <f>VLOOKUP($B79,[18]TrtCodes!$B$11:J126,3)</f>
        <v>3</v>
      </c>
      <c r="E79" s="1">
        <f>VLOOKUP($B79,[18]TrtCodes!$B$11:K126,4)</f>
        <v>1</v>
      </c>
      <c r="F79" s="1">
        <f>VLOOKUP($B79,[18]TrtCodes!$B$11:L126,5)</f>
        <v>2</v>
      </c>
      <c r="G79" s="1">
        <f>VLOOKUP($B79,[18]TrtCodes!$B$11:M126,6)</f>
        <v>2</v>
      </c>
      <c r="H79" s="1">
        <f>VLOOKUP($B79,[18]TrtCodes!$B$11:N126,7)</f>
        <v>4</v>
      </c>
      <c r="I79" s="1">
        <f>[18]FormattedData!B83</f>
        <v>2</v>
      </c>
      <c r="J79" s="4">
        <f>[18]FormattedData!C83</f>
        <v>13.345000000000001</v>
      </c>
      <c r="K79" s="6">
        <f>$J$3+[18]FormattedData!D83*$J$4+$M$4*$J$5+[18]FormattedData!D83^2*$J$6+$M$5*$J$7</f>
        <v>30.144646146978893</v>
      </c>
      <c r="L79" s="6">
        <f>$J$3+[18]FormattedData!E83*$J$4+$M$4*$J$5+[18]FormattedData!E83^2*$J$6+$M$5*$J$7</f>
        <v>28.485158392988033</v>
      </c>
      <c r="M79" s="6">
        <f>$J$3+[18]FormattedData!F83*$J$4+$M$4*$J$5+[18]FormattedData!F83^2*$J$6+$M$5*$J$7</f>
        <v>30.630406010919405</v>
      </c>
      <c r="N79" s="6">
        <f>$J$3+[18]FormattedData!G83*$J$4+$M$4*$J$5+[18]FormattedData!G83^2*$J$6+$M$5*$J$7</f>
        <v>30.241882656842861</v>
      </c>
      <c r="O79" s="6">
        <f>$J$3+[18]FormattedData!H83*$J$4+$M$4*$J$5+[18]FormattedData!H83^2*$J$6+$M$5*$J$7</f>
        <v>34.383066544110477</v>
      </c>
      <c r="P79" s="6">
        <f>$J$3+[18]FormattedData!I83*$J$4+$M$4*$J$5+[18]FormattedData!I83^2*$J$6+$M$5*$J$7</f>
        <v>34.954692681211483</v>
      </c>
      <c r="Q79" s="6">
        <f>$J$3+[18]FormattedData!J83*$J$4+$M$4*$J$5+[18]FormattedData!J83^2*$J$6+$M$5*$J$7</f>
        <v>31.888436238226795</v>
      </c>
      <c r="R79" s="6">
        <f>$J$3+[18]FormattedData!K83*$J$4+$M$4*$J$5+[18]FormattedData!K83^2*$J$6+$M$5*$J$7</f>
        <v>34.192186350106695</v>
      </c>
      <c r="S79" s="6">
        <f>$J$3+[18]FormattedData!L83*$J$4+$M$4*$J$5+[18]FormattedData!L83^2*$J$6+$M$5*$J$7</f>
        <v>34.096682850297903</v>
      </c>
      <c r="T79" s="6">
        <f>$J$3+[18]FormattedData!M83*$J$4+$M$4*$J$5+[18]FormattedData!M83^2*$J$6+$M$5*$J$7</f>
        <v>37.414155563536454</v>
      </c>
      <c r="U79" s="6">
        <f>$J$3+[18]FormattedData!N83*$J$4+$M$4*$J$5+[18]FormattedData!N83^2*$J$6+$M$5*$J$7</f>
        <v>33.331133184462082</v>
      </c>
      <c r="V79" s="6">
        <f>$J$3+[18]FormattedData!O83*$J$4+$M$4*$J$5+[18]FormattedData!O83^2*$J$6+$M$5*$J$7</f>
        <v>33.426974832574324</v>
      </c>
      <c r="W79" s="5">
        <f t="shared" si="18"/>
        <v>32.765785121021281</v>
      </c>
      <c r="X79" s="4">
        <f t="shared" si="19"/>
        <v>0.73066369860024272</v>
      </c>
      <c r="Y79" s="3">
        <f t="shared" si="20"/>
        <v>28.485158392988033</v>
      </c>
      <c r="Z79" s="2">
        <f t="shared" si="21"/>
        <v>30.53327517240027</v>
      </c>
      <c r="AA79" s="3">
        <f t="shared" si="22"/>
        <v>33.379054008518203</v>
      </c>
      <c r="AB79" s="2">
        <f t="shared" si="23"/>
        <v>34.239906398607644</v>
      </c>
      <c r="AC79" s="2">
        <f t="shared" si="24"/>
        <v>37.414155563536454</v>
      </c>
      <c r="AD79" s="2">
        <f t="shared" si="25"/>
        <v>-1.3784879083694641E-2</v>
      </c>
      <c r="AE79" s="2">
        <f t="shared" si="26"/>
        <v>-0.38914150096208289</v>
      </c>
    </row>
    <row r="80" spans="2:31" x14ac:dyDescent="0.2">
      <c r="B80" s="1">
        <f>[18]FormattedData!A81</f>
        <v>407</v>
      </c>
      <c r="C80" s="1" t="str">
        <f>VLOOKUP($B80,[18]TrtCodes!$B$11:I124,2)</f>
        <v>NSH</v>
      </c>
      <c r="D80" s="1">
        <f>VLOOKUP($B80,[18]TrtCodes!$B$11:J124,3)</f>
        <v>7</v>
      </c>
      <c r="E80" s="1">
        <f>VLOOKUP($B80,[18]TrtCodes!$B$11:K124,4)</f>
        <v>2</v>
      </c>
      <c r="F80" s="1">
        <f>VLOOKUP($B80,[18]TrtCodes!$B$11:L124,5)</f>
        <v>1</v>
      </c>
      <c r="G80" s="1">
        <f>VLOOKUP($B80,[18]TrtCodes!$B$11:M124,6)</f>
        <v>2</v>
      </c>
      <c r="H80" s="1">
        <f>VLOOKUP($B80,[18]TrtCodes!$B$11:N124,7)</f>
        <v>4</v>
      </c>
      <c r="I80" s="1">
        <f>[18]FormattedData!B81</f>
        <v>2</v>
      </c>
      <c r="J80" s="4">
        <f>[18]FormattedData!C81</f>
        <v>13.329000000000001</v>
      </c>
      <c r="K80" s="6">
        <f>$J$3+[18]FormattedData!D81*$J$4+$M$4*$J$5+[18]FormattedData!D81^2*$J$6+$M$5*$J$7</f>
        <v>28.485158392988033</v>
      </c>
      <c r="L80" s="6">
        <f>$J$3+[18]FormattedData!E81*$J$4+$M$4*$J$5+[18]FormattedData!E81^2*$J$6+$M$5*$J$7</f>
        <v>28.681026274467687</v>
      </c>
      <c r="M80" s="6">
        <f>$J$3+[18]FormattedData!F81*$J$4+$M$4*$J$5+[18]FormattedData!F81^2*$J$6+$M$5*$J$7</f>
        <v>29.755277422143724</v>
      </c>
      <c r="N80" s="6">
        <f>$J$3+[18]FormattedData!G81*$J$4+$M$4*$J$5+[18]FormattedData!G81^2*$J$6+$M$5*$J$7</f>
        <v>27.207895980921975</v>
      </c>
      <c r="O80" s="6">
        <f>$J$3+[18]FormattedData!H81*$J$4+$M$4*$J$5+[18]FormattedData!H81^2*$J$6+$M$5*$J$7</f>
        <v>30.241882656842861</v>
      </c>
      <c r="P80" s="6">
        <f>$J$3+[18]FormattedData!I81*$J$4+$M$4*$J$5+[18]FormattedData!I81^2*$J$6+$M$5*$J$7</f>
        <v>29.657829569590099</v>
      </c>
      <c r="Q80" s="6">
        <f>$J$3+[18]FormattedData!J81*$J$4+$M$4*$J$5+[18]FormattedData!J81^2*$J$6+$M$5*$J$7</f>
        <v>29.560339448498553</v>
      </c>
      <c r="R80" s="6">
        <f>$J$3+[18]FormattedData!K81*$J$4+$M$4*$J$5+[18]FormattedData!K81^2*$J$6+$M$5*$J$7</f>
        <v>30.436228870956999</v>
      </c>
      <c r="S80" s="6">
        <f>$J$3+[18]FormattedData!L81*$J$4+$M$4*$J$5+[18]FormattedData!L81^2*$J$6+$M$5*$J$7</f>
        <v>30.533338575207168</v>
      </c>
      <c r="T80" s="6">
        <f>$J$3+[18]FormattedData!M81*$J$4+$M$4*$J$5+[18]FormattedData!M81^2*$J$6+$M$5*$J$7</f>
        <v>29.169956278753034</v>
      </c>
      <c r="U80" s="6">
        <f>$J$3+[18]FormattedData!N81*$J$4+$M$4*$J$5+[18]FormattedData!N81^2*$J$6+$M$5*$J$7</f>
        <v>30.630406010919405</v>
      </c>
      <c r="V80" s="6">
        <f>$J$3+[18]FormattedData!O81*$J$4+$M$4*$J$5+[18]FormattedData!O81^2*$J$6+$M$5*$J$7</f>
        <v>29.657829569590099</v>
      </c>
      <c r="W80" s="5">
        <f t="shared" si="18"/>
        <v>29.501430754239966</v>
      </c>
      <c r="X80" s="4">
        <f t="shared" si="19"/>
        <v>0.28807636654821095</v>
      </c>
      <c r="Y80" s="3">
        <f t="shared" si="20"/>
        <v>27.207895980921975</v>
      </c>
      <c r="Z80" s="2">
        <f t="shared" si="21"/>
        <v>29.047723777681696</v>
      </c>
      <c r="AA80" s="3">
        <f t="shared" si="22"/>
        <v>29.657829569590099</v>
      </c>
      <c r="AB80" s="2">
        <f t="shared" si="23"/>
        <v>30.290469210371395</v>
      </c>
      <c r="AC80" s="2">
        <f t="shared" si="24"/>
        <v>30.630406010919405</v>
      </c>
      <c r="AD80" s="2">
        <f t="shared" si="25"/>
        <v>-1.0887319184691671</v>
      </c>
      <c r="AE80" s="2">
        <f t="shared" si="26"/>
        <v>1.2148909562519279</v>
      </c>
    </row>
    <row r="81" spans="2:31" x14ac:dyDescent="0.2">
      <c r="B81" s="1">
        <f>[18]FormattedData!A79</f>
        <v>408</v>
      </c>
      <c r="C81" s="1" t="str">
        <f>VLOOKUP($B81,[18]TrtCodes!$B$11:I122,2)</f>
        <v>NTL</v>
      </c>
      <c r="D81" s="1">
        <f>VLOOKUP($B81,[18]TrtCodes!$B$11:J122,3)</f>
        <v>10</v>
      </c>
      <c r="E81" s="1">
        <f>VLOOKUP($B81,[18]TrtCodes!$B$11:K122,4)</f>
        <v>2</v>
      </c>
      <c r="F81" s="1">
        <f>VLOOKUP($B81,[18]TrtCodes!$B$11:L122,5)</f>
        <v>2</v>
      </c>
      <c r="G81" s="1">
        <f>VLOOKUP($B81,[18]TrtCodes!$B$11:M122,6)</f>
        <v>1</v>
      </c>
      <c r="H81" s="1">
        <f>VLOOKUP($B81,[18]TrtCodes!$B$11:N122,7)</f>
        <v>4</v>
      </c>
      <c r="I81" s="1">
        <f>[18]FormattedData!B79</f>
        <v>2</v>
      </c>
      <c r="J81" s="4">
        <f>[18]FormattedData!C79</f>
        <v>13.316000000000001</v>
      </c>
      <c r="K81" s="6">
        <f>$J$3+[18]FormattedData!D79*$J$4+$M$4*$J$5+[18]FormattedData!D79^2*$J$6+$M$5*$J$7</f>
        <v>30.144646146978893</v>
      </c>
      <c r="L81" s="6">
        <f>$J$3+[18]FormattedData!E79*$J$4+$M$4*$J$5+[18]FormattedData!E79^2*$J$6+$M$5*$J$7</f>
        <v>32.659058128614355</v>
      </c>
      <c r="M81" s="6">
        <f>$J$3+[18]FormattedData!F79*$J$4+$M$4*$J$5+[18]FormattedData!F79^2*$J$6+$M$5*$J$7</f>
        <v>31.888436238226795</v>
      </c>
      <c r="N81" s="6">
        <f>$J$3+[18]FormattedData!G79*$J$4+$M$4*$J$5+[18]FormattedData!G79^2*$J$6+$M$5*$J$7</f>
        <v>31.598755598455597</v>
      </c>
      <c r="O81" s="6">
        <f>$J$3+[18]FormattedData!H79*$J$4+$M$4*$J$5+[18]FormattedData!H79^2*$J$6+$M$5*$J$7</f>
        <v>31.502110848122665</v>
      </c>
      <c r="P81" s="6">
        <f>$J$3+[18]FormattedData!I79*$J$4+$M$4*$J$5+[18]FormattedData!I79^2*$J$6+$M$5*$J$7</f>
        <v>30.241882656842861</v>
      </c>
      <c r="Q81" s="6">
        <f>$J$3+[18]FormattedData!J79*$J$4+$M$4*$J$5+[18]FormattedData!J79^2*$J$6+$M$5*$J$7</f>
        <v>29.169956278753034</v>
      </c>
      <c r="R81" s="6">
        <f>$J$3+[18]FormattedData!K79*$J$4+$M$4*$J$5+[18]FormattedData!K79^2*$J$6+$M$5*$J$7</f>
        <v>28.681026274467687</v>
      </c>
      <c r="S81" s="6">
        <f>$J$3+[18]FormattedData!L79*$J$4+$M$4*$J$5+[18]FormattedData!L79^2*$J$6+$M$5*$J$7</f>
        <v>29.755277422143724</v>
      </c>
      <c r="T81" s="6">
        <f>$J$3+[18]FormattedData!M79*$J$4+$M$4*$J$5+[18]FormattedData!M79^2*$J$6+$M$5*$J$7</f>
        <v>30.144646146978893</v>
      </c>
      <c r="U81" s="6">
        <f>$J$3+[18]FormattedData!N79*$J$4+$M$4*$J$5+[18]FormattedData!N79^2*$J$6+$M$5*$J$7</f>
        <v>30.727431178093717</v>
      </c>
      <c r="V81" s="6">
        <f>$J$3+[18]FormattedData!O79*$J$4+$M$4*$J$5+[18]FormattedData!O79^2*$J$6+$M$5*$J$7</f>
        <v>31.018253068389054</v>
      </c>
      <c r="W81" s="5">
        <f t="shared" si="18"/>
        <v>30.627623332172274</v>
      </c>
      <c r="X81" s="4">
        <f t="shared" si="19"/>
        <v>0.3357161784814523</v>
      </c>
      <c r="Y81" s="3">
        <f t="shared" si="20"/>
        <v>28.681026274467687</v>
      </c>
      <c r="Z81" s="2">
        <f t="shared" si="21"/>
        <v>30.047303965770102</v>
      </c>
      <c r="AA81" s="3">
        <f t="shared" si="22"/>
        <v>30.484656917468289</v>
      </c>
      <c r="AB81" s="2">
        <f t="shared" si="23"/>
        <v>31.526272035705897</v>
      </c>
      <c r="AC81" s="2">
        <f t="shared" si="24"/>
        <v>32.659058128614355</v>
      </c>
      <c r="AD81" s="2">
        <f t="shared" si="25"/>
        <v>4.2497092419544115E-2</v>
      </c>
      <c r="AE81" s="2">
        <f t="shared" si="26"/>
        <v>-0.53254087165007657</v>
      </c>
    </row>
    <row r="82" spans="2:31" x14ac:dyDescent="0.2">
      <c r="B82" s="1">
        <f>[18]FormattedData!A59</f>
        <v>902</v>
      </c>
      <c r="C82" s="1" t="str">
        <f>VLOOKUP($B82,[18]TrtCodes!$B$11:I102,2)</f>
        <v>Late</v>
      </c>
      <c r="D82" s="1">
        <f>VLOOKUP($B82,[18]TrtCodes!$B$11:J102,3)</f>
        <v>22</v>
      </c>
      <c r="E82" s="1">
        <f>VLOOKUP($B82,[18]TrtCodes!$B$11:K102,4)</f>
        <v>4</v>
      </c>
      <c r="F82" s="1">
        <f>VLOOKUP($B82,[18]TrtCodes!$B$11:L102,5)</f>
        <v>2</v>
      </c>
      <c r="G82" s="1">
        <f>VLOOKUP($B82,[18]TrtCodes!$B$11:M102,6)</f>
        <v>2</v>
      </c>
      <c r="H82" s="1">
        <f>VLOOKUP($B82,[18]TrtCodes!$B$11:N102,7)</f>
        <v>1</v>
      </c>
      <c r="I82" s="1">
        <f>[18]FormattedData!B59</f>
        <v>2</v>
      </c>
      <c r="J82" s="4">
        <f>[18]FormattedData!C59</f>
        <v>13.135</v>
      </c>
      <c r="K82" s="6">
        <f>$J$3+[18]FormattedData!D59*$J$4+$M$4*$J$5+[18]FormattedData!D59^2*$J$6+$M$5*$J$7</f>
        <v>29.365232400701654</v>
      </c>
      <c r="L82" s="6">
        <f>$J$3+[18]FormattedData!E59*$J$4+$M$4*$J$5+[18]FormattedData!E59^2*$J$6+$M$5*$J$7</f>
        <v>27.109349146382151</v>
      </c>
      <c r="M82" s="6">
        <f>$J$3+[18]FormattedData!F59*$J$4+$M$4*$J$5+[18]FormattedData!F59^2*$J$6+$M$5*$J$7</f>
        <v>29.462807058869068</v>
      </c>
      <c r="N82" s="6">
        <f>$J$3+[18]FormattedData!G59*$J$4+$M$4*$J$5+[18]FormattedData!G59^2*$J$6+$M$5*$J$7</f>
        <v>27.994748989875095</v>
      </c>
      <c r="O82" s="6">
        <f>$J$3+[18]FormattedData!H59*$J$4+$M$4*$J$5+[18]FormattedData!H59^2*$J$6+$M$5*$J$7</f>
        <v>28.092915407573546</v>
      </c>
      <c r="P82" s="6">
        <f>$J$3+[18]FormattedData!I59*$J$4+$M$4*$J$5+[18]FormattedData!I59^2*$J$6+$M$5*$J$7</f>
        <v>29.169956278753034</v>
      </c>
      <c r="Q82" s="6">
        <f>$J$3+[18]FormattedData!J59*$J$4+$M$4*$J$5+[18]FormattedData!J59^2*$J$6+$M$5*$J$7</f>
        <v>28.485158392988033</v>
      </c>
      <c r="R82" s="6">
        <f>$J$3+[18]FormattedData!K59*$J$4+$M$4*$J$5+[18]FormattedData!K59^2*$J$6+$M$5*$J$7</f>
        <v>27.798289348864401</v>
      </c>
      <c r="S82" s="6">
        <f>$J$3+[18]FormattedData!L59*$J$4+$M$4*$J$5+[18]FormattedData!L59^2*$J$6+$M$5*$J$7</f>
        <v>28.485158392988033</v>
      </c>
      <c r="T82" s="6">
        <f>$J$3+[18]FormattedData!M59*$J$4+$M$4*$J$5+[18]FormattedData!M59^2*$J$6+$M$5*$J$7</f>
        <v>27.798289348864401</v>
      </c>
      <c r="U82" s="6">
        <f>$J$3+[18]FormattedData!N59*$J$4+$M$4*$J$5+[18]FormattedData!N59^2*$J$6+$M$5*$J$7</f>
        <v>28.289121437356648</v>
      </c>
      <c r="V82" s="6">
        <f>$J$3+[18]FormattedData!O59*$J$4+$M$4*$J$5+[18]FormattedData!O59^2*$J$6+$M$5*$J$7</f>
        <v>27.207895980921975</v>
      </c>
      <c r="W82" s="5">
        <f t="shared" si="18"/>
        <v>28.271576848678169</v>
      </c>
      <c r="X82" s="4">
        <f t="shared" si="19"/>
        <v>0.22280045010050251</v>
      </c>
      <c r="Y82" s="3">
        <f t="shared" si="20"/>
        <v>27.109349146382151</v>
      </c>
      <c r="Z82" s="2">
        <f t="shared" si="21"/>
        <v>27.798289348864401</v>
      </c>
      <c r="AA82" s="3">
        <f t="shared" si="22"/>
        <v>28.191018422465099</v>
      </c>
      <c r="AB82" s="2">
        <f t="shared" si="23"/>
        <v>28.656357864429282</v>
      </c>
      <c r="AC82" s="2">
        <f t="shared" si="24"/>
        <v>29.462807058869068</v>
      </c>
      <c r="AD82" s="2">
        <f t="shared" si="25"/>
        <v>0.17339048550215558</v>
      </c>
      <c r="AE82" s="2">
        <f t="shared" si="26"/>
        <v>-0.78632322764508178</v>
      </c>
    </row>
    <row r="83" spans="2:31" x14ac:dyDescent="0.2">
      <c r="B83" s="1">
        <f>[18]FormattedData!A55</f>
        <v>904</v>
      </c>
      <c r="C83" s="1" t="str">
        <f>VLOOKUP($B83,[18]TrtCodes!$B$11:I98,2)</f>
        <v>Early</v>
      </c>
      <c r="D83" s="1">
        <f>VLOOKUP($B83,[18]TrtCodes!$B$11:J98,3)</f>
        <v>21</v>
      </c>
      <c r="E83" s="1">
        <f>VLOOKUP($B83,[18]TrtCodes!$B$11:K98,4)</f>
        <v>3</v>
      </c>
      <c r="F83" s="1">
        <f>VLOOKUP($B83,[18]TrtCodes!$B$11:L98,5)</f>
        <v>2</v>
      </c>
      <c r="G83" s="1">
        <f>VLOOKUP($B83,[18]TrtCodes!$B$11:M98,6)</f>
        <v>2</v>
      </c>
      <c r="H83" s="1">
        <f>VLOOKUP($B83,[18]TrtCodes!$B$11:N98,7)</f>
        <v>1</v>
      </c>
      <c r="I83" s="1">
        <f>[18]FormattedData!B55</f>
        <v>2</v>
      </c>
      <c r="J83" s="4">
        <f>[18]FormattedData!C55</f>
        <v>13.114000000000001</v>
      </c>
      <c r="K83" s="6">
        <f>$J$3+[18]FormattedData!D55*$J$4+$M$4*$J$5+[18]FormattedData!D55^2*$J$6+$M$5*$J$7</f>
        <v>40.030852883672026</v>
      </c>
      <c r="L83" s="6">
        <f>$J$3+[18]FormattedData!E55*$J$4+$M$4*$J$5+[18]FormattedData!E55^2*$J$6+$M$5*$J$7</f>
        <v>37.225980555960263</v>
      </c>
      <c r="M83" s="6">
        <f>$J$3+[18]FormattedData!F55*$J$4+$M$4*$J$5+[18]FormattedData!F55^2*$J$6+$M$5*$J$7</f>
        <v>39.37978529117607</v>
      </c>
      <c r="N83" s="6">
        <f>$J$3+[18]FormattedData!G55*$J$4+$M$4*$J$5+[18]FormattedData!G55^2*$J$6+$M$5*$J$7</f>
        <v>37.508179664517648</v>
      </c>
      <c r="O83" s="6">
        <f>$J$3+[18]FormattedData!H55*$J$4+$M$4*$J$5+[18]FormattedData!H55^2*$J$6+$M$5*$J$7</f>
        <v>38.258850805001714</v>
      </c>
      <c r="P83" s="6">
        <f>$J$3+[18]FormattedData!I55*$J$4+$M$4*$J$5+[18]FormattedData!I55^2*$J$6+$M$5*$J$7</f>
        <v>38.913468954683879</v>
      </c>
      <c r="Q83" s="6">
        <f>$J$3+[18]FormattedData!J55*$J$4+$M$4*$J$5+[18]FormattedData!J55^2*$J$6+$M$5*$J$7</f>
        <v>40.77239401996296</v>
      </c>
      <c r="R83" s="6">
        <f>$J$3+[18]FormattedData!K55*$J$4+$M$4*$J$5+[18]FormattedData!K55^2*$J$6+$M$5*$J$7</f>
        <v>36.943401030561496</v>
      </c>
      <c r="S83" s="6">
        <f>$J$3+[18]FormattedData!L55*$J$4+$M$4*$J$5+[18]FormattedData!L55^2*$J$6+$M$5*$J$7</f>
        <v>38.913468954683879</v>
      </c>
      <c r="T83" s="6">
        <f>$J$3+[18]FormattedData!M55*$J$4+$M$4*$J$5+[18]FormattedData!M55^2*$J$6+$M$5*$J$7</f>
        <v>41.049774515196198</v>
      </c>
      <c r="U83" s="6">
        <f>$J$3+[18]FormattedData!N55*$J$4+$M$4*$J$5+[18]FormattedData!N55^2*$J$6+$M$5*$J$7</f>
        <v>42.430970738741678</v>
      </c>
      <c r="V83" s="6">
        <f>$J$3+[18]FormattedData!O55*$J$4+$M$4*$J$5+[18]FormattedData!O55^2*$J$6+$M$5*$J$7</f>
        <v>33.043354628897788</v>
      </c>
      <c r="W83" s="5">
        <f t="shared" si="18"/>
        <v>38.705873503587974</v>
      </c>
      <c r="X83" s="4">
        <f t="shared" si="19"/>
        <v>0.7013593931956158</v>
      </c>
      <c r="Y83" s="3">
        <f t="shared" si="20"/>
        <v>33.043354628897788</v>
      </c>
      <c r="Z83" s="2">
        <f t="shared" si="21"/>
        <v>37.4376298873783</v>
      </c>
      <c r="AA83" s="3">
        <f t="shared" si="22"/>
        <v>38.913468954683879</v>
      </c>
      <c r="AB83" s="2">
        <f t="shared" si="23"/>
        <v>40.216238167744763</v>
      </c>
      <c r="AC83" s="2">
        <f t="shared" si="24"/>
        <v>42.430970738741678</v>
      </c>
      <c r="AD83" s="2">
        <f t="shared" si="25"/>
        <v>-0.88270864267338722</v>
      </c>
      <c r="AE83" s="2">
        <f t="shared" si="26"/>
        <v>1.7955994821240084</v>
      </c>
    </row>
    <row r="84" spans="2:31" x14ac:dyDescent="0.2">
      <c r="B84" s="1">
        <f>[18]FormattedData!A51</f>
        <v>906</v>
      </c>
      <c r="C84" s="1" t="str">
        <f>VLOOKUP($B84,[18]TrtCodes!$B$11:I94,2)</f>
        <v>Late</v>
      </c>
      <c r="D84" s="1">
        <f>VLOOKUP($B84,[18]TrtCodes!$B$11:J94,3)</f>
        <v>22</v>
      </c>
      <c r="E84" s="1">
        <f>VLOOKUP($B84,[18]TrtCodes!$B$11:K94,4)</f>
        <v>4</v>
      </c>
      <c r="F84" s="1">
        <f>VLOOKUP($B84,[18]TrtCodes!$B$11:L94,5)</f>
        <v>2</v>
      </c>
      <c r="G84" s="1">
        <f>VLOOKUP($B84,[18]TrtCodes!$B$11:M94,6)</f>
        <v>2</v>
      </c>
      <c r="H84" s="1">
        <f>VLOOKUP($B84,[18]TrtCodes!$B$11:N94,7)</f>
        <v>2</v>
      </c>
      <c r="I84" s="1">
        <f>[18]FormattedData!B51</f>
        <v>2</v>
      </c>
      <c r="J84" s="4">
        <f>[18]FormattedData!C51</f>
        <v>13.096</v>
      </c>
      <c r="K84" s="6">
        <f>$J$3+[18]FormattedData!D51*$J$4+$M$4*$J$5+[18]FormattedData!D51^2*$J$6+$M$5*$J$7</f>
        <v>29.560339448498553</v>
      </c>
      <c r="L84" s="6">
        <f>$J$3+[18]FormattedData!E51*$J$4+$M$4*$J$5+[18]FormattedData!E51^2*$J$6+$M$5*$J$7</f>
        <v>28.583113467996824</v>
      </c>
      <c r="M84" s="6">
        <f>$J$3+[18]FormattedData!F51*$J$4+$M$4*$J$5+[18]FormattedData!F51^2*$J$6+$M$5*$J$7</f>
        <v>30.047367368576996</v>
      </c>
      <c r="N84" s="6">
        <f>$J$3+[18]FormattedData!G51*$J$4+$M$4*$J$5+[18]FormattedData!G51^2*$J$6+$M$5*$J$7</f>
        <v>30.630406010919405</v>
      </c>
      <c r="O84" s="6">
        <f>$J$3+[18]FormattedData!H51*$J$4+$M$4*$J$5+[18]FormattedData!H51^2*$J$6+$M$5*$J$7</f>
        <v>28.778896812400617</v>
      </c>
      <c r="P84" s="6">
        <f>$J$3+[18]FormattedData!I51*$J$4+$M$4*$J$5+[18]FormattedData!I51^2*$J$6+$M$5*$J$7</f>
        <v>30.339076898168891</v>
      </c>
      <c r="Q84" s="6">
        <f>$J$3+[18]FormattedData!J51*$J$4+$M$4*$J$5+[18]FormattedData!J51^2*$J$6+$M$5*$J$7</f>
        <v>30.047367368576996</v>
      </c>
      <c r="R84" s="6">
        <f>$J$3+[18]FormattedData!K51*$J$4+$M$4*$J$5+[18]FormattedData!K51^2*$J$6+$M$5*$J$7</f>
        <v>28.97451108265269</v>
      </c>
      <c r="S84" s="6">
        <f>$J$3+[18]FormattedData!L51*$J$4+$M$4*$J$5+[18]FormattedData!L51^2*$J$6+$M$5*$J$7</f>
        <v>30.339076898168891</v>
      </c>
      <c r="T84" s="6">
        <f>$J$3+[18]FormattedData!M51*$J$4+$M$4*$J$5+[18]FormattedData!M51^2*$J$6+$M$5*$J$7</f>
        <v>28.289121437356648</v>
      </c>
      <c r="U84" s="6">
        <f>$J$3+[18]FormattedData!N51*$J$4+$M$4*$J$5+[18]FormattedData!N51^2*$J$6+$M$5*$J$7</f>
        <v>29.365232400701654</v>
      </c>
      <c r="V84" s="6">
        <f>$J$3+[18]FormattedData!O51*$J$4+$M$4*$J$5+[18]FormattedData!O51^2*$J$6+$M$5*$J$7</f>
        <v>29.755277422143724</v>
      </c>
      <c r="W84" s="5">
        <f t="shared" si="18"/>
        <v>29.559148884680155</v>
      </c>
      <c r="X84" s="4">
        <f t="shared" si="19"/>
        <v>0.22076250007239165</v>
      </c>
      <c r="Y84" s="3">
        <f t="shared" si="20"/>
        <v>28.289121437356648</v>
      </c>
      <c r="Z84" s="2">
        <f t="shared" si="21"/>
        <v>28.925607515089673</v>
      </c>
      <c r="AA84" s="3">
        <f t="shared" si="22"/>
        <v>29.657808435321137</v>
      </c>
      <c r="AB84" s="2">
        <f t="shared" si="23"/>
        <v>30.120294750974971</v>
      </c>
      <c r="AC84" s="2">
        <f t="shared" si="24"/>
        <v>30.630406010919405</v>
      </c>
      <c r="AD84" s="2">
        <f t="shared" si="25"/>
        <v>-0.30293742619969427</v>
      </c>
      <c r="AE84" s="2">
        <f t="shared" si="26"/>
        <v>-1.1906831209115532</v>
      </c>
    </row>
    <row r="85" spans="2:31" x14ac:dyDescent="0.2">
      <c r="B85" s="1">
        <f>[18]FormattedData!A47</f>
        <v>908</v>
      </c>
      <c r="C85" s="1" t="str">
        <f>VLOOKUP($B85,[18]TrtCodes!$B$11:I90,2)</f>
        <v>Early</v>
      </c>
      <c r="D85" s="1">
        <f>VLOOKUP($B85,[18]TrtCodes!$B$11:J90,3)</f>
        <v>21</v>
      </c>
      <c r="E85" s="1">
        <f>VLOOKUP($B85,[18]TrtCodes!$B$11:K90,4)</f>
        <v>3</v>
      </c>
      <c r="F85" s="1">
        <f>VLOOKUP($B85,[18]TrtCodes!$B$11:L90,5)</f>
        <v>2</v>
      </c>
      <c r="G85" s="1">
        <f>VLOOKUP($B85,[18]TrtCodes!$B$11:M90,6)</f>
        <v>2</v>
      </c>
      <c r="H85" s="1">
        <f>VLOOKUP($B85,[18]TrtCodes!$B$11:N90,7)</f>
        <v>2</v>
      </c>
      <c r="I85" s="1">
        <f>[18]FormattedData!B47</f>
        <v>2</v>
      </c>
      <c r="J85" s="4">
        <f>[18]FormattedData!C47</f>
        <v>13.074999999999999</v>
      </c>
      <c r="K85" s="6">
        <f>$J$3+[18]FormattedData!D47*$J$4+$M$4*$J$5+[18]FormattedData!D47^2*$J$6+$M$5*$J$7</f>
        <v>38.726646540321489</v>
      </c>
      <c r="L85" s="6">
        <f>$J$3+[18]FormattedData!E47*$J$4+$M$4*$J$5+[18]FormattedData!E47^2*$J$6+$M$5*$J$7</f>
        <v>38.071436631108284</v>
      </c>
      <c r="M85" s="6">
        <f>$J$3+[18]FormattedData!F47*$J$4+$M$4*$J$5+[18]FormattedData!F47^2*$J$6+$M$5*$J$7</f>
        <v>34.85952732970614</v>
      </c>
      <c r="N85" s="6">
        <f>$J$3+[18]FormattedData!G47*$J$4+$M$4*$J$5+[18]FormattedData!G47^2*$J$6+$M$5*$J$7</f>
        <v>32.947343906633826</v>
      </c>
      <c r="O85" s="6">
        <f>$J$3+[18]FormattedData!H47*$J$4+$M$4*$J$5+[18]FormattedData!H47^2*$J$6+$M$5*$J$7</f>
        <v>32.562878332198672</v>
      </c>
      <c r="P85" s="6">
        <f>$J$3+[18]FormattedData!I47*$J$4+$M$4*$J$5+[18]FormattedData!I47^2*$J$6+$M$5*$J$7</f>
        <v>35.809278760552623</v>
      </c>
      <c r="Q85" s="6">
        <f>$J$3+[18]FormattedData!J47*$J$4+$M$4*$J$5+[18]FormattedData!J47^2*$J$6+$M$5*$J$7</f>
        <v>37.320089194017328</v>
      </c>
      <c r="R85" s="6">
        <f>$J$3+[18]FormattedData!K47*$J$4+$M$4*$J$5+[18]FormattedData!K47^2*$J$6+$M$5*$J$7</f>
        <v>31.115109161411635</v>
      </c>
      <c r="S85" s="6">
        <f>$J$3+[18]FormattedData!L47*$J$4+$M$4*$J$5+[18]FormattedData!L47^2*$J$6+$M$5*$J$7</f>
        <v>37.225980555960263</v>
      </c>
      <c r="T85" s="6">
        <f>$J$3+[18]FormattedData!M47*$J$4+$M$4*$J$5+[18]FormattedData!M47^2*$J$6+$M$5*$J$7</f>
        <v>38.726646540321489</v>
      </c>
      <c r="U85" s="6">
        <f>$J$3+[18]FormattedData!N47*$J$4+$M$4*$J$5+[18]FormattedData!N47^2*$J$6+$M$5*$J$7</f>
        <v>39.193385562192987</v>
      </c>
      <c r="V85" s="6">
        <f>$J$3+[18]FormattedData!O47*$J$4+$M$4*$J$5+[18]FormattedData!O47^2*$J$6+$M$5*$J$7</f>
        <v>37.225980555960263</v>
      </c>
      <c r="W85" s="5">
        <f t="shared" si="18"/>
        <v>36.148691922532088</v>
      </c>
      <c r="X85" s="4">
        <f t="shared" si="19"/>
        <v>0.77933960992075035</v>
      </c>
      <c r="Y85" s="3">
        <f t="shared" si="20"/>
        <v>31.115109161411635</v>
      </c>
      <c r="Z85" s="2">
        <f t="shared" si="21"/>
        <v>34.381481473938059</v>
      </c>
      <c r="AA85" s="3">
        <f t="shared" si="22"/>
        <v>37.225980555960263</v>
      </c>
      <c r="AB85" s="2">
        <f t="shared" si="23"/>
        <v>38.235239108411584</v>
      </c>
      <c r="AC85" s="2">
        <f t="shared" si="24"/>
        <v>39.193385562192987</v>
      </c>
      <c r="AD85" s="2">
        <f t="shared" si="25"/>
        <v>-0.74805795308322143</v>
      </c>
      <c r="AE85" s="2">
        <f t="shared" si="26"/>
        <v>-0.74777758120364757</v>
      </c>
    </row>
    <row r="88" spans="2:31" x14ac:dyDescent="0.2">
      <c r="W88" s="2"/>
    </row>
  </sheetData>
  <autoFilter ref="B9:AE85" xr:uid="{DF1F6A4C-2C2B-49FD-B2C2-4FDF9FCC7247}"/>
  <conditionalFormatting sqref="K10:V85">
    <cfRule type="cellIs" dxfId="55" priority="1" stopIfTrue="1" operator="lessThan">
      <formula>$W10-$V$5*$X10</formula>
    </cfRule>
    <cfRule type="cellIs" dxfId="54" priority="2" stopIfTrue="1" operator="greaterThan">
      <formula>$W10+$V$5*$X10</formula>
    </cfRule>
  </conditionalFormatting>
  <conditionalFormatting sqref="W10:W85">
    <cfRule type="cellIs" dxfId="53" priority="3" stopIfTrue="1" operator="lessThan">
      <formula>AVERAGE($W$10:$W$41)</formula>
    </cfRule>
    <cfRule type="cellIs" dxfId="5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4364-E3AC-49BD-B634-02AAFBAE22A9}">
  <sheetPr codeName="Sheet15"/>
  <dimension ref="A1:AI88"/>
  <sheetViews>
    <sheetView topLeftCell="A8" workbookViewId="0">
      <pane xSplit="4" ySplit="2" topLeftCell="P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[19]FormattedData!A1</f>
        <v>Raw data file name - 'IA195.03R'</v>
      </c>
    </row>
    <row r="2" spans="1:35" ht="15" x14ac:dyDescent="0.25">
      <c r="I2" s="32" t="s">
        <v>136</v>
      </c>
      <c r="J2" s="24"/>
      <c r="P2" s="31">
        <f>[19]AncillaryData!C10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[19]AncillaryData!E25</f>
        <v>43.45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"&amp;[19]AncillaryData!C7</f>
        <v>Time Sequence of Midday IRT Temps - FISE 2003 - DOY 195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"&amp;[19]AncillaryData!E25&amp;", VPD = "&amp;ROUND([19]AncillaryData!E29,1)&amp;", Quality = "&amp;[19]AncillaryData!C20&amp;")"</f>
        <v>(Ta = 43.45, VPD = 7.4,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[19]FormattedData!A28</f>
        <v>101</v>
      </c>
      <c r="C10" s="1" t="str">
        <f>VLOOKUP($B10,[19]TrtCodes!$B$11:I71,2)</f>
        <v>FSH</v>
      </c>
      <c r="D10" s="1">
        <f>VLOOKUP($B10,[19]TrtCodes!$B$11:J71,3)</f>
        <v>1</v>
      </c>
      <c r="E10" s="1">
        <f>VLOOKUP($B10,[19]TrtCodes!$B$11:K71,4)</f>
        <v>1</v>
      </c>
      <c r="F10" s="1">
        <f>VLOOKUP($B10,[19]TrtCodes!$B$11:L71,5)</f>
        <v>1</v>
      </c>
      <c r="G10" s="1">
        <f>VLOOKUP($B10,[19]TrtCodes!$B$11:M71,6)</f>
        <v>2</v>
      </c>
      <c r="H10" s="1">
        <f>VLOOKUP($B10,[19]TrtCodes!$B$11:N71,7)</f>
        <v>1</v>
      </c>
      <c r="I10" s="1">
        <f>[19]FormattedData!B28</f>
        <v>1</v>
      </c>
      <c r="J10" s="4">
        <f>[19]FormattedData!C28</f>
        <v>13.154999999999999</v>
      </c>
      <c r="K10" s="6">
        <f>$J$3+[19]FormattedData!D28*$J$4+$M$4*$J$5+[19]FormattedData!D28^2*$J$6+$M$5*$J$7</f>
        <v>36.962746611929063</v>
      </c>
      <c r="L10" s="6">
        <f>$J$3+[19]FormattedData!E28*$J$4+$M$4*$J$5+[19]FormattedData!E28^2*$J$6+$M$5*$J$7</f>
        <v>33.252946376200157</v>
      </c>
      <c r="M10" s="6">
        <f>$J$3+[19]FormattedData!F28*$J$4+$M$4*$J$5+[19]FormattedData!F28^2*$J$6+$M$5*$J$7</f>
        <v>30.646961868783514</v>
      </c>
      <c r="N10" s="6">
        <f>$J$3+[19]FormattedData!G28*$J$4+$M$4*$J$5+[19]FormattedData!G28^2*$J$6+$M$5*$J$7</f>
        <v>32.580279560821403</v>
      </c>
      <c r="O10" s="6">
        <f>$J$3+[19]FormattedData!H28*$J$4+$M$4*$J$5+[19]FormattedData!H28^2*$J$6+$M$5*$J$7</f>
        <v>31.228732454987981</v>
      </c>
      <c r="P10" s="6">
        <f>$J$3+[19]FormattedData!I28*$J$4+$M$4*$J$5+[19]FormattedData!I28^2*$J$6+$M$5*$J$7</f>
        <v>34.114760375527538</v>
      </c>
      <c r="Q10" s="6">
        <f>$J$3+[19]FormattedData!J28*$J$4+$M$4*$J$5+[19]FormattedData!J28^2*$J$6+$M$5*$J$7</f>
        <v>31.228732454987981</v>
      </c>
      <c r="R10" s="6">
        <f>$J$3+[19]FormattedData!K28*$J$4+$M$4*$J$5+[19]FormattedData!K28^2*$J$6+$M$5*$J$7</f>
        <v>32.580279560821403</v>
      </c>
      <c r="S10" s="6">
        <f>$J$3+[19]FormattedData!L28*$J$4+$M$4*$J$5+[19]FormattedData!L28^2*$J$6+$M$5*$J$7</f>
        <v>30.938037370306439</v>
      </c>
      <c r="T10" s="6">
        <f>$J$3+[19]FormattedData!M28*$J$4+$M$4*$J$5+[19]FormattedData!M28^2*$J$6+$M$5*$J$7</f>
        <v>32.580279560821403</v>
      </c>
      <c r="U10" s="6">
        <f>$J$3+[19]FormattedData!N28*$J$4+$M$4*$J$5+[19]FormattedData!N28^2*$J$6+$M$5*$J$7</f>
        <v>32.002059531803141</v>
      </c>
      <c r="V10" s="6">
        <f>$J$3+[19]FormattedData!O28*$J$4+$M$4*$J$5+[19]FormattedData!O28^2*$J$6+$M$5*$J$7</f>
        <v>30.841054471670063</v>
      </c>
      <c r="W10" s="5">
        <f t="shared" ref="W10:W41" si="0">AVERAGE(K10:V10)</f>
        <v>32.413072516555012</v>
      </c>
      <c r="X10" s="4">
        <f t="shared" ref="X10:X41" si="1">STDEV(K10:V10)/SQRT(COUNT(K10:V10))</f>
        <v>0.51584668047069948</v>
      </c>
      <c r="Y10" s="3">
        <f t="shared" ref="Y10:Y41" si="2">MIN(K10:V10)</f>
        <v>30.646961868783514</v>
      </c>
      <c r="Z10" s="2">
        <f t="shared" ref="Z10:Z41" si="3">QUARTILE(K10:V10,1)</f>
        <v>31.156058683817594</v>
      </c>
      <c r="AA10" s="3">
        <f t="shared" ref="AA10:AA41" si="4">MEDIAN(K10:V10)</f>
        <v>32.291169546312275</v>
      </c>
      <c r="AB10" s="2">
        <f t="shared" ref="AB10:AB41" si="5">QUARTILE(K10:V10,3)</f>
        <v>32.748446264666093</v>
      </c>
      <c r="AC10" s="2">
        <f t="shared" ref="AC10:AC41" si="6">MAX(K10:V10)</f>
        <v>36.962746611929063</v>
      </c>
      <c r="AD10" s="2">
        <f t="shared" ref="AD10:AD41" si="7">SKEW(K10:V10)</f>
        <v>1.6005180438635409</v>
      </c>
      <c r="AE10" s="2">
        <f t="shared" ref="AE10:AE41" si="8">KURT(K10:V10)</f>
        <v>3.1047607885596848</v>
      </c>
    </row>
    <row r="11" spans="1:35" x14ac:dyDescent="0.2">
      <c r="B11" s="1">
        <f>[19]FormattedData!A26</f>
        <v>102</v>
      </c>
      <c r="C11" s="1" t="str">
        <f>VLOOKUP($B11,[19]TrtCodes!$B$11:I69,2)</f>
        <v>FTL</v>
      </c>
      <c r="D11" s="1">
        <f>VLOOKUP($B11,[19]TrtCodes!$B$11:J69,3)</f>
        <v>4</v>
      </c>
      <c r="E11" s="1">
        <f>VLOOKUP($B11,[19]TrtCodes!$B$11:K69,4)</f>
        <v>1</v>
      </c>
      <c r="F11" s="1">
        <f>VLOOKUP($B11,[19]TrtCodes!$B$11:L69,5)</f>
        <v>2</v>
      </c>
      <c r="G11" s="1">
        <f>VLOOKUP($B11,[19]TrtCodes!$B$11:M69,6)</f>
        <v>1</v>
      </c>
      <c r="H11" s="1">
        <f>VLOOKUP($B11,[19]TrtCodes!$B$11:N69,7)</f>
        <v>1</v>
      </c>
      <c r="I11" s="1">
        <f>[19]FormattedData!B26</f>
        <v>1</v>
      </c>
      <c r="J11" s="4">
        <f>[19]FormattedData!C26</f>
        <v>13.138</v>
      </c>
      <c r="K11" s="6">
        <f>$J$3+[19]FormattedData!D26*$J$4+$M$4*$J$5+[19]FormattedData!D26^2*$J$6+$M$5*$J$7</f>
        <v>34.782693114658016</v>
      </c>
      <c r="L11" s="6">
        <f>$J$3+[19]FormattedData!E26*$J$4+$M$4*$J$5+[19]FormattedData!E26^2*$J$6+$M$5*$J$7</f>
        <v>32.772681422190701</v>
      </c>
      <c r="M11" s="6">
        <f>$J$3+[19]FormattedData!F26*$J$4+$M$4*$J$5+[19]FormattedData!F26^2*$J$6+$M$5*$J$7</f>
        <v>29.966306299735759</v>
      </c>
      <c r="N11" s="6">
        <f>$J$3+[19]FormattedData!G26*$J$4+$M$4*$J$5+[19]FormattedData!G26^2*$J$6+$M$5*$J$7</f>
        <v>32.772681422190701</v>
      </c>
      <c r="O11" s="6">
        <f>$J$3+[19]FormattedData!H26*$J$4+$M$4*$J$5+[19]FormattedData!H26^2*$J$6+$M$5*$J$7</f>
        <v>31.1318763619654</v>
      </c>
      <c r="P11" s="6">
        <f>$J$3+[19]FormattedData!I26*$J$4+$M$4*$J$5+[19]FormattedData!I26^2*$J$6+$M$5*$J$7</f>
        <v>34.305809643683041</v>
      </c>
      <c r="Q11" s="6">
        <f>$J$3+[19]FormattedData!J26*$J$4+$M$4*$J$5+[19]FormattedData!J26^2*$J$6+$M$5*$J$7</f>
        <v>31.034978000404887</v>
      </c>
      <c r="R11" s="6">
        <f>$J$3+[19]FormattedData!K26*$J$4+$M$4*$J$5+[19]FormattedData!K26^2*$J$6+$M$5*$J$7</f>
        <v>32.387708625300363</v>
      </c>
      <c r="S11" s="6">
        <f>$J$3+[19]FormattedData!L26*$J$4+$M$4*$J$5+[19]FormattedData!L26^2*$J$6+$M$5*$J$7</f>
        <v>31.808981373826938</v>
      </c>
      <c r="T11" s="6">
        <f>$J$3+[19]FormattedData!M26*$J$4+$M$4*$J$5+[19]FormattedData!M26^2*$J$6+$M$5*$J$7</f>
        <v>32.964914209408278</v>
      </c>
      <c r="U11" s="6">
        <f>$J$3+[19]FormattedData!N26*$J$4+$M$4*$J$5+[19]FormattedData!N26^2*$J$6+$M$5*$J$7</f>
        <v>30.549852164533345</v>
      </c>
      <c r="V11" s="6">
        <f>$J$3+[19]FormattedData!O26*$J$4+$M$4*$J$5+[19]FormattedData!O26^2*$J$6+$M$5*$J$7</f>
        <v>30.258269440555239</v>
      </c>
      <c r="W11" s="5">
        <f t="shared" si="0"/>
        <v>32.06139600653772</v>
      </c>
      <c r="X11" s="4">
        <f t="shared" si="1"/>
        <v>0.4462318190588726</v>
      </c>
      <c r="Y11" s="3">
        <f t="shared" si="2"/>
        <v>29.966306299735759</v>
      </c>
      <c r="Z11" s="2">
        <f t="shared" si="3"/>
        <v>30.913696541437002</v>
      </c>
      <c r="AA11" s="3">
        <f t="shared" si="4"/>
        <v>32.098344999563651</v>
      </c>
      <c r="AB11" s="2">
        <f t="shared" si="5"/>
        <v>32.820739618995091</v>
      </c>
      <c r="AC11" s="2">
        <f t="shared" si="6"/>
        <v>34.782693114658016</v>
      </c>
      <c r="AD11" s="2">
        <f t="shared" si="7"/>
        <v>0.37030160065135231</v>
      </c>
      <c r="AE11" s="2">
        <f t="shared" si="8"/>
        <v>-0.76777288368728502</v>
      </c>
    </row>
    <row r="12" spans="1:35" x14ac:dyDescent="0.2">
      <c r="B12" s="1">
        <f>[19]FormattedData!A24</f>
        <v>103</v>
      </c>
      <c r="C12" s="1" t="str">
        <f>VLOOKUP($B12,[19]TrtCodes!$B$11:I67,2)</f>
        <v>FDH</v>
      </c>
      <c r="D12" s="1">
        <f>VLOOKUP($B12,[19]TrtCodes!$B$11:J67,3)</f>
        <v>5</v>
      </c>
      <c r="E12" s="1">
        <f>VLOOKUP($B12,[19]TrtCodes!$B$11:K67,4)</f>
        <v>1</v>
      </c>
      <c r="F12" s="1">
        <f>VLOOKUP($B12,[19]TrtCodes!$B$11:L67,5)</f>
        <v>3</v>
      </c>
      <c r="G12" s="1">
        <f>VLOOKUP($B12,[19]TrtCodes!$B$11:M67,6)</f>
        <v>2</v>
      </c>
      <c r="H12" s="1">
        <f>VLOOKUP($B12,[19]TrtCodes!$B$11:N67,7)</f>
        <v>1</v>
      </c>
      <c r="I12" s="1">
        <f>[19]FormattedData!B24</f>
        <v>1</v>
      </c>
      <c r="J12" s="4">
        <f>[19]FormattedData!C24</f>
        <v>13.121</v>
      </c>
      <c r="K12" s="6">
        <f>$J$3+[19]FormattedData!D24*$J$4+$M$4*$J$5+[19]FormattedData!D24^2*$J$6+$M$5*$J$7</f>
        <v>34.210306143874249</v>
      </c>
      <c r="L12" s="6">
        <f>$J$3+[19]FormattedData!E24*$J$4+$M$4*$J$5+[19]FormattedData!E24^2*$J$6+$M$5*$J$7</f>
        <v>34.114760375527538</v>
      </c>
      <c r="M12" s="6">
        <f>$J$3+[19]FormattedData!F24*$J$4+$M$4*$J$5+[19]FormattedData!F24^2*$J$6+$M$5*$J$7</f>
        <v>34.496689837686823</v>
      </c>
      <c r="N12" s="6">
        <f>$J$3+[19]FormattedData!G24*$J$4+$M$4*$J$5+[19]FormattedData!G24^2*$J$6+$M$5*$J$7</f>
        <v>34.496689837686823</v>
      </c>
      <c r="O12" s="6">
        <f>$J$3+[19]FormattedData!H24*$J$4+$M$4*$J$5+[19]FormattedData!H24^2*$J$6+$M$5*$J$7</f>
        <v>35.258519872184706</v>
      </c>
      <c r="P12" s="6">
        <f>$J$3+[19]FormattedData!I24*$J$4+$M$4*$J$5+[19]FormattedData!I24^2*$J$6+$M$5*$J$7</f>
        <v>35.163439057755227</v>
      </c>
      <c r="Q12" s="6">
        <f>$J$3+[19]FormattedData!J24*$J$4+$M$4*$J$5+[19]FormattedData!J24^2*$J$6+$M$5*$J$7</f>
        <v>35.543508704245554</v>
      </c>
      <c r="R12" s="6">
        <f>$J$3+[19]FormattedData!K24*$J$4+$M$4*$J$5+[19]FormattedData!K24^2*$J$6+$M$5*$J$7</f>
        <v>35.922902054128969</v>
      </c>
      <c r="S12" s="6">
        <f>$J$3+[19]FormattedData!L24*$J$4+$M$4*$J$5+[19]FormattedData!L24^2*$J$6+$M$5*$J$7</f>
        <v>35.922902054128969</v>
      </c>
      <c r="T12" s="6">
        <f>$J$3+[19]FormattedData!M24*$J$4+$M$4*$J$5+[19]FormattedData!M24^2*$J$6+$M$5*$J$7</f>
        <v>35.258519872184706</v>
      </c>
      <c r="U12" s="6">
        <f>$J$3+[19]FormattedData!N24*$J$4+$M$4*$J$5+[19]FormattedData!N24^2*$J$6+$M$5*$J$7</f>
        <v>34.687400957538877</v>
      </c>
      <c r="V12" s="6">
        <f>$J$3+[19]FormattedData!O24*$J$4+$M$4*$J$5+[19]FormattedData!O24^2*$J$6+$M$5*$J$7</f>
        <v>34.687400957538877</v>
      </c>
      <c r="W12" s="5">
        <f t="shared" si="0"/>
        <v>34.980253310373449</v>
      </c>
      <c r="X12" s="4">
        <f t="shared" si="1"/>
        <v>0.17972918281794012</v>
      </c>
      <c r="Y12" s="3">
        <f t="shared" si="2"/>
        <v>34.114760375527538</v>
      </c>
      <c r="Z12" s="2">
        <f t="shared" si="3"/>
        <v>34.496689837686823</v>
      </c>
      <c r="AA12" s="3">
        <f t="shared" si="4"/>
        <v>34.925420007647048</v>
      </c>
      <c r="AB12" s="2">
        <f t="shared" si="5"/>
        <v>35.329767080199915</v>
      </c>
      <c r="AC12" s="2">
        <f t="shared" si="6"/>
        <v>35.922902054128969</v>
      </c>
      <c r="AD12" s="2">
        <f t="shared" si="7"/>
        <v>0.23597808961437675</v>
      </c>
      <c r="AE12" s="2">
        <f t="shared" si="8"/>
        <v>-1.1708351205961964</v>
      </c>
    </row>
    <row r="13" spans="1:35" x14ac:dyDescent="0.2">
      <c r="B13" s="1">
        <f>[19]FormattedData!A22</f>
        <v>104</v>
      </c>
      <c r="C13" s="1" t="str">
        <f>VLOOKUP($B13,[19]TrtCodes!$B$11:I65,2)</f>
        <v>NTL</v>
      </c>
      <c r="D13" s="1">
        <f>VLOOKUP($B13,[19]TrtCodes!$B$11:J65,3)</f>
        <v>10</v>
      </c>
      <c r="E13" s="1">
        <f>VLOOKUP($B13,[19]TrtCodes!$B$11:K65,4)</f>
        <v>2</v>
      </c>
      <c r="F13" s="1">
        <f>VLOOKUP($B13,[19]TrtCodes!$B$11:L65,5)</f>
        <v>2</v>
      </c>
      <c r="G13" s="1">
        <f>VLOOKUP($B13,[19]TrtCodes!$B$11:M65,6)</f>
        <v>1</v>
      </c>
      <c r="H13" s="1">
        <f>VLOOKUP($B13,[19]TrtCodes!$B$11:N65,7)</f>
        <v>1</v>
      </c>
      <c r="I13" s="1">
        <f>[19]FormattedData!B22</f>
        <v>1</v>
      </c>
      <c r="J13" s="4">
        <f>[19]FormattedData!C22</f>
        <v>13.103999999999999</v>
      </c>
      <c r="K13" s="6">
        <f>$J$3+[19]FormattedData!D22*$J$4+$M$4*$J$5+[19]FormattedData!D22^2*$J$6+$M$5*$J$7</f>
        <v>34.496689837686823</v>
      </c>
      <c r="L13" s="6">
        <f>$J$3+[19]FormattedData!E22*$J$4+$M$4*$J$5+[19]FormattedData!E22^2*$J$6+$M$5*$J$7</f>
        <v>33.732154616761342</v>
      </c>
      <c r="M13" s="6">
        <f>$J$3+[19]FormattedData!F22*$J$4+$M$4*$J$5+[19]FormattedData!F22^2*$J$6+$M$5*$J$7</f>
        <v>33.252946376200157</v>
      </c>
      <c r="N13" s="6">
        <f>$J$3+[19]FormattedData!G22*$J$4+$M$4*$J$5+[19]FormattedData!G22^2*$J$6+$M$5*$J$7</f>
        <v>33.252946376200157</v>
      </c>
      <c r="O13" s="6">
        <f>$J$3+[19]FormattedData!H22*$J$4+$M$4*$J$5+[19]FormattedData!H22^2*$J$6+$M$5*$J$7</f>
        <v>33.444756478038428</v>
      </c>
      <c r="P13" s="6">
        <f>$J$3+[19]FormattedData!I22*$J$4+$M$4*$J$5+[19]FormattedData!I22^2*$J$6+$M$5*$J$7</f>
        <v>35.258519872184706</v>
      </c>
      <c r="Q13" s="6">
        <f>$J$3+[19]FormattedData!J22*$J$4+$M$4*$J$5+[19]FormattedData!J22^2*$J$6+$M$5*$J$7</f>
        <v>34.019172338642889</v>
      </c>
      <c r="R13" s="6">
        <f>$J$3+[19]FormattedData!K22*$J$4+$M$4*$J$5+[19]FormattedData!K22^2*$J$6+$M$5*$J$7</f>
        <v>35.258519872184706</v>
      </c>
      <c r="S13" s="6">
        <f>$J$3+[19]FormattedData!L22*$J$4+$M$4*$J$5+[19]FormattedData!L22^2*$J$6+$M$5*$J$7</f>
        <v>34.592066531881827</v>
      </c>
      <c r="T13" s="6">
        <f>$J$3+[19]FormattedData!M22*$J$4+$M$4*$J$5+[19]FormattedData!M22^2*$J$6+$M$5*$J$7</f>
        <v>33.444756478038428</v>
      </c>
      <c r="U13" s="6">
        <f>$J$3+[19]FormattedData!N22*$J$4+$M$4*$J$5+[19]FormattedData!N22^2*$J$6+$M$5*$J$7</f>
        <v>33.444756478038428</v>
      </c>
      <c r="V13" s="6">
        <f>$J$3+[19]FormattedData!O22*$J$4+$M$4*$J$5+[19]FormattedData!O22^2*$J$6+$M$5*$J$7</f>
        <v>34.496689837686823</v>
      </c>
      <c r="W13" s="5">
        <f t="shared" si="0"/>
        <v>34.057831257795385</v>
      </c>
      <c r="X13" s="4">
        <f t="shared" si="1"/>
        <v>0.21470078757254318</v>
      </c>
      <c r="Y13" s="3">
        <f t="shared" si="2"/>
        <v>33.252946376200157</v>
      </c>
      <c r="Z13" s="2">
        <f t="shared" si="3"/>
        <v>33.444756478038428</v>
      </c>
      <c r="AA13" s="3">
        <f t="shared" si="4"/>
        <v>33.875663477702119</v>
      </c>
      <c r="AB13" s="2">
        <f t="shared" si="5"/>
        <v>34.520534011235576</v>
      </c>
      <c r="AC13" s="2">
        <f t="shared" si="6"/>
        <v>35.258519872184706</v>
      </c>
      <c r="AD13" s="2">
        <f t="shared" si="7"/>
        <v>0.5342294428341442</v>
      </c>
      <c r="AE13" s="2">
        <f t="shared" si="8"/>
        <v>-1.1562141915984019</v>
      </c>
    </row>
    <row r="14" spans="1:35" x14ac:dyDescent="0.2">
      <c r="B14" s="1">
        <f>[19]FormattedData!A20</f>
        <v>105</v>
      </c>
      <c r="C14" s="1" t="str">
        <f>VLOOKUP($B14,[19]TrtCodes!$B$11:I63,2)</f>
        <v>NDL</v>
      </c>
      <c r="D14" s="1">
        <f>VLOOKUP($B14,[19]TrtCodes!$B$11:J63,3)</f>
        <v>12</v>
      </c>
      <c r="E14" s="1">
        <f>VLOOKUP($B14,[19]TrtCodes!$B$11:K63,4)</f>
        <v>2</v>
      </c>
      <c r="F14" s="1">
        <f>VLOOKUP($B14,[19]TrtCodes!$B$11:L63,5)</f>
        <v>3</v>
      </c>
      <c r="G14" s="1">
        <f>VLOOKUP($B14,[19]TrtCodes!$B$11:M63,6)</f>
        <v>1</v>
      </c>
      <c r="H14" s="1">
        <f>VLOOKUP($B14,[19]TrtCodes!$B$11:N63,7)</f>
        <v>2</v>
      </c>
      <c r="I14" s="1">
        <f>[19]FormattedData!B20</f>
        <v>1</v>
      </c>
      <c r="J14" s="4">
        <f>[19]FormattedData!C20</f>
        <v>13.087</v>
      </c>
      <c r="K14" s="6">
        <f>$J$3+[19]FormattedData!D20*$J$4+$M$4*$J$5+[19]FormattedData!D20^2*$J$6+$M$5*$J$7</f>
        <v>33.444756478038428</v>
      </c>
      <c r="L14" s="6">
        <f>$J$3+[19]FormattedData!E20*$J$4+$M$4*$J$5+[19]FormattedData!E20^2*$J$6+$M$5*$J$7</f>
        <v>31.905541587084002</v>
      </c>
      <c r="M14" s="6">
        <f>$J$3+[19]FormattedData!F20*$J$4+$M$4*$J$5+[19]FormattedData!F20^2*$J$6+$M$5*$J$7</f>
        <v>32.194968615627616</v>
      </c>
      <c r="N14" s="6">
        <f>$J$3+[19]FormattedData!G20*$J$4+$M$4*$J$5+[19]FormattedData!G20^2*$J$6+$M$5*$J$7</f>
        <v>32.580279560821403</v>
      </c>
      <c r="O14" s="6">
        <f>$J$3+[19]FormattedData!H20*$J$4+$M$4*$J$5+[19]FormattedData!H20^2*$J$6+$M$5*$J$7</f>
        <v>32.964914209408278</v>
      </c>
      <c r="P14" s="6">
        <f>$J$3+[19]FormattedData!I20*$J$4+$M$4*$J$5+[19]FormattedData!I20^2*$J$6+$M$5*$J$7</f>
        <v>32.002059531803141</v>
      </c>
      <c r="Q14" s="6">
        <f>$J$3+[19]FormattedData!J20*$J$4+$M$4*$J$5+[19]FormattedData!J20^2*$J$6+$M$5*$J$7</f>
        <v>32.580279560821403</v>
      </c>
      <c r="R14" s="6">
        <f>$J$3+[19]FormattedData!K20*$J$4+$M$4*$J$5+[19]FormattedData!K20^2*$J$6+$M$5*$J$7</f>
        <v>33.348872561388262</v>
      </c>
      <c r="S14" s="6">
        <f>$J$3+[19]FormattedData!L20*$J$4+$M$4*$J$5+[19]FormattedData!L20^2*$J$6+$M$5*$J$7</f>
        <v>32.964914209408278</v>
      </c>
      <c r="T14" s="6">
        <f>$J$3+[19]FormattedData!M20*$J$4+$M$4*$J$5+[19]FormattedData!M20^2*$J$6+$M$5*$J$7</f>
        <v>33.827869459259794</v>
      </c>
      <c r="U14" s="6">
        <f>$J$3+[19]FormattedData!N20*$J$4+$M$4*$J$5+[19]FormattedData!N20^2*$J$6+$M$5*$J$7</f>
        <v>32.868818950068452</v>
      </c>
      <c r="V14" s="6">
        <f>$J$3+[19]FormattedData!O20*$J$4+$M$4*$J$5+[19]FormattedData!O20^2*$J$6+$M$5*$J$7</f>
        <v>32.580279560821403</v>
      </c>
      <c r="W14" s="5">
        <f t="shared" si="0"/>
        <v>32.771962857045864</v>
      </c>
      <c r="X14" s="4">
        <f t="shared" si="1"/>
        <v>0.16901773099496564</v>
      </c>
      <c r="Y14" s="3">
        <f t="shared" si="2"/>
        <v>31.905541587084002</v>
      </c>
      <c r="Z14" s="2">
        <f t="shared" si="3"/>
        <v>32.483951824522954</v>
      </c>
      <c r="AA14" s="3">
        <f t="shared" si="4"/>
        <v>32.724549255444927</v>
      </c>
      <c r="AB14" s="2">
        <f t="shared" si="5"/>
        <v>33.06090379740327</v>
      </c>
      <c r="AC14" s="2">
        <f t="shared" si="6"/>
        <v>33.827869459259794</v>
      </c>
      <c r="AD14" s="2">
        <f t="shared" si="7"/>
        <v>0.20061716011353872</v>
      </c>
      <c r="AE14" s="2">
        <f t="shared" si="8"/>
        <v>-0.55853418164152746</v>
      </c>
    </row>
    <row r="15" spans="1:35" x14ac:dyDescent="0.2">
      <c r="B15" s="1">
        <f>[19]FormattedData!A18</f>
        <v>106</v>
      </c>
      <c r="C15" s="1" t="str">
        <f>VLOOKUP($B15,[19]TrtCodes!$B$11:I61,2)</f>
        <v>NTH</v>
      </c>
      <c r="D15" s="1">
        <f>VLOOKUP($B15,[19]TrtCodes!$B$11:J61,3)</f>
        <v>9</v>
      </c>
      <c r="E15" s="1">
        <f>VLOOKUP($B15,[19]TrtCodes!$B$11:K61,4)</f>
        <v>2</v>
      </c>
      <c r="F15" s="1">
        <f>VLOOKUP($B15,[19]TrtCodes!$B$11:L61,5)</f>
        <v>2</v>
      </c>
      <c r="G15" s="1">
        <f>VLOOKUP($B15,[19]TrtCodes!$B$11:M61,6)</f>
        <v>2</v>
      </c>
      <c r="H15" s="1">
        <f>VLOOKUP($B15,[19]TrtCodes!$B$11:N61,7)</f>
        <v>2</v>
      </c>
      <c r="I15" s="1">
        <f>[19]FormattedData!B18</f>
        <v>1</v>
      </c>
      <c r="J15" s="4">
        <f>[19]FormattedData!C18</f>
        <v>13.07</v>
      </c>
      <c r="K15" s="6">
        <f>$J$3+[19]FormattedData!D18*$J$4+$M$4*$J$5+[19]FormattedData!D18^2*$J$6+$M$5*$J$7</f>
        <v>35.922902054128969</v>
      </c>
      <c r="L15" s="6">
        <f>$J$3+[19]FormattedData!E18*$J$4+$M$4*$J$5+[19]FormattedData!E18^2*$J$6+$M$5*$J$7</f>
        <v>33.060967200210172</v>
      </c>
      <c r="M15" s="6">
        <f>$J$3+[19]FormattedData!F18*$J$4+$M$4*$J$5+[19]FormattedData!F18^2*$J$6+$M$5*$J$7</f>
        <v>32.868818950068452</v>
      </c>
      <c r="N15" s="6">
        <f>$J$3+[19]FormattedData!G18*$J$4+$M$4*$J$5+[19]FormattedData!G18^2*$J$6+$M$5*$J$7</f>
        <v>33.060967200210172</v>
      </c>
      <c r="O15" s="6">
        <f>$J$3+[19]FormattedData!H18*$J$4+$M$4*$J$5+[19]FormattedData!H18^2*$J$6+$M$5*$J$7</f>
        <v>34.973150623282486</v>
      </c>
      <c r="P15" s="6">
        <f>$J$3+[19]FormattedData!I18*$J$4+$M$4*$J$5+[19]FormattedData!I18^2*$J$6+$M$5*$J$7</f>
        <v>33.060967200210172</v>
      </c>
      <c r="Q15" s="6">
        <f>$J$3+[19]FormattedData!J18*$J$4+$M$4*$J$5+[19]FormattedData!J18^2*$J$6+$M$5*$J$7</f>
        <v>33.252946376200157</v>
      </c>
      <c r="R15" s="6">
        <f>$J$3+[19]FormattedData!K18*$J$4+$M$4*$J$5+[19]FormattedData!K18^2*$J$6+$M$5*$J$7</f>
        <v>33.54059812615067</v>
      </c>
      <c r="S15" s="6">
        <f>$J$3+[19]FormattedData!L18*$J$4+$M$4*$J$5+[19]FormattedData!L18^2*$J$6+$M$5*$J$7</f>
        <v>33.54059812615067</v>
      </c>
      <c r="T15" s="6">
        <f>$J$3+[19]FormattedData!M18*$J$4+$M$4*$J$5+[19]FormattedData!M18^2*$J$6+$M$5*$J$7</f>
        <v>34.114760375527538</v>
      </c>
      <c r="U15" s="6">
        <f>$J$3+[19]FormattedData!N18*$J$4+$M$4*$J$5+[19]FormattedData!N18^2*$J$6+$M$5*$J$7</f>
        <v>34.687400957538877</v>
      </c>
      <c r="V15" s="6">
        <f>$J$3+[19]FormattedData!O18*$J$4+$M$4*$J$5+[19]FormattedData!O18^2*$J$6+$M$5*$J$7</f>
        <v>32.098535207984348</v>
      </c>
      <c r="W15" s="5">
        <f t="shared" si="0"/>
        <v>33.681884366471898</v>
      </c>
      <c r="X15" s="4">
        <f t="shared" si="1"/>
        <v>0.30694696253085219</v>
      </c>
      <c r="Y15" s="3">
        <f t="shared" si="2"/>
        <v>32.098535207984348</v>
      </c>
      <c r="Z15" s="2">
        <f t="shared" si="3"/>
        <v>33.060967200210172</v>
      </c>
      <c r="AA15" s="3">
        <f t="shared" si="4"/>
        <v>33.396772251175413</v>
      </c>
      <c r="AB15" s="2">
        <f t="shared" si="5"/>
        <v>34.257920521030371</v>
      </c>
      <c r="AC15" s="2">
        <f t="shared" si="6"/>
        <v>35.922902054128969</v>
      </c>
      <c r="AD15" s="2">
        <f t="shared" si="7"/>
        <v>0.83448539511499142</v>
      </c>
      <c r="AE15" s="2">
        <f t="shared" si="8"/>
        <v>0.43687224767683741</v>
      </c>
    </row>
    <row r="16" spans="1:35" x14ac:dyDescent="0.2">
      <c r="B16" s="1">
        <f>[19]FormattedData!A16</f>
        <v>107</v>
      </c>
      <c r="C16" s="1" t="str">
        <f>VLOOKUP($B16,[19]TrtCodes!$B$11:I59,2)</f>
        <v>NTL</v>
      </c>
      <c r="D16" s="1">
        <f>VLOOKUP($B16,[19]TrtCodes!$B$11:J59,3)</f>
        <v>10</v>
      </c>
      <c r="E16" s="1">
        <f>VLOOKUP($B16,[19]TrtCodes!$B$11:K59,4)</f>
        <v>2</v>
      </c>
      <c r="F16" s="1">
        <f>VLOOKUP($B16,[19]TrtCodes!$B$11:L59,5)</f>
        <v>2</v>
      </c>
      <c r="G16" s="1">
        <f>VLOOKUP($B16,[19]TrtCodes!$B$11:M59,6)</f>
        <v>1</v>
      </c>
      <c r="H16" s="1">
        <f>VLOOKUP($B16,[19]TrtCodes!$B$11:N59,7)</f>
        <v>2</v>
      </c>
      <c r="I16" s="1">
        <f>[19]FormattedData!B16</f>
        <v>1</v>
      </c>
      <c r="J16" s="4">
        <f>[19]FormattedData!C16</f>
        <v>13.053000000000001</v>
      </c>
      <c r="K16" s="6">
        <f>$J$3+[19]FormattedData!D16*$J$4+$M$4*$J$5+[19]FormattedData!D16^2*$J$6+$M$5*$J$7</f>
        <v>36.868426631182338</v>
      </c>
      <c r="L16" s="6">
        <f>$J$3+[19]FormattedData!E16*$J$4+$M$4*$J$5+[19]FormattedData!E16^2*$J$6+$M$5*$J$7</f>
        <v>37.057024324137842</v>
      </c>
      <c r="M16" s="6">
        <f>$J$3+[19]FormattedData!F16*$J$4+$M$4*$J$5+[19]FormattedData!F16^2*$J$6+$M$5*$J$7</f>
        <v>33.060967200210172</v>
      </c>
      <c r="N16" s="6">
        <f>$J$3+[19]FormattedData!G16*$J$4+$M$4*$J$5+[19]FormattedData!G16^2*$J$6+$M$5*$J$7</f>
        <v>32.098535207984348</v>
      </c>
      <c r="O16" s="6">
        <f>$J$3+[19]FormattedData!H16*$J$4+$M$4*$J$5+[19]FormattedData!H16^2*$J$6+$M$5*$J$7</f>
        <v>30.355505950419207</v>
      </c>
      <c r="P16" s="6">
        <f>$J$3+[19]FormattedData!I16*$J$4+$M$4*$J$5+[19]FormattedData!I16^2*$J$6+$M$5*$J$7</f>
        <v>34.401270874953894</v>
      </c>
      <c r="Q16" s="6">
        <f>$J$3+[19]FormattedData!J16*$J$4+$M$4*$J$5+[19]FormattedData!J16^2*$J$6+$M$5*$J$7</f>
        <v>34.687400957538877</v>
      </c>
      <c r="R16" s="6">
        <f>$J$3+[19]FormattedData!K16*$J$4+$M$4*$J$5+[19]FormattedData!K16^2*$J$6+$M$5*$J$7</f>
        <v>31.034978000404887</v>
      </c>
      <c r="S16" s="6">
        <f>$J$3+[19]FormattedData!L16*$J$4+$M$4*$J$5+[19]FormattedData!L16^2*$J$6+$M$5*$J$7</f>
        <v>35.638420444523298</v>
      </c>
      <c r="T16" s="6">
        <f>$J$3+[19]FormattedData!M16*$J$4+$M$4*$J$5+[19]FormattedData!M16^2*$J$6+$M$5*$J$7</f>
        <v>31.32554627947264</v>
      </c>
      <c r="U16" s="6">
        <f>$J$3+[19]FormattedData!N16*$J$4+$M$4*$J$5+[19]FormattedData!N16^2*$J$6+$M$5*$J$7</f>
        <v>34.496689837686823</v>
      </c>
      <c r="V16" s="6">
        <f>$J$3+[19]FormattedData!O16*$J$4+$M$4*$J$5+[19]FormattedData!O16^2*$J$6+$M$5*$J$7</f>
        <v>31.32554627947264</v>
      </c>
      <c r="W16" s="5">
        <f t="shared" si="0"/>
        <v>33.529192665665576</v>
      </c>
      <c r="X16" s="4">
        <f t="shared" si="1"/>
        <v>0.67056321838238275</v>
      </c>
      <c r="Y16" s="3">
        <f t="shared" si="2"/>
        <v>30.355505950419207</v>
      </c>
      <c r="Z16" s="2">
        <f t="shared" si="3"/>
        <v>31.32554627947264</v>
      </c>
      <c r="AA16" s="3">
        <f t="shared" si="4"/>
        <v>33.731119037582033</v>
      </c>
      <c r="AB16" s="2">
        <f t="shared" si="5"/>
        <v>34.925155829284982</v>
      </c>
      <c r="AC16" s="2">
        <f t="shared" si="6"/>
        <v>37.057024324137842</v>
      </c>
      <c r="AD16" s="2">
        <f t="shared" si="7"/>
        <v>0.18913014082674953</v>
      </c>
      <c r="AE16" s="2">
        <f t="shared" si="8"/>
        <v>-1.3606868490664232</v>
      </c>
    </row>
    <row r="17" spans="2:31" x14ac:dyDescent="0.2">
      <c r="B17" s="1">
        <f>[19]FormattedData!A14</f>
        <v>108</v>
      </c>
      <c r="C17" s="1" t="str">
        <f>VLOOKUP($B17,[19]TrtCodes!$B$11:I57,2)</f>
        <v>FTH</v>
      </c>
      <c r="D17" s="1">
        <f>VLOOKUP($B17,[19]TrtCodes!$B$11:J57,3)</f>
        <v>3</v>
      </c>
      <c r="E17" s="1">
        <f>VLOOKUP($B17,[19]TrtCodes!$B$11:K57,4)</f>
        <v>1</v>
      </c>
      <c r="F17" s="1">
        <f>VLOOKUP($B17,[19]TrtCodes!$B$11:L57,5)</f>
        <v>2</v>
      </c>
      <c r="G17" s="1">
        <f>VLOOKUP($B17,[19]TrtCodes!$B$11:M57,6)</f>
        <v>2</v>
      </c>
      <c r="H17" s="1">
        <f>VLOOKUP($B17,[19]TrtCodes!$B$11:N57,7)</f>
        <v>2</v>
      </c>
      <c r="I17" s="1">
        <f>[19]FormattedData!B14</f>
        <v>1</v>
      </c>
      <c r="J17" s="4">
        <f>[19]FormattedData!C14</f>
        <v>13.037000000000001</v>
      </c>
      <c r="K17" s="6">
        <f>$J$3+[19]FormattedData!D14*$J$4+$M$4*$J$5+[19]FormattedData!D14^2*$J$6+$M$5*$J$7</f>
        <v>35.258519872184706</v>
      </c>
      <c r="L17" s="6">
        <f>$J$3+[19]FormattedData!E14*$J$4+$M$4*$J$5+[19]FormattedData!E14^2*$J$6+$M$5*$J$7</f>
        <v>33.156977922474134</v>
      </c>
      <c r="M17" s="6">
        <f>$J$3+[19]FormattedData!F14*$J$4+$M$4*$J$5+[19]FormattedData!F14^2*$J$6+$M$5*$J$7</f>
        <v>31.615734141699011</v>
      </c>
      <c r="N17" s="6">
        <f>$J$3+[19]FormattedData!G14*$J$4+$M$4*$J$5+[19]FormattedData!G14^2*$J$6+$M$5*$J$7</f>
        <v>32.098535207984348</v>
      </c>
      <c r="O17" s="6">
        <f>$J$3+[19]FormattedData!H14*$J$4+$M$4*$J$5+[19]FormattedData!H14^2*$J$6+$M$5*$J$7</f>
        <v>31.519047122828155</v>
      </c>
      <c r="P17" s="6">
        <f>$J$3+[19]FormattedData!I14*$J$4+$M$4*$J$5+[19]FormattedData!I14^2*$J$6+$M$5*$J$7</f>
        <v>34.210306143874249</v>
      </c>
      <c r="Q17" s="6">
        <f>$J$3+[19]FormattedData!J14*$J$4+$M$4*$J$5+[19]FormattedData!J14^2*$J$6+$M$5*$J$7</f>
        <v>32.098535207984348</v>
      </c>
      <c r="R17" s="6">
        <f>$J$3+[19]FormattedData!K14*$J$4+$M$4*$J$5+[19]FormattedData!K14^2*$J$6+$M$5*$J$7</f>
        <v>33.156977922474134</v>
      </c>
      <c r="S17" s="6">
        <f>$J$3+[19]FormattedData!L14*$J$4+$M$4*$J$5+[19]FormattedData!L14^2*$J$6+$M$5*$J$7</f>
        <v>31.905541587084002</v>
      </c>
      <c r="T17" s="6">
        <f>$J$3+[19]FormattedData!M14*$J$4+$M$4*$J$5+[19]FormattedData!M14^2*$J$6+$M$5*$J$7</f>
        <v>31.422317835419356</v>
      </c>
      <c r="U17" s="6">
        <f>$J$3+[19]FormattedData!N14*$J$4+$M$4*$J$5+[19]FormattedData!N14^2*$J$6+$M$5*$J$7</f>
        <v>31.519047122828155</v>
      </c>
      <c r="V17" s="6">
        <f>$J$3+[19]FormattedData!O14*$J$4+$M$4*$J$5+[19]FormattedData!O14^2*$J$6+$M$5*$J$7</f>
        <v>30.646961868783514</v>
      </c>
      <c r="W17" s="5">
        <f t="shared" si="0"/>
        <v>32.384041829634846</v>
      </c>
      <c r="X17" s="4">
        <f t="shared" si="1"/>
        <v>0.38152211634448091</v>
      </c>
      <c r="Y17" s="3">
        <f t="shared" si="2"/>
        <v>30.646961868783514</v>
      </c>
      <c r="Z17" s="2">
        <f t="shared" si="3"/>
        <v>31.519047122828155</v>
      </c>
      <c r="AA17" s="3">
        <f t="shared" si="4"/>
        <v>32.002038397534179</v>
      </c>
      <c r="AB17" s="2">
        <f t="shared" si="5"/>
        <v>33.156977922474134</v>
      </c>
      <c r="AC17" s="2">
        <f t="shared" si="6"/>
        <v>35.258519872184706</v>
      </c>
      <c r="AD17" s="2">
        <f t="shared" si="7"/>
        <v>1.0741405983048644</v>
      </c>
      <c r="AE17" s="2">
        <f t="shared" si="8"/>
        <v>0.69771377087265929</v>
      </c>
    </row>
    <row r="18" spans="2:31" x14ac:dyDescent="0.2">
      <c r="B18" s="1">
        <f>[19]FormattedData!A30</f>
        <v>201</v>
      </c>
      <c r="C18" s="1" t="str">
        <f>VLOOKUP($B18,[19]TrtCodes!$B$11:I73,2)</f>
        <v>NDL</v>
      </c>
      <c r="D18" s="1">
        <f>VLOOKUP($B18,[19]TrtCodes!$B$11:J73,3)</f>
        <v>12</v>
      </c>
      <c r="E18" s="1">
        <f>VLOOKUP($B18,[19]TrtCodes!$B$11:K73,4)</f>
        <v>2</v>
      </c>
      <c r="F18" s="1">
        <f>VLOOKUP($B18,[19]TrtCodes!$B$11:L73,5)</f>
        <v>3</v>
      </c>
      <c r="G18" s="1">
        <f>VLOOKUP($B18,[19]TrtCodes!$B$11:M73,6)</f>
        <v>1</v>
      </c>
      <c r="H18" s="1">
        <f>VLOOKUP($B18,[19]TrtCodes!$B$11:N73,7)</f>
        <v>1</v>
      </c>
      <c r="I18" s="1">
        <f>[19]FormattedData!B30</f>
        <v>1</v>
      </c>
      <c r="J18" s="4">
        <f>[19]FormattedData!C30</f>
        <v>13.212</v>
      </c>
      <c r="K18" s="6">
        <f>$J$3+[19]FormattedData!D30*$J$4+$M$4*$J$5+[19]FormattedData!D30^2*$J$6+$M$5*$J$7</f>
        <v>29.576430352445417</v>
      </c>
      <c r="L18" s="6">
        <f>$J$3+[19]FormattedData!E30*$J$4+$M$4*$J$5+[19]FormattedData!E30^2*$J$6+$M$5*$J$7</f>
        <v>30.355505950419207</v>
      </c>
      <c r="M18" s="6">
        <f>$J$3+[19]FormattedData!F30*$J$4+$M$4*$J$5+[19]FormattedData!F30^2*$J$6+$M$5*$J$7</f>
        <v>29.673962742074902</v>
      </c>
      <c r="N18" s="6">
        <f>$J$3+[19]FormattedData!G30*$J$4+$M$4*$J$5+[19]FormattedData!G30^2*$J$6+$M$5*$J$7</f>
        <v>31.32554627947264</v>
      </c>
      <c r="O18" s="6">
        <f>$J$3+[19]FormattedData!H30*$J$4+$M$4*$J$5+[19]FormattedData!H30^2*$J$6+$M$5*$J$7</f>
        <v>30.841054471670063</v>
      </c>
      <c r="P18" s="6">
        <f>$J$3+[19]FormattedData!I30*$J$4+$M$4*$J$5+[19]FormattedData!I30^2*$J$6+$M$5*$J$7</f>
        <v>30.452700191745237</v>
      </c>
      <c r="Q18" s="6">
        <f>$J$3+[19]FormattedData!J30*$J$4+$M$4*$J$5+[19]FormattedData!J30^2*$J$6+$M$5*$J$7</f>
        <v>34.401270874953894</v>
      </c>
      <c r="R18" s="6">
        <f>$J$3+[19]FormattedData!K30*$J$4+$M$4*$J$5+[19]FormattedData!K30^2*$J$6+$M$5*$J$7</f>
        <v>30.549852164533345</v>
      </c>
      <c r="S18" s="6">
        <f>$J$3+[19]FormattedData!L30*$J$4+$M$4*$J$5+[19]FormattedData!L30^2*$J$6+$M$5*$J$7</f>
        <v>32.964914209408278</v>
      </c>
      <c r="T18" s="6">
        <f>$J$3+[19]FormattedData!M30*$J$4+$M$4*$J$5+[19]FormattedData!M30^2*$J$6+$M$5*$J$7</f>
        <v>30.452700191745237</v>
      </c>
      <c r="U18" s="6">
        <f>$J$3+[19]FormattedData!N30*$J$4+$M$4*$J$5+[19]FormattedData!N30^2*$J$6+$M$5*$J$7</f>
        <v>32.772681422190701</v>
      </c>
      <c r="V18" s="6">
        <f>$J$3+[19]FormattedData!O30*$J$4+$M$4*$J$5+[19]FormattedData!O30^2*$J$6+$M$5*$J$7</f>
        <v>29.673962742074902</v>
      </c>
      <c r="W18" s="5">
        <f t="shared" si="0"/>
        <v>31.086715132727818</v>
      </c>
      <c r="X18" s="4">
        <f t="shared" si="1"/>
        <v>0.43843143882008528</v>
      </c>
      <c r="Y18" s="3">
        <f t="shared" si="2"/>
        <v>29.576430352445417</v>
      </c>
      <c r="Z18" s="2">
        <f t="shared" si="3"/>
        <v>30.18512014833313</v>
      </c>
      <c r="AA18" s="3">
        <f t="shared" si="4"/>
        <v>30.501276178139292</v>
      </c>
      <c r="AB18" s="2">
        <f t="shared" si="5"/>
        <v>31.687330065152153</v>
      </c>
      <c r="AC18" s="2">
        <f t="shared" si="6"/>
        <v>34.401270874953894</v>
      </c>
      <c r="AD18" s="2">
        <f t="shared" si="7"/>
        <v>1.1737011510669939</v>
      </c>
      <c r="AE18" s="2">
        <f t="shared" si="8"/>
        <v>0.55977586669401891</v>
      </c>
    </row>
    <row r="19" spans="2:31" x14ac:dyDescent="0.2">
      <c r="B19" s="1">
        <f>[19]FormattedData!A32</f>
        <v>202</v>
      </c>
      <c r="C19" s="1" t="str">
        <f>VLOOKUP($B19,[19]TrtCodes!$B$11:I75,2)</f>
        <v>NTH</v>
      </c>
      <c r="D19" s="1">
        <f>VLOOKUP($B19,[19]TrtCodes!$B$11:J75,3)</f>
        <v>9</v>
      </c>
      <c r="E19" s="1">
        <f>VLOOKUP($B19,[19]TrtCodes!$B$11:K75,4)</f>
        <v>2</v>
      </c>
      <c r="F19" s="1">
        <f>VLOOKUP($B19,[19]TrtCodes!$B$11:L75,5)</f>
        <v>2</v>
      </c>
      <c r="G19" s="1">
        <f>VLOOKUP($B19,[19]TrtCodes!$B$11:M75,6)</f>
        <v>2</v>
      </c>
      <c r="H19" s="1">
        <f>VLOOKUP($B19,[19]TrtCodes!$B$11:N75,7)</f>
        <v>1</v>
      </c>
      <c r="I19" s="1">
        <f>[19]FormattedData!B32</f>
        <v>1</v>
      </c>
      <c r="J19" s="4">
        <f>[19]FormattedData!C32</f>
        <v>13.228</v>
      </c>
      <c r="K19" s="6">
        <f>$J$3+[19]FormattedData!D32*$J$4+$M$4*$J$5+[19]FormattedData!D32^2*$J$6+$M$5*$J$7</f>
        <v>39.307008855769332</v>
      </c>
      <c r="L19" s="6">
        <f>$J$3+[19]FormattedData!E32*$J$4+$M$4*$J$5+[19]FormattedData!E32^2*$J$6+$M$5*$J$7</f>
        <v>33.348872561388262</v>
      </c>
      <c r="M19" s="6">
        <f>$J$3+[19]FormattedData!F32*$J$4+$M$4*$J$5+[19]FormattedData!F32^2*$J$6+$M$5*$J$7</f>
        <v>32.676501625775018</v>
      </c>
      <c r="N19" s="6">
        <f>$J$3+[19]FormattedData!G32*$J$4+$M$4*$J$5+[19]FormattedData!G32^2*$J$6+$M$5*$J$7</f>
        <v>32.098535207984348</v>
      </c>
      <c r="O19" s="6">
        <f>$J$3+[19]FormattedData!H32*$J$4+$M$4*$J$5+[19]FormattedData!H32^2*$J$6+$M$5*$J$7</f>
        <v>35.353558418076247</v>
      </c>
      <c r="P19" s="6">
        <f>$J$3+[19]FormattedData!I32*$J$4+$M$4*$J$5+[19]FormattedData!I32^2*$J$6+$M$5*$J$7</f>
        <v>31.519047122828155</v>
      </c>
      <c r="Q19" s="6">
        <f>$J$3+[19]FormattedData!J32*$J$4+$M$4*$J$5+[19]FormattedData!J32^2*$J$6+$M$5*$J$7</f>
        <v>35.733289916263118</v>
      </c>
      <c r="R19" s="6">
        <f>$J$3+[19]FormattedData!K32*$J$4+$M$4*$J$5+[19]FormattedData!K32^2*$J$6+$M$5*$J$7</f>
        <v>31.905541587084002</v>
      </c>
      <c r="S19" s="6">
        <f>$J$3+[19]FormattedData!L32*$J$4+$M$4*$J$5+[19]FormattedData!L32^2*$J$6+$M$5*$J$7</f>
        <v>34.210306143874249</v>
      </c>
      <c r="T19" s="6">
        <f>$J$3+[19]FormattedData!M32*$J$4+$M$4*$J$5+[19]FormattedData!M32^2*$J$6+$M$5*$J$7</f>
        <v>32.194968615627616</v>
      </c>
      <c r="U19" s="6">
        <f>$J$3+[19]FormattedData!N32*$J$4+$M$4*$J$5+[19]FormattedData!N32^2*$J$6+$M$5*$J$7</f>
        <v>32.868818950068452</v>
      </c>
      <c r="V19" s="6">
        <f>$J$3+[19]FormattedData!O32*$J$4+$M$4*$J$5+[19]FormattedData!O32^2*$J$6+$M$5*$J$7</f>
        <v>31.422317835419356</v>
      </c>
      <c r="W19" s="5">
        <f t="shared" si="0"/>
        <v>33.553230570013177</v>
      </c>
      <c r="X19" s="4">
        <f t="shared" si="1"/>
        <v>0.66381000604589413</v>
      </c>
      <c r="Y19" s="3">
        <f t="shared" si="2"/>
        <v>31.422317835419356</v>
      </c>
      <c r="Z19" s="2">
        <f t="shared" si="3"/>
        <v>32.05028680275926</v>
      </c>
      <c r="AA19" s="3">
        <f t="shared" si="4"/>
        <v>32.772660287921738</v>
      </c>
      <c r="AB19" s="2">
        <f t="shared" si="5"/>
        <v>34.496119212424745</v>
      </c>
      <c r="AC19" s="2">
        <f t="shared" si="6"/>
        <v>39.307008855769332</v>
      </c>
      <c r="AD19" s="2">
        <f t="shared" si="7"/>
        <v>1.5953021212696876</v>
      </c>
      <c r="AE19" s="2">
        <f t="shared" si="8"/>
        <v>2.6342634033096441</v>
      </c>
    </row>
    <row r="20" spans="2:31" x14ac:dyDescent="0.2">
      <c r="B20" s="1">
        <f>[19]FormattedData!A34</f>
        <v>203</v>
      </c>
      <c r="C20" s="1" t="str">
        <f>VLOOKUP($B20,[19]TrtCodes!$B$11:I77,2)</f>
        <v>FTH</v>
      </c>
      <c r="D20" s="1">
        <f>VLOOKUP($B20,[19]TrtCodes!$B$11:J77,3)</f>
        <v>3</v>
      </c>
      <c r="E20" s="1">
        <f>VLOOKUP($B20,[19]TrtCodes!$B$11:K77,4)</f>
        <v>1</v>
      </c>
      <c r="F20" s="1">
        <f>VLOOKUP($B20,[19]TrtCodes!$B$11:L77,5)</f>
        <v>2</v>
      </c>
      <c r="G20" s="1">
        <f>VLOOKUP($B20,[19]TrtCodes!$B$11:M77,6)</f>
        <v>2</v>
      </c>
      <c r="H20" s="1">
        <f>VLOOKUP($B20,[19]TrtCodes!$B$11:N77,7)</f>
        <v>1</v>
      </c>
      <c r="I20" s="1">
        <f>[19]FormattedData!B34</f>
        <v>1</v>
      </c>
      <c r="J20" s="4">
        <f>[19]FormattedData!C34</f>
        <v>13.244999999999999</v>
      </c>
      <c r="K20" s="6">
        <f>$J$3+[19]FormattedData!D34*$J$4+$M$4*$J$5+[19]FormattedData!D34^2*$J$6+$M$5*$J$7</f>
        <v>30.160990662153345</v>
      </c>
      <c r="L20" s="6">
        <f>$J$3+[19]FormattedData!E34*$J$4+$M$4*$J$5+[19]FormattedData!E34^2*$J$6+$M$5*$J$7</f>
        <v>30.355505950419207</v>
      </c>
      <c r="M20" s="6">
        <f>$J$3+[19]FormattedData!F34*$J$4+$M$4*$J$5+[19]FormattedData!F34^2*$J$6+$M$5*$J$7</f>
        <v>30.355505950419207</v>
      </c>
      <c r="N20" s="6">
        <f>$J$3+[19]FormattedData!G34*$J$4+$M$4*$J$5+[19]FormattedData!G34^2*$J$6+$M$5*$J$7</f>
        <v>30.063669615213524</v>
      </c>
      <c r="O20" s="6">
        <f>$J$3+[19]FormattedData!H34*$J$4+$M$4*$J$5+[19]FormattedData!H34^2*$J$6+$M$5*$J$7</f>
        <v>28.990348375371969</v>
      </c>
      <c r="P20" s="6">
        <f>$J$3+[19]FormattedData!I34*$J$4+$M$4*$J$5+[19]FormattedData!I34^2*$J$6+$M$5*$J$7</f>
        <v>29.478855694278003</v>
      </c>
      <c r="Q20" s="6">
        <f>$J$3+[19]FormattedData!J34*$J$4+$M$4*$J$5+[19]FormattedData!J34^2*$J$6+$M$5*$J$7</f>
        <v>28.892520105976967</v>
      </c>
      <c r="R20" s="6">
        <f>$J$3+[19]FormattedData!K34*$J$4+$M$4*$J$5+[19]FormattedData!K34^2*$J$6+$M$5*$J$7</f>
        <v>31.905541587084002</v>
      </c>
      <c r="S20" s="6">
        <f>$J$3+[19]FormattedData!L34*$J$4+$M$4*$J$5+[19]FormattedData!L34^2*$J$6+$M$5*$J$7</f>
        <v>29.283579572329383</v>
      </c>
      <c r="T20" s="6">
        <f>$J$3+[19]FormattedData!M34*$J$4+$M$4*$J$5+[19]FormattedData!M34^2*$J$6+$M$5*$J$7</f>
        <v>29.381238767572661</v>
      </c>
      <c r="U20" s="6">
        <f>$J$3+[19]FormattedData!N34*$J$4+$M$4*$J$5+[19]FormattedData!N34^2*$J$6+$M$5*$J$7</f>
        <v>29.283579572329383</v>
      </c>
      <c r="V20" s="6">
        <f>$J$3+[19]FormattedData!O34*$J$4+$M$4*$J$5+[19]FormattedData!O34^2*$J$6+$M$5*$J$7</f>
        <v>29.771452863166449</v>
      </c>
      <c r="W20" s="5">
        <f t="shared" si="0"/>
        <v>29.826899059692838</v>
      </c>
      <c r="X20" s="4">
        <f t="shared" si="1"/>
        <v>0.23889546194644573</v>
      </c>
      <c r="Y20" s="3">
        <f t="shared" si="2"/>
        <v>28.892520105976967</v>
      </c>
      <c r="Z20" s="2">
        <f t="shared" si="3"/>
        <v>29.283579572329383</v>
      </c>
      <c r="AA20" s="3">
        <f t="shared" si="4"/>
        <v>29.625154278722228</v>
      </c>
      <c r="AB20" s="2">
        <f t="shared" si="5"/>
        <v>30.209619484219811</v>
      </c>
      <c r="AC20" s="2">
        <f t="shared" si="6"/>
        <v>31.905541587084002</v>
      </c>
      <c r="AD20" s="2">
        <f t="shared" si="7"/>
        <v>1.4387084366294973</v>
      </c>
      <c r="AE20" s="2">
        <f t="shared" si="8"/>
        <v>2.7938570178083051</v>
      </c>
    </row>
    <row r="21" spans="2:31" x14ac:dyDescent="0.2">
      <c r="B21" s="1">
        <f>[19]FormattedData!A36</f>
        <v>204</v>
      </c>
      <c r="C21" s="1" t="str">
        <f>VLOOKUP($B21,[19]TrtCodes!$B$11:I79,2)</f>
        <v>NDH</v>
      </c>
      <c r="D21" s="1">
        <f>VLOOKUP($B21,[19]TrtCodes!$B$11:J79,3)</f>
        <v>11</v>
      </c>
      <c r="E21" s="1">
        <f>VLOOKUP($B21,[19]TrtCodes!$B$11:K79,4)</f>
        <v>2</v>
      </c>
      <c r="F21" s="1">
        <f>VLOOKUP($B21,[19]TrtCodes!$B$11:L79,5)</f>
        <v>3</v>
      </c>
      <c r="G21" s="1">
        <f>VLOOKUP($B21,[19]TrtCodes!$B$11:M79,6)</f>
        <v>2</v>
      </c>
      <c r="H21" s="1">
        <f>VLOOKUP($B21,[19]TrtCodes!$B$11:N79,7)</f>
        <v>1</v>
      </c>
      <c r="I21" s="1">
        <f>[19]FormattedData!B36</f>
        <v>1</v>
      </c>
      <c r="J21" s="4">
        <f>[19]FormattedData!C36</f>
        <v>13.260999999999999</v>
      </c>
      <c r="K21" s="6">
        <f>$J$3+[19]FormattedData!D36*$J$4+$M$4*$J$5+[19]FormattedData!D36^2*$J$6+$M$5*$J$7</f>
        <v>30.063669615213524</v>
      </c>
      <c r="L21" s="6">
        <f>$J$3+[19]FormattedData!E36*$J$4+$M$4*$J$5+[19]FormattedData!E36^2*$J$6+$M$5*$J$7</f>
        <v>31.32554627947264</v>
      </c>
      <c r="M21" s="6">
        <f>$J$3+[19]FormattedData!F36*$J$4+$M$4*$J$5+[19]FormattedData!F36^2*$J$6+$M$5*$J$7</f>
        <v>31.1318763619654</v>
      </c>
      <c r="N21" s="6">
        <f>$J$3+[19]FormattedData!G36*$J$4+$M$4*$J$5+[19]FormattedData!G36^2*$J$6+$M$5*$J$7</f>
        <v>30.744029304495751</v>
      </c>
      <c r="O21" s="6">
        <f>$J$3+[19]FormattedData!H36*$J$4+$M$4*$J$5+[19]FormattedData!H36^2*$J$6+$M$5*$J$7</f>
        <v>31.034978000404887</v>
      </c>
      <c r="P21" s="6">
        <f>$J$3+[19]FormattedData!I36*$J$4+$M$4*$J$5+[19]FormattedData!I36^2*$J$6+$M$5*$J$7</f>
        <v>31.422317835419356</v>
      </c>
      <c r="Q21" s="6">
        <f>$J$3+[19]FormattedData!J36*$J$4+$M$4*$J$5+[19]FormattedData!J36^2*$J$6+$M$5*$J$7</f>
        <v>31.422317835419356</v>
      </c>
      <c r="R21" s="6">
        <f>$J$3+[19]FormattedData!K36*$J$4+$M$4*$J$5+[19]FormattedData!K36^2*$J$6+$M$5*$J$7</f>
        <v>32.098535207984348</v>
      </c>
      <c r="S21" s="6">
        <f>$J$3+[19]FormattedData!L36*$J$4+$M$4*$J$5+[19]FormattedData!L36^2*$J$6+$M$5*$J$7</f>
        <v>31.905541587084002</v>
      </c>
      <c r="T21" s="6">
        <f>$J$3+[19]FormattedData!M36*$J$4+$M$4*$J$5+[19]FormattedData!M36^2*$J$6+$M$5*$J$7</f>
        <v>32.484015227329849</v>
      </c>
      <c r="U21" s="6">
        <f>$J$3+[19]FormattedData!N36*$J$4+$M$4*$J$5+[19]FormattedData!N36^2*$J$6+$M$5*$J$7</f>
        <v>32.002059531803141</v>
      </c>
      <c r="V21" s="6">
        <f>$J$3+[19]FormattedData!O36*$J$4+$M$4*$J$5+[19]FormattedData!O36^2*$J$6+$M$5*$J$7</f>
        <v>31.808981373826938</v>
      </c>
      <c r="W21" s="5">
        <f t="shared" si="0"/>
        <v>31.453655680034931</v>
      </c>
      <c r="X21" s="4">
        <f t="shared" si="1"/>
        <v>0.19151616614851122</v>
      </c>
      <c r="Y21" s="3">
        <f t="shared" si="2"/>
        <v>30.063669615213524</v>
      </c>
      <c r="Z21" s="2">
        <f t="shared" si="3"/>
        <v>31.10765177157527</v>
      </c>
      <c r="AA21" s="3">
        <f t="shared" si="4"/>
        <v>31.422317835419356</v>
      </c>
      <c r="AB21" s="2">
        <f t="shared" si="5"/>
        <v>31.929671073263787</v>
      </c>
      <c r="AC21" s="2">
        <f t="shared" si="6"/>
        <v>32.484015227329849</v>
      </c>
      <c r="AD21" s="2">
        <f t="shared" si="7"/>
        <v>-0.55577056327865004</v>
      </c>
      <c r="AE21" s="2">
        <f t="shared" si="8"/>
        <v>0.42108147194529799</v>
      </c>
    </row>
    <row r="22" spans="2:31" x14ac:dyDescent="0.2">
      <c r="B22" s="1">
        <f>[19]FormattedData!A38</f>
        <v>205</v>
      </c>
      <c r="C22" s="1" t="str">
        <f>VLOOKUP($B22,[19]TrtCodes!$B$11:I81,2)</f>
        <v>FSH</v>
      </c>
      <c r="D22" s="1">
        <f>VLOOKUP($B22,[19]TrtCodes!$B$11:J81,3)</f>
        <v>1</v>
      </c>
      <c r="E22" s="1">
        <f>VLOOKUP($B22,[19]TrtCodes!$B$11:K81,4)</f>
        <v>1</v>
      </c>
      <c r="F22" s="1">
        <f>VLOOKUP($B22,[19]TrtCodes!$B$11:L81,5)</f>
        <v>1</v>
      </c>
      <c r="G22" s="1">
        <f>VLOOKUP($B22,[19]TrtCodes!$B$11:M81,6)</f>
        <v>2</v>
      </c>
      <c r="H22" s="1">
        <f>VLOOKUP($B22,[19]TrtCodes!$B$11:N81,7)</f>
        <v>2</v>
      </c>
      <c r="I22" s="1">
        <f>[19]FormattedData!B38</f>
        <v>1</v>
      </c>
      <c r="J22" s="4">
        <f>[19]FormattedData!C38</f>
        <v>13.278</v>
      </c>
      <c r="K22" s="6">
        <f>$J$3+[19]FormattedData!D38*$J$4+$M$4*$J$5+[19]FormattedData!D38^2*$J$6+$M$5*$J$7</f>
        <v>32.484015227329849</v>
      </c>
      <c r="L22" s="6">
        <f>$J$3+[19]FormattedData!E38*$J$4+$M$4*$J$5+[19]FormattedData!E38^2*$J$6+$M$5*$J$7</f>
        <v>31.422317835419356</v>
      </c>
      <c r="M22" s="6">
        <f>$J$3+[19]FormattedData!F38*$J$4+$M$4*$J$5+[19]FormattedData!F38^2*$J$6+$M$5*$J$7</f>
        <v>31.615734141699011</v>
      </c>
      <c r="N22" s="6">
        <f>$J$3+[19]FormattedData!G38*$J$4+$M$4*$J$5+[19]FormattedData!G38^2*$J$6+$M$5*$J$7</f>
        <v>31.228732454987981</v>
      </c>
      <c r="O22" s="6">
        <f>$J$3+[19]FormattedData!H38*$J$4+$M$4*$J$5+[19]FormattedData!H38^2*$J$6+$M$5*$J$7</f>
        <v>31.615734141699011</v>
      </c>
      <c r="P22" s="6">
        <f>$J$3+[19]FormattedData!I38*$J$4+$M$4*$J$5+[19]FormattedData!I38^2*$J$6+$M$5*$J$7</f>
        <v>30.938037370306439</v>
      </c>
      <c r="Q22" s="6">
        <f>$J$3+[19]FormattedData!J38*$J$4+$M$4*$J$5+[19]FormattedData!J38^2*$J$6+$M$5*$J$7</f>
        <v>31.1318763619654</v>
      </c>
      <c r="R22" s="6">
        <f>$J$3+[19]FormattedData!K38*$J$4+$M$4*$J$5+[19]FormattedData!K38^2*$J$6+$M$5*$J$7</f>
        <v>32.291359754732959</v>
      </c>
      <c r="S22" s="6">
        <f>$J$3+[19]FormattedData!L38*$J$4+$M$4*$J$5+[19]FormattedData!L38^2*$J$6+$M$5*$J$7</f>
        <v>31.519047122828155</v>
      </c>
      <c r="T22" s="6">
        <f>$J$3+[19]FormattedData!M38*$J$4+$M$4*$J$5+[19]FormattedData!M38^2*$J$6+$M$5*$J$7</f>
        <v>30.452700191745237</v>
      </c>
      <c r="U22" s="6">
        <f>$J$3+[19]FormattedData!N38*$J$4+$M$4*$J$5+[19]FormattedData!N38^2*$J$6+$M$5*$J$7</f>
        <v>30.355505950419207</v>
      </c>
      <c r="V22" s="6">
        <f>$J$3+[19]FormattedData!O38*$J$4+$M$4*$J$5+[19]FormattedData!O38^2*$J$6+$M$5*$J$7</f>
        <v>30.355505950419207</v>
      </c>
      <c r="W22" s="5">
        <f t="shared" si="0"/>
        <v>31.284213875295986</v>
      </c>
      <c r="X22" s="4">
        <f t="shared" si="1"/>
        <v>0.20057553067612494</v>
      </c>
      <c r="Y22" s="3">
        <f t="shared" si="2"/>
        <v>30.355505950419207</v>
      </c>
      <c r="Z22" s="2">
        <f t="shared" si="3"/>
        <v>30.81670307566614</v>
      </c>
      <c r="AA22" s="3">
        <f t="shared" si="4"/>
        <v>31.32552514520367</v>
      </c>
      <c r="AB22" s="2">
        <f t="shared" si="5"/>
        <v>31.615734141699011</v>
      </c>
      <c r="AC22" s="2">
        <f t="shared" si="6"/>
        <v>32.484015227329849</v>
      </c>
      <c r="AD22" s="2">
        <f t="shared" si="7"/>
        <v>0.20003204460919863</v>
      </c>
      <c r="AE22" s="2">
        <f t="shared" si="8"/>
        <v>-0.57879892353831064</v>
      </c>
    </row>
    <row r="23" spans="2:31" x14ac:dyDescent="0.2">
      <c r="B23" s="1">
        <f>[19]FormattedData!A40</f>
        <v>206</v>
      </c>
      <c r="C23" s="1" t="str">
        <f>VLOOKUP($B23,[19]TrtCodes!$B$11:I83,2)</f>
        <v>NSL</v>
      </c>
      <c r="D23" s="1">
        <f>VLOOKUP($B23,[19]TrtCodes!$B$11:J83,3)</f>
        <v>8</v>
      </c>
      <c r="E23" s="1">
        <f>VLOOKUP($B23,[19]TrtCodes!$B$11:K83,4)</f>
        <v>2</v>
      </c>
      <c r="F23" s="1">
        <f>VLOOKUP($B23,[19]TrtCodes!$B$11:L83,5)</f>
        <v>1</v>
      </c>
      <c r="G23" s="1">
        <f>VLOOKUP($B23,[19]TrtCodes!$B$11:M83,6)</f>
        <v>1</v>
      </c>
      <c r="H23" s="1">
        <f>VLOOKUP($B23,[19]TrtCodes!$B$11:N83,7)</f>
        <v>2</v>
      </c>
      <c r="I23" s="1">
        <f>[19]FormattedData!B40</f>
        <v>1</v>
      </c>
      <c r="J23" s="4">
        <f>[19]FormattedData!C40</f>
        <v>13.294</v>
      </c>
      <c r="K23" s="6">
        <f>$J$3+[19]FormattedData!D40*$J$4+$M$4*$J$5+[19]FormattedData!D40^2*$J$6+$M$5*$J$7</f>
        <v>40.051593326791313</v>
      </c>
      <c r="L23" s="6">
        <f>$J$3+[19]FormattedData!E40*$J$4+$M$4*$J$5+[19]FormattedData!E40^2*$J$6+$M$5*$J$7</f>
        <v>38.746795223909743</v>
      </c>
      <c r="M23" s="6">
        <f>$J$3+[19]FormattedData!F40*$J$4+$M$4*$J$5+[19]FormattedData!F40^2*$J$6+$M$5*$J$7</f>
        <v>33.636397505724972</v>
      </c>
      <c r="N23" s="6">
        <f>$J$3+[19]FormattedData!G40*$J$4+$M$4*$J$5+[19]FormattedData!G40^2*$J$6+$M$5*$J$7</f>
        <v>39.679639239583771</v>
      </c>
      <c r="O23" s="6">
        <f>$J$3+[19]FormattedData!H40*$J$4+$M$4*$J$5+[19]FormattedData!H40^2*$J$6+$M$5*$J$7</f>
        <v>34.114760375527538</v>
      </c>
      <c r="P23" s="6">
        <f>$J$3+[19]FormattedData!I40*$J$4+$M$4*$J$5+[19]FormattedData!I40^2*$J$6+$M$5*$J$7</f>
        <v>40.422871117391956</v>
      </c>
      <c r="Q23" s="6">
        <f>$J$3+[19]FormattedData!J40*$J$4+$M$4*$J$5+[19]FormattedData!J40^2*$J$6+$M$5*$J$7</f>
        <v>34.496689837686823</v>
      </c>
      <c r="R23" s="6">
        <f>$J$3+[19]FormattedData!K40*$J$4+$M$4*$J$5+[19]FormattedData!K40^2*$J$6+$M$5*$J$7</f>
        <v>38.466117782717873</v>
      </c>
      <c r="S23" s="6">
        <f>$J$3+[19]FormattedData!L40*$J$4+$M$4*$J$5+[19]FormattedData!L40^2*$J$6+$M$5*$J$7</f>
        <v>32.964914209408278</v>
      </c>
      <c r="T23" s="6">
        <f>$J$3+[19]FormattedData!M40*$J$4+$M$4*$J$5+[19]FormattedData!M40^2*$J$6+$M$5*$J$7</f>
        <v>35.44855469542987</v>
      </c>
      <c r="U23" s="6">
        <f>$J$3+[19]FormattedData!N40*$J$4+$M$4*$J$5+[19]FormattedData!N40^2*$J$6+$M$5*$J$7</f>
        <v>36.301619107405493</v>
      </c>
      <c r="V23" s="6">
        <f>$J$3+[19]FormattedData!O40*$J$4+$M$4*$J$5+[19]FormattedData!O40^2*$J$6+$M$5*$J$7</f>
        <v>34.305809643683041</v>
      </c>
      <c r="W23" s="5">
        <f t="shared" si="0"/>
        <v>36.552980172105059</v>
      </c>
      <c r="X23" s="4">
        <f t="shared" si="1"/>
        <v>0.79464065529356565</v>
      </c>
      <c r="Y23" s="3">
        <f t="shared" si="2"/>
        <v>32.964914209408278</v>
      </c>
      <c r="Z23" s="2">
        <f t="shared" si="3"/>
        <v>34.258047326644167</v>
      </c>
      <c r="AA23" s="3">
        <f t="shared" si="4"/>
        <v>35.875086901417681</v>
      </c>
      <c r="AB23" s="2">
        <f t="shared" si="5"/>
        <v>38.980006227828248</v>
      </c>
      <c r="AC23" s="2">
        <f t="shared" si="6"/>
        <v>40.422871117391956</v>
      </c>
      <c r="AD23" s="2">
        <f t="shared" si="7"/>
        <v>0.21967681778220127</v>
      </c>
      <c r="AE23" s="2">
        <f t="shared" si="8"/>
        <v>-1.7704439883282697</v>
      </c>
    </row>
    <row r="24" spans="2:31" x14ac:dyDescent="0.2">
      <c r="B24" s="1">
        <f>[19]FormattedData!A42</f>
        <v>207</v>
      </c>
      <c r="C24" s="1" t="str">
        <f>VLOOKUP($B24,[19]TrtCodes!$B$11:I85,2)</f>
        <v>FTL</v>
      </c>
      <c r="D24" s="1">
        <f>VLOOKUP($B24,[19]TrtCodes!$B$11:J85,3)</f>
        <v>4</v>
      </c>
      <c r="E24" s="1">
        <f>VLOOKUP($B24,[19]TrtCodes!$B$11:K85,4)</f>
        <v>1</v>
      </c>
      <c r="F24" s="1">
        <f>VLOOKUP($B24,[19]TrtCodes!$B$11:L85,5)</f>
        <v>2</v>
      </c>
      <c r="G24" s="1">
        <f>VLOOKUP($B24,[19]TrtCodes!$B$11:M85,6)</f>
        <v>1</v>
      </c>
      <c r="H24" s="1">
        <f>VLOOKUP($B24,[19]TrtCodes!$B$11:N85,7)</f>
        <v>2</v>
      </c>
      <c r="I24" s="1">
        <f>[19]FormattedData!B42</f>
        <v>1</v>
      </c>
      <c r="J24" s="4">
        <f>[19]FormattedData!C42</f>
        <v>13.314</v>
      </c>
      <c r="K24" s="6">
        <f>$J$3+[19]FormattedData!D42*$J$4+$M$4*$J$5+[19]FormattedData!D42^2*$J$6+$M$5*$J$7</f>
        <v>34.210306143874249</v>
      </c>
      <c r="L24" s="6">
        <f>$J$3+[19]FormattedData!E42*$J$4+$M$4*$J$5+[19]FormattedData!E42^2*$J$6+$M$5*$J$7</f>
        <v>34.114760375527538</v>
      </c>
      <c r="M24" s="6">
        <f>$J$3+[19]FormattedData!F42*$J$4+$M$4*$J$5+[19]FormattedData!F42^2*$J$6+$M$5*$J$7</f>
        <v>31.615734141699011</v>
      </c>
      <c r="N24" s="6">
        <f>$J$3+[19]FormattedData!G42*$J$4+$M$4*$J$5+[19]FormattedData!G42^2*$J$6+$M$5*$J$7</f>
        <v>33.444756478038428</v>
      </c>
      <c r="O24" s="6">
        <f>$J$3+[19]FormattedData!H42*$J$4+$M$4*$J$5+[19]FormattedData!H42^2*$J$6+$M$5*$J$7</f>
        <v>30.938037370306439</v>
      </c>
      <c r="P24" s="6">
        <f>$J$3+[19]FormattedData!I42*$J$4+$M$4*$J$5+[19]FormattedData!I42^2*$J$6+$M$5*$J$7</f>
        <v>32.772681422190701</v>
      </c>
      <c r="Q24" s="6">
        <f>$J$3+[19]FormattedData!J42*$J$4+$M$4*$J$5+[19]FormattedData!J42^2*$J$6+$M$5*$J$7</f>
        <v>31.228732454987981</v>
      </c>
      <c r="R24" s="6">
        <f>$J$3+[19]FormattedData!K42*$J$4+$M$4*$J$5+[19]FormattedData!K42^2*$J$6+$M$5*$J$7</f>
        <v>31.615734141699011</v>
      </c>
      <c r="S24" s="6">
        <f>$J$3+[19]FormattedData!L42*$J$4+$M$4*$J$5+[19]FormattedData!L42^2*$J$6+$M$5*$J$7</f>
        <v>30.646961868783514</v>
      </c>
      <c r="T24" s="6">
        <f>$J$3+[19]FormattedData!M42*$J$4+$M$4*$J$5+[19]FormattedData!M42^2*$J$6+$M$5*$J$7</f>
        <v>31.1318763619654</v>
      </c>
      <c r="U24" s="6">
        <f>$J$3+[19]FormattedData!N42*$J$4+$M$4*$J$5+[19]FormattedData!N42^2*$J$6+$M$5*$J$7</f>
        <v>30.258269440555239</v>
      </c>
      <c r="V24" s="6">
        <f>$J$3+[19]FormattedData!O42*$J$4+$M$4*$J$5+[19]FormattedData!O42^2*$J$6+$M$5*$J$7</f>
        <v>30.549852164533345</v>
      </c>
      <c r="W24" s="5">
        <f t="shared" si="0"/>
        <v>31.877308530346735</v>
      </c>
      <c r="X24" s="4">
        <f t="shared" si="1"/>
        <v>0.4045220512239861</v>
      </c>
      <c r="Y24" s="3">
        <f t="shared" si="2"/>
        <v>30.258269440555239</v>
      </c>
      <c r="Z24" s="2">
        <f t="shared" si="3"/>
        <v>30.865268494925708</v>
      </c>
      <c r="AA24" s="3">
        <f t="shared" si="4"/>
        <v>31.422233298343496</v>
      </c>
      <c r="AB24" s="2">
        <f t="shared" si="5"/>
        <v>32.940700186152633</v>
      </c>
      <c r="AC24" s="2">
        <f t="shared" si="6"/>
        <v>34.210306143874249</v>
      </c>
      <c r="AD24" s="2">
        <f t="shared" si="7"/>
        <v>0.7322911399514328</v>
      </c>
      <c r="AE24" s="2">
        <f t="shared" si="8"/>
        <v>-0.97221043156976572</v>
      </c>
    </row>
    <row r="25" spans="2:31" x14ac:dyDescent="0.2">
      <c r="B25" s="1">
        <f>[19]FormattedData!A44</f>
        <v>208</v>
      </c>
      <c r="C25" s="1" t="str">
        <f>VLOOKUP($B25,[19]TrtCodes!$B$11:I87,2)</f>
        <v>FSL</v>
      </c>
      <c r="D25" s="1">
        <f>VLOOKUP($B25,[19]TrtCodes!$B$11:J87,3)</f>
        <v>2</v>
      </c>
      <c r="E25" s="1">
        <f>VLOOKUP($B25,[19]TrtCodes!$B$11:K87,4)</f>
        <v>1</v>
      </c>
      <c r="F25" s="1">
        <f>VLOOKUP($B25,[19]TrtCodes!$B$11:L87,5)</f>
        <v>1</v>
      </c>
      <c r="G25" s="1">
        <f>VLOOKUP($B25,[19]TrtCodes!$B$11:M87,6)</f>
        <v>1</v>
      </c>
      <c r="H25" s="1">
        <f>VLOOKUP($B25,[19]TrtCodes!$B$11:N87,7)</f>
        <v>2</v>
      </c>
      <c r="I25" s="1">
        <f>[19]FormattedData!B44</f>
        <v>1</v>
      </c>
      <c r="J25" s="4">
        <f>[19]FormattedData!C44</f>
        <v>13.331</v>
      </c>
      <c r="K25" s="6">
        <f>$J$3+[19]FormattedData!D44*$J$4+$M$4*$J$5+[19]FormattedData!D44^2*$J$6+$M$5*$J$7</f>
        <v>34.687400957538877</v>
      </c>
      <c r="L25" s="6">
        <f>$J$3+[19]FormattedData!E44*$J$4+$M$4*$J$5+[19]FormattedData!E44^2*$J$6+$M$5*$J$7</f>
        <v>32.964914209408278</v>
      </c>
      <c r="M25" s="6">
        <f>$J$3+[19]FormattedData!F44*$J$4+$M$4*$J$5+[19]FormattedData!F44^2*$J$6+$M$5*$J$7</f>
        <v>31.034978000404887</v>
      </c>
      <c r="N25" s="6">
        <f>$J$3+[19]FormattedData!G44*$J$4+$M$4*$J$5+[19]FormattedData!G44^2*$J$6+$M$5*$J$7</f>
        <v>32.676501625775018</v>
      </c>
      <c r="O25" s="6">
        <f>$J$3+[19]FormattedData!H44*$J$4+$M$4*$J$5+[19]FormattedData!H44^2*$J$6+$M$5*$J$7</f>
        <v>32.580279560821403</v>
      </c>
      <c r="P25" s="6">
        <f>$J$3+[19]FormattedData!I44*$J$4+$M$4*$J$5+[19]FormattedData!I44^2*$J$6+$M$5*$J$7</f>
        <v>35.543508704245554</v>
      </c>
      <c r="Q25" s="6">
        <f>$J$3+[19]FormattedData!J44*$J$4+$M$4*$J$5+[19]FormattedData!J44^2*$J$6+$M$5*$J$7</f>
        <v>32.098535207984348</v>
      </c>
      <c r="R25" s="6">
        <f>$J$3+[19]FormattedData!K44*$J$4+$M$4*$J$5+[19]FormattedData!K44^2*$J$6+$M$5*$J$7</f>
        <v>34.496689837686823</v>
      </c>
      <c r="S25" s="6">
        <f>$J$3+[19]FormattedData!L44*$J$4+$M$4*$J$5+[19]FormattedData!L44^2*$J$6+$M$5*$J$7</f>
        <v>32.002059531803141</v>
      </c>
      <c r="T25" s="6">
        <f>$J$3+[19]FormattedData!M44*$J$4+$M$4*$J$5+[19]FormattedData!M44^2*$J$6+$M$5*$J$7</f>
        <v>34.687400957538877</v>
      </c>
      <c r="U25" s="6">
        <f>$J$3+[19]FormattedData!N44*$J$4+$M$4*$J$5+[19]FormattedData!N44^2*$J$6+$M$5*$J$7</f>
        <v>33.156977922474134</v>
      </c>
      <c r="V25" s="6">
        <f>$J$3+[19]FormattedData!O44*$J$4+$M$4*$J$5+[19]FormattedData!O44^2*$J$6+$M$5*$J$7</f>
        <v>32.291359754732959</v>
      </c>
      <c r="W25" s="5">
        <f t="shared" si="0"/>
        <v>33.185050522534524</v>
      </c>
      <c r="X25" s="4">
        <f t="shared" si="1"/>
        <v>0.3938151827969143</v>
      </c>
      <c r="Y25" s="3">
        <f t="shared" si="2"/>
        <v>31.034978000404887</v>
      </c>
      <c r="Z25" s="2">
        <f t="shared" si="3"/>
        <v>32.24315361804581</v>
      </c>
      <c r="AA25" s="3">
        <f t="shared" si="4"/>
        <v>32.820707917591648</v>
      </c>
      <c r="AB25" s="2">
        <f t="shared" si="5"/>
        <v>34.54436761764984</v>
      </c>
      <c r="AC25" s="2">
        <f t="shared" si="6"/>
        <v>35.543508704245554</v>
      </c>
      <c r="AD25" s="2">
        <f t="shared" si="7"/>
        <v>0.35242160247098753</v>
      </c>
      <c r="AE25" s="2">
        <f t="shared" si="8"/>
        <v>-0.8645974752704304</v>
      </c>
    </row>
    <row r="26" spans="2:31" x14ac:dyDescent="0.2">
      <c r="B26" s="1">
        <f>[19]FormattedData!A62</f>
        <v>301</v>
      </c>
      <c r="C26" s="1" t="str">
        <f>VLOOKUP($B26,[19]TrtCodes!$B$11:I105,2)</f>
        <v>NTL</v>
      </c>
      <c r="D26" s="1">
        <f>VLOOKUP($B26,[19]TrtCodes!$B$11:J105,3)</f>
        <v>10</v>
      </c>
      <c r="E26" s="1">
        <f>VLOOKUP($B26,[19]TrtCodes!$B$11:K105,4)</f>
        <v>2</v>
      </c>
      <c r="F26" s="1">
        <f>VLOOKUP($B26,[19]TrtCodes!$B$11:L105,5)</f>
        <v>2</v>
      </c>
      <c r="G26" s="1">
        <f>VLOOKUP($B26,[19]TrtCodes!$B$11:M105,6)</f>
        <v>1</v>
      </c>
      <c r="H26" s="1">
        <f>VLOOKUP($B26,[19]TrtCodes!$B$11:N105,7)</f>
        <v>3</v>
      </c>
      <c r="I26" s="1">
        <f>[19]FormattedData!B62</f>
        <v>1</v>
      </c>
      <c r="J26" s="4">
        <f>[19]FormattedData!C62</f>
        <v>13.455</v>
      </c>
      <c r="K26" s="6">
        <f>$J$3+[19]FormattedData!D62*$J$4+$M$4*$J$5+[19]FormattedData!D62^2*$J$6+$M$5*$J$7</f>
        <v>30.744029304495751</v>
      </c>
      <c r="L26" s="6">
        <f>$J$3+[19]FormattedData!E62*$J$4+$M$4*$J$5+[19]FormattedData!E62^2*$J$6+$M$5*$J$7</f>
        <v>30.452700191745237</v>
      </c>
      <c r="M26" s="6">
        <f>$J$3+[19]FormattedData!F62*$J$4+$M$4*$J$5+[19]FormattedData!F62^2*$J$6+$M$5*$J$7</f>
        <v>30.549852164533345</v>
      </c>
      <c r="N26" s="6">
        <f>$J$3+[19]FormattedData!G62*$J$4+$M$4*$J$5+[19]FormattedData!G62^2*$J$6+$M$5*$J$7</f>
        <v>30.549852164533345</v>
      </c>
      <c r="O26" s="6">
        <f>$J$3+[19]FormattedData!H62*$J$4+$M$4*$J$5+[19]FormattedData!H62^2*$J$6+$M$5*$J$7</f>
        <v>30.452700191745237</v>
      </c>
      <c r="P26" s="6">
        <f>$J$3+[19]FormattedData!I62*$J$4+$M$4*$J$5+[19]FormattedData!I62^2*$J$6+$M$5*$J$7</f>
        <v>31.422317835419356</v>
      </c>
      <c r="Q26" s="6">
        <f>$J$3+[19]FormattedData!J62*$J$4+$M$4*$J$5+[19]FormattedData!J62^2*$J$6+$M$5*$J$7</f>
        <v>30.549852164533345</v>
      </c>
      <c r="R26" s="6">
        <f>$J$3+[19]FormattedData!K62*$J$4+$M$4*$J$5+[19]FormattedData!K62^2*$J$6+$M$5*$J$7</f>
        <v>31.32554627947264</v>
      </c>
      <c r="S26" s="6">
        <f>$J$3+[19]FormattedData!L62*$J$4+$M$4*$J$5+[19]FormattedData!L62^2*$J$6+$M$5*$J$7</f>
        <v>30.063669615213524</v>
      </c>
      <c r="T26" s="6">
        <f>$J$3+[19]FormattedData!M62*$J$4+$M$4*$J$5+[19]FormattedData!M62^2*$J$6+$M$5*$J$7</f>
        <v>30.841054471670063</v>
      </c>
      <c r="U26" s="6">
        <f>$J$3+[19]FormattedData!N62*$J$4+$M$4*$J$5+[19]FormattedData!N62^2*$J$6+$M$5*$J$7</f>
        <v>30.841054471670063</v>
      </c>
      <c r="V26" s="6">
        <f>$J$3+[19]FormattedData!O62*$J$4+$M$4*$J$5+[19]FormattedData!O62^2*$J$6+$M$5*$J$7</f>
        <v>30.355505950419207</v>
      </c>
      <c r="W26" s="5">
        <f t="shared" si="0"/>
        <v>30.679011233787602</v>
      </c>
      <c r="X26" s="4">
        <f t="shared" si="1"/>
        <v>0.11224419360236911</v>
      </c>
      <c r="Y26" s="3">
        <f t="shared" si="2"/>
        <v>30.063669615213524</v>
      </c>
      <c r="Z26" s="2">
        <f t="shared" si="3"/>
        <v>30.452700191745237</v>
      </c>
      <c r="AA26" s="3">
        <f t="shared" si="4"/>
        <v>30.549852164533345</v>
      </c>
      <c r="AB26" s="2">
        <f t="shared" si="5"/>
        <v>30.841054471670063</v>
      </c>
      <c r="AC26" s="2">
        <f t="shared" si="6"/>
        <v>31.422317835419356</v>
      </c>
      <c r="AD26" s="2">
        <f t="shared" si="7"/>
        <v>0.72973303892015751</v>
      </c>
      <c r="AE26" s="2">
        <f t="shared" si="8"/>
        <v>0.39120140357777267</v>
      </c>
    </row>
    <row r="27" spans="2:31" x14ac:dyDescent="0.2">
      <c r="B27" s="1">
        <f>[19]FormattedData!A64</f>
        <v>302</v>
      </c>
      <c r="C27" s="1" t="str">
        <f>VLOOKUP($B27,[19]TrtCodes!$B$11:I107,2)</f>
        <v>FTL</v>
      </c>
      <c r="D27" s="1">
        <f>VLOOKUP($B27,[19]TrtCodes!$B$11:J107,3)</f>
        <v>4</v>
      </c>
      <c r="E27" s="1">
        <f>VLOOKUP($B27,[19]TrtCodes!$B$11:K107,4)</f>
        <v>1</v>
      </c>
      <c r="F27" s="1">
        <f>VLOOKUP($B27,[19]TrtCodes!$B$11:L107,5)</f>
        <v>2</v>
      </c>
      <c r="G27" s="1">
        <f>VLOOKUP($B27,[19]TrtCodes!$B$11:M107,6)</f>
        <v>1</v>
      </c>
      <c r="H27" s="1">
        <f>VLOOKUP($B27,[19]TrtCodes!$B$11:N107,7)</f>
        <v>3</v>
      </c>
      <c r="I27" s="1">
        <f>[19]FormattedData!B64</f>
        <v>1</v>
      </c>
      <c r="J27" s="4">
        <f>[19]FormattedData!C64</f>
        <v>13.472</v>
      </c>
      <c r="K27" s="6">
        <f>$J$3+[19]FormattedData!D64*$J$4+$M$4*$J$5+[19]FormattedData!D64^2*$J$6+$M$5*$J$7</f>
        <v>32.580279560821403</v>
      </c>
      <c r="L27" s="6">
        <f>$J$3+[19]FormattedData!E64*$J$4+$M$4*$J$5+[19]FormattedData!E64^2*$J$6+$M$5*$J$7</f>
        <v>31.615734141699011</v>
      </c>
      <c r="M27" s="6">
        <f>$J$3+[19]FormattedData!F64*$J$4+$M$4*$J$5+[19]FormattedData!F64^2*$J$6+$M$5*$J$7</f>
        <v>30.841054471670063</v>
      </c>
      <c r="N27" s="6">
        <f>$J$3+[19]FormattedData!G64*$J$4+$M$4*$J$5+[19]FormattedData!G64^2*$J$6+$M$5*$J$7</f>
        <v>33.444756478038428</v>
      </c>
      <c r="O27" s="6">
        <f>$J$3+[19]FormattedData!H64*$J$4+$M$4*$J$5+[19]FormattedData!H64^2*$J$6+$M$5*$J$7</f>
        <v>30.355505950419207</v>
      </c>
      <c r="P27" s="6">
        <f>$J$3+[19]FormattedData!I64*$J$4+$M$4*$J$5+[19]FormattedData!I64^2*$J$6+$M$5*$J$7</f>
        <v>31.228732454987981</v>
      </c>
      <c r="Q27" s="6">
        <f>$J$3+[19]FormattedData!J64*$J$4+$M$4*$J$5+[19]FormattedData!J64^2*$J$6+$M$5*$J$7</f>
        <v>29.673962742074902</v>
      </c>
      <c r="R27" s="6">
        <f>$J$3+[19]FormattedData!K64*$J$4+$M$4*$J$5+[19]FormattedData!K64^2*$J$6+$M$5*$J$7</f>
        <v>32.098535207984348</v>
      </c>
      <c r="S27" s="6">
        <f>$J$3+[19]FormattedData!L64*$J$4+$M$4*$J$5+[19]FormattedData!L64^2*$J$6+$M$5*$J$7</f>
        <v>30.938037370306439</v>
      </c>
      <c r="T27" s="6">
        <f>$J$3+[19]FormattedData!M64*$J$4+$M$4*$J$5+[19]FormattedData!M64^2*$J$6+$M$5*$J$7</f>
        <v>30.452700191745237</v>
      </c>
      <c r="U27" s="6">
        <f>$J$3+[19]FormattedData!N64*$J$4+$M$4*$J$5+[19]FormattedData!N64^2*$J$6+$M$5*$J$7</f>
        <v>29.771452863166449</v>
      </c>
      <c r="V27" s="6">
        <f>$J$3+[19]FormattedData!O64*$J$4+$M$4*$J$5+[19]FormattedData!O64^2*$J$6+$M$5*$J$7</f>
        <v>30.646961868783514</v>
      </c>
      <c r="W27" s="5">
        <f t="shared" si="0"/>
        <v>31.137309441808085</v>
      </c>
      <c r="X27" s="4">
        <f t="shared" si="1"/>
        <v>0.32593047819514936</v>
      </c>
      <c r="Y27" s="3">
        <f t="shared" si="2"/>
        <v>29.673962742074902</v>
      </c>
      <c r="Z27" s="2">
        <f t="shared" si="3"/>
        <v>30.428401631413728</v>
      </c>
      <c r="AA27" s="3">
        <f t="shared" si="4"/>
        <v>30.889545920988251</v>
      </c>
      <c r="AB27" s="2">
        <f t="shared" si="5"/>
        <v>31.736434408270345</v>
      </c>
      <c r="AC27" s="2">
        <f t="shared" si="6"/>
        <v>33.444756478038428</v>
      </c>
      <c r="AD27" s="2">
        <f t="shared" si="7"/>
        <v>0.73189766629903319</v>
      </c>
      <c r="AE27" s="2">
        <f t="shared" si="8"/>
        <v>6.9956213843743953E-2</v>
      </c>
    </row>
    <row r="28" spans="2:31" x14ac:dyDescent="0.2">
      <c r="B28" s="1">
        <f>[19]FormattedData!A66</f>
        <v>303</v>
      </c>
      <c r="C28" s="1" t="str">
        <f>VLOOKUP($B28,[19]TrtCodes!$B$11:I109,2)</f>
        <v>NSL</v>
      </c>
      <c r="D28" s="1">
        <f>VLOOKUP($B28,[19]TrtCodes!$B$11:J109,3)</f>
        <v>8</v>
      </c>
      <c r="E28" s="1">
        <f>VLOOKUP($B28,[19]TrtCodes!$B$11:K109,4)</f>
        <v>2</v>
      </c>
      <c r="F28" s="1">
        <f>VLOOKUP($B28,[19]TrtCodes!$B$11:L109,5)</f>
        <v>1</v>
      </c>
      <c r="G28" s="1">
        <f>VLOOKUP($B28,[19]TrtCodes!$B$11:M109,6)</f>
        <v>1</v>
      </c>
      <c r="H28" s="1">
        <f>VLOOKUP($B28,[19]TrtCodes!$B$11:N109,7)</f>
        <v>3</v>
      </c>
      <c r="I28" s="1">
        <f>[19]FormattedData!B66</f>
        <v>1</v>
      </c>
      <c r="J28" s="4">
        <f>[19]FormattedData!C66</f>
        <v>13.489000000000001</v>
      </c>
      <c r="K28" s="6">
        <f>$J$3+[19]FormattedData!D66*$J$4+$M$4*$J$5+[19]FormattedData!D66^2*$J$6+$M$5*$J$7</f>
        <v>36.490724022816167</v>
      </c>
      <c r="L28" s="6">
        <f>$J$3+[19]FormattedData!E66*$J$4+$M$4*$J$5+[19]FormattedData!E66^2*$J$6+$M$5*$J$7</f>
        <v>35.068315974787829</v>
      </c>
      <c r="M28" s="6">
        <f>$J$3+[19]FormattedData!F66*$J$4+$M$4*$J$5+[19]FormattedData!F66^2*$J$6+$M$5*$J$7</f>
        <v>34.401270874953894</v>
      </c>
      <c r="N28" s="6">
        <f>$J$3+[19]FormattedData!G66*$J$4+$M$4*$J$5+[19]FormattedData!G66^2*$J$6+$M$5*$J$7</f>
        <v>33.156977922474134</v>
      </c>
      <c r="O28" s="6">
        <f>$J$3+[19]FormattedData!H66*$J$4+$M$4*$J$5+[19]FormattedData!H66^2*$J$6+$M$5*$J$7</f>
        <v>36.585213077714599</v>
      </c>
      <c r="P28" s="6">
        <f>$J$3+[19]FormattedData!I66*$J$4+$M$4*$J$5+[19]FormattedData!I66^2*$J$6+$M$5*$J$7</f>
        <v>33.636397505724972</v>
      </c>
      <c r="Q28" s="6">
        <f>$J$3+[19]FormattedData!J66*$J$4+$M$4*$J$5+[19]FormattedData!J66^2*$J$6+$M$5*$J$7</f>
        <v>31.808981373826938</v>
      </c>
      <c r="R28" s="6">
        <f>$J$3+[19]FormattedData!K66*$J$4+$M$4*$J$5+[19]FormattedData!K66^2*$J$6+$M$5*$J$7</f>
        <v>34.114760375527538</v>
      </c>
      <c r="S28" s="6">
        <f>$J$3+[19]FormattedData!L66*$J$4+$M$4*$J$5+[19]FormattedData!L66^2*$J$6+$M$5*$J$7</f>
        <v>29.966306299735759</v>
      </c>
      <c r="T28" s="6">
        <f>$J$3+[19]FormattedData!M66*$J$4+$M$4*$J$5+[19]FormattedData!M66^2*$J$6+$M$5*$J$7</f>
        <v>33.732154616761342</v>
      </c>
      <c r="U28" s="6">
        <f>$J$3+[19]FormattedData!N66*$J$4+$M$4*$J$5+[19]FormattedData!N66^2*$J$6+$M$5*$J$7</f>
        <v>32.580279560821403</v>
      </c>
      <c r="V28" s="6">
        <f>$J$3+[19]FormattedData!O66*$J$4+$M$4*$J$5+[19]FormattedData!O66^2*$J$6+$M$5*$J$7</f>
        <v>33.348872561388262</v>
      </c>
      <c r="W28" s="5">
        <f t="shared" si="0"/>
        <v>33.740854513877743</v>
      </c>
      <c r="X28" s="4">
        <f t="shared" si="1"/>
        <v>0.53528594879518809</v>
      </c>
      <c r="Y28" s="3">
        <f t="shared" si="2"/>
        <v>29.966306299735759</v>
      </c>
      <c r="Z28" s="2">
        <f t="shared" si="3"/>
        <v>33.012803332060955</v>
      </c>
      <c r="AA28" s="3">
        <f t="shared" si="4"/>
        <v>33.684276061243153</v>
      </c>
      <c r="AB28" s="2">
        <f t="shared" si="5"/>
        <v>34.568032149912376</v>
      </c>
      <c r="AC28" s="2">
        <f t="shared" si="6"/>
        <v>36.585213077714599</v>
      </c>
      <c r="AD28" s="2">
        <f t="shared" si="7"/>
        <v>-0.27932823106632809</v>
      </c>
      <c r="AE28" s="2">
        <f t="shared" si="8"/>
        <v>0.56256805409729616</v>
      </c>
    </row>
    <row r="29" spans="2:31" x14ac:dyDescent="0.2">
      <c r="B29" s="1">
        <f>[19]FormattedData!A68</f>
        <v>304</v>
      </c>
      <c r="C29" s="1" t="str">
        <f>VLOOKUP($B29,[19]TrtCodes!$B$11:I111,2)</f>
        <v>FSL</v>
      </c>
      <c r="D29" s="1">
        <f>VLOOKUP($B29,[19]TrtCodes!$B$11:J111,3)</f>
        <v>2</v>
      </c>
      <c r="E29" s="1">
        <f>VLOOKUP($B29,[19]TrtCodes!$B$11:K111,4)</f>
        <v>1</v>
      </c>
      <c r="F29" s="1">
        <f>VLOOKUP($B29,[19]TrtCodes!$B$11:L111,5)</f>
        <v>1</v>
      </c>
      <c r="G29" s="1">
        <f>VLOOKUP($B29,[19]TrtCodes!$B$11:M111,6)</f>
        <v>1</v>
      </c>
      <c r="H29" s="1">
        <f>VLOOKUP($B29,[19]TrtCodes!$B$11:N111,7)</f>
        <v>3</v>
      </c>
      <c r="I29" s="1">
        <f>[19]FormattedData!B68</f>
        <v>1</v>
      </c>
      <c r="J29" s="4">
        <f>[19]FormattedData!C68</f>
        <v>13.505000000000001</v>
      </c>
      <c r="K29" s="6">
        <f>$J$3+[19]FormattedData!D68*$J$4+$M$4*$J$5+[19]FormattedData!D68^2*$J$6+$M$5*$J$7</f>
        <v>33.156977922474134</v>
      </c>
      <c r="L29" s="6">
        <f>$J$3+[19]FormattedData!E68*$J$4+$M$4*$J$5+[19]FormattedData!E68^2*$J$6+$M$5*$J$7</f>
        <v>33.156977922474134</v>
      </c>
      <c r="M29" s="6">
        <f>$J$3+[19]FormattedData!F68*$J$4+$M$4*$J$5+[19]FormattedData!F68^2*$J$6+$M$5*$J$7</f>
        <v>29.381238767572661</v>
      </c>
      <c r="N29" s="6">
        <f>$J$3+[19]FormattedData!G68*$J$4+$M$4*$J$5+[19]FormattedData!G68^2*$J$6+$M$5*$J$7</f>
        <v>31.228732454987981</v>
      </c>
      <c r="O29" s="6">
        <f>$J$3+[19]FormattedData!H68*$J$4+$M$4*$J$5+[19]FormattedData!H68^2*$J$6+$M$5*$J$7</f>
        <v>30.258269440555239</v>
      </c>
      <c r="P29" s="6">
        <f>$J$3+[19]FormattedData!I68*$J$4+$M$4*$J$5+[19]FormattedData!I68^2*$J$6+$M$5*$J$7</f>
        <v>29.868900715720073</v>
      </c>
      <c r="Q29" s="6">
        <f>$J$3+[19]FormattedData!J68*$J$4+$M$4*$J$5+[19]FormattedData!J68^2*$J$6+$M$5*$J$7</f>
        <v>29.283579572329383</v>
      </c>
      <c r="R29" s="6">
        <f>$J$3+[19]FormattedData!K68*$J$4+$M$4*$J$5+[19]FormattedData!K68^2*$J$6+$M$5*$J$7</f>
        <v>29.576430352445417</v>
      </c>
      <c r="S29" s="6">
        <f>$J$3+[19]FormattedData!L68*$J$4+$M$4*$J$5+[19]FormattedData!L68^2*$J$6+$M$5*$J$7</f>
        <v>30.744029304495751</v>
      </c>
      <c r="T29" s="6">
        <f>$J$3+[19]FormattedData!M68*$J$4+$M$4*$J$5+[19]FormattedData!M68^2*$J$6+$M$5*$J$7</f>
        <v>31.034978000404887</v>
      </c>
      <c r="U29" s="6">
        <f>$J$3+[19]FormattedData!N68*$J$4+$M$4*$J$5+[19]FormattedData!N68^2*$J$6+$M$5*$J$7</f>
        <v>30.160990662153345</v>
      </c>
      <c r="V29" s="6">
        <f>$J$3+[19]FormattedData!O68*$J$4+$M$4*$J$5+[19]FormattedData!O68^2*$J$6+$M$5*$J$7</f>
        <v>32.002059531803141</v>
      </c>
      <c r="W29" s="5">
        <f t="shared" si="0"/>
        <v>30.821097053951338</v>
      </c>
      <c r="X29" s="4">
        <f t="shared" si="1"/>
        <v>0.39090747841453988</v>
      </c>
      <c r="Y29" s="3">
        <f t="shared" si="2"/>
        <v>29.283579572329383</v>
      </c>
      <c r="Z29" s="2">
        <f t="shared" si="3"/>
        <v>29.795783124901408</v>
      </c>
      <c r="AA29" s="3">
        <f t="shared" si="4"/>
        <v>30.501149372525497</v>
      </c>
      <c r="AB29" s="2">
        <f t="shared" si="5"/>
        <v>31.422064224191772</v>
      </c>
      <c r="AC29" s="2">
        <f t="shared" si="6"/>
        <v>33.156977922474134</v>
      </c>
      <c r="AD29" s="2">
        <f t="shared" si="7"/>
        <v>0.76170009802157723</v>
      </c>
      <c r="AE29" s="2">
        <f t="shared" si="8"/>
        <v>-0.52249772242726689</v>
      </c>
    </row>
    <row r="30" spans="2:31" x14ac:dyDescent="0.2">
      <c r="B30" s="1">
        <f>[19]FormattedData!A70</f>
        <v>305</v>
      </c>
      <c r="C30" s="1" t="str">
        <f>VLOOKUP($B30,[19]TrtCodes!$B$11:I113,2)</f>
        <v>NDH</v>
      </c>
      <c r="D30" s="1">
        <f>VLOOKUP($B30,[19]TrtCodes!$B$11:J113,3)</f>
        <v>11</v>
      </c>
      <c r="E30" s="1">
        <f>VLOOKUP($B30,[19]TrtCodes!$B$11:K113,4)</f>
        <v>2</v>
      </c>
      <c r="F30" s="1">
        <f>VLOOKUP($B30,[19]TrtCodes!$B$11:L113,5)</f>
        <v>3</v>
      </c>
      <c r="G30" s="1">
        <f>VLOOKUP($B30,[19]TrtCodes!$B$11:M113,6)</f>
        <v>2</v>
      </c>
      <c r="H30" s="1">
        <f>VLOOKUP($B30,[19]TrtCodes!$B$11:N113,7)</f>
        <v>4</v>
      </c>
      <c r="I30" s="1">
        <f>[19]FormattedData!B70</f>
        <v>1</v>
      </c>
      <c r="J30" s="4">
        <f>[19]FormattedData!C70</f>
        <v>13.521000000000001</v>
      </c>
      <c r="K30" s="6">
        <f>$J$3+[19]FormattedData!D70*$J$4+$M$4*$J$5+[19]FormattedData!D70^2*$J$6+$M$5*$J$7</f>
        <v>32.098535207984348</v>
      </c>
      <c r="L30" s="6">
        <f>$J$3+[19]FormattedData!E70*$J$4+$M$4*$J$5+[19]FormattedData!E70^2*$J$6+$M$5*$J$7</f>
        <v>32.291359754732959</v>
      </c>
      <c r="M30" s="6">
        <f>$J$3+[19]FormattedData!F70*$J$4+$M$4*$J$5+[19]FormattedData!F70^2*$J$6+$M$5*$J$7</f>
        <v>32.002059531803141</v>
      </c>
      <c r="N30" s="6">
        <f>$J$3+[19]FormattedData!G70*$J$4+$M$4*$J$5+[19]FormattedData!G70^2*$J$6+$M$5*$J$7</f>
        <v>31.712378892031943</v>
      </c>
      <c r="O30" s="6">
        <f>$J$3+[19]FormattedData!H70*$J$4+$M$4*$J$5+[19]FormattedData!H70^2*$J$6+$M$5*$J$7</f>
        <v>31.905541587084002</v>
      </c>
      <c r="P30" s="6">
        <f>$J$3+[19]FormattedData!I70*$J$4+$M$4*$J$5+[19]FormattedData!I70^2*$J$6+$M$5*$J$7</f>
        <v>31.519047122828155</v>
      </c>
      <c r="Q30" s="6">
        <f>$J$3+[19]FormattedData!J70*$J$4+$M$4*$J$5+[19]FormattedData!J70^2*$J$6+$M$5*$J$7</f>
        <v>31.712378892031943</v>
      </c>
      <c r="R30" s="6">
        <f>$J$3+[19]FormattedData!K70*$J$4+$M$4*$J$5+[19]FormattedData!K70^2*$J$6+$M$5*$J$7</f>
        <v>31.712378892031943</v>
      </c>
      <c r="S30" s="6">
        <f>$J$3+[19]FormattedData!L70*$J$4+$M$4*$J$5+[19]FormattedData!L70^2*$J$6+$M$5*$J$7</f>
        <v>31.1318763619654</v>
      </c>
      <c r="T30" s="6">
        <f>$J$3+[19]FormattedData!M70*$J$4+$M$4*$J$5+[19]FormattedData!M70^2*$J$6+$M$5*$J$7</f>
        <v>31.422317835419356</v>
      </c>
      <c r="U30" s="6">
        <f>$J$3+[19]FormattedData!N70*$J$4+$M$4*$J$5+[19]FormattedData!N70^2*$J$6+$M$5*$J$7</f>
        <v>31.808981373826938</v>
      </c>
      <c r="V30" s="6">
        <f>$J$3+[19]FormattedData!O70*$J$4+$M$4*$J$5+[19]FormattedData!O70^2*$J$6+$M$5*$J$7</f>
        <v>31.519047122828155</v>
      </c>
      <c r="W30" s="5">
        <f t="shared" si="0"/>
        <v>31.73632521454736</v>
      </c>
      <c r="X30" s="4">
        <f t="shared" si="1"/>
        <v>9.1448201625481354E-2</v>
      </c>
      <c r="Y30" s="3">
        <f t="shared" si="2"/>
        <v>31.1318763619654</v>
      </c>
      <c r="Z30" s="2">
        <f t="shared" si="3"/>
        <v>31.519047122828155</v>
      </c>
      <c r="AA30" s="3">
        <f t="shared" si="4"/>
        <v>31.712378892031943</v>
      </c>
      <c r="AB30" s="2">
        <f t="shared" si="5"/>
        <v>31.929671073263787</v>
      </c>
      <c r="AC30" s="2">
        <f t="shared" si="6"/>
        <v>32.291359754732959</v>
      </c>
      <c r="AD30" s="2">
        <f t="shared" si="7"/>
        <v>-0.10246042636113313</v>
      </c>
      <c r="AE30" s="2">
        <f t="shared" si="8"/>
        <v>0.12272984667160802</v>
      </c>
    </row>
    <row r="31" spans="2:31" x14ac:dyDescent="0.2">
      <c r="B31" s="1">
        <f>[19]FormattedData!A72</f>
        <v>306</v>
      </c>
      <c r="C31" s="1" t="str">
        <f>VLOOKUP($B31,[19]TrtCodes!$B$11:I115,2)</f>
        <v>FTL</v>
      </c>
      <c r="D31" s="1">
        <f>VLOOKUP($B31,[19]TrtCodes!$B$11:J115,3)</f>
        <v>4</v>
      </c>
      <c r="E31" s="1">
        <f>VLOOKUP($B31,[19]TrtCodes!$B$11:K115,4)</f>
        <v>1</v>
      </c>
      <c r="F31" s="1">
        <f>VLOOKUP($B31,[19]TrtCodes!$B$11:L115,5)</f>
        <v>2</v>
      </c>
      <c r="G31" s="1">
        <f>VLOOKUP($B31,[19]TrtCodes!$B$11:M115,6)</f>
        <v>1</v>
      </c>
      <c r="H31" s="1">
        <f>VLOOKUP($B31,[19]TrtCodes!$B$11:N115,7)</f>
        <v>4</v>
      </c>
      <c r="I31" s="1">
        <f>[19]FormattedData!B72</f>
        <v>1</v>
      </c>
      <c r="J31" s="4">
        <f>[19]FormattedData!C72</f>
        <v>13.538</v>
      </c>
      <c r="K31" s="6">
        <f>$J$3+[19]FormattedData!D72*$J$4+$M$4*$J$5+[19]FormattedData!D72^2*$J$6+$M$5*$J$7</f>
        <v>34.687400957538877</v>
      </c>
      <c r="L31" s="6">
        <f>$J$3+[19]FormattedData!E72*$J$4+$M$4*$J$5+[19]FormattedData!E72^2*$J$6+$M$5*$J$7</f>
        <v>33.444756478038428</v>
      </c>
      <c r="M31" s="6">
        <f>$J$3+[19]FormattedData!F72*$J$4+$M$4*$J$5+[19]FormattedData!F72^2*$J$6+$M$5*$J$7</f>
        <v>33.156977922474134</v>
      </c>
      <c r="N31" s="6">
        <f>$J$3+[19]FormattedData!G72*$J$4+$M$4*$J$5+[19]FormattedData!G72^2*$J$6+$M$5*$J$7</f>
        <v>34.496689837686823</v>
      </c>
      <c r="O31" s="6">
        <f>$J$3+[19]FormattedData!H72*$J$4+$M$4*$J$5+[19]FormattedData!H72^2*$J$6+$M$5*$J$7</f>
        <v>34.496689837686823</v>
      </c>
      <c r="P31" s="6">
        <f>$J$3+[19]FormattedData!I72*$J$4+$M$4*$J$5+[19]FormattedData!I72^2*$J$6+$M$5*$J$7</f>
        <v>36.679659864075113</v>
      </c>
      <c r="Q31" s="6">
        <f>$J$3+[19]FormattedData!J72*$J$4+$M$4*$J$5+[19]FormattedData!J72^2*$J$6+$M$5*$J$7</f>
        <v>33.156977922474134</v>
      </c>
      <c r="R31" s="6">
        <f>$J$3+[19]FormattedData!K72*$J$4+$M$4*$J$5+[19]FormattedData!K72^2*$J$6+$M$5*$J$7</f>
        <v>35.638420444523298</v>
      </c>
      <c r="S31" s="6">
        <f>$J$3+[19]FormattedData!L72*$J$4+$M$4*$J$5+[19]FormattedData!L72^2*$J$6+$M$5*$J$7</f>
        <v>32.194968615627616</v>
      </c>
      <c r="T31" s="6">
        <f>$J$3+[19]FormattedData!M72*$J$4+$M$4*$J$5+[19]FormattedData!M72^2*$J$6+$M$5*$J$7</f>
        <v>33.156977922474134</v>
      </c>
      <c r="U31" s="6">
        <f>$J$3+[19]FormattedData!N72*$J$4+$M$4*$J$5+[19]FormattedData!N72^2*$J$6+$M$5*$J$7</f>
        <v>32.580279560821403</v>
      </c>
      <c r="V31" s="6">
        <f>$J$3+[19]FormattedData!O72*$J$4+$M$4*$J$5+[19]FormattedData!O72^2*$J$6+$M$5*$J$7</f>
        <v>32.676501625775018</v>
      </c>
      <c r="W31" s="5">
        <f t="shared" si="0"/>
        <v>33.863858415766323</v>
      </c>
      <c r="X31" s="4">
        <f t="shared" si="1"/>
        <v>0.38997136883694966</v>
      </c>
      <c r="Y31" s="3">
        <f t="shared" si="2"/>
        <v>32.194968615627616</v>
      </c>
      <c r="Z31" s="2">
        <f t="shared" si="3"/>
        <v>33.036858848299353</v>
      </c>
      <c r="AA31" s="3">
        <f t="shared" si="4"/>
        <v>33.300867200256278</v>
      </c>
      <c r="AB31" s="2">
        <f t="shared" si="5"/>
        <v>34.54436761764984</v>
      </c>
      <c r="AC31" s="2">
        <f t="shared" si="6"/>
        <v>36.679659864075113</v>
      </c>
      <c r="AD31" s="2">
        <f t="shared" si="7"/>
        <v>0.85886751970804887</v>
      </c>
      <c r="AE31" s="2">
        <f t="shared" si="8"/>
        <v>7.3655355104598641E-2</v>
      </c>
    </row>
    <row r="32" spans="2:31" x14ac:dyDescent="0.2">
      <c r="B32" s="1">
        <f>[19]FormattedData!A74</f>
        <v>307</v>
      </c>
      <c r="C32" s="1" t="str">
        <f>VLOOKUP($B32,[19]TrtCodes!$B$11:I117,2)</f>
        <v>NTH</v>
      </c>
      <c r="D32" s="1">
        <f>VLOOKUP($B32,[19]TrtCodes!$B$11:J117,3)</f>
        <v>9</v>
      </c>
      <c r="E32" s="1">
        <f>VLOOKUP($B32,[19]TrtCodes!$B$11:K117,4)</f>
        <v>2</v>
      </c>
      <c r="F32" s="1">
        <f>VLOOKUP($B32,[19]TrtCodes!$B$11:L117,5)</f>
        <v>2</v>
      </c>
      <c r="G32" s="1">
        <f>VLOOKUP($B32,[19]TrtCodes!$B$11:M117,6)</f>
        <v>2</v>
      </c>
      <c r="H32" s="1">
        <f>VLOOKUP($B32,[19]TrtCodes!$B$11:N117,7)</f>
        <v>4</v>
      </c>
      <c r="I32" s="1">
        <f>[19]FormattedData!B74</f>
        <v>1</v>
      </c>
      <c r="J32" s="4">
        <f>[19]FormattedData!C74</f>
        <v>13.553000000000001</v>
      </c>
      <c r="K32" s="6">
        <f>$J$3+[19]FormattedData!D74*$J$4+$M$4*$J$5+[19]FormattedData!D74^2*$J$6+$M$5*$J$7</f>
        <v>34.401270874953894</v>
      </c>
      <c r="L32" s="6">
        <f>$J$3+[19]FormattedData!E74*$J$4+$M$4*$J$5+[19]FormattedData!E74^2*$J$6+$M$5*$J$7</f>
        <v>33.348872561388262</v>
      </c>
      <c r="M32" s="6">
        <f>$J$3+[19]FormattedData!F74*$J$4+$M$4*$J$5+[19]FormattedData!F74^2*$J$6+$M$5*$J$7</f>
        <v>31.615734141699011</v>
      </c>
      <c r="N32" s="6">
        <f>$J$3+[19]FormattedData!G74*$J$4+$M$4*$J$5+[19]FormattedData!G74^2*$J$6+$M$5*$J$7</f>
        <v>32.194968615627616</v>
      </c>
      <c r="O32" s="6">
        <f>$J$3+[19]FormattedData!H74*$J$4+$M$4*$J$5+[19]FormattedData!H74^2*$J$6+$M$5*$J$7</f>
        <v>31.422317835419356</v>
      </c>
      <c r="P32" s="6">
        <f>$J$3+[19]FormattedData!I74*$J$4+$M$4*$J$5+[19]FormattedData!I74^2*$J$6+$M$5*$J$7</f>
        <v>31.228732454987981</v>
      </c>
      <c r="Q32" s="6">
        <f>$J$3+[19]FormattedData!J74*$J$4+$M$4*$J$5+[19]FormattedData!J74^2*$J$6+$M$5*$J$7</f>
        <v>30.549852164533345</v>
      </c>
      <c r="R32" s="6">
        <f>$J$3+[19]FormattedData!K74*$J$4+$M$4*$J$5+[19]FormattedData!K74^2*$J$6+$M$5*$J$7</f>
        <v>31.422317835419356</v>
      </c>
      <c r="S32" s="6">
        <f>$J$3+[19]FormattedData!L74*$J$4+$M$4*$J$5+[19]FormattedData!L74^2*$J$6+$M$5*$J$7</f>
        <v>32.387708625300363</v>
      </c>
      <c r="T32" s="6">
        <f>$J$3+[19]FormattedData!M74*$J$4+$M$4*$J$5+[19]FormattedData!M74^2*$J$6+$M$5*$J$7</f>
        <v>33.060967200210172</v>
      </c>
      <c r="U32" s="6">
        <f>$J$3+[19]FormattedData!N74*$J$4+$M$4*$J$5+[19]FormattedData!N74^2*$J$6+$M$5*$J$7</f>
        <v>32.772681422190701</v>
      </c>
      <c r="V32" s="6">
        <f>$J$3+[19]FormattedData!O74*$J$4+$M$4*$J$5+[19]FormattedData!O74^2*$J$6+$M$5*$J$7</f>
        <v>31.1318763619654</v>
      </c>
      <c r="W32" s="5">
        <f t="shared" si="0"/>
        <v>32.128108341141292</v>
      </c>
      <c r="X32" s="4">
        <f t="shared" si="1"/>
        <v>0.32058364618157509</v>
      </c>
      <c r="Y32" s="3">
        <f t="shared" si="2"/>
        <v>30.549852164533345</v>
      </c>
      <c r="Z32" s="2">
        <f t="shared" si="3"/>
        <v>31.373921490311513</v>
      </c>
      <c r="AA32" s="3">
        <f t="shared" si="4"/>
        <v>31.905351378663312</v>
      </c>
      <c r="AB32" s="2">
        <f t="shared" si="5"/>
        <v>32.844752866695572</v>
      </c>
      <c r="AC32" s="2">
        <f t="shared" si="6"/>
        <v>34.401270874953894</v>
      </c>
      <c r="AD32" s="2">
        <f t="shared" si="7"/>
        <v>0.65135054144416416</v>
      </c>
      <c r="AE32" s="2">
        <f t="shared" si="8"/>
        <v>-6.9056541080739997E-2</v>
      </c>
    </row>
    <row r="33" spans="2:31" x14ac:dyDescent="0.2">
      <c r="B33" s="1">
        <f>[19]FormattedData!A76</f>
        <v>308</v>
      </c>
      <c r="C33" s="1" t="str">
        <f>VLOOKUP($B33,[19]TrtCodes!$B$11:I119,2)</f>
        <v>FDH</v>
      </c>
      <c r="D33" s="1">
        <f>VLOOKUP($B33,[19]TrtCodes!$B$11:J119,3)</f>
        <v>5</v>
      </c>
      <c r="E33" s="1">
        <f>VLOOKUP($B33,[19]TrtCodes!$B$11:K119,4)</f>
        <v>1</v>
      </c>
      <c r="F33" s="1">
        <f>VLOOKUP($B33,[19]TrtCodes!$B$11:L119,5)</f>
        <v>3</v>
      </c>
      <c r="G33" s="1">
        <f>VLOOKUP($B33,[19]TrtCodes!$B$11:M119,6)</f>
        <v>2</v>
      </c>
      <c r="H33" s="1">
        <f>VLOOKUP($B33,[19]TrtCodes!$B$11:N119,7)</f>
        <v>4</v>
      </c>
      <c r="I33" s="1">
        <f>[19]FormattedData!B76</f>
        <v>1</v>
      </c>
      <c r="J33" s="4">
        <f>[19]FormattedData!C76</f>
        <v>13.57</v>
      </c>
      <c r="K33" s="6">
        <f>$J$3+[19]FormattedData!D76*$J$4+$M$4*$J$5+[19]FormattedData!D76^2*$J$6+$M$5*$J$7</f>
        <v>31.422317835419356</v>
      </c>
      <c r="L33" s="6">
        <f>$J$3+[19]FormattedData!E76*$J$4+$M$4*$J$5+[19]FormattedData!E76^2*$J$6+$M$5*$J$7</f>
        <v>31.1318763619654</v>
      </c>
      <c r="M33" s="6">
        <f>$J$3+[19]FormattedData!F76*$J$4+$M$4*$J$5+[19]FormattedData!F76^2*$J$6+$M$5*$J$7</f>
        <v>30.938037370306439</v>
      </c>
      <c r="N33" s="6">
        <f>$J$3+[19]FormattedData!G76*$J$4+$M$4*$J$5+[19]FormattedData!G76^2*$J$6+$M$5*$J$7</f>
        <v>31.615734141699011</v>
      </c>
      <c r="O33" s="6">
        <f>$J$3+[19]FormattedData!H76*$J$4+$M$4*$J$5+[19]FormattedData!H76^2*$J$6+$M$5*$J$7</f>
        <v>33.732154616761342</v>
      </c>
      <c r="P33" s="6">
        <f>$J$3+[19]FormattedData!I76*$J$4+$M$4*$J$5+[19]FormattedData!I76^2*$J$6+$M$5*$J$7</f>
        <v>32.676501625775018</v>
      </c>
      <c r="Q33" s="6">
        <f>$J$3+[19]FormattedData!J76*$J$4+$M$4*$J$5+[19]FormattedData!J76^2*$J$6+$M$5*$J$7</f>
        <v>30.938037370306439</v>
      </c>
      <c r="R33" s="6">
        <f>$J$3+[19]FormattedData!K76*$J$4+$M$4*$J$5+[19]FormattedData!K76^2*$J$6+$M$5*$J$7</f>
        <v>33.156977922474134</v>
      </c>
      <c r="S33" s="6">
        <f>$J$3+[19]FormattedData!L76*$J$4+$M$4*$J$5+[19]FormattedData!L76^2*$J$6+$M$5*$J$7</f>
        <v>30.938037370306439</v>
      </c>
      <c r="T33" s="6">
        <f>$J$3+[19]FormattedData!M76*$J$4+$M$4*$J$5+[19]FormattedData!M76^2*$J$6+$M$5*$J$7</f>
        <v>31.32554627947264</v>
      </c>
      <c r="U33" s="6">
        <f>$J$3+[19]FormattedData!N76*$J$4+$M$4*$J$5+[19]FormattedData!N76^2*$J$6+$M$5*$J$7</f>
        <v>30.355505950419207</v>
      </c>
      <c r="V33" s="6">
        <f>$J$3+[19]FormattedData!O76*$J$4+$M$4*$J$5+[19]FormattedData!O76^2*$J$6+$M$5*$J$7</f>
        <v>31.32554627947264</v>
      </c>
      <c r="W33" s="5">
        <f t="shared" si="0"/>
        <v>31.629689427031508</v>
      </c>
      <c r="X33" s="4">
        <f t="shared" si="1"/>
        <v>0.29366413922128337</v>
      </c>
      <c r="Y33" s="3">
        <f t="shared" si="2"/>
        <v>30.355505950419207</v>
      </c>
      <c r="Z33" s="2">
        <f t="shared" si="3"/>
        <v>30.938037370306439</v>
      </c>
      <c r="AA33" s="3">
        <f t="shared" si="4"/>
        <v>31.32554627947264</v>
      </c>
      <c r="AB33" s="2">
        <f t="shared" si="5"/>
        <v>31.880926012718014</v>
      </c>
      <c r="AC33" s="2">
        <f t="shared" si="6"/>
        <v>33.732154616761342</v>
      </c>
      <c r="AD33" s="2">
        <f t="shared" si="7"/>
        <v>1.1143261597026952</v>
      </c>
      <c r="AE33" s="2">
        <f t="shared" si="8"/>
        <v>0.31962294418527204</v>
      </c>
    </row>
    <row r="34" spans="2:31" x14ac:dyDescent="0.2">
      <c r="B34" s="1">
        <f>[19]FormattedData!A92</f>
        <v>401</v>
      </c>
      <c r="C34" s="1" t="str">
        <f>VLOOKUP($B34,[19]TrtCodes!$B$11:I129,2)</f>
        <v>NSH</v>
      </c>
      <c r="D34" s="1">
        <f>VLOOKUP($B34,[19]TrtCodes!$B$11:J129,3)</f>
        <v>7</v>
      </c>
      <c r="E34" s="1">
        <f>VLOOKUP($B34,[19]TrtCodes!$B$11:K129,4)</f>
        <v>2</v>
      </c>
      <c r="F34" s="1">
        <f>VLOOKUP($B34,[19]TrtCodes!$B$11:L129,5)</f>
        <v>1</v>
      </c>
      <c r="G34" s="1">
        <f>VLOOKUP($B34,[19]TrtCodes!$B$11:M129,6)</f>
        <v>2</v>
      </c>
      <c r="H34" s="1">
        <f>VLOOKUP($B34,[19]TrtCodes!$B$11:N129,7)</f>
        <v>3</v>
      </c>
      <c r="I34" s="1">
        <f>[19]FormattedData!B92</f>
        <v>1</v>
      </c>
      <c r="J34" s="4">
        <f>[19]FormattedData!C92</f>
        <v>13.707000000000001</v>
      </c>
      <c r="K34" s="6">
        <f>$J$3+[19]FormattedData!D92*$J$4+$M$4*$J$5+[19]FormattedData!D92^2*$J$6+$M$5*$J$7</f>
        <v>57.110064703040891</v>
      </c>
      <c r="L34" s="6">
        <f>$J$3+[19]FormattedData!E92*$J$4+$M$4*$J$5+[19]FormattedData!E92^2*$J$6+$M$5*$J$7</f>
        <v>43.094409603846557</v>
      </c>
      <c r="M34" s="6">
        <f>$J$3+[19]FormattedData!F92*$J$4+$M$4*$J$5+[19]FormattedData!F92^2*$J$6+$M$5*$J$7</f>
        <v>43.642703508009561</v>
      </c>
      <c r="N34" s="6">
        <f>$J$3+[19]FormattedData!G92*$J$4+$M$4*$J$5+[19]FormattedData!G92^2*$J$6+$M$5*$J$7</f>
        <v>57.025255143328685</v>
      </c>
      <c r="O34" s="6">
        <f>$J$3+[19]FormattedData!H92*$J$4+$M$4*$J$5+[19]FormattedData!H92^2*$J$6+$M$5*$J$7</f>
        <v>43.002879346603294</v>
      </c>
      <c r="P34" s="6">
        <f>$J$3+[19]FormattedData!I92*$J$4+$M$4*$J$5+[19]FormattedData!I92^2*$J$6+$M$5*$J$7</f>
        <v>54.719419523761061</v>
      </c>
      <c r="Q34" s="6">
        <f>$J$3+[19]FormattedData!J92*$J$4+$M$4*$J$5+[19]FormattedData!J92^2*$J$6+$M$5*$J$7</f>
        <v>40.051593326791313</v>
      </c>
      <c r="R34" s="6">
        <f>$J$3+[19]FormattedData!K92*$J$4+$M$4*$J$5+[19]FormattedData!K92^2*$J$6+$M$5*$J$7</f>
        <v>54.289031444510343</v>
      </c>
      <c r="S34" s="6">
        <f>$J$3+[19]FormattedData!L92*$J$4+$M$4*$J$5+[19]FormattedData!L92^2*$J$6+$M$5*$J$7</f>
        <v>49.927031412347844</v>
      </c>
      <c r="T34" s="6">
        <f>$J$3+[19]FormattedData!M92*$J$4+$M$4*$J$5+[19]FormattedData!M92^2*$J$6+$M$5*$J$7</f>
        <v>45.910882383573792</v>
      </c>
      <c r="U34" s="6">
        <f>$J$3+[19]FormattedData!N92*$J$4+$M$4*$J$5+[19]FormattedData!N92^2*$J$6+$M$5*$J$7</f>
        <v>48.775602437702794</v>
      </c>
      <c r="V34" s="6">
        <f>$J$3+[19]FormattedData!O92*$J$4+$M$4*$J$5+[19]FormattedData!O92^2*$J$6+$M$5*$J$7</f>
        <v>37.621802958093994</v>
      </c>
      <c r="W34" s="5">
        <f t="shared" si="0"/>
        <v>47.930889649300845</v>
      </c>
      <c r="X34" s="4">
        <f t="shared" si="1"/>
        <v>1.9397737653895002</v>
      </c>
      <c r="Y34" s="3">
        <f t="shared" si="2"/>
        <v>37.621802958093994</v>
      </c>
      <c r="Z34" s="2">
        <f t="shared" si="3"/>
        <v>43.071527039535738</v>
      </c>
      <c r="AA34" s="3">
        <f t="shared" si="4"/>
        <v>47.343242410638297</v>
      </c>
      <c r="AB34" s="2">
        <f t="shared" si="5"/>
        <v>54.396628464323022</v>
      </c>
      <c r="AC34" s="2">
        <f t="shared" si="6"/>
        <v>57.110064703040891</v>
      </c>
      <c r="AD34" s="2">
        <f t="shared" si="7"/>
        <v>7.1665140106450018E-2</v>
      </c>
      <c r="AE34" s="2">
        <f t="shared" si="8"/>
        <v>-1.3780298849539721</v>
      </c>
    </row>
    <row r="35" spans="2:31" x14ac:dyDescent="0.2">
      <c r="B35" s="1">
        <f>[19]FormattedData!A90</f>
        <v>402</v>
      </c>
      <c r="C35" s="1" t="str">
        <f>VLOOKUP($B35,[19]TrtCodes!$B$11:I130,2)</f>
        <v>NTH</v>
      </c>
      <c r="D35" s="1">
        <f>VLOOKUP($B35,[19]TrtCodes!$B$11:J130,3)</f>
        <v>9</v>
      </c>
      <c r="E35" s="1">
        <f>VLOOKUP($B35,[19]TrtCodes!$B$11:K130,4)</f>
        <v>2</v>
      </c>
      <c r="F35" s="1">
        <f>VLOOKUP($B35,[19]TrtCodes!$B$11:L130,5)</f>
        <v>2</v>
      </c>
      <c r="G35" s="1">
        <f>VLOOKUP($B35,[19]TrtCodes!$B$11:M130,6)</f>
        <v>2</v>
      </c>
      <c r="H35" s="1">
        <f>VLOOKUP($B35,[19]TrtCodes!$B$11:N130,7)</f>
        <v>3</v>
      </c>
      <c r="I35" s="1">
        <f>[19]FormattedData!B90</f>
        <v>1</v>
      </c>
      <c r="J35" s="4">
        <f>[19]FormattedData!C90</f>
        <v>13.69</v>
      </c>
      <c r="K35" s="6">
        <f>$J$3+[19]FormattedData!D90*$J$4+$M$4*$J$5+[19]FormattedData!D90^2*$J$6+$M$5*$J$7</f>
        <v>46.720959692473443</v>
      </c>
      <c r="L35" s="6">
        <f>$J$3+[19]FormattedData!E90*$J$4+$M$4*$J$5+[19]FormattedData!E90^2*$J$6+$M$5*$J$7</f>
        <v>36.112345117843091</v>
      </c>
      <c r="M35" s="6">
        <f>$J$3+[19]FormattedData!F90*$J$4+$M$4*$J$5+[19]FormattedData!F90^2*$J$6+$M$5*$J$7</f>
        <v>32.964914209408278</v>
      </c>
      <c r="N35" s="6">
        <f>$J$3+[19]FormattedData!G90*$J$4+$M$4*$J$5+[19]FormattedData!G90^2*$J$6+$M$5*$J$7</f>
        <v>36.868426631182338</v>
      </c>
      <c r="O35" s="6">
        <f>$J$3+[19]FormattedData!H90*$J$4+$M$4*$J$5+[19]FormattedData!H90^2*$J$6+$M$5*$J$7</f>
        <v>34.496689837686823</v>
      </c>
      <c r="P35" s="6">
        <f>$J$3+[19]FormattedData!I90*$J$4+$M$4*$J$5+[19]FormattedData!I90^2*$J$6+$M$5*$J$7</f>
        <v>39.027092248260224</v>
      </c>
      <c r="Q35" s="6">
        <f>$J$3+[19]FormattedData!J90*$J$4+$M$4*$J$5+[19]FormattedData!J90^2*$J$6+$M$5*$J$7</f>
        <v>32.291359754732959</v>
      </c>
      <c r="R35" s="6">
        <f>$J$3+[19]FormattedData!K90*$J$4+$M$4*$J$5+[19]FormattedData!K90^2*$J$6+$M$5*$J$7</f>
        <v>33.252946376200157</v>
      </c>
      <c r="S35" s="6">
        <f>$J$3+[19]FormattedData!L90*$J$4+$M$4*$J$5+[19]FormattedData!L90^2*$J$6+$M$5*$J$7</f>
        <v>37.715784790537263</v>
      </c>
      <c r="T35" s="6">
        <f>$J$3+[19]FormattedData!M90*$J$4+$M$4*$J$5+[19]FormattedData!M90^2*$J$6+$M$5*$J$7</f>
        <v>35.353558418076247</v>
      </c>
      <c r="U35" s="6">
        <f>$J$3+[19]FormattedData!N90*$J$4+$M$4*$J$5+[19]FormattedData!N90^2*$J$6+$M$5*$J$7</f>
        <v>38.091289434931014</v>
      </c>
      <c r="V35" s="6">
        <f>$J$3+[19]FormattedData!O90*$J$4+$M$4*$J$5+[19]FormattedData!O90^2*$J$6+$M$5*$J$7</f>
        <v>32.291359754732959</v>
      </c>
      <c r="W35" s="5">
        <f t="shared" si="0"/>
        <v>36.265560522172073</v>
      </c>
      <c r="X35" s="4">
        <f t="shared" si="1"/>
        <v>1.1621691225830622</v>
      </c>
      <c r="Y35" s="3">
        <f t="shared" si="2"/>
        <v>32.291359754732959</v>
      </c>
      <c r="Z35" s="2">
        <f t="shared" si="3"/>
        <v>33.180938334502187</v>
      </c>
      <c r="AA35" s="3">
        <f t="shared" si="4"/>
        <v>35.732951767959669</v>
      </c>
      <c r="AB35" s="2">
        <f t="shared" si="5"/>
        <v>37.809660951635699</v>
      </c>
      <c r="AC35" s="2">
        <f t="shared" si="6"/>
        <v>46.720959692473443</v>
      </c>
      <c r="AD35" s="2">
        <f t="shared" si="7"/>
        <v>1.6354701931873836</v>
      </c>
      <c r="AE35" s="2">
        <f t="shared" si="8"/>
        <v>3.6053561126793081</v>
      </c>
    </row>
    <row r="36" spans="2:31" x14ac:dyDescent="0.2">
      <c r="B36" s="1">
        <f>[19]FormattedData!A88</f>
        <v>403</v>
      </c>
      <c r="C36" s="1" t="str">
        <f>VLOOKUP($B36,[19]TrtCodes!$B$11:I131,2)</f>
        <v>FDL</v>
      </c>
      <c r="D36" s="1">
        <f>VLOOKUP($B36,[19]TrtCodes!$B$11:J131,3)</f>
        <v>6</v>
      </c>
      <c r="E36" s="1">
        <f>VLOOKUP($B36,[19]TrtCodes!$B$11:K131,4)</f>
        <v>1</v>
      </c>
      <c r="F36" s="1">
        <f>VLOOKUP($B36,[19]TrtCodes!$B$11:L131,5)</f>
        <v>3</v>
      </c>
      <c r="G36" s="1">
        <f>VLOOKUP($B36,[19]TrtCodes!$B$11:M131,6)</f>
        <v>1</v>
      </c>
      <c r="H36" s="1">
        <f>VLOOKUP($B36,[19]TrtCodes!$B$11:N131,7)</f>
        <v>3</v>
      </c>
      <c r="I36" s="1">
        <f>[19]FormattedData!B88</f>
        <v>1</v>
      </c>
      <c r="J36" s="4">
        <f>[19]FormattedData!C88</f>
        <v>13.673999999999999</v>
      </c>
      <c r="K36" s="6">
        <f>$J$3+[19]FormattedData!D88*$J$4+$M$4*$J$5+[19]FormattedData!D88^2*$J$6+$M$5*$J$7</f>
        <v>32.580279560821403</v>
      </c>
      <c r="L36" s="6">
        <f>$J$3+[19]FormattedData!E88*$J$4+$M$4*$J$5+[19]FormattedData!E88^2*$J$6+$M$5*$J$7</f>
        <v>31.615734141699011</v>
      </c>
      <c r="M36" s="6">
        <f>$J$3+[19]FormattedData!F88*$J$4+$M$4*$J$5+[19]FormattedData!F88^2*$J$6+$M$5*$J$7</f>
        <v>30.160990662153345</v>
      </c>
      <c r="N36" s="6">
        <f>$J$3+[19]FormattedData!G88*$J$4+$M$4*$J$5+[19]FormattedData!G88^2*$J$6+$M$5*$J$7</f>
        <v>32.676501625775018</v>
      </c>
      <c r="O36" s="6">
        <f>$J$3+[19]FormattedData!H88*$J$4+$M$4*$J$5+[19]FormattedData!H88^2*$J$6+$M$5*$J$7</f>
        <v>30.452700191745237</v>
      </c>
      <c r="P36" s="6">
        <f>$J$3+[19]FormattedData!I88*$J$4+$M$4*$J$5+[19]FormattedData!I88^2*$J$6+$M$5*$J$7</f>
        <v>32.387708625300363</v>
      </c>
      <c r="Q36" s="6">
        <f>$J$3+[19]FormattedData!J88*$J$4+$M$4*$J$5+[19]FormattedData!J88^2*$J$6+$M$5*$J$7</f>
        <v>30.744029304495751</v>
      </c>
      <c r="R36" s="6">
        <f>$J$3+[19]FormattedData!K88*$J$4+$M$4*$J$5+[19]FormattedData!K88^2*$J$6+$M$5*$J$7</f>
        <v>32.194968615627616</v>
      </c>
      <c r="S36" s="6">
        <f>$J$3+[19]FormattedData!L88*$J$4+$M$4*$J$5+[19]FormattedData!L88^2*$J$6+$M$5*$J$7</f>
        <v>33.252946376200157</v>
      </c>
      <c r="T36" s="6">
        <f>$J$3+[19]FormattedData!M88*$J$4+$M$4*$J$5+[19]FormattedData!M88^2*$J$6+$M$5*$J$7</f>
        <v>31.228732454987981</v>
      </c>
      <c r="U36" s="6">
        <f>$J$3+[19]FormattedData!N88*$J$4+$M$4*$J$5+[19]FormattedData!N88^2*$J$6+$M$5*$J$7</f>
        <v>31.712378892031943</v>
      </c>
      <c r="V36" s="6">
        <f>$J$3+[19]FormattedData!O88*$J$4+$M$4*$J$5+[19]FormattedData!O88^2*$J$6+$M$5*$J$7</f>
        <v>30.744029304495751</v>
      </c>
      <c r="W36" s="5">
        <f t="shared" si="0"/>
        <v>31.645916646277801</v>
      </c>
      <c r="X36" s="4">
        <f t="shared" si="1"/>
        <v>0.28609625045824516</v>
      </c>
      <c r="Y36" s="3">
        <f t="shared" si="2"/>
        <v>30.160990662153345</v>
      </c>
      <c r="Z36" s="2">
        <f t="shared" si="3"/>
        <v>30.744029304495751</v>
      </c>
      <c r="AA36" s="3">
        <f t="shared" si="4"/>
        <v>31.664056516865479</v>
      </c>
      <c r="AB36" s="2">
        <f t="shared" si="5"/>
        <v>32.435851359180624</v>
      </c>
      <c r="AC36" s="2">
        <f t="shared" si="6"/>
        <v>33.252946376200157</v>
      </c>
      <c r="AD36" s="2">
        <f t="shared" si="7"/>
        <v>1.3624524894127668E-2</v>
      </c>
      <c r="AE36" s="2">
        <f t="shared" si="8"/>
        <v>-1.2246051480490308</v>
      </c>
    </row>
    <row r="37" spans="2:31" x14ac:dyDescent="0.2">
      <c r="B37" s="1">
        <f>[19]FormattedData!A86</f>
        <v>404</v>
      </c>
      <c r="C37" s="1" t="str">
        <f>VLOOKUP($B37,[19]TrtCodes!$B$11:I129,2)</f>
        <v>FTH</v>
      </c>
      <c r="D37" s="1">
        <f>VLOOKUP($B37,[19]TrtCodes!$B$11:J129,3)</f>
        <v>3</v>
      </c>
      <c r="E37" s="1">
        <f>VLOOKUP($B37,[19]TrtCodes!$B$11:K129,4)</f>
        <v>1</v>
      </c>
      <c r="F37" s="1">
        <f>VLOOKUP($B37,[19]TrtCodes!$B$11:L129,5)</f>
        <v>2</v>
      </c>
      <c r="G37" s="1">
        <f>VLOOKUP($B37,[19]TrtCodes!$B$11:M129,6)</f>
        <v>2</v>
      </c>
      <c r="H37" s="1">
        <f>VLOOKUP($B37,[19]TrtCodes!$B$11:N129,7)</f>
        <v>3</v>
      </c>
      <c r="I37" s="1">
        <f>[19]FormattedData!B86</f>
        <v>1</v>
      </c>
      <c r="J37" s="4">
        <f>[19]FormattedData!C86</f>
        <v>13.657</v>
      </c>
      <c r="K37" s="6">
        <f>$J$3+[19]FormattedData!D86*$J$4+$M$4*$J$5+[19]FormattedData!D86^2*$J$6+$M$5*$J$7</f>
        <v>34.019172338642889</v>
      </c>
      <c r="L37" s="6">
        <f>$J$3+[19]FormattedData!E86*$J$4+$M$4*$J$5+[19]FormattedData!E86^2*$J$6+$M$5*$J$7</f>
        <v>32.772681422190701</v>
      </c>
      <c r="M37" s="6">
        <f>$J$3+[19]FormattedData!F86*$J$4+$M$4*$J$5+[19]FormattedData!F86^2*$J$6+$M$5*$J$7</f>
        <v>32.868818950068452</v>
      </c>
      <c r="N37" s="6">
        <f>$J$3+[19]FormattedData!G86*$J$4+$M$4*$J$5+[19]FormattedData!G86^2*$J$6+$M$5*$J$7</f>
        <v>33.060967200210172</v>
      </c>
      <c r="O37" s="6">
        <f>$J$3+[19]FormattedData!H86*$J$4+$M$4*$J$5+[19]FormattedData!H86^2*$J$6+$M$5*$J$7</f>
        <v>33.636397505724972</v>
      </c>
      <c r="P37" s="6">
        <f>$J$3+[19]FormattedData!I86*$J$4+$M$4*$J$5+[19]FormattedData!I86^2*$J$6+$M$5*$J$7</f>
        <v>33.060967200210172</v>
      </c>
      <c r="Q37" s="6">
        <f>$J$3+[19]FormattedData!J86*$J$4+$M$4*$J$5+[19]FormattedData!J86^2*$J$6+$M$5*$J$7</f>
        <v>32.098535207984348</v>
      </c>
      <c r="R37" s="6">
        <f>$J$3+[19]FormattedData!K86*$J$4+$M$4*$J$5+[19]FormattedData!K86^2*$J$6+$M$5*$J$7</f>
        <v>32.868818950068452</v>
      </c>
      <c r="S37" s="6">
        <f>$J$3+[19]FormattedData!L86*$J$4+$M$4*$J$5+[19]FormattedData!L86^2*$J$6+$M$5*$J$7</f>
        <v>32.484015227329849</v>
      </c>
      <c r="T37" s="6">
        <f>$J$3+[19]FormattedData!M86*$J$4+$M$4*$J$5+[19]FormattedData!M86^2*$J$6+$M$5*$J$7</f>
        <v>34.592066531881827</v>
      </c>
      <c r="U37" s="6">
        <f>$J$3+[19]FormattedData!N86*$J$4+$M$4*$J$5+[19]FormattedData!N86^2*$J$6+$M$5*$J$7</f>
        <v>31.615734141699011</v>
      </c>
      <c r="V37" s="6">
        <f>$J$3+[19]FormattedData!O86*$J$4+$M$4*$J$5+[19]FormattedData!O86^2*$J$6+$M$5*$J$7</f>
        <v>33.636397505724972</v>
      </c>
      <c r="W37" s="5">
        <f t="shared" si="0"/>
        <v>33.059547681811317</v>
      </c>
      <c r="X37" s="4">
        <f t="shared" si="1"/>
        <v>0.23724166564760943</v>
      </c>
      <c r="Y37" s="3">
        <f t="shared" si="2"/>
        <v>31.615734141699011</v>
      </c>
      <c r="Z37" s="2">
        <f t="shared" si="3"/>
        <v>32.700514873475484</v>
      </c>
      <c r="AA37" s="3">
        <f t="shared" si="4"/>
        <v>32.964893075139315</v>
      </c>
      <c r="AB37" s="2">
        <f t="shared" si="5"/>
        <v>33.636397505724972</v>
      </c>
      <c r="AC37" s="2">
        <f t="shared" si="6"/>
        <v>34.592066531881827</v>
      </c>
      <c r="AD37" s="2">
        <f t="shared" si="7"/>
        <v>0.14572500891443169</v>
      </c>
      <c r="AE37" s="2">
        <f t="shared" si="8"/>
        <v>7.8375596820170479E-2</v>
      </c>
    </row>
    <row r="38" spans="2:31" x14ac:dyDescent="0.2">
      <c r="B38" s="1">
        <f>[19]FormattedData!A84</f>
        <v>405</v>
      </c>
      <c r="C38" s="1" t="str">
        <f>VLOOKUP($B38,[19]TrtCodes!$B$11:I127,2)</f>
        <v>FDL</v>
      </c>
      <c r="D38" s="1">
        <f>VLOOKUP($B38,[19]TrtCodes!$B$11:J127,3)</f>
        <v>6</v>
      </c>
      <c r="E38" s="1">
        <f>VLOOKUP($B38,[19]TrtCodes!$B$11:K127,4)</f>
        <v>1</v>
      </c>
      <c r="F38" s="1">
        <f>VLOOKUP($B38,[19]TrtCodes!$B$11:L127,5)</f>
        <v>3</v>
      </c>
      <c r="G38" s="1">
        <f>VLOOKUP($B38,[19]TrtCodes!$B$11:M127,6)</f>
        <v>1</v>
      </c>
      <c r="H38" s="1">
        <f>VLOOKUP($B38,[19]TrtCodes!$B$11:N127,7)</f>
        <v>4</v>
      </c>
      <c r="I38" s="1">
        <f>[19]FormattedData!B84</f>
        <v>1</v>
      </c>
      <c r="J38" s="4">
        <f>[19]FormattedData!C84</f>
        <v>13.64</v>
      </c>
      <c r="K38" s="6">
        <f>$J$3+[19]FormattedData!D84*$J$4+$M$4*$J$5+[19]FormattedData!D84^2*$J$6+$M$5*$J$7</f>
        <v>35.163439057755227</v>
      </c>
      <c r="L38" s="6">
        <f>$J$3+[19]FormattedData!E84*$J$4+$M$4*$J$5+[19]FormattedData!E84^2*$J$6+$M$5*$J$7</f>
        <v>31.519047122828155</v>
      </c>
      <c r="M38" s="6">
        <f>$J$3+[19]FormattedData!F84*$J$4+$M$4*$J$5+[19]FormattedData!F84^2*$J$6+$M$5*$J$7</f>
        <v>32.868818950068452</v>
      </c>
      <c r="N38" s="6">
        <f>$J$3+[19]FormattedData!G84*$J$4+$M$4*$J$5+[19]FormattedData!G84^2*$J$6+$M$5*$J$7</f>
        <v>32.676501625775018</v>
      </c>
      <c r="O38" s="6">
        <f>$J$3+[19]FormattedData!H84*$J$4+$M$4*$J$5+[19]FormattedData!H84^2*$J$6+$M$5*$J$7</f>
        <v>31.228732454987981</v>
      </c>
      <c r="P38" s="6">
        <f>$J$3+[19]FormattedData!I84*$J$4+$M$4*$J$5+[19]FormattedData!I84^2*$J$6+$M$5*$J$7</f>
        <v>32.676501625775018</v>
      </c>
      <c r="Q38" s="6">
        <f>$J$3+[19]FormattedData!J84*$J$4+$M$4*$J$5+[19]FormattedData!J84^2*$J$6+$M$5*$J$7</f>
        <v>32.772681422190701</v>
      </c>
      <c r="R38" s="6">
        <f>$J$3+[19]FormattedData!K84*$J$4+$M$4*$J$5+[19]FormattedData!K84^2*$J$6+$M$5*$J$7</f>
        <v>33.156977922474134</v>
      </c>
      <c r="S38" s="6">
        <f>$J$3+[19]FormattedData!L84*$J$4+$M$4*$J$5+[19]FormattedData!L84^2*$J$6+$M$5*$J$7</f>
        <v>35.353558418076247</v>
      </c>
      <c r="T38" s="6">
        <f>$J$3+[19]FormattedData!M84*$J$4+$M$4*$J$5+[19]FormattedData!M84^2*$J$6+$M$5*$J$7</f>
        <v>32.002059531803141</v>
      </c>
      <c r="U38" s="6">
        <f>$J$3+[19]FormattedData!N84*$J$4+$M$4*$J$5+[19]FormattedData!N84^2*$J$6+$M$5*$J$7</f>
        <v>34.114760375527538</v>
      </c>
      <c r="V38" s="6">
        <f>$J$3+[19]FormattedData!O84*$J$4+$M$4*$J$5+[19]FormattedData!O84^2*$J$6+$M$5*$J$7</f>
        <v>33.060967200210172</v>
      </c>
      <c r="W38" s="5">
        <f t="shared" si="0"/>
        <v>33.049503808955983</v>
      </c>
      <c r="X38" s="4">
        <f t="shared" si="1"/>
        <v>0.3699511427571755</v>
      </c>
      <c r="Y38" s="3">
        <f t="shared" si="2"/>
        <v>31.228732454987981</v>
      </c>
      <c r="Z38" s="2">
        <f t="shared" si="3"/>
        <v>32.507891102282045</v>
      </c>
      <c r="AA38" s="3">
        <f t="shared" si="4"/>
        <v>32.820750186129573</v>
      </c>
      <c r="AB38" s="2">
        <f t="shared" si="5"/>
        <v>33.396423535737483</v>
      </c>
      <c r="AC38" s="2">
        <f t="shared" si="6"/>
        <v>35.353558418076247</v>
      </c>
      <c r="AD38" s="2">
        <f t="shared" si="7"/>
        <v>0.6212894574558393</v>
      </c>
      <c r="AE38" s="2">
        <f t="shared" si="8"/>
        <v>-0.10962843584222526</v>
      </c>
    </row>
    <row r="39" spans="2:31" x14ac:dyDescent="0.2">
      <c r="B39" s="1">
        <f>[19]FormattedData!A82</f>
        <v>406</v>
      </c>
      <c r="C39" s="1" t="str">
        <f>VLOOKUP($B39,[19]TrtCodes!$B$11:I125,2)</f>
        <v>FTH</v>
      </c>
      <c r="D39" s="1">
        <f>VLOOKUP($B39,[19]TrtCodes!$B$11:J125,3)</f>
        <v>3</v>
      </c>
      <c r="E39" s="1">
        <f>VLOOKUP($B39,[19]TrtCodes!$B$11:K125,4)</f>
        <v>1</v>
      </c>
      <c r="F39" s="1">
        <f>VLOOKUP($B39,[19]TrtCodes!$B$11:L125,5)</f>
        <v>2</v>
      </c>
      <c r="G39" s="1">
        <f>VLOOKUP($B39,[19]TrtCodes!$B$11:M125,6)</f>
        <v>2</v>
      </c>
      <c r="H39" s="1">
        <f>VLOOKUP($B39,[19]TrtCodes!$B$11:N125,7)</f>
        <v>4</v>
      </c>
      <c r="I39" s="1">
        <f>[19]FormattedData!B82</f>
        <v>1</v>
      </c>
      <c r="J39" s="4">
        <f>[19]FormattedData!C82</f>
        <v>13.625</v>
      </c>
      <c r="K39" s="6">
        <f>$J$3+[19]FormattedData!D82*$J$4+$M$4*$J$5+[19]FormattedData!D82^2*$J$6+$M$5*$J$7</f>
        <v>34.87794300323921</v>
      </c>
      <c r="L39" s="6">
        <f>$J$3+[19]FormattedData!E82*$J$4+$M$4*$J$5+[19]FormattedData!E82^2*$J$6+$M$5*$J$7</f>
        <v>32.387708625300363</v>
      </c>
      <c r="M39" s="6">
        <f>$J$3+[19]FormattedData!F82*$J$4+$M$4*$J$5+[19]FormattedData!F82^2*$J$6+$M$5*$J$7</f>
        <v>31.615734141699011</v>
      </c>
      <c r="N39" s="6">
        <f>$J$3+[19]FormattedData!G82*$J$4+$M$4*$J$5+[19]FormattedData!G82^2*$J$6+$M$5*$J$7</f>
        <v>31.905541587084002</v>
      </c>
      <c r="O39" s="6">
        <f>$J$3+[19]FormattedData!H82*$J$4+$M$4*$J$5+[19]FormattedData!H82^2*$J$6+$M$5*$J$7</f>
        <v>32.772681422190701</v>
      </c>
      <c r="P39" s="6">
        <f>$J$3+[19]FormattedData!I82*$J$4+$M$4*$J$5+[19]FormattedData!I82^2*$J$6+$M$5*$J$7</f>
        <v>32.002059531803141</v>
      </c>
      <c r="Q39" s="6">
        <f>$J$3+[19]FormattedData!J82*$J$4+$M$4*$J$5+[19]FormattedData!J82^2*$J$6+$M$5*$J$7</f>
        <v>31.808981373826938</v>
      </c>
      <c r="R39" s="6">
        <f>$J$3+[19]FormattedData!K82*$J$4+$M$4*$J$5+[19]FormattedData!K82^2*$J$6+$M$5*$J$7</f>
        <v>32.580279560821403</v>
      </c>
      <c r="S39" s="6">
        <f>$J$3+[19]FormattedData!L82*$J$4+$M$4*$J$5+[19]FormattedData!L82^2*$J$6+$M$5*$J$7</f>
        <v>32.772681422190701</v>
      </c>
      <c r="T39" s="6">
        <f>$J$3+[19]FormattedData!M82*$J$4+$M$4*$J$5+[19]FormattedData!M82^2*$J$6+$M$5*$J$7</f>
        <v>31.712378892031943</v>
      </c>
      <c r="U39" s="6">
        <f>$J$3+[19]FormattedData!N82*$J$4+$M$4*$J$5+[19]FormattedData!N82^2*$J$6+$M$5*$J$7</f>
        <v>34.782693114658016</v>
      </c>
      <c r="V39" s="6">
        <f>$J$3+[19]FormattedData!O82*$J$4+$M$4*$J$5+[19]FormattedData!O82^2*$J$6+$M$5*$J$7</f>
        <v>33.444756478038428</v>
      </c>
      <c r="W39" s="5">
        <f t="shared" si="0"/>
        <v>32.721953262740321</v>
      </c>
      <c r="X39" s="4">
        <f t="shared" si="1"/>
        <v>0.32351732221366969</v>
      </c>
      <c r="Y39" s="3">
        <f t="shared" si="2"/>
        <v>31.615734141699011</v>
      </c>
      <c r="Z39" s="2">
        <f t="shared" si="3"/>
        <v>31.881401533769736</v>
      </c>
      <c r="AA39" s="3">
        <f t="shared" si="4"/>
        <v>32.483994093060886</v>
      </c>
      <c r="AB39" s="2">
        <f t="shared" si="5"/>
        <v>32.940700186152633</v>
      </c>
      <c r="AC39" s="2">
        <f t="shared" si="6"/>
        <v>34.87794300323921</v>
      </c>
      <c r="AD39" s="2">
        <f t="shared" si="7"/>
        <v>1.1664105581169204</v>
      </c>
      <c r="AE39" s="2">
        <f t="shared" si="8"/>
        <v>0.34903188285332742</v>
      </c>
    </row>
    <row r="40" spans="2:31" x14ac:dyDescent="0.2">
      <c r="B40" s="1">
        <f>[19]FormattedData!A80</f>
        <v>407</v>
      </c>
      <c r="C40" s="1" t="str">
        <f>VLOOKUP($B40,[19]TrtCodes!$B$11:I123,2)</f>
        <v>NSH</v>
      </c>
      <c r="D40" s="1">
        <f>VLOOKUP($B40,[19]TrtCodes!$B$11:J123,3)</f>
        <v>7</v>
      </c>
      <c r="E40" s="1">
        <f>VLOOKUP($B40,[19]TrtCodes!$B$11:K123,4)</f>
        <v>2</v>
      </c>
      <c r="F40" s="1">
        <f>VLOOKUP($B40,[19]TrtCodes!$B$11:L123,5)</f>
        <v>1</v>
      </c>
      <c r="G40" s="1">
        <f>VLOOKUP($B40,[19]TrtCodes!$B$11:M123,6)</f>
        <v>2</v>
      </c>
      <c r="H40" s="1">
        <f>VLOOKUP($B40,[19]TrtCodes!$B$11:N123,7)</f>
        <v>4</v>
      </c>
      <c r="I40" s="1">
        <f>[19]FormattedData!B80</f>
        <v>1</v>
      </c>
      <c r="J40" s="4">
        <f>[19]FormattedData!C80</f>
        <v>13.608000000000001</v>
      </c>
      <c r="K40" s="6">
        <f>$J$3+[19]FormattedData!D80*$J$4+$M$4*$J$5+[19]FormattedData!D80^2*$J$6+$M$5*$J$7</f>
        <v>49.30791883452784</v>
      </c>
      <c r="L40" s="6">
        <f>$J$3+[19]FormattedData!E80*$J$4+$M$4*$J$5+[19]FormattedData!E80^2*$J$6+$M$5*$J$7</f>
        <v>41.901219313725541</v>
      </c>
      <c r="M40" s="6">
        <f>$J$3+[19]FormattedData!F80*$J$4+$M$4*$J$5+[19]FormattedData!F80^2*$J$6+$M$5*$J$7</f>
        <v>37.997476676639479</v>
      </c>
      <c r="N40" s="6">
        <f>$J$3+[19]FormattedData!G80*$J$4+$M$4*$J$5+[19]FormattedData!G80^2*$J$6+$M$5*$J$7</f>
        <v>46.09119544309479</v>
      </c>
      <c r="O40" s="6">
        <f>$J$3+[19]FormattedData!H80*$J$4+$M$4*$J$5+[19]FormattedData!H80^2*$J$6+$M$5*$J$7</f>
        <v>34.019172338642889</v>
      </c>
      <c r="P40" s="6">
        <f>$J$3+[19]FormattedData!I80*$J$4+$M$4*$J$5+[19]FormattedData!I80^2*$J$6+$M$5*$J$7</f>
        <v>50.719989963385387</v>
      </c>
      <c r="Q40" s="6">
        <f>$J$3+[19]FormattedData!J80*$J$4+$M$4*$J$5+[19]FormattedData!J80^2*$J$6+$M$5*$J$7</f>
        <v>35.828117119465013</v>
      </c>
      <c r="R40" s="6">
        <f>$J$3+[19]FormattedData!K80*$J$4+$M$4*$J$5+[19]FormattedData!K80^2*$J$6+$M$5*$J$7</f>
        <v>48.419879469060817</v>
      </c>
      <c r="S40" s="6">
        <f>$J$3+[19]FormattedData!L80*$J$4+$M$4*$J$5+[19]FormattedData!L80^2*$J$6+$M$5*$J$7</f>
        <v>32.291359754732959</v>
      </c>
      <c r="T40" s="6">
        <f>$J$3+[19]FormattedData!M80*$J$4+$M$4*$J$5+[19]FormattedData!M80^2*$J$6+$M$5*$J$7</f>
        <v>47.706404641956155</v>
      </c>
      <c r="U40" s="6">
        <f>$J$3+[19]FormattedData!N80*$J$4+$M$4*$J$5+[19]FormattedData!N80^2*$J$6+$M$5*$J$7</f>
        <v>34.592066531881827</v>
      </c>
      <c r="V40" s="6">
        <f>$J$3+[19]FormattedData!O80*$J$4+$M$4*$J$5+[19]FormattedData!O80^2*$J$6+$M$5*$J$7</f>
        <v>37.245452942941618</v>
      </c>
      <c r="W40" s="5">
        <f t="shared" si="0"/>
        <v>41.343354419171185</v>
      </c>
      <c r="X40" s="4">
        <f t="shared" si="1"/>
        <v>1.9546798516124413</v>
      </c>
      <c r="Y40" s="3">
        <f t="shared" si="2"/>
        <v>32.291359754732959</v>
      </c>
      <c r="Z40" s="2">
        <f t="shared" si="3"/>
        <v>35.519104472569218</v>
      </c>
      <c r="AA40" s="3">
        <f t="shared" si="4"/>
        <v>39.949347995182507</v>
      </c>
      <c r="AB40" s="2">
        <f t="shared" si="5"/>
        <v>47.884773348732324</v>
      </c>
      <c r="AC40" s="2">
        <f t="shared" si="6"/>
        <v>50.719989963385387</v>
      </c>
      <c r="AD40" s="2">
        <f t="shared" si="7"/>
        <v>0.11682814104448834</v>
      </c>
      <c r="AE40" s="2">
        <f t="shared" si="8"/>
        <v>-1.8287104976220845</v>
      </c>
    </row>
    <row r="41" spans="2:31" x14ac:dyDescent="0.2">
      <c r="B41" s="1">
        <f>[19]FormattedData!A78</f>
        <v>408</v>
      </c>
      <c r="C41" s="1" t="str">
        <f>VLOOKUP($B41,[19]TrtCodes!$B$11:I121,2)</f>
        <v>NTL</v>
      </c>
      <c r="D41" s="1">
        <f>VLOOKUP($B41,[19]TrtCodes!$B$11:J121,3)</f>
        <v>10</v>
      </c>
      <c r="E41" s="1">
        <f>VLOOKUP($B41,[19]TrtCodes!$B$11:K121,4)</f>
        <v>2</v>
      </c>
      <c r="F41" s="1">
        <f>VLOOKUP($B41,[19]TrtCodes!$B$11:L121,5)</f>
        <v>2</v>
      </c>
      <c r="G41" s="1">
        <f>VLOOKUP($B41,[19]TrtCodes!$B$11:M121,6)</f>
        <v>1</v>
      </c>
      <c r="H41" s="1">
        <f>VLOOKUP($B41,[19]TrtCodes!$B$11:N121,7)</f>
        <v>4</v>
      </c>
      <c r="I41" s="1">
        <f>[19]FormattedData!B78</f>
        <v>1</v>
      </c>
      <c r="J41" s="4">
        <f>[19]FormattedData!C78</f>
        <v>13.590999999999999</v>
      </c>
      <c r="K41" s="6">
        <f>$J$3+[19]FormattedData!D78*$J$4+$M$4*$J$5+[19]FormattedData!D78^2*$J$6+$M$5*$J$7</f>
        <v>42.819692026502977</v>
      </c>
      <c r="L41" s="6">
        <f>$J$3+[19]FormattedData!E78*$J$4+$M$4*$J$5+[19]FormattedData!E78^2*$J$6+$M$5*$J$7</f>
        <v>31.712378892031943</v>
      </c>
      <c r="M41" s="6">
        <f>$J$3+[19]FormattedData!F78*$J$4+$M$4*$J$5+[19]FormattedData!F78^2*$J$6+$M$5*$J$7</f>
        <v>39.679639239583771</v>
      </c>
      <c r="N41" s="6">
        <f>$J$3+[19]FormattedData!G78*$J$4+$M$4*$J$5+[19]FormattedData!G78^2*$J$6+$M$5*$J$7</f>
        <v>39.772691164192551</v>
      </c>
      <c r="O41" s="6">
        <f>$J$3+[19]FormattedData!H78*$J$4+$M$4*$J$5+[19]FormattedData!H78^2*$J$6+$M$5*$J$7</f>
        <v>35.828117119465013</v>
      </c>
      <c r="P41" s="6">
        <f>$J$3+[19]FormattedData!I78*$J$4+$M$4*$J$5+[19]FormattedData!I78^2*$J$6+$M$5*$J$7</f>
        <v>36.585213077714599</v>
      </c>
      <c r="Q41" s="6">
        <f>$J$3+[19]FormattedData!J78*$J$4+$M$4*$J$5+[19]FormattedData!J78^2*$J$6+$M$5*$J$7</f>
        <v>35.638420444523298</v>
      </c>
      <c r="R41" s="6">
        <f>$J$3+[19]FormattedData!K78*$J$4+$M$4*$J$5+[19]FormattedData!K78^2*$J$6+$M$5*$J$7</f>
        <v>39.40022985452984</v>
      </c>
      <c r="S41" s="6">
        <f>$J$3+[19]FormattedData!L78*$J$4+$M$4*$J$5+[19]FormattedData!L78^2*$J$6+$M$5*$J$7</f>
        <v>33.636397505724972</v>
      </c>
      <c r="T41" s="6">
        <f>$J$3+[19]FormattedData!M78*$J$4+$M$4*$J$5+[19]FormattedData!M78^2*$J$6+$M$5*$J$7</f>
        <v>32.387708625300363</v>
      </c>
      <c r="U41" s="6">
        <f>$J$3+[19]FormattedData!N78*$J$4+$M$4*$J$5+[19]FormattedData!N78^2*$J$6+$M$5*$J$7</f>
        <v>31.422317835419356</v>
      </c>
      <c r="V41" s="6">
        <f>$J$3+[19]FormattedData!O78*$J$4+$M$4*$J$5+[19]FormattedData!O78^2*$J$6+$M$5*$J$7</f>
        <v>39.958668207796322</v>
      </c>
      <c r="W41" s="5">
        <f t="shared" si="0"/>
        <v>36.570122832732082</v>
      </c>
      <c r="X41" s="4">
        <f t="shared" si="1"/>
        <v>1.0874287567691672</v>
      </c>
      <c r="Y41" s="3">
        <f t="shared" si="2"/>
        <v>31.422317835419356</v>
      </c>
      <c r="Z41" s="2">
        <f t="shared" si="3"/>
        <v>33.324225285618823</v>
      </c>
      <c r="AA41" s="3">
        <f t="shared" si="4"/>
        <v>36.206665098589809</v>
      </c>
      <c r="AB41" s="2">
        <f t="shared" si="5"/>
        <v>39.702902220735965</v>
      </c>
      <c r="AC41" s="2">
        <f t="shared" si="6"/>
        <v>42.819692026502977</v>
      </c>
      <c r="AD41" s="2">
        <f t="shared" si="7"/>
        <v>3.6537618510856025E-2</v>
      </c>
      <c r="AE41" s="2">
        <f t="shared" si="8"/>
        <v>-1.2471022270946728</v>
      </c>
    </row>
    <row r="42" spans="2:31" x14ac:dyDescent="0.2">
      <c r="B42" s="17">
        <f>[19]FormattedData!A60</f>
        <v>901</v>
      </c>
      <c r="C42" s="17" t="str">
        <f>VLOOKUP($B42,[19]TrtCodes!$B$11:I103,2)</f>
        <v>WS</v>
      </c>
      <c r="D42" s="17">
        <f>VLOOKUP($B42,[19]TrtCodes!$B$11:J103,3)</f>
        <v>32</v>
      </c>
      <c r="E42" s="17">
        <f>VLOOKUP($B42,[19]TrtCodes!$B$11:K103,4)</f>
        <v>9</v>
      </c>
      <c r="F42" s="17">
        <f>VLOOKUP($B42,[19]TrtCodes!$B$11:L103,5)</f>
        <v>0</v>
      </c>
      <c r="G42" s="17">
        <f>VLOOKUP($B42,[19]TrtCodes!$B$11:M103,6)</f>
        <v>1</v>
      </c>
      <c r="H42" s="17">
        <f>VLOOKUP($B42,[19]TrtCodes!$B$11:N103,7)</f>
        <v>1</v>
      </c>
      <c r="I42" s="17">
        <f>[19]FormattedData!B60</f>
        <v>1</v>
      </c>
      <c r="J42" s="15">
        <f>[19]FormattedData!C60</f>
        <v>13.441000000000001</v>
      </c>
      <c r="K42" s="14">
        <f>$J$3+[19]FormattedData!D60*$J$4+$M$4*$J$5+[19]FormattedData!D60^2*$J$6+$M$5*$J$7</f>
        <v>37.339603849536608</v>
      </c>
      <c r="L42" s="14">
        <f>$J$3+[19]FormattedData!E60*$J$4+$M$4*$J$5+[19]FormattedData!E60^2*$J$6+$M$5*$J$7</f>
        <v>37.339603849536608</v>
      </c>
      <c r="M42" s="14">
        <f>$J$3+[19]FormattedData!F60*$J$4+$M$4*$J$5+[19]FormattedData!F60^2*$J$6+$M$5*$J$7</f>
        <v>37.151259767808696</v>
      </c>
      <c r="N42" s="14">
        <f>$J$3+[19]FormattedData!G60*$J$4+$M$4*$J$5+[19]FormattedData!G60^2*$J$6+$M$5*$J$7</f>
        <v>37.339603849536608</v>
      </c>
      <c r="O42" s="14">
        <f>$J$3+[19]FormattedData!H60*$J$4+$M$4*$J$5+[19]FormattedData!H60^2*$J$6+$M$5*$J$7</f>
        <v>36.962746611929063</v>
      </c>
      <c r="P42" s="14">
        <f>$J$3+[19]FormattedData!I60*$J$4+$M$4*$J$5+[19]FormattedData!I60^2*$J$6+$M$5*$J$7</f>
        <v>37.715784790537263</v>
      </c>
      <c r="Q42" s="14">
        <f>$J$3+[19]FormattedData!J60*$J$4+$M$4*$J$5+[19]FormattedData!J60^2*$J$6+$M$5*$J$7</f>
        <v>37.339603849536608</v>
      </c>
      <c r="R42" s="14">
        <f>$J$3+[19]FormattedData!K60*$J$4+$M$4*$J$5+[19]FormattedData!K60^2*$J$6+$M$5*$J$7</f>
        <v>37.339603849536608</v>
      </c>
      <c r="S42" s="14">
        <f>$J$3+[19]FormattedData!L60*$J$4+$M$4*$J$5+[19]FormattedData!L60^2*$J$6+$M$5*$J$7</f>
        <v>37.715784790537263</v>
      </c>
      <c r="T42" s="14">
        <f>$J$3+[19]FormattedData!M60*$J$4+$M$4*$J$5+[19]FormattedData!M60^2*$J$6+$M$5*$J$7</f>
        <v>37.903621649810006</v>
      </c>
      <c r="U42" s="14">
        <f>$J$3+[19]FormattedData!N60*$J$4+$M$4*$J$5+[19]FormattedData!N60^2*$J$6+$M$5*$J$7</f>
        <v>37.715784790537263</v>
      </c>
      <c r="V42" s="14">
        <f>$J$3+[19]FormattedData!O60*$J$4+$M$4*$J$5+[19]FormattedData!O60^2*$J$6+$M$5*$J$7</f>
        <v>37.621802958093994</v>
      </c>
      <c r="W42" s="16">
        <f t="shared" ref="W42:W73" si="9">AVERAGE(K42:V42)</f>
        <v>37.457067050578054</v>
      </c>
      <c r="X42" s="15">
        <f t="shared" ref="X42:X73" si="10">STDEV(K42:V42)/SQRT(COUNT(K42:V42))</f>
        <v>7.9497109938155744E-2</v>
      </c>
      <c r="Y42" s="14">
        <f t="shared" ref="Y42:Y73" si="11">MIN(K42:V42)</f>
        <v>36.962746611929063</v>
      </c>
      <c r="Z42" s="13">
        <f t="shared" ref="Z42:Z73" si="12">QUARTILE(K42:V42,1)</f>
        <v>37.339603849536608</v>
      </c>
      <c r="AA42" s="14">
        <f t="shared" ref="AA42:AA73" si="13">MEDIAN(K42:V42)</f>
        <v>37.339603849536608</v>
      </c>
      <c r="AB42" s="13">
        <f t="shared" ref="AB42:AB73" si="14">QUARTILE(K42:V42,3)</f>
        <v>37.715784790537263</v>
      </c>
      <c r="AC42" s="13">
        <f t="shared" ref="AC42:AC73" si="15">MAX(K42:V42)</f>
        <v>37.903621649810006</v>
      </c>
      <c r="AD42" s="13">
        <f t="shared" ref="AD42:AD73" si="16">SKEW(K42:V42)</f>
        <v>-6.2788672960372494E-2</v>
      </c>
      <c r="AE42" s="13">
        <f t="shared" ref="AE42:AE73" si="17">KURT(K42:V42)</f>
        <v>-0.65382963519918702</v>
      </c>
    </row>
    <row r="43" spans="2:31" x14ac:dyDescent="0.2">
      <c r="B43" s="1">
        <f>[19]FormattedData!A58</f>
        <v>902</v>
      </c>
      <c r="C43" s="1" t="str">
        <f>VLOOKUP($B43,[19]TrtCodes!$B$11:I101,2)</f>
        <v>Late</v>
      </c>
      <c r="D43" s="1">
        <f>VLOOKUP($B43,[19]TrtCodes!$B$11:J101,3)</f>
        <v>22</v>
      </c>
      <c r="E43" s="1">
        <f>VLOOKUP($B43,[19]TrtCodes!$B$11:K101,4)</f>
        <v>4</v>
      </c>
      <c r="F43" s="1">
        <f>VLOOKUP($B43,[19]TrtCodes!$B$11:L101,5)</f>
        <v>2</v>
      </c>
      <c r="G43" s="1">
        <f>VLOOKUP($B43,[19]TrtCodes!$B$11:M101,6)</f>
        <v>2</v>
      </c>
      <c r="H43" s="1">
        <f>VLOOKUP($B43,[19]TrtCodes!$B$11:N101,7)</f>
        <v>1</v>
      </c>
      <c r="I43" s="1">
        <f>[19]FormattedData!B58</f>
        <v>1</v>
      </c>
      <c r="J43" s="4">
        <f>[19]FormattedData!C58</f>
        <v>13.423999999999999</v>
      </c>
      <c r="K43" s="6">
        <f>$J$3+[19]FormattedData!D58*$J$4+$M$4*$J$5+[19]FormattedData!D58^2*$J$6+$M$5*$J$7</f>
        <v>48.597825490457666</v>
      </c>
      <c r="L43" s="6">
        <f>$J$3+[19]FormattedData!E58*$J$4+$M$4*$J$5+[19]FormattedData!E58^2*$J$6+$M$5*$J$7</f>
        <v>39.307008855769332</v>
      </c>
      <c r="M43" s="6">
        <f>$J$3+[19]FormattedData!F58*$J$4+$M$4*$J$5+[19]FormattedData!F58^2*$J$6+$M$5*$J$7</f>
        <v>35.543508704245554</v>
      </c>
      <c r="N43" s="6">
        <f>$J$3+[19]FormattedData!G58*$J$4+$M$4*$J$5+[19]FormattedData!G58^2*$J$6+$M$5*$J$7</f>
        <v>39.679639239583771</v>
      </c>
      <c r="O43" s="6">
        <f>$J$3+[19]FormattedData!H58*$J$4+$M$4*$J$5+[19]FormattedData!H58^2*$J$6+$M$5*$J$7</f>
        <v>38.466117782717873</v>
      </c>
      <c r="P43" s="6">
        <f>$J$3+[19]FormattedData!I58*$J$4+$M$4*$J$5+[19]FormattedData!I58^2*$J$6+$M$5*$J$7</f>
        <v>44.916138355746227</v>
      </c>
      <c r="Q43" s="6">
        <f>$J$3+[19]FormattedData!J58*$J$4+$M$4*$J$5+[19]FormattedData!J58^2*$J$6+$M$5*$J$7</f>
        <v>36.774064381897695</v>
      </c>
      <c r="R43" s="6">
        <f>$J$3+[19]FormattedData!K58*$J$4+$M$4*$J$5+[19]FormattedData!K58^2*$J$6+$M$5*$J$7</f>
        <v>46.631120176747437</v>
      </c>
      <c r="S43" s="6">
        <f>$J$3+[19]FormattedData!L58*$J$4+$M$4*$J$5+[19]FormattedData!L58^2*$J$6+$M$5*$J$7</f>
        <v>36.301619107405493</v>
      </c>
      <c r="T43" s="6">
        <f>$J$3+[19]FormattedData!M58*$J$4+$M$4*$J$5+[19]FormattedData!M58^2*$J$6+$M$5*$J$7</f>
        <v>49.485019485166063</v>
      </c>
      <c r="U43" s="6">
        <f>$J$3+[19]FormattedData!N58*$J$4+$M$4*$J$5+[19]FormattedData!N58^2*$J$6+$M$5*$J$7</f>
        <v>46.181288570048395</v>
      </c>
      <c r="V43" s="6">
        <f>$J$3+[19]FormattedData!O58*$J$4+$M$4*$J$5+[19]FormattedData!O58^2*$J$6+$M$5*$J$7</f>
        <v>37.5277788571128</v>
      </c>
      <c r="W43" s="5">
        <f t="shared" si="9"/>
        <v>41.617594083908195</v>
      </c>
      <c r="X43" s="4">
        <f t="shared" si="10"/>
        <v>1.4868868895837957</v>
      </c>
      <c r="Y43" s="3">
        <f t="shared" si="11"/>
        <v>35.543508704245554</v>
      </c>
      <c r="Z43" s="2">
        <f t="shared" si="12"/>
        <v>37.339350238309024</v>
      </c>
      <c r="AA43" s="3">
        <f t="shared" si="13"/>
        <v>39.493324047676552</v>
      </c>
      <c r="AB43" s="2">
        <f t="shared" si="14"/>
        <v>46.293746471723153</v>
      </c>
      <c r="AC43" s="2">
        <f t="shared" si="15"/>
        <v>49.485019485166063</v>
      </c>
      <c r="AD43" s="2">
        <f t="shared" si="16"/>
        <v>0.38060031181185677</v>
      </c>
      <c r="AE43" s="2">
        <f t="shared" si="17"/>
        <v>-1.6780485809790546</v>
      </c>
    </row>
    <row r="44" spans="2:31" x14ac:dyDescent="0.2">
      <c r="B44" s="17">
        <f>[19]FormattedData!A56</f>
        <v>903</v>
      </c>
      <c r="C44" s="17" t="str">
        <f>VLOOKUP($B44,[19]TrtCodes!$B$11:I99,2)</f>
        <v>DS</v>
      </c>
      <c r="D44" s="17">
        <f>VLOOKUP($B44,[19]TrtCodes!$B$11:J99,3)</f>
        <v>31</v>
      </c>
      <c r="E44" s="17">
        <f>VLOOKUP($B44,[19]TrtCodes!$B$11:K99,4)</f>
        <v>8</v>
      </c>
      <c r="F44" s="17">
        <f>VLOOKUP($B44,[19]TrtCodes!$B$11:L99,5)</f>
        <v>0</v>
      </c>
      <c r="G44" s="17">
        <f>VLOOKUP($B44,[19]TrtCodes!$B$11:M99,6)</f>
        <v>1</v>
      </c>
      <c r="H44" s="17">
        <f>VLOOKUP($B44,[19]TrtCodes!$B$11:N99,7)</f>
        <v>1</v>
      </c>
      <c r="I44" s="17">
        <f>[19]FormattedData!B56</f>
        <v>1</v>
      </c>
      <c r="J44" s="15">
        <f>[19]FormattedData!C56</f>
        <v>13.414999999999999</v>
      </c>
      <c r="K44" s="14">
        <f>$J$3+[19]FormattedData!D56*$J$4+$M$4*$J$5+[19]FormattedData!D56^2*$J$6+$M$5*$J$7</f>
        <v>64.326692434802709</v>
      </c>
      <c r="L44" s="14">
        <f>$J$3+[19]FormattedData!E56*$J$4+$M$4*$J$5+[19]FormattedData!E56^2*$J$6+$M$5*$J$7</f>
        <v>64.245560237890501</v>
      </c>
      <c r="M44" s="14">
        <f>$J$3+[19]FormattedData!F56*$J$4+$M$4*$J$5+[19]FormattedData!F56^2*$J$6+$M$5*$J$7</f>
        <v>64.164385772440383</v>
      </c>
      <c r="N44" s="14">
        <f>$J$3+[19]FormattedData!G56*$J$4+$M$4*$J$5+[19]FormattedData!G56^2*$J$6+$M$5*$J$7</f>
        <v>63.676451340443023</v>
      </c>
      <c r="O44" s="14">
        <f>$J$3+[19]FormattedData!H56*$J$4+$M$4*$J$5+[19]FormattedData!H56^2*$J$6+$M$5*$J$7</f>
        <v>63.920608764862401</v>
      </c>
      <c r="P44" s="14">
        <f>$J$3+[19]FormattedData!I56*$J$4+$M$4*$J$5+[19]FormattedData!I56^2*$J$6+$M$5*$J$7</f>
        <v>64.083169038452297</v>
      </c>
      <c r="Q44" s="14">
        <f>$J$3+[19]FormattedData!J56*$J$4+$M$4*$J$5+[19]FormattedData!J56^2*$J$6+$M$5*$J$7</f>
        <v>64.164385772440383</v>
      </c>
      <c r="R44" s="14">
        <f>$J$3+[19]FormattedData!K56*$J$4+$M$4*$J$5+[19]FormattedData!K56^2*$J$6+$M$5*$J$7</f>
        <v>64.164385772440383</v>
      </c>
      <c r="S44" s="14">
        <f>$J$3+[19]FormattedData!L56*$J$4+$M$4*$J$5+[19]FormattedData!L56^2*$J$6+$M$5*$J$7</f>
        <v>64.407782363176963</v>
      </c>
      <c r="T44" s="14">
        <f>$J$3+[19]FormattedData!M56*$J$4+$M$4*$J$5+[19]FormattedData!M56^2*$J$6+$M$5*$J$7</f>
        <v>64.164385772440383</v>
      </c>
      <c r="U44" s="14">
        <f>$J$3+[19]FormattedData!N56*$J$4+$M$4*$J$5+[19]FormattedData!N56^2*$J$6+$M$5*$J$7</f>
        <v>64.326692434802709</v>
      </c>
      <c r="V44" s="14">
        <f>$J$3+[19]FormattedData!O56*$J$4+$M$4*$J$5+[19]FormattedData!O56^2*$J$6+$M$5*$J$7</f>
        <v>64.245560237890501</v>
      </c>
      <c r="W44" s="16">
        <f t="shared" si="9"/>
        <v>64.157504995173539</v>
      </c>
      <c r="X44" s="15">
        <f t="shared" si="10"/>
        <v>5.6985022583105914E-2</v>
      </c>
      <c r="Y44" s="14">
        <f t="shared" si="11"/>
        <v>63.676451340443023</v>
      </c>
      <c r="Z44" s="13">
        <f t="shared" si="12"/>
        <v>64.144081588943365</v>
      </c>
      <c r="AA44" s="14">
        <f t="shared" si="13"/>
        <v>64.164385772440383</v>
      </c>
      <c r="AB44" s="13">
        <f t="shared" si="14"/>
        <v>64.265843287118557</v>
      </c>
      <c r="AC44" s="13">
        <f t="shared" si="15"/>
        <v>64.407782363176963</v>
      </c>
      <c r="AD44" s="13">
        <f t="shared" si="16"/>
        <v>-1.3940466933674005</v>
      </c>
      <c r="AE44" s="13">
        <f t="shared" si="17"/>
        <v>2.4435851148589975</v>
      </c>
    </row>
    <row r="45" spans="2:31" x14ac:dyDescent="0.2">
      <c r="B45" s="1">
        <f>[19]FormattedData!A54</f>
        <v>904</v>
      </c>
      <c r="C45" s="1" t="str">
        <f>VLOOKUP($B45,[19]TrtCodes!$B$11:I97,2)</f>
        <v>Early</v>
      </c>
      <c r="D45" s="1">
        <f>VLOOKUP($B45,[19]TrtCodes!$B$11:J97,3)</f>
        <v>21</v>
      </c>
      <c r="E45" s="1">
        <f>VLOOKUP($B45,[19]TrtCodes!$B$11:K97,4)</f>
        <v>3</v>
      </c>
      <c r="F45" s="1">
        <f>VLOOKUP($B45,[19]TrtCodes!$B$11:L97,5)</f>
        <v>2</v>
      </c>
      <c r="G45" s="1">
        <f>VLOOKUP($B45,[19]TrtCodes!$B$11:M97,6)</f>
        <v>2</v>
      </c>
      <c r="H45" s="1">
        <f>VLOOKUP($B45,[19]TrtCodes!$B$11:N97,7)</f>
        <v>1</v>
      </c>
      <c r="I45" s="1">
        <f>[19]FormattedData!B54</f>
        <v>1</v>
      </c>
      <c r="J45" s="4">
        <f>[19]FormattedData!C54</f>
        <v>13.398999999999999</v>
      </c>
      <c r="K45" s="6">
        <f>$J$3+[19]FormattedData!D54*$J$4+$M$4*$J$5+[19]FormattedData!D54^2*$J$6+$M$5*$J$7</f>
        <v>41.532646709552488</v>
      </c>
      <c r="L45" s="6">
        <f>$J$3+[19]FormattedData!E54*$J$4+$M$4*$J$5+[19]FormattedData!E54^2*$J$6+$M$5*$J$7</f>
        <v>38.840269833897835</v>
      </c>
      <c r="M45" s="6">
        <f>$J$3+[19]FormattedData!F54*$J$4+$M$4*$J$5+[19]FormattedData!F54^2*$J$6+$M$5*$J$7</f>
        <v>37.245452942941618</v>
      </c>
      <c r="N45" s="6">
        <f>$J$3+[19]FormattedData!G54*$J$4+$M$4*$J$5+[19]FormattedData!G54^2*$J$6+$M$5*$J$7</f>
        <v>41.07097991223273</v>
      </c>
      <c r="O45" s="6">
        <f>$J$3+[19]FormattedData!H54*$J$4+$M$4*$J$5+[19]FormattedData!H54^2*$J$6+$M$5*$J$7</f>
        <v>37.715784790537263</v>
      </c>
      <c r="P45" s="6">
        <f>$J$3+[19]FormattedData!I54*$J$4+$M$4*$J$5+[19]FormattedData!I54^2*$J$6+$M$5*$J$7</f>
        <v>40.70088564069416</v>
      </c>
      <c r="Q45" s="6">
        <f>$J$3+[19]FormattedData!J54*$J$4+$M$4*$J$5+[19]FormattedData!J54^2*$J$6+$M$5*$J$7</f>
        <v>36.396192699379796</v>
      </c>
      <c r="R45" s="6">
        <f>$J$3+[19]FormattedData!K54*$J$4+$M$4*$J$5+[19]FormattedData!K54^2*$J$6+$M$5*$J$7</f>
        <v>39.58654504643706</v>
      </c>
      <c r="S45" s="6">
        <f>$J$3+[19]FormattedData!L54*$J$4+$M$4*$J$5+[19]FormattedData!L54^2*$J$6+$M$5*$J$7</f>
        <v>36.490724022816167</v>
      </c>
      <c r="T45" s="6">
        <f>$J$3+[19]FormattedData!M54*$J$4+$M$4*$J$5+[19]FormattedData!M54^2*$J$6+$M$5*$J$7</f>
        <v>39.865700820263399</v>
      </c>
      <c r="U45" s="6">
        <f>$J$3+[19]FormattedData!N54*$J$4+$M$4*$J$5+[19]FormattedData!N54^2*$J$6+$M$5*$J$7</f>
        <v>35.922902054128969</v>
      </c>
      <c r="V45" s="6">
        <f>$J$3+[19]FormattedData!O54*$J$4+$M$4*$J$5+[19]FormattedData!O54^2*$J$6+$M$5*$J$7</f>
        <v>37.433712487593674</v>
      </c>
      <c r="W45" s="5">
        <f t="shared" si="9"/>
        <v>38.566816413372926</v>
      </c>
      <c r="X45" s="4">
        <f t="shared" si="10"/>
        <v>0.56534509717030978</v>
      </c>
      <c r="Y45" s="3">
        <f t="shared" si="11"/>
        <v>35.922902054128969</v>
      </c>
      <c r="Z45" s="2">
        <f t="shared" si="12"/>
        <v>37.056770712910257</v>
      </c>
      <c r="AA45" s="3">
        <f t="shared" si="13"/>
        <v>38.278027312217546</v>
      </c>
      <c r="AB45" s="2">
        <f t="shared" si="14"/>
        <v>40.074497025371087</v>
      </c>
      <c r="AC45" s="2">
        <f t="shared" si="15"/>
        <v>41.532646709552488</v>
      </c>
      <c r="AD45" s="2">
        <f t="shared" si="16"/>
        <v>0.18513175156781164</v>
      </c>
      <c r="AE45" s="2">
        <f t="shared" si="17"/>
        <v>-1.5028022259047615</v>
      </c>
    </row>
    <row r="46" spans="2:31" x14ac:dyDescent="0.2">
      <c r="B46" s="17">
        <f>[19]FormattedData!A52</f>
        <v>905</v>
      </c>
      <c r="C46" s="17" t="str">
        <f>VLOOKUP($B46,[19]TrtCodes!$B$11:I95,2)</f>
        <v>WS</v>
      </c>
      <c r="D46" s="17">
        <f>VLOOKUP($B46,[19]TrtCodes!$B$11:J95,3)</f>
        <v>32</v>
      </c>
      <c r="E46" s="17">
        <f>VLOOKUP($B46,[19]TrtCodes!$B$11:K95,4)</f>
        <v>9</v>
      </c>
      <c r="F46" s="17">
        <f>VLOOKUP($B46,[19]TrtCodes!$B$11:L95,5)</f>
        <v>0</v>
      </c>
      <c r="G46" s="17">
        <f>VLOOKUP($B46,[19]TrtCodes!$B$11:M95,6)</f>
        <v>1</v>
      </c>
      <c r="H46" s="17">
        <f>VLOOKUP($B46,[19]TrtCodes!$B$11:N95,7)</f>
        <v>2</v>
      </c>
      <c r="I46" s="17">
        <f>[19]FormattedData!B52</f>
        <v>1</v>
      </c>
      <c r="J46" s="15">
        <f>[19]FormattedData!C52</f>
        <v>13.391</v>
      </c>
      <c r="K46" s="14">
        <f>$J$3+[19]FormattedData!D52*$J$4+$M$4*$J$5+[19]FormattedData!D52^2*$J$6+$M$5*$J$7</f>
        <v>40.793472611385695</v>
      </c>
      <c r="L46" s="14">
        <f>$J$3+[19]FormattedData!E52*$J$4+$M$4*$J$5+[19]FormattedData!E52^2*$J$6+$M$5*$J$7</f>
        <v>40.886017313539305</v>
      </c>
      <c r="M46" s="14">
        <f>$J$3+[19]FormattedData!F52*$J$4+$M$4*$J$5+[19]FormattedData!F52^2*$J$6+$M$5*$J$7</f>
        <v>40.51558489369728</v>
      </c>
      <c r="N46" s="14">
        <f>$J$3+[19]FormattedData!G52*$J$4+$M$4*$J$5+[19]FormattedData!G52^2*$J$6+$M$5*$J$7</f>
        <v>40.144476177248372</v>
      </c>
      <c r="O46" s="14">
        <f>$J$3+[19]FormattedData!H52*$J$4+$M$4*$J$5+[19]FormattedData!H52^2*$J$6+$M$5*$J$7</f>
        <v>40.237316759167499</v>
      </c>
      <c r="P46" s="14">
        <f>$J$3+[19]FormattedData!I52*$J$4+$M$4*$J$5+[19]FormattedData!I52^2*$J$6+$M$5*$J$7</f>
        <v>40.422871117391956</v>
      </c>
      <c r="Q46" s="14">
        <f>$J$3+[19]FormattedData!J52*$J$4+$M$4*$J$5+[19]FormattedData!J52^2*$J$6+$M$5*$J$7</f>
        <v>40.330115072548686</v>
      </c>
      <c r="R46" s="14">
        <f>$J$3+[19]FormattedData!K52*$J$4+$M$4*$J$5+[19]FormattedData!K52^2*$J$6+$M$5*$J$7</f>
        <v>40.330115072548686</v>
      </c>
      <c r="S46" s="14">
        <f>$J$3+[19]FormattedData!L52*$J$4+$M$4*$J$5+[19]FormattedData!L52^2*$J$6+$M$5*$J$7</f>
        <v>40.237316759167499</v>
      </c>
      <c r="T46" s="14">
        <f>$J$3+[19]FormattedData!M52*$J$4+$M$4*$J$5+[19]FormattedData!M52^2*$J$6+$M$5*$J$7</f>
        <v>40.237316759167499</v>
      </c>
      <c r="U46" s="14">
        <f>$J$3+[19]FormattedData!N52*$J$4+$M$4*$J$5+[19]FormattedData!N52^2*$J$6+$M$5*$J$7</f>
        <v>40.51558489369728</v>
      </c>
      <c r="V46" s="14">
        <f>$J$3+[19]FormattedData!O52*$J$4+$M$4*$J$5+[19]FormattedData!O52^2*$J$6+$M$5*$J$7</f>
        <v>40.330115072548686</v>
      </c>
      <c r="W46" s="16">
        <f t="shared" si="9"/>
        <v>40.415025208509029</v>
      </c>
      <c r="X46" s="15">
        <f t="shared" si="10"/>
        <v>6.5995231082647529E-2</v>
      </c>
      <c r="Y46" s="14">
        <f t="shared" si="11"/>
        <v>40.144476177248372</v>
      </c>
      <c r="Z46" s="13">
        <f t="shared" si="12"/>
        <v>40.237316759167499</v>
      </c>
      <c r="AA46" s="14">
        <f t="shared" si="13"/>
        <v>40.330115072548686</v>
      </c>
      <c r="AB46" s="13">
        <f t="shared" si="14"/>
        <v>40.51558489369728</v>
      </c>
      <c r="AC46" s="13">
        <f t="shared" si="15"/>
        <v>40.886017313539305</v>
      </c>
      <c r="AD46" s="13">
        <f t="shared" si="16"/>
        <v>1.1160921153473584</v>
      </c>
      <c r="AE46" s="13">
        <f t="shared" si="17"/>
        <v>0.49121623144283433</v>
      </c>
    </row>
    <row r="47" spans="2:31" x14ac:dyDescent="0.2">
      <c r="B47" s="1">
        <f>[19]FormattedData!A50</f>
        <v>906</v>
      </c>
      <c r="C47" s="1" t="str">
        <f>VLOOKUP($B47,[19]TrtCodes!$B$11:I93,2)</f>
        <v>Late</v>
      </c>
      <c r="D47" s="1">
        <f>VLOOKUP($B47,[19]TrtCodes!$B$11:J93,3)</f>
        <v>22</v>
      </c>
      <c r="E47" s="1">
        <f>VLOOKUP($B47,[19]TrtCodes!$B$11:K93,4)</f>
        <v>4</v>
      </c>
      <c r="F47" s="1">
        <f>VLOOKUP($B47,[19]TrtCodes!$B$11:L93,5)</f>
        <v>2</v>
      </c>
      <c r="G47" s="1">
        <f>VLOOKUP($B47,[19]TrtCodes!$B$11:M93,6)</f>
        <v>2</v>
      </c>
      <c r="H47" s="1">
        <f>VLOOKUP($B47,[19]TrtCodes!$B$11:N93,7)</f>
        <v>2</v>
      </c>
      <c r="I47" s="1">
        <f>[19]FormattedData!B50</f>
        <v>1</v>
      </c>
      <c r="J47" s="4">
        <f>[19]FormattedData!C50</f>
        <v>13.374000000000001</v>
      </c>
      <c r="K47" s="6">
        <f>$J$3+[19]FormattedData!D50*$J$4+$M$4*$J$5+[19]FormattedData!D50^2*$J$6+$M$5*$J$7</f>
        <v>46.720959692473443</v>
      </c>
      <c r="L47" s="6">
        <f>$J$3+[19]FormattedData!E50*$J$4+$M$4*$J$5+[19]FormattedData!E50^2*$J$6+$M$5*$J$7</f>
        <v>37.245452942941618</v>
      </c>
      <c r="M47" s="6">
        <f>$J$3+[19]FormattedData!F50*$J$4+$M$4*$J$5+[19]FormattedData!F50^2*$J$6+$M$5*$J$7</f>
        <v>32.964914209408278</v>
      </c>
      <c r="N47" s="6">
        <f>$J$3+[19]FormattedData!G50*$J$4+$M$4*$J$5+[19]FormattedData!G50^2*$J$6+$M$5*$J$7</f>
        <v>40.608256401464686</v>
      </c>
      <c r="O47" s="6">
        <f>$J$3+[19]FormattedData!H50*$J$4+$M$4*$J$5+[19]FormattedData!H50^2*$J$6+$M$5*$J$7</f>
        <v>38.559719198319755</v>
      </c>
      <c r="P47" s="6">
        <f>$J$3+[19]FormattedData!I50*$J$4+$M$4*$J$5+[19]FormattedData!I50^2*$J$6+$M$5*$J$7</f>
        <v>42.819692026502977</v>
      </c>
      <c r="Q47" s="6">
        <f>$J$3+[19]FormattedData!J50*$J$4+$M$4*$J$5+[19]FormattedData!J50^2*$J$6+$M$5*$J$7</f>
        <v>34.114760375527538</v>
      </c>
      <c r="R47" s="6">
        <f>$J$3+[19]FormattedData!K50*$J$4+$M$4*$J$5+[19]FormattedData!K50^2*$J$6+$M$5*$J$7</f>
        <v>43.642703508009561</v>
      </c>
      <c r="S47" s="6">
        <f>$J$3+[19]FormattedData!L50*$J$4+$M$4*$J$5+[19]FormattedData!L50^2*$J$6+$M$5*$J$7</f>
        <v>34.019172338642889</v>
      </c>
      <c r="T47" s="6">
        <f>$J$3+[19]FormattedData!M50*$J$4+$M$4*$J$5+[19]FormattedData!M50^2*$J$6+$M$5*$J$7</f>
        <v>45.006780973692926</v>
      </c>
      <c r="U47" s="6">
        <f>$J$3+[19]FormattedData!N50*$J$4+$M$4*$J$5+[19]FormattedData!N50^2*$J$6+$M$5*$J$7</f>
        <v>38.37247409857806</v>
      </c>
      <c r="V47" s="6">
        <f>$J$3+[19]FormattedData!O50*$J$4+$M$4*$J$5+[19]FormattedData!O50^2*$J$6+$M$5*$J$7</f>
        <v>34.401270874953894</v>
      </c>
      <c r="W47" s="5">
        <f t="shared" si="9"/>
        <v>39.039679720042962</v>
      </c>
      <c r="X47" s="4">
        <f t="shared" si="10"/>
        <v>1.3604751451983368</v>
      </c>
      <c r="Y47" s="3">
        <f t="shared" si="11"/>
        <v>32.964914209408278</v>
      </c>
      <c r="Z47" s="2">
        <f t="shared" si="12"/>
        <v>34.329643250097305</v>
      </c>
      <c r="AA47" s="3">
        <f t="shared" si="13"/>
        <v>38.466096648448911</v>
      </c>
      <c r="AB47" s="2">
        <f t="shared" si="14"/>
        <v>43.02544489687962</v>
      </c>
      <c r="AC47" s="2">
        <f t="shared" si="15"/>
        <v>46.720959692473443</v>
      </c>
      <c r="AD47" s="2">
        <f t="shared" si="16"/>
        <v>0.25525661420401513</v>
      </c>
      <c r="AE47" s="2">
        <f t="shared" si="17"/>
        <v>-1.3287504790482045</v>
      </c>
    </row>
    <row r="48" spans="2:31" x14ac:dyDescent="0.2">
      <c r="B48" s="17">
        <f>[19]FormattedData!A48</f>
        <v>907</v>
      </c>
      <c r="C48" s="17" t="str">
        <f>VLOOKUP($B48,[19]TrtCodes!$B$11:I91,2)</f>
        <v>DS</v>
      </c>
      <c r="D48" s="17">
        <f>VLOOKUP($B48,[19]TrtCodes!$B$11:J91,3)</f>
        <v>31</v>
      </c>
      <c r="E48" s="17">
        <f>VLOOKUP($B48,[19]TrtCodes!$B$11:K91,4)</f>
        <v>8</v>
      </c>
      <c r="F48" s="17">
        <f>VLOOKUP($B48,[19]TrtCodes!$B$11:L91,5)</f>
        <v>0</v>
      </c>
      <c r="G48" s="17">
        <f>VLOOKUP($B48,[19]TrtCodes!$B$11:M91,6)</f>
        <v>1</v>
      </c>
      <c r="H48" s="17">
        <f>VLOOKUP($B48,[19]TrtCodes!$B$11:N91,7)</f>
        <v>2</v>
      </c>
      <c r="I48" s="17">
        <f>[19]FormattedData!B48</f>
        <v>1</v>
      </c>
      <c r="J48" s="15">
        <f>[19]FormattedData!C48</f>
        <v>13.366</v>
      </c>
      <c r="K48" s="14">
        <f>$J$3+[19]FormattedData!D48*$J$4+$M$4*$J$5+[19]FormattedData!D48^2*$J$6+$M$5*$J$7</f>
        <v>64.812597976979347</v>
      </c>
      <c r="L48" s="14">
        <f>$J$3+[19]FormattedData!E48*$J$4+$M$4*$J$5+[19]FormattedData!E48^2*$J$6+$M$5*$J$7</f>
        <v>65.619059064239266</v>
      </c>
      <c r="M48" s="14">
        <f>$J$3+[19]FormattedData!F48*$J$4+$M$4*$J$5+[19]FormattedData!F48^2*$J$6+$M$5*$J$7</f>
        <v>65.135689634338505</v>
      </c>
      <c r="N48" s="14">
        <f>$J$3+[19]FormattedData!G48*$J$4+$M$4*$J$5+[19]FormattedData!G48^2*$J$6+$M$5*$J$7</f>
        <v>64.812597976979347</v>
      </c>
      <c r="O48" s="14">
        <f>$J$3+[19]FormattedData!H48*$J$4+$M$4*$J$5+[19]FormattedData!H48^2*$J$6+$M$5*$J$7</f>
        <v>64.893434294126024</v>
      </c>
      <c r="P48" s="14">
        <f>$J$3+[19]FormattedData!I48*$J$4+$M$4*$J$5+[19]FormattedData!I48^2*$J$6+$M$5*$J$7</f>
        <v>64.97422834273479</v>
      </c>
      <c r="Q48" s="14">
        <f>$J$3+[19]FormattedData!J48*$J$4+$M$4*$J$5+[19]FormattedData!J48^2*$J$6+$M$5*$J$7</f>
        <v>64.893434294126024</v>
      </c>
      <c r="R48" s="14">
        <f>$J$3+[19]FormattedData!K48*$J$4+$M$4*$J$5+[19]FormattedData!K48^2*$J$6+$M$5*$J$7</f>
        <v>65.054980122805603</v>
      </c>
      <c r="S48" s="14">
        <f>$J$3+[19]FormattedData!L48*$J$4+$M$4*$J$5+[19]FormattedData!L48^2*$J$6+$M$5*$J$7</f>
        <v>64.569835414311726</v>
      </c>
      <c r="T48" s="14">
        <f>$J$3+[19]FormattedData!M48*$J$4+$M$4*$J$5+[19]FormattedData!M48^2*$J$6+$M$5*$J$7</f>
        <v>64.893434294126024</v>
      </c>
      <c r="U48" s="14">
        <f>$J$3+[19]FormattedData!N48*$J$4+$M$4*$J$5+[19]FormattedData!N48^2*$J$6+$M$5*$J$7</f>
        <v>65.619059064239266</v>
      </c>
      <c r="V48" s="14">
        <f>$J$3+[19]FormattedData!O48*$J$4+$M$4*$J$5+[19]FormattedData!O48^2*$J$6+$M$5*$J$7</f>
        <v>65.458104995090736</v>
      </c>
      <c r="W48" s="16">
        <f t="shared" si="9"/>
        <v>65.06137128950806</v>
      </c>
      <c r="X48" s="15">
        <f t="shared" si="10"/>
        <v>9.7023085342153148E-2</v>
      </c>
      <c r="Y48" s="14">
        <f t="shared" si="11"/>
        <v>64.569835414311726</v>
      </c>
      <c r="Z48" s="13">
        <f t="shared" si="12"/>
        <v>64.873225214839351</v>
      </c>
      <c r="AA48" s="14">
        <f t="shared" si="13"/>
        <v>64.933831318430407</v>
      </c>
      <c r="AB48" s="13">
        <f t="shared" si="14"/>
        <v>65.216293474526566</v>
      </c>
      <c r="AC48" s="13">
        <f t="shared" si="15"/>
        <v>65.619059064239266</v>
      </c>
      <c r="AD48" s="13">
        <f t="shared" si="16"/>
        <v>0.70493161624693823</v>
      </c>
      <c r="AE48" s="13">
        <f t="shared" si="17"/>
        <v>-0.49236984827163832</v>
      </c>
    </row>
    <row r="49" spans="2:31" ht="13.5" thickBot="1" x14ac:dyDescent="0.25">
      <c r="B49" s="12">
        <f>[19]FormattedData!A46</f>
        <v>908</v>
      </c>
      <c r="C49" s="12" t="str">
        <f>VLOOKUP($B49,[19]TrtCodes!$B$11:I89,2)</f>
        <v>Early</v>
      </c>
      <c r="D49" s="12">
        <f>VLOOKUP($B49,[19]TrtCodes!$B$11:J89,3)</f>
        <v>21</v>
      </c>
      <c r="E49" s="12">
        <f>VLOOKUP($B49,[19]TrtCodes!$B$11:K89,4)</f>
        <v>3</v>
      </c>
      <c r="F49" s="12">
        <f>VLOOKUP($B49,[19]TrtCodes!$B$11:L89,5)</f>
        <v>2</v>
      </c>
      <c r="G49" s="12">
        <f>VLOOKUP($B49,[19]TrtCodes!$B$11:M89,6)</f>
        <v>2</v>
      </c>
      <c r="H49" s="12">
        <f>VLOOKUP($B49,[19]TrtCodes!$B$11:N89,7)</f>
        <v>2</v>
      </c>
      <c r="I49" s="12">
        <f>[19]FormattedData!B46</f>
        <v>1</v>
      </c>
      <c r="J49" s="9">
        <f>[19]FormattedData!C46</f>
        <v>13.349</v>
      </c>
      <c r="K49" s="11">
        <f>$J$3+[19]FormattedData!D46*$J$4+$M$4*$J$5+[19]FormattedData!D46^2*$J$6+$M$5*$J$7</f>
        <v>37.5277788571128</v>
      </c>
      <c r="L49" s="11">
        <f>$J$3+[19]FormattedData!E46*$J$4+$M$4*$J$5+[19]FormattedData!E46^2*$J$6+$M$5*$J$7</f>
        <v>39.493408584752416</v>
      </c>
      <c r="M49" s="11">
        <f>$J$3+[19]FormattedData!F46*$J$4+$M$4*$J$5+[19]FormattedData!F46^2*$J$6+$M$5*$J$7</f>
        <v>37.433712487593674</v>
      </c>
      <c r="N49" s="11">
        <f>$J$3+[19]FormattedData!G46*$J$4+$M$4*$J$5+[19]FormattedData!G46^2*$J$6+$M$5*$J$7</f>
        <v>38.933702175347996</v>
      </c>
      <c r="O49" s="11">
        <f>$J$3+[19]FormattedData!H46*$J$4+$M$4*$J$5+[19]FormattedData!H46^2*$J$6+$M$5*$J$7</f>
        <v>37.621802958093994</v>
      </c>
      <c r="P49" s="11">
        <f>$J$3+[19]FormattedData!I46*$J$4+$M$4*$J$5+[19]FormattedData!I46^2*$J$6+$M$5*$J$7</f>
        <v>37.5277788571128</v>
      </c>
      <c r="Q49" s="11">
        <f>$J$3+[19]FormattedData!J46*$J$4+$M$4*$J$5+[19]FormattedData!J46^2*$J$6+$M$5*$J$7</f>
        <v>38.278788145900315</v>
      </c>
      <c r="R49" s="11">
        <f>$J$3+[19]FormattedData!K46*$J$4+$M$4*$J$5+[19]FormattedData!K46^2*$J$6+$M$5*$J$7</f>
        <v>39.58654504643706</v>
      </c>
      <c r="S49" s="11">
        <f>$J$3+[19]FormattedData!L46*$J$4+$M$4*$J$5+[19]FormattedData!L46^2*$J$6+$M$5*$J$7</f>
        <v>37.339603849536608</v>
      </c>
      <c r="T49" s="11">
        <f>$J$3+[19]FormattedData!M46*$J$4+$M$4*$J$5+[19]FormattedData!M46^2*$J$6+$M$5*$J$7</f>
        <v>37.245452942941618</v>
      </c>
      <c r="U49" s="11">
        <f>$J$3+[19]FormattedData!N46*$J$4+$M$4*$J$5+[19]FormattedData!N46^2*$J$6+$M$5*$J$7</f>
        <v>39.307008855769332</v>
      </c>
      <c r="V49" s="11">
        <f>$J$3+[19]FormattedData!O46*$J$4+$M$4*$J$5+[19]FormattedData!O46^2*$J$6+$M$5*$J$7</f>
        <v>37.809724354442594</v>
      </c>
      <c r="W49" s="10">
        <f t="shared" si="9"/>
        <v>38.175442259586767</v>
      </c>
      <c r="X49" s="9">
        <f t="shared" si="10"/>
        <v>0.26093071474648377</v>
      </c>
      <c r="Y49" s="8">
        <f t="shared" si="11"/>
        <v>37.245452942941618</v>
      </c>
      <c r="Z49" s="7">
        <f t="shared" si="12"/>
        <v>37.504262264733015</v>
      </c>
      <c r="AA49" s="8">
        <f t="shared" si="13"/>
        <v>37.715763656268294</v>
      </c>
      <c r="AB49" s="7">
        <f t="shared" si="14"/>
        <v>39.02702884545333</v>
      </c>
      <c r="AC49" s="7">
        <f t="shared" si="15"/>
        <v>39.58654504643706</v>
      </c>
      <c r="AD49" s="7">
        <f t="shared" si="16"/>
        <v>0.65393449469546994</v>
      </c>
      <c r="AE49" s="7">
        <f t="shared" si="17"/>
        <v>-1.4472832415318653</v>
      </c>
    </row>
    <row r="50" spans="2:31" ht="13.5" thickTop="1" x14ac:dyDescent="0.2">
      <c r="B50" s="1">
        <f>[19]FormattedData!A29</f>
        <v>101</v>
      </c>
      <c r="C50" s="1" t="str">
        <f>VLOOKUP($B50,[19]TrtCodes!$B$11:I72,2)</f>
        <v>FSH</v>
      </c>
      <c r="D50" s="1">
        <f>VLOOKUP($B50,[19]TrtCodes!$B$11:J72,3)</f>
        <v>1</v>
      </c>
      <c r="E50" s="1">
        <f>VLOOKUP($B50,[19]TrtCodes!$B$11:K72,4)</f>
        <v>1</v>
      </c>
      <c r="F50" s="1">
        <f>VLOOKUP($B50,[19]TrtCodes!$B$11:L72,5)</f>
        <v>1</v>
      </c>
      <c r="G50" s="1">
        <f>VLOOKUP($B50,[19]TrtCodes!$B$11:M72,6)</f>
        <v>2</v>
      </c>
      <c r="H50" s="1">
        <f>VLOOKUP($B50,[19]TrtCodes!$B$11:N72,7)</f>
        <v>1</v>
      </c>
      <c r="I50" s="1">
        <f>[19]FormattedData!B29</f>
        <v>2</v>
      </c>
      <c r="J50" s="4">
        <f>[19]FormattedData!C29</f>
        <v>13.16</v>
      </c>
      <c r="K50" s="6">
        <f>$J$3+[19]FormattedData!D29*$J$4+$M$4*$J$5+[19]FormattedData!D29^2*$J$6+$M$5*$J$7</f>
        <v>31.1318763619654</v>
      </c>
      <c r="L50" s="6">
        <f>$J$3+[19]FormattedData!E29*$J$4+$M$4*$J$5+[19]FormattedData!E29^2*$J$6+$M$5*$J$7</f>
        <v>30.549852164533345</v>
      </c>
      <c r="M50" s="6">
        <f>$J$3+[19]FormattedData!F29*$J$4+$M$4*$J$5+[19]FormattedData!F29^2*$J$6+$M$5*$J$7</f>
        <v>31.712378892031943</v>
      </c>
      <c r="N50" s="6">
        <f>$J$3+[19]FormattedData!G29*$J$4+$M$4*$J$5+[19]FormattedData!G29^2*$J$6+$M$5*$J$7</f>
        <v>31.422317835419356</v>
      </c>
      <c r="O50" s="6">
        <f>$J$3+[19]FormattedData!H29*$J$4+$M$4*$J$5+[19]FormattedData!H29^2*$J$6+$M$5*$J$7</f>
        <v>31.808981373826938</v>
      </c>
      <c r="P50" s="6">
        <f>$J$3+[19]FormattedData!I29*$J$4+$M$4*$J$5+[19]FormattedData!I29^2*$J$6+$M$5*$J$7</f>
        <v>31.519047122828155</v>
      </c>
      <c r="Q50" s="6">
        <f>$J$3+[19]FormattedData!J29*$J$4+$M$4*$J$5+[19]FormattedData!J29^2*$J$6+$M$5*$J$7</f>
        <v>31.034978000404887</v>
      </c>
      <c r="R50" s="6">
        <f>$J$3+[19]FormattedData!K29*$J$4+$M$4*$J$5+[19]FormattedData!K29^2*$J$6+$M$5*$J$7</f>
        <v>31.1318763619654</v>
      </c>
      <c r="S50" s="6">
        <f>$J$3+[19]FormattedData!L29*$J$4+$M$4*$J$5+[19]FormattedData!L29^2*$J$6+$M$5*$J$7</f>
        <v>31.32554627947264</v>
      </c>
      <c r="T50" s="6">
        <f>$J$3+[19]FormattedData!M29*$J$4+$M$4*$J$5+[19]FormattedData!M29^2*$J$6+$M$5*$J$7</f>
        <v>31.422317835419356</v>
      </c>
      <c r="U50" s="6">
        <f>$J$3+[19]FormattedData!N29*$J$4+$M$4*$J$5+[19]FormattedData!N29^2*$J$6+$M$5*$J$7</f>
        <v>30.160990662153345</v>
      </c>
      <c r="V50" s="6">
        <f>$J$3+[19]FormattedData!O29*$J$4+$M$4*$J$5+[19]FormattedData!O29^2*$J$6+$M$5*$J$7</f>
        <v>29.576430352445417</v>
      </c>
      <c r="W50" s="5">
        <f t="shared" si="9"/>
        <v>31.066382770205518</v>
      </c>
      <c r="X50" s="4">
        <f t="shared" si="10"/>
        <v>0.19089652879682928</v>
      </c>
      <c r="Y50" s="3">
        <f t="shared" si="11"/>
        <v>29.576430352445417</v>
      </c>
      <c r="Z50" s="2">
        <f t="shared" si="12"/>
        <v>30.913696541437002</v>
      </c>
      <c r="AA50" s="3">
        <f t="shared" si="13"/>
        <v>31.228711320719022</v>
      </c>
      <c r="AB50" s="2">
        <f t="shared" si="14"/>
        <v>31.446500157271558</v>
      </c>
      <c r="AC50" s="2">
        <f t="shared" si="15"/>
        <v>31.808981373826938</v>
      </c>
      <c r="AD50" s="2">
        <f t="shared" si="16"/>
        <v>-1.2477952554092255</v>
      </c>
      <c r="AE50" s="2">
        <f t="shared" si="17"/>
        <v>1.0988326869923801</v>
      </c>
    </row>
    <row r="51" spans="2:31" x14ac:dyDescent="0.2">
      <c r="B51" s="1">
        <f>[19]FormattedData!A27</f>
        <v>102</v>
      </c>
      <c r="C51" s="1" t="str">
        <f>VLOOKUP($B51,[19]TrtCodes!$B$11:I70,2)</f>
        <v>FTL</v>
      </c>
      <c r="D51" s="1">
        <f>VLOOKUP($B51,[19]TrtCodes!$B$11:J70,3)</f>
        <v>4</v>
      </c>
      <c r="E51" s="1">
        <f>VLOOKUP($B51,[19]TrtCodes!$B$11:K70,4)</f>
        <v>1</v>
      </c>
      <c r="F51" s="1">
        <f>VLOOKUP($B51,[19]TrtCodes!$B$11:L70,5)</f>
        <v>2</v>
      </c>
      <c r="G51" s="1">
        <f>VLOOKUP($B51,[19]TrtCodes!$B$11:M70,6)</f>
        <v>1</v>
      </c>
      <c r="H51" s="1">
        <f>VLOOKUP($B51,[19]TrtCodes!$B$11:N70,7)</f>
        <v>1</v>
      </c>
      <c r="I51" s="1">
        <f>[19]FormattedData!B27</f>
        <v>2</v>
      </c>
      <c r="J51" s="4">
        <f>[19]FormattedData!C27</f>
        <v>13.143000000000001</v>
      </c>
      <c r="K51" s="6">
        <f>$J$3+[19]FormattedData!D27*$J$4+$M$4*$J$5+[19]FormattedData!D27^2*$J$6+$M$5*$J$7</f>
        <v>28.794649568044036</v>
      </c>
      <c r="L51" s="6">
        <f>$J$3+[19]FormattedData!E27*$J$4+$M$4*$J$5+[19]FormattedData!E27^2*$J$6+$M$5*$J$7</f>
        <v>29.283579572329383</v>
      </c>
      <c r="M51" s="6">
        <f>$J$3+[19]FormattedData!F27*$J$4+$M$4*$J$5+[19]FormattedData!F27^2*$J$6+$M$5*$J$7</f>
        <v>29.771452863166449</v>
      </c>
      <c r="N51" s="6">
        <f>$J$3+[19]FormattedData!G27*$J$4+$M$4*$J$5+[19]FormattedData!G27^2*$J$6+$M$5*$J$7</f>
        <v>29.478855694278003</v>
      </c>
      <c r="O51" s="6">
        <f>$J$3+[19]FormattedData!H27*$J$4+$M$4*$J$5+[19]FormattedData!H27^2*$J$6+$M$5*$J$7</f>
        <v>29.771452863166449</v>
      </c>
      <c r="P51" s="6">
        <f>$J$3+[19]FormattedData!I27*$J$4+$M$4*$J$5+[19]FormattedData!I27^2*$J$6+$M$5*$J$7</f>
        <v>28.696736761573174</v>
      </c>
      <c r="Q51" s="6">
        <f>$J$3+[19]FormattedData!J27*$J$4+$M$4*$J$5+[19]FormattedData!J27^2*$J$6+$M$5*$J$7</f>
        <v>30.258269440555239</v>
      </c>
      <c r="R51" s="6">
        <f>$J$3+[19]FormattedData!K27*$J$4+$M$4*$J$5+[19]FormattedData!K27^2*$J$6+$M$5*$J$7</f>
        <v>28.990348375371969</v>
      </c>
      <c r="S51" s="6">
        <f>$J$3+[19]FormattedData!L27*$J$4+$M$4*$J$5+[19]FormattedData!L27^2*$J$6+$M$5*$J$7</f>
        <v>30.063669615213524</v>
      </c>
      <c r="T51" s="6">
        <f>$J$3+[19]FormattedData!M27*$J$4+$M$4*$J$5+[19]FormattedData!M27^2*$J$6+$M$5*$J$7</f>
        <v>28.892520105976967</v>
      </c>
      <c r="U51" s="6">
        <f>$J$3+[19]FormattedData!N27*$J$4+$M$4*$J$5+[19]FormattedData!N27^2*$J$6+$M$5*$J$7</f>
        <v>29.283579572329383</v>
      </c>
      <c r="V51" s="6">
        <f>$J$3+[19]FormattedData!O27*$J$4+$M$4*$J$5+[19]FormattedData!O27^2*$J$6+$M$5*$J$7</f>
        <v>29.868900715720073</v>
      </c>
      <c r="W51" s="5">
        <f t="shared" si="9"/>
        <v>29.429501262310385</v>
      </c>
      <c r="X51" s="4">
        <f t="shared" si="10"/>
        <v>0.15030692120482386</v>
      </c>
      <c r="Y51" s="3">
        <f t="shared" si="11"/>
        <v>28.696736761573174</v>
      </c>
      <c r="Z51" s="2">
        <f t="shared" si="12"/>
        <v>28.965891308023217</v>
      </c>
      <c r="AA51" s="3">
        <f t="shared" si="13"/>
        <v>29.381217633303692</v>
      </c>
      <c r="AB51" s="2">
        <f t="shared" si="14"/>
        <v>29.795814826304856</v>
      </c>
      <c r="AC51" s="2">
        <f t="shared" si="15"/>
        <v>30.258269440555239</v>
      </c>
      <c r="AD51" s="2">
        <f t="shared" si="16"/>
        <v>7.2758545378968087E-2</v>
      </c>
      <c r="AE51" s="2">
        <f t="shared" si="17"/>
        <v>-1.3102547244320082</v>
      </c>
    </row>
    <row r="52" spans="2:31" x14ac:dyDescent="0.2">
      <c r="B52" s="1">
        <f>[19]FormattedData!A25</f>
        <v>103</v>
      </c>
      <c r="C52" s="1" t="str">
        <f>VLOOKUP($B52,[19]TrtCodes!$B$11:I68,2)</f>
        <v>FDH</v>
      </c>
      <c r="D52" s="1">
        <f>VLOOKUP($B52,[19]TrtCodes!$B$11:J68,3)</f>
        <v>5</v>
      </c>
      <c r="E52" s="1">
        <f>VLOOKUP($B52,[19]TrtCodes!$B$11:K68,4)</f>
        <v>1</v>
      </c>
      <c r="F52" s="1">
        <f>VLOOKUP($B52,[19]TrtCodes!$B$11:L68,5)</f>
        <v>3</v>
      </c>
      <c r="G52" s="1">
        <f>VLOOKUP($B52,[19]TrtCodes!$B$11:M68,6)</f>
        <v>2</v>
      </c>
      <c r="H52" s="1">
        <f>VLOOKUP($B52,[19]TrtCodes!$B$11:N68,7)</f>
        <v>1</v>
      </c>
      <c r="I52" s="1">
        <f>[19]FormattedData!B25</f>
        <v>2</v>
      </c>
      <c r="J52" s="4">
        <f>[19]FormattedData!C25</f>
        <v>13.125999999999999</v>
      </c>
      <c r="K52" s="6">
        <f>$J$3+[19]FormattedData!D25*$J$4+$M$4*$J$5+[19]FormattedData!D25^2*$J$6+$M$5*$J$7</f>
        <v>33.732154616761342</v>
      </c>
      <c r="L52" s="6">
        <f>$J$3+[19]FormattedData!E25*$J$4+$M$4*$J$5+[19]FormattedData!E25^2*$J$6+$M$5*$J$7</f>
        <v>32.291359754732959</v>
      </c>
      <c r="M52" s="6">
        <f>$J$3+[19]FormattedData!F25*$J$4+$M$4*$J$5+[19]FormattedData!F25^2*$J$6+$M$5*$J$7</f>
        <v>31.712378892031943</v>
      </c>
      <c r="N52" s="6">
        <f>$J$3+[19]FormattedData!G25*$J$4+$M$4*$J$5+[19]FormattedData!G25^2*$J$6+$M$5*$J$7</f>
        <v>31.615734141699011</v>
      </c>
      <c r="O52" s="6">
        <f>$J$3+[19]FormattedData!H25*$J$4+$M$4*$J$5+[19]FormattedData!H25^2*$J$6+$M$5*$J$7</f>
        <v>31.712378892031943</v>
      </c>
      <c r="P52" s="6">
        <f>$J$3+[19]FormattedData!I25*$J$4+$M$4*$J$5+[19]FormattedData!I25^2*$J$6+$M$5*$J$7</f>
        <v>30.355505950419207</v>
      </c>
      <c r="Q52" s="6">
        <f>$J$3+[19]FormattedData!J25*$J$4+$M$4*$J$5+[19]FormattedData!J25^2*$J$6+$M$5*$J$7</f>
        <v>31.422317835419356</v>
      </c>
      <c r="R52" s="6">
        <f>$J$3+[19]FormattedData!K25*$J$4+$M$4*$J$5+[19]FormattedData!K25^2*$J$6+$M$5*$J$7</f>
        <v>29.966306299735759</v>
      </c>
      <c r="S52" s="6">
        <f>$J$3+[19]FormattedData!L25*$J$4+$M$4*$J$5+[19]FormattedData!L25^2*$J$6+$M$5*$J$7</f>
        <v>29.771452863166449</v>
      </c>
      <c r="T52" s="6">
        <f>$J$3+[19]FormattedData!M25*$J$4+$M$4*$J$5+[19]FormattedData!M25^2*$J$6+$M$5*$J$7</f>
        <v>29.868900715720073</v>
      </c>
      <c r="U52" s="6">
        <f>$J$3+[19]FormattedData!N25*$J$4+$M$4*$J$5+[19]FormattedData!N25^2*$J$6+$M$5*$J$7</f>
        <v>29.283579572329383</v>
      </c>
      <c r="V52" s="6">
        <f>$J$3+[19]FormattedData!O25*$J$4+$M$4*$J$5+[19]FormattedData!O25^2*$J$6+$M$5*$J$7</f>
        <v>30.355505950419207</v>
      </c>
      <c r="W52" s="5">
        <f t="shared" si="9"/>
        <v>31.007297957038887</v>
      </c>
      <c r="X52" s="4">
        <f t="shared" si="10"/>
        <v>0.3727271381075648</v>
      </c>
      <c r="Y52" s="3">
        <f t="shared" si="11"/>
        <v>29.283579572329383</v>
      </c>
      <c r="Z52" s="2">
        <f t="shared" si="12"/>
        <v>29.941954903731837</v>
      </c>
      <c r="AA52" s="3">
        <f t="shared" si="13"/>
        <v>30.888911892919282</v>
      </c>
      <c r="AB52" s="2">
        <f t="shared" si="14"/>
        <v>31.712378892031943</v>
      </c>
      <c r="AC52" s="2">
        <f t="shared" si="15"/>
        <v>33.732154616761342</v>
      </c>
      <c r="AD52" s="2">
        <f t="shared" si="16"/>
        <v>0.66799086403401053</v>
      </c>
      <c r="AE52" s="2">
        <f t="shared" si="17"/>
        <v>9.8964368015371562E-2</v>
      </c>
    </row>
    <row r="53" spans="2:31" x14ac:dyDescent="0.2">
      <c r="B53" s="1">
        <f>[19]FormattedData!A23</f>
        <v>104</v>
      </c>
      <c r="C53" s="1" t="str">
        <f>VLOOKUP($B53,[19]TrtCodes!$B$11:I66,2)</f>
        <v>NTL</v>
      </c>
      <c r="D53" s="1">
        <f>VLOOKUP($B53,[19]TrtCodes!$B$11:J66,3)</f>
        <v>10</v>
      </c>
      <c r="E53" s="1">
        <f>VLOOKUP($B53,[19]TrtCodes!$B$11:K66,4)</f>
        <v>2</v>
      </c>
      <c r="F53" s="1">
        <f>VLOOKUP($B53,[19]TrtCodes!$B$11:L66,5)</f>
        <v>2</v>
      </c>
      <c r="G53" s="1">
        <f>VLOOKUP($B53,[19]TrtCodes!$B$11:M66,6)</f>
        <v>1</v>
      </c>
      <c r="H53" s="1">
        <f>VLOOKUP($B53,[19]TrtCodes!$B$11:N66,7)</f>
        <v>1</v>
      </c>
      <c r="I53" s="1">
        <f>[19]FormattedData!B23</f>
        <v>2</v>
      </c>
      <c r="J53" s="4">
        <f>[19]FormattedData!C23</f>
        <v>13.109</v>
      </c>
      <c r="K53" s="6">
        <f>$J$3+[19]FormattedData!D23*$J$4+$M$4*$J$5+[19]FormattedData!D23^2*$J$6+$M$5*$J$7</f>
        <v>32.387708625300363</v>
      </c>
      <c r="L53" s="6">
        <f>$J$3+[19]FormattedData!E23*$J$4+$M$4*$J$5+[19]FormattedData!E23^2*$J$6+$M$5*$J$7</f>
        <v>33.636397505724972</v>
      </c>
      <c r="M53" s="6">
        <f>$J$3+[19]FormattedData!F23*$J$4+$M$4*$J$5+[19]FormattedData!F23^2*$J$6+$M$5*$J$7</f>
        <v>33.827869459259794</v>
      </c>
      <c r="N53" s="6">
        <f>$J$3+[19]FormattedData!G23*$J$4+$M$4*$J$5+[19]FormattedData!G23^2*$J$6+$M$5*$J$7</f>
        <v>33.252946376200157</v>
      </c>
      <c r="O53" s="6">
        <f>$J$3+[19]FormattedData!H23*$J$4+$M$4*$J$5+[19]FormattedData!H23^2*$J$6+$M$5*$J$7</f>
        <v>34.114760375527538</v>
      </c>
      <c r="P53" s="6">
        <f>$J$3+[19]FormattedData!I23*$J$4+$M$4*$J$5+[19]FormattedData!I23^2*$J$6+$M$5*$J$7</f>
        <v>35.638420444523298</v>
      </c>
      <c r="Q53" s="6">
        <f>$J$3+[19]FormattedData!J23*$J$4+$M$4*$J$5+[19]FormattedData!J23^2*$J$6+$M$5*$J$7</f>
        <v>33.348872561388262</v>
      </c>
      <c r="R53" s="6">
        <f>$J$3+[19]FormattedData!K23*$J$4+$M$4*$J$5+[19]FormattedData!K23^2*$J$6+$M$5*$J$7</f>
        <v>34.592066531881827</v>
      </c>
      <c r="S53" s="6">
        <f>$J$3+[19]FormattedData!L23*$J$4+$M$4*$J$5+[19]FormattedData!L23^2*$J$6+$M$5*$J$7</f>
        <v>36.112345117843091</v>
      </c>
      <c r="T53" s="6">
        <f>$J$3+[19]FormattedData!M23*$J$4+$M$4*$J$5+[19]FormattedData!M23^2*$J$6+$M$5*$J$7</f>
        <v>35.733289916263118</v>
      </c>
      <c r="U53" s="6">
        <f>$J$3+[19]FormattedData!N23*$J$4+$M$4*$J$5+[19]FormattedData!N23^2*$J$6+$M$5*$J$7</f>
        <v>34.019172338642889</v>
      </c>
      <c r="V53" s="6">
        <f>$J$3+[19]FormattedData!O23*$J$4+$M$4*$J$5+[19]FormattedData!O23^2*$J$6+$M$5*$J$7</f>
        <v>36.490724022816167</v>
      </c>
      <c r="W53" s="5">
        <f t="shared" si="9"/>
        <v>34.429547772947622</v>
      </c>
      <c r="X53" s="4">
        <f t="shared" si="10"/>
        <v>0.37180704920961688</v>
      </c>
      <c r="Y53" s="3">
        <f t="shared" si="11"/>
        <v>32.387708625300363</v>
      </c>
      <c r="Z53" s="2">
        <f t="shared" si="12"/>
        <v>33.564516269640791</v>
      </c>
      <c r="AA53" s="3">
        <f t="shared" si="13"/>
        <v>34.066966357085214</v>
      </c>
      <c r="AB53" s="2">
        <f t="shared" si="14"/>
        <v>35.662137812458255</v>
      </c>
      <c r="AC53" s="2">
        <f t="shared" si="15"/>
        <v>36.490724022816167</v>
      </c>
      <c r="AD53" s="2">
        <f t="shared" si="16"/>
        <v>0.27001566481761524</v>
      </c>
      <c r="AE53" s="2">
        <f t="shared" si="17"/>
        <v>-1.0374121935663934</v>
      </c>
    </row>
    <row r="54" spans="2:31" x14ac:dyDescent="0.2">
      <c r="B54" s="1">
        <f>[19]FormattedData!A21</f>
        <v>105</v>
      </c>
      <c r="C54" s="1" t="str">
        <f>VLOOKUP($B54,[19]TrtCodes!$B$11:I64,2)</f>
        <v>NDL</v>
      </c>
      <c r="D54" s="1">
        <f>VLOOKUP($B54,[19]TrtCodes!$B$11:J64,3)</f>
        <v>12</v>
      </c>
      <c r="E54" s="1">
        <f>VLOOKUP($B54,[19]TrtCodes!$B$11:K64,4)</f>
        <v>2</v>
      </c>
      <c r="F54" s="1">
        <f>VLOOKUP($B54,[19]TrtCodes!$B$11:L64,5)</f>
        <v>3</v>
      </c>
      <c r="G54" s="1">
        <f>VLOOKUP($B54,[19]TrtCodes!$B$11:M64,6)</f>
        <v>1</v>
      </c>
      <c r="H54" s="1">
        <f>VLOOKUP($B54,[19]TrtCodes!$B$11:N64,7)</f>
        <v>2</v>
      </c>
      <c r="I54" s="1">
        <f>[19]FormattedData!B21</f>
        <v>2</v>
      </c>
      <c r="J54" s="4">
        <f>[19]FormattedData!C21</f>
        <v>13.090999999999999</v>
      </c>
      <c r="K54" s="6">
        <f>$J$3+[19]FormattedData!D21*$J$4+$M$4*$J$5+[19]FormattedData!D21^2*$J$6+$M$5*$J$7</f>
        <v>30.452700191745237</v>
      </c>
      <c r="L54" s="6">
        <f>$J$3+[19]FormattedData!E21*$J$4+$M$4*$J$5+[19]FormattedData!E21^2*$J$6+$M$5*$J$7</f>
        <v>30.646961868783514</v>
      </c>
      <c r="M54" s="6">
        <f>$J$3+[19]FormattedData!F21*$J$4+$M$4*$J$5+[19]FormattedData!F21^2*$J$6+$M$5*$J$7</f>
        <v>32.772681422190701</v>
      </c>
      <c r="N54" s="6">
        <f>$J$3+[19]FormattedData!G21*$J$4+$M$4*$J$5+[19]FormattedData!G21^2*$J$6+$M$5*$J$7</f>
        <v>31.905541587084002</v>
      </c>
      <c r="O54" s="6">
        <f>$J$3+[19]FormattedData!H21*$J$4+$M$4*$J$5+[19]FormattedData!H21^2*$J$6+$M$5*$J$7</f>
        <v>32.098535207984348</v>
      </c>
      <c r="P54" s="6">
        <f>$J$3+[19]FormattedData!I21*$J$4+$M$4*$J$5+[19]FormattedData!I21^2*$J$6+$M$5*$J$7</f>
        <v>32.291359754732959</v>
      </c>
      <c r="Q54" s="6">
        <f>$J$3+[19]FormattedData!J21*$J$4+$M$4*$J$5+[19]FormattedData!J21^2*$J$6+$M$5*$J$7</f>
        <v>33.060967200210172</v>
      </c>
      <c r="R54" s="6">
        <f>$J$3+[19]FormattedData!K21*$J$4+$M$4*$J$5+[19]FormattedData!K21^2*$J$6+$M$5*$J$7</f>
        <v>33.348872561388262</v>
      </c>
      <c r="S54" s="6">
        <f>$J$3+[19]FormattedData!L21*$J$4+$M$4*$J$5+[19]FormattedData!L21^2*$J$6+$M$5*$J$7</f>
        <v>32.964914209408278</v>
      </c>
      <c r="T54" s="6">
        <f>$J$3+[19]FormattedData!M21*$J$4+$M$4*$J$5+[19]FormattedData!M21^2*$J$6+$M$5*$J$7</f>
        <v>34.305809643683041</v>
      </c>
      <c r="U54" s="6">
        <f>$J$3+[19]FormattedData!N21*$J$4+$M$4*$J$5+[19]FormattedData!N21^2*$J$6+$M$5*$J$7</f>
        <v>33.54059812615067</v>
      </c>
      <c r="V54" s="6">
        <f>$J$3+[19]FormattedData!O21*$J$4+$M$4*$J$5+[19]FormattedData!O21^2*$J$6+$M$5*$J$7</f>
        <v>33.827869459259794</v>
      </c>
      <c r="W54" s="5">
        <f t="shared" si="9"/>
        <v>32.601400936051746</v>
      </c>
      <c r="X54" s="4">
        <f t="shared" si="10"/>
        <v>0.34259135028181559</v>
      </c>
      <c r="Y54" s="3">
        <f t="shared" si="11"/>
        <v>30.452700191745237</v>
      </c>
      <c r="Z54" s="2">
        <f t="shared" si="12"/>
        <v>32.05028680275926</v>
      </c>
      <c r="AA54" s="3">
        <f t="shared" si="13"/>
        <v>32.868797815799489</v>
      </c>
      <c r="AB54" s="2">
        <f t="shared" si="14"/>
        <v>33.396803952578864</v>
      </c>
      <c r="AC54" s="2">
        <f t="shared" si="15"/>
        <v>34.305809643683041</v>
      </c>
      <c r="AD54" s="2">
        <f t="shared" si="16"/>
        <v>-0.63226526827745355</v>
      </c>
      <c r="AE54" s="2">
        <f t="shared" si="17"/>
        <v>-0.21484013013014547</v>
      </c>
    </row>
    <row r="55" spans="2:31" x14ac:dyDescent="0.2">
      <c r="B55" s="1">
        <f>[19]FormattedData!A19</f>
        <v>106</v>
      </c>
      <c r="C55" s="1" t="str">
        <f>VLOOKUP($B55,[19]TrtCodes!$B$11:I62,2)</f>
        <v>NTH</v>
      </c>
      <c r="D55" s="1">
        <f>VLOOKUP($B55,[19]TrtCodes!$B$11:J62,3)</f>
        <v>9</v>
      </c>
      <c r="E55" s="1">
        <f>VLOOKUP($B55,[19]TrtCodes!$B$11:K62,4)</f>
        <v>2</v>
      </c>
      <c r="F55" s="1">
        <f>VLOOKUP($B55,[19]TrtCodes!$B$11:L62,5)</f>
        <v>2</v>
      </c>
      <c r="G55" s="1">
        <f>VLOOKUP($B55,[19]TrtCodes!$B$11:M62,6)</f>
        <v>2</v>
      </c>
      <c r="H55" s="1">
        <f>VLOOKUP($B55,[19]TrtCodes!$B$11:N62,7)</f>
        <v>2</v>
      </c>
      <c r="I55" s="1">
        <f>[19]FormattedData!B19</f>
        <v>2</v>
      </c>
      <c r="J55" s="4">
        <f>[19]FormattedData!C19</f>
        <v>13.074</v>
      </c>
      <c r="K55" s="6">
        <f>$J$3+[19]FormattedData!D19*$J$4+$M$4*$J$5+[19]FormattedData!D19^2*$J$6+$M$5*$J$7</f>
        <v>32.002059531803141</v>
      </c>
      <c r="L55" s="6">
        <f>$J$3+[19]FormattedData!E19*$J$4+$M$4*$J$5+[19]FormattedData!E19^2*$J$6+$M$5*$J$7</f>
        <v>31.519047122828155</v>
      </c>
      <c r="M55" s="6">
        <f>$J$3+[19]FormattedData!F19*$J$4+$M$4*$J$5+[19]FormattedData!F19^2*$J$6+$M$5*$J$7</f>
        <v>33.54059812615067</v>
      </c>
      <c r="N55" s="6">
        <f>$J$3+[19]FormattedData!G19*$J$4+$M$4*$J$5+[19]FormattedData!G19^2*$J$6+$M$5*$J$7</f>
        <v>33.444756478038428</v>
      </c>
      <c r="O55" s="6">
        <f>$J$3+[19]FormattedData!H19*$J$4+$M$4*$J$5+[19]FormattedData!H19^2*$J$6+$M$5*$J$7</f>
        <v>32.772681422190701</v>
      </c>
      <c r="P55" s="6">
        <f>$J$3+[19]FormattedData!I19*$J$4+$M$4*$J$5+[19]FormattedData!I19^2*$J$6+$M$5*$J$7</f>
        <v>32.580279560821403</v>
      </c>
      <c r="Q55" s="6">
        <f>$J$3+[19]FormattedData!J19*$J$4+$M$4*$J$5+[19]FormattedData!J19^2*$J$6+$M$5*$J$7</f>
        <v>32.291359754732959</v>
      </c>
      <c r="R55" s="6">
        <f>$J$3+[19]FormattedData!K19*$J$4+$M$4*$J$5+[19]FormattedData!K19^2*$J$6+$M$5*$J$7</f>
        <v>32.002059531803141</v>
      </c>
      <c r="S55" s="6">
        <f>$J$3+[19]FormattedData!L19*$J$4+$M$4*$J$5+[19]FormattedData!L19^2*$J$6+$M$5*$J$7</f>
        <v>33.060967200210172</v>
      </c>
      <c r="T55" s="6">
        <f>$J$3+[19]FormattedData!M19*$J$4+$M$4*$J$5+[19]FormattedData!M19^2*$J$6+$M$5*$J$7</f>
        <v>31.905541587084002</v>
      </c>
      <c r="U55" s="6">
        <f>$J$3+[19]FormattedData!N19*$J$4+$M$4*$J$5+[19]FormattedData!N19^2*$J$6+$M$5*$J$7</f>
        <v>31.034978000404887</v>
      </c>
      <c r="V55" s="6">
        <f>$J$3+[19]FormattedData!O19*$J$4+$M$4*$J$5+[19]FormattedData!O19^2*$J$6+$M$5*$J$7</f>
        <v>31.034978000404887</v>
      </c>
      <c r="W55" s="5">
        <f t="shared" si="9"/>
        <v>32.265775526372714</v>
      </c>
      <c r="X55" s="4">
        <f t="shared" si="10"/>
        <v>0.24402261169122927</v>
      </c>
      <c r="Y55" s="3">
        <f t="shared" si="11"/>
        <v>31.034978000404887</v>
      </c>
      <c r="Z55" s="2">
        <f t="shared" si="12"/>
        <v>31.80891797102004</v>
      </c>
      <c r="AA55" s="3">
        <f t="shared" si="13"/>
        <v>32.146709643268053</v>
      </c>
      <c r="AB55" s="2">
        <f t="shared" si="14"/>
        <v>32.844752866695572</v>
      </c>
      <c r="AC55" s="2">
        <f t="shared" si="15"/>
        <v>33.54059812615067</v>
      </c>
      <c r="AD55" s="2">
        <f t="shared" si="16"/>
        <v>2.6368380727261966E-2</v>
      </c>
      <c r="AE55" s="2">
        <f t="shared" si="17"/>
        <v>-0.95467084143099967</v>
      </c>
    </row>
    <row r="56" spans="2:31" x14ac:dyDescent="0.2">
      <c r="B56" s="1">
        <f>[19]FormattedData!A17</f>
        <v>107</v>
      </c>
      <c r="C56" s="1" t="str">
        <f>VLOOKUP($B56,[19]TrtCodes!$B$11:I60,2)</f>
        <v>NTL</v>
      </c>
      <c r="D56" s="1">
        <f>VLOOKUP($B56,[19]TrtCodes!$B$11:J60,3)</f>
        <v>10</v>
      </c>
      <c r="E56" s="1">
        <f>VLOOKUP($B56,[19]TrtCodes!$B$11:K60,4)</f>
        <v>2</v>
      </c>
      <c r="F56" s="1">
        <f>VLOOKUP($B56,[19]TrtCodes!$B$11:L60,5)</f>
        <v>2</v>
      </c>
      <c r="G56" s="1">
        <f>VLOOKUP($B56,[19]TrtCodes!$B$11:M60,6)</f>
        <v>1</v>
      </c>
      <c r="H56" s="1">
        <f>VLOOKUP($B56,[19]TrtCodes!$B$11:N60,7)</f>
        <v>2</v>
      </c>
      <c r="I56" s="1">
        <f>[19]FormattedData!B17</f>
        <v>2</v>
      </c>
      <c r="J56" s="4">
        <f>[19]FormattedData!C17</f>
        <v>13.058</v>
      </c>
      <c r="K56" s="6">
        <f>$J$3+[19]FormattedData!D17*$J$4+$M$4*$J$5+[19]FormattedData!D17^2*$J$6+$M$5*$J$7</f>
        <v>31.808981373826938</v>
      </c>
      <c r="L56" s="6">
        <f>$J$3+[19]FormattedData!E17*$J$4+$M$4*$J$5+[19]FormattedData!E17^2*$J$6+$M$5*$J$7</f>
        <v>31.615734141699011</v>
      </c>
      <c r="M56" s="6">
        <f>$J$3+[19]FormattedData!F17*$J$4+$M$4*$J$5+[19]FormattedData!F17^2*$J$6+$M$5*$J$7</f>
        <v>32.484015227329849</v>
      </c>
      <c r="N56" s="6">
        <f>$J$3+[19]FormattedData!G17*$J$4+$M$4*$J$5+[19]FormattedData!G17^2*$J$6+$M$5*$J$7</f>
        <v>31.32554627947264</v>
      </c>
      <c r="O56" s="6">
        <f>$J$3+[19]FormattedData!H17*$J$4+$M$4*$J$5+[19]FormattedData!H17^2*$J$6+$M$5*$J$7</f>
        <v>31.615734141699011</v>
      </c>
      <c r="P56" s="6">
        <f>$J$3+[19]FormattedData!I17*$J$4+$M$4*$J$5+[19]FormattedData!I17^2*$J$6+$M$5*$J$7</f>
        <v>31.422317835419356</v>
      </c>
      <c r="Q56" s="6">
        <f>$J$3+[19]FormattedData!J17*$J$4+$M$4*$J$5+[19]FormattedData!J17^2*$J$6+$M$5*$J$7</f>
        <v>32.098535207984348</v>
      </c>
      <c r="R56" s="6">
        <f>$J$3+[19]FormattedData!K17*$J$4+$M$4*$J$5+[19]FormattedData!K17^2*$J$6+$M$5*$J$7</f>
        <v>31.808981373826938</v>
      </c>
      <c r="S56" s="6">
        <f>$J$3+[19]FormattedData!L17*$J$4+$M$4*$J$5+[19]FormattedData!L17^2*$J$6+$M$5*$J$7</f>
        <v>31.422317835419356</v>
      </c>
      <c r="T56" s="6">
        <f>$J$3+[19]FormattedData!M17*$J$4+$M$4*$J$5+[19]FormattedData!M17^2*$J$6+$M$5*$J$7</f>
        <v>31.32554627947264</v>
      </c>
      <c r="U56" s="6">
        <f>$J$3+[19]FormattedData!N17*$J$4+$M$4*$J$5+[19]FormattedData!N17^2*$J$6+$M$5*$J$7</f>
        <v>31.905541587084002</v>
      </c>
      <c r="V56" s="6">
        <f>$J$3+[19]FormattedData!O17*$J$4+$M$4*$J$5+[19]FormattedData!O17^2*$J$6+$M$5*$J$7</f>
        <v>32.194968615627616</v>
      </c>
      <c r="W56" s="5">
        <f t="shared" si="9"/>
        <v>31.752351658238471</v>
      </c>
      <c r="X56" s="4">
        <f t="shared" si="10"/>
        <v>0.10661685884371476</v>
      </c>
      <c r="Y56" s="3">
        <f t="shared" si="11"/>
        <v>31.32554627947264</v>
      </c>
      <c r="Z56" s="2">
        <f t="shared" si="12"/>
        <v>31.422317835419356</v>
      </c>
      <c r="AA56" s="3">
        <f t="shared" si="13"/>
        <v>31.712357757762973</v>
      </c>
      <c r="AB56" s="2">
        <f t="shared" si="14"/>
        <v>31.95378999230909</v>
      </c>
      <c r="AC56" s="2">
        <f t="shared" si="15"/>
        <v>32.484015227329849</v>
      </c>
      <c r="AD56" s="2">
        <f t="shared" si="16"/>
        <v>0.63088937963009684</v>
      </c>
      <c r="AE56" s="2">
        <f t="shared" si="17"/>
        <v>-0.38593029337721463</v>
      </c>
    </row>
    <row r="57" spans="2:31" x14ac:dyDescent="0.2">
      <c r="B57" s="1">
        <f>[19]FormattedData!A15</f>
        <v>108</v>
      </c>
      <c r="C57" s="1" t="str">
        <f>VLOOKUP($B57,[19]TrtCodes!$B$11:I58,2)</f>
        <v>FTH</v>
      </c>
      <c r="D57" s="1">
        <f>VLOOKUP($B57,[19]TrtCodes!$B$11:J58,3)</f>
        <v>3</v>
      </c>
      <c r="E57" s="1">
        <f>VLOOKUP($B57,[19]TrtCodes!$B$11:K58,4)</f>
        <v>1</v>
      </c>
      <c r="F57" s="1">
        <f>VLOOKUP($B57,[19]TrtCodes!$B$11:L58,5)</f>
        <v>2</v>
      </c>
      <c r="G57" s="1">
        <f>VLOOKUP($B57,[19]TrtCodes!$B$11:M58,6)</f>
        <v>2</v>
      </c>
      <c r="H57" s="1">
        <f>VLOOKUP($B57,[19]TrtCodes!$B$11:N58,7)</f>
        <v>2</v>
      </c>
      <c r="I57" s="1">
        <f>[19]FormattedData!B15</f>
        <v>2</v>
      </c>
      <c r="J57" s="4">
        <f>[19]FormattedData!C15</f>
        <v>13.041</v>
      </c>
      <c r="K57" s="6">
        <f>$J$3+[19]FormattedData!D15*$J$4+$M$4*$J$5+[19]FormattedData!D15^2*$J$6+$M$5*$J$7</f>
        <v>30.452700191745237</v>
      </c>
      <c r="L57" s="6">
        <f>$J$3+[19]FormattedData!E15*$J$4+$M$4*$J$5+[19]FormattedData!E15^2*$J$6+$M$5*$J$7</f>
        <v>30.646961868783514</v>
      </c>
      <c r="M57" s="6">
        <f>$J$3+[19]FormattedData!F15*$J$4+$M$4*$J$5+[19]FormattedData!F15^2*$J$6+$M$5*$J$7</f>
        <v>31.32554627947264</v>
      </c>
      <c r="N57" s="6">
        <f>$J$3+[19]FormattedData!G15*$J$4+$M$4*$J$5+[19]FormattedData!G15^2*$J$6+$M$5*$J$7</f>
        <v>31.905541587084002</v>
      </c>
      <c r="O57" s="6">
        <f>$J$3+[19]FormattedData!H15*$J$4+$M$4*$J$5+[19]FormattedData!H15^2*$J$6+$M$5*$J$7</f>
        <v>30.841054471670063</v>
      </c>
      <c r="P57" s="6">
        <f>$J$3+[19]FormattedData!I15*$J$4+$M$4*$J$5+[19]FormattedData!I15^2*$J$6+$M$5*$J$7</f>
        <v>31.808981373826938</v>
      </c>
      <c r="Q57" s="6">
        <f>$J$3+[19]FormattedData!J15*$J$4+$M$4*$J$5+[19]FormattedData!J15^2*$J$6+$M$5*$J$7</f>
        <v>31.615734141699011</v>
      </c>
      <c r="R57" s="6">
        <f>$J$3+[19]FormattedData!K15*$J$4+$M$4*$J$5+[19]FormattedData!K15^2*$J$6+$M$5*$J$7</f>
        <v>31.615734141699011</v>
      </c>
      <c r="S57" s="6">
        <f>$J$3+[19]FormattedData!L15*$J$4+$M$4*$J$5+[19]FormattedData!L15^2*$J$6+$M$5*$J$7</f>
        <v>32.098535207984348</v>
      </c>
      <c r="T57" s="6">
        <f>$J$3+[19]FormattedData!M15*$J$4+$M$4*$J$5+[19]FormattedData!M15^2*$J$6+$M$5*$J$7</f>
        <v>30.452700191745237</v>
      </c>
      <c r="U57" s="6">
        <f>$J$3+[19]FormattedData!N15*$J$4+$M$4*$J$5+[19]FormattedData!N15^2*$J$6+$M$5*$J$7</f>
        <v>30.452700191745237</v>
      </c>
      <c r="V57" s="6">
        <f>$J$3+[19]FormattedData!O15*$J$4+$M$4*$J$5+[19]FormattedData!O15^2*$J$6+$M$5*$J$7</f>
        <v>29.966306299735759</v>
      </c>
      <c r="W57" s="5">
        <f t="shared" si="9"/>
        <v>31.098541328932587</v>
      </c>
      <c r="X57" s="4">
        <f t="shared" si="10"/>
        <v>0.20497565018345659</v>
      </c>
      <c r="Y57" s="3">
        <f t="shared" si="11"/>
        <v>29.966306299735759</v>
      </c>
      <c r="Z57" s="2">
        <f t="shared" si="12"/>
        <v>30.452700191745237</v>
      </c>
      <c r="AA57" s="3">
        <f t="shared" si="13"/>
        <v>31.083300375571351</v>
      </c>
      <c r="AB57" s="2">
        <f t="shared" si="14"/>
        <v>31.664045949730994</v>
      </c>
      <c r="AC57" s="2">
        <f t="shared" si="15"/>
        <v>32.098535207984348</v>
      </c>
      <c r="AD57" s="2">
        <f t="shared" si="16"/>
        <v>-5.9816457859417027E-2</v>
      </c>
      <c r="AE57" s="2">
        <f t="shared" si="17"/>
        <v>-1.531475683264472</v>
      </c>
    </row>
    <row r="58" spans="2:31" x14ac:dyDescent="0.2">
      <c r="B58" s="1">
        <f>[19]FormattedData!A31</f>
        <v>201</v>
      </c>
      <c r="C58" s="1" t="str">
        <f>VLOOKUP($B58,[19]TrtCodes!$B$11:I74,2)</f>
        <v>NDL</v>
      </c>
      <c r="D58" s="1">
        <f>VLOOKUP($B58,[19]TrtCodes!$B$11:J74,3)</f>
        <v>12</v>
      </c>
      <c r="E58" s="1">
        <f>VLOOKUP($B58,[19]TrtCodes!$B$11:K74,4)</f>
        <v>2</v>
      </c>
      <c r="F58" s="1">
        <f>VLOOKUP($B58,[19]TrtCodes!$B$11:L74,5)</f>
        <v>3</v>
      </c>
      <c r="G58" s="1">
        <f>VLOOKUP($B58,[19]TrtCodes!$B$11:M74,6)</f>
        <v>1</v>
      </c>
      <c r="H58" s="1">
        <f>VLOOKUP($B58,[19]TrtCodes!$B$11:N74,7)</f>
        <v>1</v>
      </c>
      <c r="I58" s="1">
        <f>[19]FormattedData!B31</f>
        <v>2</v>
      </c>
      <c r="J58" s="4">
        <f>[19]FormattedData!C31</f>
        <v>13.217000000000001</v>
      </c>
      <c r="K58" s="6">
        <f>$J$3+[19]FormattedData!D31*$J$4+$M$4*$J$5+[19]FormattedData!D31^2*$J$6+$M$5*$J$7</f>
        <v>30.160990662153345</v>
      </c>
      <c r="L58" s="6">
        <f>$J$3+[19]FormattedData!E31*$J$4+$M$4*$J$5+[19]FormattedData!E31^2*$J$6+$M$5*$J$7</f>
        <v>30.063669615213524</v>
      </c>
      <c r="M58" s="6">
        <f>$J$3+[19]FormattedData!F31*$J$4+$M$4*$J$5+[19]FormattedData!F31^2*$J$6+$M$5*$J$7</f>
        <v>29.673962742074902</v>
      </c>
      <c r="N58" s="6">
        <f>$J$3+[19]FormattedData!G31*$J$4+$M$4*$J$5+[19]FormattedData!G31^2*$J$6+$M$5*$J$7</f>
        <v>29.868900715720073</v>
      </c>
      <c r="O58" s="6">
        <f>$J$3+[19]FormattedData!H31*$J$4+$M$4*$J$5+[19]FormattedData!H31^2*$J$6+$M$5*$J$7</f>
        <v>30.646961868783514</v>
      </c>
      <c r="P58" s="6">
        <f>$J$3+[19]FormattedData!I31*$J$4+$M$4*$J$5+[19]FormattedData!I31^2*$J$6+$M$5*$J$7</f>
        <v>30.549852164533345</v>
      </c>
      <c r="Q58" s="6">
        <f>$J$3+[19]FormattedData!J31*$J$4+$M$4*$J$5+[19]FormattedData!J31^2*$J$6+$M$5*$J$7</f>
        <v>30.355505950419207</v>
      </c>
      <c r="R58" s="6">
        <f>$J$3+[19]FormattedData!K31*$J$4+$M$4*$J$5+[19]FormattedData!K31^2*$J$6+$M$5*$J$7</f>
        <v>30.646961868783514</v>
      </c>
      <c r="S58" s="6">
        <f>$J$3+[19]FormattedData!L31*$J$4+$M$4*$J$5+[19]FormattedData!L31^2*$J$6+$M$5*$J$7</f>
        <v>30.646961868783514</v>
      </c>
      <c r="T58" s="6">
        <f>$J$3+[19]FormattedData!M31*$J$4+$M$4*$J$5+[19]FormattedData!M31^2*$J$6+$M$5*$J$7</f>
        <v>30.744029304495751</v>
      </c>
      <c r="U58" s="6">
        <f>$J$3+[19]FormattedData!N31*$J$4+$M$4*$J$5+[19]FormattedData!N31^2*$J$6+$M$5*$J$7</f>
        <v>30.841054471670063</v>
      </c>
      <c r="V58" s="6">
        <f>$J$3+[19]FormattedData!O31*$J$4+$M$4*$J$5+[19]FormattedData!O31^2*$J$6+$M$5*$J$7</f>
        <v>31.519047122828155</v>
      </c>
      <c r="W58" s="5">
        <f t="shared" si="9"/>
        <v>30.47649152962158</v>
      </c>
      <c r="X58" s="4">
        <f t="shared" si="10"/>
        <v>0.14253617961035694</v>
      </c>
      <c r="Y58" s="3">
        <f t="shared" si="11"/>
        <v>29.673962742074902</v>
      </c>
      <c r="Z58" s="2">
        <f t="shared" si="12"/>
        <v>30.136660400418389</v>
      </c>
      <c r="AA58" s="3">
        <f t="shared" si="13"/>
        <v>30.598407016658427</v>
      </c>
      <c r="AB58" s="2">
        <f t="shared" si="14"/>
        <v>30.671228727711572</v>
      </c>
      <c r="AC58" s="2">
        <f t="shared" si="15"/>
        <v>31.519047122828155</v>
      </c>
      <c r="AD58" s="2">
        <f t="shared" si="16"/>
        <v>0.33651483177085867</v>
      </c>
      <c r="AE58" s="2">
        <f t="shared" si="17"/>
        <v>0.730705808287337</v>
      </c>
    </row>
    <row r="59" spans="2:31" x14ac:dyDescent="0.2">
      <c r="B59" s="1">
        <f>[19]FormattedData!A33</f>
        <v>202</v>
      </c>
      <c r="C59" s="1" t="str">
        <f>VLOOKUP($B59,[19]TrtCodes!$B$11:I76,2)</f>
        <v>NTH</v>
      </c>
      <c r="D59" s="1">
        <f>VLOOKUP($B59,[19]TrtCodes!$B$11:J76,3)</f>
        <v>9</v>
      </c>
      <c r="E59" s="1">
        <f>VLOOKUP($B59,[19]TrtCodes!$B$11:K76,4)</f>
        <v>2</v>
      </c>
      <c r="F59" s="1">
        <f>VLOOKUP($B59,[19]TrtCodes!$B$11:L76,5)</f>
        <v>2</v>
      </c>
      <c r="G59" s="1">
        <f>VLOOKUP($B59,[19]TrtCodes!$B$11:M76,6)</f>
        <v>2</v>
      </c>
      <c r="H59" s="1">
        <f>VLOOKUP($B59,[19]TrtCodes!$B$11:N76,7)</f>
        <v>1</v>
      </c>
      <c r="I59" s="1">
        <f>[19]FormattedData!B33</f>
        <v>2</v>
      </c>
      <c r="J59" s="4">
        <f>[19]FormattedData!C33</f>
        <v>13.233000000000001</v>
      </c>
      <c r="K59" s="6">
        <f>$J$3+[19]FormattedData!D33*$J$4+$M$4*$J$5+[19]FormattedData!D33^2*$J$6+$M$5*$J$7</f>
        <v>29.381238767572661</v>
      </c>
      <c r="L59" s="6">
        <f>$J$3+[19]FormattedData!E33*$J$4+$M$4*$J$5+[19]FormattedData!E33^2*$J$6+$M$5*$J$7</f>
        <v>30.452700191745237</v>
      </c>
      <c r="M59" s="6">
        <f>$J$3+[19]FormattedData!F33*$J$4+$M$4*$J$5+[19]FormattedData!F33^2*$J$6+$M$5*$J$7</f>
        <v>29.283579572329383</v>
      </c>
      <c r="N59" s="6">
        <f>$J$3+[19]FormattedData!G33*$J$4+$M$4*$J$5+[19]FormattedData!G33^2*$J$6+$M$5*$J$7</f>
        <v>30.160990662153345</v>
      </c>
      <c r="O59" s="6">
        <f>$J$3+[19]FormattedData!H33*$J$4+$M$4*$J$5+[19]FormattedData!H33^2*$J$6+$M$5*$J$7</f>
        <v>32.580279560821403</v>
      </c>
      <c r="P59" s="6">
        <f>$J$3+[19]FormattedData!I33*$J$4+$M$4*$J$5+[19]FormattedData!I33^2*$J$6+$M$5*$J$7</f>
        <v>29.771452863166449</v>
      </c>
      <c r="Q59" s="6">
        <f>$J$3+[19]FormattedData!J33*$J$4+$M$4*$J$5+[19]FormattedData!J33^2*$J$6+$M$5*$J$7</f>
        <v>28.892520105976967</v>
      </c>
      <c r="R59" s="6">
        <f>$J$3+[19]FormattedData!K33*$J$4+$M$4*$J$5+[19]FormattedData!K33^2*$J$6+$M$5*$J$7</f>
        <v>29.185878108548177</v>
      </c>
      <c r="S59" s="6">
        <f>$J$3+[19]FormattedData!L33*$J$4+$M$4*$J$5+[19]FormattedData!L33^2*$J$6+$M$5*$J$7</f>
        <v>30.549852164533345</v>
      </c>
      <c r="T59" s="6">
        <f>$J$3+[19]FormattedData!M33*$J$4+$M$4*$J$5+[19]FormattedData!M33^2*$J$6+$M$5*$J$7</f>
        <v>28.794649568044036</v>
      </c>
      <c r="U59" s="6">
        <f>$J$3+[19]FormattedData!N33*$J$4+$M$4*$J$5+[19]FormattedData!N33^2*$J$6+$M$5*$J$7</f>
        <v>29.478855694278003</v>
      </c>
      <c r="V59" s="6">
        <f>$J$3+[19]FormattedData!O33*$J$4+$M$4*$J$5+[19]FormattedData!O33^2*$J$6+$M$5*$J$7</f>
        <v>30.258269440555239</v>
      </c>
      <c r="W59" s="5">
        <f t="shared" si="9"/>
        <v>29.899188891643689</v>
      </c>
      <c r="X59" s="4">
        <f t="shared" si="10"/>
        <v>0.29769198958533893</v>
      </c>
      <c r="Y59" s="3">
        <f t="shared" si="11"/>
        <v>28.794649568044036</v>
      </c>
      <c r="Z59" s="2">
        <f t="shared" si="12"/>
        <v>29.259154206384082</v>
      </c>
      <c r="AA59" s="3">
        <f t="shared" si="13"/>
        <v>29.625154278722228</v>
      </c>
      <c r="AB59" s="2">
        <f t="shared" si="14"/>
        <v>30.306877128352738</v>
      </c>
      <c r="AC59" s="2">
        <f t="shared" si="15"/>
        <v>32.580279560821403</v>
      </c>
      <c r="AD59" s="2">
        <f t="shared" si="16"/>
        <v>1.6515292990006551</v>
      </c>
      <c r="AE59" s="2">
        <f t="shared" si="17"/>
        <v>3.6281974382772209</v>
      </c>
    </row>
    <row r="60" spans="2:31" x14ac:dyDescent="0.2">
      <c r="B60" s="1">
        <f>[19]FormattedData!A35</f>
        <v>203</v>
      </c>
      <c r="C60" s="1" t="str">
        <f>VLOOKUP($B60,[19]TrtCodes!$B$11:I78,2)</f>
        <v>FTH</v>
      </c>
      <c r="D60" s="1">
        <f>VLOOKUP($B60,[19]TrtCodes!$B$11:J78,3)</f>
        <v>3</v>
      </c>
      <c r="E60" s="1">
        <f>VLOOKUP($B60,[19]TrtCodes!$B$11:K78,4)</f>
        <v>1</v>
      </c>
      <c r="F60" s="1">
        <f>VLOOKUP($B60,[19]TrtCodes!$B$11:L78,5)</f>
        <v>2</v>
      </c>
      <c r="G60" s="1">
        <f>VLOOKUP($B60,[19]TrtCodes!$B$11:M78,6)</f>
        <v>2</v>
      </c>
      <c r="H60" s="1">
        <f>VLOOKUP($B60,[19]TrtCodes!$B$11:N78,7)</f>
        <v>1</v>
      </c>
      <c r="I60" s="1">
        <f>[19]FormattedData!B35</f>
        <v>2</v>
      </c>
      <c r="J60" s="4">
        <f>[19]FormattedData!C35</f>
        <v>13.249000000000001</v>
      </c>
      <c r="K60" s="6">
        <f>$J$3+[19]FormattedData!D35*$J$4+$M$4*$J$5+[19]FormattedData!D35^2*$J$6+$M$5*$J$7</f>
        <v>30.258269440555239</v>
      </c>
      <c r="L60" s="6">
        <f>$J$3+[19]FormattedData!E35*$J$4+$M$4*$J$5+[19]FormattedData!E35^2*$J$6+$M$5*$J$7</f>
        <v>31.034978000404887</v>
      </c>
      <c r="M60" s="6">
        <f>$J$3+[19]FormattedData!F35*$J$4+$M$4*$J$5+[19]FormattedData!F35^2*$J$6+$M$5*$J$7</f>
        <v>32.291359754732959</v>
      </c>
      <c r="N60" s="6">
        <f>$J$3+[19]FormattedData!G35*$J$4+$M$4*$J$5+[19]FormattedData!G35^2*$J$6+$M$5*$J$7</f>
        <v>31.228732454987981</v>
      </c>
      <c r="O60" s="6">
        <f>$J$3+[19]FormattedData!H35*$J$4+$M$4*$J$5+[19]FormattedData!H35^2*$J$6+$M$5*$J$7</f>
        <v>31.712378892031943</v>
      </c>
      <c r="P60" s="6">
        <f>$J$3+[19]FormattedData!I35*$J$4+$M$4*$J$5+[19]FormattedData!I35^2*$J$6+$M$5*$J$7</f>
        <v>33.252946376200157</v>
      </c>
      <c r="Q60" s="6">
        <f>$J$3+[19]FormattedData!J35*$J$4+$M$4*$J$5+[19]FormattedData!J35^2*$J$6+$M$5*$J$7</f>
        <v>31.712378892031943</v>
      </c>
      <c r="R60" s="6">
        <f>$J$3+[19]FormattedData!K35*$J$4+$M$4*$J$5+[19]FormattedData!K35^2*$J$6+$M$5*$J$7</f>
        <v>32.291359754732959</v>
      </c>
      <c r="S60" s="6">
        <f>$J$3+[19]FormattedData!L35*$J$4+$M$4*$J$5+[19]FormattedData!L35^2*$J$6+$M$5*$J$7</f>
        <v>31.615734141699011</v>
      </c>
      <c r="T60" s="6">
        <f>$J$3+[19]FormattedData!M35*$J$4+$M$4*$J$5+[19]FormattedData!M35^2*$J$6+$M$5*$J$7</f>
        <v>31.615734141699011</v>
      </c>
      <c r="U60" s="6">
        <f>$J$3+[19]FormattedData!N35*$J$4+$M$4*$J$5+[19]FormattedData!N35^2*$J$6+$M$5*$J$7</f>
        <v>32.387708625300363</v>
      </c>
      <c r="V60" s="6">
        <f>$J$3+[19]FormattedData!O35*$J$4+$M$4*$J$5+[19]FormattedData!O35^2*$J$6+$M$5*$J$7</f>
        <v>32.580279560821403</v>
      </c>
      <c r="W60" s="5">
        <f t="shared" si="9"/>
        <v>31.831821669599822</v>
      </c>
      <c r="X60" s="4">
        <f t="shared" si="10"/>
        <v>0.22876164157557752</v>
      </c>
      <c r="Y60" s="3">
        <f t="shared" si="11"/>
        <v>30.258269440555239</v>
      </c>
      <c r="Z60" s="2">
        <f t="shared" si="12"/>
        <v>31.518983720021254</v>
      </c>
      <c r="AA60" s="3">
        <f t="shared" si="13"/>
        <v>31.712378892031943</v>
      </c>
      <c r="AB60" s="2">
        <f t="shared" si="14"/>
        <v>32.315446972374808</v>
      </c>
      <c r="AC60" s="2">
        <f t="shared" si="15"/>
        <v>33.252946376200157</v>
      </c>
      <c r="AD60" s="2">
        <f t="shared" si="16"/>
        <v>-0.21699702593609455</v>
      </c>
      <c r="AE60" s="2">
        <f t="shared" si="17"/>
        <v>0.46119943193324442</v>
      </c>
    </row>
    <row r="61" spans="2:31" x14ac:dyDescent="0.2">
      <c r="B61" s="1">
        <f>[19]FormattedData!A37</f>
        <v>204</v>
      </c>
      <c r="C61" s="1" t="str">
        <f>VLOOKUP($B61,[19]TrtCodes!$B$11:I80,2)</f>
        <v>NDH</v>
      </c>
      <c r="D61" s="1">
        <f>VLOOKUP($B61,[19]TrtCodes!$B$11:J80,3)</f>
        <v>11</v>
      </c>
      <c r="E61" s="1">
        <f>VLOOKUP($B61,[19]TrtCodes!$B$11:K80,4)</f>
        <v>2</v>
      </c>
      <c r="F61" s="1">
        <f>VLOOKUP($B61,[19]TrtCodes!$B$11:L80,5)</f>
        <v>3</v>
      </c>
      <c r="G61" s="1">
        <f>VLOOKUP($B61,[19]TrtCodes!$B$11:M80,6)</f>
        <v>2</v>
      </c>
      <c r="H61" s="1">
        <f>VLOOKUP($B61,[19]TrtCodes!$B$11:N80,7)</f>
        <v>1</v>
      </c>
      <c r="I61" s="1">
        <f>[19]FormattedData!B37</f>
        <v>2</v>
      </c>
      <c r="J61" s="4">
        <f>[19]FormattedData!C37</f>
        <v>13.266</v>
      </c>
      <c r="K61" s="6">
        <f>$J$3+[19]FormattedData!D37*$J$4+$M$4*$J$5+[19]FormattedData!D37^2*$J$6+$M$5*$J$7</f>
        <v>31.519047122828155</v>
      </c>
      <c r="L61" s="6">
        <f>$J$3+[19]FormattedData!E37*$J$4+$M$4*$J$5+[19]FormattedData!E37^2*$J$6+$M$5*$J$7</f>
        <v>32.676501625775018</v>
      </c>
      <c r="M61" s="6">
        <f>$J$3+[19]FormattedData!F37*$J$4+$M$4*$J$5+[19]FormattedData!F37^2*$J$6+$M$5*$J$7</f>
        <v>32.964914209408278</v>
      </c>
      <c r="N61" s="6">
        <f>$J$3+[19]FormattedData!G37*$J$4+$M$4*$J$5+[19]FormattedData!G37^2*$J$6+$M$5*$J$7</f>
        <v>33.444756478038428</v>
      </c>
      <c r="O61" s="6">
        <f>$J$3+[19]FormattedData!H37*$J$4+$M$4*$J$5+[19]FormattedData!H37^2*$J$6+$M$5*$J$7</f>
        <v>30.841054471670063</v>
      </c>
      <c r="P61" s="6">
        <f>$J$3+[19]FormattedData!I37*$J$4+$M$4*$J$5+[19]FormattedData!I37^2*$J$6+$M$5*$J$7</f>
        <v>31.712378892031943</v>
      </c>
      <c r="Q61" s="6">
        <f>$J$3+[19]FormattedData!J37*$J$4+$M$4*$J$5+[19]FormattedData!J37^2*$J$6+$M$5*$J$7</f>
        <v>30.452700191745237</v>
      </c>
      <c r="R61" s="6">
        <f>$J$3+[19]FormattedData!K37*$J$4+$M$4*$J$5+[19]FormattedData!K37^2*$J$6+$M$5*$J$7</f>
        <v>31.228732454987981</v>
      </c>
      <c r="S61" s="6">
        <f>$J$3+[19]FormattedData!L37*$J$4+$M$4*$J$5+[19]FormattedData!L37^2*$J$6+$M$5*$J$7</f>
        <v>30.549852164533345</v>
      </c>
      <c r="T61" s="6">
        <f>$J$3+[19]FormattedData!M37*$J$4+$M$4*$J$5+[19]FormattedData!M37^2*$J$6+$M$5*$J$7</f>
        <v>31.615734141699011</v>
      </c>
      <c r="U61" s="6">
        <f>$J$3+[19]FormattedData!N37*$J$4+$M$4*$J$5+[19]FormattedData!N37^2*$J$6+$M$5*$J$7</f>
        <v>30.549852164533345</v>
      </c>
      <c r="V61" s="6">
        <f>$J$3+[19]FormattedData!O37*$J$4+$M$4*$J$5+[19]FormattedData!O37^2*$J$6+$M$5*$J$7</f>
        <v>30.646961868783514</v>
      </c>
      <c r="W61" s="5">
        <f t="shared" si="9"/>
        <v>31.516873815502862</v>
      </c>
      <c r="X61" s="4">
        <f t="shared" si="10"/>
        <v>0.29523386718714612</v>
      </c>
      <c r="Y61" s="3">
        <f t="shared" si="11"/>
        <v>30.452700191745237</v>
      </c>
      <c r="Z61" s="2">
        <f t="shared" si="12"/>
        <v>30.622684442720971</v>
      </c>
      <c r="AA61" s="3">
        <f t="shared" si="13"/>
        <v>31.373889788908066</v>
      </c>
      <c r="AB61" s="2">
        <f t="shared" si="14"/>
        <v>31.95340957546771</v>
      </c>
      <c r="AC61" s="2">
        <f t="shared" si="15"/>
        <v>33.444756478038428</v>
      </c>
      <c r="AD61" s="2">
        <f t="shared" si="16"/>
        <v>0.79187218391894176</v>
      </c>
      <c r="AE61" s="2">
        <f t="shared" si="17"/>
        <v>-0.59955542456991129</v>
      </c>
    </row>
    <row r="62" spans="2:31" x14ac:dyDescent="0.2">
      <c r="B62" s="1">
        <f>[19]FormattedData!A39</f>
        <v>205</v>
      </c>
      <c r="C62" s="1" t="str">
        <f>VLOOKUP($B62,[19]TrtCodes!$B$11:I82,2)</f>
        <v>FSH</v>
      </c>
      <c r="D62" s="1">
        <f>VLOOKUP($B62,[19]TrtCodes!$B$11:J82,3)</f>
        <v>1</v>
      </c>
      <c r="E62" s="1">
        <f>VLOOKUP($B62,[19]TrtCodes!$B$11:K82,4)</f>
        <v>1</v>
      </c>
      <c r="F62" s="1">
        <f>VLOOKUP($B62,[19]TrtCodes!$B$11:L82,5)</f>
        <v>1</v>
      </c>
      <c r="G62" s="1">
        <f>VLOOKUP($B62,[19]TrtCodes!$B$11:M82,6)</f>
        <v>2</v>
      </c>
      <c r="H62" s="1">
        <f>VLOOKUP($B62,[19]TrtCodes!$B$11:N82,7)</f>
        <v>2</v>
      </c>
      <c r="I62" s="1">
        <f>[19]FormattedData!B39</f>
        <v>2</v>
      </c>
      <c r="J62" s="4">
        <f>[19]FormattedData!C39</f>
        <v>13.282</v>
      </c>
      <c r="K62" s="6">
        <f>$J$3+[19]FormattedData!D39*$J$4+$M$4*$J$5+[19]FormattedData!D39^2*$J$6+$M$5*$J$7</f>
        <v>30.549852164533345</v>
      </c>
      <c r="L62" s="6">
        <f>$J$3+[19]FormattedData!E39*$J$4+$M$4*$J$5+[19]FormattedData!E39^2*$J$6+$M$5*$J$7</f>
        <v>30.744029304495751</v>
      </c>
      <c r="M62" s="6">
        <f>$J$3+[19]FormattedData!F39*$J$4+$M$4*$J$5+[19]FormattedData!F39^2*$J$6+$M$5*$J$7</f>
        <v>29.576430352445417</v>
      </c>
      <c r="N62" s="6">
        <f>$J$3+[19]FormattedData!G39*$J$4+$M$4*$J$5+[19]FormattedData!G39^2*$J$6+$M$5*$J$7</f>
        <v>30.258269440555239</v>
      </c>
      <c r="O62" s="6">
        <f>$J$3+[19]FormattedData!H39*$J$4+$M$4*$J$5+[19]FormattedData!H39^2*$J$6+$M$5*$J$7</f>
        <v>33.827869459259794</v>
      </c>
      <c r="P62" s="6">
        <f>$J$3+[19]FormattedData!I39*$J$4+$M$4*$J$5+[19]FormattedData!I39^2*$J$6+$M$5*$J$7</f>
        <v>32.484015227329849</v>
      </c>
      <c r="Q62" s="6">
        <f>$J$3+[19]FormattedData!J39*$J$4+$M$4*$J$5+[19]FormattedData!J39^2*$J$6+$M$5*$J$7</f>
        <v>30.063669615213524</v>
      </c>
      <c r="R62" s="6">
        <f>$J$3+[19]FormattedData!K39*$J$4+$M$4*$J$5+[19]FormattedData!K39^2*$J$6+$M$5*$J$7</f>
        <v>32.868818950068452</v>
      </c>
      <c r="S62" s="6">
        <f>$J$3+[19]FormattedData!L39*$J$4+$M$4*$J$5+[19]FormattedData!L39^2*$J$6+$M$5*$J$7</f>
        <v>31.519047122828155</v>
      </c>
      <c r="T62" s="6">
        <f>$J$3+[19]FormattedData!M39*$J$4+$M$4*$J$5+[19]FormattedData!M39^2*$J$6+$M$5*$J$7</f>
        <v>31.228732454987981</v>
      </c>
      <c r="U62" s="6">
        <f>$J$3+[19]FormattedData!N39*$J$4+$M$4*$J$5+[19]FormattedData!N39^2*$J$6+$M$5*$J$7</f>
        <v>33.156977922474134</v>
      </c>
      <c r="V62" s="6">
        <f>$J$3+[19]FormattedData!O39*$J$4+$M$4*$J$5+[19]FormattedData!O39^2*$J$6+$M$5*$J$7</f>
        <v>32.964914209408278</v>
      </c>
      <c r="W62" s="5">
        <f t="shared" si="9"/>
        <v>31.603552185299993</v>
      </c>
      <c r="X62" s="4">
        <f t="shared" si="10"/>
        <v>0.40710621186583745</v>
      </c>
      <c r="Y62" s="3">
        <f t="shared" si="11"/>
        <v>29.576430352445417</v>
      </c>
      <c r="Z62" s="2">
        <f t="shared" si="12"/>
        <v>30.476956483538817</v>
      </c>
      <c r="AA62" s="3">
        <f t="shared" si="13"/>
        <v>31.373889788908066</v>
      </c>
      <c r="AB62" s="2">
        <f t="shared" si="14"/>
        <v>32.892842764903406</v>
      </c>
      <c r="AC62" s="2">
        <f t="shared" si="15"/>
        <v>33.827869459259794</v>
      </c>
      <c r="AD62" s="2">
        <f t="shared" si="16"/>
        <v>0.14432355420499346</v>
      </c>
      <c r="AE62" s="2">
        <f t="shared" si="17"/>
        <v>-1.4644873363938631</v>
      </c>
    </row>
    <row r="63" spans="2:31" x14ac:dyDescent="0.2">
      <c r="B63" s="1">
        <f>[19]FormattedData!A41</f>
        <v>206</v>
      </c>
      <c r="C63" s="1" t="str">
        <f>VLOOKUP($B63,[19]TrtCodes!$B$11:I84,2)</f>
        <v>NSL</v>
      </c>
      <c r="D63" s="1">
        <f>VLOOKUP($B63,[19]TrtCodes!$B$11:J84,3)</f>
        <v>8</v>
      </c>
      <c r="E63" s="1">
        <f>VLOOKUP($B63,[19]TrtCodes!$B$11:K84,4)</f>
        <v>2</v>
      </c>
      <c r="F63" s="1">
        <f>VLOOKUP($B63,[19]TrtCodes!$B$11:L84,5)</f>
        <v>1</v>
      </c>
      <c r="G63" s="1">
        <f>VLOOKUP($B63,[19]TrtCodes!$B$11:M84,6)</f>
        <v>1</v>
      </c>
      <c r="H63" s="1">
        <f>VLOOKUP($B63,[19]TrtCodes!$B$11:N84,7)</f>
        <v>2</v>
      </c>
      <c r="I63" s="1">
        <f>[19]FormattedData!B41</f>
        <v>2</v>
      </c>
      <c r="J63" s="4">
        <f>[19]FormattedData!C41</f>
        <v>13.298999999999999</v>
      </c>
      <c r="K63" s="6">
        <f>$J$3+[19]FormattedData!D41*$J$4+$M$4*$J$5+[19]FormattedData!D41^2*$J$6+$M$5*$J$7</f>
        <v>31.712378892031943</v>
      </c>
      <c r="L63" s="6">
        <f>$J$3+[19]FormattedData!E41*$J$4+$M$4*$J$5+[19]FormattedData!E41^2*$J$6+$M$5*$J$7</f>
        <v>32.291359754732959</v>
      </c>
      <c r="M63" s="6">
        <f>$J$3+[19]FormattedData!F41*$J$4+$M$4*$J$5+[19]FormattedData!F41^2*$J$6+$M$5*$J$7</f>
        <v>32.194968615627616</v>
      </c>
      <c r="N63" s="6">
        <f>$J$3+[19]FormattedData!G41*$J$4+$M$4*$J$5+[19]FormattedData!G41^2*$J$6+$M$5*$J$7</f>
        <v>31.808981373826938</v>
      </c>
      <c r="O63" s="6">
        <f>$J$3+[19]FormattedData!H41*$J$4+$M$4*$J$5+[19]FormattedData!H41^2*$J$6+$M$5*$J$7</f>
        <v>32.194968615627616</v>
      </c>
      <c r="P63" s="6">
        <f>$J$3+[19]FormattedData!I41*$J$4+$M$4*$J$5+[19]FormattedData!I41^2*$J$6+$M$5*$J$7</f>
        <v>32.291359754732959</v>
      </c>
      <c r="Q63" s="6">
        <f>$J$3+[19]FormattedData!J41*$J$4+$M$4*$J$5+[19]FormattedData!J41^2*$J$6+$M$5*$J$7</f>
        <v>33.060967200210172</v>
      </c>
      <c r="R63" s="6">
        <f>$J$3+[19]FormattedData!K41*$J$4+$M$4*$J$5+[19]FormattedData!K41^2*$J$6+$M$5*$J$7</f>
        <v>33.252946376200157</v>
      </c>
      <c r="S63" s="6">
        <f>$J$3+[19]FormattedData!L41*$J$4+$M$4*$J$5+[19]FormattedData!L41^2*$J$6+$M$5*$J$7</f>
        <v>32.772681422190701</v>
      </c>
      <c r="T63" s="6">
        <f>$J$3+[19]FormattedData!M41*$J$4+$M$4*$J$5+[19]FormattedData!M41^2*$J$6+$M$5*$J$7</f>
        <v>33.54059812615067</v>
      </c>
      <c r="U63" s="6">
        <f>$J$3+[19]FormattedData!N41*$J$4+$M$4*$J$5+[19]FormattedData!N41^2*$J$6+$M$5*$J$7</f>
        <v>31.615734141699011</v>
      </c>
      <c r="V63" s="6">
        <f>$J$3+[19]FormattedData!O41*$J$4+$M$4*$J$5+[19]FormattedData!O41^2*$J$6+$M$5*$J$7</f>
        <v>32.676501625775018</v>
      </c>
      <c r="W63" s="5">
        <f t="shared" si="9"/>
        <v>32.451120491567146</v>
      </c>
      <c r="X63" s="4">
        <f t="shared" si="10"/>
        <v>0.17825382110428087</v>
      </c>
      <c r="Y63" s="3">
        <f t="shared" si="11"/>
        <v>31.615734141699011</v>
      </c>
      <c r="Z63" s="2">
        <f t="shared" si="12"/>
        <v>32.098471805177446</v>
      </c>
      <c r="AA63" s="3">
        <f t="shared" si="13"/>
        <v>32.291359754732959</v>
      </c>
      <c r="AB63" s="2">
        <f t="shared" si="14"/>
        <v>32.844752866695572</v>
      </c>
      <c r="AC63" s="2">
        <f t="shared" si="15"/>
        <v>33.54059812615067</v>
      </c>
      <c r="AD63" s="2">
        <f t="shared" si="16"/>
        <v>0.36487485083607646</v>
      </c>
      <c r="AE63" s="2">
        <f t="shared" si="17"/>
        <v>-0.84829804796069919</v>
      </c>
    </row>
    <row r="64" spans="2:31" x14ac:dyDescent="0.2">
      <c r="B64" s="1">
        <f>[19]FormattedData!A43</f>
        <v>207</v>
      </c>
      <c r="C64" s="1" t="str">
        <f>VLOOKUP($B64,[19]TrtCodes!$B$11:I86,2)</f>
        <v>FTL</v>
      </c>
      <c r="D64" s="1">
        <f>VLOOKUP($B64,[19]TrtCodes!$B$11:J86,3)</f>
        <v>4</v>
      </c>
      <c r="E64" s="1">
        <f>VLOOKUP($B64,[19]TrtCodes!$B$11:K86,4)</f>
        <v>1</v>
      </c>
      <c r="F64" s="1">
        <f>VLOOKUP($B64,[19]TrtCodes!$B$11:L86,5)</f>
        <v>2</v>
      </c>
      <c r="G64" s="1">
        <f>VLOOKUP($B64,[19]TrtCodes!$B$11:M86,6)</f>
        <v>1</v>
      </c>
      <c r="H64" s="1">
        <f>VLOOKUP($B64,[19]TrtCodes!$B$11:N86,7)</f>
        <v>2</v>
      </c>
      <c r="I64" s="1">
        <f>[19]FormattedData!B43</f>
        <v>2</v>
      </c>
      <c r="J64" s="4">
        <f>[19]FormattedData!C43</f>
        <v>13.319000000000001</v>
      </c>
      <c r="K64" s="6">
        <f>$J$3+[19]FormattedData!D43*$J$4+$M$4*$J$5+[19]FormattedData!D43^2*$J$6+$M$5*$J$7</f>
        <v>29.868900715720073</v>
      </c>
      <c r="L64" s="6">
        <f>$J$3+[19]FormattedData!E43*$J$4+$M$4*$J$5+[19]FormattedData!E43^2*$J$6+$M$5*$J$7</f>
        <v>29.868900715720073</v>
      </c>
      <c r="M64" s="6">
        <f>$J$3+[19]FormattedData!F43*$J$4+$M$4*$J$5+[19]FormattedData!F43^2*$J$6+$M$5*$J$7</f>
        <v>30.452700191745237</v>
      </c>
      <c r="N64" s="6">
        <f>$J$3+[19]FormattedData!G43*$J$4+$M$4*$J$5+[19]FormattedData!G43^2*$J$6+$M$5*$J$7</f>
        <v>30.258269440555239</v>
      </c>
      <c r="O64" s="6">
        <f>$J$3+[19]FormattedData!H43*$J$4+$M$4*$J$5+[19]FormattedData!H43^2*$J$6+$M$5*$J$7</f>
        <v>31.1318763619654</v>
      </c>
      <c r="P64" s="6">
        <f>$J$3+[19]FormattedData!I43*$J$4+$M$4*$J$5+[19]FormattedData!I43^2*$J$6+$M$5*$J$7</f>
        <v>30.841054471670063</v>
      </c>
      <c r="Q64" s="6">
        <f>$J$3+[19]FormattedData!J43*$J$4+$M$4*$J$5+[19]FormattedData!J43^2*$J$6+$M$5*$J$7</f>
        <v>30.744029304495751</v>
      </c>
      <c r="R64" s="6">
        <f>$J$3+[19]FormattedData!K43*$J$4+$M$4*$J$5+[19]FormattedData!K43^2*$J$6+$M$5*$J$7</f>
        <v>30.549852164533345</v>
      </c>
      <c r="S64" s="6">
        <f>$J$3+[19]FormattedData!L43*$J$4+$M$4*$J$5+[19]FormattedData!L43^2*$J$6+$M$5*$J$7</f>
        <v>31.712378892031943</v>
      </c>
      <c r="T64" s="6">
        <f>$J$3+[19]FormattedData!M43*$J$4+$M$4*$J$5+[19]FormattedData!M43^2*$J$6+$M$5*$J$7</f>
        <v>30.355505950419207</v>
      </c>
      <c r="U64" s="6">
        <f>$J$3+[19]FormattedData!N43*$J$4+$M$4*$J$5+[19]FormattedData!N43^2*$J$6+$M$5*$J$7</f>
        <v>29.576430352445417</v>
      </c>
      <c r="V64" s="6">
        <f>$J$3+[19]FormattedData!O43*$J$4+$M$4*$J$5+[19]FormattedData!O43^2*$J$6+$M$5*$J$7</f>
        <v>30.063669615213524</v>
      </c>
      <c r="W64" s="5">
        <f t="shared" si="9"/>
        <v>30.451964014709606</v>
      </c>
      <c r="X64" s="4">
        <f t="shared" si="10"/>
        <v>0.17279523952374087</v>
      </c>
      <c r="Y64" s="3">
        <f t="shared" si="11"/>
        <v>29.576430352445417</v>
      </c>
      <c r="Z64" s="2">
        <f t="shared" si="12"/>
        <v>30.01497739034016</v>
      </c>
      <c r="AA64" s="3">
        <f t="shared" si="13"/>
        <v>30.404103071082222</v>
      </c>
      <c r="AB64" s="2">
        <f t="shared" si="14"/>
        <v>30.768285596289328</v>
      </c>
      <c r="AC64" s="2">
        <f t="shared" si="15"/>
        <v>31.712378892031943</v>
      </c>
      <c r="AD64" s="2">
        <f t="shared" si="16"/>
        <v>0.64452564127776113</v>
      </c>
      <c r="AE64" s="2">
        <f t="shared" si="17"/>
        <v>0.39867184059175109</v>
      </c>
    </row>
    <row r="65" spans="2:31" x14ac:dyDescent="0.2">
      <c r="B65" s="1">
        <f>[19]FormattedData!A45</f>
        <v>208</v>
      </c>
      <c r="C65" s="1" t="str">
        <f>VLOOKUP($B65,[19]TrtCodes!$B$11:I88,2)</f>
        <v>FSL</v>
      </c>
      <c r="D65" s="1">
        <f>VLOOKUP($B65,[19]TrtCodes!$B$11:J88,3)</f>
        <v>2</v>
      </c>
      <c r="E65" s="1">
        <f>VLOOKUP($B65,[19]TrtCodes!$B$11:K88,4)</f>
        <v>1</v>
      </c>
      <c r="F65" s="1">
        <f>VLOOKUP($B65,[19]TrtCodes!$B$11:L88,5)</f>
        <v>1</v>
      </c>
      <c r="G65" s="1">
        <f>VLOOKUP($B65,[19]TrtCodes!$B$11:M88,6)</f>
        <v>1</v>
      </c>
      <c r="H65" s="1">
        <f>VLOOKUP($B65,[19]TrtCodes!$B$11:N88,7)</f>
        <v>2</v>
      </c>
      <c r="I65" s="1">
        <f>[19]FormattedData!B45</f>
        <v>2</v>
      </c>
      <c r="J65" s="4">
        <f>[19]FormattedData!C45</f>
        <v>13.335000000000001</v>
      </c>
      <c r="K65" s="6">
        <f>$J$3+[19]FormattedData!D45*$J$4+$M$4*$J$5+[19]FormattedData!D45^2*$J$6+$M$5*$J$7</f>
        <v>30.744029304495751</v>
      </c>
      <c r="L65" s="6">
        <f>$J$3+[19]FormattedData!E45*$J$4+$M$4*$J$5+[19]FormattedData!E45^2*$J$6+$M$5*$J$7</f>
        <v>30.549852164533345</v>
      </c>
      <c r="M65" s="6">
        <f>$J$3+[19]FormattedData!F45*$J$4+$M$4*$J$5+[19]FormattedData!F45^2*$J$6+$M$5*$J$7</f>
        <v>31.519047122828155</v>
      </c>
      <c r="N65" s="6">
        <f>$J$3+[19]FormattedData!G45*$J$4+$M$4*$J$5+[19]FormattedData!G45^2*$J$6+$M$5*$J$7</f>
        <v>30.452700191745237</v>
      </c>
      <c r="O65" s="6">
        <f>$J$3+[19]FormattedData!H45*$J$4+$M$4*$J$5+[19]FormattedData!H45^2*$J$6+$M$5*$J$7</f>
        <v>30.355505950419207</v>
      </c>
      <c r="P65" s="6">
        <f>$J$3+[19]FormattedData!I45*$J$4+$M$4*$J$5+[19]FormattedData!I45^2*$J$6+$M$5*$J$7</f>
        <v>30.646961868783514</v>
      </c>
      <c r="Q65" s="6">
        <f>$J$3+[19]FormattedData!J45*$J$4+$M$4*$J$5+[19]FormattedData!J45^2*$J$6+$M$5*$J$7</f>
        <v>30.646961868783514</v>
      </c>
      <c r="R65" s="6">
        <f>$J$3+[19]FormattedData!K45*$J$4+$M$4*$J$5+[19]FormattedData!K45^2*$J$6+$M$5*$J$7</f>
        <v>29.966306299735759</v>
      </c>
      <c r="S65" s="6">
        <f>$J$3+[19]FormattedData!L45*$J$4+$M$4*$J$5+[19]FormattedData!L45^2*$J$6+$M$5*$J$7</f>
        <v>31.228732454987981</v>
      </c>
      <c r="T65" s="6">
        <f>$J$3+[19]FormattedData!M45*$J$4+$M$4*$J$5+[19]FormattedData!M45^2*$J$6+$M$5*$J$7</f>
        <v>30.160990662153345</v>
      </c>
      <c r="U65" s="6">
        <f>$J$3+[19]FormattedData!N45*$J$4+$M$4*$J$5+[19]FormattedData!N45^2*$J$6+$M$5*$J$7</f>
        <v>31.32554627947264</v>
      </c>
      <c r="V65" s="6">
        <f>$J$3+[19]FormattedData!O45*$J$4+$M$4*$J$5+[19]FormattedData!O45^2*$J$6+$M$5*$J$7</f>
        <v>31.034978000404887</v>
      </c>
      <c r="W65" s="5">
        <f t="shared" si="9"/>
        <v>30.719301014028606</v>
      </c>
      <c r="X65" s="4">
        <f t="shared" si="10"/>
        <v>0.13729596855372553</v>
      </c>
      <c r="Y65" s="3">
        <f t="shared" si="11"/>
        <v>29.966306299735759</v>
      </c>
      <c r="Z65" s="2">
        <f t="shared" si="12"/>
        <v>30.428401631413728</v>
      </c>
      <c r="AA65" s="3">
        <f t="shared" si="13"/>
        <v>30.646961868783514</v>
      </c>
      <c r="AB65" s="2">
        <f t="shared" si="14"/>
        <v>31.083416614050662</v>
      </c>
      <c r="AC65" s="2">
        <f t="shared" si="15"/>
        <v>31.519047122828155</v>
      </c>
      <c r="AD65" s="2">
        <f t="shared" si="16"/>
        <v>0.22745351160593189</v>
      </c>
      <c r="AE65" s="2">
        <f t="shared" si="17"/>
        <v>-0.75803526768060925</v>
      </c>
    </row>
    <row r="66" spans="2:31" x14ac:dyDescent="0.2">
      <c r="B66" s="1">
        <f>[19]FormattedData!A63</f>
        <v>301</v>
      </c>
      <c r="C66" s="1" t="str">
        <f>VLOOKUP($B66,[19]TrtCodes!$B$11:I106,2)</f>
        <v>NTL</v>
      </c>
      <c r="D66" s="1">
        <f>VLOOKUP($B66,[19]TrtCodes!$B$11:J106,3)</f>
        <v>10</v>
      </c>
      <c r="E66" s="1">
        <f>VLOOKUP($B66,[19]TrtCodes!$B$11:K106,4)</f>
        <v>2</v>
      </c>
      <c r="F66" s="1">
        <f>VLOOKUP($B66,[19]TrtCodes!$B$11:L106,5)</f>
        <v>2</v>
      </c>
      <c r="G66" s="1">
        <f>VLOOKUP($B66,[19]TrtCodes!$B$11:M106,6)</f>
        <v>1</v>
      </c>
      <c r="H66" s="1">
        <f>VLOOKUP($B66,[19]TrtCodes!$B$11:N106,7)</f>
        <v>3</v>
      </c>
      <c r="I66" s="1">
        <f>[19]FormattedData!B63</f>
        <v>2</v>
      </c>
      <c r="J66" s="4">
        <f>[19]FormattedData!C63</f>
        <v>13.46</v>
      </c>
      <c r="K66" s="6">
        <f>$J$3+[19]FormattedData!D63*$J$4+$M$4*$J$5+[19]FormattedData!D63^2*$J$6+$M$5*$J$7</f>
        <v>29.185878108548177</v>
      </c>
      <c r="L66" s="6">
        <f>$J$3+[19]FormattedData!E63*$J$4+$M$4*$J$5+[19]FormattedData!E63^2*$J$6+$M$5*$J$7</f>
        <v>29.088134376229039</v>
      </c>
      <c r="M66" s="6">
        <f>$J$3+[19]FormattedData!F63*$J$4+$M$4*$J$5+[19]FormattedData!F63^2*$J$6+$M$5*$J$7</f>
        <v>29.283579572329383</v>
      </c>
      <c r="N66" s="6">
        <f>$J$3+[19]FormattedData!G63*$J$4+$M$4*$J$5+[19]FormattedData!G63^2*$J$6+$M$5*$J$7</f>
        <v>29.283579572329383</v>
      </c>
      <c r="O66" s="6">
        <f>$J$3+[19]FormattedData!H63*$J$4+$M$4*$J$5+[19]FormattedData!H63^2*$J$6+$M$5*$J$7</f>
        <v>29.283579572329383</v>
      </c>
      <c r="P66" s="6">
        <f>$J$3+[19]FormattedData!I63*$J$4+$M$4*$J$5+[19]FormattedData!I63^2*$J$6+$M$5*$J$7</f>
        <v>29.478855694278003</v>
      </c>
      <c r="Q66" s="6">
        <f>$J$3+[19]FormattedData!J63*$J$4+$M$4*$J$5+[19]FormattedData!J63^2*$J$6+$M$5*$J$7</f>
        <v>29.185878108548177</v>
      </c>
      <c r="R66" s="6">
        <f>$J$3+[19]FormattedData!K63*$J$4+$M$4*$J$5+[19]FormattedData!K63^2*$J$6+$M$5*$J$7</f>
        <v>29.283579572329383</v>
      </c>
      <c r="S66" s="6">
        <f>$J$3+[19]FormattedData!L63*$J$4+$M$4*$J$5+[19]FormattedData!L63^2*$J$6+$M$5*$J$7</f>
        <v>30.646961868783514</v>
      </c>
      <c r="T66" s="6">
        <f>$J$3+[19]FormattedData!M63*$J$4+$M$4*$J$5+[19]FormattedData!M63^2*$J$6+$M$5*$J$7</f>
        <v>28.990348375371969</v>
      </c>
      <c r="U66" s="6">
        <f>$J$3+[19]FormattedData!N63*$J$4+$M$4*$J$5+[19]FormattedData!N63^2*$J$6+$M$5*$J$7</f>
        <v>28.892520105976967</v>
      </c>
      <c r="V66" s="6">
        <f>$J$3+[19]FormattedData!O63*$J$4+$M$4*$J$5+[19]FormattedData!O63^2*$J$6+$M$5*$J$7</f>
        <v>28.794649568044036</v>
      </c>
      <c r="W66" s="5">
        <f t="shared" si="9"/>
        <v>29.283128707924789</v>
      </c>
      <c r="X66" s="4">
        <f t="shared" si="10"/>
        <v>0.13574140347956193</v>
      </c>
      <c r="Y66" s="3">
        <f t="shared" si="11"/>
        <v>28.794649568044036</v>
      </c>
      <c r="Z66" s="2">
        <f t="shared" si="12"/>
        <v>29.063687876014772</v>
      </c>
      <c r="AA66" s="3">
        <f t="shared" si="13"/>
        <v>29.23472884043878</v>
      </c>
      <c r="AB66" s="2">
        <f t="shared" si="14"/>
        <v>29.283579572329383</v>
      </c>
      <c r="AC66" s="2">
        <f t="shared" si="15"/>
        <v>30.646961868783514</v>
      </c>
      <c r="AD66" s="2">
        <f t="shared" si="16"/>
        <v>2.448721106238819</v>
      </c>
      <c r="AE66" s="2">
        <f t="shared" si="17"/>
        <v>7.410083607217917</v>
      </c>
    </row>
    <row r="67" spans="2:31" x14ac:dyDescent="0.2">
      <c r="B67" s="1">
        <f>[19]FormattedData!A65</f>
        <v>302</v>
      </c>
      <c r="C67" s="1" t="str">
        <f>VLOOKUP($B67,[19]TrtCodes!$B$11:I108,2)</f>
        <v>FTL</v>
      </c>
      <c r="D67" s="1">
        <f>VLOOKUP($B67,[19]TrtCodes!$B$11:J108,3)</f>
        <v>4</v>
      </c>
      <c r="E67" s="1">
        <f>VLOOKUP($B67,[19]TrtCodes!$B$11:K108,4)</f>
        <v>1</v>
      </c>
      <c r="F67" s="1">
        <f>VLOOKUP($B67,[19]TrtCodes!$B$11:L108,5)</f>
        <v>2</v>
      </c>
      <c r="G67" s="1">
        <f>VLOOKUP($B67,[19]TrtCodes!$B$11:M108,6)</f>
        <v>1</v>
      </c>
      <c r="H67" s="1">
        <f>VLOOKUP($B67,[19]TrtCodes!$B$11:N108,7)</f>
        <v>3</v>
      </c>
      <c r="I67" s="1">
        <f>[19]FormattedData!B65</f>
        <v>2</v>
      </c>
      <c r="J67" s="4">
        <f>[19]FormattedData!C65</f>
        <v>13.477</v>
      </c>
      <c r="K67" s="6">
        <f>$J$3+[19]FormattedData!D65*$J$4+$M$4*$J$5+[19]FormattedData!D65^2*$J$6+$M$5*$J$7</f>
        <v>28.794649568044036</v>
      </c>
      <c r="L67" s="6">
        <f>$J$3+[19]FormattedData!E65*$J$4+$M$4*$J$5+[19]FormattedData!E65^2*$J$6+$M$5*$J$7</f>
        <v>29.283579572329383</v>
      </c>
      <c r="M67" s="6">
        <f>$J$3+[19]FormattedData!F65*$J$4+$M$4*$J$5+[19]FormattedData!F65^2*$J$6+$M$5*$J$7</f>
        <v>28.304662850310411</v>
      </c>
      <c r="N67" s="6">
        <f>$J$3+[19]FormattedData!G65*$J$4+$M$4*$J$5+[19]FormattedData!G65^2*$J$6+$M$5*$J$7</f>
        <v>29.478855694278003</v>
      </c>
      <c r="O67" s="6">
        <f>$J$3+[19]FormattedData!H65*$J$4+$M$4*$J$5+[19]FormattedData!H65^2*$J$6+$M$5*$J$7</f>
        <v>28.990348375371969</v>
      </c>
      <c r="P67" s="6">
        <f>$J$3+[19]FormattedData!I65*$J$4+$M$4*$J$5+[19]FormattedData!I65^2*$J$6+$M$5*$J$7</f>
        <v>29.185878108548177</v>
      </c>
      <c r="Q67" s="6">
        <f>$J$3+[19]FormattedData!J65*$J$4+$M$4*$J$5+[19]FormattedData!J65^2*$J$6+$M$5*$J$7</f>
        <v>30.063669615213524</v>
      </c>
      <c r="R67" s="6">
        <f>$J$3+[19]FormattedData!K65*$J$4+$M$4*$J$5+[19]FormattedData!K65^2*$J$6+$M$5*$J$7</f>
        <v>29.673962742074902</v>
      </c>
      <c r="S67" s="6">
        <f>$J$3+[19]FormattedData!L65*$J$4+$M$4*$J$5+[19]FormattedData!L65^2*$J$6+$M$5*$J$7</f>
        <v>29.966306299735759</v>
      </c>
      <c r="T67" s="6">
        <f>$J$3+[19]FormattedData!M65*$J$4+$M$4*$J$5+[19]FormattedData!M65^2*$J$6+$M$5*$J$7</f>
        <v>30.258269440555239</v>
      </c>
      <c r="U67" s="6">
        <f>$J$3+[19]FormattedData!N65*$J$4+$M$4*$J$5+[19]FormattedData!N65^2*$J$6+$M$5*$J$7</f>
        <v>28.794649568044036</v>
      </c>
      <c r="V67" s="6">
        <f>$J$3+[19]FormattedData!O65*$J$4+$M$4*$J$5+[19]FormattedData!O65^2*$J$6+$M$5*$J$7</f>
        <v>29.771452863166449</v>
      </c>
      <c r="W67" s="5">
        <f t="shared" si="9"/>
        <v>29.380523724805993</v>
      </c>
      <c r="X67" s="4">
        <f t="shared" si="10"/>
        <v>0.17127781487915392</v>
      </c>
      <c r="Y67" s="3">
        <f t="shared" si="11"/>
        <v>28.304662850310411</v>
      </c>
      <c r="Z67" s="2">
        <f t="shared" si="12"/>
        <v>28.941423673539987</v>
      </c>
      <c r="AA67" s="3">
        <f t="shared" si="13"/>
        <v>29.381217633303692</v>
      </c>
      <c r="AB67" s="2">
        <f t="shared" si="14"/>
        <v>29.820166222308778</v>
      </c>
      <c r="AC67" s="2">
        <f t="shared" si="15"/>
        <v>30.258269440555239</v>
      </c>
      <c r="AD67" s="2">
        <f t="shared" si="16"/>
        <v>-0.22622397786369849</v>
      </c>
      <c r="AE67" s="2">
        <f t="shared" si="17"/>
        <v>-0.77815563985567726</v>
      </c>
    </row>
    <row r="68" spans="2:31" x14ac:dyDescent="0.2">
      <c r="B68" s="1">
        <f>[19]FormattedData!A67</f>
        <v>303</v>
      </c>
      <c r="C68" s="1" t="str">
        <f>VLOOKUP($B68,[19]TrtCodes!$B$11:I110,2)</f>
        <v>NSL</v>
      </c>
      <c r="D68" s="1">
        <f>VLOOKUP($B68,[19]TrtCodes!$B$11:J110,3)</f>
        <v>8</v>
      </c>
      <c r="E68" s="1">
        <f>VLOOKUP($B68,[19]TrtCodes!$B$11:K110,4)</f>
        <v>2</v>
      </c>
      <c r="F68" s="1">
        <f>VLOOKUP($B68,[19]TrtCodes!$B$11:L110,5)</f>
        <v>1</v>
      </c>
      <c r="G68" s="1">
        <f>VLOOKUP($B68,[19]TrtCodes!$B$11:M110,6)</f>
        <v>1</v>
      </c>
      <c r="H68" s="1">
        <f>VLOOKUP($B68,[19]TrtCodes!$B$11:N110,7)</f>
        <v>3</v>
      </c>
      <c r="I68" s="1">
        <f>[19]FormattedData!B67</f>
        <v>2</v>
      </c>
      <c r="J68" s="4">
        <f>[19]FormattedData!C67</f>
        <v>13.494</v>
      </c>
      <c r="K68" s="6">
        <f>$J$3+[19]FormattedData!D67*$J$4+$M$4*$J$5+[19]FormattedData!D67^2*$J$6+$M$5*$J$7</f>
        <v>29.381238767572661</v>
      </c>
      <c r="L68" s="6">
        <f>$J$3+[19]FormattedData!E67*$J$4+$M$4*$J$5+[19]FormattedData!E67^2*$J$6+$M$5*$J$7</f>
        <v>28.990348375371969</v>
      </c>
      <c r="M68" s="6">
        <f>$J$3+[19]FormattedData!F67*$J$4+$M$4*$J$5+[19]FormattedData!F67^2*$J$6+$M$5*$J$7</f>
        <v>29.966306299735759</v>
      </c>
      <c r="N68" s="6">
        <f>$J$3+[19]FormattedData!G67*$J$4+$M$4*$J$5+[19]FormattedData!G67^2*$J$6+$M$5*$J$7</f>
        <v>29.381238767572661</v>
      </c>
      <c r="O68" s="6">
        <f>$J$3+[19]FormattedData!H67*$J$4+$M$4*$J$5+[19]FormattedData!H67^2*$J$6+$M$5*$J$7</f>
        <v>30.063669615213524</v>
      </c>
      <c r="P68" s="6">
        <f>$J$3+[19]FormattedData!I67*$J$4+$M$4*$J$5+[19]FormattedData!I67^2*$J$6+$M$5*$J$7</f>
        <v>28.696736761573174</v>
      </c>
      <c r="Q68" s="6">
        <f>$J$3+[19]FormattedData!J67*$J$4+$M$4*$J$5+[19]FormattedData!J67^2*$J$6+$M$5*$J$7</f>
        <v>28.696736761573174</v>
      </c>
      <c r="R68" s="6">
        <f>$J$3+[19]FormattedData!K67*$J$4+$M$4*$J$5+[19]FormattedData!K67^2*$J$6+$M$5*$J$7</f>
        <v>29.185878108548177</v>
      </c>
      <c r="S68" s="6">
        <f>$J$3+[19]FormattedData!L67*$J$4+$M$4*$J$5+[19]FormattedData!L67^2*$J$6+$M$5*$J$7</f>
        <v>29.185878108548177</v>
      </c>
      <c r="T68" s="6">
        <f>$J$3+[19]FormattedData!M67*$J$4+$M$4*$J$5+[19]FormattedData!M67^2*$J$6+$M$5*$J$7</f>
        <v>29.283579572329383</v>
      </c>
      <c r="U68" s="6">
        <f>$J$3+[19]FormattedData!N67*$J$4+$M$4*$J$5+[19]FormattedData!N67^2*$J$6+$M$5*$J$7</f>
        <v>29.576430352445417</v>
      </c>
      <c r="V68" s="6">
        <f>$J$3+[19]FormattedData!O67*$J$4+$M$4*$J$5+[19]FormattedData!O67^2*$J$6+$M$5*$J$7</f>
        <v>29.381238767572661</v>
      </c>
      <c r="W68" s="5">
        <f t="shared" si="9"/>
        <v>29.315773354838058</v>
      </c>
      <c r="X68" s="4">
        <f t="shared" si="10"/>
        <v>0.12217837104588501</v>
      </c>
      <c r="Y68" s="3">
        <f t="shared" si="11"/>
        <v>28.696736761573174</v>
      </c>
      <c r="Z68" s="2">
        <f t="shared" si="12"/>
        <v>29.136995675254127</v>
      </c>
      <c r="AA68" s="3">
        <f t="shared" si="13"/>
        <v>29.332409169951021</v>
      </c>
      <c r="AB68" s="2">
        <f t="shared" si="14"/>
        <v>29.430036663790851</v>
      </c>
      <c r="AC68" s="2">
        <f t="shared" si="15"/>
        <v>30.063669615213524</v>
      </c>
      <c r="AD68" s="2">
        <f t="shared" si="16"/>
        <v>0.2861561570907547</v>
      </c>
      <c r="AE68" s="2">
        <f t="shared" si="17"/>
        <v>-9.4333828485638538E-2</v>
      </c>
    </row>
    <row r="69" spans="2:31" x14ac:dyDescent="0.2">
      <c r="B69" s="1">
        <f>[19]FormattedData!A69</f>
        <v>304</v>
      </c>
      <c r="C69" s="1" t="str">
        <f>VLOOKUP($B69,[19]TrtCodes!$B$11:I112,2)</f>
        <v>FSL</v>
      </c>
      <c r="D69" s="1">
        <f>VLOOKUP($B69,[19]TrtCodes!$B$11:J112,3)</f>
        <v>2</v>
      </c>
      <c r="E69" s="1">
        <f>VLOOKUP($B69,[19]TrtCodes!$B$11:K112,4)</f>
        <v>1</v>
      </c>
      <c r="F69" s="1">
        <f>VLOOKUP($B69,[19]TrtCodes!$B$11:L112,5)</f>
        <v>1</v>
      </c>
      <c r="G69" s="1">
        <f>VLOOKUP($B69,[19]TrtCodes!$B$11:M112,6)</f>
        <v>1</v>
      </c>
      <c r="H69" s="1">
        <f>VLOOKUP($B69,[19]TrtCodes!$B$11:N112,7)</f>
        <v>3</v>
      </c>
      <c r="I69" s="1">
        <f>[19]FormattedData!B69</f>
        <v>2</v>
      </c>
      <c r="J69" s="4">
        <f>[19]FormattedData!C69</f>
        <v>13.51</v>
      </c>
      <c r="K69" s="6">
        <f>$J$3+[19]FormattedData!D69*$J$4+$M$4*$J$5+[19]FormattedData!D69^2*$J$6+$M$5*$J$7</f>
        <v>30.938037370306439</v>
      </c>
      <c r="L69" s="6">
        <f>$J$3+[19]FormattedData!E69*$J$4+$M$4*$J$5+[19]FormattedData!E69^2*$J$6+$M$5*$J$7</f>
        <v>31.905541587084002</v>
      </c>
      <c r="M69" s="6">
        <f>$J$3+[19]FormattedData!F69*$J$4+$M$4*$J$5+[19]FormattedData!F69^2*$J$6+$M$5*$J$7</f>
        <v>29.283579572329383</v>
      </c>
      <c r="N69" s="6">
        <f>$J$3+[19]FormattedData!G69*$J$4+$M$4*$J$5+[19]FormattedData!G69^2*$J$6+$M$5*$J$7</f>
        <v>29.283579572329383</v>
      </c>
      <c r="O69" s="6">
        <f>$J$3+[19]FormattedData!H69*$J$4+$M$4*$J$5+[19]FormattedData!H69^2*$J$6+$M$5*$J$7</f>
        <v>29.088134376229039</v>
      </c>
      <c r="P69" s="6">
        <f>$J$3+[19]FormattedData!I69*$J$4+$M$4*$J$5+[19]FormattedData!I69^2*$J$6+$M$5*$J$7</f>
        <v>29.771452863166449</v>
      </c>
      <c r="Q69" s="6">
        <f>$J$3+[19]FormattedData!J69*$J$4+$M$4*$J$5+[19]FormattedData!J69^2*$J$6+$M$5*$J$7</f>
        <v>29.771452863166449</v>
      </c>
      <c r="R69" s="6">
        <f>$J$3+[19]FormattedData!K69*$J$4+$M$4*$J$5+[19]FormattedData!K69^2*$J$6+$M$5*$J$7</f>
        <v>30.452700191745237</v>
      </c>
      <c r="S69" s="6">
        <f>$J$3+[19]FormattedData!L69*$J$4+$M$4*$J$5+[19]FormattedData!L69^2*$J$6+$M$5*$J$7</f>
        <v>30.355505950419207</v>
      </c>
      <c r="T69" s="6">
        <f>$J$3+[19]FormattedData!M69*$J$4+$M$4*$J$5+[19]FormattedData!M69^2*$J$6+$M$5*$J$7</f>
        <v>30.452700191745237</v>
      </c>
      <c r="U69" s="6">
        <f>$J$3+[19]FormattedData!N69*$J$4+$M$4*$J$5+[19]FormattedData!N69^2*$J$6+$M$5*$J$7</f>
        <v>30.452700191745237</v>
      </c>
      <c r="V69" s="6">
        <f>$J$3+[19]FormattedData!O69*$J$4+$M$4*$J$5+[19]FormattedData!O69^2*$J$6+$M$5*$J$7</f>
        <v>29.771452863166449</v>
      </c>
      <c r="W69" s="5">
        <f t="shared" si="9"/>
        <v>30.127236466119381</v>
      </c>
      <c r="X69" s="4">
        <f t="shared" si="10"/>
        <v>0.23147496519390542</v>
      </c>
      <c r="Y69" s="3">
        <f t="shared" si="11"/>
        <v>29.088134376229039</v>
      </c>
      <c r="Z69" s="2">
        <f t="shared" si="12"/>
        <v>29.649484540457181</v>
      </c>
      <c r="AA69" s="3">
        <f t="shared" si="13"/>
        <v>30.06347940679283</v>
      </c>
      <c r="AB69" s="2">
        <f t="shared" si="14"/>
        <v>30.452700191745237</v>
      </c>
      <c r="AC69" s="2">
        <f t="shared" si="15"/>
        <v>31.905541587084002</v>
      </c>
      <c r="AD69" s="2">
        <f t="shared" si="16"/>
        <v>0.80701736090572351</v>
      </c>
      <c r="AE69" s="2">
        <f t="shared" si="17"/>
        <v>0.80599505983015707</v>
      </c>
    </row>
    <row r="70" spans="2:31" x14ac:dyDescent="0.2">
      <c r="B70" s="1">
        <f>[19]FormattedData!A71</f>
        <v>305</v>
      </c>
      <c r="C70" s="1" t="str">
        <f>VLOOKUP($B70,[19]TrtCodes!$B$11:I114,2)</f>
        <v>NDH</v>
      </c>
      <c r="D70" s="1">
        <f>VLOOKUP($B70,[19]TrtCodes!$B$11:J114,3)</f>
        <v>11</v>
      </c>
      <c r="E70" s="1">
        <f>VLOOKUP($B70,[19]TrtCodes!$B$11:K114,4)</f>
        <v>2</v>
      </c>
      <c r="F70" s="1">
        <f>VLOOKUP($B70,[19]TrtCodes!$B$11:L114,5)</f>
        <v>3</v>
      </c>
      <c r="G70" s="1">
        <f>VLOOKUP($B70,[19]TrtCodes!$B$11:M114,6)</f>
        <v>2</v>
      </c>
      <c r="H70" s="1">
        <f>VLOOKUP($B70,[19]TrtCodes!$B$11:N114,7)</f>
        <v>4</v>
      </c>
      <c r="I70" s="1">
        <f>[19]FormattedData!B71</f>
        <v>2</v>
      </c>
      <c r="J70" s="4">
        <f>[19]FormattedData!C71</f>
        <v>13.525</v>
      </c>
      <c r="K70" s="6">
        <f>$J$3+[19]FormattedData!D71*$J$4+$M$4*$J$5+[19]FormattedData!D71^2*$J$6+$M$5*$J$7</f>
        <v>31.228732454987981</v>
      </c>
      <c r="L70" s="6">
        <f>$J$3+[19]FormattedData!E71*$J$4+$M$4*$J$5+[19]FormattedData!E71^2*$J$6+$M$5*$J$7</f>
        <v>31.615734141699011</v>
      </c>
      <c r="M70" s="6">
        <f>$J$3+[19]FormattedData!F71*$J$4+$M$4*$J$5+[19]FormattedData!F71^2*$J$6+$M$5*$J$7</f>
        <v>31.615734141699011</v>
      </c>
      <c r="N70" s="6">
        <f>$J$3+[19]FormattedData!G71*$J$4+$M$4*$J$5+[19]FormattedData!G71^2*$J$6+$M$5*$J$7</f>
        <v>31.228732454987981</v>
      </c>
      <c r="O70" s="6">
        <f>$J$3+[19]FormattedData!H71*$J$4+$M$4*$J$5+[19]FormattedData!H71^2*$J$6+$M$5*$J$7</f>
        <v>30.258269440555239</v>
      </c>
      <c r="P70" s="6">
        <f>$J$3+[19]FormattedData!I71*$J$4+$M$4*$J$5+[19]FormattedData!I71^2*$J$6+$M$5*$J$7</f>
        <v>31.905541587084002</v>
      </c>
      <c r="Q70" s="6">
        <f>$J$3+[19]FormattedData!J71*$J$4+$M$4*$J$5+[19]FormattedData!J71^2*$J$6+$M$5*$J$7</f>
        <v>30.452700191745237</v>
      </c>
      <c r="R70" s="6">
        <f>$J$3+[19]FormattedData!K71*$J$4+$M$4*$J$5+[19]FormattedData!K71^2*$J$6+$M$5*$J$7</f>
        <v>30.160990662153345</v>
      </c>
      <c r="S70" s="6">
        <f>$J$3+[19]FormattedData!L71*$J$4+$M$4*$J$5+[19]FormattedData!L71^2*$J$6+$M$5*$J$7</f>
        <v>31.32554627947264</v>
      </c>
      <c r="T70" s="6">
        <f>$J$3+[19]FormattedData!M71*$J$4+$M$4*$J$5+[19]FormattedData!M71^2*$J$6+$M$5*$J$7</f>
        <v>31.615734141699011</v>
      </c>
      <c r="U70" s="6">
        <f>$J$3+[19]FormattedData!N71*$J$4+$M$4*$J$5+[19]FormattedData!N71^2*$J$6+$M$5*$J$7</f>
        <v>32.291359754732959</v>
      </c>
      <c r="V70" s="6">
        <f>$J$3+[19]FormattedData!O71*$J$4+$M$4*$J$5+[19]FormattedData!O71^2*$J$6+$M$5*$J$7</f>
        <v>32.676501625775018</v>
      </c>
      <c r="W70" s="5">
        <f t="shared" si="9"/>
        <v>31.364631406382625</v>
      </c>
      <c r="X70" s="4">
        <f t="shared" si="10"/>
        <v>0.22368202466277518</v>
      </c>
      <c r="Y70" s="3">
        <f t="shared" si="11"/>
        <v>30.160990662153345</v>
      </c>
      <c r="Z70" s="2">
        <f t="shared" si="12"/>
        <v>31.034724389177295</v>
      </c>
      <c r="AA70" s="3">
        <f t="shared" si="13"/>
        <v>31.470640210585827</v>
      </c>
      <c r="AB70" s="2">
        <f t="shared" si="14"/>
        <v>31.68818600304526</v>
      </c>
      <c r="AC70" s="2">
        <f t="shared" si="15"/>
        <v>32.676501625775018</v>
      </c>
      <c r="AD70" s="2">
        <f t="shared" si="16"/>
        <v>-0.14117938321716925</v>
      </c>
      <c r="AE70" s="2">
        <f t="shared" si="17"/>
        <v>-0.49859695118039848</v>
      </c>
    </row>
    <row r="71" spans="2:31" x14ac:dyDescent="0.2">
      <c r="B71" s="1">
        <f>[19]FormattedData!A73</f>
        <v>306</v>
      </c>
      <c r="C71" s="1" t="str">
        <f>VLOOKUP($B71,[19]TrtCodes!$B$11:I116,2)</f>
        <v>FTL</v>
      </c>
      <c r="D71" s="1">
        <f>VLOOKUP($B71,[19]TrtCodes!$B$11:J116,3)</f>
        <v>4</v>
      </c>
      <c r="E71" s="1">
        <f>VLOOKUP($B71,[19]TrtCodes!$B$11:K116,4)</f>
        <v>1</v>
      </c>
      <c r="F71" s="1">
        <f>VLOOKUP($B71,[19]TrtCodes!$B$11:L116,5)</f>
        <v>2</v>
      </c>
      <c r="G71" s="1">
        <f>VLOOKUP($B71,[19]TrtCodes!$B$11:M116,6)</f>
        <v>1</v>
      </c>
      <c r="H71" s="1">
        <f>VLOOKUP($B71,[19]TrtCodes!$B$11:N116,7)</f>
        <v>4</v>
      </c>
      <c r="I71" s="1">
        <f>[19]FormattedData!B73</f>
        <v>2</v>
      </c>
      <c r="J71" s="4">
        <f>[19]FormattedData!C73</f>
        <v>13.542</v>
      </c>
      <c r="K71" s="6">
        <f>$J$3+[19]FormattedData!D73*$J$4+$M$4*$J$5+[19]FormattedData!D73^2*$J$6+$M$5*$J$7</f>
        <v>32.387708625300363</v>
      </c>
      <c r="L71" s="6">
        <f>$J$3+[19]FormattedData!E73*$J$4+$M$4*$J$5+[19]FormattedData!E73^2*$J$6+$M$5*$J$7</f>
        <v>32.291359754732959</v>
      </c>
      <c r="M71" s="6">
        <f>$J$3+[19]FormattedData!F73*$J$4+$M$4*$J$5+[19]FormattedData!F73^2*$J$6+$M$5*$J$7</f>
        <v>31.905541587084002</v>
      </c>
      <c r="N71" s="6">
        <f>$J$3+[19]FormattedData!G73*$J$4+$M$4*$J$5+[19]FormattedData!G73^2*$J$6+$M$5*$J$7</f>
        <v>32.387708625300363</v>
      </c>
      <c r="O71" s="6">
        <f>$J$3+[19]FormattedData!H73*$J$4+$M$4*$J$5+[19]FormattedData!H73^2*$J$6+$M$5*$J$7</f>
        <v>34.210306143874249</v>
      </c>
      <c r="P71" s="6">
        <f>$J$3+[19]FormattedData!I73*$J$4+$M$4*$J$5+[19]FormattedData!I73^2*$J$6+$M$5*$J$7</f>
        <v>33.827869459259794</v>
      </c>
      <c r="Q71" s="6">
        <f>$J$3+[19]FormattedData!J73*$J$4+$M$4*$J$5+[19]FormattedData!J73^2*$J$6+$M$5*$J$7</f>
        <v>32.194968615627616</v>
      </c>
      <c r="R71" s="6">
        <f>$J$3+[19]FormattedData!K73*$J$4+$M$4*$J$5+[19]FormattedData!K73^2*$J$6+$M$5*$J$7</f>
        <v>33.827869459259794</v>
      </c>
      <c r="S71" s="6">
        <f>$J$3+[19]FormattedData!L73*$J$4+$M$4*$J$5+[19]FormattedData!L73^2*$J$6+$M$5*$J$7</f>
        <v>33.348872561388262</v>
      </c>
      <c r="T71" s="6">
        <f>$J$3+[19]FormattedData!M73*$J$4+$M$4*$J$5+[19]FormattedData!M73^2*$J$6+$M$5*$J$7</f>
        <v>33.156977922474134</v>
      </c>
      <c r="U71" s="6">
        <f>$J$3+[19]FormattedData!N73*$J$4+$M$4*$J$5+[19]FormattedData!N73^2*$J$6+$M$5*$J$7</f>
        <v>32.098535207984348</v>
      </c>
      <c r="V71" s="6">
        <f>$J$3+[19]FormattedData!O73*$J$4+$M$4*$J$5+[19]FormattedData!O73^2*$J$6+$M$5*$J$7</f>
        <v>33.252946376200157</v>
      </c>
      <c r="W71" s="5">
        <f t="shared" si="9"/>
        <v>32.907555361540503</v>
      </c>
      <c r="X71" s="4">
        <f t="shared" si="10"/>
        <v>0.22786702799938535</v>
      </c>
      <c r="Y71" s="3">
        <f t="shared" si="11"/>
        <v>31.905541587084002</v>
      </c>
      <c r="Z71" s="2">
        <f t="shared" si="12"/>
        <v>32.267261969956621</v>
      </c>
      <c r="AA71" s="3">
        <f t="shared" si="13"/>
        <v>32.772343273887245</v>
      </c>
      <c r="AB71" s="2">
        <f t="shared" si="14"/>
        <v>33.468621785856143</v>
      </c>
      <c r="AC71" s="2">
        <f t="shared" si="15"/>
        <v>34.210306143874249</v>
      </c>
      <c r="AD71" s="2">
        <f t="shared" si="16"/>
        <v>0.33277004847878827</v>
      </c>
      <c r="AE71" s="2">
        <f t="shared" si="17"/>
        <v>-1.453676202326168</v>
      </c>
    </row>
    <row r="72" spans="2:31" x14ac:dyDescent="0.2">
      <c r="B72" s="1">
        <f>[19]FormattedData!A75</f>
        <v>307</v>
      </c>
      <c r="C72" s="1" t="str">
        <f>VLOOKUP($B72,[19]TrtCodes!$B$11:I118,2)</f>
        <v>NTH</v>
      </c>
      <c r="D72" s="1">
        <f>VLOOKUP($B72,[19]TrtCodes!$B$11:J118,3)</f>
        <v>9</v>
      </c>
      <c r="E72" s="1">
        <f>VLOOKUP($B72,[19]TrtCodes!$B$11:K118,4)</f>
        <v>2</v>
      </c>
      <c r="F72" s="1">
        <f>VLOOKUP($B72,[19]TrtCodes!$B$11:L118,5)</f>
        <v>2</v>
      </c>
      <c r="G72" s="1">
        <f>VLOOKUP($B72,[19]TrtCodes!$B$11:M118,6)</f>
        <v>2</v>
      </c>
      <c r="H72" s="1">
        <f>VLOOKUP($B72,[19]TrtCodes!$B$11:N118,7)</f>
        <v>4</v>
      </c>
      <c r="I72" s="1">
        <f>[19]FormattedData!B75</f>
        <v>2</v>
      </c>
      <c r="J72" s="4">
        <f>[19]FormattedData!C75</f>
        <v>13.558</v>
      </c>
      <c r="K72" s="6">
        <f>$J$3+[19]FormattedData!D75*$J$4+$M$4*$J$5+[19]FormattedData!D75^2*$J$6+$M$5*$J$7</f>
        <v>31.32554627947264</v>
      </c>
      <c r="L72" s="6">
        <f>$J$3+[19]FormattedData!E75*$J$4+$M$4*$J$5+[19]FormattedData!E75^2*$J$6+$M$5*$J$7</f>
        <v>30.160990662153345</v>
      </c>
      <c r="M72" s="6">
        <f>$J$3+[19]FormattedData!F75*$J$4+$M$4*$J$5+[19]FormattedData!F75^2*$J$6+$M$5*$J$7</f>
        <v>31.228732454987981</v>
      </c>
      <c r="N72" s="6">
        <f>$J$3+[19]FormattedData!G75*$J$4+$M$4*$J$5+[19]FormattedData!G75^2*$J$6+$M$5*$J$7</f>
        <v>29.966306299735759</v>
      </c>
      <c r="O72" s="6">
        <f>$J$3+[19]FormattedData!H75*$J$4+$M$4*$J$5+[19]FormattedData!H75^2*$J$6+$M$5*$J$7</f>
        <v>30.160990662153345</v>
      </c>
      <c r="P72" s="6">
        <f>$J$3+[19]FormattedData!I75*$J$4+$M$4*$J$5+[19]FormattedData!I75^2*$J$6+$M$5*$J$7</f>
        <v>30.355505950419207</v>
      </c>
      <c r="Q72" s="6">
        <f>$J$3+[19]FormattedData!J75*$J$4+$M$4*$J$5+[19]FormattedData!J75^2*$J$6+$M$5*$J$7</f>
        <v>29.381238767572661</v>
      </c>
      <c r="R72" s="6">
        <f>$J$3+[19]FormattedData!K75*$J$4+$M$4*$J$5+[19]FormattedData!K75^2*$J$6+$M$5*$J$7</f>
        <v>30.258269440555239</v>
      </c>
      <c r="S72" s="6">
        <f>$J$3+[19]FormattedData!L75*$J$4+$M$4*$J$5+[19]FormattedData!L75^2*$J$6+$M$5*$J$7</f>
        <v>31.422317835419356</v>
      </c>
      <c r="T72" s="6">
        <f>$J$3+[19]FormattedData!M75*$J$4+$M$4*$J$5+[19]FormattedData!M75^2*$J$6+$M$5*$J$7</f>
        <v>29.771452863166449</v>
      </c>
      <c r="U72" s="6">
        <f>$J$3+[19]FormattedData!N75*$J$4+$M$4*$J$5+[19]FormattedData!N75^2*$J$6+$M$5*$J$7</f>
        <v>29.478855694278003</v>
      </c>
      <c r="V72" s="6">
        <f>$J$3+[19]FormattedData!O75*$J$4+$M$4*$J$5+[19]FormattedData!O75^2*$J$6+$M$5*$J$7</f>
        <v>29.576430352445417</v>
      </c>
      <c r="W72" s="5">
        <f t="shared" si="9"/>
        <v>30.257219771863287</v>
      </c>
      <c r="X72" s="4">
        <f t="shared" si="10"/>
        <v>0.20648686590486787</v>
      </c>
      <c r="Y72" s="3">
        <f t="shared" si="11"/>
        <v>29.381238767572661</v>
      </c>
      <c r="Z72" s="2">
        <f t="shared" si="12"/>
        <v>29.722697235486191</v>
      </c>
      <c r="AA72" s="3">
        <f t="shared" si="13"/>
        <v>30.160990662153345</v>
      </c>
      <c r="AB72" s="2">
        <f t="shared" si="14"/>
        <v>30.573812576561401</v>
      </c>
      <c r="AC72" s="2">
        <f t="shared" si="15"/>
        <v>31.422317835419356</v>
      </c>
      <c r="AD72" s="2">
        <f t="shared" si="16"/>
        <v>0.63148085000084619</v>
      </c>
      <c r="AE72" s="2">
        <f t="shared" si="17"/>
        <v>-0.86113472691728576</v>
      </c>
    </row>
    <row r="73" spans="2:31" x14ac:dyDescent="0.2">
      <c r="B73" s="1">
        <f>[19]FormattedData!A77</f>
        <v>308</v>
      </c>
      <c r="C73" s="1" t="str">
        <f>VLOOKUP($B73,[19]TrtCodes!$B$11:I120,2)</f>
        <v>FDH</v>
      </c>
      <c r="D73" s="1">
        <f>VLOOKUP($B73,[19]TrtCodes!$B$11:J120,3)</f>
        <v>5</v>
      </c>
      <c r="E73" s="1">
        <f>VLOOKUP($B73,[19]TrtCodes!$B$11:K120,4)</f>
        <v>1</v>
      </c>
      <c r="F73" s="1">
        <f>VLOOKUP($B73,[19]TrtCodes!$B$11:L120,5)</f>
        <v>3</v>
      </c>
      <c r="G73" s="1">
        <f>VLOOKUP($B73,[19]TrtCodes!$B$11:M120,6)</f>
        <v>2</v>
      </c>
      <c r="H73" s="1">
        <f>VLOOKUP($B73,[19]TrtCodes!$B$11:N120,7)</f>
        <v>4</v>
      </c>
      <c r="I73" s="1">
        <f>[19]FormattedData!B77</f>
        <v>2</v>
      </c>
      <c r="J73" s="4">
        <f>[19]FormattedData!C77</f>
        <v>13.574999999999999</v>
      </c>
      <c r="K73" s="6">
        <f>$J$3+[19]FormattedData!D77*$J$4+$M$4*$J$5+[19]FormattedData!D77^2*$J$6+$M$5*$J$7</f>
        <v>30.646961868783514</v>
      </c>
      <c r="L73" s="6">
        <f>$J$3+[19]FormattedData!E77*$J$4+$M$4*$J$5+[19]FormattedData!E77^2*$J$6+$M$5*$J$7</f>
        <v>30.841054471670063</v>
      </c>
      <c r="M73" s="6">
        <f>$J$3+[19]FormattedData!F77*$J$4+$M$4*$J$5+[19]FormattedData!F77^2*$J$6+$M$5*$J$7</f>
        <v>29.576430352445417</v>
      </c>
      <c r="N73" s="6">
        <f>$J$3+[19]FormattedData!G77*$J$4+$M$4*$J$5+[19]FormattedData!G77^2*$J$6+$M$5*$J$7</f>
        <v>29.966306299735759</v>
      </c>
      <c r="O73" s="6">
        <f>$J$3+[19]FormattedData!H77*$J$4+$M$4*$J$5+[19]FormattedData!H77^2*$J$6+$M$5*$J$7</f>
        <v>31.1318763619654</v>
      </c>
      <c r="P73" s="6">
        <f>$J$3+[19]FormattedData!I77*$J$4+$M$4*$J$5+[19]FormattedData!I77^2*$J$6+$M$5*$J$7</f>
        <v>31.32554627947264</v>
      </c>
      <c r="Q73" s="6">
        <f>$J$3+[19]FormattedData!J77*$J$4+$M$4*$J$5+[19]FormattedData!J77^2*$J$6+$M$5*$J$7</f>
        <v>29.673962742074902</v>
      </c>
      <c r="R73" s="6">
        <f>$J$3+[19]FormattedData!K77*$J$4+$M$4*$J$5+[19]FormattedData!K77^2*$J$6+$M$5*$J$7</f>
        <v>29.966306299735759</v>
      </c>
      <c r="S73" s="6">
        <f>$J$3+[19]FormattedData!L77*$J$4+$M$4*$J$5+[19]FormattedData!L77^2*$J$6+$M$5*$J$7</f>
        <v>29.576430352445417</v>
      </c>
      <c r="T73" s="6">
        <f>$J$3+[19]FormattedData!M77*$J$4+$M$4*$J$5+[19]FormattedData!M77^2*$J$6+$M$5*$J$7</f>
        <v>29.576430352445417</v>
      </c>
      <c r="U73" s="6">
        <f>$J$3+[19]FormattedData!N77*$J$4+$M$4*$J$5+[19]FormattedData!N77^2*$J$6+$M$5*$J$7</f>
        <v>29.673962742074902</v>
      </c>
      <c r="V73" s="6">
        <f>$J$3+[19]FormattedData!O77*$J$4+$M$4*$J$5+[19]FormattedData!O77^2*$J$6+$M$5*$J$7</f>
        <v>29.966306299735759</v>
      </c>
      <c r="W73" s="5">
        <f t="shared" si="9"/>
        <v>30.160131201882081</v>
      </c>
      <c r="X73" s="4">
        <f t="shared" si="10"/>
        <v>0.18689418133834379</v>
      </c>
      <c r="Y73" s="3">
        <f t="shared" si="11"/>
        <v>29.576430352445417</v>
      </c>
      <c r="Z73" s="2">
        <f t="shared" si="12"/>
        <v>29.649579644667533</v>
      </c>
      <c r="AA73" s="3">
        <f t="shared" si="13"/>
        <v>29.966306299735759</v>
      </c>
      <c r="AB73" s="2">
        <f t="shared" si="14"/>
        <v>30.695485019505149</v>
      </c>
      <c r="AC73" s="2">
        <f t="shared" si="15"/>
        <v>31.32554627947264</v>
      </c>
      <c r="AD73" s="2">
        <f t="shared" si="16"/>
        <v>0.83748592986077841</v>
      </c>
      <c r="AE73" s="2">
        <f t="shared" si="17"/>
        <v>-0.91954505244050289</v>
      </c>
    </row>
    <row r="74" spans="2:31" x14ac:dyDescent="0.2">
      <c r="B74" s="1">
        <f>[19]FormattedData!A93</f>
        <v>401</v>
      </c>
      <c r="C74" s="1" t="str">
        <f>VLOOKUP($B74,[19]TrtCodes!$B$11:I130,2)</f>
        <v>NSH</v>
      </c>
      <c r="D74" s="1">
        <f>VLOOKUP($B74,[19]TrtCodes!$B$11:J130,3)</f>
        <v>7</v>
      </c>
      <c r="E74" s="1">
        <f>VLOOKUP($B74,[19]TrtCodes!$B$11:K130,4)</f>
        <v>2</v>
      </c>
      <c r="F74" s="1">
        <f>VLOOKUP($B74,[19]TrtCodes!$B$11:L130,5)</f>
        <v>1</v>
      </c>
      <c r="G74" s="1">
        <f>VLOOKUP($B74,[19]TrtCodes!$B$11:M130,6)</f>
        <v>2</v>
      </c>
      <c r="H74" s="1">
        <f>VLOOKUP($B74,[19]TrtCodes!$B$11:N130,7)</f>
        <v>3</v>
      </c>
      <c r="I74" s="1">
        <f>[19]FormattedData!B93</f>
        <v>2</v>
      </c>
      <c r="J74" s="4">
        <f>[19]FormattedData!C93</f>
        <v>13.711</v>
      </c>
      <c r="K74" s="6">
        <f>$J$3+[19]FormattedData!D93*$J$4+$M$4*$J$5+[19]FormattedData!D93^2*$J$6+$M$5*$J$7</f>
        <v>34.210306143874249</v>
      </c>
      <c r="L74" s="6">
        <f>$J$3+[19]FormattedData!E93*$J$4+$M$4*$J$5+[19]FormattedData!E93^2*$J$6+$M$5*$J$7</f>
        <v>33.636397505724972</v>
      </c>
      <c r="M74" s="6">
        <f>$J$3+[19]FormattedData!F93*$J$4+$M$4*$J$5+[19]FormattedData!F93^2*$J$6+$M$5*$J$7</f>
        <v>34.496689837686823</v>
      </c>
      <c r="N74" s="6">
        <f>$J$3+[19]FormattedData!G93*$J$4+$M$4*$J$5+[19]FormattedData!G93^2*$J$6+$M$5*$J$7</f>
        <v>33.636397505724972</v>
      </c>
      <c r="O74" s="6">
        <f>$J$3+[19]FormattedData!H93*$J$4+$M$4*$J$5+[19]FormattedData!H93^2*$J$6+$M$5*$J$7</f>
        <v>33.827869459259794</v>
      </c>
      <c r="P74" s="6">
        <f>$J$3+[19]FormattedData!I93*$J$4+$M$4*$J$5+[19]FormattedData!I93^2*$J$6+$M$5*$J$7</f>
        <v>35.163439057755227</v>
      </c>
      <c r="Q74" s="6">
        <f>$J$3+[19]FormattedData!J93*$J$4+$M$4*$J$5+[19]FormattedData!J93^2*$J$6+$M$5*$J$7</f>
        <v>35.163439057755227</v>
      </c>
      <c r="R74" s="6">
        <f>$J$3+[19]FormattedData!K93*$J$4+$M$4*$J$5+[19]FormattedData!K93^2*$J$6+$M$5*$J$7</f>
        <v>35.258519872184706</v>
      </c>
      <c r="S74" s="6">
        <f>$J$3+[19]FormattedData!L93*$J$4+$M$4*$J$5+[19]FormattedData!L93^2*$J$6+$M$5*$J$7</f>
        <v>33.636397505724972</v>
      </c>
      <c r="T74" s="6">
        <f>$J$3+[19]FormattedData!M93*$J$4+$M$4*$J$5+[19]FormattedData!M93^2*$J$6+$M$5*$J$7</f>
        <v>35.543508704245554</v>
      </c>
      <c r="U74" s="6">
        <f>$J$3+[19]FormattedData!N93*$J$4+$M$4*$J$5+[19]FormattedData!N93^2*$J$6+$M$5*$J$7</f>
        <v>35.258519872184706</v>
      </c>
      <c r="V74" s="6">
        <f>$J$3+[19]FormattedData!O93*$J$4+$M$4*$J$5+[19]FormattedData!O93^2*$J$6+$M$5*$J$7</f>
        <v>35.163439057755227</v>
      </c>
      <c r="W74" s="5">
        <f t="shared" ref="W74:W105" si="18">AVERAGE(K74:V74)</f>
        <v>34.582910298323036</v>
      </c>
      <c r="X74" s="4">
        <f t="shared" ref="X74:X85" si="19">STDEV(K74:V74)/SQRT(COUNT(K74:V74))</f>
        <v>0.2176092672882653</v>
      </c>
      <c r="Y74" s="3">
        <f t="shared" ref="Y74:Y85" si="20">MIN(K74:V74)</f>
        <v>33.636397505724972</v>
      </c>
      <c r="Z74" s="2">
        <f t="shared" ref="Z74:Z85" si="21">QUARTILE(K74:V74,1)</f>
        <v>33.780001470876087</v>
      </c>
      <c r="AA74" s="3">
        <f t="shared" ref="AA74:AA85" si="22">MEDIAN(K74:V74)</f>
        <v>34.830064447721028</v>
      </c>
      <c r="AB74" s="2">
        <f t="shared" ref="AB74:AB85" si="23">QUARTILE(K74:V74,3)</f>
        <v>35.187209261362597</v>
      </c>
      <c r="AC74" s="2">
        <f t="shared" ref="AC74:AC85" si="24">MAX(K74:V74)</f>
        <v>35.543508704245554</v>
      </c>
      <c r="AD74" s="2">
        <f t="shared" ref="AD74:AD85" si="25">SKEW(K74:V74)</f>
        <v>-0.23853328922467987</v>
      </c>
      <c r="AE74" s="2">
        <f t="shared" ref="AE74:AE85" si="26">KURT(K74:V74)</f>
        <v>-1.90514929446597</v>
      </c>
    </row>
    <row r="75" spans="2:31" x14ac:dyDescent="0.2">
      <c r="B75" s="1">
        <f>[19]FormattedData!A91</f>
        <v>402</v>
      </c>
      <c r="C75" s="1" t="str">
        <f>VLOOKUP($B75,[19]TrtCodes!$B$11:I131,2)</f>
        <v>NTH</v>
      </c>
      <c r="D75" s="1">
        <f>VLOOKUP($B75,[19]TrtCodes!$B$11:J131,3)</f>
        <v>9</v>
      </c>
      <c r="E75" s="1">
        <f>VLOOKUP($B75,[19]TrtCodes!$B$11:K131,4)</f>
        <v>2</v>
      </c>
      <c r="F75" s="1">
        <f>VLOOKUP($B75,[19]TrtCodes!$B$11:L131,5)</f>
        <v>2</v>
      </c>
      <c r="G75" s="1">
        <f>VLOOKUP($B75,[19]TrtCodes!$B$11:M131,6)</f>
        <v>2</v>
      </c>
      <c r="H75" s="1">
        <f>VLOOKUP($B75,[19]TrtCodes!$B$11:N131,7)</f>
        <v>3</v>
      </c>
      <c r="I75" s="1">
        <f>[19]FormattedData!B91</f>
        <v>2</v>
      </c>
      <c r="J75" s="4">
        <f>[19]FormattedData!C91</f>
        <v>13.695</v>
      </c>
      <c r="K75" s="6">
        <f>$J$3+[19]FormattedData!D91*$J$4+$M$4*$J$5+[19]FormattedData!D91^2*$J$6+$M$5*$J$7</f>
        <v>33.732154616761342</v>
      </c>
      <c r="L75" s="6">
        <f>$J$3+[19]FormattedData!E91*$J$4+$M$4*$J$5+[19]FormattedData!E91^2*$J$6+$M$5*$J$7</f>
        <v>31.228732454987981</v>
      </c>
      <c r="M75" s="6">
        <f>$J$3+[19]FormattedData!F91*$J$4+$M$4*$J$5+[19]FormattedData!F91^2*$J$6+$M$5*$J$7</f>
        <v>33.636397505724972</v>
      </c>
      <c r="N75" s="6">
        <f>$J$3+[19]FormattedData!G91*$J$4+$M$4*$J$5+[19]FormattedData!G91^2*$J$6+$M$5*$J$7</f>
        <v>30.355505950419207</v>
      </c>
      <c r="O75" s="6">
        <f>$J$3+[19]FormattedData!H91*$J$4+$M$4*$J$5+[19]FormattedData!H91^2*$J$6+$M$5*$J$7</f>
        <v>31.228732454987981</v>
      </c>
      <c r="P75" s="6">
        <f>$J$3+[19]FormattedData!I91*$J$4+$M$4*$J$5+[19]FormattedData!I91^2*$J$6+$M$5*$J$7</f>
        <v>30.646961868783514</v>
      </c>
      <c r="Q75" s="6">
        <f>$J$3+[19]FormattedData!J91*$J$4+$M$4*$J$5+[19]FormattedData!J91^2*$J$6+$M$5*$J$7</f>
        <v>30.744029304495751</v>
      </c>
      <c r="R75" s="6">
        <f>$J$3+[19]FormattedData!K91*$J$4+$M$4*$J$5+[19]FormattedData!K91^2*$J$6+$M$5*$J$7</f>
        <v>30.549852164533345</v>
      </c>
      <c r="S75" s="6">
        <f>$J$3+[19]FormattedData!L91*$J$4+$M$4*$J$5+[19]FormattedData!L91^2*$J$6+$M$5*$J$7</f>
        <v>31.034978000404887</v>
      </c>
      <c r="T75" s="6">
        <f>$J$3+[19]FormattedData!M91*$J$4+$M$4*$J$5+[19]FormattedData!M91^2*$J$6+$M$5*$J$7</f>
        <v>31.712378892031943</v>
      </c>
      <c r="U75" s="6">
        <f>$J$3+[19]FormattedData!N91*$J$4+$M$4*$J$5+[19]FormattedData!N91^2*$J$6+$M$5*$J$7</f>
        <v>30.160990662153345</v>
      </c>
      <c r="V75" s="6">
        <f>$J$3+[19]FormattedData!O91*$J$4+$M$4*$J$5+[19]FormattedData!O91^2*$J$6+$M$5*$J$7</f>
        <v>31.32554627947264</v>
      </c>
      <c r="W75" s="5">
        <f t="shared" si="18"/>
        <v>31.363021679563072</v>
      </c>
      <c r="X75" s="4">
        <f t="shared" si="19"/>
        <v>0.33783252552773096</v>
      </c>
      <c r="Y75" s="3">
        <f t="shared" si="20"/>
        <v>30.160990662153345</v>
      </c>
      <c r="Z75" s="2">
        <f t="shared" si="21"/>
        <v>30.622684442720971</v>
      </c>
      <c r="AA75" s="3">
        <f t="shared" si="22"/>
        <v>31.131855227696434</v>
      </c>
      <c r="AB75" s="2">
        <f t="shared" si="23"/>
        <v>31.422254432612466</v>
      </c>
      <c r="AC75" s="2">
        <f t="shared" si="24"/>
        <v>33.732154616761342</v>
      </c>
      <c r="AD75" s="2">
        <f t="shared" si="25"/>
        <v>1.4393802531204296</v>
      </c>
      <c r="AE75" s="2">
        <f t="shared" si="26"/>
        <v>1.192495476516485</v>
      </c>
    </row>
    <row r="76" spans="2:31" x14ac:dyDescent="0.2">
      <c r="B76" s="1">
        <f>[19]FormattedData!A89</f>
        <v>403</v>
      </c>
      <c r="C76" s="1" t="str">
        <f>VLOOKUP($B76,[19]TrtCodes!$B$11:I132,2)</f>
        <v>FDL</v>
      </c>
      <c r="D76" s="1">
        <f>VLOOKUP($B76,[19]TrtCodes!$B$11:J132,3)</f>
        <v>6</v>
      </c>
      <c r="E76" s="1">
        <f>VLOOKUP($B76,[19]TrtCodes!$B$11:K132,4)</f>
        <v>1</v>
      </c>
      <c r="F76" s="1">
        <f>VLOOKUP($B76,[19]TrtCodes!$B$11:L132,5)</f>
        <v>3</v>
      </c>
      <c r="G76" s="1">
        <f>VLOOKUP($B76,[19]TrtCodes!$B$11:M132,6)</f>
        <v>1</v>
      </c>
      <c r="H76" s="1">
        <f>VLOOKUP($B76,[19]TrtCodes!$B$11:N132,7)</f>
        <v>3</v>
      </c>
      <c r="I76" s="1">
        <f>[19]FormattedData!B89</f>
        <v>2</v>
      </c>
      <c r="J76" s="4">
        <f>[19]FormattedData!C89</f>
        <v>13.678000000000001</v>
      </c>
      <c r="K76" s="6">
        <f>$J$3+[19]FormattedData!D89*$J$4+$M$4*$J$5+[19]FormattedData!D89^2*$J$6+$M$5*$J$7</f>
        <v>30.549852164533345</v>
      </c>
      <c r="L76" s="6">
        <f>$J$3+[19]FormattedData!E89*$J$4+$M$4*$J$5+[19]FormattedData!E89^2*$J$6+$M$5*$J$7</f>
        <v>30.258269440555239</v>
      </c>
      <c r="M76" s="6">
        <f>$J$3+[19]FormattedData!F89*$J$4+$M$4*$J$5+[19]FormattedData!F89^2*$J$6+$M$5*$J$7</f>
        <v>30.841054471670063</v>
      </c>
      <c r="N76" s="6">
        <f>$J$3+[19]FormattedData!G89*$J$4+$M$4*$J$5+[19]FormattedData!G89^2*$J$6+$M$5*$J$7</f>
        <v>30.355505950419207</v>
      </c>
      <c r="O76" s="6">
        <f>$J$3+[19]FormattedData!H89*$J$4+$M$4*$J$5+[19]FormattedData!H89^2*$J$6+$M$5*$J$7</f>
        <v>31.808981373826938</v>
      </c>
      <c r="P76" s="6">
        <f>$J$3+[19]FormattedData!I89*$J$4+$M$4*$J$5+[19]FormattedData!I89^2*$J$6+$M$5*$J$7</f>
        <v>30.355505950419207</v>
      </c>
      <c r="Q76" s="6">
        <f>$J$3+[19]FormattedData!J89*$J$4+$M$4*$J$5+[19]FormattedData!J89^2*$J$6+$M$5*$J$7</f>
        <v>30.744029304495751</v>
      </c>
      <c r="R76" s="6">
        <f>$J$3+[19]FormattedData!K89*$J$4+$M$4*$J$5+[19]FormattedData!K89^2*$J$6+$M$5*$J$7</f>
        <v>29.673962742074902</v>
      </c>
      <c r="S76" s="6">
        <f>$J$3+[19]FormattedData!L89*$J$4+$M$4*$J$5+[19]FormattedData!L89^2*$J$6+$M$5*$J$7</f>
        <v>30.646961868783514</v>
      </c>
      <c r="T76" s="6">
        <f>$J$3+[19]FormattedData!M89*$J$4+$M$4*$J$5+[19]FormattedData!M89^2*$J$6+$M$5*$J$7</f>
        <v>31.228732454987981</v>
      </c>
      <c r="U76" s="6">
        <f>$J$3+[19]FormattedData!N89*$J$4+$M$4*$J$5+[19]FormattedData!N89^2*$J$6+$M$5*$J$7</f>
        <v>30.160990662153345</v>
      </c>
      <c r="V76" s="6">
        <f>$J$3+[19]FormattedData!O89*$J$4+$M$4*$J$5+[19]FormattedData!O89^2*$J$6+$M$5*$J$7</f>
        <v>30.452700191745237</v>
      </c>
      <c r="W76" s="5">
        <f t="shared" si="18"/>
        <v>30.589712214638727</v>
      </c>
      <c r="X76" s="4">
        <f t="shared" si="19"/>
        <v>0.15685228073767185</v>
      </c>
      <c r="Y76" s="3">
        <f t="shared" si="20"/>
        <v>29.673962742074902</v>
      </c>
      <c r="Z76" s="2">
        <f t="shared" si="21"/>
        <v>30.331196822953217</v>
      </c>
      <c r="AA76" s="3">
        <f t="shared" si="22"/>
        <v>30.501276178139292</v>
      </c>
      <c r="AB76" s="2">
        <f t="shared" si="23"/>
        <v>30.768285596289328</v>
      </c>
      <c r="AC76" s="2">
        <f t="shared" si="24"/>
        <v>31.808981373826938</v>
      </c>
      <c r="AD76" s="2">
        <f t="shared" si="25"/>
        <v>0.80367894816159391</v>
      </c>
      <c r="AE76" s="2">
        <f t="shared" si="26"/>
        <v>1.6375739687352118</v>
      </c>
    </row>
    <row r="77" spans="2:31" x14ac:dyDescent="0.2">
      <c r="B77" s="1">
        <f>[19]FormattedData!A87</f>
        <v>404</v>
      </c>
      <c r="C77" s="1" t="str">
        <f>VLOOKUP($B77,[19]TrtCodes!$B$11:I130,2)</f>
        <v>FTH</v>
      </c>
      <c r="D77" s="1">
        <f>VLOOKUP($B77,[19]TrtCodes!$B$11:J130,3)</f>
        <v>3</v>
      </c>
      <c r="E77" s="1">
        <f>VLOOKUP($B77,[19]TrtCodes!$B$11:K130,4)</f>
        <v>1</v>
      </c>
      <c r="F77" s="1">
        <f>VLOOKUP($B77,[19]TrtCodes!$B$11:L130,5)</f>
        <v>2</v>
      </c>
      <c r="G77" s="1">
        <f>VLOOKUP($B77,[19]TrtCodes!$B$11:M130,6)</f>
        <v>2</v>
      </c>
      <c r="H77" s="1">
        <f>VLOOKUP($B77,[19]TrtCodes!$B$11:N130,7)</f>
        <v>3</v>
      </c>
      <c r="I77" s="1">
        <f>[19]FormattedData!B87</f>
        <v>2</v>
      </c>
      <c r="J77" s="4">
        <f>[19]FormattedData!C87</f>
        <v>13.661</v>
      </c>
      <c r="K77" s="6">
        <f>$J$3+[19]FormattedData!D87*$J$4+$M$4*$J$5+[19]FormattedData!D87^2*$J$6+$M$5*$J$7</f>
        <v>31.519047122828155</v>
      </c>
      <c r="L77" s="6">
        <f>$J$3+[19]FormattedData!E87*$J$4+$M$4*$J$5+[19]FormattedData!E87^2*$J$6+$M$5*$J$7</f>
        <v>31.615734141699011</v>
      </c>
      <c r="M77" s="6">
        <f>$J$3+[19]FormattedData!F87*$J$4+$M$4*$J$5+[19]FormattedData!F87^2*$J$6+$M$5*$J$7</f>
        <v>30.744029304495751</v>
      </c>
      <c r="N77" s="6">
        <f>$J$3+[19]FormattedData!G87*$J$4+$M$4*$J$5+[19]FormattedData!G87^2*$J$6+$M$5*$J$7</f>
        <v>30.841054471670063</v>
      </c>
      <c r="O77" s="6">
        <f>$J$3+[19]FormattedData!H87*$J$4+$M$4*$J$5+[19]FormattedData!H87^2*$J$6+$M$5*$J$7</f>
        <v>31.034978000404887</v>
      </c>
      <c r="P77" s="6">
        <f>$J$3+[19]FormattedData!I87*$J$4+$M$4*$J$5+[19]FormattedData!I87^2*$J$6+$M$5*$J$7</f>
        <v>30.744029304495751</v>
      </c>
      <c r="Q77" s="6">
        <f>$J$3+[19]FormattedData!J87*$J$4+$M$4*$J$5+[19]FormattedData!J87^2*$J$6+$M$5*$J$7</f>
        <v>31.615734141699011</v>
      </c>
      <c r="R77" s="6">
        <f>$J$3+[19]FormattedData!K87*$J$4+$M$4*$J$5+[19]FormattedData!K87^2*$J$6+$M$5*$J$7</f>
        <v>32.194968615627616</v>
      </c>
      <c r="S77" s="6">
        <f>$J$3+[19]FormattedData!L87*$J$4+$M$4*$J$5+[19]FormattedData!L87^2*$J$6+$M$5*$J$7</f>
        <v>30.452700191745237</v>
      </c>
      <c r="T77" s="6">
        <f>$J$3+[19]FormattedData!M87*$J$4+$M$4*$J$5+[19]FormattedData!M87^2*$J$6+$M$5*$J$7</f>
        <v>30.646961868783514</v>
      </c>
      <c r="U77" s="6">
        <f>$J$3+[19]FormattedData!N87*$J$4+$M$4*$J$5+[19]FormattedData!N87^2*$J$6+$M$5*$J$7</f>
        <v>29.966306299735759</v>
      </c>
      <c r="V77" s="6">
        <f>$J$3+[19]FormattedData!O87*$J$4+$M$4*$J$5+[19]FormattedData!O87^2*$J$6+$M$5*$J$7</f>
        <v>30.549852164533345</v>
      </c>
      <c r="W77" s="5">
        <f t="shared" si="18"/>
        <v>30.993782968976507</v>
      </c>
      <c r="X77" s="4">
        <f t="shared" si="19"/>
        <v>0.18065560392330315</v>
      </c>
      <c r="Y77" s="3">
        <f t="shared" si="20"/>
        <v>29.966306299735759</v>
      </c>
      <c r="Z77" s="2">
        <f t="shared" si="21"/>
        <v>30.622684442720971</v>
      </c>
      <c r="AA77" s="3">
        <f t="shared" si="22"/>
        <v>30.792541888082908</v>
      </c>
      <c r="AB77" s="2">
        <f t="shared" si="23"/>
        <v>31.543218877545868</v>
      </c>
      <c r="AC77" s="2">
        <f t="shared" si="24"/>
        <v>32.194968615627616</v>
      </c>
      <c r="AD77" s="2">
        <f t="shared" si="25"/>
        <v>0.42384453699213082</v>
      </c>
      <c r="AE77" s="2">
        <f t="shared" si="26"/>
        <v>-0.21252869900673987</v>
      </c>
    </row>
    <row r="78" spans="2:31" x14ac:dyDescent="0.2">
      <c r="B78" s="1">
        <f>[19]FormattedData!A85</f>
        <v>405</v>
      </c>
      <c r="C78" s="1" t="str">
        <f>VLOOKUP($B78,[19]TrtCodes!$B$11:I128,2)</f>
        <v>FDL</v>
      </c>
      <c r="D78" s="1">
        <f>VLOOKUP($B78,[19]TrtCodes!$B$11:J128,3)</f>
        <v>6</v>
      </c>
      <c r="E78" s="1">
        <f>VLOOKUP($B78,[19]TrtCodes!$B$11:K128,4)</f>
        <v>1</v>
      </c>
      <c r="F78" s="1">
        <f>VLOOKUP($B78,[19]TrtCodes!$B$11:L128,5)</f>
        <v>3</v>
      </c>
      <c r="G78" s="1">
        <f>VLOOKUP($B78,[19]TrtCodes!$B$11:M128,6)</f>
        <v>1</v>
      </c>
      <c r="H78" s="1">
        <f>VLOOKUP($B78,[19]TrtCodes!$B$11:N128,7)</f>
        <v>4</v>
      </c>
      <c r="I78" s="1">
        <f>[19]FormattedData!B85</f>
        <v>2</v>
      </c>
      <c r="J78" s="4">
        <f>[19]FormattedData!C85</f>
        <v>13.645</v>
      </c>
      <c r="K78" s="6">
        <f>$J$3+[19]FormattedData!D85*$J$4+$M$4*$J$5+[19]FormattedData!D85^2*$J$6+$M$5*$J$7</f>
        <v>32.291359754732959</v>
      </c>
      <c r="L78" s="6">
        <f>$J$3+[19]FormattedData!E85*$J$4+$M$4*$J$5+[19]FormattedData!E85^2*$J$6+$M$5*$J$7</f>
        <v>32.002059531803141</v>
      </c>
      <c r="M78" s="6">
        <f>$J$3+[19]FormattedData!F85*$J$4+$M$4*$J$5+[19]FormattedData!F85^2*$J$6+$M$5*$J$7</f>
        <v>32.194968615627616</v>
      </c>
      <c r="N78" s="6">
        <f>$J$3+[19]FormattedData!G85*$J$4+$M$4*$J$5+[19]FormattedData!G85^2*$J$6+$M$5*$J$7</f>
        <v>31.422317835419356</v>
      </c>
      <c r="O78" s="6">
        <f>$J$3+[19]FormattedData!H85*$J$4+$M$4*$J$5+[19]FormattedData!H85^2*$J$6+$M$5*$J$7</f>
        <v>33.156977922474134</v>
      </c>
      <c r="P78" s="6">
        <f>$J$3+[19]FormattedData!I85*$J$4+$M$4*$J$5+[19]FormattedData!I85^2*$J$6+$M$5*$J$7</f>
        <v>32.772681422190701</v>
      </c>
      <c r="Q78" s="6">
        <f>$J$3+[19]FormattedData!J85*$J$4+$M$4*$J$5+[19]FormattedData!J85^2*$J$6+$M$5*$J$7</f>
        <v>31.808981373826938</v>
      </c>
      <c r="R78" s="6">
        <f>$J$3+[19]FormattedData!K85*$J$4+$M$4*$J$5+[19]FormattedData!K85^2*$J$6+$M$5*$J$7</f>
        <v>32.194968615627616</v>
      </c>
      <c r="S78" s="6">
        <f>$J$3+[19]FormattedData!L85*$J$4+$M$4*$J$5+[19]FormattedData!L85^2*$J$6+$M$5*$J$7</f>
        <v>33.444756478038428</v>
      </c>
      <c r="T78" s="6">
        <f>$J$3+[19]FormattedData!M85*$J$4+$M$4*$J$5+[19]FormattedData!M85^2*$J$6+$M$5*$J$7</f>
        <v>32.772681422190701</v>
      </c>
      <c r="U78" s="6">
        <f>$J$3+[19]FormattedData!N85*$J$4+$M$4*$J$5+[19]FormattedData!N85^2*$J$6+$M$5*$J$7</f>
        <v>33.348872561388262</v>
      </c>
      <c r="V78" s="6">
        <f>$J$3+[19]FormattedData!O85*$J$4+$M$4*$J$5+[19]FormattedData!O85^2*$J$6+$M$5*$J$7</f>
        <v>32.676501625775018</v>
      </c>
      <c r="W78" s="5">
        <f t="shared" si="18"/>
        <v>32.507260596591237</v>
      </c>
      <c r="X78" s="4">
        <f t="shared" si="19"/>
        <v>0.18133489246931889</v>
      </c>
      <c r="Y78" s="3">
        <f t="shared" si="20"/>
        <v>31.422317835419356</v>
      </c>
      <c r="Z78" s="2">
        <f t="shared" si="21"/>
        <v>32.146741344671497</v>
      </c>
      <c r="AA78" s="3">
        <f t="shared" si="22"/>
        <v>32.483930690253985</v>
      </c>
      <c r="AB78" s="2">
        <f t="shared" si="23"/>
        <v>32.868755547261557</v>
      </c>
      <c r="AC78" s="2">
        <f t="shared" si="24"/>
        <v>33.444756478038428</v>
      </c>
      <c r="AD78" s="2">
        <f t="shared" si="25"/>
        <v>-3.5599064463993378E-2</v>
      </c>
      <c r="AE78" s="2">
        <f t="shared" si="26"/>
        <v>-0.82234592350031299</v>
      </c>
    </row>
    <row r="79" spans="2:31" x14ac:dyDescent="0.2">
      <c r="B79" s="1">
        <f>[19]FormattedData!A83</f>
        <v>406</v>
      </c>
      <c r="C79" s="1" t="str">
        <f>VLOOKUP($B79,[19]TrtCodes!$B$11:I126,2)</f>
        <v>FTH</v>
      </c>
      <c r="D79" s="1">
        <f>VLOOKUP($B79,[19]TrtCodes!$B$11:J126,3)</f>
        <v>3</v>
      </c>
      <c r="E79" s="1">
        <f>VLOOKUP($B79,[19]TrtCodes!$B$11:K126,4)</f>
        <v>1</v>
      </c>
      <c r="F79" s="1">
        <f>VLOOKUP($B79,[19]TrtCodes!$B$11:L126,5)</f>
        <v>2</v>
      </c>
      <c r="G79" s="1">
        <f>VLOOKUP($B79,[19]TrtCodes!$B$11:M126,6)</f>
        <v>2</v>
      </c>
      <c r="H79" s="1">
        <f>VLOOKUP($B79,[19]TrtCodes!$B$11:N126,7)</f>
        <v>4</v>
      </c>
      <c r="I79" s="1">
        <f>[19]FormattedData!B83</f>
        <v>2</v>
      </c>
      <c r="J79" s="4">
        <f>[19]FormattedData!C83</f>
        <v>13.629</v>
      </c>
      <c r="K79" s="6">
        <f>$J$3+[19]FormattedData!D83*$J$4+$M$4*$J$5+[19]FormattedData!D83^2*$J$6+$M$5*$J$7</f>
        <v>30.452700191745237</v>
      </c>
      <c r="L79" s="6">
        <f>$J$3+[19]FormattedData!E83*$J$4+$M$4*$J$5+[19]FormattedData!E83^2*$J$6+$M$5*$J$7</f>
        <v>30.841054471670063</v>
      </c>
      <c r="M79" s="6">
        <f>$J$3+[19]FormattedData!F83*$J$4+$M$4*$J$5+[19]FormattedData!F83^2*$J$6+$M$5*$J$7</f>
        <v>32.580279560821403</v>
      </c>
      <c r="N79" s="6">
        <f>$J$3+[19]FormattedData!G83*$J$4+$M$4*$J$5+[19]FormattedData!G83^2*$J$6+$M$5*$J$7</f>
        <v>31.615734141699011</v>
      </c>
      <c r="O79" s="6">
        <f>$J$3+[19]FormattedData!H83*$J$4+$M$4*$J$5+[19]FormattedData!H83^2*$J$6+$M$5*$J$7</f>
        <v>33.060967200210172</v>
      </c>
      <c r="P79" s="6">
        <f>$J$3+[19]FormattedData!I83*$J$4+$M$4*$J$5+[19]FormattedData!I83^2*$J$6+$M$5*$J$7</f>
        <v>31.422317835419356</v>
      </c>
      <c r="Q79" s="6">
        <f>$J$3+[19]FormattedData!J83*$J$4+$M$4*$J$5+[19]FormattedData!J83^2*$J$6+$M$5*$J$7</f>
        <v>32.387708625300363</v>
      </c>
      <c r="R79" s="6">
        <f>$J$3+[19]FormattedData!K83*$J$4+$M$4*$J$5+[19]FormattedData!K83^2*$J$6+$M$5*$J$7</f>
        <v>32.098535207984348</v>
      </c>
      <c r="S79" s="6">
        <f>$J$3+[19]FormattedData!L83*$J$4+$M$4*$J$5+[19]FormattedData!L83^2*$J$6+$M$5*$J$7</f>
        <v>32.964914209408278</v>
      </c>
      <c r="T79" s="6">
        <f>$J$3+[19]FormattedData!M83*$J$4+$M$4*$J$5+[19]FormattedData!M83^2*$J$6+$M$5*$J$7</f>
        <v>30.744029304495751</v>
      </c>
      <c r="U79" s="6">
        <f>$J$3+[19]FormattedData!N83*$J$4+$M$4*$J$5+[19]FormattedData!N83^2*$J$6+$M$5*$J$7</f>
        <v>32.002059531803141</v>
      </c>
      <c r="V79" s="6">
        <f>$J$3+[19]FormattedData!O83*$J$4+$M$4*$J$5+[19]FormattedData!O83^2*$J$6+$M$5*$J$7</f>
        <v>32.772681422190701</v>
      </c>
      <c r="W79" s="5">
        <f t="shared" si="18"/>
        <v>31.911915141895651</v>
      </c>
      <c r="X79" s="4">
        <f t="shared" si="19"/>
        <v>0.25898295597352261</v>
      </c>
      <c r="Y79" s="3">
        <f t="shared" si="20"/>
        <v>30.452700191745237</v>
      </c>
      <c r="Z79" s="2">
        <f t="shared" si="21"/>
        <v>31.277001994482035</v>
      </c>
      <c r="AA79" s="3">
        <f t="shared" si="22"/>
        <v>32.050297369893741</v>
      </c>
      <c r="AB79" s="2">
        <f t="shared" si="23"/>
        <v>32.628380026163725</v>
      </c>
      <c r="AC79" s="2">
        <f t="shared" si="24"/>
        <v>33.060967200210172</v>
      </c>
      <c r="AD79" s="2">
        <f t="shared" si="25"/>
        <v>-0.352837026849455</v>
      </c>
      <c r="AE79" s="2">
        <f t="shared" si="26"/>
        <v>-1.224292191298554</v>
      </c>
    </row>
    <row r="80" spans="2:31" x14ac:dyDescent="0.2">
      <c r="B80" s="1">
        <f>[19]FormattedData!A81</f>
        <v>407</v>
      </c>
      <c r="C80" s="1" t="str">
        <f>VLOOKUP($B80,[19]TrtCodes!$B$11:I124,2)</f>
        <v>NSH</v>
      </c>
      <c r="D80" s="1">
        <f>VLOOKUP($B80,[19]TrtCodes!$B$11:J124,3)</f>
        <v>7</v>
      </c>
      <c r="E80" s="1">
        <f>VLOOKUP($B80,[19]TrtCodes!$B$11:K124,4)</f>
        <v>2</v>
      </c>
      <c r="F80" s="1">
        <f>VLOOKUP($B80,[19]TrtCodes!$B$11:L124,5)</f>
        <v>1</v>
      </c>
      <c r="G80" s="1">
        <f>VLOOKUP($B80,[19]TrtCodes!$B$11:M124,6)</f>
        <v>2</v>
      </c>
      <c r="H80" s="1">
        <f>VLOOKUP($B80,[19]TrtCodes!$B$11:N124,7)</f>
        <v>4</v>
      </c>
      <c r="I80" s="1">
        <f>[19]FormattedData!B81</f>
        <v>2</v>
      </c>
      <c r="J80" s="4">
        <f>[19]FormattedData!C81</f>
        <v>13.612</v>
      </c>
      <c r="K80" s="6">
        <f>$J$3+[19]FormattedData!D81*$J$4+$M$4*$J$5+[19]FormattedData!D81^2*$J$6+$M$5*$J$7</f>
        <v>30.744029304495751</v>
      </c>
      <c r="L80" s="6">
        <f>$J$3+[19]FormattedData!E81*$J$4+$M$4*$J$5+[19]FormattedData!E81^2*$J$6+$M$5*$J$7</f>
        <v>31.32554627947264</v>
      </c>
      <c r="M80" s="6">
        <f>$J$3+[19]FormattedData!F81*$J$4+$M$4*$J$5+[19]FormattedData!F81^2*$J$6+$M$5*$J$7</f>
        <v>28.402744730932998</v>
      </c>
      <c r="N80" s="6">
        <f>$J$3+[19]FormattedData!G81*$J$4+$M$4*$J$5+[19]FormattedData!G81^2*$J$6+$M$5*$J$7</f>
        <v>30.258269440555239</v>
      </c>
      <c r="O80" s="6">
        <f>$J$3+[19]FormattedData!H81*$J$4+$M$4*$J$5+[19]FormattedData!H81^2*$J$6+$M$5*$J$7</f>
        <v>30.355505950419207</v>
      </c>
      <c r="P80" s="6">
        <f>$J$3+[19]FormattedData!I81*$J$4+$M$4*$J$5+[19]FormattedData!I81^2*$J$6+$M$5*$J$7</f>
        <v>30.452700191745237</v>
      </c>
      <c r="Q80" s="6">
        <f>$J$3+[19]FormattedData!J81*$J$4+$M$4*$J$5+[19]FormattedData!J81^2*$J$6+$M$5*$J$7</f>
        <v>29.576430352445417</v>
      </c>
      <c r="R80" s="6">
        <f>$J$3+[19]FormattedData!K81*$J$4+$M$4*$J$5+[19]FormattedData!K81^2*$J$6+$M$5*$J$7</f>
        <v>30.160990662153345</v>
      </c>
      <c r="S80" s="6">
        <f>$J$3+[19]FormattedData!L81*$J$4+$M$4*$J$5+[19]FormattedData!L81^2*$J$6+$M$5*$J$7</f>
        <v>29.673962742074902</v>
      </c>
      <c r="T80" s="6">
        <f>$J$3+[19]FormattedData!M81*$J$4+$M$4*$J$5+[19]FormattedData!M81^2*$J$6+$M$5*$J$7</f>
        <v>30.355505950419207</v>
      </c>
      <c r="U80" s="6">
        <f>$J$3+[19]FormattedData!N81*$J$4+$M$4*$J$5+[19]FormattedData!N81^2*$J$6+$M$5*$J$7</f>
        <v>31.32554627947264</v>
      </c>
      <c r="V80" s="6">
        <f>$J$3+[19]FormattedData!O81*$J$4+$M$4*$J$5+[19]FormattedData!O81^2*$J$6+$M$5*$J$7</f>
        <v>30.841054471670063</v>
      </c>
      <c r="W80" s="5">
        <f t="shared" si="18"/>
        <v>30.28935719632139</v>
      </c>
      <c r="X80" s="4">
        <f t="shared" si="19"/>
        <v>0.23286149024561581</v>
      </c>
      <c r="Y80" s="3">
        <f t="shared" si="20"/>
        <v>28.402744730932998</v>
      </c>
      <c r="Z80" s="2">
        <f t="shared" si="21"/>
        <v>30.039233682133734</v>
      </c>
      <c r="AA80" s="3">
        <f t="shared" si="22"/>
        <v>30.355505950419207</v>
      </c>
      <c r="AB80" s="2">
        <f t="shared" si="23"/>
        <v>30.768285596289328</v>
      </c>
      <c r="AC80" s="2">
        <f t="shared" si="24"/>
        <v>31.32554627947264</v>
      </c>
      <c r="AD80" s="2">
        <f t="shared" si="25"/>
        <v>-1.001911737495651</v>
      </c>
      <c r="AE80" s="2">
        <f t="shared" si="26"/>
        <v>1.7398588739902436</v>
      </c>
    </row>
    <row r="81" spans="2:31" x14ac:dyDescent="0.2">
      <c r="B81" s="1">
        <f>[19]FormattedData!A79</f>
        <v>408</v>
      </c>
      <c r="C81" s="1" t="str">
        <f>VLOOKUP($B81,[19]TrtCodes!$B$11:I122,2)</f>
        <v>NTL</v>
      </c>
      <c r="D81" s="1">
        <f>VLOOKUP($B81,[19]TrtCodes!$B$11:J122,3)</f>
        <v>10</v>
      </c>
      <c r="E81" s="1">
        <f>VLOOKUP($B81,[19]TrtCodes!$B$11:K122,4)</f>
        <v>2</v>
      </c>
      <c r="F81" s="1">
        <f>VLOOKUP($B81,[19]TrtCodes!$B$11:L122,5)</f>
        <v>2</v>
      </c>
      <c r="G81" s="1">
        <f>VLOOKUP($B81,[19]TrtCodes!$B$11:M122,6)</f>
        <v>1</v>
      </c>
      <c r="H81" s="1">
        <f>VLOOKUP($B81,[19]TrtCodes!$B$11:N122,7)</f>
        <v>4</v>
      </c>
      <c r="I81" s="1">
        <f>[19]FormattedData!B79</f>
        <v>2</v>
      </c>
      <c r="J81" s="4">
        <f>[19]FormattedData!C79</f>
        <v>13.596</v>
      </c>
      <c r="K81" s="6">
        <f>$J$3+[19]FormattedData!D79*$J$4+$M$4*$J$5+[19]FormattedData!D79^2*$J$6+$M$5*$J$7</f>
        <v>29.966306299735759</v>
      </c>
      <c r="L81" s="6">
        <f>$J$3+[19]FormattedData!E79*$J$4+$M$4*$J$5+[19]FormattedData!E79^2*$J$6+$M$5*$J$7</f>
        <v>30.744029304495751</v>
      </c>
      <c r="M81" s="6">
        <f>$J$3+[19]FormattedData!F79*$J$4+$M$4*$J$5+[19]FormattedData!F79^2*$J$6+$M$5*$J$7</f>
        <v>30.063669615213524</v>
      </c>
      <c r="N81" s="6">
        <f>$J$3+[19]FormattedData!G79*$J$4+$M$4*$J$5+[19]FormattedData!G79^2*$J$6+$M$5*$J$7</f>
        <v>29.771452863166449</v>
      </c>
      <c r="O81" s="6">
        <f>$J$3+[19]FormattedData!H79*$J$4+$M$4*$J$5+[19]FormattedData!H79^2*$J$6+$M$5*$J$7</f>
        <v>30.646961868783514</v>
      </c>
      <c r="P81" s="6">
        <f>$J$3+[19]FormattedData!I79*$J$4+$M$4*$J$5+[19]FormattedData!I79^2*$J$6+$M$5*$J$7</f>
        <v>29.868900715720073</v>
      </c>
      <c r="Q81" s="6">
        <f>$J$3+[19]FormattedData!J79*$J$4+$M$4*$J$5+[19]FormattedData!J79^2*$J$6+$M$5*$J$7</f>
        <v>30.160990662153345</v>
      </c>
      <c r="R81" s="6">
        <f>$J$3+[19]FormattedData!K79*$J$4+$M$4*$J$5+[19]FormattedData!K79^2*$J$6+$M$5*$J$7</f>
        <v>29.478855694278003</v>
      </c>
      <c r="S81" s="6">
        <f>$J$3+[19]FormattedData!L79*$J$4+$M$4*$J$5+[19]FormattedData!L79^2*$J$6+$M$5*$J$7</f>
        <v>29.283579572329383</v>
      </c>
      <c r="T81" s="6">
        <f>$J$3+[19]FormattedData!M79*$J$4+$M$4*$J$5+[19]FormattedData!M79^2*$J$6+$M$5*$J$7</f>
        <v>29.868900715720073</v>
      </c>
      <c r="U81" s="6">
        <f>$J$3+[19]FormattedData!N79*$J$4+$M$4*$J$5+[19]FormattedData!N79^2*$J$6+$M$5*$J$7</f>
        <v>29.088134376229039</v>
      </c>
      <c r="V81" s="6">
        <f>$J$3+[19]FormattedData!O79*$J$4+$M$4*$J$5+[19]FormattedData!O79^2*$J$6+$M$5*$J$7</f>
        <v>28.990348375371969</v>
      </c>
      <c r="W81" s="5">
        <f t="shared" si="18"/>
        <v>29.827677505266408</v>
      </c>
      <c r="X81" s="4">
        <f t="shared" si="19"/>
        <v>0.15976447181295939</v>
      </c>
      <c r="Y81" s="3">
        <f t="shared" si="20"/>
        <v>28.990348375371969</v>
      </c>
      <c r="Z81" s="2">
        <f t="shared" si="21"/>
        <v>29.430036663790847</v>
      </c>
      <c r="AA81" s="3">
        <f t="shared" si="22"/>
        <v>29.868900715720073</v>
      </c>
      <c r="AB81" s="2">
        <f t="shared" si="23"/>
        <v>30.08799987694848</v>
      </c>
      <c r="AC81" s="2">
        <f t="shared" si="24"/>
        <v>30.744029304495751</v>
      </c>
      <c r="AD81" s="2">
        <f t="shared" si="25"/>
        <v>0.113987054542038</v>
      </c>
      <c r="AE81" s="2">
        <f t="shared" si="26"/>
        <v>-0.56560641400620781</v>
      </c>
    </row>
    <row r="82" spans="2:31" x14ac:dyDescent="0.2">
      <c r="B82" s="1">
        <f>[19]FormattedData!A59</f>
        <v>902</v>
      </c>
      <c r="C82" s="1" t="str">
        <f>VLOOKUP($B82,[19]TrtCodes!$B$11:I102,2)</f>
        <v>Late</v>
      </c>
      <c r="D82" s="1">
        <f>VLOOKUP($B82,[19]TrtCodes!$B$11:J102,3)</f>
        <v>22</v>
      </c>
      <c r="E82" s="1">
        <f>VLOOKUP($B82,[19]TrtCodes!$B$11:K102,4)</f>
        <v>4</v>
      </c>
      <c r="F82" s="1">
        <f>VLOOKUP($B82,[19]TrtCodes!$B$11:L102,5)</f>
        <v>2</v>
      </c>
      <c r="G82" s="1">
        <f>VLOOKUP($B82,[19]TrtCodes!$B$11:M102,6)</f>
        <v>2</v>
      </c>
      <c r="H82" s="1">
        <f>VLOOKUP($B82,[19]TrtCodes!$B$11:N102,7)</f>
        <v>1</v>
      </c>
      <c r="I82" s="1">
        <f>[19]FormattedData!B59</f>
        <v>2</v>
      </c>
      <c r="J82" s="4">
        <f>[19]FormattedData!C59</f>
        <v>13.428000000000001</v>
      </c>
      <c r="K82" s="6">
        <f>$J$3+[19]FormattedData!D59*$J$4+$M$4*$J$5+[19]FormattedData!D59^2*$J$6+$M$5*$J$7</f>
        <v>34.019172338642889</v>
      </c>
      <c r="L82" s="6">
        <f>$J$3+[19]FormattedData!E59*$J$4+$M$4*$J$5+[19]FormattedData!E59^2*$J$6+$M$5*$J$7</f>
        <v>33.636397505724972</v>
      </c>
      <c r="M82" s="6">
        <f>$J$3+[19]FormattedData!F59*$J$4+$M$4*$J$5+[19]FormattedData!F59^2*$J$6+$M$5*$J$7</f>
        <v>35.733289916263118</v>
      </c>
      <c r="N82" s="6">
        <f>$J$3+[19]FormattedData!G59*$J$4+$M$4*$J$5+[19]FormattedData!G59^2*$J$6+$M$5*$J$7</f>
        <v>35.922902054128969</v>
      </c>
      <c r="O82" s="6">
        <f>$J$3+[19]FormattedData!H59*$J$4+$M$4*$J$5+[19]FormattedData!H59^2*$J$6+$M$5*$J$7</f>
        <v>34.114760375527538</v>
      </c>
      <c r="P82" s="6">
        <f>$J$3+[19]FormattedData!I59*$J$4+$M$4*$J$5+[19]FormattedData!I59^2*$J$6+$M$5*$J$7</f>
        <v>35.733289916263118</v>
      </c>
      <c r="Q82" s="6">
        <f>$J$3+[19]FormattedData!J59*$J$4+$M$4*$J$5+[19]FormattedData!J59^2*$J$6+$M$5*$J$7</f>
        <v>34.782693114658016</v>
      </c>
      <c r="R82" s="6">
        <f>$J$3+[19]FormattedData!K59*$J$4+$M$4*$J$5+[19]FormattedData!K59^2*$J$6+$M$5*$J$7</f>
        <v>33.060967200210172</v>
      </c>
      <c r="S82" s="6">
        <f>$J$3+[19]FormattedData!L59*$J$4+$M$4*$J$5+[19]FormattedData!L59^2*$J$6+$M$5*$J$7</f>
        <v>34.401270874953894</v>
      </c>
      <c r="T82" s="6">
        <f>$J$3+[19]FormattedData!M59*$J$4+$M$4*$J$5+[19]FormattedData!M59^2*$J$6+$M$5*$J$7</f>
        <v>31.519047122828155</v>
      </c>
      <c r="U82" s="6">
        <f>$J$3+[19]FormattedData!N59*$J$4+$M$4*$J$5+[19]FormattedData!N59^2*$J$6+$M$5*$J$7</f>
        <v>31.519047122828155</v>
      </c>
      <c r="V82" s="6">
        <f>$J$3+[19]FormattedData!O59*$J$4+$M$4*$J$5+[19]FormattedData!O59^2*$J$6+$M$5*$J$7</f>
        <v>31.32554627947264</v>
      </c>
      <c r="W82" s="5">
        <f t="shared" si="18"/>
        <v>33.814031985125133</v>
      </c>
      <c r="X82" s="4">
        <f t="shared" si="19"/>
        <v>0.48112275357951306</v>
      </c>
      <c r="Y82" s="3">
        <f t="shared" si="20"/>
        <v>31.32554627947264</v>
      </c>
      <c r="Z82" s="2">
        <f t="shared" si="21"/>
        <v>32.675487180864664</v>
      </c>
      <c r="AA82" s="3">
        <f t="shared" si="22"/>
        <v>34.066966357085214</v>
      </c>
      <c r="AB82" s="2">
        <f t="shared" si="23"/>
        <v>35.020342315059295</v>
      </c>
      <c r="AC82" s="2">
        <f t="shared" si="24"/>
        <v>35.922902054128969</v>
      </c>
      <c r="AD82" s="2">
        <f t="shared" si="25"/>
        <v>-0.36176594429174569</v>
      </c>
      <c r="AE82" s="2">
        <f t="shared" si="26"/>
        <v>-1.1317987368452771</v>
      </c>
    </row>
    <row r="83" spans="2:31" x14ac:dyDescent="0.2">
      <c r="B83" s="1">
        <f>[19]FormattedData!A55</f>
        <v>904</v>
      </c>
      <c r="C83" s="1" t="str">
        <f>VLOOKUP($B83,[19]TrtCodes!$B$11:I98,2)</f>
        <v>Early</v>
      </c>
      <c r="D83" s="1">
        <f>VLOOKUP($B83,[19]TrtCodes!$B$11:J98,3)</f>
        <v>21</v>
      </c>
      <c r="E83" s="1">
        <f>VLOOKUP($B83,[19]TrtCodes!$B$11:K98,4)</f>
        <v>3</v>
      </c>
      <c r="F83" s="1">
        <f>VLOOKUP($B83,[19]TrtCodes!$B$11:L98,5)</f>
        <v>2</v>
      </c>
      <c r="G83" s="1">
        <f>VLOOKUP($B83,[19]TrtCodes!$B$11:M98,6)</f>
        <v>2</v>
      </c>
      <c r="H83" s="1">
        <f>VLOOKUP($B83,[19]TrtCodes!$B$11:N98,7)</f>
        <v>1</v>
      </c>
      <c r="I83" s="1">
        <f>[19]FormattedData!B55</f>
        <v>2</v>
      </c>
      <c r="J83" s="4">
        <f>[19]FormattedData!C55</f>
        <v>13.403</v>
      </c>
      <c r="K83" s="6">
        <f>$J$3+[19]FormattedData!D55*$J$4+$M$4*$J$5+[19]FormattedData!D55^2*$J$6+$M$5*$J$7</f>
        <v>32.291359754732959</v>
      </c>
      <c r="L83" s="6">
        <f>$J$3+[19]FormattedData!E55*$J$4+$M$4*$J$5+[19]FormattedData!E55^2*$J$6+$M$5*$J$7</f>
        <v>36.490724022816167</v>
      </c>
      <c r="M83" s="6">
        <f>$J$3+[19]FormattedData!F55*$J$4+$M$4*$J$5+[19]FormattedData!F55^2*$J$6+$M$5*$J$7</f>
        <v>30.355505950419207</v>
      </c>
      <c r="N83" s="6">
        <f>$J$3+[19]FormattedData!G55*$J$4+$M$4*$J$5+[19]FormattedData!G55^2*$J$6+$M$5*$J$7</f>
        <v>35.163439057755227</v>
      </c>
      <c r="O83" s="6">
        <f>$J$3+[19]FormattedData!H55*$J$4+$M$4*$J$5+[19]FormattedData!H55^2*$J$6+$M$5*$J$7</f>
        <v>33.060967200210172</v>
      </c>
      <c r="P83" s="6">
        <f>$J$3+[19]FormattedData!I55*$J$4+$M$4*$J$5+[19]FormattedData!I55^2*$J$6+$M$5*$J$7</f>
        <v>35.068315974787829</v>
      </c>
      <c r="Q83" s="6">
        <f>$J$3+[19]FormattedData!J55*$J$4+$M$4*$J$5+[19]FormattedData!J55^2*$J$6+$M$5*$J$7</f>
        <v>31.905541587084002</v>
      </c>
      <c r="R83" s="6">
        <f>$J$3+[19]FormattedData!K55*$J$4+$M$4*$J$5+[19]FormattedData!K55^2*$J$6+$M$5*$J$7</f>
        <v>39.679639239583771</v>
      </c>
      <c r="S83" s="6">
        <f>$J$3+[19]FormattedData!L55*$J$4+$M$4*$J$5+[19]FormattedData!L55^2*$J$6+$M$5*$J$7</f>
        <v>36.679659864075113</v>
      </c>
      <c r="T83" s="6">
        <f>$J$3+[19]FormattedData!M55*$J$4+$M$4*$J$5+[19]FormattedData!M55^2*$J$6+$M$5*$J$7</f>
        <v>37.151259767808696</v>
      </c>
      <c r="U83" s="6">
        <f>$J$3+[19]FormattedData!N55*$J$4+$M$4*$J$5+[19]FormattedData!N55^2*$J$6+$M$5*$J$7</f>
        <v>36.301619107405493</v>
      </c>
      <c r="V83" s="6">
        <f>$J$3+[19]FormattedData!O55*$J$4+$M$4*$J$5+[19]FormattedData!O55^2*$J$6+$M$5*$J$7</f>
        <v>36.679659864075113</v>
      </c>
      <c r="W83" s="5">
        <f t="shared" si="18"/>
        <v>35.068974282562813</v>
      </c>
      <c r="X83" s="4">
        <f t="shared" si="19"/>
        <v>0.77020164091957899</v>
      </c>
      <c r="Y83" s="3">
        <f t="shared" si="20"/>
        <v>30.355505950419207</v>
      </c>
      <c r="Z83" s="2">
        <f t="shared" si="21"/>
        <v>32.868565338840867</v>
      </c>
      <c r="AA83" s="3">
        <f t="shared" si="22"/>
        <v>35.732529082580356</v>
      </c>
      <c r="AB83" s="2">
        <f t="shared" si="23"/>
        <v>36.679659864075113</v>
      </c>
      <c r="AC83" s="2">
        <f t="shared" si="24"/>
        <v>39.679639239583771</v>
      </c>
      <c r="AD83" s="2">
        <f t="shared" si="25"/>
        <v>-0.26280235181733985</v>
      </c>
      <c r="AE83" s="2">
        <f t="shared" si="26"/>
        <v>-0.42590732990510505</v>
      </c>
    </row>
    <row r="84" spans="2:31" x14ac:dyDescent="0.2">
      <c r="B84" s="1">
        <f>[19]FormattedData!A51</f>
        <v>906</v>
      </c>
      <c r="C84" s="1" t="str">
        <f>VLOOKUP($B84,[19]TrtCodes!$B$11:I94,2)</f>
        <v>Late</v>
      </c>
      <c r="D84" s="1">
        <f>VLOOKUP($B84,[19]TrtCodes!$B$11:J94,3)</f>
        <v>22</v>
      </c>
      <c r="E84" s="1">
        <f>VLOOKUP($B84,[19]TrtCodes!$B$11:K94,4)</f>
        <v>4</v>
      </c>
      <c r="F84" s="1">
        <f>VLOOKUP($B84,[19]TrtCodes!$B$11:L94,5)</f>
        <v>2</v>
      </c>
      <c r="G84" s="1">
        <f>VLOOKUP($B84,[19]TrtCodes!$B$11:M94,6)</f>
        <v>2</v>
      </c>
      <c r="H84" s="1">
        <f>VLOOKUP($B84,[19]TrtCodes!$B$11:N94,7)</f>
        <v>2</v>
      </c>
      <c r="I84" s="1">
        <f>[19]FormattedData!B51</f>
        <v>2</v>
      </c>
      <c r="J84" s="4">
        <f>[19]FormattedData!C51</f>
        <v>13.378</v>
      </c>
      <c r="K84" s="6">
        <f>$J$3+[19]FormattedData!D51*$J$4+$M$4*$J$5+[19]FormattedData!D51^2*$J$6+$M$5*$J$7</f>
        <v>32.484015227329849</v>
      </c>
      <c r="L84" s="6">
        <f>$J$3+[19]FormattedData!E51*$J$4+$M$4*$J$5+[19]FormattedData!E51^2*$J$6+$M$5*$J$7</f>
        <v>32.098535207984348</v>
      </c>
      <c r="M84" s="6">
        <f>$J$3+[19]FormattedData!F51*$J$4+$M$4*$J$5+[19]FormattedData!F51^2*$J$6+$M$5*$J$7</f>
        <v>32.387708625300363</v>
      </c>
      <c r="N84" s="6">
        <f>$J$3+[19]FormattedData!G51*$J$4+$M$4*$J$5+[19]FormattedData!G51^2*$J$6+$M$5*$J$7</f>
        <v>32.964914209408278</v>
      </c>
      <c r="O84" s="6">
        <f>$J$3+[19]FormattedData!H51*$J$4+$M$4*$J$5+[19]FormattedData!H51^2*$J$6+$M$5*$J$7</f>
        <v>31.712378892031943</v>
      </c>
      <c r="P84" s="6">
        <f>$J$3+[19]FormattedData!I51*$J$4+$M$4*$J$5+[19]FormattedData!I51^2*$J$6+$M$5*$J$7</f>
        <v>31.905541587084002</v>
      </c>
      <c r="Q84" s="6">
        <f>$J$3+[19]FormattedData!J51*$J$4+$M$4*$J$5+[19]FormattedData!J51^2*$J$6+$M$5*$J$7</f>
        <v>32.291359754732959</v>
      </c>
      <c r="R84" s="6">
        <f>$J$3+[19]FormattedData!K51*$J$4+$M$4*$J$5+[19]FormattedData!K51^2*$J$6+$M$5*$J$7</f>
        <v>32.484015227329849</v>
      </c>
      <c r="S84" s="6">
        <f>$J$3+[19]FormattedData!L51*$J$4+$M$4*$J$5+[19]FormattedData!L51^2*$J$6+$M$5*$J$7</f>
        <v>34.114760375527538</v>
      </c>
      <c r="T84" s="6">
        <f>$J$3+[19]FormattedData!M51*$J$4+$M$4*$J$5+[19]FormattedData!M51^2*$J$6+$M$5*$J$7</f>
        <v>34.210306143874249</v>
      </c>
      <c r="U84" s="6">
        <f>$J$3+[19]FormattedData!N51*$J$4+$M$4*$J$5+[19]FormattedData!N51^2*$J$6+$M$5*$J$7</f>
        <v>33.444756478038428</v>
      </c>
      <c r="V84" s="6">
        <f>$J$3+[19]FormattedData!O51*$J$4+$M$4*$J$5+[19]FormattedData!O51^2*$J$6+$M$5*$J$7</f>
        <v>35.163439057755227</v>
      </c>
      <c r="W84" s="5">
        <f t="shared" si="18"/>
        <v>32.938477565533091</v>
      </c>
      <c r="X84" s="4">
        <f t="shared" si="19"/>
        <v>0.30919761546527752</v>
      </c>
      <c r="Y84" s="3">
        <f t="shared" si="20"/>
        <v>31.712378892031943</v>
      </c>
      <c r="Z84" s="2">
        <f t="shared" si="21"/>
        <v>32.24315361804581</v>
      </c>
      <c r="AA84" s="3">
        <f t="shared" si="22"/>
        <v>32.484015227329849</v>
      </c>
      <c r="AB84" s="2">
        <f t="shared" si="23"/>
        <v>33.612257452410702</v>
      </c>
      <c r="AC84" s="2">
        <f t="shared" si="24"/>
        <v>35.163439057755227</v>
      </c>
      <c r="AD84" s="2">
        <f t="shared" si="25"/>
        <v>0.94686541103671162</v>
      </c>
      <c r="AE84" s="2">
        <f t="shared" si="26"/>
        <v>-4.023930878662485E-2</v>
      </c>
    </row>
    <row r="85" spans="2:31" x14ac:dyDescent="0.2">
      <c r="B85" s="1">
        <f>[19]FormattedData!A47</f>
        <v>908</v>
      </c>
      <c r="C85" s="1" t="str">
        <f>VLOOKUP($B85,[19]TrtCodes!$B$11:I90,2)</f>
        <v>Early</v>
      </c>
      <c r="D85" s="1">
        <f>VLOOKUP($B85,[19]TrtCodes!$B$11:J90,3)</f>
        <v>21</v>
      </c>
      <c r="E85" s="1">
        <f>VLOOKUP($B85,[19]TrtCodes!$B$11:K90,4)</f>
        <v>3</v>
      </c>
      <c r="F85" s="1">
        <f>VLOOKUP($B85,[19]TrtCodes!$B$11:L90,5)</f>
        <v>2</v>
      </c>
      <c r="G85" s="1">
        <f>VLOOKUP($B85,[19]TrtCodes!$B$11:M90,6)</f>
        <v>2</v>
      </c>
      <c r="H85" s="1">
        <f>VLOOKUP($B85,[19]TrtCodes!$B$11:N90,7)</f>
        <v>2</v>
      </c>
      <c r="I85" s="1">
        <f>[19]FormattedData!B47</f>
        <v>2</v>
      </c>
      <c r="J85" s="4">
        <f>[19]FormattedData!C47</f>
        <v>13.353</v>
      </c>
      <c r="K85" s="6">
        <f>$J$3+[19]FormattedData!D47*$J$4+$M$4*$J$5+[19]FormattedData!D47^2*$J$6+$M$5*$J$7</f>
        <v>35.258519872184706</v>
      </c>
      <c r="L85" s="6">
        <f>$J$3+[19]FormattedData!E47*$J$4+$M$4*$J$5+[19]FormattedData!E47^2*$J$6+$M$5*$J$7</f>
        <v>35.733289916263118</v>
      </c>
      <c r="M85" s="6">
        <f>$J$3+[19]FormattedData!F47*$J$4+$M$4*$J$5+[19]FormattedData!F47^2*$J$6+$M$5*$J$7</f>
        <v>32.676501625775018</v>
      </c>
      <c r="N85" s="6">
        <f>$J$3+[19]FormattedData!G47*$J$4+$M$4*$J$5+[19]FormattedData!G47^2*$J$6+$M$5*$J$7</f>
        <v>35.258519872184706</v>
      </c>
      <c r="O85" s="6">
        <f>$J$3+[19]FormattedData!H47*$J$4+$M$4*$J$5+[19]FormattedData!H47^2*$J$6+$M$5*$J$7</f>
        <v>31.228732454987981</v>
      </c>
      <c r="P85" s="6">
        <f>$J$3+[19]FormattedData!I47*$J$4+$M$4*$J$5+[19]FormattedData!I47^2*$J$6+$M$5*$J$7</f>
        <v>35.258519872184706</v>
      </c>
      <c r="Q85" s="6">
        <f>$J$3+[19]FormattedData!J47*$J$4+$M$4*$J$5+[19]FormattedData!J47^2*$J$6+$M$5*$J$7</f>
        <v>32.580279560821403</v>
      </c>
      <c r="R85" s="6">
        <f>$J$3+[19]FormattedData!K47*$J$4+$M$4*$J$5+[19]FormattedData!K47^2*$J$6+$M$5*$J$7</f>
        <v>34.401270874953894</v>
      </c>
      <c r="S85" s="6">
        <f>$J$3+[19]FormattedData!L47*$J$4+$M$4*$J$5+[19]FormattedData!L47^2*$J$6+$M$5*$J$7</f>
        <v>34.87794300323921</v>
      </c>
      <c r="T85" s="6">
        <f>$J$3+[19]FormattedData!M47*$J$4+$M$4*$J$5+[19]FormattedData!M47^2*$J$6+$M$5*$J$7</f>
        <v>37.151259767808696</v>
      </c>
      <c r="U85" s="6">
        <f>$J$3+[19]FormattedData!N47*$J$4+$M$4*$J$5+[19]FormattedData!N47^2*$J$6+$M$5*$J$7</f>
        <v>36.396192699379796</v>
      </c>
      <c r="V85" s="6">
        <f>$J$3+[19]FormattedData!O47*$J$4+$M$4*$J$5+[19]FormattedData!O47^2*$J$6+$M$5*$J$7</f>
        <v>36.207003246893258</v>
      </c>
      <c r="W85" s="5">
        <f t="shared" si="18"/>
        <v>34.752336063889707</v>
      </c>
      <c r="X85" s="4">
        <f t="shared" si="19"/>
        <v>0.50666629626791537</v>
      </c>
      <c r="Y85" s="3">
        <f t="shared" si="20"/>
        <v>31.228732454987981</v>
      </c>
      <c r="Z85" s="2">
        <f t="shared" si="21"/>
        <v>33.970078562659175</v>
      </c>
      <c r="AA85" s="3">
        <f t="shared" si="22"/>
        <v>35.258519872184706</v>
      </c>
      <c r="AB85" s="2">
        <f t="shared" si="23"/>
        <v>35.851718248920655</v>
      </c>
      <c r="AC85" s="2">
        <f t="shared" si="24"/>
        <v>37.151259767808696</v>
      </c>
      <c r="AD85" s="2">
        <f t="shared" si="25"/>
        <v>-0.81358996584825305</v>
      </c>
      <c r="AE85" s="2">
        <f t="shared" si="26"/>
        <v>-3.1292512652531634E-2</v>
      </c>
    </row>
    <row r="88" spans="2:31" x14ac:dyDescent="0.2">
      <c r="W88" s="2"/>
    </row>
  </sheetData>
  <autoFilter ref="B9:AE85" xr:uid="{3297D84E-988E-4755-B682-4AFE161266EF}"/>
  <conditionalFormatting sqref="K10:V85">
    <cfRule type="cellIs" dxfId="51" priority="1" stopIfTrue="1" operator="lessThan">
      <formula>$W10-$V$5*$X10</formula>
    </cfRule>
    <cfRule type="cellIs" dxfId="50" priority="2" stopIfTrue="1" operator="greaterThan">
      <formula>$W10+$V$5*$X10</formula>
    </cfRule>
  </conditionalFormatting>
  <conditionalFormatting sqref="W10:W85">
    <cfRule type="cellIs" dxfId="49" priority="3" stopIfTrue="1" operator="lessThan">
      <formula>AVERAGE($W$10:$W$41)</formula>
    </cfRule>
    <cfRule type="cellIs" dxfId="4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0922-76EB-4612-BAD3-D01E494A8229}">
  <sheetPr codeName="Sheet14"/>
  <dimension ref="A1:AI88"/>
  <sheetViews>
    <sheetView topLeftCell="A8" workbookViewId="0">
      <pane xSplit="4" ySplit="2" topLeftCell="P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[20]FormattedData!A1</f>
        <v>Raw data file name - 'IA196.03R'</v>
      </c>
    </row>
    <row r="2" spans="1:35" ht="15" x14ac:dyDescent="0.25">
      <c r="I2" s="32" t="s">
        <v>136</v>
      </c>
      <c r="J2" s="24"/>
      <c r="P2" s="31">
        <f>[20]AncillaryData!C10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[20]AncillaryData!E25</f>
        <v>43.7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"&amp;[20]AncillaryData!C7</f>
        <v>Time Sequence of Midday IRT Temps - FISE 2003 - DOY 196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"&amp;[20]AncillaryData!E25&amp;", VPD = "&amp;ROUND([20]AncillaryData!E29,1)&amp;", Quality = "&amp;[20]AncillaryData!C20&amp;")"</f>
        <v>(Ta = 43.7, VPD = 7.9, Quality = 5)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[20]FormattedData!A28</f>
        <v>101</v>
      </c>
      <c r="C10" s="1" t="str">
        <f>VLOOKUP($B10,[20]TrtCodes!$B$11:I71,2)</f>
        <v>FSH</v>
      </c>
      <c r="D10" s="1">
        <f>VLOOKUP($B10,[20]TrtCodes!$B$11:J71,3)</f>
        <v>1</v>
      </c>
      <c r="E10" s="1">
        <f>VLOOKUP($B10,[20]TrtCodes!$B$11:K71,4)</f>
        <v>1</v>
      </c>
      <c r="F10" s="1">
        <f>VLOOKUP($B10,[20]TrtCodes!$B$11:L71,5)</f>
        <v>1</v>
      </c>
      <c r="G10" s="1">
        <f>VLOOKUP($B10,[20]TrtCodes!$B$11:M71,6)</f>
        <v>2</v>
      </c>
      <c r="H10" s="1">
        <f>VLOOKUP($B10,[20]TrtCodes!$B$11:N71,7)</f>
        <v>1</v>
      </c>
      <c r="I10" s="1">
        <f>[20]FormattedData!B28</f>
        <v>1</v>
      </c>
      <c r="J10" s="4">
        <f>[20]FormattedData!C28</f>
        <v>13.189</v>
      </c>
      <c r="K10" s="6">
        <f>$J$3+[20]FormattedData!D28*$J$4+$M$4*$J$5+[20]FormattedData!D28^2*$J$6+$M$5*$J$7</f>
        <v>36.875110354333884</v>
      </c>
      <c r="L10" s="6">
        <f>$J$3+[20]FormattedData!E28*$J$4+$M$4*$J$5+[20]FormattedData!E28^2*$J$6+$M$5*$J$7</f>
        <v>31.525730845979702</v>
      </c>
      <c r="M10" s="6">
        <f>$J$3+[20]FormattedData!F28*$J$4+$M$4*$J$5+[20]FormattedData!F28^2*$J$6+$M$5*$J$7</f>
        <v>27.328202997649875</v>
      </c>
      <c r="N10" s="6">
        <f>$J$3+[20]FormattedData!G28*$J$4+$M$4*$J$5+[20]FormattedData!G28^2*$J$6+$M$5*$J$7</f>
        <v>30.65364559193506</v>
      </c>
      <c r="O10" s="6">
        <f>$J$3+[20]FormattedData!H28*$J$4+$M$4*$J$5+[20]FormattedData!H28^2*$J$6+$M$5*$J$7</f>
        <v>26.93376204826297</v>
      </c>
      <c r="P10" s="6">
        <f>$J$3+[20]FormattedData!I28*$J$4+$M$4*$J$5+[20]FormattedData!I28^2*$J$6+$M$5*$J$7</f>
        <v>32.394392348451909</v>
      </c>
      <c r="Q10" s="6">
        <f>$J$3+[20]FormattedData!J28*$J$4+$M$4*$J$5+[20]FormattedData!J28^2*$J$6+$M$5*$J$7</f>
        <v>26.73628796234193</v>
      </c>
      <c r="R10" s="6">
        <f>$J$3+[20]FormattedData!K28*$J$4+$M$4*$J$5+[20]FormattedData!K28^2*$J$6+$M$5*$J$7</f>
        <v>28.409428454084548</v>
      </c>
      <c r="S10" s="6">
        <f>$J$3+[20]FormattedData!L28*$J$4+$M$4*$J$5+[20]FormattedData!L28^2*$J$6+$M$5*$J$7</f>
        <v>28.311346573461961</v>
      </c>
      <c r="T10" s="6">
        <f>$J$3+[20]FormattedData!M28*$J$4+$M$4*$J$5+[20]FormattedData!M28^2*$J$6+$M$5*$J$7</f>
        <v>28.997032098523519</v>
      </c>
      <c r="U10" s="6">
        <f>$J$3+[20]FormattedData!N28*$J$4+$M$4*$J$5+[20]FormattedData!N28^2*$J$6+$M$5*$J$7</f>
        <v>32.298043477884505</v>
      </c>
      <c r="V10" s="6">
        <f>$J$3+[20]FormattedData!O28*$J$4+$M$4*$J$5+[20]FormattedData!O28^2*$J$6+$M$5*$J$7</f>
        <v>26.835046139571414</v>
      </c>
      <c r="W10" s="5">
        <f t="shared" ref="W10:W41" si="0">AVERAGE(K10:V10)</f>
        <v>29.774835741040103</v>
      </c>
      <c r="X10" s="4">
        <f t="shared" ref="X10:X41" si="1">STDEV(K10:V10)/SQRT(COUNT(K10:V10))</f>
        <v>0.88772972797902594</v>
      </c>
      <c r="Y10" s="3">
        <f t="shared" ref="Y10:Y41" si="2">MIN(K10:V10)</f>
        <v>26.73628796234193</v>
      </c>
      <c r="Z10" s="2">
        <f t="shared" ref="Z10:Z41" si="3">QUARTILE(K10:V10,1)</f>
        <v>27.229592760303149</v>
      </c>
      <c r="AA10" s="3">
        <f t="shared" ref="AA10:AA41" si="4">MEDIAN(K10:V10)</f>
        <v>28.703230276304033</v>
      </c>
      <c r="AB10" s="2">
        <f t="shared" ref="AB10:AB41" si="5">QUARTILE(K10:V10,3)</f>
        <v>31.718809003955904</v>
      </c>
      <c r="AC10" s="2">
        <f t="shared" ref="AC10:AC41" si="6">MAX(K10:V10)</f>
        <v>36.875110354333884</v>
      </c>
      <c r="AD10" s="2">
        <f t="shared" ref="AD10:AD41" si="7">SKEW(K10:V10)</f>
        <v>1.1285563453996919</v>
      </c>
      <c r="AE10" s="2">
        <f t="shared" ref="AE10:AE41" si="8">KURT(K10:V10)</f>
        <v>1.091464451611464</v>
      </c>
    </row>
    <row r="11" spans="1:35" x14ac:dyDescent="0.2">
      <c r="B11" s="1">
        <f>[20]FormattedData!A26</f>
        <v>102</v>
      </c>
      <c r="C11" s="1" t="str">
        <f>VLOOKUP($B11,[20]TrtCodes!$B$11:I69,2)</f>
        <v>FTL</v>
      </c>
      <c r="D11" s="1">
        <f>VLOOKUP($B11,[20]TrtCodes!$B$11:J69,3)</f>
        <v>4</v>
      </c>
      <c r="E11" s="1">
        <f>VLOOKUP($B11,[20]TrtCodes!$B$11:K69,4)</f>
        <v>1</v>
      </c>
      <c r="F11" s="1">
        <f>VLOOKUP($B11,[20]TrtCodes!$B$11:L69,5)</f>
        <v>2</v>
      </c>
      <c r="G11" s="1">
        <f>VLOOKUP($B11,[20]TrtCodes!$B$11:M69,6)</f>
        <v>1</v>
      </c>
      <c r="H11" s="1">
        <f>VLOOKUP($B11,[20]TrtCodes!$B$11:N69,7)</f>
        <v>1</v>
      </c>
      <c r="I11" s="1">
        <f>[20]FormattedData!B26</f>
        <v>1</v>
      </c>
      <c r="J11" s="4">
        <f>[20]FormattedData!C26</f>
        <v>13.173</v>
      </c>
      <c r="K11" s="6">
        <f>$J$3+[20]FormattedData!D26*$J$4+$M$4*$J$5+[20]FormattedData!D26^2*$J$6+$M$5*$J$7</f>
        <v>34.216989867025795</v>
      </c>
      <c r="L11" s="6">
        <f>$J$3+[20]FormattedData!E26*$J$4+$M$4*$J$5+[20]FormattedData!E26^2*$J$6+$M$5*$J$7</f>
        <v>27.328202997649875</v>
      </c>
      <c r="M11" s="6">
        <f>$J$3+[20]FormattedData!F26*$J$4+$M$4*$J$5+[20]FormattedData!F26^2*$J$6+$M$5*$J$7</f>
        <v>26.93376204826297</v>
      </c>
      <c r="N11" s="6">
        <f>$J$3+[20]FormattedData!G26*$J$4+$M$4*$J$5+[20]FormattedData!G26^2*$J$6+$M$5*$J$7</f>
        <v>29.583114075596967</v>
      </c>
      <c r="O11" s="6">
        <f>$J$3+[20]FormattedData!H26*$J$4+$M$4*$J$5+[20]FormattedData!H26^2*$J$6+$M$5*$J$7</f>
        <v>27.328202997649875</v>
      </c>
      <c r="P11" s="6">
        <f>$J$3+[20]FormattedData!I26*$J$4+$M$4*$J$5+[20]FormattedData!I26^2*$J$6+$M$5*$J$7</f>
        <v>32.298043477884505</v>
      </c>
      <c r="Q11" s="6">
        <f>$J$3+[20]FormattedData!J26*$J$4+$M$4*$J$5+[20]FormattedData!J26^2*$J$6+$M$5*$J$7</f>
        <v>30.362189673570754</v>
      </c>
      <c r="R11" s="6">
        <f>$J$3+[20]FormattedData!K26*$J$4+$M$4*$J$5+[20]FormattedData!K26^2*$J$6+$M$5*$J$7</f>
        <v>27.525169861115739</v>
      </c>
      <c r="S11" s="6">
        <f>$J$3+[20]FormattedData!L26*$J$4+$M$4*$J$5+[20]FormattedData!L26^2*$J$6+$M$5*$J$7</f>
        <v>31.525730845979702</v>
      </c>
      <c r="T11" s="6">
        <f>$J$3+[20]FormattedData!M26*$J$4+$M$4*$J$5+[20]FormattedData!M26^2*$J$6+$M$5*$J$7</f>
        <v>28.016847320366612</v>
      </c>
      <c r="U11" s="6">
        <f>$J$3+[20]FormattedData!N26*$J$4+$M$4*$J$5+[20]FormattedData!N26^2*$J$6+$M$5*$J$7</f>
        <v>26.439759819425888</v>
      </c>
      <c r="V11" s="6">
        <f>$J$3+[20]FormattedData!O26*$J$4+$M$4*$J$5+[20]FormattedData!O26^2*$J$6+$M$5*$J$7</f>
        <v>26.835046139571414</v>
      </c>
      <c r="W11" s="5">
        <f t="shared" si="0"/>
        <v>29.032754927008341</v>
      </c>
      <c r="X11" s="4">
        <f t="shared" si="1"/>
        <v>0.73287942033666387</v>
      </c>
      <c r="Y11" s="3">
        <f t="shared" si="2"/>
        <v>26.439759819425888</v>
      </c>
      <c r="Z11" s="2">
        <f t="shared" si="3"/>
        <v>27.229592760303149</v>
      </c>
      <c r="AA11" s="3">
        <f t="shared" si="4"/>
        <v>27.771008590741175</v>
      </c>
      <c r="AB11" s="2">
        <f t="shared" si="5"/>
        <v>30.653074966672989</v>
      </c>
      <c r="AC11" s="2">
        <f t="shared" si="6"/>
        <v>34.216989867025795</v>
      </c>
      <c r="AD11" s="2">
        <f t="shared" si="7"/>
        <v>0.9365625311763538</v>
      </c>
      <c r="AE11" s="2">
        <f t="shared" si="8"/>
        <v>-0.28224983443980545</v>
      </c>
    </row>
    <row r="12" spans="1:35" x14ac:dyDescent="0.2">
      <c r="B12" s="1">
        <f>[20]FormattedData!A24</f>
        <v>103</v>
      </c>
      <c r="C12" s="1" t="str">
        <f>VLOOKUP($B12,[20]TrtCodes!$B$11:I67,2)</f>
        <v>FDH</v>
      </c>
      <c r="D12" s="1">
        <f>VLOOKUP($B12,[20]TrtCodes!$B$11:J67,3)</f>
        <v>5</v>
      </c>
      <c r="E12" s="1">
        <f>VLOOKUP($B12,[20]TrtCodes!$B$11:K67,4)</f>
        <v>1</v>
      </c>
      <c r="F12" s="1">
        <f>VLOOKUP($B12,[20]TrtCodes!$B$11:L67,5)</f>
        <v>3</v>
      </c>
      <c r="G12" s="1">
        <f>VLOOKUP($B12,[20]TrtCodes!$B$11:M67,6)</f>
        <v>2</v>
      </c>
      <c r="H12" s="1">
        <f>VLOOKUP($B12,[20]TrtCodes!$B$11:N67,7)</f>
        <v>1</v>
      </c>
      <c r="I12" s="1">
        <f>[20]FormattedData!B24</f>
        <v>1</v>
      </c>
      <c r="J12" s="4">
        <f>[20]FormattedData!C24</f>
        <v>13.157</v>
      </c>
      <c r="K12" s="6">
        <f>$J$3+[20]FormattedData!D24*$J$4+$M$4*$J$5+[20]FormattedData!D24^2*$J$6+$M$5*$J$7</f>
        <v>30.167674385304892</v>
      </c>
      <c r="L12" s="6">
        <f>$J$3+[20]FormattedData!E24*$J$4+$M$4*$J$5+[20]FormattedData!E24^2*$J$6+$M$5*$J$7</f>
        <v>26.637487516574513</v>
      </c>
      <c r="M12" s="6">
        <f>$J$3+[20]FormattedData!F24*$J$4+$M$4*$J$5+[20]FormattedData!F24^2*$J$6+$M$5*$J$7</f>
        <v>27.9185963655923</v>
      </c>
      <c r="N12" s="6">
        <f>$J$3+[20]FormattedData!G24*$J$4+$M$4*$J$5+[20]FormattedData!G24^2*$J$6+$M$5*$J$7</f>
        <v>27.131067060032283</v>
      </c>
      <c r="O12" s="6">
        <f>$J$3+[20]FormattedData!H24*$J$4+$M$4*$J$5+[20]FormattedData!H24^2*$J$6+$M$5*$J$7</f>
        <v>28.605465409715933</v>
      </c>
      <c r="P12" s="6">
        <f>$J$3+[20]FormattedData!I24*$J$4+$M$4*$J$5+[20]FormattedData!I24^2*$J$6+$M$5*$J$7</f>
        <v>28.213222424301446</v>
      </c>
      <c r="Q12" s="6">
        <f>$J$3+[20]FormattedData!J24*$J$4+$M$4*$J$5+[20]FormattedData!J24^2*$J$6+$M$5*$J$7</f>
        <v>29.972990022887309</v>
      </c>
      <c r="R12" s="6">
        <f>$J$3+[20]FormattedData!K24*$J$4+$M$4*$J$5+[20]FormattedData!K24^2*$J$6+$M$5*$J$7</f>
        <v>28.703420484724724</v>
      </c>
      <c r="S12" s="6">
        <f>$J$3+[20]FormattedData!L24*$J$4+$M$4*$J$5+[20]FormattedData!L24^2*$J$6+$M$5*$J$7</f>
        <v>29.583114075596967</v>
      </c>
      <c r="T12" s="6">
        <f>$J$3+[20]FormattedData!M24*$J$4+$M$4*$J$5+[20]FormattedData!M24^2*$J$6+$M$5*$J$7</f>
        <v>28.899203829128517</v>
      </c>
      <c r="U12" s="6">
        <f>$J$3+[20]FormattedData!N24*$J$4+$M$4*$J$5+[20]FormattedData!N24^2*$J$6+$M$5*$J$7</f>
        <v>30.750713027647297</v>
      </c>
      <c r="V12" s="6">
        <f>$J$3+[20]FormattedData!O24*$J$4+$M$4*$J$5+[20]FormattedData!O24^2*$J$6+$M$5*$J$7</f>
        <v>26.93376204826297</v>
      </c>
      <c r="W12" s="5">
        <f t="shared" si="0"/>
        <v>28.626393054147425</v>
      </c>
      <c r="X12" s="4">
        <f t="shared" si="1"/>
        <v>0.38362455822460895</v>
      </c>
      <c r="Y12" s="3">
        <f t="shared" si="2"/>
        <v>26.637487516574513</v>
      </c>
      <c r="Z12" s="2">
        <f t="shared" si="3"/>
        <v>27.721714039202297</v>
      </c>
      <c r="AA12" s="3">
        <f t="shared" si="4"/>
        <v>28.654442947220328</v>
      </c>
      <c r="AB12" s="2">
        <f t="shared" si="5"/>
        <v>29.680583062419551</v>
      </c>
      <c r="AC12" s="2">
        <f t="shared" si="6"/>
        <v>30.750713027647297</v>
      </c>
      <c r="AD12" s="2">
        <f t="shared" si="7"/>
        <v>4.6710935031472316E-3</v>
      </c>
      <c r="AE12" s="2">
        <f t="shared" si="8"/>
        <v>-1.0384740214967816</v>
      </c>
    </row>
    <row r="13" spans="1:35" x14ac:dyDescent="0.2">
      <c r="B13" s="1">
        <f>[20]FormattedData!A22</f>
        <v>104</v>
      </c>
      <c r="C13" s="1" t="str">
        <f>VLOOKUP($B13,[20]TrtCodes!$B$11:I65,2)</f>
        <v>NTL</v>
      </c>
      <c r="D13" s="1">
        <f>VLOOKUP($B13,[20]TrtCodes!$B$11:J65,3)</f>
        <v>10</v>
      </c>
      <c r="E13" s="1">
        <f>VLOOKUP($B13,[20]TrtCodes!$B$11:K65,4)</f>
        <v>2</v>
      </c>
      <c r="F13" s="1">
        <f>VLOOKUP($B13,[20]TrtCodes!$B$11:L65,5)</f>
        <v>2</v>
      </c>
      <c r="G13" s="1">
        <f>VLOOKUP($B13,[20]TrtCodes!$B$11:M65,6)</f>
        <v>1</v>
      </c>
      <c r="H13" s="1">
        <f>VLOOKUP($B13,[20]TrtCodes!$B$11:N65,7)</f>
        <v>1</v>
      </c>
      <c r="I13" s="1">
        <f>[20]FormattedData!B22</f>
        <v>1</v>
      </c>
      <c r="J13" s="4">
        <f>[20]FormattedData!C22</f>
        <v>13.14</v>
      </c>
      <c r="K13" s="6">
        <f>$J$3+[20]FormattedData!D22*$J$4+$M$4*$J$5+[20]FormattedData!D22^2*$J$6+$M$5*$J$7</f>
        <v>35.074999697939376</v>
      </c>
      <c r="L13" s="6">
        <f>$J$3+[20]FormattedData!E22*$J$4+$M$4*$J$5+[20]FormattedData!E22^2*$J$6+$M$5*$J$7</f>
        <v>29.875584438871623</v>
      </c>
      <c r="M13" s="6">
        <f>$J$3+[20]FormattedData!F22*$J$4+$M$4*$J$5+[20]FormattedData!F22^2*$J$6+$M$5*$J$7</f>
        <v>29.290263295480933</v>
      </c>
      <c r="N13" s="6">
        <f>$J$3+[20]FormattedData!G22*$J$4+$M$4*$J$5+[20]FormattedData!G22^2*$J$6+$M$5*$J$7</f>
        <v>30.070353338365074</v>
      </c>
      <c r="O13" s="6">
        <f>$J$3+[20]FormattedData!H22*$J$4+$M$4*$J$5+[20]FormattedData!H22^2*$J$6+$M$5*$J$7</f>
        <v>30.556535887684891</v>
      </c>
      <c r="P13" s="6">
        <f>$J$3+[20]FormattedData!I22*$J$4+$M$4*$J$5+[20]FormattedData!I22^2*$J$6+$M$5*$J$7</f>
        <v>30.65364559193506</v>
      </c>
      <c r="Q13" s="6">
        <f>$J$3+[20]FormattedData!J22*$J$4+$M$4*$J$5+[20]FormattedData!J22^2*$J$6+$M$5*$J$7</f>
        <v>28.899203829128517</v>
      </c>
      <c r="R13" s="6">
        <f>$J$3+[20]FormattedData!K22*$J$4+$M$4*$J$5+[20]FormattedData!K22^2*$J$6+$M$5*$J$7</f>
        <v>29.387922490724211</v>
      </c>
      <c r="S13" s="6">
        <f>$J$3+[20]FormattedData!L22*$J$4+$M$4*$J$5+[20]FormattedData!L22^2*$J$6+$M$5*$J$7</f>
        <v>29.680646465226452</v>
      </c>
      <c r="T13" s="6">
        <f>$J$3+[20]FormattedData!M22*$J$4+$M$4*$J$5+[20]FormattedData!M22^2*$J$6+$M$5*$J$7</f>
        <v>29.094818099380589</v>
      </c>
      <c r="U13" s="6">
        <f>$J$3+[20]FormattedData!N22*$J$4+$M$4*$J$5+[20]FormattedData!N22^2*$J$6+$M$5*$J$7</f>
        <v>30.944721093457986</v>
      </c>
      <c r="V13" s="6">
        <f>$J$3+[20]FormattedData!O22*$J$4+$M$4*$J$5+[20]FormattedData!O22^2*$J$6+$M$5*$J$7</f>
        <v>29.485539417429553</v>
      </c>
      <c r="W13" s="5">
        <f t="shared" si="0"/>
        <v>30.251186137135353</v>
      </c>
      <c r="X13" s="4">
        <f t="shared" si="1"/>
        <v>0.47613124998608358</v>
      </c>
      <c r="Y13" s="3">
        <f t="shared" si="2"/>
        <v>28.899203829128517</v>
      </c>
      <c r="Z13" s="2">
        <f t="shared" si="3"/>
        <v>29.363507691913391</v>
      </c>
      <c r="AA13" s="3">
        <f t="shared" si="4"/>
        <v>29.778115452049036</v>
      </c>
      <c r="AB13" s="2">
        <f t="shared" si="5"/>
        <v>30.580813313747434</v>
      </c>
      <c r="AC13" s="2">
        <f t="shared" si="6"/>
        <v>35.074999697939376</v>
      </c>
      <c r="AD13" s="2">
        <f t="shared" si="7"/>
        <v>2.5876657910399676</v>
      </c>
      <c r="AE13" s="2">
        <f t="shared" si="8"/>
        <v>7.6502952511355655</v>
      </c>
    </row>
    <row r="14" spans="1:35" x14ac:dyDescent="0.2">
      <c r="B14" s="1">
        <f>[20]FormattedData!A20</f>
        <v>105</v>
      </c>
      <c r="C14" s="1" t="str">
        <f>VLOOKUP($B14,[20]TrtCodes!$B$11:I63,2)</f>
        <v>NDL</v>
      </c>
      <c r="D14" s="1">
        <f>VLOOKUP($B14,[20]TrtCodes!$B$11:J63,3)</f>
        <v>12</v>
      </c>
      <c r="E14" s="1">
        <f>VLOOKUP($B14,[20]TrtCodes!$B$11:K63,4)</f>
        <v>2</v>
      </c>
      <c r="F14" s="1">
        <f>VLOOKUP($B14,[20]TrtCodes!$B$11:L63,5)</f>
        <v>3</v>
      </c>
      <c r="G14" s="1">
        <f>VLOOKUP($B14,[20]TrtCodes!$B$11:M63,6)</f>
        <v>1</v>
      </c>
      <c r="H14" s="1">
        <f>VLOOKUP($B14,[20]TrtCodes!$B$11:N63,7)</f>
        <v>2</v>
      </c>
      <c r="I14" s="1">
        <f>[20]FormattedData!B20</f>
        <v>1</v>
      </c>
      <c r="J14" s="4">
        <f>[20]FormattedData!C20</f>
        <v>13.122999999999999</v>
      </c>
      <c r="K14" s="6">
        <f>$J$3+[20]FormattedData!D20*$J$4+$M$4*$J$5+[20]FormattedData!D20^2*$J$6+$M$5*$J$7</f>
        <v>28.507468066169203</v>
      </c>
      <c r="L14" s="6">
        <f>$J$3+[20]FormattedData!E20*$J$4+$M$4*$J$5+[20]FormattedData!E20^2*$J$6+$M$5*$J$7</f>
        <v>27.9185963655923</v>
      </c>
      <c r="M14" s="6">
        <f>$J$3+[20]FormattedData!F20*$J$4+$M$4*$J$5+[20]FormattedData!F20^2*$J$6+$M$5*$J$7</f>
        <v>29.094818099380589</v>
      </c>
      <c r="N14" s="6">
        <f>$J$3+[20]FormattedData!G20*$J$4+$M$4*$J$5+[20]FormattedData!G20^2*$J$6+$M$5*$J$7</f>
        <v>28.703420484724724</v>
      </c>
      <c r="O14" s="6">
        <f>$J$3+[20]FormattedData!H20*$J$4+$M$4*$J$5+[20]FormattedData!H20^2*$J$6+$M$5*$J$7</f>
        <v>31.235416178139527</v>
      </c>
      <c r="P14" s="6">
        <f>$J$3+[20]FormattedData!I20*$J$4+$M$4*$J$5+[20]FormattedData!I20^2*$J$6+$M$5*$J$7</f>
        <v>29.972990022887309</v>
      </c>
      <c r="Q14" s="6">
        <f>$J$3+[20]FormattedData!J20*$J$4+$M$4*$J$5+[20]FormattedData!J20^2*$J$6+$M$5*$J$7</f>
        <v>30.847738194821609</v>
      </c>
      <c r="R14" s="6">
        <f>$J$3+[20]FormattedData!K20*$J$4+$M$4*$J$5+[20]FormattedData!K20^2*$J$6+$M$5*$J$7</f>
        <v>29.875584438871623</v>
      </c>
      <c r="S14" s="6">
        <f>$J$3+[20]FormattedData!L20*$J$4+$M$4*$J$5+[20]FormattedData!L20^2*$J$6+$M$5*$J$7</f>
        <v>30.070353338365074</v>
      </c>
      <c r="T14" s="6">
        <f>$J$3+[20]FormattedData!M20*$J$4+$M$4*$J$5+[20]FormattedData!M20^2*$J$6+$M$5*$J$7</f>
        <v>31.041661723556434</v>
      </c>
      <c r="U14" s="6">
        <f>$J$3+[20]FormattedData!N20*$J$4+$M$4*$J$5+[20]FormattedData!N20^2*$J$6+$M$5*$J$7</f>
        <v>31.622417864850558</v>
      </c>
      <c r="V14" s="6">
        <f>$J$3+[20]FormattedData!O20*$J$4+$M$4*$J$5+[20]FormattedData!O20^2*$J$6+$M$5*$J$7</f>
        <v>30.65364559193506</v>
      </c>
      <c r="W14" s="5">
        <f t="shared" si="0"/>
        <v>29.962009197441166</v>
      </c>
      <c r="X14" s="4">
        <f t="shared" si="1"/>
        <v>0.34215968206411773</v>
      </c>
      <c r="Y14" s="3">
        <f t="shared" si="2"/>
        <v>27.9185963655923</v>
      </c>
      <c r="Z14" s="2">
        <f t="shared" si="3"/>
        <v>28.996968695716625</v>
      </c>
      <c r="AA14" s="3">
        <f t="shared" si="4"/>
        <v>30.021671680626191</v>
      </c>
      <c r="AB14" s="2">
        <f t="shared" si="5"/>
        <v>30.896219077005316</v>
      </c>
      <c r="AC14" s="2">
        <f t="shared" si="6"/>
        <v>31.622417864850558</v>
      </c>
      <c r="AD14" s="2">
        <f t="shared" si="7"/>
        <v>-0.34906047446724831</v>
      </c>
      <c r="AE14" s="2">
        <f t="shared" si="8"/>
        <v>-1.0458226544378224</v>
      </c>
    </row>
    <row r="15" spans="1:35" x14ac:dyDescent="0.2">
      <c r="B15" s="1">
        <f>[20]FormattedData!A18</f>
        <v>106</v>
      </c>
      <c r="C15" s="1" t="str">
        <f>VLOOKUP($B15,[20]TrtCodes!$B$11:I61,2)</f>
        <v>NTH</v>
      </c>
      <c r="D15" s="1">
        <f>VLOOKUP($B15,[20]TrtCodes!$B$11:J61,3)</f>
        <v>9</v>
      </c>
      <c r="E15" s="1">
        <f>VLOOKUP($B15,[20]TrtCodes!$B$11:K61,4)</f>
        <v>2</v>
      </c>
      <c r="F15" s="1">
        <f>VLOOKUP($B15,[20]TrtCodes!$B$11:L61,5)</f>
        <v>2</v>
      </c>
      <c r="G15" s="1">
        <f>VLOOKUP($B15,[20]TrtCodes!$B$11:M61,6)</f>
        <v>2</v>
      </c>
      <c r="H15" s="1">
        <f>VLOOKUP($B15,[20]TrtCodes!$B$11:N61,7)</f>
        <v>2</v>
      </c>
      <c r="I15" s="1">
        <f>[20]FormattedData!B18</f>
        <v>1</v>
      </c>
      <c r="J15" s="4">
        <f>[20]FormattedData!C18</f>
        <v>13.102</v>
      </c>
      <c r="K15" s="6">
        <f>$J$3+[20]FormattedData!D18*$J$4+$M$4*$J$5+[20]FormattedData!D18^2*$J$6+$M$5*$J$7</f>
        <v>33.547281849302216</v>
      </c>
      <c r="L15" s="6">
        <f>$J$3+[20]FormattedData!E18*$J$4+$M$4*$J$5+[20]FormattedData!E18^2*$J$6+$M$5*$J$7</f>
        <v>32.201652338779162</v>
      </c>
      <c r="M15" s="6">
        <f>$J$3+[20]FormattedData!F18*$J$4+$M$4*$J$5+[20]FormattedData!F18^2*$J$6+$M$5*$J$7</f>
        <v>29.583114075596967</v>
      </c>
      <c r="N15" s="6">
        <f>$J$3+[20]FormattedData!G18*$J$4+$M$4*$J$5+[20]FormattedData!G18^2*$J$6+$M$5*$J$7</f>
        <v>30.070353338365074</v>
      </c>
      <c r="O15" s="6">
        <f>$J$3+[20]FormattedData!H18*$J$4+$M$4*$J$5+[20]FormattedData!H18^2*$J$6+$M$5*$J$7</f>
        <v>29.778136586317999</v>
      </c>
      <c r="P15" s="6">
        <f>$J$3+[20]FormattedData!I18*$J$4+$M$4*$J$5+[20]FormattedData!I18^2*$J$6+$M$5*$J$7</f>
        <v>29.680646465226452</v>
      </c>
      <c r="Q15" s="6">
        <f>$J$3+[20]FormattedData!J18*$J$4+$M$4*$J$5+[20]FormattedData!J18^2*$J$6+$M$5*$J$7</f>
        <v>31.235416178139527</v>
      </c>
      <c r="R15" s="6">
        <f>$J$3+[20]FormattedData!K18*$J$4+$M$4*$J$5+[20]FormattedData!K18^2*$J$6+$M$5*$J$7</f>
        <v>29.680646465226452</v>
      </c>
      <c r="S15" s="6">
        <f>$J$3+[20]FormattedData!L18*$J$4+$M$4*$J$5+[20]FormattedData!L18^2*$J$6+$M$5*$J$7</f>
        <v>29.972990022887309</v>
      </c>
      <c r="T15" s="6">
        <f>$J$3+[20]FormattedData!M18*$J$4+$M$4*$J$5+[20]FormattedData!M18^2*$J$6+$M$5*$J$7</f>
        <v>29.875584438871623</v>
      </c>
      <c r="U15" s="6">
        <f>$J$3+[20]FormattedData!N18*$J$4+$M$4*$J$5+[20]FormattedData!N18^2*$J$6+$M$5*$J$7</f>
        <v>30.264953163706785</v>
      </c>
      <c r="V15" s="6">
        <f>$J$3+[20]FormattedData!O18*$J$4+$M$4*$J$5+[20]FormattedData!O18^2*$J$6+$M$5*$J$7</f>
        <v>30.65364559193506</v>
      </c>
      <c r="W15" s="5">
        <f t="shared" si="0"/>
        <v>30.545368376196219</v>
      </c>
      <c r="X15" s="4">
        <f t="shared" si="1"/>
        <v>0.35176197610268056</v>
      </c>
      <c r="Y15" s="3">
        <f t="shared" si="2"/>
        <v>29.583114075596967</v>
      </c>
      <c r="Z15" s="2">
        <f t="shared" si="3"/>
        <v>29.753764056045114</v>
      </c>
      <c r="AA15" s="3">
        <f t="shared" si="4"/>
        <v>30.021671680626191</v>
      </c>
      <c r="AB15" s="2">
        <f t="shared" si="5"/>
        <v>30.799088238486178</v>
      </c>
      <c r="AC15" s="2">
        <f t="shared" si="6"/>
        <v>33.547281849302216</v>
      </c>
      <c r="AD15" s="2">
        <f t="shared" si="7"/>
        <v>1.7287437003794142</v>
      </c>
      <c r="AE15" s="2">
        <f t="shared" si="8"/>
        <v>2.516796661965933</v>
      </c>
    </row>
    <row r="16" spans="1:35" x14ac:dyDescent="0.2">
      <c r="B16" s="1">
        <f>[20]FormattedData!A16</f>
        <v>107</v>
      </c>
      <c r="C16" s="1" t="str">
        <f>VLOOKUP($B16,[20]TrtCodes!$B$11:I59,2)</f>
        <v>NTL</v>
      </c>
      <c r="D16" s="1">
        <f>VLOOKUP($B16,[20]TrtCodes!$B$11:J59,3)</f>
        <v>10</v>
      </c>
      <c r="E16" s="1">
        <f>VLOOKUP($B16,[20]TrtCodes!$B$11:K59,4)</f>
        <v>2</v>
      </c>
      <c r="F16" s="1">
        <f>VLOOKUP($B16,[20]TrtCodes!$B$11:L59,5)</f>
        <v>2</v>
      </c>
      <c r="G16" s="1">
        <f>VLOOKUP($B16,[20]TrtCodes!$B$11:M59,6)</f>
        <v>1</v>
      </c>
      <c r="H16" s="1">
        <f>VLOOKUP($B16,[20]TrtCodes!$B$11:N59,7)</f>
        <v>2</v>
      </c>
      <c r="I16" s="1">
        <f>[20]FormattedData!B16</f>
        <v>1</v>
      </c>
      <c r="J16" s="4">
        <f>[20]FormattedData!C16</f>
        <v>13.086</v>
      </c>
      <c r="K16" s="6">
        <f>$J$3+[20]FormattedData!D16*$J$4+$M$4*$J$5+[20]FormattedData!D16^2*$J$6+$M$5*$J$7</f>
        <v>35.455238418581416</v>
      </c>
      <c r="L16" s="6">
        <f>$J$3+[20]FormattedData!E16*$J$4+$M$4*$J$5+[20]FormattedData!E16^2*$J$6+$M$5*$J$7</f>
        <v>30.167674385304892</v>
      </c>
      <c r="M16" s="6">
        <f>$J$3+[20]FormattedData!F16*$J$4+$M$4*$J$5+[20]FormattedData!F16^2*$J$6+$M$5*$J$7</f>
        <v>36.308302830557039</v>
      </c>
      <c r="N16" s="6">
        <f>$J$3+[20]FormattedData!G16*$J$4+$M$4*$J$5+[20]FormattedData!G16^2*$J$6+$M$5*$J$7</f>
        <v>32.586963283972949</v>
      </c>
      <c r="O16" s="6">
        <f>$J$3+[20]FormattedData!H16*$J$4+$M$4*$J$5+[20]FormattedData!H16^2*$J$6+$M$5*$J$7</f>
        <v>28.997032098523519</v>
      </c>
      <c r="P16" s="6">
        <f>$J$3+[20]FormattedData!I16*$J$4+$M$4*$J$5+[20]FormattedData!I16^2*$J$6+$M$5*$J$7</f>
        <v>33.16366164562568</v>
      </c>
      <c r="Q16" s="6">
        <f>$J$3+[20]FormattedData!J16*$J$4+$M$4*$J$5+[20]FormattedData!J16^2*$J$6+$M$5*$J$7</f>
        <v>30.944721093457986</v>
      </c>
      <c r="R16" s="6">
        <f>$J$3+[20]FormattedData!K16*$J$4+$M$4*$J$5+[20]FormattedData!K16^2*$J$6+$M$5*$J$7</f>
        <v>32.490698950481395</v>
      </c>
      <c r="S16" s="6">
        <f>$J$3+[20]FormattedData!L16*$J$4+$M$4*$J$5+[20]FormattedData!L16^2*$J$6+$M$5*$J$7</f>
        <v>29.583114075596967</v>
      </c>
      <c r="T16" s="6">
        <f>$J$3+[20]FormattedData!M16*$J$4+$M$4*$J$5+[20]FormattedData!M16^2*$J$6+$M$5*$J$7</f>
        <v>32.298043477884505</v>
      </c>
      <c r="U16" s="6">
        <f>$J$3+[20]FormattedData!N16*$J$4+$M$4*$J$5+[20]FormattedData!N16^2*$J$6+$M$5*$J$7</f>
        <v>31.912225310235549</v>
      </c>
      <c r="V16" s="6">
        <f>$J$3+[20]FormattedData!O16*$J$4+$M$4*$J$5+[20]FormattedData!O16^2*$J$6+$M$5*$J$7</f>
        <v>29.094818099380589</v>
      </c>
      <c r="W16" s="5">
        <f t="shared" si="0"/>
        <v>31.916874472466869</v>
      </c>
      <c r="X16" s="4">
        <f t="shared" si="1"/>
        <v>0.67545410121314187</v>
      </c>
      <c r="Y16" s="3">
        <f t="shared" si="2"/>
        <v>28.997032098523519</v>
      </c>
      <c r="Z16" s="2">
        <f t="shared" si="3"/>
        <v>30.021534307877911</v>
      </c>
      <c r="AA16" s="3">
        <f t="shared" si="4"/>
        <v>32.10513439406003</v>
      </c>
      <c r="AB16" s="2">
        <f t="shared" si="5"/>
        <v>32.731137874386135</v>
      </c>
      <c r="AC16" s="2">
        <f t="shared" si="6"/>
        <v>36.308302830557039</v>
      </c>
      <c r="AD16" s="2">
        <f t="shared" si="7"/>
        <v>0.5545658248904296</v>
      </c>
      <c r="AE16" s="2">
        <f t="shared" si="8"/>
        <v>-0.31435952785097143</v>
      </c>
    </row>
    <row r="17" spans="2:31" x14ac:dyDescent="0.2">
      <c r="B17" s="1">
        <f>[20]FormattedData!A14</f>
        <v>108</v>
      </c>
      <c r="C17" s="1" t="str">
        <f>VLOOKUP($B17,[20]TrtCodes!$B$11:I57,2)</f>
        <v>FTH</v>
      </c>
      <c r="D17" s="1">
        <f>VLOOKUP($B17,[20]TrtCodes!$B$11:J57,3)</f>
        <v>3</v>
      </c>
      <c r="E17" s="1">
        <f>VLOOKUP($B17,[20]TrtCodes!$B$11:K57,4)</f>
        <v>1</v>
      </c>
      <c r="F17" s="1">
        <f>VLOOKUP($B17,[20]TrtCodes!$B$11:L57,5)</f>
        <v>2</v>
      </c>
      <c r="G17" s="1">
        <f>VLOOKUP($B17,[20]TrtCodes!$B$11:M57,6)</f>
        <v>2</v>
      </c>
      <c r="H17" s="1">
        <f>VLOOKUP($B17,[20]TrtCodes!$B$11:N57,7)</f>
        <v>2</v>
      </c>
      <c r="I17" s="1">
        <f>[20]FormattedData!B14</f>
        <v>1</v>
      </c>
      <c r="J17" s="4">
        <f>[20]FormattedData!C14</f>
        <v>13.069000000000001</v>
      </c>
      <c r="K17" s="6">
        <f>$J$3+[20]FormattedData!D14*$J$4+$M$4*$J$5+[20]FormattedData!D14^2*$J$6+$M$5*$J$7</f>
        <v>33.25963009935171</v>
      </c>
      <c r="L17" s="6">
        <f>$J$3+[20]FormattedData!E14*$J$4+$M$4*$J$5+[20]FormattedData!E14^2*$J$6+$M$5*$J$7</f>
        <v>29.485539417429553</v>
      </c>
      <c r="M17" s="6">
        <f>$J$3+[20]FormattedData!F14*$J$4+$M$4*$J$5+[20]FormattedData!F14^2*$J$6+$M$5*$J$7</f>
        <v>28.997032098523519</v>
      </c>
      <c r="N17" s="6">
        <f>$J$3+[20]FormattedData!G14*$J$4+$M$4*$J$5+[20]FormattedData!G14^2*$J$6+$M$5*$J$7</f>
        <v>30.459383914896783</v>
      </c>
      <c r="O17" s="6">
        <f>$J$3+[20]FormattedData!H14*$J$4+$M$4*$J$5+[20]FormattedData!H14^2*$J$6+$M$5*$J$7</f>
        <v>29.290263295480933</v>
      </c>
      <c r="P17" s="6">
        <f>$J$3+[20]FormattedData!I14*$J$4+$M$4*$J$5+[20]FormattedData!I14^2*$J$6+$M$5*$J$7</f>
        <v>34.503373560838369</v>
      </c>
      <c r="Q17" s="6">
        <f>$J$3+[20]FormattedData!J14*$J$4+$M$4*$J$5+[20]FormattedData!J14^2*$J$6+$M$5*$J$7</f>
        <v>29.094818099380589</v>
      </c>
      <c r="R17" s="6">
        <f>$J$3+[20]FormattedData!K14*$J$4+$M$4*$J$5+[20]FormattedData!K14^2*$J$6+$M$5*$J$7</f>
        <v>33.834553182411341</v>
      </c>
      <c r="S17" s="6">
        <f>$J$3+[20]FormattedData!L14*$J$4+$M$4*$J$5+[20]FormattedData!L14^2*$J$6+$M$5*$J$7</f>
        <v>28.507468066169203</v>
      </c>
      <c r="T17" s="6">
        <f>$J$3+[20]FormattedData!M14*$J$4+$M$4*$J$5+[20]FormattedData!M14^2*$J$6+$M$5*$J$7</f>
        <v>30.264953163706785</v>
      </c>
      <c r="U17" s="6">
        <f>$J$3+[20]FormattedData!N14*$J$4+$M$4*$J$5+[20]FormattedData!N14^2*$J$6+$M$5*$J$7</f>
        <v>28.311346573461961</v>
      </c>
      <c r="V17" s="6">
        <f>$J$3+[20]FormattedData!O14*$J$4+$M$4*$J$5+[20]FormattedData!O14^2*$J$6+$M$5*$J$7</f>
        <v>29.192561831699727</v>
      </c>
      <c r="W17" s="5">
        <f t="shared" si="0"/>
        <v>30.433410275279204</v>
      </c>
      <c r="X17" s="4">
        <f t="shared" si="1"/>
        <v>0.6274123940467855</v>
      </c>
      <c r="Y17" s="3">
        <f t="shared" si="2"/>
        <v>28.311346573461961</v>
      </c>
      <c r="Z17" s="2">
        <f t="shared" si="3"/>
        <v>29.070371599166322</v>
      </c>
      <c r="AA17" s="3">
        <f t="shared" si="4"/>
        <v>29.387901356455245</v>
      </c>
      <c r="AB17" s="2">
        <f t="shared" si="5"/>
        <v>31.159445461010513</v>
      </c>
      <c r="AC17" s="2">
        <f t="shared" si="6"/>
        <v>34.503373560838369</v>
      </c>
      <c r="AD17" s="2">
        <f t="shared" si="7"/>
        <v>1.0945832971573859</v>
      </c>
      <c r="AE17" s="2">
        <f t="shared" si="8"/>
        <v>-0.37257011057119582</v>
      </c>
    </row>
    <row r="18" spans="2:31" x14ac:dyDescent="0.2">
      <c r="B18" s="1">
        <f>[20]FormattedData!A30</f>
        <v>201</v>
      </c>
      <c r="C18" s="1" t="str">
        <f>VLOOKUP($B18,[20]TrtCodes!$B$11:I73,2)</f>
        <v>NDL</v>
      </c>
      <c r="D18" s="1">
        <f>VLOOKUP($B18,[20]TrtCodes!$B$11:J73,3)</f>
        <v>12</v>
      </c>
      <c r="E18" s="1">
        <f>VLOOKUP($B18,[20]TrtCodes!$B$11:K73,4)</f>
        <v>2</v>
      </c>
      <c r="F18" s="1">
        <f>VLOOKUP($B18,[20]TrtCodes!$B$11:L73,5)</f>
        <v>3</v>
      </c>
      <c r="G18" s="1">
        <f>VLOOKUP($B18,[20]TrtCodes!$B$11:M73,6)</f>
        <v>1</v>
      </c>
      <c r="H18" s="1">
        <f>VLOOKUP($B18,[20]TrtCodes!$B$11:N73,7)</f>
        <v>1</v>
      </c>
      <c r="I18" s="1">
        <f>[20]FormattedData!B30</f>
        <v>1</v>
      </c>
      <c r="J18" s="4">
        <f>[20]FormattedData!C30</f>
        <v>13.211</v>
      </c>
      <c r="K18" s="6">
        <f>$J$3+[20]FormattedData!D30*$J$4+$M$4*$J$5+[20]FormattedData!D30^2*$J$6+$M$5*$J$7</f>
        <v>28.899203829128517</v>
      </c>
      <c r="L18" s="6">
        <f>$J$3+[20]FormattedData!E30*$J$4+$M$4*$J$5+[20]FormattedData!E30^2*$J$6+$M$5*$J$7</f>
        <v>28.311346573461961</v>
      </c>
      <c r="M18" s="6">
        <f>$J$3+[20]FormattedData!F30*$J$4+$M$4*$J$5+[20]FormattedData!F30^2*$J$6+$M$5*$J$7</f>
        <v>27.820303142280057</v>
      </c>
      <c r="N18" s="6">
        <f>$J$3+[20]FormattedData!G30*$J$4+$M$4*$J$5+[20]FormattedData!G30^2*$J$6+$M$5*$J$7</f>
        <v>29.485539417429553</v>
      </c>
      <c r="O18" s="6">
        <f>$J$3+[20]FormattedData!H30*$J$4+$M$4*$J$5+[20]FormattedData!H30^2*$J$6+$M$5*$J$7</f>
        <v>27.426707563651775</v>
      </c>
      <c r="P18" s="6">
        <f>$J$3+[20]FormattedData!I30*$J$4+$M$4*$J$5+[20]FormattedData!I30^2*$J$6+$M$5*$J$7</f>
        <v>28.409428454084548</v>
      </c>
      <c r="Q18" s="6">
        <f>$J$3+[20]FormattedData!J30*$J$4+$M$4*$J$5+[20]FormattedData!J30^2*$J$6+$M$5*$J$7</f>
        <v>27.623589890041778</v>
      </c>
      <c r="R18" s="6">
        <f>$J$3+[20]FormattedData!K30*$J$4+$M$4*$J$5+[20]FormattedData!K30^2*$J$6+$M$5*$J$7</f>
        <v>28.016847320366612</v>
      </c>
      <c r="S18" s="6">
        <f>$J$3+[20]FormattedData!L30*$J$4+$M$4*$J$5+[20]FormattedData!L30^2*$J$6+$M$5*$J$7</f>
        <v>28.409428454084548</v>
      </c>
      <c r="T18" s="6">
        <f>$J$3+[20]FormattedData!M30*$J$4+$M$4*$J$5+[20]FormattedData!M30^2*$J$6+$M$5*$J$7</f>
        <v>27.525169861115739</v>
      </c>
      <c r="U18" s="6">
        <f>$J$3+[20]FormattedData!N30*$J$4+$M$4*$J$5+[20]FormattedData!N30^2*$J$6+$M$5*$J$7</f>
        <v>28.801333291195586</v>
      </c>
      <c r="V18" s="6">
        <f>$J$3+[20]FormattedData!O30*$J$4+$M$4*$J$5+[20]FormattedData!O30^2*$J$6+$M$5*$J$7</f>
        <v>28.115056006602995</v>
      </c>
      <c r="W18" s="5">
        <f t="shared" si="0"/>
        <v>28.236996150286974</v>
      </c>
      <c r="X18" s="4">
        <f t="shared" si="1"/>
        <v>0.17746849829805986</v>
      </c>
      <c r="Y18" s="3">
        <f t="shared" si="2"/>
        <v>27.426707563651775</v>
      </c>
      <c r="Z18" s="2">
        <f t="shared" si="3"/>
        <v>27.771124829220486</v>
      </c>
      <c r="AA18" s="3">
        <f t="shared" si="4"/>
        <v>28.21320129003248</v>
      </c>
      <c r="AB18" s="2">
        <f t="shared" si="5"/>
        <v>28.507404663362308</v>
      </c>
      <c r="AC18" s="2">
        <f t="shared" si="6"/>
        <v>29.485539417429553</v>
      </c>
      <c r="AD18" s="2">
        <f t="shared" si="7"/>
        <v>0.5722304240157704</v>
      </c>
      <c r="AE18" s="2">
        <f t="shared" si="8"/>
        <v>-7.5509079064824736E-2</v>
      </c>
    </row>
    <row r="19" spans="2:31" x14ac:dyDescent="0.2">
      <c r="B19" s="1">
        <f>[20]FormattedData!A32</f>
        <v>202</v>
      </c>
      <c r="C19" s="1" t="str">
        <f>VLOOKUP($B19,[20]TrtCodes!$B$11:I75,2)</f>
        <v>NTH</v>
      </c>
      <c r="D19" s="1">
        <f>VLOOKUP($B19,[20]TrtCodes!$B$11:J75,3)</f>
        <v>9</v>
      </c>
      <c r="E19" s="1">
        <f>VLOOKUP($B19,[20]TrtCodes!$B$11:K75,4)</f>
        <v>2</v>
      </c>
      <c r="F19" s="1">
        <f>VLOOKUP($B19,[20]TrtCodes!$B$11:L75,5)</f>
        <v>2</v>
      </c>
      <c r="G19" s="1">
        <f>VLOOKUP($B19,[20]TrtCodes!$B$11:M75,6)</f>
        <v>2</v>
      </c>
      <c r="H19" s="1">
        <f>VLOOKUP($B19,[20]TrtCodes!$B$11:N75,7)</f>
        <v>1</v>
      </c>
      <c r="I19" s="1">
        <f>[20]FormattedData!B32</f>
        <v>1</v>
      </c>
      <c r="J19" s="4">
        <f>[20]FormattedData!C32</f>
        <v>13.226000000000001</v>
      </c>
      <c r="K19" s="6">
        <f>$J$3+[20]FormattedData!D32*$J$4+$M$4*$J$5+[20]FormattedData!D32^2*$J$6+$M$5*$J$7</f>
        <v>35.360242141227793</v>
      </c>
      <c r="L19" s="6">
        <f>$J$3+[20]FormattedData!E32*$J$4+$M$4*$J$5+[20]FormattedData!E32^2*$J$6+$M$5*$J$7</f>
        <v>32.683185348926564</v>
      </c>
      <c r="M19" s="6">
        <f>$J$3+[20]FormattedData!F32*$J$4+$M$4*$J$5+[20]FormattedData!F32^2*$J$6+$M$5*$J$7</f>
        <v>30.556535887684891</v>
      </c>
      <c r="N19" s="6">
        <f>$J$3+[20]FormattedData!G32*$J$4+$M$4*$J$5+[20]FormattedData!G32^2*$J$6+$M$5*$J$7</f>
        <v>32.105218931135894</v>
      </c>
      <c r="O19" s="6">
        <f>$J$3+[20]FormattedData!H32*$J$4+$M$4*$J$5+[20]FormattedData!H32^2*$J$6+$M$5*$J$7</f>
        <v>33.16366164562568</v>
      </c>
      <c r="P19" s="6">
        <f>$J$3+[20]FormattedData!I32*$J$4+$M$4*$J$5+[20]FormattedData!I32^2*$J$6+$M$5*$J$7</f>
        <v>30.556535887684891</v>
      </c>
      <c r="Q19" s="6">
        <f>$J$3+[20]FormattedData!J32*$J$4+$M$4*$J$5+[20]FormattedData!J32^2*$J$6+$M$5*$J$7</f>
        <v>35.739973639414664</v>
      </c>
      <c r="R19" s="6">
        <f>$J$3+[20]FormattedData!K32*$J$4+$M$4*$J$5+[20]FormattedData!K32^2*$J$6+$M$5*$J$7</f>
        <v>31.912225310235549</v>
      </c>
      <c r="S19" s="6">
        <f>$J$3+[20]FormattedData!L32*$J$4+$M$4*$J$5+[20]FormattedData!L32^2*$J$6+$M$5*$J$7</f>
        <v>33.451440201189975</v>
      </c>
      <c r="T19" s="6">
        <f>$J$3+[20]FormattedData!M32*$J$4+$M$4*$J$5+[20]FormattedData!M32^2*$J$6+$M$5*$J$7</f>
        <v>29.875584438871623</v>
      </c>
      <c r="U19" s="6">
        <f>$J$3+[20]FormattedData!N32*$J$4+$M$4*$J$5+[20]FormattedData!N32^2*$J$6+$M$5*$J$7</f>
        <v>32.683185348926564</v>
      </c>
      <c r="V19" s="6">
        <f>$J$3+[20]FormattedData!O32*$J$4+$M$4*$J$5+[20]FormattedData!O32^2*$J$6+$M$5*$J$7</f>
        <v>29.290263295480933</v>
      </c>
      <c r="W19" s="5">
        <f t="shared" si="0"/>
        <v>32.281504339700419</v>
      </c>
      <c r="X19" s="4">
        <f t="shared" si="1"/>
        <v>0.58233940735910283</v>
      </c>
      <c r="Y19" s="3">
        <f t="shared" si="2"/>
        <v>29.290263295480933</v>
      </c>
      <c r="Z19" s="2">
        <f t="shared" si="3"/>
        <v>30.556535887684891</v>
      </c>
      <c r="AA19" s="3">
        <f t="shared" si="4"/>
        <v>32.394202140031226</v>
      </c>
      <c r="AB19" s="2">
        <f t="shared" si="5"/>
        <v>33.235606284516756</v>
      </c>
      <c r="AC19" s="2">
        <f t="shared" si="6"/>
        <v>35.739973639414664</v>
      </c>
      <c r="AD19" s="2">
        <f t="shared" si="7"/>
        <v>0.2917509900454226</v>
      </c>
      <c r="AE19" s="2">
        <f t="shared" si="8"/>
        <v>-0.54376556656791042</v>
      </c>
    </row>
    <row r="20" spans="2:31" x14ac:dyDescent="0.2">
      <c r="B20" s="1">
        <f>[20]FormattedData!A34</f>
        <v>203</v>
      </c>
      <c r="C20" s="1" t="str">
        <f>VLOOKUP($B20,[20]TrtCodes!$B$11:I77,2)</f>
        <v>FTH</v>
      </c>
      <c r="D20" s="1">
        <f>VLOOKUP($B20,[20]TrtCodes!$B$11:J77,3)</f>
        <v>3</v>
      </c>
      <c r="E20" s="1">
        <f>VLOOKUP($B20,[20]TrtCodes!$B$11:K77,4)</f>
        <v>1</v>
      </c>
      <c r="F20" s="1">
        <f>VLOOKUP($B20,[20]TrtCodes!$B$11:L77,5)</f>
        <v>2</v>
      </c>
      <c r="G20" s="1">
        <f>VLOOKUP($B20,[20]TrtCodes!$B$11:M77,6)</f>
        <v>2</v>
      </c>
      <c r="H20" s="1">
        <f>VLOOKUP($B20,[20]TrtCodes!$B$11:N77,7)</f>
        <v>1</v>
      </c>
      <c r="I20" s="1">
        <f>[20]FormattedData!B34</f>
        <v>1</v>
      </c>
      <c r="J20" s="4">
        <f>[20]FormattedData!C34</f>
        <v>13.242000000000001</v>
      </c>
      <c r="K20" s="6">
        <f>$J$3+[20]FormattedData!D34*$J$4+$M$4*$J$5+[20]FormattedData!D34^2*$J$6+$M$5*$J$7</f>
        <v>34.407954598105441</v>
      </c>
      <c r="L20" s="6">
        <f>$J$3+[20]FormattedData!E34*$J$4+$M$4*$J$5+[20]FormattedData!E34^2*$J$6+$M$5*$J$7</f>
        <v>33.067650923361718</v>
      </c>
      <c r="M20" s="6">
        <f>$J$3+[20]FormattedData!F34*$J$4+$M$4*$J$5+[20]FormattedData!F34^2*$J$6+$M$5*$J$7</f>
        <v>30.750713027647297</v>
      </c>
      <c r="N20" s="6">
        <f>$J$3+[20]FormattedData!G34*$J$4+$M$4*$J$5+[20]FormattedData!G34^2*$J$6+$M$5*$J$7</f>
        <v>32.683185348926564</v>
      </c>
      <c r="O20" s="6">
        <f>$J$3+[20]FormattedData!H34*$J$4+$M$4*$J$5+[20]FormattedData!H34^2*$J$6+$M$5*$J$7</f>
        <v>33.451440201189975</v>
      </c>
      <c r="P20" s="6">
        <f>$J$3+[20]FormattedData!I34*$J$4+$M$4*$J$5+[20]FormattedData!I34^2*$J$6+$M$5*$J$7</f>
        <v>33.067650923361718</v>
      </c>
      <c r="Q20" s="6">
        <f>$J$3+[20]FormattedData!J34*$J$4+$M$4*$J$5+[20]FormattedData!J34^2*$J$6+$M$5*$J$7</f>
        <v>29.972990022887309</v>
      </c>
      <c r="R20" s="6">
        <f>$J$3+[20]FormattedData!K34*$J$4+$M$4*$J$5+[20]FormattedData!K34^2*$J$6+$M$5*$J$7</f>
        <v>37.534462580264346</v>
      </c>
      <c r="S20" s="6">
        <f>$J$3+[20]FormattedData!L34*$J$4+$M$4*$J$5+[20]FormattedData!L34^2*$J$6+$M$5*$J$7</f>
        <v>30.847738194821609</v>
      </c>
      <c r="T20" s="6">
        <f>$J$3+[20]FormattedData!M34*$J$4+$M$4*$J$5+[20]FormattedData!M34^2*$J$6+$M$5*$J$7</f>
        <v>32.586963283972949</v>
      </c>
      <c r="U20" s="6">
        <f>$J$3+[20]FormattedData!N34*$J$4+$M$4*$J$5+[20]FormattedData!N34^2*$J$6+$M$5*$J$7</f>
        <v>29.875584438871623</v>
      </c>
      <c r="V20" s="6">
        <f>$J$3+[20]FormattedData!O34*$J$4+$M$4*$J$5+[20]FormattedData!O34^2*$J$6+$M$5*$J$7</f>
        <v>30.65364559193506</v>
      </c>
      <c r="W20" s="5">
        <f t="shared" si="0"/>
        <v>32.408331594612129</v>
      </c>
      <c r="X20" s="4">
        <f t="shared" si="1"/>
        <v>0.63334379093080884</v>
      </c>
      <c r="Y20" s="3">
        <f t="shared" si="2"/>
        <v>29.875584438871623</v>
      </c>
      <c r="Z20" s="2">
        <f t="shared" si="3"/>
        <v>30.726446168719239</v>
      </c>
      <c r="AA20" s="3">
        <f t="shared" si="4"/>
        <v>32.63507431644976</v>
      </c>
      <c r="AB20" s="2">
        <f t="shared" si="5"/>
        <v>33.163598242818779</v>
      </c>
      <c r="AC20" s="2">
        <f t="shared" si="6"/>
        <v>37.534462580264346</v>
      </c>
      <c r="AD20" s="2">
        <f t="shared" si="7"/>
        <v>1.0328072750931641</v>
      </c>
      <c r="AE20" s="2">
        <f t="shared" si="8"/>
        <v>1.4573021748242763</v>
      </c>
    </row>
    <row r="21" spans="2:31" x14ac:dyDescent="0.2">
      <c r="B21" s="1">
        <f>[20]FormattedData!A36</f>
        <v>204</v>
      </c>
      <c r="C21" s="1" t="str">
        <f>VLOOKUP($B21,[20]TrtCodes!$B$11:I79,2)</f>
        <v>NDH</v>
      </c>
      <c r="D21" s="1">
        <f>VLOOKUP($B21,[20]TrtCodes!$B$11:J79,3)</f>
        <v>11</v>
      </c>
      <c r="E21" s="1">
        <f>VLOOKUP($B21,[20]TrtCodes!$B$11:K79,4)</f>
        <v>2</v>
      </c>
      <c r="F21" s="1">
        <f>VLOOKUP($B21,[20]TrtCodes!$B$11:L79,5)</f>
        <v>3</v>
      </c>
      <c r="G21" s="1">
        <f>VLOOKUP($B21,[20]TrtCodes!$B$11:M79,6)</f>
        <v>2</v>
      </c>
      <c r="H21" s="1">
        <f>VLOOKUP($B21,[20]TrtCodes!$B$11:N79,7)</f>
        <v>1</v>
      </c>
      <c r="I21" s="1">
        <f>[20]FormattedData!B36</f>
        <v>1</v>
      </c>
      <c r="J21" s="4">
        <f>[20]FormattedData!C36</f>
        <v>13.259</v>
      </c>
      <c r="K21" s="6">
        <f>$J$3+[20]FormattedData!D36*$J$4+$M$4*$J$5+[20]FormattedData!D36^2*$J$6+$M$5*$J$7</f>
        <v>31.719062615183489</v>
      </c>
      <c r="L21" s="6">
        <f>$J$3+[20]FormattedData!E36*$J$4+$M$4*$J$5+[20]FormattedData!E36^2*$J$6+$M$5*$J$7</f>
        <v>32.008743254954688</v>
      </c>
      <c r="M21" s="6">
        <f>$J$3+[20]FormattedData!F36*$J$4+$M$4*$J$5+[20]FormattedData!F36^2*$J$6+$M$5*$J$7</f>
        <v>31.525730845979702</v>
      </c>
      <c r="N21" s="6">
        <f>$J$3+[20]FormattedData!G36*$J$4+$M$4*$J$5+[20]FormattedData!G36^2*$J$6+$M$5*$J$7</f>
        <v>31.622417864850558</v>
      </c>
      <c r="O21" s="6">
        <f>$J$3+[20]FormattedData!H36*$J$4+$M$4*$J$5+[20]FormattedData!H36^2*$J$6+$M$5*$J$7</f>
        <v>31.332230002624186</v>
      </c>
      <c r="P21" s="6">
        <f>$J$3+[20]FormattedData!I36*$J$4+$M$4*$J$5+[20]FormattedData!I36^2*$J$6+$M$5*$J$7</f>
        <v>31.622417864850558</v>
      </c>
      <c r="Q21" s="6">
        <f>$J$3+[20]FormattedData!J36*$J$4+$M$4*$J$5+[20]FormattedData!J36^2*$J$6+$M$5*$J$7</f>
        <v>31.815665096978485</v>
      </c>
      <c r="R21" s="6">
        <f>$J$3+[20]FormattedData!K36*$J$4+$M$4*$J$5+[20]FormattedData!K36^2*$J$6+$M$5*$J$7</f>
        <v>32.298043477884505</v>
      </c>
      <c r="S21" s="6">
        <f>$J$3+[20]FormattedData!L36*$J$4+$M$4*$J$5+[20]FormattedData!L36^2*$J$6+$M$5*$J$7</f>
        <v>31.138560085116946</v>
      </c>
      <c r="T21" s="6">
        <f>$J$3+[20]FormattedData!M36*$J$4+$M$4*$J$5+[20]FormattedData!M36^2*$J$6+$M$5*$J$7</f>
        <v>31.622417864850558</v>
      </c>
      <c r="U21" s="6">
        <f>$J$3+[20]FormattedData!N36*$J$4+$M$4*$J$5+[20]FormattedData!N36^2*$J$6+$M$5*$J$7</f>
        <v>31.622417864850558</v>
      </c>
      <c r="V21" s="6">
        <f>$J$3+[20]FormattedData!O36*$J$4+$M$4*$J$5+[20]FormattedData!O36^2*$J$6+$M$5*$J$7</f>
        <v>32.394392348451909</v>
      </c>
      <c r="W21" s="5">
        <f t="shared" si="0"/>
        <v>31.726841598881339</v>
      </c>
      <c r="X21" s="4">
        <f t="shared" si="1"/>
        <v>0.1046339402289177</v>
      </c>
      <c r="Y21" s="3">
        <f t="shared" si="2"/>
        <v>31.138560085116946</v>
      </c>
      <c r="Z21" s="2">
        <f t="shared" si="3"/>
        <v>31.598246110132845</v>
      </c>
      <c r="AA21" s="3">
        <f t="shared" si="4"/>
        <v>31.622417864850558</v>
      </c>
      <c r="AB21" s="2">
        <f t="shared" si="5"/>
        <v>31.863934636472536</v>
      </c>
      <c r="AC21" s="2">
        <f t="shared" si="6"/>
        <v>32.394392348451909</v>
      </c>
      <c r="AD21" s="2">
        <f t="shared" si="7"/>
        <v>0.52511058904040253</v>
      </c>
      <c r="AE21" s="2">
        <f t="shared" si="8"/>
        <v>0.14366940424750396</v>
      </c>
    </row>
    <row r="22" spans="2:31" x14ac:dyDescent="0.2">
      <c r="B22" s="1">
        <f>[20]FormattedData!A38</f>
        <v>205</v>
      </c>
      <c r="C22" s="1" t="str">
        <f>VLOOKUP($B22,[20]TrtCodes!$B$11:I81,2)</f>
        <v>FSH</v>
      </c>
      <c r="D22" s="1">
        <f>VLOOKUP($B22,[20]TrtCodes!$B$11:J81,3)</f>
        <v>1</v>
      </c>
      <c r="E22" s="1">
        <f>VLOOKUP($B22,[20]TrtCodes!$B$11:K81,4)</f>
        <v>1</v>
      </c>
      <c r="F22" s="1">
        <f>VLOOKUP($B22,[20]TrtCodes!$B$11:L81,5)</f>
        <v>1</v>
      </c>
      <c r="G22" s="1">
        <f>VLOOKUP($B22,[20]TrtCodes!$B$11:M81,6)</f>
        <v>2</v>
      </c>
      <c r="H22" s="1">
        <f>VLOOKUP($B22,[20]TrtCodes!$B$11:N81,7)</f>
        <v>2</v>
      </c>
      <c r="I22" s="1">
        <f>[20]FormattedData!B38</f>
        <v>1</v>
      </c>
      <c r="J22" s="4">
        <f>[20]FormattedData!C38</f>
        <v>13.276</v>
      </c>
      <c r="K22" s="6">
        <f>$J$3+[20]FormattedData!D38*$J$4+$M$4*$J$5+[20]FormattedData!D38^2*$J$6+$M$5*$J$7</f>
        <v>36.119028840994631</v>
      </c>
      <c r="L22" s="6">
        <f>$J$3+[20]FormattedData!E38*$J$4+$M$4*$J$5+[20]FormattedData!E38^2*$J$6+$M$5*$J$7</f>
        <v>31.912225310235549</v>
      </c>
      <c r="M22" s="6">
        <f>$J$3+[20]FormattedData!F38*$J$4+$M$4*$J$5+[20]FormattedData!F38^2*$J$6+$M$5*$J$7</f>
        <v>31.041661723556434</v>
      </c>
      <c r="N22" s="6">
        <f>$J$3+[20]FormattedData!G38*$J$4+$M$4*$J$5+[20]FormattedData!G38^2*$J$6+$M$5*$J$7</f>
        <v>32.105218931135894</v>
      </c>
      <c r="O22" s="6">
        <f>$J$3+[20]FormattedData!H38*$J$4+$M$4*$J$5+[20]FormattedData!H38^2*$J$6+$M$5*$J$7</f>
        <v>32.586963283972949</v>
      </c>
      <c r="P22" s="6">
        <f>$J$3+[20]FormattedData!I38*$J$4+$M$4*$J$5+[20]FormattedData!I38^2*$J$6+$M$5*$J$7</f>
        <v>31.912225310235549</v>
      </c>
      <c r="Q22" s="6">
        <f>$J$3+[20]FormattedData!J38*$J$4+$M$4*$J$5+[20]FormattedData!J38^2*$J$6+$M$5*$J$7</f>
        <v>32.875502673219998</v>
      </c>
      <c r="R22" s="6">
        <f>$J$3+[20]FormattedData!K38*$J$4+$M$4*$J$5+[20]FormattedData!K38^2*$J$6+$M$5*$J$7</f>
        <v>34.312493366834588</v>
      </c>
      <c r="S22" s="6">
        <f>$J$3+[20]FormattedData!L38*$J$4+$M$4*$J$5+[20]FormattedData!L38^2*$J$6+$M$5*$J$7</f>
        <v>33.25963009935171</v>
      </c>
      <c r="T22" s="6">
        <f>$J$3+[20]FormattedData!M38*$J$4+$M$4*$J$5+[20]FormattedData!M38^2*$J$6+$M$5*$J$7</f>
        <v>33.25963009935171</v>
      </c>
      <c r="U22" s="6">
        <f>$J$3+[20]FormattedData!N38*$J$4+$M$4*$J$5+[20]FormattedData!N38^2*$J$6+$M$5*$J$7</f>
        <v>32.586963283972949</v>
      </c>
      <c r="V22" s="6">
        <f>$J$3+[20]FormattedData!O38*$J$4+$M$4*$J$5+[20]FormattedData!O38^2*$J$6+$M$5*$J$7</f>
        <v>33.643081228876518</v>
      </c>
      <c r="W22" s="5">
        <f t="shared" si="0"/>
        <v>32.96788534597821</v>
      </c>
      <c r="X22" s="4">
        <f t="shared" si="1"/>
        <v>0.38283136112800481</v>
      </c>
      <c r="Y22" s="3">
        <f t="shared" si="2"/>
        <v>31.041661723556434</v>
      </c>
      <c r="Z22" s="2">
        <f t="shared" si="3"/>
        <v>32.056970525910806</v>
      </c>
      <c r="AA22" s="3">
        <f t="shared" si="4"/>
        <v>32.731232978596474</v>
      </c>
      <c r="AB22" s="2">
        <f t="shared" si="5"/>
        <v>33.355492881732914</v>
      </c>
      <c r="AC22" s="2">
        <f t="shared" si="6"/>
        <v>36.119028840994631</v>
      </c>
      <c r="AD22" s="2">
        <f t="shared" si="7"/>
        <v>1.1143761683923332</v>
      </c>
      <c r="AE22" s="2">
        <f t="shared" si="8"/>
        <v>2.0258261514398388</v>
      </c>
    </row>
    <row r="23" spans="2:31" x14ac:dyDescent="0.2">
      <c r="B23" s="1">
        <f>[20]FormattedData!A40</f>
        <v>206</v>
      </c>
      <c r="C23" s="1" t="str">
        <f>VLOOKUP($B23,[20]TrtCodes!$B$11:I83,2)</f>
        <v>NSL</v>
      </c>
      <c r="D23" s="1">
        <f>VLOOKUP($B23,[20]TrtCodes!$B$11:J83,3)</f>
        <v>8</v>
      </c>
      <c r="E23" s="1">
        <f>VLOOKUP($B23,[20]TrtCodes!$B$11:K83,4)</f>
        <v>2</v>
      </c>
      <c r="F23" s="1">
        <f>VLOOKUP($B23,[20]TrtCodes!$B$11:L83,5)</f>
        <v>1</v>
      </c>
      <c r="G23" s="1">
        <f>VLOOKUP($B23,[20]TrtCodes!$B$11:M83,6)</f>
        <v>1</v>
      </c>
      <c r="H23" s="1">
        <f>VLOOKUP($B23,[20]TrtCodes!$B$11:N83,7)</f>
        <v>2</v>
      </c>
      <c r="I23" s="1">
        <f>[20]FormattedData!B40</f>
        <v>1</v>
      </c>
      <c r="J23" s="4">
        <f>[20]FormattedData!C40</f>
        <v>13.295</v>
      </c>
      <c r="K23" s="6">
        <f>$J$3+[20]FormattedData!D40*$J$4+$M$4*$J$5+[20]FormattedData!D40^2*$J$6+$M$5*$J$7</f>
        <v>34.789376837809563</v>
      </c>
      <c r="L23" s="6">
        <f>$J$3+[20]FormattedData!E40*$J$4+$M$4*$J$5+[20]FormattedData!E40^2*$J$6+$M$5*$J$7</f>
        <v>33.25963009935171</v>
      </c>
      <c r="M23" s="6">
        <f>$J$3+[20]FormattedData!F40*$J$4+$M$4*$J$5+[20]FormattedData!F40^2*$J$6+$M$5*$J$7</f>
        <v>32.105218931135894</v>
      </c>
      <c r="N23" s="6">
        <f>$J$3+[20]FormattedData!G40*$J$4+$M$4*$J$5+[20]FormattedData!G40^2*$J$6+$M$5*$J$7</f>
        <v>29.583114075596967</v>
      </c>
      <c r="O23" s="6">
        <f>$J$3+[20]FormattedData!H40*$J$4+$M$4*$J$5+[20]FormattedData!H40^2*$J$6+$M$5*$J$7</f>
        <v>35.265203595336253</v>
      </c>
      <c r="P23" s="6">
        <f>$J$3+[20]FormattedData!I40*$J$4+$M$4*$J$5+[20]FormattedData!I40^2*$J$6+$M$5*$J$7</f>
        <v>29.972990022887309</v>
      </c>
      <c r="Q23" s="6">
        <f>$J$3+[20]FormattedData!J40*$J$4+$M$4*$J$5+[20]FormattedData!J40^2*$J$6+$M$5*$J$7</f>
        <v>32.298043477884505</v>
      </c>
      <c r="R23" s="6">
        <f>$J$3+[20]FormattedData!K40*$J$4+$M$4*$J$5+[20]FormattedData!K40^2*$J$6+$M$5*$J$7</f>
        <v>29.290263295480933</v>
      </c>
      <c r="S23" s="6">
        <f>$J$3+[20]FormattedData!L40*$J$4+$M$4*$J$5+[20]FormattedData!L40^2*$J$6+$M$5*$J$7</f>
        <v>35.455238418581416</v>
      </c>
      <c r="T23" s="6">
        <f>$J$3+[20]FormattedData!M40*$J$4+$M$4*$J$5+[20]FormattedData!M40^2*$J$6+$M$5*$J$7</f>
        <v>29.290263295480933</v>
      </c>
      <c r="U23" s="6">
        <f>$J$3+[20]FormattedData!N40*$J$4+$M$4*$J$5+[20]FormattedData!N40^2*$J$6+$M$5*$J$7</f>
        <v>30.556535887684891</v>
      </c>
      <c r="V23" s="6">
        <f>$J$3+[20]FormattedData!O40*$J$4+$M$4*$J$5+[20]FormattedData!O40^2*$J$6+$M$5*$J$7</f>
        <v>30.944721093457986</v>
      </c>
      <c r="W23" s="5">
        <f t="shared" si="0"/>
        <v>31.900883252557364</v>
      </c>
      <c r="X23" s="4">
        <f t="shared" si="1"/>
        <v>0.67297499171249098</v>
      </c>
      <c r="Y23" s="3">
        <f t="shared" si="2"/>
        <v>29.290263295480933</v>
      </c>
      <c r="Z23" s="2">
        <f t="shared" si="3"/>
        <v>29.875521036064725</v>
      </c>
      <c r="AA23" s="3">
        <f t="shared" si="4"/>
        <v>31.52497001229694</v>
      </c>
      <c r="AB23" s="2">
        <f t="shared" si="5"/>
        <v>33.642066783966172</v>
      </c>
      <c r="AC23" s="2">
        <f t="shared" si="6"/>
        <v>35.455238418581416</v>
      </c>
      <c r="AD23" s="2">
        <f t="shared" si="7"/>
        <v>0.44048600591890791</v>
      </c>
      <c r="AE23" s="2">
        <f t="shared" si="8"/>
        <v>-1.3635268128971636</v>
      </c>
    </row>
    <row r="24" spans="2:31" x14ac:dyDescent="0.2">
      <c r="B24" s="1">
        <f>[20]FormattedData!A42</f>
        <v>207</v>
      </c>
      <c r="C24" s="1" t="str">
        <f>VLOOKUP($B24,[20]TrtCodes!$B$11:I85,2)</f>
        <v>FTL</v>
      </c>
      <c r="D24" s="1">
        <f>VLOOKUP($B24,[20]TrtCodes!$B$11:J85,3)</f>
        <v>4</v>
      </c>
      <c r="E24" s="1">
        <f>VLOOKUP($B24,[20]TrtCodes!$B$11:K85,4)</f>
        <v>1</v>
      </c>
      <c r="F24" s="1">
        <f>VLOOKUP($B24,[20]TrtCodes!$B$11:L85,5)</f>
        <v>2</v>
      </c>
      <c r="G24" s="1">
        <f>VLOOKUP($B24,[20]TrtCodes!$B$11:M85,6)</f>
        <v>1</v>
      </c>
      <c r="H24" s="1">
        <f>VLOOKUP($B24,[20]TrtCodes!$B$11:N85,7)</f>
        <v>2</v>
      </c>
      <c r="I24" s="1">
        <f>[20]FormattedData!B42</f>
        <v>1</v>
      </c>
      <c r="J24" s="4">
        <f>[20]FormattedData!C42</f>
        <v>13.324999999999999</v>
      </c>
      <c r="K24" s="6">
        <f>$J$3+[20]FormattedData!D42*$J$4+$M$4*$J$5+[20]FormattedData!D42^2*$J$6+$M$5*$J$7</f>
        <v>36.024328443406546</v>
      </c>
      <c r="L24" s="6">
        <f>$J$3+[20]FormattedData!E42*$J$4+$M$4*$J$5+[20]FormattedData!E42^2*$J$6+$M$5*$J$7</f>
        <v>32.201652338779162</v>
      </c>
      <c r="M24" s="6">
        <f>$J$3+[20]FormattedData!F42*$J$4+$M$4*$J$5+[20]FormattedData!F42^2*$J$6+$M$5*$J$7</f>
        <v>31.719062615183489</v>
      </c>
      <c r="N24" s="6">
        <f>$J$3+[20]FormattedData!G42*$J$4+$M$4*$J$5+[20]FormattedData!G42^2*$J$6+$M$5*$J$7</f>
        <v>34.789376837809563</v>
      </c>
      <c r="O24" s="6">
        <f>$J$3+[20]FormattedData!H42*$J$4+$M$4*$J$5+[20]FormattedData!H42^2*$J$6+$M$5*$J$7</f>
        <v>31.525730845979702</v>
      </c>
      <c r="P24" s="6">
        <f>$J$3+[20]FormattedData!I42*$J$4+$M$4*$J$5+[20]FormattedData!I42^2*$J$6+$M$5*$J$7</f>
        <v>32.875502673219998</v>
      </c>
      <c r="Q24" s="6">
        <f>$J$3+[20]FormattedData!J42*$J$4+$M$4*$J$5+[20]FormattedData!J42^2*$J$6+$M$5*$J$7</f>
        <v>30.847738194821609</v>
      </c>
      <c r="R24" s="6">
        <f>$J$3+[20]FormattedData!K42*$J$4+$M$4*$J$5+[20]FormattedData!K42^2*$J$6+$M$5*$J$7</f>
        <v>31.332230002624186</v>
      </c>
      <c r="S24" s="6">
        <f>$J$3+[20]FormattedData!L42*$J$4+$M$4*$J$5+[20]FormattedData!L42^2*$J$6+$M$5*$J$7</f>
        <v>29.778136586317999</v>
      </c>
      <c r="T24" s="6">
        <f>$J$3+[20]FormattedData!M42*$J$4+$M$4*$J$5+[20]FormattedData!M42^2*$J$6+$M$5*$J$7</f>
        <v>31.815665096978485</v>
      </c>
      <c r="U24" s="6">
        <f>$J$3+[20]FormattedData!N42*$J$4+$M$4*$J$5+[20]FormattedData!N42^2*$J$6+$M$5*$J$7</f>
        <v>30.070353338365074</v>
      </c>
      <c r="V24" s="6">
        <f>$J$3+[20]FormattedData!O42*$J$4+$M$4*$J$5+[20]FormattedData!O42^2*$J$6+$M$5*$J$7</f>
        <v>31.912225310235549</v>
      </c>
      <c r="W24" s="5">
        <f t="shared" si="0"/>
        <v>32.074333523643446</v>
      </c>
      <c r="X24" s="4">
        <f t="shared" si="1"/>
        <v>0.51856506261368385</v>
      </c>
      <c r="Y24" s="3">
        <f t="shared" si="2"/>
        <v>29.778136586317999</v>
      </c>
      <c r="Z24" s="2">
        <f t="shared" si="3"/>
        <v>31.21110705067354</v>
      </c>
      <c r="AA24" s="3">
        <f t="shared" si="4"/>
        <v>31.767363856080987</v>
      </c>
      <c r="AB24" s="2">
        <f t="shared" si="5"/>
        <v>32.370114922389369</v>
      </c>
      <c r="AC24" s="2">
        <f t="shared" si="6"/>
        <v>36.024328443406546</v>
      </c>
      <c r="AD24" s="2">
        <f t="shared" si="7"/>
        <v>1.1201245466778522</v>
      </c>
      <c r="AE24" s="2">
        <f t="shared" si="8"/>
        <v>1.1842892405004797</v>
      </c>
    </row>
    <row r="25" spans="2:31" x14ac:dyDescent="0.2">
      <c r="B25" s="1">
        <f>[20]FormattedData!A44</f>
        <v>208</v>
      </c>
      <c r="C25" s="1" t="str">
        <f>VLOOKUP($B25,[20]TrtCodes!$B$11:I87,2)</f>
        <v>FSL</v>
      </c>
      <c r="D25" s="1">
        <f>VLOOKUP($B25,[20]TrtCodes!$B$11:J87,3)</f>
        <v>2</v>
      </c>
      <c r="E25" s="1">
        <f>VLOOKUP($B25,[20]TrtCodes!$B$11:K87,4)</f>
        <v>1</v>
      </c>
      <c r="F25" s="1">
        <f>VLOOKUP($B25,[20]TrtCodes!$B$11:L87,5)</f>
        <v>1</v>
      </c>
      <c r="G25" s="1">
        <f>VLOOKUP($B25,[20]TrtCodes!$B$11:M87,6)</f>
        <v>1</v>
      </c>
      <c r="H25" s="1">
        <f>VLOOKUP($B25,[20]TrtCodes!$B$11:N87,7)</f>
        <v>2</v>
      </c>
      <c r="I25" s="1">
        <f>[20]FormattedData!B44</f>
        <v>1</v>
      </c>
      <c r="J25" s="4">
        <f>[20]FormattedData!C44</f>
        <v>13.349</v>
      </c>
      <c r="K25" s="6">
        <f>$J$3+[20]FormattedData!D44*$J$4+$M$4*$J$5+[20]FormattedData!D44^2*$J$6+$M$5*$J$7</f>
        <v>37.910305372961552</v>
      </c>
      <c r="L25" s="6">
        <f>$J$3+[20]FormattedData!E44*$J$4+$M$4*$J$5+[20]FormattedData!E44^2*$J$6+$M$5*$J$7</f>
        <v>33.16366164562568</v>
      </c>
      <c r="M25" s="6">
        <f>$J$3+[20]FormattedData!F44*$J$4+$M$4*$J$5+[20]FormattedData!F44^2*$J$6+$M$5*$J$7</f>
        <v>35.5501924273971</v>
      </c>
      <c r="N25" s="6">
        <f>$J$3+[20]FormattedData!G44*$J$4+$M$4*$J$5+[20]FormattedData!G44^2*$J$6+$M$5*$J$7</f>
        <v>33.16366164562568</v>
      </c>
      <c r="O25" s="6">
        <f>$J$3+[20]FormattedData!H44*$J$4+$M$4*$J$5+[20]FormattedData!H44^2*$J$6+$M$5*$J$7</f>
        <v>32.586963283972949</v>
      </c>
      <c r="P25" s="6">
        <f>$J$3+[20]FormattedData!I44*$J$4+$M$4*$J$5+[20]FormattedData!I44^2*$J$6+$M$5*$J$7</f>
        <v>35.5501924273971</v>
      </c>
      <c r="Q25" s="6">
        <f>$J$3+[20]FormattedData!J44*$J$4+$M$4*$J$5+[20]FormattedData!J44^2*$J$6+$M$5*$J$7</f>
        <v>33.930225756371847</v>
      </c>
      <c r="R25" s="6">
        <f>$J$3+[20]FormattedData!K44*$J$4+$M$4*$J$5+[20]FormattedData!K44^2*$J$6+$M$5*$J$7</f>
        <v>37.534462580264346</v>
      </c>
      <c r="S25" s="6">
        <f>$J$3+[20]FormattedData!L44*$J$4+$M$4*$J$5+[20]FormattedData!L44^2*$J$6+$M$5*$J$7</f>
        <v>32.875502673219998</v>
      </c>
      <c r="T25" s="6">
        <f>$J$3+[20]FormattedData!M44*$J$4+$M$4*$J$5+[20]FormattedData!M44^2*$J$6+$M$5*$J$7</f>
        <v>35.5501924273971</v>
      </c>
      <c r="U25" s="6">
        <f>$J$3+[20]FormattedData!N44*$J$4+$M$4*$J$5+[20]FormattedData!N44^2*$J$6+$M$5*$J$7</f>
        <v>34.025856061794435</v>
      </c>
      <c r="V25" s="6">
        <f>$J$3+[20]FormattedData!O44*$J$4+$M$4*$J$5+[20]FormattedData!O44^2*$J$6+$M$5*$J$7</f>
        <v>33.355556284539809</v>
      </c>
      <c r="W25" s="5">
        <f t="shared" si="0"/>
        <v>34.599731048880635</v>
      </c>
      <c r="X25" s="4">
        <f t="shared" si="1"/>
        <v>0.52046752673753438</v>
      </c>
      <c r="Y25" s="3">
        <f t="shared" si="2"/>
        <v>32.586963283972949</v>
      </c>
      <c r="Z25" s="2">
        <f t="shared" si="3"/>
        <v>33.16366164562568</v>
      </c>
      <c r="AA25" s="3">
        <f t="shared" si="4"/>
        <v>33.978040909083141</v>
      </c>
      <c r="AB25" s="2">
        <f t="shared" si="5"/>
        <v>35.5501924273971</v>
      </c>
      <c r="AC25" s="2">
        <f t="shared" si="6"/>
        <v>37.910305372961552</v>
      </c>
      <c r="AD25" s="2">
        <f t="shared" si="7"/>
        <v>0.79139980098197749</v>
      </c>
      <c r="AE25" s="2">
        <f t="shared" si="8"/>
        <v>-0.55560113702472469</v>
      </c>
    </row>
    <row r="26" spans="2:31" x14ac:dyDescent="0.2">
      <c r="B26" s="1">
        <f>[20]FormattedData!A62</f>
        <v>301</v>
      </c>
      <c r="C26" s="1" t="str">
        <f>VLOOKUP($B26,[20]TrtCodes!$B$11:I105,2)</f>
        <v>NTL</v>
      </c>
      <c r="D26" s="1">
        <f>VLOOKUP($B26,[20]TrtCodes!$B$11:J105,3)</f>
        <v>10</v>
      </c>
      <c r="E26" s="1">
        <f>VLOOKUP($B26,[20]TrtCodes!$B$11:K105,4)</f>
        <v>2</v>
      </c>
      <c r="F26" s="1">
        <f>VLOOKUP($B26,[20]TrtCodes!$B$11:L105,5)</f>
        <v>2</v>
      </c>
      <c r="G26" s="1">
        <f>VLOOKUP($B26,[20]TrtCodes!$B$11:M105,6)</f>
        <v>1</v>
      </c>
      <c r="H26" s="1">
        <f>VLOOKUP($B26,[20]TrtCodes!$B$11:N105,7)</f>
        <v>3</v>
      </c>
      <c r="I26" s="1">
        <f>[20]FormattedData!B62</f>
        <v>1</v>
      </c>
      <c r="J26" s="4">
        <f>[20]FormattedData!C62</f>
        <v>13.462999999999999</v>
      </c>
      <c r="K26" s="6">
        <f>$J$3+[20]FormattedData!D62*$J$4+$M$4*$J$5+[20]FormattedData!D62^2*$J$6+$M$5*$J$7</f>
        <v>31.138560085116946</v>
      </c>
      <c r="L26" s="6">
        <f>$J$3+[20]FormattedData!E62*$J$4+$M$4*$J$5+[20]FormattedData!E62^2*$J$6+$M$5*$J$7</f>
        <v>30.362189673570754</v>
      </c>
      <c r="M26" s="6">
        <f>$J$3+[20]FormattedData!F62*$J$4+$M$4*$J$5+[20]FormattedData!F62^2*$J$6+$M$5*$J$7</f>
        <v>30.556535887684891</v>
      </c>
      <c r="N26" s="6">
        <f>$J$3+[20]FormattedData!G62*$J$4+$M$4*$J$5+[20]FormattedData!G62^2*$J$6+$M$5*$J$7</f>
        <v>32.008743254954688</v>
      </c>
      <c r="O26" s="6">
        <f>$J$3+[20]FormattedData!H62*$J$4+$M$4*$J$5+[20]FormattedData!H62^2*$J$6+$M$5*$J$7</f>
        <v>29.778136586317999</v>
      </c>
      <c r="P26" s="6">
        <f>$J$3+[20]FormattedData!I62*$J$4+$M$4*$J$5+[20]FormattedData!I62^2*$J$6+$M$5*$J$7</f>
        <v>32.875502673219998</v>
      </c>
      <c r="Q26" s="6">
        <f>$J$3+[20]FormattedData!J62*$J$4+$M$4*$J$5+[20]FormattedData!J62^2*$J$6+$M$5*$J$7</f>
        <v>29.680646465226452</v>
      </c>
      <c r="R26" s="6">
        <f>$J$3+[20]FormattedData!K62*$J$4+$M$4*$J$5+[20]FormattedData!K62^2*$J$6+$M$5*$J$7</f>
        <v>32.394392348451909</v>
      </c>
      <c r="S26" s="6">
        <f>$J$3+[20]FormattedData!L62*$J$4+$M$4*$J$5+[20]FormattedData!L62^2*$J$6+$M$5*$J$7</f>
        <v>29.875584438871623</v>
      </c>
      <c r="T26" s="6">
        <f>$J$3+[20]FormattedData!M62*$J$4+$M$4*$J$5+[20]FormattedData!M62^2*$J$6+$M$5*$J$7</f>
        <v>33.547281849302216</v>
      </c>
      <c r="U26" s="6">
        <f>$J$3+[20]FormattedData!N62*$J$4+$M$4*$J$5+[20]FormattedData!N62^2*$J$6+$M$5*$J$7</f>
        <v>29.875584438871623</v>
      </c>
      <c r="V26" s="6">
        <f>$J$3+[20]FormattedData!O62*$J$4+$M$4*$J$5+[20]FormattedData!O62^2*$J$6+$M$5*$J$7</f>
        <v>32.394392348451909</v>
      </c>
      <c r="W26" s="5">
        <f t="shared" si="0"/>
        <v>31.20729583750342</v>
      </c>
      <c r="X26" s="4">
        <f t="shared" si="1"/>
        <v>0.3967829468435482</v>
      </c>
      <c r="Y26" s="3">
        <f t="shared" si="2"/>
        <v>29.680646465226452</v>
      </c>
      <c r="Z26" s="2">
        <f t="shared" si="3"/>
        <v>29.875584438871623</v>
      </c>
      <c r="AA26" s="3">
        <f t="shared" si="4"/>
        <v>30.847547986400919</v>
      </c>
      <c r="AB26" s="2">
        <f t="shared" si="5"/>
        <v>32.394392348451909</v>
      </c>
      <c r="AC26" s="2">
        <f t="shared" si="6"/>
        <v>33.547281849302216</v>
      </c>
      <c r="AD26" s="2">
        <f t="shared" si="7"/>
        <v>0.3879894624076029</v>
      </c>
      <c r="AE26" s="2">
        <f t="shared" si="8"/>
        <v>-1.4420945707004762</v>
      </c>
    </row>
    <row r="27" spans="2:31" x14ac:dyDescent="0.2">
      <c r="B27" s="1">
        <f>[20]FormattedData!A64</f>
        <v>302</v>
      </c>
      <c r="C27" s="1" t="str">
        <f>VLOOKUP($B27,[20]TrtCodes!$B$11:I107,2)</f>
        <v>FTL</v>
      </c>
      <c r="D27" s="1">
        <f>VLOOKUP($B27,[20]TrtCodes!$B$11:J107,3)</f>
        <v>4</v>
      </c>
      <c r="E27" s="1">
        <f>VLOOKUP($B27,[20]TrtCodes!$B$11:K107,4)</f>
        <v>1</v>
      </c>
      <c r="F27" s="1">
        <f>VLOOKUP($B27,[20]TrtCodes!$B$11:L107,5)</f>
        <v>2</v>
      </c>
      <c r="G27" s="1">
        <f>VLOOKUP($B27,[20]TrtCodes!$B$11:M107,6)</f>
        <v>1</v>
      </c>
      <c r="H27" s="1">
        <f>VLOOKUP($B27,[20]TrtCodes!$B$11:N107,7)</f>
        <v>3</v>
      </c>
      <c r="I27" s="1">
        <f>[20]FormattedData!B64</f>
        <v>1</v>
      </c>
      <c r="J27" s="4">
        <f>[20]FormattedData!C64</f>
        <v>13.478999999999999</v>
      </c>
      <c r="K27" s="6">
        <f>$J$3+[20]FormattedData!D64*$J$4+$M$4*$J$5+[20]FormattedData!D64^2*$J$6+$M$5*$J$7</f>
        <v>34.598750255033373</v>
      </c>
      <c r="L27" s="6">
        <f>$J$3+[20]FormattedData!E64*$J$4+$M$4*$J$5+[20]FormattedData!E64^2*$J$6+$M$5*$J$7</f>
        <v>31.525730845979702</v>
      </c>
      <c r="M27" s="6">
        <f>$J$3+[20]FormattedData!F64*$J$4+$M$4*$J$5+[20]FormattedData!F64^2*$J$6+$M$5*$J$7</f>
        <v>30.070353338365074</v>
      </c>
      <c r="N27" s="6">
        <f>$J$3+[20]FormattedData!G64*$J$4+$M$4*$J$5+[20]FormattedData!G64^2*$J$6+$M$5*$J$7</f>
        <v>34.025856061794435</v>
      </c>
      <c r="O27" s="6">
        <f>$J$3+[20]FormattedData!H64*$J$4+$M$4*$J$5+[20]FormattedData!H64^2*$J$6+$M$5*$J$7</f>
        <v>30.264953163706785</v>
      </c>
      <c r="P27" s="6">
        <f>$J$3+[20]FormattedData!I64*$J$4+$M$4*$J$5+[20]FormattedData!I64^2*$J$6+$M$5*$J$7</f>
        <v>32.586963283972949</v>
      </c>
      <c r="Q27" s="6">
        <f>$J$3+[20]FormattedData!J64*$J$4+$M$4*$J$5+[20]FormattedData!J64^2*$J$6+$M$5*$J$7</f>
        <v>29.972990022887309</v>
      </c>
      <c r="R27" s="6">
        <f>$J$3+[20]FormattedData!K64*$J$4+$M$4*$J$5+[20]FormattedData!K64^2*$J$6+$M$5*$J$7</f>
        <v>36.875110354333884</v>
      </c>
      <c r="S27" s="6">
        <f>$J$3+[20]FormattedData!L64*$J$4+$M$4*$J$5+[20]FormattedData!L64^2*$J$6+$M$5*$J$7</f>
        <v>33.16366164562568</v>
      </c>
      <c r="T27" s="6">
        <f>$J$3+[20]FormattedData!M64*$J$4+$M$4*$J$5+[20]FormattedData!M64^2*$J$6+$M$5*$J$7</f>
        <v>32.971597932559824</v>
      </c>
      <c r="U27" s="6">
        <f>$J$3+[20]FormattedData!N64*$J$4+$M$4*$J$5+[20]FormattedData!N64^2*$J$6+$M$5*$J$7</f>
        <v>30.070353338365074</v>
      </c>
      <c r="V27" s="6">
        <f>$J$3+[20]FormattedData!O64*$J$4+$M$4*$J$5+[20]FormattedData!O64^2*$J$6+$M$5*$J$7</f>
        <v>33.547281849302216</v>
      </c>
      <c r="W27" s="5">
        <f t="shared" si="0"/>
        <v>32.47280017432719</v>
      </c>
      <c r="X27" s="4">
        <f t="shared" si="1"/>
        <v>0.62625446980403454</v>
      </c>
      <c r="Y27" s="3">
        <f t="shared" si="2"/>
        <v>29.972990022887309</v>
      </c>
      <c r="Z27" s="2">
        <f t="shared" si="3"/>
        <v>30.216303207371357</v>
      </c>
      <c r="AA27" s="3">
        <f t="shared" si="4"/>
        <v>32.77928060826639</v>
      </c>
      <c r="AB27" s="2">
        <f t="shared" si="5"/>
        <v>33.666925402425271</v>
      </c>
      <c r="AC27" s="2">
        <f t="shared" si="6"/>
        <v>36.875110354333884</v>
      </c>
      <c r="AD27" s="2">
        <f t="shared" si="7"/>
        <v>0.4851162821829611</v>
      </c>
      <c r="AE27" s="2">
        <f t="shared" si="8"/>
        <v>-0.2364488665828377</v>
      </c>
    </row>
    <row r="28" spans="2:31" x14ac:dyDescent="0.2">
      <c r="B28" s="1">
        <f>[20]FormattedData!A66</f>
        <v>303</v>
      </c>
      <c r="C28" s="1" t="str">
        <f>VLOOKUP($B28,[20]TrtCodes!$B$11:I109,2)</f>
        <v>NSL</v>
      </c>
      <c r="D28" s="1">
        <f>VLOOKUP($B28,[20]TrtCodes!$B$11:J109,3)</f>
        <v>8</v>
      </c>
      <c r="E28" s="1">
        <f>VLOOKUP($B28,[20]TrtCodes!$B$11:K109,4)</f>
        <v>2</v>
      </c>
      <c r="F28" s="1">
        <f>VLOOKUP($B28,[20]TrtCodes!$B$11:L109,5)</f>
        <v>1</v>
      </c>
      <c r="G28" s="1">
        <f>VLOOKUP($B28,[20]TrtCodes!$B$11:M109,6)</f>
        <v>1</v>
      </c>
      <c r="H28" s="1">
        <f>VLOOKUP($B28,[20]TrtCodes!$B$11:N109,7)</f>
        <v>3</v>
      </c>
      <c r="I28" s="1">
        <f>[20]FormattedData!B66</f>
        <v>1</v>
      </c>
      <c r="J28" s="4">
        <f>[20]FormattedData!C66</f>
        <v>13.497999999999999</v>
      </c>
      <c r="K28" s="6">
        <f>$J$3+[20]FormattedData!D66*$J$4+$M$4*$J$5+[20]FormattedData!D66^2*$J$6+$M$5*$J$7</f>
        <v>35.645104167674845</v>
      </c>
      <c r="L28" s="6">
        <f>$J$3+[20]FormattedData!E66*$J$4+$M$4*$J$5+[20]FormattedData!E66^2*$J$6+$M$5*$J$7</f>
        <v>32.779365145342247</v>
      </c>
      <c r="M28" s="6">
        <f>$J$3+[20]FormattedData!F66*$J$4+$M$4*$J$5+[20]FormattedData!F66^2*$J$6+$M$5*$J$7</f>
        <v>31.235416178139527</v>
      </c>
      <c r="N28" s="6">
        <f>$J$3+[20]FormattedData!G66*$J$4+$M$4*$J$5+[20]FormattedData!G66^2*$J$6+$M$5*$J$7</f>
        <v>32.875502673219998</v>
      </c>
      <c r="O28" s="6">
        <f>$J$3+[20]FormattedData!H66*$J$4+$M$4*$J$5+[20]FormattedData!H66^2*$J$6+$M$5*$J$7</f>
        <v>31.719062615183489</v>
      </c>
      <c r="P28" s="6">
        <f>$J$3+[20]FormattedData!I66*$J$4+$M$4*$J$5+[20]FormattedData!I66^2*$J$6+$M$5*$J$7</f>
        <v>36.402876422531342</v>
      </c>
      <c r="Q28" s="6">
        <f>$J$3+[20]FormattedData!J66*$J$4+$M$4*$J$5+[20]FormattedData!J66^2*$J$6+$M$5*$J$7</f>
        <v>30.362189673570754</v>
      </c>
      <c r="R28" s="6">
        <f>$J$3+[20]FormattedData!K66*$J$4+$M$4*$J$5+[20]FormattedData!K66^2*$J$6+$M$5*$J$7</f>
        <v>35.455238418581416</v>
      </c>
      <c r="S28" s="6">
        <f>$J$3+[20]FormattedData!L66*$J$4+$M$4*$J$5+[20]FormattedData!L66^2*$J$6+$M$5*$J$7</f>
        <v>30.556535887684891</v>
      </c>
      <c r="T28" s="6">
        <f>$J$3+[20]FormattedData!M66*$J$4+$M$4*$J$5+[20]FormattedData!M66^2*$J$6+$M$5*$J$7</f>
        <v>35.265203595336253</v>
      </c>
      <c r="U28" s="6">
        <f>$J$3+[20]FormattedData!N66*$J$4+$M$4*$J$5+[20]FormattedData!N66^2*$J$6+$M$5*$J$7</f>
        <v>30.362189673570754</v>
      </c>
      <c r="V28" s="6">
        <f>$J$3+[20]FormattedData!O66*$J$4+$M$4*$J$5+[20]FormattedData!O66^2*$J$6+$M$5*$J$7</f>
        <v>33.16366164562568</v>
      </c>
      <c r="W28" s="5">
        <f t="shared" si="0"/>
        <v>32.98519550803843</v>
      </c>
      <c r="X28" s="4">
        <f t="shared" si="1"/>
        <v>0.64234997989153153</v>
      </c>
      <c r="Y28" s="3">
        <f t="shared" si="2"/>
        <v>30.362189673570754</v>
      </c>
      <c r="Z28" s="2">
        <f t="shared" si="3"/>
        <v>31.065696105525866</v>
      </c>
      <c r="AA28" s="3">
        <f t="shared" si="4"/>
        <v>32.827433909281126</v>
      </c>
      <c r="AB28" s="2">
        <f t="shared" si="5"/>
        <v>35.312712301147542</v>
      </c>
      <c r="AC28" s="2">
        <f t="shared" si="6"/>
        <v>36.402876422531342</v>
      </c>
      <c r="AD28" s="2">
        <f t="shared" si="7"/>
        <v>0.27577699835841807</v>
      </c>
      <c r="AE28" s="2">
        <f t="shared" si="8"/>
        <v>-1.512795622870764</v>
      </c>
    </row>
    <row r="29" spans="2:31" x14ac:dyDescent="0.2">
      <c r="B29" s="1">
        <f>[20]FormattedData!A68</f>
        <v>304</v>
      </c>
      <c r="C29" s="1" t="str">
        <f>VLOOKUP($B29,[20]TrtCodes!$B$11:I111,2)</f>
        <v>FSL</v>
      </c>
      <c r="D29" s="1">
        <f>VLOOKUP($B29,[20]TrtCodes!$B$11:J111,3)</f>
        <v>2</v>
      </c>
      <c r="E29" s="1">
        <f>VLOOKUP($B29,[20]TrtCodes!$B$11:K111,4)</f>
        <v>1</v>
      </c>
      <c r="F29" s="1">
        <f>VLOOKUP($B29,[20]TrtCodes!$B$11:L111,5)</f>
        <v>1</v>
      </c>
      <c r="G29" s="1">
        <f>VLOOKUP($B29,[20]TrtCodes!$B$11:M111,6)</f>
        <v>1</v>
      </c>
      <c r="H29" s="1">
        <f>VLOOKUP($B29,[20]TrtCodes!$B$11:N111,7)</f>
        <v>3</v>
      </c>
      <c r="I29" s="1">
        <f>[20]FormattedData!B68</f>
        <v>1</v>
      </c>
      <c r="J29" s="4">
        <f>[20]FormattedData!C68</f>
        <v>13.512</v>
      </c>
      <c r="K29" s="6">
        <f>$J$3+[20]FormattedData!D68*$J$4+$M$4*$J$5+[20]FormattedData!D68^2*$J$6+$M$5*$J$7</f>
        <v>39.033775971411771</v>
      </c>
      <c r="L29" s="6">
        <f>$J$3+[20]FormattedData!E68*$J$4+$M$4*$J$5+[20]FormattedData!E68^2*$J$6+$M$5*$J$7</f>
        <v>32.779365145342247</v>
      </c>
      <c r="M29" s="6">
        <f>$J$3+[20]FormattedData!F68*$J$4+$M$4*$J$5+[20]FormattedData!F68^2*$J$6+$M$5*$J$7</f>
        <v>30.847738194821609</v>
      </c>
      <c r="N29" s="6">
        <f>$J$3+[20]FormattedData!G68*$J$4+$M$4*$J$5+[20]FormattedData!G68^2*$J$6+$M$5*$J$7</f>
        <v>31.041661723556434</v>
      </c>
      <c r="O29" s="6">
        <f>$J$3+[20]FormattedData!H68*$J$4+$M$4*$J$5+[20]FormattedData!H68^2*$J$6+$M$5*$J$7</f>
        <v>32.201652338779162</v>
      </c>
      <c r="P29" s="6">
        <f>$J$3+[20]FormattedData!I68*$J$4+$M$4*$J$5+[20]FormattedData!I68^2*$J$6+$M$5*$J$7</f>
        <v>32.105218931135894</v>
      </c>
      <c r="Q29" s="6">
        <f>$J$3+[20]FormattedData!J68*$J$4+$M$4*$J$5+[20]FormattedData!J68^2*$J$6+$M$5*$J$7</f>
        <v>30.362189673570754</v>
      </c>
      <c r="R29" s="6">
        <f>$J$3+[20]FormattedData!K68*$J$4+$M$4*$J$5+[20]FormattedData!K68^2*$J$6+$M$5*$J$7</f>
        <v>31.041661723556434</v>
      </c>
      <c r="S29" s="6">
        <f>$J$3+[20]FormattedData!L68*$J$4+$M$4*$J$5+[20]FormattedData!L68^2*$J$6+$M$5*$J$7</f>
        <v>30.459383914896783</v>
      </c>
      <c r="T29" s="6">
        <f>$J$3+[20]FormattedData!M68*$J$4+$M$4*$J$5+[20]FormattedData!M68^2*$J$6+$M$5*$J$7</f>
        <v>32.490698950481395</v>
      </c>
      <c r="U29" s="6">
        <f>$J$3+[20]FormattedData!N68*$J$4+$M$4*$J$5+[20]FormattedData!N68^2*$J$6+$M$5*$J$7</f>
        <v>32.394392348451909</v>
      </c>
      <c r="V29" s="6">
        <f>$J$3+[20]FormattedData!O68*$J$4+$M$4*$J$5+[20]FormattedData!O68^2*$J$6+$M$5*$J$7</f>
        <v>35.834800842616559</v>
      </c>
      <c r="W29" s="5">
        <f t="shared" si="0"/>
        <v>32.549378313218412</v>
      </c>
      <c r="X29" s="4">
        <f t="shared" si="1"/>
        <v>0.72735423098882335</v>
      </c>
      <c r="Y29" s="3">
        <f t="shared" si="2"/>
        <v>30.362189673570754</v>
      </c>
      <c r="Z29" s="2">
        <f t="shared" si="3"/>
        <v>30.993180841372727</v>
      </c>
      <c r="AA29" s="3">
        <f t="shared" si="4"/>
        <v>32.153435634957532</v>
      </c>
      <c r="AB29" s="2">
        <f t="shared" si="5"/>
        <v>32.562865499196604</v>
      </c>
      <c r="AC29" s="2">
        <f t="shared" si="6"/>
        <v>39.033775971411771</v>
      </c>
      <c r="AD29" s="2">
        <f t="shared" si="7"/>
        <v>1.8865194304871076</v>
      </c>
      <c r="AE29" s="2">
        <f t="shared" si="8"/>
        <v>3.5719505832769221</v>
      </c>
    </row>
    <row r="30" spans="2:31" x14ac:dyDescent="0.2">
      <c r="B30" s="1">
        <f>[20]FormattedData!A70</f>
        <v>305</v>
      </c>
      <c r="C30" s="1" t="str">
        <f>VLOOKUP($B30,[20]TrtCodes!$B$11:I113,2)</f>
        <v>NDH</v>
      </c>
      <c r="D30" s="1">
        <f>VLOOKUP($B30,[20]TrtCodes!$B$11:J113,3)</f>
        <v>11</v>
      </c>
      <c r="E30" s="1">
        <f>VLOOKUP($B30,[20]TrtCodes!$B$11:K113,4)</f>
        <v>2</v>
      </c>
      <c r="F30" s="1">
        <f>VLOOKUP($B30,[20]TrtCodes!$B$11:L113,5)</f>
        <v>3</v>
      </c>
      <c r="G30" s="1">
        <f>VLOOKUP($B30,[20]TrtCodes!$B$11:M113,6)</f>
        <v>2</v>
      </c>
      <c r="H30" s="1">
        <f>VLOOKUP($B30,[20]TrtCodes!$B$11:N113,7)</f>
        <v>4</v>
      </c>
      <c r="I30" s="1">
        <f>[20]FormattedData!B70</f>
        <v>1</v>
      </c>
      <c r="J30" s="4">
        <f>[20]FormattedData!C70</f>
        <v>13.528</v>
      </c>
      <c r="K30" s="6">
        <f>$J$3+[20]FormattedData!D70*$J$4+$M$4*$J$5+[20]FormattedData!D70^2*$J$6+$M$5*$J$7</f>
        <v>31.138560085116946</v>
      </c>
      <c r="L30" s="6">
        <f>$J$3+[20]FormattedData!E70*$J$4+$M$4*$J$5+[20]FormattedData!E70^2*$J$6+$M$5*$J$7</f>
        <v>29.680646465226452</v>
      </c>
      <c r="M30" s="6">
        <f>$J$3+[20]FormattedData!F70*$J$4+$M$4*$J$5+[20]FormattedData!F70^2*$J$6+$M$5*$J$7</f>
        <v>28.997032098523519</v>
      </c>
      <c r="N30" s="6">
        <f>$J$3+[20]FormattedData!G70*$J$4+$M$4*$J$5+[20]FormattedData!G70^2*$J$6+$M$5*$J$7</f>
        <v>29.972990022887309</v>
      </c>
      <c r="O30" s="6">
        <f>$J$3+[20]FormattedData!H70*$J$4+$M$4*$J$5+[20]FormattedData!H70^2*$J$6+$M$5*$J$7</f>
        <v>28.605465409715933</v>
      </c>
      <c r="P30" s="6">
        <f>$J$3+[20]FormattedData!I70*$J$4+$M$4*$J$5+[20]FormattedData!I70^2*$J$6+$M$5*$J$7</f>
        <v>31.429001558570903</v>
      </c>
      <c r="Q30" s="6">
        <f>$J$3+[20]FormattedData!J70*$J$4+$M$4*$J$5+[20]FormattedData!J70^2*$J$6+$M$5*$J$7</f>
        <v>29.778136586317999</v>
      </c>
      <c r="R30" s="6">
        <f>$J$3+[20]FormattedData!K70*$J$4+$M$4*$J$5+[20]FormattedData!K70^2*$J$6+$M$5*$J$7</f>
        <v>31.332230002624186</v>
      </c>
      <c r="S30" s="6">
        <f>$J$3+[20]FormattedData!L70*$J$4+$M$4*$J$5+[20]FormattedData!L70^2*$J$6+$M$5*$J$7</f>
        <v>29.875584438871623</v>
      </c>
      <c r="T30" s="6">
        <f>$J$3+[20]FormattedData!M70*$J$4+$M$4*$J$5+[20]FormattedData!M70^2*$J$6+$M$5*$J$7</f>
        <v>31.235416178139527</v>
      </c>
      <c r="U30" s="6">
        <f>$J$3+[20]FormattedData!N70*$J$4+$M$4*$J$5+[20]FormattedData!N70^2*$J$6+$M$5*$J$7</f>
        <v>31.041661723556434</v>
      </c>
      <c r="V30" s="6">
        <f>$J$3+[20]FormattedData!O70*$J$4+$M$4*$J$5+[20]FormattedData!O70^2*$J$6+$M$5*$J$7</f>
        <v>32.105218931135894</v>
      </c>
      <c r="W30" s="5">
        <f t="shared" si="0"/>
        <v>30.432661958390565</v>
      </c>
      <c r="X30" s="4">
        <f t="shared" si="1"/>
        <v>0.31416307826707379</v>
      </c>
      <c r="Y30" s="3">
        <f t="shared" si="2"/>
        <v>28.605465409715933</v>
      </c>
      <c r="Z30" s="2">
        <f t="shared" si="3"/>
        <v>29.753764056045114</v>
      </c>
      <c r="AA30" s="3">
        <f t="shared" si="4"/>
        <v>30.507325873221873</v>
      </c>
      <c r="AB30" s="2">
        <f t="shared" si="5"/>
        <v>31.259619634260691</v>
      </c>
      <c r="AC30" s="2">
        <f t="shared" si="6"/>
        <v>32.105218931135894</v>
      </c>
      <c r="AD30" s="2">
        <f t="shared" si="7"/>
        <v>-0.21532266411670459</v>
      </c>
      <c r="AE30" s="2">
        <f t="shared" si="8"/>
        <v>-1.0783269710694809</v>
      </c>
    </row>
    <row r="31" spans="2:31" x14ac:dyDescent="0.2">
      <c r="B31" s="1">
        <f>[20]FormattedData!A72</f>
        <v>306</v>
      </c>
      <c r="C31" s="1" t="str">
        <f>VLOOKUP($B31,[20]TrtCodes!$B$11:I115,2)</f>
        <v>FTL</v>
      </c>
      <c r="D31" s="1">
        <f>VLOOKUP($B31,[20]TrtCodes!$B$11:J115,3)</f>
        <v>4</v>
      </c>
      <c r="E31" s="1">
        <f>VLOOKUP($B31,[20]TrtCodes!$B$11:K115,4)</f>
        <v>1</v>
      </c>
      <c r="F31" s="1">
        <f>VLOOKUP($B31,[20]TrtCodes!$B$11:L115,5)</f>
        <v>2</v>
      </c>
      <c r="G31" s="1">
        <f>VLOOKUP($B31,[20]TrtCodes!$B$11:M115,6)</f>
        <v>1</v>
      </c>
      <c r="H31" s="1">
        <f>VLOOKUP($B31,[20]TrtCodes!$B$11:N115,7)</f>
        <v>4</v>
      </c>
      <c r="I31" s="1">
        <f>[20]FormattedData!B72</f>
        <v>1</v>
      </c>
      <c r="J31" s="4">
        <f>[20]FormattedData!C72</f>
        <v>13.544</v>
      </c>
      <c r="K31" s="6">
        <f>$J$3+[20]FormattedData!D72*$J$4+$M$4*$J$5+[20]FormattedData!D72^2*$J$6+$M$5*$J$7</f>
        <v>33.16366164562568</v>
      </c>
      <c r="L31" s="6">
        <f>$J$3+[20]FormattedData!E72*$J$4+$M$4*$J$5+[20]FormattedData!E72^2*$J$6+$M$5*$J$7</f>
        <v>33.643081228876518</v>
      </c>
      <c r="M31" s="6">
        <f>$J$3+[20]FormattedData!F72*$J$4+$M$4*$J$5+[20]FormattedData!F72^2*$J$6+$M$5*$J$7</f>
        <v>32.008743254954688</v>
      </c>
      <c r="N31" s="6">
        <f>$J$3+[20]FormattedData!G72*$J$4+$M$4*$J$5+[20]FormattedData!G72^2*$J$6+$M$5*$J$7</f>
        <v>34.121444098679085</v>
      </c>
      <c r="O31" s="6">
        <f>$J$3+[20]FormattedData!H72*$J$4+$M$4*$J$5+[20]FormattedData!H72^2*$J$6+$M$5*$J$7</f>
        <v>33.834553182411341</v>
      </c>
      <c r="P31" s="6">
        <f>$J$3+[20]FormattedData!I72*$J$4+$M$4*$J$5+[20]FormattedData!I72^2*$J$6+$M$5*$J$7</f>
        <v>36.497407745967713</v>
      </c>
      <c r="Q31" s="6">
        <f>$J$3+[20]FormattedData!J72*$J$4+$M$4*$J$5+[20]FormattedData!J72^2*$J$6+$M$5*$J$7</f>
        <v>32.779365145342247</v>
      </c>
      <c r="R31" s="6">
        <f>$J$3+[20]FormattedData!K72*$J$4+$M$4*$J$5+[20]FormattedData!K72^2*$J$6+$M$5*$J$7</f>
        <v>35.739973639414664</v>
      </c>
      <c r="S31" s="6">
        <f>$J$3+[20]FormattedData!L72*$J$4+$M$4*$J$5+[20]FormattedData!L72^2*$J$6+$M$5*$J$7</f>
        <v>33.355556284539809</v>
      </c>
      <c r="T31" s="6">
        <f>$J$3+[20]FormattedData!M72*$J$4+$M$4*$J$5+[20]FormattedData!M72^2*$J$6+$M$5*$J$7</f>
        <v>33.643081228876518</v>
      </c>
      <c r="U31" s="6">
        <f>$J$3+[20]FormattedData!N72*$J$4+$M$4*$J$5+[20]FormattedData!N72^2*$J$6+$M$5*$J$7</f>
        <v>32.105218931135894</v>
      </c>
      <c r="V31" s="6">
        <f>$J$3+[20]FormattedData!O72*$J$4+$M$4*$J$5+[20]FormattedData!O72^2*$J$6+$M$5*$J$7</f>
        <v>33.643081228876518</v>
      </c>
      <c r="W31" s="5">
        <f t="shared" si="0"/>
        <v>33.711263967891718</v>
      </c>
      <c r="X31" s="4">
        <f t="shared" si="1"/>
        <v>0.37787728311176111</v>
      </c>
      <c r="Y31" s="3">
        <f t="shared" si="2"/>
        <v>32.008743254954688</v>
      </c>
      <c r="Z31" s="2">
        <f t="shared" si="3"/>
        <v>33.067587520554824</v>
      </c>
      <c r="AA31" s="3">
        <f t="shared" si="4"/>
        <v>33.643081228876518</v>
      </c>
      <c r="AB31" s="2">
        <f t="shared" si="5"/>
        <v>33.906275911478275</v>
      </c>
      <c r="AC31" s="2">
        <f t="shared" si="6"/>
        <v>36.497407745967713</v>
      </c>
      <c r="AD31" s="2">
        <f t="shared" si="7"/>
        <v>0.97035784977858874</v>
      </c>
      <c r="AE31" s="2">
        <f t="shared" si="8"/>
        <v>0.96541448383513195</v>
      </c>
    </row>
    <row r="32" spans="2:31" x14ac:dyDescent="0.2">
      <c r="B32" s="1">
        <f>[20]FormattedData!A74</f>
        <v>307</v>
      </c>
      <c r="C32" s="1" t="str">
        <f>VLOOKUP($B32,[20]TrtCodes!$B$11:I117,2)</f>
        <v>NTH</v>
      </c>
      <c r="D32" s="1">
        <f>VLOOKUP($B32,[20]TrtCodes!$B$11:J117,3)</f>
        <v>9</v>
      </c>
      <c r="E32" s="1">
        <f>VLOOKUP($B32,[20]TrtCodes!$B$11:K117,4)</f>
        <v>2</v>
      </c>
      <c r="F32" s="1">
        <f>VLOOKUP($B32,[20]TrtCodes!$B$11:L117,5)</f>
        <v>2</v>
      </c>
      <c r="G32" s="1">
        <f>VLOOKUP($B32,[20]TrtCodes!$B$11:M117,6)</f>
        <v>2</v>
      </c>
      <c r="H32" s="1">
        <f>VLOOKUP($B32,[20]TrtCodes!$B$11:N117,7)</f>
        <v>4</v>
      </c>
      <c r="I32" s="1">
        <f>[20]FormattedData!B74</f>
        <v>1</v>
      </c>
      <c r="J32" s="4">
        <f>[20]FormattedData!C74</f>
        <v>13.56</v>
      </c>
      <c r="K32" s="6">
        <f>$J$3+[20]FormattedData!D74*$J$4+$M$4*$J$5+[20]FormattedData!D74^2*$J$6+$M$5*$J$7</f>
        <v>34.694084680690423</v>
      </c>
      <c r="L32" s="6">
        <f>$J$3+[20]FormattedData!E74*$J$4+$M$4*$J$5+[20]FormattedData!E74^2*$J$6+$M$5*$J$7</f>
        <v>32.298043477884505</v>
      </c>
      <c r="M32" s="6">
        <f>$J$3+[20]FormattedData!F74*$J$4+$M$4*$J$5+[20]FormattedData!F74^2*$J$6+$M$5*$J$7</f>
        <v>32.008743254954688</v>
      </c>
      <c r="N32" s="6">
        <f>$J$3+[20]FormattedData!G74*$J$4+$M$4*$J$5+[20]FormattedData!G74^2*$J$6+$M$5*$J$7</f>
        <v>33.643081228876518</v>
      </c>
      <c r="O32" s="6">
        <f>$J$3+[20]FormattedData!H74*$J$4+$M$4*$J$5+[20]FormattedData!H74^2*$J$6+$M$5*$J$7</f>
        <v>32.875502673219998</v>
      </c>
      <c r="P32" s="6">
        <f>$J$3+[20]FormattedData!I74*$J$4+$M$4*$J$5+[20]FormattedData!I74^2*$J$6+$M$5*$J$7</f>
        <v>32.971597932559824</v>
      </c>
      <c r="Q32" s="6">
        <f>$J$3+[20]FormattedData!J74*$J$4+$M$4*$J$5+[20]FormattedData!J74^2*$J$6+$M$5*$J$7</f>
        <v>33.451440201189975</v>
      </c>
      <c r="R32" s="6">
        <f>$J$3+[20]FormattedData!K74*$J$4+$M$4*$J$5+[20]FormattedData!K74^2*$J$6+$M$5*$J$7</f>
        <v>32.201652338779162</v>
      </c>
      <c r="S32" s="6">
        <f>$J$3+[20]FormattedData!L74*$J$4+$M$4*$J$5+[20]FormattedData!L74^2*$J$6+$M$5*$J$7</f>
        <v>34.121444098679085</v>
      </c>
      <c r="T32" s="6">
        <f>$J$3+[20]FormattedData!M74*$J$4+$M$4*$J$5+[20]FormattedData!M74^2*$J$6+$M$5*$J$7</f>
        <v>31.815665096978485</v>
      </c>
      <c r="U32" s="6">
        <f>$J$3+[20]FormattedData!N74*$J$4+$M$4*$J$5+[20]FormattedData!N74^2*$J$6+$M$5*$J$7</f>
        <v>34.979834346434032</v>
      </c>
      <c r="V32" s="6">
        <f>$J$3+[20]FormattedData!O74*$J$4+$M$4*$J$5+[20]FormattedData!O74^2*$J$6+$M$5*$J$7</f>
        <v>31.622417864850558</v>
      </c>
      <c r="W32" s="5">
        <f t="shared" si="0"/>
        <v>33.056958932924772</v>
      </c>
      <c r="X32" s="4">
        <f t="shared" si="1"/>
        <v>0.32630975637537463</v>
      </c>
      <c r="Y32" s="3">
        <f t="shared" si="2"/>
        <v>31.622417864850558</v>
      </c>
      <c r="Z32" s="2">
        <f t="shared" si="3"/>
        <v>32.153425067823044</v>
      </c>
      <c r="AA32" s="3">
        <f t="shared" si="4"/>
        <v>32.923550302889907</v>
      </c>
      <c r="AB32" s="2">
        <f t="shared" si="5"/>
        <v>33.76267194632716</v>
      </c>
      <c r="AC32" s="2">
        <f t="shared" si="6"/>
        <v>34.979834346434032</v>
      </c>
      <c r="AD32" s="2">
        <f t="shared" si="7"/>
        <v>0.4441681426351865</v>
      </c>
      <c r="AE32" s="2">
        <f t="shared" si="8"/>
        <v>-1.0446559931719097</v>
      </c>
    </row>
    <row r="33" spans="2:31" x14ac:dyDescent="0.2">
      <c r="B33" s="1">
        <f>[20]FormattedData!A76</f>
        <v>308</v>
      </c>
      <c r="C33" s="1" t="str">
        <f>VLOOKUP($B33,[20]TrtCodes!$B$11:I119,2)</f>
        <v>FDH</v>
      </c>
      <c r="D33" s="1">
        <f>VLOOKUP($B33,[20]TrtCodes!$B$11:J119,3)</f>
        <v>5</v>
      </c>
      <c r="E33" s="1">
        <f>VLOOKUP($B33,[20]TrtCodes!$B$11:K119,4)</f>
        <v>1</v>
      </c>
      <c r="F33" s="1">
        <f>VLOOKUP($B33,[20]TrtCodes!$B$11:L119,5)</f>
        <v>3</v>
      </c>
      <c r="G33" s="1">
        <f>VLOOKUP($B33,[20]TrtCodes!$B$11:M119,6)</f>
        <v>2</v>
      </c>
      <c r="H33" s="1">
        <f>VLOOKUP($B33,[20]TrtCodes!$B$11:N119,7)</f>
        <v>4</v>
      </c>
      <c r="I33" s="1">
        <f>[20]FormattedData!B76</f>
        <v>1</v>
      </c>
      <c r="J33" s="4">
        <f>[20]FormattedData!C76</f>
        <v>13.574999999999999</v>
      </c>
      <c r="K33" s="6">
        <f>$J$3+[20]FormattedData!D76*$J$4+$M$4*$J$5+[20]FormattedData!D76^2*$J$6+$M$5*$J$7</f>
        <v>34.694084680690423</v>
      </c>
      <c r="L33" s="6">
        <f>$J$3+[20]FormattedData!E76*$J$4+$M$4*$J$5+[20]FormattedData!E76^2*$J$6+$M$5*$J$7</f>
        <v>36.024328443406546</v>
      </c>
      <c r="M33" s="6">
        <f>$J$3+[20]FormattedData!F76*$J$4+$M$4*$J$5+[20]FormattedData!F76^2*$J$6+$M$5*$J$7</f>
        <v>35.645104167674845</v>
      </c>
      <c r="N33" s="6">
        <f>$J$3+[20]FormattedData!G76*$J$4+$M$4*$J$5+[20]FormattedData!G76^2*$J$6+$M$5*$J$7</f>
        <v>36.119028840994631</v>
      </c>
      <c r="O33" s="6">
        <f>$J$3+[20]FormattedData!H76*$J$4+$M$4*$J$5+[20]FormattedData!H76^2*$J$6+$M$5*$J$7</f>
        <v>35.5501924273971</v>
      </c>
      <c r="P33" s="6">
        <f>$J$3+[20]FormattedData!I76*$J$4+$M$4*$J$5+[20]FormattedData!I76^2*$J$6+$M$5*$J$7</f>
        <v>37.910305372961552</v>
      </c>
      <c r="Q33" s="6">
        <f>$J$3+[20]FormattedData!J76*$J$4+$M$4*$J$5+[20]FormattedData!J76^2*$J$6+$M$5*$J$7</f>
        <v>35.170122780906773</v>
      </c>
      <c r="R33" s="6">
        <f>$J$3+[20]FormattedData!K76*$J$4+$M$4*$J$5+[20]FormattedData!K76^2*$J$6+$M$5*$J$7</f>
        <v>36.497407745967713</v>
      </c>
      <c r="S33" s="6">
        <f>$J$3+[20]FormattedData!L76*$J$4+$M$4*$J$5+[20]FormattedData!L76^2*$J$6+$M$5*$J$7</f>
        <v>34.694084680690423</v>
      </c>
      <c r="T33" s="6">
        <f>$J$3+[20]FormattedData!M76*$J$4+$M$4*$J$5+[20]FormattedData!M76^2*$J$6+$M$5*$J$7</f>
        <v>37.910305372961552</v>
      </c>
      <c r="U33" s="6">
        <f>$J$3+[20]FormattedData!N76*$J$4+$M$4*$J$5+[20]FormattedData!N76^2*$J$6+$M$5*$J$7</f>
        <v>33.547281849302216</v>
      </c>
      <c r="V33" s="6">
        <f>$J$3+[20]FormattedData!O76*$J$4+$M$4*$J$5+[20]FormattedData!O76^2*$J$6+$M$5*$J$7</f>
        <v>35.929585777280515</v>
      </c>
      <c r="W33" s="5">
        <f t="shared" si="0"/>
        <v>35.807652678352859</v>
      </c>
      <c r="X33" s="4">
        <f t="shared" si="1"/>
        <v>0.36478850004478924</v>
      </c>
      <c r="Y33" s="3">
        <f t="shared" si="2"/>
        <v>33.547281849302216</v>
      </c>
      <c r="Z33" s="2">
        <f t="shared" si="3"/>
        <v>35.051113255852684</v>
      </c>
      <c r="AA33" s="3">
        <f t="shared" si="4"/>
        <v>35.787344972477683</v>
      </c>
      <c r="AB33" s="2">
        <f t="shared" si="5"/>
        <v>36.213623567237903</v>
      </c>
      <c r="AC33" s="2">
        <f t="shared" si="6"/>
        <v>37.910305372961552</v>
      </c>
      <c r="AD33" s="2">
        <f t="shared" si="7"/>
        <v>0.23633533137161208</v>
      </c>
      <c r="AE33" s="2">
        <f t="shared" si="8"/>
        <v>0.21093680792485703</v>
      </c>
    </row>
    <row r="34" spans="2:31" x14ac:dyDescent="0.2">
      <c r="B34" s="1">
        <f>[20]FormattedData!A92</f>
        <v>401</v>
      </c>
      <c r="C34" s="1" t="str">
        <f>VLOOKUP($B34,[20]TrtCodes!$B$11:I129,2)</f>
        <v>NSH</v>
      </c>
      <c r="D34" s="1">
        <f>VLOOKUP($B34,[20]TrtCodes!$B$11:J129,3)</f>
        <v>7</v>
      </c>
      <c r="E34" s="1">
        <f>VLOOKUP($B34,[20]TrtCodes!$B$11:K129,4)</f>
        <v>2</v>
      </c>
      <c r="F34" s="1">
        <f>VLOOKUP($B34,[20]TrtCodes!$B$11:L129,5)</f>
        <v>1</v>
      </c>
      <c r="G34" s="1">
        <f>VLOOKUP($B34,[20]TrtCodes!$B$11:M129,6)</f>
        <v>2</v>
      </c>
      <c r="H34" s="1">
        <f>VLOOKUP($B34,[20]TrtCodes!$B$11:N129,7)</f>
        <v>3</v>
      </c>
      <c r="I34" s="1">
        <f>[20]FormattedData!B92</f>
        <v>1</v>
      </c>
      <c r="J34" s="4">
        <f>[20]FormattedData!C92</f>
        <v>13.709</v>
      </c>
      <c r="K34" s="6">
        <f>$J$3+[20]FormattedData!D92*$J$4+$M$4*$J$5+[20]FormattedData!D92^2*$J$6+$M$5*$J$7</f>
        <v>55.754723246245355</v>
      </c>
      <c r="L34" s="6">
        <f>$J$3+[20]FormattedData!E92*$J$4+$M$4*$J$5+[20]FormattedData!E92^2*$J$6+$M$5*$J$7</f>
        <v>43.831813717578669</v>
      </c>
      <c r="M34" s="6">
        <f>$J$3+[20]FormattedData!F92*$J$4+$M$4*$J$5+[20]FormattedData!F92^2*$J$6+$M$5*$J$7</f>
        <v>53.085006830215043</v>
      </c>
      <c r="N34" s="6">
        <f>$J$3+[20]FormattedData!G92*$J$4+$M$4*$J$5+[20]FormattedData!G92^2*$J$6+$M$5*$J$7</f>
        <v>47.355336506645031</v>
      </c>
      <c r="O34" s="6">
        <f>$J$3+[20]FormattedData!H92*$J$4+$M$4*$J$5+[20]FormattedData!H92^2*$J$6+$M$5*$J$7</f>
        <v>53.345141761972364</v>
      </c>
      <c r="P34" s="6">
        <f>$J$3+[20]FormattedData!I92*$J$4+$M$4*$J$5+[20]FormattedData!I92^2*$J$6+$M$5*$J$7</f>
        <v>45.375612483251992</v>
      </c>
      <c r="Q34" s="6">
        <f>$J$3+[20]FormattedData!J92*$J$4+$M$4*$J$5+[20]FormattedData!J92^2*$J$6+$M$5*$J$7</f>
        <v>46.637803899898984</v>
      </c>
      <c r="R34" s="6">
        <f>$J$3+[20]FormattedData!K92*$J$4+$M$4*$J$5+[20]FormattedData!K92^2*$J$6+$M$5*$J$7</f>
        <v>44.196159467958601</v>
      </c>
      <c r="S34" s="6">
        <f>$J$3+[20]FormattedData!L92*$J$4+$M$4*$J$5+[20]FormattedData!L92^2*$J$6+$M$5*$J$7</f>
        <v>54.123264056196085</v>
      </c>
      <c r="T34" s="6">
        <f>$J$3+[20]FormattedData!M92*$J$4+$M$4*$J$5+[20]FormattedData!M92^2*$J$6+$M$5*$J$7</f>
        <v>37.346287572688155</v>
      </c>
      <c r="U34" s="6">
        <f>$J$3+[20]FormattedData!N92*$J$4+$M$4*$J$5+[20]FormattedData!N92^2*$J$6+$M$5*$J$7</f>
        <v>48.959894033947748</v>
      </c>
      <c r="V34" s="6">
        <f>$J$3+[20]FormattedData!O92*$J$4+$M$4*$J$5+[20]FormattedData!O92^2*$J$6+$M$5*$J$7</f>
        <v>35.170122780906773</v>
      </c>
      <c r="W34" s="5">
        <f t="shared" si="0"/>
        <v>47.098430529792068</v>
      </c>
      <c r="X34" s="4">
        <f t="shared" si="1"/>
        <v>1.8715054169313456</v>
      </c>
      <c r="Y34" s="3">
        <f t="shared" si="2"/>
        <v>35.170122780906773</v>
      </c>
      <c r="Z34" s="2">
        <f t="shared" si="3"/>
        <v>44.10507303036362</v>
      </c>
      <c r="AA34" s="3">
        <f t="shared" si="4"/>
        <v>46.996570203272007</v>
      </c>
      <c r="AB34" s="2">
        <f t="shared" si="5"/>
        <v>53.150040563154377</v>
      </c>
      <c r="AC34" s="2">
        <f t="shared" si="6"/>
        <v>55.754723246245355</v>
      </c>
      <c r="AD34" s="2">
        <f t="shared" si="7"/>
        <v>-0.49208692056475184</v>
      </c>
      <c r="AE34" s="2">
        <f t="shared" si="8"/>
        <v>-0.43391178300434774</v>
      </c>
    </row>
    <row r="35" spans="2:31" x14ac:dyDescent="0.2">
      <c r="B35" s="1">
        <f>[20]FormattedData!A90</f>
        <v>402</v>
      </c>
      <c r="C35" s="1" t="str">
        <f>VLOOKUP($B35,[20]TrtCodes!$B$11:I130,2)</f>
        <v>NTH</v>
      </c>
      <c r="D35" s="1">
        <f>VLOOKUP($B35,[20]TrtCodes!$B$11:J130,3)</f>
        <v>9</v>
      </c>
      <c r="E35" s="1">
        <f>VLOOKUP($B35,[20]TrtCodes!$B$11:K130,4)</f>
        <v>2</v>
      </c>
      <c r="F35" s="1">
        <f>VLOOKUP($B35,[20]TrtCodes!$B$11:L130,5)</f>
        <v>2</v>
      </c>
      <c r="G35" s="1">
        <f>VLOOKUP($B35,[20]TrtCodes!$B$11:M130,6)</f>
        <v>2</v>
      </c>
      <c r="H35" s="1">
        <f>VLOOKUP($B35,[20]TrtCodes!$B$11:N130,7)</f>
        <v>3</v>
      </c>
      <c r="I35" s="1">
        <f>[20]FormattedData!B90</f>
        <v>1</v>
      </c>
      <c r="J35" s="4">
        <f>[20]FormattedData!C90</f>
        <v>13.693</v>
      </c>
      <c r="K35" s="6">
        <f>$J$3+[20]FormattedData!D90*$J$4+$M$4*$J$5+[20]FormattedData!D90^2*$J$6+$M$5*$J$7</f>
        <v>48.426563192212363</v>
      </c>
      <c r="L35" s="6">
        <f>$J$3+[20]FormattedData!E90*$J$4+$M$4*$J$5+[20]FormattedData!E90^2*$J$6+$M$5*$J$7</f>
        <v>37.81640807759414</v>
      </c>
      <c r="M35" s="6">
        <f>$J$3+[20]FormattedData!F90*$J$4+$M$4*$J$5+[20]FormattedData!F90^2*$J$6+$M$5*$J$7</f>
        <v>33.067650923361718</v>
      </c>
      <c r="N35" s="6">
        <f>$J$3+[20]FormattedData!G90*$J$4+$M$4*$J$5+[20]FormattedData!G90^2*$J$6+$M$5*$J$7</f>
        <v>41.354790519389923</v>
      </c>
      <c r="O35" s="6">
        <f>$J$3+[20]FormattedData!H90*$J$4+$M$4*$J$5+[20]FormattedData!H90^2*$J$6+$M$5*$J$7</f>
        <v>38.846953557049382</v>
      </c>
      <c r="P35" s="6">
        <f>$J$3+[20]FormattedData!I90*$J$4+$M$4*$J$5+[20]FormattedData!I90^2*$J$6+$M$5*$J$7</f>
        <v>36.024328443406546</v>
      </c>
      <c r="Q35" s="6">
        <f>$J$3+[20]FormattedData!J90*$J$4+$M$4*$J$5+[20]FormattedData!J90^2*$J$6+$M$5*$J$7</f>
        <v>34.503373560838369</v>
      </c>
      <c r="R35" s="6">
        <f>$J$3+[20]FormattedData!K90*$J$4+$M$4*$J$5+[20]FormattedData!K90^2*$J$6+$M$5*$J$7</f>
        <v>34.884626726390756</v>
      </c>
      <c r="S35" s="6">
        <f>$J$3+[20]FormattedData!L90*$J$4+$M$4*$J$5+[20]FormattedData!L90^2*$J$6+$M$5*$J$7</f>
        <v>35.170122780906773</v>
      </c>
      <c r="T35" s="6">
        <f>$J$3+[20]FormattedData!M90*$J$4+$M$4*$J$5+[20]FormattedData!M90^2*$J$6+$M$5*$J$7</f>
        <v>37.063708047289389</v>
      </c>
      <c r="U35" s="6">
        <f>$J$3+[20]FormattedData!N90*$J$4+$M$4*$J$5+[20]FormattedData!N90^2*$J$6+$M$5*$J$7</f>
        <v>39.686322962735318</v>
      </c>
      <c r="V35" s="6">
        <f>$J$3+[20]FormattedData!O90*$J$4+$M$4*$J$5+[20]FormattedData!O90^2*$J$6+$M$5*$J$7</f>
        <v>32.779365145342247</v>
      </c>
      <c r="W35" s="5">
        <f t="shared" si="0"/>
        <v>37.468684494709741</v>
      </c>
      <c r="X35" s="4">
        <f t="shared" si="1"/>
        <v>1.2506912497074125</v>
      </c>
      <c r="Y35" s="3">
        <f t="shared" si="2"/>
        <v>32.779365145342247</v>
      </c>
      <c r="Z35" s="2">
        <f t="shared" si="3"/>
        <v>34.789313435002661</v>
      </c>
      <c r="AA35" s="3">
        <f t="shared" si="4"/>
        <v>36.544018245347971</v>
      </c>
      <c r="AB35" s="2">
        <f t="shared" si="5"/>
        <v>39.056795908470868</v>
      </c>
      <c r="AC35" s="2">
        <f t="shared" si="6"/>
        <v>48.426563192212363</v>
      </c>
      <c r="AD35" s="2">
        <f t="shared" si="7"/>
        <v>1.5307115416227379</v>
      </c>
      <c r="AE35" s="2">
        <f t="shared" si="8"/>
        <v>2.9822079025154729</v>
      </c>
    </row>
    <row r="36" spans="2:31" x14ac:dyDescent="0.2">
      <c r="B36" s="1">
        <f>[20]FormattedData!A88</f>
        <v>403</v>
      </c>
      <c r="C36" s="1" t="str">
        <f>VLOOKUP($B36,[20]TrtCodes!$B$11:I131,2)</f>
        <v>FDL</v>
      </c>
      <c r="D36" s="1">
        <f>VLOOKUP($B36,[20]TrtCodes!$B$11:J131,3)</f>
        <v>6</v>
      </c>
      <c r="E36" s="1">
        <f>VLOOKUP($B36,[20]TrtCodes!$B$11:K131,4)</f>
        <v>1</v>
      </c>
      <c r="F36" s="1">
        <f>VLOOKUP($B36,[20]TrtCodes!$B$11:L131,5)</f>
        <v>3</v>
      </c>
      <c r="G36" s="1">
        <f>VLOOKUP($B36,[20]TrtCodes!$B$11:M131,6)</f>
        <v>1</v>
      </c>
      <c r="H36" s="1">
        <f>VLOOKUP($B36,[20]TrtCodes!$B$11:N131,7)</f>
        <v>3</v>
      </c>
      <c r="I36" s="1">
        <f>[20]FormattedData!B88</f>
        <v>1</v>
      </c>
      <c r="J36" s="4">
        <f>[20]FormattedData!C88</f>
        <v>13.678000000000001</v>
      </c>
      <c r="K36" s="6">
        <f>$J$3+[20]FormattedData!D88*$J$4+$M$4*$J$5+[20]FormattedData!D88^2*$J$6+$M$5*$J$7</f>
        <v>33.547281849302216</v>
      </c>
      <c r="L36" s="6">
        <f>$J$3+[20]FormattedData!E88*$J$4+$M$4*$J$5+[20]FormattedData!E88^2*$J$6+$M$5*$J$7</f>
        <v>31.041661723556434</v>
      </c>
      <c r="M36" s="6">
        <f>$J$3+[20]FormattedData!F88*$J$4+$M$4*$J$5+[20]FormattedData!F88^2*$J$6+$M$5*$J$7</f>
        <v>30.944721093457986</v>
      </c>
      <c r="N36" s="6">
        <f>$J$3+[20]FormattedData!G88*$J$4+$M$4*$J$5+[20]FormattedData!G88^2*$J$6+$M$5*$J$7</f>
        <v>31.815665096978485</v>
      </c>
      <c r="O36" s="6">
        <f>$J$3+[20]FormattedData!H88*$J$4+$M$4*$J$5+[20]FormattedData!H88^2*$J$6+$M$5*$J$7</f>
        <v>30.65364559193506</v>
      </c>
      <c r="P36" s="6">
        <f>$J$3+[20]FormattedData!I88*$J$4+$M$4*$J$5+[20]FormattedData!I88^2*$J$6+$M$5*$J$7</f>
        <v>32.298043477884505</v>
      </c>
      <c r="Q36" s="6">
        <f>$J$3+[20]FormattedData!J88*$J$4+$M$4*$J$5+[20]FormattedData!J88^2*$J$6+$M$5*$J$7</f>
        <v>31.622417864850558</v>
      </c>
      <c r="R36" s="6">
        <f>$J$3+[20]FormattedData!K88*$J$4+$M$4*$J$5+[20]FormattedData!K88^2*$J$6+$M$5*$J$7</f>
        <v>31.815665096978485</v>
      </c>
      <c r="S36" s="6">
        <f>$J$3+[20]FormattedData!L88*$J$4+$M$4*$J$5+[20]FormattedData!L88^2*$J$6+$M$5*$J$7</f>
        <v>34.694084680690423</v>
      </c>
      <c r="T36" s="6">
        <f>$J$3+[20]FormattedData!M88*$J$4+$M$4*$J$5+[20]FormattedData!M88^2*$J$6+$M$5*$J$7</f>
        <v>32.875502673219998</v>
      </c>
      <c r="U36" s="6">
        <f>$J$3+[20]FormattedData!N88*$J$4+$M$4*$J$5+[20]FormattedData!N88^2*$J$6+$M$5*$J$7</f>
        <v>34.216989867025795</v>
      </c>
      <c r="V36" s="6">
        <f>$J$3+[20]FormattedData!O88*$J$4+$M$4*$J$5+[20]FormattedData!O88^2*$J$6+$M$5*$J$7</f>
        <v>31.815665096978485</v>
      </c>
      <c r="W36" s="5">
        <f t="shared" si="0"/>
        <v>32.278445342738202</v>
      </c>
      <c r="X36" s="4">
        <f t="shared" si="1"/>
        <v>0.3751905874294319</v>
      </c>
      <c r="Y36" s="3">
        <f t="shared" si="2"/>
        <v>30.65364559193506</v>
      </c>
      <c r="Z36" s="2">
        <f t="shared" si="3"/>
        <v>31.477228829527029</v>
      </c>
      <c r="AA36" s="3">
        <f t="shared" si="4"/>
        <v>31.815665096978485</v>
      </c>
      <c r="AB36" s="2">
        <f t="shared" si="5"/>
        <v>33.043447467240554</v>
      </c>
      <c r="AC36" s="2">
        <f t="shared" si="6"/>
        <v>34.694084680690423</v>
      </c>
      <c r="AD36" s="2">
        <f t="shared" si="7"/>
        <v>0.72065039936876718</v>
      </c>
      <c r="AE36" s="2">
        <f t="shared" si="8"/>
        <v>-0.51627680202831261</v>
      </c>
    </row>
    <row r="37" spans="2:31" x14ac:dyDescent="0.2">
      <c r="B37" s="1">
        <f>[20]FormattedData!A86</f>
        <v>404</v>
      </c>
      <c r="C37" s="1" t="str">
        <f>VLOOKUP($B37,[20]TrtCodes!$B$11:I129,2)</f>
        <v>FTH</v>
      </c>
      <c r="D37" s="1">
        <f>VLOOKUP($B37,[20]TrtCodes!$B$11:J129,3)</f>
        <v>3</v>
      </c>
      <c r="E37" s="1">
        <f>VLOOKUP($B37,[20]TrtCodes!$B$11:K129,4)</f>
        <v>1</v>
      </c>
      <c r="F37" s="1">
        <f>VLOOKUP($B37,[20]TrtCodes!$B$11:L129,5)</f>
        <v>2</v>
      </c>
      <c r="G37" s="1">
        <f>VLOOKUP($B37,[20]TrtCodes!$B$11:M129,6)</f>
        <v>2</v>
      </c>
      <c r="H37" s="1">
        <f>VLOOKUP($B37,[20]TrtCodes!$B$11:N129,7)</f>
        <v>3</v>
      </c>
      <c r="I37" s="1">
        <f>[20]FormattedData!B86</f>
        <v>1</v>
      </c>
      <c r="J37" s="4">
        <f>[20]FormattedData!C86</f>
        <v>13.662000000000001</v>
      </c>
      <c r="K37" s="6">
        <f>$J$3+[20]FormattedData!D86*$J$4+$M$4*$J$5+[20]FormattedData!D86^2*$J$6+$M$5*$J$7</f>
        <v>34.694084680690423</v>
      </c>
      <c r="L37" s="6">
        <f>$J$3+[20]FormattedData!E86*$J$4+$M$4*$J$5+[20]FormattedData!E86^2*$J$6+$M$5*$J$7</f>
        <v>31.912225310235549</v>
      </c>
      <c r="M37" s="6">
        <f>$J$3+[20]FormattedData!F86*$J$4+$M$4*$J$5+[20]FormattedData!F86^2*$J$6+$M$5*$J$7</f>
        <v>30.847738194821609</v>
      </c>
      <c r="N37" s="6">
        <f>$J$3+[20]FormattedData!G86*$J$4+$M$4*$J$5+[20]FormattedData!G86^2*$J$6+$M$5*$J$7</f>
        <v>31.525730845979702</v>
      </c>
      <c r="O37" s="6">
        <f>$J$3+[20]FormattedData!H86*$J$4+$M$4*$J$5+[20]FormattedData!H86^2*$J$6+$M$5*$J$7</f>
        <v>32.105218931135894</v>
      </c>
      <c r="P37" s="6">
        <f>$J$3+[20]FormattedData!I86*$J$4+$M$4*$J$5+[20]FormattedData!I86^2*$J$6+$M$5*$J$7</f>
        <v>32.586963283972949</v>
      </c>
      <c r="Q37" s="6">
        <f>$J$3+[20]FormattedData!J86*$J$4+$M$4*$J$5+[20]FormattedData!J86^2*$J$6+$M$5*$J$7</f>
        <v>31.622417864850558</v>
      </c>
      <c r="R37" s="6">
        <f>$J$3+[20]FormattedData!K86*$J$4+$M$4*$J$5+[20]FormattedData!K86^2*$J$6+$M$5*$J$7</f>
        <v>35.170122780906773</v>
      </c>
      <c r="S37" s="6">
        <f>$J$3+[20]FormattedData!L86*$J$4+$M$4*$J$5+[20]FormattedData!L86^2*$J$6+$M$5*$J$7</f>
        <v>30.459383914896783</v>
      </c>
      <c r="T37" s="6">
        <f>$J$3+[20]FormattedData!M86*$J$4+$M$4*$J$5+[20]FormattedData!M86^2*$J$6+$M$5*$J$7</f>
        <v>33.16366164562568</v>
      </c>
      <c r="U37" s="6">
        <f>$J$3+[20]FormattedData!N86*$J$4+$M$4*$J$5+[20]FormattedData!N86^2*$J$6+$M$5*$J$7</f>
        <v>31.138560085116946</v>
      </c>
      <c r="V37" s="6">
        <f>$J$3+[20]FormattedData!O86*$J$4+$M$4*$J$5+[20]FormattedData!O86^2*$J$6+$M$5*$J$7</f>
        <v>37.157943490960243</v>
      </c>
      <c r="W37" s="5">
        <f t="shared" si="0"/>
        <v>32.69867091909942</v>
      </c>
      <c r="X37" s="4">
        <f t="shared" si="1"/>
        <v>0.58116036153231521</v>
      </c>
      <c r="Y37" s="3">
        <f t="shared" si="2"/>
        <v>30.459383914896783</v>
      </c>
      <c r="Z37" s="2">
        <f t="shared" si="3"/>
        <v>31.428938155764012</v>
      </c>
      <c r="AA37" s="3">
        <f t="shared" si="4"/>
        <v>32.008722120685718</v>
      </c>
      <c r="AB37" s="2">
        <f t="shared" si="5"/>
        <v>33.54626740439187</v>
      </c>
      <c r="AC37" s="2">
        <f t="shared" si="6"/>
        <v>37.157943490960243</v>
      </c>
      <c r="AD37" s="2">
        <f t="shared" si="7"/>
        <v>1.1617157949428045</v>
      </c>
      <c r="AE37" s="2">
        <f t="shared" si="8"/>
        <v>0.7167403440535729</v>
      </c>
    </row>
    <row r="38" spans="2:31" x14ac:dyDescent="0.2">
      <c r="B38" s="1">
        <f>[20]FormattedData!A84</f>
        <v>405</v>
      </c>
      <c r="C38" s="1" t="str">
        <f>VLOOKUP($B38,[20]TrtCodes!$B$11:I127,2)</f>
        <v>FDL</v>
      </c>
      <c r="D38" s="1">
        <f>VLOOKUP($B38,[20]TrtCodes!$B$11:J127,3)</f>
        <v>6</v>
      </c>
      <c r="E38" s="1">
        <f>VLOOKUP($B38,[20]TrtCodes!$B$11:K127,4)</f>
        <v>1</v>
      </c>
      <c r="F38" s="1">
        <f>VLOOKUP($B38,[20]TrtCodes!$B$11:L127,5)</f>
        <v>3</v>
      </c>
      <c r="G38" s="1">
        <f>VLOOKUP($B38,[20]TrtCodes!$B$11:M127,6)</f>
        <v>1</v>
      </c>
      <c r="H38" s="1">
        <f>VLOOKUP($B38,[20]TrtCodes!$B$11:N127,7)</f>
        <v>4</v>
      </c>
      <c r="I38" s="1">
        <f>[20]FormattedData!B84</f>
        <v>1</v>
      </c>
      <c r="J38" s="4">
        <f>[20]FormattedData!C84</f>
        <v>13.646000000000001</v>
      </c>
      <c r="K38" s="6">
        <f>$J$3+[20]FormattedData!D84*$J$4+$M$4*$J$5+[20]FormattedData!D84^2*$J$6+$M$5*$J$7</f>
        <v>33.930225756371847</v>
      </c>
      <c r="L38" s="6">
        <f>$J$3+[20]FormattedData!E84*$J$4+$M$4*$J$5+[20]FormattedData!E84^2*$J$6+$M$5*$J$7</f>
        <v>31.815665096978485</v>
      </c>
      <c r="M38" s="6">
        <f>$J$3+[20]FormattedData!F84*$J$4+$M$4*$J$5+[20]FormattedData!F84^2*$J$6+$M$5*$J$7</f>
        <v>32.683185348926564</v>
      </c>
      <c r="N38" s="6">
        <f>$J$3+[20]FormattedData!G84*$J$4+$M$4*$J$5+[20]FormattedData!G84^2*$J$6+$M$5*$J$7</f>
        <v>33.16366164562568</v>
      </c>
      <c r="O38" s="6">
        <f>$J$3+[20]FormattedData!H84*$J$4+$M$4*$J$5+[20]FormattedData!H84^2*$J$6+$M$5*$J$7</f>
        <v>32.201652338779162</v>
      </c>
      <c r="P38" s="6">
        <f>$J$3+[20]FormattedData!I84*$J$4+$M$4*$J$5+[20]FormattedData!I84^2*$J$6+$M$5*$J$7</f>
        <v>33.25963009935171</v>
      </c>
      <c r="Q38" s="6">
        <f>$J$3+[20]FormattedData!J84*$J$4+$M$4*$J$5+[20]FormattedData!J84^2*$J$6+$M$5*$J$7</f>
        <v>33.16366164562568</v>
      </c>
      <c r="R38" s="6">
        <f>$J$3+[20]FormattedData!K84*$J$4+$M$4*$J$5+[20]FormattedData!K84^2*$J$6+$M$5*$J$7</f>
        <v>33.16366164562568</v>
      </c>
      <c r="S38" s="6">
        <f>$J$3+[20]FormattedData!L84*$J$4+$M$4*$J$5+[20]FormattedData!L84^2*$J$6+$M$5*$J$7</f>
        <v>34.025856061794435</v>
      </c>
      <c r="T38" s="6">
        <f>$J$3+[20]FormattedData!M84*$J$4+$M$4*$J$5+[20]FormattedData!M84^2*$J$6+$M$5*$J$7</f>
        <v>33.067650923361718</v>
      </c>
      <c r="U38" s="6">
        <f>$J$3+[20]FormattedData!N84*$J$4+$M$4*$J$5+[20]FormattedData!N84^2*$J$6+$M$5*$J$7</f>
        <v>35.929585777280515</v>
      </c>
      <c r="V38" s="6">
        <f>$J$3+[20]FormattedData!O84*$J$4+$M$4*$J$5+[20]FormattedData!O84^2*$J$6+$M$5*$J$7</f>
        <v>33.25963009935171</v>
      </c>
      <c r="W38" s="5">
        <f t="shared" si="0"/>
        <v>33.305338869922764</v>
      </c>
      <c r="X38" s="4">
        <f t="shared" si="1"/>
        <v>0.29824637515815755</v>
      </c>
      <c r="Y38" s="3">
        <f t="shared" si="2"/>
        <v>31.815665096978485</v>
      </c>
      <c r="Z38" s="2">
        <f t="shared" si="3"/>
        <v>32.97153452975293</v>
      </c>
      <c r="AA38" s="3">
        <f t="shared" si="4"/>
        <v>33.16366164562568</v>
      </c>
      <c r="AB38" s="2">
        <f t="shared" si="5"/>
        <v>33.427279013606743</v>
      </c>
      <c r="AC38" s="2">
        <f t="shared" si="6"/>
        <v>35.929585777280515</v>
      </c>
      <c r="AD38" s="2">
        <f t="shared" si="7"/>
        <v>1.3628641446138035</v>
      </c>
      <c r="AE38" s="2">
        <f t="shared" si="8"/>
        <v>3.4917542401260864</v>
      </c>
    </row>
    <row r="39" spans="2:31" x14ac:dyDescent="0.2">
      <c r="B39" s="1">
        <f>[20]FormattedData!A82</f>
        <v>406</v>
      </c>
      <c r="C39" s="1" t="str">
        <f>VLOOKUP($B39,[20]TrtCodes!$B$11:I125,2)</f>
        <v>FTH</v>
      </c>
      <c r="D39" s="1">
        <f>VLOOKUP($B39,[20]TrtCodes!$B$11:J125,3)</f>
        <v>3</v>
      </c>
      <c r="E39" s="1">
        <f>VLOOKUP($B39,[20]TrtCodes!$B$11:K125,4)</f>
        <v>1</v>
      </c>
      <c r="F39" s="1">
        <f>VLOOKUP($B39,[20]TrtCodes!$B$11:L125,5)</f>
        <v>2</v>
      </c>
      <c r="G39" s="1">
        <f>VLOOKUP($B39,[20]TrtCodes!$B$11:M125,6)</f>
        <v>2</v>
      </c>
      <c r="H39" s="1">
        <f>VLOOKUP($B39,[20]TrtCodes!$B$11:N125,7)</f>
        <v>4</v>
      </c>
      <c r="I39" s="1">
        <f>[20]FormattedData!B82</f>
        <v>1</v>
      </c>
      <c r="J39" s="4">
        <f>[20]FormattedData!C82</f>
        <v>13.63</v>
      </c>
      <c r="K39" s="6">
        <f>$J$3+[20]FormattedData!D82*$J$4+$M$4*$J$5+[20]FormattedData!D82^2*$J$6+$M$5*$J$7</f>
        <v>36.591896800866145</v>
      </c>
      <c r="L39" s="6">
        <f>$J$3+[20]FormattedData!E82*$J$4+$M$4*$J$5+[20]FormattedData!E82^2*$J$6+$M$5*$J$7</f>
        <v>33.25963009935171</v>
      </c>
      <c r="M39" s="6">
        <f>$J$3+[20]FormattedData!F82*$J$4+$M$4*$J$5+[20]FormattedData!F82^2*$J$6+$M$5*$J$7</f>
        <v>32.875502673219998</v>
      </c>
      <c r="N39" s="6">
        <f>$J$3+[20]FormattedData!G82*$J$4+$M$4*$J$5+[20]FormattedData!G82^2*$J$6+$M$5*$J$7</f>
        <v>32.105218931135894</v>
      </c>
      <c r="O39" s="6">
        <f>$J$3+[20]FormattedData!H82*$J$4+$M$4*$J$5+[20]FormattedData!H82^2*$J$6+$M$5*$J$7</f>
        <v>32.683185348926564</v>
      </c>
      <c r="P39" s="6">
        <f>$J$3+[20]FormattedData!I82*$J$4+$M$4*$J$5+[20]FormattedData!I82^2*$J$6+$M$5*$J$7</f>
        <v>31.815665096978485</v>
      </c>
      <c r="Q39" s="6">
        <f>$J$3+[20]FormattedData!J82*$J$4+$M$4*$J$5+[20]FormattedData!J82^2*$J$6+$M$5*$J$7</f>
        <v>30.847738194821609</v>
      </c>
      <c r="R39" s="6">
        <f>$J$3+[20]FormattedData!K82*$J$4+$M$4*$J$5+[20]FormattedData!K82^2*$J$6+$M$5*$J$7</f>
        <v>32.105218931135894</v>
      </c>
      <c r="S39" s="6">
        <f>$J$3+[20]FormattedData!L82*$J$4+$M$4*$J$5+[20]FormattedData!L82^2*$J$6+$M$5*$J$7</f>
        <v>30.847738194821609</v>
      </c>
      <c r="T39" s="6">
        <f>$J$3+[20]FormattedData!M82*$J$4+$M$4*$J$5+[20]FormattedData!M82^2*$J$6+$M$5*$J$7</f>
        <v>32.971597932559824</v>
      </c>
      <c r="U39" s="6">
        <f>$J$3+[20]FormattedData!N82*$J$4+$M$4*$J$5+[20]FormattedData!N82^2*$J$6+$M$5*$J$7</f>
        <v>30.750713027647297</v>
      </c>
      <c r="V39" s="6">
        <f>$J$3+[20]FormattedData!O82*$J$4+$M$4*$J$5+[20]FormattedData!O82^2*$J$6+$M$5*$J$7</f>
        <v>35.360242141227793</v>
      </c>
      <c r="W39" s="5">
        <f t="shared" si="0"/>
        <v>32.684528947724395</v>
      </c>
      <c r="X39" s="4">
        <f t="shared" si="1"/>
        <v>0.51338121928715563</v>
      </c>
      <c r="Y39" s="3">
        <f t="shared" si="2"/>
        <v>30.750713027647297</v>
      </c>
      <c r="Z39" s="2">
        <f t="shared" si="3"/>
        <v>31.573683371439266</v>
      </c>
      <c r="AA39" s="3">
        <f t="shared" si="4"/>
        <v>32.394202140031226</v>
      </c>
      <c r="AB39" s="2">
        <f t="shared" si="5"/>
        <v>33.043605974257794</v>
      </c>
      <c r="AC39" s="2">
        <f t="shared" si="6"/>
        <v>36.591896800866145</v>
      </c>
      <c r="AD39" s="2">
        <f t="shared" si="7"/>
        <v>1.1319646982825393</v>
      </c>
      <c r="AE39" s="2">
        <f t="shared" si="8"/>
        <v>1.0394525850737457</v>
      </c>
    </row>
    <row r="40" spans="2:31" x14ac:dyDescent="0.2">
      <c r="B40" s="1">
        <f>[20]FormattedData!A80</f>
        <v>407</v>
      </c>
      <c r="C40" s="1" t="str">
        <f>VLOOKUP($B40,[20]TrtCodes!$B$11:I123,2)</f>
        <v>NSH</v>
      </c>
      <c r="D40" s="1">
        <f>VLOOKUP($B40,[20]TrtCodes!$B$11:J123,3)</f>
        <v>7</v>
      </c>
      <c r="E40" s="1">
        <f>VLOOKUP($B40,[20]TrtCodes!$B$11:K123,4)</f>
        <v>2</v>
      </c>
      <c r="F40" s="1">
        <f>VLOOKUP($B40,[20]TrtCodes!$B$11:L123,5)</f>
        <v>1</v>
      </c>
      <c r="G40" s="1">
        <f>VLOOKUP($B40,[20]TrtCodes!$B$11:M123,6)</f>
        <v>2</v>
      </c>
      <c r="H40" s="1">
        <f>VLOOKUP($B40,[20]TrtCodes!$B$11:N123,7)</f>
        <v>4</v>
      </c>
      <c r="I40" s="1">
        <f>[20]FormattedData!B80</f>
        <v>1</v>
      </c>
      <c r="J40" s="4">
        <f>[20]FormattedData!C80</f>
        <v>13.61</v>
      </c>
      <c r="K40" s="6">
        <f>$J$3+[20]FormattedData!D80*$J$4+$M$4*$J$5+[20]FormattedData!D80^2*$J$6+$M$5*$J$7</f>
        <v>47.713088365107701</v>
      </c>
      <c r="L40" s="6">
        <f>$J$3+[20]FormattedData!E80*$J$4+$M$4*$J$5+[20]FormattedData!E80^2*$J$6+$M$5*$J$7</f>
        <v>39.127123775786075</v>
      </c>
      <c r="M40" s="6">
        <f>$J$3+[20]FormattedData!F80*$J$4+$M$4*$J$5+[20]FormattedData!F80^2*$J$6+$M$5*$J$7</f>
        <v>38.566402921471308</v>
      </c>
      <c r="N40" s="6">
        <f>$J$3+[20]FormattedData!G80*$J$4+$M$4*$J$5+[20]FormattedData!G80^2*$J$6+$M$5*$J$7</f>
        <v>37.252136666093165</v>
      </c>
      <c r="O40" s="6">
        <f>$J$3+[20]FormattedData!H80*$J$4+$M$4*$J$5+[20]FormattedData!H80^2*$J$6+$M$5*$J$7</f>
        <v>39.313692578920879</v>
      </c>
      <c r="P40" s="6">
        <f>$J$3+[20]FormattedData!I80*$J$4+$M$4*$J$5+[20]FormattedData!I80^2*$J$6+$M$5*$J$7</f>
        <v>45.194623127124103</v>
      </c>
      <c r="Q40" s="6">
        <f>$J$3+[20]FormattedData!J80*$J$4+$M$4*$J$5+[20]FormattedData!J80^2*$J$6+$M$5*$J$7</f>
        <v>39.686322962735318</v>
      </c>
      <c r="R40" s="6">
        <f>$J$3+[20]FormattedData!K80*$J$4+$M$4*$J$5+[20]FormattedData!K80^2*$J$6+$M$5*$J$7</f>
        <v>39.593228769588606</v>
      </c>
      <c r="S40" s="6">
        <f>$J$3+[20]FormattedData!L80*$J$4+$M$4*$J$5+[20]FormattedData!L80^2*$J$6+$M$5*$J$7</f>
        <v>39.686322962735318</v>
      </c>
      <c r="T40" s="6">
        <f>$J$3+[20]FormattedData!M80*$J$4+$M$4*$J$5+[20]FormattedData!M80^2*$J$6+$M$5*$J$7</f>
        <v>41.723701271866418</v>
      </c>
      <c r="U40" s="6">
        <f>$J$3+[20]FormattedData!N80*$J$4+$M$4*$J$5+[20]FormattedData!N80^2*$J$6+$M$5*$J$7</f>
        <v>43.466791670591832</v>
      </c>
      <c r="V40" s="6">
        <f>$J$3+[20]FormattedData!O80*$J$4+$M$4*$J$5+[20]FormattedData!O80^2*$J$6+$M$5*$J$7</f>
        <v>35.455238418581416</v>
      </c>
      <c r="W40" s="5">
        <f t="shared" si="0"/>
        <v>40.564889457550173</v>
      </c>
      <c r="X40" s="4">
        <f t="shared" si="1"/>
        <v>0.99045605668428138</v>
      </c>
      <c r="Y40" s="3">
        <f t="shared" si="2"/>
        <v>35.455238418581416</v>
      </c>
      <c r="Z40" s="2">
        <f t="shared" si="3"/>
        <v>38.986943562207387</v>
      </c>
      <c r="AA40" s="3">
        <f t="shared" si="4"/>
        <v>39.639775866161962</v>
      </c>
      <c r="AB40" s="2">
        <f t="shared" si="5"/>
        <v>42.159473871547775</v>
      </c>
      <c r="AC40" s="2">
        <f t="shared" si="6"/>
        <v>47.713088365107701</v>
      </c>
      <c r="AD40" s="2">
        <f t="shared" si="7"/>
        <v>0.82521476680269579</v>
      </c>
      <c r="AE40" s="2">
        <f t="shared" si="8"/>
        <v>0.48068593480678601</v>
      </c>
    </row>
    <row r="41" spans="2:31" x14ac:dyDescent="0.2">
      <c r="B41" s="1">
        <f>[20]FormattedData!A78</f>
        <v>408</v>
      </c>
      <c r="C41" s="1" t="str">
        <f>VLOOKUP($B41,[20]TrtCodes!$B$11:I121,2)</f>
        <v>NTL</v>
      </c>
      <c r="D41" s="1">
        <f>VLOOKUP($B41,[20]TrtCodes!$B$11:J121,3)</f>
        <v>10</v>
      </c>
      <c r="E41" s="1">
        <f>VLOOKUP($B41,[20]TrtCodes!$B$11:K121,4)</f>
        <v>2</v>
      </c>
      <c r="F41" s="1">
        <f>VLOOKUP($B41,[20]TrtCodes!$B$11:L121,5)</f>
        <v>2</v>
      </c>
      <c r="G41" s="1">
        <f>VLOOKUP($B41,[20]TrtCodes!$B$11:M121,6)</f>
        <v>1</v>
      </c>
      <c r="H41" s="1">
        <f>VLOOKUP($B41,[20]TrtCodes!$B$11:N121,7)</f>
        <v>4</v>
      </c>
      <c r="I41" s="1">
        <f>[20]FormattedData!B78</f>
        <v>1</v>
      </c>
      <c r="J41" s="4">
        <f>[20]FormattedData!C78</f>
        <v>13.595000000000001</v>
      </c>
      <c r="K41" s="6">
        <f>$J$3+[20]FormattedData!D78*$J$4+$M$4*$J$5+[20]FormattedData!D78^2*$J$6+$M$5*$J$7</f>
        <v>43.192581315703428</v>
      </c>
      <c r="L41" s="6">
        <f>$J$3+[20]FormattedData!E78*$J$4+$M$4*$J$5+[20]FormattedData!E78^2*$J$6+$M$5*$J$7</f>
        <v>34.407954598105441</v>
      </c>
      <c r="M41" s="6">
        <f>$J$3+[20]FormattedData!F78*$J$4+$M$4*$J$5+[20]FormattedData!F78^2*$J$6+$M$5*$J$7</f>
        <v>36.213686970044805</v>
      </c>
      <c r="N41" s="6">
        <f>$J$3+[20]FormattedData!G78*$J$4+$M$4*$J$5+[20]FormattedData!G78^2*$J$6+$M$5*$J$7</f>
        <v>33.834553182411341</v>
      </c>
      <c r="O41" s="6">
        <f>$J$3+[20]FormattedData!H78*$J$4+$M$4*$J$5+[20]FormattedData!H78^2*$J$6+$M$5*$J$7</f>
        <v>34.121444098679085</v>
      </c>
      <c r="P41" s="6">
        <f>$J$3+[20]FormattedData!I78*$J$4+$M$4*$J$5+[20]FormattedData!I78^2*$J$6+$M$5*$J$7</f>
        <v>33.547281849302216</v>
      </c>
      <c r="Q41" s="6">
        <f>$J$3+[20]FormattedData!J78*$J$4+$M$4*$J$5+[20]FormattedData!J78^2*$J$6+$M$5*$J$7</f>
        <v>37.063708047289389</v>
      </c>
      <c r="R41" s="6">
        <f>$J$3+[20]FormattedData!K78*$J$4+$M$4*$J$5+[20]FormattedData!K78^2*$J$6+$M$5*$J$7</f>
        <v>34.025856061794435</v>
      </c>
      <c r="S41" s="6">
        <f>$J$3+[20]FormattedData!L78*$J$4+$M$4*$J$5+[20]FormattedData!L78^2*$J$6+$M$5*$J$7</f>
        <v>36.591896800866145</v>
      </c>
      <c r="T41" s="6">
        <f>$J$3+[20]FormattedData!M78*$J$4+$M$4*$J$5+[20]FormattedData!M78^2*$J$6+$M$5*$J$7</f>
        <v>34.025856061794435</v>
      </c>
      <c r="U41" s="6">
        <f>$J$3+[20]FormattedData!N78*$J$4+$M$4*$J$5+[20]FormattedData!N78^2*$J$6+$M$5*$J$7</f>
        <v>38.47280150586942</v>
      </c>
      <c r="V41" s="6">
        <f>$J$3+[20]FormattedData!O78*$J$4+$M$4*$J$5+[20]FormattedData!O78^2*$J$6+$M$5*$J$7</f>
        <v>33.451440201189975</v>
      </c>
      <c r="W41" s="5">
        <f t="shared" si="0"/>
        <v>35.745755057754181</v>
      </c>
      <c r="X41" s="4">
        <f t="shared" si="1"/>
        <v>0.8241523599796452</v>
      </c>
      <c r="Y41" s="3">
        <f t="shared" si="2"/>
        <v>33.451440201189975</v>
      </c>
      <c r="Z41" s="2">
        <f t="shared" si="3"/>
        <v>33.97803034194866</v>
      </c>
      <c r="AA41" s="3">
        <f t="shared" si="4"/>
        <v>34.264699348392263</v>
      </c>
      <c r="AB41" s="2">
        <f t="shared" si="5"/>
        <v>36.709849612471956</v>
      </c>
      <c r="AC41" s="2">
        <f t="shared" si="6"/>
        <v>43.192581315703428</v>
      </c>
      <c r="AD41" s="2">
        <f t="shared" si="7"/>
        <v>1.826962684489511</v>
      </c>
      <c r="AE41" s="2">
        <f t="shared" si="8"/>
        <v>3.6189956011893285</v>
      </c>
    </row>
    <row r="42" spans="2:31" x14ac:dyDescent="0.2">
      <c r="B42" s="17">
        <f>[20]FormattedData!A60</f>
        <v>901</v>
      </c>
      <c r="C42" s="17" t="str">
        <f>VLOOKUP($B42,[20]TrtCodes!$B$11:I103,2)</f>
        <v>WS</v>
      </c>
      <c r="D42" s="17">
        <f>VLOOKUP($B42,[20]TrtCodes!$B$11:J103,3)</f>
        <v>32</v>
      </c>
      <c r="E42" s="17">
        <f>VLOOKUP($B42,[20]TrtCodes!$B$11:K103,4)</f>
        <v>9</v>
      </c>
      <c r="F42" s="17">
        <f>VLOOKUP($B42,[20]TrtCodes!$B$11:L103,5)</f>
        <v>0</v>
      </c>
      <c r="G42" s="17">
        <f>VLOOKUP($B42,[20]TrtCodes!$B$11:M103,6)</f>
        <v>1</v>
      </c>
      <c r="H42" s="17">
        <f>VLOOKUP($B42,[20]TrtCodes!$B$11:N103,7)</f>
        <v>1</v>
      </c>
      <c r="I42" s="17">
        <f>[20]FormattedData!B60</f>
        <v>1</v>
      </c>
      <c r="J42" s="15">
        <f>[20]FormattedData!C60</f>
        <v>13.452</v>
      </c>
      <c r="K42" s="14">
        <f>$J$3+[20]FormattedData!D60*$J$4+$M$4*$J$5+[20]FormattedData!D60^2*$J$6+$M$5*$J$7</f>
        <v>38.566402921471308</v>
      </c>
      <c r="L42" s="14">
        <f>$J$3+[20]FormattedData!E60*$J$4+$M$4*$J$5+[20]FormattedData!E60^2*$J$6+$M$5*$J$7</f>
        <v>38.379157821729606</v>
      </c>
      <c r="M42" s="14">
        <f>$J$3+[20]FormattedData!F60*$J$4+$M$4*$J$5+[20]FormattedData!F60^2*$J$6+$M$5*$J$7</f>
        <v>38.285471869051861</v>
      </c>
      <c r="N42" s="14">
        <f>$J$3+[20]FormattedData!G60*$J$4+$M$4*$J$5+[20]FormattedData!G60^2*$J$6+$M$5*$J$7</f>
        <v>38.285471869051861</v>
      </c>
      <c r="O42" s="14">
        <f>$J$3+[20]FormattedData!H60*$J$4+$M$4*$J$5+[20]FormattedData!H60^2*$J$6+$M$5*$J$7</f>
        <v>38.566402921471308</v>
      </c>
      <c r="P42" s="14">
        <f>$J$3+[20]FormattedData!I60*$J$4+$M$4*$J$5+[20]FormattedData!I60^2*$J$6+$M$5*$J$7</f>
        <v>38.566402921471308</v>
      </c>
      <c r="Q42" s="14">
        <f>$J$3+[20]FormattedData!J60*$J$4+$M$4*$J$5+[20]FormattedData!J60^2*$J$6+$M$5*$J$7</f>
        <v>38.004160399791026</v>
      </c>
      <c r="R42" s="14">
        <f>$J$3+[20]FormattedData!K60*$J$4+$M$4*$J$5+[20]FormattedData!K60^2*$J$6+$M$5*$J$7</f>
        <v>38.191743647836176</v>
      </c>
      <c r="S42" s="14">
        <f>$J$3+[20]FormattedData!L60*$J$4+$M$4*$J$5+[20]FormattedData!L60^2*$J$6+$M$5*$J$7</f>
        <v>38.004160399791026</v>
      </c>
      <c r="T42" s="14">
        <f>$J$3+[20]FormattedData!M60*$J$4+$M$4*$J$5+[20]FormattedData!M60^2*$J$6+$M$5*$J$7</f>
        <v>38.191743647836176</v>
      </c>
      <c r="U42" s="14">
        <f>$J$3+[20]FormattedData!N60*$J$4+$M$4*$J$5+[20]FormattedData!N60^2*$J$6+$M$5*$J$7</f>
        <v>37.72246851368881</v>
      </c>
      <c r="V42" s="14">
        <f>$J$3+[20]FormattedData!O60*$J$4+$M$4*$J$5+[20]FormattedData!O60^2*$J$6+$M$5*$J$7</f>
        <v>37.910305372961552</v>
      </c>
      <c r="W42" s="16">
        <f t="shared" ref="W42:W73" si="9">AVERAGE(K42:V42)</f>
        <v>38.222824358846005</v>
      </c>
      <c r="X42" s="15">
        <f t="shared" ref="X42:X73" si="10">STDEV(K42:V42)/SQRT(COUNT(K42:V42))</f>
        <v>7.9392209290158056E-2</v>
      </c>
      <c r="Y42" s="14">
        <f t="shared" ref="Y42:Y73" si="11">MIN(K42:V42)</f>
        <v>37.72246851368881</v>
      </c>
      <c r="Z42" s="13">
        <f t="shared" ref="Z42:Z73" si="12">QUARTILE(K42:V42,1)</f>
        <v>38.004160399791026</v>
      </c>
      <c r="AA42" s="14">
        <f t="shared" ref="AA42:AA73" si="13">MEDIAN(K42:V42)</f>
        <v>38.238607758444019</v>
      </c>
      <c r="AB42" s="13">
        <f t="shared" ref="AB42:AB73" si="14">QUARTILE(K42:V42,3)</f>
        <v>38.425969096665028</v>
      </c>
      <c r="AC42" s="13">
        <f t="shared" ref="AC42:AC73" si="15">MAX(K42:V42)</f>
        <v>38.566402921471308</v>
      </c>
      <c r="AD42" s="13">
        <f t="shared" ref="AD42:AD73" si="16">SKEW(K42:V42)</f>
        <v>-0.26626927128254918</v>
      </c>
      <c r="AE42" s="13">
        <f t="shared" ref="AE42:AE73" si="17">KURT(K42:V42)</f>
        <v>-0.74950874199506901</v>
      </c>
    </row>
    <row r="43" spans="2:31" x14ac:dyDescent="0.2">
      <c r="B43" s="1">
        <f>[20]FormattedData!A58</f>
        <v>902</v>
      </c>
      <c r="C43" s="1" t="str">
        <f>VLOOKUP($B43,[20]TrtCodes!$B$11:I101,2)</f>
        <v>Late</v>
      </c>
      <c r="D43" s="1">
        <f>VLOOKUP($B43,[20]TrtCodes!$B$11:J101,3)</f>
        <v>22</v>
      </c>
      <c r="E43" s="1">
        <f>VLOOKUP($B43,[20]TrtCodes!$B$11:K101,4)</f>
        <v>4</v>
      </c>
      <c r="F43" s="1">
        <f>VLOOKUP($B43,[20]TrtCodes!$B$11:L101,5)</f>
        <v>2</v>
      </c>
      <c r="G43" s="1">
        <f>VLOOKUP($B43,[20]TrtCodes!$B$11:M101,6)</f>
        <v>2</v>
      </c>
      <c r="H43" s="1">
        <f>VLOOKUP($B43,[20]TrtCodes!$B$11:N101,7)</f>
        <v>1</v>
      </c>
      <c r="I43" s="1">
        <f>[20]FormattedData!B58</f>
        <v>1</v>
      </c>
      <c r="J43" s="4">
        <f>[20]FormattedData!C58</f>
        <v>13.436</v>
      </c>
      <c r="K43" s="6">
        <f>$J$3+[20]FormattedData!D58*$J$4+$M$4*$J$5+[20]FormattedData!D58^2*$J$6+$M$5*$J$7</f>
        <v>47.534296972952227</v>
      </c>
      <c r="L43" s="6">
        <f>$J$3+[20]FormattedData!E58*$J$4+$M$4*$J$5+[20]FormattedData!E58^2*$J$6+$M$5*$J$7</f>
        <v>40.244000482319045</v>
      </c>
      <c r="M43" s="6">
        <f>$J$3+[20]FormattedData!F58*$J$4+$M$4*$J$5+[20]FormattedData!F58^2*$J$6+$M$5*$J$7</f>
        <v>36.686343587226659</v>
      </c>
      <c r="N43" s="6">
        <f>$J$3+[20]FormattedData!G58*$J$4+$M$4*$J$5+[20]FormattedData!G58^2*$J$6+$M$5*$J$7</f>
        <v>39.406913577681387</v>
      </c>
      <c r="O43" s="6">
        <f>$J$3+[20]FormattedData!H58*$J$4+$M$4*$J$5+[20]FormattedData!H58^2*$J$6+$M$5*$J$7</f>
        <v>41.723701271866418</v>
      </c>
      <c r="P43" s="6">
        <f>$J$3+[20]FormattedData!I58*$J$4+$M$4*$J$5+[20]FormattedData!I58^2*$J$6+$M$5*$J$7</f>
        <v>48.782286160854341</v>
      </c>
      <c r="Q43" s="6">
        <f>$J$3+[20]FormattedData!J58*$J$4+$M$4*$J$5+[20]FormattedData!J58^2*$J$6+$M$5*$J$7</f>
        <v>40.336798795700233</v>
      </c>
      <c r="R43" s="6">
        <f>$J$3+[20]FormattedData!K58*$J$4+$M$4*$J$5+[20]FormattedData!K58^2*$J$6+$M$5*$J$7</f>
        <v>45.917566106725339</v>
      </c>
      <c r="S43" s="6">
        <f>$J$3+[20]FormattedData!L58*$J$4+$M$4*$J$5+[20]FormattedData!L58^2*$J$6+$M$5*$J$7</f>
        <v>44.650640613830063</v>
      </c>
      <c r="T43" s="6">
        <f>$J$3+[20]FormattedData!M58*$J$4+$M$4*$J$5+[20]FormattedData!M58^2*$J$6+$M$5*$J$7</f>
        <v>44.196159467958601</v>
      </c>
      <c r="U43" s="6">
        <f>$J$3+[20]FormattedData!N58*$J$4+$M$4*$J$5+[20]FormattedData!N58^2*$J$6+$M$5*$J$7</f>
        <v>48.337526778707037</v>
      </c>
      <c r="V43" s="6">
        <f>$J$3+[20]FormattedData!O58*$J$4+$M$4*$J$5+[20]FormattedData!O58^2*$J$6+$M$5*$J$7</f>
        <v>36.875110354333884</v>
      </c>
      <c r="W43" s="5">
        <f t="shared" si="9"/>
        <v>42.89094534751294</v>
      </c>
      <c r="X43" s="4">
        <f t="shared" si="10"/>
        <v>1.2358676140101021</v>
      </c>
      <c r="Y43" s="3">
        <f t="shared" si="11"/>
        <v>36.686343587226659</v>
      </c>
      <c r="Z43" s="2">
        <f t="shared" si="12"/>
        <v>40.03472875615963</v>
      </c>
      <c r="AA43" s="3">
        <f t="shared" si="13"/>
        <v>42.959930369912513</v>
      </c>
      <c r="AB43" s="2">
        <f t="shared" si="14"/>
        <v>46.321748823282064</v>
      </c>
      <c r="AC43" s="2">
        <f t="shared" si="15"/>
        <v>48.782286160854341</v>
      </c>
      <c r="AD43" s="2">
        <f t="shared" si="16"/>
        <v>-4.7409494451732585E-2</v>
      </c>
      <c r="AE43" s="2">
        <f t="shared" si="17"/>
        <v>-1.3696915054761249</v>
      </c>
    </row>
    <row r="44" spans="2:31" x14ac:dyDescent="0.2">
      <c r="B44" s="17">
        <f>[20]FormattedData!A56</f>
        <v>903</v>
      </c>
      <c r="C44" s="17" t="str">
        <f>VLOOKUP($B44,[20]TrtCodes!$B$11:I99,2)</f>
        <v>DS</v>
      </c>
      <c r="D44" s="17">
        <f>VLOOKUP($B44,[20]TrtCodes!$B$11:J99,3)</f>
        <v>31</v>
      </c>
      <c r="E44" s="17">
        <f>VLOOKUP($B44,[20]TrtCodes!$B$11:K99,4)</f>
        <v>8</v>
      </c>
      <c r="F44" s="17">
        <f>VLOOKUP($B44,[20]TrtCodes!$B$11:L99,5)</f>
        <v>0</v>
      </c>
      <c r="G44" s="17">
        <f>VLOOKUP($B44,[20]TrtCodes!$B$11:M99,6)</f>
        <v>1</v>
      </c>
      <c r="H44" s="17">
        <f>VLOOKUP($B44,[20]TrtCodes!$B$11:N99,7)</f>
        <v>1</v>
      </c>
      <c r="I44" s="17">
        <f>[20]FormattedData!B56</f>
        <v>1</v>
      </c>
      <c r="J44" s="15">
        <f>[20]FormattedData!C56</f>
        <v>13.428000000000001</v>
      </c>
      <c r="K44" s="14">
        <f>$J$3+[20]FormattedData!D56*$J$4+$M$4*$J$5+[20]FormattedData!D56^2*$J$6+$M$5*$J$7</f>
        <v>64.49551374616486</v>
      </c>
      <c r="L44" s="14">
        <f>$J$3+[20]FormattedData!E56*$J$4+$M$4*$J$5+[20]FormattedData!E56^2*$J$6+$M$5*$J$7</f>
        <v>64.414466086328517</v>
      </c>
      <c r="M44" s="14">
        <f>$J$3+[20]FormattedData!F56*$J$4+$M$4*$J$5+[20]FormattedData!F56^2*$J$6+$M$5*$J$7</f>
        <v>64.414466086328517</v>
      </c>
      <c r="N44" s="14">
        <f>$J$3+[20]FormattedData!G56*$J$4+$M$4*$J$5+[20]FormattedData!G56^2*$J$6+$M$5*$J$7</f>
        <v>64.414466086328517</v>
      </c>
      <c r="O44" s="14">
        <f>$J$3+[20]FormattedData!H56*$J$4+$M$4*$J$5+[20]FormattedData!H56^2*$J$6+$M$5*$J$7</f>
        <v>64.333376157954262</v>
      </c>
      <c r="P44" s="14">
        <f>$J$3+[20]FormattedData!I56*$J$4+$M$4*$J$5+[20]FormattedData!I56^2*$J$6+$M$5*$J$7</f>
        <v>64.008593759077868</v>
      </c>
      <c r="Q44" s="14">
        <f>$J$3+[20]FormattedData!J56*$J$4+$M$4*$J$5+[20]FormattedData!J56^2*$J$6+$M$5*$J$7</f>
        <v>64.252243961042055</v>
      </c>
      <c r="R44" s="14">
        <f>$J$3+[20]FormattedData!K56*$J$4+$M$4*$J$5+[20]FormattedData!K56^2*$J$6+$M$5*$J$7</f>
        <v>64.171069495591937</v>
      </c>
      <c r="S44" s="14">
        <f>$J$3+[20]FormattedData!L56*$J$4+$M$4*$J$5+[20]FormattedData!L56^2*$J$6+$M$5*$J$7</f>
        <v>64.252243961042055</v>
      </c>
      <c r="T44" s="14">
        <f>$J$3+[20]FormattedData!M56*$J$4+$M$4*$J$5+[20]FormattedData!M56^2*$J$6+$M$5*$J$7</f>
        <v>64.414466086328517</v>
      </c>
      <c r="U44" s="14">
        <f>$J$3+[20]FormattedData!N56*$J$4+$M$4*$J$5+[20]FormattedData!N56^2*$J$6+$M$5*$J$7</f>
        <v>64.414466086328517</v>
      </c>
      <c r="V44" s="14">
        <f>$J$3+[20]FormattedData!O56*$J$4+$M$4*$J$5+[20]FormattedData!O56^2*$J$6+$M$5*$J$7</f>
        <v>64.414466086328517</v>
      </c>
      <c r="W44" s="16">
        <f t="shared" si="9"/>
        <v>64.333319799903663</v>
      </c>
      <c r="X44" s="15">
        <f t="shared" si="10"/>
        <v>3.9955841564530976E-2</v>
      </c>
      <c r="Y44" s="14">
        <f t="shared" si="11"/>
        <v>64.008593759077868</v>
      </c>
      <c r="Z44" s="13">
        <f t="shared" si="12"/>
        <v>64.252243961042055</v>
      </c>
      <c r="AA44" s="14">
        <f t="shared" si="13"/>
        <v>64.414466086328517</v>
      </c>
      <c r="AB44" s="13">
        <f t="shared" si="14"/>
        <v>64.414466086328517</v>
      </c>
      <c r="AC44" s="13">
        <f t="shared" si="15"/>
        <v>64.49551374616486</v>
      </c>
      <c r="AD44" s="13">
        <f t="shared" si="16"/>
        <v>-1.3208658539316152</v>
      </c>
      <c r="AE44" s="13">
        <f t="shared" si="17"/>
        <v>1.484044002709676</v>
      </c>
    </row>
    <row r="45" spans="2:31" x14ac:dyDescent="0.2">
      <c r="B45" s="1">
        <f>[20]FormattedData!A54</f>
        <v>904</v>
      </c>
      <c r="C45" s="1" t="str">
        <f>VLOOKUP($B45,[20]TrtCodes!$B$11:I97,2)</f>
        <v>Early</v>
      </c>
      <c r="D45" s="1">
        <f>VLOOKUP($B45,[20]TrtCodes!$B$11:J97,3)</f>
        <v>21</v>
      </c>
      <c r="E45" s="1">
        <f>VLOOKUP($B45,[20]TrtCodes!$B$11:K97,4)</f>
        <v>3</v>
      </c>
      <c r="F45" s="1">
        <f>VLOOKUP($B45,[20]TrtCodes!$B$11:L97,5)</f>
        <v>2</v>
      </c>
      <c r="G45" s="1">
        <f>VLOOKUP($B45,[20]TrtCodes!$B$11:M97,6)</f>
        <v>2</v>
      </c>
      <c r="H45" s="1">
        <f>VLOOKUP($B45,[20]TrtCodes!$B$11:N97,7)</f>
        <v>1</v>
      </c>
      <c r="I45" s="1">
        <f>[20]FormattedData!B54</f>
        <v>1</v>
      </c>
      <c r="J45" s="4">
        <f>[20]FormattedData!C54</f>
        <v>13.412000000000001</v>
      </c>
      <c r="K45" s="6">
        <f>$J$3+[20]FormattedData!D54*$J$4+$M$4*$J$5+[20]FormattedData!D54^2*$J$6+$M$5*$J$7</f>
        <v>40.800156334537242</v>
      </c>
      <c r="L45" s="6">
        <f>$J$3+[20]FormattedData!E54*$J$4+$M$4*$J$5+[20]FormattedData!E54^2*$J$6+$M$5*$J$7</f>
        <v>35.170122780906773</v>
      </c>
      <c r="M45" s="6">
        <f>$J$3+[20]FormattedData!F54*$J$4+$M$4*$J$5+[20]FormattedData!F54^2*$J$6+$M$5*$J$7</f>
        <v>33.930225756371847</v>
      </c>
      <c r="N45" s="6">
        <f>$J$3+[20]FormattedData!G54*$J$4+$M$4*$J$5+[20]FormattedData!G54^2*$J$6+$M$5*$J$7</f>
        <v>36.402876422531342</v>
      </c>
      <c r="O45" s="6">
        <f>$J$3+[20]FormattedData!H54*$J$4+$M$4*$J$5+[20]FormattedData!H54^2*$J$6+$M$5*$J$7</f>
        <v>33.643081228876518</v>
      </c>
      <c r="P45" s="6">
        <f>$J$3+[20]FormattedData!I54*$J$4+$M$4*$J$5+[20]FormattedData!I54^2*$J$6+$M$5*$J$7</f>
        <v>35.834800842616559</v>
      </c>
      <c r="Q45" s="6">
        <f>$J$3+[20]FormattedData!J54*$J$4+$M$4*$J$5+[20]FormattedData!J54^2*$J$6+$M$5*$J$7</f>
        <v>37.252136666093165</v>
      </c>
      <c r="R45" s="6">
        <f>$J$3+[20]FormattedData!K54*$J$4+$M$4*$J$5+[20]FormattedData!K54^2*$J$6+$M$5*$J$7</f>
        <v>38.004160399791026</v>
      </c>
      <c r="S45" s="6">
        <f>$J$3+[20]FormattedData!L54*$J$4+$M$4*$J$5+[20]FormattedData!L54^2*$J$6+$M$5*$J$7</f>
        <v>36.402876422531342</v>
      </c>
      <c r="T45" s="6">
        <f>$J$3+[20]FormattedData!M54*$J$4+$M$4*$J$5+[20]FormattedData!M54^2*$J$6+$M$5*$J$7</f>
        <v>38.379157821729606</v>
      </c>
      <c r="U45" s="6">
        <f>$J$3+[20]FormattedData!N54*$J$4+$M$4*$J$5+[20]FormattedData!N54^2*$J$6+$M$5*$J$7</f>
        <v>34.694084680690423</v>
      </c>
      <c r="V45" s="6">
        <f>$J$3+[20]FormattedData!O54*$J$4+$M$4*$J$5+[20]FormattedData!O54^2*$J$6+$M$5*$J$7</f>
        <v>39.406913577681387</v>
      </c>
      <c r="W45" s="5">
        <f t="shared" si="9"/>
        <v>36.660049411196439</v>
      </c>
      <c r="X45" s="4">
        <f t="shared" si="10"/>
        <v>0.63514808257246258</v>
      </c>
      <c r="Y45" s="3">
        <f t="shared" si="11"/>
        <v>33.643081228876518</v>
      </c>
      <c r="Z45" s="2">
        <f t="shared" si="12"/>
        <v>35.051113255852684</v>
      </c>
      <c r="AA45" s="3">
        <f t="shared" si="13"/>
        <v>36.402876422531342</v>
      </c>
      <c r="AB45" s="2">
        <f t="shared" si="14"/>
        <v>38.097909755275673</v>
      </c>
      <c r="AC45" s="2">
        <f t="shared" si="15"/>
        <v>40.800156334537242</v>
      </c>
      <c r="AD45" s="2">
        <f t="shared" si="16"/>
        <v>0.41071564201558081</v>
      </c>
      <c r="AE45" s="2">
        <f t="shared" si="17"/>
        <v>-0.52632713595876046</v>
      </c>
    </row>
    <row r="46" spans="2:31" x14ac:dyDescent="0.2">
      <c r="B46" s="17">
        <f>[20]FormattedData!A52</f>
        <v>905</v>
      </c>
      <c r="C46" s="17" t="str">
        <f>VLOOKUP($B46,[20]TrtCodes!$B$11:I95,2)</f>
        <v>WS</v>
      </c>
      <c r="D46" s="17">
        <f>VLOOKUP($B46,[20]TrtCodes!$B$11:J95,3)</f>
        <v>32</v>
      </c>
      <c r="E46" s="17">
        <f>VLOOKUP($B46,[20]TrtCodes!$B$11:K95,4)</f>
        <v>9</v>
      </c>
      <c r="F46" s="17">
        <f>VLOOKUP($B46,[20]TrtCodes!$B$11:L95,5)</f>
        <v>0</v>
      </c>
      <c r="G46" s="17">
        <f>VLOOKUP($B46,[20]TrtCodes!$B$11:M95,6)</f>
        <v>1</v>
      </c>
      <c r="H46" s="17">
        <f>VLOOKUP($B46,[20]TrtCodes!$B$11:N95,7)</f>
        <v>2</v>
      </c>
      <c r="I46" s="17">
        <f>[20]FormattedData!B52</f>
        <v>1</v>
      </c>
      <c r="J46" s="15">
        <f>[20]FormattedData!C52</f>
        <v>13.404999999999999</v>
      </c>
      <c r="K46" s="14">
        <f>$J$3+[20]FormattedData!D52*$J$4+$M$4*$J$5+[20]FormattedData!D52^2*$J$6+$M$5*$J$7</f>
        <v>50.638736255017825</v>
      </c>
      <c r="L46" s="14">
        <f>$J$3+[20]FormattedData!E52*$J$4+$M$4*$J$5+[20]FormattedData!E52^2*$J$6+$M$5*$J$7</f>
        <v>50.726673686536934</v>
      </c>
      <c r="M46" s="14">
        <f>$J$3+[20]FormattedData!F52*$J$4+$M$4*$J$5+[20]FormattedData!F52^2*$J$6+$M$5*$J$7</f>
        <v>51.16572681606354</v>
      </c>
      <c r="N46" s="14">
        <f>$J$3+[20]FormattedData!G52*$J$4+$M$4*$J$5+[20]FormattedData!G52^2*$J$6+$M$5*$J$7</f>
        <v>50.814568849518118</v>
      </c>
      <c r="O46" s="14">
        <f>$J$3+[20]FormattedData!H52*$J$4+$M$4*$J$5+[20]FormattedData!H52^2*$J$6+$M$5*$J$7</f>
        <v>51.078000727234084</v>
      </c>
      <c r="P46" s="14">
        <f>$J$3+[20]FormattedData!I52*$J$4+$M$4*$J$5+[20]FormattedData!I52^2*$J$6+$M$5*$J$7</f>
        <v>50.550756554960785</v>
      </c>
      <c r="Q46" s="14">
        <f>$J$3+[20]FormattedData!J52*$J$4+$M$4*$J$5+[20]FormattedData!J52^2*$J$6+$M$5*$J$7</f>
        <v>51.428651471324329</v>
      </c>
      <c r="R46" s="14">
        <f>$J$3+[20]FormattedData!K52*$J$4+$M$4*$J$5+[20]FormattedData!K52^2*$J$6+$M$5*$J$7</f>
        <v>50.638736255017825</v>
      </c>
      <c r="S46" s="14">
        <f>$J$3+[20]FormattedData!L52*$J$4+$M$4*$J$5+[20]FormattedData!L52^2*$J$6+$M$5*$J$7</f>
        <v>50.814568849518118</v>
      </c>
      <c r="T46" s="14">
        <f>$J$3+[20]FormattedData!M52*$J$4+$M$4*$J$5+[20]FormattedData!M52^2*$J$6+$M$5*$J$7</f>
        <v>51.691195709743738</v>
      </c>
      <c r="U46" s="14">
        <f>$J$3+[20]FormattedData!N52*$J$4+$M$4*$J$5+[20]FormattedData!N52^2*$J$6+$M$5*$J$7</f>
        <v>50.638736255017825</v>
      </c>
      <c r="V46" s="14">
        <f>$J$3+[20]FormattedData!O52*$J$4+$M$4*$J$5+[20]FormattedData!O52^2*$J$6+$M$5*$J$7</f>
        <v>50.902421743961369</v>
      </c>
      <c r="W46" s="16">
        <f t="shared" si="9"/>
        <v>50.924064431159536</v>
      </c>
      <c r="X46" s="15">
        <f t="shared" si="10"/>
        <v>0.10195813619183317</v>
      </c>
      <c r="Y46" s="14">
        <f t="shared" si="11"/>
        <v>50.550756554960785</v>
      </c>
      <c r="Z46" s="13">
        <f t="shared" si="12"/>
        <v>50.638736255017825</v>
      </c>
      <c r="AA46" s="14">
        <f t="shared" si="13"/>
        <v>50.814568849518118</v>
      </c>
      <c r="AB46" s="13">
        <f t="shared" si="14"/>
        <v>51.099932249441451</v>
      </c>
      <c r="AC46" s="13">
        <f t="shared" si="15"/>
        <v>51.691195709743738</v>
      </c>
      <c r="AD46" s="13">
        <f t="shared" si="16"/>
        <v>1.1529365487332004</v>
      </c>
      <c r="AE46" s="13">
        <f t="shared" si="17"/>
        <v>0.58645583991853378</v>
      </c>
    </row>
    <row r="47" spans="2:31" x14ac:dyDescent="0.2">
      <c r="B47" s="1">
        <f>[20]FormattedData!A50</f>
        <v>906</v>
      </c>
      <c r="C47" s="1" t="str">
        <f>VLOOKUP($B47,[20]TrtCodes!$B$11:I93,2)</f>
        <v>Late</v>
      </c>
      <c r="D47" s="1">
        <f>VLOOKUP($B47,[20]TrtCodes!$B$11:J93,3)</f>
        <v>22</v>
      </c>
      <c r="E47" s="1">
        <f>VLOOKUP($B47,[20]TrtCodes!$B$11:K93,4)</f>
        <v>4</v>
      </c>
      <c r="F47" s="1">
        <f>VLOOKUP($B47,[20]TrtCodes!$B$11:L93,5)</f>
        <v>2</v>
      </c>
      <c r="G47" s="1">
        <f>VLOOKUP($B47,[20]TrtCodes!$B$11:M93,6)</f>
        <v>2</v>
      </c>
      <c r="H47" s="1">
        <f>VLOOKUP($B47,[20]TrtCodes!$B$11:N93,7)</f>
        <v>2</v>
      </c>
      <c r="I47" s="1">
        <f>[20]FormattedData!B50</f>
        <v>1</v>
      </c>
      <c r="J47" s="4">
        <f>[20]FormattedData!C50</f>
        <v>13.388999999999999</v>
      </c>
      <c r="K47" s="6">
        <f>$J$3+[20]FormattedData!D50*$J$4+$M$4*$J$5+[20]FormattedData!D50^2*$J$6+$M$5*$J$7</f>
        <v>46.097879166246337</v>
      </c>
      <c r="L47" s="6">
        <f>$J$3+[20]FormattedData!E50*$J$4+$M$4*$J$5+[20]FormattedData!E50^2*$J$6+$M$5*$J$7</f>
        <v>36.024328443406546</v>
      </c>
      <c r="M47" s="6">
        <f>$J$3+[20]FormattedData!F50*$J$4+$M$4*$J$5+[20]FormattedData!F50^2*$J$6+$M$5*$J$7</f>
        <v>33.067650923361718</v>
      </c>
      <c r="N47" s="6">
        <f>$J$3+[20]FormattedData!G50*$J$4+$M$4*$J$5+[20]FormattedData!G50^2*$J$6+$M$5*$J$7</f>
        <v>36.308302830557039</v>
      </c>
      <c r="O47" s="6">
        <f>$J$3+[20]FormattedData!H50*$J$4+$M$4*$J$5+[20]FormattedData!H50^2*$J$6+$M$5*$J$7</f>
        <v>34.694084680690423</v>
      </c>
      <c r="P47" s="6">
        <f>$J$3+[20]FormattedData!I50*$J$4+$M$4*$J$5+[20]FormattedData!I50^2*$J$6+$M$5*$J$7</f>
        <v>45.556432765228166</v>
      </c>
      <c r="Q47" s="6">
        <f>$J$3+[20]FormattedData!J50*$J$4+$M$4*$J$5+[20]FormattedData!J50^2*$J$6+$M$5*$J$7</f>
        <v>34.694084680690423</v>
      </c>
      <c r="R47" s="6">
        <f>$J$3+[20]FormattedData!K50*$J$4+$M$4*$J$5+[20]FormattedData!K50^2*$J$6+$M$5*$J$7</f>
        <v>48.782286160854341</v>
      </c>
      <c r="S47" s="6">
        <f>$J$3+[20]FormattedData!L50*$J$4+$M$4*$J$5+[20]FormattedData!L50^2*$J$6+$M$5*$J$7</f>
        <v>34.884626726390756</v>
      </c>
      <c r="T47" s="6">
        <f>$J$3+[20]FormattedData!M50*$J$4+$M$4*$J$5+[20]FormattedData!M50^2*$J$6+$M$5*$J$7</f>
        <v>45.646779503409356</v>
      </c>
      <c r="U47" s="6">
        <f>$J$3+[20]FormattedData!N50*$J$4+$M$4*$J$5+[20]FormattedData!N50^2*$J$6+$M$5*$J$7</f>
        <v>37.72246851368881</v>
      </c>
      <c r="V47" s="6">
        <f>$J$3+[20]FormattedData!O50*$J$4+$M$4*$J$5+[20]FormattedData!O50^2*$J$6+$M$5*$J$7</f>
        <v>37.252136666093165</v>
      </c>
      <c r="W47" s="5">
        <f t="shared" si="9"/>
        <v>39.227588421718089</v>
      </c>
      <c r="X47" s="4">
        <f t="shared" si="10"/>
        <v>1.611078562373887</v>
      </c>
      <c r="Y47" s="3">
        <f t="shared" si="11"/>
        <v>33.067650923361718</v>
      </c>
      <c r="Z47" s="2">
        <f t="shared" si="12"/>
        <v>34.836991214965671</v>
      </c>
      <c r="AA47" s="3">
        <f t="shared" si="13"/>
        <v>36.780219748325102</v>
      </c>
      <c r="AB47" s="2">
        <f t="shared" si="14"/>
        <v>45.579019449773462</v>
      </c>
      <c r="AC47" s="2">
        <f t="shared" si="15"/>
        <v>48.782286160854341</v>
      </c>
      <c r="AD47" s="2">
        <f t="shared" si="16"/>
        <v>0.7177537630060371</v>
      </c>
      <c r="AE47" s="2">
        <f t="shared" si="17"/>
        <v>-1.3202816015564074</v>
      </c>
    </row>
    <row r="48" spans="2:31" x14ac:dyDescent="0.2">
      <c r="B48" s="17">
        <f>[20]FormattedData!A48</f>
        <v>907</v>
      </c>
      <c r="C48" s="17" t="str">
        <f>VLOOKUP($B48,[20]TrtCodes!$B$11:I91,2)</f>
        <v>DS</v>
      </c>
      <c r="D48" s="17">
        <f>VLOOKUP($B48,[20]TrtCodes!$B$11:J91,3)</f>
        <v>31</v>
      </c>
      <c r="E48" s="17">
        <f>VLOOKUP($B48,[20]TrtCodes!$B$11:K91,4)</f>
        <v>8</v>
      </c>
      <c r="F48" s="17">
        <f>VLOOKUP($B48,[20]TrtCodes!$B$11:L91,5)</f>
        <v>0</v>
      </c>
      <c r="G48" s="17">
        <f>VLOOKUP($B48,[20]TrtCodes!$B$11:M91,6)</f>
        <v>1</v>
      </c>
      <c r="H48" s="17">
        <f>VLOOKUP($B48,[20]TrtCodes!$B$11:N91,7)</f>
        <v>2</v>
      </c>
      <c r="I48" s="17">
        <f>[20]FormattedData!B48</f>
        <v>1</v>
      </c>
      <c r="J48" s="15">
        <f>[20]FormattedData!C48</f>
        <v>13.381</v>
      </c>
      <c r="K48" s="14">
        <f>$J$3+[20]FormattedData!D48*$J$4+$M$4*$J$5+[20]FormattedData!D48^2*$J$6+$M$5*$J$7</f>
        <v>63.683135063594577</v>
      </c>
      <c r="L48" s="14">
        <f>$J$3+[20]FormattedData!E48*$J$4+$M$4*$J$5+[20]FormattedData!E48^2*$J$6+$M$5*$J$7</f>
        <v>63.683135063594577</v>
      </c>
      <c r="M48" s="14">
        <f>$J$3+[20]FormattedData!F48*$J$4+$M$4*$J$5+[20]FormattedData!F48^2*$J$6+$M$5*$J$7</f>
        <v>63.520152104625353</v>
      </c>
      <c r="N48" s="14">
        <f>$J$3+[20]FormattedData!G48*$J$4+$M$4*$J$5+[20]FormattedData!G48^2*$J$6+$M$5*$J$7</f>
        <v>63.764563140272308</v>
      </c>
      <c r="O48" s="14">
        <f>$J$3+[20]FormattedData!H48*$J$4+$M$4*$J$5+[20]FormattedData!H48^2*$J$6+$M$5*$J$7</f>
        <v>63.845948948412094</v>
      </c>
      <c r="P48" s="14">
        <f>$J$3+[20]FormattedData!I48*$J$4+$M$4*$J$5+[20]FormattedData!I48^2*$J$6+$M$5*$J$7</f>
        <v>63.764563140272308</v>
      </c>
      <c r="Q48" s="14">
        <f>$J$3+[20]FormattedData!J48*$J$4+$M$4*$J$5+[20]FormattedData!J48^2*$J$6+$M$5*$J$7</f>
        <v>63.683135063594577</v>
      </c>
      <c r="R48" s="14">
        <f>$J$3+[20]FormattedData!K48*$J$4+$M$4*$J$5+[20]FormattedData!K48^2*$J$6+$M$5*$J$7</f>
        <v>63.193678964231722</v>
      </c>
      <c r="S48" s="14">
        <f>$J$3+[20]FormattedData!L48*$J$4+$M$4*$J$5+[20]FormattedData!L48^2*$J$6+$M$5*$J$7</f>
        <v>64.49551374616486</v>
      </c>
      <c r="T48" s="14">
        <f>$J$3+[20]FormattedData!M48*$J$4+$M$4*$J$5+[20]FormattedData!M48^2*$J$6+$M$5*$J$7</f>
        <v>64.333376157954262</v>
      </c>
      <c r="U48" s="14">
        <f>$J$3+[20]FormattedData!N48*$J$4+$M$4*$J$5+[20]FormattedData!N48^2*$J$6+$M$5*$J$7</f>
        <v>64.008593759077868</v>
      </c>
      <c r="V48" s="14">
        <f>$J$3+[20]FormattedData!O48*$J$4+$M$4*$J$5+[20]FormattedData!O48^2*$J$6+$M$5*$J$7</f>
        <v>64.008593759077868</v>
      </c>
      <c r="W48" s="16">
        <f t="shared" si="9"/>
        <v>63.832032409239353</v>
      </c>
      <c r="X48" s="15">
        <f t="shared" si="10"/>
        <v>0.10054677931679616</v>
      </c>
      <c r="Y48" s="14">
        <f t="shared" si="11"/>
        <v>63.193678964231722</v>
      </c>
      <c r="Z48" s="13">
        <f t="shared" si="12"/>
        <v>63.683135063594577</v>
      </c>
      <c r="AA48" s="14">
        <f t="shared" si="13"/>
        <v>63.764563140272308</v>
      </c>
      <c r="AB48" s="13">
        <f t="shared" si="14"/>
        <v>64.008593759077868</v>
      </c>
      <c r="AC48" s="13">
        <f t="shared" si="15"/>
        <v>64.49551374616486</v>
      </c>
      <c r="AD48" s="13">
        <f t="shared" si="16"/>
        <v>0.33074900707506538</v>
      </c>
      <c r="AE48" s="13">
        <f t="shared" si="17"/>
        <v>0.63402894614294958</v>
      </c>
    </row>
    <row r="49" spans="2:31" ht="13.5" thickBot="1" x14ac:dyDescent="0.25">
      <c r="B49" s="12">
        <f>[20]FormattedData!A46</f>
        <v>908</v>
      </c>
      <c r="C49" s="12" t="str">
        <f>VLOOKUP($B49,[20]TrtCodes!$B$11:I89,2)</f>
        <v>Early</v>
      </c>
      <c r="D49" s="12">
        <f>VLOOKUP($B49,[20]TrtCodes!$B$11:J89,3)</f>
        <v>21</v>
      </c>
      <c r="E49" s="12">
        <f>VLOOKUP($B49,[20]TrtCodes!$B$11:K89,4)</f>
        <v>3</v>
      </c>
      <c r="F49" s="12">
        <f>VLOOKUP($B49,[20]TrtCodes!$B$11:L89,5)</f>
        <v>2</v>
      </c>
      <c r="G49" s="12">
        <f>VLOOKUP($B49,[20]TrtCodes!$B$11:M89,6)</f>
        <v>2</v>
      </c>
      <c r="H49" s="12">
        <f>VLOOKUP($B49,[20]TrtCodes!$B$11:N89,7)</f>
        <v>2</v>
      </c>
      <c r="I49" s="12">
        <f>[20]FormattedData!B46</f>
        <v>1</v>
      </c>
      <c r="J49" s="9">
        <f>[20]FormattedData!C46</f>
        <v>13.366</v>
      </c>
      <c r="K49" s="11">
        <f>$J$3+[20]FormattedData!D46*$J$4+$M$4*$J$5+[20]FormattedData!D46^2*$J$6+$M$5*$J$7</f>
        <v>37.346287572688155</v>
      </c>
      <c r="L49" s="11">
        <f>$J$3+[20]FormattedData!E46*$J$4+$M$4*$J$5+[20]FormattedData!E46^2*$J$6+$M$5*$J$7</f>
        <v>37.534462580264346</v>
      </c>
      <c r="M49" s="11">
        <f>$J$3+[20]FormattedData!F46*$J$4+$M$4*$J$5+[20]FormattedData!F46^2*$J$6+$M$5*$J$7</f>
        <v>35.739973639414664</v>
      </c>
      <c r="N49" s="11">
        <f>$J$3+[20]FormattedData!G46*$J$4+$M$4*$J$5+[20]FormattedData!G46^2*$J$6+$M$5*$J$7</f>
        <v>36.875110354333884</v>
      </c>
      <c r="O49" s="11">
        <f>$J$3+[20]FormattedData!H46*$J$4+$M$4*$J$5+[20]FormattedData!H46^2*$J$6+$M$5*$J$7</f>
        <v>36.024328443406546</v>
      </c>
      <c r="P49" s="11">
        <f>$J$3+[20]FormattedData!I46*$J$4+$M$4*$J$5+[20]FormattedData!I46^2*$J$6+$M$5*$J$7</f>
        <v>37.534462580264346</v>
      </c>
      <c r="Q49" s="11">
        <f>$J$3+[20]FormattedData!J46*$J$4+$M$4*$J$5+[20]FormattedData!J46^2*$J$6+$M$5*$J$7</f>
        <v>36.497407745967713</v>
      </c>
      <c r="R49" s="11">
        <f>$J$3+[20]FormattedData!K46*$J$4+$M$4*$J$5+[20]FormattedData!K46^2*$J$6+$M$5*$J$7</f>
        <v>36.686343587226659</v>
      </c>
      <c r="S49" s="11">
        <f>$J$3+[20]FormattedData!L46*$J$4+$M$4*$J$5+[20]FormattedData!L46^2*$J$6+$M$5*$J$7</f>
        <v>34.312493366834588</v>
      </c>
      <c r="T49" s="11">
        <f>$J$3+[20]FormattedData!M46*$J$4+$M$4*$J$5+[20]FormattedData!M46^2*$J$6+$M$5*$J$7</f>
        <v>37.628486681245541</v>
      </c>
      <c r="U49" s="11">
        <f>$J$3+[20]FormattedData!N46*$J$4+$M$4*$J$5+[20]FormattedData!N46^2*$J$6+$M$5*$J$7</f>
        <v>39.127123775786075</v>
      </c>
      <c r="V49" s="11">
        <f>$J$3+[20]FormattedData!O46*$J$4+$M$4*$J$5+[20]FormattedData!O46^2*$J$6+$M$5*$J$7</f>
        <v>34.121444098679085</v>
      </c>
      <c r="W49" s="10">
        <f t="shared" si="9"/>
        <v>36.618993702175963</v>
      </c>
      <c r="X49" s="9">
        <f t="shared" si="10"/>
        <v>0.41087334182882218</v>
      </c>
      <c r="Y49" s="8">
        <f t="shared" si="11"/>
        <v>34.121444098679085</v>
      </c>
      <c r="Z49" s="7">
        <f t="shared" si="12"/>
        <v>35.953239742408577</v>
      </c>
      <c r="AA49" s="8">
        <f t="shared" si="13"/>
        <v>36.780726970780272</v>
      </c>
      <c r="AB49" s="7">
        <f t="shared" si="14"/>
        <v>37.534462580264346</v>
      </c>
      <c r="AC49" s="7">
        <f t="shared" si="15"/>
        <v>39.127123775786075</v>
      </c>
      <c r="AD49" s="7">
        <f t="shared" si="16"/>
        <v>-0.3782682591305182</v>
      </c>
      <c r="AE49" s="7">
        <f t="shared" si="17"/>
        <v>0.19930708321257562</v>
      </c>
    </row>
    <row r="50" spans="2:31" ht="13.5" thickTop="1" x14ac:dyDescent="0.2">
      <c r="B50" s="1">
        <f>[20]FormattedData!A29</f>
        <v>101</v>
      </c>
      <c r="C50" s="1" t="str">
        <f>VLOOKUP($B50,[20]TrtCodes!$B$11:I72,2)</f>
        <v>FSH</v>
      </c>
      <c r="D50" s="1">
        <f>VLOOKUP($B50,[20]TrtCodes!$B$11:J72,3)</f>
        <v>1</v>
      </c>
      <c r="E50" s="1">
        <f>VLOOKUP($B50,[20]TrtCodes!$B$11:K72,4)</f>
        <v>1</v>
      </c>
      <c r="F50" s="1">
        <f>VLOOKUP($B50,[20]TrtCodes!$B$11:L72,5)</f>
        <v>1</v>
      </c>
      <c r="G50" s="1">
        <f>VLOOKUP($B50,[20]TrtCodes!$B$11:M72,6)</f>
        <v>2</v>
      </c>
      <c r="H50" s="1">
        <f>VLOOKUP($B50,[20]TrtCodes!$B$11:N72,7)</f>
        <v>1</v>
      </c>
      <c r="I50" s="1">
        <f>[20]FormattedData!B29</f>
        <v>2</v>
      </c>
      <c r="J50" s="4">
        <f>[20]FormattedData!C29</f>
        <v>13.194000000000001</v>
      </c>
      <c r="K50" s="6">
        <f>$J$3+[20]FormattedData!D29*$J$4+$M$4*$J$5+[20]FormattedData!D29^2*$J$6+$M$5*$J$7</f>
        <v>29.680646465226452</v>
      </c>
      <c r="L50" s="6">
        <f>$J$3+[20]FormattedData!E29*$J$4+$M$4*$J$5+[20]FormattedData!E29^2*$J$6+$M$5*$J$7</f>
        <v>28.115056006602995</v>
      </c>
      <c r="M50" s="6">
        <f>$J$3+[20]FormattedData!F29*$J$4+$M$4*$J$5+[20]FormattedData!F29^2*$J$6+$M$5*$J$7</f>
        <v>26.241863048125534</v>
      </c>
      <c r="N50" s="6">
        <f>$J$3+[20]FormattedData!G29*$J$4+$M$4*$J$5+[20]FormattedData!G29^2*$J$6+$M$5*$J$7</f>
        <v>26.637487516574513</v>
      </c>
      <c r="O50" s="6">
        <f>$J$3+[20]FormattedData!H29*$J$4+$M$4*$J$5+[20]FormattedData!H29^2*$J$6+$M$5*$J$7</f>
        <v>26.340832568044672</v>
      </c>
      <c r="P50" s="6">
        <f>$J$3+[20]FormattedData!I29*$J$4+$M$4*$J$5+[20]FormattedData!I29^2*$J$6+$M$5*$J$7</f>
        <v>26.340832568044672</v>
      </c>
      <c r="Q50" s="6">
        <f>$J$3+[20]FormattedData!J29*$J$4+$M$4*$J$5+[20]FormattedData!J29^2*$J$6+$M$5*$J$7</f>
        <v>27.525169861115739</v>
      </c>
      <c r="R50" s="6">
        <f>$J$3+[20]FormattedData!K29*$J$4+$M$4*$J$5+[20]FormattedData!K29^2*$J$6+$M$5*$J$7</f>
        <v>26.93376204826297</v>
      </c>
      <c r="S50" s="6">
        <f>$J$3+[20]FormattedData!L29*$J$4+$M$4*$J$5+[20]FormattedData!L29^2*$J$6+$M$5*$J$7</f>
        <v>25.547892889629473</v>
      </c>
      <c r="T50" s="6">
        <f>$J$3+[20]FormattedData!M29*$J$4+$M$4*$J$5+[20]FormattedData!M29^2*$J$6+$M$5*$J$7</f>
        <v>26.439759819425888</v>
      </c>
      <c r="U50" s="6">
        <f>$J$3+[20]FormattedData!N29*$J$4+$M$4*$J$5+[20]FormattedData!N29^2*$J$6+$M$5*$J$7</f>
        <v>27.032435688416591</v>
      </c>
      <c r="V50" s="6">
        <f>$J$3+[20]FormattedData!O29*$J$4+$M$4*$J$5+[20]FormattedData!O29^2*$J$6+$M$5*$J$7</f>
        <v>26.043797202673456</v>
      </c>
      <c r="W50" s="5">
        <f t="shared" si="9"/>
        <v>26.906627973511906</v>
      </c>
      <c r="X50" s="4">
        <f t="shared" si="10"/>
        <v>0.32001226921620851</v>
      </c>
      <c r="Y50" s="3">
        <f t="shared" si="11"/>
        <v>25.547892889629473</v>
      </c>
      <c r="Z50" s="2">
        <f t="shared" si="12"/>
        <v>26.316090188064887</v>
      </c>
      <c r="AA50" s="3">
        <f t="shared" si="13"/>
        <v>26.538623668000199</v>
      </c>
      <c r="AB50" s="2">
        <f t="shared" si="14"/>
        <v>27.155619231591377</v>
      </c>
      <c r="AC50" s="2">
        <f t="shared" si="15"/>
        <v>29.680646465226452</v>
      </c>
      <c r="AD50" s="2">
        <f t="shared" si="16"/>
        <v>1.555273242054398</v>
      </c>
      <c r="AE50" s="2">
        <f t="shared" si="17"/>
        <v>2.8439126071140244</v>
      </c>
    </row>
    <row r="51" spans="2:31" x14ac:dyDescent="0.2">
      <c r="B51" s="1">
        <f>[20]FormattedData!A27</f>
        <v>102</v>
      </c>
      <c r="C51" s="1" t="str">
        <f>VLOOKUP($B51,[20]TrtCodes!$B$11:I70,2)</f>
        <v>FTL</v>
      </c>
      <c r="D51" s="1">
        <f>VLOOKUP($B51,[20]TrtCodes!$B$11:J70,3)</f>
        <v>4</v>
      </c>
      <c r="E51" s="1">
        <f>VLOOKUP($B51,[20]TrtCodes!$B$11:K70,4)</f>
        <v>1</v>
      </c>
      <c r="F51" s="1">
        <f>VLOOKUP($B51,[20]TrtCodes!$B$11:L70,5)</f>
        <v>2</v>
      </c>
      <c r="G51" s="1">
        <f>VLOOKUP($B51,[20]TrtCodes!$B$11:M70,6)</f>
        <v>1</v>
      </c>
      <c r="H51" s="1">
        <f>VLOOKUP($B51,[20]TrtCodes!$B$11:N70,7)</f>
        <v>1</v>
      </c>
      <c r="I51" s="1">
        <f>[20]FormattedData!B27</f>
        <v>2</v>
      </c>
      <c r="J51" s="4">
        <f>[20]FormattedData!C27</f>
        <v>13.178000000000001</v>
      </c>
      <c r="K51" s="6">
        <f>$J$3+[20]FormattedData!D27*$J$4+$M$4*$J$5+[20]FormattedData!D27^2*$J$6+$M$5*$J$7</f>
        <v>25.249843079347912</v>
      </c>
      <c r="L51" s="6">
        <f>$J$3+[20]FormattedData!E27*$J$4+$M$4*$J$5+[20]FormattedData!E27^2*$J$6+$M$5*$J$7</f>
        <v>25.349235284646362</v>
      </c>
      <c r="M51" s="6">
        <f>$J$3+[20]FormattedData!F27*$J$4+$M$4*$J$5+[20]FormattedData!F27^2*$J$6+$M$5*$J$7</f>
        <v>25.249843079347912</v>
      </c>
      <c r="N51" s="6">
        <f>$J$3+[20]FormattedData!G27*$J$4+$M$4*$J$5+[20]FormattedData!G27^2*$J$6+$M$5*$J$7</f>
        <v>25.349235284646362</v>
      </c>
      <c r="O51" s="6">
        <f>$J$3+[20]FormattedData!H27*$J$4+$M$4*$J$5+[20]FormattedData!H27^2*$J$6+$M$5*$J$7</f>
        <v>24.752248024786681</v>
      </c>
      <c r="P51" s="6">
        <f>$J$3+[20]FormattedData!I27*$J$4+$M$4*$J$5+[20]FormattedData!I27^2*$J$6+$M$5*$J$7</f>
        <v>25.547892889629473</v>
      </c>
      <c r="Q51" s="6">
        <f>$J$3+[20]FormattedData!J27*$J$4+$M$4*$J$5+[20]FormattedData!J27^2*$J$6+$M$5*$J$7</f>
        <v>26.142851259668461</v>
      </c>
      <c r="R51" s="6">
        <f>$J$3+[20]FormattedData!K27*$J$4+$M$4*$J$5+[20]FormattedData!K27^2*$J$6+$M$5*$J$7</f>
        <v>27.426707563651775</v>
      </c>
      <c r="S51" s="6">
        <f>$J$3+[20]FormattedData!L27*$J$4+$M$4*$J$5+[20]FormattedData!L27^2*$J$6+$M$5*$J$7</f>
        <v>26.043797202673456</v>
      </c>
      <c r="T51" s="6">
        <f>$J$3+[20]FormattedData!M27*$J$4+$M$4*$J$5+[20]FormattedData!M27^2*$J$6+$M$5*$J$7</f>
        <v>25.74638142046086</v>
      </c>
      <c r="U51" s="6">
        <f>$J$3+[20]FormattedData!N27*$J$4+$M$4*$J$5+[20]FormattedData!N27^2*$J$6+$M$5*$J$7</f>
        <v>26.637487516574513</v>
      </c>
      <c r="V51" s="6">
        <f>$J$3+[20]FormattedData!O27*$J$4+$M$4*$J$5+[20]FormattedData!O27^2*$J$6+$M$5*$J$7</f>
        <v>26.538644802269165</v>
      </c>
      <c r="W51" s="5">
        <f t="shared" si="9"/>
        <v>25.836180617308582</v>
      </c>
      <c r="X51" s="4">
        <f t="shared" si="10"/>
        <v>0.21725516836747311</v>
      </c>
      <c r="Y51" s="3">
        <f t="shared" si="11"/>
        <v>24.752248024786681</v>
      </c>
      <c r="Z51" s="2">
        <f t="shared" si="12"/>
        <v>25.324387233321751</v>
      </c>
      <c r="AA51" s="3">
        <f t="shared" si="13"/>
        <v>25.647137155045165</v>
      </c>
      <c r="AB51" s="2">
        <f t="shared" si="14"/>
        <v>26.241799645318636</v>
      </c>
      <c r="AC51" s="2">
        <f t="shared" si="15"/>
        <v>27.426707563651775</v>
      </c>
      <c r="AD51" s="2">
        <f t="shared" si="16"/>
        <v>0.76528857242499604</v>
      </c>
      <c r="AE51" s="2">
        <f t="shared" si="17"/>
        <v>0.29032123254411424</v>
      </c>
    </row>
    <row r="52" spans="2:31" x14ac:dyDescent="0.2">
      <c r="B52" s="1">
        <f>[20]FormattedData!A25</f>
        <v>103</v>
      </c>
      <c r="C52" s="1" t="str">
        <f>VLOOKUP($B52,[20]TrtCodes!$B$11:I68,2)</f>
        <v>FDH</v>
      </c>
      <c r="D52" s="1">
        <f>VLOOKUP($B52,[20]TrtCodes!$B$11:J68,3)</f>
        <v>5</v>
      </c>
      <c r="E52" s="1">
        <f>VLOOKUP($B52,[20]TrtCodes!$B$11:K68,4)</f>
        <v>1</v>
      </c>
      <c r="F52" s="1">
        <f>VLOOKUP($B52,[20]TrtCodes!$B$11:L68,5)</f>
        <v>3</v>
      </c>
      <c r="G52" s="1">
        <f>VLOOKUP($B52,[20]TrtCodes!$B$11:M68,6)</f>
        <v>2</v>
      </c>
      <c r="H52" s="1">
        <f>VLOOKUP($B52,[20]TrtCodes!$B$11:N68,7)</f>
        <v>1</v>
      </c>
      <c r="I52" s="1">
        <f>[20]FormattedData!B25</f>
        <v>2</v>
      </c>
      <c r="J52" s="4">
        <f>[20]FormattedData!C25</f>
        <v>13.161</v>
      </c>
      <c r="K52" s="6">
        <f>$J$3+[20]FormattedData!D25*$J$4+$M$4*$J$5+[20]FormattedData!D25^2*$J$6+$M$5*$J$7</f>
        <v>26.835046139571414</v>
      </c>
      <c r="L52" s="6">
        <f>$J$3+[20]FormattedData!E25*$J$4+$M$4*$J$5+[20]FormattedData!E25^2*$J$6+$M$5*$J$7</f>
        <v>26.93376204826297</v>
      </c>
      <c r="M52" s="6">
        <f>$J$3+[20]FormattedData!F25*$J$4+$M$4*$J$5+[20]FormattedData!F25^2*$J$6+$M$5*$J$7</f>
        <v>26.835046139571414</v>
      </c>
      <c r="N52" s="6">
        <f>$J$3+[20]FormattedData!G25*$J$4+$M$4*$J$5+[20]FormattedData!G25^2*$J$6+$M$5*$J$7</f>
        <v>26.835046139571414</v>
      </c>
      <c r="O52" s="6">
        <f>$J$3+[20]FormattedData!H25*$J$4+$M$4*$J$5+[20]FormattedData!H25^2*$J$6+$M$5*$J$7</f>
        <v>27.22965616311005</v>
      </c>
      <c r="P52" s="6">
        <f>$J$3+[20]FormattedData!I25*$J$4+$M$4*$J$5+[20]FormattedData!I25^2*$J$6+$M$5*$J$7</f>
        <v>26.835046139571414</v>
      </c>
      <c r="Q52" s="6">
        <f>$J$3+[20]FormattedData!J25*$J$4+$M$4*$J$5+[20]FormattedData!J25^2*$J$6+$M$5*$J$7</f>
        <v>27.525169861115739</v>
      </c>
      <c r="R52" s="6">
        <f>$J$3+[20]FormattedData!K25*$J$4+$M$4*$J$5+[20]FormattedData!K25^2*$J$6+$M$5*$J$7</f>
        <v>26.835046139571414</v>
      </c>
      <c r="S52" s="6">
        <f>$J$3+[20]FormattedData!L25*$J$4+$M$4*$J$5+[20]FormattedData!L25^2*$J$6+$M$5*$J$7</f>
        <v>27.131067060032283</v>
      </c>
      <c r="T52" s="6">
        <f>$J$3+[20]FormattedData!M25*$J$4+$M$4*$J$5+[20]FormattedData!M25^2*$J$6+$M$5*$J$7</f>
        <v>26.538644802269165</v>
      </c>
      <c r="U52" s="6">
        <f>$J$3+[20]FormattedData!N25*$J$4+$M$4*$J$5+[20]FormattedData!N25^2*$J$6+$M$5*$J$7</f>
        <v>26.73628796234193</v>
      </c>
      <c r="V52" s="6">
        <f>$J$3+[20]FormattedData!O25*$J$4+$M$4*$J$5+[20]FormattedData!O25^2*$J$6+$M$5*$J$7</f>
        <v>26.73628796234193</v>
      </c>
      <c r="W52" s="5">
        <f t="shared" si="9"/>
        <v>26.917175546444255</v>
      </c>
      <c r="X52" s="4">
        <f t="shared" si="10"/>
        <v>7.5667648100154597E-2</v>
      </c>
      <c r="Y52" s="3">
        <f t="shared" si="11"/>
        <v>26.538644802269165</v>
      </c>
      <c r="Z52" s="2">
        <f t="shared" si="12"/>
        <v>26.810356595264043</v>
      </c>
      <c r="AA52" s="3">
        <f t="shared" si="13"/>
        <v>26.835046139571414</v>
      </c>
      <c r="AB52" s="2">
        <f t="shared" si="14"/>
        <v>26.983088301205299</v>
      </c>
      <c r="AC52" s="2">
        <f t="shared" si="15"/>
        <v>27.525169861115739</v>
      </c>
      <c r="AD52" s="2">
        <f t="shared" si="16"/>
        <v>1.1884976704449504</v>
      </c>
      <c r="AE52" s="2">
        <f t="shared" si="17"/>
        <v>1.6804269815958586</v>
      </c>
    </row>
    <row r="53" spans="2:31" x14ac:dyDescent="0.2">
      <c r="B53" s="1">
        <f>[20]FormattedData!A23</f>
        <v>104</v>
      </c>
      <c r="C53" s="1" t="str">
        <f>VLOOKUP($B53,[20]TrtCodes!$B$11:I66,2)</f>
        <v>NTL</v>
      </c>
      <c r="D53" s="1">
        <f>VLOOKUP($B53,[20]TrtCodes!$B$11:J66,3)</f>
        <v>10</v>
      </c>
      <c r="E53" s="1">
        <f>VLOOKUP($B53,[20]TrtCodes!$B$11:K66,4)</f>
        <v>2</v>
      </c>
      <c r="F53" s="1">
        <f>VLOOKUP($B53,[20]TrtCodes!$B$11:L66,5)</f>
        <v>2</v>
      </c>
      <c r="G53" s="1">
        <f>VLOOKUP($B53,[20]TrtCodes!$B$11:M66,6)</f>
        <v>1</v>
      </c>
      <c r="H53" s="1">
        <f>VLOOKUP($B53,[20]TrtCodes!$B$11:N66,7)</f>
        <v>1</v>
      </c>
      <c r="I53" s="1">
        <f>[20]FormattedData!B23</f>
        <v>2</v>
      </c>
      <c r="J53" s="4">
        <f>[20]FormattedData!C23</f>
        <v>13.144</v>
      </c>
      <c r="K53" s="6">
        <f>$J$3+[20]FormattedData!D23*$J$4+$M$4*$J$5+[20]FormattedData!D23^2*$J$6+$M$5*$J$7</f>
        <v>27.721967650429885</v>
      </c>
      <c r="L53" s="6">
        <f>$J$3+[20]FormattedData!E23*$J$4+$M$4*$J$5+[20]FormattedData!E23^2*$J$6+$M$5*$J$7</f>
        <v>28.016847320366612</v>
      </c>
      <c r="M53" s="6">
        <f>$J$3+[20]FormattedData!F23*$J$4+$M$4*$J$5+[20]FormattedData!F23^2*$J$6+$M$5*$J$7</f>
        <v>27.426707563651775</v>
      </c>
      <c r="N53" s="6">
        <f>$J$3+[20]FormattedData!G23*$J$4+$M$4*$J$5+[20]FormattedData!G23^2*$J$6+$M$5*$J$7</f>
        <v>27.820303142280057</v>
      </c>
      <c r="O53" s="6">
        <f>$J$3+[20]FormattedData!H23*$J$4+$M$4*$J$5+[20]FormattedData!H23^2*$J$6+$M$5*$J$7</f>
        <v>27.032435688416591</v>
      </c>
      <c r="P53" s="6">
        <f>$J$3+[20]FormattedData!I23*$J$4+$M$4*$J$5+[20]FormattedData!I23^2*$J$6+$M$5*$J$7</f>
        <v>26.93376204826297</v>
      </c>
      <c r="Q53" s="6">
        <f>$J$3+[20]FormattedData!J23*$J$4+$M$4*$J$5+[20]FormattedData!J23^2*$J$6+$M$5*$J$7</f>
        <v>26.73628796234193</v>
      </c>
      <c r="R53" s="6">
        <f>$J$3+[20]FormattedData!K23*$J$4+$M$4*$J$5+[20]FormattedData!K23^2*$J$6+$M$5*$J$7</f>
        <v>26.340832568044672</v>
      </c>
      <c r="S53" s="6">
        <f>$J$3+[20]FormattedData!L23*$J$4+$M$4*$J$5+[20]FormattedData!L23^2*$J$6+$M$5*$J$7</f>
        <v>25.74638142046086</v>
      </c>
      <c r="T53" s="6">
        <f>$J$3+[20]FormattedData!M23*$J$4+$M$4*$J$5+[20]FormattedData!M23^2*$J$6+$M$5*$J$7</f>
        <v>25.647158289314135</v>
      </c>
      <c r="U53" s="6">
        <f>$J$3+[20]FormattedData!N23*$J$4+$M$4*$J$5+[20]FormattedData!N23^2*$J$6+$M$5*$J$7</f>
        <v>25.547892889629473</v>
      </c>
      <c r="V53" s="6">
        <f>$J$3+[20]FormattedData!O23*$J$4+$M$4*$J$5+[20]FormattedData!O23^2*$J$6+$M$5*$J$7</f>
        <v>25.944700877140527</v>
      </c>
      <c r="W53" s="5">
        <f t="shared" si="9"/>
        <v>26.742939785028288</v>
      </c>
      <c r="X53" s="4">
        <f t="shared" si="10"/>
        <v>0.25747506086915772</v>
      </c>
      <c r="Y53" s="3">
        <f t="shared" si="11"/>
        <v>25.547892889629473</v>
      </c>
      <c r="Z53" s="2">
        <f t="shared" si="12"/>
        <v>25.895121012970609</v>
      </c>
      <c r="AA53" s="3">
        <f t="shared" si="13"/>
        <v>26.835025005302448</v>
      </c>
      <c r="AB53" s="2">
        <f t="shared" si="14"/>
        <v>27.500522585346303</v>
      </c>
      <c r="AC53" s="2">
        <f t="shared" si="15"/>
        <v>28.016847320366612</v>
      </c>
      <c r="AD53" s="2">
        <f t="shared" si="16"/>
        <v>3.2839030533826277E-3</v>
      </c>
      <c r="AE53" s="2">
        <f t="shared" si="17"/>
        <v>-1.536855837633234</v>
      </c>
    </row>
    <row r="54" spans="2:31" x14ac:dyDescent="0.2">
      <c r="B54" s="1">
        <f>[20]FormattedData!A21</f>
        <v>105</v>
      </c>
      <c r="C54" s="1" t="str">
        <f>VLOOKUP($B54,[20]TrtCodes!$B$11:I64,2)</f>
        <v>NDL</v>
      </c>
      <c r="D54" s="1">
        <f>VLOOKUP($B54,[20]TrtCodes!$B$11:J64,3)</f>
        <v>12</v>
      </c>
      <c r="E54" s="1">
        <f>VLOOKUP($B54,[20]TrtCodes!$B$11:K64,4)</f>
        <v>2</v>
      </c>
      <c r="F54" s="1">
        <f>VLOOKUP($B54,[20]TrtCodes!$B$11:L64,5)</f>
        <v>3</v>
      </c>
      <c r="G54" s="1">
        <f>VLOOKUP($B54,[20]TrtCodes!$B$11:M64,6)</f>
        <v>1</v>
      </c>
      <c r="H54" s="1">
        <f>VLOOKUP($B54,[20]TrtCodes!$B$11:N64,7)</f>
        <v>2</v>
      </c>
      <c r="I54" s="1">
        <f>[20]FormattedData!B21</f>
        <v>2</v>
      </c>
      <c r="J54" s="4">
        <f>[20]FormattedData!C21</f>
        <v>13.128</v>
      </c>
      <c r="K54" s="6">
        <f>$J$3+[20]FormattedData!D21*$J$4+$M$4*$J$5+[20]FormattedData!D21^2*$J$6+$M$5*$J$7</f>
        <v>29.290263295480933</v>
      </c>
      <c r="L54" s="6">
        <f>$J$3+[20]FormattedData!E21*$J$4+$M$4*$J$5+[20]FormattedData!E21^2*$J$6+$M$5*$J$7</f>
        <v>27.820303142280057</v>
      </c>
      <c r="M54" s="6">
        <f>$J$3+[20]FormattedData!F21*$J$4+$M$4*$J$5+[20]FormattedData!F21^2*$J$6+$M$5*$J$7</f>
        <v>28.016847320366612</v>
      </c>
      <c r="N54" s="6">
        <f>$J$3+[20]FormattedData!G21*$J$4+$M$4*$J$5+[20]FormattedData!G21^2*$J$6+$M$5*$J$7</f>
        <v>28.997032098523519</v>
      </c>
      <c r="O54" s="6">
        <f>$J$3+[20]FormattedData!H21*$J$4+$M$4*$J$5+[20]FormattedData!H21^2*$J$6+$M$5*$J$7</f>
        <v>28.703420484724724</v>
      </c>
      <c r="P54" s="6">
        <f>$J$3+[20]FormattedData!I21*$J$4+$M$4*$J$5+[20]FormattedData!I21^2*$J$6+$M$5*$J$7</f>
        <v>28.213222424301446</v>
      </c>
      <c r="Q54" s="6">
        <f>$J$3+[20]FormattedData!J21*$J$4+$M$4*$J$5+[20]FormattedData!J21^2*$J$6+$M$5*$J$7</f>
        <v>27.426707563651775</v>
      </c>
      <c r="R54" s="6">
        <f>$J$3+[20]FormattedData!K21*$J$4+$M$4*$J$5+[20]FormattedData!K21^2*$J$6+$M$5*$J$7</f>
        <v>27.820303142280057</v>
      </c>
      <c r="S54" s="6">
        <f>$J$3+[20]FormattedData!L21*$J$4+$M$4*$J$5+[20]FormattedData!L21^2*$J$6+$M$5*$J$7</f>
        <v>28.016847320366612</v>
      </c>
      <c r="T54" s="6">
        <f>$J$3+[20]FormattedData!M21*$J$4+$M$4*$J$5+[20]FormattedData!M21^2*$J$6+$M$5*$J$7</f>
        <v>27.721967650429885</v>
      </c>
      <c r="U54" s="6">
        <f>$J$3+[20]FormattedData!N21*$J$4+$M$4*$J$5+[20]FormattedData!N21^2*$J$6+$M$5*$J$7</f>
        <v>27.525169861115739</v>
      </c>
      <c r="V54" s="6">
        <f>$J$3+[20]FormattedData!O21*$J$4+$M$4*$J$5+[20]FormattedData!O21^2*$J$6+$M$5*$J$7</f>
        <v>27.525169861115739</v>
      </c>
      <c r="W54" s="5">
        <f t="shared" si="9"/>
        <v>28.089771180386425</v>
      </c>
      <c r="X54" s="4">
        <f t="shared" si="10"/>
        <v>0.17460894168359928</v>
      </c>
      <c r="Y54" s="3">
        <f t="shared" si="11"/>
        <v>27.426707563651775</v>
      </c>
      <c r="Z54" s="2">
        <f t="shared" si="12"/>
        <v>27.672768203101349</v>
      </c>
      <c r="AA54" s="3">
        <f t="shared" si="13"/>
        <v>27.918575231323334</v>
      </c>
      <c r="AB54" s="2">
        <f t="shared" si="14"/>
        <v>28.335771939407266</v>
      </c>
      <c r="AC54" s="2">
        <f t="shared" si="15"/>
        <v>29.290263295480933</v>
      </c>
      <c r="AD54" s="2">
        <f t="shared" si="16"/>
        <v>0.97051718204575133</v>
      </c>
      <c r="AE54" s="2">
        <f t="shared" si="17"/>
        <v>-0.12257839319455277</v>
      </c>
    </row>
    <row r="55" spans="2:31" x14ac:dyDescent="0.2">
      <c r="B55" s="1">
        <f>[20]FormattedData!A19</f>
        <v>106</v>
      </c>
      <c r="C55" s="1" t="str">
        <f>VLOOKUP($B55,[20]TrtCodes!$B$11:I62,2)</f>
        <v>NTH</v>
      </c>
      <c r="D55" s="1">
        <f>VLOOKUP($B55,[20]TrtCodes!$B$11:J62,3)</f>
        <v>9</v>
      </c>
      <c r="E55" s="1">
        <f>VLOOKUP($B55,[20]TrtCodes!$B$11:K62,4)</f>
        <v>2</v>
      </c>
      <c r="F55" s="1">
        <f>VLOOKUP($B55,[20]TrtCodes!$B$11:L62,5)</f>
        <v>2</v>
      </c>
      <c r="G55" s="1">
        <f>VLOOKUP($B55,[20]TrtCodes!$B$11:M62,6)</f>
        <v>2</v>
      </c>
      <c r="H55" s="1">
        <f>VLOOKUP($B55,[20]TrtCodes!$B$11:N62,7)</f>
        <v>2</v>
      </c>
      <c r="I55" s="1">
        <f>[20]FormattedData!B19</f>
        <v>2</v>
      </c>
      <c r="J55" s="4">
        <f>[20]FormattedData!C19</f>
        <v>13.106</v>
      </c>
      <c r="K55" s="6">
        <f>$J$3+[20]FormattedData!D19*$J$4+$M$4*$J$5+[20]FormattedData!D19^2*$J$6+$M$5*$J$7</f>
        <v>27.328202997649875</v>
      </c>
      <c r="L55" s="6">
        <f>$J$3+[20]FormattedData!E19*$J$4+$M$4*$J$5+[20]FormattedData!E19^2*$J$6+$M$5*$J$7</f>
        <v>27.623589890041778</v>
      </c>
      <c r="M55" s="6">
        <f>$J$3+[20]FormattedData!F19*$J$4+$M$4*$J$5+[20]FormattedData!F19^2*$J$6+$M$5*$J$7</f>
        <v>27.328202997649875</v>
      </c>
      <c r="N55" s="6">
        <f>$J$3+[20]FormattedData!G19*$J$4+$M$4*$J$5+[20]FormattedData!G19^2*$J$6+$M$5*$J$7</f>
        <v>27.9185963655923</v>
      </c>
      <c r="O55" s="6">
        <f>$J$3+[20]FormattedData!H19*$J$4+$M$4*$J$5+[20]FormattedData!H19^2*$J$6+$M$5*$J$7</f>
        <v>28.213222424301446</v>
      </c>
      <c r="P55" s="6">
        <f>$J$3+[20]FormattedData!I19*$J$4+$M$4*$J$5+[20]FormattedData!I19^2*$J$6+$M$5*$J$7</f>
        <v>28.311346573461961</v>
      </c>
      <c r="Q55" s="6">
        <f>$J$3+[20]FormattedData!J19*$J$4+$M$4*$J$5+[20]FormattedData!J19^2*$J$6+$M$5*$J$7</f>
        <v>29.875584438871623</v>
      </c>
      <c r="R55" s="6">
        <f>$J$3+[20]FormattedData!K19*$J$4+$M$4*$J$5+[20]FormattedData!K19^2*$J$6+$M$5*$J$7</f>
        <v>29.290263295480933</v>
      </c>
      <c r="S55" s="6">
        <f>$J$3+[20]FormattedData!L19*$J$4+$M$4*$J$5+[20]FormattedData!L19^2*$J$6+$M$5*$J$7</f>
        <v>29.387922490724211</v>
      </c>
      <c r="T55" s="6">
        <f>$J$3+[20]FormattedData!M19*$J$4+$M$4*$J$5+[20]FormattedData!M19^2*$J$6+$M$5*$J$7</f>
        <v>28.801333291195586</v>
      </c>
      <c r="U55" s="6">
        <f>$J$3+[20]FormattedData!N19*$J$4+$M$4*$J$5+[20]FormattedData!N19^2*$J$6+$M$5*$J$7</f>
        <v>29.192561831699727</v>
      </c>
      <c r="V55" s="6">
        <f>$J$3+[20]FormattedData!O19*$J$4+$M$4*$J$5+[20]FormattedData!O19^2*$J$6+$M$5*$J$7</f>
        <v>27.328202997649875</v>
      </c>
      <c r="W55" s="5">
        <f t="shared" si="9"/>
        <v>28.383252466193266</v>
      </c>
      <c r="X55" s="4">
        <f t="shared" si="10"/>
        <v>0.26191774937616519</v>
      </c>
      <c r="Y55" s="3">
        <f t="shared" si="11"/>
        <v>27.328202997649875</v>
      </c>
      <c r="Z55" s="2">
        <f t="shared" si="12"/>
        <v>27.549743166943802</v>
      </c>
      <c r="AA55" s="3">
        <f t="shared" si="13"/>
        <v>28.262284498881705</v>
      </c>
      <c r="AB55" s="2">
        <f t="shared" si="14"/>
        <v>29.216987197645029</v>
      </c>
      <c r="AC55" s="2">
        <f t="shared" si="15"/>
        <v>29.875584438871623</v>
      </c>
      <c r="AD55" s="2">
        <f t="shared" si="16"/>
        <v>0.23656671019574949</v>
      </c>
      <c r="AE55" s="2">
        <f t="shared" si="17"/>
        <v>-1.4261384907608141</v>
      </c>
    </row>
    <row r="56" spans="2:31" x14ac:dyDescent="0.2">
      <c r="B56" s="1">
        <f>[20]FormattedData!A17</f>
        <v>107</v>
      </c>
      <c r="C56" s="1" t="str">
        <f>VLOOKUP($B56,[20]TrtCodes!$B$11:I60,2)</f>
        <v>NTL</v>
      </c>
      <c r="D56" s="1">
        <f>VLOOKUP($B56,[20]TrtCodes!$B$11:J60,3)</f>
        <v>10</v>
      </c>
      <c r="E56" s="1">
        <f>VLOOKUP($B56,[20]TrtCodes!$B$11:K60,4)</f>
        <v>2</v>
      </c>
      <c r="F56" s="1">
        <f>VLOOKUP($B56,[20]TrtCodes!$B$11:L60,5)</f>
        <v>2</v>
      </c>
      <c r="G56" s="1">
        <f>VLOOKUP($B56,[20]TrtCodes!$B$11:M60,6)</f>
        <v>1</v>
      </c>
      <c r="H56" s="1">
        <f>VLOOKUP($B56,[20]TrtCodes!$B$11:N60,7)</f>
        <v>2</v>
      </c>
      <c r="I56" s="1">
        <f>[20]FormattedData!B17</f>
        <v>2</v>
      </c>
      <c r="J56" s="4">
        <f>[20]FormattedData!C17</f>
        <v>13.09</v>
      </c>
      <c r="K56" s="6">
        <f>$J$3+[20]FormattedData!D17*$J$4+$M$4*$J$5+[20]FormattedData!D17^2*$J$6+$M$5*$J$7</f>
        <v>28.801333291195586</v>
      </c>
      <c r="L56" s="6">
        <f>$J$3+[20]FormattedData!E17*$J$4+$M$4*$J$5+[20]FormattedData!E17^2*$J$6+$M$5*$J$7</f>
        <v>28.997032098523519</v>
      </c>
      <c r="M56" s="6">
        <f>$J$3+[20]FormattedData!F17*$J$4+$M$4*$J$5+[20]FormattedData!F17^2*$J$6+$M$5*$J$7</f>
        <v>30.847738194821609</v>
      </c>
      <c r="N56" s="6">
        <f>$J$3+[20]FormattedData!G17*$J$4+$M$4*$J$5+[20]FormattedData!G17^2*$J$6+$M$5*$J$7</f>
        <v>30.264953163706785</v>
      </c>
      <c r="O56" s="6">
        <f>$J$3+[20]FormattedData!H17*$J$4+$M$4*$J$5+[20]FormattedData!H17^2*$J$6+$M$5*$J$7</f>
        <v>30.944721093457986</v>
      </c>
      <c r="P56" s="6">
        <f>$J$3+[20]FormattedData!I17*$J$4+$M$4*$J$5+[20]FormattedData!I17^2*$J$6+$M$5*$J$7</f>
        <v>31.815665096978485</v>
      </c>
      <c r="Q56" s="6">
        <f>$J$3+[20]FormattedData!J17*$J$4+$M$4*$J$5+[20]FormattedData!J17^2*$J$6+$M$5*$J$7</f>
        <v>30.556535887684891</v>
      </c>
      <c r="R56" s="6">
        <f>$J$3+[20]FormattedData!K17*$J$4+$M$4*$J$5+[20]FormattedData!K17^2*$J$6+$M$5*$J$7</f>
        <v>30.65364559193506</v>
      </c>
      <c r="S56" s="6">
        <f>$J$3+[20]FormattedData!L17*$J$4+$M$4*$J$5+[20]FormattedData!L17^2*$J$6+$M$5*$J$7</f>
        <v>30.264953163706785</v>
      </c>
      <c r="T56" s="6">
        <f>$J$3+[20]FormattedData!M17*$J$4+$M$4*$J$5+[20]FormattedData!M17^2*$J$6+$M$5*$J$7</f>
        <v>30.167674385304892</v>
      </c>
      <c r="U56" s="6">
        <f>$J$3+[20]FormattedData!N17*$J$4+$M$4*$J$5+[20]FormattedData!N17^2*$J$6+$M$5*$J$7</f>
        <v>31.332230002624186</v>
      </c>
      <c r="V56" s="6">
        <f>$J$3+[20]FormattedData!O17*$J$4+$M$4*$J$5+[20]FormattedData!O17^2*$J$6+$M$5*$J$7</f>
        <v>30.65364559193506</v>
      </c>
      <c r="W56" s="5">
        <f t="shared" si="9"/>
        <v>30.441677296822906</v>
      </c>
      <c r="X56" s="4">
        <f t="shared" si="10"/>
        <v>0.24797952265932555</v>
      </c>
      <c r="Y56" s="3">
        <f t="shared" si="11"/>
        <v>28.801333291195586</v>
      </c>
      <c r="Z56" s="2">
        <f t="shared" si="12"/>
        <v>30.240633469106314</v>
      </c>
      <c r="AA56" s="3">
        <f t="shared" si="13"/>
        <v>30.605090739809974</v>
      </c>
      <c r="AB56" s="2">
        <f t="shared" si="14"/>
        <v>30.871983919480705</v>
      </c>
      <c r="AC56" s="2">
        <f t="shared" si="15"/>
        <v>31.815665096978485</v>
      </c>
      <c r="AD56" s="2">
        <f t="shared" si="16"/>
        <v>-0.67897406327981125</v>
      </c>
      <c r="AE56" s="2">
        <f t="shared" si="17"/>
        <v>0.56530921534660106</v>
      </c>
    </row>
    <row r="57" spans="2:31" x14ac:dyDescent="0.2">
      <c r="B57" s="1">
        <f>[20]FormattedData!A15</f>
        <v>108</v>
      </c>
      <c r="C57" s="1" t="str">
        <f>VLOOKUP($B57,[20]TrtCodes!$B$11:I58,2)</f>
        <v>FTH</v>
      </c>
      <c r="D57" s="1">
        <f>VLOOKUP($B57,[20]TrtCodes!$B$11:J58,3)</f>
        <v>3</v>
      </c>
      <c r="E57" s="1">
        <f>VLOOKUP($B57,[20]TrtCodes!$B$11:K58,4)</f>
        <v>1</v>
      </c>
      <c r="F57" s="1">
        <f>VLOOKUP($B57,[20]TrtCodes!$B$11:L58,5)</f>
        <v>2</v>
      </c>
      <c r="G57" s="1">
        <f>VLOOKUP($B57,[20]TrtCodes!$B$11:M58,6)</f>
        <v>2</v>
      </c>
      <c r="H57" s="1">
        <f>VLOOKUP($B57,[20]TrtCodes!$B$11:N58,7)</f>
        <v>2</v>
      </c>
      <c r="I57" s="1">
        <f>[20]FormattedData!B15</f>
        <v>2</v>
      </c>
      <c r="J57" s="4">
        <f>[20]FormattedData!C15</f>
        <v>13.074</v>
      </c>
      <c r="K57" s="6">
        <f>$J$3+[20]FormattedData!D15*$J$4+$M$4*$J$5+[20]FormattedData!D15^2*$J$6+$M$5*$J$7</f>
        <v>27.032435688416591</v>
      </c>
      <c r="L57" s="6">
        <f>$J$3+[20]FormattedData!E15*$J$4+$M$4*$J$5+[20]FormattedData!E15^2*$J$6+$M$5*$J$7</f>
        <v>27.820303142280057</v>
      </c>
      <c r="M57" s="6">
        <f>$J$3+[20]FormattedData!F15*$J$4+$M$4*$J$5+[20]FormattedData!F15^2*$J$6+$M$5*$J$7</f>
        <v>27.131067060032283</v>
      </c>
      <c r="N57" s="6">
        <f>$J$3+[20]FormattedData!G15*$J$4+$M$4*$J$5+[20]FormattedData!G15^2*$J$6+$M$5*$J$7</f>
        <v>27.426707563651775</v>
      </c>
      <c r="O57" s="6">
        <f>$J$3+[20]FormattedData!H15*$J$4+$M$4*$J$5+[20]FormattedData!H15^2*$J$6+$M$5*$J$7</f>
        <v>27.426707563651775</v>
      </c>
      <c r="P57" s="6">
        <f>$J$3+[20]FormattedData!I15*$J$4+$M$4*$J$5+[20]FormattedData!I15^2*$J$6+$M$5*$J$7</f>
        <v>27.328202997649875</v>
      </c>
      <c r="Q57" s="6">
        <f>$J$3+[20]FormattedData!J15*$J$4+$M$4*$J$5+[20]FormattedData!J15^2*$J$6+$M$5*$J$7</f>
        <v>28.115056006602995</v>
      </c>
      <c r="R57" s="6">
        <f>$J$3+[20]FormattedData!K15*$J$4+$M$4*$J$5+[20]FormattedData!K15^2*$J$6+$M$5*$J$7</f>
        <v>27.9185963655923</v>
      </c>
      <c r="S57" s="6">
        <f>$J$3+[20]FormattedData!L15*$J$4+$M$4*$J$5+[20]FormattedData!L15^2*$J$6+$M$5*$J$7</f>
        <v>27.721967650429885</v>
      </c>
      <c r="T57" s="6">
        <f>$J$3+[20]FormattedData!M15*$J$4+$M$4*$J$5+[20]FormattedData!M15^2*$J$6+$M$5*$J$7</f>
        <v>27.131067060032283</v>
      </c>
      <c r="U57" s="6">
        <f>$J$3+[20]FormattedData!N15*$J$4+$M$4*$J$5+[20]FormattedData!N15^2*$J$6+$M$5*$J$7</f>
        <v>28.115056006602995</v>
      </c>
      <c r="V57" s="6">
        <f>$J$3+[20]FormattedData!O15*$J$4+$M$4*$J$5+[20]FormattedData!O15^2*$J$6+$M$5*$J$7</f>
        <v>28.409428454084548</v>
      </c>
      <c r="W57" s="5">
        <f t="shared" si="9"/>
        <v>27.631382963252278</v>
      </c>
      <c r="X57" s="4">
        <f t="shared" si="10"/>
        <v>0.13011341042674873</v>
      </c>
      <c r="Y57" s="3">
        <f t="shared" si="11"/>
        <v>27.032435688416591</v>
      </c>
      <c r="Z57" s="2">
        <f t="shared" si="12"/>
        <v>27.278919013245478</v>
      </c>
      <c r="AA57" s="3">
        <f t="shared" si="13"/>
        <v>27.574337607040832</v>
      </c>
      <c r="AB57" s="2">
        <f t="shared" si="14"/>
        <v>27.967711275844973</v>
      </c>
      <c r="AC57" s="2">
        <f t="shared" si="15"/>
        <v>28.409428454084548</v>
      </c>
      <c r="AD57" s="2">
        <f t="shared" si="16"/>
        <v>0.2598607891716388</v>
      </c>
      <c r="AE57" s="2">
        <f t="shared" si="17"/>
        <v>-1.1697244344443836</v>
      </c>
    </row>
    <row r="58" spans="2:31" x14ac:dyDescent="0.2">
      <c r="B58" s="1">
        <f>[20]FormattedData!A31</f>
        <v>201</v>
      </c>
      <c r="C58" s="1" t="str">
        <f>VLOOKUP($B58,[20]TrtCodes!$B$11:I74,2)</f>
        <v>NDL</v>
      </c>
      <c r="D58" s="1">
        <f>VLOOKUP($B58,[20]TrtCodes!$B$11:J74,3)</f>
        <v>12</v>
      </c>
      <c r="E58" s="1">
        <f>VLOOKUP($B58,[20]TrtCodes!$B$11:K74,4)</f>
        <v>2</v>
      </c>
      <c r="F58" s="1">
        <f>VLOOKUP($B58,[20]TrtCodes!$B$11:L74,5)</f>
        <v>3</v>
      </c>
      <c r="G58" s="1">
        <f>VLOOKUP($B58,[20]TrtCodes!$B$11:M74,6)</f>
        <v>1</v>
      </c>
      <c r="H58" s="1">
        <f>VLOOKUP($B58,[20]TrtCodes!$B$11:N74,7)</f>
        <v>1</v>
      </c>
      <c r="I58" s="1">
        <f>[20]FormattedData!B31</f>
        <v>2</v>
      </c>
      <c r="J58" s="4">
        <f>[20]FormattedData!C31</f>
        <v>13.215</v>
      </c>
      <c r="K58" s="6">
        <f>$J$3+[20]FormattedData!D31*$J$4+$M$4*$J$5+[20]FormattedData!D31^2*$J$6+$M$5*$J$7</f>
        <v>29.680646465226452</v>
      </c>
      <c r="L58" s="6">
        <f>$J$3+[20]FormattedData!E31*$J$4+$M$4*$J$5+[20]FormattedData!E31^2*$J$6+$M$5*$J$7</f>
        <v>27.820303142280057</v>
      </c>
      <c r="M58" s="6">
        <f>$J$3+[20]FormattedData!F31*$J$4+$M$4*$J$5+[20]FormattedData!F31^2*$J$6+$M$5*$J$7</f>
        <v>29.094818099380589</v>
      </c>
      <c r="N58" s="6">
        <f>$J$3+[20]FormattedData!G31*$J$4+$M$4*$J$5+[20]FormattedData!G31^2*$J$6+$M$5*$J$7</f>
        <v>28.311346573461961</v>
      </c>
      <c r="O58" s="6">
        <f>$J$3+[20]FormattedData!H31*$J$4+$M$4*$J$5+[20]FormattedData!H31^2*$J$6+$M$5*$J$7</f>
        <v>27.721967650429885</v>
      </c>
      <c r="P58" s="6">
        <f>$J$3+[20]FormattedData!I31*$J$4+$M$4*$J$5+[20]FormattedData!I31^2*$J$6+$M$5*$J$7</f>
        <v>28.311346573461961</v>
      </c>
      <c r="Q58" s="6">
        <f>$J$3+[20]FormattedData!J31*$J$4+$M$4*$J$5+[20]FormattedData!J31^2*$J$6+$M$5*$J$7</f>
        <v>29.192561831699727</v>
      </c>
      <c r="R58" s="6">
        <f>$J$3+[20]FormattedData!K31*$J$4+$M$4*$J$5+[20]FormattedData!K31^2*$J$6+$M$5*$J$7</f>
        <v>28.899203829128517</v>
      </c>
      <c r="S58" s="6">
        <f>$J$3+[20]FormattedData!L31*$J$4+$M$4*$J$5+[20]FormattedData!L31^2*$J$6+$M$5*$J$7</f>
        <v>29.192561831699727</v>
      </c>
      <c r="T58" s="6">
        <f>$J$3+[20]FormattedData!M31*$J$4+$M$4*$J$5+[20]FormattedData!M31^2*$J$6+$M$5*$J$7</f>
        <v>29.387922490724211</v>
      </c>
      <c r="U58" s="6">
        <f>$J$3+[20]FormattedData!N31*$J$4+$M$4*$J$5+[20]FormattedData!N31^2*$J$6+$M$5*$J$7</f>
        <v>30.362189673570754</v>
      </c>
      <c r="V58" s="6">
        <f>$J$3+[20]FormattedData!O31*$J$4+$M$4*$J$5+[20]FormattedData!O31^2*$J$6+$M$5*$J$7</f>
        <v>29.583114075596967</v>
      </c>
      <c r="W58" s="5">
        <f t="shared" si="9"/>
        <v>28.963165186388398</v>
      </c>
      <c r="X58" s="4">
        <f t="shared" si="10"/>
        <v>0.22796719367857177</v>
      </c>
      <c r="Y58" s="3">
        <f t="shared" si="11"/>
        <v>27.721967650429885</v>
      </c>
      <c r="Z58" s="2">
        <f t="shared" si="12"/>
        <v>28.311346573461961</v>
      </c>
      <c r="AA58" s="3">
        <f t="shared" si="13"/>
        <v>29.143689965540158</v>
      </c>
      <c r="AB58" s="2">
        <f t="shared" si="14"/>
        <v>29.436720386942401</v>
      </c>
      <c r="AC58" s="2">
        <f t="shared" si="15"/>
        <v>30.362189673570754</v>
      </c>
      <c r="AD58" s="2">
        <f t="shared" si="16"/>
        <v>-0.11298901438717766</v>
      </c>
      <c r="AE58" s="2">
        <f t="shared" si="17"/>
        <v>-0.49927969474780687</v>
      </c>
    </row>
    <row r="59" spans="2:31" x14ac:dyDescent="0.2">
      <c r="B59" s="1">
        <f>[20]FormattedData!A33</f>
        <v>202</v>
      </c>
      <c r="C59" s="1" t="str">
        <f>VLOOKUP($B59,[20]TrtCodes!$B$11:I76,2)</f>
        <v>NTH</v>
      </c>
      <c r="D59" s="1">
        <f>VLOOKUP($B59,[20]TrtCodes!$B$11:J76,3)</f>
        <v>9</v>
      </c>
      <c r="E59" s="1">
        <f>VLOOKUP($B59,[20]TrtCodes!$B$11:K76,4)</f>
        <v>2</v>
      </c>
      <c r="F59" s="1">
        <f>VLOOKUP($B59,[20]TrtCodes!$B$11:L76,5)</f>
        <v>2</v>
      </c>
      <c r="G59" s="1">
        <f>VLOOKUP($B59,[20]TrtCodes!$B$11:M76,6)</f>
        <v>2</v>
      </c>
      <c r="H59" s="1">
        <f>VLOOKUP($B59,[20]TrtCodes!$B$11:N76,7)</f>
        <v>1</v>
      </c>
      <c r="I59" s="1">
        <f>[20]FormattedData!B33</f>
        <v>2</v>
      </c>
      <c r="J59" s="4">
        <f>[20]FormattedData!C33</f>
        <v>13.231</v>
      </c>
      <c r="K59" s="6">
        <f>$J$3+[20]FormattedData!D33*$J$4+$M$4*$J$5+[20]FormattedData!D33^2*$J$6+$M$5*$J$7</f>
        <v>28.605465409715933</v>
      </c>
      <c r="L59" s="6">
        <f>$J$3+[20]FormattedData!E33*$J$4+$M$4*$J$5+[20]FormattedData!E33^2*$J$6+$M$5*$J$7</f>
        <v>28.899203829128517</v>
      </c>
      <c r="M59" s="6">
        <f>$J$3+[20]FormattedData!F33*$J$4+$M$4*$J$5+[20]FormattedData!F33^2*$J$6+$M$5*$J$7</f>
        <v>28.801333291195586</v>
      </c>
      <c r="N59" s="6">
        <f>$J$3+[20]FormattedData!G33*$J$4+$M$4*$J$5+[20]FormattedData!G33^2*$J$6+$M$5*$J$7</f>
        <v>29.485539417429553</v>
      </c>
      <c r="O59" s="6">
        <f>$J$3+[20]FormattedData!H33*$J$4+$M$4*$J$5+[20]FormattedData!H33^2*$J$6+$M$5*$J$7</f>
        <v>30.070353338365074</v>
      </c>
      <c r="P59" s="6">
        <f>$J$3+[20]FormattedData!I33*$J$4+$M$4*$J$5+[20]FormattedData!I33^2*$J$6+$M$5*$J$7</f>
        <v>29.778136586317999</v>
      </c>
      <c r="Q59" s="6">
        <f>$J$3+[20]FormattedData!J33*$J$4+$M$4*$J$5+[20]FormattedData!J33^2*$J$6+$M$5*$J$7</f>
        <v>28.115056006602995</v>
      </c>
      <c r="R59" s="6">
        <f>$J$3+[20]FormattedData!K33*$J$4+$M$4*$J$5+[20]FormattedData!K33^2*$J$6+$M$5*$J$7</f>
        <v>28.997032098523519</v>
      </c>
      <c r="S59" s="6">
        <f>$J$3+[20]FormattedData!L33*$J$4+$M$4*$J$5+[20]FormattedData!L33^2*$J$6+$M$5*$J$7</f>
        <v>29.094818099380589</v>
      </c>
      <c r="T59" s="6">
        <f>$J$3+[20]FormattedData!M33*$J$4+$M$4*$J$5+[20]FormattedData!M33^2*$J$6+$M$5*$J$7</f>
        <v>28.899203829128517</v>
      </c>
      <c r="U59" s="6">
        <f>$J$3+[20]FormattedData!N33*$J$4+$M$4*$J$5+[20]FormattedData!N33^2*$J$6+$M$5*$J$7</f>
        <v>30.556535887684891</v>
      </c>
      <c r="V59" s="6">
        <f>$J$3+[20]FormattedData!O33*$J$4+$M$4*$J$5+[20]FormattedData!O33^2*$J$6+$M$5*$J$7</f>
        <v>28.703420484724724</v>
      </c>
      <c r="W59" s="5">
        <f t="shared" si="9"/>
        <v>29.167174856516493</v>
      </c>
      <c r="X59" s="4">
        <f t="shared" si="10"/>
        <v>0.19790314474914186</v>
      </c>
      <c r="Y59" s="3">
        <f t="shared" si="11"/>
        <v>28.115056006602995</v>
      </c>
      <c r="Z59" s="2">
        <f t="shared" si="12"/>
        <v>28.776855089577872</v>
      </c>
      <c r="AA59" s="3">
        <f t="shared" si="13"/>
        <v>28.948117963826018</v>
      </c>
      <c r="AB59" s="2">
        <f t="shared" si="14"/>
        <v>29.558688709651666</v>
      </c>
      <c r="AC59" s="2">
        <f t="shared" si="15"/>
        <v>30.556535887684891</v>
      </c>
      <c r="AD59" s="2">
        <f t="shared" si="16"/>
        <v>0.72612217392623501</v>
      </c>
      <c r="AE59" s="2">
        <f t="shared" si="17"/>
        <v>0.20510989206419339</v>
      </c>
    </row>
    <row r="60" spans="2:31" x14ac:dyDescent="0.2">
      <c r="B60" s="1">
        <f>[20]FormattedData!A35</f>
        <v>203</v>
      </c>
      <c r="C60" s="1" t="str">
        <f>VLOOKUP($B60,[20]TrtCodes!$B$11:I78,2)</f>
        <v>FTH</v>
      </c>
      <c r="D60" s="1">
        <f>VLOOKUP($B60,[20]TrtCodes!$B$11:J78,3)</f>
        <v>3</v>
      </c>
      <c r="E60" s="1">
        <f>VLOOKUP($B60,[20]TrtCodes!$B$11:K78,4)</f>
        <v>1</v>
      </c>
      <c r="F60" s="1">
        <f>VLOOKUP($B60,[20]TrtCodes!$B$11:L78,5)</f>
        <v>2</v>
      </c>
      <c r="G60" s="1">
        <f>VLOOKUP($B60,[20]TrtCodes!$B$11:M78,6)</f>
        <v>2</v>
      </c>
      <c r="H60" s="1">
        <f>VLOOKUP($B60,[20]TrtCodes!$B$11:N78,7)</f>
        <v>1</v>
      </c>
      <c r="I60" s="1">
        <f>[20]FormattedData!B35</f>
        <v>2</v>
      </c>
      <c r="J60" s="4">
        <f>[20]FormattedData!C35</f>
        <v>13.246</v>
      </c>
      <c r="K60" s="6">
        <f>$J$3+[20]FormattedData!D35*$J$4+$M$4*$J$5+[20]FormattedData!D35^2*$J$6+$M$5*$J$7</f>
        <v>30.459383914896783</v>
      </c>
      <c r="L60" s="6">
        <f>$J$3+[20]FormattedData!E35*$J$4+$M$4*$J$5+[20]FormattedData!E35^2*$J$6+$M$5*$J$7</f>
        <v>30.362189673570754</v>
      </c>
      <c r="M60" s="6">
        <f>$J$3+[20]FormattedData!F35*$J$4+$M$4*$J$5+[20]FormattedData!F35^2*$J$6+$M$5*$J$7</f>
        <v>31.429001558570903</v>
      </c>
      <c r="N60" s="6">
        <f>$J$3+[20]FormattedData!G35*$J$4+$M$4*$J$5+[20]FormattedData!G35^2*$J$6+$M$5*$J$7</f>
        <v>30.556535887684891</v>
      </c>
      <c r="O60" s="6">
        <f>$J$3+[20]FormattedData!H35*$J$4+$M$4*$J$5+[20]FormattedData!H35^2*$J$6+$M$5*$J$7</f>
        <v>31.815665096978485</v>
      </c>
      <c r="P60" s="6">
        <f>$J$3+[20]FormattedData!I35*$J$4+$M$4*$J$5+[20]FormattedData!I35^2*$J$6+$M$5*$J$7</f>
        <v>32.490698950481395</v>
      </c>
      <c r="Q60" s="6">
        <f>$J$3+[20]FormattedData!J35*$J$4+$M$4*$J$5+[20]FormattedData!J35^2*$J$6+$M$5*$J$7</f>
        <v>29.972990022887309</v>
      </c>
      <c r="R60" s="6">
        <f>$J$3+[20]FormattedData!K35*$J$4+$M$4*$J$5+[20]FormattedData!K35^2*$J$6+$M$5*$J$7</f>
        <v>30.070353338365074</v>
      </c>
      <c r="S60" s="6">
        <f>$J$3+[20]FormattedData!L35*$J$4+$M$4*$J$5+[20]FormattedData!L35^2*$J$6+$M$5*$J$7</f>
        <v>29.972990022887309</v>
      </c>
      <c r="T60" s="6">
        <f>$J$3+[20]FormattedData!M35*$J$4+$M$4*$J$5+[20]FormattedData!M35^2*$J$6+$M$5*$J$7</f>
        <v>29.875584438871623</v>
      </c>
      <c r="U60" s="6">
        <f>$J$3+[20]FormattedData!N35*$J$4+$M$4*$J$5+[20]FormattedData!N35^2*$J$6+$M$5*$J$7</f>
        <v>30.362189673570754</v>
      </c>
      <c r="V60" s="6">
        <f>$J$3+[20]FormattedData!O35*$J$4+$M$4*$J$5+[20]FormattedData!O35^2*$J$6+$M$5*$J$7</f>
        <v>30.264953163706785</v>
      </c>
      <c r="W60" s="5">
        <f t="shared" si="9"/>
        <v>30.636044645206002</v>
      </c>
      <c r="X60" s="4">
        <f t="shared" si="10"/>
        <v>0.23936230855595939</v>
      </c>
      <c r="Y60" s="3">
        <f t="shared" si="11"/>
        <v>29.875584438871623</v>
      </c>
      <c r="Z60" s="2">
        <f t="shared" si="12"/>
        <v>30.046012509495633</v>
      </c>
      <c r="AA60" s="3">
        <f t="shared" si="13"/>
        <v>30.362189673570754</v>
      </c>
      <c r="AB60" s="2">
        <f t="shared" si="14"/>
        <v>30.774652305406395</v>
      </c>
      <c r="AC60" s="2">
        <f t="shared" si="15"/>
        <v>32.490698950481395</v>
      </c>
      <c r="AD60" s="2">
        <f t="shared" si="16"/>
        <v>1.3811485794166074</v>
      </c>
      <c r="AE60" s="2">
        <f t="shared" si="17"/>
        <v>0.97299255630262849</v>
      </c>
    </row>
    <row r="61" spans="2:31" x14ac:dyDescent="0.2">
      <c r="B61" s="1">
        <f>[20]FormattedData!A37</f>
        <v>204</v>
      </c>
      <c r="C61" s="1" t="str">
        <f>VLOOKUP($B61,[20]TrtCodes!$B$11:I80,2)</f>
        <v>NDH</v>
      </c>
      <c r="D61" s="1">
        <f>VLOOKUP($B61,[20]TrtCodes!$B$11:J80,3)</f>
        <v>11</v>
      </c>
      <c r="E61" s="1">
        <f>VLOOKUP($B61,[20]TrtCodes!$B$11:K80,4)</f>
        <v>2</v>
      </c>
      <c r="F61" s="1">
        <f>VLOOKUP($B61,[20]TrtCodes!$B$11:L80,5)</f>
        <v>3</v>
      </c>
      <c r="G61" s="1">
        <f>VLOOKUP($B61,[20]TrtCodes!$B$11:M80,6)</f>
        <v>2</v>
      </c>
      <c r="H61" s="1">
        <f>VLOOKUP($B61,[20]TrtCodes!$B$11:N80,7)</f>
        <v>1</v>
      </c>
      <c r="I61" s="1">
        <f>[20]FormattedData!B37</f>
        <v>2</v>
      </c>
      <c r="J61" s="4">
        <f>[20]FormattedData!C37</f>
        <v>13.263999999999999</v>
      </c>
      <c r="K61" s="6">
        <f>$J$3+[20]FormattedData!D37*$J$4+$M$4*$J$5+[20]FormattedData!D37^2*$J$6+$M$5*$J$7</f>
        <v>30.65364559193506</v>
      </c>
      <c r="L61" s="6">
        <f>$J$3+[20]FormattedData!E37*$J$4+$M$4*$J$5+[20]FormattedData!E37^2*$J$6+$M$5*$J$7</f>
        <v>32.298043477884505</v>
      </c>
      <c r="M61" s="6">
        <f>$J$3+[20]FormattedData!F37*$J$4+$M$4*$J$5+[20]FormattedData!F37^2*$J$6+$M$5*$J$7</f>
        <v>31.719062615183489</v>
      </c>
      <c r="N61" s="6">
        <f>$J$3+[20]FormattedData!G37*$J$4+$M$4*$J$5+[20]FormattedData!G37^2*$J$6+$M$5*$J$7</f>
        <v>31.912225310235549</v>
      </c>
      <c r="O61" s="6">
        <f>$J$3+[20]FormattedData!H37*$J$4+$M$4*$J$5+[20]FormattedData!H37^2*$J$6+$M$5*$J$7</f>
        <v>32.298043477884505</v>
      </c>
      <c r="P61" s="6">
        <f>$J$3+[20]FormattedData!I37*$J$4+$M$4*$J$5+[20]FormattedData!I37^2*$J$6+$M$5*$J$7</f>
        <v>31.041661723556434</v>
      </c>
      <c r="Q61" s="6">
        <f>$J$3+[20]FormattedData!J37*$J$4+$M$4*$J$5+[20]FormattedData!J37^2*$J$6+$M$5*$J$7</f>
        <v>31.429001558570903</v>
      </c>
      <c r="R61" s="6">
        <f>$J$3+[20]FormattedData!K37*$J$4+$M$4*$J$5+[20]FormattedData!K37^2*$J$6+$M$5*$J$7</f>
        <v>32.298043477884505</v>
      </c>
      <c r="S61" s="6">
        <f>$J$3+[20]FormattedData!L37*$J$4+$M$4*$J$5+[20]FormattedData!L37^2*$J$6+$M$5*$J$7</f>
        <v>31.525730845979702</v>
      </c>
      <c r="T61" s="6">
        <f>$J$3+[20]FormattedData!M37*$J$4+$M$4*$J$5+[20]FormattedData!M37^2*$J$6+$M$5*$J$7</f>
        <v>31.622417864850558</v>
      </c>
      <c r="U61" s="6">
        <f>$J$3+[20]FormattedData!N37*$J$4+$M$4*$J$5+[20]FormattedData!N37^2*$J$6+$M$5*$J$7</f>
        <v>32.779365145342247</v>
      </c>
      <c r="V61" s="6">
        <f>$J$3+[20]FormattedData!O37*$J$4+$M$4*$J$5+[20]FormattedData!O37^2*$J$6+$M$5*$J$7</f>
        <v>34.789376837809563</v>
      </c>
      <c r="W61" s="5">
        <f t="shared" si="9"/>
        <v>32.030551493926417</v>
      </c>
      <c r="X61" s="4">
        <f t="shared" si="10"/>
        <v>0.30344703453958721</v>
      </c>
      <c r="Y61" s="3">
        <f t="shared" si="11"/>
        <v>30.65364559193506</v>
      </c>
      <c r="Z61" s="2">
        <f t="shared" si="12"/>
        <v>31.5015485241275</v>
      </c>
      <c r="AA61" s="3">
        <f t="shared" si="13"/>
        <v>31.815643962709519</v>
      </c>
      <c r="AB61" s="2">
        <f t="shared" si="14"/>
        <v>32.298043477884505</v>
      </c>
      <c r="AC61" s="2">
        <f t="shared" si="15"/>
        <v>34.789376837809563</v>
      </c>
      <c r="AD61" s="2">
        <f t="shared" si="16"/>
        <v>1.639070440350183</v>
      </c>
      <c r="AE61" s="2">
        <f t="shared" si="17"/>
        <v>4.1030309215284397</v>
      </c>
    </row>
    <row r="62" spans="2:31" x14ac:dyDescent="0.2">
      <c r="B62" s="1">
        <f>[20]FormattedData!A39</f>
        <v>205</v>
      </c>
      <c r="C62" s="1" t="str">
        <f>VLOOKUP($B62,[20]TrtCodes!$B$11:I82,2)</f>
        <v>FSH</v>
      </c>
      <c r="D62" s="1">
        <f>VLOOKUP($B62,[20]TrtCodes!$B$11:J82,3)</f>
        <v>1</v>
      </c>
      <c r="E62" s="1">
        <f>VLOOKUP($B62,[20]TrtCodes!$B$11:K82,4)</f>
        <v>1</v>
      </c>
      <c r="F62" s="1">
        <f>VLOOKUP($B62,[20]TrtCodes!$B$11:L82,5)</f>
        <v>1</v>
      </c>
      <c r="G62" s="1">
        <f>VLOOKUP($B62,[20]TrtCodes!$B$11:M82,6)</f>
        <v>2</v>
      </c>
      <c r="H62" s="1">
        <f>VLOOKUP($B62,[20]TrtCodes!$B$11:N82,7)</f>
        <v>2</v>
      </c>
      <c r="I62" s="1">
        <f>[20]FormattedData!B39</f>
        <v>2</v>
      </c>
      <c r="J62" s="4">
        <f>[20]FormattedData!C39</f>
        <v>13.284000000000001</v>
      </c>
      <c r="K62" s="6">
        <f>$J$3+[20]FormattedData!D39*$J$4+$M$4*$J$5+[20]FormattedData!D39^2*$J$6+$M$5*$J$7</f>
        <v>28.801333291195586</v>
      </c>
      <c r="L62" s="6">
        <f>$J$3+[20]FormattedData!E39*$J$4+$M$4*$J$5+[20]FormattedData!E39^2*$J$6+$M$5*$J$7</f>
        <v>28.507468066169203</v>
      </c>
      <c r="M62" s="6">
        <f>$J$3+[20]FormattedData!F39*$J$4+$M$4*$J$5+[20]FormattedData!F39^2*$J$6+$M$5*$J$7</f>
        <v>29.094818099380589</v>
      </c>
      <c r="N62" s="6">
        <f>$J$3+[20]FormattedData!G39*$J$4+$M$4*$J$5+[20]FormattedData!G39^2*$J$6+$M$5*$J$7</f>
        <v>27.525169861115739</v>
      </c>
      <c r="O62" s="6">
        <f>$J$3+[20]FormattedData!H39*$J$4+$M$4*$J$5+[20]FormattedData!H39^2*$J$6+$M$5*$J$7</f>
        <v>29.094818099380589</v>
      </c>
      <c r="P62" s="6">
        <f>$J$3+[20]FormattedData!I39*$J$4+$M$4*$J$5+[20]FormattedData!I39^2*$J$6+$M$5*$J$7</f>
        <v>29.094818099380589</v>
      </c>
      <c r="Q62" s="6">
        <f>$J$3+[20]FormattedData!J39*$J$4+$M$4*$J$5+[20]FormattedData!J39^2*$J$6+$M$5*$J$7</f>
        <v>29.875584438871623</v>
      </c>
      <c r="R62" s="6">
        <f>$J$3+[20]FormattedData!K39*$J$4+$M$4*$J$5+[20]FormattedData!K39^2*$J$6+$M$5*$J$7</f>
        <v>28.801333291195586</v>
      </c>
      <c r="S62" s="6">
        <f>$J$3+[20]FormattedData!L39*$J$4+$M$4*$J$5+[20]FormattedData!L39^2*$J$6+$M$5*$J$7</f>
        <v>29.094818099380589</v>
      </c>
      <c r="T62" s="6">
        <f>$J$3+[20]FormattedData!M39*$J$4+$M$4*$J$5+[20]FormattedData!M39^2*$J$6+$M$5*$J$7</f>
        <v>29.290263295480933</v>
      </c>
      <c r="U62" s="6">
        <f>$J$3+[20]FormattedData!N39*$J$4+$M$4*$J$5+[20]FormattedData!N39^2*$J$6+$M$5*$J$7</f>
        <v>29.387922490724211</v>
      </c>
      <c r="V62" s="6">
        <f>$J$3+[20]FormattedData!O39*$J$4+$M$4*$J$5+[20]FormattedData!O39^2*$J$6+$M$5*$J$7</f>
        <v>29.485539417429553</v>
      </c>
      <c r="W62" s="5">
        <f t="shared" si="9"/>
        <v>29.004490545808732</v>
      </c>
      <c r="X62" s="4">
        <f t="shared" si="10"/>
        <v>0.16898766652199773</v>
      </c>
      <c r="Y62" s="3">
        <f t="shared" si="11"/>
        <v>27.525169861115739</v>
      </c>
      <c r="Z62" s="2">
        <f t="shared" si="12"/>
        <v>28.801333291195586</v>
      </c>
      <c r="AA62" s="3">
        <f t="shared" si="13"/>
        <v>29.094818099380589</v>
      </c>
      <c r="AB62" s="2">
        <f t="shared" si="14"/>
        <v>29.314678094291754</v>
      </c>
      <c r="AC62" s="2">
        <f t="shared" si="15"/>
        <v>29.875584438871623</v>
      </c>
      <c r="AD62" s="2">
        <f t="shared" si="16"/>
        <v>-1.3714558371286947</v>
      </c>
      <c r="AE62" s="2">
        <f t="shared" si="17"/>
        <v>3.3621417764777792</v>
      </c>
    </row>
    <row r="63" spans="2:31" x14ac:dyDescent="0.2">
      <c r="B63" s="1">
        <f>[20]FormattedData!A41</f>
        <v>206</v>
      </c>
      <c r="C63" s="1" t="str">
        <f>VLOOKUP($B63,[20]TrtCodes!$B$11:I84,2)</f>
        <v>NSL</v>
      </c>
      <c r="D63" s="1">
        <f>VLOOKUP($B63,[20]TrtCodes!$B$11:J84,3)</f>
        <v>8</v>
      </c>
      <c r="E63" s="1">
        <f>VLOOKUP($B63,[20]TrtCodes!$B$11:K84,4)</f>
        <v>2</v>
      </c>
      <c r="F63" s="1">
        <f>VLOOKUP($B63,[20]TrtCodes!$B$11:L84,5)</f>
        <v>1</v>
      </c>
      <c r="G63" s="1">
        <f>VLOOKUP($B63,[20]TrtCodes!$B$11:M84,6)</f>
        <v>1</v>
      </c>
      <c r="H63" s="1">
        <f>VLOOKUP($B63,[20]TrtCodes!$B$11:N84,7)</f>
        <v>2</v>
      </c>
      <c r="I63" s="1">
        <f>[20]FormattedData!B41</f>
        <v>2</v>
      </c>
      <c r="J63" s="4">
        <f>[20]FormattedData!C41</f>
        <v>13.302</v>
      </c>
      <c r="K63" s="6">
        <f>$J$3+[20]FormattedData!D41*$J$4+$M$4*$J$5+[20]FormattedData!D41^2*$J$6+$M$5*$J$7</f>
        <v>27.623589890041778</v>
      </c>
      <c r="L63" s="6">
        <f>$J$3+[20]FormattedData!E41*$J$4+$M$4*$J$5+[20]FormattedData!E41^2*$J$6+$M$5*$J$7</f>
        <v>27.426707563651775</v>
      </c>
      <c r="M63" s="6">
        <f>$J$3+[20]FormattedData!F41*$J$4+$M$4*$J$5+[20]FormattedData!F41^2*$J$6+$M$5*$J$7</f>
        <v>26.043797202673456</v>
      </c>
      <c r="N63" s="6">
        <f>$J$3+[20]FormattedData!G41*$J$4+$M$4*$J$5+[20]FormattedData!G41^2*$J$6+$M$5*$J$7</f>
        <v>25.944700877140527</v>
      </c>
      <c r="O63" s="6">
        <f>$J$3+[20]FormattedData!H41*$J$4+$M$4*$J$5+[20]FormattedData!H41^2*$J$6+$M$5*$J$7</f>
        <v>25.944700877140527</v>
      </c>
      <c r="P63" s="6">
        <f>$J$3+[20]FormattedData!I41*$J$4+$M$4*$J$5+[20]FormattedData!I41^2*$J$6+$M$5*$J$7</f>
        <v>25.74638142046086</v>
      </c>
      <c r="Q63" s="6">
        <f>$J$3+[20]FormattedData!J41*$J$4+$M$4*$J$5+[20]FormattedData!J41^2*$J$6+$M$5*$J$7</f>
        <v>26.637487516574513</v>
      </c>
      <c r="R63" s="6">
        <f>$J$3+[20]FormattedData!K41*$J$4+$M$4*$J$5+[20]FormattedData!K41^2*$J$6+$M$5*$J$7</f>
        <v>26.241863048125534</v>
      </c>
      <c r="S63" s="6">
        <f>$J$3+[20]FormattedData!L41*$J$4+$M$4*$J$5+[20]FormattedData!L41^2*$J$6+$M$5*$J$7</f>
        <v>26.835046139571414</v>
      </c>
      <c r="T63" s="6">
        <f>$J$3+[20]FormattedData!M41*$J$4+$M$4*$J$5+[20]FormattedData!M41^2*$J$6+$M$5*$J$7</f>
        <v>27.328202997649875</v>
      </c>
      <c r="U63" s="6">
        <f>$J$3+[20]FormattedData!N41*$J$4+$M$4*$J$5+[20]FormattedData!N41^2*$J$6+$M$5*$J$7</f>
        <v>27.426707563651775</v>
      </c>
      <c r="V63" s="6">
        <f>$J$3+[20]FormattedData!O41*$J$4+$M$4*$J$5+[20]FormattedData!O41^2*$J$6+$M$5*$J$7</f>
        <v>27.426707563651775</v>
      </c>
      <c r="W63" s="5">
        <f t="shared" si="9"/>
        <v>26.718824388361156</v>
      </c>
      <c r="X63" s="4">
        <f t="shared" si="10"/>
        <v>0.20487792786008016</v>
      </c>
      <c r="Y63" s="3">
        <f t="shared" si="11"/>
        <v>25.74638142046086</v>
      </c>
      <c r="Z63" s="2">
        <f t="shared" si="12"/>
        <v>26.019023121290225</v>
      </c>
      <c r="AA63" s="3">
        <f t="shared" si="13"/>
        <v>26.736266828072964</v>
      </c>
      <c r="AB63" s="2">
        <f t="shared" si="14"/>
        <v>27.426707563651775</v>
      </c>
      <c r="AC63" s="2">
        <f t="shared" si="15"/>
        <v>27.623589890041778</v>
      </c>
      <c r="AD63" s="2">
        <f t="shared" si="16"/>
        <v>-7.0605331114813055E-2</v>
      </c>
      <c r="AE63" s="2">
        <f t="shared" si="17"/>
        <v>-1.9009266339547333</v>
      </c>
    </row>
    <row r="64" spans="2:31" x14ac:dyDescent="0.2">
      <c r="B64" s="1">
        <f>[20]FormattedData!A43</f>
        <v>207</v>
      </c>
      <c r="C64" s="1" t="str">
        <f>VLOOKUP($B64,[20]TrtCodes!$B$11:I86,2)</f>
        <v>FTL</v>
      </c>
      <c r="D64" s="1">
        <f>VLOOKUP($B64,[20]TrtCodes!$B$11:J86,3)</f>
        <v>4</v>
      </c>
      <c r="E64" s="1">
        <f>VLOOKUP($B64,[20]TrtCodes!$B$11:K86,4)</f>
        <v>1</v>
      </c>
      <c r="F64" s="1">
        <f>VLOOKUP($B64,[20]TrtCodes!$B$11:L86,5)</f>
        <v>2</v>
      </c>
      <c r="G64" s="1">
        <f>VLOOKUP($B64,[20]TrtCodes!$B$11:M86,6)</f>
        <v>1</v>
      </c>
      <c r="H64" s="1">
        <f>VLOOKUP($B64,[20]TrtCodes!$B$11:N86,7)</f>
        <v>2</v>
      </c>
      <c r="I64" s="1">
        <f>[20]FormattedData!B43</f>
        <v>2</v>
      </c>
      <c r="J64" s="4">
        <f>[20]FormattedData!C43</f>
        <v>13.33</v>
      </c>
      <c r="K64" s="6">
        <f>$J$3+[20]FormattedData!D43*$J$4+$M$4*$J$5+[20]FormattedData!D43^2*$J$6+$M$5*$J$7</f>
        <v>30.556535887684891</v>
      </c>
      <c r="L64" s="6">
        <f>$J$3+[20]FormattedData!E43*$J$4+$M$4*$J$5+[20]FormattedData!E43^2*$J$6+$M$5*$J$7</f>
        <v>29.680646465226452</v>
      </c>
      <c r="M64" s="6">
        <f>$J$3+[20]FormattedData!F43*$J$4+$M$4*$J$5+[20]FormattedData!F43^2*$J$6+$M$5*$J$7</f>
        <v>29.290263295480933</v>
      </c>
      <c r="N64" s="6">
        <f>$J$3+[20]FormattedData!G43*$J$4+$M$4*$J$5+[20]FormattedData!G43^2*$J$6+$M$5*$J$7</f>
        <v>30.750713027647297</v>
      </c>
      <c r="O64" s="6">
        <f>$J$3+[20]FormattedData!H43*$J$4+$M$4*$J$5+[20]FormattedData!H43^2*$J$6+$M$5*$J$7</f>
        <v>30.65364559193506</v>
      </c>
      <c r="P64" s="6">
        <f>$J$3+[20]FormattedData!I43*$J$4+$M$4*$J$5+[20]FormattedData!I43^2*$J$6+$M$5*$J$7</f>
        <v>29.485539417429553</v>
      </c>
      <c r="Q64" s="6">
        <f>$J$3+[20]FormattedData!J43*$J$4+$M$4*$J$5+[20]FormattedData!J43^2*$J$6+$M$5*$J$7</f>
        <v>29.778136586317999</v>
      </c>
      <c r="R64" s="6">
        <f>$J$3+[20]FormattedData!K43*$J$4+$M$4*$J$5+[20]FormattedData!K43^2*$J$6+$M$5*$J$7</f>
        <v>29.192561831699727</v>
      </c>
      <c r="S64" s="6">
        <f>$J$3+[20]FormattedData!L43*$J$4+$M$4*$J$5+[20]FormattedData!L43^2*$J$6+$M$5*$J$7</f>
        <v>29.290263295480933</v>
      </c>
      <c r="T64" s="6">
        <f>$J$3+[20]FormattedData!M43*$J$4+$M$4*$J$5+[20]FormattedData!M43^2*$J$6+$M$5*$J$7</f>
        <v>29.094818099380589</v>
      </c>
      <c r="U64" s="6">
        <f>$J$3+[20]FormattedData!N43*$J$4+$M$4*$J$5+[20]FormattedData!N43^2*$J$6+$M$5*$J$7</f>
        <v>29.583114075596967</v>
      </c>
      <c r="V64" s="6">
        <f>$J$3+[20]FormattedData!O43*$J$4+$M$4*$J$5+[20]FormattedData!O43^2*$J$6+$M$5*$J$7</f>
        <v>29.680646465226452</v>
      </c>
      <c r="W64" s="5">
        <f t="shared" si="9"/>
        <v>29.753073669925566</v>
      </c>
      <c r="X64" s="4">
        <f t="shared" si="10"/>
        <v>0.16830948230791473</v>
      </c>
      <c r="Y64" s="3">
        <f t="shared" si="11"/>
        <v>29.094818099380589</v>
      </c>
      <c r="Z64" s="2">
        <f t="shared" si="12"/>
        <v>29.290263295480933</v>
      </c>
      <c r="AA64" s="3">
        <f t="shared" si="13"/>
        <v>29.63188027041171</v>
      </c>
      <c r="AB64" s="2">
        <f t="shared" si="14"/>
        <v>29.972736411659721</v>
      </c>
      <c r="AC64" s="2">
        <f t="shared" si="15"/>
        <v>30.750713027647297</v>
      </c>
      <c r="AD64" s="2">
        <f t="shared" si="16"/>
        <v>0.85733718848020157</v>
      </c>
      <c r="AE64" s="2">
        <f t="shared" si="17"/>
        <v>-0.69339550169618747</v>
      </c>
    </row>
    <row r="65" spans="2:31" x14ac:dyDescent="0.2">
      <c r="B65" s="1">
        <f>[20]FormattedData!A45</f>
        <v>208</v>
      </c>
      <c r="C65" s="1" t="str">
        <f>VLOOKUP($B65,[20]TrtCodes!$B$11:I88,2)</f>
        <v>FSL</v>
      </c>
      <c r="D65" s="1">
        <f>VLOOKUP($B65,[20]TrtCodes!$B$11:J88,3)</f>
        <v>2</v>
      </c>
      <c r="E65" s="1">
        <f>VLOOKUP($B65,[20]TrtCodes!$B$11:K88,4)</f>
        <v>1</v>
      </c>
      <c r="F65" s="1">
        <f>VLOOKUP($B65,[20]TrtCodes!$B$11:L88,5)</f>
        <v>1</v>
      </c>
      <c r="G65" s="1">
        <f>VLOOKUP($B65,[20]TrtCodes!$B$11:M88,6)</f>
        <v>1</v>
      </c>
      <c r="H65" s="1">
        <f>VLOOKUP($B65,[20]TrtCodes!$B$11:N88,7)</f>
        <v>2</v>
      </c>
      <c r="I65" s="1">
        <f>[20]FormattedData!B45</f>
        <v>2</v>
      </c>
      <c r="J65" s="4">
        <f>[20]FormattedData!C45</f>
        <v>13.353</v>
      </c>
      <c r="K65" s="6">
        <f>$J$3+[20]FormattedData!D45*$J$4+$M$4*$J$5+[20]FormattedData!D45^2*$J$6+$M$5*$J$7</f>
        <v>30.944721093457986</v>
      </c>
      <c r="L65" s="6">
        <f>$J$3+[20]FormattedData!E45*$J$4+$M$4*$J$5+[20]FormattedData!E45^2*$J$6+$M$5*$J$7</f>
        <v>30.750713027647297</v>
      </c>
      <c r="M65" s="6">
        <f>$J$3+[20]FormattedData!F45*$J$4+$M$4*$J$5+[20]FormattedData!F45^2*$J$6+$M$5*$J$7</f>
        <v>32.105218931135894</v>
      </c>
      <c r="N65" s="6">
        <f>$J$3+[20]FormattedData!G45*$J$4+$M$4*$J$5+[20]FormattedData!G45^2*$J$6+$M$5*$J$7</f>
        <v>30.847738194821609</v>
      </c>
      <c r="O65" s="6">
        <f>$J$3+[20]FormattedData!H45*$J$4+$M$4*$J$5+[20]FormattedData!H45^2*$J$6+$M$5*$J$7</f>
        <v>30.944721093457986</v>
      </c>
      <c r="P65" s="6">
        <f>$J$3+[20]FormattedData!I45*$J$4+$M$4*$J$5+[20]FormattedData!I45^2*$J$6+$M$5*$J$7</f>
        <v>31.622417864850558</v>
      </c>
      <c r="Q65" s="6">
        <f>$J$3+[20]FormattedData!J45*$J$4+$M$4*$J$5+[20]FormattedData!J45^2*$J$6+$M$5*$J$7</f>
        <v>32.105218931135894</v>
      </c>
      <c r="R65" s="6">
        <f>$J$3+[20]FormattedData!K45*$J$4+$M$4*$J$5+[20]FormattedData!K45^2*$J$6+$M$5*$J$7</f>
        <v>32.105218931135894</v>
      </c>
      <c r="S65" s="6">
        <f>$J$3+[20]FormattedData!L45*$J$4+$M$4*$J$5+[20]FormattedData!L45^2*$J$6+$M$5*$J$7</f>
        <v>30.556535887684891</v>
      </c>
      <c r="T65" s="6">
        <f>$J$3+[20]FormattedData!M45*$J$4+$M$4*$J$5+[20]FormattedData!M45^2*$J$6+$M$5*$J$7</f>
        <v>30.65364559193506</v>
      </c>
      <c r="U65" s="6">
        <f>$J$3+[20]FormattedData!N45*$J$4+$M$4*$J$5+[20]FormattedData!N45^2*$J$6+$M$5*$J$7</f>
        <v>32.875502673219998</v>
      </c>
      <c r="V65" s="6">
        <f>$J$3+[20]FormattedData!O45*$J$4+$M$4*$J$5+[20]FormattedData!O45^2*$J$6+$M$5*$J$7</f>
        <v>31.622417864850558</v>
      </c>
      <c r="W65" s="5">
        <f t="shared" si="9"/>
        <v>31.427839173777802</v>
      </c>
      <c r="X65" s="4">
        <f t="shared" si="10"/>
        <v>0.21617104601480855</v>
      </c>
      <c r="Y65" s="3">
        <f t="shared" si="11"/>
        <v>30.556535887684891</v>
      </c>
      <c r="Z65" s="2">
        <f t="shared" si="12"/>
        <v>30.823481903028032</v>
      </c>
      <c r="AA65" s="3">
        <f t="shared" si="13"/>
        <v>31.283569479154274</v>
      </c>
      <c r="AB65" s="2">
        <f t="shared" si="14"/>
        <v>32.105218931135894</v>
      </c>
      <c r="AC65" s="2">
        <f t="shared" si="15"/>
        <v>32.875502673219998</v>
      </c>
      <c r="AD65" s="2">
        <f t="shared" si="16"/>
        <v>0.55189492912956106</v>
      </c>
      <c r="AE65" s="2">
        <f t="shared" si="17"/>
        <v>-0.82892251986166654</v>
      </c>
    </row>
    <row r="66" spans="2:31" x14ac:dyDescent="0.2">
      <c r="B66" s="1">
        <f>[20]FormattedData!A63</f>
        <v>301</v>
      </c>
      <c r="C66" s="1" t="str">
        <f>VLOOKUP($B66,[20]TrtCodes!$B$11:I106,2)</f>
        <v>NTL</v>
      </c>
      <c r="D66" s="1">
        <f>VLOOKUP($B66,[20]TrtCodes!$B$11:J106,3)</f>
        <v>10</v>
      </c>
      <c r="E66" s="1">
        <f>VLOOKUP($B66,[20]TrtCodes!$B$11:K106,4)</f>
        <v>2</v>
      </c>
      <c r="F66" s="1">
        <f>VLOOKUP($B66,[20]TrtCodes!$B$11:L106,5)</f>
        <v>2</v>
      </c>
      <c r="G66" s="1">
        <f>VLOOKUP($B66,[20]TrtCodes!$B$11:M106,6)</f>
        <v>1</v>
      </c>
      <c r="H66" s="1">
        <f>VLOOKUP($B66,[20]TrtCodes!$B$11:N106,7)</f>
        <v>3</v>
      </c>
      <c r="I66" s="1">
        <f>[20]FormattedData!B63</f>
        <v>2</v>
      </c>
      <c r="J66" s="4">
        <f>[20]FormattedData!C63</f>
        <v>13.468</v>
      </c>
      <c r="K66" s="6">
        <f>$J$3+[20]FormattedData!D63*$J$4+$M$4*$J$5+[20]FormattedData!D63^2*$J$6+$M$5*$J$7</f>
        <v>30.264953163706785</v>
      </c>
      <c r="L66" s="6">
        <f>$J$3+[20]FormattedData!E63*$J$4+$M$4*$J$5+[20]FormattedData!E63^2*$J$6+$M$5*$J$7</f>
        <v>29.680646465226452</v>
      </c>
      <c r="M66" s="6">
        <f>$J$3+[20]FormattedData!F63*$J$4+$M$4*$J$5+[20]FormattedData!F63^2*$J$6+$M$5*$J$7</f>
        <v>29.583114075596967</v>
      </c>
      <c r="N66" s="6">
        <f>$J$3+[20]FormattedData!G63*$J$4+$M$4*$J$5+[20]FormattedData!G63^2*$J$6+$M$5*$J$7</f>
        <v>31.332230002624186</v>
      </c>
      <c r="O66" s="6">
        <f>$J$3+[20]FormattedData!H63*$J$4+$M$4*$J$5+[20]FormattedData!H63^2*$J$6+$M$5*$J$7</f>
        <v>28.899203829128517</v>
      </c>
      <c r="P66" s="6">
        <f>$J$3+[20]FormattedData!I63*$J$4+$M$4*$J$5+[20]FormattedData!I63^2*$J$6+$M$5*$J$7</f>
        <v>28.899203829128517</v>
      </c>
      <c r="Q66" s="6">
        <f>$J$3+[20]FormattedData!J63*$J$4+$M$4*$J$5+[20]FormattedData!J63^2*$J$6+$M$5*$J$7</f>
        <v>29.290263295480933</v>
      </c>
      <c r="R66" s="6">
        <f>$J$3+[20]FormattedData!K63*$J$4+$M$4*$J$5+[20]FormattedData!K63^2*$J$6+$M$5*$J$7</f>
        <v>29.680646465226452</v>
      </c>
      <c r="S66" s="6">
        <f>$J$3+[20]FormattedData!L63*$J$4+$M$4*$J$5+[20]FormattedData!L63^2*$J$6+$M$5*$J$7</f>
        <v>31.041661723556434</v>
      </c>
      <c r="T66" s="6">
        <f>$J$3+[20]FormattedData!M63*$J$4+$M$4*$J$5+[20]FormattedData!M63^2*$J$6+$M$5*$J$7</f>
        <v>29.387922490724211</v>
      </c>
      <c r="U66" s="6">
        <f>$J$3+[20]FormattedData!N63*$J$4+$M$4*$J$5+[20]FormattedData!N63^2*$J$6+$M$5*$J$7</f>
        <v>30.847738194821609</v>
      </c>
      <c r="V66" s="6">
        <f>$J$3+[20]FormattedData!O63*$J$4+$M$4*$J$5+[20]FormattedData!O63^2*$J$6+$M$5*$J$7</f>
        <v>29.485539417429553</v>
      </c>
      <c r="W66" s="5">
        <f t="shared" si="9"/>
        <v>29.866093579387552</v>
      </c>
      <c r="X66" s="4">
        <f t="shared" si="10"/>
        <v>0.23641725137022476</v>
      </c>
      <c r="Y66" s="3">
        <f t="shared" si="11"/>
        <v>28.899203829128517</v>
      </c>
      <c r="Z66" s="2">
        <f t="shared" si="12"/>
        <v>29.363507691913391</v>
      </c>
      <c r="AA66" s="3">
        <f t="shared" si="13"/>
        <v>29.63188027041171</v>
      </c>
      <c r="AB66" s="2">
        <f t="shared" si="14"/>
        <v>30.410649421485491</v>
      </c>
      <c r="AC66" s="2">
        <f t="shared" si="15"/>
        <v>31.332230002624186</v>
      </c>
      <c r="AD66" s="2">
        <f t="shared" si="16"/>
        <v>0.71235534273816681</v>
      </c>
      <c r="AE66" s="2">
        <f t="shared" si="17"/>
        <v>-0.73224487199413479</v>
      </c>
    </row>
    <row r="67" spans="2:31" x14ac:dyDescent="0.2">
      <c r="B67" s="1">
        <f>[20]FormattedData!A65</f>
        <v>302</v>
      </c>
      <c r="C67" s="1" t="str">
        <f>VLOOKUP($B67,[20]TrtCodes!$B$11:I108,2)</f>
        <v>FTL</v>
      </c>
      <c r="D67" s="1">
        <f>VLOOKUP($B67,[20]TrtCodes!$B$11:J108,3)</f>
        <v>4</v>
      </c>
      <c r="E67" s="1">
        <f>VLOOKUP($B67,[20]TrtCodes!$B$11:K108,4)</f>
        <v>1</v>
      </c>
      <c r="F67" s="1">
        <f>VLOOKUP($B67,[20]TrtCodes!$B$11:L108,5)</f>
        <v>2</v>
      </c>
      <c r="G67" s="1">
        <f>VLOOKUP($B67,[20]TrtCodes!$B$11:M108,6)</f>
        <v>1</v>
      </c>
      <c r="H67" s="1">
        <f>VLOOKUP($B67,[20]TrtCodes!$B$11:N108,7)</f>
        <v>3</v>
      </c>
      <c r="I67" s="1">
        <f>[20]FormattedData!B65</f>
        <v>2</v>
      </c>
      <c r="J67" s="4">
        <f>[20]FormattedData!C65</f>
        <v>13.484</v>
      </c>
      <c r="K67" s="6">
        <f>$J$3+[20]FormattedData!D65*$J$4+$M$4*$J$5+[20]FormattedData!D65^2*$J$6+$M$5*$J$7</f>
        <v>31.041661723556434</v>
      </c>
      <c r="L67" s="6">
        <f>$J$3+[20]FormattedData!E65*$J$4+$M$4*$J$5+[20]FormattedData!E65^2*$J$6+$M$5*$J$7</f>
        <v>30.264953163706785</v>
      </c>
      <c r="M67" s="6">
        <f>$J$3+[20]FormattedData!F65*$J$4+$M$4*$J$5+[20]FormattedData!F65^2*$J$6+$M$5*$J$7</f>
        <v>30.167674385304892</v>
      </c>
      <c r="N67" s="6">
        <f>$J$3+[20]FormattedData!G65*$J$4+$M$4*$J$5+[20]FormattedData!G65^2*$J$6+$M$5*$J$7</f>
        <v>29.583114075596967</v>
      </c>
      <c r="O67" s="6">
        <f>$J$3+[20]FormattedData!H65*$J$4+$M$4*$J$5+[20]FormattedData!H65^2*$J$6+$M$5*$J$7</f>
        <v>29.778136586317999</v>
      </c>
      <c r="P67" s="6">
        <f>$J$3+[20]FormattedData!I65*$J$4+$M$4*$J$5+[20]FormattedData!I65^2*$J$6+$M$5*$J$7</f>
        <v>30.264953163706785</v>
      </c>
      <c r="Q67" s="6">
        <f>$J$3+[20]FormattedData!J65*$J$4+$M$4*$J$5+[20]FormattedData!J65^2*$J$6+$M$5*$J$7</f>
        <v>29.680646465226452</v>
      </c>
      <c r="R67" s="6">
        <f>$J$3+[20]FormattedData!K65*$J$4+$M$4*$J$5+[20]FormattedData!K65^2*$J$6+$M$5*$J$7</f>
        <v>29.875584438871623</v>
      </c>
      <c r="S67" s="6">
        <f>$J$3+[20]FormattedData!L65*$J$4+$M$4*$J$5+[20]FormattedData!L65^2*$J$6+$M$5*$J$7</f>
        <v>31.815665096978485</v>
      </c>
      <c r="T67" s="6">
        <f>$J$3+[20]FormattedData!M65*$J$4+$M$4*$J$5+[20]FormattedData!M65^2*$J$6+$M$5*$J$7</f>
        <v>29.485539417429553</v>
      </c>
      <c r="U67" s="6">
        <f>$J$3+[20]FormattedData!N65*$J$4+$M$4*$J$5+[20]FormattedData!N65^2*$J$6+$M$5*$J$7</f>
        <v>29.680646465226452</v>
      </c>
      <c r="V67" s="6">
        <f>$J$3+[20]FormattedData!O65*$J$4+$M$4*$J$5+[20]FormattedData!O65^2*$J$6+$M$5*$J$7</f>
        <v>29.485539417429553</v>
      </c>
      <c r="W67" s="5">
        <f t="shared" si="9"/>
        <v>30.093676199946</v>
      </c>
      <c r="X67" s="4">
        <f t="shared" si="10"/>
        <v>0.20257285269011541</v>
      </c>
      <c r="Y67" s="3">
        <f t="shared" si="11"/>
        <v>29.485539417429553</v>
      </c>
      <c r="Z67" s="2">
        <f t="shared" si="12"/>
        <v>29.656263367819079</v>
      </c>
      <c r="AA67" s="3">
        <f t="shared" si="13"/>
        <v>29.826860512594813</v>
      </c>
      <c r="AB67" s="2">
        <f t="shared" si="14"/>
        <v>30.264953163706785</v>
      </c>
      <c r="AC67" s="2">
        <f t="shared" si="15"/>
        <v>31.815665096978485</v>
      </c>
      <c r="AD67" s="2">
        <f t="shared" si="16"/>
        <v>1.642546685807976</v>
      </c>
      <c r="AE67" s="2">
        <f t="shared" si="17"/>
        <v>2.4740532448733168</v>
      </c>
    </row>
    <row r="68" spans="2:31" x14ac:dyDescent="0.2">
      <c r="B68" s="1">
        <f>[20]FormattedData!A67</f>
        <v>303</v>
      </c>
      <c r="C68" s="1" t="str">
        <f>VLOOKUP($B68,[20]TrtCodes!$B$11:I110,2)</f>
        <v>NSL</v>
      </c>
      <c r="D68" s="1">
        <f>VLOOKUP($B68,[20]TrtCodes!$B$11:J110,3)</f>
        <v>8</v>
      </c>
      <c r="E68" s="1">
        <f>VLOOKUP($B68,[20]TrtCodes!$B$11:K110,4)</f>
        <v>2</v>
      </c>
      <c r="F68" s="1">
        <f>VLOOKUP($B68,[20]TrtCodes!$B$11:L110,5)</f>
        <v>1</v>
      </c>
      <c r="G68" s="1">
        <f>VLOOKUP($B68,[20]TrtCodes!$B$11:M110,6)</f>
        <v>1</v>
      </c>
      <c r="H68" s="1">
        <f>VLOOKUP($B68,[20]TrtCodes!$B$11:N110,7)</f>
        <v>3</v>
      </c>
      <c r="I68" s="1">
        <f>[20]FormattedData!B67</f>
        <v>2</v>
      </c>
      <c r="J68" s="4">
        <f>[20]FormattedData!C67</f>
        <v>13.502000000000001</v>
      </c>
      <c r="K68" s="6">
        <f>$J$3+[20]FormattedData!D67*$J$4+$M$4*$J$5+[20]FormattedData!D67^2*$J$6+$M$5*$J$7</f>
        <v>30.65364559193506</v>
      </c>
      <c r="L68" s="6">
        <f>$J$3+[20]FormattedData!E67*$J$4+$M$4*$J$5+[20]FormattedData!E67^2*$J$6+$M$5*$J$7</f>
        <v>30.556535887684891</v>
      </c>
      <c r="M68" s="6">
        <f>$J$3+[20]FormattedData!F67*$J$4+$M$4*$J$5+[20]FormattedData!F67^2*$J$6+$M$5*$J$7</f>
        <v>29.778136586317999</v>
      </c>
      <c r="N68" s="6">
        <f>$J$3+[20]FormattedData!G67*$J$4+$M$4*$J$5+[20]FormattedData!G67^2*$J$6+$M$5*$J$7</f>
        <v>29.778136586317999</v>
      </c>
      <c r="O68" s="6">
        <f>$J$3+[20]FormattedData!H67*$J$4+$M$4*$J$5+[20]FormattedData!H67^2*$J$6+$M$5*$J$7</f>
        <v>30.167674385304892</v>
      </c>
      <c r="P68" s="6">
        <f>$J$3+[20]FormattedData!I67*$J$4+$M$4*$J$5+[20]FormattedData!I67^2*$J$6+$M$5*$J$7</f>
        <v>29.972990022887309</v>
      </c>
      <c r="Q68" s="6">
        <f>$J$3+[20]FormattedData!J67*$J$4+$M$4*$J$5+[20]FormattedData!J67^2*$J$6+$M$5*$J$7</f>
        <v>30.167674385304892</v>
      </c>
      <c r="R68" s="6">
        <f>$J$3+[20]FormattedData!K67*$J$4+$M$4*$J$5+[20]FormattedData!K67^2*$J$6+$M$5*$J$7</f>
        <v>30.167674385304892</v>
      </c>
      <c r="S68" s="6">
        <f>$J$3+[20]FormattedData!L67*$J$4+$M$4*$J$5+[20]FormattedData!L67^2*$J$6+$M$5*$J$7</f>
        <v>31.912225310235549</v>
      </c>
      <c r="T68" s="6">
        <f>$J$3+[20]FormattedData!M67*$J$4+$M$4*$J$5+[20]FormattedData!M67^2*$J$6+$M$5*$J$7</f>
        <v>33.355556284539809</v>
      </c>
      <c r="U68" s="6">
        <f>$J$3+[20]FormattedData!N67*$J$4+$M$4*$J$5+[20]FormattedData!N67^2*$J$6+$M$5*$J$7</f>
        <v>33.738838339912888</v>
      </c>
      <c r="V68" s="6">
        <f>$J$3+[20]FormattedData!O67*$J$4+$M$4*$J$5+[20]FormattedData!O67^2*$J$6+$M$5*$J$7</f>
        <v>32.971597932559824</v>
      </c>
      <c r="W68" s="5">
        <f t="shared" si="9"/>
        <v>31.101723808192165</v>
      </c>
      <c r="X68" s="4">
        <f t="shared" si="10"/>
        <v>0.42711710627403393</v>
      </c>
      <c r="Y68" s="3">
        <f t="shared" si="11"/>
        <v>29.778136586317999</v>
      </c>
      <c r="Z68" s="2">
        <f t="shared" si="12"/>
        <v>30.119003294700498</v>
      </c>
      <c r="AA68" s="3">
        <f t="shared" si="13"/>
        <v>30.36210513649489</v>
      </c>
      <c r="AB68" s="2">
        <f t="shared" si="14"/>
        <v>32.177068465816618</v>
      </c>
      <c r="AC68" s="2">
        <f t="shared" si="15"/>
        <v>33.738838339912888</v>
      </c>
      <c r="AD68" s="2">
        <f t="shared" si="16"/>
        <v>0.94595766979238161</v>
      </c>
      <c r="AE68" s="2">
        <f t="shared" si="17"/>
        <v>-0.8440073808037547</v>
      </c>
    </row>
    <row r="69" spans="2:31" x14ac:dyDescent="0.2">
      <c r="B69" s="1">
        <f>[20]FormattedData!A69</f>
        <v>304</v>
      </c>
      <c r="C69" s="1" t="str">
        <f>VLOOKUP($B69,[20]TrtCodes!$B$11:I112,2)</f>
        <v>FSL</v>
      </c>
      <c r="D69" s="1">
        <f>VLOOKUP($B69,[20]TrtCodes!$B$11:J112,3)</f>
        <v>2</v>
      </c>
      <c r="E69" s="1">
        <f>VLOOKUP($B69,[20]TrtCodes!$B$11:K112,4)</f>
        <v>1</v>
      </c>
      <c r="F69" s="1">
        <f>VLOOKUP($B69,[20]TrtCodes!$B$11:L112,5)</f>
        <v>1</v>
      </c>
      <c r="G69" s="1">
        <f>VLOOKUP($B69,[20]TrtCodes!$B$11:M112,6)</f>
        <v>1</v>
      </c>
      <c r="H69" s="1">
        <f>VLOOKUP($B69,[20]TrtCodes!$B$11:N112,7)</f>
        <v>3</v>
      </c>
      <c r="I69" s="1">
        <f>[20]FormattedData!B69</f>
        <v>2</v>
      </c>
      <c r="J69" s="4">
        <f>[20]FormattedData!C69</f>
        <v>13.516999999999999</v>
      </c>
      <c r="K69" s="6">
        <f>$J$3+[20]FormattedData!D69*$J$4+$M$4*$J$5+[20]FormattedData!D69^2*$J$6+$M$5*$J$7</f>
        <v>29.875584438871623</v>
      </c>
      <c r="L69" s="6">
        <f>$J$3+[20]FormattedData!E69*$J$4+$M$4*$J$5+[20]FormattedData!E69^2*$J$6+$M$5*$J$7</f>
        <v>29.778136586317999</v>
      </c>
      <c r="M69" s="6">
        <f>$J$3+[20]FormattedData!F69*$J$4+$M$4*$J$5+[20]FormattedData!F69^2*$J$6+$M$5*$J$7</f>
        <v>30.847738194821609</v>
      </c>
      <c r="N69" s="6">
        <f>$J$3+[20]FormattedData!G69*$J$4+$M$4*$J$5+[20]FormattedData!G69^2*$J$6+$M$5*$J$7</f>
        <v>29.778136586317999</v>
      </c>
      <c r="O69" s="6">
        <f>$J$3+[20]FormattedData!H69*$J$4+$M$4*$J$5+[20]FormattedData!H69^2*$J$6+$M$5*$J$7</f>
        <v>29.290263295480933</v>
      </c>
      <c r="P69" s="6">
        <f>$J$3+[20]FormattedData!I69*$J$4+$M$4*$J$5+[20]FormattedData!I69^2*$J$6+$M$5*$J$7</f>
        <v>29.387922490724211</v>
      </c>
      <c r="Q69" s="6">
        <f>$J$3+[20]FormattedData!J69*$J$4+$M$4*$J$5+[20]FormattedData!J69^2*$J$6+$M$5*$J$7</f>
        <v>29.778136586317999</v>
      </c>
      <c r="R69" s="6">
        <f>$J$3+[20]FormattedData!K69*$J$4+$M$4*$J$5+[20]FormattedData!K69^2*$J$6+$M$5*$J$7</f>
        <v>29.972990022887309</v>
      </c>
      <c r="S69" s="6">
        <f>$J$3+[20]FormattedData!L69*$J$4+$M$4*$J$5+[20]FormattedData!L69^2*$J$6+$M$5*$J$7</f>
        <v>31.235416178139527</v>
      </c>
      <c r="T69" s="6">
        <f>$J$3+[20]FormattedData!M69*$J$4+$M$4*$J$5+[20]FormattedData!M69^2*$J$6+$M$5*$J$7</f>
        <v>29.192561831699727</v>
      </c>
      <c r="U69" s="6">
        <f>$J$3+[20]FormattedData!N69*$J$4+$M$4*$J$5+[20]FormattedData!N69^2*$J$6+$M$5*$J$7</f>
        <v>30.167674385304892</v>
      </c>
      <c r="V69" s="6">
        <f>$J$3+[20]FormattedData!O69*$J$4+$M$4*$J$5+[20]FormattedData!O69^2*$J$6+$M$5*$J$7</f>
        <v>29.972990022887309</v>
      </c>
      <c r="W69" s="5">
        <f t="shared" si="9"/>
        <v>29.939795884980928</v>
      </c>
      <c r="X69" s="4">
        <f t="shared" si="10"/>
        <v>0.17242616666214569</v>
      </c>
      <c r="Y69" s="3">
        <f t="shared" si="11"/>
        <v>29.192561831699727</v>
      </c>
      <c r="Z69" s="2">
        <f t="shared" si="12"/>
        <v>29.680583062419551</v>
      </c>
      <c r="AA69" s="3">
        <f t="shared" si="13"/>
        <v>29.826860512594813</v>
      </c>
      <c r="AB69" s="2">
        <f t="shared" si="14"/>
        <v>30.021661113491703</v>
      </c>
      <c r="AC69" s="2">
        <f t="shared" si="15"/>
        <v>31.235416178139527</v>
      </c>
      <c r="AD69" s="2">
        <f t="shared" si="16"/>
        <v>1.0560875501767759</v>
      </c>
      <c r="AE69" s="2">
        <f t="shared" si="17"/>
        <v>1.0233953373851739</v>
      </c>
    </row>
    <row r="70" spans="2:31" x14ac:dyDescent="0.2">
      <c r="B70" s="1">
        <f>[20]FormattedData!A71</f>
        <v>305</v>
      </c>
      <c r="C70" s="1" t="str">
        <f>VLOOKUP($B70,[20]TrtCodes!$B$11:I114,2)</f>
        <v>NDH</v>
      </c>
      <c r="D70" s="1">
        <f>VLOOKUP($B70,[20]TrtCodes!$B$11:J114,3)</f>
        <v>11</v>
      </c>
      <c r="E70" s="1">
        <f>VLOOKUP($B70,[20]TrtCodes!$B$11:K114,4)</f>
        <v>2</v>
      </c>
      <c r="F70" s="1">
        <f>VLOOKUP($B70,[20]TrtCodes!$B$11:L114,5)</f>
        <v>3</v>
      </c>
      <c r="G70" s="1">
        <f>VLOOKUP($B70,[20]TrtCodes!$B$11:M114,6)</f>
        <v>2</v>
      </c>
      <c r="H70" s="1">
        <f>VLOOKUP($B70,[20]TrtCodes!$B$11:N114,7)</f>
        <v>4</v>
      </c>
      <c r="I70" s="1">
        <f>[20]FormattedData!B71</f>
        <v>2</v>
      </c>
      <c r="J70" s="4">
        <f>[20]FormattedData!C71</f>
        <v>13.532</v>
      </c>
      <c r="K70" s="6">
        <f>$J$3+[20]FormattedData!D71*$J$4+$M$4*$J$5+[20]FormattedData!D71^2*$J$6+$M$5*$J$7</f>
        <v>30.750713027647297</v>
      </c>
      <c r="L70" s="6">
        <f>$J$3+[20]FormattedData!E71*$J$4+$M$4*$J$5+[20]FormattedData!E71^2*$J$6+$M$5*$J$7</f>
        <v>31.815665096978485</v>
      </c>
      <c r="M70" s="6">
        <f>$J$3+[20]FormattedData!F71*$J$4+$M$4*$J$5+[20]FormattedData!F71^2*$J$6+$M$5*$J$7</f>
        <v>30.847738194821609</v>
      </c>
      <c r="N70" s="6">
        <f>$J$3+[20]FormattedData!G71*$J$4+$M$4*$J$5+[20]FormattedData!G71^2*$J$6+$M$5*$J$7</f>
        <v>31.041661723556434</v>
      </c>
      <c r="O70" s="6">
        <f>$J$3+[20]FormattedData!H71*$J$4+$M$4*$J$5+[20]FormattedData!H71^2*$J$6+$M$5*$J$7</f>
        <v>29.680646465226452</v>
      </c>
      <c r="P70" s="6">
        <f>$J$3+[20]FormattedData!I71*$J$4+$M$4*$J$5+[20]FormattedData!I71^2*$J$6+$M$5*$J$7</f>
        <v>31.332230002624186</v>
      </c>
      <c r="Q70" s="6">
        <f>$J$3+[20]FormattedData!J71*$J$4+$M$4*$J$5+[20]FormattedData!J71^2*$J$6+$M$5*$J$7</f>
        <v>30.65364559193506</v>
      </c>
      <c r="R70" s="6">
        <f>$J$3+[20]FormattedData!K71*$J$4+$M$4*$J$5+[20]FormattedData!K71^2*$J$6+$M$5*$J$7</f>
        <v>33.25963009935171</v>
      </c>
      <c r="S70" s="6">
        <f>$J$3+[20]FormattedData!L71*$J$4+$M$4*$J$5+[20]FormattedData!L71^2*$J$6+$M$5*$J$7</f>
        <v>31.525730845979702</v>
      </c>
      <c r="T70" s="6">
        <f>$J$3+[20]FormattedData!M71*$J$4+$M$4*$J$5+[20]FormattedData!M71^2*$J$6+$M$5*$J$7</f>
        <v>32.971597932559824</v>
      </c>
      <c r="U70" s="6">
        <f>$J$3+[20]FormattedData!N71*$J$4+$M$4*$J$5+[20]FormattedData!N71^2*$J$6+$M$5*$J$7</f>
        <v>32.008743254954688</v>
      </c>
      <c r="V70" s="6">
        <f>$J$3+[20]FormattedData!O71*$J$4+$M$4*$J$5+[20]FormattedData!O71^2*$J$6+$M$5*$J$7</f>
        <v>31.332230002624186</v>
      </c>
      <c r="W70" s="5">
        <f t="shared" si="9"/>
        <v>31.435019353188306</v>
      </c>
      <c r="X70" s="4">
        <f t="shared" si="10"/>
        <v>0.28669963687013195</v>
      </c>
      <c r="Y70" s="3">
        <f t="shared" si="11"/>
        <v>29.680646465226452</v>
      </c>
      <c r="Z70" s="2">
        <f t="shared" si="12"/>
        <v>30.823481903028032</v>
      </c>
      <c r="AA70" s="3">
        <f t="shared" si="13"/>
        <v>31.332230002624186</v>
      </c>
      <c r="AB70" s="2">
        <f t="shared" si="14"/>
        <v>31.863934636472536</v>
      </c>
      <c r="AC70" s="2">
        <f t="shared" si="15"/>
        <v>33.25963009935171</v>
      </c>
      <c r="AD70" s="2">
        <f t="shared" si="16"/>
        <v>0.38803647630892102</v>
      </c>
      <c r="AE70" s="2">
        <f t="shared" si="17"/>
        <v>0.3390204340469456</v>
      </c>
    </row>
    <row r="71" spans="2:31" x14ac:dyDescent="0.2">
      <c r="B71" s="1">
        <f>[20]FormattedData!A73</f>
        <v>306</v>
      </c>
      <c r="C71" s="1" t="str">
        <f>VLOOKUP($B71,[20]TrtCodes!$B$11:I116,2)</f>
        <v>FTL</v>
      </c>
      <c r="D71" s="1">
        <f>VLOOKUP($B71,[20]TrtCodes!$B$11:J116,3)</f>
        <v>4</v>
      </c>
      <c r="E71" s="1">
        <f>VLOOKUP($B71,[20]TrtCodes!$B$11:K116,4)</f>
        <v>1</v>
      </c>
      <c r="F71" s="1">
        <f>VLOOKUP($B71,[20]TrtCodes!$B$11:L116,5)</f>
        <v>2</v>
      </c>
      <c r="G71" s="1">
        <f>VLOOKUP($B71,[20]TrtCodes!$B$11:M116,6)</f>
        <v>1</v>
      </c>
      <c r="H71" s="1">
        <f>VLOOKUP($B71,[20]TrtCodes!$B$11:N116,7)</f>
        <v>4</v>
      </c>
      <c r="I71" s="1">
        <f>[20]FormattedData!B73</f>
        <v>2</v>
      </c>
      <c r="J71" s="4">
        <f>[20]FormattedData!C73</f>
        <v>13.548</v>
      </c>
      <c r="K71" s="6">
        <f>$J$3+[20]FormattedData!D73*$J$4+$M$4*$J$5+[20]FormattedData!D73^2*$J$6+$M$5*$J$7</f>
        <v>32.298043477884505</v>
      </c>
      <c r="L71" s="6">
        <f>$J$3+[20]FormattedData!E73*$J$4+$M$4*$J$5+[20]FormattedData!E73^2*$J$6+$M$5*$J$7</f>
        <v>33.25963009935171</v>
      </c>
      <c r="M71" s="6">
        <f>$J$3+[20]FormattedData!F73*$J$4+$M$4*$J$5+[20]FormattedData!F73^2*$J$6+$M$5*$J$7</f>
        <v>33.643081228876518</v>
      </c>
      <c r="N71" s="6">
        <f>$J$3+[20]FormattedData!G73*$J$4+$M$4*$J$5+[20]FormattedData!G73^2*$J$6+$M$5*$J$7</f>
        <v>32.490698950481395</v>
      </c>
      <c r="O71" s="6">
        <f>$J$3+[20]FormattedData!H73*$J$4+$M$4*$J$5+[20]FormattedData!H73^2*$J$6+$M$5*$J$7</f>
        <v>34.884626726390756</v>
      </c>
      <c r="P71" s="6">
        <f>$J$3+[20]FormattedData!I73*$J$4+$M$4*$J$5+[20]FormattedData!I73^2*$J$6+$M$5*$J$7</f>
        <v>32.298043477884505</v>
      </c>
      <c r="Q71" s="6">
        <f>$J$3+[20]FormattedData!J73*$J$4+$M$4*$J$5+[20]FormattedData!J73^2*$J$6+$M$5*$J$7</f>
        <v>31.912225310235549</v>
      </c>
      <c r="R71" s="6">
        <f>$J$3+[20]FormattedData!K73*$J$4+$M$4*$J$5+[20]FormattedData!K73^2*$J$6+$M$5*$J$7</f>
        <v>31.622417864850558</v>
      </c>
      <c r="S71" s="6">
        <f>$J$3+[20]FormattedData!L73*$J$4+$M$4*$J$5+[20]FormattedData!L73^2*$J$6+$M$5*$J$7</f>
        <v>33.451440201189975</v>
      </c>
      <c r="T71" s="6">
        <f>$J$3+[20]FormattedData!M73*$J$4+$M$4*$J$5+[20]FormattedData!M73^2*$J$6+$M$5*$J$7</f>
        <v>31.622417864850558</v>
      </c>
      <c r="U71" s="6">
        <f>$J$3+[20]FormattedData!N73*$J$4+$M$4*$J$5+[20]FormattedData!N73^2*$J$6+$M$5*$J$7</f>
        <v>31.719062615183489</v>
      </c>
      <c r="V71" s="6">
        <f>$J$3+[20]FormattedData!O73*$J$4+$M$4*$J$5+[20]FormattedData!O73^2*$J$6+$M$5*$J$7</f>
        <v>32.105218931135894</v>
      </c>
      <c r="W71" s="5">
        <f t="shared" si="9"/>
        <v>32.608908895692956</v>
      </c>
      <c r="X71" s="4">
        <f t="shared" si="10"/>
        <v>0.28954217338024829</v>
      </c>
      <c r="Y71" s="3">
        <f t="shared" si="11"/>
        <v>31.622417864850558</v>
      </c>
      <c r="Z71" s="2">
        <f t="shared" si="12"/>
        <v>31.863934636472536</v>
      </c>
      <c r="AA71" s="3">
        <f t="shared" si="13"/>
        <v>32.298043477884505</v>
      </c>
      <c r="AB71" s="2">
        <f t="shared" si="14"/>
        <v>33.307582624811275</v>
      </c>
      <c r="AC71" s="2">
        <f t="shared" si="15"/>
        <v>34.884626726390756</v>
      </c>
      <c r="AD71" s="2">
        <f t="shared" si="16"/>
        <v>1.1474189383075315</v>
      </c>
      <c r="AE71" s="2">
        <f t="shared" si="17"/>
        <v>0.86922822441500269</v>
      </c>
    </row>
    <row r="72" spans="2:31" x14ac:dyDescent="0.2">
      <c r="B72" s="1">
        <f>[20]FormattedData!A75</f>
        <v>307</v>
      </c>
      <c r="C72" s="1" t="str">
        <f>VLOOKUP($B72,[20]TrtCodes!$B$11:I118,2)</f>
        <v>NTH</v>
      </c>
      <c r="D72" s="1">
        <f>VLOOKUP($B72,[20]TrtCodes!$B$11:J118,3)</f>
        <v>9</v>
      </c>
      <c r="E72" s="1">
        <f>VLOOKUP($B72,[20]TrtCodes!$B$11:K118,4)</f>
        <v>2</v>
      </c>
      <c r="F72" s="1">
        <f>VLOOKUP($B72,[20]TrtCodes!$B$11:L118,5)</f>
        <v>2</v>
      </c>
      <c r="G72" s="1">
        <f>VLOOKUP($B72,[20]TrtCodes!$B$11:M118,6)</f>
        <v>2</v>
      </c>
      <c r="H72" s="1">
        <f>VLOOKUP($B72,[20]TrtCodes!$B$11:N118,7)</f>
        <v>4</v>
      </c>
      <c r="I72" s="1">
        <f>[20]FormattedData!B75</f>
        <v>2</v>
      </c>
      <c r="J72" s="4">
        <f>[20]FormattedData!C75</f>
        <v>13.564</v>
      </c>
      <c r="K72" s="6">
        <f>$J$3+[20]FormattedData!D75*$J$4+$M$4*$J$5+[20]FormattedData!D75^2*$J$6+$M$5*$J$7</f>
        <v>30.556535887684891</v>
      </c>
      <c r="L72" s="6">
        <f>$J$3+[20]FormattedData!E75*$J$4+$M$4*$J$5+[20]FormattedData!E75^2*$J$6+$M$5*$J$7</f>
        <v>31.815665096978485</v>
      </c>
      <c r="M72" s="6">
        <f>$J$3+[20]FormattedData!F75*$J$4+$M$4*$J$5+[20]FormattedData!F75^2*$J$6+$M$5*$J$7</f>
        <v>30.750713027647297</v>
      </c>
      <c r="N72" s="6">
        <f>$J$3+[20]FormattedData!G75*$J$4+$M$4*$J$5+[20]FormattedData!G75^2*$J$6+$M$5*$J$7</f>
        <v>32.394392348451909</v>
      </c>
      <c r="O72" s="6">
        <f>$J$3+[20]FormattedData!H75*$J$4+$M$4*$J$5+[20]FormattedData!H75^2*$J$6+$M$5*$J$7</f>
        <v>31.332230002624186</v>
      </c>
      <c r="P72" s="6">
        <f>$J$3+[20]FormattedData!I75*$J$4+$M$4*$J$5+[20]FormattedData!I75^2*$J$6+$M$5*$J$7</f>
        <v>31.525730845979702</v>
      </c>
      <c r="Q72" s="6">
        <f>$J$3+[20]FormattedData!J75*$J$4+$M$4*$J$5+[20]FormattedData!J75^2*$J$6+$M$5*$J$7</f>
        <v>33.16366164562568</v>
      </c>
      <c r="R72" s="6">
        <f>$J$3+[20]FormattedData!K75*$J$4+$M$4*$J$5+[20]FormattedData!K75^2*$J$6+$M$5*$J$7</f>
        <v>31.138560085116946</v>
      </c>
      <c r="S72" s="6">
        <f>$J$3+[20]FormattedData!L75*$J$4+$M$4*$J$5+[20]FormattedData!L75^2*$J$6+$M$5*$J$7</f>
        <v>32.394392348451909</v>
      </c>
      <c r="T72" s="6">
        <f>$J$3+[20]FormattedData!M75*$J$4+$M$4*$J$5+[20]FormattedData!M75^2*$J$6+$M$5*$J$7</f>
        <v>30.264953163706785</v>
      </c>
      <c r="U72" s="6">
        <f>$J$3+[20]FormattedData!N75*$J$4+$M$4*$J$5+[20]FormattedData!N75^2*$J$6+$M$5*$J$7</f>
        <v>32.586963283972949</v>
      </c>
      <c r="V72" s="6">
        <f>$J$3+[20]FormattedData!O75*$J$4+$M$4*$J$5+[20]FormattedData!O75^2*$J$6+$M$5*$J$7</f>
        <v>32.105218931135894</v>
      </c>
      <c r="W72" s="5">
        <f t="shared" si="9"/>
        <v>31.669084722281386</v>
      </c>
      <c r="X72" s="4">
        <f t="shared" si="10"/>
        <v>0.25832116979152181</v>
      </c>
      <c r="Y72" s="3">
        <f t="shared" si="11"/>
        <v>30.264953163706785</v>
      </c>
      <c r="Z72" s="2">
        <f t="shared" si="12"/>
        <v>31.041598320749536</v>
      </c>
      <c r="AA72" s="3">
        <f t="shared" si="13"/>
        <v>31.670697971479093</v>
      </c>
      <c r="AB72" s="2">
        <f t="shared" si="14"/>
        <v>32.394392348451909</v>
      </c>
      <c r="AC72" s="2">
        <f t="shared" si="15"/>
        <v>33.16366164562568</v>
      </c>
      <c r="AD72" s="2">
        <f t="shared" si="16"/>
        <v>-2.2747206249619897E-2</v>
      </c>
      <c r="AE72" s="2">
        <f t="shared" si="17"/>
        <v>-0.95838450799256769</v>
      </c>
    </row>
    <row r="73" spans="2:31" x14ac:dyDescent="0.2">
      <c r="B73" s="1">
        <f>[20]FormattedData!A77</f>
        <v>308</v>
      </c>
      <c r="C73" s="1" t="str">
        <f>VLOOKUP($B73,[20]TrtCodes!$B$11:I120,2)</f>
        <v>FDH</v>
      </c>
      <c r="D73" s="1">
        <f>VLOOKUP($B73,[20]TrtCodes!$B$11:J120,3)</f>
        <v>5</v>
      </c>
      <c r="E73" s="1">
        <f>VLOOKUP($B73,[20]TrtCodes!$B$11:K120,4)</f>
        <v>1</v>
      </c>
      <c r="F73" s="1">
        <f>VLOOKUP($B73,[20]TrtCodes!$B$11:L120,5)</f>
        <v>3</v>
      </c>
      <c r="G73" s="1">
        <f>VLOOKUP($B73,[20]TrtCodes!$B$11:M120,6)</f>
        <v>2</v>
      </c>
      <c r="H73" s="1">
        <f>VLOOKUP($B73,[20]TrtCodes!$B$11:N120,7)</f>
        <v>4</v>
      </c>
      <c r="I73" s="1">
        <f>[20]FormattedData!B77</f>
        <v>2</v>
      </c>
      <c r="J73" s="4">
        <f>[20]FormattedData!C77</f>
        <v>13.58</v>
      </c>
      <c r="K73" s="6">
        <f>$J$3+[20]FormattedData!D77*$J$4+$M$4*$J$5+[20]FormattedData!D77^2*$J$6+$M$5*$J$7</f>
        <v>34.312493366834588</v>
      </c>
      <c r="L73" s="6">
        <f>$J$3+[20]FormattedData!E77*$J$4+$M$4*$J$5+[20]FormattedData!E77^2*$J$6+$M$5*$J$7</f>
        <v>34.121444098679085</v>
      </c>
      <c r="M73" s="6">
        <f>$J$3+[20]FormattedData!F77*$J$4+$M$4*$J$5+[20]FormattedData!F77^2*$J$6+$M$5*$J$7</f>
        <v>31.815665096978485</v>
      </c>
      <c r="N73" s="6">
        <f>$J$3+[20]FormattedData!G77*$J$4+$M$4*$J$5+[20]FormattedData!G77^2*$J$6+$M$5*$J$7</f>
        <v>34.025856061794435</v>
      </c>
      <c r="O73" s="6">
        <f>$J$3+[20]FormattedData!H77*$J$4+$M$4*$J$5+[20]FormattedData!H77^2*$J$6+$M$5*$J$7</f>
        <v>33.643081228876518</v>
      </c>
      <c r="P73" s="6">
        <f>$J$3+[20]FormattedData!I77*$J$4+$M$4*$J$5+[20]FormattedData!I77^2*$J$6+$M$5*$J$7</f>
        <v>33.834553182411341</v>
      </c>
      <c r="Q73" s="6">
        <f>$J$3+[20]FormattedData!J77*$J$4+$M$4*$J$5+[20]FormattedData!J77^2*$J$6+$M$5*$J$7</f>
        <v>32.779365145342247</v>
      </c>
      <c r="R73" s="6">
        <f>$J$3+[20]FormattedData!K77*$J$4+$M$4*$J$5+[20]FormattedData!K77^2*$J$6+$M$5*$J$7</f>
        <v>34.216989867025795</v>
      </c>
      <c r="S73" s="6">
        <f>$J$3+[20]FormattedData!L77*$J$4+$M$4*$J$5+[20]FormattedData!L77^2*$J$6+$M$5*$J$7</f>
        <v>33.834553182411341</v>
      </c>
      <c r="T73" s="6">
        <f>$J$3+[20]FormattedData!M77*$J$4+$M$4*$J$5+[20]FormattedData!M77^2*$J$6+$M$5*$J$7</f>
        <v>34.694084680690423</v>
      </c>
      <c r="U73" s="6">
        <f>$J$3+[20]FormattedData!N77*$J$4+$M$4*$J$5+[20]FormattedData!N77^2*$J$6+$M$5*$J$7</f>
        <v>33.643081228876518</v>
      </c>
      <c r="V73" s="6">
        <f>$J$3+[20]FormattedData!O77*$J$4+$M$4*$J$5+[20]FormattedData!O77^2*$J$6+$M$5*$J$7</f>
        <v>33.834553182411341</v>
      </c>
      <c r="W73" s="5">
        <f t="shared" si="9"/>
        <v>33.729643360194345</v>
      </c>
      <c r="X73" s="4">
        <f t="shared" si="10"/>
        <v>0.21955470235647015</v>
      </c>
      <c r="Y73" s="3">
        <f t="shared" si="11"/>
        <v>31.815665096978485</v>
      </c>
      <c r="Z73" s="2">
        <f t="shared" si="12"/>
        <v>33.643081228876518</v>
      </c>
      <c r="AA73" s="3">
        <f t="shared" si="13"/>
        <v>33.834553182411341</v>
      </c>
      <c r="AB73" s="2">
        <f t="shared" si="14"/>
        <v>34.145330540765762</v>
      </c>
      <c r="AC73" s="2">
        <f t="shared" si="15"/>
        <v>34.694084680690423</v>
      </c>
      <c r="AD73" s="2">
        <f t="shared" si="16"/>
        <v>-1.6292481603160336</v>
      </c>
      <c r="AE73" s="2">
        <f t="shared" si="17"/>
        <v>3.1737955438431165</v>
      </c>
    </row>
    <row r="74" spans="2:31" x14ac:dyDescent="0.2">
      <c r="B74" s="1">
        <f>[20]FormattedData!A93</f>
        <v>401</v>
      </c>
      <c r="C74" s="1" t="str">
        <f>VLOOKUP($B74,[20]TrtCodes!$B$11:I130,2)</f>
        <v>NSH</v>
      </c>
      <c r="D74" s="1">
        <f>VLOOKUP($B74,[20]TrtCodes!$B$11:J130,3)</f>
        <v>7</v>
      </c>
      <c r="E74" s="1">
        <f>VLOOKUP($B74,[20]TrtCodes!$B$11:K130,4)</f>
        <v>2</v>
      </c>
      <c r="F74" s="1">
        <f>VLOOKUP($B74,[20]TrtCodes!$B$11:L130,5)</f>
        <v>1</v>
      </c>
      <c r="G74" s="1">
        <f>VLOOKUP($B74,[20]TrtCodes!$B$11:M130,6)</f>
        <v>2</v>
      </c>
      <c r="H74" s="1">
        <f>VLOOKUP($B74,[20]TrtCodes!$B$11:N130,7)</f>
        <v>3</v>
      </c>
      <c r="I74" s="1">
        <f>[20]FormattedData!B93</f>
        <v>2</v>
      </c>
      <c r="J74" s="4">
        <f>[20]FormattedData!C93</f>
        <v>13.712999999999999</v>
      </c>
      <c r="K74" s="6">
        <f>$J$3+[20]FormattedData!D93*$J$4+$M$4*$J$5+[20]FormattedData!D93^2*$J$6+$M$5*$J$7</f>
        <v>32.779365145342247</v>
      </c>
      <c r="L74" s="6">
        <f>$J$3+[20]FormattedData!E93*$J$4+$M$4*$J$5+[20]FormattedData!E93^2*$J$6+$M$5*$J$7</f>
        <v>33.355556284539809</v>
      </c>
      <c r="M74" s="6">
        <f>$J$3+[20]FormattedData!F93*$J$4+$M$4*$J$5+[20]FormattedData!F93^2*$J$6+$M$5*$J$7</f>
        <v>34.407954598105441</v>
      </c>
      <c r="N74" s="6">
        <f>$J$3+[20]FormattedData!G93*$J$4+$M$4*$J$5+[20]FormattedData!G93^2*$J$6+$M$5*$J$7</f>
        <v>33.16366164562568</v>
      </c>
      <c r="O74" s="6">
        <f>$J$3+[20]FormattedData!H93*$J$4+$M$4*$J$5+[20]FormattedData!H93^2*$J$6+$M$5*$J$7</f>
        <v>36.402876422531342</v>
      </c>
      <c r="P74" s="6">
        <f>$J$3+[20]FormattedData!I93*$J$4+$M$4*$J$5+[20]FormattedData!I93^2*$J$6+$M$5*$J$7</f>
        <v>35.645104167674845</v>
      </c>
      <c r="Q74" s="6">
        <f>$J$3+[20]FormattedData!J93*$J$4+$M$4*$J$5+[20]FormattedData!J93^2*$J$6+$M$5*$J$7</f>
        <v>33.738838339912888</v>
      </c>
      <c r="R74" s="6">
        <f>$J$3+[20]FormattedData!K93*$J$4+$M$4*$J$5+[20]FormattedData!K93^2*$J$6+$M$5*$J$7</f>
        <v>34.121444098679085</v>
      </c>
      <c r="S74" s="6">
        <f>$J$3+[20]FormattedData!L93*$J$4+$M$4*$J$5+[20]FormattedData!L93^2*$J$6+$M$5*$J$7</f>
        <v>32.586963283972949</v>
      </c>
      <c r="T74" s="6">
        <f>$J$3+[20]FormattedData!M93*$J$4+$M$4*$J$5+[20]FormattedData!M93^2*$J$6+$M$5*$J$7</f>
        <v>33.547281849302216</v>
      </c>
      <c r="U74" s="6">
        <f>$J$3+[20]FormattedData!N93*$J$4+$M$4*$J$5+[20]FormattedData!N93^2*$J$6+$M$5*$J$7</f>
        <v>32.971597932559824</v>
      </c>
      <c r="V74" s="6">
        <f>$J$3+[20]FormattedData!O93*$J$4+$M$4*$J$5+[20]FormattedData!O93^2*$J$6+$M$5*$J$7</f>
        <v>34.312493366834588</v>
      </c>
      <c r="W74" s="5">
        <f t="shared" ref="W74:W105" si="18">AVERAGE(K74:V74)</f>
        <v>33.919428094590081</v>
      </c>
      <c r="X74" s="4">
        <f t="shared" ref="X74:X85" si="19">STDEV(K74:V74)/SQRT(COUNT(K74:V74))</f>
        <v>0.33272600284939563</v>
      </c>
      <c r="Y74" s="3">
        <f t="shared" ref="Y74:Y85" si="20">MIN(K74:V74)</f>
        <v>32.586963283972949</v>
      </c>
      <c r="Z74" s="2">
        <f t="shared" ref="Z74:Z85" si="21">QUARTILE(K74:V74,1)</f>
        <v>33.115645717359214</v>
      </c>
      <c r="AA74" s="3">
        <f t="shared" ref="AA74:AA85" si="22">MEDIAN(K74:V74)</f>
        <v>33.643060094607549</v>
      </c>
      <c r="AB74" s="2">
        <f t="shared" ref="AB74:AB85" si="23">QUARTILE(K74:V74,3)</f>
        <v>34.336358674652303</v>
      </c>
      <c r="AC74" s="2">
        <f t="shared" ref="AC74:AC85" si="24">MAX(K74:V74)</f>
        <v>36.402876422531342</v>
      </c>
      <c r="AD74" s="2">
        <f t="shared" ref="AD74:AD85" si="25">SKEW(K74:V74)</f>
        <v>1.0881886993804308</v>
      </c>
      <c r="AE74" s="2">
        <f t="shared" ref="AE74:AE85" si="26">KURT(K74:V74)</f>
        <v>0.70639916078303955</v>
      </c>
    </row>
    <row r="75" spans="2:31" x14ac:dyDescent="0.2">
      <c r="B75" s="1">
        <f>[20]FormattedData!A91</f>
        <v>402</v>
      </c>
      <c r="C75" s="1" t="str">
        <f>VLOOKUP($B75,[20]TrtCodes!$B$11:I131,2)</f>
        <v>NTH</v>
      </c>
      <c r="D75" s="1">
        <f>VLOOKUP($B75,[20]TrtCodes!$B$11:J131,3)</f>
        <v>9</v>
      </c>
      <c r="E75" s="1">
        <f>VLOOKUP($B75,[20]TrtCodes!$B$11:K131,4)</f>
        <v>2</v>
      </c>
      <c r="F75" s="1">
        <f>VLOOKUP($B75,[20]TrtCodes!$B$11:L131,5)</f>
        <v>2</v>
      </c>
      <c r="G75" s="1">
        <f>VLOOKUP($B75,[20]TrtCodes!$B$11:M131,6)</f>
        <v>2</v>
      </c>
      <c r="H75" s="1">
        <f>VLOOKUP($B75,[20]TrtCodes!$B$11:N131,7)</f>
        <v>3</v>
      </c>
      <c r="I75" s="1">
        <f>[20]FormattedData!B91</f>
        <v>2</v>
      </c>
      <c r="J75" s="4">
        <f>[20]FormattedData!C91</f>
        <v>13.698</v>
      </c>
      <c r="K75" s="6">
        <f>$J$3+[20]FormattedData!D91*$J$4+$M$4*$J$5+[20]FormattedData!D91^2*$J$6+$M$5*$J$7</f>
        <v>31.622417864850558</v>
      </c>
      <c r="L75" s="6">
        <f>$J$3+[20]FormattedData!E91*$J$4+$M$4*$J$5+[20]FormattedData!E91^2*$J$6+$M$5*$J$7</f>
        <v>32.105218931135894</v>
      </c>
      <c r="M75" s="6">
        <f>$J$3+[20]FormattedData!F91*$J$4+$M$4*$J$5+[20]FormattedData!F91^2*$J$6+$M$5*$J$7</f>
        <v>32.298043477884505</v>
      </c>
      <c r="N75" s="6">
        <f>$J$3+[20]FormattedData!G91*$J$4+$M$4*$J$5+[20]FormattedData!G91^2*$J$6+$M$5*$J$7</f>
        <v>31.235416178139527</v>
      </c>
      <c r="O75" s="6">
        <f>$J$3+[20]FormattedData!H91*$J$4+$M$4*$J$5+[20]FormattedData!H91^2*$J$6+$M$5*$J$7</f>
        <v>32.201652338779162</v>
      </c>
      <c r="P75" s="6">
        <f>$J$3+[20]FormattedData!I91*$J$4+$M$4*$J$5+[20]FormattedData!I91^2*$J$6+$M$5*$J$7</f>
        <v>31.815665096978485</v>
      </c>
      <c r="Q75" s="6">
        <f>$J$3+[20]FormattedData!J91*$J$4+$M$4*$J$5+[20]FormattedData!J91^2*$J$6+$M$5*$J$7</f>
        <v>31.332230002624186</v>
      </c>
      <c r="R75" s="6">
        <f>$J$3+[20]FormattedData!K91*$J$4+$M$4*$J$5+[20]FormattedData!K91^2*$J$6+$M$5*$J$7</f>
        <v>32.394392348451909</v>
      </c>
      <c r="S75" s="6">
        <f>$J$3+[20]FormattedData!L91*$J$4+$M$4*$J$5+[20]FormattedData!L91^2*$J$6+$M$5*$J$7</f>
        <v>31.332230002624186</v>
      </c>
      <c r="T75" s="6">
        <f>$J$3+[20]FormattedData!M91*$J$4+$M$4*$J$5+[20]FormattedData!M91^2*$J$6+$M$5*$J$7</f>
        <v>31.332230002624186</v>
      </c>
      <c r="U75" s="6">
        <f>$J$3+[20]FormattedData!N91*$J$4+$M$4*$J$5+[20]FormattedData!N91^2*$J$6+$M$5*$J$7</f>
        <v>30.944721093457986</v>
      </c>
      <c r="V75" s="6">
        <f>$J$3+[20]FormattedData!O91*$J$4+$M$4*$J$5+[20]FormattedData!O91^2*$J$6+$M$5*$J$7</f>
        <v>30.847738194821609</v>
      </c>
      <c r="W75" s="5">
        <f t="shared" si="18"/>
        <v>31.621829627697679</v>
      </c>
      <c r="X75" s="4">
        <f t="shared" si="19"/>
        <v>0.15374524271876844</v>
      </c>
      <c r="Y75" s="3">
        <f t="shared" si="20"/>
        <v>30.847738194821609</v>
      </c>
      <c r="Z75" s="2">
        <f t="shared" si="21"/>
        <v>31.308026546503022</v>
      </c>
      <c r="AA75" s="3">
        <f t="shared" si="22"/>
        <v>31.477323933737374</v>
      </c>
      <c r="AB75" s="2">
        <f t="shared" si="23"/>
        <v>32.129327283046713</v>
      </c>
      <c r="AC75" s="2">
        <f t="shared" si="24"/>
        <v>32.394392348451909</v>
      </c>
      <c r="AD75" s="2">
        <f t="shared" si="25"/>
        <v>0.13043993769526108</v>
      </c>
      <c r="AE75" s="2">
        <f t="shared" si="26"/>
        <v>-1.3952127496725133</v>
      </c>
    </row>
    <row r="76" spans="2:31" x14ac:dyDescent="0.2">
      <c r="B76" s="1">
        <f>[20]FormattedData!A89</f>
        <v>403</v>
      </c>
      <c r="C76" s="1" t="str">
        <f>VLOOKUP($B76,[20]TrtCodes!$B$11:I132,2)</f>
        <v>FDL</v>
      </c>
      <c r="D76" s="1">
        <f>VLOOKUP($B76,[20]TrtCodes!$B$11:J132,3)</f>
        <v>6</v>
      </c>
      <c r="E76" s="1">
        <f>VLOOKUP($B76,[20]TrtCodes!$B$11:K132,4)</f>
        <v>1</v>
      </c>
      <c r="F76" s="1">
        <f>VLOOKUP($B76,[20]TrtCodes!$B$11:L132,5)</f>
        <v>3</v>
      </c>
      <c r="G76" s="1">
        <f>VLOOKUP($B76,[20]TrtCodes!$B$11:M132,6)</f>
        <v>1</v>
      </c>
      <c r="H76" s="1">
        <f>VLOOKUP($B76,[20]TrtCodes!$B$11:N132,7)</f>
        <v>3</v>
      </c>
      <c r="I76" s="1">
        <f>[20]FormattedData!B89</f>
        <v>2</v>
      </c>
      <c r="J76" s="4">
        <f>[20]FormattedData!C89</f>
        <v>13.682</v>
      </c>
      <c r="K76" s="6">
        <f>$J$3+[20]FormattedData!D89*$J$4+$M$4*$J$5+[20]FormattedData!D89^2*$J$6+$M$5*$J$7</f>
        <v>32.298043477884505</v>
      </c>
      <c r="L76" s="6">
        <f>$J$3+[20]FormattedData!E89*$J$4+$M$4*$J$5+[20]FormattedData!E89^2*$J$6+$M$5*$J$7</f>
        <v>32.105218931135894</v>
      </c>
      <c r="M76" s="6">
        <f>$J$3+[20]FormattedData!F89*$J$4+$M$4*$J$5+[20]FormattedData!F89^2*$J$6+$M$5*$J$7</f>
        <v>33.355556284539809</v>
      </c>
      <c r="N76" s="6">
        <f>$J$3+[20]FormattedData!G89*$J$4+$M$4*$J$5+[20]FormattedData!G89^2*$J$6+$M$5*$J$7</f>
        <v>32.971597932559824</v>
      </c>
      <c r="O76" s="6">
        <f>$J$3+[20]FormattedData!H89*$J$4+$M$4*$J$5+[20]FormattedData!H89^2*$J$6+$M$5*$J$7</f>
        <v>32.586963283972949</v>
      </c>
      <c r="P76" s="6">
        <f>$J$3+[20]FormattedData!I89*$J$4+$M$4*$J$5+[20]FormattedData!I89^2*$J$6+$M$5*$J$7</f>
        <v>32.008743254954688</v>
      </c>
      <c r="Q76" s="6">
        <f>$J$3+[20]FormattedData!J89*$J$4+$M$4*$J$5+[20]FormattedData!J89^2*$J$6+$M$5*$J$7</f>
        <v>32.298043477884505</v>
      </c>
      <c r="R76" s="6">
        <f>$J$3+[20]FormattedData!K89*$J$4+$M$4*$J$5+[20]FormattedData!K89^2*$J$6+$M$5*$J$7</f>
        <v>32.394392348451909</v>
      </c>
      <c r="S76" s="6">
        <f>$J$3+[20]FormattedData!L89*$J$4+$M$4*$J$5+[20]FormattedData!L89^2*$J$6+$M$5*$J$7</f>
        <v>32.201652338779162</v>
      </c>
      <c r="T76" s="6">
        <f>$J$3+[20]FormattedData!M89*$J$4+$M$4*$J$5+[20]FormattedData!M89^2*$J$6+$M$5*$J$7</f>
        <v>32.298043477884505</v>
      </c>
      <c r="U76" s="6">
        <f>$J$3+[20]FormattedData!N89*$J$4+$M$4*$J$5+[20]FormattedData!N89^2*$J$6+$M$5*$J$7</f>
        <v>32.490698950481395</v>
      </c>
      <c r="V76" s="6">
        <f>$J$3+[20]FormattedData!O89*$J$4+$M$4*$J$5+[20]FormattedData!O89^2*$J$6+$M$5*$J$7</f>
        <v>31.815665096978485</v>
      </c>
      <c r="W76" s="5">
        <f t="shared" si="18"/>
        <v>32.402051571292304</v>
      </c>
      <c r="X76" s="4">
        <f t="shared" si="19"/>
        <v>0.12107243971513688</v>
      </c>
      <c r="Y76" s="3">
        <f t="shared" si="20"/>
        <v>31.815665096978485</v>
      </c>
      <c r="Z76" s="2">
        <f t="shared" si="21"/>
        <v>32.177543986868343</v>
      </c>
      <c r="AA76" s="3">
        <f t="shared" si="22"/>
        <v>32.298043477884505</v>
      </c>
      <c r="AB76" s="2">
        <f t="shared" si="23"/>
        <v>32.514765033854282</v>
      </c>
      <c r="AC76" s="2">
        <f t="shared" si="24"/>
        <v>33.355556284539809</v>
      </c>
      <c r="AD76" s="2">
        <f t="shared" si="25"/>
        <v>1.1217761208993222</v>
      </c>
      <c r="AE76" s="2">
        <f t="shared" si="26"/>
        <v>1.491892316164261</v>
      </c>
    </row>
    <row r="77" spans="2:31" x14ac:dyDescent="0.2">
      <c r="B77" s="1">
        <f>[20]FormattedData!A87</f>
        <v>404</v>
      </c>
      <c r="C77" s="1" t="str">
        <f>VLOOKUP($B77,[20]TrtCodes!$B$11:I130,2)</f>
        <v>FTH</v>
      </c>
      <c r="D77" s="1">
        <f>VLOOKUP($B77,[20]TrtCodes!$B$11:J130,3)</f>
        <v>3</v>
      </c>
      <c r="E77" s="1">
        <f>VLOOKUP($B77,[20]TrtCodes!$B$11:K130,4)</f>
        <v>1</v>
      </c>
      <c r="F77" s="1">
        <f>VLOOKUP($B77,[20]TrtCodes!$B$11:L130,5)</f>
        <v>2</v>
      </c>
      <c r="G77" s="1">
        <f>VLOOKUP($B77,[20]TrtCodes!$B$11:M130,6)</f>
        <v>2</v>
      </c>
      <c r="H77" s="1">
        <f>VLOOKUP($B77,[20]TrtCodes!$B$11:N130,7)</f>
        <v>3</v>
      </c>
      <c r="I77" s="1">
        <f>[20]FormattedData!B87</f>
        <v>2</v>
      </c>
      <c r="J77" s="4">
        <f>[20]FormattedData!C87</f>
        <v>13.666</v>
      </c>
      <c r="K77" s="6">
        <f>$J$3+[20]FormattedData!D87*$J$4+$M$4*$J$5+[20]FormattedData!D87^2*$J$6+$M$5*$J$7</f>
        <v>32.298043477884505</v>
      </c>
      <c r="L77" s="6">
        <f>$J$3+[20]FormattedData!E87*$J$4+$M$4*$J$5+[20]FormattedData!E87^2*$J$6+$M$5*$J$7</f>
        <v>31.138560085116946</v>
      </c>
      <c r="M77" s="6">
        <f>$J$3+[20]FormattedData!F87*$J$4+$M$4*$J$5+[20]FormattedData!F87^2*$J$6+$M$5*$J$7</f>
        <v>31.622417864850558</v>
      </c>
      <c r="N77" s="6">
        <f>$J$3+[20]FormattedData!G87*$J$4+$M$4*$J$5+[20]FormattedData!G87^2*$J$6+$M$5*$J$7</f>
        <v>31.138560085116946</v>
      </c>
      <c r="O77" s="6">
        <f>$J$3+[20]FormattedData!H87*$J$4+$M$4*$J$5+[20]FormattedData!H87^2*$J$6+$M$5*$J$7</f>
        <v>31.525730845979702</v>
      </c>
      <c r="P77" s="6">
        <f>$J$3+[20]FormattedData!I87*$J$4+$M$4*$J$5+[20]FormattedData!I87^2*$J$6+$M$5*$J$7</f>
        <v>31.332230002624186</v>
      </c>
      <c r="Q77" s="6">
        <f>$J$3+[20]FormattedData!J87*$J$4+$M$4*$J$5+[20]FormattedData!J87^2*$J$6+$M$5*$J$7</f>
        <v>33.067650923361718</v>
      </c>
      <c r="R77" s="6">
        <f>$J$3+[20]FormattedData!K87*$J$4+$M$4*$J$5+[20]FormattedData!K87^2*$J$6+$M$5*$J$7</f>
        <v>30.750713027647297</v>
      </c>
      <c r="S77" s="6">
        <f>$J$3+[20]FormattedData!L87*$J$4+$M$4*$J$5+[20]FormattedData!L87^2*$J$6+$M$5*$J$7</f>
        <v>32.490698950481395</v>
      </c>
      <c r="T77" s="6">
        <f>$J$3+[20]FormattedData!M87*$J$4+$M$4*$J$5+[20]FormattedData!M87^2*$J$6+$M$5*$J$7</f>
        <v>31.041661723556434</v>
      </c>
      <c r="U77" s="6">
        <f>$J$3+[20]FormattedData!N87*$J$4+$M$4*$J$5+[20]FormattedData!N87^2*$J$6+$M$5*$J$7</f>
        <v>31.622417864850558</v>
      </c>
      <c r="V77" s="6">
        <f>$J$3+[20]FormattedData!O87*$J$4+$M$4*$J$5+[20]FormattedData!O87^2*$J$6+$M$5*$J$7</f>
        <v>31.815665096978485</v>
      </c>
      <c r="W77" s="5">
        <f t="shared" si="18"/>
        <v>31.653695829037392</v>
      </c>
      <c r="X77" s="4">
        <f t="shared" si="19"/>
        <v>0.19430580517653567</v>
      </c>
      <c r="Y77" s="3">
        <f t="shared" si="20"/>
        <v>30.750713027647297</v>
      </c>
      <c r="Z77" s="2">
        <f t="shared" si="21"/>
        <v>31.138560085116946</v>
      </c>
      <c r="AA77" s="3">
        <f t="shared" si="22"/>
        <v>31.574074355415128</v>
      </c>
      <c r="AB77" s="2">
        <f t="shared" si="23"/>
        <v>31.936259692204992</v>
      </c>
      <c r="AC77" s="2">
        <f t="shared" si="24"/>
        <v>33.067650923361718</v>
      </c>
      <c r="AD77" s="2">
        <f t="shared" si="25"/>
        <v>0.8623965846337649</v>
      </c>
      <c r="AE77" s="2">
        <f t="shared" si="26"/>
        <v>0.27944297526217099</v>
      </c>
    </row>
    <row r="78" spans="2:31" x14ac:dyDescent="0.2">
      <c r="B78" s="1">
        <f>[20]FormattedData!A85</f>
        <v>405</v>
      </c>
      <c r="C78" s="1" t="str">
        <f>VLOOKUP($B78,[20]TrtCodes!$B$11:I128,2)</f>
        <v>FDL</v>
      </c>
      <c r="D78" s="1">
        <f>VLOOKUP($B78,[20]TrtCodes!$B$11:J128,3)</f>
        <v>6</v>
      </c>
      <c r="E78" s="1">
        <f>VLOOKUP($B78,[20]TrtCodes!$B$11:K128,4)</f>
        <v>1</v>
      </c>
      <c r="F78" s="1">
        <f>VLOOKUP($B78,[20]TrtCodes!$B$11:L128,5)</f>
        <v>3</v>
      </c>
      <c r="G78" s="1">
        <f>VLOOKUP($B78,[20]TrtCodes!$B$11:M128,6)</f>
        <v>1</v>
      </c>
      <c r="H78" s="1">
        <f>VLOOKUP($B78,[20]TrtCodes!$B$11:N128,7)</f>
        <v>4</v>
      </c>
      <c r="I78" s="1">
        <f>[20]FormattedData!B85</f>
        <v>2</v>
      </c>
      <c r="J78" s="4">
        <f>[20]FormattedData!C85</f>
        <v>13.651</v>
      </c>
      <c r="K78" s="6">
        <f>$J$3+[20]FormattedData!D85*$J$4+$M$4*$J$5+[20]FormattedData!D85^2*$J$6+$M$5*$J$7</f>
        <v>32.008743254954688</v>
      </c>
      <c r="L78" s="6">
        <f>$J$3+[20]FormattedData!E85*$J$4+$M$4*$J$5+[20]FormattedData!E85^2*$J$6+$M$5*$J$7</f>
        <v>32.105218931135894</v>
      </c>
      <c r="M78" s="6">
        <f>$J$3+[20]FormattedData!F85*$J$4+$M$4*$J$5+[20]FormattedData!F85^2*$J$6+$M$5*$J$7</f>
        <v>32.298043477884505</v>
      </c>
      <c r="N78" s="6">
        <f>$J$3+[20]FormattedData!G85*$J$4+$M$4*$J$5+[20]FormattedData!G85^2*$J$6+$M$5*$J$7</f>
        <v>30.459383914896783</v>
      </c>
      <c r="O78" s="6">
        <f>$J$3+[20]FormattedData!H85*$J$4+$M$4*$J$5+[20]FormattedData!H85^2*$J$6+$M$5*$J$7</f>
        <v>31.332230002624186</v>
      </c>
      <c r="P78" s="6">
        <f>$J$3+[20]FormattedData!I85*$J$4+$M$4*$J$5+[20]FormattedData!I85^2*$J$6+$M$5*$J$7</f>
        <v>30.944721093457986</v>
      </c>
      <c r="Q78" s="6">
        <f>$J$3+[20]FormattedData!J85*$J$4+$M$4*$J$5+[20]FormattedData!J85^2*$J$6+$M$5*$J$7</f>
        <v>31.041661723556434</v>
      </c>
      <c r="R78" s="6">
        <f>$J$3+[20]FormattedData!K85*$J$4+$M$4*$J$5+[20]FormattedData!K85^2*$J$6+$M$5*$J$7</f>
        <v>31.429001558570903</v>
      </c>
      <c r="S78" s="6">
        <f>$J$3+[20]FormattedData!L85*$J$4+$M$4*$J$5+[20]FormattedData!L85^2*$J$6+$M$5*$J$7</f>
        <v>30.459383914896783</v>
      </c>
      <c r="T78" s="6">
        <f>$J$3+[20]FormattedData!M85*$J$4+$M$4*$J$5+[20]FormattedData!M85^2*$J$6+$M$5*$J$7</f>
        <v>31.138560085116946</v>
      </c>
      <c r="U78" s="6">
        <f>$J$3+[20]FormattedData!N85*$J$4+$M$4*$J$5+[20]FormattedData!N85^2*$J$6+$M$5*$J$7</f>
        <v>31.041661723556434</v>
      </c>
      <c r="V78" s="6">
        <f>$J$3+[20]FormattedData!O85*$J$4+$M$4*$J$5+[20]FormattedData!O85^2*$J$6+$M$5*$J$7</f>
        <v>30.750713027647297</v>
      </c>
      <c r="W78" s="5">
        <f t="shared" si="18"/>
        <v>31.250776892358235</v>
      </c>
      <c r="X78" s="4">
        <f t="shared" si="19"/>
        <v>0.17701525307268057</v>
      </c>
      <c r="Y78" s="3">
        <f t="shared" si="20"/>
        <v>30.459383914896783</v>
      </c>
      <c r="Z78" s="2">
        <f t="shared" si="21"/>
        <v>30.896219077005313</v>
      </c>
      <c r="AA78" s="3">
        <f t="shared" si="22"/>
        <v>31.09011090433669</v>
      </c>
      <c r="AB78" s="2">
        <f t="shared" si="23"/>
        <v>31.573936982666851</v>
      </c>
      <c r="AC78" s="2">
        <f t="shared" si="24"/>
        <v>32.298043477884505</v>
      </c>
      <c r="AD78" s="2">
        <f t="shared" si="25"/>
        <v>0.49648503615848655</v>
      </c>
      <c r="AE78" s="2">
        <f t="shared" si="26"/>
        <v>-0.77136156331438688</v>
      </c>
    </row>
    <row r="79" spans="2:31" x14ac:dyDescent="0.2">
      <c r="B79" s="1">
        <f>[20]FormattedData!A83</f>
        <v>406</v>
      </c>
      <c r="C79" s="1" t="str">
        <f>VLOOKUP($B79,[20]TrtCodes!$B$11:I126,2)</f>
        <v>FTH</v>
      </c>
      <c r="D79" s="1">
        <f>VLOOKUP($B79,[20]TrtCodes!$B$11:J126,3)</f>
        <v>3</v>
      </c>
      <c r="E79" s="1">
        <f>VLOOKUP($B79,[20]TrtCodes!$B$11:K126,4)</f>
        <v>1</v>
      </c>
      <c r="F79" s="1">
        <f>VLOOKUP($B79,[20]TrtCodes!$B$11:L126,5)</f>
        <v>2</v>
      </c>
      <c r="G79" s="1">
        <f>VLOOKUP($B79,[20]TrtCodes!$B$11:M126,6)</f>
        <v>2</v>
      </c>
      <c r="H79" s="1">
        <f>VLOOKUP($B79,[20]TrtCodes!$B$11:N126,7)</f>
        <v>4</v>
      </c>
      <c r="I79" s="1">
        <f>[20]FormattedData!B83</f>
        <v>2</v>
      </c>
      <c r="J79" s="4">
        <f>[20]FormattedData!C83</f>
        <v>13.635</v>
      </c>
      <c r="K79" s="6">
        <f>$J$3+[20]FormattedData!D83*$J$4+$M$4*$J$5+[20]FormattedData!D83^2*$J$6+$M$5*$J$7</f>
        <v>30.750713027647297</v>
      </c>
      <c r="L79" s="6">
        <f>$J$3+[20]FormattedData!E83*$J$4+$M$4*$J$5+[20]FormattedData!E83^2*$J$6+$M$5*$J$7</f>
        <v>30.847738194821609</v>
      </c>
      <c r="M79" s="6">
        <f>$J$3+[20]FormattedData!F83*$J$4+$M$4*$J$5+[20]FormattedData!F83^2*$J$6+$M$5*$J$7</f>
        <v>31.138560085116946</v>
      </c>
      <c r="N79" s="6">
        <f>$J$3+[20]FormattedData!G83*$J$4+$M$4*$J$5+[20]FormattedData!G83^2*$J$6+$M$5*$J$7</f>
        <v>30.167674385304892</v>
      </c>
      <c r="O79" s="6">
        <f>$J$3+[20]FormattedData!H83*$J$4+$M$4*$J$5+[20]FormattedData!H83^2*$J$6+$M$5*$J$7</f>
        <v>30.167674385304892</v>
      </c>
      <c r="P79" s="6">
        <f>$J$3+[20]FormattedData!I83*$J$4+$M$4*$J$5+[20]FormattedData!I83^2*$J$6+$M$5*$J$7</f>
        <v>29.972990022887309</v>
      </c>
      <c r="Q79" s="6">
        <f>$J$3+[20]FormattedData!J83*$J$4+$M$4*$J$5+[20]FormattedData!J83^2*$J$6+$M$5*$J$7</f>
        <v>30.556535887684891</v>
      </c>
      <c r="R79" s="6">
        <f>$J$3+[20]FormattedData!K83*$J$4+$M$4*$J$5+[20]FormattedData!K83^2*$J$6+$M$5*$J$7</f>
        <v>30.944721093457986</v>
      </c>
      <c r="S79" s="6">
        <f>$J$3+[20]FormattedData!L83*$J$4+$M$4*$J$5+[20]FormattedData!L83^2*$J$6+$M$5*$J$7</f>
        <v>30.264953163706785</v>
      </c>
      <c r="T79" s="6">
        <f>$J$3+[20]FormattedData!M83*$J$4+$M$4*$J$5+[20]FormattedData!M83^2*$J$6+$M$5*$J$7</f>
        <v>30.070353338365074</v>
      </c>
      <c r="U79" s="6">
        <f>$J$3+[20]FormattedData!N83*$J$4+$M$4*$J$5+[20]FormattedData!N83^2*$J$6+$M$5*$J$7</f>
        <v>30.264953163706785</v>
      </c>
      <c r="V79" s="6">
        <f>$J$3+[20]FormattedData!O83*$J$4+$M$4*$J$5+[20]FormattedData!O83^2*$J$6+$M$5*$J$7</f>
        <v>31.622417864850558</v>
      </c>
      <c r="W79" s="5">
        <f t="shared" si="18"/>
        <v>30.564107051071247</v>
      </c>
      <c r="X79" s="4">
        <f t="shared" si="19"/>
        <v>0.14555866094138531</v>
      </c>
      <c r="Y79" s="3">
        <f t="shared" si="20"/>
        <v>29.972990022887309</v>
      </c>
      <c r="Z79" s="2">
        <f t="shared" si="21"/>
        <v>30.167674385304892</v>
      </c>
      <c r="AA79" s="3">
        <f t="shared" si="22"/>
        <v>30.41074452569584</v>
      </c>
      <c r="AB79" s="2">
        <f t="shared" si="23"/>
        <v>30.871983919480705</v>
      </c>
      <c r="AC79" s="2">
        <f t="shared" si="24"/>
        <v>31.622417864850558</v>
      </c>
      <c r="AD79" s="2">
        <f t="shared" si="25"/>
        <v>0.81204189207606092</v>
      </c>
      <c r="AE79" s="2">
        <f t="shared" si="26"/>
        <v>-3.8087689684498827E-2</v>
      </c>
    </row>
    <row r="80" spans="2:31" x14ac:dyDescent="0.2">
      <c r="B80" s="1">
        <f>[20]FormattedData!A81</f>
        <v>407</v>
      </c>
      <c r="C80" s="1" t="str">
        <f>VLOOKUP($B80,[20]TrtCodes!$B$11:I124,2)</f>
        <v>NSH</v>
      </c>
      <c r="D80" s="1">
        <f>VLOOKUP($B80,[20]TrtCodes!$B$11:J124,3)</f>
        <v>7</v>
      </c>
      <c r="E80" s="1">
        <f>VLOOKUP($B80,[20]TrtCodes!$B$11:K124,4)</f>
        <v>2</v>
      </c>
      <c r="F80" s="1">
        <f>VLOOKUP($B80,[20]TrtCodes!$B$11:L124,5)</f>
        <v>1</v>
      </c>
      <c r="G80" s="1">
        <f>VLOOKUP($B80,[20]TrtCodes!$B$11:M124,6)</f>
        <v>2</v>
      </c>
      <c r="H80" s="1">
        <f>VLOOKUP($B80,[20]TrtCodes!$B$11:N124,7)</f>
        <v>4</v>
      </c>
      <c r="I80" s="1">
        <f>[20]FormattedData!B81</f>
        <v>2</v>
      </c>
      <c r="J80" s="4">
        <f>[20]FormattedData!C81</f>
        <v>13.615</v>
      </c>
      <c r="K80" s="6">
        <f>$J$3+[20]FormattedData!D81*$J$4+$M$4*$J$5+[20]FormattedData!D81^2*$J$6+$M$5*$J$7</f>
        <v>32.008743254954688</v>
      </c>
      <c r="L80" s="6">
        <f>$J$3+[20]FormattedData!E81*$J$4+$M$4*$J$5+[20]FormattedData!E81^2*$J$6+$M$5*$J$7</f>
        <v>32.394392348451909</v>
      </c>
      <c r="M80" s="6">
        <f>$J$3+[20]FormattedData!F81*$J$4+$M$4*$J$5+[20]FormattedData!F81^2*$J$6+$M$5*$J$7</f>
        <v>33.067650923361718</v>
      </c>
      <c r="N80" s="6">
        <f>$J$3+[20]FormattedData!G81*$J$4+$M$4*$J$5+[20]FormattedData!G81^2*$J$6+$M$5*$J$7</f>
        <v>32.105218931135894</v>
      </c>
      <c r="O80" s="6">
        <f>$J$3+[20]FormattedData!H81*$J$4+$M$4*$J$5+[20]FormattedData!H81^2*$J$6+$M$5*$J$7</f>
        <v>32.586963283972949</v>
      </c>
      <c r="P80" s="6">
        <f>$J$3+[20]FormattedData!I81*$J$4+$M$4*$J$5+[20]FormattedData!I81^2*$J$6+$M$5*$J$7</f>
        <v>32.008743254954688</v>
      </c>
      <c r="Q80" s="6">
        <f>$J$3+[20]FormattedData!J81*$J$4+$M$4*$J$5+[20]FormattedData!J81^2*$J$6+$M$5*$J$7</f>
        <v>32.201652338779162</v>
      </c>
      <c r="R80" s="6">
        <f>$J$3+[20]FormattedData!K81*$J$4+$M$4*$J$5+[20]FormattedData!K81^2*$J$6+$M$5*$J$7</f>
        <v>32.586963283972949</v>
      </c>
      <c r="S80" s="6">
        <f>$J$3+[20]FormattedData!L81*$J$4+$M$4*$J$5+[20]FormattedData!L81^2*$J$6+$M$5*$J$7</f>
        <v>30.944721093457986</v>
      </c>
      <c r="T80" s="6">
        <f>$J$3+[20]FormattedData!M81*$J$4+$M$4*$J$5+[20]FormattedData!M81^2*$J$6+$M$5*$J$7</f>
        <v>30.944721093457986</v>
      </c>
      <c r="U80" s="6">
        <f>$J$3+[20]FormattedData!N81*$J$4+$M$4*$J$5+[20]FormattedData!N81^2*$J$6+$M$5*$J$7</f>
        <v>31.429001558570903</v>
      </c>
      <c r="V80" s="6">
        <f>$J$3+[20]FormattedData!O81*$J$4+$M$4*$J$5+[20]FormattedData!O81^2*$J$6+$M$5*$J$7</f>
        <v>31.815665096978485</v>
      </c>
      <c r="W80" s="5">
        <f t="shared" si="18"/>
        <v>32.007869705170776</v>
      </c>
      <c r="X80" s="4">
        <f t="shared" si="19"/>
        <v>0.18714088278000657</v>
      </c>
      <c r="Y80" s="3">
        <f t="shared" si="20"/>
        <v>30.944721093457986</v>
      </c>
      <c r="Z80" s="2">
        <f t="shared" si="21"/>
        <v>31.718999212376588</v>
      </c>
      <c r="AA80" s="3">
        <f t="shared" si="22"/>
        <v>32.056981093045295</v>
      </c>
      <c r="AB80" s="2">
        <f t="shared" si="23"/>
        <v>32.442535082332171</v>
      </c>
      <c r="AC80" s="2">
        <f t="shared" si="24"/>
        <v>33.067650923361718</v>
      </c>
      <c r="AD80" s="2">
        <f t="shared" si="25"/>
        <v>-0.38430758032570511</v>
      </c>
      <c r="AE80" s="2">
        <f t="shared" si="26"/>
        <v>-0.30499498750495713</v>
      </c>
    </row>
    <row r="81" spans="2:31" x14ac:dyDescent="0.2">
      <c r="B81" s="1">
        <f>[20]FormattedData!A79</f>
        <v>408</v>
      </c>
      <c r="C81" s="1" t="str">
        <f>VLOOKUP($B81,[20]TrtCodes!$B$11:I122,2)</f>
        <v>NTL</v>
      </c>
      <c r="D81" s="1">
        <f>VLOOKUP($B81,[20]TrtCodes!$B$11:J122,3)</f>
        <v>10</v>
      </c>
      <c r="E81" s="1">
        <f>VLOOKUP($B81,[20]TrtCodes!$B$11:K122,4)</f>
        <v>2</v>
      </c>
      <c r="F81" s="1">
        <f>VLOOKUP($B81,[20]TrtCodes!$B$11:L122,5)</f>
        <v>2</v>
      </c>
      <c r="G81" s="1">
        <f>VLOOKUP($B81,[20]TrtCodes!$B$11:M122,6)</f>
        <v>1</v>
      </c>
      <c r="H81" s="1">
        <f>VLOOKUP($B81,[20]TrtCodes!$B$11:N122,7)</f>
        <v>4</v>
      </c>
      <c r="I81" s="1">
        <f>[20]FormattedData!B79</f>
        <v>2</v>
      </c>
      <c r="J81" s="4">
        <f>[20]FormattedData!C79</f>
        <v>13.599</v>
      </c>
      <c r="K81" s="6">
        <f>$J$3+[20]FormattedData!D79*$J$4+$M$4*$J$5+[20]FormattedData!D79^2*$J$6+$M$5*$J$7</f>
        <v>32.298043477884505</v>
      </c>
      <c r="L81" s="6">
        <f>$J$3+[20]FormattedData!E79*$J$4+$M$4*$J$5+[20]FormattedData!E79^2*$J$6+$M$5*$J$7</f>
        <v>31.815665096978485</v>
      </c>
      <c r="M81" s="6">
        <f>$J$3+[20]FormattedData!F79*$J$4+$M$4*$J$5+[20]FormattedData!F79^2*$J$6+$M$5*$J$7</f>
        <v>32.105218931135894</v>
      </c>
      <c r="N81" s="6">
        <f>$J$3+[20]FormattedData!G79*$J$4+$M$4*$J$5+[20]FormattedData!G79^2*$J$6+$M$5*$J$7</f>
        <v>30.556535887684891</v>
      </c>
      <c r="O81" s="6">
        <f>$J$3+[20]FormattedData!H79*$J$4+$M$4*$J$5+[20]FormattedData!H79^2*$J$6+$M$5*$J$7</f>
        <v>31.332230002624186</v>
      </c>
      <c r="P81" s="6">
        <f>$J$3+[20]FormattedData!I79*$J$4+$M$4*$J$5+[20]FormattedData!I79^2*$J$6+$M$5*$J$7</f>
        <v>31.138560085116946</v>
      </c>
      <c r="Q81" s="6">
        <f>$J$3+[20]FormattedData!J79*$J$4+$M$4*$J$5+[20]FormattedData!J79^2*$J$6+$M$5*$J$7</f>
        <v>32.490698950481395</v>
      </c>
      <c r="R81" s="6">
        <f>$J$3+[20]FormattedData!K79*$J$4+$M$4*$J$5+[20]FormattedData!K79^2*$J$6+$M$5*$J$7</f>
        <v>31.429001558570903</v>
      </c>
      <c r="S81" s="6">
        <f>$J$3+[20]FormattedData!L79*$J$4+$M$4*$J$5+[20]FormattedData!L79^2*$J$6+$M$5*$J$7</f>
        <v>31.235416178139527</v>
      </c>
      <c r="T81" s="6">
        <f>$J$3+[20]FormattedData!M79*$J$4+$M$4*$J$5+[20]FormattedData!M79^2*$J$6+$M$5*$J$7</f>
        <v>32.298043477884505</v>
      </c>
      <c r="U81" s="6">
        <f>$J$3+[20]FormattedData!N79*$J$4+$M$4*$J$5+[20]FormattedData!N79^2*$J$6+$M$5*$J$7</f>
        <v>31.912225310235549</v>
      </c>
      <c r="V81" s="6">
        <f>$J$3+[20]FormattedData!O79*$J$4+$M$4*$J$5+[20]FormattedData!O79^2*$J$6+$M$5*$J$7</f>
        <v>31.429001558570903</v>
      </c>
      <c r="W81" s="5">
        <f t="shared" si="18"/>
        <v>31.670053376275643</v>
      </c>
      <c r="X81" s="4">
        <f t="shared" si="19"/>
        <v>0.16681221914522043</v>
      </c>
      <c r="Y81" s="3">
        <f t="shared" si="20"/>
        <v>30.556535887684891</v>
      </c>
      <c r="Z81" s="2">
        <f t="shared" si="21"/>
        <v>31.308026546503022</v>
      </c>
      <c r="AA81" s="3">
        <f t="shared" si="22"/>
        <v>31.622333327774694</v>
      </c>
      <c r="AB81" s="2">
        <f t="shared" si="23"/>
        <v>32.153425067823051</v>
      </c>
      <c r="AC81" s="2">
        <f t="shared" si="24"/>
        <v>32.490698950481395</v>
      </c>
      <c r="AD81" s="2">
        <f t="shared" si="25"/>
        <v>-0.30066169577930507</v>
      </c>
      <c r="AE81" s="2">
        <f t="shared" si="26"/>
        <v>-0.53271171242643778</v>
      </c>
    </row>
    <row r="82" spans="2:31" x14ac:dyDescent="0.2">
      <c r="B82" s="1">
        <f>[20]FormattedData!A59</f>
        <v>902</v>
      </c>
      <c r="C82" s="1" t="str">
        <f>VLOOKUP($B82,[20]TrtCodes!$B$11:I102,2)</f>
        <v>Late</v>
      </c>
      <c r="D82" s="1">
        <f>VLOOKUP($B82,[20]TrtCodes!$B$11:J102,3)</f>
        <v>22</v>
      </c>
      <c r="E82" s="1">
        <f>VLOOKUP($B82,[20]TrtCodes!$B$11:K102,4)</f>
        <v>4</v>
      </c>
      <c r="F82" s="1">
        <f>VLOOKUP($B82,[20]TrtCodes!$B$11:L102,5)</f>
        <v>2</v>
      </c>
      <c r="G82" s="1">
        <f>VLOOKUP($B82,[20]TrtCodes!$B$11:M102,6)</f>
        <v>2</v>
      </c>
      <c r="H82" s="1">
        <f>VLOOKUP($B82,[20]TrtCodes!$B$11:N102,7)</f>
        <v>1</v>
      </c>
      <c r="I82" s="1">
        <f>[20]FormattedData!B59</f>
        <v>2</v>
      </c>
      <c r="J82" s="4">
        <f>[20]FormattedData!C59</f>
        <v>13.441000000000001</v>
      </c>
      <c r="K82" s="6">
        <f>$J$3+[20]FormattedData!D59*$J$4+$M$4*$J$5+[20]FormattedData!D59^2*$J$6+$M$5*$J$7</f>
        <v>32.683185348926564</v>
      </c>
      <c r="L82" s="6">
        <f>$J$3+[20]FormattedData!E59*$J$4+$M$4*$J$5+[20]FormattedData!E59^2*$J$6+$M$5*$J$7</f>
        <v>35.929585777280515</v>
      </c>
      <c r="M82" s="6">
        <f>$J$3+[20]FormattedData!F59*$J$4+$M$4*$J$5+[20]FormattedData!F59^2*$J$6+$M$5*$J$7</f>
        <v>35.645104167674845</v>
      </c>
      <c r="N82" s="6">
        <f>$J$3+[20]FormattedData!G59*$J$4+$M$4*$J$5+[20]FormattedData!G59^2*$J$6+$M$5*$J$7</f>
        <v>36.119028840994631</v>
      </c>
      <c r="O82" s="6">
        <f>$J$3+[20]FormattedData!H59*$J$4+$M$4*$J$5+[20]FormattedData!H59^2*$J$6+$M$5*$J$7</f>
        <v>34.121444098679085</v>
      </c>
      <c r="P82" s="6">
        <f>$J$3+[20]FormattedData!I59*$J$4+$M$4*$J$5+[20]FormattedData!I59^2*$J$6+$M$5*$J$7</f>
        <v>35.739973639414664</v>
      </c>
      <c r="Q82" s="6">
        <f>$J$3+[20]FormattedData!J59*$J$4+$M$4*$J$5+[20]FormattedData!J59^2*$J$6+$M$5*$J$7</f>
        <v>35.170122780906773</v>
      </c>
      <c r="R82" s="6">
        <f>$J$3+[20]FormattedData!K59*$J$4+$M$4*$J$5+[20]FormattedData!K59^2*$J$6+$M$5*$J$7</f>
        <v>33.355556284539809</v>
      </c>
      <c r="S82" s="6">
        <f>$J$3+[20]FormattedData!L59*$J$4+$M$4*$J$5+[20]FormattedData!L59^2*$J$6+$M$5*$J$7</f>
        <v>34.884626726390756</v>
      </c>
      <c r="T82" s="6">
        <f>$J$3+[20]FormattedData!M59*$J$4+$M$4*$J$5+[20]FormattedData!M59^2*$J$6+$M$5*$J$7</f>
        <v>33.451440201189975</v>
      </c>
      <c r="U82" s="6">
        <f>$J$3+[20]FormattedData!N59*$J$4+$M$4*$J$5+[20]FormattedData!N59^2*$J$6+$M$5*$J$7</f>
        <v>33.643081228876518</v>
      </c>
      <c r="V82" s="6">
        <f>$J$3+[20]FormattedData!O59*$J$4+$M$4*$J$5+[20]FormattedData!O59^2*$J$6+$M$5*$J$7</f>
        <v>32.298043477884505</v>
      </c>
      <c r="W82" s="5">
        <f t="shared" si="18"/>
        <v>34.420099381063224</v>
      </c>
      <c r="X82" s="4">
        <f t="shared" si="19"/>
        <v>0.38406155242769713</v>
      </c>
      <c r="Y82" s="3">
        <f t="shared" si="20"/>
        <v>32.298043477884505</v>
      </c>
      <c r="Z82" s="2">
        <f t="shared" si="21"/>
        <v>33.427469222027433</v>
      </c>
      <c r="AA82" s="3">
        <f t="shared" si="22"/>
        <v>34.503035412534921</v>
      </c>
      <c r="AB82" s="2">
        <f t="shared" si="23"/>
        <v>35.668821535609801</v>
      </c>
      <c r="AC82" s="2">
        <f t="shared" si="24"/>
        <v>36.119028840994631</v>
      </c>
      <c r="AD82" s="2">
        <f t="shared" si="25"/>
        <v>-0.20401765740926023</v>
      </c>
      <c r="AE82" s="2">
        <f t="shared" si="26"/>
        <v>-1.4638021073469192</v>
      </c>
    </row>
    <row r="83" spans="2:31" x14ac:dyDescent="0.2">
      <c r="B83" s="1">
        <f>[20]FormattedData!A55</f>
        <v>904</v>
      </c>
      <c r="C83" s="1" t="str">
        <f>VLOOKUP($B83,[20]TrtCodes!$B$11:I98,2)</f>
        <v>Early</v>
      </c>
      <c r="D83" s="1">
        <f>VLOOKUP($B83,[20]TrtCodes!$B$11:J98,3)</f>
        <v>21</v>
      </c>
      <c r="E83" s="1">
        <f>VLOOKUP($B83,[20]TrtCodes!$B$11:K98,4)</f>
        <v>3</v>
      </c>
      <c r="F83" s="1">
        <f>VLOOKUP($B83,[20]TrtCodes!$B$11:L98,5)</f>
        <v>2</v>
      </c>
      <c r="G83" s="1">
        <f>VLOOKUP($B83,[20]TrtCodes!$B$11:M98,6)</f>
        <v>2</v>
      </c>
      <c r="H83" s="1">
        <f>VLOOKUP($B83,[20]TrtCodes!$B$11:N98,7)</f>
        <v>1</v>
      </c>
      <c r="I83" s="1">
        <f>[20]FormattedData!B55</f>
        <v>2</v>
      </c>
      <c r="J83" s="4">
        <f>[20]FormattedData!C55</f>
        <v>13.417</v>
      </c>
      <c r="K83" s="6">
        <f>$J$3+[20]FormattedData!D55*$J$4+$M$4*$J$5+[20]FormattedData!D55^2*$J$6+$M$5*$J$7</f>
        <v>32.201652338779162</v>
      </c>
      <c r="L83" s="6">
        <f>$J$3+[20]FormattedData!E55*$J$4+$M$4*$J$5+[20]FormattedData!E55^2*$J$6+$M$5*$J$7</f>
        <v>32.779365145342247</v>
      </c>
      <c r="M83" s="6">
        <f>$J$3+[20]FormattedData!F55*$J$4+$M$4*$J$5+[20]FormattedData!F55^2*$J$6+$M$5*$J$7</f>
        <v>30.944721093457986</v>
      </c>
      <c r="N83" s="6">
        <f>$J$3+[20]FormattedData!G55*$J$4+$M$4*$J$5+[20]FormattedData!G55^2*$J$6+$M$5*$J$7</f>
        <v>32.008743254954688</v>
      </c>
      <c r="O83" s="6">
        <f>$J$3+[20]FormattedData!H55*$J$4+$M$4*$J$5+[20]FormattedData!H55^2*$J$6+$M$5*$J$7</f>
        <v>32.105218931135894</v>
      </c>
      <c r="P83" s="6">
        <f>$J$3+[20]FormattedData!I55*$J$4+$M$4*$J$5+[20]FormattedData!I55^2*$J$6+$M$5*$J$7</f>
        <v>32.105218931135894</v>
      </c>
      <c r="Q83" s="6">
        <f>$J$3+[20]FormattedData!J55*$J$4+$M$4*$J$5+[20]FormattedData!J55^2*$J$6+$M$5*$J$7</f>
        <v>31.912225310235549</v>
      </c>
      <c r="R83" s="6">
        <f>$J$3+[20]FormattedData!K55*$J$4+$M$4*$J$5+[20]FormattedData!K55^2*$J$6+$M$5*$J$7</f>
        <v>32.008743254954688</v>
      </c>
      <c r="S83" s="6">
        <f>$J$3+[20]FormattedData!L55*$J$4+$M$4*$J$5+[20]FormattedData!L55^2*$J$6+$M$5*$J$7</f>
        <v>31.815665096978485</v>
      </c>
      <c r="T83" s="6">
        <f>$J$3+[20]FormattedData!M55*$J$4+$M$4*$J$5+[20]FormattedData!M55^2*$J$6+$M$5*$J$7</f>
        <v>32.586963283972949</v>
      </c>
      <c r="U83" s="6">
        <f>$J$3+[20]FormattedData!N55*$J$4+$M$4*$J$5+[20]FormattedData!N55^2*$J$6+$M$5*$J$7</f>
        <v>33.067650923361718</v>
      </c>
      <c r="V83" s="6">
        <f>$J$3+[20]FormattedData!O55*$J$4+$M$4*$J$5+[20]FormattedData!O55^2*$J$6+$M$5*$J$7</f>
        <v>32.779365145342247</v>
      </c>
      <c r="W83" s="5">
        <f t="shared" si="18"/>
        <v>32.192961059137623</v>
      </c>
      <c r="X83" s="4">
        <f t="shared" si="19"/>
        <v>0.1621510876824154</v>
      </c>
      <c r="Y83" s="3">
        <f t="shared" si="20"/>
        <v>30.944721093457986</v>
      </c>
      <c r="Z83" s="2">
        <f t="shared" si="21"/>
        <v>31.984613768774903</v>
      </c>
      <c r="AA83" s="3">
        <f t="shared" si="22"/>
        <v>32.105218931135894</v>
      </c>
      <c r="AB83" s="2">
        <f t="shared" si="23"/>
        <v>32.635063749315272</v>
      </c>
      <c r="AC83" s="2">
        <f t="shared" si="24"/>
        <v>33.067650923361718</v>
      </c>
      <c r="AD83" s="2">
        <f t="shared" si="25"/>
        <v>-0.55454561898204646</v>
      </c>
      <c r="AE83" s="2">
        <f t="shared" si="26"/>
        <v>1.1941609461109755</v>
      </c>
    </row>
    <row r="84" spans="2:31" x14ac:dyDescent="0.2">
      <c r="B84" s="1">
        <f>[20]FormattedData!A51</f>
        <v>906</v>
      </c>
      <c r="C84" s="1" t="str">
        <f>VLOOKUP($B84,[20]TrtCodes!$B$11:I94,2)</f>
        <v>Late</v>
      </c>
      <c r="D84" s="1">
        <f>VLOOKUP($B84,[20]TrtCodes!$B$11:J94,3)</f>
        <v>22</v>
      </c>
      <c r="E84" s="1">
        <f>VLOOKUP($B84,[20]TrtCodes!$B$11:K94,4)</f>
        <v>4</v>
      </c>
      <c r="F84" s="1">
        <f>VLOOKUP($B84,[20]TrtCodes!$B$11:L94,5)</f>
        <v>2</v>
      </c>
      <c r="G84" s="1">
        <f>VLOOKUP($B84,[20]TrtCodes!$B$11:M94,6)</f>
        <v>2</v>
      </c>
      <c r="H84" s="1">
        <f>VLOOKUP($B84,[20]TrtCodes!$B$11:N94,7)</f>
        <v>2</v>
      </c>
      <c r="I84" s="1">
        <f>[20]FormattedData!B51</f>
        <v>2</v>
      </c>
      <c r="J84" s="4">
        <f>[20]FormattedData!C51</f>
        <v>13.394</v>
      </c>
      <c r="K84" s="6">
        <f>$J$3+[20]FormattedData!D51*$J$4+$M$4*$J$5+[20]FormattedData!D51^2*$J$6+$M$5*$J$7</f>
        <v>33.930225756371847</v>
      </c>
      <c r="L84" s="6">
        <f>$J$3+[20]FormattedData!E51*$J$4+$M$4*$J$5+[20]FormattedData!E51^2*$J$6+$M$5*$J$7</f>
        <v>34.216989867025795</v>
      </c>
      <c r="M84" s="6">
        <f>$J$3+[20]FormattedData!F51*$J$4+$M$4*$J$5+[20]FormattedData!F51^2*$J$6+$M$5*$J$7</f>
        <v>33.451440201189975</v>
      </c>
      <c r="N84" s="6">
        <f>$J$3+[20]FormattedData!G51*$J$4+$M$4*$J$5+[20]FormattedData!G51^2*$J$6+$M$5*$J$7</f>
        <v>33.643081228876518</v>
      </c>
      <c r="O84" s="6">
        <f>$J$3+[20]FormattedData!H51*$J$4+$M$4*$J$5+[20]FormattedData!H51^2*$J$6+$M$5*$J$7</f>
        <v>34.216989867025795</v>
      </c>
      <c r="P84" s="6">
        <f>$J$3+[20]FormattedData!I51*$J$4+$M$4*$J$5+[20]FormattedData!I51^2*$J$6+$M$5*$J$7</f>
        <v>33.738838339912888</v>
      </c>
      <c r="Q84" s="6">
        <f>$J$3+[20]FormattedData!J51*$J$4+$M$4*$J$5+[20]FormattedData!J51^2*$J$6+$M$5*$J$7</f>
        <v>32.201652338779162</v>
      </c>
      <c r="R84" s="6">
        <f>$J$3+[20]FormattedData!K51*$J$4+$M$4*$J$5+[20]FormattedData!K51^2*$J$6+$M$5*$J$7</f>
        <v>32.683185348926564</v>
      </c>
      <c r="S84" s="6">
        <f>$J$3+[20]FormattedData!L51*$J$4+$M$4*$J$5+[20]FormattedData!L51^2*$J$6+$M$5*$J$7</f>
        <v>32.105218931135894</v>
      </c>
      <c r="T84" s="6">
        <f>$J$3+[20]FormattedData!M51*$J$4+$M$4*$J$5+[20]FormattedData!M51^2*$J$6+$M$5*$J$7</f>
        <v>33.451440201189975</v>
      </c>
      <c r="U84" s="6">
        <f>$J$3+[20]FormattedData!N51*$J$4+$M$4*$J$5+[20]FormattedData!N51^2*$J$6+$M$5*$J$7</f>
        <v>32.875502673219998</v>
      </c>
      <c r="V84" s="6">
        <f>$J$3+[20]FormattedData!O51*$J$4+$M$4*$J$5+[20]FormattedData!O51^2*$J$6+$M$5*$J$7</f>
        <v>31.912225310235549</v>
      </c>
      <c r="W84" s="5">
        <f t="shared" si="18"/>
        <v>33.202232505324169</v>
      </c>
      <c r="X84" s="4">
        <f t="shared" si="19"/>
        <v>0.23742338315575412</v>
      </c>
      <c r="Y84" s="3">
        <f t="shared" si="20"/>
        <v>31.912225310235549</v>
      </c>
      <c r="Z84" s="2">
        <f t="shared" si="21"/>
        <v>32.562802096389717</v>
      </c>
      <c r="AA84" s="3">
        <f t="shared" si="22"/>
        <v>33.451440201189975</v>
      </c>
      <c r="AB84" s="2">
        <f t="shared" si="23"/>
        <v>33.786685194027626</v>
      </c>
      <c r="AC84" s="2">
        <f t="shared" si="24"/>
        <v>34.216989867025795</v>
      </c>
      <c r="AD84" s="2">
        <f t="shared" si="25"/>
        <v>-0.3718867383217766</v>
      </c>
      <c r="AE84" s="2">
        <f t="shared" si="26"/>
        <v>-1.3355517487676178</v>
      </c>
    </row>
    <row r="85" spans="2:31" x14ac:dyDescent="0.2">
      <c r="B85" s="1">
        <f>[20]FormattedData!A47</f>
        <v>908</v>
      </c>
      <c r="C85" s="1" t="str">
        <f>VLOOKUP($B85,[20]TrtCodes!$B$11:I90,2)</f>
        <v>Early</v>
      </c>
      <c r="D85" s="1">
        <f>VLOOKUP($B85,[20]TrtCodes!$B$11:J90,3)</f>
        <v>21</v>
      </c>
      <c r="E85" s="1">
        <f>VLOOKUP($B85,[20]TrtCodes!$B$11:K90,4)</f>
        <v>3</v>
      </c>
      <c r="F85" s="1">
        <f>VLOOKUP($B85,[20]TrtCodes!$B$11:L90,5)</f>
        <v>2</v>
      </c>
      <c r="G85" s="1">
        <f>VLOOKUP($B85,[20]TrtCodes!$B$11:M90,6)</f>
        <v>2</v>
      </c>
      <c r="H85" s="1">
        <f>VLOOKUP($B85,[20]TrtCodes!$B$11:N90,7)</f>
        <v>2</v>
      </c>
      <c r="I85" s="1">
        <f>[20]FormattedData!B47</f>
        <v>2</v>
      </c>
      <c r="J85" s="4">
        <f>[20]FormattedData!C47</f>
        <v>13.37</v>
      </c>
      <c r="K85" s="6">
        <f>$J$3+[20]FormattedData!D47*$J$4+$M$4*$J$5+[20]FormattedData!D47^2*$J$6+$M$5*$J$7</f>
        <v>32.298043477884505</v>
      </c>
      <c r="L85" s="6">
        <f>$J$3+[20]FormattedData!E47*$J$4+$M$4*$J$5+[20]FormattedData!E47^2*$J$6+$M$5*$J$7</f>
        <v>32.298043477884505</v>
      </c>
      <c r="M85" s="6">
        <f>$J$3+[20]FormattedData!F47*$J$4+$M$4*$J$5+[20]FormattedData!F47^2*$J$6+$M$5*$J$7</f>
        <v>31.719062615183489</v>
      </c>
      <c r="N85" s="6">
        <f>$J$3+[20]FormattedData!G47*$J$4+$M$4*$J$5+[20]FormattedData!G47^2*$J$6+$M$5*$J$7</f>
        <v>32.683185348926564</v>
      </c>
      <c r="O85" s="6">
        <f>$J$3+[20]FormattedData!H47*$J$4+$M$4*$J$5+[20]FormattedData!H47^2*$J$6+$M$5*$J$7</f>
        <v>31.332230002624186</v>
      </c>
      <c r="P85" s="6">
        <f>$J$3+[20]FormattedData!I47*$J$4+$M$4*$J$5+[20]FormattedData!I47^2*$J$6+$M$5*$J$7</f>
        <v>32.298043477884505</v>
      </c>
      <c r="Q85" s="6">
        <f>$J$3+[20]FormattedData!J47*$J$4+$M$4*$J$5+[20]FormattedData!J47^2*$J$6+$M$5*$J$7</f>
        <v>31.332230002624186</v>
      </c>
      <c r="R85" s="6">
        <f>$J$3+[20]FormattedData!K47*$J$4+$M$4*$J$5+[20]FormattedData!K47^2*$J$6+$M$5*$J$7</f>
        <v>31.912225310235549</v>
      </c>
      <c r="S85" s="6">
        <f>$J$3+[20]FormattedData!L47*$J$4+$M$4*$J$5+[20]FormattedData!L47^2*$J$6+$M$5*$J$7</f>
        <v>31.719062615183489</v>
      </c>
      <c r="T85" s="6">
        <f>$J$3+[20]FormattedData!M47*$J$4+$M$4*$J$5+[20]FormattedData!M47^2*$J$6+$M$5*$J$7</f>
        <v>33.25963009935171</v>
      </c>
      <c r="U85" s="6">
        <f>$J$3+[20]FormattedData!N47*$J$4+$M$4*$J$5+[20]FormattedData!N47^2*$J$6+$M$5*$J$7</f>
        <v>32.875502673219998</v>
      </c>
      <c r="V85" s="6">
        <f>$J$3+[20]FormattedData!O47*$J$4+$M$4*$J$5+[20]FormattedData!O47^2*$J$6+$M$5*$J$7</f>
        <v>32.779365145342247</v>
      </c>
      <c r="W85" s="5">
        <f t="shared" si="18"/>
        <v>32.20888535386208</v>
      </c>
      <c r="X85" s="4">
        <f t="shared" si="19"/>
        <v>0.17896180783371618</v>
      </c>
      <c r="Y85" s="3">
        <f t="shared" si="20"/>
        <v>31.332230002624186</v>
      </c>
      <c r="Z85" s="2">
        <f t="shared" si="21"/>
        <v>31.719062615183489</v>
      </c>
      <c r="AA85" s="3">
        <f t="shared" si="22"/>
        <v>32.298043477884505</v>
      </c>
      <c r="AB85" s="2">
        <f t="shared" si="23"/>
        <v>32.707230298030481</v>
      </c>
      <c r="AC85" s="2">
        <f t="shared" si="24"/>
        <v>33.25963009935171</v>
      </c>
      <c r="AD85" s="2">
        <f t="shared" si="25"/>
        <v>6.5104988844269809E-2</v>
      </c>
      <c r="AE85" s="2">
        <f t="shared" si="26"/>
        <v>-0.96383549494765308</v>
      </c>
    </row>
    <row r="88" spans="2:31" x14ac:dyDescent="0.2">
      <c r="W88" s="2"/>
    </row>
  </sheetData>
  <autoFilter ref="B9:AE85" xr:uid="{7F70D785-2246-46F8-A94C-9BA58BCFBF74}"/>
  <conditionalFormatting sqref="K10:V85">
    <cfRule type="cellIs" dxfId="47" priority="1" stopIfTrue="1" operator="lessThan">
      <formula>$W10-$V$5*$X10</formula>
    </cfRule>
    <cfRule type="cellIs" dxfId="46" priority="2" stopIfTrue="1" operator="greaterThan">
      <formula>$W10+$V$5*$X10</formula>
    </cfRule>
  </conditionalFormatting>
  <conditionalFormatting sqref="W10:W85">
    <cfRule type="cellIs" dxfId="45" priority="3" stopIfTrue="1" operator="lessThan">
      <formula>AVERAGE($W$10:$W$41)</formula>
    </cfRule>
    <cfRule type="cellIs" dxfId="4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C24D-4B0E-4A39-A326-A60BE7CF84A9}">
  <sheetPr codeName="Sheet13"/>
  <dimension ref="A1:AI88"/>
  <sheetViews>
    <sheetView topLeftCell="A8" workbookViewId="0">
      <pane xSplit="4" ySplit="2" topLeftCell="P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[21]FormattedData!A1</f>
        <v>Raw data file name - 'IA197.03R'</v>
      </c>
    </row>
    <row r="2" spans="1:35" ht="15" x14ac:dyDescent="0.25">
      <c r="I2" s="32" t="s">
        <v>136</v>
      </c>
      <c r="J2" s="24"/>
      <c r="P2" s="31">
        <f>[21]AncillaryData!C10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[21]AncillaryData!E25</f>
        <v>44.5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"&amp;[21]AncillaryData!C7</f>
        <v>Time Sequence of Midday IRT Temps - FISE 2003 - DOY 197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"&amp;[21]AncillaryData!E25&amp;", VPD = "&amp;ROUND([21]AncillaryData!E29,1)&amp;", Quality = "&amp;[21]AncillaryData!C20&amp;")"</f>
        <v>(Ta = 44.5, VPD = 8.4,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[21]FormattedData!A28</f>
        <v>101</v>
      </c>
      <c r="C10" s="1" t="str">
        <f>VLOOKUP($B10,[21]TrtCodes!$B$11:I71,2)</f>
        <v>FSH</v>
      </c>
      <c r="D10" s="1">
        <f>VLOOKUP($B10,[21]TrtCodes!$B$11:J71,3)</f>
        <v>1</v>
      </c>
      <c r="E10" s="1">
        <f>VLOOKUP($B10,[21]TrtCodes!$B$11:K71,4)</f>
        <v>1</v>
      </c>
      <c r="F10" s="1">
        <f>VLOOKUP($B10,[21]TrtCodes!$B$11:L71,5)</f>
        <v>1</v>
      </c>
      <c r="G10" s="1">
        <f>VLOOKUP($B10,[21]TrtCodes!$B$11:M71,6)</f>
        <v>2</v>
      </c>
      <c r="H10" s="1">
        <f>VLOOKUP($B10,[21]TrtCodes!$B$11:N71,7)</f>
        <v>1</v>
      </c>
      <c r="I10" s="1">
        <f>[21]FormattedData!B28</f>
        <v>1</v>
      </c>
      <c r="J10" s="4">
        <f>[21]FormattedData!C28</f>
        <v>13.191000000000001</v>
      </c>
      <c r="K10" s="6">
        <f>$J$3+[21]FormattedData!D28*$J$4+$M$4*$J$5+[21]FormattedData!D28^2*$J$6+$M$5*$J$7</f>
        <v>42.113323641820983</v>
      </c>
      <c r="L10" s="6">
        <f>$J$3+[21]FormattedData!E28*$J$4+$M$4*$J$5+[21]FormattedData!E28^2*$J$6+$M$5*$J$7</f>
        <v>38.025548313875987</v>
      </c>
      <c r="M10" s="6">
        <f>$J$3+[21]FormattedData!F28*$J$4+$M$4*$J$5+[21]FormattedData!F28^2*$J$6+$M$5*$J$7</f>
        <v>31.93361322432051</v>
      </c>
      <c r="N10" s="6">
        <f>$J$3+[21]FormattedData!G28*$J$4+$M$4*$J$5+[21]FormattedData!G28^2*$J$6+$M$5*$J$7</f>
        <v>37.461784124830181</v>
      </c>
      <c r="O10" s="6">
        <f>$J$3+[21]FormattedData!H28*$J$4+$M$4*$J$5+[21]FormattedData!H28^2*$J$6+$M$5*$J$7</f>
        <v>32.800753059427208</v>
      </c>
      <c r="P10" s="6">
        <f>$J$3+[21]FormattedData!I28*$J$4+$M$4*$J$5+[21]FormattedData!I28^2*$J$6+$M$5*$J$7</f>
        <v>34.333881280919549</v>
      </c>
      <c r="Q10" s="6">
        <f>$J$3+[21]FormattedData!J28*$J$4+$M$4*$J$5+[21]FormattedData!J28^2*$J$6+$M$5*$J$7</f>
        <v>30.577923801769852</v>
      </c>
      <c r="R10" s="6">
        <f>$J$3+[21]FormattedData!K28*$J$4+$M$4*$J$5+[21]FormattedData!K28^2*$J$6+$M$5*$J$7</f>
        <v>35.191510694991734</v>
      </c>
      <c r="S10" s="6">
        <f>$J$3+[21]FormattedData!L28*$J$4+$M$4*$J$5+[21]FormattedData!L28^2*$J$6+$M$5*$J$7</f>
        <v>32.704573263011525</v>
      </c>
      <c r="T10" s="6">
        <f>$J$3+[21]FormattedData!M28*$J$4+$M$4*$J$5+[21]FormattedData!M28^2*$J$6+$M$5*$J$7</f>
        <v>35.476626332666378</v>
      </c>
      <c r="U10" s="6">
        <f>$J$3+[21]FormattedData!N28*$J$4+$M$4*$J$5+[21]FormattedData!N28^2*$J$6+$M$5*$J$7</f>
        <v>36.518795660052675</v>
      </c>
      <c r="V10" s="6">
        <f>$J$3+[21]FormattedData!O28*$J$4+$M$4*$J$5+[21]FormattedData!O28^2*$J$6+$M$5*$J$7</f>
        <v>33.185049559710642</v>
      </c>
      <c r="W10" s="5">
        <f t="shared" ref="W10:W41" si="0">AVERAGE(K10:V10)</f>
        <v>35.026948579783102</v>
      </c>
      <c r="X10" s="4">
        <f t="shared" ref="X10:X41" si="1">STDEV(K10:V10)/SQRT(COUNT(K10:V10))</f>
        <v>0.91773967839279391</v>
      </c>
      <c r="Y10" s="3">
        <f t="shared" ref="Y10:Y41" si="2">MIN(K10:V10)</f>
        <v>30.577923801769852</v>
      </c>
      <c r="Z10" s="2">
        <f t="shared" ref="Z10:Z41" si="3">QUARTILE(K10:V10,1)</f>
        <v>32.776708110323284</v>
      </c>
      <c r="AA10" s="3">
        <f t="shared" ref="AA10:AA41" si="4">MEDIAN(K10:V10)</f>
        <v>34.762695987955638</v>
      </c>
      <c r="AB10" s="2">
        <f t="shared" ref="AB10:AB41" si="5">QUARTILE(K10:V10,3)</f>
        <v>36.75454277624705</v>
      </c>
      <c r="AC10" s="2">
        <f t="shared" ref="AC10:AC41" si="6">MAX(K10:V10)</f>
        <v>42.113323641820983</v>
      </c>
      <c r="AD10" s="2">
        <f t="shared" ref="AD10:AD41" si="7">SKEW(K10:V10)</f>
        <v>0.85851095059642224</v>
      </c>
      <c r="AE10" s="2">
        <f t="shared" ref="AE10:AE41" si="8">KURT(K10:V10)</f>
        <v>0.88975449655090877</v>
      </c>
    </row>
    <row r="11" spans="1:35" x14ac:dyDescent="0.2">
      <c r="B11" s="1">
        <f>[21]FormattedData!A26</f>
        <v>102</v>
      </c>
      <c r="C11" s="1" t="str">
        <f>VLOOKUP($B11,[21]TrtCodes!$B$11:I69,2)</f>
        <v>FTL</v>
      </c>
      <c r="D11" s="1">
        <f>VLOOKUP($B11,[21]TrtCodes!$B$11:J69,3)</f>
        <v>4</v>
      </c>
      <c r="E11" s="1">
        <f>VLOOKUP($B11,[21]TrtCodes!$B$11:K69,4)</f>
        <v>1</v>
      </c>
      <c r="F11" s="1">
        <f>VLOOKUP($B11,[21]TrtCodes!$B$11:L69,5)</f>
        <v>2</v>
      </c>
      <c r="G11" s="1">
        <f>VLOOKUP($B11,[21]TrtCodes!$B$11:M69,6)</f>
        <v>1</v>
      </c>
      <c r="H11" s="1">
        <f>VLOOKUP($B11,[21]TrtCodes!$B$11:N69,7)</f>
        <v>1</v>
      </c>
      <c r="I11" s="1">
        <f>[21]FormattedData!B26</f>
        <v>1</v>
      </c>
      <c r="J11" s="4">
        <f>[21]FormattedData!C26</f>
        <v>13.173</v>
      </c>
      <c r="K11" s="6">
        <f>$J$3+[21]FormattedData!D26*$J$4+$M$4*$J$5+[21]FormattedData!D26^2*$J$6+$M$5*$J$7</f>
        <v>39.428301491766348</v>
      </c>
      <c r="L11" s="6">
        <f>$J$3+[21]FormattedData!E26*$J$4+$M$4*$J$5+[21]FormattedData!E26^2*$J$6+$M$5*$J$7</f>
        <v>31.547118760064663</v>
      </c>
      <c r="M11" s="6">
        <f>$J$3+[21]FormattedData!F26*$J$4+$M$4*$J$5+[21]FormattedData!F26^2*$J$6+$M$5*$J$7</f>
        <v>33.66446914296148</v>
      </c>
      <c r="N11" s="6">
        <f>$J$3+[21]FormattedData!G26*$J$4+$M$4*$J$5+[21]FormattedData!G26^2*$J$6+$M$5*$J$7</f>
        <v>35.286591509421214</v>
      </c>
      <c r="O11" s="6">
        <f>$J$3+[21]FormattedData!H26*$J$4+$M$4*$J$5+[21]FormattedData!H26^2*$J$6+$M$5*$J$7</f>
        <v>30.189062299389853</v>
      </c>
      <c r="P11" s="6">
        <f>$J$3+[21]FormattedData!I26*$J$4+$M$4*$J$5+[21]FormattedData!I26^2*$J$6+$M$5*$J$7</f>
        <v>40.358186709785194</v>
      </c>
      <c r="Q11" s="6">
        <f>$J$3+[21]FormattedData!J26*$J$4+$M$4*$J$5+[21]FormattedData!J26^2*$J$6+$M$5*$J$7</f>
        <v>31.063049637641395</v>
      </c>
      <c r="R11" s="6">
        <f>$J$3+[21]FormattedData!K26*$J$4+$M$4*$J$5+[21]FormattedData!K26^2*$J$6+$M$5*$J$7</f>
        <v>39.521480221988924</v>
      </c>
      <c r="S11" s="6">
        <f>$J$3+[21]FormattedData!L26*$J$4+$M$4*$J$5+[21]FormattedData!L26^2*$J$6+$M$5*$J$7</f>
        <v>30.86912610890657</v>
      </c>
      <c r="T11" s="6">
        <f>$J$3+[21]FormattedData!M26*$J$4+$M$4*$J$5+[21]FormattedData!M26^2*$J$6+$M$5*$J$7</f>
        <v>39.800762801429059</v>
      </c>
      <c r="U11" s="6">
        <f>$J$3+[21]FormattedData!N26*$J$4+$M$4*$J$5+[21]FormattedData!N26^2*$J$6+$M$5*$J$7</f>
        <v>30.577923801769852</v>
      </c>
      <c r="V11" s="6">
        <f>$J$3+[21]FormattedData!O26*$J$4+$M$4*$J$5+[21]FormattedData!O26^2*$J$6+$M$5*$J$7</f>
        <v>32.704573263011525</v>
      </c>
      <c r="W11" s="5">
        <f t="shared" si="0"/>
        <v>34.584220479011343</v>
      </c>
      <c r="X11" s="4">
        <f t="shared" si="1"/>
        <v>1.1808361871568702</v>
      </c>
      <c r="Y11" s="3">
        <f t="shared" si="2"/>
        <v>30.189062299389853</v>
      </c>
      <c r="Z11" s="2">
        <f t="shared" si="3"/>
        <v>31.014568755457688</v>
      </c>
      <c r="AA11" s="3">
        <f t="shared" si="4"/>
        <v>33.184521202986502</v>
      </c>
      <c r="AB11" s="2">
        <f t="shared" si="5"/>
        <v>39.451596174321992</v>
      </c>
      <c r="AC11" s="2">
        <f t="shared" si="6"/>
        <v>40.358186709785194</v>
      </c>
      <c r="AD11" s="2">
        <f t="shared" si="7"/>
        <v>0.46101370906970263</v>
      </c>
      <c r="AE11" s="2">
        <f t="shared" si="8"/>
        <v>-1.7424785374535841</v>
      </c>
    </row>
    <row r="12" spans="1:35" x14ac:dyDescent="0.2">
      <c r="B12" s="1">
        <f>[21]FormattedData!A24</f>
        <v>103</v>
      </c>
      <c r="C12" s="1" t="str">
        <f>VLOOKUP($B12,[21]TrtCodes!$B$11:I67,2)</f>
        <v>FDH</v>
      </c>
      <c r="D12" s="1">
        <f>VLOOKUP($B12,[21]TrtCodes!$B$11:J67,3)</f>
        <v>5</v>
      </c>
      <c r="E12" s="1">
        <f>VLOOKUP($B12,[21]TrtCodes!$B$11:K67,4)</f>
        <v>1</v>
      </c>
      <c r="F12" s="1">
        <f>VLOOKUP($B12,[21]TrtCodes!$B$11:L67,5)</f>
        <v>3</v>
      </c>
      <c r="G12" s="1">
        <f>VLOOKUP($B12,[21]TrtCodes!$B$11:M67,6)</f>
        <v>2</v>
      </c>
      <c r="H12" s="1">
        <f>VLOOKUP($B12,[21]TrtCodes!$B$11:N67,7)</f>
        <v>1</v>
      </c>
      <c r="I12" s="1">
        <f>[21]FormattedData!B24</f>
        <v>1</v>
      </c>
      <c r="J12" s="4">
        <f>[21]FormattedData!C24</f>
        <v>13.156000000000001</v>
      </c>
      <c r="K12" s="6">
        <f>$J$3+[21]FormattedData!D24*$J$4+$M$4*$J$5+[21]FormattedData!D24^2*$J$6+$M$5*$J$7</f>
        <v>32.800753059427208</v>
      </c>
      <c r="L12" s="6">
        <f>$J$3+[21]FormattedData!E24*$J$4+$M$4*$J$5+[21]FormattedData!E24^2*$J$6+$M$5*$J$7</f>
        <v>29.799524500402956</v>
      </c>
      <c r="M12" s="6">
        <f>$J$3+[21]FormattedData!F24*$J$4+$M$4*$J$5+[21]FormattedData!F24^2*$J$6+$M$5*$J$7</f>
        <v>29.70203437931141</v>
      </c>
      <c r="N12" s="6">
        <f>$J$3+[21]FormattedData!G24*$J$4+$M$4*$J$5+[21]FormattedData!G24^2*$J$6+$M$5*$J$7</f>
        <v>31.74045052926845</v>
      </c>
      <c r="O12" s="6">
        <f>$J$3+[21]FormattedData!H24*$J$4+$M$4*$J$5+[21]FormattedData!H24^2*$J$6+$M$5*$J$7</f>
        <v>29.506927331514511</v>
      </c>
      <c r="P12" s="6">
        <f>$J$3+[21]FormattedData!I24*$J$4+$M$4*$J$5+[21]FormattedData!I24^2*$J$6+$M$5*$J$7</f>
        <v>30.86912610890657</v>
      </c>
      <c r="Q12" s="6">
        <f>$J$3+[21]FormattedData!J24*$J$4+$M$4*$J$5+[21]FormattedData!J24^2*$J$6+$M$5*$J$7</f>
        <v>29.213949745784685</v>
      </c>
      <c r="R12" s="6">
        <f>$J$3+[21]FormattedData!K24*$J$4+$M$4*$J$5+[21]FormattedData!K24^2*$J$6+$M$5*$J$7</f>
        <v>31.93361322432051</v>
      </c>
      <c r="S12" s="6">
        <f>$J$3+[21]FormattedData!L24*$J$4+$M$4*$J$5+[21]FormattedData!L24^2*$J$6+$M$5*$J$7</f>
        <v>29.799524500402956</v>
      </c>
      <c r="T12" s="6">
        <f>$J$3+[21]FormattedData!M24*$J$4+$M$4*$J$5+[21]FormattedData!M24^2*$J$6+$M$5*$J$7</f>
        <v>32.992985846644785</v>
      </c>
      <c r="U12" s="6">
        <f>$J$3+[21]FormattedData!N24*$J$4+$M$4*$J$5+[21]FormattedData!N24^2*$J$6+$M$5*$J$7</f>
        <v>32.704573263011525</v>
      </c>
      <c r="V12" s="6">
        <f>$J$3+[21]FormattedData!O24*$J$4+$M$4*$J$5+[21]FormattedData!O24^2*$J$6+$M$5*$J$7</f>
        <v>32.126606845220856</v>
      </c>
      <c r="W12" s="5">
        <f t="shared" si="0"/>
        <v>31.099172444518036</v>
      </c>
      <c r="X12" s="4">
        <f t="shared" si="1"/>
        <v>0.41464445151403029</v>
      </c>
      <c r="Y12" s="3">
        <f t="shared" si="2"/>
        <v>29.213949745784685</v>
      </c>
      <c r="Z12" s="2">
        <f t="shared" si="3"/>
        <v>29.775151970130068</v>
      </c>
      <c r="AA12" s="3">
        <f t="shared" si="4"/>
        <v>31.30478831908751</v>
      </c>
      <c r="AB12" s="2">
        <f t="shared" si="5"/>
        <v>32.271098449668521</v>
      </c>
      <c r="AC12" s="2">
        <f t="shared" si="6"/>
        <v>32.992985846644785</v>
      </c>
      <c r="AD12" s="2">
        <f t="shared" si="7"/>
        <v>-2.9773544403982164E-3</v>
      </c>
      <c r="AE12" s="2">
        <f t="shared" si="8"/>
        <v>-1.8775324003157361</v>
      </c>
    </row>
    <row r="13" spans="1:35" x14ac:dyDescent="0.2">
      <c r="B13" s="1">
        <f>[21]FormattedData!A22</f>
        <v>104</v>
      </c>
      <c r="C13" s="1" t="str">
        <f>VLOOKUP($B13,[21]TrtCodes!$B$11:I65,2)</f>
        <v>NTL</v>
      </c>
      <c r="D13" s="1">
        <f>VLOOKUP($B13,[21]TrtCodes!$B$11:J65,3)</f>
        <v>10</v>
      </c>
      <c r="E13" s="1">
        <f>VLOOKUP($B13,[21]TrtCodes!$B$11:K65,4)</f>
        <v>2</v>
      </c>
      <c r="F13" s="1">
        <f>VLOOKUP($B13,[21]TrtCodes!$B$11:L65,5)</f>
        <v>2</v>
      </c>
      <c r="G13" s="1">
        <f>VLOOKUP($B13,[21]TrtCodes!$B$11:M65,6)</f>
        <v>1</v>
      </c>
      <c r="H13" s="1">
        <f>VLOOKUP($B13,[21]TrtCodes!$B$11:N65,7)</f>
        <v>1</v>
      </c>
      <c r="I13" s="1">
        <f>[21]FormattedData!B22</f>
        <v>1</v>
      </c>
      <c r="J13" s="4">
        <f>[21]FormattedData!C22</f>
        <v>13.138999999999999</v>
      </c>
      <c r="K13" s="6">
        <f>$J$3+[21]FormattedData!D22*$J$4+$M$4*$J$5+[21]FormattedData!D22^2*$J$6+$M$5*$J$7</f>
        <v>35.571580341482061</v>
      </c>
      <c r="L13" s="6">
        <f>$J$3+[21]FormattedData!E22*$J$4+$M$4*$J$5+[21]FormattedData!E22^2*$J$6+$M$5*$J$7</f>
        <v>32.512086864566356</v>
      </c>
      <c r="M13" s="6">
        <f>$J$3+[21]FormattedData!F22*$J$4+$M$4*$J$5+[21]FormattedData!F22^2*$J$6+$M$5*$J$7</f>
        <v>31.256804092224488</v>
      </c>
      <c r="N13" s="6">
        <f>$J$3+[21]FormattedData!G22*$J$4+$M$4*$J$5+[21]FormattedData!G22^2*$J$6+$M$5*$J$7</f>
        <v>30.675033506020021</v>
      </c>
      <c r="O13" s="6">
        <f>$J$3+[21]FormattedData!H22*$J$4+$M$4*$J$5+[21]FormattedData!H22^2*$J$6+$M$5*$J$7</f>
        <v>30.86912610890657</v>
      </c>
      <c r="P13" s="6">
        <f>$J$3+[21]FormattedData!I22*$J$4+$M$4*$J$5+[21]FormattedData!I22^2*$J$6+$M$5*$J$7</f>
        <v>32.030131169039649</v>
      </c>
      <c r="Q13" s="6">
        <f>$J$3+[21]FormattedData!J22*$J$4+$M$4*$J$5+[21]FormattedData!J22^2*$J$6+$M$5*$J$7</f>
        <v>33.185049559710642</v>
      </c>
      <c r="R13" s="6">
        <f>$J$3+[21]FormattedData!K22*$J$4+$M$4*$J$5+[21]FormattedData!K22^2*$J$6+$M$5*$J$7</f>
        <v>30.675033506020021</v>
      </c>
      <c r="S13" s="6">
        <f>$J$3+[21]FormattedData!L22*$J$4+$M$4*$J$5+[21]FormattedData!L22^2*$J$6+$M$5*$J$7</f>
        <v>33.568669763387177</v>
      </c>
      <c r="T13" s="6">
        <f>$J$3+[21]FormattedData!M22*$J$4+$M$4*$J$5+[21]FormattedData!M22^2*$J$6+$M$5*$J$7</f>
        <v>30.091741252450031</v>
      </c>
      <c r="U13" s="6">
        <f>$J$3+[21]FormattedData!N22*$J$4+$M$4*$J$5+[21]FormattedData!N22^2*$J$6+$M$5*$J$7</f>
        <v>35.191510694991734</v>
      </c>
      <c r="V13" s="6">
        <f>$J$3+[21]FormattedData!O22*$J$4+$M$4*$J$5+[21]FormattedData!O22^2*$J$6+$M$5*$J$7</f>
        <v>29.213949745784685</v>
      </c>
      <c r="W13" s="5">
        <f t="shared" si="0"/>
        <v>32.070059717048622</v>
      </c>
      <c r="X13" s="4">
        <f t="shared" si="1"/>
        <v>0.57575411823723321</v>
      </c>
      <c r="Y13" s="3">
        <f t="shared" si="2"/>
        <v>29.213949745784685</v>
      </c>
      <c r="Z13" s="2">
        <f t="shared" si="3"/>
        <v>30.675033506020021</v>
      </c>
      <c r="AA13" s="3">
        <f t="shared" si="4"/>
        <v>31.643467630632067</v>
      </c>
      <c r="AB13" s="2">
        <f t="shared" si="5"/>
        <v>33.280954610629777</v>
      </c>
      <c r="AC13" s="2">
        <f t="shared" si="6"/>
        <v>35.571580341482061</v>
      </c>
      <c r="AD13" s="2">
        <f t="shared" si="7"/>
        <v>0.54233279627677689</v>
      </c>
      <c r="AE13" s="2">
        <f t="shared" si="8"/>
        <v>-0.60934310240696155</v>
      </c>
    </row>
    <row r="14" spans="1:35" x14ac:dyDescent="0.2">
      <c r="B14" s="1">
        <f>[21]FormattedData!A20</f>
        <v>105</v>
      </c>
      <c r="C14" s="1" t="str">
        <f>VLOOKUP($B14,[21]TrtCodes!$B$11:I63,2)</f>
        <v>NDL</v>
      </c>
      <c r="D14" s="1">
        <f>VLOOKUP($B14,[21]TrtCodes!$B$11:J63,3)</f>
        <v>12</v>
      </c>
      <c r="E14" s="1">
        <f>VLOOKUP($B14,[21]TrtCodes!$B$11:K63,4)</f>
        <v>2</v>
      </c>
      <c r="F14" s="1">
        <f>VLOOKUP($B14,[21]TrtCodes!$B$11:L63,5)</f>
        <v>3</v>
      </c>
      <c r="G14" s="1">
        <f>VLOOKUP($B14,[21]TrtCodes!$B$11:M63,6)</f>
        <v>1</v>
      </c>
      <c r="H14" s="1">
        <f>VLOOKUP($B14,[21]TrtCodes!$B$11:N63,7)</f>
        <v>2</v>
      </c>
      <c r="I14" s="1">
        <f>[21]FormattedData!B20</f>
        <v>1</v>
      </c>
      <c r="J14" s="4">
        <f>[21]FormattedData!C20</f>
        <v>13.121</v>
      </c>
      <c r="K14" s="6">
        <f>$J$3+[21]FormattedData!D20*$J$4+$M$4*$J$5+[21]FormattedData!D20^2*$J$6+$M$5*$J$7</f>
        <v>31.74045052926845</v>
      </c>
      <c r="L14" s="6">
        <f>$J$3+[21]FormattedData!E20*$J$4+$M$4*$J$5+[21]FormattedData!E20^2*$J$6+$M$5*$J$7</f>
        <v>30.772100941732258</v>
      </c>
      <c r="M14" s="6">
        <f>$J$3+[21]FormattedData!F20*$J$4+$M$4*$J$5+[21]FormattedData!F20^2*$J$6+$M$5*$J$7</f>
        <v>30.772100941732258</v>
      </c>
      <c r="N14" s="6">
        <f>$J$3+[21]FormattedData!G20*$J$4+$M$4*$J$5+[21]FormattedData!G20^2*$J$6+$M$5*$J$7</f>
        <v>32.319431391969466</v>
      </c>
      <c r="O14" s="6">
        <f>$J$3+[21]FormattedData!H20*$J$4+$M$4*$J$5+[21]FormattedData!H20^2*$J$6+$M$5*$J$7</f>
        <v>32.126606845220856</v>
      </c>
      <c r="P14" s="6">
        <f>$J$3+[21]FormattedData!I20*$J$4+$M$4*$J$5+[21]FormattedData!I20^2*$J$6+$M$5*$J$7</f>
        <v>32.223040252864124</v>
      </c>
      <c r="Q14" s="6">
        <f>$J$3+[21]FormattedData!J20*$J$4+$M$4*$J$5+[21]FormattedData!J20^2*$J$6+$M$5*$J$7</f>
        <v>31.063049637641395</v>
      </c>
      <c r="R14" s="6">
        <f>$J$3+[21]FormattedData!K20*$J$4+$M$4*$J$5+[21]FormattedData!K20^2*$J$6+$M$5*$J$7</f>
        <v>32.800753059427208</v>
      </c>
      <c r="S14" s="6">
        <f>$J$3+[21]FormattedData!L20*$J$4+$M$4*$J$5+[21]FormattedData!L20^2*$J$6+$M$5*$J$7</f>
        <v>29.994377936972267</v>
      </c>
      <c r="T14" s="6">
        <f>$J$3+[21]FormattedData!M20*$J$4+$M$4*$J$5+[21]FormattedData!M20^2*$J$6+$M$5*$J$7</f>
        <v>34.715472594775385</v>
      </c>
      <c r="U14" s="6">
        <f>$J$3+[21]FormattedData!N20*$J$4+$M$4*$J$5+[21]FormattedData!N20^2*$J$6+$M$5*$J$7</f>
        <v>30.675033506020021</v>
      </c>
      <c r="V14" s="6">
        <f>$J$3+[21]FormattedData!O20*$J$4+$M$4*$J$5+[21]FormattedData!O20^2*$J$6+$M$5*$J$7</f>
        <v>31.643805778935519</v>
      </c>
      <c r="W14" s="5">
        <f t="shared" si="0"/>
        <v>31.737185284713274</v>
      </c>
      <c r="X14" s="4">
        <f t="shared" si="1"/>
        <v>0.36118067269129051</v>
      </c>
      <c r="Y14" s="3">
        <f t="shared" si="2"/>
        <v>29.994377936972267</v>
      </c>
      <c r="Z14" s="2">
        <f t="shared" si="3"/>
        <v>30.772100941732258</v>
      </c>
      <c r="AA14" s="3">
        <f t="shared" si="4"/>
        <v>31.692128154101987</v>
      </c>
      <c r="AB14" s="2">
        <f t="shared" si="5"/>
        <v>32.247138037640461</v>
      </c>
      <c r="AC14" s="2">
        <f t="shared" si="6"/>
        <v>34.715472594775385</v>
      </c>
      <c r="AD14" s="2">
        <f t="shared" si="7"/>
        <v>1.0802961330764289</v>
      </c>
      <c r="AE14" s="2">
        <f t="shared" si="8"/>
        <v>1.9206789355158866</v>
      </c>
    </row>
    <row r="15" spans="1:35" x14ac:dyDescent="0.2">
      <c r="B15" s="1">
        <f>[21]FormattedData!A18</f>
        <v>106</v>
      </c>
      <c r="C15" s="1" t="str">
        <f>VLOOKUP($B15,[21]TrtCodes!$B$11:I61,2)</f>
        <v>NTH</v>
      </c>
      <c r="D15" s="1">
        <f>VLOOKUP($B15,[21]TrtCodes!$B$11:J61,3)</f>
        <v>9</v>
      </c>
      <c r="E15" s="1">
        <f>VLOOKUP($B15,[21]TrtCodes!$B$11:K61,4)</f>
        <v>2</v>
      </c>
      <c r="F15" s="1">
        <f>VLOOKUP($B15,[21]TrtCodes!$B$11:L61,5)</f>
        <v>2</v>
      </c>
      <c r="G15" s="1">
        <f>VLOOKUP($B15,[21]TrtCodes!$B$11:M61,6)</f>
        <v>2</v>
      </c>
      <c r="H15" s="1">
        <f>VLOOKUP($B15,[21]TrtCodes!$B$11:N61,7)</f>
        <v>2</v>
      </c>
      <c r="I15" s="1">
        <f>[21]FormattedData!B18</f>
        <v>1</v>
      </c>
      <c r="J15" s="4">
        <f>[21]FormattedData!C18</f>
        <v>13.103999999999999</v>
      </c>
      <c r="K15" s="6">
        <f>$J$3+[21]FormattedData!D18*$J$4+$M$4*$J$5+[21]FormattedData!D18^2*$J$6+$M$5*$J$7</f>
        <v>35.476626332666378</v>
      </c>
      <c r="L15" s="6">
        <f>$J$3+[21]FormattedData!E18*$J$4+$M$4*$J$5+[21]FormattedData!E18^2*$J$6+$M$5*$J$7</f>
        <v>31.159947999201908</v>
      </c>
      <c r="M15" s="6">
        <f>$J$3+[21]FormattedData!F18*$J$4+$M$4*$J$5+[21]FormattedData!F18^2*$J$6+$M$5*$J$7</f>
        <v>30.675033506020021</v>
      </c>
      <c r="N15" s="6">
        <f>$J$3+[21]FormattedData!G18*$J$4+$M$4*$J$5+[21]FormattedData!G18^2*$J$6+$M$5*$J$7</f>
        <v>31.643805778935519</v>
      </c>
      <c r="O15" s="6">
        <f>$J$3+[21]FormattedData!H18*$J$4+$M$4*$J$5+[21]FormattedData!H18^2*$J$6+$M$5*$J$7</f>
        <v>31.643805778935519</v>
      </c>
      <c r="P15" s="6">
        <f>$J$3+[21]FormattedData!I18*$J$4+$M$4*$J$5+[21]FormattedData!I18^2*$J$6+$M$5*$J$7</f>
        <v>31.547118760064663</v>
      </c>
      <c r="Q15" s="6">
        <f>$J$3+[21]FormattedData!J18*$J$4+$M$4*$J$5+[21]FormattedData!J18^2*$J$6+$M$5*$J$7</f>
        <v>32.800753059427208</v>
      </c>
      <c r="R15" s="6">
        <f>$J$3+[21]FormattedData!K18*$J$4+$M$4*$J$5+[21]FormattedData!K18^2*$J$6+$M$5*$J$7</f>
        <v>32.223040252864124</v>
      </c>
      <c r="S15" s="6">
        <f>$J$3+[21]FormattedData!L18*$J$4+$M$4*$J$5+[21]FormattedData!L18^2*$J$6+$M$5*$J$7</f>
        <v>33.37694419862477</v>
      </c>
      <c r="T15" s="6">
        <f>$J$3+[21]FormattedData!M18*$J$4+$M$4*$J$5+[21]FormattedData!M18^2*$J$6+$M$5*$J$7</f>
        <v>31.256804092224488</v>
      </c>
      <c r="U15" s="6">
        <f>$J$3+[21]FormattedData!N18*$J$4+$M$4*$J$5+[21]FormattedData!N18^2*$J$6+$M$5*$J$7</f>
        <v>35.856188756701521</v>
      </c>
      <c r="V15" s="6">
        <f>$J$3+[21]FormattedData!O18*$J$4+$M$4*$J$5+[21]FormattedData!O18^2*$J$6+$M$5*$J$7</f>
        <v>31.450389472655864</v>
      </c>
      <c r="W15" s="5">
        <f t="shared" si="0"/>
        <v>32.425871499026833</v>
      </c>
      <c r="X15" s="4">
        <f t="shared" si="1"/>
        <v>0.48572140388890972</v>
      </c>
      <c r="Y15" s="3">
        <f t="shared" si="2"/>
        <v>30.675033506020021</v>
      </c>
      <c r="Z15" s="2">
        <f t="shared" si="3"/>
        <v>31.401993127548021</v>
      </c>
      <c r="AA15" s="3">
        <f t="shared" si="4"/>
        <v>31.643805778935519</v>
      </c>
      <c r="AB15" s="2">
        <f t="shared" si="5"/>
        <v>32.944800844226599</v>
      </c>
      <c r="AC15" s="2">
        <f t="shared" si="6"/>
        <v>35.856188756701521</v>
      </c>
      <c r="AD15" s="2">
        <f t="shared" si="7"/>
        <v>1.3306884889153225</v>
      </c>
      <c r="AE15" s="2">
        <f t="shared" si="8"/>
        <v>0.72450045826398846</v>
      </c>
    </row>
    <row r="16" spans="1:35" x14ac:dyDescent="0.2">
      <c r="B16" s="1">
        <f>[21]FormattedData!A16</f>
        <v>107</v>
      </c>
      <c r="C16" s="1" t="str">
        <f>VLOOKUP($B16,[21]TrtCodes!$B$11:I59,2)</f>
        <v>NTL</v>
      </c>
      <c r="D16" s="1">
        <f>VLOOKUP($B16,[21]TrtCodes!$B$11:J59,3)</f>
        <v>10</v>
      </c>
      <c r="E16" s="1">
        <f>VLOOKUP($B16,[21]TrtCodes!$B$11:K59,4)</f>
        <v>2</v>
      </c>
      <c r="F16" s="1">
        <f>VLOOKUP($B16,[21]TrtCodes!$B$11:L59,5)</f>
        <v>2</v>
      </c>
      <c r="G16" s="1">
        <f>VLOOKUP($B16,[21]TrtCodes!$B$11:M59,6)</f>
        <v>1</v>
      </c>
      <c r="H16" s="1">
        <f>VLOOKUP($B16,[21]TrtCodes!$B$11:N59,7)</f>
        <v>2</v>
      </c>
      <c r="I16" s="1">
        <f>[21]FormattedData!B16</f>
        <v>1</v>
      </c>
      <c r="J16" s="4">
        <f>[21]FormattedData!C16</f>
        <v>13.087</v>
      </c>
      <c r="K16" s="6">
        <f>$J$3+[21]FormattedData!D16*$J$4+$M$4*$J$5+[21]FormattedData!D16^2*$J$6+$M$5*$J$7</f>
        <v>36.896498268418846</v>
      </c>
      <c r="L16" s="6">
        <f>$J$3+[21]FormattedData!E16*$J$4+$M$4*$J$5+[21]FormattedData!E16^2*$J$6+$M$5*$J$7</f>
        <v>31.93361322432051</v>
      </c>
      <c r="M16" s="6">
        <f>$J$3+[21]FormattedData!F16*$J$4+$M$4*$J$5+[21]FormattedData!F16^2*$J$6+$M$5*$J$7</f>
        <v>35.096387612024337</v>
      </c>
      <c r="N16" s="6">
        <f>$J$3+[21]FormattedData!G16*$J$4+$M$4*$J$5+[21]FormattedData!G16^2*$J$6+$M$5*$J$7</f>
        <v>31.159947999201908</v>
      </c>
      <c r="O16" s="6">
        <f>$J$3+[21]FormattedData!H16*$J$4+$M$4*$J$5+[21]FormattedData!H16^2*$J$6+$M$5*$J$7</f>
        <v>31.159947999201908</v>
      </c>
      <c r="P16" s="6">
        <f>$J$3+[21]FormattedData!I16*$J$4+$M$4*$J$5+[21]FormattedData!I16^2*$J$6+$M$5*$J$7</f>
        <v>34.333881280919549</v>
      </c>
      <c r="Q16" s="6">
        <f>$J$3+[21]FormattedData!J16*$J$4+$M$4*$J$5+[21]FormattedData!J16^2*$J$6+$M$5*$J$7</f>
        <v>32.800753059427208</v>
      </c>
      <c r="R16" s="6">
        <f>$J$3+[21]FormattedData!K16*$J$4+$M$4*$J$5+[21]FormattedData!K16^2*$J$6+$M$5*$J$7</f>
        <v>30.286341077791747</v>
      </c>
      <c r="S16" s="6">
        <f>$J$3+[21]FormattedData!L16*$J$4+$M$4*$J$5+[21]FormattedData!L16^2*$J$6+$M$5*$J$7</f>
        <v>32.896890587304959</v>
      </c>
      <c r="T16" s="6">
        <f>$J$3+[21]FormattedData!M16*$J$4+$M$4*$J$5+[21]FormattedData!M16^2*$J$6+$M$5*$J$7</f>
        <v>33.472828115274936</v>
      </c>
      <c r="U16" s="6">
        <f>$J$3+[21]FormattedData!N16*$J$4+$M$4*$J$5+[21]FormattedData!N16^2*$J$6+$M$5*$J$7</f>
        <v>30.480771828981744</v>
      </c>
      <c r="V16" s="6">
        <f>$J$3+[21]FormattedData!O16*$J$4+$M$4*$J$5+[21]FormattedData!O16^2*$J$6+$M$5*$J$7</f>
        <v>34.238377781110756</v>
      </c>
      <c r="W16" s="5">
        <f t="shared" si="0"/>
        <v>32.896353236164863</v>
      </c>
      <c r="X16" s="4">
        <f t="shared" si="1"/>
        <v>0.58162887057502233</v>
      </c>
      <c r="Y16" s="3">
        <f t="shared" si="2"/>
        <v>30.286341077791747</v>
      </c>
      <c r="Z16" s="2">
        <f t="shared" si="3"/>
        <v>31.159947999201908</v>
      </c>
      <c r="AA16" s="3">
        <f t="shared" si="4"/>
        <v>32.84882182336608</v>
      </c>
      <c r="AB16" s="2">
        <f t="shared" si="5"/>
        <v>34.262253656062953</v>
      </c>
      <c r="AC16" s="2">
        <f t="shared" si="6"/>
        <v>36.896498268418846</v>
      </c>
      <c r="AD16" s="2">
        <f t="shared" si="7"/>
        <v>0.49343619810104927</v>
      </c>
      <c r="AE16" s="2">
        <f t="shared" si="8"/>
        <v>-0.33687707745867623</v>
      </c>
    </row>
    <row r="17" spans="2:31" x14ac:dyDescent="0.2">
      <c r="B17" s="1">
        <f>[21]FormattedData!A14</f>
        <v>108</v>
      </c>
      <c r="C17" s="1" t="str">
        <f>VLOOKUP($B17,[21]TrtCodes!$B$11:I57,2)</f>
        <v>FTH</v>
      </c>
      <c r="D17" s="1">
        <f>VLOOKUP($B17,[21]TrtCodes!$B$11:J57,3)</f>
        <v>3</v>
      </c>
      <c r="E17" s="1">
        <f>VLOOKUP($B17,[21]TrtCodes!$B$11:K57,4)</f>
        <v>1</v>
      </c>
      <c r="F17" s="1">
        <f>VLOOKUP($B17,[21]TrtCodes!$B$11:L57,5)</f>
        <v>2</v>
      </c>
      <c r="G17" s="1">
        <f>VLOOKUP($B17,[21]TrtCodes!$B$11:M57,6)</f>
        <v>2</v>
      </c>
      <c r="H17" s="1">
        <f>VLOOKUP($B17,[21]TrtCodes!$B$11:N57,7)</f>
        <v>2</v>
      </c>
      <c r="I17" s="1">
        <f>[21]FormattedData!B14</f>
        <v>1</v>
      </c>
      <c r="J17" s="4">
        <f>[21]FormattedData!C14</f>
        <v>13.069000000000001</v>
      </c>
      <c r="K17" s="6">
        <f>$J$3+[21]FormattedData!D14*$J$4+$M$4*$J$5+[21]FormattedData!D14^2*$J$6+$M$5*$J$7</f>
        <v>34.906014640475718</v>
      </c>
      <c r="L17" s="6">
        <f>$J$3+[21]FormattedData!E14*$J$4+$M$4*$J$5+[21]FormattedData!E14^2*$J$6+$M$5*$J$7</f>
        <v>33.185049559710642</v>
      </c>
      <c r="M17" s="6">
        <f>$J$3+[21]FormattedData!F14*$J$4+$M$4*$J$5+[21]FormattedData!F14^2*$J$6+$M$5*$J$7</f>
        <v>31.063049637641395</v>
      </c>
      <c r="N17" s="6">
        <f>$J$3+[21]FormattedData!G14*$J$4+$M$4*$J$5+[21]FormattedData!G14^2*$J$6+$M$5*$J$7</f>
        <v>32.030131169039649</v>
      </c>
      <c r="O17" s="6">
        <f>$J$3+[21]FormattedData!H14*$J$4+$M$4*$J$5+[21]FormattedData!H14^2*$J$6+$M$5*$J$7</f>
        <v>31.256804092224488</v>
      </c>
      <c r="P17" s="6">
        <f>$J$3+[21]FormattedData!I14*$J$4+$M$4*$J$5+[21]FormattedData!I14^2*$J$6+$M$5*$J$7</f>
        <v>32.41578026253687</v>
      </c>
      <c r="Q17" s="6">
        <f>$J$3+[21]FormattedData!J14*$J$4+$M$4*$J$5+[21]FormattedData!J14^2*$J$6+$M$5*$J$7</f>
        <v>36.518795660052675</v>
      </c>
      <c r="R17" s="6">
        <f>$J$3+[21]FormattedData!K14*$J$4+$M$4*$J$5+[21]FormattedData!K14^2*$J$6+$M$5*$J$7</f>
        <v>32.704573263011525</v>
      </c>
      <c r="S17" s="6">
        <f>$J$3+[21]FormattedData!L14*$J$4+$M$4*$J$5+[21]FormattedData!L14^2*$J$6+$M$5*$J$7</f>
        <v>30.577923801769852</v>
      </c>
      <c r="T17" s="6">
        <f>$J$3+[21]FormattedData!M14*$J$4+$M$4*$J$5+[21]FormattedData!M14^2*$J$6+$M$5*$J$7</f>
        <v>31.74045052926845</v>
      </c>
      <c r="U17" s="6">
        <f>$J$3+[21]FormattedData!N14*$J$4+$M$4*$J$5+[21]FormattedData!N14^2*$J$6+$M$5*$J$7</f>
        <v>34.333881280919549</v>
      </c>
      <c r="V17" s="6">
        <f>$J$3+[21]FormattedData!O14*$J$4+$M$4*$J$5+[21]FormattedData!O14^2*$J$6+$M$5*$J$7</f>
        <v>32.319431391969466</v>
      </c>
      <c r="W17" s="5">
        <f t="shared" si="0"/>
        <v>32.754323774051691</v>
      </c>
      <c r="X17" s="4">
        <f t="shared" si="1"/>
        <v>0.50136065708615185</v>
      </c>
      <c r="Y17" s="3">
        <f t="shared" si="2"/>
        <v>30.577923801769852</v>
      </c>
      <c r="Z17" s="2">
        <f t="shared" si="3"/>
        <v>31.619538920007461</v>
      </c>
      <c r="AA17" s="3">
        <f t="shared" si="4"/>
        <v>32.367605827253172</v>
      </c>
      <c r="AB17" s="2">
        <f t="shared" si="5"/>
        <v>33.472257490012865</v>
      </c>
      <c r="AC17" s="2">
        <f t="shared" si="6"/>
        <v>36.518795660052675</v>
      </c>
      <c r="AD17" s="2">
        <f t="shared" si="7"/>
        <v>0.98460077226362119</v>
      </c>
      <c r="AE17" s="2">
        <f t="shared" si="8"/>
        <v>0.56570254178284785</v>
      </c>
    </row>
    <row r="18" spans="2:31" x14ac:dyDescent="0.2">
      <c r="B18" s="1">
        <f>[21]FormattedData!A30</f>
        <v>201</v>
      </c>
      <c r="C18" s="1" t="str">
        <f>VLOOKUP($B18,[21]TrtCodes!$B$11:I73,2)</f>
        <v>NDL</v>
      </c>
      <c r="D18" s="1">
        <f>VLOOKUP($B18,[21]TrtCodes!$B$11:J73,3)</f>
        <v>12</v>
      </c>
      <c r="E18" s="1">
        <f>VLOOKUP($B18,[21]TrtCodes!$B$11:K73,4)</f>
        <v>2</v>
      </c>
      <c r="F18" s="1">
        <f>VLOOKUP($B18,[21]TrtCodes!$B$11:L73,5)</f>
        <v>3</v>
      </c>
      <c r="G18" s="1">
        <f>VLOOKUP($B18,[21]TrtCodes!$B$11:M73,6)</f>
        <v>1</v>
      </c>
      <c r="H18" s="1">
        <f>VLOOKUP($B18,[21]TrtCodes!$B$11:N73,7)</f>
        <v>1</v>
      </c>
      <c r="I18" s="1">
        <f>[21]FormattedData!B30</f>
        <v>1</v>
      </c>
      <c r="J18" s="4">
        <f>[21]FormattedData!C30</f>
        <v>13.212</v>
      </c>
      <c r="K18" s="6">
        <f>$J$3+[21]FormattedData!D30*$J$4+$M$4*$J$5+[21]FormattedData!D30^2*$J$6+$M$5*$J$7</f>
        <v>33.08903883744668</v>
      </c>
      <c r="L18" s="6">
        <f>$J$3+[21]FormattedData!E30*$J$4+$M$4*$J$5+[21]FormattedData!E30^2*$J$6+$M$5*$J$7</f>
        <v>32.223040252864124</v>
      </c>
      <c r="M18" s="6">
        <f>$J$3+[21]FormattedData!F30*$J$4+$M$4*$J$5+[21]FormattedData!F30^2*$J$6+$M$5*$J$7</f>
        <v>33.568669763387177</v>
      </c>
      <c r="N18" s="6">
        <f>$J$3+[21]FormattedData!G30*$J$4+$M$4*$J$5+[21]FormattedData!G30^2*$J$6+$M$5*$J$7</f>
        <v>31.93361322432051</v>
      </c>
      <c r="O18" s="6">
        <f>$J$3+[21]FormattedData!H30*$J$4+$M$4*$J$5+[21]FormattedData!H30^2*$J$6+$M$5*$J$7</f>
        <v>30.772100941732258</v>
      </c>
      <c r="P18" s="6">
        <f>$J$3+[21]FormattedData!I30*$J$4+$M$4*$J$5+[21]FormattedData!I30^2*$J$6+$M$5*$J$7</f>
        <v>32.223040252864124</v>
      </c>
      <c r="Q18" s="6">
        <f>$J$3+[21]FormattedData!J30*$J$4+$M$4*$J$5+[21]FormattedData!J30^2*$J$6+$M$5*$J$7</f>
        <v>31.74045052926845</v>
      </c>
      <c r="R18" s="6">
        <f>$J$3+[21]FormattedData!K30*$J$4+$M$4*$J$5+[21]FormattedData!K30^2*$J$6+$M$5*$J$7</f>
        <v>32.41578026253687</v>
      </c>
      <c r="S18" s="6">
        <f>$J$3+[21]FormattedData!L30*$J$4+$M$4*$J$5+[21]FormattedData!L30^2*$J$6+$M$5*$J$7</f>
        <v>31.643805778935519</v>
      </c>
      <c r="T18" s="6">
        <f>$J$3+[21]FormattedData!M30*$J$4+$M$4*$J$5+[21]FormattedData!M30^2*$J$6+$M$5*$J$7</f>
        <v>31.063049637641395</v>
      </c>
      <c r="U18" s="6">
        <f>$J$3+[21]FormattedData!N30*$J$4+$M$4*$J$5+[21]FormattedData!N30^2*$J$6+$M$5*$J$7</f>
        <v>31.159947999201908</v>
      </c>
      <c r="V18" s="6">
        <f>$J$3+[21]FormattedData!O30*$J$4+$M$4*$J$5+[21]FormattedData!O30^2*$J$6+$M$5*$J$7</f>
        <v>31.547118760064663</v>
      </c>
      <c r="W18" s="5">
        <f t="shared" si="0"/>
        <v>31.94830468668864</v>
      </c>
      <c r="X18" s="4">
        <f t="shared" si="1"/>
        <v>0.23648430343409413</v>
      </c>
      <c r="Y18" s="3">
        <f t="shared" si="2"/>
        <v>30.772100941732258</v>
      </c>
      <c r="Z18" s="2">
        <f t="shared" si="3"/>
        <v>31.450326069848973</v>
      </c>
      <c r="AA18" s="3">
        <f t="shared" si="4"/>
        <v>31.83703187679448</v>
      </c>
      <c r="AB18" s="2">
        <f t="shared" si="5"/>
        <v>32.27122525528231</v>
      </c>
      <c r="AC18" s="2">
        <f t="shared" si="6"/>
        <v>33.568669763387177</v>
      </c>
      <c r="AD18" s="2">
        <f t="shared" si="7"/>
        <v>0.58928270663300963</v>
      </c>
      <c r="AE18" s="2">
        <f t="shared" si="8"/>
        <v>2.4171974250659645E-2</v>
      </c>
    </row>
    <row r="19" spans="2:31" x14ac:dyDescent="0.2">
      <c r="B19" s="1">
        <f>[21]FormattedData!A32</f>
        <v>202</v>
      </c>
      <c r="C19" s="1" t="str">
        <f>VLOOKUP($B19,[21]TrtCodes!$B$11:I75,2)</f>
        <v>NTH</v>
      </c>
      <c r="D19" s="1">
        <f>VLOOKUP($B19,[21]TrtCodes!$B$11:J75,3)</f>
        <v>9</v>
      </c>
      <c r="E19" s="1">
        <f>VLOOKUP($B19,[21]TrtCodes!$B$11:K75,4)</f>
        <v>2</v>
      </c>
      <c r="F19" s="1">
        <f>VLOOKUP($B19,[21]TrtCodes!$B$11:L75,5)</f>
        <v>2</v>
      </c>
      <c r="G19" s="1">
        <f>VLOOKUP($B19,[21]TrtCodes!$B$11:M75,6)</f>
        <v>2</v>
      </c>
      <c r="H19" s="1">
        <f>VLOOKUP($B19,[21]TrtCodes!$B$11:N75,7)</f>
        <v>1</v>
      </c>
      <c r="I19" s="1">
        <f>[21]FormattedData!B32</f>
        <v>1</v>
      </c>
      <c r="J19" s="4">
        <f>[21]FormattedData!C32</f>
        <v>13.228999999999999</v>
      </c>
      <c r="K19" s="6">
        <f>$J$3+[21]FormattedData!D32*$J$4+$M$4*$J$5+[21]FormattedData!D32^2*$J$6+$M$5*$J$7</f>
        <v>35.381630055312755</v>
      </c>
      <c r="L19" s="6">
        <f>$J$3+[21]FormattedData!E32*$J$4+$M$4*$J$5+[21]FormattedData!E32^2*$J$6+$M$5*$J$7</f>
        <v>34.620138169118334</v>
      </c>
      <c r="M19" s="6">
        <f>$J$3+[21]FormattedData!F32*$J$4+$M$4*$J$5+[21]FormattedData!F32^2*$J$6+$M$5*$J$7</f>
        <v>34.238377781110756</v>
      </c>
      <c r="N19" s="6">
        <f>$J$3+[21]FormattedData!G32*$J$4+$M$4*$J$5+[21]FormattedData!G32^2*$J$6+$M$5*$J$7</f>
        <v>32.223040252864124</v>
      </c>
      <c r="O19" s="6">
        <f>$J$3+[21]FormattedData!H32*$J$4+$M$4*$J$5+[21]FormattedData!H32^2*$J$6+$M$5*$J$7</f>
        <v>33.951613670456808</v>
      </c>
      <c r="P19" s="6">
        <f>$J$3+[21]FormattedData!I32*$J$4+$M$4*$J$5+[21]FormattedData!I32^2*$J$6+$M$5*$J$7</f>
        <v>31.93361322432051</v>
      </c>
      <c r="Q19" s="6">
        <f>$J$3+[21]FormattedData!J32*$J$4+$M$4*$J$5+[21]FormattedData!J32^2*$J$6+$M$5*$J$7</f>
        <v>33.951613670456808</v>
      </c>
      <c r="R19" s="6">
        <f>$J$3+[21]FormattedData!K32*$J$4+$M$4*$J$5+[21]FormattedData!K32^2*$J$6+$M$5*$J$7</f>
        <v>34.429342512190402</v>
      </c>
      <c r="S19" s="6">
        <f>$J$3+[21]FormattedData!L32*$J$4+$M$4*$J$5+[21]FormattedData!L32^2*$J$6+$M$5*$J$7</f>
        <v>34.524761474923331</v>
      </c>
      <c r="T19" s="6">
        <f>$J$3+[21]FormattedData!M32*$J$4+$M$4*$J$5+[21]FormattedData!M32^2*$J$6+$M$5*$J$7</f>
        <v>33.08903883744668</v>
      </c>
      <c r="U19" s="6">
        <f>$J$3+[21]FormattedData!N32*$J$4+$M$4*$J$5+[21]FormattedData!N32^2*$J$6+$M$5*$J$7</f>
        <v>32.319431391969466</v>
      </c>
      <c r="V19" s="6">
        <f>$J$3+[21]FormattedData!O32*$J$4+$M$4*$J$5+[21]FormattedData!O32^2*$J$6+$M$5*$J$7</f>
        <v>31.256804092224488</v>
      </c>
      <c r="W19" s="5">
        <f t="shared" si="0"/>
        <v>33.493283761032878</v>
      </c>
      <c r="X19" s="4">
        <f t="shared" si="1"/>
        <v>0.37274959056581913</v>
      </c>
      <c r="Y19" s="3">
        <f t="shared" si="2"/>
        <v>31.256804092224488</v>
      </c>
      <c r="Z19" s="2">
        <f t="shared" si="3"/>
        <v>32.295333607193129</v>
      </c>
      <c r="AA19" s="3">
        <f t="shared" si="4"/>
        <v>33.951613670456808</v>
      </c>
      <c r="AB19" s="2">
        <f t="shared" si="5"/>
        <v>34.453197252873636</v>
      </c>
      <c r="AC19" s="2">
        <f t="shared" si="6"/>
        <v>35.381630055312755</v>
      </c>
      <c r="AD19" s="2">
        <f t="shared" si="7"/>
        <v>-0.40665853337216784</v>
      </c>
      <c r="AE19" s="2">
        <f t="shared" si="8"/>
        <v>-1.0807623060489542</v>
      </c>
    </row>
    <row r="20" spans="2:31" x14ac:dyDescent="0.2">
      <c r="B20" s="1">
        <f>[21]FormattedData!A34</f>
        <v>203</v>
      </c>
      <c r="C20" s="1" t="str">
        <f>VLOOKUP($B20,[21]TrtCodes!$B$11:I77,2)</f>
        <v>FTH</v>
      </c>
      <c r="D20" s="1">
        <f>VLOOKUP($B20,[21]TrtCodes!$B$11:J77,3)</f>
        <v>3</v>
      </c>
      <c r="E20" s="1">
        <f>VLOOKUP($B20,[21]TrtCodes!$B$11:K77,4)</f>
        <v>1</v>
      </c>
      <c r="F20" s="1">
        <f>VLOOKUP($B20,[21]TrtCodes!$B$11:L77,5)</f>
        <v>2</v>
      </c>
      <c r="G20" s="1">
        <f>VLOOKUP($B20,[21]TrtCodes!$B$11:M77,6)</f>
        <v>2</v>
      </c>
      <c r="H20" s="1">
        <f>VLOOKUP($B20,[21]TrtCodes!$B$11:N77,7)</f>
        <v>1</v>
      </c>
      <c r="I20" s="1">
        <f>[21]FormattedData!B34</f>
        <v>1</v>
      </c>
      <c r="J20" s="4">
        <f>[21]FormattedData!C34</f>
        <v>13.244999999999999</v>
      </c>
      <c r="K20" s="6">
        <f>$J$3+[21]FormattedData!D34*$J$4+$M$4*$J$5+[21]FormattedData!D34^2*$J$6+$M$5*$J$7</f>
        <v>33.37694419862477</v>
      </c>
      <c r="L20" s="6">
        <f>$J$3+[21]FormattedData!E34*$J$4+$M$4*$J$5+[21]FormattedData!E34^2*$J$6+$M$5*$J$7</f>
        <v>34.142832012764046</v>
      </c>
      <c r="M20" s="6">
        <f>$J$3+[21]FormattedData!F34*$J$4+$M$4*$J$5+[21]FormattedData!F34^2*$J$6+$M$5*$J$7</f>
        <v>32.126606845220856</v>
      </c>
      <c r="N20" s="6">
        <f>$J$3+[21]FormattedData!G34*$J$4+$M$4*$J$5+[21]FormattedData!G34^2*$J$6+$M$5*$J$7</f>
        <v>33.472828115274936</v>
      </c>
      <c r="O20" s="6">
        <f>$J$3+[21]FormattedData!H34*$J$4+$M$4*$J$5+[21]FormattedData!H34^2*$J$6+$M$5*$J$7</f>
        <v>31.353617916709148</v>
      </c>
      <c r="P20" s="6">
        <f>$J$3+[21]FormattedData!I34*$J$4+$M$4*$J$5+[21]FormattedData!I34^2*$J$6+$M$5*$J$7</f>
        <v>31.74045052926845</v>
      </c>
      <c r="Q20" s="6">
        <f>$J$3+[21]FormattedData!J34*$J$4+$M$4*$J$5+[21]FormattedData!J34^2*$J$6+$M$5*$J$7</f>
        <v>36.235074884129766</v>
      </c>
      <c r="R20" s="6">
        <f>$J$3+[21]FormattedData!K34*$J$4+$M$4*$J$5+[21]FormattedData!K34^2*$J$6+$M$5*$J$7</f>
        <v>31.643805778935519</v>
      </c>
      <c r="S20" s="6">
        <f>$J$3+[21]FormattedData!L34*$J$4+$M$4*$J$5+[21]FormattedData!L34^2*$J$6+$M$5*$J$7</f>
        <v>38.587790835556262</v>
      </c>
      <c r="T20" s="6">
        <f>$J$3+[21]FormattedData!M34*$J$4+$M$4*$J$5+[21]FormattedData!M34^2*$J$6+$M$5*$J$7</f>
        <v>30.189062299389853</v>
      </c>
      <c r="U20" s="6">
        <f>$J$3+[21]FormattedData!N34*$J$4+$M$4*$J$5+[21]FormattedData!N34^2*$J$6+$M$5*$J$7</f>
        <v>32.800753059427208</v>
      </c>
      <c r="V20" s="6">
        <f>$J$3+[21]FormattedData!O34*$J$4+$M$4*$J$5+[21]FormattedData!O34^2*$J$6+$M$5*$J$7</f>
        <v>29.896972352956581</v>
      </c>
      <c r="W20" s="5">
        <f t="shared" si="0"/>
        <v>32.963894902354781</v>
      </c>
      <c r="X20" s="4">
        <f t="shared" si="1"/>
        <v>0.71675911614221366</v>
      </c>
      <c r="Y20" s="3">
        <f t="shared" si="2"/>
        <v>29.896972352956581</v>
      </c>
      <c r="Z20" s="2">
        <f t="shared" si="3"/>
        <v>31.571258813378925</v>
      </c>
      <c r="AA20" s="3">
        <f t="shared" si="4"/>
        <v>32.463679952324028</v>
      </c>
      <c r="AB20" s="2">
        <f t="shared" si="5"/>
        <v>33.64032908964721</v>
      </c>
      <c r="AC20" s="2">
        <f t="shared" si="6"/>
        <v>38.587790835556262</v>
      </c>
      <c r="AD20" s="2">
        <f t="shared" si="7"/>
        <v>1.108985666245242</v>
      </c>
      <c r="AE20" s="2">
        <f t="shared" si="8"/>
        <v>1.2616887508924632</v>
      </c>
    </row>
    <row r="21" spans="2:31" x14ac:dyDescent="0.2">
      <c r="B21" s="1">
        <f>[21]FormattedData!A36</f>
        <v>204</v>
      </c>
      <c r="C21" s="1" t="str">
        <f>VLOOKUP($B21,[21]TrtCodes!$B$11:I79,2)</f>
        <v>NDH</v>
      </c>
      <c r="D21" s="1">
        <f>VLOOKUP($B21,[21]TrtCodes!$B$11:J79,3)</f>
        <v>11</v>
      </c>
      <c r="E21" s="1">
        <f>VLOOKUP($B21,[21]TrtCodes!$B$11:K79,4)</f>
        <v>2</v>
      </c>
      <c r="F21" s="1">
        <f>VLOOKUP($B21,[21]TrtCodes!$B$11:L79,5)</f>
        <v>3</v>
      </c>
      <c r="G21" s="1">
        <f>VLOOKUP($B21,[21]TrtCodes!$B$11:M79,6)</f>
        <v>2</v>
      </c>
      <c r="H21" s="1">
        <f>VLOOKUP($B21,[21]TrtCodes!$B$11:N79,7)</f>
        <v>1</v>
      </c>
      <c r="I21" s="1">
        <f>[21]FormattedData!B36</f>
        <v>1</v>
      </c>
      <c r="J21" s="4">
        <f>[21]FormattedData!C36</f>
        <v>13.263</v>
      </c>
      <c r="K21" s="6">
        <f>$J$3+[21]FormattedData!D36*$J$4+$M$4*$J$5+[21]FormattedData!D36^2*$J$6+$M$5*$J$7</f>
        <v>27.841691056365015</v>
      </c>
      <c r="L21" s="6">
        <f>$J$3+[21]FormattedData!E36*$J$4+$M$4*$J$5+[21]FormattedData!E36^2*$J$6+$M$5*$J$7</f>
        <v>28.332734487546919</v>
      </c>
      <c r="M21" s="6">
        <f>$J$3+[21]FormattedData!F36*$J$4+$M$4*$J$5+[21]FormattedData!F36^2*$J$6+$M$5*$J$7</f>
        <v>28.234610338386403</v>
      </c>
      <c r="N21" s="6">
        <f>$J$3+[21]FormattedData!G36*$J$4+$M$4*$J$5+[21]FormattedData!G36^2*$J$6+$M$5*$J$7</f>
        <v>28.234610338386403</v>
      </c>
      <c r="O21" s="6">
        <f>$J$3+[21]FormattedData!H36*$J$4+$M$4*$J$5+[21]FormattedData!H36^2*$J$6+$M$5*$J$7</f>
        <v>28.234610338386403</v>
      </c>
      <c r="P21" s="6">
        <f>$J$3+[21]FormattedData!I36*$J$4+$M$4*$J$5+[21]FormattedData!I36^2*$J$6+$M$5*$J$7</f>
        <v>28.920591743213475</v>
      </c>
      <c r="Q21" s="6">
        <f>$J$3+[21]FormattedData!J36*$J$4+$M$4*$J$5+[21]FormattedData!J36^2*$J$6+$M$5*$J$7</f>
        <v>29.116206013465547</v>
      </c>
      <c r="R21" s="6">
        <f>$J$3+[21]FormattedData!K36*$J$4+$M$4*$J$5+[21]FormattedData!K36^2*$J$6+$M$5*$J$7</f>
        <v>29.799524500402956</v>
      </c>
      <c r="S21" s="6">
        <f>$J$3+[21]FormattedData!L36*$J$4+$M$4*$J$5+[21]FormattedData!L36^2*$J$6+$M$5*$J$7</f>
        <v>28.528855980254161</v>
      </c>
      <c r="T21" s="6">
        <f>$J$3+[21]FormattedData!M36*$J$4+$M$4*$J$5+[21]FormattedData!M36^2*$J$6+$M$5*$J$7</f>
        <v>30.480771828981744</v>
      </c>
      <c r="U21" s="6">
        <f>$J$3+[21]FormattedData!N36*$J$4+$M$4*$J$5+[21]FormattedData!N36^2*$J$6+$M$5*$J$7</f>
        <v>29.799524500402956</v>
      </c>
      <c r="V21" s="6">
        <f>$J$3+[21]FormattedData!O36*$J$4+$M$4*$J$5+[21]FormattedData!O36^2*$J$6+$M$5*$J$7</f>
        <v>30.286341077791747</v>
      </c>
      <c r="W21" s="5">
        <f t="shared" si="0"/>
        <v>28.984172683631979</v>
      </c>
      <c r="X21" s="4">
        <f t="shared" si="1"/>
        <v>0.25979310613785012</v>
      </c>
      <c r="Y21" s="3">
        <f t="shared" si="2"/>
        <v>27.841691056365015</v>
      </c>
      <c r="Z21" s="2">
        <f t="shared" si="3"/>
        <v>28.234610338386403</v>
      </c>
      <c r="AA21" s="3">
        <f t="shared" si="4"/>
        <v>28.724723861733818</v>
      </c>
      <c r="AB21" s="2">
        <f t="shared" si="5"/>
        <v>29.799524500402956</v>
      </c>
      <c r="AC21" s="2">
        <f t="shared" si="6"/>
        <v>30.480771828981744</v>
      </c>
      <c r="AD21" s="2">
        <f t="shared" si="7"/>
        <v>0.52694895398775887</v>
      </c>
      <c r="AE21" s="2">
        <f t="shared" si="8"/>
        <v>-1.2347301514444342</v>
      </c>
    </row>
    <row r="22" spans="2:31" x14ac:dyDescent="0.2">
      <c r="B22" s="1">
        <f>[21]FormattedData!A38</f>
        <v>205</v>
      </c>
      <c r="C22" s="1" t="str">
        <f>VLOOKUP($B22,[21]TrtCodes!$B$11:I81,2)</f>
        <v>FSH</v>
      </c>
      <c r="D22" s="1">
        <f>VLOOKUP($B22,[21]TrtCodes!$B$11:J81,3)</f>
        <v>1</v>
      </c>
      <c r="E22" s="1">
        <f>VLOOKUP($B22,[21]TrtCodes!$B$11:K81,4)</f>
        <v>1</v>
      </c>
      <c r="F22" s="1">
        <f>VLOOKUP($B22,[21]TrtCodes!$B$11:L81,5)</f>
        <v>1</v>
      </c>
      <c r="G22" s="1">
        <f>VLOOKUP($B22,[21]TrtCodes!$B$11:M81,6)</f>
        <v>2</v>
      </c>
      <c r="H22" s="1">
        <f>VLOOKUP($B22,[21]TrtCodes!$B$11:N81,7)</f>
        <v>2</v>
      </c>
      <c r="I22" s="1">
        <f>[21]FormattedData!B38</f>
        <v>1</v>
      </c>
      <c r="J22" s="4">
        <f>[21]FormattedData!C38</f>
        <v>13.279</v>
      </c>
      <c r="K22" s="6">
        <f>$J$3+[21]FormattedData!D38*$J$4+$M$4*$J$5+[21]FormattedData!D38^2*$J$6+$M$5*$J$7</f>
        <v>35.286591509421214</v>
      </c>
      <c r="L22" s="6">
        <f>$J$3+[21]FormattedData!E38*$J$4+$M$4*$J$5+[21]FormattedData!E38^2*$J$6+$M$5*$J$7</f>
        <v>31.450389472655864</v>
      </c>
      <c r="M22" s="6">
        <f>$J$3+[21]FormattedData!F38*$J$4+$M$4*$J$5+[21]FormattedData!F38^2*$J$6+$M$5*$J$7</f>
        <v>31.74045052926845</v>
      </c>
      <c r="N22" s="6">
        <f>$J$3+[21]FormattedData!G38*$J$4+$M$4*$J$5+[21]FormattedData!G38^2*$J$6+$M$5*$J$7</f>
        <v>29.018420012608477</v>
      </c>
      <c r="O22" s="6">
        <f>$J$3+[21]FormattedData!H38*$J$4+$M$4*$J$5+[21]FormattedData!H38^2*$J$6+$M$5*$J$7</f>
        <v>29.311651209565891</v>
      </c>
      <c r="P22" s="6">
        <f>$J$3+[21]FormattedData!I38*$J$4+$M$4*$J$5+[21]FormattedData!I38^2*$J$6+$M$5*$J$7</f>
        <v>30.286341077791747</v>
      </c>
      <c r="Q22" s="6">
        <f>$J$3+[21]FormattedData!J38*$J$4+$M$4*$J$5+[21]FormattedData!J38^2*$J$6+$M$5*$J$7</f>
        <v>30.189062299389853</v>
      </c>
      <c r="R22" s="6">
        <f>$J$3+[21]FormattedData!K38*$J$4+$M$4*$J$5+[21]FormattedData!K38^2*$J$6+$M$5*$J$7</f>
        <v>33.951613670456808</v>
      </c>
      <c r="S22" s="6">
        <f>$J$3+[21]FormattedData!L38*$J$4+$M$4*$J$5+[21]FormattedData!L38^2*$J$6+$M$5*$J$7</f>
        <v>31.74045052926845</v>
      </c>
      <c r="T22" s="6">
        <f>$J$3+[21]FormattedData!M38*$J$4+$M$4*$J$5+[21]FormattedData!M38^2*$J$6+$M$5*$J$7</f>
        <v>29.506927331514511</v>
      </c>
      <c r="U22" s="6">
        <f>$J$3+[21]FormattedData!N38*$J$4+$M$4*$J$5+[21]FormattedData!N38^2*$J$6+$M$5*$J$7</f>
        <v>29.506927331514511</v>
      </c>
      <c r="V22" s="6">
        <f>$J$3+[21]FormattedData!O38*$J$4+$M$4*$J$5+[21]FormattedData!O38^2*$J$6+$M$5*$J$7</f>
        <v>31.353617916709148</v>
      </c>
      <c r="W22" s="5">
        <f t="shared" si="0"/>
        <v>31.111870240847082</v>
      </c>
      <c r="X22" s="4">
        <f t="shared" si="1"/>
        <v>0.55571263817741912</v>
      </c>
      <c r="Y22" s="3">
        <f t="shared" si="2"/>
        <v>29.018420012608477</v>
      </c>
      <c r="Z22" s="2">
        <f t="shared" si="3"/>
        <v>29.506927331514511</v>
      </c>
      <c r="AA22" s="3">
        <f t="shared" si="4"/>
        <v>30.819979497250447</v>
      </c>
      <c r="AB22" s="2">
        <f t="shared" si="5"/>
        <v>31.74045052926845</v>
      </c>
      <c r="AC22" s="2">
        <f t="shared" si="6"/>
        <v>35.286591509421214</v>
      </c>
      <c r="AD22" s="2">
        <f t="shared" si="7"/>
        <v>1.094646371118831</v>
      </c>
      <c r="AE22" s="2">
        <f t="shared" si="8"/>
        <v>0.70868761067818298</v>
      </c>
    </row>
    <row r="23" spans="2:31" x14ac:dyDescent="0.2">
      <c r="B23" s="1">
        <f>[21]FormattedData!A40</f>
        <v>206</v>
      </c>
      <c r="C23" s="1" t="str">
        <f>VLOOKUP($B23,[21]TrtCodes!$B$11:I83,2)</f>
        <v>NSL</v>
      </c>
      <c r="D23" s="1">
        <f>VLOOKUP($B23,[21]TrtCodes!$B$11:J83,3)</f>
        <v>8</v>
      </c>
      <c r="E23" s="1">
        <f>VLOOKUP($B23,[21]TrtCodes!$B$11:K83,4)</f>
        <v>2</v>
      </c>
      <c r="F23" s="1">
        <f>VLOOKUP($B23,[21]TrtCodes!$B$11:L83,5)</f>
        <v>1</v>
      </c>
      <c r="G23" s="1">
        <f>VLOOKUP($B23,[21]TrtCodes!$B$11:M83,6)</f>
        <v>1</v>
      </c>
      <c r="H23" s="1">
        <f>VLOOKUP($B23,[21]TrtCodes!$B$11:N83,7)</f>
        <v>2</v>
      </c>
      <c r="I23" s="1">
        <f>[21]FormattedData!B40</f>
        <v>1</v>
      </c>
      <c r="J23" s="4">
        <f>[21]FormattedData!C40</f>
        <v>13.295999999999999</v>
      </c>
      <c r="K23" s="6">
        <f>$J$3+[21]FormattedData!D40*$J$4+$M$4*$J$5+[21]FormattedData!D40^2*$J$6+$M$5*$J$7</f>
        <v>33.66446914296148</v>
      </c>
      <c r="L23" s="6">
        <f>$J$3+[21]FormattedData!E40*$J$4+$M$4*$J$5+[21]FormattedData!E40^2*$J$6+$M$5*$J$7</f>
        <v>37.555850494349308</v>
      </c>
      <c r="M23" s="6">
        <f>$J$3+[21]FormattedData!F40*$J$4+$M$4*$J$5+[21]FormattedData!F40^2*$J$6+$M$5*$J$7</f>
        <v>32.704573263011525</v>
      </c>
      <c r="N23" s="6">
        <f>$J$3+[21]FormattedData!G40*$J$4+$M$4*$J$5+[21]FormattedData!G40^2*$J$6+$M$5*$J$7</f>
        <v>36.045716357491507</v>
      </c>
      <c r="O23" s="6">
        <f>$J$3+[21]FormattedData!H40*$J$4+$M$4*$J$5+[21]FormattedData!H40^2*$J$6+$M$5*$J$7</f>
        <v>32.896890587304959</v>
      </c>
      <c r="P23" s="6">
        <f>$J$3+[21]FormattedData!I40*$J$4+$M$4*$J$5+[21]FormattedData!I40^2*$J$6+$M$5*$J$7</f>
        <v>35.096387612024337</v>
      </c>
      <c r="Q23" s="6">
        <f>$J$3+[21]FormattedData!J40*$J$4+$M$4*$J$5+[21]FormattedData!J40^2*$J$6+$M$5*$J$7</f>
        <v>33.472828115274936</v>
      </c>
      <c r="R23" s="6">
        <f>$J$3+[21]FormattedData!K40*$J$4+$M$4*$J$5+[21]FormattedData!K40^2*$J$6+$M$5*$J$7</f>
        <v>32.319431391969466</v>
      </c>
      <c r="S23" s="6">
        <f>$J$3+[21]FormattedData!L40*$J$4+$M$4*$J$5+[21]FormattedData!L40^2*$J$6+$M$5*$J$7</f>
        <v>34.142832012764046</v>
      </c>
      <c r="T23" s="6">
        <f>$J$3+[21]FormattedData!M40*$J$4+$M$4*$J$5+[21]FormattedData!M40^2*$J$6+$M$5*$J$7</f>
        <v>33.472828115274936</v>
      </c>
      <c r="U23" s="6">
        <f>$J$3+[21]FormattedData!N40*$J$4+$M$4*$J$5+[21]FormattedData!N40^2*$J$6+$M$5*$J$7</f>
        <v>36.613284714951106</v>
      </c>
      <c r="V23" s="6">
        <f>$J$3+[21]FormattedData!O40*$J$4+$M$4*$J$5+[21]FormattedData!O40^2*$J$6+$M$5*$J$7</f>
        <v>33.185049559710642</v>
      </c>
      <c r="W23" s="5">
        <f t="shared" si="0"/>
        <v>34.264178447257358</v>
      </c>
      <c r="X23" s="4">
        <f t="shared" si="1"/>
        <v>0.4853544950359952</v>
      </c>
      <c r="Y23" s="3">
        <f t="shared" si="2"/>
        <v>32.319431391969466</v>
      </c>
      <c r="Z23" s="2">
        <f t="shared" si="3"/>
        <v>33.113009816609221</v>
      </c>
      <c r="AA23" s="3">
        <f t="shared" si="4"/>
        <v>33.568648629118208</v>
      </c>
      <c r="AB23" s="2">
        <f t="shared" si="5"/>
        <v>35.33371979839113</v>
      </c>
      <c r="AC23" s="2">
        <f t="shared" si="6"/>
        <v>37.555850494349308</v>
      </c>
      <c r="AD23" s="2">
        <f t="shared" si="7"/>
        <v>0.88803773356954296</v>
      </c>
      <c r="AE23" s="2">
        <f t="shared" si="8"/>
        <v>-0.39730837679797704</v>
      </c>
    </row>
    <row r="24" spans="2:31" x14ac:dyDescent="0.2">
      <c r="B24" s="1">
        <f>[21]FormattedData!A42</f>
        <v>207</v>
      </c>
      <c r="C24" s="1" t="str">
        <f>VLOOKUP($B24,[21]TrtCodes!$B$11:I85,2)</f>
        <v>FTL</v>
      </c>
      <c r="D24" s="1">
        <f>VLOOKUP($B24,[21]TrtCodes!$B$11:J85,3)</f>
        <v>4</v>
      </c>
      <c r="E24" s="1">
        <f>VLOOKUP($B24,[21]TrtCodes!$B$11:K85,4)</f>
        <v>1</v>
      </c>
      <c r="F24" s="1">
        <f>VLOOKUP($B24,[21]TrtCodes!$B$11:L85,5)</f>
        <v>2</v>
      </c>
      <c r="G24" s="1">
        <f>VLOOKUP($B24,[21]TrtCodes!$B$11:M85,6)</f>
        <v>1</v>
      </c>
      <c r="H24" s="1">
        <f>VLOOKUP($B24,[21]TrtCodes!$B$11:N85,7)</f>
        <v>2</v>
      </c>
      <c r="I24" s="1">
        <f>[21]FormattedData!B42</f>
        <v>1</v>
      </c>
      <c r="J24" s="4">
        <f>[21]FormattedData!C42</f>
        <v>13.311999999999999</v>
      </c>
      <c r="K24" s="6">
        <f>$J$3+[21]FormattedData!D42*$J$4+$M$4*$J$5+[21]FormattedData!D42^2*$J$6+$M$5*$J$7</f>
        <v>34.715472594775385</v>
      </c>
      <c r="L24" s="6">
        <f>$J$3+[21]FormattedData!E42*$J$4+$M$4*$J$5+[21]FormattedData!E42^2*$J$6+$M$5*$J$7</f>
        <v>31.93361322432051</v>
      </c>
      <c r="M24" s="6">
        <f>$J$3+[21]FormattedData!F42*$J$4+$M$4*$J$5+[21]FormattedData!F42^2*$J$6+$M$5*$J$7</f>
        <v>32.41578026253687</v>
      </c>
      <c r="N24" s="6">
        <f>$J$3+[21]FormattedData!G42*$J$4+$M$4*$J$5+[21]FormattedData!G42^2*$J$6+$M$5*$J$7</f>
        <v>30.577923801769852</v>
      </c>
      <c r="O24" s="6">
        <f>$J$3+[21]FormattedData!H42*$J$4+$M$4*$J$5+[21]FormattedData!H42^2*$J$6+$M$5*$J$7</f>
        <v>29.799524500402956</v>
      </c>
      <c r="P24" s="6">
        <f>$J$3+[21]FormattedData!I42*$J$4+$M$4*$J$5+[21]FormattedData!I42^2*$J$6+$M$5*$J$7</f>
        <v>32.896890587304959</v>
      </c>
      <c r="Q24" s="6">
        <f>$J$3+[21]FormattedData!J42*$J$4+$M$4*$J$5+[21]FormattedData!J42^2*$J$6+$M$5*$J$7</f>
        <v>29.311651209565891</v>
      </c>
      <c r="R24" s="6">
        <f>$J$3+[21]FormattedData!K42*$J$4+$M$4*$J$5+[21]FormattedData!K42^2*$J$6+$M$5*$J$7</f>
        <v>30.577923801769852</v>
      </c>
      <c r="S24" s="6">
        <f>$J$3+[21]FormattedData!L42*$J$4+$M$4*$J$5+[21]FormattedData!L42^2*$J$6+$M$5*$J$7</f>
        <v>30.091741252450031</v>
      </c>
      <c r="T24" s="6">
        <f>$J$3+[21]FormattedData!M42*$J$4+$M$4*$J$5+[21]FormattedData!M42^2*$J$6+$M$5*$J$7</f>
        <v>29.70203437931141</v>
      </c>
      <c r="U24" s="6">
        <f>$J$3+[21]FormattedData!N42*$J$4+$M$4*$J$5+[21]FormattedData!N42^2*$J$6+$M$5*$J$7</f>
        <v>34.142832012764046</v>
      </c>
      <c r="V24" s="6">
        <f>$J$3+[21]FormattedData!O42*$J$4+$M$4*$J$5+[21]FormattedData!O42^2*$J$6+$M$5*$J$7</f>
        <v>30.286341077791747</v>
      </c>
      <c r="W24" s="5">
        <f t="shared" si="0"/>
        <v>31.370977392063626</v>
      </c>
      <c r="X24" s="4">
        <f t="shared" si="1"/>
        <v>0.52347771885588956</v>
      </c>
      <c r="Y24" s="3">
        <f t="shared" si="2"/>
        <v>29.311651209565891</v>
      </c>
      <c r="Z24" s="2">
        <f t="shared" si="3"/>
        <v>30.018687064438261</v>
      </c>
      <c r="AA24" s="3">
        <f t="shared" si="4"/>
        <v>30.577923801769852</v>
      </c>
      <c r="AB24" s="2">
        <f t="shared" si="5"/>
        <v>32.536057843728891</v>
      </c>
      <c r="AC24" s="2">
        <f t="shared" si="6"/>
        <v>34.715472594775385</v>
      </c>
      <c r="AD24" s="2">
        <f t="shared" si="7"/>
        <v>0.76744065440598663</v>
      </c>
      <c r="AE24" s="2">
        <f t="shared" si="8"/>
        <v>-0.71725161314092833</v>
      </c>
    </row>
    <row r="25" spans="2:31" x14ac:dyDescent="0.2">
      <c r="B25" s="1">
        <f>[21]FormattedData!A44</f>
        <v>208</v>
      </c>
      <c r="C25" s="1" t="str">
        <f>VLOOKUP($B25,[21]TrtCodes!$B$11:I87,2)</f>
        <v>FSL</v>
      </c>
      <c r="D25" s="1">
        <f>VLOOKUP($B25,[21]TrtCodes!$B$11:J87,3)</f>
        <v>2</v>
      </c>
      <c r="E25" s="1">
        <f>VLOOKUP($B25,[21]TrtCodes!$B$11:K87,4)</f>
        <v>1</v>
      </c>
      <c r="F25" s="1">
        <f>VLOOKUP($B25,[21]TrtCodes!$B$11:L87,5)</f>
        <v>1</v>
      </c>
      <c r="G25" s="1">
        <f>VLOOKUP($B25,[21]TrtCodes!$B$11:M87,6)</f>
        <v>1</v>
      </c>
      <c r="H25" s="1">
        <f>VLOOKUP($B25,[21]TrtCodes!$B$11:N87,7)</f>
        <v>2</v>
      </c>
      <c r="I25" s="1">
        <f>[21]FormattedData!B44</f>
        <v>1</v>
      </c>
      <c r="J25" s="4">
        <f>[21]FormattedData!C44</f>
        <v>13.327999999999999</v>
      </c>
      <c r="K25" s="6">
        <f>$J$3+[21]FormattedData!D44*$J$4+$M$4*$J$5+[21]FormattedData!D44^2*$J$6+$M$5*$J$7</f>
        <v>36.896498268418846</v>
      </c>
      <c r="L25" s="6">
        <f>$J$3+[21]FormattedData!E44*$J$4+$M$4*$J$5+[21]FormattedData!E44^2*$J$6+$M$5*$J$7</f>
        <v>32.41578026253687</v>
      </c>
      <c r="M25" s="6">
        <f>$J$3+[21]FormattedData!F44*$J$4+$M$4*$J$5+[21]FormattedData!F44^2*$J$6+$M$5*$J$7</f>
        <v>31.256804092224488</v>
      </c>
      <c r="N25" s="6">
        <f>$J$3+[21]FormattedData!G44*$J$4+$M$4*$J$5+[21]FormattedData!G44^2*$J$6+$M$5*$J$7</f>
        <v>32.512086864566356</v>
      </c>
      <c r="O25" s="6">
        <f>$J$3+[21]FormattedData!H44*$J$4+$M$4*$J$5+[21]FormattedData!H44^2*$J$6+$M$5*$J$7</f>
        <v>30.966109007542947</v>
      </c>
      <c r="P25" s="6">
        <f>$J$3+[21]FormattedData!I44*$J$4+$M$4*$J$5+[21]FormattedData!I44^2*$J$6+$M$5*$J$7</f>
        <v>36.140416755079599</v>
      </c>
      <c r="Q25" s="6">
        <f>$J$3+[21]FormattedData!J44*$J$4+$M$4*$J$5+[21]FormattedData!J44^2*$J$6+$M$5*$J$7</f>
        <v>31.256804092224488</v>
      </c>
      <c r="R25" s="6">
        <f>$J$3+[21]FormattedData!K44*$J$4+$M$4*$J$5+[21]FormattedData!K44^2*$J$6+$M$5*$J$7</f>
        <v>34.810764751894524</v>
      </c>
      <c r="S25" s="6">
        <f>$J$3+[21]FormattedData!L44*$J$4+$M$4*$J$5+[21]FormattedData!L44^2*$J$6+$M$5*$J$7</f>
        <v>33.185049559710642</v>
      </c>
      <c r="T25" s="6">
        <f>$J$3+[21]FormattedData!M44*$J$4+$M$4*$J$5+[21]FormattedData!M44^2*$J$6+$M$5*$J$7</f>
        <v>33.472828115274936</v>
      </c>
      <c r="U25" s="6">
        <f>$J$3+[21]FormattedData!N44*$J$4+$M$4*$J$5+[21]FormattedData!N44^2*$J$6+$M$5*$J$7</f>
        <v>31.93361322432051</v>
      </c>
      <c r="V25" s="6">
        <f>$J$3+[21]FormattedData!O44*$J$4+$M$4*$J$5+[21]FormattedData!O44^2*$J$6+$M$5*$J$7</f>
        <v>31.159947999201908</v>
      </c>
      <c r="W25" s="5">
        <f t="shared" si="0"/>
        <v>33.000558582749676</v>
      </c>
      <c r="X25" s="4">
        <f t="shared" si="1"/>
        <v>0.57668141331668421</v>
      </c>
      <c r="Y25" s="3">
        <f t="shared" si="2"/>
        <v>30.966109007542947</v>
      </c>
      <c r="Z25" s="2">
        <f t="shared" si="3"/>
        <v>31.256804092224488</v>
      </c>
      <c r="AA25" s="3">
        <f t="shared" si="4"/>
        <v>32.463933563551613</v>
      </c>
      <c r="AB25" s="2">
        <f t="shared" si="5"/>
        <v>33.807312274429833</v>
      </c>
      <c r="AC25" s="2">
        <f t="shared" si="6"/>
        <v>36.896498268418846</v>
      </c>
      <c r="AD25" s="2">
        <f t="shared" si="7"/>
        <v>0.94884590496599353</v>
      </c>
      <c r="AE25" s="2">
        <f t="shared" si="8"/>
        <v>-0.20490077181078892</v>
      </c>
    </row>
    <row r="26" spans="2:31" x14ac:dyDescent="0.2">
      <c r="B26" s="1">
        <f>[21]FormattedData!A62</f>
        <v>301</v>
      </c>
      <c r="C26" s="1" t="str">
        <f>VLOOKUP($B26,[21]TrtCodes!$B$11:I105,2)</f>
        <v>NTL</v>
      </c>
      <c r="D26" s="1">
        <f>VLOOKUP($B26,[21]TrtCodes!$B$11:J105,3)</f>
        <v>10</v>
      </c>
      <c r="E26" s="1">
        <f>VLOOKUP($B26,[21]TrtCodes!$B$11:K105,4)</f>
        <v>2</v>
      </c>
      <c r="F26" s="1">
        <f>VLOOKUP($B26,[21]TrtCodes!$B$11:L105,5)</f>
        <v>2</v>
      </c>
      <c r="G26" s="1">
        <f>VLOOKUP($B26,[21]TrtCodes!$B$11:M105,6)</f>
        <v>1</v>
      </c>
      <c r="H26" s="1">
        <f>VLOOKUP($B26,[21]TrtCodes!$B$11:N105,7)</f>
        <v>3</v>
      </c>
      <c r="I26" s="1">
        <f>[21]FormattedData!B62</f>
        <v>1</v>
      </c>
      <c r="J26" s="4">
        <f>[21]FormattedData!C62</f>
        <v>13.454000000000001</v>
      </c>
      <c r="K26" s="6">
        <f>$J$3+[21]FormattedData!D62*$J$4+$M$4*$J$5+[21]FormattedData!D62^2*$J$6+$M$5*$J$7</f>
        <v>32.800753059427208</v>
      </c>
      <c r="L26" s="6">
        <f>$J$3+[21]FormattedData!E62*$J$4+$M$4*$J$5+[21]FormattedData!E62^2*$J$6+$M$5*$J$7</f>
        <v>33.855941096496302</v>
      </c>
      <c r="M26" s="6">
        <f>$J$3+[21]FormattedData!F62*$J$4+$M$4*$J$5+[21]FormattedData!F62^2*$J$6+$M$5*$J$7</f>
        <v>31.547118760064663</v>
      </c>
      <c r="N26" s="6">
        <f>$J$3+[21]FormattedData!G62*$J$4+$M$4*$J$5+[21]FormattedData!G62^2*$J$6+$M$5*$J$7</f>
        <v>33.951613670456808</v>
      </c>
      <c r="O26" s="6">
        <f>$J$3+[21]FormattedData!H62*$J$4+$M$4*$J$5+[21]FormattedData!H62^2*$J$6+$M$5*$J$7</f>
        <v>30.966109007542947</v>
      </c>
      <c r="P26" s="6">
        <f>$J$3+[21]FormattedData!I62*$J$4+$M$4*$J$5+[21]FormattedData!I62^2*$J$6+$M$5*$J$7</f>
        <v>33.568669763387177</v>
      </c>
      <c r="Q26" s="6">
        <f>$J$3+[21]FormattedData!J62*$J$4+$M$4*$J$5+[21]FormattedData!J62^2*$J$6+$M$5*$J$7</f>
        <v>30.577923801769852</v>
      </c>
      <c r="R26" s="6">
        <f>$J$3+[21]FormattedData!K62*$J$4+$M$4*$J$5+[21]FormattedData!K62^2*$J$6+$M$5*$J$7</f>
        <v>31.063049637641395</v>
      </c>
      <c r="S26" s="6">
        <f>$J$3+[21]FormattedData!L62*$J$4+$M$4*$J$5+[21]FormattedData!L62^2*$J$6+$M$5*$J$7</f>
        <v>33.08903883744668</v>
      </c>
      <c r="T26" s="6">
        <f>$J$3+[21]FormattedData!M62*$J$4+$M$4*$J$5+[21]FormattedData!M62^2*$J$6+$M$5*$J$7</f>
        <v>31.256804092224488</v>
      </c>
      <c r="U26" s="6">
        <f>$J$3+[21]FormattedData!N62*$J$4+$M$4*$J$5+[21]FormattedData!N62^2*$J$6+$M$5*$J$7</f>
        <v>32.223040252864124</v>
      </c>
      <c r="V26" s="6">
        <f>$J$3+[21]FormattedData!O62*$J$4+$M$4*$J$5+[21]FormattedData!O62^2*$J$6+$M$5*$J$7</f>
        <v>32.223040252864124</v>
      </c>
      <c r="W26" s="5">
        <f t="shared" si="0"/>
        <v>32.260258519348817</v>
      </c>
      <c r="X26" s="4">
        <f t="shared" si="1"/>
        <v>0.34327387633377021</v>
      </c>
      <c r="Y26" s="3">
        <f t="shared" si="2"/>
        <v>30.577923801769852</v>
      </c>
      <c r="Z26" s="2">
        <f t="shared" si="3"/>
        <v>31.208365478578713</v>
      </c>
      <c r="AA26" s="3">
        <f t="shared" si="4"/>
        <v>32.223040252864124</v>
      </c>
      <c r="AB26" s="2">
        <f t="shared" si="5"/>
        <v>33.208946568931808</v>
      </c>
      <c r="AC26" s="2">
        <f t="shared" si="6"/>
        <v>33.951613670456808</v>
      </c>
      <c r="AD26" s="2">
        <f t="shared" si="7"/>
        <v>0.12004925547987645</v>
      </c>
      <c r="AE26" s="2">
        <f t="shared" si="8"/>
        <v>-1.4881254472212961</v>
      </c>
    </row>
    <row r="27" spans="2:31" x14ac:dyDescent="0.2">
      <c r="B27" s="1">
        <f>[21]FormattedData!A64</f>
        <v>302</v>
      </c>
      <c r="C27" s="1" t="str">
        <f>VLOOKUP($B27,[21]TrtCodes!$B$11:I107,2)</f>
        <v>FTL</v>
      </c>
      <c r="D27" s="1">
        <f>VLOOKUP($B27,[21]TrtCodes!$B$11:J107,3)</f>
        <v>4</v>
      </c>
      <c r="E27" s="1">
        <f>VLOOKUP($B27,[21]TrtCodes!$B$11:K107,4)</f>
        <v>1</v>
      </c>
      <c r="F27" s="1">
        <f>VLOOKUP($B27,[21]TrtCodes!$B$11:L107,5)</f>
        <v>2</v>
      </c>
      <c r="G27" s="1">
        <f>VLOOKUP($B27,[21]TrtCodes!$B$11:M107,6)</f>
        <v>1</v>
      </c>
      <c r="H27" s="1">
        <f>VLOOKUP($B27,[21]TrtCodes!$B$11:N107,7)</f>
        <v>3</v>
      </c>
      <c r="I27" s="1">
        <f>[21]FormattedData!B64</f>
        <v>1</v>
      </c>
      <c r="J27" s="4">
        <f>[21]FormattedData!C64</f>
        <v>13.468999999999999</v>
      </c>
      <c r="K27" s="6">
        <f>$J$3+[21]FormattedData!D64*$J$4+$M$4*$J$5+[21]FormattedData!D64^2*$J$6+$M$5*$J$7</f>
        <v>33.37694419862477</v>
      </c>
      <c r="L27" s="6">
        <f>$J$3+[21]FormattedData!E64*$J$4+$M$4*$J$5+[21]FormattedData!E64^2*$J$6+$M$5*$J$7</f>
        <v>33.76022625399785</v>
      </c>
      <c r="M27" s="6">
        <f>$J$3+[21]FormattedData!F64*$J$4+$M$4*$J$5+[21]FormattedData!F64^2*$J$6+$M$5*$J$7</f>
        <v>30.86912610890657</v>
      </c>
      <c r="N27" s="6">
        <f>$J$3+[21]FormattedData!G64*$J$4+$M$4*$J$5+[21]FormattedData!G64^2*$J$6+$M$5*$J$7</f>
        <v>37.931693287046514</v>
      </c>
      <c r="O27" s="6">
        <f>$J$3+[21]FormattedData!H64*$J$4+$M$4*$J$5+[21]FormattedData!H64^2*$J$6+$M$5*$J$7</f>
        <v>30.675033506020021</v>
      </c>
      <c r="P27" s="6">
        <f>$J$3+[21]FormattedData!I64*$J$4+$M$4*$J$5+[21]FormattedData!I64^2*$J$6+$M$5*$J$7</f>
        <v>32.992985846644785</v>
      </c>
      <c r="Q27" s="6">
        <f>$J$3+[21]FormattedData!J64*$J$4+$M$4*$J$5+[21]FormattedData!J64^2*$J$6+$M$5*$J$7</f>
        <v>30.772100941732258</v>
      </c>
      <c r="R27" s="6">
        <f>$J$3+[21]FormattedData!K64*$J$4+$M$4*$J$5+[21]FormattedData!K64^2*$J$6+$M$5*$J$7</f>
        <v>37.555850494349308</v>
      </c>
      <c r="S27" s="6">
        <f>$J$3+[21]FormattedData!L64*$J$4+$M$4*$J$5+[21]FormattedData!L64^2*$J$6+$M$5*$J$7</f>
        <v>31.837053011063446</v>
      </c>
      <c r="T27" s="6">
        <f>$J$3+[21]FormattedData!M64*$J$4+$M$4*$J$5+[21]FormattedData!M64^2*$J$6+$M$5*$J$7</f>
        <v>36.424264336616304</v>
      </c>
      <c r="U27" s="6">
        <f>$J$3+[21]FormattedData!N64*$J$4+$M$4*$J$5+[21]FormattedData!N64^2*$J$6+$M$5*$J$7</f>
        <v>32.800753059427208</v>
      </c>
      <c r="V27" s="6">
        <f>$J$3+[21]FormattedData!O64*$J$4+$M$4*$J$5+[21]FormattedData!O64^2*$J$6+$M$5*$J$7</f>
        <v>33.951613670456808</v>
      </c>
      <c r="W27" s="5">
        <f t="shared" si="0"/>
        <v>33.578970392907159</v>
      </c>
      <c r="X27" s="4">
        <f t="shared" si="1"/>
        <v>0.73189199980219277</v>
      </c>
      <c r="Y27" s="3">
        <f t="shared" si="2"/>
        <v>30.675033506020021</v>
      </c>
      <c r="Z27" s="2">
        <f t="shared" si="3"/>
        <v>31.595071285524227</v>
      </c>
      <c r="AA27" s="3">
        <f t="shared" si="4"/>
        <v>33.184965022634778</v>
      </c>
      <c r="AB27" s="2">
        <f t="shared" si="5"/>
        <v>34.569776336996682</v>
      </c>
      <c r="AC27" s="2">
        <f t="shared" si="6"/>
        <v>37.931693287046514</v>
      </c>
      <c r="AD27" s="2">
        <f t="shared" si="7"/>
        <v>0.64253419633337838</v>
      </c>
      <c r="AE27" s="2">
        <f t="shared" si="8"/>
        <v>-0.70993499820326855</v>
      </c>
    </row>
    <row r="28" spans="2:31" x14ac:dyDescent="0.2">
      <c r="B28" s="1">
        <f>[21]FormattedData!A66</f>
        <v>303</v>
      </c>
      <c r="C28" s="1" t="str">
        <f>VLOOKUP($B28,[21]TrtCodes!$B$11:I109,2)</f>
        <v>NSL</v>
      </c>
      <c r="D28" s="1">
        <f>VLOOKUP($B28,[21]TrtCodes!$B$11:J109,3)</f>
        <v>8</v>
      </c>
      <c r="E28" s="1">
        <f>VLOOKUP($B28,[21]TrtCodes!$B$11:K109,4)</f>
        <v>2</v>
      </c>
      <c r="F28" s="1">
        <f>VLOOKUP($B28,[21]TrtCodes!$B$11:L109,5)</f>
        <v>1</v>
      </c>
      <c r="G28" s="1">
        <f>VLOOKUP($B28,[21]TrtCodes!$B$11:M109,6)</f>
        <v>1</v>
      </c>
      <c r="H28" s="1">
        <f>VLOOKUP($B28,[21]TrtCodes!$B$11:N109,7)</f>
        <v>3</v>
      </c>
      <c r="I28" s="1">
        <f>[21]FormattedData!B66</f>
        <v>1</v>
      </c>
      <c r="J28" s="4">
        <f>[21]FormattedData!C66</f>
        <v>13.484999999999999</v>
      </c>
      <c r="K28" s="6">
        <f>$J$3+[21]FormattedData!D66*$J$4+$M$4*$J$5+[21]FormattedData!D66^2*$J$6+$M$5*$J$7</f>
        <v>37.273524580178126</v>
      </c>
      <c r="L28" s="6">
        <f>$J$3+[21]FormattedData!E66*$J$4+$M$4*$J$5+[21]FormattedData!E66^2*$J$6+$M$5*$J$7</f>
        <v>38.774866861146251</v>
      </c>
      <c r="M28" s="6">
        <f>$J$3+[21]FormattedData!F66*$J$4+$M$4*$J$5+[21]FormattedData!F66^2*$J$6+$M$5*$J$7</f>
        <v>35.191510694991734</v>
      </c>
      <c r="N28" s="6">
        <f>$J$3+[21]FormattedData!G66*$J$4+$M$4*$J$5+[21]FormattedData!G66^2*$J$6+$M$5*$J$7</f>
        <v>37.08509596137435</v>
      </c>
      <c r="O28" s="6">
        <f>$J$3+[21]FormattedData!H66*$J$4+$M$4*$J$5+[21]FormattedData!H66^2*$J$6+$M$5*$J$7</f>
        <v>34.715472594775385</v>
      </c>
      <c r="P28" s="6">
        <f>$J$3+[21]FormattedData!I66*$J$4+$M$4*$J$5+[21]FormattedData!I66^2*$J$6+$M$5*$J$7</f>
        <v>36.329690744642001</v>
      </c>
      <c r="Q28" s="6">
        <f>$J$3+[21]FormattedData!J66*$J$4+$M$4*$J$5+[21]FormattedData!J66^2*$J$6+$M$5*$J$7</f>
        <v>34.047243975879397</v>
      </c>
      <c r="R28" s="6">
        <f>$J$3+[21]FormattedData!K66*$J$4+$M$4*$J$5+[21]FormattedData!K66^2*$J$6+$M$5*$J$7</f>
        <v>35.381630055312755</v>
      </c>
      <c r="S28" s="6">
        <f>$J$3+[21]FormattedData!L66*$J$4+$M$4*$J$5+[21]FormattedData!L66^2*$J$6+$M$5*$J$7</f>
        <v>35.191510694991734</v>
      </c>
      <c r="T28" s="6">
        <f>$J$3+[21]FormattedData!M66*$J$4+$M$4*$J$5+[21]FormattedData!M66^2*$J$6+$M$5*$J$7</f>
        <v>35.761361553499626</v>
      </c>
      <c r="U28" s="6">
        <f>$J$3+[21]FormattedData!N66*$J$4+$M$4*$J$5+[21]FormattedData!N66^2*$J$6+$M$5*$J$7</f>
        <v>33.76022625399785</v>
      </c>
      <c r="V28" s="6">
        <f>$J$3+[21]FormattedData!O66*$J$4+$M$4*$J$5+[21]FormattedData!O66^2*$J$6+$M$5*$J$7</f>
        <v>35.191510694991734</v>
      </c>
      <c r="W28" s="5">
        <f t="shared" si="0"/>
        <v>35.725303722148418</v>
      </c>
      <c r="X28" s="4">
        <f t="shared" si="1"/>
        <v>0.41361791939674886</v>
      </c>
      <c r="Y28" s="3">
        <f t="shared" si="2"/>
        <v>33.76022625399785</v>
      </c>
      <c r="Z28" s="2">
        <f t="shared" si="3"/>
        <v>35.072501169937645</v>
      </c>
      <c r="AA28" s="3">
        <f t="shared" si="4"/>
        <v>35.286570375152245</v>
      </c>
      <c r="AB28" s="2">
        <f t="shared" si="5"/>
        <v>36.51854204882509</v>
      </c>
      <c r="AC28" s="2">
        <f t="shared" si="6"/>
        <v>38.774866861146251</v>
      </c>
      <c r="AD28" s="2">
        <f t="shared" si="7"/>
        <v>0.77758033066905563</v>
      </c>
      <c r="AE28" s="2">
        <f t="shared" si="8"/>
        <v>0.45031574183088807</v>
      </c>
    </row>
    <row r="29" spans="2:31" x14ac:dyDescent="0.2">
      <c r="B29" s="1">
        <f>[21]FormattedData!A68</f>
        <v>304</v>
      </c>
      <c r="C29" s="1" t="str">
        <f>VLOOKUP($B29,[21]TrtCodes!$B$11:I111,2)</f>
        <v>FSL</v>
      </c>
      <c r="D29" s="1">
        <f>VLOOKUP($B29,[21]TrtCodes!$B$11:J111,3)</f>
        <v>2</v>
      </c>
      <c r="E29" s="1">
        <f>VLOOKUP($B29,[21]TrtCodes!$B$11:K111,4)</f>
        <v>1</v>
      </c>
      <c r="F29" s="1">
        <f>VLOOKUP($B29,[21]TrtCodes!$B$11:L111,5)</f>
        <v>1</v>
      </c>
      <c r="G29" s="1">
        <f>VLOOKUP($B29,[21]TrtCodes!$B$11:M111,6)</f>
        <v>1</v>
      </c>
      <c r="H29" s="1">
        <f>VLOOKUP($B29,[21]TrtCodes!$B$11:N111,7)</f>
        <v>3</v>
      </c>
      <c r="I29" s="1">
        <f>[21]FormattedData!B68</f>
        <v>1</v>
      </c>
      <c r="J29" s="4">
        <f>[21]FormattedData!C68</f>
        <v>13.502000000000001</v>
      </c>
      <c r="K29" s="6">
        <f>$J$3+[21]FormattedData!D68*$J$4+$M$4*$J$5+[21]FormattedData!D68^2*$J$6+$M$5*$J$7</f>
        <v>36.896498268418846</v>
      </c>
      <c r="L29" s="6">
        <f>$J$3+[21]FormattedData!E68*$J$4+$M$4*$J$5+[21]FormattedData!E68^2*$J$6+$M$5*$J$7</f>
        <v>35.191510694991734</v>
      </c>
      <c r="M29" s="6">
        <f>$J$3+[21]FormattedData!F68*$J$4+$M$4*$J$5+[21]FormattedData!F68^2*$J$6+$M$5*$J$7</f>
        <v>29.70203437931141</v>
      </c>
      <c r="N29" s="6">
        <f>$J$3+[21]FormattedData!G68*$J$4+$M$4*$J$5+[21]FormattedData!G68^2*$J$6+$M$5*$J$7</f>
        <v>31.450389472655864</v>
      </c>
      <c r="O29" s="6">
        <f>$J$3+[21]FormattedData!H68*$J$4+$M$4*$J$5+[21]FormattedData!H68^2*$J$6+$M$5*$J$7</f>
        <v>29.799524500402956</v>
      </c>
      <c r="P29" s="6">
        <f>$J$3+[21]FormattedData!I68*$J$4+$M$4*$J$5+[21]FormattedData!I68^2*$J$6+$M$5*$J$7</f>
        <v>33.37694419862477</v>
      </c>
      <c r="Q29" s="6">
        <f>$J$3+[21]FormattedData!J68*$J$4+$M$4*$J$5+[21]FormattedData!J68^2*$J$6+$M$5*$J$7</f>
        <v>30.480771828981744</v>
      </c>
      <c r="R29" s="6">
        <f>$J$3+[21]FormattedData!K68*$J$4+$M$4*$J$5+[21]FormattedData!K68^2*$J$6+$M$5*$J$7</f>
        <v>30.966109007542947</v>
      </c>
      <c r="S29" s="6">
        <f>$J$3+[21]FormattedData!L68*$J$4+$M$4*$J$5+[21]FormattedData!L68^2*$J$6+$M$5*$J$7</f>
        <v>31.643805778935519</v>
      </c>
      <c r="T29" s="6">
        <f>$J$3+[21]FormattedData!M68*$J$4+$M$4*$J$5+[21]FormattedData!M68^2*$J$6+$M$5*$J$7</f>
        <v>33.472828115274936</v>
      </c>
      <c r="U29" s="6">
        <f>$J$3+[21]FormattedData!N68*$J$4+$M$4*$J$5+[21]FormattedData!N68^2*$J$6+$M$5*$J$7</f>
        <v>31.74045052926845</v>
      </c>
      <c r="V29" s="6">
        <f>$J$3+[21]FormattedData!O68*$J$4+$M$4*$J$5+[21]FormattedData!O68^2*$J$6+$M$5*$J$7</f>
        <v>39.055163885496732</v>
      </c>
      <c r="W29" s="5">
        <f t="shared" si="0"/>
        <v>32.814669221658825</v>
      </c>
      <c r="X29" s="4">
        <f t="shared" si="1"/>
        <v>0.84402433890424289</v>
      </c>
      <c r="Y29" s="3">
        <f t="shared" si="2"/>
        <v>29.70203437931141</v>
      </c>
      <c r="Z29" s="2">
        <f t="shared" si="3"/>
        <v>30.844774712902648</v>
      </c>
      <c r="AA29" s="3">
        <f t="shared" si="4"/>
        <v>31.692128154101987</v>
      </c>
      <c r="AB29" s="2">
        <f t="shared" si="5"/>
        <v>33.902498760204139</v>
      </c>
      <c r="AC29" s="2">
        <f t="shared" si="6"/>
        <v>39.055163885496732</v>
      </c>
      <c r="AD29" s="2">
        <f t="shared" si="7"/>
        <v>1.0603804960293297</v>
      </c>
      <c r="AE29" s="2">
        <f t="shared" si="8"/>
        <v>0.38912643221082011</v>
      </c>
    </row>
    <row r="30" spans="2:31" x14ac:dyDescent="0.2">
      <c r="B30" s="1">
        <f>[21]FormattedData!A70</f>
        <v>305</v>
      </c>
      <c r="C30" s="1" t="str">
        <f>VLOOKUP($B30,[21]TrtCodes!$B$11:I113,2)</f>
        <v>NDH</v>
      </c>
      <c r="D30" s="1">
        <f>VLOOKUP($B30,[21]TrtCodes!$B$11:J113,3)</f>
        <v>11</v>
      </c>
      <c r="E30" s="1">
        <f>VLOOKUP($B30,[21]TrtCodes!$B$11:K113,4)</f>
        <v>2</v>
      </c>
      <c r="F30" s="1">
        <f>VLOOKUP($B30,[21]TrtCodes!$B$11:L113,5)</f>
        <v>3</v>
      </c>
      <c r="G30" s="1">
        <f>VLOOKUP($B30,[21]TrtCodes!$B$11:M113,6)</f>
        <v>2</v>
      </c>
      <c r="H30" s="1">
        <f>VLOOKUP($B30,[21]TrtCodes!$B$11:N113,7)</f>
        <v>4</v>
      </c>
      <c r="I30" s="1">
        <f>[21]FormattedData!B70</f>
        <v>1</v>
      </c>
      <c r="J30" s="4">
        <f>[21]FormattedData!C70</f>
        <v>13.521000000000001</v>
      </c>
      <c r="K30" s="6">
        <f>$J$3+[21]FormattedData!D70*$J$4+$M$4*$J$5+[21]FormattedData!D70^2*$J$6+$M$5*$J$7</f>
        <v>32.512086864566356</v>
      </c>
      <c r="L30" s="6">
        <f>$J$3+[21]FormattedData!E70*$J$4+$M$4*$J$5+[21]FormattedData!E70^2*$J$6+$M$5*$J$7</f>
        <v>32.030131169039649</v>
      </c>
      <c r="M30" s="6">
        <f>$J$3+[21]FormattedData!F70*$J$4+$M$4*$J$5+[21]FormattedData!F70^2*$J$6+$M$5*$J$7</f>
        <v>31.063049637641395</v>
      </c>
      <c r="N30" s="6">
        <f>$J$3+[21]FormattedData!G70*$J$4+$M$4*$J$5+[21]FormattedData!G70^2*$J$6+$M$5*$J$7</f>
        <v>32.60835119805791</v>
      </c>
      <c r="O30" s="6">
        <f>$J$3+[21]FormattedData!H70*$J$4+$M$4*$J$5+[21]FormattedData!H70^2*$J$6+$M$5*$J$7</f>
        <v>31.159947999201908</v>
      </c>
      <c r="P30" s="6">
        <f>$J$3+[21]FormattedData!I70*$J$4+$M$4*$J$5+[21]FormattedData!I70^2*$J$6+$M$5*$J$7</f>
        <v>33.185049559710642</v>
      </c>
      <c r="Q30" s="6">
        <f>$J$3+[21]FormattedData!J70*$J$4+$M$4*$J$5+[21]FormattedData!J70^2*$J$6+$M$5*$J$7</f>
        <v>31.159947999201908</v>
      </c>
      <c r="R30" s="6">
        <f>$J$3+[21]FormattedData!K70*$J$4+$M$4*$J$5+[21]FormattedData!K70^2*$J$6+$M$5*$J$7</f>
        <v>32.992985846644785</v>
      </c>
      <c r="S30" s="6">
        <f>$J$3+[21]FormattedData!L70*$J$4+$M$4*$J$5+[21]FormattedData!L70^2*$J$6+$M$5*$J$7</f>
        <v>31.450389472655864</v>
      </c>
      <c r="T30" s="6">
        <f>$J$3+[21]FormattedData!M70*$J$4+$M$4*$J$5+[21]FormattedData!M70^2*$J$6+$M$5*$J$7</f>
        <v>32.60835119805791</v>
      </c>
      <c r="U30" s="6">
        <f>$J$3+[21]FormattedData!N70*$J$4+$M$4*$J$5+[21]FormattedData!N70^2*$J$6+$M$5*$J$7</f>
        <v>32.319431391969466</v>
      </c>
      <c r="V30" s="6">
        <f>$J$3+[21]FormattedData!O70*$J$4+$M$4*$J$5+[21]FormattedData!O70^2*$J$6+$M$5*$J$7</f>
        <v>32.60835119805791</v>
      </c>
      <c r="W30" s="5">
        <f t="shared" si="0"/>
        <v>32.141506127900477</v>
      </c>
      <c r="X30" s="4">
        <f t="shared" si="1"/>
        <v>0.21701921399553978</v>
      </c>
      <c r="Y30" s="3">
        <f t="shared" si="2"/>
        <v>31.063049637641395</v>
      </c>
      <c r="Z30" s="2">
        <f t="shared" si="3"/>
        <v>31.377779104292376</v>
      </c>
      <c r="AA30" s="3">
        <f t="shared" si="4"/>
        <v>32.415759128267908</v>
      </c>
      <c r="AB30" s="2">
        <f t="shared" si="5"/>
        <v>32.60835119805791</v>
      </c>
      <c r="AC30" s="2">
        <f t="shared" si="6"/>
        <v>33.185049559710642</v>
      </c>
      <c r="AD30" s="2">
        <f t="shared" si="7"/>
        <v>-0.34962112779645405</v>
      </c>
      <c r="AE30" s="2">
        <f t="shared" si="8"/>
        <v>-1.4130728758419662</v>
      </c>
    </row>
    <row r="31" spans="2:31" x14ac:dyDescent="0.2">
      <c r="B31" s="1">
        <f>[21]FormattedData!A72</f>
        <v>306</v>
      </c>
      <c r="C31" s="1" t="str">
        <f>VLOOKUP($B31,[21]TrtCodes!$B$11:I115,2)</f>
        <v>FTL</v>
      </c>
      <c r="D31" s="1">
        <f>VLOOKUP($B31,[21]TrtCodes!$B$11:J115,3)</f>
        <v>4</v>
      </c>
      <c r="E31" s="1">
        <f>VLOOKUP($B31,[21]TrtCodes!$B$11:K115,4)</f>
        <v>1</v>
      </c>
      <c r="F31" s="1">
        <f>VLOOKUP($B31,[21]TrtCodes!$B$11:L115,5)</f>
        <v>2</v>
      </c>
      <c r="G31" s="1">
        <f>VLOOKUP($B31,[21]TrtCodes!$B$11:M115,6)</f>
        <v>1</v>
      </c>
      <c r="H31" s="1">
        <f>VLOOKUP($B31,[21]TrtCodes!$B$11:N115,7)</f>
        <v>4</v>
      </c>
      <c r="I31" s="1">
        <f>[21]FormattedData!B72</f>
        <v>1</v>
      </c>
      <c r="J31" s="4">
        <f>[21]FormattedData!C72</f>
        <v>13.537000000000001</v>
      </c>
      <c r="K31" s="6">
        <f>$J$3+[21]FormattedData!D72*$J$4+$M$4*$J$5+[21]FormattedData!D72^2*$J$6+$M$5*$J$7</f>
        <v>33.37694419862477</v>
      </c>
      <c r="L31" s="6">
        <f>$J$3+[21]FormattedData!E72*$J$4+$M$4*$J$5+[21]FormattedData!E72^2*$J$6+$M$5*$J$7</f>
        <v>33.951613670456808</v>
      </c>
      <c r="M31" s="6">
        <f>$J$3+[21]FormattedData!F72*$J$4+$M$4*$J$5+[21]FormattedData!F72^2*$J$6+$M$5*$J$7</f>
        <v>32.896890587304959</v>
      </c>
      <c r="N31" s="6">
        <f>$J$3+[21]FormattedData!G72*$J$4+$M$4*$J$5+[21]FormattedData!G72^2*$J$6+$M$5*$J$7</f>
        <v>34.906014640475718</v>
      </c>
      <c r="O31" s="6">
        <f>$J$3+[21]FormattedData!H72*$J$4+$M$4*$J$5+[21]FormattedData!H72^2*$J$6+$M$5*$J$7</f>
        <v>34.620138169118334</v>
      </c>
      <c r="P31" s="6">
        <f>$J$3+[21]FormattedData!I72*$J$4+$M$4*$J$5+[21]FormattedData!I72^2*$J$6+$M$5*$J$7</f>
        <v>37.273524580178126</v>
      </c>
      <c r="Q31" s="6">
        <f>$J$3+[21]FormattedData!J72*$J$4+$M$4*$J$5+[21]FormattedData!J72^2*$J$6+$M$5*$J$7</f>
        <v>33.66446914296148</v>
      </c>
      <c r="R31" s="6">
        <f>$J$3+[21]FormattedData!K72*$J$4+$M$4*$J$5+[21]FormattedData!K72^2*$J$6+$M$5*$J$7</f>
        <v>35.666492081759806</v>
      </c>
      <c r="S31" s="6">
        <f>$J$3+[21]FormattedData!L72*$J$4+$M$4*$J$5+[21]FormattedData!L72^2*$J$6+$M$5*$J$7</f>
        <v>32.896890587304959</v>
      </c>
      <c r="T31" s="6">
        <f>$J$3+[21]FormattedData!M72*$J$4+$M$4*$J$5+[21]FormattedData!M72^2*$J$6+$M$5*$J$7</f>
        <v>33.855941096496302</v>
      </c>
      <c r="U31" s="6">
        <f>$J$3+[21]FormattedData!N72*$J$4+$M$4*$J$5+[21]FormattedData!N72^2*$J$6+$M$5*$J$7</f>
        <v>32.126606845220856</v>
      </c>
      <c r="V31" s="6">
        <f>$J$3+[21]FormattedData!O72*$J$4+$M$4*$J$5+[21]FormattedData!O72^2*$J$6+$M$5*$J$7</f>
        <v>33.568669763387177</v>
      </c>
      <c r="W31" s="5">
        <f t="shared" si="0"/>
        <v>34.067016280274103</v>
      </c>
      <c r="X31" s="4">
        <f t="shared" si="1"/>
        <v>0.40168132308527854</v>
      </c>
      <c r="Y31" s="3">
        <f t="shared" si="2"/>
        <v>32.126606845220856</v>
      </c>
      <c r="Z31" s="2">
        <f t="shared" si="3"/>
        <v>33.256930795794815</v>
      </c>
      <c r="AA31" s="3">
        <f t="shared" si="4"/>
        <v>33.760205119728894</v>
      </c>
      <c r="AB31" s="2">
        <f t="shared" si="5"/>
        <v>34.691607286957677</v>
      </c>
      <c r="AC31" s="2">
        <f t="shared" si="6"/>
        <v>37.273524580178126</v>
      </c>
      <c r="AD31" s="2">
        <f t="shared" si="7"/>
        <v>1.0844353377361804</v>
      </c>
      <c r="AE31" s="2">
        <f t="shared" si="8"/>
        <v>1.4769107035279969</v>
      </c>
    </row>
    <row r="32" spans="2:31" x14ac:dyDescent="0.2">
      <c r="B32" s="1">
        <f>[21]FormattedData!A74</f>
        <v>307</v>
      </c>
      <c r="C32" s="1" t="str">
        <f>VLOOKUP($B32,[21]TrtCodes!$B$11:I117,2)</f>
        <v>NTH</v>
      </c>
      <c r="D32" s="1">
        <f>VLOOKUP($B32,[21]TrtCodes!$B$11:J117,3)</f>
        <v>9</v>
      </c>
      <c r="E32" s="1">
        <f>VLOOKUP($B32,[21]TrtCodes!$B$11:K117,4)</f>
        <v>2</v>
      </c>
      <c r="F32" s="1">
        <f>VLOOKUP($B32,[21]TrtCodes!$B$11:L117,5)</f>
        <v>2</v>
      </c>
      <c r="G32" s="1">
        <f>VLOOKUP($B32,[21]TrtCodes!$B$11:M117,6)</f>
        <v>2</v>
      </c>
      <c r="H32" s="1">
        <f>VLOOKUP($B32,[21]TrtCodes!$B$11:N117,7)</f>
        <v>4</v>
      </c>
      <c r="I32" s="1">
        <f>[21]FormattedData!B74</f>
        <v>1</v>
      </c>
      <c r="J32" s="4">
        <f>[21]FormattedData!C74</f>
        <v>13.555999999999999</v>
      </c>
      <c r="K32" s="6">
        <f>$J$3+[21]FormattedData!D74*$J$4+$M$4*$J$5+[21]FormattedData!D74^2*$J$6+$M$5*$J$7</f>
        <v>32.319431391969466</v>
      </c>
      <c r="L32" s="6">
        <f>$J$3+[21]FormattedData!E74*$J$4+$M$4*$J$5+[21]FormattedData!E74^2*$J$6+$M$5*$J$7</f>
        <v>31.643805778935519</v>
      </c>
      <c r="M32" s="6">
        <f>$J$3+[21]FormattedData!F74*$J$4+$M$4*$J$5+[21]FormattedData!F74^2*$J$6+$M$5*$J$7</f>
        <v>30.189062299389853</v>
      </c>
      <c r="N32" s="6">
        <f>$J$3+[21]FormattedData!G74*$J$4+$M$4*$J$5+[21]FormattedData!G74^2*$J$6+$M$5*$J$7</f>
        <v>31.450389472655864</v>
      </c>
      <c r="O32" s="6">
        <f>$J$3+[21]FormattedData!H74*$J$4+$M$4*$J$5+[21]FormattedData!H74^2*$J$6+$M$5*$J$7</f>
        <v>32.512086864566356</v>
      </c>
      <c r="P32" s="6">
        <f>$J$3+[21]FormattedData!I74*$J$4+$M$4*$J$5+[21]FormattedData!I74^2*$J$6+$M$5*$J$7</f>
        <v>32.030131169039649</v>
      </c>
      <c r="Q32" s="6">
        <f>$J$3+[21]FormattedData!J74*$J$4+$M$4*$J$5+[21]FormattedData!J74^2*$J$6+$M$5*$J$7</f>
        <v>34.142832012764046</v>
      </c>
      <c r="R32" s="6">
        <f>$J$3+[21]FormattedData!K74*$J$4+$M$4*$J$5+[21]FormattedData!K74^2*$J$6+$M$5*$J$7</f>
        <v>32.126606845220856</v>
      </c>
      <c r="S32" s="6">
        <f>$J$3+[21]FormattedData!L74*$J$4+$M$4*$J$5+[21]FormattedData!L74^2*$J$6+$M$5*$J$7</f>
        <v>31.643805778935519</v>
      </c>
      <c r="T32" s="6">
        <f>$J$3+[21]FormattedData!M74*$J$4+$M$4*$J$5+[21]FormattedData!M74^2*$J$6+$M$5*$J$7</f>
        <v>30.772100941732258</v>
      </c>
      <c r="U32" s="6">
        <f>$J$3+[21]FormattedData!N74*$J$4+$M$4*$J$5+[21]FormattedData!N74^2*$J$6+$M$5*$J$7</f>
        <v>32.992985846644785</v>
      </c>
      <c r="V32" s="6">
        <f>$J$3+[21]FormattedData!O74*$J$4+$M$4*$J$5+[21]FormattedData!O74^2*$J$6+$M$5*$J$7</f>
        <v>31.159947999201908</v>
      </c>
      <c r="W32" s="5">
        <f t="shared" si="0"/>
        <v>31.915265533421344</v>
      </c>
      <c r="X32" s="4">
        <f t="shared" si="1"/>
        <v>0.30052399333353891</v>
      </c>
      <c r="Y32" s="3">
        <f t="shared" si="2"/>
        <v>30.189062299389853</v>
      </c>
      <c r="Z32" s="2">
        <f t="shared" si="3"/>
        <v>31.377779104292376</v>
      </c>
      <c r="AA32" s="3">
        <f t="shared" si="4"/>
        <v>31.836968473987582</v>
      </c>
      <c r="AB32" s="2">
        <f t="shared" si="5"/>
        <v>32.367595260118691</v>
      </c>
      <c r="AC32" s="2">
        <f t="shared" si="6"/>
        <v>34.142832012764046</v>
      </c>
      <c r="AD32" s="2">
        <f t="shared" si="7"/>
        <v>0.52073201962806248</v>
      </c>
      <c r="AE32" s="2">
        <f t="shared" si="8"/>
        <v>0.94340540262179928</v>
      </c>
    </row>
    <row r="33" spans="2:31" x14ac:dyDescent="0.2">
      <c r="B33" s="1">
        <f>[21]FormattedData!A76</f>
        <v>308</v>
      </c>
      <c r="C33" s="1" t="str">
        <f>VLOOKUP($B33,[21]TrtCodes!$B$11:I119,2)</f>
        <v>FDH</v>
      </c>
      <c r="D33" s="1">
        <f>VLOOKUP($B33,[21]TrtCodes!$B$11:J119,3)</f>
        <v>5</v>
      </c>
      <c r="E33" s="1">
        <f>VLOOKUP($B33,[21]TrtCodes!$B$11:K119,4)</f>
        <v>1</v>
      </c>
      <c r="F33" s="1">
        <f>VLOOKUP($B33,[21]TrtCodes!$B$11:L119,5)</f>
        <v>3</v>
      </c>
      <c r="G33" s="1">
        <f>VLOOKUP($B33,[21]TrtCodes!$B$11:M119,6)</f>
        <v>2</v>
      </c>
      <c r="H33" s="1">
        <f>VLOOKUP($B33,[21]TrtCodes!$B$11:N119,7)</f>
        <v>4</v>
      </c>
      <c r="I33" s="1">
        <f>[21]FormattedData!B76</f>
        <v>1</v>
      </c>
      <c r="J33" s="4">
        <f>[21]FormattedData!C76</f>
        <v>13.571999999999999</v>
      </c>
      <c r="K33" s="6">
        <f>$J$3+[21]FormattedData!D76*$J$4+$M$4*$J$5+[21]FormattedData!D76^2*$J$6+$M$5*$J$7</f>
        <v>29.799524500402956</v>
      </c>
      <c r="L33" s="6">
        <f>$J$3+[21]FormattedData!E76*$J$4+$M$4*$J$5+[21]FormattedData!E76^2*$J$6+$M$5*$J$7</f>
        <v>30.091741252450031</v>
      </c>
      <c r="M33" s="6">
        <f>$J$3+[21]FormattedData!F76*$J$4+$M$4*$J$5+[21]FormattedData!F76^2*$J$6+$M$5*$J$7</f>
        <v>29.896972352956581</v>
      </c>
      <c r="N33" s="6">
        <f>$J$3+[21]FormattedData!G76*$J$4+$M$4*$J$5+[21]FormattedData!G76^2*$J$6+$M$5*$J$7</f>
        <v>31.159947999201908</v>
      </c>
      <c r="O33" s="6">
        <f>$J$3+[21]FormattedData!H76*$J$4+$M$4*$J$5+[21]FormattedData!H76^2*$J$6+$M$5*$J$7</f>
        <v>30.86912610890657</v>
      </c>
      <c r="P33" s="6">
        <f>$J$3+[21]FormattedData!I76*$J$4+$M$4*$J$5+[21]FormattedData!I76^2*$J$6+$M$5*$J$7</f>
        <v>32.60835119805791</v>
      </c>
      <c r="Q33" s="6">
        <f>$J$3+[21]FormattedData!J76*$J$4+$M$4*$J$5+[21]FormattedData!J76^2*$J$6+$M$5*$J$7</f>
        <v>29.70203437931141</v>
      </c>
      <c r="R33" s="6">
        <f>$J$3+[21]FormattedData!K76*$J$4+$M$4*$J$5+[21]FormattedData!K76^2*$J$6+$M$5*$J$7</f>
        <v>32.030131169039649</v>
      </c>
      <c r="S33" s="6">
        <f>$J$3+[21]FormattedData!L76*$J$4+$M$4*$J$5+[21]FormattedData!L76^2*$J$6+$M$5*$J$7</f>
        <v>30.383577587655715</v>
      </c>
      <c r="T33" s="6">
        <f>$J$3+[21]FormattedData!M76*$J$4+$M$4*$J$5+[21]FormattedData!M76^2*$J$6+$M$5*$J$7</f>
        <v>32.126606845220856</v>
      </c>
      <c r="U33" s="6">
        <f>$J$3+[21]FormattedData!N76*$J$4+$M$4*$J$5+[21]FormattedData!N76^2*$J$6+$M$5*$J$7</f>
        <v>29.896972352956581</v>
      </c>
      <c r="V33" s="6">
        <f>$J$3+[21]FormattedData!O76*$J$4+$M$4*$J$5+[21]FormattedData!O76^2*$J$6+$M$5*$J$7</f>
        <v>30.189062299389853</v>
      </c>
      <c r="W33" s="5">
        <f t="shared" si="0"/>
        <v>30.729504003795839</v>
      </c>
      <c r="X33" s="4">
        <f t="shared" si="1"/>
        <v>0.29520957849194157</v>
      </c>
      <c r="Y33" s="3">
        <f t="shared" si="2"/>
        <v>29.70203437931141</v>
      </c>
      <c r="Z33" s="2">
        <f t="shared" si="3"/>
        <v>29.896972352956581</v>
      </c>
      <c r="AA33" s="3">
        <f t="shared" si="4"/>
        <v>30.286319943522784</v>
      </c>
      <c r="AB33" s="2">
        <f t="shared" si="5"/>
        <v>31.377493791661344</v>
      </c>
      <c r="AC33" s="2">
        <f t="shared" si="6"/>
        <v>32.60835119805791</v>
      </c>
      <c r="AD33" s="2">
        <f t="shared" si="7"/>
        <v>0.83036841376468518</v>
      </c>
      <c r="AE33" s="2">
        <f t="shared" si="8"/>
        <v>-0.82668710154308078</v>
      </c>
    </row>
    <row r="34" spans="2:31" x14ac:dyDescent="0.2">
      <c r="B34" s="1">
        <f>[21]FormattedData!A92</f>
        <v>401</v>
      </c>
      <c r="C34" s="1" t="str">
        <f>VLOOKUP($B34,[21]TrtCodes!$B$11:I129,2)</f>
        <v>NSH</v>
      </c>
      <c r="D34" s="1">
        <f>VLOOKUP($B34,[21]TrtCodes!$B$11:J129,3)</f>
        <v>7</v>
      </c>
      <c r="E34" s="1">
        <f>VLOOKUP($B34,[21]TrtCodes!$B$11:K129,4)</f>
        <v>2</v>
      </c>
      <c r="F34" s="1">
        <f>VLOOKUP($B34,[21]TrtCodes!$B$11:L129,5)</f>
        <v>1</v>
      </c>
      <c r="G34" s="1">
        <f>VLOOKUP($B34,[21]TrtCodes!$B$11:M129,6)</f>
        <v>2</v>
      </c>
      <c r="H34" s="1">
        <f>VLOOKUP($B34,[21]TrtCodes!$B$11:N129,7)</f>
        <v>3</v>
      </c>
      <c r="I34" s="1">
        <f>[21]FormattedData!B92</f>
        <v>1</v>
      </c>
      <c r="J34" s="4">
        <f>[21]FormattedData!C92</f>
        <v>13.715</v>
      </c>
      <c r="K34" s="6">
        <f>$J$3+[21]FormattedData!D92*$J$4+$M$4*$J$5+[21]FormattedData!D92^2*$J$6+$M$5*$J$7</f>
        <v>59.913139161000942</v>
      </c>
      <c r="L34" s="6">
        <f>$J$3+[21]FormattedData!E92*$J$4+$M$4*$J$5+[21]FormattedData!E92^2*$J$6+$M$5*$J$7</f>
        <v>57.30762865408802</v>
      </c>
      <c r="M34" s="6">
        <f>$J$3+[21]FormattedData!F92*$J$4+$M$4*$J$5+[21]FormattedData!F92^2*$J$6+$M$5*$J$7</f>
        <v>46.299411065700561</v>
      </c>
      <c r="N34" s="6">
        <f>$J$3+[21]FormattedData!G92*$J$4+$M$4*$J$5+[21]FormattedData!G92^2*$J$6+$M$5*$J$7</f>
        <v>58.068251773608246</v>
      </c>
      <c r="O34" s="6">
        <f>$J$3+[21]FormattedData!H92*$J$4+$M$4*$J$5+[21]FormattedData!H92^2*$J$6+$M$5*$J$7</f>
        <v>40.914088950775813</v>
      </c>
      <c r="P34" s="6">
        <f>$J$3+[21]FormattedData!I92*$J$4+$M$4*$J$5+[21]FormattedData!I92^2*$J$6+$M$5*$J$7</f>
        <v>55.690625304011206</v>
      </c>
      <c r="Q34" s="6">
        <f>$J$3+[21]FormattedData!J92*$J$4+$M$4*$J$5+[21]FormattedData!J92^2*$J$6+$M$5*$J$7</f>
        <v>43.488179584676793</v>
      </c>
      <c r="R34" s="6">
        <f>$J$3+[21]FormattedData!K92*$J$4+$M$4*$J$5+[21]FormattedData!K92^2*$J$6+$M$5*$J$7</f>
        <v>60.246375267463563</v>
      </c>
      <c r="S34" s="6">
        <f>$J$3+[21]FormattedData!L92*$J$4+$M$4*$J$5+[21]FormattedData!L92^2*$J$6+$M$5*$J$7</f>
        <v>48.091551841048435</v>
      </c>
      <c r="T34" s="6">
        <f>$J$3+[21]FormattedData!M92*$J$4+$M$4*$J$5+[21]FormattedData!M92^2*$J$6+$M$5*$J$7</f>
        <v>54.575462734911078</v>
      </c>
      <c r="U34" s="6">
        <f>$J$3+[21]FormattedData!N92*$J$4+$M$4*$J$5+[21]FormattedData!N92^2*$J$6+$M$5*$J$7</f>
        <v>41.652924900639157</v>
      </c>
      <c r="V34" s="6">
        <f>$J$3+[21]FormattedData!O92*$J$4+$M$4*$J$5+[21]FormattedData!O92^2*$J$6+$M$5*$J$7</f>
        <v>49.690022698889081</v>
      </c>
      <c r="W34" s="5">
        <f t="shared" si="0"/>
        <v>51.328138494734411</v>
      </c>
      <c r="X34" s="4">
        <f t="shared" si="1"/>
        <v>2.0706666632954658</v>
      </c>
      <c r="Y34" s="3">
        <f t="shared" si="2"/>
        <v>40.914088950775813</v>
      </c>
      <c r="Z34" s="2">
        <f t="shared" si="3"/>
        <v>45.596603195444615</v>
      </c>
      <c r="AA34" s="3">
        <f t="shared" si="4"/>
        <v>52.132742716900083</v>
      </c>
      <c r="AB34" s="2">
        <f t="shared" si="5"/>
        <v>57.497784433968079</v>
      </c>
      <c r="AC34" s="2">
        <f t="shared" si="6"/>
        <v>60.246375267463563</v>
      </c>
      <c r="AD34" s="2">
        <f t="shared" si="7"/>
        <v>-0.20784866674440286</v>
      </c>
      <c r="AE34" s="2">
        <f t="shared" si="8"/>
        <v>-1.6147591523847371</v>
      </c>
    </row>
    <row r="35" spans="2:31" x14ac:dyDescent="0.2">
      <c r="B35" s="1">
        <f>[21]FormattedData!A90</f>
        <v>402</v>
      </c>
      <c r="C35" s="1" t="str">
        <f>VLOOKUP($B35,[21]TrtCodes!$B$11:I130,2)</f>
        <v>NTH</v>
      </c>
      <c r="D35" s="1">
        <f>VLOOKUP($B35,[21]TrtCodes!$B$11:J130,3)</f>
        <v>9</v>
      </c>
      <c r="E35" s="1">
        <f>VLOOKUP($B35,[21]TrtCodes!$B$11:K130,4)</f>
        <v>2</v>
      </c>
      <c r="F35" s="1">
        <f>VLOOKUP($B35,[21]TrtCodes!$B$11:L130,5)</f>
        <v>2</v>
      </c>
      <c r="G35" s="1">
        <f>VLOOKUP($B35,[21]TrtCodes!$B$11:M130,6)</f>
        <v>2</v>
      </c>
      <c r="H35" s="1">
        <f>VLOOKUP($B35,[21]TrtCodes!$B$11:N130,7)</f>
        <v>3</v>
      </c>
      <c r="I35" s="1">
        <f>[21]FormattedData!B90</f>
        <v>1</v>
      </c>
      <c r="J35" s="4">
        <f>[21]FormattedData!C90</f>
        <v>13.698</v>
      </c>
      <c r="K35" s="6">
        <f>$J$3+[21]FormattedData!D90*$J$4+$M$4*$J$5+[21]FormattedData!D90^2*$J$6+$M$5*$J$7</f>
        <v>52.410841777278151</v>
      </c>
      <c r="L35" s="6">
        <f>$J$3+[21]FormattedData!E90*$J$4+$M$4*$J$5+[21]FormattedData!E90^2*$J$6+$M$5*$J$7</f>
        <v>39.148511689871036</v>
      </c>
      <c r="M35" s="6">
        <f>$J$3+[21]FormattedData!F90*$J$4+$M$4*$J$5+[21]FormattedData!F90^2*$J$6+$M$5*$J$7</f>
        <v>36.896498268418846</v>
      </c>
      <c r="N35" s="6">
        <f>$J$3+[21]FormattedData!G90*$J$4+$M$4*$J$5+[21]FormattedData!G90^2*$J$6+$M$5*$J$7</f>
        <v>38.868341471134343</v>
      </c>
      <c r="O35" s="6">
        <f>$J$3+[21]FormattedData!H90*$J$4+$M$4*$J$5+[21]FormattedData!H90^2*$J$6+$M$5*$J$7</f>
        <v>38.213131561921138</v>
      </c>
      <c r="P35" s="6">
        <f>$J$3+[21]FormattedData!I90*$J$4+$M$4*$J$5+[21]FormattedData!I90^2*$J$6+$M$5*$J$7</f>
        <v>41.191469446009052</v>
      </c>
      <c r="Q35" s="6">
        <f>$J$3+[21]FormattedData!J90*$J$4+$M$4*$J$5+[21]FormattedData!J90^2*$J$6+$M$5*$J$7</f>
        <v>33.855941096496302</v>
      </c>
      <c r="R35" s="6">
        <f>$J$3+[21]FormattedData!K90*$J$4+$M$4*$J$5+[21]FormattedData!K90^2*$J$6+$M$5*$J$7</f>
        <v>36.329690744642001</v>
      </c>
      <c r="S35" s="6">
        <f>$J$3+[21]FormattedData!L90*$J$4+$M$4*$J$5+[21]FormattedData!L90^2*$J$6+$M$5*$J$7</f>
        <v>38.868341471134343</v>
      </c>
      <c r="T35" s="6">
        <f>$J$3+[21]FormattedData!M90*$J$4+$M$4*$J$5+[21]FormattedData!M90^2*$J$6+$M$5*$J$7</f>
        <v>40.636328038701194</v>
      </c>
      <c r="U35" s="6">
        <f>$J$3+[21]FormattedData!N90*$J$4+$M$4*$J$5+[21]FormattedData!N90^2*$J$6+$M$5*$J$7</f>
        <v>38.213131561921138</v>
      </c>
      <c r="V35" s="6">
        <f>$J$3+[21]FormattedData!O90*$J$4+$M$4*$J$5+[21]FormattedData!O90^2*$J$6+$M$5*$J$7</f>
        <v>34.715472594775385</v>
      </c>
      <c r="W35" s="5">
        <f t="shared" si="0"/>
        <v>39.112308310191914</v>
      </c>
      <c r="X35" s="4">
        <f t="shared" si="1"/>
        <v>1.3619512037903128</v>
      </c>
      <c r="Y35" s="3">
        <f t="shared" si="2"/>
        <v>33.855941096496302</v>
      </c>
      <c r="Z35" s="2">
        <f t="shared" si="3"/>
        <v>36.754796387474634</v>
      </c>
      <c r="AA35" s="3">
        <f t="shared" si="4"/>
        <v>38.540736516527744</v>
      </c>
      <c r="AB35" s="2">
        <f t="shared" si="5"/>
        <v>39.520465777078577</v>
      </c>
      <c r="AC35" s="2">
        <f t="shared" si="6"/>
        <v>52.410841777278151</v>
      </c>
      <c r="AD35" s="2">
        <f t="shared" si="7"/>
        <v>2.1817382639319236</v>
      </c>
      <c r="AE35" s="2">
        <f t="shared" si="8"/>
        <v>6.3102082118237544</v>
      </c>
    </row>
    <row r="36" spans="2:31" x14ac:dyDescent="0.2">
      <c r="B36" s="1">
        <f>[21]FormattedData!A88</f>
        <v>403</v>
      </c>
      <c r="C36" s="1" t="str">
        <f>VLOOKUP($B36,[21]TrtCodes!$B$11:I131,2)</f>
        <v>FDL</v>
      </c>
      <c r="D36" s="1">
        <f>VLOOKUP($B36,[21]TrtCodes!$B$11:J131,3)</f>
        <v>6</v>
      </c>
      <c r="E36" s="1">
        <f>VLOOKUP($B36,[21]TrtCodes!$B$11:K131,4)</f>
        <v>1</v>
      </c>
      <c r="F36" s="1">
        <f>VLOOKUP($B36,[21]TrtCodes!$B$11:L131,5)</f>
        <v>3</v>
      </c>
      <c r="G36" s="1">
        <f>VLOOKUP($B36,[21]TrtCodes!$B$11:M131,6)</f>
        <v>1</v>
      </c>
      <c r="H36" s="1">
        <f>VLOOKUP($B36,[21]TrtCodes!$B$11:N131,7)</f>
        <v>3</v>
      </c>
      <c r="I36" s="1">
        <f>[21]FormattedData!B88</f>
        <v>1</v>
      </c>
      <c r="J36" s="4">
        <f>[21]FormattedData!C88</f>
        <v>13.680999999999999</v>
      </c>
      <c r="K36" s="6">
        <f>$J$3+[21]FormattedData!D88*$J$4+$M$4*$J$5+[21]FormattedData!D88^2*$J$6+$M$5*$J$7</f>
        <v>31.547118760064663</v>
      </c>
      <c r="L36" s="6">
        <f>$J$3+[21]FormattedData!E88*$J$4+$M$4*$J$5+[21]FormattedData!E88^2*$J$6+$M$5*$J$7</f>
        <v>29.018420012608477</v>
      </c>
      <c r="M36" s="6">
        <f>$J$3+[21]FormattedData!F88*$J$4+$M$4*$J$5+[21]FormattedData!F88^2*$J$6+$M$5*$J$7</f>
        <v>32.704573263011525</v>
      </c>
      <c r="N36" s="6">
        <f>$J$3+[21]FormattedData!G88*$J$4+$M$4*$J$5+[21]FormattedData!G88^2*$J$6+$M$5*$J$7</f>
        <v>29.018420012608477</v>
      </c>
      <c r="O36" s="6">
        <f>$J$3+[21]FormattedData!H88*$J$4+$M$4*$J$5+[21]FormattedData!H88^2*$J$6+$M$5*$J$7</f>
        <v>29.018420012608477</v>
      </c>
      <c r="P36" s="6">
        <f>$J$3+[21]FormattedData!I88*$J$4+$M$4*$J$5+[21]FormattedData!I88^2*$J$6+$M$5*$J$7</f>
        <v>29.409310404809169</v>
      </c>
      <c r="Q36" s="6">
        <f>$J$3+[21]FormattedData!J88*$J$4+$M$4*$J$5+[21]FormattedData!J88^2*$J$6+$M$5*$J$7</f>
        <v>29.116206013465547</v>
      </c>
      <c r="R36" s="6">
        <f>$J$3+[21]FormattedData!K88*$J$4+$M$4*$J$5+[21]FormattedData!K88^2*$J$6+$M$5*$J$7</f>
        <v>29.409310404809169</v>
      </c>
      <c r="S36" s="6">
        <f>$J$3+[21]FormattedData!L88*$J$4+$M$4*$J$5+[21]FormattedData!L88^2*$J$6+$M$5*$J$7</f>
        <v>32.41578026253687</v>
      </c>
      <c r="T36" s="6">
        <f>$J$3+[21]FormattedData!M88*$J$4+$M$4*$J$5+[21]FormattedData!M88^2*$J$6+$M$5*$J$7</f>
        <v>29.799524500402956</v>
      </c>
      <c r="U36" s="6">
        <f>$J$3+[21]FormattedData!N88*$J$4+$M$4*$J$5+[21]FormattedData!N88^2*$J$6+$M$5*$J$7</f>
        <v>30.383577587655715</v>
      </c>
      <c r="V36" s="6">
        <f>$J$3+[21]FormattedData!O88*$J$4+$M$4*$J$5+[21]FormattedData!O88^2*$J$6+$M$5*$J$7</f>
        <v>28.528855980254161</v>
      </c>
      <c r="W36" s="5">
        <f t="shared" si="0"/>
        <v>30.03079310123627</v>
      </c>
      <c r="X36" s="4">
        <f t="shared" si="1"/>
        <v>0.41059743637882079</v>
      </c>
      <c r="Y36" s="3">
        <f t="shared" si="2"/>
        <v>28.528855980254161</v>
      </c>
      <c r="Z36" s="2">
        <f t="shared" si="3"/>
        <v>29.018420012608477</v>
      </c>
      <c r="AA36" s="3">
        <f t="shared" si="4"/>
        <v>29.409310404809169</v>
      </c>
      <c r="AB36" s="2">
        <f t="shared" si="5"/>
        <v>30.67446288075795</v>
      </c>
      <c r="AC36" s="2">
        <f t="shared" si="6"/>
        <v>32.704573263011525</v>
      </c>
      <c r="AD36" s="2">
        <f t="shared" si="7"/>
        <v>1.0787005449383424</v>
      </c>
      <c r="AE36" s="2">
        <f t="shared" si="8"/>
        <v>-0.26002541466272078</v>
      </c>
    </row>
    <row r="37" spans="2:31" x14ac:dyDescent="0.2">
      <c r="B37" s="1">
        <f>[21]FormattedData!A86</f>
        <v>404</v>
      </c>
      <c r="C37" s="1" t="str">
        <f>VLOOKUP($B37,[21]TrtCodes!$B$11:I129,2)</f>
        <v>FTH</v>
      </c>
      <c r="D37" s="1">
        <f>VLOOKUP($B37,[21]TrtCodes!$B$11:J129,3)</f>
        <v>3</v>
      </c>
      <c r="E37" s="1">
        <f>VLOOKUP($B37,[21]TrtCodes!$B$11:K129,4)</f>
        <v>1</v>
      </c>
      <c r="F37" s="1">
        <f>VLOOKUP($B37,[21]TrtCodes!$B$11:L129,5)</f>
        <v>2</v>
      </c>
      <c r="G37" s="1">
        <f>VLOOKUP($B37,[21]TrtCodes!$B$11:M129,6)</f>
        <v>2</v>
      </c>
      <c r="H37" s="1">
        <f>VLOOKUP($B37,[21]TrtCodes!$B$11:N129,7)</f>
        <v>3</v>
      </c>
      <c r="I37" s="1">
        <f>[21]FormattedData!B86</f>
        <v>1</v>
      </c>
      <c r="J37" s="4">
        <f>[21]FormattedData!C86</f>
        <v>13.664</v>
      </c>
      <c r="K37" s="6">
        <f>$J$3+[21]FormattedData!D86*$J$4+$M$4*$J$5+[21]FormattedData!D86^2*$J$6+$M$5*$J$7</f>
        <v>33.08903883744668</v>
      </c>
      <c r="L37" s="6">
        <f>$J$3+[21]FormattedData!E86*$J$4+$M$4*$J$5+[21]FormattedData!E86^2*$J$6+$M$5*$J$7</f>
        <v>29.409310404809169</v>
      </c>
      <c r="M37" s="6">
        <f>$J$3+[21]FormattedData!F86*$J$4+$M$4*$J$5+[21]FormattedData!F86^2*$J$6+$M$5*$J$7</f>
        <v>29.213949745784685</v>
      </c>
      <c r="N37" s="6">
        <f>$J$3+[21]FormattedData!G86*$J$4+$M$4*$J$5+[21]FormattedData!G86^2*$J$6+$M$5*$J$7</f>
        <v>30.091741252450031</v>
      </c>
      <c r="O37" s="6">
        <f>$J$3+[21]FormattedData!H86*$J$4+$M$4*$J$5+[21]FormattedData!H86^2*$J$6+$M$5*$J$7</f>
        <v>29.311651209565891</v>
      </c>
      <c r="P37" s="6">
        <f>$J$3+[21]FormattedData!I86*$J$4+$M$4*$J$5+[21]FormattedData!I86^2*$J$6+$M$5*$J$7</f>
        <v>30.86912610890657</v>
      </c>
      <c r="Q37" s="6">
        <f>$J$3+[21]FormattedData!J86*$J$4+$M$4*$J$5+[21]FormattedData!J86^2*$J$6+$M$5*$J$7</f>
        <v>29.213949745784685</v>
      </c>
      <c r="R37" s="6">
        <f>$J$3+[21]FormattedData!K86*$J$4+$M$4*$J$5+[21]FormattedData!K86^2*$J$6+$M$5*$J$7</f>
        <v>31.256804092224488</v>
      </c>
      <c r="S37" s="6">
        <f>$J$3+[21]FormattedData!L86*$J$4+$M$4*$J$5+[21]FormattedData!L86^2*$J$6+$M$5*$J$7</f>
        <v>30.091741252450031</v>
      </c>
      <c r="T37" s="6">
        <f>$J$3+[21]FormattedData!M86*$J$4+$M$4*$J$5+[21]FormattedData!M86^2*$J$6+$M$5*$J$7</f>
        <v>31.643805778935519</v>
      </c>
      <c r="U37" s="6">
        <f>$J$3+[21]FormattedData!N86*$J$4+$M$4*$J$5+[21]FormattedData!N86^2*$J$6+$M$5*$J$7</f>
        <v>30.189062299389853</v>
      </c>
      <c r="V37" s="6">
        <f>$J$3+[21]FormattedData!O86*$J$4+$M$4*$J$5+[21]FormattedData!O86^2*$J$6+$M$5*$J$7</f>
        <v>32.126606845220856</v>
      </c>
      <c r="W37" s="5">
        <f t="shared" si="0"/>
        <v>30.542232297747372</v>
      </c>
      <c r="X37" s="4">
        <f t="shared" si="1"/>
        <v>0.36602416630705259</v>
      </c>
      <c r="Y37" s="3">
        <f t="shared" si="2"/>
        <v>29.213949745784685</v>
      </c>
      <c r="Z37" s="2">
        <f t="shared" si="3"/>
        <v>29.384895605998349</v>
      </c>
      <c r="AA37" s="3">
        <f t="shared" si="4"/>
        <v>30.140401775919941</v>
      </c>
      <c r="AB37" s="2">
        <f t="shared" si="5"/>
        <v>31.353554513902246</v>
      </c>
      <c r="AC37" s="2">
        <f t="shared" si="6"/>
        <v>33.08903883744668</v>
      </c>
      <c r="AD37" s="2">
        <f t="shared" si="7"/>
        <v>0.74929742016808309</v>
      </c>
      <c r="AE37" s="2">
        <f t="shared" si="8"/>
        <v>-0.35212354638413901</v>
      </c>
    </row>
    <row r="38" spans="2:31" x14ac:dyDescent="0.2">
      <c r="B38" s="1">
        <f>[21]FormattedData!A84</f>
        <v>405</v>
      </c>
      <c r="C38" s="1" t="str">
        <f>VLOOKUP($B38,[21]TrtCodes!$B$11:I127,2)</f>
        <v>FDL</v>
      </c>
      <c r="D38" s="1">
        <f>VLOOKUP($B38,[21]TrtCodes!$B$11:J127,3)</f>
        <v>6</v>
      </c>
      <c r="E38" s="1">
        <f>VLOOKUP($B38,[21]TrtCodes!$B$11:K127,4)</f>
        <v>1</v>
      </c>
      <c r="F38" s="1">
        <f>VLOOKUP($B38,[21]TrtCodes!$B$11:L127,5)</f>
        <v>3</v>
      </c>
      <c r="G38" s="1">
        <f>VLOOKUP($B38,[21]TrtCodes!$B$11:M127,6)</f>
        <v>1</v>
      </c>
      <c r="H38" s="1">
        <f>VLOOKUP($B38,[21]TrtCodes!$B$11:N127,7)</f>
        <v>4</v>
      </c>
      <c r="I38" s="1">
        <f>[21]FormattedData!B84</f>
        <v>1</v>
      </c>
      <c r="J38" s="4">
        <f>[21]FormattedData!C84</f>
        <v>13.648</v>
      </c>
      <c r="K38" s="6">
        <f>$J$3+[21]FormattedData!D84*$J$4+$M$4*$J$5+[21]FormattedData!D84^2*$J$6+$M$5*$J$7</f>
        <v>32.030131169039649</v>
      </c>
      <c r="L38" s="6">
        <f>$J$3+[21]FormattedData!E84*$J$4+$M$4*$J$5+[21]FormattedData!E84^2*$J$6+$M$5*$J$7</f>
        <v>29.311651209565891</v>
      </c>
      <c r="M38" s="6">
        <f>$J$3+[21]FormattedData!F84*$J$4+$M$4*$J$5+[21]FormattedData!F84^2*$J$6+$M$5*$J$7</f>
        <v>32.223040252864124</v>
      </c>
      <c r="N38" s="6">
        <f>$J$3+[21]FormattedData!G84*$J$4+$M$4*$J$5+[21]FormattedData!G84^2*$J$6+$M$5*$J$7</f>
        <v>29.70203437931141</v>
      </c>
      <c r="O38" s="6">
        <f>$J$3+[21]FormattedData!H84*$J$4+$M$4*$J$5+[21]FormattedData!H84^2*$J$6+$M$5*$J$7</f>
        <v>29.506927331514511</v>
      </c>
      <c r="P38" s="6">
        <f>$J$3+[21]FormattedData!I84*$J$4+$M$4*$J$5+[21]FormattedData!I84^2*$J$6+$M$5*$J$7</f>
        <v>31.159947999201908</v>
      </c>
      <c r="Q38" s="6">
        <f>$J$3+[21]FormattedData!J84*$J$4+$M$4*$J$5+[21]FormattedData!J84^2*$J$6+$M$5*$J$7</f>
        <v>29.799524500402956</v>
      </c>
      <c r="R38" s="6">
        <f>$J$3+[21]FormattedData!K84*$J$4+$M$4*$J$5+[21]FormattedData!K84^2*$J$6+$M$5*$J$7</f>
        <v>32.030131169039649</v>
      </c>
      <c r="S38" s="6">
        <f>$J$3+[21]FormattedData!L84*$J$4+$M$4*$J$5+[21]FormattedData!L84^2*$J$6+$M$5*$J$7</f>
        <v>30.286341077791747</v>
      </c>
      <c r="T38" s="6">
        <f>$J$3+[21]FormattedData!M84*$J$4+$M$4*$J$5+[21]FormattedData!M84^2*$J$6+$M$5*$J$7</f>
        <v>31.353617916709148</v>
      </c>
      <c r="U38" s="6">
        <f>$J$3+[21]FormattedData!N84*$J$4+$M$4*$J$5+[21]FormattedData!N84^2*$J$6+$M$5*$J$7</f>
        <v>29.506927331514511</v>
      </c>
      <c r="V38" s="6">
        <f>$J$3+[21]FormattedData!O84*$J$4+$M$4*$J$5+[21]FormattedData!O84^2*$J$6+$M$5*$J$7</f>
        <v>30.189062299389853</v>
      </c>
      <c r="W38" s="5">
        <f t="shared" si="0"/>
        <v>30.591611386362114</v>
      </c>
      <c r="X38" s="4">
        <f t="shared" si="1"/>
        <v>0.3182487663514274</v>
      </c>
      <c r="Y38" s="3">
        <f t="shared" si="2"/>
        <v>29.311651209565891</v>
      </c>
      <c r="Z38" s="2">
        <f t="shared" si="3"/>
        <v>29.653257617362186</v>
      </c>
      <c r="AA38" s="3">
        <f t="shared" si="4"/>
        <v>30.2377016885908</v>
      </c>
      <c r="AB38" s="2">
        <f t="shared" si="5"/>
        <v>31.522746229791771</v>
      </c>
      <c r="AC38" s="2">
        <f t="shared" si="6"/>
        <v>32.223040252864124</v>
      </c>
      <c r="AD38" s="2">
        <f t="shared" si="7"/>
        <v>0.40528303186890924</v>
      </c>
      <c r="AE38" s="2">
        <f t="shared" si="8"/>
        <v>-1.6228087041995605</v>
      </c>
    </row>
    <row r="39" spans="2:31" x14ac:dyDescent="0.2">
      <c r="B39" s="1">
        <f>[21]FormattedData!A82</f>
        <v>406</v>
      </c>
      <c r="C39" s="1" t="str">
        <f>VLOOKUP($B39,[21]TrtCodes!$B$11:I125,2)</f>
        <v>FTH</v>
      </c>
      <c r="D39" s="1">
        <f>VLOOKUP($B39,[21]TrtCodes!$B$11:J125,3)</f>
        <v>3</v>
      </c>
      <c r="E39" s="1">
        <f>VLOOKUP($B39,[21]TrtCodes!$B$11:K125,4)</f>
        <v>1</v>
      </c>
      <c r="F39" s="1">
        <f>VLOOKUP($B39,[21]TrtCodes!$B$11:L125,5)</f>
        <v>2</v>
      </c>
      <c r="G39" s="1">
        <f>VLOOKUP($B39,[21]TrtCodes!$B$11:M125,6)</f>
        <v>2</v>
      </c>
      <c r="H39" s="1">
        <f>VLOOKUP($B39,[21]TrtCodes!$B$11:N125,7)</f>
        <v>4</v>
      </c>
      <c r="I39" s="1">
        <f>[21]FormattedData!B82</f>
        <v>1</v>
      </c>
      <c r="J39" s="4">
        <f>[21]FormattedData!C82</f>
        <v>13.631</v>
      </c>
      <c r="K39" s="6">
        <f>$J$3+[21]FormattedData!D82*$J$4+$M$4*$J$5+[21]FormattedData!D82^2*$J$6+$M$5*$J$7</f>
        <v>35.666492081759806</v>
      </c>
      <c r="L39" s="6">
        <f>$J$3+[21]FormattedData!E82*$J$4+$M$4*$J$5+[21]FormattedData!E82^2*$J$6+$M$5*$J$7</f>
        <v>31.93361322432051</v>
      </c>
      <c r="M39" s="6">
        <f>$J$3+[21]FormattedData!F82*$J$4+$M$4*$J$5+[21]FormattedData!F82^2*$J$6+$M$5*$J$7</f>
        <v>33.568669763387177</v>
      </c>
      <c r="N39" s="6">
        <f>$J$3+[21]FormattedData!G82*$J$4+$M$4*$J$5+[21]FormattedData!G82^2*$J$6+$M$5*$J$7</f>
        <v>30.286341077791747</v>
      </c>
      <c r="O39" s="6">
        <f>$J$3+[21]FormattedData!H82*$J$4+$M$4*$J$5+[21]FormattedData!H82^2*$J$6+$M$5*$J$7</f>
        <v>32.60835119805791</v>
      </c>
      <c r="P39" s="6">
        <f>$J$3+[21]FormattedData!I82*$J$4+$M$4*$J$5+[21]FormattedData!I82^2*$J$6+$M$5*$J$7</f>
        <v>30.286341077791747</v>
      </c>
      <c r="Q39" s="6">
        <f>$J$3+[21]FormattedData!J82*$J$4+$M$4*$J$5+[21]FormattedData!J82^2*$J$6+$M$5*$J$7</f>
        <v>30.189062299389853</v>
      </c>
      <c r="R39" s="6">
        <f>$J$3+[21]FormattedData!K82*$J$4+$M$4*$J$5+[21]FormattedData!K82^2*$J$6+$M$5*$J$7</f>
        <v>32.319431391969466</v>
      </c>
      <c r="S39" s="6">
        <f>$J$3+[21]FormattedData!L82*$J$4+$M$4*$J$5+[21]FormattedData!L82^2*$J$6+$M$5*$J$7</f>
        <v>31.547118760064663</v>
      </c>
      <c r="T39" s="6">
        <f>$J$3+[21]FormattedData!M82*$J$4+$M$4*$J$5+[21]FormattedData!M82^2*$J$6+$M$5*$J$7</f>
        <v>30.86912610890657</v>
      </c>
      <c r="U39" s="6">
        <f>$J$3+[21]FormattedData!N82*$J$4+$M$4*$J$5+[21]FormattedData!N82^2*$J$6+$M$5*$J$7</f>
        <v>32.41578026253687</v>
      </c>
      <c r="V39" s="6">
        <f>$J$3+[21]FormattedData!O82*$J$4+$M$4*$J$5+[21]FormattedData!O82^2*$J$6+$M$5*$J$7</f>
        <v>30.189062299389853</v>
      </c>
      <c r="W39" s="5">
        <f t="shared" si="0"/>
        <v>31.823282462113848</v>
      </c>
      <c r="X39" s="4">
        <f t="shared" si="1"/>
        <v>0.47748369532865009</v>
      </c>
      <c r="Y39" s="3">
        <f t="shared" si="2"/>
        <v>30.189062299389853</v>
      </c>
      <c r="Z39" s="2">
        <f t="shared" si="3"/>
        <v>30.286341077791747</v>
      </c>
      <c r="AA39" s="3">
        <f t="shared" si="4"/>
        <v>31.740365992192586</v>
      </c>
      <c r="AB39" s="2">
        <f t="shared" si="5"/>
        <v>32.463922996417132</v>
      </c>
      <c r="AC39" s="2">
        <f t="shared" si="6"/>
        <v>35.666492081759806</v>
      </c>
      <c r="AD39" s="2">
        <f t="shared" si="7"/>
        <v>1.1093475781625262</v>
      </c>
      <c r="AE39" s="2">
        <f t="shared" si="8"/>
        <v>1.3194331144833651</v>
      </c>
    </row>
    <row r="40" spans="2:31" x14ac:dyDescent="0.2">
      <c r="B40" s="1">
        <f>[21]FormattedData!A80</f>
        <v>407</v>
      </c>
      <c r="C40" s="1" t="str">
        <f>VLOOKUP($B40,[21]TrtCodes!$B$11:I123,2)</f>
        <v>NSH</v>
      </c>
      <c r="D40" s="1">
        <f>VLOOKUP($B40,[21]TrtCodes!$B$11:J123,3)</f>
        <v>7</v>
      </c>
      <c r="E40" s="1">
        <f>VLOOKUP($B40,[21]TrtCodes!$B$11:K123,4)</f>
        <v>2</v>
      </c>
      <c r="F40" s="1">
        <f>VLOOKUP($B40,[21]TrtCodes!$B$11:L123,5)</f>
        <v>1</v>
      </c>
      <c r="G40" s="1">
        <f>VLOOKUP($B40,[21]TrtCodes!$B$11:M123,6)</f>
        <v>2</v>
      </c>
      <c r="H40" s="1">
        <f>VLOOKUP($B40,[21]TrtCodes!$B$11:N123,7)</f>
        <v>4</v>
      </c>
      <c r="I40" s="1">
        <f>[21]FormattedData!B80</f>
        <v>1</v>
      </c>
      <c r="J40" s="4">
        <f>[21]FormattedData!C80</f>
        <v>13.611000000000001</v>
      </c>
      <c r="K40" s="6">
        <f>$J$3+[21]FormattedData!D80*$J$4+$M$4*$J$5+[21]FormattedData!D80^2*$J$6+$M$5*$J$7</f>
        <v>41.376178433474884</v>
      </c>
      <c r="L40" s="6">
        <f>$J$3+[21]FormattedData!E80*$J$4+$M$4*$J$5+[21]FormattedData!E80^2*$J$6+$M$5*$J$7</f>
        <v>33.568669763387177</v>
      </c>
      <c r="M40" s="6">
        <f>$J$3+[21]FormattedData!F80*$J$4+$M$4*$J$5+[21]FormattedData!F80^2*$J$6+$M$5*$J$7</f>
        <v>35.001222260518993</v>
      </c>
      <c r="N40" s="6">
        <f>$J$3+[21]FormattedData!G80*$J$4+$M$4*$J$5+[21]FormattedData!G80^2*$J$6+$M$5*$J$7</f>
        <v>33.472828115274936</v>
      </c>
      <c r="O40" s="6">
        <f>$J$3+[21]FormattedData!H80*$J$4+$M$4*$J$5+[21]FormattedData!H80^2*$J$6+$M$5*$J$7</f>
        <v>34.620138169118334</v>
      </c>
      <c r="P40" s="6">
        <f>$J$3+[21]FormattedData!I80*$J$4+$M$4*$J$5+[21]FormattedData!I80^2*$J$6+$M$5*$J$7</f>
        <v>36.045716357491507</v>
      </c>
      <c r="Q40" s="6">
        <f>$J$3+[21]FormattedData!J80*$J$4+$M$4*$J$5+[21]FormattedData!J80^2*$J$6+$M$5*$J$7</f>
        <v>32.41578026253687</v>
      </c>
      <c r="R40" s="6">
        <f>$J$3+[21]FormattedData!K80*$J$4+$M$4*$J$5+[21]FormattedData!K80^2*$J$6+$M$5*$J$7</f>
        <v>38.213131561921138</v>
      </c>
      <c r="S40" s="6">
        <f>$J$3+[21]FormattedData!L80*$J$4+$M$4*$J$5+[21]FormattedData!L80^2*$J$6+$M$5*$J$7</f>
        <v>32.223040252864124</v>
      </c>
      <c r="T40" s="6">
        <f>$J$3+[21]FormattedData!M80*$J$4+$M$4*$J$5+[21]FormattedData!M80^2*$J$6+$M$5*$J$7</f>
        <v>39.428301491766348</v>
      </c>
      <c r="U40" s="6">
        <f>$J$3+[21]FormattedData!N80*$J$4+$M$4*$J$5+[21]FormattedData!N80^2*$J$6+$M$5*$J$7</f>
        <v>31.547118760064663</v>
      </c>
      <c r="V40" s="6">
        <f>$J$3+[21]FormattedData!O80*$J$4+$M$4*$J$5+[21]FormattedData!O80^2*$J$6+$M$5*$J$7</f>
        <v>37.273524580178126</v>
      </c>
      <c r="W40" s="5">
        <f t="shared" si="0"/>
        <v>35.432137500716429</v>
      </c>
      <c r="X40" s="4">
        <f t="shared" si="1"/>
        <v>0.89378572400068668</v>
      </c>
      <c r="Y40" s="3">
        <f t="shared" si="2"/>
        <v>31.547118760064663</v>
      </c>
      <c r="Z40" s="2">
        <f t="shared" si="3"/>
        <v>33.20856615209042</v>
      </c>
      <c r="AA40" s="3">
        <f t="shared" si="4"/>
        <v>34.81068021481866</v>
      </c>
      <c r="AB40" s="2">
        <f t="shared" si="5"/>
        <v>37.508426325613883</v>
      </c>
      <c r="AC40" s="2">
        <f t="shared" si="6"/>
        <v>41.376178433474884</v>
      </c>
      <c r="AD40" s="2">
        <f t="shared" si="7"/>
        <v>0.61775243966453075</v>
      </c>
      <c r="AE40" s="2">
        <f t="shared" si="8"/>
        <v>-0.57181763734558677</v>
      </c>
    </row>
    <row r="41" spans="2:31" x14ac:dyDescent="0.2">
      <c r="B41" s="1">
        <f>[21]FormattedData!A78</f>
        <v>408</v>
      </c>
      <c r="C41" s="1" t="str">
        <f>VLOOKUP($B41,[21]TrtCodes!$B$11:I121,2)</f>
        <v>NTL</v>
      </c>
      <c r="D41" s="1">
        <f>VLOOKUP($B41,[21]TrtCodes!$B$11:J121,3)</f>
        <v>10</v>
      </c>
      <c r="E41" s="1">
        <f>VLOOKUP($B41,[21]TrtCodes!$B$11:K121,4)</f>
        <v>2</v>
      </c>
      <c r="F41" s="1">
        <f>VLOOKUP($B41,[21]TrtCodes!$B$11:L121,5)</f>
        <v>2</v>
      </c>
      <c r="G41" s="1">
        <f>VLOOKUP($B41,[21]TrtCodes!$B$11:M121,6)</f>
        <v>1</v>
      </c>
      <c r="H41" s="1">
        <f>VLOOKUP($B41,[21]TrtCodes!$B$11:N121,7)</f>
        <v>4</v>
      </c>
      <c r="I41" s="1">
        <f>[21]FormattedData!B78</f>
        <v>1</v>
      </c>
      <c r="J41" s="4">
        <f>[21]FormattedData!C78</f>
        <v>13.593</v>
      </c>
      <c r="K41" s="6">
        <f>$J$3+[21]FormattedData!D78*$J$4+$M$4*$J$5+[21]FormattedData!D78^2*$J$6+$M$5*$J$7</f>
        <v>43.396818401585257</v>
      </c>
      <c r="L41" s="6">
        <f>$J$3+[21]FormattedData!E78*$J$4+$M$4*$J$5+[21]FormattedData!E78^2*$J$6+$M$5*$J$7</f>
        <v>43.579498499230397</v>
      </c>
      <c r="M41" s="6">
        <f>$J$3+[21]FormattedData!F78*$J$4+$M$4*$J$5+[21]FormattedData!F78^2*$J$6+$M$5*$J$7</f>
        <v>35.191510694991734</v>
      </c>
      <c r="N41" s="6">
        <f>$J$3+[21]FormattedData!G78*$J$4+$M$4*$J$5+[21]FormattedData!G78^2*$J$6+$M$5*$J$7</f>
        <v>38.400545735814568</v>
      </c>
      <c r="O41" s="6">
        <f>$J$3+[21]FormattedData!H78*$J$4+$M$4*$J$5+[21]FormattedData!H78^2*$J$6+$M$5*$J$7</f>
        <v>34.906014640475718</v>
      </c>
      <c r="P41" s="6">
        <f>$J$3+[21]FormattedData!I78*$J$4+$M$4*$J$5+[21]FormattedData!I78^2*$J$6+$M$5*$J$7</f>
        <v>37.08509596137435</v>
      </c>
      <c r="Q41" s="6">
        <f>$J$3+[21]FormattedData!J78*$J$4+$M$4*$J$5+[21]FormattedData!J78^2*$J$6+$M$5*$J$7</f>
        <v>39.055163885496732</v>
      </c>
      <c r="R41" s="6">
        <f>$J$3+[21]FormattedData!K78*$J$4+$M$4*$J$5+[21]FormattedData!K78^2*$J$6+$M$5*$J$7</f>
        <v>41.006591384391484</v>
      </c>
      <c r="S41" s="6">
        <f>$J$3+[21]FormattedData!L78*$J$4+$M$4*$J$5+[21]FormattedData!L78^2*$J$6+$M$5*$J$7</f>
        <v>33.951613670456808</v>
      </c>
      <c r="T41" s="6">
        <f>$J$3+[21]FormattedData!M78*$J$4+$M$4*$J$5+[21]FormattedData!M78^2*$J$6+$M$5*$J$7</f>
        <v>37.555850494349308</v>
      </c>
      <c r="U41" s="6">
        <f>$J$3+[21]FormattedData!N78*$J$4+$M$4*$J$5+[21]FormattedData!N78^2*$J$6+$M$5*$J$7</f>
        <v>34.047243975879397</v>
      </c>
      <c r="V41" s="6">
        <f>$J$3+[21]FormattedData!O78*$J$4+$M$4*$J$5+[21]FormattedData!O78^2*$J$6+$M$5*$J$7</f>
        <v>41.283845074010927</v>
      </c>
      <c r="W41" s="5">
        <f t="shared" si="0"/>
        <v>38.288316034838054</v>
      </c>
      <c r="X41" s="4">
        <f t="shared" si="1"/>
        <v>0.9956890582307546</v>
      </c>
      <c r="Y41" s="3">
        <f t="shared" si="2"/>
        <v>33.951613670456808</v>
      </c>
      <c r="Z41" s="2">
        <f t="shared" si="3"/>
        <v>35.12013668136273</v>
      </c>
      <c r="AA41" s="3">
        <f t="shared" si="4"/>
        <v>37.978198115081938</v>
      </c>
      <c r="AB41" s="2">
        <f t="shared" si="5"/>
        <v>41.075904806796345</v>
      </c>
      <c r="AC41" s="2">
        <f t="shared" si="6"/>
        <v>43.579498499230397</v>
      </c>
      <c r="AD41" s="2">
        <f t="shared" si="7"/>
        <v>0.26717794897099034</v>
      </c>
      <c r="AE41" s="2">
        <f t="shared" si="8"/>
        <v>-1.2468757204558147</v>
      </c>
    </row>
    <row r="42" spans="2:31" x14ac:dyDescent="0.2">
      <c r="B42" s="17">
        <f>[21]FormattedData!A60</f>
        <v>901</v>
      </c>
      <c r="C42" s="17" t="str">
        <f>VLOOKUP($B42,[21]TrtCodes!$B$11:I103,2)</f>
        <v>WS</v>
      </c>
      <c r="D42" s="17">
        <f>VLOOKUP($B42,[21]TrtCodes!$B$11:J103,3)</f>
        <v>32</v>
      </c>
      <c r="E42" s="17">
        <f>VLOOKUP($B42,[21]TrtCodes!$B$11:K103,4)</f>
        <v>9</v>
      </c>
      <c r="F42" s="17">
        <f>VLOOKUP($B42,[21]TrtCodes!$B$11:L103,5)</f>
        <v>0</v>
      </c>
      <c r="G42" s="17">
        <f>VLOOKUP($B42,[21]TrtCodes!$B$11:M103,6)</f>
        <v>1</v>
      </c>
      <c r="H42" s="17">
        <f>VLOOKUP($B42,[21]TrtCodes!$B$11:N103,7)</f>
        <v>1</v>
      </c>
      <c r="I42" s="17">
        <f>[21]FormattedData!B60</f>
        <v>1</v>
      </c>
      <c r="J42" s="15">
        <f>[21]FormattedData!C60</f>
        <v>13.442</v>
      </c>
      <c r="K42" s="14">
        <f>$J$3+[21]FormattedData!D60*$J$4+$M$4*$J$5+[21]FormattedData!D60^2*$J$6+$M$5*$J$7</f>
        <v>37.743856427773771</v>
      </c>
      <c r="L42" s="14">
        <f>$J$3+[21]FormattedData!E60*$J$4+$M$4*$J$5+[21]FormattedData!E60^2*$J$6+$M$5*$J$7</f>
        <v>37.931693287046514</v>
      </c>
      <c r="M42" s="14">
        <f>$J$3+[21]FormattedData!F60*$J$4+$M$4*$J$5+[21]FormattedData!F60^2*$J$6+$M$5*$J$7</f>
        <v>37.837795991679101</v>
      </c>
      <c r="N42" s="14">
        <f>$J$3+[21]FormattedData!G60*$J$4+$M$4*$J$5+[21]FormattedData!G60^2*$J$6+$M$5*$J$7</f>
        <v>37.931693287046514</v>
      </c>
      <c r="O42" s="14">
        <f>$J$3+[21]FormattedData!H60*$J$4+$M$4*$J$5+[21]FormattedData!H60^2*$J$6+$M$5*$J$7</f>
        <v>38.025548313875987</v>
      </c>
      <c r="P42" s="14">
        <f>$J$3+[21]FormattedData!I60*$J$4+$M$4*$J$5+[21]FormattedData!I60^2*$J$6+$M$5*$J$7</f>
        <v>37.555850494349308</v>
      </c>
      <c r="Q42" s="14">
        <f>$J$3+[21]FormattedData!J60*$J$4+$M$4*$J$5+[21]FormattedData!J60^2*$J$6+$M$5*$J$7</f>
        <v>38.025548313875987</v>
      </c>
      <c r="R42" s="14">
        <f>$J$3+[21]FormattedData!K60*$J$4+$M$4*$J$5+[21]FormattedData!K60^2*$J$6+$M$5*$J$7</f>
        <v>37.931693287046514</v>
      </c>
      <c r="S42" s="14">
        <f>$J$3+[21]FormattedData!L60*$J$4+$M$4*$J$5+[21]FormattedData!L60^2*$J$6+$M$5*$J$7</f>
        <v>37.931693287046514</v>
      </c>
      <c r="T42" s="14">
        <f>$J$3+[21]FormattedData!M60*$J$4+$M$4*$J$5+[21]FormattedData!M60^2*$J$6+$M$5*$J$7</f>
        <v>37.931693287046514</v>
      </c>
      <c r="U42" s="14">
        <f>$J$3+[21]FormattedData!N60*$J$4+$M$4*$J$5+[21]FormattedData!N60^2*$J$6+$M$5*$J$7</f>
        <v>37.743856427773771</v>
      </c>
      <c r="V42" s="14">
        <f>$J$3+[21]FormattedData!O60*$J$4+$M$4*$J$5+[21]FormattedData!O60^2*$J$6+$M$5*$J$7</f>
        <v>37.837795991679101</v>
      </c>
      <c r="W42" s="16">
        <f t="shared" ref="W42:W73" si="9">AVERAGE(K42:V42)</f>
        <v>37.869059866353304</v>
      </c>
      <c r="X42" s="15">
        <f t="shared" ref="X42:X73" si="10">STDEV(K42:V42)/SQRT(COUNT(K42:V42))</f>
        <v>3.892482730440721E-2</v>
      </c>
      <c r="Y42" s="14">
        <f t="shared" ref="Y42:Y73" si="11">MIN(K42:V42)</f>
        <v>37.555850494349308</v>
      </c>
      <c r="Z42" s="13">
        <f t="shared" ref="Z42:Z73" si="12">QUARTILE(K42:V42,1)</f>
        <v>37.814311100702767</v>
      </c>
      <c r="AA42" s="14">
        <f t="shared" ref="AA42:AA73" si="13">MEDIAN(K42:V42)</f>
        <v>37.931693287046514</v>
      </c>
      <c r="AB42" s="13">
        <f t="shared" ref="AB42:AB73" si="14">QUARTILE(K42:V42,3)</f>
        <v>37.931693287046514</v>
      </c>
      <c r="AC42" s="13">
        <f t="shared" ref="AC42:AC73" si="15">MAX(K42:V42)</f>
        <v>38.025548313875987</v>
      </c>
      <c r="AD42" s="13">
        <f t="shared" ref="AD42:AD73" si="16">SKEW(K42:V42)</f>
        <v>-1.1489027162560919</v>
      </c>
      <c r="AE42" s="13">
        <f t="shared" ref="AE42:AE73" si="17">KURT(K42:V42)</f>
        <v>1.3975609468641048</v>
      </c>
    </row>
    <row r="43" spans="2:31" x14ac:dyDescent="0.2">
      <c r="B43" s="1">
        <f>[21]FormattedData!A58</f>
        <v>902</v>
      </c>
      <c r="C43" s="1" t="str">
        <f>VLOOKUP($B43,[21]TrtCodes!$B$11:I101,2)</f>
        <v>Late</v>
      </c>
      <c r="D43" s="1">
        <f>VLOOKUP($B43,[21]TrtCodes!$B$11:J101,3)</f>
        <v>22</v>
      </c>
      <c r="E43" s="1">
        <f>VLOOKUP($B43,[21]TrtCodes!$B$11:K101,4)</f>
        <v>4</v>
      </c>
      <c r="F43" s="1">
        <f>VLOOKUP($B43,[21]TrtCodes!$B$11:L101,5)</f>
        <v>2</v>
      </c>
      <c r="G43" s="1">
        <f>VLOOKUP($B43,[21]TrtCodes!$B$11:M101,6)</f>
        <v>2</v>
      </c>
      <c r="H43" s="1">
        <f>VLOOKUP($B43,[21]TrtCodes!$B$11:N101,7)</f>
        <v>1</v>
      </c>
      <c r="I43" s="1">
        <f>[21]FormattedData!B58</f>
        <v>1</v>
      </c>
      <c r="J43" s="4">
        <f>[21]FormattedData!C58</f>
        <v>13.425000000000001</v>
      </c>
      <c r="K43" s="6">
        <f>$J$3+[21]FormattedData!D58*$J$4+$M$4*$J$5+[21]FormattedData!D58^2*$J$6+$M$5*$J$7</f>
        <v>52.497933838038634</v>
      </c>
      <c r="L43" s="6">
        <f>$J$3+[21]FormattedData!E58*$J$4+$M$4*$J$5+[21]FormattedData!E58^2*$J$6+$M$5*$J$7</f>
        <v>39.707710876820279</v>
      </c>
      <c r="M43" s="6">
        <f>$J$3+[21]FormattedData!F58*$J$4+$M$4*$J$5+[21]FormattedData!F58^2*$J$6+$M$5*$J$7</f>
        <v>47.28718078476949</v>
      </c>
      <c r="N43" s="6">
        <f>$J$3+[21]FormattedData!G58*$J$4+$M$4*$J$5+[21]FormattedData!G58^2*$J$6+$M$5*$J$7</f>
        <v>47.823808572463506</v>
      </c>
      <c r="O43" s="6">
        <f>$J$3+[21]FormattedData!H58*$J$4+$M$4*$J$5+[21]FormattedData!H58^2*$J$6+$M$5*$J$7</f>
        <v>46.209360207284902</v>
      </c>
      <c r="P43" s="6">
        <f>$J$3+[21]FormattedData!I58*$J$4+$M$4*$J$5+[21]FormattedData!I58^2*$J$6+$M$5*$J$7</f>
        <v>43.305414949955789</v>
      </c>
      <c r="Q43" s="6">
        <f>$J$3+[21]FormattedData!J58*$J$4+$M$4*$J$5+[21]FormattedData!J58^2*$J$6+$M$5*$J$7</f>
        <v>47.197594880271055</v>
      </c>
      <c r="R43" s="6">
        <f>$J$3+[21]FormattedData!K58*$J$4+$M$4*$J$5+[21]FormattedData!K58^2*$J$6+$M$5*$J$7</f>
        <v>46.209360207284902</v>
      </c>
      <c r="S43" s="6">
        <f>$J$3+[21]FormattedData!L58*$J$4+$M$4*$J$5+[21]FormattedData!L58^2*$J$6+$M$5*$J$7</f>
        <v>48.714806735585711</v>
      </c>
      <c r="T43" s="6">
        <f>$J$3+[21]FormattedData!M58*$J$4+$M$4*$J$5+[21]FormattedData!M58^2*$J$6+$M$5*$J$7</f>
        <v>45.8487340882429</v>
      </c>
      <c r="U43" s="6">
        <f>$J$3+[21]FormattedData!N58*$J$4+$M$4*$J$5+[21]FormattedData!N58^2*$J$6+$M$5*$J$7</f>
        <v>50.923809658046331</v>
      </c>
      <c r="V43" s="6">
        <f>$J$3+[21]FormattedData!O58*$J$4+$M$4*$J$5+[21]FormattedData!O58^2*$J$6+$M$5*$J$7</f>
        <v>38.774866861146251</v>
      </c>
      <c r="W43" s="5">
        <f t="shared" si="9"/>
        <v>46.208381804992484</v>
      </c>
      <c r="X43" s="4">
        <f t="shared" si="10"/>
        <v>1.1641757255265566</v>
      </c>
      <c r="Y43" s="3">
        <f t="shared" si="11"/>
        <v>38.774866861146251</v>
      </c>
      <c r="Z43" s="2">
        <f t="shared" si="12"/>
        <v>45.212904303671124</v>
      </c>
      <c r="AA43" s="3">
        <f t="shared" si="13"/>
        <v>46.703477543777979</v>
      </c>
      <c r="AB43" s="2">
        <f t="shared" si="14"/>
        <v>48.04655811324406</v>
      </c>
      <c r="AC43" s="2">
        <f t="shared" si="15"/>
        <v>52.497933838038634</v>
      </c>
      <c r="AD43" s="2">
        <f t="shared" si="16"/>
        <v>-0.55575726345323384</v>
      </c>
      <c r="AE43" s="2">
        <f t="shared" si="17"/>
        <v>0.14756292067067012</v>
      </c>
    </row>
    <row r="44" spans="2:31" x14ac:dyDescent="0.2">
      <c r="B44" s="17">
        <f>[21]FormattedData!A56</f>
        <v>903</v>
      </c>
      <c r="C44" s="17" t="str">
        <f>VLOOKUP($B44,[21]TrtCodes!$B$11:I99,2)</f>
        <v>DS</v>
      </c>
      <c r="D44" s="17">
        <f>VLOOKUP($B44,[21]TrtCodes!$B$11:J99,3)</f>
        <v>31</v>
      </c>
      <c r="E44" s="17">
        <f>VLOOKUP($B44,[21]TrtCodes!$B$11:K99,4)</f>
        <v>8</v>
      </c>
      <c r="F44" s="17">
        <f>VLOOKUP($B44,[21]TrtCodes!$B$11:L99,5)</f>
        <v>0</v>
      </c>
      <c r="G44" s="17">
        <f>VLOOKUP($B44,[21]TrtCodes!$B$11:M99,6)</f>
        <v>1</v>
      </c>
      <c r="H44" s="17">
        <f>VLOOKUP($B44,[21]TrtCodes!$B$11:N99,7)</f>
        <v>1</v>
      </c>
      <c r="I44" s="17">
        <f>[21]FormattedData!B56</f>
        <v>1</v>
      </c>
      <c r="J44" s="15">
        <f>[21]FormattedData!C56</f>
        <v>13.416</v>
      </c>
      <c r="K44" s="14">
        <f>$J$3+[21]FormattedData!D56*$J$4+$M$4*$J$5+[21]FormattedData!D56^2*$J$6+$M$5*$J$7</f>
        <v>64.111240675688805</v>
      </c>
      <c r="L44" s="14">
        <f>$J$3+[21]FormattedData!E56*$J$4+$M$4*$J$5+[21]FormattedData!E56^2*$J$6+$M$5*$J$7</f>
        <v>64.273631875127009</v>
      </c>
      <c r="M44" s="14">
        <f>$J$3+[21]FormattedData!F56*$J$4+$M$4*$J$5+[21]FormattedData!F56^2*$J$6+$M$5*$J$7</f>
        <v>64.273631875127009</v>
      </c>
      <c r="N44" s="14">
        <f>$J$3+[21]FormattedData!G56*$J$4+$M$4*$J$5+[21]FormattedData!G56^2*$J$6+$M$5*$J$7</f>
        <v>63.704522977679531</v>
      </c>
      <c r="O44" s="14">
        <f>$J$3+[21]FormattedData!H56*$J$4+$M$4*$J$5+[21]FormattedData!H56^2*$J$6+$M$5*$J$7</f>
        <v>63.785951054357263</v>
      </c>
      <c r="P44" s="14">
        <f>$J$3+[21]FormattedData!I56*$J$4+$M$4*$J$5+[21]FormattedData!I56^2*$J$6+$M$5*$J$7</f>
        <v>63.704522977679531</v>
      </c>
      <c r="Q44" s="14">
        <f>$J$3+[21]FormattedData!J56*$J$4+$M$4*$J$5+[21]FormattedData!J56^2*$J$6+$M$5*$J$7</f>
        <v>63.704522977679531</v>
      </c>
      <c r="R44" s="14">
        <f>$J$3+[21]FormattedData!K56*$J$4+$M$4*$J$5+[21]FormattedData!K56^2*$J$6+$M$5*$J$7</f>
        <v>63.704522977679531</v>
      </c>
      <c r="S44" s="14">
        <f>$J$3+[21]FormattedData!L56*$J$4+$M$4*$J$5+[21]FormattedData!L56^2*$J$6+$M$5*$J$7</f>
        <v>64.029981673162823</v>
      </c>
      <c r="T44" s="14">
        <f>$J$3+[21]FormattedData!M56*$J$4+$M$4*$J$5+[21]FormattedData!M56^2*$J$6+$M$5*$J$7</f>
        <v>64.192457409676891</v>
      </c>
      <c r="U44" s="14">
        <f>$J$3+[21]FormattedData!N56*$J$4+$M$4*$J$5+[21]FormattedData!N56^2*$J$6+$M$5*$J$7</f>
        <v>63.948680402098908</v>
      </c>
      <c r="V44" s="14">
        <f>$J$3+[21]FormattedData!O56*$J$4+$M$4*$J$5+[21]FormattedData!O56^2*$J$6+$M$5*$J$7</f>
        <v>63.867336862497048</v>
      </c>
      <c r="W44" s="16">
        <f t="shared" si="9"/>
        <v>63.941750311537824</v>
      </c>
      <c r="X44" s="15">
        <f t="shared" si="10"/>
        <v>6.5978794692720499E-2</v>
      </c>
      <c r="Y44" s="14">
        <f t="shared" si="11"/>
        <v>63.704522977679531</v>
      </c>
      <c r="Z44" s="13">
        <f t="shared" si="12"/>
        <v>63.704522977679531</v>
      </c>
      <c r="AA44" s="14">
        <f t="shared" si="13"/>
        <v>63.908008632297978</v>
      </c>
      <c r="AB44" s="13">
        <f t="shared" si="14"/>
        <v>64.131544859185823</v>
      </c>
      <c r="AC44" s="13">
        <f t="shared" si="15"/>
        <v>64.273631875127009</v>
      </c>
      <c r="AD44" s="13">
        <f t="shared" si="16"/>
        <v>0.33650754766018842</v>
      </c>
      <c r="AE44" s="13">
        <f t="shared" si="17"/>
        <v>-1.5856282935226362</v>
      </c>
    </row>
    <row r="45" spans="2:31" x14ac:dyDescent="0.2">
      <c r="B45" s="1">
        <f>[21]FormattedData!A54</f>
        <v>904</v>
      </c>
      <c r="C45" s="1" t="str">
        <f>VLOOKUP($B45,[21]TrtCodes!$B$11:I97,2)</f>
        <v>Early</v>
      </c>
      <c r="D45" s="1">
        <f>VLOOKUP($B45,[21]TrtCodes!$B$11:J97,3)</f>
        <v>21</v>
      </c>
      <c r="E45" s="1">
        <f>VLOOKUP($B45,[21]TrtCodes!$B$11:K97,4)</f>
        <v>3</v>
      </c>
      <c r="F45" s="1">
        <f>VLOOKUP($B45,[21]TrtCodes!$B$11:L97,5)</f>
        <v>2</v>
      </c>
      <c r="G45" s="1">
        <f>VLOOKUP($B45,[21]TrtCodes!$B$11:M97,6)</f>
        <v>2</v>
      </c>
      <c r="H45" s="1">
        <f>VLOOKUP($B45,[21]TrtCodes!$B$11:N97,7)</f>
        <v>1</v>
      </c>
      <c r="I45" s="1">
        <f>[21]FormattedData!B54</f>
        <v>1</v>
      </c>
      <c r="J45" s="4">
        <f>[21]FormattedData!C54</f>
        <v>13.398999999999999</v>
      </c>
      <c r="K45" s="6">
        <f>$J$3+[21]FormattedData!D54*$J$4+$M$4*$J$5+[21]FormattedData!D54^2*$J$6+$M$5*$J$7</f>
        <v>40.728957277930668</v>
      </c>
      <c r="L45" s="6">
        <f>$J$3+[21]FormattedData!E54*$J$4+$M$4*$J$5+[21]FormattedData!E54^2*$J$6+$M$5*$J$7</f>
        <v>32.60835119805791</v>
      </c>
      <c r="M45" s="6">
        <f>$J$3+[21]FormattedData!F54*$J$4+$M$4*$J$5+[21]FormattedData!F54^2*$J$6+$M$5*$J$7</f>
        <v>37.179331405045204</v>
      </c>
      <c r="N45" s="6">
        <f>$J$3+[21]FormattedData!G54*$J$4+$M$4*$J$5+[21]FormattedData!G54^2*$J$6+$M$5*$J$7</f>
        <v>31.93361322432051</v>
      </c>
      <c r="O45" s="6">
        <f>$J$3+[21]FormattedData!H54*$J$4+$M$4*$J$5+[21]FormattedData!H54^2*$J$6+$M$5*$J$7</f>
        <v>36.045716357491507</v>
      </c>
      <c r="P45" s="6">
        <f>$J$3+[21]FormattedData!I54*$J$4+$M$4*$J$5+[21]FormattedData!I54^2*$J$6+$M$5*$J$7</f>
        <v>34.142832012764046</v>
      </c>
      <c r="Q45" s="6">
        <f>$J$3+[21]FormattedData!J54*$J$4+$M$4*$J$5+[21]FormattedData!J54^2*$J$6+$M$5*$J$7</f>
        <v>39.148511689871036</v>
      </c>
      <c r="R45" s="6">
        <f>$J$3+[21]FormattedData!K54*$J$4+$M$4*$J$5+[21]FormattedData!K54^2*$J$6+$M$5*$J$7</f>
        <v>32.60835119805791</v>
      </c>
      <c r="S45" s="6">
        <f>$J$3+[21]FormattedData!L54*$J$4+$M$4*$J$5+[21]FormattedData!L54^2*$J$6+$M$5*$J$7</f>
        <v>36.140416755079599</v>
      </c>
      <c r="T45" s="6">
        <f>$J$3+[21]FormattedData!M54*$J$4+$M$4*$J$5+[21]FormattedData!M54^2*$J$6+$M$5*$J$7</f>
        <v>36.707731501311621</v>
      </c>
      <c r="U45" s="6">
        <f>$J$3+[21]FormattedData!N54*$J$4+$M$4*$J$5+[21]FormattedData!N54^2*$J$6+$M$5*$J$7</f>
        <v>34.333881280919549</v>
      </c>
      <c r="V45" s="6">
        <f>$J$3+[21]FormattedData!O54*$J$4+$M$4*$J$5+[21]FormattedData!O54^2*$J$6+$M$5*$J$7</f>
        <v>35.950973691365476</v>
      </c>
      <c r="W45" s="5">
        <f t="shared" si="9"/>
        <v>35.627388966017925</v>
      </c>
      <c r="X45" s="4">
        <f t="shared" si="10"/>
        <v>0.77014904596449985</v>
      </c>
      <c r="Y45" s="3">
        <f t="shared" si="11"/>
        <v>31.93361322432051</v>
      </c>
      <c r="Z45" s="2">
        <f t="shared" si="12"/>
        <v>33.75921180908751</v>
      </c>
      <c r="AA45" s="3">
        <f t="shared" si="13"/>
        <v>35.998345024428488</v>
      </c>
      <c r="AB45" s="2">
        <f t="shared" si="14"/>
        <v>36.825631477245018</v>
      </c>
      <c r="AC45" s="2">
        <f t="shared" si="15"/>
        <v>40.728957277930668</v>
      </c>
      <c r="AD45" s="2">
        <f t="shared" si="16"/>
        <v>0.40675869713219126</v>
      </c>
      <c r="AE45" s="2">
        <f t="shared" si="17"/>
        <v>-0.30600773407484061</v>
      </c>
    </row>
    <row r="46" spans="2:31" x14ac:dyDescent="0.2">
      <c r="B46" s="17">
        <f>[21]FormattedData!A52</f>
        <v>905</v>
      </c>
      <c r="C46" s="17" t="str">
        <f>VLOOKUP($B46,[21]TrtCodes!$B$11:I95,2)</f>
        <v>WS</v>
      </c>
      <c r="D46" s="17">
        <f>VLOOKUP($B46,[21]TrtCodes!$B$11:J95,3)</f>
        <v>32</v>
      </c>
      <c r="E46" s="17">
        <f>VLOOKUP($B46,[21]TrtCodes!$B$11:K95,4)</f>
        <v>9</v>
      </c>
      <c r="F46" s="17">
        <f>VLOOKUP($B46,[21]TrtCodes!$B$11:L95,5)</f>
        <v>0</v>
      </c>
      <c r="G46" s="17">
        <f>VLOOKUP($B46,[21]TrtCodes!$B$11:M95,6)</f>
        <v>1</v>
      </c>
      <c r="H46" s="17">
        <f>VLOOKUP($B46,[21]TrtCodes!$B$11:N95,7)</f>
        <v>2</v>
      </c>
      <c r="I46" s="17">
        <f>[21]FormattedData!B52</f>
        <v>1</v>
      </c>
      <c r="J46" s="15">
        <f>[21]FormattedData!C52</f>
        <v>13.391</v>
      </c>
      <c r="K46" s="14">
        <f>$J$3+[21]FormattedData!D52*$J$4+$M$4*$J$5+[21]FormattedData!D52^2*$J$6+$M$5*$J$7</f>
        <v>37.273524580178126</v>
      </c>
      <c r="L46" s="14">
        <f>$J$3+[21]FormattedData!E52*$J$4+$M$4*$J$5+[21]FormattedData!E52^2*$J$6+$M$5*$J$7</f>
        <v>37.273524580178126</v>
      </c>
      <c r="M46" s="14">
        <f>$J$3+[21]FormattedData!F52*$J$4+$M$4*$J$5+[21]FormattedData!F52^2*$J$6+$M$5*$J$7</f>
        <v>37.179331405045204</v>
      </c>
      <c r="N46" s="14">
        <f>$J$3+[21]FormattedData!G52*$J$4+$M$4*$J$5+[21]FormattedData!G52^2*$J$6+$M$5*$J$7</f>
        <v>37.461784124830181</v>
      </c>
      <c r="O46" s="14">
        <f>$J$3+[21]FormattedData!H52*$J$4+$M$4*$J$5+[21]FormattedData!H52^2*$J$6+$M$5*$J$7</f>
        <v>37.461784124830181</v>
      </c>
      <c r="P46" s="14">
        <f>$J$3+[21]FormattedData!I52*$J$4+$M$4*$J$5+[21]FormattedData!I52^2*$J$6+$M$5*$J$7</f>
        <v>37.273524580178126</v>
      </c>
      <c r="Q46" s="14">
        <f>$J$3+[21]FormattedData!J52*$J$4+$M$4*$J$5+[21]FormattedData!J52^2*$J$6+$M$5*$J$7</f>
        <v>37.931693287046514</v>
      </c>
      <c r="R46" s="14">
        <f>$J$3+[21]FormattedData!K52*$J$4+$M$4*$J$5+[21]FormattedData!K52^2*$J$6+$M$5*$J$7</f>
        <v>37.837795991679101</v>
      </c>
      <c r="S46" s="14">
        <f>$J$3+[21]FormattedData!L52*$J$4+$M$4*$J$5+[21]FormattedData!L52^2*$J$6+$M$5*$J$7</f>
        <v>37.555850494349308</v>
      </c>
      <c r="T46" s="14">
        <f>$J$3+[21]FormattedData!M52*$J$4+$M$4*$J$5+[21]FormattedData!M52^2*$J$6+$M$5*$J$7</f>
        <v>37.649874595330502</v>
      </c>
      <c r="U46" s="14">
        <f>$J$3+[21]FormattedData!N52*$J$4+$M$4*$J$5+[21]FormattedData!N52^2*$J$6+$M$5*$J$7</f>
        <v>37.461784124830181</v>
      </c>
      <c r="V46" s="14">
        <f>$J$3+[21]FormattedData!O52*$J$4+$M$4*$J$5+[21]FormattedData!O52^2*$J$6+$M$5*$J$7</f>
        <v>37.461784124830181</v>
      </c>
      <c r="W46" s="16">
        <f t="shared" si="9"/>
        <v>37.485188001108817</v>
      </c>
      <c r="X46" s="15">
        <f t="shared" si="10"/>
        <v>6.6626370131283849E-2</v>
      </c>
      <c r="Y46" s="14">
        <f t="shared" si="11"/>
        <v>37.179331405045204</v>
      </c>
      <c r="Z46" s="13">
        <f t="shared" si="12"/>
        <v>37.273524580178126</v>
      </c>
      <c r="AA46" s="14">
        <f t="shared" si="13"/>
        <v>37.461784124830181</v>
      </c>
      <c r="AB46" s="13">
        <f t="shared" si="14"/>
        <v>37.579356519594604</v>
      </c>
      <c r="AC46" s="13">
        <f t="shared" si="15"/>
        <v>37.931693287046514</v>
      </c>
      <c r="AD46" s="13">
        <f t="shared" si="16"/>
        <v>0.71487776511580536</v>
      </c>
      <c r="AE46" s="13">
        <f t="shared" si="17"/>
        <v>-0.10499638391711219</v>
      </c>
    </row>
    <row r="47" spans="2:31" x14ac:dyDescent="0.2">
      <c r="B47" s="1">
        <f>[21]FormattedData!A50</f>
        <v>906</v>
      </c>
      <c r="C47" s="1" t="str">
        <f>VLOOKUP($B47,[21]TrtCodes!$B$11:I93,2)</f>
        <v>Late</v>
      </c>
      <c r="D47" s="1">
        <f>VLOOKUP($B47,[21]TrtCodes!$B$11:J93,3)</f>
        <v>22</v>
      </c>
      <c r="E47" s="1">
        <f>VLOOKUP($B47,[21]TrtCodes!$B$11:K93,4)</f>
        <v>4</v>
      </c>
      <c r="F47" s="1">
        <f>VLOOKUP($B47,[21]TrtCodes!$B$11:L93,5)</f>
        <v>2</v>
      </c>
      <c r="G47" s="1">
        <f>VLOOKUP($B47,[21]TrtCodes!$B$11:M93,6)</f>
        <v>2</v>
      </c>
      <c r="H47" s="1">
        <f>VLOOKUP($B47,[21]TrtCodes!$B$11:N93,7)</f>
        <v>2</v>
      </c>
      <c r="I47" s="1">
        <f>[21]FormattedData!B50</f>
        <v>1</v>
      </c>
      <c r="J47" s="4">
        <f>[21]FormattedData!C50</f>
        <v>13.374000000000001</v>
      </c>
      <c r="K47" s="6">
        <f>$J$3+[21]FormattedData!D50*$J$4+$M$4*$J$5+[21]FormattedData!D50^2*$J$6+$M$5*$J$7</f>
        <v>49.513091122402571</v>
      </c>
      <c r="L47" s="6">
        <f>$J$3+[21]FormattedData!E50*$J$4+$M$4*$J$5+[21]FormattedData!E50^2*$J$6+$M$5*$J$7</f>
        <v>39.707710876820279</v>
      </c>
      <c r="M47" s="6">
        <f>$J$3+[21]FormattedData!F50*$J$4+$M$4*$J$5+[21]FormattedData!F50^2*$J$6+$M$5*$J$7</f>
        <v>41.191469446009052</v>
      </c>
      <c r="N47" s="6">
        <f>$J$3+[21]FormattedData!G50*$J$4+$M$4*$J$5+[21]FormattedData!G50^2*$J$6+$M$5*$J$7</f>
        <v>41.376178433474884</v>
      </c>
      <c r="O47" s="6">
        <f>$J$3+[21]FormattedData!H50*$J$4+$M$4*$J$5+[21]FormattedData!H50^2*$J$6+$M$5*$J$7</f>
        <v>39.614616683673567</v>
      </c>
      <c r="P47" s="6">
        <f>$J$3+[21]FormattedData!I50*$J$4+$M$4*$J$5+[21]FormattedData!I50^2*$J$6+$M$5*$J$7</f>
        <v>48.091551841048435</v>
      </c>
      <c r="Q47" s="6">
        <f>$J$3+[21]FormattedData!J50*$J$4+$M$4*$J$5+[21]FormattedData!J50^2*$J$6+$M$5*$J$7</f>
        <v>37.649874595330502</v>
      </c>
      <c r="R47" s="6">
        <f>$J$3+[21]FormattedData!K50*$J$4+$M$4*$J$5+[21]FormattedData!K50^2*$J$6+$M$5*$J$7</f>
        <v>47.197594880271055</v>
      </c>
      <c r="S47" s="6">
        <f>$J$3+[21]FormattedData!L50*$J$4+$M$4*$J$5+[21]FormattedData!L50^2*$J$6+$M$5*$J$7</f>
        <v>37.931693287046514</v>
      </c>
      <c r="T47" s="6">
        <f>$J$3+[21]FormattedData!M50*$J$4+$M$4*$J$5+[21]FormattedData!M50^2*$J$6+$M$5*$J$7</f>
        <v>44.581216835816591</v>
      </c>
      <c r="U47" s="6">
        <f>$J$3+[21]FormattedData!N50*$J$4+$M$4*$J$5+[21]FormattedData!N50^2*$J$6+$M$5*$J$7</f>
        <v>39.33508049300584</v>
      </c>
      <c r="V47" s="6">
        <f>$J$3+[21]FormattedData!O50*$J$4+$M$4*$J$5+[21]FormattedData!O50^2*$J$6+$M$5*$J$7</f>
        <v>35.761361553499626</v>
      </c>
      <c r="W47" s="5">
        <f t="shared" si="9"/>
        <v>41.829286670699908</v>
      </c>
      <c r="X47" s="4">
        <f t="shared" si="10"/>
        <v>1.2920682639655605</v>
      </c>
      <c r="Y47" s="3">
        <f t="shared" si="11"/>
        <v>35.761361553499626</v>
      </c>
      <c r="Z47" s="2">
        <f t="shared" si="12"/>
        <v>38.98423369151601</v>
      </c>
      <c r="AA47" s="3">
        <f t="shared" si="13"/>
        <v>40.449590161414662</v>
      </c>
      <c r="AB47" s="2">
        <f t="shared" si="14"/>
        <v>45.235311346930203</v>
      </c>
      <c r="AC47" s="2">
        <f t="shared" si="15"/>
        <v>49.513091122402571</v>
      </c>
      <c r="AD47" s="2">
        <f t="shared" si="16"/>
        <v>0.58748187873972868</v>
      </c>
      <c r="AE47" s="2">
        <f t="shared" si="17"/>
        <v>-0.93688893129931783</v>
      </c>
    </row>
    <row r="48" spans="2:31" x14ac:dyDescent="0.2">
      <c r="B48" s="17">
        <f>[21]FormattedData!A48</f>
        <v>907</v>
      </c>
      <c r="C48" s="17" t="str">
        <f>VLOOKUP($B48,[21]TrtCodes!$B$11:I91,2)</f>
        <v>DS</v>
      </c>
      <c r="D48" s="17">
        <f>VLOOKUP($B48,[21]TrtCodes!$B$11:J91,3)</f>
        <v>31</v>
      </c>
      <c r="E48" s="17">
        <f>VLOOKUP($B48,[21]TrtCodes!$B$11:K91,4)</f>
        <v>8</v>
      </c>
      <c r="F48" s="17">
        <f>VLOOKUP($B48,[21]TrtCodes!$B$11:L91,5)</f>
        <v>0</v>
      </c>
      <c r="G48" s="17">
        <f>VLOOKUP($B48,[21]TrtCodes!$B$11:M91,6)</f>
        <v>1</v>
      </c>
      <c r="H48" s="17">
        <f>VLOOKUP($B48,[21]TrtCodes!$B$11:N91,7)</f>
        <v>2</v>
      </c>
      <c r="I48" s="17">
        <f>[21]FormattedData!B48</f>
        <v>1</v>
      </c>
      <c r="J48" s="15">
        <f>[21]FormattedData!C48</f>
        <v>13.365</v>
      </c>
      <c r="K48" s="14">
        <f>$J$3+[21]FormattedData!D48*$J$4+$M$4*$J$5+[21]FormattedData!D48^2*$J$6+$M$5*$J$7</f>
        <v>63.948680402098908</v>
      </c>
      <c r="L48" s="14">
        <f>$J$3+[21]FormattedData!E48*$J$4+$M$4*$J$5+[21]FormattedData!E48^2*$J$6+$M$5*$J$7</f>
        <v>64.435854000413471</v>
      </c>
      <c r="M48" s="14">
        <f>$J$3+[21]FormattedData!F48*$J$4+$M$4*$J$5+[21]FormattedData!F48^2*$J$6+$M$5*$J$7</f>
        <v>64.354764072039217</v>
      </c>
      <c r="N48" s="14">
        <f>$J$3+[21]FormattedData!G48*$J$4+$M$4*$J$5+[21]FormattedData!G48^2*$J$6+$M$5*$J$7</f>
        <v>64.273631875127009</v>
      </c>
      <c r="O48" s="14">
        <f>$J$3+[21]FormattedData!H48*$J$4+$M$4*$J$5+[21]FormattedData!H48^2*$J$6+$M$5*$J$7</f>
        <v>63.948680402098908</v>
      </c>
      <c r="P48" s="14">
        <f>$J$3+[21]FormattedData!I48*$J$4+$M$4*$J$5+[21]FormattedData!I48^2*$J$6+$M$5*$J$7</f>
        <v>64.273631875127009</v>
      </c>
      <c r="Q48" s="14">
        <f>$J$3+[21]FormattedData!J48*$J$4+$M$4*$J$5+[21]FormattedData!J48^2*$J$6+$M$5*$J$7</f>
        <v>63.704522977679531</v>
      </c>
      <c r="R48" s="14">
        <f>$J$3+[21]FormattedData!K48*$J$4+$M$4*$J$5+[21]FormattedData!K48^2*$J$6+$M$5*$J$7</f>
        <v>63.785951054357263</v>
      </c>
      <c r="S48" s="14">
        <f>$J$3+[21]FormattedData!L48*$J$4+$M$4*$J$5+[21]FormattedData!L48^2*$J$6+$M$5*$J$7</f>
        <v>64.759791028531254</v>
      </c>
      <c r="T48" s="14">
        <f>$J$3+[21]FormattedData!M48*$J$4+$M$4*$J$5+[21]FormattedData!M48^2*$J$6+$M$5*$J$7</f>
        <v>64.759791028531254</v>
      </c>
      <c r="U48" s="14">
        <f>$J$3+[21]FormattedData!N48*$J$4+$M$4*$J$5+[21]FormattedData!N48^2*$J$6+$M$5*$J$7</f>
        <v>64.921505931362532</v>
      </c>
      <c r="V48" s="14">
        <f>$J$3+[21]FormattedData!O48*$J$4+$M$4*$J$5+[21]FormattedData!O48^2*$J$6+$M$5*$J$7</f>
        <v>64.029981673162823</v>
      </c>
      <c r="W48" s="16">
        <f t="shared" si="9"/>
        <v>64.266398860044092</v>
      </c>
      <c r="X48" s="15">
        <f t="shared" si="10"/>
        <v>0.11537103358382818</v>
      </c>
      <c r="Y48" s="14">
        <f t="shared" si="11"/>
        <v>63.704522977679531</v>
      </c>
      <c r="Z48" s="13">
        <f t="shared" si="12"/>
        <v>63.948680402098908</v>
      </c>
      <c r="AA48" s="14">
        <f t="shared" si="13"/>
        <v>64.273631875127009</v>
      </c>
      <c r="AB48" s="13">
        <f t="shared" si="14"/>
        <v>64.516838257442913</v>
      </c>
      <c r="AC48" s="13">
        <f t="shared" si="15"/>
        <v>64.921505931362532</v>
      </c>
      <c r="AD48" s="13">
        <f t="shared" si="16"/>
        <v>0.27561360324379452</v>
      </c>
      <c r="AE48" s="13">
        <f t="shared" si="17"/>
        <v>-1.0683469884405166</v>
      </c>
    </row>
    <row r="49" spans="2:31" ht="13.5" thickBot="1" x14ac:dyDescent="0.25">
      <c r="B49" s="12">
        <f>[21]FormattedData!A46</f>
        <v>908</v>
      </c>
      <c r="C49" s="12" t="str">
        <f>VLOOKUP($B49,[21]TrtCodes!$B$11:I89,2)</f>
        <v>Early</v>
      </c>
      <c r="D49" s="12">
        <f>VLOOKUP($B49,[21]TrtCodes!$B$11:J89,3)</f>
        <v>21</v>
      </c>
      <c r="E49" s="12">
        <f>VLOOKUP($B49,[21]TrtCodes!$B$11:K89,4)</f>
        <v>3</v>
      </c>
      <c r="F49" s="12">
        <f>VLOOKUP($B49,[21]TrtCodes!$B$11:L89,5)</f>
        <v>2</v>
      </c>
      <c r="G49" s="12">
        <f>VLOOKUP($B49,[21]TrtCodes!$B$11:M89,6)</f>
        <v>2</v>
      </c>
      <c r="H49" s="12">
        <f>VLOOKUP($B49,[21]TrtCodes!$B$11:N89,7)</f>
        <v>2</v>
      </c>
      <c r="I49" s="12">
        <f>[21]FormattedData!B46</f>
        <v>1</v>
      </c>
      <c r="J49" s="9">
        <f>[21]FormattedData!C46</f>
        <v>13.349</v>
      </c>
      <c r="K49" s="11">
        <f>$J$3+[21]FormattedData!D46*$J$4+$M$4*$J$5+[21]FormattedData!D46^2*$J$6+$M$5*$J$7</f>
        <v>37.931693287046514</v>
      </c>
      <c r="L49" s="11">
        <f>$J$3+[21]FormattedData!E46*$J$4+$M$4*$J$5+[21]FormattedData!E46^2*$J$6+$M$5*$J$7</f>
        <v>34.047243975879397</v>
      </c>
      <c r="M49" s="11">
        <f>$J$3+[21]FormattedData!F46*$J$4+$M$4*$J$5+[21]FormattedData!F46^2*$J$6+$M$5*$J$7</f>
        <v>33.08903883744668</v>
      </c>
      <c r="N49" s="11">
        <f>$J$3+[21]FormattedData!G46*$J$4+$M$4*$J$5+[21]FormattedData!G46^2*$J$6+$M$5*$J$7</f>
        <v>35.476626332666378</v>
      </c>
      <c r="O49" s="11">
        <f>$J$3+[21]FormattedData!H46*$J$4+$M$4*$J$5+[21]FormattedData!H46^2*$J$6+$M$5*$J$7</f>
        <v>38.025548313875987</v>
      </c>
      <c r="P49" s="11">
        <f>$J$3+[21]FormattedData!I46*$J$4+$M$4*$J$5+[21]FormattedData!I46^2*$J$6+$M$5*$J$7</f>
        <v>35.096387612024337</v>
      </c>
      <c r="Q49" s="11">
        <f>$J$3+[21]FormattedData!J46*$J$4+$M$4*$J$5+[21]FormattedData!J46^2*$J$6+$M$5*$J$7</f>
        <v>37.273524580178126</v>
      </c>
      <c r="R49" s="11">
        <f>$J$3+[21]FormattedData!K46*$J$4+$M$4*$J$5+[21]FormattedData!K46^2*$J$6+$M$5*$J$7</f>
        <v>32.60835119805791</v>
      </c>
      <c r="S49" s="11">
        <f>$J$3+[21]FormattedData!L46*$J$4+$M$4*$J$5+[21]FormattedData!L46^2*$J$6+$M$5*$J$7</f>
        <v>37.273524580178126</v>
      </c>
      <c r="T49" s="11">
        <f>$J$3+[21]FormattedData!M46*$J$4+$M$4*$J$5+[21]FormattedData!M46^2*$J$6+$M$5*$J$7</f>
        <v>33.185049559710642</v>
      </c>
      <c r="U49" s="11">
        <f>$J$3+[21]FormattedData!N46*$J$4+$M$4*$J$5+[21]FormattedData!N46^2*$J$6+$M$5*$J$7</f>
        <v>38.681349982620226</v>
      </c>
      <c r="V49" s="11">
        <f>$J$3+[21]FormattedData!O46*$J$4+$M$4*$J$5+[21]FormattedData!O46^2*$J$6+$M$5*$J$7</f>
        <v>31.159947999201908</v>
      </c>
      <c r="W49" s="10">
        <f t="shared" si="9"/>
        <v>35.320690521573852</v>
      </c>
      <c r="X49" s="9">
        <f t="shared" si="10"/>
        <v>0.72279357687393631</v>
      </c>
      <c r="Y49" s="8">
        <f t="shared" si="11"/>
        <v>31.159947999201908</v>
      </c>
      <c r="Z49" s="7">
        <f t="shared" si="12"/>
        <v>33.161046879144649</v>
      </c>
      <c r="AA49" s="8">
        <f t="shared" si="13"/>
        <v>35.286506972345357</v>
      </c>
      <c r="AB49" s="7">
        <f t="shared" si="14"/>
        <v>37.438066756895225</v>
      </c>
      <c r="AC49" s="7">
        <f t="shared" si="15"/>
        <v>38.681349982620226</v>
      </c>
      <c r="AD49" s="7">
        <f t="shared" si="16"/>
        <v>-0.17007568567163084</v>
      </c>
      <c r="AE49" s="7">
        <f t="shared" si="17"/>
        <v>-1.3923854014084429</v>
      </c>
    </row>
    <row r="50" spans="2:31" ht="13.5" thickTop="1" x14ac:dyDescent="0.2">
      <c r="B50" s="1">
        <f>[21]FormattedData!A29</f>
        <v>101</v>
      </c>
      <c r="C50" s="1" t="str">
        <f>VLOOKUP($B50,[21]TrtCodes!$B$11:I72,2)</f>
        <v>FSH</v>
      </c>
      <c r="D50" s="1">
        <f>VLOOKUP($B50,[21]TrtCodes!$B$11:J72,3)</f>
        <v>1</v>
      </c>
      <c r="E50" s="1">
        <f>VLOOKUP($B50,[21]TrtCodes!$B$11:K72,4)</f>
        <v>1</v>
      </c>
      <c r="F50" s="1">
        <f>VLOOKUP($B50,[21]TrtCodes!$B$11:L72,5)</f>
        <v>1</v>
      </c>
      <c r="G50" s="1">
        <f>VLOOKUP($B50,[21]TrtCodes!$B$11:M72,6)</f>
        <v>2</v>
      </c>
      <c r="H50" s="1">
        <f>VLOOKUP($B50,[21]TrtCodes!$B$11:N72,7)</f>
        <v>1</v>
      </c>
      <c r="I50" s="1">
        <f>[21]FormattedData!B29</f>
        <v>2</v>
      </c>
      <c r="J50" s="4">
        <f>[21]FormattedData!C29</f>
        <v>13.195</v>
      </c>
      <c r="K50" s="6">
        <f>$J$3+[21]FormattedData!D29*$J$4+$M$4*$J$5+[21]FormattedData!D29^2*$J$6+$M$5*$J$7</f>
        <v>31.450389472655864</v>
      </c>
      <c r="L50" s="6">
        <f>$J$3+[21]FormattedData!E29*$J$4+$M$4*$J$5+[21]FormattedData!E29^2*$J$6+$M$5*$J$7</f>
        <v>32.223040252864124</v>
      </c>
      <c r="M50" s="6">
        <f>$J$3+[21]FormattedData!F29*$J$4+$M$4*$J$5+[21]FormattedData!F29^2*$J$6+$M$5*$J$7</f>
        <v>32.800753059427208</v>
      </c>
      <c r="N50" s="6">
        <f>$J$3+[21]FormattedData!G29*$J$4+$M$4*$J$5+[21]FormattedData!G29^2*$J$6+$M$5*$J$7</f>
        <v>32.704573263011525</v>
      </c>
      <c r="O50" s="6">
        <f>$J$3+[21]FormattedData!H29*$J$4+$M$4*$J$5+[21]FormattedData!H29^2*$J$6+$M$5*$J$7</f>
        <v>31.93361322432051</v>
      </c>
      <c r="P50" s="6">
        <f>$J$3+[21]FormattedData!I29*$J$4+$M$4*$J$5+[21]FormattedData!I29^2*$J$6+$M$5*$J$7</f>
        <v>32.512086864566356</v>
      </c>
      <c r="Q50" s="6">
        <f>$J$3+[21]FormattedData!J29*$J$4+$M$4*$J$5+[21]FormattedData!J29^2*$J$6+$M$5*$J$7</f>
        <v>31.547118760064663</v>
      </c>
      <c r="R50" s="6">
        <f>$J$3+[21]FormattedData!K29*$J$4+$M$4*$J$5+[21]FormattedData!K29^2*$J$6+$M$5*$J$7</f>
        <v>31.74045052926845</v>
      </c>
      <c r="S50" s="6">
        <f>$J$3+[21]FormattedData!L29*$J$4+$M$4*$J$5+[21]FormattedData!L29^2*$J$6+$M$5*$J$7</f>
        <v>33.37694419862477</v>
      </c>
      <c r="T50" s="6">
        <f>$J$3+[21]FormattedData!M29*$J$4+$M$4*$J$5+[21]FormattedData!M29^2*$J$6+$M$5*$J$7</f>
        <v>32.896890587304959</v>
      </c>
      <c r="U50" s="6">
        <f>$J$3+[21]FormattedData!N29*$J$4+$M$4*$J$5+[21]FormattedData!N29^2*$J$6+$M$5*$J$7</f>
        <v>33.568669763387177</v>
      </c>
      <c r="V50" s="6">
        <f>$J$3+[21]FormattedData!O29*$J$4+$M$4*$J$5+[21]FormattedData!O29^2*$J$6+$M$5*$J$7</f>
        <v>33.951613670456808</v>
      </c>
      <c r="W50" s="5">
        <f t="shared" si="9"/>
        <v>32.558845303829365</v>
      </c>
      <c r="X50" s="4">
        <f t="shared" si="10"/>
        <v>0.23437161393178943</v>
      </c>
      <c r="Y50" s="3">
        <f t="shared" si="11"/>
        <v>31.450389472655864</v>
      </c>
      <c r="Z50" s="2">
        <f t="shared" si="12"/>
        <v>31.885322550557497</v>
      </c>
      <c r="AA50" s="3">
        <f t="shared" si="13"/>
        <v>32.608330063788941</v>
      </c>
      <c r="AB50" s="2">
        <f t="shared" si="14"/>
        <v>33.016903990134914</v>
      </c>
      <c r="AC50" s="2">
        <f t="shared" si="15"/>
        <v>33.951613670456808</v>
      </c>
      <c r="AD50" s="2">
        <f t="shared" si="16"/>
        <v>0.22562481421194519</v>
      </c>
      <c r="AE50" s="2">
        <f t="shared" si="17"/>
        <v>-0.97275759742612289</v>
      </c>
    </row>
    <row r="51" spans="2:31" x14ac:dyDescent="0.2">
      <c r="B51" s="1">
        <f>[21]FormattedData!A27</f>
        <v>102</v>
      </c>
      <c r="C51" s="1" t="str">
        <f>VLOOKUP($B51,[21]TrtCodes!$B$11:I70,2)</f>
        <v>FTL</v>
      </c>
      <c r="D51" s="1">
        <f>VLOOKUP($B51,[21]TrtCodes!$B$11:J70,3)</f>
        <v>4</v>
      </c>
      <c r="E51" s="1">
        <f>VLOOKUP($B51,[21]TrtCodes!$B$11:K70,4)</f>
        <v>1</v>
      </c>
      <c r="F51" s="1">
        <f>VLOOKUP($B51,[21]TrtCodes!$B$11:L70,5)</f>
        <v>2</v>
      </c>
      <c r="G51" s="1">
        <f>VLOOKUP($B51,[21]TrtCodes!$B$11:M70,6)</f>
        <v>1</v>
      </c>
      <c r="H51" s="1">
        <f>VLOOKUP($B51,[21]TrtCodes!$B$11:N70,7)</f>
        <v>1</v>
      </c>
      <c r="I51" s="1">
        <f>[21]FormattedData!B27</f>
        <v>2</v>
      </c>
      <c r="J51" s="4">
        <f>[21]FormattedData!C27</f>
        <v>13.178000000000001</v>
      </c>
      <c r="K51" s="6">
        <f>$J$3+[21]FormattedData!D27*$J$4+$M$4*$J$5+[21]FormattedData!D27^2*$J$6+$M$5*$J$7</f>
        <v>30.480771828981744</v>
      </c>
      <c r="L51" s="6">
        <f>$J$3+[21]FormattedData!E27*$J$4+$M$4*$J$5+[21]FormattedData!E27^2*$J$6+$M$5*$J$7</f>
        <v>29.213949745784685</v>
      </c>
      <c r="M51" s="6">
        <f>$J$3+[21]FormattedData!F27*$J$4+$M$4*$J$5+[21]FormattedData!F27^2*$J$6+$M$5*$J$7</f>
        <v>28.626853323800887</v>
      </c>
      <c r="N51" s="6">
        <f>$J$3+[21]FormattedData!G27*$J$4+$M$4*$J$5+[21]FormattedData!G27^2*$J$6+$M$5*$J$7</f>
        <v>30.480771828981744</v>
      </c>
      <c r="O51" s="6">
        <f>$J$3+[21]FormattedData!H27*$J$4+$M$4*$J$5+[21]FormattedData!H27^2*$J$6+$M$5*$J$7</f>
        <v>29.116206013465547</v>
      </c>
      <c r="P51" s="6">
        <f>$J$3+[21]FormattedData!I27*$J$4+$M$4*$J$5+[21]FormattedData!I27^2*$J$6+$M$5*$J$7</f>
        <v>30.772100941732258</v>
      </c>
      <c r="Q51" s="6">
        <f>$J$3+[21]FormattedData!J27*$J$4+$M$4*$J$5+[21]FormattedData!J27^2*$J$6+$M$5*$J$7</f>
        <v>32.992985846644785</v>
      </c>
      <c r="R51" s="6">
        <f>$J$3+[21]FormattedData!K27*$J$4+$M$4*$J$5+[21]FormattedData!K27^2*$J$6+$M$5*$J$7</f>
        <v>32.223040252864124</v>
      </c>
      <c r="S51" s="6">
        <f>$J$3+[21]FormattedData!L27*$J$4+$M$4*$J$5+[21]FormattedData!L27^2*$J$6+$M$5*$J$7</f>
        <v>29.70203437931141</v>
      </c>
      <c r="T51" s="6">
        <f>$J$3+[21]FormattedData!M27*$J$4+$M$4*$J$5+[21]FormattedData!M27^2*$J$6+$M$5*$J$7</f>
        <v>30.577923801769852</v>
      </c>
      <c r="U51" s="6">
        <f>$J$3+[21]FormattedData!N27*$J$4+$M$4*$J$5+[21]FormattedData!N27^2*$J$6+$M$5*$J$7</f>
        <v>30.480771828981744</v>
      </c>
      <c r="V51" s="6">
        <f>$J$3+[21]FormattedData!O27*$J$4+$M$4*$J$5+[21]FormattedData!O27^2*$J$6+$M$5*$J$7</f>
        <v>31.837053011063446</v>
      </c>
      <c r="W51" s="5">
        <f t="shared" si="9"/>
        <v>30.542038566948516</v>
      </c>
      <c r="X51" s="4">
        <f t="shared" si="10"/>
        <v>0.37684705593241874</v>
      </c>
      <c r="Y51" s="3">
        <f t="shared" si="11"/>
        <v>28.626853323800887</v>
      </c>
      <c r="Z51" s="2">
        <f t="shared" si="12"/>
        <v>29.580013220929729</v>
      </c>
      <c r="AA51" s="3">
        <f t="shared" si="13"/>
        <v>30.480771828981744</v>
      </c>
      <c r="AB51" s="2">
        <f t="shared" si="14"/>
        <v>31.038338959065054</v>
      </c>
      <c r="AC51" s="2">
        <f t="shared" si="15"/>
        <v>32.992985846644785</v>
      </c>
      <c r="AD51" s="2">
        <f t="shared" si="16"/>
        <v>0.4314224939234978</v>
      </c>
      <c r="AE51" s="2">
        <f t="shared" si="17"/>
        <v>-0.33932485296281811</v>
      </c>
    </row>
    <row r="52" spans="2:31" x14ac:dyDescent="0.2">
      <c r="B52" s="1">
        <f>[21]FormattedData!A25</f>
        <v>103</v>
      </c>
      <c r="C52" s="1" t="str">
        <f>VLOOKUP($B52,[21]TrtCodes!$B$11:I68,2)</f>
        <v>FDH</v>
      </c>
      <c r="D52" s="1">
        <f>VLOOKUP($B52,[21]TrtCodes!$B$11:J68,3)</f>
        <v>5</v>
      </c>
      <c r="E52" s="1">
        <f>VLOOKUP($B52,[21]TrtCodes!$B$11:K68,4)</f>
        <v>1</v>
      </c>
      <c r="F52" s="1">
        <f>VLOOKUP($B52,[21]TrtCodes!$B$11:L68,5)</f>
        <v>3</v>
      </c>
      <c r="G52" s="1">
        <f>VLOOKUP($B52,[21]TrtCodes!$B$11:M68,6)</f>
        <v>2</v>
      </c>
      <c r="H52" s="1">
        <f>VLOOKUP($B52,[21]TrtCodes!$B$11:N68,7)</f>
        <v>1</v>
      </c>
      <c r="I52" s="1">
        <f>[21]FormattedData!B25</f>
        <v>2</v>
      </c>
      <c r="J52" s="4">
        <f>[21]FormattedData!C25</f>
        <v>13.16</v>
      </c>
      <c r="K52" s="6">
        <f>$J$3+[21]FormattedData!D25*$J$4+$M$4*$J$5+[21]FormattedData!D25^2*$J$6+$M$5*$J$7</f>
        <v>31.063049637641395</v>
      </c>
      <c r="L52" s="6">
        <f>$J$3+[21]FormattedData!E25*$J$4+$M$4*$J$5+[21]FormattedData!E25^2*$J$6+$M$5*$J$7</f>
        <v>30.86912610890657</v>
      </c>
      <c r="M52" s="6">
        <f>$J$3+[21]FormattedData!F25*$J$4+$M$4*$J$5+[21]FormattedData!F25^2*$J$6+$M$5*$J$7</f>
        <v>31.353617916709148</v>
      </c>
      <c r="N52" s="6">
        <f>$J$3+[21]FormattedData!G25*$J$4+$M$4*$J$5+[21]FormattedData!G25^2*$J$6+$M$5*$J$7</f>
        <v>30.966109007542947</v>
      </c>
      <c r="O52" s="6">
        <f>$J$3+[21]FormattedData!H25*$J$4+$M$4*$J$5+[21]FormattedData!H25^2*$J$6+$M$5*$J$7</f>
        <v>30.189062299389853</v>
      </c>
      <c r="P52" s="6">
        <f>$J$3+[21]FormattedData!I25*$J$4+$M$4*$J$5+[21]FormattedData!I25^2*$J$6+$M$5*$J$7</f>
        <v>29.799524500402956</v>
      </c>
      <c r="Q52" s="6">
        <f>$J$3+[21]FormattedData!J25*$J$4+$M$4*$J$5+[21]FormattedData!J25^2*$J$6+$M$5*$J$7</f>
        <v>31.159947999201908</v>
      </c>
      <c r="R52" s="6">
        <f>$J$3+[21]FormattedData!K25*$J$4+$M$4*$J$5+[21]FormattedData!K25^2*$J$6+$M$5*$J$7</f>
        <v>30.577923801769852</v>
      </c>
      <c r="S52" s="6">
        <f>$J$3+[21]FormattedData!L25*$J$4+$M$4*$J$5+[21]FormattedData!L25^2*$J$6+$M$5*$J$7</f>
        <v>29.70203437931141</v>
      </c>
      <c r="T52" s="6">
        <f>$J$3+[21]FormattedData!M25*$J$4+$M$4*$J$5+[21]FormattedData!M25^2*$J$6+$M$5*$J$7</f>
        <v>30.189062299389853</v>
      </c>
      <c r="U52" s="6">
        <f>$J$3+[21]FormattedData!N25*$J$4+$M$4*$J$5+[21]FormattedData!N25^2*$J$6+$M$5*$J$7</f>
        <v>28.724808398809682</v>
      </c>
      <c r="V52" s="6">
        <f>$J$3+[21]FormattedData!O25*$J$4+$M$4*$J$5+[21]FormattedData!O25^2*$J$6+$M$5*$J$7</f>
        <v>28.430816368169506</v>
      </c>
      <c r="W52" s="5">
        <f t="shared" si="9"/>
        <v>30.25209022643709</v>
      </c>
      <c r="X52" s="4">
        <f t="shared" si="10"/>
        <v>0.27326447162586093</v>
      </c>
      <c r="Y52" s="3">
        <f t="shared" si="11"/>
        <v>28.430816368169506</v>
      </c>
      <c r="Z52" s="2">
        <f t="shared" si="12"/>
        <v>29.775151970130068</v>
      </c>
      <c r="AA52" s="3">
        <f t="shared" si="13"/>
        <v>30.383493050579851</v>
      </c>
      <c r="AB52" s="2">
        <f t="shared" si="14"/>
        <v>30.990344165067558</v>
      </c>
      <c r="AC52" s="2">
        <f t="shared" si="15"/>
        <v>31.353617916709148</v>
      </c>
      <c r="AD52" s="2">
        <f t="shared" si="16"/>
        <v>-0.85031438168651041</v>
      </c>
      <c r="AE52" s="2">
        <f t="shared" si="17"/>
        <v>-0.19139175637453043</v>
      </c>
    </row>
    <row r="53" spans="2:31" x14ac:dyDescent="0.2">
      <c r="B53" s="1">
        <f>[21]FormattedData!A23</f>
        <v>104</v>
      </c>
      <c r="C53" s="1" t="str">
        <f>VLOOKUP($B53,[21]TrtCodes!$B$11:I66,2)</f>
        <v>NTL</v>
      </c>
      <c r="D53" s="1">
        <f>VLOOKUP($B53,[21]TrtCodes!$B$11:J66,3)</f>
        <v>10</v>
      </c>
      <c r="E53" s="1">
        <f>VLOOKUP($B53,[21]TrtCodes!$B$11:K66,4)</f>
        <v>2</v>
      </c>
      <c r="F53" s="1">
        <f>VLOOKUP($B53,[21]TrtCodes!$B$11:L66,5)</f>
        <v>2</v>
      </c>
      <c r="G53" s="1">
        <f>VLOOKUP($B53,[21]TrtCodes!$B$11:M66,6)</f>
        <v>1</v>
      </c>
      <c r="H53" s="1">
        <f>VLOOKUP($B53,[21]TrtCodes!$B$11:N66,7)</f>
        <v>1</v>
      </c>
      <c r="I53" s="1">
        <f>[21]FormattedData!B23</f>
        <v>2</v>
      </c>
      <c r="J53" s="4">
        <f>[21]FormattedData!C23</f>
        <v>13.143000000000001</v>
      </c>
      <c r="K53" s="6">
        <f>$J$3+[21]FormattedData!D23*$J$4+$M$4*$J$5+[21]FormattedData!D23^2*$J$6+$M$5*$J$7</f>
        <v>29.506927331514511</v>
      </c>
      <c r="L53" s="6">
        <f>$J$3+[21]FormattedData!E23*$J$4+$M$4*$J$5+[21]FormattedData!E23^2*$J$6+$M$5*$J$7</f>
        <v>27.349590911734833</v>
      </c>
      <c r="M53" s="6">
        <f>$J$3+[21]FormattedData!F23*$J$4+$M$4*$J$5+[21]FormattedData!F23^2*$J$6+$M$5*$J$7</f>
        <v>28.430816368169506</v>
      </c>
      <c r="N53" s="6">
        <f>$J$3+[21]FormattedData!G23*$J$4+$M$4*$J$5+[21]FormattedData!G23^2*$J$6+$M$5*$J$7</f>
        <v>28.822721205280544</v>
      </c>
      <c r="O53" s="6">
        <f>$J$3+[21]FormattedData!H23*$J$4+$M$4*$J$5+[21]FormattedData!H23^2*$J$6+$M$5*$J$7</f>
        <v>30.189062299389853</v>
      </c>
      <c r="P53" s="6">
        <f>$J$3+[21]FormattedData!I23*$J$4+$M$4*$J$5+[21]FormattedData!I23^2*$J$6+$M$5*$J$7</f>
        <v>29.409310404809169</v>
      </c>
      <c r="Q53" s="6">
        <f>$J$3+[21]FormattedData!J23*$J$4+$M$4*$J$5+[21]FormattedData!J23^2*$J$6+$M$5*$J$7</f>
        <v>29.506927331514511</v>
      </c>
      <c r="R53" s="6">
        <f>$J$3+[21]FormattedData!K23*$J$4+$M$4*$J$5+[21]FormattedData!K23^2*$J$6+$M$5*$J$7</f>
        <v>29.604501989681925</v>
      </c>
      <c r="S53" s="6">
        <f>$J$3+[21]FormattedData!L23*$J$4+$M$4*$J$5+[21]FormattedData!L23^2*$J$6+$M$5*$J$7</f>
        <v>28.03823523445157</v>
      </c>
      <c r="T53" s="6">
        <f>$J$3+[21]FormattedData!M23*$J$4+$M$4*$J$5+[21]FormattedData!M23^2*$J$6+$M$5*$J$7</f>
        <v>28.626853323800887</v>
      </c>
      <c r="U53" s="6">
        <f>$J$3+[21]FormattedData!N23*$J$4+$M$4*$J$5+[21]FormattedData!N23^2*$J$6+$M$5*$J$7</f>
        <v>29.506927331514511</v>
      </c>
      <c r="V53" s="6">
        <f>$J$3+[21]FormattedData!O23*$J$4+$M$4*$J$5+[21]FormattedData!O23^2*$J$6+$M$5*$J$7</f>
        <v>27.152454974117241</v>
      </c>
      <c r="W53" s="5">
        <f t="shared" si="9"/>
        <v>28.845360725498253</v>
      </c>
      <c r="X53" s="4">
        <f t="shared" si="10"/>
        <v>0.27507152755506692</v>
      </c>
      <c r="Y53" s="3">
        <f t="shared" si="11"/>
        <v>27.152454974117241</v>
      </c>
      <c r="Z53" s="2">
        <f t="shared" si="12"/>
        <v>28.332671084740021</v>
      </c>
      <c r="AA53" s="3">
        <f t="shared" si="13"/>
        <v>29.116015805044857</v>
      </c>
      <c r="AB53" s="2">
        <f t="shared" si="14"/>
        <v>29.506927331514511</v>
      </c>
      <c r="AC53" s="2">
        <f t="shared" si="15"/>
        <v>30.189062299389853</v>
      </c>
      <c r="AD53" s="2">
        <f t="shared" si="16"/>
        <v>-0.61710474909469448</v>
      </c>
      <c r="AE53" s="2">
        <f t="shared" si="17"/>
        <v>-0.60371332809644374</v>
      </c>
    </row>
    <row r="54" spans="2:31" x14ac:dyDescent="0.2">
      <c r="B54" s="1">
        <f>[21]FormattedData!A21</f>
        <v>105</v>
      </c>
      <c r="C54" s="1" t="str">
        <f>VLOOKUP($B54,[21]TrtCodes!$B$11:I64,2)</f>
        <v>NDL</v>
      </c>
      <c r="D54" s="1">
        <f>VLOOKUP($B54,[21]TrtCodes!$B$11:J64,3)</f>
        <v>12</v>
      </c>
      <c r="E54" s="1">
        <f>VLOOKUP($B54,[21]TrtCodes!$B$11:K64,4)</f>
        <v>2</v>
      </c>
      <c r="F54" s="1">
        <f>VLOOKUP($B54,[21]TrtCodes!$B$11:L64,5)</f>
        <v>3</v>
      </c>
      <c r="G54" s="1">
        <f>VLOOKUP($B54,[21]TrtCodes!$B$11:M64,6)</f>
        <v>1</v>
      </c>
      <c r="H54" s="1">
        <f>VLOOKUP($B54,[21]TrtCodes!$B$11:N64,7)</f>
        <v>2</v>
      </c>
      <c r="I54" s="1">
        <f>[21]FormattedData!B21</f>
        <v>2</v>
      </c>
      <c r="J54" s="4">
        <f>[21]FormattedData!C21</f>
        <v>13.125999999999999</v>
      </c>
      <c r="K54" s="6">
        <f>$J$3+[21]FormattedData!D21*$J$4+$M$4*$J$5+[21]FormattedData!D21^2*$J$6+$M$5*$J$7</f>
        <v>30.675033506020021</v>
      </c>
      <c r="L54" s="6">
        <f>$J$3+[21]FormattedData!E21*$J$4+$M$4*$J$5+[21]FormattedData!E21^2*$J$6+$M$5*$J$7</f>
        <v>30.383577587655715</v>
      </c>
      <c r="M54" s="6">
        <f>$J$3+[21]FormattedData!F21*$J$4+$M$4*$J$5+[21]FormattedData!F21^2*$J$6+$M$5*$J$7</f>
        <v>31.256804092224488</v>
      </c>
      <c r="N54" s="6">
        <f>$J$3+[21]FormattedData!G21*$J$4+$M$4*$J$5+[21]FormattedData!G21^2*$J$6+$M$5*$J$7</f>
        <v>31.063049637641395</v>
      </c>
      <c r="O54" s="6">
        <f>$J$3+[21]FormattedData!H21*$J$4+$M$4*$J$5+[21]FormattedData!H21^2*$J$6+$M$5*$J$7</f>
        <v>30.772100941732258</v>
      </c>
      <c r="P54" s="6">
        <f>$J$3+[21]FormattedData!I21*$J$4+$M$4*$J$5+[21]FormattedData!I21^2*$J$6+$M$5*$J$7</f>
        <v>32.512086864566356</v>
      </c>
      <c r="Q54" s="6">
        <f>$J$3+[21]FormattedData!J21*$J$4+$M$4*$J$5+[21]FormattedData!J21^2*$J$6+$M$5*$J$7</f>
        <v>33.951613670456808</v>
      </c>
      <c r="R54" s="6">
        <f>$J$3+[21]FormattedData!K21*$J$4+$M$4*$J$5+[21]FormattedData!K21^2*$J$6+$M$5*$J$7</f>
        <v>33.08903883744668</v>
      </c>
      <c r="S54" s="6">
        <f>$J$3+[21]FormattedData!L21*$J$4+$M$4*$J$5+[21]FormattedData!L21^2*$J$6+$M$5*$J$7</f>
        <v>31.93361322432051</v>
      </c>
      <c r="T54" s="6">
        <f>$J$3+[21]FormattedData!M21*$J$4+$M$4*$J$5+[21]FormattedData!M21^2*$J$6+$M$5*$J$7</f>
        <v>32.60835119805791</v>
      </c>
      <c r="U54" s="6">
        <f>$J$3+[21]FormattedData!N21*$J$4+$M$4*$J$5+[21]FormattedData!N21^2*$J$6+$M$5*$J$7</f>
        <v>32.800753059427208</v>
      </c>
      <c r="V54" s="6">
        <f>$J$3+[21]FormattedData!O21*$J$4+$M$4*$J$5+[21]FormattedData!O21^2*$J$6+$M$5*$J$7</f>
        <v>34.238377781110756</v>
      </c>
      <c r="W54" s="5">
        <f t="shared" si="9"/>
        <v>32.10703336672168</v>
      </c>
      <c r="X54" s="4">
        <f t="shared" si="10"/>
        <v>0.37388125611219847</v>
      </c>
      <c r="Y54" s="3">
        <f t="shared" si="11"/>
        <v>30.383577587655715</v>
      </c>
      <c r="Z54" s="2">
        <f t="shared" si="12"/>
        <v>30.990312463664111</v>
      </c>
      <c r="AA54" s="3">
        <f t="shared" si="13"/>
        <v>32.222850044443433</v>
      </c>
      <c r="AB54" s="2">
        <f t="shared" si="14"/>
        <v>32.87282450393208</v>
      </c>
      <c r="AC54" s="2">
        <f t="shared" si="15"/>
        <v>34.238377781110756</v>
      </c>
      <c r="AD54" s="2">
        <f t="shared" si="16"/>
        <v>0.26306899746705309</v>
      </c>
      <c r="AE54" s="2">
        <f t="shared" si="17"/>
        <v>-1.1560974078366013</v>
      </c>
    </row>
    <row r="55" spans="2:31" x14ac:dyDescent="0.2">
      <c r="B55" s="1">
        <f>[21]FormattedData!A19</f>
        <v>106</v>
      </c>
      <c r="C55" s="1" t="str">
        <f>VLOOKUP($B55,[21]TrtCodes!$B$11:I62,2)</f>
        <v>NTH</v>
      </c>
      <c r="D55" s="1">
        <f>VLOOKUP($B55,[21]TrtCodes!$B$11:J62,3)</f>
        <v>9</v>
      </c>
      <c r="E55" s="1">
        <f>VLOOKUP($B55,[21]TrtCodes!$B$11:K62,4)</f>
        <v>2</v>
      </c>
      <c r="F55" s="1">
        <f>VLOOKUP($B55,[21]TrtCodes!$B$11:L62,5)</f>
        <v>2</v>
      </c>
      <c r="G55" s="1">
        <f>VLOOKUP($B55,[21]TrtCodes!$B$11:M62,6)</f>
        <v>2</v>
      </c>
      <c r="H55" s="1">
        <f>VLOOKUP($B55,[21]TrtCodes!$B$11:N62,7)</f>
        <v>2</v>
      </c>
      <c r="I55" s="1">
        <f>[21]FormattedData!B19</f>
        <v>2</v>
      </c>
      <c r="J55" s="4">
        <f>[21]FormattedData!C19</f>
        <v>13.108000000000001</v>
      </c>
      <c r="K55" s="6">
        <f>$J$3+[21]FormattedData!D19*$J$4+$M$4*$J$5+[21]FormattedData!D19^2*$J$6+$M$5*$J$7</f>
        <v>31.256804092224488</v>
      </c>
      <c r="L55" s="6">
        <f>$J$3+[21]FormattedData!E19*$J$4+$M$4*$J$5+[21]FormattedData!E19^2*$J$6+$M$5*$J$7</f>
        <v>30.286341077791747</v>
      </c>
      <c r="M55" s="6">
        <f>$J$3+[21]FormattedData!F19*$J$4+$M$4*$J$5+[21]FormattedData!F19^2*$J$6+$M$5*$J$7</f>
        <v>30.86912610890657</v>
      </c>
      <c r="N55" s="6">
        <f>$J$3+[21]FormattedData!G19*$J$4+$M$4*$J$5+[21]FormattedData!G19^2*$J$6+$M$5*$J$7</f>
        <v>29.799524500402956</v>
      </c>
      <c r="O55" s="6">
        <f>$J$3+[21]FormattedData!H19*$J$4+$M$4*$J$5+[21]FormattedData!H19^2*$J$6+$M$5*$J$7</f>
        <v>29.799524500402956</v>
      </c>
      <c r="P55" s="6">
        <f>$J$3+[21]FormattedData!I19*$J$4+$M$4*$J$5+[21]FormattedData!I19^2*$J$6+$M$5*$J$7</f>
        <v>29.311651209565891</v>
      </c>
      <c r="Q55" s="6">
        <f>$J$3+[21]FormattedData!J19*$J$4+$M$4*$J$5+[21]FormattedData!J19^2*$J$6+$M$5*$J$7</f>
        <v>28.332734487546919</v>
      </c>
      <c r="R55" s="6">
        <f>$J$3+[21]FormattedData!K19*$J$4+$M$4*$J$5+[21]FormattedData!K19^2*$J$6+$M$5*$J$7</f>
        <v>30.577923801769852</v>
      </c>
      <c r="S55" s="6">
        <f>$J$3+[21]FormattedData!L19*$J$4+$M$4*$J$5+[21]FormattedData!L19^2*$J$6+$M$5*$J$7</f>
        <v>32.223040252864124</v>
      </c>
      <c r="T55" s="6">
        <f>$J$3+[21]FormattedData!M19*$J$4+$M$4*$J$5+[21]FormattedData!M19^2*$J$6+$M$5*$J$7</f>
        <v>31.353617916709148</v>
      </c>
      <c r="U55" s="6">
        <f>$J$3+[21]FormattedData!N19*$J$4+$M$4*$J$5+[21]FormattedData!N19^2*$J$6+$M$5*$J$7</f>
        <v>31.837053011063446</v>
      </c>
      <c r="V55" s="6">
        <f>$J$3+[21]FormattedData!O19*$J$4+$M$4*$J$5+[21]FormattedData!O19^2*$J$6+$M$5*$J$7</f>
        <v>31.643805778935519</v>
      </c>
      <c r="W55" s="5">
        <f t="shared" si="9"/>
        <v>30.607595561515307</v>
      </c>
      <c r="X55" s="4">
        <f t="shared" si="10"/>
        <v>0.33150123736246295</v>
      </c>
      <c r="Y55" s="3">
        <f t="shared" si="11"/>
        <v>28.332734487546919</v>
      </c>
      <c r="Z55" s="2">
        <f t="shared" si="12"/>
        <v>29.799524500402956</v>
      </c>
      <c r="AA55" s="3">
        <f t="shared" si="13"/>
        <v>30.723524955338213</v>
      </c>
      <c r="AB55" s="2">
        <f t="shared" si="14"/>
        <v>31.426164882265741</v>
      </c>
      <c r="AC55" s="2">
        <f t="shared" si="15"/>
        <v>32.223040252864124</v>
      </c>
      <c r="AD55" s="2">
        <f t="shared" si="16"/>
        <v>-0.51463096686798737</v>
      </c>
      <c r="AE55" s="2">
        <f t="shared" si="17"/>
        <v>-0.29968633249046439</v>
      </c>
    </row>
    <row r="56" spans="2:31" x14ac:dyDescent="0.2">
      <c r="B56" s="1">
        <f>[21]FormattedData!A17</f>
        <v>107</v>
      </c>
      <c r="C56" s="1" t="str">
        <f>VLOOKUP($B56,[21]TrtCodes!$B$11:I60,2)</f>
        <v>NTL</v>
      </c>
      <c r="D56" s="1">
        <f>VLOOKUP($B56,[21]TrtCodes!$B$11:J60,3)</f>
        <v>10</v>
      </c>
      <c r="E56" s="1">
        <f>VLOOKUP($B56,[21]TrtCodes!$B$11:K60,4)</f>
        <v>2</v>
      </c>
      <c r="F56" s="1">
        <f>VLOOKUP($B56,[21]TrtCodes!$B$11:L60,5)</f>
        <v>2</v>
      </c>
      <c r="G56" s="1">
        <f>VLOOKUP($B56,[21]TrtCodes!$B$11:M60,6)</f>
        <v>1</v>
      </c>
      <c r="H56" s="1">
        <f>VLOOKUP($B56,[21]TrtCodes!$B$11:N60,7)</f>
        <v>2</v>
      </c>
      <c r="I56" s="1">
        <f>[21]FormattedData!B17</f>
        <v>2</v>
      </c>
      <c r="J56" s="4">
        <f>[21]FormattedData!C17</f>
        <v>13.092000000000001</v>
      </c>
      <c r="K56" s="6">
        <f>$J$3+[21]FormattedData!D17*$J$4+$M$4*$J$5+[21]FormattedData!D17^2*$J$6+$M$5*$J$7</f>
        <v>28.724808398809682</v>
      </c>
      <c r="L56" s="6">
        <f>$J$3+[21]FormattedData!E17*$J$4+$M$4*$J$5+[21]FormattedData!E17^2*$J$6+$M$5*$J$7</f>
        <v>28.332734487546919</v>
      </c>
      <c r="M56" s="6">
        <f>$J$3+[21]FormattedData!F17*$J$4+$M$4*$J$5+[21]FormattedData!F17^2*$J$6+$M$5*$J$7</f>
        <v>29.311651209565891</v>
      </c>
      <c r="N56" s="6">
        <f>$J$3+[21]FormattedData!G17*$J$4+$M$4*$J$5+[21]FormattedData!G17^2*$J$6+$M$5*$J$7</f>
        <v>28.626853323800887</v>
      </c>
      <c r="O56" s="6">
        <f>$J$3+[21]FormattedData!H17*$J$4+$M$4*$J$5+[21]FormattedData!H17^2*$J$6+$M$5*$J$7</f>
        <v>28.332734487546919</v>
      </c>
      <c r="P56" s="6">
        <f>$J$3+[21]FormattedData!I17*$J$4+$M$4*$J$5+[21]FormattedData!I17^2*$J$6+$M$5*$J$7</f>
        <v>28.528855980254161</v>
      </c>
      <c r="Q56" s="6">
        <f>$J$3+[21]FormattedData!J17*$J$4+$M$4*$J$5+[21]FormattedData!J17^2*$J$6+$M$5*$J$7</f>
        <v>31.93361322432051</v>
      </c>
      <c r="R56" s="6">
        <f>$J$3+[21]FormattedData!K17*$J$4+$M$4*$J$5+[21]FormattedData!K17^2*$J$6+$M$5*$J$7</f>
        <v>29.604501989681925</v>
      </c>
      <c r="S56" s="6">
        <f>$J$3+[21]FormattedData!L17*$J$4+$M$4*$J$5+[21]FormattedData!L17^2*$J$6+$M$5*$J$7</f>
        <v>31.159947999201908</v>
      </c>
      <c r="T56" s="6">
        <f>$J$3+[21]FormattedData!M17*$J$4+$M$4*$J$5+[21]FormattedData!M17^2*$J$6+$M$5*$J$7</f>
        <v>29.409310404809169</v>
      </c>
      <c r="U56" s="6">
        <f>$J$3+[21]FormattedData!N17*$J$4+$M$4*$J$5+[21]FormattedData!N17^2*$J$6+$M$5*$J$7</f>
        <v>31.159947999201908</v>
      </c>
      <c r="V56" s="6">
        <f>$J$3+[21]FormattedData!O17*$J$4+$M$4*$J$5+[21]FormattedData!O17^2*$J$6+$M$5*$J$7</f>
        <v>30.577923801769852</v>
      </c>
      <c r="W56" s="5">
        <f t="shared" si="9"/>
        <v>29.641906942209143</v>
      </c>
      <c r="X56" s="4">
        <f t="shared" si="10"/>
        <v>0.36348130227285808</v>
      </c>
      <c r="Y56" s="3">
        <f t="shared" si="11"/>
        <v>28.332734487546919</v>
      </c>
      <c r="Z56" s="2">
        <f t="shared" si="12"/>
        <v>28.602353987914206</v>
      </c>
      <c r="AA56" s="3">
        <f t="shared" si="13"/>
        <v>29.360480807187528</v>
      </c>
      <c r="AB56" s="2">
        <f t="shared" si="14"/>
        <v>30.723429851127868</v>
      </c>
      <c r="AC56" s="2">
        <f t="shared" si="15"/>
        <v>31.93361322432051</v>
      </c>
      <c r="AD56" s="2">
        <f t="shared" si="16"/>
        <v>0.662326197954198</v>
      </c>
      <c r="AE56" s="2">
        <f t="shared" si="17"/>
        <v>-1.0138686137273325</v>
      </c>
    </row>
    <row r="57" spans="2:31" x14ac:dyDescent="0.2">
      <c r="B57" s="1">
        <f>[21]FormattedData!A15</f>
        <v>108</v>
      </c>
      <c r="C57" s="1" t="str">
        <f>VLOOKUP($B57,[21]TrtCodes!$B$11:I58,2)</f>
        <v>FTH</v>
      </c>
      <c r="D57" s="1">
        <f>VLOOKUP($B57,[21]TrtCodes!$B$11:J58,3)</f>
        <v>3</v>
      </c>
      <c r="E57" s="1">
        <f>VLOOKUP($B57,[21]TrtCodes!$B$11:K58,4)</f>
        <v>1</v>
      </c>
      <c r="F57" s="1">
        <f>VLOOKUP($B57,[21]TrtCodes!$B$11:L58,5)</f>
        <v>2</v>
      </c>
      <c r="G57" s="1">
        <f>VLOOKUP($B57,[21]TrtCodes!$B$11:M58,6)</f>
        <v>2</v>
      </c>
      <c r="H57" s="1">
        <f>VLOOKUP($B57,[21]TrtCodes!$B$11:N58,7)</f>
        <v>2</v>
      </c>
      <c r="I57" s="1">
        <f>[21]FormattedData!B15</f>
        <v>2</v>
      </c>
      <c r="J57" s="4">
        <f>[21]FormattedData!C15</f>
        <v>13.074</v>
      </c>
      <c r="K57" s="6">
        <f>$J$3+[21]FormattedData!D15*$J$4+$M$4*$J$5+[21]FormattedData!D15^2*$J$6+$M$5*$J$7</f>
        <v>30.383577587655715</v>
      </c>
      <c r="L57" s="6">
        <f>$J$3+[21]FormattedData!E15*$J$4+$M$4*$J$5+[21]FormattedData!E15^2*$J$6+$M$5*$J$7</f>
        <v>30.383577587655715</v>
      </c>
      <c r="M57" s="6">
        <f>$J$3+[21]FormattedData!F15*$J$4+$M$4*$J$5+[21]FormattedData!F15^2*$J$6+$M$5*$J$7</f>
        <v>29.896972352956581</v>
      </c>
      <c r="N57" s="6">
        <f>$J$3+[21]FormattedData!G15*$J$4+$M$4*$J$5+[21]FormattedData!G15^2*$J$6+$M$5*$J$7</f>
        <v>30.091741252450031</v>
      </c>
      <c r="O57" s="6">
        <f>$J$3+[21]FormattedData!H15*$J$4+$M$4*$J$5+[21]FormattedData!H15^2*$J$6+$M$5*$J$7</f>
        <v>30.383577587655715</v>
      </c>
      <c r="P57" s="6">
        <f>$J$3+[21]FormattedData!I15*$J$4+$M$4*$J$5+[21]FormattedData!I15^2*$J$6+$M$5*$J$7</f>
        <v>31.063049637641395</v>
      </c>
      <c r="Q57" s="6">
        <f>$J$3+[21]FormattedData!J15*$J$4+$M$4*$J$5+[21]FormattedData!J15^2*$J$6+$M$5*$J$7</f>
        <v>31.063049637641395</v>
      </c>
      <c r="R57" s="6">
        <f>$J$3+[21]FormattedData!K15*$J$4+$M$4*$J$5+[21]FormattedData!K15^2*$J$6+$M$5*$J$7</f>
        <v>31.450389472655864</v>
      </c>
      <c r="S57" s="6">
        <f>$J$3+[21]FormattedData!L15*$J$4+$M$4*$J$5+[21]FormattedData!L15^2*$J$6+$M$5*$J$7</f>
        <v>32.030131169039649</v>
      </c>
      <c r="T57" s="6">
        <f>$J$3+[21]FormattedData!M15*$J$4+$M$4*$J$5+[21]FormattedData!M15^2*$J$6+$M$5*$J$7</f>
        <v>31.256804092224488</v>
      </c>
      <c r="U57" s="6">
        <f>$J$3+[21]FormattedData!N15*$J$4+$M$4*$J$5+[21]FormattedData!N15^2*$J$6+$M$5*$J$7</f>
        <v>29.994377936972267</v>
      </c>
      <c r="V57" s="6">
        <f>$J$3+[21]FormattedData!O15*$J$4+$M$4*$J$5+[21]FormattedData!O15^2*$J$6+$M$5*$J$7</f>
        <v>30.772100941732258</v>
      </c>
      <c r="W57" s="5">
        <f t="shared" si="9"/>
        <v>30.730779104690097</v>
      </c>
      <c r="X57" s="4">
        <f t="shared" si="10"/>
        <v>0.18895463020895026</v>
      </c>
      <c r="Y57" s="3">
        <f t="shared" si="11"/>
        <v>29.896972352956581</v>
      </c>
      <c r="Z57" s="2">
        <f t="shared" si="12"/>
        <v>30.310618503854293</v>
      </c>
      <c r="AA57" s="3">
        <f t="shared" si="13"/>
        <v>30.577839264693985</v>
      </c>
      <c r="AB57" s="2">
        <f t="shared" si="14"/>
        <v>31.11148825128717</v>
      </c>
      <c r="AC57" s="2">
        <f t="shared" si="15"/>
        <v>32.030131169039649</v>
      </c>
      <c r="AD57" s="2">
        <f t="shared" si="16"/>
        <v>0.55229158909362097</v>
      </c>
      <c r="AE57" s="2">
        <f t="shared" si="17"/>
        <v>-0.4217293105912967</v>
      </c>
    </row>
    <row r="58" spans="2:31" x14ac:dyDescent="0.2">
      <c r="B58" s="1">
        <f>[21]FormattedData!A31</f>
        <v>201</v>
      </c>
      <c r="C58" s="1" t="str">
        <f>VLOOKUP($B58,[21]TrtCodes!$B$11:I74,2)</f>
        <v>NDL</v>
      </c>
      <c r="D58" s="1">
        <f>VLOOKUP($B58,[21]TrtCodes!$B$11:J74,3)</f>
        <v>12</v>
      </c>
      <c r="E58" s="1">
        <f>VLOOKUP($B58,[21]TrtCodes!$B$11:K74,4)</f>
        <v>2</v>
      </c>
      <c r="F58" s="1">
        <f>VLOOKUP($B58,[21]TrtCodes!$B$11:L74,5)</f>
        <v>3</v>
      </c>
      <c r="G58" s="1">
        <f>VLOOKUP($B58,[21]TrtCodes!$B$11:M74,6)</f>
        <v>1</v>
      </c>
      <c r="H58" s="1">
        <f>VLOOKUP($B58,[21]TrtCodes!$B$11:N74,7)</f>
        <v>1</v>
      </c>
      <c r="I58" s="1">
        <f>[21]FormattedData!B31</f>
        <v>2</v>
      </c>
      <c r="J58" s="4">
        <f>[21]FormattedData!C31</f>
        <v>13.217000000000001</v>
      </c>
      <c r="K58" s="6">
        <f>$J$3+[21]FormattedData!D31*$J$4+$M$4*$J$5+[21]FormattedData!D31^2*$J$6+$M$5*$J$7</f>
        <v>29.994377936972267</v>
      </c>
      <c r="L58" s="6">
        <f>$J$3+[21]FormattedData!E31*$J$4+$M$4*$J$5+[21]FormattedData!E31^2*$J$6+$M$5*$J$7</f>
        <v>31.93361322432051</v>
      </c>
      <c r="M58" s="6">
        <f>$J$3+[21]FormattedData!F31*$J$4+$M$4*$J$5+[21]FormattedData!F31^2*$J$6+$M$5*$J$7</f>
        <v>30.675033506020021</v>
      </c>
      <c r="N58" s="6">
        <f>$J$3+[21]FormattedData!G31*$J$4+$M$4*$J$5+[21]FormattedData!G31^2*$J$6+$M$5*$J$7</f>
        <v>30.772100941732258</v>
      </c>
      <c r="O58" s="6">
        <f>$J$3+[21]FormattedData!H31*$J$4+$M$4*$J$5+[21]FormattedData!H31^2*$J$6+$M$5*$J$7</f>
        <v>30.383577587655715</v>
      </c>
      <c r="P58" s="6">
        <f>$J$3+[21]FormattedData!I31*$J$4+$M$4*$J$5+[21]FormattedData!I31^2*$J$6+$M$5*$J$7</f>
        <v>31.547118760064663</v>
      </c>
      <c r="Q58" s="6">
        <f>$J$3+[21]FormattedData!J31*$J$4+$M$4*$J$5+[21]FormattedData!J31^2*$J$6+$M$5*$J$7</f>
        <v>32.512086864566356</v>
      </c>
      <c r="R58" s="6">
        <f>$J$3+[21]FormattedData!K31*$J$4+$M$4*$J$5+[21]FormattedData!K31^2*$J$6+$M$5*$J$7</f>
        <v>31.837053011063446</v>
      </c>
      <c r="S58" s="6">
        <f>$J$3+[21]FormattedData!L31*$J$4+$M$4*$J$5+[21]FormattedData!L31^2*$J$6+$M$5*$J$7</f>
        <v>32.60835119805791</v>
      </c>
      <c r="T58" s="6">
        <f>$J$3+[21]FormattedData!M31*$J$4+$M$4*$J$5+[21]FormattedData!M31^2*$J$6+$M$5*$J$7</f>
        <v>30.577923801769852</v>
      </c>
      <c r="U58" s="6">
        <f>$J$3+[21]FormattedData!N31*$J$4+$M$4*$J$5+[21]FormattedData!N31^2*$J$6+$M$5*$J$7</f>
        <v>31.450389472655864</v>
      </c>
      <c r="V58" s="6">
        <f>$J$3+[21]FormattedData!O31*$J$4+$M$4*$J$5+[21]FormattedData!O31^2*$J$6+$M$5*$J$7</f>
        <v>31.93361322432051</v>
      </c>
      <c r="W58" s="5">
        <f t="shared" si="9"/>
        <v>31.352103294099948</v>
      </c>
      <c r="X58" s="4">
        <f t="shared" si="10"/>
        <v>0.24708200106660824</v>
      </c>
      <c r="Y58" s="3">
        <f t="shared" si="11"/>
        <v>29.994377936972267</v>
      </c>
      <c r="Z58" s="2">
        <f t="shared" si="12"/>
        <v>30.650756079957478</v>
      </c>
      <c r="AA58" s="3">
        <f t="shared" si="13"/>
        <v>31.498754116360264</v>
      </c>
      <c r="AB58" s="2">
        <f t="shared" si="14"/>
        <v>31.93361322432051</v>
      </c>
      <c r="AC58" s="2">
        <f t="shared" si="15"/>
        <v>32.60835119805791</v>
      </c>
      <c r="AD58" s="2">
        <f t="shared" si="16"/>
        <v>-5.5985519621170397E-2</v>
      </c>
      <c r="AE58" s="2">
        <f t="shared" si="17"/>
        <v>-1.2301979163913672</v>
      </c>
    </row>
    <row r="59" spans="2:31" x14ac:dyDescent="0.2">
      <c r="B59" s="1">
        <f>[21]FormattedData!A33</f>
        <v>202</v>
      </c>
      <c r="C59" s="1" t="str">
        <f>VLOOKUP($B59,[21]TrtCodes!$B$11:I76,2)</f>
        <v>NTH</v>
      </c>
      <c r="D59" s="1">
        <f>VLOOKUP($B59,[21]TrtCodes!$B$11:J76,3)</f>
        <v>9</v>
      </c>
      <c r="E59" s="1">
        <f>VLOOKUP($B59,[21]TrtCodes!$B$11:K76,4)</f>
        <v>2</v>
      </c>
      <c r="F59" s="1">
        <f>VLOOKUP($B59,[21]TrtCodes!$B$11:L76,5)</f>
        <v>2</v>
      </c>
      <c r="G59" s="1">
        <f>VLOOKUP($B59,[21]TrtCodes!$B$11:M76,6)</f>
        <v>2</v>
      </c>
      <c r="H59" s="1">
        <f>VLOOKUP($B59,[21]TrtCodes!$B$11:N76,7)</f>
        <v>1</v>
      </c>
      <c r="I59" s="1">
        <f>[21]FormattedData!B33</f>
        <v>2</v>
      </c>
      <c r="J59" s="4">
        <f>[21]FormattedData!C33</f>
        <v>13.233000000000001</v>
      </c>
      <c r="K59" s="6">
        <f>$J$3+[21]FormattedData!D33*$J$4+$M$4*$J$5+[21]FormattedData!D33^2*$J$6+$M$5*$J$7</f>
        <v>29.604501989681925</v>
      </c>
      <c r="L59" s="6">
        <f>$J$3+[21]FormattedData!E33*$J$4+$M$4*$J$5+[21]FormattedData!E33^2*$J$6+$M$5*$J$7</f>
        <v>29.994377936972267</v>
      </c>
      <c r="M59" s="6">
        <f>$J$3+[21]FormattedData!F33*$J$4+$M$4*$J$5+[21]FormattedData!F33^2*$J$6+$M$5*$J$7</f>
        <v>30.675033506020021</v>
      </c>
      <c r="N59" s="6">
        <f>$J$3+[21]FormattedData!G33*$J$4+$M$4*$J$5+[21]FormattedData!G33^2*$J$6+$M$5*$J$7</f>
        <v>29.213949745784685</v>
      </c>
      <c r="O59" s="6">
        <f>$J$3+[21]FormattedData!H33*$J$4+$M$4*$J$5+[21]FormattedData!H33^2*$J$6+$M$5*$J$7</f>
        <v>29.994377936972267</v>
      </c>
      <c r="P59" s="6">
        <f>$J$3+[21]FormattedData!I33*$J$4+$M$4*$J$5+[21]FormattedData!I33^2*$J$6+$M$5*$J$7</f>
        <v>29.506927331514511</v>
      </c>
      <c r="Q59" s="6">
        <f>$J$3+[21]FormattedData!J33*$J$4+$M$4*$J$5+[21]FormattedData!J33^2*$J$6+$M$5*$J$7</f>
        <v>30.966109007542947</v>
      </c>
      <c r="R59" s="6">
        <f>$J$3+[21]FormattedData!K33*$J$4+$M$4*$J$5+[21]FormattedData!K33^2*$J$6+$M$5*$J$7</f>
        <v>30.091741252450031</v>
      </c>
      <c r="S59" s="6">
        <f>$J$3+[21]FormattedData!L33*$J$4+$M$4*$J$5+[21]FormattedData!L33^2*$J$6+$M$5*$J$7</f>
        <v>32.030131169039649</v>
      </c>
      <c r="T59" s="6">
        <f>$J$3+[21]FormattedData!M33*$J$4+$M$4*$J$5+[21]FormattedData!M33^2*$J$6+$M$5*$J$7</f>
        <v>30.675033506020021</v>
      </c>
      <c r="U59" s="6">
        <f>$J$3+[21]FormattedData!N33*$J$4+$M$4*$J$5+[21]FormattedData!N33^2*$J$6+$M$5*$J$7</f>
        <v>30.577923801769852</v>
      </c>
      <c r="V59" s="6">
        <f>$J$3+[21]FormattedData!O33*$J$4+$M$4*$J$5+[21]FormattedData!O33^2*$J$6+$M$5*$J$7</f>
        <v>30.286341077791747</v>
      </c>
      <c r="W59" s="5">
        <f t="shared" si="9"/>
        <v>30.301370688463326</v>
      </c>
      <c r="X59" s="4">
        <f t="shared" si="10"/>
        <v>0.21877983406732407</v>
      </c>
      <c r="Y59" s="3">
        <f t="shared" si="11"/>
        <v>29.213949745784685</v>
      </c>
      <c r="Z59" s="2">
        <f t="shared" si="12"/>
        <v>29.89690895014968</v>
      </c>
      <c r="AA59" s="3">
        <f t="shared" si="13"/>
        <v>30.189041165120891</v>
      </c>
      <c r="AB59" s="2">
        <f t="shared" si="14"/>
        <v>30.675033506020021</v>
      </c>
      <c r="AC59" s="2">
        <f t="shared" si="15"/>
        <v>32.030131169039649</v>
      </c>
      <c r="AD59" s="2">
        <f t="shared" si="16"/>
        <v>0.85032849764259921</v>
      </c>
      <c r="AE59" s="2">
        <f t="shared" si="17"/>
        <v>1.3276789587138094</v>
      </c>
    </row>
    <row r="60" spans="2:31" x14ac:dyDescent="0.2">
      <c r="B60" s="1">
        <f>[21]FormattedData!A35</f>
        <v>203</v>
      </c>
      <c r="C60" s="1" t="str">
        <f>VLOOKUP($B60,[21]TrtCodes!$B$11:I78,2)</f>
        <v>FTH</v>
      </c>
      <c r="D60" s="1">
        <f>VLOOKUP($B60,[21]TrtCodes!$B$11:J78,3)</f>
        <v>3</v>
      </c>
      <c r="E60" s="1">
        <f>VLOOKUP($B60,[21]TrtCodes!$B$11:K78,4)</f>
        <v>1</v>
      </c>
      <c r="F60" s="1">
        <f>VLOOKUP($B60,[21]TrtCodes!$B$11:L78,5)</f>
        <v>2</v>
      </c>
      <c r="G60" s="1">
        <f>VLOOKUP($B60,[21]TrtCodes!$B$11:M78,6)</f>
        <v>2</v>
      </c>
      <c r="H60" s="1">
        <f>VLOOKUP($B60,[21]TrtCodes!$B$11:N78,7)</f>
        <v>1</v>
      </c>
      <c r="I60" s="1">
        <f>[21]FormattedData!B35</f>
        <v>2</v>
      </c>
      <c r="J60" s="4">
        <f>[21]FormattedData!C35</f>
        <v>13.25</v>
      </c>
      <c r="K60" s="6">
        <f>$J$3+[21]FormattedData!D35*$J$4+$M$4*$J$5+[21]FormattedData!D35^2*$J$6+$M$5*$J$7</f>
        <v>30.091741252450031</v>
      </c>
      <c r="L60" s="6">
        <f>$J$3+[21]FormattedData!E35*$J$4+$M$4*$J$5+[21]FormattedData!E35^2*$J$6+$M$5*$J$7</f>
        <v>29.506927331514511</v>
      </c>
      <c r="M60" s="6">
        <f>$J$3+[21]FormattedData!F35*$J$4+$M$4*$J$5+[21]FormattedData!F35^2*$J$6+$M$5*$J$7</f>
        <v>29.994377936972267</v>
      </c>
      <c r="N60" s="6">
        <f>$J$3+[21]FormattedData!G35*$J$4+$M$4*$J$5+[21]FormattedData!G35^2*$J$6+$M$5*$J$7</f>
        <v>29.799524500402956</v>
      </c>
      <c r="O60" s="6">
        <f>$J$3+[21]FormattedData!H35*$J$4+$M$4*$J$5+[21]FormattedData!H35^2*$J$6+$M$5*$J$7</f>
        <v>29.311651209565891</v>
      </c>
      <c r="P60" s="6">
        <f>$J$3+[21]FormattedData!I35*$J$4+$M$4*$J$5+[21]FormattedData!I35^2*$J$6+$M$5*$J$7</f>
        <v>30.86912610890657</v>
      </c>
      <c r="Q60" s="6">
        <f>$J$3+[21]FormattedData!J35*$J$4+$M$4*$J$5+[21]FormattedData!J35^2*$J$6+$M$5*$J$7</f>
        <v>29.70203437931141</v>
      </c>
      <c r="R60" s="6">
        <f>$J$3+[21]FormattedData!K35*$J$4+$M$4*$J$5+[21]FormattedData!K35^2*$J$6+$M$5*$J$7</f>
        <v>29.70203437931141</v>
      </c>
      <c r="S60" s="6">
        <f>$J$3+[21]FormattedData!L35*$J$4+$M$4*$J$5+[21]FormattedData!L35^2*$J$6+$M$5*$J$7</f>
        <v>28.234610338386403</v>
      </c>
      <c r="T60" s="6">
        <f>$J$3+[21]FormattedData!M35*$J$4+$M$4*$J$5+[21]FormattedData!M35^2*$J$6+$M$5*$J$7</f>
        <v>28.528855980254161</v>
      </c>
      <c r="U60" s="6">
        <f>$J$3+[21]FormattedData!N35*$J$4+$M$4*$J$5+[21]FormattedData!N35^2*$J$6+$M$5*$J$7</f>
        <v>28.724808398809682</v>
      </c>
      <c r="V60" s="6">
        <f>$J$3+[21]FormattedData!O35*$J$4+$M$4*$J$5+[21]FormattedData!O35^2*$J$6+$M$5*$J$7</f>
        <v>28.03823523445157</v>
      </c>
      <c r="W60" s="5">
        <f t="shared" si="9"/>
        <v>29.37532725419474</v>
      </c>
      <c r="X60" s="4">
        <f t="shared" si="10"/>
        <v>0.24264074246114825</v>
      </c>
      <c r="Y60" s="3">
        <f t="shared" si="11"/>
        <v>28.03823523445157</v>
      </c>
      <c r="Z60" s="2">
        <f t="shared" si="12"/>
        <v>28.675820294170801</v>
      </c>
      <c r="AA60" s="3">
        <f t="shared" si="13"/>
        <v>29.604480855412959</v>
      </c>
      <c r="AB60" s="2">
        <f t="shared" si="14"/>
        <v>29.848237859545286</v>
      </c>
      <c r="AC60" s="2">
        <f t="shared" si="15"/>
        <v>30.86912610890657</v>
      </c>
      <c r="AD60" s="2">
        <f t="shared" si="16"/>
        <v>-0.12313148983805602</v>
      </c>
      <c r="AE60" s="2">
        <f t="shared" si="17"/>
        <v>-0.55211961592519909</v>
      </c>
    </row>
    <row r="61" spans="2:31" x14ac:dyDescent="0.2">
      <c r="B61" s="1">
        <f>[21]FormattedData!A37</f>
        <v>204</v>
      </c>
      <c r="C61" s="1" t="str">
        <f>VLOOKUP($B61,[21]TrtCodes!$B$11:I80,2)</f>
        <v>NDH</v>
      </c>
      <c r="D61" s="1">
        <f>VLOOKUP($B61,[21]TrtCodes!$B$11:J80,3)</f>
        <v>11</v>
      </c>
      <c r="E61" s="1">
        <f>VLOOKUP($B61,[21]TrtCodes!$B$11:K80,4)</f>
        <v>2</v>
      </c>
      <c r="F61" s="1">
        <f>VLOOKUP($B61,[21]TrtCodes!$B$11:L80,5)</f>
        <v>3</v>
      </c>
      <c r="G61" s="1">
        <f>VLOOKUP($B61,[21]TrtCodes!$B$11:M80,6)</f>
        <v>2</v>
      </c>
      <c r="H61" s="1">
        <f>VLOOKUP($B61,[21]TrtCodes!$B$11:N80,7)</f>
        <v>1</v>
      </c>
      <c r="I61" s="1">
        <f>[21]FormattedData!B37</f>
        <v>2</v>
      </c>
      <c r="J61" s="4">
        <f>[21]FormattedData!C37</f>
        <v>13.266999999999999</v>
      </c>
      <c r="K61" s="6">
        <f>$J$3+[21]FormattedData!D37*$J$4+$M$4*$J$5+[21]FormattedData!D37^2*$J$6+$M$5*$J$7</f>
        <v>28.822721205280544</v>
      </c>
      <c r="L61" s="6">
        <f>$J$3+[21]FormattedData!E37*$J$4+$M$4*$J$5+[21]FormattedData!E37^2*$J$6+$M$5*$J$7</f>
        <v>28.430816368169506</v>
      </c>
      <c r="M61" s="6">
        <f>$J$3+[21]FormattedData!F37*$J$4+$M$4*$J$5+[21]FormattedData!F37^2*$J$6+$M$5*$J$7</f>
        <v>28.430816368169506</v>
      </c>
      <c r="N61" s="6">
        <f>$J$3+[21]FormattedData!G37*$J$4+$M$4*$J$5+[21]FormattedData!G37^2*$J$6+$M$5*$J$7</f>
        <v>30.286341077791747</v>
      </c>
      <c r="O61" s="6">
        <f>$J$3+[21]FormattedData!H37*$J$4+$M$4*$J$5+[21]FormattedData!H37^2*$J$6+$M$5*$J$7</f>
        <v>28.724808398809682</v>
      </c>
      <c r="P61" s="6">
        <f>$J$3+[21]FormattedData!I37*$J$4+$M$4*$J$5+[21]FormattedData!I37^2*$J$6+$M$5*$J$7</f>
        <v>27.743355564514843</v>
      </c>
      <c r="Q61" s="6">
        <f>$J$3+[21]FormattedData!J37*$J$4+$M$4*$J$5+[21]FormattedData!J37^2*$J$6+$M$5*$J$7</f>
        <v>27.939984279677258</v>
      </c>
      <c r="R61" s="6">
        <f>$J$3+[21]FormattedData!K37*$J$4+$M$4*$J$5+[21]FormattedData!K37^2*$J$6+$M$5*$J$7</f>
        <v>30.286341077791747</v>
      </c>
      <c r="S61" s="6">
        <f>$J$3+[21]FormattedData!L37*$J$4+$M$4*$J$5+[21]FormattedData!L37^2*$J$6+$M$5*$J$7</f>
        <v>27.546557775200696</v>
      </c>
      <c r="T61" s="6">
        <f>$J$3+[21]FormattedData!M37*$J$4+$M$4*$J$5+[21]FormattedData!M37^2*$J$6+$M$5*$J$7</f>
        <v>28.234610338386403</v>
      </c>
      <c r="U61" s="6">
        <f>$J$3+[21]FormattedData!N37*$J$4+$M$4*$J$5+[21]FormattedData!N37^2*$J$6+$M$5*$J$7</f>
        <v>28.430816368169506</v>
      </c>
      <c r="V61" s="6">
        <f>$J$3+[21]FormattedData!O37*$J$4+$M$4*$J$5+[21]FormattedData!O37^2*$J$6+$M$5*$J$7</f>
        <v>30.577923801769852</v>
      </c>
      <c r="W61" s="5">
        <f t="shared" si="9"/>
        <v>28.787924385310941</v>
      </c>
      <c r="X61" s="4">
        <f t="shared" si="10"/>
        <v>0.29822263740757549</v>
      </c>
      <c r="Y61" s="3">
        <f t="shared" si="11"/>
        <v>27.546557775200696</v>
      </c>
      <c r="Z61" s="2">
        <f t="shared" si="12"/>
        <v>28.160953823709118</v>
      </c>
      <c r="AA61" s="3">
        <f t="shared" si="13"/>
        <v>28.430816368169506</v>
      </c>
      <c r="AB61" s="2">
        <f t="shared" si="14"/>
        <v>29.188626173408345</v>
      </c>
      <c r="AC61" s="2">
        <f t="shared" si="15"/>
        <v>30.577923801769852</v>
      </c>
      <c r="AD61" s="2">
        <f t="shared" si="16"/>
        <v>0.84057829126044081</v>
      </c>
      <c r="AE61" s="2">
        <f t="shared" si="17"/>
        <v>-0.6337364480068155</v>
      </c>
    </row>
    <row r="62" spans="2:31" x14ac:dyDescent="0.2">
      <c r="B62" s="1">
        <f>[21]FormattedData!A39</f>
        <v>205</v>
      </c>
      <c r="C62" s="1" t="str">
        <f>VLOOKUP($B62,[21]TrtCodes!$B$11:I82,2)</f>
        <v>FSH</v>
      </c>
      <c r="D62" s="1">
        <f>VLOOKUP($B62,[21]TrtCodes!$B$11:J82,3)</f>
        <v>1</v>
      </c>
      <c r="E62" s="1">
        <f>VLOOKUP($B62,[21]TrtCodes!$B$11:K82,4)</f>
        <v>1</v>
      </c>
      <c r="F62" s="1">
        <f>VLOOKUP($B62,[21]TrtCodes!$B$11:L82,5)</f>
        <v>1</v>
      </c>
      <c r="G62" s="1">
        <f>VLOOKUP($B62,[21]TrtCodes!$B$11:M82,6)</f>
        <v>2</v>
      </c>
      <c r="H62" s="1">
        <f>VLOOKUP($B62,[21]TrtCodes!$B$11:N82,7)</f>
        <v>2</v>
      </c>
      <c r="I62" s="1">
        <f>[21]FormattedData!B39</f>
        <v>2</v>
      </c>
      <c r="J62" s="4">
        <f>[21]FormattedData!C39</f>
        <v>13.284000000000001</v>
      </c>
      <c r="K62" s="6">
        <f>$J$3+[21]FormattedData!D39*$J$4+$M$4*$J$5+[21]FormattedData!D39^2*$J$6+$M$5*$J$7</f>
        <v>29.799524500402956</v>
      </c>
      <c r="L62" s="6">
        <f>$J$3+[21]FormattedData!E39*$J$4+$M$4*$J$5+[21]FormattedData!E39^2*$J$6+$M$5*$J$7</f>
        <v>29.604501989681925</v>
      </c>
      <c r="M62" s="6">
        <f>$J$3+[21]FormattedData!F39*$J$4+$M$4*$J$5+[21]FormattedData!F39^2*$J$6+$M$5*$J$7</f>
        <v>28.920591743213475</v>
      </c>
      <c r="N62" s="6">
        <f>$J$3+[21]FormattedData!G39*$J$4+$M$4*$J$5+[21]FormattedData!G39^2*$J$6+$M$5*$J$7</f>
        <v>27.448095477736732</v>
      </c>
      <c r="O62" s="6">
        <f>$J$3+[21]FormattedData!H39*$J$4+$M$4*$J$5+[21]FormattedData!H39^2*$J$6+$M$5*$J$7</f>
        <v>30.189062299389853</v>
      </c>
      <c r="P62" s="6">
        <f>$J$3+[21]FormattedData!I39*$J$4+$M$4*$J$5+[21]FormattedData!I39^2*$J$6+$M$5*$J$7</f>
        <v>29.116206013465547</v>
      </c>
      <c r="Q62" s="6">
        <f>$J$3+[21]FormattedData!J39*$J$4+$M$4*$J$5+[21]FormattedData!J39^2*$J$6+$M$5*$J$7</f>
        <v>29.506927331514511</v>
      </c>
      <c r="R62" s="6">
        <f>$J$3+[21]FormattedData!K39*$J$4+$M$4*$J$5+[21]FormattedData!K39^2*$J$6+$M$5*$J$7</f>
        <v>28.822721205280544</v>
      </c>
      <c r="S62" s="6">
        <f>$J$3+[21]FormattedData!L39*$J$4+$M$4*$J$5+[21]FormattedData!L39^2*$J$6+$M$5*$J$7</f>
        <v>29.213949745784685</v>
      </c>
      <c r="T62" s="6">
        <f>$J$3+[21]FormattedData!M39*$J$4+$M$4*$J$5+[21]FormattedData!M39^2*$J$6+$M$5*$J$7</f>
        <v>30.286341077791747</v>
      </c>
      <c r="U62" s="6">
        <f>$J$3+[21]FormattedData!N39*$J$4+$M$4*$J$5+[21]FormattedData!N39^2*$J$6+$M$5*$J$7</f>
        <v>29.799524500402956</v>
      </c>
      <c r="V62" s="6">
        <f>$J$3+[21]FormattedData!O39*$J$4+$M$4*$J$5+[21]FormattedData!O39^2*$J$6+$M$5*$J$7</f>
        <v>30.772100941732258</v>
      </c>
      <c r="W62" s="5">
        <f t="shared" si="9"/>
        <v>29.456628902199768</v>
      </c>
      <c r="X62" s="4">
        <f t="shared" si="10"/>
        <v>0.24791648557634227</v>
      </c>
      <c r="Y62" s="3">
        <f t="shared" si="11"/>
        <v>27.448095477736732</v>
      </c>
      <c r="Z62" s="2">
        <f t="shared" si="12"/>
        <v>29.067302445902527</v>
      </c>
      <c r="AA62" s="3">
        <f t="shared" si="13"/>
        <v>29.55571466059822</v>
      </c>
      <c r="AB62" s="2">
        <f t="shared" si="14"/>
        <v>29.89690895014968</v>
      </c>
      <c r="AC62" s="2">
        <f t="shared" si="15"/>
        <v>30.772100941732258</v>
      </c>
      <c r="AD62" s="2">
        <f t="shared" si="16"/>
        <v>-0.90261354359926849</v>
      </c>
      <c r="AE62" s="2">
        <f t="shared" si="17"/>
        <v>1.8528193430659767</v>
      </c>
    </row>
    <row r="63" spans="2:31" x14ac:dyDescent="0.2">
      <c r="B63" s="1">
        <f>[21]FormattedData!A41</f>
        <v>206</v>
      </c>
      <c r="C63" s="1" t="str">
        <f>VLOOKUP($B63,[21]TrtCodes!$B$11:I84,2)</f>
        <v>NSL</v>
      </c>
      <c r="D63" s="1">
        <f>VLOOKUP($B63,[21]TrtCodes!$B$11:J84,3)</f>
        <v>8</v>
      </c>
      <c r="E63" s="1">
        <f>VLOOKUP($B63,[21]TrtCodes!$B$11:K84,4)</f>
        <v>2</v>
      </c>
      <c r="F63" s="1">
        <f>VLOOKUP($B63,[21]TrtCodes!$B$11:L84,5)</f>
        <v>1</v>
      </c>
      <c r="G63" s="1">
        <f>VLOOKUP($B63,[21]TrtCodes!$B$11:M84,6)</f>
        <v>1</v>
      </c>
      <c r="H63" s="1">
        <f>VLOOKUP($B63,[21]TrtCodes!$B$11:N84,7)</f>
        <v>2</v>
      </c>
      <c r="I63" s="1">
        <f>[21]FormattedData!B41</f>
        <v>2</v>
      </c>
      <c r="J63" s="4">
        <f>[21]FormattedData!C41</f>
        <v>13.3</v>
      </c>
      <c r="K63" s="6">
        <f>$J$3+[21]FormattedData!D41*$J$4+$M$4*$J$5+[21]FormattedData!D41^2*$J$6+$M$5*$J$7</f>
        <v>29.311651209565891</v>
      </c>
      <c r="L63" s="6">
        <f>$J$3+[21]FormattedData!E41*$J$4+$M$4*$J$5+[21]FormattedData!E41^2*$J$6+$M$5*$J$7</f>
        <v>28.626853323800887</v>
      </c>
      <c r="M63" s="6">
        <f>$J$3+[21]FormattedData!F41*$J$4+$M$4*$J$5+[21]FormattedData!F41^2*$J$6+$M$5*$J$7</f>
        <v>28.822721205280544</v>
      </c>
      <c r="N63" s="6">
        <f>$J$3+[21]FormattedData!G41*$J$4+$M$4*$J$5+[21]FormattedData!G41^2*$J$6+$M$5*$J$7</f>
        <v>28.430816368169506</v>
      </c>
      <c r="O63" s="6">
        <f>$J$3+[21]FormattedData!H41*$J$4+$M$4*$J$5+[21]FormattedData!H41^2*$J$6+$M$5*$J$7</f>
        <v>29.311651209565891</v>
      </c>
      <c r="P63" s="6">
        <f>$J$3+[21]FormattedData!I41*$J$4+$M$4*$J$5+[21]FormattedData!I41^2*$J$6+$M$5*$J$7</f>
        <v>29.213949745784685</v>
      </c>
      <c r="Q63" s="6">
        <f>$J$3+[21]FormattedData!J41*$J$4+$M$4*$J$5+[21]FormattedData!J41^2*$J$6+$M$5*$J$7</f>
        <v>30.383577587655715</v>
      </c>
      <c r="R63" s="6">
        <f>$J$3+[21]FormattedData!K41*$J$4+$M$4*$J$5+[21]FormattedData!K41^2*$J$6+$M$5*$J$7</f>
        <v>28.724808398809682</v>
      </c>
      <c r="S63" s="6">
        <f>$J$3+[21]FormattedData!L41*$J$4+$M$4*$J$5+[21]FormattedData!L41^2*$J$6+$M$5*$J$7</f>
        <v>29.994377936972267</v>
      </c>
      <c r="T63" s="6">
        <f>$J$3+[21]FormattedData!M41*$J$4+$M$4*$J$5+[21]FormattedData!M41^2*$J$6+$M$5*$J$7</f>
        <v>29.896972352956581</v>
      </c>
      <c r="U63" s="6">
        <f>$J$3+[21]FormattedData!N41*$J$4+$M$4*$J$5+[21]FormattedData!N41^2*$J$6+$M$5*$J$7</f>
        <v>29.994377936972267</v>
      </c>
      <c r="V63" s="6">
        <f>$J$3+[21]FormattedData!O41*$J$4+$M$4*$J$5+[21]FormattedData!O41^2*$J$6+$M$5*$J$7</f>
        <v>28.528855980254161</v>
      </c>
      <c r="W63" s="5">
        <f t="shared" si="9"/>
        <v>29.270051104649003</v>
      </c>
      <c r="X63" s="4">
        <f t="shared" si="10"/>
        <v>0.19175546469390523</v>
      </c>
      <c r="Y63" s="3">
        <f t="shared" si="11"/>
        <v>28.430816368169506</v>
      </c>
      <c r="Z63" s="2">
        <f t="shared" si="12"/>
        <v>28.700319630057482</v>
      </c>
      <c r="AA63" s="3">
        <f t="shared" si="13"/>
        <v>29.262800477675288</v>
      </c>
      <c r="AB63" s="2">
        <f t="shared" si="14"/>
        <v>29.921323748960504</v>
      </c>
      <c r="AC63" s="2">
        <f t="shared" si="15"/>
        <v>30.383577587655715</v>
      </c>
      <c r="AD63" s="2">
        <f t="shared" si="16"/>
        <v>0.32423327439802535</v>
      </c>
      <c r="AE63" s="2">
        <f t="shared" si="17"/>
        <v>-1.3301903604396763</v>
      </c>
    </row>
    <row r="64" spans="2:31" x14ac:dyDescent="0.2">
      <c r="B64" s="1">
        <f>[21]FormattedData!A43</f>
        <v>207</v>
      </c>
      <c r="C64" s="1" t="str">
        <f>VLOOKUP($B64,[21]TrtCodes!$B$11:I86,2)</f>
        <v>FTL</v>
      </c>
      <c r="D64" s="1">
        <f>VLOOKUP($B64,[21]TrtCodes!$B$11:J86,3)</f>
        <v>4</v>
      </c>
      <c r="E64" s="1">
        <f>VLOOKUP($B64,[21]TrtCodes!$B$11:K86,4)</f>
        <v>1</v>
      </c>
      <c r="F64" s="1">
        <f>VLOOKUP($B64,[21]TrtCodes!$B$11:L86,5)</f>
        <v>2</v>
      </c>
      <c r="G64" s="1">
        <f>VLOOKUP($B64,[21]TrtCodes!$B$11:M86,6)</f>
        <v>1</v>
      </c>
      <c r="H64" s="1">
        <f>VLOOKUP($B64,[21]TrtCodes!$B$11:N86,7)</f>
        <v>2</v>
      </c>
      <c r="I64" s="1">
        <f>[21]FormattedData!B43</f>
        <v>2</v>
      </c>
      <c r="J64" s="4">
        <f>[21]FormattedData!C43</f>
        <v>13.317</v>
      </c>
      <c r="K64" s="6">
        <f>$J$3+[21]FormattedData!D43*$J$4+$M$4*$J$5+[21]FormattedData!D43^2*$J$6+$M$5*$J$7</f>
        <v>28.528855980254161</v>
      </c>
      <c r="L64" s="6">
        <f>$J$3+[21]FormattedData!E43*$J$4+$M$4*$J$5+[21]FormattedData!E43^2*$J$6+$M$5*$J$7</f>
        <v>27.939984279677258</v>
      </c>
      <c r="M64" s="6">
        <f>$J$3+[21]FormattedData!F43*$J$4+$M$4*$J$5+[21]FormattedData!F43^2*$J$6+$M$5*$J$7</f>
        <v>29.213949745784685</v>
      </c>
      <c r="N64" s="6">
        <f>$J$3+[21]FormattedData!G43*$J$4+$M$4*$J$5+[21]FormattedData!G43^2*$J$6+$M$5*$J$7</f>
        <v>28.822721205280544</v>
      </c>
      <c r="O64" s="6">
        <f>$J$3+[21]FormattedData!H43*$J$4+$M$4*$J$5+[21]FormattedData!H43^2*$J$6+$M$5*$J$7</f>
        <v>29.018420012608477</v>
      </c>
      <c r="P64" s="6">
        <f>$J$3+[21]FormattedData!I43*$J$4+$M$4*$J$5+[21]FormattedData!I43^2*$J$6+$M$5*$J$7</f>
        <v>29.018420012608477</v>
      </c>
      <c r="Q64" s="6">
        <f>$J$3+[21]FormattedData!J43*$J$4+$M$4*$J$5+[21]FormattedData!J43^2*$J$6+$M$5*$J$7</f>
        <v>28.626853323800887</v>
      </c>
      <c r="R64" s="6">
        <f>$J$3+[21]FormattedData!K43*$J$4+$M$4*$J$5+[21]FormattedData!K43^2*$J$6+$M$5*$J$7</f>
        <v>28.724808398809682</v>
      </c>
      <c r="S64" s="6">
        <f>$J$3+[21]FormattedData!L43*$J$4+$M$4*$J$5+[21]FormattedData!L43^2*$J$6+$M$5*$J$7</f>
        <v>29.116206013465547</v>
      </c>
      <c r="T64" s="6">
        <f>$J$3+[21]FormattedData!M43*$J$4+$M$4*$J$5+[21]FormattedData!M43^2*$J$6+$M$5*$J$7</f>
        <v>29.018420012608477</v>
      </c>
      <c r="U64" s="6">
        <f>$J$3+[21]FormattedData!N43*$J$4+$M$4*$J$5+[21]FormattedData!N43^2*$J$6+$M$5*$J$7</f>
        <v>28.03823523445157</v>
      </c>
      <c r="V64" s="6">
        <f>$J$3+[21]FormattedData!O43*$J$4+$M$4*$J$5+[21]FormattedData!O43^2*$J$6+$M$5*$J$7</f>
        <v>29.409310404809169</v>
      </c>
      <c r="W64" s="5">
        <f t="shared" si="9"/>
        <v>28.789682052013248</v>
      </c>
      <c r="X64" s="4">
        <f t="shared" si="10"/>
        <v>0.12951031513049635</v>
      </c>
      <c r="Y64" s="3">
        <f t="shared" si="11"/>
        <v>27.939984279677258</v>
      </c>
      <c r="Z64" s="2">
        <f t="shared" si="12"/>
        <v>28.602353987914206</v>
      </c>
      <c r="AA64" s="3">
        <f t="shared" si="13"/>
        <v>28.920570608944509</v>
      </c>
      <c r="AB64" s="2">
        <f t="shared" si="14"/>
        <v>29.042866512822744</v>
      </c>
      <c r="AC64" s="2">
        <f t="shared" si="15"/>
        <v>29.409310404809169</v>
      </c>
      <c r="AD64" s="2">
        <f t="shared" si="16"/>
        <v>-0.81559403448087942</v>
      </c>
      <c r="AE64" s="2">
        <f t="shared" si="17"/>
        <v>3.0794034774158874E-2</v>
      </c>
    </row>
    <row r="65" spans="2:31" x14ac:dyDescent="0.2">
      <c r="B65" s="1">
        <f>[21]FormattedData!A45</f>
        <v>208</v>
      </c>
      <c r="C65" s="1" t="str">
        <f>VLOOKUP($B65,[21]TrtCodes!$B$11:I88,2)</f>
        <v>FSL</v>
      </c>
      <c r="D65" s="1">
        <f>VLOOKUP($B65,[21]TrtCodes!$B$11:J88,3)</f>
        <v>2</v>
      </c>
      <c r="E65" s="1">
        <f>VLOOKUP($B65,[21]TrtCodes!$B$11:K88,4)</f>
        <v>1</v>
      </c>
      <c r="F65" s="1">
        <f>VLOOKUP($B65,[21]TrtCodes!$B$11:L88,5)</f>
        <v>1</v>
      </c>
      <c r="G65" s="1">
        <f>VLOOKUP($B65,[21]TrtCodes!$B$11:M88,6)</f>
        <v>1</v>
      </c>
      <c r="H65" s="1">
        <f>VLOOKUP($B65,[21]TrtCodes!$B$11:N88,7)</f>
        <v>2</v>
      </c>
      <c r="I65" s="1">
        <f>[21]FormattedData!B45</f>
        <v>2</v>
      </c>
      <c r="J65" s="4">
        <f>[21]FormattedData!C45</f>
        <v>13.333</v>
      </c>
      <c r="K65" s="6">
        <f>$J$3+[21]FormattedData!D45*$J$4+$M$4*$J$5+[21]FormattedData!D45^2*$J$6+$M$5*$J$7</f>
        <v>29.799524500402956</v>
      </c>
      <c r="L65" s="6">
        <f>$J$3+[21]FormattedData!E45*$J$4+$M$4*$J$5+[21]FormattedData!E45^2*$J$6+$M$5*$J$7</f>
        <v>29.116206013465547</v>
      </c>
      <c r="M65" s="6">
        <f>$J$3+[21]FormattedData!F45*$J$4+$M$4*$J$5+[21]FormattedData!F45^2*$J$6+$M$5*$J$7</f>
        <v>28.822721205280544</v>
      </c>
      <c r="N65" s="6">
        <f>$J$3+[21]FormattedData!G45*$J$4+$M$4*$J$5+[21]FormattedData!G45^2*$J$6+$M$5*$J$7</f>
        <v>30.966109007542947</v>
      </c>
      <c r="O65" s="6">
        <f>$J$3+[21]FormattedData!H45*$J$4+$M$4*$J$5+[21]FormattedData!H45^2*$J$6+$M$5*$J$7</f>
        <v>29.506927331514511</v>
      </c>
      <c r="P65" s="6">
        <f>$J$3+[21]FormattedData!I45*$J$4+$M$4*$J$5+[21]FormattedData!I45^2*$J$6+$M$5*$J$7</f>
        <v>29.409310404809169</v>
      </c>
      <c r="Q65" s="6">
        <f>$J$3+[21]FormattedData!J45*$J$4+$M$4*$J$5+[21]FormattedData!J45^2*$J$6+$M$5*$J$7</f>
        <v>30.189062299389853</v>
      </c>
      <c r="R65" s="6">
        <f>$J$3+[21]FormattedData!K45*$J$4+$M$4*$J$5+[21]FormattedData!K45^2*$J$6+$M$5*$J$7</f>
        <v>30.577923801769852</v>
      </c>
      <c r="S65" s="6">
        <f>$J$3+[21]FormattedData!L45*$J$4+$M$4*$J$5+[21]FormattedData!L45^2*$J$6+$M$5*$J$7</f>
        <v>30.772100941732258</v>
      </c>
      <c r="T65" s="6">
        <f>$J$3+[21]FormattedData!M45*$J$4+$M$4*$J$5+[21]FormattedData!M45^2*$J$6+$M$5*$J$7</f>
        <v>29.994377936972267</v>
      </c>
      <c r="U65" s="6">
        <f>$J$3+[21]FormattedData!N45*$J$4+$M$4*$J$5+[21]FormattedData!N45^2*$J$6+$M$5*$J$7</f>
        <v>30.480771828981744</v>
      </c>
      <c r="V65" s="6">
        <f>$J$3+[21]FormattedData!O45*$J$4+$M$4*$J$5+[21]FormattedData!O45^2*$J$6+$M$5*$J$7</f>
        <v>30.86912610890657</v>
      </c>
      <c r="W65" s="5">
        <f t="shared" si="9"/>
        <v>30.042013448397356</v>
      </c>
      <c r="X65" s="4">
        <f t="shared" si="10"/>
        <v>0.20714365528154755</v>
      </c>
      <c r="Y65" s="3">
        <f t="shared" si="11"/>
        <v>28.822721205280544</v>
      </c>
      <c r="Z65" s="2">
        <f t="shared" si="12"/>
        <v>29.482523099838176</v>
      </c>
      <c r="AA65" s="3">
        <f t="shared" si="13"/>
        <v>30.091720118181058</v>
      </c>
      <c r="AB65" s="2">
        <f t="shared" si="14"/>
        <v>30.626468086760454</v>
      </c>
      <c r="AC65" s="2">
        <f t="shared" si="15"/>
        <v>30.966109007542947</v>
      </c>
      <c r="AD65" s="2">
        <f t="shared" si="16"/>
        <v>-0.30747533684000894</v>
      </c>
      <c r="AE65" s="2">
        <f t="shared" si="17"/>
        <v>-1.1852673582214046</v>
      </c>
    </row>
    <row r="66" spans="2:31" x14ac:dyDescent="0.2">
      <c r="B66" s="1">
        <f>[21]FormattedData!A63</f>
        <v>301</v>
      </c>
      <c r="C66" s="1" t="str">
        <f>VLOOKUP($B66,[21]TrtCodes!$B$11:I106,2)</f>
        <v>NTL</v>
      </c>
      <c r="D66" s="1">
        <f>VLOOKUP($B66,[21]TrtCodes!$B$11:J106,3)</f>
        <v>10</v>
      </c>
      <c r="E66" s="1">
        <f>VLOOKUP($B66,[21]TrtCodes!$B$11:K106,4)</f>
        <v>2</v>
      </c>
      <c r="F66" s="1">
        <f>VLOOKUP($B66,[21]TrtCodes!$B$11:L106,5)</f>
        <v>2</v>
      </c>
      <c r="G66" s="1">
        <f>VLOOKUP($B66,[21]TrtCodes!$B$11:M106,6)</f>
        <v>1</v>
      </c>
      <c r="H66" s="1">
        <f>VLOOKUP($B66,[21]TrtCodes!$B$11:N106,7)</f>
        <v>3</v>
      </c>
      <c r="I66" s="1">
        <f>[21]FormattedData!B63</f>
        <v>2</v>
      </c>
      <c r="J66" s="4">
        <f>[21]FormattedData!C63</f>
        <v>13.458</v>
      </c>
      <c r="K66" s="6">
        <f>$J$3+[21]FormattedData!D63*$J$4+$M$4*$J$5+[21]FormattedData!D63^2*$J$6+$M$5*$J$7</f>
        <v>31.93361322432051</v>
      </c>
      <c r="L66" s="6">
        <f>$J$3+[21]FormattedData!E63*$J$4+$M$4*$J$5+[21]FormattedData!E63^2*$J$6+$M$5*$J$7</f>
        <v>31.74045052926845</v>
      </c>
      <c r="M66" s="6">
        <f>$J$3+[21]FormattedData!F63*$J$4+$M$4*$J$5+[21]FormattedData!F63^2*$J$6+$M$5*$J$7</f>
        <v>32.030131169039649</v>
      </c>
      <c r="N66" s="6">
        <f>$J$3+[21]FormattedData!G63*$J$4+$M$4*$J$5+[21]FormattedData!G63^2*$J$6+$M$5*$J$7</f>
        <v>31.547118760064663</v>
      </c>
      <c r="O66" s="6">
        <f>$J$3+[21]FormattedData!H63*$J$4+$M$4*$J$5+[21]FormattedData!H63^2*$J$6+$M$5*$J$7</f>
        <v>29.896972352956581</v>
      </c>
      <c r="P66" s="6">
        <f>$J$3+[21]FormattedData!I63*$J$4+$M$4*$J$5+[21]FormattedData!I63^2*$J$6+$M$5*$J$7</f>
        <v>30.383577587655715</v>
      </c>
      <c r="Q66" s="6">
        <f>$J$3+[21]FormattedData!J63*$J$4+$M$4*$J$5+[21]FormattedData!J63^2*$J$6+$M$5*$J$7</f>
        <v>29.604501989681925</v>
      </c>
      <c r="R66" s="6">
        <f>$J$3+[21]FormattedData!K63*$J$4+$M$4*$J$5+[21]FormattedData!K63^2*$J$6+$M$5*$J$7</f>
        <v>29.799524500402956</v>
      </c>
      <c r="S66" s="6">
        <f>$J$3+[21]FormattedData!L63*$J$4+$M$4*$J$5+[21]FormattedData!L63^2*$J$6+$M$5*$J$7</f>
        <v>29.604501989681925</v>
      </c>
      <c r="T66" s="6">
        <f>$J$3+[21]FormattedData!M63*$J$4+$M$4*$J$5+[21]FormattedData!M63^2*$J$6+$M$5*$J$7</f>
        <v>29.70203437931141</v>
      </c>
      <c r="U66" s="6">
        <f>$J$3+[21]FormattedData!N63*$J$4+$M$4*$J$5+[21]FormattedData!N63^2*$J$6+$M$5*$J$7</f>
        <v>29.896972352956581</v>
      </c>
      <c r="V66" s="6">
        <f>$J$3+[21]FormattedData!O63*$J$4+$M$4*$J$5+[21]FormattedData!O63^2*$J$6+$M$5*$J$7</f>
        <v>32.030131169039649</v>
      </c>
      <c r="W66" s="5">
        <f t="shared" si="9"/>
        <v>30.680794167031664</v>
      </c>
      <c r="X66" s="4">
        <f t="shared" si="10"/>
        <v>0.30714809629645745</v>
      </c>
      <c r="Y66" s="3">
        <f t="shared" si="11"/>
        <v>29.604501989681925</v>
      </c>
      <c r="Z66" s="2">
        <f t="shared" si="12"/>
        <v>29.775151970130068</v>
      </c>
      <c r="AA66" s="3">
        <f t="shared" si="13"/>
        <v>30.140274970306148</v>
      </c>
      <c r="AB66" s="2">
        <f t="shared" si="14"/>
        <v>31.788741203031464</v>
      </c>
      <c r="AC66" s="2">
        <f t="shared" si="15"/>
        <v>32.030131169039649</v>
      </c>
      <c r="AD66" s="2">
        <f t="shared" si="16"/>
        <v>0.327395884265963</v>
      </c>
      <c r="AE66" s="2">
        <f t="shared" si="17"/>
        <v>-2.080241833421387</v>
      </c>
    </row>
    <row r="67" spans="2:31" x14ac:dyDescent="0.2">
      <c r="B67" s="1">
        <f>[21]FormattedData!A65</f>
        <v>302</v>
      </c>
      <c r="C67" s="1" t="str">
        <f>VLOOKUP($B67,[21]TrtCodes!$B$11:I108,2)</f>
        <v>FTL</v>
      </c>
      <c r="D67" s="1">
        <f>VLOOKUP($B67,[21]TrtCodes!$B$11:J108,3)</f>
        <v>4</v>
      </c>
      <c r="E67" s="1">
        <f>VLOOKUP($B67,[21]TrtCodes!$B$11:K108,4)</f>
        <v>1</v>
      </c>
      <c r="F67" s="1">
        <f>VLOOKUP($B67,[21]TrtCodes!$B$11:L108,5)</f>
        <v>2</v>
      </c>
      <c r="G67" s="1">
        <f>VLOOKUP($B67,[21]TrtCodes!$B$11:M108,6)</f>
        <v>1</v>
      </c>
      <c r="H67" s="1">
        <f>VLOOKUP($B67,[21]TrtCodes!$B$11:N108,7)</f>
        <v>3</v>
      </c>
      <c r="I67" s="1">
        <f>[21]FormattedData!B65</f>
        <v>2</v>
      </c>
      <c r="J67" s="4">
        <f>[21]FormattedData!C65</f>
        <v>13.474</v>
      </c>
      <c r="K67" s="6">
        <f>$J$3+[21]FormattedData!D65*$J$4+$M$4*$J$5+[21]FormattedData!D65^2*$J$6+$M$5*$J$7</f>
        <v>32.60835119805791</v>
      </c>
      <c r="L67" s="6">
        <f>$J$3+[21]FormattedData!E65*$J$4+$M$4*$J$5+[21]FormattedData!E65^2*$J$6+$M$5*$J$7</f>
        <v>31.93361322432051</v>
      </c>
      <c r="M67" s="6">
        <f>$J$3+[21]FormattedData!F65*$J$4+$M$4*$J$5+[21]FormattedData!F65^2*$J$6+$M$5*$J$7</f>
        <v>32.41578026253687</v>
      </c>
      <c r="N67" s="6">
        <f>$J$3+[21]FormattedData!G65*$J$4+$M$4*$J$5+[21]FormattedData!G65^2*$J$6+$M$5*$J$7</f>
        <v>32.60835119805791</v>
      </c>
      <c r="O67" s="6">
        <f>$J$3+[21]FormattedData!H65*$J$4+$M$4*$J$5+[21]FormattedData!H65^2*$J$6+$M$5*$J$7</f>
        <v>30.966109007542947</v>
      </c>
      <c r="P67" s="6">
        <f>$J$3+[21]FormattedData!I65*$J$4+$M$4*$J$5+[21]FormattedData!I65^2*$J$6+$M$5*$J$7</f>
        <v>32.030131169039649</v>
      </c>
      <c r="Q67" s="6">
        <f>$J$3+[21]FormattedData!J65*$J$4+$M$4*$J$5+[21]FormattedData!J65^2*$J$6+$M$5*$J$7</f>
        <v>32.319431391969466</v>
      </c>
      <c r="R67" s="6">
        <f>$J$3+[21]FormattedData!K65*$J$4+$M$4*$J$5+[21]FormattedData!K65^2*$J$6+$M$5*$J$7</f>
        <v>30.772100941732258</v>
      </c>
      <c r="S67" s="6">
        <f>$J$3+[21]FormattedData!L65*$J$4+$M$4*$J$5+[21]FormattedData!L65^2*$J$6+$M$5*$J$7</f>
        <v>29.799524500402956</v>
      </c>
      <c r="T67" s="6">
        <f>$J$3+[21]FormattedData!M65*$J$4+$M$4*$J$5+[21]FormattedData!M65^2*$J$6+$M$5*$J$7</f>
        <v>30.772100941732258</v>
      </c>
      <c r="U67" s="6">
        <f>$J$3+[21]FormattedData!N65*$J$4+$M$4*$J$5+[21]FormattedData!N65^2*$J$6+$M$5*$J$7</f>
        <v>30.383577587655715</v>
      </c>
      <c r="V67" s="6">
        <f>$J$3+[21]FormattedData!O65*$J$4+$M$4*$J$5+[21]FormattedData!O65^2*$J$6+$M$5*$J$7</f>
        <v>29.213949745784685</v>
      </c>
      <c r="W67" s="5">
        <f t="shared" si="9"/>
        <v>31.318585097402764</v>
      </c>
      <c r="X67" s="4">
        <f t="shared" si="10"/>
        <v>0.33427765287738037</v>
      </c>
      <c r="Y67" s="3">
        <f t="shared" si="11"/>
        <v>29.213949745784685</v>
      </c>
      <c r="Z67" s="2">
        <f t="shared" si="12"/>
        <v>30.674970103213123</v>
      </c>
      <c r="AA67" s="3">
        <f t="shared" si="13"/>
        <v>31.449861115931729</v>
      </c>
      <c r="AB67" s="2">
        <f t="shared" si="14"/>
        <v>32.343518609611316</v>
      </c>
      <c r="AC67" s="2">
        <f t="shared" si="15"/>
        <v>32.60835119805791</v>
      </c>
      <c r="AD67" s="2">
        <f t="shared" si="16"/>
        <v>-0.47831944012236749</v>
      </c>
      <c r="AE67" s="2">
        <f t="shared" si="17"/>
        <v>-1.0282152091049275</v>
      </c>
    </row>
    <row r="68" spans="2:31" x14ac:dyDescent="0.2">
      <c r="B68" s="1">
        <f>[21]FormattedData!A67</f>
        <v>303</v>
      </c>
      <c r="C68" s="1" t="str">
        <f>VLOOKUP($B68,[21]TrtCodes!$B$11:I110,2)</f>
        <v>NSL</v>
      </c>
      <c r="D68" s="1">
        <f>VLOOKUP($B68,[21]TrtCodes!$B$11:J110,3)</f>
        <v>8</v>
      </c>
      <c r="E68" s="1">
        <f>VLOOKUP($B68,[21]TrtCodes!$B$11:K110,4)</f>
        <v>2</v>
      </c>
      <c r="F68" s="1">
        <f>VLOOKUP($B68,[21]TrtCodes!$B$11:L110,5)</f>
        <v>1</v>
      </c>
      <c r="G68" s="1">
        <f>VLOOKUP($B68,[21]TrtCodes!$B$11:M110,6)</f>
        <v>1</v>
      </c>
      <c r="H68" s="1">
        <f>VLOOKUP($B68,[21]TrtCodes!$B$11:N110,7)</f>
        <v>3</v>
      </c>
      <c r="I68" s="1">
        <f>[21]FormattedData!B67</f>
        <v>2</v>
      </c>
      <c r="J68" s="4">
        <f>[21]FormattedData!C67</f>
        <v>13.491</v>
      </c>
      <c r="K68" s="6">
        <f>$J$3+[21]FormattedData!D67*$J$4+$M$4*$J$5+[21]FormattedData!D67^2*$J$6+$M$5*$J$7</f>
        <v>33.281018013436665</v>
      </c>
      <c r="L68" s="6">
        <f>$J$3+[21]FormattedData!E67*$J$4+$M$4*$J$5+[21]FormattedData!E67^2*$J$6+$M$5*$J$7</f>
        <v>32.992985846644785</v>
      </c>
      <c r="M68" s="6">
        <f>$J$3+[21]FormattedData!F67*$J$4+$M$4*$J$5+[21]FormattedData!F67^2*$J$6+$M$5*$J$7</f>
        <v>33.185049559710642</v>
      </c>
      <c r="N68" s="6">
        <f>$J$3+[21]FormattedData!G67*$J$4+$M$4*$J$5+[21]FormattedData!G67^2*$J$6+$M$5*$J$7</f>
        <v>31.547118760064663</v>
      </c>
      <c r="O68" s="6">
        <f>$J$3+[21]FormattedData!H67*$J$4+$M$4*$J$5+[21]FormattedData!H67^2*$J$6+$M$5*$J$7</f>
        <v>31.353617916709148</v>
      </c>
      <c r="P68" s="6">
        <f>$J$3+[21]FormattedData!I67*$J$4+$M$4*$J$5+[21]FormattedData!I67^2*$J$6+$M$5*$J$7</f>
        <v>31.353617916709148</v>
      </c>
      <c r="Q68" s="6">
        <f>$J$3+[21]FormattedData!J67*$J$4+$M$4*$J$5+[21]FormattedData!J67^2*$J$6+$M$5*$J$7</f>
        <v>30.091741252450031</v>
      </c>
      <c r="R68" s="6">
        <f>$J$3+[21]FormattedData!K67*$J$4+$M$4*$J$5+[21]FormattedData!K67^2*$J$6+$M$5*$J$7</f>
        <v>31.159947999201908</v>
      </c>
      <c r="S68" s="6">
        <f>$J$3+[21]FormattedData!L67*$J$4+$M$4*$J$5+[21]FormattedData!L67^2*$J$6+$M$5*$J$7</f>
        <v>30.772100941732258</v>
      </c>
      <c r="T68" s="6">
        <f>$J$3+[21]FormattedData!M67*$J$4+$M$4*$J$5+[21]FormattedData!M67^2*$J$6+$M$5*$J$7</f>
        <v>31.74045052926845</v>
      </c>
      <c r="U68" s="6">
        <f>$J$3+[21]FormattedData!N67*$J$4+$M$4*$J$5+[21]FormattedData!N67^2*$J$6+$M$5*$J$7</f>
        <v>30.189062299389853</v>
      </c>
      <c r="V68" s="6">
        <f>$J$3+[21]FormattedData!O67*$J$4+$M$4*$J$5+[21]FormattedData!O67^2*$J$6+$M$5*$J$7</f>
        <v>31.256804092224488</v>
      </c>
      <c r="W68" s="5">
        <f t="shared" si="9"/>
        <v>31.576959593961835</v>
      </c>
      <c r="X68" s="4">
        <f t="shared" si="10"/>
        <v>0.30991946219056549</v>
      </c>
      <c r="Y68" s="3">
        <f t="shared" si="11"/>
        <v>30.091741252450031</v>
      </c>
      <c r="Z68" s="2">
        <f t="shared" si="12"/>
        <v>31.062986234834497</v>
      </c>
      <c r="AA68" s="3">
        <f t="shared" si="13"/>
        <v>31.353617916709148</v>
      </c>
      <c r="AB68" s="2">
        <f t="shared" si="14"/>
        <v>32.053584358612532</v>
      </c>
      <c r="AC68" s="2">
        <f t="shared" si="15"/>
        <v>33.281018013436665</v>
      </c>
      <c r="AD68" s="2">
        <f t="shared" si="16"/>
        <v>0.47180636383436458</v>
      </c>
      <c r="AE68" s="2">
        <f t="shared" si="17"/>
        <v>-0.69055503232241211</v>
      </c>
    </row>
    <row r="69" spans="2:31" x14ac:dyDescent="0.2">
      <c r="B69" s="1">
        <f>[21]FormattedData!A69</f>
        <v>304</v>
      </c>
      <c r="C69" s="1" t="str">
        <f>VLOOKUP($B69,[21]TrtCodes!$B$11:I112,2)</f>
        <v>FSL</v>
      </c>
      <c r="D69" s="1">
        <f>VLOOKUP($B69,[21]TrtCodes!$B$11:J112,3)</f>
        <v>2</v>
      </c>
      <c r="E69" s="1">
        <f>VLOOKUP($B69,[21]TrtCodes!$B$11:K112,4)</f>
        <v>1</v>
      </c>
      <c r="F69" s="1">
        <f>VLOOKUP($B69,[21]TrtCodes!$B$11:L112,5)</f>
        <v>1</v>
      </c>
      <c r="G69" s="1">
        <f>VLOOKUP($B69,[21]TrtCodes!$B$11:M112,6)</f>
        <v>1</v>
      </c>
      <c r="H69" s="1">
        <f>VLOOKUP($B69,[21]TrtCodes!$B$11:N112,7)</f>
        <v>3</v>
      </c>
      <c r="I69" s="1">
        <f>[21]FormattedData!B69</f>
        <v>2</v>
      </c>
      <c r="J69" s="4">
        <f>[21]FormattedData!C69</f>
        <v>13.509</v>
      </c>
      <c r="K69" s="6">
        <f>$J$3+[21]FormattedData!D69*$J$4+$M$4*$J$5+[21]FormattedData!D69^2*$J$6+$M$5*$J$7</f>
        <v>31.063049637641395</v>
      </c>
      <c r="L69" s="6">
        <f>$J$3+[21]FormattedData!E69*$J$4+$M$4*$J$5+[21]FormattedData!E69^2*$J$6+$M$5*$J$7</f>
        <v>29.70203437931141</v>
      </c>
      <c r="M69" s="6">
        <f>$J$3+[21]FormattedData!F69*$J$4+$M$4*$J$5+[21]FormattedData!F69^2*$J$6+$M$5*$J$7</f>
        <v>30.189062299389853</v>
      </c>
      <c r="N69" s="6">
        <f>$J$3+[21]FormattedData!G69*$J$4+$M$4*$J$5+[21]FormattedData!G69^2*$J$6+$M$5*$J$7</f>
        <v>28.822721205280544</v>
      </c>
      <c r="O69" s="6">
        <f>$J$3+[21]FormattedData!H69*$J$4+$M$4*$J$5+[21]FormattedData!H69^2*$J$6+$M$5*$J$7</f>
        <v>29.70203437931141</v>
      </c>
      <c r="P69" s="6">
        <f>$J$3+[21]FormattedData!I69*$J$4+$M$4*$J$5+[21]FormattedData!I69^2*$J$6+$M$5*$J$7</f>
        <v>30.772100941732258</v>
      </c>
      <c r="Q69" s="6">
        <f>$J$3+[21]FormattedData!J69*$J$4+$M$4*$J$5+[21]FormattedData!J69^2*$J$6+$M$5*$J$7</f>
        <v>30.480771828981744</v>
      </c>
      <c r="R69" s="6">
        <f>$J$3+[21]FormattedData!K69*$J$4+$M$4*$J$5+[21]FormattedData!K69^2*$J$6+$M$5*$J$7</f>
        <v>30.189062299389853</v>
      </c>
      <c r="S69" s="6">
        <f>$J$3+[21]FormattedData!L69*$J$4+$M$4*$J$5+[21]FormattedData!L69^2*$J$6+$M$5*$J$7</f>
        <v>30.577923801769852</v>
      </c>
      <c r="T69" s="6">
        <f>$J$3+[21]FormattedData!M69*$J$4+$M$4*$J$5+[21]FormattedData!M69^2*$J$6+$M$5*$J$7</f>
        <v>31.547118760064663</v>
      </c>
      <c r="U69" s="6">
        <f>$J$3+[21]FormattedData!N69*$J$4+$M$4*$J$5+[21]FormattedData!N69^2*$J$6+$M$5*$J$7</f>
        <v>30.86912610890657</v>
      </c>
      <c r="V69" s="6">
        <f>$J$3+[21]FormattedData!O69*$J$4+$M$4*$J$5+[21]FormattedData!O69^2*$J$6+$M$5*$J$7</f>
        <v>30.577923801769852</v>
      </c>
      <c r="W69" s="5">
        <f t="shared" si="9"/>
        <v>30.374410786962446</v>
      </c>
      <c r="X69" s="4">
        <f t="shared" si="10"/>
        <v>0.20829656669843535</v>
      </c>
      <c r="Y69" s="3">
        <f t="shared" si="11"/>
        <v>28.822721205280544</v>
      </c>
      <c r="Z69" s="2">
        <f t="shared" si="12"/>
        <v>30.067305319370242</v>
      </c>
      <c r="AA69" s="3">
        <f t="shared" si="13"/>
        <v>30.5293478153758</v>
      </c>
      <c r="AB69" s="2">
        <f t="shared" si="14"/>
        <v>30.796357233525836</v>
      </c>
      <c r="AC69" s="2">
        <f t="shared" si="15"/>
        <v>31.547118760064663</v>
      </c>
      <c r="AD69" s="2">
        <f t="shared" si="16"/>
        <v>-0.64330885044987984</v>
      </c>
      <c r="AE69" s="2">
        <f t="shared" si="17"/>
        <v>0.85712355648170746</v>
      </c>
    </row>
    <row r="70" spans="2:31" x14ac:dyDescent="0.2">
      <c r="B70" s="1">
        <f>[21]FormattedData!A71</f>
        <v>305</v>
      </c>
      <c r="C70" s="1" t="str">
        <f>VLOOKUP($B70,[21]TrtCodes!$B$11:I114,2)</f>
        <v>NDH</v>
      </c>
      <c r="D70" s="1">
        <f>VLOOKUP($B70,[21]TrtCodes!$B$11:J114,3)</f>
        <v>11</v>
      </c>
      <c r="E70" s="1">
        <f>VLOOKUP($B70,[21]TrtCodes!$B$11:K114,4)</f>
        <v>2</v>
      </c>
      <c r="F70" s="1">
        <f>VLOOKUP($B70,[21]TrtCodes!$B$11:L114,5)</f>
        <v>3</v>
      </c>
      <c r="G70" s="1">
        <f>VLOOKUP($B70,[21]TrtCodes!$B$11:M114,6)</f>
        <v>2</v>
      </c>
      <c r="H70" s="1">
        <f>VLOOKUP($B70,[21]TrtCodes!$B$11:N114,7)</f>
        <v>4</v>
      </c>
      <c r="I70" s="1">
        <f>[21]FormattedData!B71</f>
        <v>2</v>
      </c>
      <c r="J70" s="4">
        <f>[21]FormattedData!C71</f>
        <v>13.525</v>
      </c>
      <c r="K70" s="6">
        <f>$J$3+[21]FormattedData!D71*$J$4+$M$4*$J$5+[21]FormattedData!D71^2*$J$6+$M$5*$J$7</f>
        <v>31.547118760064663</v>
      </c>
      <c r="L70" s="6">
        <f>$J$3+[21]FormattedData!E71*$J$4+$M$4*$J$5+[21]FormattedData!E71^2*$J$6+$M$5*$J$7</f>
        <v>32.126606845220856</v>
      </c>
      <c r="M70" s="6">
        <f>$J$3+[21]FormattedData!F71*$J$4+$M$4*$J$5+[21]FormattedData!F71^2*$J$6+$M$5*$J$7</f>
        <v>31.837053011063446</v>
      </c>
      <c r="N70" s="6">
        <f>$J$3+[21]FormattedData!G71*$J$4+$M$4*$J$5+[21]FormattedData!G71^2*$J$6+$M$5*$J$7</f>
        <v>32.896890587304959</v>
      </c>
      <c r="O70" s="6">
        <f>$J$3+[21]FormattedData!H71*$J$4+$M$4*$J$5+[21]FormattedData!H71^2*$J$6+$M$5*$J$7</f>
        <v>32.030131169039649</v>
      </c>
      <c r="P70" s="6">
        <f>$J$3+[21]FormattedData!I71*$J$4+$M$4*$J$5+[21]FormattedData!I71^2*$J$6+$M$5*$J$7</f>
        <v>32.41578026253687</v>
      </c>
      <c r="Q70" s="6">
        <f>$J$3+[21]FormattedData!J71*$J$4+$M$4*$J$5+[21]FormattedData!J71^2*$J$6+$M$5*$J$7</f>
        <v>32.800753059427208</v>
      </c>
      <c r="R70" s="6">
        <f>$J$3+[21]FormattedData!K71*$J$4+$M$4*$J$5+[21]FormattedData!K71^2*$J$6+$M$5*$J$7</f>
        <v>34.238377781110756</v>
      </c>
      <c r="S70" s="6">
        <f>$J$3+[21]FormattedData!L71*$J$4+$M$4*$J$5+[21]FormattedData!L71^2*$J$6+$M$5*$J$7</f>
        <v>31.837053011063446</v>
      </c>
      <c r="T70" s="6">
        <f>$J$3+[21]FormattedData!M71*$J$4+$M$4*$J$5+[21]FormattedData!M71^2*$J$6+$M$5*$J$7</f>
        <v>33.951613670456808</v>
      </c>
      <c r="U70" s="6">
        <f>$J$3+[21]FormattedData!N71*$J$4+$M$4*$J$5+[21]FormattedData!N71^2*$J$6+$M$5*$J$7</f>
        <v>32.41578026253687</v>
      </c>
      <c r="V70" s="6">
        <f>$J$3+[21]FormattedData!O71*$J$4+$M$4*$J$5+[21]FormattedData!O71^2*$J$6+$M$5*$J$7</f>
        <v>32.512086864566356</v>
      </c>
      <c r="W70" s="5">
        <f t="shared" si="9"/>
        <v>32.550770440366001</v>
      </c>
      <c r="X70" s="4">
        <f t="shared" si="10"/>
        <v>0.23848787708977218</v>
      </c>
      <c r="Y70" s="3">
        <f t="shared" si="11"/>
        <v>31.547118760064663</v>
      </c>
      <c r="Z70" s="2">
        <f t="shared" si="12"/>
        <v>31.981861629545598</v>
      </c>
      <c r="AA70" s="3">
        <f t="shared" si="13"/>
        <v>32.41578026253687</v>
      </c>
      <c r="AB70" s="2">
        <f t="shared" si="14"/>
        <v>32.824787441396644</v>
      </c>
      <c r="AC70" s="2">
        <f t="shared" si="15"/>
        <v>34.238377781110756</v>
      </c>
      <c r="AD70" s="2">
        <f t="shared" si="16"/>
        <v>1.0934732439297012</v>
      </c>
      <c r="AE70" s="2">
        <f t="shared" si="17"/>
        <v>0.57405096088688978</v>
      </c>
    </row>
    <row r="71" spans="2:31" x14ac:dyDescent="0.2">
      <c r="B71" s="1">
        <f>[21]FormattedData!A73</f>
        <v>306</v>
      </c>
      <c r="C71" s="1" t="str">
        <f>VLOOKUP($B71,[21]TrtCodes!$B$11:I116,2)</f>
        <v>FTL</v>
      </c>
      <c r="D71" s="1">
        <f>VLOOKUP($B71,[21]TrtCodes!$B$11:J116,3)</f>
        <v>4</v>
      </c>
      <c r="E71" s="1">
        <f>VLOOKUP($B71,[21]TrtCodes!$B$11:K116,4)</f>
        <v>1</v>
      </c>
      <c r="F71" s="1">
        <f>VLOOKUP($B71,[21]TrtCodes!$B$11:L116,5)</f>
        <v>2</v>
      </c>
      <c r="G71" s="1">
        <f>VLOOKUP($B71,[21]TrtCodes!$B$11:M116,6)</f>
        <v>1</v>
      </c>
      <c r="H71" s="1">
        <f>VLOOKUP($B71,[21]TrtCodes!$B$11:N116,7)</f>
        <v>4</v>
      </c>
      <c r="I71" s="1">
        <f>[21]FormattedData!B73</f>
        <v>2</v>
      </c>
      <c r="J71" s="4">
        <f>[21]FormattedData!C73</f>
        <v>13.545</v>
      </c>
      <c r="K71" s="6">
        <f>$J$3+[21]FormattedData!D73*$J$4+$M$4*$J$5+[21]FormattedData!D73^2*$J$6+$M$5*$J$7</f>
        <v>29.409310404809169</v>
      </c>
      <c r="L71" s="6">
        <f>$J$3+[21]FormattedData!E73*$J$4+$M$4*$J$5+[21]FormattedData!E73^2*$J$6+$M$5*$J$7</f>
        <v>29.70203437931141</v>
      </c>
      <c r="M71" s="6">
        <f>$J$3+[21]FormattedData!F73*$J$4+$M$4*$J$5+[21]FormattedData!F73^2*$J$6+$M$5*$J$7</f>
        <v>31.256804092224488</v>
      </c>
      <c r="N71" s="6">
        <f>$J$3+[21]FormattedData!G73*$J$4+$M$4*$J$5+[21]FormattedData!G73^2*$J$6+$M$5*$J$7</f>
        <v>29.799524500402956</v>
      </c>
      <c r="O71" s="6">
        <f>$J$3+[21]FormattedData!H73*$J$4+$M$4*$J$5+[21]FormattedData!H73^2*$J$6+$M$5*$J$7</f>
        <v>30.189062299389853</v>
      </c>
      <c r="P71" s="6">
        <f>$J$3+[21]FormattedData!I73*$J$4+$M$4*$J$5+[21]FormattedData!I73^2*$J$6+$M$5*$J$7</f>
        <v>30.091741252450031</v>
      </c>
      <c r="Q71" s="6">
        <f>$J$3+[21]FormattedData!J73*$J$4+$M$4*$J$5+[21]FormattedData!J73^2*$J$6+$M$5*$J$7</f>
        <v>30.383577587655715</v>
      </c>
      <c r="R71" s="6">
        <f>$J$3+[21]FormattedData!K73*$J$4+$M$4*$J$5+[21]FormattedData!K73^2*$J$6+$M$5*$J$7</f>
        <v>29.896972352956581</v>
      </c>
      <c r="S71" s="6">
        <f>$J$3+[21]FormattedData!L73*$J$4+$M$4*$J$5+[21]FormattedData!L73^2*$J$6+$M$5*$J$7</f>
        <v>31.353617916709148</v>
      </c>
      <c r="T71" s="6">
        <f>$J$3+[21]FormattedData!M73*$J$4+$M$4*$J$5+[21]FormattedData!M73^2*$J$6+$M$5*$J$7</f>
        <v>29.116206013465547</v>
      </c>
      <c r="U71" s="6">
        <f>$J$3+[21]FormattedData!N73*$J$4+$M$4*$J$5+[21]FormattedData!N73^2*$J$6+$M$5*$J$7</f>
        <v>29.896972352956581</v>
      </c>
      <c r="V71" s="6">
        <f>$J$3+[21]FormattedData!O73*$J$4+$M$4*$J$5+[21]FormattedData!O73^2*$J$6+$M$5*$J$7</f>
        <v>29.506927331514511</v>
      </c>
      <c r="W71" s="5">
        <f t="shared" si="9"/>
        <v>30.050229206987169</v>
      </c>
      <c r="X71" s="4">
        <f t="shared" si="10"/>
        <v>0.1964878183078729</v>
      </c>
      <c r="Y71" s="3">
        <f t="shared" si="11"/>
        <v>29.116206013465547</v>
      </c>
      <c r="Z71" s="2">
        <f t="shared" si="12"/>
        <v>29.653257617362186</v>
      </c>
      <c r="AA71" s="3">
        <f t="shared" si="13"/>
        <v>29.896972352956581</v>
      </c>
      <c r="AB71" s="2">
        <f t="shared" si="14"/>
        <v>30.237691121456319</v>
      </c>
      <c r="AC71" s="2">
        <f t="shared" si="15"/>
        <v>31.353617916709148</v>
      </c>
      <c r="AD71" s="2">
        <f t="shared" si="16"/>
        <v>0.93645021094106573</v>
      </c>
      <c r="AE71" s="2">
        <f t="shared" si="17"/>
        <v>0.41182324314823493</v>
      </c>
    </row>
    <row r="72" spans="2:31" x14ac:dyDescent="0.2">
      <c r="B72" s="1">
        <f>[21]FormattedData!A75</f>
        <v>307</v>
      </c>
      <c r="C72" s="1" t="str">
        <f>VLOOKUP($B72,[21]TrtCodes!$B$11:I118,2)</f>
        <v>NTH</v>
      </c>
      <c r="D72" s="1">
        <f>VLOOKUP($B72,[21]TrtCodes!$B$11:J118,3)</f>
        <v>9</v>
      </c>
      <c r="E72" s="1">
        <f>VLOOKUP($B72,[21]TrtCodes!$B$11:K118,4)</f>
        <v>2</v>
      </c>
      <c r="F72" s="1">
        <f>VLOOKUP($B72,[21]TrtCodes!$B$11:L118,5)</f>
        <v>2</v>
      </c>
      <c r="G72" s="1">
        <f>VLOOKUP($B72,[21]TrtCodes!$B$11:M118,6)</f>
        <v>2</v>
      </c>
      <c r="H72" s="1">
        <f>VLOOKUP($B72,[21]TrtCodes!$B$11:N118,7)</f>
        <v>4</v>
      </c>
      <c r="I72" s="1">
        <f>[21]FormattedData!B75</f>
        <v>2</v>
      </c>
      <c r="J72" s="4">
        <f>[21]FormattedData!C75</f>
        <v>13.56</v>
      </c>
      <c r="K72" s="6">
        <f>$J$3+[21]FormattedData!D75*$J$4+$M$4*$J$5+[21]FormattedData!D75^2*$J$6+$M$5*$J$7</f>
        <v>30.966109007542947</v>
      </c>
      <c r="L72" s="6">
        <f>$J$3+[21]FormattedData!E75*$J$4+$M$4*$J$5+[21]FormattedData!E75^2*$J$6+$M$5*$J$7</f>
        <v>29.994377936972267</v>
      </c>
      <c r="M72" s="6">
        <f>$J$3+[21]FormattedData!F75*$J$4+$M$4*$J$5+[21]FormattedData!F75^2*$J$6+$M$5*$J$7</f>
        <v>29.896972352956581</v>
      </c>
      <c r="N72" s="6">
        <f>$J$3+[21]FormattedData!G75*$J$4+$M$4*$J$5+[21]FormattedData!G75^2*$J$6+$M$5*$J$7</f>
        <v>29.506927331514511</v>
      </c>
      <c r="O72" s="6">
        <f>$J$3+[21]FormattedData!H75*$J$4+$M$4*$J$5+[21]FormattedData!H75^2*$J$6+$M$5*$J$7</f>
        <v>29.018420012608477</v>
      </c>
      <c r="P72" s="6">
        <f>$J$3+[21]FormattedData!I75*$J$4+$M$4*$J$5+[21]FormattedData!I75^2*$J$6+$M$5*$J$7</f>
        <v>30.86912610890657</v>
      </c>
      <c r="Q72" s="6">
        <f>$J$3+[21]FormattedData!J75*$J$4+$M$4*$J$5+[21]FormattedData!J75^2*$J$6+$M$5*$J$7</f>
        <v>28.430816368169506</v>
      </c>
      <c r="R72" s="6">
        <f>$J$3+[21]FormattedData!K75*$J$4+$M$4*$J$5+[21]FormattedData!K75^2*$J$6+$M$5*$J$7</f>
        <v>29.799524500402956</v>
      </c>
      <c r="S72" s="6">
        <f>$J$3+[21]FormattedData!L75*$J$4+$M$4*$J$5+[21]FormattedData!L75^2*$J$6+$M$5*$J$7</f>
        <v>28.920591743213475</v>
      </c>
      <c r="T72" s="6">
        <f>$J$3+[21]FormattedData!M75*$J$4+$M$4*$J$5+[21]FormattedData!M75^2*$J$6+$M$5*$J$7</f>
        <v>29.018420012608477</v>
      </c>
      <c r="U72" s="6">
        <f>$J$3+[21]FormattedData!N75*$J$4+$M$4*$J$5+[21]FormattedData!N75^2*$J$6+$M$5*$J$7</f>
        <v>29.70203437931141</v>
      </c>
      <c r="V72" s="6">
        <f>$J$3+[21]FormattedData!O75*$J$4+$M$4*$J$5+[21]FormattedData!O75^2*$J$6+$M$5*$J$7</f>
        <v>28.724808398809682</v>
      </c>
      <c r="W72" s="5">
        <f t="shared" si="9"/>
        <v>29.570677346084736</v>
      </c>
      <c r="X72" s="4">
        <f t="shared" si="10"/>
        <v>0.23094411020444253</v>
      </c>
      <c r="Y72" s="3">
        <f t="shared" si="11"/>
        <v>28.430816368169506</v>
      </c>
      <c r="Z72" s="2">
        <f t="shared" si="12"/>
        <v>28.993962945259725</v>
      </c>
      <c r="AA72" s="3">
        <f t="shared" si="13"/>
        <v>29.604480855412959</v>
      </c>
      <c r="AB72" s="2">
        <f t="shared" si="14"/>
        <v>29.921323748960504</v>
      </c>
      <c r="AC72" s="2">
        <f t="shared" si="15"/>
        <v>30.966109007542947</v>
      </c>
      <c r="AD72" s="2">
        <f t="shared" si="16"/>
        <v>0.4971373593600148</v>
      </c>
      <c r="AE72" s="2">
        <f t="shared" si="17"/>
        <v>-0.47676882622313377</v>
      </c>
    </row>
    <row r="73" spans="2:31" x14ac:dyDescent="0.2">
      <c r="B73" s="1">
        <f>[21]FormattedData!A77</f>
        <v>308</v>
      </c>
      <c r="C73" s="1" t="str">
        <f>VLOOKUP($B73,[21]TrtCodes!$B$11:I120,2)</f>
        <v>FDH</v>
      </c>
      <c r="D73" s="1">
        <f>VLOOKUP($B73,[21]TrtCodes!$B$11:J120,3)</f>
        <v>5</v>
      </c>
      <c r="E73" s="1">
        <f>VLOOKUP($B73,[21]TrtCodes!$B$11:K120,4)</f>
        <v>1</v>
      </c>
      <c r="F73" s="1">
        <f>VLOOKUP($B73,[21]TrtCodes!$B$11:L120,5)</f>
        <v>3</v>
      </c>
      <c r="G73" s="1">
        <f>VLOOKUP($B73,[21]TrtCodes!$B$11:M120,6)</f>
        <v>2</v>
      </c>
      <c r="H73" s="1">
        <f>VLOOKUP($B73,[21]TrtCodes!$B$11:N120,7)</f>
        <v>4</v>
      </c>
      <c r="I73" s="1">
        <f>[21]FormattedData!B77</f>
        <v>2</v>
      </c>
      <c r="J73" s="4">
        <f>[21]FormattedData!C77</f>
        <v>13.576000000000001</v>
      </c>
      <c r="K73" s="6">
        <f>$J$3+[21]FormattedData!D77*$J$4+$M$4*$J$5+[21]FormattedData!D77^2*$J$6+$M$5*$J$7</f>
        <v>29.799524500402956</v>
      </c>
      <c r="L73" s="6">
        <f>$J$3+[21]FormattedData!E77*$J$4+$M$4*$J$5+[21]FormattedData!E77^2*$J$6+$M$5*$J$7</f>
        <v>29.506927331514511</v>
      </c>
      <c r="M73" s="6">
        <f>$J$3+[21]FormattedData!F77*$J$4+$M$4*$J$5+[21]FormattedData!F77^2*$J$6+$M$5*$J$7</f>
        <v>29.409310404809169</v>
      </c>
      <c r="N73" s="6">
        <f>$J$3+[21]FormattedData!G77*$J$4+$M$4*$J$5+[21]FormattedData!G77^2*$J$6+$M$5*$J$7</f>
        <v>30.091741252450031</v>
      </c>
      <c r="O73" s="6">
        <f>$J$3+[21]FormattedData!H77*$J$4+$M$4*$J$5+[21]FormattedData!H77^2*$J$6+$M$5*$J$7</f>
        <v>29.311651209565891</v>
      </c>
      <c r="P73" s="6">
        <f>$J$3+[21]FormattedData!I77*$J$4+$M$4*$J$5+[21]FormattedData!I77^2*$J$6+$M$5*$J$7</f>
        <v>29.604501989681925</v>
      </c>
      <c r="Q73" s="6">
        <f>$J$3+[21]FormattedData!J77*$J$4+$M$4*$J$5+[21]FormattedData!J77^2*$J$6+$M$5*$J$7</f>
        <v>30.86912610890657</v>
      </c>
      <c r="R73" s="6">
        <f>$J$3+[21]FormattedData!K77*$J$4+$M$4*$J$5+[21]FormattedData!K77^2*$J$6+$M$5*$J$7</f>
        <v>32.223040252864124</v>
      </c>
      <c r="S73" s="6">
        <f>$J$3+[21]FormattedData!L77*$J$4+$M$4*$J$5+[21]FormattedData!L77^2*$J$6+$M$5*$J$7</f>
        <v>30.577923801769852</v>
      </c>
      <c r="T73" s="6">
        <f>$J$3+[21]FormattedData!M77*$J$4+$M$4*$J$5+[21]FormattedData!M77^2*$J$6+$M$5*$J$7</f>
        <v>31.547118760064663</v>
      </c>
      <c r="U73" s="6">
        <f>$J$3+[21]FormattedData!N77*$J$4+$M$4*$J$5+[21]FormattedData!N77^2*$J$6+$M$5*$J$7</f>
        <v>28.822721205280544</v>
      </c>
      <c r="V73" s="6">
        <f>$J$3+[21]FormattedData!O77*$J$4+$M$4*$J$5+[21]FormattedData!O77^2*$J$6+$M$5*$J$7</f>
        <v>31.063049637641395</v>
      </c>
      <c r="W73" s="5">
        <f t="shared" si="9"/>
        <v>30.235553037912627</v>
      </c>
      <c r="X73" s="4">
        <f t="shared" si="10"/>
        <v>0.29575253395584578</v>
      </c>
      <c r="Y73" s="3">
        <f t="shared" si="11"/>
        <v>28.822721205280544</v>
      </c>
      <c r="Z73" s="2">
        <f t="shared" si="12"/>
        <v>29.482523099838176</v>
      </c>
      <c r="AA73" s="3">
        <f t="shared" si="13"/>
        <v>29.945632876426494</v>
      </c>
      <c r="AB73" s="2">
        <f t="shared" si="14"/>
        <v>30.917606991090278</v>
      </c>
      <c r="AC73" s="2">
        <f t="shared" si="15"/>
        <v>32.223040252864124</v>
      </c>
      <c r="AD73" s="2">
        <f t="shared" si="16"/>
        <v>0.61589332191117763</v>
      </c>
      <c r="AE73" s="2">
        <f t="shared" si="17"/>
        <v>-0.47739947624226042</v>
      </c>
    </row>
    <row r="74" spans="2:31" x14ac:dyDescent="0.2">
      <c r="B74" s="1">
        <f>[21]FormattedData!A93</f>
        <v>401</v>
      </c>
      <c r="C74" s="1" t="str">
        <f>VLOOKUP($B74,[21]TrtCodes!$B$11:I130,2)</f>
        <v>NSH</v>
      </c>
      <c r="D74" s="1">
        <f>VLOOKUP($B74,[21]TrtCodes!$B$11:J130,3)</f>
        <v>7</v>
      </c>
      <c r="E74" s="1">
        <f>VLOOKUP($B74,[21]TrtCodes!$B$11:K130,4)</f>
        <v>2</v>
      </c>
      <c r="F74" s="1">
        <f>VLOOKUP($B74,[21]TrtCodes!$B$11:L130,5)</f>
        <v>1</v>
      </c>
      <c r="G74" s="1">
        <f>VLOOKUP($B74,[21]TrtCodes!$B$11:M130,6)</f>
        <v>2</v>
      </c>
      <c r="H74" s="1">
        <f>VLOOKUP($B74,[21]TrtCodes!$B$11:N130,7)</f>
        <v>3</v>
      </c>
      <c r="I74" s="1">
        <f>[21]FormattedData!B93</f>
        <v>2</v>
      </c>
      <c r="J74" s="4">
        <f>[21]FormattedData!C93</f>
        <v>13.718999999999999</v>
      </c>
      <c r="K74" s="6">
        <f>$J$3+[21]FormattedData!D93*$J$4+$M$4*$J$5+[21]FormattedData!D93^2*$J$6+$M$5*$J$7</f>
        <v>36.896498268418846</v>
      </c>
      <c r="L74" s="6">
        <f>$J$3+[21]FormattedData!E93*$J$4+$M$4*$J$5+[21]FormattedData!E93^2*$J$6+$M$5*$J$7</f>
        <v>37.179331405045204</v>
      </c>
      <c r="M74" s="6">
        <f>$J$3+[21]FormattedData!F93*$J$4+$M$4*$J$5+[21]FormattedData!F93^2*$J$6+$M$5*$J$7</f>
        <v>39.800762801429059</v>
      </c>
      <c r="N74" s="6">
        <f>$J$3+[21]FormattedData!G93*$J$4+$M$4*$J$5+[21]FormattedData!G93^2*$J$6+$M$5*$J$7</f>
        <v>37.743856427773771</v>
      </c>
      <c r="O74" s="6">
        <f>$J$3+[21]FormattedData!H93*$J$4+$M$4*$J$5+[21]FormattedData!H93^2*$J$6+$M$5*$J$7</f>
        <v>38.400545735814568</v>
      </c>
      <c r="P74" s="6">
        <f>$J$3+[21]FormattedData!I93*$J$4+$M$4*$J$5+[21]FormattedData!I93^2*$J$6+$M$5*$J$7</f>
        <v>38.681349982620226</v>
      </c>
      <c r="Q74" s="6">
        <f>$J$3+[21]FormattedData!J93*$J$4+$M$4*$J$5+[21]FormattedData!J93^2*$J$6+$M$5*$J$7</f>
        <v>36.990818249165571</v>
      </c>
      <c r="R74" s="6">
        <f>$J$3+[21]FormattedData!K93*$J$4+$M$4*$J$5+[21]FormattedData!K93^2*$J$6+$M$5*$J$7</f>
        <v>39.800762801429059</v>
      </c>
      <c r="S74" s="6">
        <f>$J$3+[21]FormattedData!L93*$J$4+$M$4*$J$5+[21]FormattedData!L93^2*$J$6+$M$5*$J$7</f>
        <v>35.096387612024337</v>
      </c>
      <c r="T74" s="6">
        <f>$J$3+[21]FormattedData!M93*$J$4+$M$4*$J$5+[21]FormattedData!M93^2*$J$6+$M$5*$J$7</f>
        <v>37.461784124830181</v>
      </c>
      <c r="U74" s="6">
        <f>$J$3+[21]FormattedData!N93*$J$4+$M$4*$J$5+[21]FormattedData!N93^2*$J$6+$M$5*$J$7</f>
        <v>35.001222260518993</v>
      </c>
      <c r="V74" s="6">
        <f>$J$3+[21]FormattedData!O93*$J$4+$M$4*$J$5+[21]FormattedData!O93^2*$J$6+$M$5*$J$7</f>
        <v>37.931693287046514</v>
      </c>
      <c r="W74" s="5">
        <f t="shared" ref="W74:W105" si="18">AVERAGE(K74:V74)</f>
        <v>37.582084413009696</v>
      </c>
      <c r="X74" s="4">
        <f t="shared" ref="X74:X85" si="19">STDEV(K74:V74)/SQRT(COUNT(K74:V74))</f>
        <v>0.44130979362242828</v>
      </c>
      <c r="Y74" s="3">
        <f t="shared" ref="Y74:Y85" si="20">MIN(K74:V74)</f>
        <v>35.001222260518993</v>
      </c>
      <c r="Z74" s="2">
        <f t="shared" ref="Z74:Z85" si="21">QUARTILE(K74:V74,1)</f>
        <v>36.967238253978891</v>
      </c>
      <c r="AA74" s="3">
        <f t="shared" ref="AA74:AA85" si="22">MEDIAN(K74:V74)</f>
        <v>37.602820276301976</v>
      </c>
      <c r="AB74" s="2">
        <f t="shared" ref="AB74:AB85" si="23">QUARTILE(K74:V74,3)</f>
        <v>38.470746797515986</v>
      </c>
      <c r="AC74" s="2">
        <f t="shared" ref="AC74:AC85" si="24">MAX(K74:V74)</f>
        <v>39.800762801429059</v>
      </c>
      <c r="AD74" s="2">
        <f t="shared" ref="AD74:AD85" si="25">SKEW(K74:V74)</f>
        <v>-0.28636438107745876</v>
      </c>
      <c r="AE74" s="2">
        <f t="shared" ref="AE74:AE85" si="26">KURT(K74:V74)</f>
        <v>-0.18756763194891191</v>
      </c>
    </row>
    <row r="75" spans="2:31" x14ac:dyDescent="0.2">
      <c r="B75" s="1">
        <f>[21]FormattedData!A91</f>
        <v>402</v>
      </c>
      <c r="C75" s="1" t="str">
        <f>VLOOKUP($B75,[21]TrtCodes!$B$11:I131,2)</f>
        <v>NTH</v>
      </c>
      <c r="D75" s="1">
        <f>VLOOKUP($B75,[21]TrtCodes!$B$11:J131,3)</f>
        <v>9</v>
      </c>
      <c r="E75" s="1">
        <f>VLOOKUP($B75,[21]TrtCodes!$B$11:K131,4)</f>
        <v>2</v>
      </c>
      <c r="F75" s="1">
        <f>VLOOKUP($B75,[21]TrtCodes!$B$11:L131,5)</f>
        <v>2</v>
      </c>
      <c r="G75" s="1">
        <f>VLOOKUP($B75,[21]TrtCodes!$B$11:M131,6)</f>
        <v>2</v>
      </c>
      <c r="H75" s="1">
        <f>VLOOKUP($B75,[21]TrtCodes!$B$11:N131,7)</f>
        <v>3</v>
      </c>
      <c r="I75" s="1">
        <f>[21]FormattedData!B91</f>
        <v>2</v>
      </c>
      <c r="J75" s="4">
        <f>[21]FormattedData!C91</f>
        <v>13.702</v>
      </c>
      <c r="K75" s="6">
        <f>$J$3+[21]FormattedData!D91*$J$4+$M$4*$J$5+[21]FormattedData!D91^2*$J$6+$M$5*$J$7</f>
        <v>32.800753059427208</v>
      </c>
      <c r="L75" s="6">
        <f>$J$3+[21]FormattedData!E91*$J$4+$M$4*$J$5+[21]FormattedData!E91^2*$J$6+$M$5*$J$7</f>
        <v>34.524761474923331</v>
      </c>
      <c r="M75" s="6">
        <f>$J$3+[21]FormattedData!F91*$J$4+$M$4*$J$5+[21]FormattedData!F91^2*$J$6+$M$5*$J$7</f>
        <v>33.37694419862477</v>
      </c>
      <c r="N75" s="6">
        <f>$J$3+[21]FormattedData!G91*$J$4+$M$4*$J$5+[21]FormattedData!G91^2*$J$6+$M$5*$J$7</f>
        <v>32.512086864566356</v>
      </c>
      <c r="O75" s="6">
        <f>$J$3+[21]FormattedData!H91*$J$4+$M$4*$J$5+[21]FormattedData!H91^2*$J$6+$M$5*$J$7</f>
        <v>33.472828115274936</v>
      </c>
      <c r="P75" s="6">
        <f>$J$3+[21]FormattedData!I91*$J$4+$M$4*$J$5+[21]FormattedData!I91^2*$J$6+$M$5*$J$7</f>
        <v>34.047243975879397</v>
      </c>
      <c r="Q75" s="6">
        <f>$J$3+[21]FormattedData!J91*$J$4+$M$4*$J$5+[21]FormattedData!J91^2*$J$6+$M$5*$J$7</f>
        <v>31.93361322432051</v>
      </c>
      <c r="R75" s="6">
        <f>$J$3+[21]FormattedData!K91*$J$4+$M$4*$J$5+[21]FormattedData!K91^2*$J$6+$M$5*$J$7</f>
        <v>33.66446914296148</v>
      </c>
      <c r="S75" s="6">
        <f>$J$3+[21]FormattedData!L91*$J$4+$M$4*$J$5+[21]FormattedData!L91^2*$J$6+$M$5*$J$7</f>
        <v>34.142832012764046</v>
      </c>
      <c r="T75" s="6">
        <f>$J$3+[21]FormattedData!M91*$J$4+$M$4*$J$5+[21]FormattedData!M91^2*$J$6+$M$5*$J$7</f>
        <v>33.281018013436665</v>
      </c>
      <c r="U75" s="6">
        <f>$J$3+[21]FormattedData!N91*$J$4+$M$4*$J$5+[21]FormattedData!N91^2*$J$6+$M$5*$J$7</f>
        <v>33.66446914296148</v>
      </c>
      <c r="V75" s="6">
        <f>$J$3+[21]FormattedData!O91*$J$4+$M$4*$J$5+[21]FormattedData!O91^2*$J$6+$M$5*$J$7</f>
        <v>32.704573263011525</v>
      </c>
      <c r="W75" s="5">
        <f t="shared" si="18"/>
        <v>33.34379937401264</v>
      </c>
      <c r="X75" s="4">
        <f t="shared" si="19"/>
        <v>0.21565941234470112</v>
      </c>
      <c r="Y75" s="3">
        <f t="shared" si="20"/>
        <v>31.93361322432051</v>
      </c>
      <c r="Z75" s="2">
        <f t="shared" si="21"/>
        <v>32.776708110323284</v>
      </c>
      <c r="AA75" s="3">
        <f t="shared" si="22"/>
        <v>33.424886156949853</v>
      </c>
      <c r="AB75" s="2">
        <f t="shared" si="23"/>
        <v>33.760162851190955</v>
      </c>
      <c r="AC75" s="2">
        <f t="shared" si="24"/>
        <v>34.524761474923331</v>
      </c>
      <c r="AD75" s="2">
        <f t="shared" si="25"/>
        <v>-0.32125485894717926</v>
      </c>
      <c r="AE75" s="2">
        <f t="shared" si="26"/>
        <v>-0.33727332291971468</v>
      </c>
    </row>
    <row r="76" spans="2:31" x14ac:dyDescent="0.2">
      <c r="B76" s="1">
        <f>[21]FormattedData!A89</f>
        <v>403</v>
      </c>
      <c r="C76" s="1" t="str">
        <f>VLOOKUP($B76,[21]TrtCodes!$B$11:I132,2)</f>
        <v>FDL</v>
      </c>
      <c r="D76" s="1">
        <f>VLOOKUP($B76,[21]TrtCodes!$B$11:J132,3)</f>
        <v>6</v>
      </c>
      <c r="E76" s="1">
        <f>VLOOKUP($B76,[21]TrtCodes!$B$11:K132,4)</f>
        <v>1</v>
      </c>
      <c r="F76" s="1">
        <f>VLOOKUP($B76,[21]TrtCodes!$B$11:L132,5)</f>
        <v>3</v>
      </c>
      <c r="G76" s="1">
        <f>VLOOKUP($B76,[21]TrtCodes!$B$11:M132,6)</f>
        <v>1</v>
      </c>
      <c r="H76" s="1">
        <f>VLOOKUP($B76,[21]TrtCodes!$B$11:N132,7)</f>
        <v>3</v>
      </c>
      <c r="I76" s="1">
        <f>[21]FormattedData!B89</f>
        <v>2</v>
      </c>
      <c r="J76" s="4">
        <f>[21]FormattedData!C89</f>
        <v>13.685</v>
      </c>
      <c r="K76" s="6">
        <f>$J$3+[21]FormattedData!D89*$J$4+$M$4*$J$5+[21]FormattedData!D89^2*$J$6+$M$5*$J$7</f>
        <v>27.349590911734833</v>
      </c>
      <c r="L76" s="6">
        <f>$J$3+[21]FormattedData!E89*$J$4+$M$4*$J$5+[21]FormattedData!E89^2*$J$6+$M$5*$J$7</f>
        <v>27.448095477736732</v>
      </c>
      <c r="M76" s="6">
        <f>$J$3+[21]FormattedData!F89*$J$4+$M$4*$J$5+[21]FormattedData!F89^2*$J$6+$M$5*$J$7</f>
        <v>28.724808398809682</v>
      </c>
      <c r="N76" s="6">
        <f>$J$3+[21]FormattedData!G89*$J$4+$M$4*$J$5+[21]FormattedData!G89^2*$J$6+$M$5*$J$7</f>
        <v>28.430816368169506</v>
      </c>
      <c r="O76" s="6">
        <f>$J$3+[21]FormattedData!H89*$J$4+$M$4*$J$5+[21]FormattedData!H89^2*$J$6+$M$5*$J$7</f>
        <v>29.70203437931141</v>
      </c>
      <c r="P76" s="6">
        <f>$J$3+[21]FormattedData!I89*$J$4+$M$4*$J$5+[21]FormattedData!I89^2*$J$6+$M$5*$J$7</f>
        <v>28.724808398809682</v>
      </c>
      <c r="Q76" s="6">
        <f>$J$3+[21]FormattedData!J89*$J$4+$M$4*$J$5+[21]FormattedData!J89^2*$J$6+$M$5*$J$7</f>
        <v>29.70203437931141</v>
      </c>
      <c r="R76" s="6">
        <f>$J$3+[21]FormattedData!K89*$J$4+$M$4*$J$5+[21]FormattedData!K89^2*$J$6+$M$5*$J$7</f>
        <v>29.506927331514511</v>
      </c>
      <c r="S76" s="6">
        <f>$J$3+[21]FormattedData!L89*$J$4+$M$4*$J$5+[21]FormattedData!L89^2*$J$6+$M$5*$J$7</f>
        <v>28.528855980254161</v>
      </c>
      <c r="T76" s="6">
        <f>$J$3+[21]FormattedData!M89*$J$4+$M$4*$J$5+[21]FormattedData!M89^2*$J$6+$M$5*$J$7</f>
        <v>28.920591743213475</v>
      </c>
      <c r="U76" s="6">
        <f>$J$3+[21]FormattedData!N89*$J$4+$M$4*$J$5+[21]FormattedData!N89^2*$J$6+$M$5*$J$7</f>
        <v>28.626853323800887</v>
      </c>
      <c r="V76" s="6">
        <f>$J$3+[21]FormattedData!O89*$J$4+$M$4*$J$5+[21]FormattedData!O89^2*$J$6+$M$5*$J$7</f>
        <v>28.822721205280544</v>
      </c>
      <c r="W76" s="5">
        <f t="shared" si="18"/>
        <v>28.707344824828908</v>
      </c>
      <c r="X76" s="4">
        <f t="shared" si="19"/>
        <v>0.21710129702064257</v>
      </c>
      <c r="Y76" s="3">
        <f t="shared" si="20"/>
        <v>27.349590911734833</v>
      </c>
      <c r="Z76" s="2">
        <f t="shared" si="21"/>
        <v>28.504346077232995</v>
      </c>
      <c r="AA76" s="3">
        <f t="shared" si="22"/>
        <v>28.724808398809682</v>
      </c>
      <c r="AB76" s="2">
        <f t="shared" si="23"/>
        <v>29.067175640288735</v>
      </c>
      <c r="AC76" s="2">
        <f t="shared" si="24"/>
        <v>29.70203437931141</v>
      </c>
      <c r="AD76" s="2">
        <f t="shared" si="25"/>
        <v>-0.52227231548178299</v>
      </c>
      <c r="AE76" s="2">
        <f t="shared" si="26"/>
        <v>4.9517895520719613E-2</v>
      </c>
    </row>
    <row r="77" spans="2:31" x14ac:dyDescent="0.2">
      <c r="B77" s="1">
        <f>[21]FormattedData!A87</f>
        <v>404</v>
      </c>
      <c r="C77" s="1" t="str">
        <f>VLOOKUP($B77,[21]TrtCodes!$B$11:I130,2)</f>
        <v>FTH</v>
      </c>
      <c r="D77" s="1">
        <f>VLOOKUP($B77,[21]TrtCodes!$B$11:J130,3)</f>
        <v>3</v>
      </c>
      <c r="E77" s="1">
        <f>VLOOKUP($B77,[21]TrtCodes!$B$11:K130,4)</f>
        <v>1</v>
      </c>
      <c r="F77" s="1">
        <f>VLOOKUP($B77,[21]TrtCodes!$B$11:L130,5)</f>
        <v>2</v>
      </c>
      <c r="G77" s="1">
        <f>VLOOKUP($B77,[21]TrtCodes!$B$11:M130,6)</f>
        <v>2</v>
      </c>
      <c r="H77" s="1">
        <f>VLOOKUP($B77,[21]TrtCodes!$B$11:N130,7)</f>
        <v>3</v>
      </c>
      <c r="I77" s="1">
        <f>[21]FormattedData!B87</f>
        <v>2</v>
      </c>
      <c r="J77" s="4">
        <f>[21]FormattedData!C87</f>
        <v>13.669</v>
      </c>
      <c r="K77" s="6">
        <f>$J$3+[21]FormattedData!D87*$J$4+$M$4*$J$5+[21]FormattedData!D87^2*$J$6+$M$5*$J$7</f>
        <v>28.920591743213475</v>
      </c>
      <c r="L77" s="6">
        <f>$J$3+[21]FormattedData!E87*$J$4+$M$4*$J$5+[21]FormattedData!E87^2*$J$6+$M$5*$J$7</f>
        <v>28.822721205280544</v>
      </c>
      <c r="M77" s="6">
        <f>$J$3+[21]FormattedData!F87*$J$4+$M$4*$J$5+[21]FormattedData!F87^2*$J$6+$M$5*$J$7</f>
        <v>27.644977804126736</v>
      </c>
      <c r="N77" s="6">
        <f>$J$3+[21]FormattedData!G87*$J$4+$M$4*$J$5+[21]FormattedData!G87^2*$J$6+$M$5*$J$7</f>
        <v>29.409310404809169</v>
      </c>
      <c r="O77" s="6">
        <f>$J$3+[21]FormattedData!H87*$J$4+$M$4*$J$5+[21]FormattedData!H87^2*$J$6+$M$5*$J$7</f>
        <v>28.234610338386403</v>
      </c>
      <c r="P77" s="6">
        <f>$J$3+[21]FormattedData!I87*$J$4+$M$4*$J$5+[21]FormattedData!I87^2*$J$6+$M$5*$J$7</f>
        <v>28.136443920687952</v>
      </c>
      <c r="Q77" s="6">
        <f>$J$3+[21]FormattedData!J87*$J$4+$M$4*$J$5+[21]FormattedData!J87^2*$J$6+$M$5*$J$7</f>
        <v>28.430816368169506</v>
      </c>
      <c r="R77" s="6">
        <f>$J$3+[21]FormattedData!K87*$J$4+$M$4*$J$5+[21]FormattedData!K87^2*$J$6+$M$5*$J$7</f>
        <v>29.799524500402956</v>
      </c>
      <c r="S77" s="6">
        <f>$J$3+[21]FormattedData!L87*$J$4+$M$4*$J$5+[21]FormattedData!L87^2*$J$6+$M$5*$J$7</f>
        <v>28.234610338386403</v>
      </c>
      <c r="T77" s="6">
        <f>$J$3+[21]FormattedData!M87*$J$4+$M$4*$J$5+[21]FormattedData!M87^2*$J$6+$M$5*$J$7</f>
        <v>28.234610338386403</v>
      </c>
      <c r="U77" s="6">
        <f>$J$3+[21]FormattedData!N87*$J$4+$M$4*$J$5+[21]FormattedData!N87^2*$J$6+$M$5*$J$7</f>
        <v>27.251044077195004</v>
      </c>
      <c r="V77" s="6">
        <f>$J$3+[21]FormattedData!O87*$J$4+$M$4*$J$5+[21]FormattedData!O87^2*$J$6+$M$5*$J$7</f>
        <v>28.724808398809682</v>
      </c>
      <c r="W77" s="5">
        <f t="shared" si="18"/>
        <v>28.487005786487853</v>
      </c>
      <c r="X77" s="4">
        <f t="shared" si="19"/>
        <v>0.20383402002785267</v>
      </c>
      <c r="Y77" s="3">
        <f t="shared" si="20"/>
        <v>27.251044077195004</v>
      </c>
      <c r="Z77" s="2">
        <f t="shared" si="21"/>
        <v>28.210068733961791</v>
      </c>
      <c r="AA77" s="3">
        <f t="shared" si="22"/>
        <v>28.332713353277953</v>
      </c>
      <c r="AB77" s="2">
        <f t="shared" si="23"/>
        <v>28.847188839763778</v>
      </c>
      <c r="AC77" s="2">
        <f t="shared" si="24"/>
        <v>29.799524500402956</v>
      </c>
      <c r="AD77" s="2">
        <f t="shared" si="25"/>
        <v>0.18650647530974512</v>
      </c>
      <c r="AE77" s="2">
        <f t="shared" si="26"/>
        <v>0.154271642370988</v>
      </c>
    </row>
    <row r="78" spans="2:31" x14ac:dyDescent="0.2">
      <c r="B78" s="1">
        <f>[21]FormattedData!A85</f>
        <v>405</v>
      </c>
      <c r="C78" s="1" t="str">
        <f>VLOOKUP($B78,[21]TrtCodes!$B$11:I128,2)</f>
        <v>FDL</v>
      </c>
      <c r="D78" s="1">
        <f>VLOOKUP($B78,[21]TrtCodes!$B$11:J128,3)</f>
        <v>6</v>
      </c>
      <c r="E78" s="1">
        <f>VLOOKUP($B78,[21]TrtCodes!$B$11:K128,4)</f>
        <v>1</v>
      </c>
      <c r="F78" s="1">
        <f>VLOOKUP($B78,[21]TrtCodes!$B$11:L128,5)</f>
        <v>3</v>
      </c>
      <c r="G78" s="1">
        <f>VLOOKUP($B78,[21]TrtCodes!$B$11:M128,6)</f>
        <v>1</v>
      </c>
      <c r="H78" s="1">
        <f>VLOOKUP($B78,[21]TrtCodes!$B$11:N128,7)</f>
        <v>4</v>
      </c>
      <c r="I78" s="1">
        <f>[21]FormattedData!B85</f>
        <v>2</v>
      </c>
      <c r="J78" s="4">
        <f>[21]FormattedData!C85</f>
        <v>13.651999999999999</v>
      </c>
      <c r="K78" s="6">
        <f>$J$3+[21]FormattedData!D85*$J$4+$M$4*$J$5+[21]FormattedData!D85^2*$J$6+$M$5*$J$7</f>
        <v>29.994377936972267</v>
      </c>
      <c r="L78" s="6">
        <f>$J$3+[21]FormattedData!E85*$J$4+$M$4*$J$5+[21]FormattedData!E85^2*$J$6+$M$5*$J$7</f>
        <v>28.430816368169506</v>
      </c>
      <c r="M78" s="6">
        <f>$J$3+[21]FormattedData!F85*$J$4+$M$4*$J$5+[21]FormattedData!F85^2*$J$6+$M$5*$J$7</f>
        <v>29.311651209565891</v>
      </c>
      <c r="N78" s="6">
        <f>$J$3+[21]FormattedData!G85*$J$4+$M$4*$J$5+[21]FormattedData!G85^2*$J$6+$M$5*$J$7</f>
        <v>28.822721205280544</v>
      </c>
      <c r="O78" s="6">
        <f>$J$3+[21]FormattedData!H85*$J$4+$M$4*$J$5+[21]FormattedData!H85^2*$J$6+$M$5*$J$7</f>
        <v>30.966109007542947</v>
      </c>
      <c r="P78" s="6">
        <f>$J$3+[21]FormattedData!I85*$J$4+$M$4*$J$5+[21]FormattedData!I85^2*$J$6+$M$5*$J$7</f>
        <v>29.70203437931141</v>
      </c>
      <c r="Q78" s="6">
        <f>$J$3+[21]FormattedData!J85*$J$4+$M$4*$J$5+[21]FormattedData!J85^2*$J$6+$M$5*$J$7</f>
        <v>30.286341077791747</v>
      </c>
      <c r="R78" s="6">
        <f>$J$3+[21]FormattedData!K85*$J$4+$M$4*$J$5+[21]FormattedData!K85^2*$J$6+$M$5*$J$7</f>
        <v>29.604501989681925</v>
      </c>
      <c r="S78" s="6">
        <f>$J$3+[21]FormattedData!L85*$J$4+$M$4*$J$5+[21]FormattedData!L85^2*$J$6+$M$5*$J$7</f>
        <v>28.724808398809682</v>
      </c>
      <c r="T78" s="6">
        <f>$J$3+[21]FormattedData!M85*$J$4+$M$4*$J$5+[21]FormattedData!M85^2*$J$6+$M$5*$J$7</f>
        <v>29.896972352956581</v>
      </c>
      <c r="U78" s="6">
        <f>$J$3+[21]FormattedData!N85*$J$4+$M$4*$J$5+[21]FormattedData!N85^2*$J$6+$M$5*$J$7</f>
        <v>30.189062299389853</v>
      </c>
      <c r="V78" s="6">
        <f>$J$3+[21]FormattedData!O85*$J$4+$M$4*$J$5+[21]FormattedData!O85^2*$J$6+$M$5*$J$7</f>
        <v>29.506927331514511</v>
      </c>
      <c r="W78" s="5">
        <f t="shared" si="18"/>
        <v>29.619693629748909</v>
      </c>
      <c r="X78" s="4">
        <f t="shared" si="19"/>
        <v>0.20894280449383629</v>
      </c>
      <c r="Y78" s="3">
        <f t="shared" si="20"/>
        <v>28.430816368169506</v>
      </c>
      <c r="Z78" s="2">
        <f t="shared" si="21"/>
        <v>29.189418708494554</v>
      </c>
      <c r="AA78" s="3">
        <f t="shared" si="22"/>
        <v>29.653268184496667</v>
      </c>
      <c r="AB78" s="2">
        <f t="shared" si="23"/>
        <v>30.043049027576664</v>
      </c>
      <c r="AC78" s="2">
        <f t="shared" si="24"/>
        <v>30.966109007542947</v>
      </c>
      <c r="AD78" s="2">
        <f t="shared" si="25"/>
        <v>1.7907011491930976E-2</v>
      </c>
      <c r="AE78" s="2">
        <f t="shared" si="26"/>
        <v>-0.20593164336272674</v>
      </c>
    </row>
    <row r="79" spans="2:31" x14ac:dyDescent="0.2">
      <c r="B79" s="1">
        <f>[21]FormattedData!A83</f>
        <v>406</v>
      </c>
      <c r="C79" s="1" t="str">
        <f>VLOOKUP($B79,[21]TrtCodes!$B$11:I126,2)</f>
        <v>FTH</v>
      </c>
      <c r="D79" s="1">
        <f>VLOOKUP($B79,[21]TrtCodes!$B$11:J126,3)</f>
        <v>3</v>
      </c>
      <c r="E79" s="1">
        <f>VLOOKUP($B79,[21]TrtCodes!$B$11:K126,4)</f>
        <v>1</v>
      </c>
      <c r="F79" s="1">
        <f>VLOOKUP($B79,[21]TrtCodes!$B$11:L126,5)</f>
        <v>2</v>
      </c>
      <c r="G79" s="1">
        <f>VLOOKUP($B79,[21]TrtCodes!$B$11:M126,6)</f>
        <v>2</v>
      </c>
      <c r="H79" s="1">
        <f>VLOOKUP($B79,[21]TrtCodes!$B$11:N126,7)</f>
        <v>4</v>
      </c>
      <c r="I79" s="1">
        <f>[21]FormattedData!B83</f>
        <v>2</v>
      </c>
      <c r="J79" s="4">
        <f>[21]FormattedData!C83</f>
        <v>13.635</v>
      </c>
      <c r="K79" s="6">
        <f>$J$3+[21]FormattedData!D83*$J$4+$M$4*$J$5+[21]FormattedData!D83^2*$J$6+$M$5*$J$7</f>
        <v>28.822721205280544</v>
      </c>
      <c r="L79" s="6">
        <f>$J$3+[21]FormattedData!E83*$J$4+$M$4*$J$5+[21]FormattedData!E83^2*$J$6+$M$5*$J$7</f>
        <v>29.409310404809169</v>
      </c>
      <c r="M79" s="6">
        <f>$J$3+[21]FormattedData!F83*$J$4+$M$4*$J$5+[21]FormattedData!F83^2*$J$6+$M$5*$J$7</f>
        <v>29.896972352956581</v>
      </c>
      <c r="N79" s="6">
        <f>$J$3+[21]FormattedData!G83*$J$4+$M$4*$J$5+[21]FormattedData!G83^2*$J$6+$M$5*$J$7</f>
        <v>28.920591743213475</v>
      </c>
      <c r="O79" s="6">
        <f>$J$3+[21]FormattedData!H83*$J$4+$M$4*$J$5+[21]FormattedData!H83^2*$J$6+$M$5*$J$7</f>
        <v>29.409310404809169</v>
      </c>
      <c r="P79" s="6">
        <f>$J$3+[21]FormattedData!I83*$J$4+$M$4*$J$5+[21]FormattedData!I83^2*$J$6+$M$5*$J$7</f>
        <v>29.604501989681925</v>
      </c>
      <c r="Q79" s="6">
        <f>$J$3+[21]FormattedData!J83*$J$4+$M$4*$J$5+[21]FormattedData!J83^2*$J$6+$M$5*$J$7</f>
        <v>32.512086864566356</v>
      </c>
      <c r="R79" s="6">
        <f>$J$3+[21]FormattedData!K83*$J$4+$M$4*$J$5+[21]FormattedData!K83^2*$J$6+$M$5*$J$7</f>
        <v>30.189062299389853</v>
      </c>
      <c r="S79" s="6">
        <f>$J$3+[21]FormattedData!L83*$J$4+$M$4*$J$5+[21]FormattedData!L83^2*$J$6+$M$5*$J$7</f>
        <v>29.213949745784685</v>
      </c>
      <c r="T79" s="6">
        <f>$J$3+[21]FormattedData!M83*$J$4+$M$4*$J$5+[21]FormattedData!M83^2*$J$6+$M$5*$J$7</f>
        <v>29.409310404809169</v>
      </c>
      <c r="U79" s="6">
        <f>$J$3+[21]FormattedData!N83*$J$4+$M$4*$J$5+[21]FormattedData!N83^2*$J$6+$M$5*$J$7</f>
        <v>30.480771828981744</v>
      </c>
      <c r="V79" s="6">
        <f>$J$3+[21]FormattedData!O83*$J$4+$M$4*$J$5+[21]FormattedData!O83^2*$J$6+$M$5*$J$7</f>
        <v>30.189062299389853</v>
      </c>
      <c r="W79" s="5">
        <f t="shared" si="18"/>
        <v>29.838137628639377</v>
      </c>
      <c r="X79" s="4">
        <f t="shared" si="19"/>
        <v>0.28446622607896799</v>
      </c>
      <c r="Y79" s="3">
        <f t="shared" si="20"/>
        <v>28.822721205280544</v>
      </c>
      <c r="Z79" s="2">
        <f t="shared" si="21"/>
        <v>29.360470240053047</v>
      </c>
      <c r="AA79" s="3">
        <f t="shared" si="22"/>
        <v>29.506906197245549</v>
      </c>
      <c r="AB79" s="2">
        <f t="shared" si="23"/>
        <v>30.189062299389853</v>
      </c>
      <c r="AC79" s="2">
        <f t="shared" si="24"/>
        <v>32.512086864566356</v>
      </c>
      <c r="AD79" s="2">
        <f t="shared" si="25"/>
        <v>1.9561944026267719</v>
      </c>
      <c r="AE79" s="2">
        <f t="shared" si="26"/>
        <v>4.8822810226308633</v>
      </c>
    </row>
    <row r="80" spans="2:31" x14ac:dyDescent="0.2">
      <c r="B80" s="1">
        <f>[21]FormattedData!A81</f>
        <v>407</v>
      </c>
      <c r="C80" s="1" t="str">
        <f>VLOOKUP($B80,[21]TrtCodes!$B$11:I124,2)</f>
        <v>NSH</v>
      </c>
      <c r="D80" s="1">
        <f>VLOOKUP($B80,[21]TrtCodes!$B$11:J124,3)</f>
        <v>7</v>
      </c>
      <c r="E80" s="1">
        <f>VLOOKUP($B80,[21]TrtCodes!$B$11:K124,4)</f>
        <v>2</v>
      </c>
      <c r="F80" s="1">
        <f>VLOOKUP($B80,[21]TrtCodes!$B$11:L124,5)</f>
        <v>1</v>
      </c>
      <c r="G80" s="1">
        <f>VLOOKUP($B80,[21]TrtCodes!$B$11:M124,6)</f>
        <v>2</v>
      </c>
      <c r="H80" s="1">
        <f>VLOOKUP($B80,[21]TrtCodes!$B$11:N124,7)</f>
        <v>4</v>
      </c>
      <c r="I80" s="1">
        <f>[21]FormattedData!B81</f>
        <v>2</v>
      </c>
      <c r="J80" s="4">
        <f>[21]FormattedData!C81</f>
        <v>13.616</v>
      </c>
      <c r="K80" s="6">
        <f>$J$3+[21]FormattedData!D81*$J$4+$M$4*$J$5+[21]FormattedData!D81^2*$J$6+$M$5*$J$7</f>
        <v>31.547118760064663</v>
      </c>
      <c r="L80" s="6">
        <f>$J$3+[21]FormattedData!E81*$J$4+$M$4*$J$5+[21]FormattedData!E81^2*$J$6+$M$5*$J$7</f>
        <v>31.837053011063446</v>
      </c>
      <c r="M80" s="6">
        <f>$J$3+[21]FormattedData!F81*$J$4+$M$4*$J$5+[21]FormattedData!F81^2*$J$6+$M$5*$J$7</f>
        <v>29.604501989681925</v>
      </c>
      <c r="N80" s="6">
        <f>$J$3+[21]FormattedData!G81*$J$4+$M$4*$J$5+[21]FormattedData!G81^2*$J$6+$M$5*$J$7</f>
        <v>30.383577587655715</v>
      </c>
      <c r="O80" s="6">
        <f>$J$3+[21]FormattedData!H81*$J$4+$M$4*$J$5+[21]FormattedData!H81^2*$J$6+$M$5*$J$7</f>
        <v>31.547118760064663</v>
      </c>
      <c r="P80" s="6">
        <f>$J$3+[21]FormattedData!I81*$J$4+$M$4*$J$5+[21]FormattedData!I81^2*$J$6+$M$5*$J$7</f>
        <v>29.213949745784685</v>
      </c>
      <c r="Q80" s="6">
        <f>$J$3+[21]FormattedData!J81*$J$4+$M$4*$J$5+[21]FormattedData!J81^2*$J$6+$M$5*$J$7</f>
        <v>30.286341077791747</v>
      </c>
      <c r="R80" s="6">
        <f>$J$3+[21]FormattedData!K81*$J$4+$M$4*$J$5+[21]FormattedData!K81^2*$J$6+$M$5*$J$7</f>
        <v>29.311651209565891</v>
      </c>
      <c r="S80" s="6">
        <f>$J$3+[21]FormattedData!L81*$J$4+$M$4*$J$5+[21]FormattedData!L81^2*$J$6+$M$5*$J$7</f>
        <v>30.772100941732258</v>
      </c>
      <c r="T80" s="6">
        <f>$J$3+[21]FormattedData!M81*$J$4+$M$4*$J$5+[21]FormattedData!M81^2*$J$6+$M$5*$J$7</f>
        <v>30.480771828981744</v>
      </c>
      <c r="U80" s="6">
        <f>$J$3+[21]FormattedData!N81*$J$4+$M$4*$J$5+[21]FormattedData!N81^2*$J$6+$M$5*$J$7</f>
        <v>29.896972352956581</v>
      </c>
      <c r="V80" s="6">
        <f>$J$3+[21]FormattedData!O81*$J$4+$M$4*$J$5+[21]FormattedData!O81^2*$J$6+$M$5*$J$7</f>
        <v>30.189062299389853</v>
      </c>
      <c r="W80" s="5">
        <f t="shared" si="18"/>
        <v>30.422518297061099</v>
      </c>
      <c r="X80" s="4">
        <f t="shared" si="19"/>
        <v>0.25181970347658894</v>
      </c>
      <c r="Y80" s="3">
        <f t="shared" si="20"/>
        <v>29.213949745784685</v>
      </c>
      <c r="Z80" s="2">
        <f t="shared" si="21"/>
        <v>29.823854762137916</v>
      </c>
      <c r="AA80" s="3">
        <f t="shared" si="22"/>
        <v>30.334959332723731</v>
      </c>
      <c r="AB80" s="2">
        <f t="shared" si="23"/>
        <v>30.965855396315359</v>
      </c>
      <c r="AC80" s="2">
        <f t="shared" si="24"/>
        <v>31.837053011063446</v>
      </c>
      <c r="AD80" s="2">
        <f t="shared" si="25"/>
        <v>0.30796607637843365</v>
      </c>
      <c r="AE80" s="2">
        <f t="shared" si="26"/>
        <v>-0.93075902063482996</v>
      </c>
    </row>
    <row r="81" spans="2:31" x14ac:dyDescent="0.2">
      <c r="B81" s="1">
        <f>[21]FormattedData!A79</f>
        <v>408</v>
      </c>
      <c r="C81" s="1" t="str">
        <f>VLOOKUP($B81,[21]TrtCodes!$B$11:I122,2)</f>
        <v>NTL</v>
      </c>
      <c r="D81" s="1">
        <f>VLOOKUP($B81,[21]TrtCodes!$B$11:J122,3)</f>
        <v>10</v>
      </c>
      <c r="E81" s="1">
        <f>VLOOKUP($B81,[21]TrtCodes!$B$11:K122,4)</f>
        <v>2</v>
      </c>
      <c r="F81" s="1">
        <f>VLOOKUP($B81,[21]TrtCodes!$B$11:L122,5)</f>
        <v>2</v>
      </c>
      <c r="G81" s="1">
        <f>VLOOKUP($B81,[21]TrtCodes!$B$11:M122,6)</f>
        <v>1</v>
      </c>
      <c r="H81" s="1">
        <f>VLOOKUP($B81,[21]TrtCodes!$B$11:N122,7)</f>
        <v>4</v>
      </c>
      <c r="I81" s="1">
        <f>[21]FormattedData!B79</f>
        <v>2</v>
      </c>
      <c r="J81" s="4">
        <f>[21]FormattedData!C79</f>
        <v>13.598000000000001</v>
      </c>
      <c r="K81" s="6">
        <f>$J$3+[21]FormattedData!D79*$J$4+$M$4*$J$5+[21]FormattedData!D79^2*$J$6+$M$5*$J$7</f>
        <v>32.512086864566356</v>
      </c>
      <c r="L81" s="6">
        <f>$J$3+[21]FormattedData!E79*$J$4+$M$4*$J$5+[21]FormattedData!E79^2*$J$6+$M$5*$J$7</f>
        <v>33.472828115274936</v>
      </c>
      <c r="M81" s="6">
        <f>$J$3+[21]FormattedData!F79*$J$4+$M$4*$J$5+[21]FormattedData!F79^2*$J$6+$M$5*$J$7</f>
        <v>32.030131169039649</v>
      </c>
      <c r="N81" s="6">
        <f>$J$3+[21]FormattedData!G79*$J$4+$M$4*$J$5+[21]FormattedData!G79^2*$J$6+$M$5*$J$7</f>
        <v>32.030131169039649</v>
      </c>
      <c r="O81" s="6">
        <f>$J$3+[21]FormattedData!H79*$J$4+$M$4*$J$5+[21]FormattedData!H79^2*$J$6+$M$5*$J$7</f>
        <v>34.810764751894524</v>
      </c>
      <c r="P81" s="6">
        <f>$J$3+[21]FormattedData!I79*$J$4+$M$4*$J$5+[21]FormattedData!I79^2*$J$6+$M$5*$J$7</f>
        <v>32.512086864566356</v>
      </c>
      <c r="Q81" s="6">
        <f>$J$3+[21]FormattedData!J79*$J$4+$M$4*$J$5+[21]FormattedData!J79^2*$J$6+$M$5*$J$7</f>
        <v>35.476626332666378</v>
      </c>
      <c r="R81" s="6">
        <f>$J$3+[21]FormattedData!K79*$J$4+$M$4*$J$5+[21]FormattedData!K79^2*$J$6+$M$5*$J$7</f>
        <v>32.41578026253687</v>
      </c>
      <c r="S81" s="6">
        <f>$J$3+[21]FormattedData!L79*$J$4+$M$4*$J$5+[21]FormattedData!L79^2*$J$6+$M$5*$J$7</f>
        <v>32.800753059427208</v>
      </c>
      <c r="T81" s="6">
        <f>$J$3+[21]FormattedData!M79*$J$4+$M$4*$J$5+[21]FormattedData!M79^2*$J$6+$M$5*$J$7</f>
        <v>32.030131169039649</v>
      </c>
      <c r="U81" s="6">
        <f>$J$3+[21]FormattedData!N79*$J$4+$M$4*$J$5+[21]FormattedData!N79^2*$J$6+$M$5*$J$7</f>
        <v>30.772100941732258</v>
      </c>
      <c r="V81" s="6">
        <f>$J$3+[21]FormattedData!O79*$J$4+$M$4*$J$5+[21]FormattedData!O79^2*$J$6+$M$5*$J$7</f>
        <v>31.256804092224488</v>
      </c>
      <c r="W81" s="5">
        <f t="shared" si="18"/>
        <v>32.676685399334026</v>
      </c>
      <c r="X81" s="4">
        <f t="shared" si="19"/>
        <v>0.38986262895211787</v>
      </c>
      <c r="Y81" s="3">
        <f t="shared" si="20"/>
        <v>30.772100941732258</v>
      </c>
      <c r="Z81" s="2">
        <f t="shared" si="21"/>
        <v>32.030131169039649</v>
      </c>
      <c r="AA81" s="3">
        <f t="shared" si="22"/>
        <v>32.463933563551613</v>
      </c>
      <c r="AB81" s="2">
        <f t="shared" si="23"/>
        <v>32.96877182338914</v>
      </c>
      <c r="AC81" s="2">
        <f t="shared" si="24"/>
        <v>35.476626332666378</v>
      </c>
      <c r="AD81" s="2">
        <f t="shared" si="25"/>
        <v>0.95517291536938842</v>
      </c>
      <c r="AE81" s="2">
        <f t="shared" si="26"/>
        <v>0.72033691774673603</v>
      </c>
    </row>
    <row r="82" spans="2:31" x14ac:dyDescent="0.2">
      <c r="B82" s="1">
        <f>[21]FormattedData!A59</f>
        <v>902</v>
      </c>
      <c r="C82" s="1" t="str">
        <f>VLOOKUP($B82,[21]TrtCodes!$B$11:I102,2)</f>
        <v>Late</v>
      </c>
      <c r="D82" s="1">
        <f>VLOOKUP($B82,[21]TrtCodes!$B$11:J102,3)</f>
        <v>22</v>
      </c>
      <c r="E82" s="1">
        <f>VLOOKUP($B82,[21]TrtCodes!$B$11:K102,4)</f>
        <v>4</v>
      </c>
      <c r="F82" s="1">
        <f>VLOOKUP($B82,[21]TrtCodes!$B$11:L102,5)</f>
        <v>2</v>
      </c>
      <c r="G82" s="1">
        <f>VLOOKUP($B82,[21]TrtCodes!$B$11:M102,6)</f>
        <v>2</v>
      </c>
      <c r="H82" s="1">
        <f>VLOOKUP($B82,[21]TrtCodes!$B$11:N102,7)</f>
        <v>1</v>
      </c>
      <c r="I82" s="1">
        <f>[21]FormattedData!B59</f>
        <v>2</v>
      </c>
      <c r="J82" s="4">
        <f>[21]FormattedData!C59</f>
        <v>13.429</v>
      </c>
      <c r="K82" s="6">
        <f>$J$3+[21]FormattedData!D59*$J$4+$M$4*$J$5+[21]FormattedData!D59^2*$J$6+$M$5*$J$7</f>
        <v>35.666492081759806</v>
      </c>
      <c r="L82" s="6">
        <f>$J$3+[21]FormattedData!E59*$J$4+$M$4*$J$5+[21]FormattedData!E59^2*$J$6+$M$5*$J$7</f>
        <v>35.950973691365476</v>
      </c>
      <c r="M82" s="6">
        <f>$J$3+[21]FormattedData!F59*$J$4+$M$4*$J$5+[21]FormattedData!F59^2*$J$6+$M$5*$J$7</f>
        <v>32.704573263011525</v>
      </c>
      <c r="N82" s="6">
        <f>$J$3+[21]FormattedData!G59*$J$4+$M$4*$J$5+[21]FormattedData!G59^2*$J$6+$M$5*$J$7</f>
        <v>36.140416755079599</v>
      </c>
      <c r="O82" s="6">
        <f>$J$3+[21]FormattedData!H59*$J$4+$M$4*$J$5+[21]FormattedData!H59^2*$J$6+$M$5*$J$7</f>
        <v>37.179331405045204</v>
      </c>
      <c r="P82" s="6">
        <f>$J$3+[21]FormattedData!I59*$J$4+$M$4*$J$5+[21]FormattedData!I59^2*$J$6+$M$5*$J$7</f>
        <v>36.896498268418846</v>
      </c>
      <c r="Q82" s="6">
        <f>$J$3+[21]FormattedData!J59*$J$4+$M$4*$J$5+[21]FormattedData!J59^2*$J$6+$M$5*$J$7</f>
        <v>36.707731501311621</v>
      </c>
      <c r="R82" s="6">
        <f>$J$3+[21]FormattedData!K59*$J$4+$M$4*$J$5+[21]FormattedData!K59^2*$J$6+$M$5*$J$7</f>
        <v>35.761361553499626</v>
      </c>
      <c r="S82" s="6">
        <f>$J$3+[21]FormattedData!L59*$J$4+$M$4*$J$5+[21]FormattedData!L59^2*$J$6+$M$5*$J$7</f>
        <v>38.400545735814568</v>
      </c>
      <c r="T82" s="6">
        <f>$J$3+[21]FormattedData!M59*$J$4+$M$4*$J$5+[21]FormattedData!M59^2*$J$6+$M$5*$J$7</f>
        <v>33.281018013436665</v>
      </c>
      <c r="U82" s="6">
        <f>$J$3+[21]FormattedData!N59*$J$4+$M$4*$J$5+[21]FormattedData!N59^2*$J$6+$M$5*$J$7</f>
        <v>35.856188756701521</v>
      </c>
      <c r="V82" s="6">
        <f>$J$3+[21]FormattedData!O59*$J$4+$M$4*$J$5+[21]FormattedData!O59^2*$J$6+$M$5*$J$7</f>
        <v>34.715472594775385</v>
      </c>
      <c r="W82" s="5">
        <f t="shared" si="18"/>
        <v>35.771716968351647</v>
      </c>
      <c r="X82" s="4">
        <f t="shared" si="19"/>
        <v>0.46012487385867096</v>
      </c>
      <c r="Y82" s="3">
        <f t="shared" si="20"/>
        <v>32.704573263011525</v>
      </c>
      <c r="Z82" s="2">
        <f t="shared" si="21"/>
        <v>35.428737210013701</v>
      </c>
      <c r="AA82" s="3">
        <f t="shared" si="22"/>
        <v>35.903581224033502</v>
      </c>
      <c r="AB82" s="2">
        <f t="shared" si="23"/>
        <v>36.75492319308843</v>
      </c>
      <c r="AC82" s="2">
        <f t="shared" si="24"/>
        <v>38.400545735814568</v>
      </c>
      <c r="AD82" s="2">
        <f t="shared" si="25"/>
        <v>-0.59883445868563134</v>
      </c>
      <c r="AE82" s="2">
        <f t="shared" si="26"/>
        <v>0.41718049555384251</v>
      </c>
    </row>
    <row r="83" spans="2:31" x14ac:dyDescent="0.2">
      <c r="B83" s="1">
        <f>[21]FormattedData!A55</f>
        <v>904</v>
      </c>
      <c r="C83" s="1" t="str">
        <f>VLOOKUP($B83,[21]TrtCodes!$B$11:I98,2)</f>
        <v>Early</v>
      </c>
      <c r="D83" s="1">
        <f>VLOOKUP($B83,[21]TrtCodes!$B$11:J98,3)</f>
        <v>21</v>
      </c>
      <c r="E83" s="1">
        <f>VLOOKUP($B83,[21]TrtCodes!$B$11:K98,4)</f>
        <v>3</v>
      </c>
      <c r="F83" s="1">
        <f>VLOOKUP($B83,[21]TrtCodes!$B$11:L98,5)</f>
        <v>2</v>
      </c>
      <c r="G83" s="1">
        <f>VLOOKUP($B83,[21]TrtCodes!$B$11:M98,6)</f>
        <v>2</v>
      </c>
      <c r="H83" s="1">
        <f>VLOOKUP($B83,[21]TrtCodes!$B$11:N98,7)</f>
        <v>1</v>
      </c>
      <c r="I83" s="1">
        <f>[21]FormattedData!B55</f>
        <v>2</v>
      </c>
      <c r="J83" s="4">
        <f>[21]FormattedData!C55</f>
        <v>13.404</v>
      </c>
      <c r="K83" s="6">
        <f>$J$3+[21]FormattedData!D55*$J$4+$M$4*$J$5+[21]FormattedData!D55^2*$J$6+$M$5*$J$7</f>
        <v>29.213949745784685</v>
      </c>
      <c r="L83" s="6">
        <f>$J$3+[21]FormattedData!E55*$J$4+$M$4*$J$5+[21]FormattedData!E55^2*$J$6+$M$5*$J$7</f>
        <v>30.189062299389853</v>
      </c>
      <c r="M83" s="6">
        <f>$J$3+[21]FormattedData!F55*$J$4+$M$4*$J$5+[21]FormattedData!F55^2*$J$6+$M$5*$J$7</f>
        <v>28.822721205280544</v>
      </c>
      <c r="N83" s="6">
        <f>$J$3+[21]FormattedData!G55*$J$4+$M$4*$J$5+[21]FormattedData!G55^2*$J$6+$M$5*$J$7</f>
        <v>30.772100941732258</v>
      </c>
      <c r="O83" s="6">
        <f>$J$3+[21]FormattedData!H55*$J$4+$M$4*$J$5+[21]FormattedData!H55^2*$J$6+$M$5*$J$7</f>
        <v>29.213949745784685</v>
      </c>
      <c r="P83" s="6">
        <f>$J$3+[21]FormattedData!I55*$J$4+$M$4*$J$5+[21]FormattedData!I55^2*$J$6+$M$5*$J$7</f>
        <v>30.091741252450031</v>
      </c>
      <c r="Q83" s="6">
        <f>$J$3+[21]FormattedData!J55*$J$4+$M$4*$J$5+[21]FormattedData!J55^2*$J$6+$M$5*$J$7</f>
        <v>29.409310404809169</v>
      </c>
      <c r="R83" s="6">
        <f>$J$3+[21]FormattedData!K55*$J$4+$M$4*$J$5+[21]FormattedData!K55^2*$J$6+$M$5*$J$7</f>
        <v>30.189062299389853</v>
      </c>
      <c r="S83" s="6">
        <f>$J$3+[21]FormattedData!L55*$J$4+$M$4*$J$5+[21]FormattedData!L55^2*$J$6+$M$5*$J$7</f>
        <v>30.091741252450031</v>
      </c>
      <c r="T83" s="6">
        <f>$J$3+[21]FormattedData!M55*$J$4+$M$4*$J$5+[21]FormattedData!M55^2*$J$6+$M$5*$J$7</f>
        <v>30.286341077791747</v>
      </c>
      <c r="U83" s="6">
        <f>$J$3+[21]FormattedData!N55*$J$4+$M$4*$J$5+[21]FormattedData!N55^2*$J$6+$M$5*$J$7</f>
        <v>30.383577587655715</v>
      </c>
      <c r="V83" s="6">
        <f>$J$3+[21]FormattedData!O55*$J$4+$M$4*$J$5+[21]FormattedData!O55^2*$J$6+$M$5*$J$7</f>
        <v>30.480771828981744</v>
      </c>
      <c r="W83" s="5">
        <f t="shared" si="18"/>
        <v>29.928694136791695</v>
      </c>
      <c r="X83" s="4">
        <f t="shared" si="19"/>
        <v>0.17525655791958844</v>
      </c>
      <c r="Y83" s="3">
        <f t="shared" si="20"/>
        <v>28.822721205280544</v>
      </c>
      <c r="Z83" s="2">
        <f t="shared" si="21"/>
        <v>29.360470240053047</v>
      </c>
      <c r="AA83" s="3">
        <f t="shared" si="22"/>
        <v>30.140401775919941</v>
      </c>
      <c r="AB83" s="2">
        <f t="shared" si="23"/>
        <v>30.310650205257737</v>
      </c>
      <c r="AC83" s="2">
        <f t="shared" si="24"/>
        <v>30.772100941732258</v>
      </c>
      <c r="AD83" s="2">
        <f t="shared" si="25"/>
        <v>-0.61969954700407071</v>
      </c>
      <c r="AE83" s="2">
        <f t="shared" si="26"/>
        <v>-0.83245044317058348</v>
      </c>
    </row>
    <row r="84" spans="2:31" x14ac:dyDescent="0.2">
      <c r="B84" s="1">
        <f>[21]FormattedData!A51</f>
        <v>906</v>
      </c>
      <c r="C84" s="1" t="str">
        <f>VLOOKUP($B84,[21]TrtCodes!$B$11:I94,2)</f>
        <v>Late</v>
      </c>
      <c r="D84" s="1">
        <f>VLOOKUP($B84,[21]TrtCodes!$B$11:J94,3)</f>
        <v>22</v>
      </c>
      <c r="E84" s="1">
        <f>VLOOKUP($B84,[21]TrtCodes!$B$11:K94,4)</f>
        <v>4</v>
      </c>
      <c r="F84" s="1">
        <f>VLOOKUP($B84,[21]TrtCodes!$B$11:L94,5)</f>
        <v>2</v>
      </c>
      <c r="G84" s="1">
        <f>VLOOKUP($B84,[21]TrtCodes!$B$11:M94,6)</f>
        <v>2</v>
      </c>
      <c r="H84" s="1">
        <f>VLOOKUP($B84,[21]TrtCodes!$B$11:N94,7)</f>
        <v>2</v>
      </c>
      <c r="I84" s="1">
        <f>[21]FormattedData!B51</f>
        <v>2</v>
      </c>
      <c r="J84" s="4">
        <f>[21]FormattedData!C51</f>
        <v>13.379</v>
      </c>
      <c r="K84" s="6">
        <f>$J$3+[21]FormattedData!D51*$J$4+$M$4*$J$5+[21]FormattedData!D51^2*$J$6+$M$5*$J$7</f>
        <v>29.896972352956581</v>
      </c>
      <c r="L84" s="6">
        <f>$J$3+[21]FormattedData!E51*$J$4+$M$4*$J$5+[21]FormattedData!E51^2*$J$6+$M$5*$J$7</f>
        <v>33.185049559710642</v>
      </c>
      <c r="M84" s="6">
        <f>$J$3+[21]FormattedData!F51*$J$4+$M$4*$J$5+[21]FormattedData!F51^2*$J$6+$M$5*$J$7</f>
        <v>32.223040252864124</v>
      </c>
      <c r="N84" s="6">
        <f>$J$3+[21]FormattedData!G51*$J$4+$M$4*$J$5+[21]FormattedData!G51^2*$J$6+$M$5*$J$7</f>
        <v>35.571580341482061</v>
      </c>
      <c r="O84" s="6">
        <f>$J$3+[21]FormattedData!H51*$J$4+$M$4*$J$5+[21]FormattedData!H51^2*$J$6+$M$5*$J$7</f>
        <v>33.76022625399785</v>
      </c>
      <c r="P84" s="6">
        <f>$J$3+[21]FormattedData!I51*$J$4+$M$4*$J$5+[21]FormattedData!I51^2*$J$6+$M$5*$J$7</f>
        <v>34.429342512190402</v>
      </c>
      <c r="Q84" s="6">
        <f>$J$3+[21]FormattedData!J51*$J$4+$M$4*$J$5+[21]FormattedData!J51^2*$J$6+$M$5*$J$7</f>
        <v>35.096387612024337</v>
      </c>
      <c r="R84" s="6">
        <f>$J$3+[21]FormattedData!K51*$J$4+$M$4*$J$5+[21]FormattedData!K51^2*$J$6+$M$5*$J$7</f>
        <v>35.476626332666378</v>
      </c>
      <c r="S84" s="6">
        <f>$J$3+[21]FormattedData!L51*$J$4+$M$4*$J$5+[21]FormattedData!L51^2*$J$6+$M$5*$J$7</f>
        <v>34.047243975879397</v>
      </c>
      <c r="T84" s="6">
        <f>$J$3+[21]FormattedData!M51*$J$4+$M$4*$J$5+[21]FormattedData!M51^2*$J$6+$M$5*$J$7</f>
        <v>35.191510694991734</v>
      </c>
      <c r="U84" s="6">
        <f>$J$3+[21]FormattedData!N51*$J$4+$M$4*$J$5+[21]FormattedData!N51^2*$J$6+$M$5*$J$7</f>
        <v>32.223040252864124</v>
      </c>
      <c r="V84" s="6">
        <f>$J$3+[21]FormattedData!O51*$J$4+$M$4*$J$5+[21]FormattedData!O51^2*$J$6+$M$5*$J$7</f>
        <v>33.281018013436665</v>
      </c>
      <c r="W84" s="5">
        <f t="shared" si="18"/>
        <v>33.698503179588691</v>
      </c>
      <c r="X84" s="4">
        <f t="shared" si="19"/>
        <v>0.48270383625169322</v>
      </c>
      <c r="Y84" s="3">
        <f t="shared" si="20"/>
        <v>29.896972352956581</v>
      </c>
      <c r="Z84" s="2">
        <f t="shared" si="21"/>
        <v>32.944547232999014</v>
      </c>
      <c r="AA84" s="3">
        <f t="shared" si="22"/>
        <v>33.903735114938627</v>
      </c>
      <c r="AB84" s="2">
        <f t="shared" si="23"/>
        <v>35.120168382766188</v>
      </c>
      <c r="AC84" s="2">
        <f t="shared" si="24"/>
        <v>35.571580341482061</v>
      </c>
      <c r="AD84" s="2">
        <f t="shared" si="25"/>
        <v>-1.0006336809435965</v>
      </c>
      <c r="AE84" s="2">
        <f t="shared" si="26"/>
        <v>1.0020542976228519</v>
      </c>
    </row>
    <row r="85" spans="2:31" x14ac:dyDescent="0.2">
      <c r="B85" s="1">
        <f>[21]FormattedData!A47</f>
        <v>908</v>
      </c>
      <c r="C85" s="1" t="str">
        <f>VLOOKUP($B85,[21]TrtCodes!$B$11:I90,2)</f>
        <v>Early</v>
      </c>
      <c r="D85" s="1">
        <f>VLOOKUP($B85,[21]TrtCodes!$B$11:J90,3)</f>
        <v>21</v>
      </c>
      <c r="E85" s="1">
        <f>VLOOKUP($B85,[21]TrtCodes!$B$11:K90,4)</f>
        <v>3</v>
      </c>
      <c r="F85" s="1">
        <f>VLOOKUP($B85,[21]TrtCodes!$B$11:L90,5)</f>
        <v>2</v>
      </c>
      <c r="G85" s="1">
        <f>VLOOKUP($B85,[21]TrtCodes!$B$11:M90,6)</f>
        <v>2</v>
      </c>
      <c r="H85" s="1">
        <f>VLOOKUP($B85,[21]TrtCodes!$B$11:N90,7)</f>
        <v>2</v>
      </c>
      <c r="I85" s="1">
        <f>[21]FormattedData!B47</f>
        <v>2</v>
      </c>
      <c r="J85" s="4">
        <f>[21]FormattedData!C47</f>
        <v>13.353</v>
      </c>
      <c r="K85" s="6">
        <f>$J$3+[21]FormattedData!D47*$J$4+$M$4*$J$5+[21]FormattedData!D47^2*$J$6+$M$5*$J$7</f>
        <v>29.311651209565891</v>
      </c>
      <c r="L85" s="6">
        <f>$J$3+[21]FormattedData!E47*$J$4+$M$4*$J$5+[21]FormattedData!E47^2*$J$6+$M$5*$J$7</f>
        <v>30.189062299389853</v>
      </c>
      <c r="M85" s="6">
        <f>$J$3+[21]FormattedData!F47*$J$4+$M$4*$J$5+[21]FormattedData!F47^2*$J$6+$M$5*$J$7</f>
        <v>29.70203437931141</v>
      </c>
      <c r="N85" s="6">
        <f>$J$3+[21]FormattedData!G47*$J$4+$M$4*$J$5+[21]FormattedData!G47^2*$J$6+$M$5*$J$7</f>
        <v>29.409310404809169</v>
      </c>
      <c r="O85" s="6">
        <f>$J$3+[21]FormattedData!H47*$J$4+$M$4*$J$5+[21]FormattedData!H47^2*$J$6+$M$5*$J$7</f>
        <v>28.724808398809682</v>
      </c>
      <c r="P85" s="6">
        <f>$J$3+[21]FormattedData!I47*$J$4+$M$4*$J$5+[21]FormattedData!I47^2*$J$6+$M$5*$J$7</f>
        <v>29.311651209565891</v>
      </c>
      <c r="Q85" s="6">
        <f>$J$3+[21]FormattedData!J47*$J$4+$M$4*$J$5+[21]FormattedData!J47^2*$J$6+$M$5*$J$7</f>
        <v>29.311651209565891</v>
      </c>
      <c r="R85" s="6">
        <f>$J$3+[21]FormattedData!K47*$J$4+$M$4*$J$5+[21]FormattedData!K47^2*$J$6+$M$5*$J$7</f>
        <v>29.311651209565891</v>
      </c>
      <c r="S85" s="6">
        <f>$J$3+[21]FormattedData!L47*$J$4+$M$4*$J$5+[21]FormattedData!L47^2*$J$6+$M$5*$J$7</f>
        <v>29.70203437931141</v>
      </c>
      <c r="T85" s="6">
        <f>$J$3+[21]FormattedData!M47*$J$4+$M$4*$J$5+[21]FormattedData!M47^2*$J$6+$M$5*$J$7</f>
        <v>29.994377936972267</v>
      </c>
      <c r="U85" s="6">
        <f>$J$3+[21]FormattedData!N47*$J$4+$M$4*$J$5+[21]FormattedData!N47^2*$J$6+$M$5*$J$7</f>
        <v>29.70203437931141</v>
      </c>
      <c r="V85" s="6">
        <f>$J$3+[21]FormattedData!O47*$J$4+$M$4*$J$5+[21]FormattedData!O47^2*$J$6+$M$5*$J$7</f>
        <v>29.70203437931141</v>
      </c>
      <c r="W85" s="5">
        <f t="shared" si="18"/>
        <v>29.531025116290845</v>
      </c>
      <c r="X85" s="4">
        <f t="shared" si="19"/>
        <v>0.11085019078706874</v>
      </c>
      <c r="Y85" s="3">
        <f t="shared" si="20"/>
        <v>28.724808398809682</v>
      </c>
      <c r="Z85" s="2">
        <f t="shared" si="21"/>
        <v>29.311651209565891</v>
      </c>
      <c r="AA85" s="3">
        <f t="shared" si="22"/>
        <v>29.555672392060288</v>
      </c>
      <c r="AB85" s="2">
        <f t="shared" si="23"/>
        <v>29.70203437931141</v>
      </c>
      <c r="AC85" s="2">
        <f t="shared" si="24"/>
        <v>30.189062299389853</v>
      </c>
      <c r="AD85" s="2">
        <f t="shared" si="25"/>
        <v>-0.31527837293101563</v>
      </c>
      <c r="AE85" s="2">
        <f t="shared" si="26"/>
        <v>0.81501931818777784</v>
      </c>
    </row>
    <row r="88" spans="2:31" x14ac:dyDescent="0.2">
      <c r="W88" s="2"/>
    </row>
  </sheetData>
  <autoFilter ref="B9:AE85" xr:uid="{AE386BBB-9A8E-4026-B578-DCD5DA609194}"/>
  <conditionalFormatting sqref="K10:V85">
    <cfRule type="cellIs" dxfId="43" priority="1" stopIfTrue="1" operator="lessThan">
      <formula>$W10-$V$5*$X10</formula>
    </cfRule>
    <cfRule type="cellIs" dxfId="42" priority="2" stopIfTrue="1" operator="greaterThan">
      <formula>$W10+$V$5*$X10</formula>
    </cfRule>
  </conditionalFormatting>
  <conditionalFormatting sqref="W10:W85">
    <cfRule type="cellIs" dxfId="41" priority="3" stopIfTrue="1" operator="lessThan">
      <formula>AVERAGE($W$10:$W$41)</formula>
    </cfRule>
    <cfRule type="cellIs" dxfId="4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0D79-C9DF-4C7A-AAAC-E7D03B0C8200}">
  <sheetPr codeName="Sheet12"/>
  <dimension ref="A1:AI88"/>
  <sheetViews>
    <sheetView topLeftCell="A8" workbookViewId="0">
      <pane xSplit="4" ySplit="2" topLeftCell="P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[22]FormattedData!A1</f>
        <v>Raw data file name - 'IA198.03R'</v>
      </c>
    </row>
    <row r="2" spans="1:35" ht="15" x14ac:dyDescent="0.25">
      <c r="I2" s="32" t="s">
        <v>136</v>
      </c>
      <c r="J2" s="24"/>
      <c r="P2" s="31">
        <f>[22]AncillaryData!C10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[22]AncillaryData!E25</f>
        <v>36.200000000000003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"&amp;[22]AncillaryData!C7</f>
        <v>Time Sequence of Midday IRT Temps - FISE 2003 - DOY 198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"&amp;[22]AncillaryData!E25&amp;", VPD = "&amp;ROUND([22]AncillaryData!E29,1)&amp;", Quality = "&amp;[22]AncillaryData!C20&amp;")"</f>
        <v>(Ta = 36.2, VPD = 3.8, Quality = 5)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[22]FormattedData!A28</f>
        <v>101</v>
      </c>
      <c r="C10" s="1" t="str">
        <f>VLOOKUP($B10,[22]TrtCodes!$B$11:I71,2)</f>
        <v>FSH</v>
      </c>
      <c r="D10" s="1">
        <f>VLOOKUP($B10,[22]TrtCodes!$B$11:J71,3)</f>
        <v>1</v>
      </c>
      <c r="E10" s="1">
        <f>VLOOKUP($B10,[22]TrtCodes!$B$11:K71,4)</f>
        <v>1</v>
      </c>
      <c r="F10" s="1">
        <f>VLOOKUP($B10,[22]TrtCodes!$B$11:L71,5)</f>
        <v>1</v>
      </c>
      <c r="G10" s="1">
        <f>VLOOKUP($B10,[22]TrtCodes!$B$11:M71,6)</f>
        <v>2</v>
      </c>
      <c r="H10" s="1">
        <f>VLOOKUP($B10,[22]TrtCodes!$B$11:N71,7)</f>
        <v>1</v>
      </c>
      <c r="I10" s="1">
        <f>[22]FormattedData!B28</f>
        <v>1</v>
      </c>
      <c r="J10" s="4">
        <f>[22]FormattedData!C28</f>
        <v>13.183999999999999</v>
      </c>
      <c r="K10" s="6">
        <f>$J$3+[22]FormattedData!D28*$J$4+$M$4*$J$5+[22]FormattedData!D28^2*$J$6+$M$5*$J$7</f>
        <v>30.744209398911494</v>
      </c>
      <c r="L10" s="6">
        <f>$J$3+[22]FormattedData!E28*$J$4+$M$4*$J$5+[22]FormattedData!E28^2*$J$6+$M$5*$J$7</f>
        <v>28.992050137153232</v>
      </c>
      <c r="M10" s="6">
        <f>$J$3+[22]FormattedData!F28*$J$4+$M$4*$J$5+[22]FormattedData!F28^2*$J$6+$M$5*$J$7</f>
        <v>29.9671626907584</v>
      </c>
      <c r="N10" s="6">
        <f>$J$3+[22]FormattedData!G28*$J$4+$M$4*$J$5+[22]FormattedData!G28^2*$J$6+$M$5*$J$7</f>
        <v>28.698692134582021</v>
      </c>
      <c r="O10" s="6">
        <f>$J$3+[22]FormattedData!H28*$J$4+$M$4*$J$5+[22]FormattedData!H28^2*$J$6+$M$5*$J$7</f>
        <v>30.453133897388568</v>
      </c>
      <c r="P10" s="6">
        <f>$J$3+[22]FormattedData!I28*$J$4+$M$4*$J$5+[22]FormattedData!I28^2*$J$6+$M$5*$J$7</f>
        <v>28.306956371622707</v>
      </c>
      <c r="Q10" s="6">
        <f>$J$3+[22]FormattedData!J28*$J$4+$M$4*$J$5+[22]FormattedData!J28^2*$J$6+$M$5*$J$7</f>
        <v>29.772478328340814</v>
      </c>
      <c r="R10" s="6">
        <f>$J$3+[22]FormattedData!K28*$J$4+$M$4*$J$5+[22]FormattedData!K28^2*$J$6+$M$5*$J$7</f>
        <v>29.089751600934438</v>
      </c>
      <c r="S10" s="6">
        <f>$J$3+[22]FormattedData!L28*$J$4+$M$4*$J$5+[22]FormattedData!L28^2*$J$6+$M$5*$J$7</f>
        <v>30.453133897388568</v>
      </c>
      <c r="T10" s="6">
        <f>$J$3+[22]FormattedData!M28*$J$4+$M$4*$J$5+[22]FormattedData!M28^2*$J$6+$M$5*$J$7</f>
        <v>28.698692134582021</v>
      </c>
      <c r="U10" s="6">
        <f>$J$3+[22]FormattedData!N28*$J$4+$M$4*$J$5+[22]FormattedData!N28^2*$J$6+$M$5*$J$7</f>
        <v>29.869841643818578</v>
      </c>
      <c r="V10" s="6">
        <f>$J$3+[22]FormattedData!O28*$J$4+$M$4*$J$5+[22]FormattedData!O28^2*$J$6+$M$5*$J$7</f>
        <v>28.502908790178228</v>
      </c>
      <c r="W10" s="5">
        <f t="shared" ref="W10:W41" si="0">AVERAGE(K10:V10)</f>
        <v>29.462417585471588</v>
      </c>
      <c r="X10" s="4">
        <f t="shared" ref="X10:X41" si="1">STDEV(K10:V10)/SQRT(COUNT(K10:V10))</f>
        <v>0.24472238243590375</v>
      </c>
      <c r="Y10" s="3">
        <f t="shared" ref="Y10:Y41" si="2">MIN(K10:V10)</f>
        <v>28.306956371622707</v>
      </c>
      <c r="Z10" s="2">
        <f t="shared" ref="Z10:Z41" si="3">QUARTILE(K10:V10,1)</f>
        <v>28.698692134582021</v>
      </c>
      <c r="AA10" s="3">
        <f t="shared" ref="AA10:AA41" si="4">MEDIAN(K10:V10)</f>
        <v>29.431114964637626</v>
      </c>
      <c r="AB10" s="2">
        <f t="shared" ref="AB10:AB41" si="5">QUARTILE(K10:V10,3)</f>
        <v>30.088655492415942</v>
      </c>
      <c r="AC10" s="2">
        <f t="shared" ref="AC10:AC41" si="6">MAX(K10:V10)</f>
        <v>30.744209398911494</v>
      </c>
      <c r="AD10" s="2">
        <f t="shared" ref="AD10:AD41" si="7">SKEW(K10:V10)</f>
        <v>0.14397100948881669</v>
      </c>
      <c r="AE10" s="2">
        <f t="shared" ref="AE10:AE41" si="8">KURT(K10:V10)</f>
        <v>-1.560062327704371</v>
      </c>
    </row>
    <row r="11" spans="1:35" x14ac:dyDescent="0.2">
      <c r="B11" s="1">
        <f>[22]FormattedData!A26</f>
        <v>102</v>
      </c>
      <c r="C11" s="1" t="str">
        <f>VLOOKUP($B11,[22]TrtCodes!$B$11:I69,2)</f>
        <v>FTL</v>
      </c>
      <c r="D11" s="1">
        <f>VLOOKUP($B11,[22]TrtCodes!$B$11:J69,3)</f>
        <v>4</v>
      </c>
      <c r="E11" s="1">
        <f>VLOOKUP($B11,[22]TrtCodes!$B$11:K69,4)</f>
        <v>1</v>
      </c>
      <c r="F11" s="1">
        <f>VLOOKUP($B11,[22]TrtCodes!$B$11:L69,5)</f>
        <v>2</v>
      </c>
      <c r="G11" s="1">
        <f>VLOOKUP($B11,[22]TrtCodes!$B$11:M69,6)</f>
        <v>1</v>
      </c>
      <c r="H11" s="1">
        <f>VLOOKUP($B11,[22]TrtCodes!$B$11:N69,7)</f>
        <v>1</v>
      </c>
      <c r="I11" s="1">
        <f>[22]FormattedData!B26</f>
        <v>1</v>
      </c>
      <c r="J11" s="4">
        <f>[22]FormattedData!C26</f>
        <v>13.167</v>
      </c>
      <c r="K11" s="6">
        <f>$J$3+[22]FormattedData!D26*$J$4+$M$4*$J$5+[22]FormattedData!D26^2*$J$6+$M$5*$J$7</f>
        <v>29.772478328340814</v>
      </c>
      <c r="L11" s="6">
        <f>$J$3+[22]FormattedData!E26*$J$4+$M$4*$J$5+[22]FormattedData!E26^2*$J$6+$M$5*$J$7</f>
        <v>28.698692134582021</v>
      </c>
      <c r="M11" s="6">
        <f>$J$3+[22]FormattedData!F26*$J$4+$M$4*$J$5+[22]FormattedData!F26^2*$J$6+$M$5*$J$7</f>
        <v>29.480134770679957</v>
      </c>
      <c r="N11" s="6">
        <f>$J$3+[22]FormattedData!G26*$J$4+$M$4*$J$5+[22]FormattedData!G26^2*$J$6+$M$5*$J$7</f>
        <v>30.453133897388568</v>
      </c>
      <c r="O11" s="6">
        <f>$J$3+[22]FormattedData!H26*$J$4+$M$4*$J$5+[22]FormattedData!H26^2*$J$6+$M$5*$J$7</f>
        <v>30.356024193138399</v>
      </c>
      <c r="P11" s="6">
        <f>$J$3+[22]FormattedData!I26*$J$4+$M$4*$J$5+[22]FormattedData!I26^2*$J$6+$M$5*$J$7</f>
        <v>29.772478328340814</v>
      </c>
      <c r="Q11" s="6">
        <f>$J$3+[22]FormattedData!J26*$J$4+$M$4*$J$5+[22]FormattedData!J26^2*$J$6+$M$5*$J$7</f>
        <v>30.161677979024262</v>
      </c>
      <c r="R11" s="6">
        <f>$J$3+[22]FormattedData!K26*$J$4+$M$4*$J$5+[22]FormattedData!K26^2*$J$6+$M$5*$J$7</f>
        <v>29.9671626907584</v>
      </c>
      <c r="S11" s="6">
        <f>$J$3+[22]FormattedData!L26*$J$4+$M$4*$J$5+[22]FormattedData!L26^2*$J$6+$M$5*$J$7</f>
        <v>29.577624891771503</v>
      </c>
      <c r="T11" s="6">
        <f>$J$3+[22]FormattedData!M26*$J$4+$M$4*$J$5+[22]FormattedData!M26^2*$J$6+$M$5*$J$7</f>
        <v>29.089751600934438</v>
      </c>
      <c r="U11" s="6">
        <f>$J$3+[22]FormattedData!N26*$J$4+$M$4*$J$5+[22]FormattedData!N26^2*$J$6+$M$5*$J$7</f>
        <v>29.285027722883058</v>
      </c>
      <c r="V11" s="6">
        <f>$J$3+[22]FormattedData!O26*$J$4+$M$4*$J$5+[22]FormattedData!O26^2*$J$6+$M$5*$J$7</f>
        <v>28.306956371622707</v>
      </c>
      <c r="W11" s="5">
        <f t="shared" si="0"/>
        <v>29.576761909122084</v>
      </c>
      <c r="X11" s="4">
        <f t="shared" si="1"/>
        <v>0.18792053926184751</v>
      </c>
      <c r="Y11" s="3">
        <f t="shared" si="2"/>
        <v>28.306956371622707</v>
      </c>
      <c r="Z11" s="2">
        <f t="shared" si="3"/>
        <v>29.236208692395902</v>
      </c>
      <c r="AA11" s="3">
        <f t="shared" si="4"/>
        <v>29.675051610056158</v>
      </c>
      <c r="AB11" s="2">
        <f t="shared" si="5"/>
        <v>30.015791512824865</v>
      </c>
      <c r="AC11" s="2">
        <f t="shared" si="6"/>
        <v>30.453133897388568</v>
      </c>
      <c r="AD11" s="2">
        <f t="shared" si="7"/>
        <v>-0.57134273281134662</v>
      </c>
      <c r="AE11" s="2">
        <f t="shared" si="8"/>
        <v>-0.20782799704483246</v>
      </c>
    </row>
    <row r="12" spans="1:35" x14ac:dyDescent="0.2">
      <c r="B12" s="1">
        <f>[22]FormattedData!A24</f>
        <v>103</v>
      </c>
      <c r="C12" s="1" t="str">
        <f>VLOOKUP($B12,[22]TrtCodes!$B$11:I67,2)</f>
        <v>FDH</v>
      </c>
      <c r="D12" s="1">
        <f>VLOOKUP($B12,[22]TrtCodes!$B$11:J67,3)</f>
        <v>5</v>
      </c>
      <c r="E12" s="1">
        <f>VLOOKUP($B12,[22]TrtCodes!$B$11:K67,4)</f>
        <v>1</v>
      </c>
      <c r="F12" s="1">
        <f>VLOOKUP($B12,[22]TrtCodes!$B$11:L67,5)</f>
        <v>3</v>
      </c>
      <c r="G12" s="1">
        <f>VLOOKUP($B12,[22]TrtCodes!$B$11:M67,6)</f>
        <v>2</v>
      </c>
      <c r="H12" s="1">
        <f>VLOOKUP($B12,[22]TrtCodes!$B$11:N67,7)</f>
        <v>1</v>
      </c>
      <c r="I12" s="1">
        <f>[22]FormattedData!B24</f>
        <v>1</v>
      </c>
      <c r="J12" s="4">
        <f>[22]FormattedData!C24</f>
        <v>13.151</v>
      </c>
      <c r="K12" s="6">
        <f>$J$3+[22]FormattedData!D24*$J$4+$M$4*$J$5+[22]FormattedData!D24^2*$J$6+$M$5*$J$7</f>
        <v>29.772478328340814</v>
      </c>
      <c r="L12" s="6">
        <f>$J$3+[22]FormattedData!E24*$J$4+$M$4*$J$5+[22]FormattedData!E24^2*$J$6+$M$5*$J$7</f>
        <v>28.502908790178228</v>
      </c>
      <c r="M12" s="6">
        <f>$J$3+[22]FormattedData!F24*$J$4+$M$4*$J$5+[22]FormattedData!F24^2*$J$6+$M$5*$J$7</f>
        <v>28.796520403977024</v>
      </c>
      <c r="N12" s="6">
        <f>$J$3+[22]FormattedData!G24*$J$4+$M$4*$J$5+[22]FormattedData!G24^2*$J$6+$M$5*$J$7</f>
        <v>28.698692134582021</v>
      </c>
      <c r="O12" s="6">
        <f>$J$3+[22]FormattedData!H24*$J$4+$M$4*$J$5+[22]FormattedData!H24^2*$J$6+$M$5*$J$7</f>
        <v>28.698692134582021</v>
      </c>
      <c r="P12" s="6">
        <f>$J$3+[22]FormattedData!I24*$J$4+$M$4*$J$5+[22]FormattedData!I24^2*$J$6+$M$5*$J$7</f>
        <v>28.894306404834094</v>
      </c>
      <c r="Q12" s="6">
        <f>$J$3+[22]FormattedData!J24*$J$4+$M$4*$J$5+[22]FormattedData!J24^2*$J$6+$M$5*$J$7</f>
        <v>30.064441469160293</v>
      </c>
      <c r="R12" s="6">
        <f>$J$3+[22]FormattedData!K24*$J$4+$M$4*$J$5+[22]FormattedData!K24^2*$J$6+$M$5*$J$7</f>
        <v>28.698692134582021</v>
      </c>
      <c r="S12" s="6">
        <f>$J$3+[22]FormattedData!L24*$J$4+$M$4*$J$5+[22]FormattedData!L24^2*$J$6+$M$5*$J$7</f>
        <v>29.9671626907584</v>
      </c>
      <c r="T12" s="6">
        <f>$J$3+[22]FormattedData!M24*$J$4+$M$4*$J$5+[22]FormattedData!M24^2*$J$6+$M$5*$J$7</f>
        <v>29.480134770679957</v>
      </c>
      <c r="U12" s="6">
        <f>$J$3+[22]FormattedData!N24*$J$4+$M$4*$J$5+[22]FormattedData!N24^2*$J$6+$M$5*$J$7</f>
        <v>30.064441469160293</v>
      </c>
      <c r="V12" s="6">
        <f>$J$3+[22]FormattedData!O24*$J$4+$M$4*$J$5+[22]FormattedData!O24^2*$J$6+$M$5*$J$7</f>
        <v>28.600821596649091</v>
      </c>
      <c r="W12" s="5">
        <f t="shared" si="0"/>
        <v>29.186607693957018</v>
      </c>
      <c r="X12" s="4">
        <f t="shared" si="1"/>
        <v>0.18137178001453799</v>
      </c>
      <c r="Y12" s="3">
        <f t="shared" si="2"/>
        <v>28.502908790178228</v>
      </c>
      <c r="Z12" s="2">
        <f t="shared" si="3"/>
        <v>28.698692134582021</v>
      </c>
      <c r="AA12" s="3">
        <f t="shared" si="4"/>
        <v>28.845413404405559</v>
      </c>
      <c r="AB12" s="2">
        <f t="shared" si="5"/>
        <v>29.821149418945211</v>
      </c>
      <c r="AC12" s="2">
        <f t="shared" si="6"/>
        <v>30.064441469160293</v>
      </c>
      <c r="AD12" s="2">
        <f t="shared" si="7"/>
        <v>0.48448050482835336</v>
      </c>
      <c r="AE12" s="2">
        <f t="shared" si="8"/>
        <v>-1.7876060628949837</v>
      </c>
    </row>
    <row r="13" spans="1:35" x14ac:dyDescent="0.2">
      <c r="B13" s="1">
        <f>[22]FormattedData!A22</f>
        <v>104</v>
      </c>
      <c r="C13" s="1" t="str">
        <f>VLOOKUP($B13,[22]TrtCodes!$B$11:I65,2)</f>
        <v>NTL</v>
      </c>
      <c r="D13" s="1">
        <f>VLOOKUP($B13,[22]TrtCodes!$B$11:J65,3)</f>
        <v>10</v>
      </c>
      <c r="E13" s="1">
        <f>VLOOKUP($B13,[22]TrtCodes!$B$11:K65,4)</f>
        <v>2</v>
      </c>
      <c r="F13" s="1">
        <f>VLOOKUP($B13,[22]TrtCodes!$B$11:L65,5)</f>
        <v>2</v>
      </c>
      <c r="G13" s="1">
        <f>VLOOKUP($B13,[22]TrtCodes!$B$11:M65,6)</f>
        <v>1</v>
      </c>
      <c r="H13" s="1">
        <f>VLOOKUP($B13,[22]TrtCodes!$B$11:N65,7)</f>
        <v>1</v>
      </c>
      <c r="I13" s="1">
        <f>[22]FormattedData!B22</f>
        <v>1</v>
      </c>
      <c r="J13" s="4">
        <f>[22]FormattedData!C22</f>
        <v>13.135</v>
      </c>
      <c r="K13" s="6">
        <f>$J$3+[22]FormattedData!D22*$J$4+$M$4*$J$5+[22]FormattedData!D22^2*$J$6+$M$5*$J$7</f>
        <v>31.034904483593035</v>
      </c>
      <c r="L13" s="6">
        <f>$J$3+[22]FormattedData!E22*$J$4+$M$4*$J$5+[22]FormattedData!E22^2*$J$6+$M$5*$J$7</f>
        <v>28.992050137153232</v>
      </c>
      <c r="M13" s="6">
        <f>$J$3+[22]FormattedData!F22*$J$4+$M$4*$J$5+[22]FormattedData!F22^2*$J$6+$M$5*$J$7</f>
        <v>29.869841643818578</v>
      </c>
      <c r="N13" s="6">
        <f>$J$3+[22]FormattedData!G22*$J$4+$M$4*$J$5+[22]FormattedData!G22^2*$J$6+$M$5*$J$7</f>
        <v>29.480134770679957</v>
      </c>
      <c r="O13" s="6">
        <f>$J$3+[22]FormattedData!H22*$J$4+$M$4*$J$5+[22]FormattedData!H22^2*$J$6+$M$5*$J$7</f>
        <v>30.453133897388568</v>
      </c>
      <c r="P13" s="6">
        <f>$J$3+[22]FormattedData!I22*$J$4+$M$4*$J$5+[22]FormattedData!I22^2*$J$6+$M$5*$J$7</f>
        <v>28.796520403977024</v>
      </c>
      <c r="Q13" s="6">
        <f>$J$3+[22]FormattedData!J22*$J$4+$M$4*$J$5+[22]FormattedData!J22^2*$J$6+$M$5*$J$7</f>
        <v>29.9671626907584</v>
      </c>
      <c r="R13" s="6">
        <f>$J$3+[22]FormattedData!K22*$J$4+$M$4*$J$5+[22]FormattedData!K22^2*$J$6+$M$5*$J$7</f>
        <v>28.992050137153232</v>
      </c>
      <c r="S13" s="6">
        <f>$J$3+[22]FormattedData!L22*$J$4+$M$4*$J$5+[22]FormattedData!L22^2*$J$6+$M$5*$J$7</f>
        <v>30.161677979024262</v>
      </c>
      <c r="T13" s="6">
        <f>$J$3+[22]FormattedData!M22*$J$4+$M$4*$J$5+[22]FormattedData!M22^2*$J$6+$M$5*$J$7</f>
        <v>28.796520403977024</v>
      </c>
      <c r="U13" s="6">
        <f>$J$3+[22]FormattedData!N22*$J$4+$M$4*$J$5+[22]FormattedData!N22^2*$J$6+$M$5*$J$7</f>
        <v>30.161677979024262</v>
      </c>
      <c r="V13" s="6">
        <f>$J$3+[22]FormattedData!O22*$J$4+$M$4*$J$5+[22]FormattedData!O22^2*$J$6+$M$5*$J$7</f>
        <v>28.698692134582021</v>
      </c>
      <c r="W13" s="5">
        <f t="shared" si="0"/>
        <v>29.617030555094132</v>
      </c>
      <c r="X13" s="4">
        <f t="shared" si="1"/>
        <v>0.22154730735111372</v>
      </c>
      <c r="Y13" s="3">
        <f t="shared" si="2"/>
        <v>28.698692134582021</v>
      </c>
      <c r="Z13" s="2">
        <f t="shared" si="3"/>
        <v>28.943167703859181</v>
      </c>
      <c r="AA13" s="3">
        <f t="shared" si="4"/>
        <v>29.674988207249267</v>
      </c>
      <c r="AB13" s="2">
        <f t="shared" si="5"/>
        <v>30.161677979024262</v>
      </c>
      <c r="AC13" s="2">
        <f t="shared" si="6"/>
        <v>31.034904483593035</v>
      </c>
      <c r="AD13" s="2">
        <f t="shared" si="7"/>
        <v>0.34922813833605021</v>
      </c>
      <c r="AE13" s="2">
        <f t="shared" si="8"/>
        <v>-1.0134462935958006</v>
      </c>
    </row>
    <row r="14" spans="1:35" x14ac:dyDescent="0.2">
      <c r="B14" s="1">
        <f>[22]FormattedData!A20</f>
        <v>105</v>
      </c>
      <c r="C14" s="1" t="str">
        <f>VLOOKUP($B14,[22]TrtCodes!$B$11:I63,2)</f>
        <v>NDL</v>
      </c>
      <c r="D14" s="1">
        <f>VLOOKUP($B14,[22]TrtCodes!$B$11:J63,3)</f>
        <v>12</v>
      </c>
      <c r="E14" s="1">
        <f>VLOOKUP($B14,[22]TrtCodes!$B$11:K63,4)</f>
        <v>2</v>
      </c>
      <c r="F14" s="1">
        <f>VLOOKUP($B14,[22]TrtCodes!$B$11:L63,5)</f>
        <v>3</v>
      </c>
      <c r="G14" s="1">
        <f>VLOOKUP($B14,[22]TrtCodes!$B$11:M63,6)</f>
        <v>1</v>
      </c>
      <c r="H14" s="1">
        <f>VLOOKUP($B14,[22]TrtCodes!$B$11:N63,7)</f>
        <v>2</v>
      </c>
      <c r="I14" s="1">
        <f>[22]FormattedData!B20</f>
        <v>1</v>
      </c>
      <c r="J14" s="4">
        <f>[22]FormattedData!C20</f>
        <v>13.118</v>
      </c>
      <c r="K14" s="6">
        <f>$J$3+[22]FormattedData!D20*$J$4+$M$4*$J$5+[22]FormattedData!D20^2*$J$6+$M$5*$J$7</f>
        <v>30.550201333100805</v>
      </c>
      <c r="L14" s="6">
        <f>$J$3+[22]FormattedData!E20*$J$4+$M$4*$J$5+[22]FormattedData!E20^2*$J$6+$M$5*$J$7</f>
        <v>30.550201333100805</v>
      </c>
      <c r="M14" s="6">
        <f>$J$3+[22]FormattedData!F20*$J$4+$M$4*$J$5+[22]FormattedData!F20^2*$J$6+$M$5*$J$7</f>
        <v>29.675072744325128</v>
      </c>
      <c r="N14" s="6">
        <f>$J$3+[22]FormattedData!G20*$J$4+$M$4*$J$5+[22]FormattedData!G20^2*$J$6+$M$5*$J$7</f>
        <v>30.064441469160293</v>
      </c>
      <c r="O14" s="6">
        <f>$J$3+[22]FormattedData!H20*$J$4+$M$4*$J$5+[22]FormattedData!H20^2*$J$6+$M$5*$J$7</f>
        <v>30.064441469160293</v>
      </c>
      <c r="P14" s="6">
        <f>$J$3+[22]FormattedData!I20*$J$4+$M$4*$J$5+[22]FormattedData!I20^2*$J$6+$M$5*$J$7</f>
        <v>30.161677979024262</v>
      </c>
      <c r="Q14" s="6">
        <f>$J$3+[22]FormattedData!J20*$J$4+$M$4*$J$5+[22]FormattedData!J20^2*$J$6+$M$5*$J$7</f>
        <v>30.258872220350291</v>
      </c>
      <c r="R14" s="6">
        <f>$J$3+[22]FormattedData!K20*$J$4+$M$4*$J$5+[22]FormattedData!K20^2*$J$6+$M$5*$J$7</f>
        <v>30.064441469160293</v>
      </c>
      <c r="S14" s="6">
        <f>$J$3+[22]FormattedData!L20*$J$4+$M$4*$J$5+[22]FormattedData!L20^2*$J$6+$M$5*$J$7</f>
        <v>30.744209398911494</v>
      </c>
      <c r="T14" s="6">
        <f>$J$3+[22]FormattedData!M20*$J$4+$M$4*$J$5+[22]FormattedData!M20^2*$J$6+$M$5*$J$7</f>
        <v>30.647226500275117</v>
      </c>
      <c r="U14" s="6">
        <f>$J$3+[22]FormattedData!N20*$J$4+$M$4*$J$5+[22]FormattedData!N20^2*$J$6+$M$5*$J$7</f>
        <v>30.550201333100805</v>
      </c>
      <c r="V14" s="6">
        <f>$J$3+[22]FormattedData!O20*$J$4+$M$4*$J$5+[22]FormattedData!O20^2*$J$6+$M$5*$J$7</f>
        <v>30.841150029009942</v>
      </c>
      <c r="W14" s="5">
        <f t="shared" si="0"/>
        <v>30.347678106556629</v>
      </c>
      <c r="X14" s="4">
        <f t="shared" si="1"/>
        <v>0.10109541324965235</v>
      </c>
      <c r="Y14" s="3">
        <f t="shared" si="2"/>
        <v>29.675072744325128</v>
      </c>
      <c r="Z14" s="2">
        <f t="shared" si="3"/>
        <v>30.064441469160293</v>
      </c>
      <c r="AA14" s="3">
        <f t="shared" si="4"/>
        <v>30.40453677672555</v>
      </c>
      <c r="AB14" s="2">
        <f t="shared" si="5"/>
        <v>30.574457624894382</v>
      </c>
      <c r="AC14" s="2">
        <f t="shared" si="6"/>
        <v>30.841150029009942</v>
      </c>
      <c r="AD14" s="2">
        <f t="shared" si="7"/>
        <v>-0.36898041500324519</v>
      </c>
      <c r="AE14" s="2">
        <f t="shared" si="8"/>
        <v>-0.65633840861347759</v>
      </c>
    </row>
    <row r="15" spans="1:35" x14ac:dyDescent="0.2">
      <c r="B15" s="1">
        <f>[22]FormattedData!A18</f>
        <v>106</v>
      </c>
      <c r="C15" s="1" t="str">
        <f>VLOOKUP($B15,[22]TrtCodes!$B$11:I61,2)</f>
        <v>NTH</v>
      </c>
      <c r="D15" s="1">
        <f>VLOOKUP($B15,[22]TrtCodes!$B$11:J61,3)</f>
        <v>9</v>
      </c>
      <c r="E15" s="1">
        <f>VLOOKUP($B15,[22]TrtCodes!$B$11:K61,4)</f>
        <v>2</v>
      </c>
      <c r="F15" s="1">
        <f>VLOOKUP($B15,[22]TrtCodes!$B$11:L61,5)</f>
        <v>2</v>
      </c>
      <c r="G15" s="1">
        <f>VLOOKUP($B15,[22]TrtCodes!$B$11:M61,6)</f>
        <v>2</v>
      </c>
      <c r="H15" s="1">
        <f>VLOOKUP($B15,[22]TrtCodes!$B$11:N61,7)</f>
        <v>2</v>
      </c>
      <c r="I15" s="1">
        <f>[22]FormattedData!B18</f>
        <v>1</v>
      </c>
      <c r="J15" s="4">
        <f>[22]FormattedData!C18</f>
        <v>13.102</v>
      </c>
      <c r="K15" s="6">
        <f>$J$3+[22]FormattedData!D18*$J$4+$M$4*$J$5+[22]FormattedData!D18^2*$J$6+$M$5*$J$7</f>
        <v>30.258872220350291</v>
      </c>
      <c r="L15" s="6">
        <f>$J$3+[22]FormattedData!E18*$J$4+$M$4*$J$5+[22]FormattedData!E18^2*$J$6+$M$5*$J$7</f>
        <v>29.675072744325128</v>
      </c>
      <c r="M15" s="6">
        <f>$J$3+[22]FormattedData!F18*$J$4+$M$4*$J$5+[22]FormattedData!F18^2*$J$6+$M$5*$J$7</f>
        <v>29.675072744325128</v>
      </c>
      <c r="N15" s="6">
        <f>$J$3+[22]FormattedData!G18*$J$4+$M$4*$J$5+[22]FormattedData!G18^2*$J$6+$M$5*$J$7</f>
        <v>29.869841643818578</v>
      </c>
      <c r="O15" s="6">
        <f>$J$3+[22]FormattedData!H18*$J$4+$M$4*$J$5+[22]FormattedData!H18^2*$J$6+$M$5*$J$7</f>
        <v>29.577624891771503</v>
      </c>
      <c r="P15" s="6">
        <f>$J$3+[22]FormattedData!I18*$J$4+$M$4*$J$5+[22]FormattedData!I18^2*$J$6+$M$5*$J$7</f>
        <v>30.064441469160293</v>
      </c>
      <c r="Q15" s="6">
        <f>$J$3+[22]FormattedData!J18*$J$4+$M$4*$J$5+[22]FormattedData!J18^2*$J$6+$M$5*$J$7</f>
        <v>29.869841643818578</v>
      </c>
      <c r="R15" s="6">
        <f>$J$3+[22]FormattedData!K18*$J$4+$M$4*$J$5+[22]FormattedData!K18^2*$J$6+$M$5*$J$7</f>
        <v>29.772478328340814</v>
      </c>
      <c r="S15" s="6">
        <f>$J$3+[22]FormattedData!L18*$J$4+$M$4*$J$5+[22]FormattedData!L18^2*$J$6+$M$5*$J$7</f>
        <v>29.675072744325128</v>
      </c>
      <c r="T15" s="6">
        <f>$J$3+[22]FormattedData!M18*$J$4+$M$4*$J$5+[22]FormattedData!M18^2*$J$6+$M$5*$J$7</f>
        <v>29.675072744325128</v>
      </c>
      <c r="U15" s="6">
        <f>$J$3+[22]FormattedData!N18*$J$4+$M$4*$J$5+[22]FormattedData!N18^2*$J$6+$M$5*$J$7</f>
        <v>29.772478328340814</v>
      </c>
      <c r="V15" s="6">
        <f>$J$3+[22]FormattedData!O18*$J$4+$M$4*$J$5+[22]FormattedData!O18^2*$J$6+$M$5*$J$7</f>
        <v>29.382602381050472</v>
      </c>
      <c r="W15" s="5">
        <f t="shared" si="0"/>
        <v>29.772372656995984</v>
      </c>
      <c r="X15" s="4">
        <f t="shared" si="1"/>
        <v>6.5638074304771546E-2</v>
      </c>
      <c r="Y15" s="3">
        <f t="shared" si="2"/>
        <v>29.382602381050472</v>
      </c>
      <c r="Z15" s="2">
        <f t="shared" si="3"/>
        <v>29.675072744325128</v>
      </c>
      <c r="AA15" s="3">
        <f t="shared" si="4"/>
        <v>29.723775536332973</v>
      </c>
      <c r="AB15" s="2">
        <f t="shared" si="5"/>
        <v>29.869841643818578</v>
      </c>
      <c r="AC15" s="2">
        <f t="shared" si="6"/>
        <v>30.258872220350291</v>
      </c>
      <c r="AD15" s="2">
        <f t="shared" si="7"/>
        <v>0.66470239973014433</v>
      </c>
      <c r="AE15" s="2">
        <f t="shared" si="8"/>
        <v>1.1752837462314378</v>
      </c>
    </row>
    <row r="16" spans="1:35" x14ac:dyDescent="0.2">
      <c r="B16" s="1">
        <f>[22]FormattedData!A16</f>
        <v>107</v>
      </c>
      <c r="C16" s="1" t="str">
        <f>VLOOKUP($B16,[22]TrtCodes!$B$11:I59,2)</f>
        <v>NTL</v>
      </c>
      <c r="D16" s="1">
        <f>VLOOKUP($B16,[22]TrtCodes!$B$11:J59,3)</f>
        <v>10</v>
      </c>
      <c r="E16" s="1">
        <f>VLOOKUP($B16,[22]TrtCodes!$B$11:K59,4)</f>
        <v>2</v>
      </c>
      <c r="F16" s="1">
        <f>VLOOKUP($B16,[22]TrtCodes!$B$11:L59,5)</f>
        <v>2</v>
      </c>
      <c r="G16" s="1">
        <f>VLOOKUP($B16,[22]TrtCodes!$B$11:M59,6)</f>
        <v>1</v>
      </c>
      <c r="H16" s="1">
        <f>VLOOKUP($B16,[22]TrtCodes!$B$11:N59,7)</f>
        <v>2</v>
      </c>
      <c r="I16" s="1">
        <f>[22]FormattedData!B16</f>
        <v>1</v>
      </c>
      <c r="J16" s="4">
        <f>[22]FormattedData!C16</f>
        <v>13.087</v>
      </c>
      <c r="K16" s="6">
        <f>$J$3+[22]FormattedData!D16*$J$4+$M$4*$J$5+[22]FormattedData!D16^2*$J$6+$M$5*$J$7</f>
        <v>29.675072744325128</v>
      </c>
      <c r="L16" s="6">
        <f>$J$3+[22]FormattedData!E16*$J$4+$M$4*$J$5+[22]FormattedData!E16^2*$J$6+$M$5*$J$7</f>
        <v>30.258872220350291</v>
      </c>
      <c r="M16" s="6">
        <f>$J$3+[22]FormattedData!F16*$J$4+$M$4*$J$5+[22]FormattedData!F16^2*$J$6+$M$5*$J$7</f>
        <v>30.064441469160293</v>
      </c>
      <c r="N16" s="6">
        <f>$J$3+[22]FormattedData!G16*$J$4+$M$4*$J$5+[22]FormattedData!G16^2*$J$6+$M$5*$J$7</f>
        <v>29.869841643818578</v>
      </c>
      <c r="O16" s="6">
        <f>$J$3+[22]FormattedData!H16*$J$4+$M$4*$J$5+[22]FormattedData!H16^2*$J$6+$M$5*$J$7</f>
        <v>29.9671626907584</v>
      </c>
      <c r="P16" s="6">
        <f>$J$3+[22]FormattedData!I16*$J$4+$M$4*$J$5+[22]FormattedData!I16^2*$J$6+$M$5*$J$7</f>
        <v>30.744209398911494</v>
      </c>
      <c r="Q16" s="6">
        <f>$J$3+[22]FormattedData!J16*$J$4+$M$4*$J$5+[22]FormattedData!J16^2*$J$6+$M$5*$J$7</f>
        <v>30.258872220350291</v>
      </c>
      <c r="R16" s="6">
        <f>$J$3+[22]FormattedData!K16*$J$4+$M$4*$J$5+[22]FormattedData!K16^2*$J$6+$M$5*$J$7</f>
        <v>30.258872220350291</v>
      </c>
      <c r="S16" s="6">
        <f>$J$3+[22]FormattedData!L16*$J$4+$M$4*$J$5+[22]FormattedData!L16^2*$J$6+$M$5*$J$7</f>
        <v>29.187410796177716</v>
      </c>
      <c r="T16" s="6">
        <f>$J$3+[22]FormattedData!M16*$J$4+$M$4*$J$5+[22]FormattedData!M16^2*$J$6+$M$5*$J$7</f>
        <v>30.453133897388568</v>
      </c>
      <c r="U16" s="6">
        <f>$J$3+[22]FormattedData!N16*$J$4+$M$4*$J$5+[22]FormattedData!N16^2*$J$6+$M$5*$J$7</f>
        <v>29.187410796177716</v>
      </c>
      <c r="V16" s="6">
        <f>$J$3+[22]FormattedData!O16*$J$4+$M$4*$J$5+[22]FormattedData!O16^2*$J$6+$M$5*$J$7</f>
        <v>30.161677979024262</v>
      </c>
      <c r="W16" s="5">
        <f t="shared" si="0"/>
        <v>30.007248173066092</v>
      </c>
      <c r="X16" s="4">
        <f t="shared" si="1"/>
        <v>0.1357940763277399</v>
      </c>
      <c r="Y16" s="3">
        <f t="shared" si="2"/>
        <v>29.187410796177716</v>
      </c>
      <c r="Z16" s="2">
        <f t="shared" si="3"/>
        <v>29.821149418945215</v>
      </c>
      <c r="AA16" s="3">
        <f t="shared" si="4"/>
        <v>30.113059724092277</v>
      </c>
      <c r="AB16" s="2">
        <f t="shared" si="5"/>
        <v>30.258872220350291</v>
      </c>
      <c r="AC16" s="2">
        <f t="shared" si="6"/>
        <v>30.744209398911494</v>
      </c>
      <c r="AD16" s="2">
        <f t="shared" si="7"/>
        <v>-0.62968435144706625</v>
      </c>
      <c r="AE16" s="2">
        <f t="shared" si="8"/>
        <v>3.1691940865881563E-2</v>
      </c>
    </row>
    <row r="17" spans="2:31" x14ac:dyDescent="0.2">
      <c r="B17" s="1">
        <f>[22]FormattedData!A14</f>
        <v>108</v>
      </c>
      <c r="C17" s="1" t="str">
        <f>VLOOKUP($B17,[22]TrtCodes!$B$11:I57,2)</f>
        <v>FTH</v>
      </c>
      <c r="D17" s="1">
        <f>VLOOKUP($B17,[22]TrtCodes!$B$11:J57,3)</f>
        <v>3</v>
      </c>
      <c r="E17" s="1">
        <f>VLOOKUP($B17,[22]TrtCodes!$B$11:K57,4)</f>
        <v>1</v>
      </c>
      <c r="F17" s="1">
        <f>VLOOKUP($B17,[22]TrtCodes!$B$11:L57,5)</f>
        <v>2</v>
      </c>
      <c r="G17" s="1">
        <f>VLOOKUP($B17,[22]TrtCodes!$B$11:M57,6)</f>
        <v>2</v>
      </c>
      <c r="H17" s="1">
        <f>VLOOKUP($B17,[22]TrtCodes!$B$11:N57,7)</f>
        <v>2</v>
      </c>
      <c r="I17" s="1">
        <f>[22]FormattedData!B14</f>
        <v>1</v>
      </c>
      <c r="J17" s="4">
        <f>[22]FormattedData!C14</f>
        <v>13.071</v>
      </c>
      <c r="K17" s="6">
        <f>$J$3+[22]FormattedData!D14*$J$4+$M$4*$J$5+[22]FormattedData!D14^2*$J$6+$M$5*$J$7</f>
        <v>29.9671626907584</v>
      </c>
      <c r="L17" s="6">
        <f>$J$3+[22]FormattedData!E14*$J$4+$M$4*$J$5+[22]FormattedData!E14^2*$J$6+$M$5*$J$7</f>
        <v>29.869841643818578</v>
      </c>
      <c r="M17" s="6">
        <f>$J$3+[22]FormattedData!F14*$J$4+$M$4*$J$5+[22]FormattedData!F14^2*$J$6+$M$5*$J$7</f>
        <v>29.187410796177716</v>
      </c>
      <c r="N17" s="6">
        <f>$J$3+[22]FormattedData!G14*$J$4+$M$4*$J$5+[22]FormattedData!G14^2*$J$6+$M$5*$J$7</f>
        <v>29.577624891771503</v>
      </c>
      <c r="O17" s="6">
        <f>$J$3+[22]FormattedData!H14*$J$4+$M$4*$J$5+[22]FormattedData!H14^2*$J$6+$M$5*$J$7</f>
        <v>30.064441469160293</v>
      </c>
      <c r="P17" s="6">
        <f>$J$3+[22]FormattedData!I14*$J$4+$M$4*$J$5+[22]FormattedData!I14^2*$J$6+$M$5*$J$7</f>
        <v>29.869841643818578</v>
      </c>
      <c r="Q17" s="6">
        <f>$J$3+[22]FormattedData!J14*$J$4+$M$4*$J$5+[22]FormattedData!J14^2*$J$6+$M$5*$J$7</f>
        <v>30.161677979024262</v>
      </c>
      <c r="R17" s="6">
        <f>$J$3+[22]FormattedData!K14*$J$4+$M$4*$J$5+[22]FormattedData!K14^2*$J$6+$M$5*$J$7</f>
        <v>29.869841643818578</v>
      </c>
      <c r="S17" s="6">
        <f>$J$3+[22]FormattedData!L14*$J$4+$M$4*$J$5+[22]FormattedData!L14^2*$J$6+$M$5*$J$7</f>
        <v>29.577624891771503</v>
      </c>
      <c r="T17" s="6">
        <f>$J$3+[22]FormattedData!M14*$J$4+$M$4*$J$5+[22]FormattedData!M14^2*$J$6+$M$5*$J$7</f>
        <v>29.577624891771503</v>
      </c>
      <c r="U17" s="6">
        <f>$J$3+[22]FormattedData!N14*$J$4+$M$4*$J$5+[22]FormattedData!N14^2*$J$6+$M$5*$J$7</f>
        <v>29.480134770679957</v>
      </c>
      <c r="V17" s="6">
        <f>$J$3+[22]FormattedData!O14*$J$4+$M$4*$J$5+[22]FormattedData!O14^2*$J$6+$M$5*$J$7</f>
        <v>29.675072744325128</v>
      </c>
      <c r="W17" s="5">
        <f t="shared" si="0"/>
        <v>29.739858338074665</v>
      </c>
      <c r="X17" s="4">
        <f t="shared" si="1"/>
        <v>7.9841278674280036E-2</v>
      </c>
      <c r="Y17" s="3">
        <f t="shared" si="2"/>
        <v>29.187410796177716</v>
      </c>
      <c r="Z17" s="2">
        <f t="shared" si="3"/>
        <v>29.577624891771503</v>
      </c>
      <c r="AA17" s="3">
        <f t="shared" si="4"/>
        <v>29.772457194071855</v>
      </c>
      <c r="AB17" s="2">
        <f t="shared" si="5"/>
        <v>29.894171905553534</v>
      </c>
      <c r="AC17" s="2">
        <f t="shared" si="6"/>
        <v>30.161677979024262</v>
      </c>
      <c r="AD17" s="2">
        <f t="shared" si="7"/>
        <v>-0.36931031827026861</v>
      </c>
      <c r="AE17" s="2">
        <f t="shared" si="8"/>
        <v>-9.9647684364494005E-2</v>
      </c>
    </row>
    <row r="18" spans="2:31" x14ac:dyDescent="0.2">
      <c r="B18" s="1">
        <f>[22]FormattedData!A30</f>
        <v>201</v>
      </c>
      <c r="C18" s="1" t="str">
        <f>VLOOKUP($B18,[22]TrtCodes!$B$11:I73,2)</f>
        <v>NDL</v>
      </c>
      <c r="D18" s="1">
        <f>VLOOKUP($B18,[22]TrtCodes!$B$11:J73,3)</f>
        <v>12</v>
      </c>
      <c r="E18" s="1">
        <f>VLOOKUP($B18,[22]TrtCodes!$B$11:K73,4)</f>
        <v>2</v>
      </c>
      <c r="F18" s="1">
        <f>VLOOKUP($B18,[22]TrtCodes!$B$11:L73,5)</f>
        <v>3</v>
      </c>
      <c r="G18" s="1">
        <f>VLOOKUP($B18,[22]TrtCodes!$B$11:M73,6)</f>
        <v>1</v>
      </c>
      <c r="H18" s="1">
        <f>VLOOKUP($B18,[22]TrtCodes!$B$11:N73,7)</f>
        <v>1</v>
      </c>
      <c r="I18" s="1">
        <f>[22]FormattedData!B30</f>
        <v>1</v>
      </c>
      <c r="J18" s="4">
        <f>[22]FormattedData!C30</f>
        <v>13.204000000000001</v>
      </c>
      <c r="K18" s="6">
        <f>$J$3+[22]FormattedData!D30*$J$4+$M$4*$J$5+[22]FormattedData!D30^2*$J$6+$M$5*$J$7</f>
        <v>28.992050137153232</v>
      </c>
      <c r="L18" s="6">
        <f>$J$3+[22]FormattedData!E30*$J$4+$M$4*$J$5+[22]FormattedData!E30^2*$J$6+$M$5*$J$7</f>
        <v>29.480134770679957</v>
      </c>
      <c r="M18" s="6">
        <f>$J$3+[22]FormattedData!F30*$J$4+$M$4*$J$5+[22]FormattedData!F30^2*$J$6+$M$5*$J$7</f>
        <v>29.772478328340814</v>
      </c>
      <c r="N18" s="6">
        <f>$J$3+[22]FormattedData!G30*$J$4+$M$4*$J$5+[22]FormattedData!G30^2*$J$6+$M$5*$J$7</f>
        <v>28.404953715169434</v>
      </c>
      <c r="O18" s="6">
        <f>$J$3+[22]FormattedData!H30*$J$4+$M$4*$J$5+[22]FormattedData!H30^2*$J$6+$M$5*$J$7</f>
        <v>29.187410796177716</v>
      </c>
      <c r="P18" s="6">
        <f>$J$3+[22]FormattedData!I30*$J$4+$M$4*$J$5+[22]FormattedData!I30^2*$J$6+$M$5*$J$7</f>
        <v>28.992050137153232</v>
      </c>
      <c r="Q18" s="6">
        <f>$J$3+[22]FormattedData!J30*$J$4+$M$4*$J$5+[22]FormattedData!J30^2*$J$6+$M$5*$J$7</f>
        <v>29.187410796177716</v>
      </c>
      <c r="R18" s="6">
        <f>$J$3+[22]FormattedData!K30*$J$4+$M$4*$J$5+[22]FormattedData!K30^2*$J$6+$M$5*$J$7</f>
        <v>28.992050137153232</v>
      </c>
      <c r="S18" s="6">
        <f>$J$3+[22]FormattedData!L30*$J$4+$M$4*$J$5+[22]FormattedData!L30^2*$J$6+$M$5*$J$7</f>
        <v>28.600821596649091</v>
      </c>
      <c r="T18" s="6">
        <f>$J$3+[22]FormattedData!M30*$J$4+$M$4*$J$5+[22]FormattedData!M30^2*$J$6+$M$5*$J$7</f>
        <v>28.698692134582021</v>
      </c>
      <c r="U18" s="6">
        <f>$J$3+[22]FormattedData!N30*$J$4+$M$4*$J$5+[22]FormattedData!N30^2*$J$6+$M$5*$J$7</f>
        <v>28.698692134582021</v>
      </c>
      <c r="V18" s="6">
        <f>$J$3+[22]FormattedData!O30*$J$4+$M$4*$J$5+[22]FormattedData!O30^2*$J$6+$M$5*$J$7</f>
        <v>28.600821596649091</v>
      </c>
      <c r="W18" s="5">
        <f t="shared" si="0"/>
        <v>28.967297190038963</v>
      </c>
      <c r="X18" s="4">
        <f t="shared" si="1"/>
        <v>0.11478548604420628</v>
      </c>
      <c r="Y18" s="3">
        <f t="shared" si="2"/>
        <v>28.404953715169434</v>
      </c>
      <c r="Z18" s="2">
        <f t="shared" si="3"/>
        <v>28.674224500098788</v>
      </c>
      <c r="AA18" s="3">
        <f t="shared" si="4"/>
        <v>28.992050137153232</v>
      </c>
      <c r="AB18" s="2">
        <f t="shared" si="5"/>
        <v>29.187410796177716</v>
      </c>
      <c r="AC18" s="2">
        <f t="shared" si="6"/>
        <v>29.772478328340814</v>
      </c>
      <c r="AD18" s="2">
        <f t="shared" si="7"/>
        <v>0.63029760152879399</v>
      </c>
      <c r="AE18" s="2">
        <f t="shared" si="8"/>
        <v>5.0942920131946678E-3</v>
      </c>
    </row>
    <row r="19" spans="2:31" x14ac:dyDescent="0.2">
      <c r="B19" s="1">
        <f>[22]FormattedData!A32</f>
        <v>202</v>
      </c>
      <c r="C19" s="1" t="str">
        <f>VLOOKUP($B19,[22]TrtCodes!$B$11:I75,2)</f>
        <v>NTH</v>
      </c>
      <c r="D19" s="1">
        <f>VLOOKUP($B19,[22]TrtCodes!$B$11:J75,3)</f>
        <v>9</v>
      </c>
      <c r="E19" s="1">
        <f>VLOOKUP($B19,[22]TrtCodes!$B$11:K75,4)</f>
        <v>2</v>
      </c>
      <c r="F19" s="1">
        <f>VLOOKUP($B19,[22]TrtCodes!$B$11:L75,5)</f>
        <v>2</v>
      </c>
      <c r="G19" s="1">
        <f>VLOOKUP($B19,[22]TrtCodes!$B$11:M75,6)</f>
        <v>2</v>
      </c>
      <c r="H19" s="1">
        <f>VLOOKUP($B19,[22]TrtCodes!$B$11:N75,7)</f>
        <v>1</v>
      </c>
      <c r="I19" s="1">
        <f>[22]FormattedData!B32</f>
        <v>1</v>
      </c>
      <c r="J19" s="4">
        <f>[22]FormattedData!C32</f>
        <v>13.218999999999999</v>
      </c>
      <c r="K19" s="6">
        <f>$J$3+[22]FormattedData!D32*$J$4+$M$4*$J$5+[22]FormattedData!D32^2*$J$6+$M$5*$J$7</f>
        <v>30.258872220350291</v>
      </c>
      <c r="L19" s="6">
        <f>$J$3+[22]FormattedData!E32*$J$4+$M$4*$J$5+[22]FormattedData!E32^2*$J$6+$M$5*$J$7</f>
        <v>28.208916759538052</v>
      </c>
      <c r="M19" s="6">
        <f>$J$3+[22]FormattedData!F32*$J$4+$M$4*$J$5+[22]FormattedData!F32^2*$J$6+$M$5*$J$7</f>
        <v>30.064441469160293</v>
      </c>
      <c r="N19" s="6">
        <f>$J$3+[22]FormattedData!G32*$J$4+$M$4*$J$5+[22]FormattedData!G32^2*$J$6+$M$5*$J$7</f>
        <v>28.698692134582021</v>
      </c>
      <c r="O19" s="6">
        <f>$J$3+[22]FormattedData!H32*$J$4+$M$4*$J$5+[22]FormattedData!H32^2*$J$6+$M$5*$J$7</f>
        <v>30.258872220350291</v>
      </c>
      <c r="P19" s="6">
        <f>$J$3+[22]FormattedData!I32*$J$4+$M$4*$J$5+[22]FormattedData!I32^2*$J$6+$M$5*$J$7</f>
        <v>28.404953715169434</v>
      </c>
      <c r="Q19" s="6">
        <f>$J$3+[22]FormattedData!J32*$J$4+$M$4*$J$5+[22]FormattedData!J32^2*$J$6+$M$5*$J$7</f>
        <v>30.453133897388568</v>
      </c>
      <c r="R19" s="6">
        <f>$J$3+[22]FormattedData!K32*$J$4+$M$4*$J$5+[22]FormattedData!K32^2*$J$6+$M$5*$J$7</f>
        <v>29.772478328340814</v>
      </c>
      <c r="S19" s="6">
        <f>$J$3+[22]FormattedData!L32*$J$4+$M$4*$J$5+[22]FormattedData!L32^2*$J$6+$M$5*$J$7</f>
        <v>30.938048390570454</v>
      </c>
      <c r="T19" s="6">
        <f>$J$3+[22]FormattedData!M32*$J$4+$M$4*$J$5+[22]FormattedData!M32^2*$J$6+$M$5*$J$7</f>
        <v>28.502908790178228</v>
      </c>
      <c r="U19" s="6">
        <f>$J$3+[22]FormattedData!N32*$J$4+$M$4*$J$5+[22]FormattedData!N32^2*$J$6+$M$5*$J$7</f>
        <v>29.285027722883058</v>
      </c>
      <c r="V19" s="6">
        <f>$J$3+[22]FormattedData!O32*$J$4+$M$4*$J$5+[22]FormattedData!O32^2*$J$6+$M$5*$J$7</f>
        <v>28.208916759538052</v>
      </c>
      <c r="W19" s="5">
        <f t="shared" si="0"/>
        <v>29.421271867337463</v>
      </c>
      <c r="X19" s="4">
        <f t="shared" si="1"/>
        <v>0.2842067531665603</v>
      </c>
      <c r="Y19" s="3">
        <f t="shared" si="2"/>
        <v>28.208916759538052</v>
      </c>
      <c r="Z19" s="2">
        <f t="shared" si="3"/>
        <v>28.478420021426029</v>
      </c>
      <c r="AA19" s="3">
        <f t="shared" si="4"/>
        <v>29.528753025611934</v>
      </c>
      <c r="AB19" s="2">
        <f t="shared" si="5"/>
        <v>30.258872220350291</v>
      </c>
      <c r="AC19" s="2">
        <f t="shared" si="6"/>
        <v>30.938048390570454</v>
      </c>
      <c r="AD19" s="2">
        <f t="shared" si="7"/>
        <v>3.4853378815334728E-2</v>
      </c>
      <c r="AE19" s="2">
        <f t="shared" si="8"/>
        <v>-1.6904229835550963</v>
      </c>
    </row>
    <row r="20" spans="2:31" x14ac:dyDescent="0.2">
      <c r="B20" s="1">
        <f>[22]FormattedData!A34</f>
        <v>203</v>
      </c>
      <c r="C20" s="1" t="str">
        <f>VLOOKUP($B20,[22]TrtCodes!$B$11:I77,2)</f>
        <v>FTH</v>
      </c>
      <c r="D20" s="1">
        <f>VLOOKUP($B20,[22]TrtCodes!$B$11:J77,3)</f>
        <v>3</v>
      </c>
      <c r="E20" s="1">
        <f>VLOOKUP($B20,[22]TrtCodes!$B$11:K77,4)</f>
        <v>1</v>
      </c>
      <c r="F20" s="1">
        <f>VLOOKUP($B20,[22]TrtCodes!$B$11:L77,5)</f>
        <v>2</v>
      </c>
      <c r="G20" s="1">
        <f>VLOOKUP($B20,[22]TrtCodes!$B$11:M77,6)</f>
        <v>2</v>
      </c>
      <c r="H20" s="1">
        <f>VLOOKUP($B20,[22]TrtCodes!$B$11:N77,7)</f>
        <v>1</v>
      </c>
      <c r="I20" s="1">
        <f>[22]FormattedData!B34</f>
        <v>1</v>
      </c>
      <c r="J20" s="4">
        <f>[22]FormattedData!C34</f>
        <v>13.234999999999999</v>
      </c>
      <c r="K20" s="6">
        <f>$J$3+[22]FormattedData!D34*$J$4+$M$4*$J$5+[22]FormattedData!D34^2*$J$6+$M$5*$J$7</f>
        <v>29.9671626907584</v>
      </c>
      <c r="L20" s="6">
        <f>$J$3+[22]FormattedData!E34*$J$4+$M$4*$J$5+[22]FormattedData!E34^2*$J$6+$M$5*$J$7</f>
        <v>29.285027722883058</v>
      </c>
      <c r="M20" s="6">
        <f>$J$3+[22]FormattedData!F34*$J$4+$M$4*$J$5+[22]FormattedData!F34^2*$J$6+$M$5*$J$7</f>
        <v>29.675072744325128</v>
      </c>
      <c r="N20" s="6">
        <f>$J$3+[22]FormattedData!G34*$J$4+$M$4*$J$5+[22]FormattedData!G34^2*$J$6+$M$5*$J$7</f>
        <v>28.208916759538052</v>
      </c>
      <c r="O20" s="6">
        <f>$J$3+[22]FormattedData!H34*$J$4+$M$4*$J$5+[22]FormattedData!H34^2*$J$6+$M$5*$J$7</f>
        <v>28.894306404834094</v>
      </c>
      <c r="P20" s="6">
        <f>$J$3+[22]FormattedData!I34*$J$4+$M$4*$J$5+[22]FormattedData!I34^2*$J$6+$M$5*$J$7</f>
        <v>28.992050137153232</v>
      </c>
      <c r="Q20" s="6">
        <f>$J$3+[22]FormattedData!J34*$J$4+$M$4*$J$5+[22]FormattedData!J34^2*$J$6+$M$5*$J$7</f>
        <v>29.577624891771503</v>
      </c>
      <c r="R20" s="6">
        <f>$J$3+[22]FormattedData!K34*$J$4+$M$4*$J$5+[22]FormattedData!K34^2*$J$6+$M$5*$J$7</f>
        <v>29.382602381050472</v>
      </c>
      <c r="S20" s="6">
        <f>$J$3+[22]FormattedData!L34*$J$4+$M$4*$J$5+[22]FormattedData!L34^2*$J$6+$M$5*$J$7</f>
        <v>28.208916759538052</v>
      </c>
      <c r="T20" s="6">
        <f>$J$3+[22]FormattedData!M34*$J$4+$M$4*$J$5+[22]FormattedData!M34^2*$J$6+$M$5*$J$7</f>
        <v>29.187410796177716</v>
      </c>
      <c r="U20" s="6">
        <f>$J$3+[22]FormattedData!N34*$J$4+$M$4*$J$5+[22]FormattedData!N34^2*$J$6+$M$5*$J$7</f>
        <v>28.698692134582021</v>
      </c>
      <c r="V20" s="6">
        <f>$J$3+[22]FormattedData!O34*$J$4+$M$4*$J$5+[22]FormattedData!O34^2*$J$6+$M$5*$J$7</f>
        <v>28.600821596649091</v>
      </c>
      <c r="W20" s="5">
        <f t="shared" si="0"/>
        <v>29.056550418271737</v>
      </c>
      <c r="X20" s="4">
        <f t="shared" si="1"/>
        <v>0.16195163279751326</v>
      </c>
      <c r="Y20" s="3">
        <f t="shared" si="2"/>
        <v>28.208916759538052</v>
      </c>
      <c r="Z20" s="2">
        <f t="shared" si="3"/>
        <v>28.674224500098788</v>
      </c>
      <c r="AA20" s="3">
        <f t="shared" si="4"/>
        <v>29.089730466665472</v>
      </c>
      <c r="AB20" s="2">
        <f t="shared" si="5"/>
        <v>29.431358008730729</v>
      </c>
      <c r="AC20" s="2">
        <f t="shared" si="6"/>
        <v>29.9671626907584</v>
      </c>
      <c r="AD20" s="2">
        <f t="shared" si="7"/>
        <v>-0.11182795844447259</v>
      </c>
      <c r="AE20" s="2">
        <f t="shared" si="8"/>
        <v>-0.82860309247668029</v>
      </c>
    </row>
    <row r="21" spans="2:31" x14ac:dyDescent="0.2">
      <c r="B21" s="1">
        <f>[22]FormattedData!A36</f>
        <v>204</v>
      </c>
      <c r="C21" s="1" t="str">
        <f>VLOOKUP($B21,[22]TrtCodes!$B$11:I79,2)</f>
        <v>NDH</v>
      </c>
      <c r="D21" s="1">
        <f>VLOOKUP($B21,[22]TrtCodes!$B$11:J79,3)</f>
        <v>11</v>
      </c>
      <c r="E21" s="1">
        <f>VLOOKUP($B21,[22]TrtCodes!$B$11:K79,4)</f>
        <v>2</v>
      </c>
      <c r="F21" s="1">
        <f>VLOOKUP($B21,[22]TrtCodes!$B$11:L79,5)</f>
        <v>3</v>
      </c>
      <c r="G21" s="1">
        <f>VLOOKUP($B21,[22]TrtCodes!$B$11:M79,6)</f>
        <v>2</v>
      </c>
      <c r="H21" s="1">
        <f>VLOOKUP($B21,[22]TrtCodes!$B$11:N79,7)</f>
        <v>1</v>
      </c>
      <c r="I21" s="1">
        <f>[22]FormattedData!B36</f>
        <v>1</v>
      </c>
      <c r="J21" s="4">
        <f>[22]FormattedData!C36</f>
        <v>13.250999999999999</v>
      </c>
      <c r="K21" s="6">
        <f>$J$3+[22]FormattedData!D36*$J$4+$M$4*$J$5+[22]FormattedData!D36^2*$J$6+$M$5*$J$7</f>
        <v>28.110834878915465</v>
      </c>
      <c r="L21" s="6">
        <f>$J$3+[22]FormattedData!E36*$J$4+$M$4*$J$5+[22]FormattedData!E36^2*$J$6+$M$5*$J$7</f>
        <v>28.404953715169434</v>
      </c>
      <c r="M21" s="6">
        <f>$J$3+[22]FormattedData!F36*$J$4+$M$4*$J$5+[22]FormattedData!F36^2*$J$6+$M$5*$J$7</f>
        <v>28.404953715169434</v>
      </c>
      <c r="N21" s="6">
        <f>$J$3+[22]FormattedData!G36*$J$4+$M$4*$J$5+[22]FormattedData!G36^2*$J$6+$M$5*$J$7</f>
        <v>28.306956371622707</v>
      </c>
      <c r="O21" s="6">
        <f>$J$3+[22]FormattedData!H36*$J$4+$M$4*$J$5+[22]FormattedData!H36^2*$J$6+$M$5*$J$7</f>
        <v>28.698692134582021</v>
      </c>
      <c r="P21" s="6">
        <f>$J$3+[22]FormattedData!I36*$J$4+$M$4*$J$5+[22]FormattedData!I36^2*$J$6+$M$5*$J$7</f>
        <v>28.110834878915465</v>
      </c>
      <c r="Q21" s="6">
        <f>$J$3+[22]FormattedData!J36*$J$4+$M$4*$J$5+[22]FormattedData!J36^2*$J$6+$M$5*$J$7</f>
        <v>28.01271072975495</v>
      </c>
      <c r="R21" s="6">
        <f>$J$3+[22]FormattedData!K36*$J$4+$M$4*$J$5+[22]FormattedData!K36^2*$J$6+$M$5*$J$7</f>
        <v>27.914544312056499</v>
      </c>
      <c r="S21" s="6">
        <f>$J$3+[22]FormattedData!L36*$J$4+$M$4*$J$5+[22]FormattedData!L36^2*$J$6+$M$5*$J$7</f>
        <v>27.816335625820116</v>
      </c>
      <c r="T21" s="6">
        <f>$J$3+[22]FormattedData!M36*$J$4+$M$4*$J$5+[22]FormattedData!M36^2*$J$6+$M$5*$J$7</f>
        <v>27.816335625820116</v>
      </c>
      <c r="U21" s="6">
        <f>$J$3+[22]FormattedData!N36*$J$4+$M$4*$J$5+[22]FormattedData!N36^2*$J$6+$M$5*$J$7</f>
        <v>27.914544312056499</v>
      </c>
      <c r="V21" s="6">
        <f>$J$3+[22]FormattedData!O36*$J$4+$M$4*$J$5+[22]FormattedData!O36^2*$J$6+$M$5*$J$7</f>
        <v>27.914544312056499</v>
      </c>
      <c r="W21" s="5">
        <f t="shared" si="0"/>
        <v>28.118853384328261</v>
      </c>
      <c r="X21" s="4">
        <f t="shared" si="1"/>
        <v>8.0479526108093766E-2</v>
      </c>
      <c r="Y21" s="3">
        <f t="shared" si="2"/>
        <v>27.816335625820116</v>
      </c>
      <c r="Z21" s="2">
        <f t="shared" si="3"/>
        <v>27.914544312056499</v>
      </c>
      <c r="AA21" s="3">
        <f t="shared" si="4"/>
        <v>28.061772804335206</v>
      </c>
      <c r="AB21" s="2">
        <f t="shared" si="5"/>
        <v>28.331455707509388</v>
      </c>
      <c r="AC21" s="2">
        <f t="shared" si="6"/>
        <v>28.698692134582021</v>
      </c>
      <c r="AD21" s="2">
        <f t="shared" si="7"/>
        <v>0.8371881738004251</v>
      </c>
      <c r="AE21" s="2">
        <f t="shared" si="8"/>
        <v>-0.12595605800638721</v>
      </c>
    </row>
    <row r="22" spans="2:31" x14ac:dyDescent="0.2">
      <c r="B22" s="1">
        <f>[22]FormattedData!A38</f>
        <v>205</v>
      </c>
      <c r="C22" s="1" t="str">
        <f>VLOOKUP($B22,[22]TrtCodes!$B$11:I81,2)</f>
        <v>FSH</v>
      </c>
      <c r="D22" s="1">
        <f>VLOOKUP($B22,[22]TrtCodes!$B$11:J81,3)</f>
        <v>1</v>
      </c>
      <c r="E22" s="1">
        <f>VLOOKUP($B22,[22]TrtCodes!$B$11:K81,4)</f>
        <v>1</v>
      </c>
      <c r="F22" s="1">
        <f>VLOOKUP($B22,[22]TrtCodes!$B$11:L81,5)</f>
        <v>1</v>
      </c>
      <c r="G22" s="1">
        <f>VLOOKUP($B22,[22]TrtCodes!$B$11:M81,6)</f>
        <v>2</v>
      </c>
      <c r="H22" s="1">
        <f>VLOOKUP($B22,[22]TrtCodes!$B$11:N81,7)</f>
        <v>2</v>
      </c>
      <c r="I22" s="1">
        <f>[22]FormattedData!B38</f>
        <v>1</v>
      </c>
      <c r="J22" s="4">
        <f>[22]FormattedData!C38</f>
        <v>13.268000000000001</v>
      </c>
      <c r="K22" s="6">
        <f>$J$3+[22]FormattedData!D38*$J$4+$M$4*$J$5+[22]FormattedData!D38^2*$J$6+$M$5*$J$7</f>
        <v>29.577624891771503</v>
      </c>
      <c r="L22" s="6">
        <f>$J$3+[22]FormattedData!E38*$J$4+$M$4*$J$5+[22]FormattedData!E38^2*$J$6+$M$5*$J$7</f>
        <v>29.285027722883058</v>
      </c>
      <c r="M22" s="6">
        <f>$J$3+[22]FormattedData!F38*$J$4+$M$4*$J$5+[22]FormattedData!F38^2*$J$6+$M$5*$J$7</f>
        <v>28.698692134582021</v>
      </c>
      <c r="N22" s="6">
        <f>$J$3+[22]FormattedData!G38*$J$4+$M$4*$J$5+[22]FormattedData!G38^2*$J$6+$M$5*$J$7</f>
        <v>29.089751600934438</v>
      </c>
      <c r="O22" s="6">
        <f>$J$3+[22]FormattedData!H38*$J$4+$M$4*$J$5+[22]FormattedData!H38^2*$J$6+$M$5*$J$7</f>
        <v>29.187410796177716</v>
      </c>
      <c r="P22" s="6">
        <f>$J$3+[22]FormattedData!I38*$J$4+$M$4*$J$5+[22]FormattedData!I38^2*$J$6+$M$5*$J$7</f>
        <v>29.089751600934438</v>
      </c>
      <c r="Q22" s="6">
        <f>$J$3+[22]FormattedData!J38*$J$4+$M$4*$J$5+[22]FormattedData!J38^2*$J$6+$M$5*$J$7</f>
        <v>28.894306404834094</v>
      </c>
      <c r="R22" s="6">
        <f>$J$3+[22]FormattedData!K38*$J$4+$M$4*$J$5+[22]FormattedData!K38^2*$J$6+$M$5*$J$7</f>
        <v>29.577624891771503</v>
      </c>
      <c r="S22" s="6">
        <f>$J$3+[22]FormattedData!L38*$J$4+$M$4*$J$5+[22]FormattedData!L38^2*$J$6+$M$5*$J$7</f>
        <v>29.285027722883058</v>
      </c>
      <c r="T22" s="6">
        <f>$J$3+[22]FormattedData!M38*$J$4+$M$4*$J$5+[22]FormattedData!M38^2*$J$6+$M$5*$J$7</f>
        <v>28.404953715169434</v>
      </c>
      <c r="U22" s="6">
        <f>$J$3+[22]FormattedData!N38*$J$4+$M$4*$J$5+[22]FormattedData!N38^2*$J$6+$M$5*$J$7</f>
        <v>28.502908790178228</v>
      </c>
      <c r="V22" s="6">
        <f>$J$3+[22]FormattedData!O38*$J$4+$M$4*$J$5+[22]FormattedData!O38^2*$J$6+$M$5*$J$7</f>
        <v>28.502908790178228</v>
      </c>
      <c r="W22" s="5">
        <f t="shared" si="0"/>
        <v>29.007999088524812</v>
      </c>
      <c r="X22" s="4">
        <f t="shared" si="1"/>
        <v>0.1177595555778661</v>
      </c>
      <c r="Y22" s="3">
        <f t="shared" si="2"/>
        <v>28.404953715169434</v>
      </c>
      <c r="Z22" s="2">
        <f t="shared" si="3"/>
        <v>28.649746298481073</v>
      </c>
      <c r="AA22" s="3">
        <f t="shared" si="4"/>
        <v>29.089751600934438</v>
      </c>
      <c r="AB22" s="2">
        <f t="shared" si="5"/>
        <v>29.285027722883058</v>
      </c>
      <c r="AC22" s="2">
        <f t="shared" si="6"/>
        <v>29.577624891771503</v>
      </c>
      <c r="AD22" s="2">
        <f t="shared" si="7"/>
        <v>-0.14308258785068831</v>
      </c>
      <c r="AE22" s="2">
        <f t="shared" si="8"/>
        <v>-1.2153879363264033</v>
      </c>
    </row>
    <row r="23" spans="2:31" x14ac:dyDescent="0.2">
      <c r="B23" s="1">
        <f>[22]FormattedData!A40</f>
        <v>206</v>
      </c>
      <c r="C23" s="1" t="str">
        <f>VLOOKUP($B23,[22]TrtCodes!$B$11:I83,2)</f>
        <v>NSL</v>
      </c>
      <c r="D23" s="1">
        <f>VLOOKUP($B23,[22]TrtCodes!$B$11:J83,3)</f>
        <v>8</v>
      </c>
      <c r="E23" s="1">
        <f>VLOOKUP($B23,[22]TrtCodes!$B$11:K83,4)</f>
        <v>2</v>
      </c>
      <c r="F23" s="1">
        <f>VLOOKUP($B23,[22]TrtCodes!$B$11:L83,5)</f>
        <v>1</v>
      </c>
      <c r="G23" s="1">
        <f>VLOOKUP($B23,[22]TrtCodes!$B$11:M83,6)</f>
        <v>1</v>
      </c>
      <c r="H23" s="1">
        <f>VLOOKUP($B23,[22]TrtCodes!$B$11:N83,7)</f>
        <v>2</v>
      </c>
      <c r="I23" s="1">
        <f>[22]FormattedData!B40</f>
        <v>1</v>
      </c>
      <c r="J23" s="4">
        <f>[22]FormattedData!C40</f>
        <v>13.282999999999999</v>
      </c>
      <c r="K23" s="6">
        <f>$J$3+[22]FormattedData!D40*$J$4+$M$4*$J$5+[22]FormattedData!D40^2*$J$6+$M$5*$J$7</f>
        <v>29.285027722883058</v>
      </c>
      <c r="L23" s="6">
        <f>$J$3+[22]FormattedData!E40*$J$4+$M$4*$J$5+[22]FormattedData!E40^2*$J$6+$M$5*$J$7</f>
        <v>30.550201333100805</v>
      </c>
      <c r="M23" s="6">
        <f>$J$3+[22]FormattedData!F40*$J$4+$M$4*$J$5+[22]FormattedData!F40^2*$J$6+$M$5*$J$7</f>
        <v>29.772478328340814</v>
      </c>
      <c r="N23" s="6">
        <f>$J$3+[22]FormattedData!G40*$J$4+$M$4*$J$5+[22]FormattedData!G40^2*$J$6+$M$5*$J$7</f>
        <v>31.615153402431993</v>
      </c>
      <c r="O23" s="6">
        <f>$J$3+[22]FormattedData!H40*$J$4+$M$4*$J$5+[22]FormattedData!H40^2*$J$6+$M$5*$J$7</f>
        <v>30.258872220350291</v>
      </c>
      <c r="P23" s="6">
        <f>$J$3+[22]FormattedData!I40*$J$4+$M$4*$J$5+[22]FormattedData!I40^2*$J$6+$M$5*$J$7</f>
        <v>30.938048390570454</v>
      </c>
      <c r="Q23" s="6">
        <f>$J$3+[22]FormattedData!J40*$J$4+$M$4*$J$5+[22]FormattedData!J40^2*$J$6+$M$5*$J$7</f>
        <v>29.285027722883058</v>
      </c>
      <c r="R23" s="6">
        <f>$J$3+[22]FormattedData!K40*$J$4+$M$4*$J$5+[22]FormattedData!K40^2*$J$6+$M$5*$J$7</f>
        <v>29.772478328340814</v>
      </c>
      <c r="S23" s="6">
        <f>$J$3+[22]FormattedData!L40*$J$4+$M$4*$J$5+[22]FormattedData!L40^2*$J$6+$M$5*$J$7</f>
        <v>29.772478328340814</v>
      </c>
      <c r="T23" s="6">
        <f>$J$3+[22]FormattedData!M40*$J$4+$M$4*$J$5+[22]FormattedData!M40^2*$J$6+$M$5*$J$7</f>
        <v>29.480134770679957</v>
      </c>
      <c r="U23" s="6">
        <f>$J$3+[22]FormattedData!N40*$J$4+$M$4*$J$5+[22]FormattedData!N40^2*$J$6+$M$5*$J$7</f>
        <v>30.258872220350291</v>
      </c>
      <c r="V23" s="6">
        <f>$J$3+[22]FormattedData!O40*$J$4+$M$4*$J$5+[22]FormattedData!O40^2*$J$6+$M$5*$J$7</f>
        <v>29.480134770679957</v>
      </c>
      <c r="W23" s="5">
        <f t="shared" si="0"/>
        <v>30.039075628246025</v>
      </c>
      <c r="X23" s="4">
        <f t="shared" si="1"/>
        <v>0.20643570354729854</v>
      </c>
      <c r="Y23" s="3">
        <f t="shared" si="2"/>
        <v>29.285027722883058</v>
      </c>
      <c r="Z23" s="2">
        <f t="shared" si="3"/>
        <v>29.480134770679957</v>
      </c>
      <c r="AA23" s="3">
        <f t="shared" si="4"/>
        <v>29.772478328340814</v>
      </c>
      <c r="AB23" s="2">
        <f t="shared" si="5"/>
        <v>30.331704498537921</v>
      </c>
      <c r="AC23" s="2">
        <f t="shared" si="6"/>
        <v>31.615153402431993</v>
      </c>
      <c r="AD23" s="2">
        <f t="shared" si="7"/>
        <v>1.0538300033625101</v>
      </c>
      <c r="AE23" s="2">
        <f t="shared" si="8"/>
        <v>0.63838077052321296</v>
      </c>
    </row>
    <row r="24" spans="2:31" x14ac:dyDescent="0.2">
      <c r="B24" s="1">
        <f>[22]FormattedData!A42</f>
        <v>207</v>
      </c>
      <c r="C24" s="1" t="str">
        <f>VLOOKUP($B24,[22]TrtCodes!$B$11:I85,2)</f>
        <v>FTL</v>
      </c>
      <c r="D24" s="1">
        <f>VLOOKUP($B24,[22]TrtCodes!$B$11:J85,3)</f>
        <v>4</v>
      </c>
      <c r="E24" s="1">
        <f>VLOOKUP($B24,[22]TrtCodes!$B$11:K85,4)</f>
        <v>1</v>
      </c>
      <c r="F24" s="1">
        <f>VLOOKUP($B24,[22]TrtCodes!$B$11:L85,5)</f>
        <v>2</v>
      </c>
      <c r="G24" s="1">
        <f>VLOOKUP($B24,[22]TrtCodes!$B$11:M85,6)</f>
        <v>1</v>
      </c>
      <c r="H24" s="1">
        <f>VLOOKUP($B24,[22]TrtCodes!$B$11:N85,7)</f>
        <v>2</v>
      </c>
      <c r="I24" s="1">
        <f>[22]FormattedData!B42</f>
        <v>1</v>
      </c>
      <c r="J24" s="4">
        <f>[22]FormattedData!C42</f>
        <v>13.302</v>
      </c>
      <c r="K24" s="6">
        <f>$J$3+[22]FormattedData!D42*$J$4+$M$4*$J$5+[22]FormattedData!D42^2*$J$6+$M$5*$J$7</f>
        <v>30.064441469160293</v>
      </c>
      <c r="L24" s="6">
        <f>$J$3+[22]FormattedData!E42*$J$4+$M$4*$J$5+[22]FormattedData!E42^2*$J$6+$M$5*$J$7</f>
        <v>29.382602381050472</v>
      </c>
      <c r="M24" s="6">
        <f>$J$3+[22]FormattedData!F42*$J$4+$M$4*$J$5+[22]FormattedData!F42^2*$J$6+$M$5*$J$7</f>
        <v>29.9671626907584</v>
      </c>
      <c r="N24" s="6">
        <f>$J$3+[22]FormattedData!G42*$J$4+$M$4*$J$5+[22]FormattedData!G42^2*$J$6+$M$5*$J$7</f>
        <v>29.480134770679957</v>
      </c>
      <c r="O24" s="6">
        <f>$J$3+[22]FormattedData!H42*$J$4+$M$4*$J$5+[22]FormattedData!H42^2*$J$6+$M$5*$J$7</f>
        <v>29.869841643818578</v>
      </c>
      <c r="P24" s="6">
        <f>$J$3+[22]FormattedData!I42*$J$4+$M$4*$J$5+[22]FormattedData!I42^2*$J$6+$M$5*$J$7</f>
        <v>29.285027722883058</v>
      </c>
      <c r="Q24" s="6">
        <f>$J$3+[22]FormattedData!J42*$J$4+$M$4*$J$5+[22]FormattedData!J42^2*$J$6+$M$5*$J$7</f>
        <v>29.869841643818578</v>
      </c>
      <c r="R24" s="6">
        <f>$J$3+[22]FormattedData!K42*$J$4+$M$4*$J$5+[22]FormattedData!K42^2*$J$6+$M$5*$J$7</f>
        <v>29.772478328340814</v>
      </c>
      <c r="S24" s="6">
        <f>$J$3+[22]FormattedData!L42*$J$4+$M$4*$J$5+[22]FormattedData!L42^2*$J$6+$M$5*$J$7</f>
        <v>29.382602381050472</v>
      </c>
      <c r="T24" s="6">
        <f>$J$3+[22]FormattedData!M42*$J$4+$M$4*$J$5+[22]FormattedData!M42^2*$J$6+$M$5*$J$7</f>
        <v>29.382602381050472</v>
      </c>
      <c r="U24" s="6">
        <f>$J$3+[22]FormattedData!N42*$J$4+$M$4*$J$5+[22]FormattedData!N42^2*$J$6+$M$5*$J$7</f>
        <v>28.796520403977024</v>
      </c>
      <c r="V24" s="6">
        <f>$J$3+[22]FormattedData!O42*$J$4+$M$4*$J$5+[22]FormattedData!O42^2*$J$6+$M$5*$J$7</f>
        <v>28.600821596649091</v>
      </c>
      <c r="W24" s="5">
        <f t="shared" si="0"/>
        <v>29.487839784436432</v>
      </c>
      <c r="X24" s="4">
        <f t="shared" si="1"/>
        <v>0.13125935687274248</v>
      </c>
      <c r="Y24" s="3">
        <f t="shared" si="2"/>
        <v>28.600821596649091</v>
      </c>
      <c r="Z24" s="2">
        <f t="shared" si="3"/>
        <v>29.358208716508617</v>
      </c>
      <c r="AA24" s="3">
        <f t="shared" si="4"/>
        <v>29.431368575865214</v>
      </c>
      <c r="AB24" s="2">
        <f t="shared" si="5"/>
        <v>29.869841643818578</v>
      </c>
      <c r="AC24" s="2">
        <f t="shared" si="6"/>
        <v>30.064441469160293</v>
      </c>
      <c r="AD24" s="2">
        <f t="shared" si="7"/>
        <v>-0.70064099764795973</v>
      </c>
      <c r="AE24" s="2">
        <f t="shared" si="8"/>
        <v>-0.118346962269122</v>
      </c>
    </row>
    <row r="25" spans="2:31" x14ac:dyDescent="0.2">
      <c r="B25" s="1">
        <f>[22]FormattedData!A44</f>
        <v>208</v>
      </c>
      <c r="C25" s="1" t="str">
        <f>VLOOKUP($B25,[22]TrtCodes!$B$11:I87,2)</f>
        <v>FSL</v>
      </c>
      <c r="D25" s="1">
        <f>VLOOKUP($B25,[22]TrtCodes!$B$11:J87,3)</f>
        <v>2</v>
      </c>
      <c r="E25" s="1">
        <f>VLOOKUP($B25,[22]TrtCodes!$B$11:K87,4)</f>
        <v>1</v>
      </c>
      <c r="F25" s="1">
        <f>VLOOKUP($B25,[22]TrtCodes!$B$11:L87,5)</f>
        <v>1</v>
      </c>
      <c r="G25" s="1">
        <f>VLOOKUP($B25,[22]TrtCodes!$B$11:M87,6)</f>
        <v>1</v>
      </c>
      <c r="H25" s="1">
        <f>VLOOKUP($B25,[22]TrtCodes!$B$11:N87,7)</f>
        <v>2</v>
      </c>
      <c r="I25" s="1">
        <f>[22]FormattedData!B44</f>
        <v>1</v>
      </c>
      <c r="J25" s="4">
        <f>[22]FormattedData!C44</f>
        <v>13.319000000000001</v>
      </c>
      <c r="K25" s="6">
        <f>$J$3+[22]FormattedData!D44*$J$4+$M$4*$J$5+[22]FormattedData!D44^2*$J$6+$M$5*$J$7</f>
        <v>30.064441469160293</v>
      </c>
      <c r="L25" s="6">
        <f>$J$3+[22]FormattedData!E44*$J$4+$M$4*$J$5+[22]FormattedData!E44^2*$J$6+$M$5*$J$7</f>
        <v>29.382602381050472</v>
      </c>
      <c r="M25" s="6">
        <f>$J$3+[22]FormattedData!F44*$J$4+$M$4*$J$5+[22]FormattedData!F44^2*$J$6+$M$5*$J$7</f>
        <v>29.577624891771503</v>
      </c>
      <c r="N25" s="6">
        <f>$J$3+[22]FormattedData!G44*$J$4+$M$4*$J$5+[22]FormattedData!G44^2*$J$6+$M$5*$J$7</f>
        <v>30.550201333100805</v>
      </c>
      <c r="O25" s="6">
        <f>$J$3+[22]FormattedData!H44*$J$4+$M$4*$J$5+[22]FormattedData!H44^2*$J$6+$M$5*$J$7</f>
        <v>30.064441469160293</v>
      </c>
      <c r="P25" s="6">
        <f>$J$3+[22]FormattedData!I44*$J$4+$M$4*$J$5+[22]FormattedData!I44^2*$J$6+$M$5*$J$7</f>
        <v>30.550201333100805</v>
      </c>
      <c r="Q25" s="6">
        <f>$J$3+[22]FormattedData!J44*$J$4+$M$4*$J$5+[22]FormattedData!J44^2*$J$6+$M$5*$J$7</f>
        <v>29.772478328340814</v>
      </c>
      <c r="R25" s="6">
        <f>$J$3+[22]FormattedData!K44*$J$4+$M$4*$J$5+[22]FormattedData!K44^2*$J$6+$M$5*$J$7</f>
        <v>30.356024193138399</v>
      </c>
      <c r="S25" s="6">
        <f>$J$3+[22]FormattedData!L44*$J$4+$M$4*$J$5+[22]FormattedData!L44^2*$J$6+$M$5*$J$7</f>
        <v>30.356024193138399</v>
      </c>
      <c r="T25" s="6">
        <f>$J$3+[22]FormattedData!M44*$J$4+$M$4*$J$5+[22]FormattedData!M44^2*$J$6+$M$5*$J$7</f>
        <v>31.034904483593035</v>
      </c>
      <c r="U25" s="6">
        <f>$J$3+[22]FormattedData!N44*$J$4+$M$4*$J$5+[22]FormattedData!N44^2*$J$6+$M$5*$J$7</f>
        <v>29.577624891771503</v>
      </c>
      <c r="V25" s="6">
        <f>$J$3+[22]FormattedData!O44*$J$4+$M$4*$J$5+[22]FormattedData!O44^2*$J$6+$M$5*$J$7</f>
        <v>29.772478328340814</v>
      </c>
      <c r="W25" s="5">
        <f t="shared" si="0"/>
        <v>30.088253941305595</v>
      </c>
      <c r="X25" s="4">
        <f t="shared" si="1"/>
        <v>0.14265689317304472</v>
      </c>
      <c r="Y25" s="3">
        <f t="shared" si="2"/>
        <v>29.382602381050472</v>
      </c>
      <c r="Z25" s="2">
        <f t="shared" si="3"/>
        <v>29.723764969198484</v>
      </c>
      <c r="AA25" s="3">
        <f t="shared" si="4"/>
        <v>30.064441469160293</v>
      </c>
      <c r="AB25" s="2">
        <f t="shared" si="5"/>
        <v>30.404568478129001</v>
      </c>
      <c r="AC25" s="2">
        <f t="shared" si="6"/>
        <v>31.034904483593035</v>
      </c>
      <c r="AD25" s="2">
        <f t="shared" si="7"/>
        <v>0.36449499358585435</v>
      </c>
      <c r="AE25" s="2">
        <f t="shared" si="8"/>
        <v>-0.57676715467686179</v>
      </c>
    </row>
    <row r="26" spans="2:31" x14ac:dyDescent="0.2">
      <c r="B26" s="1">
        <f>[22]FormattedData!A62</f>
        <v>301</v>
      </c>
      <c r="C26" s="1" t="str">
        <f>VLOOKUP($B26,[22]TrtCodes!$B$11:I105,2)</f>
        <v>NTL</v>
      </c>
      <c r="D26" s="1">
        <f>VLOOKUP($B26,[22]TrtCodes!$B$11:J105,3)</f>
        <v>10</v>
      </c>
      <c r="E26" s="1">
        <f>VLOOKUP($B26,[22]TrtCodes!$B$11:K105,4)</f>
        <v>2</v>
      </c>
      <c r="F26" s="1">
        <f>VLOOKUP($B26,[22]TrtCodes!$B$11:L105,5)</f>
        <v>2</v>
      </c>
      <c r="G26" s="1">
        <f>VLOOKUP($B26,[22]TrtCodes!$B$11:M105,6)</f>
        <v>1</v>
      </c>
      <c r="H26" s="1">
        <f>VLOOKUP($B26,[22]TrtCodes!$B$11:N105,7)</f>
        <v>3</v>
      </c>
      <c r="I26" s="1">
        <f>[22]FormattedData!B62</f>
        <v>1</v>
      </c>
      <c r="J26" s="4">
        <f>[22]FormattedData!C62</f>
        <v>13.44</v>
      </c>
      <c r="K26" s="6">
        <f>$J$3+[22]FormattedData!D62*$J$4+$M$4*$J$5+[22]FormattedData!D62^2*$J$6+$M$5*$J$7</f>
        <v>30.647226500275117</v>
      </c>
      <c r="L26" s="6">
        <f>$J$3+[22]FormattedData!E62*$J$4+$M$4*$J$5+[22]FormattedData!E62^2*$J$6+$M$5*$J$7</f>
        <v>28.992050137153232</v>
      </c>
      <c r="M26" s="6">
        <f>$J$3+[22]FormattedData!F62*$J$4+$M$4*$J$5+[22]FormattedData!F62^2*$J$6+$M$5*$J$7</f>
        <v>30.550201333100805</v>
      </c>
      <c r="N26" s="6">
        <f>$J$3+[22]FormattedData!G62*$J$4+$M$4*$J$5+[22]FormattedData!G62^2*$J$6+$M$5*$J$7</f>
        <v>28.600821596649091</v>
      </c>
      <c r="O26" s="6">
        <f>$J$3+[22]FormattedData!H62*$J$4+$M$4*$J$5+[22]FormattedData!H62^2*$J$6+$M$5*$J$7</f>
        <v>30.064441469160293</v>
      </c>
      <c r="P26" s="6">
        <f>$J$3+[22]FormattedData!I62*$J$4+$M$4*$J$5+[22]FormattedData!I62^2*$J$6+$M$5*$J$7</f>
        <v>29.675072744325128</v>
      </c>
      <c r="Q26" s="6">
        <f>$J$3+[22]FormattedData!J62*$J$4+$M$4*$J$5+[22]FormattedData!J62^2*$J$6+$M$5*$J$7</f>
        <v>29.9671626907584</v>
      </c>
      <c r="R26" s="6">
        <f>$J$3+[22]FormattedData!K62*$J$4+$M$4*$J$5+[22]FormattedData!K62^2*$J$6+$M$5*$J$7</f>
        <v>28.208916759538052</v>
      </c>
      <c r="S26" s="6">
        <f>$J$3+[22]FormattedData!L62*$J$4+$M$4*$J$5+[22]FormattedData!L62^2*$J$6+$M$5*$J$7</f>
        <v>29.772478328340814</v>
      </c>
      <c r="T26" s="6">
        <f>$J$3+[22]FormattedData!M62*$J$4+$M$4*$J$5+[22]FormattedData!M62^2*$J$6+$M$5*$J$7</f>
        <v>28.306956371622707</v>
      </c>
      <c r="U26" s="6">
        <f>$J$3+[22]FormattedData!N62*$J$4+$M$4*$J$5+[22]FormattedData!N62^2*$J$6+$M$5*$J$7</f>
        <v>29.577624891771503</v>
      </c>
      <c r="V26" s="6">
        <f>$J$3+[22]FormattedData!O62*$J$4+$M$4*$J$5+[22]FormattedData!O62^2*$J$6+$M$5*$J$7</f>
        <v>28.306956371622707</v>
      </c>
      <c r="W26" s="5">
        <f t="shared" si="0"/>
        <v>29.389159099526491</v>
      </c>
      <c r="X26" s="4">
        <f t="shared" si="1"/>
        <v>0.25375238015899032</v>
      </c>
      <c r="Y26" s="3">
        <f t="shared" si="2"/>
        <v>28.208916759538052</v>
      </c>
      <c r="Z26" s="2">
        <f t="shared" si="3"/>
        <v>28.527355290392496</v>
      </c>
      <c r="AA26" s="3">
        <f t="shared" si="4"/>
        <v>29.626348818048314</v>
      </c>
      <c r="AB26" s="2">
        <f t="shared" si="5"/>
        <v>29.991482385358871</v>
      </c>
      <c r="AC26" s="2">
        <f t="shared" si="6"/>
        <v>30.647226500275117</v>
      </c>
      <c r="AD26" s="2">
        <f t="shared" si="7"/>
        <v>-9.4401804531966435E-2</v>
      </c>
      <c r="AE26" s="2">
        <f t="shared" si="8"/>
        <v>-1.4558050559830575</v>
      </c>
    </row>
    <row r="27" spans="2:31" x14ac:dyDescent="0.2">
      <c r="B27" s="1">
        <f>[22]FormattedData!A64</f>
        <v>302</v>
      </c>
      <c r="C27" s="1" t="str">
        <f>VLOOKUP($B27,[22]TrtCodes!$B$11:I107,2)</f>
        <v>FTL</v>
      </c>
      <c r="D27" s="1">
        <f>VLOOKUP($B27,[22]TrtCodes!$B$11:J107,3)</f>
        <v>4</v>
      </c>
      <c r="E27" s="1">
        <f>VLOOKUP($B27,[22]TrtCodes!$B$11:K107,4)</f>
        <v>1</v>
      </c>
      <c r="F27" s="1">
        <f>VLOOKUP($B27,[22]TrtCodes!$B$11:L107,5)</f>
        <v>2</v>
      </c>
      <c r="G27" s="1">
        <f>VLOOKUP($B27,[22]TrtCodes!$B$11:M107,6)</f>
        <v>1</v>
      </c>
      <c r="H27" s="1">
        <f>VLOOKUP($B27,[22]TrtCodes!$B$11:N107,7)</f>
        <v>3</v>
      </c>
      <c r="I27" s="1">
        <f>[22]FormattedData!B64</f>
        <v>1</v>
      </c>
      <c r="J27" s="4">
        <f>[22]FormattedData!C64</f>
        <v>13.46</v>
      </c>
      <c r="K27" s="6">
        <f>$J$3+[22]FormattedData!D64*$J$4+$M$4*$J$5+[22]FormattedData!D64^2*$J$6+$M$5*$J$7</f>
        <v>30.356024193138399</v>
      </c>
      <c r="L27" s="6">
        <f>$J$3+[22]FormattedData!E64*$J$4+$M$4*$J$5+[22]FormattedData!E64^2*$J$6+$M$5*$J$7</f>
        <v>28.992050137153232</v>
      </c>
      <c r="M27" s="6">
        <f>$J$3+[22]FormattedData!F64*$J$4+$M$4*$J$5+[22]FormattedData!F64^2*$J$6+$M$5*$J$7</f>
        <v>30.161677979024262</v>
      </c>
      <c r="N27" s="6">
        <f>$J$3+[22]FormattedData!G64*$J$4+$M$4*$J$5+[22]FormattedData!G64^2*$J$6+$M$5*$J$7</f>
        <v>29.772478328340814</v>
      </c>
      <c r="O27" s="6">
        <f>$J$3+[22]FormattedData!H64*$J$4+$M$4*$J$5+[22]FormattedData!H64^2*$J$6+$M$5*$J$7</f>
        <v>30.258872220350291</v>
      </c>
      <c r="P27" s="6">
        <f>$J$3+[22]FormattedData!I64*$J$4+$M$4*$J$5+[22]FormattedData!I64^2*$J$6+$M$5*$J$7</f>
        <v>28.992050137153232</v>
      </c>
      <c r="Q27" s="6">
        <f>$J$3+[22]FormattedData!J64*$J$4+$M$4*$J$5+[22]FormattedData!J64^2*$J$6+$M$5*$J$7</f>
        <v>30.841150029009942</v>
      </c>
      <c r="R27" s="6">
        <f>$J$3+[22]FormattedData!K64*$J$4+$M$4*$J$5+[22]FormattedData!K64^2*$J$6+$M$5*$J$7</f>
        <v>29.089751600934438</v>
      </c>
      <c r="S27" s="6">
        <f>$J$3+[22]FormattedData!L64*$J$4+$M$4*$J$5+[22]FormattedData!L64^2*$J$6+$M$5*$J$7</f>
        <v>29.9671626907584</v>
      </c>
      <c r="T27" s="6">
        <f>$J$3+[22]FormattedData!M64*$J$4+$M$4*$J$5+[22]FormattedData!M64^2*$J$6+$M$5*$J$7</f>
        <v>29.480134770679957</v>
      </c>
      <c r="U27" s="6">
        <f>$J$3+[22]FormattedData!N64*$J$4+$M$4*$J$5+[22]FormattedData!N64^2*$J$6+$M$5*$J$7</f>
        <v>29.869841643818578</v>
      </c>
      <c r="V27" s="6">
        <f>$J$3+[22]FormattedData!O64*$J$4+$M$4*$J$5+[22]FormattedData!O64^2*$J$6+$M$5*$J$7</f>
        <v>29.187410796177716</v>
      </c>
      <c r="W27" s="5">
        <f t="shared" si="0"/>
        <v>29.747383710544938</v>
      </c>
      <c r="X27" s="4">
        <f t="shared" si="1"/>
        <v>0.17456625869100428</v>
      </c>
      <c r="Y27" s="3">
        <f t="shared" si="2"/>
        <v>28.992050137153232</v>
      </c>
      <c r="Z27" s="2">
        <f t="shared" si="3"/>
        <v>29.162995997366895</v>
      </c>
      <c r="AA27" s="3">
        <f t="shared" si="4"/>
        <v>29.821159986079696</v>
      </c>
      <c r="AB27" s="2">
        <f t="shared" si="5"/>
        <v>30.185976539355771</v>
      </c>
      <c r="AC27" s="2">
        <f t="shared" si="6"/>
        <v>30.841150029009942</v>
      </c>
      <c r="AD27" s="2">
        <f t="shared" si="7"/>
        <v>0.20245688738156281</v>
      </c>
      <c r="AE27" s="2">
        <f t="shared" si="8"/>
        <v>-0.95733819324989566</v>
      </c>
    </row>
    <row r="28" spans="2:31" x14ac:dyDescent="0.2">
      <c r="B28" s="1">
        <f>[22]FormattedData!A66</f>
        <v>303</v>
      </c>
      <c r="C28" s="1" t="str">
        <f>VLOOKUP($B28,[22]TrtCodes!$B$11:I109,2)</f>
        <v>NSL</v>
      </c>
      <c r="D28" s="1">
        <f>VLOOKUP($B28,[22]TrtCodes!$B$11:J109,3)</f>
        <v>8</v>
      </c>
      <c r="E28" s="1">
        <f>VLOOKUP($B28,[22]TrtCodes!$B$11:K109,4)</f>
        <v>2</v>
      </c>
      <c r="F28" s="1">
        <f>VLOOKUP($B28,[22]TrtCodes!$B$11:L109,5)</f>
        <v>1</v>
      </c>
      <c r="G28" s="1">
        <f>VLOOKUP($B28,[22]TrtCodes!$B$11:M109,6)</f>
        <v>1</v>
      </c>
      <c r="H28" s="1">
        <f>VLOOKUP($B28,[22]TrtCodes!$B$11:N109,7)</f>
        <v>3</v>
      </c>
      <c r="I28" s="1">
        <f>[22]FormattedData!B66</f>
        <v>1</v>
      </c>
      <c r="J28" s="4">
        <f>[22]FormattedData!C66</f>
        <v>13.48</v>
      </c>
      <c r="K28" s="6">
        <f>$J$3+[22]FormattedData!D66*$J$4+$M$4*$J$5+[22]FormattedData!D66^2*$J$6+$M$5*$J$7</f>
        <v>28.796520403977024</v>
      </c>
      <c r="L28" s="6">
        <f>$J$3+[22]FormattedData!E66*$J$4+$M$4*$J$5+[22]FormattedData!E66^2*$J$6+$M$5*$J$7</f>
        <v>29.285027722883058</v>
      </c>
      <c r="M28" s="6">
        <f>$J$3+[22]FormattedData!F66*$J$4+$M$4*$J$5+[22]FormattedData!F66^2*$J$6+$M$5*$J$7</f>
        <v>29.089751600934438</v>
      </c>
      <c r="N28" s="6">
        <f>$J$3+[22]FormattedData!G66*$J$4+$M$4*$J$5+[22]FormattedData!G66^2*$J$6+$M$5*$J$7</f>
        <v>30.064441469160293</v>
      </c>
      <c r="O28" s="6">
        <f>$J$3+[22]FormattedData!H66*$J$4+$M$4*$J$5+[22]FormattedData!H66^2*$J$6+$M$5*$J$7</f>
        <v>29.285027722883058</v>
      </c>
      <c r="P28" s="6">
        <f>$J$3+[22]FormattedData!I66*$J$4+$M$4*$J$5+[22]FormattedData!I66^2*$J$6+$M$5*$J$7</f>
        <v>28.992050137153232</v>
      </c>
      <c r="Q28" s="6">
        <f>$J$3+[22]FormattedData!J66*$J$4+$M$4*$J$5+[22]FormattedData!J66^2*$J$6+$M$5*$J$7</f>
        <v>28.796520403977024</v>
      </c>
      <c r="R28" s="6">
        <f>$J$3+[22]FormattedData!K66*$J$4+$M$4*$J$5+[22]FormattedData!K66^2*$J$6+$M$5*$J$7</f>
        <v>28.600821596649091</v>
      </c>
      <c r="S28" s="6">
        <f>$J$3+[22]FormattedData!L66*$J$4+$M$4*$J$5+[22]FormattedData!L66^2*$J$6+$M$5*$J$7</f>
        <v>29.187410796177716</v>
      </c>
      <c r="T28" s="6">
        <f>$J$3+[22]FormattedData!M66*$J$4+$M$4*$J$5+[22]FormattedData!M66^2*$J$6+$M$5*$J$7</f>
        <v>28.992050137153232</v>
      </c>
      <c r="U28" s="6">
        <f>$J$3+[22]FormattedData!N66*$J$4+$M$4*$J$5+[22]FormattedData!N66^2*$J$6+$M$5*$J$7</f>
        <v>29.285027722883058</v>
      </c>
      <c r="V28" s="6">
        <f>$J$3+[22]FormattedData!O66*$J$4+$M$4*$J$5+[22]FormattedData!O66^2*$J$6+$M$5*$J$7</f>
        <v>29.9671626907584</v>
      </c>
      <c r="W28" s="5">
        <f t="shared" si="0"/>
        <v>29.195151033715803</v>
      </c>
      <c r="X28" s="4">
        <f t="shared" si="1"/>
        <v>0.12734498762621216</v>
      </c>
      <c r="Y28" s="3">
        <f t="shared" si="2"/>
        <v>28.600821596649091</v>
      </c>
      <c r="Z28" s="2">
        <f t="shared" si="3"/>
        <v>28.943167703859181</v>
      </c>
      <c r="AA28" s="3">
        <f t="shared" si="4"/>
        <v>29.138581198556075</v>
      </c>
      <c r="AB28" s="2">
        <f t="shared" si="5"/>
        <v>29.285027722883058</v>
      </c>
      <c r="AC28" s="2">
        <f t="shared" si="6"/>
        <v>30.064441469160293</v>
      </c>
      <c r="AD28" s="2">
        <f t="shared" si="7"/>
        <v>0.97169226119475105</v>
      </c>
      <c r="AE28" s="2">
        <f t="shared" si="8"/>
        <v>0.56560444989313563</v>
      </c>
    </row>
    <row r="29" spans="2:31" x14ac:dyDescent="0.2">
      <c r="B29" s="1">
        <f>[22]FormattedData!A68</f>
        <v>304</v>
      </c>
      <c r="C29" s="1" t="str">
        <f>VLOOKUP($B29,[22]TrtCodes!$B$11:I111,2)</f>
        <v>FSL</v>
      </c>
      <c r="D29" s="1">
        <f>VLOOKUP($B29,[22]TrtCodes!$B$11:J111,3)</f>
        <v>2</v>
      </c>
      <c r="E29" s="1">
        <f>VLOOKUP($B29,[22]TrtCodes!$B$11:K111,4)</f>
        <v>1</v>
      </c>
      <c r="F29" s="1">
        <f>VLOOKUP($B29,[22]TrtCodes!$B$11:L111,5)</f>
        <v>1</v>
      </c>
      <c r="G29" s="1">
        <f>VLOOKUP($B29,[22]TrtCodes!$B$11:M111,6)</f>
        <v>1</v>
      </c>
      <c r="H29" s="1">
        <f>VLOOKUP($B29,[22]TrtCodes!$B$11:N111,7)</f>
        <v>3</v>
      </c>
      <c r="I29" s="1">
        <f>[22]FormattedData!B68</f>
        <v>1</v>
      </c>
      <c r="J29" s="4">
        <f>[22]FormattedData!C68</f>
        <v>13.5</v>
      </c>
      <c r="K29" s="6">
        <f>$J$3+[22]FormattedData!D68*$J$4+$M$4*$J$5+[22]FormattedData!D68^2*$J$6+$M$5*$J$7</f>
        <v>28.502908790178228</v>
      </c>
      <c r="L29" s="6">
        <f>$J$3+[22]FormattedData!E68*$J$4+$M$4*$J$5+[22]FormattedData!E68^2*$J$6+$M$5*$J$7</f>
        <v>28.698692134582021</v>
      </c>
      <c r="M29" s="6">
        <f>$J$3+[22]FormattedData!F68*$J$4+$M$4*$J$5+[22]FormattedData!F68^2*$J$6+$M$5*$J$7</f>
        <v>29.480134770679957</v>
      </c>
      <c r="N29" s="6">
        <f>$J$3+[22]FormattedData!G68*$J$4+$M$4*$J$5+[22]FormattedData!G68^2*$J$6+$M$5*$J$7</f>
        <v>29.577624891771503</v>
      </c>
      <c r="O29" s="6">
        <f>$J$3+[22]FormattedData!H68*$J$4+$M$4*$J$5+[22]FormattedData!H68^2*$J$6+$M$5*$J$7</f>
        <v>30.161677979024262</v>
      </c>
      <c r="P29" s="6">
        <f>$J$3+[22]FormattedData!I68*$J$4+$M$4*$J$5+[22]FormattedData!I68^2*$J$6+$M$5*$J$7</f>
        <v>28.600821596649091</v>
      </c>
      <c r="Q29" s="6">
        <f>$J$3+[22]FormattedData!J68*$J$4+$M$4*$J$5+[22]FormattedData!J68^2*$J$6+$M$5*$J$7</f>
        <v>29.9671626907584</v>
      </c>
      <c r="R29" s="6">
        <f>$J$3+[22]FormattedData!K68*$J$4+$M$4*$J$5+[22]FormattedData!K68^2*$J$6+$M$5*$J$7</f>
        <v>28.110834878915465</v>
      </c>
      <c r="S29" s="6">
        <f>$J$3+[22]FormattedData!L68*$J$4+$M$4*$J$5+[22]FormattedData!L68^2*$J$6+$M$5*$J$7</f>
        <v>29.480134770679957</v>
      </c>
      <c r="T29" s="6">
        <f>$J$3+[22]FormattedData!M68*$J$4+$M$4*$J$5+[22]FormattedData!M68^2*$J$6+$M$5*$J$7</f>
        <v>28.894306404834094</v>
      </c>
      <c r="U29" s="6">
        <f>$J$3+[22]FormattedData!N68*$J$4+$M$4*$J$5+[22]FormattedData!N68^2*$J$6+$M$5*$J$7</f>
        <v>30.647226500275117</v>
      </c>
      <c r="V29" s="6">
        <f>$J$3+[22]FormattedData!O68*$J$4+$M$4*$J$5+[22]FormattedData!O68^2*$J$6+$M$5*$J$7</f>
        <v>28.01271072975495</v>
      </c>
      <c r="W29" s="5">
        <f t="shared" si="0"/>
        <v>29.177853011508585</v>
      </c>
      <c r="X29" s="4">
        <f t="shared" si="1"/>
        <v>0.24132115653160596</v>
      </c>
      <c r="Y29" s="3">
        <f t="shared" si="2"/>
        <v>28.01271072975495</v>
      </c>
      <c r="Z29" s="2">
        <f t="shared" si="3"/>
        <v>28.576343395031376</v>
      </c>
      <c r="AA29" s="3">
        <f t="shared" si="4"/>
        <v>29.187220587757025</v>
      </c>
      <c r="AB29" s="2">
        <f t="shared" si="5"/>
        <v>29.675009341518226</v>
      </c>
      <c r="AC29" s="2">
        <f t="shared" si="6"/>
        <v>30.647226500275117</v>
      </c>
      <c r="AD29" s="2">
        <f t="shared" si="7"/>
        <v>0.24399259509616542</v>
      </c>
      <c r="AE29" s="2">
        <f t="shared" si="8"/>
        <v>-0.95336744870011536</v>
      </c>
    </row>
    <row r="30" spans="2:31" x14ac:dyDescent="0.2">
      <c r="B30" s="1">
        <f>[22]FormattedData!A70</f>
        <v>305</v>
      </c>
      <c r="C30" s="1" t="str">
        <f>VLOOKUP($B30,[22]TrtCodes!$B$11:I113,2)</f>
        <v>NDH</v>
      </c>
      <c r="D30" s="1">
        <f>VLOOKUP($B30,[22]TrtCodes!$B$11:J113,3)</f>
        <v>11</v>
      </c>
      <c r="E30" s="1">
        <f>VLOOKUP($B30,[22]TrtCodes!$B$11:K113,4)</f>
        <v>2</v>
      </c>
      <c r="F30" s="1">
        <f>VLOOKUP($B30,[22]TrtCodes!$B$11:L113,5)</f>
        <v>3</v>
      </c>
      <c r="G30" s="1">
        <f>VLOOKUP($B30,[22]TrtCodes!$B$11:M113,6)</f>
        <v>2</v>
      </c>
      <c r="H30" s="1">
        <f>VLOOKUP($B30,[22]TrtCodes!$B$11:N113,7)</f>
        <v>4</v>
      </c>
      <c r="I30" s="1">
        <f>[22]FormattedData!B70</f>
        <v>1</v>
      </c>
      <c r="J30" s="4">
        <f>[22]FormattedData!C70</f>
        <v>13.523999999999999</v>
      </c>
      <c r="K30" s="6">
        <f>$J$3+[22]FormattedData!D70*$J$4+$M$4*$J$5+[22]FormattedData!D70^2*$J$6+$M$5*$J$7</f>
        <v>27.816335625820116</v>
      </c>
      <c r="L30" s="6">
        <f>$J$3+[22]FormattedData!E70*$J$4+$M$4*$J$5+[22]FormattedData!E70^2*$J$6+$M$5*$J$7</f>
        <v>27.718084671045805</v>
      </c>
      <c r="M30" s="6">
        <f>$J$3+[22]FormattedData!F70*$J$4+$M$4*$J$5+[22]FormattedData!F70^2*$J$6+$M$5*$J$7</f>
        <v>27.718084671045805</v>
      </c>
      <c r="N30" s="6">
        <f>$J$3+[22]FormattedData!G70*$J$4+$M$4*$J$5+[22]FormattedData!G70^2*$J$6+$M$5*$J$7</f>
        <v>27.914544312056499</v>
      </c>
      <c r="O30" s="6">
        <f>$J$3+[22]FormattedData!H70*$J$4+$M$4*$J$5+[22]FormattedData!H70^2*$J$6+$M$5*$J$7</f>
        <v>28.01271072975495</v>
      </c>
      <c r="P30" s="6">
        <f>$J$3+[22]FormattedData!I70*$J$4+$M$4*$J$5+[22]FormattedData!I70^2*$J$6+$M$5*$J$7</f>
        <v>27.718084671045805</v>
      </c>
      <c r="Q30" s="6">
        <f>$J$3+[22]FormattedData!J70*$J$4+$M$4*$J$5+[22]FormattedData!J70^2*$J$6+$M$5*$J$7</f>
        <v>28.01271072975495</v>
      </c>
      <c r="R30" s="6">
        <f>$J$3+[22]FormattedData!K70*$J$4+$M$4*$J$5+[22]FormattedData!K70^2*$J$6+$M$5*$J$7</f>
        <v>27.52145595588339</v>
      </c>
      <c r="S30" s="6">
        <f>$J$3+[22]FormattedData!L70*$J$4+$M$4*$J$5+[22]FormattedData!L70^2*$J$6+$M$5*$J$7</f>
        <v>27.52145595588339</v>
      </c>
      <c r="T30" s="6">
        <f>$J$3+[22]FormattedData!M70*$J$4+$M$4*$J$5+[22]FormattedData!M70^2*$J$6+$M$5*$J$7</f>
        <v>27.127691303103379</v>
      </c>
      <c r="U30" s="6">
        <f>$J$3+[22]FormattedData!N70*$J$4+$M$4*$J$5+[22]FormattedData!N70^2*$J$6+$M$5*$J$7</f>
        <v>27.423078195495282</v>
      </c>
      <c r="V30" s="6">
        <f>$J$3+[22]FormattedData!O70*$J$4+$M$4*$J$5+[22]FormattedData!O70^2*$J$6+$M$5*$J$7</f>
        <v>27.127691303103379</v>
      </c>
      <c r="W30" s="5">
        <f t="shared" si="0"/>
        <v>27.635994010332734</v>
      </c>
      <c r="X30" s="4">
        <f t="shared" si="1"/>
        <v>8.714648641084588E-2</v>
      </c>
      <c r="Y30" s="3">
        <f t="shared" si="2"/>
        <v>27.127691303103379</v>
      </c>
      <c r="Z30" s="2">
        <f t="shared" si="3"/>
        <v>27.496861515786364</v>
      </c>
      <c r="AA30" s="3">
        <f t="shared" si="4"/>
        <v>27.718084671045805</v>
      </c>
      <c r="AB30" s="2">
        <f t="shared" si="5"/>
        <v>27.84088779737921</v>
      </c>
      <c r="AC30" s="2">
        <f t="shared" si="6"/>
        <v>28.01271072975495</v>
      </c>
      <c r="AD30" s="2">
        <f t="shared" si="7"/>
        <v>-0.55218776160422078</v>
      </c>
      <c r="AE30" s="2">
        <f t="shared" si="8"/>
        <v>-0.55365234184416812</v>
      </c>
    </row>
    <row r="31" spans="2:31" x14ac:dyDescent="0.2">
      <c r="B31" s="1">
        <f>[22]FormattedData!A72</f>
        <v>306</v>
      </c>
      <c r="C31" s="1" t="str">
        <f>VLOOKUP($B31,[22]TrtCodes!$B$11:I115,2)</f>
        <v>FTL</v>
      </c>
      <c r="D31" s="1">
        <f>VLOOKUP($B31,[22]TrtCodes!$B$11:J115,3)</f>
        <v>4</v>
      </c>
      <c r="E31" s="1">
        <f>VLOOKUP($B31,[22]TrtCodes!$B$11:K115,4)</f>
        <v>1</v>
      </c>
      <c r="F31" s="1">
        <f>VLOOKUP($B31,[22]TrtCodes!$B$11:L115,5)</f>
        <v>2</v>
      </c>
      <c r="G31" s="1">
        <f>VLOOKUP($B31,[22]TrtCodes!$B$11:M115,6)</f>
        <v>1</v>
      </c>
      <c r="H31" s="1">
        <f>VLOOKUP($B31,[22]TrtCodes!$B$11:N115,7)</f>
        <v>4</v>
      </c>
      <c r="I31" s="1">
        <f>[22]FormattedData!B72</f>
        <v>1</v>
      </c>
      <c r="J31" s="4">
        <f>[22]FormattedData!C72</f>
        <v>13.542</v>
      </c>
      <c r="K31" s="6">
        <f>$J$3+[22]FormattedData!D72*$J$4+$M$4*$J$5+[22]FormattedData!D72^2*$J$6+$M$5*$J$7</f>
        <v>27.718084671045805</v>
      </c>
      <c r="L31" s="6">
        <f>$J$3+[22]FormattedData!E72*$J$4+$M$4*$J$5+[22]FormattedData!E72^2*$J$6+$M$5*$J$7</f>
        <v>27.619791447733562</v>
      </c>
      <c r="M31" s="6">
        <f>$J$3+[22]FormattedData!F72*$J$4+$M$4*$J$5+[22]FormattedData!F72^2*$J$6+$M$5*$J$7</f>
        <v>27.619791447733562</v>
      </c>
      <c r="N31" s="6">
        <f>$J$3+[22]FormattedData!G72*$J$4+$M$4*$J$5+[22]FormattedData!G72^2*$J$6+$M$5*$J$7</f>
        <v>29.577624891771503</v>
      </c>
      <c r="O31" s="6">
        <f>$J$3+[22]FormattedData!H72*$J$4+$M$4*$J$5+[22]FormattedData!H72^2*$J$6+$M$5*$J$7</f>
        <v>28.992050137153232</v>
      </c>
      <c r="P31" s="6">
        <f>$J$3+[22]FormattedData!I72*$J$4+$M$4*$J$5+[22]FormattedData!I72^2*$J$6+$M$5*$J$7</f>
        <v>29.089751600934438</v>
      </c>
      <c r="Q31" s="6">
        <f>$J$3+[22]FormattedData!J72*$J$4+$M$4*$J$5+[22]FormattedData!J72^2*$J$6+$M$5*$J$7</f>
        <v>28.502908790178228</v>
      </c>
      <c r="R31" s="6">
        <f>$J$3+[22]FormattedData!K72*$J$4+$M$4*$J$5+[22]FormattedData!K72^2*$J$6+$M$5*$J$7</f>
        <v>29.089751600934438</v>
      </c>
      <c r="S31" s="6">
        <f>$J$3+[22]FormattedData!L72*$J$4+$M$4*$J$5+[22]FormattedData!L72^2*$J$6+$M$5*$J$7</f>
        <v>28.894306404834094</v>
      </c>
      <c r="T31" s="6">
        <f>$J$3+[22]FormattedData!M72*$J$4+$M$4*$J$5+[22]FormattedData!M72^2*$J$6+$M$5*$J$7</f>
        <v>27.914544312056499</v>
      </c>
      <c r="U31" s="6">
        <f>$J$3+[22]FormattedData!N72*$J$4+$M$4*$J$5+[22]FormattedData!N72^2*$J$6+$M$5*$J$7</f>
        <v>28.306956371622707</v>
      </c>
      <c r="V31" s="6">
        <f>$J$3+[22]FormattedData!O72*$J$4+$M$4*$J$5+[22]FormattedData!O72^2*$J$6+$M$5*$J$7</f>
        <v>28.306956371622707</v>
      </c>
      <c r="W31" s="5">
        <f t="shared" si="0"/>
        <v>28.469376503968402</v>
      </c>
      <c r="X31" s="4">
        <f t="shared" si="1"/>
        <v>0.19111813906209488</v>
      </c>
      <c r="Y31" s="3">
        <f t="shared" si="2"/>
        <v>27.619791447733562</v>
      </c>
      <c r="Z31" s="2">
        <f t="shared" si="3"/>
        <v>27.865429401803826</v>
      </c>
      <c r="AA31" s="3">
        <f t="shared" si="4"/>
        <v>28.404932580900468</v>
      </c>
      <c r="AB31" s="2">
        <f t="shared" si="5"/>
        <v>29.016475503098533</v>
      </c>
      <c r="AC31" s="2">
        <f t="shared" si="6"/>
        <v>29.577624891771503</v>
      </c>
      <c r="AD31" s="2">
        <f t="shared" si="7"/>
        <v>8.5849172227537893E-2</v>
      </c>
      <c r="AE31" s="2">
        <f t="shared" si="8"/>
        <v>-1.2703173514993327</v>
      </c>
    </row>
    <row r="32" spans="2:31" x14ac:dyDescent="0.2">
      <c r="B32" s="1">
        <f>[22]FormattedData!A74</f>
        <v>307</v>
      </c>
      <c r="C32" s="1" t="str">
        <f>VLOOKUP($B32,[22]TrtCodes!$B$11:I117,2)</f>
        <v>NTH</v>
      </c>
      <c r="D32" s="1">
        <f>VLOOKUP($B32,[22]TrtCodes!$B$11:J117,3)</f>
        <v>9</v>
      </c>
      <c r="E32" s="1">
        <f>VLOOKUP($B32,[22]TrtCodes!$B$11:K117,4)</f>
        <v>2</v>
      </c>
      <c r="F32" s="1">
        <f>VLOOKUP($B32,[22]TrtCodes!$B$11:L117,5)</f>
        <v>2</v>
      </c>
      <c r="G32" s="1">
        <f>VLOOKUP($B32,[22]TrtCodes!$B$11:M117,6)</f>
        <v>2</v>
      </c>
      <c r="H32" s="1">
        <f>VLOOKUP($B32,[22]TrtCodes!$B$11:N117,7)</f>
        <v>4</v>
      </c>
      <c r="I32" s="1">
        <f>[22]FormattedData!B74</f>
        <v>1</v>
      </c>
      <c r="J32" s="4">
        <f>[22]FormattedData!C74</f>
        <v>13.561</v>
      </c>
      <c r="K32" s="6">
        <f>$J$3+[22]FormattedData!D74*$J$4+$M$4*$J$5+[22]FormattedData!D74^2*$J$6+$M$5*$J$7</f>
        <v>28.110834878915465</v>
      </c>
      <c r="L32" s="6">
        <f>$J$3+[22]FormattedData!E74*$J$4+$M$4*$J$5+[22]FormattedData!E74^2*$J$6+$M$5*$J$7</f>
        <v>28.01271072975495</v>
      </c>
      <c r="M32" s="6">
        <f>$J$3+[22]FormattedData!F74*$J$4+$M$4*$J$5+[22]FormattedData!F74^2*$J$6+$M$5*$J$7</f>
        <v>28.404953715169434</v>
      </c>
      <c r="N32" s="6">
        <f>$J$3+[22]FormattedData!G74*$J$4+$M$4*$J$5+[22]FormattedData!G74^2*$J$6+$M$5*$J$7</f>
        <v>28.404953715169434</v>
      </c>
      <c r="O32" s="6">
        <f>$J$3+[22]FormattedData!H74*$J$4+$M$4*$J$5+[22]FormattedData!H74^2*$J$6+$M$5*$J$7</f>
        <v>28.110834878915465</v>
      </c>
      <c r="P32" s="6">
        <f>$J$3+[22]FormattedData!I74*$J$4+$M$4*$J$5+[22]FormattedData!I74^2*$J$6+$M$5*$J$7</f>
        <v>28.600821596649091</v>
      </c>
      <c r="Q32" s="6">
        <f>$J$3+[22]FormattedData!J74*$J$4+$M$4*$J$5+[22]FormattedData!J74^2*$J$6+$M$5*$J$7</f>
        <v>28.01271072975495</v>
      </c>
      <c r="R32" s="6">
        <f>$J$3+[22]FormattedData!K74*$J$4+$M$4*$J$5+[22]FormattedData!K74^2*$J$6+$M$5*$J$7</f>
        <v>28.502908790178228</v>
      </c>
      <c r="S32" s="6">
        <f>$J$3+[22]FormattedData!L74*$J$4+$M$4*$J$5+[22]FormattedData!L74^2*$J$6+$M$5*$J$7</f>
        <v>28.01271072975495</v>
      </c>
      <c r="T32" s="6">
        <f>$J$3+[22]FormattedData!M74*$J$4+$M$4*$J$5+[22]FormattedData!M74^2*$J$6+$M$5*$J$7</f>
        <v>28.110834878915465</v>
      </c>
      <c r="U32" s="6">
        <f>$J$3+[22]FormattedData!N74*$J$4+$M$4*$J$5+[22]FormattedData!N74^2*$J$6+$M$5*$J$7</f>
        <v>28.01271072975495</v>
      </c>
      <c r="V32" s="6">
        <f>$J$3+[22]FormattedData!O74*$J$4+$M$4*$J$5+[22]FormattedData!O74^2*$J$6+$M$5*$J$7</f>
        <v>27.914544312056499</v>
      </c>
      <c r="W32" s="5">
        <f t="shared" si="0"/>
        <v>28.184294140415734</v>
      </c>
      <c r="X32" s="4">
        <f t="shared" si="1"/>
        <v>6.6235858362413649E-2</v>
      </c>
      <c r="Y32" s="3">
        <f t="shared" si="2"/>
        <v>27.914544312056499</v>
      </c>
      <c r="Z32" s="2">
        <f t="shared" si="3"/>
        <v>28.01271072975495</v>
      </c>
      <c r="AA32" s="3">
        <f t="shared" si="4"/>
        <v>28.110834878915465</v>
      </c>
      <c r="AB32" s="2">
        <f t="shared" si="5"/>
        <v>28.404953715169434</v>
      </c>
      <c r="AC32" s="2">
        <f t="shared" si="6"/>
        <v>28.600821596649091</v>
      </c>
      <c r="AD32" s="2">
        <f t="shared" si="7"/>
        <v>0.76830607885365199</v>
      </c>
      <c r="AE32" s="2">
        <f t="shared" si="8"/>
        <v>-0.96345696534501757</v>
      </c>
    </row>
    <row r="33" spans="2:31" x14ac:dyDescent="0.2">
      <c r="B33" s="1">
        <f>[22]FormattedData!A76</f>
        <v>308</v>
      </c>
      <c r="C33" s="1" t="str">
        <f>VLOOKUP($B33,[22]TrtCodes!$B$11:I119,2)</f>
        <v>FDH</v>
      </c>
      <c r="D33" s="1">
        <f>VLOOKUP($B33,[22]TrtCodes!$B$11:J119,3)</f>
        <v>5</v>
      </c>
      <c r="E33" s="1">
        <f>VLOOKUP($B33,[22]TrtCodes!$B$11:K119,4)</f>
        <v>1</v>
      </c>
      <c r="F33" s="1">
        <f>VLOOKUP($B33,[22]TrtCodes!$B$11:L119,5)</f>
        <v>3</v>
      </c>
      <c r="G33" s="1">
        <f>VLOOKUP($B33,[22]TrtCodes!$B$11:M119,6)</f>
        <v>2</v>
      </c>
      <c r="H33" s="1">
        <f>VLOOKUP($B33,[22]TrtCodes!$B$11:N119,7)</f>
        <v>4</v>
      </c>
      <c r="I33" s="1">
        <f>[22]FormattedData!B76</f>
        <v>1</v>
      </c>
      <c r="J33" s="4">
        <f>[22]FormattedData!C76</f>
        <v>13.577</v>
      </c>
      <c r="K33" s="6">
        <f>$J$3+[22]FormattedData!D76*$J$4+$M$4*$J$5+[22]FormattedData!D76^2*$J$6+$M$5*$J$7</f>
        <v>27.816335625820116</v>
      </c>
      <c r="L33" s="6">
        <f>$J$3+[22]FormattedData!E76*$J$4+$M$4*$J$5+[22]FormattedData!E76^2*$J$6+$M$5*$J$7</f>
        <v>27.914544312056499</v>
      </c>
      <c r="M33" s="6">
        <f>$J$3+[22]FormattedData!F76*$J$4+$M$4*$J$5+[22]FormattedData!F76^2*$J$6+$M$5*$J$7</f>
        <v>28.208916759538052</v>
      </c>
      <c r="N33" s="6">
        <f>$J$3+[22]FormattedData!G76*$J$4+$M$4*$J$5+[22]FormattedData!G76^2*$J$6+$M$5*$J$7</f>
        <v>28.110834878915465</v>
      </c>
      <c r="O33" s="6">
        <f>$J$3+[22]FormattedData!H76*$J$4+$M$4*$J$5+[22]FormattedData!H76^2*$J$6+$M$5*$J$7</f>
        <v>28.796520403977024</v>
      </c>
      <c r="P33" s="6">
        <f>$J$3+[22]FormattedData!I76*$J$4+$M$4*$J$5+[22]FormattedData!I76^2*$J$6+$M$5*$J$7</f>
        <v>28.796520403977024</v>
      </c>
      <c r="Q33" s="6">
        <f>$J$3+[22]FormattedData!J76*$J$4+$M$4*$J$5+[22]FormattedData!J76^2*$J$6+$M$5*$J$7</f>
        <v>28.894306404834094</v>
      </c>
      <c r="R33" s="6">
        <f>$J$3+[22]FormattedData!K76*$J$4+$M$4*$J$5+[22]FormattedData!K76^2*$J$6+$M$5*$J$7</f>
        <v>28.306956371622707</v>
      </c>
      <c r="S33" s="6">
        <f>$J$3+[22]FormattedData!L76*$J$4+$M$4*$J$5+[22]FormattedData!L76^2*$J$6+$M$5*$J$7</f>
        <v>28.208916759538052</v>
      </c>
      <c r="T33" s="6">
        <f>$J$3+[22]FormattedData!M76*$J$4+$M$4*$J$5+[22]FormattedData!M76^2*$J$6+$M$5*$J$7</f>
        <v>28.01271072975495</v>
      </c>
      <c r="U33" s="6">
        <f>$J$3+[22]FormattedData!N76*$J$4+$M$4*$J$5+[22]FormattedData!N76^2*$J$6+$M$5*$J$7</f>
        <v>28.208916759538052</v>
      </c>
      <c r="V33" s="6">
        <f>$J$3+[22]FormattedData!O76*$J$4+$M$4*$J$5+[22]FormattedData!O76^2*$J$6+$M$5*$J$7</f>
        <v>28.306956371622707</v>
      </c>
      <c r="W33" s="5">
        <f t="shared" si="0"/>
        <v>28.298536315099565</v>
      </c>
      <c r="X33" s="4">
        <f t="shared" si="1"/>
        <v>0.10195254956236272</v>
      </c>
      <c r="Y33" s="3">
        <f t="shared" si="2"/>
        <v>27.816335625820116</v>
      </c>
      <c r="Z33" s="2">
        <f t="shared" si="3"/>
        <v>28.086303841625337</v>
      </c>
      <c r="AA33" s="3">
        <f t="shared" si="4"/>
        <v>28.208916759538052</v>
      </c>
      <c r="AB33" s="2">
        <f t="shared" si="5"/>
        <v>28.429347379711288</v>
      </c>
      <c r="AC33" s="2">
        <f t="shared" si="6"/>
        <v>28.894306404834094</v>
      </c>
      <c r="AD33" s="2">
        <f t="shared" si="7"/>
        <v>0.63789908278988439</v>
      </c>
      <c r="AE33" s="2">
        <f t="shared" si="8"/>
        <v>-0.66168833009607964</v>
      </c>
    </row>
    <row r="34" spans="2:31" x14ac:dyDescent="0.2">
      <c r="B34" s="1">
        <f>[22]FormattedData!A92</f>
        <v>401</v>
      </c>
      <c r="C34" s="1" t="str">
        <f>VLOOKUP($B34,[22]TrtCodes!$B$11:I129,2)</f>
        <v>NSH</v>
      </c>
      <c r="D34" s="1">
        <f>VLOOKUP($B34,[22]TrtCodes!$B$11:J129,3)</f>
        <v>7</v>
      </c>
      <c r="E34" s="1">
        <f>VLOOKUP($B34,[22]TrtCodes!$B$11:K129,4)</f>
        <v>2</v>
      </c>
      <c r="F34" s="1">
        <f>VLOOKUP($B34,[22]TrtCodes!$B$11:L129,5)</f>
        <v>1</v>
      </c>
      <c r="G34" s="1">
        <f>VLOOKUP($B34,[22]TrtCodes!$B$11:M129,6)</f>
        <v>2</v>
      </c>
      <c r="H34" s="1">
        <f>VLOOKUP($B34,[22]TrtCodes!$B$11:N129,7)</f>
        <v>3</v>
      </c>
      <c r="I34" s="1">
        <f>[22]FormattedData!B92</f>
        <v>1</v>
      </c>
      <c r="J34" s="4">
        <f>[22]FormattedData!C92</f>
        <v>13.73</v>
      </c>
      <c r="K34" s="6">
        <f>$J$3+[22]FormattedData!D92*$J$4+$M$4*$J$5+[22]FormattedData!D92^2*$J$6+$M$5*$J$7</f>
        <v>33.729714061825355</v>
      </c>
      <c r="L34" s="6">
        <f>$J$3+[22]FormattedData!E92*$J$4+$M$4*$J$5+[22]FormattedData!E92^2*$J$6+$M$5*$J$7</f>
        <v>36.013175275498313</v>
      </c>
      <c r="M34" s="6">
        <f>$J$3+[22]FormattedData!F92*$J$4+$M$4*$J$5+[22]FormattedData!F92^2*$J$6+$M$5*$J$7</f>
        <v>35.444592473128353</v>
      </c>
      <c r="N34" s="6">
        <f>$J$3+[22]FormattedData!G92*$J$4+$M$4*$J$5+[22]FormattedData!G92^2*$J$6+$M$5*$J$7</f>
        <v>38.084960174505369</v>
      </c>
      <c r="O34" s="6">
        <f>$J$3+[22]FormattedData!H92*$J$4+$M$4*$J$5+[22]FormattedData!H92^2*$J$6+$M$5*$J$7</f>
        <v>34.493572986143931</v>
      </c>
      <c r="P34" s="6">
        <f>$J$3+[22]FormattedData!I92*$J$4+$M$4*$J$5+[22]FormattedData!I92^2*$J$6+$M$5*$J$7</f>
        <v>36.768918640534118</v>
      </c>
      <c r="Q34" s="6">
        <f>$J$3+[22]FormattedData!J92*$J$4+$M$4*$J$5+[22]FormattedData!J92^2*$J$6+$M$5*$J$7</f>
        <v>35.634289148070067</v>
      </c>
      <c r="R34" s="6">
        <f>$J$3+[22]FormattedData!K92*$J$4+$M$4*$J$5+[22]FormattedData!K92^2*$J$6+$M$5*$J$7</f>
        <v>40.136287101153741</v>
      </c>
      <c r="S34" s="6">
        <f>$J$3+[22]FormattedData!L92*$J$4+$M$4*$J$5+[22]FormattedData!L92^2*$J$6+$M$5*$J$7</f>
        <v>33.825344367247943</v>
      </c>
      <c r="T34" s="6">
        <f>$J$3+[22]FormattedData!M92*$J$4+$M$4*$J$5+[22]FormattedData!M92^2*$J$6+$M$5*$J$7</f>
        <v>35.444592473128353</v>
      </c>
      <c r="U34" s="6">
        <f>$J$3+[22]FormattedData!N92*$J$4+$M$4*$J$5+[22]FormattedData!N92^2*$J$6+$M$5*$J$7</f>
        <v>34.207442903558949</v>
      </c>
      <c r="V34" s="6">
        <f>$J$3+[22]FormattedData!O92*$J$4+$M$4*$J$5+[22]FormattedData!O92^2*$J$6+$M$5*$J$7</f>
        <v>34.874488003392884</v>
      </c>
      <c r="W34" s="5">
        <f t="shared" si="0"/>
        <v>35.721448134015617</v>
      </c>
      <c r="X34" s="4">
        <f t="shared" si="1"/>
        <v>0.54005913711901088</v>
      </c>
      <c r="Y34" s="3">
        <f t="shared" si="2"/>
        <v>33.729714061825355</v>
      </c>
      <c r="Z34" s="2">
        <f t="shared" si="3"/>
        <v>34.422040465497687</v>
      </c>
      <c r="AA34" s="3">
        <f t="shared" si="4"/>
        <v>35.444592473128353</v>
      </c>
      <c r="AB34" s="2">
        <f t="shared" si="5"/>
        <v>36.202111116757266</v>
      </c>
      <c r="AC34" s="2">
        <f t="shared" si="6"/>
        <v>40.136287101153741</v>
      </c>
      <c r="AD34" s="2">
        <f t="shared" si="7"/>
        <v>1.3284469705593678</v>
      </c>
      <c r="AE34" s="2">
        <f t="shared" si="8"/>
        <v>1.742724655263526</v>
      </c>
    </row>
    <row r="35" spans="2:31" x14ac:dyDescent="0.2">
      <c r="B35" s="1">
        <f>[22]FormattedData!A90</f>
        <v>402</v>
      </c>
      <c r="C35" s="1" t="str">
        <f>VLOOKUP($B35,[22]TrtCodes!$B$11:I130,2)</f>
        <v>NTH</v>
      </c>
      <c r="D35" s="1">
        <f>VLOOKUP($B35,[22]TrtCodes!$B$11:J130,3)</f>
        <v>9</v>
      </c>
      <c r="E35" s="1">
        <f>VLOOKUP($B35,[22]TrtCodes!$B$11:K130,4)</f>
        <v>2</v>
      </c>
      <c r="F35" s="1">
        <f>VLOOKUP($B35,[22]TrtCodes!$B$11:L130,5)</f>
        <v>2</v>
      </c>
      <c r="G35" s="1">
        <f>VLOOKUP($B35,[22]TrtCodes!$B$11:M130,6)</f>
        <v>2</v>
      </c>
      <c r="H35" s="1">
        <f>VLOOKUP($B35,[22]TrtCodes!$B$11:N130,7)</f>
        <v>3</v>
      </c>
      <c r="I35" s="1">
        <f>[22]FormattedData!B90</f>
        <v>1</v>
      </c>
      <c r="J35" s="4">
        <f>[22]FormattedData!C90</f>
        <v>13.712</v>
      </c>
      <c r="K35" s="6">
        <f>$J$3+[22]FormattedData!D90*$J$4+$M$4*$J$5+[22]FormattedData!D90^2*$J$6+$M$5*$J$7</f>
        <v>33.155044589993317</v>
      </c>
      <c r="L35" s="6">
        <f>$J$3+[22]FormattedData!E90*$J$4+$M$4*$J$5+[22]FormattedData!E90^2*$J$6+$M$5*$J$7</f>
        <v>30.161677979024262</v>
      </c>
      <c r="M35" s="6">
        <f>$J$3+[22]FormattedData!F90*$J$4+$M$4*$J$5+[22]FormattedData!F90^2*$J$6+$M$5*$J$7</f>
        <v>34.398238560486881</v>
      </c>
      <c r="N35" s="6">
        <f>$J$3+[22]FormattedData!G90*$J$4+$M$4*$J$5+[22]FormattedData!G90^2*$J$6+$M$5*$J$7</f>
        <v>30.356024193138399</v>
      </c>
      <c r="O35" s="6">
        <f>$J$3+[22]FormattedData!H90*$J$4+$M$4*$J$5+[22]FormattedData!H90^2*$J$6+$M$5*$J$7</f>
        <v>33.920932404132593</v>
      </c>
      <c r="P35" s="6">
        <f>$J$3+[22]FormattedData!I90*$J$4+$M$4*$J$5+[22]FormattedData!I90^2*$J$6+$M$5*$J$7</f>
        <v>30.258872220350291</v>
      </c>
      <c r="Q35" s="6">
        <f>$J$3+[22]FormattedData!J90*$J$4+$M$4*$J$5+[22]FormattedData!J90^2*$J$6+$M$5*$J$7</f>
        <v>31.228489864024411</v>
      </c>
      <c r="R35" s="6">
        <f>$J$3+[22]FormattedData!K90*$J$4+$M$4*$J$5+[22]FormattedData!K90^2*$J$6+$M$5*$J$7</f>
        <v>30.647226500275117</v>
      </c>
      <c r="S35" s="6">
        <f>$J$3+[22]FormattedData!L90*$J$4+$M$4*$J$5+[22]FormattedData!L90^2*$J$6+$M$5*$J$7</f>
        <v>30.841150029009942</v>
      </c>
      <c r="T35" s="6">
        <f>$J$3+[22]FormattedData!M90*$J$4+$M$4*$J$5+[22]FormattedData!M90^2*$J$6+$M$5*$J$7</f>
        <v>31.808231560408196</v>
      </c>
      <c r="U35" s="6">
        <f>$J$3+[22]FormattedData!N90*$J$4+$M$4*$J$5+[22]FormattedData!N90^2*$J$6+$M$5*$J$7</f>
        <v>30.647226500275117</v>
      </c>
      <c r="V35" s="6">
        <f>$J$3+[22]FormattedData!O90*$J$4+$M$4*$J$5+[22]FormattedData!O90^2*$J$6+$M$5*$J$7</f>
        <v>31.421906170304066</v>
      </c>
      <c r="W35" s="5">
        <f t="shared" si="0"/>
        <v>31.570418380951882</v>
      </c>
      <c r="X35" s="4">
        <f t="shared" si="1"/>
        <v>0.42322628430671161</v>
      </c>
      <c r="Y35" s="3">
        <f t="shared" si="2"/>
        <v>30.161677979024262</v>
      </c>
      <c r="Z35" s="2">
        <f t="shared" si="3"/>
        <v>30.574425923490939</v>
      </c>
      <c r="AA35" s="3">
        <f t="shared" si="4"/>
        <v>31.034819946517175</v>
      </c>
      <c r="AB35" s="2">
        <f t="shared" si="5"/>
        <v>32.144934817804476</v>
      </c>
      <c r="AC35" s="2">
        <f t="shared" si="6"/>
        <v>34.398238560486881</v>
      </c>
      <c r="AD35" s="2">
        <f t="shared" si="7"/>
        <v>1.0642986046393934</v>
      </c>
      <c r="AE35" s="2">
        <f t="shared" si="8"/>
        <v>-0.2270430918221531</v>
      </c>
    </row>
    <row r="36" spans="2:31" x14ac:dyDescent="0.2">
      <c r="B36" s="1">
        <f>[22]FormattedData!A88</f>
        <v>403</v>
      </c>
      <c r="C36" s="1" t="str">
        <f>VLOOKUP($B36,[22]TrtCodes!$B$11:I131,2)</f>
        <v>FDL</v>
      </c>
      <c r="D36" s="1">
        <f>VLOOKUP($B36,[22]TrtCodes!$B$11:J131,3)</f>
        <v>6</v>
      </c>
      <c r="E36" s="1">
        <f>VLOOKUP($B36,[22]TrtCodes!$B$11:K131,4)</f>
        <v>1</v>
      </c>
      <c r="F36" s="1">
        <f>VLOOKUP($B36,[22]TrtCodes!$B$11:L131,5)</f>
        <v>3</v>
      </c>
      <c r="G36" s="1">
        <f>VLOOKUP($B36,[22]TrtCodes!$B$11:M131,6)</f>
        <v>1</v>
      </c>
      <c r="H36" s="1">
        <f>VLOOKUP($B36,[22]TrtCodes!$B$11:N131,7)</f>
        <v>3</v>
      </c>
      <c r="I36" s="1">
        <f>[22]FormattedData!B88</f>
        <v>1</v>
      </c>
      <c r="J36" s="4">
        <f>[22]FormattedData!C88</f>
        <v>13.695</v>
      </c>
      <c r="K36" s="6">
        <f>$J$3+[22]FormattedData!D88*$J$4+$M$4*$J$5+[22]FormattedData!D88^2*$J$6+$M$5*$J$7</f>
        <v>28.894306404834094</v>
      </c>
      <c r="L36" s="6">
        <f>$J$3+[22]FormattedData!E88*$J$4+$M$4*$J$5+[22]FormattedData!E88^2*$J$6+$M$5*$J$7</f>
        <v>28.796520403977024</v>
      </c>
      <c r="M36" s="6">
        <f>$J$3+[22]FormattedData!F88*$J$4+$M$4*$J$5+[22]FormattedData!F88^2*$J$6+$M$5*$J$7</f>
        <v>28.992050137153232</v>
      </c>
      <c r="N36" s="6">
        <f>$J$3+[22]FormattedData!G88*$J$4+$M$4*$J$5+[22]FormattedData!G88^2*$J$6+$M$5*$J$7</f>
        <v>29.187410796177716</v>
      </c>
      <c r="O36" s="6">
        <f>$J$3+[22]FormattedData!H88*$J$4+$M$4*$J$5+[22]FormattedData!H88^2*$J$6+$M$5*$J$7</f>
        <v>28.796520403977024</v>
      </c>
      <c r="P36" s="6">
        <f>$J$3+[22]FormattedData!I88*$J$4+$M$4*$J$5+[22]FormattedData!I88^2*$J$6+$M$5*$J$7</f>
        <v>29.089751600934438</v>
      </c>
      <c r="Q36" s="6">
        <f>$J$3+[22]FormattedData!J88*$J$4+$M$4*$J$5+[22]FormattedData!J88^2*$J$6+$M$5*$J$7</f>
        <v>29.187410796177716</v>
      </c>
      <c r="R36" s="6">
        <f>$J$3+[22]FormattedData!K88*$J$4+$M$4*$J$5+[22]FormattedData!K88^2*$J$6+$M$5*$J$7</f>
        <v>29.089751600934438</v>
      </c>
      <c r="S36" s="6">
        <f>$J$3+[22]FormattedData!L88*$J$4+$M$4*$J$5+[22]FormattedData!L88^2*$J$6+$M$5*$J$7</f>
        <v>30.161677979024262</v>
      </c>
      <c r="T36" s="6">
        <f>$J$3+[22]FormattedData!M88*$J$4+$M$4*$J$5+[22]FormattedData!M88^2*$J$6+$M$5*$J$7</f>
        <v>28.796520403977024</v>
      </c>
      <c r="U36" s="6">
        <f>$J$3+[22]FormattedData!N88*$J$4+$M$4*$J$5+[22]FormattedData!N88^2*$J$6+$M$5*$J$7</f>
        <v>29.187410796177716</v>
      </c>
      <c r="V36" s="6">
        <f>$J$3+[22]FormattedData!O88*$J$4+$M$4*$J$5+[22]FormattedData!O88^2*$J$6+$M$5*$J$7</f>
        <v>29.187410796177716</v>
      </c>
      <c r="W36" s="5">
        <f t="shared" si="0"/>
        <v>29.113895176626869</v>
      </c>
      <c r="X36" s="4">
        <f t="shared" si="1"/>
        <v>0.10609738565494128</v>
      </c>
      <c r="Y36" s="3">
        <f t="shared" si="2"/>
        <v>28.796520403977024</v>
      </c>
      <c r="Z36" s="2">
        <f t="shared" si="3"/>
        <v>28.869859904619826</v>
      </c>
      <c r="AA36" s="3">
        <f t="shared" si="4"/>
        <v>29.089751600934438</v>
      </c>
      <c r="AB36" s="2">
        <f t="shared" si="5"/>
        <v>29.187410796177716</v>
      </c>
      <c r="AC36" s="2">
        <f t="shared" si="6"/>
        <v>30.161677979024262</v>
      </c>
      <c r="AD36" s="2">
        <f t="shared" si="7"/>
        <v>2.2930988262210135</v>
      </c>
      <c r="AE36" s="2">
        <f t="shared" si="8"/>
        <v>6.661143165982752</v>
      </c>
    </row>
    <row r="37" spans="2:31" x14ac:dyDescent="0.2">
      <c r="B37" s="1">
        <f>[22]FormattedData!A86</f>
        <v>404</v>
      </c>
      <c r="C37" s="1" t="str">
        <f>VLOOKUP($B37,[22]TrtCodes!$B$11:I129,2)</f>
        <v>FTH</v>
      </c>
      <c r="D37" s="1">
        <f>VLOOKUP($B37,[22]TrtCodes!$B$11:J129,3)</f>
        <v>3</v>
      </c>
      <c r="E37" s="1">
        <f>VLOOKUP($B37,[22]TrtCodes!$B$11:K129,4)</f>
        <v>1</v>
      </c>
      <c r="F37" s="1">
        <f>VLOOKUP($B37,[22]TrtCodes!$B$11:L129,5)</f>
        <v>2</v>
      </c>
      <c r="G37" s="1">
        <f>VLOOKUP($B37,[22]TrtCodes!$B$11:M129,6)</f>
        <v>2</v>
      </c>
      <c r="H37" s="1">
        <f>VLOOKUP($B37,[22]TrtCodes!$B$11:N129,7)</f>
        <v>3</v>
      </c>
      <c r="I37" s="1">
        <f>[22]FormattedData!B86</f>
        <v>1</v>
      </c>
      <c r="J37" s="4">
        <f>[22]FormattedData!C86</f>
        <v>13.676</v>
      </c>
      <c r="K37" s="6">
        <f>$J$3+[22]FormattedData!D86*$J$4+$M$4*$J$5+[22]FormattedData!D86^2*$J$6+$M$5*$J$7</f>
        <v>28.796520403977024</v>
      </c>
      <c r="L37" s="6">
        <f>$J$3+[22]FormattedData!E86*$J$4+$M$4*$J$5+[22]FormattedData!E86^2*$J$6+$M$5*$J$7</f>
        <v>28.796520403977024</v>
      </c>
      <c r="M37" s="6">
        <f>$J$3+[22]FormattedData!F86*$J$4+$M$4*$J$5+[22]FormattedData!F86^2*$J$6+$M$5*$J$7</f>
        <v>28.796520403977024</v>
      </c>
      <c r="N37" s="6">
        <f>$J$3+[22]FormattedData!G86*$J$4+$M$4*$J$5+[22]FormattedData!G86^2*$J$6+$M$5*$J$7</f>
        <v>28.992050137153232</v>
      </c>
      <c r="O37" s="6">
        <f>$J$3+[22]FormattedData!H86*$J$4+$M$4*$J$5+[22]FormattedData!H86^2*$J$6+$M$5*$J$7</f>
        <v>28.992050137153232</v>
      </c>
      <c r="P37" s="6">
        <f>$J$3+[22]FormattedData!I86*$J$4+$M$4*$J$5+[22]FormattedData!I86^2*$J$6+$M$5*$J$7</f>
        <v>29.089751600934438</v>
      </c>
      <c r="Q37" s="6">
        <f>$J$3+[22]FormattedData!J86*$J$4+$M$4*$J$5+[22]FormattedData!J86^2*$J$6+$M$5*$J$7</f>
        <v>28.110834878915465</v>
      </c>
      <c r="R37" s="6">
        <f>$J$3+[22]FormattedData!K86*$J$4+$M$4*$J$5+[22]FormattedData!K86^2*$J$6+$M$5*$J$7</f>
        <v>28.110834878915465</v>
      </c>
      <c r="S37" s="6">
        <f>$J$3+[22]FormattedData!L86*$J$4+$M$4*$J$5+[22]FormattedData!L86^2*$J$6+$M$5*$J$7</f>
        <v>28.208916759538052</v>
      </c>
      <c r="T37" s="6">
        <f>$J$3+[22]FormattedData!M86*$J$4+$M$4*$J$5+[22]FormattedData!M86^2*$J$6+$M$5*$J$7</f>
        <v>28.01271072975495</v>
      </c>
      <c r="U37" s="6">
        <f>$J$3+[22]FormattedData!N86*$J$4+$M$4*$J$5+[22]FormattedData!N86^2*$J$6+$M$5*$J$7</f>
        <v>29.089751600934438</v>
      </c>
      <c r="V37" s="6">
        <f>$J$3+[22]FormattedData!O86*$J$4+$M$4*$J$5+[22]FormattedData!O86^2*$J$6+$M$5*$J$7</f>
        <v>27.914544312056499</v>
      </c>
      <c r="W37" s="5">
        <f t="shared" si="0"/>
        <v>28.575917187273898</v>
      </c>
      <c r="X37" s="4">
        <f t="shared" si="1"/>
        <v>0.1332089446062962</v>
      </c>
      <c r="Y37" s="3">
        <f t="shared" si="2"/>
        <v>27.914544312056499</v>
      </c>
      <c r="Z37" s="2">
        <f t="shared" si="3"/>
        <v>28.110834878915465</v>
      </c>
      <c r="AA37" s="3">
        <f t="shared" si="4"/>
        <v>28.796520403977024</v>
      </c>
      <c r="AB37" s="2">
        <f t="shared" si="5"/>
        <v>28.992050137153232</v>
      </c>
      <c r="AC37" s="2">
        <f t="shared" si="6"/>
        <v>29.089751600934438</v>
      </c>
      <c r="AD37" s="2">
        <f t="shared" si="7"/>
        <v>-0.30077663886612432</v>
      </c>
      <c r="AE37" s="2">
        <f t="shared" si="8"/>
        <v>-1.912840828795455</v>
      </c>
    </row>
    <row r="38" spans="2:31" x14ac:dyDescent="0.2">
      <c r="B38" s="1">
        <f>[22]FormattedData!A84</f>
        <v>405</v>
      </c>
      <c r="C38" s="1" t="str">
        <f>VLOOKUP($B38,[22]TrtCodes!$B$11:I127,2)</f>
        <v>FDL</v>
      </c>
      <c r="D38" s="1">
        <f>VLOOKUP($B38,[22]TrtCodes!$B$11:J127,3)</f>
        <v>6</v>
      </c>
      <c r="E38" s="1">
        <f>VLOOKUP($B38,[22]TrtCodes!$B$11:K127,4)</f>
        <v>1</v>
      </c>
      <c r="F38" s="1">
        <f>VLOOKUP($B38,[22]TrtCodes!$B$11:L127,5)</f>
        <v>3</v>
      </c>
      <c r="G38" s="1">
        <f>VLOOKUP($B38,[22]TrtCodes!$B$11:M127,6)</f>
        <v>1</v>
      </c>
      <c r="H38" s="1">
        <f>VLOOKUP($B38,[22]TrtCodes!$B$11:N127,7)</f>
        <v>4</v>
      </c>
      <c r="I38" s="1">
        <f>[22]FormattedData!B84</f>
        <v>1</v>
      </c>
      <c r="J38" s="4">
        <f>[22]FormattedData!C84</f>
        <v>13.657999999999999</v>
      </c>
      <c r="K38" s="6">
        <f>$J$3+[22]FormattedData!D84*$J$4+$M$4*$J$5+[22]FormattedData!D84^2*$J$6+$M$5*$J$7</f>
        <v>28.894306404834094</v>
      </c>
      <c r="L38" s="6">
        <f>$J$3+[22]FormattedData!E84*$J$4+$M$4*$J$5+[22]FormattedData!E84^2*$J$6+$M$5*$J$7</f>
        <v>28.894306404834094</v>
      </c>
      <c r="M38" s="6">
        <f>$J$3+[22]FormattedData!F84*$J$4+$M$4*$J$5+[22]FormattedData!F84^2*$J$6+$M$5*$J$7</f>
        <v>29.187410796177716</v>
      </c>
      <c r="N38" s="6">
        <f>$J$3+[22]FormattedData!G84*$J$4+$M$4*$J$5+[22]FormattedData!G84^2*$J$6+$M$5*$J$7</f>
        <v>28.01271072975495</v>
      </c>
      <c r="O38" s="6">
        <f>$J$3+[22]FormattedData!H84*$J$4+$M$4*$J$5+[22]FormattedData!H84^2*$J$6+$M$5*$J$7</f>
        <v>28.992050137153232</v>
      </c>
      <c r="P38" s="6">
        <f>$J$3+[22]FormattedData!I84*$J$4+$M$4*$J$5+[22]FormattedData!I84^2*$J$6+$M$5*$J$7</f>
        <v>28.796520403977024</v>
      </c>
      <c r="Q38" s="6">
        <f>$J$3+[22]FormattedData!J84*$J$4+$M$4*$J$5+[22]FormattedData!J84^2*$J$6+$M$5*$J$7</f>
        <v>29.187410796177716</v>
      </c>
      <c r="R38" s="6">
        <f>$J$3+[22]FormattedData!K84*$J$4+$M$4*$J$5+[22]FormattedData!K84^2*$J$6+$M$5*$J$7</f>
        <v>28.796520403977024</v>
      </c>
      <c r="S38" s="6">
        <f>$J$3+[22]FormattedData!L84*$J$4+$M$4*$J$5+[22]FormattedData!L84^2*$J$6+$M$5*$J$7</f>
        <v>29.382602381050472</v>
      </c>
      <c r="T38" s="6">
        <f>$J$3+[22]FormattedData!M84*$J$4+$M$4*$J$5+[22]FormattedData!M84^2*$J$6+$M$5*$J$7</f>
        <v>28.110834878915465</v>
      </c>
      <c r="U38" s="6">
        <f>$J$3+[22]FormattedData!N84*$J$4+$M$4*$J$5+[22]FormattedData!N84^2*$J$6+$M$5*$J$7</f>
        <v>28.992050137153232</v>
      </c>
      <c r="V38" s="6">
        <f>$J$3+[22]FormattedData!O84*$J$4+$M$4*$J$5+[22]FormattedData!O84^2*$J$6+$M$5*$J$7</f>
        <v>28.992050137153232</v>
      </c>
      <c r="W38" s="5">
        <f t="shared" si="0"/>
        <v>28.853231134263183</v>
      </c>
      <c r="X38" s="4">
        <f t="shared" si="1"/>
        <v>0.11770634609970788</v>
      </c>
      <c r="Y38" s="3">
        <f t="shared" si="2"/>
        <v>28.01271072975495</v>
      </c>
      <c r="Z38" s="2">
        <f t="shared" si="3"/>
        <v>28.796520403977024</v>
      </c>
      <c r="AA38" s="3">
        <f t="shared" si="4"/>
        <v>28.943178270993663</v>
      </c>
      <c r="AB38" s="2">
        <f t="shared" si="5"/>
        <v>29.040890301909354</v>
      </c>
      <c r="AC38" s="2">
        <f t="shared" si="6"/>
        <v>29.382602381050472</v>
      </c>
      <c r="AD38" s="2">
        <f t="shared" si="7"/>
        <v>-1.2426328536478195</v>
      </c>
      <c r="AE38" s="2">
        <f t="shared" si="8"/>
        <v>1.1399833859052393</v>
      </c>
    </row>
    <row r="39" spans="2:31" x14ac:dyDescent="0.2">
      <c r="B39" s="1">
        <f>[22]FormattedData!A82</f>
        <v>406</v>
      </c>
      <c r="C39" s="1" t="str">
        <f>VLOOKUP($B39,[22]TrtCodes!$B$11:I125,2)</f>
        <v>FTH</v>
      </c>
      <c r="D39" s="1">
        <f>VLOOKUP($B39,[22]TrtCodes!$B$11:J125,3)</f>
        <v>3</v>
      </c>
      <c r="E39" s="1">
        <f>VLOOKUP($B39,[22]TrtCodes!$B$11:K125,4)</f>
        <v>1</v>
      </c>
      <c r="F39" s="1">
        <f>VLOOKUP($B39,[22]TrtCodes!$B$11:L125,5)</f>
        <v>2</v>
      </c>
      <c r="G39" s="1">
        <f>VLOOKUP($B39,[22]TrtCodes!$B$11:M125,6)</f>
        <v>2</v>
      </c>
      <c r="H39" s="1">
        <f>VLOOKUP($B39,[22]TrtCodes!$B$11:N125,7)</f>
        <v>4</v>
      </c>
      <c r="I39" s="1">
        <f>[22]FormattedData!B82</f>
        <v>1</v>
      </c>
      <c r="J39" s="4">
        <f>[22]FormattedData!C82</f>
        <v>13.638</v>
      </c>
      <c r="K39" s="6">
        <f>$J$3+[22]FormattedData!D82*$J$4+$M$4*$J$5+[22]FormattedData!D82^2*$J$6+$M$5*$J$7</f>
        <v>29.869841643818578</v>
      </c>
      <c r="L39" s="6">
        <f>$J$3+[22]FormattedData!E82*$J$4+$M$4*$J$5+[22]FormattedData!E82^2*$J$6+$M$5*$J$7</f>
        <v>27.914544312056499</v>
      </c>
      <c r="M39" s="6">
        <f>$J$3+[22]FormattedData!F82*$J$4+$M$4*$J$5+[22]FormattedData!F82^2*$J$6+$M$5*$J$7</f>
        <v>28.600821596649091</v>
      </c>
      <c r="N39" s="6">
        <f>$J$3+[22]FormattedData!G82*$J$4+$M$4*$J$5+[22]FormattedData!G82^2*$J$6+$M$5*$J$7</f>
        <v>27.816335625820116</v>
      </c>
      <c r="O39" s="6">
        <f>$J$3+[22]FormattedData!H82*$J$4+$M$4*$J$5+[22]FormattedData!H82^2*$J$6+$M$5*$J$7</f>
        <v>27.816335625820116</v>
      </c>
      <c r="P39" s="6">
        <f>$J$3+[22]FormattedData!I82*$J$4+$M$4*$J$5+[22]FormattedData!I82^2*$J$6+$M$5*$J$7</f>
        <v>28.404953715169434</v>
      </c>
      <c r="Q39" s="6">
        <f>$J$3+[22]FormattedData!J82*$J$4+$M$4*$J$5+[22]FormattedData!J82^2*$J$6+$M$5*$J$7</f>
        <v>28.01271072975495</v>
      </c>
      <c r="R39" s="6">
        <f>$J$3+[22]FormattedData!K82*$J$4+$M$4*$J$5+[22]FormattedData!K82^2*$J$6+$M$5*$J$7</f>
        <v>28.796520403977024</v>
      </c>
      <c r="S39" s="6">
        <f>$J$3+[22]FormattedData!L82*$J$4+$M$4*$J$5+[22]FormattedData!L82^2*$J$6+$M$5*$J$7</f>
        <v>27.718084671045805</v>
      </c>
      <c r="T39" s="6">
        <f>$J$3+[22]FormattedData!M82*$J$4+$M$4*$J$5+[22]FormattedData!M82^2*$J$6+$M$5*$J$7</f>
        <v>28.894306404834094</v>
      </c>
      <c r="U39" s="6">
        <f>$J$3+[22]FormattedData!N82*$J$4+$M$4*$J$5+[22]FormattedData!N82^2*$J$6+$M$5*$J$7</f>
        <v>27.52145595588339</v>
      </c>
      <c r="V39" s="6">
        <f>$J$3+[22]FormattedData!O82*$J$4+$M$4*$J$5+[22]FormattedData!O82^2*$J$6+$M$5*$J$7</f>
        <v>28.502908790178228</v>
      </c>
      <c r="W39" s="5">
        <f t="shared" si="0"/>
        <v>28.32240162291728</v>
      </c>
      <c r="X39" s="4">
        <f t="shared" si="1"/>
        <v>0.19157489724502372</v>
      </c>
      <c r="Y39" s="3">
        <f t="shared" si="2"/>
        <v>27.52145595588339</v>
      </c>
      <c r="Z39" s="2">
        <f t="shared" si="3"/>
        <v>27.816335625820116</v>
      </c>
      <c r="AA39" s="3">
        <f t="shared" si="4"/>
        <v>28.208832222462192</v>
      </c>
      <c r="AB39" s="2">
        <f t="shared" si="5"/>
        <v>28.649746298481073</v>
      </c>
      <c r="AC39" s="2">
        <f t="shared" si="6"/>
        <v>29.869841643818578</v>
      </c>
      <c r="AD39" s="2">
        <f t="shared" si="7"/>
        <v>1.0958055650320864</v>
      </c>
      <c r="AE39" s="2">
        <f t="shared" si="8"/>
        <v>1.3379229480081332</v>
      </c>
    </row>
    <row r="40" spans="2:31" x14ac:dyDescent="0.2">
      <c r="B40" s="1">
        <f>[22]FormattedData!A80</f>
        <v>407</v>
      </c>
      <c r="C40" s="1" t="str">
        <f>VLOOKUP($B40,[22]TrtCodes!$B$11:I123,2)</f>
        <v>NSH</v>
      </c>
      <c r="D40" s="1">
        <f>VLOOKUP($B40,[22]TrtCodes!$B$11:J123,3)</f>
        <v>7</v>
      </c>
      <c r="E40" s="1">
        <f>VLOOKUP($B40,[22]TrtCodes!$B$11:K123,4)</f>
        <v>2</v>
      </c>
      <c r="F40" s="1">
        <f>VLOOKUP($B40,[22]TrtCodes!$B$11:L123,5)</f>
        <v>1</v>
      </c>
      <c r="G40" s="1">
        <f>VLOOKUP($B40,[22]TrtCodes!$B$11:M123,6)</f>
        <v>2</v>
      </c>
      <c r="H40" s="1">
        <f>VLOOKUP($B40,[22]TrtCodes!$B$11:N123,7)</f>
        <v>4</v>
      </c>
      <c r="I40" s="1">
        <f>[22]FormattedData!B80</f>
        <v>1</v>
      </c>
      <c r="J40" s="4">
        <f>[22]FormattedData!C80</f>
        <v>13.619</v>
      </c>
      <c r="K40" s="6">
        <f>$J$3+[22]FormattedData!D80*$J$4+$M$4*$J$5+[22]FormattedData!D80^2*$J$6+$M$5*$J$7</f>
        <v>31.228489864024411</v>
      </c>
      <c r="L40" s="6">
        <f>$J$3+[22]FormattedData!E80*$J$4+$M$4*$J$5+[22]FormattedData!E80^2*$J$6+$M$5*$J$7</f>
        <v>29.675072744325128</v>
      </c>
      <c r="M40" s="6">
        <f>$J$3+[22]FormattedData!F80*$J$4+$M$4*$J$5+[22]FormattedData!F80^2*$J$6+$M$5*$J$7</f>
        <v>30.258872220350291</v>
      </c>
      <c r="N40" s="6">
        <f>$J$3+[22]FormattedData!G80*$J$4+$M$4*$J$5+[22]FormattedData!G80^2*$J$6+$M$5*$J$7</f>
        <v>29.675072744325128</v>
      </c>
      <c r="O40" s="6">
        <f>$J$3+[22]FormattedData!H80*$J$4+$M$4*$J$5+[22]FormattedData!H80^2*$J$6+$M$5*$J$7</f>
        <v>30.258872220350291</v>
      </c>
      <c r="P40" s="6">
        <f>$J$3+[22]FormattedData!I80*$J$4+$M$4*$J$5+[22]FormattedData!I80^2*$J$6+$M$5*$J$7</f>
        <v>30.064441469160293</v>
      </c>
      <c r="Q40" s="6">
        <f>$J$3+[22]FormattedData!J80*$J$4+$M$4*$J$5+[22]FormattedData!J80^2*$J$6+$M$5*$J$7</f>
        <v>30.356024193138399</v>
      </c>
      <c r="R40" s="6">
        <f>$J$3+[22]FormattedData!K80*$J$4+$M$4*$J$5+[22]FormattedData!K80^2*$J$6+$M$5*$J$7</f>
        <v>30.550201333100805</v>
      </c>
      <c r="S40" s="6">
        <f>$J$3+[22]FormattedData!L80*$J$4+$M$4*$J$5+[22]FormattedData!L80^2*$J$6+$M$5*$J$7</f>
        <v>29.577624891771503</v>
      </c>
      <c r="T40" s="6">
        <f>$J$3+[22]FormattedData!M80*$J$4+$M$4*$J$5+[22]FormattedData!M80^2*$J$6+$M$5*$J$7</f>
        <v>30.550201333100805</v>
      </c>
      <c r="U40" s="6">
        <f>$J$3+[22]FormattedData!N80*$J$4+$M$4*$J$5+[22]FormattedData!N80^2*$J$6+$M$5*$J$7</f>
        <v>29.187410796177716</v>
      </c>
      <c r="V40" s="6">
        <f>$J$3+[22]FormattedData!O80*$J$4+$M$4*$J$5+[22]FormattedData!O80^2*$J$6+$M$5*$J$7</f>
        <v>31.228489864024411</v>
      </c>
      <c r="W40" s="5">
        <f t="shared" si="0"/>
        <v>30.217564472820769</v>
      </c>
      <c r="X40" s="4">
        <f t="shared" si="1"/>
        <v>0.18196318057203989</v>
      </c>
      <c r="Y40" s="3">
        <f t="shared" si="2"/>
        <v>29.187410796177716</v>
      </c>
      <c r="Z40" s="2">
        <f t="shared" si="3"/>
        <v>29.675072744325128</v>
      </c>
      <c r="AA40" s="3">
        <f t="shared" si="4"/>
        <v>30.258872220350291</v>
      </c>
      <c r="AB40" s="2">
        <f t="shared" si="5"/>
        <v>30.550201333100805</v>
      </c>
      <c r="AC40" s="2">
        <f t="shared" si="6"/>
        <v>31.228489864024411</v>
      </c>
      <c r="AD40" s="2">
        <f t="shared" si="7"/>
        <v>0.20232320724175848</v>
      </c>
      <c r="AE40" s="2">
        <f t="shared" si="8"/>
        <v>-0.45861740628302261</v>
      </c>
    </row>
    <row r="41" spans="2:31" x14ac:dyDescent="0.2">
      <c r="B41" s="1">
        <f>[22]FormattedData!A78</f>
        <v>408</v>
      </c>
      <c r="C41" s="1" t="str">
        <f>VLOOKUP($B41,[22]TrtCodes!$B$11:I121,2)</f>
        <v>NTL</v>
      </c>
      <c r="D41" s="1">
        <f>VLOOKUP($B41,[22]TrtCodes!$B$11:J121,3)</f>
        <v>10</v>
      </c>
      <c r="E41" s="1">
        <f>VLOOKUP($B41,[22]TrtCodes!$B$11:K121,4)</f>
        <v>2</v>
      </c>
      <c r="F41" s="1">
        <f>VLOOKUP($B41,[22]TrtCodes!$B$11:L121,5)</f>
        <v>2</v>
      </c>
      <c r="G41" s="1">
        <f>VLOOKUP($B41,[22]TrtCodes!$B$11:M121,6)</f>
        <v>1</v>
      </c>
      <c r="H41" s="1">
        <f>VLOOKUP($B41,[22]TrtCodes!$B$11:N121,7)</f>
        <v>4</v>
      </c>
      <c r="I41" s="1">
        <f>[22]FormattedData!B78</f>
        <v>1</v>
      </c>
      <c r="J41" s="4">
        <f>[22]FormattedData!C78</f>
        <v>13.6</v>
      </c>
      <c r="K41" s="6">
        <f>$J$3+[22]FormattedData!D78*$J$4+$M$4*$J$5+[22]FormattedData!D78^2*$J$6+$M$5*$J$7</f>
        <v>30.550201333100805</v>
      </c>
      <c r="L41" s="6">
        <f>$J$3+[22]FormattedData!E78*$J$4+$M$4*$J$5+[22]FormattedData!E78^2*$J$6+$M$5*$J$7</f>
        <v>28.992050137153232</v>
      </c>
      <c r="M41" s="6">
        <f>$J$3+[22]FormattedData!F78*$J$4+$M$4*$J$5+[22]FormattedData!F78^2*$J$6+$M$5*$J$7</f>
        <v>33.155044589993317</v>
      </c>
      <c r="N41" s="6">
        <f>$J$3+[22]FormattedData!G78*$J$4+$M$4*$J$5+[22]FormattedData!G78^2*$J$6+$M$5*$J$7</f>
        <v>29.187410796177716</v>
      </c>
      <c r="O41" s="6">
        <f>$J$3+[22]FormattedData!H78*$J$4+$M$4*$J$5+[22]FormattedData!H78^2*$J$6+$M$5*$J$7</f>
        <v>32.193880653905417</v>
      </c>
      <c r="P41" s="6">
        <f>$J$3+[22]FormattedData!I78*$J$4+$M$4*$J$5+[22]FormattedData!I78^2*$J$6+$M$5*$J$7</f>
        <v>30.161677979024262</v>
      </c>
      <c r="Q41" s="6">
        <f>$J$3+[22]FormattedData!J78*$J$4+$M$4*$J$5+[22]FormattedData!J78^2*$J$6+$M$5*$J$7</f>
        <v>30.550201333100805</v>
      </c>
      <c r="R41" s="6">
        <f>$J$3+[22]FormattedData!K78*$J$4+$M$4*$J$5+[22]FormattedData!K78^2*$J$6+$M$5*$J$7</f>
        <v>31.131718308077694</v>
      </c>
      <c r="S41" s="6">
        <f>$J$3+[22]FormattedData!L78*$J$4+$M$4*$J$5+[22]FormattedData!L78^2*$J$6+$M$5*$J$7</f>
        <v>30.064441469160293</v>
      </c>
      <c r="T41" s="6">
        <f>$J$3+[22]FormattedData!M78*$J$4+$M$4*$J$5+[22]FormattedData!M78^2*$J$6+$M$5*$J$7</f>
        <v>30.064441469160293</v>
      </c>
      <c r="U41" s="6">
        <f>$J$3+[22]FormattedData!N78*$J$4+$M$4*$J$5+[22]FormattedData!N78^2*$J$6+$M$5*$J$7</f>
        <v>31.228489864024411</v>
      </c>
      <c r="V41" s="6">
        <f>$J$3+[22]FormattedData!O78*$J$4+$M$4*$J$5+[22]FormattedData!O78^2*$J$6+$M$5*$J$7</f>
        <v>30.938048390570454</v>
      </c>
      <c r="W41" s="5">
        <f t="shared" si="0"/>
        <v>30.684800526954053</v>
      </c>
      <c r="X41" s="4">
        <f t="shared" si="1"/>
        <v>0.33851344289360774</v>
      </c>
      <c r="Y41" s="3">
        <f t="shared" si="2"/>
        <v>28.992050137153232</v>
      </c>
      <c r="Z41" s="2">
        <f t="shared" si="3"/>
        <v>30.064441469160293</v>
      </c>
      <c r="AA41" s="3">
        <f t="shared" si="4"/>
        <v>30.550201333100805</v>
      </c>
      <c r="AB41" s="2">
        <f t="shared" si="5"/>
        <v>31.155911197064373</v>
      </c>
      <c r="AC41" s="2">
        <f t="shared" si="6"/>
        <v>33.155044589993317</v>
      </c>
      <c r="AD41" s="2">
        <f t="shared" si="7"/>
        <v>0.67269231405748531</v>
      </c>
      <c r="AE41" s="2">
        <f t="shared" si="8"/>
        <v>0.64695897902559363</v>
      </c>
    </row>
    <row r="42" spans="2:31" x14ac:dyDescent="0.2">
      <c r="B42" s="17">
        <f>[22]FormattedData!A60</f>
        <v>901</v>
      </c>
      <c r="C42" s="17" t="str">
        <f>VLOOKUP($B42,[22]TrtCodes!$B$11:I103,2)</f>
        <v>WS</v>
      </c>
      <c r="D42" s="17">
        <f>VLOOKUP($B42,[22]TrtCodes!$B$11:J103,3)</f>
        <v>32</v>
      </c>
      <c r="E42" s="17">
        <f>VLOOKUP($B42,[22]TrtCodes!$B$11:K103,4)</f>
        <v>9</v>
      </c>
      <c r="F42" s="17">
        <f>VLOOKUP($B42,[22]TrtCodes!$B$11:L103,5)</f>
        <v>0</v>
      </c>
      <c r="G42" s="17">
        <f>VLOOKUP($B42,[22]TrtCodes!$B$11:M103,6)</f>
        <v>1</v>
      </c>
      <c r="H42" s="17">
        <f>VLOOKUP($B42,[22]TrtCodes!$B$11:N103,7)</f>
        <v>1</v>
      </c>
      <c r="I42" s="17">
        <f>[22]FormattedData!B60</f>
        <v>1</v>
      </c>
      <c r="J42" s="15">
        <f>[22]FormattedData!C60</f>
        <v>13.43</v>
      </c>
      <c r="K42" s="14">
        <f>$J$3+[22]FormattedData!D60*$J$4+$M$4*$J$5+[22]FormattedData!D60^2*$J$6+$M$5*$J$7</f>
        <v>34.016478172479303</v>
      </c>
      <c r="L42" s="14">
        <f>$J$3+[22]FormattedData!E60*$J$4+$M$4*$J$5+[22]FormattedData!E60^2*$J$6+$M$5*$J$7</f>
        <v>33.920932404132593</v>
      </c>
      <c r="M42" s="14">
        <f>$J$3+[22]FormattedData!F60*$J$4+$M$4*$J$5+[22]FormattedData!F60^2*$J$6+$M$5*$J$7</f>
        <v>33.825344367247943</v>
      </c>
      <c r="N42" s="14">
        <f>$J$3+[22]FormattedData!G60*$J$4+$M$4*$J$5+[22]FormattedData!G60^2*$J$6+$M$5*$J$7</f>
        <v>33.825344367247943</v>
      </c>
      <c r="O42" s="14">
        <f>$J$3+[22]FormattedData!H60*$J$4+$M$4*$J$5+[22]FormattedData!H60^2*$J$6+$M$5*$J$7</f>
        <v>33.920932404132593</v>
      </c>
      <c r="P42" s="14">
        <f>$J$3+[22]FormattedData!I60*$J$4+$M$4*$J$5+[22]FormattedData!I60^2*$J$6+$M$5*$J$7</f>
        <v>33.634041487864849</v>
      </c>
      <c r="Q42" s="14">
        <f>$J$3+[22]FormattedData!J60*$J$4+$M$4*$J$5+[22]FormattedData!J60^2*$J$6+$M$5*$J$7</f>
        <v>33.634041487864849</v>
      </c>
      <c r="R42" s="14">
        <f>$J$3+[22]FormattedData!K60*$J$4+$M$4*$J$5+[22]FormattedData!K60^2*$J$6+$M$5*$J$7</f>
        <v>33.634041487864849</v>
      </c>
      <c r="S42" s="14">
        <f>$J$3+[22]FormattedData!L60*$J$4+$M$4*$J$5+[22]FormattedData!L60^2*$J$6+$M$5*$J$7</f>
        <v>33.442569534330026</v>
      </c>
      <c r="T42" s="14">
        <f>$J$3+[22]FormattedData!M60*$J$4+$M$4*$J$5+[22]FormattedData!M60^2*$J$6+$M$5*$J$7</f>
        <v>33.729714061825355</v>
      </c>
      <c r="U42" s="14">
        <f>$J$3+[22]FormattedData!N60*$J$4+$M$4*$J$5+[22]FormattedData!N60^2*$J$6+$M$5*$J$7</f>
        <v>34.016478172479303</v>
      </c>
      <c r="V42" s="14">
        <f>$J$3+[22]FormattedData!O60*$J$4+$M$4*$J$5+[22]FormattedData!O60^2*$J$6+$M$5*$J$7</f>
        <v>33.920932404132593</v>
      </c>
      <c r="W42" s="16">
        <f t="shared" ref="W42:W73" si="9">AVERAGE(K42:V42)</f>
        <v>33.793404195966851</v>
      </c>
      <c r="X42" s="15">
        <f t="shared" ref="X42:X73" si="10">STDEV(K42:V42)/SQRT(COUNT(K42:V42))</f>
        <v>5.1763264286365809E-2</v>
      </c>
      <c r="Y42" s="14">
        <f t="shared" ref="Y42:Y73" si="11">MIN(K42:V42)</f>
        <v>33.442569534330026</v>
      </c>
      <c r="Z42" s="13">
        <f t="shared" ref="Z42:Z73" si="12">QUARTILE(K42:V42,1)</f>
        <v>33.634041487864849</v>
      </c>
      <c r="AA42" s="14">
        <f t="shared" ref="AA42:AA73" si="13">MEDIAN(K42:V42)</f>
        <v>33.825344367247943</v>
      </c>
      <c r="AB42" s="13">
        <f t="shared" ref="AB42:AB73" si="14">QUARTILE(K42:V42,3)</f>
        <v>33.920932404132593</v>
      </c>
      <c r="AC42" s="13">
        <f t="shared" ref="AC42:AC73" si="15">MAX(K42:V42)</f>
        <v>34.016478172479303</v>
      </c>
      <c r="AD42" s="13">
        <f t="shared" ref="AD42:AD73" si="16">SKEW(K42:V42)</f>
        <v>-0.51265554318243678</v>
      </c>
      <c r="AE42" s="13">
        <f t="shared" ref="AE42:AE73" si="17">KURT(K42:V42)</f>
        <v>-0.55064149482499536</v>
      </c>
    </row>
    <row r="43" spans="2:31" x14ac:dyDescent="0.2">
      <c r="B43" s="1">
        <f>[22]FormattedData!A58</f>
        <v>902</v>
      </c>
      <c r="C43" s="1" t="str">
        <f>VLOOKUP($B43,[22]TrtCodes!$B$11:I101,2)</f>
        <v>Late</v>
      </c>
      <c r="D43" s="1">
        <f>VLOOKUP($B43,[22]TrtCodes!$B$11:J101,3)</f>
        <v>22</v>
      </c>
      <c r="E43" s="1">
        <f>VLOOKUP($B43,[22]TrtCodes!$B$11:K101,4)</f>
        <v>4</v>
      </c>
      <c r="F43" s="1">
        <f>VLOOKUP($B43,[22]TrtCodes!$B$11:L101,5)</f>
        <v>2</v>
      </c>
      <c r="G43" s="1">
        <f>VLOOKUP($B43,[22]TrtCodes!$B$11:M101,6)</f>
        <v>2</v>
      </c>
      <c r="H43" s="1">
        <f>VLOOKUP($B43,[22]TrtCodes!$B$11:N101,7)</f>
        <v>1</v>
      </c>
      <c r="I43" s="1">
        <f>[22]FormattedData!B58</f>
        <v>1</v>
      </c>
      <c r="J43" s="4">
        <f>[22]FormattedData!C58</f>
        <v>13.413</v>
      </c>
      <c r="K43" s="6">
        <f>$J$3+[22]FormattedData!D58*$J$4+$M$4*$J$5+[22]FormattedData!D58^2*$J$6+$M$5*$J$7</f>
        <v>34.493572986143931</v>
      </c>
      <c r="L43" s="6">
        <f>$J$3+[22]FormattedData!E58*$J$4+$M$4*$J$5+[22]FormattedData!E58^2*$J$6+$M$5*$J$7</f>
        <v>30.161677979024262</v>
      </c>
      <c r="M43" s="6">
        <f>$J$3+[22]FormattedData!F58*$J$4+$M$4*$J$5+[22]FormattedData!F58^2*$J$6+$M$5*$J$7</f>
        <v>33.729714061825355</v>
      </c>
      <c r="N43" s="6">
        <f>$J$3+[22]FormattedData!G58*$J$4+$M$4*$J$5+[22]FormattedData!G58^2*$J$6+$M$5*$J$7</f>
        <v>31.131718308077694</v>
      </c>
      <c r="O43" s="6">
        <f>$J$3+[22]FormattedData!H58*$J$4+$M$4*$J$5+[22]FormattedData!H58^2*$J$6+$M$5*$J$7</f>
        <v>35.159730446681301</v>
      </c>
      <c r="P43" s="6">
        <f>$J$3+[22]FormattedData!I58*$J$4+$M$4*$J$5+[22]FormattedData!I58^2*$J$6+$M$5*$J$7</f>
        <v>30.744209398911494</v>
      </c>
      <c r="Q43" s="6">
        <f>$J$3+[22]FormattedData!J58*$J$4+$M$4*$J$5+[22]FormattedData!J58^2*$J$6+$M$5*$J$7</f>
        <v>36.013175275498313</v>
      </c>
      <c r="R43" s="6">
        <f>$J$3+[22]FormattedData!K58*$J$4+$M$4*$J$5+[22]FormattedData!K58^2*$J$6+$M$5*$J$7</f>
        <v>30.647226500275117</v>
      </c>
      <c r="S43" s="6">
        <f>$J$3+[22]FormattedData!L58*$J$4+$M$4*$J$5+[22]FormattedData!L58^2*$J$6+$M$5*$J$7</f>
        <v>36.013175275498313</v>
      </c>
      <c r="T43" s="6">
        <f>$J$3+[22]FormattedData!M58*$J$4+$M$4*$J$5+[22]FormattedData!M58^2*$J$6+$M$5*$J$7</f>
        <v>32.674990978673506</v>
      </c>
      <c r="U43" s="6">
        <f>$J$3+[22]FormattedData!N58*$J$4+$M$4*$J$5+[22]FormattedData!N58^2*$J$6+$M$5*$J$7</f>
        <v>34.111981672288096</v>
      </c>
      <c r="V43" s="6">
        <f>$J$3+[22]FormattedData!O58*$J$4+$M$4*$J$5+[22]FormattedData!O58^2*$J$6+$M$5*$J$7</f>
        <v>31.711713615689057</v>
      </c>
      <c r="W43" s="5">
        <f t="shared" si="9"/>
        <v>33.049407208215534</v>
      </c>
      <c r="X43" s="4">
        <f t="shared" si="10"/>
        <v>0.61992994935336809</v>
      </c>
      <c r="Y43" s="3">
        <f t="shared" si="11"/>
        <v>30.161677979024262</v>
      </c>
      <c r="Z43" s="2">
        <f t="shared" si="12"/>
        <v>31.034841080786144</v>
      </c>
      <c r="AA43" s="3">
        <f t="shared" si="13"/>
        <v>33.202352520249434</v>
      </c>
      <c r="AB43" s="2">
        <f t="shared" si="14"/>
        <v>34.660112351278272</v>
      </c>
      <c r="AC43" s="2">
        <f t="shared" si="15"/>
        <v>36.013175275498313</v>
      </c>
      <c r="AD43" s="2">
        <f t="shared" si="16"/>
        <v>6.9407823580587516E-2</v>
      </c>
      <c r="AE43" s="2">
        <f t="shared" si="17"/>
        <v>-1.6046255966963785</v>
      </c>
    </row>
    <row r="44" spans="2:31" x14ac:dyDescent="0.2">
      <c r="B44" s="17">
        <f>[22]FormattedData!A56</f>
        <v>903</v>
      </c>
      <c r="C44" s="17" t="str">
        <f>VLOOKUP($B44,[22]TrtCodes!$B$11:I99,2)</f>
        <v>DS</v>
      </c>
      <c r="D44" s="17">
        <f>VLOOKUP($B44,[22]TrtCodes!$B$11:J99,3)</f>
        <v>31</v>
      </c>
      <c r="E44" s="17">
        <f>VLOOKUP($B44,[22]TrtCodes!$B$11:K99,4)</f>
        <v>8</v>
      </c>
      <c r="F44" s="17">
        <f>VLOOKUP($B44,[22]TrtCodes!$B$11:L99,5)</f>
        <v>0</v>
      </c>
      <c r="G44" s="17">
        <f>VLOOKUP($B44,[22]TrtCodes!$B$11:M99,6)</f>
        <v>1</v>
      </c>
      <c r="H44" s="17">
        <f>VLOOKUP($B44,[22]TrtCodes!$B$11:N99,7)</f>
        <v>1</v>
      </c>
      <c r="I44" s="17">
        <f>[22]FormattedData!B56</f>
        <v>1</v>
      </c>
      <c r="J44" s="15">
        <f>[22]FormattedData!C56</f>
        <v>13.406000000000001</v>
      </c>
      <c r="K44" s="14">
        <f>$J$3+[22]FormattedData!D56*$J$4+$M$4*$J$5+[22]FormattedData!D56^2*$J$6+$M$5*$J$7</f>
        <v>47.869652232416982</v>
      </c>
      <c r="L44" s="14">
        <f>$J$3+[22]FormattedData!E56*$J$4+$M$4*$J$5+[22]FormattedData!E56^2*$J$6+$M$5*$J$7</f>
        <v>47.780446744759942</v>
      </c>
      <c r="M44" s="14">
        <f>$J$3+[22]FormattedData!F56*$J$4+$M$4*$J$5+[22]FormattedData!F56^2*$J$6+$M$5*$J$7</f>
        <v>47.869652232416982</v>
      </c>
      <c r="N44" s="14">
        <f>$J$3+[22]FormattedData!G56*$J$4+$M$4*$J$5+[22]FormattedData!G56^2*$J$6+$M$5*$J$7</f>
        <v>47.869652232416982</v>
      </c>
      <c r="O44" s="14">
        <f>$J$3+[22]FormattedData!H56*$J$4+$M$4*$J$5+[22]FormattedData!H56^2*$J$6+$M$5*$J$7</f>
        <v>47.869652232416982</v>
      </c>
      <c r="P44" s="14">
        <f>$J$3+[22]FormattedData!I56*$J$4+$M$4*$J$5+[22]FormattedData!I56^2*$J$6+$M$5*$J$7</f>
        <v>47.958815451536104</v>
      </c>
      <c r="Q44" s="14">
        <f>$J$3+[22]FormattedData!J56*$J$4+$M$4*$J$5+[22]FormattedData!J56^2*$J$6+$M$5*$J$7</f>
        <v>47.869652232416982</v>
      </c>
      <c r="R44" s="14">
        <f>$J$3+[22]FormattedData!K56*$J$4+$M$4*$J$5+[22]FormattedData!K56^2*$J$6+$M$5*$J$7</f>
        <v>47.780446744759942</v>
      </c>
      <c r="S44" s="14">
        <f>$J$3+[22]FormattedData!L56*$J$4+$M$4*$J$5+[22]FormattedData!L56^2*$J$6+$M$5*$J$7</f>
        <v>47.691198988564963</v>
      </c>
      <c r="T44" s="14">
        <f>$J$3+[22]FormattedData!M56*$J$4+$M$4*$J$5+[22]FormattedData!M56^2*$J$6+$M$5*$J$7</f>
        <v>47.869652232416982</v>
      </c>
      <c r="U44" s="14">
        <f>$J$3+[22]FormattedData!N56*$J$4+$M$4*$J$5+[22]FormattedData!N56^2*$J$6+$M$5*$J$7</f>
        <v>48.047936402117294</v>
      </c>
      <c r="V44" s="14">
        <f>$J$3+[22]FormattedData!O56*$J$4+$M$4*$J$5+[22]FormattedData!O56^2*$J$6+$M$5*$J$7</f>
        <v>48.226051497665871</v>
      </c>
      <c r="W44" s="16">
        <f t="shared" si="9"/>
        <v>47.891900768658822</v>
      </c>
      <c r="X44" s="15">
        <f t="shared" si="10"/>
        <v>3.9750794827013533E-2</v>
      </c>
      <c r="Y44" s="14">
        <f t="shared" si="11"/>
        <v>47.691198988564963</v>
      </c>
      <c r="Z44" s="13">
        <f t="shared" si="12"/>
        <v>47.847350860502722</v>
      </c>
      <c r="AA44" s="14">
        <f t="shared" si="13"/>
        <v>47.869652232416982</v>
      </c>
      <c r="AB44" s="13">
        <f t="shared" si="14"/>
        <v>47.891943037196761</v>
      </c>
      <c r="AC44" s="13">
        <f t="shared" si="15"/>
        <v>48.226051497665871</v>
      </c>
      <c r="AD44" s="13">
        <f t="shared" si="16"/>
        <v>1.273872712152474</v>
      </c>
      <c r="AE44" s="13">
        <f t="shared" si="17"/>
        <v>2.5463156081166041</v>
      </c>
    </row>
    <row r="45" spans="2:31" x14ac:dyDescent="0.2">
      <c r="B45" s="1">
        <f>[22]FormattedData!A54</f>
        <v>904</v>
      </c>
      <c r="C45" s="1" t="str">
        <f>VLOOKUP($B45,[22]TrtCodes!$B$11:I97,2)</f>
        <v>Early</v>
      </c>
      <c r="D45" s="1">
        <f>VLOOKUP($B45,[22]TrtCodes!$B$11:J97,3)</f>
        <v>21</v>
      </c>
      <c r="E45" s="1">
        <f>VLOOKUP($B45,[22]TrtCodes!$B$11:K97,4)</f>
        <v>3</v>
      </c>
      <c r="F45" s="1">
        <f>VLOOKUP($B45,[22]TrtCodes!$B$11:L97,5)</f>
        <v>2</v>
      </c>
      <c r="G45" s="1">
        <f>VLOOKUP($B45,[22]TrtCodes!$B$11:M97,6)</f>
        <v>2</v>
      </c>
      <c r="H45" s="1">
        <f>VLOOKUP($B45,[22]TrtCodes!$B$11:N97,7)</f>
        <v>1</v>
      </c>
      <c r="I45" s="1">
        <f>[22]FormattedData!B54</f>
        <v>1</v>
      </c>
      <c r="J45" s="4">
        <f>[22]FormattedData!C54</f>
        <v>13.388999999999999</v>
      </c>
      <c r="K45" s="6">
        <f>$J$3+[22]FormattedData!D54*$J$4+$M$4*$J$5+[22]FormattedData!D54^2*$J$6+$M$5*$J$7</f>
        <v>30.841150029009942</v>
      </c>
      <c r="L45" s="6">
        <f>$J$3+[22]FormattedData!E54*$J$4+$M$4*$J$5+[22]FormattedData!E54^2*$J$6+$M$5*$J$7</f>
        <v>30.744209398911494</v>
      </c>
      <c r="M45" s="6">
        <f>$J$3+[22]FormattedData!F54*$J$4+$M$4*$J$5+[22]FormattedData!F54^2*$J$6+$M$5*$J$7</f>
        <v>31.615153402431993</v>
      </c>
      <c r="N45" s="6">
        <f>$J$3+[22]FormattedData!G54*$J$4+$M$4*$J$5+[22]FormattedData!G54^2*$J$6+$M$5*$J$7</f>
        <v>30.938048390570454</v>
      </c>
      <c r="O45" s="6">
        <f>$J$3+[22]FormattedData!H54*$J$4+$M$4*$J$5+[22]FormattedData!H54^2*$J$6+$M$5*$J$7</f>
        <v>32.290187255934903</v>
      </c>
      <c r="P45" s="6">
        <f>$J$3+[22]FormattedData!I54*$J$4+$M$4*$J$5+[22]FormattedData!I54^2*$J$6+$M$5*$J$7</f>
        <v>31.228489864024411</v>
      </c>
      <c r="Q45" s="6">
        <f>$J$3+[22]FormattedData!J54*$J$4+$M$4*$J$5+[22]FormattedData!J54^2*$J$6+$M$5*$J$7</f>
        <v>32.482673654380072</v>
      </c>
      <c r="R45" s="6">
        <f>$J$3+[22]FormattedData!K54*$J$4+$M$4*$J$5+[22]FormattedData!K54^2*$J$6+$M$5*$J$7</f>
        <v>31.615153402431993</v>
      </c>
      <c r="S45" s="6">
        <f>$J$3+[22]FormattedData!L54*$J$4+$M$4*$J$5+[22]FormattedData!L54^2*$J$6+$M$5*$J$7</f>
        <v>31.421906170304066</v>
      </c>
      <c r="T45" s="6">
        <f>$J$3+[22]FormattedData!M54*$J$4+$M$4*$J$5+[22]FormattedData!M54^2*$J$6+$M$5*$J$7</f>
        <v>31.711713615689057</v>
      </c>
      <c r="U45" s="6">
        <f>$J$3+[22]FormattedData!N54*$J$4+$M$4*$J$5+[22]FormattedData!N54^2*$J$6+$M$5*$J$7</f>
        <v>33.155044589993317</v>
      </c>
      <c r="V45" s="6">
        <f>$J$3+[22]FormattedData!O54*$J$4+$M$4*$J$5+[22]FormattedData!O54^2*$J$6+$M$5*$J$7</f>
        <v>30.841150029009942</v>
      </c>
      <c r="W45" s="5">
        <f t="shared" si="9"/>
        <v>31.573739983557644</v>
      </c>
      <c r="X45" s="4">
        <f t="shared" si="10"/>
        <v>0.21620522418257765</v>
      </c>
      <c r="Y45" s="3">
        <f t="shared" si="11"/>
        <v>30.744209398911494</v>
      </c>
      <c r="Z45" s="2">
        <f t="shared" si="12"/>
        <v>30.913823800180324</v>
      </c>
      <c r="AA45" s="3">
        <f t="shared" si="13"/>
        <v>31.518529786368028</v>
      </c>
      <c r="AB45" s="2">
        <f t="shared" si="14"/>
        <v>31.856332025750518</v>
      </c>
      <c r="AC45" s="2">
        <f t="shared" si="15"/>
        <v>33.155044589993317</v>
      </c>
      <c r="AD45" s="2">
        <f t="shared" si="16"/>
        <v>0.88724173757465552</v>
      </c>
      <c r="AE45" s="2">
        <f t="shared" si="17"/>
        <v>0.18669834511829464</v>
      </c>
    </row>
    <row r="46" spans="2:31" x14ac:dyDescent="0.2">
      <c r="B46" s="17">
        <f>[22]FormattedData!A52</f>
        <v>905</v>
      </c>
      <c r="C46" s="17" t="str">
        <f>VLOOKUP($B46,[22]TrtCodes!$B$11:I95,2)</f>
        <v>WS</v>
      </c>
      <c r="D46" s="17">
        <f>VLOOKUP($B46,[22]TrtCodes!$B$11:J95,3)</f>
        <v>32</v>
      </c>
      <c r="E46" s="17">
        <f>VLOOKUP($B46,[22]TrtCodes!$B$11:K95,4)</f>
        <v>9</v>
      </c>
      <c r="F46" s="17">
        <f>VLOOKUP($B46,[22]TrtCodes!$B$11:L95,5)</f>
        <v>0</v>
      </c>
      <c r="G46" s="17">
        <f>VLOOKUP($B46,[22]TrtCodes!$B$11:M95,6)</f>
        <v>1</v>
      </c>
      <c r="H46" s="17">
        <f>VLOOKUP($B46,[22]TrtCodes!$B$11:N95,7)</f>
        <v>2</v>
      </c>
      <c r="I46" s="17">
        <f>[22]FormattedData!B52</f>
        <v>1</v>
      </c>
      <c r="J46" s="15">
        <f>[22]FormattedData!C52</f>
        <v>13.382</v>
      </c>
      <c r="K46" s="14">
        <f>$J$3+[22]FormattedData!D52*$J$4+$M$4*$J$5+[22]FormattedData!D52^2*$J$6+$M$5*$J$7</f>
        <v>33.634041487864849</v>
      </c>
      <c r="L46" s="14">
        <f>$J$3+[22]FormattedData!E52*$J$4+$M$4*$J$5+[22]FormattedData!E52^2*$J$6+$M$5*$J$7</f>
        <v>33.729714061825355</v>
      </c>
      <c r="M46" s="14">
        <f>$J$3+[22]FormattedData!F52*$J$4+$M$4*$J$5+[22]FormattedData!F52^2*$J$6+$M$5*$J$7</f>
        <v>33.634041487864849</v>
      </c>
      <c r="N46" s="14">
        <f>$J$3+[22]FormattedData!G52*$J$4+$M$4*$J$5+[22]FormattedData!G52^2*$J$6+$M$5*$J$7</f>
        <v>33.634041487864849</v>
      </c>
      <c r="O46" s="14">
        <f>$J$3+[22]FormattedData!H52*$J$4+$M$4*$J$5+[22]FormattedData!H52^2*$J$6+$M$5*$J$7</f>
        <v>33.538326645366396</v>
      </c>
      <c r="P46" s="14">
        <f>$J$3+[22]FormattedData!I52*$J$4+$M$4*$J$5+[22]FormattedData!I52^2*$J$6+$M$5*$J$7</f>
        <v>33.538326645366396</v>
      </c>
      <c r="Q46" s="14">
        <f>$J$3+[22]FormattedData!J52*$J$4+$M$4*$J$5+[22]FormattedData!J52^2*$J$6+$M$5*$J$7</f>
        <v>33.538326645366396</v>
      </c>
      <c r="R46" s="14">
        <f>$J$3+[22]FormattedData!K52*$J$4+$M$4*$J$5+[22]FormattedData!K52^2*$J$6+$M$5*$J$7</f>
        <v>33.634041487864849</v>
      </c>
      <c r="S46" s="14">
        <f>$J$3+[22]FormattedData!L52*$J$4+$M$4*$J$5+[22]FormattedData!L52^2*$J$6+$M$5*$J$7</f>
        <v>33.634041487864849</v>
      </c>
      <c r="T46" s="14">
        <f>$J$3+[22]FormattedData!M52*$J$4+$M$4*$J$5+[22]FormattedData!M52^2*$J$6+$M$5*$J$7</f>
        <v>33.729714061825355</v>
      </c>
      <c r="U46" s="14">
        <f>$J$3+[22]FormattedData!N52*$J$4+$M$4*$J$5+[22]FormattedData!N52^2*$J$6+$M$5*$J$7</f>
        <v>33.442569534330026</v>
      </c>
      <c r="V46" s="14">
        <f>$J$3+[22]FormattedData!O52*$J$4+$M$4*$J$5+[22]FormattedData!O52^2*$J$6+$M$5*$J$7</f>
        <v>33.634041487864849</v>
      </c>
      <c r="W46" s="16">
        <f t="shared" si="9"/>
        <v>33.610102210105751</v>
      </c>
      <c r="X46" s="15">
        <f t="shared" si="10"/>
        <v>2.3927750593110069E-2</v>
      </c>
      <c r="Y46" s="14">
        <f t="shared" si="11"/>
        <v>33.442569534330026</v>
      </c>
      <c r="Z46" s="13">
        <f t="shared" si="12"/>
        <v>33.538326645366396</v>
      </c>
      <c r="AA46" s="14">
        <f t="shared" si="13"/>
        <v>33.634041487864849</v>
      </c>
      <c r="AB46" s="13">
        <f t="shared" si="14"/>
        <v>33.634041487864849</v>
      </c>
      <c r="AC46" s="13">
        <f t="shared" si="15"/>
        <v>33.729714061825355</v>
      </c>
      <c r="AD46" s="13">
        <f t="shared" si="16"/>
        <v>-0.44185667076996271</v>
      </c>
      <c r="AE46" s="13">
        <f t="shared" si="17"/>
        <v>0.23542396029901536</v>
      </c>
    </row>
    <row r="47" spans="2:31" x14ac:dyDescent="0.2">
      <c r="B47" s="1">
        <f>[22]FormattedData!A50</f>
        <v>906</v>
      </c>
      <c r="C47" s="1" t="str">
        <f>VLOOKUP($B47,[22]TrtCodes!$B$11:I93,2)</f>
        <v>Late</v>
      </c>
      <c r="D47" s="1">
        <f>VLOOKUP($B47,[22]TrtCodes!$B$11:J93,3)</f>
        <v>22</v>
      </c>
      <c r="E47" s="1">
        <f>VLOOKUP($B47,[22]TrtCodes!$B$11:K93,4)</f>
        <v>4</v>
      </c>
      <c r="F47" s="1">
        <f>VLOOKUP($B47,[22]TrtCodes!$B$11:L93,5)</f>
        <v>2</v>
      </c>
      <c r="G47" s="1">
        <f>VLOOKUP($B47,[22]TrtCodes!$B$11:M93,6)</f>
        <v>2</v>
      </c>
      <c r="H47" s="1">
        <f>VLOOKUP($B47,[22]TrtCodes!$B$11:N93,7)</f>
        <v>2</v>
      </c>
      <c r="I47" s="1">
        <f>[22]FormattedData!B50</f>
        <v>1</v>
      </c>
      <c r="J47" s="4">
        <f>[22]FormattedData!C50</f>
        <v>13.365</v>
      </c>
      <c r="K47" s="6">
        <f>$J$3+[22]FormattedData!D50*$J$4+$M$4*$J$5+[22]FormattedData!D50^2*$J$6+$M$5*$J$7</f>
        <v>33.634041487864849</v>
      </c>
      <c r="L47" s="6">
        <f>$J$3+[22]FormattedData!E50*$J$4+$M$4*$J$5+[22]FormattedData!E50^2*$J$6+$M$5*$J$7</f>
        <v>30.938048390570454</v>
      </c>
      <c r="M47" s="6">
        <f>$J$3+[22]FormattedData!F50*$J$4+$M$4*$J$5+[22]FormattedData!F50^2*$J$6+$M$5*$J$7</f>
        <v>35.349680732850608</v>
      </c>
      <c r="N47" s="6">
        <f>$J$3+[22]FormattedData!G50*$J$4+$M$4*$J$5+[22]FormattedData!G50^2*$J$6+$M$5*$J$7</f>
        <v>31.131718308077694</v>
      </c>
      <c r="O47" s="6">
        <f>$J$3+[22]FormattedData!H50*$J$4+$M$4*$J$5+[22]FormattedData!H50^2*$J$6+$M$5*$J$7</f>
        <v>34.207442903558949</v>
      </c>
      <c r="P47" s="6">
        <f>$J$3+[22]FormattedData!I50*$J$4+$M$4*$J$5+[22]FormattedData!I50^2*$J$6+$M$5*$J$7</f>
        <v>33.059118404805218</v>
      </c>
      <c r="Q47" s="6">
        <f>$J$3+[22]FormattedData!J50*$J$4+$M$4*$J$5+[22]FormattedData!J50^2*$J$6+$M$5*$J$7</f>
        <v>32.867139228815226</v>
      </c>
      <c r="R47" s="6">
        <f>$J$3+[22]FormattedData!K50*$J$4+$M$4*$J$5+[22]FormattedData!K50^2*$J$6+$M$5*$J$7</f>
        <v>33.729714061825355</v>
      </c>
      <c r="S47" s="6">
        <f>$J$3+[22]FormattedData!L50*$J$4+$M$4*$J$5+[22]FormattedData!L50^2*$J$6+$M$5*$J$7</f>
        <v>32.386451589426457</v>
      </c>
      <c r="T47" s="6">
        <f>$J$3+[22]FormattedData!M50*$J$4+$M$4*$J$5+[22]FormattedData!M50^2*$J$6+$M$5*$J$7</f>
        <v>33.825344367247943</v>
      </c>
      <c r="U47" s="6">
        <f>$J$3+[22]FormattedData!N50*$J$4+$M$4*$J$5+[22]FormattedData!N50^2*$J$6+$M$5*$J$7</f>
        <v>33.825344367247943</v>
      </c>
      <c r="V47" s="6">
        <f>$J$3+[22]FormattedData!O50*$J$4+$M$4*$J$5+[22]FormattedData!O50^2*$J$6+$M$5*$J$7</f>
        <v>32.290187255934903</v>
      </c>
      <c r="W47" s="5">
        <f t="shared" si="9"/>
        <v>33.103685924852137</v>
      </c>
      <c r="X47" s="4">
        <f t="shared" si="10"/>
        <v>0.36711745914761923</v>
      </c>
      <c r="Y47" s="3">
        <f t="shared" si="11"/>
        <v>30.938048390570454</v>
      </c>
      <c r="Z47" s="2">
        <f t="shared" si="12"/>
        <v>32.36238550605357</v>
      </c>
      <c r="AA47" s="3">
        <f t="shared" si="13"/>
        <v>33.346579946335034</v>
      </c>
      <c r="AB47" s="2">
        <f t="shared" si="14"/>
        <v>33.825344367247943</v>
      </c>
      <c r="AC47" s="2">
        <f t="shared" si="15"/>
        <v>35.349680732850608</v>
      </c>
      <c r="AD47" s="2">
        <f t="shared" si="16"/>
        <v>-0.26121973452731817</v>
      </c>
      <c r="AE47" s="2">
        <f t="shared" si="17"/>
        <v>-8.563181763000749E-2</v>
      </c>
    </row>
    <row r="48" spans="2:31" x14ac:dyDescent="0.2">
      <c r="B48" s="17">
        <f>[22]FormattedData!A48</f>
        <v>907</v>
      </c>
      <c r="C48" s="17" t="str">
        <f>VLOOKUP($B48,[22]TrtCodes!$B$11:I91,2)</f>
        <v>DS</v>
      </c>
      <c r="D48" s="17">
        <f>VLOOKUP($B48,[22]TrtCodes!$B$11:J91,3)</f>
        <v>31</v>
      </c>
      <c r="E48" s="17">
        <f>VLOOKUP($B48,[22]TrtCodes!$B$11:K91,4)</f>
        <v>8</v>
      </c>
      <c r="F48" s="17">
        <f>VLOOKUP($B48,[22]TrtCodes!$B$11:L91,5)</f>
        <v>0</v>
      </c>
      <c r="G48" s="17">
        <f>VLOOKUP($B48,[22]TrtCodes!$B$11:M91,6)</f>
        <v>1</v>
      </c>
      <c r="H48" s="17">
        <f>VLOOKUP($B48,[22]TrtCodes!$B$11:N91,7)</f>
        <v>2</v>
      </c>
      <c r="I48" s="17">
        <f>[22]FormattedData!B48</f>
        <v>1</v>
      </c>
      <c r="J48" s="15">
        <f>[22]FormattedData!C48</f>
        <v>13.358000000000001</v>
      </c>
      <c r="K48" s="14">
        <f>$J$3+[22]FormattedData!D48*$J$4+$M$4*$J$5+[22]FormattedData!D48^2*$J$6+$M$5*$J$7</f>
        <v>47.691198988564963</v>
      </c>
      <c r="L48" s="14">
        <f>$J$3+[22]FormattedData!E48*$J$4+$M$4*$J$5+[22]FormattedData!E48^2*$J$6+$M$5*$J$7</f>
        <v>47.601908963832052</v>
      </c>
      <c r="M48" s="14">
        <f>$J$3+[22]FormattedData!F48*$J$4+$M$4*$J$5+[22]FormattedData!F48^2*$J$6+$M$5*$J$7</f>
        <v>47.601908963832052</v>
      </c>
      <c r="N48" s="14">
        <f>$J$3+[22]FormattedData!G48*$J$4+$M$4*$J$5+[22]FormattedData!G48^2*$J$6+$M$5*$J$7</f>
        <v>47.780446744759942</v>
      </c>
      <c r="O48" s="14">
        <f>$J$3+[22]FormattedData!H48*$J$4+$M$4*$J$5+[22]FormattedData!H48^2*$J$6+$M$5*$J$7</f>
        <v>47.423202108752434</v>
      </c>
      <c r="P48" s="14">
        <f>$J$3+[22]FormattedData!I48*$J$4+$M$4*$J$5+[22]FormattedData!I48^2*$J$6+$M$5*$J$7</f>
        <v>47.333785278405735</v>
      </c>
      <c r="Q48" s="14">
        <f>$J$3+[22]FormattedData!J48*$J$4+$M$4*$J$5+[22]FormattedData!J48^2*$J$6+$M$5*$J$7</f>
        <v>47.512576670561209</v>
      </c>
      <c r="R48" s="14">
        <f>$J$3+[22]FormattedData!K48*$J$4+$M$4*$J$5+[22]FormattedData!K48^2*$J$6+$M$5*$J$7</f>
        <v>47.512576670561209</v>
      </c>
      <c r="S48" s="14">
        <f>$J$3+[22]FormattedData!L48*$J$4+$M$4*$J$5+[22]FormattedData!L48^2*$J$6+$M$5*$J$7</f>
        <v>47.780446744759942</v>
      </c>
      <c r="T48" s="14">
        <f>$J$3+[22]FormattedData!M48*$J$4+$M$4*$J$5+[22]FormattedData!M48^2*$J$6+$M$5*$J$7</f>
        <v>47.691198988564963</v>
      </c>
      <c r="U48" s="14">
        <f>$J$3+[22]FormattedData!N48*$J$4+$M$4*$J$5+[22]FormattedData!N48^2*$J$6+$M$5*$J$7</f>
        <v>47.691198988564963</v>
      </c>
      <c r="V48" s="14">
        <f>$J$3+[22]FormattedData!O48*$J$4+$M$4*$J$5+[22]FormattedData!O48^2*$J$6+$M$5*$J$7</f>
        <v>47.780446744759942</v>
      </c>
      <c r="W48" s="16">
        <f t="shared" si="9"/>
        <v>47.616741321326622</v>
      </c>
      <c r="X48" s="15">
        <f t="shared" si="10"/>
        <v>4.2345291073158868E-2</v>
      </c>
      <c r="Y48" s="14">
        <f t="shared" si="11"/>
        <v>47.333785278405735</v>
      </c>
      <c r="Z48" s="13">
        <f t="shared" si="12"/>
        <v>47.512576670561209</v>
      </c>
      <c r="AA48" s="14">
        <f t="shared" si="13"/>
        <v>47.646553976198504</v>
      </c>
      <c r="AB48" s="13">
        <f t="shared" si="14"/>
        <v>47.713510927613711</v>
      </c>
      <c r="AC48" s="13">
        <f t="shared" si="15"/>
        <v>47.780446744759942</v>
      </c>
      <c r="AD48" s="13">
        <f t="shared" si="16"/>
        <v>-0.6142062761273307</v>
      </c>
      <c r="AE48" s="13">
        <f t="shared" si="17"/>
        <v>-0.52934230132469295</v>
      </c>
    </row>
    <row r="49" spans="2:31" ht="13.5" thickBot="1" x14ac:dyDescent="0.25">
      <c r="B49" s="12">
        <f>[22]FormattedData!A46</f>
        <v>908</v>
      </c>
      <c r="C49" s="12" t="str">
        <f>VLOOKUP($B49,[22]TrtCodes!$B$11:I89,2)</f>
        <v>Early</v>
      </c>
      <c r="D49" s="12">
        <f>VLOOKUP($B49,[22]TrtCodes!$B$11:J89,3)</f>
        <v>21</v>
      </c>
      <c r="E49" s="12">
        <f>VLOOKUP($B49,[22]TrtCodes!$B$11:K89,4)</f>
        <v>3</v>
      </c>
      <c r="F49" s="12">
        <f>VLOOKUP($B49,[22]TrtCodes!$B$11:L89,5)</f>
        <v>2</v>
      </c>
      <c r="G49" s="12">
        <f>VLOOKUP($B49,[22]TrtCodes!$B$11:M89,6)</f>
        <v>2</v>
      </c>
      <c r="H49" s="12">
        <f>VLOOKUP($B49,[22]TrtCodes!$B$11:N89,7)</f>
        <v>2</v>
      </c>
      <c r="I49" s="12">
        <f>[22]FormattedData!B46</f>
        <v>1</v>
      </c>
      <c r="J49" s="9">
        <f>[22]FormattedData!C46</f>
        <v>13.340999999999999</v>
      </c>
      <c r="K49" s="11">
        <f>$J$3+[22]FormattedData!D46*$J$4+$M$4*$J$5+[22]FormattedData!D46^2*$J$6+$M$5*$J$7</f>
        <v>30.841150029009942</v>
      </c>
      <c r="L49" s="11">
        <f>$J$3+[22]FormattedData!E46*$J$4+$M$4*$J$5+[22]FormattedData!E46^2*$J$6+$M$5*$J$7</f>
        <v>31.808231560408196</v>
      </c>
      <c r="M49" s="11">
        <f>$J$3+[22]FormattedData!F46*$J$4+$M$4*$J$5+[22]FormattedData!F46^2*$J$6+$M$5*$J$7</f>
        <v>30.938048390570454</v>
      </c>
      <c r="N49" s="11">
        <f>$J$3+[22]FormattedData!G46*$J$4+$M$4*$J$5+[22]FormattedData!G46^2*$J$6+$M$5*$J$7</f>
        <v>32.386451589426457</v>
      </c>
      <c r="O49" s="11">
        <f>$J$3+[22]FormattedData!H46*$J$4+$M$4*$J$5+[22]FormattedData!H46^2*$J$6+$M$5*$J$7</f>
        <v>30.841150029009942</v>
      </c>
      <c r="P49" s="11">
        <f>$J$3+[22]FormattedData!I46*$J$4+$M$4*$J$5+[22]FormattedData!I46^2*$J$6+$M$5*$J$7</f>
        <v>32.578853450795755</v>
      </c>
      <c r="Q49" s="11">
        <f>$J$3+[22]FormattedData!J46*$J$4+$M$4*$J$5+[22]FormattedData!J46^2*$J$6+$M$5*$J$7</f>
        <v>30.938048390570454</v>
      </c>
      <c r="R49" s="11">
        <f>$J$3+[22]FormattedData!K46*$J$4+$M$4*$J$5+[22]FormattedData!K46^2*$J$6+$M$5*$J$7</f>
        <v>32.097531783338013</v>
      </c>
      <c r="S49" s="11">
        <f>$J$3+[22]FormattedData!L46*$J$4+$M$4*$J$5+[22]FormattedData!L46^2*$J$6+$M$5*$J$7</f>
        <v>31.034904483593035</v>
      </c>
      <c r="T49" s="11">
        <f>$J$3+[22]FormattedData!M46*$J$4+$M$4*$J$5+[22]FormattedData!M46^2*$J$6+$M$5*$J$7</f>
        <v>32.963149951079188</v>
      </c>
      <c r="U49" s="11">
        <f>$J$3+[22]FormattedData!N46*$J$4+$M$4*$J$5+[22]FormattedData!N46^2*$J$6+$M$5*$J$7</f>
        <v>30.744209398911494</v>
      </c>
      <c r="V49" s="11">
        <f>$J$3+[22]FormattedData!O46*$J$4+$M$4*$J$5+[22]FormattedData!O46^2*$J$6+$M$5*$J$7</f>
        <v>30.938048390570454</v>
      </c>
      <c r="W49" s="10">
        <f t="shared" si="9"/>
        <v>31.509148120606948</v>
      </c>
      <c r="X49" s="9">
        <f t="shared" si="10"/>
        <v>0.23265015210580731</v>
      </c>
      <c r="Y49" s="8">
        <f t="shared" si="11"/>
        <v>30.744209398911494</v>
      </c>
      <c r="Z49" s="7">
        <f t="shared" si="12"/>
        <v>30.913823800180324</v>
      </c>
      <c r="AA49" s="8">
        <f t="shared" si="13"/>
        <v>30.986476437081745</v>
      </c>
      <c r="AB49" s="7">
        <f t="shared" si="14"/>
        <v>32.169761734860124</v>
      </c>
      <c r="AC49" s="7">
        <f t="shared" si="15"/>
        <v>32.963149951079188</v>
      </c>
      <c r="AD49" s="7">
        <f t="shared" si="16"/>
        <v>0.72825665556464347</v>
      </c>
      <c r="AE49" s="7">
        <f t="shared" si="17"/>
        <v>-1.1910674632597962</v>
      </c>
    </row>
    <row r="50" spans="2:31" ht="13.5" thickTop="1" x14ac:dyDescent="0.2">
      <c r="B50" s="1">
        <f>[22]FormattedData!A29</f>
        <v>101</v>
      </c>
      <c r="C50" s="1" t="str">
        <f>VLOOKUP($B50,[22]TrtCodes!$B$11:I72,2)</f>
        <v>FSH</v>
      </c>
      <c r="D50" s="1">
        <f>VLOOKUP($B50,[22]TrtCodes!$B$11:J72,3)</f>
        <v>1</v>
      </c>
      <c r="E50" s="1">
        <f>VLOOKUP($B50,[22]TrtCodes!$B$11:K72,4)</f>
        <v>1</v>
      </c>
      <c r="F50" s="1">
        <f>VLOOKUP($B50,[22]TrtCodes!$B$11:L72,5)</f>
        <v>1</v>
      </c>
      <c r="G50" s="1">
        <f>VLOOKUP($B50,[22]TrtCodes!$B$11:M72,6)</f>
        <v>2</v>
      </c>
      <c r="H50" s="1">
        <f>VLOOKUP($B50,[22]TrtCodes!$B$11:N72,7)</f>
        <v>1</v>
      </c>
      <c r="I50" s="1">
        <f>[22]FormattedData!B29</f>
        <v>2</v>
      </c>
      <c r="J50" s="4">
        <f>[22]FormattedData!C29</f>
        <v>13.188000000000001</v>
      </c>
      <c r="K50" s="6">
        <f>$J$3+[22]FormattedData!D29*$J$4+$M$4*$J$5+[22]FormattedData!D29^2*$J$6+$M$5*$J$7</f>
        <v>28.404953715169434</v>
      </c>
      <c r="L50" s="6">
        <f>$J$3+[22]FormattedData!E29*$J$4+$M$4*$J$5+[22]FormattedData!E29^2*$J$6+$M$5*$J$7</f>
        <v>28.01271072975495</v>
      </c>
      <c r="M50" s="6">
        <f>$J$3+[22]FormattedData!F29*$J$4+$M$4*$J$5+[22]FormattedData!F29^2*$J$6+$M$5*$J$7</f>
        <v>28.796520403977024</v>
      </c>
      <c r="N50" s="6">
        <f>$J$3+[22]FormattedData!G29*$J$4+$M$4*$J$5+[22]FormattedData!G29^2*$J$6+$M$5*$J$7</f>
        <v>28.796520403977024</v>
      </c>
      <c r="O50" s="6">
        <f>$J$3+[22]FormattedData!H29*$J$4+$M$4*$J$5+[22]FormattedData!H29^2*$J$6+$M$5*$J$7</f>
        <v>28.600821596649091</v>
      </c>
      <c r="P50" s="6">
        <f>$J$3+[22]FormattedData!I29*$J$4+$M$4*$J$5+[22]FormattedData!I29^2*$J$6+$M$5*$J$7</f>
        <v>28.208916759538052</v>
      </c>
      <c r="Q50" s="6">
        <f>$J$3+[22]FormattedData!J29*$J$4+$M$4*$J$5+[22]FormattedData!J29^2*$J$6+$M$5*$J$7</f>
        <v>28.502908790178228</v>
      </c>
      <c r="R50" s="6">
        <f>$J$3+[22]FormattedData!K29*$J$4+$M$4*$J$5+[22]FormattedData!K29^2*$J$6+$M$5*$J$7</f>
        <v>28.894306404834094</v>
      </c>
      <c r="S50" s="6">
        <f>$J$3+[22]FormattedData!L29*$J$4+$M$4*$J$5+[22]FormattedData!L29^2*$J$6+$M$5*$J$7</f>
        <v>28.796520403977024</v>
      </c>
      <c r="T50" s="6">
        <f>$J$3+[22]FormattedData!M29*$J$4+$M$4*$J$5+[22]FormattedData!M29^2*$J$6+$M$5*$J$7</f>
        <v>28.110834878915465</v>
      </c>
      <c r="U50" s="6">
        <f>$J$3+[22]FormattedData!N29*$J$4+$M$4*$J$5+[22]FormattedData!N29^2*$J$6+$M$5*$J$7</f>
        <v>28.404953715169434</v>
      </c>
      <c r="V50" s="6">
        <f>$J$3+[22]FormattedData!O29*$J$4+$M$4*$J$5+[22]FormattedData!O29^2*$J$6+$M$5*$J$7</f>
        <v>28.208916759538052</v>
      </c>
      <c r="W50" s="5">
        <f t="shared" si="9"/>
        <v>28.478240380139823</v>
      </c>
      <c r="X50" s="4">
        <f t="shared" si="10"/>
        <v>8.7046186633942674E-2</v>
      </c>
      <c r="Y50" s="3">
        <f t="shared" si="11"/>
        <v>28.01271072975495</v>
      </c>
      <c r="Z50" s="2">
        <f t="shared" si="12"/>
        <v>28.208916759538052</v>
      </c>
      <c r="AA50" s="3">
        <f t="shared" si="13"/>
        <v>28.453931252673833</v>
      </c>
      <c r="AB50" s="2">
        <f t="shared" si="14"/>
        <v>28.796520403977024</v>
      </c>
      <c r="AC50" s="2">
        <f t="shared" si="15"/>
        <v>28.894306404834094</v>
      </c>
      <c r="AD50" s="2">
        <f t="shared" si="16"/>
        <v>-7.8511337057795547E-2</v>
      </c>
      <c r="AE50" s="2">
        <f t="shared" si="17"/>
        <v>-1.4268784088907771</v>
      </c>
    </row>
    <row r="51" spans="2:31" x14ac:dyDescent="0.2">
      <c r="B51" s="1">
        <f>[22]FormattedData!A27</f>
        <v>102</v>
      </c>
      <c r="C51" s="1" t="str">
        <f>VLOOKUP($B51,[22]TrtCodes!$B$11:I70,2)</f>
        <v>FTL</v>
      </c>
      <c r="D51" s="1">
        <f>VLOOKUP($B51,[22]TrtCodes!$B$11:J70,3)</f>
        <v>4</v>
      </c>
      <c r="E51" s="1">
        <f>VLOOKUP($B51,[22]TrtCodes!$B$11:K70,4)</f>
        <v>1</v>
      </c>
      <c r="F51" s="1">
        <f>VLOOKUP($B51,[22]TrtCodes!$B$11:L70,5)</f>
        <v>2</v>
      </c>
      <c r="G51" s="1">
        <f>VLOOKUP($B51,[22]TrtCodes!$B$11:M70,6)</f>
        <v>1</v>
      </c>
      <c r="H51" s="1">
        <f>VLOOKUP($B51,[22]TrtCodes!$B$11:N70,7)</f>
        <v>1</v>
      </c>
      <c r="I51" s="1">
        <f>[22]FormattedData!B27</f>
        <v>2</v>
      </c>
      <c r="J51" s="4">
        <f>[22]FormattedData!C27</f>
        <v>13.170999999999999</v>
      </c>
      <c r="K51" s="6">
        <f>$J$3+[22]FormattedData!D27*$J$4+$M$4*$J$5+[22]FormattedData!D27^2*$J$6+$M$5*$J$7</f>
        <v>28.01271072975495</v>
      </c>
      <c r="L51" s="6">
        <f>$J$3+[22]FormattedData!E27*$J$4+$M$4*$J$5+[22]FormattedData!E27^2*$J$6+$M$5*$J$7</f>
        <v>28.208916759538052</v>
      </c>
      <c r="M51" s="6">
        <f>$J$3+[22]FormattedData!F27*$J$4+$M$4*$J$5+[22]FormattedData!F27^2*$J$6+$M$5*$J$7</f>
        <v>28.600821596649091</v>
      </c>
      <c r="N51" s="6">
        <f>$J$3+[22]FormattedData!G27*$J$4+$M$4*$J$5+[22]FormattedData!G27^2*$J$6+$M$5*$J$7</f>
        <v>28.502908790178228</v>
      </c>
      <c r="O51" s="6">
        <f>$J$3+[22]FormattedData!H27*$J$4+$M$4*$J$5+[22]FormattedData!H27^2*$J$6+$M$5*$J$7</f>
        <v>28.306956371622707</v>
      </c>
      <c r="P51" s="6">
        <f>$J$3+[22]FormattedData!I27*$J$4+$M$4*$J$5+[22]FormattedData!I27^2*$J$6+$M$5*$J$7</f>
        <v>28.502908790178228</v>
      </c>
      <c r="Q51" s="6">
        <f>$J$3+[22]FormattedData!J27*$J$4+$M$4*$J$5+[22]FormattedData!J27^2*$J$6+$M$5*$J$7</f>
        <v>28.110834878915465</v>
      </c>
      <c r="R51" s="6">
        <f>$J$3+[22]FormattedData!K27*$J$4+$M$4*$J$5+[22]FormattedData!K27^2*$J$6+$M$5*$J$7</f>
        <v>28.502908790178228</v>
      </c>
      <c r="S51" s="6">
        <f>$J$3+[22]FormattedData!L27*$J$4+$M$4*$J$5+[22]FormattedData!L27^2*$J$6+$M$5*$J$7</f>
        <v>28.992050137153232</v>
      </c>
      <c r="T51" s="6">
        <f>$J$3+[22]FormattedData!M27*$J$4+$M$4*$J$5+[22]FormattedData!M27^2*$J$6+$M$5*$J$7</f>
        <v>28.502908790178228</v>
      </c>
      <c r="U51" s="6">
        <f>$J$3+[22]FormattedData!N27*$J$4+$M$4*$J$5+[22]FormattedData!N27^2*$J$6+$M$5*$J$7</f>
        <v>28.208916759538052</v>
      </c>
      <c r="V51" s="6">
        <f>$J$3+[22]FormattedData!O27*$J$4+$M$4*$J$5+[22]FormattedData!O27^2*$J$6+$M$5*$J$7</f>
        <v>28.208916759538052</v>
      </c>
      <c r="W51" s="5">
        <f t="shared" si="9"/>
        <v>28.388479929451876</v>
      </c>
      <c r="X51" s="4">
        <f t="shared" si="10"/>
        <v>7.7039245601655815E-2</v>
      </c>
      <c r="Y51" s="3">
        <f t="shared" si="11"/>
        <v>28.01271072975495</v>
      </c>
      <c r="Z51" s="2">
        <f t="shared" si="12"/>
        <v>28.208916759538052</v>
      </c>
      <c r="AA51" s="3">
        <f t="shared" si="13"/>
        <v>28.404932580900468</v>
      </c>
      <c r="AB51" s="2">
        <f t="shared" si="14"/>
        <v>28.502908790178228</v>
      </c>
      <c r="AC51" s="2">
        <f t="shared" si="15"/>
        <v>28.992050137153232</v>
      </c>
      <c r="AD51" s="2">
        <f t="shared" si="16"/>
        <v>0.82118186572667373</v>
      </c>
      <c r="AE51" s="2">
        <f t="shared" si="17"/>
        <v>1.0761589082412453</v>
      </c>
    </row>
    <row r="52" spans="2:31" x14ac:dyDescent="0.2">
      <c r="B52" s="1">
        <f>[22]FormattedData!A25</f>
        <v>103</v>
      </c>
      <c r="C52" s="1" t="str">
        <f>VLOOKUP($B52,[22]TrtCodes!$B$11:I68,2)</f>
        <v>FDH</v>
      </c>
      <c r="D52" s="1">
        <f>VLOOKUP($B52,[22]TrtCodes!$B$11:J68,3)</f>
        <v>5</v>
      </c>
      <c r="E52" s="1">
        <f>VLOOKUP($B52,[22]TrtCodes!$B$11:K68,4)</f>
        <v>1</v>
      </c>
      <c r="F52" s="1">
        <f>VLOOKUP($B52,[22]TrtCodes!$B$11:L68,5)</f>
        <v>3</v>
      </c>
      <c r="G52" s="1">
        <f>VLOOKUP($B52,[22]TrtCodes!$B$11:M68,6)</f>
        <v>2</v>
      </c>
      <c r="H52" s="1">
        <f>VLOOKUP($B52,[22]TrtCodes!$B$11:N68,7)</f>
        <v>1</v>
      </c>
      <c r="I52" s="1">
        <f>[22]FormattedData!B25</f>
        <v>2</v>
      </c>
      <c r="J52" s="4">
        <f>[22]FormattedData!C25</f>
        <v>13.156000000000001</v>
      </c>
      <c r="K52" s="6">
        <f>$J$3+[22]FormattedData!D25*$J$4+$M$4*$J$5+[22]FormattedData!D25^2*$J$6+$M$5*$J$7</f>
        <v>28.01271072975495</v>
      </c>
      <c r="L52" s="6">
        <f>$J$3+[22]FormattedData!E25*$J$4+$M$4*$J$5+[22]FormattedData!E25^2*$J$6+$M$5*$J$7</f>
        <v>28.110834878915465</v>
      </c>
      <c r="M52" s="6">
        <f>$J$3+[22]FormattedData!F25*$J$4+$M$4*$J$5+[22]FormattedData!F25^2*$J$6+$M$5*$J$7</f>
        <v>28.600821596649091</v>
      </c>
      <c r="N52" s="6">
        <f>$J$3+[22]FormattedData!G25*$J$4+$M$4*$J$5+[22]FormattedData!G25^2*$J$6+$M$5*$J$7</f>
        <v>28.796520403977024</v>
      </c>
      <c r="O52" s="6">
        <f>$J$3+[22]FormattedData!H25*$J$4+$M$4*$J$5+[22]FormattedData!H25^2*$J$6+$M$5*$J$7</f>
        <v>28.600821596649091</v>
      </c>
      <c r="P52" s="6">
        <f>$J$3+[22]FormattedData!I25*$J$4+$M$4*$J$5+[22]FormattedData!I25^2*$J$6+$M$5*$J$7</f>
        <v>28.600821596649091</v>
      </c>
      <c r="Q52" s="6">
        <f>$J$3+[22]FormattedData!J25*$J$4+$M$4*$J$5+[22]FormattedData!J25^2*$J$6+$M$5*$J$7</f>
        <v>28.600821596649091</v>
      </c>
      <c r="R52" s="6">
        <f>$J$3+[22]FormattedData!K25*$J$4+$M$4*$J$5+[22]FormattedData!K25^2*$J$6+$M$5*$J$7</f>
        <v>28.404953715169434</v>
      </c>
      <c r="S52" s="6">
        <f>$J$3+[22]FormattedData!L25*$J$4+$M$4*$J$5+[22]FormattedData!L25^2*$J$6+$M$5*$J$7</f>
        <v>28.208916759538052</v>
      </c>
      <c r="T52" s="6">
        <f>$J$3+[22]FormattedData!M25*$J$4+$M$4*$J$5+[22]FormattedData!M25^2*$J$6+$M$5*$J$7</f>
        <v>28.01271072975495</v>
      </c>
      <c r="U52" s="6">
        <f>$J$3+[22]FormattedData!N25*$J$4+$M$4*$J$5+[22]FormattedData!N25^2*$J$6+$M$5*$J$7</f>
        <v>28.600821596649091</v>
      </c>
      <c r="V52" s="6">
        <f>$J$3+[22]FormattedData!O25*$J$4+$M$4*$J$5+[22]FormattedData!O25^2*$J$6+$M$5*$J$7</f>
        <v>28.208916759538052</v>
      </c>
      <c r="W52" s="5">
        <f t="shared" si="9"/>
        <v>28.396639329991118</v>
      </c>
      <c r="X52" s="4">
        <f t="shared" si="10"/>
        <v>7.8595244465843178E-2</v>
      </c>
      <c r="Y52" s="3">
        <f t="shared" si="11"/>
        <v>28.01271072975495</v>
      </c>
      <c r="Z52" s="2">
        <f t="shared" si="12"/>
        <v>28.184396289382406</v>
      </c>
      <c r="AA52" s="3">
        <f t="shared" si="13"/>
        <v>28.502887655909262</v>
      </c>
      <c r="AB52" s="2">
        <f t="shared" si="14"/>
        <v>28.600821596649091</v>
      </c>
      <c r="AC52" s="2">
        <f t="shared" si="15"/>
        <v>28.796520403977024</v>
      </c>
      <c r="AD52" s="2">
        <f t="shared" si="16"/>
        <v>-0.23380327333462841</v>
      </c>
      <c r="AE52" s="2">
        <f t="shared" si="17"/>
        <v>-1.5421095372001279</v>
      </c>
    </row>
    <row r="53" spans="2:31" x14ac:dyDescent="0.2">
      <c r="B53" s="1">
        <f>[22]FormattedData!A23</f>
        <v>104</v>
      </c>
      <c r="C53" s="1" t="str">
        <f>VLOOKUP($B53,[22]TrtCodes!$B$11:I66,2)</f>
        <v>NTL</v>
      </c>
      <c r="D53" s="1">
        <f>VLOOKUP($B53,[22]TrtCodes!$B$11:J66,3)</f>
        <v>10</v>
      </c>
      <c r="E53" s="1">
        <f>VLOOKUP($B53,[22]TrtCodes!$B$11:K66,4)</f>
        <v>2</v>
      </c>
      <c r="F53" s="1">
        <f>VLOOKUP($B53,[22]TrtCodes!$B$11:L66,5)</f>
        <v>2</v>
      </c>
      <c r="G53" s="1">
        <f>VLOOKUP($B53,[22]TrtCodes!$B$11:M66,6)</f>
        <v>1</v>
      </c>
      <c r="H53" s="1">
        <f>VLOOKUP($B53,[22]TrtCodes!$B$11:N66,7)</f>
        <v>1</v>
      </c>
      <c r="I53" s="1">
        <f>[22]FormattedData!B23</f>
        <v>2</v>
      </c>
      <c r="J53" s="4">
        <f>[22]FormattedData!C23</f>
        <v>13.138999999999999</v>
      </c>
      <c r="K53" s="6">
        <f>$J$3+[22]FormattedData!D23*$J$4+$M$4*$J$5+[22]FormattedData!D23^2*$J$6+$M$5*$J$7</f>
        <v>28.404953715169434</v>
      </c>
      <c r="L53" s="6">
        <f>$J$3+[22]FormattedData!E23*$J$4+$M$4*$J$5+[22]FormattedData!E23^2*$J$6+$M$5*$J$7</f>
        <v>28.208916759538052</v>
      </c>
      <c r="M53" s="6">
        <f>$J$3+[22]FormattedData!F23*$J$4+$M$4*$J$5+[22]FormattedData!F23^2*$J$6+$M$5*$J$7</f>
        <v>28.01271072975495</v>
      </c>
      <c r="N53" s="6">
        <f>$J$3+[22]FormattedData!G23*$J$4+$M$4*$J$5+[22]FormattedData!G23^2*$J$6+$M$5*$J$7</f>
        <v>28.01271072975495</v>
      </c>
      <c r="O53" s="6">
        <f>$J$3+[22]FormattedData!H23*$J$4+$M$4*$J$5+[22]FormattedData!H23^2*$J$6+$M$5*$J$7</f>
        <v>28.404953715169434</v>
      </c>
      <c r="P53" s="6">
        <f>$J$3+[22]FormattedData!I23*$J$4+$M$4*$J$5+[22]FormattedData!I23^2*$J$6+$M$5*$J$7</f>
        <v>28.404953715169434</v>
      </c>
      <c r="Q53" s="6">
        <f>$J$3+[22]FormattedData!J23*$J$4+$M$4*$J$5+[22]FormattedData!J23^2*$J$6+$M$5*$J$7</f>
        <v>28.600821596649091</v>
      </c>
      <c r="R53" s="6">
        <f>$J$3+[22]FormattedData!K23*$J$4+$M$4*$J$5+[22]FormattedData!K23^2*$J$6+$M$5*$J$7</f>
        <v>28.01271072975495</v>
      </c>
      <c r="S53" s="6">
        <f>$J$3+[22]FormattedData!L23*$J$4+$M$4*$J$5+[22]FormattedData!L23^2*$J$6+$M$5*$J$7</f>
        <v>28.404953715169434</v>
      </c>
      <c r="T53" s="6">
        <f>$J$3+[22]FormattedData!M23*$J$4+$M$4*$J$5+[22]FormattedData!M23^2*$J$6+$M$5*$J$7</f>
        <v>28.208916759538052</v>
      </c>
      <c r="U53" s="6">
        <f>$J$3+[22]FormattedData!N23*$J$4+$M$4*$J$5+[22]FormattedData!N23^2*$J$6+$M$5*$J$7</f>
        <v>28.796520403977024</v>
      </c>
      <c r="V53" s="6">
        <f>$J$3+[22]FormattedData!O23*$J$4+$M$4*$J$5+[22]FormattedData!O23^2*$J$6+$M$5*$J$7</f>
        <v>28.208916759538052</v>
      </c>
      <c r="W53" s="5">
        <f t="shared" si="9"/>
        <v>28.306836610765234</v>
      </c>
      <c r="X53" s="4">
        <f t="shared" si="10"/>
        <v>7.0335788090834808E-2</v>
      </c>
      <c r="Y53" s="3">
        <f t="shared" si="11"/>
        <v>28.01271072975495</v>
      </c>
      <c r="Z53" s="2">
        <f t="shared" si="12"/>
        <v>28.159865252092278</v>
      </c>
      <c r="AA53" s="3">
        <f t="shared" si="13"/>
        <v>28.306935237353741</v>
      </c>
      <c r="AB53" s="2">
        <f t="shared" si="14"/>
        <v>28.404953715169434</v>
      </c>
      <c r="AC53" s="2">
        <f t="shared" si="15"/>
        <v>28.796520403977024</v>
      </c>
      <c r="AD53" s="2">
        <f t="shared" si="16"/>
        <v>0.50876031588975379</v>
      </c>
      <c r="AE53" s="2">
        <f t="shared" si="17"/>
        <v>-9.5683781302513982E-2</v>
      </c>
    </row>
    <row r="54" spans="2:31" x14ac:dyDescent="0.2">
      <c r="B54" s="1">
        <f>[22]FormattedData!A21</f>
        <v>105</v>
      </c>
      <c r="C54" s="1" t="str">
        <f>VLOOKUP($B54,[22]TrtCodes!$B$11:I64,2)</f>
        <v>NDL</v>
      </c>
      <c r="D54" s="1">
        <f>VLOOKUP($B54,[22]TrtCodes!$B$11:J64,3)</f>
        <v>12</v>
      </c>
      <c r="E54" s="1">
        <f>VLOOKUP($B54,[22]TrtCodes!$B$11:K64,4)</f>
        <v>2</v>
      </c>
      <c r="F54" s="1">
        <f>VLOOKUP($B54,[22]TrtCodes!$B$11:L64,5)</f>
        <v>3</v>
      </c>
      <c r="G54" s="1">
        <f>VLOOKUP($B54,[22]TrtCodes!$B$11:M64,6)</f>
        <v>1</v>
      </c>
      <c r="H54" s="1">
        <f>VLOOKUP($B54,[22]TrtCodes!$B$11:N64,7)</f>
        <v>2</v>
      </c>
      <c r="I54" s="1">
        <f>[22]FormattedData!B21</f>
        <v>2</v>
      </c>
      <c r="J54" s="4">
        <f>[22]FormattedData!C21</f>
        <v>13.122999999999999</v>
      </c>
      <c r="K54" s="6">
        <f>$J$3+[22]FormattedData!D21*$J$4+$M$4*$J$5+[22]FormattedData!D21^2*$J$6+$M$5*$J$7</f>
        <v>30.550201333100805</v>
      </c>
      <c r="L54" s="6">
        <f>$J$3+[22]FormattedData!E21*$J$4+$M$4*$J$5+[22]FormattedData!E21^2*$J$6+$M$5*$J$7</f>
        <v>30.258872220350291</v>
      </c>
      <c r="M54" s="6">
        <f>$J$3+[22]FormattedData!F21*$J$4+$M$4*$J$5+[22]FormattedData!F21^2*$J$6+$M$5*$J$7</f>
        <v>30.258872220350291</v>
      </c>
      <c r="N54" s="6">
        <f>$J$3+[22]FormattedData!G21*$J$4+$M$4*$J$5+[22]FormattedData!G21^2*$J$6+$M$5*$J$7</f>
        <v>29.869841643818578</v>
      </c>
      <c r="O54" s="6">
        <f>$J$3+[22]FormattedData!H21*$J$4+$M$4*$J$5+[22]FormattedData!H21^2*$J$6+$M$5*$J$7</f>
        <v>29.675072744325128</v>
      </c>
      <c r="P54" s="6">
        <f>$J$3+[22]FormattedData!I21*$J$4+$M$4*$J$5+[22]FormattedData!I21^2*$J$6+$M$5*$J$7</f>
        <v>29.480134770679957</v>
      </c>
      <c r="Q54" s="6">
        <f>$J$3+[22]FormattedData!J21*$J$4+$M$4*$J$5+[22]FormattedData!J21^2*$J$6+$M$5*$J$7</f>
        <v>29.9671626907584</v>
      </c>
      <c r="R54" s="6">
        <f>$J$3+[22]FormattedData!K21*$J$4+$M$4*$J$5+[22]FormattedData!K21^2*$J$6+$M$5*$J$7</f>
        <v>29.577624891771503</v>
      </c>
      <c r="S54" s="6">
        <f>$J$3+[22]FormattedData!L21*$J$4+$M$4*$J$5+[22]FormattedData!L21^2*$J$6+$M$5*$J$7</f>
        <v>30.064441469160293</v>
      </c>
      <c r="T54" s="6">
        <f>$J$3+[22]FormattedData!M21*$J$4+$M$4*$J$5+[22]FormattedData!M21^2*$J$6+$M$5*$J$7</f>
        <v>30.064441469160293</v>
      </c>
      <c r="U54" s="6">
        <f>$J$3+[22]FormattedData!N21*$J$4+$M$4*$J$5+[22]FormattedData!N21^2*$J$6+$M$5*$J$7</f>
        <v>29.577624891771503</v>
      </c>
      <c r="V54" s="6">
        <f>$J$3+[22]FormattedData!O21*$J$4+$M$4*$J$5+[22]FormattedData!O21^2*$J$6+$M$5*$J$7</f>
        <v>29.480134770679957</v>
      </c>
      <c r="W54" s="5">
        <f t="shared" si="9"/>
        <v>29.902035426327249</v>
      </c>
      <c r="X54" s="4">
        <f t="shared" si="10"/>
        <v>0.101160323508036</v>
      </c>
      <c r="Y54" s="3">
        <f t="shared" si="11"/>
        <v>29.480134770679957</v>
      </c>
      <c r="Z54" s="2">
        <f t="shared" si="12"/>
        <v>29.577624891771503</v>
      </c>
      <c r="AA54" s="3">
        <f t="shared" si="13"/>
        <v>29.918502167288487</v>
      </c>
      <c r="AB54" s="2">
        <f t="shared" si="14"/>
        <v>30.113049156957793</v>
      </c>
      <c r="AC54" s="2">
        <f t="shared" si="15"/>
        <v>30.550201333100805</v>
      </c>
      <c r="AD54" s="2">
        <f t="shared" si="16"/>
        <v>0.3595185515064877</v>
      </c>
      <c r="AE54" s="2">
        <f t="shared" si="17"/>
        <v>-0.91411031173730573</v>
      </c>
    </row>
    <row r="55" spans="2:31" x14ac:dyDescent="0.2">
      <c r="B55" s="1">
        <f>[22]FormattedData!A19</f>
        <v>106</v>
      </c>
      <c r="C55" s="1" t="str">
        <f>VLOOKUP($B55,[22]TrtCodes!$B$11:I62,2)</f>
        <v>NTH</v>
      </c>
      <c r="D55" s="1">
        <f>VLOOKUP($B55,[22]TrtCodes!$B$11:J62,3)</f>
        <v>9</v>
      </c>
      <c r="E55" s="1">
        <f>VLOOKUP($B55,[22]TrtCodes!$B$11:K62,4)</f>
        <v>2</v>
      </c>
      <c r="F55" s="1">
        <f>VLOOKUP($B55,[22]TrtCodes!$B$11:L62,5)</f>
        <v>2</v>
      </c>
      <c r="G55" s="1">
        <f>VLOOKUP($B55,[22]TrtCodes!$B$11:M62,6)</f>
        <v>2</v>
      </c>
      <c r="H55" s="1">
        <f>VLOOKUP($B55,[22]TrtCodes!$B$11:N62,7)</f>
        <v>2</v>
      </c>
      <c r="I55" s="1">
        <f>[22]FormattedData!B19</f>
        <v>2</v>
      </c>
      <c r="J55" s="4">
        <f>[22]FormattedData!C19</f>
        <v>13.106999999999999</v>
      </c>
      <c r="K55" s="6">
        <f>$J$3+[22]FormattedData!D19*$J$4+$M$4*$J$5+[22]FormattedData!D19^2*$J$6+$M$5*$J$7</f>
        <v>29.577624891771503</v>
      </c>
      <c r="L55" s="6">
        <f>$J$3+[22]FormattedData!E19*$J$4+$M$4*$J$5+[22]FormattedData!E19^2*$J$6+$M$5*$J$7</f>
        <v>29.382602381050472</v>
      </c>
      <c r="M55" s="6">
        <f>$J$3+[22]FormattedData!F19*$J$4+$M$4*$J$5+[22]FormattedData!F19^2*$J$6+$M$5*$J$7</f>
        <v>29.675072744325128</v>
      </c>
      <c r="N55" s="6">
        <f>$J$3+[22]FormattedData!G19*$J$4+$M$4*$J$5+[22]FormattedData!G19^2*$J$6+$M$5*$J$7</f>
        <v>29.772478328340814</v>
      </c>
      <c r="O55" s="6">
        <f>$J$3+[22]FormattedData!H19*$J$4+$M$4*$J$5+[22]FormattedData!H19^2*$J$6+$M$5*$J$7</f>
        <v>29.675072744325128</v>
      </c>
      <c r="P55" s="6">
        <f>$J$3+[22]FormattedData!I19*$J$4+$M$4*$J$5+[22]FormattedData!I19^2*$J$6+$M$5*$J$7</f>
        <v>29.772478328340814</v>
      </c>
      <c r="Q55" s="6">
        <f>$J$3+[22]FormattedData!J19*$J$4+$M$4*$J$5+[22]FormattedData!J19^2*$J$6+$M$5*$J$7</f>
        <v>30.356024193138399</v>
      </c>
      <c r="R55" s="6">
        <f>$J$3+[22]FormattedData!K19*$J$4+$M$4*$J$5+[22]FormattedData!K19^2*$J$6+$M$5*$J$7</f>
        <v>30.356024193138399</v>
      </c>
      <c r="S55" s="6">
        <f>$J$3+[22]FormattedData!L19*$J$4+$M$4*$J$5+[22]FormattedData!L19^2*$J$6+$M$5*$J$7</f>
        <v>29.480134770679957</v>
      </c>
      <c r="T55" s="6">
        <f>$J$3+[22]FormattedData!M19*$J$4+$M$4*$J$5+[22]FormattedData!M19^2*$J$6+$M$5*$J$7</f>
        <v>29.382602381050472</v>
      </c>
      <c r="U55" s="6">
        <f>$J$3+[22]FormattedData!N19*$J$4+$M$4*$J$5+[22]FormattedData!N19^2*$J$6+$M$5*$J$7</f>
        <v>30.064441469160293</v>
      </c>
      <c r="V55" s="6">
        <f>$J$3+[22]FormattedData!O19*$J$4+$M$4*$J$5+[22]FormattedData!O19^2*$J$6+$M$5*$J$7</f>
        <v>30.161677979024262</v>
      </c>
      <c r="W55" s="5">
        <f t="shared" si="9"/>
        <v>29.804686200362131</v>
      </c>
      <c r="X55" s="4">
        <f t="shared" si="10"/>
        <v>0.10119502075152277</v>
      </c>
      <c r="Y55" s="3">
        <f t="shared" si="11"/>
        <v>29.382602381050472</v>
      </c>
      <c r="Z55" s="2">
        <f t="shared" si="12"/>
        <v>29.553252361498615</v>
      </c>
      <c r="AA55" s="3">
        <f t="shared" si="13"/>
        <v>29.723775536332973</v>
      </c>
      <c r="AB55" s="2">
        <f t="shared" si="14"/>
        <v>30.088750596626284</v>
      </c>
      <c r="AC55" s="2">
        <f t="shared" si="15"/>
        <v>30.356024193138399</v>
      </c>
      <c r="AD55" s="2">
        <f t="shared" si="16"/>
        <v>0.50015694311645476</v>
      </c>
      <c r="AE55" s="2">
        <f t="shared" si="17"/>
        <v>-1.0761488096183895</v>
      </c>
    </row>
    <row r="56" spans="2:31" x14ac:dyDescent="0.2">
      <c r="B56" s="1">
        <f>[22]FormattedData!A17</f>
        <v>107</v>
      </c>
      <c r="C56" s="1" t="str">
        <f>VLOOKUP($B56,[22]TrtCodes!$B$11:I60,2)</f>
        <v>NTL</v>
      </c>
      <c r="D56" s="1">
        <f>VLOOKUP($B56,[22]TrtCodes!$B$11:J60,3)</f>
        <v>10</v>
      </c>
      <c r="E56" s="1">
        <f>VLOOKUP($B56,[22]TrtCodes!$B$11:K60,4)</f>
        <v>2</v>
      </c>
      <c r="F56" s="1">
        <f>VLOOKUP($B56,[22]TrtCodes!$B$11:L60,5)</f>
        <v>2</v>
      </c>
      <c r="G56" s="1">
        <f>VLOOKUP($B56,[22]TrtCodes!$B$11:M60,6)</f>
        <v>1</v>
      </c>
      <c r="H56" s="1">
        <f>VLOOKUP($B56,[22]TrtCodes!$B$11:N60,7)</f>
        <v>2</v>
      </c>
      <c r="I56" s="1">
        <f>[22]FormattedData!B17</f>
        <v>2</v>
      </c>
      <c r="J56" s="4">
        <f>[22]FormattedData!C17</f>
        <v>13.092000000000001</v>
      </c>
      <c r="K56" s="6">
        <f>$J$3+[22]FormattedData!D17*$J$4+$M$4*$J$5+[22]FormattedData!D17^2*$J$6+$M$5*$J$7</f>
        <v>28.796520403977024</v>
      </c>
      <c r="L56" s="6">
        <f>$J$3+[22]FormattedData!E17*$J$4+$M$4*$J$5+[22]FormattedData!E17^2*$J$6+$M$5*$J$7</f>
        <v>29.089751600934438</v>
      </c>
      <c r="M56" s="6">
        <f>$J$3+[22]FormattedData!F17*$J$4+$M$4*$J$5+[22]FormattedData!F17^2*$J$6+$M$5*$J$7</f>
        <v>29.187410796177716</v>
      </c>
      <c r="N56" s="6">
        <f>$J$3+[22]FormattedData!G17*$J$4+$M$4*$J$5+[22]FormattedData!G17^2*$J$6+$M$5*$J$7</f>
        <v>29.772478328340814</v>
      </c>
      <c r="O56" s="6">
        <f>$J$3+[22]FormattedData!H17*$J$4+$M$4*$J$5+[22]FormattedData!H17^2*$J$6+$M$5*$J$7</f>
        <v>28.502908790178228</v>
      </c>
      <c r="P56" s="6">
        <f>$J$3+[22]FormattedData!I17*$J$4+$M$4*$J$5+[22]FormattedData!I17^2*$J$6+$M$5*$J$7</f>
        <v>28.992050137153232</v>
      </c>
      <c r="Q56" s="6">
        <f>$J$3+[22]FormattedData!J17*$J$4+$M$4*$J$5+[22]FormattedData!J17^2*$J$6+$M$5*$J$7</f>
        <v>29.382602381050472</v>
      </c>
      <c r="R56" s="6">
        <f>$J$3+[22]FormattedData!K17*$J$4+$M$4*$J$5+[22]FormattedData!K17^2*$J$6+$M$5*$J$7</f>
        <v>28.992050137153232</v>
      </c>
      <c r="S56" s="6">
        <f>$J$3+[22]FormattedData!L17*$J$4+$M$4*$J$5+[22]FormattedData!L17^2*$J$6+$M$5*$J$7</f>
        <v>29.285027722883058</v>
      </c>
      <c r="T56" s="6">
        <f>$J$3+[22]FormattedData!M17*$J$4+$M$4*$J$5+[22]FormattedData!M17^2*$J$6+$M$5*$J$7</f>
        <v>29.772478328340814</v>
      </c>
      <c r="U56" s="6">
        <f>$J$3+[22]FormattedData!N17*$J$4+$M$4*$J$5+[22]FormattedData!N17^2*$J$6+$M$5*$J$7</f>
        <v>29.577624891771503</v>
      </c>
      <c r="V56" s="6">
        <f>$J$3+[22]FormattedData!O17*$J$4+$M$4*$J$5+[22]FormattedData!O17^2*$J$6+$M$5*$J$7</f>
        <v>29.285027722883058</v>
      </c>
      <c r="W56" s="5">
        <f t="shared" si="9"/>
        <v>29.219660936736961</v>
      </c>
      <c r="X56" s="4">
        <f t="shared" si="10"/>
        <v>0.10970895681406485</v>
      </c>
      <c r="Y56" s="3">
        <f t="shared" si="11"/>
        <v>28.502908790178228</v>
      </c>
      <c r="Z56" s="2">
        <f t="shared" si="12"/>
        <v>28.992050137153232</v>
      </c>
      <c r="AA56" s="3">
        <f t="shared" si="13"/>
        <v>29.236219259530387</v>
      </c>
      <c r="AB56" s="2">
        <f t="shared" si="14"/>
        <v>29.431358008730729</v>
      </c>
      <c r="AC56" s="2">
        <f t="shared" si="15"/>
        <v>29.772478328340814</v>
      </c>
      <c r="AD56" s="2">
        <f t="shared" si="16"/>
        <v>-0.16127593017637684</v>
      </c>
      <c r="AE56" s="2">
        <f t="shared" si="17"/>
        <v>-0.21429606214519703</v>
      </c>
    </row>
    <row r="57" spans="2:31" x14ac:dyDescent="0.2">
      <c r="B57" s="1">
        <f>[22]FormattedData!A15</f>
        <v>108</v>
      </c>
      <c r="C57" s="1" t="str">
        <f>VLOOKUP($B57,[22]TrtCodes!$B$11:I58,2)</f>
        <v>FTH</v>
      </c>
      <c r="D57" s="1">
        <f>VLOOKUP($B57,[22]TrtCodes!$B$11:J58,3)</f>
        <v>3</v>
      </c>
      <c r="E57" s="1">
        <f>VLOOKUP($B57,[22]TrtCodes!$B$11:K58,4)</f>
        <v>1</v>
      </c>
      <c r="F57" s="1">
        <f>VLOOKUP($B57,[22]TrtCodes!$B$11:L58,5)</f>
        <v>2</v>
      </c>
      <c r="G57" s="1">
        <f>VLOOKUP($B57,[22]TrtCodes!$B$11:M58,6)</f>
        <v>2</v>
      </c>
      <c r="H57" s="1">
        <f>VLOOKUP($B57,[22]TrtCodes!$B$11:N58,7)</f>
        <v>2</v>
      </c>
      <c r="I57" s="1">
        <f>[22]FormattedData!B15</f>
        <v>2</v>
      </c>
      <c r="J57" s="4">
        <f>[22]FormattedData!C15</f>
        <v>13.076000000000001</v>
      </c>
      <c r="K57" s="6">
        <f>$J$3+[22]FormattedData!D15*$J$4+$M$4*$J$5+[22]FormattedData!D15^2*$J$6+$M$5*$J$7</f>
        <v>29.089751600934438</v>
      </c>
      <c r="L57" s="6">
        <f>$J$3+[22]FormattedData!E15*$J$4+$M$4*$J$5+[22]FormattedData!E15^2*$J$6+$M$5*$J$7</f>
        <v>29.187410796177716</v>
      </c>
      <c r="M57" s="6">
        <f>$J$3+[22]FormattedData!F15*$J$4+$M$4*$J$5+[22]FormattedData!F15^2*$J$6+$M$5*$J$7</f>
        <v>29.285027722883058</v>
      </c>
      <c r="N57" s="6">
        <f>$J$3+[22]FormattedData!G15*$J$4+$M$4*$J$5+[22]FormattedData!G15^2*$J$6+$M$5*$J$7</f>
        <v>29.089751600934438</v>
      </c>
      <c r="O57" s="6">
        <f>$J$3+[22]FormattedData!H15*$J$4+$M$4*$J$5+[22]FormattedData!H15^2*$J$6+$M$5*$J$7</f>
        <v>29.187410796177716</v>
      </c>
      <c r="P57" s="6">
        <f>$J$3+[22]FormattedData!I15*$J$4+$M$4*$J$5+[22]FormattedData!I15^2*$J$6+$M$5*$J$7</f>
        <v>29.382602381050472</v>
      </c>
      <c r="Q57" s="6">
        <f>$J$3+[22]FormattedData!J15*$J$4+$M$4*$J$5+[22]FormattedData!J15^2*$J$6+$M$5*$J$7</f>
        <v>29.285027722883058</v>
      </c>
      <c r="R57" s="6">
        <f>$J$3+[22]FormattedData!K15*$J$4+$M$4*$J$5+[22]FormattedData!K15^2*$J$6+$M$5*$J$7</f>
        <v>29.577624891771503</v>
      </c>
      <c r="S57" s="6">
        <f>$J$3+[22]FormattedData!L15*$J$4+$M$4*$J$5+[22]FormattedData!L15^2*$J$6+$M$5*$J$7</f>
        <v>29.089751600934438</v>
      </c>
      <c r="T57" s="6">
        <f>$J$3+[22]FormattedData!M15*$J$4+$M$4*$J$5+[22]FormattedData!M15^2*$J$6+$M$5*$J$7</f>
        <v>29.187410796177716</v>
      </c>
      <c r="U57" s="6">
        <f>$J$3+[22]FormattedData!N15*$J$4+$M$4*$J$5+[22]FormattedData!N15^2*$J$6+$M$5*$J$7</f>
        <v>28.992050137153232</v>
      </c>
      <c r="V57" s="6">
        <f>$J$3+[22]FormattedData!O15*$J$4+$M$4*$J$5+[22]FormattedData!O15^2*$J$6+$M$5*$J$7</f>
        <v>28.992050137153232</v>
      </c>
      <c r="W57" s="5">
        <f t="shared" si="9"/>
        <v>29.195489182019248</v>
      </c>
      <c r="X57" s="4">
        <f t="shared" si="10"/>
        <v>4.87406035688688E-2</v>
      </c>
      <c r="Y57" s="3">
        <f t="shared" si="11"/>
        <v>28.992050137153232</v>
      </c>
      <c r="Z57" s="2">
        <f t="shared" si="12"/>
        <v>29.089751600934438</v>
      </c>
      <c r="AA57" s="3">
        <f t="shared" si="13"/>
        <v>29.187410796177716</v>
      </c>
      <c r="AB57" s="2">
        <f t="shared" si="14"/>
        <v>29.285027722883058</v>
      </c>
      <c r="AC57" s="2">
        <f t="shared" si="15"/>
        <v>29.577624891771503</v>
      </c>
      <c r="AD57" s="2">
        <f t="shared" si="16"/>
        <v>0.98366544907416142</v>
      </c>
      <c r="AE57" s="2">
        <f t="shared" si="17"/>
        <v>1.1008302031346124</v>
      </c>
    </row>
    <row r="58" spans="2:31" x14ac:dyDescent="0.2">
      <c r="B58" s="1">
        <f>[22]FormattedData!A31</f>
        <v>201</v>
      </c>
      <c r="C58" s="1" t="str">
        <f>VLOOKUP($B58,[22]TrtCodes!$B$11:I74,2)</f>
        <v>NDL</v>
      </c>
      <c r="D58" s="1">
        <f>VLOOKUP($B58,[22]TrtCodes!$B$11:J74,3)</f>
        <v>12</v>
      </c>
      <c r="E58" s="1">
        <f>VLOOKUP($B58,[22]TrtCodes!$B$11:K74,4)</f>
        <v>2</v>
      </c>
      <c r="F58" s="1">
        <f>VLOOKUP($B58,[22]TrtCodes!$B$11:L74,5)</f>
        <v>3</v>
      </c>
      <c r="G58" s="1">
        <f>VLOOKUP($B58,[22]TrtCodes!$B$11:M74,6)</f>
        <v>1</v>
      </c>
      <c r="H58" s="1">
        <f>VLOOKUP($B58,[22]TrtCodes!$B$11:N74,7)</f>
        <v>1</v>
      </c>
      <c r="I58" s="1">
        <f>[22]FormattedData!B31</f>
        <v>2</v>
      </c>
      <c r="J58" s="4">
        <f>[22]FormattedData!C31</f>
        <v>13.208</v>
      </c>
      <c r="K58" s="6">
        <f>$J$3+[22]FormattedData!D31*$J$4+$M$4*$J$5+[22]FormattedData!D31^2*$J$6+$M$5*$J$7</f>
        <v>28.208916759538052</v>
      </c>
      <c r="L58" s="6">
        <f>$J$3+[22]FormattedData!E31*$J$4+$M$4*$J$5+[22]FormattedData!E31^2*$J$6+$M$5*$J$7</f>
        <v>28.208916759538052</v>
      </c>
      <c r="M58" s="6">
        <f>$J$3+[22]FormattedData!F31*$J$4+$M$4*$J$5+[22]FormattedData!F31^2*$J$6+$M$5*$J$7</f>
        <v>28.600821596649091</v>
      </c>
      <c r="N58" s="6">
        <f>$J$3+[22]FormattedData!G31*$J$4+$M$4*$J$5+[22]FormattedData!G31^2*$J$6+$M$5*$J$7</f>
        <v>28.306956371622707</v>
      </c>
      <c r="O58" s="6">
        <f>$J$3+[22]FormattedData!H31*$J$4+$M$4*$J$5+[22]FormattedData!H31^2*$J$6+$M$5*$J$7</f>
        <v>28.208916759538052</v>
      </c>
      <c r="P58" s="6">
        <f>$J$3+[22]FormattedData!I31*$J$4+$M$4*$J$5+[22]FormattedData!I31^2*$J$6+$M$5*$J$7</f>
        <v>28.208916759538052</v>
      </c>
      <c r="Q58" s="6">
        <f>$J$3+[22]FormattedData!J31*$J$4+$M$4*$J$5+[22]FormattedData!J31^2*$J$6+$M$5*$J$7</f>
        <v>28.502908790178228</v>
      </c>
      <c r="R58" s="6">
        <f>$J$3+[22]FormattedData!K31*$J$4+$M$4*$J$5+[22]FormattedData!K31^2*$J$6+$M$5*$J$7</f>
        <v>28.404953715169434</v>
      </c>
      <c r="S58" s="6">
        <f>$J$3+[22]FormattedData!L31*$J$4+$M$4*$J$5+[22]FormattedData!L31^2*$J$6+$M$5*$J$7</f>
        <v>28.502908790178228</v>
      </c>
      <c r="T58" s="6">
        <f>$J$3+[22]FormattedData!M31*$J$4+$M$4*$J$5+[22]FormattedData!M31^2*$J$6+$M$5*$J$7</f>
        <v>28.208916759538052</v>
      </c>
      <c r="U58" s="6">
        <f>$J$3+[22]FormattedData!N31*$J$4+$M$4*$J$5+[22]FormattedData!N31^2*$J$6+$M$5*$J$7</f>
        <v>28.600821596649091</v>
      </c>
      <c r="V58" s="6">
        <f>$J$3+[22]FormattedData!O31*$J$4+$M$4*$J$5+[22]FormattedData!O31^2*$J$6+$M$5*$J$7</f>
        <v>28.502908790178228</v>
      </c>
      <c r="W58" s="5">
        <f t="shared" si="9"/>
        <v>28.37223862069294</v>
      </c>
      <c r="X58" s="4">
        <f t="shared" si="10"/>
        <v>4.7228220447778108E-2</v>
      </c>
      <c r="Y58" s="3">
        <f t="shared" si="11"/>
        <v>28.208916759538052</v>
      </c>
      <c r="Z58" s="2">
        <f t="shared" si="12"/>
        <v>28.208916759538052</v>
      </c>
      <c r="AA58" s="3">
        <f t="shared" si="13"/>
        <v>28.355955043396072</v>
      </c>
      <c r="AB58" s="2">
        <f t="shared" si="14"/>
        <v>28.502908790178228</v>
      </c>
      <c r="AC58" s="2">
        <f t="shared" si="15"/>
        <v>28.600821596649091</v>
      </c>
      <c r="AD58" s="2">
        <f t="shared" si="16"/>
        <v>0.21312369977736229</v>
      </c>
      <c r="AE58" s="2">
        <f t="shared" si="17"/>
        <v>-1.8532883718205535</v>
      </c>
    </row>
    <row r="59" spans="2:31" x14ac:dyDescent="0.2">
      <c r="B59" s="1">
        <f>[22]FormattedData!A33</f>
        <v>202</v>
      </c>
      <c r="C59" s="1" t="str">
        <f>VLOOKUP($B59,[22]TrtCodes!$B$11:I76,2)</f>
        <v>NTH</v>
      </c>
      <c r="D59" s="1">
        <f>VLOOKUP($B59,[22]TrtCodes!$B$11:J76,3)</f>
        <v>9</v>
      </c>
      <c r="E59" s="1">
        <f>VLOOKUP($B59,[22]TrtCodes!$B$11:K76,4)</f>
        <v>2</v>
      </c>
      <c r="F59" s="1">
        <f>VLOOKUP($B59,[22]TrtCodes!$B$11:L76,5)</f>
        <v>2</v>
      </c>
      <c r="G59" s="1">
        <f>VLOOKUP($B59,[22]TrtCodes!$B$11:M76,6)</f>
        <v>2</v>
      </c>
      <c r="H59" s="1">
        <f>VLOOKUP($B59,[22]TrtCodes!$B$11:N76,7)</f>
        <v>1</v>
      </c>
      <c r="I59" s="1">
        <f>[22]FormattedData!B33</f>
        <v>2</v>
      </c>
      <c r="J59" s="4">
        <f>[22]FormattedData!C33</f>
        <v>13.224</v>
      </c>
      <c r="K59" s="6">
        <f>$J$3+[22]FormattedData!D33*$J$4+$M$4*$J$5+[22]FormattedData!D33^2*$J$6+$M$5*$J$7</f>
        <v>28.404953715169434</v>
      </c>
      <c r="L59" s="6">
        <f>$J$3+[22]FormattedData!E33*$J$4+$M$4*$J$5+[22]FormattedData!E33^2*$J$6+$M$5*$J$7</f>
        <v>28.208916759538052</v>
      </c>
      <c r="M59" s="6">
        <f>$J$3+[22]FormattedData!F33*$J$4+$M$4*$J$5+[22]FormattedData!F33^2*$J$6+$M$5*$J$7</f>
        <v>28.208916759538052</v>
      </c>
      <c r="N59" s="6">
        <f>$J$3+[22]FormattedData!G33*$J$4+$M$4*$J$5+[22]FormattedData!G33^2*$J$6+$M$5*$J$7</f>
        <v>28.208916759538052</v>
      </c>
      <c r="O59" s="6">
        <f>$J$3+[22]FormattedData!H33*$J$4+$M$4*$J$5+[22]FormattedData!H33^2*$J$6+$M$5*$J$7</f>
        <v>28.796520403977024</v>
      </c>
      <c r="P59" s="6">
        <f>$J$3+[22]FormattedData!I33*$J$4+$M$4*$J$5+[22]FormattedData!I33^2*$J$6+$M$5*$J$7</f>
        <v>28.208916759538052</v>
      </c>
      <c r="Q59" s="6">
        <f>$J$3+[22]FormattedData!J33*$J$4+$M$4*$J$5+[22]FormattedData!J33^2*$J$6+$M$5*$J$7</f>
        <v>28.306956371622707</v>
      </c>
      <c r="R59" s="6">
        <f>$J$3+[22]FormattedData!K33*$J$4+$M$4*$J$5+[22]FormattedData!K33^2*$J$6+$M$5*$J$7</f>
        <v>27.914544312056499</v>
      </c>
      <c r="S59" s="6">
        <f>$J$3+[22]FormattedData!L33*$J$4+$M$4*$J$5+[22]FormattedData!L33^2*$J$6+$M$5*$J$7</f>
        <v>28.404953715169434</v>
      </c>
      <c r="T59" s="6">
        <f>$J$3+[22]FormattedData!M33*$J$4+$M$4*$J$5+[22]FormattedData!M33^2*$J$6+$M$5*$J$7</f>
        <v>27.914544312056499</v>
      </c>
      <c r="U59" s="6">
        <f>$J$3+[22]FormattedData!N33*$J$4+$M$4*$J$5+[22]FormattedData!N33^2*$J$6+$M$5*$J$7</f>
        <v>28.01271072975495</v>
      </c>
      <c r="V59" s="6">
        <f>$J$3+[22]FormattedData!O33*$J$4+$M$4*$J$5+[22]FormattedData!O33^2*$J$6+$M$5*$J$7</f>
        <v>28.306956371622707</v>
      </c>
      <c r="W59" s="5">
        <f t="shared" si="9"/>
        <v>28.241483914131788</v>
      </c>
      <c r="X59" s="4">
        <f t="shared" si="10"/>
        <v>6.965511342558138E-2</v>
      </c>
      <c r="Y59" s="3">
        <f t="shared" si="11"/>
        <v>27.914544312056499</v>
      </c>
      <c r="Z59" s="2">
        <f t="shared" si="12"/>
        <v>28.159865252092278</v>
      </c>
      <c r="AA59" s="3">
        <f t="shared" si="13"/>
        <v>28.208916759538052</v>
      </c>
      <c r="AB59" s="2">
        <f t="shared" si="14"/>
        <v>28.331455707509388</v>
      </c>
      <c r="AC59" s="2">
        <f t="shared" si="15"/>
        <v>28.796520403977024</v>
      </c>
      <c r="AD59" s="2">
        <f t="shared" si="16"/>
        <v>0.76318189483980181</v>
      </c>
      <c r="AE59" s="2">
        <f t="shared" si="17"/>
        <v>1.6361755963871438</v>
      </c>
    </row>
    <row r="60" spans="2:31" x14ac:dyDescent="0.2">
      <c r="B60" s="1">
        <f>[22]FormattedData!A35</f>
        <v>203</v>
      </c>
      <c r="C60" s="1" t="str">
        <f>VLOOKUP($B60,[22]TrtCodes!$B$11:I78,2)</f>
        <v>FTH</v>
      </c>
      <c r="D60" s="1">
        <f>VLOOKUP($B60,[22]TrtCodes!$B$11:J78,3)</f>
        <v>3</v>
      </c>
      <c r="E60" s="1">
        <f>VLOOKUP($B60,[22]TrtCodes!$B$11:K78,4)</f>
        <v>1</v>
      </c>
      <c r="F60" s="1">
        <f>VLOOKUP($B60,[22]TrtCodes!$B$11:L78,5)</f>
        <v>2</v>
      </c>
      <c r="G60" s="1">
        <f>VLOOKUP($B60,[22]TrtCodes!$B$11:M78,6)</f>
        <v>2</v>
      </c>
      <c r="H60" s="1">
        <f>VLOOKUP($B60,[22]TrtCodes!$B$11:N78,7)</f>
        <v>1</v>
      </c>
      <c r="I60" s="1">
        <f>[22]FormattedData!B35</f>
        <v>2</v>
      </c>
      <c r="J60" s="4">
        <f>[22]FormattedData!C35</f>
        <v>13.24</v>
      </c>
      <c r="K60" s="6">
        <f>$J$3+[22]FormattedData!D35*$J$4+$M$4*$J$5+[22]FormattedData!D35^2*$J$6+$M$5*$J$7</f>
        <v>27.718084671045805</v>
      </c>
      <c r="L60" s="6">
        <f>$J$3+[22]FormattedData!E35*$J$4+$M$4*$J$5+[22]FormattedData!E35^2*$J$6+$M$5*$J$7</f>
        <v>27.816335625820116</v>
      </c>
      <c r="M60" s="6">
        <f>$J$3+[22]FormattedData!F35*$J$4+$M$4*$J$5+[22]FormattedData!F35^2*$J$6+$M$5*$J$7</f>
        <v>28.110834878915465</v>
      </c>
      <c r="N60" s="6">
        <f>$J$3+[22]FormattedData!G35*$J$4+$M$4*$J$5+[22]FormattedData!G35^2*$J$6+$M$5*$J$7</f>
        <v>28.110834878915465</v>
      </c>
      <c r="O60" s="6">
        <f>$J$3+[22]FormattedData!H35*$J$4+$M$4*$J$5+[22]FormattedData!H35^2*$J$6+$M$5*$J$7</f>
        <v>28.110834878915465</v>
      </c>
      <c r="P60" s="6">
        <f>$J$3+[22]FormattedData!I35*$J$4+$M$4*$J$5+[22]FormattedData!I35^2*$J$6+$M$5*$J$7</f>
        <v>28.600821596649091</v>
      </c>
      <c r="Q60" s="6">
        <f>$J$3+[22]FormattedData!J35*$J$4+$M$4*$J$5+[22]FormattedData!J35^2*$J$6+$M$5*$J$7</f>
        <v>28.600821596649091</v>
      </c>
      <c r="R60" s="6">
        <f>$J$3+[22]FormattedData!K35*$J$4+$M$4*$J$5+[22]FormattedData!K35^2*$J$6+$M$5*$J$7</f>
        <v>27.914544312056499</v>
      </c>
      <c r="S60" s="6">
        <f>$J$3+[22]FormattedData!L35*$J$4+$M$4*$J$5+[22]FormattedData!L35^2*$J$6+$M$5*$J$7</f>
        <v>28.208916759538052</v>
      </c>
      <c r="T60" s="6">
        <f>$J$3+[22]FormattedData!M35*$J$4+$M$4*$J$5+[22]FormattedData!M35^2*$J$6+$M$5*$J$7</f>
        <v>28.208916759538052</v>
      </c>
      <c r="U60" s="6">
        <f>$J$3+[22]FormattedData!N35*$J$4+$M$4*$J$5+[22]FormattedData!N35^2*$J$6+$M$5*$J$7</f>
        <v>28.502908790178228</v>
      </c>
      <c r="V60" s="6">
        <f>$J$3+[22]FormattedData!O35*$J$4+$M$4*$J$5+[22]FormattedData!O35^2*$J$6+$M$5*$J$7</f>
        <v>28.502908790178228</v>
      </c>
      <c r="W60" s="5">
        <f t="shared" si="9"/>
        <v>28.200563628199969</v>
      </c>
      <c r="X60" s="4">
        <f t="shared" si="10"/>
        <v>8.6591846606201867E-2</v>
      </c>
      <c r="Y60" s="3">
        <f t="shared" si="11"/>
        <v>27.718084671045805</v>
      </c>
      <c r="Z60" s="2">
        <f t="shared" si="12"/>
        <v>28.061762237200725</v>
      </c>
      <c r="AA60" s="3">
        <f t="shared" si="13"/>
        <v>28.159875819226759</v>
      </c>
      <c r="AB60" s="2">
        <f t="shared" si="14"/>
        <v>28.502908790178228</v>
      </c>
      <c r="AC60" s="2">
        <f t="shared" si="15"/>
        <v>28.600821596649091</v>
      </c>
      <c r="AD60" s="2">
        <f t="shared" si="16"/>
        <v>-4.477916394771303E-2</v>
      </c>
      <c r="AE60" s="2">
        <f t="shared" si="17"/>
        <v>-1.0959962638939826</v>
      </c>
    </row>
    <row r="61" spans="2:31" x14ac:dyDescent="0.2">
      <c r="B61" s="1">
        <f>[22]FormattedData!A37</f>
        <v>204</v>
      </c>
      <c r="C61" s="1" t="str">
        <f>VLOOKUP($B61,[22]TrtCodes!$B$11:I80,2)</f>
        <v>NDH</v>
      </c>
      <c r="D61" s="1">
        <f>VLOOKUP($B61,[22]TrtCodes!$B$11:J80,3)</f>
        <v>11</v>
      </c>
      <c r="E61" s="1">
        <f>VLOOKUP($B61,[22]TrtCodes!$B$11:K80,4)</f>
        <v>2</v>
      </c>
      <c r="F61" s="1">
        <f>VLOOKUP($B61,[22]TrtCodes!$B$11:L80,5)</f>
        <v>3</v>
      </c>
      <c r="G61" s="1">
        <f>VLOOKUP($B61,[22]TrtCodes!$B$11:M80,6)</f>
        <v>2</v>
      </c>
      <c r="H61" s="1">
        <f>VLOOKUP($B61,[22]TrtCodes!$B$11:N80,7)</f>
        <v>1</v>
      </c>
      <c r="I61" s="1">
        <f>[22]FormattedData!B37</f>
        <v>2</v>
      </c>
      <c r="J61" s="4">
        <f>[22]FormattedData!C37</f>
        <v>13.256</v>
      </c>
      <c r="K61" s="6">
        <f>$J$3+[22]FormattedData!D37*$J$4+$M$4*$J$5+[22]FormattedData!D37^2*$J$6+$M$5*$J$7</f>
        <v>27.914544312056499</v>
      </c>
      <c r="L61" s="6">
        <f>$J$3+[22]FormattedData!E37*$J$4+$M$4*$J$5+[22]FormattedData!E37^2*$J$6+$M$5*$J$7</f>
        <v>28.01271072975495</v>
      </c>
      <c r="M61" s="6">
        <f>$J$3+[22]FormattedData!F37*$J$4+$M$4*$J$5+[22]FormattedData!F37^2*$J$6+$M$5*$J$7</f>
        <v>28.01271072975495</v>
      </c>
      <c r="N61" s="6">
        <f>$J$3+[22]FormattedData!G37*$J$4+$M$4*$J$5+[22]FormattedData!G37^2*$J$6+$M$5*$J$7</f>
        <v>28.110834878915465</v>
      </c>
      <c r="O61" s="6">
        <f>$J$3+[22]FormattedData!H37*$J$4+$M$4*$J$5+[22]FormattedData!H37^2*$J$6+$M$5*$J$7</f>
        <v>28.01271072975495</v>
      </c>
      <c r="P61" s="6">
        <f>$J$3+[22]FormattedData!I37*$J$4+$M$4*$J$5+[22]FormattedData!I37^2*$J$6+$M$5*$J$7</f>
        <v>28.01271072975495</v>
      </c>
      <c r="Q61" s="6">
        <f>$J$3+[22]FormattedData!J37*$J$4+$M$4*$J$5+[22]FormattedData!J37^2*$J$6+$M$5*$J$7</f>
        <v>28.698692134582021</v>
      </c>
      <c r="R61" s="6">
        <f>$J$3+[22]FormattedData!K37*$J$4+$M$4*$J$5+[22]FormattedData!K37^2*$J$6+$M$5*$J$7</f>
        <v>28.796520403977024</v>
      </c>
      <c r="S61" s="6">
        <f>$J$3+[22]FormattedData!L37*$J$4+$M$4*$J$5+[22]FormattedData!L37^2*$J$6+$M$5*$J$7</f>
        <v>28.404953715169434</v>
      </c>
      <c r="T61" s="6">
        <f>$J$3+[22]FormattedData!M37*$J$4+$M$4*$J$5+[22]FormattedData!M37^2*$J$6+$M$5*$J$7</f>
        <v>28.208916759538052</v>
      </c>
      <c r="U61" s="6">
        <f>$J$3+[22]FormattedData!N37*$J$4+$M$4*$J$5+[22]FormattedData!N37^2*$J$6+$M$5*$J$7</f>
        <v>28.698692134582021</v>
      </c>
      <c r="V61" s="6">
        <f>$J$3+[22]FormattedData!O37*$J$4+$M$4*$J$5+[22]FormattedData!O37^2*$J$6+$M$5*$J$7</f>
        <v>28.502908790178228</v>
      </c>
      <c r="W61" s="5">
        <f t="shared" si="9"/>
        <v>28.282242170668212</v>
      </c>
      <c r="X61" s="4">
        <f t="shared" si="10"/>
        <v>9.2754265916635825E-2</v>
      </c>
      <c r="Y61" s="3">
        <f t="shared" si="11"/>
        <v>27.914544312056499</v>
      </c>
      <c r="Z61" s="2">
        <f t="shared" si="12"/>
        <v>28.01271072975495</v>
      </c>
      <c r="AA61" s="3">
        <f t="shared" si="13"/>
        <v>28.159875819226759</v>
      </c>
      <c r="AB61" s="2">
        <f t="shared" si="14"/>
        <v>28.551854626279177</v>
      </c>
      <c r="AC61" s="2">
        <f t="shared" si="15"/>
        <v>28.796520403977024</v>
      </c>
      <c r="AD61" s="2">
        <f t="shared" si="16"/>
        <v>0.52484603389337758</v>
      </c>
      <c r="AE61" s="2">
        <f t="shared" si="17"/>
        <v>-1.4758968034111124</v>
      </c>
    </row>
    <row r="62" spans="2:31" x14ac:dyDescent="0.2">
      <c r="B62" s="1">
        <f>[22]FormattedData!A39</f>
        <v>205</v>
      </c>
      <c r="C62" s="1" t="str">
        <f>VLOOKUP($B62,[22]TrtCodes!$B$11:I82,2)</f>
        <v>FSH</v>
      </c>
      <c r="D62" s="1">
        <f>VLOOKUP($B62,[22]TrtCodes!$B$11:J82,3)</f>
        <v>1</v>
      </c>
      <c r="E62" s="1">
        <f>VLOOKUP($B62,[22]TrtCodes!$B$11:K82,4)</f>
        <v>1</v>
      </c>
      <c r="F62" s="1">
        <f>VLOOKUP($B62,[22]TrtCodes!$B$11:L82,5)</f>
        <v>1</v>
      </c>
      <c r="G62" s="1">
        <f>VLOOKUP($B62,[22]TrtCodes!$B$11:M82,6)</f>
        <v>2</v>
      </c>
      <c r="H62" s="1">
        <f>VLOOKUP($B62,[22]TrtCodes!$B$11:N82,7)</f>
        <v>2</v>
      </c>
      <c r="I62" s="1">
        <f>[22]FormattedData!B39</f>
        <v>2</v>
      </c>
      <c r="J62" s="4">
        <f>[22]FormattedData!C39</f>
        <v>13.272</v>
      </c>
      <c r="K62" s="6">
        <f>$J$3+[22]FormattedData!D39*$J$4+$M$4*$J$5+[22]FormattedData!D39^2*$J$6+$M$5*$J$7</f>
        <v>28.404953715169434</v>
      </c>
      <c r="L62" s="6">
        <f>$J$3+[22]FormattedData!E39*$J$4+$M$4*$J$5+[22]FormattedData!E39^2*$J$6+$M$5*$J$7</f>
        <v>28.306956371622707</v>
      </c>
      <c r="M62" s="6">
        <f>$J$3+[22]FormattedData!F39*$J$4+$M$4*$J$5+[22]FormattedData!F39^2*$J$6+$M$5*$J$7</f>
        <v>28.502908790178228</v>
      </c>
      <c r="N62" s="6">
        <f>$J$3+[22]FormattedData!G39*$J$4+$M$4*$J$5+[22]FormattedData!G39^2*$J$6+$M$5*$J$7</f>
        <v>28.404953715169434</v>
      </c>
      <c r="O62" s="6">
        <f>$J$3+[22]FormattedData!H39*$J$4+$M$4*$J$5+[22]FormattedData!H39^2*$J$6+$M$5*$J$7</f>
        <v>28.992050137153232</v>
      </c>
      <c r="P62" s="6">
        <f>$J$3+[22]FormattedData!I39*$J$4+$M$4*$J$5+[22]FormattedData!I39^2*$J$6+$M$5*$J$7</f>
        <v>28.894306404834094</v>
      </c>
      <c r="Q62" s="6">
        <f>$J$3+[22]FormattedData!J39*$J$4+$M$4*$J$5+[22]FormattedData!J39^2*$J$6+$M$5*$J$7</f>
        <v>28.796520403977024</v>
      </c>
      <c r="R62" s="6">
        <f>$J$3+[22]FormattedData!K39*$J$4+$M$4*$J$5+[22]FormattedData!K39^2*$J$6+$M$5*$J$7</f>
        <v>28.306956371622707</v>
      </c>
      <c r="S62" s="6">
        <f>$J$3+[22]FormattedData!L39*$J$4+$M$4*$J$5+[22]FormattedData!L39^2*$J$6+$M$5*$J$7</f>
        <v>28.502908790178228</v>
      </c>
      <c r="T62" s="6">
        <f>$J$3+[22]FormattedData!M39*$J$4+$M$4*$J$5+[22]FormattedData!M39^2*$J$6+$M$5*$J$7</f>
        <v>28.600821596649091</v>
      </c>
      <c r="U62" s="6">
        <f>$J$3+[22]FormattedData!N39*$J$4+$M$4*$J$5+[22]FormattedData!N39^2*$J$6+$M$5*$J$7</f>
        <v>29.089751600934438</v>
      </c>
      <c r="V62" s="6">
        <f>$J$3+[22]FormattedData!O39*$J$4+$M$4*$J$5+[22]FormattedData!O39^2*$J$6+$M$5*$J$7</f>
        <v>28.992050137153232</v>
      </c>
      <c r="W62" s="5">
        <f t="shared" si="9"/>
        <v>28.649594836220157</v>
      </c>
      <c r="X62" s="4">
        <f t="shared" si="10"/>
        <v>8.3014845798928816E-2</v>
      </c>
      <c r="Y62" s="3">
        <f t="shared" si="11"/>
        <v>28.306956371622707</v>
      </c>
      <c r="Z62" s="2">
        <f t="shared" si="12"/>
        <v>28.404953715169434</v>
      </c>
      <c r="AA62" s="3">
        <f t="shared" si="13"/>
        <v>28.551865193413661</v>
      </c>
      <c r="AB62" s="2">
        <f t="shared" si="14"/>
        <v>28.918742337913876</v>
      </c>
      <c r="AC62" s="2">
        <f t="shared" si="15"/>
        <v>29.089751600934438</v>
      </c>
      <c r="AD62" s="2">
        <f t="shared" si="16"/>
        <v>0.30853829386949144</v>
      </c>
      <c r="AE62" s="2">
        <f t="shared" si="17"/>
        <v>-1.6196561032518382</v>
      </c>
    </row>
    <row r="63" spans="2:31" x14ac:dyDescent="0.2">
      <c r="B63" s="1">
        <f>[22]FormattedData!A41</f>
        <v>206</v>
      </c>
      <c r="C63" s="1" t="str">
        <f>VLOOKUP($B63,[22]TrtCodes!$B$11:I84,2)</f>
        <v>NSL</v>
      </c>
      <c r="D63" s="1">
        <f>VLOOKUP($B63,[22]TrtCodes!$B$11:J84,3)</f>
        <v>8</v>
      </c>
      <c r="E63" s="1">
        <f>VLOOKUP($B63,[22]TrtCodes!$B$11:K84,4)</f>
        <v>2</v>
      </c>
      <c r="F63" s="1">
        <f>VLOOKUP($B63,[22]TrtCodes!$B$11:L84,5)</f>
        <v>1</v>
      </c>
      <c r="G63" s="1">
        <f>VLOOKUP($B63,[22]TrtCodes!$B$11:M84,6)</f>
        <v>1</v>
      </c>
      <c r="H63" s="1">
        <f>VLOOKUP($B63,[22]TrtCodes!$B$11:N84,7)</f>
        <v>2</v>
      </c>
      <c r="I63" s="1">
        <f>[22]FormattedData!B41</f>
        <v>2</v>
      </c>
      <c r="J63" s="4">
        <f>[22]FormattedData!C41</f>
        <v>13.288</v>
      </c>
      <c r="K63" s="6">
        <f>$J$3+[22]FormattedData!D41*$J$4+$M$4*$J$5+[22]FormattedData!D41^2*$J$6+$M$5*$J$7</f>
        <v>28.894306404834094</v>
      </c>
      <c r="L63" s="6">
        <f>$J$3+[22]FormattedData!E41*$J$4+$M$4*$J$5+[22]FormattedData!E41^2*$J$6+$M$5*$J$7</f>
        <v>29.772478328340814</v>
      </c>
      <c r="M63" s="6">
        <f>$J$3+[22]FormattedData!F41*$J$4+$M$4*$J$5+[22]FormattedData!F41^2*$J$6+$M$5*$J$7</f>
        <v>28.992050137153232</v>
      </c>
      <c r="N63" s="6">
        <f>$J$3+[22]FormattedData!G41*$J$4+$M$4*$J$5+[22]FormattedData!G41^2*$J$6+$M$5*$J$7</f>
        <v>28.208916759538052</v>
      </c>
      <c r="O63" s="6">
        <f>$J$3+[22]FormattedData!H41*$J$4+$M$4*$J$5+[22]FormattedData!H41^2*$J$6+$M$5*$J$7</f>
        <v>28.796520403977024</v>
      </c>
      <c r="P63" s="6">
        <f>$J$3+[22]FormattedData!I41*$J$4+$M$4*$J$5+[22]FormattedData!I41^2*$J$6+$M$5*$J$7</f>
        <v>28.992050137153232</v>
      </c>
      <c r="Q63" s="6">
        <f>$J$3+[22]FormattedData!J41*$J$4+$M$4*$J$5+[22]FormattedData!J41^2*$J$6+$M$5*$J$7</f>
        <v>29.285027722883058</v>
      </c>
      <c r="R63" s="6">
        <f>$J$3+[22]FormattedData!K41*$J$4+$M$4*$J$5+[22]FormattedData!K41^2*$J$6+$M$5*$J$7</f>
        <v>29.089751600934438</v>
      </c>
      <c r="S63" s="6">
        <f>$J$3+[22]FormattedData!L41*$J$4+$M$4*$J$5+[22]FormattedData!L41^2*$J$6+$M$5*$J$7</f>
        <v>29.187410796177716</v>
      </c>
      <c r="T63" s="6">
        <f>$J$3+[22]FormattedData!M41*$J$4+$M$4*$J$5+[22]FormattedData!M41^2*$J$6+$M$5*$J$7</f>
        <v>28.894306404834094</v>
      </c>
      <c r="U63" s="6">
        <f>$J$3+[22]FormattedData!N41*$J$4+$M$4*$J$5+[22]FormattedData!N41^2*$J$6+$M$5*$J$7</f>
        <v>28.796520403977024</v>
      </c>
      <c r="V63" s="6">
        <f>$J$3+[22]FormattedData!O41*$J$4+$M$4*$J$5+[22]FormattedData!O41^2*$J$6+$M$5*$J$7</f>
        <v>28.404953715169434</v>
      </c>
      <c r="W63" s="5">
        <f t="shared" si="9"/>
        <v>28.942857734581015</v>
      </c>
      <c r="X63" s="4">
        <f t="shared" si="10"/>
        <v>0.11570365110980312</v>
      </c>
      <c r="Y63" s="3">
        <f t="shared" si="11"/>
        <v>28.208916759538052</v>
      </c>
      <c r="Z63" s="2">
        <f t="shared" si="12"/>
        <v>28.796520403977024</v>
      </c>
      <c r="AA63" s="3">
        <f t="shared" si="13"/>
        <v>28.943178270993663</v>
      </c>
      <c r="AB63" s="2">
        <f t="shared" si="14"/>
        <v>29.114166399745258</v>
      </c>
      <c r="AC63" s="2">
        <f t="shared" si="15"/>
        <v>29.772478328340814</v>
      </c>
      <c r="AD63" s="2">
        <f t="shared" si="16"/>
        <v>0.12132918967987416</v>
      </c>
      <c r="AE63" s="2">
        <f t="shared" si="17"/>
        <v>1.2560060709717416</v>
      </c>
    </row>
    <row r="64" spans="2:31" x14ac:dyDescent="0.2">
      <c r="B64" s="1">
        <f>[22]FormattedData!A43</f>
        <v>207</v>
      </c>
      <c r="C64" s="1" t="str">
        <f>VLOOKUP($B64,[22]TrtCodes!$B$11:I86,2)</f>
        <v>FTL</v>
      </c>
      <c r="D64" s="1">
        <f>VLOOKUP($B64,[22]TrtCodes!$B$11:J86,3)</f>
        <v>4</v>
      </c>
      <c r="E64" s="1">
        <f>VLOOKUP($B64,[22]TrtCodes!$B$11:K86,4)</f>
        <v>1</v>
      </c>
      <c r="F64" s="1">
        <f>VLOOKUP($B64,[22]TrtCodes!$B$11:L86,5)</f>
        <v>2</v>
      </c>
      <c r="G64" s="1">
        <f>VLOOKUP($B64,[22]TrtCodes!$B$11:M86,6)</f>
        <v>1</v>
      </c>
      <c r="H64" s="1">
        <f>VLOOKUP($B64,[22]TrtCodes!$B$11:N86,7)</f>
        <v>2</v>
      </c>
      <c r="I64" s="1">
        <f>[22]FormattedData!B43</f>
        <v>2</v>
      </c>
      <c r="J64" s="4">
        <f>[22]FormattedData!C43</f>
        <v>13.308</v>
      </c>
      <c r="K64" s="6">
        <f>$J$3+[22]FormattedData!D43*$J$4+$M$4*$J$5+[22]FormattedData!D43^2*$J$6+$M$5*$J$7</f>
        <v>28.502908790178228</v>
      </c>
      <c r="L64" s="6">
        <f>$J$3+[22]FormattedData!E43*$J$4+$M$4*$J$5+[22]FormattedData!E43^2*$J$6+$M$5*$J$7</f>
        <v>28.894306404834094</v>
      </c>
      <c r="M64" s="6">
        <f>$J$3+[22]FormattedData!F43*$J$4+$M$4*$J$5+[22]FormattedData!F43^2*$J$6+$M$5*$J$7</f>
        <v>28.698692134582021</v>
      </c>
      <c r="N64" s="6">
        <f>$J$3+[22]FormattedData!G43*$J$4+$M$4*$J$5+[22]FormattedData!G43^2*$J$6+$M$5*$J$7</f>
        <v>28.502908790178228</v>
      </c>
      <c r="O64" s="6">
        <f>$J$3+[22]FormattedData!H43*$J$4+$M$4*$J$5+[22]FormattedData!H43^2*$J$6+$M$5*$J$7</f>
        <v>28.992050137153232</v>
      </c>
      <c r="P64" s="6">
        <f>$J$3+[22]FormattedData!I43*$J$4+$M$4*$J$5+[22]FormattedData!I43^2*$J$6+$M$5*$J$7</f>
        <v>28.698692134582021</v>
      </c>
      <c r="Q64" s="6">
        <f>$J$3+[22]FormattedData!J43*$J$4+$M$4*$J$5+[22]FormattedData!J43^2*$J$6+$M$5*$J$7</f>
        <v>29.187410796177716</v>
      </c>
      <c r="R64" s="6">
        <f>$J$3+[22]FormattedData!K43*$J$4+$M$4*$J$5+[22]FormattedData!K43^2*$J$6+$M$5*$J$7</f>
        <v>28.992050137153232</v>
      </c>
      <c r="S64" s="6">
        <f>$J$3+[22]FormattedData!L43*$J$4+$M$4*$J$5+[22]FormattedData!L43^2*$J$6+$M$5*$J$7</f>
        <v>28.894306404834094</v>
      </c>
      <c r="T64" s="6">
        <f>$J$3+[22]FormattedData!M43*$J$4+$M$4*$J$5+[22]FormattedData!M43^2*$J$6+$M$5*$J$7</f>
        <v>28.796520403977024</v>
      </c>
      <c r="U64" s="6">
        <f>$J$3+[22]FormattedData!N43*$J$4+$M$4*$J$5+[22]FormattedData!N43^2*$J$6+$M$5*$J$7</f>
        <v>29.187410796177716</v>
      </c>
      <c r="V64" s="6">
        <f>$J$3+[22]FormattedData!O43*$J$4+$M$4*$J$5+[22]FormattedData!O43^2*$J$6+$M$5*$J$7</f>
        <v>29.089751600934438</v>
      </c>
      <c r="W64" s="5">
        <f t="shared" si="9"/>
        <v>28.869750710896838</v>
      </c>
      <c r="X64" s="4">
        <f t="shared" si="10"/>
        <v>6.8222411185974691E-2</v>
      </c>
      <c r="Y64" s="3">
        <f t="shared" si="11"/>
        <v>28.502908790178228</v>
      </c>
      <c r="Z64" s="2">
        <f t="shared" si="12"/>
        <v>28.698692134582021</v>
      </c>
      <c r="AA64" s="3">
        <f t="shared" si="13"/>
        <v>28.894306404834094</v>
      </c>
      <c r="AB64" s="2">
        <f t="shared" si="14"/>
        <v>29.016475503098533</v>
      </c>
      <c r="AC64" s="2">
        <f t="shared" si="15"/>
        <v>29.187410796177716</v>
      </c>
      <c r="AD64" s="2">
        <f t="shared" si="16"/>
        <v>-0.25366803577977093</v>
      </c>
      <c r="AE64" s="2">
        <f t="shared" si="17"/>
        <v>-0.94604368170894038</v>
      </c>
    </row>
    <row r="65" spans="2:31" x14ac:dyDescent="0.2">
      <c r="B65" s="1">
        <f>[22]FormattedData!A45</f>
        <v>208</v>
      </c>
      <c r="C65" s="1" t="str">
        <f>VLOOKUP($B65,[22]TrtCodes!$B$11:I88,2)</f>
        <v>FSL</v>
      </c>
      <c r="D65" s="1">
        <f>VLOOKUP($B65,[22]TrtCodes!$B$11:J88,3)</f>
        <v>2</v>
      </c>
      <c r="E65" s="1">
        <f>VLOOKUP($B65,[22]TrtCodes!$B$11:K88,4)</f>
        <v>1</v>
      </c>
      <c r="F65" s="1">
        <f>VLOOKUP($B65,[22]TrtCodes!$B$11:L88,5)</f>
        <v>1</v>
      </c>
      <c r="G65" s="1">
        <f>VLOOKUP($B65,[22]TrtCodes!$B$11:M88,6)</f>
        <v>1</v>
      </c>
      <c r="H65" s="1">
        <f>VLOOKUP($B65,[22]TrtCodes!$B$11:N88,7)</f>
        <v>2</v>
      </c>
      <c r="I65" s="1">
        <f>[22]FormattedData!B45</f>
        <v>2</v>
      </c>
      <c r="J65" s="4">
        <f>[22]FormattedData!C45</f>
        <v>13.324</v>
      </c>
      <c r="K65" s="6">
        <f>$J$3+[22]FormattedData!D45*$J$4+$M$4*$J$5+[22]FormattedData!D45^2*$J$6+$M$5*$J$7</f>
        <v>28.502908790178228</v>
      </c>
      <c r="L65" s="6">
        <f>$J$3+[22]FormattedData!E45*$J$4+$M$4*$J$5+[22]FormattedData!E45^2*$J$6+$M$5*$J$7</f>
        <v>28.992050137153232</v>
      </c>
      <c r="M65" s="6">
        <f>$J$3+[22]FormattedData!F45*$J$4+$M$4*$J$5+[22]FormattedData!F45^2*$J$6+$M$5*$J$7</f>
        <v>29.577624891771503</v>
      </c>
      <c r="N65" s="6">
        <f>$J$3+[22]FormattedData!G45*$J$4+$M$4*$J$5+[22]FormattedData!G45^2*$J$6+$M$5*$J$7</f>
        <v>29.285027722883058</v>
      </c>
      <c r="O65" s="6">
        <f>$J$3+[22]FormattedData!H45*$J$4+$M$4*$J$5+[22]FormattedData!H45^2*$J$6+$M$5*$J$7</f>
        <v>29.285027722883058</v>
      </c>
      <c r="P65" s="6">
        <f>$J$3+[22]FormattedData!I45*$J$4+$M$4*$J$5+[22]FormattedData!I45^2*$J$6+$M$5*$J$7</f>
        <v>28.894306404834094</v>
      </c>
      <c r="Q65" s="6">
        <f>$J$3+[22]FormattedData!J45*$J$4+$M$4*$J$5+[22]FormattedData!J45^2*$J$6+$M$5*$J$7</f>
        <v>29.382602381050472</v>
      </c>
      <c r="R65" s="6">
        <f>$J$3+[22]FormattedData!K45*$J$4+$M$4*$J$5+[22]FormattedData!K45^2*$J$6+$M$5*$J$7</f>
        <v>29.187410796177716</v>
      </c>
      <c r="S65" s="6">
        <f>$J$3+[22]FormattedData!L45*$J$4+$M$4*$J$5+[22]FormattedData!L45^2*$J$6+$M$5*$J$7</f>
        <v>29.772478328340814</v>
      </c>
      <c r="T65" s="6">
        <f>$J$3+[22]FormattedData!M45*$J$4+$M$4*$J$5+[22]FormattedData!M45^2*$J$6+$M$5*$J$7</f>
        <v>29.089751600934438</v>
      </c>
      <c r="U65" s="6">
        <f>$J$3+[22]FormattedData!N45*$J$4+$M$4*$J$5+[22]FormattedData!N45^2*$J$6+$M$5*$J$7</f>
        <v>29.187410796177716</v>
      </c>
      <c r="V65" s="6">
        <f>$J$3+[22]FormattedData!O45*$J$4+$M$4*$J$5+[22]FormattedData!O45^2*$J$6+$M$5*$J$7</f>
        <v>28.992050137153232</v>
      </c>
      <c r="W65" s="5">
        <f t="shared" si="9"/>
        <v>29.179054142461467</v>
      </c>
      <c r="X65" s="4">
        <f t="shared" si="10"/>
        <v>9.4996531446495822E-2</v>
      </c>
      <c r="Y65" s="3">
        <f t="shared" si="11"/>
        <v>28.502908790178228</v>
      </c>
      <c r="Z65" s="2">
        <f t="shared" si="12"/>
        <v>28.992050137153232</v>
      </c>
      <c r="AA65" s="3">
        <f t="shared" si="13"/>
        <v>29.187410796177716</v>
      </c>
      <c r="AB65" s="2">
        <f t="shared" si="14"/>
        <v>29.309421387424912</v>
      </c>
      <c r="AC65" s="2">
        <f t="shared" si="15"/>
        <v>29.772478328340814</v>
      </c>
      <c r="AD65" s="2">
        <f t="shared" si="16"/>
        <v>-0.19251149800111489</v>
      </c>
      <c r="AE65" s="2">
        <f t="shared" si="17"/>
        <v>0.92896516716118249</v>
      </c>
    </row>
    <row r="66" spans="2:31" x14ac:dyDescent="0.2">
      <c r="B66" s="1">
        <f>[22]FormattedData!A63</f>
        <v>301</v>
      </c>
      <c r="C66" s="1" t="str">
        <f>VLOOKUP($B66,[22]TrtCodes!$B$11:I106,2)</f>
        <v>NTL</v>
      </c>
      <c r="D66" s="1">
        <f>VLOOKUP($B66,[22]TrtCodes!$B$11:J106,3)</f>
        <v>10</v>
      </c>
      <c r="E66" s="1">
        <f>VLOOKUP($B66,[22]TrtCodes!$B$11:K106,4)</f>
        <v>2</v>
      </c>
      <c r="F66" s="1">
        <f>VLOOKUP($B66,[22]TrtCodes!$B$11:L106,5)</f>
        <v>2</v>
      </c>
      <c r="G66" s="1">
        <f>VLOOKUP($B66,[22]TrtCodes!$B$11:M106,6)</f>
        <v>1</v>
      </c>
      <c r="H66" s="1">
        <f>VLOOKUP($B66,[22]TrtCodes!$B$11:N106,7)</f>
        <v>3</v>
      </c>
      <c r="I66" s="1">
        <f>[22]FormattedData!B63</f>
        <v>2</v>
      </c>
      <c r="J66" s="4">
        <f>[22]FormattedData!C63</f>
        <v>13.446</v>
      </c>
      <c r="K66" s="6">
        <f>$J$3+[22]FormattedData!D63*$J$4+$M$4*$J$5+[22]FormattedData!D63^2*$J$6+$M$5*$J$7</f>
        <v>28.208916759538052</v>
      </c>
      <c r="L66" s="6">
        <f>$J$3+[22]FormattedData!E63*$J$4+$M$4*$J$5+[22]FormattedData!E63^2*$J$6+$M$5*$J$7</f>
        <v>28.110834878915465</v>
      </c>
      <c r="M66" s="6">
        <f>$J$3+[22]FormattedData!F63*$J$4+$M$4*$J$5+[22]FormattedData!F63^2*$J$6+$M$5*$J$7</f>
        <v>28.306956371622707</v>
      </c>
      <c r="N66" s="6">
        <f>$J$3+[22]FormattedData!G63*$J$4+$M$4*$J$5+[22]FormattedData!G63^2*$J$6+$M$5*$J$7</f>
        <v>28.01271072975495</v>
      </c>
      <c r="O66" s="6">
        <f>$J$3+[22]FormattedData!H63*$J$4+$M$4*$J$5+[22]FormattedData!H63^2*$J$6+$M$5*$J$7</f>
        <v>28.600821596649091</v>
      </c>
      <c r="P66" s="6">
        <f>$J$3+[22]FormattedData!I63*$J$4+$M$4*$J$5+[22]FormattedData!I63^2*$J$6+$M$5*$J$7</f>
        <v>28.306956371622707</v>
      </c>
      <c r="Q66" s="6">
        <f>$J$3+[22]FormattedData!J63*$J$4+$M$4*$J$5+[22]FormattedData!J63^2*$J$6+$M$5*$J$7</f>
        <v>28.404953715169434</v>
      </c>
      <c r="R66" s="6">
        <f>$J$3+[22]FormattedData!K63*$J$4+$M$4*$J$5+[22]FormattedData!K63^2*$J$6+$M$5*$J$7</f>
        <v>28.600821596649091</v>
      </c>
      <c r="S66" s="6">
        <f>$J$3+[22]FormattedData!L63*$J$4+$M$4*$J$5+[22]FormattedData!L63^2*$J$6+$M$5*$J$7</f>
        <v>28.698692134582021</v>
      </c>
      <c r="T66" s="6">
        <f>$J$3+[22]FormattedData!M63*$J$4+$M$4*$J$5+[22]FormattedData!M63^2*$J$6+$M$5*$J$7</f>
        <v>28.698692134582021</v>
      </c>
      <c r="U66" s="6">
        <f>$J$3+[22]FormattedData!N63*$J$4+$M$4*$J$5+[22]FormattedData!N63^2*$J$6+$M$5*$J$7</f>
        <v>28.894306404834094</v>
      </c>
      <c r="V66" s="6">
        <f>$J$3+[22]FormattedData!O63*$J$4+$M$4*$J$5+[22]FormattedData!O63^2*$J$6+$M$5*$J$7</f>
        <v>28.894306404834094</v>
      </c>
      <c r="W66" s="5">
        <f t="shared" si="9"/>
        <v>28.478247424896143</v>
      </c>
      <c r="X66" s="4">
        <f t="shared" si="10"/>
        <v>8.5358396087649946E-2</v>
      </c>
      <c r="Y66" s="3">
        <f t="shared" si="11"/>
        <v>28.01271072975495</v>
      </c>
      <c r="Z66" s="2">
        <f t="shared" si="12"/>
        <v>28.282446468601542</v>
      </c>
      <c r="AA66" s="3">
        <f t="shared" si="13"/>
        <v>28.502887655909262</v>
      </c>
      <c r="AB66" s="2">
        <f t="shared" si="14"/>
        <v>28.698692134582021</v>
      </c>
      <c r="AC66" s="2">
        <f t="shared" si="15"/>
        <v>28.894306404834094</v>
      </c>
      <c r="AD66" s="2">
        <f t="shared" si="16"/>
        <v>-4.7769719270757738E-2</v>
      </c>
      <c r="AE66" s="2">
        <f t="shared" si="17"/>
        <v>-1.2029548140328994</v>
      </c>
    </row>
    <row r="67" spans="2:31" x14ac:dyDescent="0.2">
      <c r="B67" s="1">
        <f>[22]FormattedData!A65</f>
        <v>302</v>
      </c>
      <c r="C67" s="1" t="str">
        <f>VLOOKUP($B67,[22]TrtCodes!$B$11:I108,2)</f>
        <v>FTL</v>
      </c>
      <c r="D67" s="1">
        <f>VLOOKUP($B67,[22]TrtCodes!$B$11:J108,3)</f>
        <v>4</v>
      </c>
      <c r="E67" s="1">
        <f>VLOOKUP($B67,[22]TrtCodes!$B$11:K108,4)</f>
        <v>1</v>
      </c>
      <c r="F67" s="1">
        <f>VLOOKUP($B67,[22]TrtCodes!$B$11:L108,5)</f>
        <v>2</v>
      </c>
      <c r="G67" s="1">
        <f>VLOOKUP($B67,[22]TrtCodes!$B$11:M108,6)</f>
        <v>1</v>
      </c>
      <c r="H67" s="1">
        <f>VLOOKUP($B67,[22]TrtCodes!$B$11:N108,7)</f>
        <v>3</v>
      </c>
      <c r="I67" s="1">
        <f>[22]FormattedData!B65</f>
        <v>2</v>
      </c>
      <c r="J67" s="4">
        <f>[22]FormattedData!C65</f>
        <v>13.465999999999999</v>
      </c>
      <c r="K67" s="6">
        <f>$J$3+[22]FormattedData!D65*$J$4+$M$4*$J$5+[22]FormattedData!D65^2*$J$6+$M$5*$J$7</f>
        <v>28.208916759538052</v>
      </c>
      <c r="L67" s="6">
        <f>$J$3+[22]FormattedData!E65*$J$4+$M$4*$J$5+[22]FormattedData!E65^2*$J$6+$M$5*$J$7</f>
        <v>28.306956371622707</v>
      </c>
      <c r="M67" s="6">
        <f>$J$3+[22]FormattedData!F65*$J$4+$M$4*$J$5+[22]FormattedData!F65^2*$J$6+$M$5*$J$7</f>
        <v>28.698692134582021</v>
      </c>
      <c r="N67" s="6">
        <f>$J$3+[22]FormattedData!G65*$J$4+$M$4*$J$5+[22]FormattedData!G65^2*$J$6+$M$5*$J$7</f>
        <v>28.600821596649091</v>
      </c>
      <c r="O67" s="6">
        <f>$J$3+[22]FormattedData!H65*$J$4+$M$4*$J$5+[22]FormattedData!H65^2*$J$6+$M$5*$J$7</f>
        <v>28.600821596649091</v>
      </c>
      <c r="P67" s="6">
        <f>$J$3+[22]FormattedData!I65*$J$4+$M$4*$J$5+[22]FormattedData!I65^2*$J$6+$M$5*$J$7</f>
        <v>28.502908790178228</v>
      </c>
      <c r="Q67" s="6">
        <f>$J$3+[22]FormattedData!J65*$J$4+$M$4*$J$5+[22]FormattedData!J65^2*$J$6+$M$5*$J$7</f>
        <v>28.992050137153232</v>
      </c>
      <c r="R67" s="6">
        <f>$J$3+[22]FormattedData!K65*$J$4+$M$4*$J$5+[22]FormattedData!K65^2*$J$6+$M$5*$J$7</f>
        <v>28.894306404834094</v>
      </c>
      <c r="S67" s="6">
        <f>$J$3+[22]FormattedData!L65*$J$4+$M$4*$J$5+[22]FormattedData!L65^2*$J$6+$M$5*$J$7</f>
        <v>28.600821596649091</v>
      </c>
      <c r="T67" s="6">
        <f>$J$3+[22]FormattedData!M65*$J$4+$M$4*$J$5+[22]FormattedData!M65^2*$J$6+$M$5*$J$7</f>
        <v>28.208916759538052</v>
      </c>
      <c r="U67" s="6">
        <f>$J$3+[22]FormattedData!N65*$J$4+$M$4*$J$5+[22]FormattedData!N65^2*$J$6+$M$5*$J$7</f>
        <v>28.698692134582021</v>
      </c>
      <c r="V67" s="6">
        <f>$J$3+[22]FormattedData!O65*$J$4+$M$4*$J$5+[22]FormattedData!O65^2*$J$6+$M$5*$J$7</f>
        <v>28.110834878915465</v>
      </c>
      <c r="W67" s="5">
        <f t="shared" si="9"/>
        <v>28.535394930074261</v>
      </c>
      <c r="X67" s="4">
        <f t="shared" si="10"/>
        <v>8.0254900631545667E-2</v>
      </c>
      <c r="Y67" s="3">
        <f t="shared" si="11"/>
        <v>28.110834878915465</v>
      </c>
      <c r="Z67" s="2">
        <f t="shared" si="12"/>
        <v>28.282446468601542</v>
      </c>
      <c r="AA67" s="3">
        <f t="shared" si="13"/>
        <v>28.600821596649091</v>
      </c>
      <c r="AB67" s="2">
        <f t="shared" si="14"/>
        <v>28.698692134582021</v>
      </c>
      <c r="AC67" s="2">
        <f t="shared" si="15"/>
        <v>28.992050137153232</v>
      </c>
      <c r="AD67" s="2">
        <f t="shared" si="16"/>
        <v>-3.5886818805285693E-2</v>
      </c>
      <c r="AE67" s="2">
        <f t="shared" si="17"/>
        <v>-0.88132171833301598</v>
      </c>
    </row>
    <row r="68" spans="2:31" x14ac:dyDescent="0.2">
      <c r="B68" s="1">
        <f>[22]FormattedData!A67</f>
        <v>303</v>
      </c>
      <c r="C68" s="1" t="str">
        <f>VLOOKUP($B68,[22]TrtCodes!$B$11:I110,2)</f>
        <v>NSL</v>
      </c>
      <c r="D68" s="1">
        <f>VLOOKUP($B68,[22]TrtCodes!$B$11:J110,3)</f>
        <v>8</v>
      </c>
      <c r="E68" s="1">
        <f>VLOOKUP($B68,[22]TrtCodes!$B$11:K110,4)</f>
        <v>2</v>
      </c>
      <c r="F68" s="1">
        <f>VLOOKUP($B68,[22]TrtCodes!$B$11:L110,5)</f>
        <v>1</v>
      </c>
      <c r="G68" s="1">
        <f>VLOOKUP($B68,[22]TrtCodes!$B$11:M110,6)</f>
        <v>1</v>
      </c>
      <c r="H68" s="1">
        <f>VLOOKUP($B68,[22]TrtCodes!$B$11:N110,7)</f>
        <v>3</v>
      </c>
      <c r="I68" s="1">
        <f>[22]FormattedData!B67</f>
        <v>2</v>
      </c>
      <c r="J68" s="4">
        <f>[22]FormattedData!C67</f>
        <v>13.486000000000001</v>
      </c>
      <c r="K68" s="6">
        <f>$J$3+[22]FormattedData!D67*$J$4+$M$4*$J$5+[22]FormattedData!D67^2*$J$6+$M$5*$J$7</f>
        <v>28.698692134582021</v>
      </c>
      <c r="L68" s="6">
        <f>$J$3+[22]FormattedData!E67*$J$4+$M$4*$J$5+[22]FormattedData!E67^2*$J$6+$M$5*$J$7</f>
        <v>28.502908790178228</v>
      </c>
      <c r="M68" s="6">
        <f>$J$3+[22]FormattedData!F67*$J$4+$M$4*$J$5+[22]FormattedData!F67^2*$J$6+$M$5*$J$7</f>
        <v>28.404953715169434</v>
      </c>
      <c r="N68" s="6">
        <f>$J$3+[22]FormattedData!G67*$J$4+$M$4*$J$5+[22]FormattedData!G67^2*$J$6+$M$5*$J$7</f>
        <v>28.600821596649091</v>
      </c>
      <c r="O68" s="6">
        <f>$J$3+[22]FormattedData!H67*$J$4+$M$4*$J$5+[22]FormattedData!H67^2*$J$6+$M$5*$J$7</f>
        <v>28.992050137153232</v>
      </c>
      <c r="P68" s="6">
        <f>$J$3+[22]FormattedData!I67*$J$4+$M$4*$J$5+[22]FormattedData!I67^2*$J$6+$M$5*$J$7</f>
        <v>28.894306404834094</v>
      </c>
      <c r="Q68" s="6">
        <f>$J$3+[22]FormattedData!J67*$J$4+$M$4*$J$5+[22]FormattedData!J67^2*$J$6+$M$5*$J$7</f>
        <v>28.992050137153232</v>
      </c>
      <c r="R68" s="6">
        <f>$J$3+[22]FormattedData!K67*$J$4+$M$4*$J$5+[22]FormattedData!K67^2*$J$6+$M$5*$J$7</f>
        <v>28.698692134582021</v>
      </c>
      <c r="S68" s="6">
        <f>$J$3+[22]FormattedData!L67*$J$4+$M$4*$J$5+[22]FormattedData!L67^2*$J$6+$M$5*$J$7</f>
        <v>29.285027722883058</v>
      </c>
      <c r="T68" s="6">
        <f>$J$3+[22]FormattedData!M67*$J$4+$M$4*$J$5+[22]FormattedData!M67^2*$J$6+$M$5*$J$7</f>
        <v>28.600821596649091</v>
      </c>
      <c r="U68" s="6">
        <f>$J$3+[22]FormattedData!N67*$J$4+$M$4*$J$5+[22]FormattedData!N67^2*$J$6+$M$5*$J$7</f>
        <v>28.796520403977024</v>
      </c>
      <c r="V68" s="6">
        <f>$J$3+[22]FormattedData!O67*$J$4+$M$4*$J$5+[22]FormattedData!O67^2*$J$6+$M$5*$J$7</f>
        <v>28.796520403977024</v>
      </c>
      <c r="W68" s="5">
        <f t="shared" si="9"/>
        <v>28.771947098148956</v>
      </c>
      <c r="X68" s="4">
        <f t="shared" si="10"/>
        <v>7.0317899672505249E-2</v>
      </c>
      <c r="Y68" s="3">
        <f t="shared" si="11"/>
        <v>28.404953715169434</v>
      </c>
      <c r="Z68" s="2">
        <f t="shared" si="12"/>
        <v>28.600821596649091</v>
      </c>
      <c r="AA68" s="3">
        <f t="shared" si="13"/>
        <v>28.747606269279522</v>
      </c>
      <c r="AB68" s="2">
        <f t="shared" si="14"/>
        <v>28.918742337913876</v>
      </c>
      <c r="AC68" s="2">
        <f t="shared" si="15"/>
        <v>29.285027722883058</v>
      </c>
      <c r="AD68" s="2">
        <f t="shared" si="16"/>
        <v>0.59285236563710453</v>
      </c>
      <c r="AE68" s="2">
        <f t="shared" si="17"/>
        <v>0.41427773930604062</v>
      </c>
    </row>
    <row r="69" spans="2:31" x14ac:dyDescent="0.2">
      <c r="B69" s="1">
        <f>[22]FormattedData!A69</f>
        <v>304</v>
      </c>
      <c r="C69" s="1" t="str">
        <f>VLOOKUP($B69,[22]TrtCodes!$B$11:I112,2)</f>
        <v>FSL</v>
      </c>
      <c r="D69" s="1">
        <f>VLOOKUP($B69,[22]TrtCodes!$B$11:J112,3)</f>
        <v>2</v>
      </c>
      <c r="E69" s="1">
        <f>VLOOKUP($B69,[22]TrtCodes!$B$11:K112,4)</f>
        <v>1</v>
      </c>
      <c r="F69" s="1">
        <f>VLOOKUP($B69,[22]TrtCodes!$B$11:L112,5)</f>
        <v>1</v>
      </c>
      <c r="G69" s="1">
        <f>VLOOKUP($B69,[22]TrtCodes!$B$11:M112,6)</f>
        <v>1</v>
      </c>
      <c r="H69" s="1">
        <f>VLOOKUP($B69,[22]TrtCodes!$B$11:N112,7)</f>
        <v>3</v>
      </c>
      <c r="I69" s="1">
        <f>[22]FormattedData!B69</f>
        <v>2</v>
      </c>
      <c r="J69" s="4">
        <f>[22]FormattedData!C69</f>
        <v>13.506</v>
      </c>
      <c r="K69" s="6">
        <f>$J$3+[22]FormattedData!D69*$J$4+$M$4*$J$5+[22]FormattedData!D69^2*$J$6+$M$5*$J$7</f>
        <v>27.718084671045805</v>
      </c>
      <c r="L69" s="6">
        <f>$J$3+[22]FormattedData!E69*$J$4+$M$4*$J$5+[22]FormattedData!E69^2*$J$6+$M$5*$J$7</f>
        <v>27.718084671045805</v>
      </c>
      <c r="M69" s="6">
        <f>$J$3+[22]FormattedData!F69*$J$4+$M$4*$J$5+[22]FormattedData!F69^2*$J$6+$M$5*$J$7</f>
        <v>28.01271072975495</v>
      </c>
      <c r="N69" s="6">
        <f>$J$3+[22]FormattedData!G69*$J$4+$M$4*$J$5+[22]FormattedData!G69^2*$J$6+$M$5*$J$7</f>
        <v>28.208916759538052</v>
      </c>
      <c r="O69" s="6">
        <f>$J$3+[22]FormattedData!H69*$J$4+$M$4*$J$5+[22]FormattedData!H69^2*$J$6+$M$5*$J$7</f>
        <v>27.718084671045805</v>
      </c>
      <c r="P69" s="6">
        <f>$J$3+[22]FormattedData!I69*$J$4+$M$4*$J$5+[22]FormattedData!I69^2*$J$6+$M$5*$J$7</f>
        <v>27.619791447733562</v>
      </c>
      <c r="Q69" s="6">
        <f>$J$3+[22]FormattedData!J69*$J$4+$M$4*$J$5+[22]FormattedData!J69^2*$J$6+$M$5*$J$7</f>
        <v>27.816335625820116</v>
      </c>
      <c r="R69" s="6">
        <f>$J$3+[22]FormattedData!K69*$J$4+$M$4*$J$5+[22]FormattedData!K69^2*$J$6+$M$5*$J$7</f>
        <v>27.52145595588339</v>
      </c>
      <c r="S69" s="6">
        <f>$J$3+[22]FormattedData!L69*$J$4+$M$4*$J$5+[22]FormattedData!L69^2*$J$6+$M$5*$J$7</f>
        <v>28.110834878915465</v>
      </c>
      <c r="T69" s="6">
        <f>$J$3+[22]FormattedData!M69*$J$4+$M$4*$J$5+[22]FormattedData!M69^2*$J$6+$M$5*$J$7</f>
        <v>28.404953715169434</v>
      </c>
      <c r="U69" s="6">
        <f>$J$3+[22]FormattedData!N69*$J$4+$M$4*$J$5+[22]FormattedData!N69^2*$J$6+$M$5*$J$7</f>
        <v>27.423078195495282</v>
      </c>
      <c r="V69" s="6">
        <f>$J$3+[22]FormattedData!O69*$J$4+$M$4*$J$5+[22]FormattedData!O69^2*$J$6+$M$5*$J$7</f>
        <v>27.52145595588339</v>
      </c>
      <c r="W69" s="5">
        <f t="shared" si="9"/>
        <v>27.816148939777587</v>
      </c>
      <c r="X69" s="4">
        <f t="shared" si="10"/>
        <v>8.7992449109201842E-2</v>
      </c>
      <c r="Y69" s="3">
        <f t="shared" si="11"/>
        <v>27.423078195495282</v>
      </c>
      <c r="Z69" s="2">
        <f t="shared" si="12"/>
        <v>27.595207574771017</v>
      </c>
      <c r="AA69" s="3">
        <f t="shared" si="13"/>
        <v>27.718084671045805</v>
      </c>
      <c r="AB69" s="2">
        <f t="shared" si="14"/>
        <v>28.037241767045078</v>
      </c>
      <c r="AC69" s="2">
        <f t="shared" si="15"/>
        <v>28.404953715169434</v>
      </c>
      <c r="AD69" s="2">
        <f t="shared" si="16"/>
        <v>0.67637686707426847</v>
      </c>
      <c r="AE69" s="2">
        <f t="shared" si="17"/>
        <v>-0.49679334422015664</v>
      </c>
    </row>
    <row r="70" spans="2:31" x14ac:dyDescent="0.2">
      <c r="B70" s="1">
        <f>[22]FormattedData!A71</f>
        <v>305</v>
      </c>
      <c r="C70" s="1" t="str">
        <f>VLOOKUP($B70,[22]TrtCodes!$B$11:I114,2)</f>
        <v>NDH</v>
      </c>
      <c r="D70" s="1">
        <f>VLOOKUP($B70,[22]TrtCodes!$B$11:J114,3)</f>
        <v>11</v>
      </c>
      <c r="E70" s="1">
        <f>VLOOKUP($B70,[22]TrtCodes!$B$11:K114,4)</f>
        <v>2</v>
      </c>
      <c r="F70" s="1">
        <f>VLOOKUP($B70,[22]TrtCodes!$B$11:L114,5)</f>
        <v>3</v>
      </c>
      <c r="G70" s="1">
        <f>VLOOKUP($B70,[22]TrtCodes!$B$11:M114,6)</f>
        <v>2</v>
      </c>
      <c r="H70" s="1">
        <f>VLOOKUP($B70,[22]TrtCodes!$B$11:N114,7)</f>
        <v>4</v>
      </c>
      <c r="I70" s="1">
        <f>[22]FormattedData!B71</f>
        <v>2</v>
      </c>
      <c r="J70" s="4">
        <f>[22]FormattedData!C71</f>
        <v>13.531000000000001</v>
      </c>
      <c r="K70" s="6">
        <f>$J$3+[22]FormattedData!D71*$J$4+$M$4*$J$5+[22]FormattedData!D71^2*$J$6+$M$5*$J$7</f>
        <v>27.226195869105279</v>
      </c>
      <c r="L70" s="6">
        <f>$J$3+[22]FormattedData!E71*$J$4+$M$4*$J$5+[22]FormattedData!E71^2*$J$6+$M$5*$J$7</f>
        <v>27.226195869105279</v>
      </c>
      <c r="M70" s="6">
        <f>$J$3+[22]FormattedData!F71*$J$4+$M$4*$J$5+[22]FormattedData!F71^2*$J$6+$M$5*$J$7</f>
        <v>27.226195869105279</v>
      </c>
      <c r="N70" s="6">
        <f>$J$3+[22]FormattedData!G71*$J$4+$M$4*$J$5+[22]FormattedData!G71^2*$J$6+$M$5*$J$7</f>
        <v>27.127691303103379</v>
      </c>
      <c r="O70" s="6">
        <f>$J$3+[22]FormattedData!H71*$J$4+$M$4*$J$5+[22]FormattedData!H71^2*$J$6+$M$5*$J$7</f>
        <v>27.127691303103379</v>
      </c>
      <c r="P70" s="6">
        <f>$J$3+[22]FormattedData!I71*$J$4+$M$4*$J$5+[22]FormattedData!I71^2*$J$6+$M$5*$J$7</f>
        <v>27.619791447733562</v>
      </c>
      <c r="Q70" s="6">
        <f>$J$3+[22]FormattedData!J71*$J$4+$M$4*$J$5+[22]FormattedData!J71^2*$J$6+$M$5*$J$7</f>
        <v>27.52145595588339</v>
      </c>
      <c r="R70" s="6">
        <f>$J$3+[22]FormattedData!K71*$J$4+$M$4*$J$5+[22]FormattedData!K71^2*$J$6+$M$5*$J$7</f>
        <v>27.127691303103379</v>
      </c>
      <c r="S70" s="6">
        <f>$J$3+[22]FormattedData!L71*$J$4+$M$4*$J$5+[22]FormattedData!L71^2*$J$6+$M$5*$J$7</f>
        <v>27.423078195495282</v>
      </c>
      <c r="T70" s="6">
        <f>$J$3+[22]FormattedData!M71*$J$4+$M$4*$J$5+[22]FormattedData!M71^2*$J$6+$M$5*$J$7</f>
        <v>27.52145595588339</v>
      </c>
      <c r="U70" s="6">
        <f>$J$3+[22]FormattedData!N71*$J$4+$M$4*$J$5+[22]FormattedData!N71^2*$J$6+$M$5*$J$7</f>
        <v>27.324658166569243</v>
      </c>
      <c r="V70" s="6">
        <f>$J$3+[22]FormattedData!O71*$J$4+$M$4*$J$5+[22]FormattedData!O71^2*$J$6+$M$5*$J$7</f>
        <v>27.226195869105279</v>
      </c>
      <c r="W70" s="5">
        <f t="shared" si="9"/>
        <v>27.308191425608005</v>
      </c>
      <c r="X70" s="4">
        <f t="shared" si="10"/>
        <v>4.9708406155003694E-2</v>
      </c>
      <c r="Y70" s="3">
        <f t="shared" si="11"/>
        <v>27.127691303103379</v>
      </c>
      <c r="Z70" s="2">
        <f t="shared" si="12"/>
        <v>27.201569727604806</v>
      </c>
      <c r="AA70" s="3">
        <f t="shared" si="13"/>
        <v>27.226195869105279</v>
      </c>
      <c r="AB70" s="2">
        <f t="shared" si="14"/>
        <v>27.447672635592308</v>
      </c>
      <c r="AC70" s="2">
        <f t="shared" si="15"/>
        <v>27.619791447733562</v>
      </c>
      <c r="AD70" s="2">
        <f t="shared" si="16"/>
        <v>0.66934862246535776</v>
      </c>
      <c r="AE70" s="2">
        <f t="shared" si="17"/>
        <v>-0.96779490581709116</v>
      </c>
    </row>
    <row r="71" spans="2:31" x14ac:dyDescent="0.2">
      <c r="B71" s="1">
        <f>[22]FormattedData!A73</f>
        <v>306</v>
      </c>
      <c r="C71" s="1" t="str">
        <f>VLOOKUP($B71,[22]TrtCodes!$B$11:I116,2)</f>
        <v>FTL</v>
      </c>
      <c r="D71" s="1">
        <f>VLOOKUP($B71,[22]TrtCodes!$B$11:J116,3)</f>
        <v>4</v>
      </c>
      <c r="E71" s="1">
        <f>VLOOKUP($B71,[22]TrtCodes!$B$11:K116,4)</f>
        <v>1</v>
      </c>
      <c r="F71" s="1">
        <f>VLOOKUP($B71,[22]TrtCodes!$B$11:L116,5)</f>
        <v>2</v>
      </c>
      <c r="G71" s="1">
        <f>VLOOKUP($B71,[22]TrtCodes!$B$11:M116,6)</f>
        <v>1</v>
      </c>
      <c r="H71" s="1">
        <f>VLOOKUP($B71,[22]TrtCodes!$B$11:N116,7)</f>
        <v>4</v>
      </c>
      <c r="I71" s="1">
        <f>[22]FormattedData!B73</f>
        <v>2</v>
      </c>
      <c r="J71" s="4">
        <f>[22]FormattedData!C73</f>
        <v>13.547000000000001</v>
      </c>
      <c r="K71" s="6">
        <f>$J$3+[22]FormattedData!D73*$J$4+$M$4*$J$5+[22]FormattedData!D73^2*$J$6+$M$5*$J$7</f>
        <v>27.718084671045805</v>
      </c>
      <c r="L71" s="6">
        <f>$J$3+[22]FormattedData!E73*$J$4+$M$4*$J$5+[22]FormattedData!E73^2*$J$6+$M$5*$J$7</f>
        <v>27.52145595588339</v>
      </c>
      <c r="M71" s="6">
        <f>$J$3+[22]FormattedData!F73*$J$4+$M$4*$J$5+[22]FormattedData!F73^2*$J$6+$M$5*$J$7</f>
        <v>28.01271072975495</v>
      </c>
      <c r="N71" s="6">
        <f>$J$3+[22]FormattedData!G73*$J$4+$M$4*$J$5+[22]FormattedData!G73^2*$J$6+$M$5*$J$7</f>
        <v>27.52145595588339</v>
      </c>
      <c r="O71" s="6">
        <f>$J$3+[22]FormattedData!H73*$J$4+$M$4*$J$5+[22]FormattedData!H73^2*$J$6+$M$5*$J$7</f>
        <v>28.208916759538052</v>
      </c>
      <c r="P71" s="6">
        <f>$J$3+[22]FormattedData!I73*$J$4+$M$4*$J$5+[22]FormattedData!I73^2*$J$6+$M$5*$J$7</f>
        <v>27.914544312056499</v>
      </c>
      <c r="Q71" s="6">
        <f>$J$3+[22]FormattedData!J73*$J$4+$M$4*$J$5+[22]FormattedData!J73^2*$J$6+$M$5*$J$7</f>
        <v>27.914544312056499</v>
      </c>
      <c r="R71" s="6">
        <f>$J$3+[22]FormattedData!K73*$J$4+$M$4*$J$5+[22]FormattedData!K73^2*$J$6+$M$5*$J$7</f>
        <v>27.619791447733562</v>
      </c>
      <c r="S71" s="6">
        <f>$J$3+[22]FormattedData!L73*$J$4+$M$4*$J$5+[22]FormattedData!L73^2*$J$6+$M$5*$J$7</f>
        <v>28.110834878915465</v>
      </c>
      <c r="T71" s="6">
        <f>$J$3+[22]FormattedData!M73*$J$4+$M$4*$J$5+[22]FormattedData!M73^2*$J$6+$M$5*$J$7</f>
        <v>27.816335625820116</v>
      </c>
      <c r="U71" s="6">
        <f>$J$3+[22]FormattedData!N73*$J$4+$M$4*$J$5+[22]FormattedData!N73^2*$J$6+$M$5*$J$7</f>
        <v>27.718084671045805</v>
      </c>
      <c r="V71" s="6">
        <f>$J$3+[22]FormattedData!O73*$J$4+$M$4*$J$5+[22]FormattedData!O73^2*$J$6+$M$5*$J$7</f>
        <v>27.52145595588339</v>
      </c>
      <c r="W71" s="5">
        <f t="shared" si="9"/>
        <v>27.799851272968073</v>
      </c>
      <c r="X71" s="4">
        <f t="shared" si="10"/>
        <v>6.821535622578212E-2</v>
      </c>
      <c r="Y71" s="3">
        <f t="shared" si="11"/>
        <v>27.52145595588339</v>
      </c>
      <c r="Z71" s="2">
        <f t="shared" si="12"/>
        <v>27.595207574771017</v>
      </c>
      <c r="AA71" s="3">
        <f t="shared" si="13"/>
        <v>27.767210148432959</v>
      </c>
      <c r="AB71" s="2">
        <f t="shared" si="14"/>
        <v>27.939085916481112</v>
      </c>
      <c r="AC71" s="2">
        <f t="shared" si="15"/>
        <v>28.208916759538052</v>
      </c>
      <c r="AD71" s="2">
        <f t="shared" si="16"/>
        <v>0.32682215682355681</v>
      </c>
      <c r="AE71" s="2">
        <f t="shared" si="17"/>
        <v>-1.05607012347421</v>
      </c>
    </row>
    <row r="72" spans="2:31" x14ac:dyDescent="0.2">
      <c r="B72" s="1">
        <f>[22]FormattedData!A75</f>
        <v>307</v>
      </c>
      <c r="C72" s="1" t="str">
        <f>VLOOKUP($B72,[22]TrtCodes!$B$11:I118,2)</f>
        <v>NTH</v>
      </c>
      <c r="D72" s="1">
        <f>VLOOKUP($B72,[22]TrtCodes!$B$11:J118,3)</f>
        <v>9</v>
      </c>
      <c r="E72" s="1">
        <f>VLOOKUP($B72,[22]TrtCodes!$B$11:K118,4)</f>
        <v>2</v>
      </c>
      <c r="F72" s="1">
        <f>VLOOKUP($B72,[22]TrtCodes!$B$11:L118,5)</f>
        <v>2</v>
      </c>
      <c r="G72" s="1">
        <f>VLOOKUP($B72,[22]TrtCodes!$B$11:M118,6)</f>
        <v>2</v>
      </c>
      <c r="H72" s="1">
        <f>VLOOKUP($B72,[22]TrtCodes!$B$11:N118,7)</f>
        <v>4</v>
      </c>
      <c r="I72" s="1">
        <f>[22]FormattedData!B75</f>
        <v>2</v>
      </c>
      <c r="J72" s="4">
        <f>[22]FormattedData!C75</f>
        <v>13.565</v>
      </c>
      <c r="K72" s="6">
        <f>$J$3+[22]FormattedData!D75*$J$4+$M$4*$J$5+[22]FormattedData!D75^2*$J$6+$M$5*$J$7</f>
        <v>27.52145595588339</v>
      </c>
      <c r="L72" s="6">
        <f>$J$3+[22]FormattedData!E75*$J$4+$M$4*$J$5+[22]FormattedData!E75^2*$J$6+$M$5*$J$7</f>
        <v>27.619791447733562</v>
      </c>
      <c r="M72" s="6">
        <f>$J$3+[22]FormattedData!F75*$J$4+$M$4*$J$5+[22]FormattedData!F75^2*$J$6+$M$5*$J$7</f>
        <v>27.52145595588339</v>
      </c>
      <c r="N72" s="6">
        <f>$J$3+[22]FormattedData!G75*$J$4+$M$4*$J$5+[22]FormattedData!G75^2*$J$6+$M$5*$J$7</f>
        <v>27.423078195495282</v>
      </c>
      <c r="O72" s="6">
        <f>$J$3+[22]FormattedData!H75*$J$4+$M$4*$J$5+[22]FormattedData!H75^2*$J$6+$M$5*$J$7</f>
        <v>28.01271072975495</v>
      </c>
      <c r="P72" s="6">
        <f>$J$3+[22]FormattedData!I75*$J$4+$M$4*$J$5+[22]FormattedData!I75^2*$J$6+$M$5*$J$7</f>
        <v>27.718084671045805</v>
      </c>
      <c r="Q72" s="6">
        <f>$J$3+[22]FormattedData!J75*$J$4+$M$4*$J$5+[22]FormattedData!J75^2*$J$6+$M$5*$J$7</f>
        <v>27.52145595588339</v>
      </c>
      <c r="R72" s="6">
        <f>$J$3+[22]FormattedData!K75*$J$4+$M$4*$J$5+[22]FormattedData!K75^2*$J$6+$M$5*$J$7</f>
        <v>27.619791447733562</v>
      </c>
      <c r="S72" s="6">
        <f>$J$3+[22]FormattedData!L75*$J$4+$M$4*$J$5+[22]FormattedData!L75^2*$J$6+$M$5*$J$7</f>
        <v>27.718084671045805</v>
      </c>
      <c r="T72" s="6">
        <f>$J$3+[22]FormattedData!M75*$J$4+$M$4*$J$5+[22]FormattedData!M75^2*$J$6+$M$5*$J$7</f>
        <v>27.619791447733562</v>
      </c>
      <c r="U72" s="6">
        <f>$J$3+[22]FormattedData!N75*$J$4+$M$4*$J$5+[22]FormattedData!N75^2*$J$6+$M$5*$J$7</f>
        <v>27.816335625820116</v>
      </c>
      <c r="V72" s="6">
        <f>$J$3+[22]FormattedData!O75*$J$4+$M$4*$J$5+[22]FormattedData!O75^2*$J$6+$M$5*$J$7</f>
        <v>27.52145595588339</v>
      </c>
      <c r="W72" s="5">
        <f t="shared" si="9"/>
        <v>27.636124338324681</v>
      </c>
      <c r="X72" s="4">
        <f t="shared" si="10"/>
        <v>4.6589170877032071E-2</v>
      </c>
      <c r="Y72" s="3">
        <f t="shared" si="11"/>
        <v>27.423078195495282</v>
      </c>
      <c r="Z72" s="2">
        <f t="shared" si="12"/>
        <v>27.52145595588339</v>
      </c>
      <c r="AA72" s="3">
        <f t="shared" si="13"/>
        <v>27.619791447733562</v>
      </c>
      <c r="AB72" s="2">
        <f t="shared" si="14"/>
        <v>27.718084671045805</v>
      </c>
      <c r="AC72" s="2">
        <f t="shared" si="15"/>
        <v>28.01271072975495</v>
      </c>
      <c r="AD72" s="2">
        <f t="shared" si="16"/>
        <v>1.1586337646146123</v>
      </c>
      <c r="AE72" s="2">
        <f t="shared" si="17"/>
        <v>1.5431602270385953</v>
      </c>
    </row>
    <row r="73" spans="2:31" x14ac:dyDescent="0.2">
      <c r="B73" s="1">
        <f>[22]FormattedData!A77</f>
        <v>308</v>
      </c>
      <c r="C73" s="1" t="str">
        <f>VLOOKUP($B73,[22]TrtCodes!$B$11:I120,2)</f>
        <v>FDH</v>
      </c>
      <c r="D73" s="1">
        <f>VLOOKUP($B73,[22]TrtCodes!$B$11:J120,3)</f>
        <v>5</v>
      </c>
      <c r="E73" s="1">
        <f>VLOOKUP($B73,[22]TrtCodes!$B$11:K120,4)</f>
        <v>1</v>
      </c>
      <c r="F73" s="1">
        <f>VLOOKUP($B73,[22]TrtCodes!$B$11:L120,5)</f>
        <v>3</v>
      </c>
      <c r="G73" s="1">
        <f>VLOOKUP($B73,[22]TrtCodes!$B$11:M120,6)</f>
        <v>2</v>
      </c>
      <c r="H73" s="1">
        <f>VLOOKUP($B73,[22]TrtCodes!$B$11:N120,7)</f>
        <v>4</v>
      </c>
      <c r="I73" s="1">
        <f>[22]FormattedData!B77</f>
        <v>2</v>
      </c>
      <c r="J73" s="4">
        <f>[22]FormattedData!C77</f>
        <v>13.582000000000001</v>
      </c>
      <c r="K73" s="6">
        <f>$J$3+[22]FormattedData!D77*$J$4+$M$4*$J$5+[22]FormattedData!D77^2*$J$6+$M$5*$J$7</f>
        <v>27.324658166569243</v>
      </c>
      <c r="L73" s="6">
        <f>$J$3+[22]FormattedData!E77*$J$4+$M$4*$J$5+[22]FormattedData!E77^2*$J$6+$M$5*$J$7</f>
        <v>27.914544312056499</v>
      </c>
      <c r="M73" s="6">
        <f>$J$3+[22]FormattedData!F77*$J$4+$M$4*$J$5+[22]FormattedData!F77^2*$J$6+$M$5*$J$7</f>
        <v>28.110834878915465</v>
      </c>
      <c r="N73" s="6">
        <f>$J$3+[22]FormattedData!G77*$J$4+$M$4*$J$5+[22]FormattedData!G77^2*$J$6+$M$5*$J$7</f>
        <v>27.718084671045805</v>
      </c>
      <c r="O73" s="6">
        <f>$J$3+[22]FormattedData!H77*$J$4+$M$4*$J$5+[22]FormattedData!H77^2*$J$6+$M$5*$J$7</f>
        <v>27.718084671045805</v>
      </c>
      <c r="P73" s="6">
        <f>$J$3+[22]FormattedData!I77*$J$4+$M$4*$J$5+[22]FormattedData!I77^2*$J$6+$M$5*$J$7</f>
        <v>28.01271072975495</v>
      </c>
      <c r="Q73" s="6">
        <f>$J$3+[22]FormattedData!J77*$J$4+$M$4*$J$5+[22]FormattedData!J77^2*$J$6+$M$5*$J$7</f>
        <v>28.306956371622707</v>
      </c>
      <c r="R73" s="6">
        <f>$J$3+[22]FormattedData!K77*$J$4+$M$4*$J$5+[22]FormattedData!K77^2*$J$6+$M$5*$J$7</f>
        <v>28.208916759538052</v>
      </c>
      <c r="S73" s="6">
        <f>$J$3+[22]FormattedData!L77*$J$4+$M$4*$J$5+[22]FormattedData!L77^2*$J$6+$M$5*$J$7</f>
        <v>28.306956371622707</v>
      </c>
      <c r="T73" s="6">
        <f>$J$3+[22]FormattedData!M77*$J$4+$M$4*$J$5+[22]FormattedData!M77^2*$J$6+$M$5*$J$7</f>
        <v>28.110834878915465</v>
      </c>
      <c r="U73" s="6">
        <f>$J$3+[22]FormattedData!N77*$J$4+$M$4*$J$5+[22]FormattedData!N77^2*$J$6+$M$5*$J$7</f>
        <v>27.718084671045805</v>
      </c>
      <c r="V73" s="6">
        <f>$J$3+[22]FormattedData!O77*$J$4+$M$4*$J$5+[22]FormattedData!O77^2*$J$6+$M$5*$J$7</f>
        <v>27.816335625820116</v>
      </c>
      <c r="W73" s="5">
        <f t="shared" si="9"/>
        <v>27.938916842329387</v>
      </c>
      <c r="X73" s="4">
        <f t="shared" si="10"/>
        <v>8.4727627117859888E-2</v>
      </c>
      <c r="Y73" s="3">
        <f t="shared" si="11"/>
        <v>27.324658166569243</v>
      </c>
      <c r="Z73" s="2">
        <f t="shared" si="12"/>
        <v>27.718084671045805</v>
      </c>
      <c r="AA73" s="3">
        <f t="shared" si="13"/>
        <v>27.963627520905725</v>
      </c>
      <c r="AB73" s="2">
        <f t="shared" si="14"/>
        <v>28.135355349071112</v>
      </c>
      <c r="AC73" s="2">
        <f t="shared" si="15"/>
        <v>28.306956371622707</v>
      </c>
      <c r="AD73" s="2">
        <f t="shared" si="16"/>
        <v>-0.58670554241007733</v>
      </c>
      <c r="AE73" s="2">
        <f t="shared" si="17"/>
        <v>7.5665817019666015E-2</v>
      </c>
    </row>
    <row r="74" spans="2:31" x14ac:dyDescent="0.2">
      <c r="B74" s="1">
        <f>[22]FormattedData!A93</f>
        <v>401</v>
      </c>
      <c r="C74" s="1" t="str">
        <f>VLOOKUP($B74,[22]TrtCodes!$B$11:I130,2)</f>
        <v>NSH</v>
      </c>
      <c r="D74" s="1">
        <f>VLOOKUP($B74,[22]TrtCodes!$B$11:J130,3)</f>
        <v>7</v>
      </c>
      <c r="E74" s="1">
        <f>VLOOKUP($B74,[22]TrtCodes!$B$11:K130,4)</f>
        <v>2</v>
      </c>
      <c r="F74" s="1">
        <f>VLOOKUP($B74,[22]TrtCodes!$B$11:L130,5)</f>
        <v>1</v>
      </c>
      <c r="G74" s="1">
        <f>VLOOKUP($B74,[22]TrtCodes!$B$11:M130,6)</f>
        <v>2</v>
      </c>
      <c r="H74" s="1">
        <f>VLOOKUP($B74,[22]TrtCodes!$B$11:N130,7)</f>
        <v>3</v>
      </c>
      <c r="I74" s="1">
        <f>[22]FormattedData!B93</f>
        <v>2</v>
      </c>
      <c r="J74" s="4">
        <f>[22]FormattedData!C93</f>
        <v>13.734999999999999</v>
      </c>
      <c r="K74" s="6">
        <f>$J$3+[22]FormattedData!D93*$J$4+$M$4*$J$5+[22]FormattedData!D93^2*$J$6+$M$5*$J$7</f>
        <v>29.869841643818578</v>
      </c>
      <c r="L74" s="6">
        <f>$J$3+[22]FormattedData!E93*$J$4+$M$4*$J$5+[22]FormattedData!E93^2*$J$6+$M$5*$J$7</f>
        <v>30.550201333100805</v>
      </c>
      <c r="M74" s="6">
        <f>$J$3+[22]FormattedData!F93*$J$4+$M$4*$J$5+[22]FormattedData!F93^2*$J$6+$M$5*$J$7</f>
        <v>30.064441469160293</v>
      </c>
      <c r="N74" s="6">
        <f>$J$3+[22]FormattedData!G93*$J$4+$M$4*$J$5+[22]FormattedData!G93^2*$J$6+$M$5*$J$7</f>
        <v>30.647226500275117</v>
      </c>
      <c r="O74" s="6">
        <f>$J$3+[22]FormattedData!H93*$J$4+$M$4*$J$5+[22]FormattedData!H93^2*$J$6+$M$5*$J$7</f>
        <v>30.841150029009942</v>
      </c>
      <c r="P74" s="6">
        <f>$J$3+[22]FormattedData!I93*$J$4+$M$4*$J$5+[22]FormattedData!I93^2*$J$6+$M$5*$J$7</f>
        <v>31.32521915143321</v>
      </c>
      <c r="Q74" s="6">
        <f>$J$3+[22]FormattedData!J93*$J$4+$M$4*$J$5+[22]FormattedData!J93^2*$J$6+$M$5*$J$7</f>
        <v>31.131718308077694</v>
      </c>
      <c r="R74" s="6">
        <f>$J$3+[22]FormattedData!K93*$J$4+$M$4*$J$5+[22]FormattedData!K93^2*$J$6+$M$5*$J$7</f>
        <v>30.647226500275117</v>
      </c>
      <c r="S74" s="6">
        <f>$J$3+[22]FormattedData!L93*$J$4+$M$4*$J$5+[22]FormattedData!L93^2*$J$6+$M$5*$J$7</f>
        <v>29.382602381050472</v>
      </c>
      <c r="T74" s="6">
        <f>$J$3+[22]FormattedData!M93*$J$4+$M$4*$J$5+[22]FormattedData!M93^2*$J$6+$M$5*$J$7</f>
        <v>29.9671626907584</v>
      </c>
      <c r="U74" s="6">
        <f>$J$3+[22]FormattedData!N93*$J$4+$M$4*$J$5+[22]FormattedData!N93^2*$J$6+$M$5*$J$7</f>
        <v>30.647226500275117</v>
      </c>
      <c r="V74" s="6">
        <f>$J$3+[22]FormattedData!O93*$J$4+$M$4*$J$5+[22]FormattedData!O93^2*$J$6+$M$5*$J$7</f>
        <v>30.550201333100805</v>
      </c>
      <c r="W74" s="5">
        <f t="shared" ref="W74:W105" si="18">AVERAGE(K74:V74)</f>
        <v>30.46868482002796</v>
      </c>
      <c r="X74" s="4">
        <f t="shared" ref="X74:X85" si="19">STDEV(K74:V74)/SQRT(COUNT(K74:V74))</f>
        <v>0.15987782798769692</v>
      </c>
      <c r="Y74" s="3">
        <f t="shared" ref="Y74:Y85" si="20">MIN(K74:V74)</f>
        <v>29.382602381050472</v>
      </c>
      <c r="Z74" s="2">
        <f t="shared" ref="Z74:Z85" si="21">QUARTILE(K74:V74,1)</f>
        <v>30.040121774559822</v>
      </c>
      <c r="AA74" s="3">
        <f t="shared" ref="AA74:AA85" si="22">MEDIAN(K74:V74)</f>
        <v>30.598713916687963</v>
      </c>
      <c r="AB74" s="2">
        <f t="shared" ref="AB74:AB85" si="23">QUARTILE(K74:V74,3)</f>
        <v>30.695707382458824</v>
      </c>
      <c r="AC74" s="2">
        <f t="shared" ref="AC74:AC85" si="24">MAX(K74:V74)</f>
        <v>31.32521915143321</v>
      </c>
      <c r="AD74" s="2">
        <f t="shared" ref="AD74:AD85" si="25">SKEW(K74:V74)</f>
        <v>-0.44847228367210124</v>
      </c>
      <c r="AE74" s="2">
        <f t="shared" ref="AE74:AE85" si="26">KURT(K74:V74)</f>
        <v>-7.4247564918103137E-2</v>
      </c>
    </row>
    <row r="75" spans="2:31" x14ac:dyDescent="0.2">
      <c r="B75" s="1">
        <f>[22]FormattedData!A91</f>
        <v>402</v>
      </c>
      <c r="C75" s="1" t="str">
        <f>VLOOKUP($B75,[22]TrtCodes!$B$11:I131,2)</f>
        <v>NTH</v>
      </c>
      <c r="D75" s="1">
        <f>VLOOKUP($B75,[22]TrtCodes!$B$11:J131,3)</f>
        <v>9</v>
      </c>
      <c r="E75" s="1">
        <f>VLOOKUP($B75,[22]TrtCodes!$B$11:K131,4)</f>
        <v>2</v>
      </c>
      <c r="F75" s="1">
        <f>VLOOKUP($B75,[22]TrtCodes!$B$11:L131,5)</f>
        <v>2</v>
      </c>
      <c r="G75" s="1">
        <f>VLOOKUP($B75,[22]TrtCodes!$B$11:M131,6)</f>
        <v>2</v>
      </c>
      <c r="H75" s="1">
        <f>VLOOKUP($B75,[22]TrtCodes!$B$11:N131,7)</f>
        <v>3</v>
      </c>
      <c r="I75" s="1">
        <f>[22]FormattedData!B91</f>
        <v>2</v>
      </c>
      <c r="J75" s="4">
        <f>[22]FormattedData!C91</f>
        <v>13.717000000000001</v>
      </c>
      <c r="K75" s="6">
        <f>$J$3+[22]FormattedData!D91*$J$4+$M$4*$J$5+[22]FormattedData!D91^2*$J$6+$M$5*$J$7</f>
        <v>29.187410796177716</v>
      </c>
      <c r="L75" s="6">
        <f>$J$3+[22]FormattedData!E91*$J$4+$M$4*$J$5+[22]FormattedData!E91^2*$J$6+$M$5*$J$7</f>
        <v>29.285027722883058</v>
      </c>
      <c r="M75" s="6">
        <f>$J$3+[22]FormattedData!F91*$J$4+$M$4*$J$5+[22]FormattedData!F91^2*$J$6+$M$5*$J$7</f>
        <v>30.161677979024262</v>
      </c>
      <c r="N75" s="6">
        <f>$J$3+[22]FormattedData!G91*$J$4+$M$4*$J$5+[22]FormattedData!G91^2*$J$6+$M$5*$J$7</f>
        <v>29.285027722883058</v>
      </c>
      <c r="O75" s="6">
        <f>$J$3+[22]FormattedData!H91*$J$4+$M$4*$J$5+[22]FormattedData!H91^2*$J$6+$M$5*$J$7</f>
        <v>29.089751600934438</v>
      </c>
      <c r="P75" s="6">
        <f>$J$3+[22]FormattedData!I91*$J$4+$M$4*$J$5+[22]FormattedData!I91^2*$J$6+$M$5*$J$7</f>
        <v>29.089751600934438</v>
      </c>
      <c r="Q75" s="6">
        <f>$J$3+[22]FormattedData!J91*$J$4+$M$4*$J$5+[22]FormattedData!J91^2*$J$6+$M$5*$J$7</f>
        <v>29.285027722883058</v>
      </c>
      <c r="R75" s="6">
        <f>$J$3+[22]FormattedData!K91*$J$4+$M$4*$J$5+[22]FormattedData!K91^2*$J$6+$M$5*$J$7</f>
        <v>29.675072744325128</v>
      </c>
      <c r="S75" s="6">
        <f>$J$3+[22]FormattedData!L91*$J$4+$M$4*$J$5+[22]FormattedData!L91^2*$J$6+$M$5*$J$7</f>
        <v>29.675072744325128</v>
      </c>
      <c r="T75" s="6">
        <f>$J$3+[22]FormattedData!M91*$J$4+$M$4*$J$5+[22]FormattedData!M91^2*$J$6+$M$5*$J$7</f>
        <v>29.577624891771503</v>
      </c>
      <c r="U75" s="6">
        <f>$J$3+[22]FormattedData!N91*$J$4+$M$4*$J$5+[22]FormattedData!N91^2*$J$6+$M$5*$J$7</f>
        <v>30.550201333100805</v>
      </c>
      <c r="V75" s="6">
        <f>$J$3+[22]FormattedData!O91*$J$4+$M$4*$J$5+[22]FormattedData!O91^2*$J$6+$M$5*$J$7</f>
        <v>28.796520403977024</v>
      </c>
      <c r="W75" s="5">
        <f t="shared" si="18"/>
        <v>29.471513938601635</v>
      </c>
      <c r="X75" s="4">
        <f t="shared" si="19"/>
        <v>0.14212062645127529</v>
      </c>
      <c r="Y75" s="3">
        <f t="shared" si="20"/>
        <v>28.796520403977024</v>
      </c>
      <c r="Z75" s="2">
        <f t="shared" si="21"/>
        <v>29.162995997366895</v>
      </c>
      <c r="AA75" s="3">
        <f t="shared" si="22"/>
        <v>29.285027722883058</v>
      </c>
      <c r="AB75" s="2">
        <f t="shared" si="23"/>
        <v>29.675072744325128</v>
      </c>
      <c r="AC75" s="2">
        <f t="shared" si="24"/>
        <v>30.550201333100805</v>
      </c>
      <c r="AD75" s="2">
        <f t="shared" si="25"/>
        <v>1.0428638183822911</v>
      </c>
      <c r="AE75" s="2">
        <f t="shared" si="26"/>
        <v>0.91419015426342298</v>
      </c>
    </row>
    <row r="76" spans="2:31" x14ac:dyDescent="0.2">
      <c r="B76" s="1">
        <f>[22]FormattedData!A89</f>
        <v>403</v>
      </c>
      <c r="C76" s="1" t="str">
        <f>VLOOKUP($B76,[22]TrtCodes!$B$11:I132,2)</f>
        <v>FDL</v>
      </c>
      <c r="D76" s="1">
        <f>VLOOKUP($B76,[22]TrtCodes!$B$11:J132,3)</f>
        <v>6</v>
      </c>
      <c r="E76" s="1">
        <f>VLOOKUP($B76,[22]TrtCodes!$B$11:K132,4)</f>
        <v>1</v>
      </c>
      <c r="F76" s="1">
        <f>VLOOKUP($B76,[22]TrtCodes!$B$11:L132,5)</f>
        <v>3</v>
      </c>
      <c r="G76" s="1">
        <f>VLOOKUP($B76,[22]TrtCodes!$B$11:M132,6)</f>
        <v>1</v>
      </c>
      <c r="H76" s="1">
        <f>VLOOKUP($B76,[22]TrtCodes!$B$11:N132,7)</f>
        <v>3</v>
      </c>
      <c r="I76" s="1">
        <f>[22]FormattedData!B89</f>
        <v>2</v>
      </c>
      <c r="J76" s="4">
        <f>[22]FormattedData!C89</f>
        <v>13.699</v>
      </c>
      <c r="K76" s="6">
        <f>$J$3+[22]FormattedData!D89*$J$4+$M$4*$J$5+[22]FormattedData!D89^2*$J$6+$M$5*$J$7</f>
        <v>28.502908790178228</v>
      </c>
      <c r="L76" s="6">
        <f>$J$3+[22]FormattedData!E89*$J$4+$M$4*$J$5+[22]FormattedData!E89^2*$J$6+$M$5*$J$7</f>
        <v>28.404953715169434</v>
      </c>
      <c r="M76" s="6">
        <f>$J$3+[22]FormattedData!F89*$J$4+$M$4*$J$5+[22]FormattedData!F89^2*$J$6+$M$5*$J$7</f>
        <v>29.089751600934438</v>
      </c>
      <c r="N76" s="6">
        <f>$J$3+[22]FormattedData!G89*$J$4+$M$4*$J$5+[22]FormattedData!G89^2*$J$6+$M$5*$J$7</f>
        <v>28.796520403977024</v>
      </c>
      <c r="O76" s="6">
        <f>$J$3+[22]FormattedData!H89*$J$4+$M$4*$J$5+[22]FormattedData!H89^2*$J$6+$M$5*$J$7</f>
        <v>29.089751600934438</v>
      </c>
      <c r="P76" s="6">
        <f>$J$3+[22]FormattedData!I89*$J$4+$M$4*$J$5+[22]FormattedData!I89^2*$J$6+$M$5*$J$7</f>
        <v>28.992050137153232</v>
      </c>
      <c r="Q76" s="6">
        <f>$J$3+[22]FormattedData!J89*$J$4+$M$4*$J$5+[22]FormattedData!J89^2*$J$6+$M$5*$J$7</f>
        <v>28.796520403977024</v>
      </c>
      <c r="R76" s="6">
        <f>$J$3+[22]FormattedData!K89*$J$4+$M$4*$J$5+[22]FormattedData!K89^2*$J$6+$M$5*$J$7</f>
        <v>28.600821596649091</v>
      </c>
      <c r="S76" s="6">
        <f>$J$3+[22]FormattedData!L89*$J$4+$M$4*$J$5+[22]FormattedData!L89^2*$J$6+$M$5*$J$7</f>
        <v>28.992050137153232</v>
      </c>
      <c r="T76" s="6">
        <f>$J$3+[22]FormattedData!M89*$J$4+$M$4*$J$5+[22]FormattedData!M89^2*$J$6+$M$5*$J$7</f>
        <v>29.089751600934438</v>
      </c>
      <c r="U76" s="6">
        <f>$J$3+[22]FormattedData!N89*$J$4+$M$4*$J$5+[22]FormattedData!N89^2*$J$6+$M$5*$J$7</f>
        <v>28.992050137153232</v>
      </c>
      <c r="V76" s="6">
        <f>$J$3+[22]FormattedData!O89*$J$4+$M$4*$J$5+[22]FormattedData!O89^2*$J$6+$M$5*$J$7</f>
        <v>29.089751600934438</v>
      </c>
      <c r="W76" s="5">
        <f t="shared" si="18"/>
        <v>28.869740143762357</v>
      </c>
      <c r="X76" s="4">
        <f t="shared" si="19"/>
        <v>7.135753343807226E-2</v>
      </c>
      <c r="Y76" s="3">
        <f t="shared" si="20"/>
        <v>28.404953715169434</v>
      </c>
      <c r="Z76" s="2">
        <f t="shared" si="21"/>
        <v>28.747595702145041</v>
      </c>
      <c r="AA76" s="3">
        <f t="shared" si="22"/>
        <v>28.992050137153232</v>
      </c>
      <c r="AB76" s="2">
        <f t="shared" si="23"/>
        <v>29.089751600934438</v>
      </c>
      <c r="AC76" s="2">
        <f t="shared" si="24"/>
        <v>29.089751600934438</v>
      </c>
      <c r="AD76" s="2">
        <f t="shared" si="25"/>
        <v>-0.88054042840085445</v>
      </c>
      <c r="AE76" s="2">
        <f t="shared" si="26"/>
        <v>-0.65242869478762922</v>
      </c>
    </row>
    <row r="77" spans="2:31" x14ac:dyDescent="0.2">
      <c r="B77" s="1">
        <f>[22]FormattedData!A87</f>
        <v>404</v>
      </c>
      <c r="C77" s="1" t="str">
        <f>VLOOKUP($B77,[22]TrtCodes!$B$11:I130,2)</f>
        <v>FTH</v>
      </c>
      <c r="D77" s="1">
        <f>VLOOKUP($B77,[22]TrtCodes!$B$11:J130,3)</f>
        <v>3</v>
      </c>
      <c r="E77" s="1">
        <f>VLOOKUP($B77,[22]TrtCodes!$B$11:K130,4)</f>
        <v>1</v>
      </c>
      <c r="F77" s="1">
        <f>VLOOKUP($B77,[22]TrtCodes!$B$11:L130,5)</f>
        <v>2</v>
      </c>
      <c r="G77" s="1">
        <f>VLOOKUP($B77,[22]TrtCodes!$B$11:M130,6)</f>
        <v>2</v>
      </c>
      <c r="H77" s="1">
        <f>VLOOKUP($B77,[22]TrtCodes!$B$11:N130,7)</f>
        <v>3</v>
      </c>
      <c r="I77" s="1">
        <f>[22]FormattedData!B87</f>
        <v>2</v>
      </c>
      <c r="J77" s="4">
        <f>[22]FormattedData!C87</f>
        <v>13.680999999999999</v>
      </c>
      <c r="K77" s="6">
        <f>$J$3+[22]FormattedData!D87*$J$4+$M$4*$J$5+[22]FormattedData!D87^2*$J$6+$M$5*$J$7</f>
        <v>27.619791447733562</v>
      </c>
      <c r="L77" s="6">
        <f>$J$3+[22]FormattedData!E87*$J$4+$M$4*$J$5+[22]FormattedData!E87^2*$J$6+$M$5*$J$7</f>
        <v>27.718084671045805</v>
      </c>
      <c r="M77" s="6">
        <f>$J$3+[22]FormattedData!F87*$J$4+$M$4*$J$5+[22]FormattedData!F87^2*$J$6+$M$5*$J$7</f>
        <v>27.816335625820116</v>
      </c>
      <c r="N77" s="6">
        <f>$J$3+[22]FormattedData!G87*$J$4+$M$4*$J$5+[22]FormattedData!G87^2*$J$6+$M$5*$J$7</f>
        <v>28.01271072975495</v>
      </c>
      <c r="O77" s="6">
        <f>$J$3+[22]FormattedData!H87*$J$4+$M$4*$J$5+[22]FormattedData!H87^2*$J$6+$M$5*$J$7</f>
        <v>28.110834878915465</v>
      </c>
      <c r="P77" s="6">
        <f>$J$3+[22]FormattedData!I87*$J$4+$M$4*$J$5+[22]FormattedData!I87^2*$J$6+$M$5*$J$7</f>
        <v>28.208916759538052</v>
      </c>
      <c r="Q77" s="6">
        <f>$J$3+[22]FormattedData!J87*$J$4+$M$4*$J$5+[22]FormattedData!J87^2*$J$6+$M$5*$J$7</f>
        <v>28.992050137153232</v>
      </c>
      <c r="R77" s="6">
        <f>$J$3+[22]FormattedData!K87*$J$4+$M$4*$J$5+[22]FormattedData!K87^2*$J$6+$M$5*$J$7</f>
        <v>28.796520403977024</v>
      </c>
      <c r="S77" s="6">
        <f>$J$3+[22]FormattedData!L87*$J$4+$M$4*$J$5+[22]FormattedData!L87^2*$J$6+$M$5*$J$7</f>
        <v>28.992050137153232</v>
      </c>
      <c r="T77" s="6">
        <f>$J$3+[22]FormattedData!M87*$J$4+$M$4*$J$5+[22]FormattedData!M87^2*$J$6+$M$5*$J$7</f>
        <v>28.698692134582021</v>
      </c>
      <c r="U77" s="6">
        <f>$J$3+[22]FormattedData!N87*$J$4+$M$4*$J$5+[22]FormattedData!N87^2*$J$6+$M$5*$J$7</f>
        <v>29.187410796177716</v>
      </c>
      <c r="V77" s="6">
        <f>$J$3+[22]FormattedData!O87*$J$4+$M$4*$J$5+[22]FormattedData!O87^2*$J$6+$M$5*$J$7</f>
        <v>29.187410796177716</v>
      </c>
      <c r="W77" s="5">
        <f t="shared" si="18"/>
        <v>28.445067376502408</v>
      </c>
      <c r="X77" s="4">
        <f t="shared" si="19"/>
        <v>0.17073085118408859</v>
      </c>
      <c r="Y77" s="3">
        <f t="shared" si="20"/>
        <v>27.619791447733562</v>
      </c>
      <c r="Z77" s="2">
        <f t="shared" si="21"/>
        <v>27.963616953771243</v>
      </c>
      <c r="AA77" s="3">
        <f t="shared" si="22"/>
        <v>28.453804447060037</v>
      </c>
      <c r="AB77" s="2">
        <f t="shared" si="23"/>
        <v>28.992050137153232</v>
      </c>
      <c r="AC77" s="2">
        <f t="shared" si="24"/>
        <v>29.187410796177716</v>
      </c>
      <c r="AD77" s="2">
        <f t="shared" si="25"/>
        <v>-6.3785223019114407E-2</v>
      </c>
      <c r="AE77" s="2">
        <f t="shared" si="26"/>
        <v>-1.7720894367287712</v>
      </c>
    </row>
    <row r="78" spans="2:31" x14ac:dyDescent="0.2">
      <c r="B78" s="1">
        <f>[22]FormattedData!A85</f>
        <v>405</v>
      </c>
      <c r="C78" s="1" t="str">
        <f>VLOOKUP($B78,[22]TrtCodes!$B$11:I128,2)</f>
        <v>FDL</v>
      </c>
      <c r="D78" s="1">
        <f>VLOOKUP($B78,[22]TrtCodes!$B$11:J128,3)</f>
        <v>6</v>
      </c>
      <c r="E78" s="1">
        <f>VLOOKUP($B78,[22]TrtCodes!$B$11:K128,4)</f>
        <v>1</v>
      </c>
      <c r="F78" s="1">
        <f>VLOOKUP($B78,[22]TrtCodes!$B$11:L128,5)</f>
        <v>3</v>
      </c>
      <c r="G78" s="1">
        <f>VLOOKUP($B78,[22]TrtCodes!$B$11:M128,6)</f>
        <v>1</v>
      </c>
      <c r="H78" s="1">
        <f>VLOOKUP($B78,[22]TrtCodes!$B$11:N128,7)</f>
        <v>4</v>
      </c>
      <c r="I78" s="1">
        <f>[22]FormattedData!B85</f>
        <v>2</v>
      </c>
      <c r="J78" s="4">
        <f>[22]FormattedData!C85</f>
        <v>13.663</v>
      </c>
      <c r="K78" s="6">
        <f>$J$3+[22]FormattedData!D85*$J$4+$M$4*$J$5+[22]FormattedData!D85^2*$J$6+$M$5*$J$7</f>
        <v>28.01271072975495</v>
      </c>
      <c r="L78" s="6">
        <f>$J$3+[22]FormattedData!E85*$J$4+$M$4*$J$5+[22]FormattedData!E85^2*$J$6+$M$5*$J$7</f>
        <v>28.208916759538052</v>
      </c>
      <c r="M78" s="6">
        <f>$J$3+[22]FormattedData!F85*$J$4+$M$4*$J$5+[22]FormattedData!F85^2*$J$6+$M$5*$J$7</f>
        <v>28.306956371622707</v>
      </c>
      <c r="N78" s="6">
        <f>$J$3+[22]FormattedData!G85*$J$4+$M$4*$J$5+[22]FormattedData!G85^2*$J$6+$M$5*$J$7</f>
        <v>28.01271072975495</v>
      </c>
      <c r="O78" s="6">
        <f>$J$3+[22]FormattedData!H85*$J$4+$M$4*$J$5+[22]FormattedData!H85^2*$J$6+$M$5*$J$7</f>
        <v>28.306956371622707</v>
      </c>
      <c r="P78" s="6">
        <f>$J$3+[22]FormattedData!I85*$J$4+$M$4*$J$5+[22]FormattedData!I85^2*$J$6+$M$5*$J$7</f>
        <v>28.110834878915465</v>
      </c>
      <c r="Q78" s="6">
        <f>$J$3+[22]FormattedData!J85*$J$4+$M$4*$J$5+[22]FormattedData!J85^2*$J$6+$M$5*$J$7</f>
        <v>27.718084671045805</v>
      </c>
      <c r="R78" s="6">
        <f>$J$3+[22]FormattedData!K85*$J$4+$M$4*$J$5+[22]FormattedData!K85^2*$J$6+$M$5*$J$7</f>
        <v>27.816335625820116</v>
      </c>
      <c r="S78" s="6">
        <f>$J$3+[22]FormattedData!L85*$J$4+$M$4*$J$5+[22]FormattedData!L85^2*$J$6+$M$5*$J$7</f>
        <v>28.110834878915465</v>
      </c>
      <c r="T78" s="6">
        <f>$J$3+[22]FormattedData!M85*$J$4+$M$4*$J$5+[22]FormattedData!M85^2*$J$6+$M$5*$J$7</f>
        <v>27.816335625820116</v>
      </c>
      <c r="U78" s="6">
        <f>$J$3+[22]FormattedData!N85*$J$4+$M$4*$J$5+[22]FormattedData!N85^2*$J$6+$M$5*$J$7</f>
        <v>28.306956371622707</v>
      </c>
      <c r="V78" s="6">
        <f>$J$3+[22]FormattedData!O85*$J$4+$M$4*$J$5+[22]FormattedData!O85^2*$J$6+$M$5*$J$7</f>
        <v>28.01271072975495</v>
      </c>
      <c r="W78" s="5">
        <f t="shared" si="18"/>
        <v>28.061695312015662</v>
      </c>
      <c r="X78" s="4">
        <f t="shared" si="19"/>
        <v>5.8557922791916774E-2</v>
      </c>
      <c r="Y78" s="3">
        <f t="shared" si="20"/>
        <v>27.718084671045805</v>
      </c>
      <c r="Z78" s="2">
        <f t="shared" si="21"/>
        <v>27.963616953771243</v>
      </c>
      <c r="AA78" s="3">
        <f t="shared" si="22"/>
        <v>28.061772804335206</v>
      </c>
      <c r="AB78" s="2">
        <f t="shared" si="23"/>
        <v>28.233426662559218</v>
      </c>
      <c r="AC78" s="2">
        <f t="shared" si="24"/>
        <v>28.306956371622707</v>
      </c>
      <c r="AD78" s="2">
        <f t="shared" si="25"/>
        <v>-0.2976758635364099</v>
      </c>
      <c r="AE78" s="2">
        <f t="shared" si="26"/>
        <v>-1.0047918027914085</v>
      </c>
    </row>
    <row r="79" spans="2:31" x14ac:dyDescent="0.2">
      <c r="B79" s="1">
        <f>[22]FormattedData!A83</f>
        <v>406</v>
      </c>
      <c r="C79" s="1" t="str">
        <f>VLOOKUP($B79,[22]TrtCodes!$B$11:I126,2)</f>
        <v>FTH</v>
      </c>
      <c r="D79" s="1">
        <f>VLOOKUP($B79,[22]TrtCodes!$B$11:J126,3)</f>
        <v>3</v>
      </c>
      <c r="E79" s="1">
        <f>VLOOKUP($B79,[22]TrtCodes!$B$11:K126,4)</f>
        <v>1</v>
      </c>
      <c r="F79" s="1">
        <f>VLOOKUP($B79,[22]TrtCodes!$B$11:L126,5)</f>
        <v>2</v>
      </c>
      <c r="G79" s="1">
        <f>VLOOKUP($B79,[22]TrtCodes!$B$11:M126,6)</f>
        <v>2</v>
      </c>
      <c r="H79" s="1">
        <f>VLOOKUP($B79,[22]TrtCodes!$B$11:N126,7)</f>
        <v>4</v>
      </c>
      <c r="I79" s="1">
        <f>[22]FormattedData!B83</f>
        <v>2</v>
      </c>
      <c r="J79" s="4">
        <f>[22]FormattedData!C83</f>
        <v>13.644</v>
      </c>
      <c r="K79" s="6">
        <f>$J$3+[22]FormattedData!D83*$J$4+$M$4*$J$5+[22]FormattedData!D83^2*$J$6+$M$5*$J$7</f>
        <v>27.718084671045805</v>
      </c>
      <c r="L79" s="6">
        <f>$J$3+[22]FormattedData!E83*$J$4+$M$4*$J$5+[22]FormattedData!E83^2*$J$6+$M$5*$J$7</f>
        <v>27.914544312056499</v>
      </c>
      <c r="M79" s="6">
        <f>$J$3+[22]FormattedData!F83*$J$4+$M$4*$J$5+[22]FormattedData!F83^2*$J$6+$M$5*$J$7</f>
        <v>27.718084671045805</v>
      </c>
      <c r="N79" s="6">
        <f>$J$3+[22]FormattedData!G83*$J$4+$M$4*$J$5+[22]FormattedData!G83^2*$J$6+$M$5*$J$7</f>
        <v>27.816335625820116</v>
      </c>
      <c r="O79" s="6">
        <f>$J$3+[22]FormattedData!H83*$J$4+$M$4*$J$5+[22]FormattedData!H83^2*$J$6+$M$5*$J$7</f>
        <v>28.306956371622707</v>
      </c>
      <c r="P79" s="6">
        <f>$J$3+[22]FormattedData!I83*$J$4+$M$4*$J$5+[22]FormattedData!I83^2*$J$6+$M$5*$J$7</f>
        <v>28.01271072975495</v>
      </c>
      <c r="Q79" s="6">
        <f>$J$3+[22]FormattedData!J83*$J$4+$M$4*$J$5+[22]FormattedData!J83^2*$J$6+$M$5*$J$7</f>
        <v>27.914544312056499</v>
      </c>
      <c r="R79" s="6">
        <f>$J$3+[22]FormattedData!K83*$J$4+$M$4*$J$5+[22]FormattedData!K83^2*$J$6+$M$5*$J$7</f>
        <v>27.816335625820116</v>
      </c>
      <c r="S79" s="6">
        <f>$J$3+[22]FormattedData!L83*$J$4+$M$4*$J$5+[22]FormattedData!L83^2*$J$6+$M$5*$J$7</f>
        <v>28.01271072975495</v>
      </c>
      <c r="T79" s="6">
        <f>$J$3+[22]FormattedData!M83*$J$4+$M$4*$J$5+[22]FormattedData!M83^2*$J$6+$M$5*$J$7</f>
        <v>28.01271072975495</v>
      </c>
      <c r="U79" s="6">
        <f>$J$3+[22]FormattedData!N83*$J$4+$M$4*$J$5+[22]FormattedData!N83^2*$J$6+$M$5*$J$7</f>
        <v>27.914544312056499</v>
      </c>
      <c r="V79" s="6">
        <f>$J$3+[22]FormattedData!O83*$J$4+$M$4*$J$5+[22]FormattedData!O83^2*$J$6+$M$5*$J$7</f>
        <v>28.01271072975495</v>
      </c>
      <c r="W79" s="5">
        <f t="shared" si="18"/>
        <v>27.930856068378656</v>
      </c>
      <c r="X79" s="4">
        <f t="shared" si="19"/>
        <v>4.6533109686192578E-2</v>
      </c>
      <c r="Y79" s="3">
        <f t="shared" si="20"/>
        <v>27.718084671045805</v>
      </c>
      <c r="Z79" s="2">
        <f t="shared" si="21"/>
        <v>27.816335625820116</v>
      </c>
      <c r="AA79" s="3">
        <f t="shared" si="22"/>
        <v>27.914544312056499</v>
      </c>
      <c r="AB79" s="2">
        <f t="shared" si="23"/>
        <v>28.01271072975495</v>
      </c>
      <c r="AC79" s="2">
        <f t="shared" si="24"/>
        <v>28.306956371622707</v>
      </c>
      <c r="AD79" s="2">
        <f t="shared" si="25"/>
        <v>0.86240859716814833</v>
      </c>
      <c r="AE79" s="2">
        <f t="shared" si="26"/>
        <v>1.7153274991569765</v>
      </c>
    </row>
    <row r="80" spans="2:31" x14ac:dyDescent="0.2">
      <c r="B80" s="1">
        <f>[22]FormattedData!A81</f>
        <v>407</v>
      </c>
      <c r="C80" s="1" t="str">
        <f>VLOOKUP($B80,[22]TrtCodes!$B$11:I124,2)</f>
        <v>NSH</v>
      </c>
      <c r="D80" s="1">
        <f>VLOOKUP($B80,[22]TrtCodes!$B$11:J124,3)</f>
        <v>7</v>
      </c>
      <c r="E80" s="1">
        <f>VLOOKUP($B80,[22]TrtCodes!$B$11:K124,4)</f>
        <v>2</v>
      </c>
      <c r="F80" s="1">
        <f>VLOOKUP($B80,[22]TrtCodes!$B$11:L124,5)</f>
        <v>1</v>
      </c>
      <c r="G80" s="1">
        <f>VLOOKUP($B80,[22]TrtCodes!$B$11:M124,6)</f>
        <v>2</v>
      </c>
      <c r="H80" s="1">
        <f>VLOOKUP($B80,[22]TrtCodes!$B$11:N124,7)</f>
        <v>4</v>
      </c>
      <c r="I80" s="1">
        <f>[22]FormattedData!B81</f>
        <v>2</v>
      </c>
      <c r="J80" s="4">
        <f>[22]FormattedData!C81</f>
        <v>13.624000000000001</v>
      </c>
      <c r="K80" s="6">
        <f>$J$3+[22]FormattedData!D81*$J$4+$M$4*$J$5+[22]FormattedData!D81^2*$J$6+$M$5*$J$7</f>
        <v>29.187410796177716</v>
      </c>
      <c r="L80" s="6">
        <f>$J$3+[22]FormattedData!E81*$J$4+$M$4*$J$5+[22]FormattedData!E81^2*$J$6+$M$5*$J$7</f>
        <v>28.992050137153232</v>
      </c>
      <c r="M80" s="6">
        <f>$J$3+[22]FormattedData!F81*$J$4+$M$4*$J$5+[22]FormattedData!F81^2*$J$6+$M$5*$J$7</f>
        <v>28.992050137153232</v>
      </c>
      <c r="N80" s="6">
        <f>$J$3+[22]FormattedData!G81*$J$4+$M$4*$J$5+[22]FormattedData!G81^2*$J$6+$M$5*$J$7</f>
        <v>28.600821596649091</v>
      </c>
      <c r="O80" s="6">
        <f>$J$3+[22]FormattedData!H81*$J$4+$M$4*$J$5+[22]FormattedData!H81^2*$J$6+$M$5*$J$7</f>
        <v>28.894306404834094</v>
      </c>
      <c r="P80" s="6">
        <f>$J$3+[22]FormattedData!I81*$J$4+$M$4*$J$5+[22]FormattedData!I81^2*$J$6+$M$5*$J$7</f>
        <v>28.894306404834094</v>
      </c>
      <c r="Q80" s="6">
        <f>$J$3+[22]FormattedData!J81*$J$4+$M$4*$J$5+[22]FormattedData!J81^2*$J$6+$M$5*$J$7</f>
        <v>28.894306404834094</v>
      </c>
      <c r="R80" s="6">
        <f>$J$3+[22]FormattedData!K81*$J$4+$M$4*$J$5+[22]FormattedData!K81^2*$J$6+$M$5*$J$7</f>
        <v>28.992050137153232</v>
      </c>
      <c r="S80" s="6">
        <f>$J$3+[22]FormattedData!L81*$J$4+$M$4*$J$5+[22]FormattedData!L81^2*$J$6+$M$5*$J$7</f>
        <v>28.992050137153232</v>
      </c>
      <c r="T80" s="6">
        <f>$J$3+[22]FormattedData!M81*$J$4+$M$4*$J$5+[22]FormattedData!M81^2*$J$6+$M$5*$J$7</f>
        <v>28.698692134582021</v>
      </c>
      <c r="U80" s="6">
        <f>$J$3+[22]FormattedData!N81*$J$4+$M$4*$J$5+[22]FormattedData!N81^2*$J$6+$M$5*$J$7</f>
        <v>28.600821596649091</v>
      </c>
      <c r="V80" s="6">
        <f>$J$3+[22]FormattedData!O81*$J$4+$M$4*$J$5+[22]FormattedData!O81^2*$J$6+$M$5*$J$7</f>
        <v>28.600821596649091</v>
      </c>
      <c r="W80" s="5">
        <f t="shared" si="18"/>
        <v>28.861640623651851</v>
      </c>
      <c r="X80" s="4">
        <f t="shared" si="19"/>
        <v>5.5594979782424246E-2</v>
      </c>
      <c r="Y80" s="3">
        <f t="shared" si="20"/>
        <v>28.600821596649091</v>
      </c>
      <c r="Z80" s="2">
        <f t="shared" si="21"/>
        <v>28.674224500098788</v>
      </c>
      <c r="AA80" s="3">
        <f t="shared" si="22"/>
        <v>28.894306404834094</v>
      </c>
      <c r="AB80" s="2">
        <f t="shared" si="23"/>
        <v>28.992050137153232</v>
      </c>
      <c r="AC80" s="2">
        <f t="shared" si="24"/>
        <v>29.187410796177716</v>
      </c>
      <c r="AD80" s="2">
        <f t="shared" si="25"/>
        <v>-0.21390468789603023</v>
      </c>
      <c r="AE80" s="2">
        <f t="shared" si="26"/>
        <v>-0.9393036104237793</v>
      </c>
    </row>
    <row r="81" spans="2:31" x14ac:dyDescent="0.2">
      <c r="B81" s="1">
        <f>[22]FormattedData!A79</f>
        <v>408</v>
      </c>
      <c r="C81" s="1" t="str">
        <f>VLOOKUP($B81,[22]TrtCodes!$B$11:I122,2)</f>
        <v>NTL</v>
      </c>
      <c r="D81" s="1">
        <f>VLOOKUP($B81,[22]TrtCodes!$B$11:J122,3)</f>
        <v>10</v>
      </c>
      <c r="E81" s="1">
        <f>VLOOKUP($B81,[22]TrtCodes!$B$11:K122,4)</f>
        <v>2</v>
      </c>
      <c r="F81" s="1">
        <f>VLOOKUP($B81,[22]TrtCodes!$B$11:L122,5)</f>
        <v>2</v>
      </c>
      <c r="G81" s="1">
        <f>VLOOKUP($B81,[22]TrtCodes!$B$11:M122,6)</f>
        <v>1</v>
      </c>
      <c r="H81" s="1">
        <f>VLOOKUP($B81,[22]TrtCodes!$B$11:N122,7)</f>
        <v>4</v>
      </c>
      <c r="I81" s="1">
        <f>[22]FormattedData!B79</f>
        <v>2</v>
      </c>
      <c r="J81" s="4">
        <f>[22]FormattedData!C79</f>
        <v>13.606</v>
      </c>
      <c r="K81" s="6">
        <f>$J$3+[22]FormattedData!D79*$J$4+$M$4*$J$5+[22]FormattedData!D79^2*$J$6+$M$5*$J$7</f>
        <v>28.306956371622707</v>
      </c>
      <c r="L81" s="6">
        <f>$J$3+[22]FormattedData!E79*$J$4+$M$4*$J$5+[22]FormattedData!E79^2*$J$6+$M$5*$J$7</f>
        <v>28.796520403977024</v>
      </c>
      <c r="M81" s="6">
        <f>$J$3+[22]FormattedData!F79*$J$4+$M$4*$J$5+[22]FormattedData!F79^2*$J$6+$M$5*$J$7</f>
        <v>28.894306404834094</v>
      </c>
      <c r="N81" s="6">
        <f>$J$3+[22]FormattedData!G79*$J$4+$M$4*$J$5+[22]FormattedData!G79^2*$J$6+$M$5*$J$7</f>
        <v>29.285027722883058</v>
      </c>
      <c r="O81" s="6">
        <f>$J$3+[22]FormattedData!H79*$J$4+$M$4*$J$5+[22]FormattedData!H79^2*$J$6+$M$5*$J$7</f>
        <v>29.9671626907584</v>
      </c>
      <c r="P81" s="6">
        <f>$J$3+[22]FormattedData!I79*$J$4+$M$4*$J$5+[22]FormattedData!I79^2*$J$6+$M$5*$J$7</f>
        <v>29.480134770679957</v>
      </c>
      <c r="Q81" s="6">
        <f>$J$3+[22]FormattedData!J79*$J$4+$M$4*$J$5+[22]FormattedData!J79^2*$J$6+$M$5*$J$7</f>
        <v>29.480134770679957</v>
      </c>
      <c r="R81" s="6">
        <f>$J$3+[22]FormattedData!K79*$J$4+$M$4*$J$5+[22]FormattedData!K79^2*$J$6+$M$5*$J$7</f>
        <v>29.675072744325128</v>
      </c>
      <c r="S81" s="6">
        <f>$J$3+[22]FormattedData!L79*$J$4+$M$4*$J$5+[22]FormattedData!L79^2*$J$6+$M$5*$J$7</f>
        <v>29.089751600934438</v>
      </c>
      <c r="T81" s="6">
        <f>$J$3+[22]FormattedData!M79*$J$4+$M$4*$J$5+[22]FormattedData!M79^2*$J$6+$M$5*$J$7</f>
        <v>29.187410796177716</v>
      </c>
      <c r="U81" s="6">
        <f>$J$3+[22]FormattedData!N79*$J$4+$M$4*$J$5+[22]FormattedData!N79^2*$J$6+$M$5*$J$7</f>
        <v>28.600821596649091</v>
      </c>
      <c r="V81" s="6">
        <f>$J$3+[22]FormattedData!O79*$J$4+$M$4*$J$5+[22]FormattedData!O79^2*$J$6+$M$5*$J$7</f>
        <v>29.089751600934438</v>
      </c>
      <c r="W81" s="5">
        <f t="shared" si="18"/>
        <v>29.154420956204675</v>
      </c>
      <c r="X81" s="4">
        <f t="shared" si="19"/>
        <v>0.13457953477081083</v>
      </c>
      <c r="Y81" s="3">
        <f t="shared" si="20"/>
        <v>28.306956371622707</v>
      </c>
      <c r="Z81" s="2">
        <f t="shared" si="21"/>
        <v>28.869859904619826</v>
      </c>
      <c r="AA81" s="3">
        <f t="shared" si="22"/>
        <v>29.138581198556075</v>
      </c>
      <c r="AB81" s="2">
        <f t="shared" si="23"/>
        <v>29.480134770679957</v>
      </c>
      <c r="AC81" s="2">
        <f t="shared" si="24"/>
        <v>29.9671626907584</v>
      </c>
      <c r="AD81" s="2">
        <f t="shared" si="25"/>
        <v>-0.10005067021600506</v>
      </c>
      <c r="AE81" s="2">
        <f t="shared" si="26"/>
        <v>-0.15249261973386474</v>
      </c>
    </row>
    <row r="82" spans="2:31" x14ac:dyDescent="0.2">
      <c r="B82" s="1">
        <f>[22]FormattedData!A59</f>
        <v>902</v>
      </c>
      <c r="C82" s="1" t="str">
        <f>VLOOKUP($B82,[22]TrtCodes!$B$11:I102,2)</f>
        <v>Late</v>
      </c>
      <c r="D82" s="1">
        <f>VLOOKUP($B82,[22]TrtCodes!$B$11:J102,3)</f>
        <v>22</v>
      </c>
      <c r="E82" s="1">
        <f>VLOOKUP($B82,[22]TrtCodes!$B$11:K102,4)</f>
        <v>4</v>
      </c>
      <c r="F82" s="1">
        <f>VLOOKUP($B82,[22]TrtCodes!$B$11:L102,5)</f>
        <v>2</v>
      </c>
      <c r="G82" s="1">
        <f>VLOOKUP($B82,[22]TrtCodes!$B$11:M102,6)</f>
        <v>2</v>
      </c>
      <c r="H82" s="1">
        <f>VLOOKUP($B82,[22]TrtCodes!$B$11:N102,7)</f>
        <v>1</v>
      </c>
      <c r="I82" s="1">
        <f>[22]FormattedData!B59</f>
        <v>2</v>
      </c>
      <c r="J82" s="4">
        <f>[22]FormattedData!C59</f>
        <v>13.417999999999999</v>
      </c>
      <c r="K82" s="6">
        <f>$J$3+[22]FormattedData!D59*$J$4+$M$4*$J$5+[22]FormattedData!D59^2*$J$6+$M$5*$J$7</f>
        <v>29.772478328340814</v>
      </c>
      <c r="L82" s="6">
        <f>$J$3+[22]FormattedData!E59*$J$4+$M$4*$J$5+[22]FormattedData!E59^2*$J$6+$M$5*$J$7</f>
        <v>29.382602381050472</v>
      </c>
      <c r="M82" s="6">
        <f>$J$3+[22]FormattedData!F59*$J$4+$M$4*$J$5+[22]FormattedData!F59^2*$J$6+$M$5*$J$7</f>
        <v>30.647226500275117</v>
      </c>
      <c r="N82" s="6">
        <f>$J$3+[22]FormattedData!G59*$J$4+$M$4*$J$5+[22]FormattedData!G59^2*$J$6+$M$5*$J$7</f>
        <v>30.064441469160293</v>
      </c>
      <c r="O82" s="6">
        <f>$J$3+[22]FormattedData!H59*$J$4+$M$4*$J$5+[22]FormattedData!H59^2*$J$6+$M$5*$J$7</f>
        <v>29.089751600934438</v>
      </c>
      <c r="P82" s="6">
        <f>$J$3+[22]FormattedData!I59*$J$4+$M$4*$J$5+[22]FormattedData!I59^2*$J$6+$M$5*$J$7</f>
        <v>30.064441469160293</v>
      </c>
      <c r="Q82" s="6">
        <f>$J$3+[22]FormattedData!J59*$J$4+$M$4*$J$5+[22]FormattedData!J59^2*$J$6+$M$5*$J$7</f>
        <v>30.550201333100805</v>
      </c>
      <c r="R82" s="6">
        <f>$J$3+[22]FormattedData!K59*$J$4+$M$4*$J$5+[22]FormattedData!K59^2*$J$6+$M$5*$J$7</f>
        <v>29.772478328340814</v>
      </c>
      <c r="S82" s="6">
        <f>$J$3+[22]FormattedData!L59*$J$4+$M$4*$J$5+[22]FormattedData!L59^2*$J$6+$M$5*$J$7</f>
        <v>29.772478328340814</v>
      </c>
      <c r="T82" s="6">
        <f>$J$3+[22]FormattedData!M59*$J$4+$M$4*$J$5+[22]FormattedData!M59^2*$J$6+$M$5*$J$7</f>
        <v>30.258872220350291</v>
      </c>
      <c r="U82" s="6">
        <f>$J$3+[22]FormattedData!N59*$J$4+$M$4*$J$5+[22]FormattedData!N59^2*$J$6+$M$5*$J$7</f>
        <v>28.894306404834094</v>
      </c>
      <c r="V82" s="6">
        <f>$J$3+[22]FormattedData!O59*$J$4+$M$4*$J$5+[22]FormattedData!O59^2*$J$6+$M$5*$J$7</f>
        <v>29.187410796177716</v>
      </c>
      <c r="W82" s="5">
        <f t="shared" si="18"/>
        <v>29.788057430005495</v>
      </c>
      <c r="X82" s="4">
        <f t="shared" si="19"/>
        <v>0.16296955209037919</v>
      </c>
      <c r="Y82" s="3">
        <f t="shared" si="20"/>
        <v>28.894306404834094</v>
      </c>
      <c r="Z82" s="2">
        <f t="shared" si="21"/>
        <v>29.333804484832282</v>
      </c>
      <c r="AA82" s="3">
        <f t="shared" si="22"/>
        <v>29.772478328340814</v>
      </c>
      <c r="AB82" s="2">
        <f t="shared" si="23"/>
        <v>30.113049156957793</v>
      </c>
      <c r="AC82" s="2">
        <f t="shared" si="24"/>
        <v>30.647226500275117</v>
      </c>
      <c r="AD82" s="2">
        <f t="shared" si="25"/>
        <v>-6.929930353240582E-2</v>
      </c>
      <c r="AE82" s="2">
        <f t="shared" si="26"/>
        <v>-0.96770774229746248</v>
      </c>
    </row>
    <row r="83" spans="2:31" x14ac:dyDescent="0.2">
      <c r="B83" s="1">
        <f>[22]FormattedData!A55</f>
        <v>904</v>
      </c>
      <c r="C83" s="1" t="str">
        <f>VLOOKUP($B83,[22]TrtCodes!$B$11:I98,2)</f>
        <v>Early</v>
      </c>
      <c r="D83" s="1">
        <f>VLOOKUP($B83,[22]TrtCodes!$B$11:J98,3)</f>
        <v>21</v>
      </c>
      <c r="E83" s="1">
        <f>VLOOKUP($B83,[22]TrtCodes!$B$11:K98,4)</f>
        <v>3</v>
      </c>
      <c r="F83" s="1">
        <f>VLOOKUP($B83,[22]TrtCodes!$B$11:L98,5)</f>
        <v>2</v>
      </c>
      <c r="G83" s="1">
        <f>VLOOKUP($B83,[22]TrtCodes!$B$11:M98,6)</f>
        <v>2</v>
      </c>
      <c r="H83" s="1">
        <f>VLOOKUP($B83,[22]TrtCodes!$B$11:N98,7)</f>
        <v>1</v>
      </c>
      <c r="I83" s="1">
        <f>[22]FormattedData!B55</f>
        <v>2</v>
      </c>
      <c r="J83" s="4">
        <f>[22]FormattedData!C55</f>
        <v>13.394</v>
      </c>
      <c r="K83" s="6">
        <f>$J$3+[22]FormattedData!D55*$J$4+$M$4*$J$5+[22]FormattedData!D55^2*$J$6+$M$5*$J$7</f>
        <v>29.675072744325128</v>
      </c>
      <c r="L83" s="6">
        <f>$J$3+[22]FormattedData!E55*$J$4+$M$4*$J$5+[22]FormattedData!E55^2*$J$6+$M$5*$J$7</f>
        <v>29.869841643818578</v>
      </c>
      <c r="M83" s="6">
        <f>$J$3+[22]FormattedData!F55*$J$4+$M$4*$J$5+[22]FormattedData!F55^2*$J$6+$M$5*$J$7</f>
        <v>29.9671626907584</v>
      </c>
      <c r="N83" s="6">
        <f>$J$3+[22]FormattedData!G55*$J$4+$M$4*$J$5+[22]FormattedData!G55^2*$J$6+$M$5*$J$7</f>
        <v>28.600821596649091</v>
      </c>
      <c r="O83" s="6">
        <f>$J$3+[22]FormattedData!H55*$J$4+$M$4*$J$5+[22]FormattedData!H55^2*$J$6+$M$5*$J$7</f>
        <v>29.480134770679957</v>
      </c>
      <c r="P83" s="6">
        <f>$J$3+[22]FormattedData!I55*$J$4+$M$4*$J$5+[22]FormattedData!I55^2*$J$6+$M$5*$J$7</f>
        <v>28.992050137153232</v>
      </c>
      <c r="Q83" s="6">
        <f>$J$3+[22]FormattedData!J55*$J$4+$M$4*$J$5+[22]FormattedData!J55^2*$J$6+$M$5*$J$7</f>
        <v>28.01271072975495</v>
      </c>
      <c r="R83" s="6">
        <f>$J$3+[22]FormattedData!K55*$J$4+$M$4*$J$5+[22]FormattedData!K55^2*$J$6+$M$5*$J$7</f>
        <v>28.698692134582021</v>
      </c>
      <c r="S83" s="6">
        <f>$J$3+[22]FormattedData!L55*$J$4+$M$4*$J$5+[22]FormattedData!L55^2*$J$6+$M$5*$J$7</f>
        <v>28.796520403977024</v>
      </c>
      <c r="T83" s="6">
        <f>$J$3+[22]FormattedData!M55*$J$4+$M$4*$J$5+[22]FormattedData!M55^2*$J$6+$M$5*$J$7</f>
        <v>28.992050137153232</v>
      </c>
      <c r="U83" s="6">
        <f>$J$3+[22]FormattedData!N55*$J$4+$M$4*$J$5+[22]FormattedData!N55^2*$J$6+$M$5*$J$7</f>
        <v>28.502908790178228</v>
      </c>
      <c r="V83" s="6">
        <f>$J$3+[22]FormattedData!O55*$J$4+$M$4*$J$5+[22]FormattedData!O55^2*$J$6+$M$5*$J$7</f>
        <v>29.187410796177716</v>
      </c>
      <c r="W83" s="5">
        <f t="shared" si="18"/>
        <v>29.064614714600634</v>
      </c>
      <c r="X83" s="4">
        <f t="shared" si="19"/>
        <v>0.17137595528092481</v>
      </c>
      <c r="Y83" s="3">
        <f t="shared" si="20"/>
        <v>28.01271072975495</v>
      </c>
      <c r="Z83" s="2">
        <f t="shared" si="21"/>
        <v>28.674224500098788</v>
      </c>
      <c r="AA83" s="3">
        <f t="shared" si="22"/>
        <v>28.992050137153232</v>
      </c>
      <c r="AB83" s="2">
        <f t="shared" si="23"/>
        <v>29.528869264091249</v>
      </c>
      <c r="AC83" s="2">
        <f t="shared" si="24"/>
        <v>29.9671626907584</v>
      </c>
      <c r="AD83" s="2">
        <f t="shared" si="25"/>
        <v>2.5258289543544313E-2</v>
      </c>
      <c r="AE83" s="2">
        <f t="shared" si="26"/>
        <v>-0.67634378269979667</v>
      </c>
    </row>
    <row r="84" spans="2:31" x14ac:dyDescent="0.2">
      <c r="B84" s="1">
        <f>[22]FormattedData!A51</f>
        <v>906</v>
      </c>
      <c r="C84" s="1" t="str">
        <f>VLOOKUP($B84,[22]TrtCodes!$B$11:I94,2)</f>
        <v>Late</v>
      </c>
      <c r="D84" s="1">
        <f>VLOOKUP($B84,[22]TrtCodes!$B$11:J94,3)</f>
        <v>22</v>
      </c>
      <c r="E84" s="1">
        <f>VLOOKUP($B84,[22]TrtCodes!$B$11:K94,4)</f>
        <v>4</v>
      </c>
      <c r="F84" s="1">
        <f>VLOOKUP($B84,[22]TrtCodes!$B$11:L94,5)</f>
        <v>2</v>
      </c>
      <c r="G84" s="1">
        <f>VLOOKUP($B84,[22]TrtCodes!$B$11:M94,6)</f>
        <v>2</v>
      </c>
      <c r="H84" s="1">
        <f>VLOOKUP($B84,[22]TrtCodes!$B$11:N94,7)</f>
        <v>2</v>
      </c>
      <c r="I84" s="1">
        <f>[22]FormattedData!B51</f>
        <v>2</v>
      </c>
      <c r="J84" s="4">
        <f>[22]FormattedData!C51</f>
        <v>13.37</v>
      </c>
      <c r="K84" s="6">
        <f>$J$3+[22]FormattedData!D51*$J$4+$M$4*$J$5+[22]FormattedData!D51^2*$J$6+$M$5*$J$7</f>
        <v>29.480134770679957</v>
      </c>
      <c r="L84" s="6">
        <f>$J$3+[22]FormattedData!E51*$J$4+$M$4*$J$5+[22]FormattedData!E51^2*$J$6+$M$5*$J$7</f>
        <v>29.577624891771503</v>
      </c>
      <c r="M84" s="6">
        <f>$J$3+[22]FormattedData!F51*$J$4+$M$4*$J$5+[22]FormattedData!F51^2*$J$6+$M$5*$J$7</f>
        <v>30.647226500275117</v>
      </c>
      <c r="N84" s="6">
        <f>$J$3+[22]FormattedData!G51*$J$4+$M$4*$J$5+[22]FormattedData!G51^2*$J$6+$M$5*$J$7</f>
        <v>31.228489864024411</v>
      </c>
      <c r="O84" s="6">
        <f>$J$3+[22]FormattedData!H51*$J$4+$M$4*$J$5+[22]FormattedData!H51^2*$J$6+$M$5*$J$7</f>
        <v>30.744209398911494</v>
      </c>
      <c r="P84" s="6">
        <f>$J$3+[22]FormattedData!I51*$J$4+$M$4*$J$5+[22]FormattedData!I51^2*$J$6+$M$5*$J$7</f>
        <v>30.744209398911494</v>
      </c>
      <c r="Q84" s="6">
        <f>$J$3+[22]FormattedData!J51*$J$4+$M$4*$J$5+[22]FormattedData!J51^2*$J$6+$M$5*$J$7</f>
        <v>30.064441469160293</v>
      </c>
      <c r="R84" s="6">
        <f>$J$3+[22]FormattedData!K51*$J$4+$M$4*$J$5+[22]FormattedData!K51^2*$J$6+$M$5*$J$7</f>
        <v>30.550201333100805</v>
      </c>
      <c r="S84" s="6">
        <f>$J$3+[22]FormattedData!L51*$J$4+$M$4*$J$5+[22]FormattedData!L51^2*$J$6+$M$5*$J$7</f>
        <v>30.453133897388568</v>
      </c>
      <c r="T84" s="6">
        <f>$J$3+[22]FormattedData!M51*$J$4+$M$4*$J$5+[22]FormattedData!M51^2*$J$6+$M$5*$J$7</f>
        <v>31.034904483593035</v>
      </c>
      <c r="U84" s="6">
        <f>$J$3+[22]FormattedData!N51*$J$4+$M$4*$J$5+[22]FormattedData!N51^2*$J$6+$M$5*$J$7</f>
        <v>30.258872220350291</v>
      </c>
      <c r="V84" s="6">
        <f>$J$3+[22]FormattedData!O51*$J$4+$M$4*$J$5+[22]FormattedData!O51^2*$J$6+$M$5*$J$7</f>
        <v>30.161677979024262</v>
      </c>
      <c r="W84" s="5">
        <f t="shared" si="18"/>
        <v>30.412093850599273</v>
      </c>
      <c r="X84" s="4">
        <f t="shared" si="19"/>
        <v>0.15381451984991601</v>
      </c>
      <c r="Y84" s="3">
        <f t="shared" si="20"/>
        <v>29.480134770679957</v>
      </c>
      <c r="Z84" s="2">
        <f t="shared" si="21"/>
        <v>30.137368851558271</v>
      </c>
      <c r="AA84" s="3">
        <f t="shared" si="22"/>
        <v>30.501667615244685</v>
      </c>
      <c r="AB84" s="2">
        <f t="shared" si="23"/>
        <v>30.744209398911494</v>
      </c>
      <c r="AC84" s="2">
        <f t="shared" si="24"/>
        <v>31.228489864024411</v>
      </c>
      <c r="AD84" s="2">
        <f t="shared" si="25"/>
        <v>-0.41621789800676035</v>
      </c>
      <c r="AE84" s="2">
        <f t="shared" si="26"/>
        <v>-0.3564550886407738</v>
      </c>
    </row>
    <row r="85" spans="2:31" x14ac:dyDescent="0.2">
      <c r="B85" s="1">
        <f>[22]FormattedData!A47</f>
        <v>908</v>
      </c>
      <c r="C85" s="1" t="str">
        <f>VLOOKUP($B85,[22]TrtCodes!$B$11:I90,2)</f>
        <v>Early</v>
      </c>
      <c r="D85" s="1">
        <f>VLOOKUP($B85,[22]TrtCodes!$B$11:J90,3)</f>
        <v>21</v>
      </c>
      <c r="E85" s="1">
        <f>VLOOKUP($B85,[22]TrtCodes!$B$11:K90,4)</f>
        <v>3</v>
      </c>
      <c r="F85" s="1">
        <f>VLOOKUP($B85,[22]TrtCodes!$B$11:L90,5)</f>
        <v>2</v>
      </c>
      <c r="G85" s="1">
        <f>VLOOKUP($B85,[22]TrtCodes!$B$11:M90,6)</f>
        <v>2</v>
      </c>
      <c r="H85" s="1">
        <f>VLOOKUP($B85,[22]TrtCodes!$B$11:N90,7)</f>
        <v>2</v>
      </c>
      <c r="I85" s="1">
        <f>[22]FormattedData!B47</f>
        <v>2</v>
      </c>
      <c r="J85" s="4">
        <f>[22]FormattedData!C47</f>
        <v>13.346</v>
      </c>
      <c r="K85" s="6">
        <f>$J$3+[22]FormattedData!D47*$J$4+$M$4*$J$5+[22]FormattedData!D47^2*$J$6+$M$5*$J$7</f>
        <v>29.675072744325128</v>
      </c>
      <c r="L85" s="6">
        <f>$J$3+[22]FormattedData!E47*$J$4+$M$4*$J$5+[22]FormattedData!E47^2*$J$6+$M$5*$J$7</f>
        <v>30.064441469160293</v>
      </c>
      <c r="M85" s="6">
        <f>$J$3+[22]FormattedData!F47*$J$4+$M$4*$J$5+[22]FormattedData!F47^2*$J$6+$M$5*$J$7</f>
        <v>29.869841643818578</v>
      </c>
      <c r="N85" s="6">
        <f>$J$3+[22]FormattedData!G47*$J$4+$M$4*$J$5+[22]FormattedData!G47^2*$J$6+$M$5*$J$7</f>
        <v>29.772478328340814</v>
      </c>
      <c r="O85" s="6">
        <f>$J$3+[22]FormattedData!H47*$J$4+$M$4*$J$5+[22]FormattedData!H47^2*$J$6+$M$5*$J$7</f>
        <v>29.772478328340814</v>
      </c>
      <c r="P85" s="6">
        <f>$J$3+[22]FormattedData!I47*$J$4+$M$4*$J$5+[22]FormattedData!I47^2*$J$6+$M$5*$J$7</f>
        <v>29.480134770679957</v>
      </c>
      <c r="Q85" s="6">
        <f>$J$3+[22]FormattedData!J47*$J$4+$M$4*$J$5+[22]FormattedData!J47^2*$J$6+$M$5*$J$7</f>
        <v>29.675072744325128</v>
      </c>
      <c r="R85" s="6">
        <f>$J$3+[22]FormattedData!K47*$J$4+$M$4*$J$5+[22]FormattedData!K47^2*$J$6+$M$5*$J$7</f>
        <v>29.772478328340814</v>
      </c>
      <c r="S85" s="6">
        <f>$J$3+[22]FormattedData!L47*$J$4+$M$4*$J$5+[22]FormattedData!L47^2*$J$6+$M$5*$J$7</f>
        <v>29.285027722883058</v>
      </c>
      <c r="T85" s="6">
        <f>$J$3+[22]FormattedData!M47*$J$4+$M$4*$J$5+[22]FormattedData!M47^2*$J$6+$M$5*$J$7</f>
        <v>29.480134770679957</v>
      </c>
      <c r="U85" s="6">
        <f>$J$3+[22]FormattedData!N47*$J$4+$M$4*$J$5+[22]FormattedData!N47^2*$J$6+$M$5*$J$7</f>
        <v>30.161677979024262</v>
      </c>
      <c r="V85" s="6">
        <f>$J$3+[22]FormattedData!O47*$J$4+$M$4*$J$5+[22]FormattedData!O47^2*$J$6+$M$5*$J$7</f>
        <v>30.161677979024262</v>
      </c>
      <c r="W85" s="5">
        <f t="shared" si="18"/>
        <v>29.764209734078591</v>
      </c>
      <c r="X85" s="4">
        <f t="shared" si="19"/>
        <v>7.9026639684511221E-2</v>
      </c>
      <c r="Y85" s="3">
        <f t="shared" si="20"/>
        <v>29.285027722883058</v>
      </c>
      <c r="Z85" s="2">
        <f t="shared" si="21"/>
        <v>29.626338250913836</v>
      </c>
      <c r="AA85" s="3">
        <f t="shared" si="22"/>
        <v>29.772478328340814</v>
      </c>
      <c r="AB85" s="2">
        <f t="shared" si="23"/>
        <v>29.918491600154006</v>
      </c>
      <c r="AC85" s="2">
        <f t="shared" si="24"/>
        <v>30.161677979024262</v>
      </c>
      <c r="AD85" s="2">
        <f t="shared" si="25"/>
        <v>-1.8425146984057377E-2</v>
      </c>
      <c r="AE85" s="2">
        <f t="shared" si="26"/>
        <v>-0.55322190245315594</v>
      </c>
    </row>
    <row r="88" spans="2:31" x14ac:dyDescent="0.2">
      <c r="W88" s="2"/>
    </row>
  </sheetData>
  <autoFilter ref="B9:AE85" xr:uid="{954EE6FB-8F51-4D91-AC16-CF5C7577EBC8}"/>
  <conditionalFormatting sqref="K10:V85">
    <cfRule type="cellIs" dxfId="39" priority="1" stopIfTrue="1" operator="lessThan">
      <formula>$W10-$V$5*$X10</formula>
    </cfRule>
    <cfRule type="cellIs" dxfId="38" priority="2" stopIfTrue="1" operator="greaterThan">
      <formula>$W10+$V$5*$X10</formula>
    </cfRule>
  </conditionalFormatting>
  <conditionalFormatting sqref="W10:W85">
    <cfRule type="cellIs" dxfId="37" priority="3" stopIfTrue="1" operator="lessThan">
      <formula>AVERAGE($W$10:$W$41)</formula>
    </cfRule>
    <cfRule type="cellIs" dxfId="3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DD89-B47E-4F1C-95D6-7E38DCB4FCC3}">
  <sheetPr codeName="Sheet11"/>
  <dimension ref="A1:AI88"/>
  <sheetViews>
    <sheetView topLeftCell="A8" workbookViewId="0">
      <pane xSplit="4" ySplit="2" topLeftCell="N38" activePane="bottomRight" state="frozen"/>
      <selection activeCell="A8" sqref="A8"/>
      <selection pane="topRight" activeCell="E8" sqref="E8"/>
      <selection pane="bottomLeft" activeCell="A10" sqref="A10"/>
      <selection pane="bottomRight" activeCell="W50" sqref="W50:W85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[23]FormattedData!A1</f>
        <v>Raw data file name - 'IA213.03R'</v>
      </c>
    </row>
    <row r="2" spans="1:35" ht="15" x14ac:dyDescent="0.25">
      <c r="I2" s="32" t="s">
        <v>136</v>
      </c>
      <c r="J2" s="24"/>
      <c r="P2" s="31">
        <f>[23]AncillaryData!C10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[23]AncillaryData!E25</f>
        <v>33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"&amp;[23]AncillaryData!C7</f>
        <v>Time Sequence of Midday IRT Temps - FISE 2003 - DOY 213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"&amp;[23]AncillaryData!E25&amp;", VPD = "&amp;ROUND([23]AncillaryData!E29,1)&amp;", Quality = "&amp;[23]AncillaryData!C20&amp;")"</f>
        <v>(Ta = 33, VPD = 2.8, Quality = 5)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[23]FormattedData!A28</f>
        <v>101</v>
      </c>
      <c r="C10" s="1" t="str">
        <f>VLOOKUP($B10,[23]TrtCodes!$B$11:I71,2)</f>
        <v>FSH</v>
      </c>
      <c r="D10" s="1">
        <f>VLOOKUP($B10,[23]TrtCodes!$B$11:J71,3)</f>
        <v>1</v>
      </c>
      <c r="E10" s="1">
        <f>VLOOKUP($B10,[23]TrtCodes!$B$11:K71,4)</f>
        <v>1</v>
      </c>
      <c r="F10" s="1">
        <f>VLOOKUP($B10,[23]TrtCodes!$B$11:L71,5)</f>
        <v>1</v>
      </c>
      <c r="G10" s="1">
        <f>VLOOKUP($B10,[23]TrtCodes!$B$11:M71,6)</f>
        <v>2</v>
      </c>
      <c r="H10" s="1">
        <f>VLOOKUP($B10,[23]TrtCodes!$B$11:N71,7)</f>
        <v>1</v>
      </c>
      <c r="I10" s="1">
        <f>[23]FormattedData!B28</f>
        <v>1</v>
      </c>
      <c r="J10" s="4">
        <f>[23]FormattedData!C28</f>
        <v>13.238</v>
      </c>
      <c r="K10" s="6">
        <f>$J$3+[23]FormattedData!D28*$J$4+$M$4*$J$5+[23]FormattedData!D28^2*$J$6+$M$5*$J$7</f>
        <v>37.999408518165531</v>
      </c>
      <c r="L10" s="6">
        <f>$J$3+[23]FormattedData!E28*$J$4+$M$4*$J$5+[23]FormattedData!E28^2*$J$6+$M$5*$J$7</f>
        <v>30.36758224104873</v>
      </c>
      <c r="M10" s="6">
        <f>$J$3+[23]FormattedData!F28*$J$4+$M$4*$J$5+[23]FormattedData!F28^2*$J$6+$M$5*$J$7</f>
        <v>32.204635599595065</v>
      </c>
      <c r="N10" s="6">
        <f>$J$3+[23]FormattedData!G28*$J$4+$M$4*$J$5+[23]FormattedData!G28^2*$J$6+$M$5*$J$7</f>
        <v>32.397121998040234</v>
      </c>
      <c r="O10" s="6">
        <f>$J$3+[23]FormattedData!H28*$J$4+$M$4*$J$5+[23]FormattedData!H28^2*$J$6+$M$5*$J$7</f>
        <v>29.881611034418562</v>
      </c>
      <c r="P10" s="6">
        <f>$J$3+[23]FormattedData!I28*$J$4+$M$4*$J$5+[23]FormattedData!I28^2*$J$6+$M$5*$J$7</f>
        <v>30.755598372670104</v>
      </c>
      <c r="Q10" s="6">
        <f>$J$3+[23]FormattedData!J28*$J$4+$M$4*$J$5+[23]FormattedData!J28^2*$J$6+$M$5*$J$7</f>
        <v>31.239667495093371</v>
      </c>
      <c r="R10" s="6">
        <f>$J$3+[23]FormattedData!K28*$J$4+$M$4*$J$5+[23]FormattedData!K28^2*$J$6+$M$5*$J$7</f>
        <v>30.36758224104873</v>
      </c>
      <c r="S10" s="6">
        <f>$J$3+[23]FormattedData!L28*$J$4+$M$4*$J$5+[23]FormattedData!L28^2*$J$6+$M$5*$J$7</f>
        <v>31.046166651737856</v>
      </c>
      <c r="T10" s="6">
        <f>$J$3+[23]FormattedData!M28*$J$4+$M$4*$J$5+[23]FormattedData!M28^2*$J$6+$M$5*$J$7</f>
        <v>30.464649676760967</v>
      </c>
      <c r="U10" s="6">
        <f>$J$3+[23]FormattedData!N28*$J$4+$M$4*$J$5+[23]FormattedData!N28^2*$J$6+$M$5*$J$7</f>
        <v>31.432999264297159</v>
      </c>
      <c r="V10" s="6">
        <f>$J$3+[23]FormattedData!O28*$J$4+$M$4*$J$5+[23]FormattedData!O28^2*$J$6+$M$5*$J$7</f>
        <v>30.561674843935279</v>
      </c>
      <c r="W10" s="5">
        <f t="shared" ref="W10:W41" si="0">AVERAGE(K10:V10)</f>
        <v>31.559891494734305</v>
      </c>
      <c r="X10" s="4">
        <f t="shared" ref="X10:X41" si="1">STDEV(K10:V10)/SQRT(COUNT(K10:V10))</f>
        <v>0.62443486084678468</v>
      </c>
      <c r="Y10" s="3">
        <f t="shared" ref="Y10:Y41" si="2">MIN(K10:V10)</f>
        <v>29.881611034418562</v>
      </c>
      <c r="Z10" s="2">
        <f t="shared" ref="Z10:Z41" si="3">QUARTILE(K10:V10,1)</f>
        <v>30.440382817832909</v>
      </c>
      <c r="AA10" s="3">
        <f t="shared" ref="AA10:AA41" si="4">MEDIAN(K10:V10)</f>
        <v>30.900882512203978</v>
      </c>
      <c r="AB10" s="2">
        <f t="shared" ref="AB10:AB41" si="5">QUARTILE(K10:V10,3)</f>
        <v>31.625908348121634</v>
      </c>
      <c r="AC10" s="2">
        <f t="shared" ref="AC10:AC41" si="6">MAX(K10:V10)</f>
        <v>37.999408518165531</v>
      </c>
      <c r="AD10" s="2">
        <f t="shared" ref="AD10:AD41" si="7">SKEW(K10:V10)</f>
        <v>2.7675598200021856</v>
      </c>
      <c r="AE10" s="2">
        <f t="shared" ref="AE10:AE41" si="8">KURT(K10:V10)</f>
        <v>8.4550518089293636</v>
      </c>
    </row>
    <row r="11" spans="1:35" x14ac:dyDescent="0.2">
      <c r="B11" s="1">
        <f>[23]FormattedData!A26</f>
        <v>102</v>
      </c>
      <c r="C11" s="1" t="str">
        <f>VLOOKUP($B11,[23]TrtCodes!$B$11:I69,2)</f>
        <v>FTL</v>
      </c>
      <c r="D11" s="1">
        <f>VLOOKUP($B11,[23]TrtCodes!$B$11:J69,3)</f>
        <v>4</v>
      </c>
      <c r="E11" s="1">
        <f>VLOOKUP($B11,[23]TrtCodes!$B$11:K69,4)</f>
        <v>1</v>
      </c>
      <c r="F11" s="1">
        <f>VLOOKUP($B11,[23]TrtCodes!$B$11:L69,5)</f>
        <v>2</v>
      </c>
      <c r="G11" s="1">
        <f>VLOOKUP($B11,[23]TrtCodes!$B$11:M69,6)</f>
        <v>1</v>
      </c>
      <c r="H11" s="1">
        <f>VLOOKUP($B11,[23]TrtCodes!$B$11:N69,7)</f>
        <v>1</v>
      </c>
      <c r="I11" s="1">
        <f>[23]FormattedData!B26</f>
        <v>1</v>
      </c>
      <c r="J11" s="4">
        <f>[23]FormattedData!C26</f>
        <v>13.22</v>
      </c>
      <c r="K11" s="6">
        <f>$J$3+[23]FormattedData!D26*$J$4+$M$4*$J$5+[23]FormattedData!D26^2*$J$6+$M$5*$J$7</f>
        <v>35.453910288528334</v>
      </c>
      <c r="L11" s="6">
        <f>$J$3+[23]FormattedData!E26*$J$4+$M$4*$J$5+[23]FormattedData!E26^2*$J$6+$M$5*$J$7</f>
        <v>30.755598372670104</v>
      </c>
      <c r="M11" s="6">
        <f>$J$3+[23]FormattedData!F26*$J$4+$M$4*$J$5+[23]FormattedData!F26^2*$J$6+$M$5*$J$7</f>
        <v>31.819155580249564</v>
      </c>
      <c r="N11" s="6">
        <f>$J$3+[23]FormattedData!G26*$J$4+$M$4*$J$5+[23]FormattedData!G26^2*$J$6+$M$5*$J$7</f>
        <v>31.432999264297159</v>
      </c>
      <c r="O11" s="6">
        <f>$J$3+[23]FormattedData!H26*$J$4+$M$4*$J$5+[23]FormattedData!H26^2*$J$6+$M$5*$J$7</f>
        <v>32.973566748465373</v>
      </c>
      <c r="P11" s="6">
        <f>$J$3+[23]FormattedData!I26*$J$4+$M$4*$J$5+[23]FormattedData!I26^2*$J$6+$M$5*$J$7</f>
        <v>34.217310209952039</v>
      </c>
      <c r="Q11" s="6">
        <f>$J$3+[23]FormattedData!J26*$J$4+$M$4*$J$5+[23]FormattedData!J26^2*$J$6+$M$5*$J$7</f>
        <v>34.884059430020443</v>
      </c>
      <c r="R11" s="6">
        <f>$J$3+[23]FormattedData!K26*$J$4+$M$4*$J$5+[23]FormattedData!K26^2*$J$6+$M$5*$J$7</f>
        <v>30.852496734230616</v>
      </c>
      <c r="S11" s="6">
        <f>$J$3+[23]FormattedData!L26*$J$4+$M$4*$J$5+[23]FormattedData!L26^2*$J$6+$M$5*$J$7</f>
        <v>34.979140244449923</v>
      </c>
      <c r="T11" s="6">
        <f>$J$3+[23]FormattedData!M26*$J$4+$M$4*$J$5+[23]FormattedData!M26^2*$J$6+$M$5*$J$7</f>
        <v>30.076126322684424</v>
      </c>
      <c r="U11" s="6">
        <f>$J$3+[23]FormattedData!N26*$J$4+$M$4*$J$5+[23]FormattedData!N26^2*$J$6+$M$5*$J$7</f>
        <v>31.819155580249564</v>
      </c>
      <c r="V11" s="6">
        <f>$J$3+[23]FormattedData!O26*$J$4+$M$4*$J$5+[23]FormattedData!O26^2*$J$6+$M$5*$J$7</f>
        <v>31.239667495093371</v>
      </c>
      <c r="W11" s="5">
        <f t="shared" si="0"/>
        <v>32.541932189240917</v>
      </c>
      <c r="X11" s="4">
        <f t="shared" si="1"/>
        <v>0.54351672162937315</v>
      </c>
      <c r="Y11" s="3">
        <f t="shared" si="2"/>
        <v>30.076126322684424</v>
      </c>
      <c r="Z11" s="2">
        <f t="shared" si="3"/>
        <v>31.142874804877682</v>
      </c>
      <c r="AA11" s="3">
        <f t="shared" si="4"/>
        <v>31.819155580249564</v>
      </c>
      <c r="AB11" s="2">
        <f t="shared" si="5"/>
        <v>34.383997514969138</v>
      </c>
      <c r="AC11" s="2">
        <f t="shared" si="6"/>
        <v>35.453910288528334</v>
      </c>
      <c r="AD11" s="2">
        <f t="shared" si="7"/>
        <v>0.44062539102572579</v>
      </c>
      <c r="AE11" s="2">
        <f t="shared" si="8"/>
        <v>-1.4574514336432838</v>
      </c>
    </row>
    <row r="12" spans="1:35" x14ac:dyDescent="0.2">
      <c r="B12" s="1">
        <f>[23]FormattedData!A24</f>
        <v>103</v>
      </c>
      <c r="C12" s="1" t="str">
        <f>VLOOKUP($B12,[23]TrtCodes!$B$11:I67,2)</f>
        <v>FDH</v>
      </c>
      <c r="D12" s="1">
        <f>VLOOKUP($B12,[23]TrtCodes!$B$11:J67,3)</f>
        <v>5</v>
      </c>
      <c r="E12" s="1">
        <f>VLOOKUP($B12,[23]TrtCodes!$B$11:K67,4)</f>
        <v>1</v>
      </c>
      <c r="F12" s="1">
        <f>VLOOKUP($B12,[23]TrtCodes!$B$11:L67,5)</f>
        <v>3</v>
      </c>
      <c r="G12" s="1">
        <f>VLOOKUP($B12,[23]TrtCodes!$B$11:M67,6)</f>
        <v>2</v>
      </c>
      <c r="H12" s="1">
        <f>VLOOKUP($B12,[23]TrtCodes!$B$11:N67,7)</f>
        <v>1</v>
      </c>
      <c r="I12" s="1">
        <f>[23]FormattedData!B24</f>
        <v>1</v>
      </c>
      <c r="J12" s="4">
        <f>[23]FormattedData!C24</f>
        <v>13.202</v>
      </c>
      <c r="K12" s="6">
        <f>$J$3+[23]FormattedData!D24*$J$4+$M$4*$J$5+[23]FormattedData!D24^2*$J$6+$M$5*$J$7</f>
        <v>30.36758224104873</v>
      </c>
      <c r="L12" s="6">
        <f>$J$3+[23]FormattedData!E24*$J$4+$M$4*$J$5+[23]FormattedData!E24^2*$J$6+$M$5*$J$7</f>
        <v>30.949352827253197</v>
      </c>
      <c r="M12" s="6">
        <f>$J$3+[23]FormattedData!F24*$J$4+$M$4*$J$5+[23]FormattedData!F24^2*$J$6+$M$5*$J$7</f>
        <v>30.852496734230616</v>
      </c>
      <c r="N12" s="6">
        <f>$J$3+[23]FormattedData!G24*$J$4+$M$4*$J$5+[23]FormattedData!G24^2*$J$6+$M$5*$J$7</f>
        <v>30.949352827253197</v>
      </c>
      <c r="O12" s="6">
        <f>$J$3+[23]FormattedData!H24*$J$4+$M$4*$J$5+[23]FormattedData!H24^2*$J$6+$M$5*$J$7</f>
        <v>31.239667495093371</v>
      </c>
      <c r="P12" s="6">
        <f>$J$3+[23]FormattedData!I24*$J$4+$M$4*$J$5+[23]FormattedData!I24^2*$J$6+$M$5*$J$7</f>
        <v>31.046166651737856</v>
      </c>
      <c r="Q12" s="6">
        <f>$J$3+[23]FormattedData!J24*$J$4+$M$4*$J$5+[23]FormattedData!J24^2*$J$6+$M$5*$J$7</f>
        <v>31.336354513964228</v>
      </c>
      <c r="R12" s="6">
        <f>$J$3+[23]FormattedData!K24*$J$4+$M$4*$J$5+[23]FormattedData!K24^2*$J$6+$M$5*$J$7</f>
        <v>31.142938207684573</v>
      </c>
      <c r="S12" s="6">
        <f>$J$3+[23]FormattedData!L24*$J$4+$M$4*$J$5+[23]FormattedData!L24^2*$J$6+$M$5*$J$7</f>
        <v>30.852496734230616</v>
      </c>
      <c r="T12" s="6">
        <f>$J$3+[23]FormattedData!M24*$J$4+$M$4*$J$5+[23]FormattedData!M24^2*$J$6+$M$5*$J$7</f>
        <v>30.852496734230616</v>
      </c>
      <c r="U12" s="6">
        <f>$J$3+[23]FormattedData!N24*$J$4+$M$4*$J$5+[23]FormattedData!N24^2*$J$6+$M$5*$J$7</f>
        <v>30.561674843935279</v>
      </c>
      <c r="V12" s="6">
        <f>$J$3+[23]FormattedData!O24*$J$4+$M$4*$J$5+[23]FormattedData!O24^2*$J$6+$M$5*$J$7</f>
        <v>31.239667495093371</v>
      </c>
      <c r="W12" s="5">
        <f t="shared" si="0"/>
        <v>30.949187275479641</v>
      </c>
      <c r="X12" s="4">
        <f t="shared" si="1"/>
        <v>8.1746001082429395E-2</v>
      </c>
      <c r="Y12" s="3">
        <f t="shared" si="2"/>
        <v>30.36758224104873</v>
      </c>
      <c r="Z12" s="2">
        <f t="shared" si="3"/>
        <v>30.852496734230616</v>
      </c>
      <c r="AA12" s="3">
        <f t="shared" si="4"/>
        <v>30.949352827253197</v>
      </c>
      <c r="AB12" s="2">
        <f t="shared" si="5"/>
        <v>31.167120529536774</v>
      </c>
      <c r="AC12" s="2">
        <f t="shared" si="6"/>
        <v>31.336354513964228</v>
      </c>
      <c r="AD12" s="2">
        <f t="shared" si="7"/>
        <v>-0.68409960420169791</v>
      </c>
      <c r="AE12" s="2">
        <f t="shared" si="8"/>
        <v>0.26592350233307371</v>
      </c>
    </row>
    <row r="13" spans="1:35" x14ac:dyDescent="0.2">
      <c r="B13" s="1">
        <f>[23]FormattedData!A22</f>
        <v>104</v>
      </c>
      <c r="C13" s="1" t="str">
        <f>VLOOKUP($B13,[23]TrtCodes!$B$11:I65,2)</f>
        <v>NTL</v>
      </c>
      <c r="D13" s="1">
        <f>VLOOKUP($B13,[23]TrtCodes!$B$11:J65,3)</f>
        <v>10</v>
      </c>
      <c r="E13" s="1">
        <f>VLOOKUP($B13,[23]TrtCodes!$B$11:K65,4)</f>
        <v>2</v>
      </c>
      <c r="F13" s="1">
        <f>VLOOKUP($B13,[23]TrtCodes!$B$11:L65,5)</f>
        <v>2</v>
      </c>
      <c r="G13" s="1">
        <f>VLOOKUP($B13,[23]TrtCodes!$B$11:M65,6)</f>
        <v>1</v>
      </c>
      <c r="H13" s="1">
        <f>VLOOKUP($B13,[23]TrtCodes!$B$11:N65,7)</f>
        <v>1</v>
      </c>
      <c r="I13" s="1">
        <f>[23]FormattedData!B22</f>
        <v>1</v>
      </c>
      <c r="J13" s="4">
        <f>[23]FormattedData!C22</f>
        <v>13.186</v>
      </c>
      <c r="K13" s="6">
        <f>$J$3+[23]FormattedData!D22*$J$4+$M$4*$J$5+[23]FormattedData!D22^2*$J$6+$M$5*$J$7</f>
        <v>33.165376850303645</v>
      </c>
      <c r="L13" s="6">
        <f>$J$3+[23]FormattedData!E22*$J$4+$M$4*$J$5+[23]FormattedData!E22^2*$J$6+$M$5*$J$7</f>
        <v>31.336354513964228</v>
      </c>
      <c r="M13" s="6">
        <f>$J$3+[23]FormattedData!F22*$J$4+$M$4*$J$5+[23]FormattedData!F22^2*$J$6+$M$5*$J$7</f>
        <v>30.36758224104873</v>
      </c>
      <c r="N13" s="6">
        <f>$J$3+[23]FormattedData!G22*$J$4+$M$4*$J$5+[23]FormattedData!G22^2*$J$6+$M$5*$J$7</f>
        <v>31.046166651737856</v>
      </c>
      <c r="O13" s="6">
        <f>$J$3+[23]FormattedData!H22*$J$4+$M$4*$J$5+[23]FormattedData!H22^2*$J$6+$M$5*$J$7</f>
        <v>32.204635599595065</v>
      </c>
      <c r="P13" s="6">
        <f>$J$3+[23]FormattedData!I22*$J$4+$M$4*$J$5+[23]FormattedData!I22^2*$J$6+$M$5*$J$7</f>
        <v>32.204635599595065</v>
      </c>
      <c r="Q13" s="6">
        <f>$J$3+[23]FormattedData!J22*$J$4+$M$4*$J$5+[23]FormattedData!J22^2*$J$6+$M$5*$J$7</f>
        <v>31.142938207684573</v>
      </c>
      <c r="R13" s="6">
        <f>$J$3+[23]FormattedData!K22*$J$4+$M$4*$J$5+[23]FormattedData!K22^2*$J$6+$M$5*$J$7</f>
        <v>32.204635599595065</v>
      </c>
      <c r="S13" s="6">
        <f>$J$3+[23]FormattedData!L22*$J$4+$M$4*$J$5+[23]FormattedData!L22^2*$J$6+$M$5*$J$7</f>
        <v>32.011980126998175</v>
      </c>
      <c r="T13" s="6">
        <f>$J$3+[23]FormattedData!M22*$J$4+$M$4*$J$5+[23]FormattedData!M22^2*$J$6+$M$5*$J$7</f>
        <v>32.973566748465373</v>
      </c>
      <c r="U13" s="6">
        <f>$J$3+[23]FormattedData!N22*$J$4+$M$4*$J$5+[23]FormattedData!N22^2*$J$6+$M$5*$J$7</f>
        <v>31.819155580249564</v>
      </c>
      <c r="V13" s="6">
        <f>$J$3+[23]FormattedData!O22*$J$4+$M$4*$J$5+[23]FormattedData!O22^2*$J$6+$M$5*$J$7</f>
        <v>32.300899933086619</v>
      </c>
      <c r="W13" s="5">
        <f t="shared" si="0"/>
        <v>31.898160637693664</v>
      </c>
      <c r="X13" s="4">
        <f t="shared" si="1"/>
        <v>0.23322609940451641</v>
      </c>
      <c r="Y13" s="3">
        <f t="shared" si="2"/>
        <v>30.36758224104873</v>
      </c>
      <c r="Z13" s="2">
        <f t="shared" si="3"/>
        <v>31.288000437394313</v>
      </c>
      <c r="AA13" s="3">
        <f t="shared" si="4"/>
        <v>32.108307863296616</v>
      </c>
      <c r="AB13" s="2">
        <f t="shared" si="5"/>
        <v>32.228701682967952</v>
      </c>
      <c r="AC13" s="2">
        <f t="shared" si="6"/>
        <v>33.165376850303645</v>
      </c>
      <c r="AD13" s="2">
        <f t="shared" si="7"/>
        <v>-0.28564954092310846</v>
      </c>
      <c r="AE13" s="2">
        <f t="shared" si="8"/>
        <v>-0.1835778248476343</v>
      </c>
    </row>
    <row r="14" spans="1:35" x14ac:dyDescent="0.2">
      <c r="B14" s="1">
        <f>[23]FormattedData!A20</f>
        <v>105</v>
      </c>
      <c r="C14" s="1" t="str">
        <f>VLOOKUP($B14,[23]TrtCodes!$B$11:I63,2)</f>
        <v>NDL</v>
      </c>
      <c r="D14" s="1">
        <f>VLOOKUP($B14,[23]TrtCodes!$B$11:J63,3)</f>
        <v>12</v>
      </c>
      <c r="E14" s="1">
        <f>VLOOKUP($B14,[23]TrtCodes!$B$11:K63,4)</f>
        <v>2</v>
      </c>
      <c r="F14" s="1">
        <f>VLOOKUP($B14,[23]TrtCodes!$B$11:L63,5)</f>
        <v>3</v>
      </c>
      <c r="G14" s="1">
        <f>VLOOKUP($B14,[23]TrtCodes!$B$11:M63,6)</f>
        <v>1</v>
      </c>
      <c r="H14" s="1">
        <f>VLOOKUP($B14,[23]TrtCodes!$B$11:N63,7)</f>
        <v>2</v>
      </c>
      <c r="I14" s="1">
        <f>[23]FormattedData!B20</f>
        <v>1</v>
      </c>
      <c r="J14" s="4">
        <f>[23]FormattedData!C20</f>
        <v>13.167</v>
      </c>
      <c r="K14" s="6">
        <f>$J$3+[23]FormattedData!D20*$J$4+$M$4*$J$5+[23]FormattedData!D20^2*$J$6+$M$5*$J$7</f>
        <v>30.658657742571656</v>
      </c>
      <c r="L14" s="6">
        <f>$J$3+[23]FormattedData!E20*$J$4+$M$4*$J$5+[23]FormattedData!E20^2*$J$6+$M$5*$J$7</f>
        <v>30.755598372670104</v>
      </c>
      <c r="M14" s="6">
        <f>$J$3+[23]FormattedData!F20*$J$4+$M$4*$J$5+[23]FormattedData!F20^2*$J$6+$M$5*$J$7</f>
        <v>30.755598372670104</v>
      </c>
      <c r="N14" s="6">
        <f>$J$3+[23]FormattedData!G20*$J$4+$M$4*$J$5+[23]FormattedData!G20^2*$J$6+$M$5*$J$7</f>
        <v>31.142938207684573</v>
      </c>
      <c r="O14" s="6">
        <f>$J$3+[23]FormattedData!H20*$J$4+$M$4*$J$5+[23]FormattedData!H20^2*$J$6+$M$5*$J$7</f>
        <v>30.173320564010453</v>
      </c>
      <c r="P14" s="6">
        <f>$J$3+[23]FormattedData!I20*$J$4+$M$4*$J$5+[23]FormattedData!I20^2*$J$6+$M$5*$J$7</f>
        <v>30.755598372670104</v>
      </c>
      <c r="Q14" s="6">
        <f>$J$3+[23]FormattedData!J20*$J$4+$M$4*$J$5+[23]FormattedData!J20^2*$J$6+$M$5*$J$7</f>
        <v>31.046166651737856</v>
      </c>
      <c r="R14" s="6">
        <f>$J$3+[23]FormattedData!K20*$J$4+$M$4*$J$5+[23]FormattedData!K20^2*$J$6+$M$5*$J$7</f>
        <v>30.755598372670104</v>
      </c>
      <c r="S14" s="6">
        <f>$J$3+[23]FormattedData!L20*$J$4+$M$4*$J$5+[23]FormattedData!L20^2*$J$6+$M$5*$J$7</f>
        <v>32.300899933086619</v>
      </c>
      <c r="T14" s="6">
        <f>$J$3+[23]FormattedData!M20*$J$4+$M$4*$J$5+[23]FormattedData!M20^2*$J$6+$M$5*$J$7</f>
        <v>31.915588987892836</v>
      </c>
      <c r="U14" s="6">
        <f>$J$3+[23]FormattedData!N20*$J$4+$M$4*$J$5+[23]FormattedData!N20^2*$J$6+$M$5*$J$7</f>
        <v>31.915588987892836</v>
      </c>
      <c r="V14" s="6">
        <f>$J$3+[23]FormattedData!O20*$J$4+$M$4*$J$5+[23]FormattedData!O20^2*$J$6+$M$5*$J$7</f>
        <v>30.561674843935279</v>
      </c>
      <c r="W14" s="5">
        <f t="shared" si="0"/>
        <v>31.061435784124374</v>
      </c>
      <c r="X14" s="4">
        <f t="shared" si="1"/>
        <v>0.18621404351522927</v>
      </c>
      <c r="Y14" s="3">
        <f t="shared" si="2"/>
        <v>30.173320564010453</v>
      </c>
      <c r="Z14" s="2">
        <f t="shared" si="3"/>
        <v>30.731363215145493</v>
      </c>
      <c r="AA14" s="3">
        <f t="shared" si="4"/>
        <v>30.755598372670104</v>
      </c>
      <c r="AB14" s="2">
        <f t="shared" si="5"/>
        <v>31.336100902736639</v>
      </c>
      <c r="AC14" s="2">
        <f t="shared" si="6"/>
        <v>32.300899933086619</v>
      </c>
      <c r="AD14" s="2">
        <f t="shared" si="7"/>
        <v>0.87216256107093781</v>
      </c>
      <c r="AE14" s="2">
        <f t="shared" si="8"/>
        <v>-0.23780992149978664</v>
      </c>
    </row>
    <row r="15" spans="1:35" x14ac:dyDescent="0.2">
      <c r="B15" s="1">
        <f>[23]FormattedData!A18</f>
        <v>106</v>
      </c>
      <c r="C15" s="1" t="str">
        <f>VLOOKUP($B15,[23]TrtCodes!$B$11:I61,2)</f>
        <v>NTH</v>
      </c>
      <c r="D15" s="1">
        <f>VLOOKUP($B15,[23]TrtCodes!$B$11:J61,3)</f>
        <v>9</v>
      </c>
      <c r="E15" s="1">
        <f>VLOOKUP($B15,[23]TrtCodes!$B$11:K61,4)</f>
        <v>2</v>
      </c>
      <c r="F15" s="1">
        <f>VLOOKUP($B15,[23]TrtCodes!$B$11:L61,5)</f>
        <v>2</v>
      </c>
      <c r="G15" s="1">
        <f>VLOOKUP($B15,[23]TrtCodes!$B$11:M61,6)</f>
        <v>2</v>
      </c>
      <c r="H15" s="1">
        <f>VLOOKUP($B15,[23]TrtCodes!$B$11:N61,7)</f>
        <v>2</v>
      </c>
      <c r="I15" s="1">
        <f>[23]FormattedData!B18</f>
        <v>1</v>
      </c>
      <c r="J15" s="4">
        <f>[23]FormattedData!C18</f>
        <v>13.148999999999999</v>
      </c>
      <c r="K15" s="6">
        <f>$J$3+[23]FormattedData!D18*$J$4+$M$4*$J$5+[23]FormattedData!D18^2*$J$6+$M$5*$J$7</f>
        <v>30.852496734230616</v>
      </c>
      <c r="L15" s="6">
        <f>$J$3+[23]FormattedData!E18*$J$4+$M$4*$J$5+[23]FormattedData!E18^2*$J$6+$M$5*$J$7</f>
        <v>29.101859139837877</v>
      </c>
      <c r="M15" s="6">
        <f>$J$3+[23]FormattedData!F18*$J$4+$M$4*$J$5+[23]FormattedData!F18^2*$J$6+$M$5*$J$7</f>
        <v>29.394583114340119</v>
      </c>
      <c r="N15" s="6">
        <f>$J$3+[23]FormattedData!G18*$J$4+$M$4*$J$5+[23]FormattedData!G18^2*$J$6+$M$5*$J$7</f>
        <v>29.101859139837877</v>
      </c>
      <c r="O15" s="6">
        <f>$J$3+[23]FormattedData!H18*$J$4+$M$4*$J$5+[23]FormattedData!H18^2*$J$6+$M$5*$J$7</f>
        <v>29.0041999445946</v>
      </c>
      <c r="P15" s="6">
        <f>$J$3+[23]FormattedData!I18*$J$4+$M$4*$J$5+[23]FormattedData!I18^2*$J$6+$M$5*$J$7</f>
        <v>29.492073235431665</v>
      </c>
      <c r="Q15" s="6">
        <f>$J$3+[23]FormattedData!J18*$J$4+$M$4*$J$5+[23]FormattedData!J18^2*$J$6+$M$5*$J$7</f>
        <v>29.58952108798529</v>
      </c>
      <c r="R15" s="6">
        <f>$J$3+[23]FormattedData!K18*$J$4+$M$4*$J$5+[23]FormattedData!K18^2*$J$6+$M$5*$J$7</f>
        <v>29.686926672000975</v>
      </c>
      <c r="S15" s="6">
        <f>$J$3+[23]FormattedData!L18*$J$4+$M$4*$J$5+[23]FormattedData!L18^2*$J$6+$M$5*$J$7</f>
        <v>29.881611034418562</v>
      </c>
      <c r="T15" s="6">
        <f>$J$3+[23]FormattedData!M18*$J$4+$M$4*$J$5+[23]FormattedData!M18^2*$J$6+$M$5*$J$7</f>
        <v>29.978889812820455</v>
      </c>
      <c r="U15" s="6">
        <f>$J$3+[23]FormattedData!N18*$J$4+$M$4*$J$5+[23]FormattedData!N18^2*$J$6+$M$5*$J$7</f>
        <v>29.881611034418562</v>
      </c>
      <c r="V15" s="6">
        <f>$J$3+[23]FormattedData!O18*$J$4+$M$4*$J$5+[23]FormattedData!O18^2*$J$6+$M$5*$J$7</f>
        <v>29.978889812820455</v>
      </c>
      <c r="W15" s="5">
        <f t="shared" si="0"/>
        <v>29.662043396894756</v>
      </c>
      <c r="X15" s="4">
        <f t="shared" si="1"/>
        <v>0.14773688421722131</v>
      </c>
      <c r="Y15" s="3">
        <f t="shared" si="2"/>
        <v>29.0041999445946</v>
      </c>
      <c r="Z15" s="2">
        <f t="shared" si="3"/>
        <v>29.321402120714559</v>
      </c>
      <c r="AA15" s="3">
        <f t="shared" si="4"/>
        <v>29.638223879993134</v>
      </c>
      <c r="AB15" s="2">
        <f t="shared" si="5"/>
        <v>29.905930729019033</v>
      </c>
      <c r="AC15" s="2">
        <f t="shared" si="6"/>
        <v>30.852496734230616</v>
      </c>
      <c r="AD15" s="2">
        <f t="shared" si="7"/>
        <v>0.90436060262147222</v>
      </c>
      <c r="AE15" s="2">
        <f t="shared" si="8"/>
        <v>1.5333708587821286</v>
      </c>
    </row>
    <row r="16" spans="1:35" x14ac:dyDescent="0.2">
      <c r="B16" s="1">
        <f>[23]FormattedData!A16</f>
        <v>107</v>
      </c>
      <c r="C16" s="1" t="str">
        <f>VLOOKUP($B16,[23]TrtCodes!$B$11:I59,2)</f>
        <v>NTL</v>
      </c>
      <c r="D16" s="1">
        <f>VLOOKUP($B16,[23]TrtCodes!$B$11:J59,3)</f>
        <v>10</v>
      </c>
      <c r="E16" s="1">
        <f>VLOOKUP($B16,[23]TrtCodes!$B$11:K59,4)</f>
        <v>2</v>
      </c>
      <c r="F16" s="1">
        <f>VLOOKUP($B16,[23]TrtCodes!$B$11:L59,5)</f>
        <v>2</v>
      </c>
      <c r="G16" s="1">
        <f>VLOOKUP($B16,[23]TrtCodes!$B$11:M59,6)</f>
        <v>1</v>
      </c>
      <c r="H16" s="1">
        <f>VLOOKUP($B16,[23]TrtCodes!$B$11:N59,7)</f>
        <v>2</v>
      </c>
      <c r="I16" s="1">
        <f>[23]FormattedData!B16</f>
        <v>1</v>
      </c>
      <c r="J16" s="4">
        <f>[23]FormattedData!C16</f>
        <v>13.132</v>
      </c>
      <c r="K16" s="6">
        <f>$J$3+[23]FormattedData!D16*$J$4+$M$4*$J$5+[23]FormattedData!D16^2*$J$6+$M$5*$J$7</f>
        <v>30.561674843935279</v>
      </c>
      <c r="L16" s="6">
        <f>$J$3+[23]FormattedData!E16*$J$4+$M$4*$J$5+[23]FormattedData!E16^2*$J$6+$M$5*$J$7</f>
        <v>29.19947606654322</v>
      </c>
      <c r="M16" s="6">
        <f>$J$3+[23]FormattedData!F16*$J$4+$M$4*$J$5+[23]FormattedData!F16^2*$J$6+$M$5*$J$7</f>
        <v>29.78428998747874</v>
      </c>
      <c r="N16" s="6">
        <f>$J$3+[23]FormattedData!G16*$J$4+$M$4*$J$5+[23]FormattedData!G16^2*$J$6+$M$5*$J$7</f>
        <v>28.319402058829596</v>
      </c>
      <c r="O16" s="6">
        <f>$J$3+[23]FormattedData!H16*$J$4+$M$4*$J$5+[23]FormattedData!H16^2*$J$6+$M$5*$J$7</f>
        <v>28.025283222575627</v>
      </c>
      <c r="P16" s="6">
        <f>$J$3+[23]FormattedData!I16*$J$4+$M$4*$J$5+[23]FormattedData!I16^2*$J$6+$M$5*$J$7</f>
        <v>28.613140478242183</v>
      </c>
      <c r="Q16" s="6">
        <f>$J$3+[23]FormattedData!J16*$J$4+$M$4*$J$5+[23]FormattedData!J16^2*$J$6+$M$5*$J$7</f>
        <v>30.464649676760967</v>
      </c>
      <c r="R16" s="6">
        <f>$J$3+[23]FormattedData!K16*$J$4+$M$4*$J$5+[23]FormattedData!K16^2*$J$6+$M$5*$J$7</f>
        <v>28.319402058829596</v>
      </c>
      <c r="S16" s="6">
        <f>$J$3+[23]FormattedData!L16*$J$4+$M$4*$J$5+[23]FormattedData!L16^2*$J$6+$M$5*$J$7</f>
        <v>30.949352827253197</v>
      </c>
      <c r="T16" s="6">
        <f>$J$3+[23]FormattedData!M16*$J$4+$M$4*$J$5+[23]FormattedData!M16^2*$J$6+$M$5*$J$7</f>
        <v>28.41735713383839</v>
      </c>
      <c r="U16" s="6">
        <f>$J$3+[23]FormattedData!N16*$J$4+$M$4*$J$5+[23]FormattedData!N16^2*$J$6+$M$5*$J$7</f>
        <v>29.78428998747874</v>
      </c>
      <c r="V16" s="6">
        <f>$J$3+[23]FormattedData!O16*$J$4+$M$4*$J$5+[23]FormattedData!O16^2*$J$6+$M$5*$J$7</f>
        <v>28.515269940309253</v>
      </c>
      <c r="W16" s="5">
        <f t="shared" si="0"/>
        <v>29.246132356839563</v>
      </c>
      <c r="X16" s="4">
        <f t="shared" si="1"/>
        <v>0.29551749941842803</v>
      </c>
      <c r="Y16" s="3">
        <f t="shared" si="2"/>
        <v>28.025283222575627</v>
      </c>
      <c r="Z16" s="2">
        <f t="shared" si="3"/>
        <v>28.392868365086191</v>
      </c>
      <c r="AA16" s="3">
        <f t="shared" si="4"/>
        <v>28.9063082723927</v>
      </c>
      <c r="AB16" s="2">
        <f t="shared" si="5"/>
        <v>29.954379909799297</v>
      </c>
      <c r="AC16" s="2">
        <f t="shared" si="6"/>
        <v>30.949352827253197</v>
      </c>
      <c r="AD16" s="2">
        <f t="shared" si="7"/>
        <v>0.47933797042402226</v>
      </c>
      <c r="AE16" s="2">
        <f t="shared" si="8"/>
        <v>-1.393656552833876</v>
      </c>
    </row>
    <row r="17" spans="2:31" x14ac:dyDescent="0.2">
      <c r="B17" s="1">
        <f>[23]FormattedData!A14</f>
        <v>108</v>
      </c>
      <c r="C17" s="1" t="str">
        <f>VLOOKUP($B17,[23]TrtCodes!$B$11:I57,2)</f>
        <v>FTH</v>
      </c>
      <c r="D17" s="1">
        <f>VLOOKUP($B17,[23]TrtCodes!$B$11:J57,3)</f>
        <v>3</v>
      </c>
      <c r="E17" s="1">
        <f>VLOOKUP($B17,[23]TrtCodes!$B$11:K57,4)</f>
        <v>1</v>
      </c>
      <c r="F17" s="1">
        <f>VLOOKUP($B17,[23]TrtCodes!$B$11:L57,5)</f>
        <v>2</v>
      </c>
      <c r="G17" s="1">
        <f>VLOOKUP($B17,[23]TrtCodes!$B$11:M57,6)</f>
        <v>2</v>
      </c>
      <c r="H17" s="1">
        <f>VLOOKUP($B17,[23]TrtCodes!$B$11:N57,7)</f>
        <v>2</v>
      </c>
      <c r="I17" s="1">
        <f>[23]FormattedData!B14</f>
        <v>1</v>
      </c>
      <c r="J17" s="4">
        <f>[23]FormattedData!C14</f>
        <v>13.115</v>
      </c>
      <c r="K17" s="6">
        <f>$J$3+[23]FormattedData!D14*$J$4+$M$4*$J$5+[23]FormattedData!D14^2*$J$6+$M$5*$J$7</f>
        <v>30.561674843935279</v>
      </c>
      <c r="L17" s="6">
        <f>$J$3+[23]FormattedData!E14*$J$4+$M$4*$J$5+[23]FormattedData!E14^2*$J$6+$M$5*$J$7</f>
        <v>29.101859139837877</v>
      </c>
      <c r="M17" s="6">
        <f>$J$3+[23]FormattedData!F14*$J$4+$M$4*$J$5+[23]FormattedData!F14^2*$J$6+$M$5*$J$7</f>
        <v>28.808754748494255</v>
      </c>
      <c r="N17" s="6">
        <f>$J$3+[23]FormattedData!G14*$J$4+$M$4*$J$5+[23]FormattedData!G14^2*$J$6+$M$5*$J$7</f>
        <v>28.906498480813394</v>
      </c>
      <c r="O17" s="6">
        <f>$J$3+[23]FormattedData!H14*$J$4+$M$4*$J$5+[23]FormattedData!H14^2*$J$6+$M$5*$J$7</f>
        <v>28.710968747637185</v>
      </c>
      <c r="P17" s="6">
        <f>$J$3+[23]FormattedData!I14*$J$4+$M$4*$J$5+[23]FormattedData!I14^2*$J$6+$M$5*$J$7</f>
        <v>28.906498480813394</v>
      </c>
      <c r="Q17" s="6">
        <f>$J$3+[23]FormattedData!J14*$J$4+$M$4*$J$5+[23]FormattedData!J14^2*$J$6+$M$5*$J$7</f>
        <v>29.297050724710633</v>
      </c>
      <c r="R17" s="6">
        <f>$J$3+[23]FormattedData!K14*$J$4+$M$4*$J$5+[23]FormattedData!K14^2*$J$6+$M$5*$J$7</f>
        <v>28.906498480813394</v>
      </c>
      <c r="S17" s="6">
        <f>$J$3+[23]FormattedData!L14*$J$4+$M$4*$J$5+[23]FormattedData!L14^2*$J$6+$M$5*$J$7</f>
        <v>29.101859139837877</v>
      </c>
      <c r="T17" s="6">
        <f>$J$3+[23]FormattedData!M14*$J$4+$M$4*$J$5+[23]FormattedData!M14^2*$J$6+$M$5*$J$7</f>
        <v>28.221404715282869</v>
      </c>
      <c r="U17" s="6">
        <f>$J$3+[23]FormattedData!N14*$J$4+$M$4*$J$5+[23]FormattedData!N14^2*$J$6+$M$5*$J$7</f>
        <v>29.58952108798529</v>
      </c>
      <c r="V17" s="6">
        <f>$J$3+[23]FormattedData!O14*$J$4+$M$4*$J$5+[23]FormattedData!O14^2*$J$6+$M$5*$J$7</f>
        <v>29.686926672000975</v>
      </c>
      <c r="W17" s="5">
        <f t="shared" si="0"/>
        <v>29.149959605180204</v>
      </c>
      <c r="X17" s="4">
        <f t="shared" si="1"/>
        <v>0.17078071218415433</v>
      </c>
      <c r="Y17" s="3">
        <f t="shared" si="2"/>
        <v>28.221404715282869</v>
      </c>
      <c r="Z17" s="2">
        <f t="shared" si="3"/>
        <v>28.882062547733611</v>
      </c>
      <c r="AA17" s="3">
        <f t="shared" si="4"/>
        <v>29.004178810325634</v>
      </c>
      <c r="AB17" s="2">
        <f t="shared" si="5"/>
        <v>29.370168315529298</v>
      </c>
      <c r="AC17" s="2">
        <f t="shared" si="6"/>
        <v>30.561674843935279</v>
      </c>
      <c r="AD17" s="2">
        <f t="shared" si="7"/>
        <v>1.1000703952313295</v>
      </c>
      <c r="AE17" s="2">
        <f t="shared" si="8"/>
        <v>2.2666204061911781</v>
      </c>
    </row>
    <row r="18" spans="2:31" x14ac:dyDescent="0.2">
      <c r="B18" s="1">
        <f>[23]FormattedData!A30</f>
        <v>201</v>
      </c>
      <c r="C18" s="1" t="str">
        <f>VLOOKUP($B18,[23]TrtCodes!$B$11:I73,2)</f>
        <v>NDL</v>
      </c>
      <c r="D18" s="1">
        <f>VLOOKUP($B18,[23]TrtCodes!$B$11:J73,3)</f>
        <v>12</v>
      </c>
      <c r="E18" s="1">
        <f>VLOOKUP($B18,[23]TrtCodes!$B$11:K73,4)</f>
        <v>2</v>
      </c>
      <c r="F18" s="1">
        <f>VLOOKUP($B18,[23]TrtCodes!$B$11:L73,5)</f>
        <v>3</v>
      </c>
      <c r="G18" s="1">
        <f>VLOOKUP($B18,[23]TrtCodes!$B$11:M73,6)</f>
        <v>1</v>
      </c>
      <c r="H18" s="1">
        <f>VLOOKUP($B18,[23]TrtCodes!$B$11:N73,7)</f>
        <v>1</v>
      </c>
      <c r="I18" s="1">
        <f>[23]FormattedData!B30</f>
        <v>1</v>
      </c>
      <c r="J18" s="4">
        <f>[23]FormattedData!C30</f>
        <v>13.257999999999999</v>
      </c>
      <c r="K18" s="6">
        <f>$J$3+[23]FormattedData!D30*$J$4+$M$4*$J$5+[23]FormattedData!D30^2*$J$6+$M$5*$J$7</f>
        <v>29.881611034418562</v>
      </c>
      <c r="L18" s="6">
        <f>$J$3+[23]FormattedData!E30*$J$4+$M$4*$J$5+[23]FormattedData!E30^2*$J$6+$M$5*$J$7</f>
        <v>29.78428998747874</v>
      </c>
      <c r="M18" s="6">
        <f>$J$3+[23]FormattedData!F30*$J$4+$M$4*$J$5+[23]FormattedData!F30^2*$J$6+$M$5*$J$7</f>
        <v>29.78428998747874</v>
      </c>
      <c r="N18" s="6">
        <f>$J$3+[23]FormattedData!G30*$J$4+$M$4*$J$5+[23]FormattedData!G30^2*$J$6+$M$5*$J$7</f>
        <v>29.297050724710633</v>
      </c>
      <c r="O18" s="6">
        <f>$J$3+[23]FormattedData!H30*$J$4+$M$4*$J$5+[23]FormattedData!H30^2*$J$6+$M$5*$J$7</f>
        <v>29.686926672000975</v>
      </c>
      <c r="P18" s="6">
        <f>$J$3+[23]FormattedData!I30*$J$4+$M$4*$J$5+[23]FormattedData!I30^2*$J$6+$M$5*$J$7</f>
        <v>29.881611034418562</v>
      </c>
      <c r="Q18" s="6">
        <f>$J$3+[23]FormattedData!J30*$J$4+$M$4*$J$5+[23]FormattedData!J30^2*$J$6+$M$5*$J$7</f>
        <v>30.561674843935279</v>
      </c>
      <c r="R18" s="6">
        <f>$J$3+[23]FormattedData!K30*$J$4+$M$4*$J$5+[23]FormattedData!K30^2*$J$6+$M$5*$J$7</f>
        <v>30.270472536798561</v>
      </c>
      <c r="S18" s="6">
        <f>$J$3+[23]FormattedData!L30*$J$4+$M$4*$J$5+[23]FormattedData!L30^2*$J$6+$M$5*$J$7</f>
        <v>29.492073235431665</v>
      </c>
      <c r="T18" s="6">
        <f>$J$3+[23]FormattedData!M30*$J$4+$M$4*$J$5+[23]FormattedData!M30^2*$J$6+$M$5*$J$7</f>
        <v>29.686926672000975</v>
      </c>
      <c r="U18" s="6">
        <f>$J$3+[23]FormattedData!N30*$J$4+$M$4*$J$5+[23]FormattedData!N30^2*$J$6+$M$5*$J$7</f>
        <v>29.492073235431665</v>
      </c>
      <c r="V18" s="6">
        <f>$J$3+[23]FormattedData!O30*$J$4+$M$4*$J$5+[23]FormattedData!O30^2*$J$6+$M$5*$J$7</f>
        <v>29.19947606654322</v>
      </c>
      <c r="W18" s="5">
        <f t="shared" si="0"/>
        <v>29.751539669220637</v>
      </c>
      <c r="X18" s="4">
        <f t="shared" si="1"/>
        <v>0.11064283140221366</v>
      </c>
      <c r="Y18" s="3">
        <f t="shared" si="2"/>
        <v>29.19947606654322</v>
      </c>
      <c r="Z18" s="2">
        <f t="shared" si="3"/>
        <v>29.492073235431665</v>
      </c>
      <c r="AA18" s="3">
        <f t="shared" si="4"/>
        <v>29.735608329739858</v>
      </c>
      <c r="AB18" s="2">
        <f t="shared" si="5"/>
        <v>29.881611034418562</v>
      </c>
      <c r="AC18" s="2">
        <f t="shared" si="6"/>
        <v>30.561674843935279</v>
      </c>
      <c r="AD18" s="2">
        <f t="shared" si="7"/>
        <v>0.73299032567779565</v>
      </c>
      <c r="AE18" s="2">
        <f t="shared" si="8"/>
        <v>0.70193512788651269</v>
      </c>
    </row>
    <row r="19" spans="2:31" x14ac:dyDescent="0.2">
      <c r="B19" s="1">
        <f>[23]FormattedData!A32</f>
        <v>202</v>
      </c>
      <c r="C19" s="1" t="str">
        <f>VLOOKUP($B19,[23]TrtCodes!$B$11:I75,2)</f>
        <v>NTH</v>
      </c>
      <c r="D19" s="1">
        <f>VLOOKUP($B19,[23]TrtCodes!$B$11:J75,3)</f>
        <v>9</v>
      </c>
      <c r="E19" s="1">
        <f>VLOOKUP($B19,[23]TrtCodes!$B$11:K75,4)</f>
        <v>2</v>
      </c>
      <c r="F19" s="1">
        <f>VLOOKUP($B19,[23]TrtCodes!$B$11:L75,5)</f>
        <v>2</v>
      </c>
      <c r="G19" s="1">
        <f>VLOOKUP($B19,[23]TrtCodes!$B$11:M75,6)</f>
        <v>2</v>
      </c>
      <c r="H19" s="1">
        <f>VLOOKUP($B19,[23]TrtCodes!$B$11:N75,7)</f>
        <v>1</v>
      </c>
      <c r="I19" s="1">
        <f>[23]FormattedData!B32</f>
        <v>1</v>
      </c>
      <c r="J19" s="4">
        <f>[23]FormattedData!C32</f>
        <v>13.273999999999999</v>
      </c>
      <c r="K19" s="6">
        <f>$J$3+[23]FormattedData!D32*$J$4+$M$4*$J$5+[23]FormattedData!D32^2*$J$6+$M$5*$J$7</f>
        <v>31.626161959349218</v>
      </c>
      <c r="L19" s="6">
        <f>$J$3+[23]FormattedData!E32*$J$4+$M$4*$J$5+[23]FormattedData!E32^2*$J$6+$M$5*$J$7</f>
        <v>30.561674843935279</v>
      </c>
      <c r="M19" s="6">
        <f>$J$3+[23]FormattedData!F32*$J$4+$M$4*$J$5+[23]FormattedData!F32^2*$J$6+$M$5*$J$7</f>
        <v>29.58952108798529</v>
      </c>
      <c r="N19" s="6">
        <f>$J$3+[23]FormattedData!G32*$J$4+$M$4*$J$5+[23]FormattedData!G32^2*$J$6+$M$5*$J$7</f>
        <v>30.949352827253197</v>
      </c>
      <c r="O19" s="6">
        <f>$J$3+[23]FormattedData!H32*$J$4+$M$4*$J$5+[23]FormattedData!H32^2*$J$6+$M$5*$J$7</f>
        <v>29.0041999445946</v>
      </c>
      <c r="P19" s="6">
        <f>$J$3+[23]FormattedData!I32*$J$4+$M$4*$J$5+[23]FormattedData!I32^2*$J$6+$M$5*$J$7</f>
        <v>29.978889812820455</v>
      </c>
      <c r="Q19" s="6">
        <f>$J$3+[23]FormattedData!J32*$J$4+$M$4*$J$5+[23]FormattedData!J32^2*$J$6+$M$5*$J$7</f>
        <v>29.686926672000975</v>
      </c>
      <c r="R19" s="6">
        <f>$J$3+[23]FormattedData!K32*$J$4+$M$4*$J$5+[23]FormattedData!K32^2*$J$6+$M$5*$J$7</f>
        <v>31.046166651737856</v>
      </c>
      <c r="S19" s="6">
        <f>$J$3+[23]FormattedData!L32*$J$4+$M$4*$J$5+[23]FormattedData!L32^2*$J$6+$M$5*$J$7</f>
        <v>30.173320564010453</v>
      </c>
      <c r="T19" s="6">
        <f>$J$3+[23]FormattedData!M32*$J$4+$M$4*$J$5+[23]FormattedData!M32^2*$J$6+$M$5*$J$7</f>
        <v>30.076126322684424</v>
      </c>
      <c r="U19" s="6">
        <f>$J$3+[23]FormattedData!N32*$J$4+$M$4*$J$5+[23]FormattedData!N32^2*$J$6+$M$5*$J$7</f>
        <v>28.613140478242183</v>
      </c>
      <c r="V19" s="6">
        <f>$J$3+[23]FormattedData!O32*$J$4+$M$4*$J$5+[23]FormattedData!O32^2*$J$6+$M$5*$J$7</f>
        <v>29.0041999445946</v>
      </c>
      <c r="W19" s="5">
        <f t="shared" si="0"/>
        <v>30.025806759100707</v>
      </c>
      <c r="X19" s="4">
        <f t="shared" si="1"/>
        <v>0.26338456287732137</v>
      </c>
      <c r="Y19" s="3">
        <f t="shared" si="2"/>
        <v>28.613140478242183</v>
      </c>
      <c r="Z19" s="2">
        <f t="shared" si="3"/>
        <v>29.443190802137618</v>
      </c>
      <c r="AA19" s="3">
        <f t="shared" si="4"/>
        <v>30.027508067752439</v>
      </c>
      <c r="AB19" s="2">
        <f t="shared" si="5"/>
        <v>30.658594339764758</v>
      </c>
      <c r="AC19" s="2">
        <f t="shared" si="6"/>
        <v>31.626161959349218</v>
      </c>
      <c r="AD19" s="2">
        <f t="shared" si="7"/>
        <v>0.14827241886088777</v>
      </c>
      <c r="AE19" s="2">
        <f t="shared" si="8"/>
        <v>-0.69886037957511338</v>
      </c>
    </row>
    <row r="20" spans="2:31" x14ac:dyDescent="0.2">
      <c r="B20" s="1">
        <f>[23]FormattedData!A34</f>
        <v>203</v>
      </c>
      <c r="C20" s="1" t="str">
        <f>VLOOKUP($B20,[23]TrtCodes!$B$11:I77,2)</f>
        <v>FTH</v>
      </c>
      <c r="D20" s="1">
        <f>VLOOKUP($B20,[23]TrtCodes!$B$11:J77,3)</f>
        <v>3</v>
      </c>
      <c r="E20" s="1">
        <f>VLOOKUP($B20,[23]TrtCodes!$B$11:K77,4)</f>
        <v>1</v>
      </c>
      <c r="F20" s="1">
        <f>VLOOKUP($B20,[23]TrtCodes!$B$11:L77,5)</f>
        <v>2</v>
      </c>
      <c r="G20" s="1">
        <f>VLOOKUP($B20,[23]TrtCodes!$B$11:M77,6)</f>
        <v>2</v>
      </c>
      <c r="H20" s="1">
        <f>VLOOKUP($B20,[23]TrtCodes!$B$11:N77,7)</f>
        <v>1</v>
      </c>
      <c r="I20" s="1">
        <f>[23]FormattedData!B34</f>
        <v>1</v>
      </c>
      <c r="J20" s="4">
        <f>[23]FormattedData!C34</f>
        <v>13.29</v>
      </c>
      <c r="K20" s="6">
        <f>$J$3+[23]FormattedData!D34*$J$4+$M$4*$J$5+[23]FormattedData!D34^2*$J$6+$M$5*$J$7</f>
        <v>30.076126322684424</v>
      </c>
      <c r="L20" s="6">
        <f>$J$3+[23]FormattedData!E34*$J$4+$M$4*$J$5+[23]FormattedData!E34^2*$J$6+$M$5*$J$7</f>
        <v>29.881611034418562</v>
      </c>
      <c r="M20" s="6">
        <f>$J$3+[23]FormattedData!F34*$J$4+$M$4*$J$5+[23]FormattedData!F34^2*$J$6+$M$5*$J$7</f>
        <v>31.915588987892836</v>
      </c>
      <c r="N20" s="6">
        <f>$J$3+[23]FormattedData!G34*$J$4+$M$4*$J$5+[23]FormattedData!G34^2*$J$6+$M$5*$J$7</f>
        <v>29.978889812820455</v>
      </c>
      <c r="O20" s="6">
        <f>$J$3+[23]FormattedData!H34*$J$4+$M$4*$J$5+[23]FormattedData!H34^2*$J$6+$M$5*$J$7</f>
        <v>30.755598372670104</v>
      </c>
      <c r="P20" s="6">
        <f>$J$3+[23]FormattedData!I34*$J$4+$M$4*$J$5+[23]FormattedData!I34^2*$J$6+$M$5*$J$7</f>
        <v>30.36758224104873</v>
      </c>
      <c r="Q20" s="6">
        <f>$J$3+[23]FormattedData!J34*$J$4+$M$4*$J$5+[23]FormattedData!J34^2*$J$6+$M$5*$J$7</f>
        <v>33.261218498415886</v>
      </c>
      <c r="R20" s="6">
        <f>$J$3+[23]FormattedData!K34*$J$4+$M$4*$J$5+[23]FormattedData!K34^2*$J$6+$M$5*$J$7</f>
        <v>31.142938207684573</v>
      </c>
      <c r="S20" s="6">
        <f>$J$3+[23]FormattedData!L34*$J$4+$M$4*$J$5+[23]FormattedData!L34^2*$J$6+$M$5*$J$7</f>
        <v>33.739792710908105</v>
      </c>
      <c r="T20" s="6">
        <f>$J$3+[23]FormattedData!M34*$J$4+$M$4*$J$5+[23]FormattedData!M34^2*$J$6+$M$5*$J$7</f>
        <v>32.204635599595065</v>
      </c>
      <c r="U20" s="6">
        <f>$J$3+[23]FormattedData!N34*$J$4+$M$4*$J$5+[23]FormattedData!N34^2*$J$6+$M$5*$J$7</f>
        <v>31.626161959349218</v>
      </c>
      <c r="V20" s="6">
        <f>$J$3+[23]FormattedData!O34*$J$4+$M$4*$J$5+[23]FormattedData!O34^2*$J$6+$M$5*$J$7</f>
        <v>30.949352827253197</v>
      </c>
      <c r="W20" s="5">
        <f t="shared" si="0"/>
        <v>31.324958047895095</v>
      </c>
      <c r="X20" s="4">
        <f t="shared" si="1"/>
        <v>0.36580766423841804</v>
      </c>
      <c r="Y20" s="3">
        <f t="shared" si="2"/>
        <v>29.881611034418562</v>
      </c>
      <c r="Z20" s="2">
        <f t="shared" si="3"/>
        <v>30.294718261457653</v>
      </c>
      <c r="AA20" s="3">
        <f t="shared" si="4"/>
        <v>31.046145517468887</v>
      </c>
      <c r="AB20" s="2">
        <f t="shared" si="5"/>
        <v>31.987850640818394</v>
      </c>
      <c r="AC20" s="2">
        <f t="shared" si="6"/>
        <v>33.739792710908105</v>
      </c>
      <c r="AD20" s="2">
        <f t="shared" si="7"/>
        <v>0.73666133530323308</v>
      </c>
      <c r="AE20" s="2">
        <f t="shared" si="8"/>
        <v>-0.37822676424386525</v>
      </c>
    </row>
    <row r="21" spans="2:31" x14ac:dyDescent="0.2">
      <c r="B21" s="1">
        <f>[23]FormattedData!A36</f>
        <v>204</v>
      </c>
      <c r="C21" s="1" t="str">
        <f>VLOOKUP($B21,[23]TrtCodes!$B$11:I79,2)</f>
        <v>NDH</v>
      </c>
      <c r="D21" s="1">
        <f>VLOOKUP($B21,[23]TrtCodes!$B$11:J79,3)</f>
        <v>11</v>
      </c>
      <c r="E21" s="1">
        <f>VLOOKUP($B21,[23]TrtCodes!$B$11:K79,4)</f>
        <v>2</v>
      </c>
      <c r="F21" s="1">
        <f>VLOOKUP($B21,[23]TrtCodes!$B$11:L79,5)</f>
        <v>3</v>
      </c>
      <c r="G21" s="1">
        <f>VLOOKUP($B21,[23]TrtCodes!$B$11:M79,6)</f>
        <v>2</v>
      </c>
      <c r="H21" s="1">
        <f>VLOOKUP($B21,[23]TrtCodes!$B$11:N79,7)</f>
        <v>1</v>
      </c>
      <c r="I21" s="1">
        <f>[23]FormattedData!B36</f>
        <v>1</v>
      </c>
      <c r="J21" s="4">
        <f>[23]FormattedData!C36</f>
        <v>13.305999999999999</v>
      </c>
      <c r="K21" s="6">
        <f>$J$3+[23]FormattedData!D36*$J$4+$M$4*$J$5+[23]FormattedData!D36^2*$J$6+$M$5*$J$7</f>
        <v>28.808754748494255</v>
      </c>
      <c r="L21" s="6">
        <f>$J$3+[23]FormattedData!E36*$J$4+$M$4*$J$5+[23]FormattedData!E36^2*$J$6+$M$5*$J$7</f>
        <v>29.101859139837877</v>
      </c>
      <c r="M21" s="6">
        <f>$J$3+[23]FormattedData!F36*$J$4+$M$4*$J$5+[23]FormattedData!F36^2*$J$6+$M$5*$J$7</f>
        <v>29.101859139837877</v>
      </c>
      <c r="N21" s="6">
        <f>$J$3+[23]FormattedData!G36*$J$4+$M$4*$J$5+[23]FormattedData!G36^2*$J$6+$M$5*$J$7</f>
        <v>29.101859139837877</v>
      </c>
      <c r="O21" s="6">
        <f>$J$3+[23]FormattedData!H36*$J$4+$M$4*$J$5+[23]FormattedData!H36^2*$J$6+$M$5*$J$7</f>
        <v>29.297050724710633</v>
      </c>
      <c r="P21" s="6">
        <f>$J$3+[23]FormattedData!I36*$J$4+$M$4*$J$5+[23]FormattedData!I36^2*$J$6+$M$5*$J$7</f>
        <v>28.906498480813394</v>
      </c>
      <c r="Q21" s="6">
        <f>$J$3+[23]FormattedData!J36*$J$4+$M$4*$J$5+[23]FormattedData!J36^2*$J$6+$M$5*$J$7</f>
        <v>29.19947606654322</v>
      </c>
      <c r="R21" s="6">
        <f>$J$3+[23]FormattedData!K36*$J$4+$M$4*$J$5+[23]FormattedData!K36^2*$J$6+$M$5*$J$7</f>
        <v>29.101859139837877</v>
      </c>
      <c r="S21" s="6">
        <f>$J$3+[23]FormattedData!L36*$J$4+$M$4*$J$5+[23]FormattedData!L36^2*$J$6+$M$5*$J$7</f>
        <v>29.101859139837877</v>
      </c>
      <c r="T21" s="6">
        <f>$J$3+[23]FormattedData!M36*$J$4+$M$4*$J$5+[23]FormattedData!M36^2*$J$6+$M$5*$J$7</f>
        <v>30.173320564010453</v>
      </c>
      <c r="U21" s="6">
        <f>$J$3+[23]FormattedData!N36*$J$4+$M$4*$J$5+[23]FormattedData!N36^2*$J$6+$M$5*$J$7</f>
        <v>28.906498480813394</v>
      </c>
      <c r="V21" s="6">
        <f>$J$3+[23]FormattedData!O36*$J$4+$M$4*$J$5+[23]FormattedData!O36^2*$J$6+$M$5*$J$7</f>
        <v>29.394583114340119</v>
      </c>
      <c r="W21" s="5">
        <f t="shared" si="0"/>
        <v>29.182956489909568</v>
      </c>
      <c r="X21" s="4">
        <f t="shared" si="1"/>
        <v>0.10167782318590962</v>
      </c>
      <c r="Y21" s="3">
        <f t="shared" si="2"/>
        <v>28.808754748494255</v>
      </c>
      <c r="Z21" s="2">
        <f t="shared" si="3"/>
        <v>29.053018975081756</v>
      </c>
      <c r="AA21" s="3">
        <f t="shared" si="4"/>
        <v>29.101859139837877</v>
      </c>
      <c r="AB21" s="2">
        <f t="shared" si="5"/>
        <v>29.223869731085074</v>
      </c>
      <c r="AC21" s="2">
        <f t="shared" si="6"/>
        <v>30.173320564010453</v>
      </c>
      <c r="AD21" s="2">
        <f t="shared" si="7"/>
        <v>2.2094688342394062</v>
      </c>
      <c r="AE21" s="2">
        <f t="shared" si="8"/>
        <v>6.1607189594422191</v>
      </c>
    </row>
    <row r="22" spans="2:31" x14ac:dyDescent="0.2">
      <c r="B22" s="1">
        <f>[23]FormattedData!A38</f>
        <v>205</v>
      </c>
      <c r="C22" s="1" t="str">
        <f>VLOOKUP($B22,[23]TrtCodes!$B$11:I81,2)</f>
        <v>FSH</v>
      </c>
      <c r="D22" s="1">
        <f>VLOOKUP($B22,[23]TrtCodes!$B$11:J81,3)</f>
        <v>1</v>
      </c>
      <c r="E22" s="1">
        <f>VLOOKUP($B22,[23]TrtCodes!$B$11:K81,4)</f>
        <v>1</v>
      </c>
      <c r="F22" s="1">
        <f>VLOOKUP($B22,[23]TrtCodes!$B$11:L81,5)</f>
        <v>1</v>
      </c>
      <c r="G22" s="1">
        <f>VLOOKUP($B22,[23]TrtCodes!$B$11:M81,6)</f>
        <v>2</v>
      </c>
      <c r="H22" s="1">
        <f>VLOOKUP($B22,[23]TrtCodes!$B$11:N81,7)</f>
        <v>2</v>
      </c>
      <c r="I22" s="1">
        <f>[23]FormattedData!B38</f>
        <v>1</v>
      </c>
      <c r="J22" s="4">
        <f>[23]FormattedData!C38</f>
        <v>13.323</v>
      </c>
      <c r="K22" s="6">
        <f>$J$3+[23]FormattedData!D38*$J$4+$M$4*$J$5+[23]FormattedData!D38^2*$J$6+$M$5*$J$7</f>
        <v>30.561674843935279</v>
      </c>
      <c r="L22" s="6">
        <f>$J$3+[23]FormattedData!E38*$J$4+$M$4*$J$5+[23]FormattedData!E38^2*$J$6+$M$5*$J$7</f>
        <v>30.755598372670104</v>
      </c>
      <c r="M22" s="6">
        <f>$J$3+[23]FormattedData!F38*$J$4+$M$4*$J$5+[23]FormattedData!F38^2*$J$6+$M$5*$J$7</f>
        <v>29.78428998747874</v>
      </c>
      <c r="N22" s="6">
        <f>$J$3+[23]FormattedData!G38*$J$4+$M$4*$J$5+[23]FormattedData!G38^2*$J$6+$M$5*$J$7</f>
        <v>29.686926672000975</v>
      </c>
      <c r="O22" s="6">
        <f>$J$3+[23]FormattedData!H38*$J$4+$M$4*$J$5+[23]FormattedData!H38^2*$J$6+$M$5*$J$7</f>
        <v>29.686926672000975</v>
      </c>
      <c r="P22" s="6">
        <f>$J$3+[23]FormattedData!I38*$J$4+$M$4*$J$5+[23]FormattedData!I38^2*$J$6+$M$5*$J$7</f>
        <v>29.686926672000975</v>
      </c>
      <c r="Q22" s="6">
        <f>$J$3+[23]FormattedData!J38*$J$4+$M$4*$J$5+[23]FormattedData!J38^2*$J$6+$M$5*$J$7</f>
        <v>29.881611034418562</v>
      </c>
      <c r="R22" s="6">
        <f>$J$3+[23]FormattedData!K38*$J$4+$M$4*$J$5+[23]FormattedData!K38^2*$J$6+$M$5*$J$7</f>
        <v>30.561674843935279</v>
      </c>
      <c r="S22" s="6">
        <f>$J$3+[23]FormattedData!L38*$J$4+$M$4*$J$5+[23]FormattedData!L38^2*$J$6+$M$5*$J$7</f>
        <v>30.36758224104873</v>
      </c>
      <c r="T22" s="6">
        <f>$J$3+[23]FormattedData!M38*$J$4+$M$4*$J$5+[23]FormattedData!M38^2*$J$6+$M$5*$J$7</f>
        <v>30.076126322684424</v>
      </c>
      <c r="U22" s="6">
        <f>$J$3+[23]FormattedData!N38*$J$4+$M$4*$J$5+[23]FormattedData!N38^2*$J$6+$M$5*$J$7</f>
        <v>29.58952108798529</v>
      </c>
      <c r="V22" s="6">
        <f>$J$3+[23]FormattedData!O38*$J$4+$M$4*$J$5+[23]FormattedData!O38^2*$J$6+$M$5*$J$7</f>
        <v>29.58952108798529</v>
      </c>
      <c r="W22" s="5">
        <f t="shared" si="0"/>
        <v>30.019031653178725</v>
      </c>
      <c r="X22" s="4">
        <f t="shared" si="1"/>
        <v>0.12401212653535958</v>
      </c>
      <c r="Y22" s="3">
        <f t="shared" si="2"/>
        <v>29.58952108798529</v>
      </c>
      <c r="Z22" s="2">
        <f t="shared" si="3"/>
        <v>29.686926672000975</v>
      </c>
      <c r="AA22" s="3">
        <f t="shared" si="4"/>
        <v>29.832950510948649</v>
      </c>
      <c r="AB22" s="2">
        <f t="shared" si="5"/>
        <v>30.416105391770365</v>
      </c>
      <c r="AC22" s="2">
        <f t="shared" si="6"/>
        <v>30.755598372670104</v>
      </c>
      <c r="AD22" s="2">
        <f t="shared" si="7"/>
        <v>0.65749823369899563</v>
      </c>
      <c r="AE22" s="2">
        <f t="shared" si="8"/>
        <v>-1.30138037499021</v>
      </c>
    </row>
    <row r="23" spans="2:31" x14ac:dyDescent="0.2">
      <c r="B23" s="1">
        <f>[23]FormattedData!A40</f>
        <v>206</v>
      </c>
      <c r="C23" s="1" t="str">
        <f>VLOOKUP($B23,[23]TrtCodes!$B$11:I83,2)</f>
        <v>NSL</v>
      </c>
      <c r="D23" s="1">
        <f>VLOOKUP($B23,[23]TrtCodes!$B$11:J83,3)</f>
        <v>8</v>
      </c>
      <c r="E23" s="1">
        <f>VLOOKUP($B23,[23]TrtCodes!$B$11:K83,4)</f>
        <v>2</v>
      </c>
      <c r="F23" s="1">
        <f>VLOOKUP($B23,[23]TrtCodes!$B$11:L83,5)</f>
        <v>1</v>
      </c>
      <c r="G23" s="1">
        <f>VLOOKUP($B23,[23]TrtCodes!$B$11:M83,6)</f>
        <v>1</v>
      </c>
      <c r="H23" s="1">
        <f>VLOOKUP($B23,[23]TrtCodes!$B$11:N83,7)</f>
        <v>2</v>
      </c>
      <c r="I23" s="1">
        <f>[23]FormattedData!B40</f>
        <v>1</v>
      </c>
      <c r="J23" s="4">
        <f>[23]FormattedData!C40</f>
        <v>13.339</v>
      </c>
      <c r="K23" s="6">
        <f>$J$3+[23]FormattedData!D40*$J$4+$M$4*$J$5+[23]FormattedData!D40^2*$J$6+$M$5*$J$7</f>
        <v>32.589439322333668</v>
      </c>
      <c r="L23" s="6">
        <f>$J$3+[23]FormattedData!E40*$J$4+$M$4*$J$5+[23]FormattedData!E40^2*$J$6+$M$5*$J$7</f>
        <v>32.87759829473935</v>
      </c>
      <c r="M23" s="6">
        <f>$J$3+[23]FormattedData!F40*$J$4+$M$4*$J$5+[23]FormattedData!F40^2*$J$6+$M$5*$J$7</f>
        <v>29.686926672000975</v>
      </c>
      <c r="N23" s="6">
        <f>$J$3+[23]FormattedData!G40*$J$4+$M$4*$J$5+[23]FormattedData!G40^2*$J$6+$M$5*$J$7</f>
        <v>32.011980126998175</v>
      </c>
      <c r="O23" s="6">
        <f>$J$3+[23]FormattedData!H40*$J$4+$M$4*$J$5+[23]FormattedData!H40^2*$J$6+$M$5*$J$7</f>
        <v>30.949352827253197</v>
      </c>
      <c r="P23" s="6">
        <f>$J$3+[23]FormattedData!I40*$J$4+$M$4*$J$5+[23]FormattedData!I40^2*$J$6+$M$5*$J$7</f>
        <v>31.626161959349218</v>
      </c>
      <c r="Q23" s="6">
        <f>$J$3+[23]FormattedData!J40*$J$4+$M$4*$J$5+[23]FormattedData!J40^2*$J$6+$M$5*$J$7</f>
        <v>31.626161959349218</v>
      </c>
      <c r="R23" s="6">
        <f>$J$3+[23]FormattedData!K40*$J$4+$M$4*$J$5+[23]FormattedData!K40^2*$J$6+$M$5*$J$7</f>
        <v>31.722679904068357</v>
      </c>
      <c r="S23" s="6">
        <f>$J$3+[23]FormattedData!L40*$J$4+$M$4*$J$5+[23]FormattedData!L40^2*$J$6+$M$5*$J$7</f>
        <v>31.626161959349218</v>
      </c>
      <c r="T23" s="6">
        <f>$J$3+[23]FormattedData!M40*$J$4+$M$4*$J$5+[23]FormattedData!M40^2*$J$6+$M$5*$J$7</f>
        <v>32.87759829473935</v>
      </c>
      <c r="U23" s="6">
        <f>$J$3+[23]FormattedData!N40*$J$4+$M$4*$J$5+[23]FormattedData!N40^2*$J$6+$M$5*$J$7</f>
        <v>31.046166651737856</v>
      </c>
      <c r="V23" s="6">
        <f>$J$3+[23]FormattedData!O40*$J$4+$M$4*$J$5+[23]FormattedData!O40^2*$J$6+$M$5*$J$7</f>
        <v>29.78428998747874</v>
      </c>
      <c r="W23" s="5">
        <f t="shared" si="0"/>
        <v>31.535376496616447</v>
      </c>
      <c r="X23" s="4">
        <f t="shared" si="1"/>
        <v>0.30235123400437269</v>
      </c>
      <c r="Y23" s="3">
        <f t="shared" si="2"/>
        <v>29.686926672000975</v>
      </c>
      <c r="Z23" s="2">
        <f t="shared" si="3"/>
        <v>31.021963195616692</v>
      </c>
      <c r="AA23" s="3">
        <f t="shared" si="4"/>
        <v>31.626161959349218</v>
      </c>
      <c r="AB23" s="2">
        <f t="shared" si="5"/>
        <v>32.156344925832045</v>
      </c>
      <c r="AC23" s="2">
        <f t="shared" si="6"/>
        <v>32.87759829473935</v>
      </c>
      <c r="AD23" s="2">
        <f t="shared" si="7"/>
        <v>-0.55819790010344261</v>
      </c>
      <c r="AE23" s="2">
        <f t="shared" si="8"/>
        <v>-0.23202302245127226</v>
      </c>
    </row>
    <row r="24" spans="2:31" x14ac:dyDescent="0.2">
      <c r="B24" s="1">
        <f>[23]FormattedData!A42</f>
        <v>207</v>
      </c>
      <c r="C24" s="1" t="str">
        <f>VLOOKUP($B24,[23]TrtCodes!$B$11:I85,2)</f>
        <v>FTL</v>
      </c>
      <c r="D24" s="1">
        <f>VLOOKUP($B24,[23]TrtCodes!$B$11:J85,3)</f>
        <v>4</v>
      </c>
      <c r="E24" s="1">
        <f>VLOOKUP($B24,[23]TrtCodes!$B$11:K85,4)</f>
        <v>1</v>
      </c>
      <c r="F24" s="1">
        <f>VLOOKUP($B24,[23]TrtCodes!$B$11:L85,5)</f>
        <v>2</v>
      </c>
      <c r="G24" s="1">
        <f>VLOOKUP($B24,[23]TrtCodes!$B$11:M85,6)</f>
        <v>1</v>
      </c>
      <c r="H24" s="1">
        <f>VLOOKUP($B24,[23]TrtCodes!$B$11:N85,7)</f>
        <v>2</v>
      </c>
      <c r="I24" s="1">
        <f>[23]FormattedData!B42</f>
        <v>1</v>
      </c>
      <c r="J24" s="4">
        <f>[23]FormattedData!C42</f>
        <v>13.355</v>
      </c>
      <c r="K24" s="6">
        <f>$J$3+[23]FormattedData!D42*$J$4+$M$4*$J$5+[23]FormattedData!D42^2*$J$6+$M$5*$J$7</f>
        <v>31.819155580249564</v>
      </c>
      <c r="L24" s="6">
        <f>$J$3+[23]FormattedData!E42*$J$4+$M$4*$J$5+[23]FormattedData!E42^2*$J$6+$M$5*$J$7</f>
        <v>31.626161959349218</v>
      </c>
      <c r="M24" s="6">
        <f>$J$3+[23]FormattedData!F42*$J$4+$M$4*$J$5+[23]FormattedData!F42^2*$J$6+$M$5*$J$7</f>
        <v>30.949352827253197</v>
      </c>
      <c r="N24" s="6">
        <f>$J$3+[23]FormattedData!G42*$J$4+$M$4*$J$5+[23]FormattedData!G42^2*$J$6+$M$5*$J$7</f>
        <v>32.589439322333668</v>
      </c>
      <c r="O24" s="6">
        <f>$J$3+[23]FormattedData!H42*$J$4+$M$4*$J$5+[23]FormattedData!H42^2*$J$6+$M$5*$J$7</f>
        <v>33.835380747792755</v>
      </c>
      <c r="P24" s="6">
        <f>$J$3+[23]FormattedData!I42*$J$4+$M$4*$J$5+[23]FormattedData!I42^2*$J$6+$M$5*$J$7</f>
        <v>32.204635599595065</v>
      </c>
      <c r="Q24" s="6">
        <f>$J$3+[23]FormattedData!J42*$J$4+$M$4*$J$5+[23]FormattedData!J42^2*$J$6+$M$5*$J$7</f>
        <v>30.561674843935279</v>
      </c>
      <c r="R24" s="6">
        <f>$J$3+[23]FormattedData!K42*$J$4+$M$4*$J$5+[23]FormattedData!K42^2*$J$6+$M$5*$J$7</f>
        <v>31.722679904068357</v>
      </c>
      <c r="S24" s="6">
        <f>$J$3+[23]FormattedData!L42*$J$4+$M$4*$J$5+[23]FormattedData!L42^2*$J$6+$M$5*$J$7</f>
        <v>31.432999264297159</v>
      </c>
      <c r="T24" s="6">
        <f>$J$3+[23]FormattedData!M42*$J$4+$M$4*$J$5+[23]FormattedData!M42^2*$J$6+$M$5*$J$7</f>
        <v>31.336354513964228</v>
      </c>
      <c r="U24" s="6">
        <f>$J$3+[23]FormattedData!N42*$J$4+$M$4*$J$5+[23]FormattedData!N42^2*$J$6+$M$5*$J$7</f>
        <v>30.173320564010453</v>
      </c>
      <c r="V24" s="6">
        <f>$J$3+[23]FormattedData!O42*$J$4+$M$4*$J$5+[23]FormattedData!O42^2*$J$6+$M$5*$J$7</f>
        <v>29.881611034418562</v>
      </c>
      <c r="W24" s="5">
        <f t="shared" si="0"/>
        <v>31.511063846772291</v>
      </c>
      <c r="X24" s="4">
        <f t="shared" si="1"/>
        <v>0.31258312449436132</v>
      </c>
      <c r="Y24" s="3">
        <f t="shared" si="2"/>
        <v>29.881611034418562</v>
      </c>
      <c r="Z24" s="2">
        <f t="shared" si="3"/>
        <v>30.852433331423718</v>
      </c>
      <c r="AA24" s="3">
        <f t="shared" si="4"/>
        <v>31.529580611823189</v>
      </c>
      <c r="AB24" s="2">
        <f t="shared" si="5"/>
        <v>31.915525585085938</v>
      </c>
      <c r="AC24" s="2">
        <f t="shared" si="6"/>
        <v>33.835380747792755</v>
      </c>
      <c r="AD24" s="2">
        <f t="shared" si="7"/>
        <v>0.55213812226758807</v>
      </c>
      <c r="AE24" s="2">
        <f t="shared" si="8"/>
        <v>0.7746187550024759</v>
      </c>
    </row>
    <row r="25" spans="2:31" x14ac:dyDescent="0.2">
      <c r="B25" s="1">
        <f>[23]FormattedData!A44</f>
        <v>208</v>
      </c>
      <c r="C25" s="1" t="str">
        <f>VLOOKUP($B25,[23]TrtCodes!$B$11:I87,2)</f>
        <v>FSL</v>
      </c>
      <c r="D25" s="1">
        <f>VLOOKUP($B25,[23]TrtCodes!$B$11:J87,3)</f>
        <v>2</v>
      </c>
      <c r="E25" s="1">
        <f>VLOOKUP($B25,[23]TrtCodes!$B$11:K87,4)</f>
        <v>1</v>
      </c>
      <c r="F25" s="1">
        <f>VLOOKUP($B25,[23]TrtCodes!$B$11:L87,5)</f>
        <v>1</v>
      </c>
      <c r="G25" s="1">
        <f>VLOOKUP($B25,[23]TrtCodes!$B$11:M87,6)</f>
        <v>1</v>
      </c>
      <c r="H25" s="1">
        <f>VLOOKUP($B25,[23]TrtCodes!$B$11:N87,7)</f>
        <v>2</v>
      </c>
      <c r="I25" s="1">
        <f>[23]FormattedData!B44</f>
        <v>1</v>
      </c>
      <c r="J25" s="4">
        <f>[23]FormattedData!C44</f>
        <v>13.371</v>
      </c>
      <c r="K25" s="6">
        <f>$J$3+[23]FormattedData!D44*$J$4+$M$4*$J$5+[23]FormattedData!D44^2*$J$6+$M$5*$J$7</f>
        <v>34.121891247219111</v>
      </c>
      <c r="L25" s="6">
        <f>$J$3+[23]FormattedData!E44*$J$4+$M$4*$J$5+[23]FormattedData!E44^2*$J$6+$M$5*$J$7</f>
        <v>30.658657742571656</v>
      </c>
      <c r="M25" s="6">
        <f>$J$3+[23]FormattedData!F44*$J$4+$M$4*$J$5+[23]FormattedData!F44^2*$J$6+$M$5*$J$7</f>
        <v>31.046166651737856</v>
      </c>
      <c r="N25" s="6">
        <f>$J$3+[23]FormattedData!G44*$J$4+$M$4*$J$5+[23]FormattedData!G44^2*$J$6+$M$5*$J$7</f>
        <v>30.755598372670104</v>
      </c>
      <c r="O25" s="6">
        <f>$J$3+[23]FormattedData!H44*$J$4+$M$4*$J$5+[23]FormattedData!H44^2*$J$6+$M$5*$J$7</f>
        <v>32.589439322333668</v>
      </c>
      <c r="P25" s="6">
        <f>$J$3+[23]FormattedData!I44*$J$4+$M$4*$J$5+[23]FormattedData!I44^2*$J$6+$M$5*$J$7</f>
        <v>31.722679904068357</v>
      </c>
      <c r="Q25" s="6">
        <f>$J$3+[23]FormattedData!J44*$J$4+$M$4*$J$5+[23]FormattedData!J44^2*$J$6+$M$5*$J$7</f>
        <v>33.930926516139465</v>
      </c>
      <c r="R25" s="6">
        <f>$J$3+[23]FormattedData!K44*$J$4+$M$4*$J$5+[23]FormattedData!K44^2*$J$6+$M$5*$J$7</f>
        <v>30.949352827253197</v>
      </c>
      <c r="S25" s="6">
        <f>$J$3+[23]FormattedData!L44*$J$4+$M$4*$J$5+[23]FormattedData!L44^2*$J$6+$M$5*$J$7</f>
        <v>32.685534581673494</v>
      </c>
      <c r="T25" s="6">
        <f>$J$3+[23]FormattedData!M44*$J$4+$M$4*$J$5+[23]FormattedData!M44^2*$J$6+$M$5*$J$7</f>
        <v>29.78428998747874</v>
      </c>
      <c r="U25" s="6">
        <f>$J$3+[23]FormattedData!N44*$J$4+$M$4*$J$5+[23]FormattedData!N44^2*$J$6+$M$5*$J$7</f>
        <v>31.336354513964228</v>
      </c>
      <c r="V25" s="6">
        <f>$J$3+[23]FormattedData!O44*$J$4+$M$4*$J$5+[23]FormattedData!O44^2*$J$6+$M$5*$J$7</f>
        <v>29.394583114340119</v>
      </c>
      <c r="W25" s="5">
        <f t="shared" si="0"/>
        <v>31.58128956512083</v>
      </c>
      <c r="X25" s="4">
        <f t="shared" si="1"/>
        <v>0.43100276565020401</v>
      </c>
      <c r="Y25" s="3">
        <f t="shared" si="2"/>
        <v>29.394583114340119</v>
      </c>
      <c r="Z25" s="2">
        <f t="shared" si="3"/>
        <v>30.731363215145493</v>
      </c>
      <c r="AA25" s="3">
        <f t="shared" si="4"/>
        <v>31.191260582851044</v>
      </c>
      <c r="AB25" s="2">
        <f t="shared" si="5"/>
        <v>32.613463137168623</v>
      </c>
      <c r="AC25" s="2">
        <f t="shared" si="6"/>
        <v>34.121891247219111</v>
      </c>
      <c r="AD25" s="2">
        <f t="shared" si="7"/>
        <v>0.4496058591545874</v>
      </c>
      <c r="AE25" s="2">
        <f t="shared" si="8"/>
        <v>-0.56453141018392028</v>
      </c>
    </row>
    <row r="26" spans="2:31" x14ac:dyDescent="0.2">
      <c r="B26" s="1">
        <f>[23]FormattedData!A62</f>
        <v>301</v>
      </c>
      <c r="C26" s="1" t="str">
        <f>VLOOKUP($B26,[23]TrtCodes!$B$11:I105,2)</f>
        <v>NTL</v>
      </c>
      <c r="D26" s="1">
        <f>VLOOKUP($B26,[23]TrtCodes!$B$11:J105,3)</f>
        <v>10</v>
      </c>
      <c r="E26" s="1">
        <f>VLOOKUP($B26,[23]TrtCodes!$B$11:K105,4)</f>
        <v>2</v>
      </c>
      <c r="F26" s="1">
        <f>VLOOKUP($B26,[23]TrtCodes!$B$11:L105,5)</f>
        <v>2</v>
      </c>
      <c r="G26" s="1">
        <f>VLOOKUP($B26,[23]TrtCodes!$B$11:M105,6)</f>
        <v>1</v>
      </c>
      <c r="H26" s="1">
        <f>VLOOKUP($B26,[23]TrtCodes!$B$11:N105,7)</f>
        <v>3</v>
      </c>
      <c r="I26" s="1">
        <f>[23]FormattedData!B62</f>
        <v>1</v>
      </c>
      <c r="J26" s="4">
        <f>[23]FormattedData!C62</f>
        <v>13.496</v>
      </c>
      <c r="K26" s="6">
        <f>$J$3+[23]FormattedData!D62*$J$4+$M$4*$J$5+[23]FormattedData!D62^2*$J$6+$M$5*$J$7</f>
        <v>30.36758224104873</v>
      </c>
      <c r="L26" s="6">
        <f>$J$3+[23]FormattedData!E62*$J$4+$M$4*$J$5+[23]FormattedData!E62^2*$J$6+$M$5*$J$7</f>
        <v>31.142938207684573</v>
      </c>
      <c r="M26" s="6">
        <f>$J$3+[23]FormattedData!F62*$J$4+$M$4*$J$5+[23]FormattedData!F62^2*$J$6+$M$5*$J$7</f>
        <v>30.852496734230616</v>
      </c>
      <c r="N26" s="6">
        <f>$J$3+[23]FormattedData!G62*$J$4+$M$4*$J$5+[23]FormattedData!G62^2*$J$6+$M$5*$J$7</f>
        <v>30.949352827253197</v>
      </c>
      <c r="O26" s="6">
        <f>$J$3+[23]FormattedData!H62*$J$4+$M$4*$J$5+[23]FormattedData!H62^2*$J$6+$M$5*$J$7</f>
        <v>29.978889812820455</v>
      </c>
      <c r="P26" s="6">
        <f>$J$3+[23]FormattedData!I62*$J$4+$M$4*$J$5+[23]FormattedData!I62^2*$J$6+$M$5*$J$7</f>
        <v>30.36758224104873</v>
      </c>
      <c r="Q26" s="6">
        <f>$J$3+[23]FormattedData!J62*$J$4+$M$4*$J$5+[23]FormattedData!J62^2*$J$6+$M$5*$J$7</f>
        <v>30.949352827253197</v>
      </c>
      <c r="R26" s="6">
        <f>$J$3+[23]FormattedData!K62*$J$4+$M$4*$J$5+[23]FormattedData!K62^2*$J$6+$M$5*$J$7</f>
        <v>29.58952108798529</v>
      </c>
      <c r="S26" s="6">
        <f>$J$3+[23]FormattedData!L62*$J$4+$M$4*$J$5+[23]FormattedData!L62^2*$J$6+$M$5*$J$7</f>
        <v>30.852496734230616</v>
      </c>
      <c r="T26" s="6">
        <f>$J$3+[23]FormattedData!M62*$J$4+$M$4*$J$5+[23]FormattedData!M62^2*$J$6+$M$5*$J$7</f>
        <v>29.394583114340119</v>
      </c>
      <c r="U26" s="6">
        <f>$J$3+[23]FormattedData!N62*$J$4+$M$4*$J$5+[23]FormattedData!N62^2*$J$6+$M$5*$J$7</f>
        <v>30.173320564010453</v>
      </c>
      <c r="V26" s="6">
        <f>$J$3+[23]FormattedData!O62*$J$4+$M$4*$J$5+[23]FormattedData!O62^2*$J$6+$M$5*$J$7</f>
        <v>29.686926672000975</v>
      </c>
      <c r="W26" s="5">
        <f t="shared" si="0"/>
        <v>30.35875358865891</v>
      </c>
      <c r="X26" s="4">
        <f t="shared" si="1"/>
        <v>0.17302254101242254</v>
      </c>
      <c r="Y26" s="3">
        <f t="shared" si="2"/>
        <v>29.394583114340119</v>
      </c>
      <c r="Z26" s="2">
        <f t="shared" si="3"/>
        <v>29.905899027615586</v>
      </c>
      <c r="AA26" s="3">
        <f t="shared" si="4"/>
        <v>30.36758224104873</v>
      </c>
      <c r="AB26" s="2">
        <f t="shared" si="5"/>
        <v>30.876710757486261</v>
      </c>
      <c r="AC26" s="2">
        <f t="shared" si="6"/>
        <v>31.142938207684573</v>
      </c>
      <c r="AD26" s="2">
        <f t="shared" si="7"/>
        <v>-0.29432879352622449</v>
      </c>
      <c r="AE26" s="2">
        <f t="shared" si="8"/>
        <v>-1.3710546775702879</v>
      </c>
    </row>
    <row r="27" spans="2:31" x14ac:dyDescent="0.2">
      <c r="B27" s="1">
        <f>[23]FormattedData!A64</f>
        <v>302</v>
      </c>
      <c r="C27" s="1" t="str">
        <f>VLOOKUP($B27,[23]TrtCodes!$B$11:I107,2)</f>
        <v>FTL</v>
      </c>
      <c r="D27" s="1">
        <f>VLOOKUP($B27,[23]TrtCodes!$B$11:J107,3)</f>
        <v>4</v>
      </c>
      <c r="E27" s="1">
        <f>VLOOKUP($B27,[23]TrtCodes!$B$11:K107,4)</f>
        <v>1</v>
      </c>
      <c r="F27" s="1">
        <f>VLOOKUP($B27,[23]TrtCodes!$B$11:L107,5)</f>
        <v>2</v>
      </c>
      <c r="G27" s="1">
        <f>VLOOKUP($B27,[23]TrtCodes!$B$11:M107,6)</f>
        <v>1</v>
      </c>
      <c r="H27" s="1">
        <f>VLOOKUP($B27,[23]TrtCodes!$B$11:N107,7)</f>
        <v>3</v>
      </c>
      <c r="I27" s="1">
        <f>[23]FormattedData!B64</f>
        <v>1</v>
      </c>
      <c r="J27" s="4">
        <f>[23]FormattedData!C64</f>
        <v>13.512</v>
      </c>
      <c r="K27" s="6">
        <f>$J$3+[23]FormattedData!D64*$J$4+$M$4*$J$5+[23]FormattedData!D64^2*$J$6+$M$5*$J$7</f>
        <v>28.515269940309253</v>
      </c>
      <c r="L27" s="6">
        <f>$J$3+[23]FormattedData!E64*$J$4+$M$4*$J$5+[23]FormattedData!E64^2*$J$6+$M$5*$J$7</f>
        <v>28.123365103198214</v>
      </c>
      <c r="M27" s="6">
        <f>$J$3+[23]FormattedData!F64*$J$4+$M$4*$J$5+[23]FormattedData!F64^2*$J$6+$M$5*$J$7</f>
        <v>29.0041999445946</v>
      </c>
      <c r="N27" s="6">
        <f>$J$3+[23]FormattedData!G64*$J$4+$M$4*$J$5+[23]FormattedData!G64^2*$J$6+$M$5*$J$7</f>
        <v>28.906498480813394</v>
      </c>
      <c r="O27" s="6">
        <f>$J$3+[23]FormattedData!H64*$J$4+$M$4*$J$5+[23]FormattedData!H64^2*$J$6+$M$5*$J$7</f>
        <v>28.808754748494255</v>
      </c>
      <c r="P27" s="6">
        <f>$J$3+[23]FormattedData!I64*$J$4+$M$4*$J$5+[23]FormattedData!I64^2*$J$6+$M$5*$J$7</f>
        <v>28.613140478242183</v>
      </c>
      <c r="Q27" s="6">
        <f>$J$3+[23]FormattedData!J64*$J$4+$M$4*$J$5+[23]FormattedData!J64^2*$J$6+$M$5*$J$7</f>
        <v>28.808754748494255</v>
      </c>
      <c r="R27" s="6">
        <f>$J$3+[23]FormattedData!K64*$J$4+$M$4*$J$5+[23]FormattedData!K64^2*$J$6+$M$5*$J$7</f>
        <v>30.36758224104873</v>
      </c>
      <c r="S27" s="6">
        <f>$J$3+[23]FormattedData!L64*$J$4+$M$4*$J$5+[23]FormattedData!L64^2*$J$6+$M$5*$J$7</f>
        <v>28.906498480813394</v>
      </c>
      <c r="T27" s="6">
        <f>$J$3+[23]FormattedData!M64*$J$4+$M$4*$J$5+[23]FormattedData!M64^2*$J$6+$M$5*$J$7</f>
        <v>28.710968747637185</v>
      </c>
      <c r="U27" s="6">
        <f>$J$3+[23]FormattedData!N64*$J$4+$M$4*$J$5+[23]FormattedData!N64^2*$J$6+$M$5*$J$7</f>
        <v>28.613140478242183</v>
      </c>
      <c r="V27" s="6">
        <f>$J$3+[23]FormattedData!O64*$J$4+$M$4*$J$5+[23]FormattedData!O64^2*$J$6+$M$5*$J$7</f>
        <v>28.41735713383839</v>
      </c>
      <c r="W27" s="5">
        <f t="shared" si="0"/>
        <v>28.816294210477171</v>
      </c>
      <c r="X27" s="4">
        <f t="shared" si="1"/>
        <v>0.15767592165200134</v>
      </c>
      <c r="Y27" s="3">
        <f t="shared" si="2"/>
        <v>28.123365103198214</v>
      </c>
      <c r="Z27" s="2">
        <f t="shared" si="3"/>
        <v>28.58867284375895</v>
      </c>
      <c r="AA27" s="3">
        <f t="shared" si="4"/>
        <v>28.75986174806572</v>
      </c>
      <c r="AB27" s="2">
        <f t="shared" si="5"/>
        <v>28.906498480813394</v>
      </c>
      <c r="AC27" s="2">
        <f t="shared" si="6"/>
        <v>30.36758224104873</v>
      </c>
      <c r="AD27" s="2">
        <f t="shared" si="7"/>
        <v>2.209097902903427</v>
      </c>
      <c r="AE27" s="2">
        <f t="shared" si="8"/>
        <v>6.6955137929383515</v>
      </c>
    </row>
    <row r="28" spans="2:31" x14ac:dyDescent="0.2">
      <c r="B28" s="1">
        <f>[23]FormattedData!A66</f>
        <v>303</v>
      </c>
      <c r="C28" s="1" t="str">
        <f>VLOOKUP($B28,[23]TrtCodes!$B$11:I109,2)</f>
        <v>NSL</v>
      </c>
      <c r="D28" s="1">
        <f>VLOOKUP($B28,[23]TrtCodes!$B$11:J109,3)</f>
        <v>8</v>
      </c>
      <c r="E28" s="1">
        <f>VLOOKUP($B28,[23]TrtCodes!$B$11:K109,4)</f>
        <v>2</v>
      </c>
      <c r="F28" s="1">
        <f>VLOOKUP($B28,[23]TrtCodes!$B$11:L109,5)</f>
        <v>1</v>
      </c>
      <c r="G28" s="1">
        <f>VLOOKUP($B28,[23]TrtCodes!$B$11:M109,6)</f>
        <v>1</v>
      </c>
      <c r="H28" s="1">
        <f>VLOOKUP($B28,[23]TrtCodes!$B$11:N109,7)</f>
        <v>3</v>
      </c>
      <c r="I28" s="1">
        <f>[23]FormattedData!B66</f>
        <v>1</v>
      </c>
      <c r="J28" s="4">
        <f>[23]FormattedData!C66</f>
        <v>13.529</v>
      </c>
      <c r="K28" s="6">
        <f>$J$3+[23]FormattedData!D66*$J$4+$M$4*$J$5+[23]FormattedData!D66^2*$J$6+$M$5*$J$7</f>
        <v>28.906498480813394</v>
      </c>
      <c r="L28" s="6">
        <f>$J$3+[23]FormattedData!E66*$J$4+$M$4*$J$5+[23]FormattedData!E66^2*$J$6+$M$5*$J$7</f>
        <v>29.394583114340119</v>
      </c>
      <c r="M28" s="6">
        <f>$J$3+[23]FormattedData!F66*$J$4+$M$4*$J$5+[23]FormattedData!F66^2*$J$6+$M$5*$J$7</f>
        <v>29.394583114340119</v>
      </c>
      <c r="N28" s="6">
        <f>$J$3+[23]FormattedData!G66*$J$4+$M$4*$J$5+[23]FormattedData!G66^2*$J$6+$M$5*$J$7</f>
        <v>29.297050724710633</v>
      </c>
      <c r="O28" s="6">
        <f>$J$3+[23]FormattedData!H66*$J$4+$M$4*$J$5+[23]FormattedData!H66^2*$J$6+$M$5*$J$7</f>
        <v>32.493301794455917</v>
      </c>
      <c r="P28" s="6">
        <f>$J$3+[23]FormattedData!I66*$J$4+$M$4*$J$5+[23]FormattedData!I66^2*$J$6+$M$5*$J$7</f>
        <v>31.142938207684573</v>
      </c>
      <c r="Q28" s="6">
        <f>$J$3+[23]FormattedData!J66*$J$4+$M$4*$J$5+[23]FormattedData!J66^2*$J$6+$M$5*$J$7</f>
        <v>29.881611034418562</v>
      </c>
      <c r="R28" s="6">
        <f>$J$3+[23]FormattedData!K66*$J$4+$M$4*$J$5+[23]FormattedData!K66^2*$J$6+$M$5*$J$7</f>
        <v>30.852496734230616</v>
      </c>
      <c r="S28" s="6">
        <f>$J$3+[23]FormattedData!L66*$J$4+$M$4*$J$5+[23]FormattedData!L66^2*$J$6+$M$5*$J$7</f>
        <v>30.949352827253197</v>
      </c>
      <c r="T28" s="6">
        <f>$J$3+[23]FormattedData!M66*$J$4+$M$4*$J$5+[23]FormattedData!M66^2*$J$6+$M$5*$J$7</f>
        <v>30.658657742571656</v>
      </c>
      <c r="U28" s="6">
        <f>$J$3+[23]FormattedData!N66*$J$4+$M$4*$J$5+[23]FormattedData!N66^2*$J$6+$M$5*$J$7</f>
        <v>29.394583114340119</v>
      </c>
      <c r="V28" s="6">
        <f>$J$3+[23]FormattedData!O66*$J$4+$M$4*$J$5+[23]FormattedData!O66^2*$J$6+$M$5*$J$7</f>
        <v>29.978889812820455</v>
      </c>
      <c r="W28" s="5">
        <f t="shared" si="0"/>
        <v>30.195378891831613</v>
      </c>
      <c r="X28" s="4">
        <f t="shared" si="1"/>
        <v>0.3006378547591595</v>
      </c>
      <c r="Y28" s="3">
        <f t="shared" si="2"/>
        <v>28.906498480813394</v>
      </c>
      <c r="Z28" s="2">
        <f t="shared" si="3"/>
        <v>29.394583114340119</v>
      </c>
      <c r="AA28" s="3">
        <f t="shared" si="4"/>
        <v>29.930250423619508</v>
      </c>
      <c r="AB28" s="2">
        <f t="shared" si="5"/>
        <v>30.876710757486261</v>
      </c>
      <c r="AC28" s="2">
        <f t="shared" si="6"/>
        <v>32.493301794455917</v>
      </c>
      <c r="AD28" s="2">
        <f t="shared" si="7"/>
        <v>0.90292043771294139</v>
      </c>
      <c r="AE28" s="2">
        <f t="shared" si="8"/>
        <v>0.50786613685062854</v>
      </c>
    </row>
    <row r="29" spans="2:31" x14ac:dyDescent="0.2">
      <c r="B29" s="1">
        <f>[23]FormattedData!A68</f>
        <v>304</v>
      </c>
      <c r="C29" s="1" t="str">
        <f>VLOOKUP($B29,[23]TrtCodes!$B$11:I111,2)</f>
        <v>FSL</v>
      </c>
      <c r="D29" s="1">
        <f>VLOOKUP($B29,[23]TrtCodes!$B$11:J111,3)</f>
        <v>2</v>
      </c>
      <c r="E29" s="1">
        <f>VLOOKUP($B29,[23]TrtCodes!$B$11:K111,4)</f>
        <v>1</v>
      </c>
      <c r="F29" s="1">
        <f>VLOOKUP($B29,[23]TrtCodes!$B$11:L111,5)</f>
        <v>1</v>
      </c>
      <c r="G29" s="1">
        <f>VLOOKUP($B29,[23]TrtCodes!$B$11:M111,6)</f>
        <v>1</v>
      </c>
      <c r="H29" s="1">
        <f>VLOOKUP($B29,[23]TrtCodes!$B$11:N111,7)</f>
        <v>3</v>
      </c>
      <c r="I29" s="1">
        <f>[23]FormattedData!B68</f>
        <v>1</v>
      </c>
      <c r="J29" s="4">
        <f>[23]FormattedData!C68</f>
        <v>13.545</v>
      </c>
      <c r="K29" s="6">
        <f>$J$3+[23]FormattedData!D68*$J$4+$M$4*$J$5+[23]FormattedData!D68^2*$J$6+$M$5*$J$7</f>
        <v>31.239667495093371</v>
      </c>
      <c r="L29" s="6">
        <f>$J$3+[23]FormattedData!E68*$J$4+$M$4*$J$5+[23]FormattedData!E68^2*$J$6+$M$5*$J$7</f>
        <v>31.432999264297159</v>
      </c>
      <c r="M29" s="6">
        <f>$J$3+[23]FormattedData!F68*$J$4+$M$4*$J$5+[23]FormattedData!F68^2*$J$6+$M$5*$J$7</f>
        <v>29.686926672000975</v>
      </c>
      <c r="N29" s="6">
        <f>$J$3+[23]FormattedData!G68*$J$4+$M$4*$J$5+[23]FormattedData!G68^2*$J$6+$M$5*$J$7</f>
        <v>29.686926672000975</v>
      </c>
      <c r="O29" s="6">
        <f>$J$3+[23]FormattedData!H68*$J$4+$M$4*$J$5+[23]FormattedData!H68^2*$J$6+$M$5*$J$7</f>
        <v>29.78428998747874</v>
      </c>
      <c r="P29" s="6">
        <f>$J$3+[23]FormattedData!I68*$J$4+$M$4*$J$5+[23]FormattedData!I68^2*$J$6+$M$5*$J$7</f>
        <v>29.686926672000975</v>
      </c>
      <c r="Q29" s="6">
        <f>$J$3+[23]FormattedData!J68*$J$4+$M$4*$J$5+[23]FormattedData!J68^2*$J$6+$M$5*$J$7</f>
        <v>30.561674843935279</v>
      </c>
      <c r="R29" s="6">
        <f>$J$3+[23]FormattedData!K68*$J$4+$M$4*$J$5+[23]FormattedData!K68^2*$J$6+$M$5*$J$7</f>
        <v>29.978889812820455</v>
      </c>
      <c r="S29" s="6">
        <f>$J$3+[23]FormattedData!L68*$J$4+$M$4*$J$5+[23]FormattedData!L68^2*$J$6+$M$5*$J$7</f>
        <v>29.978889812820455</v>
      </c>
      <c r="T29" s="6">
        <f>$J$3+[23]FormattedData!M68*$J$4+$M$4*$J$5+[23]FormattedData!M68^2*$J$6+$M$5*$J$7</f>
        <v>30.270472536798561</v>
      </c>
      <c r="U29" s="6">
        <f>$J$3+[23]FormattedData!N68*$J$4+$M$4*$J$5+[23]FormattedData!N68^2*$J$6+$M$5*$J$7</f>
        <v>30.658657742571656</v>
      </c>
      <c r="V29" s="6">
        <f>$J$3+[23]FormattedData!O68*$J$4+$M$4*$J$5+[23]FormattedData!O68^2*$J$6+$M$5*$J$7</f>
        <v>30.36758224104873</v>
      </c>
      <c r="W29" s="5">
        <f t="shared" si="0"/>
        <v>30.277825312738944</v>
      </c>
      <c r="X29" s="4">
        <f t="shared" si="1"/>
        <v>0.17327214323405715</v>
      </c>
      <c r="Y29" s="3">
        <f t="shared" si="2"/>
        <v>29.686926672000975</v>
      </c>
      <c r="Z29" s="2">
        <f t="shared" si="3"/>
        <v>29.759949158609299</v>
      </c>
      <c r="AA29" s="3">
        <f t="shared" si="4"/>
        <v>30.12468117480951</v>
      </c>
      <c r="AB29" s="2">
        <f t="shared" si="5"/>
        <v>30.585920568594375</v>
      </c>
      <c r="AC29" s="2">
        <f t="shared" si="6"/>
        <v>31.432999264297159</v>
      </c>
      <c r="AD29" s="2">
        <f t="shared" si="7"/>
        <v>0.86644896768849222</v>
      </c>
      <c r="AE29" s="2">
        <f t="shared" si="8"/>
        <v>-0.26366382910964514</v>
      </c>
    </row>
    <row r="30" spans="2:31" x14ac:dyDescent="0.2">
      <c r="B30" s="1">
        <f>[23]FormattedData!A70</f>
        <v>305</v>
      </c>
      <c r="C30" s="1" t="str">
        <f>VLOOKUP($B30,[23]TrtCodes!$B$11:I113,2)</f>
        <v>NDH</v>
      </c>
      <c r="D30" s="1">
        <f>VLOOKUP($B30,[23]TrtCodes!$B$11:J113,3)</f>
        <v>11</v>
      </c>
      <c r="E30" s="1">
        <f>VLOOKUP($B30,[23]TrtCodes!$B$11:K113,4)</f>
        <v>2</v>
      </c>
      <c r="F30" s="1">
        <f>VLOOKUP($B30,[23]TrtCodes!$B$11:L113,5)</f>
        <v>3</v>
      </c>
      <c r="G30" s="1">
        <f>VLOOKUP($B30,[23]TrtCodes!$B$11:M113,6)</f>
        <v>2</v>
      </c>
      <c r="H30" s="1">
        <f>VLOOKUP($B30,[23]TrtCodes!$B$11:N113,7)</f>
        <v>4</v>
      </c>
      <c r="I30" s="1">
        <f>[23]FormattedData!B70</f>
        <v>1</v>
      </c>
      <c r="J30" s="4">
        <f>[23]FormattedData!C70</f>
        <v>13.561999999999999</v>
      </c>
      <c r="K30" s="6">
        <f>$J$3+[23]FormattedData!D70*$J$4+$M$4*$J$5+[23]FormattedData!D70^2*$J$6+$M$5*$J$7</f>
        <v>28.025283222575627</v>
      </c>
      <c r="L30" s="6">
        <f>$J$3+[23]FormattedData!E70*$J$4+$M$4*$J$5+[23]FormattedData!E70^2*$J$6+$M$5*$J$7</f>
        <v>28.221404715282869</v>
      </c>
      <c r="M30" s="6">
        <f>$J$3+[23]FormattedData!F70*$J$4+$M$4*$J$5+[23]FormattedData!F70^2*$J$6+$M$5*$J$7</f>
        <v>28.319402058829596</v>
      </c>
      <c r="N30" s="6">
        <f>$J$3+[23]FormattedData!G70*$J$4+$M$4*$J$5+[23]FormattedData!G70^2*$J$6+$M$5*$J$7</f>
        <v>28.319402058829596</v>
      </c>
      <c r="O30" s="6">
        <f>$J$3+[23]FormattedData!H70*$J$4+$M$4*$J$5+[23]FormattedData!H70^2*$J$6+$M$5*$J$7</f>
        <v>28.319402058829596</v>
      </c>
      <c r="P30" s="6">
        <f>$J$3+[23]FormattedData!I70*$J$4+$M$4*$J$5+[23]FormattedData!I70^2*$J$6+$M$5*$J$7</f>
        <v>28.41735713383839</v>
      </c>
      <c r="Q30" s="6">
        <f>$J$3+[23]FormattedData!J70*$J$4+$M$4*$J$5+[23]FormattedData!J70^2*$J$6+$M$5*$J$7</f>
        <v>28.123365103198214</v>
      </c>
      <c r="R30" s="6">
        <f>$J$3+[23]FormattedData!K70*$J$4+$M$4*$J$5+[23]FormattedData!K70^2*$J$6+$M$5*$J$7</f>
        <v>28.319402058829596</v>
      </c>
      <c r="S30" s="6">
        <f>$J$3+[23]FormattedData!L70*$J$4+$M$4*$J$5+[23]FormattedData!L70^2*$J$6+$M$5*$J$7</f>
        <v>28.41735713383839</v>
      </c>
      <c r="T30" s="6">
        <f>$J$3+[23]FormattedData!M70*$J$4+$M$4*$J$5+[23]FormattedData!M70^2*$J$6+$M$5*$J$7</f>
        <v>28.41735713383839</v>
      </c>
      <c r="U30" s="6">
        <f>$J$3+[23]FormattedData!N70*$J$4+$M$4*$J$5+[23]FormattedData!N70^2*$J$6+$M$5*$J$7</f>
        <v>28.613140478242183</v>
      </c>
      <c r="V30" s="6">
        <f>$J$3+[23]FormattedData!O70*$J$4+$M$4*$J$5+[23]FormattedData!O70^2*$J$6+$M$5*$J$7</f>
        <v>29.0041999445946</v>
      </c>
      <c r="W30" s="5">
        <f t="shared" si="0"/>
        <v>28.376422758393915</v>
      </c>
      <c r="X30" s="4">
        <f t="shared" si="1"/>
        <v>7.1749750741638876E-2</v>
      </c>
      <c r="Y30" s="3">
        <f t="shared" si="2"/>
        <v>28.025283222575627</v>
      </c>
      <c r="Z30" s="2">
        <f t="shared" si="3"/>
        <v>28.294902722942915</v>
      </c>
      <c r="AA30" s="3">
        <f t="shared" si="4"/>
        <v>28.319402058829596</v>
      </c>
      <c r="AB30" s="2">
        <f t="shared" si="5"/>
        <v>28.41735713383839</v>
      </c>
      <c r="AC30" s="2">
        <f t="shared" si="6"/>
        <v>29.0041999445946</v>
      </c>
      <c r="AD30" s="2">
        <f t="shared" si="7"/>
        <v>1.3990370065637254</v>
      </c>
      <c r="AE30" s="2">
        <f t="shared" si="8"/>
        <v>3.3323878644935157</v>
      </c>
    </row>
    <row r="31" spans="2:31" x14ac:dyDescent="0.2">
      <c r="B31" s="1">
        <f>[23]FormattedData!A72</f>
        <v>306</v>
      </c>
      <c r="C31" s="1" t="str">
        <f>VLOOKUP($B31,[23]TrtCodes!$B$11:I115,2)</f>
        <v>FTL</v>
      </c>
      <c r="D31" s="1">
        <f>VLOOKUP($B31,[23]TrtCodes!$B$11:J115,3)</f>
        <v>4</v>
      </c>
      <c r="E31" s="1">
        <f>VLOOKUP($B31,[23]TrtCodes!$B$11:K115,4)</f>
        <v>1</v>
      </c>
      <c r="F31" s="1">
        <f>VLOOKUP($B31,[23]TrtCodes!$B$11:L115,5)</f>
        <v>2</v>
      </c>
      <c r="G31" s="1">
        <f>VLOOKUP($B31,[23]TrtCodes!$B$11:M115,6)</f>
        <v>1</v>
      </c>
      <c r="H31" s="1">
        <f>VLOOKUP($B31,[23]TrtCodes!$B$11:N115,7)</f>
        <v>4</v>
      </c>
      <c r="I31" s="1">
        <f>[23]FormattedData!B72</f>
        <v>1</v>
      </c>
      <c r="J31" s="4">
        <f>[23]FormattedData!C72</f>
        <v>13.577999999999999</v>
      </c>
      <c r="K31" s="6">
        <f>$J$3+[23]FormattedData!D72*$J$4+$M$4*$J$5+[23]FormattedData!D72^2*$J$6+$M$5*$J$7</f>
        <v>28.613140478242183</v>
      </c>
      <c r="L31" s="6">
        <f>$J$3+[23]FormattedData!E72*$J$4+$M$4*$J$5+[23]FormattedData!E72^2*$J$6+$M$5*$J$7</f>
        <v>28.906498480813394</v>
      </c>
      <c r="M31" s="6">
        <f>$J$3+[23]FormattedData!F72*$J$4+$M$4*$J$5+[23]FormattedData!F72^2*$J$6+$M$5*$J$7</f>
        <v>29.58952108798529</v>
      </c>
      <c r="N31" s="6">
        <f>$J$3+[23]FormattedData!G72*$J$4+$M$4*$J$5+[23]FormattedData!G72^2*$J$6+$M$5*$J$7</f>
        <v>29.686926672000975</v>
      </c>
      <c r="O31" s="6">
        <f>$J$3+[23]FormattedData!H72*$J$4+$M$4*$J$5+[23]FormattedData!H72^2*$J$6+$M$5*$J$7</f>
        <v>30.755598372670104</v>
      </c>
      <c r="P31" s="6">
        <f>$J$3+[23]FormattedData!I72*$J$4+$M$4*$J$5+[23]FormattedData!I72^2*$J$6+$M$5*$J$7</f>
        <v>29.881611034418562</v>
      </c>
      <c r="Q31" s="6">
        <f>$J$3+[23]FormattedData!J72*$J$4+$M$4*$J$5+[23]FormattedData!J72^2*$J$6+$M$5*$J$7</f>
        <v>29.58952108798529</v>
      </c>
      <c r="R31" s="6">
        <f>$J$3+[23]FormattedData!K72*$J$4+$M$4*$J$5+[23]FormattedData!K72^2*$J$6+$M$5*$J$7</f>
        <v>29.101859139837877</v>
      </c>
      <c r="S31" s="6">
        <f>$J$3+[23]FormattedData!L72*$J$4+$M$4*$J$5+[23]FormattedData!L72^2*$J$6+$M$5*$J$7</f>
        <v>28.515269940309253</v>
      </c>
      <c r="T31" s="6">
        <f>$J$3+[23]FormattedData!M72*$J$4+$M$4*$J$5+[23]FormattedData!M72^2*$J$6+$M$5*$J$7</f>
        <v>28.515269940309253</v>
      </c>
      <c r="U31" s="6">
        <f>$J$3+[23]FormattedData!N72*$J$4+$M$4*$J$5+[23]FormattedData!N72^2*$J$6+$M$5*$J$7</f>
        <v>30.270472536798561</v>
      </c>
      <c r="V31" s="6">
        <f>$J$3+[23]FormattedData!O72*$J$4+$M$4*$J$5+[23]FormattedData!O72^2*$J$6+$M$5*$J$7</f>
        <v>29.101859139837877</v>
      </c>
      <c r="W31" s="5">
        <f t="shared" si="0"/>
        <v>29.377295659267386</v>
      </c>
      <c r="X31" s="4">
        <f t="shared" si="1"/>
        <v>0.20562650548160843</v>
      </c>
      <c r="Y31" s="3">
        <f t="shared" si="2"/>
        <v>28.515269940309253</v>
      </c>
      <c r="Z31" s="2">
        <f t="shared" si="3"/>
        <v>28.833158980170591</v>
      </c>
      <c r="AA31" s="3">
        <f t="shared" si="4"/>
        <v>29.345690113911584</v>
      </c>
      <c r="AB31" s="2">
        <f t="shared" si="5"/>
        <v>29.735597762605373</v>
      </c>
      <c r="AC31" s="2">
        <f t="shared" si="6"/>
        <v>30.755598372670104</v>
      </c>
      <c r="AD31" s="2">
        <f t="shared" si="7"/>
        <v>0.49336534092993611</v>
      </c>
      <c r="AE31" s="2">
        <f t="shared" si="8"/>
        <v>-0.46533371813063429</v>
      </c>
    </row>
    <row r="32" spans="2:31" x14ac:dyDescent="0.2">
      <c r="B32" s="1">
        <f>[23]FormattedData!A74</f>
        <v>307</v>
      </c>
      <c r="C32" s="1" t="str">
        <f>VLOOKUP($B32,[23]TrtCodes!$B$11:I117,2)</f>
        <v>NTH</v>
      </c>
      <c r="D32" s="1">
        <f>VLOOKUP($B32,[23]TrtCodes!$B$11:J117,3)</f>
        <v>9</v>
      </c>
      <c r="E32" s="1">
        <f>VLOOKUP($B32,[23]TrtCodes!$B$11:K117,4)</f>
        <v>2</v>
      </c>
      <c r="F32" s="1">
        <f>VLOOKUP($B32,[23]TrtCodes!$B$11:L117,5)</f>
        <v>2</v>
      </c>
      <c r="G32" s="1">
        <f>VLOOKUP($B32,[23]TrtCodes!$B$11:M117,6)</f>
        <v>2</v>
      </c>
      <c r="H32" s="1">
        <f>VLOOKUP($B32,[23]TrtCodes!$B$11:N117,7)</f>
        <v>4</v>
      </c>
      <c r="I32" s="1">
        <f>[23]FormattedData!B74</f>
        <v>1</v>
      </c>
      <c r="J32" s="4">
        <f>[23]FormattedData!C74</f>
        <v>13.595000000000001</v>
      </c>
      <c r="K32" s="6">
        <f>$J$3+[23]FormattedData!D74*$J$4+$M$4*$J$5+[23]FormattedData!D74^2*$J$6+$M$5*$J$7</f>
        <v>28.613140478242183</v>
      </c>
      <c r="L32" s="6">
        <f>$J$3+[23]FormattedData!E74*$J$4+$M$4*$J$5+[23]FormattedData!E74^2*$J$6+$M$5*$J$7</f>
        <v>27.828992655716661</v>
      </c>
      <c r="M32" s="6">
        <f>$J$3+[23]FormattedData!F74*$J$4+$M$4*$J$5+[23]FormattedData!F74^2*$J$6+$M$5*$J$7</f>
        <v>28.221404715282869</v>
      </c>
      <c r="N32" s="6">
        <f>$J$3+[23]FormattedData!G74*$J$4+$M$4*$J$5+[23]FormattedData!G74^2*$J$6+$M$5*$J$7</f>
        <v>28.221404715282869</v>
      </c>
      <c r="O32" s="6">
        <f>$J$3+[23]FormattedData!H74*$J$4+$M$4*$J$5+[23]FormattedData!H74^2*$J$6+$M$5*$J$7</f>
        <v>28.613140478242183</v>
      </c>
      <c r="P32" s="6">
        <f>$J$3+[23]FormattedData!I74*$J$4+$M$4*$J$5+[23]FormattedData!I74^2*$J$6+$M$5*$J$7</f>
        <v>28.221404715282869</v>
      </c>
      <c r="Q32" s="6">
        <f>$J$3+[23]FormattedData!J74*$J$4+$M$4*$J$5+[23]FormattedData!J74^2*$J$6+$M$5*$J$7</f>
        <v>29.101859139837877</v>
      </c>
      <c r="R32" s="6">
        <f>$J$3+[23]FormattedData!K74*$J$4+$M$4*$J$5+[23]FormattedData!K74^2*$J$6+$M$5*$J$7</f>
        <v>28.515269940309253</v>
      </c>
      <c r="S32" s="6">
        <f>$J$3+[23]FormattedData!L74*$J$4+$M$4*$J$5+[23]FormattedData!L74^2*$J$6+$M$5*$J$7</f>
        <v>28.41735713383839</v>
      </c>
      <c r="T32" s="6">
        <f>$J$3+[23]FormattedData!M74*$J$4+$M$4*$J$5+[23]FormattedData!M74^2*$J$6+$M$5*$J$7</f>
        <v>27.632533014705967</v>
      </c>
      <c r="U32" s="6">
        <f>$J$3+[23]FormattedData!N74*$J$4+$M$4*$J$5+[23]FormattedData!N74^2*$J$6+$M$5*$J$7</f>
        <v>27.534239791393723</v>
      </c>
      <c r="V32" s="6">
        <f>$J$3+[23]FormattedData!O74*$J$4+$M$4*$J$5+[23]FormattedData!O74^2*$J$6+$M$5*$J$7</f>
        <v>27.730783969480278</v>
      </c>
      <c r="W32" s="5">
        <f t="shared" si="0"/>
        <v>28.22096089563459</v>
      </c>
      <c r="X32" s="4">
        <f t="shared" si="1"/>
        <v>0.1354153828337348</v>
      </c>
      <c r="Y32" s="3">
        <f t="shared" si="2"/>
        <v>27.534239791393723</v>
      </c>
      <c r="Z32" s="2">
        <f t="shared" si="3"/>
        <v>27.804440484157567</v>
      </c>
      <c r="AA32" s="3">
        <f t="shared" si="4"/>
        <v>28.221404715282869</v>
      </c>
      <c r="AB32" s="2">
        <f t="shared" si="5"/>
        <v>28.539737574792486</v>
      </c>
      <c r="AC32" s="2">
        <f t="shared" si="6"/>
        <v>29.101859139837877</v>
      </c>
      <c r="AD32" s="2">
        <f t="shared" si="7"/>
        <v>0.13916488856808765</v>
      </c>
      <c r="AE32" s="2">
        <f t="shared" si="8"/>
        <v>-0.51198559177377412</v>
      </c>
    </row>
    <row r="33" spans="2:31" x14ac:dyDescent="0.2">
      <c r="B33" s="1">
        <f>[23]FormattedData!A76</f>
        <v>308</v>
      </c>
      <c r="C33" s="1" t="str">
        <f>VLOOKUP($B33,[23]TrtCodes!$B$11:I119,2)</f>
        <v>FDH</v>
      </c>
      <c r="D33" s="1">
        <f>VLOOKUP($B33,[23]TrtCodes!$B$11:J119,3)</f>
        <v>5</v>
      </c>
      <c r="E33" s="1">
        <f>VLOOKUP($B33,[23]TrtCodes!$B$11:K119,4)</f>
        <v>1</v>
      </c>
      <c r="F33" s="1">
        <f>VLOOKUP($B33,[23]TrtCodes!$B$11:L119,5)</f>
        <v>3</v>
      </c>
      <c r="G33" s="1">
        <f>VLOOKUP($B33,[23]TrtCodes!$B$11:M119,6)</f>
        <v>2</v>
      </c>
      <c r="H33" s="1">
        <f>VLOOKUP($B33,[23]TrtCodes!$B$11:N119,7)</f>
        <v>4</v>
      </c>
      <c r="I33" s="1">
        <f>[23]FormattedData!B76</f>
        <v>1</v>
      </c>
      <c r="J33" s="4">
        <f>[23]FormattedData!C76</f>
        <v>13.61</v>
      </c>
      <c r="K33" s="6">
        <f>$J$3+[23]FormattedData!D76*$J$4+$M$4*$J$5+[23]FormattedData!D76^2*$J$6+$M$5*$J$7</f>
        <v>28.319402058829596</v>
      </c>
      <c r="L33" s="6">
        <f>$J$3+[23]FormattedData!E76*$J$4+$M$4*$J$5+[23]FormattedData!E76^2*$J$6+$M$5*$J$7</f>
        <v>28.710968747637185</v>
      </c>
      <c r="M33" s="6">
        <f>$J$3+[23]FormattedData!F76*$J$4+$M$4*$J$5+[23]FormattedData!F76^2*$J$6+$M$5*$J$7</f>
        <v>28.906498480813394</v>
      </c>
      <c r="N33" s="6">
        <f>$J$3+[23]FormattedData!G76*$J$4+$M$4*$J$5+[23]FormattedData!G76^2*$J$6+$M$5*$J$7</f>
        <v>29.0041999445946</v>
      </c>
      <c r="O33" s="6">
        <f>$J$3+[23]FormattedData!H76*$J$4+$M$4*$J$5+[23]FormattedData!H76^2*$J$6+$M$5*$J$7</f>
        <v>29.101859139837877</v>
      </c>
      <c r="P33" s="6">
        <f>$J$3+[23]FormattedData!I76*$J$4+$M$4*$J$5+[23]FormattedData!I76^2*$J$6+$M$5*$J$7</f>
        <v>29.19947606654322</v>
      </c>
      <c r="Q33" s="6">
        <f>$J$3+[23]FormattedData!J76*$J$4+$M$4*$J$5+[23]FormattedData!J76^2*$J$6+$M$5*$J$7</f>
        <v>28.221404715282869</v>
      </c>
      <c r="R33" s="6">
        <f>$J$3+[23]FormattedData!K76*$J$4+$M$4*$J$5+[23]FormattedData!K76^2*$J$6+$M$5*$J$7</f>
        <v>28.515269940309253</v>
      </c>
      <c r="S33" s="6">
        <f>$J$3+[23]FormattedData!L76*$J$4+$M$4*$J$5+[23]FormattedData!L76^2*$J$6+$M$5*$J$7</f>
        <v>28.906498480813394</v>
      </c>
      <c r="T33" s="6">
        <f>$J$3+[23]FormattedData!M76*$J$4+$M$4*$J$5+[23]FormattedData!M76^2*$J$6+$M$5*$J$7</f>
        <v>28.906498480813394</v>
      </c>
      <c r="U33" s="6">
        <f>$J$3+[23]FormattedData!N76*$J$4+$M$4*$J$5+[23]FormattedData!N76^2*$J$6+$M$5*$J$7</f>
        <v>28.613140478242183</v>
      </c>
      <c r="V33" s="6">
        <f>$J$3+[23]FormattedData!O76*$J$4+$M$4*$J$5+[23]FormattedData!O76^2*$J$6+$M$5*$J$7</f>
        <v>28.515269940309253</v>
      </c>
      <c r="W33" s="5">
        <f t="shared" si="0"/>
        <v>28.743373872835519</v>
      </c>
      <c r="X33" s="4">
        <f t="shared" si="1"/>
        <v>8.9556042570518912E-2</v>
      </c>
      <c r="Y33" s="3">
        <f t="shared" si="2"/>
        <v>28.221404715282869</v>
      </c>
      <c r="Z33" s="2">
        <f t="shared" si="3"/>
        <v>28.515269940309253</v>
      </c>
      <c r="AA33" s="3">
        <f t="shared" si="4"/>
        <v>28.808733614225289</v>
      </c>
      <c r="AB33" s="2">
        <f t="shared" si="5"/>
        <v>28.930923846758695</v>
      </c>
      <c r="AC33" s="2">
        <f t="shared" si="6"/>
        <v>29.19947606654322</v>
      </c>
      <c r="AD33" s="2">
        <f t="shared" si="7"/>
        <v>-0.26556146244314921</v>
      </c>
      <c r="AE33" s="2">
        <f t="shared" si="8"/>
        <v>-0.99185085038413634</v>
      </c>
    </row>
    <row r="34" spans="2:31" x14ac:dyDescent="0.2">
      <c r="B34" s="1">
        <f>[23]FormattedData!A92</f>
        <v>401</v>
      </c>
      <c r="C34" s="1" t="str">
        <f>VLOOKUP($B34,[23]TrtCodes!$B$11:I129,2)</f>
        <v>NSH</v>
      </c>
      <c r="D34" s="1">
        <f>VLOOKUP($B34,[23]TrtCodes!$B$11:J129,3)</f>
        <v>7</v>
      </c>
      <c r="E34" s="1">
        <f>VLOOKUP($B34,[23]TrtCodes!$B$11:K129,4)</f>
        <v>2</v>
      </c>
      <c r="F34" s="1">
        <f>VLOOKUP($B34,[23]TrtCodes!$B$11:L129,5)</f>
        <v>1</v>
      </c>
      <c r="G34" s="1">
        <f>VLOOKUP($B34,[23]TrtCodes!$B$11:M129,6)</f>
        <v>2</v>
      </c>
      <c r="H34" s="1">
        <f>VLOOKUP($B34,[23]TrtCodes!$B$11:N129,7)</f>
        <v>3</v>
      </c>
      <c r="I34" s="1">
        <f>[23]FormattedData!B92</f>
        <v>1</v>
      </c>
      <c r="J34" s="4">
        <f>[23]FormattedData!C92</f>
        <v>13.755000000000001</v>
      </c>
      <c r="K34" s="6">
        <f>$J$3+[23]FormattedData!D92*$J$4+$M$4*$J$5+[23]FormattedData!D92^2*$J$6+$M$5*$J$7</f>
        <v>35.548737491730229</v>
      </c>
      <c r="L34" s="6">
        <f>$J$3+[23]FormattedData!E92*$J$4+$M$4*$J$5+[23]FormattedData!E92^2*$J$6+$M$5*$J$7</f>
        <v>32.108328997565579</v>
      </c>
      <c r="M34" s="6">
        <f>$J$3+[23]FormattedData!F92*$J$4+$M$4*$J$5+[23]FormattedData!F92^2*$J$6+$M$5*$J$7</f>
        <v>33.069492933653478</v>
      </c>
      <c r="N34" s="6">
        <f>$J$3+[23]FormattedData!G92*$J$4+$M$4*$J$5+[23]FormattedData!G92^2*$J$6+$M$5*$J$7</f>
        <v>33.835380747792755</v>
      </c>
      <c r="O34" s="6">
        <f>$J$3+[23]FormattedData!H92*$J$4+$M$4*$J$5+[23]FormattedData!H92^2*$J$6+$M$5*$J$7</f>
        <v>30.561674843935279</v>
      </c>
      <c r="P34" s="6">
        <f>$J$3+[23]FormattedData!I92*$J$4+$M$4*$J$5+[23]FormattedData!I92^2*$J$6+$M$5*$J$7</f>
        <v>33.739792710908105</v>
      </c>
      <c r="Q34" s="6">
        <f>$J$3+[23]FormattedData!J92*$J$4+$M$4*$J$5+[23]FormattedData!J92^2*$J$6+$M$5*$J$7</f>
        <v>31.722679904068357</v>
      </c>
      <c r="R34" s="6">
        <f>$J$3+[23]FormattedData!K92*$J$4+$M$4*$J$5+[23]FormattedData!K92^2*$J$6+$M$5*$J$7</f>
        <v>29.686926672000975</v>
      </c>
      <c r="S34" s="6">
        <f>$J$3+[23]FormattedData!L92*$J$4+$M$4*$J$5+[23]FormattedData!L92^2*$J$6+$M$5*$J$7</f>
        <v>32.87759829473935</v>
      </c>
      <c r="T34" s="6">
        <f>$J$3+[23]FormattedData!M92*$J$4+$M$4*$J$5+[23]FormattedData!M92^2*$J$6+$M$5*$J$7</f>
        <v>28.613140478242183</v>
      </c>
      <c r="U34" s="6">
        <f>$J$3+[23]FormattedData!N92*$J$4+$M$4*$J$5+[23]FormattedData!N92^2*$J$6+$M$5*$J$7</f>
        <v>30.173320564010453</v>
      </c>
      <c r="V34" s="6">
        <f>$J$3+[23]FormattedData!O92*$J$4+$M$4*$J$5+[23]FormattedData!O92^2*$J$6+$M$5*$J$7</f>
        <v>28.221404715282869</v>
      </c>
      <c r="W34" s="5">
        <f t="shared" si="0"/>
        <v>31.679873196160802</v>
      </c>
      <c r="X34" s="4">
        <f t="shared" si="1"/>
        <v>0.65288604856021226</v>
      </c>
      <c r="Y34" s="3">
        <f t="shared" si="2"/>
        <v>28.221404715282869</v>
      </c>
      <c r="Z34" s="2">
        <f t="shared" si="3"/>
        <v>30.051722091008084</v>
      </c>
      <c r="AA34" s="3">
        <f t="shared" si="4"/>
        <v>31.915504450816968</v>
      </c>
      <c r="AB34" s="2">
        <f t="shared" si="5"/>
        <v>33.237067877967135</v>
      </c>
      <c r="AC34" s="2">
        <f t="shared" si="6"/>
        <v>35.548737491730229</v>
      </c>
      <c r="AD34" s="2">
        <f t="shared" si="7"/>
        <v>-1.6940607158242797E-2</v>
      </c>
      <c r="AE34" s="2">
        <f t="shared" si="8"/>
        <v>-0.8807627397716109</v>
      </c>
    </row>
    <row r="35" spans="2:31" x14ac:dyDescent="0.2">
      <c r="B35" s="1">
        <f>[23]FormattedData!A90</f>
        <v>402</v>
      </c>
      <c r="C35" s="1" t="str">
        <f>VLOOKUP($B35,[23]TrtCodes!$B$11:I130,2)</f>
        <v>NTH</v>
      </c>
      <c r="D35" s="1">
        <f>VLOOKUP($B35,[23]TrtCodes!$B$11:J130,3)</f>
        <v>9</v>
      </c>
      <c r="E35" s="1">
        <f>VLOOKUP($B35,[23]TrtCodes!$B$11:K130,4)</f>
        <v>2</v>
      </c>
      <c r="F35" s="1">
        <f>VLOOKUP($B35,[23]TrtCodes!$B$11:L130,5)</f>
        <v>2</v>
      </c>
      <c r="G35" s="1">
        <f>VLOOKUP($B35,[23]TrtCodes!$B$11:M130,6)</f>
        <v>2</v>
      </c>
      <c r="H35" s="1">
        <f>VLOOKUP($B35,[23]TrtCodes!$B$11:N130,7)</f>
        <v>3</v>
      </c>
      <c r="I35" s="1">
        <f>[23]FormattedData!B90</f>
        <v>1</v>
      </c>
      <c r="J35" s="4">
        <f>[23]FormattedData!C90</f>
        <v>13.737</v>
      </c>
      <c r="K35" s="6">
        <f>$J$3+[23]FormattedData!D90*$J$4+$M$4*$J$5+[23]FormattedData!D90^2*$J$6+$M$5*$J$7</f>
        <v>33.644162405485517</v>
      </c>
      <c r="L35" s="6">
        <f>$J$3+[23]FormattedData!E90*$J$4+$M$4*$J$5+[23]FormattedData!E90^2*$J$6+$M$5*$J$7</f>
        <v>30.561674843935279</v>
      </c>
      <c r="M35" s="6">
        <f>$J$3+[23]FormattedData!F90*$J$4+$M$4*$J$5+[23]FormattedData!F90^2*$J$6+$M$5*$J$7</f>
        <v>30.173320564010453</v>
      </c>
      <c r="N35" s="6">
        <f>$J$3+[23]FormattedData!G90*$J$4+$M$4*$J$5+[23]FormattedData!G90^2*$J$6+$M$5*$J$7</f>
        <v>30.561674843935279</v>
      </c>
      <c r="O35" s="6">
        <f>$J$3+[23]FormattedData!H90*$J$4+$M$4*$J$5+[23]FormattedData!H90^2*$J$6+$M$5*$J$7</f>
        <v>30.949352827253197</v>
      </c>
      <c r="P35" s="6">
        <f>$J$3+[23]FormattedData!I90*$J$4+$M$4*$J$5+[23]FormattedData!I90^2*$J$6+$M$5*$J$7</f>
        <v>29.978889812820455</v>
      </c>
      <c r="Q35" s="6">
        <f>$J$3+[23]FormattedData!J90*$J$4+$M$4*$J$5+[23]FormattedData!J90^2*$J$6+$M$5*$J$7</f>
        <v>30.270472536798561</v>
      </c>
      <c r="R35" s="6">
        <f>$J$3+[23]FormattedData!K90*$J$4+$M$4*$J$5+[23]FormattedData!K90^2*$J$6+$M$5*$J$7</f>
        <v>30.076126322684424</v>
      </c>
      <c r="S35" s="6">
        <f>$J$3+[23]FormattedData!L90*$J$4+$M$4*$J$5+[23]FormattedData!L90^2*$J$6+$M$5*$J$7</f>
        <v>29.978889812820455</v>
      </c>
      <c r="T35" s="6">
        <f>$J$3+[23]FormattedData!M90*$J$4+$M$4*$J$5+[23]FormattedData!M90^2*$J$6+$M$5*$J$7</f>
        <v>29.978889812820455</v>
      </c>
      <c r="U35" s="6">
        <f>$J$3+[23]FormattedData!N90*$J$4+$M$4*$J$5+[23]FormattedData!N90^2*$J$6+$M$5*$J$7</f>
        <v>29.58952108798529</v>
      </c>
      <c r="V35" s="6">
        <f>$J$3+[23]FormattedData!O90*$J$4+$M$4*$J$5+[23]FormattedData!O90^2*$J$6+$M$5*$J$7</f>
        <v>29.881611034418562</v>
      </c>
      <c r="W35" s="5">
        <f t="shared" si="0"/>
        <v>30.470382158747327</v>
      </c>
      <c r="X35" s="4">
        <f t="shared" si="1"/>
        <v>0.30711106985513448</v>
      </c>
      <c r="Y35" s="3">
        <f t="shared" si="2"/>
        <v>29.58952108798529</v>
      </c>
      <c r="Z35" s="2">
        <f t="shared" si="3"/>
        <v>29.978889812820455</v>
      </c>
      <c r="AA35" s="3">
        <f t="shared" si="4"/>
        <v>30.124723443347438</v>
      </c>
      <c r="AB35" s="2">
        <f t="shared" si="5"/>
        <v>30.561674843935279</v>
      </c>
      <c r="AC35" s="2">
        <f t="shared" si="6"/>
        <v>33.644162405485517</v>
      </c>
      <c r="AD35" s="2">
        <f t="shared" si="7"/>
        <v>2.7851728234626218</v>
      </c>
      <c r="AE35" s="2">
        <f t="shared" si="8"/>
        <v>8.5687469644466336</v>
      </c>
    </row>
    <row r="36" spans="2:31" x14ac:dyDescent="0.2">
      <c r="B36" s="1">
        <f>[23]FormattedData!A88</f>
        <v>403</v>
      </c>
      <c r="C36" s="1" t="str">
        <f>VLOOKUP($B36,[23]TrtCodes!$B$11:I131,2)</f>
        <v>FDL</v>
      </c>
      <c r="D36" s="1">
        <f>VLOOKUP($B36,[23]TrtCodes!$B$11:J131,3)</f>
        <v>6</v>
      </c>
      <c r="E36" s="1">
        <f>VLOOKUP($B36,[23]TrtCodes!$B$11:K131,4)</f>
        <v>1</v>
      </c>
      <c r="F36" s="1">
        <f>VLOOKUP($B36,[23]TrtCodes!$B$11:L131,5)</f>
        <v>3</v>
      </c>
      <c r="G36" s="1">
        <f>VLOOKUP($B36,[23]TrtCodes!$B$11:M131,6)</f>
        <v>1</v>
      </c>
      <c r="H36" s="1">
        <f>VLOOKUP($B36,[23]TrtCodes!$B$11:N131,7)</f>
        <v>3</v>
      </c>
      <c r="I36" s="1">
        <f>[23]FormattedData!B88</f>
        <v>1</v>
      </c>
      <c r="J36" s="4">
        <f>[23]FormattedData!C88</f>
        <v>13.718999999999999</v>
      </c>
      <c r="K36" s="6">
        <f>$J$3+[23]FormattedData!D88*$J$4+$M$4*$J$5+[23]FormattedData!D88^2*$J$6+$M$5*$J$7</f>
        <v>30.270472536798561</v>
      </c>
      <c r="L36" s="6">
        <f>$J$3+[23]FormattedData!E88*$J$4+$M$4*$J$5+[23]FormattedData!E88^2*$J$6+$M$5*$J$7</f>
        <v>30.852496734230616</v>
      </c>
      <c r="M36" s="6">
        <f>$J$3+[23]FormattedData!F88*$J$4+$M$4*$J$5+[23]FormattedData!F88^2*$J$6+$M$5*$J$7</f>
        <v>30.755598372670104</v>
      </c>
      <c r="N36" s="6">
        <f>$J$3+[23]FormattedData!G88*$J$4+$M$4*$J$5+[23]FormattedData!G88^2*$J$6+$M$5*$J$7</f>
        <v>30.561674843935279</v>
      </c>
      <c r="O36" s="6">
        <f>$J$3+[23]FormattedData!H88*$J$4+$M$4*$J$5+[23]FormattedData!H88^2*$J$6+$M$5*$J$7</f>
        <v>30.561674843935279</v>
      </c>
      <c r="P36" s="6">
        <f>$J$3+[23]FormattedData!I88*$J$4+$M$4*$J$5+[23]FormattedData!I88^2*$J$6+$M$5*$J$7</f>
        <v>31.142938207684573</v>
      </c>
      <c r="Q36" s="6">
        <f>$J$3+[23]FormattedData!J88*$J$4+$M$4*$J$5+[23]FormattedData!J88^2*$J$6+$M$5*$J$7</f>
        <v>30.949352827253197</v>
      </c>
      <c r="R36" s="6">
        <f>$J$3+[23]FormattedData!K88*$J$4+$M$4*$J$5+[23]FormattedData!K88^2*$J$6+$M$5*$J$7</f>
        <v>30.270472536798561</v>
      </c>
      <c r="S36" s="6">
        <f>$J$3+[23]FormattedData!L88*$J$4+$M$4*$J$5+[23]FormattedData!L88^2*$J$6+$M$5*$J$7</f>
        <v>32.108328997565579</v>
      </c>
      <c r="T36" s="6">
        <f>$J$3+[23]FormattedData!M88*$J$4+$M$4*$J$5+[23]FormattedData!M88^2*$J$6+$M$5*$J$7</f>
        <v>30.270472536798561</v>
      </c>
      <c r="U36" s="6">
        <f>$J$3+[23]FormattedData!N88*$J$4+$M$4*$J$5+[23]FormattedData!N88^2*$J$6+$M$5*$J$7</f>
        <v>31.529601746092155</v>
      </c>
      <c r="V36" s="6">
        <f>$J$3+[23]FormattedData!O88*$J$4+$M$4*$J$5+[23]FormattedData!O88^2*$J$6+$M$5*$J$7</f>
        <v>30.755598372670104</v>
      </c>
      <c r="W36" s="5">
        <f t="shared" si="0"/>
        <v>30.83572354636938</v>
      </c>
      <c r="X36" s="4">
        <f t="shared" si="1"/>
        <v>0.15883422301473796</v>
      </c>
      <c r="Y36" s="3">
        <f t="shared" si="2"/>
        <v>30.270472536798561</v>
      </c>
      <c r="Z36" s="2">
        <f t="shared" si="3"/>
        <v>30.4888742671511</v>
      </c>
      <c r="AA36" s="3">
        <f t="shared" si="4"/>
        <v>30.755598372670104</v>
      </c>
      <c r="AB36" s="2">
        <f t="shared" si="5"/>
        <v>30.99774917236104</v>
      </c>
      <c r="AC36" s="2">
        <f t="shared" si="6"/>
        <v>32.108328997565579</v>
      </c>
      <c r="AD36" s="2">
        <f t="shared" si="7"/>
        <v>1.2060652586331948</v>
      </c>
      <c r="AE36" s="2">
        <f t="shared" si="8"/>
        <v>1.4363750784928904</v>
      </c>
    </row>
    <row r="37" spans="2:31" x14ac:dyDescent="0.2">
      <c r="B37" s="1">
        <f>[23]FormattedData!A86</f>
        <v>404</v>
      </c>
      <c r="C37" s="1" t="str">
        <f>VLOOKUP($B37,[23]TrtCodes!$B$11:I129,2)</f>
        <v>FTH</v>
      </c>
      <c r="D37" s="1">
        <f>VLOOKUP($B37,[23]TrtCodes!$B$11:J129,3)</f>
        <v>3</v>
      </c>
      <c r="E37" s="1">
        <f>VLOOKUP($B37,[23]TrtCodes!$B$11:K129,4)</f>
        <v>1</v>
      </c>
      <c r="F37" s="1">
        <f>VLOOKUP($B37,[23]TrtCodes!$B$11:L129,5)</f>
        <v>2</v>
      </c>
      <c r="G37" s="1">
        <f>VLOOKUP($B37,[23]TrtCodes!$B$11:M129,6)</f>
        <v>2</v>
      </c>
      <c r="H37" s="1">
        <f>VLOOKUP($B37,[23]TrtCodes!$B$11:N129,7)</f>
        <v>3</v>
      </c>
      <c r="I37" s="1">
        <f>[23]FormattedData!B86</f>
        <v>1</v>
      </c>
      <c r="J37" s="4">
        <f>[23]FormattedData!C86</f>
        <v>13.7</v>
      </c>
      <c r="K37" s="6">
        <f>$J$3+[23]FormattedData!D86*$J$4+$M$4*$J$5+[23]FormattedData!D86^2*$J$6+$M$5*$J$7</f>
        <v>29.19947606654322</v>
      </c>
      <c r="L37" s="6">
        <f>$J$3+[23]FormattedData!E86*$J$4+$M$4*$J$5+[23]FormattedData!E86^2*$J$6+$M$5*$J$7</f>
        <v>29.297050724710633</v>
      </c>
      <c r="M37" s="6">
        <f>$J$3+[23]FormattedData!F86*$J$4+$M$4*$J$5+[23]FormattedData!F86^2*$J$6+$M$5*$J$7</f>
        <v>29.492073235431665</v>
      </c>
      <c r="N37" s="6">
        <f>$J$3+[23]FormattedData!G86*$J$4+$M$4*$J$5+[23]FormattedData!G86^2*$J$6+$M$5*$J$7</f>
        <v>29.394583114340119</v>
      </c>
      <c r="O37" s="6">
        <f>$J$3+[23]FormattedData!H86*$J$4+$M$4*$J$5+[23]FormattedData!H86^2*$J$6+$M$5*$J$7</f>
        <v>29.978889812820455</v>
      </c>
      <c r="P37" s="6">
        <f>$J$3+[23]FormattedData!I86*$J$4+$M$4*$J$5+[23]FormattedData!I86^2*$J$6+$M$5*$J$7</f>
        <v>30.464649676760967</v>
      </c>
      <c r="Q37" s="6">
        <f>$J$3+[23]FormattedData!J86*$J$4+$M$4*$J$5+[23]FormattedData!J86^2*$J$6+$M$5*$J$7</f>
        <v>32.204635599595065</v>
      </c>
      <c r="R37" s="6">
        <f>$J$3+[23]FormattedData!K86*$J$4+$M$4*$J$5+[23]FormattedData!K86^2*$J$6+$M$5*$J$7</f>
        <v>31.336354513964228</v>
      </c>
      <c r="S37" s="6">
        <f>$J$3+[23]FormattedData!L86*$J$4+$M$4*$J$5+[23]FormattedData!L86^2*$J$6+$M$5*$J$7</f>
        <v>31.529601746092155</v>
      </c>
      <c r="T37" s="6">
        <f>$J$3+[23]FormattedData!M86*$J$4+$M$4*$J$5+[23]FormattedData!M86^2*$J$6+$M$5*$J$7</f>
        <v>31.336354513964228</v>
      </c>
      <c r="U37" s="6">
        <f>$J$3+[23]FormattedData!N86*$J$4+$M$4*$J$5+[23]FormattedData!N86^2*$J$6+$M$5*$J$7</f>
        <v>31.336354513964228</v>
      </c>
      <c r="V37" s="6">
        <f>$J$3+[23]FormattedData!O86*$J$4+$M$4*$J$5+[23]FormattedData!O86^2*$J$6+$M$5*$J$7</f>
        <v>31.142938207684573</v>
      </c>
      <c r="W37" s="5">
        <f t="shared" si="0"/>
        <v>30.55941347715596</v>
      </c>
      <c r="X37" s="4">
        <f t="shared" si="1"/>
        <v>0.30257051134779411</v>
      </c>
      <c r="Y37" s="3">
        <f t="shared" si="2"/>
        <v>29.19947606654322</v>
      </c>
      <c r="Z37" s="2">
        <f t="shared" si="3"/>
        <v>29.467700705158776</v>
      </c>
      <c r="AA37" s="3">
        <f t="shared" si="4"/>
        <v>30.803793942222768</v>
      </c>
      <c r="AB37" s="2">
        <f t="shared" si="5"/>
        <v>31.336354513964228</v>
      </c>
      <c r="AC37" s="2">
        <f t="shared" si="6"/>
        <v>32.204635599595065</v>
      </c>
      <c r="AD37" s="2">
        <f t="shared" si="7"/>
        <v>-5.1877767752055347E-2</v>
      </c>
      <c r="AE37" s="2">
        <f t="shared" si="8"/>
        <v>-1.6004386102049208</v>
      </c>
    </row>
    <row r="38" spans="2:31" x14ac:dyDescent="0.2">
      <c r="B38" s="1">
        <f>[23]FormattedData!A84</f>
        <v>405</v>
      </c>
      <c r="C38" s="1" t="str">
        <f>VLOOKUP($B38,[23]TrtCodes!$B$11:I127,2)</f>
        <v>FDL</v>
      </c>
      <c r="D38" s="1">
        <f>VLOOKUP($B38,[23]TrtCodes!$B$11:J127,3)</f>
        <v>6</v>
      </c>
      <c r="E38" s="1">
        <f>VLOOKUP($B38,[23]TrtCodes!$B$11:K127,4)</f>
        <v>1</v>
      </c>
      <c r="F38" s="1">
        <f>VLOOKUP($B38,[23]TrtCodes!$B$11:L127,5)</f>
        <v>3</v>
      </c>
      <c r="G38" s="1">
        <f>VLOOKUP($B38,[23]TrtCodes!$B$11:M127,6)</f>
        <v>1</v>
      </c>
      <c r="H38" s="1">
        <f>VLOOKUP($B38,[23]TrtCodes!$B$11:N127,7)</f>
        <v>4</v>
      </c>
      <c r="I38" s="1">
        <f>[23]FormattedData!B84</f>
        <v>1</v>
      </c>
      <c r="J38" s="4">
        <f>[23]FormattedData!C84</f>
        <v>13.682</v>
      </c>
      <c r="K38" s="6">
        <f>$J$3+[23]FormattedData!D84*$J$4+$M$4*$J$5+[23]FormattedData!D84^2*$J$6+$M$5*$J$7</f>
        <v>30.076126322684424</v>
      </c>
      <c r="L38" s="6">
        <f>$J$3+[23]FormattedData!E84*$J$4+$M$4*$J$5+[23]FormattedData!E84^2*$J$6+$M$5*$J$7</f>
        <v>28.906498480813394</v>
      </c>
      <c r="M38" s="6">
        <f>$J$3+[23]FormattedData!F84*$J$4+$M$4*$J$5+[23]FormattedData!F84^2*$J$6+$M$5*$J$7</f>
        <v>29.297050724710633</v>
      </c>
      <c r="N38" s="6">
        <f>$J$3+[23]FormattedData!G84*$J$4+$M$4*$J$5+[23]FormattedData!G84^2*$J$6+$M$5*$J$7</f>
        <v>30.173320564010453</v>
      </c>
      <c r="O38" s="6">
        <f>$J$3+[23]FormattedData!H84*$J$4+$M$4*$J$5+[23]FormattedData!H84^2*$J$6+$M$5*$J$7</f>
        <v>28.613140478242183</v>
      </c>
      <c r="P38" s="6">
        <f>$J$3+[23]FormattedData!I84*$J$4+$M$4*$J$5+[23]FormattedData!I84^2*$J$6+$M$5*$J$7</f>
        <v>28.41735713383839</v>
      </c>
      <c r="Q38" s="6">
        <f>$J$3+[23]FormattedData!J84*$J$4+$M$4*$J$5+[23]FormattedData!J84^2*$J$6+$M$5*$J$7</f>
        <v>28.710968747637185</v>
      </c>
      <c r="R38" s="6">
        <f>$J$3+[23]FormattedData!K84*$J$4+$M$4*$J$5+[23]FormattedData!K84^2*$J$6+$M$5*$J$7</f>
        <v>28.613140478242183</v>
      </c>
      <c r="S38" s="6">
        <f>$J$3+[23]FormattedData!L84*$J$4+$M$4*$J$5+[23]FormattedData!L84^2*$J$6+$M$5*$J$7</f>
        <v>28.613140478242183</v>
      </c>
      <c r="T38" s="6">
        <f>$J$3+[23]FormattedData!M84*$J$4+$M$4*$J$5+[23]FormattedData!M84^2*$J$6+$M$5*$J$7</f>
        <v>28.808754748494255</v>
      </c>
      <c r="U38" s="6">
        <f>$J$3+[23]FormattedData!N84*$J$4+$M$4*$J$5+[23]FormattedData!N84^2*$J$6+$M$5*$J$7</f>
        <v>28.613140478242183</v>
      </c>
      <c r="V38" s="6">
        <f>$J$3+[23]FormattedData!O84*$J$4+$M$4*$J$5+[23]FormattedData!O84^2*$J$6+$M$5*$J$7</f>
        <v>29.101859139837877</v>
      </c>
      <c r="W38" s="5">
        <f t="shared" si="0"/>
        <v>28.995374814582945</v>
      </c>
      <c r="X38" s="4">
        <f t="shared" si="1"/>
        <v>0.16742381647370394</v>
      </c>
      <c r="Y38" s="3">
        <f t="shared" si="2"/>
        <v>28.41735713383839</v>
      </c>
      <c r="Z38" s="2">
        <f t="shared" si="3"/>
        <v>28.613140478242183</v>
      </c>
      <c r="AA38" s="3">
        <f t="shared" si="4"/>
        <v>28.75986174806572</v>
      </c>
      <c r="AB38" s="2">
        <f t="shared" si="5"/>
        <v>29.150657036056067</v>
      </c>
      <c r="AC38" s="2">
        <f t="shared" si="6"/>
        <v>30.173320564010453</v>
      </c>
      <c r="AD38" s="2">
        <f t="shared" si="7"/>
        <v>1.3861183993608386</v>
      </c>
      <c r="AE38" s="2">
        <f t="shared" si="8"/>
        <v>0.84506392413793829</v>
      </c>
    </row>
    <row r="39" spans="2:31" x14ac:dyDescent="0.2">
      <c r="B39" s="1">
        <f>[23]FormattedData!A82</f>
        <v>406</v>
      </c>
      <c r="C39" s="1" t="str">
        <f>VLOOKUP($B39,[23]TrtCodes!$B$11:I125,2)</f>
        <v>FTH</v>
      </c>
      <c r="D39" s="1">
        <f>VLOOKUP($B39,[23]TrtCodes!$B$11:J125,3)</f>
        <v>3</v>
      </c>
      <c r="E39" s="1">
        <f>VLOOKUP($B39,[23]TrtCodes!$B$11:K125,4)</f>
        <v>1</v>
      </c>
      <c r="F39" s="1">
        <f>VLOOKUP($B39,[23]TrtCodes!$B$11:L125,5)</f>
        <v>2</v>
      </c>
      <c r="G39" s="1">
        <f>VLOOKUP($B39,[23]TrtCodes!$B$11:M125,6)</f>
        <v>2</v>
      </c>
      <c r="H39" s="1">
        <f>VLOOKUP($B39,[23]TrtCodes!$B$11:N125,7)</f>
        <v>4</v>
      </c>
      <c r="I39" s="1">
        <f>[23]FormattedData!B82</f>
        <v>1</v>
      </c>
      <c r="J39" s="4">
        <f>[23]FormattedData!C82</f>
        <v>13.664999999999999</v>
      </c>
      <c r="K39" s="6">
        <f>$J$3+[23]FormattedData!D82*$J$4+$M$4*$J$5+[23]FormattedData!D82^2*$J$6+$M$5*$J$7</f>
        <v>29.19947606654322</v>
      </c>
      <c r="L39" s="6">
        <f>$J$3+[23]FormattedData!E82*$J$4+$M$4*$J$5+[23]FormattedData!E82^2*$J$6+$M$5*$J$7</f>
        <v>29.492073235431665</v>
      </c>
      <c r="M39" s="6">
        <f>$J$3+[23]FormattedData!F82*$J$4+$M$4*$J$5+[23]FormattedData!F82^2*$J$6+$M$5*$J$7</f>
        <v>29.19947606654322</v>
      </c>
      <c r="N39" s="6">
        <f>$J$3+[23]FormattedData!G82*$J$4+$M$4*$J$5+[23]FormattedData!G82^2*$J$6+$M$5*$J$7</f>
        <v>28.906498480813394</v>
      </c>
      <c r="O39" s="6">
        <f>$J$3+[23]FormattedData!H82*$J$4+$M$4*$J$5+[23]FormattedData!H82^2*$J$6+$M$5*$J$7</f>
        <v>29.101859139837877</v>
      </c>
      <c r="P39" s="6">
        <f>$J$3+[23]FormattedData!I82*$J$4+$M$4*$J$5+[23]FormattedData!I82^2*$J$6+$M$5*$J$7</f>
        <v>29.0041999445946</v>
      </c>
      <c r="Q39" s="6">
        <f>$J$3+[23]FormattedData!J82*$J$4+$M$4*$J$5+[23]FormattedData!J82^2*$J$6+$M$5*$J$7</f>
        <v>28.123365103198214</v>
      </c>
      <c r="R39" s="6">
        <f>$J$3+[23]FormattedData!K82*$J$4+$M$4*$J$5+[23]FormattedData!K82^2*$J$6+$M$5*$J$7</f>
        <v>28.515269940309253</v>
      </c>
      <c r="S39" s="6">
        <f>$J$3+[23]FormattedData!L82*$J$4+$M$4*$J$5+[23]FormattedData!L82^2*$J$6+$M$5*$J$7</f>
        <v>28.515269940309253</v>
      </c>
      <c r="T39" s="6">
        <f>$J$3+[23]FormattedData!M82*$J$4+$M$4*$J$5+[23]FormattedData!M82^2*$J$6+$M$5*$J$7</f>
        <v>28.710968747637185</v>
      </c>
      <c r="U39" s="6">
        <f>$J$3+[23]FormattedData!N82*$J$4+$M$4*$J$5+[23]FormattedData!N82^2*$J$6+$M$5*$J$7</f>
        <v>28.808754748494255</v>
      </c>
      <c r="V39" s="6">
        <f>$J$3+[23]FormattedData!O82*$J$4+$M$4*$J$5+[23]FormattedData!O82^2*$J$6+$M$5*$J$7</f>
        <v>29.101859139837877</v>
      </c>
      <c r="W39" s="5">
        <f t="shared" si="0"/>
        <v>28.889922546129171</v>
      </c>
      <c r="X39" s="4">
        <f t="shared" si="1"/>
        <v>0.10886301784328589</v>
      </c>
      <c r="Y39" s="3">
        <f t="shared" si="2"/>
        <v>28.123365103198214</v>
      </c>
      <c r="Z39" s="2">
        <f t="shared" si="3"/>
        <v>28.662044045805203</v>
      </c>
      <c r="AA39" s="3">
        <f t="shared" si="4"/>
        <v>28.955349212703997</v>
      </c>
      <c r="AB39" s="2">
        <f t="shared" si="5"/>
        <v>29.126263371514213</v>
      </c>
      <c r="AC39" s="2">
        <f t="shared" si="6"/>
        <v>29.492073235431665</v>
      </c>
      <c r="AD39" s="2">
        <f t="shared" si="7"/>
        <v>-0.53636877154716678</v>
      </c>
      <c r="AE39" s="2">
        <f t="shared" si="8"/>
        <v>0.17234700609500919</v>
      </c>
    </row>
    <row r="40" spans="2:31" x14ac:dyDescent="0.2">
      <c r="B40" s="1">
        <f>[23]FormattedData!A80</f>
        <v>407</v>
      </c>
      <c r="C40" s="1" t="str">
        <f>VLOOKUP($B40,[23]TrtCodes!$B$11:I123,2)</f>
        <v>NSH</v>
      </c>
      <c r="D40" s="1">
        <f>VLOOKUP($B40,[23]TrtCodes!$B$11:J123,3)</f>
        <v>7</v>
      </c>
      <c r="E40" s="1">
        <f>VLOOKUP($B40,[23]TrtCodes!$B$11:K123,4)</f>
        <v>2</v>
      </c>
      <c r="F40" s="1">
        <f>VLOOKUP($B40,[23]TrtCodes!$B$11:L123,5)</f>
        <v>1</v>
      </c>
      <c r="G40" s="1">
        <f>VLOOKUP($B40,[23]TrtCodes!$B$11:M123,6)</f>
        <v>2</v>
      </c>
      <c r="H40" s="1">
        <f>VLOOKUP($B40,[23]TrtCodes!$B$11:N123,7)</f>
        <v>4</v>
      </c>
      <c r="I40" s="1">
        <f>[23]FormattedData!B80</f>
        <v>1</v>
      </c>
      <c r="J40" s="4">
        <f>[23]FormattedData!C80</f>
        <v>13.648</v>
      </c>
      <c r="K40" s="6">
        <f>$J$3+[23]FormattedData!D80*$J$4+$M$4*$J$5+[23]FormattedData!D80^2*$J$6+$M$5*$J$7</f>
        <v>32.973566748465373</v>
      </c>
      <c r="L40" s="6">
        <f>$J$3+[23]FormattedData!E80*$J$4+$M$4*$J$5+[23]FormattedData!E80^2*$J$6+$M$5*$J$7</f>
        <v>29.394583114340119</v>
      </c>
      <c r="M40" s="6">
        <f>$J$3+[23]FormattedData!F80*$J$4+$M$4*$J$5+[23]FormattedData!F80^2*$J$6+$M$5*$J$7</f>
        <v>31.722679904068357</v>
      </c>
      <c r="N40" s="6">
        <f>$J$3+[23]FormattedData!G80*$J$4+$M$4*$J$5+[23]FormattedData!G80^2*$J$6+$M$5*$J$7</f>
        <v>30.173320564010453</v>
      </c>
      <c r="O40" s="6">
        <f>$J$3+[23]FormattedData!H80*$J$4+$M$4*$J$5+[23]FormattedData!H80^2*$J$6+$M$5*$J$7</f>
        <v>32.87759829473935</v>
      </c>
      <c r="P40" s="6">
        <f>$J$3+[23]FormattedData!I80*$J$4+$M$4*$J$5+[23]FormattedData!I80^2*$J$6+$M$5*$J$7</f>
        <v>29.978889812820455</v>
      </c>
      <c r="Q40" s="6">
        <f>$J$3+[23]FormattedData!J80*$J$4+$M$4*$J$5+[23]FormattedData!J80^2*$J$6+$M$5*$J$7</f>
        <v>31.046166651737856</v>
      </c>
      <c r="R40" s="6">
        <f>$J$3+[23]FormattedData!K80*$J$4+$M$4*$J$5+[23]FormattedData!K80^2*$J$6+$M$5*$J$7</f>
        <v>30.076126322684424</v>
      </c>
      <c r="S40" s="6">
        <f>$J$3+[23]FormattedData!L80*$J$4+$M$4*$J$5+[23]FormattedData!L80^2*$J$6+$M$5*$J$7</f>
        <v>29.686926672000975</v>
      </c>
      <c r="T40" s="6">
        <f>$J$3+[23]FormattedData!M80*$J$4+$M$4*$J$5+[23]FormattedData!M80^2*$J$6+$M$5*$J$7</f>
        <v>30.173320564010453</v>
      </c>
      <c r="U40" s="6">
        <f>$J$3+[23]FormattedData!N80*$J$4+$M$4*$J$5+[23]FormattedData!N80^2*$J$6+$M$5*$J$7</f>
        <v>28.808754748494255</v>
      </c>
      <c r="V40" s="6">
        <f>$J$3+[23]FormattedData!O80*$J$4+$M$4*$J$5+[23]FormattedData!O80^2*$J$6+$M$5*$J$7</f>
        <v>29.686926672000975</v>
      </c>
      <c r="W40" s="5">
        <f t="shared" si="0"/>
        <v>30.549905005781088</v>
      </c>
      <c r="X40" s="4">
        <f t="shared" si="1"/>
        <v>0.38537625503653372</v>
      </c>
      <c r="Y40" s="3">
        <f t="shared" si="2"/>
        <v>28.808754748494255</v>
      </c>
      <c r="Z40" s="2">
        <f t="shared" si="3"/>
        <v>29.686926672000975</v>
      </c>
      <c r="AA40" s="3">
        <f t="shared" si="4"/>
        <v>30.124723443347438</v>
      </c>
      <c r="AB40" s="2">
        <f t="shared" si="5"/>
        <v>31.21529496482048</v>
      </c>
      <c r="AC40" s="2">
        <f t="shared" si="6"/>
        <v>32.973566748465373</v>
      </c>
      <c r="AD40" s="2">
        <f t="shared" si="7"/>
        <v>0.92065582233088605</v>
      </c>
      <c r="AE40" s="2">
        <f t="shared" si="8"/>
        <v>-0.15899622964300519</v>
      </c>
    </row>
    <row r="41" spans="2:31" x14ac:dyDescent="0.2">
      <c r="B41" s="1">
        <f>[23]FormattedData!A78</f>
        <v>408</v>
      </c>
      <c r="C41" s="1" t="str">
        <f>VLOOKUP($B41,[23]TrtCodes!$B$11:I121,2)</f>
        <v>NTL</v>
      </c>
      <c r="D41" s="1">
        <f>VLOOKUP($B41,[23]TrtCodes!$B$11:J121,3)</f>
        <v>10</v>
      </c>
      <c r="E41" s="1">
        <f>VLOOKUP($B41,[23]TrtCodes!$B$11:K121,4)</f>
        <v>2</v>
      </c>
      <c r="F41" s="1">
        <f>VLOOKUP($B41,[23]TrtCodes!$B$11:L121,5)</f>
        <v>2</v>
      </c>
      <c r="G41" s="1">
        <f>VLOOKUP($B41,[23]TrtCodes!$B$11:M121,6)</f>
        <v>1</v>
      </c>
      <c r="H41" s="1">
        <f>VLOOKUP($B41,[23]TrtCodes!$B$11:N121,7)</f>
        <v>4</v>
      </c>
      <c r="I41" s="1">
        <f>[23]FormattedData!B78</f>
        <v>1</v>
      </c>
      <c r="J41" s="4">
        <f>[23]FormattedData!C78</f>
        <v>13.63</v>
      </c>
      <c r="K41" s="6">
        <f>$J$3+[23]FormattedData!D78*$J$4+$M$4*$J$5+[23]FormattedData!D78^2*$J$6+$M$5*$J$7</f>
        <v>31.722679904068357</v>
      </c>
      <c r="L41" s="6">
        <f>$J$3+[23]FormattedData!E78*$J$4+$M$4*$J$5+[23]FormattedData!E78^2*$J$6+$M$5*$J$7</f>
        <v>30.755598372670104</v>
      </c>
      <c r="M41" s="6">
        <f>$J$3+[23]FormattedData!F78*$J$4+$M$4*$J$5+[23]FormattedData!F78^2*$J$6+$M$5*$J$7</f>
        <v>28.906498480813394</v>
      </c>
      <c r="N41" s="6">
        <f>$J$3+[23]FormattedData!G78*$J$4+$M$4*$J$5+[23]FormattedData!G78^2*$J$6+$M$5*$J$7</f>
        <v>29.19947606654322</v>
      </c>
      <c r="O41" s="6">
        <f>$J$3+[23]FormattedData!H78*$J$4+$M$4*$J$5+[23]FormattedData!H78^2*$J$6+$M$5*$J$7</f>
        <v>29.0041999445946</v>
      </c>
      <c r="P41" s="6">
        <f>$J$3+[23]FormattedData!I78*$J$4+$M$4*$J$5+[23]FormattedData!I78^2*$J$6+$M$5*$J$7</f>
        <v>29.394583114340119</v>
      </c>
      <c r="Q41" s="6">
        <f>$J$3+[23]FormattedData!J78*$J$4+$M$4*$J$5+[23]FormattedData!J78^2*$J$6+$M$5*$J$7</f>
        <v>28.515269940309253</v>
      </c>
      <c r="R41" s="6">
        <f>$J$3+[23]FormattedData!K78*$J$4+$M$4*$J$5+[23]FormattedData!K78^2*$J$6+$M$5*$J$7</f>
        <v>30.173320564010453</v>
      </c>
      <c r="S41" s="6">
        <f>$J$3+[23]FormattedData!L78*$J$4+$M$4*$J$5+[23]FormattedData!L78^2*$J$6+$M$5*$J$7</f>
        <v>28.710968747637185</v>
      </c>
      <c r="T41" s="6">
        <f>$J$3+[23]FormattedData!M78*$J$4+$M$4*$J$5+[23]FormattedData!M78^2*$J$6+$M$5*$J$7</f>
        <v>29.0041999445946</v>
      </c>
      <c r="U41" s="6">
        <f>$J$3+[23]FormattedData!N78*$J$4+$M$4*$J$5+[23]FormattedData!N78^2*$J$6+$M$5*$J$7</f>
        <v>29.0041999445946</v>
      </c>
      <c r="V41" s="6">
        <f>$J$3+[23]FormattedData!O78*$J$4+$M$4*$J$5+[23]FormattedData!O78^2*$J$6+$M$5*$J$7</f>
        <v>28.613140478242183</v>
      </c>
      <c r="W41" s="5">
        <f t="shared" si="0"/>
        <v>29.417011291868167</v>
      </c>
      <c r="X41" s="4">
        <f t="shared" si="1"/>
        <v>0.28146607813601388</v>
      </c>
      <c r="Y41" s="3">
        <f t="shared" si="2"/>
        <v>28.515269940309253</v>
      </c>
      <c r="Z41" s="2">
        <f t="shared" si="3"/>
        <v>28.857616047519343</v>
      </c>
      <c r="AA41" s="3">
        <f t="shared" si="4"/>
        <v>29.0041999445946</v>
      </c>
      <c r="AB41" s="2">
        <f t="shared" si="5"/>
        <v>29.589267476757701</v>
      </c>
      <c r="AC41" s="2">
        <f t="shared" si="6"/>
        <v>31.722679904068357</v>
      </c>
      <c r="AD41" s="2">
        <f t="shared" si="7"/>
        <v>1.5451748309957933</v>
      </c>
      <c r="AE41" s="2">
        <f t="shared" si="8"/>
        <v>1.769629009661239</v>
      </c>
    </row>
    <row r="42" spans="2:31" x14ac:dyDescent="0.2">
      <c r="B42" s="17">
        <f>[23]FormattedData!A60</f>
        <v>901</v>
      </c>
      <c r="C42" s="17" t="str">
        <f>VLOOKUP($B42,[23]TrtCodes!$B$11:I103,2)</f>
        <v>WS</v>
      </c>
      <c r="D42" s="17">
        <f>VLOOKUP($B42,[23]TrtCodes!$B$11:J103,3)</f>
        <v>32</v>
      </c>
      <c r="E42" s="17">
        <f>VLOOKUP($B42,[23]TrtCodes!$B$11:K103,4)</f>
        <v>9</v>
      </c>
      <c r="F42" s="17">
        <f>VLOOKUP($B42,[23]TrtCodes!$B$11:L103,5)</f>
        <v>0</v>
      </c>
      <c r="G42" s="17">
        <f>VLOOKUP($B42,[23]TrtCodes!$B$11:M103,6)</f>
        <v>1</v>
      </c>
      <c r="H42" s="17">
        <f>VLOOKUP($B42,[23]TrtCodes!$B$11:N103,7)</f>
        <v>1</v>
      </c>
      <c r="I42" s="17">
        <f>[23]FormattedData!B60</f>
        <v>1</v>
      </c>
      <c r="J42" s="15">
        <f>[23]FormattedData!C60</f>
        <v>13.483000000000001</v>
      </c>
      <c r="K42" s="14">
        <f>$J$3+[23]FormattedData!D60*$J$4+$M$4*$J$5+[23]FormattedData!D60^2*$J$6+$M$5*$J$7</f>
        <v>45.901908942313611</v>
      </c>
      <c r="L42" s="14">
        <f>$J$3+[23]FormattedData!E60*$J$4+$M$4*$J$5+[23]FormattedData!E60^2*$J$6+$M$5*$J$7</f>
        <v>46.621132290576895</v>
      </c>
      <c r="M42" s="14">
        <f>$J$3+[23]FormattedData!F60*$J$4+$M$4*$J$5+[23]FormattedData!F60^2*$J$6+$M$5*$J$7</f>
        <v>46.621132290576895</v>
      </c>
      <c r="N42" s="14">
        <f>$J$3+[23]FormattedData!G60*$J$4+$M$4*$J$5+[23]FormattedData!G60^2*$J$6+$M$5*$J$7</f>
        <v>46.261858764748702</v>
      </c>
      <c r="O42" s="14">
        <f>$J$3+[23]FormattedData!H60*$J$4+$M$4*$J$5+[23]FormattedData!H60^2*$J$6+$M$5*$J$7</f>
        <v>44.546073841526805</v>
      </c>
      <c r="P42" s="14">
        <f>$J$3+[23]FormattedData!I60*$J$4+$M$4*$J$5+[23]FormattedData!I60^2*$J$6+$M$5*$J$7</f>
        <v>44.908559776237773</v>
      </c>
      <c r="Q42" s="14">
        <f>$J$3+[23]FormattedData!J60*$J$4+$M$4*$J$5+[23]FormattedData!J60^2*$J$6+$M$5*$J$7</f>
        <v>45.991959800729269</v>
      </c>
      <c r="R42" s="14">
        <f>$J$3+[23]FormattedData!K60*$J$4+$M$4*$J$5+[23]FormattedData!K60^2*$J$6+$M$5*$J$7</f>
        <v>45.991959800729269</v>
      </c>
      <c r="S42" s="14">
        <f>$J$3+[23]FormattedData!L60*$J$4+$M$4*$J$5+[23]FormattedData!L60^2*$J$6+$M$5*$J$7</f>
        <v>46.081968390607017</v>
      </c>
      <c r="T42" s="14">
        <f>$J$3+[23]FormattedData!M60*$J$4+$M$4*$J$5+[23]FormattedData!M60^2*$J$6+$M$5*$J$7</f>
        <v>45.179980407622722</v>
      </c>
      <c r="U42" s="14">
        <f>$J$3+[23]FormattedData!N60*$J$4+$M$4*$J$5+[23]FormattedData!N60^2*$J$6+$M$5*$J$7</f>
        <v>45.179980407622722</v>
      </c>
      <c r="V42" s="14">
        <f>$J$3+[23]FormattedData!O60*$J$4+$M$4*$J$5+[23]FormattedData!O60^2*$J$6+$M$5*$J$7</f>
        <v>45.179980407622722</v>
      </c>
      <c r="W42" s="16">
        <f t="shared" ref="W42:W73" si="9">AVERAGE(K42:V42)</f>
        <v>45.705541260076195</v>
      </c>
      <c r="X42" s="15">
        <f t="shared" ref="X42:X73" si="10">STDEV(K42:V42)/SQRT(COUNT(K42:V42))</f>
        <v>0.19730415409609717</v>
      </c>
      <c r="Y42" s="14">
        <f t="shared" ref="Y42:Y73" si="11">MIN(K42:V42)</f>
        <v>44.546073841526805</v>
      </c>
      <c r="Z42" s="13">
        <f t="shared" ref="Z42:Z73" si="12">QUARTILE(K42:V42,1)</f>
        <v>45.179980407622722</v>
      </c>
      <c r="AA42" s="14">
        <f t="shared" ref="AA42:AA73" si="13">MEDIAN(K42:V42)</f>
        <v>45.946934371521436</v>
      </c>
      <c r="AB42" s="13">
        <f t="shared" ref="AB42:AB73" si="14">QUARTILE(K42:V42,3)</f>
        <v>46.126940984142436</v>
      </c>
      <c r="AC42" s="13">
        <f t="shared" ref="AC42:AC73" si="15">MAX(K42:V42)</f>
        <v>46.621132290576895</v>
      </c>
      <c r="AD42" s="13">
        <f t="shared" ref="AD42:AD73" si="16">SKEW(K42:V42)</f>
        <v>-0.23414873629811017</v>
      </c>
      <c r="AE42" s="13">
        <f t="shared" ref="AE42:AE73" si="17">KURT(K42:V42)</f>
        <v>-1.1623813996337247</v>
      </c>
    </row>
    <row r="43" spans="2:31" x14ac:dyDescent="0.2">
      <c r="B43" s="1">
        <f>[23]FormattedData!A58</f>
        <v>902</v>
      </c>
      <c r="C43" s="1" t="str">
        <f>VLOOKUP($B43,[23]TrtCodes!$B$11:I101,2)</f>
        <v>Late</v>
      </c>
      <c r="D43" s="1">
        <f>VLOOKUP($B43,[23]TrtCodes!$B$11:J101,3)</f>
        <v>22</v>
      </c>
      <c r="E43" s="1">
        <f>VLOOKUP($B43,[23]TrtCodes!$B$11:K101,4)</f>
        <v>4</v>
      </c>
      <c r="F43" s="1">
        <f>VLOOKUP($B43,[23]TrtCodes!$B$11:L101,5)</f>
        <v>2</v>
      </c>
      <c r="G43" s="1">
        <f>VLOOKUP($B43,[23]TrtCodes!$B$11:M101,6)</f>
        <v>2</v>
      </c>
      <c r="H43" s="1">
        <f>VLOOKUP($B43,[23]TrtCodes!$B$11:N101,7)</f>
        <v>1</v>
      </c>
      <c r="I43" s="1">
        <f>[23]FormattedData!B58</f>
        <v>1</v>
      </c>
      <c r="J43" s="4">
        <f>[23]FormattedData!C58</f>
        <v>13.465</v>
      </c>
      <c r="K43" s="6">
        <f>$J$3+[23]FormattedData!D58*$J$4+$M$4*$J$5+[23]FormattedData!D58^2*$J$6+$M$5*$J$7</f>
        <v>35.26412907651077</v>
      </c>
      <c r="L43" s="6">
        <f>$J$3+[23]FormattedData!E58*$J$4+$M$4*$J$5+[23]FormattedData!E58^2*$J$6+$M$5*$J$7</f>
        <v>33.644162405485517</v>
      </c>
      <c r="M43" s="6">
        <f>$J$3+[23]FormattedData!F58*$J$4+$M$4*$J$5+[23]FormattedData!F58^2*$J$6+$M$5*$J$7</f>
        <v>34.598563375504426</v>
      </c>
      <c r="N43" s="6">
        <f>$J$3+[23]FormattedData!G58*$J$4+$M$4*$J$5+[23]FormattedData!G58^2*$J$6+$M$5*$J$7</f>
        <v>33.069492933653478</v>
      </c>
      <c r="O43" s="6">
        <f>$J$3+[23]FormattedData!H58*$J$4+$M$4*$J$5+[23]FormattedData!H58^2*$J$6+$M$5*$J$7</f>
        <v>33.069492933653478</v>
      </c>
      <c r="P43" s="6">
        <f>$J$3+[23]FormattedData!I58*$J$4+$M$4*$J$5+[23]FormattedData!I58^2*$J$6+$M$5*$J$7</f>
        <v>32.493301794455917</v>
      </c>
      <c r="Q43" s="6">
        <f>$J$3+[23]FormattedData!J58*$J$4+$M$4*$J$5+[23]FormattedData!J58^2*$J$6+$M$5*$J$7</f>
        <v>37.999408518165531</v>
      </c>
      <c r="R43" s="6">
        <f>$J$3+[23]FormattedData!K58*$J$4+$M$4*$J$5+[23]FormattedData!K58^2*$J$6+$M$5*$J$7</f>
        <v>32.011980126998175</v>
      </c>
      <c r="S43" s="6">
        <f>$J$3+[23]FormattedData!L58*$J$4+$M$4*$J$5+[23]FormattedData!L58^2*$J$6+$M$5*$J$7</f>
        <v>41.068727168503592</v>
      </c>
      <c r="T43" s="6">
        <f>$J$3+[23]FormattedData!M58*$J$4+$M$4*$J$5+[23]FormattedData!M58^2*$J$6+$M$5*$J$7</f>
        <v>33.930926516139465</v>
      </c>
      <c r="U43" s="6">
        <f>$J$3+[23]FormattedData!N58*$J$4+$M$4*$J$5+[23]FormattedData!N58^2*$J$6+$M$5*$J$7</f>
        <v>38.747712620525441</v>
      </c>
      <c r="V43" s="6">
        <f>$J$3+[23]FormattedData!O58*$J$4+$M$4*$J$5+[23]FormattedData!O58^2*$J$6+$M$5*$J$7</f>
        <v>33.835380747792755</v>
      </c>
      <c r="W43" s="5">
        <f t="shared" si="9"/>
        <v>34.977773184782372</v>
      </c>
      <c r="X43" s="4">
        <f t="shared" si="10"/>
        <v>0.8123073355168654</v>
      </c>
      <c r="Y43" s="3">
        <f t="shared" si="11"/>
        <v>32.011980126998175</v>
      </c>
      <c r="Z43" s="2">
        <f t="shared" si="12"/>
        <v>33.069492933653478</v>
      </c>
      <c r="AA43" s="3">
        <f t="shared" si="13"/>
        <v>33.88315363196611</v>
      </c>
      <c r="AB43" s="2">
        <f t="shared" si="14"/>
        <v>35.947948936924462</v>
      </c>
      <c r="AC43" s="2">
        <f t="shared" si="15"/>
        <v>41.068727168503592</v>
      </c>
      <c r="AD43" s="2">
        <f t="shared" si="16"/>
        <v>1.2082714276001176</v>
      </c>
      <c r="AE43" s="2">
        <f t="shared" si="17"/>
        <v>0.51532460783162293</v>
      </c>
    </row>
    <row r="44" spans="2:31" x14ac:dyDescent="0.2">
      <c r="B44" s="17">
        <f>[23]FormattedData!A56</f>
        <v>903</v>
      </c>
      <c r="C44" s="17" t="str">
        <f>VLOOKUP($B44,[23]TrtCodes!$B$11:I99,2)</f>
        <v>DS</v>
      </c>
      <c r="D44" s="17">
        <f>VLOOKUP($B44,[23]TrtCodes!$B$11:J99,3)</f>
        <v>31</v>
      </c>
      <c r="E44" s="17">
        <f>VLOOKUP($B44,[23]TrtCodes!$B$11:K99,4)</f>
        <v>8</v>
      </c>
      <c r="F44" s="17">
        <f>VLOOKUP($B44,[23]TrtCodes!$B$11:L99,5)</f>
        <v>0</v>
      </c>
      <c r="G44" s="17">
        <f>VLOOKUP($B44,[23]TrtCodes!$B$11:M99,6)</f>
        <v>1</v>
      </c>
      <c r="H44" s="17">
        <f>VLOOKUP($B44,[23]TrtCodes!$B$11:N99,7)</f>
        <v>1</v>
      </c>
      <c r="I44" s="17">
        <f>[23]FormattedData!B56</f>
        <v>1</v>
      </c>
      <c r="J44" s="15">
        <f>[23]FormattedData!C56</f>
        <v>13.457000000000001</v>
      </c>
      <c r="K44" s="14">
        <f>$J$3+[23]FormattedData!D56*$J$4+$M$4*$J$5+[23]FormattedData!D56^2*$J$6+$M$5*$J$7</f>
        <v>55.724863853088756</v>
      </c>
      <c r="L44" s="14">
        <f>$J$3+[23]FormattedData!E56*$J$4+$M$4*$J$5+[23]FormattedData!E56^2*$J$6+$M$5*$J$7</f>
        <v>55.554103483140203</v>
      </c>
      <c r="M44" s="14">
        <f>$J$3+[23]FormattedData!F56*$J$4+$M$4*$J$5+[23]FormattedData!F56^2*$J$6+$M$5*$J$7</f>
        <v>55.724863853088756</v>
      </c>
      <c r="N44" s="14">
        <f>$J$3+[23]FormattedData!G56*$J$4+$M$4*$J$5+[23]FormattedData!G56^2*$J$6+$M$5*$J$7</f>
        <v>54.697765521121539</v>
      </c>
      <c r="O44" s="14">
        <f>$J$3+[23]FormattedData!H56*$J$4+$M$4*$J$5+[23]FormattedData!H56^2*$J$6+$M$5*$J$7</f>
        <v>54.955110729375413</v>
      </c>
      <c r="P44" s="14">
        <f>$J$3+[23]FormattedData!I56*$J$4+$M$4*$J$5+[23]FormattedData!I56^2*$J$6+$M$5*$J$7</f>
        <v>55.383174039039915</v>
      </c>
      <c r="Q44" s="14">
        <f>$J$3+[23]FormattedData!J56*$J$4+$M$4*$J$5+[23]FormattedData!J56^2*$J$6+$M$5*$J$7</f>
        <v>55.383174039039915</v>
      </c>
      <c r="R44" s="14">
        <f>$J$3+[23]FormattedData!K56*$J$4+$M$4*$J$5+[23]FormattedData!K56^2*$J$6+$M$5*$J$7</f>
        <v>55.297645914182873</v>
      </c>
      <c r="S44" s="14">
        <f>$J$3+[23]FormattedData!L56*$J$4+$M$4*$J$5+[23]FormattedData!L56^2*$J$6+$M$5*$J$7</f>
        <v>55.554103483140203</v>
      </c>
      <c r="T44" s="14">
        <f>$J$3+[23]FormattedData!M56*$J$4+$M$4*$J$5+[23]FormattedData!M56^2*$J$6+$M$5*$J$7</f>
        <v>55.639504802383442</v>
      </c>
      <c r="U44" s="14">
        <f>$J$3+[23]FormattedData!N56*$J$4+$M$4*$J$5+[23]FormattedData!N56^2*$J$6+$M$5*$J$7</f>
        <v>55.554103483140203</v>
      </c>
      <c r="V44" s="14">
        <f>$J$3+[23]FormattedData!O56*$J$4+$M$4*$J$5+[23]FormattedData!O56^2*$J$6+$M$5*$J$7</f>
        <v>56.321193688963888</v>
      </c>
      <c r="W44" s="16">
        <f t="shared" si="9"/>
        <v>55.482467240808752</v>
      </c>
      <c r="X44" s="15">
        <f t="shared" si="10"/>
        <v>0.11705894724447481</v>
      </c>
      <c r="Y44" s="14">
        <f t="shared" si="11"/>
        <v>54.697765521121539</v>
      </c>
      <c r="Z44" s="13">
        <f t="shared" si="12"/>
        <v>55.361792007825656</v>
      </c>
      <c r="AA44" s="14">
        <f t="shared" si="13"/>
        <v>55.554103483140203</v>
      </c>
      <c r="AB44" s="13">
        <f t="shared" si="14"/>
        <v>55.660844565059769</v>
      </c>
      <c r="AC44" s="13">
        <f t="shared" si="15"/>
        <v>56.321193688963888</v>
      </c>
      <c r="AD44" s="13">
        <f t="shared" si="16"/>
        <v>-2.3959802260601619E-2</v>
      </c>
      <c r="AE44" s="13">
        <f t="shared" si="17"/>
        <v>1.5632138165460967</v>
      </c>
    </row>
    <row r="45" spans="2:31" x14ac:dyDescent="0.2">
      <c r="B45" s="1">
        <f>[23]FormattedData!A54</f>
        <v>904</v>
      </c>
      <c r="C45" s="1" t="str">
        <f>VLOOKUP($B45,[23]TrtCodes!$B$11:I97,2)</f>
        <v>Early</v>
      </c>
      <c r="D45" s="1">
        <f>VLOOKUP($B45,[23]TrtCodes!$B$11:J97,3)</f>
        <v>21</v>
      </c>
      <c r="E45" s="1">
        <f>VLOOKUP($B45,[23]TrtCodes!$B$11:K97,4)</f>
        <v>3</v>
      </c>
      <c r="F45" s="1">
        <f>VLOOKUP($B45,[23]TrtCodes!$B$11:L97,5)</f>
        <v>2</v>
      </c>
      <c r="G45" s="1">
        <f>VLOOKUP($B45,[23]TrtCodes!$B$11:M97,6)</f>
        <v>2</v>
      </c>
      <c r="H45" s="1">
        <f>VLOOKUP($B45,[23]TrtCodes!$B$11:N97,7)</f>
        <v>1</v>
      </c>
      <c r="I45" s="1">
        <f>[23]FormattedData!B54</f>
        <v>1</v>
      </c>
      <c r="J45" s="4">
        <f>[23]FormattedData!C54</f>
        <v>13.44</v>
      </c>
      <c r="K45" s="6">
        <f>$J$3+[23]FormattedData!D54*$J$4+$M$4*$J$5+[23]FormattedData!D54^2*$J$6+$M$5*$J$7</f>
        <v>47.516357307492214</v>
      </c>
      <c r="L45" s="6">
        <f>$J$3+[23]FormattedData!E54*$J$4+$M$4*$J$5+[23]FormattedData!E54^2*$J$6+$M$5*$J$7</f>
        <v>43.910096117072271</v>
      </c>
      <c r="M45" s="6">
        <f>$J$3+[23]FormattedData!F54*$J$4+$M$4*$J$5+[23]FormattedData!F54^2*$J$6+$M$5*$J$7</f>
        <v>42.906517964817098</v>
      </c>
      <c r="N45" s="6">
        <f>$J$3+[23]FormattedData!G54*$J$4+$M$4*$J$5+[23]FormattedData!G54^2*$J$6+$M$5*$J$7</f>
        <v>41.253267081817704</v>
      </c>
      <c r="O45" s="6">
        <f>$J$3+[23]FormattedData!H54*$J$4+$M$4*$J$5+[23]FormattedData!H54^2*$J$6+$M$5*$J$7</f>
        <v>46.531377311926747</v>
      </c>
      <c r="P45" s="6">
        <f>$J$3+[23]FormattedData!I54*$J$4+$M$4*$J$5+[23]FormattedData!I54^2*$J$6+$M$5*$J$7</f>
        <v>38.560890206163052</v>
      </c>
      <c r="Q45" s="6">
        <f>$J$3+[23]FormattedData!J54*$J$4+$M$4*$J$5+[23]FormattedData!J54^2*$J$6+$M$5*$J$7</f>
        <v>46.531377311926747</v>
      </c>
      <c r="R45" s="6">
        <f>$J$3+[23]FormattedData!K54*$J$4+$M$4*$J$5+[23]FormattedData!K54^2*$J$6+$M$5*$J$7</f>
        <v>34.884059430020443</v>
      </c>
      <c r="S45" s="6">
        <f>$J$3+[23]FormattedData!L54*$J$4+$M$4*$J$5+[23]FormattedData!L54^2*$J$6+$M$5*$J$7</f>
        <v>46.351740549012654</v>
      </c>
      <c r="T45" s="6">
        <f>$J$3+[23]FormattedData!M54*$J$4+$M$4*$J$5+[23]FormattedData!M54^2*$J$6+$M$5*$J$7</f>
        <v>34.312686904147043</v>
      </c>
      <c r="U45" s="6">
        <f>$J$3+[23]FormattedData!N54*$J$4+$M$4*$J$5+[23]FormattedData!N54^2*$J$6+$M$5*$J$7</f>
        <v>50.96734728546874</v>
      </c>
      <c r="V45" s="6">
        <f>$J$3+[23]FormattedData!O54*$J$4+$M$4*$J$5+[23]FormattedData!O54^2*$J$6+$M$5*$J$7</f>
        <v>35.359040816788514</v>
      </c>
      <c r="W45" s="5">
        <f t="shared" si="9"/>
        <v>42.423729857221105</v>
      </c>
      <c r="X45" s="4">
        <f t="shared" si="10"/>
        <v>1.6034584256209374</v>
      </c>
      <c r="Y45" s="3">
        <f t="shared" si="11"/>
        <v>34.312686904147043</v>
      </c>
      <c r="Z45" s="2">
        <f t="shared" si="12"/>
        <v>37.760427858819419</v>
      </c>
      <c r="AA45" s="3">
        <f t="shared" si="13"/>
        <v>43.408307040944685</v>
      </c>
      <c r="AB45" s="2">
        <f t="shared" si="14"/>
        <v>46.531377311926747</v>
      </c>
      <c r="AC45" s="2">
        <f t="shared" si="15"/>
        <v>50.96734728546874</v>
      </c>
      <c r="AD45" s="2">
        <f t="shared" si="16"/>
        <v>-0.26464678771189576</v>
      </c>
      <c r="AE45" s="2">
        <f t="shared" si="17"/>
        <v>-1.2045832082241854</v>
      </c>
    </row>
    <row r="46" spans="2:31" x14ac:dyDescent="0.2">
      <c r="B46" s="17">
        <f>[23]FormattedData!A52</f>
        <v>905</v>
      </c>
      <c r="C46" s="17" t="str">
        <f>VLOOKUP($B46,[23]TrtCodes!$B$11:I95,2)</f>
        <v>WS</v>
      </c>
      <c r="D46" s="17">
        <f>VLOOKUP($B46,[23]TrtCodes!$B$11:J95,3)</f>
        <v>32</v>
      </c>
      <c r="E46" s="17">
        <f>VLOOKUP($B46,[23]TrtCodes!$B$11:K95,4)</f>
        <v>9</v>
      </c>
      <c r="F46" s="17">
        <f>VLOOKUP($B46,[23]TrtCodes!$B$11:L95,5)</f>
        <v>0</v>
      </c>
      <c r="G46" s="17">
        <f>VLOOKUP($B46,[23]TrtCodes!$B$11:M95,6)</f>
        <v>1</v>
      </c>
      <c r="H46" s="17">
        <f>VLOOKUP($B46,[23]TrtCodes!$B$11:N95,7)</f>
        <v>2</v>
      </c>
      <c r="I46" s="17">
        <f>[23]FormattedData!B52</f>
        <v>1</v>
      </c>
      <c r="J46" s="15">
        <f>[23]FormattedData!C52</f>
        <v>13.430999999999999</v>
      </c>
      <c r="K46" s="14">
        <f>$J$3+[23]FormattedData!D52*$J$4+$M$4*$J$5+[23]FormattedData!D52^2*$J$6+$M$5*$J$7</f>
        <v>37.81190980719623</v>
      </c>
      <c r="L46" s="14">
        <f>$J$3+[23]FormattedData!E52*$J$4+$M$4*$J$5+[23]FormattedData!E52^2*$J$6+$M$5*$J$7</f>
        <v>37.718097048904696</v>
      </c>
      <c r="M46" s="14">
        <f>$J$3+[23]FormattedData!F52*$J$4+$M$4*$J$5+[23]FormattedData!F52^2*$J$6+$M$5*$J$7</f>
        <v>37.81190980719623</v>
      </c>
      <c r="N46" s="14">
        <f>$J$3+[23]FormattedData!G52*$J$4+$M$4*$J$5+[23]FormattedData!G52^2*$J$6+$M$5*$J$7</f>
        <v>37.718097048904696</v>
      </c>
      <c r="O46" s="14">
        <f>$J$3+[23]FormattedData!H52*$J$4+$M$4*$J$5+[23]FormattedData!H52^2*$J$6+$M$5*$J$7</f>
        <v>37.624242022075222</v>
      </c>
      <c r="P46" s="14">
        <f>$J$3+[23]FormattedData!I52*$J$4+$M$4*$J$5+[23]FormattedData!I52^2*$J$6+$M$5*$J$7</f>
        <v>37.718097048904696</v>
      </c>
      <c r="Q46" s="14">
        <f>$J$3+[23]FormattedData!J52*$J$4+$M$4*$J$5+[23]FormattedData!J52^2*$J$6+$M$5*$J$7</f>
        <v>37.624242022075222</v>
      </c>
      <c r="R46" s="14">
        <f>$J$3+[23]FormattedData!K52*$J$4+$M$4*$J$5+[23]FormattedData!K52^2*$J$6+$M$5*$J$7</f>
        <v>37.718097048904696</v>
      </c>
      <c r="S46" s="14">
        <f>$J$3+[23]FormattedData!L52*$J$4+$M$4*$J$5+[23]FormattedData!L52^2*$J$6+$M$5*$J$7</f>
        <v>37.905680296949846</v>
      </c>
      <c r="T46" s="14">
        <f>$J$3+[23]FormattedData!M52*$J$4+$M$4*$J$5+[23]FormattedData!M52^2*$J$6+$M$5*$J$7</f>
        <v>37.624242022075222</v>
      </c>
      <c r="U46" s="14">
        <f>$J$3+[23]FormattedData!N52*$J$4+$M$4*$J$5+[23]FormattedData!N52^2*$J$6+$M$5*$J$7</f>
        <v>37.53034472670781</v>
      </c>
      <c r="V46" s="14">
        <f>$J$3+[23]FormattedData!O52*$J$4+$M$4*$J$5+[23]FormattedData!O52^2*$J$6+$M$5*$J$7</f>
        <v>37.718097048904696</v>
      </c>
      <c r="W46" s="16">
        <f t="shared" si="9"/>
        <v>37.71025466239994</v>
      </c>
      <c r="X46" s="15">
        <f t="shared" si="10"/>
        <v>2.9352654433735026E-2</v>
      </c>
      <c r="Y46" s="14">
        <f t="shared" si="11"/>
        <v>37.53034472670781</v>
      </c>
      <c r="Z46" s="13">
        <f t="shared" si="12"/>
        <v>37.624242022075222</v>
      </c>
      <c r="AA46" s="14">
        <f t="shared" si="13"/>
        <v>37.718097048904696</v>
      </c>
      <c r="AB46" s="13">
        <f t="shared" si="14"/>
        <v>37.741550238477579</v>
      </c>
      <c r="AC46" s="13">
        <f t="shared" si="15"/>
        <v>37.905680296949846</v>
      </c>
      <c r="AD46" s="13">
        <f t="shared" si="16"/>
        <v>0.19038270150210126</v>
      </c>
      <c r="AE46" s="13">
        <f t="shared" si="17"/>
        <v>0.21809991224587311</v>
      </c>
    </row>
    <row r="47" spans="2:31" x14ac:dyDescent="0.2">
      <c r="B47" s="1">
        <f>[23]FormattedData!A50</f>
        <v>906</v>
      </c>
      <c r="C47" s="1" t="str">
        <f>VLOOKUP($B47,[23]TrtCodes!$B$11:I93,2)</f>
        <v>Late</v>
      </c>
      <c r="D47" s="1">
        <f>VLOOKUP($B47,[23]TrtCodes!$B$11:J93,3)</f>
        <v>22</v>
      </c>
      <c r="E47" s="1">
        <f>VLOOKUP($B47,[23]TrtCodes!$B$11:K93,4)</f>
        <v>4</v>
      </c>
      <c r="F47" s="1">
        <f>VLOOKUP($B47,[23]TrtCodes!$B$11:L93,5)</f>
        <v>2</v>
      </c>
      <c r="G47" s="1">
        <f>VLOOKUP($B47,[23]TrtCodes!$B$11:M93,6)</f>
        <v>2</v>
      </c>
      <c r="H47" s="1">
        <f>VLOOKUP($B47,[23]TrtCodes!$B$11:N93,7)</f>
        <v>2</v>
      </c>
      <c r="I47" s="1">
        <f>[23]FormattedData!B50</f>
        <v>1</v>
      </c>
      <c r="J47" s="4">
        <f>[23]FormattedData!C50</f>
        <v>13.414</v>
      </c>
      <c r="K47" s="6">
        <f>$J$3+[23]FormattedData!D50*$J$4+$M$4*$J$5+[23]FormattedData!D50^2*$J$6+$M$5*$J$7</f>
        <v>32.397121998040234</v>
      </c>
      <c r="L47" s="6">
        <f>$J$3+[23]FormattedData!E50*$J$4+$M$4*$J$5+[23]FormattedData!E50^2*$J$6+$M$5*$J$7</f>
        <v>29.881611034418562</v>
      </c>
      <c r="M47" s="6">
        <f>$J$3+[23]FormattedData!F50*$J$4+$M$4*$J$5+[23]FormattedData!F50^2*$J$6+$M$5*$J$7</f>
        <v>30.755598372670104</v>
      </c>
      <c r="N47" s="6">
        <f>$J$3+[23]FormattedData!G50*$J$4+$M$4*$J$5+[23]FormattedData!G50^2*$J$6+$M$5*$J$7</f>
        <v>30.173320564010453</v>
      </c>
      <c r="O47" s="6">
        <f>$J$3+[23]FormattedData!H50*$J$4+$M$4*$J$5+[23]FormattedData!H50^2*$J$6+$M$5*$J$7</f>
        <v>33.165376850303645</v>
      </c>
      <c r="P47" s="6">
        <f>$J$3+[23]FormattedData!I50*$J$4+$M$4*$J$5+[23]FormattedData!I50^2*$J$6+$M$5*$J$7</f>
        <v>31.819155580249564</v>
      </c>
      <c r="Q47" s="6">
        <f>$J$3+[23]FormattedData!J50*$J$4+$M$4*$J$5+[23]FormattedData!J50^2*$J$6+$M$5*$J$7</f>
        <v>31.239667495093371</v>
      </c>
      <c r="R47" s="6">
        <f>$J$3+[23]FormattedData!K50*$J$4+$M$4*$J$5+[23]FormattedData!K50^2*$J$6+$M$5*$J$7</f>
        <v>31.626161959349218</v>
      </c>
      <c r="S47" s="6">
        <f>$J$3+[23]FormattedData!L50*$J$4+$M$4*$J$5+[23]FormattedData!L50^2*$J$6+$M$5*$J$7</f>
        <v>33.165376850303645</v>
      </c>
      <c r="T47" s="6">
        <f>$J$3+[23]FormattedData!M50*$J$4+$M$4*$J$5+[23]FormattedData!M50^2*$J$6+$M$5*$J$7</f>
        <v>30.755598372670104</v>
      </c>
      <c r="U47" s="6">
        <f>$J$3+[23]FormattedData!N50*$J$4+$M$4*$J$5+[23]FormattedData!N50^2*$J$6+$M$5*$J$7</f>
        <v>32.87759829473935</v>
      </c>
      <c r="V47" s="6">
        <f>$J$3+[23]FormattedData!O50*$J$4+$M$4*$J$5+[23]FormattedData!O50^2*$J$6+$M$5*$J$7</f>
        <v>29.297050724710633</v>
      </c>
      <c r="W47" s="5">
        <f t="shared" si="9"/>
        <v>31.429469841379909</v>
      </c>
      <c r="X47" s="4">
        <f t="shared" si="10"/>
        <v>0.37654666288087629</v>
      </c>
      <c r="Y47" s="3">
        <f t="shared" si="11"/>
        <v>29.297050724710633</v>
      </c>
      <c r="Z47" s="2">
        <f t="shared" si="12"/>
        <v>30.61002892050519</v>
      </c>
      <c r="AA47" s="3">
        <f t="shared" si="13"/>
        <v>31.432914727221295</v>
      </c>
      <c r="AB47" s="2">
        <f t="shared" si="14"/>
        <v>32.517241072215015</v>
      </c>
      <c r="AC47" s="2">
        <f t="shared" si="15"/>
        <v>33.165376850303645</v>
      </c>
      <c r="AD47" s="2">
        <f t="shared" si="16"/>
        <v>-7.5422805797365045E-2</v>
      </c>
      <c r="AE47" s="2">
        <f t="shared" si="17"/>
        <v>-1.1603913800213101</v>
      </c>
    </row>
    <row r="48" spans="2:31" x14ac:dyDescent="0.2">
      <c r="B48" s="17">
        <f>[23]FormattedData!A48</f>
        <v>907</v>
      </c>
      <c r="C48" s="17" t="str">
        <f>VLOOKUP($B48,[23]TrtCodes!$B$11:I91,2)</f>
        <v>DS</v>
      </c>
      <c r="D48" s="17">
        <f>VLOOKUP($B48,[23]TrtCodes!$B$11:J91,3)</f>
        <v>31</v>
      </c>
      <c r="E48" s="17">
        <f>VLOOKUP($B48,[23]TrtCodes!$B$11:K91,4)</f>
        <v>8</v>
      </c>
      <c r="F48" s="17">
        <f>VLOOKUP($B48,[23]TrtCodes!$B$11:L91,5)</f>
        <v>0</v>
      </c>
      <c r="G48" s="17">
        <f>VLOOKUP($B48,[23]TrtCodes!$B$11:M91,6)</f>
        <v>1</v>
      </c>
      <c r="H48" s="17">
        <f>VLOOKUP($B48,[23]TrtCodes!$B$11:N91,7)</f>
        <v>2</v>
      </c>
      <c r="I48" s="17">
        <f>[23]FormattedData!B48</f>
        <v>1</v>
      </c>
      <c r="J48" s="15">
        <f>[23]FormattedData!C48</f>
        <v>13.404999999999999</v>
      </c>
      <c r="K48" s="14">
        <f>$J$3+[23]FormattedData!D48*$J$4+$M$4*$J$5+[23]FormattedData!D48^2*$J$6+$M$5*$J$7</f>
        <v>54.181933854089635</v>
      </c>
      <c r="L48" s="14">
        <f>$J$3+[23]FormattedData!E48*$J$4+$M$4*$J$5+[23]FormattedData!E48^2*$J$6+$M$5*$J$7</f>
        <v>54.181933854089635</v>
      </c>
      <c r="M48" s="14">
        <f>$J$3+[23]FormattedData!F48*$J$4+$M$4*$J$5+[23]FormattedData!F48^2*$J$6+$M$5*$J$7</f>
        <v>54.697765521121539</v>
      </c>
      <c r="N48" s="14">
        <f>$J$3+[23]FormattedData!G48*$J$4+$M$4*$J$5+[23]FormattedData!G48^2*$J$6+$M$5*$J$7</f>
        <v>54.869371261828711</v>
      </c>
      <c r="O48" s="14">
        <f>$J$3+[23]FormattedData!H48*$J$4+$M$4*$J$5+[23]FormattedData!H48^2*$J$6+$M$5*$J$7</f>
        <v>54.697765521121539</v>
      </c>
      <c r="P48" s="14">
        <f>$J$3+[23]FormattedData!I48*$J$4+$M$4*$J$5+[23]FormattedData!I48^2*$J$6+$M$5*$J$7</f>
        <v>54.181933854089635</v>
      </c>
      <c r="Q48" s="14">
        <f>$J$3+[23]FormattedData!J48*$J$4+$M$4*$J$5+[23]FormattedData!J48^2*$J$6+$M$5*$J$7</f>
        <v>54.095813969701567</v>
      </c>
      <c r="R48" s="14">
        <f>$J$3+[23]FormattedData!K48*$J$4+$M$4*$J$5+[23]FormattedData!K48^2*$J$6+$M$5*$J$7</f>
        <v>54.440039896026278</v>
      </c>
      <c r="S48" s="14">
        <f>$J$3+[23]FormattedData!L48*$J$4+$M$4*$J$5+[23]FormattedData!L48^2*$J$6+$M$5*$J$7</f>
        <v>55.040807928384176</v>
      </c>
      <c r="T48" s="14">
        <f>$J$3+[23]FormattedData!M48*$J$4+$M$4*$J$5+[23]FormattedData!M48^2*$J$6+$M$5*$J$7</f>
        <v>54.697765521121539</v>
      </c>
      <c r="U48" s="14">
        <f>$J$3+[23]FormattedData!N48*$J$4+$M$4*$J$5+[23]FormattedData!N48^2*$J$6+$M$5*$J$7</f>
        <v>54.869371261828711</v>
      </c>
      <c r="V48" s="14">
        <f>$J$3+[23]FormattedData!O48*$J$4+$M$4*$J$5+[23]FormattedData!O48^2*$J$6+$M$5*$J$7</f>
        <v>53.578207024076562</v>
      </c>
      <c r="W48" s="16">
        <f t="shared" si="9"/>
        <v>54.461059122289974</v>
      </c>
      <c r="X48" s="15">
        <f t="shared" si="10"/>
        <v>0.12261798416052834</v>
      </c>
      <c r="Y48" s="14">
        <f t="shared" si="11"/>
        <v>53.578207024076562</v>
      </c>
      <c r="Z48" s="13">
        <f t="shared" si="12"/>
        <v>54.181933854089635</v>
      </c>
      <c r="AA48" s="14">
        <f t="shared" si="13"/>
        <v>54.568902708573908</v>
      </c>
      <c r="AB48" s="13">
        <f t="shared" si="14"/>
        <v>54.740666956298334</v>
      </c>
      <c r="AC48" s="13">
        <f t="shared" si="15"/>
        <v>55.040807928384176</v>
      </c>
      <c r="AD48" s="13">
        <f t="shared" si="16"/>
        <v>-0.61395305185489268</v>
      </c>
      <c r="AE48" s="13">
        <f t="shared" si="17"/>
        <v>-5.6716660266594499E-2</v>
      </c>
    </row>
    <row r="49" spans="2:31" ht="13.5" thickBot="1" x14ac:dyDescent="0.25">
      <c r="B49" s="12">
        <f>[23]FormattedData!A46</f>
        <v>908</v>
      </c>
      <c r="C49" s="12" t="str">
        <f>VLOOKUP($B49,[23]TrtCodes!$B$11:I89,2)</f>
        <v>Early</v>
      </c>
      <c r="D49" s="12">
        <f>VLOOKUP($B49,[23]TrtCodes!$B$11:J89,3)</f>
        <v>21</v>
      </c>
      <c r="E49" s="12">
        <f>VLOOKUP($B49,[23]TrtCodes!$B$11:K89,4)</f>
        <v>3</v>
      </c>
      <c r="F49" s="12">
        <f>VLOOKUP($B49,[23]TrtCodes!$B$11:L89,5)</f>
        <v>2</v>
      </c>
      <c r="G49" s="12">
        <f>VLOOKUP($B49,[23]TrtCodes!$B$11:M89,6)</f>
        <v>2</v>
      </c>
      <c r="H49" s="12">
        <f>VLOOKUP($B49,[23]TrtCodes!$B$11:N89,7)</f>
        <v>2</v>
      </c>
      <c r="I49" s="12">
        <f>[23]FormattedData!B46</f>
        <v>1</v>
      </c>
      <c r="J49" s="9">
        <f>[23]FormattedData!C46</f>
        <v>13.388999999999999</v>
      </c>
      <c r="K49" s="11">
        <f>$J$3+[23]FormattedData!D46*$J$4+$M$4*$J$5+[23]FormattedData!D46^2*$J$6+$M$5*$J$7</f>
        <v>42.26521440458324</v>
      </c>
      <c r="L49" s="11">
        <f>$J$3+[23]FormattedData!E46*$J$4+$M$4*$J$5+[23]FormattedData!E46^2*$J$6+$M$5*$J$7</f>
        <v>34.788936347053045</v>
      </c>
      <c r="M49" s="11">
        <f>$J$3+[23]FormattedData!F46*$J$4+$M$4*$J$5+[23]FormattedData!F46^2*$J$6+$M$5*$J$7</f>
        <v>40.514092983650912</v>
      </c>
      <c r="N49" s="11">
        <f>$J$3+[23]FormattedData!G46*$J$4+$M$4*$J$5+[23]FormattedData!G46^2*$J$6+$M$5*$J$7</f>
        <v>40.421506012959377</v>
      </c>
      <c r="O49" s="11">
        <f>$J$3+[23]FormattedData!H46*$J$4+$M$4*$J$5+[23]FormattedData!H46^2*$J$6+$M$5*$J$7</f>
        <v>43.272047234259105</v>
      </c>
      <c r="P49" s="11">
        <f>$J$3+[23]FormattedData!I46*$J$4+$M$4*$J$5+[23]FormattedData!I46^2*$J$6+$M$5*$J$7</f>
        <v>34.979140244449923</v>
      </c>
      <c r="Q49" s="11">
        <f>$J$3+[23]FormattedData!J46*$J$4+$M$4*$J$5+[23]FormattedData!J46^2*$J$6+$M$5*$J$7</f>
        <v>42.540312398768194</v>
      </c>
      <c r="R49" s="11">
        <f>$J$3+[23]FormattedData!K46*$J$4+$M$4*$J$5+[23]FormattedData!K46^2*$J$6+$M$5*$J$7</f>
        <v>36.116813071645012</v>
      </c>
      <c r="S49" s="11">
        <f>$J$3+[23]FormattedData!L46*$J$4+$M$4*$J$5+[23]FormattedData!L46^2*$J$6+$M$5*$J$7</f>
        <v>42.815029976111774</v>
      </c>
      <c r="T49" s="11">
        <f>$J$3+[23]FormattedData!M46*$J$4+$M$4*$J$5+[23]FormattedData!M46^2*$J$6+$M$5*$J$7</f>
        <v>33.548489831525011</v>
      </c>
      <c r="U49" s="11">
        <f>$J$3+[23]FormattedData!N46*$J$4+$M$4*$J$5+[23]FormattedData!N46^2*$J$6+$M$5*$J$7</f>
        <v>44.092015381034649</v>
      </c>
      <c r="V49" s="11">
        <f>$J$3+[23]FormattedData!O46*$J$4+$M$4*$J$5+[23]FormattedData!O46^2*$J$6+$M$5*$J$7</f>
        <v>32.011980126998175</v>
      </c>
      <c r="W49" s="10">
        <f t="shared" si="9"/>
        <v>38.947131501086531</v>
      </c>
      <c r="X49" s="9">
        <f t="shared" si="10"/>
        <v>1.2521891039749491</v>
      </c>
      <c r="Y49" s="8">
        <f t="shared" si="11"/>
        <v>32.011980126998175</v>
      </c>
      <c r="Z49" s="7">
        <f t="shared" si="12"/>
        <v>34.931589270100702</v>
      </c>
      <c r="AA49" s="8">
        <f t="shared" si="13"/>
        <v>40.467799498305141</v>
      </c>
      <c r="AB49" s="7">
        <f t="shared" si="14"/>
        <v>42.608991793104089</v>
      </c>
      <c r="AC49" s="7">
        <f t="shared" si="15"/>
        <v>44.092015381034649</v>
      </c>
      <c r="AD49" s="7">
        <f t="shared" si="16"/>
        <v>-0.37829525699271438</v>
      </c>
      <c r="AE49" s="7">
        <f t="shared" si="17"/>
        <v>-1.6535509943147773</v>
      </c>
    </row>
    <row r="50" spans="2:31" ht="13.5" thickTop="1" x14ac:dyDescent="0.2">
      <c r="B50" s="1">
        <f>[23]FormattedData!A29</f>
        <v>101</v>
      </c>
      <c r="C50" s="1" t="str">
        <f>VLOOKUP($B50,[23]TrtCodes!$B$11:I72,2)</f>
        <v>FSH</v>
      </c>
      <c r="D50" s="1">
        <f>VLOOKUP($B50,[23]TrtCodes!$B$11:J72,3)</f>
        <v>1</v>
      </c>
      <c r="E50" s="1">
        <f>VLOOKUP($B50,[23]TrtCodes!$B$11:K72,4)</f>
        <v>1</v>
      </c>
      <c r="F50" s="1">
        <f>VLOOKUP($B50,[23]TrtCodes!$B$11:L72,5)</f>
        <v>1</v>
      </c>
      <c r="G50" s="1">
        <f>VLOOKUP($B50,[23]TrtCodes!$B$11:M72,6)</f>
        <v>2</v>
      </c>
      <c r="H50" s="1">
        <f>VLOOKUP($B50,[23]TrtCodes!$B$11:N72,7)</f>
        <v>1</v>
      </c>
      <c r="I50" s="1">
        <f>[23]FormattedData!B29</f>
        <v>2</v>
      </c>
      <c r="J50" s="4">
        <f>[23]FormattedData!C29</f>
        <v>13.242000000000001</v>
      </c>
      <c r="K50" s="6">
        <f>$J$3+[23]FormattedData!D29*$J$4+$M$4*$J$5+[23]FormattedData!D29^2*$J$6+$M$5*$J$7</f>
        <v>29.686926672000975</v>
      </c>
      <c r="L50" s="6">
        <f>$J$3+[23]FormattedData!E29*$J$4+$M$4*$J$5+[23]FormattedData!E29^2*$J$6+$M$5*$J$7</f>
        <v>29.394583114340119</v>
      </c>
      <c r="M50" s="6">
        <f>$J$3+[23]FormattedData!F29*$J$4+$M$4*$J$5+[23]FormattedData!F29^2*$J$6+$M$5*$J$7</f>
        <v>29.78428998747874</v>
      </c>
      <c r="N50" s="6">
        <f>$J$3+[23]FormattedData!G29*$J$4+$M$4*$J$5+[23]FormattedData!G29^2*$J$6+$M$5*$J$7</f>
        <v>29.686926672000975</v>
      </c>
      <c r="O50" s="6">
        <f>$J$3+[23]FormattedData!H29*$J$4+$M$4*$J$5+[23]FormattedData!H29^2*$J$6+$M$5*$J$7</f>
        <v>30.464649676760967</v>
      </c>
      <c r="P50" s="6">
        <f>$J$3+[23]FormattedData!I29*$J$4+$M$4*$J$5+[23]FormattedData!I29^2*$J$6+$M$5*$J$7</f>
        <v>30.36758224104873</v>
      </c>
      <c r="Q50" s="6">
        <f>$J$3+[23]FormattedData!J29*$J$4+$M$4*$J$5+[23]FormattedData!J29^2*$J$6+$M$5*$J$7</f>
        <v>28.906498480813394</v>
      </c>
      <c r="R50" s="6">
        <f>$J$3+[23]FormattedData!K29*$J$4+$M$4*$J$5+[23]FormattedData!K29^2*$J$6+$M$5*$J$7</f>
        <v>30.561674843935279</v>
      </c>
      <c r="S50" s="6">
        <f>$J$3+[23]FormattedData!L29*$J$4+$M$4*$J$5+[23]FormattedData!L29^2*$J$6+$M$5*$J$7</f>
        <v>30.076126322684424</v>
      </c>
      <c r="T50" s="6">
        <f>$J$3+[23]FormattedData!M29*$J$4+$M$4*$J$5+[23]FormattedData!M29^2*$J$6+$M$5*$J$7</f>
        <v>29.686926672000975</v>
      </c>
      <c r="U50" s="6">
        <f>$J$3+[23]FormattedData!N29*$J$4+$M$4*$J$5+[23]FormattedData!N29^2*$J$6+$M$5*$J$7</f>
        <v>30.076126322684424</v>
      </c>
      <c r="V50" s="6">
        <f>$J$3+[23]FormattedData!O29*$J$4+$M$4*$J$5+[23]FormattedData!O29^2*$J$6+$M$5*$J$7</f>
        <v>29.686926672000975</v>
      </c>
      <c r="W50" s="5">
        <f t="shared" si="9"/>
        <v>29.864936473145836</v>
      </c>
      <c r="X50" s="4">
        <f t="shared" si="10"/>
        <v>0.13651631152286514</v>
      </c>
      <c r="Y50" s="3">
        <f t="shared" si="11"/>
        <v>28.906498480813394</v>
      </c>
      <c r="Z50" s="2">
        <f t="shared" si="12"/>
        <v>29.686926672000975</v>
      </c>
      <c r="AA50" s="3">
        <f t="shared" si="13"/>
        <v>29.735608329739858</v>
      </c>
      <c r="AB50" s="2">
        <f t="shared" si="14"/>
        <v>30.1489903022755</v>
      </c>
      <c r="AC50" s="2">
        <f t="shared" si="15"/>
        <v>30.561674843935279</v>
      </c>
      <c r="AD50" s="2">
        <f t="shared" si="16"/>
        <v>-0.31750912583876756</v>
      </c>
      <c r="AE50" s="2">
        <f t="shared" si="17"/>
        <v>0.15583437805798539</v>
      </c>
    </row>
    <row r="51" spans="2:31" x14ac:dyDescent="0.2">
      <c r="B51" s="1">
        <f>[23]FormattedData!A27</f>
        <v>102</v>
      </c>
      <c r="C51" s="1" t="str">
        <f>VLOOKUP($B51,[23]TrtCodes!$B$11:I70,2)</f>
        <v>FTL</v>
      </c>
      <c r="D51" s="1">
        <f>VLOOKUP($B51,[23]TrtCodes!$B$11:J70,3)</f>
        <v>4</v>
      </c>
      <c r="E51" s="1">
        <f>VLOOKUP($B51,[23]TrtCodes!$B$11:K70,4)</f>
        <v>1</v>
      </c>
      <c r="F51" s="1">
        <f>VLOOKUP($B51,[23]TrtCodes!$B$11:L70,5)</f>
        <v>2</v>
      </c>
      <c r="G51" s="1">
        <f>VLOOKUP($B51,[23]TrtCodes!$B$11:M70,6)</f>
        <v>1</v>
      </c>
      <c r="H51" s="1">
        <f>VLOOKUP($B51,[23]TrtCodes!$B$11:N70,7)</f>
        <v>1</v>
      </c>
      <c r="I51" s="1">
        <f>[23]FormattedData!B27</f>
        <v>2</v>
      </c>
      <c r="J51" s="4">
        <f>[23]FormattedData!C27</f>
        <v>13.225</v>
      </c>
      <c r="K51" s="6">
        <f>$J$3+[23]FormattedData!D27*$J$4+$M$4*$J$5+[23]FormattedData!D27^2*$J$6+$M$5*$J$7</f>
        <v>29.19947606654322</v>
      </c>
      <c r="L51" s="6">
        <f>$J$3+[23]FormattedData!E27*$J$4+$M$4*$J$5+[23]FormattedData!E27^2*$J$6+$M$5*$J$7</f>
        <v>29.101859139837877</v>
      </c>
      <c r="M51" s="6">
        <f>$J$3+[23]FormattedData!F27*$J$4+$M$4*$J$5+[23]FormattedData!F27^2*$J$6+$M$5*$J$7</f>
        <v>29.297050724710633</v>
      </c>
      <c r="N51" s="6">
        <f>$J$3+[23]FormattedData!G27*$J$4+$M$4*$J$5+[23]FormattedData!G27^2*$J$6+$M$5*$J$7</f>
        <v>29.492073235431665</v>
      </c>
      <c r="O51" s="6">
        <f>$J$3+[23]FormattedData!H27*$J$4+$M$4*$J$5+[23]FormattedData!H27^2*$J$6+$M$5*$J$7</f>
        <v>29.492073235431665</v>
      </c>
      <c r="P51" s="6">
        <f>$J$3+[23]FormattedData!I27*$J$4+$M$4*$J$5+[23]FormattedData!I27^2*$J$6+$M$5*$J$7</f>
        <v>29.394583114340119</v>
      </c>
      <c r="Q51" s="6">
        <f>$J$3+[23]FormattedData!J27*$J$4+$M$4*$J$5+[23]FormattedData!J27^2*$J$6+$M$5*$J$7</f>
        <v>29.19947606654322</v>
      </c>
      <c r="R51" s="6">
        <f>$J$3+[23]FormattedData!K27*$J$4+$M$4*$J$5+[23]FormattedData!K27^2*$J$6+$M$5*$J$7</f>
        <v>29.19947606654322</v>
      </c>
      <c r="S51" s="6">
        <f>$J$3+[23]FormattedData!L27*$J$4+$M$4*$J$5+[23]FormattedData!L27^2*$J$6+$M$5*$J$7</f>
        <v>29.394583114340119</v>
      </c>
      <c r="T51" s="6">
        <f>$J$3+[23]FormattedData!M27*$J$4+$M$4*$J$5+[23]FormattedData!M27^2*$J$6+$M$5*$J$7</f>
        <v>29.297050724710633</v>
      </c>
      <c r="U51" s="6">
        <f>$J$3+[23]FormattedData!N27*$J$4+$M$4*$J$5+[23]FormattedData!N27^2*$J$6+$M$5*$J$7</f>
        <v>28.906498480813394</v>
      </c>
      <c r="V51" s="6">
        <f>$J$3+[23]FormattedData!O27*$J$4+$M$4*$J$5+[23]FormattedData!O27^2*$J$6+$M$5*$J$7</f>
        <v>28.319402058829596</v>
      </c>
      <c r="W51" s="5">
        <f t="shared" si="9"/>
        <v>29.191133502339614</v>
      </c>
      <c r="X51" s="4">
        <f t="shared" si="10"/>
        <v>9.274685991412418E-2</v>
      </c>
      <c r="Y51" s="3">
        <f t="shared" si="11"/>
        <v>28.319402058829596</v>
      </c>
      <c r="Z51" s="2">
        <f t="shared" si="12"/>
        <v>29.175071834866884</v>
      </c>
      <c r="AA51" s="3">
        <f t="shared" si="13"/>
        <v>29.248263395626928</v>
      </c>
      <c r="AB51" s="2">
        <f t="shared" si="14"/>
        <v>29.394583114340119</v>
      </c>
      <c r="AC51" s="2">
        <f t="shared" si="15"/>
        <v>29.492073235431665</v>
      </c>
      <c r="AD51" s="2">
        <f t="shared" si="16"/>
        <v>-2.0147181707042501</v>
      </c>
      <c r="AE51" s="2">
        <f t="shared" si="17"/>
        <v>4.9017250587883208</v>
      </c>
    </row>
    <row r="52" spans="2:31" x14ac:dyDescent="0.2">
      <c r="B52" s="1">
        <f>[23]FormattedData!A25</f>
        <v>103</v>
      </c>
      <c r="C52" s="1" t="str">
        <f>VLOOKUP($B52,[23]TrtCodes!$B$11:I68,2)</f>
        <v>FDH</v>
      </c>
      <c r="D52" s="1">
        <f>VLOOKUP($B52,[23]TrtCodes!$B$11:J68,3)</f>
        <v>5</v>
      </c>
      <c r="E52" s="1">
        <f>VLOOKUP($B52,[23]TrtCodes!$B$11:K68,4)</f>
        <v>1</v>
      </c>
      <c r="F52" s="1">
        <f>VLOOKUP($B52,[23]TrtCodes!$B$11:L68,5)</f>
        <v>3</v>
      </c>
      <c r="G52" s="1">
        <f>VLOOKUP($B52,[23]TrtCodes!$B$11:M68,6)</f>
        <v>2</v>
      </c>
      <c r="H52" s="1">
        <f>VLOOKUP($B52,[23]TrtCodes!$B$11:N68,7)</f>
        <v>1</v>
      </c>
      <c r="I52" s="1">
        <f>[23]FormattedData!B25</f>
        <v>2</v>
      </c>
      <c r="J52" s="4">
        <f>[23]FormattedData!C25</f>
        <v>13.207000000000001</v>
      </c>
      <c r="K52" s="6">
        <f>$J$3+[23]FormattedData!D25*$J$4+$M$4*$J$5+[23]FormattedData!D25^2*$J$6+$M$5*$J$7</f>
        <v>32.493301794455917</v>
      </c>
      <c r="L52" s="6">
        <f>$J$3+[23]FormattedData!E25*$J$4+$M$4*$J$5+[23]FormattedData!E25^2*$J$6+$M$5*$J$7</f>
        <v>32.87759829473935</v>
      </c>
      <c r="M52" s="6">
        <f>$J$3+[23]FormattedData!F25*$J$4+$M$4*$J$5+[23]FormattedData!F25^2*$J$6+$M$5*$J$7</f>
        <v>30.270472536798561</v>
      </c>
      <c r="N52" s="6">
        <f>$J$3+[23]FormattedData!G25*$J$4+$M$4*$J$5+[23]FormattedData!G25^2*$J$6+$M$5*$J$7</f>
        <v>31.046166651737856</v>
      </c>
      <c r="O52" s="6">
        <f>$J$3+[23]FormattedData!H25*$J$4+$M$4*$J$5+[23]FormattedData!H25^2*$J$6+$M$5*$J$7</f>
        <v>31.432999264297159</v>
      </c>
      <c r="P52" s="6">
        <f>$J$3+[23]FormattedData!I25*$J$4+$M$4*$J$5+[23]FormattedData!I25^2*$J$6+$M$5*$J$7</f>
        <v>30.852496734230616</v>
      </c>
      <c r="Q52" s="6">
        <f>$J$3+[23]FormattedData!J25*$J$4+$M$4*$J$5+[23]FormattedData!J25^2*$J$6+$M$5*$J$7</f>
        <v>30.464649676760967</v>
      </c>
      <c r="R52" s="6">
        <f>$J$3+[23]FormattedData!K25*$J$4+$M$4*$J$5+[23]FormattedData!K25^2*$J$6+$M$5*$J$7</f>
        <v>30.173320564010453</v>
      </c>
      <c r="S52" s="6">
        <f>$J$3+[23]FormattedData!L25*$J$4+$M$4*$J$5+[23]FormattedData!L25^2*$J$6+$M$5*$J$7</f>
        <v>29.78428998747874</v>
      </c>
      <c r="T52" s="6">
        <f>$J$3+[23]FormattedData!M25*$J$4+$M$4*$J$5+[23]FormattedData!M25^2*$J$6+$M$5*$J$7</f>
        <v>29.881611034418562</v>
      </c>
      <c r="U52" s="6">
        <f>$J$3+[23]FormattedData!N25*$J$4+$M$4*$J$5+[23]FormattedData!N25^2*$J$6+$M$5*$J$7</f>
        <v>29.881611034418562</v>
      </c>
      <c r="V52" s="6">
        <f>$J$3+[23]FormattedData!O25*$J$4+$M$4*$J$5+[23]FormattedData!O25^2*$J$6+$M$5*$J$7</f>
        <v>29.58952108798529</v>
      </c>
      <c r="W52" s="5">
        <f t="shared" si="9"/>
        <v>30.729003221777663</v>
      </c>
      <c r="X52" s="4">
        <f t="shared" si="10"/>
        <v>0.30842500717323007</v>
      </c>
      <c r="Y52" s="3">
        <f t="shared" si="11"/>
        <v>29.58952108798529</v>
      </c>
      <c r="Z52" s="2">
        <f t="shared" si="12"/>
        <v>29.881611034418562</v>
      </c>
      <c r="AA52" s="3">
        <f t="shared" si="13"/>
        <v>30.367561106779764</v>
      </c>
      <c r="AB52" s="2">
        <f t="shared" si="14"/>
        <v>31.142874804877682</v>
      </c>
      <c r="AC52" s="2">
        <f t="shared" si="15"/>
        <v>32.87759829473935</v>
      </c>
      <c r="AD52" s="2">
        <f t="shared" si="16"/>
        <v>1.0704451308829503</v>
      </c>
      <c r="AE52" s="2">
        <f t="shared" si="17"/>
        <v>0.18888619322469502</v>
      </c>
    </row>
    <row r="53" spans="2:31" x14ac:dyDescent="0.2">
      <c r="B53" s="1">
        <f>[23]FormattedData!A23</f>
        <v>104</v>
      </c>
      <c r="C53" s="1" t="str">
        <f>VLOOKUP($B53,[23]TrtCodes!$B$11:I66,2)</f>
        <v>NTL</v>
      </c>
      <c r="D53" s="1">
        <f>VLOOKUP($B53,[23]TrtCodes!$B$11:J66,3)</f>
        <v>10</v>
      </c>
      <c r="E53" s="1">
        <f>VLOOKUP($B53,[23]TrtCodes!$B$11:K66,4)</f>
        <v>2</v>
      </c>
      <c r="F53" s="1">
        <f>VLOOKUP($B53,[23]TrtCodes!$B$11:L66,5)</f>
        <v>2</v>
      </c>
      <c r="G53" s="1">
        <f>VLOOKUP($B53,[23]TrtCodes!$B$11:M66,6)</f>
        <v>1</v>
      </c>
      <c r="H53" s="1">
        <f>VLOOKUP($B53,[23]TrtCodes!$B$11:N66,7)</f>
        <v>1</v>
      </c>
      <c r="I53" s="1">
        <f>[23]FormattedData!B23</f>
        <v>2</v>
      </c>
      <c r="J53" s="4">
        <f>[23]FormattedData!C23</f>
        <v>13.19</v>
      </c>
      <c r="K53" s="6">
        <f>$J$3+[23]FormattedData!D23*$J$4+$M$4*$J$5+[23]FormattedData!D23^2*$J$6+$M$5*$J$7</f>
        <v>30.852496734230616</v>
      </c>
      <c r="L53" s="6">
        <f>$J$3+[23]FormattedData!E23*$J$4+$M$4*$J$5+[23]FormattedData!E23^2*$J$6+$M$5*$J$7</f>
        <v>30.949352827253197</v>
      </c>
      <c r="M53" s="6">
        <f>$J$3+[23]FormattedData!F23*$J$4+$M$4*$J$5+[23]FormattedData!F23^2*$J$6+$M$5*$J$7</f>
        <v>30.076126322684424</v>
      </c>
      <c r="N53" s="6">
        <f>$J$3+[23]FormattedData!G23*$J$4+$M$4*$J$5+[23]FormattedData!G23^2*$J$6+$M$5*$J$7</f>
        <v>29.881611034418562</v>
      </c>
      <c r="O53" s="6">
        <f>$J$3+[23]FormattedData!H23*$J$4+$M$4*$J$5+[23]FormattedData!H23^2*$J$6+$M$5*$J$7</f>
        <v>29.686926672000975</v>
      </c>
      <c r="P53" s="6">
        <f>$J$3+[23]FormattedData!I23*$J$4+$M$4*$J$5+[23]FormattedData!I23^2*$J$6+$M$5*$J$7</f>
        <v>30.949352827253197</v>
      </c>
      <c r="Q53" s="6">
        <f>$J$3+[23]FormattedData!J23*$J$4+$M$4*$J$5+[23]FormattedData!J23^2*$J$6+$M$5*$J$7</f>
        <v>30.852496734230616</v>
      </c>
      <c r="R53" s="6">
        <f>$J$3+[23]FormattedData!K23*$J$4+$M$4*$J$5+[23]FormattedData!K23^2*$J$6+$M$5*$J$7</f>
        <v>30.173320564010453</v>
      </c>
      <c r="S53" s="6">
        <f>$J$3+[23]FormattedData!L23*$J$4+$M$4*$J$5+[23]FormattedData!L23^2*$J$6+$M$5*$J$7</f>
        <v>30.852496734230616</v>
      </c>
      <c r="T53" s="6">
        <f>$J$3+[23]FormattedData!M23*$J$4+$M$4*$J$5+[23]FormattedData!M23^2*$J$6+$M$5*$J$7</f>
        <v>30.36758224104873</v>
      </c>
      <c r="U53" s="6">
        <f>$J$3+[23]FormattedData!N23*$J$4+$M$4*$J$5+[23]FormattedData!N23^2*$J$6+$M$5*$J$7</f>
        <v>30.658657742571656</v>
      </c>
      <c r="V53" s="6">
        <f>$J$3+[23]FormattedData!O23*$J$4+$M$4*$J$5+[23]FormattedData!O23^2*$J$6+$M$5*$J$7</f>
        <v>32.300899933086619</v>
      </c>
      <c r="W53" s="5">
        <f t="shared" si="9"/>
        <v>30.633443363918307</v>
      </c>
      <c r="X53" s="4">
        <f t="shared" si="10"/>
        <v>0.19807293196889131</v>
      </c>
      <c r="Y53" s="3">
        <f t="shared" si="11"/>
        <v>29.686926672000975</v>
      </c>
      <c r="Z53" s="2">
        <f t="shared" si="12"/>
        <v>30.149022003678944</v>
      </c>
      <c r="AA53" s="3">
        <f t="shared" si="13"/>
        <v>30.755577238401138</v>
      </c>
      <c r="AB53" s="2">
        <f t="shared" si="14"/>
        <v>30.876710757486261</v>
      </c>
      <c r="AC53" s="2">
        <f t="shared" si="15"/>
        <v>32.300899933086619</v>
      </c>
      <c r="AD53" s="2">
        <f t="shared" si="16"/>
        <v>1.0700468737299276</v>
      </c>
      <c r="AE53" s="2">
        <f t="shared" si="17"/>
        <v>2.3834734468131291</v>
      </c>
    </row>
    <row r="54" spans="2:31" x14ac:dyDescent="0.2">
      <c r="B54" s="1">
        <f>[23]FormattedData!A21</f>
        <v>105</v>
      </c>
      <c r="C54" s="1" t="str">
        <f>VLOOKUP($B54,[23]TrtCodes!$B$11:I64,2)</f>
        <v>NDL</v>
      </c>
      <c r="D54" s="1">
        <f>VLOOKUP($B54,[23]TrtCodes!$B$11:J64,3)</f>
        <v>12</v>
      </c>
      <c r="E54" s="1">
        <f>VLOOKUP($B54,[23]TrtCodes!$B$11:K64,4)</f>
        <v>2</v>
      </c>
      <c r="F54" s="1">
        <f>VLOOKUP($B54,[23]TrtCodes!$B$11:L64,5)</f>
        <v>3</v>
      </c>
      <c r="G54" s="1">
        <f>VLOOKUP($B54,[23]TrtCodes!$B$11:M64,6)</f>
        <v>1</v>
      </c>
      <c r="H54" s="1">
        <f>VLOOKUP($B54,[23]TrtCodes!$B$11:N64,7)</f>
        <v>2</v>
      </c>
      <c r="I54" s="1">
        <f>[23]FormattedData!B21</f>
        <v>2</v>
      </c>
      <c r="J54" s="4">
        <f>[23]FormattedData!C21</f>
        <v>13.170999999999999</v>
      </c>
      <c r="K54" s="6">
        <f>$J$3+[23]FormattedData!D21*$J$4+$M$4*$J$5+[23]FormattedData!D21^2*$J$6+$M$5*$J$7</f>
        <v>30.270472536798561</v>
      </c>
      <c r="L54" s="6">
        <f>$J$3+[23]FormattedData!E21*$J$4+$M$4*$J$5+[23]FormattedData!E21^2*$J$6+$M$5*$J$7</f>
        <v>30.173320564010453</v>
      </c>
      <c r="M54" s="6">
        <f>$J$3+[23]FormattedData!F21*$J$4+$M$4*$J$5+[23]FormattedData!F21^2*$J$6+$M$5*$J$7</f>
        <v>30.658657742571656</v>
      </c>
      <c r="N54" s="6">
        <f>$J$3+[23]FormattedData!G21*$J$4+$M$4*$J$5+[23]FormattedData!G21^2*$J$6+$M$5*$J$7</f>
        <v>31.336354513964228</v>
      </c>
      <c r="O54" s="6">
        <f>$J$3+[23]FormattedData!H21*$J$4+$M$4*$J$5+[23]FormattedData!H21^2*$J$6+$M$5*$J$7</f>
        <v>30.464649676760967</v>
      </c>
      <c r="P54" s="6">
        <f>$J$3+[23]FormattedData!I21*$J$4+$M$4*$J$5+[23]FormattedData!I21^2*$J$6+$M$5*$J$7</f>
        <v>31.046166651737856</v>
      </c>
      <c r="Q54" s="6">
        <f>$J$3+[23]FormattedData!J21*$J$4+$M$4*$J$5+[23]FormattedData!J21^2*$J$6+$M$5*$J$7</f>
        <v>29.881611034418562</v>
      </c>
      <c r="R54" s="6">
        <f>$J$3+[23]FormattedData!K21*$J$4+$M$4*$J$5+[23]FormattedData!K21^2*$J$6+$M$5*$J$7</f>
        <v>30.36758224104873</v>
      </c>
      <c r="S54" s="6">
        <f>$J$3+[23]FormattedData!L21*$J$4+$M$4*$J$5+[23]FormattedData!L21^2*$J$6+$M$5*$J$7</f>
        <v>30.852496734230616</v>
      </c>
      <c r="T54" s="6">
        <f>$J$3+[23]FormattedData!M21*$J$4+$M$4*$J$5+[23]FormattedData!M21^2*$J$6+$M$5*$J$7</f>
        <v>31.142938207684573</v>
      </c>
      <c r="U54" s="6">
        <f>$J$3+[23]FormattedData!N21*$J$4+$M$4*$J$5+[23]FormattedData!N21^2*$J$6+$M$5*$J$7</f>
        <v>30.755598372670104</v>
      </c>
      <c r="V54" s="6">
        <f>$J$3+[23]FormattedData!O21*$J$4+$M$4*$J$5+[23]FormattedData!O21^2*$J$6+$M$5*$J$7</f>
        <v>29.881611034418562</v>
      </c>
      <c r="W54" s="5">
        <f t="shared" si="9"/>
        <v>30.569288275859567</v>
      </c>
      <c r="X54" s="4">
        <f t="shared" si="10"/>
        <v>0.1379311158881516</v>
      </c>
      <c r="Y54" s="3">
        <f t="shared" si="11"/>
        <v>29.881611034418562</v>
      </c>
      <c r="Z54" s="2">
        <f t="shared" si="12"/>
        <v>30.246184543601533</v>
      </c>
      <c r="AA54" s="3">
        <f t="shared" si="13"/>
        <v>30.561653709666309</v>
      </c>
      <c r="AB54" s="2">
        <f t="shared" si="14"/>
        <v>30.900914213607425</v>
      </c>
      <c r="AC54" s="2">
        <f t="shared" si="15"/>
        <v>31.336354513964228</v>
      </c>
      <c r="AD54" s="2">
        <f t="shared" si="16"/>
        <v>2.9931815082910436E-2</v>
      </c>
      <c r="AE54" s="2">
        <f t="shared" si="17"/>
        <v>-1.023625127012739</v>
      </c>
    </row>
    <row r="55" spans="2:31" x14ac:dyDescent="0.2">
      <c r="B55" s="1">
        <f>[23]FormattedData!A19</f>
        <v>106</v>
      </c>
      <c r="C55" s="1" t="str">
        <f>VLOOKUP($B55,[23]TrtCodes!$B$11:I62,2)</f>
        <v>NTH</v>
      </c>
      <c r="D55" s="1">
        <f>VLOOKUP($B55,[23]TrtCodes!$B$11:J62,3)</f>
        <v>9</v>
      </c>
      <c r="E55" s="1">
        <f>VLOOKUP($B55,[23]TrtCodes!$B$11:K62,4)</f>
        <v>2</v>
      </c>
      <c r="F55" s="1">
        <f>VLOOKUP($B55,[23]TrtCodes!$B$11:L62,5)</f>
        <v>2</v>
      </c>
      <c r="G55" s="1">
        <f>VLOOKUP($B55,[23]TrtCodes!$B$11:M62,6)</f>
        <v>2</v>
      </c>
      <c r="H55" s="1">
        <f>VLOOKUP($B55,[23]TrtCodes!$B$11:N62,7)</f>
        <v>2</v>
      </c>
      <c r="I55" s="1">
        <f>[23]FormattedData!B19</f>
        <v>2</v>
      </c>
      <c r="J55" s="4">
        <f>[23]FormattedData!C19</f>
        <v>13.154</v>
      </c>
      <c r="K55" s="6">
        <f>$J$3+[23]FormattedData!D19*$J$4+$M$4*$J$5+[23]FormattedData!D19^2*$J$6+$M$5*$J$7</f>
        <v>30.755598372670104</v>
      </c>
      <c r="L55" s="6">
        <f>$J$3+[23]FormattedData!E19*$J$4+$M$4*$J$5+[23]FormattedData!E19^2*$J$6+$M$5*$J$7</f>
        <v>30.561674843935279</v>
      </c>
      <c r="M55" s="6">
        <f>$J$3+[23]FormattedData!F19*$J$4+$M$4*$J$5+[23]FormattedData!F19^2*$J$6+$M$5*$J$7</f>
        <v>29.297050724710633</v>
      </c>
      <c r="N55" s="6">
        <f>$J$3+[23]FormattedData!G19*$J$4+$M$4*$J$5+[23]FormattedData!G19^2*$J$6+$M$5*$J$7</f>
        <v>29.686926672000975</v>
      </c>
      <c r="O55" s="6">
        <f>$J$3+[23]FormattedData!H19*$J$4+$M$4*$J$5+[23]FormattedData!H19^2*$J$6+$M$5*$J$7</f>
        <v>29.492073235431665</v>
      </c>
      <c r="P55" s="6">
        <f>$J$3+[23]FormattedData!I19*$J$4+$M$4*$J$5+[23]FormattedData!I19^2*$J$6+$M$5*$J$7</f>
        <v>30.173320564010453</v>
      </c>
      <c r="Q55" s="6">
        <f>$J$3+[23]FormattedData!J19*$J$4+$M$4*$J$5+[23]FormattedData!J19^2*$J$6+$M$5*$J$7</f>
        <v>29.978889812820455</v>
      </c>
      <c r="R55" s="6">
        <f>$J$3+[23]FormattedData!K19*$J$4+$M$4*$J$5+[23]FormattedData!K19^2*$J$6+$M$5*$J$7</f>
        <v>30.464649676760967</v>
      </c>
      <c r="S55" s="6">
        <f>$J$3+[23]FormattedData!L19*$J$4+$M$4*$J$5+[23]FormattedData!L19^2*$J$6+$M$5*$J$7</f>
        <v>31.336354513964228</v>
      </c>
      <c r="T55" s="6">
        <f>$J$3+[23]FormattedData!M19*$J$4+$M$4*$J$5+[23]FormattedData!M19^2*$J$6+$M$5*$J$7</f>
        <v>29.78428998747874</v>
      </c>
      <c r="U55" s="6">
        <f>$J$3+[23]FormattedData!N19*$J$4+$M$4*$J$5+[23]FormattedData!N19^2*$J$6+$M$5*$J$7</f>
        <v>29.978889812820455</v>
      </c>
      <c r="V55" s="6">
        <f>$J$3+[23]FormattedData!O19*$J$4+$M$4*$J$5+[23]FormattedData!O19^2*$J$6+$M$5*$J$7</f>
        <v>29.881611034418562</v>
      </c>
      <c r="W55" s="5">
        <f t="shared" si="9"/>
        <v>30.115944104251877</v>
      </c>
      <c r="X55" s="4">
        <f t="shared" si="10"/>
        <v>0.16670728432839757</v>
      </c>
      <c r="Y55" s="3">
        <f t="shared" si="11"/>
        <v>29.297050724710633</v>
      </c>
      <c r="Z55" s="2">
        <f t="shared" si="12"/>
        <v>29.759949158609299</v>
      </c>
      <c r="AA55" s="3">
        <f t="shared" si="13"/>
        <v>29.978889812820455</v>
      </c>
      <c r="AB55" s="2">
        <f t="shared" si="14"/>
        <v>30.488905968554544</v>
      </c>
      <c r="AC55" s="2">
        <f t="shared" si="15"/>
        <v>31.336354513964228</v>
      </c>
      <c r="AD55" s="2">
        <f t="shared" si="16"/>
        <v>0.72794634803797931</v>
      </c>
      <c r="AE55" s="2">
        <f t="shared" si="17"/>
        <v>0.34580624256534787</v>
      </c>
    </row>
    <row r="56" spans="2:31" x14ac:dyDescent="0.2">
      <c r="B56" s="1">
        <f>[23]FormattedData!A17</f>
        <v>107</v>
      </c>
      <c r="C56" s="1" t="str">
        <f>VLOOKUP($B56,[23]TrtCodes!$B$11:I60,2)</f>
        <v>NTL</v>
      </c>
      <c r="D56" s="1">
        <f>VLOOKUP($B56,[23]TrtCodes!$B$11:J60,3)</f>
        <v>10</v>
      </c>
      <c r="E56" s="1">
        <f>VLOOKUP($B56,[23]TrtCodes!$B$11:K60,4)</f>
        <v>2</v>
      </c>
      <c r="F56" s="1">
        <f>VLOOKUP($B56,[23]TrtCodes!$B$11:L60,5)</f>
        <v>2</v>
      </c>
      <c r="G56" s="1">
        <f>VLOOKUP($B56,[23]TrtCodes!$B$11:M60,6)</f>
        <v>1</v>
      </c>
      <c r="H56" s="1">
        <f>VLOOKUP($B56,[23]TrtCodes!$B$11:N60,7)</f>
        <v>2</v>
      </c>
      <c r="I56" s="1">
        <f>[23]FormattedData!B17</f>
        <v>2</v>
      </c>
      <c r="J56" s="4">
        <f>[23]FormattedData!C17</f>
        <v>13.135999999999999</v>
      </c>
      <c r="K56" s="6">
        <f>$J$3+[23]FormattedData!D17*$J$4+$M$4*$J$5+[23]FormattedData!D17^2*$J$6+$M$5*$J$7</f>
        <v>28.221404715282869</v>
      </c>
      <c r="L56" s="6">
        <f>$J$3+[23]FormattedData!E17*$J$4+$M$4*$J$5+[23]FormattedData!E17^2*$J$6+$M$5*$J$7</f>
        <v>28.319402058829596</v>
      </c>
      <c r="M56" s="6">
        <f>$J$3+[23]FormattedData!F17*$J$4+$M$4*$J$5+[23]FormattedData!F17^2*$J$6+$M$5*$J$7</f>
        <v>28.515269940309253</v>
      </c>
      <c r="N56" s="6">
        <f>$J$3+[23]FormattedData!G17*$J$4+$M$4*$J$5+[23]FormattedData!G17^2*$J$6+$M$5*$J$7</f>
        <v>28.906498480813394</v>
      </c>
      <c r="O56" s="6">
        <f>$J$3+[23]FormattedData!H17*$J$4+$M$4*$J$5+[23]FormattedData!H17^2*$J$6+$M$5*$J$7</f>
        <v>28.613140478242183</v>
      </c>
      <c r="P56" s="6">
        <f>$J$3+[23]FormattedData!I17*$J$4+$M$4*$J$5+[23]FormattedData!I17^2*$J$6+$M$5*$J$7</f>
        <v>28.808754748494255</v>
      </c>
      <c r="Q56" s="6">
        <f>$J$3+[23]FormattedData!J17*$J$4+$M$4*$J$5+[23]FormattedData!J17^2*$J$6+$M$5*$J$7</f>
        <v>29.101859139837877</v>
      </c>
      <c r="R56" s="6">
        <f>$J$3+[23]FormattedData!K17*$J$4+$M$4*$J$5+[23]FormattedData!K17^2*$J$6+$M$5*$J$7</f>
        <v>28.906498480813394</v>
      </c>
      <c r="S56" s="6">
        <f>$J$3+[23]FormattedData!L17*$J$4+$M$4*$J$5+[23]FormattedData!L17^2*$J$6+$M$5*$J$7</f>
        <v>28.319402058829596</v>
      </c>
      <c r="T56" s="6">
        <f>$J$3+[23]FormattedData!M17*$J$4+$M$4*$J$5+[23]FormattedData!M17^2*$J$6+$M$5*$J$7</f>
        <v>28.808754748494255</v>
      </c>
      <c r="U56" s="6">
        <f>$J$3+[23]FormattedData!N17*$J$4+$M$4*$J$5+[23]FormattedData!N17^2*$J$6+$M$5*$J$7</f>
        <v>28.319402058829596</v>
      </c>
      <c r="V56" s="6">
        <f>$J$3+[23]FormattedData!O17*$J$4+$M$4*$J$5+[23]FormattedData!O17^2*$J$6+$M$5*$J$7</f>
        <v>28.808754748494255</v>
      </c>
      <c r="W56" s="5">
        <f t="shared" si="9"/>
        <v>28.637428471439211</v>
      </c>
      <c r="X56" s="4">
        <f t="shared" si="10"/>
        <v>8.4412499148388651E-2</v>
      </c>
      <c r="Y56" s="3">
        <f t="shared" si="11"/>
        <v>28.221404715282869</v>
      </c>
      <c r="Z56" s="2">
        <f t="shared" si="12"/>
        <v>28.319402058829596</v>
      </c>
      <c r="AA56" s="3">
        <f t="shared" si="13"/>
        <v>28.710947613368219</v>
      </c>
      <c r="AB56" s="2">
        <f t="shared" si="14"/>
        <v>28.833190681574038</v>
      </c>
      <c r="AC56" s="2">
        <f t="shared" si="15"/>
        <v>29.101859139837877</v>
      </c>
      <c r="AD56" s="2">
        <f t="shared" si="16"/>
        <v>-7.0307980650438626E-2</v>
      </c>
      <c r="AE56" s="2">
        <f t="shared" si="17"/>
        <v>-1.4371228242082852</v>
      </c>
    </row>
    <row r="57" spans="2:31" x14ac:dyDescent="0.2">
      <c r="B57" s="1">
        <f>[23]FormattedData!A15</f>
        <v>108</v>
      </c>
      <c r="C57" s="1" t="str">
        <f>VLOOKUP($B57,[23]TrtCodes!$B$11:I58,2)</f>
        <v>FTH</v>
      </c>
      <c r="D57" s="1">
        <f>VLOOKUP($B57,[23]TrtCodes!$B$11:J58,3)</f>
        <v>3</v>
      </c>
      <c r="E57" s="1">
        <f>VLOOKUP($B57,[23]TrtCodes!$B$11:K58,4)</f>
        <v>1</v>
      </c>
      <c r="F57" s="1">
        <f>VLOOKUP($B57,[23]TrtCodes!$B$11:L58,5)</f>
        <v>2</v>
      </c>
      <c r="G57" s="1">
        <f>VLOOKUP($B57,[23]TrtCodes!$B$11:M58,6)</f>
        <v>2</v>
      </c>
      <c r="H57" s="1">
        <f>VLOOKUP($B57,[23]TrtCodes!$B$11:N58,7)</f>
        <v>2</v>
      </c>
      <c r="I57" s="1">
        <f>[23]FormattedData!B15</f>
        <v>2</v>
      </c>
      <c r="J57" s="4">
        <f>[23]FormattedData!C15</f>
        <v>13.12</v>
      </c>
      <c r="K57" s="6">
        <f>$J$3+[23]FormattedData!D15*$J$4+$M$4*$J$5+[23]FormattedData!D15^2*$J$6+$M$5*$J$7</f>
        <v>29.0041999445946</v>
      </c>
      <c r="L57" s="6">
        <f>$J$3+[23]FormattedData!E15*$J$4+$M$4*$J$5+[23]FormattedData!E15^2*$J$6+$M$5*$J$7</f>
        <v>29.58952108798529</v>
      </c>
      <c r="M57" s="6">
        <f>$J$3+[23]FormattedData!F15*$J$4+$M$4*$J$5+[23]FormattedData!F15^2*$J$6+$M$5*$J$7</f>
        <v>29.978889812820455</v>
      </c>
      <c r="N57" s="6">
        <f>$J$3+[23]FormattedData!G15*$J$4+$M$4*$J$5+[23]FormattedData!G15^2*$J$6+$M$5*$J$7</f>
        <v>29.492073235431665</v>
      </c>
      <c r="O57" s="6">
        <f>$J$3+[23]FormattedData!H15*$J$4+$M$4*$J$5+[23]FormattedData!H15^2*$J$6+$M$5*$J$7</f>
        <v>30.949352827253197</v>
      </c>
      <c r="P57" s="6">
        <f>$J$3+[23]FormattedData!I15*$J$4+$M$4*$J$5+[23]FormattedData!I15^2*$J$6+$M$5*$J$7</f>
        <v>30.464649676760967</v>
      </c>
      <c r="Q57" s="6">
        <f>$J$3+[23]FormattedData!J15*$J$4+$M$4*$J$5+[23]FormattedData!J15^2*$J$6+$M$5*$J$7</f>
        <v>29.492073235431665</v>
      </c>
      <c r="R57" s="6">
        <f>$J$3+[23]FormattedData!K15*$J$4+$M$4*$J$5+[23]FormattedData!K15^2*$J$6+$M$5*$J$7</f>
        <v>29.0041999445946</v>
      </c>
      <c r="S57" s="6">
        <f>$J$3+[23]FormattedData!L15*$J$4+$M$4*$J$5+[23]FormattedData!L15^2*$J$6+$M$5*$J$7</f>
        <v>29.492073235431665</v>
      </c>
      <c r="T57" s="6">
        <f>$J$3+[23]FormattedData!M15*$J$4+$M$4*$J$5+[23]FormattedData!M15^2*$J$6+$M$5*$J$7</f>
        <v>30.076126322684424</v>
      </c>
      <c r="U57" s="6">
        <f>$J$3+[23]FormattedData!N15*$J$4+$M$4*$J$5+[23]FormattedData!N15^2*$J$6+$M$5*$J$7</f>
        <v>30.173320564010453</v>
      </c>
      <c r="V57" s="6">
        <f>$J$3+[23]FormattedData!O15*$J$4+$M$4*$J$5+[23]FormattedData!O15^2*$J$6+$M$5*$J$7</f>
        <v>29.978889812820455</v>
      </c>
      <c r="W57" s="5">
        <f t="shared" si="9"/>
        <v>29.807947474984957</v>
      </c>
      <c r="X57" s="4">
        <f t="shared" si="10"/>
        <v>0.16599068501762421</v>
      </c>
      <c r="Y57" s="3">
        <f t="shared" si="11"/>
        <v>29.0041999445946</v>
      </c>
      <c r="Z57" s="2">
        <f t="shared" si="12"/>
        <v>29.492073235431665</v>
      </c>
      <c r="AA57" s="3">
        <f t="shared" si="13"/>
        <v>29.784205450402872</v>
      </c>
      <c r="AB57" s="2">
        <f t="shared" si="14"/>
        <v>30.100424883015933</v>
      </c>
      <c r="AC57" s="2">
        <f t="shared" si="15"/>
        <v>30.949352827253197</v>
      </c>
      <c r="AD57" s="2">
        <f t="shared" si="16"/>
        <v>0.40445463393639997</v>
      </c>
      <c r="AE57" s="2">
        <f t="shared" si="17"/>
        <v>-3.3682540842110864E-2</v>
      </c>
    </row>
    <row r="58" spans="2:31" x14ac:dyDescent="0.2">
      <c r="B58" s="1">
        <f>[23]FormattedData!A31</f>
        <v>201</v>
      </c>
      <c r="C58" s="1" t="str">
        <f>VLOOKUP($B58,[23]TrtCodes!$B$11:I74,2)</f>
        <v>NDL</v>
      </c>
      <c r="D58" s="1">
        <f>VLOOKUP($B58,[23]TrtCodes!$B$11:J74,3)</f>
        <v>12</v>
      </c>
      <c r="E58" s="1">
        <f>VLOOKUP($B58,[23]TrtCodes!$B$11:K74,4)</f>
        <v>2</v>
      </c>
      <c r="F58" s="1">
        <f>VLOOKUP($B58,[23]TrtCodes!$B$11:L74,5)</f>
        <v>3</v>
      </c>
      <c r="G58" s="1">
        <f>VLOOKUP($B58,[23]TrtCodes!$B$11:M74,6)</f>
        <v>1</v>
      </c>
      <c r="H58" s="1">
        <f>VLOOKUP($B58,[23]TrtCodes!$B$11:N74,7)</f>
        <v>1</v>
      </c>
      <c r="I58" s="1">
        <f>[23]FormattedData!B31</f>
        <v>2</v>
      </c>
      <c r="J58" s="4">
        <f>[23]FormattedData!C31</f>
        <v>13.262</v>
      </c>
      <c r="K58" s="6">
        <f>$J$3+[23]FormattedData!D31*$J$4+$M$4*$J$5+[23]FormattedData!D31^2*$J$6+$M$5*$J$7</f>
        <v>29.881611034418562</v>
      </c>
      <c r="L58" s="6">
        <f>$J$3+[23]FormattedData!E31*$J$4+$M$4*$J$5+[23]FormattedData!E31^2*$J$6+$M$5*$J$7</f>
        <v>30.36758224104873</v>
      </c>
      <c r="M58" s="6">
        <f>$J$3+[23]FormattedData!F31*$J$4+$M$4*$J$5+[23]FormattedData!F31^2*$J$6+$M$5*$J$7</f>
        <v>29.58952108798529</v>
      </c>
      <c r="N58" s="6">
        <f>$J$3+[23]FormattedData!G31*$J$4+$M$4*$J$5+[23]FormattedData!G31^2*$J$6+$M$5*$J$7</f>
        <v>29.686926672000975</v>
      </c>
      <c r="O58" s="6">
        <f>$J$3+[23]FormattedData!H31*$J$4+$M$4*$J$5+[23]FormattedData!H31^2*$J$6+$M$5*$J$7</f>
        <v>29.492073235431665</v>
      </c>
      <c r="P58" s="6">
        <f>$J$3+[23]FormattedData!I31*$J$4+$M$4*$J$5+[23]FormattedData!I31^2*$J$6+$M$5*$J$7</f>
        <v>30.949352827253197</v>
      </c>
      <c r="Q58" s="6">
        <f>$J$3+[23]FormattedData!J31*$J$4+$M$4*$J$5+[23]FormattedData!J31^2*$J$6+$M$5*$J$7</f>
        <v>29.492073235431665</v>
      </c>
      <c r="R58" s="6">
        <f>$J$3+[23]FormattedData!K31*$J$4+$M$4*$J$5+[23]FormattedData!K31^2*$J$6+$M$5*$J$7</f>
        <v>29.978889812820455</v>
      </c>
      <c r="S58" s="6">
        <f>$J$3+[23]FormattedData!L31*$J$4+$M$4*$J$5+[23]FormattedData!L31^2*$J$6+$M$5*$J$7</f>
        <v>30.658657742571656</v>
      </c>
      <c r="T58" s="6">
        <f>$J$3+[23]FormattedData!M31*$J$4+$M$4*$J$5+[23]FormattedData!M31^2*$J$6+$M$5*$J$7</f>
        <v>29.978889812820455</v>
      </c>
      <c r="U58" s="6">
        <f>$J$3+[23]FormattedData!N31*$J$4+$M$4*$J$5+[23]FormattedData!N31^2*$J$6+$M$5*$J$7</f>
        <v>29.394583114340119</v>
      </c>
      <c r="V58" s="6">
        <f>$J$3+[23]FormattedData!O31*$J$4+$M$4*$J$5+[23]FormattedData!O31^2*$J$6+$M$5*$J$7</f>
        <v>29.78428998747874</v>
      </c>
      <c r="W58" s="5">
        <f t="shared" si="9"/>
        <v>29.937870900300126</v>
      </c>
      <c r="X58" s="4">
        <f t="shared" si="10"/>
        <v>0.14126999457323533</v>
      </c>
      <c r="Y58" s="3">
        <f t="shared" si="11"/>
        <v>29.394583114340119</v>
      </c>
      <c r="Z58" s="2">
        <f t="shared" si="12"/>
        <v>29.565159124846883</v>
      </c>
      <c r="AA58" s="3">
        <f t="shared" si="13"/>
        <v>29.832950510948649</v>
      </c>
      <c r="AB58" s="2">
        <f t="shared" si="14"/>
        <v>30.076062919877522</v>
      </c>
      <c r="AC58" s="2">
        <f t="shared" si="15"/>
        <v>30.949352827253197</v>
      </c>
      <c r="AD58" s="2">
        <f t="shared" si="16"/>
        <v>1.0140164536560183</v>
      </c>
      <c r="AE58" s="2">
        <f t="shared" si="17"/>
        <v>0.18703017021462731</v>
      </c>
    </row>
    <row r="59" spans="2:31" x14ac:dyDescent="0.2">
      <c r="B59" s="1">
        <f>[23]FormattedData!A33</f>
        <v>202</v>
      </c>
      <c r="C59" s="1" t="str">
        <f>VLOOKUP($B59,[23]TrtCodes!$B$11:I76,2)</f>
        <v>NTH</v>
      </c>
      <c r="D59" s="1">
        <f>VLOOKUP($B59,[23]TrtCodes!$B$11:J76,3)</f>
        <v>9</v>
      </c>
      <c r="E59" s="1">
        <f>VLOOKUP($B59,[23]TrtCodes!$B$11:K76,4)</f>
        <v>2</v>
      </c>
      <c r="F59" s="1">
        <f>VLOOKUP($B59,[23]TrtCodes!$B$11:L76,5)</f>
        <v>2</v>
      </c>
      <c r="G59" s="1">
        <f>VLOOKUP($B59,[23]TrtCodes!$B$11:M76,6)</f>
        <v>2</v>
      </c>
      <c r="H59" s="1">
        <f>VLOOKUP($B59,[23]TrtCodes!$B$11:N76,7)</f>
        <v>1</v>
      </c>
      <c r="I59" s="1">
        <f>[23]FormattedData!B33</f>
        <v>2</v>
      </c>
      <c r="J59" s="4">
        <f>[23]FormattedData!C33</f>
        <v>13.278</v>
      </c>
      <c r="K59" s="6">
        <f>$J$3+[23]FormattedData!D33*$J$4+$M$4*$J$5+[23]FormattedData!D33^2*$J$6+$M$5*$J$7</f>
        <v>29.978889812820455</v>
      </c>
      <c r="L59" s="6">
        <f>$J$3+[23]FormattedData!E33*$J$4+$M$4*$J$5+[23]FormattedData!E33^2*$J$6+$M$5*$J$7</f>
        <v>29.19947606654322</v>
      </c>
      <c r="M59" s="6">
        <f>$J$3+[23]FormattedData!F33*$J$4+$M$4*$J$5+[23]FormattedData!F33^2*$J$6+$M$5*$J$7</f>
        <v>29.78428998747874</v>
      </c>
      <c r="N59" s="6">
        <f>$J$3+[23]FormattedData!G33*$J$4+$M$4*$J$5+[23]FormattedData!G33^2*$J$6+$M$5*$J$7</f>
        <v>29.58952108798529</v>
      </c>
      <c r="O59" s="6">
        <f>$J$3+[23]FormattedData!H33*$J$4+$M$4*$J$5+[23]FormattedData!H33^2*$J$6+$M$5*$J$7</f>
        <v>30.852496734230616</v>
      </c>
      <c r="P59" s="6">
        <f>$J$3+[23]FormattedData!I33*$J$4+$M$4*$J$5+[23]FormattedData!I33^2*$J$6+$M$5*$J$7</f>
        <v>30.658657742571656</v>
      </c>
      <c r="Q59" s="6">
        <f>$J$3+[23]FormattedData!J33*$J$4+$M$4*$J$5+[23]FormattedData!J33^2*$J$6+$M$5*$J$7</f>
        <v>30.076126322684424</v>
      </c>
      <c r="R59" s="6">
        <f>$J$3+[23]FormattedData!K33*$J$4+$M$4*$J$5+[23]FormattedData!K33^2*$J$6+$M$5*$J$7</f>
        <v>29.58952108798529</v>
      </c>
      <c r="S59" s="6">
        <f>$J$3+[23]FormattedData!L33*$J$4+$M$4*$J$5+[23]FormattedData!L33^2*$J$6+$M$5*$J$7</f>
        <v>29.0041999445946</v>
      </c>
      <c r="T59" s="6">
        <f>$J$3+[23]FormattedData!M33*$J$4+$M$4*$J$5+[23]FormattedData!M33^2*$J$6+$M$5*$J$7</f>
        <v>29.297050724710633</v>
      </c>
      <c r="U59" s="6">
        <f>$J$3+[23]FormattedData!N33*$J$4+$M$4*$J$5+[23]FormattedData!N33^2*$J$6+$M$5*$J$7</f>
        <v>29.881611034418562</v>
      </c>
      <c r="V59" s="6">
        <f>$J$3+[23]FormattedData!O33*$J$4+$M$4*$J$5+[23]FormattedData!O33^2*$J$6+$M$5*$J$7</f>
        <v>29.19947606654322</v>
      </c>
      <c r="W59" s="5">
        <f t="shared" si="9"/>
        <v>29.759276384380556</v>
      </c>
      <c r="X59" s="4">
        <f t="shared" si="10"/>
        <v>0.1659776466436777</v>
      </c>
      <c r="Y59" s="3">
        <f t="shared" si="11"/>
        <v>29.0041999445946</v>
      </c>
      <c r="Z59" s="2">
        <f t="shared" si="12"/>
        <v>29.272657060168779</v>
      </c>
      <c r="AA59" s="3">
        <f t="shared" si="13"/>
        <v>29.686905537732017</v>
      </c>
      <c r="AB59" s="2">
        <f t="shared" si="14"/>
        <v>30.003198940286445</v>
      </c>
      <c r="AC59" s="2">
        <f t="shared" si="15"/>
        <v>30.852496734230616</v>
      </c>
      <c r="AD59" s="2">
        <f t="shared" si="16"/>
        <v>0.68206781716761788</v>
      </c>
      <c r="AE59" s="2">
        <f t="shared" si="17"/>
        <v>-0.1921089173928805</v>
      </c>
    </row>
    <row r="60" spans="2:31" x14ac:dyDescent="0.2">
      <c r="B60" s="1">
        <f>[23]FormattedData!A35</f>
        <v>203</v>
      </c>
      <c r="C60" s="1" t="str">
        <f>VLOOKUP($B60,[23]TrtCodes!$B$11:I78,2)</f>
        <v>FTH</v>
      </c>
      <c r="D60" s="1">
        <f>VLOOKUP($B60,[23]TrtCodes!$B$11:J78,3)</f>
        <v>3</v>
      </c>
      <c r="E60" s="1">
        <f>VLOOKUP($B60,[23]TrtCodes!$B$11:K78,4)</f>
        <v>1</v>
      </c>
      <c r="F60" s="1">
        <f>VLOOKUP($B60,[23]TrtCodes!$B$11:L78,5)</f>
        <v>2</v>
      </c>
      <c r="G60" s="1">
        <f>VLOOKUP($B60,[23]TrtCodes!$B$11:M78,6)</f>
        <v>2</v>
      </c>
      <c r="H60" s="1">
        <f>VLOOKUP($B60,[23]TrtCodes!$B$11:N78,7)</f>
        <v>1</v>
      </c>
      <c r="I60" s="1">
        <f>[23]FormattedData!B35</f>
        <v>2</v>
      </c>
      <c r="J60" s="4">
        <f>[23]FormattedData!C35</f>
        <v>13.294</v>
      </c>
      <c r="K60" s="6">
        <f>$J$3+[23]FormattedData!D35*$J$4+$M$4*$J$5+[23]FormattedData!D35^2*$J$6+$M$5*$J$7</f>
        <v>30.658657742571656</v>
      </c>
      <c r="L60" s="6">
        <f>$J$3+[23]FormattedData!E35*$J$4+$M$4*$J$5+[23]FormattedData!E35^2*$J$6+$M$5*$J$7</f>
        <v>30.561674843935279</v>
      </c>
      <c r="M60" s="6">
        <f>$J$3+[23]FormattedData!F35*$J$4+$M$4*$J$5+[23]FormattedData!F35^2*$J$6+$M$5*$J$7</f>
        <v>30.755598372670104</v>
      </c>
      <c r="N60" s="6">
        <f>$J$3+[23]FormattedData!G35*$J$4+$M$4*$J$5+[23]FormattedData!G35^2*$J$6+$M$5*$J$7</f>
        <v>30.561674843935279</v>
      </c>
      <c r="O60" s="6">
        <f>$J$3+[23]FormattedData!H35*$J$4+$M$4*$J$5+[23]FormattedData!H35^2*$J$6+$M$5*$J$7</f>
        <v>29.0041999445946</v>
      </c>
      <c r="P60" s="6">
        <f>$J$3+[23]FormattedData!I35*$J$4+$M$4*$J$5+[23]FormattedData!I35^2*$J$6+$M$5*$J$7</f>
        <v>29.101859139837877</v>
      </c>
      <c r="Q60" s="6">
        <f>$J$3+[23]FormattedData!J35*$J$4+$M$4*$J$5+[23]FormattedData!J35^2*$J$6+$M$5*$J$7</f>
        <v>28.515269940309253</v>
      </c>
      <c r="R60" s="6">
        <f>$J$3+[23]FormattedData!K35*$J$4+$M$4*$J$5+[23]FormattedData!K35^2*$J$6+$M$5*$J$7</f>
        <v>29.0041999445946</v>
      </c>
      <c r="S60" s="6">
        <f>$J$3+[23]FormattedData!L35*$J$4+$M$4*$J$5+[23]FormattedData!L35^2*$J$6+$M$5*$J$7</f>
        <v>29.101859139837877</v>
      </c>
      <c r="T60" s="6">
        <f>$J$3+[23]FormattedData!M35*$J$4+$M$4*$J$5+[23]FormattedData!M35^2*$J$6+$M$5*$J$7</f>
        <v>28.906498480813394</v>
      </c>
      <c r="U60" s="6">
        <f>$J$3+[23]FormattedData!N35*$J$4+$M$4*$J$5+[23]FormattedData!N35^2*$J$6+$M$5*$J$7</f>
        <v>28.123365103198214</v>
      </c>
      <c r="V60" s="6">
        <f>$J$3+[23]FormattedData!O35*$J$4+$M$4*$J$5+[23]FormattedData!O35^2*$J$6+$M$5*$J$7</f>
        <v>28.710968747637185</v>
      </c>
      <c r="W60" s="5">
        <f t="shared" si="9"/>
        <v>29.417152186994613</v>
      </c>
      <c r="X60" s="4">
        <f t="shared" si="10"/>
        <v>0.27162886673118364</v>
      </c>
      <c r="Y60" s="3">
        <f t="shared" si="11"/>
        <v>28.123365103198214</v>
      </c>
      <c r="Z60" s="2">
        <f t="shared" si="12"/>
        <v>28.857616047519343</v>
      </c>
      <c r="AA60" s="3">
        <f t="shared" si="13"/>
        <v>29.053029542216237</v>
      </c>
      <c r="AB60" s="2">
        <f t="shared" si="14"/>
        <v>30.561674843935279</v>
      </c>
      <c r="AC60" s="2">
        <f t="shared" si="15"/>
        <v>30.755598372670104</v>
      </c>
      <c r="AD60" s="2">
        <f t="shared" si="16"/>
        <v>0.48734078530295238</v>
      </c>
      <c r="AE60" s="2">
        <f t="shared" si="17"/>
        <v>-1.4453104476365506</v>
      </c>
    </row>
    <row r="61" spans="2:31" x14ac:dyDescent="0.2">
      <c r="B61" s="1">
        <f>[23]FormattedData!A37</f>
        <v>204</v>
      </c>
      <c r="C61" s="1" t="str">
        <f>VLOOKUP($B61,[23]TrtCodes!$B$11:I80,2)</f>
        <v>NDH</v>
      </c>
      <c r="D61" s="1">
        <f>VLOOKUP($B61,[23]TrtCodes!$B$11:J80,3)</f>
        <v>11</v>
      </c>
      <c r="E61" s="1">
        <f>VLOOKUP($B61,[23]TrtCodes!$B$11:K80,4)</f>
        <v>2</v>
      </c>
      <c r="F61" s="1">
        <f>VLOOKUP($B61,[23]TrtCodes!$B$11:L80,5)</f>
        <v>3</v>
      </c>
      <c r="G61" s="1">
        <f>VLOOKUP($B61,[23]TrtCodes!$B$11:M80,6)</f>
        <v>2</v>
      </c>
      <c r="H61" s="1">
        <f>VLOOKUP($B61,[23]TrtCodes!$B$11:N80,7)</f>
        <v>1</v>
      </c>
      <c r="I61" s="1">
        <f>[23]FormattedData!B37</f>
        <v>2</v>
      </c>
      <c r="J61" s="4">
        <f>[23]FormattedData!C37</f>
        <v>13.311</v>
      </c>
      <c r="K61" s="6">
        <f>$J$3+[23]FormattedData!D37*$J$4+$M$4*$J$5+[23]FormattedData!D37^2*$J$6+$M$5*$J$7</f>
        <v>28.906498480813394</v>
      </c>
      <c r="L61" s="6">
        <f>$J$3+[23]FormattedData!E37*$J$4+$M$4*$J$5+[23]FormattedData!E37^2*$J$6+$M$5*$J$7</f>
        <v>27.534239791393723</v>
      </c>
      <c r="M61" s="6">
        <f>$J$3+[23]FormattedData!F37*$J$4+$M$4*$J$5+[23]FormattedData!F37^2*$J$6+$M$5*$J$7</f>
        <v>28.41735713383839</v>
      </c>
      <c r="N61" s="6">
        <f>$J$3+[23]FormattedData!G37*$J$4+$M$4*$J$5+[23]FormattedData!G37^2*$J$6+$M$5*$J$7</f>
        <v>29.297050724710633</v>
      </c>
      <c r="O61" s="6">
        <f>$J$3+[23]FormattedData!H37*$J$4+$M$4*$J$5+[23]FormattedData!H37^2*$J$6+$M$5*$J$7</f>
        <v>29.394583114340119</v>
      </c>
      <c r="P61" s="6">
        <f>$J$3+[23]FormattedData!I37*$J$4+$M$4*$J$5+[23]FormattedData!I37^2*$J$6+$M$5*$J$7</f>
        <v>28.515269940309253</v>
      </c>
      <c r="Q61" s="6">
        <f>$J$3+[23]FormattedData!J37*$J$4+$M$4*$J$5+[23]FormattedData!J37^2*$J$6+$M$5*$J$7</f>
        <v>28.808754748494255</v>
      </c>
      <c r="R61" s="6">
        <f>$J$3+[23]FormattedData!K37*$J$4+$M$4*$J$5+[23]FormattedData!K37^2*$J$6+$M$5*$J$7</f>
        <v>29.0041999445946</v>
      </c>
      <c r="S61" s="6">
        <f>$J$3+[23]FormattedData!L37*$J$4+$M$4*$J$5+[23]FormattedData!L37^2*$J$6+$M$5*$J$7</f>
        <v>29.0041999445946</v>
      </c>
      <c r="T61" s="6">
        <f>$J$3+[23]FormattedData!M37*$J$4+$M$4*$J$5+[23]FormattedData!M37^2*$J$6+$M$5*$J$7</f>
        <v>29.881611034418562</v>
      </c>
      <c r="U61" s="6">
        <f>$J$3+[23]FormattedData!N37*$J$4+$M$4*$J$5+[23]FormattedData!N37^2*$J$6+$M$5*$J$7</f>
        <v>30.270472536798561</v>
      </c>
      <c r="V61" s="6">
        <f>$J$3+[23]FormattedData!O37*$J$4+$M$4*$J$5+[23]FormattedData!O37^2*$J$6+$M$5*$J$7</f>
        <v>29.686926672000975</v>
      </c>
      <c r="W61" s="5">
        <f t="shared" si="9"/>
        <v>29.060097005525588</v>
      </c>
      <c r="X61" s="4">
        <f t="shared" si="10"/>
        <v>0.21019549685484432</v>
      </c>
      <c r="Y61" s="3">
        <f t="shared" si="11"/>
        <v>27.534239791393723</v>
      </c>
      <c r="Z61" s="2">
        <f t="shared" si="12"/>
        <v>28.735383546448006</v>
      </c>
      <c r="AA61" s="3">
        <f t="shared" si="13"/>
        <v>29.0041999445946</v>
      </c>
      <c r="AB61" s="2">
        <f t="shared" si="14"/>
        <v>29.467669003755333</v>
      </c>
      <c r="AC61" s="2">
        <f t="shared" si="15"/>
        <v>30.270472536798561</v>
      </c>
      <c r="AD61" s="2">
        <f t="shared" si="16"/>
        <v>-0.38855382417419698</v>
      </c>
      <c r="AE61" s="2">
        <f t="shared" si="17"/>
        <v>0.70678244323828299</v>
      </c>
    </row>
    <row r="62" spans="2:31" x14ac:dyDescent="0.2">
      <c r="B62" s="1">
        <f>[23]FormattedData!A39</f>
        <v>205</v>
      </c>
      <c r="C62" s="1" t="str">
        <f>VLOOKUP($B62,[23]TrtCodes!$B$11:I82,2)</f>
        <v>FSH</v>
      </c>
      <c r="D62" s="1">
        <f>VLOOKUP($B62,[23]TrtCodes!$B$11:J82,3)</f>
        <v>1</v>
      </c>
      <c r="E62" s="1">
        <f>VLOOKUP($B62,[23]TrtCodes!$B$11:K82,4)</f>
        <v>1</v>
      </c>
      <c r="F62" s="1">
        <f>VLOOKUP($B62,[23]TrtCodes!$B$11:L82,5)</f>
        <v>1</v>
      </c>
      <c r="G62" s="1">
        <f>VLOOKUP($B62,[23]TrtCodes!$B$11:M82,6)</f>
        <v>2</v>
      </c>
      <c r="H62" s="1">
        <f>VLOOKUP($B62,[23]TrtCodes!$B$11:N82,7)</f>
        <v>2</v>
      </c>
      <c r="I62" s="1">
        <f>[23]FormattedData!B39</f>
        <v>2</v>
      </c>
      <c r="J62" s="4">
        <f>[23]FormattedData!C39</f>
        <v>13.327999999999999</v>
      </c>
      <c r="K62" s="6">
        <f>$J$3+[23]FormattedData!D39*$J$4+$M$4*$J$5+[23]FormattedData!D39^2*$J$6+$M$5*$J$7</f>
        <v>29.101859139837877</v>
      </c>
      <c r="L62" s="6">
        <f>$J$3+[23]FormattedData!E39*$J$4+$M$4*$J$5+[23]FormattedData!E39^2*$J$6+$M$5*$J$7</f>
        <v>29.0041999445946</v>
      </c>
      <c r="M62" s="6">
        <f>$J$3+[23]FormattedData!F39*$J$4+$M$4*$J$5+[23]FormattedData!F39^2*$J$6+$M$5*$J$7</f>
        <v>28.41735713383839</v>
      </c>
      <c r="N62" s="6">
        <f>$J$3+[23]FormattedData!G39*$J$4+$M$4*$J$5+[23]FormattedData!G39^2*$J$6+$M$5*$J$7</f>
        <v>28.41735713383839</v>
      </c>
      <c r="O62" s="6">
        <f>$J$3+[23]FormattedData!H39*$J$4+$M$4*$J$5+[23]FormattedData!H39^2*$J$6+$M$5*$J$7</f>
        <v>31.819155580249564</v>
      </c>
      <c r="P62" s="6">
        <f>$J$3+[23]FormattedData!I39*$J$4+$M$4*$J$5+[23]FormattedData!I39^2*$J$6+$M$5*$J$7</f>
        <v>29.78428998747874</v>
      </c>
      <c r="Q62" s="6">
        <f>$J$3+[23]FormattedData!J39*$J$4+$M$4*$J$5+[23]FormattedData!J39^2*$J$6+$M$5*$J$7</f>
        <v>29.394583114340119</v>
      </c>
      <c r="R62" s="6">
        <f>$J$3+[23]FormattedData!K39*$J$4+$M$4*$J$5+[23]FormattedData!K39^2*$J$6+$M$5*$J$7</f>
        <v>27.927159073415112</v>
      </c>
      <c r="S62" s="6">
        <f>$J$3+[23]FormattedData!L39*$J$4+$M$4*$J$5+[23]FormattedData!L39^2*$J$6+$M$5*$J$7</f>
        <v>28.906498480813394</v>
      </c>
      <c r="T62" s="6">
        <f>$J$3+[23]FormattedData!M39*$J$4+$M$4*$J$5+[23]FormattedData!M39^2*$J$6+$M$5*$J$7</f>
        <v>28.221404715282869</v>
      </c>
      <c r="U62" s="6">
        <f>$J$3+[23]FormattedData!N39*$J$4+$M$4*$J$5+[23]FormattedData!N39^2*$J$6+$M$5*$J$7</f>
        <v>28.710968747637185</v>
      </c>
      <c r="V62" s="6">
        <f>$J$3+[23]FormattedData!O39*$J$4+$M$4*$J$5+[23]FormattedData!O39^2*$J$6+$M$5*$J$7</f>
        <v>28.710968747637185</v>
      </c>
      <c r="W62" s="5">
        <f t="shared" si="9"/>
        <v>29.03465014991362</v>
      </c>
      <c r="X62" s="4">
        <f t="shared" si="10"/>
        <v>0.29292664413406322</v>
      </c>
      <c r="Y62" s="3">
        <f t="shared" si="11"/>
        <v>27.927159073415112</v>
      </c>
      <c r="Z62" s="2">
        <f t="shared" si="12"/>
        <v>28.41735713383839</v>
      </c>
      <c r="AA62" s="3">
        <f t="shared" si="13"/>
        <v>28.808733614225289</v>
      </c>
      <c r="AB62" s="2">
        <f t="shared" si="14"/>
        <v>29.175040133463437</v>
      </c>
      <c r="AC62" s="2">
        <f t="shared" si="15"/>
        <v>31.819155580249564</v>
      </c>
      <c r="AD62" s="2">
        <f t="shared" si="16"/>
        <v>2.0486349182769099</v>
      </c>
      <c r="AE62" s="2">
        <f t="shared" si="17"/>
        <v>5.2859392518520938</v>
      </c>
    </row>
    <row r="63" spans="2:31" x14ac:dyDescent="0.2">
      <c r="B63" s="1">
        <f>[23]FormattedData!A41</f>
        <v>206</v>
      </c>
      <c r="C63" s="1" t="str">
        <f>VLOOKUP($B63,[23]TrtCodes!$B$11:I84,2)</f>
        <v>NSL</v>
      </c>
      <c r="D63" s="1">
        <f>VLOOKUP($B63,[23]TrtCodes!$B$11:J84,3)</f>
        <v>8</v>
      </c>
      <c r="E63" s="1">
        <f>VLOOKUP($B63,[23]TrtCodes!$B$11:K84,4)</f>
        <v>2</v>
      </c>
      <c r="F63" s="1">
        <f>VLOOKUP($B63,[23]TrtCodes!$B$11:L84,5)</f>
        <v>1</v>
      </c>
      <c r="G63" s="1">
        <f>VLOOKUP($B63,[23]TrtCodes!$B$11:M84,6)</f>
        <v>1</v>
      </c>
      <c r="H63" s="1">
        <f>VLOOKUP($B63,[23]TrtCodes!$B$11:N84,7)</f>
        <v>2</v>
      </c>
      <c r="I63" s="1">
        <f>[23]FormattedData!B41</f>
        <v>2</v>
      </c>
      <c r="J63" s="4">
        <f>[23]FormattedData!C41</f>
        <v>13.343999999999999</v>
      </c>
      <c r="K63" s="6">
        <f>$J$3+[23]FormattedData!D41*$J$4+$M$4*$J$5+[23]FormattedData!D41^2*$J$6+$M$5*$J$7</f>
        <v>28.221404715282869</v>
      </c>
      <c r="L63" s="6">
        <f>$J$3+[23]FormattedData!E41*$J$4+$M$4*$J$5+[23]FormattedData!E41^2*$J$6+$M$5*$J$7</f>
        <v>28.221404715282869</v>
      </c>
      <c r="M63" s="6">
        <f>$J$3+[23]FormattedData!F41*$J$4+$M$4*$J$5+[23]FormattedData!F41^2*$J$6+$M$5*$J$7</f>
        <v>29.492073235431665</v>
      </c>
      <c r="N63" s="6">
        <f>$J$3+[23]FormattedData!G41*$J$4+$M$4*$J$5+[23]FormattedData!G41^2*$J$6+$M$5*$J$7</f>
        <v>29.19947606654322</v>
      </c>
      <c r="O63" s="6">
        <f>$J$3+[23]FormattedData!H41*$J$4+$M$4*$J$5+[23]FormattedData!H41^2*$J$6+$M$5*$J$7</f>
        <v>29.881611034418562</v>
      </c>
      <c r="P63" s="6">
        <f>$J$3+[23]FormattedData!I41*$J$4+$M$4*$J$5+[23]FormattedData!I41^2*$J$6+$M$5*$J$7</f>
        <v>30.076126322684424</v>
      </c>
      <c r="Q63" s="6">
        <f>$J$3+[23]FormattedData!J41*$J$4+$M$4*$J$5+[23]FormattedData!J41^2*$J$6+$M$5*$J$7</f>
        <v>30.36758224104873</v>
      </c>
      <c r="R63" s="6">
        <f>$J$3+[23]FormattedData!K41*$J$4+$M$4*$J$5+[23]FormattedData!K41^2*$J$6+$M$5*$J$7</f>
        <v>31.239667495093371</v>
      </c>
      <c r="S63" s="6">
        <f>$J$3+[23]FormattedData!L41*$J$4+$M$4*$J$5+[23]FormattedData!L41^2*$J$6+$M$5*$J$7</f>
        <v>30.852496734230616</v>
      </c>
      <c r="T63" s="6">
        <f>$J$3+[23]FormattedData!M41*$J$4+$M$4*$J$5+[23]FormattedData!M41^2*$J$6+$M$5*$J$7</f>
        <v>30.755598372670104</v>
      </c>
      <c r="U63" s="6">
        <f>$J$3+[23]FormattedData!N41*$J$4+$M$4*$J$5+[23]FormattedData!N41^2*$J$6+$M$5*$J$7</f>
        <v>29.978889812820455</v>
      </c>
      <c r="V63" s="6">
        <f>$J$3+[23]FormattedData!O41*$J$4+$M$4*$J$5+[23]FormattedData!O41^2*$J$6+$M$5*$J$7</f>
        <v>30.755598372670104</v>
      </c>
      <c r="W63" s="5">
        <f t="shared" si="9"/>
        <v>29.920160759848077</v>
      </c>
      <c r="X63" s="4">
        <f t="shared" si="10"/>
        <v>0.28484307719424173</v>
      </c>
      <c r="Y63" s="3">
        <f t="shared" si="11"/>
        <v>28.221404715282869</v>
      </c>
      <c r="Z63" s="2">
        <f t="shared" si="12"/>
        <v>29.418923943209553</v>
      </c>
      <c r="AA63" s="3">
        <f t="shared" si="13"/>
        <v>30.027508067752439</v>
      </c>
      <c r="AB63" s="2">
        <f t="shared" si="14"/>
        <v>30.755598372670104</v>
      </c>
      <c r="AC63" s="2">
        <f t="shared" si="15"/>
        <v>31.239667495093371</v>
      </c>
      <c r="AD63" s="2">
        <f t="shared" si="16"/>
        <v>-0.66879274157065804</v>
      </c>
      <c r="AE63" s="2">
        <f t="shared" si="17"/>
        <v>-0.41609667443797571</v>
      </c>
    </row>
    <row r="64" spans="2:31" x14ac:dyDescent="0.2">
      <c r="B64" s="1">
        <f>[23]FormattedData!A43</f>
        <v>207</v>
      </c>
      <c r="C64" s="1" t="str">
        <f>VLOOKUP($B64,[23]TrtCodes!$B$11:I86,2)</f>
        <v>FTL</v>
      </c>
      <c r="D64" s="1">
        <f>VLOOKUP($B64,[23]TrtCodes!$B$11:J86,3)</f>
        <v>4</v>
      </c>
      <c r="E64" s="1">
        <f>VLOOKUP($B64,[23]TrtCodes!$B$11:K86,4)</f>
        <v>1</v>
      </c>
      <c r="F64" s="1">
        <f>VLOOKUP($B64,[23]TrtCodes!$B$11:L86,5)</f>
        <v>2</v>
      </c>
      <c r="G64" s="1">
        <f>VLOOKUP($B64,[23]TrtCodes!$B$11:M86,6)</f>
        <v>1</v>
      </c>
      <c r="H64" s="1">
        <f>VLOOKUP($B64,[23]TrtCodes!$B$11:N86,7)</f>
        <v>2</v>
      </c>
      <c r="I64" s="1">
        <f>[23]FormattedData!B43</f>
        <v>2</v>
      </c>
      <c r="J64" s="4">
        <f>[23]FormattedData!C43</f>
        <v>13.36</v>
      </c>
      <c r="K64" s="6">
        <f>$J$3+[23]FormattedData!D43*$J$4+$M$4*$J$5+[23]FormattedData!D43^2*$J$6+$M$5*$J$7</f>
        <v>30.949352827253197</v>
      </c>
      <c r="L64" s="6">
        <f>$J$3+[23]FormattedData!E43*$J$4+$M$4*$J$5+[23]FormattedData!E43^2*$J$6+$M$5*$J$7</f>
        <v>30.173320564010453</v>
      </c>
      <c r="M64" s="6">
        <f>$J$3+[23]FormattedData!F43*$J$4+$M$4*$J$5+[23]FormattedData!F43^2*$J$6+$M$5*$J$7</f>
        <v>29.686926672000975</v>
      </c>
      <c r="N64" s="6">
        <f>$J$3+[23]FormattedData!G43*$J$4+$M$4*$J$5+[23]FormattedData!G43^2*$J$6+$M$5*$J$7</f>
        <v>30.36758224104873</v>
      </c>
      <c r="O64" s="6">
        <f>$J$3+[23]FormattedData!H43*$J$4+$M$4*$J$5+[23]FormattedData!H43^2*$J$6+$M$5*$J$7</f>
        <v>29.881611034418562</v>
      </c>
      <c r="P64" s="6">
        <f>$J$3+[23]FormattedData!I43*$J$4+$M$4*$J$5+[23]FormattedData!I43^2*$J$6+$M$5*$J$7</f>
        <v>30.076126322684424</v>
      </c>
      <c r="Q64" s="6">
        <f>$J$3+[23]FormattedData!J43*$J$4+$M$4*$J$5+[23]FormattedData!J43^2*$J$6+$M$5*$J$7</f>
        <v>30.561674843935279</v>
      </c>
      <c r="R64" s="6">
        <f>$J$3+[23]FormattedData!K43*$J$4+$M$4*$J$5+[23]FormattedData!K43^2*$J$6+$M$5*$J$7</f>
        <v>30.658657742571656</v>
      </c>
      <c r="S64" s="6">
        <f>$J$3+[23]FormattedData!L43*$J$4+$M$4*$J$5+[23]FormattedData!L43^2*$J$6+$M$5*$J$7</f>
        <v>29.978889812820455</v>
      </c>
      <c r="T64" s="6">
        <f>$J$3+[23]FormattedData!M43*$J$4+$M$4*$J$5+[23]FormattedData!M43^2*$J$6+$M$5*$J$7</f>
        <v>30.561674843935279</v>
      </c>
      <c r="U64" s="6">
        <f>$J$3+[23]FormattedData!N43*$J$4+$M$4*$J$5+[23]FormattedData!N43^2*$J$6+$M$5*$J$7</f>
        <v>29.19947606654322</v>
      </c>
      <c r="V64" s="6">
        <f>$J$3+[23]FormattedData!O43*$J$4+$M$4*$J$5+[23]FormattedData!O43^2*$J$6+$M$5*$J$7</f>
        <v>30.658657742571656</v>
      </c>
      <c r="W64" s="5">
        <f t="shared" si="9"/>
        <v>30.229495892816161</v>
      </c>
      <c r="X64" s="4">
        <f t="shared" si="10"/>
        <v>0.14281092394827974</v>
      </c>
      <c r="Y64" s="3">
        <f t="shared" si="11"/>
        <v>29.19947606654322</v>
      </c>
      <c r="Z64" s="2">
        <f t="shared" si="12"/>
        <v>29.954570118219983</v>
      </c>
      <c r="AA64" s="3">
        <f t="shared" si="13"/>
        <v>30.270451402529591</v>
      </c>
      <c r="AB64" s="2">
        <f t="shared" si="14"/>
        <v>30.585920568594375</v>
      </c>
      <c r="AC64" s="2">
        <f t="shared" si="15"/>
        <v>30.949352827253197</v>
      </c>
      <c r="AD64" s="2">
        <f t="shared" si="16"/>
        <v>-0.6370964196074923</v>
      </c>
      <c r="AE64" s="2">
        <f t="shared" si="17"/>
        <v>0.15613670608648533</v>
      </c>
    </row>
    <row r="65" spans="2:31" x14ac:dyDescent="0.2">
      <c r="B65" s="1">
        <f>[23]FormattedData!A45</f>
        <v>208</v>
      </c>
      <c r="C65" s="1" t="str">
        <f>VLOOKUP($B65,[23]TrtCodes!$B$11:I88,2)</f>
        <v>FSL</v>
      </c>
      <c r="D65" s="1">
        <f>VLOOKUP($B65,[23]TrtCodes!$B$11:J88,3)</f>
        <v>2</v>
      </c>
      <c r="E65" s="1">
        <f>VLOOKUP($B65,[23]TrtCodes!$B$11:K88,4)</f>
        <v>1</v>
      </c>
      <c r="F65" s="1">
        <f>VLOOKUP($B65,[23]TrtCodes!$B$11:L88,5)</f>
        <v>1</v>
      </c>
      <c r="G65" s="1">
        <f>VLOOKUP($B65,[23]TrtCodes!$B$11:M88,6)</f>
        <v>1</v>
      </c>
      <c r="H65" s="1">
        <f>VLOOKUP($B65,[23]TrtCodes!$B$11:N88,7)</f>
        <v>2</v>
      </c>
      <c r="I65" s="1">
        <f>[23]FormattedData!B45</f>
        <v>2</v>
      </c>
      <c r="J65" s="4">
        <f>[23]FormattedData!C45</f>
        <v>13.375999999999999</v>
      </c>
      <c r="K65" s="6">
        <f>$J$3+[23]FormattedData!D45*$J$4+$M$4*$J$5+[23]FormattedData!D45^2*$J$6+$M$5*$J$7</f>
        <v>29.101859139837877</v>
      </c>
      <c r="L65" s="6">
        <f>$J$3+[23]FormattedData!E45*$J$4+$M$4*$J$5+[23]FormattedData!E45^2*$J$6+$M$5*$J$7</f>
        <v>28.515269940309253</v>
      </c>
      <c r="M65" s="6">
        <f>$J$3+[23]FormattedData!F45*$J$4+$M$4*$J$5+[23]FormattedData!F45^2*$J$6+$M$5*$J$7</f>
        <v>29.0041999445946</v>
      </c>
      <c r="N65" s="6">
        <f>$J$3+[23]FormattedData!G45*$J$4+$M$4*$J$5+[23]FormattedData!G45^2*$J$6+$M$5*$J$7</f>
        <v>29.686926672000975</v>
      </c>
      <c r="O65" s="6">
        <f>$J$3+[23]FormattedData!H45*$J$4+$M$4*$J$5+[23]FormattedData!H45^2*$J$6+$M$5*$J$7</f>
        <v>29.78428998747874</v>
      </c>
      <c r="P65" s="6">
        <f>$J$3+[23]FormattedData!I45*$J$4+$M$4*$J$5+[23]FormattedData!I45^2*$J$6+$M$5*$J$7</f>
        <v>30.561674843935279</v>
      </c>
      <c r="Q65" s="6">
        <f>$J$3+[23]FormattedData!J45*$J$4+$M$4*$J$5+[23]FormattedData!J45^2*$J$6+$M$5*$J$7</f>
        <v>30.076126322684424</v>
      </c>
      <c r="R65" s="6">
        <f>$J$3+[23]FormattedData!K45*$J$4+$M$4*$J$5+[23]FormattedData!K45^2*$J$6+$M$5*$J$7</f>
        <v>30.173320564010453</v>
      </c>
      <c r="S65" s="6">
        <f>$J$3+[23]FormattedData!L45*$J$4+$M$4*$J$5+[23]FormattedData!L45^2*$J$6+$M$5*$J$7</f>
        <v>29.297050724710633</v>
      </c>
      <c r="T65" s="6">
        <f>$J$3+[23]FormattedData!M45*$J$4+$M$4*$J$5+[23]FormattedData!M45^2*$J$6+$M$5*$J$7</f>
        <v>29.78428998747874</v>
      </c>
      <c r="U65" s="6">
        <f>$J$3+[23]FormattedData!N45*$J$4+$M$4*$J$5+[23]FormattedData!N45^2*$J$6+$M$5*$J$7</f>
        <v>29.101859139837877</v>
      </c>
      <c r="V65" s="6">
        <f>$J$3+[23]FormattedData!O45*$J$4+$M$4*$J$5+[23]FormattedData!O45^2*$J$6+$M$5*$J$7</f>
        <v>30.755598372670104</v>
      </c>
      <c r="W65" s="5">
        <f t="shared" si="9"/>
        <v>29.653538803295746</v>
      </c>
      <c r="X65" s="4">
        <f t="shared" si="10"/>
        <v>0.19416463955301194</v>
      </c>
      <c r="Y65" s="3">
        <f t="shared" si="11"/>
        <v>28.515269940309253</v>
      </c>
      <c r="Z65" s="2">
        <f t="shared" si="12"/>
        <v>29.101859139837877</v>
      </c>
      <c r="AA65" s="3">
        <f t="shared" si="13"/>
        <v>29.735608329739858</v>
      </c>
      <c r="AB65" s="2">
        <f t="shared" si="14"/>
        <v>30.100424883015933</v>
      </c>
      <c r="AC65" s="2">
        <f t="shared" si="15"/>
        <v>30.755598372670104</v>
      </c>
      <c r="AD65" s="2">
        <f t="shared" si="16"/>
        <v>6.3865789120727601E-2</v>
      </c>
      <c r="AE65" s="2">
        <f t="shared" si="17"/>
        <v>-0.70832897518281568</v>
      </c>
    </row>
    <row r="66" spans="2:31" x14ac:dyDescent="0.2">
      <c r="B66" s="1">
        <f>[23]FormattedData!A63</f>
        <v>301</v>
      </c>
      <c r="C66" s="1" t="str">
        <f>VLOOKUP($B66,[23]TrtCodes!$B$11:I106,2)</f>
        <v>NTL</v>
      </c>
      <c r="D66" s="1">
        <f>VLOOKUP($B66,[23]TrtCodes!$B$11:J106,3)</f>
        <v>10</v>
      </c>
      <c r="E66" s="1">
        <f>VLOOKUP($B66,[23]TrtCodes!$B$11:K106,4)</f>
        <v>2</v>
      </c>
      <c r="F66" s="1">
        <f>VLOOKUP($B66,[23]TrtCodes!$B$11:L106,5)</f>
        <v>2</v>
      </c>
      <c r="G66" s="1">
        <f>VLOOKUP($B66,[23]TrtCodes!$B$11:M106,6)</f>
        <v>1</v>
      </c>
      <c r="H66" s="1">
        <f>VLOOKUP($B66,[23]TrtCodes!$B$11:N106,7)</f>
        <v>3</v>
      </c>
      <c r="I66" s="1">
        <f>[23]FormattedData!B63</f>
        <v>2</v>
      </c>
      <c r="J66" s="4">
        <f>[23]FormattedData!C63</f>
        <v>13.5</v>
      </c>
      <c r="K66" s="6">
        <f>$J$3+[23]FormattedData!D63*$J$4+$M$4*$J$5+[23]FormattedData!D63^2*$J$6+$M$5*$J$7</f>
        <v>29.0041999445946</v>
      </c>
      <c r="L66" s="6">
        <f>$J$3+[23]FormattedData!E63*$J$4+$M$4*$J$5+[23]FormattedData!E63^2*$J$6+$M$5*$J$7</f>
        <v>28.613140478242183</v>
      </c>
      <c r="M66" s="6">
        <f>$J$3+[23]FormattedData!F63*$J$4+$M$4*$J$5+[23]FormattedData!F63^2*$J$6+$M$5*$J$7</f>
        <v>28.808754748494255</v>
      </c>
      <c r="N66" s="6">
        <f>$J$3+[23]FormattedData!G63*$J$4+$M$4*$J$5+[23]FormattedData!G63^2*$J$6+$M$5*$J$7</f>
        <v>31.432999264297159</v>
      </c>
      <c r="O66" s="6">
        <f>$J$3+[23]FormattedData!H63*$J$4+$M$4*$J$5+[23]FormattedData!H63^2*$J$6+$M$5*$J$7</f>
        <v>29.0041999445946</v>
      </c>
      <c r="P66" s="6">
        <f>$J$3+[23]FormattedData!I63*$J$4+$M$4*$J$5+[23]FormattedData!I63^2*$J$6+$M$5*$J$7</f>
        <v>29.58952108798529</v>
      </c>
      <c r="Q66" s="6">
        <f>$J$3+[23]FormattedData!J63*$J$4+$M$4*$J$5+[23]FormattedData!J63^2*$J$6+$M$5*$J$7</f>
        <v>28.906498480813394</v>
      </c>
      <c r="R66" s="6">
        <f>$J$3+[23]FormattedData!K63*$J$4+$M$4*$J$5+[23]FormattedData!K63^2*$J$6+$M$5*$J$7</f>
        <v>36.400280236340329</v>
      </c>
      <c r="S66" s="6">
        <f>$J$3+[23]FormattedData!L63*$J$4+$M$4*$J$5+[23]FormattedData!L63^2*$J$6+$M$5*$J$7</f>
        <v>28.613140478242183</v>
      </c>
      <c r="T66" s="6">
        <f>$J$3+[23]FormattedData!M63*$J$4+$M$4*$J$5+[23]FormattedData!M63^2*$J$6+$M$5*$J$7</f>
        <v>28.710968747637185</v>
      </c>
      <c r="U66" s="6">
        <f>$J$3+[23]FormattedData!N63*$J$4+$M$4*$J$5+[23]FormattedData!N63^2*$J$6+$M$5*$J$7</f>
        <v>28.710968747637185</v>
      </c>
      <c r="V66" s="6">
        <f>$J$3+[23]FormattedData!O63*$J$4+$M$4*$J$5+[23]FormattedData!O63^2*$J$6+$M$5*$J$7</f>
        <v>29.0041999445946</v>
      </c>
      <c r="W66" s="5">
        <f t="shared" si="9"/>
        <v>29.733239341956079</v>
      </c>
      <c r="X66" s="4">
        <f t="shared" si="10"/>
        <v>0.64603251762998593</v>
      </c>
      <c r="Y66" s="3">
        <f t="shared" si="11"/>
        <v>28.613140478242183</v>
      </c>
      <c r="Z66" s="2">
        <f t="shared" si="12"/>
        <v>28.710968747637185</v>
      </c>
      <c r="AA66" s="3">
        <f t="shared" si="13"/>
        <v>28.955349212703997</v>
      </c>
      <c r="AB66" s="2">
        <f t="shared" si="14"/>
        <v>29.150530230442271</v>
      </c>
      <c r="AC66" s="2">
        <f t="shared" si="15"/>
        <v>36.400280236340329</v>
      </c>
      <c r="AD66" s="2">
        <f t="shared" si="16"/>
        <v>2.8594959179365591</v>
      </c>
      <c r="AE66" s="2">
        <f t="shared" si="17"/>
        <v>8.4774584979623206</v>
      </c>
    </row>
    <row r="67" spans="2:31" x14ac:dyDescent="0.2">
      <c r="B67" s="1">
        <f>[23]FormattedData!A65</f>
        <v>302</v>
      </c>
      <c r="C67" s="1" t="str">
        <f>VLOOKUP($B67,[23]TrtCodes!$B$11:I108,2)</f>
        <v>FTL</v>
      </c>
      <c r="D67" s="1">
        <f>VLOOKUP($B67,[23]TrtCodes!$B$11:J108,3)</f>
        <v>4</v>
      </c>
      <c r="E67" s="1">
        <f>VLOOKUP($B67,[23]TrtCodes!$B$11:K108,4)</f>
        <v>1</v>
      </c>
      <c r="F67" s="1">
        <f>VLOOKUP($B67,[23]TrtCodes!$B$11:L108,5)</f>
        <v>2</v>
      </c>
      <c r="G67" s="1">
        <f>VLOOKUP($B67,[23]TrtCodes!$B$11:M108,6)</f>
        <v>1</v>
      </c>
      <c r="H67" s="1">
        <f>VLOOKUP($B67,[23]TrtCodes!$B$11:N108,7)</f>
        <v>3</v>
      </c>
      <c r="I67" s="1">
        <f>[23]FormattedData!B65</f>
        <v>2</v>
      </c>
      <c r="J67" s="4">
        <f>[23]FormattedData!C65</f>
        <v>13.516999999999999</v>
      </c>
      <c r="K67" s="6">
        <f>$J$3+[23]FormattedData!D65*$J$4+$M$4*$J$5+[23]FormattedData!D65^2*$J$6+$M$5*$J$7</f>
        <v>27.927159073415112</v>
      </c>
      <c r="L67" s="6">
        <f>$J$3+[23]FormattedData!E65*$J$4+$M$4*$J$5+[23]FormattedData!E65^2*$J$6+$M$5*$J$7</f>
        <v>27.730783969480278</v>
      </c>
      <c r="M67" s="6">
        <f>$J$3+[23]FormattedData!F65*$J$4+$M$4*$J$5+[23]FormattedData!F65^2*$J$6+$M$5*$J$7</f>
        <v>27.337526539155444</v>
      </c>
      <c r="N67" s="6">
        <f>$J$3+[23]FormattedData!G65*$J$4+$M$4*$J$5+[23]FormattedData!G65^2*$J$6+$M$5*$J$7</f>
        <v>26.845003709145949</v>
      </c>
      <c r="O67" s="6">
        <f>$J$3+[23]FormattedData!H65*$J$4+$M$4*$J$5+[23]FormattedData!H65^2*$J$6+$M$5*$J$7</f>
        <v>27.140644212765441</v>
      </c>
      <c r="P67" s="6">
        <f>$J$3+[23]FormattedData!I65*$J$4+$M$4*$J$5+[23]FormattedData!I65^2*$J$6+$M$5*$J$7</f>
        <v>26.943592812223713</v>
      </c>
      <c r="Q67" s="6">
        <f>$J$3+[23]FormattedData!J65*$J$4+$M$4*$J$5+[23]FormattedData!J65^2*$J$6+$M$5*$J$7</f>
        <v>27.239106510229405</v>
      </c>
      <c r="R67" s="6">
        <f>$J$3+[23]FormattedData!K65*$J$4+$M$4*$J$5+[23]FormattedData!K65^2*$J$6+$M$5*$J$7</f>
        <v>27.140644212765441</v>
      </c>
      <c r="S67" s="6">
        <f>$J$3+[23]FormattedData!L65*$J$4+$M$4*$J$5+[23]FormattedData!L65^2*$J$6+$M$5*$J$7</f>
        <v>27.632533014705967</v>
      </c>
      <c r="T67" s="6">
        <f>$J$3+[23]FormattedData!M65*$J$4+$M$4*$J$5+[23]FormattedData!M65^2*$J$6+$M$5*$J$7</f>
        <v>27.927159073415112</v>
      </c>
      <c r="U67" s="6">
        <f>$J$3+[23]FormattedData!N65*$J$4+$M$4*$J$5+[23]FormattedData!N65^2*$J$6+$M$5*$J$7</f>
        <v>27.632533014705967</v>
      </c>
      <c r="V67" s="6">
        <f>$J$3+[23]FormattedData!O65*$J$4+$M$4*$J$5+[23]FormattedData!O65^2*$J$6+$M$5*$J$7</f>
        <v>28.41735713383839</v>
      </c>
      <c r="W67" s="5">
        <f t="shared" si="9"/>
        <v>27.492836939653852</v>
      </c>
      <c r="X67" s="4">
        <f t="shared" si="10"/>
        <v>0.13443469429851698</v>
      </c>
      <c r="Y67" s="3">
        <f t="shared" si="11"/>
        <v>26.845003709145949</v>
      </c>
      <c r="Z67" s="2">
        <f t="shared" si="12"/>
        <v>27.140644212765441</v>
      </c>
      <c r="AA67" s="3">
        <f t="shared" si="13"/>
        <v>27.485029776930705</v>
      </c>
      <c r="AB67" s="2">
        <f t="shared" si="14"/>
        <v>27.779877745463985</v>
      </c>
      <c r="AC67" s="2">
        <f t="shared" si="15"/>
        <v>28.41735713383839</v>
      </c>
      <c r="AD67" s="2">
        <f t="shared" si="16"/>
        <v>0.4622738416366276</v>
      </c>
      <c r="AE67" s="2">
        <f t="shared" si="17"/>
        <v>-0.32004425793239122</v>
      </c>
    </row>
    <row r="68" spans="2:31" x14ac:dyDescent="0.2">
      <c r="B68" s="1">
        <f>[23]FormattedData!A67</f>
        <v>303</v>
      </c>
      <c r="C68" s="1" t="str">
        <f>VLOOKUP($B68,[23]TrtCodes!$B$11:I110,2)</f>
        <v>NSL</v>
      </c>
      <c r="D68" s="1">
        <f>VLOOKUP($B68,[23]TrtCodes!$B$11:J110,3)</f>
        <v>8</v>
      </c>
      <c r="E68" s="1">
        <f>VLOOKUP($B68,[23]TrtCodes!$B$11:K110,4)</f>
        <v>2</v>
      </c>
      <c r="F68" s="1">
        <f>VLOOKUP($B68,[23]TrtCodes!$B$11:L110,5)</f>
        <v>1</v>
      </c>
      <c r="G68" s="1">
        <f>VLOOKUP($B68,[23]TrtCodes!$B$11:M110,6)</f>
        <v>1</v>
      </c>
      <c r="H68" s="1">
        <f>VLOOKUP($B68,[23]TrtCodes!$B$11:N110,7)</f>
        <v>3</v>
      </c>
      <c r="I68" s="1">
        <f>[23]FormattedData!B67</f>
        <v>2</v>
      </c>
      <c r="J68" s="4">
        <f>[23]FormattedData!C67</f>
        <v>13.532999999999999</v>
      </c>
      <c r="K68" s="6">
        <f>$J$3+[23]FormattedData!D67*$J$4+$M$4*$J$5+[23]FormattedData!D67^2*$J$6+$M$5*$J$7</f>
        <v>29.58952108798529</v>
      </c>
      <c r="L68" s="6">
        <f>$J$3+[23]FormattedData!E67*$J$4+$M$4*$J$5+[23]FormattedData!E67^2*$J$6+$M$5*$J$7</f>
        <v>29.19947606654322</v>
      </c>
      <c r="M68" s="6">
        <f>$J$3+[23]FormattedData!F67*$J$4+$M$4*$J$5+[23]FormattedData!F67^2*$J$6+$M$5*$J$7</f>
        <v>28.319402058829596</v>
      </c>
      <c r="N68" s="6">
        <f>$J$3+[23]FormattedData!G67*$J$4+$M$4*$J$5+[23]FormattedData!G67^2*$J$6+$M$5*$J$7</f>
        <v>29.492073235431665</v>
      </c>
      <c r="O68" s="6">
        <f>$J$3+[23]FormattedData!H67*$J$4+$M$4*$J$5+[23]FormattedData!H67^2*$J$6+$M$5*$J$7</f>
        <v>28.808754748494255</v>
      </c>
      <c r="P68" s="6">
        <f>$J$3+[23]FormattedData!I67*$J$4+$M$4*$J$5+[23]FormattedData!I67^2*$J$6+$M$5*$J$7</f>
        <v>29.881611034418562</v>
      </c>
      <c r="Q68" s="6">
        <f>$J$3+[23]FormattedData!J67*$J$4+$M$4*$J$5+[23]FormattedData!J67^2*$J$6+$M$5*$J$7</f>
        <v>28.613140478242183</v>
      </c>
      <c r="R68" s="6">
        <f>$J$3+[23]FormattedData!K67*$J$4+$M$4*$J$5+[23]FormattedData!K67^2*$J$6+$M$5*$J$7</f>
        <v>29.78428998747874</v>
      </c>
      <c r="S68" s="6">
        <f>$J$3+[23]FormattedData!L67*$J$4+$M$4*$J$5+[23]FormattedData!L67^2*$J$6+$M$5*$J$7</f>
        <v>30.076126322684424</v>
      </c>
      <c r="T68" s="6">
        <f>$J$3+[23]FormattedData!M67*$J$4+$M$4*$J$5+[23]FormattedData!M67^2*$J$6+$M$5*$J$7</f>
        <v>30.173320564010453</v>
      </c>
      <c r="U68" s="6">
        <f>$J$3+[23]FormattedData!N67*$J$4+$M$4*$J$5+[23]FormattedData!N67^2*$J$6+$M$5*$J$7</f>
        <v>28.613140478242183</v>
      </c>
      <c r="V68" s="6">
        <f>$J$3+[23]FormattedData!O67*$J$4+$M$4*$J$5+[23]FormattedData!O67^2*$J$6+$M$5*$J$7</f>
        <v>29.101859139837877</v>
      </c>
      <c r="W68" s="5">
        <f t="shared" si="9"/>
        <v>29.304392933516539</v>
      </c>
      <c r="X68" s="4">
        <f t="shared" si="10"/>
        <v>0.17952300358366155</v>
      </c>
      <c r="Y68" s="3">
        <f t="shared" si="11"/>
        <v>28.319402058829596</v>
      </c>
      <c r="Z68" s="2">
        <f t="shared" si="12"/>
        <v>28.759851180931236</v>
      </c>
      <c r="AA68" s="3">
        <f t="shared" si="13"/>
        <v>29.345774650987444</v>
      </c>
      <c r="AB68" s="2">
        <f t="shared" si="14"/>
        <v>29.808620249213696</v>
      </c>
      <c r="AC68" s="2">
        <f t="shared" si="15"/>
        <v>30.173320564010453</v>
      </c>
      <c r="AD68" s="2">
        <f t="shared" si="16"/>
        <v>-0.13568610878286042</v>
      </c>
      <c r="AE68" s="2">
        <f t="shared" si="17"/>
        <v>-1.339692852405916</v>
      </c>
    </row>
    <row r="69" spans="2:31" x14ac:dyDescent="0.2">
      <c r="B69" s="1">
        <f>[23]FormattedData!A69</f>
        <v>304</v>
      </c>
      <c r="C69" s="1" t="str">
        <f>VLOOKUP($B69,[23]TrtCodes!$B$11:I112,2)</f>
        <v>FSL</v>
      </c>
      <c r="D69" s="1">
        <f>VLOOKUP($B69,[23]TrtCodes!$B$11:J112,3)</f>
        <v>2</v>
      </c>
      <c r="E69" s="1">
        <f>VLOOKUP($B69,[23]TrtCodes!$B$11:K112,4)</f>
        <v>1</v>
      </c>
      <c r="F69" s="1">
        <f>VLOOKUP($B69,[23]TrtCodes!$B$11:L112,5)</f>
        <v>1</v>
      </c>
      <c r="G69" s="1">
        <f>VLOOKUP($B69,[23]TrtCodes!$B$11:M112,6)</f>
        <v>1</v>
      </c>
      <c r="H69" s="1">
        <f>VLOOKUP($B69,[23]TrtCodes!$B$11:N112,7)</f>
        <v>3</v>
      </c>
      <c r="I69" s="1">
        <f>[23]FormattedData!B69</f>
        <v>2</v>
      </c>
      <c r="J69" s="4">
        <f>[23]FormattedData!C69</f>
        <v>13.55</v>
      </c>
      <c r="K69" s="6">
        <f>$J$3+[23]FormattedData!D69*$J$4+$M$4*$J$5+[23]FormattedData!D69^2*$J$6+$M$5*$J$7</f>
        <v>30.561674843935279</v>
      </c>
      <c r="L69" s="6">
        <f>$J$3+[23]FormattedData!E69*$J$4+$M$4*$J$5+[23]FormattedData!E69^2*$J$6+$M$5*$J$7</f>
        <v>29.78428998747874</v>
      </c>
      <c r="M69" s="6">
        <f>$J$3+[23]FormattedData!F69*$J$4+$M$4*$J$5+[23]FormattedData!F69^2*$J$6+$M$5*$J$7</f>
        <v>30.270472536798561</v>
      </c>
      <c r="N69" s="6">
        <f>$J$3+[23]FormattedData!G69*$J$4+$M$4*$J$5+[23]FormattedData!G69^2*$J$6+$M$5*$J$7</f>
        <v>29.0041999445946</v>
      </c>
      <c r="O69" s="6">
        <f>$J$3+[23]FormattedData!H69*$J$4+$M$4*$J$5+[23]FormattedData!H69^2*$J$6+$M$5*$J$7</f>
        <v>28.515269940309253</v>
      </c>
      <c r="P69" s="6">
        <f>$J$3+[23]FormattedData!I69*$J$4+$M$4*$J$5+[23]FormattedData!I69^2*$J$6+$M$5*$J$7</f>
        <v>28.515269940309253</v>
      </c>
      <c r="Q69" s="6">
        <f>$J$3+[23]FormattedData!J69*$J$4+$M$4*$J$5+[23]FormattedData!J69^2*$J$6+$M$5*$J$7</f>
        <v>29.297050724710633</v>
      </c>
      <c r="R69" s="6">
        <f>$J$3+[23]FormattedData!K69*$J$4+$M$4*$J$5+[23]FormattedData!K69^2*$J$6+$M$5*$J$7</f>
        <v>28.808754748494255</v>
      </c>
      <c r="S69" s="6">
        <f>$J$3+[23]FormattedData!L69*$J$4+$M$4*$J$5+[23]FormattedData!L69^2*$J$6+$M$5*$J$7</f>
        <v>29.0041999445946</v>
      </c>
      <c r="T69" s="6">
        <f>$J$3+[23]FormattedData!M69*$J$4+$M$4*$J$5+[23]FormattedData!M69^2*$J$6+$M$5*$J$7</f>
        <v>28.906498480813394</v>
      </c>
      <c r="U69" s="6">
        <f>$J$3+[23]FormattedData!N69*$J$4+$M$4*$J$5+[23]FormattedData!N69^2*$J$6+$M$5*$J$7</f>
        <v>28.613140478242183</v>
      </c>
      <c r="V69" s="6">
        <f>$J$3+[23]FormattedData!O69*$J$4+$M$4*$J$5+[23]FormattedData!O69^2*$J$6+$M$5*$J$7</f>
        <v>29.58952108798529</v>
      </c>
      <c r="W69" s="5">
        <f t="shared" si="9"/>
        <v>29.239195221522177</v>
      </c>
      <c r="X69" s="4">
        <f t="shared" si="10"/>
        <v>0.19621766049185169</v>
      </c>
      <c r="Y69" s="3">
        <f t="shared" si="11"/>
        <v>28.515269940309253</v>
      </c>
      <c r="Z69" s="2">
        <f t="shared" si="12"/>
        <v>28.759851180931236</v>
      </c>
      <c r="AA69" s="3">
        <f t="shared" si="13"/>
        <v>29.0041999445946</v>
      </c>
      <c r="AB69" s="2">
        <f t="shared" si="14"/>
        <v>29.638213312858653</v>
      </c>
      <c r="AC69" s="2">
        <f t="shared" si="15"/>
        <v>30.561674843935279</v>
      </c>
      <c r="AD69" s="2">
        <f t="shared" si="16"/>
        <v>0.85740593794228659</v>
      </c>
      <c r="AE69" s="2">
        <f t="shared" si="17"/>
        <v>-0.30623925224797821</v>
      </c>
    </row>
    <row r="70" spans="2:31" x14ac:dyDescent="0.2">
      <c r="B70" s="1">
        <f>[23]FormattedData!A71</f>
        <v>305</v>
      </c>
      <c r="C70" s="1" t="str">
        <f>VLOOKUP($B70,[23]TrtCodes!$B$11:I114,2)</f>
        <v>NDH</v>
      </c>
      <c r="D70" s="1">
        <f>VLOOKUP($B70,[23]TrtCodes!$B$11:J114,3)</f>
        <v>11</v>
      </c>
      <c r="E70" s="1">
        <f>VLOOKUP($B70,[23]TrtCodes!$B$11:K114,4)</f>
        <v>2</v>
      </c>
      <c r="F70" s="1">
        <f>VLOOKUP($B70,[23]TrtCodes!$B$11:L114,5)</f>
        <v>3</v>
      </c>
      <c r="G70" s="1">
        <f>VLOOKUP($B70,[23]TrtCodes!$B$11:M114,6)</f>
        <v>2</v>
      </c>
      <c r="H70" s="1">
        <f>VLOOKUP($B70,[23]TrtCodes!$B$11:N114,7)</f>
        <v>4</v>
      </c>
      <c r="I70" s="1">
        <f>[23]FormattedData!B71</f>
        <v>2</v>
      </c>
      <c r="J70" s="4">
        <f>[23]FormattedData!C71</f>
        <v>13.567</v>
      </c>
      <c r="K70" s="6">
        <f>$J$3+[23]FormattedData!D71*$J$4+$M$4*$J$5+[23]FormattedData!D71^2*$J$6+$M$5*$J$7</f>
        <v>28.319402058829596</v>
      </c>
      <c r="L70" s="6">
        <f>$J$3+[23]FormattedData!E71*$J$4+$M$4*$J$5+[23]FormattedData!E71^2*$J$6+$M$5*$J$7</f>
        <v>28.319402058829596</v>
      </c>
      <c r="M70" s="6">
        <f>$J$3+[23]FormattedData!F71*$J$4+$M$4*$J$5+[23]FormattedData!F71^2*$J$6+$M$5*$J$7</f>
        <v>28.025283222575627</v>
      </c>
      <c r="N70" s="6">
        <f>$J$3+[23]FormattedData!G71*$J$4+$M$4*$J$5+[23]FormattedData!G71^2*$J$6+$M$5*$J$7</f>
        <v>27.927159073415112</v>
      </c>
      <c r="O70" s="6">
        <f>$J$3+[23]FormattedData!H71*$J$4+$M$4*$J$5+[23]FormattedData!H71^2*$J$6+$M$5*$J$7</f>
        <v>27.632533014705967</v>
      </c>
      <c r="P70" s="6">
        <f>$J$3+[23]FormattedData!I71*$J$4+$M$4*$J$5+[23]FormattedData!I71^2*$J$6+$M$5*$J$7</f>
        <v>28.613140478242183</v>
      </c>
      <c r="Q70" s="6">
        <f>$J$3+[23]FormattedData!J71*$J$4+$M$4*$J$5+[23]FormattedData!J71^2*$J$6+$M$5*$J$7</f>
        <v>27.828992655716661</v>
      </c>
      <c r="R70" s="6">
        <f>$J$3+[23]FormattedData!K71*$J$4+$M$4*$J$5+[23]FormattedData!K71^2*$J$6+$M$5*$J$7</f>
        <v>27.927159073415112</v>
      </c>
      <c r="S70" s="6">
        <f>$J$3+[23]FormattedData!L71*$J$4+$M$4*$J$5+[23]FormattedData!L71^2*$J$6+$M$5*$J$7</f>
        <v>28.710968747637185</v>
      </c>
      <c r="T70" s="6">
        <f>$J$3+[23]FormattedData!M71*$J$4+$M$4*$J$5+[23]FormattedData!M71^2*$J$6+$M$5*$J$7</f>
        <v>28.41735713383839</v>
      </c>
      <c r="U70" s="6">
        <f>$J$3+[23]FormattedData!N71*$J$4+$M$4*$J$5+[23]FormattedData!N71^2*$J$6+$M$5*$J$7</f>
        <v>28.319402058829596</v>
      </c>
      <c r="V70" s="6">
        <f>$J$3+[23]FormattedData!O71*$J$4+$M$4*$J$5+[23]FormattedData!O71^2*$J$6+$M$5*$J$7</f>
        <v>27.927159073415112</v>
      </c>
      <c r="W70" s="5">
        <f t="shared" si="9"/>
        <v>28.163996554120846</v>
      </c>
      <c r="X70" s="4">
        <f t="shared" si="10"/>
        <v>9.6127736668070771E-2</v>
      </c>
      <c r="Y70" s="3">
        <f t="shared" si="11"/>
        <v>27.632533014705967</v>
      </c>
      <c r="Z70" s="2">
        <f t="shared" si="12"/>
        <v>27.927159073415112</v>
      </c>
      <c r="AA70" s="3">
        <f t="shared" si="13"/>
        <v>28.17234264070261</v>
      </c>
      <c r="AB70" s="2">
        <f t="shared" si="14"/>
        <v>28.343890827581795</v>
      </c>
      <c r="AC70" s="2">
        <f t="shared" si="15"/>
        <v>28.710968747637185</v>
      </c>
      <c r="AD70" s="2">
        <f t="shared" si="16"/>
        <v>0.15226407424981725</v>
      </c>
      <c r="AE70" s="2">
        <f t="shared" si="17"/>
        <v>-0.97996960987473747</v>
      </c>
    </row>
    <row r="71" spans="2:31" x14ac:dyDescent="0.2">
      <c r="B71" s="1">
        <f>[23]FormattedData!A73</f>
        <v>306</v>
      </c>
      <c r="C71" s="1" t="str">
        <f>VLOOKUP($B71,[23]TrtCodes!$B$11:I116,2)</f>
        <v>FTL</v>
      </c>
      <c r="D71" s="1">
        <f>VLOOKUP($B71,[23]TrtCodes!$B$11:J116,3)</f>
        <v>4</v>
      </c>
      <c r="E71" s="1">
        <f>VLOOKUP($B71,[23]TrtCodes!$B$11:K116,4)</f>
        <v>1</v>
      </c>
      <c r="F71" s="1">
        <f>VLOOKUP($B71,[23]TrtCodes!$B$11:L116,5)</f>
        <v>2</v>
      </c>
      <c r="G71" s="1">
        <f>VLOOKUP($B71,[23]TrtCodes!$B$11:M116,6)</f>
        <v>1</v>
      </c>
      <c r="H71" s="1">
        <f>VLOOKUP($B71,[23]TrtCodes!$B$11:N116,7)</f>
        <v>4</v>
      </c>
      <c r="I71" s="1">
        <f>[23]FormattedData!B73</f>
        <v>2</v>
      </c>
      <c r="J71" s="4">
        <f>[23]FormattedData!C73</f>
        <v>13.583</v>
      </c>
      <c r="K71" s="6">
        <f>$J$3+[23]FormattedData!D73*$J$4+$M$4*$J$5+[23]FormattedData!D73^2*$J$6+$M$5*$J$7</f>
        <v>28.613140478242183</v>
      </c>
      <c r="L71" s="6">
        <f>$J$3+[23]FormattedData!E73*$J$4+$M$4*$J$5+[23]FormattedData!E73^2*$J$6+$M$5*$J$7</f>
        <v>28.710968747637185</v>
      </c>
      <c r="M71" s="6">
        <f>$J$3+[23]FormattedData!F73*$J$4+$M$4*$J$5+[23]FormattedData!F73^2*$J$6+$M$5*$J$7</f>
        <v>28.123365103198214</v>
      </c>
      <c r="N71" s="6">
        <f>$J$3+[23]FormattedData!G73*$J$4+$M$4*$J$5+[23]FormattedData!G73^2*$J$6+$M$5*$J$7</f>
        <v>28.025283222575627</v>
      </c>
      <c r="O71" s="6">
        <f>$J$3+[23]FormattedData!H73*$J$4+$M$4*$J$5+[23]FormattedData!H73^2*$J$6+$M$5*$J$7</f>
        <v>29.101859139837877</v>
      </c>
      <c r="P71" s="6">
        <f>$J$3+[23]FormattedData!I73*$J$4+$M$4*$J$5+[23]FormattedData!I73^2*$J$6+$M$5*$J$7</f>
        <v>28.515269940309253</v>
      </c>
      <c r="Q71" s="6">
        <f>$J$3+[23]FormattedData!J73*$J$4+$M$4*$J$5+[23]FormattedData!J73^2*$J$6+$M$5*$J$7</f>
        <v>28.123365103198214</v>
      </c>
      <c r="R71" s="6">
        <f>$J$3+[23]FormattedData!K73*$J$4+$M$4*$J$5+[23]FormattedData!K73^2*$J$6+$M$5*$J$7</f>
        <v>28.515269940309253</v>
      </c>
      <c r="S71" s="6">
        <f>$J$3+[23]FormattedData!L73*$J$4+$M$4*$J$5+[23]FormattedData!L73^2*$J$6+$M$5*$J$7</f>
        <v>28.710968747637185</v>
      </c>
      <c r="T71" s="6">
        <f>$J$3+[23]FormattedData!M73*$J$4+$M$4*$J$5+[23]FormattedData!M73^2*$J$6+$M$5*$J$7</f>
        <v>28.123365103198214</v>
      </c>
      <c r="U71" s="6">
        <f>$J$3+[23]FormattedData!N73*$J$4+$M$4*$J$5+[23]FormattedData!N73^2*$J$6+$M$5*$J$7</f>
        <v>27.828992655716661</v>
      </c>
      <c r="V71" s="6">
        <f>$J$3+[23]FormattedData!O73*$J$4+$M$4*$J$5+[23]FormattedData!O73^2*$J$6+$M$5*$J$7</f>
        <v>28.025283222575627</v>
      </c>
      <c r="W71" s="5">
        <f t="shared" si="9"/>
        <v>28.368094283702959</v>
      </c>
      <c r="X71" s="4">
        <f t="shared" si="10"/>
        <v>0.10948405769236901</v>
      </c>
      <c r="Y71" s="3">
        <f t="shared" si="11"/>
        <v>27.828992655716661</v>
      </c>
      <c r="Z71" s="2">
        <f t="shared" si="12"/>
        <v>28.098844633042567</v>
      </c>
      <c r="AA71" s="3">
        <f t="shared" si="13"/>
        <v>28.319317521753732</v>
      </c>
      <c r="AB71" s="2">
        <f t="shared" si="14"/>
        <v>28.637597545590936</v>
      </c>
      <c r="AC71" s="2">
        <f t="shared" si="15"/>
        <v>29.101859139837877</v>
      </c>
      <c r="AD71" s="2">
        <f t="shared" si="16"/>
        <v>0.43103519895056019</v>
      </c>
      <c r="AE71" s="2">
        <f t="shared" si="17"/>
        <v>-0.64483928760349185</v>
      </c>
    </row>
    <row r="72" spans="2:31" x14ac:dyDescent="0.2">
      <c r="B72" s="1">
        <f>[23]FormattedData!A75</f>
        <v>307</v>
      </c>
      <c r="C72" s="1" t="str">
        <f>VLOOKUP($B72,[23]TrtCodes!$B$11:I118,2)</f>
        <v>NTH</v>
      </c>
      <c r="D72" s="1">
        <f>VLOOKUP($B72,[23]TrtCodes!$B$11:J118,3)</f>
        <v>9</v>
      </c>
      <c r="E72" s="1">
        <f>VLOOKUP($B72,[23]TrtCodes!$B$11:K118,4)</f>
        <v>2</v>
      </c>
      <c r="F72" s="1">
        <f>VLOOKUP($B72,[23]TrtCodes!$B$11:L118,5)</f>
        <v>2</v>
      </c>
      <c r="G72" s="1">
        <f>VLOOKUP($B72,[23]TrtCodes!$B$11:M118,6)</f>
        <v>2</v>
      </c>
      <c r="H72" s="1">
        <f>VLOOKUP($B72,[23]TrtCodes!$B$11:N118,7)</f>
        <v>4</v>
      </c>
      <c r="I72" s="1">
        <f>[23]FormattedData!B75</f>
        <v>2</v>
      </c>
      <c r="J72" s="4">
        <f>[23]FormattedData!C75</f>
        <v>13.599</v>
      </c>
      <c r="K72" s="6">
        <f>$J$3+[23]FormattedData!D75*$J$4+$M$4*$J$5+[23]FormattedData!D75^2*$J$6+$M$5*$J$7</f>
        <v>27.534239791393723</v>
      </c>
      <c r="L72" s="6">
        <f>$J$3+[23]FormattedData!E75*$J$4+$M$4*$J$5+[23]FormattedData!E75^2*$J$6+$M$5*$J$7</f>
        <v>27.730783969480278</v>
      </c>
      <c r="M72" s="6">
        <f>$J$3+[23]FormattedData!F75*$J$4+$M$4*$J$5+[23]FormattedData!F75^2*$J$6+$M$5*$J$7</f>
        <v>27.828992655716661</v>
      </c>
      <c r="N72" s="6">
        <f>$J$3+[23]FormattedData!G75*$J$4+$M$4*$J$5+[23]FormattedData!G75^2*$J$6+$M$5*$J$7</f>
        <v>28.123365103198214</v>
      </c>
      <c r="O72" s="6">
        <f>$J$3+[23]FormattedData!H75*$J$4+$M$4*$J$5+[23]FormattedData!H75^2*$J$6+$M$5*$J$7</f>
        <v>28.319402058829596</v>
      </c>
      <c r="P72" s="6">
        <f>$J$3+[23]FormattedData!I75*$J$4+$M$4*$J$5+[23]FormattedData!I75^2*$J$6+$M$5*$J$7</f>
        <v>28.41735713383839</v>
      </c>
      <c r="Q72" s="6">
        <f>$J$3+[23]FormattedData!J75*$J$4+$M$4*$J$5+[23]FormattedData!J75^2*$J$6+$M$5*$J$7</f>
        <v>27.730783969480278</v>
      </c>
      <c r="R72" s="6">
        <f>$J$3+[23]FormattedData!K75*$J$4+$M$4*$J$5+[23]FormattedData!K75^2*$J$6+$M$5*$J$7</f>
        <v>27.927159073415112</v>
      </c>
      <c r="S72" s="6">
        <f>$J$3+[23]FormattedData!L75*$J$4+$M$4*$J$5+[23]FormattedData!L75^2*$J$6+$M$5*$J$7</f>
        <v>29.394583114340119</v>
      </c>
      <c r="T72" s="6">
        <f>$J$3+[23]FormattedData!M75*$J$4+$M$4*$J$5+[23]FormattedData!M75^2*$J$6+$M$5*$J$7</f>
        <v>27.828992655716661</v>
      </c>
      <c r="U72" s="6">
        <f>$J$3+[23]FormattedData!N75*$J$4+$M$4*$J$5+[23]FormattedData!N75^2*$J$6+$M$5*$J$7</f>
        <v>27.927159073415112</v>
      </c>
      <c r="V72" s="6">
        <f>$J$3+[23]FormattedData!O75*$J$4+$M$4*$J$5+[23]FormattedData!O75^2*$J$6+$M$5*$J$7</f>
        <v>28.221404715282869</v>
      </c>
      <c r="W72" s="5">
        <f t="shared" si="9"/>
        <v>28.082018609508918</v>
      </c>
      <c r="X72" s="4">
        <f t="shared" si="10"/>
        <v>0.14130256659263635</v>
      </c>
      <c r="Y72" s="3">
        <f t="shared" si="11"/>
        <v>27.534239791393723</v>
      </c>
      <c r="Z72" s="2">
        <f t="shared" si="12"/>
        <v>27.804440484157567</v>
      </c>
      <c r="AA72" s="3">
        <f t="shared" si="13"/>
        <v>27.927159073415112</v>
      </c>
      <c r="AB72" s="2">
        <f t="shared" si="14"/>
        <v>28.24590405116955</v>
      </c>
      <c r="AC72" s="2">
        <f t="shared" si="15"/>
        <v>29.394583114340119</v>
      </c>
      <c r="AD72" s="2">
        <f t="shared" si="16"/>
        <v>1.8829898264170852</v>
      </c>
      <c r="AE72" s="2">
        <f t="shared" si="17"/>
        <v>4.5147069890193983</v>
      </c>
    </row>
    <row r="73" spans="2:31" x14ac:dyDescent="0.2">
      <c r="B73" s="1">
        <f>[23]FormattedData!A77</f>
        <v>308</v>
      </c>
      <c r="C73" s="1" t="str">
        <f>VLOOKUP($B73,[23]TrtCodes!$B$11:I120,2)</f>
        <v>FDH</v>
      </c>
      <c r="D73" s="1">
        <f>VLOOKUP($B73,[23]TrtCodes!$B$11:J120,3)</f>
        <v>5</v>
      </c>
      <c r="E73" s="1">
        <f>VLOOKUP($B73,[23]TrtCodes!$B$11:K120,4)</f>
        <v>1</v>
      </c>
      <c r="F73" s="1">
        <f>VLOOKUP($B73,[23]TrtCodes!$B$11:L120,5)</f>
        <v>3</v>
      </c>
      <c r="G73" s="1">
        <f>VLOOKUP($B73,[23]TrtCodes!$B$11:M120,6)</f>
        <v>2</v>
      </c>
      <c r="H73" s="1">
        <f>VLOOKUP($B73,[23]TrtCodes!$B$11:N120,7)</f>
        <v>4</v>
      </c>
      <c r="I73" s="1">
        <f>[23]FormattedData!B77</f>
        <v>2</v>
      </c>
      <c r="J73" s="4">
        <f>[23]FormattedData!C77</f>
        <v>13.615</v>
      </c>
      <c r="K73" s="6">
        <f>$J$3+[23]FormattedData!D77*$J$4+$M$4*$J$5+[23]FormattedData!D77^2*$J$6+$M$5*$J$7</f>
        <v>28.613140478242183</v>
      </c>
      <c r="L73" s="6">
        <f>$J$3+[23]FormattedData!E77*$J$4+$M$4*$J$5+[23]FormattedData!E77^2*$J$6+$M$5*$J$7</f>
        <v>28.319402058829596</v>
      </c>
      <c r="M73" s="6">
        <f>$J$3+[23]FormattedData!F77*$J$4+$M$4*$J$5+[23]FormattedData!F77^2*$J$6+$M$5*$J$7</f>
        <v>27.730783969480278</v>
      </c>
      <c r="N73" s="6">
        <f>$J$3+[23]FormattedData!G77*$J$4+$M$4*$J$5+[23]FormattedData!G77^2*$J$6+$M$5*$J$7</f>
        <v>28.123365103198214</v>
      </c>
      <c r="O73" s="6">
        <f>$J$3+[23]FormattedData!H77*$J$4+$M$4*$J$5+[23]FormattedData!H77^2*$J$6+$M$5*$J$7</f>
        <v>28.41735713383839</v>
      </c>
      <c r="P73" s="6">
        <f>$J$3+[23]FormattedData!I77*$J$4+$M$4*$J$5+[23]FormattedData!I77^2*$J$6+$M$5*$J$7</f>
        <v>28.515269940309253</v>
      </c>
      <c r="Q73" s="6">
        <f>$J$3+[23]FormattedData!J77*$J$4+$M$4*$J$5+[23]FormattedData!J77^2*$J$6+$M$5*$J$7</f>
        <v>28.221404715282869</v>
      </c>
      <c r="R73" s="6">
        <f>$J$3+[23]FormattedData!K77*$J$4+$M$4*$J$5+[23]FormattedData!K77^2*$J$6+$M$5*$J$7</f>
        <v>28.41735713383839</v>
      </c>
      <c r="S73" s="6">
        <f>$J$3+[23]FormattedData!L77*$J$4+$M$4*$J$5+[23]FormattedData!L77^2*$J$6+$M$5*$J$7</f>
        <v>29.101859139837877</v>
      </c>
      <c r="T73" s="6">
        <f>$J$3+[23]FormattedData!M77*$J$4+$M$4*$J$5+[23]FormattedData!M77^2*$J$6+$M$5*$J$7</f>
        <v>29.19947606654322</v>
      </c>
      <c r="U73" s="6">
        <f>$J$3+[23]FormattedData!N77*$J$4+$M$4*$J$5+[23]FormattedData!N77^2*$J$6+$M$5*$J$7</f>
        <v>28.221404715282869</v>
      </c>
      <c r="V73" s="6">
        <f>$J$3+[23]FormattedData!O77*$J$4+$M$4*$J$5+[23]FormattedData!O77^2*$J$6+$M$5*$J$7</f>
        <v>29.394583114340119</v>
      </c>
      <c r="W73" s="5">
        <f t="shared" si="9"/>
        <v>28.5229502974186</v>
      </c>
      <c r="X73" s="4">
        <f t="shared" si="10"/>
        <v>0.14017161021218066</v>
      </c>
      <c r="Y73" s="3">
        <f t="shared" si="11"/>
        <v>27.730783969480278</v>
      </c>
      <c r="Z73" s="2">
        <f t="shared" si="12"/>
        <v>28.221404715282869</v>
      </c>
      <c r="AA73" s="3">
        <f t="shared" si="13"/>
        <v>28.41735713383839</v>
      </c>
      <c r="AB73" s="2">
        <f t="shared" si="14"/>
        <v>28.735320143641108</v>
      </c>
      <c r="AC73" s="2">
        <f t="shared" si="15"/>
        <v>29.394583114340119</v>
      </c>
      <c r="AD73" s="2">
        <f t="shared" si="16"/>
        <v>0.51461655763394742</v>
      </c>
      <c r="AE73" s="2">
        <f t="shared" si="17"/>
        <v>-0.24392477201067964</v>
      </c>
    </row>
    <row r="74" spans="2:31" x14ac:dyDescent="0.2">
      <c r="B74" s="1">
        <f>[23]FormattedData!A93</f>
        <v>401</v>
      </c>
      <c r="C74" s="1" t="str">
        <f>VLOOKUP($B74,[23]TrtCodes!$B$11:I130,2)</f>
        <v>NSH</v>
      </c>
      <c r="D74" s="1">
        <f>VLOOKUP($B74,[23]TrtCodes!$B$11:J130,3)</f>
        <v>7</v>
      </c>
      <c r="E74" s="1">
        <f>VLOOKUP($B74,[23]TrtCodes!$B$11:K130,4)</f>
        <v>2</v>
      </c>
      <c r="F74" s="1">
        <f>VLOOKUP($B74,[23]TrtCodes!$B$11:L130,5)</f>
        <v>1</v>
      </c>
      <c r="G74" s="1">
        <f>VLOOKUP($B74,[23]TrtCodes!$B$11:M130,6)</f>
        <v>2</v>
      </c>
      <c r="H74" s="1">
        <f>VLOOKUP($B74,[23]TrtCodes!$B$11:N130,7)</f>
        <v>3</v>
      </c>
      <c r="I74" s="1">
        <f>[23]FormattedData!B93</f>
        <v>2</v>
      </c>
      <c r="J74" s="4">
        <f>[23]FormattedData!C93</f>
        <v>13.759</v>
      </c>
      <c r="K74" s="6">
        <f>$J$3+[23]FormattedData!D93*$J$4+$M$4*$J$5+[23]FormattedData!D93^2*$J$6+$M$5*$J$7</f>
        <v>28.515269940309253</v>
      </c>
      <c r="L74" s="6">
        <f>$J$3+[23]FormattedData!E93*$J$4+$M$4*$J$5+[23]FormattedData!E93^2*$J$6+$M$5*$J$7</f>
        <v>28.613140478242183</v>
      </c>
      <c r="M74" s="6">
        <f>$J$3+[23]FormattedData!F93*$J$4+$M$4*$J$5+[23]FormattedData!F93^2*$J$6+$M$5*$J$7</f>
        <v>28.710968747637185</v>
      </c>
      <c r="N74" s="6">
        <f>$J$3+[23]FormattedData!G93*$J$4+$M$4*$J$5+[23]FormattedData!G93^2*$J$6+$M$5*$J$7</f>
        <v>28.221404715282869</v>
      </c>
      <c r="O74" s="6">
        <f>$J$3+[23]FormattedData!H93*$J$4+$M$4*$J$5+[23]FormattedData!H93^2*$J$6+$M$5*$J$7</f>
        <v>28.613140478242183</v>
      </c>
      <c r="P74" s="6">
        <f>$J$3+[23]FormattedData!I93*$J$4+$M$4*$J$5+[23]FormattedData!I93^2*$J$6+$M$5*$J$7</f>
        <v>28.41735713383839</v>
      </c>
      <c r="Q74" s="6">
        <f>$J$3+[23]FormattedData!J93*$J$4+$M$4*$J$5+[23]FormattedData!J93^2*$J$6+$M$5*$J$7</f>
        <v>28.123365103198214</v>
      </c>
      <c r="R74" s="6">
        <f>$J$3+[23]FormattedData!K93*$J$4+$M$4*$J$5+[23]FormattedData!K93^2*$J$6+$M$5*$J$7</f>
        <v>28.613140478242183</v>
      </c>
      <c r="S74" s="6">
        <f>$J$3+[23]FormattedData!L93*$J$4+$M$4*$J$5+[23]FormattedData!L93^2*$J$6+$M$5*$J$7</f>
        <v>28.319402058829596</v>
      </c>
      <c r="T74" s="6">
        <f>$J$3+[23]FormattedData!M93*$J$4+$M$4*$J$5+[23]FormattedData!M93^2*$J$6+$M$5*$J$7</f>
        <v>28.319402058829596</v>
      </c>
      <c r="U74" s="6">
        <f>$J$3+[23]FormattedData!N93*$J$4+$M$4*$J$5+[23]FormattedData!N93^2*$J$6+$M$5*$J$7</f>
        <v>29.297050724710633</v>
      </c>
      <c r="V74" s="6">
        <f>$J$3+[23]FormattedData!O93*$J$4+$M$4*$J$5+[23]FormattedData!O93^2*$J$6+$M$5*$J$7</f>
        <v>29.297050724710633</v>
      </c>
      <c r="W74" s="5">
        <f t="shared" ref="W74:W105" si="18">AVERAGE(K74:V74)</f>
        <v>28.588391053506076</v>
      </c>
      <c r="X74" s="4">
        <f t="shared" ref="X74:X85" si="19">STDEV(K74:V74)/SQRT(COUNT(K74:V74))</f>
        <v>0.10841480095213006</v>
      </c>
      <c r="Y74" s="3">
        <f t="shared" ref="Y74:Y85" si="20">MIN(K74:V74)</f>
        <v>28.123365103198214</v>
      </c>
      <c r="Z74" s="2">
        <f t="shared" ref="Z74:Z85" si="21">QUARTILE(K74:V74,1)</f>
        <v>28.319402058829596</v>
      </c>
      <c r="AA74" s="3">
        <f t="shared" ref="AA74:AA85" si="22">MEDIAN(K74:V74)</f>
        <v>28.56420520927572</v>
      </c>
      <c r="AB74" s="2">
        <f t="shared" ref="AB74:AB85" si="23">QUARTILE(K74:V74,3)</f>
        <v>28.637597545590936</v>
      </c>
      <c r="AC74" s="2">
        <f t="shared" ref="AC74:AC85" si="24">MAX(K74:V74)</f>
        <v>29.297050724710633</v>
      </c>
      <c r="AD74" s="2">
        <f t="shared" ref="AD74:AD85" si="25">SKEW(K74:V74)</f>
        <v>1.0695881281626098</v>
      </c>
      <c r="AE74" s="2">
        <f t="shared" ref="AE74:AE85" si="26">KURT(K74:V74)</f>
        <v>0.56782215531473668</v>
      </c>
    </row>
    <row r="75" spans="2:31" x14ac:dyDescent="0.2">
      <c r="B75" s="1">
        <f>[23]FormattedData!A91</f>
        <v>402</v>
      </c>
      <c r="C75" s="1" t="str">
        <f>VLOOKUP($B75,[23]TrtCodes!$B$11:I131,2)</f>
        <v>NTH</v>
      </c>
      <c r="D75" s="1">
        <f>VLOOKUP($B75,[23]TrtCodes!$B$11:J131,3)</f>
        <v>9</v>
      </c>
      <c r="E75" s="1">
        <f>VLOOKUP($B75,[23]TrtCodes!$B$11:K131,4)</f>
        <v>2</v>
      </c>
      <c r="F75" s="1">
        <f>VLOOKUP($B75,[23]TrtCodes!$B$11:L131,5)</f>
        <v>2</v>
      </c>
      <c r="G75" s="1">
        <f>VLOOKUP($B75,[23]TrtCodes!$B$11:M131,6)</f>
        <v>2</v>
      </c>
      <c r="H75" s="1">
        <f>VLOOKUP($B75,[23]TrtCodes!$B$11:N131,7)</f>
        <v>3</v>
      </c>
      <c r="I75" s="1">
        <f>[23]FormattedData!B91</f>
        <v>2</v>
      </c>
      <c r="J75" s="4">
        <f>[23]FormattedData!C91</f>
        <v>13.742000000000001</v>
      </c>
      <c r="K75" s="6">
        <f>$J$3+[23]FormattedData!D91*$J$4+$M$4*$J$5+[23]FormattedData!D91^2*$J$6+$M$5*$J$7</f>
        <v>28.710968747637185</v>
      </c>
      <c r="L75" s="6">
        <f>$J$3+[23]FormattedData!E91*$J$4+$M$4*$J$5+[23]FormattedData!E91^2*$J$6+$M$5*$J$7</f>
        <v>29.0041999445946</v>
      </c>
      <c r="M75" s="6">
        <f>$J$3+[23]FormattedData!F91*$J$4+$M$4*$J$5+[23]FormattedData!F91^2*$J$6+$M$5*$J$7</f>
        <v>28.613140478242183</v>
      </c>
      <c r="N75" s="6">
        <f>$J$3+[23]FormattedData!G91*$J$4+$M$4*$J$5+[23]FormattedData!G91^2*$J$6+$M$5*$J$7</f>
        <v>29.881611034418562</v>
      </c>
      <c r="O75" s="6">
        <f>$J$3+[23]FormattedData!H91*$J$4+$M$4*$J$5+[23]FormattedData!H91^2*$J$6+$M$5*$J$7</f>
        <v>28.906498480813394</v>
      </c>
      <c r="P75" s="6">
        <f>$J$3+[23]FormattedData!I91*$J$4+$M$4*$J$5+[23]FormattedData!I91^2*$J$6+$M$5*$J$7</f>
        <v>28.515269940309253</v>
      </c>
      <c r="Q75" s="6">
        <f>$J$3+[23]FormattedData!J91*$J$4+$M$4*$J$5+[23]FormattedData!J91^2*$J$6+$M$5*$J$7</f>
        <v>28.41735713383839</v>
      </c>
      <c r="R75" s="6">
        <f>$J$3+[23]FormattedData!K91*$J$4+$M$4*$J$5+[23]FormattedData!K91^2*$J$6+$M$5*$J$7</f>
        <v>28.613140478242183</v>
      </c>
      <c r="S75" s="6">
        <f>$J$3+[23]FormattedData!L91*$J$4+$M$4*$J$5+[23]FormattedData!L91^2*$J$6+$M$5*$J$7</f>
        <v>29.297050724710633</v>
      </c>
      <c r="T75" s="6">
        <f>$J$3+[23]FormattedData!M91*$J$4+$M$4*$J$5+[23]FormattedData!M91^2*$J$6+$M$5*$J$7</f>
        <v>29.58952108798529</v>
      </c>
      <c r="U75" s="6">
        <f>$J$3+[23]FormattedData!N91*$J$4+$M$4*$J$5+[23]FormattedData!N91^2*$J$6+$M$5*$J$7</f>
        <v>28.710968747637185</v>
      </c>
      <c r="V75" s="6">
        <f>$J$3+[23]FormattedData!O91*$J$4+$M$4*$J$5+[23]FormattedData!O91^2*$J$6+$M$5*$J$7</f>
        <v>29.101859139837877</v>
      </c>
      <c r="W75" s="5">
        <f t="shared" si="18"/>
        <v>28.946798828188893</v>
      </c>
      <c r="X75" s="4">
        <f t="shared" si="19"/>
        <v>0.13023923189183939</v>
      </c>
      <c r="Y75" s="3">
        <f t="shared" si="20"/>
        <v>28.41735713383839</v>
      </c>
      <c r="Z75" s="2">
        <f t="shared" si="21"/>
        <v>28.613140478242183</v>
      </c>
      <c r="AA75" s="3">
        <f t="shared" si="22"/>
        <v>28.808733614225289</v>
      </c>
      <c r="AB75" s="2">
        <f t="shared" si="23"/>
        <v>29.150657036056067</v>
      </c>
      <c r="AC75" s="2">
        <f t="shared" si="24"/>
        <v>29.881611034418562</v>
      </c>
      <c r="AD75" s="2">
        <f t="shared" si="25"/>
        <v>0.95027710136803967</v>
      </c>
      <c r="AE75" s="2">
        <f t="shared" si="26"/>
        <v>0.1280960963544473</v>
      </c>
    </row>
    <row r="76" spans="2:31" x14ac:dyDescent="0.2">
      <c r="B76" s="1">
        <f>[23]FormattedData!A89</f>
        <v>403</v>
      </c>
      <c r="C76" s="1" t="str">
        <f>VLOOKUP($B76,[23]TrtCodes!$B$11:I132,2)</f>
        <v>FDL</v>
      </c>
      <c r="D76" s="1">
        <f>VLOOKUP($B76,[23]TrtCodes!$B$11:J132,3)</f>
        <v>6</v>
      </c>
      <c r="E76" s="1">
        <f>VLOOKUP($B76,[23]TrtCodes!$B$11:K132,4)</f>
        <v>1</v>
      </c>
      <c r="F76" s="1">
        <f>VLOOKUP($B76,[23]TrtCodes!$B$11:L132,5)</f>
        <v>3</v>
      </c>
      <c r="G76" s="1">
        <f>VLOOKUP($B76,[23]TrtCodes!$B$11:M132,6)</f>
        <v>1</v>
      </c>
      <c r="H76" s="1">
        <f>VLOOKUP($B76,[23]TrtCodes!$B$11:N132,7)</f>
        <v>3</v>
      </c>
      <c r="I76" s="1">
        <f>[23]FormattedData!B89</f>
        <v>2</v>
      </c>
      <c r="J76" s="4">
        <f>[23]FormattedData!C89</f>
        <v>13.724</v>
      </c>
      <c r="K76" s="6">
        <f>$J$3+[23]FormattedData!D89*$J$4+$M$4*$J$5+[23]FormattedData!D89^2*$J$6+$M$5*$J$7</f>
        <v>31.336354513964228</v>
      </c>
      <c r="L76" s="6">
        <f>$J$3+[23]FormattedData!E89*$J$4+$M$4*$J$5+[23]FormattedData!E89^2*$J$6+$M$5*$J$7</f>
        <v>31.626161959349218</v>
      </c>
      <c r="M76" s="6">
        <f>$J$3+[23]FormattedData!F89*$J$4+$M$4*$J$5+[23]FormattedData!F89^2*$J$6+$M$5*$J$7</f>
        <v>30.36758224104873</v>
      </c>
      <c r="N76" s="6">
        <f>$J$3+[23]FormattedData!G89*$J$4+$M$4*$J$5+[23]FormattedData!G89^2*$J$6+$M$5*$J$7</f>
        <v>30.755598372670104</v>
      </c>
      <c r="O76" s="6">
        <f>$J$3+[23]FormattedData!H89*$J$4+$M$4*$J$5+[23]FormattedData!H89^2*$J$6+$M$5*$J$7</f>
        <v>29.78428998747874</v>
      </c>
      <c r="P76" s="6">
        <f>$J$3+[23]FormattedData!I89*$J$4+$M$4*$J$5+[23]FormattedData!I89^2*$J$6+$M$5*$J$7</f>
        <v>29.492073235431665</v>
      </c>
      <c r="Q76" s="6">
        <f>$J$3+[23]FormattedData!J89*$J$4+$M$4*$J$5+[23]FormattedData!J89^2*$J$6+$M$5*$J$7</f>
        <v>32.204635599595065</v>
      </c>
      <c r="R76" s="6">
        <f>$J$3+[23]FormattedData!K89*$J$4+$M$4*$J$5+[23]FormattedData!K89^2*$J$6+$M$5*$J$7</f>
        <v>32.011980126998175</v>
      </c>
      <c r="S76" s="6">
        <f>$J$3+[23]FormattedData!L89*$J$4+$M$4*$J$5+[23]FormattedData!L89^2*$J$6+$M$5*$J$7</f>
        <v>31.432999264297159</v>
      </c>
      <c r="T76" s="6">
        <f>$J$3+[23]FormattedData!M89*$J$4+$M$4*$J$5+[23]FormattedData!M89^2*$J$6+$M$5*$J$7</f>
        <v>32.204635599595065</v>
      </c>
      <c r="U76" s="6">
        <f>$J$3+[23]FormattedData!N89*$J$4+$M$4*$J$5+[23]FormattedData!N89^2*$J$6+$M$5*$J$7</f>
        <v>31.142938207684573</v>
      </c>
      <c r="V76" s="6">
        <f>$J$3+[23]FormattedData!O89*$J$4+$M$4*$J$5+[23]FormattedData!O89^2*$J$6+$M$5*$J$7</f>
        <v>31.819155580249564</v>
      </c>
      <c r="W76" s="5">
        <f t="shared" si="18"/>
        <v>31.181533724030189</v>
      </c>
      <c r="X76" s="4">
        <f t="shared" si="19"/>
        <v>0.26294616878826133</v>
      </c>
      <c r="Y76" s="3">
        <f t="shared" si="20"/>
        <v>29.492073235431665</v>
      </c>
      <c r="Z76" s="2">
        <f t="shared" si="21"/>
        <v>30.658594339764761</v>
      </c>
      <c r="AA76" s="3">
        <f t="shared" si="22"/>
        <v>31.384676889130695</v>
      </c>
      <c r="AB76" s="2">
        <f t="shared" si="23"/>
        <v>31.867361716936717</v>
      </c>
      <c r="AC76" s="2">
        <f t="shared" si="24"/>
        <v>32.204635599595065</v>
      </c>
      <c r="AD76" s="2">
        <f t="shared" si="25"/>
        <v>-0.73406299217093152</v>
      </c>
      <c r="AE76" s="2">
        <f t="shared" si="26"/>
        <v>-0.52966797193827109</v>
      </c>
    </row>
    <row r="77" spans="2:31" x14ac:dyDescent="0.2">
      <c r="B77" s="1">
        <f>[23]FormattedData!A87</f>
        <v>404</v>
      </c>
      <c r="C77" s="1" t="str">
        <f>VLOOKUP($B77,[23]TrtCodes!$B$11:I130,2)</f>
        <v>FTH</v>
      </c>
      <c r="D77" s="1">
        <f>VLOOKUP($B77,[23]TrtCodes!$B$11:J130,3)</f>
        <v>3</v>
      </c>
      <c r="E77" s="1">
        <f>VLOOKUP($B77,[23]TrtCodes!$B$11:K130,4)</f>
        <v>1</v>
      </c>
      <c r="F77" s="1">
        <f>VLOOKUP($B77,[23]TrtCodes!$B$11:L130,5)</f>
        <v>2</v>
      </c>
      <c r="G77" s="1">
        <f>VLOOKUP($B77,[23]TrtCodes!$B$11:M130,6)</f>
        <v>2</v>
      </c>
      <c r="H77" s="1">
        <f>VLOOKUP($B77,[23]TrtCodes!$B$11:N130,7)</f>
        <v>3</v>
      </c>
      <c r="I77" s="1">
        <f>[23]FormattedData!B87</f>
        <v>2</v>
      </c>
      <c r="J77" s="4">
        <f>[23]FormattedData!C87</f>
        <v>13.705</v>
      </c>
      <c r="K77" s="6">
        <f>$J$3+[23]FormattedData!D87*$J$4+$M$4*$J$5+[23]FormattedData!D87^2*$J$6+$M$5*$J$7</f>
        <v>32.589439322333668</v>
      </c>
      <c r="L77" s="6">
        <f>$J$3+[23]FormattedData!E87*$J$4+$M$4*$J$5+[23]FormattedData!E87^2*$J$6+$M$5*$J$7</f>
        <v>30.949352827253197</v>
      </c>
      <c r="M77" s="6">
        <f>$J$3+[23]FormattedData!F87*$J$4+$M$4*$J$5+[23]FormattedData!F87^2*$J$6+$M$5*$J$7</f>
        <v>31.915588987892836</v>
      </c>
      <c r="N77" s="6">
        <f>$J$3+[23]FormattedData!G87*$J$4+$M$4*$J$5+[23]FormattedData!G87^2*$J$6+$M$5*$J$7</f>
        <v>32.685534581673494</v>
      </c>
      <c r="O77" s="6">
        <f>$J$3+[23]FormattedData!H87*$J$4+$M$4*$J$5+[23]FormattedData!H87^2*$J$6+$M$5*$J$7</f>
        <v>31.722679904068357</v>
      </c>
      <c r="P77" s="6">
        <f>$J$3+[23]FormattedData!I87*$J$4+$M$4*$J$5+[23]FormattedData!I87^2*$J$6+$M$5*$J$7</f>
        <v>32.87759829473935</v>
      </c>
      <c r="Q77" s="6">
        <f>$J$3+[23]FormattedData!J87*$J$4+$M$4*$J$5+[23]FormattedData!J87^2*$J$6+$M$5*$J$7</f>
        <v>31.432999264297159</v>
      </c>
      <c r="R77" s="6">
        <f>$J$3+[23]FormattedData!K87*$J$4+$M$4*$J$5+[23]FormattedData!K87^2*$J$6+$M$5*$J$7</f>
        <v>31.046166651737856</v>
      </c>
      <c r="S77" s="6">
        <f>$J$3+[23]FormattedData!L87*$J$4+$M$4*$J$5+[23]FormattedData!L87^2*$J$6+$M$5*$J$7</f>
        <v>30.949352827253197</v>
      </c>
      <c r="T77" s="6">
        <f>$J$3+[23]FormattedData!M87*$J$4+$M$4*$J$5+[23]FormattedData!M87^2*$J$6+$M$5*$J$7</f>
        <v>32.108328997565579</v>
      </c>
      <c r="U77" s="6">
        <f>$J$3+[23]FormattedData!N87*$J$4+$M$4*$J$5+[23]FormattedData!N87^2*$J$6+$M$5*$J$7</f>
        <v>31.722679904068357</v>
      </c>
      <c r="V77" s="6">
        <f>$J$3+[23]FormattedData!O87*$J$4+$M$4*$J$5+[23]FormattedData!O87^2*$J$6+$M$5*$J$7</f>
        <v>32.493301794455917</v>
      </c>
      <c r="W77" s="5">
        <f t="shared" si="18"/>
        <v>31.874418613111583</v>
      </c>
      <c r="X77" s="4">
        <f t="shared" si="19"/>
        <v>0.19949469696704156</v>
      </c>
      <c r="Y77" s="3">
        <f t="shared" si="20"/>
        <v>30.949352827253197</v>
      </c>
      <c r="Z77" s="2">
        <f t="shared" si="21"/>
        <v>31.336291111157333</v>
      </c>
      <c r="AA77" s="3">
        <f t="shared" si="22"/>
        <v>31.819134445980595</v>
      </c>
      <c r="AB77" s="2">
        <f t="shared" si="23"/>
        <v>32.517336176425353</v>
      </c>
      <c r="AC77" s="2">
        <f t="shared" si="24"/>
        <v>32.87759829473935</v>
      </c>
      <c r="AD77" s="2">
        <f t="shared" si="25"/>
        <v>-2.8342524235146313E-2</v>
      </c>
      <c r="AE77" s="2">
        <f t="shared" si="26"/>
        <v>-1.3866251598552162</v>
      </c>
    </row>
    <row r="78" spans="2:31" x14ac:dyDescent="0.2">
      <c r="B78" s="1">
        <f>[23]FormattedData!A85</f>
        <v>405</v>
      </c>
      <c r="C78" s="1" t="str">
        <f>VLOOKUP($B78,[23]TrtCodes!$B$11:I128,2)</f>
        <v>FDL</v>
      </c>
      <c r="D78" s="1">
        <f>VLOOKUP($B78,[23]TrtCodes!$B$11:J128,3)</f>
        <v>6</v>
      </c>
      <c r="E78" s="1">
        <f>VLOOKUP($B78,[23]TrtCodes!$B$11:K128,4)</f>
        <v>1</v>
      </c>
      <c r="F78" s="1">
        <f>VLOOKUP($B78,[23]TrtCodes!$B$11:L128,5)</f>
        <v>3</v>
      </c>
      <c r="G78" s="1">
        <f>VLOOKUP($B78,[23]TrtCodes!$B$11:M128,6)</f>
        <v>1</v>
      </c>
      <c r="H78" s="1">
        <f>VLOOKUP($B78,[23]TrtCodes!$B$11:N128,7)</f>
        <v>4</v>
      </c>
      <c r="I78" s="1">
        <f>[23]FormattedData!B85</f>
        <v>2</v>
      </c>
      <c r="J78" s="4">
        <f>[23]FormattedData!C85</f>
        <v>13.686</v>
      </c>
      <c r="K78" s="6">
        <f>$J$3+[23]FormattedData!D85*$J$4+$M$4*$J$5+[23]FormattedData!D85^2*$J$6+$M$5*$J$7</f>
        <v>28.515269940309253</v>
      </c>
      <c r="L78" s="6">
        <f>$J$3+[23]FormattedData!E85*$J$4+$M$4*$J$5+[23]FormattedData!E85^2*$J$6+$M$5*$J$7</f>
        <v>28.613140478242183</v>
      </c>
      <c r="M78" s="6">
        <f>$J$3+[23]FormattedData!F85*$J$4+$M$4*$J$5+[23]FormattedData!F85^2*$J$6+$M$5*$J$7</f>
        <v>28.710968747637185</v>
      </c>
      <c r="N78" s="6">
        <f>$J$3+[23]FormattedData!G85*$J$4+$M$4*$J$5+[23]FormattedData!G85^2*$J$6+$M$5*$J$7</f>
        <v>28.319402058829596</v>
      </c>
      <c r="O78" s="6">
        <f>$J$3+[23]FormattedData!H85*$J$4+$M$4*$J$5+[23]FormattedData!H85^2*$J$6+$M$5*$J$7</f>
        <v>28.613140478242183</v>
      </c>
      <c r="P78" s="6">
        <f>$J$3+[23]FormattedData!I85*$J$4+$M$4*$J$5+[23]FormattedData!I85^2*$J$6+$M$5*$J$7</f>
        <v>28.613140478242183</v>
      </c>
      <c r="Q78" s="6">
        <f>$J$3+[23]FormattedData!J85*$J$4+$M$4*$J$5+[23]FormattedData!J85^2*$J$6+$M$5*$J$7</f>
        <v>28.515269940309253</v>
      </c>
      <c r="R78" s="6">
        <f>$J$3+[23]FormattedData!K85*$J$4+$M$4*$J$5+[23]FormattedData!K85^2*$J$6+$M$5*$J$7</f>
        <v>28.710968747637185</v>
      </c>
      <c r="S78" s="6">
        <f>$J$3+[23]FormattedData!L85*$J$4+$M$4*$J$5+[23]FormattedData!L85^2*$J$6+$M$5*$J$7</f>
        <v>27.927159073415112</v>
      </c>
      <c r="T78" s="6">
        <f>$J$3+[23]FormattedData!M85*$J$4+$M$4*$J$5+[23]FormattedData!M85^2*$J$6+$M$5*$J$7</f>
        <v>28.221404715282869</v>
      </c>
      <c r="U78" s="6">
        <f>$J$3+[23]FormattedData!N85*$J$4+$M$4*$J$5+[23]FormattedData!N85^2*$J$6+$M$5*$J$7</f>
        <v>29.101859139837877</v>
      </c>
      <c r="V78" s="6">
        <f>$J$3+[23]FormattedData!O85*$J$4+$M$4*$J$5+[23]FormattedData!O85^2*$J$6+$M$5*$J$7</f>
        <v>28.515269940309253</v>
      </c>
      <c r="W78" s="5">
        <f t="shared" si="18"/>
        <v>28.531416144857843</v>
      </c>
      <c r="X78" s="4">
        <f t="shared" si="19"/>
        <v>8.3343295714210716E-2</v>
      </c>
      <c r="Y78" s="3">
        <f t="shared" si="20"/>
        <v>27.927159073415112</v>
      </c>
      <c r="Z78" s="2">
        <f t="shared" si="21"/>
        <v>28.466302969939338</v>
      </c>
      <c r="AA78" s="3">
        <f t="shared" si="22"/>
        <v>28.56420520927572</v>
      </c>
      <c r="AB78" s="2">
        <f t="shared" si="23"/>
        <v>28.637597545590936</v>
      </c>
      <c r="AC78" s="2">
        <f t="shared" si="24"/>
        <v>29.101859139837877</v>
      </c>
      <c r="AD78" s="2">
        <f t="shared" si="25"/>
        <v>-0.27710279804765703</v>
      </c>
      <c r="AE78" s="2">
        <f t="shared" si="26"/>
        <v>1.6973696858767386</v>
      </c>
    </row>
    <row r="79" spans="2:31" x14ac:dyDescent="0.2">
      <c r="B79" s="1">
        <f>[23]FormattedData!A83</f>
        <v>406</v>
      </c>
      <c r="C79" s="1" t="str">
        <f>VLOOKUP($B79,[23]TrtCodes!$B$11:I126,2)</f>
        <v>FTH</v>
      </c>
      <c r="D79" s="1">
        <f>VLOOKUP($B79,[23]TrtCodes!$B$11:J126,3)</f>
        <v>3</v>
      </c>
      <c r="E79" s="1">
        <f>VLOOKUP($B79,[23]TrtCodes!$B$11:K126,4)</f>
        <v>1</v>
      </c>
      <c r="F79" s="1">
        <f>VLOOKUP($B79,[23]TrtCodes!$B$11:L126,5)</f>
        <v>2</v>
      </c>
      <c r="G79" s="1">
        <f>VLOOKUP($B79,[23]TrtCodes!$B$11:M126,6)</f>
        <v>2</v>
      </c>
      <c r="H79" s="1">
        <f>VLOOKUP($B79,[23]TrtCodes!$B$11:N126,7)</f>
        <v>4</v>
      </c>
      <c r="I79" s="1">
        <f>[23]FormattedData!B83</f>
        <v>2</v>
      </c>
      <c r="J79" s="4">
        <f>[23]FormattedData!C83</f>
        <v>13.669</v>
      </c>
      <c r="K79" s="6">
        <f>$J$3+[23]FormattedData!D83*$J$4+$M$4*$J$5+[23]FormattedData!D83^2*$J$6+$M$5*$J$7</f>
        <v>29.58952108798529</v>
      </c>
      <c r="L79" s="6">
        <f>$J$3+[23]FormattedData!E83*$J$4+$M$4*$J$5+[23]FormattedData!E83^2*$J$6+$M$5*$J$7</f>
        <v>29.297050724710633</v>
      </c>
      <c r="M79" s="6">
        <f>$J$3+[23]FormattedData!F83*$J$4+$M$4*$J$5+[23]FormattedData!F83^2*$J$6+$M$5*$J$7</f>
        <v>28.710968747637185</v>
      </c>
      <c r="N79" s="6">
        <f>$J$3+[23]FormattedData!G83*$J$4+$M$4*$J$5+[23]FormattedData!G83^2*$J$6+$M$5*$J$7</f>
        <v>29.19947606654322</v>
      </c>
      <c r="O79" s="6">
        <f>$J$3+[23]FormattedData!H83*$J$4+$M$4*$J$5+[23]FormattedData!H83^2*$J$6+$M$5*$J$7</f>
        <v>28.906498480813394</v>
      </c>
      <c r="P79" s="6">
        <f>$J$3+[23]FormattedData!I83*$J$4+$M$4*$J$5+[23]FormattedData!I83^2*$J$6+$M$5*$J$7</f>
        <v>28.906498480813394</v>
      </c>
      <c r="Q79" s="6">
        <f>$J$3+[23]FormattedData!J83*$J$4+$M$4*$J$5+[23]FormattedData!J83^2*$J$6+$M$5*$J$7</f>
        <v>27.632533014705967</v>
      </c>
      <c r="R79" s="6">
        <f>$J$3+[23]FormattedData!K83*$J$4+$M$4*$J$5+[23]FormattedData!K83^2*$J$6+$M$5*$J$7</f>
        <v>27.927159073415112</v>
      </c>
      <c r="S79" s="6">
        <f>$J$3+[23]FormattedData!L83*$J$4+$M$4*$J$5+[23]FormattedData!L83^2*$J$6+$M$5*$J$7</f>
        <v>28.41735713383839</v>
      </c>
      <c r="T79" s="6">
        <f>$J$3+[23]FormattedData!M83*$J$4+$M$4*$J$5+[23]FormattedData!M83^2*$J$6+$M$5*$J$7</f>
        <v>27.927159073415112</v>
      </c>
      <c r="U79" s="6">
        <f>$J$3+[23]FormattedData!N83*$J$4+$M$4*$J$5+[23]FormattedData!N83^2*$J$6+$M$5*$J$7</f>
        <v>27.730783969480278</v>
      </c>
      <c r="V79" s="6">
        <f>$J$3+[23]FormattedData!O83*$J$4+$M$4*$J$5+[23]FormattedData!O83^2*$J$6+$M$5*$J$7</f>
        <v>27.730783969480278</v>
      </c>
      <c r="W79" s="5">
        <f t="shared" si="18"/>
        <v>28.49798248523652</v>
      </c>
      <c r="X79" s="4">
        <f t="shared" si="19"/>
        <v>0.20010532635587688</v>
      </c>
      <c r="Y79" s="3">
        <f t="shared" si="20"/>
        <v>27.632533014705967</v>
      </c>
      <c r="Z79" s="2">
        <f t="shared" si="21"/>
        <v>27.878065297431405</v>
      </c>
      <c r="AA79" s="3">
        <f t="shared" si="22"/>
        <v>28.564162940737788</v>
      </c>
      <c r="AB79" s="2">
        <f t="shared" si="23"/>
        <v>28.979742877245851</v>
      </c>
      <c r="AC79" s="2">
        <f t="shared" si="24"/>
        <v>29.58952108798529</v>
      </c>
      <c r="AD79" s="2">
        <f t="shared" si="25"/>
        <v>0.12382587804625002</v>
      </c>
      <c r="AE79" s="2">
        <f t="shared" si="26"/>
        <v>-1.5808597025454794</v>
      </c>
    </row>
    <row r="80" spans="2:31" x14ac:dyDescent="0.2">
      <c r="B80" s="1">
        <f>[23]FormattedData!A81</f>
        <v>407</v>
      </c>
      <c r="C80" s="1" t="str">
        <f>VLOOKUP($B80,[23]TrtCodes!$B$11:I124,2)</f>
        <v>NSH</v>
      </c>
      <c r="D80" s="1">
        <f>VLOOKUP($B80,[23]TrtCodes!$B$11:J124,3)</f>
        <v>7</v>
      </c>
      <c r="E80" s="1">
        <f>VLOOKUP($B80,[23]TrtCodes!$B$11:K124,4)</f>
        <v>2</v>
      </c>
      <c r="F80" s="1">
        <f>VLOOKUP($B80,[23]TrtCodes!$B$11:L124,5)</f>
        <v>1</v>
      </c>
      <c r="G80" s="1">
        <f>VLOOKUP($B80,[23]TrtCodes!$B$11:M124,6)</f>
        <v>2</v>
      </c>
      <c r="H80" s="1">
        <f>VLOOKUP($B80,[23]TrtCodes!$B$11:N124,7)</f>
        <v>4</v>
      </c>
      <c r="I80" s="1">
        <f>[23]FormattedData!B81</f>
        <v>2</v>
      </c>
      <c r="J80" s="4">
        <f>[23]FormattedData!C81</f>
        <v>13.651999999999999</v>
      </c>
      <c r="K80" s="6">
        <f>$J$3+[23]FormattedData!D81*$J$4+$M$4*$J$5+[23]FormattedData!D81^2*$J$6+$M$5*$J$7</f>
        <v>29.297050724710633</v>
      </c>
      <c r="L80" s="6">
        <f>$J$3+[23]FormattedData!E81*$J$4+$M$4*$J$5+[23]FormattedData!E81^2*$J$6+$M$5*$J$7</f>
        <v>29.492073235431665</v>
      </c>
      <c r="M80" s="6">
        <f>$J$3+[23]FormattedData!F81*$J$4+$M$4*$J$5+[23]FormattedData!F81^2*$J$6+$M$5*$J$7</f>
        <v>29.297050724710633</v>
      </c>
      <c r="N80" s="6">
        <f>$J$3+[23]FormattedData!G81*$J$4+$M$4*$J$5+[23]FormattedData!G81^2*$J$6+$M$5*$J$7</f>
        <v>29.297050724710633</v>
      </c>
      <c r="O80" s="6">
        <f>$J$3+[23]FormattedData!H81*$J$4+$M$4*$J$5+[23]FormattedData!H81^2*$J$6+$M$5*$J$7</f>
        <v>30.658657742571656</v>
      </c>
      <c r="P80" s="6">
        <f>$J$3+[23]FormattedData!I81*$J$4+$M$4*$J$5+[23]FormattedData!I81^2*$J$6+$M$5*$J$7</f>
        <v>30.270472536798561</v>
      </c>
      <c r="Q80" s="6">
        <f>$J$3+[23]FormattedData!J81*$J$4+$M$4*$J$5+[23]FormattedData!J81^2*$J$6+$M$5*$J$7</f>
        <v>31.142938207684573</v>
      </c>
      <c r="R80" s="6">
        <f>$J$3+[23]FormattedData!K81*$J$4+$M$4*$J$5+[23]FormattedData!K81^2*$J$6+$M$5*$J$7</f>
        <v>29.978889812820455</v>
      </c>
      <c r="S80" s="6">
        <f>$J$3+[23]FormattedData!L81*$J$4+$M$4*$J$5+[23]FormattedData!L81^2*$J$6+$M$5*$J$7</f>
        <v>30.755598372670104</v>
      </c>
      <c r="T80" s="6">
        <f>$J$3+[23]FormattedData!M81*$J$4+$M$4*$J$5+[23]FormattedData!M81^2*$J$6+$M$5*$J$7</f>
        <v>31.915588987892836</v>
      </c>
      <c r="U80" s="6">
        <f>$J$3+[23]FormattedData!N81*$J$4+$M$4*$J$5+[23]FormattedData!N81^2*$J$6+$M$5*$J$7</f>
        <v>29.492073235431665</v>
      </c>
      <c r="V80" s="6">
        <f>$J$3+[23]FormattedData!O81*$J$4+$M$4*$J$5+[23]FormattedData!O81^2*$J$6+$M$5*$J$7</f>
        <v>30.173320564010453</v>
      </c>
      <c r="W80" s="5">
        <f t="shared" si="18"/>
        <v>30.147563739120326</v>
      </c>
      <c r="X80" s="4">
        <f t="shared" si="19"/>
        <v>0.24341759312441724</v>
      </c>
      <c r="Y80" s="3">
        <f t="shared" si="20"/>
        <v>29.297050724710633</v>
      </c>
      <c r="Z80" s="2">
        <f t="shared" si="21"/>
        <v>29.443317607751407</v>
      </c>
      <c r="AA80" s="3">
        <f t="shared" si="22"/>
        <v>30.076105188415454</v>
      </c>
      <c r="AB80" s="2">
        <f t="shared" si="23"/>
        <v>30.682892900096267</v>
      </c>
      <c r="AC80" s="2">
        <f t="shared" si="24"/>
        <v>31.915588987892836</v>
      </c>
      <c r="AD80" s="2">
        <f t="shared" si="25"/>
        <v>0.81137820979289843</v>
      </c>
      <c r="AE80" s="2">
        <f t="shared" si="26"/>
        <v>-1.3207702554811185E-2</v>
      </c>
    </row>
    <row r="81" spans="2:31" x14ac:dyDescent="0.2">
      <c r="B81" s="1">
        <f>[23]FormattedData!A79</f>
        <v>408</v>
      </c>
      <c r="C81" s="1" t="str">
        <f>VLOOKUP($B81,[23]TrtCodes!$B$11:I122,2)</f>
        <v>NTL</v>
      </c>
      <c r="D81" s="1">
        <f>VLOOKUP($B81,[23]TrtCodes!$B$11:J122,3)</f>
        <v>10</v>
      </c>
      <c r="E81" s="1">
        <f>VLOOKUP($B81,[23]TrtCodes!$B$11:K122,4)</f>
        <v>2</v>
      </c>
      <c r="F81" s="1">
        <f>VLOOKUP($B81,[23]TrtCodes!$B$11:L122,5)</f>
        <v>2</v>
      </c>
      <c r="G81" s="1">
        <f>VLOOKUP($B81,[23]TrtCodes!$B$11:M122,6)</f>
        <v>1</v>
      </c>
      <c r="H81" s="1">
        <f>VLOOKUP($B81,[23]TrtCodes!$B$11:N122,7)</f>
        <v>4</v>
      </c>
      <c r="I81" s="1">
        <f>[23]FormattedData!B79</f>
        <v>2</v>
      </c>
      <c r="J81" s="4">
        <f>[23]FormattedData!C79</f>
        <v>13.635</v>
      </c>
      <c r="K81" s="6">
        <f>$J$3+[23]FormattedData!D79*$J$4+$M$4*$J$5+[23]FormattedData!D79^2*$J$6+$M$5*$J$7</f>
        <v>28.41735713383839</v>
      </c>
      <c r="L81" s="6">
        <f>$J$3+[23]FormattedData!E79*$J$4+$M$4*$J$5+[23]FormattedData!E79^2*$J$6+$M$5*$J$7</f>
        <v>28.41735713383839</v>
      </c>
      <c r="M81" s="6">
        <f>$J$3+[23]FormattedData!F79*$J$4+$M$4*$J$5+[23]FormattedData!F79^2*$J$6+$M$5*$J$7</f>
        <v>28.221404715282869</v>
      </c>
      <c r="N81" s="6">
        <f>$J$3+[23]FormattedData!G79*$J$4+$M$4*$J$5+[23]FormattedData!G79^2*$J$6+$M$5*$J$7</f>
        <v>28.613140478242183</v>
      </c>
      <c r="O81" s="6">
        <f>$J$3+[23]FormattedData!H79*$J$4+$M$4*$J$5+[23]FormattedData!H79^2*$J$6+$M$5*$J$7</f>
        <v>29.101859139837877</v>
      </c>
      <c r="P81" s="6">
        <f>$J$3+[23]FormattedData!I79*$J$4+$M$4*$J$5+[23]FormattedData!I79^2*$J$6+$M$5*$J$7</f>
        <v>28.906498480813394</v>
      </c>
      <c r="Q81" s="6">
        <f>$J$3+[23]FormattedData!J79*$J$4+$M$4*$J$5+[23]FormattedData!J79^2*$J$6+$M$5*$J$7</f>
        <v>29.0041999445946</v>
      </c>
      <c r="R81" s="6">
        <f>$J$3+[23]FormattedData!K79*$J$4+$M$4*$J$5+[23]FormattedData!K79^2*$J$6+$M$5*$J$7</f>
        <v>29.0041999445946</v>
      </c>
      <c r="S81" s="6">
        <f>$J$3+[23]FormattedData!L79*$J$4+$M$4*$J$5+[23]FormattedData!L79^2*$J$6+$M$5*$J$7</f>
        <v>29.492073235431665</v>
      </c>
      <c r="T81" s="6">
        <f>$J$3+[23]FormattedData!M79*$J$4+$M$4*$J$5+[23]FormattedData!M79^2*$J$6+$M$5*$J$7</f>
        <v>29.19947606654322</v>
      </c>
      <c r="U81" s="6">
        <f>$J$3+[23]FormattedData!N79*$J$4+$M$4*$J$5+[23]FormattedData!N79^2*$J$6+$M$5*$J$7</f>
        <v>28.319402058829596</v>
      </c>
      <c r="V81" s="6">
        <f>$J$3+[23]FormattedData!O79*$J$4+$M$4*$J$5+[23]FormattedData!O79^2*$J$6+$M$5*$J$7</f>
        <v>29.394583114340119</v>
      </c>
      <c r="W81" s="5">
        <f t="shared" si="18"/>
        <v>28.84096262051558</v>
      </c>
      <c r="X81" s="4">
        <f t="shared" si="19"/>
        <v>0.12465986840516204</v>
      </c>
      <c r="Y81" s="3">
        <f t="shared" si="20"/>
        <v>28.221404715282869</v>
      </c>
      <c r="Z81" s="2">
        <f t="shared" si="21"/>
        <v>28.41735713383839</v>
      </c>
      <c r="AA81" s="3">
        <f t="shared" si="22"/>
        <v>28.955349212703997</v>
      </c>
      <c r="AB81" s="2">
        <f t="shared" si="23"/>
        <v>29.126263371514213</v>
      </c>
      <c r="AC81" s="2">
        <f t="shared" si="24"/>
        <v>29.492073235431665</v>
      </c>
      <c r="AD81" s="2">
        <f t="shared" si="25"/>
        <v>-3.3878802602914974E-2</v>
      </c>
      <c r="AE81" s="2">
        <f t="shared" si="26"/>
        <v>-1.3839262620119923</v>
      </c>
    </row>
    <row r="82" spans="2:31" x14ac:dyDescent="0.2">
      <c r="B82" s="1">
        <f>[23]FormattedData!A59</f>
        <v>902</v>
      </c>
      <c r="C82" s="1" t="str">
        <f>VLOOKUP($B82,[23]TrtCodes!$B$11:I102,2)</f>
        <v>Late</v>
      </c>
      <c r="D82" s="1">
        <f>VLOOKUP($B82,[23]TrtCodes!$B$11:J102,3)</f>
        <v>22</v>
      </c>
      <c r="E82" s="1">
        <f>VLOOKUP($B82,[23]TrtCodes!$B$11:K102,4)</f>
        <v>4</v>
      </c>
      <c r="F82" s="1">
        <f>VLOOKUP($B82,[23]TrtCodes!$B$11:L102,5)</f>
        <v>2</v>
      </c>
      <c r="G82" s="1">
        <f>VLOOKUP($B82,[23]TrtCodes!$B$11:M102,6)</f>
        <v>2</v>
      </c>
      <c r="H82" s="1">
        <f>VLOOKUP($B82,[23]TrtCodes!$B$11:N102,7)</f>
        <v>1</v>
      </c>
      <c r="I82" s="1">
        <f>[23]FormattedData!B59</f>
        <v>2</v>
      </c>
      <c r="J82" s="4">
        <f>[23]FormattedData!C59</f>
        <v>13.47</v>
      </c>
      <c r="K82" s="6">
        <f>$J$3+[23]FormattedData!D59*$J$4+$M$4*$J$5+[23]FormattedData!D59^2*$J$6+$M$5*$J$7</f>
        <v>33.835380747792755</v>
      </c>
      <c r="L82" s="6">
        <f>$J$3+[23]FormattedData!E59*$J$4+$M$4*$J$5+[23]FormattedData!E59^2*$J$6+$M$5*$J$7</f>
        <v>35.359040816788514</v>
      </c>
      <c r="M82" s="6">
        <f>$J$3+[23]FormattedData!F59*$J$4+$M$4*$J$5+[23]FormattedData!F59^2*$J$6+$M$5*$J$7</f>
        <v>33.357017877990188</v>
      </c>
      <c r="N82" s="6">
        <f>$J$3+[23]FormattedData!G59*$J$4+$M$4*$J$5+[23]FormattedData!G59^2*$J$6+$M$5*$J$7</f>
        <v>31.915588987892836</v>
      </c>
      <c r="O82" s="6">
        <f>$J$3+[23]FormattedData!H59*$J$4+$M$4*$J$5+[23]FormattedData!H59^2*$J$6+$M$5*$J$7</f>
        <v>31.626161959349218</v>
      </c>
      <c r="P82" s="6">
        <f>$J$3+[23]FormattedData!I59*$J$4+$M$4*$J$5+[23]FormattedData!I59^2*$J$6+$M$5*$J$7</f>
        <v>30.852496734230616</v>
      </c>
      <c r="Q82" s="6">
        <f>$J$3+[23]FormattedData!J59*$J$4+$M$4*$J$5+[23]FormattedData!J59^2*$J$6+$M$5*$J$7</f>
        <v>32.87759829473935</v>
      </c>
      <c r="R82" s="6">
        <f>$J$3+[23]FormattedData!K59*$J$4+$M$4*$J$5+[23]FormattedData!K59^2*$J$6+$M$5*$J$7</f>
        <v>31.142938207684573</v>
      </c>
      <c r="S82" s="6">
        <f>$J$3+[23]FormattedData!L59*$J$4+$M$4*$J$5+[23]FormattedData!L59^2*$J$6+$M$5*$J$7</f>
        <v>32.108328997565579</v>
      </c>
      <c r="T82" s="6">
        <f>$J$3+[23]FormattedData!M59*$J$4+$M$4*$J$5+[23]FormattedData!M59^2*$J$6+$M$5*$J$7</f>
        <v>32.108328997565579</v>
      </c>
      <c r="U82" s="6">
        <f>$J$3+[23]FormattedData!N59*$J$4+$M$4*$J$5+[23]FormattedData!N59^2*$J$6+$M$5*$J$7</f>
        <v>32.011980126998175</v>
      </c>
      <c r="V82" s="6">
        <f>$J$3+[23]FormattedData!O59*$J$4+$M$4*$J$5+[23]FormattedData!O59^2*$J$6+$M$5*$J$7</f>
        <v>32.781587572475388</v>
      </c>
      <c r="W82" s="5">
        <f t="shared" si="18"/>
        <v>32.498037443422731</v>
      </c>
      <c r="X82" s="4">
        <f t="shared" si="19"/>
        <v>0.36013097582096359</v>
      </c>
      <c r="Y82" s="3">
        <f t="shared" si="20"/>
        <v>30.852496734230616</v>
      </c>
      <c r="Z82" s="2">
        <f t="shared" si="21"/>
        <v>31.843232230756932</v>
      </c>
      <c r="AA82" s="3">
        <f t="shared" si="22"/>
        <v>32.108328997565579</v>
      </c>
      <c r="AB82" s="2">
        <f t="shared" si="23"/>
        <v>32.997453190552058</v>
      </c>
      <c r="AC82" s="2">
        <f t="shared" si="24"/>
        <v>35.359040816788514</v>
      </c>
      <c r="AD82" s="2">
        <f t="shared" si="25"/>
        <v>1.0385395919209071</v>
      </c>
      <c r="AE82" s="2">
        <f t="shared" si="26"/>
        <v>1.31874182184084</v>
      </c>
    </row>
    <row r="83" spans="2:31" x14ac:dyDescent="0.2">
      <c r="B83" s="1">
        <f>[23]FormattedData!A55</f>
        <v>904</v>
      </c>
      <c r="C83" s="1" t="str">
        <f>VLOOKUP($B83,[23]TrtCodes!$B$11:I98,2)</f>
        <v>Early</v>
      </c>
      <c r="D83" s="1">
        <f>VLOOKUP($B83,[23]TrtCodes!$B$11:J98,3)</f>
        <v>21</v>
      </c>
      <c r="E83" s="1">
        <f>VLOOKUP($B83,[23]TrtCodes!$B$11:K98,4)</f>
        <v>3</v>
      </c>
      <c r="F83" s="1">
        <f>VLOOKUP($B83,[23]TrtCodes!$B$11:L98,5)</f>
        <v>2</v>
      </c>
      <c r="G83" s="1">
        <f>VLOOKUP($B83,[23]TrtCodes!$B$11:M98,6)</f>
        <v>2</v>
      </c>
      <c r="H83" s="1">
        <f>VLOOKUP($B83,[23]TrtCodes!$B$11:N98,7)</f>
        <v>1</v>
      </c>
      <c r="I83" s="1">
        <f>[23]FormattedData!B55</f>
        <v>2</v>
      </c>
      <c r="J83" s="4">
        <f>[23]FormattedData!C55</f>
        <v>13.444000000000001</v>
      </c>
      <c r="K83" s="6">
        <f>$J$3+[23]FormattedData!D55*$J$4+$M$4*$J$5+[23]FormattedData!D55^2*$J$6+$M$5*$J$7</f>
        <v>32.973566748465373</v>
      </c>
      <c r="L83" s="6">
        <f>$J$3+[23]FormattedData!E55*$J$4+$M$4*$J$5+[23]FormattedData!E55^2*$J$6+$M$5*$J$7</f>
        <v>34.026430015948257</v>
      </c>
      <c r="M83" s="6">
        <f>$J$3+[23]FormattedData!F55*$J$4+$M$4*$J$5+[23]FormattedData!F55^2*$J$6+$M$5*$J$7</f>
        <v>32.781587572475388</v>
      </c>
      <c r="N83" s="6">
        <f>$J$3+[23]FormattedData!G55*$J$4+$M$4*$J$5+[23]FormattedData!G55^2*$J$6+$M$5*$J$7</f>
        <v>33.357017877990188</v>
      </c>
      <c r="O83" s="6">
        <f>$J$3+[23]FormattedData!H55*$J$4+$M$4*$J$5+[23]FormattedData!H55^2*$J$6+$M$5*$J$7</f>
        <v>33.835380747792755</v>
      </c>
      <c r="P83" s="6">
        <f>$J$3+[23]FormattedData!I55*$J$4+$M$4*$J$5+[23]FormattedData!I55^2*$J$6+$M$5*$J$7</f>
        <v>33.548489831525011</v>
      </c>
      <c r="Q83" s="6">
        <f>$J$3+[23]FormattedData!J55*$J$4+$M$4*$J$5+[23]FormattedData!J55^2*$J$6+$M$5*$J$7</f>
        <v>34.979140244449923</v>
      </c>
      <c r="R83" s="6">
        <f>$J$3+[23]FormattedData!K55*$J$4+$M$4*$J$5+[23]FormattedData!K55^2*$J$6+$M$5*$J$7</f>
        <v>33.357017877990188</v>
      </c>
      <c r="S83" s="6">
        <f>$J$3+[23]FormattedData!L55*$J$4+$M$4*$J$5+[23]FormattedData!L55^2*$J$6+$M$5*$J$7</f>
        <v>31.336354513964228</v>
      </c>
      <c r="T83" s="6">
        <f>$J$3+[23]FormattedData!M55*$J$4+$M$4*$J$5+[23]FormattedData!M55^2*$J$6+$M$5*$J$7</f>
        <v>32.300899933086619</v>
      </c>
      <c r="U83" s="6">
        <f>$J$3+[23]FormattedData!N55*$J$4+$M$4*$J$5+[23]FormattedData!N55^2*$J$6+$M$5*$J$7</f>
        <v>33.930926516139465</v>
      </c>
      <c r="V83" s="6">
        <f>$J$3+[23]FormattedData!O55*$J$4+$M$4*$J$5+[23]FormattedData!O55^2*$J$6+$M$5*$J$7</f>
        <v>32.589439322333668</v>
      </c>
      <c r="W83" s="5">
        <f t="shared" si="18"/>
        <v>33.251354266846754</v>
      </c>
      <c r="X83" s="4">
        <f t="shared" si="19"/>
        <v>0.27255909639041603</v>
      </c>
      <c r="Y83" s="3">
        <f t="shared" si="20"/>
        <v>31.336354513964228</v>
      </c>
      <c r="Z83" s="2">
        <f t="shared" si="21"/>
        <v>32.73355050993996</v>
      </c>
      <c r="AA83" s="3">
        <f t="shared" si="22"/>
        <v>33.357017877990188</v>
      </c>
      <c r="AB83" s="2">
        <f t="shared" si="23"/>
        <v>33.859267189879432</v>
      </c>
      <c r="AC83" s="2">
        <f t="shared" si="24"/>
        <v>34.979140244449923</v>
      </c>
      <c r="AD83" s="2">
        <f t="shared" si="25"/>
        <v>-0.27623900619716707</v>
      </c>
      <c r="AE83" s="2">
        <f t="shared" si="26"/>
        <v>0.74952547770083466</v>
      </c>
    </row>
    <row r="84" spans="2:31" x14ac:dyDescent="0.2">
      <c r="B84" s="1">
        <f>[23]FormattedData!A51</f>
        <v>906</v>
      </c>
      <c r="C84" s="1" t="str">
        <f>VLOOKUP($B84,[23]TrtCodes!$B$11:I94,2)</f>
        <v>Late</v>
      </c>
      <c r="D84" s="1">
        <f>VLOOKUP($B84,[23]TrtCodes!$B$11:J94,3)</f>
        <v>22</v>
      </c>
      <c r="E84" s="1">
        <f>VLOOKUP($B84,[23]TrtCodes!$B$11:K94,4)</f>
        <v>4</v>
      </c>
      <c r="F84" s="1">
        <f>VLOOKUP($B84,[23]TrtCodes!$B$11:L94,5)</f>
        <v>2</v>
      </c>
      <c r="G84" s="1">
        <f>VLOOKUP($B84,[23]TrtCodes!$B$11:M94,6)</f>
        <v>2</v>
      </c>
      <c r="H84" s="1">
        <f>VLOOKUP($B84,[23]TrtCodes!$B$11:N94,7)</f>
        <v>2</v>
      </c>
      <c r="I84" s="1">
        <f>[23]FormattedData!B51</f>
        <v>2</v>
      </c>
      <c r="J84" s="4">
        <f>[23]FormattedData!C51</f>
        <v>13.419</v>
      </c>
      <c r="K84" s="6">
        <f>$J$3+[23]FormattedData!D51*$J$4+$M$4*$J$5+[23]FormattedData!D51^2*$J$6+$M$5*$J$7</f>
        <v>28.710968747637185</v>
      </c>
      <c r="L84" s="6">
        <f>$J$3+[23]FormattedData!E51*$J$4+$M$4*$J$5+[23]FormattedData!E51^2*$J$6+$M$5*$J$7</f>
        <v>28.613140478242183</v>
      </c>
      <c r="M84" s="6">
        <f>$J$3+[23]FormattedData!F51*$J$4+$M$4*$J$5+[23]FormattedData!F51^2*$J$6+$M$5*$J$7</f>
        <v>29.881611034418562</v>
      </c>
      <c r="N84" s="6">
        <f>$J$3+[23]FormattedData!G51*$J$4+$M$4*$J$5+[23]FormattedData!G51^2*$J$6+$M$5*$J$7</f>
        <v>29.78428998747874</v>
      </c>
      <c r="O84" s="6">
        <f>$J$3+[23]FormattedData!H51*$J$4+$M$4*$J$5+[23]FormattedData!H51^2*$J$6+$M$5*$J$7</f>
        <v>29.297050724710633</v>
      </c>
      <c r="P84" s="6">
        <f>$J$3+[23]FormattedData!I51*$J$4+$M$4*$J$5+[23]FormattedData!I51^2*$J$6+$M$5*$J$7</f>
        <v>29.58952108798529</v>
      </c>
      <c r="Q84" s="6">
        <f>$J$3+[23]FormattedData!J51*$J$4+$M$4*$J$5+[23]FormattedData!J51^2*$J$6+$M$5*$J$7</f>
        <v>31.529601746092155</v>
      </c>
      <c r="R84" s="6">
        <f>$J$3+[23]FormattedData!K51*$J$4+$M$4*$J$5+[23]FormattedData!K51^2*$J$6+$M$5*$J$7</f>
        <v>30.755598372670104</v>
      </c>
      <c r="S84" s="6">
        <f>$J$3+[23]FormattedData!L51*$J$4+$M$4*$J$5+[23]FormattedData!L51^2*$J$6+$M$5*$J$7</f>
        <v>29.881611034418562</v>
      </c>
      <c r="T84" s="6">
        <f>$J$3+[23]FormattedData!M51*$J$4+$M$4*$J$5+[23]FormattedData!M51^2*$J$6+$M$5*$J$7</f>
        <v>30.755598372670104</v>
      </c>
      <c r="U84" s="6">
        <f>$J$3+[23]FormattedData!N51*$J$4+$M$4*$J$5+[23]FormattedData!N51^2*$J$6+$M$5*$J$7</f>
        <v>30.076126322684424</v>
      </c>
      <c r="V84" s="6">
        <f>$J$3+[23]FormattedData!O51*$J$4+$M$4*$J$5+[23]FormattedData!O51^2*$J$6+$M$5*$J$7</f>
        <v>30.270472536798561</v>
      </c>
      <c r="W84" s="5">
        <f t="shared" si="18"/>
        <v>29.92879920381721</v>
      </c>
      <c r="X84" s="4">
        <f t="shared" si="19"/>
        <v>0.24342613683085967</v>
      </c>
      <c r="Y84" s="3">
        <f t="shared" si="20"/>
        <v>28.613140478242183</v>
      </c>
      <c r="Z84" s="2">
        <f t="shared" si="21"/>
        <v>29.516403497166625</v>
      </c>
      <c r="AA84" s="3">
        <f t="shared" si="22"/>
        <v>29.881611034418562</v>
      </c>
      <c r="AB84" s="2">
        <f t="shared" si="23"/>
        <v>30.391753995766447</v>
      </c>
      <c r="AC84" s="2">
        <f t="shared" si="24"/>
        <v>31.529601746092155</v>
      </c>
      <c r="AD84" s="2">
        <f t="shared" si="25"/>
        <v>0.16332293033379891</v>
      </c>
      <c r="AE84" s="2">
        <f t="shared" si="26"/>
        <v>-1.8030170274726309E-2</v>
      </c>
    </row>
    <row r="85" spans="2:31" x14ac:dyDescent="0.2">
      <c r="B85" s="1">
        <f>[23]FormattedData!A47</f>
        <v>908</v>
      </c>
      <c r="C85" s="1" t="str">
        <f>VLOOKUP($B85,[23]TrtCodes!$B$11:I90,2)</f>
        <v>Early</v>
      </c>
      <c r="D85" s="1">
        <f>VLOOKUP($B85,[23]TrtCodes!$B$11:J90,3)</f>
        <v>21</v>
      </c>
      <c r="E85" s="1">
        <f>VLOOKUP($B85,[23]TrtCodes!$B$11:K90,4)</f>
        <v>3</v>
      </c>
      <c r="F85" s="1">
        <f>VLOOKUP($B85,[23]TrtCodes!$B$11:L90,5)</f>
        <v>2</v>
      </c>
      <c r="G85" s="1">
        <f>VLOOKUP($B85,[23]TrtCodes!$B$11:M90,6)</f>
        <v>2</v>
      </c>
      <c r="H85" s="1">
        <f>VLOOKUP($B85,[23]TrtCodes!$B$11:N90,7)</f>
        <v>2</v>
      </c>
      <c r="I85" s="1">
        <f>[23]FormattedData!B47</f>
        <v>2</v>
      </c>
      <c r="J85" s="4">
        <f>[23]FormattedData!C47</f>
        <v>13.394</v>
      </c>
      <c r="K85" s="6">
        <f>$J$3+[23]FormattedData!D47*$J$4+$M$4*$J$5+[23]FormattedData!D47^2*$J$6+$M$5*$J$7</f>
        <v>32.300899933086619</v>
      </c>
      <c r="L85" s="6">
        <f>$J$3+[23]FormattedData!E47*$J$4+$M$4*$J$5+[23]FormattedData!E47^2*$J$6+$M$5*$J$7</f>
        <v>32.108328997565579</v>
      </c>
      <c r="M85" s="6">
        <f>$J$3+[23]FormattedData!F47*$J$4+$M$4*$J$5+[23]FormattedData!F47^2*$J$6+$M$5*$J$7</f>
        <v>33.165376850303645</v>
      </c>
      <c r="N85" s="6">
        <f>$J$3+[23]FormattedData!G47*$J$4+$M$4*$J$5+[23]FormattedData!G47^2*$J$6+$M$5*$J$7</f>
        <v>32.973566748465373</v>
      </c>
      <c r="O85" s="6">
        <f>$J$3+[23]FormattedData!H47*$J$4+$M$4*$J$5+[23]FormattedData!H47^2*$J$6+$M$5*$J$7</f>
        <v>32.011980126998175</v>
      </c>
      <c r="P85" s="6">
        <f>$J$3+[23]FormattedData!I47*$J$4+$M$4*$J$5+[23]FormattedData!I47^2*$J$6+$M$5*$J$7</f>
        <v>33.835380747792755</v>
      </c>
      <c r="Q85" s="6">
        <f>$J$3+[23]FormattedData!J47*$J$4+$M$4*$J$5+[23]FormattedData!J47^2*$J$6+$M$5*$J$7</f>
        <v>31.626161959349218</v>
      </c>
      <c r="R85" s="6">
        <f>$J$3+[23]FormattedData!K47*$J$4+$M$4*$J$5+[23]FormattedData!K47^2*$J$6+$M$5*$J$7</f>
        <v>31.915588987892836</v>
      </c>
      <c r="S85" s="6">
        <f>$J$3+[23]FormattedData!L47*$J$4+$M$4*$J$5+[23]FormattedData!L47^2*$J$6+$M$5*$J$7</f>
        <v>32.87759829473935</v>
      </c>
      <c r="T85" s="6">
        <f>$J$3+[23]FormattedData!M47*$J$4+$M$4*$J$5+[23]FormattedData!M47^2*$J$6+$M$5*$J$7</f>
        <v>32.781587572475388</v>
      </c>
      <c r="U85" s="6">
        <f>$J$3+[23]FormattedData!N47*$J$4+$M$4*$J$5+[23]FormattedData!N47^2*$J$6+$M$5*$J$7</f>
        <v>32.108328997565579</v>
      </c>
      <c r="V85" s="6">
        <f>$J$3+[23]FormattedData!O47*$J$4+$M$4*$J$5+[23]FormattedData!O47^2*$J$6+$M$5*$J$7</f>
        <v>32.493301794455917</v>
      </c>
      <c r="W85" s="5">
        <f t="shared" si="18"/>
        <v>32.516508417557539</v>
      </c>
      <c r="X85" s="4">
        <f t="shared" si="19"/>
        <v>0.18171376631050468</v>
      </c>
      <c r="Y85" s="3">
        <f t="shared" si="20"/>
        <v>31.626161959349218</v>
      </c>
      <c r="Z85" s="2">
        <f t="shared" si="21"/>
        <v>32.08424177992373</v>
      </c>
      <c r="AA85" s="3">
        <f t="shared" si="22"/>
        <v>32.397100863771271</v>
      </c>
      <c r="AB85" s="2">
        <f t="shared" si="23"/>
        <v>32.901590408170854</v>
      </c>
      <c r="AC85" s="2">
        <f t="shared" si="24"/>
        <v>33.835380747792755</v>
      </c>
      <c r="AD85" s="2">
        <f t="shared" si="25"/>
        <v>0.66970569265350155</v>
      </c>
      <c r="AE85" s="2">
        <f t="shared" si="26"/>
        <v>0.13146075706485405</v>
      </c>
    </row>
    <row r="88" spans="2:31" x14ac:dyDescent="0.2">
      <c r="W88" s="2"/>
    </row>
  </sheetData>
  <autoFilter ref="B9:AE85" xr:uid="{4AF9B125-C903-4DA9-B0F5-BD5AF923A9B9}"/>
  <conditionalFormatting sqref="K10:V85">
    <cfRule type="cellIs" dxfId="35" priority="1" stopIfTrue="1" operator="lessThan">
      <formula>$W10-$V$5*$X10</formula>
    </cfRule>
    <cfRule type="cellIs" dxfId="34" priority="2" stopIfTrue="1" operator="greaterThan">
      <formula>$W10+$V$5*$X10</formula>
    </cfRule>
  </conditionalFormatting>
  <conditionalFormatting sqref="W10:W85">
    <cfRule type="cellIs" dxfId="33" priority="3" stopIfTrue="1" operator="lessThan">
      <formula>AVERAGE($W$10:$W$41)</formula>
    </cfRule>
    <cfRule type="cellIs" dxfId="3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1C7F-8B22-47DF-A1B3-5B4A836FF3C3}">
  <sheetPr codeName="Sheet10"/>
  <dimension ref="A1:AI88"/>
  <sheetViews>
    <sheetView topLeftCell="A8" workbookViewId="0">
      <pane xSplit="4" ySplit="2" topLeftCell="N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[24]FormattedData!A1</f>
        <v>Raw data file name - 'IA216.03R'</v>
      </c>
    </row>
    <row r="2" spans="1:35" ht="15" x14ac:dyDescent="0.25">
      <c r="I2" s="32" t="s">
        <v>136</v>
      </c>
      <c r="J2" s="24"/>
      <c r="P2" s="31">
        <f>[24]AncillaryData!C10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[24]AncillaryData!E25</f>
        <v>39.75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"&amp;[24]AncillaryData!C7</f>
        <v>Time Sequence of Midday IRT Temps - FISE 2003 - DOY 216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"&amp;[24]AncillaryData!E25&amp;", VPD = "&amp;ROUND([24]AncillaryData!E29,1)&amp;", Quality = "&amp;[24]AncillaryData!C20&amp;")"</f>
        <v>(Ta = 39.75, VPD = 6.1, Quality = 2)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[24]FormattedData!A28</f>
        <v>101</v>
      </c>
      <c r="C10" s="1" t="str">
        <f>VLOOKUP($B10,[24]TrtCodes!$B$11:I71,2)</f>
        <v>FSH</v>
      </c>
      <c r="D10" s="1">
        <f>VLOOKUP($B10,[24]TrtCodes!$B$11:J71,3)</f>
        <v>1</v>
      </c>
      <c r="E10" s="1">
        <f>VLOOKUP($B10,[24]TrtCodes!$B$11:K71,4)</f>
        <v>1</v>
      </c>
      <c r="F10" s="1">
        <f>VLOOKUP($B10,[24]TrtCodes!$B$11:L71,5)</f>
        <v>1</v>
      </c>
      <c r="G10" s="1">
        <f>VLOOKUP($B10,[24]TrtCodes!$B$11:M71,6)</f>
        <v>2</v>
      </c>
      <c r="H10" s="1">
        <f>VLOOKUP($B10,[24]TrtCodes!$B$11:N71,7)</f>
        <v>1</v>
      </c>
      <c r="I10" s="1">
        <f>[24]FormattedData!B28</f>
        <v>1</v>
      </c>
      <c r="J10" s="4">
        <f>[24]FormattedData!C28</f>
        <v>13.201000000000001</v>
      </c>
      <c r="K10" s="6">
        <f>$J$3+[24]FormattedData!D28*$J$4+$M$4*$J$5+[24]FormattedData!D28^2*$J$6+$M$5*$J$7</f>
        <v>41.71022046284623</v>
      </c>
      <c r="L10" s="6">
        <f>$J$3+[24]FormattedData!E28*$J$4+$M$4*$J$5+[24]FormattedData!E28^2*$J$6+$M$5*$J$7</f>
        <v>34.683774012015078</v>
      </c>
      <c r="M10" s="6">
        <f>$J$3+[24]FormattedData!F28*$J$4+$M$4*$J$5+[24]FormattedData!F28^2*$J$6+$M$5*$J$7</f>
        <v>31.710062271184</v>
      </c>
      <c r="N10" s="6">
        <f>$J$3+[24]FormattedData!G28*$J$4+$M$4*$J$5+[24]FormattedData!G28^2*$J$6+$M$5*$J$7</f>
        <v>32.577582523132079</v>
      </c>
      <c r="O10" s="6">
        <f>$J$3+[24]FormattedData!H28*$J$4+$M$4*$J$5+[24]FormattedData!H28^2*$J$6+$M$5*$J$7</f>
        <v>30.353781089102299</v>
      </c>
      <c r="P10" s="6">
        <f>$J$3+[24]FormattedData!I28*$J$4+$M$4*$J$5+[24]FormattedData!I28^2*$J$6+$M$5*$J$7</f>
        <v>35.918725617612061</v>
      </c>
      <c r="Q10" s="6">
        <f>$J$3+[24]FormattedData!J28*$J$4+$M$4*$J$5+[24]FormattedData!J28^2*$J$6+$M$5*$J$7</f>
        <v>30.159350337912301</v>
      </c>
      <c r="R10" s="6">
        <f>$J$3+[24]FormattedData!K28*$J$4+$M$4*$J$5+[24]FormattedData!K28^2*$J$6+$M$5*$J$7</f>
        <v>31.806622484441064</v>
      </c>
      <c r="S10" s="6">
        <f>$J$3+[24]FormattedData!L28*$J$4+$M$4*$J$5+[24]FormattedData!L28^2*$J$6+$M$5*$J$7</f>
        <v>29.379936591635065</v>
      </c>
      <c r="T10" s="6">
        <f>$J$3+[24]FormattedData!M28*$J$4+$M$4*$J$5+[24]FormattedData!M28^2*$J$6+$M$5*$J$7</f>
        <v>32.962048097567234</v>
      </c>
      <c r="U10" s="6">
        <f>$J$3+[24]FormattedData!N28*$J$4+$M$4*$J$5+[24]FormattedData!N28^2*$J$6+$M$5*$J$7</f>
        <v>31.516815039056073</v>
      </c>
      <c r="V10" s="6">
        <f>$J$3+[24]FormattedData!O28*$J$4+$M$4*$J$5+[24]FormattedData!O28^2*$J$6+$M$5*$J$7</f>
        <v>30.742135369027125</v>
      </c>
      <c r="W10" s="5">
        <f t="shared" ref="W10:W41" si="0">AVERAGE(K10:V10)</f>
        <v>32.793421157960886</v>
      </c>
      <c r="X10" s="4">
        <f t="shared" ref="X10:X41" si="1">STDEV(K10:V10)/SQRT(COUNT(K10:V10))</f>
        <v>0.97488257796608657</v>
      </c>
      <c r="Y10" s="3">
        <f t="shared" ref="Y10:Y41" si="2">MIN(K10:V10)</f>
        <v>29.379936591635065</v>
      </c>
      <c r="Z10" s="2">
        <f t="shared" ref="Z10:Z41" si="3">QUARTILE(K10:V10,1)</f>
        <v>30.645046799045918</v>
      </c>
      <c r="AA10" s="3">
        <f t="shared" ref="AA10:AA41" si="4">MEDIAN(K10:V10)</f>
        <v>31.758342377812532</v>
      </c>
      <c r="AB10" s="2">
        <f t="shared" ref="AB10:AB41" si="5">QUARTILE(K10:V10,3)</f>
        <v>33.392479576179198</v>
      </c>
      <c r="AC10" s="2">
        <f t="shared" ref="AC10:AC41" si="6">MAX(K10:V10)</f>
        <v>41.71022046284623</v>
      </c>
      <c r="AD10" s="2">
        <f t="shared" ref="AD10:AD41" si="7">SKEW(K10:V10)</f>
        <v>1.8714758390241732</v>
      </c>
      <c r="AE10" s="2">
        <f t="shared" ref="AE10:AE41" si="8">KURT(K10:V10)</f>
        <v>4.0495975460760185</v>
      </c>
    </row>
    <row r="11" spans="1:35" x14ac:dyDescent="0.2">
      <c r="B11" s="1">
        <f>[24]FormattedData!A26</f>
        <v>102</v>
      </c>
      <c r="C11" s="1" t="str">
        <f>VLOOKUP($B11,[24]TrtCodes!$B$11:I69,2)</f>
        <v>FTL</v>
      </c>
      <c r="D11" s="1">
        <f>VLOOKUP($B11,[24]TrtCodes!$B$11:J69,3)</f>
        <v>4</v>
      </c>
      <c r="E11" s="1">
        <f>VLOOKUP($B11,[24]TrtCodes!$B$11:K69,4)</f>
        <v>1</v>
      </c>
      <c r="F11" s="1">
        <f>VLOOKUP($B11,[24]TrtCodes!$B$11:L69,5)</f>
        <v>2</v>
      </c>
      <c r="G11" s="1">
        <f>VLOOKUP($B11,[24]TrtCodes!$B$11:M69,6)</f>
        <v>1</v>
      </c>
      <c r="H11" s="1">
        <f>VLOOKUP($B11,[24]TrtCodes!$B$11:N69,7)</f>
        <v>1</v>
      </c>
      <c r="I11" s="1">
        <f>[24]FormattedData!B26</f>
        <v>1</v>
      </c>
      <c r="J11" s="4">
        <f>[24]FormattedData!C26</f>
        <v>13.183999999999999</v>
      </c>
      <c r="K11" s="6">
        <f>$J$3+[24]FormattedData!D26*$J$4+$M$4*$J$5+[24]FormattedData!D26^2*$J$6+$M$5*$J$7</f>
        <v>40.601966538051222</v>
      </c>
      <c r="L11" s="6">
        <f>$J$3+[24]FormattedData!E26*$J$4+$M$4*$J$5+[24]FormattedData!E26^2*$J$6+$M$5*$J$7</f>
        <v>31.420128020185217</v>
      </c>
      <c r="M11" s="6">
        <f>$J$3+[24]FormattedData!F26*$J$4+$M$4*$J$5+[24]FormattedData!F26^2*$J$6+$M$5*$J$7</f>
        <v>30.839118267663501</v>
      </c>
      <c r="N11" s="6">
        <f>$J$3+[24]FormattedData!G26*$J$4+$M$4*$J$5+[24]FormattedData!G26^2*$J$6+$M$5*$J$7</f>
        <v>32.38509612468691</v>
      </c>
      <c r="O11" s="6">
        <f>$J$3+[24]FormattedData!H26*$J$4+$M$4*$J$5+[24]FormattedData!H26^2*$J$6+$M$5*$J$7</f>
        <v>36.391804920173229</v>
      </c>
      <c r="P11" s="6">
        <f>$J$3+[24]FormattedData!I26*$J$4+$M$4*$J$5+[24]FormattedData!I26^2*$J$6+$M$5*$J$7</f>
        <v>35.63437081362018</v>
      </c>
      <c r="Q11" s="6">
        <f>$J$3+[24]FormattedData!J26*$J$4+$M$4*$J$5+[24]FormattedData!J26^2*$J$6+$M$5*$J$7</f>
        <v>31.99961610534141</v>
      </c>
      <c r="R11" s="6">
        <f>$J$3+[24]FormattedData!K26*$J$4+$M$4*$J$5+[24]FormattedData!K26^2*$J$6+$M$5*$J$7</f>
        <v>35.729198016822075</v>
      </c>
      <c r="S11" s="6">
        <f>$J$3+[24]FormattedData!L26*$J$4+$M$4*$J$5+[24]FormattedData!L26^2*$J$6+$M$5*$J$7</f>
        <v>31.516815039056073</v>
      </c>
      <c r="T11" s="6">
        <f>$J$3+[24]FormattedData!M26*$J$4+$M$4*$J$5+[24]FormattedData!M26^2*$J$6+$M$5*$J$7</f>
        <v>34.302351772310956</v>
      </c>
      <c r="U11" s="6">
        <f>$J$3+[24]FormattedData!N26*$J$4+$M$4*$J$5+[24]FormattedData!N26^2*$J$6+$M$5*$J$7</f>
        <v>31.323398732776418</v>
      </c>
      <c r="V11" s="6">
        <f>$J$3+[24]FormattedData!O26*$J$4+$M$4*$J$5+[24]FormattedData!O26^2*$J$6+$M$5*$J$7</f>
        <v>32.192440652090021</v>
      </c>
      <c r="W11" s="5">
        <f t="shared" si="0"/>
        <v>33.694692083564767</v>
      </c>
      <c r="X11" s="4">
        <f t="shared" si="1"/>
        <v>0.84295154203265987</v>
      </c>
      <c r="Y11" s="3">
        <f t="shared" si="2"/>
        <v>30.839118267663501</v>
      </c>
      <c r="Z11" s="2">
        <f t="shared" si="3"/>
        <v>31.49264328433836</v>
      </c>
      <c r="AA11" s="3">
        <f t="shared" si="4"/>
        <v>32.288768388388462</v>
      </c>
      <c r="AB11" s="2">
        <f t="shared" si="5"/>
        <v>35.658077614420655</v>
      </c>
      <c r="AC11" s="2">
        <f t="shared" si="6"/>
        <v>40.601966538051222</v>
      </c>
      <c r="AD11" s="2">
        <f t="shared" si="7"/>
        <v>1.2963956377279189</v>
      </c>
      <c r="AE11" s="2">
        <f t="shared" si="8"/>
        <v>1.4375352303649382</v>
      </c>
    </row>
    <row r="12" spans="1:35" x14ac:dyDescent="0.2">
      <c r="B12" s="1">
        <f>[24]FormattedData!A24</f>
        <v>103</v>
      </c>
      <c r="C12" s="1" t="str">
        <f>VLOOKUP($B12,[24]TrtCodes!$B$11:I67,2)</f>
        <v>FDH</v>
      </c>
      <c r="D12" s="1">
        <f>VLOOKUP($B12,[24]TrtCodes!$B$11:J67,3)</f>
        <v>5</v>
      </c>
      <c r="E12" s="1">
        <f>VLOOKUP($B12,[24]TrtCodes!$B$11:K67,4)</f>
        <v>1</v>
      </c>
      <c r="F12" s="1">
        <f>VLOOKUP($B12,[24]TrtCodes!$B$11:L67,5)</f>
        <v>3</v>
      </c>
      <c r="G12" s="1">
        <f>VLOOKUP($B12,[24]TrtCodes!$B$11:M67,6)</f>
        <v>2</v>
      </c>
      <c r="H12" s="1">
        <f>VLOOKUP($B12,[24]TrtCodes!$B$11:N67,7)</f>
        <v>1</v>
      </c>
      <c r="I12" s="1">
        <f>[24]FormattedData!B24</f>
        <v>1</v>
      </c>
      <c r="J12" s="4">
        <f>[24]FormattedData!C24</f>
        <v>13.167</v>
      </c>
      <c r="K12" s="6">
        <f>$J$3+[24]FormattedData!D24*$J$4+$M$4*$J$5+[24]FormattedData!D24^2*$J$6+$M$5*$J$7</f>
        <v>29.477511249802479</v>
      </c>
      <c r="L12" s="6">
        <f>$J$3+[24]FormattedData!E24*$J$4+$M$4*$J$5+[24]FormattedData!E24^2*$J$6+$M$5*$J$7</f>
        <v>28.891429272729031</v>
      </c>
      <c r="M12" s="6">
        <f>$J$3+[24]FormattedData!F24*$J$4+$M$4*$J$5+[24]FormattedData!F24^2*$J$6+$M$5*$J$7</f>
        <v>28.30382562829006</v>
      </c>
      <c r="N12" s="6">
        <f>$J$3+[24]FormattedData!G24*$J$4+$M$4*$J$5+[24]FormattedData!G24^2*$J$6+$M$5*$J$7</f>
        <v>29.67253376052351</v>
      </c>
      <c r="O12" s="6">
        <f>$J$3+[24]FormattedData!H24*$J$4+$M$4*$J$5+[24]FormattedData!H24^2*$J$6+$M$5*$J$7</f>
        <v>29.086959005905239</v>
      </c>
      <c r="P12" s="6">
        <f>$J$3+[24]FormattedData!I24*$J$4+$M$4*$J$5+[24]FormattedData!I24^2*$J$6+$M$5*$J$7</f>
        <v>28.989215273586101</v>
      </c>
      <c r="Q12" s="6">
        <f>$J$3+[24]FormattedData!J24*$J$4+$M$4*$J$5+[24]FormattedData!J24^2*$J$6+$M$5*$J$7</f>
        <v>28.401865240374715</v>
      </c>
      <c r="R12" s="6">
        <f>$J$3+[24]FormattedData!K24*$J$4+$M$4*$J$5+[24]FormattedData!K24^2*$J$6+$M$5*$J$7</f>
        <v>29.379936591635065</v>
      </c>
      <c r="S12" s="6">
        <f>$J$3+[24]FormattedData!L24*$J$4+$M$4*$J$5+[24]FormattedData!L24^2*$J$6+$M$5*$J$7</f>
        <v>29.086959005905239</v>
      </c>
      <c r="T12" s="6">
        <f>$J$3+[24]FormattedData!M24*$J$4+$M$4*$J$5+[24]FormattedData!M24^2*$J$6+$M$5*$J$7</f>
        <v>28.695730465401098</v>
      </c>
      <c r="U12" s="6">
        <f>$J$3+[24]FormattedData!N24*$J$4+$M$4*$J$5+[24]FormattedData!N24^2*$J$6+$M$5*$J$7</f>
        <v>28.695730465401098</v>
      </c>
      <c r="V12" s="6">
        <f>$J$3+[24]FormattedData!O24*$J$4+$M$4*$J$5+[24]FormattedData!O24^2*$J$6+$M$5*$J$7</f>
        <v>30.742135369027125</v>
      </c>
      <c r="W12" s="5">
        <f t="shared" si="0"/>
        <v>29.11865261071506</v>
      </c>
      <c r="X12" s="4">
        <f t="shared" si="1"/>
        <v>0.18960437883489134</v>
      </c>
      <c r="Y12" s="3">
        <f t="shared" si="2"/>
        <v>28.30382562829006</v>
      </c>
      <c r="Z12" s="2">
        <f t="shared" si="3"/>
        <v>28.695730465401098</v>
      </c>
      <c r="AA12" s="3">
        <f t="shared" si="4"/>
        <v>29.03808713974567</v>
      </c>
      <c r="AB12" s="2">
        <f t="shared" si="5"/>
        <v>29.40433025617692</v>
      </c>
      <c r="AC12" s="2">
        <f t="shared" si="6"/>
        <v>30.742135369027125</v>
      </c>
      <c r="AD12" s="2">
        <f t="shared" si="7"/>
        <v>1.3238378918838383</v>
      </c>
      <c r="AE12" s="2">
        <f t="shared" si="8"/>
        <v>2.5997598265850801</v>
      </c>
    </row>
    <row r="13" spans="1:35" x14ac:dyDescent="0.2">
      <c r="B13" s="1">
        <f>[24]FormattedData!A22</f>
        <v>104</v>
      </c>
      <c r="C13" s="1" t="str">
        <f>VLOOKUP($B13,[24]TrtCodes!$B$11:I65,2)</f>
        <v>NTL</v>
      </c>
      <c r="D13" s="1">
        <f>VLOOKUP($B13,[24]TrtCodes!$B$11:J65,3)</f>
        <v>10</v>
      </c>
      <c r="E13" s="1">
        <f>VLOOKUP($B13,[24]TrtCodes!$B$11:K65,4)</f>
        <v>2</v>
      </c>
      <c r="F13" s="1">
        <f>VLOOKUP($B13,[24]TrtCodes!$B$11:L65,5)</f>
        <v>2</v>
      </c>
      <c r="G13" s="1">
        <f>VLOOKUP($B13,[24]TrtCodes!$B$11:M65,6)</f>
        <v>1</v>
      </c>
      <c r="H13" s="1">
        <f>VLOOKUP($B13,[24]TrtCodes!$B$11:N65,7)</f>
        <v>1</v>
      </c>
      <c r="I13" s="1">
        <f>[24]FormattedData!B22</f>
        <v>1</v>
      </c>
      <c r="J13" s="4">
        <f>[24]FormattedData!C22</f>
        <v>13.148999999999999</v>
      </c>
      <c r="K13" s="6">
        <f>$J$3+[24]FormattedData!D22*$J$4+$M$4*$J$5+[24]FormattedData!D22^2*$J$6+$M$5*$J$7</f>
        <v>33.34583737539549</v>
      </c>
      <c r="L13" s="6">
        <f>$J$3+[24]FormattedData!E22*$J$4+$M$4*$J$5+[24]FormattedData!E22^2*$J$6+$M$5*$J$7</f>
        <v>30.450933061890407</v>
      </c>
      <c r="M13" s="6">
        <f>$J$3+[24]FormattedData!F22*$J$4+$M$4*$J$5+[24]FormattedData!F22^2*$J$6+$M$5*$J$7</f>
        <v>28.989215273586101</v>
      </c>
      <c r="N13" s="6">
        <f>$J$3+[24]FormattedData!G22*$J$4+$M$4*$J$5+[24]FormattedData!G22^2*$J$6+$M$5*$J$7</f>
        <v>29.184660469686445</v>
      </c>
      <c r="O13" s="6">
        <f>$J$3+[24]FormattedData!H22*$J$4+$M$4*$J$5+[24]FormattedData!H22^2*$J$6+$M$5*$J$7</f>
        <v>29.282319664929723</v>
      </c>
      <c r="P13" s="6">
        <f>$J$3+[24]FormattedData!I22*$J$4+$M$4*$J$5+[24]FormattedData!I22^2*$J$6+$M$5*$J$7</f>
        <v>28.989215273586101</v>
      </c>
      <c r="Q13" s="6">
        <f>$J$3+[24]FormattedData!J22*$J$4+$M$4*$J$5+[24]FormattedData!J22^2*$J$6+$M$5*$J$7</f>
        <v>29.67253376052351</v>
      </c>
      <c r="R13" s="6">
        <f>$J$3+[24]FormattedData!K22*$J$4+$M$4*$J$5+[24]FormattedData!K22^2*$J$6+$M$5*$J$7</f>
        <v>28.793601003334029</v>
      </c>
      <c r="S13" s="6">
        <f>$J$3+[24]FormattedData!L22*$J$4+$M$4*$J$5+[24]FormattedData!L22^2*$J$6+$M$5*$J$7</f>
        <v>31.516815039056073</v>
      </c>
      <c r="T13" s="6">
        <f>$J$3+[24]FormattedData!M22*$J$4+$M$4*$J$5+[24]FormattedData!M22^2*$J$6+$M$5*$J$7</f>
        <v>29.184660469686445</v>
      </c>
      <c r="U13" s="6">
        <f>$J$3+[24]FormattedData!N22*$J$4+$M$4*$J$5+[24]FormattedData!N22^2*$J$6+$M$5*$J$7</f>
        <v>28.989215273586101</v>
      </c>
      <c r="V13" s="6">
        <f>$J$3+[24]FormattedData!O22*$J$4+$M$4*$J$5+[24]FormattedData!O22^2*$J$6+$M$5*$J$7</f>
        <v>29.575043639431964</v>
      </c>
      <c r="W13" s="5">
        <f t="shared" si="0"/>
        <v>29.831170858724366</v>
      </c>
      <c r="X13" s="4">
        <f t="shared" si="1"/>
        <v>0.38934246164454772</v>
      </c>
      <c r="Y13" s="3">
        <f t="shared" si="2"/>
        <v>28.793601003334029</v>
      </c>
      <c r="Z13" s="2">
        <f t="shared" si="3"/>
        <v>28.989215273586101</v>
      </c>
      <c r="AA13" s="3">
        <f t="shared" si="4"/>
        <v>29.233490067308082</v>
      </c>
      <c r="AB13" s="2">
        <f t="shared" si="5"/>
        <v>29.867133585865233</v>
      </c>
      <c r="AC13" s="2">
        <f t="shared" si="6"/>
        <v>33.34583737539549</v>
      </c>
      <c r="AD13" s="2">
        <f t="shared" si="7"/>
        <v>1.9924799574427654</v>
      </c>
      <c r="AE13" s="2">
        <f t="shared" si="8"/>
        <v>3.7730272998988772</v>
      </c>
    </row>
    <row r="14" spans="1:35" x14ac:dyDescent="0.2">
      <c r="B14" s="1">
        <f>[24]FormattedData!A20</f>
        <v>105</v>
      </c>
      <c r="C14" s="1" t="str">
        <f>VLOOKUP($B14,[24]TrtCodes!$B$11:I63,2)</f>
        <v>NDL</v>
      </c>
      <c r="D14" s="1">
        <f>VLOOKUP($B14,[24]TrtCodes!$B$11:J63,3)</f>
        <v>12</v>
      </c>
      <c r="E14" s="1">
        <f>VLOOKUP($B14,[24]TrtCodes!$B$11:K63,4)</f>
        <v>2</v>
      </c>
      <c r="F14" s="1">
        <f>VLOOKUP($B14,[24]TrtCodes!$B$11:L63,5)</f>
        <v>3</v>
      </c>
      <c r="G14" s="1">
        <f>VLOOKUP($B14,[24]TrtCodes!$B$11:M63,6)</f>
        <v>1</v>
      </c>
      <c r="H14" s="1">
        <f>VLOOKUP($B14,[24]TrtCodes!$B$11:N63,7)</f>
        <v>2</v>
      </c>
      <c r="I14" s="1">
        <f>[24]FormattedData!B20</f>
        <v>1</v>
      </c>
      <c r="J14" s="4">
        <f>[24]FormattedData!C20</f>
        <v>13.131</v>
      </c>
      <c r="K14" s="6">
        <f>$J$3+[24]FormattedData!D20*$J$4+$M$4*$J$5+[24]FormattedData!D20^2*$J$6+$M$5*$J$7</f>
        <v>30.645110201852813</v>
      </c>
      <c r="L14" s="6">
        <f>$J$3+[24]FormattedData!E20*$J$4+$M$4*$J$5+[24]FormattedData!E20^2*$J$6+$M$5*$J$7</f>
        <v>29.575043639431964</v>
      </c>
      <c r="M14" s="6">
        <f>$J$3+[24]FormattedData!F20*$J$4+$M$4*$J$5+[24]FormattedData!F20^2*$J$6+$M$5*$J$7</f>
        <v>29.184660469686445</v>
      </c>
      <c r="N14" s="6">
        <f>$J$3+[24]FormattedData!G20*$J$4+$M$4*$J$5+[24]FormattedData!G20^2*$J$6+$M$5*$J$7</f>
        <v>30.159350337912301</v>
      </c>
      <c r="O14" s="6">
        <f>$J$3+[24]FormattedData!H20*$J$4+$M$4*$J$5+[24]FormattedData!H20^2*$J$6+$M$5*$J$7</f>
        <v>30.159350337912301</v>
      </c>
      <c r="P14" s="6">
        <f>$J$3+[24]FormattedData!I20*$J$4+$M$4*$J$5+[24]FormattedData!I20^2*$J$6+$M$5*$J$7</f>
        <v>29.379936591635065</v>
      </c>
      <c r="Q14" s="6">
        <f>$J$3+[24]FormattedData!J20*$J$4+$M$4*$J$5+[24]FormattedData!J20^2*$J$6+$M$5*$J$7</f>
        <v>29.282319664929723</v>
      </c>
      <c r="R14" s="6">
        <f>$J$3+[24]FormattedData!K20*$J$4+$M$4*$J$5+[24]FormattedData!K20^2*$J$6+$M$5*$J$7</f>
        <v>29.379936591635065</v>
      </c>
      <c r="S14" s="6">
        <f>$J$3+[24]FormattedData!L20*$J$4+$M$4*$J$5+[24]FormattedData!L20^2*$J$6+$M$5*$J$7</f>
        <v>29.282319664929723</v>
      </c>
      <c r="T14" s="6">
        <f>$J$3+[24]FormattedData!M20*$J$4+$M$4*$J$5+[24]FormattedData!M20^2*$J$6+$M$5*$J$7</f>
        <v>31.323398732776418</v>
      </c>
      <c r="U14" s="6">
        <f>$J$3+[24]FormattedData!N20*$J$4+$M$4*$J$5+[24]FormattedData!N20^2*$J$6+$M$5*$J$7</f>
        <v>31.129813352345042</v>
      </c>
      <c r="V14" s="6">
        <f>$J$3+[24]FormattedData!O20*$J$4+$M$4*$J$5+[24]FormattedData!O20^2*$J$6+$M$5*$J$7</f>
        <v>31.129813352345042</v>
      </c>
      <c r="W14" s="5">
        <f t="shared" si="0"/>
        <v>30.052587744782656</v>
      </c>
      <c r="X14" s="4">
        <f t="shared" si="1"/>
        <v>0.2364920566263452</v>
      </c>
      <c r="Y14" s="3">
        <f t="shared" si="2"/>
        <v>29.184660469686445</v>
      </c>
      <c r="Z14" s="2">
        <f t="shared" si="3"/>
        <v>29.35553235995873</v>
      </c>
      <c r="AA14" s="3">
        <f t="shared" si="4"/>
        <v>29.867196988672134</v>
      </c>
      <c r="AB14" s="2">
        <f t="shared" si="5"/>
        <v>30.766285989475868</v>
      </c>
      <c r="AC14" s="2">
        <f t="shared" si="6"/>
        <v>31.323398732776418</v>
      </c>
      <c r="AD14" s="2">
        <f t="shared" si="7"/>
        <v>0.49154479582510391</v>
      </c>
      <c r="AE14" s="2">
        <f t="shared" si="8"/>
        <v>-1.5293391262352456</v>
      </c>
    </row>
    <row r="15" spans="1:35" x14ac:dyDescent="0.2">
      <c r="B15" s="1">
        <f>[24]FormattedData!A18</f>
        <v>106</v>
      </c>
      <c r="C15" s="1" t="str">
        <f>VLOOKUP($B15,[24]TrtCodes!$B$11:I61,2)</f>
        <v>NTH</v>
      </c>
      <c r="D15" s="1">
        <f>VLOOKUP($B15,[24]TrtCodes!$B$11:J61,3)</f>
        <v>9</v>
      </c>
      <c r="E15" s="1">
        <f>VLOOKUP($B15,[24]TrtCodes!$B$11:K61,4)</f>
        <v>2</v>
      </c>
      <c r="F15" s="1">
        <f>VLOOKUP($B15,[24]TrtCodes!$B$11:L61,5)</f>
        <v>2</v>
      </c>
      <c r="G15" s="1">
        <f>VLOOKUP($B15,[24]TrtCodes!$B$11:M61,6)</f>
        <v>2</v>
      </c>
      <c r="H15" s="1">
        <f>VLOOKUP($B15,[24]TrtCodes!$B$11:N61,7)</f>
        <v>2</v>
      </c>
      <c r="I15" s="1">
        <f>[24]FormattedData!B18</f>
        <v>1</v>
      </c>
      <c r="J15" s="4">
        <f>[24]FormattedData!C18</f>
        <v>13.112</v>
      </c>
      <c r="K15" s="6">
        <f>$J$3+[24]FormattedData!D18*$J$4+$M$4*$J$5+[24]FormattedData!D18^2*$J$6+$M$5*$J$7</f>
        <v>34.0158412728846</v>
      </c>
      <c r="L15" s="6">
        <f>$J$3+[24]FormattedData!E18*$J$4+$M$4*$J$5+[24]FormattedData!E18^2*$J$6+$M$5*$J$7</f>
        <v>31.99961610534141</v>
      </c>
      <c r="M15" s="6">
        <f>$J$3+[24]FormattedData!F18*$J$4+$M$4*$J$5+[24]FormattedData!F18^2*$J$6+$M$5*$J$7</f>
        <v>32.673762319547762</v>
      </c>
      <c r="N15" s="6">
        <f>$J$3+[24]FormattedData!G18*$J$4+$M$4*$J$5+[24]FormattedData!G18^2*$J$6+$M$5*$J$7</f>
        <v>31.420128020185217</v>
      </c>
      <c r="O15" s="6">
        <f>$J$3+[24]FormattedData!H18*$J$4+$M$4*$J$5+[24]FormattedData!H18^2*$J$6+$M$5*$J$7</f>
        <v>31.806622484441064</v>
      </c>
      <c r="P15" s="6">
        <f>$J$3+[24]FormattedData!I18*$J$4+$M$4*$J$5+[24]FormattedData!I18^2*$J$6+$M$5*$J$7</f>
        <v>32.096049512984678</v>
      </c>
      <c r="Q15" s="6">
        <f>$J$3+[24]FormattedData!J18*$J$4+$M$4*$J$5+[24]FormattedData!J18^2*$J$6+$M$5*$J$7</f>
        <v>31.129813352345042</v>
      </c>
      <c r="R15" s="6">
        <f>$J$3+[24]FormattedData!K18*$J$4+$M$4*$J$5+[24]FormattedData!K18^2*$J$6+$M$5*$J$7</f>
        <v>31.99961610534141</v>
      </c>
      <c r="S15" s="6">
        <f>$J$3+[24]FormattedData!L18*$J$4+$M$4*$J$5+[24]FormattedData!L18^2*$J$6+$M$5*$J$7</f>
        <v>31.129813352345042</v>
      </c>
      <c r="T15" s="6">
        <f>$J$3+[24]FormattedData!M18*$J$4+$M$4*$J$5+[24]FormattedData!M18^2*$J$6+$M$5*$J$7</f>
        <v>31.710062271184</v>
      </c>
      <c r="U15" s="6">
        <f>$J$3+[24]FormattedData!N18*$J$4+$M$4*$J$5+[24]FormattedData!N18^2*$J$6+$M$5*$J$7</f>
        <v>30.062071559510407</v>
      </c>
      <c r="V15" s="6">
        <f>$J$3+[24]FormattedData!O18*$J$4+$M$4*$J$5+[24]FormattedData!O18^2*$J$6+$M$5*$J$7</f>
        <v>30.548042766140576</v>
      </c>
      <c r="W15" s="5">
        <f t="shared" si="0"/>
        <v>31.7159532601876</v>
      </c>
      <c r="X15" s="4">
        <f t="shared" si="1"/>
        <v>0.29380617729292635</v>
      </c>
      <c r="Y15" s="3">
        <f t="shared" si="2"/>
        <v>30.062071559510407</v>
      </c>
      <c r="Z15" s="2">
        <f t="shared" si="3"/>
        <v>31.129813352345042</v>
      </c>
      <c r="AA15" s="3">
        <f t="shared" si="4"/>
        <v>31.758342377812532</v>
      </c>
      <c r="AB15" s="2">
        <f t="shared" si="5"/>
        <v>32.023724457252229</v>
      </c>
      <c r="AC15" s="2">
        <f t="shared" si="6"/>
        <v>34.0158412728846</v>
      </c>
      <c r="AD15" s="2">
        <f t="shared" si="7"/>
        <v>0.68289496205262024</v>
      </c>
      <c r="AE15" s="2">
        <f t="shared" si="8"/>
        <v>1.6117631391810097</v>
      </c>
    </row>
    <row r="16" spans="1:35" x14ac:dyDescent="0.2">
      <c r="B16" s="1">
        <f>[24]FormattedData!A16</f>
        <v>107</v>
      </c>
      <c r="C16" s="1" t="str">
        <f>VLOOKUP($B16,[24]TrtCodes!$B$11:I59,2)</f>
        <v>NTL</v>
      </c>
      <c r="D16" s="1">
        <f>VLOOKUP($B16,[24]TrtCodes!$B$11:J59,3)</f>
        <v>10</v>
      </c>
      <c r="E16" s="1">
        <f>VLOOKUP($B16,[24]TrtCodes!$B$11:K59,4)</f>
        <v>2</v>
      </c>
      <c r="F16" s="1">
        <f>VLOOKUP($B16,[24]TrtCodes!$B$11:L59,5)</f>
        <v>2</v>
      </c>
      <c r="G16" s="1">
        <f>VLOOKUP($B16,[24]TrtCodes!$B$11:M59,6)</f>
        <v>1</v>
      </c>
      <c r="H16" s="1">
        <f>VLOOKUP($B16,[24]TrtCodes!$B$11:N59,7)</f>
        <v>2</v>
      </c>
      <c r="I16" s="1">
        <f>[24]FormattedData!B16</f>
        <v>1</v>
      </c>
      <c r="J16" s="4">
        <f>[24]FormattedData!C16</f>
        <v>13.093999999999999</v>
      </c>
      <c r="K16" s="6">
        <f>$J$3+[24]FormattedData!D16*$J$4+$M$4*$J$5+[24]FormattedData!D16^2*$J$6+$M$5*$J$7</f>
        <v>34.779023900596272</v>
      </c>
      <c r="L16" s="6">
        <f>$J$3+[24]FormattedData!E16*$J$4+$M$4*$J$5+[24]FormattedData!E16^2*$J$6+$M$5*$J$7</f>
        <v>32.673762319547762</v>
      </c>
      <c r="M16" s="6">
        <f>$J$3+[24]FormattedData!F16*$J$4+$M$4*$J$5+[24]FormattedData!F16^2*$J$6+$M$5*$J$7</f>
        <v>31.613459789389005</v>
      </c>
      <c r="N16" s="6">
        <f>$J$3+[24]FormattedData!G16*$J$4+$M$4*$J$5+[24]FormattedData!G16^2*$J$6+$M$5*$J$7</f>
        <v>32.096049512984678</v>
      </c>
      <c r="O16" s="6">
        <f>$J$3+[24]FormattedData!H16*$J$4+$M$4*$J$5+[24]FormattedData!H16^2*$J$6+$M$5*$J$7</f>
        <v>30.256586847776269</v>
      </c>
      <c r="P16" s="6">
        <f>$J$3+[24]FormattedData!I16*$J$4+$M$4*$J$5+[24]FormattedData!I16^2*$J$6+$M$5*$J$7</f>
        <v>33.34583737539549</v>
      </c>
      <c r="Q16" s="6">
        <f>$J$3+[24]FormattedData!J16*$J$4+$M$4*$J$5+[24]FormattedData!J16^2*$J$6+$M$5*$J$7</f>
        <v>33.058058819831196</v>
      </c>
      <c r="R16" s="6">
        <f>$J$3+[24]FormattedData!K16*$J$4+$M$4*$J$5+[24]FormattedData!K16^2*$J$6+$M$5*$J$7</f>
        <v>32.86599510676534</v>
      </c>
      <c r="S16" s="6">
        <f>$J$3+[24]FormattedData!L16*$J$4+$M$4*$J$5+[24]FormattedData!L16^2*$J$6+$M$5*$J$7</f>
        <v>31.516815039056073</v>
      </c>
      <c r="T16" s="6">
        <f>$J$3+[24]FormattedData!M16*$J$4+$M$4*$J$5+[24]FormattedData!M16^2*$J$6+$M$5*$J$7</f>
        <v>34.969396872144891</v>
      </c>
      <c r="U16" s="6">
        <f>$J$3+[24]FormattedData!N16*$J$4+$M$4*$J$5+[24]FormattedData!N16^2*$J$6+$M$5*$J$7</f>
        <v>30.936058897761949</v>
      </c>
      <c r="V16" s="6">
        <f>$J$3+[24]FormattedData!O16*$J$4+$M$4*$J$5+[24]FormattedData!O16^2*$J$6+$M$5*$J$7</f>
        <v>32.962048097567234</v>
      </c>
      <c r="W16" s="5">
        <f t="shared" si="0"/>
        <v>32.589424381568016</v>
      </c>
      <c r="X16" s="4">
        <f t="shared" si="1"/>
        <v>0.40820200251374145</v>
      </c>
      <c r="Y16" s="3">
        <f t="shared" si="2"/>
        <v>30.256586847776269</v>
      </c>
      <c r="Z16" s="2">
        <f t="shared" si="3"/>
        <v>31.589298601805773</v>
      </c>
      <c r="AA16" s="3">
        <f t="shared" si="4"/>
        <v>32.769878713156551</v>
      </c>
      <c r="AB16" s="2">
        <f t="shared" si="5"/>
        <v>33.130003458722271</v>
      </c>
      <c r="AC16" s="2">
        <f t="shared" si="6"/>
        <v>34.969396872144891</v>
      </c>
      <c r="AD16" s="2">
        <f t="shared" si="7"/>
        <v>0.19633492715266146</v>
      </c>
      <c r="AE16" s="2">
        <f t="shared" si="8"/>
        <v>-0.29511981380781105</v>
      </c>
    </row>
    <row r="17" spans="2:31" x14ac:dyDescent="0.2">
      <c r="B17" s="1">
        <f>[24]FormattedData!A14</f>
        <v>108</v>
      </c>
      <c r="C17" s="1" t="str">
        <f>VLOOKUP($B17,[24]TrtCodes!$B$11:I57,2)</f>
        <v>FTH</v>
      </c>
      <c r="D17" s="1">
        <f>VLOOKUP($B17,[24]TrtCodes!$B$11:J57,3)</f>
        <v>3</v>
      </c>
      <c r="E17" s="1">
        <f>VLOOKUP($B17,[24]TrtCodes!$B$11:K57,4)</f>
        <v>1</v>
      </c>
      <c r="F17" s="1">
        <f>VLOOKUP($B17,[24]TrtCodes!$B$11:L57,5)</f>
        <v>2</v>
      </c>
      <c r="G17" s="1">
        <f>VLOOKUP($B17,[24]TrtCodes!$B$11:M57,6)</f>
        <v>2</v>
      </c>
      <c r="H17" s="1">
        <f>VLOOKUP($B17,[24]TrtCodes!$B$11:N57,7)</f>
        <v>2</v>
      </c>
      <c r="I17" s="1">
        <f>[24]FormattedData!B14</f>
        <v>1</v>
      </c>
      <c r="J17" s="4">
        <f>[24]FormattedData!C14</f>
        <v>13.074999999999999</v>
      </c>
      <c r="K17" s="6">
        <f>$J$3+[24]FormattedData!D14*$J$4+$M$4*$J$5+[24]FormattedData!D14^2*$J$6+$M$5*$J$7</f>
        <v>34.206890541040103</v>
      </c>
      <c r="L17" s="6">
        <f>$J$3+[24]FormattedData!E14*$J$4+$M$4*$J$5+[24]FormattedData!E14^2*$J$6+$M$5*$J$7</f>
        <v>30.839118267663501</v>
      </c>
      <c r="M17" s="6">
        <f>$J$3+[24]FormattedData!F14*$J$4+$M$4*$J$5+[24]FormattedData!F14^2*$J$6+$M$5*$J$7</f>
        <v>30.548042766140576</v>
      </c>
      <c r="N17" s="6">
        <f>$J$3+[24]FormattedData!G14*$J$4+$M$4*$J$5+[24]FormattedData!G14^2*$J$6+$M$5*$J$7</f>
        <v>30.839118267663501</v>
      </c>
      <c r="O17" s="6">
        <f>$J$3+[24]FormattedData!H14*$J$4+$M$4*$J$5+[24]FormattedData!H14^2*$J$6+$M$5*$J$7</f>
        <v>30.548042766140576</v>
      </c>
      <c r="P17" s="6">
        <f>$J$3+[24]FormattedData!I14*$J$4+$M$4*$J$5+[24]FormattedData!I14^2*$J$6+$M$5*$J$7</f>
        <v>31.323398732776418</v>
      </c>
      <c r="Q17" s="6">
        <f>$J$3+[24]FormattedData!J14*$J$4+$M$4*$J$5+[24]FormattedData!J14^2*$J$6+$M$5*$J$7</f>
        <v>32.096049512984678</v>
      </c>
      <c r="R17" s="6">
        <f>$J$3+[24]FormattedData!K14*$J$4+$M$4*$J$5+[24]FormattedData!K14^2*$J$6+$M$5*$J$7</f>
        <v>32.288789522657424</v>
      </c>
      <c r="S17" s="6">
        <f>$J$3+[24]FormattedData!L14*$J$4+$M$4*$J$5+[24]FormattedData!L14^2*$J$6+$M$5*$J$7</f>
        <v>30.839118267663501</v>
      </c>
      <c r="T17" s="6">
        <f>$J$3+[24]FormattedData!M14*$J$4+$M$4*$J$5+[24]FormattedData!M14^2*$J$6+$M$5*$J$7</f>
        <v>31.226627176829702</v>
      </c>
      <c r="U17" s="6">
        <f>$J$3+[24]FormattedData!N14*$J$4+$M$4*$J$5+[24]FormattedData!N14^2*$J$6+$M$5*$J$7</f>
        <v>29.867387197092821</v>
      </c>
      <c r="V17" s="6">
        <f>$J$3+[24]FormattedData!O14*$J$4+$M$4*$J$5+[24]FormattedData!O14^2*$J$6+$M$5*$J$7</f>
        <v>32.192440652090021</v>
      </c>
      <c r="W17" s="5">
        <f t="shared" si="0"/>
        <v>31.401251972561898</v>
      </c>
      <c r="X17" s="4">
        <f t="shared" si="1"/>
        <v>0.33213342438763166</v>
      </c>
      <c r="Y17" s="3">
        <f t="shared" si="2"/>
        <v>29.867387197092821</v>
      </c>
      <c r="Z17" s="2">
        <f t="shared" si="3"/>
        <v>30.76634939228277</v>
      </c>
      <c r="AA17" s="3">
        <f t="shared" si="4"/>
        <v>31.032872722246601</v>
      </c>
      <c r="AB17" s="2">
        <f t="shared" si="5"/>
        <v>32.120147297761015</v>
      </c>
      <c r="AC17" s="2">
        <f t="shared" si="6"/>
        <v>34.206890541040103</v>
      </c>
      <c r="AD17" s="2">
        <f t="shared" si="7"/>
        <v>1.3054090411567716</v>
      </c>
      <c r="AE17" s="2">
        <f t="shared" si="8"/>
        <v>2.2706580250814872</v>
      </c>
    </row>
    <row r="18" spans="2:31" x14ac:dyDescent="0.2">
      <c r="B18" s="1">
        <f>[24]FormattedData!A30</f>
        <v>201</v>
      </c>
      <c r="C18" s="1" t="str">
        <f>VLOOKUP($B18,[24]TrtCodes!$B$11:I73,2)</f>
        <v>NDL</v>
      </c>
      <c r="D18" s="1">
        <f>VLOOKUP($B18,[24]TrtCodes!$B$11:J73,3)</f>
        <v>12</v>
      </c>
      <c r="E18" s="1">
        <f>VLOOKUP($B18,[24]TrtCodes!$B$11:K73,4)</f>
        <v>2</v>
      </c>
      <c r="F18" s="1">
        <f>VLOOKUP($B18,[24]TrtCodes!$B$11:L73,5)</f>
        <v>3</v>
      </c>
      <c r="G18" s="1">
        <f>VLOOKUP($B18,[24]TrtCodes!$B$11:M73,6)</f>
        <v>1</v>
      </c>
      <c r="H18" s="1">
        <f>VLOOKUP($B18,[24]TrtCodes!$B$11:N73,7)</f>
        <v>1</v>
      </c>
      <c r="I18" s="1">
        <f>[24]FormattedData!B30</f>
        <v>1</v>
      </c>
      <c r="J18" s="4">
        <f>[24]FormattedData!C30</f>
        <v>13.222</v>
      </c>
      <c r="K18" s="6">
        <f>$J$3+[24]FormattedData!D30*$J$4+$M$4*$J$5+[24]FormattedData!D30^2*$J$6+$M$5*$J$7</f>
        <v>28.695730465401098</v>
      </c>
      <c r="L18" s="6">
        <f>$J$3+[24]FormattedData!E30*$J$4+$M$4*$J$5+[24]FormattedData!E30^2*$J$6+$M$5*$J$7</f>
        <v>30.256586847776269</v>
      </c>
      <c r="M18" s="6">
        <f>$J$3+[24]FormattedData!F30*$J$4+$M$4*$J$5+[24]FormattedData!F30^2*$J$6+$M$5*$J$7</f>
        <v>29.575043639431964</v>
      </c>
      <c r="N18" s="6">
        <f>$J$3+[24]FormattedData!G30*$J$4+$M$4*$J$5+[24]FormattedData!G30^2*$J$6+$M$5*$J$7</f>
        <v>31.032957259322462</v>
      </c>
      <c r="O18" s="6">
        <f>$J$3+[24]FormattedData!H30*$J$4+$M$4*$J$5+[24]FormattedData!H30^2*$J$6+$M$5*$J$7</f>
        <v>29.086959005905239</v>
      </c>
      <c r="P18" s="6">
        <f>$J$3+[24]FormattedData!I30*$J$4+$M$4*$J$5+[24]FormattedData!I30^2*$J$6+$M$5*$J$7</f>
        <v>30.548042766140576</v>
      </c>
      <c r="Q18" s="6">
        <f>$J$3+[24]FormattedData!J30*$J$4+$M$4*$J$5+[24]FormattedData!J30^2*$J$6+$M$5*$J$7</f>
        <v>30.062071559510407</v>
      </c>
      <c r="R18" s="6">
        <f>$J$3+[24]FormattedData!K30*$J$4+$M$4*$J$5+[24]FormattedData!K30^2*$J$6+$M$5*$J$7</f>
        <v>31.032957259322462</v>
      </c>
      <c r="S18" s="6">
        <f>$J$3+[24]FormattedData!L30*$J$4+$M$4*$J$5+[24]FormattedData!L30^2*$J$6+$M$5*$J$7</f>
        <v>29.575043639431964</v>
      </c>
      <c r="T18" s="6">
        <f>$J$3+[24]FormattedData!M30*$J$4+$M$4*$J$5+[24]FormattedData!M30^2*$J$6+$M$5*$J$7</f>
        <v>31.032957259322462</v>
      </c>
      <c r="U18" s="6">
        <f>$J$3+[24]FormattedData!N30*$J$4+$M$4*$J$5+[24]FormattedData!N30^2*$J$6+$M$5*$J$7</f>
        <v>29.964750512570586</v>
      </c>
      <c r="V18" s="6">
        <f>$J$3+[24]FormattedData!O30*$J$4+$M$4*$J$5+[24]FormattedData!O30^2*$J$6+$M$5*$J$7</f>
        <v>30.548042766140576</v>
      </c>
      <c r="W18" s="5">
        <f t="shared" si="0"/>
        <v>30.117595248356338</v>
      </c>
      <c r="X18" s="4">
        <f t="shared" si="1"/>
        <v>0.22365136296215954</v>
      </c>
      <c r="Y18" s="3">
        <f t="shared" si="2"/>
        <v>28.695730465401098</v>
      </c>
      <c r="Z18" s="2">
        <f t="shared" si="3"/>
        <v>29.575043639431964</v>
      </c>
      <c r="AA18" s="3">
        <f t="shared" si="4"/>
        <v>30.159329203643338</v>
      </c>
      <c r="AB18" s="2">
        <f t="shared" si="5"/>
        <v>30.669271389436048</v>
      </c>
      <c r="AC18" s="2">
        <f t="shared" si="6"/>
        <v>31.032957259322462</v>
      </c>
      <c r="AD18" s="2">
        <f t="shared" si="7"/>
        <v>-0.42914787069770799</v>
      </c>
      <c r="AE18" s="2">
        <f t="shared" si="8"/>
        <v>-0.72486034190496262</v>
      </c>
    </row>
    <row r="19" spans="2:31" x14ac:dyDescent="0.2">
      <c r="B19" s="1">
        <f>[24]FormattedData!A32</f>
        <v>202</v>
      </c>
      <c r="C19" s="1" t="str">
        <f>VLOOKUP($B19,[24]TrtCodes!$B$11:I75,2)</f>
        <v>NTH</v>
      </c>
      <c r="D19" s="1">
        <f>VLOOKUP($B19,[24]TrtCodes!$B$11:J75,3)</f>
        <v>9</v>
      </c>
      <c r="E19" s="1">
        <f>VLOOKUP($B19,[24]TrtCodes!$B$11:K75,4)</f>
        <v>2</v>
      </c>
      <c r="F19" s="1">
        <f>VLOOKUP($B19,[24]TrtCodes!$B$11:L75,5)</f>
        <v>2</v>
      </c>
      <c r="G19" s="1">
        <f>VLOOKUP($B19,[24]TrtCodes!$B$11:M75,6)</f>
        <v>2</v>
      </c>
      <c r="H19" s="1">
        <f>VLOOKUP($B19,[24]TrtCodes!$B$11:N75,7)</f>
        <v>1</v>
      </c>
      <c r="I19" s="1">
        <f>[24]FormattedData!B32</f>
        <v>1</v>
      </c>
      <c r="J19" s="4">
        <f>[24]FormattedData!C32</f>
        <v>13.24</v>
      </c>
      <c r="K19" s="6">
        <f>$J$3+[24]FormattedData!D32*$J$4+$M$4*$J$5+[24]FormattedData!D32^2*$J$6+$M$5*$J$7</f>
        <v>35.444589601602615</v>
      </c>
      <c r="L19" s="6">
        <f>$J$3+[24]FormattedData!E32*$J$4+$M$4*$J$5+[24]FormattedData!E32^2*$J$6+$M$5*$J$7</f>
        <v>32.481360458178465</v>
      </c>
      <c r="M19" s="6">
        <f>$J$3+[24]FormattedData!F32*$J$4+$M$4*$J$5+[24]FormattedData!F32^2*$J$6+$M$5*$J$7</f>
        <v>30.936058897761949</v>
      </c>
      <c r="N19" s="6">
        <f>$J$3+[24]FormattedData!G32*$J$4+$M$4*$J$5+[24]FormattedData!G32^2*$J$6+$M$5*$J$7</f>
        <v>32.288789522657424</v>
      </c>
      <c r="O19" s="6">
        <f>$J$3+[24]FormattedData!H32*$J$4+$M$4*$J$5+[24]FormattedData!H32^2*$J$6+$M$5*$J$7</f>
        <v>31.903140429160203</v>
      </c>
      <c r="P19" s="6">
        <f>$J$3+[24]FormattedData!I32*$J$4+$M$4*$J$5+[24]FormattedData!I32^2*$J$6+$M$5*$J$7</f>
        <v>32.481360458178465</v>
      </c>
      <c r="Q19" s="6">
        <f>$J$3+[24]FormattedData!J32*$J$4+$M$4*$J$5+[24]FormattedData!J32^2*$J$6+$M$5*$J$7</f>
        <v>31.516815039056073</v>
      </c>
      <c r="R19" s="6">
        <f>$J$3+[24]FormattedData!K32*$J$4+$M$4*$J$5+[24]FormattedData!K32^2*$J$6+$M$5*$J$7</f>
        <v>31.129813352345042</v>
      </c>
      <c r="S19" s="6">
        <f>$J$3+[24]FormattedData!L32*$J$4+$M$4*$J$5+[24]FormattedData!L32^2*$J$6+$M$5*$J$7</f>
        <v>34.493147429238888</v>
      </c>
      <c r="T19" s="6">
        <f>$J$3+[24]FormattedData!M32*$J$4+$M$4*$J$5+[24]FormattedData!M32^2*$J$6+$M$5*$J$7</f>
        <v>30.548042766140576</v>
      </c>
      <c r="U19" s="6">
        <f>$J$3+[24]FormattedData!N32*$J$4+$M$4*$J$5+[24]FormattedData!N32^2*$J$6+$M$5*$J$7</f>
        <v>31.323398732776418</v>
      </c>
      <c r="V19" s="6">
        <f>$J$3+[24]FormattedData!O32*$J$4+$M$4*$J$5+[24]FormattedData!O32^2*$J$6+$M$5*$J$7</f>
        <v>31.710062271184</v>
      </c>
      <c r="W19" s="5">
        <f t="shared" si="0"/>
        <v>32.188048246523344</v>
      </c>
      <c r="X19" s="4">
        <f t="shared" si="1"/>
        <v>0.41729221834659325</v>
      </c>
      <c r="Y19" s="3">
        <f t="shared" si="2"/>
        <v>30.548042766140576</v>
      </c>
      <c r="Z19" s="2">
        <f t="shared" si="3"/>
        <v>31.275002387668575</v>
      </c>
      <c r="AA19" s="3">
        <f t="shared" si="4"/>
        <v>31.806601350172102</v>
      </c>
      <c r="AB19" s="2">
        <f t="shared" si="5"/>
        <v>32.481360458178465</v>
      </c>
      <c r="AC19" s="2">
        <f t="shared" si="6"/>
        <v>35.444589601602615</v>
      </c>
      <c r="AD19" s="2">
        <f t="shared" si="7"/>
        <v>1.3794637780328645</v>
      </c>
      <c r="AE19" s="2">
        <f t="shared" si="8"/>
        <v>1.4694445669718306</v>
      </c>
    </row>
    <row r="20" spans="2:31" x14ac:dyDescent="0.2">
      <c r="B20" s="1">
        <f>[24]FormattedData!A34</f>
        <v>203</v>
      </c>
      <c r="C20" s="1" t="str">
        <f>VLOOKUP($B20,[24]TrtCodes!$B$11:I77,2)</f>
        <v>FTH</v>
      </c>
      <c r="D20" s="1">
        <f>VLOOKUP($B20,[24]TrtCodes!$B$11:J77,3)</f>
        <v>3</v>
      </c>
      <c r="E20" s="1">
        <f>VLOOKUP($B20,[24]TrtCodes!$B$11:K77,4)</f>
        <v>1</v>
      </c>
      <c r="F20" s="1">
        <f>VLOOKUP($B20,[24]TrtCodes!$B$11:L77,5)</f>
        <v>2</v>
      </c>
      <c r="G20" s="1">
        <f>VLOOKUP($B20,[24]TrtCodes!$B$11:M77,6)</f>
        <v>2</v>
      </c>
      <c r="H20" s="1">
        <f>VLOOKUP($B20,[24]TrtCodes!$B$11:N77,7)</f>
        <v>1</v>
      </c>
      <c r="I20" s="1">
        <f>[24]FormattedData!B34</f>
        <v>1</v>
      </c>
      <c r="J20" s="4">
        <f>[24]FormattedData!C34</f>
        <v>13.257</v>
      </c>
      <c r="K20" s="6">
        <f>$J$3+[24]FormattedData!D34*$J$4+$M$4*$J$5+[24]FormattedData!D34^2*$J$6+$M$5*$J$7</f>
        <v>32.288789522657424</v>
      </c>
      <c r="L20" s="6">
        <f>$J$3+[24]FormattedData!E34*$J$4+$M$4*$J$5+[24]FormattedData!E34^2*$J$6+$M$5*$J$7</f>
        <v>33.249953458745324</v>
      </c>
      <c r="M20" s="6">
        <f>$J$3+[24]FormattedData!F34*$J$4+$M$4*$J$5+[24]FormattedData!F34^2*$J$6+$M$5*$J$7</f>
        <v>35.254639315433309</v>
      </c>
      <c r="N20" s="6">
        <f>$J$3+[24]FormattedData!G34*$J$4+$M$4*$J$5+[24]FormattedData!G34^2*$J$6+$M$5*$J$7</f>
        <v>32.86599510676534</v>
      </c>
      <c r="O20" s="6">
        <f>$J$3+[24]FormattedData!H34*$J$4+$M$4*$J$5+[24]FormattedData!H34^2*$J$6+$M$5*$J$7</f>
        <v>32.481360458178465</v>
      </c>
      <c r="P20" s="6">
        <f>$J$3+[24]FormattedData!I34*$J$4+$M$4*$J$5+[24]FormattedData!I34^2*$J$6+$M$5*$J$7</f>
        <v>32.769899847425513</v>
      </c>
      <c r="Q20" s="6">
        <f>$J$3+[24]FormattedData!J34*$J$4+$M$4*$J$5+[24]FormattedData!J34^2*$J$6+$M$5*$J$7</f>
        <v>31.903140429160203</v>
      </c>
      <c r="R20" s="6">
        <f>$J$3+[24]FormattedData!K34*$J$4+$M$4*$J$5+[24]FormattedData!K34^2*$J$6+$M$5*$J$7</f>
        <v>36.202700004762555</v>
      </c>
      <c r="S20" s="6">
        <f>$J$3+[24]FormattedData!L34*$J$4+$M$4*$J$5+[24]FormattedData!L34^2*$J$6+$M$5*$J$7</f>
        <v>32.673762319547762</v>
      </c>
      <c r="T20" s="6">
        <f>$J$3+[24]FormattedData!M34*$J$4+$M$4*$J$5+[24]FormattedData!M34^2*$J$6+$M$5*$J$7</f>
        <v>34.0158412728846</v>
      </c>
      <c r="U20" s="6">
        <f>$J$3+[24]FormattedData!N34*$J$4+$M$4*$J$5+[24]FormattedData!N34^2*$J$6+$M$5*$J$7</f>
        <v>32.288789522657424</v>
      </c>
      <c r="V20" s="6">
        <f>$J$3+[24]FormattedData!O34*$J$4+$M$4*$J$5+[24]FormattedData!O34^2*$J$6+$M$5*$J$7</f>
        <v>33.058058819831196</v>
      </c>
      <c r="W20" s="5">
        <f t="shared" si="0"/>
        <v>33.254410839837426</v>
      </c>
      <c r="X20" s="4">
        <f t="shared" si="1"/>
        <v>0.37257123888956289</v>
      </c>
      <c r="Y20" s="3">
        <f t="shared" si="2"/>
        <v>31.903140429160203</v>
      </c>
      <c r="Z20" s="2">
        <f t="shared" si="3"/>
        <v>32.433217724298203</v>
      </c>
      <c r="AA20" s="3">
        <f t="shared" si="4"/>
        <v>32.81794747709543</v>
      </c>
      <c r="AB20" s="2">
        <f t="shared" si="5"/>
        <v>33.44142541228014</v>
      </c>
      <c r="AC20" s="2">
        <f t="shared" si="6"/>
        <v>36.202700004762555</v>
      </c>
      <c r="AD20" s="2">
        <f t="shared" si="7"/>
        <v>1.4698752026203044</v>
      </c>
      <c r="AE20" s="2">
        <f t="shared" si="8"/>
        <v>1.505306184978819</v>
      </c>
    </row>
    <row r="21" spans="2:31" x14ac:dyDescent="0.2">
      <c r="B21" s="1">
        <f>[24]FormattedData!A36</f>
        <v>204</v>
      </c>
      <c r="C21" s="1" t="str">
        <f>VLOOKUP($B21,[24]TrtCodes!$B$11:I79,2)</f>
        <v>NDH</v>
      </c>
      <c r="D21" s="1">
        <f>VLOOKUP($B21,[24]TrtCodes!$B$11:J79,3)</f>
        <v>11</v>
      </c>
      <c r="E21" s="1">
        <f>VLOOKUP($B21,[24]TrtCodes!$B$11:K79,4)</f>
        <v>2</v>
      </c>
      <c r="F21" s="1">
        <f>VLOOKUP($B21,[24]TrtCodes!$B$11:L79,5)</f>
        <v>3</v>
      </c>
      <c r="G21" s="1">
        <f>VLOOKUP($B21,[24]TrtCodes!$B$11:M79,6)</f>
        <v>2</v>
      </c>
      <c r="H21" s="1">
        <f>VLOOKUP($B21,[24]TrtCodes!$B$11:N79,7)</f>
        <v>1</v>
      </c>
      <c r="I21" s="1">
        <f>[24]FormattedData!B36</f>
        <v>1</v>
      </c>
      <c r="J21" s="4">
        <f>[24]FormattedData!C36</f>
        <v>13.275</v>
      </c>
      <c r="K21" s="6">
        <f>$J$3+[24]FormattedData!D36*$J$4+$M$4*$J$5+[24]FormattedData!D36^2*$J$6+$M$5*$J$7</f>
        <v>30.742135369027125</v>
      </c>
      <c r="L21" s="6">
        <f>$J$3+[24]FormattedData!E36*$J$4+$M$4*$J$5+[24]FormattedData!E36^2*$J$6+$M$5*$J$7</f>
        <v>30.936058897761949</v>
      </c>
      <c r="M21" s="6">
        <f>$J$3+[24]FormattedData!F36*$J$4+$M$4*$J$5+[24]FormattedData!F36^2*$J$6+$M$5*$J$7</f>
        <v>31.710062271184</v>
      </c>
      <c r="N21" s="6">
        <f>$J$3+[24]FormattedData!G36*$J$4+$M$4*$J$5+[24]FormattedData!G36^2*$J$6+$M$5*$J$7</f>
        <v>31.420128020185217</v>
      </c>
      <c r="O21" s="6">
        <f>$J$3+[24]FormattedData!H36*$J$4+$M$4*$J$5+[24]FormattedData!H36^2*$J$6+$M$5*$J$7</f>
        <v>30.450933061890407</v>
      </c>
      <c r="P21" s="6">
        <f>$J$3+[24]FormattedData!I36*$J$4+$M$4*$J$5+[24]FormattedData!I36^2*$J$6+$M$5*$J$7</f>
        <v>31.806622484441064</v>
      </c>
      <c r="Q21" s="6">
        <f>$J$3+[24]FormattedData!J36*$J$4+$M$4*$J$5+[24]FormattedData!J36^2*$J$6+$M$5*$J$7</f>
        <v>30.450933061890407</v>
      </c>
      <c r="R21" s="6">
        <f>$J$3+[24]FormattedData!K36*$J$4+$M$4*$J$5+[24]FormattedData!K36^2*$J$6+$M$5*$J$7</f>
        <v>30.645110201852813</v>
      </c>
      <c r="S21" s="6">
        <f>$J$3+[24]FormattedData!L36*$J$4+$M$4*$J$5+[24]FormattedData!L36^2*$J$6+$M$5*$J$7</f>
        <v>31.032957259322462</v>
      </c>
      <c r="T21" s="6">
        <f>$J$3+[24]FormattedData!M36*$J$4+$M$4*$J$5+[24]FormattedData!M36^2*$J$6+$M$5*$J$7</f>
        <v>32.481360458178465</v>
      </c>
      <c r="U21" s="6">
        <f>$J$3+[24]FormattedData!N36*$J$4+$M$4*$J$5+[24]FormattedData!N36^2*$J$6+$M$5*$J$7</f>
        <v>30.062071559510407</v>
      </c>
      <c r="V21" s="6">
        <f>$J$3+[24]FormattedData!O36*$J$4+$M$4*$J$5+[24]FormattedData!O36^2*$J$6+$M$5*$J$7</f>
        <v>30.548042766140576</v>
      </c>
      <c r="W21" s="5">
        <f t="shared" si="0"/>
        <v>31.023867950948738</v>
      </c>
      <c r="X21" s="4">
        <f t="shared" si="1"/>
        <v>0.20232489924464209</v>
      </c>
      <c r="Y21" s="3">
        <f t="shared" si="2"/>
        <v>30.062071559510407</v>
      </c>
      <c r="Z21" s="2">
        <f t="shared" si="3"/>
        <v>30.523765340078032</v>
      </c>
      <c r="AA21" s="3">
        <f t="shared" si="4"/>
        <v>30.839097133394539</v>
      </c>
      <c r="AB21" s="2">
        <f t="shared" si="5"/>
        <v>31.492611582934913</v>
      </c>
      <c r="AC21" s="2">
        <f t="shared" si="6"/>
        <v>32.481360458178465</v>
      </c>
      <c r="AD21" s="2">
        <f t="shared" si="7"/>
        <v>0.79535158301692999</v>
      </c>
      <c r="AE21" s="2">
        <f t="shared" si="8"/>
        <v>7.01321448315122E-2</v>
      </c>
    </row>
    <row r="22" spans="2:31" x14ac:dyDescent="0.2">
      <c r="B22" s="1">
        <f>[24]FormattedData!A38</f>
        <v>205</v>
      </c>
      <c r="C22" s="1" t="str">
        <f>VLOOKUP($B22,[24]TrtCodes!$B$11:I81,2)</f>
        <v>FSH</v>
      </c>
      <c r="D22" s="1">
        <f>VLOOKUP($B22,[24]TrtCodes!$B$11:J81,3)</f>
        <v>1</v>
      </c>
      <c r="E22" s="1">
        <f>VLOOKUP($B22,[24]TrtCodes!$B$11:K81,4)</f>
        <v>1</v>
      </c>
      <c r="F22" s="1">
        <f>VLOOKUP($B22,[24]TrtCodes!$B$11:L81,5)</f>
        <v>1</v>
      </c>
      <c r="G22" s="1">
        <f>VLOOKUP($B22,[24]TrtCodes!$B$11:M81,6)</f>
        <v>2</v>
      </c>
      <c r="H22" s="1">
        <f>VLOOKUP($B22,[24]TrtCodes!$B$11:N81,7)</f>
        <v>2</v>
      </c>
      <c r="I22" s="1">
        <f>[24]FormattedData!B38</f>
        <v>1</v>
      </c>
      <c r="J22" s="4">
        <f>[24]FormattedData!C38</f>
        <v>13.292</v>
      </c>
      <c r="K22" s="6">
        <f>$J$3+[24]FormattedData!D38*$J$4+$M$4*$J$5+[24]FormattedData!D38^2*$J$6+$M$5*$J$7</f>
        <v>29.867387197092821</v>
      </c>
      <c r="L22" s="6">
        <f>$J$3+[24]FormattedData!E38*$J$4+$M$4*$J$5+[24]FormattedData!E38^2*$J$6+$M$5*$J$7</f>
        <v>31.226627176829702</v>
      </c>
      <c r="M22" s="6">
        <f>$J$3+[24]FormattedData!F38*$J$4+$M$4*$J$5+[24]FormattedData!F38^2*$J$6+$M$5*$J$7</f>
        <v>29.67253376052351</v>
      </c>
      <c r="N22" s="6">
        <f>$J$3+[24]FormattedData!G38*$J$4+$M$4*$J$5+[24]FormattedData!G38^2*$J$6+$M$5*$J$7</f>
        <v>30.256586847776269</v>
      </c>
      <c r="O22" s="6">
        <f>$J$3+[24]FormattedData!H38*$J$4+$M$4*$J$5+[24]FormattedData!H38^2*$J$6+$M$5*$J$7</f>
        <v>29.867387197092821</v>
      </c>
      <c r="P22" s="6">
        <f>$J$3+[24]FormattedData!I38*$J$4+$M$4*$J$5+[24]FormattedData!I38^2*$J$6+$M$5*$J$7</f>
        <v>30.450933061890407</v>
      </c>
      <c r="Q22" s="6">
        <f>$J$3+[24]FormattedData!J38*$J$4+$M$4*$J$5+[24]FormattedData!J38^2*$J$6+$M$5*$J$7</f>
        <v>29.769981613077135</v>
      </c>
      <c r="R22" s="6">
        <f>$J$3+[24]FormattedData!K38*$J$4+$M$4*$J$5+[24]FormattedData!K38^2*$J$6+$M$5*$J$7</f>
        <v>31.516815039056073</v>
      </c>
      <c r="S22" s="6">
        <f>$J$3+[24]FormattedData!L38*$J$4+$M$4*$J$5+[24]FormattedData!L38^2*$J$6+$M$5*$J$7</f>
        <v>30.645110201852813</v>
      </c>
      <c r="T22" s="6">
        <f>$J$3+[24]FormattedData!M38*$J$4+$M$4*$J$5+[24]FormattedData!M38^2*$J$6+$M$5*$J$7</f>
        <v>31.032957259322462</v>
      </c>
      <c r="U22" s="6">
        <f>$J$3+[24]FormattedData!N38*$J$4+$M$4*$J$5+[24]FormattedData!N38^2*$J$6+$M$5*$J$7</f>
        <v>30.353781089102299</v>
      </c>
      <c r="V22" s="6">
        <f>$J$3+[24]FormattedData!O38*$J$4+$M$4*$J$5+[24]FormattedData!O38^2*$J$6+$M$5*$J$7</f>
        <v>31.032957259322462</v>
      </c>
      <c r="W22" s="5">
        <f t="shared" si="0"/>
        <v>30.474421475244899</v>
      </c>
      <c r="X22" s="4">
        <f t="shared" si="1"/>
        <v>0.17931382753436476</v>
      </c>
      <c r="Y22" s="3">
        <f t="shared" si="2"/>
        <v>29.67253376052351</v>
      </c>
      <c r="Z22" s="2">
        <f t="shared" si="3"/>
        <v>29.867387197092821</v>
      </c>
      <c r="AA22" s="3">
        <f t="shared" si="4"/>
        <v>30.402357075496354</v>
      </c>
      <c r="AB22" s="2">
        <f t="shared" si="5"/>
        <v>31.032957259322462</v>
      </c>
      <c r="AC22" s="2">
        <f t="shared" si="6"/>
        <v>31.516815039056073</v>
      </c>
      <c r="AD22" s="2">
        <f t="shared" si="7"/>
        <v>0.26720146997324334</v>
      </c>
      <c r="AE22" s="2">
        <f t="shared" si="8"/>
        <v>-1.2495329064488305</v>
      </c>
    </row>
    <row r="23" spans="2:31" x14ac:dyDescent="0.2">
      <c r="B23" s="1">
        <f>[24]FormattedData!A40</f>
        <v>206</v>
      </c>
      <c r="C23" s="1" t="str">
        <f>VLOOKUP($B23,[24]TrtCodes!$B$11:I83,2)</f>
        <v>NSL</v>
      </c>
      <c r="D23" s="1">
        <f>VLOOKUP($B23,[24]TrtCodes!$B$11:J83,3)</f>
        <v>8</v>
      </c>
      <c r="E23" s="1">
        <f>VLOOKUP($B23,[24]TrtCodes!$B$11:K83,4)</f>
        <v>2</v>
      </c>
      <c r="F23" s="1">
        <f>VLOOKUP($B23,[24]TrtCodes!$B$11:L83,5)</f>
        <v>1</v>
      </c>
      <c r="G23" s="1">
        <f>VLOOKUP($B23,[24]TrtCodes!$B$11:M83,6)</f>
        <v>1</v>
      </c>
      <c r="H23" s="1">
        <f>VLOOKUP($B23,[24]TrtCodes!$B$11:N83,7)</f>
        <v>2</v>
      </c>
      <c r="I23" s="1">
        <f>[24]FormattedData!B40</f>
        <v>1</v>
      </c>
      <c r="J23" s="4">
        <f>[24]FormattedData!C40</f>
        <v>13.308999999999999</v>
      </c>
      <c r="K23" s="6">
        <f>$J$3+[24]FormattedData!D40*$J$4+$M$4*$J$5+[24]FormattedData!D40^2*$J$6+$M$5*$J$7</f>
        <v>33.633235514118404</v>
      </c>
      <c r="L23" s="6">
        <f>$J$3+[24]FormattedData!E40*$J$4+$M$4*$J$5+[24]FormattedData!E40^2*$J$6+$M$5*$J$7</f>
        <v>32.288789522657424</v>
      </c>
      <c r="M23" s="6">
        <f>$J$3+[24]FormattedData!F40*$J$4+$M$4*$J$5+[24]FormattedData!F40^2*$J$6+$M$5*$J$7</f>
        <v>31.226627176829702</v>
      </c>
      <c r="N23" s="6">
        <f>$J$3+[24]FormattedData!G40*$J$4+$M$4*$J$5+[24]FormattedData!G40^2*$J$6+$M$5*$J$7</f>
        <v>32.962048097567234</v>
      </c>
      <c r="O23" s="6">
        <f>$J$3+[24]FormattedData!H40*$J$4+$M$4*$J$5+[24]FormattedData!H40^2*$J$6+$M$5*$J$7</f>
        <v>33.34583737539549</v>
      </c>
      <c r="P23" s="6">
        <f>$J$3+[24]FormattedData!I40*$J$4+$M$4*$J$5+[24]FormattedData!I40^2*$J$6+$M$5*$J$7</f>
        <v>33.633235514118404</v>
      </c>
      <c r="Q23" s="6">
        <f>$J$3+[24]FormattedData!J40*$J$4+$M$4*$J$5+[24]FormattedData!J40^2*$J$6+$M$5*$J$7</f>
        <v>33.154027273557219</v>
      </c>
      <c r="R23" s="6">
        <f>$J$3+[24]FormattedData!K40*$J$4+$M$4*$J$5+[24]FormattedData!K40^2*$J$6+$M$5*$J$7</f>
        <v>32.481360458178465</v>
      </c>
      <c r="S23" s="6">
        <f>$J$3+[24]FormattedData!L40*$J$4+$M$4*$J$5+[24]FormattedData!L40^2*$J$6+$M$5*$J$7</f>
        <v>34.874231520639547</v>
      </c>
      <c r="T23" s="6">
        <f>$J$3+[24]FormattedData!M40*$J$4+$M$4*$J$5+[24]FormattedData!M40^2*$J$6+$M$5*$J$7</f>
        <v>35.918725617612061</v>
      </c>
      <c r="U23" s="6">
        <f>$J$3+[24]FormattedData!N40*$J$4+$M$4*$J$5+[24]FormattedData!N40^2*$J$6+$M$5*$J$7</f>
        <v>34.874231520639547</v>
      </c>
      <c r="V23" s="6">
        <f>$J$3+[24]FormattedData!O40*$J$4+$M$4*$J$5+[24]FormattedData!O40^2*$J$6+$M$5*$J$7</f>
        <v>32.288789522657424</v>
      </c>
      <c r="W23" s="5">
        <f t="shared" si="0"/>
        <v>33.390094926164245</v>
      </c>
      <c r="X23" s="4">
        <f t="shared" si="1"/>
        <v>0.38029673124533342</v>
      </c>
      <c r="Y23" s="3">
        <f t="shared" si="2"/>
        <v>31.226627176829702</v>
      </c>
      <c r="Z23" s="2">
        <f t="shared" si="3"/>
        <v>32.433217724298203</v>
      </c>
      <c r="AA23" s="3">
        <f t="shared" si="4"/>
        <v>33.249932324476354</v>
      </c>
      <c r="AB23" s="2">
        <f t="shared" si="5"/>
        <v>33.943484515748693</v>
      </c>
      <c r="AC23" s="2">
        <f t="shared" si="6"/>
        <v>35.918725617612061</v>
      </c>
      <c r="AD23" s="2">
        <f t="shared" si="7"/>
        <v>0.43395921203984328</v>
      </c>
      <c r="AE23" s="2">
        <f t="shared" si="8"/>
        <v>-4.8822987222110203E-2</v>
      </c>
    </row>
    <row r="24" spans="2:31" x14ac:dyDescent="0.2">
      <c r="B24" s="1">
        <f>[24]FormattedData!A42</f>
        <v>207</v>
      </c>
      <c r="C24" s="1" t="str">
        <f>VLOOKUP($B24,[24]TrtCodes!$B$11:I85,2)</f>
        <v>FTL</v>
      </c>
      <c r="D24" s="1">
        <f>VLOOKUP($B24,[24]TrtCodes!$B$11:J85,3)</f>
        <v>4</v>
      </c>
      <c r="E24" s="1">
        <f>VLOOKUP($B24,[24]TrtCodes!$B$11:K85,4)</f>
        <v>1</v>
      </c>
      <c r="F24" s="1">
        <f>VLOOKUP($B24,[24]TrtCodes!$B$11:L85,5)</f>
        <v>2</v>
      </c>
      <c r="G24" s="1">
        <f>VLOOKUP($B24,[24]TrtCodes!$B$11:M85,6)</f>
        <v>1</v>
      </c>
      <c r="H24" s="1">
        <f>VLOOKUP($B24,[24]TrtCodes!$B$11:N85,7)</f>
        <v>2</v>
      </c>
      <c r="I24" s="1">
        <f>[24]FormattedData!B42</f>
        <v>1</v>
      </c>
      <c r="J24" s="4">
        <f>[24]FormattedData!C42</f>
        <v>13.327</v>
      </c>
      <c r="K24" s="6">
        <f>$J$3+[24]FormattedData!D42*$J$4+$M$4*$J$5+[24]FormattedData!D42^2*$J$6+$M$5*$J$7</f>
        <v>32.096049512984678</v>
      </c>
      <c r="L24" s="6">
        <f>$J$3+[24]FormattedData!E42*$J$4+$M$4*$J$5+[24]FormattedData!E42^2*$J$6+$M$5*$J$7</f>
        <v>31.032957259322462</v>
      </c>
      <c r="M24" s="6">
        <f>$J$3+[24]FormattedData!F42*$J$4+$M$4*$J$5+[24]FormattedData!F42^2*$J$6+$M$5*$J$7</f>
        <v>30.353781089102299</v>
      </c>
      <c r="N24" s="6">
        <f>$J$3+[24]FormattedData!G42*$J$4+$M$4*$J$5+[24]FormattedData!G42^2*$J$6+$M$5*$J$7</f>
        <v>30.936058897761949</v>
      </c>
      <c r="O24" s="6">
        <f>$J$3+[24]FormattedData!H42*$J$4+$M$4*$J$5+[24]FormattedData!H42^2*$J$6+$M$5*$J$7</f>
        <v>30.062071559510407</v>
      </c>
      <c r="P24" s="6">
        <f>$J$3+[24]FormattedData!I42*$J$4+$M$4*$J$5+[24]FormattedData!I42^2*$J$6+$M$5*$J$7</f>
        <v>32.577582523132079</v>
      </c>
      <c r="Q24" s="6">
        <f>$J$3+[24]FormattedData!J42*$J$4+$M$4*$J$5+[24]FormattedData!J42^2*$J$6+$M$5*$J$7</f>
        <v>30.062071559510407</v>
      </c>
      <c r="R24" s="6">
        <f>$J$3+[24]FormattedData!K42*$J$4+$M$4*$J$5+[24]FormattedData!K42^2*$J$6+$M$5*$J$7</f>
        <v>31.226627176829702</v>
      </c>
      <c r="S24" s="6">
        <f>$J$3+[24]FormattedData!L42*$J$4+$M$4*$J$5+[24]FormattedData!L42^2*$J$6+$M$5*$J$7</f>
        <v>31.613459789389005</v>
      </c>
      <c r="T24" s="6">
        <f>$J$3+[24]FormattedData!M42*$J$4+$M$4*$J$5+[24]FormattedData!M42^2*$J$6+$M$5*$J$7</f>
        <v>31.323398732776418</v>
      </c>
      <c r="U24" s="6">
        <f>$J$3+[24]FormattedData!N42*$J$4+$M$4*$J$5+[24]FormattedData!N42^2*$J$6+$M$5*$J$7</f>
        <v>31.710062271184</v>
      </c>
      <c r="V24" s="6">
        <f>$J$3+[24]FormattedData!O42*$J$4+$M$4*$J$5+[24]FormattedData!O42^2*$J$6+$M$5*$J$7</f>
        <v>31.710062271184</v>
      </c>
      <c r="W24" s="5">
        <f t="shared" si="0"/>
        <v>31.225348553557286</v>
      </c>
      <c r="X24" s="4">
        <f t="shared" si="1"/>
        <v>0.22702884843944124</v>
      </c>
      <c r="Y24" s="3">
        <f t="shared" si="2"/>
        <v>30.062071559510407</v>
      </c>
      <c r="Z24" s="2">
        <f t="shared" si="3"/>
        <v>30.790489445597036</v>
      </c>
      <c r="AA24" s="3">
        <f t="shared" si="4"/>
        <v>31.27501295480306</v>
      </c>
      <c r="AB24" s="2">
        <f t="shared" si="5"/>
        <v>31.710062271184</v>
      </c>
      <c r="AC24" s="2">
        <f t="shared" si="6"/>
        <v>32.577582523132079</v>
      </c>
      <c r="AD24" s="2">
        <f t="shared" si="7"/>
        <v>-9.460887548965205E-2</v>
      </c>
      <c r="AE24" s="2">
        <f t="shared" si="8"/>
        <v>-0.61478235658870606</v>
      </c>
    </row>
    <row r="25" spans="2:31" x14ac:dyDescent="0.2">
      <c r="B25" s="1">
        <f>[24]FormattedData!A44</f>
        <v>208</v>
      </c>
      <c r="C25" s="1" t="str">
        <f>VLOOKUP($B25,[24]TrtCodes!$B$11:I87,2)</f>
        <v>FSL</v>
      </c>
      <c r="D25" s="1">
        <f>VLOOKUP($B25,[24]TrtCodes!$B$11:J87,3)</f>
        <v>2</v>
      </c>
      <c r="E25" s="1">
        <f>VLOOKUP($B25,[24]TrtCodes!$B$11:K87,4)</f>
        <v>1</v>
      </c>
      <c r="F25" s="1">
        <f>VLOOKUP($B25,[24]TrtCodes!$B$11:L87,5)</f>
        <v>1</v>
      </c>
      <c r="G25" s="1">
        <f>VLOOKUP($B25,[24]TrtCodes!$B$11:M87,6)</f>
        <v>1</v>
      </c>
      <c r="H25" s="1">
        <f>VLOOKUP($B25,[24]TrtCodes!$B$11:N87,7)</f>
        <v>2</v>
      </c>
      <c r="I25" s="1">
        <f>[24]FormattedData!B44</f>
        <v>1</v>
      </c>
      <c r="J25" s="4">
        <f>[24]FormattedData!C44</f>
        <v>13.343999999999999</v>
      </c>
      <c r="K25" s="6">
        <f>$J$3+[24]FormattedData!D44*$J$4+$M$4*$J$5+[24]FormattedData!D44^2*$J$6+$M$5*$J$7</f>
        <v>40.601966538051222</v>
      </c>
      <c r="L25" s="6">
        <f>$J$3+[24]FormattedData!E44*$J$4+$M$4*$J$5+[24]FormattedData!E44^2*$J$6+$M$5*$J$7</f>
        <v>34.206890541040103</v>
      </c>
      <c r="M25" s="6">
        <f>$J$3+[24]FormattedData!F44*$J$4+$M$4*$J$5+[24]FormattedData!F44^2*$J$6+$M$5*$J$7</f>
        <v>33.34583737539549</v>
      </c>
      <c r="N25" s="6">
        <f>$J$3+[24]FormattedData!G44*$J$4+$M$4*$J$5+[24]FormattedData!G44^2*$J$6+$M$5*$J$7</f>
        <v>31.613459789389005</v>
      </c>
      <c r="O25" s="6">
        <f>$J$3+[24]FormattedData!H44*$J$4+$M$4*$J$5+[24]FormattedData!H44^2*$J$6+$M$5*$J$7</f>
        <v>36.013426015200153</v>
      </c>
      <c r="P25" s="6">
        <f>$J$3+[24]FormattedData!I44*$J$4+$M$4*$J$5+[24]FormattedData!I44^2*$J$6+$M$5*$J$7</f>
        <v>32.192440652090021</v>
      </c>
      <c r="Q25" s="6">
        <f>$J$3+[24]FormattedData!J44*$J$4+$M$4*$J$5+[24]FormattedData!J44^2*$J$6+$M$5*$J$7</f>
        <v>34.206890541040103</v>
      </c>
      <c r="R25" s="6">
        <f>$J$3+[24]FormattedData!K44*$J$4+$M$4*$J$5+[24]FormattedData!K44^2*$J$6+$M$5*$J$7</f>
        <v>32.769899847425513</v>
      </c>
      <c r="S25" s="6">
        <f>$J$3+[24]FormattedData!L44*$J$4+$M$4*$J$5+[24]FormattedData!L44^2*$J$6+$M$5*$J$7</f>
        <v>31.710062271184</v>
      </c>
      <c r="T25" s="6">
        <f>$J$3+[24]FormattedData!M44*$J$4+$M$4*$J$5+[24]FormattedData!M44^2*$J$6+$M$5*$J$7</f>
        <v>32.288789522657424</v>
      </c>
      <c r="U25" s="6">
        <f>$J$3+[24]FormattedData!N44*$J$4+$M$4*$J$5+[24]FormattedData!N44^2*$J$6+$M$5*$J$7</f>
        <v>33.058058819831196</v>
      </c>
      <c r="V25" s="6">
        <f>$J$3+[24]FormattedData!O44*$J$4+$M$4*$J$5+[24]FormattedData!O44^2*$J$6+$M$5*$J$7</f>
        <v>31.226627176829702</v>
      </c>
      <c r="W25" s="5">
        <f t="shared" si="0"/>
        <v>33.602862424177836</v>
      </c>
      <c r="X25" s="4">
        <f t="shared" si="1"/>
        <v>0.74613986944985899</v>
      </c>
      <c r="Y25" s="3">
        <f t="shared" si="2"/>
        <v>31.226627176829702</v>
      </c>
      <c r="Z25" s="2">
        <f t="shared" si="3"/>
        <v>32.071846056863514</v>
      </c>
      <c r="AA25" s="3">
        <f t="shared" si="4"/>
        <v>32.913979333628355</v>
      </c>
      <c r="AB25" s="2">
        <f t="shared" si="5"/>
        <v>34.206890541040103</v>
      </c>
      <c r="AC25" s="2">
        <f t="shared" si="6"/>
        <v>40.601966538051222</v>
      </c>
      <c r="AD25" s="2">
        <f t="shared" si="7"/>
        <v>2.0432102292216681</v>
      </c>
      <c r="AE25" s="2">
        <f t="shared" si="8"/>
        <v>4.799108819494684</v>
      </c>
    </row>
    <row r="26" spans="2:31" x14ac:dyDescent="0.2">
      <c r="B26" s="1">
        <f>[24]FormattedData!A62</f>
        <v>301</v>
      </c>
      <c r="C26" s="1" t="str">
        <f>VLOOKUP($B26,[24]TrtCodes!$B$11:I105,2)</f>
        <v>NTL</v>
      </c>
      <c r="D26" s="1">
        <f>VLOOKUP($B26,[24]TrtCodes!$B$11:J105,3)</f>
        <v>10</v>
      </c>
      <c r="E26" s="1">
        <f>VLOOKUP($B26,[24]TrtCodes!$B$11:K105,4)</f>
        <v>2</v>
      </c>
      <c r="F26" s="1">
        <f>VLOOKUP($B26,[24]TrtCodes!$B$11:L105,5)</f>
        <v>2</v>
      </c>
      <c r="G26" s="1">
        <f>VLOOKUP($B26,[24]TrtCodes!$B$11:M105,6)</f>
        <v>1</v>
      </c>
      <c r="H26" s="1">
        <f>VLOOKUP($B26,[24]TrtCodes!$B$11:N105,7)</f>
        <v>3</v>
      </c>
      <c r="I26" s="1">
        <f>[24]FormattedData!B62</f>
        <v>1</v>
      </c>
      <c r="J26" s="4">
        <f>[24]FormattedData!C62</f>
        <v>13.473000000000001</v>
      </c>
      <c r="K26" s="6">
        <f>$J$3+[24]FormattedData!D62*$J$4+$M$4*$J$5+[24]FormattedData!D62^2*$J$6+$M$5*$J$7</f>
        <v>31.226627176829702</v>
      </c>
      <c r="L26" s="6">
        <f>$J$3+[24]FormattedData!E62*$J$4+$M$4*$J$5+[24]FormattedData!E62^2*$J$6+$M$5*$J$7</f>
        <v>31.710062271184</v>
      </c>
      <c r="M26" s="6">
        <f>$J$3+[24]FormattedData!F62*$J$4+$M$4*$J$5+[24]FormattedData!F62^2*$J$6+$M$5*$J$7</f>
        <v>30.645110201852813</v>
      </c>
      <c r="N26" s="6">
        <f>$J$3+[24]FormattedData!G62*$J$4+$M$4*$J$5+[24]FormattedData!G62^2*$J$6+$M$5*$J$7</f>
        <v>31.903140429160203</v>
      </c>
      <c r="O26" s="6">
        <f>$J$3+[24]FormattedData!H62*$J$4+$M$4*$J$5+[24]FormattedData!H62^2*$J$6+$M$5*$J$7</f>
        <v>30.645110201852813</v>
      </c>
      <c r="P26" s="6">
        <f>$J$3+[24]FormattedData!I62*$J$4+$M$4*$J$5+[24]FormattedData!I62^2*$J$6+$M$5*$J$7</f>
        <v>30.645110201852813</v>
      </c>
      <c r="Q26" s="6">
        <f>$J$3+[24]FormattedData!J62*$J$4+$M$4*$J$5+[24]FormattedData!J62^2*$J$6+$M$5*$J$7</f>
        <v>29.867387197092821</v>
      </c>
      <c r="R26" s="6">
        <f>$J$3+[24]FormattedData!K62*$J$4+$M$4*$J$5+[24]FormattedData!K62^2*$J$6+$M$5*$J$7</f>
        <v>30.450933061890407</v>
      </c>
      <c r="S26" s="6">
        <f>$J$3+[24]FormattedData!L62*$J$4+$M$4*$J$5+[24]FormattedData!L62^2*$J$6+$M$5*$J$7</f>
        <v>30.159350337912301</v>
      </c>
      <c r="T26" s="6">
        <f>$J$3+[24]FormattedData!M62*$J$4+$M$4*$J$5+[24]FormattedData!M62^2*$J$6+$M$5*$J$7</f>
        <v>30.062071559510407</v>
      </c>
      <c r="U26" s="6">
        <f>$J$3+[24]FormattedData!N62*$J$4+$M$4*$J$5+[24]FormattedData!N62^2*$J$6+$M$5*$J$7</f>
        <v>29.867387197092821</v>
      </c>
      <c r="V26" s="6">
        <f>$J$3+[24]FormattedData!O62*$J$4+$M$4*$J$5+[24]FormattedData!O62^2*$J$6+$M$5*$J$7</f>
        <v>29.769981613077135</v>
      </c>
      <c r="W26" s="5">
        <f t="shared" si="0"/>
        <v>30.579355954109019</v>
      </c>
      <c r="X26" s="4">
        <f t="shared" si="1"/>
        <v>0.20582795033835019</v>
      </c>
      <c r="Y26" s="3">
        <f t="shared" si="2"/>
        <v>29.769981613077135</v>
      </c>
      <c r="Z26" s="2">
        <f t="shared" si="3"/>
        <v>30.01340046890601</v>
      </c>
      <c r="AA26" s="3">
        <f t="shared" si="4"/>
        <v>30.54802163187161</v>
      </c>
      <c r="AB26" s="2">
        <f t="shared" si="5"/>
        <v>30.790489445597036</v>
      </c>
      <c r="AC26" s="2">
        <f t="shared" si="6"/>
        <v>31.903140429160203</v>
      </c>
      <c r="AD26" s="2">
        <f t="shared" si="7"/>
        <v>0.77370356503729631</v>
      </c>
      <c r="AE26" s="2">
        <f t="shared" si="8"/>
        <v>-0.41964434351800683</v>
      </c>
    </row>
    <row r="27" spans="2:31" x14ac:dyDescent="0.2">
      <c r="B27" s="1">
        <f>[24]FormattedData!A64</f>
        <v>302</v>
      </c>
      <c r="C27" s="1" t="str">
        <f>VLOOKUP($B27,[24]TrtCodes!$B$11:I107,2)</f>
        <v>FTL</v>
      </c>
      <c r="D27" s="1">
        <f>VLOOKUP($B27,[24]TrtCodes!$B$11:J107,3)</f>
        <v>4</v>
      </c>
      <c r="E27" s="1">
        <f>VLOOKUP($B27,[24]TrtCodes!$B$11:K107,4)</f>
        <v>1</v>
      </c>
      <c r="F27" s="1">
        <f>VLOOKUP($B27,[24]TrtCodes!$B$11:L107,5)</f>
        <v>2</v>
      </c>
      <c r="G27" s="1">
        <f>VLOOKUP($B27,[24]TrtCodes!$B$11:M107,6)</f>
        <v>1</v>
      </c>
      <c r="H27" s="1">
        <f>VLOOKUP($B27,[24]TrtCodes!$B$11:N107,7)</f>
        <v>3</v>
      </c>
      <c r="I27" s="1">
        <f>[24]FormattedData!B64</f>
        <v>1</v>
      </c>
      <c r="J27" s="4">
        <f>[24]FormattedData!C64</f>
        <v>13.491</v>
      </c>
      <c r="K27" s="6">
        <f>$J$3+[24]FormattedData!D64*$J$4+$M$4*$J$5+[24]FormattedData!D64^2*$J$6+$M$5*$J$7</f>
        <v>30.062071559510407</v>
      </c>
      <c r="L27" s="6">
        <f>$J$3+[24]FormattedData!E64*$J$4+$M$4*$J$5+[24]FormattedData!E64^2*$J$6+$M$5*$J$7</f>
        <v>31.710062271184</v>
      </c>
      <c r="M27" s="6">
        <f>$J$3+[24]FormattedData!F64*$J$4+$M$4*$J$5+[24]FormattedData!F64^2*$J$6+$M$5*$J$7</f>
        <v>30.548042766140576</v>
      </c>
      <c r="N27" s="6">
        <f>$J$3+[24]FormattedData!G64*$J$4+$M$4*$J$5+[24]FormattedData!G64^2*$J$6+$M$5*$J$7</f>
        <v>32.962048097567234</v>
      </c>
      <c r="O27" s="6">
        <f>$J$3+[24]FormattedData!H64*$J$4+$M$4*$J$5+[24]FormattedData!H64^2*$J$6+$M$5*$J$7</f>
        <v>32.288789522657424</v>
      </c>
      <c r="P27" s="6">
        <f>$J$3+[24]FormattedData!I64*$J$4+$M$4*$J$5+[24]FormattedData!I64^2*$J$6+$M$5*$J$7</f>
        <v>32.962048097567234</v>
      </c>
      <c r="Q27" s="6">
        <f>$J$3+[24]FormattedData!J64*$J$4+$M$4*$J$5+[24]FormattedData!J64^2*$J$6+$M$5*$J$7</f>
        <v>31.032957259322462</v>
      </c>
      <c r="R27" s="6">
        <f>$J$3+[24]FormattedData!K64*$J$4+$M$4*$J$5+[24]FormattedData!K64^2*$J$6+$M$5*$J$7</f>
        <v>34.206890541040103</v>
      </c>
      <c r="S27" s="6">
        <f>$J$3+[24]FormattedData!L64*$J$4+$M$4*$J$5+[24]FormattedData!L64^2*$J$6+$M$5*$J$7</f>
        <v>30.839118267663501</v>
      </c>
      <c r="T27" s="6">
        <f>$J$3+[24]FormattedData!M64*$J$4+$M$4*$J$5+[24]FormattedData!M64^2*$J$6+$M$5*$J$7</f>
        <v>32.481360458178465</v>
      </c>
      <c r="U27" s="6">
        <f>$J$3+[24]FormattedData!N64*$J$4+$M$4*$J$5+[24]FormattedData!N64^2*$J$6+$M$5*$J$7</f>
        <v>30.936058897761949</v>
      </c>
      <c r="V27" s="6">
        <f>$J$3+[24]FormattedData!O64*$J$4+$M$4*$J$5+[24]FormattedData!O64^2*$J$6+$M$5*$J$7</f>
        <v>31.99961610534141</v>
      </c>
      <c r="W27" s="5">
        <f t="shared" si="0"/>
        <v>31.835755320327902</v>
      </c>
      <c r="X27" s="4">
        <f t="shared" si="1"/>
        <v>0.34897501057607638</v>
      </c>
      <c r="Y27" s="3">
        <f t="shared" si="2"/>
        <v>30.062071559510407</v>
      </c>
      <c r="Z27" s="2">
        <f t="shared" si="3"/>
        <v>30.911823740237338</v>
      </c>
      <c r="AA27" s="3">
        <f t="shared" si="4"/>
        <v>31.854839188262705</v>
      </c>
      <c r="AB27" s="2">
        <f t="shared" si="5"/>
        <v>32.601532368025659</v>
      </c>
      <c r="AC27" s="2">
        <f t="shared" si="6"/>
        <v>34.206890541040103</v>
      </c>
      <c r="AD27" s="2">
        <f t="shared" si="7"/>
        <v>0.40769185458186186</v>
      </c>
      <c r="AE27" s="2">
        <f t="shared" si="8"/>
        <v>-0.36275216044674341</v>
      </c>
    </row>
    <row r="28" spans="2:31" x14ac:dyDescent="0.2">
      <c r="B28" s="1">
        <f>[24]FormattedData!A66</f>
        <v>303</v>
      </c>
      <c r="C28" s="1" t="str">
        <f>VLOOKUP($B28,[24]TrtCodes!$B$11:I109,2)</f>
        <v>NSL</v>
      </c>
      <c r="D28" s="1">
        <f>VLOOKUP($B28,[24]TrtCodes!$B$11:J109,3)</f>
        <v>8</v>
      </c>
      <c r="E28" s="1">
        <f>VLOOKUP($B28,[24]TrtCodes!$B$11:K109,4)</f>
        <v>2</v>
      </c>
      <c r="F28" s="1">
        <f>VLOOKUP($B28,[24]TrtCodes!$B$11:L109,5)</f>
        <v>1</v>
      </c>
      <c r="G28" s="1">
        <f>VLOOKUP($B28,[24]TrtCodes!$B$11:M109,6)</f>
        <v>1</v>
      </c>
      <c r="H28" s="1">
        <f>VLOOKUP($B28,[24]TrtCodes!$B$11:N109,7)</f>
        <v>3</v>
      </c>
      <c r="I28" s="1">
        <f>[24]FormattedData!B66</f>
        <v>1</v>
      </c>
      <c r="J28" s="4">
        <f>[24]FormattedData!C66</f>
        <v>13.507999999999999</v>
      </c>
      <c r="K28" s="6">
        <f>$J$3+[24]FormattedData!D66*$J$4+$M$4*$J$5+[24]FormattedData!D66^2*$J$6+$M$5*$J$7</f>
        <v>31.806622484441064</v>
      </c>
      <c r="L28" s="6">
        <f>$J$3+[24]FormattedData!E66*$J$4+$M$4*$J$5+[24]FormattedData!E66^2*$J$6+$M$5*$J$7</f>
        <v>31.129813352345042</v>
      </c>
      <c r="M28" s="6">
        <f>$J$3+[24]FormattedData!F66*$J$4+$M$4*$J$5+[24]FormattedData!F66^2*$J$6+$M$5*$J$7</f>
        <v>31.516815039056073</v>
      </c>
      <c r="N28" s="6">
        <f>$J$3+[24]FormattedData!G66*$J$4+$M$4*$J$5+[24]FormattedData!G66^2*$J$6+$M$5*$J$7</f>
        <v>32.288789522657424</v>
      </c>
      <c r="O28" s="6">
        <f>$J$3+[24]FormattedData!H66*$J$4+$M$4*$J$5+[24]FormattedData!H66^2*$J$6+$M$5*$J$7</f>
        <v>32.481360458178465</v>
      </c>
      <c r="P28" s="6">
        <f>$J$3+[24]FormattedData!I66*$J$4+$M$4*$J$5+[24]FormattedData!I66^2*$J$6+$M$5*$J$7</f>
        <v>33.728950356616856</v>
      </c>
      <c r="Q28" s="6">
        <f>$J$3+[24]FormattedData!J66*$J$4+$M$4*$J$5+[24]FormattedData!J66^2*$J$6+$M$5*$J$7</f>
        <v>32.096049512984678</v>
      </c>
      <c r="R28" s="6">
        <f>$J$3+[24]FormattedData!K66*$J$4+$M$4*$J$5+[24]FormattedData!K66^2*$J$6+$M$5*$J$7</f>
        <v>33.34583737539549</v>
      </c>
      <c r="S28" s="6">
        <f>$J$3+[24]FormattedData!L66*$J$4+$M$4*$J$5+[24]FormattedData!L66^2*$J$6+$M$5*$J$7</f>
        <v>32.288789522657424</v>
      </c>
      <c r="T28" s="6">
        <f>$J$3+[24]FormattedData!M66*$J$4+$M$4*$J$5+[24]FormattedData!M66^2*$J$6+$M$5*$J$7</f>
        <v>34.11138704123131</v>
      </c>
      <c r="U28" s="6">
        <f>$J$3+[24]FormattedData!N66*$J$4+$M$4*$J$5+[24]FormattedData!N66^2*$J$6+$M$5*$J$7</f>
        <v>30.839118267663501</v>
      </c>
      <c r="V28" s="6">
        <f>$J$3+[24]FormattedData!O66*$J$4+$M$4*$J$5+[24]FormattedData!O66^2*$J$6+$M$5*$J$7</f>
        <v>32.288789522657424</v>
      </c>
      <c r="W28" s="5">
        <f t="shared" si="0"/>
        <v>32.326860204657066</v>
      </c>
      <c r="X28" s="4">
        <f t="shared" si="1"/>
        <v>0.28661183003010521</v>
      </c>
      <c r="Y28" s="3">
        <f t="shared" si="2"/>
        <v>30.839118267663501</v>
      </c>
      <c r="Z28" s="2">
        <f t="shared" si="3"/>
        <v>31.734170623094816</v>
      </c>
      <c r="AA28" s="3">
        <f t="shared" si="4"/>
        <v>32.288789522657424</v>
      </c>
      <c r="AB28" s="2">
        <f t="shared" si="5"/>
        <v>32.697479687482719</v>
      </c>
      <c r="AC28" s="2">
        <f t="shared" si="6"/>
        <v>34.11138704123131</v>
      </c>
      <c r="AD28" s="2">
        <f t="shared" si="7"/>
        <v>0.42444423014103005</v>
      </c>
      <c r="AE28" s="2">
        <f t="shared" si="8"/>
        <v>-0.37762539361452463</v>
      </c>
    </row>
    <row r="29" spans="2:31" x14ac:dyDescent="0.2">
      <c r="B29" s="1">
        <f>[24]FormattedData!A68</f>
        <v>304</v>
      </c>
      <c r="C29" s="1" t="str">
        <f>VLOOKUP($B29,[24]TrtCodes!$B$11:I111,2)</f>
        <v>FSL</v>
      </c>
      <c r="D29" s="1">
        <f>VLOOKUP($B29,[24]TrtCodes!$B$11:J111,3)</f>
        <v>2</v>
      </c>
      <c r="E29" s="1">
        <f>VLOOKUP($B29,[24]TrtCodes!$B$11:K111,4)</f>
        <v>1</v>
      </c>
      <c r="F29" s="1">
        <f>VLOOKUP($B29,[24]TrtCodes!$B$11:L111,5)</f>
        <v>1</v>
      </c>
      <c r="G29" s="1">
        <f>VLOOKUP($B29,[24]TrtCodes!$B$11:M111,6)</f>
        <v>1</v>
      </c>
      <c r="H29" s="1">
        <f>VLOOKUP($B29,[24]TrtCodes!$B$11:N111,7)</f>
        <v>3</v>
      </c>
      <c r="I29" s="1">
        <f>[24]FormattedData!B68</f>
        <v>1</v>
      </c>
      <c r="J29" s="4">
        <f>[24]FormattedData!C68</f>
        <v>13.525</v>
      </c>
      <c r="K29" s="6">
        <f>$J$3+[24]FormattedData!D68*$J$4+$M$4*$J$5+[24]FormattedData!D68^2*$J$6+$M$5*$J$7</f>
        <v>34.683774012015078</v>
      </c>
      <c r="L29" s="6">
        <f>$J$3+[24]FormattedData!E68*$J$4+$M$4*$J$5+[24]FormattedData!E68^2*$J$6+$M$5*$J$7</f>
        <v>31.226627176829702</v>
      </c>
      <c r="M29" s="6">
        <f>$J$3+[24]FormattedData!F68*$J$4+$M$4*$J$5+[24]FormattedData!F68^2*$J$6+$M$5*$J$7</f>
        <v>30.450933061890407</v>
      </c>
      <c r="N29" s="6">
        <f>$J$3+[24]FormattedData!G68*$J$4+$M$4*$J$5+[24]FormattedData!G68^2*$J$6+$M$5*$J$7</f>
        <v>31.420128020185217</v>
      </c>
      <c r="O29" s="6">
        <f>$J$3+[24]FormattedData!H68*$J$4+$M$4*$J$5+[24]FormattedData!H68^2*$J$6+$M$5*$J$7</f>
        <v>31.032957259322462</v>
      </c>
      <c r="P29" s="6">
        <f>$J$3+[24]FormattedData!I68*$J$4+$M$4*$J$5+[24]FormattedData!I68^2*$J$6+$M$5*$J$7</f>
        <v>31.420128020185217</v>
      </c>
      <c r="Q29" s="6">
        <f>$J$3+[24]FormattedData!J68*$J$4+$M$4*$J$5+[24]FormattedData!J68^2*$J$6+$M$5*$J$7</f>
        <v>30.450933061890407</v>
      </c>
      <c r="R29" s="6">
        <f>$J$3+[24]FormattedData!K68*$J$4+$M$4*$J$5+[24]FormattedData!K68^2*$J$6+$M$5*$J$7</f>
        <v>30.645110201852813</v>
      </c>
      <c r="S29" s="6">
        <f>$J$3+[24]FormattedData!L68*$J$4+$M$4*$J$5+[24]FormattedData!L68^2*$J$6+$M$5*$J$7</f>
        <v>30.062071559510407</v>
      </c>
      <c r="T29" s="6">
        <f>$J$3+[24]FormattedData!M68*$J$4+$M$4*$J$5+[24]FormattedData!M68^2*$J$6+$M$5*$J$7</f>
        <v>32.096049512984678</v>
      </c>
      <c r="U29" s="6">
        <f>$J$3+[24]FormattedData!N68*$J$4+$M$4*$J$5+[24]FormattedData!N68^2*$J$6+$M$5*$J$7</f>
        <v>31.806622484441064</v>
      </c>
      <c r="V29" s="6">
        <f>$J$3+[24]FormattedData!O68*$J$4+$M$4*$J$5+[24]FormattedData!O68^2*$J$6+$M$5*$J$7</f>
        <v>33.249953458745324</v>
      </c>
      <c r="W29" s="5">
        <f t="shared" si="0"/>
        <v>31.545440652487731</v>
      </c>
      <c r="X29" s="4">
        <f t="shared" si="1"/>
        <v>0.37867838896045258</v>
      </c>
      <c r="Y29" s="3">
        <f t="shared" si="2"/>
        <v>30.062071559510407</v>
      </c>
      <c r="Z29" s="2">
        <f t="shared" si="3"/>
        <v>30.596565916862211</v>
      </c>
      <c r="AA29" s="3">
        <f t="shared" si="4"/>
        <v>31.323377598507459</v>
      </c>
      <c r="AB29" s="2">
        <f t="shared" si="5"/>
        <v>31.878979241576967</v>
      </c>
      <c r="AC29" s="2">
        <f t="shared" si="6"/>
        <v>34.683774012015078</v>
      </c>
      <c r="AD29" s="2">
        <f t="shared" si="7"/>
        <v>1.4140881749054759</v>
      </c>
      <c r="AE29" s="2">
        <f t="shared" si="8"/>
        <v>2.032895981941393</v>
      </c>
    </row>
    <row r="30" spans="2:31" x14ac:dyDescent="0.2">
      <c r="B30" s="1">
        <f>[24]FormattedData!A70</f>
        <v>305</v>
      </c>
      <c r="C30" s="1" t="str">
        <f>VLOOKUP($B30,[24]TrtCodes!$B$11:I113,2)</f>
        <v>NDH</v>
      </c>
      <c r="D30" s="1">
        <f>VLOOKUP($B30,[24]TrtCodes!$B$11:J113,3)</f>
        <v>11</v>
      </c>
      <c r="E30" s="1">
        <f>VLOOKUP($B30,[24]TrtCodes!$B$11:K113,4)</f>
        <v>2</v>
      </c>
      <c r="F30" s="1">
        <f>VLOOKUP($B30,[24]TrtCodes!$B$11:L113,5)</f>
        <v>3</v>
      </c>
      <c r="G30" s="1">
        <f>VLOOKUP($B30,[24]TrtCodes!$B$11:M113,6)</f>
        <v>2</v>
      </c>
      <c r="H30" s="1">
        <f>VLOOKUP($B30,[24]TrtCodes!$B$11:N113,7)</f>
        <v>4</v>
      </c>
      <c r="I30" s="1">
        <f>[24]FormattedData!B70</f>
        <v>1</v>
      </c>
      <c r="J30" s="4">
        <f>[24]FormattedData!C70</f>
        <v>13.542</v>
      </c>
      <c r="K30" s="6">
        <f>$J$3+[24]FormattedData!D70*$J$4+$M$4*$J$5+[24]FormattedData!D70^2*$J$6+$M$5*$J$7</f>
        <v>29.867387197092821</v>
      </c>
      <c r="L30" s="6">
        <f>$J$3+[24]FormattedData!E70*$J$4+$M$4*$J$5+[24]FormattedData!E70^2*$J$6+$M$5*$J$7</f>
        <v>30.353781089102299</v>
      </c>
      <c r="M30" s="6">
        <f>$J$3+[24]FormattedData!F70*$J$4+$M$4*$J$5+[24]FormattedData!F70^2*$J$6+$M$5*$J$7</f>
        <v>30.548042766140576</v>
      </c>
      <c r="N30" s="6">
        <f>$J$3+[24]FormattedData!G70*$J$4+$M$4*$J$5+[24]FormattedData!G70^2*$J$6+$M$5*$J$7</f>
        <v>30.548042766140576</v>
      </c>
      <c r="O30" s="6">
        <f>$J$3+[24]FormattedData!H70*$J$4+$M$4*$J$5+[24]FormattedData!H70^2*$J$6+$M$5*$J$7</f>
        <v>30.159350337912301</v>
      </c>
      <c r="P30" s="6">
        <f>$J$3+[24]FormattedData!I70*$J$4+$M$4*$J$5+[24]FormattedData!I70^2*$J$6+$M$5*$J$7</f>
        <v>29.477511249802479</v>
      </c>
      <c r="Q30" s="6">
        <f>$J$3+[24]FormattedData!J70*$J$4+$M$4*$J$5+[24]FormattedData!J70^2*$J$6+$M$5*$J$7</f>
        <v>29.769981613077135</v>
      </c>
      <c r="R30" s="6">
        <f>$J$3+[24]FormattedData!K70*$J$4+$M$4*$J$5+[24]FormattedData!K70^2*$J$6+$M$5*$J$7</f>
        <v>29.282319664929723</v>
      </c>
      <c r="S30" s="6">
        <f>$J$3+[24]FormattedData!L70*$J$4+$M$4*$J$5+[24]FormattedData!L70^2*$J$6+$M$5*$J$7</f>
        <v>28.989215273586101</v>
      </c>
      <c r="T30" s="6">
        <f>$J$3+[24]FormattedData!M70*$J$4+$M$4*$J$5+[24]FormattedData!M70^2*$J$6+$M$5*$J$7</f>
        <v>29.575043639431964</v>
      </c>
      <c r="U30" s="6">
        <f>$J$3+[24]FormattedData!N70*$J$4+$M$4*$J$5+[24]FormattedData!N70^2*$J$6+$M$5*$J$7</f>
        <v>29.282319664929723</v>
      </c>
      <c r="V30" s="6">
        <f>$J$3+[24]FormattedData!O70*$J$4+$M$4*$J$5+[24]FormattedData!O70^2*$J$6+$M$5*$J$7</f>
        <v>30.645110201852813</v>
      </c>
      <c r="W30" s="5">
        <f t="shared" si="0"/>
        <v>29.874842121999876</v>
      </c>
      <c r="X30" s="4">
        <f t="shared" si="1"/>
        <v>0.16411704714970621</v>
      </c>
      <c r="Y30" s="3">
        <f t="shared" si="2"/>
        <v>28.989215273586101</v>
      </c>
      <c r="Z30" s="2">
        <f t="shared" si="3"/>
        <v>29.428713353584289</v>
      </c>
      <c r="AA30" s="3">
        <f t="shared" si="4"/>
        <v>29.81868440508498</v>
      </c>
      <c r="AB30" s="2">
        <f t="shared" si="5"/>
        <v>30.402346508361866</v>
      </c>
      <c r="AC30" s="2">
        <f t="shared" si="6"/>
        <v>30.645110201852813</v>
      </c>
      <c r="AD30" s="2">
        <f t="shared" si="7"/>
        <v>-8.4055872255605572E-4</v>
      </c>
      <c r="AE30" s="2">
        <f t="shared" si="8"/>
        <v>-1.4437537820171555</v>
      </c>
    </row>
    <row r="31" spans="2:31" x14ac:dyDescent="0.2">
      <c r="B31" s="1">
        <f>[24]FormattedData!A72</f>
        <v>306</v>
      </c>
      <c r="C31" s="1" t="str">
        <f>VLOOKUP($B31,[24]TrtCodes!$B$11:I115,2)</f>
        <v>FTL</v>
      </c>
      <c r="D31" s="1">
        <f>VLOOKUP($B31,[24]TrtCodes!$B$11:J115,3)</f>
        <v>4</v>
      </c>
      <c r="E31" s="1">
        <f>VLOOKUP($B31,[24]TrtCodes!$B$11:K115,4)</f>
        <v>1</v>
      </c>
      <c r="F31" s="1">
        <f>VLOOKUP($B31,[24]TrtCodes!$B$11:L115,5)</f>
        <v>2</v>
      </c>
      <c r="G31" s="1">
        <f>VLOOKUP($B31,[24]TrtCodes!$B$11:M115,6)</f>
        <v>1</v>
      </c>
      <c r="H31" s="1">
        <f>VLOOKUP($B31,[24]TrtCodes!$B$11:N115,7)</f>
        <v>4</v>
      </c>
      <c r="I31" s="1">
        <f>[24]FormattedData!B72</f>
        <v>1</v>
      </c>
      <c r="J31" s="4">
        <f>[24]FormattedData!C72</f>
        <v>13.56</v>
      </c>
      <c r="K31" s="6">
        <f>$J$3+[24]FormattedData!D72*$J$4+$M$4*$J$5+[24]FormattedData!D72^2*$J$6+$M$5*$J$7</f>
        <v>30.062071559510407</v>
      </c>
      <c r="L31" s="6">
        <f>$J$3+[24]FormattedData!E72*$J$4+$M$4*$J$5+[24]FormattedData!E72^2*$J$6+$M$5*$J$7</f>
        <v>29.964750512570586</v>
      </c>
      <c r="M31" s="6">
        <f>$J$3+[24]FormattedData!F72*$J$4+$M$4*$J$5+[24]FormattedData!F72^2*$J$6+$M$5*$J$7</f>
        <v>32.192440652090021</v>
      </c>
      <c r="N31" s="6">
        <f>$J$3+[24]FormattedData!G72*$J$4+$M$4*$J$5+[24]FormattedData!G72^2*$J$6+$M$5*$J$7</f>
        <v>29.67253376052351</v>
      </c>
      <c r="O31" s="6">
        <f>$J$3+[24]FormattedData!H72*$J$4+$M$4*$J$5+[24]FormattedData!H72^2*$J$6+$M$5*$J$7</f>
        <v>33.249953458745324</v>
      </c>
      <c r="P31" s="6">
        <f>$J$3+[24]FormattedData!I72*$J$4+$M$4*$J$5+[24]FormattedData!I72^2*$J$6+$M$5*$J$7</f>
        <v>29.769981613077135</v>
      </c>
      <c r="Q31" s="6">
        <f>$J$3+[24]FormattedData!J72*$J$4+$M$4*$J$5+[24]FormattedData!J72^2*$J$6+$M$5*$J$7</f>
        <v>29.867387197092821</v>
      </c>
      <c r="R31" s="6">
        <f>$J$3+[24]FormattedData!K72*$J$4+$M$4*$J$5+[24]FormattedData!K72^2*$J$6+$M$5*$J$7</f>
        <v>29.964750512570586</v>
      </c>
      <c r="S31" s="6">
        <f>$J$3+[24]FormattedData!L72*$J$4+$M$4*$J$5+[24]FormattedData!L72^2*$J$6+$M$5*$J$7</f>
        <v>29.379936591635065</v>
      </c>
      <c r="T31" s="6">
        <f>$J$3+[24]FormattedData!M72*$J$4+$M$4*$J$5+[24]FormattedData!M72^2*$J$6+$M$5*$J$7</f>
        <v>28.989215273586101</v>
      </c>
      <c r="U31" s="6">
        <f>$J$3+[24]FormattedData!N72*$J$4+$M$4*$J$5+[24]FormattedData!N72^2*$J$6+$M$5*$J$7</f>
        <v>31.516815039056073</v>
      </c>
      <c r="V31" s="6">
        <f>$J$3+[24]FormattedData!O72*$J$4+$M$4*$J$5+[24]FormattedData!O72^2*$J$6+$M$5*$J$7</f>
        <v>30.256586847776269</v>
      </c>
      <c r="W31" s="5">
        <f t="shared" si="0"/>
        <v>30.407201918186161</v>
      </c>
      <c r="X31" s="4">
        <f t="shared" si="1"/>
        <v>0.3623997083896523</v>
      </c>
      <c r="Y31" s="3">
        <f t="shared" si="2"/>
        <v>28.989215273586101</v>
      </c>
      <c r="Z31" s="2">
        <f t="shared" si="3"/>
        <v>29.745619649938728</v>
      </c>
      <c r="AA31" s="3">
        <f t="shared" si="4"/>
        <v>29.964750512570586</v>
      </c>
      <c r="AB31" s="2">
        <f t="shared" si="5"/>
        <v>30.571643895596221</v>
      </c>
      <c r="AC31" s="2">
        <f t="shared" si="6"/>
        <v>33.249953458745324</v>
      </c>
      <c r="AD31" s="2">
        <f t="shared" si="7"/>
        <v>1.3819492524780721</v>
      </c>
      <c r="AE31" s="2">
        <f t="shared" si="8"/>
        <v>1.2176636608407057</v>
      </c>
    </row>
    <row r="32" spans="2:31" x14ac:dyDescent="0.2">
      <c r="B32" s="1">
        <f>[24]FormattedData!A74</f>
        <v>307</v>
      </c>
      <c r="C32" s="1" t="str">
        <f>VLOOKUP($B32,[24]TrtCodes!$B$11:I117,2)</f>
        <v>NTH</v>
      </c>
      <c r="D32" s="1">
        <f>VLOOKUP($B32,[24]TrtCodes!$B$11:J117,3)</f>
        <v>9</v>
      </c>
      <c r="E32" s="1">
        <f>VLOOKUP($B32,[24]TrtCodes!$B$11:K117,4)</f>
        <v>2</v>
      </c>
      <c r="F32" s="1">
        <f>VLOOKUP($B32,[24]TrtCodes!$B$11:L117,5)</f>
        <v>2</v>
      </c>
      <c r="G32" s="1">
        <f>VLOOKUP($B32,[24]TrtCodes!$B$11:M117,6)</f>
        <v>2</v>
      </c>
      <c r="H32" s="1">
        <f>VLOOKUP($B32,[24]TrtCodes!$B$11:N117,7)</f>
        <v>4</v>
      </c>
      <c r="I32" s="1">
        <f>[24]FormattedData!B74</f>
        <v>1</v>
      </c>
      <c r="J32" s="4">
        <f>[24]FormattedData!C74</f>
        <v>13.576000000000001</v>
      </c>
      <c r="K32" s="6">
        <f>$J$3+[24]FormattedData!D74*$J$4+$M$4*$J$5+[24]FormattedData!D74^2*$J$6+$M$5*$J$7</f>
        <v>30.936058897761949</v>
      </c>
      <c r="L32" s="6">
        <f>$J$3+[24]FormattedData!E74*$J$4+$M$4*$J$5+[24]FormattedData!E74^2*$J$6+$M$5*$J$7</f>
        <v>31.323398732776418</v>
      </c>
      <c r="M32" s="6">
        <f>$J$3+[24]FormattedData!F74*$J$4+$M$4*$J$5+[24]FormattedData!F74^2*$J$6+$M$5*$J$7</f>
        <v>30.159350337912301</v>
      </c>
      <c r="N32" s="6">
        <f>$J$3+[24]FormattedData!G74*$J$4+$M$4*$J$5+[24]FormattedData!G74^2*$J$6+$M$5*$J$7</f>
        <v>32.288789522657424</v>
      </c>
      <c r="O32" s="6">
        <f>$J$3+[24]FormattedData!H74*$J$4+$M$4*$J$5+[24]FormattedData!H74^2*$J$6+$M$5*$J$7</f>
        <v>30.645110201852813</v>
      </c>
      <c r="P32" s="6">
        <f>$J$3+[24]FormattedData!I74*$J$4+$M$4*$J$5+[24]FormattedData!I74^2*$J$6+$M$5*$J$7</f>
        <v>31.420128020185217</v>
      </c>
      <c r="Q32" s="6">
        <f>$J$3+[24]FormattedData!J74*$J$4+$M$4*$J$5+[24]FormattedData!J74^2*$J$6+$M$5*$J$7</f>
        <v>30.742135369027125</v>
      </c>
      <c r="R32" s="6">
        <f>$J$3+[24]FormattedData!K74*$J$4+$M$4*$J$5+[24]FormattedData!K74^2*$J$6+$M$5*$J$7</f>
        <v>32.481360458178465</v>
      </c>
      <c r="S32" s="6">
        <f>$J$3+[24]FormattedData!L74*$J$4+$M$4*$J$5+[24]FormattedData!L74^2*$J$6+$M$5*$J$7</f>
        <v>32.38509612468691</v>
      </c>
      <c r="T32" s="6">
        <f>$J$3+[24]FormattedData!M74*$J$4+$M$4*$J$5+[24]FormattedData!M74^2*$J$6+$M$5*$J$7</f>
        <v>31.129813352345042</v>
      </c>
      <c r="U32" s="6">
        <f>$J$3+[24]FormattedData!N74*$J$4+$M$4*$J$5+[24]FormattedData!N74^2*$J$6+$M$5*$J$7</f>
        <v>31.420128020185217</v>
      </c>
      <c r="V32" s="6">
        <f>$J$3+[24]FormattedData!O74*$J$4+$M$4*$J$5+[24]FormattedData!O74^2*$J$6+$M$5*$J$7</f>
        <v>31.806622484441064</v>
      </c>
      <c r="W32" s="5">
        <f t="shared" si="0"/>
        <v>31.394832626834159</v>
      </c>
      <c r="X32" s="4">
        <f t="shared" si="1"/>
        <v>0.21198018986915146</v>
      </c>
      <c r="Y32" s="3">
        <f t="shared" si="2"/>
        <v>30.159350337912301</v>
      </c>
      <c r="Z32" s="2">
        <f t="shared" si="3"/>
        <v>30.887578015578242</v>
      </c>
      <c r="AA32" s="3">
        <f t="shared" si="4"/>
        <v>31.371763376480818</v>
      </c>
      <c r="AB32" s="2">
        <f t="shared" si="5"/>
        <v>31.927164243995154</v>
      </c>
      <c r="AC32" s="2">
        <f t="shared" si="6"/>
        <v>32.481360458178465</v>
      </c>
      <c r="AD32" s="2">
        <f t="shared" si="7"/>
        <v>9.2894233738645943E-2</v>
      </c>
      <c r="AE32" s="2">
        <f t="shared" si="8"/>
        <v>-0.83628399238641205</v>
      </c>
    </row>
    <row r="33" spans="2:31" x14ac:dyDescent="0.2">
      <c r="B33" s="1">
        <f>[24]FormattedData!A76</f>
        <v>308</v>
      </c>
      <c r="C33" s="1" t="str">
        <f>VLOOKUP($B33,[24]TrtCodes!$B$11:I119,2)</f>
        <v>FDH</v>
      </c>
      <c r="D33" s="1">
        <f>VLOOKUP($B33,[24]TrtCodes!$B$11:J119,3)</f>
        <v>5</v>
      </c>
      <c r="E33" s="1">
        <f>VLOOKUP($B33,[24]TrtCodes!$B$11:K119,4)</f>
        <v>1</v>
      </c>
      <c r="F33" s="1">
        <f>VLOOKUP($B33,[24]TrtCodes!$B$11:L119,5)</f>
        <v>3</v>
      </c>
      <c r="G33" s="1">
        <f>VLOOKUP($B33,[24]TrtCodes!$B$11:M119,6)</f>
        <v>2</v>
      </c>
      <c r="H33" s="1">
        <f>VLOOKUP($B33,[24]TrtCodes!$B$11:N119,7)</f>
        <v>4</v>
      </c>
      <c r="I33" s="1">
        <f>[24]FormattedData!B76</f>
        <v>1</v>
      </c>
      <c r="J33" s="4">
        <f>[24]FormattedData!C76</f>
        <v>13.593</v>
      </c>
      <c r="K33" s="6">
        <f>$J$3+[24]FormattedData!D76*$J$4+$M$4*$J$5+[24]FormattedData!D76^2*$J$6+$M$5*$J$7</f>
        <v>34.11138704123131</v>
      </c>
      <c r="L33" s="6">
        <f>$J$3+[24]FormattedData!E76*$J$4+$M$4*$J$5+[24]FormattedData!E76^2*$J$6+$M$5*$J$7</f>
        <v>35.444589601602615</v>
      </c>
      <c r="M33" s="6">
        <f>$J$3+[24]FormattedData!F76*$J$4+$M$4*$J$5+[24]FormattedData!F76^2*$J$6+$M$5*$J$7</f>
        <v>34.969396872144891</v>
      </c>
      <c r="N33" s="6">
        <f>$J$3+[24]FormattedData!G76*$J$4+$M$4*$J$5+[24]FormattedData!G76^2*$J$6+$M$5*$J$7</f>
        <v>35.159600769541768</v>
      </c>
      <c r="O33" s="6">
        <f>$J$3+[24]FormattedData!H76*$J$4+$M$4*$J$5+[24]FormattedData!H76^2*$J$6+$M$5*$J$7</f>
        <v>34.969396872144891</v>
      </c>
      <c r="P33" s="6">
        <f>$J$3+[24]FormattedData!I76*$J$4+$M$4*$J$5+[24]FormattedData!I76^2*$J$6+$M$5*$J$7</f>
        <v>34.206890541040103</v>
      </c>
      <c r="Q33" s="6">
        <f>$J$3+[24]FormattedData!J76*$J$4+$M$4*$J$5+[24]FormattedData!J76^2*$J$6+$M$5*$J$7</f>
        <v>34.206890541040103</v>
      </c>
      <c r="R33" s="6">
        <f>$J$3+[24]FormattedData!K76*$J$4+$M$4*$J$5+[24]FormattedData!K76^2*$J$6+$M$5*$J$7</f>
        <v>34.683774012015078</v>
      </c>
      <c r="S33" s="6">
        <f>$J$3+[24]FormattedData!L76*$J$4+$M$4*$J$5+[24]FormattedData!L76^2*$J$6+$M$5*$J$7</f>
        <v>34.0158412728846</v>
      </c>
      <c r="T33" s="6">
        <f>$J$3+[24]FormattedData!M76*$J$4+$M$4*$J$5+[24]FormattedData!M76^2*$J$6+$M$5*$J$7</f>
        <v>34.0158412728846</v>
      </c>
      <c r="U33" s="6">
        <f>$J$3+[24]FormattedData!N76*$J$4+$M$4*$J$5+[24]FormattedData!N76^2*$J$6+$M$5*$J$7</f>
        <v>33.249953458745324</v>
      </c>
      <c r="V33" s="6">
        <f>$J$3+[24]FormattedData!O76*$J$4+$M$4*$J$5+[24]FormattedData!O76^2*$J$6+$M$5*$J$7</f>
        <v>33.34583737539549</v>
      </c>
      <c r="W33" s="5">
        <f t="shared" si="0"/>
        <v>34.364949969222565</v>
      </c>
      <c r="X33" s="4">
        <f t="shared" si="1"/>
        <v>0.19979674714755513</v>
      </c>
      <c r="Y33" s="3">
        <f t="shared" si="2"/>
        <v>33.249953458745324</v>
      </c>
      <c r="Z33" s="2">
        <f t="shared" si="3"/>
        <v>34.0158412728846</v>
      </c>
      <c r="AA33" s="3">
        <f t="shared" si="4"/>
        <v>34.206890541040103</v>
      </c>
      <c r="AB33" s="2">
        <f t="shared" si="5"/>
        <v>34.969396872144891</v>
      </c>
      <c r="AC33" s="2">
        <f t="shared" si="6"/>
        <v>35.444589601602615</v>
      </c>
      <c r="AD33" s="2">
        <f t="shared" si="7"/>
        <v>-0.10515723554930925</v>
      </c>
      <c r="AE33" s="2">
        <f t="shared" si="8"/>
        <v>-0.80986247518490639</v>
      </c>
    </row>
    <row r="34" spans="2:31" x14ac:dyDescent="0.2">
      <c r="B34" s="1">
        <f>[24]FormattedData!A92</f>
        <v>401</v>
      </c>
      <c r="C34" s="1" t="str">
        <f>VLOOKUP($B34,[24]TrtCodes!$B$11:I129,2)</f>
        <v>NSH</v>
      </c>
      <c r="D34" s="1">
        <f>VLOOKUP($B34,[24]TrtCodes!$B$11:J129,3)</f>
        <v>7</v>
      </c>
      <c r="E34" s="1">
        <f>VLOOKUP($B34,[24]TrtCodes!$B$11:K129,4)</f>
        <v>2</v>
      </c>
      <c r="F34" s="1">
        <f>VLOOKUP($B34,[24]TrtCodes!$B$11:L129,5)</f>
        <v>1</v>
      </c>
      <c r="G34" s="1">
        <f>VLOOKUP($B34,[24]TrtCodes!$B$11:M129,6)</f>
        <v>2</v>
      </c>
      <c r="H34" s="1">
        <f>VLOOKUP($B34,[24]TrtCodes!$B$11:N129,7)</f>
        <v>3</v>
      </c>
      <c r="I34" s="1">
        <f>[24]FormattedData!B92</f>
        <v>1</v>
      </c>
      <c r="J34" s="4">
        <f>[24]FormattedData!C92</f>
        <v>13.738</v>
      </c>
      <c r="K34" s="6">
        <f>$J$3+[24]FormattedData!D92*$J$4+$M$4*$J$5+[24]FormattedData!D92^2*$J$6+$M$5*$J$7</f>
        <v>42.903960243960356</v>
      </c>
      <c r="L34" s="6">
        <f>$J$3+[24]FormattedData!E92*$J$4+$M$4*$J$5+[24]FormattedData!E92^2*$J$6+$M$5*$J$7</f>
        <v>36.297273596736858</v>
      </c>
      <c r="M34" s="6">
        <f>$J$3+[24]FormattedData!F92*$J$4+$M$4*$J$5+[24]FormattedData!F92^2*$J$6+$M$5*$J$7</f>
        <v>32.673762319547762</v>
      </c>
      <c r="N34" s="6">
        <f>$J$3+[24]FormattedData!G92*$J$4+$M$4*$J$5+[24]FormattedData!G92^2*$J$6+$M$5*$J$7</f>
        <v>41.525934160759711</v>
      </c>
      <c r="O34" s="6">
        <f>$J$3+[24]FormattedData!H92*$J$4+$M$4*$J$5+[24]FormattedData!H92^2*$J$6+$M$5*$J$7</f>
        <v>34.588481854895939</v>
      </c>
      <c r="P34" s="6">
        <f>$J$3+[24]FormattedData!I92*$J$4+$M$4*$J$5+[24]FormattedData!I92^2*$J$6+$M$5*$J$7</f>
        <v>38.460800095676817</v>
      </c>
      <c r="Q34" s="6">
        <f>$J$3+[24]FormattedData!J92*$J$4+$M$4*$J$5+[24]FormattedData!J92^2*$J$6+$M$5*$J$7</f>
        <v>30.062071559510407</v>
      </c>
      <c r="R34" s="6">
        <f>$J$3+[24]FormattedData!K92*$J$4+$M$4*$J$5+[24]FormattedData!K92^2*$J$6+$M$5*$J$7</f>
        <v>38.834783072705058</v>
      </c>
      <c r="S34" s="6">
        <f>$J$3+[24]FormattedData!L92*$J$4+$M$4*$J$5+[24]FormattedData!L92^2*$J$6+$M$5*$J$7</f>
        <v>30.742135369027125</v>
      </c>
      <c r="T34" s="6">
        <f>$J$3+[24]FormattedData!M92*$J$4+$M$4*$J$5+[24]FormattedData!M92^2*$J$6+$M$5*$J$7</f>
        <v>31.129813352345042</v>
      </c>
      <c r="U34" s="6">
        <f>$J$3+[24]FormattedData!N92*$J$4+$M$4*$J$5+[24]FormattedData!N92^2*$J$6+$M$5*$J$7</f>
        <v>28.989215273586101</v>
      </c>
      <c r="V34" s="6">
        <f>$J$3+[24]FormattedData!O92*$J$4+$M$4*$J$5+[24]FormattedData!O92^2*$J$6+$M$5*$J$7</f>
        <v>30.839118267663501</v>
      </c>
      <c r="W34" s="5">
        <f t="shared" si="0"/>
        <v>34.753945763867897</v>
      </c>
      <c r="X34" s="4">
        <f t="shared" si="1"/>
        <v>1.3740385101106165</v>
      </c>
      <c r="Y34" s="3">
        <f t="shared" si="2"/>
        <v>28.989215273586101</v>
      </c>
      <c r="Z34" s="2">
        <f t="shared" si="3"/>
        <v>30.814872543004405</v>
      </c>
      <c r="AA34" s="3">
        <f t="shared" si="4"/>
        <v>33.631122087221854</v>
      </c>
      <c r="AB34" s="2">
        <f t="shared" si="5"/>
        <v>38.554295839933879</v>
      </c>
      <c r="AC34" s="2">
        <f t="shared" si="6"/>
        <v>42.903960243960356</v>
      </c>
      <c r="AD34" s="2">
        <f t="shared" si="7"/>
        <v>0.50424079804987421</v>
      </c>
      <c r="AE34" s="2">
        <f t="shared" si="8"/>
        <v>-1.1902383294679248</v>
      </c>
    </row>
    <row r="35" spans="2:31" x14ac:dyDescent="0.2">
      <c r="B35" s="1">
        <f>[24]FormattedData!A90</f>
        <v>402</v>
      </c>
      <c r="C35" s="1" t="str">
        <f>VLOOKUP($B35,[24]TrtCodes!$B$11:I130,2)</f>
        <v>NTH</v>
      </c>
      <c r="D35" s="1">
        <f>VLOOKUP($B35,[24]TrtCodes!$B$11:J130,3)</f>
        <v>9</v>
      </c>
      <c r="E35" s="1">
        <f>VLOOKUP($B35,[24]TrtCodes!$B$11:K130,4)</f>
        <v>2</v>
      </c>
      <c r="F35" s="1">
        <f>VLOOKUP($B35,[24]TrtCodes!$B$11:L130,5)</f>
        <v>2</v>
      </c>
      <c r="G35" s="1">
        <f>VLOOKUP($B35,[24]TrtCodes!$B$11:M130,6)</f>
        <v>2</v>
      </c>
      <c r="H35" s="1">
        <f>VLOOKUP($B35,[24]TrtCodes!$B$11:N130,7)</f>
        <v>3</v>
      </c>
      <c r="I35" s="1">
        <f>[24]FormattedData!B90</f>
        <v>1</v>
      </c>
      <c r="J35" s="4">
        <f>[24]FormattedData!C90</f>
        <v>13.721</v>
      </c>
      <c r="K35" s="6">
        <f>$J$3+[24]FormattedData!D90*$J$4+$M$4*$J$5+[24]FormattedData!D90^2*$J$6+$M$5*$J$7</f>
        <v>32.673762319547762</v>
      </c>
      <c r="L35" s="6">
        <f>$J$3+[24]FormattedData!E90*$J$4+$M$4*$J$5+[24]FormattedData!E90^2*$J$6+$M$5*$J$7</f>
        <v>30.936058897761949</v>
      </c>
      <c r="M35" s="6">
        <f>$J$3+[24]FormattedData!F90*$J$4+$M$4*$J$5+[24]FormattedData!F90^2*$J$6+$M$5*$J$7</f>
        <v>30.645110201852813</v>
      </c>
      <c r="N35" s="6">
        <f>$J$3+[24]FormattedData!G90*$J$4+$M$4*$J$5+[24]FormattedData!G90^2*$J$6+$M$5*$J$7</f>
        <v>32.38509612468691</v>
      </c>
      <c r="O35" s="6">
        <f>$J$3+[24]FormattedData!H90*$J$4+$M$4*$J$5+[24]FormattedData!H90^2*$J$6+$M$5*$J$7</f>
        <v>33.249953458745324</v>
      </c>
      <c r="P35" s="6">
        <f>$J$3+[24]FormattedData!I90*$J$4+$M$4*$J$5+[24]FormattedData!I90^2*$J$6+$M$5*$J$7</f>
        <v>31.323398732776418</v>
      </c>
      <c r="Q35" s="6">
        <f>$J$3+[24]FormattedData!J90*$J$4+$M$4*$J$5+[24]FormattedData!J90^2*$J$6+$M$5*$J$7</f>
        <v>30.159350337912301</v>
      </c>
      <c r="R35" s="6">
        <f>$J$3+[24]FormattedData!K90*$J$4+$M$4*$J$5+[24]FormattedData!K90^2*$J$6+$M$5*$J$7</f>
        <v>31.99961610534141</v>
      </c>
      <c r="S35" s="6">
        <f>$J$3+[24]FormattedData!L90*$J$4+$M$4*$J$5+[24]FormattedData!L90^2*$J$6+$M$5*$J$7</f>
        <v>31.420128020185217</v>
      </c>
      <c r="T35" s="6">
        <f>$J$3+[24]FormattedData!M90*$J$4+$M$4*$J$5+[24]FormattedData!M90^2*$J$6+$M$5*$J$7</f>
        <v>32.096049512984678</v>
      </c>
      <c r="U35" s="6">
        <f>$J$3+[24]FormattedData!N90*$J$4+$M$4*$J$5+[24]FormattedData!N90^2*$J$6+$M$5*$J$7</f>
        <v>30.159350337912301</v>
      </c>
      <c r="V35" s="6">
        <f>$J$3+[24]FormattedData!O90*$J$4+$M$4*$J$5+[24]FormattedData!O90^2*$J$6+$M$5*$J$7</f>
        <v>30.450933061890407</v>
      </c>
      <c r="W35" s="5">
        <f t="shared" si="0"/>
        <v>31.458233925966457</v>
      </c>
      <c r="X35" s="4">
        <f t="shared" si="1"/>
        <v>0.29630383162523238</v>
      </c>
      <c r="Y35" s="3">
        <f t="shared" si="2"/>
        <v>30.159350337912301</v>
      </c>
      <c r="Z35" s="2">
        <f t="shared" si="3"/>
        <v>30.596565916862211</v>
      </c>
      <c r="AA35" s="3">
        <f t="shared" si="4"/>
        <v>31.371763376480818</v>
      </c>
      <c r="AB35" s="2">
        <f t="shared" si="5"/>
        <v>32.168311165910239</v>
      </c>
      <c r="AC35" s="2">
        <f t="shared" si="6"/>
        <v>33.249953458745324</v>
      </c>
      <c r="AD35" s="2">
        <f t="shared" si="7"/>
        <v>0.26985127701298772</v>
      </c>
      <c r="AE35" s="2">
        <f t="shared" si="8"/>
        <v>-1.0929556063629815</v>
      </c>
    </row>
    <row r="36" spans="2:31" x14ac:dyDescent="0.2">
      <c r="B36" s="1">
        <f>[24]FormattedData!A88</f>
        <v>403</v>
      </c>
      <c r="C36" s="1" t="str">
        <f>VLOOKUP($B36,[24]TrtCodes!$B$11:I131,2)</f>
        <v>FDL</v>
      </c>
      <c r="D36" s="1">
        <f>VLOOKUP($B36,[24]TrtCodes!$B$11:J131,3)</f>
        <v>6</v>
      </c>
      <c r="E36" s="1">
        <f>VLOOKUP($B36,[24]TrtCodes!$B$11:K131,4)</f>
        <v>1</v>
      </c>
      <c r="F36" s="1">
        <f>VLOOKUP($B36,[24]TrtCodes!$B$11:L131,5)</f>
        <v>3</v>
      </c>
      <c r="G36" s="1">
        <f>VLOOKUP($B36,[24]TrtCodes!$B$11:M131,6)</f>
        <v>1</v>
      </c>
      <c r="H36" s="1">
        <f>VLOOKUP($B36,[24]TrtCodes!$B$11:N131,7)</f>
        <v>3</v>
      </c>
      <c r="I36" s="1">
        <f>[24]FormattedData!B88</f>
        <v>1</v>
      </c>
      <c r="J36" s="4">
        <f>[24]FormattedData!C88</f>
        <v>13.702999999999999</v>
      </c>
      <c r="K36" s="6">
        <f>$J$3+[24]FormattedData!D88*$J$4+$M$4*$J$5+[24]FormattedData!D88^2*$J$6+$M$5*$J$7</f>
        <v>29.184660469686445</v>
      </c>
      <c r="L36" s="6">
        <f>$J$3+[24]FormattedData!E88*$J$4+$M$4*$J$5+[24]FormattedData!E88^2*$J$6+$M$5*$J$7</f>
        <v>30.839118267663501</v>
      </c>
      <c r="M36" s="6">
        <f>$J$3+[24]FormattedData!F88*$J$4+$M$4*$J$5+[24]FormattedData!F88^2*$J$6+$M$5*$J$7</f>
        <v>30.353781089102299</v>
      </c>
      <c r="N36" s="6">
        <f>$J$3+[24]FormattedData!G88*$J$4+$M$4*$J$5+[24]FormattedData!G88^2*$J$6+$M$5*$J$7</f>
        <v>31.226627176829702</v>
      </c>
      <c r="O36" s="6">
        <f>$J$3+[24]FormattedData!H88*$J$4+$M$4*$J$5+[24]FormattedData!H88^2*$J$6+$M$5*$J$7</f>
        <v>30.936058897761949</v>
      </c>
      <c r="P36" s="6">
        <f>$J$3+[24]FormattedData!I88*$J$4+$M$4*$J$5+[24]FormattedData!I88^2*$J$6+$M$5*$J$7</f>
        <v>31.99961610534141</v>
      </c>
      <c r="Q36" s="6">
        <f>$J$3+[24]FormattedData!J88*$J$4+$M$4*$J$5+[24]FormattedData!J88^2*$J$6+$M$5*$J$7</f>
        <v>30.256586847776269</v>
      </c>
      <c r="R36" s="6">
        <f>$J$3+[24]FormattedData!K88*$J$4+$M$4*$J$5+[24]FormattedData!K88^2*$J$6+$M$5*$J$7</f>
        <v>30.936058897761949</v>
      </c>
      <c r="S36" s="6">
        <f>$J$3+[24]FormattedData!L88*$J$4+$M$4*$J$5+[24]FormattedData!L88^2*$J$6+$M$5*$J$7</f>
        <v>32.096049512984678</v>
      </c>
      <c r="T36" s="6">
        <f>$J$3+[24]FormattedData!M88*$J$4+$M$4*$J$5+[24]FormattedData!M88^2*$J$6+$M$5*$J$7</f>
        <v>33.058058819831196</v>
      </c>
      <c r="U36" s="6">
        <f>$J$3+[24]FormattedData!N88*$J$4+$M$4*$J$5+[24]FormattedData!N88^2*$J$6+$M$5*$J$7</f>
        <v>33.249953458745324</v>
      </c>
      <c r="V36" s="6">
        <f>$J$3+[24]FormattedData!O88*$J$4+$M$4*$J$5+[24]FormattedData!O88^2*$J$6+$M$5*$J$7</f>
        <v>34.874231520639547</v>
      </c>
      <c r="W36" s="5">
        <f t="shared" si="0"/>
        <v>31.584233422010357</v>
      </c>
      <c r="X36" s="4">
        <f t="shared" si="1"/>
        <v>0.45028037131405158</v>
      </c>
      <c r="Y36" s="3">
        <f t="shared" si="2"/>
        <v>29.184660469686445</v>
      </c>
      <c r="Z36" s="2">
        <f t="shared" si="3"/>
        <v>30.717783973023202</v>
      </c>
      <c r="AA36" s="3">
        <f t="shared" si="4"/>
        <v>31.081343037295824</v>
      </c>
      <c r="AB36" s="2">
        <f t="shared" si="5"/>
        <v>32.336551839696305</v>
      </c>
      <c r="AC36" s="2">
        <f t="shared" si="6"/>
        <v>34.874231520639547</v>
      </c>
      <c r="AD36" s="2">
        <f t="shared" si="7"/>
        <v>0.70760534026989086</v>
      </c>
      <c r="AE36" s="2">
        <f t="shared" si="8"/>
        <v>0.46283014852440285</v>
      </c>
    </row>
    <row r="37" spans="2:31" x14ac:dyDescent="0.2">
      <c r="B37" s="1">
        <f>[24]FormattedData!A86</f>
        <v>404</v>
      </c>
      <c r="C37" s="1" t="str">
        <f>VLOOKUP($B37,[24]TrtCodes!$B$11:I129,2)</f>
        <v>FTH</v>
      </c>
      <c r="D37" s="1">
        <f>VLOOKUP($B37,[24]TrtCodes!$B$11:J129,3)</f>
        <v>3</v>
      </c>
      <c r="E37" s="1">
        <f>VLOOKUP($B37,[24]TrtCodes!$B$11:K129,4)</f>
        <v>1</v>
      </c>
      <c r="F37" s="1">
        <f>VLOOKUP($B37,[24]TrtCodes!$B$11:L129,5)</f>
        <v>2</v>
      </c>
      <c r="G37" s="1">
        <f>VLOOKUP($B37,[24]TrtCodes!$B$11:M129,6)</f>
        <v>2</v>
      </c>
      <c r="H37" s="1">
        <f>VLOOKUP($B37,[24]TrtCodes!$B$11:N129,7)</f>
        <v>3</v>
      </c>
      <c r="I37" s="1">
        <f>[24]FormattedData!B86</f>
        <v>1</v>
      </c>
      <c r="J37" s="4">
        <f>[24]FormattedData!C86</f>
        <v>13.686</v>
      </c>
      <c r="K37" s="6">
        <f>$J$3+[24]FormattedData!D86*$J$4+$M$4*$J$5+[24]FormattedData!D86^2*$J$6+$M$5*$J$7</f>
        <v>33.154027273557219</v>
      </c>
      <c r="L37" s="6">
        <f>$J$3+[24]FormattedData!E86*$J$4+$M$4*$J$5+[24]FormattedData!E86^2*$J$6+$M$5*$J$7</f>
        <v>31.903140429160203</v>
      </c>
      <c r="M37" s="6">
        <f>$J$3+[24]FormattedData!F86*$J$4+$M$4*$J$5+[24]FormattedData!F86^2*$J$6+$M$5*$J$7</f>
        <v>32.192440652090021</v>
      </c>
      <c r="N37" s="6">
        <f>$J$3+[24]FormattedData!G86*$J$4+$M$4*$J$5+[24]FormattedData!G86^2*$J$6+$M$5*$J$7</f>
        <v>32.38509612468691</v>
      </c>
      <c r="O37" s="6">
        <f>$J$3+[24]FormattedData!H86*$J$4+$M$4*$J$5+[24]FormattedData!H86^2*$J$6+$M$5*$J$7</f>
        <v>32.481360458178465</v>
      </c>
      <c r="P37" s="6">
        <f>$J$3+[24]FormattedData!I86*$J$4+$M$4*$J$5+[24]FormattedData!I86^2*$J$6+$M$5*$J$7</f>
        <v>33.728950356616856</v>
      </c>
      <c r="Q37" s="6">
        <f>$J$3+[24]FormattedData!J86*$J$4+$M$4*$J$5+[24]FormattedData!J86^2*$J$6+$M$5*$J$7</f>
        <v>33.537478403082034</v>
      </c>
      <c r="R37" s="6">
        <f>$J$3+[24]FormattedData!K86*$J$4+$M$4*$J$5+[24]FormattedData!K86^2*$J$6+$M$5*$J$7</f>
        <v>34.11138704123131</v>
      </c>
      <c r="S37" s="6">
        <f>$J$3+[24]FormattedData!L86*$J$4+$M$4*$J$5+[24]FormattedData!L86^2*$J$6+$M$5*$J$7</f>
        <v>32.38509612468691</v>
      </c>
      <c r="T37" s="6">
        <f>$J$3+[24]FormattedData!M86*$J$4+$M$4*$J$5+[24]FormattedData!M86^2*$J$6+$M$5*$J$7</f>
        <v>33.249953458745324</v>
      </c>
      <c r="U37" s="6">
        <f>$J$3+[24]FormattedData!N86*$J$4+$M$4*$J$5+[24]FormattedData!N86^2*$J$6+$M$5*$J$7</f>
        <v>32.481360458178465</v>
      </c>
      <c r="V37" s="6">
        <f>$J$3+[24]FormattedData!O86*$J$4+$M$4*$J$5+[24]FormattedData!O86^2*$J$6+$M$5*$J$7</f>
        <v>32.673762319547762</v>
      </c>
      <c r="W37" s="5">
        <f t="shared" si="0"/>
        <v>32.857004424980126</v>
      </c>
      <c r="X37" s="4">
        <f t="shared" si="1"/>
        <v>0.19756342812636965</v>
      </c>
      <c r="Y37" s="3">
        <f t="shared" si="2"/>
        <v>31.903140429160203</v>
      </c>
      <c r="Z37" s="2">
        <f t="shared" si="3"/>
        <v>32.38509612468691</v>
      </c>
      <c r="AA37" s="3">
        <f t="shared" si="4"/>
        <v>32.577561388863117</v>
      </c>
      <c r="AB37" s="2">
        <f t="shared" si="5"/>
        <v>33.321834694829505</v>
      </c>
      <c r="AC37" s="2">
        <f t="shared" si="6"/>
        <v>34.11138704123131</v>
      </c>
      <c r="AD37" s="2">
        <f t="shared" si="7"/>
        <v>0.52917827791631367</v>
      </c>
      <c r="AE37" s="2">
        <f t="shared" si="8"/>
        <v>-0.82764861032708748</v>
      </c>
    </row>
    <row r="38" spans="2:31" x14ac:dyDescent="0.2">
      <c r="B38" s="1">
        <f>[24]FormattedData!A84</f>
        <v>405</v>
      </c>
      <c r="C38" s="1" t="str">
        <f>VLOOKUP($B38,[24]TrtCodes!$B$11:I127,2)</f>
        <v>FDL</v>
      </c>
      <c r="D38" s="1">
        <f>VLOOKUP($B38,[24]TrtCodes!$B$11:J127,3)</f>
        <v>6</v>
      </c>
      <c r="E38" s="1">
        <f>VLOOKUP($B38,[24]TrtCodes!$B$11:K127,4)</f>
        <v>1</v>
      </c>
      <c r="F38" s="1">
        <f>VLOOKUP($B38,[24]TrtCodes!$B$11:L127,5)</f>
        <v>3</v>
      </c>
      <c r="G38" s="1">
        <f>VLOOKUP($B38,[24]TrtCodes!$B$11:M127,6)</f>
        <v>1</v>
      </c>
      <c r="H38" s="1">
        <f>VLOOKUP($B38,[24]TrtCodes!$B$11:N127,7)</f>
        <v>4</v>
      </c>
      <c r="I38" s="1">
        <f>[24]FormattedData!B84</f>
        <v>1</v>
      </c>
      <c r="J38" s="4">
        <f>[24]FormattedData!C84</f>
        <v>13.667999999999999</v>
      </c>
      <c r="K38" s="6">
        <f>$J$3+[24]FormattedData!D84*$J$4+$M$4*$J$5+[24]FormattedData!D84^2*$J$6+$M$5*$J$7</f>
        <v>33.441679023507731</v>
      </c>
      <c r="L38" s="6">
        <f>$J$3+[24]FormattedData!E84*$J$4+$M$4*$J$5+[24]FormattedData!E84^2*$J$6+$M$5*$J$7</f>
        <v>32.288789522657424</v>
      </c>
      <c r="M38" s="6">
        <f>$J$3+[24]FormattedData!F84*$J$4+$M$4*$J$5+[24]FormattedData!F84^2*$J$6+$M$5*$J$7</f>
        <v>32.096049512984678</v>
      </c>
      <c r="N38" s="6">
        <f>$J$3+[24]FormattedData!G84*$J$4+$M$4*$J$5+[24]FormattedData!G84^2*$J$6+$M$5*$J$7</f>
        <v>32.86599510676534</v>
      </c>
      <c r="O38" s="6">
        <f>$J$3+[24]FormattedData!H84*$J$4+$M$4*$J$5+[24]FormattedData!H84^2*$J$6+$M$5*$J$7</f>
        <v>32.192440652090021</v>
      </c>
      <c r="P38" s="6">
        <f>$J$3+[24]FormattedData!I84*$J$4+$M$4*$J$5+[24]FormattedData!I84^2*$J$6+$M$5*$J$7</f>
        <v>32.86599510676534</v>
      </c>
      <c r="Q38" s="6">
        <f>$J$3+[24]FormattedData!J84*$J$4+$M$4*$J$5+[24]FormattedData!J84^2*$J$6+$M$5*$J$7</f>
        <v>32.86599510676534</v>
      </c>
      <c r="R38" s="6">
        <f>$J$3+[24]FormattedData!K84*$J$4+$M$4*$J$5+[24]FormattedData!K84^2*$J$6+$M$5*$J$7</f>
        <v>33.441679023507731</v>
      </c>
      <c r="S38" s="6">
        <f>$J$3+[24]FormattedData!L84*$J$4+$M$4*$J$5+[24]FormattedData!L84^2*$J$6+$M$5*$J$7</f>
        <v>33.249953458745324</v>
      </c>
      <c r="T38" s="6">
        <f>$J$3+[24]FormattedData!M84*$J$4+$M$4*$J$5+[24]FormattedData!M84^2*$J$6+$M$5*$J$7</f>
        <v>32.962048097567234</v>
      </c>
      <c r="U38" s="6">
        <f>$J$3+[24]FormattedData!N84*$J$4+$M$4*$J$5+[24]FormattedData!N84^2*$J$6+$M$5*$J$7</f>
        <v>32.769899847425513</v>
      </c>
      <c r="V38" s="6">
        <f>$J$3+[24]FormattedData!O84*$J$4+$M$4*$J$5+[24]FormattedData!O84^2*$J$6+$M$5*$J$7</f>
        <v>32.86599510676534</v>
      </c>
      <c r="W38" s="5">
        <f t="shared" si="0"/>
        <v>32.825543297128917</v>
      </c>
      <c r="X38" s="4">
        <f t="shared" si="1"/>
        <v>0.12876836015728574</v>
      </c>
      <c r="Y38" s="3">
        <f t="shared" si="2"/>
        <v>32.096049512984678</v>
      </c>
      <c r="Z38" s="2">
        <f t="shared" si="3"/>
        <v>32.649622266233493</v>
      </c>
      <c r="AA38" s="3">
        <f t="shared" si="4"/>
        <v>32.86599510676534</v>
      </c>
      <c r="AB38" s="2">
        <f t="shared" si="5"/>
        <v>33.03402443786176</v>
      </c>
      <c r="AC38" s="2">
        <f t="shared" si="6"/>
        <v>33.441679023507731</v>
      </c>
      <c r="AD38" s="2">
        <f t="shared" si="7"/>
        <v>-0.30694168035659714</v>
      </c>
      <c r="AE38" s="2">
        <f t="shared" si="8"/>
        <v>-0.6586539157762159</v>
      </c>
    </row>
    <row r="39" spans="2:31" x14ac:dyDescent="0.2">
      <c r="B39" s="1">
        <f>[24]FormattedData!A82</f>
        <v>406</v>
      </c>
      <c r="C39" s="1" t="str">
        <f>VLOOKUP($B39,[24]TrtCodes!$B$11:I125,2)</f>
        <v>FTH</v>
      </c>
      <c r="D39" s="1">
        <f>VLOOKUP($B39,[24]TrtCodes!$B$11:J125,3)</f>
        <v>3</v>
      </c>
      <c r="E39" s="1">
        <f>VLOOKUP($B39,[24]TrtCodes!$B$11:K125,4)</f>
        <v>1</v>
      </c>
      <c r="F39" s="1">
        <f>VLOOKUP($B39,[24]TrtCodes!$B$11:L125,5)</f>
        <v>2</v>
      </c>
      <c r="G39" s="1">
        <f>VLOOKUP($B39,[24]TrtCodes!$B$11:M125,6)</f>
        <v>2</v>
      </c>
      <c r="H39" s="1">
        <f>VLOOKUP($B39,[24]TrtCodes!$B$11:N125,7)</f>
        <v>4</v>
      </c>
      <c r="I39" s="1">
        <f>[24]FormattedData!B82</f>
        <v>1</v>
      </c>
      <c r="J39" s="4">
        <f>[24]FormattedData!C82</f>
        <v>13.65</v>
      </c>
      <c r="K39" s="6">
        <f>$J$3+[24]FormattedData!D82*$J$4+$M$4*$J$5+[24]FormattedData!D82^2*$J$6+$M$5*$J$7</f>
        <v>33.058058819831196</v>
      </c>
      <c r="L39" s="6">
        <f>$J$3+[24]FormattedData!E82*$J$4+$M$4*$J$5+[24]FormattedData!E82^2*$J$6+$M$5*$J$7</f>
        <v>33.249953458745324</v>
      </c>
      <c r="M39" s="6">
        <f>$J$3+[24]FormattedData!F82*$J$4+$M$4*$J$5+[24]FormattedData!F82^2*$J$6+$M$5*$J$7</f>
        <v>31.99961610534141</v>
      </c>
      <c r="N39" s="6">
        <f>$J$3+[24]FormattedData!G82*$J$4+$M$4*$J$5+[24]FormattedData!G82^2*$J$6+$M$5*$J$7</f>
        <v>33.441679023507731</v>
      </c>
      <c r="O39" s="6">
        <f>$J$3+[24]FormattedData!H82*$J$4+$M$4*$J$5+[24]FormattedData!H82^2*$J$6+$M$5*$J$7</f>
        <v>30.839118267663501</v>
      </c>
      <c r="P39" s="6">
        <f>$J$3+[24]FormattedData!I82*$J$4+$M$4*$J$5+[24]FormattedData!I82^2*$J$6+$M$5*$J$7</f>
        <v>33.249953458745324</v>
      </c>
      <c r="Q39" s="6">
        <f>$J$3+[24]FormattedData!J82*$J$4+$M$4*$J$5+[24]FormattedData!J82^2*$J$6+$M$5*$J$7</f>
        <v>30.645110201852813</v>
      </c>
      <c r="R39" s="6">
        <f>$J$3+[24]FormattedData!K82*$J$4+$M$4*$J$5+[24]FormattedData!K82^2*$J$6+$M$5*$J$7</f>
        <v>31.710062271184</v>
      </c>
      <c r="S39" s="6">
        <f>$J$3+[24]FormattedData!L82*$J$4+$M$4*$J$5+[24]FormattedData!L82^2*$J$6+$M$5*$J$7</f>
        <v>32.577582523132079</v>
      </c>
      <c r="T39" s="6">
        <f>$J$3+[24]FormattedData!M82*$J$4+$M$4*$J$5+[24]FormattedData!M82^2*$J$6+$M$5*$J$7</f>
        <v>33.34583737539549</v>
      </c>
      <c r="U39" s="6">
        <f>$J$3+[24]FormattedData!N82*$J$4+$M$4*$J$5+[24]FormattedData!N82^2*$J$6+$M$5*$J$7</f>
        <v>32.096049512984678</v>
      </c>
      <c r="V39" s="6">
        <f>$J$3+[24]FormattedData!O82*$J$4+$M$4*$J$5+[24]FormattedData!O82^2*$J$6+$M$5*$J$7</f>
        <v>31.903140429160203</v>
      </c>
      <c r="W39" s="5">
        <f t="shared" si="0"/>
        <v>32.34301345396198</v>
      </c>
      <c r="X39" s="4">
        <f t="shared" si="1"/>
        <v>0.27990419503992758</v>
      </c>
      <c r="Y39" s="3">
        <f t="shared" si="2"/>
        <v>30.645110201852813</v>
      </c>
      <c r="Z39" s="2">
        <f t="shared" si="3"/>
        <v>31.854870889666152</v>
      </c>
      <c r="AA39" s="3">
        <f t="shared" si="4"/>
        <v>32.336816018058379</v>
      </c>
      <c r="AB39" s="2">
        <f t="shared" si="5"/>
        <v>33.249953458745324</v>
      </c>
      <c r="AC39" s="2">
        <f t="shared" si="6"/>
        <v>33.441679023507731</v>
      </c>
      <c r="AD39" s="2">
        <f t="shared" si="7"/>
        <v>-0.53675977649550521</v>
      </c>
      <c r="AE39" s="2">
        <f t="shared" si="8"/>
        <v>-0.87292396974139308</v>
      </c>
    </row>
    <row r="40" spans="2:31" x14ac:dyDescent="0.2">
      <c r="B40" s="1">
        <f>[24]FormattedData!A80</f>
        <v>407</v>
      </c>
      <c r="C40" s="1" t="str">
        <f>VLOOKUP($B40,[24]TrtCodes!$B$11:I123,2)</f>
        <v>NSH</v>
      </c>
      <c r="D40" s="1">
        <f>VLOOKUP($B40,[24]TrtCodes!$B$11:J123,3)</f>
        <v>7</v>
      </c>
      <c r="E40" s="1">
        <f>VLOOKUP($B40,[24]TrtCodes!$B$11:K123,4)</f>
        <v>2</v>
      </c>
      <c r="F40" s="1">
        <f>VLOOKUP($B40,[24]TrtCodes!$B$11:L123,5)</f>
        <v>1</v>
      </c>
      <c r="G40" s="1">
        <f>VLOOKUP($B40,[24]TrtCodes!$B$11:M123,6)</f>
        <v>2</v>
      </c>
      <c r="H40" s="1">
        <f>VLOOKUP($B40,[24]TrtCodes!$B$11:N123,7)</f>
        <v>4</v>
      </c>
      <c r="I40" s="1">
        <f>[24]FormattedData!B80</f>
        <v>1</v>
      </c>
      <c r="J40" s="4">
        <f>[24]FormattedData!C80</f>
        <v>13.632</v>
      </c>
      <c r="K40" s="6">
        <f>$J$3+[24]FormattedData!D80*$J$4+$M$4*$J$5+[24]FormattedData!D80^2*$J$6+$M$5*$J$7</f>
        <v>35.444589601602615</v>
      </c>
      <c r="L40" s="6">
        <f>$J$3+[24]FormattedData!E80*$J$4+$M$4*$J$5+[24]FormattedData!E80^2*$J$6+$M$5*$J$7</f>
        <v>35.349635592786932</v>
      </c>
      <c r="M40" s="6">
        <f>$J$3+[24]FormattedData!F80*$J$4+$M$4*$J$5+[24]FormattedData!F80^2*$J$6+$M$5*$J$7</f>
        <v>34.206890541040103</v>
      </c>
      <c r="N40" s="6">
        <f>$J$3+[24]FormattedData!G80*$J$4+$M$4*$J$5+[24]FormattedData!G80^2*$J$6+$M$5*$J$7</f>
        <v>35.254639315433309</v>
      </c>
      <c r="O40" s="6">
        <f>$J$3+[24]FormattedData!H80*$J$4+$M$4*$J$5+[24]FormattedData!H80^2*$J$6+$M$5*$J$7</f>
        <v>33.154027273557219</v>
      </c>
      <c r="P40" s="6">
        <f>$J$3+[24]FormattedData!I80*$J$4+$M$4*$J$5+[24]FormattedData!I80^2*$J$6+$M$5*$J$7</f>
        <v>35.918725617612061</v>
      </c>
      <c r="Q40" s="6">
        <f>$J$3+[24]FormattedData!J80*$J$4+$M$4*$J$5+[24]FormattedData!J80^2*$J$6+$M$5*$J$7</f>
        <v>33.154027273557219</v>
      </c>
      <c r="R40" s="6">
        <f>$J$3+[24]FormattedData!K80*$J$4+$M$4*$J$5+[24]FormattedData!K80^2*$J$6+$M$5*$J$7</f>
        <v>33.728950356616856</v>
      </c>
      <c r="S40" s="6">
        <f>$J$3+[24]FormattedData!L80*$J$4+$M$4*$J$5+[24]FormattedData!L80^2*$J$6+$M$5*$J$7</f>
        <v>32.288789522657424</v>
      </c>
      <c r="T40" s="6">
        <f>$J$3+[24]FormattedData!M80*$J$4+$M$4*$J$5+[24]FormattedData!M80^2*$J$6+$M$5*$J$7</f>
        <v>32.577582523132079</v>
      </c>
      <c r="U40" s="6">
        <f>$J$3+[24]FormattedData!N80*$J$4+$M$4*$J$5+[24]FormattedData!N80^2*$J$6+$M$5*$J$7</f>
        <v>30.256586847776269</v>
      </c>
      <c r="V40" s="6">
        <f>$J$3+[24]FormattedData!O80*$J$4+$M$4*$J$5+[24]FormattedData!O80^2*$J$6+$M$5*$J$7</f>
        <v>31.226627176829702</v>
      </c>
      <c r="W40" s="5">
        <f t="shared" si="0"/>
        <v>33.546755970216815</v>
      </c>
      <c r="X40" s="4">
        <f t="shared" si="1"/>
        <v>0.51421228581970224</v>
      </c>
      <c r="Y40" s="3">
        <f t="shared" si="2"/>
        <v>30.256586847776269</v>
      </c>
      <c r="Z40" s="2">
        <f t="shared" si="3"/>
        <v>32.505384273013419</v>
      </c>
      <c r="AA40" s="3">
        <f t="shared" si="4"/>
        <v>33.441488815087041</v>
      </c>
      <c r="AB40" s="2">
        <f t="shared" si="5"/>
        <v>35.278388384771716</v>
      </c>
      <c r="AC40" s="2">
        <f t="shared" si="6"/>
        <v>35.918725617612061</v>
      </c>
      <c r="AD40" s="2">
        <f t="shared" si="7"/>
        <v>-0.38239916144747604</v>
      </c>
      <c r="AE40" s="2">
        <f t="shared" si="8"/>
        <v>-0.69192671432450226</v>
      </c>
    </row>
    <row r="41" spans="2:31" x14ac:dyDescent="0.2">
      <c r="B41" s="1">
        <f>[24]FormattedData!A78</f>
        <v>408</v>
      </c>
      <c r="C41" s="1" t="str">
        <f>VLOOKUP($B41,[24]TrtCodes!$B$11:I121,2)</f>
        <v>NTL</v>
      </c>
      <c r="D41" s="1">
        <f>VLOOKUP($B41,[24]TrtCodes!$B$11:J121,3)</f>
        <v>10</v>
      </c>
      <c r="E41" s="1">
        <f>VLOOKUP($B41,[24]TrtCodes!$B$11:K121,4)</f>
        <v>2</v>
      </c>
      <c r="F41" s="1">
        <f>VLOOKUP($B41,[24]TrtCodes!$B$11:L121,5)</f>
        <v>2</v>
      </c>
      <c r="G41" s="1">
        <f>VLOOKUP($B41,[24]TrtCodes!$B$11:M121,6)</f>
        <v>1</v>
      </c>
      <c r="H41" s="1">
        <f>VLOOKUP($B41,[24]TrtCodes!$B$11:N121,7)</f>
        <v>4</v>
      </c>
      <c r="I41" s="1">
        <f>[24]FormattedData!B78</f>
        <v>1</v>
      </c>
      <c r="J41" s="4">
        <f>[24]FormattedData!C78</f>
        <v>13.615</v>
      </c>
      <c r="K41" s="6">
        <f>$J$3+[24]FormattedData!D78*$J$4+$M$4*$J$5+[24]FormattedData!D78^2*$J$6+$M$5*$J$7</f>
        <v>35.159600769541768</v>
      </c>
      <c r="L41" s="6">
        <f>$J$3+[24]FormattedData!E78*$J$4+$M$4*$J$5+[24]FormattedData!E78^2*$J$6+$M$5*$J$7</f>
        <v>33.537478403082034</v>
      </c>
      <c r="M41" s="6">
        <f>$J$3+[24]FormattedData!F78*$J$4+$M$4*$J$5+[24]FormattedData!F78^2*$J$6+$M$5*$J$7</f>
        <v>34.0158412728846</v>
      </c>
      <c r="N41" s="6">
        <f>$J$3+[24]FormattedData!G78*$J$4+$M$4*$J$5+[24]FormattedData!G78^2*$J$6+$M$5*$J$7</f>
        <v>32.86599510676534</v>
      </c>
      <c r="O41" s="6">
        <f>$J$3+[24]FormattedData!H78*$J$4+$M$4*$J$5+[24]FormattedData!H78^2*$J$6+$M$5*$J$7</f>
        <v>32.38509612468691</v>
      </c>
      <c r="P41" s="6">
        <f>$J$3+[24]FormattedData!I78*$J$4+$M$4*$J$5+[24]FormattedData!I78^2*$J$6+$M$5*$J$7</f>
        <v>33.249953458745324</v>
      </c>
      <c r="Q41" s="6">
        <f>$J$3+[24]FormattedData!J78*$J$4+$M$4*$J$5+[24]FormattedData!J78^2*$J$6+$M$5*$J$7</f>
        <v>32.481360458178465</v>
      </c>
      <c r="R41" s="6">
        <f>$J$3+[24]FormattedData!K78*$J$4+$M$4*$J$5+[24]FormattedData!K78^2*$J$6+$M$5*$J$7</f>
        <v>33.633235514118404</v>
      </c>
      <c r="S41" s="6">
        <f>$J$3+[24]FormattedData!L78*$J$4+$M$4*$J$5+[24]FormattedData!L78^2*$J$6+$M$5*$J$7</f>
        <v>33.441679023507731</v>
      </c>
      <c r="T41" s="6">
        <f>$J$3+[24]FormattedData!M78*$J$4+$M$4*$J$5+[24]FormattedData!M78^2*$J$6+$M$5*$J$7</f>
        <v>33.824622930577362</v>
      </c>
      <c r="U41" s="6">
        <f>$J$3+[24]FormattedData!N78*$J$4+$M$4*$J$5+[24]FormattedData!N78^2*$J$6+$M$5*$J$7</f>
        <v>32.481360458178465</v>
      </c>
      <c r="V41" s="6">
        <f>$J$3+[24]FormattedData!O78*$J$4+$M$4*$J$5+[24]FormattedData!O78^2*$J$6+$M$5*$J$7</f>
        <v>32.962048097567234</v>
      </c>
      <c r="W41" s="5">
        <f t="shared" si="0"/>
        <v>33.336522634819467</v>
      </c>
      <c r="X41" s="4">
        <f t="shared" si="1"/>
        <v>0.22862811991537085</v>
      </c>
      <c r="Y41" s="3">
        <f t="shared" si="2"/>
        <v>32.38509612468691</v>
      </c>
      <c r="Z41" s="2">
        <f t="shared" si="3"/>
        <v>32.769836444618619</v>
      </c>
      <c r="AA41" s="3">
        <f t="shared" si="4"/>
        <v>33.345816241126528</v>
      </c>
      <c r="AB41" s="2">
        <f t="shared" si="5"/>
        <v>33.681082368233142</v>
      </c>
      <c r="AC41" s="2">
        <f t="shared" si="6"/>
        <v>35.159600769541768</v>
      </c>
      <c r="AD41" s="2">
        <f t="shared" si="7"/>
        <v>0.93439685824100172</v>
      </c>
      <c r="AE41" s="2">
        <f t="shared" si="8"/>
        <v>1.2867328861799718</v>
      </c>
    </row>
    <row r="42" spans="2:31" x14ac:dyDescent="0.2">
      <c r="B42" s="17">
        <f>[24]FormattedData!A60</f>
        <v>901</v>
      </c>
      <c r="C42" s="17" t="str">
        <f>VLOOKUP($B42,[24]TrtCodes!$B$11:I103,2)</f>
        <v>WS</v>
      </c>
      <c r="D42" s="17">
        <f>VLOOKUP($B42,[24]TrtCodes!$B$11:J103,3)</f>
        <v>32</v>
      </c>
      <c r="E42" s="17">
        <f>VLOOKUP($B42,[24]TrtCodes!$B$11:K103,4)</f>
        <v>9</v>
      </c>
      <c r="F42" s="17">
        <f>VLOOKUP($B42,[24]TrtCodes!$B$11:L103,5)</f>
        <v>0</v>
      </c>
      <c r="G42" s="17">
        <f>VLOOKUP($B42,[24]TrtCodes!$B$11:M103,6)</f>
        <v>1</v>
      </c>
      <c r="H42" s="17">
        <f>VLOOKUP($B42,[24]TrtCodes!$B$11:N103,7)</f>
        <v>1</v>
      </c>
      <c r="I42" s="17">
        <f>[24]FormattedData!B60</f>
        <v>1</v>
      </c>
      <c r="J42" s="15">
        <f>[24]FormattedData!C60</f>
        <v>13.462</v>
      </c>
      <c r="K42" s="14">
        <f>$J$3+[24]FormattedData!D60*$J$4+$M$4*$J$5+[24]FormattedData!D60^2*$J$6+$M$5*$J$7</f>
        <v>39.301310751886902</v>
      </c>
      <c r="L42" s="14">
        <f>$J$3+[24]FormattedData!E60*$J$4+$M$4*$J$5+[24]FormattedData!E60^2*$J$6+$M$5*$J$7</f>
        <v>39.394489482109478</v>
      </c>
      <c r="M42" s="14">
        <f>$J$3+[24]FormattedData!F60*$J$4+$M$4*$J$5+[24]FormattedData!F60^2*$J$6+$M$5*$J$7</f>
        <v>39.766781717620461</v>
      </c>
      <c r="N42" s="14">
        <f>$J$3+[24]FormattedData!G60*$J$4+$M$4*$J$5+[24]FormattedData!G60^2*$J$6+$M$5*$J$7</f>
        <v>39.859749105153384</v>
      </c>
      <c r="O42" s="14">
        <f>$J$3+[24]FormattedData!H60*$J$4+$M$4*$J$5+[24]FormattedData!H60^2*$J$6+$M$5*$J$7</f>
        <v>39.487625943794121</v>
      </c>
      <c r="P42" s="14">
        <f>$J$3+[24]FormattedData!I60*$J$4+$M$4*$J$5+[24]FormattedData!I60^2*$J$6+$M$5*$J$7</f>
        <v>39.208089753126394</v>
      </c>
      <c r="Q42" s="14">
        <f>$J$3+[24]FormattedData!J60*$J$4+$M$4*$J$5+[24]FormattedData!J60^2*$J$6+$M$5*$J$7</f>
        <v>39.208089753126394</v>
      </c>
      <c r="R42" s="14">
        <f>$J$3+[24]FormattedData!K60*$J$4+$M$4*$J$5+[24]FormattedData!K60^2*$J$6+$M$5*$J$7</f>
        <v>39.301310751886902</v>
      </c>
      <c r="S42" s="14">
        <f>$J$3+[24]FormattedData!L60*$J$4+$M$4*$J$5+[24]FormattedData!L60^2*$J$6+$M$5*$J$7</f>
        <v>39.580720136940833</v>
      </c>
      <c r="T42" s="14">
        <f>$J$3+[24]FormattedData!M60*$J$4+$M$4*$J$5+[24]FormattedData!M60^2*$J$6+$M$5*$J$7</f>
        <v>39.673772061549613</v>
      </c>
      <c r="U42" s="14">
        <f>$J$3+[24]FormattedData!N60*$J$4+$M$4*$J$5+[24]FormattedData!N60^2*$J$6+$M$5*$J$7</f>
        <v>39.859749105153384</v>
      </c>
      <c r="V42" s="14">
        <f>$J$3+[24]FormattedData!O60*$J$4+$M$4*$J$5+[24]FormattedData!O60^2*$J$6+$M$5*$J$7</f>
        <v>39.580720136940833</v>
      </c>
      <c r="W42" s="16">
        <f t="shared" ref="W42:W73" si="9">AVERAGE(K42:V42)</f>
        <v>39.518534058274049</v>
      </c>
      <c r="X42" s="15">
        <f t="shared" ref="X42:X73" si="10">STDEV(K42:V42)/SQRT(COUNT(K42:V42))</f>
        <v>6.9072919446555942E-2</v>
      </c>
      <c r="Y42" s="14">
        <f t="shared" ref="Y42:Y73" si="11">MIN(K42:V42)</f>
        <v>39.208089753126394</v>
      </c>
      <c r="Z42" s="13">
        <f t="shared" ref="Z42:Z73" si="12">QUARTILE(K42:V42,1)</f>
        <v>39.301310751886902</v>
      </c>
      <c r="AA42" s="14">
        <f t="shared" ref="AA42:AA73" si="13">MEDIAN(K42:V42)</f>
        <v>39.534173040367477</v>
      </c>
      <c r="AB42" s="13">
        <f t="shared" ref="AB42:AB73" si="14">QUARTILE(K42:V42,3)</f>
        <v>39.697024475567325</v>
      </c>
      <c r="AC42" s="13">
        <f t="shared" ref="AC42:AC73" si="15">MAX(K42:V42)</f>
        <v>39.859749105153384</v>
      </c>
      <c r="AD42" s="13">
        <f t="shared" ref="AD42:AD73" si="16">SKEW(K42:V42)</f>
        <v>0.13297105888326716</v>
      </c>
      <c r="AE42" s="13">
        <f t="shared" ref="AE42:AE73" si="17">KURT(K42:V42)</f>
        <v>-1.3996106895263138</v>
      </c>
    </row>
    <row r="43" spans="2:31" x14ac:dyDescent="0.2">
      <c r="B43" s="1">
        <f>[24]FormattedData!A58</f>
        <v>902</v>
      </c>
      <c r="C43" s="1" t="str">
        <f>VLOOKUP($B43,[24]TrtCodes!$B$11:I101,2)</f>
        <v>Late</v>
      </c>
      <c r="D43" s="1">
        <f>VLOOKUP($B43,[24]TrtCodes!$B$11:J101,3)</f>
        <v>22</v>
      </c>
      <c r="E43" s="1">
        <f>VLOOKUP($B43,[24]TrtCodes!$B$11:K101,4)</f>
        <v>4</v>
      </c>
      <c r="F43" s="1">
        <f>VLOOKUP($B43,[24]TrtCodes!$B$11:L101,5)</f>
        <v>2</v>
      </c>
      <c r="G43" s="1">
        <f>VLOOKUP($B43,[24]TrtCodes!$B$11:M101,6)</f>
        <v>2</v>
      </c>
      <c r="H43" s="1">
        <f>VLOOKUP($B43,[24]TrtCodes!$B$11:N101,7)</f>
        <v>1</v>
      </c>
      <c r="I43" s="1">
        <f>[24]FormattedData!B58</f>
        <v>1</v>
      </c>
      <c r="J43" s="4">
        <f>[24]FormattedData!C58</f>
        <v>13.444000000000001</v>
      </c>
      <c r="K43" s="6">
        <f>$J$3+[24]FormattedData!D58*$J$4+$M$4*$J$5+[24]FormattedData!D58^2*$J$6+$M$5*$J$7</f>
        <v>42.537416529607995</v>
      </c>
      <c r="L43" s="6">
        <f>$J$3+[24]FormattedData!E58*$J$4+$M$4*$J$5+[24]FormattedData!E58^2*$J$6+$M$5*$J$7</f>
        <v>36.297273596736858</v>
      </c>
      <c r="M43" s="6">
        <f>$J$3+[24]FormattedData!F58*$J$4+$M$4*$J$5+[24]FormattedData!F58^2*$J$6+$M$5*$J$7</f>
        <v>34.11138704123131</v>
      </c>
      <c r="N43" s="6">
        <f>$J$3+[24]FormattedData!G58*$J$4+$M$4*$J$5+[24]FormattedData!G58^2*$J$6+$M$5*$J$7</f>
        <v>39.208089753126394</v>
      </c>
      <c r="O43" s="6">
        <f>$J$3+[24]FormattedData!H58*$J$4+$M$4*$J$5+[24]FormattedData!H58^2*$J$6+$M$5*$J$7</f>
        <v>34.874231520639547</v>
      </c>
      <c r="P43" s="6">
        <f>$J$3+[24]FormattedData!I58*$J$4+$M$4*$J$5+[24]FormattedData!I58^2*$J$6+$M$5*$J$7</f>
        <v>39.673772061549613</v>
      </c>
      <c r="Q43" s="6">
        <f>$J$3+[24]FormattedData!J58*$J$4+$M$4*$J$5+[24]FormattedData!J58^2*$J$6+$M$5*$J$7</f>
        <v>39.114826485827962</v>
      </c>
      <c r="R43" s="6">
        <f>$J$3+[24]FormattedData!K58*$J$4+$M$4*$J$5+[24]FormattedData!K58^2*$J$6+$M$5*$J$7</f>
        <v>34.397770735043885</v>
      </c>
      <c r="S43" s="6">
        <f>$J$3+[24]FormattedData!L58*$J$4+$M$4*$J$5+[24]FormattedData!L58^2*$J$6+$M$5*$J$7</f>
        <v>36.675145279254757</v>
      </c>
      <c r="T43" s="6">
        <f>$J$3+[24]FormattedData!M58*$J$4+$M$4*$J$5+[24]FormattedData!M58^2*$J$6+$M$5*$J$7</f>
        <v>37.24068474689367</v>
      </c>
      <c r="U43" s="6">
        <f>$J$3+[24]FormattedData!N58*$J$4+$M$4*$J$5+[24]FormattedData!N58^2*$J$6+$M$5*$J$7</f>
        <v>45.631481147258128</v>
      </c>
      <c r="V43" s="6">
        <f>$J$3+[24]FormattedData!O58*$J$4+$M$4*$J$5+[24]FormattedData!O58^2*$J$6+$M$5*$J$7</f>
        <v>33.920253235999951</v>
      </c>
      <c r="W43" s="5">
        <f t="shared" si="9"/>
        <v>37.806861011097503</v>
      </c>
      <c r="X43" s="4">
        <f t="shared" si="10"/>
        <v>1.0431125431350692</v>
      </c>
      <c r="Y43" s="3">
        <f t="shared" si="11"/>
        <v>33.920253235999951</v>
      </c>
      <c r="Z43" s="2">
        <f t="shared" si="12"/>
        <v>34.755116324240632</v>
      </c>
      <c r="AA43" s="3">
        <f t="shared" si="13"/>
        <v>36.957915013074214</v>
      </c>
      <c r="AB43" s="2">
        <f t="shared" si="14"/>
        <v>39.324510330232201</v>
      </c>
      <c r="AC43" s="2">
        <f t="shared" si="15"/>
        <v>45.631481147258128</v>
      </c>
      <c r="AD43" s="2">
        <f t="shared" si="16"/>
        <v>0.96493766481160015</v>
      </c>
      <c r="AE43" s="2">
        <f t="shared" si="17"/>
        <v>0.49454045680523784</v>
      </c>
    </row>
    <row r="44" spans="2:31" x14ac:dyDescent="0.2">
      <c r="B44" s="17">
        <f>[24]FormattedData!A56</f>
        <v>903</v>
      </c>
      <c r="C44" s="17" t="str">
        <f>VLOOKUP($B44,[24]TrtCodes!$B$11:I99,2)</f>
        <v>DS</v>
      </c>
      <c r="D44" s="17">
        <f>VLOOKUP($B44,[24]TrtCodes!$B$11:J99,3)</f>
        <v>31</v>
      </c>
      <c r="E44" s="17">
        <f>VLOOKUP($B44,[24]TrtCodes!$B$11:K99,4)</f>
        <v>8</v>
      </c>
      <c r="F44" s="17">
        <f>VLOOKUP($B44,[24]TrtCodes!$B$11:L99,5)</f>
        <v>0</v>
      </c>
      <c r="G44" s="17">
        <f>VLOOKUP($B44,[24]TrtCodes!$B$11:M99,6)</f>
        <v>1</v>
      </c>
      <c r="H44" s="17">
        <f>VLOOKUP($B44,[24]TrtCodes!$B$11:N99,7)</f>
        <v>1</v>
      </c>
      <c r="I44" s="17">
        <f>[24]FormattedData!B56</f>
        <v>1</v>
      </c>
      <c r="J44" s="15">
        <f>[24]FormattedData!C56</f>
        <v>13.433999999999999</v>
      </c>
      <c r="K44" s="14">
        <f>$J$3+[24]FormattedData!D56*$J$4+$M$4*$J$5+[24]FormattedData!D56^2*$J$6+$M$5*$J$7</f>
        <v>63.740346122617602</v>
      </c>
      <c r="L44" s="14">
        <f>$J$3+[24]FormattedData!E56*$J$4+$M$4*$J$5+[24]FormattedData!E56^2*$J$6+$M$5*$J$7</f>
        <v>63.006352181993989</v>
      </c>
      <c r="M44" s="14">
        <f>$J$3+[24]FormattedData!F56*$J$4+$M$4*$J$5+[24]FormattedData!F56^2*$J$6+$M$5*$J$7</f>
        <v>63.169757826342533</v>
      </c>
      <c r="N44" s="14">
        <f>$J$3+[24]FormattedData!G56*$J$4+$M$4*$J$5+[24]FormattedData!G56^2*$J$6+$M$5*$J$7</f>
        <v>62.515120804038027</v>
      </c>
      <c r="O44" s="14">
        <f>$J$3+[24]FormattedData!H56*$J$4+$M$4*$J$5+[24]FormattedData!H56^2*$J$6+$M$5*$J$7</f>
        <v>62.679033670841733</v>
      </c>
      <c r="P44" s="14">
        <f>$J$3+[24]FormattedData!I56*$J$4+$M$4*$J$5+[24]FormattedData!I56^2*$J$6+$M$5*$J$7</f>
        <v>62.842777463493732</v>
      </c>
      <c r="Q44" s="14">
        <f>$J$3+[24]FormattedData!J56*$J$4+$M$4*$J$5+[24]FormattedData!J56^2*$J$6+$M$5*$J$7</f>
        <v>62.679033670841733</v>
      </c>
      <c r="R44" s="14">
        <f>$J$3+[24]FormattedData!K56*$J$4+$M$4*$J$5+[24]FormattedData!K56^2*$J$6+$M$5*$J$7</f>
        <v>62.842777463493732</v>
      </c>
      <c r="S44" s="14">
        <f>$J$3+[24]FormattedData!L56*$J$4+$M$4*$J$5+[24]FormattedData!L56^2*$J$6+$M$5*$J$7</f>
        <v>63.577532237800085</v>
      </c>
      <c r="T44" s="14">
        <f>$J$3+[24]FormattedData!M56*$J$4+$M$4*$J$5+[24]FormattedData!M56^2*$J$6+$M$5*$J$7</f>
        <v>63.25139724570991</v>
      </c>
      <c r="U44" s="14">
        <f>$J$3+[24]FormattedData!N56*$J$4+$M$4*$J$5+[24]FormattedData!N56^2*$J$6+$M$5*$J$7</f>
        <v>63.414549278830862</v>
      </c>
      <c r="V44" s="14">
        <f>$J$3+[24]FormattedData!O56*$J$4+$M$4*$J$5+[24]FormattedData!O56^2*$J$6+$M$5*$J$7</f>
        <v>63.25139724570991</v>
      </c>
      <c r="W44" s="16">
        <f t="shared" si="9"/>
        <v>63.080839600976155</v>
      </c>
      <c r="X44" s="15">
        <f t="shared" si="10"/>
        <v>0.11081414122497821</v>
      </c>
      <c r="Y44" s="14">
        <f t="shared" si="11"/>
        <v>62.515120804038027</v>
      </c>
      <c r="Z44" s="13">
        <f t="shared" si="12"/>
        <v>62.801841515330736</v>
      </c>
      <c r="AA44" s="14">
        <f t="shared" si="13"/>
        <v>63.088055004168261</v>
      </c>
      <c r="AB44" s="13">
        <f t="shared" si="14"/>
        <v>63.292185253990148</v>
      </c>
      <c r="AC44" s="13">
        <f t="shared" si="15"/>
        <v>63.740346122617602</v>
      </c>
      <c r="AD44" s="13">
        <f t="shared" si="16"/>
        <v>0.22947107996641772</v>
      </c>
      <c r="AE44" s="13">
        <f t="shared" si="17"/>
        <v>-0.94766725032210708</v>
      </c>
    </row>
    <row r="45" spans="2:31" x14ac:dyDescent="0.2">
      <c r="B45" s="1">
        <f>[24]FormattedData!A54</f>
        <v>904</v>
      </c>
      <c r="C45" s="1" t="str">
        <f>VLOOKUP($B45,[24]TrtCodes!$B$11:I97,2)</f>
        <v>Early</v>
      </c>
      <c r="D45" s="1">
        <f>VLOOKUP($B45,[24]TrtCodes!$B$11:J97,3)</f>
        <v>21</v>
      </c>
      <c r="E45" s="1">
        <f>VLOOKUP($B45,[24]TrtCodes!$B$11:K97,4)</f>
        <v>3</v>
      </c>
      <c r="F45" s="1">
        <f>VLOOKUP($B45,[24]TrtCodes!$B$11:L97,5)</f>
        <v>2</v>
      </c>
      <c r="G45" s="1">
        <f>VLOOKUP($B45,[24]TrtCodes!$B$11:M97,6)</f>
        <v>2</v>
      </c>
      <c r="H45" s="1">
        <f>VLOOKUP($B45,[24]TrtCodes!$B$11:N97,7)</f>
        <v>1</v>
      </c>
      <c r="I45" s="1">
        <f>[24]FormattedData!B54</f>
        <v>1</v>
      </c>
      <c r="J45" s="4">
        <f>[24]FormattedData!C54</f>
        <v>13.416</v>
      </c>
      <c r="K45" s="6">
        <f>$J$3+[24]FormattedData!D54*$J$4+$M$4*$J$5+[24]FormattedData!D54^2*$J$6+$M$5*$J$7</f>
        <v>59.952851011428677</v>
      </c>
      <c r="L45" s="6">
        <f>$J$3+[24]FormattedData!E54*$J$4+$M$4*$J$5+[24]FormattedData!E54^2*$J$6+$M$5*$J$7</f>
        <v>48.409954511385266</v>
      </c>
      <c r="M45" s="6">
        <f>$J$3+[24]FormattedData!F54*$J$4+$M$4*$J$5+[24]FormattedData!F54^2*$J$6+$M$5*$J$7</f>
        <v>40.787098210896367</v>
      </c>
      <c r="N45" s="6">
        <f>$J$3+[24]FormattedData!G54*$J$4+$M$4*$J$5+[24]FormattedData!G54^2*$J$6+$M$5*$J$7</f>
        <v>53.326166043021132</v>
      </c>
      <c r="O45" s="6">
        <f>$J$3+[24]FormattedData!H54*$J$4+$M$4*$J$5+[24]FormattedData!H54^2*$J$6+$M$5*$J$7</f>
        <v>39.114826485827962</v>
      </c>
      <c r="P45" s="6">
        <f>$J$3+[24]FormattedData!I54*$J$4+$M$4*$J$5+[24]FormattedData!I54^2*$J$6+$M$5*$J$7</f>
        <v>56.756590115647526</v>
      </c>
      <c r="Q45" s="6">
        <f>$J$3+[24]FormattedData!J54*$J$4+$M$4*$J$5+[24]FormattedData!J54^2*$J$6+$M$5*$J$7</f>
        <v>40.13839765652456</v>
      </c>
      <c r="R45" s="6">
        <f>$J$3+[24]FormattedData!K54*$J$4+$M$4*$J$5+[24]FormattedData!K54^2*$J$6+$M$5*$J$7</f>
        <v>57.603628999321344</v>
      </c>
      <c r="S45" s="6">
        <f>$J$3+[24]FormattedData!L54*$J$4+$M$4*$J$5+[24]FormattedData!L54^2*$J$6+$M$5*$J$7</f>
        <v>40.787098210896367</v>
      </c>
      <c r="T45" s="6">
        <f>$J$3+[24]FormattedData!M54*$J$4+$M$4*$J$5+[24]FormattedData!M54^2*$J$6+$M$5*$J$7</f>
        <v>54.534507342343844</v>
      </c>
      <c r="U45" s="6">
        <f>$J$3+[24]FormattedData!N54*$J$4+$M$4*$J$5+[24]FormattedData!N54^2*$J$6+$M$5*$J$7</f>
        <v>42.537416529607995</v>
      </c>
      <c r="V45" s="6">
        <f>$J$3+[24]FormattedData!O54*$J$4+$M$4*$J$5+[24]FormattedData!O54^2*$J$6+$M$5*$J$7</f>
        <v>50.269067523438409</v>
      </c>
      <c r="W45" s="5">
        <f t="shared" si="9"/>
        <v>48.684800220028279</v>
      </c>
      <c r="X45" s="4">
        <f t="shared" si="10"/>
        <v>2.2312827114331912</v>
      </c>
      <c r="Y45" s="3">
        <f t="shared" si="11"/>
        <v>39.114826485827962</v>
      </c>
      <c r="Z45" s="2">
        <f t="shared" si="12"/>
        <v>40.787098210896367</v>
      </c>
      <c r="AA45" s="3">
        <f t="shared" si="13"/>
        <v>49.339511017411837</v>
      </c>
      <c r="AB45" s="2">
        <f t="shared" si="14"/>
        <v>55.090028035669761</v>
      </c>
      <c r="AC45" s="2">
        <f t="shared" si="15"/>
        <v>59.952851011428677</v>
      </c>
      <c r="AD45" s="2">
        <f t="shared" si="16"/>
        <v>5.9517896836927146E-2</v>
      </c>
      <c r="AE45" s="2">
        <f t="shared" si="17"/>
        <v>-1.7700243378184974</v>
      </c>
    </row>
    <row r="46" spans="2:31" x14ac:dyDescent="0.2">
      <c r="B46" s="17">
        <f>[24]FormattedData!A52</f>
        <v>905</v>
      </c>
      <c r="C46" s="17" t="str">
        <f>VLOOKUP($B46,[24]TrtCodes!$B$11:I95,2)</f>
        <v>WS</v>
      </c>
      <c r="D46" s="17">
        <f>VLOOKUP($B46,[24]TrtCodes!$B$11:J95,3)</f>
        <v>32</v>
      </c>
      <c r="E46" s="17">
        <f>VLOOKUP($B46,[24]TrtCodes!$B$11:K95,4)</f>
        <v>9</v>
      </c>
      <c r="F46" s="17">
        <f>VLOOKUP($B46,[24]TrtCodes!$B$11:L95,5)</f>
        <v>0</v>
      </c>
      <c r="G46" s="17">
        <f>VLOOKUP($B46,[24]TrtCodes!$B$11:M95,6)</f>
        <v>1</v>
      </c>
      <c r="H46" s="17">
        <f>VLOOKUP($B46,[24]TrtCodes!$B$11:N95,7)</f>
        <v>2</v>
      </c>
      <c r="I46" s="17">
        <f>[24]FormattedData!B52</f>
        <v>1</v>
      </c>
      <c r="J46" s="15">
        <f>[24]FormattedData!C52</f>
        <v>13.407</v>
      </c>
      <c r="K46" s="14">
        <f>$J$3+[24]FormattedData!D52*$J$4+$M$4*$J$5+[24]FormattedData!D52^2*$J$6+$M$5*$J$7</f>
        <v>54.103907920403458</v>
      </c>
      <c r="L46" s="14">
        <f>$J$3+[24]FormattedData!E52*$J$4+$M$4*$J$5+[24]FormattedData!E52^2*$J$6+$M$5*$J$7</f>
        <v>53.672251785014808</v>
      </c>
      <c r="M46" s="14">
        <f>$J$3+[24]FormattedData!F52*$J$4+$M$4*$J$5+[24]FormattedData!F52^2*$J$6+$M$5*$J$7</f>
        <v>54.964050050835937</v>
      </c>
      <c r="N46" s="14">
        <f>$J$3+[24]FormattedData!G52*$J$4+$M$4*$J$5+[24]FormattedData!G52^2*$J$6+$M$5*$J$7</f>
        <v>55.905324378180602</v>
      </c>
      <c r="O46" s="14">
        <f>$J$3+[24]FormattedData!H52*$J$4+$M$4*$J$5+[24]FormattedData!H52^2*$J$6+$M$5*$J$7</f>
        <v>54.792359773052894</v>
      </c>
      <c r="P46" s="14">
        <f>$J$3+[24]FormattedData!I52*$J$4+$M$4*$J$5+[24]FormattedData!I52^2*$J$6+$M$5*$J$7</f>
        <v>54.878226046213385</v>
      </c>
      <c r="Q46" s="14">
        <f>$J$3+[24]FormattedData!J52*$J$4+$M$4*$J$5+[24]FormattedData!J52^2*$J$6+$M$5*$J$7</f>
        <v>54.878226046213385</v>
      </c>
      <c r="R46" s="14">
        <f>$J$3+[24]FormattedData!K52*$J$4+$M$4*$J$5+[24]FormattedData!K52^2*$J$6+$M$5*$J$7</f>
        <v>55.306923383946852</v>
      </c>
      <c r="S46" s="14">
        <f>$J$3+[24]FormattedData!L52*$J$4+$M$4*$J$5+[24]FormattedData!L52^2*$J$6+$M$5*$J$7</f>
        <v>54.190112341867405</v>
      </c>
      <c r="T46" s="14">
        <f>$J$3+[24]FormattedData!M52*$J$4+$M$4*$J$5+[24]FormattedData!M52^2*$J$6+$M$5*$J$7</f>
        <v>55.478106439274718</v>
      </c>
      <c r="U46" s="14">
        <f>$J$3+[24]FormattedData!N52*$J$4+$M$4*$J$5+[24]FormattedData!N52^2*$J$6+$M$5*$J$7</f>
        <v>55.56363456413176</v>
      </c>
      <c r="V46" s="14">
        <f>$J$3+[24]FormattedData!O52*$J$4+$M$4*$J$5+[24]FormattedData!O52^2*$J$6+$M$5*$J$7</f>
        <v>55.819965327475288</v>
      </c>
      <c r="W46" s="16">
        <f t="shared" si="9"/>
        <v>54.962757338050885</v>
      </c>
      <c r="X46" s="15">
        <f t="shared" si="10"/>
        <v>0.20247824127348951</v>
      </c>
      <c r="Y46" s="14">
        <f t="shared" si="11"/>
        <v>53.672251785014808</v>
      </c>
      <c r="Z46" s="13">
        <f t="shared" si="12"/>
        <v>54.641797915256518</v>
      </c>
      <c r="AA46" s="14">
        <f t="shared" si="13"/>
        <v>54.921138048524661</v>
      </c>
      <c r="AB46" s="13">
        <f t="shared" si="14"/>
        <v>55.499488470488977</v>
      </c>
      <c r="AC46" s="13">
        <f t="shared" si="15"/>
        <v>55.905324378180602</v>
      </c>
      <c r="AD46" s="13">
        <f t="shared" si="16"/>
        <v>-0.4388857909752899</v>
      </c>
      <c r="AE46" s="13">
        <f t="shared" si="17"/>
        <v>-0.63540164380595288</v>
      </c>
    </row>
    <row r="47" spans="2:31" x14ac:dyDescent="0.2">
      <c r="B47" s="1">
        <f>[24]FormattedData!A50</f>
        <v>906</v>
      </c>
      <c r="C47" s="1" t="str">
        <f>VLOOKUP($B47,[24]TrtCodes!$B$11:I93,2)</f>
        <v>Late</v>
      </c>
      <c r="D47" s="1">
        <f>VLOOKUP($B47,[24]TrtCodes!$B$11:J93,3)</f>
        <v>22</v>
      </c>
      <c r="E47" s="1">
        <f>VLOOKUP($B47,[24]TrtCodes!$B$11:K93,4)</f>
        <v>4</v>
      </c>
      <c r="F47" s="1">
        <f>VLOOKUP($B47,[24]TrtCodes!$B$11:L93,5)</f>
        <v>2</v>
      </c>
      <c r="G47" s="1">
        <f>VLOOKUP($B47,[24]TrtCodes!$B$11:M93,6)</f>
        <v>2</v>
      </c>
      <c r="H47" s="1">
        <f>VLOOKUP($B47,[24]TrtCodes!$B$11:N93,7)</f>
        <v>2</v>
      </c>
      <c r="I47" s="1">
        <f>[24]FormattedData!B50</f>
        <v>1</v>
      </c>
      <c r="J47" s="4">
        <f>[24]FormattedData!C50</f>
        <v>13.388999999999999</v>
      </c>
      <c r="K47" s="6">
        <f>$J$3+[24]FormattedData!D50*$J$4+$M$4*$J$5+[24]FormattedData!D50^2*$J$6+$M$5*$J$7</f>
        <v>39.02152094999159</v>
      </c>
      <c r="L47" s="6">
        <f>$J$3+[24]FormattedData!E50*$J$4+$M$4*$J$5+[24]FormattedData!E50^2*$J$6+$M$5*$J$7</f>
        <v>33.728950356616856</v>
      </c>
      <c r="M47" s="6">
        <f>$J$3+[24]FormattedData!F50*$J$4+$M$4*$J$5+[24]FormattedData!F50^2*$J$6+$M$5*$J$7</f>
        <v>32.962048097567234</v>
      </c>
      <c r="N47" s="6">
        <f>$J$3+[24]FormattedData!G50*$J$4+$M$4*$J$5+[24]FormattedData!G50^2*$J$6+$M$5*$J$7</f>
        <v>33.058058819831196</v>
      </c>
      <c r="O47" s="6">
        <f>$J$3+[24]FormattedData!H50*$J$4+$M$4*$J$5+[24]FormattedData!H50^2*$J$6+$M$5*$J$7</f>
        <v>32.481360458178465</v>
      </c>
      <c r="P47" s="6">
        <f>$J$3+[24]FormattedData!I50*$J$4+$M$4*$J$5+[24]FormattedData!I50^2*$J$6+$M$5*$J$7</f>
        <v>38.460800095676817</v>
      </c>
      <c r="Q47" s="6">
        <f>$J$3+[24]FormattedData!J50*$J$4+$M$4*$J$5+[24]FormattedData!J50^2*$J$6+$M$5*$J$7</f>
        <v>34.206890541040103</v>
      </c>
      <c r="R47" s="6">
        <f>$J$3+[24]FormattedData!K50*$J$4+$M$4*$J$5+[24]FormattedData!K50^2*$J$6+$M$5*$J$7</f>
        <v>37.898557573996541</v>
      </c>
      <c r="S47" s="6">
        <f>$J$3+[24]FormattedData!L50*$J$4+$M$4*$J$5+[24]FormattedData!L50^2*$J$6+$M$5*$J$7</f>
        <v>31.99961610534141</v>
      </c>
      <c r="T47" s="6">
        <f>$J$3+[24]FormattedData!M50*$J$4+$M$4*$J$5+[24]FormattedData!M50^2*$J$6+$M$5*$J$7</f>
        <v>39.766781717620461</v>
      </c>
      <c r="U47" s="6">
        <f>$J$3+[24]FormattedData!N50*$J$4+$M$4*$J$5+[24]FormattedData!N50^2*$J$6+$M$5*$J$7</f>
        <v>32.86599510676534</v>
      </c>
      <c r="V47" s="6">
        <f>$J$3+[24]FormattedData!O50*$J$4+$M$4*$J$5+[24]FormattedData!O50^2*$J$6+$M$5*$J$7</f>
        <v>33.34583737539549</v>
      </c>
      <c r="W47" s="5">
        <f t="shared" si="9"/>
        <v>34.983034766501795</v>
      </c>
      <c r="X47" s="4">
        <f t="shared" si="10"/>
        <v>0.83518828860823224</v>
      </c>
      <c r="Y47" s="3">
        <f t="shared" si="11"/>
        <v>31.99961610534141</v>
      </c>
      <c r="Z47" s="2">
        <f t="shared" si="12"/>
        <v>32.93803484986676</v>
      </c>
      <c r="AA47" s="3">
        <f t="shared" si="13"/>
        <v>33.53739386600617</v>
      </c>
      <c r="AB47" s="2">
        <f t="shared" si="14"/>
        <v>38.03911820441661</v>
      </c>
      <c r="AC47" s="2">
        <f t="shared" si="15"/>
        <v>39.766781717620461</v>
      </c>
      <c r="AD47" s="2">
        <f t="shared" si="16"/>
        <v>0.7579931404880581</v>
      </c>
      <c r="AE47" s="2">
        <f t="shared" si="17"/>
        <v>-1.3634645054103722</v>
      </c>
    </row>
    <row r="48" spans="2:31" x14ac:dyDescent="0.2">
      <c r="B48" s="17">
        <f>[24]FormattedData!A48</f>
        <v>907</v>
      </c>
      <c r="C48" s="17" t="str">
        <f>VLOOKUP($B48,[24]TrtCodes!$B$11:I91,2)</f>
        <v>DS</v>
      </c>
      <c r="D48" s="17">
        <f>VLOOKUP($B48,[24]TrtCodes!$B$11:J91,3)</f>
        <v>31</v>
      </c>
      <c r="E48" s="17">
        <f>VLOOKUP($B48,[24]TrtCodes!$B$11:K91,4)</f>
        <v>8</v>
      </c>
      <c r="F48" s="17">
        <f>VLOOKUP($B48,[24]TrtCodes!$B$11:L91,5)</f>
        <v>0</v>
      </c>
      <c r="G48" s="17">
        <f>VLOOKUP($B48,[24]TrtCodes!$B$11:M91,6)</f>
        <v>1</v>
      </c>
      <c r="H48" s="17">
        <f>VLOOKUP($B48,[24]TrtCodes!$B$11:N91,7)</f>
        <v>2</v>
      </c>
      <c r="I48" s="17">
        <f>[24]FormattedData!B48</f>
        <v>1</v>
      </c>
      <c r="J48" s="15">
        <f>[24]FormattedData!C48</f>
        <v>13.381</v>
      </c>
      <c r="K48" s="14">
        <f>$J$3+[24]FormattedData!D48*$J$4+$M$4*$J$5+[24]FormattedData!D48^2*$J$6+$M$5*$J$7</f>
        <v>62.515120804038027</v>
      </c>
      <c r="L48" s="14">
        <f>$J$3+[24]FormattedData!E48*$J$4+$M$4*$J$5+[24]FormattedData!E48^2*$J$6+$M$5*$J$7</f>
        <v>63.169757826342533</v>
      </c>
      <c r="M48" s="14">
        <f>$J$3+[24]FormattedData!F48*$J$4+$M$4*$J$5+[24]FormattedData!F48^2*$J$6+$M$5*$J$7</f>
        <v>62.268934489797964</v>
      </c>
      <c r="N48" s="14">
        <f>$J$3+[24]FormattedData!G48*$J$4+$M$4*$J$5+[24]FormattedData!G48^2*$J$6+$M$5*$J$7</f>
        <v>62.842777463493732</v>
      </c>
      <c r="O48" s="14">
        <f>$J$3+[24]FormattedData!H48*$J$4+$M$4*$J$5+[24]FormattedData!H48^2*$J$6+$M$5*$J$7</f>
        <v>62.92458595701283</v>
      </c>
      <c r="P48" s="14">
        <f>$J$3+[24]FormattedData!I48*$J$4+$M$4*$J$5+[24]FormattedData!I48^2*$J$6+$M$5*$J$7</f>
        <v>62.760926701436695</v>
      </c>
      <c r="Q48" s="14">
        <f>$J$3+[24]FormattedData!J48*$J$4+$M$4*$J$5+[24]FormattedData!J48^2*$J$6+$M$5*$J$7</f>
        <v>62.760926701436695</v>
      </c>
      <c r="R48" s="14">
        <f>$J$3+[24]FormattedData!K48*$J$4+$M$4*$J$5+[24]FormattedData!K48^2*$J$6+$M$5*$J$7</f>
        <v>62.679033670841733</v>
      </c>
      <c r="S48" s="14">
        <f>$J$3+[24]FormattedData!L48*$J$4+$M$4*$J$5+[24]FormattedData!L48^2*$J$6+$M$5*$J$7</f>
        <v>62.92458595701283</v>
      </c>
      <c r="T48" s="14">
        <f>$J$3+[24]FormattedData!M48*$J$4+$M$4*$J$5+[24]FormattedData!M48^2*$J$6+$M$5*$J$7</f>
        <v>63.006352181993989</v>
      </c>
      <c r="U48" s="14">
        <f>$J$3+[24]FormattedData!N48*$J$4+$M$4*$J$5+[24]FormattedData!N48^2*$J$6+$M$5*$J$7</f>
        <v>63.006352181993989</v>
      </c>
      <c r="V48" s="14">
        <f>$J$3+[24]FormattedData!O48*$J$4+$M$4*$J$5+[24]FormattedData!O48^2*$J$6+$M$5*$J$7</f>
        <v>62.679033670841733</v>
      </c>
      <c r="W48" s="16">
        <f t="shared" si="9"/>
        <v>62.794865633853554</v>
      </c>
      <c r="X48" s="15">
        <f t="shared" si="10"/>
        <v>7.0170035457826505E-2</v>
      </c>
      <c r="Y48" s="14">
        <f t="shared" si="11"/>
        <v>62.268934489797964</v>
      </c>
      <c r="Z48" s="13">
        <f t="shared" si="12"/>
        <v>62.679033670841733</v>
      </c>
      <c r="AA48" s="14">
        <f t="shared" si="13"/>
        <v>62.801852082465217</v>
      </c>
      <c r="AB48" s="13">
        <f t="shared" si="14"/>
        <v>62.945027513258118</v>
      </c>
      <c r="AC48" s="13">
        <f t="shared" si="15"/>
        <v>63.169757826342533</v>
      </c>
      <c r="AD48" s="13">
        <f t="shared" si="16"/>
        <v>-0.7175568739252004</v>
      </c>
      <c r="AE48" s="13">
        <f t="shared" si="17"/>
        <v>0.81070097466556135</v>
      </c>
    </row>
    <row r="49" spans="2:31" ht="13.5" thickBot="1" x14ac:dyDescent="0.25">
      <c r="B49" s="12">
        <f>[24]FormattedData!A46</f>
        <v>908</v>
      </c>
      <c r="C49" s="12" t="str">
        <f>VLOOKUP($B49,[24]TrtCodes!$B$11:I89,2)</f>
        <v>Early</v>
      </c>
      <c r="D49" s="12">
        <f>VLOOKUP($B49,[24]TrtCodes!$B$11:J89,3)</f>
        <v>21</v>
      </c>
      <c r="E49" s="12">
        <f>VLOOKUP($B49,[24]TrtCodes!$B$11:K89,4)</f>
        <v>3</v>
      </c>
      <c r="F49" s="12">
        <f>VLOOKUP($B49,[24]TrtCodes!$B$11:L89,5)</f>
        <v>2</v>
      </c>
      <c r="G49" s="12">
        <f>VLOOKUP($B49,[24]TrtCodes!$B$11:M89,6)</f>
        <v>2</v>
      </c>
      <c r="H49" s="12">
        <f>VLOOKUP($B49,[24]TrtCodes!$B$11:N89,7)</f>
        <v>2</v>
      </c>
      <c r="I49" s="12">
        <f>[24]FormattedData!B46</f>
        <v>1</v>
      </c>
      <c r="J49" s="9">
        <f>[24]FormattedData!C46</f>
        <v>13.363</v>
      </c>
      <c r="K49" s="11">
        <f>$J$3+[24]FormattedData!D46*$J$4+$M$4*$J$5+[24]FormattedData!D46^2*$J$6+$M$5*$J$7</f>
        <v>47.518110977504442</v>
      </c>
      <c r="L49" s="11">
        <f>$J$3+[24]FormattedData!E46*$J$4+$M$4*$J$5+[24]FormattedData!E46^2*$J$6+$M$5*$J$7</f>
        <v>47.607485539313217</v>
      </c>
      <c r="M49" s="11">
        <f>$J$3+[24]FormattedData!F46*$J$4+$M$4*$J$5+[24]FormattedData!F46^2*$J$6+$M$5*$J$7</f>
        <v>42.353891061204237</v>
      </c>
      <c r="N49" s="11">
        <f>$J$3+[24]FormattedData!G46*$J$4+$M$4*$J$5+[24]FormattedData!G46^2*$J$6+$M$5*$J$7</f>
        <v>42.537416529607995</v>
      </c>
      <c r="O49" s="11">
        <f>$J$3+[24]FormattedData!H46*$J$4+$M$4*$J$5+[24]FormattedData!H46^2*$J$6+$M$5*$J$7</f>
        <v>48.765508405875529</v>
      </c>
      <c r="P49" s="11">
        <f>$J$3+[24]FormattedData!I46*$J$4+$M$4*$J$5+[24]FormattedData!I46^2*$J$6+$M$5*$J$7</f>
        <v>49.563031959009635</v>
      </c>
      <c r="Q49" s="11">
        <f>$J$3+[24]FormattedData!J46*$J$4+$M$4*$J$5+[24]FormattedData!J46^2*$J$6+$M$5*$J$7</f>
        <v>43.726210891784184</v>
      </c>
      <c r="R49" s="11">
        <f>$J$3+[24]FormattedData!K46*$J$4+$M$4*$J$5+[24]FormattedData!K46^2*$J$6+$M$5*$J$7</f>
        <v>51.498120406347375</v>
      </c>
      <c r="S49" s="11">
        <f>$J$3+[24]FormattedData!L46*$J$4+$M$4*$J$5+[24]FormattedData!L46^2*$J$6+$M$5*$J$7</f>
        <v>36.297273596736858</v>
      </c>
      <c r="T49" s="11">
        <f>$J$3+[24]FormattedData!M46*$J$4+$M$4*$J$5+[24]FormattedData!M46^2*$J$6+$M$5*$J$7</f>
        <v>44.363372135300786</v>
      </c>
      <c r="U49" s="11">
        <f>$J$3+[24]FormattedData!N46*$J$4+$M$4*$J$5+[24]FormattedData!N46^2*$J$6+$M$5*$J$7</f>
        <v>39.859749105153384</v>
      </c>
      <c r="V49" s="11">
        <f>$J$3+[24]FormattedData!O46*$J$4+$M$4*$J$5+[24]FormattedData!O46^2*$J$6+$M$5*$J$7</f>
        <v>52.805769373892673</v>
      </c>
      <c r="W49" s="10">
        <f t="shared" si="9"/>
        <v>45.574661665144191</v>
      </c>
      <c r="X49" s="9">
        <f t="shared" si="10"/>
        <v>1.4157839129402714</v>
      </c>
      <c r="Y49" s="8">
        <f t="shared" si="11"/>
        <v>36.297273596736858</v>
      </c>
      <c r="Z49" s="7">
        <f t="shared" si="12"/>
        <v>42.491535162507056</v>
      </c>
      <c r="AA49" s="8">
        <f t="shared" si="13"/>
        <v>45.940741556402614</v>
      </c>
      <c r="AB49" s="7">
        <f t="shared" si="14"/>
        <v>48.964889294159057</v>
      </c>
      <c r="AC49" s="7">
        <f t="shared" si="15"/>
        <v>52.805769373892673</v>
      </c>
      <c r="AD49" s="7">
        <f t="shared" si="16"/>
        <v>-0.33019108600648711</v>
      </c>
      <c r="AE49" s="7">
        <f t="shared" si="17"/>
        <v>-0.48327854149199378</v>
      </c>
    </row>
    <row r="50" spans="2:31" ht="13.5" thickTop="1" x14ac:dyDescent="0.2">
      <c r="B50" s="1">
        <f>[24]FormattedData!A29</f>
        <v>101</v>
      </c>
      <c r="C50" s="1" t="str">
        <f>VLOOKUP($B50,[24]TrtCodes!$B$11:I72,2)</f>
        <v>FSH</v>
      </c>
      <c r="D50" s="1">
        <f>VLOOKUP($B50,[24]TrtCodes!$B$11:J72,3)</f>
        <v>1</v>
      </c>
      <c r="E50" s="1">
        <f>VLOOKUP($B50,[24]TrtCodes!$B$11:K72,4)</f>
        <v>1</v>
      </c>
      <c r="F50" s="1">
        <f>VLOOKUP($B50,[24]TrtCodes!$B$11:L72,5)</f>
        <v>1</v>
      </c>
      <c r="G50" s="1">
        <f>VLOOKUP($B50,[24]TrtCodes!$B$11:M72,6)</f>
        <v>2</v>
      </c>
      <c r="H50" s="1">
        <f>VLOOKUP($B50,[24]TrtCodes!$B$11:N72,7)</f>
        <v>1</v>
      </c>
      <c r="I50" s="1">
        <f>[24]FormattedData!B29</f>
        <v>2</v>
      </c>
      <c r="J50" s="4">
        <f>[24]FormattedData!C29</f>
        <v>13.206</v>
      </c>
      <c r="K50" s="6">
        <f>$J$3+[24]FormattedData!D29*$J$4+$M$4*$J$5+[24]FormattedData!D29^2*$J$6+$M$5*$J$7</f>
        <v>29.575043639431964</v>
      </c>
      <c r="L50" s="6">
        <f>$J$3+[24]FormattedData!E29*$J$4+$M$4*$J$5+[24]FormattedData!E29^2*$J$6+$M$5*$J$7</f>
        <v>30.353781089102299</v>
      </c>
      <c r="M50" s="6">
        <f>$J$3+[24]FormattedData!F29*$J$4+$M$4*$J$5+[24]FormattedData!F29^2*$J$6+$M$5*$J$7</f>
        <v>30.159350337912301</v>
      </c>
      <c r="N50" s="6">
        <f>$J$3+[24]FormattedData!G29*$J$4+$M$4*$J$5+[24]FormattedData!G29^2*$J$6+$M$5*$J$7</f>
        <v>29.379936591635065</v>
      </c>
      <c r="O50" s="6">
        <f>$J$3+[24]FormattedData!H29*$J$4+$M$4*$J$5+[24]FormattedData!H29^2*$J$6+$M$5*$J$7</f>
        <v>30.159350337912301</v>
      </c>
      <c r="P50" s="6">
        <f>$J$3+[24]FormattedData!I29*$J$4+$M$4*$J$5+[24]FormattedData!I29^2*$J$6+$M$5*$J$7</f>
        <v>29.086959005905239</v>
      </c>
      <c r="Q50" s="6">
        <f>$J$3+[24]FormattedData!J29*$J$4+$M$4*$J$5+[24]FormattedData!J29^2*$J$6+$M$5*$J$7</f>
        <v>29.964750512570586</v>
      </c>
      <c r="R50" s="6">
        <f>$J$3+[24]FormattedData!K29*$J$4+$M$4*$J$5+[24]FormattedData!K29^2*$J$6+$M$5*$J$7</f>
        <v>30.062071559510407</v>
      </c>
      <c r="S50" s="6">
        <f>$J$3+[24]FormattedData!L29*$J$4+$M$4*$J$5+[24]FormattedData!L29^2*$J$6+$M$5*$J$7</f>
        <v>31.129813352345042</v>
      </c>
      <c r="T50" s="6">
        <f>$J$3+[24]FormattedData!M29*$J$4+$M$4*$J$5+[24]FormattedData!M29^2*$J$6+$M$5*$J$7</f>
        <v>29.184660469686445</v>
      </c>
      <c r="U50" s="6">
        <f>$J$3+[24]FormattedData!N29*$J$4+$M$4*$J$5+[24]FormattedData!N29^2*$J$6+$M$5*$J$7</f>
        <v>28.989215273586101</v>
      </c>
      <c r="V50" s="6">
        <f>$J$3+[24]FormattedData!O29*$J$4+$M$4*$J$5+[24]FormattedData!O29^2*$J$6+$M$5*$J$7</f>
        <v>30.353781089102299</v>
      </c>
      <c r="W50" s="5">
        <f t="shared" si="9"/>
        <v>29.866559438225007</v>
      </c>
      <c r="X50" s="4">
        <f t="shared" si="10"/>
        <v>0.18369480000803892</v>
      </c>
      <c r="Y50" s="3">
        <f t="shared" si="11"/>
        <v>28.989215273586101</v>
      </c>
      <c r="Z50" s="2">
        <f t="shared" si="12"/>
        <v>29.331117561147909</v>
      </c>
      <c r="AA50" s="3">
        <f t="shared" si="13"/>
        <v>30.013411036040495</v>
      </c>
      <c r="AB50" s="2">
        <f t="shared" si="14"/>
        <v>30.2079580257098</v>
      </c>
      <c r="AC50" s="2">
        <f t="shared" si="15"/>
        <v>31.129813352345042</v>
      </c>
      <c r="AD50" s="2">
        <f t="shared" si="16"/>
        <v>0.2962056736757277</v>
      </c>
      <c r="AE50" s="2">
        <f t="shared" si="17"/>
        <v>-0.26899858941172861</v>
      </c>
    </row>
    <row r="51" spans="2:31" x14ac:dyDescent="0.2">
      <c r="B51" s="1">
        <f>[24]FormattedData!A27</f>
        <v>102</v>
      </c>
      <c r="C51" s="1" t="str">
        <f>VLOOKUP($B51,[24]TrtCodes!$B$11:I70,2)</f>
        <v>FTL</v>
      </c>
      <c r="D51" s="1">
        <f>VLOOKUP($B51,[24]TrtCodes!$B$11:J70,3)</f>
        <v>4</v>
      </c>
      <c r="E51" s="1">
        <f>VLOOKUP($B51,[24]TrtCodes!$B$11:K70,4)</f>
        <v>1</v>
      </c>
      <c r="F51" s="1">
        <f>VLOOKUP($B51,[24]TrtCodes!$B$11:L70,5)</f>
        <v>2</v>
      </c>
      <c r="G51" s="1">
        <f>VLOOKUP($B51,[24]TrtCodes!$B$11:M70,6)</f>
        <v>1</v>
      </c>
      <c r="H51" s="1">
        <f>VLOOKUP($B51,[24]TrtCodes!$B$11:N70,7)</f>
        <v>1</v>
      </c>
      <c r="I51" s="1">
        <f>[24]FormattedData!B27</f>
        <v>2</v>
      </c>
      <c r="J51" s="4">
        <f>[24]FormattedData!C27</f>
        <v>13.189</v>
      </c>
      <c r="K51" s="6">
        <f>$J$3+[24]FormattedData!D27*$J$4+$M$4*$J$5+[24]FormattedData!D27^2*$J$6+$M$5*$J$7</f>
        <v>29.867387197092821</v>
      </c>
      <c r="L51" s="6">
        <f>$J$3+[24]FormattedData!E27*$J$4+$M$4*$J$5+[24]FormattedData!E27^2*$J$6+$M$5*$J$7</f>
        <v>29.379936591635065</v>
      </c>
      <c r="M51" s="6">
        <f>$J$3+[24]FormattedData!F27*$J$4+$M$4*$J$5+[24]FormattedData!F27^2*$J$6+$M$5*$J$7</f>
        <v>28.499862583921441</v>
      </c>
      <c r="N51" s="6">
        <f>$J$3+[24]FormattedData!G27*$J$4+$M$4*$J$5+[24]FormattedData!G27^2*$J$6+$M$5*$J$7</f>
        <v>28.695730465401098</v>
      </c>
      <c r="O51" s="6">
        <f>$J$3+[24]FormattedData!H27*$J$4+$M$4*$J$5+[24]FormattedData!H27^2*$J$6+$M$5*$J$7</f>
        <v>28.891429272729031</v>
      </c>
      <c r="P51" s="6">
        <f>$J$3+[24]FormattedData!I27*$J$4+$M$4*$J$5+[24]FormattedData!I27^2*$J$6+$M$5*$J$7</f>
        <v>28.205743747667473</v>
      </c>
      <c r="Q51" s="6">
        <f>$J$3+[24]FormattedData!J27*$J$4+$M$4*$J$5+[24]FormattedData!J27^2*$J$6+$M$5*$J$7</f>
        <v>28.597817658930236</v>
      </c>
      <c r="R51" s="6">
        <f>$J$3+[24]FormattedData!K27*$J$4+$M$4*$J$5+[24]FormattedData!K27^2*$J$6+$M$5*$J$7</f>
        <v>28.989215273586101</v>
      </c>
      <c r="S51" s="6">
        <f>$J$3+[24]FormattedData!L27*$J$4+$M$4*$J$5+[24]FormattedData!L27^2*$J$6+$M$5*$J$7</f>
        <v>29.086959005905239</v>
      </c>
      <c r="T51" s="6">
        <f>$J$3+[24]FormattedData!M27*$J$4+$M$4*$J$5+[24]FormattedData!M27^2*$J$6+$M$5*$J$7</f>
        <v>29.184660469686445</v>
      </c>
      <c r="U51" s="6">
        <f>$J$3+[24]FormattedData!N27*$J$4+$M$4*$J$5+[24]FormattedData!N27^2*$J$6+$M$5*$J$7</f>
        <v>30.159350337912301</v>
      </c>
      <c r="V51" s="6">
        <f>$J$3+[24]FormattedData!O27*$J$4+$M$4*$J$5+[24]FormattedData!O27^2*$J$6+$M$5*$J$7</f>
        <v>28.401865240374715</v>
      </c>
      <c r="W51" s="5">
        <f t="shared" si="9"/>
        <v>28.996663153736829</v>
      </c>
      <c r="X51" s="4">
        <f t="shared" si="10"/>
        <v>0.16938644696684013</v>
      </c>
      <c r="Y51" s="3">
        <f t="shared" si="11"/>
        <v>28.205743747667473</v>
      </c>
      <c r="Z51" s="2">
        <f t="shared" si="12"/>
        <v>28.573328890178036</v>
      </c>
      <c r="AA51" s="3">
        <f t="shared" si="13"/>
        <v>28.940322273157566</v>
      </c>
      <c r="AB51" s="2">
        <f t="shared" si="14"/>
        <v>29.233479500173601</v>
      </c>
      <c r="AC51" s="2">
        <f t="shared" si="15"/>
        <v>30.159350337912301</v>
      </c>
      <c r="AD51" s="2">
        <f t="shared" si="16"/>
        <v>0.74297762937623568</v>
      </c>
      <c r="AE51" s="2">
        <f t="shared" si="17"/>
        <v>2.5918481424991313E-3</v>
      </c>
    </row>
    <row r="52" spans="2:31" x14ac:dyDescent="0.2">
      <c r="B52" s="1">
        <f>[24]FormattedData!A25</f>
        <v>103</v>
      </c>
      <c r="C52" s="1" t="str">
        <f>VLOOKUP($B52,[24]TrtCodes!$B$11:I68,2)</f>
        <v>FDH</v>
      </c>
      <c r="D52" s="1">
        <f>VLOOKUP($B52,[24]TrtCodes!$B$11:J68,3)</f>
        <v>5</v>
      </c>
      <c r="E52" s="1">
        <f>VLOOKUP($B52,[24]TrtCodes!$B$11:K68,4)</f>
        <v>1</v>
      </c>
      <c r="F52" s="1">
        <f>VLOOKUP($B52,[24]TrtCodes!$B$11:L68,5)</f>
        <v>3</v>
      </c>
      <c r="G52" s="1">
        <f>VLOOKUP($B52,[24]TrtCodes!$B$11:M68,6)</f>
        <v>2</v>
      </c>
      <c r="H52" s="1">
        <f>VLOOKUP($B52,[24]TrtCodes!$B$11:N68,7)</f>
        <v>1</v>
      </c>
      <c r="I52" s="1">
        <f>[24]FormattedData!B25</f>
        <v>2</v>
      </c>
      <c r="J52" s="4">
        <f>[24]FormattedData!C25</f>
        <v>13.170999999999999</v>
      </c>
      <c r="K52" s="6">
        <f>$J$3+[24]FormattedData!D25*$J$4+$M$4*$J$5+[24]FormattedData!D25^2*$J$6+$M$5*$J$7</f>
        <v>30.645110201852813</v>
      </c>
      <c r="L52" s="6">
        <f>$J$3+[24]FormattedData!E25*$J$4+$M$4*$J$5+[24]FormattedData!E25^2*$J$6+$M$5*$J$7</f>
        <v>30.936058897761949</v>
      </c>
      <c r="M52" s="6">
        <f>$J$3+[24]FormattedData!F25*$J$4+$M$4*$J$5+[24]FormattedData!F25^2*$J$6+$M$5*$J$7</f>
        <v>30.353781089102299</v>
      </c>
      <c r="N52" s="6">
        <f>$J$3+[24]FormattedData!G25*$J$4+$M$4*$J$5+[24]FormattedData!G25^2*$J$6+$M$5*$J$7</f>
        <v>29.67253376052351</v>
      </c>
      <c r="O52" s="6">
        <f>$J$3+[24]FormattedData!H25*$J$4+$M$4*$J$5+[24]FormattedData!H25^2*$J$6+$M$5*$J$7</f>
        <v>28.989215273586101</v>
      </c>
      <c r="P52" s="6">
        <f>$J$3+[24]FormattedData!I25*$J$4+$M$4*$J$5+[24]FormattedData!I25^2*$J$6+$M$5*$J$7</f>
        <v>29.769981613077135</v>
      </c>
      <c r="Q52" s="6">
        <f>$J$3+[24]FormattedData!J25*$J$4+$M$4*$J$5+[24]FormattedData!J25^2*$J$6+$M$5*$J$7</f>
        <v>29.379936591635065</v>
      </c>
      <c r="R52" s="6">
        <f>$J$3+[24]FormattedData!K25*$J$4+$M$4*$J$5+[24]FormattedData!K25^2*$J$6+$M$5*$J$7</f>
        <v>29.867387197092821</v>
      </c>
      <c r="S52" s="6">
        <f>$J$3+[24]FormattedData!L25*$J$4+$M$4*$J$5+[24]FormattedData!L25^2*$J$6+$M$5*$J$7</f>
        <v>31.323398732776418</v>
      </c>
      <c r="T52" s="6">
        <f>$J$3+[24]FormattedData!M25*$J$4+$M$4*$J$5+[24]FormattedData!M25^2*$J$6+$M$5*$J$7</f>
        <v>28.205743747667473</v>
      </c>
      <c r="U52" s="6">
        <f>$J$3+[24]FormattedData!N25*$J$4+$M$4*$J$5+[24]FormattedData!N25^2*$J$6+$M$5*$J$7</f>
        <v>30.936058897761949</v>
      </c>
      <c r="V52" s="6">
        <f>$J$3+[24]FormattedData!O25*$J$4+$M$4*$J$5+[24]FormattedData!O25^2*$J$6+$M$5*$J$7</f>
        <v>30.256586847776269</v>
      </c>
      <c r="W52" s="5">
        <f t="shared" si="9"/>
        <v>30.027982737551152</v>
      </c>
      <c r="X52" s="4">
        <f t="shared" si="10"/>
        <v>0.2597320007070345</v>
      </c>
      <c r="Y52" s="3">
        <f t="shared" si="11"/>
        <v>28.205743747667473</v>
      </c>
      <c r="Z52" s="2">
        <f t="shared" si="12"/>
        <v>29.599384468301398</v>
      </c>
      <c r="AA52" s="3">
        <f t="shared" si="13"/>
        <v>30.061987022434543</v>
      </c>
      <c r="AB52" s="2">
        <f t="shared" si="14"/>
        <v>30.717847375830097</v>
      </c>
      <c r="AC52" s="2">
        <f t="shared" si="15"/>
        <v>31.323398732776418</v>
      </c>
      <c r="AD52" s="2">
        <f t="shared" si="16"/>
        <v>-0.53276448939742604</v>
      </c>
      <c r="AE52" s="2">
        <f t="shared" si="17"/>
        <v>-1.2322809115577371E-2</v>
      </c>
    </row>
    <row r="53" spans="2:31" x14ac:dyDescent="0.2">
      <c r="B53" s="1">
        <f>[24]FormattedData!A23</f>
        <v>104</v>
      </c>
      <c r="C53" s="1" t="str">
        <f>VLOOKUP($B53,[24]TrtCodes!$B$11:I66,2)</f>
        <v>NTL</v>
      </c>
      <c r="D53" s="1">
        <f>VLOOKUP($B53,[24]TrtCodes!$B$11:J66,3)</f>
        <v>10</v>
      </c>
      <c r="E53" s="1">
        <f>VLOOKUP($B53,[24]TrtCodes!$B$11:K66,4)</f>
        <v>2</v>
      </c>
      <c r="F53" s="1">
        <f>VLOOKUP($B53,[24]TrtCodes!$B$11:L66,5)</f>
        <v>2</v>
      </c>
      <c r="G53" s="1">
        <f>VLOOKUP($B53,[24]TrtCodes!$B$11:M66,6)</f>
        <v>1</v>
      </c>
      <c r="H53" s="1">
        <f>VLOOKUP($B53,[24]TrtCodes!$B$11:N66,7)</f>
        <v>1</v>
      </c>
      <c r="I53" s="1">
        <f>[24]FormattedData!B23</f>
        <v>2</v>
      </c>
      <c r="J53" s="4">
        <f>[24]FormattedData!C23</f>
        <v>13.153</v>
      </c>
      <c r="K53" s="6">
        <f>$J$3+[24]FormattedData!D23*$J$4+$M$4*$J$5+[24]FormattedData!D23^2*$J$6+$M$5*$J$7</f>
        <v>29.769981613077135</v>
      </c>
      <c r="L53" s="6">
        <f>$J$3+[24]FormattedData!E23*$J$4+$M$4*$J$5+[24]FormattedData!E23^2*$J$6+$M$5*$J$7</f>
        <v>28.695730465401098</v>
      </c>
      <c r="M53" s="6">
        <f>$J$3+[24]FormattedData!F23*$J$4+$M$4*$J$5+[24]FormattedData!F23^2*$J$6+$M$5*$J$7</f>
        <v>27.616364824635397</v>
      </c>
      <c r="N53" s="6">
        <f>$J$3+[24]FormattedData!G23*$J$4+$M$4*$J$5+[24]FormattedData!G23^2*$J$6+$M$5*$J$7</f>
        <v>28.205743747667473</v>
      </c>
      <c r="O53" s="6">
        <f>$J$3+[24]FormattedData!H23*$J$4+$M$4*$J$5+[24]FormattedData!H23^2*$J$6+$M$5*$J$7</f>
        <v>27.812993539797812</v>
      </c>
      <c r="P53" s="6">
        <f>$J$3+[24]FormattedData!I23*$J$4+$M$4*$J$5+[24]FormattedData!I23^2*$J$6+$M$5*$J$7</f>
        <v>28.597817658930236</v>
      </c>
      <c r="Q53" s="6">
        <f>$J$3+[24]FormattedData!J23*$J$4+$M$4*$J$5+[24]FormattedData!J23^2*$J$6+$M$5*$J$7</f>
        <v>28.597817658930236</v>
      </c>
      <c r="R53" s="6">
        <f>$J$3+[24]FormattedData!K23*$J$4+$M$4*$J$5+[24]FormattedData!K23^2*$J$6+$M$5*$J$7</f>
        <v>27.812993539797812</v>
      </c>
      <c r="S53" s="6">
        <f>$J$3+[24]FormattedData!L23*$J$4+$M$4*$J$5+[24]FormattedData!L23^2*$J$6+$M$5*$J$7</f>
        <v>28.009453180808507</v>
      </c>
      <c r="T53" s="6">
        <f>$J$3+[24]FormattedData!M23*$J$4+$M$4*$J$5+[24]FormattedData!M23^2*$J$6+$M$5*$J$7</f>
        <v>29.282319664929723</v>
      </c>
      <c r="U53" s="6">
        <f>$J$3+[24]FormattedData!N23*$J$4+$M$4*$J$5+[24]FormattedData!N23^2*$J$6+$M$5*$J$7</f>
        <v>28.695730465401098</v>
      </c>
      <c r="V53" s="6">
        <f>$J$3+[24]FormattedData!O23*$J$4+$M$4*$J$5+[24]FormattedData!O23^2*$J$6+$M$5*$J$7</f>
        <v>27.911244494572124</v>
      </c>
      <c r="W53" s="5">
        <f t="shared" si="9"/>
        <v>28.417349237829058</v>
      </c>
      <c r="X53" s="4">
        <f t="shared" si="10"/>
        <v>0.18743248961793824</v>
      </c>
      <c r="Y53" s="3">
        <f t="shared" si="11"/>
        <v>27.616364824635397</v>
      </c>
      <c r="Z53" s="2">
        <f t="shared" si="12"/>
        <v>27.886681755878545</v>
      </c>
      <c r="AA53" s="3">
        <f t="shared" si="13"/>
        <v>28.401780703298854</v>
      </c>
      <c r="AB53" s="2">
        <f t="shared" si="14"/>
        <v>28.695730465401098</v>
      </c>
      <c r="AC53" s="2">
        <f t="shared" si="15"/>
        <v>29.769981613077135</v>
      </c>
      <c r="AD53" s="2">
        <f t="shared" si="16"/>
        <v>0.80287829872869521</v>
      </c>
      <c r="AE53" s="2">
        <f t="shared" si="17"/>
        <v>0.12953994555465798</v>
      </c>
    </row>
    <row r="54" spans="2:31" x14ac:dyDescent="0.2">
      <c r="B54" s="1">
        <f>[24]FormattedData!A21</f>
        <v>105</v>
      </c>
      <c r="C54" s="1" t="str">
        <f>VLOOKUP($B54,[24]TrtCodes!$B$11:I64,2)</f>
        <v>NDL</v>
      </c>
      <c r="D54" s="1">
        <f>VLOOKUP($B54,[24]TrtCodes!$B$11:J64,3)</f>
        <v>12</v>
      </c>
      <c r="E54" s="1">
        <f>VLOOKUP($B54,[24]TrtCodes!$B$11:K64,4)</f>
        <v>2</v>
      </c>
      <c r="F54" s="1">
        <f>VLOOKUP($B54,[24]TrtCodes!$B$11:L64,5)</f>
        <v>3</v>
      </c>
      <c r="G54" s="1">
        <f>VLOOKUP($B54,[24]TrtCodes!$B$11:M64,6)</f>
        <v>1</v>
      </c>
      <c r="H54" s="1">
        <f>VLOOKUP($B54,[24]TrtCodes!$B$11:N64,7)</f>
        <v>2</v>
      </c>
      <c r="I54" s="1">
        <f>[24]FormattedData!B21</f>
        <v>2</v>
      </c>
      <c r="J54" s="4">
        <f>[24]FormattedData!C21</f>
        <v>13.135999999999999</v>
      </c>
      <c r="K54" s="6">
        <f>$J$3+[24]FormattedData!D21*$J$4+$M$4*$J$5+[24]FormattedData!D21^2*$J$6+$M$5*$J$7</f>
        <v>30.256586847776269</v>
      </c>
      <c r="L54" s="6">
        <f>$J$3+[24]FormattedData!E21*$J$4+$M$4*$J$5+[24]FormattedData!E21^2*$J$6+$M$5*$J$7</f>
        <v>30.256586847776269</v>
      </c>
      <c r="M54" s="6">
        <f>$J$3+[24]FormattedData!F21*$J$4+$M$4*$J$5+[24]FormattedData!F21^2*$J$6+$M$5*$J$7</f>
        <v>30.548042766140576</v>
      </c>
      <c r="N54" s="6">
        <f>$J$3+[24]FormattedData!G21*$J$4+$M$4*$J$5+[24]FormattedData!G21^2*$J$6+$M$5*$J$7</f>
        <v>30.839118267663501</v>
      </c>
      <c r="O54" s="6">
        <f>$J$3+[24]FormattedData!H21*$J$4+$M$4*$J$5+[24]FormattedData!H21^2*$J$6+$M$5*$J$7</f>
        <v>29.477511249802479</v>
      </c>
      <c r="P54" s="6">
        <f>$J$3+[24]FormattedData!I21*$J$4+$M$4*$J$5+[24]FormattedData!I21^2*$J$6+$M$5*$J$7</f>
        <v>29.575043639431964</v>
      </c>
      <c r="Q54" s="6">
        <f>$J$3+[24]FormattedData!J21*$J$4+$M$4*$J$5+[24]FormattedData!J21^2*$J$6+$M$5*$J$7</f>
        <v>29.67253376052351</v>
      </c>
      <c r="R54" s="6">
        <f>$J$3+[24]FormattedData!K21*$J$4+$M$4*$J$5+[24]FormattedData!K21^2*$J$6+$M$5*$J$7</f>
        <v>29.769981613077135</v>
      </c>
      <c r="S54" s="6">
        <f>$J$3+[24]FormattedData!L21*$J$4+$M$4*$J$5+[24]FormattedData!L21^2*$J$6+$M$5*$J$7</f>
        <v>29.282319664929723</v>
      </c>
      <c r="T54" s="6">
        <f>$J$3+[24]FormattedData!M21*$J$4+$M$4*$J$5+[24]FormattedData!M21^2*$J$6+$M$5*$J$7</f>
        <v>29.477511249802479</v>
      </c>
      <c r="U54" s="6">
        <f>$J$3+[24]FormattedData!N21*$J$4+$M$4*$J$5+[24]FormattedData!N21^2*$J$6+$M$5*$J$7</f>
        <v>28.009453180808507</v>
      </c>
      <c r="V54" s="6">
        <f>$J$3+[24]FormattedData!O21*$J$4+$M$4*$J$5+[24]FormattedData!O21^2*$J$6+$M$5*$J$7</f>
        <v>29.477511249802479</v>
      </c>
      <c r="W54" s="5">
        <f t="shared" si="9"/>
        <v>29.720183361461242</v>
      </c>
      <c r="X54" s="4">
        <f t="shared" si="10"/>
        <v>0.21022411267875327</v>
      </c>
      <c r="Y54" s="3">
        <f t="shared" si="11"/>
        <v>28.009453180808507</v>
      </c>
      <c r="Z54" s="2">
        <f t="shared" si="12"/>
        <v>29.477511249802479</v>
      </c>
      <c r="AA54" s="3">
        <f t="shared" si="13"/>
        <v>29.623788699977737</v>
      </c>
      <c r="AB54" s="2">
        <f t="shared" si="14"/>
        <v>30.256586847776269</v>
      </c>
      <c r="AC54" s="2">
        <f t="shared" si="15"/>
        <v>30.839118267663501</v>
      </c>
      <c r="AD54" s="2">
        <f t="shared" si="16"/>
        <v>-0.80771916276693057</v>
      </c>
      <c r="AE54" s="2">
        <f t="shared" si="17"/>
        <v>2.026211868591691</v>
      </c>
    </row>
    <row r="55" spans="2:31" x14ac:dyDescent="0.2">
      <c r="B55" s="1">
        <f>[24]FormattedData!A19</f>
        <v>106</v>
      </c>
      <c r="C55" s="1" t="str">
        <f>VLOOKUP($B55,[24]TrtCodes!$B$11:I62,2)</f>
        <v>NTH</v>
      </c>
      <c r="D55" s="1">
        <f>VLOOKUP($B55,[24]TrtCodes!$B$11:J62,3)</f>
        <v>9</v>
      </c>
      <c r="E55" s="1">
        <f>VLOOKUP($B55,[24]TrtCodes!$B$11:K62,4)</f>
        <v>2</v>
      </c>
      <c r="F55" s="1">
        <f>VLOOKUP($B55,[24]TrtCodes!$B$11:L62,5)</f>
        <v>2</v>
      </c>
      <c r="G55" s="1">
        <f>VLOOKUP($B55,[24]TrtCodes!$B$11:M62,6)</f>
        <v>2</v>
      </c>
      <c r="H55" s="1">
        <f>VLOOKUP($B55,[24]TrtCodes!$B$11:N62,7)</f>
        <v>2</v>
      </c>
      <c r="I55" s="1">
        <f>[24]FormattedData!B19</f>
        <v>2</v>
      </c>
      <c r="J55" s="4">
        <f>[24]FormattedData!C19</f>
        <v>13.117000000000001</v>
      </c>
      <c r="K55" s="6">
        <f>$J$3+[24]FormattedData!D19*$J$4+$M$4*$J$5+[24]FormattedData!D19^2*$J$6+$M$5*$J$7</f>
        <v>29.086959005905239</v>
      </c>
      <c r="L55" s="6">
        <f>$J$3+[24]FormattedData!E19*$J$4+$M$4*$J$5+[24]FormattedData!E19^2*$J$6+$M$5*$J$7</f>
        <v>28.695730465401098</v>
      </c>
      <c r="M55" s="6">
        <f>$J$3+[24]FormattedData!F19*$J$4+$M$4*$J$5+[24]FormattedData!F19^2*$J$6+$M$5*$J$7</f>
        <v>31.226627176829702</v>
      </c>
      <c r="N55" s="6">
        <f>$J$3+[24]FormattedData!G19*$J$4+$M$4*$J$5+[24]FormattedData!G19^2*$J$6+$M$5*$J$7</f>
        <v>29.379936591635065</v>
      </c>
      <c r="O55" s="6">
        <f>$J$3+[24]FormattedData!H19*$J$4+$M$4*$J$5+[24]FormattedData!H19^2*$J$6+$M$5*$J$7</f>
        <v>29.184660469686445</v>
      </c>
      <c r="P55" s="6">
        <f>$J$3+[24]FormattedData!I19*$J$4+$M$4*$J$5+[24]FormattedData!I19^2*$J$6+$M$5*$J$7</f>
        <v>27.616364824635397</v>
      </c>
      <c r="Q55" s="6">
        <f>$J$3+[24]FormattedData!J19*$J$4+$M$4*$J$5+[24]FormattedData!J19^2*$J$6+$M$5*$J$7</f>
        <v>28.989215273586101</v>
      </c>
      <c r="R55" s="6">
        <f>$J$3+[24]FormattedData!K19*$J$4+$M$4*$J$5+[24]FormattedData!K19^2*$J$6+$M$5*$J$7</f>
        <v>29.477511249802479</v>
      </c>
      <c r="S55" s="6">
        <f>$J$3+[24]FormattedData!L19*$J$4+$M$4*$J$5+[24]FormattedData!L19^2*$J$6+$M$5*$J$7</f>
        <v>30.353781089102299</v>
      </c>
      <c r="T55" s="6">
        <f>$J$3+[24]FormattedData!M19*$J$4+$M$4*$J$5+[24]FormattedData!M19^2*$J$6+$M$5*$J$7</f>
        <v>29.477511249802479</v>
      </c>
      <c r="U55" s="6">
        <f>$J$3+[24]FormattedData!N19*$J$4+$M$4*$J$5+[24]FormattedData!N19^2*$J$6+$M$5*$J$7</f>
        <v>30.159350337912301</v>
      </c>
      <c r="V55" s="6">
        <f>$J$3+[24]FormattedData!O19*$J$4+$M$4*$J$5+[24]FormattedData!O19^2*$J$6+$M$5*$J$7</f>
        <v>29.575043639431964</v>
      </c>
      <c r="W55" s="5">
        <f t="shared" si="9"/>
        <v>29.435224281144215</v>
      </c>
      <c r="X55" s="4">
        <f t="shared" si="10"/>
        <v>0.25880710954640873</v>
      </c>
      <c r="Y55" s="3">
        <f t="shared" si="11"/>
        <v>27.616364824635397</v>
      </c>
      <c r="Z55" s="2">
        <f t="shared" si="12"/>
        <v>29.062523072825456</v>
      </c>
      <c r="AA55" s="3">
        <f t="shared" si="13"/>
        <v>29.428723920718774</v>
      </c>
      <c r="AB55" s="2">
        <f t="shared" si="14"/>
        <v>29.721120314052047</v>
      </c>
      <c r="AC55" s="2">
        <f t="shared" si="15"/>
        <v>31.226627176829702</v>
      </c>
      <c r="AD55" s="2">
        <f t="shared" si="16"/>
        <v>5.1161680817445807E-2</v>
      </c>
      <c r="AE55" s="2">
        <f t="shared" si="17"/>
        <v>1.4758941635762737</v>
      </c>
    </row>
    <row r="56" spans="2:31" x14ac:dyDescent="0.2">
      <c r="B56" s="1">
        <f>[24]FormattedData!A17</f>
        <v>107</v>
      </c>
      <c r="C56" s="1" t="str">
        <f>VLOOKUP($B56,[24]TrtCodes!$B$11:I60,2)</f>
        <v>NTL</v>
      </c>
      <c r="D56" s="1">
        <f>VLOOKUP($B56,[24]TrtCodes!$B$11:J60,3)</f>
        <v>10</v>
      </c>
      <c r="E56" s="1">
        <f>VLOOKUP($B56,[24]TrtCodes!$B$11:K60,4)</f>
        <v>2</v>
      </c>
      <c r="F56" s="1">
        <f>VLOOKUP($B56,[24]TrtCodes!$B$11:L60,5)</f>
        <v>2</v>
      </c>
      <c r="G56" s="1">
        <f>VLOOKUP($B56,[24]TrtCodes!$B$11:M60,6)</f>
        <v>1</v>
      </c>
      <c r="H56" s="1">
        <f>VLOOKUP($B56,[24]TrtCodes!$B$11:N60,7)</f>
        <v>2</v>
      </c>
      <c r="I56" s="1">
        <f>[24]FormattedData!B17</f>
        <v>2</v>
      </c>
      <c r="J56" s="4">
        <f>[24]FormattedData!C17</f>
        <v>13.098000000000001</v>
      </c>
      <c r="K56" s="6">
        <f>$J$3+[24]FormattedData!D17*$J$4+$M$4*$J$5+[24]FormattedData!D17^2*$J$6+$M$5*$J$7</f>
        <v>31.710062271184</v>
      </c>
      <c r="L56" s="6">
        <f>$J$3+[24]FormattedData!E17*$J$4+$M$4*$J$5+[24]FormattedData!E17^2*$J$6+$M$5*$J$7</f>
        <v>30.256586847776269</v>
      </c>
      <c r="M56" s="6">
        <f>$J$3+[24]FormattedData!F17*$J$4+$M$4*$J$5+[24]FormattedData!F17^2*$J$6+$M$5*$J$7</f>
        <v>33.249953458745324</v>
      </c>
      <c r="N56" s="6">
        <f>$J$3+[24]FormattedData!G17*$J$4+$M$4*$J$5+[24]FormattedData!G17^2*$J$6+$M$5*$J$7</f>
        <v>32.192440652090021</v>
      </c>
      <c r="O56" s="6">
        <f>$J$3+[24]FormattedData!H17*$J$4+$M$4*$J$5+[24]FormattedData!H17^2*$J$6+$M$5*$J$7</f>
        <v>31.129813352345042</v>
      </c>
      <c r="P56" s="6">
        <f>$J$3+[24]FormattedData!I17*$J$4+$M$4*$J$5+[24]FormattedData!I17^2*$J$6+$M$5*$J$7</f>
        <v>32.673762319547762</v>
      </c>
      <c r="Q56" s="6">
        <f>$J$3+[24]FormattedData!J17*$J$4+$M$4*$J$5+[24]FormattedData!J17^2*$J$6+$M$5*$J$7</f>
        <v>31.516815039056073</v>
      </c>
      <c r="R56" s="6">
        <f>$J$3+[24]FormattedData!K17*$J$4+$M$4*$J$5+[24]FormattedData!K17^2*$J$6+$M$5*$J$7</f>
        <v>31.129813352345042</v>
      </c>
      <c r="S56" s="6">
        <f>$J$3+[24]FormattedData!L17*$J$4+$M$4*$J$5+[24]FormattedData!L17^2*$J$6+$M$5*$J$7</f>
        <v>31.420128020185217</v>
      </c>
      <c r="T56" s="6">
        <f>$J$3+[24]FormattedData!M17*$J$4+$M$4*$J$5+[24]FormattedData!M17^2*$J$6+$M$5*$J$7</f>
        <v>30.645110201852813</v>
      </c>
      <c r="U56" s="6">
        <f>$J$3+[24]FormattedData!N17*$J$4+$M$4*$J$5+[24]FormattedData!N17^2*$J$6+$M$5*$J$7</f>
        <v>32.577582523132079</v>
      </c>
      <c r="V56" s="6">
        <f>$J$3+[24]FormattedData!O17*$J$4+$M$4*$J$5+[24]FormattedData!O17^2*$J$6+$M$5*$J$7</f>
        <v>31.516815039056073</v>
      </c>
      <c r="W56" s="5">
        <f t="shared" si="9"/>
        <v>31.668240256442981</v>
      </c>
      <c r="X56" s="4">
        <f t="shared" si="10"/>
        <v>0.25140689220335311</v>
      </c>
      <c r="Y56" s="3">
        <f t="shared" si="11"/>
        <v>30.256586847776269</v>
      </c>
      <c r="Z56" s="2">
        <f t="shared" si="12"/>
        <v>31.129813352345042</v>
      </c>
      <c r="AA56" s="3">
        <f t="shared" si="13"/>
        <v>31.516815039056073</v>
      </c>
      <c r="AB56" s="2">
        <f t="shared" si="14"/>
        <v>32.288726119850537</v>
      </c>
      <c r="AC56" s="2">
        <f t="shared" si="15"/>
        <v>33.249953458745324</v>
      </c>
      <c r="AD56" s="2">
        <f t="shared" si="16"/>
        <v>0.27272711691551804</v>
      </c>
      <c r="AE56" s="2">
        <f t="shared" si="17"/>
        <v>-0.39559593243660496</v>
      </c>
    </row>
    <row r="57" spans="2:31" x14ac:dyDescent="0.2">
      <c r="B57" s="1">
        <f>[24]FormattedData!A15</f>
        <v>108</v>
      </c>
      <c r="C57" s="1" t="str">
        <f>VLOOKUP($B57,[24]TrtCodes!$B$11:I58,2)</f>
        <v>FTH</v>
      </c>
      <c r="D57" s="1">
        <f>VLOOKUP($B57,[24]TrtCodes!$B$11:J58,3)</f>
        <v>3</v>
      </c>
      <c r="E57" s="1">
        <f>VLOOKUP($B57,[24]TrtCodes!$B$11:K58,4)</f>
        <v>1</v>
      </c>
      <c r="F57" s="1">
        <f>VLOOKUP($B57,[24]TrtCodes!$B$11:L58,5)</f>
        <v>2</v>
      </c>
      <c r="G57" s="1">
        <f>VLOOKUP($B57,[24]TrtCodes!$B$11:M58,6)</f>
        <v>2</v>
      </c>
      <c r="H57" s="1">
        <f>VLOOKUP($B57,[24]TrtCodes!$B$11:N58,7)</f>
        <v>2</v>
      </c>
      <c r="I57" s="1">
        <f>[24]FormattedData!B15</f>
        <v>2</v>
      </c>
      <c r="J57" s="4">
        <f>[24]FormattedData!C15</f>
        <v>13.08</v>
      </c>
      <c r="K57" s="6">
        <f>$J$3+[24]FormattedData!D15*$J$4+$M$4*$J$5+[24]FormattedData!D15^2*$J$6+$M$5*$J$7</f>
        <v>30.256586847776269</v>
      </c>
      <c r="L57" s="6">
        <f>$J$3+[24]FormattedData!E15*$J$4+$M$4*$J$5+[24]FormattedData!E15^2*$J$6+$M$5*$J$7</f>
        <v>31.323398732776418</v>
      </c>
      <c r="M57" s="6">
        <f>$J$3+[24]FormattedData!F15*$J$4+$M$4*$J$5+[24]FormattedData!F15^2*$J$6+$M$5*$J$7</f>
        <v>29.477511249802479</v>
      </c>
      <c r="N57" s="6">
        <f>$J$3+[24]FormattedData!G15*$J$4+$M$4*$J$5+[24]FormattedData!G15^2*$J$6+$M$5*$J$7</f>
        <v>30.159350337912301</v>
      </c>
      <c r="O57" s="6">
        <f>$J$3+[24]FormattedData!H15*$J$4+$M$4*$J$5+[24]FormattedData!H15^2*$J$6+$M$5*$J$7</f>
        <v>30.645110201852813</v>
      </c>
      <c r="P57" s="6">
        <f>$J$3+[24]FormattedData!I15*$J$4+$M$4*$J$5+[24]FormattedData!I15^2*$J$6+$M$5*$J$7</f>
        <v>31.806622484441064</v>
      </c>
      <c r="Q57" s="6">
        <f>$J$3+[24]FormattedData!J15*$J$4+$M$4*$J$5+[24]FormattedData!J15^2*$J$6+$M$5*$J$7</f>
        <v>30.450933061890407</v>
      </c>
      <c r="R57" s="6">
        <f>$J$3+[24]FormattedData!K15*$J$4+$M$4*$J$5+[24]FormattedData!K15^2*$J$6+$M$5*$J$7</f>
        <v>31.323398732776418</v>
      </c>
      <c r="S57" s="6">
        <f>$J$3+[24]FormattedData!L15*$J$4+$M$4*$J$5+[24]FormattedData!L15^2*$J$6+$M$5*$J$7</f>
        <v>30.353781089102299</v>
      </c>
      <c r="T57" s="6">
        <f>$J$3+[24]FormattedData!M15*$J$4+$M$4*$J$5+[24]FormattedData!M15^2*$J$6+$M$5*$J$7</f>
        <v>31.226627176829702</v>
      </c>
      <c r="U57" s="6">
        <f>$J$3+[24]FormattedData!N15*$J$4+$M$4*$J$5+[24]FormattedData!N15^2*$J$6+$M$5*$J$7</f>
        <v>31.420128020185217</v>
      </c>
      <c r="V57" s="6">
        <f>$J$3+[24]FormattedData!O15*$J$4+$M$4*$J$5+[24]FormattedData!O15^2*$J$6+$M$5*$J$7</f>
        <v>30.742135369027125</v>
      </c>
      <c r="W57" s="5">
        <f t="shared" si="9"/>
        <v>30.765465275364374</v>
      </c>
      <c r="X57" s="4">
        <f t="shared" si="10"/>
        <v>0.1929916700753872</v>
      </c>
      <c r="Y57" s="3">
        <f t="shared" si="11"/>
        <v>29.477511249802479</v>
      </c>
      <c r="Z57" s="2">
        <f t="shared" si="12"/>
        <v>30.329482528770789</v>
      </c>
      <c r="AA57" s="3">
        <f t="shared" si="13"/>
        <v>30.69362278543997</v>
      </c>
      <c r="AB57" s="2">
        <f t="shared" si="14"/>
        <v>31.323398732776418</v>
      </c>
      <c r="AC57" s="2">
        <f t="shared" si="15"/>
        <v>31.806622484441064</v>
      </c>
      <c r="AD57" s="2">
        <f t="shared" si="16"/>
        <v>-0.26978510624423041</v>
      </c>
      <c r="AE57" s="2">
        <f t="shared" si="17"/>
        <v>-0.41250651078265577</v>
      </c>
    </row>
    <row r="58" spans="2:31" x14ac:dyDescent="0.2">
      <c r="B58" s="1">
        <f>[24]FormattedData!A31</f>
        <v>201</v>
      </c>
      <c r="C58" s="1" t="str">
        <f>VLOOKUP($B58,[24]TrtCodes!$B$11:I74,2)</f>
        <v>NDL</v>
      </c>
      <c r="D58" s="1">
        <f>VLOOKUP($B58,[24]TrtCodes!$B$11:J74,3)</f>
        <v>12</v>
      </c>
      <c r="E58" s="1">
        <f>VLOOKUP($B58,[24]TrtCodes!$B$11:K74,4)</f>
        <v>2</v>
      </c>
      <c r="F58" s="1">
        <f>VLOOKUP($B58,[24]TrtCodes!$B$11:L74,5)</f>
        <v>3</v>
      </c>
      <c r="G58" s="1">
        <f>VLOOKUP($B58,[24]TrtCodes!$B$11:M74,6)</f>
        <v>1</v>
      </c>
      <c r="H58" s="1">
        <f>VLOOKUP($B58,[24]TrtCodes!$B$11:N74,7)</f>
        <v>1</v>
      </c>
      <c r="I58" s="1">
        <f>[24]FormattedData!B31</f>
        <v>2</v>
      </c>
      <c r="J58" s="4">
        <f>[24]FormattedData!C31</f>
        <v>13.227</v>
      </c>
      <c r="K58" s="6">
        <f>$J$3+[24]FormattedData!D31*$J$4+$M$4*$J$5+[24]FormattedData!D31^2*$J$6+$M$5*$J$7</f>
        <v>30.353781089102299</v>
      </c>
      <c r="L58" s="6">
        <f>$J$3+[24]FormattedData!E31*$J$4+$M$4*$J$5+[24]FormattedData!E31^2*$J$6+$M$5*$J$7</f>
        <v>30.062071559510407</v>
      </c>
      <c r="M58" s="6">
        <f>$J$3+[24]FormattedData!F31*$J$4+$M$4*$J$5+[24]FormattedData!F31^2*$J$6+$M$5*$J$7</f>
        <v>31.323398732776418</v>
      </c>
      <c r="N58" s="6">
        <f>$J$3+[24]FormattedData!G31*$J$4+$M$4*$J$5+[24]FormattedData!G31^2*$J$6+$M$5*$J$7</f>
        <v>31.99961610534141</v>
      </c>
      <c r="O58" s="6">
        <f>$J$3+[24]FormattedData!H31*$J$4+$M$4*$J$5+[24]FormattedData!H31^2*$J$6+$M$5*$J$7</f>
        <v>31.129813352345042</v>
      </c>
      <c r="P58" s="6">
        <f>$J$3+[24]FormattedData!I31*$J$4+$M$4*$J$5+[24]FormattedData!I31^2*$J$6+$M$5*$J$7</f>
        <v>30.742135369027125</v>
      </c>
      <c r="Q58" s="6">
        <f>$J$3+[24]FormattedData!J31*$J$4+$M$4*$J$5+[24]FormattedData!J31^2*$J$6+$M$5*$J$7</f>
        <v>31.323398732776418</v>
      </c>
      <c r="R58" s="6">
        <f>$J$3+[24]FormattedData!K31*$J$4+$M$4*$J$5+[24]FormattedData!K31^2*$J$6+$M$5*$J$7</f>
        <v>30.548042766140576</v>
      </c>
      <c r="S58" s="6">
        <f>$J$3+[24]FormattedData!L31*$J$4+$M$4*$J$5+[24]FormattedData!L31^2*$J$6+$M$5*$J$7</f>
        <v>32.38509612468691</v>
      </c>
      <c r="T58" s="6">
        <f>$J$3+[24]FormattedData!M31*$J$4+$M$4*$J$5+[24]FormattedData!M31^2*$J$6+$M$5*$J$7</f>
        <v>32.673762319547762</v>
      </c>
      <c r="U58" s="6">
        <f>$J$3+[24]FormattedData!N31*$J$4+$M$4*$J$5+[24]FormattedData!N31^2*$J$6+$M$5*$J$7</f>
        <v>30.645110201852813</v>
      </c>
      <c r="V58" s="6">
        <f>$J$3+[24]FormattedData!O31*$J$4+$M$4*$J$5+[24]FormattedData!O31^2*$J$6+$M$5*$J$7</f>
        <v>33.058058819831196</v>
      </c>
      <c r="W58" s="5">
        <f t="shared" si="9"/>
        <v>31.353690431078203</v>
      </c>
      <c r="X58" s="4">
        <f t="shared" si="10"/>
        <v>0.28033647118229915</v>
      </c>
      <c r="Y58" s="3">
        <f t="shared" si="11"/>
        <v>30.062071559510407</v>
      </c>
      <c r="Z58" s="2">
        <f t="shared" si="12"/>
        <v>30.620843342924754</v>
      </c>
      <c r="AA58" s="3">
        <f t="shared" si="13"/>
        <v>31.226606042560732</v>
      </c>
      <c r="AB58" s="2">
        <f t="shared" si="14"/>
        <v>32.095986110177783</v>
      </c>
      <c r="AC58" s="2">
        <f t="shared" si="15"/>
        <v>33.058058819831196</v>
      </c>
      <c r="AD58" s="2">
        <f t="shared" si="16"/>
        <v>0.51754683876513119</v>
      </c>
      <c r="AE58" s="2">
        <f t="shared" si="17"/>
        <v>-0.95413080848570075</v>
      </c>
    </row>
    <row r="59" spans="2:31" x14ac:dyDescent="0.2">
      <c r="B59" s="1">
        <f>[24]FormattedData!A33</f>
        <v>202</v>
      </c>
      <c r="C59" s="1" t="str">
        <f>VLOOKUP($B59,[24]TrtCodes!$B$11:I76,2)</f>
        <v>NTH</v>
      </c>
      <c r="D59" s="1">
        <f>VLOOKUP($B59,[24]TrtCodes!$B$11:J76,3)</f>
        <v>9</v>
      </c>
      <c r="E59" s="1">
        <f>VLOOKUP($B59,[24]TrtCodes!$B$11:K76,4)</f>
        <v>2</v>
      </c>
      <c r="F59" s="1">
        <f>VLOOKUP($B59,[24]TrtCodes!$B$11:L76,5)</f>
        <v>2</v>
      </c>
      <c r="G59" s="1">
        <f>VLOOKUP($B59,[24]TrtCodes!$B$11:M76,6)</f>
        <v>2</v>
      </c>
      <c r="H59" s="1">
        <f>VLOOKUP($B59,[24]TrtCodes!$B$11:N76,7)</f>
        <v>1</v>
      </c>
      <c r="I59" s="1">
        <f>[24]FormattedData!B33</f>
        <v>2</v>
      </c>
      <c r="J59" s="4">
        <f>[24]FormattedData!C33</f>
        <v>13.244</v>
      </c>
      <c r="K59" s="6">
        <f>$J$3+[24]FormattedData!D33*$J$4+$M$4*$J$5+[24]FormattedData!D33^2*$J$6+$M$5*$J$7</f>
        <v>29.769981613077135</v>
      </c>
      <c r="L59" s="6">
        <f>$J$3+[24]FormattedData!E33*$J$4+$M$4*$J$5+[24]FormattedData!E33^2*$J$6+$M$5*$J$7</f>
        <v>28.891429272729031</v>
      </c>
      <c r="M59" s="6">
        <f>$J$3+[24]FormattedData!F33*$J$4+$M$4*$J$5+[24]FormattedData!F33^2*$J$6+$M$5*$J$7</f>
        <v>30.742135369027125</v>
      </c>
      <c r="N59" s="6">
        <f>$J$3+[24]FormattedData!G33*$J$4+$M$4*$J$5+[24]FormattedData!G33^2*$J$6+$M$5*$J$7</f>
        <v>31.226627176829702</v>
      </c>
      <c r="O59" s="6">
        <f>$J$3+[24]FormattedData!H33*$J$4+$M$4*$J$5+[24]FormattedData!H33^2*$J$6+$M$5*$J$7</f>
        <v>29.67253376052351</v>
      </c>
      <c r="P59" s="6">
        <f>$J$3+[24]FormattedData!I33*$J$4+$M$4*$J$5+[24]FormattedData!I33^2*$J$6+$M$5*$J$7</f>
        <v>28.989215273586101</v>
      </c>
      <c r="Q59" s="6">
        <f>$J$3+[24]FormattedData!J33*$J$4+$M$4*$J$5+[24]FormattedData!J33^2*$J$6+$M$5*$J$7</f>
        <v>31.903140429160203</v>
      </c>
      <c r="R59" s="6">
        <f>$J$3+[24]FormattedData!K33*$J$4+$M$4*$J$5+[24]FormattedData!K33^2*$J$6+$M$5*$J$7</f>
        <v>29.769981613077135</v>
      </c>
      <c r="S59" s="6">
        <f>$J$3+[24]FormattedData!L33*$J$4+$M$4*$J$5+[24]FormattedData!L33^2*$J$6+$M$5*$J$7</f>
        <v>32.38509612468691</v>
      </c>
      <c r="T59" s="6">
        <f>$J$3+[24]FormattedData!M33*$J$4+$M$4*$J$5+[24]FormattedData!M33^2*$J$6+$M$5*$J$7</f>
        <v>31.99961610534141</v>
      </c>
      <c r="U59" s="6">
        <f>$J$3+[24]FormattedData!N33*$J$4+$M$4*$J$5+[24]FormattedData!N33^2*$J$6+$M$5*$J$7</f>
        <v>31.710062271184</v>
      </c>
      <c r="V59" s="6">
        <f>$J$3+[24]FormattedData!O33*$J$4+$M$4*$J$5+[24]FormattedData!O33^2*$J$6+$M$5*$J$7</f>
        <v>33.249953458745324</v>
      </c>
      <c r="W59" s="5">
        <f t="shared" si="9"/>
        <v>30.859147705663972</v>
      </c>
      <c r="X59" s="4">
        <f t="shared" si="10"/>
        <v>0.41246698390792402</v>
      </c>
      <c r="Y59" s="3">
        <f t="shared" si="11"/>
        <v>28.891429272729031</v>
      </c>
      <c r="Z59" s="2">
        <f t="shared" si="12"/>
        <v>29.745619649938728</v>
      </c>
      <c r="AA59" s="3">
        <f t="shared" si="13"/>
        <v>30.984381272928413</v>
      </c>
      <c r="AB59" s="2">
        <f t="shared" si="14"/>
        <v>31.927259348205503</v>
      </c>
      <c r="AC59" s="2">
        <f t="shared" si="15"/>
        <v>33.249953458745324</v>
      </c>
      <c r="AD59" s="2">
        <f t="shared" si="16"/>
        <v>7.8238089904276276E-2</v>
      </c>
      <c r="AE59" s="2">
        <f t="shared" si="17"/>
        <v>-1.2533270450394114</v>
      </c>
    </row>
    <row r="60" spans="2:31" x14ac:dyDescent="0.2">
      <c r="B60" s="1">
        <f>[24]FormattedData!A35</f>
        <v>203</v>
      </c>
      <c r="C60" s="1" t="str">
        <f>VLOOKUP($B60,[24]TrtCodes!$B$11:I78,2)</f>
        <v>FTH</v>
      </c>
      <c r="D60" s="1">
        <f>VLOOKUP($B60,[24]TrtCodes!$B$11:J78,3)</f>
        <v>3</v>
      </c>
      <c r="E60" s="1">
        <f>VLOOKUP($B60,[24]TrtCodes!$B$11:K78,4)</f>
        <v>1</v>
      </c>
      <c r="F60" s="1">
        <f>VLOOKUP($B60,[24]TrtCodes!$B$11:L78,5)</f>
        <v>2</v>
      </c>
      <c r="G60" s="1">
        <f>VLOOKUP($B60,[24]TrtCodes!$B$11:M78,6)</f>
        <v>2</v>
      </c>
      <c r="H60" s="1">
        <f>VLOOKUP($B60,[24]TrtCodes!$B$11:N78,7)</f>
        <v>1</v>
      </c>
      <c r="I60" s="1">
        <f>[24]FormattedData!B35</f>
        <v>2</v>
      </c>
      <c r="J60" s="4">
        <f>[24]FormattedData!C35</f>
        <v>13.260999999999999</v>
      </c>
      <c r="K60" s="6">
        <f>$J$3+[24]FormattedData!D35*$J$4+$M$4*$J$5+[24]FormattedData!D35^2*$J$6+$M$5*$J$7</f>
        <v>30.742135369027125</v>
      </c>
      <c r="L60" s="6">
        <f>$J$3+[24]FormattedData!E35*$J$4+$M$4*$J$5+[24]FormattedData!E35^2*$J$6+$M$5*$J$7</f>
        <v>30.645110201852813</v>
      </c>
      <c r="M60" s="6">
        <f>$J$3+[24]FormattedData!F35*$J$4+$M$4*$J$5+[24]FormattedData!F35^2*$J$6+$M$5*$J$7</f>
        <v>31.903140429160203</v>
      </c>
      <c r="N60" s="6">
        <f>$J$3+[24]FormattedData!G35*$J$4+$M$4*$J$5+[24]FormattedData!G35^2*$J$6+$M$5*$J$7</f>
        <v>31.613459789389005</v>
      </c>
      <c r="O60" s="6">
        <f>$J$3+[24]FormattedData!H35*$J$4+$M$4*$J$5+[24]FormattedData!H35^2*$J$6+$M$5*$J$7</f>
        <v>31.516815039056073</v>
      </c>
      <c r="P60" s="6">
        <f>$J$3+[24]FormattedData!I35*$J$4+$M$4*$J$5+[24]FormattedData!I35^2*$J$6+$M$5*$J$7</f>
        <v>31.806622484441064</v>
      </c>
      <c r="Q60" s="6">
        <f>$J$3+[24]FormattedData!J35*$J$4+$M$4*$J$5+[24]FormattedData!J35^2*$J$6+$M$5*$J$7</f>
        <v>31.710062271184</v>
      </c>
      <c r="R60" s="6">
        <f>$J$3+[24]FormattedData!K35*$J$4+$M$4*$J$5+[24]FormattedData!K35^2*$J$6+$M$5*$J$7</f>
        <v>30.159350337912301</v>
      </c>
      <c r="S60" s="6">
        <f>$J$3+[24]FormattedData!L35*$J$4+$M$4*$J$5+[24]FormattedData!L35^2*$J$6+$M$5*$J$7</f>
        <v>31.516815039056073</v>
      </c>
      <c r="T60" s="6">
        <f>$J$3+[24]FormattedData!M35*$J$4+$M$4*$J$5+[24]FormattedData!M35^2*$J$6+$M$5*$J$7</f>
        <v>32.577582523132079</v>
      </c>
      <c r="U60" s="6">
        <f>$J$3+[24]FormattedData!N35*$J$4+$M$4*$J$5+[24]FormattedData!N35^2*$J$6+$M$5*$J$7</f>
        <v>31.613459789389005</v>
      </c>
      <c r="V60" s="6">
        <f>$J$3+[24]FormattedData!O35*$J$4+$M$4*$J$5+[24]FormattedData!O35^2*$J$6+$M$5*$J$7</f>
        <v>32.769899847425513</v>
      </c>
      <c r="W60" s="5">
        <f t="shared" si="9"/>
        <v>31.547871093418774</v>
      </c>
      <c r="X60" s="4">
        <f t="shared" si="10"/>
        <v>0.21630233383206174</v>
      </c>
      <c r="Y60" s="3">
        <f t="shared" si="11"/>
        <v>30.159350337912301</v>
      </c>
      <c r="Z60" s="2">
        <f t="shared" si="12"/>
        <v>31.323145121548837</v>
      </c>
      <c r="AA60" s="3">
        <f t="shared" si="13"/>
        <v>31.613459789389005</v>
      </c>
      <c r="AB60" s="2">
        <f t="shared" si="14"/>
        <v>31.830751970620849</v>
      </c>
      <c r="AC60" s="2">
        <f t="shared" si="15"/>
        <v>32.769899847425513</v>
      </c>
      <c r="AD60" s="2">
        <f t="shared" si="16"/>
        <v>-0.24692511943972614</v>
      </c>
      <c r="AE60" s="2">
        <f t="shared" si="17"/>
        <v>5.4991808415910448E-2</v>
      </c>
    </row>
    <row r="61" spans="2:31" x14ac:dyDescent="0.2">
      <c r="B61" s="1">
        <f>[24]FormattedData!A37</f>
        <v>204</v>
      </c>
      <c r="C61" s="1" t="str">
        <f>VLOOKUP($B61,[24]TrtCodes!$B$11:I80,2)</f>
        <v>NDH</v>
      </c>
      <c r="D61" s="1">
        <f>VLOOKUP($B61,[24]TrtCodes!$B$11:J80,3)</f>
        <v>11</v>
      </c>
      <c r="E61" s="1">
        <f>VLOOKUP($B61,[24]TrtCodes!$B$11:K80,4)</f>
        <v>2</v>
      </c>
      <c r="F61" s="1">
        <f>VLOOKUP($B61,[24]TrtCodes!$B$11:L80,5)</f>
        <v>3</v>
      </c>
      <c r="G61" s="1">
        <f>VLOOKUP($B61,[24]TrtCodes!$B$11:M80,6)</f>
        <v>2</v>
      </c>
      <c r="H61" s="1">
        <f>VLOOKUP($B61,[24]TrtCodes!$B$11:N80,7)</f>
        <v>1</v>
      </c>
      <c r="I61" s="1">
        <f>[24]FormattedData!B37</f>
        <v>2</v>
      </c>
      <c r="J61" s="4">
        <f>[24]FormattedData!C37</f>
        <v>13.279</v>
      </c>
      <c r="K61" s="6">
        <f>$J$3+[24]FormattedData!D37*$J$4+$M$4*$J$5+[24]FormattedData!D37^2*$J$6+$M$5*$J$7</f>
        <v>29.282319664929723</v>
      </c>
      <c r="L61" s="6">
        <f>$J$3+[24]FormattedData!E37*$J$4+$M$4*$J$5+[24]FormattedData!E37^2*$J$6+$M$5*$J$7</f>
        <v>30.645110201852813</v>
      </c>
      <c r="M61" s="6">
        <f>$J$3+[24]FormattedData!F37*$J$4+$M$4*$J$5+[24]FormattedData!F37^2*$J$6+$M$5*$J$7</f>
        <v>31.032957259322462</v>
      </c>
      <c r="N61" s="6">
        <f>$J$3+[24]FormattedData!G37*$J$4+$M$4*$J$5+[24]FormattedData!G37^2*$J$6+$M$5*$J$7</f>
        <v>30.645110201852813</v>
      </c>
      <c r="O61" s="6">
        <f>$J$3+[24]FormattedData!H37*$J$4+$M$4*$J$5+[24]FormattedData!H37^2*$J$6+$M$5*$J$7</f>
        <v>30.450933061890407</v>
      </c>
      <c r="P61" s="6">
        <f>$J$3+[24]FormattedData!I37*$J$4+$M$4*$J$5+[24]FormattedData!I37^2*$J$6+$M$5*$J$7</f>
        <v>31.129813352345042</v>
      </c>
      <c r="Q61" s="6">
        <f>$J$3+[24]FormattedData!J37*$J$4+$M$4*$J$5+[24]FormattedData!J37^2*$J$6+$M$5*$J$7</f>
        <v>30.936058897761949</v>
      </c>
      <c r="R61" s="6">
        <f>$J$3+[24]FormattedData!K37*$J$4+$M$4*$J$5+[24]FormattedData!K37^2*$J$6+$M$5*$J$7</f>
        <v>32.38509612468691</v>
      </c>
      <c r="S61" s="6">
        <f>$J$3+[24]FormattedData!L37*$J$4+$M$4*$J$5+[24]FormattedData!L37^2*$J$6+$M$5*$J$7</f>
        <v>30.742135369027125</v>
      </c>
      <c r="T61" s="6">
        <f>$J$3+[24]FormattedData!M37*$J$4+$M$4*$J$5+[24]FormattedData!M37^2*$J$6+$M$5*$J$7</f>
        <v>30.450933061890407</v>
      </c>
      <c r="U61" s="6">
        <f>$J$3+[24]FormattedData!N37*$J$4+$M$4*$J$5+[24]FormattedData!N37^2*$J$6+$M$5*$J$7</f>
        <v>31.226627176829702</v>
      </c>
      <c r="V61" s="6">
        <f>$J$3+[24]FormattedData!O37*$J$4+$M$4*$J$5+[24]FormattedData!O37^2*$J$6+$M$5*$J$7</f>
        <v>30.839118267663501</v>
      </c>
      <c r="W61" s="5">
        <f t="shared" si="9"/>
        <v>30.813851053337739</v>
      </c>
      <c r="X61" s="4">
        <f t="shared" si="10"/>
        <v>0.20363562072353952</v>
      </c>
      <c r="Y61" s="3">
        <f t="shared" si="11"/>
        <v>29.282319664929723</v>
      </c>
      <c r="Z61" s="2">
        <f t="shared" si="12"/>
        <v>30.596565916862211</v>
      </c>
      <c r="AA61" s="3">
        <f t="shared" si="13"/>
        <v>30.790626818345313</v>
      </c>
      <c r="AB61" s="2">
        <f t="shared" si="14"/>
        <v>31.057171282578107</v>
      </c>
      <c r="AC61" s="2">
        <f t="shared" si="15"/>
        <v>32.38509612468691</v>
      </c>
      <c r="AD61" s="2">
        <f t="shared" si="16"/>
        <v>9.1811478847868652E-2</v>
      </c>
      <c r="AE61" s="2">
        <f t="shared" si="17"/>
        <v>3.3961214494759577</v>
      </c>
    </row>
    <row r="62" spans="2:31" x14ac:dyDescent="0.2">
      <c r="B62" s="1">
        <f>[24]FormattedData!A39</f>
        <v>205</v>
      </c>
      <c r="C62" s="1" t="str">
        <f>VLOOKUP($B62,[24]TrtCodes!$B$11:I82,2)</f>
        <v>FSH</v>
      </c>
      <c r="D62" s="1">
        <f>VLOOKUP($B62,[24]TrtCodes!$B$11:J82,3)</f>
        <v>1</v>
      </c>
      <c r="E62" s="1">
        <f>VLOOKUP($B62,[24]TrtCodes!$B$11:K82,4)</f>
        <v>1</v>
      </c>
      <c r="F62" s="1">
        <f>VLOOKUP($B62,[24]TrtCodes!$B$11:L82,5)</f>
        <v>1</v>
      </c>
      <c r="G62" s="1">
        <f>VLOOKUP($B62,[24]TrtCodes!$B$11:M82,6)</f>
        <v>2</v>
      </c>
      <c r="H62" s="1">
        <f>VLOOKUP($B62,[24]TrtCodes!$B$11:N82,7)</f>
        <v>2</v>
      </c>
      <c r="I62" s="1">
        <f>[24]FormattedData!B39</f>
        <v>2</v>
      </c>
      <c r="J62" s="4">
        <f>[24]FormattedData!C39</f>
        <v>13.297000000000001</v>
      </c>
      <c r="K62" s="6">
        <f>$J$3+[24]FormattedData!D39*$J$4+$M$4*$J$5+[24]FormattedData!D39^2*$J$6+$M$5*$J$7</f>
        <v>30.645110201852813</v>
      </c>
      <c r="L62" s="6">
        <f>$J$3+[24]FormattedData!E39*$J$4+$M$4*$J$5+[24]FormattedData!E39^2*$J$6+$M$5*$J$7</f>
        <v>28.499862583921441</v>
      </c>
      <c r="M62" s="6">
        <f>$J$3+[24]FormattedData!F39*$J$4+$M$4*$J$5+[24]FormattedData!F39^2*$J$6+$M$5*$J$7</f>
        <v>28.30382562829006</v>
      </c>
      <c r="N62" s="6">
        <f>$J$3+[24]FormattedData!G39*$J$4+$M$4*$J$5+[24]FormattedData!G39^2*$J$6+$M$5*$J$7</f>
        <v>28.205743747667473</v>
      </c>
      <c r="O62" s="6">
        <f>$J$3+[24]FormattedData!H39*$J$4+$M$4*$J$5+[24]FormattedData!H39^2*$J$6+$M$5*$J$7</f>
        <v>29.769981613077135</v>
      </c>
      <c r="P62" s="6">
        <f>$J$3+[24]FormattedData!I39*$J$4+$M$4*$J$5+[24]FormattedData!I39^2*$J$6+$M$5*$J$7</f>
        <v>28.695730465401098</v>
      </c>
      <c r="Q62" s="6">
        <f>$J$3+[24]FormattedData!J39*$J$4+$M$4*$J$5+[24]FormattedData!J39^2*$J$6+$M$5*$J$7</f>
        <v>29.769981613077135</v>
      </c>
      <c r="R62" s="6">
        <f>$J$3+[24]FormattedData!K39*$J$4+$M$4*$J$5+[24]FormattedData!K39^2*$J$6+$M$5*$J$7</f>
        <v>31.032957259322462</v>
      </c>
      <c r="S62" s="6">
        <f>$J$3+[24]FormattedData!L39*$J$4+$M$4*$J$5+[24]FormattedData!L39^2*$J$6+$M$5*$J$7</f>
        <v>30.159350337912301</v>
      </c>
      <c r="T62" s="6">
        <f>$J$3+[24]FormattedData!M39*$J$4+$M$4*$J$5+[24]FormattedData!M39^2*$J$6+$M$5*$J$7</f>
        <v>30.159350337912301</v>
      </c>
      <c r="U62" s="6">
        <f>$J$3+[24]FormattedData!N39*$J$4+$M$4*$J$5+[24]FormattedData!N39^2*$J$6+$M$5*$J$7</f>
        <v>30.645110201852813</v>
      </c>
      <c r="V62" s="6">
        <f>$J$3+[24]FormattedData!O39*$J$4+$M$4*$J$5+[24]FormattedData!O39^2*$J$6+$M$5*$J$7</f>
        <v>29.184660469686445</v>
      </c>
      <c r="W62" s="5">
        <f t="shared" si="9"/>
        <v>29.589305371664452</v>
      </c>
      <c r="X62" s="4">
        <f t="shared" si="10"/>
        <v>0.28530378443804366</v>
      </c>
      <c r="Y62" s="3">
        <f t="shared" si="11"/>
        <v>28.205743747667473</v>
      </c>
      <c r="Z62" s="2">
        <f t="shared" si="12"/>
        <v>28.646763495031184</v>
      </c>
      <c r="AA62" s="3">
        <f t="shared" si="13"/>
        <v>29.769981613077135</v>
      </c>
      <c r="AB62" s="2">
        <f t="shared" si="14"/>
        <v>30.28079030389743</v>
      </c>
      <c r="AC62" s="2">
        <f t="shared" si="15"/>
        <v>31.032957259322462</v>
      </c>
      <c r="AD62" s="2">
        <f t="shared" si="16"/>
        <v>-0.12437018801714851</v>
      </c>
      <c r="AE62" s="2">
        <f t="shared" si="17"/>
        <v>-1.4717243110463434</v>
      </c>
    </row>
    <row r="63" spans="2:31" x14ac:dyDescent="0.2">
      <c r="B63" s="1">
        <f>[24]FormattedData!A41</f>
        <v>206</v>
      </c>
      <c r="C63" s="1" t="str">
        <f>VLOOKUP($B63,[24]TrtCodes!$B$11:I84,2)</f>
        <v>NSL</v>
      </c>
      <c r="D63" s="1">
        <f>VLOOKUP($B63,[24]TrtCodes!$B$11:J84,3)</f>
        <v>8</v>
      </c>
      <c r="E63" s="1">
        <f>VLOOKUP($B63,[24]TrtCodes!$B$11:K84,4)</f>
        <v>2</v>
      </c>
      <c r="F63" s="1">
        <f>VLOOKUP($B63,[24]TrtCodes!$B$11:L84,5)</f>
        <v>1</v>
      </c>
      <c r="G63" s="1">
        <f>VLOOKUP($B63,[24]TrtCodes!$B$11:M84,6)</f>
        <v>1</v>
      </c>
      <c r="H63" s="1">
        <f>VLOOKUP($B63,[24]TrtCodes!$B$11:N84,7)</f>
        <v>2</v>
      </c>
      <c r="I63" s="1">
        <f>[24]FormattedData!B41</f>
        <v>2</v>
      </c>
      <c r="J63" s="4">
        <f>[24]FormattedData!C41</f>
        <v>13.314</v>
      </c>
      <c r="K63" s="6">
        <f>$J$3+[24]FormattedData!D41*$J$4+$M$4*$J$5+[24]FormattedData!D41^2*$J$6+$M$5*$J$7</f>
        <v>30.353781089102299</v>
      </c>
      <c r="L63" s="6">
        <f>$J$3+[24]FormattedData!E41*$J$4+$M$4*$J$5+[24]FormattedData!E41^2*$J$6+$M$5*$J$7</f>
        <v>30.645110201852813</v>
      </c>
      <c r="M63" s="6">
        <f>$J$3+[24]FormattedData!F41*$J$4+$M$4*$J$5+[24]FormattedData!F41^2*$J$6+$M$5*$J$7</f>
        <v>31.710062271184</v>
      </c>
      <c r="N63" s="6">
        <f>$J$3+[24]FormattedData!G41*$J$4+$M$4*$J$5+[24]FormattedData!G41^2*$J$6+$M$5*$J$7</f>
        <v>31.806622484441064</v>
      </c>
      <c r="O63" s="6">
        <f>$J$3+[24]FormattedData!H41*$J$4+$M$4*$J$5+[24]FormattedData!H41^2*$J$6+$M$5*$J$7</f>
        <v>32.962048097567234</v>
      </c>
      <c r="P63" s="6">
        <f>$J$3+[24]FormattedData!I41*$J$4+$M$4*$J$5+[24]FormattedData!I41^2*$J$6+$M$5*$J$7</f>
        <v>32.288789522657424</v>
      </c>
      <c r="Q63" s="6">
        <f>$J$3+[24]FormattedData!J41*$J$4+$M$4*$J$5+[24]FormattedData!J41^2*$J$6+$M$5*$J$7</f>
        <v>34.779023900596272</v>
      </c>
      <c r="R63" s="6">
        <f>$J$3+[24]FormattedData!K41*$J$4+$M$4*$J$5+[24]FormattedData!K41^2*$J$6+$M$5*$J$7</f>
        <v>32.288789522657424</v>
      </c>
      <c r="S63" s="6">
        <f>$J$3+[24]FormattedData!L41*$J$4+$M$4*$J$5+[24]FormattedData!L41^2*$J$6+$M$5*$J$7</f>
        <v>32.481360458178465</v>
      </c>
      <c r="T63" s="6">
        <f>$J$3+[24]FormattedData!M41*$J$4+$M$4*$J$5+[24]FormattedData!M41^2*$J$6+$M$5*$J$7</f>
        <v>33.154027273557219</v>
      </c>
      <c r="U63" s="6">
        <f>$J$3+[24]FormattedData!N41*$J$4+$M$4*$J$5+[24]FormattedData!N41^2*$J$6+$M$5*$J$7</f>
        <v>32.673762319547762</v>
      </c>
      <c r="V63" s="6">
        <f>$J$3+[24]FormattedData!O41*$J$4+$M$4*$J$5+[24]FormattedData!O41^2*$J$6+$M$5*$J$7</f>
        <v>32.673762319547762</v>
      </c>
      <c r="W63" s="5">
        <f t="shared" si="9"/>
        <v>32.318094955074152</v>
      </c>
      <c r="X63" s="4">
        <f t="shared" si="10"/>
        <v>0.33416241216274167</v>
      </c>
      <c r="Y63" s="3">
        <f t="shared" si="11"/>
        <v>30.353781089102299</v>
      </c>
      <c r="Z63" s="2">
        <f t="shared" si="12"/>
        <v>31.782482431126798</v>
      </c>
      <c r="AA63" s="3">
        <f t="shared" si="13"/>
        <v>32.385074990417948</v>
      </c>
      <c r="AB63" s="2">
        <f t="shared" si="14"/>
        <v>32.745833764052634</v>
      </c>
      <c r="AC63" s="2">
        <f t="shared" si="15"/>
        <v>34.779023900596272</v>
      </c>
      <c r="AD63" s="2">
        <f t="shared" si="16"/>
        <v>0.22708473838703669</v>
      </c>
      <c r="AE63" s="2">
        <f t="shared" si="17"/>
        <v>1.2583531983366107</v>
      </c>
    </row>
    <row r="64" spans="2:31" x14ac:dyDescent="0.2">
      <c r="B64" s="1">
        <f>[24]FormattedData!A43</f>
        <v>207</v>
      </c>
      <c r="C64" s="1" t="str">
        <f>VLOOKUP($B64,[24]TrtCodes!$B$11:I86,2)</f>
        <v>FTL</v>
      </c>
      <c r="D64" s="1">
        <f>VLOOKUP($B64,[24]TrtCodes!$B$11:J86,3)</f>
        <v>4</v>
      </c>
      <c r="E64" s="1">
        <f>VLOOKUP($B64,[24]TrtCodes!$B$11:K86,4)</f>
        <v>1</v>
      </c>
      <c r="F64" s="1">
        <f>VLOOKUP($B64,[24]TrtCodes!$B$11:L86,5)</f>
        <v>2</v>
      </c>
      <c r="G64" s="1">
        <f>VLOOKUP($B64,[24]TrtCodes!$B$11:M86,6)</f>
        <v>1</v>
      </c>
      <c r="H64" s="1">
        <f>VLOOKUP($B64,[24]TrtCodes!$B$11:N86,7)</f>
        <v>2</v>
      </c>
      <c r="I64" s="1">
        <f>[24]FormattedData!B43</f>
        <v>2</v>
      </c>
      <c r="J64" s="4">
        <f>[24]FormattedData!C43</f>
        <v>13.331</v>
      </c>
      <c r="K64" s="6">
        <f>$J$3+[24]FormattedData!D43*$J$4+$M$4*$J$5+[24]FormattedData!D43^2*$J$6+$M$5*$J$7</f>
        <v>31.903140429160203</v>
      </c>
      <c r="L64" s="6">
        <f>$J$3+[24]FormattedData!E43*$J$4+$M$4*$J$5+[24]FormattedData!E43^2*$J$6+$M$5*$J$7</f>
        <v>31.516815039056073</v>
      </c>
      <c r="M64" s="6">
        <f>$J$3+[24]FormattedData!F43*$J$4+$M$4*$J$5+[24]FormattedData!F43^2*$J$6+$M$5*$J$7</f>
        <v>30.548042766140576</v>
      </c>
      <c r="N64" s="6">
        <f>$J$3+[24]FormattedData!G43*$J$4+$M$4*$J$5+[24]FormattedData!G43^2*$J$6+$M$5*$J$7</f>
        <v>32.192440652090021</v>
      </c>
      <c r="O64" s="6">
        <f>$J$3+[24]FormattedData!H43*$J$4+$M$4*$J$5+[24]FormattedData!H43^2*$J$6+$M$5*$J$7</f>
        <v>30.742135369027125</v>
      </c>
      <c r="P64" s="6">
        <f>$J$3+[24]FormattedData!I43*$J$4+$M$4*$J$5+[24]FormattedData!I43^2*$J$6+$M$5*$J$7</f>
        <v>32.481360458178465</v>
      </c>
      <c r="Q64" s="6">
        <f>$J$3+[24]FormattedData!J43*$J$4+$M$4*$J$5+[24]FormattedData!J43^2*$J$6+$M$5*$J$7</f>
        <v>30.159350337912301</v>
      </c>
      <c r="R64" s="6">
        <f>$J$3+[24]FormattedData!K43*$J$4+$M$4*$J$5+[24]FormattedData!K43^2*$J$6+$M$5*$J$7</f>
        <v>29.282319664929723</v>
      </c>
      <c r="S64" s="6">
        <f>$J$3+[24]FormattedData!L43*$J$4+$M$4*$J$5+[24]FormattedData!L43^2*$J$6+$M$5*$J$7</f>
        <v>31.032957259322462</v>
      </c>
      <c r="T64" s="6">
        <f>$J$3+[24]FormattedData!M43*$J$4+$M$4*$J$5+[24]FormattedData!M43^2*$J$6+$M$5*$J$7</f>
        <v>31.99961610534141</v>
      </c>
      <c r="U64" s="6">
        <f>$J$3+[24]FormattedData!N43*$J$4+$M$4*$J$5+[24]FormattedData!N43^2*$J$6+$M$5*$J$7</f>
        <v>30.839118267663501</v>
      </c>
      <c r="V64" s="6">
        <f>$J$3+[24]FormattedData!O43*$J$4+$M$4*$J$5+[24]FormattedData!O43^2*$J$6+$M$5*$J$7</f>
        <v>32.577582523132079</v>
      </c>
      <c r="W64" s="5">
        <f t="shared" si="9"/>
        <v>31.272906572662833</v>
      </c>
      <c r="X64" s="4">
        <f t="shared" si="10"/>
        <v>0.29191391881141093</v>
      </c>
      <c r="Y64" s="3">
        <f t="shared" si="11"/>
        <v>29.282319664929723</v>
      </c>
      <c r="Z64" s="2">
        <f t="shared" si="12"/>
        <v>30.693612218305489</v>
      </c>
      <c r="AA64" s="3">
        <f t="shared" si="13"/>
        <v>31.274886149189268</v>
      </c>
      <c r="AB64" s="2">
        <f t="shared" si="14"/>
        <v>32.047822242028559</v>
      </c>
      <c r="AC64" s="2">
        <f t="shared" si="15"/>
        <v>32.577582523132079</v>
      </c>
      <c r="AD64" s="2">
        <f t="shared" si="16"/>
        <v>-0.47290696868463544</v>
      </c>
      <c r="AE64" s="2">
        <f t="shared" si="17"/>
        <v>-0.44402275355944809</v>
      </c>
    </row>
    <row r="65" spans="2:31" x14ac:dyDescent="0.2">
      <c r="B65" s="1">
        <f>[24]FormattedData!A45</f>
        <v>208</v>
      </c>
      <c r="C65" s="1" t="str">
        <f>VLOOKUP($B65,[24]TrtCodes!$B$11:I88,2)</f>
        <v>FSL</v>
      </c>
      <c r="D65" s="1">
        <f>VLOOKUP($B65,[24]TrtCodes!$B$11:J88,3)</f>
        <v>2</v>
      </c>
      <c r="E65" s="1">
        <f>VLOOKUP($B65,[24]TrtCodes!$B$11:K88,4)</f>
        <v>1</v>
      </c>
      <c r="F65" s="1">
        <f>VLOOKUP($B65,[24]TrtCodes!$B$11:L88,5)</f>
        <v>1</v>
      </c>
      <c r="G65" s="1">
        <f>VLOOKUP($B65,[24]TrtCodes!$B$11:M88,6)</f>
        <v>1</v>
      </c>
      <c r="H65" s="1">
        <f>VLOOKUP($B65,[24]TrtCodes!$B$11:N88,7)</f>
        <v>2</v>
      </c>
      <c r="I65" s="1">
        <f>[24]FormattedData!B45</f>
        <v>2</v>
      </c>
      <c r="J65" s="4">
        <f>[24]FormattedData!C45</f>
        <v>13.349</v>
      </c>
      <c r="K65" s="6">
        <f>$J$3+[24]FormattedData!D45*$J$4+$M$4*$J$5+[24]FormattedData!D45^2*$J$6+$M$5*$J$7</f>
        <v>29.477511249802479</v>
      </c>
      <c r="L65" s="6">
        <f>$J$3+[24]FormattedData!E45*$J$4+$M$4*$J$5+[24]FormattedData!E45^2*$J$6+$M$5*$J$7</f>
        <v>31.226627176829702</v>
      </c>
      <c r="M65" s="6">
        <f>$J$3+[24]FormattedData!F45*$J$4+$M$4*$J$5+[24]FormattedData!F45^2*$J$6+$M$5*$J$7</f>
        <v>29.964750512570586</v>
      </c>
      <c r="N65" s="6">
        <f>$J$3+[24]FormattedData!G45*$J$4+$M$4*$J$5+[24]FormattedData!G45^2*$J$6+$M$5*$J$7</f>
        <v>31.516815039056073</v>
      </c>
      <c r="O65" s="6">
        <f>$J$3+[24]FormattedData!H45*$J$4+$M$4*$J$5+[24]FormattedData!H45^2*$J$6+$M$5*$J$7</f>
        <v>31.226627176829702</v>
      </c>
      <c r="P65" s="6">
        <f>$J$3+[24]FormattedData!I45*$J$4+$M$4*$J$5+[24]FormattedData!I45^2*$J$6+$M$5*$J$7</f>
        <v>29.184660469686445</v>
      </c>
      <c r="Q65" s="6">
        <f>$J$3+[24]FormattedData!J45*$J$4+$M$4*$J$5+[24]FormattedData!J45^2*$J$6+$M$5*$J$7</f>
        <v>32.096049512984678</v>
      </c>
      <c r="R65" s="6">
        <f>$J$3+[24]FormattedData!K45*$J$4+$M$4*$J$5+[24]FormattedData!K45^2*$J$6+$M$5*$J$7</f>
        <v>29.867387197092821</v>
      </c>
      <c r="S65" s="6">
        <f>$J$3+[24]FormattedData!L45*$J$4+$M$4*$J$5+[24]FormattedData!L45^2*$J$6+$M$5*$J$7</f>
        <v>28.793601003334029</v>
      </c>
      <c r="T65" s="6">
        <f>$J$3+[24]FormattedData!M45*$J$4+$M$4*$J$5+[24]FormattedData!M45^2*$J$6+$M$5*$J$7</f>
        <v>29.086959005905239</v>
      </c>
      <c r="U65" s="6">
        <f>$J$3+[24]FormattedData!N45*$J$4+$M$4*$J$5+[24]FormattedData!N45^2*$J$6+$M$5*$J$7</f>
        <v>28.891429272729031</v>
      </c>
      <c r="V65" s="6">
        <f>$J$3+[24]FormattedData!O45*$J$4+$M$4*$J$5+[24]FormattedData!O45^2*$J$6+$M$5*$J$7</f>
        <v>30.256586847776269</v>
      </c>
      <c r="W65" s="5">
        <f t="shared" si="9"/>
        <v>30.132417038716415</v>
      </c>
      <c r="X65" s="4">
        <f t="shared" si="10"/>
        <v>0.32605747087370079</v>
      </c>
      <c r="Y65" s="3">
        <f t="shared" si="11"/>
        <v>28.793601003334029</v>
      </c>
      <c r="Z65" s="2">
        <f t="shared" si="12"/>
        <v>29.160235103741144</v>
      </c>
      <c r="AA65" s="3">
        <f t="shared" si="13"/>
        <v>29.916068854831703</v>
      </c>
      <c r="AB65" s="2">
        <f t="shared" si="14"/>
        <v>31.226627176829702</v>
      </c>
      <c r="AC65" s="2">
        <f t="shared" si="15"/>
        <v>32.096049512984678</v>
      </c>
      <c r="AD65" s="2">
        <f t="shared" si="16"/>
        <v>0.47223853605164384</v>
      </c>
      <c r="AE65" s="2">
        <f t="shared" si="17"/>
        <v>-1.2078587684909756</v>
      </c>
    </row>
    <row r="66" spans="2:31" x14ac:dyDescent="0.2">
      <c r="B66" s="1">
        <f>[24]FormattedData!A63</f>
        <v>301</v>
      </c>
      <c r="C66" s="1" t="str">
        <f>VLOOKUP($B66,[24]TrtCodes!$B$11:I106,2)</f>
        <v>NTL</v>
      </c>
      <c r="D66" s="1">
        <f>VLOOKUP($B66,[24]TrtCodes!$B$11:J106,3)</f>
        <v>10</v>
      </c>
      <c r="E66" s="1">
        <f>VLOOKUP($B66,[24]TrtCodes!$B$11:K106,4)</f>
        <v>2</v>
      </c>
      <c r="F66" s="1">
        <f>VLOOKUP($B66,[24]TrtCodes!$B$11:L106,5)</f>
        <v>2</v>
      </c>
      <c r="G66" s="1">
        <f>VLOOKUP($B66,[24]TrtCodes!$B$11:M106,6)</f>
        <v>1</v>
      </c>
      <c r="H66" s="1">
        <f>VLOOKUP($B66,[24]TrtCodes!$B$11:N106,7)</f>
        <v>3</v>
      </c>
      <c r="I66" s="1">
        <f>[24]FormattedData!B63</f>
        <v>2</v>
      </c>
      <c r="J66" s="4">
        <f>[24]FormattedData!C63</f>
        <v>13.478</v>
      </c>
      <c r="K66" s="6">
        <f>$J$3+[24]FormattedData!D63*$J$4+$M$4*$J$5+[24]FormattedData!D63^2*$J$6+$M$5*$J$7</f>
        <v>29.184660469686445</v>
      </c>
      <c r="L66" s="6">
        <f>$J$3+[24]FormattedData!E63*$J$4+$M$4*$J$5+[24]FormattedData!E63^2*$J$6+$M$5*$J$7</f>
        <v>29.575043639431964</v>
      </c>
      <c r="M66" s="6">
        <f>$J$3+[24]FormattedData!F63*$J$4+$M$4*$J$5+[24]FormattedData!F63^2*$J$6+$M$5*$J$7</f>
        <v>29.867387197092821</v>
      </c>
      <c r="N66" s="6">
        <f>$J$3+[24]FormattedData!G63*$J$4+$M$4*$J$5+[24]FormattedData!G63^2*$J$6+$M$5*$J$7</f>
        <v>30.450933061890407</v>
      </c>
      <c r="O66" s="6">
        <f>$J$3+[24]FormattedData!H63*$J$4+$M$4*$J$5+[24]FormattedData!H63^2*$J$6+$M$5*$J$7</f>
        <v>29.867387197092821</v>
      </c>
      <c r="P66" s="6">
        <f>$J$3+[24]FormattedData!I63*$J$4+$M$4*$J$5+[24]FormattedData!I63^2*$J$6+$M$5*$J$7</f>
        <v>28.891429272729031</v>
      </c>
      <c r="Q66" s="6">
        <f>$J$3+[24]FormattedData!J63*$J$4+$M$4*$J$5+[24]FormattedData!J63^2*$J$6+$M$5*$J$7</f>
        <v>29.379936591635065</v>
      </c>
      <c r="R66" s="6">
        <f>$J$3+[24]FormattedData!K63*$J$4+$M$4*$J$5+[24]FormattedData!K63^2*$J$6+$M$5*$J$7</f>
        <v>31.613459789389005</v>
      </c>
      <c r="S66" s="6">
        <f>$J$3+[24]FormattedData!L63*$J$4+$M$4*$J$5+[24]FormattedData!L63^2*$J$6+$M$5*$J$7</f>
        <v>28.989215273586101</v>
      </c>
      <c r="T66" s="6">
        <f>$J$3+[24]FormattedData!M63*$J$4+$M$4*$J$5+[24]FormattedData!M63^2*$J$6+$M$5*$J$7</f>
        <v>29.184660469686445</v>
      </c>
      <c r="U66" s="6">
        <f>$J$3+[24]FormattedData!N63*$J$4+$M$4*$J$5+[24]FormattedData!N63^2*$J$6+$M$5*$J$7</f>
        <v>30.159350337912301</v>
      </c>
      <c r="V66" s="6">
        <f>$J$3+[24]FormattedData!O63*$J$4+$M$4*$J$5+[24]FormattedData!O63^2*$J$6+$M$5*$J$7</f>
        <v>29.769981613077135</v>
      </c>
      <c r="W66" s="5">
        <f t="shared" si="9"/>
        <v>29.744453742767462</v>
      </c>
      <c r="X66" s="4">
        <f t="shared" si="10"/>
        <v>0.21814747238475973</v>
      </c>
      <c r="Y66" s="3">
        <f t="shared" si="11"/>
        <v>28.891429272729031</v>
      </c>
      <c r="Z66" s="2">
        <f t="shared" si="12"/>
        <v>29.184660469686445</v>
      </c>
      <c r="AA66" s="3">
        <f t="shared" si="13"/>
        <v>29.672512626254552</v>
      </c>
      <c r="AB66" s="2">
        <f t="shared" si="14"/>
        <v>29.94037798229769</v>
      </c>
      <c r="AC66" s="2">
        <f t="shared" si="15"/>
        <v>31.613459789389005</v>
      </c>
      <c r="AD66" s="2">
        <f t="shared" si="16"/>
        <v>1.3905991607772983</v>
      </c>
      <c r="AE66" s="2">
        <f t="shared" si="17"/>
        <v>2.5146086095450961</v>
      </c>
    </row>
    <row r="67" spans="2:31" x14ac:dyDescent="0.2">
      <c r="B67" s="1">
        <f>[24]FormattedData!A65</f>
        <v>302</v>
      </c>
      <c r="C67" s="1" t="str">
        <f>VLOOKUP($B67,[24]TrtCodes!$B$11:I108,2)</f>
        <v>FTL</v>
      </c>
      <c r="D67" s="1">
        <f>VLOOKUP($B67,[24]TrtCodes!$B$11:J108,3)</f>
        <v>4</v>
      </c>
      <c r="E67" s="1">
        <f>VLOOKUP($B67,[24]TrtCodes!$B$11:K108,4)</f>
        <v>1</v>
      </c>
      <c r="F67" s="1">
        <f>VLOOKUP($B67,[24]TrtCodes!$B$11:L108,5)</f>
        <v>2</v>
      </c>
      <c r="G67" s="1">
        <f>VLOOKUP($B67,[24]TrtCodes!$B$11:M108,6)</f>
        <v>1</v>
      </c>
      <c r="H67" s="1">
        <f>VLOOKUP($B67,[24]TrtCodes!$B$11:N108,7)</f>
        <v>3</v>
      </c>
      <c r="I67" s="1">
        <f>[24]FormattedData!B65</f>
        <v>2</v>
      </c>
      <c r="J67" s="4">
        <f>[24]FormattedData!C65</f>
        <v>13.496</v>
      </c>
      <c r="K67" s="6">
        <f>$J$3+[24]FormattedData!D65*$J$4+$M$4*$J$5+[24]FormattedData!D65^2*$J$6+$M$5*$J$7</f>
        <v>32.673762319547762</v>
      </c>
      <c r="L67" s="6">
        <f>$J$3+[24]FormattedData!E65*$J$4+$M$4*$J$5+[24]FormattedData!E65^2*$J$6+$M$5*$J$7</f>
        <v>31.516815039056073</v>
      </c>
      <c r="M67" s="6">
        <f>$J$3+[24]FormattedData!F65*$J$4+$M$4*$J$5+[24]FormattedData!F65^2*$J$6+$M$5*$J$7</f>
        <v>32.577582523132079</v>
      </c>
      <c r="N67" s="6">
        <f>$J$3+[24]FormattedData!G65*$J$4+$M$4*$J$5+[24]FormattedData!G65^2*$J$6+$M$5*$J$7</f>
        <v>31.032957259322462</v>
      </c>
      <c r="O67" s="6">
        <f>$J$3+[24]FormattedData!H65*$J$4+$M$4*$J$5+[24]FormattedData!H65^2*$J$6+$M$5*$J$7</f>
        <v>32.38509612468691</v>
      </c>
      <c r="P67" s="6">
        <f>$J$3+[24]FormattedData!I65*$J$4+$M$4*$J$5+[24]FormattedData!I65^2*$J$6+$M$5*$J$7</f>
        <v>33.058058819831196</v>
      </c>
      <c r="Q67" s="6">
        <f>$J$3+[24]FormattedData!J65*$J$4+$M$4*$J$5+[24]FormattedData!J65^2*$J$6+$M$5*$J$7</f>
        <v>32.38509612468691</v>
      </c>
      <c r="R67" s="6">
        <f>$J$3+[24]FormattedData!K65*$J$4+$M$4*$J$5+[24]FormattedData!K65^2*$J$6+$M$5*$J$7</f>
        <v>31.032957259322462</v>
      </c>
      <c r="S67" s="6">
        <f>$J$3+[24]FormattedData!L65*$J$4+$M$4*$J$5+[24]FormattedData!L65^2*$J$6+$M$5*$J$7</f>
        <v>31.806622484441064</v>
      </c>
      <c r="T67" s="6">
        <f>$J$3+[24]FormattedData!M65*$J$4+$M$4*$J$5+[24]FormattedData!M65^2*$J$6+$M$5*$J$7</f>
        <v>31.903140429160203</v>
      </c>
      <c r="U67" s="6">
        <f>$J$3+[24]FormattedData!N65*$J$4+$M$4*$J$5+[24]FormattedData!N65^2*$J$6+$M$5*$J$7</f>
        <v>31.516815039056073</v>
      </c>
      <c r="V67" s="6">
        <f>$J$3+[24]FormattedData!O65*$J$4+$M$4*$J$5+[24]FormattedData!O65^2*$J$6+$M$5*$J$7</f>
        <v>32.86599510676534</v>
      </c>
      <c r="W67" s="5">
        <f t="shared" si="9"/>
        <v>32.062908210750713</v>
      </c>
      <c r="X67" s="4">
        <f t="shared" si="10"/>
        <v>0.20019228139011469</v>
      </c>
      <c r="Y67" s="3">
        <f t="shared" si="11"/>
        <v>31.032957259322462</v>
      </c>
      <c r="Z67" s="2">
        <f t="shared" si="12"/>
        <v>31.516815039056073</v>
      </c>
      <c r="AA67" s="3">
        <f t="shared" si="13"/>
        <v>32.144118276923557</v>
      </c>
      <c r="AB67" s="2">
        <f t="shared" si="14"/>
        <v>32.601627472236004</v>
      </c>
      <c r="AC67" s="2">
        <f t="shared" si="15"/>
        <v>33.058058819831196</v>
      </c>
      <c r="AD67" s="2">
        <f t="shared" si="16"/>
        <v>-0.19531979445348988</v>
      </c>
      <c r="AE67" s="2">
        <f t="shared" si="17"/>
        <v>-1.2665266168825391</v>
      </c>
    </row>
    <row r="68" spans="2:31" x14ac:dyDescent="0.2">
      <c r="B68" s="1">
        <f>[24]FormattedData!A67</f>
        <v>303</v>
      </c>
      <c r="C68" s="1" t="str">
        <f>VLOOKUP($B68,[24]TrtCodes!$B$11:I110,2)</f>
        <v>NSL</v>
      </c>
      <c r="D68" s="1">
        <f>VLOOKUP($B68,[24]TrtCodes!$B$11:J110,3)</f>
        <v>8</v>
      </c>
      <c r="E68" s="1">
        <f>VLOOKUP($B68,[24]TrtCodes!$B$11:K110,4)</f>
        <v>2</v>
      </c>
      <c r="F68" s="1">
        <f>VLOOKUP($B68,[24]TrtCodes!$B$11:L110,5)</f>
        <v>1</v>
      </c>
      <c r="G68" s="1">
        <f>VLOOKUP($B68,[24]TrtCodes!$B$11:M110,6)</f>
        <v>1</v>
      </c>
      <c r="H68" s="1">
        <f>VLOOKUP($B68,[24]TrtCodes!$B$11:N110,7)</f>
        <v>3</v>
      </c>
      <c r="I68" s="1">
        <f>[24]FormattedData!B67</f>
        <v>2</v>
      </c>
      <c r="J68" s="4">
        <f>[24]FormattedData!C67</f>
        <v>13.513</v>
      </c>
      <c r="K68" s="6">
        <f>$J$3+[24]FormattedData!D67*$J$4+$M$4*$J$5+[24]FormattedData!D67^2*$J$6+$M$5*$J$7</f>
        <v>29.769981613077135</v>
      </c>
      <c r="L68" s="6">
        <f>$J$3+[24]FormattedData!E67*$J$4+$M$4*$J$5+[24]FormattedData!E67^2*$J$6+$M$5*$J$7</f>
        <v>30.256586847776269</v>
      </c>
      <c r="M68" s="6">
        <f>$J$3+[24]FormattedData!F67*$J$4+$M$4*$J$5+[24]FormattedData!F67^2*$J$6+$M$5*$J$7</f>
        <v>31.99961610534141</v>
      </c>
      <c r="N68" s="6">
        <f>$J$3+[24]FormattedData!G67*$J$4+$M$4*$J$5+[24]FormattedData!G67^2*$J$6+$M$5*$J$7</f>
        <v>31.903140429160203</v>
      </c>
      <c r="O68" s="6">
        <f>$J$3+[24]FormattedData!H67*$J$4+$M$4*$J$5+[24]FormattedData!H67^2*$J$6+$M$5*$J$7</f>
        <v>29.964750512570586</v>
      </c>
      <c r="P68" s="6">
        <f>$J$3+[24]FormattedData!I67*$J$4+$M$4*$J$5+[24]FormattedData!I67^2*$J$6+$M$5*$J$7</f>
        <v>29.867387197092821</v>
      </c>
      <c r="Q68" s="6">
        <f>$J$3+[24]FormattedData!J67*$J$4+$M$4*$J$5+[24]FormattedData!J67^2*$J$6+$M$5*$J$7</f>
        <v>30.353781089102299</v>
      </c>
      <c r="R68" s="6">
        <f>$J$3+[24]FormattedData!K67*$J$4+$M$4*$J$5+[24]FormattedData!K67^2*$J$6+$M$5*$J$7</f>
        <v>31.032957259322462</v>
      </c>
      <c r="S68" s="6">
        <f>$J$3+[24]FormattedData!L67*$J$4+$M$4*$J$5+[24]FormattedData!L67^2*$J$6+$M$5*$J$7</f>
        <v>30.159350337912301</v>
      </c>
      <c r="T68" s="6">
        <f>$J$3+[24]FormattedData!M67*$J$4+$M$4*$J$5+[24]FormattedData!M67^2*$J$6+$M$5*$J$7</f>
        <v>30.645110201852813</v>
      </c>
      <c r="U68" s="6">
        <f>$J$3+[24]FormattedData!N67*$J$4+$M$4*$J$5+[24]FormattedData!N67^2*$J$6+$M$5*$J$7</f>
        <v>29.184660469686445</v>
      </c>
      <c r="V68" s="6">
        <f>$J$3+[24]FormattedData!O67*$J$4+$M$4*$J$5+[24]FormattedData!O67^2*$J$6+$M$5*$J$7</f>
        <v>30.742135369027125</v>
      </c>
      <c r="W68" s="5">
        <f t="shared" si="9"/>
        <v>30.48995478599349</v>
      </c>
      <c r="X68" s="4">
        <f t="shared" si="10"/>
        <v>0.24193942739361582</v>
      </c>
      <c r="Y68" s="3">
        <f t="shared" si="11"/>
        <v>29.184660469686445</v>
      </c>
      <c r="Z68" s="2">
        <f t="shared" si="12"/>
        <v>29.940409683701144</v>
      </c>
      <c r="AA68" s="3">
        <f t="shared" si="13"/>
        <v>30.305183968439284</v>
      </c>
      <c r="AB68" s="2">
        <f t="shared" si="14"/>
        <v>30.814840841600958</v>
      </c>
      <c r="AC68" s="2">
        <f t="shared" si="15"/>
        <v>31.99961610534141</v>
      </c>
      <c r="AD68" s="2">
        <f t="shared" si="16"/>
        <v>0.63154751501528172</v>
      </c>
      <c r="AE68" s="2">
        <f t="shared" si="17"/>
        <v>1.8673151201241467E-2</v>
      </c>
    </row>
    <row r="69" spans="2:31" x14ac:dyDescent="0.2">
      <c r="B69" s="1">
        <f>[24]FormattedData!A69</f>
        <v>304</v>
      </c>
      <c r="C69" s="1" t="str">
        <f>VLOOKUP($B69,[24]TrtCodes!$B$11:I112,2)</f>
        <v>FSL</v>
      </c>
      <c r="D69" s="1">
        <f>VLOOKUP($B69,[24]TrtCodes!$B$11:J112,3)</f>
        <v>2</v>
      </c>
      <c r="E69" s="1">
        <f>VLOOKUP($B69,[24]TrtCodes!$B$11:K112,4)</f>
        <v>1</v>
      </c>
      <c r="F69" s="1">
        <f>VLOOKUP($B69,[24]TrtCodes!$B$11:L112,5)</f>
        <v>1</v>
      </c>
      <c r="G69" s="1">
        <f>VLOOKUP($B69,[24]TrtCodes!$B$11:M112,6)</f>
        <v>1</v>
      </c>
      <c r="H69" s="1">
        <f>VLOOKUP($B69,[24]TrtCodes!$B$11:N112,7)</f>
        <v>3</v>
      </c>
      <c r="I69" s="1">
        <f>[24]FormattedData!B69</f>
        <v>2</v>
      </c>
      <c r="J69" s="4">
        <f>[24]FormattedData!C69</f>
        <v>13.53</v>
      </c>
      <c r="K69" s="6">
        <f>$J$3+[24]FormattedData!D69*$J$4+$M$4*$J$5+[24]FormattedData!D69^2*$J$6+$M$5*$J$7</f>
        <v>30.548042766140576</v>
      </c>
      <c r="L69" s="6">
        <f>$J$3+[24]FormattedData!E69*$J$4+$M$4*$J$5+[24]FormattedData!E69^2*$J$6+$M$5*$J$7</f>
        <v>31.032957259322462</v>
      </c>
      <c r="M69" s="6">
        <f>$J$3+[24]FormattedData!F69*$J$4+$M$4*$J$5+[24]FormattedData!F69^2*$J$6+$M$5*$J$7</f>
        <v>28.695730465401098</v>
      </c>
      <c r="N69" s="6">
        <f>$J$3+[24]FormattedData!G69*$J$4+$M$4*$J$5+[24]FormattedData!G69^2*$J$6+$M$5*$J$7</f>
        <v>28.989215273586101</v>
      </c>
      <c r="O69" s="6">
        <f>$J$3+[24]FormattedData!H69*$J$4+$M$4*$J$5+[24]FormattedData!H69^2*$J$6+$M$5*$J$7</f>
        <v>30.839118267663501</v>
      </c>
      <c r="P69" s="6">
        <f>$J$3+[24]FormattedData!I69*$J$4+$M$4*$J$5+[24]FormattedData!I69^2*$J$6+$M$5*$J$7</f>
        <v>31.613459789389005</v>
      </c>
      <c r="Q69" s="6">
        <f>$J$3+[24]FormattedData!J69*$J$4+$M$4*$J$5+[24]FormattedData!J69^2*$J$6+$M$5*$J$7</f>
        <v>30.353781089102299</v>
      </c>
      <c r="R69" s="6">
        <f>$J$3+[24]FormattedData!K69*$J$4+$M$4*$J$5+[24]FormattedData!K69^2*$J$6+$M$5*$J$7</f>
        <v>29.769981613077135</v>
      </c>
      <c r="S69" s="6">
        <f>$J$3+[24]FormattedData!L69*$J$4+$M$4*$J$5+[24]FormattedData!L69^2*$J$6+$M$5*$J$7</f>
        <v>30.450933061890407</v>
      </c>
      <c r="T69" s="6">
        <f>$J$3+[24]FormattedData!M69*$J$4+$M$4*$J$5+[24]FormattedData!M69^2*$J$6+$M$5*$J$7</f>
        <v>32.096049512984678</v>
      </c>
      <c r="U69" s="6">
        <f>$J$3+[24]FormattedData!N69*$J$4+$M$4*$J$5+[24]FormattedData!N69^2*$J$6+$M$5*$J$7</f>
        <v>30.256586847776269</v>
      </c>
      <c r="V69" s="6">
        <f>$J$3+[24]FormattedData!O69*$J$4+$M$4*$J$5+[24]FormattedData!O69^2*$J$6+$M$5*$J$7</f>
        <v>30.548042766140576</v>
      </c>
      <c r="W69" s="5">
        <f t="shared" si="9"/>
        <v>30.432824892706176</v>
      </c>
      <c r="X69" s="4">
        <f t="shared" si="10"/>
        <v>0.27921020985307077</v>
      </c>
      <c r="Y69" s="3">
        <f t="shared" si="11"/>
        <v>28.695730465401098</v>
      </c>
      <c r="Z69" s="2">
        <f t="shared" si="12"/>
        <v>30.134935539101484</v>
      </c>
      <c r="AA69" s="3">
        <f t="shared" si="13"/>
        <v>30.499487914015489</v>
      </c>
      <c r="AB69" s="2">
        <f t="shared" si="14"/>
        <v>30.887578015578242</v>
      </c>
      <c r="AC69" s="2">
        <f t="shared" si="15"/>
        <v>32.096049512984678</v>
      </c>
      <c r="AD69" s="2">
        <f t="shared" si="16"/>
        <v>-0.24286707342182703</v>
      </c>
      <c r="AE69" s="2">
        <f t="shared" si="17"/>
        <v>0.17905555196025524</v>
      </c>
    </row>
    <row r="70" spans="2:31" x14ac:dyDescent="0.2">
      <c r="B70" s="1">
        <f>[24]FormattedData!A71</f>
        <v>305</v>
      </c>
      <c r="C70" s="1" t="str">
        <f>VLOOKUP($B70,[24]TrtCodes!$B$11:I114,2)</f>
        <v>NDH</v>
      </c>
      <c r="D70" s="1">
        <f>VLOOKUP($B70,[24]TrtCodes!$B$11:J114,3)</f>
        <v>11</v>
      </c>
      <c r="E70" s="1">
        <f>VLOOKUP($B70,[24]TrtCodes!$B$11:K114,4)</f>
        <v>2</v>
      </c>
      <c r="F70" s="1">
        <f>VLOOKUP($B70,[24]TrtCodes!$B$11:L114,5)</f>
        <v>3</v>
      </c>
      <c r="G70" s="1">
        <f>VLOOKUP($B70,[24]TrtCodes!$B$11:M114,6)</f>
        <v>2</v>
      </c>
      <c r="H70" s="1">
        <f>VLOOKUP($B70,[24]TrtCodes!$B$11:N114,7)</f>
        <v>4</v>
      </c>
      <c r="I70" s="1">
        <f>[24]FormattedData!B71</f>
        <v>2</v>
      </c>
      <c r="J70" s="4">
        <f>[24]FormattedData!C71</f>
        <v>13.547000000000001</v>
      </c>
      <c r="K70" s="6">
        <f>$J$3+[24]FormattedData!D71*$J$4+$M$4*$J$5+[24]FormattedData!D71^2*$J$6+$M$5*$J$7</f>
        <v>28.793601003334029</v>
      </c>
      <c r="L70" s="6">
        <f>$J$3+[24]FormattedData!E71*$J$4+$M$4*$J$5+[24]FormattedData!E71^2*$J$6+$M$5*$J$7</f>
        <v>29.086959005905239</v>
      </c>
      <c r="M70" s="6">
        <f>$J$3+[24]FormattedData!F71*$J$4+$M$4*$J$5+[24]FormattedData!F71^2*$J$6+$M$5*$J$7</f>
        <v>29.867387197092821</v>
      </c>
      <c r="N70" s="6">
        <f>$J$3+[24]FormattedData!G71*$J$4+$M$4*$J$5+[24]FormattedData!G71^2*$J$6+$M$5*$J$7</f>
        <v>31.613459789389005</v>
      </c>
      <c r="O70" s="6">
        <f>$J$3+[24]FormattedData!H71*$J$4+$M$4*$J$5+[24]FormattedData!H71^2*$J$6+$M$5*$J$7</f>
        <v>29.964750512570586</v>
      </c>
      <c r="P70" s="6">
        <f>$J$3+[24]FormattedData!I71*$J$4+$M$4*$J$5+[24]FormattedData!I71^2*$J$6+$M$5*$J$7</f>
        <v>30.742135369027125</v>
      </c>
      <c r="Q70" s="6">
        <f>$J$3+[24]FormattedData!J71*$J$4+$M$4*$J$5+[24]FormattedData!J71^2*$J$6+$M$5*$J$7</f>
        <v>30.256586847776269</v>
      </c>
      <c r="R70" s="6">
        <f>$J$3+[24]FormattedData!K71*$J$4+$M$4*$J$5+[24]FormattedData!K71^2*$J$6+$M$5*$J$7</f>
        <v>30.159350337912301</v>
      </c>
      <c r="S70" s="6">
        <f>$J$3+[24]FormattedData!L71*$J$4+$M$4*$J$5+[24]FormattedData!L71^2*$J$6+$M$5*$J$7</f>
        <v>30.159350337912301</v>
      </c>
      <c r="T70" s="6">
        <f>$J$3+[24]FormattedData!M71*$J$4+$M$4*$J$5+[24]FormattedData!M71^2*$J$6+$M$5*$J$7</f>
        <v>30.742135369027125</v>
      </c>
      <c r="U70" s="6">
        <f>$J$3+[24]FormattedData!N71*$J$4+$M$4*$J$5+[24]FormattedData!N71^2*$J$6+$M$5*$J$7</f>
        <v>29.575043639431964</v>
      </c>
      <c r="V70" s="6">
        <f>$J$3+[24]FormattedData!O71*$J$4+$M$4*$J$5+[24]FormattedData!O71^2*$J$6+$M$5*$J$7</f>
        <v>29.67253376052351</v>
      </c>
      <c r="W70" s="5">
        <f t="shared" si="9"/>
        <v>30.052774430825192</v>
      </c>
      <c r="X70" s="4">
        <f t="shared" si="10"/>
        <v>0.21991175248757638</v>
      </c>
      <c r="Y70" s="3">
        <f t="shared" si="11"/>
        <v>28.793601003334029</v>
      </c>
      <c r="Z70" s="2">
        <f t="shared" si="12"/>
        <v>29.648161230250622</v>
      </c>
      <c r="AA70" s="3">
        <f t="shared" si="13"/>
        <v>30.062050425241445</v>
      </c>
      <c r="AB70" s="2">
        <f t="shared" si="14"/>
        <v>30.377973978088981</v>
      </c>
      <c r="AC70" s="2">
        <f t="shared" si="15"/>
        <v>31.613459789389005</v>
      </c>
      <c r="AD70" s="2">
        <f t="shared" si="16"/>
        <v>0.34523644268360271</v>
      </c>
      <c r="AE70" s="2">
        <f t="shared" si="17"/>
        <v>0.57278444689224628</v>
      </c>
    </row>
    <row r="71" spans="2:31" x14ac:dyDescent="0.2">
      <c r="B71" s="1">
        <f>[24]FormattedData!A73</f>
        <v>306</v>
      </c>
      <c r="C71" s="1" t="str">
        <f>VLOOKUP($B71,[24]TrtCodes!$B$11:I116,2)</f>
        <v>FTL</v>
      </c>
      <c r="D71" s="1">
        <f>VLOOKUP($B71,[24]TrtCodes!$B$11:J116,3)</f>
        <v>4</v>
      </c>
      <c r="E71" s="1">
        <f>VLOOKUP($B71,[24]TrtCodes!$B$11:K116,4)</f>
        <v>1</v>
      </c>
      <c r="F71" s="1">
        <f>VLOOKUP($B71,[24]TrtCodes!$B$11:L116,5)</f>
        <v>2</v>
      </c>
      <c r="G71" s="1">
        <f>VLOOKUP($B71,[24]TrtCodes!$B$11:M116,6)</f>
        <v>1</v>
      </c>
      <c r="H71" s="1">
        <f>VLOOKUP($B71,[24]TrtCodes!$B$11:N116,7)</f>
        <v>4</v>
      </c>
      <c r="I71" s="1">
        <f>[24]FormattedData!B73</f>
        <v>2</v>
      </c>
      <c r="J71" s="4">
        <f>[24]FormattedData!C73</f>
        <v>13.564</v>
      </c>
      <c r="K71" s="6">
        <f>$J$3+[24]FormattedData!D73*$J$4+$M$4*$J$5+[24]FormattedData!D73^2*$J$6+$M$5*$J$7</f>
        <v>30.159350337912301</v>
      </c>
      <c r="L71" s="6">
        <f>$J$3+[24]FormattedData!E73*$J$4+$M$4*$J$5+[24]FormattedData!E73^2*$J$6+$M$5*$J$7</f>
        <v>31.323398732776418</v>
      </c>
      <c r="M71" s="6">
        <f>$J$3+[24]FormattedData!F73*$J$4+$M$4*$J$5+[24]FormattedData!F73^2*$J$6+$M$5*$J$7</f>
        <v>31.806622484441064</v>
      </c>
      <c r="N71" s="6">
        <f>$J$3+[24]FormattedData!G73*$J$4+$M$4*$J$5+[24]FormattedData!G73^2*$J$6+$M$5*$J$7</f>
        <v>30.936058897761949</v>
      </c>
      <c r="O71" s="6">
        <f>$J$3+[24]FormattedData!H73*$J$4+$M$4*$J$5+[24]FormattedData!H73^2*$J$6+$M$5*$J$7</f>
        <v>32.481360458178465</v>
      </c>
      <c r="P71" s="6">
        <f>$J$3+[24]FormattedData!I73*$J$4+$M$4*$J$5+[24]FormattedData!I73^2*$J$6+$M$5*$J$7</f>
        <v>31.323398732776418</v>
      </c>
      <c r="Q71" s="6">
        <f>$J$3+[24]FormattedData!J73*$J$4+$M$4*$J$5+[24]FormattedData!J73^2*$J$6+$M$5*$J$7</f>
        <v>31.806622484441064</v>
      </c>
      <c r="R71" s="6">
        <f>$J$3+[24]FormattedData!K73*$J$4+$M$4*$J$5+[24]FormattedData!K73^2*$J$6+$M$5*$J$7</f>
        <v>33.728950356616856</v>
      </c>
      <c r="S71" s="6">
        <f>$J$3+[24]FormattedData!L73*$J$4+$M$4*$J$5+[24]FormattedData!L73^2*$J$6+$M$5*$J$7</f>
        <v>32.577582523132079</v>
      </c>
      <c r="T71" s="6">
        <f>$J$3+[24]FormattedData!M73*$J$4+$M$4*$J$5+[24]FormattedData!M73^2*$J$6+$M$5*$J$7</f>
        <v>32.577582523132079</v>
      </c>
      <c r="U71" s="6">
        <f>$J$3+[24]FormattedData!N73*$J$4+$M$4*$J$5+[24]FormattedData!N73^2*$J$6+$M$5*$J$7</f>
        <v>32.481360458178465</v>
      </c>
      <c r="V71" s="6">
        <f>$J$3+[24]FormattedData!O73*$J$4+$M$4*$J$5+[24]FormattedData!O73^2*$J$6+$M$5*$J$7</f>
        <v>31.903140429160203</v>
      </c>
      <c r="W71" s="5">
        <f t="shared" si="9"/>
        <v>31.925452368208948</v>
      </c>
      <c r="X71" s="4">
        <f t="shared" si="10"/>
        <v>0.26929920229280546</v>
      </c>
      <c r="Y71" s="3">
        <f t="shared" si="11"/>
        <v>30.159350337912301</v>
      </c>
      <c r="Z71" s="2">
        <f t="shared" si="12"/>
        <v>31.323398732776418</v>
      </c>
      <c r="AA71" s="3">
        <f t="shared" si="13"/>
        <v>31.854881456800634</v>
      </c>
      <c r="AB71" s="2">
        <f t="shared" si="14"/>
        <v>32.50541597441687</v>
      </c>
      <c r="AC71" s="2">
        <f t="shared" si="15"/>
        <v>33.728950356616856</v>
      </c>
      <c r="AD71" s="2">
        <f t="shared" si="16"/>
        <v>-2.0517324912072393E-2</v>
      </c>
      <c r="AE71" s="2">
        <f t="shared" si="17"/>
        <v>0.56112175044254631</v>
      </c>
    </row>
    <row r="72" spans="2:31" x14ac:dyDescent="0.2">
      <c r="B72" s="1">
        <f>[24]FormattedData!A75</f>
        <v>307</v>
      </c>
      <c r="C72" s="1" t="str">
        <f>VLOOKUP($B72,[24]TrtCodes!$B$11:I118,2)</f>
        <v>NTH</v>
      </c>
      <c r="D72" s="1">
        <f>VLOOKUP($B72,[24]TrtCodes!$B$11:J118,3)</f>
        <v>9</v>
      </c>
      <c r="E72" s="1">
        <f>VLOOKUP($B72,[24]TrtCodes!$B$11:K118,4)</f>
        <v>2</v>
      </c>
      <c r="F72" s="1">
        <f>VLOOKUP($B72,[24]TrtCodes!$B$11:L118,5)</f>
        <v>2</v>
      </c>
      <c r="G72" s="1">
        <f>VLOOKUP($B72,[24]TrtCodes!$B$11:M118,6)</f>
        <v>2</v>
      </c>
      <c r="H72" s="1">
        <f>VLOOKUP($B72,[24]TrtCodes!$B$11:N118,7)</f>
        <v>4</v>
      </c>
      <c r="I72" s="1">
        <f>[24]FormattedData!B75</f>
        <v>2</v>
      </c>
      <c r="J72" s="4">
        <f>[24]FormattedData!C75</f>
        <v>13.581</v>
      </c>
      <c r="K72" s="6">
        <f>$J$3+[24]FormattedData!D75*$J$4+$M$4*$J$5+[24]FormattedData!D75^2*$J$6+$M$5*$J$7</f>
        <v>31.516815039056073</v>
      </c>
      <c r="L72" s="6">
        <f>$J$3+[24]FormattedData!E75*$J$4+$M$4*$J$5+[24]FormattedData!E75^2*$J$6+$M$5*$J$7</f>
        <v>34.683774012015078</v>
      </c>
      <c r="M72" s="6">
        <f>$J$3+[24]FormattedData!F75*$J$4+$M$4*$J$5+[24]FormattedData!F75^2*$J$6+$M$5*$J$7</f>
        <v>32.673762319547762</v>
      </c>
      <c r="N72" s="6">
        <f>$J$3+[24]FormattedData!G75*$J$4+$M$4*$J$5+[24]FormattedData!G75^2*$J$6+$M$5*$J$7</f>
        <v>33.154027273557219</v>
      </c>
      <c r="O72" s="6">
        <f>$J$3+[24]FormattedData!H75*$J$4+$M$4*$J$5+[24]FormattedData!H75^2*$J$6+$M$5*$J$7</f>
        <v>33.058058819831196</v>
      </c>
      <c r="P72" s="6">
        <f>$J$3+[24]FormattedData!I75*$J$4+$M$4*$J$5+[24]FormattedData!I75^2*$J$6+$M$5*$J$7</f>
        <v>35.918725617612061</v>
      </c>
      <c r="Q72" s="6">
        <f>$J$3+[24]FormattedData!J75*$J$4+$M$4*$J$5+[24]FormattedData!J75^2*$J$6+$M$5*$J$7</f>
        <v>32.673762319547762</v>
      </c>
      <c r="R72" s="6">
        <f>$J$3+[24]FormattedData!K75*$J$4+$M$4*$J$5+[24]FormattedData!K75^2*$J$6+$M$5*$J$7</f>
        <v>31.710062271184</v>
      </c>
      <c r="S72" s="6">
        <f>$J$3+[24]FormattedData!L75*$J$4+$M$4*$J$5+[24]FormattedData!L75^2*$J$6+$M$5*$J$7</f>
        <v>33.058058819831196</v>
      </c>
      <c r="T72" s="6">
        <f>$J$3+[24]FormattedData!M75*$J$4+$M$4*$J$5+[24]FormattedData!M75^2*$J$6+$M$5*$J$7</f>
        <v>31.516815039056073</v>
      </c>
      <c r="U72" s="6">
        <f>$J$3+[24]FormattedData!N75*$J$4+$M$4*$J$5+[24]FormattedData!N75^2*$J$6+$M$5*$J$7</f>
        <v>34.493147429238888</v>
      </c>
      <c r="V72" s="6">
        <f>$J$3+[24]FormattedData!O75*$J$4+$M$4*$J$5+[24]FormattedData!O75^2*$J$6+$M$5*$J$7</f>
        <v>33.824622930577362</v>
      </c>
      <c r="W72" s="5">
        <f t="shared" si="9"/>
        <v>33.190135990921227</v>
      </c>
      <c r="X72" s="4">
        <f t="shared" si="10"/>
        <v>0.39057716364426676</v>
      </c>
      <c r="Y72" s="3">
        <f t="shared" si="11"/>
        <v>31.516815039056073</v>
      </c>
      <c r="Z72" s="2">
        <f t="shared" si="12"/>
        <v>32.432837307456822</v>
      </c>
      <c r="AA72" s="3">
        <f t="shared" si="13"/>
        <v>33.058058819831196</v>
      </c>
      <c r="AB72" s="2">
        <f t="shared" si="14"/>
        <v>33.991754055242744</v>
      </c>
      <c r="AC72" s="2">
        <f t="shared" si="15"/>
        <v>35.918725617612061</v>
      </c>
      <c r="AD72" s="2">
        <f t="shared" si="16"/>
        <v>0.58236044304859413</v>
      </c>
      <c r="AE72" s="2">
        <f t="shared" si="17"/>
        <v>-7.9994113880924811E-2</v>
      </c>
    </row>
    <row r="73" spans="2:31" x14ac:dyDescent="0.2">
      <c r="B73" s="1">
        <f>[24]FormattedData!A77</f>
        <v>308</v>
      </c>
      <c r="C73" s="1" t="str">
        <f>VLOOKUP($B73,[24]TrtCodes!$B$11:I120,2)</f>
        <v>FDH</v>
      </c>
      <c r="D73" s="1">
        <f>VLOOKUP($B73,[24]TrtCodes!$B$11:J120,3)</f>
        <v>5</v>
      </c>
      <c r="E73" s="1">
        <f>VLOOKUP($B73,[24]TrtCodes!$B$11:K120,4)</f>
        <v>1</v>
      </c>
      <c r="F73" s="1">
        <f>VLOOKUP($B73,[24]TrtCodes!$B$11:L120,5)</f>
        <v>3</v>
      </c>
      <c r="G73" s="1">
        <f>VLOOKUP($B73,[24]TrtCodes!$B$11:M120,6)</f>
        <v>2</v>
      </c>
      <c r="H73" s="1">
        <f>VLOOKUP($B73,[24]TrtCodes!$B$11:N120,7)</f>
        <v>4</v>
      </c>
      <c r="I73" s="1">
        <f>[24]FormattedData!B77</f>
        <v>2</v>
      </c>
      <c r="J73" s="4">
        <f>[24]FormattedData!C77</f>
        <v>13.598000000000001</v>
      </c>
      <c r="K73" s="6">
        <f>$J$3+[24]FormattedData!D77*$J$4+$M$4*$J$5+[24]FormattedData!D77^2*$J$6+$M$5*$J$7</f>
        <v>32.86599510676534</v>
      </c>
      <c r="L73" s="6">
        <f>$J$3+[24]FormattedData!E77*$J$4+$M$4*$J$5+[24]FormattedData!E77^2*$J$6+$M$5*$J$7</f>
        <v>34.493147429238888</v>
      </c>
      <c r="M73" s="6">
        <f>$J$3+[24]FormattedData!F77*$J$4+$M$4*$J$5+[24]FormattedData!F77^2*$J$6+$M$5*$J$7</f>
        <v>34.969396872144891</v>
      </c>
      <c r="N73" s="6">
        <f>$J$3+[24]FormattedData!G77*$J$4+$M$4*$J$5+[24]FormattedData!G77^2*$J$6+$M$5*$J$7</f>
        <v>35.82398295148603</v>
      </c>
      <c r="O73" s="6">
        <f>$J$3+[24]FormattedData!H77*$J$4+$M$4*$J$5+[24]FormattedData!H77^2*$J$6+$M$5*$J$7</f>
        <v>37.24068474689367</v>
      </c>
      <c r="P73" s="6">
        <f>$J$3+[24]FormattedData!I77*$J$4+$M$4*$J$5+[24]FormattedData!I77^2*$J$6+$M$5*$J$7</f>
        <v>36.675145279254757</v>
      </c>
      <c r="Q73" s="6">
        <f>$J$3+[24]FormattedData!J77*$J$4+$M$4*$J$5+[24]FormattedData!J77^2*$J$6+$M$5*$J$7</f>
        <v>36.7695075285394</v>
      </c>
      <c r="R73" s="6">
        <f>$J$3+[24]FormattedData!K77*$J$4+$M$4*$J$5+[24]FormattedData!K77^2*$J$6+$M$5*$J$7</f>
        <v>37.522883855451056</v>
      </c>
      <c r="S73" s="6">
        <f>$J$3+[24]FormattedData!L77*$J$4+$M$4*$J$5+[24]FormattedData!L77^2*$J$6+$M$5*$J$7</f>
        <v>33.920253235999951</v>
      </c>
      <c r="T73" s="6">
        <f>$J$3+[24]FormattedData!M77*$J$4+$M$4*$J$5+[24]FormattedData!M77^2*$J$6+$M$5*$J$7</f>
        <v>35.63437081362018</v>
      </c>
      <c r="U73" s="6">
        <f>$J$3+[24]FormattedData!N77*$J$4+$M$4*$J$5+[24]FormattedData!N77^2*$J$6+$M$5*$J$7</f>
        <v>33.34583737539549</v>
      </c>
      <c r="V73" s="6">
        <f>$J$3+[24]FormattedData!O77*$J$4+$M$4*$J$5+[24]FormattedData!O77^2*$J$6+$M$5*$J$7</f>
        <v>31.516815039056073</v>
      </c>
      <c r="W73" s="5">
        <f t="shared" si="9"/>
        <v>35.064835019487148</v>
      </c>
      <c r="X73" s="4">
        <f t="shared" si="10"/>
        <v>0.54495140497236472</v>
      </c>
      <c r="Y73" s="3">
        <f t="shared" si="11"/>
        <v>31.516815039056073</v>
      </c>
      <c r="Z73" s="2">
        <f t="shared" si="12"/>
        <v>33.776649270848836</v>
      </c>
      <c r="AA73" s="3">
        <f t="shared" si="13"/>
        <v>35.301883842882532</v>
      </c>
      <c r="AB73" s="2">
        <f t="shared" si="14"/>
        <v>36.698735841575918</v>
      </c>
      <c r="AC73" s="2">
        <f t="shared" si="15"/>
        <v>37.522883855451056</v>
      </c>
      <c r="AD73" s="2">
        <f t="shared" si="16"/>
        <v>-0.44038884065297473</v>
      </c>
      <c r="AE73" s="2">
        <f t="shared" si="17"/>
        <v>-0.7213667404446058</v>
      </c>
    </row>
    <row r="74" spans="2:31" x14ac:dyDescent="0.2">
      <c r="B74" s="1">
        <f>[24]FormattedData!A93</f>
        <v>401</v>
      </c>
      <c r="C74" s="1" t="str">
        <f>VLOOKUP($B74,[24]TrtCodes!$B$11:I130,2)</f>
        <v>NSH</v>
      </c>
      <c r="D74" s="1">
        <f>VLOOKUP($B74,[24]TrtCodes!$B$11:J130,3)</f>
        <v>7</v>
      </c>
      <c r="E74" s="1">
        <f>VLOOKUP($B74,[24]TrtCodes!$B$11:K130,4)</f>
        <v>2</v>
      </c>
      <c r="F74" s="1">
        <f>VLOOKUP($B74,[24]TrtCodes!$B$11:L130,5)</f>
        <v>1</v>
      </c>
      <c r="G74" s="1">
        <f>VLOOKUP($B74,[24]TrtCodes!$B$11:M130,6)</f>
        <v>2</v>
      </c>
      <c r="H74" s="1">
        <f>VLOOKUP($B74,[24]TrtCodes!$B$11:N130,7)</f>
        <v>3</v>
      </c>
      <c r="I74" s="1">
        <f>[24]FormattedData!B93</f>
        <v>2</v>
      </c>
      <c r="J74" s="4">
        <f>[24]FormattedData!C93</f>
        <v>13.743</v>
      </c>
      <c r="K74" s="6">
        <f>$J$3+[24]FormattedData!D93*$J$4+$M$4*$J$5+[24]FormattedData!D93^2*$J$6+$M$5*$J$7</f>
        <v>28.891429272729031</v>
      </c>
      <c r="L74" s="6">
        <f>$J$3+[24]FormattedData!E93*$J$4+$M$4*$J$5+[24]FormattedData!E93^2*$J$6+$M$5*$J$7</f>
        <v>28.891429272729031</v>
      </c>
      <c r="M74" s="6">
        <f>$J$3+[24]FormattedData!F93*$J$4+$M$4*$J$5+[24]FormattedData!F93^2*$J$6+$M$5*$J$7</f>
        <v>29.379936591635065</v>
      </c>
      <c r="N74" s="6">
        <f>$J$3+[24]FormattedData!G93*$J$4+$M$4*$J$5+[24]FormattedData!G93^2*$J$6+$M$5*$J$7</f>
        <v>28.499862583921441</v>
      </c>
      <c r="O74" s="6">
        <f>$J$3+[24]FormattedData!H93*$J$4+$M$4*$J$5+[24]FormattedData!H93^2*$J$6+$M$5*$J$7</f>
        <v>29.379936591635065</v>
      </c>
      <c r="P74" s="6">
        <f>$J$3+[24]FormattedData!I93*$J$4+$M$4*$J$5+[24]FormattedData!I93^2*$J$6+$M$5*$J$7</f>
        <v>28.891429272729031</v>
      </c>
      <c r="Q74" s="6">
        <f>$J$3+[24]FormattedData!J93*$J$4+$M$4*$J$5+[24]FormattedData!J93^2*$J$6+$M$5*$J$7</f>
        <v>27.616364824635397</v>
      </c>
      <c r="R74" s="6">
        <f>$J$3+[24]FormattedData!K93*$J$4+$M$4*$J$5+[24]FormattedData!K93^2*$J$6+$M$5*$J$7</f>
        <v>29.477511249802479</v>
      </c>
      <c r="S74" s="6">
        <f>$J$3+[24]FormattedData!L93*$J$4+$M$4*$J$5+[24]FormattedData!L93^2*$J$6+$M$5*$J$7</f>
        <v>28.107619598506957</v>
      </c>
      <c r="T74" s="6">
        <f>$J$3+[24]FormattedData!M93*$J$4+$M$4*$J$5+[24]FormattedData!M93^2*$J$6+$M$5*$J$7</f>
        <v>27.419567035321251</v>
      </c>
      <c r="U74" s="6">
        <f>$J$3+[24]FormattedData!N93*$J$4+$M$4*$J$5+[24]FormattedData!N93^2*$J$6+$M$5*$J$7</f>
        <v>28.401865240374715</v>
      </c>
      <c r="V74" s="6">
        <f>$J$3+[24]FormattedData!O93*$J$4+$M$4*$J$5+[24]FormattedData!O93^2*$J$6+$M$5*$J$7</f>
        <v>28.989215273586101</v>
      </c>
      <c r="W74" s="5">
        <f t="shared" ref="W74:W105" si="18">AVERAGE(K74:V74)</f>
        <v>28.662180567300467</v>
      </c>
      <c r="X74" s="4">
        <f t="shared" ref="X74:X85" si="19">STDEV(K74:V74)/SQRT(COUNT(K74:V74))</f>
        <v>0.19460909091937795</v>
      </c>
      <c r="Y74" s="3">
        <f t="shared" ref="Y74:Y85" si="20">MIN(K74:V74)</f>
        <v>27.419567035321251</v>
      </c>
      <c r="Z74" s="2">
        <f t="shared" ref="Z74:Z85" si="21">QUARTILE(K74:V74,1)</f>
        <v>28.328303829907775</v>
      </c>
      <c r="AA74" s="3">
        <f t="shared" ref="AA74:AA85" si="22">MEDIAN(K74:V74)</f>
        <v>28.891429272729031</v>
      </c>
      <c r="AB74" s="2">
        <f t="shared" ref="AB74:AB85" si="23">QUARTILE(K74:V74,3)</f>
        <v>29.086895603098341</v>
      </c>
      <c r="AC74" s="2">
        <f t="shared" ref="AC74:AC85" si="24">MAX(K74:V74)</f>
        <v>29.477511249802479</v>
      </c>
      <c r="AD74" s="2">
        <f t="shared" ref="AD74:AD85" si="25">SKEW(K74:V74)</f>
        <v>-0.67735678161798618</v>
      </c>
      <c r="AE74" s="2">
        <f t="shared" ref="AE74:AE85" si="26">KURT(K74:V74)</f>
        <v>-0.46842495710631304</v>
      </c>
    </row>
    <row r="75" spans="2:31" x14ac:dyDescent="0.2">
      <c r="B75" s="1">
        <f>[24]FormattedData!A91</f>
        <v>402</v>
      </c>
      <c r="C75" s="1" t="str">
        <f>VLOOKUP($B75,[24]TrtCodes!$B$11:I131,2)</f>
        <v>NTH</v>
      </c>
      <c r="D75" s="1">
        <f>VLOOKUP($B75,[24]TrtCodes!$B$11:J131,3)</f>
        <v>9</v>
      </c>
      <c r="E75" s="1">
        <f>VLOOKUP($B75,[24]TrtCodes!$B$11:K131,4)</f>
        <v>2</v>
      </c>
      <c r="F75" s="1">
        <f>VLOOKUP($B75,[24]TrtCodes!$B$11:L131,5)</f>
        <v>2</v>
      </c>
      <c r="G75" s="1">
        <f>VLOOKUP($B75,[24]TrtCodes!$B$11:M131,6)</f>
        <v>2</v>
      </c>
      <c r="H75" s="1">
        <f>VLOOKUP($B75,[24]TrtCodes!$B$11:N131,7)</f>
        <v>3</v>
      </c>
      <c r="I75" s="1">
        <f>[24]FormattedData!B91</f>
        <v>2</v>
      </c>
      <c r="J75" s="4">
        <f>[24]FormattedData!C91</f>
        <v>13.725</v>
      </c>
      <c r="K75" s="6">
        <f>$J$3+[24]FormattedData!D91*$J$4+$M$4*$J$5+[24]FormattedData!D91^2*$J$6+$M$5*$J$7</f>
        <v>29.086959005905239</v>
      </c>
      <c r="L75" s="6">
        <f>$J$3+[24]FormattedData!E91*$J$4+$M$4*$J$5+[24]FormattedData!E91^2*$J$6+$M$5*$J$7</f>
        <v>27.812993539797812</v>
      </c>
      <c r="M75" s="6">
        <f>$J$3+[24]FormattedData!F91*$J$4+$M$4*$J$5+[24]FormattedData!F91^2*$J$6+$M$5*$J$7</f>
        <v>30.936058897761949</v>
      </c>
      <c r="N75" s="6">
        <f>$J$3+[24]FormattedData!G91*$J$4+$M$4*$J$5+[24]FormattedData!G91^2*$J$6+$M$5*$J$7</f>
        <v>29.379936591635065</v>
      </c>
      <c r="O75" s="6">
        <f>$J$3+[24]FormattedData!H91*$J$4+$M$4*$J$5+[24]FormattedData!H91^2*$J$6+$M$5*$J$7</f>
        <v>31.129813352345042</v>
      </c>
      <c r="P75" s="6">
        <f>$J$3+[24]FormattedData!I91*$J$4+$M$4*$J$5+[24]FormattedData!I91^2*$J$6+$M$5*$J$7</f>
        <v>29.379936591635065</v>
      </c>
      <c r="Q75" s="6">
        <f>$J$3+[24]FormattedData!J91*$J$4+$M$4*$J$5+[24]FormattedData!J91^2*$J$6+$M$5*$J$7</f>
        <v>29.867387197092821</v>
      </c>
      <c r="R75" s="6">
        <f>$J$3+[24]FormattedData!K91*$J$4+$M$4*$J$5+[24]FormattedData!K91^2*$J$6+$M$5*$J$7</f>
        <v>29.282319664929723</v>
      </c>
      <c r="S75" s="6">
        <f>$J$3+[24]FormattedData!L91*$J$4+$M$4*$J$5+[24]FormattedData!L91^2*$J$6+$M$5*$J$7</f>
        <v>29.867387197092821</v>
      </c>
      <c r="T75" s="6">
        <f>$J$3+[24]FormattedData!M91*$J$4+$M$4*$J$5+[24]FormattedData!M91^2*$J$6+$M$5*$J$7</f>
        <v>29.964750512570586</v>
      </c>
      <c r="U75" s="6">
        <f>$J$3+[24]FormattedData!N91*$J$4+$M$4*$J$5+[24]FormattedData!N91^2*$J$6+$M$5*$J$7</f>
        <v>28.695730465401098</v>
      </c>
      <c r="V75" s="6">
        <f>$J$3+[24]FormattedData!O91*$J$4+$M$4*$J$5+[24]FormattedData!O91^2*$J$6+$M$5*$J$7</f>
        <v>30.062071559510407</v>
      </c>
      <c r="W75" s="5">
        <f t="shared" si="18"/>
        <v>29.622112047973133</v>
      </c>
      <c r="X75" s="4">
        <f t="shared" si="19"/>
        <v>0.26229094117412372</v>
      </c>
      <c r="Y75" s="3">
        <f t="shared" si="20"/>
        <v>27.812993539797812</v>
      </c>
      <c r="Z75" s="2">
        <f t="shared" si="21"/>
        <v>29.233479500173601</v>
      </c>
      <c r="AA75" s="3">
        <f t="shared" si="22"/>
        <v>29.623661894363941</v>
      </c>
      <c r="AB75" s="2">
        <f t="shared" si="23"/>
        <v>29.989080774305542</v>
      </c>
      <c r="AC75" s="2">
        <f t="shared" si="24"/>
        <v>31.129813352345042</v>
      </c>
      <c r="AD75" s="2">
        <f t="shared" si="25"/>
        <v>-0.15799485156969126</v>
      </c>
      <c r="AE75" s="2">
        <f t="shared" si="26"/>
        <v>0.53456022852028173</v>
      </c>
    </row>
    <row r="76" spans="2:31" x14ac:dyDescent="0.2">
      <c r="B76" s="1">
        <f>[24]FormattedData!A89</f>
        <v>403</v>
      </c>
      <c r="C76" s="1" t="str">
        <f>VLOOKUP($B76,[24]TrtCodes!$B$11:I132,2)</f>
        <v>FDL</v>
      </c>
      <c r="D76" s="1">
        <f>VLOOKUP($B76,[24]TrtCodes!$B$11:J132,3)</f>
        <v>6</v>
      </c>
      <c r="E76" s="1">
        <f>VLOOKUP($B76,[24]TrtCodes!$B$11:K132,4)</f>
        <v>1</v>
      </c>
      <c r="F76" s="1">
        <f>VLOOKUP($B76,[24]TrtCodes!$B$11:L132,5)</f>
        <v>3</v>
      </c>
      <c r="G76" s="1">
        <f>VLOOKUP($B76,[24]TrtCodes!$B$11:M132,6)</f>
        <v>1</v>
      </c>
      <c r="H76" s="1">
        <f>VLOOKUP($B76,[24]TrtCodes!$B$11:N132,7)</f>
        <v>3</v>
      </c>
      <c r="I76" s="1">
        <f>[24]FormattedData!B89</f>
        <v>2</v>
      </c>
      <c r="J76" s="4">
        <f>[24]FormattedData!C89</f>
        <v>13.708</v>
      </c>
      <c r="K76" s="6">
        <f>$J$3+[24]FormattedData!D89*$J$4+$M$4*$J$5+[24]FormattedData!D89^2*$J$6+$M$5*$J$7</f>
        <v>32.096049512984678</v>
      </c>
      <c r="L76" s="6">
        <f>$J$3+[24]FormattedData!E89*$J$4+$M$4*$J$5+[24]FormattedData!E89^2*$J$6+$M$5*$J$7</f>
        <v>33.441679023507731</v>
      </c>
      <c r="M76" s="6">
        <f>$J$3+[24]FormattedData!F89*$J$4+$M$4*$J$5+[24]FormattedData!F89^2*$J$6+$M$5*$J$7</f>
        <v>34.493147429238888</v>
      </c>
      <c r="N76" s="6">
        <f>$J$3+[24]FormattedData!G89*$J$4+$M$4*$J$5+[24]FormattedData!G89^2*$J$6+$M$5*$J$7</f>
        <v>32.962048097567234</v>
      </c>
      <c r="O76" s="6">
        <f>$J$3+[24]FormattedData!H89*$J$4+$M$4*$J$5+[24]FormattedData!H89^2*$J$6+$M$5*$J$7</f>
        <v>34.969396872144891</v>
      </c>
      <c r="P76" s="6">
        <f>$J$3+[24]FormattedData!I89*$J$4+$M$4*$J$5+[24]FormattedData!I89^2*$J$6+$M$5*$J$7</f>
        <v>31.806622484441064</v>
      </c>
      <c r="Q76" s="6">
        <f>$J$3+[24]FormattedData!J89*$J$4+$M$4*$J$5+[24]FormattedData!J89^2*$J$6+$M$5*$J$7</f>
        <v>30.062071559510407</v>
      </c>
      <c r="R76" s="6">
        <f>$J$3+[24]FormattedData!K89*$J$4+$M$4*$J$5+[24]FormattedData!K89^2*$J$6+$M$5*$J$7</f>
        <v>31.903140429160203</v>
      </c>
      <c r="S76" s="6">
        <f>$J$3+[24]FormattedData!L89*$J$4+$M$4*$J$5+[24]FormattedData!L89^2*$J$6+$M$5*$J$7</f>
        <v>32.096049512984678</v>
      </c>
      <c r="T76" s="6">
        <f>$J$3+[24]FormattedData!M89*$J$4+$M$4*$J$5+[24]FormattedData!M89^2*$J$6+$M$5*$J$7</f>
        <v>31.226627176829702</v>
      </c>
      <c r="U76" s="6">
        <f>$J$3+[24]FormattedData!N89*$J$4+$M$4*$J$5+[24]FormattedData!N89^2*$J$6+$M$5*$J$7</f>
        <v>31.516815039056073</v>
      </c>
      <c r="V76" s="6">
        <f>$J$3+[24]FormattedData!O89*$J$4+$M$4*$J$5+[24]FormattedData!O89^2*$J$6+$M$5*$J$7</f>
        <v>31.032957259322462</v>
      </c>
      <c r="W76" s="5">
        <f t="shared" si="18"/>
        <v>32.300550366395669</v>
      </c>
      <c r="X76" s="4">
        <f t="shared" si="19"/>
        <v>0.41323419285360574</v>
      </c>
      <c r="Y76" s="3">
        <f t="shared" si="20"/>
        <v>30.062071559510407</v>
      </c>
      <c r="Z76" s="2">
        <f t="shared" si="21"/>
        <v>31.444268073499479</v>
      </c>
      <c r="AA76" s="3">
        <f t="shared" si="22"/>
        <v>31.99959497107244</v>
      </c>
      <c r="AB76" s="2">
        <f t="shared" si="23"/>
        <v>33.081955829052362</v>
      </c>
      <c r="AC76" s="2">
        <f t="shared" si="24"/>
        <v>34.969396872144891</v>
      </c>
      <c r="AD76" s="2">
        <f t="shared" si="25"/>
        <v>0.60070055633365693</v>
      </c>
      <c r="AE76" s="2">
        <f t="shared" si="26"/>
        <v>-8.4849477417334285E-2</v>
      </c>
    </row>
    <row r="77" spans="2:31" x14ac:dyDescent="0.2">
      <c r="B77" s="1">
        <f>[24]FormattedData!A87</f>
        <v>404</v>
      </c>
      <c r="C77" s="1" t="str">
        <f>VLOOKUP($B77,[24]TrtCodes!$B$11:I130,2)</f>
        <v>FTH</v>
      </c>
      <c r="D77" s="1">
        <f>VLOOKUP($B77,[24]TrtCodes!$B$11:J130,3)</f>
        <v>3</v>
      </c>
      <c r="E77" s="1">
        <f>VLOOKUP($B77,[24]TrtCodes!$B$11:K130,4)</f>
        <v>1</v>
      </c>
      <c r="F77" s="1">
        <f>VLOOKUP($B77,[24]TrtCodes!$B$11:L130,5)</f>
        <v>2</v>
      </c>
      <c r="G77" s="1">
        <f>VLOOKUP($B77,[24]TrtCodes!$B$11:M130,6)</f>
        <v>2</v>
      </c>
      <c r="H77" s="1">
        <f>VLOOKUP($B77,[24]TrtCodes!$B$11:N130,7)</f>
        <v>3</v>
      </c>
      <c r="I77" s="1">
        <f>[24]FormattedData!B87</f>
        <v>2</v>
      </c>
      <c r="J77" s="4">
        <f>[24]FormattedData!C87</f>
        <v>13.69</v>
      </c>
      <c r="K77" s="6">
        <f>$J$3+[24]FormattedData!D87*$J$4+$M$4*$J$5+[24]FormattedData!D87^2*$J$6+$M$5*$J$7</f>
        <v>32.288789522657424</v>
      </c>
      <c r="L77" s="6">
        <f>$J$3+[24]FormattedData!E87*$J$4+$M$4*$J$5+[24]FormattedData!E87^2*$J$6+$M$5*$J$7</f>
        <v>32.192440652090021</v>
      </c>
      <c r="M77" s="6">
        <f>$J$3+[24]FormattedData!F87*$J$4+$M$4*$J$5+[24]FormattedData!F87^2*$J$6+$M$5*$J$7</f>
        <v>31.99961610534141</v>
      </c>
      <c r="N77" s="6">
        <f>$J$3+[24]FormattedData!G87*$J$4+$M$4*$J$5+[24]FormattedData!G87^2*$J$6+$M$5*$J$7</f>
        <v>33.441679023507731</v>
      </c>
      <c r="O77" s="6">
        <f>$J$3+[24]FormattedData!H87*$J$4+$M$4*$J$5+[24]FormattedData!H87^2*$J$6+$M$5*$J$7</f>
        <v>31.323398732776418</v>
      </c>
      <c r="P77" s="6">
        <f>$J$3+[24]FormattedData!I87*$J$4+$M$4*$J$5+[24]FormattedData!I87^2*$J$6+$M$5*$J$7</f>
        <v>31.129813352345042</v>
      </c>
      <c r="Q77" s="6">
        <f>$J$3+[24]FormattedData!J87*$J$4+$M$4*$J$5+[24]FormattedData!J87^2*$J$6+$M$5*$J$7</f>
        <v>31.99961610534141</v>
      </c>
      <c r="R77" s="6">
        <f>$J$3+[24]FormattedData!K87*$J$4+$M$4*$J$5+[24]FormattedData!K87^2*$J$6+$M$5*$J$7</f>
        <v>30.256586847776269</v>
      </c>
      <c r="S77" s="6">
        <f>$J$3+[24]FormattedData!L87*$J$4+$M$4*$J$5+[24]FormattedData!L87^2*$J$6+$M$5*$J$7</f>
        <v>31.516815039056073</v>
      </c>
      <c r="T77" s="6">
        <f>$J$3+[24]FormattedData!M87*$J$4+$M$4*$J$5+[24]FormattedData!M87^2*$J$6+$M$5*$J$7</f>
        <v>33.633235514118404</v>
      </c>
      <c r="U77" s="6">
        <f>$J$3+[24]FormattedData!N87*$J$4+$M$4*$J$5+[24]FormattedData!N87^2*$J$6+$M$5*$J$7</f>
        <v>32.288789522657424</v>
      </c>
      <c r="V77" s="6">
        <f>$J$3+[24]FormattedData!O87*$J$4+$M$4*$J$5+[24]FormattedData!O87^2*$J$6+$M$5*$J$7</f>
        <v>32.962048097567234</v>
      </c>
      <c r="W77" s="5">
        <f t="shared" si="18"/>
        <v>32.086069042936238</v>
      </c>
      <c r="X77" s="4">
        <f t="shared" si="19"/>
        <v>0.27899090772254409</v>
      </c>
      <c r="Y77" s="3">
        <f t="shared" si="20"/>
        <v>30.256586847776269</v>
      </c>
      <c r="Z77" s="2">
        <f t="shared" si="21"/>
        <v>31.468460962486159</v>
      </c>
      <c r="AA77" s="3">
        <f t="shared" si="22"/>
        <v>32.096028378715715</v>
      </c>
      <c r="AB77" s="2">
        <f t="shared" si="23"/>
        <v>32.45710416638488</v>
      </c>
      <c r="AC77" s="2">
        <f t="shared" si="24"/>
        <v>33.633235514118404</v>
      </c>
      <c r="AD77" s="2">
        <f t="shared" si="25"/>
        <v>-8.9717251894834357E-2</v>
      </c>
      <c r="AE77" s="2">
        <f t="shared" si="26"/>
        <v>-2.6927303744345821E-2</v>
      </c>
    </row>
    <row r="78" spans="2:31" x14ac:dyDescent="0.2">
      <c r="B78" s="1">
        <f>[24]FormattedData!A85</f>
        <v>405</v>
      </c>
      <c r="C78" s="1" t="str">
        <f>VLOOKUP($B78,[24]TrtCodes!$B$11:I128,2)</f>
        <v>FDL</v>
      </c>
      <c r="D78" s="1">
        <f>VLOOKUP($B78,[24]TrtCodes!$B$11:J128,3)</f>
        <v>6</v>
      </c>
      <c r="E78" s="1">
        <f>VLOOKUP($B78,[24]TrtCodes!$B$11:K128,4)</f>
        <v>1</v>
      </c>
      <c r="F78" s="1">
        <f>VLOOKUP($B78,[24]TrtCodes!$B$11:L128,5)</f>
        <v>3</v>
      </c>
      <c r="G78" s="1">
        <f>VLOOKUP($B78,[24]TrtCodes!$B$11:M128,6)</f>
        <v>1</v>
      </c>
      <c r="H78" s="1">
        <f>VLOOKUP($B78,[24]TrtCodes!$B$11:N128,7)</f>
        <v>4</v>
      </c>
      <c r="I78" s="1">
        <f>[24]FormattedData!B85</f>
        <v>2</v>
      </c>
      <c r="J78" s="4">
        <f>[24]FormattedData!C85</f>
        <v>13.673</v>
      </c>
      <c r="K78" s="6">
        <f>$J$3+[24]FormattedData!D85*$J$4+$M$4*$J$5+[24]FormattedData!D85^2*$J$6+$M$5*$J$7</f>
        <v>33.633235514118404</v>
      </c>
      <c r="L78" s="6">
        <f>$J$3+[24]FormattedData!E85*$J$4+$M$4*$J$5+[24]FormattedData!E85^2*$J$6+$M$5*$J$7</f>
        <v>33.34583737539549</v>
      </c>
      <c r="M78" s="6">
        <f>$J$3+[24]FormattedData!F85*$J$4+$M$4*$J$5+[24]FormattedData!F85^2*$J$6+$M$5*$J$7</f>
        <v>32.288789522657424</v>
      </c>
      <c r="N78" s="6">
        <f>$J$3+[24]FormattedData!G85*$J$4+$M$4*$J$5+[24]FormattedData!G85^2*$J$6+$M$5*$J$7</f>
        <v>29.67253376052351</v>
      </c>
      <c r="O78" s="6">
        <f>$J$3+[24]FormattedData!H85*$J$4+$M$4*$J$5+[24]FormattedData!H85^2*$J$6+$M$5*$J$7</f>
        <v>32.288789522657424</v>
      </c>
      <c r="P78" s="6">
        <f>$J$3+[24]FormattedData!I85*$J$4+$M$4*$J$5+[24]FormattedData!I85^2*$J$6+$M$5*$J$7</f>
        <v>29.964750512570586</v>
      </c>
      <c r="Q78" s="6">
        <f>$J$3+[24]FormattedData!J85*$J$4+$M$4*$J$5+[24]FormattedData!J85^2*$J$6+$M$5*$J$7</f>
        <v>31.613459789389005</v>
      </c>
      <c r="R78" s="6">
        <f>$J$3+[24]FormattedData!K85*$J$4+$M$4*$J$5+[24]FormattedData!K85^2*$J$6+$M$5*$J$7</f>
        <v>30.159350337912301</v>
      </c>
      <c r="S78" s="6">
        <f>$J$3+[24]FormattedData!L85*$J$4+$M$4*$J$5+[24]FormattedData!L85^2*$J$6+$M$5*$J$7</f>
        <v>30.062071559510407</v>
      </c>
      <c r="T78" s="6">
        <f>$J$3+[24]FormattedData!M85*$J$4+$M$4*$J$5+[24]FormattedData!M85^2*$J$6+$M$5*$J$7</f>
        <v>29.964750512570586</v>
      </c>
      <c r="U78" s="6">
        <f>$J$3+[24]FormattedData!N85*$J$4+$M$4*$J$5+[24]FormattedData!N85^2*$J$6+$M$5*$J$7</f>
        <v>32.769899847425513</v>
      </c>
      <c r="V78" s="6">
        <f>$J$3+[24]FormattedData!O85*$J$4+$M$4*$J$5+[24]FormattedData!O85^2*$J$6+$M$5*$J$7</f>
        <v>31.420128020185217</v>
      </c>
      <c r="W78" s="5">
        <f t="shared" si="18"/>
        <v>31.431966356242992</v>
      </c>
      <c r="X78" s="4">
        <f t="shared" si="19"/>
        <v>0.41466614086946202</v>
      </c>
      <c r="Y78" s="3">
        <f t="shared" si="20"/>
        <v>29.67253376052351</v>
      </c>
      <c r="Z78" s="2">
        <f t="shared" si="21"/>
        <v>30.037741297775451</v>
      </c>
      <c r="AA78" s="3">
        <f t="shared" si="22"/>
        <v>31.516793904787111</v>
      </c>
      <c r="AB78" s="2">
        <f t="shared" si="23"/>
        <v>32.409067103849445</v>
      </c>
      <c r="AC78" s="2">
        <f t="shared" si="24"/>
        <v>33.633235514118404</v>
      </c>
      <c r="AD78" s="2">
        <f t="shared" si="25"/>
        <v>0.18183897734401502</v>
      </c>
      <c r="AE78" s="2">
        <f t="shared" si="26"/>
        <v>-1.5840935843829791</v>
      </c>
    </row>
    <row r="79" spans="2:31" x14ac:dyDescent="0.2">
      <c r="B79" s="1">
        <f>[24]FormattedData!A83</f>
        <v>406</v>
      </c>
      <c r="C79" s="1" t="str">
        <f>VLOOKUP($B79,[24]TrtCodes!$B$11:I126,2)</f>
        <v>FTH</v>
      </c>
      <c r="D79" s="1">
        <f>VLOOKUP($B79,[24]TrtCodes!$B$11:J126,3)</f>
        <v>3</v>
      </c>
      <c r="E79" s="1">
        <f>VLOOKUP($B79,[24]TrtCodes!$B$11:K126,4)</f>
        <v>1</v>
      </c>
      <c r="F79" s="1">
        <f>VLOOKUP($B79,[24]TrtCodes!$B$11:L126,5)</f>
        <v>2</v>
      </c>
      <c r="G79" s="1">
        <f>VLOOKUP($B79,[24]TrtCodes!$B$11:M126,6)</f>
        <v>2</v>
      </c>
      <c r="H79" s="1">
        <f>VLOOKUP($B79,[24]TrtCodes!$B$11:N126,7)</f>
        <v>4</v>
      </c>
      <c r="I79" s="1">
        <f>[24]FormattedData!B83</f>
        <v>2</v>
      </c>
      <c r="J79" s="4">
        <f>[24]FormattedData!C83</f>
        <v>13.656000000000001</v>
      </c>
      <c r="K79" s="6">
        <f>$J$3+[24]FormattedData!D83*$J$4+$M$4*$J$5+[24]FormattedData!D83^2*$J$6+$M$5*$J$7</f>
        <v>31.129813352345042</v>
      </c>
      <c r="L79" s="6">
        <f>$J$3+[24]FormattedData!E83*$J$4+$M$4*$J$5+[24]FormattedData!E83^2*$J$6+$M$5*$J$7</f>
        <v>32.86599510676534</v>
      </c>
      <c r="M79" s="6">
        <f>$J$3+[24]FormattedData!F83*$J$4+$M$4*$J$5+[24]FormattedData!F83^2*$J$6+$M$5*$J$7</f>
        <v>31.226627176829702</v>
      </c>
      <c r="N79" s="6">
        <f>$J$3+[24]FormattedData!G83*$J$4+$M$4*$J$5+[24]FormattedData!G83^2*$J$6+$M$5*$J$7</f>
        <v>32.769899847425513</v>
      </c>
      <c r="O79" s="6">
        <f>$J$3+[24]FormattedData!H83*$J$4+$M$4*$J$5+[24]FormattedData!H83^2*$J$6+$M$5*$J$7</f>
        <v>31.226627176829702</v>
      </c>
      <c r="P79" s="6">
        <f>$J$3+[24]FormattedData!I83*$J$4+$M$4*$J$5+[24]FormattedData!I83^2*$J$6+$M$5*$J$7</f>
        <v>33.824622930577362</v>
      </c>
      <c r="Q79" s="6">
        <f>$J$3+[24]FormattedData!J83*$J$4+$M$4*$J$5+[24]FormattedData!J83^2*$J$6+$M$5*$J$7</f>
        <v>32.096049512984678</v>
      </c>
      <c r="R79" s="6">
        <f>$J$3+[24]FormattedData!K83*$J$4+$M$4*$J$5+[24]FormattedData!K83^2*$J$6+$M$5*$J$7</f>
        <v>31.323398732776418</v>
      </c>
      <c r="S79" s="6">
        <f>$J$3+[24]FormattedData!L83*$J$4+$M$4*$J$5+[24]FormattedData!L83^2*$J$6+$M$5*$J$7</f>
        <v>32.769899847425513</v>
      </c>
      <c r="T79" s="6">
        <f>$J$3+[24]FormattedData!M83*$J$4+$M$4*$J$5+[24]FormattedData!M83^2*$J$6+$M$5*$J$7</f>
        <v>32.288789522657424</v>
      </c>
      <c r="U79" s="6">
        <f>$J$3+[24]FormattedData!N83*$J$4+$M$4*$J$5+[24]FormattedData!N83^2*$J$6+$M$5*$J$7</f>
        <v>33.34583737539549</v>
      </c>
      <c r="V79" s="6">
        <f>$J$3+[24]FormattedData!O83*$J$4+$M$4*$J$5+[24]FormattedData!O83^2*$J$6+$M$5*$J$7</f>
        <v>33.920253235999951</v>
      </c>
      <c r="W79" s="5">
        <f t="shared" si="18"/>
        <v>32.398984484834344</v>
      </c>
      <c r="X79" s="4">
        <f t="shared" si="19"/>
        <v>0.2933211761864728</v>
      </c>
      <c r="Y79" s="3">
        <f t="shared" si="20"/>
        <v>31.129813352345042</v>
      </c>
      <c r="Z79" s="2">
        <f t="shared" si="21"/>
        <v>31.299205843789739</v>
      </c>
      <c r="AA79" s="3">
        <f t="shared" si="22"/>
        <v>32.529344685041465</v>
      </c>
      <c r="AB79" s="2">
        <f t="shared" si="23"/>
        <v>32.985955673922874</v>
      </c>
      <c r="AC79" s="2">
        <f t="shared" si="24"/>
        <v>33.920253235999951</v>
      </c>
      <c r="AD79" s="2">
        <f t="shared" si="25"/>
        <v>9.67583381020969E-2</v>
      </c>
      <c r="AE79" s="2">
        <f t="shared" si="26"/>
        <v>-1.3583334063460568</v>
      </c>
    </row>
    <row r="80" spans="2:31" x14ac:dyDescent="0.2">
      <c r="B80" s="1">
        <f>[24]FormattedData!A81</f>
        <v>407</v>
      </c>
      <c r="C80" s="1" t="str">
        <f>VLOOKUP($B80,[24]TrtCodes!$B$11:I124,2)</f>
        <v>NSH</v>
      </c>
      <c r="D80" s="1">
        <f>VLOOKUP($B80,[24]TrtCodes!$B$11:J124,3)</f>
        <v>7</v>
      </c>
      <c r="E80" s="1">
        <f>VLOOKUP($B80,[24]TrtCodes!$B$11:K124,4)</f>
        <v>2</v>
      </c>
      <c r="F80" s="1">
        <f>VLOOKUP($B80,[24]TrtCodes!$B$11:L124,5)</f>
        <v>1</v>
      </c>
      <c r="G80" s="1">
        <f>VLOOKUP($B80,[24]TrtCodes!$B$11:M124,6)</f>
        <v>2</v>
      </c>
      <c r="H80" s="1">
        <f>VLOOKUP($B80,[24]TrtCodes!$B$11:N124,7)</f>
        <v>4</v>
      </c>
      <c r="I80" s="1">
        <f>[24]FormattedData!B81</f>
        <v>2</v>
      </c>
      <c r="J80" s="4">
        <f>[24]FormattedData!C81</f>
        <v>13.635999999999999</v>
      </c>
      <c r="K80" s="6">
        <f>$J$3+[24]FormattedData!D81*$J$4+$M$4*$J$5+[24]FormattedData!D81^2*$J$6+$M$5*$J$7</f>
        <v>29.67253376052351</v>
      </c>
      <c r="L80" s="6">
        <f>$J$3+[24]FormattedData!E81*$J$4+$M$4*$J$5+[24]FormattedData!E81^2*$J$6+$M$5*$J$7</f>
        <v>30.645110201852813</v>
      </c>
      <c r="M80" s="6">
        <f>$J$3+[24]FormattedData!F81*$J$4+$M$4*$J$5+[24]FormattedData!F81^2*$J$6+$M$5*$J$7</f>
        <v>30.742135369027125</v>
      </c>
      <c r="N80" s="6">
        <f>$J$3+[24]FormattedData!G81*$J$4+$M$4*$J$5+[24]FormattedData!G81^2*$J$6+$M$5*$J$7</f>
        <v>30.936058897761949</v>
      </c>
      <c r="O80" s="6">
        <f>$J$3+[24]FormattedData!H81*$J$4+$M$4*$J$5+[24]FormattedData!H81^2*$J$6+$M$5*$J$7</f>
        <v>32.192440652090021</v>
      </c>
      <c r="P80" s="6">
        <f>$J$3+[24]FormattedData!I81*$J$4+$M$4*$J$5+[24]FormattedData!I81^2*$J$6+$M$5*$J$7</f>
        <v>32.481360458178465</v>
      </c>
      <c r="Q80" s="6">
        <f>$J$3+[24]FormattedData!J81*$J$4+$M$4*$J$5+[24]FormattedData!J81^2*$J$6+$M$5*$J$7</f>
        <v>33.058058819831196</v>
      </c>
      <c r="R80" s="6">
        <f>$J$3+[24]FormattedData!K81*$J$4+$M$4*$J$5+[24]FormattedData!K81^2*$J$6+$M$5*$J$7</f>
        <v>32.962048097567234</v>
      </c>
      <c r="S80" s="6">
        <f>$J$3+[24]FormattedData!L81*$J$4+$M$4*$J$5+[24]FormattedData!L81^2*$J$6+$M$5*$J$7</f>
        <v>32.673762319547762</v>
      </c>
      <c r="T80" s="6">
        <f>$J$3+[24]FormattedData!M81*$J$4+$M$4*$J$5+[24]FormattedData!M81^2*$J$6+$M$5*$J$7</f>
        <v>33.058058819831196</v>
      </c>
      <c r="U80" s="6">
        <f>$J$3+[24]FormattedData!N81*$J$4+$M$4*$J$5+[24]FormattedData!N81^2*$J$6+$M$5*$J$7</f>
        <v>31.420128020185217</v>
      </c>
      <c r="V80" s="6">
        <f>$J$3+[24]FormattedData!O81*$J$4+$M$4*$J$5+[24]FormattedData!O81^2*$J$6+$M$5*$J$7</f>
        <v>30.839118267663501</v>
      </c>
      <c r="W80" s="5">
        <f t="shared" si="18"/>
        <v>31.723401140338336</v>
      </c>
      <c r="X80" s="4">
        <f t="shared" si="19"/>
        <v>0.33280311715876976</v>
      </c>
      <c r="Y80" s="3">
        <f t="shared" si="20"/>
        <v>29.67253376052351</v>
      </c>
      <c r="Z80" s="2">
        <f t="shared" si="21"/>
        <v>30.814872543004405</v>
      </c>
      <c r="AA80" s="3">
        <f t="shared" si="22"/>
        <v>31.806284336137619</v>
      </c>
      <c r="AB80" s="2">
        <f t="shared" si="23"/>
        <v>32.745833764052634</v>
      </c>
      <c r="AC80" s="2">
        <f t="shared" si="24"/>
        <v>33.058058819831196</v>
      </c>
      <c r="AD80" s="2">
        <f t="shared" si="25"/>
        <v>-0.28334745032437136</v>
      </c>
      <c r="AE80" s="2">
        <f t="shared" si="26"/>
        <v>-1.2797923030489953</v>
      </c>
    </row>
    <row r="81" spans="2:31" x14ac:dyDescent="0.2">
      <c r="B81" s="1">
        <f>[24]FormattedData!A79</f>
        <v>408</v>
      </c>
      <c r="C81" s="1" t="str">
        <f>VLOOKUP($B81,[24]TrtCodes!$B$11:I122,2)</f>
        <v>NTL</v>
      </c>
      <c r="D81" s="1">
        <f>VLOOKUP($B81,[24]TrtCodes!$B$11:J122,3)</f>
        <v>10</v>
      </c>
      <c r="E81" s="1">
        <f>VLOOKUP($B81,[24]TrtCodes!$B$11:K122,4)</f>
        <v>2</v>
      </c>
      <c r="F81" s="1">
        <f>VLOOKUP($B81,[24]TrtCodes!$B$11:L122,5)</f>
        <v>2</v>
      </c>
      <c r="G81" s="1">
        <f>VLOOKUP($B81,[24]TrtCodes!$B$11:M122,6)</f>
        <v>1</v>
      </c>
      <c r="H81" s="1">
        <f>VLOOKUP($B81,[24]TrtCodes!$B$11:N122,7)</f>
        <v>4</v>
      </c>
      <c r="I81" s="1">
        <f>[24]FormattedData!B79</f>
        <v>2</v>
      </c>
      <c r="J81" s="4">
        <f>[24]FormattedData!C79</f>
        <v>13.62</v>
      </c>
      <c r="K81" s="6">
        <f>$J$3+[24]FormattedData!D79*$J$4+$M$4*$J$5+[24]FormattedData!D79^2*$J$6+$M$5*$J$7</f>
        <v>33.441679023507731</v>
      </c>
      <c r="L81" s="6">
        <f>$J$3+[24]FormattedData!E79*$J$4+$M$4*$J$5+[24]FormattedData!E79^2*$J$6+$M$5*$J$7</f>
        <v>34.874231520639547</v>
      </c>
      <c r="M81" s="6">
        <f>$J$3+[24]FormattedData!F79*$J$4+$M$4*$J$5+[24]FormattedData!F79^2*$J$6+$M$5*$J$7</f>
        <v>33.154027273557219</v>
      </c>
      <c r="N81" s="6">
        <f>$J$3+[24]FormattedData!G79*$J$4+$M$4*$J$5+[24]FormattedData!G79^2*$J$6+$M$5*$J$7</f>
        <v>32.86599510676534</v>
      </c>
      <c r="O81" s="6">
        <f>$J$3+[24]FormattedData!H79*$J$4+$M$4*$J$5+[24]FormattedData!H79^2*$J$6+$M$5*$J$7</f>
        <v>35.064519955112289</v>
      </c>
      <c r="P81" s="6">
        <f>$J$3+[24]FormattedData!I79*$J$4+$M$4*$J$5+[24]FormattedData!I79^2*$J$6+$M$5*$J$7</f>
        <v>34.302351772310956</v>
      </c>
      <c r="Q81" s="6">
        <f>$J$3+[24]FormattedData!J79*$J$4+$M$4*$J$5+[24]FormattedData!J79^2*$J$6+$M$5*$J$7</f>
        <v>32.86599510676534</v>
      </c>
      <c r="R81" s="6">
        <f>$J$3+[24]FormattedData!K79*$J$4+$M$4*$J$5+[24]FormattedData!K79^2*$J$6+$M$5*$J$7</f>
        <v>34.397770735043885</v>
      </c>
      <c r="S81" s="6">
        <f>$J$3+[24]FormattedData!L79*$J$4+$M$4*$J$5+[24]FormattedData!L79^2*$J$6+$M$5*$J$7</f>
        <v>31.516815039056073</v>
      </c>
      <c r="T81" s="6">
        <f>$J$3+[24]FormattedData!M79*$J$4+$M$4*$J$5+[24]FormattedData!M79^2*$J$6+$M$5*$J$7</f>
        <v>33.537478403082034</v>
      </c>
      <c r="U81" s="6">
        <f>$J$3+[24]FormattedData!N79*$J$4+$M$4*$J$5+[24]FormattedData!N79^2*$J$6+$M$5*$J$7</f>
        <v>31.516815039056073</v>
      </c>
      <c r="V81" s="6">
        <f>$J$3+[24]FormattedData!O79*$J$4+$M$4*$J$5+[24]FormattedData!O79^2*$J$6+$M$5*$J$7</f>
        <v>33.249953458745324</v>
      </c>
      <c r="W81" s="5">
        <f t="shared" si="18"/>
        <v>33.398969369470159</v>
      </c>
      <c r="X81" s="4">
        <f t="shared" si="19"/>
        <v>0.3316682501521217</v>
      </c>
      <c r="Y81" s="3">
        <f t="shared" si="20"/>
        <v>31.516815039056073</v>
      </c>
      <c r="Z81" s="2">
        <f t="shared" si="21"/>
        <v>32.86599510676534</v>
      </c>
      <c r="AA81" s="3">
        <f t="shared" si="22"/>
        <v>33.345816241126528</v>
      </c>
      <c r="AB81" s="2">
        <f t="shared" si="23"/>
        <v>34.32620651299419</v>
      </c>
      <c r="AC81" s="2">
        <f t="shared" si="24"/>
        <v>35.064519955112289</v>
      </c>
      <c r="AD81" s="2">
        <f t="shared" si="25"/>
        <v>-0.29407478898652006</v>
      </c>
      <c r="AE81" s="2">
        <f t="shared" si="26"/>
        <v>-0.47421083317363966</v>
      </c>
    </row>
    <row r="82" spans="2:31" x14ac:dyDescent="0.2">
      <c r="B82" s="1">
        <f>[24]FormattedData!A59</f>
        <v>902</v>
      </c>
      <c r="C82" s="1" t="str">
        <f>VLOOKUP($B82,[24]TrtCodes!$B$11:I102,2)</f>
        <v>Late</v>
      </c>
      <c r="D82" s="1">
        <f>VLOOKUP($B82,[24]TrtCodes!$B$11:J102,3)</f>
        <v>22</v>
      </c>
      <c r="E82" s="1">
        <f>VLOOKUP($B82,[24]TrtCodes!$B$11:K102,4)</f>
        <v>4</v>
      </c>
      <c r="F82" s="1">
        <f>VLOOKUP($B82,[24]TrtCodes!$B$11:L102,5)</f>
        <v>2</v>
      </c>
      <c r="G82" s="1">
        <f>VLOOKUP($B82,[24]TrtCodes!$B$11:M102,6)</f>
        <v>2</v>
      </c>
      <c r="H82" s="1">
        <f>VLOOKUP($B82,[24]TrtCodes!$B$11:N102,7)</f>
        <v>1</v>
      </c>
      <c r="I82" s="1">
        <f>[24]FormattedData!B59</f>
        <v>2</v>
      </c>
      <c r="J82" s="4">
        <f>[24]FormattedData!C59</f>
        <v>13.448</v>
      </c>
      <c r="K82" s="6">
        <f>$J$3+[24]FormattedData!D59*$J$4+$M$4*$J$5+[24]FormattedData!D59^2*$J$6+$M$5*$J$7</f>
        <v>33.249953458745324</v>
      </c>
      <c r="L82" s="6">
        <f>$J$3+[24]FormattedData!E59*$J$4+$M$4*$J$5+[24]FormattedData!E59^2*$J$6+$M$5*$J$7</f>
        <v>33.633235514118404</v>
      </c>
      <c r="M82" s="6">
        <f>$J$3+[24]FormattedData!F59*$J$4+$M$4*$J$5+[24]FormattedData!F59^2*$J$6+$M$5*$J$7</f>
        <v>31.710062271184</v>
      </c>
      <c r="N82" s="6">
        <f>$J$3+[24]FormattedData!G59*$J$4+$M$4*$J$5+[24]FormattedData!G59^2*$J$6+$M$5*$J$7</f>
        <v>32.096049512984678</v>
      </c>
      <c r="O82" s="6">
        <f>$J$3+[24]FormattedData!H59*$J$4+$M$4*$J$5+[24]FormattedData!H59^2*$J$6+$M$5*$J$7</f>
        <v>32.481360458178465</v>
      </c>
      <c r="P82" s="6">
        <f>$J$3+[24]FormattedData!I59*$J$4+$M$4*$J$5+[24]FormattedData!I59^2*$J$6+$M$5*$J$7</f>
        <v>33.058058819831196</v>
      </c>
      <c r="Q82" s="6">
        <f>$J$3+[24]FormattedData!J59*$J$4+$M$4*$J$5+[24]FormattedData!J59^2*$J$6+$M$5*$J$7</f>
        <v>33.34583737539549</v>
      </c>
      <c r="R82" s="6">
        <f>$J$3+[24]FormattedData!K59*$J$4+$M$4*$J$5+[24]FormattedData!K59^2*$J$6+$M$5*$J$7</f>
        <v>34.0158412728846</v>
      </c>
      <c r="S82" s="6">
        <f>$J$3+[24]FormattedData!L59*$J$4+$M$4*$J$5+[24]FormattedData!L59^2*$J$6+$M$5*$J$7</f>
        <v>33.441679023507731</v>
      </c>
      <c r="T82" s="6">
        <f>$J$3+[24]FormattedData!M59*$J$4+$M$4*$J$5+[24]FormattedData!M59^2*$J$6+$M$5*$J$7</f>
        <v>33.154027273557219</v>
      </c>
      <c r="U82" s="6">
        <f>$J$3+[24]FormattedData!N59*$J$4+$M$4*$J$5+[24]FormattedData!N59^2*$J$6+$M$5*$J$7</f>
        <v>31.710062271184</v>
      </c>
      <c r="V82" s="6">
        <f>$J$3+[24]FormattedData!O59*$J$4+$M$4*$J$5+[24]FormattedData!O59^2*$J$6+$M$5*$J$7</f>
        <v>32.962048097567234</v>
      </c>
      <c r="W82" s="5">
        <f t="shared" si="18"/>
        <v>32.904851279094864</v>
      </c>
      <c r="X82" s="4">
        <f t="shared" si="19"/>
        <v>0.21574342331252042</v>
      </c>
      <c r="Y82" s="3">
        <f t="shared" si="20"/>
        <v>31.710062271184</v>
      </c>
      <c r="Z82" s="2">
        <f t="shared" si="21"/>
        <v>32.385032721880016</v>
      </c>
      <c r="AA82" s="3">
        <f t="shared" si="22"/>
        <v>33.106043046694211</v>
      </c>
      <c r="AB82" s="2">
        <f t="shared" si="23"/>
        <v>33.369797787423551</v>
      </c>
      <c r="AC82" s="2">
        <f t="shared" si="24"/>
        <v>34.0158412728846</v>
      </c>
      <c r="AD82" s="2">
        <f t="shared" si="25"/>
        <v>-0.51161217106733525</v>
      </c>
      <c r="AE82" s="2">
        <f t="shared" si="26"/>
        <v>-0.76021007368729254</v>
      </c>
    </row>
    <row r="83" spans="2:31" x14ac:dyDescent="0.2">
      <c r="B83" s="1">
        <f>[24]FormattedData!A55</f>
        <v>904</v>
      </c>
      <c r="C83" s="1" t="str">
        <f>VLOOKUP($B83,[24]TrtCodes!$B$11:I98,2)</f>
        <v>Early</v>
      </c>
      <c r="D83" s="1">
        <f>VLOOKUP($B83,[24]TrtCodes!$B$11:J98,3)</f>
        <v>21</v>
      </c>
      <c r="E83" s="1">
        <f>VLOOKUP($B83,[24]TrtCodes!$B$11:K98,4)</f>
        <v>3</v>
      </c>
      <c r="F83" s="1">
        <f>VLOOKUP($B83,[24]TrtCodes!$B$11:L98,5)</f>
        <v>2</v>
      </c>
      <c r="G83" s="1">
        <f>VLOOKUP($B83,[24]TrtCodes!$B$11:M98,6)</f>
        <v>2</v>
      </c>
      <c r="H83" s="1">
        <f>VLOOKUP($B83,[24]TrtCodes!$B$11:N98,7)</f>
        <v>1</v>
      </c>
      <c r="I83" s="1">
        <f>[24]FormattedData!B55</f>
        <v>2</v>
      </c>
      <c r="J83" s="4">
        <f>[24]FormattedData!C55</f>
        <v>13.420999999999999</v>
      </c>
      <c r="K83" s="6">
        <f>$J$3+[24]FormattedData!D55*$J$4+$M$4*$J$5+[24]FormattedData!D55^2*$J$6+$M$5*$J$7</f>
        <v>37.710805251799655</v>
      </c>
      <c r="L83" s="6">
        <f>$J$3+[24]FormattedData!E55*$J$4+$M$4*$J$5+[24]FormattedData!E55^2*$J$6+$M$5*$J$7</f>
        <v>39.859749105153384</v>
      </c>
      <c r="M83" s="6">
        <f>$J$3+[24]FormattedData!F55*$J$4+$M$4*$J$5+[24]FormattedData!F55^2*$J$6+$M$5*$J$7</f>
        <v>38.460800095676817</v>
      </c>
      <c r="N83" s="6">
        <f>$J$3+[24]FormattedData!G55*$J$4+$M$4*$J$5+[24]FormattedData!G55^2*$J$6+$M$5*$J$7</f>
        <v>40.509337298821748</v>
      </c>
      <c r="O83" s="6">
        <f>$J$3+[24]FormattedData!H55*$J$4+$M$4*$J$5+[24]FormattedData!H55^2*$J$6+$M$5*$J$7</f>
        <v>42.903960243960356</v>
      </c>
      <c r="P83" s="6">
        <f>$J$3+[24]FormattedData!I55*$J$4+$M$4*$J$5+[24]FormattedData!I55^2*$J$6+$M$5*$J$7</f>
        <v>40.323952014749018</v>
      </c>
      <c r="Q83" s="6">
        <f>$J$3+[24]FormattedData!J55*$J$4+$M$4*$J$5+[24]FormattedData!J55^2*$J$6+$M$5*$J$7</f>
        <v>39.301310751886902</v>
      </c>
      <c r="R83" s="6">
        <f>$J$3+[24]FormattedData!K55*$J$4+$M$4*$J$5+[24]FormattedData!K55^2*$J$6+$M$5*$J$7</f>
        <v>39.487625943794121</v>
      </c>
      <c r="S83" s="6">
        <f>$J$3+[24]FormattedData!L55*$J$4+$M$4*$J$5+[24]FormattedData!L55^2*$J$6+$M$5*$J$7</f>
        <v>38.55435924274078</v>
      </c>
      <c r="T83" s="6">
        <f>$J$3+[24]FormattedData!M55*$J$4+$M$4*$J$5+[24]FormattedData!M55^2*$J$6+$M$5*$J$7</f>
        <v>40.323952014749018</v>
      </c>
      <c r="U83" s="6">
        <f>$J$3+[24]FormattedData!N55*$J$4+$M$4*$J$5+[24]FormattedData!N55^2*$J$6+$M$5*$J$7</f>
        <v>39.394489482109478</v>
      </c>
      <c r="V83" s="6">
        <f>$J$3+[24]FormattedData!O55*$J$4+$M$4*$J$5+[24]FormattedData!O55^2*$J$6+$M$5*$J$7</f>
        <v>39.580720136940833</v>
      </c>
      <c r="W83" s="5">
        <f t="shared" si="18"/>
        <v>39.700921798531837</v>
      </c>
      <c r="X83" s="4">
        <f t="shared" si="19"/>
        <v>0.37780421250306018</v>
      </c>
      <c r="Y83" s="3">
        <f t="shared" si="20"/>
        <v>37.710805251799655</v>
      </c>
      <c r="Z83" s="2">
        <f t="shared" si="21"/>
        <v>39.11457287460037</v>
      </c>
      <c r="AA83" s="3">
        <f t="shared" si="22"/>
        <v>39.534173040367477</v>
      </c>
      <c r="AB83" s="2">
        <f t="shared" si="23"/>
        <v>40.323952014749018</v>
      </c>
      <c r="AC83" s="2">
        <f t="shared" si="24"/>
        <v>42.903960243960356</v>
      </c>
      <c r="AD83" s="2">
        <f t="shared" si="25"/>
        <v>1.0938406076795877</v>
      </c>
      <c r="AE83" s="2">
        <f t="shared" si="26"/>
        <v>2.7235368142073879</v>
      </c>
    </row>
    <row r="84" spans="2:31" x14ac:dyDescent="0.2">
      <c r="B84" s="1">
        <f>[24]FormattedData!A51</f>
        <v>906</v>
      </c>
      <c r="C84" s="1" t="str">
        <f>VLOOKUP($B84,[24]TrtCodes!$B$11:I94,2)</f>
        <v>Late</v>
      </c>
      <c r="D84" s="1">
        <f>VLOOKUP($B84,[24]TrtCodes!$B$11:J94,3)</f>
        <v>22</v>
      </c>
      <c r="E84" s="1">
        <f>VLOOKUP($B84,[24]TrtCodes!$B$11:K94,4)</f>
        <v>4</v>
      </c>
      <c r="F84" s="1">
        <f>VLOOKUP($B84,[24]TrtCodes!$B$11:L94,5)</f>
        <v>2</v>
      </c>
      <c r="G84" s="1">
        <f>VLOOKUP($B84,[24]TrtCodes!$B$11:M94,6)</f>
        <v>2</v>
      </c>
      <c r="H84" s="1">
        <f>VLOOKUP($B84,[24]TrtCodes!$B$11:N94,7)</f>
        <v>2</v>
      </c>
      <c r="I84" s="1">
        <f>[24]FormattedData!B51</f>
        <v>2</v>
      </c>
      <c r="J84" s="4">
        <f>[24]FormattedData!C51</f>
        <v>13.394</v>
      </c>
      <c r="K84" s="6">
        <f>$J$3+[24]FormattedData!D51*$J$4+$M$4*$J$5+[24]FormattedData!D51^2*$J$6+$M$5*$J$7</f>
        <v>30.839118267663501</v>
      </c>
      <c r="L84" s="6">
        <f>$J$3+[24]FormattedData!E51*$J$4+$M$4*$J$5+[24]FormattedData!E51^2*$J$6+$M$5*$J$7</f>
        <v>31.226627176829702</v>
      </c>
      <c r="M84" s="6">
        <f>$J$3+[24]FormattedData!F51*$J$4+$M$4*$J$5+[24]FormattedData!F51^2*$J$6+$M$5*$J$7</f>
        <v>31.420128020185217</v>
      </c>
      <c r="N84" s="6">
        <f>$J$3+[24]FormattedData!G51*$J$4+$M$4*$J$5+[24]FormattedData!G51^2*$J$6+$M$5*$J$7</f>
        <v>31.806622484441064</v>
      </c>
      <c r="O84" s="6">
        <f>$J$3+[24]FormattedData!H51*$J$4+$M$4*$J$5+[24]FormattedData!H51^2*$J$6+$M$5*$J$7</f>
        <v>31.323398732776418</v>
      </c>
      <c r="P84" s="6">
        <f>$J$3+[24]FormattedData!I51*$J$4+$M$4*$J$5+[24]FormattedData!I51^2*$J$6+$M$5*$J$7</f>
        <v>31.226627176829702</v>
      </c>
      <c r="Q84" s="6">
        <f>$J$3+[24]FormattedData!J51*$J$4+$M$4*$J$5+[24]FormattedData!J51^2*$J$6+$M$5*$J$7</f>
        <v>33.249953458745324</v>
      </c>
      <c r="R84" s="6">
        <f>$J$3+[24]FormattedData!K51*$J$4+$M$4*$J$5+[24]FormattedData!K51^2*$J$6+$M$5*$J$7</f>
        <v>33.058058819831196</v>
      </c>
      <c r="S84" s="6">
        <f>$J$3+[24]FormattedData!L51*$J$4+$M$4*$J$5+[24]FormattedData!L51^2*$J$6+$M$5*$J$7</f>
        <v>31.323398732776418</v>
      </c>
      <c r="T84" s="6">
        <f>$J$3+[24]FormattedData!M51*$J$4+$M$4*$J$5+[24]FormattedData!M51^2*$J$6+$M$5*$J$7</f>
        <v>31.323398732776418</v>
      </c>
      <c r="U84" s="6">
        <f>$J$3+[24]FormattedData!N51*$J$4+$M$4*$J$5+[24]FormattedData!N51^2*$J$6+$M$5*$J$7</f>
        <v>31.806622484441064</v>
      </c>
      <c r="V84" s="6">
        <f>$J$3+[24]FormattedData!O51*$J$4+$M$4*$J$5+[24]FormattedData!O51^2*$J$6+$M$5*$J$7</f>
        <v>32.481360458178465</v>
      </c>
      <c r="W84" s="5">
        <f t="shared" si="18"/>
        <v>31.757109545456206</v>
      </c>
      <c r="X84" s="4">
        <f t="shared" si="19"/>
        <v>0.2224842050778591</v>
      </c>
      <c r="Y84" s="3">
        <f t="shared" si="20"/>
        <v>30.839118267663501</v>
      </c>
      <c r="Z84" s="2">
        <f t="shared" si="21"/>
        <v>31.299205843789739</v>
      </c>
      <c r="AA84" s="3">
        <f t="shared" si="22"/>
        <v>31.371763376480818</v>
      </c>
      <c r="AB84" s="2">
        <f t="shared" si="23"/>
        <v>31.975306977875412</v>
      </c>
      <c r="AC84" s="2">
        <f t="shared" si="24"/>
        <v>33.249953458745324</v>
      </c>
      <c r="AD84" s="2">
        <f t="shared" si="25"/>
        <v>1.085134779404078</v>
      </c>
      <c r="AE84" s="2">
        <f t="shared" si="26"/>
        <v>2.8053359504431441E-2</v>
      </c>
    </row>
    <row r="85" spans="2:31" x14ac:dyDescent="0.2">
      <c r="B85" s="1">
        <f>[24]FormattedData!A47</f>
        <v>908</v>
      </c>
      <c r="C85" s="1" t="str">
        <f>VLOOKUP($B85,[24]TrtCodes!$B$11:I90,2)</f>
        <v>Early</v>
      </c>
      <c r="D85" s="1">
        <f>VLOOKUP($B85,[24]TrtCodes!$B$11:J90,3)</f>
        <v>21</v>
      </c>
      <c r="E85" s="1">
        <f>VLOOKUP($B85,[24]TrtCodes!$B$11:K90,4)</f>
        <v>3</v>
      </c>
      <c r="F85" s="1">
        <f>VLOOKUP($B85,[24]TrtCodes!$B$11:L90,5)</f>
        <v>2</v>
      </c>
      <c r="G85" s="1">
        <f>VLOOKUP($B85,[24]TrtCodes!$B$11:M90,6)</f>
        <v>2</v>
      </c>
      <c r="H85" s="1">
        <f>VLOOKUP($B85,[24]TrtCodes!$B$11:N90,7)</f>
        <v>2</v>
      </c>
      <c r="I85" s="1">
        <f>[24]FormattedData!B47</f>
        <v>2</v>
      </c>
      <c r="J85" s="4">
        <f>[24]FormattedData!C47</f>
        <v>13.368</v>
      </c>
      <c r="K85" s="6">
        <f>$J$3+[24]FormattedData!D47*$J$4+$M$4*$J$5+[24]FormattedData!D47^2*$J$6+$M$5*$J$7</f>
        <v>34.206890541040103</v>
      </c>
      <c r="L85" s="6">
        <f>$J$3+[24]FormattedData!E47*$J$4+$M$4*$J$5+[24]FormattedData!E47^2*$J$6+$M$5*$J$7</f>
        <v>35.53950134188036</v>
      </c>
      <c r="M85" s="6">
        <f>$J$3+[24]FormattedData!F47*$J$4+$M$4*$J$5+[24]FormattedData!F47^2*$J$6+$M$5*$J$7</f>
        <v>35.63437081362018</v>
      </c>
      <c r="N85" s="6">
        <f>$J$3+[24]FormattedData!G47*$J$4+$M$4*$J$5+[24]FormattedData!G47^2*$J$6+$M$5*$J$7</f>
        <v>37.428859754469862</v>
      </c>
      <c r="O85" s="6">
        <f>$J$3+[24]FormattedData!H47*$J$4+$M$4*$J$5+[24]FormattedData!H47^2*$J$6+$M$5*$J$7</f>
        <v>33.537478403082034</v>
      </c>
      <c r="P85" s="6">
        <f>$J$3+[24]FormattedData!I47*$J$4+$M$4*$J$5+[24]FormattedData!I47^2*$J$6+$M$5*$J$7</f>
        <v>35.159600769541768</v>
      </c>
      <c r="Q85" s="6">
        <f>$J$3+[24]FormattedData!J47*$J$4+$M$4*$J$5+[24]FormattedData!J47^2*$J$6+$M$5*$J$7</f>
        <v>36.863827509286125</v>
      </c>
      <c r="R85" s="6">
        <f>$J$3+[24]FormattedData!K47*$J$4+$M$4*$J$5+[24]FormattedData!K47^2*$J$6+$M$5*$J$7</f>
        <v>34.969396872144891</v>
      </c>
      <c r="S85" s="6">
        <f>$J$3+[24]FormattedData!L47*$J$4+$M$4*$J$5+[24]FormattedData!L47^2*$J$6+$M$5*$J$7</f>
        <v>35.82398295148603</v>
      </c>
      <c r="T85" s="6">
        <f>$J$3+[24]FormattedData!M47*$J$4+$M$4*$J$5+[24]FormattedData!M47^2*$J$6+$M$5*$J$7</f>
        <v>36.675145279254757</v>
      </c>
      <c r="U85" s="6">
        <f>$J$3+[24]FormattedData!N47*$J$4+$M$4*$J$5+[24]FormattedData!N47^2*$J$6+$M$5*$J$7</f>
        <v>37.522883855451056</v>
      </c>
      <c r="V85" s="6">
        <f>$J$3+[24]FormattedData!O47*$J$4+$M$4*$J$5+[24]FormattedData!O47^2*$J$6+$M$5*$J$7</f>
        <v>37.14653384029868</v>
      </c>
      <c r="W85" s="5">
        <f t="shared" si="18"/>
        <v>35.875705994296325</v>
      </c>
      <c r="X85" s="4">
        <f t="shared" si="19"/>
        <v>0.37046633118978495</v>
      </c>
      <c r="Y85" s="3">
        <f t="shared" si="20"/>
        <v>33.537478403082034</v>
      </c>
      <c r="Z85" s="2">
        <f t="shared" si="21"/>
        <v>35.112049795192547</v>
      </c>
      <c r="AA85" s="3">
        <f t="shared" si="22"/>
        <v>35.729176882553105</v>
      </c>
      <c r="AB85" s="2">
        <f t="shared" si="23"/>
        <v>36.934504092039262</v>
      </c>
      <c r="AC85" s="2">
        <f t="shared" si="24"/>
        <v>37.522883855451056</v>
      </c>
      <c r="AD85" s="2">
        <f t="shared" si="25"/>
        <v>-0.35362855741949489</v>
      </c>
      <c r="AE85" s="2">
        <f t="shared" si="26"/>
        <v>-0.79448426371534708</v>
      </c>
    </row>
    <row r="88" spans="2:31" x14ac:dyDescent="0.2">
      <c r="W88" s="2"/>
    </row>
  </sheetData>
  <autoFilter ref="B9:AE85" xr:uid="{2A956031-998A-4D28-ADC6-DEF2596B6F20}"/>
  <conditionalFormatting sqref="K10:V85">
    <cfRule type="cellIs" dxfId="31" priority="1" stopIfTrue="1" operator="lessThan">
      <formula>$W10-$V$5*$X10</formula>
    </cfRule>
    <cfRule type="cellIs" dxfId="30" priority="2" stopIfTrue="1" operator="greaterThan">
      <formula>$W10+$V$5*$X10</formula>
    </cfRule>
  </conditionalFormatting>
  <conditionalFormatting sqref="W10:W85">
    <cfRule type="cellIs" dxfId="29" priority="3" stopIfTrue="1" operator="lessThan">
      <formula>AVERAGE($W$10:$W$41)</formula>
    </cfRule>
    <cfRule type="cellIs" dxfId="2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4FC5-7CD5-4DA0-B700-724DCBC8C078}">
  <sheetPr codeName="Sheet9"/>
  <dimension ref="A1:AI88"/>
  <sheetViews>
    <sheetView topLeftCell="A8" workbookViewId="0">
      <pane xSplit="4" ySplit="2" topLeftCell="O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[25]FormattedData!A1</f>
        <v>Raw data file name - 'IA246.03R'</v>
      </c>
    </row>
    <row r="2" spans="1:35" ht="15" x14ac:dyDescent="0.25">
      <c r="I2" s="32" t="s">
        <v>136</v>
      </c>
      <c r="J2" s="24"/>
      <c r="P2" s="31">
        <f>[25]AncillaryData!C10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[25]AncillaryData!E25</f>
        <v>41.1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"&amp;[25]AncillaryData!C7</f>
        <v>Time Sequence of Midday IRT Temps - FISE 2003 - DOY 246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"&amp;[25]AncillaryData!E25&amp;", VPD = "&amp;ROUND([25]AncillaryData!E29,1)&amp;", Quality = "&amp;[25]AncillaryData!C20&amp;")"</f>
        <v>(Ta = 41.1, VPD = 6.6,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[25]FormattedData!A28</f>
        <v>101</v>
      </c>
      <c r="C10" s="1" t="str">
        <f>VLOOKUP($B10,[25]TrtCodes!$B$11:I71,2)</f>
        <v>FSH</v>
      </c>
      <c r="D10" s="1">
        <f>VLOOKUP($B10,[25]TrtCodes!$B$11:J71,3)</f>
        <v>1</v>
      </c>
      <c r="E10" s="1">
        <f>VLOOKUP($B10,[25]TrtCodes!$B$11:K71,4)</f>
        <v>1</v>
      </c>
      <c r="F10" s="1">
        <f>VLOOKUP($B10,[25]TrtCodes!$B$11:L71,5)</f>
        <v>1</v>
      </c>
      <c r="G10" s="1">
        <f>VLOOKUP($B10,[25]TrtCodes!$B$11:M71,6)</f>
        <v>2</v>
      </c>
      <c r="H10" s="1">
        <f>VLOOKUP($B10,[25]TrtCodes!$B$11:N71,7)</f>
        <v>1</v>
      </c>
      <c r="I10" s="1">
        <f>[25]FormattedData!B28</f>
        <v>1</v>
      </c>
      <c r="J10" s="4">
        <f>[25]FormattedData!C28</f>
        <v>13.212999999999999</v>
      </c>
      <c r="K10" s="6">
        <f>$J$3+[25]FormattedData!D28*$J$4+$M$4*$J$5+[25]FormattedData!D28^2*$J$6+$M$5*$J$7</f>
        <v>30.098163664528776</v>
      </c>
      <c r="L10" s="6">
        <f>$J$3+[25]FormattedData!E28*$J$4+$M$4*$J$5+[25]FormattedData!E28^2*$J$6+$M$5*$J$7</f>
        <v>30.19544244293067</v>
      </c>
      <c r="M10" s="6">
        <f>$J$3+[25]FormattedData!F28*$J$4+$M$4*$J$5+[25]FormattedData!F28^2*$J$6+$M$5*$J$7</f>
        <v>30.681202306871182</v>
      </c>
      <c r="N10" s="6">
        <f>$J$3+[25]FormattedData!G28*$J$4+$M$4*$J$5+[25]FormattedData!G28^2*$J$6+$M$5*$J$7</f>
        <v>30.487025166908776</v>
      </c>
      <c r="O10" s="6">
        <f>$J$3+[25]FormattedData!H28*$J$4+$M$4*$J$5+[25]FormattedData!H28^2*$J$6+$M$5*$J$7</f>
        <v>31.069049364340831</v>
      </c>
      <c r="P10" s="6">
        <f>$J$3+[25]FormattedData!I28*$J$4+$M$4*$J$5+[25]FormattedData!I28^2*$J$6+$M$5*$J$7</f>
        <v>31.069049364340831</v>
      </c>
      <c r="Q10" s="6">
        <f>$J$3+[25]FormattedData!J28*$J$4+$M$4*$J$5+[25]FormattedData!J28^2*$J$6+$M$5*$J$7</f>
        <v>31.649551894407374</v>
      </c>
      <c r="R10" s="6">
        <f>$J$3+[25]FormattedData!K28*$J$4+$M$4*$J$5+[25]FormattedData!K28^2*$J$6+$M$5*$J$7</f>
        <v>30.389873194120668</v>
      </c>
      <c r="S10" s="6">
        <f>$J$3+[25]FormattedData!L28*$J$4+$M$4*$J$5+[25]FormattedData!L28^2*$J$6+$M$5*$J$7</f>
        <v>30.778227474045494</v>
      </c>
      <c r="T10" s="6">
        <f>$J$3+[25]FormattedData!M28*$J$4+$M$4*$J$5+[25]FormattedData!M28^2*$J$6+$M$5*$J$7</f>
        <v>30.778227474045494</v>
      </c>
      <c r="U10" s="6">
        <f>$J$3+[25]FormattedData!N28*$J$4+$M$4*$J$5+[25]FormattedData!N28^2*$J$6+$M$5*$J$7</f>
        <v>31.069049364340831</v>
      </c>
      <c r="V10" s="6">
        <f>$J$3+[25]FormattedData!O28*$J$4+$M$4*$J$5+[25]FormattedData!O28^2*$J$6+$M$5*$J$7</f>
        <v>31.165905457363412</v>
      </c>
      <c r="W10" s="5">
        <f t="shared" ref="W10:W41" si="0">AVERAGE(K10:V10)</f>
        <v>30.785897264020363</v>
      </c>
      <c r="X10" s="4">
        <f t="shared" ref="X10:X41" si="1">STDEV(K10:V10)/SQRT(COUNT(K10:V10))</f>
        <v>0.12938325622149441</v>
      </c>
      <c r="Y10" s="3">
        <f t="shared" ref="Y10:Y41" si="2">MIN(K10:V10)</f>
        <v>30.098163664528776</v>
      </c>
      <c r="Z10" s="2">
        <f t="shared" ref="Z10:Z41" si="3">QUARTILE(K10:V10,1)</f>
        <v>30.462737173711748</v>
      </c>
      <c r="AA10" s="3">
        <f t="shared" ref="AA10:AA41" si="4">MEDIAN(K10:V10)</f>
        <v>30.778227474045494</v>
      </c>
      <c r="AB10" s="2">
        <f t="shared" ref="AB10:AB41" si="5">QUARTILE(K10:V10,3)</f>
        <v>31.069049364340831</v>
      </c>
      <c r="AC10" s="2">
        <f t="shared" ref="AC10:AC41" si="6">MAX(K10:V10)</f>
        <v>31.649551894407374</v>
      </c>
      <c r="AD10" s="2">
        <f t="shared" ref="AD10:AD41" si="7">SKEW(K10:V10)</f>
        <v>0.1770094458150322</v>
      </c>
      <c r="AE10" s="2">
        <f t="shared" ref="AE10:AE41" si="8">KURT(K10:V10)</f>
        <v>-0.22814385242005875</v>
      </c>
    </row>
    <row r="11" spans="1:35" x14ac:dyDescent="0.2">
      <c r="B11" s="1">
        <f>[25]FormattedData!A26</f>
        <v>102</v>
      </c>
      <c r="C11" s="1" t="str">
        <f>VLOOKUP($B11,[25]TrtCodes!$B$11:I69,2)</f>
        <v>FTL</v>
      </c>
      <c r="D11" s="1">
        <f>VLOOKUP($B11,[25]TrtCodes!$B$11:J69,3)</f>
        <v>4</v>
      </c>
      <c r="E11" s="1">
        <f>VLOOKUP($B11,[25]TrtCodes!$B$11:K69,4)</f>
        <v>1</v>
      </c>
      <c r="F11" s="1">
        <f>VLOOKUP($B11,[25]TrtCodes!$B$11:L69,5)</f>
        <v>2</v>
      </c>
      <c r="G11" s="1">
        <f>VLOOKUP($B11,[25]TrtCodes!$B$11:M69,6)</f>
        <v>1</v>
      </c>
      <c r="H11" s="1">
        <f>VLOOKUP($B11,[25]TrtCodes!$B$11:N69,7)</f>
        <v>1</v>
      </c>
      <c r="I11" s="1">
        <f>[25]FormattedData!B26</f>
        <v>1</v>
      </c>
      <c r="J11" s="4">
        <f>[25]FormattedData!C26</f>
        <v>13.195</v>
      </c>
      <c r="K11" s="6">
        <f>$J$3+[25]FormattedData!D26*$J$4+$M$4*$J$5+[25]FormattedData!D26^2*$J$6+$M$5*$J$7</f>
        <v>31.069049364340831</v>
      </c>
      <c r="L11" s="6">
        <f>$J$3+[25]FormattedData!E26*$J$4+$M$4*$J$5+[25]FormattedData!E26^2*$J$6+$M$5*$J$7</f>
        <v>32.517452563196834</v>
      </c>
      <c r="M11" s="6">
        <f>$J$3+[25]FormattedData!F26*$J$4+$M$4*$J$5+[25]FormattedData!F26^2*$J$6+$M$5*$J$7</f>
        <v>31.746154376202369</v>
      </c>
      <c r="N11" s="6">
        <f>$J$3+[25]FormattedData!G26*$J$4+$M$4*$J$5+[25]FormattedData!G26^2*$J$6+$M$5*$J$7</f>
        <v>32.613674628150449</v>
      </c>
      <c r="O11" s="6">
        <f>$J$3+[25]FormattedData!H26*$J$4+$M$4*$J$5+[25]FormattedData!H26^2*$J$6+$M$5*$J$7</f>
        <v>33.094150924849565</v>
      </c>
      <c r="P11" s="6">
        <f>$J$3+[25]FormattedData!I26*$J$4+$M$4*$J$5+[25]FormattedData!I26^2*$J$6+$M$5*$J$7</f>
        <v>35.290731420451678</v>
      </c>
      <c r="Q11" s="6">
        <f>$J$3+[25]FormattedData!J26*$J$4+$M$4*$J$5+[25]FormattedData!J26^2*$J$6+$M$5*$J$7</f>
        <v>32.709854424566132</v>
      </c>
      <c r="R11" s="6">
        <f>$J$3+[25]FormattedData!K26*$J$4+$M$4*$J$5+[25]FormattedData!K26^2*$J$6+$M$5*$J$7</f>
        <v>32.613674628150449</v>
      </c>
      <c r="S11" s="6">
        <f>$J$3+[25]FormattedData!L26*$J$4+$M$4*$J$5+[25]FormattedData!L26^2*$J$6+$M$5*$J$7</f>
        <v>32.902087211783709</v>
      </c>
      <c r="T11" s="6">
        <f>$J$3+[25]FormattedData!M26*$J$4+$M$4*$J$5+[25]FormattedData!M26^2*$J$6+$M$5*$J$7</f>
        <v>32.998140202585603</v>
      </c>
      <c r="U11" s="6">
        <f>$J$3+[25]FormattedData!N26*$J$4+$M$4*$J$5+[25]FormattedData!N26^2*$J$6+$M$5*$J$7</f>
        <v>31.842714589459433</v>
      </c>
      <c r="V11" s="6">
        <f>$J$3+[25]FormattedData!O26*$J$4+$M$4*$J$5+[25]FormattedData!O26^2*$J$6+$M$5*$J$7</f>
        <v>32.517452563196834</v>
      </c>
      <c r="W11" s="5">
        <f t="shared" si="0"/>
        <v>32.659594741411162</v>
      </c>
      <c r="X11" s="4">
        <f t="shared" si="1"/>
        <v>0.29340978886710256</v>
      </c>
      <c r="Y11" s="3">
        <f t="shared" si="2"/>
        <v>31.069049364340831</v>
      </c>
      <c r="Z11" s="2">
        <f t="shared" si="3"/>
        <v>32.348768069762485</v>
      </c>
      <c r="AA11" s="3">
        <f t="shared" si="4"/>
        <v>32.613674628150449</v>
      </c>
      <c r="AB11" s="2">
        <f t="shared" si="5"/>
        <v>32.926100459484182</v>
      </c>
      <c r="AC11" s="2">
        <f t="shared" si="6"/>
        <v>35.290731420451678</v>
      </c>
      <c r="AD11" s="2">
        <f t="shared" si="7"/>
        <v>1.35201032530109</v>
      </c>
      <c r="AE11" s="2">
        <f t="shared" si="8"/>
        <v>4.1642312191918585</v>
      </c>
    </row>
    <row r="12" spans="1:35" x14ac:dyDescent="0.2">
      <c r="B12" s="1">
        <f>[25]FormattedData!A24</f>
        <v>103</v>
      </c>
      <c r="C12" s="1" t="str">
        <f>VLOOKUP($B12,[25]TrtCodes!$B$11:I67,2)</f>
        <v>FDH</v>
      </c>
      <c r="D12" s="1">
        <f>VLOOKUP($B12,[25]TrtCodes!$B$11:J67,3)</f>
        <v>5</v>
      </c>
      <c r="E12" s="1">
        <f>VLOOKUP($B12,[25]TrtCodes!$B$11:K67,4)</f>
        <v>1</v>
      </c>
      <c r="F12" s="1">
        <f>VLOOKUP($B12,[25]TrtCodes!$B$11:L67,5)</f>
        <v>3</v>
      </c>
      <c r="G12" s="1">
        <f>VLOOKUP($B12,[25]TrtCodes!$B$11:M67,6)</f>
        <v>2</v>
      </c>
      <c r="H12" s="1">
        <f>VLOOKUP($B12,[25]TrtCodes!$B$11:N67,7)</f>
        <v>1</v>
      </c>
      <c r="I12" s="1">
        <f>[25]FormattedData!B24</f>
        <v>1</v>
      </c>
      <c r="J12" s="4">
        <f>[25]FormattedData!C24</f>
        <v>13.178000000000001</v>
      </c>
      <c r="K12" s="6">
        <f>$J$3+[25]FormattedData!D24*$J$4+$M$4*$J$5+[25]FormattedData!D24^2*$J$6+$M$5*$J$7</f>
        <v>32.517452563196834</v>
      </c>
      <c r="L12" s="6">
        <f>$J$3+[25]FormattedData!E24*$J$4+$M$4*$J$5+[25]FormattedData!E24^2*$J$6+$M$5*$J$7</f>
        <v>32.22853275710839</v>
      </c>
      <c r="M12" s="6">
        <f>$J$3+[25]FormattedData!F24*$J$4+$M$4*$J$5+[25]FormattedData!F24^2*$J$6+$M$5*$J$7</f>
        <v>31.939232534178572</v>
      </c>
      <c r="N12" s="6">
        <f>$J$3+[25]FormattedData!G24*$J$4+$M$4*$J$5+[25]FormattedData!G24^2*$J$6+$M$5*$J$7</f>
        <v>32.035708210359779</v>
      </c>
      <c r="O12" s="6">
        <f>$J$3+[25]FormattedData!H24*$J$4+$M$4*$J$5+[25]FormattedData!H24^2*$J$6+$M$5*$J$7</f>
        <v>32.035708210359779</v>
      </c>
      <c r="P12" s="6">
        <f>$J$3+[25]FormattedData!I24*$J$4+$M$4*$J$5+[25]FormattedData!I24^2*$J$6+$M$5*$J$7</f>
        <v>31.165905457363412</v>
      </c>
      <c r="Q12" s="6">
        <f>$J$3+[25]FormattedData!J24*$J$4+$M$4*$J$5+[25]FormattedData!J24^2*$J$6+$M$5*$J$7</f>
        <v>30.584134871158945</v>
      </c>
      <c r="R12" s="6">
        <f>$J$3+[25]FormattedData!K24*$J$4+$M$4*$J$5+[25]FormattedData!K24^2*$J$6+$M$5*$J$7</f>
        <v>31.359490837794787</v>
      </c>
      <c r="S12" s="6">
        <f>$J$3+[25]FormattedData!L24*$J$4+$M$4*$J$5+[25]FormattedData!L24^2*$J$6+$M$5*$J$7</f>
        <v>31.165905457363412</v>
      </c>
      <c r="T12" s="6">
        <f>$J$3+[25]FormattedData!M24*$J$4+$M$4*$J$5+[25]FormattedData!M24^2*$J$6+$M$5*$J$7</f>
        <v>31.746154376202369</v>
      </c>
      <c r="U12" s="6">
        <f>$J$3+[25]FormattedData!N24*$J$4+$M$4*$J$5+[25]FormattedData!N24^2*$J$6+$M$5*$J$7</f>
        <v>31.456220125203586</v>
      </c>
      <c r="V12" s="6">
        <f>$J$3+[25]FormattedData!O24*$J$4+$M$4*$J$5+[25]FormattedData!O24^2*$J$6+$M$5*$J$7</f>
        <v>30.972151002780318</v>
      </c>
      <c r="W12" s="5">
        <f t="shared" si="0"/>
        <v>31.600549700255851</v>
      </c>
      <c r="X12" s="4">
        <f t="shared" si="1"/>
        <v>0.16593312559053627</v>
      </c>
      <c r="Y12" s="3">
        <f t="shared" si="2"/>
        <v>30.584134871158945</v>
      </c>
      <c r="Z12" s="2">
        <f t="shared" si="3"/>
        <v>31.165905457363412</v>
      </c>
      <c r="AA12" s="3">
        <f t="shared" si="4"/>
        <v>31.601187250702978</v>
      </c>
      <c r="AB12" s="2">
        <f t="shared" si="5"/>
        <v>32.035708210359779</v>
      </c>
      <c r="AC12" s="2">
        <f t="shared" si="6"/>
        <v>32.517452563196834</v>
      </c>
      <c r="AD12" s="2">
        <f t="shared" si="7"/>
        <v>-0.14600999303809373</v>
      </c>
      <c r="AE12" s="2">
        <f t="shared" si="8"/>
        <v>-0.79131615564022884</v>
      </c>
    </row>
    <row r="13" spans="1:35" x14ac:dyDescent="0.2">
      <c r="B13" s="1">
        <f>[25]FormattedData!A22</f>
        <v>104</v>
      </c>
      <c r="C13" s="1" t="str">
        <f>VLOOKUP($B13,[25]TrtCodes!$B$11:I65,2)</f>
        <v>NTL</v>
      </c>
      <c r="D13" s="1">
        <f>VLOOKUP($B13,[25]TrtCodes!$B$11:J65,3)</f>
        <v>10</v>
      </c>
      <c r="E13" s="1">
        <f>VLOOKUP($B13,[25]TrtCodes!$B$11:K65,4)</f>
        <v>2</v>
      </c>
      <c r="F13" s="1">
        <f>VLOOKUP($B13,[25]TrtCodes!$B$11:L65,5)</f>
        <v>2</v>
      </c>
      <c r="G13" s="1">
        <f>VLOOKUP($B13,[25]TrtCodes!$B$11:M65,6)</f>
        <v>1</v>
      </c>
      <c r="H13" s="1">
        <f>VLOOKUP($B13,[25]TrtCodes!$B$11:N65,7)</f>
        <v>1</v>
      </c>
      <c r="I13" s="1">
        <f>[25]FormattedData!B22</f>
        <v>1</v>
      </c>
      <c r="J13" s="4">
        <f>[25]FormattedData!C22</f>
        <v>13.16</v>
      </c>
      <c r="K13" s="6">
        <f>$J$3+[25]FormattedData!D22*$J$4+$M$4*$J$5+[25]FormattedData!D22^2*$J$6+$M$5*$J$7</f>
        <v>30.584134871158945</v>
      </c>
      <c r="L13" s="6">
        <f>$J$3+[25]FormattedData!E22*$J$4+$M$4*$J$5+[25]FormattedData!E22^2*$J$6+$M$5*$J$7</f>
        <v>31.649551894407374</v>
      </c>
      <c r="M13" s="6">
        <f>$J$3+[25]FormattedData!F22*$J$4+$M$4*$J$5+[25]FormattedData!F22^2*$J$6+$M$5*$J$7</f>
        <v>30.292678952794638</v>
      </c>
      <c r="N13" s="6">
        <f>$J$3+[25]FormattedData!G22*$J$4+$M$4*$J$5+[25]FormattedData!G22^2*$J$6+$M$5*$J$7</f>
        <v>31.359490837794787</v>
      </c>
      <c r="O13" s="6">
        <f>$J$3+[25]FormattedData!H22*$J$4+$M$4*$J$5+[25]FormattedData!H22^2*$J$6+$M$5*$J$7</f>
        <v>31.842714589459433</v>
      </c>
      <c r="P13" s="6">
        <f>$J$3+[25]FormattedData!I22*$J$4+$M$4*$J$5+[25]FormattedData!I22^2*$J$6+$M$5*$J$7</f>
        <v>30.778227474045494</v>
      </c>
      <c r="Q13" s="6">
        <f>$J$3+[25]FormattedData!J22*$J$4+$M$4*$J$5+[25]FormattedData!J22^2*$J$6+$M$5*$J$7</f>
        <v>30.487025166908776</v>
      </c>
      <c r="R13" s="6">
        <f>$J$3+[25]FormattedData!K22*$J$4+$M$4*$J$5+[25]FormattedData!K22^2*$J$6+$M$5*$J$7</f>
        <v>29.611135744450333</v>
      </c>
      <c r="S13" s="6">
        <f>$J$3+[25]FormattedData!L22*$J$4+$M$4*$J$5+[25]FormattedData!L22^2*$J$6+$M$5*$J$7</f>
        <v>30.778227474045494</v>
      </c>
      <c r="T13" s="6">
        <f>$J$3+[25]FormattedData!M22*$J$4+$M$4*$J$5+[25]FormattedData!M22^2*$J$6+$M$5*$J$7</f>
        <v>31.262719281848071</v>
      </c>
      <c r="U13" s="6">
        <f>$J$3+[25]FormattedData!N22*$J$4+$M$4*$J$5+[25]FormattedData!N22^2*$J$6+$M$5*$J$7</f>
        <v>30.292678952794638</v>
      </c>
      <c r="V13" s="6">
        <f>$J$3+[25]FormattedData!O22*$J$4+$M$4*$J$5+[25]FormattedData!O22^2*$J$6+$M$5*$J$7</f>
        <v>31.262719281848071</v>
      </c>
      <c r="W13" s="5">
        <f t="shared" si="0"/>
        <v>30.850108710129675</v>
      </c>
      <c r="X13" s="4">
        <f t="shared" si="1"/>
        <v>0.18655075678895858</v>
      </c>
      <c r="Y13" s="3">
        <f t="shared" si="2"/>
        <v>29.611135744450333</v>
      </c>
      <c r="Z13" s="2">
        <f t="shared" si="3"/>
        <v>30.438438613380242</v>
      </c>
      <c r="AA13" s="3">
        <f t="shared" si="4"/>
        <v>30.778227474045494</v>
      </c>
      <c r="AB13" s="2">
        <f t="shared" si="5"/>
        <v>31.28691217083475</v>
      </c>
      <c r="AC13" s="2">
        <f t="shared" si="6"/>
        <v>31.842714589459433</v>
      </c>
      <c r="AD13" s="2">
        <f t="shared" si="7"/>
        <v>-0.22400569477240059</v>
      </c>
      <c r="AE13" s="2">
        <f t="shared" si="8"/>
        <v>-0.35018330232988015</v>
      </c>
    </row>
    <row r="14" spans="1:35" x14ac:dyDescent="0.2">
      <c r="B14" s="1">
        <f>[25]FormattedData!A20</f>
        <v>105</v>
      </c>
      <c r="C14" s="1" t="str">
        <f>VLOOKUP($B14,[25]TrtCodes!$B$11:I63,2)</f>
        <v>NDL</v>
      </c>
      <c r="D14" s="1">
        <f>VLOOKUP($B14,[25]TrtCodes!$B$11:J63,3)</f>
        <v>12</v>
      </c>
      <c r="E14" s="1">
        <f>VLOOKUP($B14,[25]TrtCodes!$B$11:K63,4)</f>
        <v>2</v>
      </c>
      <c r="F14" s="1">
        <f>VLOOKUP($B14,[25]TrtCodes!$B$11:L63,5)</f>
        <v>3</v>
      </c>
      <c r="G14" s="1">
        <f>VLOOKUP($B14,[25]TrtCodes!$B$11:M63,6)</f>
        <v>1</v>
      </c>
      <c r="H14" s="1">
        <f>VLOOKUP($B14,[25]TrtCodes!$B$11:N63,7)</f>
        <v>2</v>
      </c>
      <c r="I14" s="1">
        <f>[25]FormattedData!B20</f>
        <v>1</v>
      </c>
      <c r="J14" s="4">
        <f>[25]FormattedData!C20</f>
        <v>13.141999999999999</v>
      </c>
      <c r="K14" s="6">
        <f>$J$3+[25]FormattedData!D20*$J$4+$M$4*$J$5+[25]FormattedData!D20^2*$J$6+$M$5*$J$7</f>
        <v>32.709854424566132</v>
      </c>
      <c r="L14" s="6">
        <f>$J$3+[25]FormattedData!E20*$J$4+$M$4*$J$5+[25]FormattedData!E20^2*$J$6+$M$5*$J$7</f>
        <v>31.359490837794787</v>
      </c>
      <c r="M14" s="6">
        <f>$J$3+[25]FormattedData!F20*$J$4+$M$4*$J$5+[25]FormattedData!F20^2*$J$6+$M$5*$J$7</f>
        <v>31.746154376202369</v>
      </c>
      <c r="N14" s="6">
        <f>$J$3+[25]FormattedData!G20*$J$4+$M$4*$J$5+[25]FormattedData!G20^2*$J$6+$M$5*$J$7</f>
        <v>30.487025166908776</v>
      </c>
      <c r="O14" s="6">
        <f>$J$3+[25]FormattedData!H20*$J$4+$M$4*$J$5+[25]FormattedData!H20^2*$J$6+$M$5*$J$7</f>
        <v>30.681202306871182</v>
      </c>
      <c r="P14" s="6">
        <f>$J$3+[25]FormattedData!I20*$J$4+$M$4*$J$5+[25]FormattedData!I20^2*$J$6+$M$5*$J$7</f>
        <v>30.389873194120668</v>
      </c>
      <c r="Q14" s="6">
        <f>$J$3+[25]FormattedData!J20*$J$4+$M$4*$J$5+[25]FormattedData!J20^2*$J$6+$M$5*$J$7</f>
        <v>30.778227474045494</v>
      </c>
      <c r="R14" s="6">
        <f>$J$3+[25]FormattedData!K20*$J$4+$M$4*$J$5+[25]FormattedData!K20^2*$J$6+$M$5*$J$7</f>
        <v>30.87521037268187</v>
      </c>
      <c r="S14" s="6">
        <f>$J$3+[25]FormattedData!L20*$J$4+$M$4*$J$5+[25]FormattedData!L20^2*$J$6+$M$5*$J$7</f>
        <v>30.584134871158945</v>
      </c>
      <c r="T14" s="6">
        <f>$J$3+[25]FormattedData!M20*$J$4+$M$4*$J$5+[25]FormattedData!M20^2*$J$6+$M$5*$J$7</f>
        <v>30.389873194120668</v>
      </c>
      <c r="U14" s="6">
        <f>$J$3+[25]FormattedData!N20*$J$4+$M$4*$J$5+[25]FormattedData!N20^2*$J$6+$M$5*$J$7</f>
        <v>30.292678952794638</v>
      </c>
      <c r="V14" s="6">
        <f>$J$3+[25]FormattedData!O20*$J$4+$M$4*$J$5+[25]FormattedData!O20^2*$J$6+$M$5*$J$7</f>
        <v>30.19544244293067</v>
      </c>
      <c r="W14" s="5">
        <f t="shared" si="0"/>
        <v>30.874097301183014</v>
      </c>
      <c r="X14" s="4">
        <f t="shared" si="1"/>
        <v>0.21166662104255651</v>
      </c>
      <c r="Y14" s="3">
        <f t="shared" si="2"/>
        <v>30.19544244293067</v>
      </c>
      <c r="Z14" s="2">
        <f t="shared" si="3"/>
        <v>30.389873194120668</v>
      </c>
      <c r="AA14" s="3">
        <f t="shared" si="4"/>
        <v>30.632668589015061</v>
      </c>
      <c r="AB14" s="2">
        <f t="shared" si="5"/>
        <v>30.9962804889601</v>
      </c>
      <c r="AC14" s="2">
        <f t="shared" si="6"/>
        <v>32.709854424566132</v>
      </c>
      <c r="AD14" s="2">
        <f t="shared" si="7"/>
        <v>1.6984250289651848</v>
      </c>
      <c r="AE14" s="2">
        <f t="shared" si="8"/>
        <v>2.758231335553659</v>
      </c>
    </row>
    <row r="15" spans="1:35" x14ac:dyDescent="0.2">
      <c r="B15" s="1">
        <f>[25]FormattedData!A18</f>
        <v>106</v>
      </c>
      <c r="C15" s="1" t="str">
        <f>VLOOKUP($B15,[25]TrtCodes!$B$11:I61,2)</f>
        <v>NTH</v>
      </c>
      <c r="D15" s="1">
        <f>VLOOKUP($B15,[25]TrtCodes!$B$11:J61,3)</f>
        <v>9</v>
      </c>
      <c r="E15" s="1">
        <f>VLOOKUP($B15,[25]TrtCodes!$B$11:K61,4)</f>
        <v>2</v>
      </c>
      <c r="F15" s="1">
        <f>VLOOKUP($B15,[25]TrtCodes!$B$11:L61,5)</f>
        <v>2</v>
      </c>
      <c r="G15" s="1">
        <f>VLOOKUP($B15,[25]TrtCodes!$B$11:M61,6)</f>
        <v>2</v>
      </c>
      <c r="H15" s="1">
        <f>VLOOKUP($B15,[25]TrtCodes!$B$11:N61,7)</f>
        <v>2</v>
      </c>
      <c r="I15" s="1">
        <f>[25]FormattedData!B18</f>
        <v>1</v>
      </c>
      <c r="J15" s="4">
        <f>[25]FormattedData!C18</f>
        <v>13.122999999999999</v>
      </c>
      <c r="K15" s="6">
        <f>$J$3+[25]FormattedData!D18*$J$4+$M$4*$J$5+[25]FormattedData!D18^2*$J$6+$M$5*$J$7</f>
        <v>30.87521037268187</v>
      </c>
      <c r="L15" s="6">
        <f>$J$3+[25]FormattedData!E18*$J$4+$M$4*$J$5+[25]FormattedData!E18^2*$J$6+$M$5*$J$7</f>
        <v>31.262719281848071</v>
      </c>
      <c r="M15" s="6">
        <f>$J$3+[25]FormattedData!F18*$J$4+$M$4*$J$5+[25]FormattedData!F18^2*$J$6+$M$5*$J$7</f>
        <v>32.42118822970528</v>
      </c>
      <c r="N15" s="6">
        <f>$J$3+[25]FormattedData!G18*$J$4+$M$4*$J$5+[25]FormattedData!G18^2*$J$6+$M$5*$J$7</f>
        <v>31.939232534178572</v>
      </c>
      <c r="O15" s="6">
        <f>$J$3+[25]FormattedData!H18*$J$4+$M$4*$J$5+[25]FormattedData!H18^2*$J$6+$M$5*$J$7</f>
        <v>29.611135744450333</v>
      </c>
      <c r="P15" s="6">
        <f>$J$3+[25]FormattedData!I18*$J$4+$M$4*$J$5+[25]FormattedData!I18^2*$J$6+$M$5*$J$7</f>
        <v>30.487025166908776</v>
      </c>
      <c r="Q15" s="6">
        <f>$J$3+[25]FormattedData!J18*$J$4+$M$4*$J$5+[25]FormattedData!J18^2*$J$6+$M$5*$J$7</f>
        <v>30.681202306871182</v>
      </c>
      <c r="R15" s="6">
        <f>$J$3+[25]FormattedData!K18*$J$4+$M$4*$J$5+[25]FormattedData!K18^2*$J$6+$M$5*$J$7</f>
        <v>31.165905457363412</v>
      </c>
      <c r="S15" s="6">
        <f>$J$3+[25]FormattedData!L18*$J$4+$M$4*$J$5+[25]FormattedData!L18^2*$J$6+$M$5*$J$7</f>
        <v>30.584134871158945</v>
      </c>
      <c r="T15" s="6">
        <f>$J$3+[25]FormattedData!M18*$J$4+$M$4*$J$5+[25]FormattedData!M18^2*$J$6+$M$5*$J$7</f>
        <v>30.778227474045494</v>
      </c>
      <c r="U15" s="6">
        <f>$J$3+[25]FormattedData!N18*$J$4+$M$4*$J$5+[25]FormattedData!N18^2*$J$6+$M$5*$J$7</f>
        <v>30.778227474045494</v>
      </c>
      <c r="V15" s="6">
        <f>$J$3+[25]FormattedData!O18*$J$4+$M$4*$J$5+[25]FormattedData!O18^2*$J$6+$M$5*$J$7</f>
        <v>31.359490837794787</v>
      </c>
      <c r="W15" s="5">
        <f t="shared" si="0"/>
        <v>30.995308312587682</v>
      </c>
      <c r="X15" s="4">
        <f t="shared" si="1"/>
        <v>0.20794905280993681</v>
      </c>
      <c r="Y15" s="3">
        <f t="shared" si="2"/>
        <v>29.611135744450333</v>
      </c>
      <c r="Z15" s="2">
        <f t="shared" si="3"/>
        <v>30.656935447943123</v>
      </c>
      <c r="AA15" s="3">
        <f t="shared" si="4"/>
        <v>30.826718923363682</v>
      </c>
      <c r="AB15" s="2">
        <f t="shared" si="5"/>
        <v>31.28691217083475</v>
      </c>
      <c r="AC15" s="2">
        <f t="shared" si="6"/>
        <v>32.42118822970528</v>
      </c>
      <c r="AD15" s="2">
        <f t="shared" si="7"/>
        <v>0.26453228084439884</v>
      </c>
      <c r="AE15" s="2">
        <f t="shared" si="8"/>
        <v>1.0763174687264518</v>
      </c>
    </row>
    <row r="16" spans="1:35" x14ac:dyDescent="0.2">
      <c r="B16" s="1">
        <f>[25]FormattedData!A16</f>
        <v>107</v>
      </c>
      <c r="C16" s="1" t="str">
        <f>VLOOKUP($B16,[25]TrtCodes!$B$11:I59,2)</f>
        <v>NTL</v>
      </c>
      <c r="D16" s="1">
        <f>VLOOKUP($B16,[25]TrtCodes!$B$11:J59,3)</f>
        <v>10</v>
      </c>
      <c r="E16" s="1">
        <f>VLOOKUP($B16,[25]TrtCodes!$B$11:K59,4)</f>
        <v>2</v>
      </c>
      <c r="F16" s="1">
        <f>VLOOKUP($B16,[25]TrtCodes!$B$11:L59,5)</f>
        <v>2</v>
      </c>
      <c r="G16" s="1">
        <f>VLOOKUP($B16,[25]TrtCodes!$B$11:M59,6)</f>
        <v>1</v>
      </c>
      <c r="H16" s="1">
        <f>VLOOKUP($B16,[25]TrtCodes!$B$11:N59,7)</f>
        <v>2</v>
      </c>
      <c r="I16" s="1">
        <f>[25]FormattedData!B16</f>
        <v>1</v>
      </c>
      <c r="J16" s="4">
        <f>[25]FormattedData!C16</f>
        <v>13.105</v>
      </c>
      <c r="K16" s="6">
        <f>$J$3+[25]FormattedData!D16*$J$4+$M$4*$J$5+[25]FormattedData!D16^2*$J$6+$M$5*$J$7</f>
        <v>33.477771128526101</v>
      </c>
      <c r="L16" s="6">
        <f>$J$3+[25]FormattedData!E16*$J$4+$M$4*$J$5+[25]FormattedData!E16^2*$J$6+$M$5*$J$7</f>
        <v>33.477771128526101</v>
      </c>
      <c r="M16" s="6">
        <f>$J$3+[25]FormattedData!F16*$J$4+$M$4*$J$5+[25]FormattedData!F16^2*$J$6+$M$5*$J$7</f>
        <v>32.613674628150449</v>
      </c>
      <c r="N16" s="6">
        <f>$J$3+[25]FormattedData!G16*$J$4+$M$4*$J$5+[25]FormattedData!G16^2*$J$6+$M$5*$J$7</f>
        <v>33.286045563763693</v>
      </c>
      <c r="O16" s="6">
        <f>$J$3+[25]FormattedData!H16*$J$4+$M$4*$J$5+[25]FormattedData!H16^2*$J$6+$M$5*$J$7</f>
        <v>32.805991952443883</v>
      </c>
      <c r="P16" s="6">
        <f>$J$3+[25]FormattedData!I16*$J$4+$M$4*$J$5+[25]FormattedData!I16^2*$J$6+$M$5*$J$7</f>
        <v>31.165905457363412</v>
      </c>
      <c r="Q16" s="6">
        <f>$J$3+[25]FormattedData!J16*$J$4+$M$4*$J$5+[25]FormattedData!J16^2*$J$6+$M$5*$J$7</f>
        <v>30.681202306871182</v>
      </c>
      <c r="R16" s="6">
        <f>$J$3+[25]FormattedData!K16*$J$4+$M$4*$J$5+[25]FormattedData!K16^2*$J$6+$M$5*$J$7</f>
        <v>31.649551894407374</v>
      </c>
      <c r="S16" s="6">
        <f>$J$3+[25]FormattedData!L16*$J$4+$M$4*$J$5+[25]FormattedData!L16^2*$J$6+$M$5*$J$7</f>
        <v>32.035708210359779</v>
      </c>
      <c r="T16" s="6">
        <f>$J$3+[25]FormattedData!M16*$J$4+$M$4*$J$5+[25]FormattedData!M16^2*$J$6+$M$5*$J$7</f>
        <v>31.456220125203586</v>
      </c>
      <c r="U16" s="6">
        <f>$J$3+[25]FormattedData!N16*$J$4+$M$4*$J$5+[25]FormattedData!N16^2*$J$6+$M$5*$J$7</f>
        <v>31.359490837794787</v>
      </c>
      <c r="V16" s="6">
        <f>$J$3+[25]FormattedData!O16*$J$4+$M$4*$J$5+[25]FormattedData!O16^2*$J$6+$M$5*$J$7</f>
        <v>30.972151002780318</v>
      </c>
      <c r="W16" s="5">
        <f t="shared" si="0"/>
        <v>32.081790353015883</v>
      </c>
      <c r="X16" s="4">
        <f t="shared" si="1"/>
        <v>0.29244170561057514</v>
      </c>
      <c r="Y16" s="3">
        <f t="shared" si="2"/>
        <v>30.681202306871182</v>
      </c>
      <c r="Z16" s="2">
        <f t="shared" si="3"/>
        <v>31.311094492686944</v>
      </c>
      <c r="AA16" s="3">
        <f t="shared" si="4"/>
        <v>31.842630052383576</v>
      </c>
      <c r="AB16" s="2">
        <f t="shared" si="5"/>
        <v>32.926005355273837</v>
      </c>
      <c r="AC16" s="2">
        <f t="shared" si="6"/>
        <v>33.477771128526101</v>
      </c>
      <c r="AD16" s="2">
        <f t="shared" si="7"/>
        <v>0.22382226213824741</v>
      </c>
      <c r="AE16" s="2">
        <f t="shared" si="8"/>
        <v>-1.5524965555221835</v>
      </c>
    </row>
    <row r="17" spans="2:31" x14ac:dyDescent="0.2">
      <c r="B17" s="1">
        <f>[25]FormattedData!A14</f>
        <v>108</v>
      </c>
      <c r="C17" s="1" t="str">
        <f>VLOOKUP($B17,[25]TrtCodes!$B$11:I57,2)</f>
        <v>FTH</v>
      </c>
      <c r="D17" s="1">
        <f>VLOOKUP($B17,[25]TrtCodes!$B$11:J57,3)</f>
        <v>3</v>
      </c>
      <c r="E17" s="1">
        <f>VLOOKUP($B17,[25]TrtCodes!$B$11:K57,4)</f>
        <v>1</v>
      </c>
      <c r="F17" s="1">
        <f>VLOOKUP($B17,[25]TrtCodes!$B$11:L57,5)</f>
        <v>2</v>
      </c>
      <c r="G17" s="1">
        <f>VLOOKUP($B17,[25]TrtCodes!$B$11:M57,6)</f>
        <v>2</v>
      </c>
      <c r="H17" s="1">
        <f>VLOOKUP($B17,[25]TrtCodes!$B$11:N57,7)</f>
        <v>2</v>
      </c>
      <c r="I17" s="1">
        <f>[25]FormattedData!B14</f>
        <v>1</v>
      </c>
      <c r="J17" s="4">
        <f>[25]FormattedData!C14</f>
        <v>13.087</v>
      </c>
      <c r="K17" s="6">
        <f>$J$3+[25]FormattedData!D14*$J$4+$M$4*$J$5+[25]FormattedData!D14^2*$J$6+$M$5*$J$7</f>
        <v>33.286045563763693</v>
      </c>
      <c r="L17" s="6">
        <f>$J$3+[25]FormattedData!E14*$J$4+$M$4*$J$5+[25]FormattedData!E14^2*$J$6+$M$5*$J$7</f>
        <v>33.381929480413859</v>
      </c>
      <c r="M17" s="6">
        <f>$J$3+[25]FormattedData!F14*$J$4+$M$4*$J$5+[25]FormattedData!F14^2*$J$6+$M$5*$J$7</f>
        <v>32.517452563196834</v>
      </c>
      <c r="N17" s="6">
        <f>$J$3+[25]FormattedData!G14*$J$4+$M$4*$J$5+[25]FormattedData!G14^2*$J$6+$M$5*$J$7</f>
        <v>32.42118822970528</v>
      </c>
      <c r="O17" s="6">
        <f>$J$3+[25]FormattedData!H14*$J$4+$M$4*$J$5+[25]FormattedData!H14^2*$J$6+$M$5*$J$7</f>
        <v>31.649551894407374</v>
      </c>
      <c r="P17" s="6">
        <f>$J$3+[25]FormattedData!I14*$J$4+$M$4*$J$5+[25]FormattedData!I14^2*$J$6+$M$5*$J$7</f>
        <v>32.902087211783709</v>
      </c>
      <c r="Q17" s="6">
        <f>$J$3+[25]FormattedData!J14*$J$4+$M$4*$J$5+[25]FormattedData!J14^2*$J$6+$M$5*$J$7</f>
        <v>31.649551894407374</v>
      </c>
      <c r="R17" s="6">
        <f>$J$3+[25]FormattedData!K14*$J$4+$M$4*$J$5+[25]FormattedData!K14^2*$J$6+$M$5*$J$7</f>
        <v>31.649551894407374</v>
      </c>
      <c r="S17" s="6">
        <f>$J$3+[25]FormattedData!L14*$J$4+$M$4*$J$5+[25]FormattedData!L14^2*$J$6+$M$5*$J$7</f>
        <v>31.842714589459433</v>
      </c>
      <c r="T17" s="6">
        <f>$J$3+[25]FormattedData!M14*$J$4+$M$4*$J$5+[25]FormattedData!M14^2*$J$6+$M$5*$J$7</f>
        <v>32.517452563196834</v>
      </c>
      <c r="U17" s="6">
        <f>$J$3+[25]FormattedData!N14*$J$4+$M$4*$J$5+[25]FormattedData!N14^2*$J$6+$M$5*$J$7</f>
        <v>31.842714589459433</v>
      </c>
      <c r="V17" s="6">
        <f>$J$3+[25]FormattedData!O14*$J$4+$M$4*$J$5+[25]FormattedData!O14^2*$J$6+$M$5*$J$7</f>
        <v>32.517452563196834</v>
      </c>
      <c r="W17" s="5">
        <f t="shared" si="0"/>
        <v>32.348141086449836</v>
      </c>
      <c r="X17" s="4">
        <f t="shared" si="1"/>
        <v>0.18093961492469168</v>
      </c>
      <c r="Y17" s="3">
        <f t="shared" si="2"/>
        <v>31.649551894407374</v>
      </c>
      <c r="Z17" s="2">
        <f t="shared" si="3"/>
        <v>31.79442391569642</v>
      </c>
      <c r="AA17" s="3">
        <f t="shared" si="4"/>
        <v>32.469320396451053</v>
      </c>
      <c r="AB17" s="2">
        <f t="shared" si="5"/>
        <v>32.613611225343554</v>
      </c>
      <c r="AC17" s="2">
        <f t="shared" si="6"/>
        <v>33.381929480413859</v>
      </c>
      <c r="AD17" s="2">
        <f t="shared" si="7"/>
        <v>0.36937618546522943</v>
      </c>
      <c r="AE17" s="2">
        <f t="shared" si="8"/>
        <v>-1.1158976200539765</v>
      </c>
    </row>
    <row r="18" spans="2:31" x14ac:dyDescent="0.2">
      <c r="B18" s="1">
        <f>[25]FormattedData!A30</f>
        <v>201</v>
      </c>
      <c r="C18" s="1" t="str">
        <f>VLOOKUP($B18,[25]TrtCodes!$B$11:I73,2)</f>
        <v>NDL</v>
      </c>
      <c r="D18" s="1">
        <f>VLOOKUP($B18,[25]TrtCodes!$B$11:J73,3)</f>
        <v>12</v>
      </c>
      <c r="E18" s="1">
        <f>VLOOKUP($B18,[25]TrtCodes!$B$11:K73,4)</f>
        <v>2</v>
      </c>
      <c r="F18" s="1">
        <f>VLOOKUP($B18,[25]TrtCodes!$B$11:L73,5)</f>
        <v>3</v>
      </c>
      <c r="G18" s="1">
        <f>VLOOKUP($B18,[25]TrtCodes!$B$11:M73,6)</f>
        <v>1</v>
      </c>
      <c r="H18" s="1">
        <f>VLOOKUP($B18,[25]TrtCodes!$B$11:N73,7)</f>
        <v>1</v>
      </c>
      <c r="I18" s="1">
        <f>[25]FormattedData!B30</f>
        <v>1</v>
      </c>
      <c r="J18" s="4">
        <f>[25]FormattedData!C30</f>
        <v>13.233000000000001</v>
      </c>
      <c r="K18" s="6">
        <f>$J$3+[25]FormattedData!D30*$J$4+$M$4*$J$5+[25]FormattedData!D30^2*$J$6+$M$5*$J$7</f>
        <v>29.416028696653434</v>
      </c>
      <c r="L18" s="6">
        <f>$J$3+[25]FormattedData!E30*$J$4+$M$4*$J$5+[25]FormattedData!E30^2*$J$6+$M$5*$J$7</f>
        <v>31.359490837794787</v>
      </c>
      <c r="M18" s="6">
        <f>$J$3+[25]FormattedData!F30*$J$4+$M$4*$J$5+[25]FormattedData!F30^2*$J$6+$M$5*$J$7</f>
        <v>31.069049364340831</v>
      </c>
      <c r="N18" s="6">
        <f>$J$3+[25]FormattedData!G30*$J$4+$M$4*$J$5+[25]FormattedData!G30^2*$J$6+$M$5*$J$7</f>
        <v>32.22853275710839</v>
      </c>
      <c r="O18" s="6">
        <f>$J$3+[25]FormattedData!H30*$J$4+$M$4*$J$5+[25]FormattedData!H30^2*$J$6+$M$5*$J$7</f>
        <v>30.584134871158945</v>
      </c>
      <c r="P18" s="6">
        <f>$J$3+[25]FormattedData!I30*$J$4+$M$4*$J$5+[25]FormattedData!I30^2*$J$6+$M$5*$J$7</f>
        <v>30.487025166908776</v>
      </c>
      <c r="Q18" s="6">
        <f>$J$3+[25]FormattedData!J30*$J$4+$M$4*$J$5+[25]FormattedData!J30^2*$J$6+$M$5*$J$7</f>
        <v>30.87521037268187</v>
      </c>
      <c r="R18" s="6">
        <f>$J$3+[25]FormattedData!K30*$J$4+$M$4*$J$5+[25]FormattedData!K30^2*$J$6+$M$5*$J$7</f>
        <v>32.22853275710839</v>
      </c>
      <c r="S18" s="6">
        <f>$J$3+[25]FormattedData!L30*$J$4+$M$4*$J$5+[25]FormattedData!L30^2*$J$6+$M$5*$J$7</f>
        <v>31.939232534178572</v>
      </c>
      <c r="T18" s="6">
        <f>$J$3+[25]FormattedData!M30*$J$4+$M$4*$J$5+[25]FormattedData!M30^2*$J$6+$M$5*$J$7</f>
        <v>31.359490837794787</v>
      </c>
      <c r="U18" s="6">
        <f>$J$3+[25]FormattedData!N30*$J$4+$M$4*$J$5+[25]FormattedData!N30^2*$J$6+$M$5*$J$7</f>
        <v>31.359490837794787</v>
      </c>
      <c r="V18" s="6">
        <f>$J$3+[25]FormattedData!O30*$J$4+$M$4*$J$5+[25]FormattedData!O30^2*$J$6+$M$5*$J$7</f>
        <v>31.552907144074442</v>
      </c>
      <c r="W18" s="5">
        <f t="shared" si="0"/>
        <v>31.204927181466498</v>
      </c>
      <c r="X18" s="4">
        <f t="shared" si="1"/>
        <v>0.23119585467889017</v>
      </c>
      <c r="Y18" s="3">
        <f t="shared" si="2"/>
        <v>29.416028696653434</v>
      </c>
      <c r="Z18" s="2">
        <f t="shared" si="3"/>
        <v>30.802441497301139</v>
      </c>
      <c r="AA18" s="3">
        <f t="shared" si="4"/>
        <v>31.359490837794787</v>
      </c>
      <c r="AB18" s="2">
        <f t="shared" si="5"/>
        <v>31.649488491600476</v>
      </c>
      <c r="AC18" s="2">
        <f t="shared" si="6"/>
        <v>32.22853275710839</v>
      </c>
      <c r="AD18" s="2">
        <f t="shared" si="7"/>
        <v>-0.80234354243899131</v>
      </c>
      <c r="AE18" s="2">
        <f t="shared" si="8"/>
        <v>1.0108932518093354</v>
      </c>
    </row>
    <row r="19" spans="2:31" x14ac:dyDescent="0.2">
      <c r="B19" s="1">
        <f>[25]FormattedData!A32</f>
        <v>202</v>
      </c>
      <c r="C19" s="1" t="str">
        <f>VLOOKUP($B19,[25]TrtCodes!$B$11:I75,2)</f>
        <v>NTH</v>
      </c>
      <c r="D19" s="1">
        <f>VLOOKUP($B19,[25]TrtCodes!$B$11:J75,3)</f>
        <v>9</v>
      </c>
      <c r="E19" s="1">
        <f>VLOOKUP($B19,[25]TrtCodes!$B$11:K75,4)</f>
        <v>2</v>
      </c>
      <c r="F19" s="1">
        <f>VLOOKUP($B19,[25]TrtCodes!$B$11:L75,5)</f>
        <v>2</v>
      </c>
      <c r="G19" s="1">
        <f>VLOOKUP($B19,[25]TrtCodes!$B$11:M75,6)</f>
        <v>2</v>
      </c>
      <c r="H19" s="1">
        <f>VLOOKUP($B19,[25]TrtCodes!$B$11:N75,7)</f>
        <v>1</v>
      </c>
      <c r="I19" s="1">
        <f>[25]FormattedData!B32</f>
        <v>1</v>
      </c>
      <c r="J19" s="4">
        <f>[25]FormattedData!C32</f>
        <v>13.25</v>
      </c>
      <c r="K19" s="6">
        <f>$J$3+[25]FormattedData!D32*$J$4+$M$4*$J$5+[25]FormattedData!D32^2*$J$6+$M$5*$J$7</f>
        <v>31.359490837794787</v>
      </c>
      <c r="L19" s="6">
        <f>$J$3+[25]FormattedData!E32*$J$4+$M$4*$J$5+[25]FormattedData!E32^2*$J$6+$M$5*$J$7</f>
        <v>30.681202306871182</v>
      </c>
      <c r="M19" s="6">
        <f>$J$3+[25]FormattedData!F32*$J$4+$M$4*$J$5+[25]FormattedData!F32^2*$J$6+$M$5*$J$7</f>
        <v>30.584134871158945</v>
      </c>
      <c r="N19" s="6">
        <f>$J$3+[25]FormattedData!G32*$J$4+$M$4*$J$5+[25]FormattedData!G32^2*$J$6+$M$5*$J$7</f>
        <v>31.165905457363412</v>
      </c>
      <c r="O19" s="6">
        <f>$J$3+[25]FormattedData!H32*$J$4+$M$4*$J$5+[25]FormattedData!H32^2*$J$6+$M$5*$J$7</f>
        <v>30.87521037268187</v>
      </c>
      <c r="P19" s="6">
        <f>$J$3+[25]FormattedData!I32*$J$4+$M$4*$J$5+[25]FormattedData!I32^2*$J$6+$M$5*$J$7</f>
        <v>30.584134871158945</v>
      </c>
      <c r="Q19" s="6">
        <f>$J$3+[25]FormattedData!J32*$J$4+$M$4*$J$5+[25]FormattedData!J32^2*$J$6+$M$5*$J$7</f>
        <v>29.806073718095504</v>
      </c>
      <c r="R19" s="6">
        <f>$J$3+[25]FormattedData!K32*$J$4+$M$4*$J$5+[25]FormattedData!K32^2*$J$6+$M$5*$J$7</f>
        <v>29.806073718095504</v>
      </c>
      <c r="S19" s="6">
        <f>$J$3+[25]FormattedData!L32*$J$4+$M$4*$J$5+[25]FormattedData!L32^2*$J$6+$M$5*$J$7</f>
        <v>30.19544244293067</v>
      </c>
      <c r="T19" s="6">
        <f>$J$3+[25]FormattedData!M32*$J$4+$M$4*$J$5+[25]FormattedData!M32^2*$J$6+$M$5*$J$7</f>
        <v>29.806073718095504</v>
      </c>
      <c r="U19" s="6">
        <f>$J$3+[25]FormattedData!N32*$J$4+$M$4*$J$5+[25]FormattedData!N32^2*$J$6+$M$5*$J$7</f>
        <v>29.318411769948092</v>
      </c>
      <c r="V19" s="6">
        <f>$J$3+[25]FormattedData!O32*$J$4+$M$4*$J$5+[25]FormattedData!O32^2*$J$6+$M$5*$J$7</f>
        <v>30.487025166908776</v>
      </c>
      <c r="W19" s="5">
        <f t="shared" si="0"/>
        <v>30.38909827092526</v>
      </c>
      <c r="X19" s="4">
        <f t="shared" si="1"/>
        <v>0.17744000609134869</v>
      </c>
      <c r="Y19" s="3">
        <f t="shared" si="2"/>
        <v>29.318411769948092</v>
      </c>
      <c r="Z19" s="2">
        <f t="shared" si="3"/>
        <v>29.806073718095504</v>
      </c>
      <c r="AA19" s="3">
        <f t="shared" si="4"/>
        <v>30.535580019033858</v>
      </c>
      <c r="AB19" s="2">
        <f t="shared" si="5"/>
        <v>30.729704323323855</v>
      </c>
      <c r="AC19" s="2">
        <f t="shared" si="6"/>
        <v>31.359490837794787</v>
      </c>
      <c r="AD19" s="2">
        <f t="shared" si="7"/>
        <v>-0.13674487395283638</v>
      </c>
      <c r="AE19" s="2">
        <f t="shared" si="8"/>
        <v>-0.744704737921142</v>
      </c>
    </row>
    <row r="20" spans="2:31" x14ac:dyDescent="0.2">
      <c r="B20" s="1">
        <f>[25]FormattedData!A34</f>
        <v>203</v>
      </c>
      <c r="C20" s="1" t="str">
        <f>VLOOKUP($B20,[25]TrtCodes!$B$11:I77,2)</f>
        <v>FTH</v>
      </c>
      <c r="D20" s="1">
        <f>VLOOKUP($B20,[25]TrtCodes!$B$11:J77,3)</f>
        <v>3</v>
      </c>
      <c r="E20" s="1">
        <f>VLOOKUP($B20,[25]TrtCodes!$B$11:K77,4)</f>
        <v>1</v>
      </c>
      <c r="F20" s="1">
        <f>VLOOKUP($B20,[25]TrtCodes!$B$11:L77,5)</f>
        <v>2</v>
      </c>
      <c r="G20" s="1">
        <f>VLOOKUP($B20,[25]TrtCodes!$B$11:M77,6)</f>
        <v>2</v>
      </c>
      <c r="H20" s="1">
        <f>VLOOKUP($B20,[25]TrtCodes!$B$11:N77,7)</f>
        <v>1</v>
      </c>
      <c r="I20" s="1">
        <f>[25]FormattedData!B34</f>
        <v>1</v>
      </c>
      <c r="J20" s="4">
        <f>[25]FormattedData!C34</f>
        <v>13.266999999999999</v>
      </c>
      <c r="K20" s="6">
        <f>$J$3+[25]FormattedData!D34*$J$4+$M$4*$J$5+[25]FormattedData!D34^2*$J$6+$M$5*$J$7</f>
        <v>29.416028696653434</v>
      </c>
      <c r="L20" s="6">
        <f>$J$3+[25]FormattedData!E34*$J$4+$M$4*$J$5+[25]FormattedData!E34^2*$J$6+$M$5*$J$7</f>
        <v>30.292678952794638</v>
      </c>
      <c r="M20" s="6">
        <f>$J$3+[25]FormattedData!F34*$J$4+$M$4*$J$5+[25]FormattedData!F34^2*$J$6+$M$5*$J$7</f>
        <v>28.829693108352398</v>
      </c>
      <c r="N20" s="6">
        <f>$J$3+[25]FormattedData!G34*$J$4+$M$4*$J$5+[25]FormattedData!G34^2*$J$6+$M$5*$J$7</f>
        <v>29.123051110923608</v>
      </c>
      <c r="O20" s="6">
        <f>$J$3+[25]FormattedData!H34*$J$4+$M$4*$J$5+[25]FormattedData!H34^2*$J$6+$M$5*$J$7</f>
        <v>29.611135744450333</v>
      </c>
      <c r="P20" s="6">
        <f>$J$3+[25]FormattedData!I34*$J$4+$M$4*$J$5+[25]FormattedData!I34^2*$J$6+$M$5*$J$7</f>
        <v>29.318411769948092</v>
      </c>
      <c r="Q20" s="6">
        <f>$J$3+[25]FormattedData!J34*$J$4+$M$4*$J$5+[25]FormattedData!J34^2*$J$6+$M$5*$J$7</f>
        <v>29.220752574704814</v>
      </c>
      <c r="R20" s="6">
        <f>$J$3+[25]FormattedData!K34*$J$4+$M$4*$J$5+[25]FormattedData!K34^2*$J$6+$M$5*$J$7</f>
        <v>29.806073718095504</v>
      </c>
      <c r="S20" s="6">
        <f>$J$3+[25]FormattedData!L34*$J$4+$M$4*$J$5+[25]FormattedData!L34^2*$J$6+$M$5*$J$7</f>
        <v>29.90347930211119</v>
      </c>
      <c r="T20" s="6">
        <f>$J$3+[25]FormattedData!M34*$J$4+$M$4*$J$5+[25]FormattedData!M34^2*$J$6+$M$5*$J$7</f>
        <v>29.123051110923608</v>
      </c>
      <c r="U20" s="6">
        <f>$J$3+[25]FormattedData!N34*$J$4+$M$4*$J$5+[25]FormattedData!N34^2*$J$6+$M$5*$J$7</f>
        <v>29.611135744450333</v>
      </c>
      <c r="V20" s="6">
        <f>$J$3+[25]FormattedData!O34*$J$4+$M$4*$J$5+[25]FormattedData!O34^2*$J$6+$M$5*$J$7</f>
        <v>29.123051110923608</v>
      </c>
      <c r="W20" s="5">
        <f t="shared" si="0"/>
        <v>29.448211912027627</v>
      </c>
      <c r="X20" s="4">
        <f t="shared" si="1"/>
        <v>0.11905315016878665</v>
      </c>
      <c r="Y20" s="3">
        <f t="shared" si="2"/>
        <v>28.829693108352398</v>
      </c>
      <c r="Z20" s="2">
        <f t="shared" si="3"/>
        <v>29.123051110923608</v>
      </c>
      <c r="AA20" s="3">
        <f t="shared" si="4"/>
        <v>29.367220233300763</v>
      </c>
      <c r="AB20" s="2">
        <f t="shared" si="5"/>
        <v>29.659870237861625</v>
      </c>
      <c r="AC20" s="2">
        <f t="shared" si="6"/>
        <v>30.292678952794638</v>
      </c>
      <c r="AD20" s="2">
        <f t="shared" si="7"/>
        <v>0.61789509159268841</v>
      </c>
      <c r="AE20" s="2">
        <f t="shared" si="8"/>
        <v>6.3798509488179889E-2</v>
      </c>
    </row>
    <row r="21" spans="2:31" x14ac:dyDescent="0.2">
      <c r="B21" s="1">
        <f>[25]FormattedData!A36</f>
        <v>204</v>
      </c>
      <c r="C21" s="1" t="str">
        <f>VLOOKUP($B21,[25]TrtCodes!$B$11:I79,2)</f>
        <v>NDH</v>
      </c>
      <c r="D21" s="1">
        <f>VLOOKUP($B21,[25]TrtCodes!$B$11:J79,3)</f>
        <v>11</v>
      </c>
      <c r="E21" s="1">
        <f>VLOOKUP($B21,[25]TrtCodes!$B$11:K79,4)</f>
        <v>2</v>
      </c>
      <c r="F21" s="1">
        <f>VLOOKUP($B21,[25]TrtCodes!$B$11:L79,5)</f>
        <v>3</v>
      </c>
      <c r="G21" s="1">
        <f>VLOOKUP($B21,[25]TrtCodes!$B$11:M79,6)</f>
        <v>2</v>
      </c>
      <c r="H21" s="1">
        <f>VLOOKUP($B21,[25]TrtCodes!$B$11:N79,7)</f>
        <v>1</v>
      </c>
      <c r="I21" s="1">
        <f>[25]FormattedData!B36</f>
        <v>1</v>
      </c>
      <c r="J21" s="4">
        <f>[25]FormattedData!C36</f>
        <v>13.285</v>
      </c>
      <c r="K21" s="6">
        <f>$J$3+[25]FormattedData!D36*$J$4+$M$4*$J$5+[25]FormattedData!D36^2*$J$6+$M$5*$J$7</f>
        <v>30.000842617588955</v>
      </c>
      <c r="L21" s="6">
        <f>$J$3+[25]FormattedData!E36*$J$4+$M$4*$J$5+[25]FormattedData!E36^2*$J$6+$M$5*$J$7</f>
        <v>28.829693108352398</v>
      </c>
      <c r="M21" s="6">
        <f>$J$3+[25]FormattedData!F36*$J$4+$M$4*$J$5+[25]FormattedData!F36^2*$J$6+$M$5*$J$7</f>
        <v>29.318411769948092</v>
      </c>
      <c r="N21" s="6">
        <f>$J$3+[25]FormattedData!G36*$J$4+$M$4*$J$5+[25]FormattedData!G36^2*$J$6+$M$5*$J$7</f>
        <v>30.098163664528776</v>
      </c>
      <c r="O21" s="6">
        <f>$J$3+[25]FormattedData!H36*$J$4+$M$4*$J$5+[25]FormattedData!H36^2*$J$6+$M$5*$J$7</f>
        <v>29.416028696653434</v>
      </c>
      <c r="P21" s="6">
        <f>$J$3+[25]FormattedData!I36*$J$4+$M$4*$J$5+[25]FormattedData!I36^2*$J$6+$M$5*$J$7</f>
        <v>29.318411769948092</v>
      </c>
      <c r="Q21" s="6">
        <f>$J$3+[25]FormattedData!J36*$J$4+$M$4*$J$5+[25]FormattedData!J36^2*$J$6+$M$5*$J$7</f>
        <v>29.220752574704814</v>
      </c>
      <c r="R21" s="6">
        <f>$J$3+[25]FormattedData!K36*$J$4+$M$4*$J$5+[25]FormattedData!K36^2*$J$6+$M$5*$J$7</f>
        <v>29.513603354820848</v>
      </c>
      <c r="S21" s="6">
        <f>$J$3+[25]FormattedData!L36*$J$4+$M$4*$J$5+[25]FormattedData!L36^2*$J$6+$M$5*$J$7</f>
        <v>29.70862586554188</v>
      </c>
      <c r="T21" s="6">
        <f>$J$3+[25]FormattedData!M36*$J$4+$M$4*$J$5+[25]FormattedData!M36^2*$J$6+$M$5*$J$7</f>
        <v>30.19544244293067</v>
      </c>
      <c r="U21" s="6">
        <f>$J$3+[25]FormattedData!N36*$J$4+$M$4*$J$5+[25]FormattedData!N36^2*$J$6+$M$5*$J$7</f>
        <v>29.90347930211119</v>
      </c>
      <c r="V21" s="6">
        <f>$J$3+[25]FormattedData!O36*$J$4+$M$4*$J$5+[25]FormattedData!O36^2*$J$6+$M$5*$J$7</f>
        <v>29.318411769948092</v>
      </c>
      <c r="W21" s="5">
        <f t="shared" si="0"/>
        <v>29.570155578089771</v>
      </c>
      <c r="X21" s="4">
        <f t="shared" si="1"/>
        <v>0.11911897116283096</v>
      </c>
      <c r="Y21" s="3">
        <f t="shared" si="2"/>
        <v>28.829693108352398</v>
      </c>
      <c r="Z21" s="2">
        <f t="shared" si="3"/>
        <v>29.318411769948092</v>
      </c>
      <c r="AA21" s="3">
        <f t="shared" si="4"/>
        <v>29.464816025737143</v>
      </c>
      <c r="AB21" s="2">
        <f t="shared" si="5"/>
        <v>29.927820130980631</v>
      </c>
      <c r="AC21" s="2">
        <f t="shared" si="6"/>
        <v>30.19544244293067</v>
      </c>
      <c r="AD21" s="2">
        <f t="shared" si="7"/>
        <v>1.6945838200399955E-2</v>
      </c>
      <c r="AE21" s="2">
        <f t="shared" si="8"/>
        <v>-0.74047670058962156</v>
      </c>
    </row>
    <row r="22" spans="2:31" x14ac:dyDescent="0.2">
      <c r="B22" s="1">
        <f>[25]FormattedData!A38</f>
        <v>205</v>
      </c>
      <c r="C22" s="1" t="str">
        <f>VLOOKUP($B22,[25]TrtCodes!$B$11:I81,2)</f>
        <v>FSH</v>
      </c>
      <c r="D22" s="1">
        <f>VLOOKUP($B22,[25]TrtCodes!$B$11:J81,3)</f>
        <v>1</v>
      </c>
      <c r="E22" s="1">
        <f>VLOOKUP($B22,[25]TrtCodes!$B$11:K81,4)</f>
        <v>1</v>
      </c>
      <c r="F22" s="1">
        <f>VLOOKUP($B22,[25]TrtCodes!$B$11:L81,5)</f>
        <v>1</v>
      </c>
      <c r="G22" s="1">
        <f>VLOOKUP($B22,[25]TrtCodes!$B$11:M81,6)</f>
        <v>2</v>
      </c>
      <c r="H22" s="1">
        <f>VLOOKUP($B22,[25]TrtCodes!$B$11:N81,7)</f>
        <v>2</v>
      </c>
      <c r="I22" s="1">
        <f>[25]FormattedData!B38</f>
        <v>1</v>
      </c>
      <c r="J22" s="4">
        <f>[25]FormattedData!C38</f>
        <v>13.304</v>
      </c>
      <c r="K22" s="6">
        <f>$J$3+[25]FormattedData!D38*$J$4+$M$4*$J$5+[25]FormattedData!D38^2*$J$6+$M$5*$J$7</f>
        <v>29.416028696653434</v>
      </c>
      <c r="L22" s="6">
        <f>$J$3+[25]FormattedData!E38*$J$4+$M$4*$J$5+[25]FormattedData!E38^2*$J$6+$M$5*$J$7</f>
        <v>30.000842617588955</v>
      </c>
      <c r="M22" s="6">
        <f>$J$3+[25]FormattedData!F38*$J$4+$M$4*$J$5+[25]FormattedData!F38^2*$J$6+$M$5*$J$7</f>
        <v>30.000842617588955</v>
      </c>
      <c r="N22" s="6">
        <f>$J$3+[25]FormattedData!G38*$J$4+$M$4*$J$5+[25]FormattedData!G38^2*$J$6+$M$5*$J$7</f>
        <v>29.318411769948092</v>
      </c>
      <c r="O22" s="6">
        <f>$J$3+[25]FormattedData!H38*$J$4+$M$4*$J$5+[25]FormattedData!H38^2*$J$6+$M$5*$J$7</f>
        <v>29.513603354820848</v>
      </c>
      <c r="P22" s="6">
        <f>$J$3+[25]FormattedData!I38*$J$4+$M$4*$J$5+[25]FormattedData!I38^2*$J$6+$M$5*$J$7</f>
        <v>30.292678952794638</v>
      </c>
      <c r="Q22" s="6">
        <f>$J$3+[25]FormattedData!J38*$J$4+$M$4*$J$5+[25]FormattedData!J38^2*$J$6+$M$5*$J$7</f>
        <v>29.611135744450333</v>
      </c>
      <c r="R22" s="6">
        <f>$J$3+[25]FormattedData!K38*$J$4+$M$4*$J$5+[25]FormattedData!K38^2*$J$6+$M$5*$J$7</f>
        <v>30.098163664528776</v>
      </c>
      <c r="S22" s="6">
        <f>$J$3+[25]FormattedData!L38*$J$4+$M$4*$J$5+[25]FormattedData!L38^2*$J$6+$M$5*$J$7</f>
        <v>30.87521037268187</v>
      </c>
      <c r="T22" s="6">
        <f>$J$3+[25]FormattedData!M38*$J$4+$M$4*$J$5+[25]FormattedData!M38^2*$J$6+$M$5*$J$7</f>
        <v>30.487025166908776</v>
      </c>
      <c r="U22" s="6">
        <f>$J$3+[25]FormattedData!N38*$J$4+$M$4*$J$5+[25]FormattedData!N38^2*$J$6+$M$5*$J$7</f>
        <v>30.292678952794638</v>
      </c>
      <c r="V22" s="6">
        <f>$J$3+[25]FormattedData!O38*$J$4+$M$4*$J$5+[25]FormattedData!O38^2*$J$6+$M$5*$J$7</f>
        <v>29.416028696653434</v>
      </c>
      <c r="W22" s="5">
        <f t="shared" si="0"/>
        <v>29.943554217284397</v>
      </c>
      <c r="X22" s="4">
        <f t="shared" si="1"/>
        <v>0.14249713564829844</v>
      </c>
      <c r="Y22" s="3">
        <f t="shared" si="2"/>
        <v>29.318411769948092</v>
      </c>
      <c r="Z22" s="2">
        <f t="shared" si="3"/>
        <v>29.489209690278994</v>
      </c>
      <c r="AA22" s="3">
        <f t="shared" si="4"/>
        <v>30.000842617588955</v>
      </c>
      <c r="AB22" s="2">
        <f t="shared" si="5"/>
        <v>30.292678952794638</v>
      </c>
      <c r="AC22" s="2">
        <f t="shared" si="6"/>
        <v>30.87521037268187</v>
      </c>
      <c r="AD22" s="2">
        <f t="shared" si="7"/>
        <v>0.36663693732414226</v>
      </c>
      <c r="AE22" s="2">
        <f t="shared" si="8"/>
        <v>-0.78235214889434657</v>
      </c>
    </row>
    <row r="23" spans="2:31" x14ac:dyDescent="0.2">
      <c r="B23" s="1">
        <f>[25]FormattedData!A40</f>
        <v>206</v>
      </c>
      <c r="C23" s="1" t="str">
        <f>VLOOKUP($B23,[25]TrtCodes!$B$11:I83,2)</f>
        <v>NSL</v>
      </c>
      <c r="D23" s="1">
        <f>VLOOKUP($B23,[25]TrtCodes!$B$11:J83,3)</f>
        <v>8</v>
      </c>
      <c r="E23" s="1">
        <f>VLOOKUP($B23,[25]TrtCodes!$B$11:K83,4)</f>
        <v>2</v>
      </c>
      <c r="F23" s="1">
        <f>VLOOKUP($B23,[25]TrtCodes!$B$11:L83,5)</f>
        <v>1</v>
      </c>
      <c r="G23" s="1">
        <f>VLOOKUP($B23,[25]TrtCodes!$B$11:M83,6)</f>
        <v>1</v>
      </c>
      <c r="H23" s="1">
        <f>VLOOKUP($B23,[25]TrtCodes!$B$11:N83,7)</f>
        <v>2</v>
      </c>
      <c r="I23" s="1">
        <f>[25]FormattedData!B40</f>
        <v>1</v>
      </c>
      <c r="J23" s="4">
        <f>[25]FormattedData!C40</f>
        <v>13.32</v>
      </c>
      <c r="K23" s="6">
        <f>$J$3+[25]FormattedData!D40*$J$4+$M$4*$J$5+[25]FormattedData!D40^2*$J$6+$M$5*$J$7</f>
        <v>28.339917733308429</v>
      </c>
      <c r="L23" s="6">
        <f>$J$3+[25]FormattedData!E40*$J$4+$M$4*$J$5+[25]FormattedData!E40^2*$J$6+$M$5*$J$7</f>
        <v>29.220752574704814</v>
      </c>
      <c r="M23" s="6">
        <f>$J$3+[25]FormattedData!F40*$J$4+$M$4*$J$5+[25]FormattedData!F40^2*$J$6+$M$5*$J$7</f>
        <v>28.045545285826876</v>
      </c>
      <c r="N23" s="6">
        <f>$J$3+[25]FormattedData!G40*$J$4+$M$4*$J$5+[25]FormattedData!G40^2*$J$6+$M$5*$J$7</f>
        <v>30.000842617588955</v>
      </c>
      <c r="O23" s="6">
        <f>$J$3+[25]FormattedData!H40*$J$4+$M$4*$J$5+[25]FormattedData!H40^2*$J$6+$M$5*$J$7</f>
        <v>29.70862586554188</v>
      </c>
      <c r="P23" s="6">
        <f>$J$3+[25]FormattedData!I40*$J$4+$M$4*$J$5+[25]FormattedData!I40^2*$J$6+$M$5*$J$7</f>
        <v>31.359490837794787</v>
      </c>
      <c r="Q23" s="6">
        <f>$J$3+[25]FormattedData!J40*$J$4+$M$4*$J$5+[25]FormattedData!J40^2*$J$6+$M$5*$J$7</f>
        <v>30.778227474045494</v>
      </c>
      <c r="R23" s="6">
        <f>$J$3+[25]FormattedData!K40*$J$4+$M$4*$J$5+[25]FormattedData!K40^2*$J$6+$M$5*$J$7</f>
        <v>29.806073718095504</v>
      </c>
      <c r="S23" s="6">
        <f>$J$3+[25]FormattedData!L40*$J$4+$M$4*$J$5+[25]FormattedData!L40^2*$J$6+$M$5*$J$7</f>
        <v>28.829693108352398</v>
      </c>
      <c r="T23" s="6">
        <f>$J$3+[25]FormattedData!M40*$J$4+$M$4*$J$5+[25]FormattedData!M40^2*$J$6+$M$5*$J$7</f>
        <v>31.939232534178572</v>
      </c>
      <c r="U23" s="6">
        <f>$J$3+[25]FormattedData!N40*$J$4+$M$4*$J$5+[25]FormattedData!N40^2*$J$6+$M$5*$J$7</f>
        <v>30.681202306871182</v>
      </c>
      <c r="V23" s="6">
        <f>$J$3+[25]FormattedData!O40*$J$4+$M$4*$J$5+[25]FormattedData!O40^2*$J$6+$M$5*$J$7</f>
        <v>31.165905457363412</v>
      </c>
      <c r="W23" s="5">
        <f t="shared" si="0"/>
        <v>29.989625792806024</v>
      </c>
      <c r="X23" s="4">
        <f t="shared" si="1"/>
        <v>0.35581399337948649</v>
      </c>
      <c r="Y23" s="3">
        <f t="shared" si="2"/>
        <v>28.045545285826876</v>
      </c>
      <c r="Z23" s="2">
        <f t="shared" si="3"/>
        <v>29.12298770811671</v>
      </c>
      <c r="AA23" s="3">
        <f t="shared" si="4"/>
        <v>29.903458167842231</v>
      </c>
      <c r="AB23" s="2">
        <f t="shared" si="5"/>
        <v>30.875146969874972</v>
      </c>
      <c r="AC23" s="2">
        <f t="shared" si="6"/>
        <v>31.939232534178572</v>
      </c>
      <c r="AD23" s="2">
        <f t="shared" si="7"/>
        <v>-8.4536991423969407E-2</v>
      </c>
      <c r="AE23" s="2">
        <f t="shared" si="8"/>
        <v>-1.0050659540716276</v>
      </c>
    </row>
    <row r="24" spans="2:31" x14ac:dyDescent="0.2">
      <c r="B24" s="1">
        <f>[25]FormattedData!A42</f>
        <v>207</v>
      </c>
      <c r="C24" s="1" t="str">
        <f>VLOOKUP($B24,[25]TrtCodes!$B$11:I85,2)</f>
        <v>FTL</v>
      </c>
      <c r="D24" s="1">
        <f>VLOOKUP($B24,[25]TrtCodes!$B$11:J85,3)</f>
        <v>4</v>
      </c>
      <c r="E24" s="1">
        <f>VLOOKUP($B24,[25]TrtCodes!$B$11:K85,4)</f>
        <v>1</v>
      </c>
      <c r="F24" s="1">
        <f>VLOOKUP($B24,[25]TrtCodes!$B$11:L85,5)</f>
        <v>2</v>
      </c>
      <c r="G24" s="1">
        <f>VLOOKUP($B24,[25]TrtCodes!$B$11:M85,6)</f>
        <v>1</v>
      </c>
      <c r="H24" s="1">
        <f>VLOOKUP($B24,[25]TrtCodes!$B$11:N85,7)</f>
        <v>2</v>
      </c>
      <c r="I24" s="1">
        <f>[25]FormattedData!B42</f>
        <v>1</v>
      </c>
      <c r="J24" s="4">
        <f>[25]FormattedData!C42</f>
        <v>13.337</v>
      </c>
      <c r="K24" s="6">
        <f>$J$3+[25]FormattedData!D42*$J$4+$M$4*$J$5+[25]FormattedData!D42^2*$J$6+$M$5*$J$7</f>
        <v>31.262719281848071</v>
      </c>
      <c r="L24" s="6">
        <f>$J$3+[25]FormattedData!E42*$J$4+$M$4*$J$5+[25]FormattedData!E42^2*$J$6+$M$5*$J$7</f>
        <v>32.324881627675794</v>
      </c>
      <c r="M24" s="6">
        <f>$J$3+[25]FormattedData!F42*$J$4+$M$4*$J$5+[25]FormattedData!F42^2*$J$6+$M$5*$J$7</f>
        <v>30.972151002780318</v>
      </c>
      <c r="N24" s="6">
        <f>$J$3+[25]FormattedData!G42*$J$4+$M$4*$J$5+[25]FormattedData!G42^2*$J$6+$M$5*$J$7</f>
        <v>31.649551894407374</v>
      </c>
      <c r="O24" s="6">
        <f>$J$3+[25]FormattedData!H42*$J$4+$M$4*$J$5+[25]FormattedData!H42^2*$J$6+$M$5*$J$7</f>
        <v>30.098163664528776</v>
      </c>
      <c r="P24" s="6">
        <f>$J$3+[25]FormattedData!I42*$J$4+$M$4*$J$5+[25]FormattedData!I42^2*$J$6+$M$5*$J$7</f>
        <v>32.42118822970528</v>
      </c>
      <c r="Q24" s="6">
        <f>$J$3+[25]FormattedData!J42*$J$4+$M$4*$J$5+[25]FormattedData!J42^2*$J$6+$M$5*$J$7</f>
        <v>29.70862586554188</v>
      </c>
      <c r="R24" s="6">
        <f>$J$3+[25]FormattedData!K42*$J$4+$M$4*$J$5+[25]FormattedData!K42^2*$J$6+$M$5*$J$7</f>
        <v>31.842714589459433</v>
      </c>
      <c r="S24" s="6">
        <f>$J$3+[25]FormattedData!L42*$J$4+$M$4*$J$5+[25]FormattedData!L42^2*$J$6+$M$5*$J$7</f>
        <v>30.584134871158945</v>
      </c>
      <c r="T24" s="6">
        <f>$J$3+[25]FormattedData!M42*$J$4+$M$4*$J$5+[25]FormattedData!M42^2*$J$6+$M$5*$J$7</f>
        <v>31.649551894407374</v>
      </c>
      <c r="U24" s="6">
        <f>$J$3+[25]FormattedData!N42*$J$4+$M$4*$J$5+[25]FormattedData!N42^2*$J$6+$M$5*$J$7</f>
        <v>31.842714589459433</v>
      </c>
      <c r="V24" s="6">
        <f>$J$3+[25]FormattedData!O42*$J$4+$M$4*$J$5+[25]FormattedData!O42^2*$J$6+$M$5*$J$7</f>
        <v>32.42118822970528</v>
      </c>
      <c r="W24" s="5">
        <f t="shared" si="0"/>
        <v>31.398132145056497</v>
      </c>
      <c r="X24" s="4">
        <f t="shared" si="1"/>
        <v>0.2593789296390685</v>
      </c>
      <c r="Y24" s="3">
        <f t="shared" si="2"/>
        <v>29.70862586554188</v>
      </c>
      <c r="Z24" s="2">
        <f t="shared" si="3"/>
        <v>30.875146969874976</v>
      </c>
      <c r="AA24" s="3">
        <f t="shared" si="4"/>
        <v>31.649551894407374</v>
      </c>
      <c r="AB24" s="2">
        <f t="shared" si="5"/>
        <v>31.963256349013523</v>
      </c>
      <c r="AC24" s="2">
        <f t="shared" si="6"/>
        <v>32.42118822970528</v>
      </c>
      <c r="AD24" s="2">
        <f t="shared" si="7"/>
        <v>-0.67576976160617619</v>
      </c>
      <c r="AE24" s="2">
        <f t="shared" si="8"/>
        <v>-0.53005766722994041</v>
      </c>
    </row>
    <row r="25" spans="2:31" x14ac:dyDescent="0.2">
      <c r="B25" s="1">
        <f>[25]FormattedData!A44</f>
        <v>208</v>
      </c>
      <c r="C25" s="1" t="str">
        <f>VLOOKUP($B25,[25]TrtCodes!$B$11:I87,2)</f>
        <v>FSL</v>
      </c>
      <c r="D25" s="1">
        <f>VLOOKUP($B25,[25]TrtCodes!$B$11:J87,3)</f>
        <v>2</v>
      </c>
      <c r="E25" s="1">
        <f>VLOOKUP($B25,[25]TrtCodes!$B$11:K87,4)</f>
        <v>1</v>
      </c>
      <c r="F25" s="1">
        <f>VLOOKUP($B25,[25]TrtCodes!$B$11:L87,5)</f>
        <v>1</v>
      </c>
      <c r="G25" s="1">
        <f>VLOOKUP($B25,[25]TrtCodes!$B$11:M87,6)</f>
        <v>1</v>
      </c>
      <c r="H25" s="1">
        <f>VLOOKUP($B25,[25]TrtCodes!$B$11:N87,7)</f>
        <v>2</v>
      </c>
      <c r="I25" s="1">
        <f>[25]FormattedData!B44</f>
        <v>1</v>
      </c>
      <c r="J25" s="4">
        <f>[25]FormattedData!C44</f>
        <v>13.353999999999999</v>
      </c>
      <c r="K25" s="6">
        <f>$J$3+[25]FormattedData!D44*$J$4+$M$4*$J$5+[25]FormattedData!D44^2*$J$6+$M$5*$J$7</f>
        <v>31.649551894407374</v>
      </c>
      <c r="L25" s="6">
        <f>$J$3+[25]FormattedData!E44*$J$4+$M$4*$J$5+[25]FormattedData!E44^2*$J$6+$M$5*$J$7</f>
        <v>31.069049364340831</v>
      </c>
      <c r="M25" s="6">
        <f>$J$3+[25]FormattedData!F44*$J$4+$M$4*$J$5+[25]FormattedData!F44^2*$J$6+$M$5*$J$7</f>
        <v>31.359490837794787</v>
      </c>
      <c r="N25" s="6">
        <f>$J$3+[25]FormattedData!G44*$J$4+$M$4*$J$5+[25]FormattedData!G44^2*$J$6+$M$5*$J$7</f>
        <v>32.132141618003047</v>
      </c>
      <c r="O25" s="6">
        <f>$J$3+[25]FormattedData!H44*$J$4+$M$4*$J$5+[25]FormattedData!H44^2*$J$6+$M$5*$J$7</f>
        <v>30.87521037268187</v>
      </c>
      <c r="P25" s="6">
        <f>$J$3+[25]FormattedData!I44*$J$4+$M$4*$J$5+[25]FormattedData!I44^2*$J$6+$M$5*$J$7</f>
        <v>31.939232534178572</v>
      </c>
      <c r="Q25" s="6">
        <f>$J$3+[25]FormattedData!J44*$J$4+$M$4*$J$5+[25]FormattedData!J44^2*$J$6+$M$5*$J$7</f>
        <v>31.165905457363412</v>
      </c>
      <c r="R25" s="6">
        <f>$J$3+[25]FormattedData!K44*$J$4+$M$4*$J$5+[25]FormattedData!K44^2*$J$6+$M$5*$J$7</f>
        <v>31.165905457363412</v>
      </c>
      <c r="S25" s="6">
        <f>$J$3+[25]FormattedData!L44*$J$4+$M$4*$J$5+[25]FormattedData!L44^2*$J$6+$M$5*$J$7</f>
        <v>30.681202306871182</v>
      </c>
      <c r="T25" s="6">
        <f>$J$3+[25]FormattedData!M44*$J$4+$M$4*$J$5+[25]FormattedData!M44^2*$J$6+$M$5*$J$7</f>
        <v>32.324881627675794</v>
      </c>
      <c r="U25" s="6">
        <f>$J$3+[25]FormattedData!N44*$J$4+$M$4*$J$5+[25]FormattedData!N44^2*$J$6+$M$5*$J$7</f>
        <v>30.487025166908776</v>
      </c>
      <c r="V25" s="6">
        <f>$J$3+[25]FormattedData!O44*$J$4+$M$4*$J$5+[25]FormattedData!O44^2*$J$6+$M$5*$J$7</f>
        <v>31.842714589459433</v>
      </c>
      <c r="W25" s="5">
        <f t="shared" si="0"/>
        <v>31.391025935587376</v>
      </c>
      <c r="X25" s="4">
        <f t="shared" si="1"/>
        <v>0.16935443819896642</v>
      </c>
      <c r="Y25" s="3">
        <f t="shared" si="2"/>
        <v>30.487025166908776</v>
      </c>
      <c r="Z25" s="2">
        <f t="shared" si="3"/>
        <v>31.02058961642609</v>
      </c>
      <c r="AA25" s="3">
        <f t="shared" si="4"/>
        <v>31.262698147579101</v>
      </c>
      <c r="AB25" s="2">
        <f t="shared" si="5"/>
        <v>31.866844075639218</v>
      </c>
      <c r="AC25" s="2">
        <f t="shared" si="6"/>
        <v>32.324881627675794</v>
      </c>
      <c r="AD25" s="2">
        <f t="shared" si="7"/>
        <v>0.11117561895446375</v>
      </c>
      <c r="AE25" s="2">
        <f t="shared" si="8"/>
        <v>-1.097410868051039</v>
      </c>
    </row>
    <row r="26" spans="2:31" x14ac:dyDescent="0.2">
      <c r="B26" s="1">
        <f>[25]FormattedData!A62</f>
        <v>301</v>
      </c>
      <c r="C26" s="1" t="str">
        <f>VLOOKUP($B26,[25]TrtCodes!$B$11:I105,2)</f>
        <v>NTL</v>
      </c>
      <c r="D26" s="1">
        <f>VLOOKUP($B26,[25]TrtCodes!$B$11:J105,3)</f>
        <v>10</v>
      </c>
      <c r="E26" s="1">
        <f>VLOOKUP($B26,[25]TrtCodes!$B$11:K105,4)</f>
        <v>2</v>
      </c>
      <c r="F26" s="1">
        <f>VLOOKUP($B26,[25]TrtCodes!$B$11:L105,5)</f>
        <v>2</v>
      </c>
      <c r="G26" s="1">
        <f>VLOOKUP($B26,[25]TrtCodes!$B$11:M105,6)</f>
        <v>1</v>
      </c>
      <c r="H26" s="1">
        <f>VLOOKUP($B26,[25]TrtCodes!$B$11:N105,7)</f>
        <v>3</v>
      </c>
      <c r="I26" s="1">
        <f>[25]FormattedData!B62</f>
        <v>1</v>
      </c>
      <c r="J26" s="4">
        <f>[25]FormattedData!C62</f>
        <v>13.487</v>
      </c>
      <c r="K26" s="6">
        <f>$J$3+[25]FormattedData!D62*$J$4+$M$4*$J$5+[25]FormattedData!D62^2*$J$6+$M$5*$J$7</f>
        <v>31.649551894407374</v>
      </c>
      <c r="L26" s="6">
        <f>$J$3+[25]FormattedData!E62*$J$4+$M$4*$J$5+[25]FormattedData!E62^2*$J$6+$M$5*$J$7</f>
        <v>31.842714589459433</v>
      </c>
      <c r="M26" s="6">
        <f>$J$3+[25]FormattedData!F62*$J$4+$M$4*$J$5+[25]FormattedData!F62^2*$J$6+$M$5*$J$7</f>
        <v>31.165905457363412</v>
      </c>
      <c r="N26" s="6">
        <f>$J$3+[25]FormattedData!G62*$J$4+$M$4*$J$5+[25]FormattedData!G62^2*$J$6+$M$5*$J$7</f>
        <v>32.22853275710839</v>
      </c>
      <c r="O26" s="6">
        <f>$J$3+[25]FormattedData!H62*$J$4+$M$4*$J$5+[25]FormattedData!H62^2*$J$6+$M$5*$J$7</f>
        <v>31.262719281848071</v>
      </c>
      <c r="P26" s="6">
        <f>$J$3+[25]FormattedData!I62*$J$4+$M$4*$J$5+[25]FormattedData!I62^2*$J$6+$M$5*$J$7</f>
        <v>33.381929480413859</v>
      </c>
      <c r="Q26" s="6">
        <f>$J$3+[25]FormattedData!J62*$J$4+$M$4*$J$5+[25]FormattedData!J62^2*$J$6+$M$5*$J$7</f>
        <v>31.842714589459433</v>
      </c>
      <c r="R26" s="6">
        <f>$J$3+[25]FormattedData!K62*$J$4+$M$4*$J$5+[25]FormattedData!K62^2*$J$6+$M$5*$J$7</f>
        <v>31.842714589459433</v>
      </c>
      <c r="S26" s="6">
        <f>$J$3+[25]FormattedData!L62*$J$4+$M$4*$J$5+[25]FormattedData!L62^2*$J$6+$M$5*$J$7</f>
        <v>31.456220125203586</v>
      </c>
      <c r="T26" s="6">
        <f>$J$3+[25]FormattedData!M62*$J$4+$M$4*$J$5+[25]FormattedData!M62^2*$J$6+$M$5*$J$7</f>
        <v>32.613674628150449</v>
      </c>
      <c r="U26" s="6">
        <f>$J$3+[25]FormattedData!N62*$J$4+$M$4*$J$5+[25]FormattedData!N62^2*$J$6+$M$5*$J$7</f>
        <v>32.998140202585603</v>
      </c>
      <c r="V26" s="6">
        <f>$J$3+[25]FormattedData!O62*$J$4+$M$4*$J$5+[25]FormattedData!O62^2*$J$6+$M$5*$J$7</f>
        <v>33.190119378575588</v>
      </c>
      <c r="W26" s="5">
        <f t="shared" si="0"/>
        <v>32.122911414502887</v>
      </c>
      <c r="X26" s="4">
        <f t="shared" si="1"/>
        <v>0.21849965952595024</v>
      </c>
      <c r="Y26" s="3">
        <f t="shared" si="2"/>
        <v>31.165905457363412</v>
      </c>
      <c r="Z26" s="2">
        <f t="shared" si="3"/>
        <v>31.601218952106429</v>
      </c>
      <c r="AA26" s="3">
        <f t="shared" si="4"/>
        <v>31.842714589459433</v>
      </c>
      <c r="AB26" s="2">
        <f t="shared" si="5"/>
        <v>32.709791021759237</v>
      </c>
      <c r="AC26" s="2">
        <f t="shared" si="6"/>
        <v>33.381929480413859</v>
      </c>
      <c r="AD26" s="2">
        <f t="shared" si="7"/>
        <v>0.50809004801638014</v>
      </c>
      <c r="AE26" s="2">
        <f t="shared" si="8"/>
        <v>-1.1012824149612279</v>
      </c>
    </row>
    <row r="27" spans="2:31" x14ac:dyDescent="0.2">
      <c r="B27" s="1">
        <f>[25]FormattedData!A64</f>
        <v>302</v>
      </c>
      <c r="C27" s="1" t="str">
        <f>VLOOKUP($B27,[25]TrtCodes!$B$11:I107,2)</f>
        <v>FTL</v>
      </c>
      <c r="D27" s="1">
        <f>VLOOKUP($B27,[25]TrtCodes!$B$11:J107,3)</f>
        <v>4</v>
      </c>
      <c r="E27" s="1">
        <f>VLOOKUP($B27,[25]TrtCodes!$B$11:K107,4)</f>
        <v>1</v>
      </c>
      <c r="F27" s="1">
        <f>VLOOKUP($B27,[25]TrtCodes!$B$11:L107,5)</f>
        <v>2</v>
      </c>
      <c r="G27" s="1">
        <f>VLOOKUP($B27,[25]TrtCodes!$B$11:M107,6)</f>
        <v>1</v>
      </c>
      <c r="H27" s="1">
        <f>VLOOKUP($B27,[25]TrtCodes!$B$11:N107,7)</f>
        <v>3</v>
      </c>
      <c r="I27" s="1">
        <f>[25]FormattedData!B64</f>
        <v>1</v>
      </c>
      <c r="J27" s="4">
        <f>[25]FormattedData!C64</f>
        <v>13.504</v>
      </c>
      <c r="K27" s="6">
        <f>$J$3+[25]FormattedData!D64*$J$4+$M$4*$J$5+[25]FormattedData!D64^2*$J$6+$M$5*$J$7</f>
        <v>29.806073718095504</v>
      </c>
      <c r="L27" s="6">
        <f>$J$3+[25]FormattedData!E64*$J$4+$M$4*$J$5+[25]FormattedData!E64^2*$J$6+$M$5*$J$7</f>
        <v>32.324881627675794</v>
      </c>
      <c r="M27" s="6">
        <f>$J$3+[25]FormattedData!F64*$J$4+$M$4*$J$5+[25]FormattedData!F64^2*$J$6+$M$5*$J$7</f>
        <v>31.262719281848071</v>
      </c>
      <c r="N27" s="6">
        <f>$J$3+[25]FormattedData!G64*$J$4+$M$4*$J$5+[25]FormattedData!G64^2*$J$6+$M$5*$J$7</f>
        <v>31.649551894407374</v>
      </c>
      <c r="O27" s="6">
        <f>$J$3+[25]FormattedData!H64*$J$4+$M$4*$J$5+[25]FormattedData!H64^2*$J$6+$M$5*$J$7</f>
        <v>31.842714589459433</v>
      </c>
      <c r="P27" s="6">
        <f>$J$3+[25]FormattedData!I64*$J$4+$M$4*$J$5+[25]FormattedData!I64^2*$J$6+$M$5*$J$7</f>
        <v>33.286045563763693</v>
      </c>
      <c r="Q27" s="6">
        <f>$J$3+[25]FormattedData!J64*$J$4+$M$4*$J$5+[25]FormattedData!J64^2*$J$6+$M$5*$J$7</f>
        <v>32.709854424566132</v>
      </c>
      <c r="R27" s="6">
        <f>$J$3+[25]FormattedData!K64*$J$4+$M$4*$J$5+[25]FormattedData!K64^2*$J$6+$M$5*$J$7</f>
        <v>32.42118822970528</v>
      </c>
      <c r="S27" s="6">
        <f>$J$3+[25]FormattedData!L64*$J$4+$M$4*$J$5+[25]FormattedData!L64^2*$J$6+$M$5*$J$7</f>
        <v>31.552907144074442</v>
      </c>
      <c r="T27" s="6">
        <f>$J$3+[25]FormattedData!M64*$J$4+$M$4*$J$5+[25]FormattedData!M64^2*$J$6+$M$5*$J$7</f>
        <v>31.456220125203586</v>
      </c>
      <c r="U27" s="6">
        <f>$J$3+[25]FormattedData!N64*$J$4+$M$4*$J$5+[25]FormattedData!N64^2*$J$6+$M$5*$J$7</f>
        <v>31.649551894407374</v>
      </c>
      <c r="V27" s="6">
        <f>$J$3+[25]FormattedData!O64*$J$4+$M$4*$J$5+[25]FormattedData!O64^2*$J$6+$M$5*$J$7</f>
        <v>33.286045563763693</v>
      </c>
      <c r="W27" s="5">
        <f t="shared" si="0"/>
        <v>31.93731283808086</v>
      </c>
      <c r="X27" s="4">
        <f t="shared" si="1"/>
        <v>0.27757556346954559</v>
      </c>
      <c r="Y27" s="3">
        <f t="shared" si="2"/>
        <v>29.806073718095504</v>
      </c>
      <c r="Z27" s="2">
        <f t="shared" si="3"/>
        <v>31.528735389356729</v>
      </c>
      <c r="AA27" s="3">
        <f t="shared" si="4"/>
        <v>31.746133241933403</v>
      </c>
      <c r="AB27" s="2">
        <f t="shared" si="5"/>
        <v>32.493354778420496</v>
      </c>
      <c r="AC27" s="2">
        <f t="shared" si="6"/>
        <v>33.286045563763693</v>
      </c>
      <c r="AD27" s="2">
        <f t="shared" si="7"/>
        <v>-0.57238832022717556</v>
      </c>
      <c r="AE27" s="2">
        <f t="shared" si="8"/>
        <v>1.1241756722340366</v>
      </c>
    </row>
    <row r="28" spans="2:31" x14ac:dyDescent="0.2">
      <c r="B28" s="1">
        <f>[25]FormattedData!A66</f>
        <v>303</v>
      </c>
      <c r="C28" s="1" t="str">
        <f>VLOOKUP($B28,[25]TrtCodes!$B$11:I109,2)</f>
        <v>NSL</v>
      </c>
      <c r="D28" s="1">
        <f>VLOOKUP($B28,[25]TrtCodes!$B$11:J109,3)</f>
        <v>8</v>
      </c>
      <c r="E28" s="1">
        <f>VLOOKUP($B28,[25]TrtCodes!$B$11:K109,4)</f>
        <v>2</v>
      </c>
      <c r="F28" s="1">
        <f>VLOOKUP($B28,[25]TrtCodes!$B$11:L109,5)</f>
        <v>1</v>
      </c>
      <c r="G28" s="1">
        <f>VLOOKUP($B28,[25]TrtCodes!$B$11:M109,6)</f>
        <v>1</v>
      </c>
      <c r="H28" s="1">
        <f>VLOOKUP($B28,[25]TrtCodes!$B$11:N109,7)</f>
        <v>3</v>
      </c>
      <c r="I28" s="1">
        <f>[25]FormattedData!B66</f>
        <v>1</v>
      </c>
      <c r="J28" s="4">
        <f>[25]FormattedData!C66</f>
        <v>13.522</v>
      </c>
      <c r="K28" s="6">
        <f>$J$3+[25]FormattedData!D66*$J$4+$M$4*$J$5+[25]FormattedData!D66^2*$J$6+$M$5*$J$7</f>
        <v>30.972151002780318</v>
      </c>
      <c r="L28" s="6">
        <f>$J$3+[25]FormattedData!E66*$J$4+$M$4*$J$5+[25]FormattedData!E66^2*$J$6+$M$5*$J$7</f>
        <v>31.359490837794787</v>
      </c>
      <c r="M28" s="6">
        <f>$J$3+[25]FormattedData!F66*$J$4+$M$4*$J$5+[25]FormattedData!F66^2*$J$6+$M$5*$J$7</f>
        <v>30.487025166908776</v>
      </c>
      <c r="N28" s="6">
        <f>$J$3+[25]FormattedData!G66*$J$4+$M$4*$J$5+[25]FormattedData!G66^2*$J$6+$M$5*$J$7</f>
        <v>31.165905457363412</v>
      </c>
      <c r="O28" s="6">
        <f>$J$3+[25]FormattedData!H66*$J$4+$M$4*$J$5+[25]FormattedData!H66^2*$J$6+$M$5*$J$7</f>
        <v>30.292678952794638</v>
      </c>
      <c r="P28" s="6">
        <f>$J$3+[25]FormattedData!I66*$J$4+$M$4*$J$5+[25]FormattedData!I66^2*$J$6+$M$5*$J$7</f>
        <v>32.709854424566132</v>
      </c>
      <c r="Q28" s="6">
        <f>$J$3+[25]FormattedData!J66*$J$4+$M$4*$J$5+[25]FormattedData!J66^2*$J$6+$M$5*$J$7</f>
        <v>32.902087211783709</v>
      </c>
      <c r="R28" s="6">
        <f>$J$3+[25]FormattedData!K66*$J$4+$M$4*$J$5+[25]FormattedData!K66^2*$J$6+$M$5*$J$7</f>
        <v>33.95634534101832</v>
      </c>
      <c r="S28" s="6">
        <f>$J$3+[25]FormattedData!L66*$J$4+$M$4*$J$5+[25]FormattedData!L66^2*$J$6+$M$5*$J$7</f>
        <v>32.132141618003047</v>
      </c>
      <c r="T28" s="6">
        <f>$J$3+[25]FormattedData!M66*$J$4+$M$4*$J$5+[25]FormattedData!M66^2*$J$6+$M$5*$J$7</f>
        <v>32.132141618003047</v>
      </c>
      <c r="U28" s="6">
        <f>$J$3+[25]FormattedData!N66*$J$4+$M$4*$J$5+[25]FormattedData!N66^2*$J$6+$M$5*$J$7</f>
        <v>31.939232534178572</v>
      </c>
      <c r="V28" s="6">
        <f>$J$3+[25]FormattedData!O66*$J$4+$M$4*$J$5+[25]FormattedData!O66^2*$J$6+$M$5*$J$7</f>
        <v>32.613674628150449</v>
      </c>
      <c r="W28" s="5">
        <f t="shared" si="0"/>
        <v>31.888560732778767</v>
      </c>
      <c r="X28" s="4">
        <f t="shared" si="1"/>
        <v>0.31112706307777971</v>
      </c>
      <c r="Y28" s="3">
        <f t="shared" si="2"/>
        <v>30.292678952794638</v>
      </c>
      <c r="Z28" s="2">
        <f t="shared" si="3"/>
        <v>31.117466843717636</v>
      </c>
      <c r="AA28" s="3">
        <f t="shared" si="4"/>
        <v>32.035687076090809</v>
      </c>
      <c r="AB28" s="2">
        <f t="shared" si="5"/>
        <v>32.637719577254373</v>
      </c>
      <c r="AC28" s="2">
        <f t="shared" si="6"/>
        <v>33.95634534101832</v>
      </c>
      <c r="AD28" s="2">
        <f t="shared" si="7"/>
        <v>0.23824279393183562</v>
      </c>
      <c r="AE28" s="2">
        <f t="shared" si="8"/>
        <v>-0.35740935544463159</v>
      </c>
    </row>
    <row r="29" spans="2:31" x14ac:dyDescent="0.2">
      <c r="B29" s="1">
        <f>[25]FormattedData!A68</f>
        <v>304</v>
      </c>
      <c r="C29" s="1" t="str">
        <f>VLOOKUP($B29,[25]TrtCodes!$B$11:I111,2)</f>
        <v>FSL</v>
      </c>
      <c r="D29" s="1">
        <f>VLOOKUP($B29,[25]TrtCodes!$B$11:J111,3)</f>
        <v>2</v>
      </c>
      <c r="E29" s="1">
        <f>VLOOKUP($B29,[25]TrtCodes!$B$11:K111,4)</f>
        <v>1</v>
      </c>
      <c r="F29" s="1">
        <f>VLOOKUP($B29,[25]TrtCodes!$B$11:L111,5)</f>
        <v>1</v>
      </c>
      <c r="G29" s="1">
        <f>VLOOKUP($B29,[25]TrtCodes!$B$11:M111,6)</f>
        <v>1</v>
      </c>
      <c r="H29" s="1">
        <f>VLOOKUP($B29,[25]TrtCodes!$B$11:N111,7)</f>
        <v>3</v>
      </c>
      <c r="I29" s="1">
        <f>[25]FormattedData!B68</f>
        <v>1</v>
      </c>
      <c r="J29" s="4">
        <f>[25]FormattedData!C68</f>
        <v>13.539</v>
      </c>
      <c r="K29" s="6">
        <f>$J$3+[25]FormattedData!D68*$J$4+$M$4*$J$5+[25]FormattedData!D68^2*$J$6+$M$5*$J$7</f>
        <v>31.262719281848071</v>
      </c>
      <c r="L29" s="6">
        <f>$J$3+[25]FormattedData!E68*$J$4+$M$4*$J$5+[25]FormattedData!E68^2*$J$6+$M$5*$J$7</f>
        <v>31.842714589459433</v>
      </c>
      <c r="M29" s="6">
        <f>$J$3+[25]FormattedData!F68*$J$4+$M$4*$J$5+[25]FormattedData!F68^2*$J$6+$M$5*$J$7</f>
        <v>31.359490837794787</v>
      </c>
      <c r="N29" s="6">
        <f>$J$3+[25]FormattedData!G68*$J$4+$M$4*$J$5+[25]FormattedData!G68^2*$J$6+$M$5*$J$7</f>
        <v>31.842714589459433</v>
      </c>
      <c r="O29" s="6">
        <f>$J$3+[25]FormattedData!H68*$J$4+$M$4*$J$5+[25]FormattedData!H68^2*$J$6+$M$5*$J$7</f>
        <v>31.842714589459433</v>
      </c>
      <c r="P29" s="6">
        <f>$J$3+[25]FormattedData!I68*$J$4+$M$4*$J$5+[25]FormattedData!I68^2*$J$6+$M$5*$J$7</f>
        <v>32.902087211783709</v>
      </c>
      <c r="Q29" s="6">
        <f>$J$3+[25]FormattedData!J68*$J$4+$M$4*$J$5+[25]FormattedData!J68^2*$J$6+$M$5*$J$7</f>
        <v>32.324881627675794</v>
      </c>
      <c r="R29" s="6">
        <f>$J$3+[25]FormattedData!K68*$J$4+$M$4*$J$5+[25]FormattedData!K68^2*$J$6+$M$5*$J$7</f>
        <v>34.624573959914308</v>
      </c>
      <c r="S29" s="6">
        <f>$J$3+[25]FormattedData!L68*$J$4+$M$4*$J$5+[25]FormattedData!L68^2*$J$6+$M$5*$J$7</f>
        <v>33.573570508100403</v>
      </c>
      <c r="T29" s="6">
        <f>$J$3+[25]FormattedData!M68*$J$4+$M$4*$J$5+[25]FormattedData!M68^2*$J$6+$M$5*$J$7</f>
        <v>33.286045563763693</v>
      </c>
      <c r="U29" s="6">
        <f>$J$3+[25]FormattedData!N68*$J$4+$M$4*$J$5+[25]FormattedData!N68^2*$J$6+$M$5*$J$7</f>
        <v>33.765042461635225</v>
      </c>
      <c r="V29" s="6">
        <f>$J$3+[25]FormattedData!O68*$J$4+$M$4*$J$5+[25]FormattedData!O68^2*$J$6+$M$5*$J$7</f>
        <v>33.573570508100403</v>
      </c>
      <c r="W29" s="5">
        <f t="shared" si="0"/>
        <v>32.683343810749555</v>
      </c>
      <c r="X29" s="4">
        <f t="shared" si="1"/>
        <v>0.31326458022080472</v>
      </c>
      <c r="Y29" s="3">
        <f t="shared" si="2"/>
        <v>31.262719281848071</v>
      </c>
      <c r="Z29" s="2">
        <f t="shared" si="3"/>
        <v>31.842714589459433</v>
      </c>
      <c r="AA29" s="3">
        <f t="shared" si="4"/>
        <v>32.613484419729751</v>
      </c>
      <c r="AB29" s="2">
        <f t="shared" si="5"/>
        <v>33.573570508100403</v>
      </c>
      <c r="AC29" s="2">
        <f t="shared" si="6"/>
        <v>34.624573959914308</v>
      </c>
      <c r="AD29" s="2">
        <f t="shared" si="7"/>
        <v>0.27367818789597115</v>
      </c>
      <c r="AE29" s="2">
        <f t="shared" si="8"/>
        <v>-1.122291192756069</v>
      </c>
    </row>
    <row r="30" spans="2:31" x14ac:dyDescent="0.2">
      <c r="B30" s="1">
        <f>[25]FormattedData!A70</f>
        <v>305</v>
      </c>
      <c r="C30" s="1" t="str">
        <f>VLOOKUP($B30,[25]TrtCodes!$B$11:I113,2)</f>
        <v>NDH</v>
      </c>
      <c r="D30" s="1">
        <f>VLOOKUP($B30,[25]TrtCodes!$B$11:J113,3)</f>
        <v>11</v>
      </c>
      <c r="E30" s="1">
        <f>VLOOKUP($B30,[25]TrtCodes!$B$11:K113,4)</f>
        <v>2</v>
      </c>
      <c r="F30" s="1">
        <f>VLOOKUP($B30,[25]TrtCodes!$B$11:L113,5)</f>
        <v>3</v>
      </c>
      <c r="G30" s="1">
        <f>VLOOKUP($B30,[25]TrtCodes!$B$11:M113,6)</f>
        <v>2</v>
      </c>
      <c r="H30" s="1">
        <f>VLOOKUP($B30,[25]TrtCodes!$B$11:N113,7)</f>
        <v>4</v>
      </c>
      <c r="I30" s="1">
        <f>[25]FormattedData!B70</f>
        <v>1</v>
      </c>
      <c r="J30" s="4">
        <f>[25]FormattedData!C70</f>
        <v>13.555999999999999</v>
      </c>
      <c r="K30" s="6">
        <f>$J$3+[25]FormattedData!D70*$J$4+$M$4*$J$5+[25]FormattedData!D70^2*$J$6+$M$5*$J$7</f>
        <v>32.22853275710839</v>
      </c>
      <c r="L30" s="6">
        <f>$J$3+[25]FormattedData!E70*$J$4+$M$4*$J$5+[25]FormattedData!E70^2*$J$6+$M$5*$J$7</f>
        <v>31.552907144074442</v>
      </c>
      <c r="M30" s="6">
        <f>$J$3+[25]FormattedData!F70*$J$4+$M$4*$J$5+[25]FormattedData!F70^2*$J$6+$M$5*$J$7</f>
        <v>30.389873194120668</v>
      </c>
      <c r="N30" s="6">
        <f>$J$3+[25]FormattedData!G70*$J$4+$M$4*$J$5+[25]FormattedData!G70^2*$J$6+$M$5*$J$7</f>
        <v>30.487025166908776</v>
      </c>
      <c r="O30" s="6">
        <f>$J$3+[25]FormattedData!H70*$J$4+$M$4*$J$5+[25]FormattedData!H70^2*$J$6+$M$5*$J$7</f>
        <v>30.584134871158945</v>
      </c>
      <c r="P30" s="6">
        <f>$J$3+[25]FormattedData!I70*$J$4+$M$4*$J$5+[25]FormattedData!I70^2*$J$6+$M$5*$J$7</f>
        <v>31.552907144074442</v>
      </c>
      <c r="Q30" s="6">
        <f>$J$3+[25]FormattedData!J70*$J$4+$M$4*$J$5+[25]FormattedData!J70^2*$J$6+$M$5*$J$7</f>
        <v>31.359490837794787</v>
      </c>
      <c r="R30" s="6">
        <f>$J$3+[25]FormattedData!K70*$J$4+$M$4*$J$5+[25]FormattedData!K70^2*$J$6+$M$5*$J$7</f>
        <v>31.069049364340831</v>
      </c>
      <c r="S30" s="6">
        <f>$J$3+[25]FormattedData!L70*$J$4+$M$4*$J$5+[25]FormattedData!L70^2*$J$6+$M$5*$J$7</f>
        <v>30.681202306871182</v>
      </c>
      <c r="T30" s="6">
        <f>$J$3+[25]FormattedData!M70*$J$4+$M$4*$J$5+[25]FormattedData!M70^2*$J$6+$M$5*$J$7</f>
        <v>32.035708210359779</v>
      </c>
      <c r="U30" s="6">
        <f>$J$3+[25]FormattedData!N70*$J$4+$M$4*$J$5+[25]FormattedData!N70^2*$J$6+$M$5*$J$7</f>
        <v>31.552907144074442</v>
      </c>
      <c r="V30" s="6">
        <f>$J$3+[25]FormattedData!O70*$J$4+$M$4*$J$5+[25]FormattedData!O70^2*$J$6+$M$5*$J$7</f>
        <v>31.069049364340831</v>
      </c>
      <c r="W30" s="5">
        <f t="shared" si="0"/>
        <v>31.213565625435624</v>
      </c>
      <c r="X30" s="4">
        <f t="shared" si="1"/>
        <v>0.1740890317948196</v>
      </c>
      <c r="Y30" s="3">
        <f t="shared" si="2"/>
        <v>30.389873194120668</v>
      </c>
      <c r="Z30" s="2">
        <f t="shared" si="3"/>
        <v>30.656935447943123</v>
      </c>
      <c r="AA30" s="3">
        <f t="shared" si="4"/>
        <v>31.214270101067811</v>
      </c>
      <c r="AB30" s="2">
        <f t="shared" si="5"/>
        <v>31.552907144074442</v>
      </c>
      <c r="AC30" s="2">
        <f t="shared" si="6"/>
        <v>32.22853275710839</v>
      </c>
      <c r="AD30" s="2">
        <f t="shared" si="7"/>
        <v>0.18551269118672334</v>
      </c>
      <c r="AE30" s="2">
        <f t="shared" si="8"/>
        <v>-1.0127255250241269</v>
      </c>
    </row>
    <row r="31" spans="2:31" x14ac:dyDescent="0.2">
      <c r="B31" s="1">
        <f>[25]FormattedData!A72</f>
        <v>306</v>
      </c>
      <c r="C31" s="1" t="str">
        <f>VLOOKUP($B31,[25]TrtCodes!$B$11:I115,2)</f>
        <v>FTL</v>
      </c>
      <c r="D31" s="1">
        <f>VLOOKUP($B31,[25]TrtCodes!$B$11:J115,3)</f>
        <v>4</v>
      </c>
      <c r="E31" s="1">
        <f>VLOOKUP($B31,[25]TrtCodes!$B$11:K115,4)</f>
        <v>1</v>
      </c>
      <c r="F31" s="1">
        <f>VLOOKUP($B31,[25]TrtCodes!$B$11:L115,5)</f>
        <v>2</v>
      </c>
      <c r="G31" s="1">
        <f>VLOOKUP($B31,[25]TrtCodes!$B$11:M115,6)</f>
        <v>1</v>
      </c>
      <c r="H31" s="1">
        <f>VLOOKUP($B31,[25]TrtCodes!$B$11:N115,7)</f>
        <v>4</v>
      </c>
      <c r="I31" s="1">
        <f>[25]FormattedData!B72</f>
        <v>1</v>
      </c>
      <c r="J31" s="4">
        <f>[25]FormattedData!C72</f>
        <v>13.574</v>
      </c>
      <c r="K31" s="6">
        <f>$J$3+[25]FormattedData!D72*$J$4+$M$4*$J$5+[25]FormattedData!D72^2*$J$6+$M$5*$J$7</f>
        <v>30.098163664528776</v>
      </c>
      <c r="L31" s="6">
        <f>$J$3+[25]FormattedData!E72*$J$4+$M$4*$J$5+[25]FormattedData!E72^2*$J$6+$M$5*$J$7</f>
        <v>31.165905457363412</v>
      </c>
      <c r="M31" s="6">
        <f>$J$3+[25]FormattedData!F72*$J$4+$M$4*$J$5+[25]FormattedData!F72^2*$J$6+$M$5*$J$7</f>
        <v>31.262719281848071</v>
      </c>
      <c r="N31" s="6">
        <f>$J$3+[25]FormattedData!G72*$J$4+$M$4*$J$5+[25]FormattedData!G72^2*$J$6+$M$5*$J$7</f>
        <v>32.132141618003047</v>
      </c>
      <c r="O31" s="6">
        <f>$J$3+[25]FormattedData!H72*$J$4+$M$4*$J$5+[25]FormattedData!H72^2*$J$6+$M$5*$J$7</f>
        <v>31.165905457363412</v>
      </c>
      <c r="P31" s="6">
        <f>$J$3+[25]FormattedData!I72*$J$4+$M$4*$J$5+[25]FormattedData!I72^2*$J$6+$M$5*$J$7</f>
        <v>32.902087211783709</v>
      </c>
      <c r="Q31" s="6">
        <f>$J$3+[25]FormattedData!J72*$J$4+$M$4*$J$5+[25]FormattedData!J72^2*$J$6+$M$5*$J$7</f>
        <v>31.649551894407374</v>
      </c>
      <c r="R31" s="6">
        <f>$J$3+[25]FormattedData!K72*$J$4+$M$4*$J$5+[25]FormattedData!K72^2*$J$6+$M$5*$J$7</f>
        <v>33.286045563763693</v>
      </c>
      <c r="S31" s="6">
        <f>$J$3+[25]FormattedData!L72*$J$4+$M$4*$J$5+[25]FormattedData!L72^2*$J$6+$M$5*$J$7</f>
        <v>30.972151002780318</v>
      </c>
      <c r="T31" s="6">
        <f>$J$3+[25]FormattedData!M72*$J$4+$M$4*$J$5+[25]FormattedData!M72^2*$J$6+$M$5*$J$7</f>
        <v>31.552907144074442</v>
      </c>
      <c r="U31" s="6">
        <f>$J$3+[25]FormattedData!N72*$J$4+$M$4*$J$5+[25]FormattedData!N72^2*$J$6+$M$5*$J$7</f>
        <v>30.584134871158945</v>
      </c>
      <c r="V31" s="6">
        <f>$J$3+[25]FormattedData!O72*$J$4+$M$4*$J$5+[25]FormattedData!O72^2*$J$6+$M$5*$J$7</f>
        <v>31.069049364340831</v>
      </c>
      <c r="W31" s="5">
        <f t="shared" si="0"/>
        <v>31.486730210951336</v>
      </c>
      <c r="X31" s="4">
        <f t="shared" si="1"/>
        <v>0.26294226442922419</v>
      </c>
      <c r="Y31" s="3">
        <f t="shared" si="2"/>
        <v>30.098163664528776</v>
      </c>
      <c r="Z31" s="2">
        <f t="shared" si="3"/>
        <v>31.044824773950701</v>
      </c>
      <c r="AA31" s="3">
        <f t="shared" si="4"/>
        <v>31.214312369605743</v>
      </c>
      <c r="AB31" s="2">
        <f t="shared" si="5"/>
        <v>31.770199325306294</v>
      </c>
      <c r="AC31" s="2">
        <f t="shared" si="6"/>
        <v>33.286045563763693</v>
      </c>
      <c r="AD31" s="2">
        <f t="shared" si="7"/>
        <v>0.75571125743128342</v>
      </c>
      <c r="AE31" s="2">
        <f t="shared" si="8"/>
        <v>0.35609167963297583</v>
      </c>
    </row>
    <row r="32" spans="2:31" x14ac:dyDescent="0.2">
      <c r="B32" s="1">
        <f>[25]FormattedData!A74</f>
        <v>307</v>
      </c>
      <c r="C32" s="1" t="str">
        <f>VLOOKUP($B32,[25]TrtCodes!$B$11:I117,2)</f>
        <v>NTH</v>
      </c>
      <c r="D32" s="1">
        <f>VLOOKUP($B32,[25]TrtCodes!$B$11:J117,3)</f>
        <v>9</v>
      </c>
      <c r="E32" s="1">
        <f>VLOOKUP($B32,[25]TrtCodes!$B$11:K117,4)</f>
        <v>2</v>
      </c>
      <c r="F32" s="1">
        <f>VLOOKUP($B32,[25]TrtCodes!$B$11:L117,5)</f>
        <v>2</v>
      </c>
      <c r="G32" s="1">
        <f>VLOOKUP($B32,[25]TrtCodes!$B$11:M117,6)</f>
        <v>2</v>
      </c>
      <c r="H32" s="1">
        <f>VLOOKUP($B32,[25]TrtCodes!$B$11:N117,7)</f>
        <v>4</v>
      </c>
      <c r="I32" s="1">
        <f>[25]FormattedData!B74</f>
        <v>1</v>
      </c>
      <c r="J32" s="4">
        <f>[25]FormattedData!C74</f>
        <v>13.590999999999999</v>
      </c>
      <c r="K32" s="6">
        <f>$J$3+[25]FormattedData!D74*$J$4+$M$4*$J$5+[25]FormattedData!D74^2*$J$6+$M$5*$J$7</f>
        <v>31.552907144074442</v>
      </c>
      <c r="L32" s="6">
        <f>$J$3+[25]FormattedData!E74*$J$4+$M$4*$J$5+[25]FormattedData!E74^2*$J$6+$M$5*$J$7</f>
        <v>31.746154376202369</v>
      </c>
      <c r="M32" s="6">
        <f>$J$3+[25]FormattedData!F74*$J$4+$M$4*$J$5+[25]FormattedData!F74^2*$J$6+$M$5*$J$7</f>
        <v>31.069049364340831</v>
      </c>
      <c r="N32" s="6">
        <f>$J$3+[25]FormattedData!G74*$J$4+$M$4*$J$5+[25]FormattedData!G74^2*$J$6+$M$5*$J$7</f>
        <v>30.778227474045494</v>
      </c>
      <c r="O32" s="6">
        <f>$J$3+[25]FormattedData!H74*$J$4+$M$4*$J$5+[25]FormattedData!H74^2*$J$6+$M$5*$J$7</f>
        <v>31.552907144074442</v>
      </c>
      <c r="P32" s="6">
        <f>$J$3+[25]FormattedData!I74*$J$4+$M$4*$J$5+[25]FormattedData!I74^2*$J$6+$M$5*$J$7</f>
        <v>31.939232534178572</v>
      </c>
      <c r="Q32" s="6">
        <f>$J$3+[25]FormattedData!J74*$J$4+$M$4*$J$5+[25]FormattedData!J74^2*$J$6+$M$5*$J$7</f>
        <v>31.262719281848071</v>
      </c>
      <c r="R32" s="6">
        <f>$J$3+[25]FormattedData!K74*$J$4+$M$4*$J$5+[25]FormattedData!K74^2*$J$6+$M$5*$J$7</f>
        <v>32.805991952443883</v>
      </c>
      <c r="S32" s="6">
        <f>$J$3+[25]FormattedData!L74*$J$4+$M$4*$J$5+[25]FormattedData!L74^2*$J$6+$M$5*$J$7</f>
        <v>31.552907144074442</v>
      </c>
      <c r="T32" s="6">
        <f>$J$3+[25]FormattedData!M74*$J$4+$M$4*$J$5+[25]FormattedData!M74^2*$J$6+$M$5*$J$7</f>
        <v>31.552907144074442</v>
      </c>
      <c r="U32" s="6">
        <f>$J$3+[25]FormattedData!N74*$J$4+$M$4*$J$5+[25]FormattedData!N74^2*$J$6+$M$5*$J$7</f>
        <v>30.972151002780318</v>
      </c>
      <c r="V32" s="6">
        <f>$J$3+[25]FormattedData!O74*$J$4+$M$4*$J$5+[25]FormattedData!O74^2*$J$6+$M$5*$J$7</f>
        <v>30.19544244293067</v>
      </c>
      <c r="W32" s="5">
        <f t="shared" si="0"/>
        <v>31.415049750422327</v>
      </c>
      <c r="X32" s="4">
        <f t="shared" si="1"/>
        <v>0.18722862084058384</v>
      </c>
      <c r="Y32" s="3">
        <f t="shared" si="2"/>
        <v>30.19544244293067</v>
      </c>
      <c r="Z32" s="2">
        <f t="shared" si="3"/>
        <v>31.044824773950701</v>
      </c>
      <c r="AA32" s="3">
        <f t="shared" si="4"/>
        <v>31.552907144074442</v>
      </c>
      <c r="AB32" s="2">
        <f t="shared" si="5"/>
        <v>31.601218952106425</v>
      </c>
      <c r="AC32" s="2">
        <f t="shared" si="6"/>
        <v>32.805991952443883</v>
      </c>
      <c r="AD32" s="2">
        <f t="shared" si="7"/>
        <v>0.27098102854436429</v>
      </c>
      <c r="AE32" s="2">
        <f t="shared" si="8"/>
        <v>1.5433860334001848</v>
      </c>
    </row>
    <row r="33" spans="2:31" x14ac:dyDescent="0.2">
      <c r="B33" s="1">
        <f>[25]FormattedData!A76</f>
        <v>308</v>
      </c>
      <c r="C33" s="1" t="str">
        <f>VLOOKUP($B33,[25]TrtCodes!$B$11:I119,2)</f>
        <v>FDH</v>
      </c>
      <c r="D33" s="1">
        <f>VLOOKUP($B33,[25]TrtCodes!$B$11:J119,3)</f>
        <v>5</v>
      </c>
      <c r="E33" s="1">
        <f>VLOOKUP($B33,[25]TrtCodes!$B$11:K119,4)</f>
        <v>1</v>
      </c>
      <c r="F33" s="1">
        <f>VLOOKUP($B33,[25]TrtCodes!$B$11:L119,5)</f>
        <v>3</v>
      </c>
      <c r="G33" s="1">
        <f>VLOOKUP($B33,[25]TrtCodes!$B$11:M119,6)</f>
        <v>2</v>
      </c>
      <c r="H33" s="1">
        <f>VLOOKUP($B33,[25]TrtCodes!$B$11:N119,7)</f>
        <v>4</v>
      </c>
      <c r="I33" s="1">
        <f>[25]FormattedData!B76</f>
        <v>1</v>
      </c>
      <c r="J33" s="4">
        <f>[25]FormattedData!C76</f>
        <v>13.609</v>
      </c>
      <c r="K33" s="6">
        <f>$J$3+[25]FormattedData!D76*$J$4+$M$4*$J$5+[25]FormattedData!D76^2*$J$6+$M$5*$J$7</f>
        <v>31.262719281848071</v>
      </c>
      <c r="L33" s="6">
        <f>$J$3+[25]FormattedData!E76*$J$4+$M$4*$J$5+[25]FormattedData!E76^2*$J$6+$M$5*$J$7</f>
        <v>29.416028696653434</v>
      </c>
      <c r="M33" s="6">
        <f>$J$3+[25]FormattedData!F76*$J$4+$M$4*$J$5+[25]FormattedData!F76^2*$J$6+$M$5*$J$7</f>
        <v>30.098163664528776</v>
      </c>
      <c r="N33" s="6">
        <f>$J$3+[25]FormattedData!G76*$J$4+$M$4*$J$5+[25]FormattedData!G76^2*$J$6+$M$5*$J$7</f>
        <v>29.123051110923608</v>
      </c>
      <c r="O33" s="6">
        <f>$J$3+[25]FormattedData!H76*$J$4+$M$4*$J$5+[25]FormattedData!H76^2*$J$6+$M$5*$J$7</f>
        <v>29.416028696653434</v>
      </c>
      <c r="P33" s="6">
        <f>$J$3+[25]FormattedData!I76*$J$4+$M$4*$J$5+[25]FormattedData!I76^2*$J$6+$M$5*$J$7</f>
        <v>29.220752574704814</v>
      </c>
      <c r="Q33" s="6">
        <f>$J$3+[25]FormattedData!J76*$J$4+$M$4*$J$5+[25]FormattedData!J76^2*$J$6+$M$5*$J$7</f>
        <v>29.123051110923608</v>
      </c>
      <c r="R33" s="6">
        <f>$J$3+[25]FormattedData!K76*$J$4+$M$4*$J$5+[25]FormattedData!K76^2*$J$6+$M$5*$J$7</f>
        <v>30.584134871158945</v>
      </c>
      <c r="S33" s="6">
        <f>$J$3+[25]FormattedData!L76*$J$4+$M$4*$J$5+[25]FormattedData!L76^2*$J$6+$M$5*$J$7</f>
        <v>29.02530737860447</v>
      </c>
      <c r="T33" s="6">
        <f>$J$3+[25]FormattedData!M76*$J$4+$M$4*$J$5+[25]FormattedData!M76^2*$J$6+$M$5*$J$7</f>
        <v>30.000842617588955</v>
      </c>
      <c r="U33" s="6">
        <f>$J$3+[25]FormattedData!N76*$J$4+$M$4*$J$5+[25]FormattedData!N76^2*$J$6+$M$5*$J$7</f>
        <v>31.165905457363412</v>
      </c>
      <c r="V33" s="6">
        <f>$J$3+[25]FormattedData!O76*$J$4+$M$4*$J$5+[25]FormattedData!O76^2*$J$6+$M$5*$J$7</f>
        <v>30.487025166908776</v>
      </c>
      <c r="W33" s="5">
        <f t="shared" si="0"/>
        <v>29.910250885655021</v>
      </c>
      <c r="X33" s="4">
        <f t="shared" si="1"/>
        <v>0.2339152346519088</v>
      </c>
      <c r="Y33" s="3">
        <f t="shared" si="2"/>
        <v>29.02530737860447</v>
      </c>
      <c r="Z33" s="2">
        <f t="shared" si="3"/>
        <v>29.196327208759513</v>
      </c>
      <c r="AA33" s="3">
        <f t="shared" si="4"/>
        <v>29.708435657121193</v>
      </c>
      <c r="AB33" s="2">
        <f t="shared" si="5"/>
        <v>30.511302592971319</v>
      </c>
      <c r="AC33" s="2">
        <f t="shared" si="6"/>
        <v>31.262719281848071</v>
      </c>
      <c r="AD33" s="2">
        <f t="shared" si="7"/>
        <v>0.55792683809389476</v>
      </c>
      <c r="AE33" s="2">
        <f t="shared" si="8"/>
        <v>-1.1544030656849738</v>
      </c>
    </row>
    <row r="34" spans="2:31" x14ac:dyDescent="0.2">
      <c r="B34" s="1">
        <f>[25]FormattedData!A92</f>
        <v>401</v>
      </c>
      <c r="C34" s="1" t="str">
        <f>VLOOKUP($B34,[25]TrtCodes!$B$11:I129,2)</f>
        <v>NSH</v>
      </c>
      <c r="D34" s="1">
        <f>VLOOKUP($B34,[25]TrtCodes!$B$11:J129,3)</f>
        <v>7</v>
      </c>
      <c r="E34" s="1">
        <f>VLOOKUP($B34,[25]TrtCodes!$B$11:K129,4)</f>
        <v>2</v>
      </c>
      <c r="F34" s="1">
        <f>VLOOKUP($B34,[25]TrtCodes!$B$11:L129,5)</f>
        <v>1</v>
      </c>
      <c r="G34" s="1">
        <f>VLOOKUP($B34,[25]TrtCodes!$B$11:M129,6)</f>
        <v>2</v>
      </c>
      <c r="H34" s="1">
        <f>VLOOKUP($B34,[25]TrtCodes!$B$11:N129,7)</f>
        <v>3</v>
      </c>
      <c r="I34" s="1">
        <f>[25]FormattedData!B92</f>
        <v>1</v>
      </c>
      <c r="J34" s="4">
        <f>[25]FormattedData!C92</f>
        <v>13.759</v>
      </c>
      <c r="K34" s="6">
        <f>$J$3+[25]FormattedData!D92*$J$4+$M$4*$J$5+[25]FormattedData!D92^2*$J$6+$M$5*$J$7</f>
        <v>31.359490837794787</v>
      </c>
      <c r="L34" s="6">
        <f>$J$3+[25]FormattedData!E92*$J$4+$M$4*$J$5+[25]FormattedData!E92^2*$J$6+$M$5*$J$7</f>
        <v>28.731822570419467</v>
      </c>
      <c r="M34" s="6">
        <f>$J$3+[25]FormattedData!F92*$J$4+$M$4*$J$5+[25]FormattedData!F92^2*$J$6+$M$5*$J$7</f>
        <v>29.318411769948092</v>
      </c>
      <c r="N34" s="6">
        <f>$J$3+[25]FormattedData!G92*$J$4+$M$4*$J$5+[25]FormattedData!G92^2*$J$6+$M$5*$J$7</f>
        <v>30.000842617588955</v>
      </c>
      <c r="O34" s="6">
        <f>$J$3+[25]FormattedData!H92*$J$4+$M$4*$J$5+[25]FormattedData!H92^2*$J$6+$M$5*$J$7</f>
        <v>30.098163664528776</v>
      </c>
      <c r="P34" s="6">
        <f>$J$3+[25]FormattedData!I92*$J$4+$M$4*$J$5+[25]FormattedData!I92^2*$J$6+$M$5*$J$7</f>
        <v>30.87521037268187</v>
      </c>
      <c r="Q34" s="6">
        <f>$J$3+[25]FormattedData!J92*$J$4+$M$4*$J$5+[25]FormattedData!J92^2*$J$6+$M$5*$J$7</f>
        <v>30.292678952794638</v>
      </c>
      <c r="R34" s="6">
        <f>$J$3+[25]FormattedData!K92*$J$4+$M$4*$J$5+[25]FormattedData!K92^2*$J$6+$M$5*$J$7</f>
        <v>30.292678952794638</v>
      </c>
      <c r="S34" s="6">
        <f>$J$3+[25]FormattedData!L92*$J$4+$M$4*$J$5+[25]FormattedData!L92^2*$J$6+$M$5*$J$7</f>
        <v>28.241835852685842</v>
      </c>
      <c r="T34" s="6">
        <f>$J$3+[25]FormattedData!M92*$J$4+$M$4*$J$5+[25]FormattedData!M92^2*$J$6+$M$5*$J$7</f>
        <v>28.9275213777474</v>
      </c>
      <c r="U34" s="6">
        <f>$J$3+[25]FormattedData!N92*$J$4+$M$4*$J$5+[25]FormattedData!N92^2*$J$6+$M$5*$J$7</f>
        <v>29.123051110923608</v>
      </c>
      <c r="V34" s="6">
        <f>$J$3+[25]FormattedData!O92*$J$4+$M$4*$J$5+[25]FormattedData!O92^2*$J$6+$M$5*$J$7</f>
        <v>29.90347930211119</v>
      </c>
      <c r="W34" s="5">
        <f t="shared" si="0"/>
        <v>29.763765615168268</v>
      </c>
      <c r="X34" s="4">
        <f t="shared" si="1"/>
        <v>0.26426041370119974</v>
      </c>
      <c r="Y34" s="3">
        <f t="shared" si="2"/>
        <v>28.241835852685842</v>
      </c>
      <c r="Z34" s="2">
        <f t="shared" si="3"/>
        <v>29.074168677629558</v>
      </c>
      <c r="AA34" s="3">
        <f t="shared" si="4"/>
        <v>29.952160959850072</v>
      </c>
      <c r="AB34" s="2">
        <f t="shared" si="5"/>
        <v>30.292678952794638</v>
      </c>
      <c r="AC34" s="2">
        <f t="shared" si="6"/>
        <v>31.359490837794787</v>
      </c>
      <c r="AD34" s="2">
        <f t="shared" si="7"/>
        <v>3.2044885114993607E-2</v>
      </c>
      <c r="AE34" s="2">
        <f t="shared" si="8"/>
        <v>-0.58261035613768541</v>
      </c>
    </row>
    <row r="35" spans="2:31" x14ac:dyDescent="0.2">
      <c r="B35" s="1">
        <f>[25]FormattedData!A90</f>
        <v>402</v>
      </c>
      <c r="C35" s="1" t="str">
        <f>VLOOKUP($B35,[25]TrtCodes!$B$11:I130,2)</f>
        <v>NTH</v>
      </c>
      <c r="D35" s="1">
        <f>VLOOKUP($B35,[25]TrtCodes!$B$11:J130,3)</f>
        <v>9</v>
      </c>
      <c r="E35" s="1">
        <f>VLOOKUP($B35,[25]TrtCodes!$B$11:K130,4)</f>
        <v>2</v>
      </c>
      <c r="F35" s="1">
        <f>VLOOKUP($B35,[25]TrtCodes!$B$11:L130,5)</f>
        <v>2</v>
      </c>
      <c r="G35" s="1">
        <f>VLOOKUP($B35,[25]TrtCodes!$B$11:M130,6)</f>
        <v>2</v>
      </c>
      <c r="H35" s="1">
        <f>VLOOKUP($B35,[25]TrtCodes!$B$11:N130,7)</f>
        <v>3</v>
      </c>
      <c r="I35" s="1">
        <f>[25]FormattedData!B90</f>
        <v>1</v>
      </c>
      <c r="J35" s="4">
        <f>[25]FormattedData!C90</f>
        <v>13.742000000000001</v>
      </c>
      <c r="K35" s="6">
        <f>$J$3+[25]FormattedData!D90*$J$4+$M$4*$J$5+[25]FormattedData!D90^2*$J$6+$M$5*$J$7</f>
        <v>30.584134871158945</v>
      </c>
      <c r="L35" s="6">
        <f>$J$3+[25]FormattedData!E90*$J$4+$M$4*$J$5+[25]FormattedData!E90^2*$J$6+$M$5*$J$7</f>
        <v>29.806073718095504</v>
      </c>
      <c r="M35" s="6">
        <f>$J$3+[25]FormattedData!F90*$J$4+$M$4*$J$5+[25]FormattedData!F90^2*$J$6+$M$5*$J$7</f>
        <v>28.633909763948605</v>
      </c>
      <c r="N35" s="6">
        <f>$J$3+[25]FormattedData!G90*$J$4+$M$4*$J$5+[25]FormattedData!G90^2*$J$6+$M$5*$J$7</f>
        <v>30.098163664528776</v>
      </c>
      <c r="O35" s="6">
        <f>$J$3+[25]FormattedData!H90*$J$4+$M$4*$J$5+[25]FormattedData!H90^2*$J$6+$M$5*$J$7</f>
        <v>29.318411769948092</v>
      </c>
      <c r="P35" s="6">
        <f>$J$3+[25]FormattedData!I90*$J$4+$M$4*$J$5+[25]FormattedData!I90^2*$J$6+$M$5*$J$7</f>
        <v>29.806073718095504</v>
      </c>
      <c r="Q35" s="6">
        <f>$J$3+[25]FormattedData!J90*$J$4+$M$4*$J$5+[25]FormattedData!J90^2*$J$6+$M$5*$J$7</f>
        <v>29.90347930211119</v>
      </c>
      <c r="R35" s="6">
        <f>$J$3+[25]FormattedData!K90*$J$4+$M$4*$J$5+[25]FormattedData!K90^2*$J$6+$M$5*$J$7</f>
        <v>30.389873194120668</v>
      </c>
      <c r="S35" s="6">
        <f>$J$3+[25]FormattedData!L90*$J$4+$M$4*$J$5+[25]FormattedData!L90^2*$J$6+$M$5*$J$7</f>
        <v>29.70862586554188</v>
      </c>
      <c r="T35" s="6">
        <f>$J$3+[25]FormattedData!M90*$J$4+$M$4*$J$5+[25]FormattedData!M90^2*$J$6+$M$5*$J$7</f>
        <v>30.584134871158945</v>
      </c>
      <c r="U35" s="6">
        <f>$J$3+[25]FormattedData!N90*$J$4+$M$4*$J$5+[25]FormattedData!N90^2*$J$6+$M$5*$J$7</f>
        <v>30.19544244293067</v>
      </c>
      <c r="V35" s="6">
        <f>$J$3+[25]FormattedData!O90*$J$4+$M$4*$J$5+[25]FormattedData!O90^2*$J$6+$M$5*$J$7</f>
        <v>30.584134871158945</v>
      </c>
      <c r="W35" s="5">
        <f t="shared" si="0"/>
        <v>29.967704837733148</v>
      </c>
      <c r="X35" s="4">
        <f t="shared" si="1"/>
        <v>0.16767471348152713</v>
      </c>
      <c r="Y35" s="3">
        <f t="shared" si="2"/>
        <v>28.633909763948605</v>
      </c>
      <c r="Z35" s="2">
        <f t="shared" si="3"/>
        <v>29.781711754957097</v>
      </c>
      <c r="AA35" s="3">
        <f t="shared" si="4"/>
        <v>30.000821483319982</v>
      </c>
      <c r="AB35" s="2">
        <f t="shared" si="5"/>
        <v>30.438438613380235</v>
      </c>
      <c r="AC35" s="2">
        <f t="shared" si="6"/>
        <v>30.584134871158945</v>
      </c>
      <c r="AD35" s="2">
        <f t="shared" si="7"/>
        <v>-1.0469604824098118</v>
      </c>
      <c r="AE35" s="2">
        <f t="shared" si="8"/>
        <v>1.250036690268157</v>
      </c>
    </row>
    <row r="36" spans="2:31" x14ac:dyDescent="0.2">
      <c r="B36" s="1">
        <f>[25]FormattedData!A88</f>
        <v>403</v>
      </c>
      <c r="C36" s="1" t="str">
        <f>VLOOKUP($B36,[25]TrtCodes!$B$11:I131,2)</f>
        <v>FDL</v>
      </c>
      <c r="D36" s="1">
        <f>VLOOKUP($B36,[25]TrtCodes!$B$11:J131,3)</f>
        <v>6</v>
      </c>
      <c r="E36" s="1">
        <f>VLOOKUP($B36,[25]TrtCodes!$B$11:K131,4)</f>
        <v>1</v>
      </c>
      <c r="F36" s="1">
        <f>VLOOKUP($B36,[25]TrtCodes!$B$11:L131,5)</f>
        <v>3</v>
      </c>
      <c r="G36" s="1">
        <f>VLOOKUP($B36,[25]TrtCodes!$B$11:M131,6)</f>
        <v>1</v>
      </c>
      <c r="H36" s="1">
        <f>VLOOKUP($B36,[25]TrtCodes!$B$11:N131,7)</f>
        <v>3</v>
      </c>
      <c r="I36" s="1">
        <f>[25]FormattedData!B88</f>
        <v>1</v>
      </c>
      <c r="J36" s="4">
        <f>[25]FormattedData!C88</f>
        <v>13.725</v>
      </c>
      <c r="K36" s="6">
        <f>$J$3+[25]FormattedData!D88*$J$4+$M$4*$J$5+[25]FormattedData!D88^2*$J$6+$M$5*$J$7</f>
        <v>29.70862586554188</v>
      </c>
      <c r="L36" s="6">
        <f>$J$3+[25]FormattedData!E88*$J$4+$M$4*$J$5+[25]FormattedData!E88^2*$J$6+$M$5*$J$7</f>
        <v>31.069049364340831</v>
      </c>
      <c r="M36" s="6">
        <f>$J$3+[25]FormattedData!F88*$J$4+$M$4*$J$5+[25]FormattedData!F88^2*$J$6+$M$5*$J$7</f>
        <v>28.53595468893981</v>
      </c>
      <c r="N36" s="6">
        <f>$J$3+[25]FormattedData!G88*$J$4+$M$4*$J$5+[25]FormattedData!G88^2*$J$6+$M$5*$J$7</f>
        <v>30.584134871158945</v>
      </c>
      <c r="O36" s="6">
        <f>$J$3+[25]FormattedData!H88*$J$4+$M$4*$J$5+[25]FormattedData!H88^2*$J$6+$M$5*$J$7</f>
        <v>29.513603354820848</v>
      </c>
      <c r="P36" s="6">
        <f>$J$3+[25]FormattedData!I88*$J$4+$M$4*$J$5+[25]FormattedData!I88^2*$J$6+$M$5*$J$7</f>
        <v>29.611135744450333</v>
      </c>
      <c r="Q36" s="6">
        <f>$J$3+[25]FormattedData!J88*$J$4+$M$4*$J$5+[25]FormattedData!J88^2*$J$6+$M$5*$J$7</f>
        <v>29.416028696653434</v>
      </c>
      <c r="R36" s="6">
        <f>$J$3+[25]FormattedData!K88*$J$4+$M$4*$J$5+[25]FormattedData!K88^2*$J$6+$M$5*$J$7</f>
        <v>29.611135744450333</v>
      </c>
      <c r="S36" s="6">
        <f>$J$3+[25]FormattedData!L88*$J$4+$M$4*$J$5+[25]FormattedData!L88^2*$J$6+$M$5*$J$7</f>
        <v>29.123051110923608</v>
      </c>
      <c r="T36" s="6">
        <f>$J$3+[25]FormattedData!M88*$J$4+$M$4*$J$5+[25]FormattedData!M88^2*$J$6+$M$5*$J$7</f>
        <v>29.806073718095504</v>
      </c>
      <c r="U36" s="6">
        <f>$J$3+[25]FormattedData!N88*$J$4+$M$4*$J$5+[25]FormattedData!N88^2*$J$6+$M$5*$J$7</f>
        <v>30.19544244293067</v>
      </c>
      <c r="V36" s="6">
        <f>$J$3+[25]FormattedData!O88*$J$4+$M$4*$J$5+[25]FormattedData!O88^2*$J$6+$M$5*$J$7</f>
        <v>30.19544244293067</v>
      </c>
      <c r="W36" s="5">
        <f t="shared" si="0"/>
        <v>29.780806503769742</v>
      </c>
      <c r="X36" s="4">
        <f t="shared" si="1"/>
        <v>0.19264772837258459</v>
      </c>
      <c r="Y36" s="3">
        <f t="shared" si="2"/>
        <v>28.53595468893981</v>
      </c>
      <c r="Z36" s="2">
        <f t="shared" si="3"/>
        <v>29.489209690278994</v>
      </c>
      <c r="AA36" s="3">
        <f t="shared" si="4"/>
        <v>29.659880804996106</v>
      </c>
      <c r="AB36" s="2">
        <f t="shared" si="5"/>
        <v>30.19544244293067</v>
      </c>
      <c r="AC36" s="2">
        <f t="shared" si="6"/>
        <v>31.069049364340831</v>
      </c>
      <c r="AD36" s="2">
        <f t="shared" si="7"/>
        <v>0.18628032576301606</v>
      </c>
      <c r="AE36" s="2">
        <f t="shared" si="8"/>
        <v>0.60856757880796231</v>
      </c>
    </row>
    <row r="37" spans="2:31" x14ac:dyDescent="0.2">
      <c r="B37" s="1">
        <f>[25]FormattedData!A86</f>
        <v>404</v>
      </c>
      <c r="C37" s="1" t="str">
        <f>VLOOKUP($B37,[25]TrtCodes!$B$11:I129,2)</f>
        <v>FTH</v>
      </c>
      <c r="D37" s="1">
        <f>VLOOKUP($B37,[25]TrtCodes!$B$11:J129,3)</f>
        <v>3</v>
      </c>
      <c r="E37" s="1">
        <f>VLOOKUP($B37,[25]TrtCodes!$B$11:K129,4)</f>
        <v>1</v>
      </c>
      <c r="F37" s="1">
        <f>VLOOKUP($B37,[25]TrtCodes!$B$11:L129,5)</f>
        <v>2</v>
      </c>
      <c r="G37" s="1">
        <f>VLOOKUP($B37,[25]TrtCodes!$B$11:M129,6)</f>
        <v>2</v>
      </c>
      <c r="H37" s="1">
        <f>VLOOKUP($B37,[25]TrtCodes!$B$11:N129,7)</f>
        <v>3</v>
      </c>
      <c r="I37" s="1">
        <f>[25]FormattedData!B86</f>
        <v>1</v>
      </c>
      <c r="J37" s="4">
        <f>[25]FormattedData!C86</f>
        <v>13.707000000000001</v>
      </c>
      <c r="K37" s="6">
        <f>$J$3+[25]FormattedData!D86*$J$4+$M$4*$J$5+[25]FormattedData!D86^2*$J$6+$M$5*$J$7</f>
        <v>29.318411769948092</v>
      </c>
      <c r="L37" s="6">
        <f>$J$3+[25]FormattedData!E86*$J$4+$M$4*$J$5+[25]FormattedData!E86^2*$J$6+$M$5*$J$7</f>
        <v>32.324881627675794</v>
      </c>
      <c r="M37" s="6">
        <f>$J$3+[25]FormattedData!F86*$J$4+$M$4*$J$5+[25]FormattedData!F86^2*$J$6+$M$5*$J$7</f>
        <v>32.132141618003047</v>
      </c>
      <c r="N37" s="6">
        <f>$J$3+[25]FormattedData!G86*$J$4+$M$4*$J$5+[25]FormattedData!G86^2*$J$6+$M$5*$J$7</f>
        <v>32.613674628150449</v>
      </c>
      <c r="O37" s="6">
        <f>$J$3+[25]FormattedData!H86*$J$4+$M$4*$J$5+[25]FormattedData!H86^2*$J$6+$M$5*$J$7</f>
        <v>31.649551894407374</v>
      </c>
      <c r="P37" s="6">
        <f>$J$3+[25]FormattedData!I86*$J$4+$M$4*$J$5+[25]FormattedData!I86^2*$J$6+$M$5*$J$7</f>
        <v>31.165905457363412</v>
      </c>
      <c r="Q37" s="6">
        <f>$J$3+[25]FormattedData!J86*$J$4+$M$4*$J$5+[25]FormattedData!J86^2*$J$6+$M$5*$J$7</f>
        <v>31.165905457363412</v>
      </c>
      <c r="R37" s="6">
        <f>$J$3+[25]FormattedData!K86*$J$4+$M$4*$J$5+[25]FormattedData!K86^2*$J$6+$M$5*$J$7</f>
        <v>30.87521037268187</v>
      </c>
      <c r="S37" s="6">
        <f>$J$3+[25]FormattedData!L86*$J$4+$M$4*$J$5+[25]FormattedData!L86^2*$J$6+$M$5*$J$7</f>
        <v>31.456220125203586</v>
      </c>
      <c r="T37" s="6">
        <f>$J$3+[25]FormattedData!M86*$J$4+$M$4*$J$5+[25]FormattedData!M86^2*$J$6+$M$5*$J$7</f>
        <v>32.22853275710839</v>
      </c>
      <c r="U37" s="6">
        <f>$J$3+[25]FormattedData!N86*$J$4+$M$4*$J$5+[25]FormattedData!N86^2*$J$6+$M$5*$J$7</f>
        <v>32.42118822970528</v>
      </c>
      <c r="V37" s="6">
        <f>$J$3+[25]FormattedData!O86*$J$4+$M$4*$J$5+[25]FormattedData!O86^2*$J$6+$M$5*$J$7</f>
        <v>30.972151002780318</v>
      </c>
      <c r="W37" s="5">
        <f t="shared" si="0"/>
        <v>31.526981245032587</v>
      </c>
      <c r="X37" s="4">
        <f t="shared" si="1"/>
        <v>0.26638361500322083</v>
      </c>
      <c r="Y37" s="3">
        <f t="shared" si="2"/>
        <v>29.318411769948092</v>
      </c>
      <c r="Z37" s="2">
        <f t="shared" si="3"/>
        <v>31.117466843717636</v>
      </c>
      <c r="AA37" s="3">
        <f t="shared" si="4"/>
        <v>31.55288600980548</v>
      </c>
      <c r="AB37" s="2">
        <f t="shared" si="5"/>
        <v>32.252619974750239</v>
      </c>
      <c r="AC37" s="2">
        <f t="shared" si="6"/>
        <v>32.613674628150449</v>
      </c>
      <c r="AD37" s="2">
        <f t="shared" si="7"/>
        <v>-1.1439977647685271</v>
      </c>
      <c r="AE37" s="2">
        <f t="shared" si="8"/>
        <v>1.8163981159422029</v>
      </c>
    </row>
    <row r="38" spans="2:31" x14ac:dyDescent="0.2">
      <c r="B38" s="1">
        <f>[25]FormattedData!A84</f>
        <v>405</v>
      </c>
      <c r="C38" s="1" t="str">
        <f>VLOOKUP($B38,[25]TrtCodes!$B$11:I127,2)</f>
        <v>FDL</v>
      </c>
      <c r="D38" s="1">
        <f>VLOOKUP($B38,[25]TrtCodes!$B$11:J127,3)</f>
        <v>6</v>
      </c>
      <c r="E38" s="1">
        <f>VLOOKUP($B38,[25]TrtCodes!$B$11:K127,4)</f>
        <v>1</v>
      </c>
      <c r="F38" s="1">
        <f>VLOOKUP($B38,[25]TrtCodes!$B$11:L127,5)</f>
        <v>3</v>
      </c>
      <c r="G38" s="1">
        <f>VLOOKUP($B38,[25]TrtCodes!$B$11:M127,6)</f>
        <v>1</v>
      </c>
      <c r="H38" s="1">
        <f>VLOOKUP($B38,[25]TrtCodes!$B$11:N127,7)</f>
        <v>4</v>
      </c>
      <c r="I38" s="1">
        <f>[25]FormattedData!B84</f>
        <v>1</v>
      </c>
      <c r="J38" s="4">
        <f>[25]FormattedData!C84</f>
        <v>13.683999999999999</v>
      </c>
      <c r="K38" s="6">
        <f>$J$3+[25]FormattedData!D84*$J$4+$M$4*$J$5+[25]FormattedData!D84^2*$J$6+$M$5*$J$7</f>
        <v>30.681202306871182</v>
      </c>
      <c r="L38" s="6">
        <f>$J$3+[25]FormattedData!E84*$J$4+$M$4*$J$5+[25]FormattedData!E84^2*$J$6+$M$5*$J$7</f>
        <v>30.87521037268187</v>
      </c>
      <c r="M38" s="6">
        <f>$J$3+[25]FormattedData!F84*$J$4+$M$4*$J$5+[25]FormattedData!F84^2*$J$6+$M$5*$J$7</f>
        <v>29.611135744450333</v>
      </c>
      <c r="N38" s="6">
        <f>$J$3+[25]FormattedData!G84*$J$4+$M$4*$J$5+[25]FormattedData!G84^2*$J$6+$M$5*$J$7</f>
        <v>30.000842617588955</v>
      </c>
      <c r="O38" s="6">
        <f>$J$3+[25]FormattedData!H84*$J$4+$M$4*$J$5+[25]FormattedData!H84^2*$J$6+$M$5*$J$7</f>
        <v>30.098163664528776</v>
      </c>
      <c r="P38" s="6">
        <f>$J$3+[25]FormattedData!I84*$J$4+$M$4*$J$5+[25]FormattedData!I84^2*$J$6+$M$5*$J$7</f>
        <v>31.552907144074442</v>
      </c>
      <c r="Q38" s="6">
        <f>$J$3+[25]FormattedData!J84*$J$4+$M$4*$J$5+[25]FormattedData!J84^2*$J$6+$M$5*$J$7</f>
        <v>30.19544244293067</v>
      </c>
      <c r="R38" s="6">
        <f>$J$3+[25]FormattedData!K84*$J$4+$M$4*$J$5+[25]FormattedData!K84^2*$J$6+$M$5*$J$7</f>
        <v>30.778227474045494</v>
      </c>
      <c r="S38" s="6">
        <f>$J$3+[25]FormattedData!L84*$J$4+$M$4*$J$5+[25]FormattedData!L84^2*$J$6+$M$5*$J$7</f>
        <v>30.972151002780318</v>
      </c>
      <c r="T38" s="6">
        <f>$J$3+[25]FormattedData!M84*$J$4+$M$4*$J$5+[25]FormattedData!M84^2*$J$6+$M$5*$J$7</f>
        <v>31.359490837794787</v>
      </c>
      <c r="U38" s="6">
        <f>$J$3+[25]FormattedData!N84*$J$4+$M$4*$J$5+[25]FormattedData!N84^2*$J$6+$M$5*$J$7</f>
        <v>30.19544244293067</v>
      </c>
      <c r="V38" s="6">
        <f>$J$3+[25]FormattedData!O84*$J$4+$M$4*$J$5+[25]FormattedData!O84^2*$J$6+$M$5*$J$7</f>
        <v>29.806073718095504</v>
      </c>
      <c r="W38" s="5">
        <f t="shared" si="0"/>
        <v>30.510524147397756</v>
      </c>
      <c r="X38" s="4">
        <f t="shared" si="1"/>
        <v>0.17811550457937478</v>
      </c>
      <c r="Y38" s="3">
        <f t="shared" si="2"/>
        <v>29.611135744450333</v>
      </c>
      <c r="Z38" s="2">
        <f t="shared" si="3"/>
        <v>30.07383340279382</v>
      </c>
      <c r="AA38" s="3">
        <f t="shared" si="4"/>
        <v>30.438322374900928</v>
      </c>
      <c r="AB38" s="2">
        <f t="shared" si="5"/>
        <v>30.899445530206481</v>
      </c>
      <c r="AC38" s="2">
        <f t="shared" si="6"/>
        <v>31.552907144074442</v>
      </c>
      <c r="AD38" s="2">
        <f t="shared" si="7"/>
        <v>0.26627713719380414</v>
      </c>
      <c r="AE38" s="2">
        <f t="shared" si="8"/>
        <v>-1.0044664784295656</v>
      </c>
    </row>
    <row r="39" spans="2:31" x14ac:dyDescent="0.2">
      <c r="B39" s="1">
        <f>[25]FormattedData!A82</f>
        <v>406</v>
      </c>
      <c r="C39" s="1" t="str">
        <f>VLOOKUP($B39,[25]TrtCodes!$B$11:I125,2)</f>
        <v>FTH</v>
      </c>
      <c r="D39" s="1">
        <f>VLOOKUP($B39,[25]TrtCodes!$B$11:J125,3)</f>
        <v>3</v>
      </c>
      <c r="E39" s="1">
        <f>VLOOKUP($B39,[25]TrtCodes!$B$11:K125,4)</f>
        <v>1</v>
      </c>
      <c r="F39" s="1">
        <f>VLOOKUP($B39,[25]TrtCodes!$B$11:L125,5)</f>
        <v>2</v>
      </c>
      <c r="G39" s="1">
        <f>VLOOKUP($B39,[25]TrtCodes!$B$11:M125,6)</f>
        <v>2</v>
      </c>
      <c r="H39" s="1">
        <f>VLOOKUP($B39,[25]TrtCodes!$B$11:N125,7)</f>
        <v>4</v>
      </c>
      <c r="I39" s="1">
        <f>[25]FormattedData!B82</f>
        <v>1</v>
      </c>
      <c r="J39" s="4">
        <f>[25]FormattedData!C82</f>
        <v>13.666</v>
      </c>
      <c r="K39" s="6">
        <f>$J$3+[25]FormattedData!D82*$J$4+$M$4*$J$5+[25]FormattedData!D82^2*$J$6+$M$5*$J$7</f>
        <v>30.681202306871182</v>
      </c>
      <c r="L39" s="6">
        <f>$J$3+[25]FormattedData!E82*$J$4+$M$4*$J$5+[25]FormattedData!E82^2*$J$6+$M$5*$J$7</f>
        <v>30.487025166908776</v>
      </c>
      <c r="M39" s="6">
        <f>$J$3+[25]FormattedData!F82*$J$4+$M$4*$J$5+[25]FormattedData!F82^2*$J$6+$M$5*$J$7</f>
        <v>30.292678952794638</v>
      </c>
      <c r="N39" s="6">
        <f>$J$3+[25]FormattedData!G82*$J$4+$M$4*$J$5+[25]FormattedData!G82^2*$J$6+$M$5*$J$7</f>
        <v>30.000842617588955</v>
      </c>
      <c r="O39" s="6">
        <f>$J$3+[25]FormattedData!H82*$J$4+$M$4*$J$5+[25]FormattedData!H82^2*$J$6+$M$5*$J$7</f>
        <v>30.000842617588955</v>
      </c>
      <c r="P39" s="6">
        <f>$J$3+[25]FormattedData!I82*$J$4+$M$4*$J$5+[25]FormattedData!I82^2*$J$6+$M$5*$J$7</f>
        <v>30.000842617588955</v>
      </c>
      <c r="Q39" s="6">
        <f>$J$3+[25]FormattedData!J82*$J$4+$M$4*$J$5+[25]FormattedData!J82^2*$J$6+$M$5*$J$7</f>
        <v>29.90347930211119</v>
      </c>
      <c r="R39" s="6">
        <f>$J$3+[25]FormattedData!K82*$J$4+$M$4*$J$5+[25]FormattedData!K82^2*$J$6+$M$5*$J$7</f>
        <v>30.681202306871182</v>
      </c>
      <c r="S39" s="6">
        <f>$J$3+[25]FormattedData!L82*$J$4+$M$4*$J$5+[25]FormattedData!L82^2*$J$6+$M$5*$J$7</f>
        <v>29.90347930211119</v>
      </c>
      <c r="T39" s="6">
        <f>$J$3+[25]FormattedData!M82*$J$4+$M$4*$J$5+[25]FormattedData!M82^2*$J$6+$M$5*$J$7</f>
        <v>30.098163664528776</v>
      </c>
      <c r="U39" s="6">
        <f>$J$3+[25]FormattedData!N82*$J$4+$M$4*$J$5+[25]FormattedData!N82^2*$J$6+$M$5*$J$7</f>
        <v>29.611135744450333</v>
      </c>
      <c r="V39" s="6">
        <f>$J$3+[25]FormattedData!O82*$J$4+$M$4*$J$5+[25]FormattedData!O82^2*$J$6+$M$5*$J$7</f>
        <v>29.806073718095504</v>
      </c>
      <c r="W39" s="5">
        <f t="shared" si="0"/>
        <v>30.122247359792468</v>
      </c>
      <c r="X39" s="4">
        <f t="shared" si="1"/>
        <v>9.8806827991283458E-2</v>
      </c>
      <c r="Y39" s="3">
        <f t="shared" si="2"/>
        <v>29.611135744450333</v>
      </c>
      <c r="Z39" s="2">
        <f t="shared" si="3"/>
        <v>29.90347930211119</v>
      </c>
      <c r="AA39" s="3">
        <f t="shared" si="4"/>
        <v>30.000842617588955</v>
      </c>
      <c r="AB39" s="2">
        <f t="shared" si="5"/>
        <v>30.341265506323172</v>
      </c>
      <c r="AC39" s="2">
        <f t="shared" si="6"/>
        <v>30.681202306871182</v>
      </c>
      <c r="AD39" s="2">
        <f t="shared" si="7"/>
        <v>0.57487538230351842</v>
      </c>
      <c r="AE39" s="2">
        <f t="shared" si="8"/>
        <v>-0.62066517086231965</v>
      </c>
    </row>
    <row r="40" spans="2:31" x14ac:dyDescent="0.2">
      <c r="B40" s="1">
        <f>[25]FormattedData!A80</f>
        <v>407</v>
      </c>
      <c r="C40" s="1" t="str">
        <f>VLOOKUP($B40,[25]TrtCodes!$B$11:I123,2)</f>
        <v>NSH</v>
      </c>
      <c r="D40" s="1">
        <f>VLOOKUP($B40,[25]TrtCodes!$B$11:J123,3)</f>
        <v>7</v>
      </c>
      <c r="E40" s="1">
        <f>VLOOKUP($B40,[25]TrtCodes!$B$11:K123,4)</f>
        <v>2</v>
      </c>
      <c r="F40" s="1">
        <f>VLOOKUP($B40,[25]TrtCodes!$B$11:L123,5)</f>
        <v>1</v>
      </c>
      <c r="G40" s="1">
        <f>VLOOKUP($B40,[25]TrtCodes!$B$11:M123,6)</f>
        <v>2</v>
      </c>
      <c r="H40" s="1">
        <f>VLOOKUP($B40,[25]TrtCodes!$B$11:N123,7)</f>
        <v>4</v>
      </c>
      <c r="I40" s="1">
        <f>[25]FormattedData!B80</f>
        <v>1</v>
      </c>
      <c r="J40" s="4">
        <f>[25]FormattedData!C80</f>
        <v>13.648</v>
      </c>
      <c r="K40" s="6">
        <f>$J$3+[25]FormattedData!D80*$J$4+$M$4*$J$5+[25]FormattedData!D80^2*$J$6+$M$5*$J$7</f>
        <v>29.70862586554188</v>
      </c>
      <c r="L40" s="6">
        <f>$J$3+[25]FormattedData!E80*$J$4+$M$4*$J$5+[25]FormattedData!E80^2*$J$6+$M$5*$J$7</f>
        <v>30.292678952794638</v>
      </c>
      <c r="M40" s="6">
        <f>$J$3+[25]FormattedData!F80*$J$4+$M$4*$J$5+[25]FormattedData!F80^2*$J$6+$M$5*$J$7</f>
        <v>30.098163664528776</v>
      </c>
      <c r="N40" s="6">
        <f>$J$3+[25]FormattedData!G80*$J$4+$M$4*$J$5+[25]FormattedData!G80^2*$J$6+$M$5*$J$7</f>
        <v>29.123051110923608</v>
      </c>
      <c r="O40" s="6">
        <f>$J$3+[25]FormattedData!H80*$J$4+$M$4*$J$5+[25]FormattedData!H80^2*$J$6+$M$5*$J$7</f>
        <v>30.292678952794638</v>
      </c>
      <c r="P40" s="6">
        <f>$J$3+[25]FormattedData!I80*$J$4+$M$4*$J$5+[25]FormattedData!I80^2*$J$6+$M$5*$J$7</f>
        <v>29.611135744450333</v>
      </c>
      <c r="Q40" s="6">
        <f>$J$3+[25]FormattedData!J80*$J$4+$M$4*$J$5+[25]FormattedData!J80^2*$J$6+$M$5*$J$7</f>
        <v>29.70862586554188</v>
      </c>
      <c r="R40" s="6">
        <f>$J$3+[25]FormattedData!K80*$J$4+$M$4*$J$5+[25]FormattedData!K80^2*$J$6+$M$5*$J$7</f>
        <v>30.000842617588955</v>
      </c>
      <c r="S40" s="6">
        <f>$J$3+[25]FormattedData!L80*$J$4+$M$4*$J$5+[25]FormattedData!L80^2*$J$6+$M$5*$J$7</f>
        <v>29.70862586554188</v>
      </c>
      <c r="T40" s="6">
        <f>$J$3+[25]FormattedData!M80*$J$4+$M$4*$J$5+[25]FormattedData!M80^2*$J$6+$M$5*$J$7</f>
        <v>29.416028696653434</v>
      </c>
      <c r="U40" s="6">
        <f>$J$3+[25]FormattedData!N80*$J$4+$M$4*$J$5+[25]FormattedData!N80^2*$J$6+$M$5*$J$7</f>
        <v>27.849085644816181</v>
      </c>
      <c r="V40" s="6">
        <f>$J$3+[25]FormattedData!O80*$J$4+$M$4*$J$5+[25]FormattedData!O80^2*$J$6+$M$5*$J$7</f>
        <v>30.000842617588955</v>
      </c>
      <c r="W40" s="5">
        <f t="shared" si="0"/>
        <v>29.650865466563761</v>
      </c>
      <c r="X40" s="4">
        <f t="shared" si="1"/>
        <v>0.19189301910387996</v>
      </c>
      <c r="Y40" s="3">
        <f t="shared" si="2"/>
        <v>27.849085644816181</v>
      </c>
      <c r="Z40" s="2">
        <f t="shared" si="3"/>
        <v>29.562358982501109</v>
      </c>
      <c r="AA40" s="3">
        <f t="shared" si="4"/>
        <v>29.70862586554188</v>
      </c>
      <c r="AB40" s="2">
        <f t="shared" si="5"/>
        <v>30.025172879323911</v>
      </c>
      <c r="AC40" s="2">
        <f t="shared" si="6"/>
        <v>30.292678952794638</v>
      </c>
      <c r="AD40" s="2">
        <f t="shared" si="7"/>
        <v>-1.9701944020248765</v>
      </c>
      <c r="AE40" s="2">
        <f t="shared" si="8"/>
        <v>4.8676279971304801</v>
      </c>
    </row>
    <row r="41" spans="2:31" x14ac:dyDescent="0.2">
      <c r="B41" s="1">
        <f>[25]FormattedData!A78</f>
        <v>408</v>
      </c>
      <c r="C41" s="1" t="str">
        <f>VLOOKUP($B41,[25]TrtCodes!$B$11:I121,2)</f>
        <v>NTL</v>
      </c>
      <c r="D41" s="1">
        <f>VLOOKUP($B41,[25]TrtCodes!$B$11:J121,3)</f>
        <v>10</v>
      </c>
      <c r="E41" s="1">
        <f>VLOOKUP($B41,[25]TrtCodes!$B$11:K121,4)</f>
        <v>2</v>
      </c>
      <c r="F41" s="1">
        <f>VLOOKUP($B41,[25]TrtCodes!$B$11:L121,5)</f>
        <v>2</v>
      </c>
      <c r="G41" s="1">
        <f>VLOOKUP($B41,[25]TrtCodes!$B$11:M121,6)</f>
        <v>1</v>
      </c>
      <c r="H41" s="1">
        <f>VLOOKUP($B41,[25]TrtCodes!$B$11:N121,7)</f>
        <v>4</v>
      </c>
      <c r="I41" s="1">
        <f>[25]FormattedData!B78</f>
        <v>1</v>
      </c>
      <c r="J41" s="4">
        <f>[25]FormattedData!C78</f>
        <v>13.63</v>
      </c>
      <c r="K41" s="6">
        <f>$J$3+[25]FormattedData!D78*$J$4+$M$4*$J$5+[25]FormattedData!D78^2*$J$6+$M$5*$J$7</f>
        <v>28.9275213777474</v>
      </c>
      <c r="L41" s="6">
        <f>$J$3+[25]FormattedData!E78*$J$4+$M$4*$J$5+[25]FormattedData!E78^2*$J$6+$M$5*$J$7</f>
        <v>29.70862586554188</v>
      </c>
      <c r="M41" s="6">
        <f>$J$3+[25]FormattedData!F78*$J$4+$M$4*$J$5+[25]FormattedData!F78^2*$J$6+$M$5*$J$7</f>
        <v>29.806073718095504</v>
      </c>
      <c r="N41" s="6">
        <f>$J$3+[25]FormattedData!G78*$J$4+$M$4*$J$5+[25]FormattedData!G78^2*$J$6+$M$5*$J$7</f>
        <v>30.292678952794638</v>
      </c>
      <c r="O41" s="6">
        <f>$J$3+[25]FormattedData!H78*$J$4+$M$4*$J$5+[25]FormattedData!H78^2*$J$6+$M$5*$J$7</f>
        <v>29.70862586554188</v>
      </c>
      <c r="P41" s="6">
        <f>$J$3+[25]FormattedData!I78*$J$4+$M$4*$J$5+[25]FormattedData!I78^2*$J$6+$M$5*$J$7</f>
        <v>29.611135744450333</v>
      </c>
      <c r="Q41" s="6">
        <f>$J$3+[25]FormattedData!J78*$J$4+$M$4*$J$5+[25]FormattedData!J78^2*$J$6+$M$5*$J$7</f>
        <v>29.611135744450333</v>
      </c>
      <c r="R41" s="6">
        <f>$J$3+[25]FormattedData!K78*$J$4+$M$4*$J$5+[25]FormattedData!K78^2*$J$6+$M$5*$J$7</f>
        <v>29.70862586554188</v>
      </c>
      <c r="S41" s="6">
        <f>$J$3+[25]FormattedData!L78*$J$4+$M$4*$J$5+[25]FormattedData!L78^2*$J$6+$M$5*$J$7</f>
        <v>29.90347930211119</v>
      </c>
      <c r="T41" s="6">
        <f>$J$3+[25]FormattedData!M78*$J$4+$M$4*$J$5+[25]FormattedData!M78^2*$J$6+$M$5*$J$7</f>
        <v>29.90347930211119</v>
      </c>
      <c r="U41" s="6">
        <f>$J$3+[25]FormattedData!N78*$J$4+$M$4*$J$5+[25]FormattedData!N78^2*$J$6+$M$5*$J$7</f>
        <v>29.416028696653434</v>
      </c>
      <c r="V41" s="6">
        <f>$J$3+[25]FormattedData!O78*$J$4+$M$4*$J$5+[25]FormattedData!O78^2*$J$6+$M$5*$J$7</f>
        <v>30.584134871158945</v>
      </c>
      <c r="W41" s="5">
        <f t="shared" si="0"/>
        <v>29.765128775516548</v>
      </c>
      <c r="X41" s="4">
        <f t="shared" si="1"/>
        <v>0.11900792119635081</v>
      </c>
      <c r="Y41" s="3">
        <f t="shared" si="2"/>
        <v>28.9275213777474</v>
      </c>
      <c r="Z41" s="2">
        <f t="shared" si="3"/>
        <v>29.611135744450333</v>
      </c>
      <c r="AA41" s="3">
        <f t="shared" si="4"/>
        <v>29.70862586554188</v>
      </c>
      <c r="AB41" s="2">
        <f t="shared" si="5"/>
        <v>29.90347930211119</v>
      </c>
      <c r="AC41" s="2">
        <f t="shared" si="6"/>
        <v>30.584134871158945</v>
      </c>
      <c r="AD41" s="2">
        <f t="shared" si="7"/>
        <v>9.8883531559887633E-2</v>
      </c>
      <c r="AE41" s="2">
        <f t="shared" si="8"/>
        <v>1.6203630026107545</v>
      </c>
    </row>
    <row r="42" spans="2:31" x14ac:dyDescent="0.2">
      <c r="B42" s="17">
        <f>[25]FormattedData!A60</f>
        <v>901</v>
      </c>
      <c r="C42" s="17" t="str">
        <f>VLOOKUP($B42,[25]TrtCodes!$B$11:I103,2)</f>
        <v>WS</v>
      </c>
      <c r="D42" s="17">
        <f>VLOOKUP($B42,[25]TrtCodes!$B$11:J103,3)</f>
        <v>32</v>
      </c>
      <c r="E42" s="17">
        <f>VLOOKUP($B42,[25]TrtCodes!$B$11:K103,4)</f>
        <v>9</v>
      </c>
      <c r="F42" s="17">
        <f>VLOOKUP($B42,[25]TrtCodes!$B$11:L103,5)</f>
        <v>0</v>
      </c>
      <c r="G42" s="17">
        <f>VLOOKUP($B42,[25]TrtCodes!$B$11:M103,6)</f>
        <v>1</v>
      </c>
      <c r="H42" s="17">
        <f>VLOOKUP($B42,[25]TrtCodes!$B$11:N103,7)</f>
        <v>1</v>
      </c>
      <c r="I42" s="17">
        <f>[25]FormattedData!B60</f>
        <v>1</v>
      </c>
      <c r="J42" s="15">
        <f>[25]FormattedData!C60</f>
        <v>13.475</v>
      </c>
      <c r="K42" s="14">
        <f>$J$3+[25]FormattedData!D60*$J$4+$M$4*$J$5+[25]FormattedData!D60^2*$J$6+$M$5*$J$7</f>
        <v>52.754980760840212</v>
      </c>
      <c r="L42" s="14">
        <f>$J$3+[25]FormattedData!E60*$J$4+$M$4*$J$5+[25]FormattedData!E60^2*$J$6+$M$5*$J$7</f>
        <v>53.188961665815079</v>
      </c>
      <c r="M42" s="14">
        <f>$J$3+[25]FormattedData!F60*$J$4+$M$4*$J$5+[25]FormattedData!F60^2*$J$6+$M$5*$J$7</f>
        <v>52.232808813118645</v>
      </c>
      <c r="N42" s="14">
        <f>$J$3+[25]FormattedData!G60*$J$4+$M$4*$J$5+[25]FormattedData!G60^2*$J$6+$M$5*$J$7</f>
        <v>52.581092519084741</v>
      </c>
      <c r="O42" s="14">
        <f>$J$3+[25]FormattedData!H60*$J$4+$M$4*$J$5+[25]FormattedData!H60^2*$J$6+$M$5*$J$7</f>
        <v>50.745058128742002</v>
      </c>
      <c r="P42" s="14">
        <f>$J$3+[25]FormattedData!I60*$J$4+$M$4*$J$5+[25]FormattedData!I60^2*$J$6+$M$5*$J$7</f>
        <v>51.534212511365745</v>
      </c>
      <c r="Q42" s="14">
        <f>$J$3+[25]FormattedData!J60*$J$4+$M$4*$J$5+[25]FormattedData!J60^2*$J$6+$M$5*$J$7</f>
        <v>52.058413348908005</v>
      </c>
      <c r="R42" s="14">
        <f>$J$3+[25]FormattedData!K60*$J$4+$M$4*$J$5+[25]FormattedData!K60^2*$J$6+$M$5*$J$7</f>
        <v>51.971152213995786</v>
      </c>
      <c r="S42" s="14">
        <f>$J$3+[25]FormattedData!L60*$J$4+$M$4*$J$5+[25]FormattedData!L60^2*$J$6+$M$5*$J$7</f>
        <v>50.481245834184669</v>
      </c>
      <c r="T42" s="14">
        <f>$J$3+[25]FormattedData!M60*$J$4+$M$4*$J$5+[25]FormattedData!M60^2*$J$6+$M$5*$J$7</f>
        <v>51.796503138557568</v>
      </c>
      <c r="U42" s="14">
        <f>$J$3+[25]FormattedData!N60*$J$4+$M$4*$J$5+[25]FormattedData!N60^2*$J$6+$M$5*$J$7</f>
        <v>52.407035203177557</v>
      </c>
      <c r="V42" s="14">
        <f>$J$3+[25]FormattedData!O60*$J$4+$M$4*$J$5+[25]FormattedData!O60^2*$J$6+$M$5*$J$7</f>
        <v>51.883848810545651</v>
      </c>
      <c r="W42" s="16">
        <f t="shared" ref="W42:W73" si="9">AVERAGE(K42:V42)</f>
        <v>51.969609412361301</v>
      </c>
      <c r="X42" s="15">
        <f t="shared" ref="X42:X73" si="10">STDEV(K42:V42)/SQRT(COUNT(K42:V42))</f>
        <v>0.22508729856171181</v>
      </c>
      <c r="Y42" s="14">
        <f t="shared" ref="Y42:Y73" si="11">MIN(K42:V42)</f>
        <v>50.481245834184669</v>
      </c>
      <c r="Z42" s="13">
        <f t="shared" ref="Z42:Z73" si="12">QUARTILE(K42:V42,1)</f>
        <v>51.730930481759614</v>
      </c>
      <c r="AA42" s="14">
        <f t="shared" ref="AA42:AA73" si="13">MEDIAN(K42:V42)</f>
        <v>52.014782781451899</v>
      </c>
      <c r="AB42" s="13">
        <f t="shared" ref="AB42:AB73" si="14">QUARTILE(K42:V42,3)</f>
        <v>52.450549532154355</v>
      </c>
      <c r="AC42" s="13">
        <f t="shared" ref="AC42:AC73" si="15">MAX(K42:V42)</f>
        <v>53.188961665815079</v>
      </c>
      <c r="AD42" s="13">
        <f t="shared" ref="AD42:AD73" si="16">SKEW(K42:V42)</f>
        <v>-0.59671690147003442</v>
      </c>
      <c r="AE42" s="13">
        <f t="shared" ref="AE42:AE73" si="17">KURT(K42:V42)</f>
        <v>0.21484709681819236</v>
      </c>
    </row>
    <row r="43" spans="2:31" x14ac:dyDescent="0.2">
      <c r="B43" s="1">
        <f>[25]FormattedData!A58</f>
        <v>902</v>
      </c>
      <c r="C43" s="1" t="str">
        <f>VLOOKUP($B43,[25]TrtCodes!$B$11:I101,2)</f>
        <v>Late</v>
      </c>
      <c r="D43" s="1">
        <f>VLOOKUP($B43,[25]TrtCodes!$B$11:J101,3)</f>
        <v>22</v>
      </c>
      <c r="E43" s="1">
        <f>VLOOKUP($B43,[25]TrtCodes!$B$11:K101,4)</f>
        <v>4</v>
      </c>
      <c r="F43" s="1">
        <f>VLOOKUP($B43,[25]TrtCodes!$B$11:L101,5)</f>
        <v>2</v>
      </c>
      <c r="G43" s="1">
        <f>VLOOKUP($B43,[25]TrtCodes!$B$11:M101,6)</f>
        <v>2</v>
      </c>
      <c r="H43" s="1">
        <f>VLOOKUP($B43,[25]TrtCodes!$B$11:N101,7)</f>
        <v>1</v>
      </c>
      <c r="I43" s="1">
        <f>[25]FormattedData!B58</f>
        <v>1</v>
      </c>
      <c r="J43" s="4">
        <f>[25]FormattedData!C58</f>
        <v>13.456</v>
      </c>
      <c r="K43" s="6">
        <f>$J$3+[25]FormattedData!D58*$J$4+$M$4*$J$5+[25]FormattedData!D58^2*$J$6+$M$5*$J$7</f>
        <v>46.568293179122868</v>
      </c>
      <c r="L43" s="6">
        <f>$J$3+[25]FormattedData!E58*$J$4+$M$4*$J$5+[25]FormattedData!E58^2*$J$6+$M$5*$J$7</f>
        <v>43.123070594927313</v>
      </c>
      <c r="M43" s="6">
        <f>$J$3+[25]FormattedData!F58*$J$4+$M$4*$J$5+[25]FormattedData!F58^2*$J$6+$M$5*$J$7</f>
        <v>41.008152914608161</v>
      </c>
      <c r="N43" s="6">
        <f>$J$3+[25]FormattedData!G58*$J$4+$M$4*$J$5+[25]FormattedData!G58^2*$J$6+$M$5*$J$7</f>
        <v>43.579876510384992</v>
      </c>
      <c r="O43" s="6">
        <f>$J$3+[25]FormattedData!H58*$J$4+$M$4*$J$5+[25]FormattedData!H58^2*$J$6+$M$5*$J$7</f>
        <v>44.399464240319155</v>
      </c>
      <c r="P43" s="6">
        <f>$J$3+[25]FormattedData!I58*$J$4+$M$4*$J$5+[25]FormattedData!I58^2*$J$6+$M$5*$J$7</f>
        <v>41.746312567864599</v>
      </c>
      <c r="Q43" s="6">
        <f>$J$3+[25]FormattedData!J58*$J$4+$M$4*$J$5+[25]FormattedData!J58^2*$J$6+$M$5*$J$7</f>
        <v>43.579876510384992</v>
      </c>
      <c r="R43" s="6">
        <f>$J$3+[25]FormattedData!K58*$J$4+$M$4*$J$5+[25]FormattedData!K58^2*$J$6+$M$5*$J$7</f>
        <v>41.56202626577808</v>
      </c>
      <c r="S43" s="6">
        <f>$J$3+[25]FormattedData!L58*$J$4+$M$4*$J$5+[25]FormattedData!L58^2*$J$6+$M$5*$J$7</f>
        <v>41.285279798613807</v>
      </c>
      <c r="T43" s="6">
        <f>$J$3+[25]FormattedData!M58*$J$4+$M$4*$J$5+[25]FormattedData!M58^2*$J$6+$M$5*$J$7</f>
        <v>42.298157029213833</v>
      </c>
      <c r="U43" s="6">
        <f>$J$3+[25]FormattedData!N58*$J$4+$M$4*$J$5+[25]FormattedData!N58^2*$J$6+$M$5*$J$7</f>
        <v>42.665207966021356</v>
      </c>
      <c r="V43" s="6">
        <f>$J$3+[25]FormattedData!O58*$J$4+$M$4*$J$5+[25]FormattedData!O58^2*$J$6+$M$5*$J$7</f>
        <v>41.285279798613807</v>
      </c>
      <c r="W43" s="5">
        <f t="shared" si="9"/>
        <v>42.758416447987742</v>
      </c>
      <c r="X43" s="4">
        <f t="shared" si="10"/>
        <v>0.46686154244879813</v>
      </c>
      <c r="Y43" s="3">
        <f t="shared" si="11"/>
        <v>41.008152914608161</v>
      </c>
      <c r="Z43" s="2">
        <f t="shared" si="12"/>
        <v>41.492839648987015</v>
      </c>
      <c r="AA43" s="3">
        <f t="shared" si="13"/>
        <v>42.481682497617598</v>
      </c>
      <c r="AB43" s="2">
        <f t="shared" si="14"/>
        <v>43.579876510384992</v>
      </c>
      <c r="AC43" s="2">
        <f t="shared" si="15"/>
        <v>46.568293179122868</v>
      </c>
      <c r="AD43" s="2">
        <f t="shared" si="16"/>
        <v>1.1934193875602637</v>
      </c>
      <c r="AE43" s="2">
        <f t="shared" si="17"/>
        <v>1.5137166954417136</v>
      </c>
    </row>
    <row r="44" spans="2:31" x14ac:dyDescent="0.2">
      <c r="B44" s="17">
        <f>[25]FormattedData!A56</f>
        <v>903</v>
      </c>
      <c r="C44" s="17" t="str">
        <f>VLOOKUP($B44,[25]TrtCodes!$B$11:I99,2)</f>
        <v>DS</v>
      </c>
      <c r="D44" s="17">
        <f>VLOOKUP($B44,[25]TrtCodes!$B$11:J99,3)</f>
        <v>31</v>
      </c>
      <c r="E44" s="17">
        <f>VLOOKUP($B44,[25]TrtCodes!$B$11:K99,4)</f>
        <v>8</v>
      </c>
      <c r="F44" s="17">
        <f>VLOOKUP($B44,[25]TrtCodes!$B$11:L99,5)</f>
        <v>0</v>
      </c>
      <c r="G44" s="17">
        <f>VLOOKUP($B44,[25]TrtCodes!$B$11:M99,6)</f>
        <v>1</v>
      </c>
      <c r="H44" s="17">
        <f>VLOOKUP($B44,[25]TrtCodes!$B$11:N99,7)</f>
        <v>1</v>
      </c>
      <c r="I44" s="17">
        <f>[25]FormattedData!B56</f>
        <v>1</v>
      </c>
      <c r="J44" s="15">
        <f>[25]FormattedData!C56</f>
        <v>13.446999999999999</v>
      </c>
      <c r="K44" s="14">
        <f>$J$3+[25]FormattedData!D56*$J$4+$M$4*$J$5+[25]FormattedData!D56^2*$J$6+$M$5*$J$7</f>
        <v>58.230133344904488</v>
      </c>
      <c r="L44" s="14">
        <f>$J$3+[25]FormattedData!E56*$J$4+$M$4*$J$5+[25]FormattedData!E56^2*$J$6+$M$5*$J$7</f>
        <v>57.639721104339714</v>
      </c>
      <c r="M44" s="14">
        <f>$J$3+[25]FormattedData!F56*$J$4+$M$4*$J$5+[25]FormattedData!F56^2*$J$6+$M$5*$J$7</f>
        <v>57.808621658619309</v>
      </c>
      <c r="N44" s="14">
        <f>$J$3+[25]FormattedData!G56*$J$4+$M$4*$J$5+[25]FormattedData!G56^2*$J$6+$M$5*$J$7</f>
        <v>57.977353138747169</v>
      </c>
      <c r="O44" s="14">
        <f>$J$3+[25]FormattedData!H56*$J$4+$M$4*$J$5+[25]FormattedData!H56^2*$J$6+$M$5*$J$7</f>
        <v>56.537746319074103</v>
      </c>
      <c r="P44" s="14">
        <f>$J$3+[25]FormattedData!I56*$J$4+$M$4*$J$5+[25]FormattedData!I56^2*$J$6+$M$5*$J$7</f>
        <v>56.962428145704116</v>
      </c>
      <c r="Q44" s="14">
        <f>$J$3+[25]FormattedData!J56*$J$4+$M$4*$J$5+[25]FormattedData!J56^2*$J$6+$M$5*$J$7</f>
        <v>57.047237705416322</v>
      </c>
      <c r="R44" s="14">
        <f>$J$3+[25]FormattedData!K56*$J$4+$M$4*$J$5+[25]FormattedData!K56^2*$J$6+$M$5*$J$7</f>
        <v>57.977353138747169</v>
      </c>
      <c r="S44" s="14">
        <f>$J$3+[25]FormattedData!L56*$J$4+$M$4*$J$5+[25]FormattedData!L56^2*$J$6+$M$5*$J$7</f>
        <v>57.977353138747169</v>
      </c>
      <c r="T44" s="14">
        <f>$J$3+[25]FormattedData!M56*$J$4+$M$4*$J$5+[25]FormattedData!M56^2*$J$6+$M$5*$J$7</f>
        <v>58.061655476004205</v>
      </c>
      <c r="U44" s="14">
        <f>$J$3+[25]FormattedData!N56*$J$4+$M$4*$J$5+[25]FormattedData!N56^2*$J$6+$M$5*$J$7</f>
        <v>57.639721104339714</v>
      </c>
      <c r="V44" s="14">
        <f>$J$3+[25]FormattedData!O56*$J$4+$M$4*$J$5+[25]FormattedData!O56^2*$J$6+$M$5*$J$7</f>
        <v>57.808621658619309</v>
      </c>
      <c r="W44" s="16">
        <f t="shared" si="9"/>
        <v>57.638995494438575</v>
      </c>
      <c r="X44" s="15">
        <f t="shared" si="10"/>
        <v>0.14948803117460072</v>
      </c>
      <c r="Y44" s="14">
        <f t="shared" si="11"/>
        <v>56.537746319074103</v>
      </c>
      <c r="Z44" s="13">
        <f t="shared" si="12"/>
        <v>57.491600254608869</v>
      </c>
      <c r="AA44" s="14">
        <f t="shared" si="13"/>
        <v>57.808621658619309</v>
      </c>
      <c r="AB44" s="13">
        <f t="shared" si="14"/>
        <v>57.977353138747169</v>
      </c>
      <c r="AC44" s="13">
        <f t="shared" si="15"/>
        <v>58.230133344904488</v>
      </c>
      <c r="AD44" s="13">
        <f t="shared" si="16"/>
        <v>-1.1347155708503891</v>
      </c>
      <c r="AE44" s="13">
        <f t="shared" si="17"/>
        <v>0.34469327197552957</v>
      </c>
    </row>
    <row r="45" spans="2:31" x14ac:dyDescent="0.2">
      <c r="B45" s="1">
        <f>[25]FormattedData!A54</f>
        <v>904</v>
      </c>
      <c r="C45" s="1" t="str">
        <f>VLOOKUP($B45,[25]TrtCodes!$B$11:I97,2)</f>
        <v>Early</v>
      </c>
      <c r="D45" s="1">
        <f>VLOOKUP($B45,[25]TrtCodes!$B$11:J97,3)</f>
        <v>21</v>
      </c>
      <c r="E45" s="1">
        <f>VLOOKUP($B45,[25]TrtCodes!$B$11:K97,4)</f>
        <v>3</v>
      </c>
      <c r="F45" s="1">
        <f>VLOOKUP($B45,[25]TrtCodes!$B$11:L97,5)</f>
        <v>2</v>
      </c>
      <c r="G45" s="1">
        <f>VLOOKUP($B45,[25]TrtCodes!$B$11:M97,6)</f>
        <v>2</v>
      </c>
      <c r="H45" s="1">
        <f>VLOOKUP($B45,[25]TrtCodes!$B$11:N97,7)</f>
        <v>1</v>
      </c>
      <c r="I45" s="1">
        <f>[25]FormattedData!B54</f>
        <v>1</v>
      </c>
      <c r="J45" s="4">
        <f>[25]FormattedData!C54</f>
        <v>13.428000000000001</v>
      </c>
      <c r="K45" s="6">
        <f>$J$3+[25]FormattedData!D54*$J$4+$M$4*$J$5+[25]FormattedData!D54^2*$J$6+$M$5*$J$7</f>
        <v>50.832911023185254</v>
      </c>
      <c r="L45" s="6">
        <f>$J$3+[25]FormattedData!E54*$J$4+$M$4*$J$5+[25]FormattedData!E54^2*$J$6+$M$5*$J$7</f>
        <v>51.534212511365745</v>
      </c>
      <c r="M45" s="6">
        <f>$J$3+[25]FormattedData!F54*$J$4+$M$4*$J$5+[25]FormattedData!F54^2*$J$6+$M$5*$J$7</f>
        <v>42.848479823197529</v>
      </c>
      <c r="N45" s="6">
        <f>$J$3+[25]FormattedData!G54*$J$4+$M$4*$J$5+[25]FormattedData!G54^2*$J$6+$M$5*$J$7</f>
        <v>48.446046616403635</v>
      </c>
      <c r="O45" s="6">
        <f>$J$3+[25]FormattedData!H54*$J$4+$M$4*$J$5+[25]FormattedData!H54^2*$J$6+$M$5*$J$7</f>
        <v>42.573508634626364</v>
      </c>
      <c r="P45" s="6">
        <f>$J$3+[25]FormattedData!I54*$J$4+$M$4*$J$5+[25]FormattedData!I54^2*$J$6+$M$5*$J$7</f>
        <v>51.534212511365745</v>
      </c>
      <c r="Q45" s="6">
        <f>$J$3+[25]FormattedData!J54*$J$4+$M$4*$J$5+[25]FormattedData!J54^2*$J$6+$M$5*$J$7</f>
        <v>47.196282149908413</v>
      </c>
      <c r="R45" s="6">
        <f>$J$3+[25]FormattedData!K54*$J$4+$M$4*$J$5+[25]FormattedData!K54^2*$J$6+$M$5*$J$7</f>
        <v>46.927397630799334</v>
      </c>
      <c r="S45" s="6">
        <f>$J$3+[25]FormattedData!L54*$J$4+$M$4*$J$5+[25]FormattedData!L54^2*$J$6+$M$5*$J$7</f>
        <v>45.125112406347988</v>
      </c>
      <c r="T45" s="6">
        <f>$J$3+[25]FormattedData!M54*$J$4+$M$4*$J$5+[25]FormattedData!M54^2*$J$6+$M$5*$J$7</f>
        <v>54.570599447362213</v>
      </c>
      <c r="U45" s="6">
        <f>$J$3+[25]FormattedData!N54*$J$4+$M$4*$J$5+[25]FormattedData!N54^2*$J$6+$M$5*$J$7</f>
        <v>44.399464240319155</v>
      </c>
      <c r="V45" s="6">
        <f>$J$3+[25]FormattedData!O54*$J$4+$M$4*$J$5+[25]FormattedData!O54^2*$J$6+$M$5*$J$7</f>
        <v>50.217053122785941</v>
      </c>
      <c r="W45" s="5">
        <f t="shared" si="9"/>
        <v>48.017106676472274</v>
      </c>
      <c r="X45" s="4">
        <f t="shared" si="10"/>
        <v>1.1019971261407746</v>
      </c>
      <c r="Y45" s="3">
        <f t="shared" si="11"/>
        <v>42.573508634626364</v>
      </c>
      <c r="Z45" s="2">
        <f t="shared" si="12"/>
        <v>44.94370036484078</v>
      </c>
      <c r="AA45" s="3">
        <f t="shared" si="13"/>
        <v>47.821164383156024</v>
      </c>
      <c r="AB45" s="2">
        <f t="shared" si="14"/>
        <v>51.008236395230377</v>
      </c>
      <c r="AC45" s="2">
        <f t="shared" si="15"/>
        <v>54.570599447362213</v>
      </c>
      <c r="AD45" s="2">
        <f t="shared" si="16"/>
        <v>5.6397059467799986E-2</v>
      </c>
      <c r="AE45" s="2">
        <f t="shared" si="17"/>
        <v>-1.0120645110057196</v>
      </c>
    </row>
    <row r="46" spans="2:31" x14ac:dyDescent="0.2">
      <c r="B46" s="17">
        <f>[25]FormattedData!A52</f>
        <v>905</v>
      </c>
      <c r="C46" s="17" t="str">
        <f>VLOOKUP($B46,[25]TrtCodes!$B$11:I95,2)</f>
        <v>WS</v>
      </c>
      <c r="D46" s="17">
        <f>VLOOKUP($B46,[25]TrtCodes!$B$11:J95,3)</f>
        <v>32</v>
      </c>
      <c r="E46" s="17">
        <f>VLOOKUP($B46,[25]TrtCodes!$B$11:K95,4)</f>
        <v>9</v>
      </c>
      <c r="F46" s="17">
        <f>VLOOKUP($B46,[25]TrtCodes!$B$11:L95,5)</f>
        <v>0</v>
      </c>
      <c r="G46" s="17">
        <f>VLOOKUP($B46,[25]TrtCodes!$B$11:M95,6)</f>
        <v>1</v>
      </c>
      <c r="H46" s="17">
        <f>VLOOKUP($B46,[25]TrtCodes!$B$11:N95,7)</f>
        <v>2</v>
      </c>
      <c r="I46" s="17">
        <f>[25]FormattedData!B52</f>
        <v>1</v>
      </c>
      <c r="J46" s="15">
        <f>[25]FormattedData!C52</f>
        <v>13.42</v>
      </c>
      <c r="K46" s="14">
        <f>$J$3+[25]FormattedData!D52*$J$4+$M$4*$J$5+[25]FormattedData!D52^2*$J$6+$M$5*$J$7</f>
        <v>37.840794652185437</v>
      </c>
      <c r="L46" s="14">
        <f>$J$3+[25]FormattedData!E52*$J$4+$M$4*$J$5+[25]FormattedData!E52^2*$J$6+$M$5*$J$7</f>
        <v>37.652957792912694</v>
      </c>
      <c r="M46" s="14">
        <f>$J$3+[25]FormattedData!F52*$J$4+$M$4*$J$5+[25]FormattedData!F52^2*$J$6+$M$5*$J$7</f>
        <v>37.558975960469425</v>
      </c>
      <c r="N46" s="14">
        <f>$J$3+[25]FormattedData!G52*$J$4+$M$4*$J$5+[25]FormattedData!G52^2*$J$6+$M$5*$J$7</f>
        <v>37.558975960469425</v>
      </c>
      <c r="O46" s="14">
        <f>$J$3+[25]FormattedData!H52*$J$4+$M$4*$J$5+[25]FormattedData!H52^2*$J$6+$M$5*$J$7</f>
        <v>37.652957792912694</v>
      </c>
      <c r="P46" s="14">
        <f>$J$3+[25]FormattedData!I52*$J$4+$M$4*$J$5+[25]FormattedData!I52^2*$J$6+$M$5*$J$7</f>
        <v>37.558975960469425</v>
      </c>
      <c r="Q46" s="14">
        <f>$J$3+[25]FormattedData!J52*$J$4+$M$4*$J$5+[25]FormattedData!J52^2*$J$6+$M$5*$J$7</f>
        <v>37.464951859488231</v>
      </c>
      <c r="R46" s="14">
        <f>$J$3+[25]FormattedData!K52*$J$4+$M$4*$J$5+[25]FormattedData!K52^2*$J$6+$M$5*$J$7</f>
        <v>37.93464967901491</v>
      </c>
      <c r="S46" s="14">
        <f>$J$3+[25]FormattedData!L52*$J$4+$M$4*$J$5+[25]FormattedData!L52^2*$J$6+$M$5*$J$7</f>
        <v>38.215961148275746</v>
      </c>
      <c r="T46" s="14">
        <f>$J$3+[25]FormattedData!M52*$J$4+$M$4*$J$5+[25]FormattedData!M52^2*$J$6+$M$5*$J$7</f>
        <v>37.93464967901491</v>
      </c>
      <c r="U46" s="14">
        <f>$J$3+[25]FormattedData!N52*$J$4+$M$4*$J$5+[25]FormattedData!N52^2*$J$6+$M$5*$J$7</f>
        <v>37.746897356818025</v>
      </c>
      <c r="V46" s="14">
        <f>$J$3+[25]FormattedData!O52*$J$4+$M$4*$J$5+[25]FormattedData!O52^2*$J$6+$M$5*$J$7</f>
        <v>37.93464967901491</v>
      </c>
      <c r="W46" s="16">
        <f t="shared" si="9"/>
        <v>37.754616460087156</v>
      </c>
      <c r="X46" s="15">
        <f t="shared" si="10"/>
        <v>6.3779997799991744E-2</v>
      </c>
      <c r="Y46" s="14">
        <f t="shared" si="11"/>
        <v>37.464951859488231</v>
      </c>
      <c r="Z46" s="13">
        <f t="shared" si="12"/>
        <v>37.558975960469425</v>
      </c>
      <c r="AA46" s="14">
        <f t="shared" si="13"/>
        <v>37.699927574865356</v>
      </c>
      <c r="AB46" s="13">
        <f t="shared" si="14"/>
        <v>37.93464967901491</v>
      </c>
      <c r="AC46" s="13">
        <f t="shared" si="15"/>
        <v>38.215961148275746</v>
      </c>
      <c r="AD46" s="13">
        <f t="shared" si="16"/>
        <v>0.68242603830237791</v>
      </c>
      <c r="AE46" s="13">
        <f t="shared" si="17"/>
        <v>-5.5312055084154821E-2</v>
      </c>
    </row>
    <row r="47" spans="2:31" x14ac:dyDescent="0.2">
      <c r="B47" s="1">
        <f>[25]FormattedData!A50</f>
        <v>906</v>
      </c>
      <c r="C47" s="1" t="str">
        <f>VLOOKUP($B47,[25]TrtCodes!$B$11:I93,2)</f>
        <v>Late</v>
      </c>
      <c r="D47" s="1">
        <f>VLOOKUP($B47,[25]TrtCodes!$B$11:J93,3)</f>
        <v>22</v>
      </c>
      <c r="E47" s="1">
        <f>VLOOKUP($B47,[25]TrtCodes!$B$11:K93,4)</f>
        <v>4</v>
      </c>
      <c r="F47" s="1">
        <f>VLOOKUP($B47,[25]TrtCodes!$B$11:L93,5)</f>
        <v>2</v>
      </c>
      <c r="G47" s="1">
        <f>VLOOKUP($B47,[25]TrtCodes!$B$11:M93,6)</f>
        <v>2</v>
      </c>
      <c r="H47" s="1">
        <f>VLOOKUP($B47,[25]TrtCodes!$B$11:N93,7)</f>
        <v>2</v>
      </c>
      <c r="I47" s="1">
        <f>[25]FormattedData!B50</f>
        <v>1</v>
      </c>
      <c r="J47" s="4">
        <f>[25]FormattedData!C50</f>
        <v>13.401</v>
      </c>
      <c r="K47" s="6">
        <f>$J$3+[25]FormattedData!D50*$J$4+$M$4*$J$5+[25]FormattedData!D50^2*$J$6+$M$5*$J$7</f>
        <v>40.638058643069591</v>
      </c>
      <c r="L47" s="6">
        <f>$J$3+[25]FormattedData!E50*$J$4+$M$4*$J$5+[25]FormattedData!E50^2*$J$6+$M$5*$J$7</f>
        <v>38.122232927060061</v>
      </c>
      <c r="M47" s="6">
        <f>$J$3+[25]FormattedData!F50*$J$4+$M$4*$J$5+[25]FormattedData!F50^2*$J$6+$M$5*$J$7</f>
        <v>38.777442836273266</v>
      </c>
      <c r="N47" s="6">
        <f>$J$3+[25]FormattedData!G50*$J$4+$M$4*$J$5+[25]FormattedData!G50^2*$J$6+$M$5*$J$7</f>
        <v>42.389983166222606</v>
      </c>
      <c r="O47" s="6">
        <f>$J$3+[25]FormattedData!H50*$J$4+$M$4*$J$5+[25]FormattedData!H50^2*$J$6+$M$5*$J$7</f>
        <v>40.267288074924117</v>
      </c>
      <c r="P47" s="6">
        <f>$J$3+[25]FormattedData!I50*$J$4+$M$4*$J$5+[25]FormattedData!I50^2*$J$6+$M$5*$J$7</f>
        <v>44.126648747182486</v>
      </c>
      <c r="Q47" s="6">
        <f>$J$3+[25]FormattedData!J50*$J$4+$M$4*$J$5+[25]FormattedData!J50^2*$J$6+$M$5*$J$7</f>
        <v>41.56202626577808</v>
      </c>
      <c r="R47" s="6">
        <f>$J$3+[25]FormattedData!K50*$J$4+$M$4*$J$5+[25]FormattedData!K50^2*$J$6+$M$5*$J$7</f>
        <v>43.031582606221988</v>
      </c>
      <c r="S47" s="6">
        <f>$J$3+[25]FormattedData!L50*$J$4+$M$4*$J$5+[25]FormattedData!L50^2*$J$6+$M$5*$J$7</f>
        <v>39.80287382263883</v>
      </c>
      <c r="T47" s="6">
        <f>$J$3+[25]FormattedData!M50*$J$4+$M$4*$J$5+[25]FormattedData!M50^2*$J$6+$M$5*$J$7</f>
        <v>41.377570889539825</v>
      </c>
      <c r="U47" s="6">
        <f>$J$3+[25]FormattedData!N50*$J$4+$M$4*$J$5+[25]FormattedData!N50^2*$J$6+$M$5*$J$7</f>
        <v>42.848479823197529</v>
      </c>
      <c r="V47" s="6">
        <f>$J$3+[25]FormattedData!O50*$J$4+$M$4*$J$5+[25]FormattedData!O50^2*$J$6+$M$5*$J$7</f>
        <v>42.389983166222606</v>
      </c>
      <c r="W47" s="5">
        <f t="shared" si="9"/>
        <v>41.27784758069425</v>
      </c>
      <c r="X47" s="4">
        <f t="shared" si="10"/>
        <v>0.52251264568018785</v>
      </c>
      <c r="Y47" s="3">
        <f t="shared" si="11"/>
        <v>38.122232927060061</v>
      </c>
      <c r="Z47" s="2">
        <f t="shared" si="12"/>
        <v>40.151184511852797</v>
      </c>
      <c r="AA47" s="3">
        <f t="shared" si="13"/>
        <v>41.469798577658949</v>
      </c>
      <c r="AB47" s="2">
        <f t="shared" si="14"/>
        <v>42.504607330466335</v>
      </c>
      <c r="AC47" s="2">
        <f t="shared" si="15"/>
        <v>44.126648747182486</v>
      </c>
      <c r="AD47" s="2">
        <f t="shared" si="16"/>
        <v>-0.30161162950493881</v>
      </c>
      <c r="AE47" s="2">
        <f t="shared" si="17"/>
        <v>-0.67640898639776559</v>
      </c>
    </row>
    <row r="48" spans="2:31" x14ac:dyDescent="0.2">
      <c r="B48" s="17">
        <f>[25]FormattedData!A48</f>
        <v>907</v>
      </c>
      <c r="C48" s="17" t="str">
        <f>VLOOKUP($B48,[25]TrtCodes!$B$11:I91,2)</f>
        <v>DS</v>
      </c>
      <c r="D48" s="17">
        <f>VLOOKUP($B48,[25]TrtCodes!$B$11:J91,3)</f>
        <v>31</v>
      </c>
      <c r="E48" s="17">
        <f>VLOOKUP($B48,[25]TrtCodes!$B$11:K91,4)</f>
        <v>8</v>
      </c>
      <c r="F48" s="17">
        <f>VLOOKUP($B48,[25]TrtCodes!$B$11:L91,5)</f>
        <v>0</v>
      </c>
      <c r="G48" s="17">
        <f>VLOOKUP($B48,[25]TrtCodes!$B$11:M91,6)</f>
        <v>1</v>
      </c>
      <c r="H48" s="17">
        <f>VLOOKUP($B48,[25]TrtCodes!$B$11:N91,7)</f>
        <v>2</v>
      </c>
      <c r="I48" s="17">
        <f>[25]FormattedData!B48</f>
        <v>1</v>
      </c>
      <c r="J48" s="15">
        <f>[25]FormattedData!C48</f>
        <v>13.391999999999999</v>
      </c>
      <c r="K48" s="14">
        <f>$J$3+[25]FormattedData!D48*$J$4+$M$4*$J$5+[25]FormattedData!D48^2*$J$6+$M$5*$J$7</f>
        <v>57.386053258885852</v>
      </c>
      <c r="L48" s="14">
        <f>$J$3+[25]FormattedData!E48*$J$4+$M$4*$J$5+[25]FormattedData!E48^2*$J$6+$M$5*$J$7</f>
        <v>58.061655476004205</v>
      </c>
      <c r="M48" s="14">
        <f>$J$3+[25]FormattedData!F48*$J$4+$M$4*$J$5+[25]FormattedData!F48^2*$J$6+$M$5*$J$7</f>
        <v>56.367577708656576</v>
      </c>
      <c r="N48" s="14">
        <f>$J$3+[25]FormattedData!G48*$J$4+$M$4*$J$5+[25]FormattedData!G48^2*$J$6+$M$5*$J$7</f>
        <v>57.808621658619309</v>
      </c>
      <c r="O48" s="14">
        <f>$J$3+[25]FormattedData!H48*$J$4+$M$4*$J$5+[25]FormattedData!H48^2*$J$6+$M$5*$J$7</f>
        <v>56.537746319074103</v>
      </c>
      <c r="P48" s="14">
        <f>$J$3+[25]FormattedData!I48*$J$4+$M$4*$J$5+[25]FormattedData!I48^2*$J$6+$M$5*$J$7</f>
        <v>56.707745855339901</v>
      </c>
      <c r="Q48" s="14">
        <f>$J$3+[25]FormattedData!J48*$J$4+$M$4*$J$5+[25]FormattedData!J48^2*$J$6+$M$5*$J$7</f>
        <v>55.343015488965221</v>
      </c>
      <c r="R48" s="14">
        <f>$J$3+[25]FormattedData!K48*$J$4+$M$4*$J$5+[25]FormattedData!K48^2*$J$6+$M$5*$J$7</f>
        <v>56.707745855339901</v>
      </c>
      <c r="S48" s="14">
        <f>$J$3+[25]FormattedData!L48*$J$4+$M$4*$J$5+[25]FormattedData!L48^2*$J$6+$M$5*$J$7</f>
        <v>56.792682220665895</v>
      </c>
      <c r="T48" s="14">
        <f>$J$3+[25]FormattedData!M48*$J$4+$M$4*$J$5+[25]FormattedData!M48^2*$J$6+$M$5*$J$7</f>
        <v>57.808621658619309</v>
      </c>
      <c r="U48" s="14">
        <f>$J$3+[25]FormattedData!N48*$J$4+$M$4*$J$5+[25]FormattedData!N48^2*$J$6+$M$5*$J$7</f>
        <v>56.02673326536636</v>
      </c>
      <c r="V48" s="14">
        <f>$J$3+[25]FormattedData!O48*$J$4+$M$4*$J$5+[25]FormattedData!O48^2*$J$6+$M$5*$J$7</f>
        <v>57.047237705416322</v>
      </c>
      <c r="W48" s="16">
        <f t="shared" si="9"/>
        <v>56.882953039246082</v>
      </c>
      <c r="X48" s="15">
        <f t="shared" si="10"/>
        <v>0.22932719131017285</v>
      </c>
      <c r="Y48" s="14">
        <f t="shared" si="11"/>
        <v>55.343015488965221</v>
      </c>
      <c r="Z48" s="13">
        <f t="shared" si="12"/>
        <v>56.495204166469719</v>
      </c>
      <c r="AA48" s="14">
        <f t="shared" si="13"/>
        <v>56.750214038002895</v>
      </c>
      <c r="AB48" s="13">
        <f t="shared" si="14"/>
        <v>57.491695358819214</v>
      </c>
      <c r="AC48" s="13">
        <f t="shared" si="15"/>
        <v>58.061655476004205</v>
      </c>
      <c r="AD48" s="13">
        <f t="shared" si="16"/>
        <v>-0.24225175923598538</v>
      </c>
      <c r="AE48" s="13">
        <f t="shared" si="17"/>
        <v>-0.1911491426476557</v>
      </c>
    </row>
    <row r="49" spans="2:31" ht="13.5" thickBot="1" x14ac:dyDescent="0.25">
      <c r="B49" s="12">
        <f>[25]FormattedData!A46</f>
        <v>908</v>
      </c>
      <c r="C49" s="12" t="str">
        <f>VLOOKUP($B49,[25]TrtCodes!$B$11:I89,2)</f>
        <v>Early</v>
      </c>
      <c r="D49" s="12">
        <f>VLOOKUP($B49,[25]TrtCodes!$B$11:J89,3)</f>
        <v>21</v>
      </c>
      <c r="E49" s="12">
        <f>VLOOKUP($B49,[25]TrtCodes!$B$11:K89,4)</f>
        <v>3</v>
      </c>
      <c r="F49" s="12">
        <f>VLOOKUP($B49,[25]TrtCodes!$B$11:L89,5)</f>
        <v>2</v>
      </c>
      <c r="G49" s="12">
        <f>VLOOKUP($B49,[25]TrtCodes!$B$11:M89,6)</f>
        <v>2</v>
      </c>
      <c r="H49" s="12">
        <f>VLOOKUP($B49,[25]TrtCodes!$B$11:N89,7)</f>
        <v>2</v>
      </c>
      <c r="I49" s="12">
        <f>[25]FormattedData!B46</f>
        <v>1</v>
      </c>
      <c r="J49" s="9">
        <f>[25]FormattedData!C46</f>
        <v>13.372</v>
      </c>
      <c r="K49" s="11">
        <f>$J$3+[25]FormattedData!D46*$J$4+$M$4*$J$5+[25]FormattedData!D46^2*$J$6+$M$5*$J$7</f>
        <v>45.57726878263324</v>
      </c>
      <c r="L49" s="11">
        <f>$J$3+[25]FormattedData!E46*$J$4+$M$4*$J$5+[25]FormattedData!E46^2*$J$6+$M$5*$J$7</f>
        <v>53.448842986344822</v>
      </c>
      <c r="M49" s="11">
        <f>$J$3+[25]FormattedData!F46*$J$4+$M$4*$J$5+[25]FormattedData!F46^2*$J$6+$M$5*$J$7</f>
        <v>45.034554325477139</v>
      </c>
      <c r="N49" s="11">
        <f>$J$3+[25]FormattedData!G46*$J$4+$M$4*$J$5+[25]FormattedData!G46^2*$J$6+$M$5*$J$7</f>
        <v>50.128904348577173</v>
      </c>
      <c r="O49" s="11">
        <f>$J$3+[25]FormattedData!H46*$J$4+$M$4*$J$5+[25]FormattedData!H46^2*$J$6+$M$5*$J$7</f>
        <v>46.658132694848874</v>
      </c>
      <c r="P49" s="11">
        <f>$J$3+[25]FormattedData!I46*$J$4+$M$4*$J$5+[25]FormattedData!I46^2*$J$6+$M$5*$J$7</f>
        <v>45.215628218680898</v>
      </c>
      <c r="Q49" s="11">
        <f>$J$3+[25]FormattedData!J46*$J$4+$M$4*$J$5+[25]FormattedData!J46^2*$J$6+$M$5*$J$7</f>
        <v>42.848479823197529</v>
      </c>
      <c r="R49" s="11">
        <f>$J$3+[25]FormattedData!K46*$J$4+$M$4*$J$5+[25]FormattedData!K46^2*$J$6+$M$5*$J$7</f>
        <v>50.217053122785941</v>
      </c>
      <c r="S49" s="11">
        <f>$J$3+[25]FormattedData!L46*$J$4+$M$4*$J$5+[25]FormattedData!L46^2*$J$6+$M$5*$J$7</f>
        <v>42.756865028878408</v>
      </c>
      <c r="T49" s="11">
        <f>$J$3+[25]FormattedData!M46*$J$4+$M$4*$J$5+[25]FormattedData!M46^2*$J$6+$M$5*$J$7</f>
        <v>50.217053122785941</v>
      </c>
      <c r="U49" s="11">
        <f>$J$3+[25]FormattedData!N46*$J$4+$M$4*$J$5+[25]FormattedData!N46^2*$J$6+$M$5*$J$7</f>
        <v>43.853452837204429</v>
      </c>
      <c r="V49" s="11">
        <f>$J$3+[25]FormattedData!O46*$J$4+$M$4*$J$5+[25]FormattedData!O46^2*$J$6+$M$5*$J$7</f>
        <v>45.125112406347988</v>
      </c>
      <c r="W49" s="10">
        <f t="shared" si="9"/>
        <v>46.756778974813528</v>
      </c>
      <c r="X49" s="9">
        <f t="shared" si="10"/>
        <v>0.98937490095470049</v>
      </c>
      <c r="Y49" s="8">
        <f t="shared" si="11"/>
        <v>42.756865028878408</v>
      </c>
      <c r="Z49" s="7">
        <f t="shared" si="12"/>
        <v>44.739278953408963</v>
      </c>
      <c r="AA49" s="8">
        <f t="shared" si="13"/>
        <v>45.396448500657073</v>
      </c>
      <c r="AB49" s="7">
        <f t="shared" si="14"/>
        <v>50.150941542129367</v>
      </c>
      <c r="AC49" s="7">
        <f t="shared" si="15"/>
        <v>53.448842986344822</v>
      </c>
      <c r="AD49" s="7">
        <f t="shared" si="16"/>
        <v>0.69907406097141989</v>
      </c>
      <c r="AE49" s="7">
        <f t="shared" si="17"/>
        <v>-0.60099709400558821</v>
      </c>
    </row>
    <row r="50" spans="2:31" ht="13.5" thickTop="1" x14ac:dyDescent="0.2">
      <c r="B50" s="1">
        <f>[25]FormattedData!A29</f>
        <v>101</v>
      </c>
      <c r="C50" s="1" t="str">
        <f>VLOOKUP($B50,[25]TrtCodes!$B$11:I72,2)</f>
        <v>FSH</v>
      </c>
      <c r="D50" s="1">
        <f>VLOOKUP($B50,[25]TrtCodes!$B$11:J72,3)</f>
        <v>1</v>
      </c>
      <c r="E50" s="1">
        <f>VLOOKUP($B50,[25]TrtCodes!$B$11:K72,4)</f>
        <v>1</v>
      </c>
      <c r="F50" s="1">
        <f>VLOOKUP($B50,[25]TrtCodes!$B$11:L72,5)</f>
        <v>1</v>
      </c>
      <c r="G50" s="1">
        <f>VLOOKUP($B50,[25]TrtCodes!$B$11:M72,6)</f>
        <v>2</v>
      </c>
      <c r="H50" s="1">
        <f>VLOOKUP($B50,[25]TrtCodes!$B$11:N72,7)</f>
        <v>1</v>
      </c>
      <c r="I50" s="1">
        <f>[25]FormattedData!B29</f>
        <v>2</v>
      </c>
      <c r="J50" s="4">
        <f>[25]FormattedData!C29</f>
        <v>13.217000000000001</v>
      </c>
      <c r="K50" s="6">
        <f>$J$3+[25]FormattedData!D29*$J$4+$M$4*$J$5+[25]FormattedData!D29^2*$J$6+$M$5*$J$7</f>
        <v>32.035708210359779</v>
      </c>
      <c r="L50" s="6">
        <f>$J$3+[25]FormattedData!E29*$J$4+$M$4*$J$5+[25]FormattedData!E29^2*$J$6+$M$5*$J$7</f>
        <v>31.649551894407374</v>
      </c>
      <c r="M50" s="6">
        <f>$J$3+[25]FormattedData!F29*$J$4+$M$4*$J$5+[25]FormattedData!F29^2*$J$6+$M$5*$J$7</f>
        <v>31.359490837794787</v>
      </c>
      <c r="N50" s="6">
        <f>$J$3+[25]FormattedData!G29*$J$4+$M$4*$J$5+[25]FormattedData!G29^2*$J$6+$M$5*$J$7</f>
        <v>31.552907144074442</v>
      </c>
      <c r="O50" s="6">
        <f>$J$3+[25]FormattedData!H29*$J$4+$M$4*$J$5+[25]FormattedData!H29^2*$J$6+$M$5*$J$7</f>
        <v>31.746154376202369</v>
      </c>
      <c r="P50" s="6">
        <f>$J$3+[25]FormattedData!I29*$J$4+$M$4*$J$5+[25]FormattedData!I29^2*$J$6+$M$5*$J$7</f>
        <v>30.778227474045494</v>
      </c>
      <c r="Q50" s="6">
        <f>$J$3+[25]FormattedData!J29*$J$4+$M$4*$J$5+[25]FormattedData!J29^2*$J$6+$M$5*$J$7</f>
        <v>31.552907144074442</v>
      </c>
      <c r="R50" s="6">
        <f>$J$3+[25]FormattedData!K29*$J$4+$M$4*$J$5+[25]FormattedData!K29^2*$J$6+$M$5*$J$7</f>
        <v>31.552907144074442</v>
      </c>
      <c r="S50" s="6">
        <f>$J$3+[25]FormattedData!L29*$J$4+$M$4*$J$5+[25]FormattedData!L29^2*$J$6+$M$5*$J$7</f>
        <v>30.681202306871182</v>
      </c>
      <c r="T50" s="6">
        <f>$J$3+[25]FormattedData!M29*$J$4+$M$4*$J$5+[25]FormattedData!M29^2*$J$6+$M$5*$J$7</f>
        <v>30.584134871158945</v>
      </c>
      <c r="U50" s="6">
        <f>$J$3+[25]FormattedData!N29*$J$4+$M$4*$J$5+[25]FormattedData!N29^2*$J$6+$M$5*$J$7</f>
        <v>31.552907144074442</v>
      </c>
      <c r="V50" s="6">
        <f>$J$3+[25]FormattedData!O29*$J$4+$M$4*$J$5+[25]FormattedData!O29^2*$J$6+$M$5*$J$7</f>
        <v>31.649551894407374</v>
      </c>
      <c r="W50" s="5">
        <f t="shared" si="9"/>
        <v>31.391304203462084</v>
      </c>
      <c r="X50" s="4">
        <f t="shared" si="10"/>
        <v>0.13233517912101778</v>
      </c>
      <c r="Y50" s="3">
        <f t="shared" si="11"/>
        <v>30.584134871158945</v>
      </c>
      <c r="Z50" s="2">
        <f t="shared" si="12"/>
        <v>31.214174996857466</v>
      </c>
      <c r="AA50" s="3">
        <f t="shared" si="13"/>
        <v>31.552907144074442</v>
      </c>
      <c r="AB50" s="2">
        <f t="shared" si="14"/>
        <v>31.649551894407374</v>
      </c>
      <c r="AC50" s="2">
        <f t="shared" si="15"/>
        <v>32.035708210359779</v>
      </c>
      <c r="AD50" s="2">
        <f t="shared" si="16"/>
        <v>-0.85020671716931495</v>
      </c>
      <c r="AE50" s="2">
        <f t="shared" si="17"/>
        <v>-0.39419716917221326</v>
      </c>
    </row>
    <row r="51" spans="2:31" x14ac:dyDescent="0.2">
      <c r="B51" s="1">
        <f>[25]FormattedData!A27</f>
        <v>102</v>
      </c>
      <c r="C51" s="1" t="str">
        <f>VLOOKUP($B51,[25]TrtCodes!$B$11:I70,2)</f>
        <v>FTL</v>
      </c>
      <c r="D51" s="1">
        <f>VLOOKUP($B51,[25]TrtCodes!$B$11:J70,3)</f>
        <v>4</v>
      </c>
      <c r="E51" s="1">
        <f>VLOOKUP($B51,[25]TrtCodes!$B$11:K70,4)</f>
        <v>1</v>
      </c>
      <c r="F51" s="1">
        <f>VLOOKUP($B51,[25]TrtCodes!$B$11:L70,5)</f>
        <v>2</v>
      </c>
      <c r="G51" s="1">
        <f>VLOOKUP($B51,[25]TrtCodes!$B$11:M70,6)</f>
        <v>1</v>
      </c>
      <c r="H51" s="1">
        <f>VLOOKUP($B51,[25]TrtCodes!$B$11:N70,7)</f>
        <v>1</v>
      </c>
      <c r="I51" s="1">
        <f>[25]FormattedData!B27</f>
        <v>2</v>
      </c>
      <c r="J51" s="4">
        <f>[25]FormattedData!C27</f>
        <v>13.2</v>
      </c>
      <c r="K51" s="6">
        <f>$J$3+[25]FormattedData!D27*$J$4+$M$4*$J$5+[25]FormattedData!D27^2*$J$6+$M$5*$J$7</f>
        <v>34.242982646058472</v>
      </c>
      <c r="L51" s="6">
        <f>$J$3+[25]FormattedData!E27*$J$4+$M$4*$J$5+[25]FormattedData!E27^2*$J$6+$M$5*$J$7</f>
        <v>31.746154376202369</v>
      </c>
      <c r="M51" s="6">
        <f>$J$3+[25]FormattedData!F27*$J$4+$M$4*$J$5+[25]FormattedData!F27^2*$J$6+$M$5*$J$7</f>
        <v>30.972151002780318</v>
      </c>
      <c r="N51" s="6">
        <f>$J$3+[25]FormattedData!G27*$J$4+$M$4*$J$5+[25]FormattedData!G27^2*$J$6+$M$5*$J$7</f>
        <v>34.242982646058472</v>
      </c>
      <c r="O51" s="6">
        <f>$J$3+[25]FormattedData!H27*$J$4+$M$4*$J$5+[25]FormattedData!H27^2*$J$6+$M$5*$J$7</f>
        <v>32.132141618003047</v>
      </c>
      <c r="P51" s="6">
        <f>$J$3+[25]FormattedData!I27*$J$4+$M$4*$J$5+[25]FormattedData!I27^2*$J$6+$M$5*$J$7</f>
        <v>32.035708210359779</v>
      </c>
      <c r="Q51" s="6">
        <f>$J$3+[25]FormattedData!J27*$J$4+$M$4*$J$5+[25]FormattedData!J27^2*$J$6+$M$5*$J$7</f>
        <v>32.613674628150449</v>
      </c>
      <c r="R51" s="6">
        <f>$J$3+[25]FormattedData!K27*$J$4+$M$4*$J$5+[25]FormattedData!K27^2*$J$6+$M$5*$J$7</f>
        <v>40.823190315914736</v>
      </c>
      <c r="S51" s="6">
        <f>$J$3+[25]FormattedData!L27*$J$4+$M$4*$J$5+[25]FormattedData!L27^2*$J$6+$M$5*$J$7</f>
        <v>33.477771128526101</v>
      </c>
      <c r="T51" s="6">
        <f>$J$3+[25]FormattedData!M27*$J$4+$M$4*$J$5+[25]FormattedData!M27^2*$J$6+$M$5*$J$7</f>
        <v>31.456220125203586</v>
      </c>
      <c r="U51" s="6">
        <f>$J$3+[25]FormattedData!N27*$J$4+$M$4*$J$5+[25]FormattedData!N27^2*$J$6+$M$5*$J$7</f>
        <v>32.517452563196834</v>
      </c>
      <c r="V51" s="6">
        <f>$J$3+[25]FormattedData!O27*$J$4+$M$4*$J$5+[25]FormattedData!O27^2*$J$6+$M$5*$J$7</f>
        <v>32.902087211783709</v>
      </c>
      <c r="W51" s="5">
        <f t="shared" si="9"/>
        <v>33.263543039353159</v>
      </c>
      <c r="X51" s="4">
        <f t="shared" si="10"/>
        <v>0.74787276229141797</v>
      </c>
      <c r="Y51" s="3">
        <f t="shared" si="11"/>
        <v>30.972151002780318</v>
      </c>
      <c r="Z51" s="2">
        <f t="shared" si="12"/>
        <v>31.963319751820428</v>
      </c>
      <c r="AA51" s="3">
        <f t="shared" si="13"/>
        <v>32.565563595673638</v>
      </c>
      <c r="AB51" s="2">
        <f t="shared" si="14"/>
        <v>33.669074007909195</v>
      </c>
      <c r="AC51" s="2">
        <f t="shared" si="15"/>
        <v>40.823190315914736</v>
      </c>
      <c r="AD51" s="2">
        <f t="shared" si="16"/>
        <v>2.5625210403229097</v>
      </c>
      <c r="AE51" s="2">
        <f t="shared" si="17"/>
        <v>7.5649620110166964</v>
      </c>
    </row>
    <row r="52" spans="2:31" x14ac:dyDescent="0.2">
      <c r="B52" s="1">
        <f>[25]FormattedData!A25</f>
        <v>103</v>
      </c>
      <c r="C52" s="1" t="str">
        <f>VLOOKUP($B52,[25]TrtCodes!$B$11:I68,2)</f>
        <v>FDH</v>
      </c>
      <c r="D52" s="1">
        <f>VLOOKUP($B52,[25]TrtCodes!$B$11:J68,3)</f>
        <v>5</v>
      </c>
      <c r="E52" s="1">
        <f>VLOOKUP($B52,[25]TrtCodes!$B$11:K68,4)</f>
        <v>1</v>
      </c>
      <c r="F52" s="1">
        <f>VLOOKUP($B52,[25]TrtCodes!$B$11:L68,5)</f>
        <v>3</v>
      </c>
      <c r="G52" s="1">
        <f>VLOOKUP($B52,[25]TrtCodes!$B$11:M68,6)</f>
        <v>2</v>
      </c>
      <c r="H52" s="1">
        <f>VLOOKUP($B52,[25]TrtCodes!$B$11:N68,7)</f>
        <v>1</v>
      </c>
      <c r="I52" s="1">
        <f>[25]FormattedData!B25</f>
        <v>2</v>
      </c>
      <c r="J52" s="4">
        <f>[25]FormattedData!C25</f>
        <v>13.183</v>
      </c>
      <c r="K52" s="6">
        <f>$J$3+[25]FormattedData!D25*$J$4+$M$4*$J$5+[25]FormattedData!D25^2*$J$6+$M$5*$J$7</f>
        <v>30.972151002780318</v>
      </c>
      <c r="L52" s="6">
        <f>$J$3+[25]FormattedData!E25*$J$4+$M$4*$J$5+[25]FormattedData!E25^2*$J$6+$M$5*$J$7</f>
        <v>30.972151002780318</v>
      </c>
      <c r="M52" s="6">
        <f>$J$3+[25]FormattedData!F25*$J$4+$M$4*$J$5+[25]FormattedData!F25^2*$J$6+$M$5*$J$7</f>
        <v>31.939232534178572</v>
      </c>
      <c r="N52" s="6">
        <f>$J$3+[25]FormattedData!G25*$J$4+$M$4*$J$5+[25]FormattedData!G25^2*$J$6+$M$5*$J$7</f>
        <v>32.613674628150449</v>
      </c>
      <c r="O52" s="6">
        <f>$J$3+[25]FormattedData!H25*$J$4+$M$4*$J$5+[25]FormattedData!H25^2*$J$6+$M$5*$J$7</f>
        <v>32.324881627675794</v>
      </c>
      <c r="P52" s="6">
        <f>$J$3+[25]FormattedData!I25*$J$4+$M$4*$J$5+[25]FormattedData!I25^2*$J$6+$M$5*$J$7</f>
        <v>32.42118822970528</v>
      </c>
      <c r="Q52" s="6">
        <f>$J$3+[25]FormattedData!J25*$J$4+$M$4*$J$5+[25]FormattedData!J25^2*$J$6+$M$5*$J$7</f>
        <v>32.22853275710839</v>
      </c>
      <c r="R52" s="6">
        <f>$J$3+[25]FormattedData!K25*$J$4+$M$4*$J$5+[25]FormattedData!K25^2*$J$6+$M$5*$J$7</f>
        <v>32.132141618003047</v>
      </c>
      <c r="S52" s="6">
        <f>$J$3+[25]FormattedData!L25*$J$4+$M$4*$J$5+[25]FormattedData!L25^2*$J$6+$M$5*$J$7</f>
        <v>31.456220125203586</v>
      </c>
      <c r="T52" s="6">
        <f>$J$3+[25]FormattedData!M25*$J$4+$M$4*$J$5+[25]FormattedData!M25^2*$J$6+$M$5*$J$7</f>
        <v>32.998140202585603</v>
      </c>
      <c r="U52" s="6">
        <f>$J$3+[25]FormattedData!N25*$J$4+$M$4*$J$5+[25]FormattedData!N25^2*$J$6+$M$5*$J$7</f>
        <v>31.842714589459433</v>
      </c>
      <c r="V52" s="6">
        <f>$J$3+[25]FormattedData!O25*$J$4+$M$4*$J$5+[25]FormattedData!O25^2*$J$6+$M$5*$J$7</f>
        <v>30.487025166908776</v>
      </c>
      <c r="W52" s="5">
        <f t="shared" si="9"/>
        <v>31.865671123711625</v>
      </c>
      <c r="X52" s="4">
        <f t="shared" si="10"/>
        <v>0.21733847327699202</v>
      </c>
      <c r="Y52" s="3">
        <f t="shared" si="11"/>
        <v>30.487025166908776</v>
      </c>
      <c r="Z52" s="2">
        <f t="shared" si="12"/>
        <v>31.33520284459777</v>
      </c>
      <c r="AA52" s="3">
        <f t="shared" si="13"/>
        <v>32.035687076090809</v>
      </c>
      <c r="AB52" s="2">
        <f t="shared" si="14"/>
        <v>32.348958278183161</v>
      </c>
      <c r="AC52" s="2">
        <f t="shared" si="15"/>
        <v>32.998140202585603</v>
      </c>
      <c r="AD52" s="2">
        <f t="shared" si="16"/>
        <v>-0.48811450524476185</v>
      </c>
      <c r="AE52" s="2">
        <f t="shared" si="17"/>
        <v>-0.58294495421508152</v>
      </c>
    </row>
    <row r="53" spans="2:31" x14ac:dyDescent="0.2">
      <c r="B53" s="1">
        <f>[25]FormattedData!A23</f>
        <v>104</v>
      </c>
      <c r="C53" s="1" t="str">
        <f>VLOOKUP($B53,[25]TrtCodes!$B$11:I66,2)</f>
        <v>NTL</v>
      </c>
      <c r="D53" s="1">
        <f>VLOOKUP($B53,[25]TrtCodes!$B$11:J66,3)</f>
        <v>10</v>
      </c>
      <c r="E53" s="1">
        <f>VLOOKUP($B53,[25]TrtCodes!$B$11:K66,4)</f>
        <v>2</v>
      </c>
      <c r="F53" s="1">
        <f>VLOOKUP($B53,[25]TrtCodes!$B$11:L66,5)</f>
        <v>2</v>
      </c>
      <c r="G53" s="1">
        <f>VLOOKUP($B53,[25]TrtCodes!$B$11:M66,6)</f>
        <v>1</v>
      </c>
      <c r="H53" s="1">
        <f>VLOOKUP($B53,[25]TrtCodes!$B$11:N66,7)</f>
        <v>1</v>
      </c>
      <c r="I53" s="1">
        <f>[25]FormattedData!B23</f>
        <v>2</v>
      </c>
      <c r="J53" s="4">
        <f>[25]FormattedData!C23</f>
        <v>13.164999999999999</v>
      </c>
      <c r="K53" s="6">
        <f>$J$3+[25]FormattedData!D23*$J$4+$M$4*$J$5+[25]FormattedData!D23^2*$J$6+$M$5*$J$7</f>
        <v>31.746154376202369</v>
      </c>
      <c r="L53" s="6">
        <f>$J$3+[25]FormattedData!E23*$J$4+$M$4*$J$5+[25]FormattedData!E23^2*$J$6+$M$5*$J$7</f>
        <v>31.456220125203586</v>
      </c>
      <c r="M53" s="6">
        <f>$J$3+[25]FormattedData!F23*$J$4+$M$4*$J$5+[25]FormattedData!F23^2*$J$6+$M$5*$J$7</f>
        <v>29.90347930211119</v>
      </c>
      <c r="N53" s="6">
        <f>$J$3+[25]FormattedData!G23*$J$4+$M$4*$J$5+[25]FormattedData!G23^2*$J$6+$M$5*$J$7</f>
        <v>31.262719281848071</v>
      </c>
      <c r="O53" s="6">
        <f>$J$3+[25]FormattedData!H23*$J$4+$M$4*$J$5+[25]FormattedData!H23^2*$J$6+$M$5*$J$7</f>
        <v>30.000842617588955</v>
      </c>
      <c r="P53" s="6">
        <f>$J$3+[25]FormattedData!I23*$J$4+$M$4*$J$5+[25]FormattedData!I23^2*$J$6+$M$5*$J$7</f>
        <v>30.19544244293067</v>
      </c>
      <c r="Q53" s="6">
        <f>$J$3+[25]FormattedData!J23*$J$4+$M$4*$J$5+[25]FormattedData!J23^2*$J$6+$M$5*$J$7</f>
        <v>31.552907144074442</v>
      </c>
      <c r="R53" s="6">
        <f>$J$3+[25]FormattedData!K23*$J$4+$M$4*$J$5+[25]FormattedData!K23^2*$J$6+$M$5*$J$7</f>
        <v>30.584134871158945</v>
      </c>
      <c r="S53" s="6">
        <f>$J$3+[25]FormattedData!L23*$J$4+$M$4*$J$5+[25]FormattedData!L23^2*$J$6+$M$5*$J$7</f>
        <v>33.765042461635225</v>
      </c>
      <c r="T53" s="6">
        <f>$J$3+[25]FormattedData!M23*$J$4+$M$4*$J$5+[25]FormattedData!M23^2*$J$6+$M$5*$J$7</f>
        <v>32.517452563196834</v>
      </c>
      <c r="U53" s="6">
        <f>$J$3+[25]FormattedData!N23*$J$4+$M$4*$J$5+[25]FormattedData!N23^2*$J$6+$M$5*$J$7</f>
        <v>31.649551894407374</v>
      </c>
      <c r="V53" s="6">
        <f>$J$3+[25]FormattedData!O23*$J$4+$M$4*$J$5+[25]FormattedData!O23^2*$J$6+$M$5*$J$7</f>
        <v>32.709854424566132</v>
      </c>
      <c r="W53" s="5">
        <f t="shared" si="9"/>
        <v>31.44531679207698</v>
      </c>
      <c r="X53" s="4">
        <f t="shared" si="10"/>
        <v>0.33793600389096279</v>
      </c>
      <c r="Y53" s="3">
        <f t="shared" si="11"/>
        <v>29.90347930211119</v>
      </c>
      <c r="Z53" s="2">
        <f t="shared" si="12"/>
        <v>30.486961764101878</v>
      </c>
      <c r="AA53" s="3">
        <f t="shared" si="13"/>
        <v>31.504563634639013</v>
      </c>
      <c r="AB53" s="2">
        <f t="shared" si="14"/>
        <v>31.938978922950987</v>
      </c>
      <c r="AC53" s="2">
        <f t="shared" si="15"/>
        <v>33.765042461635225</v>
      </c>
      <c r="AD53" s="2">
        <f t="shared" si="16"/>
        <v>0.44184315342280384</v>
      </c>
      <c r="AE53" s="2">
        <f t="shared" si="17"/>
        <v>-0.18700763709746493</v>
      </c>
    </row>
    <row r="54" spans="2:31" x14ac:dyDescent="0.2">
      <c r="B54" s="1">
        <f>[25]FormattedData!A21</f>
        <v>105</v>
      </c>
      <c r="C54" s="1" t="str">
        <f>VLOOKUP($B54,[25]TrtCodes!$B$11:I64,2)</f>
        <v>NDL</v>
      </c>
      <c r="D54" s="1">
        <f>VLOOKUP($B54,[25]TrtCodes!$B$11:J64,3)</f>
        <v>12</v>
      </c>
      <c r="E54" s="1">
        <f>VLOOKUP($B54,[25]TrtCodes!$B$11:K64,4)</f>
        <v>2</v>
      </c>
      <c r="F54" s="1">
        <f>VLOOKUP($B54,[25]TrtCodes!$B$11:L64,5)</f>
        <v>3</v>
      </c>
      <c r="G54" s="1">
        <f>VLOOKUP($B54,[25]TrtCodes!$B$11:M64,6)</f>
        <v>1</v>
      </c>
      <c r="H54" s="1">
        <f>VLOOKUP($B54,[25]TrtCodes!$B$11:N64,7)</f>
        <v>2</v>
      </c>
      <c r="I54" s="1">
        <f>[25]FormattedData!B21</f>
        <v>2</v>
      </c>
      <c r="J54" s="4">
        <f>[25]FormattedData!C21</f>
        <v>13.146000000000001</v>
      </c>
      <c r="K54" s="6">
        <f>$J$3+[25]FormattedData!D21*$J$4+$M$4*$J$5+[25]FormattedData!D21^2*$J$6+$M$5*$J$7</f>
        <v>30.000842617588955</v>
      </c>
      <c r="L54" s="6">
        <f>$J$3+[25]FormattedData!E21*$J$4+$M$4*$J$5+[25]FormattedData!E21^2*$J$6+$M$5*$J$7</f>
        <v>30.098163664528776</v>
      </c>
      <c r="M54" s="6">
        <f>$J$3+[25]FormattedData!F21*$J$4+$M$4*$J$5+[25]FormattedData!F21^2*$J$6+$M$5*$J$7</f>
        <v>30.681202306871182</v>
      </c>
      <c r="N54" s="6">
        <f>$J$3+[25]FormattedData!G21*$J$4+$M$4*$J$5+[25]FormattedData!G21^2*$J$6+$M$5*$J$7</f>
        <v>29.318411769948092</v>
      </c>
      <c r="O54" s="6">
        <f>$J$3+[25]FormattedData!H21*$J$4+$M$4*$J$5+[25]FormattedData!H21^2*$J$6+$M$5*$J$7</f>
        <v>29.318411769948092</v>
      </c>
      <c r="P54" s="6">
        <f>$J$3+[25]FormattedData!I21*$J$4+$M$4*$J$5+[25]FormattedData!I21^2*$J$6+$M$5*$J$7</f>
        <v>29.70862586554188</v>
      </c>
      <c r="Q54" s="6">
        <f>$J$3+[25]FormattedData!J21*$J$4+$M$4*$J$5+[25]FormattedData!J21^2*$J$6+$M$5*$J$7</f>
        <v>29.416028696653434</v>
      </c>
      <c r="R54" s="6">
        <f>$J$3+[25]FormattedData!K21*$J$4+$M$4*$J$5+[25]FormattedData!K21^2*$J$6+$M$5*$J$7</f>
        <v>30.292678952794638</v>
      </c>
      <c r="S54" s="6">
        <f>$J$3+[25]FormattedData!L21*$J$4+$M$4*$J$5+[25]FormattedData!L21^2*$J$6+$M$5*$J$7</f>
        <v>30.19544244293067</v>
      </c>
      <c r="T54" s="6">
        <f>$J$3+[25]FormattedData!M21*$J$4+$M$4*$J$5+[25]FormattedData!M21^2*$J$6+$M$5*$J$7</f>
        <v>31.939232534178572</v>
      </c>
      <c r="U54" s="6">
        <f>$J$3+[25]FormattedData!N21*$J$4+$M$4*$J$5+[25]FormattedData!N21^2*$J$6+$M$5*$J$7</f>
        <v>30.778227474045494</v>
      </c>
      <c r="V54" s="6">
        <f>$J$3+[25]FormattedData!O21*$J$4+$M$4*$J$5+[25]FormattedData!O21^2*$J$6+$M$5*$J$7</f>
        <v>30.584134871158945</v>
      </c>
      <c r="W54" s="5">
        <f t="shared" si="9"/>
        <v>30.194283580515727</v>
      </c>
      <c r="X54" s="4">
        <f t="shared" si="10"/>
        <v>0.21684898338702396</v>
      </c>
      <c r="Y54" s="3">
        <f t="shared" si="11"/>
        <v>29.318411769948092</v>
      </c>
      <c r="Z54" s="2">
        <f t="shared" si="12"/>
        <v>29.635476573319767</v>
      </c>
      <c r="AA54" s="3">
        <f t="shared" si="13"/>
        <v>30.146803053729723</v>
      </c>
      <c r="AB54" s="2">
        <f t="shared" si="14"/>
        <v>30.608401730087003</v>
      </c>
      <c r="AC54" s="2">
        <f t="shared" si="15"/>
        <v>31.939232534178572</v>
      </c>
      <c r="AD54" s="2">
        <f t="shared" si="16"/>
        <v>0.96509921627847883</v>
      </c>
      <c r="AE54" s="2">
        <f t="shared" si="17"/>
        <v>1.443857506057098</v>
      </c>
    </row>
    <row r="55" spans="2:31" x14ac:dyDescent="0.2">
      <c r="B55" s="1">
        <f>[25]FormattedData!A19</f>
        <v>106</v>
      </c>
      <c r="C55" s="1" t="str">
        <f>VLOOKUP($B55,[25]TrtCodes!$B$11:I62,2)</f>
        <v>NTH</v>
      </c>
      <c r="D55" s="1">
        <f>VLOOKUP($B55,[25]TrtCodes!$B$11:J62,3)</f>
        <v>9</v>
      </c>
      <c r="E55" s="1">
        <f>VLOOKUP($B55,[25]TrtCodes!$B$11:K62,4)</f>
        <v>2</v>
      </c>
      <c r="F55" s="1">
        <f>VLOOKUP($B55,[25]TrtCodes!$B$11:L62,5)</f>
        <v>2</v>
      </c>
      <c r="G55" s="1">
        <f>VLOOKUP($B55,[25]TrtCodes!$B$11:M62,6)</f>
        <v>2</v>
      </c>
      <c r="H55" s="1">
        <f>VLOOKUP($B55,[25]TrtCodes!$B$11:N62,7)</f>
        <v>2</v>
      </c>
      <c r="I55" s="1">
        <f>[25]FormattedData!B19</f>
        <v>2</v>
      </c>
      <c r="J55" s="4">
        <f>[25]FormattedData!C19</f>
        <v>13.128</v>
      </c>
      <c r="K55" s="6">
        <f>$J$3+[25]FormattedData!D19*$J$4+$M$4*$J$5+[25]FormattedData!D19^2*$J$6+$M$5*$J$7</f>
        <v>31.069049364340831</v>
      </c>
      <c r="L55" s="6">
        <f>$J$3+[25]FormattedData!E19*$J$4+$M$4*$J$5+[25]FormattedData!E19^2*$J$6+$M$5*$J$7</f>
        <v>32.035708210359779</v>
      </c>
      <c r="M55" s="6">
        <f>$J$3+[25]FormattedData!F19*$J$4+$M$4*$J$5+[25]FormattedData!F19^2*$J$6+$M$5*$J$7</f>
        <v>31.165905457363412</v>
      </c>
      <c r="N55" s="6">
        <f>$J$3+[25]FormattedData!G19*$J$4+$M$4*$J$5+[25]FormattedData!G19^2*$J$6+$M$5*$J$7</f>
        <v>32.324881627675794</v>
      </c>
      <c r="O55" s="6">
        <f>$J$3+[25]FormattedData!H19*$J$4+$M$4*$J$5+[25]FormattedData!H19^2*$J$6+$M$5*$J$7</f>
        <v>31.069049364340831</v>
      </c>
      <c r="P55" s="6">
        <f>$J$3+[25]FormattedData!I19*$J$4+$M$4*$J$5+[25]FormattedData!I19^2*$J$6+$M$5*$J$7</f>
        <v>31.359490837794787</v>
      </c>
      <c r="Q55" s="6">
        <f>$J$3+[25]FormattedData!J19*$J$4+$M$4*$J$5+[25]FormattedData!J19^2*$J$6+$M$5*$J$7</f>
        <v>31.552907144074442</v>
      </c>
      <c r="R55" s="6">
        <f>$J$3+[25]FormattedData!K19*$J$4+$M$4*$J$5+[25]FormattedData!K19^2*$J$6+$M$5*$J$7</f>
        <v>30.487025166908776</v>
      </c>
      <c r="S55" s="6">
        <f>$J$3+[25]FormattedData!L19*$J$4+$M$4*$J$5+[25]FormattedData!L19^2*$J$6+$M$5*$J$7</f>
        <v>31.552907144074442</v>
      </c>
      <c r="T55" s="6">
        <f>$J$3+[25]FormattedData!M19*$J$4+$M$4*$J$5+[25]FormattedData!M19^2*$J$6+$M$5*$J$7</f>
        <v>31.552907144074442</v>
      </c>
      <c r="U55" s="6">
        <f>$J$3+[25]FormattedData!N19*$J$4+$M$4*$J$5+[25]FormattedData!N19^2*$J$6+$M$5*$J$7</f>
        <v>32.324881627675794</v>
      </c>
      <c r="V55" s="6">
        <f>$J$3+[25]FormattedData!O19*$J$4+$M$4*$J$5+[25]FormattedData!O19^2*$J$6+$M$5*$J$7</f>
        <v>33.094150924849565</v>
      </c>
      <c r="W55" s="5">
        <f t="shared" si="9"/>
        <v>31.632405334461072</v>
      </c>
      <c r="X55" s="4">
        <f t="shared" si="10"/>
        <v>0.20442269386165396</v>
      </c>
      <c r="Y55" s="3">
        <f t="shared" si="11"/>
        <v>30.487025166908776</v>
      </c>
      <c r="Z55" s="2">
        <f t="shared" si="12"/>
        <v>31.141691434107766</v>
      </c>
      <c r="AA55" s="3">
        <f t="shared" si="13"/>
        <v>31.552907144074442</v>
      </c>
      <c r="AB55" s="2">
        <f t="shared" si="14"/>
        <v>32.108001564688784</v>
      </c>
      <c r="AC55" s="2">
        <f t="shared" si="15"/>
        <v>33.094150924849565</v>
      </c>
      <c r="AD55" s="2">
        <f t="shared" si="16"/>
        <v>0.57431154808959017</v>
      </c>
      <c r="AE55" s="2">
        <f t="shared" si="17"/>
        <v>0.37022275994958598</v>
      </c>
    </row>
    <row r="56" spans="2:31" x14ac:dyDescent="0.2">
      <c r="B56" s="1">
        <f>[25]FormattedData!A17</f>
        <v>107</v>
      </c>
      <c r="C56" s="1" t="str">
        <f>VLOOKUP($B56,[25]TrtCodes!$B$11:I60,2)</f>
        <v>NTL</v>
      </c>
      <c r="D56" s="1">
        <f>VLOOKUP($B56,[25]TrtCodes!$B$11:J60,3)</f>
        <v>10</v>
      </c>
      <c r="E56" s="1">
        <f>VLOOKUP($B56,[25]TrtCodes!$B$11:K60,4)</f>
        <v>2</v>
      </c>
      <c r="F56" s="1">
        <f>VLOOKUP($B56,[25]TrtCodes!$B$11:L60,5)</f>
        <v>2</v>
      </c>
      <c r="G56" s="1">
        <f>VLOOKUP($B56,[25]TrtCodes!$B$11:M60,6)</f>
        <v>1</v>
      </c>
      <c r="H56" s="1">
        <f>VLOOKUP($B56,[25]TrtCodes!$B$11:N60,7)</f>
        <v>2</v>
      </c>
      <c r="I56" s="1">
        <f>[25]FormattedData!B17</f>
        <v>2</v>
      </c>
      <c r="J56" s="4">
        <f>[25]FormattedData!C17</f>
        <v>13.11</v>
      </c>
      <c r="K56" s="6">
        <f>$J$3+[25]FormattedData!D17*$J$4+$M$4*$J$5+[25]FormattedData!D17^2*$J$6+$M$5*$J$7</f>
        <v>31.649551894407374</v>
      </c>
      <c r="L56" s="6">
        <f>$J$3+[25]FormattedData!E17*$J$4+$M$4*$J$5+[25]FormattedData!E17^2*$J$6+$M$5*$J$7</f>
        <v>31.359490837794787</v>
      </c>
      <c r="M56" s="6">
        <f>$J$3+[25]FormattedData!F17*$J$4+$M$4*$J$5+[25]FormattedData!F17^2*$J$6+$M$5*$J$7</f>
        <v>30.584134871158945</v>
      </c>
      <c r="N56" s="6">
        <f>$J$3+[25]FormattedData!G17*$J$4+$M$4*$J$5+[25]FormattedData!G17^2*$J$6+$M$5*$J$7</f>
        <v>30.292678952794638</v>
      </c>
      <c r="O56" s="6">
        <f>$J$3+[25]FormattedData!H17*$J$4+$M$4*$J$5+[25]FormattedData!H17^2*$J$6+$M$5*$J$7</f>
        <v>30.972151002780318</v>
      </c>
      <c r="P56" s="6">
        <f>$J$3+[25]FormattedData!I17*$J$4+$M$4*$J$5+[25]FormattedData!I17^2*$J$6+$M$5*$J$7</f>
        <v>30.19544244293067</v>
      </c>
      <c r="Q56" s="6">
        <f>$J$3+[25]FormattedData!J17*$J$4+$M$4*$J$5+[25]FormattedData!J17^2*$J$6+$M$5*$J$7</f>
        <v>30.778227474045494</v>
      </c>
      <c r="R56" s="6">
        <f>$J$3+[25]FormattedData!K17*$J$4+$M$4*$J$5+[25]FormattedData!K17^2*$J$6+$M$5*$J$7</f>
        <v>31.359490837794787</v>
      </c>
      <c r="S56" s="6">
        <f>$J$3+[25]FormattedData!L17*$J$4+$M$4*$J$5+[25]FormattedData!L17^2*$J$6+$M$5*$J$7</f>
        <v>34.242982646058472</v>
      </c>
      <c r="T56" s="6">
        <f>$J$3+[25]FormattedData!M17*$J$4+$M$4*$J$5+[25]FormattedData!M17^2*$J$6+$M$5*$J$7</f>
        <v>30.87521037268187</v>
      </c>
      <c r="U56" s="6">
        <f>$J$3+[25]FormattedData!N17*$J$4+$M$4*$J$5+[25]FormattedData!N17^2*$J$6+$M$5*$J$7</f>
        <v>34.815116005614641</v>
      </c>
      <c r="V56" s="6">
        <f>$J$3+[25]FormattedData!O17*$J$4+$M$4*$J$5+[25]FormattedData!O17^2*$J$6+$M$5*$J$7</f>
        <v>32.132141618003047</v>
      </c>
      <c r="W56" s="5">
        <f t="shared" si="9"/>
        <v>31.604718246338752</v>
      </c>
      <c r="X56" s="4">
        <f t="shared" si="10"/>
        <v>0.42668611275503571</v>
      </c>
      <c r="Y56" s="3">
        <f t="shared" si="11"/>
        <v>30.19544244293067</v>
      </c>
      <c r="Z56" s="2">
        <f t="shared" si="12"/>
        <v>30.729704323323858</v>
      </c>
      <c r="AA56" s="3">
        <f t="shared" si="13"/>
        <v>31.165820920287551</v>
      </c>
      <c r="AB56" s="2">
        <f t="shared" si="14"/>
        <v>31.770199325306294</v>
      </c>
      <c r="AC56" s="2">
        <f t="shared" si="15"/>
        <v>34.815116005614641</v>
      </c>
      <c r="AD56" s="2">
        <f t="shared" si="16"/>
        <v>1.4946301499288919</v>
      </c>
      <c r="AE56" s="2">
        <f t="shared" si="17"/>
        <v>1.369741650319388</v>
      </c>
    </row>
    <row r="57" spans="2:31" x14ac:dyDescent="0.2">
      <c r="B57" s="1">
        <f>[25]FormattedData!A15</f>
        <v>108</v>
      </c>
      <c r="C57" s="1" t="str">
        <f>VLOOKUP($B57,[25]TrtCodes!$B$11:I58,2)</f>
        <v>FTH</v>
      </c>
      <c r="D57" s="1">
        <f>VLOOKUP($B57,[25]TrtCodes!$B$11:J58,3)</f>
        <v>3</v>
      </c>
      <c r="E57" s="1">
        <f>VLOOKUP($B57,[25]TrtCodes!$B$11:K58,4)</f>
        <v>1</v>
      </c>
      <c r="F57" s="1">
        <f>VLOOKUP($B57,[25]TrtCodes!$B$11:L58,5)</f>
        <v>2</v>
      </c>
      <c r="G57" s="1">
        <f>VLOOKUP($B57,[25]TrtCodes!$B$11:M58,6)</f>
        <v>2</v>
      </c>
      <c r="H57" s="1">
        <f>VLOOKUP($B57,[25]TrtCodes!$B$11:N58,7)</f>
        <v>2</v>
      </c>
      <c r="I57" s="1">
        <f>[25]FormattedData!B15</f>
        <v>2</v>
      </c>
      <c r="J57" s="4">
        <f>[25]FormattedData!C15</f>
        <v>13.092000000000001</v>
      </c>
      <c r="K57" s="6">
        <f>$J$3+[25]FormattedData!D15*$J$4+$M$4*$J$5+[25]FormattedData!D15^2*$J$6+$M$5*$J$7</f>
        <v>32.22853275710839</v>
      </c>
      <c r="L57" s="6">
        <f>$J$3+[25]FormattedData!E15*$J$4+$M$4*$J$5+[25]FormattedData!E15^2*$J$6+$M$5*$J$7</f>
        <v>32.132141618003047</v>
      </c>
      <c r="M57" s="6">
        <f>$J$3+[25]FormattedData!F15*$J$4+$M$4*$J$5+[25]FormattedData!F15^2*$J$6+$M$5*$J$7</f>
        <v>31.939232534178572</v>
      </c>
      <c r="N57" s="6">
        <f>$J$3+[25]FormattedData!G15*$J$4+$M$4*$J$5+[25]FormattedData!G15^2*$J$6+$M$5*$J$7</f>
        <v>33.381929480413859</v>
      </c>
      <c r="O57" s="6">
        <f>$J$3+[25]FormattedData!H15*$J$4+$M$4*$J$5+[25]FormattedData!H15^2*$J$6+$M$5*$J$7</f>
        <v>31.456220125203586</v>
      </c>
      <c r="P57" s="6">
        <f>$J$3+[25]FormattedData!I15*$J$4+$M$4*$J$5+[25]FormattedData!I15^2*$J$6+$M$5*$J$7</f>
        <v>32.709854424566132</v>
      </c>
      <c r="Q57" s="6">
        <f>$J$3+[25]FormattedData!J15*$J$4+$M$4*$J$5+[25]FormattedData!J15^2*$J$6+$M$5*$J$7</f>
        <v>31.649551894407374</v>
      </c>
      <c r="R57" s="6">
        <f>$J$3+[25]FormattedData!K15*$J$4+$M$4*$J$5+[25]FormattedData!K15^2*$J$6+$M$5*$J$7</f>
        <v>32.805991952443883</v>
      </c>
      <c r="S57" s="6">
        <f>$J$3+[25]FormattedData!L15*$J$4+$M$4*$J$5+[25]FormattedData!L15^2*$J$6+$M$5*$J$7</f>
        <v>31.359490837794787</v>
      </c>
      <c r="T57" s="6">
        <f>$J$3+[25]FormattedData!M15*$J$4+$M$4*$J$5+[25]FormattedData!M15^2*$J$6+$M$5*$J$7</f>
        <v>30.778227474045494</v>
      </c>
      <c r="U57" s="6">
        <f>$J$3+[25]FormattedData!N15*$J$4+$M$4*$J$5+[25]FormattedData!N15^2*$J$6+$M$5*$J$7</f>
        <v>32.22853275710839</v>
      </c>
      <c r="V57" s="6">
        <f>$J$3+[25]FormattedData!O15*$J$4+$M$4*$J$5+[25]FormattedData!O15^2*$J$6+$M$5*$J$7</f>
        <v>32.613674628150449</v>
      </c>
      <c r="W57" s="5">
        <f t="shared" si="9"/>
        <v>32.106948373618657</v>
      </c>
      <c r="X57" s="4">
        <f t="shared" si="10"/>
        <v>0.20870607081534778</v>
      </c>
      <c r="Y57" s="3">
        <f t="shared" si="11"/>
        <v>30.778227474045494</v>
      </c>
      <c r="Z57" s="2">
        <f t="shared" si="12"/>
        <v>31.601218952106429</v>
      </c>
      <c r="AA57" s="3">
        <f t="shared" si="13"/>
        <v>32.180337187555722</v>
      </c>
      <c r="AB57" s="2">
        <f t="shared" si="14"/>
        <v>32.637719577254373</v>
      </c>
      <c r="AC57" s="2">
        <f t="shared" si="15"/>
        <v>33.381929480413859</v>
      </c>
      <c r="AD57" s="2">
        <f t="shared" si="16"/>
        <v>-0.10749191223127336</v>
      </c>
      <c r="AE57" s="2">
        <f t="shared" si="17"/>
        <v>-0.15021038530254494</v>
      </c>
    </row>
    <row r="58" spans="2:31" x14ac:dyDescent="0.2">
      <c r="B58" s="1">
        <f>[25]FormattedData!A31</f>
        <v>201</v>
      </c>
      <c r="C58" s="1" t="str">
        <f>VLOOKUP($B58,[25]TrtCodes!$B$11:I74,2)</f>
        <v>NDL</v>
      </c>
      <c r="D58" s="1">
        <f>VLOOKUP($B58,[25]TrtCodes!$B$11:J74,3)</f>
        <v>12</v>
      </c>
      <c r="E58" s="1">
        <f>VLOOKUP($B58,[25]TrtCodes!$B$11:K74,4)</f>
        <v>2</v>
      </c>
      <c r="F58" s="1">
        <f>VLOOKUP($B58,[25]TrtCodes!$B$11:L74,5)</f>
        <v>3</v>
      </c>
      <c r="G58" s="1">
        <f>VLOOKUP($B58,[25]TrtCodes!$B$11:M74,6)</f>
        <v>1</v>
      </c>
      <c r="H58" s="1">
        <f>VLOOKUP($B58,[25]TrtCodes!$B$11:N74,7)</f>
        <v>1</v>
      </c>
      <c r="I58" s="1">
        <f>[25]FormattedData!B31</f>
        <v>2</v>
      </c>
      <c r="J58" s="4">
        <f>[25]FormattedData!C31</f>
        <v>13.237</v>
      </c>
      <c r="K58" s="6">
        <f>$J$3+[25]FormattedData!D31*$J$4+$M$4*$J$5+[25]FormattedData!D31^2*$J$6+$M$5*$J$7</f>
        <v>34.051933377902969</v>
      </c>
      <c r="L58" s="6">
        <f>$J$3+[25]FormattedData!E31*$J$4+$M$4*$J$5+[25]FormattedData!E31^2*$J$6+$M$5*$J$7</f>
        <v>33.190119378575588</v>
      </c>
      <c r="M58" s="6">
        <f>$J$3+[25]FormattedData!F31*$J$4+$M$4*$J$5+[25]FormattedData!F31^2*$J$6+$M$5*$J$7</f>
        <v>32.132141618003047</v>
      </c>
      <c r="N58" s="6">
        <f>$J$3+[25]FormattedData!G31*$J$4+$M$4*$J$5+[25]FormattedData!G31^2*$J$6+$M$5*$J$7</f>
        <v>33.286045563763693</v>
      </c>
      <c r="O58" s="6">
        <f>$J$3+[25]FormattedData!H31*$J$4+$M$4*$J$5+[25]FormattedData!H31^2*$J$6+$M$5*$J$7</f>
        <v>36.899919614304494</v>
      </c>
      <c r="P58" s="6">
        <f>$J$3+[25]FormattedData!I31*$J$4+$M$4*$J$5+[25]FormattedData!I31^2*$J$6+$M$5*$J$7</f>
        <v>31.649551894407374</v>
      </c>
      <c r="Q58" s="6">
        <f>$J$3+[25]FormattedData!J31*$J$4+$M$4*$J$5+[25]FormattedData!J31^2*$J$6+$M$5*$J$7</f>
        <v>31.842714589459433</v>
      </c>
      <c r="R58" s="6">
        <f>$J$3+[25]FormattedData!K31*$J$4+$M$4*$J$5+[25]FormattedData!K31^2*$J$6+$M$5*$J$7</f>
        <v>32.132141618003047</v>
      </c>
      <c r="S58" s="6">
        <f>$J$3+[25]FormattedData!L31*$J$4+$M$4*$J$5+[25]FormattedData!L31^2*$J$6+$M$5*$J$7</f>
        <v>32.324881627675794</v>
      </c>
      <c r="T58" s="6">
        <f>$J$3+[25]FormattedData!M31*$J$4+$M$4*$J$5+[25]FormattedData!M31^2*$J$6+$M$5*$J$7</f>
        <v>33.381929480413859</v>
      </c>
      <c r="U58" s="6">
        <f>$J$3+[25]FormattedData!N31*$J$4+$M$4*$J$5+[25]FormattedData!N31^2*$J$6+$M$5*$J$7</f>
        <v>31.552907144074442</v>
      </c>
      <c r="V58" s="6">
        <f>$J$3+[25]FormattedData!O31*$J$4+$M$4*$J$5+[25]FormattedData!O31^2*$J$6+$M$5*$J$7</f>
        <v>31.262719281848071</v>
      </c>
      <c r="W58" s="5">
        <f t="shared" si="9"/>
        <v>32.808917099035988</v>
      </c>
      <c r="X58" s="4">
        <f t="shared" si="10"/>
        <v>0.44703573422939508</v>
      </c>
      <c r="Y58" s="3">
        <f t="shared" si="11"/>
        <v>31.262719281848071</v>
      </c>
      <c r="Z58" s="2">
        <f t="shared" si="12"/>
        <v>31.79442391569642</v>
      </c>
      <c r="AA58" s="3">
        <f t="shared" si="13"/>
        <v>32.22851162283942</v>
      </c>
      <c r="AB58" s="2">
        <f t="shared" si="14"/>
        <v>33.310016542926235</v>
      </c>
      <c r="AC58" s="2">
        <f t="shared" si="15"/>
        <v>36.899919614304494</v>
      </c>
      <c r="AD58" s="2">
        <f t="shared" si="16"/>
        <v>1.8174617615546693</v>
      </c>
      <c r="AE58" s="2">
        <f t="shared" si="17"/>
        <v>4.0231921846754286</v>
      </c>
    </row>
    <row r="59" spans="2:31" x14ac:dyDescent="0.2">
      <c r="B59" s="1">
        <f>[25]FormattedData!A33</f>
        <v>202</v>
      </c>
      <c r="C59" s="1" t="str">
        <f>VLOOKUP($B59,[25]TrtCodes!$B$11:I76,2)</f>
        <v>NTH</v>
      </c>
      <c r="D59" s="1">
        <f>VLOOKUP($B59,[25]TrtCodes!$B$11:J76,3)</f>
        <v>9</v>
      </c>
      <c r="E59" s="1">
        <f>VLOOKUP($B59,[25]TrtCodes!$B$11:K76,4)</f>
        <v>2</v>
      </c>
      <c r="F59" s="1">
        <f>VLOOKUP($B59,[25]TrtCodes!$B$11:L76,5)</f>
        <v>2</v>
      </c>
      <c r="G59" s="1">
        <f>VLOOKUP($B59,[25]TrtCodes!$B$11:M76,6)</f>
        <v>2</v>
      </c>
      <c r="H59" s="1">
        <f>VLOOKUP($B59,[25]TrtCodes!$B$11:N76,7)</f>
        <v>1</v>
      </c>
      <c r="I59" s="1">
        <f>[25]FormattedData!B33</f>
        <v>2</v>
      </c>
      <c r="J59" s="4">
        <f>[25]FormattedData!C33</f>
        <v>13.255000000000001</v>
      </c>
      <c r="K59" s="6">
        <f>$J$3+[25]FormattedData!D33*$J$4+$M$4*$J$5+[25]FormattedData!D33^2*$J$6+$M$5*$J$7</f>
        <v>30.000842617588955</v>
      </c>
      <c r="L59" s="6">
        <f>$J$3+[25]FormattedData!E33*$J$4+$M$4*$J$5+[25]FormattedData!E33^2*$J$6+$M$5*$J$7</f>
        <v>29.90347930211119</v>
      </c>
      <c r="M59" s="6">
        <f>$J$3+[25]FormattedData!F33*$J$4+$M$4*$J$5+[25]FormattedData!F33^2*$J$6+$M$5*$J$7</f>
        <v>29.806073718095504</v>
      </c>
      <c r="N59" s="6">
        <f>$J$3+[25]FormattedData!G33*$J$4+$M$4*$J$5+[25]FormattedData!G33^2*$J$6+$M$5*$J$7</f>
        <v>30.487025166908776</v>
      </c>
      <c r="O59" s="6">
        <f>$J$3+[25]FormattedData!H33*$J$4+$M$4*$J$5+[25]FormattedData!H33^2*$J$6+$M$5*$J$7</f>
        <v>30.972151002780318</v>
      </c>
      <c r="P59" s="6">
        <f>$J$3+[25]FormattedData!I33*$J$4+$M$4*$J$5+[25]FormattedData!I33^2*$J$6+$M$5*$J$7</f>
        <v>29.02530737860447</v>
      </c>
      <c r="Q59" s="6">
        <f>$J$3+[25]FormattedData!J33*$J$4+$M$4*$J$5+[25]FormattedData!J33^2*$J$6+$M$5*$J$7</f>
        <v>29.513603354820848</v>
      </c>
      <c r="R59" s="6">
        <f>$J$3+[25]FormattedData!K33*$J$4+$M$4*$J$5+[25]FormattedData!K33^2*$J$6+$M$5*$J$7</f>
        <v>29.416028696653434</v>
      </c>
      <c r="S59" s="6">
        <f>$J$3+[25]FormattedData!L33*$J$4+$M$4*$J$5+[25]FormattedData!L33^2*$J$6+$M$5*$J$7</f>
        <v>28.53595468893981</v>
      </c>
      <c r="T59" s="6">
        <f>$J$3+[25]FormattedData!M33*$J$4+$M$4*$J$5+[25]FormattedData!M33^2*$J$6+$M$5*$J$7</f>
        <v>28.339917733308429</v>
      </c>
      <c r="U59" s="6">
        <f>$J$3+[25]FormattedData!N33*$J$4+$M$4*$J$5+[25]FormattedData!N33^2*$J$6+$M$5*$J$7</f>
        <v>30.487025166908776</v>
      </c>
      <c r="V59" s="6">
        <f>$J$3+[25]FormattedData!O33*$J$4+$M$4*$J$5+[25]FormattedData!O33^2*$J$6+$M$5*$J$7</f>
        <v>30.292678952794638</v>
      </c>
      <c r="W59" s="5">
        <f t="shared" si="9"/>
        <v>29.731673981626262</v>
      </c>
      <c r="X59" s="4">
        <f t="shared" si="10"/>
        <v>0.23216692321640076</v>
      </c>
      <c r="Y59" s="3">
        <f t="shared" si="11"/>
        <v>28.339917733308429</v>
      </c>
      <c r="Z59" s="2">
        <f t="shared" si="12"/>
        <v>29.318348367141194</v>
      </c>
      <c r="AA59" s="3">
        <f t="shared" si="13"/>
        <v>29.854776510103349</v>
      </c>
      <c r="AB59" s="2">
        <f t="shared" si="14"/>
        <v>30.341265506323172</v>
      </c>
      <c r="AC59" s="2">
        <f t="shared" si="15"/>
        <v>30.972151002780318</v>
      </c>
      <c r="AD59" s="2">
        <f t="shared" si="16"/>
        <v>-0.38320738694355322</v>
      </c>
      <c r="AE59" s="2">
        <f t="shared" si="17"/>
        <v>-0.57527694245658623</v>
      </c>
    </row>
    <row r="60" spans="2:31" x14ac:dyDescent="0.2">
      <c r="B60" s="1">
        <f>[25]FormattedData!A35</f>
        <v>203</v>
      </c>
      <c r="C60" s="1" t="str">
        <f>VLOOKUP($B60,[25]TrtCodes!$B$11:I78,2)</f>
        <v>FTH</v>
      </c>
      <c r="D60" s="1">
        <f>VLOOKUP($B60,[25]TrtCodes!$B$11:J78,3)</f>
        <v>3</v>
      </c>
      <c r="E60" s="1">
        <f>VLOOKUP($B60,[25]TrtCodes!$B$11:K78,4)</f>
        <v>1</v>
      </c>
      <c r="F60" s="1">
        <f>VLOOKUP($B60,[25]TrtCodes!$B$11:L78,5)</f>
        <v>2</v>
      </c>
      <c r="G60" s="1">
        <f>VLOOKUP($B60,[25]TrtCodes!$B$11:M78,6)</f>
        <v>2</v>
      </c>
      <c r="H60" s="1">
        <f>VLOOKUP($B60,[25]TrtCodes!$B$11:N78,7)</f>
        <v>1</v>
      </c>
      <c r="I60" s="1">
        <f>[25]FormattedData!B35</f>
        <v>2</v>
      </c>
      <c r="J60" s="4">
        <f>[25]FormattedData!C35</f>
        <v>13.271000000000001</v>
      </c>
      <c r="K60" s="6">
        <f>$J$3+[25]FormattedData!D35*$J$4+$M$4*$J$5+[25]FormattedData!D35^2*$J$6+$M$5*$J$7</f>
        <v>30.19544244293067</v>
      </c>
      <c r="L60" s="6">
        <f>$J$3+[25]FormattedData!E35*$J$4+$M$4*$J$5+[25]FormattedData!E35^2*$J$6+$M$5*$J$7</f>
        <v>29.513603354820848</v>
      </c>
      <c r="M60" s="6">
        <f>$J$3+[25]FormattedData!F35*$J$4+$M$4*$J$5+[25]FormattedData!F35^2*$J$6+$M$5*$J$7</f>
        <v>29.318411769948092</v>
      </c>
      <c r="N60" s="6">
        <f>$J$3+[25]FormattedData!G35*$J$4+$M$4*$J$5+[25]FormattedData!G35^2*$J$6+$M$5*$J$7</f>
        <v>28.241835852685842</v>
      </c>
      <c r="O60" s="6">
        <f>$J$3+[25]FormattedData!H35*$J$4+$M$4*$J$5+[25]FormattedData!H35^2*$J$6+$M$5*$J$7</f>
        <v>29.806073718095504</v>
      </c>
      <c r="P60" s="6">
        <f>$J$3+[25]FormattedData!I35*$J$4+$M$4*$J$5+[25]FormattedData!I35^2*$J$6+$M$5*$J$7</f>
        <v>28.53595468893981</v>
      </c>
      <c r="Q60" s="6">
        <f>$J$3+[25]FormattedData!J35*$J$4+$M$4*$J$5+[25]FormattedData!J35^2*$J$6+$M$5*$J$7</f>
        <v>28.829693108352398</v>
      </c>
      <c r="R60" s="6">
        <f>$J$3+[25]FormattedData!K35*$J$4+$M$4*$J$5+[25]FormattedData!K35^2*$J$6+$M$5*$J$7</f>
        <v>30.098163664528776</v>
      </c>
      <c r="S60" s="6">
        <f>$J$3+[25]FormattedData!L35*$J$4+$M$4*$J$5+[25]FormattedData!L35^2*$J$6+$M$5*$J$7</f>
        <v>29.123051110923608</v>
      </c>
      <c r="T60" s="6">
        <f>$J$3+[25]FormattedData!M35*$J$4+$M$4*$J$5+[25]FormattedData!M35^2*$J$6+$M$5*$J$7</f>
        <v>29.123051110923608</v>
      </c>
      <c r="U60" s="6">
        <f>$J$3+[25]FormattedData!N35*$J$4+$M$4*$J$5+[25]FormattedData!N35^2*$J$6+$M$5*$J$7</f>
        <v>29.90347930211119</v>
      </c>
      <c r="V60" s="6">
        <f>$J$3+[25]FormattedData!O35*$J$4+$M$4*$J$5+[25]FormattedData!O35^2*$J$6+$M$5*$J$7</f>
        <v>28.241835852685842</v>
      </c>
      <c r="W60" s="5">
        <f t="shared" si="9"/>
        <v>29.244216331412176</v>
      </c>
      <c r="X60" s="4">
        <f t="shared" si="10"/>
        <v>0.19799759349980889</v>
      </c>
      <c r="Y60" s="3">
        <f t="shared" si="11"/>
        <v>28.241835852685842</v>
      </c>
      <c r="Z60" s="2">
        <f t="shared" si="12"/>
        <v>28.75625850349925</v>
      </c>
      <c r="AA60" s="3">
        <f t="shared" si="13"/>
        <v>29.220731440435848</v>
      </c>
      <c r="AB60" s="2">
        <f t="shared" si="14"/>
        <v>29.830425114099427</v>
      </c>
      <c r="AC60" s="2">
        <f t="shared" si="15"/>
        <v>30.19544244293067</v>
      </c>
      <c r="AD60" s="2">
        <f t="shared" si="16"/>
        <v>-0.16130781272836034</v>
      </c>
      <c r="AE60" s="2">
        <f t="shared" si="17"/>
        <v>-1.2244109785522546</v>
      </c>
    </row>
    <row r="61" spans="2:31" x14ac:dyDescent="0.2">
      <c r="B61" s="1">
        <f>[25]FormattedData!A37</f>
        <v>204</v>
      </c>
      <c r="C61" s="1" t="str">
        <f>VLOOKUP($B61,[25]TrtCodes!$B$11:I80,2)</f>
        <v>NDH</v>
      </c>
      <c r="D61" s="1">
        <f>VLOOKUP($B61,[25]TrtCodes!$B$11:J80,3)</f>
        <v>11</v>
      </c>
      <c r="E61" s="1">
        <f>VLOOKUP($B61,[25]TrtCodes!$B$11:K80,4)</f>
        <v>2</v>
      </c>
      <c r="F61" s="1">
        <f>VLOOKUP($B61,[25]TrtCodes!$B$11:L80,5)</f>
        <v>3</v>
      </c>
      <c r="G61" s="1">
        <f>VLOOKUP($B61,[25]TrtCodes!$B$11:M80,6)</f>
        <v>2</v>
      </c>
      <c r="H61" s="1">
        <f>VLOOKUP($B61,[25]TrtCodes!$B$11:N80,7)</f>
        <v>1</v>
      </c>
      <c r="I61" s="1">
        <f>[25]FormattedData!B37</f>
        <v>2</v>
      </c>
      <c r="J61" s="4">
        <f>[25]FormattedData!C37</f>
        <v>13.289</v>
      </c>
      <c r="K61" s="6">
        <f>$J$3+[25]FormattedData!D37*$J$4+$M$4*$J$5+[25]FormattedData!D37^2*$J$6+$M$5*$J$7</f>
        <v>29.02530737860447</v>
      </c>
      <c r="L61" s="6">
        <f>$J$3+[25]FormattedData!E37*$J$4+$M$4*$J$5+[25]FormattedData!E37^2*$J$6+$M$5*$J$7</f>
        <v>29.220752574704814</v>
      </c>
      <c r="M61" s="6">
        <f>$J$3+[25]FormattedData!F37*$J$4+$M$4*$J$5+[25]FormattedData!F37^2*$J$6+$M$5*$J$7</f>
        <v>30.19544244293067</v>
      </c>
      <c r="N61" s="6">
        <f>$J$3+[25]FormattedData!G37*$J$4+$M$4*$J$5+[25]FormattedData!G37^2*$J$6+$M$5*$J$7</f>
        <v>28.9275213777474</v>
      </c>
      <c r="O61" s="6">
        <f>$J$3+[25]FormattedData!H37*$J$4+$M$4*$J$5+[25]FormattedData!H37^2*$J$6+$M$5*$J$7</f>
        <v>30.487025166908776</v>
      </c>
      <c r="P61" s="6">
        <f>$J$3+[25]FormattedData!I37*$J$4+$M$4*$J$5+[25]FormattedData!I37^2*$J$6+$M$5*$J$7</f>
        <v>28.339917733308429</v>
      </c>
      <c r="Q61" s="6">
        <f>$J$3+[25]FormattedData!J37*$J$4+$M$4*$J$5+[25]FormattedData!J37^2*$J$6+$M$5*$J$7</f>
        <v>29.02530737860447</v>
      </c>
      <c r="R61" s="6">
        <f>$J$3+[25]FormattedData!K37*$J$4+$M$4*$J$5+[25]FormattedData!K37^2*$J$6+$M$5*$J$7</f>
        <v>29.513603354820848</v>
      </c>
      <c r="S61" s="6">
        <f>$J$3+[25]FormattedData!L37*$J$4+$M$4*$J$5+[25]FormattedData!L37^2*$J$6+$M$5*$J$7</f>
        <v>31.359490837794787</v>
      </c>
      <c r="T61" s="6">
        <f>$J$3+[25]FormattedData!M37*$J$4+$M$4*$J$5+[25]FormattedData!M37^2*$J$6+$M$5*$J$7</f>
        <v>31.262719281848071</v>
      </c>
      <c r="U61" s="6">
        <f>$J$3+[25]FormattedData!N37*$J$4+$M$4*$J$5+[25]FormattedData!N37^2*$J$6+$M$5*$J$7</f>
        <v>30.389873194120668</v>
      </c>
      <c r="V61" s="6">
        <f>$J$3+[25]FormattedData!O37*$J$4+$M$4*$J$5+[25]FormattedData!O37^2*$J$6+$M$5*$J$7</f>
        <v>30.292678952794638</v>
      </c>
      <c r="W61" s="5">
        <f t="shared" si="9"/>
        <v>29.836636639515671</v>
      </c>
      <c r="X61" s="4">
        <f t="shared" si="10"/>
        <v>0.2791412805762018</v>
      </c>
      <c r="Y61" s="3">
        <f t="shared" si="11"/>
        <v>28.339917733308429</v>
      </c>
      <c r="Z61" s="2">
        <f t="shared" si="12"/>
        <v>29.02530737860447</v>
      </c>
      <c r="AA61" s="3">
        <f t="shared" si="13"/>
        <v>29.854522898875757</v>
      </c>
      <c r="AB61" s="2">
        <f t="shared" si="14"/>
        <v>30.414161187317696</v>
      </c>
      <c r="AC61" s="2">
        <f t="shared" si="15"/>
        <v>31.359490837794787</v>
      </c>
      <c r="AD61" s="2">
        <f t="shared" si="16"/>
        <v>0.1903490227867356</v>
      </c>
      <c r="AE61" s="2">
        <f t="shared" si="17"/>
        <v>-1.0470089562320832</v>
      </c>
    </row>
    <row r="62" spans="2:31" x14ac:dyDescent="0.2">
      <c r="B62" s="1">
        <f>[25]FormattedData!A39</f>
        <v>205</v>
      </c>
      <c r="C62" s="1" t="str">
        <f>VLOOKUP($B62,[25]TrtCodes!$B$11:I82,2)</f>
        <v>FSH</v>
      </c>
      <c r="D62" s="1">
        <f>VLOOKUP($B62,[25]TrtCodes!$B$11:J82,3)</f>
        <v>1</v>
      </c>
      <c r="E62" s="1">
        <f>VLOOKUP($B62,[25]TrtCodes!$B$11:K82,4)</f>
        <v>1</v>
      </c>
      <c r="F62" s="1">
        <f>VLOOKUP($B62,[25]TrtCodes!$B$11:L82,5)</f>
        <v>1</v>
      </c>
      <c r="G62" s="1">
        <f>VLOOKUP($B62,[25]TrtCodes!$B$11:M82,6)</f>
        <v>2</v>
      </c>
      <c r="H62" s="1">
        <f>VLOOKUP($B62,[25]TrtCodes!$B$11:N82,7)</f>
        <v>2</v>
      </c>
      <c r="I62" s="1">
        <f>[25]FormattedData!B39</f>
        <v>2</v>
      </c>
      <c r="J62" s="4">
        <f>[25]FormattedData!C39</f>
        <v>13.308</v>
      </c>
      <c r="K62" s="6">
        <f>$J$3+[25]FormattedData!D39*$J$4+$M$4*$J$5+[25]FormattedData!D39^2*$J$6+$M$5*$J$7</f>
        <v>30.681202306871182</v>
      </c>
      <c r="L62" s="6">
        <f>$J$3+[25]FormattedData!E39*$J$4+$M$4*$J$5+[25]FormattedData!E39^2*$J$6+$M$5*$J$7</f>
        <v>30.292678952794638</v>
      </c>
      <c r="M62" s="6">
        <f>$J$3+[25]FormattedData!F39*$J$4+$M$4*$J$5+[25]FormattedData!F39^2*$J$6+$M$5*$J$7</f>
        <v>29.416028696653434</v>
      </c>
      <c r="N62" s="6">
        <f>$J$3+[25]FormattedData!G39*$J$4+$M$4*$J$5+[25]FormattedData!G39^2*$J$6+$M$5*$J$7</f>
        <v>29.90347930211119</v>
      </c>
      <c r="O62" s="6">
        <f>$J$3+[25]FormattedData!H39*$J$4+$M$4*$J$5+[25]FormattedData!H39^2*$J$6+$M$5*$J$7</f>
        <v>27.947336599590493</v>
      </c>
      <c r="P62" s="6">
        <f>$J$3+[25]FormattedData!I39*$J$4+$M$4*$J$5+[25]FormattedData!I39^2*$J$6+$M$5*$J$7</f>
        <v>31.165905457363412</v>
      </c>
      <c r="Q62" s="6">
        <f>$J$3+[25]FormattedData!J39*$J$4+$M$4*$J$5+[25]FormattedData!J39^2*$J$6+$M$5*$J$7</f>
        <v>31.262719281848071</v>
      </c>
      <c r="R62" s="6">
        <f>$J$3+[25]FormattedData!K39*$J$4+$M$4*$J$5+[25]FormattedData!K39^2*$J$6+$M$5*$J$7</f>
        <v>29.90347930211119</v>
      </c>
      <c r="S62" s="6">
        <f>$J$3+[25]FormattedData!L39*$J$4+$M$4*$J$5+[25]FormattedData!L39^2*$J$6+$M$5*$J$7</f>
        <v>31.165905457363412</v>
      </c>
      <c r="T62" s="6">
        <f>$J$3+[25]FormattedData!M39*$J$4+$M$4*$J$5+[25]FormattedData!M39^2*$J$6+$M$5*$J$7</f>
        <v>30.681202306871182</v>
      </c>
      <c r="U62" s="6">
        <f>$J$3+[25]FormattedData!N39*$J$4+$M$4*$J$5+[25]FormattedData!N39^2*$J$6+$M$5*$J$7</f>
        <v>31.069049364340831</v>
      </c>
      <c r="V62" s="6">
        <f>$J$3+[25]FormattedData!O39*$J$4+$M$4*$J$5+[25]FormattedData!O39^2*$J$6+$M$5*$J$7</f>
        <v>30.87521037268187</v>
      </c>
      <c r="W62" s="5">
        <f t="shared" si="9"/>
        <v>30.363683116716743</v>
      </c>
      <c r="X62" s="4">
        <f t="shared" si="10"/>
        <v>0.2782742002182409</v>
      </c>
      <c r="Y62" s="3">
        <f t="shared" si="11"/>
        <v>27.947336599590493</v>
      </c>
      <c r="Z62" s="2">
        <f t="shared" si="12"/>
        <v>29.90347930211119</v>
      </c>
      <c r="AA62" s="3">
        <f t="shared" si="13"/>
        <v>30.681202306871182</v>
      </c>
      <c r="AB62" s="2">
        <f t="shared" si="14"/>
        <v>31.093263387596476</v>
      </c>
      <c r="AC62" s="2">
        <f t="shared" si="15"/>
        <v>31.262719281848071</v>
      </c>
      <c r="AD62" s="2">
        <f t="shared" si="16"/>
        <v>-1.5645485502032792</v>
      </c>
      <c r="AE62" s="2">
        <f t="shared" si="17"/>
        <v>2.6831459069430501</v>
      </c>
    </row>
    <row r="63" spans="2:31" x14ac:dyDescent="0.2">
      <c r="B63" s="1">
        <f>[25]FormattedData!A41</f>
        <v>206</v>
      </c>
      <c r="C63" s="1" t="str">
        <f>VLOOKUP($B63,[25]TrtCodes!$B$11:I84,2)</f>
        <v>NSL</v>
      </c>
      <c r="D63" s="1">
        <f>VLOOKUP($B63,[25]TrtCodes!$B$11:J84,3)</f>
        <v>8</v>
      </c>
      <c r="E63" s="1">
        <f>VLOOKUP($B63,[25]TrtCodes!$B$11:K84,4)</f>
        <v>2</v>
      </c>
      <c r="F63" s="1">
        <f>VLOOKUP($B63,[25]TrtCodes!$B$11:L84,5)</f>
        <v>1</v>
      </c>
      <c r="G63" s="1">
        <f>VLOOKUP($B63,[25]TrtCodes!$B$11:M84,6)</f>
        <v>1</v>
      </c>
      <c r="H63" s="1">
        <f>VLOOKUP($B63,[25]TrtCodes!$B$11:N84,7)</f>
        <v>2</v>
      </c>
      <c r="I63" s="1">
        <f>[25]FormattedData!B41</f>
        <v>2</v>
      </c>
      <c r="J63" s="4">
        <f>[25]FormattedData!C41</f>
        <v>13.324999999999999</v>
      </c>
      <c r="K63" s="6">
        <f>$J$3+[25]FormattedData!D41*$J$4+$M$4*$J$5+[25]FormattedData!D41^2*$J$6+$M$5*$J$7</f>
        <v>29.70862586554188</v>
      </c>
      <c r="L63" s="6">
        <f>$J$3+[25]FormattedData!E41*$J$4+$M$4*$J$5+[25]FormattedData!E41^2*$J$6+$M$5*$J$7</f>
        <v>29.70862586554188</v>
      </c>
      <c r="M63" s="6">
        <f>$J$3+[25]FormattedData!F41*$J$4+$M$4*$J$5+[25]FormattedData!F41^2*$J$6+$M$5*$J$7</f>
        <v>30.000842617588955</v>
      </c>
      <c r="N63" s="6">
        <f>$J$3+[25]FormattedData!G41*$J$4+$M$4*$J$5+[25]FormattedData!G41^2*$J$6+$M$5*$J$7</f>
        <v>31.262719281848071</v>
      </c>
      <c r="O63" s="6">
        <f>$J$3+[25]FormattedData!H41*$J$4+$M$4*$J$5+[25]FormattedData!H41^2*$J$6+$M$5*$J$7</f>
        <v>30.87521037268187</v>
      </c>
      <c r="P63" s="6">
        <f>$J$3+[25]FormattedData!I41*$J$4+$M$4*$J$5+[25]FormattedData!I41^2*$J$6+$M$5*$J$7</f>
        <v>30.19544244293067</v>
      </c>
      <c r="Q63" s="6">
        <f>$J$3+[25]FormattedData!J41*$J$4+$M$4*$J$5+[25]FormattedData!J41^2*$J$6+$M$5*$J$7</f>
        <v>29.513603354820848</v>
      </c>
      <c r="R63" s="6">
        <f>$J$3+[25]FormattedData!K41*$J$4+$M$4*$J$5+[25]FormattedData!K41^2*$J$6+$M$5*$J$7</f>
        <v>30.098163664528776</v>
      </c>
      <c r="S63" s="6">
        <f>$J$3+[25]FormattedData!L41*$J$4+$M$4*$J$5+[25]FormattedData!L41^2*$J$6+$M$5*$J$7</f>
        <v>29.416028696653434</v>
      </c>
      <c r="T63" s="6">
        <f>$J$3+[25]FormattedData!M41*$J$4+$M$4*$J$5+[25]FormattedData!M41^2*$J$6+$M$5*$J$7</f>
        <v>32.613674628150449</v>
      </c>
      <c r="U63" s="6">
        <f>$J$3+[25]FormattedData!N41*$J$4+$M$4*$J$5+[25]FormattedData!N41^2*$J$6+$M$5*$J$7</f>
        <v>31.746154376202369</v>
      </c>
      <c r="V63" s="6">
        <f>$J$3+[25]FormattedData!O41*$J$4+$M$4*$J$5+[25]FormattedData!O41^2*$J$6+$M$5*$J$7</f>
        <v>30.000842617588955</v>
      </c>
      <c r="W63" s="5">
        <f t="shared" si="9"/>
        <v>30.428327815339845</v>
      </c>
      <c r="X63" s="4">
        <f t="shared" si="10"/>
        <v>0.28649480355725238</v>
      </c>
      <c r="Y63" s="3">
        <f t="shared" si="11"/>
        <v>29.416028696653434</v>
      </c>
      <c r="Z63" s="2">
        <f t="shared" si="12"/>
        <v>29.70862586554188</v>
      </c>
      <c r="AA63" s="3">
        <f t="shared" si="13"/>
        <v>30.049503141058864</v>
      </c>
      <c r="AB63" s="2">
        <f t="shared" si="14"/>
        <v>30.97208759997342</v>
      </c>
      <c r="AC63" s="2">
        <f t="shared" si="15"/>
        <v>32.613674628150449</v>
      </c>
      <c r="AD63" s="2">
        <f t="shared" si="16"/>
        <v>1.1876843243173498</v>
      </c>
      <c r="AE63" s="2">
        <f t="shared" si="17"/>
        <v>0.63105478798918835</v>
      </c>
    </row>
    <row r="64" spans="2:31" x14ac:dyDescent="0.2">
      <c r="B64" s="1">
        <f>[25]FormattedData!A43</f>
        <v>207</v>
      </c>
      <c r="C64" s="1" t="str">
        <f>VLOOKUP($B64,[25]TrtCodes!$B$11:I86,2)</f>
        <v>FTL</v>
      </c>
      <c r="D64" s="1">
        <f>VLOOKUP($B64,[25]TrtCodes!$B$11:J86,3)</f>
        <v>4</v>
      </c>
      <c r="E64" s="1">
        <f>VLOOKUP($B64,[25]TrtCodes!$B$11:K86,4)</f>
        <v>1</v>
      </c>
      <c r="F64" s="1">
        <f>VLOOKUP($B64,[25]TrtCodes!$B$11:L86,5)</f>
        <v>2</v>
      </c>
      <c r="G64" s="1">
        <f>VLOOKUP($B64,[25]TrtCodes!$B$11:M86,6)</f>
        <v>1</v>
      </c>
      <c r="H64" s="1">
        <f>VLOOKUP($B64,[25]TrtCodes!$B$11:N86,7)</f>
        <v>2</v>
      </c>
      <c r="I64" s="1">
        <f>[25]FormattedData!B43</f>
        <v>2</v>
      </c>
      <c r="J64" s="4">
        <f>[25]FormattedData!C43</f>
        <v>13.340999999999999</v>
      </c>
      <c r="K64" s="6">
        <f>$J$3+[25]FormattedData!D43*$J$4+$M$4*$J$5+[25]FormattedData!D43^2*$J$6+$M$5*$J$7</f>
        <v>31.165905457363412</v>
      </c>
      <c r="L64" s="6">
        <f>$J$3+[25]FormattedData!E43*$J$4+$M$4*$J$5+[25]FormattedData!E43^2*$J$6+$M$5*$J$7</f>
        <v>31.649551894407374</v>
      </c>
      <c r="M64" s="6">
        <f>$J$3+[25]FormattedData!F43*$J$4+$M$4*$J$5+[25]FormattedData!F43^2*$J$6+$M$5*$J$7</f>
        <v>30.292678952794638</v>
      </c>
      <c r="N64" s="6">
        <f>$J$3+[25]FormattedData!G43*$J$4+$M$4*$J$5+[25]FormattedData!G43^2*$J$6+$M$5*$J$7</f>
        <v>29.90347930211119</v>
      </c>
      <c r="O64" s="6">
        <f>$J$3+[25]FormattedData!H43*$J$4+$M$4*$J$5+[25]FormattedData!H43^2*$J$6+$M$5*$J$7</f>
        <v>30.292678952794638</v>
      </c>
      <c r="P64" s="6">
        <f>$J$3+[25]FormattedData!I43*$J$4+$M$4*$J$5+[25]FormattedData!I43^2*$J$6+$M$5*$J$7</f>
        <v>29.318411769948092</v>
      </c>
      <c r="Q64" s="6">
        <f>$J$3+[25]FormattedData!J43*$J$4+$M$4*$J$5+[25]FormattedData!J43^2*$J$6+$M$5*$J$7</f>
        <v>30.681202306871182</v>
      </c>
      <c r="R64" s="6">
        <f>$J$3+[25]FormattedData!K43*$J$4+$M$4*$J$5+[25]FormattedData!K43^2*$J$6+$M$5*$J$7</f>
        <v>31.746154376202369</v>
      </c>
      <c r="S64" s="6">
        <f>$J$3+[25]FormattedData!L43*$J$4+$M$4*$J$5+[25]FormattedData!L43^2*$J$6+$M$5*$J$7</f>
        <v>30.584134871158945</v>
      </c>
      <c r="T64" s="6">
        <f>$J$3+[25]FormattedData!M43*$J$4+$M$4*$J$5+[25]FormattedData!M43^2*$J$6+$M$5*$J$7</f>
        <v>30.292678952794638</v>
      </c>
      <c r="U64" s="6">
        <f>$J$3+[25]FormattedData!N43*$J$4+$M$4*$J$5+[25]FormattedData!N43^2*$J$6+$M$5*$J$7</f>
        <v>33.381929480413859</v>
      </c>
      <c r="V64" s="6">
        <f>$J$3+[25]FormattedData!O43*$J$4+$M$4*$J$5+[25]FormattedData!O43^2*$J$6+$M$5*$J$7</f>
        <v>31.939232534178572</v>
      </c>
      <c r="W64" s="5">
        <f t="shared" si="9"/>
        <v>30.937336570919911</v>
      </c>
      <c r="X64" s="4">
        <f t="shared" si="10"/>
        <v>0.31766662960550202</v>
      </c>
      <c r="Y64" s="3">
        <f t="shared" si="11"/>
        <v>29.318411769948092</v>
      </c>
      <c r="Z64" s="2">
        <f t="shared" si="12"/>
        <v>30.292678952794638</v>
      </c>
      <c r="AA64" s="3">
        <f t="shared" si="13"/>
        <v>30.632668589015061</v>
      </c>
      <c r="AB64" s="2">
        <f t="shared" si="14"/>
        <v>31.673702514856124</v>
      </c>
      <c r="AC64" s="2">
        <f t="shared" si="15"/>
        <v>33.381929480413859</v>
      </c>
      <c r="AD64" s="2">
        <f t="shared" si="16"/>
        <v>0.84356774064339923</v>
      </c>
      <c r="AE64" s="2">
        <f t="shared" si="17"/>
        <v>0.90526891803044229</v>
      </c>
    </row>
    <row r="65" spans="2:31" x14ac:dyDescent="0.2">
      <c r="B65" s="1">
        <f>[25]FormattedData!A45</f>
        <v>208</v>
      </c>
      <c r="C65" s="1" t="str">
        <f>VLOOKUP($B65,[25]TrtCodes!$B$11:I88,2)</f>
        <v>FSL</v>
      </c>
      <c r="D65" s="1">
        <f>VLOOKUP($B65,[25]TrtCodes!$B$11:J88,3)</f>
        <v>2</v>
      </c>
      <c r="E65" s="1">
        <f>VLOOKUP($B65,[25]TrtCodes!$B$11:K88,4)</f>
        <v>1</v>
      </c>
      <c r="F65" s="1">
        <f>VLOOKUP($B65,[25]TrtCodes!$B$11:L88,5)</f>
        <v>1</v>
      </c>
      <c r="G65" s="1">
        <f>VLOOKUP($B65,[25]TrtCodes!$B$11:M88,6)</f>
        <v>1</v>
      </c>
      <c r="H65" s="1">
        <f>VLOOKUP($B65,[25]TrtCodes!$B$11:N88,7)</f>
        <v>2</v>
      </c>
      <c r="I65" s="1">
        <f>[25]FormattedData!B45</f>
        <v>2</v>
      </c>
      <c r="J65" s="4">
        <f>[25]FormattedData!C45</f>
        <v>13.359</v>
      </c>
      <c r="K65" s="6">
        <f>$J$3+[25]FormattedData!D45*$J$4+$M$4*$J$5+[25]FormattedData!D45^2*$J$6+$M$5*$J$7</f>
        <v>30.292678952794638</v>
      </c>
      <c r="L65" s="6">
        <f>$J$3+[25]FormattedData!E45*$J$4+$M$4*$J$5+[25]FormattedData!E45^2*$J$6+$M$5*$J$7</f>
        <v>30.778227474045494</v>
      </c>
      <c r="M65" s="6">
        <f>$J$3+[25]FormattedData!F45*$J$4+$M$4*$J$5+[25]FormattedData!F45^2*$J$6+$M$5*$J$7</f>
        <v>30.778227474045494</v>
      </c>
      <c r="N65" s="6">
        <f>$J$3+[25]FormattedData!G45*$J$4+$M$4*$J$5+[25]FormattedData!G45^2*$J$6+$M$5*$J$7</f>
        <v>30.000842617588955</v>
      </c>
      <c r="O65" s="6">
        <f>$J$3+[25]FormattedData!H45*$J$4+$M$4*$J$5+[25]FormattedData!H45^2*$J$6+$M$5*$J$7</f>
        <v>33.190119378575588</v>
      </c>
      <c r="P65" s="6">
        <f>$J$3+[25]FormattedData!I45*$J$4+$M$4*$J$5+[25]FormattedData!I45^2*$J$6+$M$5*$J$7</f>
        <v>33.573570508100403</v>
      </c>
      <c r="Q65" s="6">
        <f>$J$3+[25]FormattedData!J45*$J$4+$M$4*$J$5+[25]FormattedData!J45^2*$J$6+$M$5*$J$7</f>
        <v>32.42118822970528</v>
      </c>
      <c r="R65" s="6">
        <f>$J$3+[25]FormattedData!K45*$J$4+$M$4*$J$5+[25]FormattedData!K45^2*$J$6+$M$5*$J$7</f>
        <v>30.972151002780318</v>
      </c>
      <c r="S65" s="6">
        <f>$J$3+[25]FormattedData!L45*$J$4+$M$4*$J$5+[25]FormattedData!L45^2*$J$6+$M$5*$J$7</f>
        <v>32.035708210359779</v>
      </c>
      <c r="T65" s="6">
        <f>$J$3+[25]FormattedData!M45*$J$4+$M$4*$J$5+[25]FormattedData!M45^2*$J$6+$M$5*$J$7</f>
        <v>32.132141618003047</v>
      </c>
      <c r="U65" s="6">
        <f>$J$3+[25]FormattedData!N45*$J$4+$M$4*$J$5+[25]FormattedData!N45^2*$J$6+$M$5*$J$7</f>
        <v>33.094150924849565</v>
      </c>
      <c r="V65" s="6">
        <f>$J$3+[25]FormattedData!O45*$J$4+$M$4*$J$5+[25]FormattedData!O45^2*$J$6+$M$5*$J$7</f>
        <v>31.262719281848071</v>
      </c>
      <c r="W65" s="5">
        <f t="shared" si="9"/>
        <v>31.710977139391385</v>
      </c>
      <c r="X65" s="4">
        <f t="shared" si="10"/>
        <v>0.34575880532989356</v>
      </c>
      <c r="Y65" s="3">
        <f t="shared" si="11"/>
        <v>30.000842617588955</v>
      </c>
      <c r="Z65" s="2">
        <f t="shared" si="12"/>
        <v>30.778227474045494</v>
      </c>
      <c r="AA65" s="3">
        <f t="shared" si="13"/>
        <v>31.649213746103925</v>
      </c>
      <c r="AB65" s="2">
        <f t="shared" si="14"/>
        <v>32.589428903491353</v>
      </c>
      <c r="AC65" s="2">
        <f t="shared" si="15"/>
        <v>33.573570508100403</v>
      </c>
      <c r="AD65" s="2">
        <f t="shared" si="16"/>
        <v>0.18034635360782095</v>
      </c>
      <c r="AE65" s="2">
        <f t="shared" si="17"/>
        <v>-1.3358211825343576</v>
      </c>
    </row>
    <row r="66" spans="2:31" x14ac:dyDescent="0.2">
      <c r="B66" s="1">
        <f>[25]FormattedData!A63</f>
        <v>301</v>
      </c>
      <c r="C66" s="1" t="str">
        <f>VLOOKUP($B66,[25]TrtCodes!$B$11:I106,2)</f>
        <v>NTL</v>
      </c>
      <c r="D66" s="1">
        <f>VLOOKUP($B66,[25]TrtCodes!$B$11:J106,3)</f>
        <v>10</v>
      </c>
      <c r="E66" s="1">
        <f>VLOOKUP($B66,[25]TrtCodes!$B$11:K106,4)</f>
        <v>2</v>
      </c>
      <c r="F66" s="1">
        <f>VLOOKUP($B66,[25]TrtCodes!$B$11:L106,5)</f>
        <v>2</v>
      </c>
      <c r="G66" s="1">
        <f>VLOOKUP($B66,[25]TrtCodes!$B$11:M106,6)</f>
        <v>1</v>
      </c>
      <c r="H66" s="1">
        <f>VLOOKUP($B66,[25]TrtCodes!$B$11:N106,7)</f>
        <v>3</v>
      </c>
      <c r="I66" s="1">
        <f>[25]FormattedData!B63</f>
        <v>2</v>
      </c>
      <c r="J66" s="4">
        <f>[25]FormattedData!C63</f>
        <v>13.492000000000001</v>
      </c>
      <c r="K66" s="6">
        <f>$J$3+[25]FormattedData!D63*$J$4+$M$4*$J$5+[25]FormattedData!D63^2*$J$6+$M$5*$J$7</f>
        <v>32.035708210359779</v>
      </c>
      <c r="L66" s="6">
        <f>$J$3+[25]FormattedData!E63*$J$4+$M$4*$J$5+[25]FormattedData!E63^2*$J$6+$M$5*$J$7</f>
        <v>30.87521037268187</v>
      </c>
      <c r="M66" s="6">
        <f>$J$3+[25]FormattedData!F63*$J$4+$M$4*$J$5+[25]FormattedData!F63^2*$J$6+$M$5*$J$7</f>
        <v>30.19544244293067</v>
      </c>
      <c r="N66" s="6">
        <f>$J$3+[25]FormattedData!G63*$J$4+$M$4*$J$5+[25]FormattedData!G63^2*$J$6+$M$5*$J$7</f>
        <v>30.972151002780318</v>
      </c>
      <c r="O66" s="6">
        <f>$J$3+[25]FormattedData!H63*$J$4+$M$4*$J$5+[25]FormattedData!H63^2*$J$6+$M$5*$J$7</f>
        <v>32.613674628150449</v>
      </c>
      <c r="P66" s="6">
        <f>$J$3+[25]FormattedData!I63*$J$4+$M$4*$J$5+[25]FormattedData!I63^2*$J$6+$M$5*$J$7</f>
        <v>30.098163664528776</v>
      </c>
      <c r="Q66" s="6">
        <f>$J$3+[25]FormattedData!J63*$J$4+$M$4*$J$5+[25]FormattedData!J63^2*$J$6+$M$5*$J$7</f>
        <v>29.806073718095504</v>
      </c>
      <c r="R66" s="6">
        <f>$J$3+[25]FormattedData!K63*$J$4+$M$4*$J$5+[25]FormattedData!K63^2*$J$6+$M$5*$J$7</f>
        <v>31.456220125203586</v>
      </c>
      <c r="S66" s="6">
        <f>$J$3+[25]FormattedData!L63*$J$4+$M$4*$J$5+[25]FormattedData!L63^2*$J$6+$M$5*$J$7</f>
        <v>31.649551894407374</v>
      </c>
      <c r="T66" s="6">
        <f>$J$3+[25]FormattedData!M63*$J$4+$M$4*$J$5+[25]FormattedData!M63^2*$J$6+$M$5*$J$7</f>
        <v>30.584134871158945</v>
      </c>
      <c r="U66" s="6">
        <f>$J$3+[25]FormattedData!N63*$J$4+$M$4*$J$5+[25]FormattedData!N63^2*$J$6+$M$5*$J$7</f>
        <v>31.456220125203586</v>
      </c>
      <c r="V66" s="6">
        <f>$J$3+[25]FormattedData!O63*$J$4+$M$4*$J$5+[25]FormattedData!O63^2*$J$6+$M$5*$J$7</f>
        <v>31.552907144074442</v>
      </c>
      <c r="W66" s="5">
        <f t="shared" si="9"/>
        <v>31.107954849964603</v>
      </c>
      <c r="X66" s="4">
        <f t="shared" si="10"/>
        <v>0.24240051558390141</v>
      </c>
      <c r="Y66" s="3">
        <f t="shared" si="11"/>
        <v>29.806073718095504</v>
      </c>
      <c r="Z66" s="2">
        <f t="shared" si="12"/>
        <v>30.486961764101878</v>
      </c>
      <c r="AA66" s="3">
        <f t="shared" si="13"/>
        <v>31.214185563991954</v>
      </c>
      <c r="AB66" s="2">
        <f t="shared" si="14"/>
        <v>31.577068331657674</v>
      </c>
      <c r="AC66" s="2">
        <f t="shared" si="15"/>
        <v>32.613674628150449</v>
      </c>
      <c r="AD66" s="2">
        <f t="shared" si="16"/>
        <v>7.1647382441535803E-2</v>
      </c>
      <c r="AE66" s="2">
        <f t="shared" si="17"/>
        <v>-0.63561446425012358</v>
      </c>
    </row>
    <row r="67" spans="2:31" x14ac:dyDescent="0.2">
      <c r="B67" s="1">
        <f>[25]FormattedData!A65</f>
        <v>302</v>
      </c>
      <c r="C67" s="1" t="str">
        <f>VLOOKUP($B67,[25]TrtCodes!$B$11:I108,2)</f>
        <v>FTL</v>
      </c>
      <c r="D67" s="1">
        <f>VLOOKUP($B67,[25]TrtCodes!$B$11:J108,3)</f>
        <v>4</v>
      </c>
      <c r="E67" s="1">
        <f>VLOOKUP($B67,[25]TrtCodes!$B$11:K108,4)</f>
        <v>1</v>
      </c>
      <c r="F67" s="1">
        <f>VLOOKUP($B67,[25]TrtCodes!$B$11:L108,5)</f>
        <v>2</v>
      </c>
      <c r="G67" s="1">
        <f>VLOOKUP($B67,[25]TrtCodes!$B$11:M108,6)</f>
        <v>1</v>
      </c>
      <c r="H67" s="1">
        <f>VLOOKUP($B67,[25]TrtCodes!$B$11:N108,7)</f>
        <v>3</v>
      </c>
      <c r="I67" s="1">
        <f>[25]FormattedData!B65</f>
        <v>2</v>
      </c>
      <c r="J67" s="4">
        <f>[25]FormattedData!C65</f>
        <v>13.509</v>
      </c>
      <c r="K67" s="6">
        <f>$J$3+[25]FormattedData!D65*$J$4+$M$4*$J$5+[25]FormattedData!D65^2*$J$6+$M$5*$J$7</f>
        <v>32.132141618003047</v>
      </c>
      <c r="L67" s="6">
        <f>$J$3+[25]FormattedData!E65*$J$4+$M$4*$J$5+[25]FormattedData!E65^2*$J$6+$M$5*$J$7</f>
        <v>31.649551894407374</v>
      </c>
      <c r="M67" s="6">
        <f>$J$3+[25]FormattedData!F65*$J$4+$M$4*$J$5+[25]FormattedData!F65^2*$J$6+$M$5*$J$7</f>
        <v>30.681202306871182</v>
      </c>
      <c r="N67" s="6">
        <f>$J$3+[25]FormattedData!G65*$J$4+$M$4*$J$5+[25]FormattedData!G65^2*$J$6+$M$5*$J$7</f>
        <v>32.709854424566132</v>
      </c>
      <c r="O67" s="6">
        <f>$J$3+[25]FormattedData!H65*$J$4+$M$4*$J$5+[25]FormattedData!H65^2*$J$6+$M$5*$J$7</f>
        <v>32.324881627675794</v>
      </c>
      <c r="P67" s="6">
        <f>$J$3+[25]FormattedData!I65*$J$4+$M$4*$J$5+[25]FormattedData!I65^2*$J$6+$M$5*$J$7</f>
        <v>31.552907144074442</v>
      </c>
      <c r="Q67" s="6">
        <f>$J$3+[25]FormattedData!J65*$J$4+$M$4*$J$5+[25]FormattedData!J65^2*$J$6+$M$5*$J$7</f>
        <v>31.842714589459433</v>
      </c>
      <c r="R67" s="6">
        <f>$J$3+[25]FormattedData!K65*$J$4+$M$4*$J$5+[25]FormattedData!K65^2*$J$6+$M$5*$J$7</f>
        <v>33.765042461635225</v>
      </c>
      <c r="S67" s="6">
        <f>$J$3+[25]FormattedData!L65*$J$4+$M$4*$J$5+[25]FormattedData!L65^2*$J$6+$M$5*$J$7</f>
        <v>32.132141618003047</v>
      </c>
      <c r="T67" s="6">
        <f>$J$3+[25]FormattedData!M65*$J$4+$M$4*$J$5+[25]FormattedData!M65^2*$J$6+$M$5*$J$7</f>
        <v>34.910323625657917</v>
      </c>
      <c r="U67" s="6">
        <f>$J$3+[25]FormattedData!N65*$J$4+$M$4*$J$5+[25]FormattedData!N65^2*$J$6+$M$5*$J$7</f>
        <v>32.132141618003047</v>
      </c>
      <c r="V67" s="6">
        <f>$J$3+[25]FormattedData!O65*$J$4+$M$4*$J$5+[25]FormattedData!O65^2*$J$6+$M$5*$J$7</f>
        <v>31.456220125203586</v>
      </c>
      <c r="W67" s="5">
        <f t="shared" si="9"/>
        <v>32.274093587796685</v>
      </c>
      <c r="X67" s="4">
        <f t="shared" si="10"/>
        <v>0.3224906042937552</v>
      </c>
      <c r="Y67" s="3">
        <f t="shared" si="11"/>
        <v>30.681202306871182</v>
      </c>
      <c r="Z67" s="2">
        <f t="shared" si="12"/>
        <v>31.625390706824142</v>
      </c>
      <c r="AA67" s="3">
        <f t="shared" si="13"/>
        <v>32.132141618003047</v>
      </c>
      <c r="AB67" s="2">
        <f t="shared" si="14"/>
        <v>32.421124826898378</v>
      </c>
      <c r="AC67" s="2">
        <f t="shared" si="15"/>
        <v>34.910323625657917</v>
      </c>
      <c r="AD67" s="2">
        <f t="shared" si="16"/>
        <v>1.2849569628088116</v>
      </c>
      <c r="AE67" s="2">
        <f t="shared" si="17"/>
        <v>2.0996676494550739</v>
      </c>
    </row>
    <row r="68" spans="2:31" x14ac:dyDescent="0.2">
      <c r="B68" s="1">
        <f>[25]FormattedData!A67</f>
        <v>303</v>
      </c>
      <c r="C68" s="1" t="str">
        <f>VLOOKUP($B68,[25]TrtCodes!$B$11:I110,2)</f>
        <v>NSL</v>
      </c>
      <c r="D68" s="1">
        <f>VLOOKUP($B68,[25]TrtCodes!$B$11:J110,3)</f>
        <v>8</v>
      </c>
      <c r="E68" s="1">
        <f>VLOOKUP($B68,[25]TrtCodes!$B$11:K110,4)</f>
        <v>2</v>
      </c>
      <c r="F68" s="1">
        <f>VLOOKUP($B68,[25]TrtCodes!$B$11:L110,5)</f>
        <v>1</v>
      </c>
      <c r="G68" s="1">
        <f>VLOOKUP($B68,[25]TrtCodes!$B$11:M110,6)</f>
        <v>1</v>
      </c>
      <c r="H68" s="1">
        <f>VLOOKUP($B68,[25]TrtCodes!$B$11:N110,7)</f>
        <v>3</v>
      </c>
      <c r="I68" s="1">
        <f>[25]FormattedData!B67</f>
        <v>2</v>
      </c>
      <c r="J68" s="4">
        <f>[25]FormattedData!C67</f>
        <v>13.526</v>
      </c>
      <c r="K68" s="6">
        <f>$J$3+[25]FormattedData!D67*$J$4+$M$4*$J$5+[25]FormattedData!D67^2*$J$6+$M$5*$J$7</f>
        <v>32.035708210359779</v>
      </c>
      <c r="L68" s="6">
        <f>$J$3+[25]FormattedData!E67*$J$4+$M$4*$J$5+[25]FormattedData!E67^2*$J$6+$M$5*$J$7</f>
        <v>31.552907144074442</v>
      </c>
      <c r="M68" s="6">
        <f>$J$3+[25]FormattedData!F67*$J$4+$M$4*$J$5+[25]FormattedData!F67^2*$J$6+$M$5*$J$7</f>
        <v>32.22853275710839</v>
      </c>
      <c r="N68" s="6">
        <f>$J$3+[25]FormattedData!G67*$J$4+$M$4*$J$5+[25]FormattedData!G67^2*$J$6+$M$5*$J$7</f>
        <v>30.972151002780318</v>
      </c>
      <c r="O68" s="6">
        <f>$J$3+[25]FormattedData!H67*$J$4+$M$4*$J$5+[25]FormattedData!H67^2*$J$6+$M$5*$J$7</f>
        <v>34.242982646058472</v>
      </c>
      <c r="P68" s="6">
        <f>$J$3+[25]FormattedData!I67*$J$4+$M$4*$J$5+[25]FormattedData!I67^2*$J$6+$M$5*$J$7</f>
        <v>33.860715035595732</v>
      </c>
      <c r="Q68" s="6">
        <f>$J$3+[25]FormattedData!J67*$J$4+$M$4*$J$5+[25]FormattedData!J67^2*$J$6+$M$5*$J$7</f>
        <v>33.286045563763693</v>
      </c>
      <c r="R68" s="6">
        <f>$J$3+[25]FormattedData!K67*$J$4+$M$4*$J$5+[25]FormattedData!K67^2*$J$6+$M$5*$J$7</f>
        <v>32.805991952443883</v>
      </c>
      <c r="S68" s="6">
        <f>$J$3+[25]FormattedData!L67*$J$4+$M$4*$J$5+[25]FormattedData!L67^2*$J$6+$M$5*$J$7</f>
        <v>31.456220125203586</v>
      </c>
      <c r="T68" s="6">
        <f>$J$3+[25]FormattedData!M67*$J$4+$M$4*$J$5+[25]FormattedData!M67^2*$J$6+$M$5*$J$7</f>
        <v>31.456220125203586</v>
      </c>
      <c r="U68" s="6">
        <f>$J$3+[25]FormattedData!N67*$J$4+$M$4*$J$5+[25]FormattedData!N67^2*$J$6+$M$5*$J$7</f>
        <v>31.552907144074442</v>
      </c>
      <c r="V68" s="6">
        <f>$J$3+[25]FormattedData!O67*$J$4+$M$4*$J$5+[25]FormattedData!O67^2*$J$6+$M$5*$J$7</f>
        <v>31.649551894407374</v>
      </c>
      <c r="W68" s="5">
        <f t="shared" si="9"/>
        <v>32.258327800089468</v>
      </c>
      <c r="X68" s="4">
        <f t="shared" si="10"/>
        <v>0.30426184481023744</v>
      </c>
      <c r="Y68" s="3">
        <f t="shared" si="11"/>
        <v>30.972151002780318</v>
      </c>
      <c r="Z68" s="2">
        <f t="shared" si="12"/>
        <v>31.528735389356729</v>
      </c>
      <c r="AA68" s="3">
        <f t="shared" si="13"/>
        <v>31.842630052383576</v>
      </c>
      <c r="AB68" s="2">
        <f t="shared" si="14"/>
        <v>32.926005355273837</v>
      </c>
      <c r="AC68" s="2">
        <f t="shared" si="15"/>
        <v>34.242982646058472</v>
      </c>
      <c r="AD68" s="2">
        <f t="shared" si="16"/>
        <v>0.84624652891243335</v>
      </c>
      <c r="AE68" s="2">
        <f t="shared" si="17"/>
        <v>-0.52043971499980346</v>
      </c>
    </row>
    <row r="69" spans="2:31" x14ac:dyDescent="0.2">
      <c r="B69" s="1">
        <f>[25]FormattedData!A69</f>
        <v>304</v>
      </c>
      <c r="C69" s="1" t="str">
        <f>VLOOKUP($B69,[25]TrtCodes!$B$11:I112,2)</f>
        <v>FSL</v>
      </c>
      <c r="D69" s="1">
        <f>VLOOKUP($B69,[25]TrtCodes!$B$11:J112,3)</f>
        <v>2</v>
      </c>
      <c r="E69" s="1">
        <f>VLOOKUP($B69,[25]TrtCodes!$B$11:K112,4)</f>
        <v>1</v>
      </c>
      <c r="F69" s="1">
        <f>VLOOKUP($B69,[25]TrtCodes!$B$11:L112,5)</f>
        <v>1</v>
      </c>
      <c r="G69" s="1">
        <f>VLOOKUP($B69,[25]TrtCodes!$B$11:M112,6)</f>
        <v>1</v>
      </c>
      <c r="H69" s="1">
        <f>VLOOKUP($B69,[25]TrtCodes!$B$11:N112,7)</f>
        <v>3</v>
      </c>
      <c r="I69" s="1">
        <f>[25]FormattedData!B69</f>
        <v>2</v>
      </c>
      <c r="J69" s="4">
        <f>[25]FormattedData!C69</f>
        <v>13.542999999999999</v>
      </c>
      <c r="K69" s="6">
        <f>$J$3+[25]FormattedData!D69*$J$4+$M$4*$J$5+[25]FormattedData!D69^2*$J$6+$M$5*$J$7</f>
        <v>34.529239534257258</v>
      </c>
      <c r="L69" s="6">
        <f>$J$3+[25]FormattedData!E69*$J$4+$M$4*$J$5+[25]FormattedData!E69^2*$J$6+$M$5*$J$7</f>
        <v>34.242982646058472</v>
      </c>
      <c r="M69" s="6">
        <f>$J$3+[25]FormattedData!F69*$J$4+$M$4*$J$5+[25]FormattedData!F69^2*$J$6+$M$5*$J$7</f>
        <v>34.910323625657917</v>
      </c>
      <c r="N69" s="6">
        <f>$J$3+[25]FormattedData!G69*$J$4+$M$4*$J$5+[25]FormattedData!G69^2*$J$6+$M$5*$J$7</f>
        <v>32.613674628150449</v>
      </c>
      <c r="O69" s="6">
        <f>$J$3+[25]FormattedData!H69*$J$4+$M$4*$J$5+[25]FormattedData!H69^2*$J$6+$M$5*$J$7</f>
        <v>33.286045563763693</v>
      </c>
      <c r="P69" s="6">
        <f>$J$3+[25]FormattedData!I69*$J$4+$M$4*$J$5+[25]FormattedData!I69^2*$J$6+$M$5*$J$7</f>
        <v>32.324881627675794</v>
      </c>
      <c r="Q69" s="6">
        <f>$J$3+[25]FormattedData!J69*$J$4+$M$4*$J$5+[25]FormattedData!J69^2*$J$6+$M$5*$J$7</f>
        <v>33.477771128526101</v>
      </c>
      <c r="R69" s="6">
        <f>$J$3+[25]FormattedData!K69*$J$4+$M$4*$J$5+[25]FormattedData!K69^2*$J$6+$M$5*$J$7</f>
        <v>33.094150924849565</v>
      </c>
      <c r="S69" s="6">
        <f>$J$3+[25]FormattedData!L69*$J$4+$M$4*$J$5+[25]FormattedData!L69^2*$J$6+$M$5*$J$7</f>
        <v>33.765042461635225</v>
      </c>
      <c r="T69" s="6">
        <f>$J$3+[25]FormattedData!M69*$J$4+$M$4*$J$5+[25]FormattedData!M69^2*$J$6+$M$5*$J$7</f>
        <v>32.324881627675794</v>
      </c>
      <c r="U69" s="6">
        <f>$J$3+[25]FormattedData!N69*$J$4+$M$4*$J$5+[25]FormattedData!N69^2*$J$6+$M$5*$J$7</f>
        <v>32.035708210359779</v>
      </c>
      <c r="V69" s="6">
        <f>$J$3+[25]FormattedData!O69*$J$4+$M$4*$J$5+[25]FormattedData!O69^2*$J$6+$M$5*$J$7</f>
        <v>32.613674628150449</v>
      </c>
      <c r="W69" s="5">
        <f t="shared" si="9"/>
        <v>33.26819805056337</v>
      </c>
      <c r="X69" s="4">
        <f t="shared" si="10"/>
        <v>0.27127529891329893</v>
      </c>
      <c r="Y69" s="3">
        <f t="shared" si="11"/>
        <v>32.035708210359779</v>
      </c>
      <c r="Z69" s="2">
        <f t="shared" si="12"/>
        <v>32.541476378031788</v>
      </c>
      <c r="AA69" s="3">
        <f t="shared" si="13"/>
        <v>33.190098244306625</v>
      </c>
      <c r="AB69" s="2">
        <f t="shared" si="14"/>
        <v>33.884527507741041</v>
      </c>
      <c r="AC69" s="2">
        <f t="shared" si="15"/>
        <v>34.910323625657917</v>
      </c>
      <c r="AD69" s="2">
        <f t="shared" si="16"/>
        <v>0.44360249018405934</v>
      </c>
      <c r="AE69" s="2">
        <f t="shared" si="17"/>
        <v>-0.99730718036364507</v>
      </c>
    </row>
    <row r="70" spans="2:31" x14ac:dyDescent="0.2">
      <c r="B70" s="1">
        <f>[25]FormattedData!A71</f>
        <v>305</v>
      </c>
      <c r="C70" s="1" t="str">
        <f>VLOOKUP($B70,[25]TrtCodes!$B$11:I114,2)</f>
        <v>NDH</v>
      </c>
      <c r="D70" s="1">
        <f>VLOOKUP($B70,[25]TrtCodes!$B$11:J114,3)</f>
        <v>11</v>
      </c>
      <c r="E70" s="1">
        <f>VLOOKUP($B70,[25]TrtCodes!$B$11:K114,4)</f>
        <v>2</v>
      </c>
      <c r="F70" s="1">
        <f>VLOOKUP($B70,[25]TrtCodes!$B$11:L114,5)</f>
        <v>3</v>
      </c>
      <c r="G70" s="1">
        <f>VLOOKUP($B70,[25]TrtCodes!$B$11:M114,6)</f>
        <v>2</v>
      </c>
      <c r="H70" s="1">
        <f>VLOOKUP($B70,[25]TrtCodes!$B$11:N114,7)</f>
        <v>4</v>
      </c>
      <c r="I70" s="1">
        <f>[25]FormattedData!B71</f>
        <v>2</v>
      </c>
      <c r="J70" s="4">
        <f>[25]FormattedData!C71</f>
        <v>13.561</v>
      </c>
      <c r="K70" s="6">
        <f>$J$3+[25]FormattedData!D71*$J$4+$M$4*$J$5+[25]FormattedData!D71^2*$J$6+$M$5*$J$7</f>
        <v>31.069049364340831</v>
      </c>
      <c r="L70" s="6">
        <f>$J$3+[25]FormattedData!E71*$J$4+$M$4*$J$5+[25]FormattedData!E71^2*$J$6+$M$5*$J$7</f>
        <v>30.778227474045494</v>
      </c>
      <c r="M70" s="6">
        <f>$J$3+[25]FormattedData!F71*$J$4+$M$4*$J$5+[25]FormattedData!F71^2*$J$6+$M$5*$J$7</f>
        <v>30.681202306871182</v>
      </c>
      <c r="N70" s="6">
        <f>$J$3+[25]FormattedData!G71*$J$4+$M$4*$J$5+[25]FormattedData!G71^2*$J$6+$M$5*$J$7</f>
        <v>30.584134871158945</v>
      </c>
      <c r="O70" s="6">
        <f>$J$3+[25]FormattedData!H71*$J$4+$M$4*$J$5+[25]FormattedData!H71^2*$J$6+$M$5*$J$7</f>
        <v>30.681202306871182</v>
      </c>
      <c r="P70" s="6">
        <f>$J$3+[25]FormattedData!I71*$J$4+$M$4*$J$5+[25]FormattedData!I71^2*$J$6+$M$5*$J$7</f>
        <v>30.778227474045494</v>
      </c>
      <c r="Q70" s="6">
        <f>$J$3+[25]FormattedData!J71*$J$4+$M$4*$J$5+[25]FormattedData!J71^2*$J$6+$M$5*$J$7</f>
        <v>30.389873194120668</v>
      </c>
      <c r="R70" s="6">
        <f>$J$3+[25]FormattedData!K71*$J$4+$M$4*$J$5+[25]FormattedData!K71^2*$J$6+$M$5*$J$7</f>
        <v>31.165905457363412</v>
      </c>
      <c r="S70" s="6">
        <f>$J$3+[25]FormattedData!L71*$J$4+$M$4*$J$5+[25]FormattedData!L71^2*$J$6+$M$5*$J$7</f>
        <v>30.389873194120668</v>
      </c>
      <c r="T70" s="6">
        <f>$J$3+[25]FormattedData!M71*$J$4+$M$4*$J$5+[25]FormattedData!M71^2*$J$6+$M$5*$J$7</f>
        <v>30.681202306871182</v>
      </c>
      <c r="U70" s="6">
        <f>$J$3+[25]FormattedData!N71*$J$4+$M$4*$J$5+[25]FormattedData!N71^2*$J$6+$M$5*$J$7</f>
        <v>30.584134871158945</v>
      </c>
      <c r="V70" s="6">
        <f>$J$3+[25]FormattedData!O71*$J$4+$M$4*$J$5+[25]FormattedData!O71^2*$J$6+$M$5*$J$7</f>
        <v>31.165905457363412</v>
      </c>
      <c r="W70" s="5">
        <f t="shared" si="9"/>
        <v>30.745744856527612</v>
      </c>
      <c r="X70" s="4">
        <f t="shared" si="10"/>
        <v>7.6758573884049067E-2</v>
      </c>
      <c r="Y70" s="3">
        <f t="shared" si="11"/>
        <v>30.389873194120668</v>
      </c>
      <c r="Z70" s="2">
        <f t="shared" si="12"/>
        <v>30.584134871158945</v>
      </c>
      <c r="AA70" s="3">
        <f t="shared" si="13"/>
        <v>30.681202306871182</v>
      </c>
      <c r="AB70" s="2">
        <f t="shared" si="14"/>
        <v>30.850932946619327</v>
      </c>
      <c r="AC70" s="2">
        <f t="shared" si="15"/>
        <v>31.165905457363412</v>
      </c>
      <c r="AD70" s="2">
        <f t="shared" si="16"/>
        <v>0.48059415776937159</v>
      </c>
      <c r="AE70" s="2">
        <f t="shared" si="17"/>
        <v>-0.66828205294175813</v>
      </c>
    </row>
    <row r="71" spans="2:31" x14ac:dyDescent="0.2">
      <c r="B71" s="1">
        <f>[25]FormattedData!A73</f>
        <v>306</v>
      </c>
      <c r="C71" s="1" t="str">
        <f>VLOOKUP($B71,[25]TrtCodes!$B$11:I116,2)</f>
        <v>FTL</v>
      </c>
      <c r="D71" s="1">
        <f>VLOOKUP($B71,[25]TrtCodes!$B$11:J116,3)</f>
        <v>4</v>
      </c>
      <c r="E71" s="1">
        <f>VLOOKUP($B71,[25]TrtCodes!$B$11:K116,4)</f>
        <v>1</v>
      </c>
      <c r="F71" s="1">
        <f>VLOOKUP($B71,[25]TrtCodes!$B$11:L116,5)</f>
        <v>2</v>
      </c>
      <c r="G71" s="1">
        <f>VLOOKUP($B71,[25]TrtCodes!$B$11:M116,6)</f>
        <v>1</v>
      </c>
      <c r="H71" s="1">
        <f>VLOOKUP($B71,[25]TrtCodes!$B$11:N116,7)</f>
        <v>4</v>
      </c>
      <c r="I71" s="1">
        <f>[25]FormattedData!B73</f>
        <v>2</v>
      </c>
      <c r="J71" s="4">
        <f>[25]FormattedData!C73</f>
        <v>13.577999999999999</v>
      </c>
      <c r="K71" s="6">
        <f>$J$3+[25]FormattedData!D73*$J$4+$M$4*$J$5+[25]FormattedData!D73^2*$J$6+$M$5*$J$7</f>
        <v>31.165905457363412</v>
      </c>
      <c r="L71" s="6">
        <f>$J$3+[25]FormattedData!E73*$J$4+$M$4*$J$5+[25]FormattedData!E73^2*$J$6+$M$5*$J$7</f>
        <v>33.094150924849565</v>
      </c>
      <c r="M71" s="6">
        <f>$J$3+[25]FormattedData!F73*$J$4+$M$4*$J$5+[25]FormattedData!F73^2*$J$6+$M$5*$J$7</f>
        <v>31.262719281848071</v>
      </c>
      <c r="N71" s="6">
        <f>$J$3+[25]FormattedData!G73*$J$4+$M$4*$J$5+[25]FormattedData!G73^2*$J$6+$M$5*$J$7</f>
        <v>31.069049364340831</v>
      </c>
      <c r="O71" s="6">
        <f>$J$3+[25]FormattedData!H73*$J$4+$M$4*$J$5+[25]FormattedData!H73^2*$J$6+$M$5*$J$7</f>
        <v>31.069049364340831</v>
      </c>
      <c r="P71" s="6">
        <f>$J$3+[25]FormattedData!I73*$J$4+$M$4*$J$5+[25]FormattedData!I73^2*$J$6+$M$5*$J$7</f>
        <v>29.806073718095504</v>
      </c>
      <c r="Q71" s="6">
        <f>$J$3+[25]FormattedData!J73*$J$4+$M$4*$J$5+[25]FormattedData!J73^2*$J$6+$M$5*$J$7</f>
        <v>32.709854424566132</v>
      </c>
      <c r="R71" s="6">
        <f>$J$3+[25]FormattedData!K73*$J$4+$M$4*$J$5+[25]FormattedData!K73^2*$J$6+$M$5*$J$7</f>
        <v>30.487025166908776</v>
      </c>
      <c r="S71" s="6">
        <f>$J$3+[25]FormattedData!L73*$J$4+$M$4*$J$5+[25]FormattedData!L73^2*$J$6+$M$5*$J$7</f>
        <v>29.90347930211119</v>
      </c>
      <c r="T71" s="6">
        <f>$J$3+[25]FormattedData!M73*$J$4+$M$4*$J$5+[25]FormattedData!M73^2*$J$6+$M$5*$J$7</f>
        <v>30.098163664528776</v>
      </c>
      <c r="U71" s="6">
        <f>$J$3+[25]FormattedData!N73*$J$4+$M$4*$J$5+[25]FormattedData!N73^2*$J$6+$M$5*$J$7</f>
        <v>30.19544244293067</v>
      </c>
      <c r="V71" s="6">
        <f>$J$3+[25]FormattedData!O73*$J$4+$M$4*$J$5+[25]FormattedData!O73^2*$J$6+$M$5*$J$7</f>
        <v>32.132141618003047</v>
      </c>
      <c r="W71" s="5">
        <f t="shared" si="9"/>
        <v>31.082754560823901</v>
      </c>
      <c r="X71" s="4">
        <f t="shared" si="10"/>
        <v>0.31341592054588191</v>
      </c>
      <c r="Y71" s="3">
        <f t="shared" si="11"/>
        <v>29.806073718095504</v>
      </c>
      <c r="Z71" s="2">
        <f t="shared" si="12"/>
        <v>30.171122748330198</v>
      </c>
      <c r="AA71" s="3">
        <f t="shared" si="13"/>
        <v>31.069049364340831</v>
      </c>
      <c r="AB71" s="2">
        <f t="shared" si="14"/>
        <v>31.480074865886813</v>
      </c>
      <c r="AC71" s="2">
        <f t="shared" si="15"/>
        <v>33.094150924849565</v>
      </c>
      <c r="AD71" s="2">
        <f t="shared" si="16"/>
        <v>0.68379556709081057</v>
      </c>
      <c r="AE71" s="2">
        <f t="shared" si="17"/>
        <v>-0.53279574772570282</v>
      </c>
    </row>
    <row r="72" spans="2:31" x14ac:dyDescent="0.2">
      <c r="B72" s="1">
        <f>[25]FormattedData!A75</f>
        <v>307</v>
      </c>
      <c r="C72" s="1" t="str">
        <f>VLOOKUP($B72,[25]TrtCodes!$B$11:I118,2)</f>
        <v>NTH</v>
      </c>
      <c r="D72" s="1">
        <f>VLOOKUP($B72,[25]TrtCodes!$B$11:J118,3)</f>
        <v>9</v>
      </c>
      <c r="E72" s="1">
        <f>VLOOKUP($B72,[25]TrtCodes!$B$11:K118,4)</f>
        <v>2</v>
      </c>
      <c r="F72" s="1">
        <f>VLOOKUP($B72,[25]TrtCodes!$B$11:L118,5)</f>
        <v>2</v>
      </c>
      <c r="G72" s="1">
        <f>VLOOKUP($B72,[25]TrtCodes!$B$11:M118,6)</f>
        <v>2</v>
      </c>
      <c r="H72" s="1">
        <f>VLOOKUP($B72,[25]TrtCodes!$B$11:N118,7)</f>
        <v>4</v>
      </c>
      <c r="I72" s="1">
        <f>[25]FormattedData!B75</f>
        <v>2</v>
      </c>
      <c r="J72" s="4">
        <f>[25]FormattedData!C75</f>
        <v>13.596</v>
      </c>
      <c r="K72" s="6">
        <f>$J$3+[25]FormattedData!D75*$J$4+$M$4*$J$5+[25]FormattedData!D75^2*$J$6+$M$5*$J$7</f>
        <v>30.584134871158945</v>
      </c>
      <c r="L72" s="6">
        <f>$J$3+[25]FormattedData!E75*$J$4+$M$4*$J$5+[25]FormattedData!E75^2*$J$6+$M$5*$J$7</f>
        <v>31.069049364340831</v>
      </c>
      <c r="M72" s="6">
        <f>$J$3+[25]FormattedData!F75*$J$4+$M$4*$J$5+[25]FormattedData!F75^2*$J$6+$M$5*$J$7</f>
        <v>29.806073718095504</v>
      </c>
      <c r="N72" s="6">
        <f>$J$3+[25]FormattedData!G75*$J$4+$M$4*$J$5+[25]FormattedData!G75^2*$J$6+$M$5*$J$7</f>
        <v>30.972151002780318</v>
      </c>
      <c r="O72" s="6">
        <f>$J$3+[25]FormattedData!H75*$J$4+$M$4*$J$5+[25]FormattedData!H75^2*$J$6+$M$5*$J$7</f>
        <v>31.842714589459433</v>
      </c>
      <c r="P72" s="6">
        <f>$J$3+[25]FormattedData!I75*$J$4+$M$4*$J$5+[25]FormattedData!I75^2*$J$6+$M$5*$J$7</f>
        <v>30.098163664528776</v>
      </c>
      <c r="Q72" s="6">
        <f>$J$3+[25]FormattedData!J75*$J$4+$M$4*$J$5+[25]FormattedData!J75^2*$J$6+$M$5*$J$7</f>
        <v>32.998140202585603</v>
      </c>
      <c r="R72" s="6">
        <f>$J$3+[25]FormattedData!K75*$J$4+$M$4*$J$5+[25]FormattedData!K75^2*$J$6+$M$5*$J$7</f>
        <v>32.22853275710839</v>
      </c>
      <c r="S72" s="6">
        <f>$J$3+[25]FormattedData!L75*$J$4+$M$4*$J$5+[25]FormattedData!L75^2*$J$6+$M$5*$J$7</f>
        <v>29.318411769948092</v>
      </c>
      <c r="T72" s="6">
        <f>$J$3+[25]FormattedData!M75*$J$4+$M$4*$J$5+[25]FormattedData!M75^2*$J$6+$M$5*$J$7</f>
        <v>30.778227474045494</v>
      </c>
      <c r="U72" s="6">
        <f>$J$3+[25]FormattedData!N75*$J$4+$M$4*$J$5+[25]FormattedData!N75^2*$J$6+$M$5*$J$7</f>
        <v>31.456220125203586</v>
      </c>
      <c r="V72" s="6">
        <f>$J$3+[25]FormattedData!O75*$J$4+$M$4*$J$5+[25]FormattedData!O75^2*$J$6+$M$5*$J$7</f>
        <v>31.552907144074442</v>
      </c>
      <c r="W72" s="5">
        <f t="shared" si="9"/>
        <v>31.058727223610784</v>
      </c>
      <c r="X72" s="4">
        <f t="shared" si="10"/>
        <v>0.30124312280496268</v>
      </c>
      <c r="Y72" s="3">
        <f t="shared" si="11"/>
        <v>29.318411769948092</v>
      </c>
      <c r="Z72" s="2">
        <f t="shared" si="12"/>
        <v>30.462642069501403</v>
      </c>
      <c r="AA72" s="3">
        <f t="shared" si="13"/>
        <v>31.020600183560575</v>
      </c>
      <c r="AB72" s="2">
        <f t="shared" si="14"/>
        <v>31.625359005420691</v>
      </c>
      <c r="AC72" s="2">
        <f t="shared" si="15"/>
        <v>32.998140202585603</v>
      </c>
      <c r="AD72" s="2">
        <f t="shared" si="16"/>
        <v>0.12561821153782746</v>
      </c>
      <c r="AE72" s="2">
        <f t="shared" si="17"/>
        <v>-0.17635544292866268</v>
      </c>
    </row>
    <row r="73" spans="2:31" x14ac:dyDescent="0.2">
      <c r="B73" s="1">
        <f>[25]FormattedData!A77</f>
        <v>308</v>
      </c>
      <c r="C73" s="1" t="str">
        <f>VLOOKUP($B73,[25]TrtCodes!$B$11:I120,2)</f>
        <v>FDH</v>
      </c>
      <c r="D73" s="1">
        <f>VLOOKUP($B73,[25]TrtCodes!$B$11:J120,3)</f>
        <v>5</v>
      </c>
      <c r="E73" s="1">
        <f>VLOOKUP($B73,[25]TrtCodes!$B$11:K120,4)</f>
        <v>1</v>
      </c>
      <c r="F73" s="1">
        <f>VLOOKUP($B73,[25]TrtCodes!$B$11:L120,5)</f>
        <v>3</v>
      </c>
      <c r="G73" s="1">
        <f>VLOOKUP($B73,[25]TrtCodes!$B$11:M120,6)</f>
        <v>2</v>
      </c>
      <c r="H73" s="1">
        <f>VLOOKUP($B73,[25]TrtCodes!$B$11:N120,7)</f>
        <v>4</v>
      </c>
      <c r="I73" s="1">
        <f>[25]FormattedData!B77</f>
        <v>2</v>
      </c>
      <c r="J73" s="4">
        <f>[25]FormattedData!C77</f>
        <v>13.613</v>
      </c>
      <c r="K73" s="6">
        <f>$J$3+[25]FormattedData!D77*$J$4+$M$4*$J$5+[25]FormattedData!D77^2*$J$6+$M$5*$J$7</f>
        <v>30.972151002780318</v>
      </c>
      <c r="L73" s="6">
        <f>$J$3+[25]FormattedData!E77*$J$4+$M$4*$J$5+[25]FormattedData!E77^2*$J$6+$M$5*$J$7</f>
        <v>29.416028696653434</v>
      </c>
      <c r="M73" s="6">
        <f>$J$3+[25]FormattedData!F77*$J$4+$M$4*$J$5+[25]FormattedData!F77^2*$J$6+$M$5*$J$7</f>
        <v>31.262719281848071</v>
      </c>
      <c r="N73" s="6">
        <f>$J$3+[25]FormattedData!G77*$J$4+$M$4*$J$5+[25]FormattedData!G77^2*$J$6+$M$5*$J$7</f>
        <v>30.584134871158945</v>
      </c>
      <c r="O73" s="6">
        <f>$J$3+[25]FormattedData!H77*$J$4+$M$4*$J$5+[25]FormattedData!H77^2*$J$6+$M$5*$J$7</f>
        <v>30.19544244293067</v>
      </c>
      <c r="P73" s="6">
        <f>$J$3+[25]FormattedData!I77*$J$4+$M$4*$J$5+[25]FormattedData!I77^2*$J$6+$M$5*$J$7</f>
        <v>31.939232534178572</v>
      </c>
      <c r="Q73" s="6">
        <f>$J$3+[25]FormattedData!J77*$J$4+$M$4*$J$5+[25]FormattedData!J77^2*$J$6+$M$5*$J$7</f>
        <v>30.487025166908776</v>
      </c>
      <c r="R73" s="6">
        <f>$J$3+[25]FormattedData!K77*$J$4+$M$4*$J$5+[25]FormattedData!K77^2*$J$6+$M$5*$J$7</f>
        <v>30.292678952794638</v>
      </c>
      <c r="S73" s="6">
        <f>$J$3+[25]FormattedData!L77*$J$4+$M$4*$J$5+[25]FormattedData!L77^2*$J$6+$M$5*$J$7</f>
        <v>30.000842617588955</v>
      </c>
      <c r="T73" s="6">
        <f>$J$3+[25]FormattedData!M77*$J$4+$M$4*$J$5+[25]FormattedData!M77^2*$J$6+$M$5*$J$7</f>
        <v>30.389873194120668</v>
      </c>
      <c r="U73" s="6">
        <f>$J$3+[25]FormattedData!N77*$J$4+$M$4*$J$5+[25]FormattedData!N77^2*$J$6+$M$5*$J$7</f>
        <v>30.000842617588955</v>
      </c>
      <c r="V73" s="6">
        <f>$J$3+[25]FormattedData!O77*$J$4+$M$4*$J$5+[25]FormattedData!O77^2*$J$6+$M$5*$J$7</f>
        <v>29.806073718095504</v>
      </c>
      <c r="W73" s="5">
        <f t="shared" si="9"/>
        <v>30.445587091387292</v>
      </c>
      <c r="X73" s="4">
        <f t="shared" si="10"/>
        <v>0.19753182134717778</v>
      </c>
      <c r="Y73" s="3">
        <f t="shared" si="11"/>
        <v>29.416028696653434</v>
      </c>
      <c r="Z73" s="2">
        <f t="shared" si="12"/>
        <v>30.000842617588955</v>
      </c>
      <c r="AA73" s="3">
        <f t="shared" si="13"/>
        <v>30.341276073457653</v>
      </c>
      <c r="AB73" s="2">
        <f t="shared" si="14"/>
        <v>30.681138904064287</v>
      </c>
      <c r="AC73" s="2">
        <f t="shared" si="15"/>
        <v>31.939232534178572</v>
      </c>
      <c r="AD73" s="2">
        <f t="shared" si="16"/>
        <v>0.84387758299323923</v>
      </c>
      <c r="AE73" s="2">
        <f t="shared" si="17"/>
        <v>0.90729018340600742</v>
      </c>
    </row>
    <row r="74" spans="2:31" x14ac:dyDescent="0.2">
      <c r="B74" s="1">
        <f>[25]FormattedData!A93</f>
        <v>401</v>
      </c>
      <c r="C74" s="1" t="str">
        <f>VLOOKUP($B74,[25]TrtCodes!$B$11:I130,2)</f>
        <v>NSH</v>
      </c>
      <c r="D74" s="1">
        <f>VLOOKUP($B74,[25]TrtCodes!$B$11:J130,3)</f>
        <v>7</v>
      </c>
      <c r="E74" s="1">
        <f>VLOOKUP($B74,[25]TrtCodes!$B$11:K130,4)</f>
        <v>2</v>
      </c>
      <c r="F74" s="1">
        <f>VLOOKUP($B74,[25]TrtCodes!$B$11:L130,5)</f>
        <v>1</v>
      </c>
      <c r="G74" s="1">
        <f>VLOOKUP($B74,[25]TrtCodes!$B$11:M130,6)</f>
        <v>2</v>
      </c>
      <c r="H74" s="1">
        <f>VLOOKUP($B74,[25]TrtCodes!$B$11:N130,7)</f>
        <v>3</v>
      </c>
      <c r="I74" s="1">
        <f>[25]FormattedData!B93</f>
        <v>2</v>
      </c>
      <c r="J74" s="4">
        <f>[25]FormattedData!C93</f>
        <v>13.763999999999999</v>
      </c>
      <c r="K74" s="6">
        <f>$J$3+[25]FormattedData!D93*$J$4+$M$4*$J$5+[25]FormattedData!D93^2*$J$6+$M$5*$J$7</f>
        <v>30.584134871158945</v>
      </c>
      <c r="L74" s="6">
        <f>$J$3+[25]FormattedData!E93*$J$4+$M$4*$J$5+[25]FormattedData!E93^2*$J$6+$M$5*$J$7</f>
        <v>29.806073718095504</v>
      </c>
      <c r="M74" s="6">
        <f>$J$3+[25]FormattedData!F93*$J$4+$M$4*$J$5+[25]FormattedData!F93^2*$J$6+$M$5*$J$7</f>
        <v>30.972151002780318</v>
      </c>
      <c r="N74" s="6">
        <f>$J$3+[25]FormattedData!G93*$J$4+$M$4*$J$5+[25]FormattedData!G93^2*$J$6+$M$5*$J$7</f>
        <v>28.731822570419467</v>
      </c>
      <c r="O74" s="6">
        <f>$J$3+[25]FormattedData!H93*$J$4+$M$4*$J$5+[25]FormattedData!H93^2*$J$6+$M$5*$J$7</f>
        <v>29.123051110923608</v>
      </c>
      <c r="P74" s="6">
        <f>$J$3+[25]FormattedData!I93*$J$4+$M$4*$J$5+[25]FormattedData!I93^2*$J$6+$M$5*$J$7</f>
        <v>31.165905457363412</v>
      </c>
      <c r="Q74" s="6">
        <f>$J$3+[25]FormattedData!J93*$J$4+$M$4*$J$5+[25]FormattedData!J93^2*$J$6+$M$5*$J$7</f>
        <v>30.292678952794638</v>
      </c>
      <c r="R74" s="6">
        <f>$J$3+[25]FormattedData!K93*$J$4+$M$4*$J$5+[25]FormattedData!K93^2*$J$6+$M$5*$J$7</f>
        <v>33.094150924849565</v>
      </c>
      <c r="S74" s="6">
        <f>$J$3+[25]FormattedData!L93*$J$4+$M$4*$J$5+[25]FormattedData!L93^2*$J$6+$M$5*$J$7</f>
        <v>30.972151002780318</v>
      </c>
      <c r="T74" s="6">
        <f>$J$3+[25]FormattedData!M93*$J$4+$M$4*$J$5+[25]FormattedData!M93^2*$J$6+$M$5*$J$7</f>
        <v>30.87521037268187</v>
      </c>
      <c r="U74" s="6">
        <f>$J$3+[25]FormattedData!N93*$J$4+$M$4*$J$5+[25]FormattedData!N93^2*$J$6+$M$5*$J$7</f>
        <v>31.165905457363412</v>
      </c>
      <c r="V74" s="6">
        <f>$J$3+[25]FormattedData!O93*$J$4+$M$4*$J$5+[25]FormattedData!O93^2*$J$6+$M$5*$J$7</f>
        <v>31.359490837794787</v>
      </c>
      <c r="W74" s="5">
        <f t="shared" ref="W74:W105" si="18">AVERAGE(K74:V74)</f>
        <v>30.678560523250486</v>
      </c>
      <c r="X74" s="4">
        <f t="shared" ref="X74:X85" si="19">STDEV(K74:V74)/SQRT(COUNT(K74:V74))</f>
        <v>0.32698423831426482</v>
      </c>
      <c r="Y74" s="3">
        <f t="shared" ref="Y74:Y85" si="20">MIN(K74:V74)</f>
        <v>28.731822570419467</v>
      </c>
      <c r="Z74" s="2">
        <f t="shared" ref="Z74:Z85" si="21">QUARTILE(K74:V74,1)</f>
        <v>30.171027644119853</v>
      </c>
      <c r="AA74" s="3">
        <f t="shared" ref="AA74:AA85" si="22">MEDIAN(K74:V74)</f>
        <v>30.923680687731093</v>
      </c>
      <c r="AB74" s="2">
        <f t="shared" ref="AB74:AB85" si="23">QUARTILE(K74:V74,3)</f>
        <v>31.165905457363412</v>
      </c>
      <c r="AC74" s="2">
        <f t="shared" ref="AC74:AC85" si="24">MAX(K74:V74)</f>
        <v>33.094150924849565</v>
      </c>
      <c r="AD74" s="2">
        <f t="shared" ref="AD74:AD85" si="25">SKEW(K74:V74)</f>
        <v>0.21293422998530043</v>
      </c>
      <c r="AE74" s="2">
        <f t="shared" ref="AE74:AE85" si="26">KURT(K74:V74)</f>
        <v>1.251671553366589</v>
      </c>
    </row>
    <row r="75" spans="2:31" x14ac:dyDescent="0.2">
      <c r="B75" s="1">
        <f>[25]FormattedData!A91</f>
        <v>402</v>
      </c>
      <c r="C75" s="1" t="str">
        <f>VLOOKUP($B75,[25]TrtCodes!$B$11:I131,2)</f>
        <v>NTH</v>
      </c>
      <c r="D75" s="1">
        <f>VLOOKUP($B75,[25]TrtCodes!$B$11:J131,3)</f>
        <v>9</v>
      </c>
      <c r="E75" s="1">
        <f>VLOOKUP($B75,[25]TrtCodes!$B$11:K131,4)</f>
        <v>2</v>
      </c>
      <c r="F75" s="1">
        <f>VLOOKUP($B75,[25]TrtCodes!$B$11:L131,5)</f>
        <v>2</v>
      </c>
      <c r="G75" s="1">
        <f>VLOOKUP($B75,[25]TrtCodes!$B$11:M131,6)</f>
        <v>2</v>
      </c>
      <c r="H75" s="1">
        <f>VLOOKUP($B75,[25]TrtCodes!$B$11:N131,7)</f>
        <v>3</v>
      </c>
      <c r="I75" s="1">
        <f>[25]FormattedData!B91</f>
        <v>2</v>
      </c>
      <c r="J75" s="4">
        <f>[25]FormattedData!C91</f>
        <v>13.747</v>
      </c>
      <c r="K75" s="6">
        <f>$J$3+[25]FormattedData!D91*$J$4+$M$4*$J$5+[25]FormattedData!D91^2*$J$6+$M$5*$J$7</f>
        <v>30.000842617588955</v>
      </c>
      <c r="L75" s="6">
        <f>$J$3+[25]FormattedData!E91*$J$4+$M$4*$J$5+[25]FormattedData!E91^2*$J$6+$M$5*$J$7</f>
        <v>30.292678952794638</v>
      </c>
      <c r="M75" s="6">
        <f>$J$3+[25]FormattedData!F91*$J$4+$M$4*$J$5+[25]FormattedData!F91^2*$J$6+$M$5*$J$7</f>
        <v>30.098163664528776</v>
      </c>
      <c r="N75" s="6">
        <f>$J$3+[25]FormattedData!G91*$J$4+$M$4*$J$5+[25]FormattedData!G91^2*$J$6+$M$5*$J$7</f>
        <v>29.220752574704814</v>
      </c>
      <c r="O75" s="6">
        <f>$J$3+[25]FormattedData!H91*$J$4+$M$4*$J$5+[25]FormattedData!H91^2*$J$6+$M$5*$J$7</f>
        <v>29.70862586554188</v>
      </c>
      <c r="P75" s="6">
        <f>$J$3+[25]FormattedData!I91*$J$4+$M$4*$J$5+[25]FormattedData!I91^2*$J$6+$M$5*$J$7</f>
        <v>29.123051110923608</v>
      </c>
      <c r="Q75" s="6">
        <f>$J$3+[25]FormattedData!J91*$J$4+$M$4*$J$5+[25]FormattedData!J91^2*$J$6+$M$5*$J$7</f>
        <v>27.849085644816181</v>
      </c>
      <c r="R75" s="6">
        <f>$J$3+[25]FormattedData!K91*$J$4+$M$4*$J$5+[25]FormattedData!K91^2*$J$6+$M$5*$J$7</f>
        <v>28.829693108352398</v>
      </c>
      <c r="S75" s="6">
        <f>$J$3+[25]FormattedData!L91*$J$4+$M$4*$J$5+[25]FormattedData!L91^2*$J$6+$M$5*$J$7</f>
        <v>29.513603354820848</v>
      </c>
      <c r="T75" s="6">
        <f>$J$3+[25]FormattedData!M91*$J$4+$M$4*$J$5+[25]FormattedData!M91^2*$J$6+$M$5*$J$7</f>
        <v>29.611135744450333</v>
      </c>
      <c r="U75" s="6">
        <f>$J$3+[25]FormattedData!N91*$J$4+$M$4*$J$5+[25]FormattedData!N91^2*$J$6+$M$5*$J$7</f>
        <v>30.487025166908776</v>
      </c>
      <c r="V75" s="6">
        <f>$J$3+[25]FormattedData!O91*$J$4+$M$4*$J$5+[25]FormattedData!O91^2*$J$6+$M$5*$J$7</f>
        <v>30.098163664528776</v>
      </c>
      <c r="W75" s="5">
        <f t="shared" si="18"/>
        <v>29.569401789163333</v>
      </c>
      <c r="X75" s="4">
        <f t="shared" si="19"/>
        <v>0.2125274002360884</v>
      </c>
      <c r="Y75" s="3">
        <f t="shared" si="20"/>
        <v>27.849085644816181</v>
      </c>
      <c r="Z75" s="2">
        <f t="shared" si="21"/>
        <v>29.196327208759513</v>
      </c>
      <c r="AA75" s="3">
        <f t="shared" si="22"/>
        <v>29.659880804996106</v>
      </c>
      <c r="AB75" s="2">
        <f t="shared" si="23"/>
        <v>30.098163664528776</v>
      </c>
      <c r="AC75" s="2">
        <f t="shared" si="24"/>
        <v>30.487025166908776</v>
      </c>
      <c r="AD75" s="2">
        <f t="shared" si="25"/>
        <v>-1.1202401027597573</v>
      </c>
      <c r="AE75" s="2">
        <f t="shared" si="26"/>
        <v>1.484065780518609</v>
      </c>
    </row>
    <row r="76" spans="2:31" x14ac:dyDescent="0.2">
      <c r="B76" s="1">
        <f>[25]FormattedData!A89</f>
        <v>403</v>
      </c>
      <c r="C76" s="1" t="str">
        <f>VLOOKUP($B76,[25]TrtCodes!$B$11:I132,2)</f>
        <v>FDL</v>
      </c>
      <c r="D76" s="1">
        <f>VLOOKUP($B76,[25]TrtCodes!$B$11:J132,3)</f>
        <v>6</v>
      </c>
      <c r="E76" s="1">
        <f>VLOOKUP($B76,[25]TrtCodes!$B$11:K132,4)</f>
        <v>1</v>
      </c>
      <c r="F76" s="1">
        <f>VLOOKUP($B76,[25]TrtCodes!$B$11:L132,5)</f>
        <v>3</v>
      </c>
      <c r="G76" s="1">
        <f>VLOOKUP($B76,[25]TrtCodes!$B$11:M132,6)</f>
        <v>1</v>
      </c>
      <c r="H76" s="1">
        <f>VLOOKUP($B76,[25]TrtCodes!$B$11:N132,7)</f>
        <v>3</v>
      </c>
      <c r="I76" s="1">
        <f>[25]FormattedData!B89</f>
        <v>2</v>
      </c>
      <c r="J76" s="4">
        <f>[25]FormattedData!C89</f>
        <v>13.73</v>
      </c>
      <c r="K76" s="6">
        <f>$J$3+[25]FormattedData!D89*$J$4+$M$4*$J$5+[25]FormattedData!D89^2*$J$6+$M$5*$J$7</f>
        <v>31.552907144074442</v>
      </c>
      <c r="L76" s="6">
        <f>$J$3+[25]FormattedData!E89*$J$4+$M$4*$J$5+[25]FormattedData!E89^2*$J$6+$M$5*$J$7</f>
        <v>29.806073718095504</v>
      </c>
      <c r="M76" s="6">
        <f>$J$3+[25]FormattedData!F89*$J$4+$M$4*$J$5+[25]FormattedData!F89^2*$J$6+$M$5*$J$7</f>
        <v>29.611135744450333</v>
      </c>
      <c r="N76" s="6">
        <f>$J$3+[25]FormattedData!G89*$J$4+$M$4*$J$5+[25]FormattedData!G89^2*$J$6+$M$5*$J$7</f>
        <v>28.633909763948605</v>
      </c>
      <c r="O76" s="6">
        <f>$J$3+[25]FormattedData!H89*$J$4+$M$4*$J$5+[25]FormattedData!H89^2*$J$6+$M$5*$J$7</f>
        <v>29.02530737860447</v>
      </c>
      <c r="P76" s="6">
        <f>$J$3+[25]FormattedData!I89*$J$4+$M$4*$J$5+[25]FormattedData!I89^2*$J$6+$M$5*$J$7</f>
        <v>31.069049364340831</v>
      </c>
      <c r="Q76" s="6">
        <f>$J$3+[25]FormattedData!J89*$J$4+$M$4*$J$5+[25]FormattedData!J89^2*$J$6+$M$5*$J$7</f>
        <v>30.098163664528776</v>
      </c>
      <c r="R76" s="6">
        <f>$J$3+[25]FormattedData!K89*$J$4+$M$4*$J$5+[25]FormattedData!K89^2*$J$6+$M$5*$J$7</f>
        <v>30.778227474045494</v>
      </c>
      <c r="S76" s="6">
        <f>$J$3+[25]FormattedData!L89*$J$4+$M$4*$J$5+[25]FormattedData!L89^2*$J$6+$M$5*$J$7</f>
        <v>31.262719281848071</v>
      </c>
      <c r="T76" s="6">
        <f>$J$3+[25]FormattedData!M89*$J$4+$M$4*$J$5+[25]FormattedData!M89^2*$J$6+$M$5*$J$7</f>
        <v>29.123051110923608</v>
      </c>
      <c r="U76" s="6">
        <f>$J$3+[25]FormattedData!N89*$J$4+$M$4*$J$5+[25]FormattedData!N89^2*$J$6+$M$5*$J$7</f>
        <v>29.90347930211119</v>
      </c>
      <c r="V76" s="6">
        <f>$J$3+[25]FormattedData!O89*$J$4+$M$4*$J$5+[25]FormattedData!O89^2*$J$6+$M$5*$J$7</f>
        <v>30.19544244293067</v>
      </c>
      <c r="W76" s="5">
        <f t="shared" si="18"/>
        <v>30.088288865825167</v>
      </c>
      <c r="X76" s="4">
        <f t="shared" si="19"/>
        <v>0.26816133974522338</v>
      </c>
      <c r="Y76" s="3">
        <f t="shared" si="20"/>
        <v>28.633909763948605</v>
      </c>
      <c r="Z76" s="2">
        <f t="shared" si="21"/>
        <v>29.489114586068652</v>
      </c>
      <c r="AA76" s="3">
        <f t="shared" si="22"/>
        <v>30.000821483319982</v>
      </c>
      <c r="AB76" s="2">
        <f t="shared" si="23"/>
        <v>30.850932946619327</v>
      </c>
      <c r="AC76" s="2">
        <f t="shared" si="24"/>
        <v>31.552907144074442</v>
      </c>
      <c r="AD76" s="2">
        <f t="shared" si="25"/>
        <v>9.8057472955401459E-2</v>
      </c>
      <c r="AE76" s="2">
        <f t="shared" si="26"/>
        <v>-1.000042973505967</v>
      </c>
    </row>
    <row r="77" spans="2:31" x14ac:dyDescent="0.2">
      <c r="B77" s="1">
        <f>[25]FormattedData!A87</f>
        <v>404</v>
      </c>
      <c r="C77" s="1" t="str">
        <f>VLOOKUP($B77,[25]TrtCodes!$B$11:I130,2)</f>
        <v>FTH</v>
      </c>
      <c r="D77" s="1">
        <f>VLOOKUP($B77,[25]TrtCodes!$B$11:J130,3)</f>
        <v>3</v>
      </c>
      <c r="E77" s="1">
        <f>VLOOKUP($B77,[25]TrtCodes!$B$11:K130,4)</f>
        <v>1</v>
      </c>
      <c r="F77" s="1">
        <f>VLOOKUP($B77,[25]TrtCodes!$B$11:L130,5)</f>
        <v>2</v>
      </c>
      <c r="G77" s="1">
        <f>VLOOKUP($B77,[25]TrtCodes!$B$11:M130,6)</f>
        <v>2</v>
      </c>
      <c r="H77" s="1">
        <f>VLOOKUP($B77,[25]TrtCodes!$B$11:N130,7)</f>
        <v>3</v>
      </c>
      <c r="I77" s="1">
        <f>[25]FormattedData!B87</f>
        <v>2</v>
      </c>
      <c r="J77" s="4">
        <f>[25]FormattedData!C87</f>
        <v>13.712</v>
      </c>
      <c r="K77" s="6">
        <f>$J$3+[25]FormattedData!D87*$J$4+$M$4*$J$5+[25]FormattedData!D87^2*$J$6+$M$5*$J$7</f>
        <v>31.069049364340831</v>
      </c>
      <c r="L77" s="6">
        <f>$J$3+[25]FormattedData!E87*$J$4+$M$4*$J$5+[25]FormattedData!E87^2*$J$6+$M$5*$J$7</f>
        <v>30.972151002780318</v>
      </c>
      <c r="M77" s="6">
        <f>$J$3+[25]FormattedData!F87*$J$4+$M$4*$J$5+[25]FormattedData!F87^2*$J$6+$M$5*$J$7</f>
        <v>32.132141618003047</v>
      </c>
      <c r="N77" s="6">
        <f>$J$3+[25]FormattedData!G87*$J$4+$M$4*$J$5+[25]FormattedData!G87^2*$J$6+$M$5*$J$7</f>
        <v>32.613674628150449</v>
      </c>
      <c r="O77" s="6">
        <f>$J$3+[25]FormattedData!H87*$J$4+$M$4*$J$5+[25]FormattedData!H87^2*$J$6+$M$5*$J$7</f>
        <v>32.132141618003047</v>
      </c>
      <c r="P77" s="6">
        <f>$J$3+[25]FormattedData!I87*$J$4+$M$4*$J$5+[25]FormattedData!I87^2*$J$6+$M$5*$J$7</f>
        <v>31.456220125203586</v>
      </c>
      <c r="Q77" s="6">
        <f>$J$3+[25]FormattedData!J87*$J$4+$M$4*$J$5+[25]FormattedData!J87^2*$J$6+$M$5*$J$7</f>
        <v>31.069049364340831</v>
      </c>
      <c r="R77" s="6">
        <f>$J$3+[25]FormattedData!K87*$J$4+$M$4*$J$5+[25]FormattedData!K87^2*$J$6+$M$5*$J$7</f>
        <v>31.359490837794787</v>
      </c>
      <c r="S77" s="6">
        <f>$J$3+[25]FormattedData!L87*$J$4+$M$4*$J$5+[25]FormattedData!L87^2*$J$6+$M$5*$J$7</f>
        <v>30.487025166908776</v>
      </c>
      <c r="T77" s="6">
        <f>$J$3+[25]FormattedData!M87*$J$4+$M$4*$J$5+[25]FormattedData!M87^2*$J$6+$M$5*$J$7</f>
        <v>33.190119378575588</v>
      </c>
      <c r="U77" s="6">
        <f>$J$3+[25]FormattedData!N87*$J$4+$M$4*$J$5+[25]FormattedData!N87^2*$J$6+$M$5*$J$7</f>
        <v>32.613674628150449</v>
      </c>
      <c r="V77" s="6">
        <f>$J$3+[25]FormattedData!O87*$J$4+$M$4*$J$5+[25]FormattedData!O87^2*$J$6+$M$5*$J$7</f>
        <v>32.324881627675794</v>
      </c>
      <c r="W77" s="5">
        <f t="shared" si="18"/>
        <v>31.784968279993958</v>
      </c>
      <c r="X77" s="4">
        <f t="shared" si="19"/>
        <v>0.23900103890146362</v>
      </c>
      <c r="Y77" s="3">
        <f t="shared" si="20"/>
        <v>30.487025166908776</v>
      </c>
      <c r="Z77" s="2">
        <f t="shared" si="21"/>
        <v>31.069049364340831</v>
      </c>
      <c r="AA77" s="3">
        <f t="shared" si="22"/>
        <v>31.794180871603317</v>
      </c>
      <c r="AB77" s="2">
        <f t="shared" si="23"/>
        <v>32.397079877794454</v>
      </c>
      <c r="AC77" s="2">
        <f t="shared" si="24"/>
        <v>33.190119378575588</v>
      </c>
      <c r="AD77" s="2">
        <f t="shared" si="25"/>
        <v>0.11220186943897922</v>
      </c>
      <c r="AE77" s="2">
        <f t="shared" si="26"/>
        <v>-1.0820043665432673</v>
      </c>
    </row>
    <row r="78" spans="2:31" x14ac:dyDescent="0.2">
      <c r="B78" s="1">
        <f>[25]FormattedData!A85</f>
        <v>405</v>
      </c>
      <c r="C78" s="1" t="str">
        <f>VLOOKUP($B78,[25]TrtCodes!$B$11:I128,2)</f>
        <v>FDL</v>
      </c>
      <c r="D78" s="1">
        <f>VLOOKUP($B78,[25]TrtCodes!$B$11:J128,3)</f>
        <v>6</v>
      </c>
      <c r="E78" s="1">
        <f>VLOOKUP($B78,[25]TrtCodes!$B$11:K128,4)</f>
        <v>1</v>
      </c>
      <c r="F78" s="1">
        <f>VLOOKUP($B78,[25]TrtCodes!$B$11:L128,5)</f>
        <v>3</v>
      </c>
      <c r="G78" s="1">
        <f>VLOOKUP($B78,[25]TrtCodes!$B$11:M128,6)</f>
        <v>1</v>
      </c>
      <c r="H78" s="1">
        <f>VLOOKUP($B78,[25]TrtCodes!$B$11:N128,7)</f>
        <v>4</v>
      </c>
      <c r="I78" s="1">
        <f>[25]FormattedData!B85</f>
        <v>2</v>
      </c>
      <c r="J78" s="4">
        <f>[25]FormattedData!C85</f>
        <v>13.688000000000001</v>
      </c>
      <c r="K78" s="6">
        <f>$J$3+[25]FormattedData!D85*$J$4+$M$4*$J$5+[25]FormattedData!D85^2*$J$6+$M$5*$J$7</f>
        <v>34.338443877329325</v>
      </c>
      <c r="L78" s="6">
        <f>$J$3+[25]FormattedData!E85*$J$4+$M$4*$J$5+[25]FormattedData!E85^2*$J$6+$M$5*$J$7</f>
        <v>29.02530737860447</v>
      </c>
      <c r="M78" s="6">
        <f>$J$3+[25]FormattedData!F85*$J$4+$M$4*$J$5+[25]FormattedData!F85^2*$J$6+$M$5*$J$7</f>
        <v>28.731822570419467</v>
      </c>
      <c r="N78" s="6">
        <f>$J$3+[25]FormattedData!G85*$J$4+$M$4*$J$5+[25]FormattedData!G85^2*$J$6+$M$5*$J$7</f>
        <v>29.90347930211119</v>
      </c>
      <c r="O78" s="6">
        <f>$J$3+[25]FormattedData!H85*$J$4+$M$4*$J$5+[25]FormattedData!H85^2*$J$6+$M$5*$J$7</f>
        <v>29.02530737860447</v>
      </c>
      <c r="P78" s="6">
        <f>$J$3+[25]FormattedData!I85*$J$4+$M$4*$J$5+[25]FormattedData!I85^2*$J$6+$M$5*$J$7</f>
        <v>30.487025166908776</v>
      </c>
      <c r="Q78" s="6">
        <f>$J$3+[25]FormattedData!J85*$J$4+$M$4*$J$5+[25]FormattedData!J85^2*$J$6+$M$5*$J$7</f>
        <v>29.02530737860447</v>
      </c>
      <c r="R78" s="6">
        <f>$J$3+[25]FormattedData!K85*$J$4+$M$4*$J$5+[25]FormattedData!K85^2*$J$6+$M$5*$J$7</f>
        <v>31.456220125203586</v>
      </c>
      <c r="S78" s="6">
        <f>$J$3+[25]FormattedData!L85*$J$4+$M$4*$J$5+[25]FormattedData!L85^2*$J$6+$M$5*$J$7</f>
        <v>30.584134871158945</v>
      </c>
      <c r="T78" s="6">
        <f>$J$3+[25]FormattedData!M85*$J$4+$M$4*$J$5+[25]FormattedData!M85^2*$J$6+$M$5*$J$7</f>
        <v>30.19544244293067</v>
      </c>
      <c r="U78" s="6">
        <f>$J$3+[25]FormattedData!N85*$J$4+$M$4*$J$5+[25]FormattedData!N85^2*$J$6+$M$5*$J$7</f>
        <v>29.416028696653434</v>
      </c>
      <c r="V78" s="6">
        <f>$J$3+[25]FormattedData!O85*$J$4+$M$4*$J$5+[25]FormattedData!O85^2*$J$6+$M$5*$J$7</f>
        <v>29.123051110923608</v>
      </c>
      <c r="W78" s="5">
        <f t="shared" si="18"/>
        <v>30.109297524954368</v>
      </c>
      <c r="X78" s="4">
        <f t="shared" si="19"/>
        <v>0.45221387191295848</v>
      </c>
      <c r="Y78" s="3">
        <f t="shared" si="20"/>
        <v>28.731822570419467</v>
      </c>
      <c r="Z78" s="2">
        <f t="shared" si="21"/>
        <v>29.02530737860447</v>
      </c>
      <c r="AA78" s="3">
        <f t="shared" si="22"/>
        <v>29.65975399938231</v>
      </c>
      <c r="AB78" s="2">
        <f t="shared" si="23"/>
        <v>30.511302592971319</v>
      </c>
      <c r="AC78" s="2">
        <f t="shared" si="24"/>
        <v>34.338443877329325</v>
      </c>
      <c r="AD78" s="2">
        <f t="shared" si="25"/>
        <v>2.0009552843020604</v>
      </c>
      <c r="AE78" s="2">
        <f t="shared" si="26"/>
        <v>4.6588056580661998</v>
      </c>
    </row>
    <row r="79" spans="2:31" x14ac:dyDescent="0.2">
      <c r="B79" s="1">
        <f>[25]FormattedData!A83</f>
        <v>406</v>
      </c>
      <c r="C79" s="1" t="str">
        <f>VLOOKUP($B79,[25]TrtCodes!$B$11:I126,2)</f>
        <v>FTH</v>
      </c>
      <c r="D79" s="1">
        <f>VLOOKUP($B79,[25]TrtCodes!$B$11:J126,3)</f>
        <v>3</v>
      </c>
      <c r="E79" s="1">
        <f>VLOOKUP($B79,[25]TrtCodes!$B$11:K126,4)</f>
        <v>1</v>
      </c>
      <c r="F79" s="1">
        <f>VLOOKUP($B79,[25]TrtCodes!$B$11:L126,5)</f>
        <v>2</v>
      </c>
      <c r="G79" s="1">
        <f>VLOOKUP($B79,[25]TrtCodes!$B$11:M126,6)</f>
        <v>2</v>
      </c>
      <c r="H79" s="1">
        <f>VLOOKUP($B79,[25]TrtCodes!$B$11:N126,7)</f>
        <v>4</v>
      </c>
      <c r="I79" s="1">
        <f>[25]FormattedData!B83</f>
        <v>2</v>
      </c>
      <c r="J79" s="4">
        <f>[25]FormattedData!C83</f>
        <v>13.67</v>
      </c>
      <c r="K79" s="6">
        <f>$J$3+[25]FormattedData!D83*$J$4+$M$4*$J$5+[25]FormattedData!D83^2*$J$6+$M$5*$J$7</f>
        <v>30.87521037268187</v>
      </c>
      <c r="L79" s="6">
        <f>$J$3+[25]FormattedData!E83*$J$4+$M$4*$J$5+[25]FormattedData!E83^2*$J$6+$M$5*$J$7</f>
        <v>29.513603354820848</v>
      </c>
      <c r="M79" s="6">
        <f>$J$3+[25]FormattedData!F83*$J$4+$M$4*$J$5+[25]FormattedData!F83^2*$J$6+$M$5*$J$7</f>
        <v>30.098163664528776</v>
      </c>
      <c r="N79" s="6">
        <f>$J$3+[25]FormattedData!G83*$J$4+$M$4*$J$5+[25]FormattedData!G83^2*$J$6+$M$5*$J$7</f>
        <v>37.182625945317049</v>
      </c>
      <c r="O79" s="6">
        <f>$J$3+[25]FormattedData!H83*$J$4+$M$4*$J$5+[25]FormattedData!H83^2*$J$6+$M$5*$J$7</f>
        <v>31.359490837794787</v>
      </c>
      <c r="P79" s="6">
        <f>$J$3+[25]FormattedData!I83*$J$4+$M$4*$J$5+[25]FormattedData!I83^2*$J$6+$M$5*$J$7</f>
        <v>30.000842617588955</v>
      </c>
      <c r="Q79" s="6">
        <f>$J$3+[25]FormattedData!J83*$J$4+$M$4*$J$5+[25]FormattedData!J83^2*$J$6+$M$5*$J$7</f>
        <v>29.70862586554188</v>
      </c>
      <c r="R79" s="6">
        <f>$J$3+[25]FormattedData!K83*$J$4+$M$4*$J$5+[25]FormattedData!K83^2*$J$6+$M$5*$J$7</f>
        <v>30.000842617588955</v>
      </c>
      <c r="S79" s="6">
        <f>$J$3+[25]FormattedData!L83*$J$4+$M$4*$J$5+[25]FormattedData!L83^2*$J$6+$M$5*$J$7</f>
        <v>30.19544244293067</v>
      </c>
      <c r="T79" s="6">
        <f>$J$3+[25]FormattedData!M83*$J$4+$M$4*$J$5+[25]FormattedData!M83^2*$J$6+$M$5*$J$7</f>
        <v>30.778227474045494</v>
      </c>
      <c r="U79" s="6">
        <f>$J$3+[25]FormattedData!N83*$J$4+$M$4*$J$5+[25]FormattedData!N83^2*$J$6+$M$5*$J$7</f>
        <v>30.778227474045494</v>
      </c>
      <c r="V79" s="6">
        <f>$J$3+[25]FormattedData!O83*$J$4+$M$4*$J$5+[25]FormattedData!O83^2*$J$6+$M$5*$J$7</f>
        <v>30.778227474045494</v>
      </c>
      <c r="W79" s="5">
        <f t="shared" si="18"/>
        <v>30.939127511744186</v>
      </c>
      <c r="X79" s="4">
        <f t="shared" si="19"/>
        <v>0.58908653005228329</v>
      </c>
      <c r="Y79" s="3">
        <f t="shared" si="20"/>
        <v>29.513603354820848</v>
      </c>
      <c r="Z79" s="2">
        <f t="shared" si="21"/>
        <v>30.000842617588955</v>
      </c>
      <c r="AA79" s="3">
        <f t="shared" si="22"/>
        <v>30.486834958488082</v>
      </c>
      <c r="AB79" s="2">
        <f t="shared" si="23"/>
        <v>30.80247319870459</v>
      </c>
      <c r="AC79" s="2">
        <f t="shared" si="24"/>
        <v>37.182625945317049</v>
      </c>
      <c r="AD79" s="2">
        <f t="shared" si="25"/>
        <v>3.0299368602190428</v>
      </c>
      <c r="AE79" s="2">
        <f t="shared" si="26"/>
        <v>9.8544743324815549</v>
      </c>
    </row>
    <row r="80" spans="2:31" x14ac:dyDescent="0.2">
      <c r="B80" s="1">
        <f>[25]FormattedData!A81</f>
        <v>407</v>
      </c>
      <c r="C80" s="1" t="str">
        <f>VLOOKUP($B80,[25]TrtCodes!$B$11:I124,2)</f>
        <v>NSH</v>
      </c>
      <c r="D80" s="1">
        <f>VLOOKUP($B80,[25]TrtCodes!$B$11:J124,3)</f>
        <v>7</v>
      </c>
      <c r="E80" s="1">
        <f>VLOOKUP($B80,[25]TrtCodes!$B$11:K124,4)</f>
        <v>2</v>
      </c>
      <c r="F80" s="1">
        <f>VLOOKUP($B80,[25]TrtCodes!$B$11:L124,5)</f>
        <v>1</v>
      </c>
      <c r="G80" s="1">
        <f>VLOOKUP($B80,[25]TrtCodes!$B$11:M124,6)</f>
        <v>2</v>
      </c>
      <c r="H80" s="1">
        <f>VLOOKUP($B80,[25]TrtCodes!$B$11:N124,7)</f>
        <v>4</v>
      </c>
      <c r="I80" s="1">
        <f>[25]FormattedData!B81</f>
        <v>2</v>
      </c>
      <c r="J80" s="4">
        <f>[25]FormattedData!C81</f>
        <v>13.651999999999999</v>
      </c>
      <c r="K80" s="6">
        <f>$J$3+[25]FormattedData!D81*$J$4+$M$4*$J$5+[25]FormattedData!D81^2*$J$6+$M$5*$J$7</f>
        <v>30.681202306871182</v>
      </c>
      <c r="L80" s="6">
        <f>$J$3+[25]FormattedData!E81*$J$4+$M$4*$J$5+[25]FormattedData!E81^2*$J$6+$M$5*$J$7</f>
        <v>30.19544244293067</v>
      </c>
      <c r="M80" s="6">
        <f>$J$3+[25]FormattedData!F81*$J$4+$M$4*$J$5+[25]FormattedData!F81^2*$J$6+$M$5*$J$7</f>
        <v>29.611135744450333</v>
      </c>
      <c r="N80" s="6">
        <f>$J$3+[25]FormattedData!G81*$J$4+$M$4*$J$5+[25]FormattedData!G81^2*$J$6+$M$5*$J$7</f>
        <v>28.829693108352398</v>
      </c>
      <c r="O80" s="6">
        <f>$J$3+[25]FormattedData!H81*$J$4+$M$4*$J$5+[25]FormattedData!H81^2*$J$6+$M$5*$J$7</f>
        <v>29.318411769948092</v>
      </c>
      <c r="P80" s="6">
        <f>$J$3+[25]FormattedData!I81*$J$4+$M$4*$J$5+[25]FormattedData!I81^2*$J$6+$M$5*$J$7</f>
        <v>28.633909763948605</v>
      </c>
      <c r="Q80" s="6">
        <f>$J$3+[25]FormattedData!J81*$J$4+$M$4*$J$5+[25]FormattedData!J81^2*$J$6+$M$5*$J$7</f>
        <v>28.437957345393084</v>
      </c>
      <c r="R80" s="6">
        <f>$J$3+[25]FormattedData!K81*$J$4+$M$4*$J$5+[25]FormattedData!K81^2*$J$6+$M$5*$J$7</f>
        <v>29.220752574704814</v>
      </c>
      <c r="S80" s="6">
        <f>$J$3+[25]FormattedData!L81*$J$4+$M$4*$J$5+[25]FormattedData!L81^2*$J$6+$M$5*$J$7</f>
        <v>31.069049364340831</v>
      </c>
      <c r="T80" s="6">
        <f>$J$3+[25]FormattedData!M81*$J$4+$M$4*$J$5+[25]FormattedData!M81^2*$J$6+$M$5*$J$7</f>
        <v>30.098163664528776</v>
      </c>
      <c r="U80" s="6">
        <f>$J$3+[25]FormattedData!N81*$J$4+$M$4*$J$5+[25]FormattedData!N81^2*$J$6+$M$5*$J$7</f>
        <v>30.000842617588955</v>
      </c>
      <c r="V80" s="6">
        <f>$J$3+[25]FormattedData!O81*$J$4+$M$4*$J$5+[25]FormattedData!O81^2*$J$6+$M$5*$J$7</f>
        <v>34.242982646058472</v>
      </c>
      <c r="W80" s="5">
        <f t="shared" si="18"/>
        <v>30.028295279093015</v>
      </c>
      <c r="X80" s="4">
        <f t="shared" si="19"/>
        <v>0.44845555194813319</v>
      </c>
      <c r="Y80" s="3">
        <f t="shared" si="20"/>
        <v>28.437957345393084</v>
      </c>
      <c r="Z80" s="2">
        <f t="shared" si="21"/>
        <v>29.12298770811671</v>
      </c>
      <c r="AA80" s="3">
        <f t="shared" si="22"/>
        <v>29.805989181019644</v>
      </c>
      <c r="AB80" s="2">
        <f t="shared" si="23"/>
        <v>30.316882408915799</v>
      </c>
      <c r="AC80" s="2">
        <f t="shared" si="24"/>
        <v>34.242982646058472</v>
      </c>
      <c r="AD80" s="2">
        <f t="shared" si="25"/>
        <v>1.9456554894500608</v>
      </c>
      <c r="AE80" s="2">
        <f t="shared" si="26"/>
        <v>4.8908329427723718</v>
      </c>
    </row>
    <row r="81" spans="2:31" x14ac:dyDescent="0.2">
      <c r="B81" s="1">
        <f>[25]FormattedData!A79</f>
        <v>408</v>
      </c>
      <c r="C81" s="1" t="str">
        <f>VLOOKUP($B81,[25]TrtCodes!$B$11:I122,2)</f>
        <v>NTL</v>
      </c>
      <c r="D81" s="1">
        <f>VLOOKUP($B81,[25]TrtCodes!$B$11:J122,3)</f>
        <v>10</v>
      </c>
      <c r="E81" s="1">
        <f>VLOOKUP($B81,[25]TrtCodes!$B$11:K122,4)</f>
        <v>2</v>
      </c>
      <c r="F81" s="1">
        <f>VLOOKUP($B81,[25]TrtCodes!$B$11:L122,5)</f>
        <v>2</v>
      </c>
      <c r="G81" s="1">
        <f>VLOOKUP($B81,[25]TrtCodes!$B$11:M122,6)</f>
        <v>1</v>
      </c>
      <c r="H81" s="1">
        <f>VLOOKUP($B81,[25]TrtCodes!$B$11:N122,7)</f>
        <v>4</v>
      </c>
      <c r="I81" s="1">
        <f>[25]FormattedData!B79</f>
        <v>2</v>
      </c>
      <c r="J81" s="4">
        <f>[25]FormattedData!C79</f>
        <v>13.635</v>
      </c>
      <c r="K81" s="6">
        <f>$J$3+[25]FormattedData!D79*$J$4+$M$4*$J$5+[25]FormattedData!D79^2*$J$6+$M$5*$J$7</f>
        <v>29.806073718095504</v>
      </c>
      <c r="L81" s="6">
        <f>$J$3+[25]FormattedData!E79*$J$4+$M$4*$J$5+[25]FormattedData!E79^2*$J$6+$M$5*$J$7</f>
        <v>30.000842617588955</v>
      </c>
      <c r="M81" s="6">
        <f>$J$3+[25]FormattedData!F79*$J$4+$M$4*$J$5+[25]FormattedData!F79^2*$J$6+$M$5*$J$7</f>
        <v>29.318411769948092</v>
      </c>
      <c r="N81" s="6">
        <f>$J$3+[25]FormattedData!G79*$J$4+$M$4*$J$5+[25]FormattedData!G79^2*$J$6+$M$5*$J$7</f>
        <v>31.456220125203586</v>
      </c>
      <c r="O81" s="6">
        <f>$J$3+[25]FormattedData!H79*$J$4+$M$4*$J$5+[25]FormattedData!H79^2*$J$6+$M$5*$J$7</f>
        <v>29.220752574704814</v>
      </c>
      <c r="P81" s="6">
        <f>$J$3+[25]FormattedData!I79*$J$4+$M$4*$J$5+[25]FormattedData!I79^2*$J$6+$M$5*$J$7</f>
        <v>29.220752574704814</v>
      </c>
      <c r="Q81" s="6">
        <f>$J$3+[25]FormattedData!J79*$J$4+$M$4*$J$5+[25]FormattedData!J79^2*$J$6+$M$5*$J$7</f>
        <v>29.123051110923608</v>
      </c>
      <c r="R81" s="6">
        <f>$J$3+[25]FormattedData!K79*$J$4+$M$4*$J$5+[25]FormattedData!K79^2*$J$6+$M$5*$J$7</f>
        <v>30.000842617588955</v>
      </c>
      <c r="S81" s="6">
        <f>$J$3+[25]FormattedData!L79*$J$4+$M$4*$J$5+[25]FormattedData!L79^2*$J$6+$M$5*$J$7</f>
        <v>28.241835852685842</v>
      </c>
      <c r="T81" s="6">
        <f>$J$3+[25]FormattedData!M79*$J$4+$M$4*$J$5+[25]FormattedData!M79^2*$J$6+$M$5*$J$7</f>
        <v>28.339917733308429</v>
      </c>
      <c r="U81" s="6">
        <f>$J$3+[25]FormattedData!N79*$J$4+$M$4*$J$5+[25]FormattedData!N79^2*$J$6+$M$5*$J$7</f>
        <v>28.633909763948605</v>
      </c>
      <c r="V81" s="6">
        <f>$J$3+[25]FormattedData!O79*$J$4+$M$4*$J$5+[25]FormattedData!O79^2*$J$6+$M$5*$J$7</f>
        <v>29.220752574704814</v>
      </c>
      <c r="W81" s="5">
        <f t="shared" si="18"/>
        <v>29.381946919450499</v>
      </c>
      <c r="X81" s="4">
        <f t="shared" si="19"/>
        <v>0.2514022628383823</v>
      </c>
      <c r="Y81" s="3">
        <f t="shared" si="20"/>
        <v>28.241835852685842</v>
      </c>
      <c r="Z81" s="2">
        <f t="shared" si="21"/>
        <v>29.000765774179857</v>
      </c>
      <c r="AA81" s="3">
        <f t="shared" si="22"/>
        <v>29.220752574704814</v>
      </c>
      <c r="AB81" s="2">
        <f t="shared" si="23"/>
        <v>29.854765942968868</v>
      </c>
      <c r="AC81" s="2">
        <f t="shared" si="24"/>
        <v>31.456220125203586</v>
      </c>
      <c r="AD81" s="2">
        <f t="shared" si="25"/>
        <v>1.0591831361125841</v>
      </c>
      <c r="AE81" s="2">
        <f t="shared" si="26"/>
        <v>2.0005348678431414</v>
      </c>
    </row>
    <row r="82" spans="2:31" x14ac:dyDescent="0.2">
      <c r="B82" s="1">
        <f>[25]FormattedData!A59</f>
        <v>902</v>
      </c>
      <c r="C82" s="1" t="str">
        <f>VLOOKUP($B82,[25]TrtCodes!$B$11:I102,2)</f>
        <v>Late</v>
      </c>
      <c r="D82" s="1">
        <f>VLOOKUP($B82,[25]TrtCodes!$B$11:J102,3)</f>
        <v>22</v>
      </c>
      <c r="E82" s="1">
        <f>VLOOKUP($B82,[25]TrtCodes!$B$11:K102,4)</f>
        <v>4</v>
      </c>
      <c r="F82" s="1">
        <f>VLOOKUP($B82,[25]TrtCodes!$B$11:L102,5)</f>
        <v>2</v>
      </c>
      <c r="G82" s="1">
        <f>VLOOKUP($B82,[25]TrtCodes!$B$11:M102,6)</f>
        <v>2</v>
      </c>
      <c r="H82" s="1">
        <f>VLOOKUP($B82,[25]TrtCodes!$B$11:N102,7)</f>
        <v>1</v>
      </c>
      <c r="I82" s="1">
        <f>[25]FormattedData!B59</f>
        <v>2</v>
      </c>
      <c r="J82" s="4">
        <f>[25]FormattedData!C59</f>
        <v>13.46</v>
      </c>
      <c r="K82" s="6">
        <f>$J$3+[25]FormattedData!D59*$J$4+$M$4*$J$5+[25]FormattedData!D59^2*$J$6+$M$5*$J$7</f>
        <v>43.031582606221988</v>
      </c>
      <c r="L82" s="6">
        <f>$J$3+[25]FormattedData!E59*$J$4+$M$4*$J$5+[25]FormattedData!E59^2*$J$6+$M$5*$J$7</f>
        <v>36.994197326513273</v>
      </c>
      <c r="M82" s="6">
        <f>$J$3+[25]FormattedData!F59*$J$4+$M$4*$J$5+[25]FormattedData!F59^2*$J$6+$M$5*$J$7</f>
        <v>42.298157029213833</v>
      </c>
      <c r="N82" s="6">
        <f>$J$3+[25]FormattedData!G59*$J$4+$M$4*$J$5+[25]FormattedData!G59^2*$J$6+$M$5*$J$7</f>
        <v>41.838392316100972</v>
      </c>
      <c r="O82" s="6">
        <f>$J$3+[25]FormattedData!H59*$J$4+$M$4*$J$5+[25]FormattedData!H59^2*$J$6+$M$5*$J$7</f>
        <v>42.940052348978725</v>
      </c>
      <c r="P82" s="6">
        <f>$J$3+[25]FormattedData!I59*$J$4+$M$4*$J$5+[25]FormattedData!I59^2*$J$6+$M$5*$J$7</f>
        <v>44.308568011144864</v>
      </c>
      <c r="Q82" s="6">
        <f>$J$3+[25]FormattedData!J59*$J$4+$M$4*$J$5+[25]FormattedData!J59^2*$J$6+$M$5*$J$7</f>
        <v>43.397280949815716</v>
      </c>
      <c r="R82" s="6">
        <f>$J$3+[25]FormattedData!K59*$J$4+$M$4*$J$5+[25]FormattedData!K59^2*$J$6+$M$5*$J$7</f>
        <v>41.930429795799405</v>
      </c>
      <c r="S82" s="6">
        <f>$J$3+[25]FormattedData!L59*$J$4+$M$4*$J$5+[25]FormattedData!L59^2*$J$6+$M$5*$J$7</f>
        <v>43.853452837204429</v>
      </c>
      <c r="T82" s="6">
        <f>$J$3+[25]FormattedData!M59*$J$4+$M$4*$J$5+[25]FormattedData!M59^2*$J$6+$M$5*$J$7</f>
        <v>45.034554325477139</v>
      </c>
      <c r="U82" s="6">
        <f>$J$3+[25]FormattedData!N59*$J$4+$M$4*$J$5+[25]FormattedData!N59^2*$J$6+$M$5*$J$7</f>
        <v>40.267288074924117</v>
      </c>
      <c r="V82" s="6">
        <f>$J$3+[25]FormattedData!O59*$J$4+$M$4*$J$5+[25]FormattedData!O59^2*$J$6+$M$5*$J$7</f>
        <v>43.579876510384992</v>
      </c>
      <c r="W82" s="5">
        <f t="shared" si="18"/>
        <v>42.456152677648284</v>
      </c>
      <c r="X82" s="4">
        <f t="shared" si="19"/>
        <v>0.61578270639472255</v>
      </c>
      <c r="Y82" s="3">
        <f t="shared" si="20"/>
        <v>36.994197326513273</v>
      </c>
      <c r="Z82" s="2">
        <f t="shared" si="21"/>
        <v>41.907420425874797</v>
      </c>
      <c r="AA82" s="3">
        <f t="shared" si="22"/>
        <v>42.985817477600357</v>
      </c>
      <c r="AB82" s="2">
        <f t="shared" si="23"/>
        <v>43.648270592089851</v>
      </c>
      <c r="AC82" s="2">
        <f t="shared" si="24"/>
        <v>45.034554325477139</v>
      </c>
      <c r="AD82" s="2">
        <f t="shared" si="25"/>
        <v>-1.6300816043221846</v>
      </c>
      <c r="AE82" s="2">
        <f t="shared" si="26"/>
        <v>3.3908589503923636</v>
      </c>
    </row>
    <row r="83" spans="2:31" x14ac:dyDescent="0.2">
      <c r="B83" s="1">
        <f>[25]FormattedData!A55</f>
        <v>904</v>
      </c>
      <c r="C83" s="1" t="str">
        <f>VLOOKUP($B83,[25]TrtCodes!$B$11:I98,2)</f>
        <v>Early</v>
      </c>
      <c r="D83" s="1">
        <f>VLOOKUP($B83,[25]TrtCodes!$B$11:J98,3)</f>
        <v>21</v>
      </c>
      <c r="E83" s="1">
        <f>VLOOKUP($B83,[25]TrtCodes!$B$11:K98,4)</f>
        <v>3</v>
      </c>
      <c r="F83" s="1">
        <f>VLOOKUP($B83,[25]TrtCodes!$B$11:L98,5)</f>
        <v>2</v>
      </c>
      <c r="G83" s="1">
        <f>VLOOKUP($B83,[25]TrtCodes!$B$11:M98,6)</f>
        <v>2</v>
      </c>
      <c r="H83" s="1">
        <f>VLOOKUP($B83,[25]TrtCodes!$B$11:N98,7)</f>
        <v>1</v>
      </c>
      <c r="I83" s="1">
        <f>[25]FormattedData!B55</f>
        <v>2</v>
      </c>
      <c r="J83" s="4">
        <f>[25]FormattedData!C55</f>
        <v>13.432</v>
      </c>
      <c r="K83" s="6">
        <f>$J$3+[25]FormattedData!D55*$J$4+$M$4*$J$5+[25]FormattedData!D55^2*$J$6+$M$5*$J$7</f>
        <v>43.762302996802553</v>
      </c>
      <c r="L83" s="6">
        <f>$J$3+[25]FormattedData!E55*$J$4+$M$4*$J$5+[25]FormattedData!E55^2*$J$6+$M$5*$J$7</f>
        <v>44.126648747182486</v>
      </c>
      <c r="M83" s="6">
        <f>$J$3+[25]FormattedData!F55*$J$4+$M$4*$J$5+[25]FormattedData!F55^2*$J$6+$M$5*$J$7</f>
        <v>46.298521020717232</v>
      </c>
      <c r="N83" s="6">
        <f>$J$3+[25]FormattedData!G55*$J$4+$M$4*$J$5+[25]FormattedData!G55^2*$J$6+$M$5*$J$7</f>
        <v>43.123070594927313</v>
      </c>
      <c r="O83" s="6">
        <f>$J$3+[25]FormattedData!H55*$J$4+$M$4*$J$5+[25]FormattedData!H55^2*$J$6+$M$5*$J$7</f>
        <v>42.848479823197529</v>
      </c>
      <c r="P83" s="6">
        <f>$J$3+[25]FormattedData!I55*$J$4+$M$4*$J$5+[25]FormattedData!I55^2*$J$6+$M$5*$J$7</f>
        <v>39.80287382263883</v>
      </c>
      <c r="Q83" s="6">
        <f>$J$3+[25]FormattedData!J55*$J$4+$M$4*$J$5+[25]FormattedData!J55^2*$J$6+$M$5*$J$7</f>
        <v>42.298157029213833</v>
      </c>
      <c r="R83" s="6">
        <f>$J$3+[25]FormattedData!K55*$J$4+$M$4*$J$5+[25]FormattedData!K55^2*$J$6+$M$5*$J$7</f>
        <v>38.777442836273266</v>
      </c>
      <c r="S83" s="6">
        <f>$J$3+[25]FormattedData!L55*$J$4+$M$4*$J$5+[25]FormattedData!L55^2*$J$6+$M$5*$J$7</f>
        <v>44.399464240319155</v>
      </c>
      <c r="T83" s="6">
        <f>$J$3+[25]FormattedData!M55*$J$4+$M$4*$J$5+[25]FormattedData!M55^2*$J$6+$M$5*$J$7</f>
        <v>46.568293179122868</v>
      </c>
      <c r="U83" s="6">
        <f>$J$3+[25]FormattedData!N55*$J$4+$M$4*$J$5+[25]FormattedData!N55^2*$J$6+$M$5*$J$7</f>
        <v>46.298521020717232</v>
      </c>
      <c r="V83" s="6">
        <f>$J$3+[25]FormattedData!O55*$J$4+$M$4*$J$5+[25]FormattedData!O55^2*$J$6+$M$5*$J$7</f>
        <v>43.94456040906838</v>
      </c>
      <c r="W83" s="5">
        <f t="shared" si="18"/>
        <v>43.520694643348385</v>
      </c>
      <c r="X83" s="4">
        <f t="shared" si="19"/>
        <v>0.69915075102897795</v>
      </c>
      <c r="Y83" s="3">
        <f t="shared" si="20"/>
        <v>38.777442836273266</v>
      </c>
      <c r="Z83" s="2">
        <f t="shared" si="21"/>
        <v>42.710899124701605</v>
      </c>
      <c r="AA83" s="3">
        <f t="shared" si="22"/>
        <v>43.853431702935467</v>
      </c>
      <c r="AB83" s="2">
        <f t="shared" si="23"/>
        <v>44.874228435418672</v>
      </c>
      <c r="AC83" s="2">
        <f t="shared" si="24"/>
        <v>46.568293179122868</v>
      </c>
      <c r="AD83" s="2">
        <f t="shared" si="25"/>
        <v>-0.6767633218416923</v>
      </c>
      <c r="AE83" s="2">
        <f t="shared" si="26"/>
        <v>0.11506746594193906</v>
      </c>
    </row>
    <row r="84" spans="2:31" x14ac:dyDescent="0.2">
      <c r="B84" s="1">
        <f>[25]FormattedData!A51</f>
        <v>906</v>
      </c>
      <c r="C84" s="1" t="str">
        <f>VLOOKUP($B84,[25]TrtCodes!$B$11:I94,2)</f>
        <v>Late</v>
      </c>
      <c r="D84" s="1">
        <f>VLOOKUP($B84,[25]TrtCodes!$B$11:J94,3)</f>
        <v>22</v>
      </c>
      <c r="E84" s="1">
        <f>VLOOKUP($B84,[25]TrtCodes!$B$11:K94,4)</f>
        <v>4</v>
      </c>
      <c r="F84" s="1">
        <f>VLOOKUP($B84,[25]TrtCodes!$B$11:L94,5)</f>
        <v>2</v>
      </c>
      <c r="G84" s="1">
        <f>VLOOKUP($B84,[25]TrtCodes!$B$11:M94,6)</f>
        <v>2</v>
      </c>
      <c r="H84" s="1">
        <f>VLOOKUP($B84,[25]TrtCodes!$B$11:N94,7)</f>
        <v>2</v>
      </c>
      <c r="I84" s="1">
        <f>[25]FormattedData!B51</f>
        <v>2</v>
      </c>
      <c r="J84" s="4">
        <f>[25]FormattedData!C51</f>
        <v>13.404999999999999</v>
      </c>
      <c r="K84" s="6">
        <f>$J$3+[25]FormattedData!D51*$J$4+$M$4*$J$5+[25]FormattedData!D51^2*$J$6+$M$5*$J$7</f>
        <v>43.762302996802553</v>
      </c>
      <c r="L84" s="6">
        <f>$J$3+[25]FormattedData!E51*$J$4+$M$4*$J$5+[25]FormattedData!E51^2*$J$6+$M$5*$J$7</f>
        <v>44.581129893053955</v>
      </c>
      <c r="M84" s="6">
        <f>$J$3+[25]FormattedData!F51*$J$4+$M$4*$J$5+[25]FormattedData!F51^2*$J$6+$M$5*$J$7</f>
        <v>44.671899316614457</v>
      </c>
      <c r="N84" s="6">
        <f>$J$3+[25]FormattedData!G51*$J$4+$M$4*$J$5+[25]FormattedData!G51^2*$J$6+$M$5*$J$7</f>
        <v>42.022425006959907</v>
      </c>
      <c r="O84" s="6">
        <f>$J$3+[25]FormattedData!H51*$J$4+$M$4*$J$5+[25]FormattedData!H51^2*$J$6+$M$5*$J$7</f>
        <v>43.214516315094713</v>
      </c>
      <c r="P84" s="6">
        <f>$J$3+[25]FormattedData!I51*$J$4+$M$4*$J$5+[25]FormattedData!I51^2*$J$6+$M$5*$J$7</f>
        <v>41.19294643914985</v>
      </c>
      <c r="Q84" s="6">
        <f>$J$3+[25]FormattedData!J51*$J$4+$M$4*$J$5+[25]FormattedData!J51^2*$J$6+$M$5*$J$7</f>
        <v>39.616812241959202</v>
      </c>
      <c r="R84" s="6">
        <f>$J$3+[25]FormattedData!K51*$J$4+$M$4*$J$5+[25]FormattedData!K51^2*$J$6+$M$5*$J$7</f>
        <v>39.244181858144763</v>
      </c>
      <c r="S84" s="6">
        <f>$J$3+[25]FormattedData!L51*$J$4+$M$4*$J$5+[25]FormattedData!L51^2*$J$6+$M$5*$J$7</f>
        <v>41.008152914608161</v>
      </c>
      <c r="T84" s="6">
        <f>$J$3+[25]FormattedData!M51*$J$4+$M$4*$J$5+[25]FormattedData!M51^2*$J$6+$M$5*$J$7</f>
        <v>42.665207966021356</v>
      </c>
      <c r="U84" s="6">
        <f>$J$3+[25]FormattedData!N51*$J$4+$M$4*$J$5+[25]FormattedData!N51^2*$J$6+$M$5*$J$7</f>
        <v>41.838392316100972</v>
      </c>
      <c r="V84" s="6">
        <f>$J$3+[25]FormattedData!O51*$J$4+$M$4*$J$5+[25]FormattedData!O51^2*$J$6+$M$5*$J$7</f>
        <v>41.654190551090302</v>
      </c>
      <c r="W84" s="5">
        <f t="shared" si="18"/>
        <v>42.122679817966684</v>
      </c>
      <c r="X84" s="4">
        <f t="shared" si="19"/>
        <v>0.50527036350831589</v>
      </c>
      <c r="Y84" s="3">
        <f t="shared" si="20"/>
        <v>39.244181858144763</v>
      </c>
      <c r="Z84" s="2">
        <f t="shared" si="21"/>
        <v>41.146748058014424</v>
      </c>
      <c r="AA84" s="3">
        <f t="shared" si="22"/>
        <v>41.930408661530436</v>
      </c>
      <c r="AB84" s="2">
        <f t="shared" si="23"/>
        <v>43.351462985521671</v>
      </c>
      <c r="AC84" s="2">
        <f t="shared" si="24"/>
        <v>44.671899316614457</v>
      </c>
      <c r="AD84" s="2">
        <f t="shared" si="25"/>
        <v>-9.3717614233683508E-2</v>
      </c>
      <c r="AE84" s="2">
        <f t="shared" si="26"/>
        <v>-0.71032471148776732</v>
      </c>
    </row>
    <row r="85" spans="2:31" x14ac:dyDescent="0.2">
      <c r="B85" s="1">
        <f>[25]FormattedData!A47</f>
        <v>908</v>
      </c>
      <c r="C85" s="1" t="str">
        <f>VLOOKUP($B85,[25]TrtCodes!$B$11:I90,2)</f>
        <v>Early</v>
      </c>
      <c r="D85" s="1">
        <f>VLOOKUP($B85,[25]TrtCodes!$B$11:J90,3)</f>
        <v>21</v>
      </c>
      <c r="E85" s="1">
        <f>VLOOKUP($B85,[25]TrtCodes!$B$11:K90,4)</f>
        <v>3</v>
      </c>
      <c r="F85" s="1">
        <f>VLOOKUP($B85,[25]TrtCodes!$B$11:L90,5)</f>
        <v>2</v>
      </c>
      <c r="G85" s="1">
        <f>VLOOKUP($B85,[25]TrtCodes!$B$11:M90,6)</f>
        <v>2</v>
      </c>
      <c r="H85" s="1">
        <f>VLOOKUP($B85,[25]TrtCodes!$B$11:N90,7)</f>
        <v>2</v>
      </c>
      <c r="I85" s="1">
        <f>[25]FormattedData!B47</f>
        <v>2</v>
      </c>
      <c r="J85" s="4">
        <f>[25]FormattedData!C47</f>
        <v>13.378</v>
      </c>
      <c r="K85" s="6">
        <f>$J$3+[25]FormattedData!D47*$J$4+$M$4*$J$5+[25]FormattedData!D47^2*$J$6+$M$5*$J$7</f>
        <v>44.943953976068357</v>
      </c>
      <c r="L85" s="6">
        <f>$J$3+[25]FormattedData!E47*$J$4+$M$4*$J$5+[25]FormattedData!E47^2*$J$6+$M$5*$J$7</f>
        <v>45.486922044452051</v>
      </c>
      <c r="M85" s="6">
        <f>$J$3+[25]FormattedData!F47*$J$4+$M$4*$J$5+[25]FormattedData!F47^2*$J$6+$M$5*$J$7</f>
        <v>46.208512430839484</v>
      </c>
      <c r="N85" s="6">
        <f>$J$3+[25]FormattedData!G47*$J$4+$M$4*$J$5+[25]FormattedData!G47^2*$J$6+$M$5*$J$7</f>
        <v>41.285279798613807</v>
      </c>
      <c r="O85" s="6">
        <f>$J$3+[25]FormattedData!H47*$J$4+$M$4*$J$5+[25]FormattedData!H47^2*$J$6+$M$5*$J$7</f>
        <v>41.469819711927919</v>
      </c>
      <c r="P85" s="6">
        <f>$J$3+[25]FormattedData!I47*$J$4+$M$4*$J$5+[25]FormattedData!I47^2*$J$6+$M$5*$J$7</f>
        <v>41.100570811147975</v>
      </c>
      <c r="Q85" s="6">
        <f>$J$3+[25]FormattedData!J47*$J$4+$M$4*$J$5+[25]FormattedData!J47^2*$J$6+$M$5*$J$7</f>
        <v>45.034554325477139</v>
      </c>
      <c r="R85" s="6">
        <f>$J$3+[25]FormattedData!K47*$J$4+$M$4*$J$5+[25]FormattedData!K47^2*$J$6+$M$5*$J$7</f>
        <v>42.298157029213833</v>
      </c>
      <c r="S85" s="6">
        <f>$J$3+[25]FormattedData!L47*$J$4+$M$4*$J$5+[25]FormattedData!L47^2*$J$6+$M$5*$J$7</f>
        <v>41.377570889539825</v>
      </c>
      <c r="T85" s="6">
        <f>$J$3+[25]FormattedData!M47*$J$4+$M$4*$J$5+[25]FormattedData!M47^2*$J$6+$M$5*$J$7</f>
        <v>37.182625945317049</v>
      </c>
      <c r="U85" s="6">
        <f>$J$3+[25]FormattedData!N47*$J$4+$M$4*$J$5+[25]FormattedData!N47^2*$J$6+$M$5*$J$7</f>
        <v>42.848479823197529</v>
      </c>
      <c r="V85" s="6">
        <f>$J$3+[25]FormattedData!O47*$J$4+$M$4*$J$5+[25]FormattedData!O47^2*$J$6+$M$5*$J$7</f>
        <v>45.034554325477139</v>
      </c>
      <c r="W85" s="5">
        <f t="shared" si="18"/>
        <v>42.855916759272674</v>
      </c>
      <c r="X85" s="4">
        <f t="shared" si="19"/>
        <v>0.74958170423796799</v>
      </c>
      <c r="Y85" s="3">
        <f t="shared" si="20"/>
        <v>37.182625945317049</v>
      </c>
      <c r="Z85" s="2">
        <f t="shared" si="21"/>
        <v>41.354498116808323</v>
      </c>
      <c r="AA85" s="3">
        <f t="shared" si="22"/>
        <v>42.573318426205681</v>
      </c>
      <c r="AB85" s="2">
        <f t="shared" si="23"/>
        <v>45.034554325477139</v>
      </c>
      <c r="AC85" s="2">
        <f t="shared" si="24"/>
        <v>46.208512430839484</v>
      </c>
      <c r="AD85" s="2">
        <f t="shared" si="25"/>
        <v>-0.69957114720468572</v>
      </c>
      <c r="AE85" s="2">
        <f t="shared" si="26"/>
        <v>0.46720889705389546</v>
      </c>
    </row>
    <row r="88" spans="2:31" x14ac:dyDescent="0.2">
      <c r="W88" s="2"/>
    </row>
  </sheetData>
  <autoFilter ref="B9:AE85" xr:uid="{AF61E330-FB65-44E7-8575-BE1D4E680B14}"/>
  <conditionalFormatting sqref="K10:V85">
    <cfRule type="cellIs" dxfId="27" priority="1" stopIfTrue="1" operator="lessThan">
      <formula>$W10-$V$5*$X10</formula>
    </cfRule>
    <cfRule type="cellIs" dxfId="26" priority="2" stopIfTrue="1" operator="greaterThan">
      <formula>$W10+$V$5*$X10</formula>
    </cfRule>
  </conditionalFormatting>
  <conditionalFormatting sqref="W10:W85">
    <cfRule type="cellIs" dxfId="25" priority="3" stopIfTrue="1" operator="lessThan">
      <formula>AVERAGE($W$10:$W$41)</formula>
    </cfRule>
    <cfRule type="cellIs" dxfId="2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D547-C113-4C70-8E0F-763AFBD4B1CC}">
  <sheetPr codeName="Sheet8"/>
  <dimension ref="A1:AI88"/>
  <sheetViews>
    <sheetView topLeftCell="A8" workbookViewId="0">
      <pane xSplit="4" ySplit="2" topLeftCell="K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[26]FormattedData!A1</f>
        <v>Raw data file name - 'IA247.03R'</v>
      </c>
    </row>
    <row r="2" spans="1:35" ht="15" x14ac:dyDescent="0.25">
      <c r="I2" s="32" t="s">
        <v>136</v>
      </c>
      <c r="J2" s="24"/>
      <c r="P2" s="31">
        <f>[26]AncillaryData!C10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[26]AncillaryData!E25</f>
        <v>37.1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"&amp;[26]AncillaryData!C7</f>
        <v>Time Sequence of Midday IRT Temps - FISE 2003 - DOY 247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"&amp;[26]AncillaryData!E25&amp;", VPD = "&amp;ROUND([26]AncillaryData!E29,1)&amp;", Quality = "&amp;[26]AncillaryData!C20&amp;")"</f>
        <v>(Ta = 37.1, VPD = 4.2, Quality = 2)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[26]FormattedData!A28</f>
        <v>101</v>
      </c>
      <c r="C10" s="1" t="str">
        <f>VLOOKUP($B10,[26]TrtCodes!$B$11:I71,2)</f>
        <v>FSH</v>
      </c>
      <c r="D10" s="1">
        <f>VLOOKUP($B10,[26]TrtCodes!$B$11:J71,3)</f>
        <v>1</v>
      </c>
      <c r="E10" s="1">
        <f>VLOOKUP($B10,[26]TrtCodes!$B$11:K71,4)</f>
        <v>1</v>
      </c>
      <c r="F10" s="1">
        <f>VLOOKUP($B10,[26]TrtCodes!$B$11:L71,5)</f>
        <v>1</v>
      </c>
      <c r="G10" s="1">
        <f>VLOOKUP($B10,[26]TrtCodes!$B$11:M71,6)</f>
        <v>2</v>
      </c>
      <c r="H10" s="1">
        <f>VLOOKUP($B10,[26]TrtCodes!$B$11:N71,7)</f>
        <v>1</v>
      </c>
      <c r="I10" s="1">
        <f>[26]FormattedData!B28</f>
        <v>1</v>
      </c>
      <c r="J10" s="4">
        <f>[26]FormattedData!C28</f>
        <v>12.988</v>
      </c>
      <c r="K10" s="6">
        <f>$J$3+[26]FormattedData!D28*$J$4+$M$4*$J$5+[26]FormattedData!D28^2*$J$6+$M$5*$J$7</f>
        <v>31.63921480577757</v>
      </c>
      <c r="L10" s="6">
        <f>$J$3+[26]FormattedData!E28*$J$4+$M$4*$J$5+[26]FormattedData!E28^2*$J$6+$M$5*$J$7</f>
        <v>30.477195300734145</v>
      </c>
      <c r="M10" s="6">
        <f>$J$3+[26]FormattedData!F28*$J$4+$M$4*$J$5+[26]FormattedData!F28^2*$J$6+$M$5*$J$7</f>
        <v>29.893903047164155</v>
      </c>
      <c r="N10" s="6">
        <f>$J$3+[26]FormattedData!G28*$J$4+$M$4*$J$5+[26]FormattedData!G28^2*$J$6+$M$5*$J$7</f>
        <v>31.155779711423271</v>
      </c>
      <c r="O10" s="6">
        <f>$J$3+[26]FormattedData!H28*$J$4+$M$4*$J$5+[26]FormattedData!H28^2*$J$6+$M$5*$J$7</f>
        <v>31.542612323982574</v>
      </c>
      <c r="P10" s="6">
        <f>$J$3+[26]FormattedData!I28*$J$4+$M$4*$J$5+[26]FormattedData!I28^2*$J$6+$M$5*$J$7</f>
        <v>31.445967573649643</v>
      </c>
      <c r="Q10" s="6">
        <f>$J$3+[26]FormattedData!J28*$J$4+$M$4*$J$5+[26]FormattedData!J28^2*$J$6+$M$5*$J$7</f>
        <v>32.025202047578247</v>
      </c>
      <c r="R10" s="6">
        <f>$J$3+[26]FormattedData!K28*$J$4+$M$4*$J$5+[26]FormattedData!K28^2*$J$6+$M$5*$J$7</f>
        <v>31.832292963753773</v>
      </c>
      <c r="S10" s="6">
        <f>$J$3+[26]FormattedData!L28*$J$4+$M$4*$J$5+[26]FormattedData!L28^2*$J$6+$M$5*$J$7</f>
        <v>31.252551267369988</v>
      </c>
      <c r="T10" s="6">
        <f>$J$3+[26]FormattedData!M28*$J$4+$M$4*$J$5+[26]FormattedData!M28^2*$J$6+$M$5*$J$7</f>
        <v>31.155779711423271</v>
      </c>
      <c r="U10" s="6">
        <f>$J$3+[26]FormattedData!N28*$J$4+$M$4*$J$5+[26]FormattedData!N28^2*$J$6+$M$5*$J$7</f>
        <v>31.445967573649643</v>
      </c>
      <c r="V10" s="6">
        <f>$J$3+[26]FormattedData!O28*$J$4+$M$4*$J$5+[26]FormattedData!O28^2*$J$6+$M$5*$J$7</f>
        <v>30.477195300734145</v>
      </c>
      <c r="W10" s="5">
        <f t="shared" ref="W10:W41" si="0">AVERAGE(K10:V10)</f>
        <v>31.195305135603373</v>
      </c>
      <c r="X10" s="4">
        <f t="shared" ref="X10:X41" si="1">STDEV(K10:V10)/SQRT(COUNT(K10:V10))</f>
        <v>0.17984076027366874</v>
      </c>
      <c r="Y10" s="3">
        <f t="shared" ref="Y10:Y41" si="2">MIN(K10:V10)</f>
        <v>29.893903047164155</v>
      </c>
      <c r="Z10" s="2">
        <f t="shared" ref="Z10:Z41" si="3">QUARTILE(K10:V10,1)</f>
        <v>30.98613360875099</v>
      </c>
      <c r="AA10" s="3">
        <f t="shared" ref="AA10:AA41" si="4">MEDIAN(K10:V10)</f>
        <v>31.349259420509817</v>
      </c>
      <c r="AB10" s="2">
        <f t="shared" ref="AB10:AB41" si="5">QUARTILE(K10:V10,3)</f>
        <v>31.566762944431325</v>
      </c>
      <c r="AC10" s="2">
        <f t="shared" ref="AC10:AC41" si="6">MAX(K10:V10)</f>
        <v>32.025202047578247</v>
      </c>
      <c r="AD10" s="2">
        <f t="shared" ref="AD10:AD41" si="7">SKEW(K10:V10)</f>
        <v>-0.88151297492599079</v>
      </c>
      <c r="AE10" s="2">
        <f t="shared" ref="AE10:AE41" si="8">KURT(K10:V10)</f>
        <v>0.25628695322185013</v>
      </c>
    </row>
    <row r="11" spans="1:35" x14ac:dyDescent="0.2">
      <c r="B11" s="1">
        <f>[26]FormattedData!A26</f>
        <v>102</v>
      </c>
      <c r="C11" s="1" t="str">
        <f>VLOOKUP($B11,[26]TrtCodes!$B$11:I69,2)</f>
        <v>FTL</v>
      </c>
      <c r="D11" s="1">
        <f>VLOOKUP($B11,[26]TrtCodes!$B$11:J69,3)</f>
        <v>4</v>
      </c>
      <c r="E11" s="1">
        <f>VLOOKUP($B11,[26]TrtCodes!$B$11:K69,4)</f>
        <v>1</v>
      </c>
      <c r="F11" s="1">
        <f>VLOOKUP($B11,[26]TrtCodes!$B$11:L69,5)</f>
        <v>2</v>
      </c>
      <c r="G11" s="1">
        <f>VLOOKUP($B11,[26]TrtCodes!$B$11:M69,6)</f>
        <v>1</v>
      </c>
      <c r="H11" s="1">
        <f>VLOOKUP($B11,[26]TrtCodes!$B$11:N69,7)</f>
        <v>1</v>
      </c>
      <c r="I11" s="1">
        <f>[26]FormattedData!B26</f>
        <v>1</v>
      </c>
      <c r="J11" s="4">
        <f>[26]FormattedData!C26</f>
        <v>12.973000000000001</v>
      </c>
      <c r="K11" s="6">
        <f>$J$3+[26]FormattedData!D26*$J$4+$M$4*$J$5+[26]FormattedData!D26^2*$J$6+$M$5*$J$7</f>
        <v>33.179105993338894</v>
      </c>
      <c r="L11" s="6">
        <f>$J$3+[26]FormattedData!E26*$J$4+$M$4*$J$5+[26]FormattedData!E26^2*$J$6+$M$5*$J$7</f>
        <v>30.477195300734145</v>
      </c>
      <c r="M11" s="6">
        <f>$J$3+[26]FormattedData!F26*$J$4+$M$4*$J$5+[26]FormattedData!F26^2*$J$6+$M$5*$J$7</f>
        <v>33.370831558101301</v>
      </c>
      <c r="N11" s="6">
        <f>$J$3+[26]FormattedData!G26*$J$4+$M$4*$J$5+[26]FormattedData!G26^2*$J$6+$M$5*$J$7</f>
        <v>33.083179808150788</v>
      </c>
      <c r="O11" s="6">
        <f>$J$3+[26]FormattedData!H26*$J$4+$M$4*$J$5+[26]FormattedData!H26^2*$J$6+$M$5*$J$7</f>
        <v>34.708176435189841</v>
      </c>
      <c r="P11" s="6">
        <f>$J$3+[26]FormattedData!I26*$J$4+$M$4*$J$5+[26]FormattedData!I26^2*$J$6+$M$5*$J$7</f>
        <v>31.928768639934979</v>
      </c>
      <c r="Q11" s="6">
        <f>$J$3+[26]FormattedData!J26*$J$4+$M$4*$J$5+[26]FormattedData!J26^2*$J$6+$M$5*$J$7</f>
        <v>33.370831558101301</v>
      </c>
      <c r="R11" s="6">
        <f>$J$3+[26]FormattedData!K26*$J$4+$M$4*$J$5+[26]FormattedData!K26^2*$J$6+$M$5*$J$7</f>
        <v>32.025202047578247</v>
      </c>
      <c r="S11" s="6">
        <f>$J$3+[26]FormattedData!L26*$J$4+$M$4*$J$5+[26]FormattedData!L26^2*$J$6+$M$5*$J$7</f>
        <v>33.753775465170932</v>
      </c>
      <c r="T11" s="6">
        <f>$J$3+[26]FormattedData!M26*$J$4+$M$4*$J$5+[26]FormattedData!M26^2*$J$6+$M$5*$J$7</f>
        <v>31.445967573649643</v>
      </c>
      <c r="U11" s="6">
        <f>$J$3+[26]FormattedData!N26*$J$4+$M$4*$J$5+[26]FormattedData!N26^2*$J$6+$M$5*$J$7</f>
        <v>31.63921480577757</v>
      </c>
      <c r="V11" s="6">
        <f>$J$3+[26]FormattedData!O26*$J$4+$M$4*$J$5+[26]FormattedData!O26^2*$J$6+$M$5*$J$7</f>
        <v>31.735775019034634</v>
      </c>
      <c r="W11" s="5">
        <f t="shared" si="0"/>
        <v>32.559835350396853</v>
      </c>
      <c r="X11" s="4">
        <f t="shared" si="1"/>
        <v>0.34599947716001545</v>
      </c>
      <c r="Y11" s="3">
        <f t="shared" si="2"/>
        <v>30.477195300734145</v>
      </c>
      <c r="Z11" s="2">
        <f t="shared" si="3"/>
        <v>31.711634965720368</v>
      </c>
      <c r="AA11" s="3">
        <f t="shared" si="4"/>
        <v>32.554190927864518</v>
      </c>
      <c r="AB11" s="2">
        <f t="shared" si="5"/>
        <v>33.370831558101301</v>
      </c>
      <c r="AC11" s="2">
        <f t="shared" si="6"/>
        <v>34.708176435189841</v>
      </c>
      <c r="AD11" s="2">
        <f t="shared" si="7"/>
        <v>5.7386845518099611E-2</v>
      </c>
      <c r="AE11" s="2">
        <f t="shared" si="8"/>
        <v>-0.50636805392403028</v>
      </c>
    </row>
    <row r="12" spans="1:35" x14ac:dyDescent="0.2">
      <c r="B12" s="1">
        <f>[26]FormattedData!A24</f>
        <v>103</v>
      </c>
      <c r="C12" s="1" t="str">
        <f>VLOOKUP($B12,[26]TrtCodes!$B$11:I67,2)</f>
        <v>FDH</v>
      </c>
      <c r="D12" s="1">
        <f>VLOOKUP($B12,[26]TrtCodes!$B$11:J67,3)</f>
        <v>5</v>
      </c>
      <c r="E12" s="1">
        <f>VLOOKUP($B12,[26]TrtCodes!$B$11:K67,4)</f>
        <v>1</v>
      </c>
      <c r="F12" s="1">
        <f>VLOOKUP($B12,[26]TrtCodes!$B$11:L67,5)</f>
        <v>3</v>
      </c>
      <c r="G12" s="1">
        <f>VLOOKUP($B12,[26]TrtCodes!$B$11:M67,6)</f>
        <v>2</v>
      </c>
      <c r="H12" s="1">
        <f>VLOOKUP($B12,[26]TrtCodes!$B$11:N67,7)</f>
        <v>1</v>
      </c>
      <c r="I12" s="1">
        <f>[26]FormattedData!B24</f>
        <v>1</v>
      </c>
      <c r="J12" s="4">
        <f>[26]FormattedData!C24</f>
        <v>12.958</v>
      </c>
      <c r="K12" s="6">
        <f>$J$3+[26]FormattedData!D24*$J$4+$M$4*$J$5+[26]FormattedData!D24^2*$J$6+$M$5*$J$7</f>
        <v>32.025202047578247</v>
      </c>
      <c r="L12" s="6">
        <f>$J$3+[26]FormattedData!E24*$J$4+$M$4*$J$5+[26]FormattedData!E24^2*$J$6+$M$5*$J$7</f>
        <v>31.928768639934979</v>
      </c>
      <c r="M12" s="6">
        <f>$J$3+[26]FormattedData!F24*$J$4+$M$4*$J$5+[26]FormattedData!F24^2*$J$6+$M$5*$J$7</f>
        <v>32.891200632160803</v>
      </c>
      <c r="N12" s="6">
        <f>$J$3+[26]FormattedData!G24*$J$4+$M$4*$J$5+[26]FormattedData!G24^2*$J$6+$M$5*$J$7</f>
        <v>31.349280554778787</v>
      </c>
      <c r="O12" s="6">
        <f>$J$3+[26]FormattedData!H24*$J$4+$M$4*$J$5+[26]FormattedData!H24^2*$J$6+$M$5*$J$7</f>
        <v>33.370831558101301</v>
      </c>
      <c r="P12" s="6">
        <f>$J$3+[26]FormattedData!I24*$J$4+$M$4*$J$5+[26]FormattedData!I24^2*$J$6+$M$5*$J$7</f>
        <v>32.31424865928048</v>
      </c>
      <c r="Q12" s="6">
        <f>$J$3+[26]FormattedData!J24*$J$4+$M$4*$J$5+[26]FormattedData!J24^2*$J$6+$M$5*$J$7</f>
        <v>32.31424865928048</v>
      </c>
      <c r="R12" s="6">
        <f>$J$3+[26]FormattedData!K24*$J$4+$M$4*$J$5+[26]FormattedData!K24^2*$J$6+$M$5*$J$7</f>
        <v>32.891200632160803</v>
      </c>
      <c r="S12" s="6">
        <f>$J$3+[26]FormattedData!L24*$J$4+$M$4*$J$5+[26]FormattedData!L24^2*$J$6+$M$5*$J$7</f>
        <v>32.699052382019083</v>
      </c>
      <c r="T12" s="6">
        <f>$J$3+[26]FormattedData!M24*$J$4+$M$4*$J$5+[26]FormattedData!M24^2*$J$6+$M$5*$J$7</f>
        <v>33.658102891210426</v>
      </c>
      <c r="U12" s="6">
        <f>$J$3+[26]FormattedData!N24*$J$4+$M$4*$J$5+[26]FormattedData!N24^2*$J$6+$M$5*$J$7</f>
        <v>33.083179808150788</v>
      </c>
      <c r="V12" s="6">
        <f>$J$3+[26]FormattedData!O24*$J$4+$M$4*$J$5+[26]FormattedData!O24^2*$J$6+$M$5*$J$7</f>
        <v>33.466630937675603</v>
      </c>
      <c r="W12" s="5">
        <f t="shared" si="0"/>
        <v>32.665995616860982</v>
      </c>
      <c r="X12" s="4">
        <f t="shared" si="1"/>
        <v>0.20101952028732925</v>
      </c>
      <c r="Y12" s="3">
        <f t="shared" si="2"/>
        <v>31.349280554778787</v>
      </c>
      <c r="Z12" s="2">
        <f t="shared" si="3"/>
        <v>32.241987006354918</v>
      </c>
      <c r="AA12" s="3">
        <f t="shared" si="4"/>
        <v>32.795126507089947</v>
      </c>
      <c r="AB12" s="2">
        <f t="shared" si="5"/>
        <v>33.155092745638413</v>
      </c>
      <c r="AC12" s="2">
        <f t="shared" si="6"/>
        <v>33.658102891210426</v>
      </c>
      <c r="AD12" s="2">
        <f t="shared" si="7"/>
        <v>-0.35483583717836414</v>
      </c>
      <c r="AE12" s="2">
        <f t="shared" si="8"/>
        <v>-0.57372751699604407</v>
      </c>
    </row>
    <row r="13" spans="1:35" x14ac:dyDescent="0.2">
      <c r="B13" s="1">
        <f>[26]FormattedData!A22</f>
        <v>104</v>
      </c>
      <c r="C13" s="1" t="str">
        <f>VLOOKUP($B13,[26]TrtCodes!$B$11:I65,2)</f>
        <v>NTL</v>
      </c>
      <c r="D13" s="1">
        <f>VLOOKUP($B13,[26]TrtCodes!$B$11:J65,3)</f>
        <v>10</v>
      </c>
      <c r="E13" s="1">
        <f>VLOOKUP($B13,[26]TrtCodes!$B$11:K65,4)</f>
        <v>2</v>
      </c>
      <c r="F13" s="1">
        <f>VLOOKUP($B13,[26]TrtCodes!$B$11:L65,5)</f>
        <v>2</v>
      </c>
      <c r="G13" s="1">
        <f>VLOOKUP($B13,[26]TrtCodes!$B$11:M65,6)</f>
        <v>1</v>
      </c>
      <c r="H13" s="1">
        <f>VLOOKUP($B13,[26]TrtCodes!$B$11:N65,7)</f>
        <v>1</v>
      </c>
      <c r="I13" s="1">
        <f>[26]FormattedData!B22</f>
        <v>1</v>
      </c>
      <c r="J13" s="4">
        <f>[26]FormattedData!C22</f>
        <v>12.943</v>
      </c>
      <c r="K13" s="6">
        <f>$J$3+[26]FormattedData!D22*$J$4+$M$4*$J$5+[26]FormattedData!D22^2*$J$6+$M$5*$J$7</f>
        <v>32.602914854141332</v>
      </c>
      <c r="L13" s="6">
        <f>$J$3+[26]FormattedData!E22*$J$4+$M$4*$J$5+[26]FormattedData!E22^2*$J$6+$M$5*$J$7</f>
        <v>33.179105993338894</v>
      </c>
      <c r="M13" s="6">
        <f>$J$3+[26]FormattedData!F22*$J$4+$M$4*$J$5+[26]FormattedData!F22^2*$J$6+$M$5*$J$7</f>
        <v>33.27498990998906</v>
      </c>
      <c r="N13" s="6">
        <f>$J$3+[26]FormattedData!G22*$J$4+$M$4*$J$5+[26]FormattedData!G22^2*$J$6+$M$5*$J$7</f>
        <v>33.083179808150788</v>
      </c>
      <c r="O13" s="6">
        <f>$J$3+[26]FormattedData!H22*$J$4+$M$4*$J$5+[26]FormattedData!H22^2*$J$6+$M$5*$J$7</f>
        <v>33.370831558101301</v>
      </c>
      <c r="P13" s="6">
        <f>$J$3+[26]FormattedData!I22*$J$4+$M$4*$J$5+[26]FormattedData!I22^2*$J$6+$M$5*$J$7</f>
        <v>32.025202047578247</v>
      </c>
      <c r="Q13" s="6">
        <f>$J$3+[26]FormattedData!J22*$J$4+$M$4*$J$5+[26]FormattedData!J22^2*$J$6+$M$5*$J$7</f>
        <v>32.410512992772034</v>
      </c>
      <c r="R13" s="6">
        <f>$J$3+[26]FormattedData!K22*$J$4+$M$4*$J$5+[26]FormattedData!K22^2*$J$6+$M$5*$J$7</f>
        <v>32.795147641358909</v>
      </c>
      <c r="S13" s="6">
        <f>$J$3+[26]FormattedData!L22*$J$4+$M$4*$J$5+[26]FormattedData!L22^2*$J$6+$M$5*$J$7</f>
        <v>33.179105993338894</v>
      </c>
      <c r="T13" s="6">
        <f>$J$3+[26]FormattedData!M22*$J$4+$M$4*$J$5+[26]FormattedData!M22^2*$J$6+$M$5*$J$7</f>
        <v>32.987211354424765</v>
      </c>
      <c r="U13" s="6">
        <f>$J$3+[26]FormattedData!N22*$J$4+$M$4*$J$5+[26]FormattedData!N22^2*$J$6+$M$5*$J$7</f>
        <v>32.699052382019083</v>
      </c>
      <c r="V13" s="6">
        <f>$J$3+[26]FormattedData!O22*$J$4+$M$4*$J$5+[26]FormattedData!O22^2*$J$6+$M$5*$J$7</f>
        <v>33.370831558101301</v>
      </c>
      <c r="W13" s="5">
        <f t="shared" si="0"/>
        <v>32.914840507776219</v>
      </c>
      <c r="X13" s="4">
        <f t="shared" si="1"/>
        <v>0.12069253335533633</v>
      </c>
      <c r="Y13" s="3">
        <f t="shared" si="2"/>
        <v>32.025202047578247</v>
      </c>
      <c r="Z13" s="2">
        <f t="shared" si="3"/>
        <v>32.675018000049647</v>
      </c>
      <c r="AA13" s="3">
        <f t="shared" si="4"/>
        <v>33.03519558128778</v>
      </c>
      <c r="AB13" s="2">
        <f t="shared" si="5"/>
        <v>33.203076972501435</v>
      </c>
      <c r="AC13" s="2">
        <f t="shared" si="6"/>
        <v>33.370831558101301</v>
      </c>
      <c r="AD13" s="2">
        <f t="shared" si="7"/>
        <v>-0.88979828047693399</v>
      </c>
      <c r="AE13" s="2">
        <f t="shared" si="8"/>
        <v>0.17904837786767125</v>
      </c>
    </row>
    <row r="14" spans="1:35" x14ac:dyDescent="0.2">
      <c r="B14" s="1">
        <f>[26]FormattedData!A20</f>
        <v>105</v>
      </c>
      <c r="C14" s="1" t="str">
        <f>VLOOKUP($B14,[26]TrtCodes!$B$11:I63,2)</f>
        <v>NDL</v>
      </c>
      <c r="D14" s="1">
        <f>VLOOKUP($B14,[26]TrtCodes!$B$11:J63,3)</f>
        <v>12</v>
      </c>
      <c r="E14" s="1">
        <f>VLOOKUP($B14,[26]TrtCodes!$B$11:K63,4)</f>
        <v>2</v>
      </c>
      <c r="F14" s="1">
        <f>VLOOKUP($B14,[26]TrtCodes!$B$11:L63,5)</f>
        <v>3</v>
      </c>
      <c r="G14" s="1">
        <f>VLOOKUP($B14,[26]TrtCodes!$B$11:M63,6)</f>
        <v>1</v>
      </c>
      <c r="H14" s="1">
        <f>VLOOKUP($B14,[26]TrtCodes!$B$11:N63,7)</f>
        <v>2</v>
      </c>
      <c r="I14" s="1">
        <f>[26]FormattedData!B20</f>
        <v>1</v>
      </c>
      <c r="J14" s="4">
        <f>[26]FormattedData!C20</f>
        <v>12.928000000000001</v>
      </c>
      <c r="K14" s="6">
        <f>$J$3+[26]FormattedData!D20*$J$4+$M$4*$J$5+[26]FormattedData!D20^2*$J$6+$M$5*$J$7</f>
        <v>33.849405770593521</v>
      </c>
      <c r="L14" s="6">
        <f>$J$3+[26]FormattedData!E20*$J$4+$M$4*$J$5+[26]FormattedData!E20^2*$J$6+$M$5*$J$7</f>
        <v>33.370831558101301</v>
      </c>
      <c r="M14" s="6">
        <f>$J$3+[26]FormattedData!F20*$J$4+$M$4*$J$5+[26]FormattedData!F20^2*$J$6+$M$5*$J$7</f>
        <v>32.987211354424765</v>
      </c>
      <c r="N14" s="6">
        <f>$J$3+[26]FormattedData!G20*$J$4+$M$4*$J$5+[26]FormattedData!G20^2*$J$6+$M$5*$J$7</f>
        <v>32.506735057725649</v>
      </c>
      <c r="O14" s="6">
        <f>$J$3+[26]FormattedData!H20*$J$4+$M$4*$J$5+[26]FormattedData!H20^2*$J$6+$M$5*$J$7</f>
        <v>32.506735057725649</v>
      </c>
      <c r="P14" s="6">
        <f>$J$3+[26]FormattedData!I20*$J$4+$M$4*$J$5+[26]FormattedData!I20^2*$J$6+$M$5*$J$7</f>
        <v>32.12159318668359</v>
      </c>
      <c r="Q14" s="6">
        <f>$J$3+[26]FormattedData!J20*$J$4+$M$4*$J$5+[26]FormattedData!J20^2*$J$6+$M$5*$J$7</f>
        <v>31.928768639934979</v>
      </c>
      <c r="R14" s="6">
        <f>$J$3+[26]FormattedData!K20*$J$4+$M$4*$J$5+[26]FormattedData!K20^2*$J$6+$M$5*$J$7</f>
        <v>30.865211432355519</v>
      </c>
      <c r="S14" s="6">
        <f>$J$3+[26]FormattedData!L20*$J$4+$M$4*$J$5+[26]FormattedData!L20^2*$J$6+$M$5*$J$7</f>
        <v>32.217942057250994</v>
      </c>
      <c r="T14" s="6">
        <f>$J$3+[26]FormattedData!M20*$J$4+$M$4*$J$5+[26]FormattedData!M20^2*$J$6+$M$5*$J$7</f>
        <v>31.928768639934979</v>
      </c>
      <c r="U14" s="6">
        <f>$J$3+[26]FormattedData!N20*$J$4+$M$4*$J$5+[26]FormattedData!N20^2*$J$6+$M$5*$J$7</f>
        <v>32.12159318668359</v>
      </c>
      <c r="V14" s="6">
        <f>$J$3+[26]FormattedData!O20*$J$4+$M$4*$J$5+[26]FormattedData!O20^2*$J$6+$M$5*$J$7</f>
        <v>31.349280554778787</v>
      </c>
      <c r="W14" s="5">
        <f t="shared" si="0"/>
        <v>32.312839708016106</v>
      </c>
      <c r="X14" s="4">
        <f t="shared" si="1"/>
        <v>0.23695673136523326</v>
      </c>
      <c r="Y14" s="3">
        <f t="shared" si="2"/>
        <v>30.865211432355519</v>
      </c>
      <c r="Z14" s="2">
        <f t="shared" si="3"/>
        <v>31.928768639934979</v>
      </c>
      <c r="AA14" s="3">
        <f t="shared" si="4"/>
        <v>32.169767621967296</v>
      </c>
      <c r="AB14" s="2">
        <f t="shared" si="5"/>
        <v>32.62685413190043</v>
      </c>
      <c r="AC14" s="2">
        <f t="shared" si="6"/>
        <v>33.849405770593521</v>
      </c>
      <c r="AD14" s="2">
        <f t="shared" si="7"/>
        <v>0.21242634902857543</v>
      </c>
      <c r="AE14" s="2">
        <f t="shared" si="8"/>
        <v>0.24880665013196257</v>
      </c>
    </row>
    <row r="15" spans="1:35" x14ac:dyDescent="0.2">
      <c r="B15" s="1">
        <f>[26]FormattedData!A18</f>
        <v>106</v>
      </c>
      <c r="C15" s="1" t="str">
        <f>VLOOKUP($B15,[26]TrtCodes!$B$11:I61,2)</f>
        <v>NTH</v>
      </c>
      <c r="D15" s="1">
        <f>VLOOKUP($B15,[26]TrtCodes!$B$11:J61,3)</f>
        <v>9</v>
      </c>
      <c r="E15" s="1">
        <f>VLOOKUP($B15,[26]TrtCodes!$B$11:K61,4)</f>
        <v>2</v>
      </c>
      <c r="F15" s="1">
        <f>VLOOKUP($B15,[26]TrtCodes!$B$11:L61,5)</f>
        <v>2</v>
      </c>
      <c r="G15" s="1">
        <f>VLOOKUP($B15,[26]TrtCodes!$B$11:M61,6)</f>
        <v>2</v>
      </c>
      <c r="H15" s="1">
        <f>VLOOKUP($B15,[26]TrtCodes!$B$11:N61,7)</f>
        <v>2</v>
      </c>
      <c r="I15" s="1">
        <f>[26]FormattedData!B18</f>
        <v>1</v>
      </c>
      <c r="J15" s="4">
        <f>[26]FormattedData!C18</f>
        <v>12.914</v>
      </c>
      <c r="K15" s="6">
        <f>$J$3+[26]FormattedData!D18*$J$4+$M$4*$J$5+[26]FormattedData!D18^2*$J$6+$M$5*$J$7</f>
        <v>34.231504306904526</v>
      </c>
      <c r="L15" s="6">
        <f>$J$3+[26]FormattedData!E18*$J$4+$M$4*$J$5+[26]FormattedData!E18^2*$J$6+$M$5*$J$7</f>
        <v>33.27498990998906</v>
      </c>
      <c r="M15" s="6">
        <f>$J$3+[26]FormattedData!F18*$J$4+$M$4*$J$5+[26]FormattedData!F18^2*$J$6+$M$5*$J$7</f>
        <v>33.370831558101301</v>
      </c>
      <c r="N15" s="6">
        <f>$J$3+[26]FormattedData!G18*$J$4+$M$4*$J$5+[26]FormattedData!G18^2*$J$6+$M$5*$J$7</f>
        <v>32.31424865928048</v>
      </c>
      <c r="O15" s="6">
        <f>$J$3+[26]FormattedData!H18*$J$4+$M$4*$J$5+[26]FormattedData!H18^2*$J$6+$M$5*$J$7</f>
        <v>31.445967573649643</v>
      </c>
      <c r="P15" s="6">
        <f>$J$3+[26]FormattedData!I18*$J$4+$M$4*$J$5+[26]FormattedData!I18^2*$J$6+$M$5*$J$7</f>
        <v>31.349280554778787</v>
      </c>
      <c r="Q15" s="6">
        <f>$J$3+[26]FormattedData!J18*$J$4+$M$4*$J$5+[26]FormattedData!J18^2*$J$6+$M$5*$J$7</f>
        <v>33.179105993338894</v>
      </c>
      <c r="R15" s="6">
        <f>$J$3+[26]FormattedData!K18*$J$4+$M$4*$J$5+[26]FormattedData!K18^2*$J$6+$M$5*$J$7</f>
        <v>32.410512992772034</v>
      </c>
      <c r="S15" s="6">
        <f>$J$3+[26]FormattedData!L18*$J$4+$M$4*$J$5+[26]FormattedData!L18^2*$J$6+$M$5*$J$7</f>
        <v>31.349280554778787</v>
      </c>
      <c r="T15" s="6">
        <f>$J$3+[26]FormattedData!M18*$J$4+$M$4*$J$5+[26]FormattedData!M18^2*$J$6+$M$5*$J$7</f>
        <v>31.735775019034634</v>
      </c>
      <c r="U15" s="6">
        <f>$J$3+[26]FormattedData!N18*$J$4+$M$4*$J$5+[26]FormattedData!N18^2*$J$6+$M$5*$J$7</f>
        <v>32.025202047578247</v>
      </c>
      <c r="V15" s="6">
        <f>$J$3+[26]FormattedData!O18*$J$4+$M$4*$J$5+[26]FormattedData!O18^2*$J$6+$M$5*$J$7</f>
        <v>31.735775019034634</v>
      </c>
      <c r="W15" s="5">
        <f t="shared" si="0"/>
        <v>32.368539515770088</v>
      </c>
      <c r="X15" s="4">
        <f t="shared" si="1"/>
        <v>0.27256061091244271</v>
      </c>
      <c r="Y15" s="3">
        <f t="shared" si="2"/>
        <v>31.349280554778787</v>
      </c>
      <c r="Z15" s="2">
        <f t="shared" si="3"/>
        <v>31.663323157688385</v>
      </c>
      <c r="AA15" s="3">
        <f t="shared" si="4"/>
        <v>32.169725353429364</v>
      </c>
      <c r="AB15" s="2">
        <f t="shared" si="5"/>
        <v>33.203076972501435</v>
      </c>
      <c r="AC15" s="2">
        <f t="shared" si="6"/>
        <v>34.231504306904526</v>
      </c>
      <c r="AD15" s="2">
        <f t="shared" si="7"/>
        <v>0.68686569041889478</v>
      </c>
      <c r="AE15" s="2">
        <f t="shared" si="8"/>
        <v>-0.58748713871378522</v>
      </c>
    </row>
    <row r="16" spans="1:35" x14ac:dyDescent="0.2">
      <c r="B16" s="1">
        <f>[26]FormattedData!A16</f>
        <v>107</v>
      </c>
      <c r="C16" s="1" t="str">
        <f>VLOOKUP($B16,[26]TrtCodes!$B$11:I59,2)</f>
        <v>NTL</v>
      </c>
      <c r="D16" s="1">
        <f>VLOOKUP($B16,[26]TrtCodes!$B$11:J59,3)</f>
        <v>10</v>
      </c>
      <c r="E16" s="1">
        <f>VLOOKUP($B16,[26]TrtCodes!$B$11:K59,4)</f>
        <v>2</v>
      </c>
      <c r="F16" s="1">
        <f>VLOOKUP($B16,[26]TrtCodes!$B$11:L59,5)</f>
        <v>2</v>
      </c>
      <c r="G16" s="1">
        <f>VLOOKUP($B16,[26]TrtCodes!$B$11:M59,6)</f>
        <v>1</v>
      </c>
      <c r="H16" s="1">
        <f>VLOOKUP($B16,[26]TrtCodes!$B$11:N59,7)</f>
        <v>2</v>
      </c>
      <c r="I16" s="1">
        <f>[26]FormattedData!B16</f>
        <v>1</v>
      </c>
      <c r="J16" s="4">
        <f>[26]FormattedData!C16</f>
        <v>12.898999999999999</v>
      </c>
      <c r="K16" s="6">
        <f>$J$3+[26]FormattedData!D16*$J$4+$M$4*$J$5+[26]FormattedData!D16^2*$J$6+$M$5*$J$7</f>
        <v>32.217942057250994</v>
      </c>
      <c r="L16" s="6">
        <f>$J$3+[26]FormattedData!E16*$J$4+$M$4*$J$5+[26]FormattedData!E16^2*$J$6+$M$5*$J$7</f>
        <v>32.506735057725649</v>
      </c>
      <c r="M16" s="6">
        <f>$J$3+[26]FormattedData!F16*$J$4+$M$4*$J$5+[26]FormattedData!F16^2*$J$6+$M$5*$J$7</f>
        <v>33.466630937675603</v>
      </c>
      <c r="N16" s="6">
        <f>$J$3+[26]FormattedData!G16*$J$4+$M$4*$J$5+[26]FormattedData!G16^2*$J$6+$M$5*$J$7</f>
        <v>33.94499380747817</v>
      </c>
      <c r="O16" s="6">
        <f>$J$3+[26]FormattedData!H16*$J$4+$M$4*$J$5+[26]FormattedData!H16^2*$J$6+$M$5*$J$7</f>
        <v>32.31424865928048</v>
      </c>
      <c r="P16" s="6">
        <f>$J$3+[26]FormattedData!I16*$J$4+$M$4*$J$5+[26]FormattedData!I16^2*$J$6+$M$5*$J$7</f>
        <v>31.252551267369988</v>
      </c>
      <c r="Q16" s="6">
        <f>$J$3+[26]FormattedData!J16*$J$4+$M$4*$J$5+[26]FormattedData!J16^2*$J$6+$M$5*$J$7</f>
        <v>31.349280554778787</v>
      </c>
      <c r="R16" s="6">
        <f>$J$3+[26]FormattedData!K16*$J$4+$M$4*$J$5+[26]FormattedData!K16^2*$J$6+$M$5*$J$7</f>
        <v>33.179105993338894</v>
      </c>
      <c r="S16" s="6">
        <f>$J$3+[26]FormattedData!L16*$J$4+$M$4*$J$5+[26]FormattedData!L16^2*$J$6+$M$5*$J$7</f>
        <v>34.136043075633673</v>
      </c>
      <c r="T16" s="6">
        <f>$J$3+[26]FormattedData!M16*$J$4+$M$4*$J$5+[26]FormattedData!M16^2*$J$6+$M$5*$J$7</f>
        <v>33.083179808150788</v>
      </c>
      <c r="U16" s="6">
        <f>$J$3+[26]FormattedData!N16*$J$4+$M$4*$J$5+[26]FormattedData!N16^2*$J$6+$M$5*$J$7</f>
        <v>32.410512992772034</v>
      </c>
      <c r="V16" s="6">
        <f>$J$3+[26]FormattedData!O16*$J$4+$M$4*$J$5+[26]FormattedData!O16^2*$J$6+$M$5*$J$7</f>
        <v>32.506735057725649</v>
      </c>
      <c r="W16" s="5">
        <f t="shared" si="0"/>
        <v>32.697329939098402</v>
      </c>
      <c r="X16" s="4">
        <f t="shared" si="1"/>
        <v>0.26163061329547771</v>
      </c>
      <c r="Y16" s="3">
        <f t="shared" si="2"/>
        <v>31.252551267369988</v>
      </c>
      <c r="Z16" s="2">
        <f t="shared" si="3"/>
        <v>32.290172008773112</v>
      </c>
      <c r="AA16" s="3">
        <f t="shared" si="4"/>
        <v>32.506735057725649</v>
      </c>
      <c r="AB16" s="2">
        <f t="shared" si="5"/>
        <v>33.250987229423075</v>
      </c>
      <c r="AC16" s="2">
        <f t="shared" si="6"/>
        <v>34.136043075633673</v>
      </c>
      <c r="AD16" s="2">
        <f t="shared" si="7"/>
        <v>-1.8262092162090154E-2</v>
      </c>
      <c r="AE16" s="2">
        <f t="shared" si="8"/>
        <v>-0.55880826002631157</v>
      </c>
    </row>
    <row r="17" spans="2:31" x14ac:dyDescent="0.2">
      <c r="B17" s="1">
        <f>[26]FormattedData!A14</f>
        <v>108</v>
      </c>
      <c r="C17" s="1" t="str">
        <f>VLOOKUP($B17,[26]TrtCodes!$B$11:I57,2)</f>
        <v>FTH</v>
      </c>
      <c r="D17" s="1">
        <f>VLOOKUP($B17,[26]TrtCodes!$B$11:J57,3)</f>
        <v>3</v>
      </c>
      <c r="E17" s="1">
        <f>VLOOKUP($B17,[26]TrtCodes!$B$11:K57,4)</f>
        <v>1</v>
      </c>
      <c r="F17" s="1">
        <f>VLOOKUP($B17,[26]TrtCodes!$B$11:L57,5)</f>
        <v>2</v>
      </c>
      <c r="G17" s="1">
        <f>VLOOKUP($B17,[26]TrtCodes!$B$11:M57,6)</f>
        <v>2</v>
      </c>
      <c r="H17" s="1">
        <f>VLOOKUP($B17,[26]TrtCodes!$B$11:N57,7)</f>
        <v>2</v>
      </c>
      <c r="I17" s="1">
        <f>[26]FormattedData!B14</f>
        <v>1</v>
      </c>
      <c r="J17" s="4">
        <f>[26]FormattedData!C14</f>
        <v>12.885</v>
      </c>
      <c r="K17" s="6">
        <f>$J$3+[26]FormattedData!D14*$J$4+$M$4*$J$5+[26]FormattedData!D14^2*$J$6+$M$5*$J$7</f>
        <v>33.179105993338894</v>
      </c>
      <c r="L17" s="6">
        <f>$J$3+[26]FormattedData!E14*$J$4+$M$4*$J$5+[26]FormattedData!E14^2*$J$6+$M$5*$J$7</f>
        <v>33.27498990998906</v>
      </c>
      <c r="M17" s="6">
        <f>$J$3+[26]FormattedData!F14*$J$4+$M$4*$J$5+[26]FormattedData!F14^2*$J$6+$M$5*$J$7</f>
        <v>33.94499380747817</v>
      </c>
      <c r="N17" s="6">
        <f>$J$3+[26]FormattedData!G14*$J$4+$M$4*$J$5+[26]FormattedData!G14^2*$J$6+$M$5*$J$7</f>
        <v>33.658102891210426</v>
      </c>
      <c r="O17" s="6">
        <f>$J$3+[26]FormattedData!H14*$J$4+$M$4*$J$5+[26]FormattedData!H14^2*$J$6+$M$5*$J$7</f>
        <v>34.231504306904526</v>
      </c>
      <c r="P17" s="6">
        <f>$J$3+[26]FormattedData!I14*$J$4+$M$4*$J$5+[26]FormattedData!I14^2*$J$6+$M$5*$J$7</f>
        <v>32.795147641358909</v>
      </c>
      <c r="Q17" s="6">
        <f>$J$3+[26]FormattedData!J14*$J$4+$M$4*$J$5+[26]FormattedData!J14^2*$J$6+$M$5*$J$7</f>
        <v>33.370831558101301</v>
      </c>
      <c r="R17" s="6">
        <f>$J$3+[26]FormattedData!K14*$J$4+$M$4*$J$5+[26]FormattedData!K14^2*$J$6+$M$5*$J$7</f>
        <v>33.658102891210426</v>
      </c>
      <c r="S17" s="6">
        <f>$J$3+[26]FormattedData!L14*$J$4+$M$4*$J$5+[26]FormattedData!L14^2*$J$6+$M$5*$J$7</f>
        <v>33.466630937675603</v>
      </c>
      <c r="T17" s="6">
        <f>$J$3+[26]FormattedData!M14*$J$4+$M$4*$J$5+[26]FormattedData!M14^2*$J$6+$M$5*$J$7</f>
        <v>31.542612323982574</v>
      </c>
      <c r="U17" s="6">
        <f>$J$3+[26]FormattedData!N14*$J$4+$M$4*$J$5+[26]FormattedData!N14^2*$J$6+$M$5*$J$7</f>
        <v>32.217942057250994</v>
      </c>
      <c r="V17" s="6">
        <f>$J$3+[26]FormattedData!O14*$J$4+$M$4*$J$5+[26]FormattedData!O14^2*$J$6+$M$5*$J$7</f>
        <v>32.12159318668359</v>
      </c>
      <c r="W17" s="5">
        <f t="shared" si="0"/>
        <v>33.121796458765367</v>
      </c>
      <c r="X17" s="4">
        <f t="shared" si="1"/>
        <v>0.23208406625737243</v>
      </c>
      <c r="Y17" s="3">
        <f t="shared" si="2"/>
        <v>31.542612323982574</v>
      </c>
      <c r="Z17" s="2">
        <f t="shared" si="3"/>
        <v>32.650846245331934</v>
      </c>
      <c r="AA17" s="3">
        <f t="shared" si="4"/>
        <v>33.32291073404518</v>
      </c>
      <c r="AB17" s="2">
        <f t="shared" si="5"/>
        <v>33.658102891210426</v>
      </c>
      <c r="AC17" s="2">
        <f t="shared" si="6"/>
        <v>34.231504306904526</v>
      </c>
      <c r="AD17" s="2">
        <f t="shared" si="7"/>
        <v>-0.7177478532159115</v>
      </c>
      <c r="AE17" s="2">
        <f t="shared" si="8"/>
        <v>-0.2395130815051405</v>
      </c>
    </row>
    <row r="18" spans="2:31" x14ac:dyDescent="0.2">
      <c r="B18" s="1">
        <f>[26]FormattedData!A30</f>
        <v>201</v>
      </c>
      <c r="C18" s="1" t="str">
        <f>VLOOKUP($B18,[26]TrtCodes!$B$11:I73,2)</f>
        <v>NDL</v>
      </c>
      <c r="D18" s="1">
        <f>VLOOKUP($B18,[26]TrtCodes!$B$11:J73,3)</f>
        <v>12</v>
      </c>
      <c r="E18" s="1">
        <f>VLOOKUP($B18,[26]TrtCodes!$B$11:K73,4)</f>
        <v>2</v>
      </c>
      <c r="F18" s="1">
        <f>VLOOKUP($B18,[26]TrtCodes!$B$11:L73,5)</f>
        <v>3</v>
      </c>
      <c r="G18" s="1">
        <f>VLOOKUP($B18,[26]TrtCodes!$B$11:M73,6)</f>
        <v>1</v>
      </c>
      <c r="H18" s="1">
        <f>VLOOKUP($B18,[26]TrtCodes!$B$11:N73,7)</f>
        <v>1</v>
      </c>
      <c r="I18" s="1">
        <f>[26]FormattedData!B30</f>
        <v>1</v>
      </c>
      <c r="J18" s="4">
        <f>[26]FormattedData!C30</f>
        <v>13.005000000000001</v>
      </c>
      <c r="K18" s="6">
        <f>$J$3+[26]FormattedData!D30*$J$4+$M$4*$J$5+[26]FormattedData!D30^2*$J$6+$M$5*$J$7</f>
        <v>32.602914854141332</v>
      </c>
      <c r="L18" s="6">
        <f>$J$3+[26]FormattedData!E30*$J$4+$M$4*$J$5+[26]FormattedData!E30^2*$J$6+$M$5*$J$7</f>
        <v>32.025202047578247</v>
      </c>
      <c r="M18" s="6">
        <f>$J$3+[26]FormattedData!F30*$J$4+$M$4*$J$5+[26]FormattedData!F30^2*$J$6+$M$5*$J$7</f>
        <v>32.217942057250994</v>
      </c>
      <c r="N18" s="6">
        <f>$J$3+[26]FormattedData!G30*$J$4+$M$4*$J$5+[26]FormattedData!G30^2*$J$6+$M$5*$J$7</f>
        <v>32.217942057250994</v>
      </c>
      <c r="O18" s="6">
        <f>$J$3+[26]FormattedData!H30*$J$4+$M$4*$J$5+[26]FormattedData!H30^2*$J$6+$M$5*$J$7</f>
        <v>32.506735057725649</v>
      </c>
      <c r="P18" s="6">
        <f>$J$3+[26]FormattedData!I30*$J$4+$M$4*$J$5+[26]FormattedData!I30^2*$J$6+$M$5*$J$7</f>
        <v>32.217942057250994</v>
      </c>
      <c r="Q18" s="6">
        <f>$J$3+[26]FormattedData!J30*$J$4+$M$4*$J$5+[26]FormattedData!J30^2*$J$6+$M$5*$J$7</f>
        <v>33.179105993338894</v>
      </c>
      <c r="R18" s="6">
        <f>$J$3+[26]FormattedData!K30*$J$4+$M$4*$J$5+[26]FormattedData!K30^2*$J$6+$M$5*$J$7</f>
        <v>34.136043075633673</v>
      </c>
      <c r="S18" s="6">
        <f>$J$3+[26]FormattedData!L30*$J$4+$M$4*$J$5+[26]FormattedData!L30^2*$J$6+$M$5*$J$7</f>
        <v>34.04053957582488</v>
      </c>
      <c r="T18" s="6">
        <f>$J$3+[26]FormattedData!M30*$J$4+$M$4*$J$5+[26]FormattedData!M30^2*$J$6+$M$5*$J$7</f>
        <v>32.217942057250994</v>
      </c>
      <c r="U18" s="6">
        <f>$J$3+[26]FormattedData!N30*$J$4+$M$4*$J$5+[26]FormattedData!N30^2*$J$6+$M$5*$J$7</f>
        <v>31.928768639934979</v>
      </c>
      <c r="V18" s="6">
        <f>$J$3+[26]FormattedData!O30*$J$4+$M$4*$J$5+[26]FormattedData!O30^2*$J$6+$M$5*$J$7</f>
        <v>32.410512992772034</v>
      </c>
      <c r="W18" s="5">
        <f t="shared" si="0"/>
        <v>32.641799205496135</v>
      </c>
      <c r="X18" s="4">
        <f t="shared" si="1"/>
        <v>0.21599680397700941</v>
      </c>
      <c r="Y18" s="3">
        <f t="shared" si="2"/>
        <v>31.928768639934979</v>
      </c>
      <c r="Z18" s="2">
        <f t="shared" si="3"/>
        <v>32.217942057250994</v>
      </c>
      <c r="AA18" s="3">
        <f t="shared" si="4"/>
        <v>32.314227525011518</v>
      </c>
      <c r="AB18" s="2">
        <f t="shared" si="5"/>
        <v>32.746962638940722</v>
      </c>
      <c r="AC18" s="2">
        <f t="shared" si="6"/>
        <v>34.136043075633673</v>
      </c>
      <c r="AD18" s="2">
        <f t="shared" si="7"/>
        <v>1.3832451608267378</v>
      </c>
      <c r="AE18" s="2">
        <f t="shared" si="8"/>
        <v>0.70829974414377261</v>
      </c>
    </row>
    <row r="19" spans="2:31" x14ac:dyDescent="0.2">
      <c r="B19" s="1">
        <f>[26]FormattedData!A32</f>
        <v>202</v>
      </c>
      <c r="C19" s="1" t="str">
        <f>VLOOKUP($B19,[26]TrtCodes!$B$11:I75,2)</f>
        <v>NTH</v>
      </c>
      <c r="D19" s="1">
        <f>VLOOKUP($B19,[26]TrtCodes!$B$11:J75,3)</f>
        <v>9</v>
      </c>
      <c r="E19" s="1">
        <f>VLOOKUP($B19,[26]TrtCodes!$B$11:K75,4)</f>
        <v>2</v>
      </c>
      <c r="F19" s="1">
        <f>VLOOKUP($B19,[26]TrtCodes!$B$11:L75,5)</f>
        <v>2</v>
      </c>
      <c r="G19" s="1">
        <f>VLOOKUP($B19,[26]TrtCodes!$B$11:M75,6)</f>
        <v>2</v>
      </c>
      <c r="H19" s="1">
        <f>VLOOKUP($B19,[26]TrtCodes!$B$11:N75,7)</f>
        <v>1</v>
      </c>
      <c r="I19" s="1">
        <f>[26]FormattedData!B32</f>
        <v>1</v>
      </c>
      <c r="J19" s="4">
        <f>[26]FormattedData!C32</f>
        <v>13.022</v>
      </c>
      <c r="K19" s="6">
        <f>$J$3+[26]FormattedData!D32*$J$4+$M$4*$J$5+[26]FormattedData!D32^2*$J$6+$M$5*$J$7</f>
        <v>32.12159318668359</v>
      </c>
      <c r="L19" s="6">
        <f>$J$3+[26]FormattedData!E32*$J$4+$M$4*$J$5+[26]FormattedData!E32^2*$J$6+$M$5*$J$7</f>
        <v>32.410512992772034</v>
      </c>
      <c r="M19" s="6">
        <f>$J$3+[26]FormattedData!F32*$J$4+$M$4*$J$5+[26]FormattedData!F32^2*$J$6+$M$5*$J$7</f>
        <v>31.445967573649643</v>
      </c>
      <c r="N19" s="6">
        <f>$J$3+[26]FormattedData!G32*$J$4+$M$4*$J$5+[26]FormattedData!G32^2*$J$6+$M$5*$J$7</f>
        <v>31.445967573649643</v>
      </c>
      <c r="O19" s="6">
        <f>$J$3+[26]FormattedData!H32*$J$4+$M$4*$J$5+[26]FormattedData!H32^2*$J$6+$M$5*$J$7</f>
        <v>31.735775019034634</v>
      </c>
      <c r="P19" s="6">
        <f>$J$3+[26]FormattedData!I32*$J$4+$M$4*$J$5+[26]FormattedData!I32^2*$J$6+$M$5*$J$7</f>
        <v>30.477195300734145</v>
      </c>
      <c r="Q19" s="6">
        <f>$J$3+[26]FormattedData!J32*$J$4+$M$4*$J$5+[26]FormattedData!J32^2*$J$6+$M$5*$J$7</f>
        <v>30.865211432355519</v>
      </c>
      <c r="R19" s="6">
        <f>$J$3+[26]FormattedData!K32*$J$4+$M$4*$J$5+[26]FormattedData!K32^2*$J$6+$M$5*$J$7</f>
        <v>30.477195300734145</v>
      </c>
      <c r="S19" s="6">
        <f>$J$3+[26]FormattedData!L32*$J$4+$M$4*$J$5+[26]FormattedData!L32^2*$J$6+$M$5*$J$7</f>
        <v>30.282933623695868</v>
      </c>
      <c r="T19" s="6">
        <f>$J$3+[26]FormattedData!M32*$J$4+$M$4*$J$5+[26]FormattedData!M32^2*$J$6+$M$5*$J$7</f>
        <v>30.768270802257071</v>
      </c>
      <c r="U19" s="6">
        <f>$J$3+[26]FormattedData!N32*$J$4+$M$4*$J$5+[26]FormattedData!N32^2*$J$6+$M$5*$J$7</f>
        <v>29.893903047164155</v>
      </c>
      <c r="V19" s="6">
        <f>$J$3+[26]FormattedData!O32*$J$4+$M$4*$J$5+[26]FormattedData!O32^2*$J$6+$M$5*$J$7</f>
        <v>30.671287903620694</v>
      </c>
      <c r="W19" s="5">
        <f t="shared" si="0"/>
        <v>31.049651146362589</v>
      </c>
      <c r="X19" s="4">
        <f t="shared" si="1"/>
        <v>0.2239669307453595</v>
      </c>
      <c r="Y19" s="3">
        <f t="shared" si="2"/>
        <v>29.893903047164155</v>
      </c>
      <c r="Z19" s="2">
        <f t="shared" si="3"/>
        <v>30.477195300734145</v>
      </c>
      <c r="AA19" s="3">
        <f t="shared" si="4"/>
        <v>30.816741117306293</v>
      </c>
      <c r="AB19" s="2">
        <f t="shared" si="5"/>
        <v>31.518419434995891</v>
      </c>
      <c r="AC19" s="2">
        <f t="shared" si="6"/>
        <v>32.410512992772034</v>
      </c>
      <c r="AD19" s="2">
        <f t="shared" si="7"/>
        <v>0.40810117348347325</v>
      </c>
      <c r="AE19" s="2">
        <f t="shared" si="8"/>
        <v>-0.81788014616565397</v>
      </c>
    </row>
    <row r="20" spans="2:31" x14ac:dyDescent="0.2">
      <c r="B20" s="1">
        <f>[26]FormattedData!A34</f>
        <v>203</v>
      </c>
      <c r="C20" s="1" t="str">
        <f>VLOOKUP($B20,[26]TrtCodes!$B$11:I77,2)</f>
        <v>FTH</v>
      </c>
      <c r="D20" s="1">
        <f>VLOOKUP($B20,[26]TrtCodes!$B$11:J77,3)</f>
        <v>3</v>
      </c>
      <c r="E20" s="1">
        <f>VLOOKUP($B20,[26]TrtCodes!$B$11:K77,4)</f>
        <v>1</v>
      </c>
      <c r="F20" s="1">
        <f>VLOOKUP($B20,[26]TrtCodes!$B$11:L77,5)</f>
        <v>2</v>
      </c>
      <c r="G20" s="1">
        <f>VLOOKUP($B20,[26]TrtCodes!$B$11:M77,6)</f>
        <v>2</v>
      </c>
      <c r="H20" s="1">
        <f>VLOOKUP($B20,[26]TrtCodes!$B$11:N77,7)</f>
        <v>1</v>
      </c>
      <c r="I20" s="1">
        <f>[26]FormattedData!B34</f>
        <v>1</v>
      </c>
      <c r="J20" s="4">
        <f>[26]FormattedData!C34</f>
        <v>13.037000000000001</v>
      </c>
      <c r="K20" s="6">
        <f>$J$3+[26]FormattedData!D34*$J$4+$M$4*$J$5+[26]FormattedData!D34^2*$J$6+$M$5*$J$7</f>
        <v>30.08850287250587</v>
      </c>
      <c r="L20" s="6">
        <f>$J$3+[26]FormattedData!E34*$J$4+$M$4*$J$5+[26]FormattedData!E34^2*$J$6+$M$5*$J$7</f>
        <v>30.671287903620694</v>
      </c>
      <c r="M20" s="6">
        <f>$J$3+[26]FormattedData!F34*$J$4+$M$4*$J$5+[26]FormattedData!F34^2*$J$6+$M$5*$J$7</f>
        <v>30.574262736446382</v>
      </c>
      <c r="N20" s="6">
        <f>$J$3+[26]FormattedData!G34*$J$4+$M$4*$J$5+[26]FormattedData!G34^2*$J$6+$M$5*$J$7</f>
        <v>30.477195300734145</v>
      </c>
      <c r="O20" s="6">
        <f>$J$3+[26]FormattedData!H34*$J$4+$M$4*$J$5+[26]FormattedData!H34^2*$J$6+$M$5*$J$7</f>
        <v>30.380085596483976</v>
      </c>
      <c r="P20" s="6">
        <f>$J$3+[26]FormattedData!I34*$J$4+$M$4*$J$5+[26]FormattedData!I34^2*$J$6+$M$5*$J$7</f>
        <v>30.282933623695868</v>
      </c>
      <c r="Q20" s="6">
        <f>$J$3+[26]FormattedData!J34*$J$4+$M$4*$J$5+[26]FormattedData!J34^2*$J$6+$M$5*$J$7</f>
        <v>30.185739382369839</v>
      </c>
      <c r="R20" s="6">
        <f>$J$3+[26]FormattedData!K34*$J$4+$M$4*$J$5+[26]FormattedData!K34^2*$J$6+$M$5*$J$7</f>
        <v>30.671287903620694</v>
      </c>
      <c r="S20" s="6">
        <f>$J$3+[26]FormattedData!L34*$J$4+$M$4*$J$5+[26]FormattedData!L34^2*$J$6+$M$5*$J$7</f>
        <v>30.477195300734145</v>
      </c>
      <c r="T20" s="6">
        <f>$J$3+[26]FormattedData!M34*$J$4+$M$4*$J$5+[26]FormattedData!M34^2*$J$6+$M$5*$J$7</f>
        <v>30.380085596483976</v>
      </c>
      <c r="U20" s="6">
        <f>$J$3+[26]FormattedData!N34*$J$4+$M$4*$J$5+[26]FormattedData!N34^2*$J$6+$M$5*$J$7</f>
        <v>30.865211432355519</v>
      </c>
      <c r="V20" s="6">
        <f>$J$3+[26]FormattedData!O34*$J$4+$M$4*$J$5+[26]FormattedData!O34^2*$J$6+$M$5*$J$7</f>
        <v>30.380085596483976</v>
      </c>
      <c r="W20" s="5">
        <f t="shared" si="0"/>
        <v>30.452822770461257</v>
      </c>
      <c r="X20" s="4">
        <f t="shared" si="1"/>
        <v>6.3380230579550667E-2</v>
      </c>
      <c r="Y20" s="3">
        <f t="shared" si="2"/>
        <v>30.08850287250587</v>
      </c>
      <c r="Z20" s="2">
        <f t="shared" si="3"/>
        <v>30.355797603286948</v>
      </c>
      <c r="AA20" s="3">
        <f t="shared" si="4"/>
        <v>30.428640448609059</v>
      </c>
      <c r="AB20" s="2">
        <f t="shared" si="5"/>
        <v>30.598519028239959</v>
      </c>
      <c r="AC20" s="2">
        <f t="shared" si="6"/>
        <v>30.865211432355519</v>
      </c>
      <c r="AD20" s="2">
        <f t="shared" si="7"/>
        <v>0.19935021578865722</v>
      </c>
      <c r="AE20" s="2">
        <f t="shared" si="8"/>
        <v>-0.14641887470570847</v>
      </c>
    </row>
    <row r="21" spans="2:31" x14ac:dyDescent="0.2">
      <c r="B21" s="1">
        <f>[26]FormattedData!A36</f>
        <v>204</v>
      </c>
      <c r="C21" s="1" t="str">
        <f>VLOOKUP($B21,[26]TrtCodes!$B$11:I79,2)</f>
        <v>NDH</v>
      </c>
      <c r="D21" s="1">
        <f>VLOOKUP($B21,[26]TrtCodes!$B$11:J79,3)</f>
        <v>11</v>
      </c>
      <c r="E21" s="1">
        <f>VLOOKUP($B21,[26]TrtCodes!$B$11:K79,4)</f>
        <v>2</v>
      </c>
      <c r="F21" s="1">
        <f>VLOOKUP($B21,[26]TrtCodes!$B$11:L79,5)</f>
        <v>3</v>
      </c>
      <c r="G21" s="1">
        <f>VLOOKUP($B21,[26]TrtCodes!$B$11:M79,6)</f>
        <v>2</v>
      </c>
      <c r="H21" s="1">
        <f>VLOOKUP($B21,[26]TrtCodes!$B$11:N79,7)</f>
        <v>1</v>
      </c>
      <c r="I21" s="1">
        <f>[26]FormattedData!B36</f>
        <v>1</v>
      </c>
      <c r="J21" s="4">
        <f>[26]FormattedData!C36</f>
        <v>13.051</v>
      </c>
      <c r="K21" s="6">
        <f>$J$3+[26]FormattedData!D36*$J$4+$M$4*$J$5+[26]FormattedData!D36^2*$J$6+$M$5*$J$7</f>
        <v>30.865211432355519</v>
      </c>
      <c r="L21" s="6">
        <f>$J$3+[26]FormattedData!E36*$J$4+$M$4*$J$5+[26]FormattedData!E36^2*$J$6+$M$5*$J$7</f>
        <v>30.671287903620694</v>
      </c>
      <c r="M21" s="6">
        <f>$J$3+[26]FormattedData!F36*$J$4+$M$4*$J$5+[26]FormattedData!F36^2*$J$6+$M$5*$J$7</f>
        <v>32.217942057250994</v>
      </c>
      <c r="N21" s="6">
        <f>$J$3+[26]FormattedData!G36*$J$4+$M$4*$J$5+[26]FormattedData!G36^2*$J$6+$M$5*$J$7</f>
        <v>29.504196174025534</v>
      </c>
      <c r="O21" s="6">
        <f>$J$3+[26]FormattedData!H36*$J$4+$M$4*$J$5+[26]FormattedData!H36^2*$J$6+$M$5*$J$7</f>
        <v>29.893903047164155</v>
      </c>
      <c r="P21" s="6">
        <f>$J$3+[26]FormattedData!I36*$J$4+$M$4*$J$5+[26]FormattedData!I36^2*$J$6+$M$5*$J$7</f>
        <v>29.60168629511708</v>
      </c>
      <c r="Q21" s="6">
        <f>$J$3+[26]FormattedData!J36*$J$4+$M$4*$J$5+[26]FormattedData!J36^2*$J$6+$M$5*$J$7</f>
        <v>30.768270802257071</v>
      </c>
      <c r="R21" s="6">
        <f>$J$3+[26]FormattedData!K36*$J$4+$M$4*$J$5+[26]FormattedData!K36^2*$J$6+$M$5*$J$7</f>
        <v>29.406663784396049</v>
      </c>
      <c r="S21" s="6">
        <f>$J$3+[26]FormattedData!L36*$J$4+$M$4*$J$5+[26]FormattedData!L36^2*$J$6+$M$5*$J$7</f>
        <v>29.699134147670705</v>
      </c>
      <c r="T21" s="6">
        <f>$J$3+[26]FormattedData!M36*$J$4+$M$4*$J$5+[26]FormattedData!M36^2*$J$6+$M$5*$J$7</f>
        <v>30.282933623695868</v>
      </c>
      <c r="U21" s="6">
        <f>$J$3+[26]FormattedData!N36*$J$4+$M$4*$J$5+[26]FormattedData!N36^2*$J$6+$M$5*$J$7</f>
        <v>30.671287903620694</v>
      </c>
      <c r="V21" s="6">
        <f>$J$3+[26]FormattedData!O36*$J$4+$M$4*$J$5+[26]FormattedData!O36^2*$J$6+$M$5*$J$7</f>
        <v>30.08850287250587</v>
      </c>
      <c r="W21" s="5">
        <f t="shared" si="0"/>
        <v>30.305918336973349</v>
      </c>
      <c r="X21" s="4">
        <f t="shared" si="1"/>
        <v>0.22999513325537244</v>
      </c>
      <c r="Y21" s="3">
        <f t="shared" si="2"/>
        <v>29.406663784396049</v>
      </c>
      <c r="Z21" s="2">
        <f t="shared" si="3"/>
        <v>29.674772184532298</v>
      </c>
      <c r="AA21" s="3">
        <f t="shared" si="4"/>
        <v>30.185718248100869</v>
      </c>
      <c r="AB21" s="2">
        <f t="shared" si="5"/>
        <v>30.69553362827979</v>
      </c>
      <c r="AC21" s="2">
        <f t="shared" si="6"/>
        <v>32.217942057250994</v>
      </c>
      <c r="AD21" s="2">
        <f t="shared" si="7"/>
        <v>1.1790400871474509</v>
      </c>
      <c r="AE21" s="2">
        <f t="shared" si="8"/>
        <v>1.842055844382573</v>
      </c>
    </row>
    <row r="22" spans="2:31" x14ac:dyDescent="0.2">
      <c r="B22" s="1">
        <f>[26]FormattedData!A38</f>
        <v>205</v>
      </c>
      <c r="C22" s="1" t="str">
        <f>VLOOKUP($B22,[26]TrtCodes!$B$11:I81,2)</f>
        <v>FSH</v>
      </c>
      <c r="D22" s="1">
        <f>VLOOKUP($B22,[26]TrtCodes!$B$11:J81,3)</f>
        <v>1</v>
      </c>
      <c r="E22" s="1">
        <f>VLOOKUP($B22,[26]TrtCodes!$B$11:K81,4)</f>
        <v>1</v>
      </c>
      <c r="F22" s="1">
        <f>VLOOKUP($B22,[26]TrtCodes!$B$11:L81,5)</f>
        <v>1</v>
      </c>
      <c r="G22" s="1">
        <f>VLOOKUP($B22,[26]TrtCodes!$B$11:M81,6)</f>
        <v>2</v>
      </c>
      <c r="H22" s="1">
        <f>VLOOKUP($B22,[26]TrtCodes!$B$11:N81,7)</f>
        <v>2</v>
      </c>
      <c r="I22" s="1">
        <f>[26]FormattedData!B38</f>
        <v>1</v>
      </c>
      <c r="J22" s="4">
        <f>[26]FormattedData!C38</f>
        <v>13.067</v>
      </c>
      <c r="K22" s="6">
        <f>$J$3+[26]FormattedData!D38*$J$4+$M$4*$J$5+[26]FormattedData!D38^2*$J$6+$M$5*$J$7</f>
        <v>30.477195300734145</v>
      </c>
      <c r="L22" s="6">
        <f>$J$3+[26]FormattedData!E38*$J$4+$M$4*$J$5+[26]FormattedData!E38^2*$J$6+$M$5*$J$7</f>
        <v>30.671287903620694</v>
      </c>
      <c r="M22" s="6">
        <f>$J$3+[26]FormattedData!F38*$J$4+$M$4*$J$5+[26]FormattedData!F38^2*$J$6+$M$5*$J$7</f>
        <v>30.185739382369839</v>
      </c>
      <c r="N22" s="6">
        <f>$J$3+[26]FormattedData!G38*$J$4+$M$4*$J$5+[26]FormattedData!G38^2*$J$6+$M$5*$J$7</f>
        <v>30.282933623695868</v>
      </c>
      <c r="O22" s="6">
        <f>$J$3+[26]FormattedData!H38*$J$4+$M$4*$J$5+[26]FormattedData!H38^2*$J$6+$M$5*$J$7</f>
        <v>30.477195300734145</v>
      </c>
      <c r="P22" s="6">
        <f>$J$3+[26]FormattedData!I38*$J$4+$M$4*$J$5+[26]FormattedData!I38^2*$J$6+$M$5*$J$7</f>
        <v>30.768270802257071</v>
      </c>
      <c r="Q22" s="6">
        <f>$J$3+[26]FormattedData!J38*$J$4+$M$4*$J$5+[26]FormattedData!J38^2*$J$6+$M$5*$J$7</f>
        <v>31.349280554778787</v>
      </c>
      <c r="R22" s="6">
        <f>$J$3+[26]FormattedData!K38*$J$4+$M$4*$J$5+[26]FormattedData!K38^2*$J$6+$M$5*$J$7</f>
        <v>30.962109793916031</v>
      </c>
      <c r="S22" s="6">
        <f>$J$3+[26]FormattedData!L38*$J$4+$M$4*$J$5+[26]FormattedData!L38^2*$J$6+$M$5*$J$7</f>
        <v>31.252551267369988</v>
      </c>
      <c r="T22" s="6">
        <f>$J$3+[26]FormattedData!M38*$J$4+$M$4*$J$5+[26]FormattedData!M38^2*$J$6+$M$5*$J$7</f>
        <v>30.671287903620694</v>
      </c>
      <c r="U22" s="6">
        <f>$J$3+[26]FormattedData!N38*$J$4+$M$4*$J$5+[26]FormattedData!N38^2*$J$6+$M$5*$J$7</f>
        <v>31.252551267369988</v>
      </c>
      <c r="V22" s="6">
        <f>$J$3+[26]FormattedData!O38*$J$4+$M$4*$J$5+[26]FormattedData!O38^2*$J$6+$M$5*$J$7</f>
        <v>31.349280554778787</v>
      </c>
      <c r="W22" s="5">
        <f t="shared" si="0"/>
        <v>30.808306971270497</v>
      </c>
      <c r="X22" s="4">
        <f t="shared" si="1"/>
        <v>0.12078326795764747</v>
      </c>
      <c r="Y22" s="3">
        <f t="shared" si="2"/>
        <v>30.185739382369839</v>
      </c>
      <c r="Z22" s="2">
        <f t="shared" si="3"/>
        <v>30.477195300734145</v>
      </c>
      <c r="AA22" s="3">
        <f t="shared" si="4"/>
        <v>30.719779352938883</v>
      </c>
      <c r="AB22" s="2">
        <f t="shared" si="5"/>
        <v>31.252551267369988</v>
      </c>
      <c r="AC22" s="2">
        <f t="shared" si="6"/>
        <v>31.349280554778787</v>
      </c>
      <c r="AD22" s="2">
        <f t="shared" si="7"/>
        <v>4.6904756859739494E-2</v>
      </c>
      <c r="AE22" s="2">
        <f t="shared" si="8"/>
        <v>-1.4578670520400214</v>
      </c>
    </row>
    <row r="23" spans="2:31" x14ac:dyDescent="0.2">
      <c r="B23" s="1">
        <f>[26]FormattedData!A40</f>
        <v>206</v>
      </c>
      <c r="C23" s="1" t="str">
        <f>VLOOKUP($B23,[26]TrtCodes!$B$11:I83,2)</f>
        <v>NSL</v>
      </c>
      <c r="D23" s="1">
        <f>VLOOKUP($B23,[26]TrtCodes!$B$11:J83,3)</f>
        <v>8</v>
      </c>
      <c r="E23" s="1">
        <f>VLOOKUP($B23,[26]TrtCodes!$B$11:K83,4)</f>
        <v>2</v>
      </c>
      <c r="F23" s="1">
        <f>VLOOKUP($B23,[26]TrtCodes!$B$11:L83,5)</f>
        <v>1</v>
      </c>
      <c r="G23" s="1">
        <f>VLOOKUP($B23,[26]TrtCodes!$B$11:M83,6)</f>
        <v>1</v>
      </c>
      <c r="H23" s="1">
        <f>VLOOKUP($B23,[26]TrtCodes!$B$11:N83,7)</f>
        <v>2</v>
      </c>
      <c r="I23" s="1">
        <f>[26]FormattedData!B40</f>
        <v>1</v>
      </c>
      <c r="J23" s="4">
        <f>[26]FormattedData!C40</f>
        <v>13.083</v>
      </c>
      <c r="K23" s="6">
        <f>$J$3+[26]FormattedData!D40*$J$4+$M$4*$J$5+[26]FormattedData!D40^2*$J$6+$M$5*$J$7</f>
        <v>30.08850287250587</v>
      </c>
      <c r="L23" s="6">
        <f>$J$3+[26]FormattedData!E40*$J$4+$M$4*$J$5+[26]FormattedData!E40^2*$J$6+$M$5*$J$7</f>
        <v>30.08850287250587</v>
      </c>
      <c r="M23" s="6">
        <f>$J$3+[26]FormattedData!F40*$J$4+$M$4*$J$5+[26]FormattedData!F40^2*$J$6+$M$5*$J$7</f>
        <v>30.282933623695868</v>
      </c>
      <c r="N23" s="6">
        <f>$J$3+[26]FormattedData!G40*$J$4+$M$4*$J$5+[26]FormattedData!G40^2*$J$6+$M$5*$J$7</f>
        <v>31.155779711423271</v>
      </c>
      <c r="O23" s="6">
        <f>$J$3+[26]FormattedData!H40*$J$4+$M$4*$J$5+[26]FormattedData!H40^2*$J$6+$M$5*$J$7</f>
        <v>32.025202047578247</v>
      </c>
      <c r="P23" s="6">
        <f>$J$3+[26]FormattedData!I40*$J$4+$M$4*$J$5+[26]FormattedData!I40^2*$J$6+$M$5*$J$7</f>
        <v>30.282933623695868</v>
      </c>
      <c r="Q23" s="6">
        <f>$J$3+[26]FormattedData!J40*$J$4+$M$4*$J$5+[26]FormattedData!J40^2*$J$6+$M$5*$J$7</f>
        <v>30.671287903620694</v>
      </c>
      <c r="R23" s="6">
        <f>$J$3+[26]FormattedData!K40*$J$4+$M$4*$J$5+[26]FormattedData!K40^2*$J$6+$M$5*$J$7</f>
        <v>30.574262736446382</v>
      </c>
      <c r="S23" s="6">
        <f>$J$3+[26]FormattedData!L40*$J$4+$M$4*$J$5+[26]FormattedData!L40^2*$J$6+$M$5*$J$7</f>
        <v>30.380085596483976</v>
      </c>
      <c r="T23" s="6">
        <f>$J$3+[26]FormattedData!M40*$J$4+$M$4*$J$5+[26]FormattedData!M40^2*$J$6+$M$5*$J$7</f>
        <v>31.349280554778787</v>
      </c>
      <c r="U23" s="6">
        <f>$J$3+[26]FormattedData!N40*$J$4+$M$4*$J$5+[26]FormattedData!N40^2*$J$6+$M$5*$J$7</f>
        <v>31.349280554778787</v>
      </c>
      <c r="V23" s="6">
        <f>$J$3+[26]FormattedData!O40*$J$4+$M$4*$J$5+[26]FormattedData!O40^2*$J$6+$M$5*$J$7</f>
        <v>30.282933623695868</v>
      </c>
      <c r="W23" s="5">
        <f t="shared" si="0"/>
        <v>30.710915476767457</v>
      </c>
      <c r="X23" s="4">
        <f t="shared" si="1"/>
        <v>0.17825471961070052</v>
      </c>
      <c r="Y23" s="3">
        <f t="shared" si="2"/>
        <v>30.08850287250587</v>
      </c>
      <c r="Z23" s="2">
        <f t="shared" si="3"/>
        <v>30.282933623695868</v>
      </c>
      <c r="AA23" s="3">
        <f t="shared" si="4"/>
        <v>30.477174166465179</v>
      </c>
      <c r="AB23" s="2">
        <f t="shared" si="5"/>
        <v>31.204154922262148</v>
      </c>
      <c r="AC23" s="2">
        <f t="shared" si="6"/>
        <v>32.025202047578247</v>
      </c>
      <c r="AD23" s="2">
        <f t="shared" si="7"/>
        <v>0.98333670868476775</v>
      </c>
      <c r="AE23" s="2">
        <f t="shared" si="8"/>
        <v>5.0732813677487165E-2</v>
      </c>
    </row>
    <row r="24" spans="2:31" x14ac:dyDescent="0.2">
      <c r="B24" s="1">
        <f>[26]FormattedData!A42</f>
        <v>207</v>
      </c>
      <c r="C24" s="1" t="str">
        <f>VLOOKUP($B24,[26]TrtCodes!$B$11:I85,2)</f>
        <v>FTL</v>
      </c>
      <c r="D24" s="1">
        <f>VLOOKUP($B24,[26]TrtCodes!$B$11:J85,3)</f>
        <v>4</v>
      </c>
      <c r="E24" s="1">
        <f>VLOOKUP($B24,[26]TrtCodes!$B$11:K85,4)</f>
        <v>1</v>
      </c>
      <c r="F24" s="1">
        <f>VLOOKUP($B24,[26]TrtCodes!$B$11:L85,5)</f>
        <v>2</v>
      </c>
      <c r="G24" s="1">
        <f>VLOOKUP($B24,[26]TrtCodes!$B$11:M85,6)</f>
        <v>1</v>
      </c>
      <c r="H24" s="1">
        <f>VLOOKUP($B24,[26]TrtCodes!$B$11:N85,7)</f>
        <v>2</v>
      </c>
      <c r="I24" s="1">
        <f>[26]FormattedData!B42</f>
        <v>1</v>
      </c>
      <c r="J24" s="4">
        <f>[26]FormattedData!C42</f>
        <v>13.098000000000001</v>
      </c>
      <c r="K24" s="6">
        <f>$J$3+[26]FormattedData!D42*$J$4+$M$4*$J$5+[26]FormattedData!D42^2*$J$6+$M$5*$J$7</f>
        <v>30.574262736446382</v>
      </c>
      <c r="L24" s="6">
        <f>$J$3+[26]FormattedData!E42*$J$4+$M$4*$J$5+[26]FormattedData!E42^2*$J$6+$M$5*$J$7</f>
        <v>31.349280554778787</v>
      </c>
      <c r="M24" s="6">
        <f>$J$3+[26]FormattedData!F42*$J$4+$M$4*$J$5+[26]FormattedData!F42^2*$J$6+$M$5*$J$7</f>
        <v>31.832292963753773</v>
      </c>
      <c r="N24" s="6">
        <f>$J$3+[26]FormattedData!G42*$J$4+$M$4*$J$5+[26]FormattedData!G42^2*$J$6+$M$5*$J$7</f>
        <v>30.671287903620694</v>
      </c>
      <c r="O24" s="6">
        <f>$J$3+[26]FormattedData!H42*$J$4+$M$4*$J$5+[26]FormattedData!H42^2*$J$6+$M$5*$J$7</f>
        <v>30.477195300734145</v>
      </c>
      <c r="P24" s="6">
        <f>$J$3+[26]FormattedData!I42*$J$4+$M$4*$J$5+[26]FormattedData!I42^2*$J$6+$M$5*$J$7</f>
        <v>30.865211432355519</v>
      </c>
      <c r="Q24" s="6">
        <f>$J$3+[26]FormattedData!J42*$J$4+$M$4*$J$5+[26]FormattedData!J42^2*$J$6+$M$5*$J$7</f>
        <v>30.380085596483976</v>
      </c>
      <c r="R24" s="6">
        <f>$J$3+[26]FormattedData!K42*$J$4+$M$4*$J$5+[26]FormattedData!K42^2*$J$6+$M$5*$J$7</f>
        <v>30.08850287250587</v>
      </c>
      <c r="S24" s="6">
        <f>$J$3+[26]FormattedData!L42*$J$4+$M$4*$J$5+[26]FormattedData!L42^2*$J$6+$M$5*$J$7</f>
        <v>30.574262736446382</v>
      </c>
      <c r="T24" s="6">
        <f>$J$3+[26]FormattedData!M42*$J$4+$M$4*$J$5+[26]FormattedData!M42^2*$J$6+$M$5*$J$7</f>
        <v>31.155779711423271</v>
      </c>
      <c r="U24" s="6">
        <f>$J$3+[26]FormattedData!N42*$J$4+$M$4*$J$5+[26]FormattedData!N42^2*$J$6+$M$5*$J$7</f>
        <v>30.574262736446382</v>
      </c>
      <c r="V24" s="6">
        <f>$J$3+[26]FormattedData!O42*$J$4+$M$4*$J$5+[26]FormattedData!O42^2*$J$6+$M$5*$J$7</f>
        <v>30.962109793916031</v>
      </c>
      <c r="W24" s="5">
        <f t="shared" si="0"/>
        <v>30.792044528242602</v>
      </c>
      <c r="X24" s="4">
        <f t="shared" si="1"/>
        <v>0.13706577768848094</v>
      </c>
      <c r="Y24" s="3">
        <f t="shared" si="2"/>
        <v>30.08850287250587</v>
      </c>
      <c r="Z24" s="2">
        <f t="shared" si="3"/>
        <v>30.549995877518324</v>
      </c>
      <c r="AA24" s="3">
        <f t="shared" si="4"/>
        <v>30.62277532003354</v>
      </c>
      <c r="AB24" s="2">
        <f t="shared" si="5"/>
        <v>31.010527273292841</v>
      </c>
      <c r="AC24" s="2">
        <f t="shared" si="6"/>
        <v>31.832292963753773</v>
      </c>
      <c r="AD24" s="2">
        <f t="shared" si="7"/>
        <v>0.88667051082017667</v>
      </c>
      <c r="AE24" s="2">
        <f t="shared" si="8"/>
        <v>0.85390205748117864</v>
      </c>
    </row>
    <row r="25" spans="2:31" x14ac:dyDescent="0.2">
      <c r="B25" s="1">
        <f>[26]FormattedData!A44</f>
        <v>208</v>
      </c>
      <c r="C25" s="1" t="str">
        <f>VLOOKUP($B25,[26]TrtCodes!$B$11:I87,2)</f>
        <v>FSL</v>
      </c>
      <c r="D25" s="1">
        <f>VLOOKUP($B25,[26]TrtCodes!$B$11:J87,3)</f>
        <v>2</v>
      </c>
      <c r="E25" s="1">
        <f>VLOOKUP($B25,[26]TrtCodes!$B$11:K87,4)</f>
        <v>1</v>
      </c>
      <c r="F25" s="1">
        <f>VLOOKUP($B25,[26]TrtCodes!$B$11:L87,5)</f>
        <v>1</v>
      </c>
      <c r="G25" s="1">
        <f>VLOOKUP($B25,[26]TrtCodes!$B$11:M87,6)</f>
        <v>1</v>
      </c>
      <c r="H25" s="1">
        <f>VLOOKUP($B25,[26]TrtCodes!$B$11:N87,7)</f>
        <v>2</v>
      </c>
      <c r="I25" s="1">
        <f>[26]FormattedData!B44</f>
        <v>1</v>
      </c>
      <c r="J25" s="4">
        <f>[26]FormattedData!C44</f>
        <v>13.113</v>
      </c>
      <c r="K25" s="6">
        <f>$J$3+[26]FormattedData!D44*$J$4+$M$4*$J$5+[26]FormattedData!D44^2*$J$6+$M$5*$J$7</f>
        <v>32.31424865928048</v>
      </c>
      <c r="L25" s="6">
        <f>$J$3+[26]FormattedData!E44*$J$4+$M$4*$J$5+[26]FormattedData!E44^2*$J$6+$M$5*$J$7</f>
        <v>31.542612323982574</v>
      </c>
      <c r="M25" s="6">
        <f>$J$3+[26]FormattedData!F44*$J$4+$M$4*$J$5+[26]FormattedData!F44^2*$J$6+$M$5*$J$7</f>
        <v>30.282933623695868</v>
      </c>
      <c r="N25" s="6">
        <f>$J$3+[26]FormattedData!G44*$J$4+$M$4*$J$5+[26]FormattedData!G44^2*$J$6+$M$5*$J$7</f>
        <v>30.865211432355519</v>
      </c>
      <c r="O25" s="6">
        <f>$J$3+[26]FormattedData!H44*$J$4+$M$4*$J$5+[26]FormattedData!H44^2*$J$6+$M$5*$J$7</f>
        <v>30.865211432355519</v>
      </c>
      <c r="P25" s="6">
        <f>$J$3+[26]FormattedData!I44*$J$4+$M$4*$J$5+[26]FormattedData!I44^2*$J$6+$M$5*$J$7</f>
        <v>31.349280554778787</v>
      </c>
      <c r="Q25" s="6">
        <f>$J$3+[26]FormattedData!J44*$J$4+$M$4*$J$5+[26]FormattedData!J44^2*$J$6+$M$5*$J$7</f>
        <v>31.735775019034634</v>
      </c>
      <c r="R25" s="6">
        <f>$J$3+[26]FormattedData!K44*$J$4+$M$4*$J$5+[26]FormattedData!K44^2*$J$6+$M$5*$J$7</f>
        <v>31.63921480577757</v>
      </c>
      <c r="S25" s="6">
        <f>$J$3+[26]FormattedData!L44*$J$4+$M$4*$J$5+[26]FormattedData!L44^2*$J$6+$M$5*$J$7</f>
        <v>31.542612323982574</v>
      </c>
      <c r="T25" s="6">
        <f>$J$3+[26]FormattedData!M44*$J$4+$M$4*$J$5+[26]FormattedData!M44^2*$J$6+$M$5*$J$7</f>
        <v>31.735775019034634</v>
      </c>
      <c r="U25" s="6">
        <f>$J$3+[26]FormattedData!N44*$J$4+$M$4*$J$5+[26]FormattedData!N44^2*$J$6+$M$5*$J$7</f>
        <v>30.962109793916031</v>
      </c>
      <c r="V25" s="6">
        <f>$J$3+[26]FormattedData!O44*$J$4+$M$4*$J$5+[26]FormattedData!O44^2*$J$6+$M$5*$J$7</f>
        <v>30.185739382369839</v>
      </c>
      <c r="W25" s="5">
        <f t="shared" si="0"/>
        <v>31.251727030880335</v>
      </c>
      <c r="X25" s="4">
        <f t="shared" si="1"/>
        <v>0.1822420590203841</v>
      </c>
      <c r="Y25" s="3">
        <f t="shared" si="2"/>
        <v>30.185739382369839</v>
      </c>
      <c r="Z25" s="2">
        <f t="shared" si="3"/>
        <v>30.865211432355519</v>
      </c>
      <c r="AA25" s="3">
        <f t="shared" si="4"/>
        <v>31.44594643938068</v>
      </c>
      <c r="AB25" s="2">
        <f t="shared" si="5"/>
        <v>31.663354859091836</v>
      </c>
      <c r="AC25" s="2">
        <f t="shared" si="6"/>
        <v>32.31424865928048</v>
      </c>
      <c r="AD25" s="2">
        <f t="shared" si="7"/>
        <v>-0.31463537694712934</v>
      </c>
      <c r="AE25" s="2">
        <f t="shared" si="8"/>
        <v>-0.41722480330275413</v>
      </c>
    </row>
    <row r="26" spans="2:31" x14ac:dyDescent="0.2">
      <c r="B26" s="1">
        <f>[26]FormattedData!A62</f>
        <v>301</v>
      </c>
      <c r="C26" s="1" t="str">
        <f>VLOOKUP($B26,[26]TrtCodes!$B$11:I105,2)</f>
        <v>NTL</v>
      </c>
      <c r="D26" s="1">
        <f>VLOOKUP($B26,[26]TrtCodes!$B$11:J105,3)</f>
        <v>10</v>
      </c>
      <c r="E26" s="1">
        <f>VLOOKUP($B26,[26]TrtCodes!$B$11:K105,4)</f>
        <v>2</v>
      </c>
      <c r="F26" s="1">
        <f>VLOOKUP($B26,[26]TrtCodes!$B$11:L105,5)</f>
        <v>2</v>
      </c>
      <c r="G26" s="1">
        <f>VLOOKUP($B26,[26]TrtCodes!$B$11:M105,6)</f>
        <v>1</v>
      </c>
      <c r="H26" s="1">
        <f>VLOOKUP($B26,[26]TrtCodes!$B$11:N105,7)</f>
        <v>3</v>
      </c>
      <c r="I26" s="1">
        <f>[26]FormattedData!B62</f>
        <v>1</v>
      </c>
      <c r="J26" s="4">
        <f>[26]FormattedData!C62</f>
        <v>13.218999999999999</v>
      </c>
      <c r="K26" s="6">
        <f>$J$3+[26]FormattedData!D62*$J$4+$M$4*$J$5+[26]FormattedData!D62^2*$J$6+$M$5*$J$7</f>
        <v>31.445967573649643</v>
      </c>
      <c r="L26" s="6">
        <f>$J$3+[26]FormattedData!E62*$J$4+$M$4*$J$5+[26]FormattedData!E62^2*$J$6+$M$5*$J$7</f>
        <v>30.962109793916031</v>
      </c>
      <c r="M26" s="6">
        <f>$J$3+[26]FormattedData!F62*$J$4+$M$4*$J$5+[26]FormattedData!F62^2*$J$6+$M$5*$J$7</f>
        <v>31.155779711423271</v>
      </c>
      <c r="N26" s="6">
        <f>$J$3+[26]FormattedData!G62*$J$4+$M$4*$J$5+[26]FormattedData!G62^2*$J$6+$M$5*$J$7</f>
        <v>31.832292963753773</v>
      </c>
      <c r="O26" s="6">
        <f>$J$3+[26]FormattedData!H62*$J$4+$M$4*$J$5+[26]FormattedData!H62^2*$J$6+$M$5*$J$7</f>
        <v>30.380085596483976</v>
      </c>
      <c r="P26" s="6">
        <f>$J$3+[26]FormattedData!I62*$J$4+$M$4*$J$5+[26]FormattedData!I62^2*$J$6+$M$5*$J$7</f>
        <v>31.445967573649643</v>
      </c>
      <c r="Q26" s="6">
        <f>$J$3+[26]FormattedData!J62*$J$4+$M$4*$J$5+[26]FormattedData!J62^2*$J$6+$M$5*$J$7</f>
        <v>31.445967573649643</v>
      </c>
      <c r="R26" s="6">
        <f>$J$3+[26]FormattedData!K62*$J$4+$M$4*$J$5+[26]FormattedData!K62^2*$J$6+$M$5*$J$7</f>
        <v>31.155779711423271</v>
      </c>
      <c r="S26" s="6">
        <f>$J$3+[26]FormattedData!L62*$J$4+$M$4*$J$5+[26]FormattedData!L62^2*$J$6+$M$5*$J$7</f>
        <v>30.768270802257071</v>
      </c>
      <c r="T26" s="6">
        <f>$J$3+[26]FormattedData!M62*$J$4+$M$4*$J$5+[26]FormattedData!M62^2*$J$6+$M$5*$J$7</f>
        <v>31.928768639934979</v>
      </c>
      <c r="U26" s="6">
        <f>$J$3+[26]FormattedData!N62*$J$4+$M$4*$J$5+[26]FormattedData!N62^2*$J$6+$M$5*$J$7</f>
        <v>32.506735057725649</v>
      </c>
      <c r="V26" s="6">
        <f>$J$3+[26]FormattedData!O62*$J$4+$M$4*$J$5+[26]FormattedData!O62^2*$J$6+$M$5*$J$7</f>
        <v>32.31424865928048</v>
      </c>
      <c r="W26" s="5">
        <f t="shared" si="0"/>
        <v>31.445164471428949</v>
      </c>
      <c r="X26" s="4">
        <f t="shared" si="1"/>
        <v>0.17963324970791644</v>
      </c>
      <c r="Y26" s="3">
        <f t="shared" si="2"/>
        <v>30.380085596483976</v>
      </c>
      <c r="Z26" s="2">
        <f t="shared" si="3"/>
        <v>31.107362232046462</v>
      </c>
      <c r="AA26" s="3">
        <f t="shared" si="4"/>
        <v>31.445967573649643</v>
      </c>
      <c r="AB26" s="2">
        <f t="shared" si="5"/>
        <v>31.856411882799073</v>
      </c>
      <c r="AC26" s="2">
        <f t="shared" si="6"/>
        <v>32.506735057725649</v>
      </c>
      <c r="AD26" s="2">
        <f t="shared" si="7"/>
        <v>0.15588940885343897</v>
      </c>
      <c r="AE26" s="2">
        <f t="shared" si="8"/>
        <v>-0.37302032315427214</v>
      </c>
    </row>
    <row r="27" spans="2:31" x14ac:dyDescent="0.2">
      <c r="B27" s="1">
        <f>[26]FormattedData!A64</f>
        <v>302</v>
      </c>
      <c r="C27" s="1" t="str">
        <f>VLOOKUP($B27,[26]TrtCodes!$B$11:I107,2)</f>
        <v>FTL</v>
      </c>
      <c r="D27" s="1">
        <f>VLOOKUP($B27,[26]TrtCodes!$B$11:J107,3)</f>
        <v>4</v>
      </c>
      <c r="E27" s="1">
        <f>VLOOKUP($B27,[26]TrtCodes!$B$11:K107,4)</f>
        <v>1</v>
      </c>
      <c r="F27" s="1">
        <f>VLOOKUP($B27,[26]TrtCodes!$B$11:L107,5)</f>
        <v>2</v>
      </c>
      <c r="G27" s="1">
        <f>VLOOKUP($B27,[26]TrtCodes!$B$11:M107,6)</f>
        <v>1</v>
      </c>
      <c r="H27" s="1">
        <f>VLOOKUP($B27,[26]TrtCodes!$B$11:N107,7)</f>
        <v>3</v>
      </c>
      <c r="I27" s="1">
        <f>[26]FormattedData!B64</f>
        <v>1</v>
      </c>
      <c r="J27" s="4">
        <f>[26]FormattedData!C64</f>
        <v>13.236000000000001</v>
      </c>
      <c r="K27" s="6">
        <f>$J$3+[26]FormattedData!D64*$J$4+$M$4*$J$5+[26]FormattedData!D64^2*$J$6+$M$5*$J$7</f>
        <v>30.865211432355519</v>
      </c>
      <c r="L27" s="6">
        <f>$J$3+[26]FormattedData!E64*$J$4+$M$4*$J$5+[26]FormattedData!E64^2*$J$6+$M$5*$J$7</f>
        <v>31.155779711423271</v>
      </c>
      <c r="M27" s="6">
        <f>$J$3+[26]FormattedData!F64*$J$4+$M$4*$J$5+[26]FormattedData!F64^2*$J$6+$M$5*$J$7</f>
        <v>32.506735057725649</v>
      </c>
      <c r="N27" s="6">
        <f>$J$3+[26]FormattedData!G64*$J$4+$M$4*$J$5+[26]FormattedData!G64^2*$J$6+$M$5*$J$7</f>
        <v>31.252551267369988</v>
      </c>
      <c r="O27" s="6">
        <f>$J$3+[26]FormattedData!H64*$J$4+$M$4*$J$5+[26]FormattedData!H64^2*$J$6+$M$5*$J$7</f>
        <v>31.445967573649643</v>
      </c>
      <c r="P27" s="6">
        <f>$J$3+[26]FormattedData!I64*$J$4+$M$4*$J$5+[26]FormattedData!I64^2*$J$6+$M$5*$J$7</f>
        <v>31.349280554778787</v>
      </c>
      <c r="Q27" s="6">
        <f>$J$3+[26]FormattedData!J64*$J$4+$M$4*$J$5+[26]FormattedData!J64^2*$J$6+$M$5*$J$7</f>
        <v>30.865211432355519</v>
      </c>
      <c r="R27" s="6">
        <f>$J$3+[26]FormattedData!K64*$J$4+$M$4*$J$5+[26]FormattedData!K64^2*$J$6+$M$5*$J$7</f>
        <v>31.252551267369988</v>
      </c>
      <c r="S27" s="6">
        <f>$J$3+[26]FormattedData!L64*$J$4+$M$4*$J$5+[26]FormattedData!L64^2*$J$6+$M$5*$J$7</f>
        <v>30.574262736446382</v>
      </c>
      <c r="T27" s="6">
        <f>$J$3+[26]FormattedData!M64*$J$4+$M$4*$J$5+[26]FormattedData!M64^2*$J$6+$M$5*$J$7</f>
        <v>30.865211432355519</v>
      </c>
      <c r="U27" s="6">
        <f>$J$3+[26]FormattedData!N64*$J$4+$M$4*$J$5+[26]FormattedData!N64^2*$J$6+$M$5*$J$7</f>
        <v>29.991224094103977</v>
      </c>
      <c r="V27" s="6">
        <f>$J$3+[26]FormattedData!O64*$J$4+$M$4*$J$5+[26]FormattedData!O64^2*$J$6+$M$5*$J$7</f>
        <v>31.735775019034634</v>
      </c>
      <c r="W27" s="5">
        <f t="shared" si="0"/>
        <v>31.154980131580743</v>
      </c>
      <c r="X27" s="4">
        <f t="shared" si="1"/>
        <v>0.17942437051286861</v>
      </c>
      <c r="Y27" s="3">
        <f t="shared" si="2"/>
        <v>29.991224094103977</v>
      </c>
      <c r="Z27" s="2">
        <f t="shared" si="3"/>
        <v>30.865211432355519</v>
      </c>
      <c r="AA27" s="3">
        <f t="shared" si="4"/>
        <v>31.20416548939663</v>
      </c>
      <c r="AB27" s="2">
        <f t="shared" si="5"/>
        <v>31.3734523094965</v>
      </c>
      <c r="AC27" s="2">
        <f t="shared" si="6"/>
        <v>32.506735057725649</v>
      </c>
      <c r="AD27" s="2">
        <f t="shared" si="7"/>
        <v>0.3883591989662139</v>
      </c>
      <c r="AE27" s="2">
        <f t="shared" si="8"/>
        <v>1.7003990677538487</v>
      </c>
    </row>
    <row r="28" spans="2:31" x14ac:dyDescent="0.2">
      <c r="B28" s="1">
        <f>[26]FormattedData!A66</f>
        <v>303</v>
      </c>
      <c r="C28" s="1" t="str">
        <f>VLOOKUP($B28,[26]TrtCodes!$B$11:I109,2)</f>
        <v>NSL</v>
      </c>
      <c r="D28" s="1">
        <f>VLOOKUP($B28,[26]TrtCodes!$B$11:J109,3)</f>
        <v>8</v>
      </c>
      <c r="E28" s="1">
        <f>VLOOKUP($B28,[26]TrtCodes!$B$11:K109,4)</f>
        <v>2</v>
      </c>
      <c r="F28" s="1">
        <f>VLOOKUP($B28,[26]TrtCodes!$B$11:L109,5)</f>
        <v>1</v>
      </c>
      <c r="G28" s="1">
        <f>VLOOKUP($B28,[26]TrtCodes!$B$11:M109,6)</f>
        <v>1</v>
      </c>
      <c r="H28" s="1">
        <f>VLOOKUP($B28,[26]TrtCodes!$B$11:N109,7)</f>
        <v>3</v>
      </c>
      <c r="I28" s="1">
        <f>[26]FormattedData!B66</f>
        <v>1</v>
      </c>
      <c r="J28" s="4">
        <f>[26]FormattedData!C66</f>
        <v>13.25</v>
      </c>
      <c r="K28" s="6">
        <f>$J$3+[26]FormattedData!D66*$J$4+$M$4*$J$5+[26]FormattedData!D66^2*$J$6+$M$5*$J$7</f>
        <v>31.252551267369988</v>
      </c>
      <c r="L28" s="6">
        <f>$J$3+[26]FormattedData!E66*$J$4+$M$4*$J$5+[26]FormattedData!E66^2*$J$6+$M$5*$J$7</f>
        <v>31.252551267369988</v>
      </c>
      <c r="M28" s="6">
        <f>$J$3+[26]FormattedData!F66*$J$4+$M$4*$J$5+[26]FormattedData!F66^2*$J$6+$M$5*$J$7</f>
        <v>30.574262736446382</v>
      </c>
      <c r="N28" s="6">
        <f>$J$3+[26]FormattedData!G66*$J$4+$M$4*$J$5+[26]FormattedData!G66^2*$J$6+$M$5*$J$7</f>
        <v>30.962109793916031</v>
      </c>
      <c r="O28" s="6">
        <f>$J$3+[26]FormattedData!H66*$J$4+$M$4*$J$5+[26]FormattedData!H66^2*$J$6+$M$5*$J$7</f>
        <v>30.185739382369839</v>
      </c>
      <c r="P28" s="6">
        <f>$J$3+[26]FormattedData!I66*$J$4+$M$4*$J$5+[26]FormattedData!I66^2*$J$6+$M$5*$J$7</f>
        <v>31.058965886938612</v>
      </c>
      <c r="Q28" s="6">
        <f>$J$3+[26]FormattedData!J66*$J$4+$M$4*$J$5+[26]FormattedData!J66^2*$J$6+$M$5*$J$7</f>
        <v>32.217942057250994</v>
      </c>
      <c r="R28" s="6">
        <f>$J$3+[26]FormattedData!K66*$J$4+$M$4*$J$5+[26]FormattedData!K66^2*$J$6+$M$5*$J$7</f>
        <v>32.795147641358909</v>
      </c>
      <c r="S28" s="6">
        <f>$J$3+[26]FormattedData!L66*$J$4+$M$4*$J$5+[26]FormattedData!L66^2*$J$6+$M$5*$J$7</f>
        <v>31.445967573649643</v>
      </c>
      <c r="T28" s="6">
        <f>$J$3+[26]FormattedData!M66*$J$4+$M$4*$J$5+[26]FormattedData!M66^2*$J$6+$M$5*$J$7</f>
        <v>30.671287903620694</v>
      </c>
      <c r="U28" s="6">
        <f>$J$3+[26]FormattedData!N66*$J$4+$M$4*$J$5+[26]FormattedData!N66^2*$J$6+$M$5*$J$7</f>
        <v>31.252551267369988</v>
      </c>
      <c r="V28" s="6">
        <f>$J$3+[26]FormattedData!O66*$J$4+$M$4*$J$5+[26]FormattedData!O66^2*$J$6+$M$5*$J$7</f>
        <v>31.349280554778787</v>
      </c>
      <c r="W28" s="5">
        <f t="shared" si="0"/>
        <v>31.251529777703322</v>
      </c>
      <c r="X28" s="4">
        <f t="shared" si="1"/>
        <v>0.20256309207426557</v>
      </c>
      <c r="Y28" s="3">
        <f t="shared" si="2"/>
        <v>30.185739382369839</v>
      </c>
      <c r="Z28" s="2">
        <f t="shared" si="3"/>
        <v>30.889404321342198</v>
      </c>
      <c r="AA28" s="3">
        <f t="shared" si="4"/>
        <v>31.252551267369988</v>
      </c>
      <c r="AB28" s="2">
        <f t="shared" si="5"/>
        <v>31.3734523094965</v>
      </c>
      <c r="AC28" s="2">
        <f t="shared" si="6"/>
        <v>32.795147641358909</v>
      </c>
      <c r="AD28" s="2">
        <f t="shared" si="7"/>
        <v>0.89699732374448371</v>
      </c>
      <c r="AE28" s="2">
        <f t="shared" si="8"/>
        <v>1.2792630888344938</v>
      </c>
    </row>
    <row r="29" spans="2:31" x14ac:dyDescent="0.2">
      <c r="B29" s="1">
        <f>[26]FormattedData!A68</f>
        <v>304</v>
      </c>
      <c r="C29" s="1" t="str">
        <f>VLOOKUP($B29,[26]TrtCodes!$B$11:I111,2)</f>
        <v>FSL</v>
      </c>
      <c r="D29" s="1">
        <f>VLOOKUP($B29,[26]TrtCodes!$B$11:J111,3)</f>
        <v>2</v>
      </c>
      <c r="E29" s="1">
        <f>VLOOKUP($B29,[26]TrtCodes!$B$11:K111,4)</f>
        <v>1</v>
      </c>
      <c r="F29" s="1">
        <f>VLOOKUP($B29,[26]TrtCodes!$B$11:L111,5)</f>
        <v>1</v>
      </c>
      <c r="G29" s="1">
        <f>VLOOKUP($B29,[26]TrtCodes!$B$11:M111,6)</f>
        <v>1</v>
      </c>
      <c r="H29" s="1">
        <f>VLOOKUP($B29,[26]TrtCodes!$B$11:N111,7)</f>
        <v>3</v>
      </c>
      <c r="I29" s="1">
        <f>[26]FormattedData!B68</f>
        <v>1</v>
      </c>
      <c r="J29" s="4">
        <f>[26]FormattedData!C68</f>
        <v>13.27</v>
      </c>
      <c r="K29" s="6">
        <f>$J$3+[26]FormattedData!D68*$J$4+$M$4*$J$5+[26]FormattedData!D68^2*$J$6+$M$5*$J$7</f>
        <v>32.795147641358909</v>
      </c>
      <c r="L29" s="6">
        <f>$J$3+[26]FormattedData!E68*$J$4+$M$4*$J$5+[26]FormattedData!E68^2*$J$6+$M$5*$J$7</f>
        <v>32.795147641358909</v>
      </c>
      <c r="M29" s="6">
        <f>$J$3+[26]FormattedData!F68*$J$4+$M$4*$J$5+[26]FormattedData!F68^2*$J$6+$M$5*$J$7</f>
        <v>32.506735057725649</v>
      </c>
      <c r="N29" s="6">
        <f>$J$3+[26]FormattedData!G68*$J$4+$M$4*$J$5+[26]FormattedData!G68^2*$J$6+$M$5*$J$7</f>
        <v>32.31424865928048</v>
      </c>
      <c r="O29" s="6">
        <f>$J$3+[26]FormattedData!H68*$J$4+$M$4*$J$5+[26]FormattedData!H68^2*$J$6+$M$5*$J$7</f>
        <v>32.506735057725649</v>
      </c>
      <c r="P29" s="6">
        <f>$J$3+[26]FormattedData!I68*$J$4+$M$4*$J$5+[26]FormattedData!I68^2*$J$6+$M$5*$J$7</f>
        <v>33.562388048711973</v>
      </c>
      <c r="Q29" s="6">
        <f>$J$3+[26]FormattedData!J68*$J$4+$M$4*$J$5+[26]FormattedData!J68^2*$J$6+$M$5*$J$7</f>
        <v>32.31424865928048</v>
      </c>
      <c r="R29" s="6">
        <f>$J$3+[26]FormattedData!K68*$J$4+$M$4*$J$5+[26]FormattedData!K68^2*$J$6+$M$5*$J$7</f>
        <v>33.083179808150788</v>
      </c>
      <c r="S29" s="6">
        <f>$J$3+[26]FormattedData!L68*$J$4+$M$4*$J$5+[26]FormattedData!L68^2*$J$6+$M$5*$J$7</f>
        <v>33.083179808150788</v>
      </c>
      <c r="T29" s="6">
        <f>$J$3+[26]FormattedData!M68*$J$4+$M$4*$J$5+[26]FormattedData!M68^2*$J$6+$M$5*$J$7</f>
        <v>32.12159318668359</v>
      </c>
      <c r="U29" s="6">
        <f>$J$3+[26]FormattedData!N68*$J$4+$M$4*$J$5+[26]FormattedData!N68^2*$J$6+$M$5*$J$7</f>
        <v>32.795147641358909</v>
      </c>
      <c r="V29" s="6">
        <f>$J$3+[26]FormattedData!O68*$J$4+$M$4*$J$5+[26]FormattedData!O68^2*$J$6+$M$5*$J$7</f>
        <v>32.699052382019083</v>
      </c>
      <c r="W29" s="5">
        <f t="shared" si="0"/>
        <v>32.714733632650443</v>
      </c>
      <c r="X29" s="4">
        <f t="shared" si="1"/>
        <v>0.1157579484912396</v>
      </c>
      <c r="Y29" s="3">
        <f t="shared" si="2"/>
        <v>32.12159318668359</v>
      </c>
      <c r="Z29" s="2">
        <f t="shared" si="3"/>
        <v>32.458613458114357</v>
      </c>
      <c r="AA29" s="3">
        <f t="shared" si="4"/>
        <v>32.747100011689</v>
      </c>
      <c r="AB29" s="2">
        <f t="shared" si="5"/>
        <v>32.867155683056879</v>
      </c>
      <c r="AC29" s="2">
        <f t="shared" si="6"/>
        <v>33.562388048711973</v>
      </c>
      <c r="AD29" s="2">
        <f t="shared" si="7"/>
        <v>0.60146690683371884</v>
      </c>
      <c r="AE29" s="2">
        <f t="shared" si="8"/>
        <v>0.42901813419392987</v>
      </c>
    </row>
    <row r="30" spans="2:31" x14ac:dyDescent="0.2">
      <c r="B30" s="1">
        <f>[26]FormattedData!A70</f>
        <v>305</v>
      </c>
      <c r="C30" s="1" t="str">
        <f>VLOOKUP($B30,[26]TrtCodes!$B$11:I113,2)</f>
        <v>NDH</v>
      </c>
      <c r="D30" s="1">
        <f>VLOOKUP($B30,[26]TrtCodes!$B$11:J113,3)</f>
        <v>11</v>
      </c>
      <c r="E30" s="1">
        <f>VLOOKUP($B30,[26]TrtCodes!$B$11:K113,4)</f>
        <v>2</v>
      </c>
      <c r="F30" s="1">
        <f>VLOOKUP($B30,[26]TrtCodes!$B$11:L113,5)</f>
        <v>3</v>
      </c>
      <c r="G30" s="1">
        <f>VLOOKUP($B30,[26]TrtCodes!$B$11:M113,6)</f>
        <v>2</v>
      </c>
      <c r="H30" s="1">
        <f>VLOOKUP($B30,[26]TrtCodes!$B$11:N113,7)</f>
        <v>4</v>
      </c>
      <c r="I30" s="1">
        <f>[26]FormattedData!B70</f>
        <v>1</v>
      </c>
      <c r="J30" s="4">
        <f>[26]FormattedData!C70</f>
        <v>13.285</v>
      </c>
      <c r="K30" s="6">
        <f>$J$3+[26]FormattedData!D70*$J$4+$M$4*$J$5+[26]FormattedData!D70^2*$J$6+$M$5*$J$7</f>
        <v>31.155779711423271</v>
      </c>
      <c r="L30" s="6">
        <f>$J$3+[26]FormattedData!E70*$J$4+$M$4*$J$5+[26]FormattedData!E70^2*$J$6+$M$5*$J$7</f>
        <v>31.058965886938612</v>
      </c>
      <c r="M30" s="6">
        <f>$J$3+[26]FormattedData!F70*$J$4+$M$4*$J$5+[26]FormattedData!F70^2*$J$6+$M$5*$J$7</f>
        <v>30.768270802257071</v>
      </c>
      <c r="N30" s="6">
        <f>$J$3+[26]FormattedData!G70*$J$4+$M$4*$J$5+[26]FormattedData!G70^2*$J$6+$M$5*$J$7</f>
        <v>30.768270802257071</v>
      </c>
      <c r="O30" s="6">
        <f>$J$3+[26]FormattedData!H70*$J$4+$M$4*$J$5+[26]FormattedData!H70^2*$J$6+$M$5*$J$7</f>
        <v>31.058965886938612</v>
      </c>
      <c r="P30" s="6">
        <f>$J$3+[26]FormattedData!I70*$J$4+$M$4*$J$5+[26]FormattedData!I70^2*$J$6+$M$5*$J$7</f>
        <v>31.542612323982574</v>
      </c>
      <c r="Q30" s="6">
        <f>$J$3+[26]FormattedData!J70*$J$4+$M$4*$J$5+[26]FormattedData!J70^2*$J$6+$M$5*$J$7</f>
        <v>30.185739382369839</v>
      </c>
      <c r="R30" s="6">
        <f>$J$3+[26]FormattedData!K70*$J$4+$M$4*$J$5+[26]FormattedData!K70^2*$J$6+$M$5*$J$7</f>
        <v>30.282933623695868</v>
      </c>
      <c r="S30" s="6">
        <f>$J$3+[26]FormattedData!L70*$J$4+$M$4*$J$5+[26]FormattedData!L70^2*$J$6+$M$5*$J$7</f>
        <v>29.699134147670705</v>
      </c>
      <c r="T30" s="6">
        <f>$J$3+[26]FormattedData!M70*$J$4+$M$4*$J$5+[26]FormattedData!M70^2*$J$6+$M$5*$J$7</f>
        <v>31.252551267369988</v>
      </c>
      <c r="U30" s="6">
        <f>$J$3+[26]FormattedData!N70*$J$4+$M$4*$J$5+[26]FormattedData!N70^2*$J$6+$M$5*$J$7</f>
        <v>31.155779711423271</v>
      </c>
      <c r="V30" s="6">
        <f>$J$3+[26]FormattedData!O70*$J$4+$M$4*$J$5+[26]FormattedData!O70^2*$J$6+$M$5*$J$7</f>
        <v>30.185739382369839</v>
      </c>
      <c r="W30" s="5">
        <f t="shared" si="0"/>
        <v>30.759561910724727</v>
      </c>
      <c r="X30" s="4">
        <f t="shared" si="1"/>
        <v>0.15954117144423419</v>
      </c>
      <c r="Y30" s="3">
        <f t="shared" si="2"/>
        <v>29.699134147670705</v>
      </c>
      <c r="Z30" s="2">
        <f t="shared" si="3"/>
        <v>30.258635063364359</v>
      </c>
      <c r="AA30" s="3">
        <f t="shared" si="4"/>
        <v>30.913618344597843</v>
      </c>
      <c r="AB30" s="2">
        <f t="shared" si="5"/>
        <v>31.155779711423271</v>
      </c>
      <c r="AC30" s="2">
        <f t="shared" si="6"/>
        <v>31.542612323982574</v>
      </c>
      <c r="AD30" s="2">
        <f t="shared" si="7"/>
        <v>-0.58199932615233141</v>
      </c>
      <c r="AE30" s="2">
        <f t="shared" si="8"/>
        <v>-0.59892281402867065</v>
      </c>
    </row>
    <row r="31" spans="2:31" x14ac:dyDescent="0.2">
      <c r="B31" s="1">
        <f>[26]FormattedData!A72</f>
        <v>306</v>
      </c>
      <c r="C31" s="1" t="str">
        <f>VLOOKUP($B31,[26]TrtCodes!$B$11:I115,2)</f>
        <v>FTL</v>
      </c>
      <c r="D31" s="1">
        <f>VLOOKUP($B31,[26]TrtCodes!$B$11:J115,3)</f>
        <v>4</v>
      </c>
      <c r="E31" s="1">
        <f>VLOOKUP($B31,[26]TrtCodes!$B$11:K115,4)</f>
        <v>1</v>
      </c>
      <c r="F31" s="1">
        <f>VLOOKUP($B31,[26]TrtCodes!$B$11:L115,5)</f>
        <v>2</v>
      </c>
      <c r="G31" s="1">
        <f>VLOOKUP($B31,[26]TrtCodes!$B$11:M115,6)</f>
        <v>1</v>
      </c>
      <c r="H31" s="1">
        <f>VLOOKUP($B31,[26]TrtCodes!$B$11:N115,7)</f>
        <v>4</v>
      </c>
      <c r="I31" s="1">
        <f>[26]FormattedData!B72</f>
        <v>1</v>
      </c>
      <c r="J31" s="4">
        <f>[26]FormattedData!C72</f>
        <v>13.298999999999999</v>
      </c>
      <c r="K31" s="6">
        <f>$J$3+[26]FormattedData!D72*$J$4+$M$4*$J$5+[26]FormattedData!D72^2*$J$6+$M$5*$J$7</f>
        <v>32.31424865928048</v>
      </c>
      <c r="L31" s="6">
        <f>$J$3+[26]FormattedData!E72*$J$4+$M$4*$J$5+[26]FormattedData!E72^2*$J$6+$M$5*$J$7</f>
        <v>31.735775019034634</v>
      </c>
      <c r="M31" s="6">
        <f>$J$3+[26]FormattedData!F72*$J$4+$M$4*$J$5+[26]FormattedData!F72^2*$J$6+$M$5*$J$7</f>
        <v>32.602914854141332</v>
      </c>
      <c r="N31" s="6">
        <f>$J$3+[26]FormattedData!G72*$J$4+$M$4*$J$5+[26]FormattedData!G72^2*$J$6+$M$5*$J$7</f>
        <v>30.962109793916031</v>
      </c>
      <c r="O31" s="6">
        <f>$J$3+[26]FormattedData!H72*$J$4+$M$4*$J$5+[26]FormattedData!H72^2*$J$6+$M$5*$J$7</f>
        <v>33.562388048711973</v>
      </c>
      <c r="P31" s="6">
        <f>$J$3+[26]FormattedData!I72*$J$4+$M$4*$J$5+[26]FormattedData!I72^2*$J$6+$M$5*$J$7</f>
        <v>31.832292963753773</v>
      </c>
      <c r="Q31" s="6">
        <f>$J$3+[26]FormattedData!J72*$J$4+$M$4*$J$5+[26]FormattedData!J72^2*$J$6+$M$5*$J$7</f>
        <v>33.27498990998906</v>
      </c>
      <c r="R31" s="6">
        <f>$J$3+[26]FormattedData!K72*$J$4+$M$4*$J$5+[26]FormattedData!K72^2*$J$6+$M$5*$J$7</f>
        <v>32.12159318668359</v>
      </c>
      <c r="S31" s="6">
        <f>$J$3+[26]FormattedData!L72*$J$4+$M$4*$J$5+[26]FormattedData!L72^2*$J$6+$M$5*$J$7</f>
        <v>32.31424865928048</v>
      </c>
      <c r="T31" s="6">
        <f>$J$3+[26]FormattedData!M72*$J$4+$M$4*$J$5+[26]FormattedData!M72^2*$J$6+$M$5*$J$7</f>
        <v>31.928768639934979</v>
      </c>
      <c r="U31" s="6">
        <f>$J$3+[26]FormattedData!N72*$J$4+$M$4*$J$5+[26]FormattedData!N72^2*$J$6+$M$5*$J$7</f>
        <v>31.155779711423271</v>
      </c>
      <c r="V31" s="6">
        <f>$J$3+[26]FormattedData!O72*$J$4+$M$4*$J$5+[26]FormattedData!O72^2*$J$6+$M$5*$J$7</f>
        <v>31.63921480577757</v>
      </c>
      <c r="W31" s="5">
        <f t="shared" si="0"/>
        <v>32.120360354327268</v>
      </c>
      <c r="X31" s="4">
        <f t="shared" si="1"/>
        <v>0.22176489564003096</v>
      </c>
      <c r="Y31" s="3">
        <f t="shared" si="2"/>
        <v>30.962109793916031</v>
      </c>
      <c r="Z31" s="2">
        <f t="shared" si="3"/>
        <v>31.711634965720368</v>
      </c>
      <c r="AA31" s="3">
        <f t="shared" si="4"/>
        <v>32.025180913309285</v>
      </c>
      <c r="AB31" s="2">
        <f t="shared" si="5"/>
        <v>32.386415207995697</v>
      </c>
      <c r="AC31" s="2">
        <f t="shared" si="6"/>
        <v>33.562388048711973</v>
      </c>
      <c r="AD31" s="2">
        <f t="shared" si="7"/>
        <v>0.48470405431925273</v>
      </c>
      <c r="AE31" s="2">
        <f t="shared" si="8"/>
        <v>-3.2303203956072224E-3</v>
      </c>
    </row>
    <row r="32" spans="2:31" x14ac:dyDescent="0.2">
      <c r="B32" s="1">
        <f>[26]FormattedData!A74</f>
        <v>307</v>
      </c>
      <c r="C32" s="1" t="str">
        <f>VLOOKUP($B32,[26]TrtCodes!$B$11:I117,2)</f>
        <v>NTH</v>
      </c>
      <c r="D32" s="1">
        <f>VLOOKUP($B32,[26]TrtCodes!$B$11:J117,3)</f>
        <v>9</v>
      </c>
      <c r="E32" s="1">
        <f>VLOOKUP($B32,[26]TrtCodes!$B$11:K117,4)</f>
        <v>2</v>
      </c>
      <c r="F32" s="1">
        <f>VLOOKUP($B32,[26]TrtCodes!$B$11:L117,5)</f>
        <v>2</v>
      </c>
      <c r="G32" s="1">
        <f>VLOOKUP($B32,[26]TrtCodes!$B$11:M117,6)</f>
        <v>2</v>
      </c>
      <c r="H32" s="1">
        <f>VLOOKUP($B32,[26]TrtCodes!$B$11:N117,7)</f>
        <v>4</v>
      </c>
      <c r="I32" s="1">
        <f>[26]FormattedData!B74</f>
        <v>1</v>
      </c>
      <c r="J32" s="4">
        <f>[26]FormattedData!C74</f>
        <v>13.314</v>
      </c>
      <c r="K32" s="6">
        <f>$J$3+[26]FormattedData!D74*$J$4+$M$4*$J$5+[26]FormattedData!D74^2*$J$6+$M$5*$J$7</f>
        <v>31.63921480577757</v>
      </c>
      <c r="L32" s="6">
        <f>$J$3+[26]FormattedData!E74*$J$4+$M$4*$J$5+[26]FormattedData!E74^2*$J$6+$M$5*$J$7</f>
        <v>31.252551267369988</v>
      </c>
      <c r="M32" s="6">
        <f>$J$3+[26]FormattedData!F74*$J$4+$M$4*$J$5+[26]FormattedData!F74^2*$J$6+$M$5*$J$7</f>
        <v>31.155779711423271</v>
      </c>
      <c r="N32" s="6">
        <f>$J$3+[26]FormattedData!G74*$J$4+$M$4*$J$5+[26]FormattedData!G74^2*$J$6+$M$5*$J$7</f>
        <v>32.12159318668359</v>
      </c>
      <c r="O32" s="6">
        <f>$J$3+[26]FormattedData!H74*$J$4+$M$4*$J$5+[26]FormattedData!H74^2*$J$6+$M$5*$J$7</f>
        <v>31.155779711423271</v>
      </c>
      <c r="P32" s="6">
        <f>$J$3+[26]FormattedData!I74*$J$4+$M$4*$J$5+[26]FormattedData!I74^2*$J$6+$M$5*$J$7</f>
        <v>32.12159318668359</v>
      </c>
      <c r="Q32" s="6">
        <f>$J$3+[26]FormattedData!J74*$J$4+$M$4*$J$5+[26]FormattedData!J74^2*$J$6+$M$5*$J$7</f>
        <v>32.025202047578247</v>
      </c>
      <c r="R32" s="6">
        <f>$J$3+[26]FormattedData!K74*$J$4+$M$4*$J$5+[26]FormattedData!K74^2*$J$6+$M$5*$J$7</f>
        <v>32.31424865928048</v>
      </c>
      <c r="S32" s="6">
        <f>$J$3+[26]FormattedData!L74*$J$4+$M$4*$J$5+[26]FormattedData!L74^2*$J$6+$M$5*$J$7</f>
        <v>31.058965886938612</v>
      </c>
      <c r="T32" s="6">
        <f>$J$3+[26]FormattedData!M74*$J$4+$M$4*$J$5+[26]FormattedData!M74^2*$J$6+$M$5*$J$7</f>
        <v>31.252551267369988</v>
      </c>
      <c r="U32" s="6">
        <f>$J$3+[26]FormattedData!N74*$J$4+$M$4*$J$5+[26]FormattedData!N74^2*$J$6+$M$5*$J$7</f>
        <v>30.962109793916031</v>
      </c>
      <c r="V32" s="6">
        <f>$J$3+[26]FormattedData!O74*$J$4+$M$4*$J$5+[26]FormattedData!O74^2*$J$6+$M$5*$J$7</f>
        <v>30.962109793916031</v>
      </c>
      <c r="W32" s="5">
        <f t="shared" si="0"/>
        <v>31.50180827653006</v>
      </c>
      <c r="X32" s="4">
        <f t="shared" si="1"/>
        <v>0.14728696928376031</v>
      </c>
      <c r="Y32" s="3">
        <f t="shared" si="2"/>
        <v>30.962109793916031</v>
      </c>
      <c r="Z32" s="2">
        <f t="shared" si="3"/>
        <v>31.131576255302107</v>
      </c>
      <c r="AA32" s="3">
        <f t="shared" si="4"/>
        <v>31.252551267369988</v>
      </c>
      <c r="AB32" s="2">
        <f t="shared" si="5"/>
        <v>32.049299832354585</v>
      </c>
      <c r="AC32" s="2">
        <f t="shared" si="6"/>
        <v>32.31424865928048</v>
      </c>
      <c r="AD32" s="2">
        <f t="shared" si="7"/>
        <v>0.52837698942317435</v>
      </c>
      <c r="AE32" s="2">
        <f t="shared" si="8"/>
        <v>-1.5901254287389026</v>
      </c>
    </row>
    <row r="33" spans="2:31" x14ac:dyDescent="0.2">
      <c r="B33" s="1">
        <f>[26]FormattedData!A76</f>
        <v>308</v>
      </c>
      <c r="C33" s="1" t="str">
        <f>VLOOKUP($B33,[26]TrtCodes!$B$11:I119,2)</f>
        <v>FDH</v>
      </c>
      <c r="D33" s="1">
        <f>VLOOKUP($B33,[26]TrtCodes!$B$11:J119,3)</f>
        <v>5</v>
      </c>
      <c r="E33" s="1">
        <f>VLOOKUP($B33,[26]TrtCodes!$B$11:K119,4)</f>
        <v>1</v>
      </c>
      <c r="F33" s="1">
        <f>VLOOKUP($B33,[26]TrtCodes!$B$11:L119,5)</f>
        <v>3</v>
      </c>
      <c r="G33" s="1">
        <f>VLOOKUP($B33,[26]TrtCodes!$B$11:M119,6)</f>
        <v>2</v>
      </c>
      <c r="H33" s="1">
        <f>VLOOKUP($B33,[26]TrtCodes!$B$11:N119,7)</f>
        <v>4</v>
      </c>
      <c r="I33" s="1">
        <f>[26]FormattedData!B76</f>
        <v>1</v>
      </c>
      <c r="J33" s="4">
        <f>[26]FormattedData!C76</f>
        <v>13.329000000000001</v>
      </c>
      <c r="K33" s="6">
        <f>$J$3+[26]FormattedData!D76*$J$4+$M$4*$J$5+[26]FormattedData!D76^2*$J$6+$M$5*$J$7</f>
        <v>31.832292963753773</v>
      </c>
      <c r="L33" s="6">
        <f>$J$3+[26]FormattedData!E76*$J$4+$M$4*$J$5+[26]FormattedData!E76^2*$J$6+$M$5*$J$7</f>
        <v>31.832292963753773</v>
      </c>
      <c r="M33" s="6">
        <f>$J$3+[26]FormattedData!F76*$J$4+$M$4*$J$5+[26]FormattedData!F76^2*$J$6+$M$5*$J$7</f>
        <v>31.349280554778787</v>
      </c>
      <c r="N33" s="6">
        <f>$J$3+[26]FormattedData!G76*$J$4+$M$4*$J$5+[26]FormattedData!G76^2*$J$6+$M$5*$J$7</f>
        <v>30.865211432355519</v>
      </c>
      <c r="O33" s="6">
        <f>$J$3+[26]FormattedData!H76*$J$4+$M$4*$J$5+[26]FormattedData!H76^2*$J$6+$M$5*$J$7</f>
        <v>31.058965886938612</v>
      </c>
      <c r="P33" s="6">
        <f>$J$3+[26]FormattedData!I76*$J$4+$M$4*$J$5+[26]FormattedData!I76^2*$J$6+$M$5*$J$7</f>
        <v>31.058965886938612</v>
      </c>
      <c r="Q33" s="6">
        <f>$J$3+[26]FormattedData!J76*$J$4+$M$4*$J$5+[26]FormattedData!J76^2*$J$6+$M$5*$J$7</f>
        <v>31.928768639934979</v>
      </c>
      <c r="R33" s="6">
        <f>$J$3+[26]FormattedData!K76*$J$4+$M$4*$J$5+[26]FormattedData!K76^2*$J$6+$M$5*$J$7</f>
        <v>30.865211432355519</v>
      </c>
      <c r="S33" s="6">
        <f>$J$3+[26]FormattedData!L76*$J$4+$M$4*$J$5+[26]FormattedData!L76^2*$J$6+$M$5*$J$7</f>
        <v>31.349280554778787</v>
      </c>
      <c r="T33" s="6">
        <f>$J$3+[26]FormattedData!M76*$J$4+$M$4*$J$5+[26]FormattedData!M76^2*$J$6+$M$5*$J$7</f>
        <v>32.12159318668359</v>
      </c>
      <c r="U33" s="6">
        <f>$J$3+[26]FormattedData!N76*$J$4+$M$4*$J$5+[26]FormattedData!N76^2*$J$6+$M$5*$J$7</f>
        <v>32.217942057250994</v>
      </c>
      <c r="V33" s="6">
        <f>$J$3+[26]FormattedData!O76*$J$4+$M$4*$J$5+[26]FormattedData!O76^2*$J$6+$M$5*$J$7</f>
        <v>33.94499380747817</v>
      </c>
      <c r="W33" s="5">
        <f t="shared" si="0"/>
        <v>31.70206661391676</v>
      </c>
      <c r="X33" s="4">
        <f t="shared" si="1"/>
        <v>0.24671923549934291</v>
      </c>
      <c r="Y33" s="3">
        <f t="shared" si="2"/>
        <v>30.865211432355519</v>
      </c>
      <c r="Z33" s="2">
        <f t="shared" si="3"/>
        <v>31.058965886938612</v>
      </c>
      <c r="AA33" s="3">
        <f t="shared" si="4"/>
        <v>31.59078675926628</v>
      </c>
      <c r="AB33" s="2">
        <f t="shared" si="5"/>
        <v>31.976974776622132</v>
      </c>
      <c r="AC33" s="2">
        <f t="shared" si="6"/>
        <v>33.94499380747817</v>
      </c>
      <c r="AD33" s="2">
        <f t="shared" si="7"/>
        <v>1.6983292059251105</v>
      </c>
      <c r="AE33" s="2">
        <f t="shared" si="8"/>
        <v>3.8719490432235357</v>
      </c>
    </row>
    <row r="34" spans="2:31" x14ac:dyDescent="0.2">
      <c r="B34" s="1">
        <f>[26]FormattedData!A92</f>
        <v>401</v>
      </c>
      <c r="C34" s="1" t="str">
        <f>VLOOKUP($B34,[26]TrtCodes!$B$11:I129,2)</f>
        <v>NSH</v>
      </c>
      <c r="D34" s="1">
        <f>VLOOKUP($B34,[26]TrtCodes!$B$11:J129,3)</f>
        <v>7</v>
      </c>
      <c r="E34" s="1">
        <f>VLOOKUP($B34,[26]TrtCodes!$B$11:K129,4)</f>
        <v>2</v>
      </c>
      <c r="F34" s="1">
        <f>VLOOKUP($B34,[26]TrtCodes!$B$11:L129,5)</f>
        <v>1</v>
      </c>
      <c r="G34" s="1">
        <f>VLOOKUP($B34,[26]TrtCodes!$B$11:M129,6)</f>
        <v>2</v>
      </c>
      <c r="H34" s="1">
        <f>VLOOKUP($B34,[26]TrtCodes!$B$11:N129,7)</f>
        <v>3</v>
      </c>
      <c r="I34" s="1">
        <f>[26]FormattedData!B92</f>
        <v>1</v>
      </c>
      <c r="J34" s="4">
        <f>[26]FormattedData!C92</f>
        <v>13.474</v>
      </c>
      <c r="K34" s="6">
        <f>$J$3+[26]FormattedData!D92*$J$4+$M$4*$J$5+[26]FormattedData!D92^2*$J$6+$M$5*$J$7</f>
        <v>31.928768639934979</v>
      </c>
      <c r="L34" s="6">
        <f>$J$3+[26]FormattedData!E92*$J$4+$M$4*$J$5+[26]FormattedData!E92^2*$J$6+$M$5*$J$7</f>
        <v>31.928768639934979</v>
      </c>
      <c r="M34" s="6">
        <f>$J$3+[26]FormattedData!F92*$J$4+$M$4*$J$5+[26]FormattedData!F92^2*$J$6+$M$5*$J$7</f>
        <v>32.217942057250994</v>
      </c>
      <c r="N34" s="6">
        <f>$J$3+[26]FormattedData!G92*$J$4+$M$4*$J$5+[26]FormattedData!G92^2*$J$6+$M$5*$J$7</f>
        <v>33.083179808150788</v>
      </c>
      <c r="O34" s="6">
        <f>$J$3+[26]FormattedData!H92*$J$4+$M$4*$J$5+[26]FormattedData!H92^2*$J$6+$M$5*$J$7</f>
        <v>31.928768639934979</v>
      </c>
      <c r="P34" s="6">
        <f>$J$3+[26]FormattedData!I92*$J$4+$M$4*$J$5+[26]FormattedData!I92^2*$J$6+$M$5*$J$7</f>
        <v>33.370831558101301</v>
      </c>
      <c r="Q34" s="6">
        <f>$J$3+[26]FormattedData!J92*$J$4+$M$4*$J$5+[26]FormattedData!J92^2*$J$6+$M$5*$J$7</f>
        <v>31.445967573649643</v>
      </c>
      <c r="R34" s="6">
        <f>$J$3+[26]FormattedData!K92*$J$4+$M$4*$J$5+[26]FormattedData!K92^2*$J$6+$M$5*$J$7</f>
        <v>31.735775019034634</v>
      </c>
      <c r="S34" s="6">
        <f>$J$3+[26]FormattedData!L92*$J$4+$M$4*$J$5+[26]FormattedData!L92^2*$J$6+$M$5*$J$7</f>
        <v>31.445967573649643</v>
      </c>
      <c r="T34" s="6">
        <f>$J$3+[26]FormattedData!M92*$J$4+$M$4*$J$5+[26]FormattedData!M92^2*$J$6+$M$5*$J$7</f>
        <v>33.27498990998906</v>
      </c>
      <c r="U34" s="6">
        <f>$J$3+[26]FormattedData!N92*$J$4+$M$4*$J$5+[26]FormattedData!N92^2*$J$6+$M$5*$J$7</f>
        <v>32.602914854141332</v>
      </c>
      <c r="V34" s="6">
        <f>$J$3+[26]FormattedData!O92*$J$4+$M$4*$J$5+[26]FormattedData!O92^2*$J$6+$M$5*$J$7</f>
        <v>32.12159318668359</v>
      </c>
      <c r="W34" s="5">
        <f t="shared" si="0"/>
        <v>32.257122288371328</v>
      </c>
      <c r="X34" s="4">
        <f t="shared" si="1"/>
        <v>0.19480846961514223</v>
      </c>
      <c r="Y34" s="3">
        <f t="shared" si="2"/>
        <v>31.445967573649643</v>
      </c>
      <c r="Z34" s="2">
        <f t="shared" si="3"/>
        <v>31.880520234709891</v>
      </c>
      <c r="AA34" s="3">
        <f t="shared" si="4"/>
        <v>32.025180913309285</v>
      </c>
      <c r="AB34" s="2">
        <f t="shared" si="5"/>
        <v>32.722981092643693</v>
      </c>
      <c r="AC34" s="2">
        <f t="shared" si="6"/>
        <v>33.370831558101301</v>
      </c>
      <c r="AD34" s="2">
        <f t="shared" si="7"/>
        <v>0.61164596087686696</v>
      </c>
      <c r="AE34" s="2">
        <f t="shared" si="8"/>
        <v>-0.94344730600800197</v>
      </c>
    </row>
    <row r="35" spans="2:31" x14ac:dyDescent="0.2">
      <c r="B35" s="1">
        <f>[26]FormattedData!A90</f>
        <v>402</v>
      </c>
      <c r="C35" s="1" t="str">
        <f>VLOOKUP($B35,[26]TrtCodes!$B$11:I130,2)</f>
        <v>NTH</v>
      </c>
      <c r="D35" s="1">
        <f>VLOOKUP($B35,[26]TrtCodes!$B$11:J130,3)</f>
        <v>9</v>
      </c>
      <c r="E35" s="1">
        <f>VLOOKUP($B35,[26]TrtCodes!$B$11:K130,4)</f>
        <v>2</v>
      </c>
      <c r="F35" s="1">
        <f>VLOOKUP($B35,[26]TrtCodes!$B$11:L130,5)</f>
        <v>2</v>
      </c>
      <c r="G35" s="1">
        <f>VLOOKUP($B35,[26]TrtCodes!$B$11:M130,6)</f>
        <v>2</v>
      </c>
      <c r="H35" s="1">
        <f>VLOOKUP($B35,[26]TrtCodes!$B$11:N130,7)</f>
        <v>3</v>
      </c>
      <c r="I35" s="1">
        <f>[26]FormattedData!B90</f>
        <v>1</v>
      </c>
      <c r="J35" s="4">
        <f>[26]FormattedData!C90</f>
        <v>13.459</v>
      </c>
      <c r="K35" s="6">
        <f>$J$3+[26]FormattedData!D90*$J$4+$M$4*$J$5+[26]FormattedData!D90^2*$J$6+$M$5*$J$7</f>
        <v>33.753775465170932</v>
      </c>
      <c r="L35" s="6">
        <f>$J$3+[26]FormattedData!E90*$J$4+$M$4*$J$5+[26]FormattedData!E90^2*$J$6+$M$5*$J$7</f>
        <v>31.832292963753773</v>
      </c>
      <c r="M35" s="6">
        <f>$J$3+[26]FormattedData!F90*$J$4+$M$4*$J$5+[26]FormattedData!F90^2*$J$6+$M$5*$J$7</f>
        <v>29.309089126228635</v>
      </c>
      <c r="N35" s="6">
        <f>$J$3+[26]FormattedData!G90*$J$4+$M$4*$J$5+[26]FormattedData!G90^2*$J$6+$M$5*$J$7</f>
        <v>32.410512992772034</v>
      </c>
      <c r="O35" s="6">
        <f>$J$3+[26]FormattedData!H90*$J$4+$M$4*$J$5+[26]FormattedData!H90^2*$J$6+$M$5*$J$7</f>
        <v>31.445967573649643</v>
      </c>
      <c r="P35" s="6">
        <f>$J$3+[26]FormattedData!I90*$J$4+$M$4*$J$5+[26]FormattedData!I90^2*$J$6+$M$5*$J$7</f>
        <v>31.542612323982574</v>
      </c>
      <c r="Q35" s="6">
        <f>$J$3+[26]FormattedData!J90*$J$4+$M$4*$J$5+[26]FormattedData!J90^2*$J$6+$M$5*$J$7</f>
        <v>32.025202047578247</v>
      </c>
      <c r="R35" s="6">
        <f>$J$3+[26]FormattedData!K90*$J$4+$M$4*$J$5+[26]FormattedData!K90^2*$J$6+$M$5*$J$7</f>
        <v>33.083179808150788</v>
      </c>
      <c r="S35" s="6">
        <f>$J$3+[26]FormattedData!L90*$J$4+$M$4*$J$5+[26]FormattedData!L90^2*$J$6+$M$5*$J$7</f>
        <v>31.928768639934979</v>
      </c>
      <c r="T35" s="6">
        <f>$J$3+[26]FormattedData!M90*$J$4+$M$4*$J$5+[26]FormattedData!M90^2*$J$6+$M$5*$J$7</f>
        <v>33.179105993338894</v>
      </c>
      <c r="U35" s="6">
        <f>$J$3+[26]FormattedData!N90*$J$4+$M$4*$J$5+[26]FormattedData!N90^2*$J$6+$M$5*$J$7</f>
        <v>32.025202047578247</v>
      </c>
      <c r="V35" s="6">
        <f>$J$3+[26]FormattedData!O90*$J$4+$M$4*$J$5+[26]FormattedData!O90^2*$J$6+$M$5*$J$7</f>
        <v>32.602914854141332</v>
      </c>
      <c r="W35" s="5">
        <f t="shared" si="0"/>
        <v>32.094885319690007</v>
      </c>
      <c r="X35" s="4">
        <f t="shared" si="1"/>
        <v>0.32397756380047921</v>
      </c>
      <c r="Y35" s="3">
        <f t="shared" si="2"/>
        <v>29.309089126228635</v>
      </c>
      <c r="Z35" s="2">
        <f t="shared" si="3"/>
        <v>31.759872803810971</v>
      </c>
      <c r="AA35" s="3">
        <f t="shared" si="4"/>
        <v>32.025202047578247</v>
      </c>
      <c r="AB35" s="2">
        <f t="shared" si="5"/>
        <v>32.722981092643693</v>
      </c>
      <c r="AC35" s="2">
        <f t="shared" si="6"/>
        <v>33.753775465170932</v>
      </c>
      <c r="AD35" s="2">
        <f t="shared" si="7"/>
        <v>-1.1666545515009374</v>
      </c>
      <c r="AE35" s="2">
        <f t="shared" si="8"/>
        <v>2.9681469018920525</v>
      </c>
    </row>
    <row r="36" spans="2:31" x14ac:dyDescent="0.2">
      <c r="B36" s="1">
        <f>[26]FormattedData!A88</f>
        <v>403</v>
      </c>
      <c r="C36" s="1" t="str">
        <f>VLOOKUP($B36,[26]TrtCodes!$B$11:I131,2)</f>
        <v>FDL</v>
      </c>
      <c r="D36" s="1">
        <f>VLOOKUP($B36,[26]TrtCodes!$B$11:J131,3)</f>
        <v>6</v>
      </c>
      <c r="E36" s="1">
        <f>VLOOKUP($B36,[26]TrtCodes!$B$11:K131,4)</f>
        <v>1</v>
      </c>
      <c r="F36" s="1">
        <f>VLOOKUP($B36,[26]TrtCodes!$B$11:L131,5)</f>
        <v>3</v>
      </c>
      <c r="G36" s="1">
        <f>VLOOKUP($B36,[26]TrtCodes!$B$11:M131,6)</f>
        <v>1</v>
      </c>
      <c r="H36" s="1">
        <f>VLOOKUP($B36,[26]TrtCodes!$B$11:N131,7)</f>
        <v>3</v>
      </c>
      <c r="I36" s="1">
        <f>[26]FormattedData!B88</f>
        <v>1</v>
      </c>
      <c r="J36" s="4">
        <f>[26]FormattedData!C88</f>
        <v>13.445</v>
      </c>
      <c r="K36" s="6">
        <f>$J$3+[26]FormattedData!D88*$J$4+$M$4*$J$5+[26]FormattedData!D88^2*$J$6+$M$5*$J$7</f>
        <v>32.31424865928048</v>
      </c>
      <c r="L36" s="6">
        <f>$J$3+[26]FormattedData!E88*$J$4+$M$4*$J$5+[26]FormattedData!E88^2*$J$6+$M$5*$J$7</f>
        <v>32.025202047578247</v>
      </c>
      <c r="M36" s="6">
        <f>$J$3+[26]FormattedData!F88*$J$4+$M$4*$J$5+[26]FormattedData!F88^2*$J$6+$M$5*$J$7</f>
        <v>30.962109793916031</v>
      </c>
      <c r="N36" s="6">
        <f>$J$3+[26]FormattedData!G88*$J$4+$M$4*$J$5+[26]FormattedData!G88^2*$J$6+$M$5*$J$7</f>
        <v>31.63921480577757</v>
      </c>
      <c r="O36" s="6">
        <f>$J$3+[26]FormattedData!H88*$J$4+$M$4*$J$5+[26]FormattedData!H88^2*$J$6+$M$5*$J$7</f>
        <v>31.63921480577757</v>
      </c>
      <c r="P36" s="6">
        <f>$J$3+[26]FormattedData!I88*$J$4+$M$4*$J$5+[26]FormattedData!I88^2*$J$6+$M$5*$J$7</f>
        <v>32.891200632160803</v>
      </c>
      <c r="Q36" s="6">
        <f>$J$3+[26]FormattedData!J88*$J$4+$M$4*$J$5+[26]FormattedData!J88^2*$J$6+$M$5*$J$7</f>
        <v>33.083179808150788</v>
      </c>
      <c r="R36" s="6">
        <f>$J$3+[26]FormattedData!K88*$J$4+$M$4*$J$5+[26]FormattedData!K88^2*$J$6+$M$5*$J$7</f>
        <v>33.27498990998906</v>
      </c>
      <c r="S36" s="6">
        <f>$J$3+[26]FormattedData!L88*$J$4+$M$4*$J$5+[26]FormattedData!L88^2*$J$6+$M$5*$J$7</f>
        <v>32.987211354424765</v>
      </c>
      <c r="T36" s="6">
        <f>$J$3+[26]FormattedData!M88*$J$4+$M$4*$J$5+[26]FormattedData!M88^2*$J$6+$M$5*$J$7</f>
        <v>33.27498990998906</v>
      </c>
      <c r="U36" s="6">
        <f>$J$3+[26]FormattedData!N88*$J$4+$M$4*$J$5+[26]FormattedData!N88^2*$J$6+$M$5*$J$7</f>
        <v>32.12159318668359</v>
      </c>
      <c r="V36" s="6">
        <f>$J$3+[26]FormattedData!O88*$J$4+$M$4*$J$5+[26]FormattedData!O88^2*$J$6+$M$5*$J$7</f>
        <v>31.445967573649643</v>
      </c>
      <c r="W36" s="5">
        <f t="shared" si="0"/>
        <v>32.304926873948126</v>
      </c>
      <c r="X36" s="4">
        <f t="shared" si="1"/>
        <v>0.22757298645601937</v>
      </c>
      <c r="Y36" s="3">
        <f t="shared" si="2"/>
        <v>30.962109793916031</v>
      </c>
      <c r="Z36" s="2">
        <f t="shared" si="3"/>
        <v>31.63921480577757</v>
      </c>
      <c r="AA36" s="3">
        <f t="shared" si="4"/>
        <v>32.217920922982032</v>
      </c>
      <c r="AB36" s="2">
        <f t="shared" si="5"/>
        <v>33.011203467856269</v>
      </c>
      <c r="AC36" s="2">
        <f t="shared" si="6"/>
        <v>33.27498990998906</v>
      </c>
      <c r="AD36" s="2">
        <f t="shared" si="7"/>
        <v>-0.19081697416698895</v>
      </c>
      <c r="AE36" s="2">
        <f t="shared" si="8"/>
        <v>-1.3126726230541892</v>
      </c>
    </row>
    <row r="37" spans="2:31" x14ac:dyDescent="0.2">
      <c r="B37" s="1">
        <f>[26]FormattedData!A86</f>
        <v>404</v>
      </c>
      <c r="C37" s="1" t="str">
        <f>VLOOKUP($B37,[26]TrtCodes!$B$11:I129,2)</f>
        <v>FTH</v>
      </c>
      <c r="D37" s="1">
        <f>VLOOKUP($B37,[26]TrtCodes!$B$11:J129,3)</f>
        <v>3</v>
      </c>
      <c r="E37" s="1">
        <f>VLOOKUP($B37,[26]TrtCodes!$B$11:K129,4)</f>
        <v>1</v>
      </c>
      <c r="F37" s="1">
        <f>VLOOKUP($B37,[26]TrtCodes!$B$11:L129,5)</f>
        <v>2</v>
      </c>
      <c r="G37" s="1">
        <f>VLOOKUP($B37,[26]TrtCodes!$B$11:M129,6)</f>
        <v>2</v>
      </c>
      <c r="H37" s="1">
        <f>VLOOKUP($B37,[26]TrtCodes!$B$11:N129,7)</f>
        <v>3</v>
      </c>
      <c r="I37" s="1">
        <f>[26]FormattedData!B86</f>
        <v>1</v>
      </c>
      <c r="J37" s="4">
        <f>[26]FormattedData!C86</f>
        <v>13.428000000000001</v>
      </c>
      <c r="K37" s="6">
        <f>$J$3+[26]FormattedData!D86*$J$4+$M$4*$J$5+[26]FormattedData!D86^2*$J$6+$M$5*$J$7</f>
        <v>34.517634389489508</v>
      </c>
      <c r="L37" s="6">
        <f>$J$3+[26]FormattedData!E86*$J$4+$M$4*$J$5+[26]FormattedData!E86^2*$J$6+$M$5*$J$7</f>
        <v>34.898549406738461</v>
      </c>
      <c r="M37" s="6">
        <f>$J$3+[26]FormattedData!F86*$J$4+$M$4*$J$5+[26]FormattedData!F86^2*$J$6+$M$5*$J$7</f>
        <v>34.803384055233117</v>
      </c>
      <c r="N37" s="6">
        <f>$J$3+[26]FormattedData!G86*$J$4+$M$4*$J$5+[26]FormattedData!G86^2*$J$6+$M$5*$J$7</f>
        <v>33.753775465170932</v>
      </c>
      <c r="O37" s="6">
        <f>$J$3+[26]FormattedData!H86*$J$4+$M$4*$J$5+[26]FormattedData!H86^2*$J$6+$M$5*$J$7</f>
        <v>34.708176435189841</v>
      </c>
      <c r="P37" s="6">
        <f>$J$3+[26]FormattedData!I86*$J$4+$M$4*$J$5+[26]FormattedData!I86^2*$J$6+$M$5*$J$7</f>
        <v>34.517634389489508</v>
      </c>
      <c r="Q37" s="6">
        <f>$J$3+[26]FormattedData!J86*$J$4+$M$4*$J$5+[26]FormattedData!J86^2*$J$6+$M$5*$J$7</f>
        <v>33.466630937675603</v>
      </c>
      <c r="R37" s="6">
        <f>$J$3+[26]FormattedData!K86*$J$4+$M$4*$J$5+[26]FormattedData!K86^2*$J$6+$M$5*$J$7</f>
        <v>33.562388048711973</v>
      </c>
      <c r="S37" s="6">
        <f>$J$3+[26]FormattedData!L86*$J$4+$M$4*$J$5+[26]FormattedData!L86^2*$J$6+$M$5*$J$7</f>
        <v>33.370831558101301</v>
      </c>
      <c r="T37" s="6">
        <f>$J$3+[26]FormattedData!M86*$J$4+$M$4*$J$5+[26]FormattedData!M86^2*$J$6+$M$5*$J$7</f>
        <v>34.803384055233117</v>
      </c>
      <c r="U37" s="6">
        <f>$J$3+[26]FormattedData!N86*$J$4+$M$4*$J$5+[26]FormattedData!N86^2*$J$6+$M$5*$J$7</f>
        <v>34.422299963832458</v>
      </c>
      <c r="V37" s="6">
        <f>$J$3+[26]FormattedData!O86*$J$4+$M$4*$J$5+[26]FormattedData!O86^2*$J$6+$M$5*$J$7</f>
        <v>33.083179808150788</v>
      </c>
      <c r="W37" s="5">
        <f t="shared" si="0"/>
        <v>34.158989042751386</v>
      </c>
      <c r="X37" s="4">
        <f t="shared" si="1"/>
        <v>0.19036806582053992</v>
      </c>
      <c r="Y37" s="3">
        <f t="shared" si="2"/>
        <v>33.083179808150788</v>
      </c>
      <c r="Z37" s="2">
        <f t="shared" si="3"/>
        <v>33.538448770952883</v>
      </c>
      <c r="AA37" s="3">
        <f t="shared" si="4"/>
        <v>34.469967176660987</v>
      </c>
      <c r="AB37" s="2">
        <f t="shared" si="5"/>
        <v>34.731978340200662</v>
      </c>
      <c r="AC37" s="2">
        <f t="shared" si="6"/>
        <v>34.898549406738461</v>
      </c>
      <c r="AD37" s="2">
        <f t="shared" si="7"/>
        <v>-0.42971377493897367</v>
      </c>
      <c r="AE37" s="2">
        <f t="shared" si="8"/>
        <v>-1.6323078416825614</v>
      </c>
    </row>
    <row r="38" spans="2:31" x14ac:dyDescent="0.2">
      <c r="B38" s="1">
        <f>[26]FormattedData!A84</f>
        <v>405</v>
      </c>
      <c r="C38" s="1" t="str">
        <f>VLOOKUP($B38,[26]TrtCodes!$B$11:I127,2)</f>
        <v>FDL</v>
      </c>
      <c r="D38" s="1">
        <f>VLOOKUP($B38,[26]TrtCodes!$B$11:J127,3)</f>
        <v>6</v>
      </c>
      <c r="E38" s="1">
        <f>VLOOKUP($B38,[26]TrtCodes!$B$11:K127,4)</f>
        <v>1</v>
      </c>
      <c r="F38" s="1">
        <f>VLOOKUP($B38,[26]TrtCodes!$B$11:L127,5)</f>
        <v>3</v>
      </c>
      <c r="G38" s="1">
        <f>VLOOKUP($B38,[26]TrtCodes!$B$11:M127,6)</f>
        <v>1</v>
      </c>
      <c r="H38" s="1">
        <f>VLOOKUP($B38,[26]TrtCodes!$B$11:N127,7)</f>
        <v>4</v>
      </c>
      <c r="I38" s="1">
        <f>[26]FormattedData!B84</f>
        <v>1</v>
      </c>
      <c r="J38" s="4">
        <f>[26]FormattedData!C84</f>
        <v>13.413</v>
      </c>
      <c r="K38" s="6">
        <f>$J$3+[26]FormattedData!D84*$J$4+$M$4*$J$5+[26]FormattedData!D84^2*$J$6+$M$5*$J$7</f>
        <v>34.04053957582488</v>
      </c>
      <c r="L38" s="6">
        <f>$J$3+[26]FormattedData!E84*$J$4+$M$4*$J$5+[26]FormattedData!E84^2*$J$6+$M$5*$J$7</f>
        <v>32.987211354424765</v>
      </c>
      <c r="M38" s="6">
        <f>$J$3+[26]FormattedData!F84*$J$4+$M$4*$J$5+[26]FormattedData!F84^2*$J$6+$M$5*$J$7</f>
        <v>33.466630937675603</v>
      </c>
      <c r="N38" s="6">
        <f>$J$3+[26]FormattedData!G84*$J$4+$M$4*$J$5+[26]FormattedData!G84^2*$J$6+$M$5*$J$7</f>
        <v>33.179105993338894</v>
      </c>
      <c r="O38" s="6">
        <f>$J$3+[26]FormattedData!H84*$J$4+$M$4*$J$5+[26]FormattedData!H84^2*$J$6+$M$5*$J$7</f>
        <v>33.370831558101301</v>
      </c>
      <c r="P38" s="6">
        <f>$J$3+[26]FormattedData!I84*$J$4+$M$4*$J$5+[26]FormattedData!I84^2*$J$6+$M$5*$J$7</f>
        <v>34.231504306904526</v>
      </c>
      <c r="Q38" s="6">
        <f>$J$3+[26]FormattedData!J84*$J$4+$M$4*$J$5+[26]FormattedData!J84^2*$J$6+$M$5*$J$7</f>
        <v>32.987211354424765</v>
      </c>
      <c r="R38" s="6">
        <f>$J$3+[26]FormattedData!K84*$J$4+$M$4*$J$5+[26]FormattedData!K84^2*$J$6+$M$5*$J$7</f>
        <v>33.370831558101301</v>
      </c>
      <c r="S38" s="6">
        <f>$J$3+[26]FormattedData!L84*$J$4+$M$4*$J$5+[26]FormattedData!L84^2*$J$6+$M$5*$J$7</f>
        <v>33.658102891210426</v>
      </c>
      <c r="T38" s="6">
        <f>$J$3+[26]FormattedData!M84*$J$4+$M$4*$J$5+[26]FormattedData!M84^2*$J$6+$M$5*$J$7</f>
        <v>33.179105993338894</v>
      </c>
      <c r="U38" s="6">
        <f>$J$3+[26]FormattedData!N84*$J$4+$M$4*$J$5+[26]FormattedData!N84^2*$J$6+$M$5*$J$7</f>
        <v>33.27498990998906</v>
      </c>
      <c r="V38" s="6">
        <f>$J$3+[26]FormattedData!O84*$J$4+$M$4*$J$5+[26]FormattedData!O84^2*$J$6+$M$5*$J$7</f>
        <v>32.506735057725649</v>
      </c>
      <c r="W38" s="5">
        <f t="shared" si="0"/>
        <v>33.354400040921682</v>
      </c>
      <c r="X38" s="4">
        <f t="shared" si="1"/>
        <v>0.13487995508874334</v>
      </c>
      <c r="Y38" s="3">
        <f t="shared" si="2"/>
        <v>32.506735057725649</v>
      </c>
      <c r="Z38" s="2">
        <f t="shared" si="3"/>
        <v>33.13113233361036</v>
      </c>
      <c r="AA38" s="3">
        <f t="shared" si="4"/>
        <v>33.32291073404518</v>
      </c>
      <c r="AB38" s="2">
        <f t="shared" si="5"/>
        <v>33.514498926059311</v>
      </c>
      <c r="AC38" s="2">
        <f t="shared" si="6"/>
        <v>34.231504306904526</v>
      </c>
      <c r="AD38" s="2">
        <f t="shared" si="7"/>
        <v>0.32925322276372632</v>
      </c>
      <c r="AE38" s="2">
        <f t="shared" si="8"/>
        <v>0.51848605860791253</v>
      </c>
    </row>
    <row r="39" spans="2:31" x14ac:dyDescent="0.2">
      <c r="B39" s="1">
        <f>[26]FormattedData!A82</f>
        <v>406</v>
      </c>
      <c r="C39" s="1" t="str">
        <f>VLOOKUP($B39,[26]TrtCodes!$B$11:I125,2)</f>
        <v>FTH</v>
      </c>
      <c r="D39" s="1">
        <f>VLOOKUP($B39,[26]TrtCodes!$B$11:J125,3)</f>
        <v>3</v>
      </c>
      <c r="E39" s="1">
        <f>VLOOKUP($B39,[26]TrtCodes!$B$11:K125,4)</f>
        <v>1</v>
      </c>
      <c r="F39" s="1">
        <f>VLOOKUP($B39,[26]TrtCodes!$B$11:L125,5)</f>
        <v>2</v>
      </c>
      <c r="G39" s="1">
        <f>VLOOKUP($B39,[26]TrtCodes!$B$11:M125,6)</f>
        <v>2</v>
      </c>
      <c r="H39" s="1">
        <f>VLOOKUP($B39,[26]TrtCodes!$B$11:N125,7)</f>
        <v>4</v>
      </c>
      <c r="I39" s="1">
        <f>[26]FormattedData!B82</f>
        <v>1</v>
      </c>
      <c r="J39" s="4">
        <f>[26]FormattedData!C82</f>
        <v>13.398999999999999</v>
      </c>
      <c r="K39" s="6">
        <f>$J$3+[26]FormattedData!D82*$J$4+$M$4*$J$5+[26]FormattedData!D82^2*$J$6+$M$5*$J$7</f>
        <v>32.410512992772034</v>
      </c>
      <c r="L39" s="6">
        <f>$J$3+[26]FormattedData!E82*$J$4+$M$4*$J$5+[26]FormattedData!E82^2*$J$6+$M$5*$J$7</f>
        <v>32.891200632160803</v>
      </c>
      <c r="M39" s="6">
        <f>$J$3+[26]FormattedData!F82*$J$4+$M$4*$J$5+[26]FormattedData!F82^2*$J$6+$M$5*$J$7</f>
        <v>32.602914854141332</v>
      </c>
      <c r="N39" s="6">
        <f>$J$3+[26]FormattedData!G82*$J$4+$M$4*$J$5+[26]FormattedData!G82^2*$J$6+$M$5*$J$7</f>
        <v>32.217942057250994</v>
      </c>
      <c r="O39" s="6">
        <f>$J$3+[26]FormattedData!H82*$J$4+$M$4*$J$5+[26]FormattedData!H82^2*$J$6+$M$5*$J$7</f>
        <v>32.12159318668359</v>
      </c>
      <c r="P39" s="6">
        <f>$J$3+[26]FormattedData!I82*$J$4+$M$4*$J$5+[26]FormattedData!I82^2*$J$6+$M$5*$J$7</f>
        <v>31.542612323982574</v>
      </c>
      <c r="Q39" s="6">
        <f>$J$3+[26]FormattedData!J82*$J$4+$M$4*$J$5+[26]FormattedData!J82^2*$J$6+$M$5*$J$7</f>
        <v>30.671287903620694</v>
      </c>
      <c r="R39" s="6">
        <f>$J$3+[26]FormattedData!K82*$J$4+$M$4*$J$5+[26]FormattedData!K82^2*$J$6+$M$5*$J$7</f>
        <v>31.445967573649643</v>
      </c>
      <c r="S39" s="6">
        <f>$J$3+[26]FormattedData!L82*$J$4+$M$4*$J$5+[26]FormattedData!L82^2*$J$6+$M$5*$J$7</f>
        <v>31.058965886938612</v>
      </c>
      <c r="T39" s="6">
        <f>$J$3+[26]FormattedData!M82*$J$4+$M$4*$J$5+[26]FormattedData!M82^2*$J$6+$M$5*$J$7</f>
        <v>31.349280554778787</v>
      </c>
      <c r="U39" s="6">
        <f>$J$3+[26]FormattedData!N82*$J$4+$M$4*$J$5+[26]FormattedData!N82^2*$J$6+$M$5*$J$7</f>
        <v>31.445967573649643</v>
      </c>
      <c r="V39" s="6">
        <f>$J$3+[26]FormattedData!O82*$J$4+$M$4*$J$5+[26]FormattedData!O82^2*$J$6+$M$5*$J$7</f>
        <v>32.217942057250994</v>
      </c>
      <c r="W39" s="5">
        <f t="shared" si="0"/>
        <v>31.83134896640664</v>
      </c>
      <c r="X39" s="4">
        <f t="shared" si="1"/>
        <v>0.19447470650193413</v>
      </c>
      <c r="Y39" s="3">
        <f t="shared" si="2"/>
        <v>30.671287903620694</v>
      </c>
      <c r="Z39" s="2">
        <f t="shared" si="3"/>
        <v>31.42179581893193</v>
      </c>
      <c r="AA39" s="3">
        <f t="shared" si="4"/>
        <v>31.832102755333082</v>
      </c>
      <c r="AB39" s="2">
        <f t="shared" si="5"/>
        <v>32.266084791131256</v>
      </c>
      <c r="AC39" s="2">
        <f t="shared" si="6"/>
        <v>32.891200632160803</v>
      </c>
      <c r="AD39" s="2">
        <f t="shared" si="7"/>
        <v>-0.10289584304261626</v>
      </c>
      <c r="AE39" s="2">
        <f t="shared" si="8"/>
        <v>-0.93311868515009611</v>
      </c>
    </row>
    <row r="40" spans="2:31" x14ac:dyDescent="0.2">
      <c r="B40" s="1">
        <f>[26]FormattedData!A80</f>
        <v>407</v>
      </c>
      <c r="C40" s="1" t="str">
        <f>VLOOKUP($B40,[26]TrtCodes!$B$11:I123,2)</f>
        <v>NSH</v>
      </c>
      <c r="D40" s="1">
        <f>VLOOKUP($B40,[26]TrtCodes!$B$11:J123,3)</f>
        <v>7</v>
      </c>
      <c r="E40" s="1">
        <f>VLOOKUP($B40,[26]TrtCodes!$B$11:K123,4)</f>
        <v>2</v>
      </c>
      <c r="F40" s="1">
        <f>VLOOKUP($B40,[26]TrtCodes!$B$11:L123,5)</f>
        <v>1</v>
      </c>
      <c r="G40" s="1">
        <f>VLOOKUP($B40,[26]TrtCodes!$B$11:M123,6)</f>
        <v>2</v>
      </c>
      <c r="H40" s="1">
        <f>VLOOKUP($B40,[26]TrtCodes!$B$11:N123,7)</f>
        <v>4</v>
      </c>
      <c r="I40" s="1">
        <f>[26]FormattedData!B80</f>
        <v>1</v>
      </c>
      <c r="J40" s="4">
        <f>[26]FormattedData!C80</f>
        <v>13.382999999999999</v>
      </c>
      <c r="K40" s="6">
        <f>$J$3+[26]FormattedData!D80*$J$4+$M$4*$J$5+[26]FormattedData!D80^2*$J$6+$M$5*$J$7</f>
        <v>31.349280554778787</v>
      </c>
      <c r="L40" s="6">
        <f>$J$3+[26]FormattedData!E80*$J$4+$M$4*$J$5+[26]FormattedData!E80^2*$J$6+$M$5*$J$7</f>
        <v>31.445967573649643</v>
      </c>
      <c r="M40" s="6">
        <f>$J$3+[26]FormattedData!F80*$J$4+$M$4*$J$5+[26]FormattedData!F80^2*$J$6+$M$5*$J$7</f>
        <v>31.542612323982574</v>
      </c>
      <c r="N40" s="6">
        <f>$J$3+[26]FormattedData!G80*$J$4+$M$4*$J$5+[26]FormattedData!G80^2*$J$6+$M$5*$J$7</f>
        <v>31.542612323982574</v>
      </c>
      <c r="O40" s="6">
        <f>$J$3+[26]FormattedData!H80*$J$4+$M$4*$J$5+[26]FormattedData!H80^2*$J$6+$M$5*$J$7</f>
        <v>31.349280554778787</v>
      </c>
      <c r="P40" s="6">
        <f>$J$3+[26]FormattedData!I80*$J$4+$M$4*$J$5+[26]FormattedData!I80^2*$J$6+$M$5*$J$7</f>
        <v>32.795147641358909</v>
      </c>
      <c r="Q40" s="6">
        <f>$J$3+[26]FormattedData!J80*$J$4+$M$4*$J$5+[26]FormattedData!J80^2*$J$6+$M$5*$J$7</f>
        <v>32.699052382019083</v>
      </c>
      <c r="R40" s="6">
        <f>$J$3+[26]FormattedData!K80*$J$4+$M$4*$J$5+[26]FormattedData!K80^2*$J$6+$M$5*$J$7</f>
        <v>33.179105993338894</v>
      </c>
      <c r="S40" s="6">
        <f>$J$3+[26]FormattedData!L80*$J$4+$M$4*$J$5+[26]FormattedData!L80^2*$J$6+$M$5*$J$7</f>
        <v>32.987211354424765</v>
      </c>
      <c r="T40" s="6">
        <f>$J$3+[26]FormattedData!M80*$J$4+$M$4*$J$5+[26]FormattedData!M80^2*$J$6+$M$5*$J$7</f>
        <v>32.025202047578247</v>
      </c>
      <c r="U40" s="6">
        <f>$J$3+[26]FormattedData!N80*$J$4+$M$4*$J$5+[26]FormattedData!N80^2*$J$6+$M$5*$J$7</f>
        <v>30.865211432355519</v>
      </c>
      <c r="V40" s="6">
        <f>$J$3+[26]FormattedData!O80*$J$4+$M$4*$J$5+[26]FormattedData!O80^2*$J$6+$M$5*$J$7</f>
        <v>31.832292963753773</v>
      </c>
      <c r="W40" s="5">
        <f t="shared" si="0"/>
        <v>31.967748095500131</v>
      </c>
      <c r="X40" s="4">
        <f t="shared" si="1"/>
        <v>0.21953921032933688</v>
      </c>
      <c r="Y40" s="3">
        <f t="shared" si="2"/>
        <v>30.865211432355519</v>
      </c>
      <c r="Z40" s="2">
        <f t="shared" si="3"/>
        <v>31.42179581893193</v>
      </c>
      <c r="AA40" s="3">
        <f t="shared" si="4"/>
        <v>31.687452643868173</v>
      </c>
      <c r="AB40" s="2">
        <f t="shared" si="5"/>
        <v>32.723076196854038</v>
      </c>
      <c r="AC40" s="2">
        <f t="shared" si="6"/>
        <v>33.179105993338894</v>
      </c>
      <c r="AD40" s="2">
        <f t="shared" si="7"/>
        <v>0.4174636604387883</v>
      </c>
      <c r="AE40" s="2">
        <f t="shared" si="8"/>
        <v>-1.2549426855483632</v>
      </c>
    </row>
    <row r="41" spans="2:31" x14ac:dyDescent="0.2">
      <c r="B41" s="1">
        <f>[26]FormattedData!A78</f>
        <v>408</v>
      </c>
      <c r="C41" s="1" t="str">
        <f>VLOOKUP($B41,[26]TrtCodes!$B$11:I121,2)</f>
        <v>NTL</v>
      </c>
      <c r="D41" s="1">
        <f>VLOOKUP($B41,[26]TrtCodes!$B$11:J121,3)</f>
        <v>10</v>
      </c>
      <c r="E41" s="1">
        <f>VLOOKUP($B41,[26]TrtCodes!$B$11:K121,4)</f>
        <v>2</v>
      </c>
      <c r="F41" s="1">
        <f>VLOOKUP($B41,[26]TrtCodes!$B$11:L121,5)</f>
        <v>2</v>
      </c>
      <c r="G41" s="1">
        <f>VLOOKUP($B41,[26]TrtCodes!$B$11:M121,6)</f>
        <v>1</v>
      </c>
      <c r="H41" s="1">
        <f>VLOOKUP($B41,[26]TrtCodes!$B$11:N121,7)</f>
        <v>4</v>
      </c>
      <c r="I41" s="1">
        <f>[26]FormattedData!B78</f>
        <v>1</v>
      </c>
      <c r="J41" s="4">
        <f>[26]FormattedData!C78</f>
        <v>13.369</v>
      </c>
      <c r="K41" s="6">
        <f>$J$3+[26]FormattedData!D78*$J$4+$M$4*$J$5+[26]FormattedData!D78^2*$J$6+$M$5*$J$7</f>
        <v>32.31424865928048</v>
      </c>
      <c r="L41" s="6">
        <f>$J$3+[26]FormattedData!E78*$J$4+$M$4*$J$5+[26]FormattedData!E78^2*$J$6+$M$5*$J$7</f>
        <v>32.506735057725649</v>
      </c>
      <c r="M41" s="6">
        <f>$J$3+[26]FormattedData!F78*$J$4+$M$4*$J$5+[26]FormattedData!F78^2*$J$6+$M$5*$J$7</f>
        <v>31.832292963753773</v>
      </c>
      <c r="N41" s="6">
        <f>$J$3+[26]FormattedData!G78*$J$4+$M$4*$J$5+[26]FormattedData!G78^2*$J$6+$M$5*$J$7</f>
        <v>30.962109793916031</v>
      </c>
      <c r="O41" s="6">
        <f>$J$3+[26]FormattedData!H78*$J$4+$M$4*$J$5+[26]FormattedData!H78^2*$J$6+$M$5*$J$7</f>
        <v>31.735775019034634</v>
      </c>
      <c r="P41" s="6">
        <f>$J$3+[26]FormattedData!I78*$J$4+$M$4*$J$5+[26]FormattedData!I78^2*$J$6+$M$5*$J$7</f>
        <v>31.542612323982574</v>
      </c>
      <c r="Q41" s="6">
        <f>$J$3+[26]FormattedData!J78*$J$4+$M$4*$J$5+[26]FormattedData!J78^2*$J$6+$M$5*$J$7</f>
        <v>31.252551267369988</v>
      </c>
      <c r="R41" s="6">
        <f>$J$3+[26]FormattedData!K78*$J$4+$M$4*$J$5+[26]FormattedData!K78^2*$J$6+$M$5*$J$7</f>
        <v>31.252551267369988</v>
      </c>
      <c r="S41" s="6">
        <f>$J$3+[26]FormattedData!L78*$J$4+$M$4*$J$5+[26]FormattedData!L78^2*$J$6+$M$5*$J$7</f>
        <v>31.63921480577757</v>
      </c>
      <c r="T41" s="6">
        <f>$J$3+[26]FormattedData!M78*$J$4+$M$4*$J$5+[26]FormattedData!M78^2*$J$6+$M$5*$J$7</f>
        <v>31.349280554778787</v>
      </c>
      <c r="U41" s="6">
        <f>$J$3+[26]FormattedData!N78*$J$4+$M$4*$J$5+[26]FormattedData!N78^2*$J$6+$M$5*$J$7</f>
        <v>30.574262736446382</v>
      </c>
      <c r="V41" s="6">
        <f>$J$3+[26]FormattedData!O78*$J$4+$M$4*$J$5+[26]FormattedData!O78^2*$J$6+$M$5*$J$7</f>
        <v>30.962109793916031</v>
      </c>
      <c r="W41" s="5">
        <f t="shared" si="0"/>
        <v>31.49364535361266</v>
      </c>
      <c r="X41" s="4">
        <f t="shared" si="1"/>
        <v>0.16152812292318117</v>
      </c>
      <c r="Y41" s="3">
        <f t="shared" si="2"/>
        <v>30.574262736446382</v>
      </c>
      <c r="Z41" s="2">
        <f t="shared" si="3"/>
        <v>31.1799408990065</v>
      </c>
      <c r="AA41" s="3">
        <f t="shared" si="4"/>
        <v>31.44594643938068</v>
      </c>
      <c r="AB41" s="2">
        <f t="shared" si="5"/>
        <v>31.759904505214418</v>
      </c>
      <c r="AC41" s="2">
        <f t="shared" si="6"/>
        <v>32.506735057725649</v>
      </c>
      <c r="AD41" s="2">
        <f t="shared" si="7"/>
        <v>0.33631389297335856</v>
      </c>
      <c r="AE41" s="2">
        <f t="shared" si="8"/>
        <v>-0.16711679100538301</v>
      </c>
    </row>
    <row r="42" spans="2:31" x14ac:dyDescent="0.2">
      <c r="B42" s="17">
        <f>[26]FormattedData!A60</f>
        <v>901</v>
      </c>
      <c r="C42" s="17" t="str">
        <f>VLOOKUP($B42,[26]TrtCodes!$B$11:I103,2)</f>
        <v>WS</v>
      </c>
      <c r="D42" s="17">
        <f>VLOOKUP($B42,[26]TrtCodes!$B$11:J103,3)</f>
        <v>32</v>
      </c>
      <c r="E42" s="17">
        <f>VLOOKUP($B42,[26]TrtCodes!$B$11:K103,4)</f>
        <v>9</v>
      </c>
      <c r="F42" s="17">
        <f>VLOOKUP($B42,[26]TrtCodes!$B$11:L103,5)</f>
        <v>0</v>
      </c>
      <c r="G42" s="17">
        <f>VLOOKUP($B42,[26]TrtCodes!$B$11:M103,6)</f>
        <v>1</v>
      </c>
      <c r="H42" s="17">
        <f>VLOOKUP($B42,[26]TrtCodes!$B$11:N103,7)</f>
        <v>1</v>
      </c>
      <c r="I42" s="17">
        <f>[26]FormattedData!B60</f>
        <v>1</v>
      </c>
      <c r="J42" s="15">
        <f>[26]FormattedData!C60</f>
        <v>13.21</v>
      </c>
      <c r="K42" s="14">
        <f>$J$3+[26]FormattedData!D60*$J$4+$M$4*$J$5+[26]FormattedData!D60^2*$J$6+$M$5*$J$7</f>
        <v>54.549652955711693</v>
      </c>
      <c r="L42" s="14">
        <f>$J$3+[26]FormattedData!E60*$J$4+$M$4*$J$5+[26]FormattedData!E60^2*$J$6+$M$5*$J$7</f>
        <v>54.033060454997027</v>
      </c>
      <c r="M42" s="14">
        <f>$J$3+[26]FormattedData!F60*$J$4+$M$4*$J$5+[26]FormattedData!F60^2*$J$6+$M$5*$J$7</f>
        <v>52.995310451471163</v>
      </c>
      <c r="N42" s="14">
        <f>$J$3+[26]FormattedData!G60*$J$4+$M$4*$J$5+[26]FormattedData!G60^2*$J$6+$M$5*$J$7</f>
        <v>52.908556539014128</v>
      </c>
      <c r="O42" s="14">
        <f>$J$3+[26]FormattedData!H60*$J$4+$M$4*$J$5+[26]FormattedData!H60^2*$J$6+$M$5*$J$7</f>
        <v>54.291546913775051</v>
      </c>
      <c r="P42" s="14">
        <f>$J$3+[26]FormattedData!I60*$J$4+$M$4*$J$5+[26]FormattedData!I60^2*$J$6+$M$5*$J$7</f>
        <v>52.821760358019148</v>
      </c>
      <c r="Q42" s="14">
        <f>$J$3+[26]FormattedData!J60*$J$4+$M$4*$J$5+[26]FormattedData!J60^2*$J$6+$M$5*$J$7</f>
        <v>52.561118203806643</v>
      </c>
      <c r="R42" s="14">
        <f>$J$3+[26]FormattedData!K60*$J$4+$M$4*$J$5+[26]FormattedData!K60^2*$J$6+$M$5*$J$7</f>
        <v>53.168691470771449</v>
      </c>
      <c r="S42" s="14">
        <f>$J$3+[26]FormattedData!L60*$J$4+$M$4*$J$5+[26]FormattedData!L60^2*$J$6+$M$5*$J$7</f>
        <v>52.734921908486243</v>
      </c>
      <c r="T42" s="14">
        <f>$J$3+[26]FormattedData!M60*$J$4+$M$4*$J$5+[26]FormattedData!M60^2*$J$6+$M$5*$J$7</f>
        <v>53.255318577614702</v>
      </c>
      <c r="U42" s="14">
        <f>$J$3+[26]FormattedData!N60*$J$4+$M$4*$J$5+[26]FormattedData!N60^2*$J$6+$M$5*$J$7</f>
        <v>53.774193579377645</v>
      </c>
      <c r="V42" s="14">
        <f>$J$3+[26]FormattedData!O60*$J$4+$M$4*$J$5+[26]FormattedData!O60^2*$J$6+$M$5*$J$7</f>
        <v>54.205427029386982</v>
      </c>
      <c r="W42" s="16">
        <f t="shared" ref="W42:W73" si="9">AVERAGE(K42:V42)</f>
        <v>53.441629870202661</v>
      </c>
      <c r="X42" s="15">
        <f t="shared" ref="X42:X73" si="10">STDEV(K42:V42)/SQRT(COUNT(K42:V42))</f>
        <v>0.19934361255134767</v>
      </c>
      <c r="Y42" s="14">
        <f t="shared" ref="Y42:Y73" si="11">MIN(K42:V42)</f>
        <v>52.561118203806643</v>
      </c>
      <c r="Z42" s="13">
        <f t="shared" ref="Z42:Z73" si="12">QUARTILE(K42:V42,1)</f>
        <v>52.886857493765383</v>
      </c>
      <c r="AA42" s="14">
        <f t="shared" ref="AA42:AA73" si="13">MEDIAN(K42:V42)</f>
        <v>53.212005024193076</v>
      </c>
      <c r="AB42" s="13">
        <f t="shared" ref="AB42:AB73" si="14">QUARTILE(K42:V42,3)</f>
        <v>54.07615209859452</v>
      </c>
      <c r="AC42" s="13">
        <f t="shared" ref="AC42:AC73" si="15">MAX(K42:V42)</f>
        <v>54.549652955711693</v>
      </c>
      <c r="AD42" s="13">
        <f t="shared" ref="AD42:AD73" si="16">SKEW(K42:V42)</f>
        <v>0.37188903383795335</v>
      </c>
      <c r="AE42" s="13">
        <f t="shared" ref="AE42:AE73" si="17">KURT(K42:V42)</f>
        <v>-1.5182739624636947</v>
      </c>
    </row>
    <row r="43" spans="2:31" x14ac:dyDescent="0.2">
      <c r="B43" s="1">
        <f>[26]FormattedData!A58</f>
        <v>902</v>
      </c>
      <c r="C43" s="1" t="str">
        <f>VLOOKUP($B43,[26]TrtCodes!$B$11:I101,2)</f>
        <v>Late</v>
      </c>
      <c r="D43" s="1">
        <f>VLOOKUP($B43,[26]TrtCodes!$B$11:J101,3)</f>
        <v>22</v>
      </c>
      <c r="E43" s="1">
        <f>VLOOKUP($B43,[26]TrtCodes!$B$11:K101,4)</f>
        <v>4</v>
      </c>
      <c r="F43" s="1">
        <f>VLOOKUP($B43,[26]TrtCodes!$B$11:L101,5)</f>
        <v>2</v>
      </c>
      <c r="G43" s="1">
        <f>VLOOKUP($B43,[26]TrtCodes!$B$11:M101,6)</f>
        <v>2</v>
      </c>
      <c r="H43" s="1">
        <f>VLOOKUP($B43,[26]TrtCodes!$B$11:N101,7)</f>
        <v>1</v>
      </c>
      <c r="I43" s="1">
        <f>[26]FormattedData!B58</f>
        <v>1</v>
      </c>
      <c r="J43" s="4">
        <f>[26]FormattedData!C58</f>
        <v>13.196</v>
      </c>
      <c r="K43" s="6">
        <f>$J$3+[26]FormattedData!D58*$J$4+$M$4*$J$5+[26]FormattedData!D58^2*$J$6+$M$5*$J$7</f>
        <v>43.928686141969592</v>
      </c>
      <c r="L43" s="6">
        <f>$J$3+[26]FormattedData!E58*$J$4+$M$4*$J$5+[26]FormattedData!E58^2*$J$6+$M$5*$J$7</f>
        <v>40.808753179105608</v>
      </c>
      <c r="M43" s="6">
        <f>$J$3+[26]FormattedData!F58*$J$4+$M$4*$J$5+[26]FormattedData!F58^2*$J$6+$M$5*$J$7</f>
        <v>43.928686141969592</v>
      </c>
      <c r="N43" s="6">
        <f>$J$3+[26]FormattedData!G58*$J$4+$M$4*$J$5+[26]FormattedData!G58^2*$J$6+$M$5*$J$7</f>
        <v>40.716250745489937</v>
      </c>
      <c r="O43" s="6">
        <f>$J$3+[26]FormattedData!H58*$J$4+$M$4*$J$5+[26]FormattedData!H58^2*$J$6+$M$5*$J$7</f>
        <v>40.531119072644792</v>
      </c>
      <c r="P43" s="6">
        <f>$J$3+[26]FormattedData!I58*$J$4+$M$4*$J$5+[26]FormattedData!I58^2*$J$6+$M$5*$J$7</f>
        <v>39.416778478387691</v>
      </c>
      <c r="Q43" s="6">
        <f>$J$3+[26]FormattedData!J58*$J$4+$M$4*$J$5+[26]FormattedData!J58^2*$J$6+$M$5*$J$7</f>
        <v>47.178886215444116</v>
      </c>
      <c r="R43" s="6">
        <f>$J$3+[26]FormattedData!K58*$J$4+$M$4*$J$5+[26]FormattedData!K58^2*$J$6+$M$5*$J$7</f>
        <v>38.857325680210856</v>
      </c>
      <c r="S43" s="6">
        <f>$J$3+[26]FormattedData!L58*$J$4+$M$4*$J$5+[26]FormattedData!L58^2*$J$6+$M$5*$J$7</f>
        <v>40.993631240723175</v>
      </c>
      <c r="T43" s="6">
        <f>$J$3+[26]FormattedData!M58*$J$4+$M$4*$J$5+[26]FormattedData!M58^2*$J$6+$M$5*$J$7</f>
        <v>39.043979020421531</v>
      </c>
      <c r="U43" s="6">
        <f>$J$3+[26]FormattedData!N58*$J$4+$M$4*$J$5+[26]FormattedData!N58^2*$J$6+$M$5*$J$7</f>
        <v>42.466569064201565</v>
      </c>
      <c r="V43" s="6">
        <f>$J$3+[26]FormattedData!O58*$J$4+$M$4*$J$5+[26]FormattedData!O58^2*$J$6+$M$5*$J$7</f>
        <v>38.296351214668505</v>
      </c>
      <c r="W43" s="5">
        <f t="shared" si="9"/>
        <v>41.347251349603084</v>
      </c>
      <c r="X43" s="4">
        <f t="shared" si="10"/>
        <v>0.75180197690645145</v>
      </c>
      <c r="Y43" s="3">
        <f t="shared" si="11"/>
        <v>38.296351214668505</v>
      </c>
      <c r="Z43" s="2">
        <f t="shared" si="12"/>
        <v>39.323578613896153</v>
      </c>
      <c r="AA43" s="3">
        <f t="shared" si="13"/>
        <v>40.762501962297776</v>
      </c>
      <c r="AB43" s="2">
        <f t="shared" si="14"/>
        <v>42.832098333643572</v>
      </c>
      <c r="AC43" s="2">
        <f t="shared" si="15"/>
        <v>47.178886215444116</v>
      </c>
      <c r="AD43" s="2">
        <f t="shared" si="16"/>
        <v>1.0492109175620028</v>
      </c>
      <c r="AE43" s="2">
        <f t="shared" si="17"/>
        <v>0.81271430162108782</v>
      </c>
    </row>
    <row r="44" spans="2:31" x14ac:dyDescent="0.2">
      <c r="B44" s="17">
        <f>[26]FormattedData!A56</f>
        <v>903</v>
      </c>
      <c r="C44" s="17" t="str">
        <f>VLOOKUP($B44,[26]TrtCodes!$B$11:I99,2)</f>
        <v>DS</v>
      </c>
      <c r="D44" s="17">
        <f>VLOOKUP($B44,[26]TrtCodes!$B$11:J99,3)</f>
        <v>31</v>
      </c>
      <c r="E44" s="17">
        <f>VLOOKUP($B44,[26]TrtCodes!$B$11:K99,4)</f>
        <v>8</v>
      </c>
      <c r="F44" s="17">
        <f>VLOOKUP($B44,[26]TrtCodes!$B$11:L99,5)</f>
        <v>0</v>
      </c>
      <c r="G44" s="17">
        <f>VLOOKUP($B44,[26]TrtCodes!$B$11:M99,6)</f>
        <v>1</v>
      </c>
      <c r="H44" s="17">
        <f>VLOOKUP($B44,[26]TrtCodes!$B$11:N99,7)</f>
        <v>1</v>
      </c>
      <c r="I44" s="17">
        <f>[26]FormattedData!B56</f>
        <v>1</v>
      </c>
      <c r="J44" s="15">
        <f>[26]FormattedData!C56</f>
        <v>13.19</v>
      </c>
      <c r="K44" s="14">
        <f>$J$3+[26]FormattedData!D56*$J$4+$M$4*$J$5+[26]FormattedData!D56^2*$J$6+$M$5*$J$7</f>
        <v>54.978984321514126</v>
      </c>
      <c r="L44" s="14">
        <f>$J$3+[26]FormattedData!E56*$J$4+$M$4*$J$5+[26]FormattedData!E56^2*$J$6+$M$5*$J$7</f>
        <v>56.175490430216115</v>
      </c>
      <c r="M44" s="14">
        <f>$J$3+[26]FormattedData!F56*$J$4+$M$4*$J$5+[26]FormattedData!F56^2*$J$6+$M$5*$J$7</f>
        <v>57.954715905579405</v>
      </c>
      <c r="N44" s="14">
        <f>$J$3+[26]FormattedData!G56*$J$4+$M$4*$J$5+[26]FormattedData!G56^2*$J$6+$M$5*$J$7</f>
        <v>57.109790448802144</v>
      </c>
      <c r="O44" s="14">
        <f>$J$3+[26]FormattedData!H56*$J$4+$M$4*$J$5+[26]FormattedData!H56^2*$J$6+$M$5*$J$7</f>
        <v>58.291502569228236</v>
      </c>
      <c r="P44" s="14">
        <f>$J$3+[26]FormattedData!I56*$J$4+$M$4*$J$5+[26]FormattedData!I56^2*$J$6+$M$5*$J$7</f>
        <v>58.291502569228236</v>
      </c>
      <c r="Q44" s="14">
        <f>$J$3+[26]FormattedData!J56*$J$4+$M$4*$J$5+[26]FormattedData!J56^2*$J$6+$M$5*$J$7</f>
        <v>57.786068962527402</v>
      </c>
      <c r="R44" s="14">
        <f>$J$3+[26]FormattedData!K56*$J$4+$M$4*$J$5+[26]FormattedData!K56^2*$J$6+$M$5*$J$7</f>
        <v>57.363711905483605</v>
      </c>
      <c r="S44" s="14">
        <f>$J$3+[26]FormattedData!L56*$J$4+$M$4*$J$5+[26]FormattedData!L56^2*$J$6+$M$5*$J$7</f>
        <v>57.279113688461052</v>
      </c>
      <c r="T44" s="14">
        <f>$J$3+[26]FormattedData!M56*$J$4+$M$4*$J$5+[26]FormattedData!M56^2*$J$6+$M$5*$J$7</f>
        <v>57.194473202900568</v>
      </c>
      <c r="U44" s="14">
        <f>$J$3+[26]FormattedData!N56*$J$4+$M$4*$J$5+[26]FormattedData!N56^2*$J$6+$M$5*$J$7</f>
        <v>57.279113688461052</v>
      </c>
      <c r="V44" s="14">
        <f>$J$3+[26]FormattedData!O56*$J$4+$M$4*$J$5+[26]FormattedData!O56^2*$J$6+$M$5*$J$7</f>
        <v>57.532781533914914</v>
      </c>
      <c r="W44" s="16">
        <f t="shared" si="9"/>
        <v>57.269770768859729</v>
      </c>
      <c r="X44" s="15">
        <f t="shared" si="10"/>
        <v>0.26654601942163991</v>
      </c>
      <c r="Y44" s="14">
        <f t="shared" si="11"/>
        <v>54.978984321514126</v>
      </c>
      <c r="Z44" s="13">
        <f t="shared" si="12"/>
        <v>57.173302514375962</v>
      </c>
      <c r="AA44" s="14">
        <f t="shared" si="13"/>
        <v>57.321412796972325</v>
      </c>
      <c r="AB44" s="13">
        <f t="shared" si="14"/>
        <v>57.828230698290405</v>
      </c>
      <c r="AC44" s="13">
        <f t="shared" si="15"/>
        <v>58.291502569228236</v>
      </c>
      <c r="AD44" s="13">
        <f t="shared" si="16"/>
        <v>-1.4862682119877888</v>
      </c>
      <c r="AE44" s="13">
        <f t="shared" si="17"/>
        <v>2.7843863444872259</v>
      </c>
    </row>
    <row r="45" spans="2:31" x14ac:dyDescent="0.2">
      <c r="B45" s="1">
        <f>[26]FormattedData!A54</f>
        <v>904</v>
      </c>
      <c r="C45" s="1" t="str">
        <f>VLOOKUP($B45,[26]TrtCodes!$B$11:I97,2)</f>
        <v>Early</v>
      </c>
      <c r="D45" s="1">
        <f>VLOOKUP($B45,[26]TrtCodes!$B$11:J97,3)</f>
        <v>21</v>
      </c>
      <c r="E45" s="1">
        <f>VLOOKUP($B45,[26]TrtCodes!$B$11:K97,4)</f>
        <v>3</v>
      </c>
      <c r="F45" s="1">
        <f>VLOOKUP($B45,[26]TrtCodes!$B$11:L97,5)</f>
        <v>2</v>
      </c>
      <c r="G45" s="1">
        <f>VLOOKUP($B45,[26]TrtCodes!$B$11:M97,6)</f>
        <v>2</v>
      </c>
      <c r="H45" s="1">
        <f>VLOOKUP($B45,[26]TrtCodes!$B$11:N97,7)</f>
        <v>1</v>
      </c>
      <c r="I45" s="1">
        <f>[26]FormattedData!B54</f>
        <v>1</v>
      </c>
      <c r="J45" s="4">
        <f>[26]FormattedData!C54</f>
        <v>13.175000000000001</v>
      </c>
      <c r="K45" s="6">
        <f>$J$3+[26]FormattedData!D54*$J$4+$M$4*$J$5+[26]FormattedData!D54^2*$J$6+$M$5*$J$7</f>
        <v>55.064723789060828</v>
      </c>
      <c r="L45" s="6">
        <f>$J$3+[26]FormattedData!E54*$J$4+$M$4*$J$5+[26]FormattedData!E54^2*$J$6+$M$5*$J$7</f>
        <v>42.924643035797189</v>
      </c>
      <c r="M45" s="6">
        <f>$J$3+[26]FormattedData!F54*$J$4+$M$4*$J$5+[26]FormattedData!F54^2*$J$6+$M$5*$J$7</f>
        <v>50.46228596381691</v>
      </c>
      <c r="N45" s="6">
        <f>$J$3+[26]FormattedData!G54*$J$4+$M$4*$J$5+[26]FormattedData!G54^2*$J$6+$M$5*$J$7</f>
        <v>40.345818325647912</v>
      </c>
      <c r="O45" s="6">
        <f>$J$3+[26]FormattedData!H54*$J$4+$M$4*$J$5+[26]FormattedData!H54^2*$J$6+$M$5*$J$7</f>
        <v>53.94681376499517</v>
      </c>
      <c r="P45" s="6">
        <f>$J$3+[26]FormattedData!I54*$J$4+$M$4*$J$5+[26]FormattedData!I54^2*$J$6+$M$5*$J$7</f>
        <v>40.716250745489937</v>
      </c>
      <c r="Q45" s="6">
        <f>$J$3+[26]FormattedData!J54*$J$4+$M$4*$J$5+[26]FormattedData!J54^2*$J$6+$M$5*$J$7</f>
        <v>53.082022095390279</v>
      </c>
      <c r="R45" s="6">
        <f>$J$3+[26]FormattedData!K54*$J$4+$M$4*$J$5+[26]FormattedData!K54^2*$J$6+$M$5*$J$7</f>
        <v>41.823490225374606</v>
      </c>
      <c r="S45" s="6">
        <f>$J$3+[26]FormattedData!L54*$J$4+$M$4*$J$5+[26]FormattedData!L54^2*$J$6+$M$5*$J$7</f>
        <v>54.205427029386982</v>
      </c>
      <c r="T45" s="6">
        <f>$J$3+[26]FormattedData!M54*$J$4+$M$4*$J$5+[26]FormattedData!M54^2*$J$6+$M$5*$J$7</f>
        <v>40.808753179105608</v>
      </c>
      <c r="U45" s="6">
        <f>$J$3+[26]FormattedData!N54*$J$4+$M$4*$J$5+[26]FormattedData!N54^2*$J$6+$M$5*$J$7</f>
        <v>53.774193579377645</v>
      </c>
      <c r="V45" s="6">
        <f>$J$3+[26]FormattedData!O54*$J$4+$M$4*$J$5+[26]FormattedData!O54^2*$J$6+$M$5*$J$7</f>
        <v>41.731452745676172</v>
      </c>
      <c r="W45" s="5">
        <f t="shared" si="9"/>
        <v>47.407156206593271</v>
      </c>
      <c r="X45" s="4">
        <f t="shared" si="10"/>
        <v>1.8491450215201921</v>
      </c>
      <c r="Y45" s="3">
        <f t="shared" si="11"/>
        <v>40.345818325647912</v>
      </c>
      <c r="Z45" s="2">
        <f t="shared" si="12"/>
        <v>41.500777854033529</v>
      </c>
      <c r="AA45" s="3">
        <f t="shared" si="13"/>
        <v>46.69346449980705</v>
      </c>
      <c r="AB45" s="2">
        <f t="shared" si="14"/>
        <v>53.817348625782024</v>
      </c>
      <c r="AC45" s="2">
        <f t="shared" si="15"/>
        <v>55.064723789060828</v>
      </c>
      <c r="AD45" s="2">
        <f t="shared" si="16"/>
        <v>5.2453307721180016E-2</v>
      </c>
      <c r="AE45" s="2">
        <f t="shared" si="17"/>
        <v>-2.2578137144323351</v>
      </c>
    </row>
    <row r="46" spans="2:31" x14ac:dyDescent="0.2">
      <c r="B46" s="17">
        <f>[26]FormattedData!A52</f>
        <v>905</v>
      </c>
      <c r="C46" s="17" t="str">
        <f>VLOOKUP($B46,[26]TrtCodes!$B$11:I95,2)</f>
        <v>WS</v>
      </c>
      <c r="D46" s="17">
        <f>VLOOKUP($B46,[26]TrtCodes!$B$11:J95,3)</f>
        <v>32</v>
      </c>
      <c r="E46" s="17">
        <f>VLOOKUP($B46,[26]TrtCodes!$B$11:K95,4)</f>
        <v>9</v>
      </c>
      <c r="F46" s="17">
        <f>VLOOKUP($B46,[26]TrtCodes!$B$11:L95,5)</f>
        <v>0</v>
      </c>
      <c r="G46" s="17">
        <f>VLOOKUP($B46,[26]TrtCodes!$B$11:M95,6)</f>
        <v>1</v>
      </c>
      <c r="H46" s="17">
        <f>VLOOKUP($B46,[26]TrtCodes!$B$11:N95,7)</f>
        <v>2</v>
      </c>
      <c r="I46" s="17">
        <f>[26]FormattedData!B52</f>
        <v>1</v>
      </c>
      <c r="J46" s="15">
        <f>[26]FormattedData!C52</f>
        <v>13.167999999999999</v>
      </c>
      <c r="K46" s="14">
        <f>$J$3+[26]FormattedData!D52*$J$4+$M$4*$J$5+[26]FormattedData!D52^2*$J$6+$M$5*$J$7</f>
        <v>39.230463286480472</v>
      </c>
      <c r="L46" s="14">
        <f>$J$3+[26]FormattedData!E52*$J$4+$M$4*$J$5+[26]FormattedData!E52^2*$J$6+$M$5*$J$7</f>
        <v>39.509872671534403</v>
      </c>
      <c r="M46" s="14">
        <f>$J$3+[26]FormattedData!F52*$J$4+$M$4*$J$5+[26]FormattedData!F52^2*$J$6+$M$5*$J$7</f>
        <v>39.230463286480472</v>
      </c>
      <c r="N46" s="14">
        <f>$J$3+[26]FormattedData!G52*$J$4+$M$4*$J$5+[26]FormattedData!G52^2*$J$6+$M$5*$J$7</f>
        <v>39.230463286480472</v>
      </c>
      <c r="O46" s="14">
        <f>$J$3+[26]FormattedData!H52*$J$4+$M$4*$J$5+[26]FormattedData!H52^2*$J$6+$M$5*$J$7</f>
        <v>39.137242287719964</v>
      </c>
      <c r="P46" s="14">
        <f>$J$3+[26]FormattedData!I52*$J$4+$M$4*$J$5+[26]FormattedData!I52^2*$J$6+$M$5*$J$7</f>
        <v>39.602924596143183</v>
      </c>
      <c r="Q46" s="14">
        <f>$J$3+[26]FormattedData!J52*$J$4+$M$4*$J$5+[26]FormattedData!J52^2*$J$6+$M$5*$J$7</f>
        <v>39.788901639746953</v>
      </c>
      <c r="R46" s="14">
        <f>$J$3+[26]FormattedData!K52*$J$4+$M$4*$J$5+[26]FormattedData!K52^2*$J$6+$M$5*$J$7</f>
        <v>39.137242287719964</v>
      </c>
      <c r="S46" s="14">
        <f>$J$3+[26]FormattedData!L52*$J$4+$M$4*$J$5+[26]FormattedData!L52^2*$J$6+$M$5*$J$7</f>
        <v>39.323642016703047</v>
      </c>
      <c r="T46" s="14">
        <f>$J$3+[26]FormattedData!M52*$J$4+$M$4*$J$5+[26]FormattedData!M52^2*$J$6+$M$5*$J$7</f>
        <v>39.416778478387691</v>
      </c>
      <c r="U46" s="14">
        <f>$J$3+[26]FormattedData!N52*$J$4+$M$4*$J$5+[26]FormattedData!N52^2*$J$6+$M$5*$J$7</f>
        <v>39.043979020421531</v>
      </c>
      <c r="V46" s="14">
        <f>$J$3+[26]FormattedData!O52*$J$4+$M$4*$J$5+[26]FormattedData!O52^2*$J$6+$M$5*$J$7</f>
        <v>39.230463286480472</v>
      </c>
      <c r="W46" s="16">
        <f t="shared" si="9"/>
        <v>39.323536345358221</v>
      </c>
      <c r="X46" s="15">
        <f t="shared" si="10"/>
        <v>6.2779774524463164E-2</v>
      </c>
      <c r="Y46" s="14">
        <f t="shared" si="11"/>
        <v>39.043979020421531</v>
      </c>
      <c r="Z46" s="13">
        <f t="shared" si="12"/>
        <v>39.207158036790347</v>
      </c>
      <c r="AA46" s="14">
        <f t="shared" si="13"/>
        <v>39.230463286480472</v>
      </c>
      <c r="AB46" s="13">
        <f t="shared" si="14"/>
        <v>39.440052026674365</v>
      </c>
      <c r="AC46" s="13">
        <f t="shared" si="15"/>
        <v>39.788901639746953</v>
      </c>
      <c r="AD46" s="13">
        <f t="shared" si="16"/>
        <v>0.97435199884575185</v>
      </c>
      <c r="AE46" s="13">
        <f t="shared" si="17"/>
        <v>0.41111652934582033</v>
      </c>
    </row>
    <row r="47" spans="2:31" x14ac:dyDescent="0.2">
      <c r="B47" s="1">
        <f>[26]FormattedData!A50</f>
        <v>906</v>
      </c>
      <c r="C47" s="1" t="str">
        <f>VLOOKUP($B47,[26]TrtCodes!$B$11:I93,2)</f>
        <v>Late</v>
      </c>
      <c r="D47" s="1">
        <f>VLOOKUP($B47,[26]TrtCodes!$B$11:J93,3)</f>
        <v>22</v>
      </c>
      <c r="E47" s="1">
        <f>VLOOKUP($B47,[26]TrtCodes!$B$11:K93,4)</f>
        <v>4</v>
      </c>
      <c r="F47" s="1">
        <f>VLOOKUP($B47,[26]TrtCodes!$B$11:L93,5)</f>
        <v>2</v>
      </c>
      <c r="G47" s="1">
        <f>VLOOKUP($B47,[26]TrtCodes!$B$11:M93,6)</f>
        <v>2</v>
      </c>
      <c r="H47" s="1">
        <f>VLOOKUP($B47,[26]TrtCodes!$B$11:N93,7)</f>
        <v>2</v>
      </c>
      <c r="I47" s="1">
        <f>[26]FormattedData!B50</f>
        <v>1</v>
      </c>
      <c r="J47" s="4">
        <f>[26]FormattedData!C50</f>
        <v>13.154999999999999</v>
      </c>
      <c r="K47" s="6">
        <f>$J$3+[26]FormattedData!D50*$J$4+$M$4*$J$5+[26]FormattedData!D50^2*$J$6+$M$5*$J$7</f>
        <v>40.531119072644792</v>
      </c>
      <c r="L47" s="6">
        <f>$J$3+[26]FormattedData!E50*$J$4+$M$4*$J$5+[26]FormattedData!E50^2*$J$6+$M$5*$J$7</f>
        <v>35.658350551415644</v>
      </c>
      <c r="M47" s="6">
        <f>$J$3+[26]FormattedData!F50*$J$4+$M$4*$J$5+[26]FormattedData!F50^2*$J$6+$M$5*$J$7</f>
        <v>38.577028655860374</v>
      </c>
      <c r="N47" s="6">
        <f>$J$3+[26]FormattedData!G50*$J$4+$M$4*$J$5+[26]FormattedData!G50^2*$J$6+$M$5*$J$7</f>
        <v>38.389952630270386</v>
      </c>
      <c r="O47" s="6">
        <f>$J$3+[26]FormattedData!H50*$J$4+$M$4*$J$5+[26]FormattedData!H50^2*$J$6+$M$5*$J$7</f>
        <v>39.788901639746953</v>
      </c>
      <c r="P47" s="6">
        <f>$J$3+[26]FormattedData!I50*$J$4+$M$4*$J$5+[26]FormattedData!I50^2*$J$6+$M$5*$J$7</f>
        <v>37.921522866881645</v>
      </c>
      <c r="Q47" s="6">
        <f>$J$3+[26]FormattedData!J50*$J$4+$M$4*$J$5+[26]FormattedData!J50^2*$J$6+$M$5*$J$7</f>
        <v>39.69593425221403</v>
      </c>
      <c r="R47" s="6">
        <f>$J$3+[26]FormattedData!K50*$J$4+$M$4*$J$5+[26]FormattedData!K50^2*$J$6+$M$5*$J$7</f>
        <v>37.546018222487895</v>
      </c>
      <c r="S47" s="6">
        <f>$J$3+[26]FormattedData!L50*$J$4+$M$4*$J$5+[26]FormattedData!L50^2*$J$6+$M$5*$J$7</f>
        <v>40.531119072644792</v>
      </c>
      <c r="T47" s="6">
        <f>$J$3+[26]FormattedData!M50*$J$4+$M$4*$J$5+[26]FormattedData!M50^2*$J$6+$M$5*$J$7</f>
        <v>37.921522866881645</v>
      </c>
      <c r="U47" s="6">
        <f>$J$3+[26]FormattedData!N50*$J$4+$M$4*$J$5+[26]FormattedData!N50^2*$J$6+$M$5*$J$7</f>
        <v>43.472936939960192</v>
      </c>
      <c r="V47" s="6">
        <f>$J$3+[26]FormattedData!O50*$J$4+$M$4*$J$5+[26]FormattedData!O50^2*$J$6+$M$5*$J$7</f>
        <v>36.792980043879695</v>
      </c>
      <c r="W47" s="5">
        <f t="shared" si="9"/>
        <v>38.902282234574002</v>
      </c>
      <c r="X47" s="4">
        <f t="shared" si="10"/>
        <v>0.59490787914579069</v>
      </c>
      <c r="Y47" s="3">
        <f t="shared" si="11"/>
        <v>35.658350551415644</v>
      </c>
      <c r="Z47" s="2">
        <f t="shared" si="12"/>
        <v>37.827646705783209</v>
      </c>
      <c r="AA47" s="3">
        <f t="shared" si="13"/>
        <v>38.48349064306538</v>
      </c>
      <c r="AB47" s="2">
        <f t="shared" si="14"/>
        <v>39.974455997971411</v>
      </c>
      <c r="AC47" s="2">
        <f t="shared" si="15"/>
        <v>43.472936939960192</v>
      </c>
      <c r="AD47" s="2">
        <f t="shared" si="16"/>
        <v>0.71362568632264989</v>
      </c>
      <c r="AE47" s="2">
        <f t="shared" si="17"/>
        <v>1.0980809107979477</v>
      </c>
    </row>
    <row r="48" spans="2:31" x14ac:dyDescent="0.2">
      <c r="B48" s="17">
        <f>[26]FormattedData!A48</f>
        <v>907</v>
      </c>
      <c r="C48" s="17" t="str">
        <f>VLOOKUP($B48,[26]TrtCodes!$B$11:I91,2)</f>
        <v>DS</v>
      </c>
      <c r="D48" s="17">
        <f>VLOOKUP($B48,[26]TrtCodes!$B$11:J91,3)</f>
        <v>31</v>
      </c>
      <c r="E48" s="17">
        <f>VLOOKUP($B48,[26]TrtCodes!$B$11:K91,4)</f>
        <v>8</v>
      </c>
      <c r="F48" s="17">
        <f>VLOOKUP($B48,[26]TrtCodes!$B$11:L91,5)</f>
        <v>0</v>
      </c>
      <c r="G48" s="17">
        <f>VLOOKUP($B48,[26]TrtCodes!$B$11:M91,6)</f>
        <v>1</v>
      </c>
      <c r="H48" s="17">
        <f>VLOOKUP($B48,[26]TrtCodes!$B$11:N91,7)</f>
        <v>2</v>
      </c>
      <c r="I48" s="17">
        <f>[26]FormattedData!B48</f>
        <v>1</v>
      </c>
      <c r="J48" s="15">
        <f>[26]FormattedData!C48</f>
        <v>13.148999999999999</v>
      </c>
      <c r="K48" s="14">
        <f>$J$3+[26]FormattedData!D48*$J$4+$M$4*$J$5+[26]FormattedData!D48^2*$J$6+$M$5*$J$7</f>
        <v>56.345743577709513</v>
      </c>
      <c r="L48" s="14">
        <f>$J$3+[26]FormattedData!E48*$J$4+$M$4*$J$5+[26]FormattedData!E48^2*$J$6+$M$5*$J$7</f>
        <v>56.600806284915102</v>
      </c>
      <c r="M48" s="14">
        <f>$J$3+[26]FormattedData!F48*$J$4+$M$4*$J$5+[26]FormattedData!F48^2*$J$6+$M$5*$J$7</f>
        <v>57.109790448802144</v>
      </c>
      <c r="N48" s="14">
        <f>$J$3+[26]FormattedData!G48*$J$4+$M$4*$J$5+[26]FormattedData!G48^2*$J$6+$M$5*$J$7</f>
        <v>56.600806284915102</v>
      </c>
      <c r="O48" s="14">
        <f>$J$3+[26]FormattedData!H48*$J$4+$M$4*$J$5+[26]FormattedData!H48^2*$J$6+$M$5*$J$7</f>
        <v>56.430806748649303</v>
      </c>
      <c r="P48" s="14">
        <f>$J$3+[26]FormattedData!I48*$J$4+$M$4*$J$5+[26]FormattedData!I48^2*$J$6+$M$5*$J$7</f>
        <v>56.600806284915102</v>
      </c>
      <c r="Q48" s="14">
        <f>$J$3+[26]FormattedData!J48*$J$4+$M$4*$J$5+[26]FormattedData!J48^2*$J$6+$M$5*$J$7</f>
        <v>56.515827651051168</v>
      </c>
      <c r="R48" s="14">
        <f>$J$3+[26]FormattedData!K48*$J$4+$M$4*$J$5+[26]FormattedData!K48^2*$J$6+$M$5*$J$7</f>
        <v>56.77063674702918</v>
      </c>
      <c r="S48" s="14">
        <f>$J$3+[26]FormattedData!L48*$J$4+$M$4*$J$5+[26]FormattedData!L48^2*$J$6+$M$5*$J$7</f>
        <v>56.090300453662529</v>
      </c>
      <c r="T48" s="14">
        <f>$J$3+[26]FormattedData!M48*$J$4+$M$4*$J$5+[26]FormattedData!M48^2*$J$6+$M$5*$J$7</f>
        <v>56.685742650241096</v>
      </c>
      <c r="U48" s="14">
        <f>$J$3+[26]FormattedData!N48*$J$4+$M$4*$J$5+[26]FormattedData!N48^2*$J$6+$M$5*$J$7</f>
        <v>57.363711905483605</v>
      </c>
      <c r="V48" s="14">
        <f>$J$3+[26]FormattedData!O48*$J$4+$M$4*$J$5+[26]FormattedData!O48^2*$J$6+$M$5*$J$7</f>
        <v>57.954715905579405</v>
      </c>
      <c r="W48" s="16">
        <f t="shared" si="9"/>
        <v>56.755807911912768</v>
      </c>
      <c r="X48" s="15">
        <f t="shared" si="10"/>
        <v>0.14521942760603518</v>
      </c>
      <c r="Y48" s="14">
        <f t="shared" si="11"/>
        <v>56.090300453662529</v>
      </c>
      <c r="Z48" s="13">
        <f t="shared" si="12"/>
        <v>56.494572425450698</v>
      </c>
      <c r="AA48" s="14">
        <f t="shared" si="13"/>
        <v>56.600806284915102</v>
      </c>
      <c r="AB48" s="13">
        <f t="shared" si="14"/>
        <v>56.855425172472422</v>
      </c>
      <c r="AC48" s="13">
        <f t="shared" si="15"/>
        <v>57.954715905579405</v>
      </c>
      <c r="AD48" s="13">
        <f t="shared" si="16"/>
        <v>1.3444482960163733</v>
      </c>
      <c r="AE48" s="13">
        <f t="shared" si="17"/>
        <v>2.0170856825948515</v>
      </c>
    </row>
    <row r="49" spans="2:31" ht="13.5" thickBot="1" x14ac:dyDescent="0.25">
      <c r="B49" s="12">
        <f>[26]FormattedData!A46</f>
        <v>908</v>
      </c>
      <c r="C49" s="12" t="str">
        <f>VLOOKUP($B49,[26]TrtCodes!$B$11:I89,2)</f>
        <v>Early</v>
      </c>
      <c r="D49" s="12">
        <f>VLOOKUP($B49,[26]TrtCodes!$B$11:J89,3)</f>
        <v>21</v>
      </c>
      <c r="E49" s="12">
        <f>VLOOKUP($B49,[26]TrtCodes!$B$11:K89,4)</f>
        <v>3</v>
      </c>
      <c r="F49" s="12">
        <f>VLOOKUP($B49,[26]TrtCodes!$B$11:L89,5)</f>
        <v>2</v>
      </c>
      <c r="G49" s="12">
        <f>VLOOKUP($B49,[26]TrtCodes!$B$11:M89,6)</f>
        <v>2</v>
      </c>
      <c r="H49" s="12">
        <f>VLOOKUP($B49,[26]TrtCodes!$B$11:N89,7)</f>
        <v>2</v>
      </c>
      <c r="I49" s="12">
        <f>[26]FormattedData!B46</f>
        <v>1</v>
      </c>
      <c r="J49" s="9">
        <f>[26]FormattedData!C46</f>
        <v>13.134</v>
      </c>
      <c r="K49" s="11">
        <f>$J$3+[26]FormattedData!D46*$J$4+$M$4*$J$5+[26]FormattedData!D46^2*$J$6+$M$5*$J$7</f>
        <v>54.119264876460974</v>
      </c>
      <c r="L49" s="11">
        <f>$J$3+[26]FormattedData!E46*$J$4+$M$4*$J$5+[26]FormattedData!E46^2*$J$6+$M$5*$J$7</f>
        <v>45.199162192051077</v>
      </c>
      <c r="M49" s="11">
        <f>$J$3+[26]FormattedData!F46*$J$4+$M$4*$J$5+[26]FormattedData!F46^2*$J$6+$M$5*$J$7</f>
        <v>51.514745418542823</v>
      </c>
      <c r="N49" s="11">
        <f>$J$3+[26]FormattedData!G46*$J$4+$M$4*$J$5+[26]FormattedData!G46^2*$J$6+$M$5*$J$7</f>
        <v>41.270631319115026</v>
      </c>
      <c r="O49" s="11">
        <f>$J$3+[26]FormattedData!H46*$J$4+$M$4*$J$5+[26]FormattedData!H46^2*$J$6+$M$5*$J$7</f>
        <v>51.514745418542823</v>
      </c>
      <c r="P49" s="11">
        <f>$J$3+[26]FormattedData!I46*$J$4+$M$4*$J$5+[26]FormattedData!I46^2*$J$6+$M$5*$J$7</f>
        <v>39.323642016703047</v>
      </c>
      <c r="Q49" s="11">
        <f>$J$3+[26]FormattedData!J46*$J$4+$M$4*$J$5+[26]FormattedData!J46^2*$J$6+$M$5*$J$7</f>
        <v>47.893713635762559</v>
      </c>
      <c r="R49" s="11">
        <f>$J$3+[26]FormattedData!K46*$J$4+$M$4*$J$5+[26]FormattedData!K46^2*$J$6+$M$5*$J$7</f>
        <v>40.160348504499318</v>
      </c>
      <c r="S49" s="11">
        <f>$J$3+[26]FormattedData!L46*$J$4+$M$4*$J$5+[26]FormattedData!L46^2*$J$6+$M$5*$J$7</f>
        <v>44.292524669894355</v>
      </c>
      <c r="T49" s="11">
        <f>$J$3+[26]FormattedData!M46*$J$4+$M$4*$J$5+[26]FormattedData!M46^2*$J$6+$M$5*$J$7</f>
        <v>43.655363426377754</v>
      </c>
      <c r="U49" s="11">
        <f>$J$3+[26]FormattedData!N46*$J$4+$M$4*$J$5+[26]FormattedData!N46^2*$J$6+$M$5*$J$7</f>
        <v>48.960882541688513</v>
      </c>
      <c r="V49" s="11">
        <f>$J$3+[26]FormattedData!O46*$J$4+$M$4*$J$5+[26]FormattedData!O46^2*$J$6+$M$5*$J$7</f>
        <v>44.655686901212221</v>
      </c>
      <c r="W49" s="10">
        <f t="shared" si="9"/>
        <v>46.046725910070869</v>
      </c>
      <c r="X49" s="9">
        <f t="shared" si="10"/>
        <v>1.3788928321740479</v>
      </c>
      <c r="Y49" s="8">
        <f t="shared" si="11"/>
        <v>39.323642016703047</v>
      </c>
      <c r="Z49" s="7">
        <f t="shared" si="12"/>
        <v>43.059180399562074</v>
      </c>
      <c r="AA49" s="8">
        <f t="shared" si="13"/>
        <v>44.927424546631649</v>
      </c>
      <c r="AB49" s="7">
        <f t="shared" si="14"/>
        <v>49.59934826090209</v>
      </c>
      <c r="AC49" s="7">
        <f t="shared" si="15"/>
        <v>54.119264876460974</v>
      </c>
      <c r="AD49" s="7">
        <f t="shared" si="16"/>
        <v>0.24515808722531546</v>
      </c>
      <c r="AE49" s="7">
        <f t="shared" si="17"/>
        <v>-1.0279784162928856</v>
      </c>
    </row>
    <row r="50" spans="2:31" ht="13.5" thickTop="1" x14ac:dyDescent="0.2">
      <c r="B50" s="1">
        <f>[26]FormattedData!A29</f>
        <v>101</v>
      </c>
      <c r="C50" s="1" t="str">
        <f>VLOOKUP($B50,[26]TrtCodes!$B$11:I72,2)</f>
        <v>FSH</v>
      </c>
      <c r="D50" s="1">
        <f>VLOOKUP($B50,[26]TrtCodes!$B$11:J72,3)</f>
        <v>1</v>
      </c>
      <c r="E50" s="1">
        <f>VLOOKUP($B50,[26]TrtCodes!$B$11:K72,4)</f>
        <v>1</v>
      </c>
      <c r="F50" s="1">
        <f>VLOOKUP($B50,[26]TrtCodes!$B$11:L72,5)</f>
        <v>1</v>
      </c>
      <c r="G50" s="1">
        <f>VLOOKUP($B50,[26]TrtCodes!$B$11:M72,6)</f>
        <v>2</v>
      </c>
      <c r="H50" s="1">
        <f>VLOOKUP($B50,[26]TrtCodes!$B$11:N72,7)</f>
        <v>1</v>
      </c>
      <c r="I50" s="1">
        <f>[26]FormattedData!B29</f>
        <v>2</v>
      </c>
      <c r="J50" s="4">
        <f>[26]FormattedData!C29</f>
        <v>12.993</v>
      </c>
      <c r="K50" s="6">
        <f>$J$3+[26]FormattedData!D29*$J$4+$M$4*$J$5+[26]FormattedData!D29^2*$J$6+$M$5*$J$7</f>
        <v>31.058965886938612</v>
      </c>
      <c r="L50" s="6">
        <f>$J$3+[26]FormattedData!E29*$J$4+$M$4*$J$5+[26]FormattedData!E29^2*$J$6+$M$5*$J$7</f>
        <v>33.27498990998906</v>
      </c>
      <c r="M50" s="6">
        <f>$J$3+[26]FormattedData!F29*$J$4+$M$4*$J$5+[26]FormattedData!F29^2*$J$6+$M$5*$J$7</f>
        <v>32.217942057250994</v>
      </c>
      <c r="N50" s="6">
        <f>$J$3+[26]FormattedData!G29*$J$4+$M$4*$J$5+[26]FormattedData!G29^2*$J$6+$M$5*$J$7</f>
        <v>31.735775019034634</v>
      </c>
      <c r="O50" s="6">
        <f>$J$3+[26]FormattedData!H29*$J$4+$M$4*$J$5+[26]FormattedData!H29^2*$J$6+$M$5*$J$7</f>
        <v>34.136043075633673</v>
      </c>
      <c r="P50" s="6">
        <f>$J$3+[26]FormattedData!I29*$J$4+$M$4*$J$5+[26]FormattedData!I29^2*$J$6+$M$5*$J$7</f>
        <v>32.891200632160803</v>
      </c>
      <c r="Q50" s="6">
        <f>$J$3+[26]FormattedData!J29*$J$4+$M$4*$J$5+[26]FormattedData!J29^2*$J$6+$M$5*$J$7</f>
        <v>32.025202047578247</v>
      </c>
      <c r="R50" s="6">
        <f>$J$3+[26]FormattedData!K29*$J$4+$M$4*$J$5+[26]FormattedData!K29^2*$J$6+$M$5*$J$7</f>
        <v>30.768270802257071</v>
      </c>
      <c r="S50" s="6">
        <f>$J$3+[26]FormattedData!L29*$J$4+$M$4*$J$5+[26]FormattedData!L29^2*$J$6+$M$5*$J$7</f>
        <v>29.60168629511708</v>
      </c>
      <c r="T50" s="6">
        <f>$J$3+[26]FormattedData!M29*$J$4+$M$4*$J$5+[26]FormattedData!M29^2*$J$6+$M$5*$J$7</f>
        <v>33.083179808150788</v>
      </c>
      <c r="U50" s="6">
        <f>$J$3+[26]FormattedData!N29*$J$4+$M$4*$J$5+[26]FormattedData!N29^2*$J$6+$M$5*$J$7</f>
        <v>31.63921480577757</v>
      </c>
      <c r="V50" s="6">
        <f>$J$3+[26]FormattedData!O29*$J$4+$M$4*$J$5+[26]FormattedData!O29^2*$J$6+$M$5*$J$7</f>
        <v>31.445967573649643</v>
      </c>
      <c r="W50" s="5">
        <f t="shared" si="9"/>
        <v>31.989869826128174</v>
      </c>
      <c r="X50" s="4">
        <f t="shared" si="10"/>
        <v>0.35743448398893474</v>
      </c>
      <c r="Y50" s="3">
        <f t="shared" si="11"/>
        <v>29.60168629511708</v>
      </c>
      <c r="Z50" s="2">
        <f t="shared" si="12"/>
        <v>31.349217151971885</v>
      </c>
      <c r="AA50" s="3">
        <f t="shared" si="13"/>
        <v>31.880488533306441</v>
      </c>
      <c r="AB50" s="2">
        <f t="shared" si="14"/>
        <v>32.9391954261583</v>
      </c>
      <c r="AC50" s="2">
        <f t="shared" si="15"/>
        <v>34.136043075633673</v>
      </c>
      <c r="AD50" s="2">
        <f t="shared" si="16"/>
        <v>-0.1386196079701468</v>
      </c>
      <c r="AE50" s="2">
        <f t="shared" si="17"/>
        <v>9.9656213300315599E-2</v>
      </c>
    </row>
    <row r="51" spans="2:31" x14ac:dyDescent="0.2">
      <c r="B51" s="1">
        <f>[26]FormattedData!A27</f>
        <v>102</v>
      </c>
      <c r="C51" s="1" t="str">
        <f>VLOOKUP($B51,[26]TrtCodes!$B$11:I70,2)</f>
        <v>FTL</v>
      </c>
      <c r="D51" s="1">
        <f>VLOOKUP($B51,[26]TrtCodes!$B$11:J70,3)</f>
        <v>4</v>
      </c>
      <c r="E51" s="1">
        <f>VLOOKUP($B51,[26]TrtCodes!$B$11:K70,4)</f>
        <v>1</v>
      </c>
      <c r="F51" s="1">
        <f>VLOOKUP($B51,[26]TrtCodes!$B$11:L70,5)</f>
        <v>2</v>
      </c>
      <c r="G51" s="1">
        <f>VLOOKUP($B51,[26]TrtCodes!$B$11:M70,6)</f>
        <v>1</v>
      </c>
      <c r="H51" s="1">
        <f>VLOOKUP($B51,[26]TrtCodes!$B$11:N70,7)</f>
        <v>1</v>
      </c>
      <c r="I51" s="1">
        <f>[26]FormattedData!B27</f>
        <v>2</v>
      </c>
      <c r="J51" s="4">
        <f>[26]FormattedData!C27</f>
        <v>12.978</v>
      </c>
      <c r="K51" s="6">
        <f>$J$3+[26]FormattedData!D27*$J$4+$M$4*$J$5+[26]FormattedData!D27^2*$J$6+$M$5*$J$7</f>
        <v>32.506735057725649</v>
      </c>
      <c r="L51" s="6">
        <f>$J$3+[26]FormattedData!E27*$J$4+$M$4*$J$5+[26]FormattedData!E27^2*$J$6+$M$5*$J$7</f>
        <v>32.31424865928048</v>
      </c>
      <c r="M51" s="6">
        <f>$J$3+[26]FormattedData!F27*$J$4+$M$4*$J$5+[26]FormattedData!F27^2*$J$6+$M$5*$J$7</f>
        <v>35.278788127380501</v>
      </c>
      <c r="N51" s="6">
        <f>$J$3+[26]FormattedData!G27*$J$4+$M$4*$J$5+[26]FormattedData!G27^2*$J$6+$M$5*$J$7</f>
        <v>32.987211354424765</v>
      </c>
      <c r="O51" s="6">
        <f>$J$3+[26]FormattedData!H27*$J$4+$M$4*$J$5+[26]FormattedData!H27^2*$J$6+$M$5*$J$7</f>
        <v>33.658102891210426</v>
      </c>
      <c r="P51" s="6">
        <f>$J$3+[26]FormattedData!I27*$J$4+$M$4*$J$5+[26]FormattedData!I27^2*$J$6+$M$5*$J$7</f>
        <v>30.865211432355519</v>
      </c>
      <c r="Q51" s="6">
        <f>$J$3+[26]FormattedData!J27*$J$4+$M$4*$J$5+[26]FormattedData!J27^2*$J$6+$M$5*$J$7</f>
        <v>33.753775465170932</v>
      </c>
      <c r="R51" s="6">
        <f>$J$3+[26]FormattedData!K27*$J$4+$M$4*$J$5+[26]FormattedData!K27^2*$J$6+$M$5*$J$7</f>
        <v>33.658102891210426</v>
      </c>
      <c r="S51" s="6">
        <f>$J$3+[26]FormattedData!L27*$J$4+$M$4*$J$5+[26]FormattedData!L27^2*$J$6+$M$5*$J$7</f>
        <v>32.12159318668359</v>
      </c>
      <c r="T51" s="6">
        <f>$J$3+[26]FormattedData!M27*$J$4+$M$4*$J$5+[26]FormattedData!M27^2*$J$6+$M$5*$J$7</f>
        <v>31.542612323982574</v>
      </c>
      <c r="U51" s="6">
        <f>$J$3+[26]FormattedData!N27*$J$4+$M$4*$J$5+[26]FormattedData!N27^2*$J$6+$M$5*$J$7</f>
        <v>29.309089126228635</v>
      </c>
      <c r="V51" s="6">
        <f>$J$3+[26]FormattedData!O27*$J$4+$M$4*$J$5+[26]FormattedData!O27^2*$J$6+$M$5*$J$7</f>
        <v>30.962109793916031</v>
      </c>
      <c r="W51" s="5">
        <f t="shared" si="9"/>
        <v>32.413131692464127</v>
      </c>
      <c r="X51" s="4">
        <f t="shared" si="10"/>
        <v>0.46414410158020963</v>
      </c>
      <c r="Y51" s="3">
        <f t="shared" si="11"/>
        <v>29.309089126228635</v>
      </c>
      <c r="Z51" s="2">
        <f t="shared" si="12"/>
        <v>31.397486691465939</v>
      </c>
      <c r="AA51" s="3">
        <f t="shared" si="13"/>
        <v>32.410491858503065</v>
      </c>
      <c r="AB51" s="2">
        <f t="shared" si="14"/>
        <v>33.658102891210426</v>
      </c>
      <c r="AC51" s="2">
        <f t="shared" si="15"/>
        <v>35.278788127380501</v>
      </c>
      <c r="AD51" s="2">
        <f t="shared" si="16"/>
        <v>-0.19331245304430736</v>
      </c>
      <c r="AE51" s="2">
        <f t="shared" si="17"/>
        <v>0.19124274203927261</v>
      </c>
    </row>
    <row r="52" spans="2:31" x14ac:dyDescent="0.2">
      <c r="B52" s="1">
        <f>[26]FormattedData!A25</f>
        <v>103</v>
      </c>
      <c r="C52" s="1" t="str">
        <f>VLOOKUP($B52,[26]TrtCodes!$B$11:I68,2)</f>
        <v>FDH</v>
      </c>
      <c r="D52" s="1">
        <f>VLOOKUP($B52,[26]TrtCodes!$B$11:J68,3)</f>
        <v>5</v>
      </c>
      <c r="E52" s="1">
        <f>VLOOKUP($B52,[26]TrtCodes!$B$11:K68,4)</f>
        <v>1</v>
      </c>
      <c r="F52" s="1">
        <f>VLOOKUP($B52,[26]TrtCodes!$B$11:L68,5)</f>
        <v>3</v>
      </c>
      <c r="G52" s="1">
        <f>VLOOKUP($B52,[26]TrtCodes!$B$11:M68,6)</f>
        <v>2</v>
      </c>
      <c r="H52" s="1">
        <f>VLOOKUP($B52,[26]TrtCodes!$B$11:N68,7)</f>
        <v>1</v>
      </c>
      <c r="I52" s="1">
        <f>[26]FormattedData!B25</f>
        <v>2</v>
      </c>
      <c r="J52" s="4">
        <f>[26]FormattedData!C25</f>
        <v>12.962999999999999</v>
      </c>
      <c r="K52" s="6">
        <f>$J$3+[26]FormattedData!D25*$J$4+$M$4*$J$5+[26]FormattedData!D25^2*$J$6+$M$5*$J$7</f>
        <v>32.025202047578247</v>
      </c>
      <c r="L52" s="6">
        <f>$J$3+[26]FormattedData!E25*$J$4+$M$4*$J$5+[26]FormattedData!E25^2*$J$6+$M$5*$J$7</f>
        <v>32.217942057250994</v>
      </c>
      <c r="M52" s="6">
        <f>$J$3+[26]FormattedData!F25*$J$4+$M$4*$J$5+[26]FormattedData!F25^2*$J$6+$M$5*$J$7</f>
        <v>33.849405770593521</v>
      </c>
      <c r="N52" s="6">
        <f>$J$3+[26]FormattedData!G25*$J$4+$M$4*$J$5+[26]FormattedData!G25^2*$J$6+$M$5*$J$7</f>
        <v>34.803384055233117</v>
      </c>
      <c r="O52" s="6">
        <f>$J$3+[26]FormattedData!H25*$J$4+$M$4*$J$5+[26]FormattedData!H25^2*$J$6+$M$5*$J$7</f>
        <v>34.136043075633673</v>
      </c>
      <c r="P52" s="6">
        <f>$J$3+[26]FormattedData!I25*$J$4+$M$4*$J$5+[26]FormattedData!I25^2*$J$6+$M$5*$J$7</f>
        <v>32.699052382019083</v>
      </c>
      <c r="Q52" s="6">
        <f>$J$3+[26]FormattedData!J25*$J$4+$M$4*$J$5+[26]FormattedData!J25^2*$J$6+$M$5*$J$7</f>
        <v>35.563523348213749</v>
      </c>
      <c r="R52" s="6">
        <f>$J$3+[26]FormattedData!K25*$J$4+$M$4*$J$5+[26]FormattedData!K25^2*$J$6+$M$5*$J$7</f>
        <v>34.136043075633673</v>
      </c>
      <c r="S52" s="6">
        <f>$J$3+[26]FormattedData!L25*$J$4+$M$4*$J$5+[26]FormattedData!L25^2*$J$6+$M$5*$J$7</f>
        <v>32.987211354424765</v>
      </c>
      <c r="T52" s="6">
        <f>$J$3+[26]FormattedData!M25*$J$4+$M$4*$J$5+[26]FormattedData!M25^2*$J$6+$M$5*$J$7</f>
        <v>32.987211354424765</v>
      </c>
      <c r="U52" s="6">
        <f>$J$3+[26]FormattedData!N25*$J$4+$M$4*$J$5+[26]FormattedData!N25^2*$J$6+$M$5*$J$7</f>
        <v>35.183791850026878</v>
      </c>
      <c r="V52" s="6">
        <f>$J$3+[26]FormattedData!O25*$J$4+$M$4*$J$5+[26]FormattedData!O25^2*$J$6+$M$5*$J$7</f>
        <v>33.849405770593521</v>
      </c>
      <c r="W52" s="5">
        <f t="shared" si="9"/>
        <v>33.70318467846883</v>
      </c>
      <c r="X52" s="4">
        <f t="shared" si="10"/>
        <v>0.32955524269653391</v>
      </c>
      <c r="Y52" s="3">
        <f t="shared" si="11"/>
        <v>32.025202047578247</v>
      </c>
      <c r="Z52" s="2">
        <f t="shared" si="12"/>
        <v>32.915171611323345</v>
      </c>
      <c r="AA52" s="3">
        <f t="shared" si="13"/>
        <v>33.849405770593521</v>
      </c>
      <c r="AB52" s="2">
        <f t="shared" si="14"/>
        <v>34.302878320533537</v>
      </c>
      <c r="AC52" s="2">
        <f t="shared" si="15"/>
        <v>35.563523348213749</v>
      </c>
      <c r="AD52" s="2">
        <f t="shared" si="16"/>
        <v>0.10535676185104245</v>
      </c>
      <c r="AE52" s="2">
        <f t="shared" si="17"/>
        <v>-1.0038189563413704</v>
      </c>
    </row>
    <row r="53" spans="2:31" x14ac:dyDescent="0.2">
      <c r="B53" s="1">
        <f>[26]FormattedData!A23</f>
        <v>104</v>
      </c>
      <c r="C53" s="1" t="str">
        <f>VLOOKUP($B53,[26]TrtCodes!$B$11:I66,2)</f>
        <v>NTL</v>
      </c>
      <c r="D53" s="1">
        <f>VLOOKUP($B53,[26]TrtCodes!$B$11:J66,3)</f>
        <v>10</v>
      </c>
      <c r="E53" s="1">
        <f>VLOOKUP($B53,[26]TrtCodes!$B$11:K66,4)</f>
        <v>2</v>
      </c>
      <c r="F53" s="1">
        <f>VLOOKUP($B53,[26]TrtCodes!$B$11:L66,5)</f>
        <v>2</v>
      </c>
      <c r="G53" s="1">
        <f>VLOOKUP($B53,[26]TrtCodes!$B$11:M66,6)</f>
        <v>1</v>
      </c>
      <c r="H53" s="1">
        <f>VLOOKUP($B53,[26]TrtCodes!$B$11:N66,7)</f>
        <v>1</v>
      </c>
      <c r="I53" s="1">
        <f>[26]FormattedData!B23</f>
        <v>2</v>
      </c>
      <c r="J53" s="4">
        <f>[26]FormattedData!C23</f>
        <v>12.948</v>
      </c>
      <c r="K53" s="6">
        <f>$J$3+[26]FormattedData!D23*$J$4+$M$4*$J$5+[26]FormattedData!D23^2*$J$6+$M$5*$J$7</f>
        <v>35.183791850026878</v>
      </c>
      <c r="L53" s="6">
        <f>$J$3+[26]FormattedData!E23*$J$4+$M$4*$J$5+[26]FormattedData!E23^2*$J$6+$M$5*$J$7</f>
        <v>35.658350551415644</v>
      </c>
      <c r="M53" s="6">
        <f>$J$3+[26]FormattedData!F23*$J$4+$M$4*$J$5+[26]FormattedData!F23^2*$J$6+$M$5*$J$7</f>
        <v>33.753775465170932</v>
      </c>
      <c r="N53" s="6">
        <f>$J$3+[26]FormattedData!G23*$J$4+$M$4*$J$5+[26]FormattedData!G23^2*$J$6+$M$5*$J$7</f>
        <v>32.602914854141332</v>
      </c>
      <c r="O53" s="6">
        <f>$J$3+[26]FormattedData!H23*$J$4+$M$4*$J$5+[26]FormattedData!H23^2*$J$6+$M$5*$J$7</f>
        <v>32.506735057725649</v>
      </c>
      <c r="P53" s="6">
        <f>$J$3+[26]FormattedData!I23*$J$4+$M$4*$J$5+[26]FormattedData!I23^2*$J$6+$M$5*$J$7</f>
        <v>32.891200632160803</v>
      </c>
      <c r="Q53" s="6">
        <f>$J$3+[26]FormattedData!J23*$J$4+$M$4*$J$5+[26]FormattedData!J23^2*$J$6+$M$5*$J$7</f>
        <v>34.993672489705858</v>
      </c>
      <c r="R53" s="6">
        <f>$J$3+[26]FormattedData!K23*$J$4+$M$4*$J$5+[26]FormattedData!K23^2*$J$6+$M$5*$J$7</f>
        <v>31.63921480577757</v>
      </c>
      <c r="S53" s="6">
        <f>$J$3+[26]FormattedData!L23*$J$4+$M$4*$J$5+[26]FormattedData!L23^2*$J$6+$M$5*$J$7</f>
        <v>29.893903047164155</v>
      </c>
      <c r="T53" s="6">
        <f>$J$3+[26]FormattedData!M23*$J$4+$M$4*$J$5+[26]FormattedData!M23^2*$J$6+$M$5*$J$7</f>
        <v>34.136043075633673</v>
      </c>
      <c r="U53" s="6">
        <f>$J$3+[26]FormattedData!N23*$J$4+$M$4*$J$5+[26]FormattedData!N23^2*$J$6+$M$5*$J$7</f>
        <v>32.410512992772034</v>
      </c>
      <c r="V53" s="6">
        <f>$J$3+[26]FormattedData!O23*$J$4+$M$4*$J$5+[26]FormattedData!O23^2*$J$6+$M$5*$J$7</f>
        <v>33.849405770593521</v>
      </c>
      <c r="W53" s="5">
        <f t="shared" si="9"/>
        <v>33.293293382690671</v>
      </c>
      <c r="X53" s="4">
        <f t="shared" si="10"/>
        <v>0.47368964119463008</v>
      </c>
      <c r="Y53" s="3">
        <f t="shared" si="11"/>
        <v>29.893903047164155</v>
      </c>
      <c r="Z53" s="2">
        <f t="shared" si="12"/>
        <v>32.482679541487244</v>
      </c>
      <c r="AA53" s="3">
        <f t="shared" si="13"/>
        <v>33.322488048665868</v>
      </c>
      <c r="AB53" s="2">
        <f t="shared" si="14"/>
        <v>34.350450429151721</v>
      </c>
      <c r="AC53" s="2">
        <f t="shared" si="15"/>
        <v>35.658350551415644</v>
      </c>
      <c r="AD53" s="2">
        <f t="shared" si="16"/>
        <v>-0.48411257987307554</v>
      </c>
      <c r="AE53" s="2">
        <f t="shared" si="17"/>
        <v>0.21212353888770874</v>
      </c>
    </row>
    <row r="54" spans="2:31" x14ac:dyDescent="0.2">
      <c r="B54" s="1">
        <f>[26]FormattedData!A21</f>
        <v>105</v>
      </c>
      <c r="C54" s="1" t="str">
        <f>VLOOKUP($B54,[26]TrtCodes!$B$11:I64,2)</f>
        <v>NDL</v>
      </c>
      <c r="D54" s="1">
        <f>VLOOKUP($B54,[26]TrtCodes!$B$11:J64,3)</f>
        <v>12</v>
      </c>
      <c r="E54" s="1">
        <f>VLOOKUP($B54,[26]TrtCodes!$B$11:K64,4)</f>
        <v>2</v>
      </c>
      <c r="F54" s="1">
        <f>VLOOKUP($B54,[26]TrtCodes!$B$11:L64,5)</f>
        <v>3</v>
      </c>
      <c r="G54" s="1">
        <f>VLOOKUP($B54,[26]TrtCodes!$B$11:M64,6)</f>
        <v>1</v>
      </c>
      <c r="H54" s="1">
        <f>VLOOKUP($B54,[26]TrtCodes!$B$11:N64,7)</f>
        <v>2</v>
      </c>
      <c r="I54" s="1">
        <f>[26]FormattedData!B21</f>
        <v>2</v>
      </c>
      <c r="J54" s="4">
        <f>[26]FormattedData!C21</f>
        <v>12.933</v>
      </c>
      <c r="K54" s="6">
        <f>$J$3+[26]FormattedData!D21*$J$4+$M$4*$J$5+[26]FormattedData!D21^2*$J$6+$M$5*$J$7</f>
        <v>32.217942057250994</v>
      </c>
      <c r="L54" s="6">
        <f>$J$3+[26]FormattedData!E21*$J$4+$M$4*$J$5+[26]FormattedData!E21^2*$J$6+$M$5*$J$7</f>
        <v>32.31424865928048</v>
      </c>
      <c r="M54" s="6">
        <f>$J$3+[26]FormattedData!F21*$J$4+$M$4*$J$5+[26]FormattedData!F21^2*$J$6+$M$5*$J$7</f>
        <v>29.893903047164155</v>
      </c>
      <c r="N54" s="6">
        <f>$J$3+[26]FormattedData!G21*$J$4+$M$4*$J$5+[26]FormattedData!G21^2*$J$6+$M$5*$J$7</f>
        <v>33.466630937675603</v>
      </c>
      <c r="O54" s="6">
        <f>$J$3+[26]FormattedData!H21*$J$4+$M$4*$J$5+[26]FormattedData!H21^2*$J$6+$M$5*$J$7</f>
        <v>32.410512992772034</v>
      </c>
      <c r="P54" s="6">
        <f>$J$3+[26]FormattedData!I21*$J$4+$M$4*$J$5+[26]FormattedData!I21^2*$J$6+$M$5*$J$7</f>
        <v>32.506735057725649</v>
      </c>
      <c r="Q54" s="6">
        <f>$J$3+[26]FormattedData!J21*$J$4+$M$4*$J$5+[26]FormattedData!J21^2*$J$6+$M$5*$J$7</f>
        <v>31.542612323982574</v>
      </c>
      <c r="R54" s="6">
        <f>$J$3+[26]FormattedData!K21*$J$4+$M$4*$J$5+[26]FormattedData!K21^2*$J$6+$M$5*$J$7</f>
        <v>33.94499380747817</v>
      </c>
      <c r="S54" s="6">
        <f>$J$3+[26]FormattedData!L21*$J$4+$M$4*$J$5+[26]FormattedData!L21^2*$J$6+$M$5*$J$7</f>
        <v>30.574262736446382</v>
      </c>
      <c r="T54" s="6">
        <f>$J$3+[26]FormattedData!M21*$J$4+$M$4*$J$5+[26]FormattedData!M21^2*$J$6+$M$5*$J$7</f>
        <v>31.445967573649643</v>
      </c>
      <c r="U54" s="6">
        <f>$J$3+[26]FormattedData!N21*$J$4+$M$4*$J$5+[26]FormattedData!N21^2*$J$6+$M$5*$J$7</f>
        <v>32.31424865928048</v>
      </c>
      <c r="V54" s="6">
        <f>$J$3+[26]FormattedData!O21*$J$4+$M$4*$J$5+[26]FormattedData!O21^2*$J$6+$M$5*$J$7</f>
        <v>33.466630937675603</v>
      </c>
      <c r="W54" s="5">
        <f t="shared" si="9"/>
        <v>32.174890732531814</v>
      </c>
      <c r="X54" s="4">
        <f t="shared" si="10"/>
        <v>0.34126328764193015</v>
      </c>
      <c r="Y54" s="3">
        <f t="shared" si="11"/>
        <v>29.893903047164155</v>
      </c>
      <c r="Z54" s="2">
        <f t="shared" si="12"/>
        <v>31.518451136399342</v>
      </c>
      <c r="AA54" s="3">
        <f t="shared" si="13"/>
        <v>32.31424865928048</v>
      </c>
      <c r="AB54" s="2">
        <f t="shared" si="14"/>
        <v>32.746709027713138</v>
      </c>
      <c r="AC54" s="2">
        <f t="shared" si="15"/>
        <v>33.94499380747817</v>
      </c>
      <c r="AD54" s="2">
        <f t="shared" si="16"/>
        <v>-0.44218060413257859</v>
      </c>
      <c r="AE54" s="2">
        <f t="shared" si="17"/>
        <v>-4.1425999745949404E-2</v>
      </c>
    </row>
    <row r="55" spans="2:31" x14ac:dyDescent="0.2">
      <c r="B55" s="1">
        <f>[26]FormattedData!A19</f>
        <v>106</v>
      </c>
      <c r="C55" s="1" t="str">
        <f>VLOOKUP($B55,[26]TrtCodes!$B$11:I62,2)</f>
        <v>NTH</v>
      </c>
      <c r="D55" s="1">
        <f>VLOOKUP($B55,[26]TrtCodes!$B$11:J62,3)</f>
        <v>9</v>
      </c>
      <c r="E55" s="1">
        <f>VLOOKUP($B55,[26]TrtCodes!$B$11:K62,4)</f>
        <v>2</v>
      </c>
      <c r="F55" s="1">
        <f>VLOOKUP($B55,[26]TrtCodes!$B$11:L62,5)</f>
        <v>2</v>
      </c>
      <c r="G55" s="1">
        <f>VLOOKUP($B55,[26]TrtCodes!$B$11:M62,6)</f>
        <v>2</v>
      </c>
      <c r="H55" s="1">
        <f>VLOOKUP($B55,[26]TrtCodes!$B$11:N62,7)</f>
        <v>2</v>
      </c>
      <c r="I55" s="1">
        <f>[26]FormattedData!B19</f>
        <v>2</v>
      </c>
      <c r="J55" s="4">
        <f>[26]FormattedData!C19</f>
        <v>12.917999999999999</v>
      </c>
      <c r="K55" s="6">
        <f>$J$3+[26]FormattedData!D19*$J$4+$M$4*$J$5+[26]FormattedData!D19^2*$J$6+$M$5*$J$7</f>
        <v>33.466630937675603</v>
      </c>
      <c r="L55" s="6">
        <f>$J$3+[26]FormattedData!E19*$J$4+$M$4*$J$5+[26]FormattedData!E19^2*$J$6+$M$5*$J$7</f>
        <v>33.658102891210426</v>
      </c>
      <c r="M55" s="6">
        <f>$J$3+[26]FormattedData!F19*$J$4+$M$4*$J$5+[26]FormattedData!F19^2*$J$6+$M$5*$J$7</f>
        <v>31.058965886938612</v>
      </c>
      <c r="N55" s="6">
        <f>$J$3+[26]FormattedData!G19*$J$4+$M$4*$J$5+[26]FormattedData!G19^2*$J$6+$M$5*$J$7</f>
        <v>31.445967573649643</v>
      </c>
      <c r="O55" s="6">
        <f>$J$3+[26]FormattedData!H19*$J$4+$M$4*$J$5+[26]FormattedData!H19^2*$J$6+$M$5*$J$7</f>
        <v>34.136043075633673</v>
      </c>
      <c r="P55" s="6">
        <f>$J$3+[26]FormattedData!I19*$J$4+$M$4*$J$5+[26]FormattedData!I19^2*$J$6+$M$5*$J$7</f>
        <v>31.349280554778787</v>
      </c>
      <c r="Q55" s="6">
        <f>$J$3+[26]FormattedData!J19*$J$4+$M$4*$J$5+[26]FormattedData!J19^2*$J$6+$M$5*$J$7</f>
        <v>33.27498990998906</v>
      </c>
      <c r="R55" s="6">
        <f>$J$3+[26]FormattedData!K19*$J$4+$M$4*$J$5+[26]FormattedData!K19^2*$J$6+$M$5*$J$7</f>
        <v>33.562388048711973</v>
      </c>
      <c r="S55" s="6">
        <f>$J$3+[26]FormattedData!L19*$J$4+$M$4*$J$5+[26]FormattedData!L19^2*$J$6+$M$5*$J$7</f>
        <v>34.231504306904526</v>
      </c>
      <c r="T55" s="6">
        <f>$J$3+[26]FormattedData!M19*$J$4+$M$4*$J$5+[26]FormattedData!M19^2*$J$6+$M$5*$J$7</f>
        <v>31.445967573649643</v>
      </c>
      <c r="U55" s="6">
        <f>$J$3+[26]FormattedData!N19*$J$4+$M$4*$J$5+[26]FormattedData!N19^2*$J$6+$M$5*$J$7</f>
        <v>31.155779711423271</v>
      </c>
      <c r="V55" s="6">
        <f>$J$3+[26]FormattedData!O19*$J$4+$M$4*$J$5+[26]FormattedData!O19^2*$J$6+$M$5*$J$7</f>
        <v>30.865211432355519</v>
      </c>
      <c r="W55" s="5">
        <f t="shared" si="9"/>
        <v>32.470902658576726</v>
      </c>
      <c r="X55" s="4">
        <f t="shared" si="10"/>
        <v>0.38702052215466437</v>
      </c>
      <c r="Y55" s="3">
        <f t="shared" si="11"/>
        <v>30.865211432355519</v>
      </c>
      <c r="Z55" s="2">
        <f t="shared" si="12"/>
        <v>31.30090534393991</v>
      </c>
      <c r="AA55" s="3">
        <f t="shared" si="13"/>
        <v>32.36047874181935</v>
      </c>
      <c r="AB55" s="2">
        <f t="shared" si="14"/>
        <v>33.586316759336583</v>
      </c>
      <c r="AC55" s="2">
        <f t="shared" si="15"/>
        <v>34.231504306904526</v>
      </c>
      <c r="AD55" s="2">
        <f t="shared" si="16"/>
        <v>7.9739683644596715E-2</v>
      </c>
      <c r="AE55" s="2">
        <f t="shared" si="17"/>
        <v>-2.1064726384198584</v>
      </c>
    </row>
    <row r="56" spans="2:31" x14ac:dyDescent="0.2">
      <c r="B56" s="1">
        <f>[26]FormattedData!A17</f>
        <v>107</v>
      </c>
      <c r="C56" s="1" t="str">
        <f>VLOOKUP($B56,[26]TrtCodes!$B$11:I60,2)</f>
        <v>NTL</v>
      </c>
      <c r="D56" s="1">
        <f>VLOOKUP($B56,[26]TrtCodes!$B$11:J60,3)</f>
        <v>10</v>
      </c>
      <c r="E56" s="1">
        <f>VLOOKUP($B56,[26]TrtCodes!$B$11:K60,4)</f>
        <v>2</v>
      </c>
      <c r="F56" s="1">
        <f>VLOOKUP($B56,[26]TrtCodes!$B$11:L60,5)</f>
        <v>2</v>
      </c>
      <c r="G56" s="1">
        <f>VLOOKUP($B56,[26]TrtCodes!$B$11:M60,6)</f>
        <v>1</v>
      </c>
      <c r="H56" s="1">
        <f>VLOOKUP($B56,[26]TrtCodes!$B$11:N60,7)</f>
        <v>2</v>
      </c>
      <c r="I56" s="1">
        <f>[26]FormattedData!B17</f>
        <v>2</v>
      </c>
      <c r="J56" s="4">
        <f>[26]FormattedData!C17</f>
        <v>12.904</v>
      </c>
      <c r="K56" s="6">
        <f>$J$3+[26]FormattedData!D17*$J$4+$M$4*$J$5+[26]FormattedData!D17^2*$J$6+$M$5*$J$7</f>
        <v>33.083179808150788</v>
      </c>
      <c r="L56" s="6">
        <f>$J$3+[26]FormattedData!E17*$J$4+$M$4*$J$5+[26]FormattedData!E17^2*$J$6+$M$5*$J$7</f>
        <v>32.31424865928048</v>
      </c>
      <c r="M56" s="6">
        <f>$J$3+[26]FormattedData!F17*$J$4+$M$4*$J$5+[26]FormattedData!F17^2*$J$6+$M$5*$J$7</f>
        <v>32.506735057725649</v>
      </c>
      <c r="N56" s="6">
        <f>$J$3+[26]FormattedData!G17*$J$4+$M$4*$J$5+[26]FormattedData!G17^2*$J$6+$M$5*$J$7</f>
        <v>32.795147641358909</v>
      </c>
      <c r="O56" s="6">
        <f>$J$3+[26]FormattedData!H17*$J$4+$M$4*$J$5+[26]FormattedData!H17^2*$J$6+$M$5*$J$7</f>
        <v>31.349280554778787</v>
      </c>
      <c r="P56" s="6">
        <f>$J$3+[26]FormattedData!I17*$J$4+$M$4*$J$5+[26]FormattedData!I17^2*$J$6+$M$5*$J$7</f>
        <v>32.987211354424765</v>
      </c>
      <c r="Q56" s="6">
        <f>$J$3+[26]FormattedData!J17*$J$4+$M$4*$J$5+[26]FormattedData!J17^2*$J$6+$M$5*$J$7</f>
        <v>32.410512992772034</v>
      </c>
      <c r="R56" s="6">
        <f>$J$3+[26]FormattedData!K17*$J$4+$M$4*$J$5+[26]FormattedData!K17^2*$J$6+$M$5*$J$7</f>
        <v>32.602914854141332</v>
      </c>
      <c r="S56" s="6">
        <f>$J$3+[26]FormattedData!L17*$J$4+$M$4*$J$5+[26]FormattedData!L17^2*$J$6+$M$5*$J$7</f>
        <v>33.083179808150788</v>
      </c>
      <c r="T56" s="6">
        <f>$J$3+[26]FormattedData!M17*$J$4+$M$4*$J$5+[26]FormattedData!M17^2*$J$6+$M$5*$J$7</f>
        <v>33.083179808150788</v>
      </c>
      <c r="U56" s="6">
        <f>$J$3+[26]FormattedData!N17*$J$4+$M$4*$J$5+[26]FormattedData!N17^2*$J$6+$M$5*$J$7</f>
        <v>31.058965886938612</v>
      </c>
      <c r="V56" s="6">
        <f>$J$3+[26]FormattedData!O17*$J$4+$M$4*$J$5+[26]FormattedData!O17^2*$J$6+$M$5*$J$7</f>
        <v>32.31424865928048</v>
      </c>
      <c r="W56" s="5">
        <f t="shared" si="9"/>
        <v>32.46573375709611</v>
      </c>
      <c r="X56" s="4">
        <f t="shared" si="10"/>
        <v>0.19107113195516079</v>
      </c>
      <c r="Y56" s="3">
        <f t="shared" si="11"/>
        <v>31.058965886938612</v>
      </c>
      <c r="Z56" s="2">
        <f t="shared" si="12"/>
        <v>32.31424865928048</v>
      </c>
      <c r="AA56" s="3">
        <f t="shared" si="13"/>
        <v>32.554824955933491</v>
      </c>
      <c r="AB56" s="2">
        <f t="shared" si="14"/>
        <v>33.011203467856269</v>
      </c>
      <c r="AC56" s="2">
        <f t="shared" si="15"/>
        <v>33.083179808150788</v>
      </c>
      <c r="AD56" s="2">
        <f t="shared" si="16"/>
        <v>-1.2401194613924147</v>
      </c>
      <c r="AE56" s="2">
        <f t="shared" si="17"/>
        <v>0.88719088038952343</v>
      </c>
    </row>
    <row r="57" spans="2:31" x14ac:dyDescent="0.2">
      <c r="B57" s="1">
        <f>[26]FormattedData!A15</f>
        <v>108</v>
      </c>
      <c r="C57" s="1" t="str">
        <f>VLOOKUP($B57,[26]TrtCodes!$B$11:I58,2)</f>
        <v>FTH</v>
      </c>
      <c r="D57" s="1">
        <f>VLOOKUP($B57,[26]TrtCodes!$B$11:J58,3)</f>
        <v>3</v>
      </c>
      <c r="E57" s="1">
        <f>VLOOKUP($B57,[26]TrtCodes!$B$11:K58,4)</f>
        <v>1</v>
      </c>
      <c r="F57" s="1">
        <f>VLOOKUP($B57,[26]TrtCodes!$B$11:L58,5)</f>
        <v>2</v>
      </c>
      <c r="G57" s="1">
        <f>VLOOKUP($B57,[26]TrtCodes!$B$11:M58,6)</f>
        <v>2</v>
      </c>
      <c r="H57" s="1">
        <f>VLOOKUP($B57,[26]TrtCodes!$B$11:N58,7)</f>
        <v>2</v>
      </c>
      <c r="I57" s="1">
        <f>[26]FormattedData!B15</f>
        <v>2</v>
      </c>
      <c r="J57" s="4">
        <f>[26]FormattedData!C15</f>
        <v>12.89</v>
      </c>
      <c r="K57" s="6">
        <f>$J$3+[26]FormattedData!D15*$J$4+$M$4*$J$5+[26]FormattedData!D15^2*$J$6+$M$5*$J$7</f>
        <v>34.898549406738461</v>
      </c>
      <c r="L57" s="6">
        <f>$J$3+[26]FormattedData!E15*$J$4+$M$4*$J$5+[26]FormattedData!E15^2*$J$6+$M$5*$J$7</f>
        <v>34.326923269637454</v>
      </c>
      <c r="M57" s="6">
        <f>$J$3+[26]FormattedData!F15*$J$4+$M$4*$J$5+[26]FormattedData!F15^2*$J$6+$M$5*$J$7</f>
        <v>31.832292963753773</v>
      </c>
      <c r="N57" s="6">
        <f>$J$3+[26]FormattedData!G15*$J$4+$M$4*$J$5+[26]FormattedData!G15^2*$J$6+$M$5*$J$7</f>
        <v>33.370831558101301</v>
      </c>
      <c r="O57" s="6">
        <f>$J$3+[26]FormattedData!H15*$J$4+$M$4*$J$5+[26]FormattedData!H15^2*$J$6+$M$5*$J$7</f>
        <v>31.445967573649643</v>
      </c>
      <c r="P57" s="6">
        <f>$J$3+[26]FormattedData!I15*$J$4+$M$4*$J$5+[26]FormattedData!I15^2*$J$6+$M$5*$J$7</f>
        <v>32.506735057725649</v>
      </c>
      <c r="Q57" s="6">
        <f>$J$3+[26]FormattedData!J15*$J$4+$M$4*$J$5+[26]FormattedData!J15^2*$J$6+$M$5*$J$7</f>
        <v>32.31424865928048</v>
      </c>
      <c r="R57" s="6">
        <f>$J$3+[26]FormattedData!K15*$J$4+$M$4*$J$5+[26]FormattedData!K15^2*$J$6+$M$5*$J$7</f>
        <v>33.370831558101301</v>
      </c>
      <c r="S57" s="6">
        <f>$J$3+[26]FormattedData!L15*$J$4+$M$4*$J$5+[26]FormattedData!L15^2*$J$6+$M$5*$J$7</f>
        <v>30.574262736446382</v>
      </c>
      <c r="T57" s="6">
        <f>$J$3+[26]FormattedData!M15*$J$4+$M$4*$J$5+[26]FormattedData!M15^2*$J$6+$M$5*$J$7</f>
        <v>32.602914854141332</v>
      </c>
      <c r="U57" s="6">
        <f>$J$3+[26]FormattedData!N15*$J$4+$M$4*$J$5+[26]FormattedData!N15^2*$J$6+$M$5*$J$7</f>
        <v>32.506735057725649</v>
      </c>
      <c r="V57" s="6">
        <f>$J$3+[26]FormattedData!O15*$J$4+$M$4*$J$5+[26]FormattedData!O15^2*$J$6+$M$5*$J$7</f>
        <v>30.380085596483976</v>
      </c>
      <c r="W57" s="5">
        <f t="shared" si="9"/>
        <v>32.510864857648777</v>
      </c>
      <c r="X57" s="4">
        <f t="shared" si="10"/>
        <v>0.39322356999172942</v>
      </c>
      <c r="Y57" s="3">
        <f t="shared" si="11"/>
        <v>30.380085596483976</v>
      </c>
      <c r="Z57" s="2">
        <f t="shared" si="12"/>
        <v>31.735711616227739</v>
      </c>
      <c r="AA57" s="3">
        <f t="shared" si="13"/>
        <v>32.506735057725649</v>
      </c>
      <c r="AB57" s="2">
        <f t="shared" si="14"/>
        <v>33.370831558101301</v>
      </c>
      <c r="AC57" s="2">
        <f t="shared" si="15"/>
        <v>34.898549406738461</v>
      </c>
      <c r="AD57" s="2">
        <f t="shared" si="16"/>
        <v>0.1040005086203276</v>
      </c>
      <c r="AE57" s="2">
        <f t="shared" si="17"/>
        <v>-0.34200399808488546</v>
      </c>
    </row>
    <row r="58" spans="2:31" x14ac:dyDescent="0.2">
      <c r="B58" s="1">
        <f>[26]FormattedData!A31</f>
        <v>201</v>
      </c>
      <c r="C58" s="1" t="str">
        <f>VLOOKUP($B58,[26]TrtCodes!$B$11:I74,2)</f>
        <v>NDL</v>
      </c>
      <c r="D58" s="1">
        <f>VLOOKUP($B58,[26]TrtCodes!$B$11:J74,3)</f>
        <v>12</v>
      </c>
      <c r="E58" s="1">
        <f>VLOOKUP($B58,[26]TrtCodes!$B$11:K74,4)</f>
        <v>2</v>
      </c>
      <c r="F58" s="1">
        <f>VLOOKUP($B58,[26]TrtCodes!$B$11:L74,5)</f>
        <v>3</v>
      </c>
      <c r="G58" s="1">
        <f>VLOOKUP($B58,[26]TrtCodes!$B$11:M74,6)</f>
        <v>1</v>
      </c>
      <c r="H58" s="1">
        <f>VLOOKUP($B58,[26]TrtCodes!$B$11:N74,7)</f>
        <v>1</v>
      </c>
      <c r="I58" s="1">
        <f>[26]FormattedData!B31</f>
        <v>2</v>
      </c>
      <c r="J58" s="4">
        <f>[26]FormattedData!C31</f>
        <v>13.010999999999999</v>
      </c>
      <c r="K58" s="6">
        <f>$J$3+[26]FormattedData!D31*$J$4+$M$4*$J$5+[26]FormattedData!D31^2*$J$6+$M$5*$J$7</f>
        <v>33.562388048711973</v>
      </c>
      <c r="L58" s="6">
        <f>$J$3+[26]FormattedData!E31*$J$4+$M$4*$J$5+[26]FormattedData!E31^2*$J$6+$M$5*$J$7</f>
        <v>31.928768639934979</v>
      </c>
      <c r="M58" s="6">
        <f>$J$3+[26]FormattedData!F31*$J$4+$M$4*$J$5+[26]FormattedData!F31^2*$J$6+$M$5*$J$7</f>
        <v>33.083179808150788</v>
      </c>
      <c r="N58" s="6">
        <f>$J$3+[26]FormattedData!G31*$J$4+$M$4*$J$5+[26]FormattedData!G31^2*$J$6+$M$5*$J$7</f>
        <v>34.04053957582488</v>
      </c>
      <c r="O58" s="6">
        <f>$J$3+[26]FormattedData!H31*$J$4+$M$4*$J$5+[26]FormattedData!H31^2*$J$6+$M$5*$J$7</f>
        <v>32.795147641358909</v>
      </c>
      <c r="P58" s="6">
        <f>$J$3+[26]FormattedData!I31*$J$4+$M$4*$J$5+[26]FormattedData!I31^2*$J$6+$M$5*$J$7</f>
        <v>33.466630937675603</v>
      </c>
      <c r="Q58" s="6">
        <f>$J$3+[26]FormattedData!J31*$J$4+$M$4*$J$5+[26]FormattedData!J31^2*$J$6+$M$5*$J$7</f>
        <v>33.849405770593521</v>
      </c>
      <c r="R58" s="6">
        <f>$J$3+[26]FormattedData!K31*$J$4+$M$4*$J$5+[26]FormattedData!K31^2*$J$6+$M$5*$J$7</f>
        <v>31.349280554778787</v>
      </c>
      <c r="S58" s="6">
        <f>$J$3+[26]FormattedData!L31*$J$4+$M$4*$J$5+[26]FormattedData!L31^2*$J$6+$M$5*$J$7</f>
        <v>32.31424865928048</v>
      </c>
      <c r="T58" s="6">
        <f>$J$3+[26]FormattedData!M31*$J$4+$M$4*$J$5+[26]FormattedData!M31^2*$J$6+$M$5*$J$7</f>
        <v>30.962109793916031</v>
      </c>
      <c r="U58" s="6">
        <f>$J$3+[26]FormattedData!N31*$J$4+$M$4*$J$5+[26]FormattedData!N31^2*$J$6+$M$5*$J$7</f>
        <v>33.658102891210426</v>
      </c>
      <c r="V58" s="6">
        <f>$J$3+[26]FormattedData!O31*$J$4+$M$4*$J$5+[26]FormattedData!O31^2*$J$6+$M$5*$J$7</f>
        <v>31.735775019034634</v>
      </c>
      <c r="W58" s="5">
        <f t="shared" si="9"/>
        <v>32.72879811170592</v>
      </c>
      <c r="X58" s="4">
        <f t="shared" si="10"/>
        <v>0.30190734888404175</v>
      </c>
      <c r="Y58" s="3">
        <f t="shared" si="11"/>
        <v>30.962109793916031</v>
      </c>
      <c r="Z58" s="2">
        <f t="shared" si="12"/>
        <v>31.880520234709891</v>
      </c>
      <c r="AA58" s="3">
        <f t="shared" si="13"/>
        <v>32.939163724754849</v>
      </c>
      <c r="AB58" s="2">
        <f t="shared" si="14"/>
        <v>33.586316759336583</v>
      </c>
      <c r="AC58" s="2">
        <f t="shared" si="15"/>
        <v>34.04053957582488</v>
      </c>
      <c r="AD58" s="2">
        <f t="shared" si="16"/>
        <v>-0.40143990044595007</v>
      </c>
      <c r="AE58" s="2">
        <f t="shared" si="17"/>
        <v>-1.2866325080412286</v>
      </c>
    </row>
    <row r="59" spans="2:31" x14ac:dyDescent="0.2">
      <c r="B59" s="1">
        <f>[26]FormattedData!A33</f>
        <v>202</v>
      </c>
      <c r="C59" s="1" t="str">
        <f>VLOOKUP($B59,[26]TrtCodes!$B$11:I76,2)</f>
        <v>NTH</v>
      </c>
      <c r="D59" s="1">
        <f>VLOOKUP($B59,[26]TrtCodes!$B$11:J76,3)</f>
        <v>9</v>
      </c>
      <c r="E59" s="1">
        <f>VLOOKUP($B59,[26]TrtCodes!$B$11:K76,4)</f>
        <v>2</v>
      </c>
      <c r="F59" s="1">
        <f>VLOOKUP($B59,[26]TrtCodes!$B$11:L76,5)</f>
        <v>2</v>
      </c>
      <c r="G59" s="1">
        <f>VLOOKUP($B59,[26]TrtCodes!$B$11:M76,6)</f>
        <v>2</v>
      </c>
      <c r="H59" s="1">
        <f>VLOOKUP($B59,[26]TrtCodes!$B$11:N76,7)</f>
        <v>1</v>
      </c>
      <c r="I59" s="1">
        <f>[26]FormattedData!B33</f>
        <v>2</v>
      </c>
      <c r="J59" s="4">
        <f>[26]FormattedData!C33</f>
        <v>13.026999999999999</v>
      </c>
      <c r="K59" s="6">
        <f>$J$3+[26]FormattedData!D33*$J$4+$M$4*$J$5+[26]FormattedData!D33^2*$J$6+$M$5*$J$7</f>
        <v>29.406663784396049</v>
      </c>
      <c r="L59" s="6">
        <f>$J$3+[26]FormattedData!E33*$J$4+$M$4*$J$5+[26]FormattedData!E33^2*$J$6+$M$5*$J$7</f>
        <v>30.671287903620694</v>
      </c>
      <c r="M59" s="6">
        <f>$J$3+[26]FormattedData!F33*$J$4+$M$4*$J$5+[26]FormattedData!F33^2*$J$6+$M$5*$J$7</f>
        <v>30.185739382369839</v>
      </c>
      <c r="N59" s="6">
        <f>$J$3+[26]FormattedData!G33*$J$4+$M$4*$J$5+[26]FormattedData!G33^2*$J$6+$M$5*$J$7</f>
        <v>31.058965886938612</v>
      </c>
      <c r="O59" s="6">
        <f>$J$3+[26]FormattedData!H33*$J$4+$M$4*$J$5+[26]FormattedData!H33^2*$J$6+$M$5*$J$7</f>
        <v>30.671287903620694</v>
      </c>
      <c r="P59" s="6">
        <f>$J$3+[26]FormattedData!I33*$J$4+$M$4*$J$5+[26]FormattedData!I33^2*$J$6+$M$5*$J$7</f>
        <v>30.477195300734145</v>
      </c>
      <c r="Q59" s="6">
        <f>$J$3+[26]FormattedData!J33*$J$4+$M$4*$J$5+[26]FormattedData!J33^2*$J$6+$M$5*$J$7</f>
        <v>31.058965886938612</v>
      </c>
      <c r="R59" s="6">
        <f>$J$3+[26]FormattedData!K33*$J$4+$M$4*$J$5+[26]FormattedData!K33^2*$J$6+$M$5*$J$7</f>
        <v>29.113813004280015</v>
      </c>
      <c r="S59" s="6">
        <f>$J$3+[26]FormattedData!L33*$J$4+$M$4*$J$5+[26]FormattedData!L33^2*$J$6+$M$5*$J$7</f>
        <v>31.735775019034634</v>
      </c>
      <c r="T59" s="6">
        <f>$J$3+[26]FormattedData!M33*$J$4+$M$4*$J$5+[26]FormattedData!M33^2*$J$6+$M$5*$J$7</f>
        <v>30.282933623695868</v>
      </c>
      <c r="U59" s="6">
        <f>$J$3+[26]FormattedData!N33*$J$4+$M$4*$J$5+[26]FormattedData!N33^2*$J$6+$M$5*$J$7</f>
        <v>29.211472199523293</v>
      </c>
      <c r="V59" s="6">
        <f>$J$3+[26]FormattedData!O33*$J$4+$M$4*$J$5+[26]FormattedData!O33^2*$J$6+$M$5*$J$7</f>
        <v>30.962109793916031</v>
      </c>
      <c r="W59" s="5">
        <f t="shared" si="9"/>
        <v>30.40301747408904</v>
      </c>
      <c r="X59" s="4">
        <f t="shared" si="10"/>
        <v>0.23411637249022221</v>
      </c>
      <c r="Y59" s="3">
        <f t="shared" si="11"/>
        <v>29.113813004280015</v>
      </c>
      <c r="Z59" s="2">
        <f t="shared" si="12"/>
        <v>29.990970482876392</v>
      </c>
      <c r="AA59" s="3">
        <f t="shared" si="13"/>
        <v>30.57424160217742</v>
      </c>
      <c r="AB59" s="2">
        <f t="shared" si="14"/>
        <v>30.986323817171677</v>
      </c>
      <c r="AC59" s="2">
        <f t="shared" si="15"/>
        <v>31.735775019034634</v>
      </c>
      <c r="AD59" s="2">
        <f t="shared" si="16"/>
        <v>-0.34562485343512778</v>
      </c>
      <c r="AE59" s="2">
        <f t="shared" si="17"/>
        <v>-0.60956065291930139</v>
      </c>
    </row>
    <row r="60" spans="2:31" x14ac:dyDescent="0.2">
      <c r="B60" s="1">
        <f>[26]FormattedData!A35</f>
        <v>203</v>
      </c>
      <c r="C60" s="1" t="str">
        <f>VLOOKUP($B60,[26]TrtCodes!$B$11:I78,2)</f>
        <v>FTH</v>
      </c>
      <c r="D60" s="1">
        <f>VLOOKUP($B60,[26]TrtCodes!$B$11:J78,3)</f>
        <v>3</v>
      </c>
      <c r="E60" s="1">
        <f>VLOOKUP($B60,[26]TrtCodes!$B$11:K78,4)</f>
        <v>1</v>
      </c>
      <c r="F60" s="1">
        <f>VLOOKUP($B60,[26]TrtCodes!$B$11:L78,5)</f>
        <v>2</v>
      </c>
      <c r="G60" s="1">
        <f>VLOOKUP($B60,[26]TrtCodes!$B$11:M78,6)</f>
        <v>2</v>
      </c>
      <c r="H60" s="1">
        <f>VLOOKUP($B60,[26]TrtCodes!$B$11:N78,7)</f>
        <v>1</v>
      </c>
      <c r="I60" s="1">
        <f>[26]FormattedData!B35</f>
        <v>2</v>
      </c>
      <c r="J60" s="4">
        <f>[26]FormattedData!C35</f>
        <v>13.042</v>
      </c>
      <c r="K60" s="6">
        <f>$J$3+[26]FormattedData!D35*$J$4+$M$4*$J$5+[26]FormattedData!D35^2*$J$6+$M$5*$J$7</f>
        <v>31.445967573649643</v>
      </c>
      <c r="L60" s="6">
        <f>$J$3+[26]FormattedData!E35*$J$4+$M$4*$J$5+[26]FormattedData!E35^2*$J$6+$M$5*$J$7</f>
        <v>29.113813004280015</v>
      </c>
      <c r="M60" s="6">
        <f>$J$3+[26]FormattedData!F35*$J$4+$M$4*$J$5+[26]FormattedData!F35^2*$J$6+$M$5*$J$7</f>
        <v>30.282933623695868</v>
      </c>
      <c r="N60" s="6">
        <f>$J$3+[26]FormattedData!G35*$J$4+$M$4*$J$5+[26]FormattedData!G35^2*$J$6+$M$5*$J$7</f>
        <v>31.928768639934979</v>
      </c>
      <c r="O60" s="6">
        <f>$J$3+[26]FormattedData!H35*$J$4+$M$4*$J$5+[26]FormattedData!H35^2*$J$6+$M$5*$J$7</f>
        <v>30.477195300734145</v>
      </c>
      <c r="P60" s="6">
        <f>$J$3+[26]FormattedData!I35*$J$4+$M$4*$J$5+[26]FormattedData!I35^2*$J$6+$M$5*$J$7</f>
        <v>30.185739382369839</v>
      </c>
      <c r="Q60" s="6">
        <f>$J$3+[26]FormattedData!J35*$J$4+$M$4*$J$5+[26]FormattedData!J35^2*$J$6+$M$5*$J$7</f>
        <v>30.962109793916031</v>
      </c>
      <c r="R60" s="6">
        <f>$J$3+[26]FormattedData!K35*$J$4+$M$4*$J$5+[26]FormattedData!K35^2*$J$6+$M$5*$J$7</f>
        <v>31.058965886938612</v>
      </c>
      <c r="S60" s="6">
        <f>$J$3+[26]FormattedData!L35*$J$4+$M$4*$J$5+[26]FormattedData!L35^2*$J$6+$M$5*$J$7</f>
        <v>29.796539731686391</v>
      </c>
      <c r="T60" s="6">
        <f>$J$3+[26]FormattedData!M35*$J$4+$M$4*$J$5+[26]FormattedData!M35^2*$J$6+$M$5*$J$7</f>
        <v>32.31424865928048</v>
      </c>
      <c r="U60" s="6">
        <f>$J$3+[26]FormattedData!N35*$J$4+$M$4*$J$5+[26]FormattedData!N35^2*$J$6+$M$5*$J$7</f>
        <v>30.962109793916031</v>
      </c>
      <c r="V60" s="6">
        <f>$J$3+[26]FormattedData!O35*$J$4+$M$4*$J$5+[26]FormattedData!O35^2*$J$6+$M$5*$J$7</f>
        <v>31.928768639934979</v>
      </c>
      <c r="W60" s="5">
        <f t="shared" si="9"/>
        <v>30.871430002528083</v>
      </c>
      <c r="X60" s="4">
        <f t="shared" si="10"/>
        <v>0.27408099421873539</v>
      </c>
      <c r="Y60" s="3">
        <f t="shared" si="11"/>
        <v>29.113813004280015</v>
      </c>
      <c r="Z60" s="2">
        <f t="shared" si="12"/>
        <v>30.258635063364359</v>
      </c>
      <c r="AA60" s="3">
        <f t="shared" si="13"/>
        <v>30.962109793916031</v>
      </c>
      <c r="AB60" s="2">
        <f t="shared" si="14"/>
        <v>31.566667840220976</v>
      </c>
      <c r="AC60" s="2">
        <f t="shared" si="15"/>
        <v>32.31424865928048</v>
      </c>
      <c r="AD60" s="2">
        <f t="shared" si="16"/>
        <v>-0.21587298620399303</v>
      </c>
      <c r="AE60" s="2">
        <f t="shared" si="17"/>
        <v>-0.50661120299108298</v>
      </c>
    </row>
    <row r="61" spans="2:31" x14ac:dyDescent="0.2">
      <c r="B61" s="1">
        <f>[26]FormattedData!A37</f>
        <v>204</v>
      </c>
      <c r="C61" s="1" t="str">
        <f>VLOOKUP($B61,[26]TrtCodes!$B$11:I80,2)</f>
        <v>NDH</v>
      </c>
      <c r="D61" s="1">
        <f>VLOOKUP($B61,[26]TrtCodes!$B$11:J80,3)</f>
        <v>11</v>
      </c>
      <c r="E61" s="1">
        <f>VLOOKUP($B61,[26]TrtCodes!$B$11:K80,4)</f>
        <v>2</v>
      </c>
      <c r="F61" s="1">
        <f>VLOOKUP($B61,[26]TrtCodes!$B$11:L80,5)</f>
        <v>3</v>
      </c>
      <c r="G61" s="1">
        <f>VLOOKUP($B61,[26]TrtCodes!$B$11:M80,6)</f>
        <v>2</v>
      </c>
      <c r="H61" s="1">
        <f>VLOOKUP($B61,[26]TrtCodes!$B$11:N80,7)</f>
        <v>1</v>
      </c>
      <c r="I61" s="1">
        <f>[26]FormattedData!B37</f>
        <v>2</v>
      </c>
      <c r="J61" s="4">
        <f>[26]FormattedData!C37</f>
        <v>13.057</v>
      </c>
      <c r="K61" s="6">
        <f>$J$3+[26]FormattedData!D37*$J$4+$M$4*$J$5+[26]FormattedData!D37^2*$J$6+$M$5*$J$7</f>
        <v>33.849405770593521</v>
      </c>
      <c r="L61" s="6">
        <f>$J$3+[26]FormattedData!E37*$J$4+$M$4*$J$5+[26]FormattedData!E37^2*$J$6+$M$5*$J$7</f>
        <v>32.506735057725649</v>
      </c>
      <c r="M61" s="6">
        <f>$J$3+[26]FormattedData!F37*$J$4+$M$4*$J$5+[26]FormattedData!F37^2*$J$6+$M$5*$J$7</f>
        <v>33.083179808150788</v>
      </c>
      <c r="N61" s="6">
        <f>$J$3+[26]FormattedData!G37*$J$4+$M$4*$J$5+[26]FormattedData!G37^2*$J$6+$M$5*$J$7</f>
        <v>34.136043075633673</v>
      </c>
      <c r="O61" s="6">
        <f>$J$3+[26]FormattedData!H37*$J$4+$M$4*$J$5+[26]FormattedData!H37^2*$J$6+$M$5*$J$7</f>
        <v>32.699052382019083</v>
      </c>
      <c r="P61" s="6">
        <f>$J$3+[26]FormattedData!I37*$J$4+$M$4*$J$5+[26]FormattedData!I37^2*$J$6+$M$5*$J$7</f>
        <v>33.179105993338894</v>
      </c>
      <c r="Q61" s="6">
        <f>$J$3+[26]FormattedData!J37*$J$4+$M$4*$J$5+[26]FormattedData!J37^2*$J$6+$M$5*$J$7</f>
        <v>32.217942057250994</v>
      </c>
      <c r="R61" s="6">
        <f>$J$3+[26]FormattedData!K37*$J$4+$M$4*$J$5+[26]FormattedData!K37^2*$J$6+$M$5*$J$7</f>
        <v>33.27498990998906</v>
      </c>
      <c r="S61" s="6">
        <f>$J$3+[26]FormattedData!L37*$J$4+$M$4*$J$5+[26]FormattedData!L37^2*$J$6+$M$5*$J$7</f>
        <v>32.699052382019083</v>
      </c>
      <c r="T61" s="6">
        <f>$J$3+[26]FormattedData!M37*$J$4+$M$4*$J$5+[26]FormattedData!M37^2*$J$6+$M$5*$J$7</f>
        <v>32.795147641358909</v>
      </c>
      <c r="U61" s="6">
        <f>$J$3+[26]FormattedData!N37*$J$4+$M$4*$J$5+[26]FormattedData!N37^2*$J$6+$M$5*$J$7</f>
        <v>30.380085596483976</v>
      </c>
      <c r="V61" s="6">
        <f>$J$3+[26]FormattedData!O37*$J$4+$M$4*$J$5+[26]FormattedData!O37^2*$J$6+$M$5*$J$7</f>
        <v>31.058965886938612</v>
      </c>
      <c r="W61" s="5">
        <f t="shared" si="9"/>
        <v>32.656642130125185</v>
      </c>
      <c r="X61" s="4">
        <f t="shared" si="10"/>
        <v>0.30676166674577071</v>
      </c>
      <c r="Y61" s="3">
        <f t="shared" si="11"/>
        <v>30.380085596483976</v>
      </c>
      <c r="Z61" s="2">
        <f t="shared" si="12"/>
        <v>32.434536807606989</v>
      </c>
      <c r="AA61" s="3">
        <f t="shared" si="13"/>
        <v>32.747100011689</v>
      </c>
      <c r="AB61" s="2">
        <f t="shared" si="14"/>
        <v>33.203076972501435</v>
      </c>
      <c r="AC61" s="2">
        <f t="shared" si="15"/>
        <v>34.136043075633673</v>
      </c>
      <c r="AD61" s="2">
        <f t="shared" si="16"/>
        <v>-0.960965465517027</v>
      </c>
      <c r="AE61" s="2">
        <f t="shared" si="17"/>
        <v>0.96912921544289965</v>
      </c>
    </row>
    <row r="62" spans="2:31" x14ac:dyDescent="0.2">
      <c r="B62" s="1">
        <f>[26]FormattedData!A39</f>
        <v>205</v>
      </c>
      <c r="C62" s="1" t="str">
        <f>VLOOKUP($B62,[26]TrtCodes!$B$11:I82,2)</f>
        <v>FSH</v>
      </c>
      <c r="D62" s="1">
        <f>VLOOKUP($B62,[26]TrtCodes!$B$11:J82,3)</f>
        <v>1</v>
      </c>
      <c r="E62" s="1">
        <f>VLOOKUP($B62,[26]TrtCodes!$B$11:K82,4)</f>
        <v>1</v>
      </c>
      <c r="F62" s="1">
        <f>VLOOKUP($B62,[26]TrtCodes!$B$11:L82,5)</f>
        <v>1</v>
      </c>
      <c r="G62" s="1">
        <f>VLOOKUP($B62,[26]TrtCodes!$B$11:M82,6)</f>
        <v>2</v>
      </c>
      <c r="H62" s="1">
        <f>VLOOKUP($B62,[26]TrtCodes!$B$11:N82,7)</f>
        <v>2</v>
      </c>
      <c r="I62" s="1">
        <f>[26]FormattedData!B39</f>
        <v>2</v>
      </c>
      <c r="J62" s="4">
        <f>[26]FormattedData!C39</f>
        <v>13.071999999999999</v>
      </c>
      <c r="K62" s="6">
        <f>$J$3+[26]FormattedData!D39*$J$4+$M$4*$J$5+[26]FormattedData!D39^2*$J$6+$M$5*$J$7</f>
        <v>31.542612323982574</v>
      </c>
      <c r="L62" s="6">
        <f>$J$3+[26]FormattedData!E39*$J$4+$M$4*$J$5+[26]FormattedData!E39^2*$J$6+$M$5*$J$7</f>
        <v>31.542612323982574</v>
      </c>
      <c r="M62" s="6">
        <f>$J$3+[26]FormattedData!F39*$J$4+$M$4*$J$5+[26]FormattedData!F39^2*$J$6+$M$5*$J$7</f>
        <v>31.928768639934979</v>
      </c>
      <c r="N62" s="6">
        <f>$J$3+[26]FormattedData!G39*$J$4+$M$4*$J$5+[26]FormattedData!G39^2*$J$6+$M$5*$J$7</f>
        <v>29.016111540498809</v>
      </c>
      <c r="O62" s="6">
        <f>$J$3+[26]FormattedData!H39*$J$4+$M$4*$J$5+[26]FormattedData!H39^2*$J$6+$M$5*$J$7</f>
        <v>30.477195300734145</v>
      </c>
      <c r="P62" s="6">
        <f>$J$3+[26]FormattedData!I39*$J$4+$M$4*$J$5+[26]FormattedData!I39^2*$J$6+$M$5*$J$7</f>
        <v>30.282933623695868</v>
      </c>
      <c r="Q62" s="6">
        <f>$J$3+[26]FormattedData!J39*$J$4+$M$4*$J$5+[26]FormattedData!J39^2*$J$6+$M$5*$J$7</f>
        <v>29.504196174025534</v>
      </c>
      <c r="R62" s="6">
        <f>$J$3+[26]FormattedData!K39*$J$4+$M$4*$J$5+[26]FormattedData!K39^2*$J$6+$M$5*$J$7</f>
        <v>30.768270802257071</v>
      </c>
      <c r="S62" s="6">
        <f>$J$3+[26]FormattedData!L39*$J$4+$M$4*$J$5+[26]FormattedData!L39^2*$J$6+$M$5*$J$7</f>
        <v>30.671287903620694</v>
      </c>
      <c r="T62" s="6">
        <f>$J$3+[26]FormattedData!M39*$J$4+$M$4*$J$5+[26]FormattedData!M39^2*$J$6+$M$5*$J$7</f>
        <v>31.155779711423271</v>
      </c>
      <c r="U62" s="6">
        <f>$J$3+[26]FormattedData!N39*$J$4+$M$4*$J$5+[26]FormattedData!N39^2*$J$6+$M$5*$J$7</f>
        <v>29.699134147670705</v>
      </c>
      <c r="V62" s="6">
        <f>$J$3+[26]FormattedData!O39*$J$4+$M$4*$J$5+[26]FormattedData!O39^2*$J$6+$M$5*$J$7</f>
        <v>30.380085596483976</v>
      </c>
      <c r="W62" s="5">
        <f t="shared" si="9"/>
        <v>30.580749007359184</v>
      </c>
      <c r="X62" s="4">
        <f t="shared" si="10"/>
        <v>0.25473583136777833</v>
      </c>
      <c r="Y62" s="3">
        <f t="shared" si="11"/>
        <v>29.016111540498809</v>
      </c>
      <c r="Z62" s="2">
        <f t="shared" si="12"/>
        <v>30.136983754689577</v>
      </c>
      <c r="AA62" s="3">
        <f t="shared" si="13"/>
        <v>30.57424160217742</v>
      </c>
      <c r="AB62" s="2">
        <f t="shared" si="14"/>
        <v>31.252487864563097</v>
      </c>
      <c r="AC62" s="2">
        <f t="shared" si="15"/>
        <v>31.928768639934979</v>
      </c>
      <c r="AD62" s="2">
        <f t="shared" si="16"/>
        <v>-0.21783142162621719</v>
      </c>
      <c r="AE62" s="2">
        <f t="shared" si="17"/>
        <v>-0.63553309359895893</v>
      </c>
    </row>
    <row r="63" spans="2:31" x14ac:dyDescent="0.2">
      <c r="B63" s="1">
        <f>[26]FormattedData!A41</f>
        <v>206</v>
      </c>
      <c r="C63" s="1" t="str">
        <f>VLOOKUP($B63,[26]TrtCodes!$B$11:I84,2)</f>
        <v>NSL</v>
      </c>
      <c r="D63" s="1">
        <f>VLOOKUP($B63,[26]TrtCodes!$B$11:J84,3)</f>
        <v>8</v>
      </c>
      <c r="E63" s="1">
        <f>VLOOKUP($B63,[26]TrtCodes!$B$11:K84,4)</f>
        <v>2</v>
      </c>
      <c r="F63" s="1">
        <f>VLOOKUP($B63,[26]TrtCodes!$B$11:L84,5)</f>
        <v>1</v>
      </c>
      <c r="G63" s="1">
        <f>VLOOKUP($B63,[26]TrtCodes!$B$11:M84,6)</f>
        <v>1</v>
      </c>
      <c r="H63" s="1">
        <f>VLOOKUP($B63,[26]TrtCodes!$B$11:N84,7)</f>
        <v>2</v>
      </c>
      <c r="I63" s="1">
        <f>[26]FormattedData!B41</f>
        <v>2</v>
      </c>
      <c r="J63" s="4">
        <f>[26]FormattedData!C41</f>
        <v>13.087999999999999</v>
      </c>
      <c r="K63" s="6">
        <f>$J$3+[26]FormattedData!D41*$J$4+$M$4*$J$5+[26]FormattedData!D41^2*$J$6+$M$5*$J$7</f>
        <v>29.113813004280015</v>
      </c>
      <c r="L63" s="6">
        <f>$J$3+[26]FormattedData!E41*$J$4+$M$4*$J$5+[26]FormattedData!E41^2*$J$6+$M$5*$J$7</f>
        <v>30.08850287250587</v>
      </c>
      <c r="M63" s="6">
        <f>$J$3+[26]FormattedData!F41*$J$4+$M$4*$J$5+[26]FormattedData!F41^2*$J$6+$M$5*$J$7</f>
        <v>30.962109793916031</v>
      </c>
      <c r="N63" s="6">
        <f>$J$3+[26]FormattedData!G41*$J$4+$M$4*$J$5+[26]FormattedData!G41^2*$J$6+$M$5*$J$7</f>
        <v>29.211472199523293</v>
      </c>
      <c r="O63" s="6">
        <f>$J$3+[26]FormattedData!H41*$J$4+$M$4*$J$5+[26]FormattedData!H41^2*$J$6+$M$5*$J$7</f>
        <v>31.735775019034634</v>
      </c>
      <c r="P63" s="6">
        <f>$J$3+[26]FormattedData!I41*$J$4+$M$4*$J$5+[26]FormattedData!I41^2*$J$6+$M$5*$J$7</f>
        <v>31.155779711423271</v>
      </c>
      <c r="Q63" s="6">
        <f>$J$3+[26]FormattedData!J41*$J$4+$M$4*$J$5+[26]FormattedData!J41^2*$J$6+$M$5*$J$7</f>
        <v>32.602914854141332</v>
      </c>
      <c r="R63" s="6">
        <f>$J$3+[26]FormattedData!K41*$J$4+$M$4*$J$5+[26]FormattedData!K41^2*$J$6+$M$5*$J$7</f>
        <v>30.477195300734145</v>
      </c>
      <c r="S63" s="6">
        <f>$J$3+[26]FormattedData!L41*$J$4+$M$4*$J$5+[26]FormattedData!L41^2*$J$6+$M$5*$J$7</f>
        <v>31.445967573649643</v>
      </c>
      <c r="T63" s="6">
        <f>$J$3+[26]FormattedData!M41*$J$4+$M$4*$J$5+[26]FormattedData!M41^2*$J$6+$M$5*$J$7</f>
        <v>29.893903047164155</v>
      </c>
      <c r="U63" s="6">
        <f>$J$3+[26]FormattedData!N41*$J$4+$M$4*$J$5+[26]FormattedData!N41^2*$J$6+$M$5*$J$7</f>
        <v>31.155779711423271</v>
      </c>
      <c r="V63" s="6">
        <f>$J$3+[26]FormattedData!O41*$J$4+$M$4*$J$5+[26]FormattedData!O41^2*$J$6+$M$5*$J$7</f>
        <v>29.211472199523293</v>
      </c>
      <c r="W63" s="5">
        <f t="shared" si="9"/>
        <v>30.587890440609911</v>
      </c>
      <c r="X63" s="4">
        <f t="shared" si="10"/>
        <v>0.32103660023898584</v>
      </c>
      <c r="Y63" s="3">
        <f t="shared" si="11"/>
        <v>29.113813004280015</v>
      </c>
      <c r="Z63" s="2">
        <f t="shared" si="12"/>
        <v>29.72329533525394</v>
      </c>
      <c r="AA63" s="3">
        <f t="shared" si="13"/>
        <v>30.71965254732509</v>
      </c>
      <c r="AB63" s="2">
        <f t="shared" si="14"/>
        <v>31.228326676979865</v>
      </c>
      <c r="AC63" s="2">
        <f t="shared" si="15"/>
        <v>32.602914854141332</v>
      </c>
      <c r="AD63" s="2">
        <f t="shared" si="16"/>
        <v>0.1480130771260903</v>
      </c>
      <c r="AE63" s="2">
        <f t="shared" si="17"/>
        <v>-0.82060190758508789</v>
      </c>
    </row>
    <row r="64" spans="2:31" x14ac:dyDescent="0.2">
      <c r="B64" s="1">
        <f>[26]FormattedData!A43</f>
        <v>207</v>
      </c>
      <c r="C64" s="1" t="str">
        <f>VLOOKUP($B64,[26]TrtCodes!$B$11:I86,2)</f>
        <v>FTL</v>
      </c>
      <c r="D64" s="1">
        <f>VLOOKUP($B64,[26]TrtCodes!$B$11:J86,3)</f>
        <v>4</v>
      </c>
      <c r="E64" s="1">
        <f>VLOOKUP($B64,[26]TrtCodes!$B$11:K86,4)</f>
        <v>1</v>
      </c>
      <c r="F64" s="1">
        <f>VLOOKUP($B64,[26]TrtCodes!$B$11:L86,5)</f>
        <v>2</v>
      </c>
      <c r="G64" s="1">
        <f>VLOOKUP($B64,[26]TrtCodes!$B$11:M86,6)</f>
        <v>1</v>
      </c>
      <c r="H64" s="1">
        <f>VLOOKUP($B64,[26]TrtCodes!$B$11:N86,7)</f>
        <v>2</v>
      </c>
      <c r="I64" s="1">
        <f>[26]FormattedData!B43</f>
        <v>2</v>
      </c>
      <c r="J64" s="4">
        <f>[26]FormattedData!C43</f>
        <v>13.103999999999999</v>
      </c>
      <c r="K64" s="6">
        <f>$J$3+[26]FormattedData!D43*$J$4+$M$4*$J$5+[26]FormattedData!D43^2*$J$6+$M$5*$J$7</f>
        <v>31.155779711423271</v>
      </c>
      <c r="L64" s="6">
        <f>$J$3+[26]FormattedData!E43*$J$4+$M$4*$J$5+[26]FormattedData!E43^2*$J$6+$M$5*$J$7</f>
        <v>29.016111540498809</v>
      </c>
      <c r="M64" s="6">
        <f>$J$3+[26]FormattedData!F43*$J$4+$M$4*$J$5+[26]FormattedData!F43^2*$J$6+$M$5*$J$7</f>
        <v>29.406663784396049</v>
      </c>
      <c r="N64" s="6">
        <f>$J$3+[26]FormattedData!G43*$J$4+$M$4*$J$5+[26]FormattedData!G43^2*$J$6+$M$5*$J$7</f>
        <v>28.722753537927598</v>
      </c>
      <c r="O64" s="6">
        <f>$J$3+[26]FormattedData!H43*$J$4+$M$4*$J$5+[26]FormattedData!H43^2*$J$6+$M$5*$J$7</f>
        <v>30.962109793916031</v>
      </c>
      <c r="P64" s="6">
        <f>$J$3+[26]FormattedData!I43*$J$4+$M$4*$J$5+[26]FormattedData!I43^2*$J$6+$M$5*$J$7</f>
        <v>31.63921480577757</v>
      </c>
      <c r="Q64" s="6">
        <f>$J$3+[26]FormattedData!J43*$J$4+$M$4*$J$5+[26]FormattedData!J43^2*$J$6+$M$5*$J$7</f>
        <v>31.155779711423271</v>
      </c>
      <c r="R64" s="6">
        <f>$J$3+[26]FormattedData!K43*$J$4+$M$4*$J$5+[26]FormattedData!K43^2*$J$6+$M$5*$J$7</f>
        <v>31.058965886938612</v>
      </c>
      <c r="S64" s="6">
        <f>$J$3+[26]FormattedData!L43*$J$4+$M$4*$J$5+[26]FormattedData!L43^2*$J$6+$M$5*$J$7</f>
        <v>29.699134147670705</v>
      </c>
      <c r="T64" s="6">
        <f>$J$3+[26]FormattedData!M43*$J$4+$M$4*$J$5+[26]FormattedData!M43^2*$J$6+$M$5*$J$7</f>
        <v>29.699134147670705</v>
      </c>
      <c r="U64" s="6">
        <f>$J$3+[26]FormattedData!N43*$J$4+$M$4*$J$5+[26]FormattedData!N43^2*$J$6+$M$5*$J$7</f>
        <v>29.991224094103977</v>
      </c>
      <c r="V64" s="6">
        <f>$J$3+[26]FormattedData!O43*$J$4+$M$4*$J$5+[26]FormattedData!O43^2*$J$6+$M$5*$J$7</f>
        <v>31.252551267369988</v>
      </c>
      <c r="W64" s="5">
        <f t="shared" si="9"/>
        <v>30.313285202426382</v>
      </c>
      <c r="X64" s="4">
        <f t="shared" si="10"/>
        <v>0.28774747395313205</v>
      </c>
      <c r="Y64" s="3">
        <f t="shared" si="11"/>
        <v>28.722753537927598</v>
      </c>
      <c r="Z64" s="2">
        <f t="shared" si="12"/>
        <v>29.62601655685204</v>
      </c>
      <c r="AA64" s="3">
        <f t="shared" si="13"/>
        <v>30.476666944010006</v>
      </c>
      <c r="AB64" s="2">
        <f t="shared" si="14"/>
        <v>31.155779711423271</v>
      </c>
      <c r="AC64" s="2">
        <f t="shared" si="15"/>
        <v>31.63921480577757</v>
      </c>
      <c r="AD64" s="2">
        <f t="shared" si="16"/>
        <v>-0.26488863501663867</v>
      </c>
      <c r="AE64" s="2">
        <f t="shared" si="17"/>
        <v>-1.5488353271005759</v>
      </c>
    </row>
    <row r="65" spans="2:31" x14ac:dyDescent="0.2">
      <c r="B65" s="1">
        <f>[26]FormattedData!A45</f>
        <v>208</v>
      </c>
      <c r="C65" s="1" t="str">
        <f>VLOOKUP($B65,[26]TrtCodes!$B$11:I88,2)</f>
        <v>FSL</v>
      </c>
      <c r="D65" s="1">
        <f>VLOOKUP($B65,[26]TrtCodes!$B$11:J88,3)</f>
        <v>2</v>
      </c>
      <c r="E65" s="1">
        <f>VLOOKUP($B65,[26]TrtCodes!$B$11:K88,4)</f>
        <v>1</v>
      </c>
      <c r="F65" s="1">
        <f>VLOOKUP($B65,[26]TrtCodes!$B$11:L88,5)</f>
        <v>1</v>
      </c>
      <c r="G65" s="1">
        <f>VLOOKUP($B65,[26]TrtCodes!$B$11:M88,6)</f>
        <v>1</v>
      </c>
      <c r="H65" s="1">
        <f>VLOOKUP($B65,[26]TrtCodes!$B$11:N88,7)</f>
        <v>2</v>
      </c>
      <c r="I65" s="1">
        <f>[26]FormattedData!B45</f>
        <v>2</v>
      </c>
      <c r="J65" s="4">
        <f>[26]FormattedData!C45</f>
        <v>13.119</v>
      </c>
      <c r="K65" s="6">
        <f>$J$3+[26]FormattedData!D45*$J$4+$M$4*$J$5+[26]FormattedData!D45^2*$J$6+$M$5*$J$7</f>
        <v>31.349280554778787</v>
      </c>
      <c r="L65" s="6">
        <f>$J$3+[26]FormattedData!E45*$J$4+$M$4*$J$5+[26]FormattedData!E45^2*$J$6+$M$5*$J$7</f>
        <v>32.025202047578247</v>
      </c>
      <c r="M65" s="6">
        <f>$J$3+[26]FormattedData!F45*$J$4+$M$4*$J$5+[26]FormattedData!F45^2*$J$6+$M$5*$J$7</f>
        <v>29.991224094103977</v>
      </c>
      <c r="N65" s="6">
        <f>$J$3+[26]FormattedData!G45*$J$4+$M$4*$J$5+[26]FormattedData!G45^2*$J$6+$M$5*$J$7</f>
        <v>31.928768639934979</v>
      </c>
      <c r="O65" s="6">
        <f>$J$3+[26]FormattedData!H45*$J$4+$M$4*$J$5+[26]FormattedData!H45^2*$J$6+$M$5*$J$7</f>
        <v>31.542612323982574</v>
      </c>
      <c r="P65" s="6">
        <f>$J$3+[26]FormattedData!I45*$J$4+$M$4*$J$5+[26]FormattedData!I45^2*$J$6+$M$5*$J$7</f>
        <v>32.31424865928048</v>
      </c>
      <c r="Q65" s="6">
        <f>$J$3+[26]FormattedData!J45*$J$4+$M$4*$J$5+[26]FormattedData!J45^2*$J$6+$M$5*$J$7</f>
        <v>30.380085596483976</v>
      </c>
      <c r="R65" s="6">
        <f>$J$3+[26]FormattedData!K45*$J$4+$M$4*$J$5+[26]FormattedData!K45^2*$J$6+$M$5*$J$7</f>
        <v>29.796539731686391</v>
      </c>
      <c r="S65" s="6">
        <f>$J$3+[26]FormattedData!L45*$J$4+$M$4*$J$5+[26]FormattedData!L45^2*$J$6+$M$5*$J$7</f>
        <v>29.991224094103977</v>
      </c>
      <c r="T65" s="6">
        <f>$J$3+[26]FormattedData!M45*$J$4+$M$4*$J$5+[26]FormattedData!M45^2*$J$6+$M$5*$J$7</f>
        <v>30.865211432355519</v>
      </c>
      <c r="U65" s="6">
        <f>$J$3+[26]FormattedData!N45*$J$4+$M$4*$J$5+[26]FormattedData!N45^2*$J$6+$M$5*$J$7</f>
        <v>31.63921480577757</v>
      </c>
      <c r="V65" s="6">
        <f>$J$3+[26]FormattedData!O45*$J$4+$M$4*$J$5+[26]FormattedData!O45^2*$J$6+$M$5*$J$7</f>
        <v>32.410512992772034</v>
      </c>
      <c r="W65" s="5">
        <f t="shared" si="9"/>
        <v>31.186177081069875</v>
      </c>
      <c r="X65" s="4">
        <f t="shared" si="10"/>
        <v>0.27421459064801623</v>
      </c>
      <c r="Y65" s="3">
        <f t="shared" si="11"/>
        <v>29.796539731686391</v>
      </c>
      <c r="Z65" s="2">
        <f t="shared" si="12"/>
        <v>30.282870220888977</v>
      </c>
      <c r="AA65" s="3">
        <f t="shared" si="13"/>
        <v>31.44594643938068</v>
      </c>
      <c r="AB65" s="2">
        <f t="shared" si="14"/>
        <v>31.952876991845798</v>
      </c>
      <c r="AC65" s="2">
        <f t="shared" si="15"/>
        <v>32.410512992772034</v>
      </c>
      <c r="AD65" s="2">
        <f t="shared" si="16"/>
        <v>-0.28502095801235727</v>
      </c>
      <c r="AE65" s="2">
        <f t="shared" si="17"/>
        <v>-1.5241589531293922</v>
      </c>
    </row>
    <row r="66" spans="2:31" x14ac:dyDescent="0.2">
      <c r="B66" s="1">
        <f>[26]FormattedData!A63</f>
        <v>301</v>
      </c>
      <c r="C66" s="1" t="str">
        <f>VLOOKUP($B66,[26]TrtCodes!$B$11:I106,2)</f>
        <v>NTL</v>
      </c>
      <c r="D66" s="1">
        <f>VLOOKUP($B66,[26]TrtCodes!$B$11:J106,3)</f>
        <v>10</v>
      </c>
      <c r="E66" s="1">
        <f>VLOOKUP($B66,[26]TrtCodes!$B$11:K106,4)</f>
        <v>2</v>
      </c>
      <c r="F66" s="1">
        <f>VLOOKUP($B66,[26]TrtCodes!$B$11:L106,5)</f>
        <v>2</v>
      </c>
      <c r="G66" s="1">
        <f>VLOOKUP($B66,[26]TrtCodes!$B$11:M106,6)</f>
        <v>1</v>
      </c>
      <c r="H66" s="1">
        <f>VLOOKUP($B66,[26]TrtCodes!$B$11:N106,7)</f>
        <v>3</v>
      </c>
      <c r="I66" s="1">
        <f>[26]FormattedData!B63</f>
        <v>2</v>
      </c>
      <c r="J66" s="4">
        <f>[26]FormattedData!C63</f>
        <v>13.224</v>
      </c>
      <c r="K66" s="6">
        <f>$J$3+[26]FormattedData!D63*$J$4+$M$4*$J$5+[26]FormattedData!D63^2*$J$6+$M$5*$J$7</f>
        <v>30.574262736446382</v>
      </c>
      <c r="L66" s="6">
        <f>$J$3+[26]FormattedData!E63*$J$4+$M$4*$J$5+[26]FormattedData!E63^2*$J$6+$M$5*$J$7</f>
        <v>31.058965886938612</v>
      </c>
      <c r="M66" s="6">
        <f>$J$3+[26]FormattedData!F63*$J$4+$M$4*$J$5+[26]FormattedData!F63^2*$J$6+$M$5*$J$7</f>
        <v>30.671287903620694</v>
      </c>
      <c r="N66" s="6">
        <f>$J$3+[26]FormattedData!G63*$J$4+$M$4*$J$5+[26]FormattedData!G63^2*$J$6+$M$5*$J$7</f>
        <v>29.406663784396049</v>
      </c>
      <c r="O66" s="6">
        <f>$J$3+[26]FormattedData!H63*$J$4+$M$4*$J$5+[26]FormattedData!H63^2*$J$6+$M$5*$J$7</f>
        <v>29.60168629511708</v>
      </c>
      <c r="P66" s="6">
        <f>$J$3+[26]FormattedData!I63*$J$4+$M$4*$J$5+[26]FormattedData!I63^2*$J$6+$M$5*$J$7</f>
        <v>30.185739382369839</v>
      </c>
      <c r="Q66" s="6">
        <f>$J$3+[26]FormattedData!J63*$J$4+$M$4*$J$5+[26]FormattedData!J63^2*$J$6+$M$5*$J$7</f>
        <v>33.849405770593521</v>
      </c>
      <c r="R66" s="6">
        <f>$J$3+[26]FormattedData!K63*$J$4+$M$4*$J$5+[26]FormattedData!K63^2*$J$6+$M$5*$J$7</f>
        <v>30.768270802257071</v>
      </c>
      <c r="S66" s="6">
        <f>$J$3+[26]FormattedData!L63*$J$4+$M$4*$J$5+[26]FormattedData!L63^2*$J$6+$M$5*$J$7</f>
        <v>29.699134147670705</v>
      </c>
      <c r="T66" s="6">
        <f>$J$3+[26]FormattedData!M63*$J$4+$M$4*$J$5+[26]FormattedData!M63^2*$J$6+$M$5*$J$7</f>
        <v>30.962109793916031</v>
      </c>
      <c r="U66" s="6">
        <f>$J$3+[26]FormattedData!N63*$J$4+$M$4*$J$5+[26]FormattedData!N63^2*$J$6+$M$5*$J$7</f>
        <v>30.282933623695868</v>
      </c>
      <c r="V66" s="6">
        <f>$J$3+[26]FormattedData!O63*$J$4+$M$4*$J$5+[26]FormattedData!O63^2*$J$6+$M$5*$J$7</f>
        <v>30.671287903620694</v>
      </c>
      <c r="W66" s="5">
        <f t="shared" si="9"/>
        <v>30.64431233588688</v>
      </c>
      <c r="X66" s="4">
        <f t="shared" si="10"/>
        <v>0.33052269508912757</v>
      </c>
      <c r="Y66" s="3">
        <f t="shared" si="11"/>
        <v>29.406663784396049</v>
      </c>
      <c r="Z66" s="2">
        <f t="shared" si="12"/>
        <v>30.064088073695054</v>
      </c>
      <c r="AA66" s="3">
        <f t="shared" si="13"/>
        <v>30.62277532003354</v>
      </c>
      <c r="AB66" s="2">
        <f t="shared" si="14"/>
        <v>30.816730550171812</v>
      </c>
      <c r="AC66" s="2">
        <f t="shared" si="15"/>
        <v>33.849405770593521</v>
      </c>
      <c r="AD66" s="2">
        <f t="shared" si="16"/>
        <v>2.1086178689144512</v>
      </c>
      <c r="AE66" s="2">
        <f t="shared" si="17"/>
        <v>6.0483670064836552</v>
      </c>
    </row>
    <row r="67" spans="2:31" x14ac:dyDescent="0.2">
      <c r="B67" s="1">
        <f>[26]FormattedData!A65</f>
        <v>302</v>
      </c>
      <c r="C67" s="1" t="str">
        <f>VLOOKUP($B67,[26]TrtCodes!$B$11:I108,2)</f>
        <v>FTL</v>
      </c>
      <c r="D67" s="1">
        <f>VLOOKUP($B67,[26]TrtCodes!$B$11:J108,3)</f>
        <v>4</v>
      </c>
      <c r="E67" s="1">
        <f>VLOOKUP($B67,[26]TrtCodes!$B$11:K108,4)</f>
        <v>1</v>
      </c>
      <c r="F67" s="1">
        <f>VLOOKUP($B67,[26]TrtCodes!$B$11:L108,5)</f>
        <v>2</v>
      </c>
      <c r="G67" s="1">
        <f>VLOOKUP($B67,[26]TrtCodes!$B$11:M108,6)</f>
        <v>1</v>
      </c>
      <c r="H67" s="1">
        <f>VLOOKUP($B67,[26]TrtCodes!$B$11:N108,7)</f>
        <v>3</v>
      </c>
      <c r="I67" s="1">
        <f>[26]FormattedData!B65</f>
        <v>2</v>
      </c>
      <c r="J67" s="4">
        <f>[26]FormattedData!C65</f>
        <v>13.241</v>
      </c>
      <c r="K67" s="6">
        <f>$J$3+[26]FormattedData!D65*$J$4+$M$4*$J$5+[26]FormattedData!D65^2*$J$6+$M$5*$J$7</f>
        <v>31.155779711423271</v>
      </c>
      <c r="L67" s="6">
        <f>$J$3+[26]FormattedData!E65*$J$4+$M$4*$J$5+[26]FormattedData!E65^2*$J$6+$M$5*$J$7</f>
        <v>33.753775465170932</v>
      </c>
      <c r="M67" s="6">
        <f>$J$3+[26]FormattedData!F65*$J$4+$M$4*$J$5+[26]FormattedData!F65^2*$J$6+$M$5*$J$7</f>
        <v>30.962109793916031</v>
      </c>
      <c r="N67" s="6">
        <f>$J$3+[26]FormattedData!G65*$J$4+$M$4*$J$5+[26]FormattedData!G65^2*$J$6+$M$5*$J$7</f>
        <v>30.865211432355519</v>
      </c>
      <c r="O67" s="6">
        <f>$J$3+[26]FormattedData!H65*$J$4+$M$4*$J$5+[26]FormattedData!H65^2*$J$6+$M$5*$J$7</f>
        <v>31.832292963753773</v>
      </c>
      <c r="P67" s="6">
        <f>$J$3+[26]FormattedData!I65*$J$4+$M$4*$J$5+[26]FormattedData!I65^2*$J$6+$M$5*$J$7</f>
        <v>32.506735057725649</v>
      </c>
      <c r="Q67" s="6">
        <f>$J$3+[26]FormattedData!J65*$J$4+$M$4*$J$5+[26]FormattedData!J65^2*$J$6+$M$5*$J$7</f>
        <v>32.891200632160803</v>
      </c>
      <c r="R67" s="6">
        <f>$J$3+[26]FormattedData!K65*$J$4+$M$4*$J$5+[26]FormattedData!K65^2*$J$6+$M$5*$J$7</f>
        <v>31.155779711423271</v>
      </c>
      <c r="S67" s="6">
        <f>$J$3+[26]FormattedData!L65*$J$4+$M$4*$J$5+[26]FormattedData!L65^2*$J$6+$M$5*$J$7</f>
        <v>33.083179808150788</v>
      </c>
      <c r="T67" s="6">
        <f>$J$3+[26]FormattedData!M65*$J$4+$M$4*$J$5+[26]FormattedData!M65^2*$J$6+$M$5*$J$7</f>
        <v>32.31424865928048</v>
      </c>
      <c r="U67" s="6">
        <f>$J$3+[26]FormattedData!N65*$J$4+$M$4*$J$5+[26]FormattedData!N65^2*$J$6+$M$5*$J$7</f>
        <v>33.753775465170932</v>
      </c>
      <c r="V67" s="6">
        <f>$J$3+[26]FormattedData!O65*$J$4+$M$4*$J$5+[26]FormattedData!O65^2*$J$6+$M$5*$J$7</f>
        <v>32.025202047578247</v>
      </c>
      <c r="W67" s="5">
        <f t="shared" si="9"/>
        <v>32.191607562342476</v>
      </c>
      <c r="X67" s="4">
        <f t="shared" si="10"/>
        <v>0.29965994273415564</v>
      </c>
      <c r="Y67" s="3">
        <f t="shared" si="11"/>
        <v>30.865211432355519</v>
      </c>
      <c r="Z67" s="2">
        <f t="shared" si="12"/>
        <v>31.155779711423271</v>
      </c>
      <c r="AA67" s="3">
        <f t="shared" si="13"/>
        <v>32.169725353429364</v>
      </c>
      <c r="AB67" s="2">
        <f t="shared" si="14"/>
        <v>32.9391954261583</v>
      </c>
      <c r="AC67" s="2">
        <f t="shared" si="15"/>
        <v>33.753775465170932</v>
      </c>
      <c r="AD67" s="2">
        <f t="shared" si="16"/>
        <v>0.21874345722571692</v>
      </c>
      <c r="AE67" s="2">
        <f t="shared" si="17"/>
        <v>-1.2522957986163914</v>
      </c>
    </row>
    <row r="68" spans="2:31" x14ac:dyDescent="0.2">
      <c r="B68" s="1">
        <f>[26]FormattedData!A67</f>
        <v>303</v>
      </c>
      <c r="C68" s="1" t="str">
        <f>VLOOKUP($B68,[26]TrtCodes!$B$11:I110,2)</f>
        <v>NSL</v>
      </c>
      <c r="D68" s="1">
        <f>VLOOKUP($B68,[26]TrtCodes!$B$11:J110,3)</f>
        <v>8</v>
      </c>
      <c r="E68" s="1">
        <f>VLOOKUP($B68,[26]TrtCodes!$B$11:K110,4)</f>
        <v>2</v>
      </c>
      <c r="F68" s="1">
        <f>VLOOKUP($B68,[26]TrtCodes!$B$11:L110,5)</f>
        <v>1</v>
      </c>
      <c r="G68" s="1">
        <f>VLOOKUP($B68,[26]TrtCodes!$B$11:M110,6)</f>
        <v>1</v>
      </c>
      <c r="H68" s="1">
        <f>VLOOKUP($B68,[26]TrtCodes!$B$11:N110,7)</f>
        <v>3</v>
      </c>
      <c r="I68" s="1">
        <f>[26]FormattedData!B67</f>
        <v>2</v>
      </c>
      <c r="J68" s="4">
        <f>[26]FormattedData!C67</f>
        <v>13.26</v>
      </c>
      <c r="K68" s="6">
        <f>$J$3+[26]FormattedData!D67*$J$4+$M$4*$J$5+[26]FormattedData!D67^2*$J$6+$M$5*$J$7</f>
        <v>31.735775019034634</v>
      </c>
      <c r="L68" s="6">
        <f>$J$3+[26]FormattedData!E67*$J$4+$M$4*$J$5+[26]FormattedData!E67^2*$J$6+$M$5*$J$7</f>
        <v>33.179105993338894</v>
      </c>
      <c r="M68" s="6">
        <f>$J$3+[26]FormattedData!F67*$J$4+$M$4*$J$5+[26]FormattedData!F67^2*$J$6+$M$5*$J$7</f>
        <v>34.517634389489508</v>
      </c>
      <c r="N68" s="6">
        <f>$J$3+[26]FormattedData!G67*$J$4+$M$4*$J$5+[26]FormattedData!G67^2*$J$6+$M$5*$J$7</f>
        <v>31.155779711423271</v>
      </c>
      <c r="O68" s="6">
        <f>$J$3+[26]FormattedData!H67*$J$4+$M$4*$J$5+[26]FormattedData!H67^2*$J$6+$M$5*$J$7</f>
        <v>31.832292963753773</v>
      </c>
      <c r="P68" s="6">
        <f>$J$3+[26]FormattedData!I67*$J$4+$M$4*$J$5+[26]FormattedData!I67^2*$J$6+$M$5*$J$7</f>
        <v>32.891200632160803</v>
      </c>
      <c r="Q68" s="6">
        <f>$J$3+[26]FormattedData!J67*$J$4+$M$4*$J$5+[26]FormattedData!J67^2*$J$6+$M$5*$J$7</f>
        <v>33.27498990998906</v>
      </c>
      <c r="R68" s="6">
        <f>$J$3+[26]FormattedData!K67*$J$4+$M$4*$J$5+[26]FormattedData!K67^2*$J$6+$M$5*$J$7</f>
        <v>36.792980043879695</v>
      </c>
      <c r="S68" s="6">
        <f>$J$3+[26]FormattedData!L67*$J$4+$M$4*$J$5+[26]FormattedData!L67^2*$J$6+$M$5*$J$7</f>
        <v>31.832292963753773</v>
      </c>
      <c r="T68" s="6">
        <f>$J$3+[26]FormattedData!M67*$J$4+$M$4*$J$5+[26]FormattedData!M67^2*$J$6+$M$5*$J$7</f>
        <v>32.025202047578247</v>
      </c>
      <c r="U68" s="6">
        <f>$J$3+[26]FormattedData!N67*$J$4+$M$4*$J$5+[26]FormattedData!N67^2*$J$6+$M$5*$J$7</f>
        <v>32.891200632160803</v>
      </c>
      <c r="V68" s="6">
        <f>$J$3+[26]FormattedData!O67*$J$4+$M$4*$J$5+[26]FormattedData!O67^2*$J$6+$M$5*$J$7</f>
        <v>32.891200632160803</v>
      </c>
      <c r="W68" s="5">
        <f t="shared" si="9"/>
        <v>32.918304578226945</v>
      </c>
      <c r="X68" s="4">
        <f t="shared" si="10"/>
        <v>0.43891874837644407</v>
      </c>
      <c r="Y68" s="3">
        <f t="shared" si="11"/>
        <v>31.155779711423271</v>
      </c>
      <c r="Z68" s="2">
        <f t="shared" si="12"/>
        <v>31.832292963753773</v>
      </c>
      <c r="AA68" s="3">
        <f t="shared" si="13"/>
        <v>32.891200632160803</v>
      </c>
      <c r="AB68" s="2">
        <f t="shared" si="14"/>
        <v>33.203076972501435</v>
      </c>
      <c r="AC68" s="2">
        <f t="shared" si="15"/>
        <v>36.792980043879695</v>
      </c>
      <c r="AD68" s="2">
        <f t="shared" si="16"/>
        <v>1.6114411915726827</v>
      </c>
      <c r="AE68" s="2">
        <f t="shared" si="17"/>
        <v>3.2487199649878997</v>
      </c>
    </row>
    <row r="69" spans="2:31" x14ac:dyDescent="0.2">
      <c r="B69" s="1">
        <f>[26]FormattedData!A69</f>
        <v>304</v>
      </c>
      <c r="C69" s="1" t="str">
        <f>VLOOKUP($B69,[26]TrtCodes!$B$11:I112,2)</f>
        <v>FSL</v>
      </c>
      <c r="D69" s="1">
        <f>VLOOKUP($B69,[26]TrtCodes!$B$11:J112,3)</f>
        <v>2</v>
      </c>
      <c r="E69" s="1">
        <f>VLOOKUP($B69,[26]TrtCodes!$B$11:K112,4)</f>
        <v>1</v>
      </c>
      <c r="F69" s="1">
        <f>VLOOKUP($B69,[26]TrtCodes!$B$11:L112,5)</f>
        <v>1</v>
      </c>
      <c r="G69" s="1">
        <f>VLOOKUP($B69,[26]TrtCodes!$B$11:M112,6)</f>
        <v>1</v>
      </c>
      <c r="H69" s="1">
        <f>VLOOKUP($B69,[26]TrtCodes!$B$11:N112,7)</f>
        <v>3</v>
      </c>
      <c r="I69" s="1">
        <f>[26]FormattedData!B69</f>
        <v>2</v>
      </c>
      <c r="J69" s="4">
        <f>[26]FormattedData!C69</f>
        <v>13.275</v>
      </c>
      <c r="K69" s="6">
        <f>$J$3+[26]FormattedData!D69*$J$4+$M$4*$J$5+[26]FormattedData!D69^2*$J$6+$M$5*$J$7</f>
        <v>31.63921480577757</v>
      </c>
      <c r="L69" s="6">
        <f>$J$3+[26]FormattedData!E69*$J$4+$M$4*$J$5+[26]FormattedData!E69^2*$J$6+$M$5*$J$7</f>
        <v>31.735775019034634</v>
      </c>
      <c r="M69" s="6">
        <f>$J$3+[26]FormattedData!F69*$J$4+$M$4*$J$5+[26]FormattedData!F69^2*$J$6+$M$5*$J$7</f>
        <v>31.928768639934979</v>
      </c>
      <c r="N69" s="6">
        <f>$J$3+[26]FormattedData!G69*$J$4+$M$4*$J$5+[26]FormattedData!G69^2*$J$6+$M$5*$J$7</f>
        <v>33.658102891210426</v>
      </c>
      <c r="O69" s="6">
        <f>$J$3+[26]FormattedData!H69*$J$4+$M$4*$J$5+[26]FormattedData!H69^2*$J$6+$M$5*$J$7</f>
        <v>33.94499380747817</v>
      </c>
      <c r="P69" s="6">
        <f>$J$3+[26]FormattedData!I69*$J$4+$M$4*$J$5+[26]FormattedData!I69^2*$J$6+$M$5*$J$7</f>
        <v>30.671287903620694</v>
      </c>
      <c r="Q69" s="6">
        <f>$J$3+[26]FormattedData!J69*$J$4+$M$4*$J$5+[26]FormattedData!J69^2*$J$6+$M$5*$J$7</f>
        <v>30.282933623695868</v>
      </c>
      <c r="R69" s="6">
        <f>$J$3+[26]FormattedData!K69*$J$4+$M$4*$J$5+[26]FormattedData!K69^2*$J$6+$M$5*$J$7</f>
        <v>30.865211432355519</v>
      </c>
      <c r="S69" s="6">
        <f>$J$3+[26]FormattedData!L69*$J$4+$M$4*$J$5+[26]FormattedData!L69^2*$J$6+$M$5*$J$7</f>
        <v>31.928768639934979</v>
      </c>
      <c r="T69" s="6">
        <f>$J$3+[26]FormattedData!M69*$J$4+$M$4*$J$5+[26]FormattedData!M69^2*$J$6+$M$5*$J$7</f>
        <v>29.60168629511708</v>
      </c>
      <c r="U69" s="6">
        <f>$J$3+[26]FormattedData!N69*$J$4+$M$4*$J$5+[26]FormattedData!N69^2*$J$6+$M$5*$J$7</f>
        <v>31.252551267369988</v>
      </c>
      <c r="V69" s="6">
        <f>$J$3+[26]FormattedData!O69*$J$4+$M$4*$J$5+[26]FormattedData!O69^2*$J$6+$M$5*$J$7</f>
        <v>31.542612323982574</v>
      </c>
      <c r="W69" s="5">
        <f t="shared" si="9"/>
        <v>31.587658887459373</v>
      </c>
      <c r="X69" s="4">
        <f t="shared" si="10"/>
        <v>0.36122122400007861</v>
      </c>
      <c r="Y69" s="3">
        <f t="shared" si="11"/>
        <v>29.60168629511708</v>
      </c>
      <c r="Z69" s="2">
        <f t="shared" si="12"/>
        <v>30.816730550171812</v>
      </c>
      <c r="AA69" s="3">
        <f t="shared" si="13"/>
        <v>31.590913564880072</v>
      </c>
      <c r="AB69" s="2">
        <f t="shared" si="14"/>
        <v>31.928768639934979</v>
      </c>
      <c r="AC69" s="2">
        <f t="shared" si="15"/>
        <v>33.94499380747817</v>
      </c>
      <c r="AD69" s="2">
        <f t="shared" si="16"/>
        <v>0.60244333402913153</v>
      </c>
      <c r="AE69" s="2">
        <f t="shared" si="17"/>
        <v>0.38408233706868078</v>
      </c>
    </row>
    <row r="70" spans="2:31" x14ac:dyDescent="0.2">
      <c r="B70" s="1">
        <f>[26]FormattedData!A71</f>
        <v>305</v>
      </c>
      <c r="C70" s="1" t="str">
        <f>VLOOKUP($B70,[26]TrtCodes!$B$11:I114,2)</f>
        <v>NDH</v>
      </c>
      <c r="D70" s="1">
        <f>VLOOKUP($B70,[26]TrtCodes!$B$11:J114,3)</f>
        <v>11</v>
      </c>
      <c r="E70" s="1">
        <f>VLOOKUP($B70,[26]TrtCodes!$B$11:K114,4)</f>
        <v>2</v>
      </c>
      <c r="F70" s="1">
        <f>VLOOKUP($B70,[26]TrtCodes!$B$11:L114,5)</f>
        <v>3</v>
      </c>
      <c r="G70" s="1">
        <f>VLOOKUP($B70,[26]TrtCodes!$B$11:M114,6)</f>
        <v>2</v>
      </c>
      <c r="H70" s="1">
        <f>VLOOKUP($B70,[26]TrtCodes!$B$11:N114,7)</f>
        <v>4</v>
      </c>
      <c r="I70" s="1">
        <f>[26]FormattedData!B71</f>
        <v>2</v>
      </c>
      <c r="J70" s="4">
        <f>[26]FormattedData!C71</f>
        <v>13.29</v>
      </c>
      <c r="K70" s="6">
        <f>$J$3+[26]FormattedData!D71*$J$4+$M$4*$J$5+[26]FormattedData!D71^2*$J$6+$M$5*$J$7</f>
        <v>30.185739382369839</v>
      </c>
      <c r="L70" s="6">
        <f>$J$3+[26]FormattedData!E71*$J$4+$M$4*$J$5+[26]FormattedData!E71^2*$J$6+$M$5*$J$7</f>
        <v>30.477195300734145</v>
      </c>
      <c r="M70" s="6">
        <f>$J$3+[26]FormattedData!F71*$J$4+$M$4*$J$5+[26]FormattedData!F71^2*$J$6+$M$5*$J$7</f>
        <v>32.12159318668359</v>
      </c>
      <c r="N70" s="6">
        <f>$J$3+[26]FormattedData!G71*$J$4+$M$4*$J$5+[26]FormattedData!G71^2*$J$6+$M$5*$J$7</f>
        <v>30.865211432355519</v>
      </c>
      <c r="O70" s="6">
        <f>$J$3+[26]FormattedData!H71*$J$4+$M$4*$J$5+[26]FormattedData!H71^2*$J$6+$M$5*$J$7</f>
        <v>30.08850287250587</v>
      </c>
      <c r="P70" s="6">
        <f>$J$3+[26]FormattedData!I71*$J$4+$M$4*$J$5+[26]FormattedData!I71^2*$J$6+$M$5*$J$7</f>
        <v>31.445967573649643</v>
      </c>
      <c r="Q70" s="6">
        <f>$J$3+[26]FormattedData!J71*$J$4+$M$4*$J$5+[26]FormattedData!J71^2*$J$6+$M$5*$J$7</f>
        <v>33.370831558101301</v>
      </c>
      <c r="R70" s="6">
        <f>$J$3+[26]FormattedData!K71*$J$4+$M$4*$J$5+[26]FormattedData!K71^2*$J$6+$M$5*$J$7</f>
        <v>31.445967573649643</v>
      </c>
      <c r="S70" s="6">
        <f>$J$3+[26]FormattedData!L71*$J$4+$M$4*$J$5+[26]FormattedData!L71^2*$J$6+$M$5*$J$7</f>
        <v>34.231504306904526</v>
      </c>
      <c r="T70" s="6">
        <f>$J$3+[26]FormattedData!M71*$J$4+$M$4*$J$5+[26]FormattedData!M71^2*$J$6+$M$5*$J$7</f>
        <v>32.602914854141332</v>
      </c>
      <c r="U70" s="6">
        <f>$J$3+[26]FormattedData!N71*$J$4+$M$4*$J$5+[26]FormattedData!N71^2*$J$6+$M$5*$J$7</f>
        <v>33.179105993338894</v>
      </c>
      <c r="V70" s="6">
        <f>$J$3+[26]FormattedData!O71*$J$4+$M$4*$J$5+[26]FormattedData!O71^2*$J$6+$M$5*$J$7</f>
        <v>32.12159318668359</v>
      </c>
      <c r="W70" s="5">
        <f t="shared" si="9"/>
        <v>31.844677268426491</v>
      </c>
      <c r="X70" s="4">
        <f t="shared" si="10"/>
        <v>0.3845363388020569</v>
      </c>
      <c r="Y70" s="3">
        <f t="shared" si="11"/>
        <v>30.08850287250587</v>
      </c>
      <c r="Z70" s="2">
        <f t="shared" si="12"/>
        <v>30.768207399450176</v>
      </c>
      <c r="AA70" s="3">
        <f t="shared" si="13"/>
        <v>31.783780380166618</v>
      </c>
      <c r="AB70" s="2">
        <f t="shared" si="14"/>
        <v>32.746962638940722</v>
      </c>
      <c r="AC70" s="2">
        <f t="shared" si="15"/>
        <v>34.231504306904526</v>
      </c>
      <c r="AD70" s="2">
        <f t="shared" si="16"/>
        <v>0.29544821576153424</v>
      </c>
      <c r="AE70" s="2">
        <f t="shared" si="17"/>
        <v>-0.88303005495962461</v>
      </c>
    </row>
    <row r="71" spans="2:31" x14ac:dyDescent="0.2">
      <c r="B71" s="1">
        <f>[26]FormattedData!A73</f>
        <v>306</v>
      </c>
      <c r="C71" s="1" t="str">
        <f>VLOOKUP($B71,[26]TrtCodes!$B$11:I116,2)</f>
        <v>FTL</v>
      </c>
      <c r="D71" s="1">
        <f>VLOOKUP($B71,[26]TrtCodes!$B$11:J116,3)</f>
        <v>4</v>
      </c>
      <c r="E71" s="1">
        <f>VLOOKUP($B71,[26]TrtCodes!$B$11:K116,4)</f>
        <v>1</v>
      </c>
      <c r="F71" s="1">
        <f>VLOOKUP($B71,[26]TrtCodes!$B$11:L116,5)</f>
        <v>2</v>
      </c>
      <c r="G71" s="1">
        <f>VLOOKUP($B71,[26]TrtCodes!$B$11:M116,6)</f>
        <v>1</v>
      </c>
      <c r="H71" s="1">
        <f>VLOOKUP($B71,[26]TrtCodes!$B$11:N116,7)</f>
        <v>4</v>
      </c>
      <c r="I71" s="1">
        <f>[26]FormattedData!B73</f>
        <v>2</v>
      </c>
      <c r="J71" s="4">
        <f>[26]FormattedData!C73</f>
        <v>13.304</v>
      </c>
      <c r="K71" s="6">
        <f>$J$3+[26]FormattedData!D73*$J$4+$M$4*$J$5+[26]FormattedData!D73^2*$J$6+$M$5*$J$7</f>
        <v>32.506735057725649</v>
      </c>
      <c r="L71" s="6">
        <f>$J$3+[26]FormattedData!E73*$J$4+$M$4*$J$5+[26]FormattedData!E73^2*$J$6+$M$5*$J$7</f>
        <v>33.753775465170932</v>
      </c>
      <c r="M71" s="6">
        <f>$J$3+[26]FormattedData!F73*$J$4+$M$4*$J$5+[26]FormattedData!F73^2*$J$6+$M$5*$J$7</f>
        <v>31.832292963753773</v>
      </c>
      <c r="N71" s="6">
        <f>$J$3+[26]FormattedData!G73*$J$4+$M$4*$J$5+[26]FormattedData!G73^2*$J$6+$M$5*$J$7</f>
        <v>31.63921480577757</v>
      </c>
      <c r="O71" s="6">
        <f>$J$3+[26]FormattedData!H73*$J$4+$M$4*$J$5+[26]FormattedData!H73^2*$J$6+$M$5*$J$7</f>
        <v>35.847878152205631</v>
      </c>
      <c r="P71" s="6">
        <f>$J$3+[26]FormattedData!I73*$J$4+$M$4*$J$5+[26]FormattedData!I73^2*$J$6+$M$5*$J$7</f>
        <v>31.928768639934979</v>
      </c>
      <c r="Q71" s="6">
        <f>$J$3+[26]FormattedData!J73*$J$4+$M$4*$J$5+[26]FormattedData!J73^2*$J$6+$M$5*$J$7</f>
        <v>36.604297813848326</v>
      </c>
      <c r="R71" s="6">
        <f>$J$3+[26]FormattedData!K73*$J$4+$M$4*$J$5+[26]FormattedData!K73^2*$J$6+$M$5*$J$7</f>
        <v>32.31424865928048</v>
      </c>
      <c r="S71" s="6">
        <f>$J$3+[26]FormattedData!L73*$J$4+$M$4*$J$5+[26]FormattedData!L73^2*$J$6+$M$5*$J$7</f>
        <v>32.891200632160803</v>
      </c>
      <c r="T71" s="6">
        <f>$J$3+[26]FormattedData!M73*$J$4+$M$4*$J$5+[26]FormattedData!M73^2*$J$6+$M$5*$J$7</f>
        <v>32.891200632160803</v>
      </c>
      <c r="U71" s="6">
        <f>$J$3+[26]FormattedData!N73*$J$4+$M$4*$J$5+[26]FormattedData!N73^2*$J$6+$M$5*$J$7</f>
        <v>33.753775465170932</v>
      </c>
      <c r="V71" s="6">
        <f>$J$3+[26]FormattedData!O73*$J$4+$M$4*$J$5+[26]FormattedData!O73^2*$J$6+$M$5*$J$7</f>
        <v>32.602914854141332</v>
      </c>
      <c r="W71" s="5">
        <f t="shared" si="9"/>
        <v>33.213858595110928</v>
      </c>
      <c r="X71" s="4">
        <f t="shared" si="10"/>
        <v>0.45181981136807098</v>
      </c>
      <c r="Y71" s="3">
        <f t="shared" si="11"/>
        <v>31.63921480577757</v>
      </c>
      <c r="Z71" s="2">
        <f t="shared" si="12"/>
        <v>32.217878654444107</v>
      </c>
      <c r="AA71" s="3">
        <f t="shared" si="13"/>
        <v>32.747057743151068</v>
      </c>
      <c r="AB71" s="2">
        <f t="shared" si="14"/>
        <v>33.753775465170932</v>
      </c>
      <c r="AC71" s="2">
        <f t="shared" si="15"/>
        <v>36.604297813848326</v>
      </c>
      <c r="AD71" s="2">
        <f t="shared" si="16"/>
        <v>1.3521395632665343</v>
      </c>
      <c r="AE71" s="2">
        <f t="shared" si="17"/>
        <v>1.0615001312384393</v>
      </c>
    </row>
    <row r="72" spans="2:31" x14ac:dyDescent="0.2">
      <c r="B72" s="1">
        <f>[26]FormattedData!A75</f>
        <v>307</v>
      </c>
      <c r="C72" s="1" t="str">
        <f>VLOOKUP($B72,[26]TrtCodes!$B$11:I118,2)</f>
        <v>NTH</v>
      </c>
      <c r="D72" s="1">
        <f>VLOOKUP($B72,[26]TrtCodes!$B$11:J118,3)</f>
        <v>9</v>
      </c>
      <c r="E72" s="1">
        <f>VLOOKUP($B72,[26]TrtCodes!$B$11:K118,4)</f>
        <v>2</v>
      </c>
      <c r="F72" s="1">
        <f>VLOOKUP($B72,[26]TrtCodes!$B$11:L118,5)</f>
        <v>2</v>
      </c>
      <c r="G72" s="1">
        <f>VLOOKUP($B72,[26]TrtCodes!$B$11:M118,6)</f>
        <v>2</v>
      </c>
      <c r="H72" s="1">
        <f>VLOOKUP($B72,[26]TrtCodes!$B$11:N118,7)</f>
        <v>4</v>
      </c>
      <c r="I72" s="1">
        <f>[26]FormattedData!B75</f>
        <v>2</v>
      </c>
      <c r="J72" s="4">
        <f>[26]FormattedData!C75</f>
        <v>13.319000000000001</v>
      </c>
      <c r="K72" s="6">
        <f>$J$3+[26]FormattedData!D75*$J$4+$M$4*$J$5+[26]FormattedData!D75^2*$J$6+$M$5*$J$7</f>
        <v>33.179105993338894</v>
      </c>
      <c r="L72" s="6">
        <f>$J$3+[26]FormattedData!E75*$J$4+$M$4*$J$5+[26]FormattedData!E75^2*$J$6+$M$5*$J$7</f>
        <v>33.466630937675603</v>
      </c>
      <c r="M72" s="6">
        <f>$J$3+[26]FormattedData!F75*$J$4+$M$4*$J$5+[26]FormattedData!F75^2*$J$6+$M$5*$J$7</f>
        <v>32.31424865928048</v>
      </c>
      <c r="N72" s="6">
        <f>$J$3+[26]FormattedData!G75*$J$4+$M$4*$J$5+[26]FormattedData!G75^2*$J$6+$M$5*$J$7</f>
        <v>31.252551267369988</v>
      </c>
      <c r="O72" s="6">
        <f>$J$3+[26]FormattedData!H75*$J$4+$M$4*$J$5+[26]FormattedData!H75^2*$J$6+$M$5*$J$7</f>
        <v>34.422299963832458</v>
      </c>
      <c r="P72" s="6">
        <f>$J$3+[26]FormattedData!I75*$J$4+$M$4*$J$5+[26]FormattedData!I75^2*$J$6+$M$5*$J$7</f>
        <v>33.370831558101301</v>
      </c>
      <c r="Q72" s="6">
        <f>$J$3+[26]FormattedData!J75*$J$4+$M$4*$J$5+[26]FormattedData!J75^2*$J$6+$M$5*$J$7</f>
        <v>35.373742136196185</v>
      </c>
      <c r="R72" s="6">
        <f>$J$3+[26]FormattedData!K75*$J$4+$M$4*$J$5+[26]FormattedData!K75^2*$J$6+$M$5*$J$7</f>
        <v>31.928768639934979</v>
      </c>
      <c r="S72" s="6">
        <f>$J$3+[26]FormattedData!L75*$J$4+$M$4*$J$5+[26]FormattedData!L75^2*$J$6+$M$5*$J$7</f>
        <v>31.928768639934979</v>
      </c>
      <c r="T72" s="6">
        <f>$J$3+[26]FormattedData!M75*$J$4+$M$4*$J$5+[26]FormattedData!M75^2*$J$6+$M$5*$J$7</f>
        <v>32.795147641358909</v>
      </c>
      <c r="U72" s="6">
        <f>$J$3+[26]FormattedData!N75*$J$4+$M$4*$J$5+[26]FormattedData!N75^2*$J$6+$M$5*$J$7</f>
        <v>33.658102891210426</v>
      </c>
      <c r="V72" s="6">
        <f>$J$3+[26]FormattedData!O75*$J$4+$M$4*$J$5+[26]FormattedData!O75^2*$J$6+$M$5*$J$7</f>
        <v>32.987211354424765</v>
      </c>
      <c r="W72" s="5">
        <f t="shared" si="9"/>
        <v>33.056450806888243</v>
      </c>
      <c r="X72" s="4">
        <f t="shared" si="10"/>
        <v>0.3291497392062448</v>
      </c>
      <c r="Y72" s="3">
        <f t="shared" si="11"/>
        <v>31.252551267369988</v>
      </c>
      <c r="Z72" s="2">
        <f t="shared" si="12"/>
        <v>32.217878654444107</v>
      </c>
      <c r="AA72" s="3">
        <f t="shared" si="13"/>
        <v>33.083158673881826</v>
      </c>
      <c r="AB72" s="2">
        <f t="shared" si="14"/>
        <v>33.514498926059311</v>
      </c>
      <c r="AC72" s="2">
        <f t="shared" si="15"/>
        <v>35.373742136196185</v>
      </c>
      <c r="AD72" s="2">
        <f t="shared" si="16"/>
        <v>0.45231450145564411</v>
      </c>
      <c r="AE72" s="2">
        <f t="shared" si="17"/>
        <v>0.31265138870260056</v>
      </c>
    </row>
    <row r="73" spans="2:31" x14ac:dyDescent="0.2">
      <c r="B73" s="1">
        <f>[26]FormattedData!A77</f>
        <v>308</v>
      </c>
      <c r="C73" s="1" t="str">
        <f>VLOOKUP($B73,[26]TrtCodes!$B$11:I120,2)</f>
        <v>FDH</v>
      </c>
      <c r="D73" s="1">
        <f>VLOOKUP($B73,[26]TrtCodes!$B$11:J120,3)</f>
        <v>5</v>
      </c>
      <c r="E73" s="1">
        <f>VLOOKUP($B73,[26]TrtCodes!$B$11:K120,4)</f>
        <v>1</v>
      </c>
      <c r="F73" s="1">
        <f>VLOOKUP($B73,[26]TrtCodes!$B$11:L120,5)</f>
        <v>3</v>
      </c>
      <c r="G73" s="1">
        <f>VLOOKUP($B73,[26]TrtCodes!$B$11:M120,6)</f>
        <v>2</v>
      </c>
      <c r="H73" s="1">
        <f>VLOOKUP($B73,[26]TrtCodes!$B$11:N120,7)</f>
        <v>4</v>
      </c>
      <c r="I73" s="1">
        <f>[26]FormattedData!B77</f>
        <v>2</v>
      </c>
      <c r="J73" s="4">
        <f>[26]FormattedData!C77</f>
        <v>13.334</v>
      </c>
      <c r="K73" s="6">
        <f>$J$3+[26]FormattedData!D77*$J$4+$M$4*$J$5+[26]FormattedData!D77^2*$J$6+$M$5*$J$7</f>
        <v>33.94499380747817</v>
      </c>
      <c r="L73" s="6">
        <f>$J$3+[26]FormattedData!E77*$J$4+$M$4*$J$5+[26]FormattedData!E77^2*$J$6+$M$5*$J$7</f>
        <v>32.217942057250994</v>
      </c>
      <c r="M73" s="6">
        <f>$J$3+[26]FormattedData!F77*$J$4+$M$4*$J$5+[26]FormattedData!F77^2*$J$6+$M$5*$J$7</f>
        <v>33.083179808150788</v>
      </c>
      <c r="N73" s="6">
        <f>$J$3+[26]FormattedData!G77*$J$4+$M$4*$J$5+[26]FormattedData!G77^2*$J$6+$M$5*$J$7</f>
        <v>33.658102891210426</v>
      </c>
      <c r="O73" s="6">
        <f>$J$3+[26]FormattedData!H77*$J$4+$M$4*$J$5+[26]FormattedData!H77^2*$J$6+$M$5*$J$7</f>
        <v>34.708176435189841</v>
      </c>
      <c r="P73" s="6">
        <f>$J$3+[26]FormattedData!I77*$J$4+$M$4*$J$5+[26]FormattedData!I77^2*$J$6+$M$5*$J$7</f>
        <v>33.562388048711973</v>
      </c>
      <c r="Q73" s="6">
        <f>$J$3+[26]FormattedData!J77*$J$4+$M$4*$J$5+[26]FormattedData!J77^2*$J$6+$M$5*$J$7</f>
        <v>33.658102891210426</v>
      </c>
      <c r="R73" s="6">
        <f>$J$3+[26]FormattedData!K77*$J$4+$M$4*$J$5+[26]FormattedData!K77^2*$J$6+$M$5*$J$7</f>
        <v>31.058965886938612</v>
      </c>
      <c r="S73" s="6">
        <f>$J$3+[26]FormattedData!L77*$J$4+$M$4*$J$5+[26]FormattedData!L77^2*$J$6+$M$5*$J$7</f>
        <v>32.891200632160803</v>
      </c>
      <c r="T73" s="6">
        <f>$J$3+[26]FormattedData!M77*$J$4+$M$4*$J$5+[26]FormattedData!M77^2*$J$6+$M$5*$J$7</f>
        <v>33.753775465170932</v>
      </c>
      <c r="U73" s="6">
        <f>$J$3+[26]FormattedData!N77*$J$4+$M$4*$J$5+[26]FormattedData!N77^2*$J$6+$M$5*$J$7</f>
        <v>34.136043075633673</v>
      </c>
      <c r="V73" s="6">
        <f>$J$3+[26]FormattedData!O77*$J$4+$M$4*$J$5+[26]FormattedData!O77^2*$J$6+$M$5*$J$7</f>
        <v>32.217942057250994</v>
      </c>
      <c r="W73" s="5">
        <f t="shared" si="9"/>
        <v>33.240901088029801</v>
      </c>
      <c r="X73" s="4">
        <f t="shared" si="10"/>
        <v>0.29083642898064815</v>
      </c>
      <c r="Y73" s="3">
        <f t="shared" si="11"/>
        <v>31.058965886938612</v>
      </c>
      <c r="Z73" s="2">
        <f t="shared" si="12"/>
        <v>32.722885988433347</v>
      </c>
      <c r="AA73" s="3">
        <f t="shared" si="13"/>
        <v>33.6102454699612</v>
      </c>
      <c r="AB73" s="2">
        <f t="shared" si="14"/>
        <v>33.801580050747745</v>
      </c>
      <c r="AC73" s="2">
        <f t="shared" si="15"/>
        <v>34.708176435189841</v>
      </c>
      <c r="AD73" s="2">
        <f t="shared" si="16"/>
        <v>-0.85735204130886744</v>
      </c>
      <c r="AE73" s="2">
        <f t="shared" si="17"/>
        <v>0.63673029299078365</v>
      </c>
    </row>
    <row r="74" spans="2:31" x14ac:dyDescent="0.2">
      <c r="B74" s="1">
        <f>[26]FormattedData!A93</f>
        <v>401</v>
      </c>
      <c r="C74" s="1" t="str">
        <f>VLOOKUP($B74,[26]TrtCodes!$B$11:I130,2)</f>
        <v>NSH</v>
      </c>
      <c r="D74" s="1">
        <f>VLOOKUP($B74,[26]TrtCodes!$B$11:J130,3)</f>
        <v>7</v>
      </c>
      <c r="E74" s="1">
        <f>VLOOKUP($B74,[26]TrtCodes!$B$11:K130,4)</f>
        <v>2</v>
      </c>
      <c r="F74" s="1">
        <f>VLOOKUP($B74,[26]TrtCodes!$B$11:L130,5)</f>
        <v>1</v>
      </c>
      <c r="G74" s="1">
        <f>VLOOKUP($B74,[26]TrtCodes!$B$11:M130,6)</f>
        <v>2</v>
      </c>
      <c r="H74" s="1">
        <f>VLOOKUP($B74,[26]TrtCodes!$B$11:N130,7)</f>
        <v>3</v>
      </c>
      <c r="I74" s="1">
        <f>[26]FormattedData!B93</f>
        <v>2</v>
      </c>
      <c r="J74" s="4">
        <f>[26]FormattedData!C93</f>
        <v>13.478999999999999</v>
      </c>
      <c r="K74" s="6">
        <f>$J$3+[26]FormattedData!D93*$J$4+$M$4*$J$5+[26]FormattedData!D93^2*$J$6+$M$5*$J$7</f>
        <v>31.445967573649643</v>
      </c>
      <c r="L74" s="6">
        <f>$J$3+[26]FormattedData!E93*$J$4+$M$4*$J$5+[26]FormattedData!E93^2*$J$6+$M$5*$J$7</f>
        <v>31.928768639934979</v>
      </c>
      <c r="M74" s="6">
        <f>$J$3+[26]FormattedData!F93*$J$4+$M$4*$J$5+[26]FormattedData!F93^2*$J$6+$M$5*$J$7</f>
        <v>32.410512992772034</v>
      </c>
      <c r="N74" s="6">
        <f>$J$3+[26]FormattedData!G93*$J$4+$M$4*$J$5+[26]FormattedData!G93^2*$J$6+$M$5*$J$7</f>
        <v>32.506735057725649</v>
      </c>
      <c r="O74" s="6">
        <f>$J$3+[26]FormattedData!H93*$J$4+$M$4*$J$5+[26]FormattedData!H93^2*$J$6+$M$5*$J$7</f>
        <v>32.891200632160803</v>
      </c>
      <c r="P74" s="6">
        <f>$J$3+[26]FormattedData!I93*$J$4+$M$4*$J$5+[26]FormattedData!I93^2*$J$6+$M$5*$J$7</f>
        <v>33.179105993338894</v>
      </c>
      <c r="Q74" s="6">
        <f>$J$3+[26]FormattedData!J93*$J$4+$M$4*$J$5+[26]FormattedData!J93^2*$J$6+$M$5*$J$7</f>
        <v>32.025202047578247</v>
      </c>
      <c r="R74" s="6">
        <f>$J$3+[26]FormattedData!K93*$J$4+$M$4*$J$5+[26]FormattedData!K93^2*$J$6+$M$5*$J$7</f>
        <v>31.445967573649643</v>
      </c>
      <c r="S74" s="6">
        <f>$J$3+[26]FormattedData!L93*$J$4+$M$4*$J$5+[26]FormattedData!L93^2*$J$6+$M$5*$J$7</f>
        <v>32.506735057725649</v>
      </c>
      <c r="T74" s="6">
        <f>$J$3+[26]FormattedData!M93*$J$4+$M$4*$J$5+[26]FormattedData!M93^2*$J$6+$M$5*$J$7</f>
        <v>32.31424865928048</v>
      </c>
      <c r="U74" s="6">
        <f>$J$3+[26]FormattedData!N93*$J$4+$M$4*$J$5+[26]FormattedData!N93^2*$J$6+$M$5*$J$7</f>
        <v>32.506735057725649</v>
      </c>
      <c r="V74" s="6">
        <f>$J$3+[26]FormattedData!O93*$J$4+$M$4*$J$5+[26]FormattedData!O93^2*$J$6+$M$5*$J$7</f>
        <v>32.891200632160803</v>
      </c>
      <c r="W74" s="5">
        <f t="shared" ref="W74:W105" si="18">AVERAGE(K74:V74)</f>
        <v>32.337698326475213</v>
      </c>
      <c r="X74" s="4">
        <f t="shared" ref="X74:X85" si="19">STDEV(K74:V74)/SQRT(COUNT(K74:V74))</f>
        <v>0.15733368955336205</v>
      </c>
      <c r="Y74" s="3">
        <f t="shared" ref="Y74:Y85" si="20">MIN(K74:V74)</f>
        <v>31.445967573649643</v>
      </c>
      <c r="Z74" s="2">
        <f t="shared" ref="Z74:Z85" si="21">QUARTILE(K74:V74,1)</f>
        <v>32.001093695667429</v>
      </c>
      <c r="AA74" s="3">
        <f t="shared" ref="AA74:AA85" si="22">MEDIAN(K74:V74)</f>
        <v>32.458624025248838</v>
      </c>
      <c r="AB74" s="2">
        <f t="shared" ref="AB74:AB85" si="23">QUARTILE(K74:V74,3)</f>
        <v>32.602851451334438</v>
      </c>
      <c r="AC74" s="2">
        <f t="shared" ref="AC74:AC85" si="24">MAX(K74:V74)</f>
        <v>33.179105993338894</v>
      </c>
      <c r="AD74" s="2">
        <f t="shared" ref="AD74:AD85" si="25">SKEW(K74:V74)</f>
        <v>-0.38231848224579867</v>
      </c>
      <c r="AE74" s="2">
        <f t="shared" ref="AE74:AE85" si="26">KURT(K74:V74)</f>
        <v>-0.4731965546912722</v>
      </c>
    </row>
    <row r="75" spans="2:31" x14ac:dyDescent="0.2">
      <c r="B75" s="1">
        <f>[26]FormattedData!A91</f>
        <v>402</v>
      </c>
      <c r="C75" s="1" t="str">
        <f>VLOOKUP($B75,[26]TrtCodes!$B$11:I131,2)</f>
        <v>NTH</v>
      </c>
      <c r="D75" s="1">
        <f>VLOOKUP($B75,[26]TrtCodes!$B$11:J131,3)</f>
        <v>9</v>
      </c>
      <c r="E75" s="1">
        <f>VLOOKUP($B75,[26]TrtCodes!$B$11:K131,4)</f>
        <v>2</v>
      </c>
      <c r="F75" s="1">
        <f>VLOOKUP($B75,[26]TrtCodes!$B$11:L131,5)</f>
        <v>2</v>
      </c>
      <c r="G75" s="1">
        <f>VLOOKUP($B75,[26]TrtCodes!$B$11:M131,6)</f>
        <v>2</v>
      </c>
      <c r="H75" s="1">
        <f>VLOOKUP($B75,[26]TrtCodes!$B$11:N131,7)</f>
        <v>3</v>
      </c>
      <c r="I75" s="1">
        <f>[26]FormattedData!B91</f>
        <v>2</v>
      </c>
      <c r="J75" s="4">
        <f>[26]FormattedData!C91</f>
        <v>13.464</v>
      </c>
      <c r="K75" s="6">
        <f>$J$3+[26]FormattedData!D91*$J$4+$M$4*$J$5+[26]FormattedData!D91^2*$J$6+$M$5*$J$7</f>
        <v>32.31424865928048</v>
      </c>
      <c r="L75" s="6">
        <f>$J$3+[26]FormattedData!E91*$J$4+$M$4*$J$5+[26]FormattedData!E91^2*$J$6+$M$5*$J$7</f>
        <v>33.179105993338894</v>
      </c>
      <c r="M75" s="6">
        <f>$J$3+[26]FormattedData!F91*$J$4+$M$4*$J$5+[26]FormattedData!F91^2*$J$6+$M$5*$J$7</f>
        <v>33.083179808150788</v>
      </c>
      <c r="N75" s="6">
        <f>$J$3+[26]FormattedData!G91*$J$4+$M$4*$J$5+[26]FormattedData!G91^2*$J$6+$M$5*$J$7</f>
        <v>31.155779711423271</v>
      </c>
      <c r="O75" s="6">
        <f>$J$3+[26]FormattedData!H91*$J$4+$M$4*$J$5+[26]FormattedData!H91^2*$J$6+$M$5*$J$7</f>
        <v>34.898549406738461</v>
      </c>
      <c r="P75" s="6">
        <f>$J$3+[26]FormattedData!I91*$J$4+$M$4*$J$5+[26]FormattedData!I91^2*$J$6+$M$5*$J$7</f>
        <v>33.658102891210426</v>
      </c>
      <c r="Q75" s="6">
        <f>$J$3+[26]FormattedData!J91*$J$4+$M$4*$J$5+[26]FormattedData!J91^2*$J$6+$M$5*$J$7</f>
        <v>33.370831558101301</v>
      </c>
      <c r="R75" s="6">
        <f>$J$3+[26]FormattedData!K91*$J$4+$M$4*$J$5+[26]FormattedData!K91^2*$J$6+$M$5*$J$7</f>
        <v>33.94499380747817</v>
      </c>
      <c r="S75" s="6">
        <f>$J$3+[26]FormattedData!L91*$J$4+$M$4*$J$5+[26]FormattedData!L91^2*$J$6+$M$5*$J$7</f>
        <v>32.025202047578247</v>
      </c>
      <c r="T75" s="6">
        <f>$J$3+[26]FormattedData!M91*$J$4+$M$4*$J$5+[26]FormattedData!M91^2*$J$6+$M$5*$J$7</f>
        <v>33.562388048711973</v>
      </c>
      <c r="U75" s="6">
        <f>$J$3+[26]FormattedData!N91*$J$4+$M$4*$J$5+[26]FormattedData!N91^2*$J$6+$M$5*$J$7</f>
        <v>32.31424865928048</v>
      </c>
      <c r="V75" s="6">
        <f>$J$3+[26]FormattedData!O91*$J$4+$M$4*$J$5+[26]FormattedData!O91^2*$J$6+$M$5*$J$7</f>
        <v>30.865211432355519</v>
      </c>
      <c r="W75" s="5">
        <f t="shared" si="18"/>
        <v>32.864320168637335</v>
      </c>
      <c r="X75" s="4">
        <f t="shared" si="19"/>
        <v>0.33768036833414711</v>
      </c>
      <c r="Y75" s="3">
        <f t="shared" si="20"/>
        <v>30.865211432355519</v>
      </c>
      <c r="Z75" s="2">
        <f t="shared" si="21"/>
        <v>32.241987006354918</v>
      </c>
      <c r="AA75" s="3">
        <f t="shared" si="22"/>
        <v>33.131142900744841</v>
      </c>
      <c r="AB75" s="2">
        <f t="shared" si="23"/>
        <v>33.586316759336583</v>
      </c>
      <c r="AC75" s="2">
        <f t="shared" si="24"/>
        <v>34.898549406738461</v>
      </c>
      <c r="AD75" s="2">
        <f t="shared" si="25"/>
        <v>-0.21868356368343442</v>
      </c>
      <c r="AE75" s="2">
        <f t="shared" si="26"/>
        <v>-0.29903154053302394</v>
      </c>
    </row>
    <row r="76" spans="2:31" x14ac:dyDescent="0.2">
      <c r="B76" s="1">
        <f>[26]FormattedData!A89</f>
        <v>403</v>
      </c>
      <c r="C76" s="1" t="str">
        <f>VLOOKUP($B76,[26]TrtCodes!$B$11:I132,2)</f>
        <v>FDL</v>
      </c>
      <c r="D76" s="1">
        <f>VLOOKUP($B76,[26]TrtCodes!$B$11:J132,3)</f>
        <v>6</v>
      </c>
      <c r="E76" s="1">
        <f>VLOOKUP($B76,[26]TrtCodes!$B$11:K132,4)</f>
        <v>1</v>
      </c>
      <c r="F76" s="1">
        <f>VLOOKUP($B76,[26]TrtCodes!$B$11:L132,5)</f>
        <v>3</v>
      </c>
      <c r="G76" s="1">
        <f>VLOOKUP($B76,[26]TrtCodes!$B$11:M132,6)</f>
        <v>1</v>
      </c>
      <c r="H76" s="1">
        <f>VLOOKUP($B76,[26]TrtCodes!$B$11:N132,7)</f>
        <v>3</v>
      </c>
      <c r="I76" s="1">
        <f>[26]FormattedData!B89</f>
        <v>2</v>
      </c>
      <c r="J76" s="4">
        <f>[26]FormattedData!C89</f>
        <v>13.45</v>
      </c>
      <c r="K76" s="6">
        <f>$J$3+[26]FormattedData!D89*$J$4+$M$4*$J$5+[26]FormattedData!D89^2*$J$6+$M$5*$J$7</f>
        <v>32.987211354424765</v>
      </c>
      <c r="L76" s="6">
        <f>$J$3+[26]FormattedData!E89*$J$4+$M$4*$J$5+[26]FormattedData!E89^2*$J$6+$M$5*$J$7</f>
        <v>33.179105993338894</v>
      </c>
      <c r="M76" s="6">
        <f>$J$3+[26]FormattedData!F89*$J$4+$M$4*$J$5+[26]FormattedData!F89^2*$J$6+$M$5*$J$7</f>
        <v>34.898549406738461</v>
      </c>
      <c r="N76" s="6">
        <f>$J$3+[26]FormattedData!G89*$J$4+$M$4*$J$5+[26]FormattedData!G89^2*$J$6+$M$5*$J$7</f>
        <v>35.942578549793723</v>
      </c>
      <c r="O76" s="6">
        <f>$J$3+[26]FormattedData!H89*$J$4+$M$4*$J$5+[26]FormattedData!H89^2*$J$6+$M$5*$J$7</f>
        <v>32.602914854141332</v>
      </c>
      <c r="P76" s="6">
        <f>$J$3+[26]FormattedData!I89*$J$4+$M$4*$J$5+[26]FormattedData!I89^2*$J$6+$M$5*$J$7</f>
        <v>32.602914854141332</v>
      </c>
      <c r="Q76" s="6">
        <f>$J$3+[26]FormattedData!J89*$J$4+$M$4*$J$5+[26]FormattedData!J89^2*$J$6+$M$5*$J$7</f>
        <v>32.891200632160803</v>
      </c>
      <c r="R76" s="6">
        <f>$J$3+[26]FormattedData!K89*$J$4+$M$4*$J$5+[26]FormattedData!K89^2*$J$6+$M$5*$J$7</f>
        <v>33.179105993338894</v>
      </c>
      <c r="S76" s="6">
        <f>$J$3+[26]FormattedData!L89*$J$4+$M$4*$J$5+[26]FormattedData!L89^2*$J$6+$M$5*$J$7</f>
        <v>34.517634389489508</v>
      </c>
      <c r="T76" s="6">
        <f>$J$3+[26]FormattedData!M89*$J$4+$M$4*$J$5+[26]FormattedData!M89^2*$J$6+$M$5*$J$7</f>
        <v>33.370831558101301</v>
      </c>
      <c r="U76" s="6">
        <f>$J$3+[26]FormattedData!N89*$J$4+$M$4*$J$5+[26]FormattedData!N89^2*$J$6+$M$5*$J$7</f>
        <v>33.466630937675603</v>
      </c>
      <c r="V76" s="6">
        <f>$J$3+[26]FormattedData!O89*$J$4+$M$4*$J$5+[26]FormattedData!O89^2*$J$6+$M$5*$J$7</f>
        <v>33.27498990998906</v>
      </c>
      <c r="W76" s="5">
        <f t="shared" si="18"/>
        <v>33.576139036111144</v>
      </c>
      <c r="X76" s="4">
        <f t="shared" si="19"/>
        <v>0.29394946694295082</v>
      </c>
      <c r="Y76" s="3">
        <f t="shared" si="20"/>
        <v>32.602914854141332</v>
      </c>
      <c r="Z76" s="2">
        <f t="shared" si="21"/>
        <v>32.963208673858773</v>
      </c>
      <c r="AA76" s="3">
        <f t="shared" si="22"/>
        <v>33.227047951663977</v>
      </c>
      <c r="AB76" s="2">
        <f t="shared" si="23"/>
        <v>33.729381800629078</v>
      </c>
      <c r="AC76" s="2">
        <f t="shared" si="24"/>
        <v>35.942578549793723</v>
      </c>
      <c r="AD76" s="2">
        <f t="shared" si="25"/>
        <v>1.4328513831212961</v>
      </c>
      <c r="AE76" s="2">
        <f t="shared" si="26"/>
        <v>1.4480967668068301</v>
      </c>
    </row>
    <row r="77" spans="2:31" x14ac:dyDescent="0.2">
      <c r="B77" s="1">
        <f>[26]FormattedData!A87</f>
        <v>404</v>
      </c>
      <c r="C77" s="1" t="str">
        <f>VLOOKUP($B77,[26]TrtCodes!$B$11:I130,2)</f>
        <v>FTH</v>
      </c>
      <c r="D77" s="1">
        <f>VLOOKUP($B77,[26]TrtCodes!$B$11:J130,3)</f>
        <v>3</v>
      </c>
      <c r="E77" s="1">
        <f>VLOOKUP($B77,[26]TrtCodes!$B$11:K130,4)</f>
        <v>1</v>
      </c>
      <c r="F77" s="1">
        <f>VLOOKUP($B77,[26]TrtCodes!$B$11:L130,5)</f>
        <v>2</v>
      </c>
      <c r="G77" s="1">
        <f>VLOOKUP($B77,[26]TrtCodes!$B$11:M130,6)</f>
        <v>2</v>
      </c>
      <c r="H77" s="1">
        <f>VLOOKUP($B77,[26]TrtCodes!$B$11:N130,7)</f>
        <v>3</v>
      </c>
      <c r="I77" s="1">
        <f>[26]FormattedData!B87</f>
        <v>2</v>
      </c>
      <c r="J77" s="4">
        <f>[26]FormattedData!C87</f>
        <v>13.435</v>
      </c>
      <c r="K77" s="6">
        <f>$J$3+[26]FormattedData!D87*$J$4+$M$4*$J$5+[26]FormattedData!D87^2*$J$6+$M$5*$J$7</f>
        <v>34.231504306904526</v>
      </c>
      <c r="L77" s="6">
        <f>$J$3+[26]FormattedData!E87*$J$4+$M$4*$J$5+[26]FormattedData!E87^2*$J$6+$M$5*$J$7</f>
        <v>34.422299963832458</v>
      </c>
      <c r="M77" s="6">
        <f>$J$3+[26]FormattedData!F87*$J$4+$M$4*$J$5+[26]FormattedData!F87^2*$J$6+$M$5*$J$7</f>
        <v>36.03723667884389</v>
      </c>
      <c r="N77" s="6">
        <f>$J$3+[26]FormattedData!G87*$J$4+$M$4*$J$5+[26]FormattedData!G87^2*$J$6+$M$5*$J$7</f>
        <v>36.604297813848326</v>
      </c>
      <c r="O77" s="6">
        <f>$J$3+[26]FormattedData!H87*$J$4+$M$4*$J$5+[26]FormattedData!H87^2*$J$6+$M$5*$J$7</f>
        <v>35.942578549793723</v>
      </c>
      <c r="P77" s="6">
        <f>$J$3+[26]FormattedData!I87*$J$4+$M$4*$J$5+[26]FormattedData!I87^2*$J$6+$M$5*$J$7</f>
        <v>34.231504306904526</v>
      </c>
      <c r="Q77" s="6">
        <f>$J$3+[26]FormattedData!J87*$J$4+$M$4*$J$5+[26]FormattedData!J87^2*$J$6+$M$5*$J$7</f>
        <v>32.987211354424765</v>
      </c>
      <c r="R77" s="6">
        <f>$J$3+[26]FormattedData!K87*$J$4+$M$4*$J$5+[26]FormattedData!K87^2*$J$6+$M$5*$J$7</f>
        <v>31.735775019034634</v>
      </c>
      <c r="S77" s="6">
        <f>$J$3+[26]FormattedData!L87*$J$4+$M$4*$J$5+[26]FormattedData!L87^2*$J$6+$M$5*$J$7</f>
        <v>31.058965886938612</v>
      </c>
      <c r="T77" s="6">
        <f>$J$3+[26]FormattedData!M87*$J$4+$M$4*$J$5+[26]FormattedData!M87^2*$J$6+$M$5*$J$7</f>
        <v>34.517634389489508</v>
      </c>
      <c r="U77" s="6">
        <f>$J$3+[26]FormattedData!N87*$J$4+$M$4*$J$5+[26]FormattedData!N87^2*$J$6+$M$5*$J$7</f>
        <v>30.671287903620694</v>
      </c>
      <c r="V77" s="6">
        <f>$J$3+[26]FormattedData!O87*$J$4+$M$4*$J$5+[26]FormattedData!O87^2*$J$6+$M$5*$J$7</f>
        <v>30.185739382369839</v>
      </c>
      <c r="W77" s="5">
        <f t="shared" si="18"/>
        <v>33.552169629667119</v>
      </c>
      <c r="X77" s="4">
        <f t="shared" si="19"/>
        <v>0.63534888990776339</v>
      </c>
      <c r="Y77" s="3">
        <f t="shared" si="20"/>
        <v>30.185739382369839</v>
      </c>
      <c r="Z77" s="2">
        <f t="shared" si="21"/>
        <v>31.566572736010627</v>
      </c>
      <c r="AA77" s="3">
        <f t="shared" si="22"/>
        <v>34.231504306904526</v>
      </c>
      <c r="AB77" s="2">
        <f t="shared" si="23"/>
        <v>34.873870429565564</v>
      </c>
      <c r="AC77" s="2">
        <f t="shared" si="24"/>
        <v>36.604297813848326</v>
      </c>
      <c r="AD77" s="2">
        <f t="shared" si="25"/>
        <v>-0.24669134276944657</v>
      </c>
      <c r="AE77" s="2">
        <f t="shared" si="26"/>
        <v>-1.3043198273072858</v>
      </c>
    </row>
    <row r="78" spans="2:31" x14ac:dyDescent="0.2">
      <c r="B78" s="1">
        <f>[26]FormattedData!A85</f>
        <v>405</v>
      </c>
      <c r="C78" s="1" t="str">
        <f>VLOOKUP($B78,[26]TrtCodes!$B$11:I128,2)</f>
        <v>FDL</v>
      </c>
      <c r="D78" s="1">
        <f>VLOOKUP($B78,[26]TrtCodes!$B$11:J128,3)</f>
        <v>6</v>
      </c>
      <c r="E78" s="1">
        <f>VLOOKUP($B78,[26]TrtCodes!$B$11:K128,4)</f>
        <v>1</v>
      </c>
      <c r="F78" s="1">
        <f>VLOOKUP($B78,[26]TrtCodes!$B$11:L128,5)</f>
        <v>3</v>
      </c>
      <c r="G78" s="1">
        <f>VLOOKUP($B78,[26]TrtCodes!$B$11:M128,6)</f>
        <v>1</v>
      </c>
      <c r="H78" s="1">
        <f>VLOOKUP($B78,[26]TrtCodes!$B$11:N128,7)</f>
        <v>4</v>
      </c>
      <c r="I78" s="1">
        <f>[26]FormattedData!B85</f>
        <v>2</v>
      </c>
      <c r="J78" s="4">
        <f>[26]FormattedData!C85</f>
        <v>13.419</v>
      </c>
      <c r="K78" s="6">
        <f>$J$3+[26]FormattedData!D85*$J$4+$M$4*$J$5+[26]FormattedData!D85^2*$J$6+$M$5*$J$7</f>
        <v>33.083179808150788</v>
      </c>
      <c r="L78" s="6">
        <f>$J$3+[26]FormattedData!E85*$J$4+$M$4*$J$5+[26]FormattedData!E85^2*$J$6+$M$5*$J$7</f>
        <v>30.477195300734145</v>
      </c>
      <c r="M78" s="6">
        <f>$J$3+[26]FormattedData!F85*$J$4+$M$4*$J$5+[26]FormattedData!F85^2*$J$6+$M$5*$J$7</f>
        <v>32.795147641358909</v>
      </c>
      <c r="N78" s="6">
        <f>$J$3+[26]FormattedData!G85*$J$4+$M$4*$J$5+[26]FormattedData!G85^2*$J$6+$M$5*$J$7</f>
        <v>34.993672489705858</v>
      </c>
      <c r="O78" s="6">
        <f>$J$3+[26]FormattedData!H85*$J$4+$M$4*$J$5+[26]FormattedData!H85^2*$J$6+$M$5*$J$7</f>
        <v>36.509893296025744</v>
      </c>
      <c r="P78" s="6">
        <f>$J$3+[26]FormattedData!I85*$J$4+$M$4*$J$5+[26]FormattedData!I85^2*$J$6+$M$5*$J$7</f>
        <v>33.179105993338894</v>
      </c>
      <c r="Q78" s="6">
        <f>$J$3+[26]FormattedData!J85*$J$4+$M$4*$J$5+[26]FormattedData!J85^2*$J$6+$M$5*$J$7</f>
        <v>33.179105993338894</v>
      </c>
      <c r="R78" s="6">
        <f>$J$3+[26]FormattedData!K85*$J$4+$M$4*$J$5+[26]FormattedData!K85^2*$J$6+$M$5*$J$7</f>
        <v>31.63921480577757</v>
      </c>
      <c r="S78" s="6">
        <f>$J$3+[26]FormattedData!L85*$J$4+$M$4*$J$5+[26]FormattedData!L85^2*$J$6+$M$5*$J$7</f>
        <v>32.12159318668359</v>
      </c>
      <c r="T78" s="6">
        <f>$J$3+[26]FormattedData!M85*$J$4+$M$4*$J$5+[26]FormattedData!M85^2*$J$6+$M$5*$J$7</f>
        <v>30.380085596483976</v>
      </c>
      <c r="U78" s="6">
        <f>$J$3+[26]FormattedData!N85*$J$4+$M$4*$J$5+[26]FormattedData!N85^2*$J$6+$M$5*$J$7</f>
        <v>33.466630937675603</v>
      </c>
      <c r="V78" s="6">
        <f>$J$3+[26]FormattedData!O85*$J$4+$M$4*$J$5+[26]FormattedData!O85^2*$J$6+$M$5*$J$7</f>
        <v>33.658102891210426</v>
      </c>
      <c r="W78" s="5">
        <f t="shared" si="18"/>
        <v>32.956910661707035</v>
      </c>
      <c r="X78" s="4">
        <f t="shared" si="19"/>
        <v>0.4991471187308632</v>
      </c>
      <c r="Y78" s="3">
        <f t="shared" si="20"/>
        <v>30.380085596483976</v>
      </c>
      <c r="Z78" s="2">
        <f t="shared" si="21"/>
        <v>32.000998591457083</v>
      </c>
      <c r="AA78" s="3">
        <f t="shared" si="22"/>
        <v>33.131142900744841</v>
      </c>
      <c r="AB78" s="2">
        <f t="shared" si="23"/>
        <v>33.514498926059311</v>
      </c>
      <c r="AC78" s="2">
        <f t="shared" si="24"/>
        <v>36.509893296025744</v>
      </c>
      <c r="AD78" s="2">
        <f t="shared" si="25"/>
        <v>0.39185438802973677</v>
      </c>
      <c r="AE78" s="2">
        <f t="shared" si="26"/>
        <v>0.59030071251541472</v>
      </c>
    </row>
    <row r="79" spans="2:31" x14ac:dyDescent="0.2">
      <c r="B79" s="1">
        <f>[26]FormattedData!A83</f>
        <v>406</v>
      </c>
      <c r="C79" s="1" t="str">
        <f>VLOOKUP($B79,[26]TrtCodes!$B$11:I126,2)</f>
        <v>FTH</v>
      </c>
      <c r="D79" s="1">
        <f>VLOOKUP($B79,[26]TrtCodes!$B$11:J126,3)</f>
        <v>3</v>
      </c>
      <c r="E79" s="1">
        <f>VLOOKUP($B79,[26]TrtCodes!$B$11:K126,4)</f>
        <v>1</v>
      </c>
      <c r="F79" s="1">
        <f>VLOOKUP($B79,[26]TrtCodes!$B$11:L126,5)</f>
        <v>2</v>
      </c>
      <c r="G79" s="1">
        <f>VLOOKUP($B79,[26]TrtCodes!$B$11:M126,6)</f>
        <v>2</v>
      </c>
      <c r="H79" s="1">
        <f>VLOOKUP($B79,[26]TrtCodes!$B$11:N126,7)</f>
        <v>4</v>
      </c>
      <c r="I79" s="1">
        <f>[26]FormattedData!B83</f>
        <v>2</v>
      </c>
      <c r="J79" s="4">
        <f>[26]FormattedData!C83</f>
        <v>13.404</v>
      </c>
      <c r="K79" s="6">
        <f>$J$3+[26]FormattedData!D83*$J$4+$M$4*$J$5+[26]FormattedData!D83^2*$J$6+$M$5*$J$7</f>
        <v>32.602914854141332</v>
      </c>
      <c r="L79" s="6">
        <f>$J$3+[26]FormattedData!E83*$J$4+$M$4*$J$5+[26]FormattedData!E83^2*$J$6+$M$5*$J$7</f>
        <v>34.898549406738461</v>
      </c>
      <c r="M79" s="6">
        <f>$J$3+[26]FormattedData!F83*$J$4+$M$4*$J$5+[26]FormattedData!F83^2*$J$6+$M$5*$J$7</f>
        <v>33.179105993338894</v>
      </c>
      <c r="N79" s="6">
        <f>$J$3+[26]FormattedData!G83*$J$4+$M$4*$J$5+[26]FormattedData!G83^2*$J$6+$M$5*$J$7</f>
        <v>32.987211354424765</v>
      </c>
      <c r="O79" s="6">
        <f>$J$3+[26]FormattedData!H83*$J$4+$M$4*$J$5+[26]FormattedData!H83^2*$J$6+$M$5*$J$7</f>
        <v>31.542612323982574</v>
      </c>
      <c r="P79" s="6">
        <f>$J$3+[26]FormattedData!I83*$J$4+$M$4*$J$5+[26]FormattedData!I83^2*$J$6+$M$5*$J$7</f>
        <v>34.04053957582488</v>
      </c>
      <c r="Q79" s="6">
        <f>$J$3+[26]FormattedData!J83*$J$4+$M$4*$J$5+[26]FormattedData!J83^2*$J$6+$M$5*$J$7</f>
        <v>33.562388048711973</v>
      </c>
      <c r="R79" s="6">
        <f>$J$3+[26]FormattedData!K83*$J$4+$M$4*$J$5+[26]FormattedData!K83^2*$J$6+$M$5*$J$7</f>
        <v>36.131852539356125</v>
      </c>
      <c r="S79" s="6">
        <f>$J$3+[26]FormattedData!L83*$J$4+$M$4*$J$5+[26]FormattedData!L83^2*$J$6+$M$5*$J$7</f>
        <v>35.942578549793723</v>
      </c>
      <c r="T79" s="6">
        <f>$J$3+[26]FormattedData!M83*$J$4+$M$4*$J$5+[26]FormattedData!M83^2*$J$6+$M$5*$J$7</f>
        <v>34.136043075633673</v>
      </c>
      <c r="U79" s="6">
        <f>$J$3+[26]FormattedData!N83*$J$4+$M$4*$J$5+[26]FormattedData!N83^2*$J$6+$M$5*$J$7</f>
        <v>36.131852539356125</v>
      </c>
      <c r="V79" s="6">
        <f>$J$3+[26]FormattedData!O83*$J$4+$M$4*$J$5+[26]FormattedData!O83^2*$J$6+$M$5*$J$7</f>
        <v>33.466630937675603</v>
      </c>
      <c r="W79" s="5">
        <f t="shared" si="18"/>
        <v>34.051856599914849</v>
      </c>
      <c r="X79" s="4">
        <f t="shared" si="19"/>
        <v>0.4248410623676121</v>
      </c>
      <c r="Y79" s="3">
        <f t="shared" si="20"/>
        <v>31.542612323982574</v>
      </c>
      <c r="Z79" s="2">
        <f t="shared" si="21"/>
        <v>33.13113233361036</v>
      </c>
      <c r="AA79" s="3">
        <f t="shared" si="22"/>
        <v>33.801463812268423</v>
      </c>
      <c r="AB79" s="2">
        <f t="shared" si="23"/>
        <v>35.159556692502278</v>
      </c>
      <c r="AC79" s="2">
        <f t="shared" si="24"/>
        <v>36.131852539356125</v>
      </c>
      <c r="AD79" s="2">
        <f t="shared" si="25"/>
        <v>0.14833479445053396</v>
      </c>
      <c r="AE79" s="2">
        <f t="shared" si="26"/>
        <v>-0.78109129234923591</v>
      </c>
    </row>
    <row r="80" spans="2:31" x14ac:dyDescent="0.2">
      <c r="B80" s="1">
        <f>[26]FormattedData!A81</f>
        <v>407</v>
      </c>
      <c r="C80" s="1" t="str">
        <f>VLOOKUP($B80,[26]TrtCodes!$B$11:I124,2)</f>
        <v>NSH</v>
      </c>
      <c r="D80" s="1">
        <f>VLOOKUP($B80,[26]TrtCodes!$B$11:J124,3)</f>
        <v>7</v>
      </c>
      <c r="E80" s="1">
        <f>VLOOKUP($B80,[26]TrtCodes!$B$11:K124,4)</f>
        <v>2</v>
      </c>
      <c r="F80" s="1">
        <f>VLOOKUP($B80,[26]TrtCodes!$B$11:L124,5)</f>
        <v>1</v>
      </c>
      <c r="G80" s="1">
        <f>VLOOKUP($B80,[26]TrtCodes!$B$11:M124,6)</f>
        <v>2</v>
      </c>
      <c r="H80" s="1">
        <f>VLOOKUP($B80,[26]TrtCodes!$B$11:N124,7)</f>
        <v>4</v>
      </c>
      <c r="I80" s="1">
        <f>[26]FormattedData!B81</f>
        <v>2</v>
      </c>
      <c r="J80" s="4">
        <f>[26]FormattedData!C81</f>
        <v>13.387</v>
      </c>
      <c r="K80" s="6">
        <f>$J$3+[26]FormattedData!D81*$J$4+$M$4*$J$5+[26]FormattedData!D81^2*$J$6+$M$5*$J$7</f>
        <v>31.832292963753773</v>
      </c>
      <c r="L80" s="6">
        <f>$J$3+[26]FormattedData!E81*$J$4+$M$4*$J$5+[26]FormattedData!E81^2*$J$6+$M$5*$J$7</f>
        <v>31.735775019034634</v>
      </c>
      <c r="M80" s="6">
        <f>$J$3+[26]FormattedData!F81*$J$4+$M$4*$J$5+[26]FormattedData!F81^2*$J$6+$M$5*$J$7</f>
        <v>30.08850287250587</v>
      </c>
      <c r="N80" s="6">
        <f>$J$3+[26]FormattedData!G81*$J$4+$M$4*$J$5+[26]FormattedData!G81^2*$J$6+$M$5*$J$7</f>
        <v>32.12159318668359</v>
      </c>
      <c r="O80" s="6">
        <f>$J$3+[26]FormattedData!H81*$J$4+$M$4*$J$5+[26]FormattedData!H81^2*$J$6+$M$5*$J$7</f>
        <v>33.083179808150788</v>
      </c>
      <c r="P80" s="6">
        <f>$J$3+[26]FormattedData!I81*$J$4+$M$4*$J$5+[26]FormattedData!I81^2*$J$6+$M$5*$J$7</f>
        <v>34.326923269637454</v>
      </c>
      <c r="Q80" s="6">
        <f>$J$3+[26]FormattedData!J81*$J$4+$M$4*$J$5+[26]FormattedData!J81^2*$J$6+$M$5*$J$7</f>
        <v>34.517634389489508</v>
      </c>
      <c r="R80" s="6">
        <f>$J$3+[26]FormattedData!K81*$J$4+$M$4*$J$5+[26]FormattedData!K81^2*$J$6+$M$5*$J$7</f>
        <v>32.795147641358909</v>
      </c>
      <c r="S80" s="6">
        <f>$J$3+[26]FormattedData!L81*$J$4+$M$4*$J$5+[26]FormattedData!L81^2*$J$6+$M$5*$J$7</f>
        <v>31.155779711423271</v>
      </c>
      <c r="T80" s="6">
        <f>$J$3+[26]FormattedData!M81*$J$4+$M$4*$J$5+[26]FormattedData!M81^2*$J$6+$M$5*$J$7</f>
        <v>32.025202047578247</v>
      </c>
      <c r="U80" s="6">
        <f>$J$3+[26]FormattedData!N81*$J$4+$M$4*$J$5+[26]FormattedData!N81^2*$J$6+$M$5*$J$7</f>
        <v>31.349280554778787</v>
      </c>
      <c r="V80" s="6">
        <f>$J$3+[26]FormattedData!O81*$J$4+$M$4*$J$5+[26]FormattedData!O81^2*$J$6+$M$5*$J$7</f>
        <v>33.466630937675603</v>
      </c>
      <c r="W80" s="5">
        <f t="shared" si="18"/>
        <v>32.374828533505877</v>
      </c>
      <c r="X80" s="4">
        <f t="shared" si="19"/>
        <v>0.37866359641032021</v>
      </c>
      <c r="Y80" s="3">
        <f t="shared" si="20"/>
        <v>30.08850287250587</v>
      </c>
      <c r="Z80" s="2">
        <f t="shared" si="21"/>
        <v>31.639151402970672</v>
      </c>
      <c r="AA80" s="3">
        <f t="shared" si="22"/>
        <v>32.073397617130922</v>
      </c>
      <c r="AB80" s="2">
        <f t="shared" si="23"/>
        <v>33.179042590531992</v>
      </c>
      <c r="AC80" s="2">
        <f t="shared" si="24"/>
        <v>34.517634389489508</v>
      </c>
      <c r="AD80" s="2">
        <f t="shared" si="25"/>
        <v>0.17824423932189443</v>
      </c>
      <c r="AE80" s="2">
        <f t="shared" si="26"/>
        <v>-0.40236511714520873</v>
      </c>
    </row>
    <row r="81" spans="2:31" x14ac:dyDescent="0.2">
      <c r="B81" s="1">
        <f>[26]FormattedData!A79</f>
        <v>408</v>
      </c>
      <c r="C81" s="1" t="str">
        <f>VLOOKUP($B81,[26]TrtCodes!$B$11:I122,2)</f>
        <v>NTL</v>
      </c>
      <c r="D81" s="1">
        <f>VLOOKUP($B81,[26]TrtCodes!$B$11:J122,3)</f>
        <v>10</v>
      </c>
      <c r="E81" s="1">
        <f>VLOOKUP($B81,[26]TrtCodes!$B$11:K122,4)</f>
        <v>2</v>
      </c>
      <c r="F81" s="1">
        <f>VLOOKUP($B81,[26]TrtCodes!$B$11:L122,5)</f>
        <v>2</v>
      </c>
      <c r="G81" s="1">
        <f>VLOOKUP($B81,[26]TrtCodes!$B$11:M122,6)</f>
        <v>1</v>
      </c>
      <c r="H81" s="1">
        <f>VLOOKUP($B81,[26]TrtCodes!$B$11:N122,7)</f>
        <v>4</v>
      </c>
      <c r="I81" s="1">
        <f>[26]FormattedData!B79</f>
        <v>2</v>
      </c>
      <c r="J81" s="4">
        <f>[26]FormattedData!C79</f>
        <v>13.374000000000001</v>
      </c>
      <c r="K81" s="6">
        <f>$J$3+[26]FormattedData!D79*$J$4+$M$4*$J$5+[26]FormattedData!D79^2*$J$6+$M$5*$J$7</f>
        <v>29.796539731686391</v>
      </c>
      <c r="L81" s="6">
        <f>$J$3+[26]FormattedData!E79*$J$4+$M$4*$J$5+[26]FormattedData!E79^2*$J$6+$M$5*$J$7</f>
        <v>30.865211432355519</v>
      </c>
      <c r="M81" s="6">
        <f>$J$3+[26]FormattedData!F79*$J$4+$M$4*$J$5+[26]FormattedData!F79^2*$J$6+$M$5*$J$7</f>
        <v>32.217942057250994</v>
      </c>
      <c r="N81" s="6">
        <f>$J$3+[26]FormattedData!G79*$J$4+$M$4*$J$5+[26]FormattedData!G79^2*$J$6+$M$5*$J$7</f>
        <v>31.735775019034634</v>
      </c>
      <c r="O81" s="6">
        <f>$J$3+[26]FormattedData!H79*$J$4+$M$4*$J$5+[26]FormattedData!H79^2*$J$6+$M$5*$J$7</f>
        <v>31.542612323982574</v>
      </c>
      <c r="P81" s="6">
        <f>$J$3+[26]FormattedData!I79*$J$4+$M$4*$J$5+[26]FormattedData!I79^2*$J$6+$M$5*$J$7</f>
        <v>33.27498990998906</v>
      </c>
      <c r="Q81" s="6">
        <f>$J$3+[26]FormattedData!J79*$J$4+$M$4*$J$5+[26]FormattedData!J79^2*$J$6+$M$5*$J$7</f>
        <v>32.12159318668359</v>
      </c>
      <c r="R81" s="6">
        <f>$J$3+[26]FormattedData!K79*$J$4+$M$4*$J$5+[26]FormattedData!K79^2*$J$6+$M$5*$J$7</f>
        <v>32.025202047578247</v>
      </c>
      <c r="S81" s="6">
        <f>$J$3+[26]FormattedData!L79*$J$4+$M$4*$J$5+[26]FormattedData!L79^2*$J$6+$M$5*$J$7</f>
        <v>31.542612323982574</v>
      </c>
      <c r="T81" s="6">
        <f>$J$3+[26]FormattedData!M79*$J$4+$M$4*$J$5+[26]FormattedData!M79^2*$J$6+$M$5*$J$7</f>
        <v>32.891200632160803</v>
      </c>
      <c r="U81" s="6">
        <f>$J$3+[26]FormattedData!N79*$J$4+$M$4*$J$5+[26]FormattedData!N79^2*$J$6+$M$5*$J$7</f>
        <v>32.795147641358909</v>
      </c>
      <c r="V81" s="6">
        <f>$J$3+[26]FormattedData!O79*$J$4+$M$4*$J$5+[26]FormattedData!O79^2*$J$6+$M$5*$J$7</f>
        <v>31.63921480577757</v>
      </c>
      <c r="W81" s="5">
        <f t="shared" si="18"/>
        <v>31.870670092653409</v>
      </c>
      <c r="X81" s="4">
        <f t="shared" si="19"/>
        <v>0.27074073073515326</v>
      </c>
      <c r="Y81" s="3">
        <f t="shared" si="20"/>
        <v>29.796539731686391</v>
      </c>
      <c r="Z81" s="2">
        <f t="shared" si="21"/>
        <v>31.542612323982574</v>
      </c>
      <c r="AA81" s="3">
        <f t="shared" si="22"/>
        <v>31.880488533306441</v>
      </c>
      <c r="AB81" s="2">
        <f t="shared" si="23"/>
        <v>32.362243453277969</v>
      </c>
      <c r="AC81" s="2">
        <f t="shared" si="24"/>
        <v>33.27498990998906</v>
      </c>
      <c r="AD81" s="2">
        <f t="shared" si="25"/>
        <v>-0.70628913767291968</v>
      </c>
      <c r="AE81" s="2">
        <f t="shared" si="26"/>
        <v>1.1151025207234175</v>
      </c>
    </row>
    <row r="82" spans="2:31" x14ac:dyDescent="0.2">
      <c r="B82" s="1">
        <f>[26]FormattedData!A59</f>
        <v>902</v>
      </c>
      <c r="C82" s="1" t="str">
        <f>VLOOKUP($B82,[26]TrtCodes!$B$11:I102,2)</f>
        <v>Late</v>
      </c>
      <c r="D82" s="1">
        <f>VLOOKUP($B82,[26]TrtCodes!$B$11:J102,3)</f>
        <v>22</v>
      </c>
      <c r="E82" s="1">
        <f>VLOOKUP($B82,[26]TrtCodes!$B$11:K102,4)</f>
        <v>4</v>
      </c>
      <c r="F82" s="1">
        <f>VLOOKUP($B82,[26]TrtCodes!$B$11:L102,5)</f>
        <v>2</v>
      </c>
      <c r="G82" s="1">
        <f>VLOOKUP($B82,[26]TrtCodes!$B$11:M102,6)</f>
        <v>2</v>
      </c>
      <c r="H82" s="1">
        <f>VLOOKUP($B82,[26]TrtCodes!$B$11:N102,7)</f>
        <v>1</v>
      </c>
      <c r="I82" s="1">
        <f>[26]FormattedData!B59</f>
        <v>2</v>
      </c>
      <c r="J82" s="4">
        <f>[26]FormattedData!C59</f>
        <v>13.201000000000001</v>
      </c>
      <c r="K82" s="6">
        <f>$J$3+[26]FormattedData!D59*$J$4+$M$4*$J$5+[26]FormattedData!D59^2*$J$6+$M$5*$J$7</f>
        <v>32.410512992772034</v>
      </c>
      <c r="L82" s="6">
        <f>$J$3+[26]FormattedData!E59*$J$4+$M$4*$J$5+[26]FormattedData!E59^2*$J$6+$M$5*$J$7</f>
        <v>34.708176435189841</v>
      </c>
      <c r="M82" s="6">
        <f>$J$3+[26]FormattedData!F59*$J$4+$M$4*$J$5+[26]FormattedData!F59^2*$J$6+$M$5*$J$7</f>
        <v>33.370831558101301</v>
      </c>
      <c r="N82" s="6">
        <f>$J$3+[26]FormattedData!G59*$J$4+$M$4*$J$5+[26]FormattedData!G59^2*$J$6+$M$5*$J$7</f>
        <v>35.373742136196185</v>
      </c>
      <c r="O82" s="6">
        <f>$J$3+[26]FormattedData!H59*$J$4+$M$4*$J$5+[26]FormattedData!H59^2*$J$6+$M$5*$J$7</f>
        <v>33.562388048711973</v>
      </c>
      <c r="P82" s="6">
        <f>$J$3+[26]FormattedData!I59*$J$4+$M$4*$J$5+[26]FormattedData!I59^2*$J$6+$M$5*$J$7</f>
        <v>33.179105993338894</v>
      </c>
      <c r="Q82" s="6">
        <f>$J$3+[26]FormattedData!J59*$J$4+$M$4*$J$5+[26]FormattedData!J59^2*$J$6+$M$5*$J$7</f>
        <v>32.602914854141332</v>
      </c>
      <c r="R82" s="6">
        <f>$J$3+[26]FormattedData!K59*$J$4+$M$4*$J$5+[26]FormattedData!K59^2*$J$6+$M$5*$J$7</f>
        <v>36.509893296025744</v>
      </c>
      <c r="S82" s="6">
        <f>$J$3+[26]FormattedData!L59*$J$4+$M$4*$J$5+[26]FormattedData!L59^2*$J$6+$M$5*$J$7</f>
        <v>32.217942057250994</v>
      </c>
      <c r="T82" s="6">
        <f>$J$3+[26]FormattedData!M59*$J$4+$M$4*$J$5+[26]FormattedData!M59^2*$J$6+$M$5*$J$7</f>
        <v>33.753775465170932</v>
      </c>
      <c r="U82" s="6">
        <f>$J$3+[26]FormattedData!N59*$J$4+$M$4*$J$5+[26]FormattedData!N59^2*$J$6+$M$5*$J$7</f>
        <v>31.155779711423271</v>
      </c>
      <c r="V82" s="6">
        <f>$J$3+[26]FormattedData!O59*$J$4+$M$4*$J$5+[26]FormattedData!O59^2*$J$6+$M$5*$J$7</f>
        <v>34.326923269637454</v>
      </c>
      <c r="W82" s="5">
        <f t="shared" si="18"/>
        <v>33.597665484829996</v>
      </c>
      <c r="X82" s="4">
        <f t="shared" si="19"/>
        <v>0.42567356436528131</v>
      </c>
      <c r="Y82" s="3">
        <f t="shared" si="20"/>
        <v>31.155779711423271</v>
      </c>
      <c r="Z82" s="2">
        <f t="shared" si="21"/>
        <v>32.554814388799009</v>
      </c>
      <c r="AA82" s="3">
        <f t="shared" si="22"/>
        <v>33.466609803406641</v>
      </c>
      <c r="AB82" s="2">
        <f t="shared" si="23"/>
        <v>34.422236561025549</v>
      </c>
      <c r="AC82" s="2">
        <f t="shared" si="24"/>
        <v>36.509893296025744</v>
      </c>
      <c r="AD82" s="2">
        <f t="shared" si="25"/>
        <v>0.41281632491119152</v>
      </c>
      <c r="AE82" s="2">
        <f t="shared" si="26"/>
        <v>0.16146803888263239</v>
      </c>
    </row>
    <row r="83" spans="2:31" x14ac:dyDescent="0.2">
      <c r="B83" s="1">
        <f>[26]FormattedData!A55</f>
        <v>904</v>
      </c>
      <c r="C83" s="1" t="str">
        <f>VLOOKUP($B83,[26]TrtCodes!$B$11:I98,2)</f>
        <v>Early</v>
      </c>
      <c r="D83" s="1">
        <f>VLOOKUP($B83,[26]TrtCodes!$B$11:J98,3)</f>
        <v>21</v>
      </c>
      <c r="E83" s="1">
        <f>VLOOKUP($B83,[26]TrtCodes!$B$11:K98,4)</f>
        <v>3</v>
      </c>
      <c r="F83" s="1">
        <f>VLOOKUP($B83,[26]TrtCodes!$B$11:L98,5)</f>
        <v>2</v>
      </c>
      <c r="G83" s="1">
        <f>VLOOKUP($B83,[26]TrtCodes!$B$11:M98,6)</f>
        <v>2</v>
      </c>
      <c r="H83" s="1">
        <f>VLOOKUP($B83,[26]TrtCodes!$B$11:N98,7)</f>
        <v>1</v>
      </c>
      <c r="I83" s="1">
        <f>[26]FormattedData!B55</f>
        <v>2</v>
      </c>
      <c r="J83" s="4">
        <f>[26]FormattedData!C55</f>
        <v>13.179</v>
      </c>
      <c r="K83" s="6">
        <f>$J$3+[26]FormattedData!D55*$J$4+$M$4*$J$5+[26]FormattedData!D55^2*$J$6+$M$5*$J$7</f>
        <v>39.043979020421531</v>
      </c>
      <c r="L83" s="6">
        <f>$J$3+[26]FormattedData!E55*$J$4+$M$4*$J$5+[26]FormattedData!E55^2*$J$6+$M$5*$J$7</f>
        <v>41.6393729974398</v>
      </c>
      <c r="M83" s="6">
        <f>$J$3+[26]FormattedData!F55*$J$4+$M$4*$J$5+[26]FormattedData!F55^2*$J$6+$M$5*$J$7</f>
        <v>40.901213344183361</v>
      </c>
      <c r="N83" s="6">
        <f>$J$3+[26]FormattedData!G55*$J$4+$M$4*$J$5+[26]FormattedData!G55^2*$J$6+$M$5*$J$7</f>
        <v>36.509893296025744</v>
      </c>
      <c r="O83" s="6">
        <f>$J$3+[26]FormattedData!H55*$J$4+$M$4*$J$5+[26]FormattedData!H55^2*$J$6+$M$5*$J$7</f>
        <v>39.69593425221403</v>
      </c>
      <c r="P83" s="6">
        <f>$J$3+[26]FormattedData!I55*$J$4+$M$4*$J$5+[26]FormattedData!I55^2*$J$6+$M$5*$J$7</f>
        <v>42.374827464268655</v>
      </c>
      <c r="Q83" s="6">
        <f>$J$3+[26]FormattedData!J55*$J$4+$M$4*$J$5+[26]FormattedData!J55^2*$J$6+$M$5*$J$7</f>
        <v>39.416778478387691</v>
      </c>
      <c r="R83" s="6">
        <f>$J$3+[26]FormattedData!K55*$J$4+$M$4*$J$5+[26]FormattedData!K55^2*$J$6+$M$5*$J$7</f>
        <v>41.270631319115026</v>
      </c>
      <c r="S83" s="6">
        <f>$J$3+[26]FormattedData!L55*$J$4+$M$4*$J$5+[26]FormattedData!L55^2*$J$6+$M$5*$J$7</f>
        <v>38.202707530528691</v>
      </c>
      <c r="T83" s="6">
        <f>$J$3+[26]FormattedData!M55*$J$4+$M$4*$J$5+[26]FormattedData!M55^2*$J$6+$M$5*$J$7</f>
        <v>39.043979020421531</v>
      </c>
      <c r="U83" s="6">
        <f>$J$3+[26]FormattedData!N55*$J$4+$M$4*$J$5+[26]FormattedData!N55^2*$J$6+$M$5*$J$7</f>
        <v>43.564171317437939</v>
      </c>
      <c r="V83" s="6">
        <f>$J$3+[26]FormattedData!O55*$J$4+$M$4*$J$5+[26]FormattedData!O55^2*$J$6+$M$5*$J$7</f>
        <v>39.881826758741944</v>
      </c>
      <c r="W83" s="5">
        <f t="shared" si="18"/>
        <v>40.128776233265498</v>
      </c>
      <c r="X83" s="4">
        <f t="shared" si="19"/>
        <v>0.55693956476415651</v>
      </c>
      <c r="Y83" s="3">
        <f t="shared" si="20"/>
        <v>36.509893296025744</v>
      </c>
      <c r="Z83" s="2">
        <f t="shared" si="21"/>
        <v>39.043979020421531</v>
      </c>
      <c r="AA83" s="3">
        <f t="shared" si="22"/>
        <v>39.788880505477991</v>
      </c>
      <c r="AB83" s="2">
        <f t="shared" si="23"/>
        <v>41.362816738696218</v>
      </c>
      <c r="AC83" s="2">
        <f t="shared" si="24"/>
        <v>43.564171317437939</v>
      </c>
      <c r="AD83" s="2">
        <f t="shared" si="25"/>
        <v>-4.2185220577909644E-3</v>
      </c>
      <c r="AE83" s="2">
        <f t="shared" si="26"/>
        <v>6.4991075886502436E-2</v>
      </c>
    </row>
    <row r="84" spans="2:31" x14ac:dyDescent="0.2">
      <c r="B84" s="1">
        <f>[26]FormattedData!A51</f>
        <v>906</v>
      </c>
      <c r="C84" s="1" t="str">
        <f>VLOOKUP($B84,[26]TrtCodes!$B$11:I94,2)</f>
        <v>Late</v>
      </c>
      <c r="D84" s="1">
        <f>VLOOKUP($B84,[26]TrtCodes!$B$11:J94,3)</f>
        <v>22</v>
      </c>
      <c r="E84" s="1">
        <f>VLOOKUP($B84,[26]TrtCodes!$B$11:K94,4)</f>
        <v>4</v>
      </c>
      <c r="F84" s="1">
        <f>VLOOKUP($B84,[26]TrtCodes!$B$11:L94,5)</f>
        <v>2</v>
      </c>
      <c r="G84" s="1">
        <f>VLOOKUP($B84,[26]TrtCodes!$B$11:M94,6)</f>
        <v>2</v>
      </c>
      <c r="H84" s="1">
        <f>VLOOKUP($B84,[26]TrtCodes!$B$11:N94,7)</f>
        <v>2</v>
      </c>
      <c r="I84" s="1">
        <f>[26]FormattedData!B51</f>
        <v>2</v>
      </c>
      <c r="J84" s="4">
        <f>[26]FormattedData!C51</f>
        <v>13.16</v>
      </c>
      <c r="K84" s="6">
        <f>$J$3+[26]FormattedData!D51*$J$4+$M$4*$J$5+[26]FormattedData!D51^2*$J$6+$M$5*$J$7</f>
        <v>34.898549406738461</v>
      </c>
      <c r="L84" s="6">
        <f>$J$3+[26]FormattedData!E51*$J$4+$M$4*$J$5+[26]FormattedData!E51^2*$J$6+$M$5*$J$7</f>
        <v>36.226426131330427</v>
      </c>
      <c r="M84" s="6">
        <f>$J$3+[26]FormattedData!F51*$J$4+$M$4*$J$5+[26]FormattedData!F51^2*$J$6+$M$5*$J$7</f>
        <v>34.326923269637454</v>
      </c>
      <c r="N84" s="6">
        <f>$J$3+[26]FormattedData!G51*$J$4+$M$4*$J$5+[26]FormattedData!G51^2*$J$6+$M$5*$J$7</f>
        <v>36.131852539356125</v>
      </c>
      <c r="O84" s="6">
        <f>$J$3+[26]FormattedData!H51*$J$4+$M$4*$J$5+[26]FormattedData!H51^2*$J$6+$M$5*$J$7</f>
        <v>33.27498990998906</v>
      </c>
      <c r="P84" s="6">
        <f>$J$3+[26]FormattedData!I51*$J$4+$M$4*$J$5+[26]FormattedData!I51^2*$J$6+$M$5*$J$7</f>
        <v>36.03723667884389</v>
      </c>
      <c r="Q84" s="6">
        <f>$J$3+[26]FormattedData!J51*$J$4+$M$4*$J$5+[26]FormattedData!J51^2*$J$6+$M$5*$J$7</f>
        <v>31.928768639934979</v>
      </c>
      <c r="R84" s="6">
        <f>$J$3+[26]FormattedData!K51*$J$4+$M$4*$J$5+[26]FormattedData!K51^2*$J$6+$M$5*$J$7</f>
        <v>37.733855081760638</v>
      </c>
      <c r="S84" s="6">
        <f>$J$3+[26]FormattedData!L51*$J$4+$M$4*$J$5+[26]FormattedData!L51^2*$J$6+$M$5*$J$7</f>
        <v>35.278788127380501</v>
      </c>
      <c r="T84" s="6">
        <f>$J$3+[26]FormattedData!M51*$J$4+$M$4*$J$5+[26]FormattedData!M51^2*$J$6+$M$5*$J$7</f>
        <v>33.849405770593521</v>
      </c>
      <c r="U84" s="6">
        <f>$J$3+[26]FormattedData!N51*$J$4+$M$4*$J$5+[26]FormattedData!N51^2*$J$6+$M$5*$J$7</f>
        <v>33.658102891210426</v>
      </c>
      <c r="V84" s="6">
        <f>$J$3+[26]FormattedData!O51*$J$4+$M$4*$J$5+[26]FormattedData!O51^2*$J$6+$M$5*$J$7</f>
        <v>31.63921480577757</v>
      </c>
      <c r="W84" s="5">
        <f t="shared" si="18"/>
        <v>34.582009437712756</v>
      </c>
      <c r="X84" s="4">
        <f t="shared" si="19"/>
        <v>0.52661758521087132</v>
      </c>
      <c r="Y84" s="3">
        <f t="shared" si="20"/>
        <v>31.63921480577757</v>
      </c>
      <c r="Z84" s="2">
        <f t="shared" si="21"/>
        <v>33.562324645905086</v>
      </c>
      <c r="AA84" s="3">
        <f t="shared" si="22"/>
        <v>34.612736338187958</v>
      </c>
      <c r="AB84" s="2">
        <f t="shared" si="23"/>
        <v>36.060890643971945</v>
      </c>
      <c r="AC84" s="2">
        <f t="shared" si="24"/>
        <v>37.733855081760638</v>
      </c>
      <c r="AD84" s="2">
        <f t="shared" si="25"/>
        <v>-8.3771708446563634E-2</v>
      </c>
      <c r="AE84" s="2">
        <f t="shared" si="26"/>
        <v>-0.54757599274089674</v>
      </c>
    </row>
    <row r="85" spans="2:31" x14ac:dyDescent="0.2">
      <c r="B85" s="1">
        <f>[26]FormattedData!A47</f>
        <v>908</v>
      </c>
      <c r="C85" s="1" t="str">
        <f>VLOOKUP($B85,[26]TrtCodes!$B$11:I90,2)</f>
        <v>Early</v>
      </c>
      <c r="D85" s="1">
        <f>VLOOKUP($B85,[26]TrtCodes!$B$11:J90,3)</f>
        <v>21</v>
      </c>
      <c r="E85" s="1">
        <f>VLOOKUP($B85,[26]TrtCodes!$B$11:K90,4)</f>
        <v>3</v>
      </c>
      <c r="F85" s="1">
        <f>VLOOKUP($B85,[26]TrtCodes!$B$11:L90,5)</f>
        <v>2</v>
      </c>
      <c r="G85" s="1">
        <f>VLOOKUP($B85,[26]TrtCodes!$B$11:M90,6)</f>
        <v>2</v>
      </c>
      <c r="H85" s="1">
        <f>VLOOKUP($B85,[26]TrtCodes!$B$11:N90,7)</f>
        <v>2</v>
      </c>
      <c r="I85" s="1">
        <f>[26]FormattedData!B47</f>
        <v>2</v>
      </c>
      <c r="J85" s="4">
        <f>[26]FormattedData!C47</f>
        <v>13.138999999999999</v>
      </c>
      <c r="K85" s="6">
        <f>$J$3+[26]FormattedData!D47*$J$4+$M$4*$J$5+[26]FormattedData!D47^2*$J$6+$M$5*$J$7</f>
        <v>43.564171317437939</v>
      </c>
      <c r="L85" s="6">
        <f>$J$3+[26]FormattedData!E47*$J$4+$M$4*$J$5+[26]FormattedData!E47^2*$J$6+$M$5*$J$7</f>
        <v>40.716250745489937</v>
      </c>
      <c r="M85" s="6">
        <f>$J$3+[26]FormattedData!F47*$J$4+$M$4*$J$5+[26]FormattedData!F47^2*$J$6+$M$5*$J$7</f>
        <v>39.788901639746953</v>
      </c>
      <c r="N85" s="6">
        <f>$J$3+[26]FormattedData!G47*$J$4+$M$4*$J$5+[26]FormattedData!G47^2*$J$6+$M$5*$J$7</f>
        <v>43.290341379390917</v>
      </c>
      <c r="O85" s="6">
        <f>$J$3+[26]FormattedData!H47*$J$4+$M$4*$J$5+[26]FormattedData!H47^2*$J$6+$M$5*$J$7</f>
        <v>40.993631240723175</v>
      </c>
      <c r="P85" s="6">
        <f>$J$3+[26]FormattedData!I47*$J$4+$M$4*$J$5+[26]FormattedData!I47^2*$J$6+$M$5*$J$7</f>
        <v>38.95067348458516</v>
      </c>
      <c r="Q85" s="6">
        <f>$J$3+[26]FormattedData!J47*$J$4+$M$4*$J$5+[26]FormattedData!J47^2*$J$6+$M$5*$J$7</f>
        <v>43.928686141969592</v>
      </c>
      <c r="R85" s="6">
        <f>$J$3+[26]FormattedData!K47*$J$4+$M$4*$J$5+[26]FormattedData!K47^2*$J$6+$M$5*$J$7</f>
        <v>38.202707530528691</v>
      </c>
      <c r="S85" s="6">
        <f>$J$3+[26]FormattedData!L47*$J$4+$M$4*$J$5+[26]FormattedData!L47^2*$J$6+$M$5*$J$7</f>
        <v>40.623706043336327</v>
      </c>
      <c r="T85" s="6">
        <f>$J$3+[26]FormattedData!M47*$J$4+$M$4*$J$5+[26]FormattedData!M47^2*$J$6+$M$5*$J$7</f>
        <v>37.921522866881645</v>
      </c>
      <c r="U85" s="6">
        <f>$J$3+[26]FormattedData!N47*$J$4+$M$4*$J$5+[26]FormattedData!N47^2*$J$6+$M$5*$J$7</f>
        <v>43.290341379390917</v>
      </c>
      <c r="V85" s="6">
        <f>$J$3+[26]FormattedData!O47*$J$4+$M$4*$J$5+[26]FormattedData!O47^2*$J$6+$M$5*$J$7</f>
        <v>37.358012289063431</v>
      </c>
      <c r="W85" s="5">
        <f t="shared" si="18"/>
        <v>40.719078838212056</v>
      </c>
      <c r="X85" s="4">
        <f t="shared" si="19"/>
        <v>0.68063637109515662</v>
      </c>
      <c r="Y85" s="3">
        <f t="shared" si="20"/>
        <v>37.358012289063431</v>
      </c>
      <c r="Z85" s="2">
        <f t="shared" si="21"/>
        <v>38.763681996071043</v>
      </c>
      <c r="AA85" s="3">
        <f t="shared" si="22"/>
        <v>40.669978394413135</v>
      </c>
      <c r="AB85" s="2">
        <f t="shared" si="23"/>
        <v>43.290341379390917</v>
      </c>
      <c r="AC85" s="2">
        <f t="shared" si="24"/>
        <v>43.928686141969592</v>
      </c>
      <c r="AD85" s="2">
        <f t="shared" si="25"/>
        <v>6.6416492546467476E-2</v>
      </c>
      <c r="AE85" s="2">
        <f t="shared" si="26"/>
        <v>-1.4912678162020021</v>
      </c>
    </row>
    <row r="88" spans="2:31" x14ac:dyDescent="0.2">
      <c r="W88" s="2"/>
    </row>
  </sheetData>
  <autoFilter ref="B9:AE85" xr:uid="{BF99B2E7-14C7-49BB-8D46-A574D4C6D6DC}"/>
  <conditionalFormatting sqref="K10:V85">
    <cfRule type="cellIs" dxfId="23" priority="1" stopIfTrue="1" operator="lessThan">
      <formula>$W10-$V$5*$X10</formula>
    </cfRule>
    <cfRule type="cellIs" dxfId="22" priority="2" stopIfTrue="1" operator="greaterThan">
      <formula>$W10+$V$5*$X10</formula>
    </cfRule>
  </conditionalFormatting>
  <conditionalFormatting sqref="W10:W85">
    <cfRule type="cellIs" dxfId="21" priority="3" stopIfTrue="1" operator="lessThan">
      <formula>AVERAGE($W$10:$W$41)</formula>
    </cfRule>
    <cfRule type="cellIs" dxfId="2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2D66-DE6C-42D5-ABCF-0268AF8A82DB}">
  <sheetPr codeName="Sheet7"/>
  <dimension ref="A1:AI88"/>
  <sheetViews>
    <sheetView topLeftCell="A8" workbookViewId="0">
      <pane xSplit="4" ySplit="2" topLeftCell="N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[27]FormattedData!A1</f>
        <v>Raw data file name - 'IA248.03R'</v>
      </c>
    </row>
    <row r="2" spans="1:35" ht="15" x14ac:dyDescent="0.25">
      <c r="I2" s="32" t="s">
        <v>136</v>
      </c>
      <c r="J2" s="24"/>
      <c r="P2" s="31">
        <f>[27]AncillaryData!C10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[27]AncillaryData!E25</f>
        <v>35.450000000000003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"&amp;[27]AncillaryData!C7</f>
        <v>Time Sequence of Midday IRT Temps - FISE 2003 - DOY 248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"&amp;[27]AncillaryData!E25&amp;", VPD = "&amp;ROUND([27]AncillaryData!E29,1)&amp;", Quality = "&amp;[27]AncillaryData!C20&amp;")"</f>
        <v>(Ta = 35.45, VPD = 4, Quality = 3)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[27]FormattedData!A28</f>
        <v>101</v>
      </c>
      <c r="C10" s="1" t="str">
        <f>VLOOKUP($B10,[27]TrtCodes!$B$11:I71,2)</f>
        <v>FSH</v>
      </c>
      <c r="D10" s="1">
        <f>VLOOKUP($B10,[27]TrtCodes!$B$11:J71,3)</f>
        <v>1</v>
      </c>
      <c r="E10" s="1">
        <f>VLOOKUP($B10,[27]TrtCodes!$B$11:K71,4)</f>
        <v>1</v>
      </c>
      <c r="F10" s="1">
        <f>VLOOKUP($B10,[27]TrtCodes!$B$11:L71,5)</f>
        <v>1</v>
      </c>
      <c r="G10" s="1">
        <f>VLOOKUP($B10,[27]TrtCodes!$B$11:M71,6)</f>
        <v>2</v>
      </c>
      <c r="H10" s="1">
        <f>VLOOKUP($B10,[27]TrtCodes!$B$11:N71,7)</f>
        <v>1</v>
      </c>
      <c r="I10" s="1">
        <f>[27]FormattedData!B28</f>
        <v>1</v>
      </c>
      <c r="J10" s="4">
        <f>[27]FormattedData!C28</f>
        <v>12.967000000000001</v>
      </c>
      <c r="K10" s="6">
        <f>$J$3+[27]FormattedData!D28*$J$4+$M$4*$J$5+[27]FormattedData!D28^2*$J$6+$M$5*$J$7</f>
        <v>30.530150163646152</v>
      </c>
      <c r="L10" s="6">
        <f>$J$3+[27]FormattedData!E28*$J$4+$M$4*$J$5+[27]FormattedData!E28^2*$J$6+$M$5*$J$7</f>
        <v>31.884656067134749</v>
      </c>
      <c r="M10" s="6">
        <f>$J$3+[27]FormattedData!F28*$J$4+$M$4*$J$5+[27]FormattedData!F28^2*$J$6+$M$5*$J$7</f>
        <v>31.305167981978556</v>
      </c>
      <c r="N10" s="6">
        <f>$J$3+[27]FormattedData!G28*$J$4+$M$4*$J$5+[27]FormattedData!G28^2*$J$6+$M$5*$J$7</f>
        <v>31.788180390953542</v>
      </c>
      <c r="O10" s="6">
        <f>$J$3+[27]FormattedData!H28*$J$4+$M$4*$J$5+[27]FormattedData!H28^2*$J$6+$M$5*$J$7</f>
        <v>30.335973023683746</v>
      </c>
      <c r="P10" s="6">
        <f>$J$3+[27]FormattedData!I28*$J$4+$M$4*$J$5+[27]FormattedData!I28^2*$J$6+$M$5*$J$7</f>
        <v>31.208438694569757</v>
      </c>
      <c r="Q10" s="6">
        <f>$J$3+[27]FormattedData!J28*$J$4+$M$4*$J$5+[27]FormattedData!J28^2*$J$6+$M$5*$J$7</f>
        <v>31.305167981978556</v>
      </c>
      <c r="R10" s="6">
        <f>$J$3+[27]FormattedData!K28*$J$4+$M$4*$J$5+[27]FormattedData!K28^2*$J$6+$M$5*$J$7</f>
        <v>31.111667138623041</v>
      </c>
      <c r="S10" s="6">
        <f>$J$3+[27]FormattedData!L28*$J$4+$M$4*$J$5+[27]FormattedData!L28^2*$J$6+$M$5*$J$7</f>
        <v>30.917997221115801</v>
      </c>
      <c r="T10" s="6">
        <f>$J$3+[27]FormattedData!M28*$J$4+$M$4*$J$5+[27]FormattedData!M28^2*$J$6+$M$5*$J$7</f>
        <v>30.627175330820464</v>
      </c>
      <c r="U10" s="6">
        <f>$J$3+[27]FormattedData!N28*$J$4+$M$4*$J$5+[27]FormattedData!N28^2*$J$6+$M$5*$J$7</f>
        <v>30.72415822945684</v>
      </c>
      <c r="V10" s="6">
        <f>$J$3+[27]FormattedData!O28*$J$4+$M$4*$J$5+[27]FormattedData!O28^2*$J$6+$M$5*$J$7</f>
        <v>31.111667138623041</v>
      </c>
      <c r="W10" s="5">
        <f t="shared" ref="W10:W41" si="0">AVERAGE(K10:V10)</f>
        <v>31.070866613548688</v>
      </c>
      <c r="X10" s="4">
        <f t="shared" ref="X10:X41" si="1">STDEV(K10:V10)/SQRT(COUNT(K10:V10))</f>
        <v>0.13711647925017689</v>
      </c>
      <c r="Y10" s="3">
        <f t="shared" ref="Y10:Y41" si="2">MIN(K10:V10)</f>
        <v>30.335973023683746</v>
      </c>
      <c r="Z10" s="2">
        <f t="shared" ref="Z10:Z41" si="3">QUARTILE(K10:V10,1)</f>
        <v>30.699912504797744</v>
      </c>
      <c r="AA10" s="3">
        <f t="shared" ref="AA10:AA41" si="4">MEDIAN(K10:V10)</f>
        <v>31.111667138623041</v>
      </c>
      <c r="AB10" s="2">
        <f t="shared" ref="AB10:AB41" si="5">QUARTILE(K10:V10,3)</f>
        <v>31.305167981978556</v>
      </c>
      <c r="AC10" s="2">
        <f t="shared" ref="AC10:AC41" si="6">MAX(K10:V10)</f>
        <v>31.884656067134749</v>
      </c>
      <c r="AD10" s="2">
        <f t="shared" ref="AD10:AD41" si="7">SKEW(K10:V10)</f>
        <v>0.25338590032190023</v>
      </c>
      <c r="AE10" s="2">
        <f t="shared" ref="AE10:AE41" si="8">KURT(K10:V10)</f>
        <v>-0.50221405455661738</v>
      </c>
    </row>
    <row r="11" spans="1:35" x14ac:dyDescent="0.2">
      <c r="B11" s="1">
        <f>[27]FormattedData!A26</f>
        <v>102</v>
      </c>
      <c r="C11" s="1" t="str">
        <f>VLOOKUP($B11,[27]TrtCodes!$B$11:I69,2)</f>
        <v>FTL</v>
      </c>
      <c r="D11" s="1">
        <f>VLOOKUP($B11,[27]TrtCodes!$B$11:J69,3)</f>
        <v>4</v>
      </c>
      <c r="E11" s="1">
        <f>VLOOKUP($B11,[27]TrtCodes!$B$11:K69,4)</f>
        <v>1</v>
      </c>
      <c r="F11" s="1">
        <f>VLOOKUP($B11,[27]TrtCodes!$B$11:L69,5)</f>
        <v>2</v>
      </c>
      <c r="G11" s="1">
        <f>VLOOKUP($B11,[27]TrtCodes!$B$11:M69,6)</f>
        <v>1</v>
      </c>
      <c r="H11" s="1">
        <f>VLOOKUP($B11,[27]TrtCodes!$B$11:N69,7)</f>
        <v>1</v>
      </c>
      <c r="I11" s="1">
        <f>[27]FormattedData!B26</f>
        <v>1</v>
      </c>
      <c r="J11" s="4">
        <f>[27]FormattedData!C26</f>
        <v>12.952999999999999</v>
      </c>
      <c r="K11" s="6">
        <f>$J$3+[27]FormattedData!D26*$J$4+$M$4*$J$5+[27]FormattedData!D26^2*$J$6+$M$5*$J$7</f>
        <v>33.326718985301071</v>
      </c>
      <c r="L11" s="6">
        <f>$J$3+[27]FormattedData!E26*$J$4+$M$4*$J$5+[27]FormattedData!E26^2*$J$6+$M$5*$J$7</f>
        <v>30.433082727933915</v>
      </c>
      <c r="M11" s="6">
        <f>$J$3+[27]FormattedData!F26*$J$4+$M$4*$J$5+[27]FormattedData!F26^2*$J$6+$M$5*$J$7</f>
        <v>31.305167981978556</v>
      </c>
      <c r="N11" s="6">
        <f>$J$3+[27]FormattedData!G26*$J$4+$M$4*$J$5+[27]FormattedData!G26^2*$J$6+$M$5*$J$7</f>
        <v>30.72415822945684</v>
      </c>
      <c r="O11" s="6">
        <f>$J$3+[27]FormattedData!H26*$J$4+$M$4*$J$5+[27]FormattedData!H26^2*$J$6+$M$5*$J$7</f>
        <v>34.282810696837224</v>
      </c>
      <c r="P11" s="6">
        <f>$J$3+[27]FormattedData!I26*$J$4+$M$4*$J$5+[27]FormattedData!I26^2*$J$6+$M$5*$J$7</f>
        <v>31.014853314138382</v>
      </c>
      <c r="Q11" s="6">
        <f>$J$3+[27]FormattedData!J26*$J$4+$M$4*$J$5+[27]FormattedData!J26^2*$J$6+$M$5*$J$7</f>
        <v>32.366400419971804</v>
      </c>
      <c r="R11" s="6">
        <f>$J$3+[27]FormattedData!K26*$J$4+$M$4*$J$5+[27]FormattedData!K26^2*$J$6+$M$5*$J$7</f>
        <v>31.498499751182344</v>
      </c>
      <c r="S11" s="6">
        <f>$J$3+[27]FormattedData!L26*$J$4+$M$4*$J$5+[27]FormattedData!L26^2*$J$6+$M$5*$J$7</f>
        <v>31.98108947477802</v>
      </c>
      <c r="T11" s="6">
        <f>$J$3+[27]FormattedData!M26*$J$4+$M$4*$J$5+[27]FormattedData!M26^2*$J$6+$M$5*$J$7</f>
        <v>31.788180390953542</v>
      </c>
      <c r="U11" s="6">
        <f>$J$3+[27]FormattedData!N26*$J$4+$M$4*$J$5+[27]FormattedData!N26^2*$J$6+$M$5*$J$7</f>
        <v>31.401855000849412</v>
      </c>
      <c r="V11" s="6">
        <f>$J$3+[27]FormattedData!O26*$J$4+$M$4*$J$5+[27]FormattedData!O26^2*$J$6+$M$5*$J$7</f>
        <v>31.498499751182344</v>
      </c>
      <c r="W11" s="5">
        <f t="shared" si="0"/>
        <v>31.80177639371362</v>
      </c>
      <c r="X11" s="4">
        <f t="shared" si="1"/>
        <v>0.31474449853195874</v>
      </c>
      <c r="Y11" s="3">
        <f t="shared" si="2"/>
        <v>30.433082727933915</v>
      </c>
      <c r="Z11" s="2">
        <f t="shared" si="3"/>
        <v>31.232589315018512</v>
      </c>
      <c r="AA11" s="3">
        <f t="shared" si="4"/>
        <v>31.498499751182344</v>
      </c>
      <c r="AB11" s="2">
        <f t="shared" si="5"/>
        <v>32.077417211076465</v>
      </c>
      <c r="AC11" s="2">
        <f t="shared" si="6"/>
        <v>34.282810696837224</v>
      </c>
      <c r="AD11" s="2">
        <f t="shared" si="7"/>
        <v>1.2169803296008159</v>
      </c>
      <c r="AE11" s="2">
        <f t="shared" si="8"/>
        <v>1.4020446952728873</v>
      </c>
    </row>
    <row r="12" spans="1:35" x14ac:dyDescent="0.2">
      <c r="B12" s="1">
        <f>[27]FormattedData!A24</f>
        <v>103</v>
      </c>
      <c r="C12" s="1" t="str">
        <f>VLOOKUP($B12,[27]TrtCodes!$B$11:I67,2)</f>
        <v>FDH</v>
      </c>
      <c r="D12" s="1">
        <f>VLOOKUP($B12,[27]TrtCodes!$B$11:J67,3)</f>
        <v>5</v>
      </c>
      <c r="E12" s="1">
        <f>VLOOKUP($B12,[27]TrtCodes!$B$11:K67,4)</f>
        <v>1</v>
      </c>
      <c r="F12" s="1">
        <f>VLOOKUP($B12,[27]TrtCodes!$B$11:L67,5)</f>
        <v>3</v>
      </c>
      <c r="G12" s="1">
        <f>VLOOKUP($B12,[27]TrtCodes!$B$11:M67,6)</f>
        <v>2</v>
      </c>
      <c r="H12" s="1">
        <f>VLOOKUP($B12,[27]TrtCodes!$B$11:N67,7)</f>
        <v>1</v>
      </c>
      <c r="I12" s="1">
        <f>[27]FormattedData!B24</f>
        <v>1</v>
      </c>
      <c r="J12" s="4">
        <f>[27]FormattedData!C24</f>
        <v>12.935</v>
      </c>
      <c r="K12" s="6">
        <f>$J$3+[27]FormattedData!D24*$J$4+$M$4*$J$5+[27]FormattedData!D24^2*$J$6+$M$5*$J$7</f>
        <v>31.691662446234403</v>
      </c>
      <c r="L12" s="6">
        <f>$J$3+[27]FormattedData!E24*$J$4+$M$4*$J$5+[27]FormattedData!E24^2*$J$6+$M$5*$J$7</f>
        <v>31.691662446234403</v>
      </c>
      <c r="M12" s="6">
        <f>$J$3+[27]FormattedData!F24*$J$4+$M$4*$J$5+[27]FormattedData!F24^2*$J$6+$M$5*$J$7</f>
        <v>30.627175330820464</v>
      </c>
      <c r="N12" s="6">
        <f>$J$3+[27]FormattedData!G24*$J$4+$M$4*$J$5+[27]FormattedData!G24^2*$J$6+$M$5*$J$7</f>
        <v>31.595102232977339</v>
      </c>
      <c r="O12" s="6">
        <f>$J$3+[27]FormattedData!H24*$J$4+$M$4*$J$5+[27]FormattedData!H24^2*$J$6+$M$5*$J$7</f>
        <v>31.305167981978556</v>
      </c>
      <c r="P12" s="6">
        <f>$J$3+[27]FormattedData!I24*$J$4+$M$4*$J$5+[27]FormattedData!I24^2*$J$6+$M$5*$J$7</f>
        <v>30.72415822945684</v>
      </c>
      <c r="Q12" s="6">
        <f>$J$3+[27]FormattedData!J24*$J$4+$M$4*$J$5+[27]FormattedData!J24^2*$J$6+$M$5*$J$7</f>
        <v>31.111667138623041</v>
      </c>
      <c r="R12" s="6">
        <f>$J$3+[27]FormattedData!K24*$J$4+$M$4*$J$5+[27]FormattedData!K24^2*$J$6+$M$5*$J$7</f>
        <v>31.111667138623041</v>
      </c>
      <c r="S12" s="6">
        <f>$J$3+[27]FormattedData!L24*$J$4+$M$4*$J$5+[27]FormattedData!L24^2*$J$6+$M$5*$J$7</f>
        <v>30.72415822945684</v>
      </c>
      <c r="T12" s="6">
        <f>$J$3+[27]FormattedData!M24*$J$4+$M$4*$J$5+[27]FormattedData!M24^2*$J$6+$M$5*$J$7</f>
        <v>31.208438694569757</v>
      </c>
      <c r="U12" s="6">
        <f>$J$3+[27]FormattedData!N24*$J$4+$M$4*$J$5+[27]FormattedData!N24^2*$J$6+$M$5*$J$7</f>
        <v>30.335973023683746</v>
      </c>
      <c r="V12" s="6">
        <f>$J$3+[27]FormattedData!O24*$J$4+$M$4*$J$5+[27]FormattedData!O24^2*$J$6+$M$5*$J$7</f>
        <v>30.433082727933915</v>
      </c>
      <c r="W12" s="5">
        <f t="shared" si="0"/>
        <v>31.046659635049355</v>
      </c>
      <c r="X12" s="4">
        <f t="shared" si="1"/>
        <v>0.13761581876734091</v>
      </c>
      <c r="Y12" s="3">
        <f t="shared" si="2"/>
        <v>30.335973023683746</v>
      </c>
      <c r="Z12" s="2">
        <f t="shared" si="3"/>
        <v>30.699912504797744</v>
      </c>
      <c r="AA12" s="3">
        <f t="shared" si="4"/>
        <v>31.111667138623041</v>
      </c>
      <c r="AB12" s="2">
        <f t="shared" si="5"/>
        <v>31.377651544728252</v>
      </c>
      <c r="AC12" s="2">
        <f t="shared" si="6"/>
        <v>31.691662446234403</v>
      </c>
      <c r="AD12" s="2">
        <f t="shared" si="7"/>
        <v>-7.1940342438823633E-3</v>
      </c>
      <c r="AE12" s="2">
        <f t="shared" si="8"/>
        <v>-1.3140419557907386</v>
      </c>
    </row>
    <row r="13" spans="1:35" x14ac:dyDescent="0.2">
      <c r="B13" s="1">
        <f>[27]FormattedData!A22</f>
        <v>104</v>
      </c>
      <c r="C13" s="1" t="str">
        <f>VLOOKUP($B13,[27]TrtCodes!$B$11:I65,2)</f>
        <v>NTL</v>
      </c>
      <c r="D13" s="1">
        <f>VLOOKUP($B13,[27]TrtCodes!$B$11:J65,3)</f>
        <v>10</v>
      </c>
      <c r="E13" s="1">
        <f>VLOOKUP($B13,[27]TrtCodes!$B$11:K65,4)</f>
        <v>2</v>
      </c>
      <c r="F13" s="1">
        <f>VLOOKUP($B13,[27]TrtCodes!$B$11:L65,5)</f>
        <v>2</v>
      </c>
      <c r="G13" s="1">
        <f>VLOOKUP($B13,[27]TrtCodes!$B$11:M65,6)</f>
        <v>1</v>
      </c>
      <c r="H13" s="1">
        <f>VLOOKUP($B13,[27]TrtCodes!$B$11:N65,7)</f>
        <v>1</v>
      </c>
      <c r="I13" s="1">
        <f>[27]FormattedData!B22</f>
        <v>1</v>
      </c>
      <c r="J13" s="4">
        <f>[27]FormattedData!C22</f>
        <v>12.911</v>
      </c>
      <c r="K13" s="6">
        <f>$J$3+[27]FormattedData!D22*$J$4+$M$4*$J$5+[27]FormattedData!D22^2*$J$6+$M$5*$J$7</f>
        <v>31.595102232977339</v>
      </c>
      <c r="L13" s="6">
        <f>$J$3+[27]FormattedData!E22*$J$4+$M$4*$J$5+[27]FormattedData!E22^2*$J$6+$M$5*$J$7</f>
        <v>30.821098859555288</v>
      </c>
      <c r="M13" s="6">
        <f>$J$3+[27]FormattedData!F22*$J$4+$M$4*$J$5+[27]FormattedData!F22^2*$J$6+$M$5*$J$7</f>
        <v>30.238821050895638</v>
      </c>
      <c r="N13" s="6">
        <f>$J$3+[27]FormattedData!G22*$J$4+$M$4*$J$5+[27]FormattedData!G22^2*$J$6+$M$5*$J$7</f>
        <v>30.530150163646152</v>
      </c>
      <c r="O13" s="6">
        <f>$J$3+[27]FormattedData!H22*$J$4+$M$4*$J$5+[27]FormattedData!H22^2*$J$6+$M$5*$J$7</f>
        <v>31.401855000849412</v>
      </c>
      <c r="P13" s="6">
        <f>$J$3+[27]FormattedData!I22*$J$4+$M$4*$J$5+[27]FormattedData!I22^2*$J$6+$M$5*$J$7</f>
        <v>30.72415822945684</v>
      </c>
      <c r="Q13" s="6">
        <f>$J$3+[27]FormattedData!J22*$J$4+$M$4*$J$5+[27]FormattedData!J22^2*$J$6+$M$5*$J$7</f>
        <v>29.655021574870478</v>
      </c>
      <c r="R13" s="6">
        <f>$J$3+[27]FormattedData!K22*$J$4+$M$4*$J$5+[27]FormattedData!K22^2*$J$6+$M$5*$J$7</f>
        <v>30.627175330820464</v>
      </c>
      <c r="S13" s="6">
        <f>$J$3+[27]FormattedData!L22*$J$4+$M$4*$J$5+[27]FormattedData!L22^2*$J$6+$M$5*$J$7</f>
        <v>30.627175330820464</v>
      </c>
      <c r="T13" s="6">
        <f>$J$3+[27]FormattedData!M22*$J$4+$M$4*$J$5+[27]FormattedData!M22^2*$J$6+$M$5*$J$7</f>
        <v>31.788180390953542</v>
      </c>
      <c r="U13" s="6">
        <f>$J$3+[27]FormattedData!N22*$J$4+$M$4*$J$5+[27]FormattedData!N22^2*$J$6+$M$5*$J$7</f>
        <v>30.821098859555288</v>
      </c>
      <c r="V13" s="6">
        <f>$J$3+[27]FormattedData!O22*$J$4+$M$4*$J$5+[27]FormattedData!O22^2*$J$6+$M$5*$J$7</f>
        <v>31.498499751182344</v>
      </c>
      <c r="W13" s="5">
        <f t="shared" si="0"/>
        <v>30.860694731298604</v>
      </c>
      <c r="X13" s="4">
        <f t="shared" si="1"/>
        <v>0.17794510042646006</v>
      </c>
      <c r="Y13" s="3">
        <f t="shared" si="2"/>
        <v>29.655021574870478</v>
      </c>
      <c r="Z13" s="2">
        <f t="shared" si="3"/>
        <v>30.602919039026887</v>
      </c>
      <c r="AA13" s="3">
        <f t="shared" si="4"/>
        <v>30.772628544506063</v>
      </c>
      <c r="AB13" s="2">
        <f t="shared" si="5"/>
        <v>31.426016188432644</v>
      </c>
      <c r="AC13" s="2">
        <f t="shared" si="6"/>
        <v>31.788180390953542</v>
      </c>
      <c r="AD13" s="2">
        <f t="shared" si="7"/>
        <v>-0.20748434287561399</v>
      </c>
      <c r="AE13" s="2">
        <f t="shared" si="8"/>
        <v>-0.14465157645575921</v>
      </c>
    </row>
    <row r="14" spans="1:35" x14ac:dyDescent="0.2">
      <c r="B14" s="1">
        <f>[27]FormattedData!A20</f>
        <v>105</v>
      </c>
      <c r="C14" s="1" t="str">
        <f>VLOOKUP($B14,[27]TrtCodes!$B$11:I63,2)</f>
        <v>NDL</v>
      </c>
      <c r="D14" s="1">
        <f>VLOOKUP($B14,[27]TrtCodes!$B$11:J63,3)</f>
        <v>12</v>
      </c>
      <c r="E14" s="1">
        <f>VLOOKUP($B14,[27]TrtCodes!$B$11:K63,4)</f>
        <v>2</v>
      </c>
      <c r="F14" s="1">
        <f>VLOOKUP($B14,[27]TrtCodes!$B$11:L63,5)</f>
        <v>3</v>
      </c>
      <c r="G14" s="1">
        <f>VLOOKUP($B14,[27]TrtCodes!$B$11:M63,6)</f>
        <v>1</v>
      </c>
      <c r="H14" s="1">
        <f>VLOOKUP($B14,[27]TrtCodes!$B$11:N63,7)</f>
        <v>2</v>
      </c>
      <c r="I14" s="1">
        <f>[27]FormattedData!B20</f>
        <v>1</v>
      </c>
      <c r="J14" s="4">
        <f>[27]FormattedData!C20</f>
        <v>12.895</v>
      </c>
      <c r="K14" s="6">
        <f>$J$3+[27]FormattedData!D20*$J$4+$M$4*$J$5+[27]FormattedData!D20^2*$J$6+$M$5*$J$7</f>
        <v>31.98108947477802</v>
      </c>
      <c r="L14" s="6">
        <f>$J$3+[27]FormattedData!E20*$J$4+$M$4*$J$5+[27]FormattedData!E20^2*$J$6+$M$5*$J$7</f>
        <v>31.305167981978556</v>
      </c>
      <c r="M14" s="6">
        <f>$J$3+[27]FormattedData!F20*$J$4+$M$4*$J$5+[27]FormattedData!F20^2*$J$6+$M$5*$J$7</f>
        <v>30.044390299705643</v>
      </c>
      <c r="N14" s="6">
        <f>$J$3+[27]FormattedData!G20*$J$4+$M$4*$J$5+[27]FormattedData!G20^2*$J$6+$M$5*$J$7</f>
        <v>30.044390299705643</v>
      </c>
      <c r="O14" s="6">
        <f>$J$3+[27]FormattedData!H20*$J$4+$M$4*$J$5+[27]FormattedData!H20^2*$J$6+$M$5*$J$7</f>
        <v>30.044390299705643</v>
      </c>
      <c r="P14" s="6">
        <f>$J$3+[27]FormattedData!I20*$J$4+$M$4*$J$5+[27]FormattedData!I20^2*$J$6+$M$5*$J$7</f>
        <v>29.94711152130375</v>
      </c>
      <c r="Q14" s="6">
        <f>$J$3+[27]FormattedData!J20*$J$4+$M$4*$J$5+[27]FormattedData!J20^2*$J$6+$M$5*$J$7</f>
        <v>30.627175330820464</v>
      </c>
      <c r="R14" s="6">
        <f>$J$3+[27]FormattedData!K20*$J$4+$M$4*$J$5+[27]FormattedData!K20^2*$J$6+$M$5*$J$7</f>
        <v>30.627175330820464</v>
      </c>
      <c r="S14" s="6">
        <f>$J$3+[27]FormattedData!L20*$J$4+$M$4*$J$5+[27]FormattedData!L20^2*$J$6+$M$5*$J$7</f>
        <v>30.141626809569608</v>
      </c>
      <c r="T14" s="6">
        <f>$J$3+[27]FormattedData!M20*$J$4+$M$4*$J$5+[27]FormattedData!M20^2*$J$6+$M$5*$J$7</f>
        <v>30.433082727933915</v>
      </c>
      <c r="U14" s="6">
        <f>$J$3+[27]FormattedData!N20*$J$4+$M$4*$J$5+[27]FormattedData!N20^2*$J$6+$M$5*$J$7</f>
        <v>30.917997221115801</v>
      </c>
      <c r="V14" s="6">
        <f>$J$3+[27]FormattedData!O20*$J$4+$M$4*$J$5+[27]FormattedData!O20^2*$J$6+$M$5*$J$7</f>
        <v>30.335973023683746</v>
      </c>
      <c r="W14" s="5">
        <f t="shared" si="0"/>
        <v>30.537464193426771</v>
      </c>
      <c r="X14" s="4">
        <f t="shared" si="1"/>
        <v>0.17667784218211249</v>
      </c>
      <c r="Y14" s="3">
        <f t="shared" si="2"/>
        <v>29.94711152130375</v>
      </c>
      <c r="Z14" s="2">
        <f t="shared" si="3"/>
        <v>30.044390299705643</v>
      </c>
      <c r="AA14" s="3">
        <f t="shared" si="4"/>
        <v>30.384527875808828</v>
      </c>
      <c r="AB14" s="2">
        <f t="shared" si="5"/>
        <v>30.699880803394297</v>
      </c>
      <c r="AC14" s="2">
        <f t="shared" si="6"/>
        <v>31.98108947477802</v>
      </c>
      <c r="AD14" s="2">
        <f t="shared" si="7"/>
        <v>1.3708689413838828</v>
      </c>
      <c r="AE14" s="2">
        <f t="shared" si="8"/>
        <v>1.6232842533630123</v>
      </c>
    </row>
    <row r="15" spans="1:35" x14ac:dyDescent="0.2">
      <c r="B15" s="1">
        <f>[27]FormattedData!A18</f>
        <v>106</v>
      </c>
      <c r="C15" s="1" t="str">
        <f>VLOOKUP($B15,[27]TrtCodes!$B$11:I61,2)</f>
        <v>NTH</v>
      </c>
      <c r="D15" s="1">
        <f>VLOOKUP($B15,[27]TrtCodes!$B$11:J61,3)</f>
        <v>9</v>
      </c>
      <c r="E15" s="1">
        <f>VLOOKUP($B15,[27]TrtCodes!$B$11:K61,4)</f>
        <v>2</v>
      </c>
      <c r="F15" s="1">
        <f>VLOOKUP($B15,[27]TrtCodes!$B$11:L61,5)</f>
        <v>2</v>
      </c>
      <c r="G15" s="1">
        <f>VLOOKUP($B15,[27]TrtCodes!$B$11:M61,6)</f>
        <v>2</v>
      </c>
      <c r="H15" s="1">
        <f>VLOOKUP($B15,[27]TrtCodes!$B$11:N61,7)</f>
        <v>2</v>
      </c>
      <c r="I15" s="1">
        <f>[27]FormattedData!B18</f>
        <v>1</v>
      </c>
      <c r="J15" s="4">
        <f>[27]FormattedData!C18</f>
        <v>12.88</v>
      </c>
      <c r="K15" s="6">
        <f>$J$3+[27]FormattedData!D18*$J$4+$M$4*$J$5+[27]FormattedData!D18^2*$J$6+$M$5*$J$7</f>
        <v>30.72415822945684</v>
      </c>
      <c r="L15" s="6">
        <f>$J$3+[27]FormattedData!E18*$J$4+$M$4*$J$5+[27]FormattedData!E18^2*$J$6+$M$5*$J$7</f>
        <v>31.691662446234403</v>
      </c>
      <c r="M15" s="6">
        <f>$J$3+[27]FormattedData!F18*$J$4+$M$4*$J$5+[27]FormattedData!F18^2*$J$6+$M$5*$J$7</f>
        <v>30.627175330820464</v>
      </c>
      <c r="N15" s="6">
        <f>$J$3+[27]FormattedData!G18*$J$4+$M$4*$J$5+[27]FormattedData!G18^2*$J$6+$M$5*$J$7</f>
        <v>30.530150163646152</v>
      </c>
      <c r="O15" s="6">
        <f>$J$3+[27]FormattedData!H18*$J$4+$M$4*$J$5+[27]FormattedData!H18^2*$J$6+$M$5*$J$7</f>
        <v>29.557573722316853</v>
      </c>
      <c r="P15" s="6">
        <f>$J$3+[27]FormattedData!I18*$J$4+$M$4*$J$5+[27]FormattedData!I18^2*$J$6+$M$5*$J$7</f>
        <v>29.94711152130375</v>
      </c>
      <c r="Q15" s="6">
        <f>$J$3+[27]FormattedData!J18*$J$4+$M$4*$J$5+[27]FormattedData!J18^2*$J$6+$M$5*$J$7</f>
        <v>30.530150163646152</v>
      </c>
      <c r="R15" s="6">
        <f>$J$3+[27]FormattedData!K18*$J$4+$M$4*$J$5+[27]FormattedData!K18^2*$J$6+$M$5*$J$7</f>
        <v>30.238821050895638</v>
      </c>
      <c r="S15" s="6">
        <f>$J$3+[27]FormattedData!L18*$J$4+$M$4*$J$5+[27]FormattedData!L18^2*$J$6+$M$5*$J$7</f>
        <v>29.94711152130375</v>
      </c>
      <c r="T15" s="6">
        <f>$J$3+[27]FormattedData!M18*$J$4+$M$4*$J$5+[27]FormattedData!M18^2*$J$6+$M$5*$J$7</f>
        <v>29.94711152130375</v>
      </c>
      <c r="U15" s="6">
        <f>$J$3+[27]FormattedData!N18*$J$4+$M$4*$J$5+[27]FormattedData!N18^2*$J$6+$M$5*$J$7</f>
        <v>30.044390299705643</v>
      </c>
      <c r="V15" s="6">
        <f>$J$3+[27]FormattedData!O18*$J$4+$M$4*$J$5+[27]FormattedData!O18^2*$J$6+$M$5*$J$7</f>
        <v>29.752427158886164</v>
      </c>
      <c r="W15" s="5">
        <f t="shared" si="0"/>
        <v>30.294820260793298</v>
      </c>
      <c r="X15" s="4">
        <f t="shared" si="1"/>
        <v>0.16567120861984508</v>
      </c>
      <c r="Y15" s="3">
        <f t="shared" si="2"/>
        <v>29.557573722316853</v>
      </c>
      <c r="Z15" s="2">
        <f t="shared" si="3"/>
        <v>29.94711152130375</v>
      </c>
      <c r="AA15" s="3">
        <f t="shared" si="4"/>
        <v>30.141605675300639</v>
      </c>
      <c r="AB15" s="2">
        <f t="shared" si="5"/>
        <v>30.554406455439729</v>
      </c>
      <c r="AC15" s="2">
        <f t="shared" si="6"/>
        <v>31.691662446234403</v>
      </c>
      <c r="AD15" s="2">
        <f t="shared" si="7"/>
        <v>1.2495556935652485</v>
      </c>
      <c r="AE15" s="2">
        <f t="shared" si="8"/>
        <v>2.1969669649402226</v>
      </c>
    </row>
    <row r="16" spans="1:35" x14ac:dyDescent="0.2">
      <c r="B16" s="1">
        <f>[27]FormattedData!A16</f>
        <v>107</v>
      </c>
      <c r="C16" s="1" t="str">
        <f>VLOOKUP($B16,[27]TrtCodes!$B$11:I59,2)</f>
        <v>NTL</v>
      </c>
      <c r="D16" s="1">
        <f>VLOOKUP($B16,[27]TrtCodes!$B$11:J59,3)</f>
        <v>10</v>
      </c>
      <c r="E16" s="1">
        <f>VLOOKUP($B16,[27]TrtCodes!$B$11:K59,4)</f>
        <v>2</v>
      </c>
      <c r="F16" s="1">
        <f>VLOOKUP($B16,[27]TrtCodes!$B$11:L59,5)</f>
        <v>2</v>
      </c>
      <c r="G16" s="1">
        <f>VLOOKUP($B16,[27]TrtCodes!$B$11:M59,6)</f>
        <v>1</v>
      </c>
      <c r="H16" s="1">
        <f>VLOOKUP($B16,[27]TrtCodes!$B$11:N59,7)</f>
        <v>2</v>
      </c>
      <c r="I16" s="1">
        <f>[27]FormattedData!B16</f>
        <v>1</v>
      </c>
      <c r="J16" s="4">
        <f>[27]FormattedData!C16</f>
        <v>12.865</v>
      </c>
      <c r="K16" s="6">
        <f>$J$3+[27]FormattedData!D16*$J$4+$M$4*$J$5+[27]FormattedData!D16^2*$J$6+$M$5*$J$7</f>
        <v>31.788180390953542</v>
      </c>
      <c r="L16" s="6">
        <f>$J$3+[27]FormattedData!E16*$J$4+$M$4*$J$5+[27]FormattedData!E16^2*$J$6+$M$5*$J$7</f>
        <v>31.788180390953542</v>
      </c>
      <c r="M16" s="6">
        <f>$J$3+[27]FormattedData!F16*$J$4+$M$4*$J$5+[27]FormattedData!F16^2*$J$6+$M$5*$J$7</f>
        <v>31.595102232977339</v>
      </c>
      <c r="N16" s="6">
        <f>$J$3+[27]FormattedData!G16*$J$4+$M$4*$J$5+[27]FormattedData!G16^2*$J$6+$M$5*$J$7</f>
        <v>32.07748061388336</v>
      </c>
      <c r="O16" s="6">
        <f>$J$3+[27]FormattedData!H16*$J$4+$M$4*$J$5+[27]FormattedData!H16^2*$J$6+$M$5*$J$7</f>
        <v>31.595102232977339</v>
      </c>
      <c r="P16" s="6">
        <f>$J$3+[27]FormattedData!I16*$J$4+$M$4*$J$5+[27]FormattedData!I16^2*$J$6+$M$5*$J$7</f>
        <v>31.401855000849412</v>
      </c>
      <c r="Q16" s="6">
        <f>$J$3+[27]FormattedData!J16*$J$4+$M$4*$J$5+[27]FormattedData!J16^2*$J$6+$M$5*$J$7</f>
        <v>31.884656067134749</v>
      </c>
      <c r="R16" s="6">
        <f>$J$3+[27]FormattedData!K16*$J$4+$M$4*$J$5+[27]FormattedData!K16^2*$J$6+$M$5*$J$7</f>
        <v>31.498499751182344</v>
      </c>
      <c r="S16" s="6">
        <f>$J$3+[27]FormattedData!L16*$J$4+$M$4*$J$5+[27]FormattedData!L16^2*$J$6+$M$5*$J$7</f>
        <v>31.014853314138382</v>
      </c>
      <c r="T16" s="6">
        <f>$J$3+[27]FormattedData!M16*$J$4+$M$4*$J$5+[27]FormattedData!M16^2*$J$6+$M$5*$J$7</f>
        <v>31.498499751182344</v>
      </c>
      <c r="U16" s="6">
        <f>$J$3+[27]FormattedData!N16*$J$4+$M$4*$J$5+[27]FormattedData!N16^2*$J$6+$M$5*$J$7</f>
        <v>30.238821050895638</v>
      </c>
      <c r="V16" s="6">
        <f>$J$3+[27]FormattedData!O16*$J$4+$M$4*$J$5+[27]FormattedData!O16^2*$J$6+$M$5*$J$7</f>
        <v>30.627175330820464</v>
      </c>
      <c r="W16" s="5">
        <f t="shared" si="0"/>
        <v>31.417367177329044</v>
      </c>
      <c r="X16" s="4">
        <f t="shared" si="1"/>
        <v>0.15523906753204322</v>
      </c>
      <c r="Y16" s="3">
        <f t="shared" si="2"/>
        <v>30.238821050895638</v>
      </c>
      <c r="Z16" s="2">
        <f t="shared" si="3"/>
        <v>31.305104579171655</v>
      </c>
      <c r="AA16" s="3">
        <f t="shared" si="4"/>
        <v>31.546800992079842</v>
      </c>
      <c r="AB16" s="2">
        <f t="shared" si="5"/>
        <v>31.788180390953542</v>
      </c>
      <c r="AC16" s="2">
        <f t="shared" si="6"/>
        <v>32.07748061388336</v>
      </c>
      <c r="AD16" s="2">
        <f t="shared" si="7"/>
        <v>-1.1866392615323078</v>
      </c>
      <c r="AE16" s="2">
        <f t="shared" si="8"/>
        <v>0.90854423917568194</v>
      </c>
    </row>
    <row r="17" spans="2:31" x14ac:dyDescent="0.2">
      <c r="B17" s="1">
        <f>[27]FormattedData!A14</f>
        <v>108</v>
      </c>
      <c r="C17" s="1" t="str">
        <f>VLOOKUP($B17,[27]TrtCodes!$B$11:I57,2)</f>
        <v>FTH</v>
      </c>
      <c r="D17" s="1">
        <f>VLOOKUP($B17,[27]TrtCodes!$B$11:J57,3)</f>
        <v>3</v>
      </c>
      <c r="E17" s="1">
        <f>VLOOKUP($B17,[27]TrtCodes!$B$11:K57,4)</f>
        <v>1</v>
      </c>
      <c r="F17" s="1">
        <f>VLOOKUP($B17,[27]TrtCodes!$B$11:L57,5)</f>
        <v>2</v>
      </c>
      <c r="G17" s="1">
        <f>VLOOKUP($B17,[27]TrtCodes!$B$11:M57,6)</f>
        <v>2</v>
      </c>
      <c r="H17" s="1">
        <f>VLOOKUP($B17,[27]TrtCodes!$B$11:N57,7)</f>
        <v>2</v>
      </c>
      <c r="I17" s="1">
        <f>[27]FormattedData!B14</f>
        <v>1</v>
      </c>
      <c r="J17" s="4">
        <f>[27]FormattedData!C14</f>
        <v>12.849</v>
      </c>
      <c r="K17" s="6">
        <f>$J$3+[27]FormattedData!D14*$J$4+$M$4*$J$5+[27]FormattedData!D14^2*$J$6+$M$5*$J$7</f>
        <v>33.326718985301071</v>
      </c>
      <c r="L17" s="6">
        <f>$J$3+[27]FormattedData!E14*$J$4+$M$4*$J$5+[27]FormattedData!E14^2*$J$6+$M$5*$J$7</f>
        <v>32.847088059360573</v>
      </c>
      <c r="M17" s="6">
        <f>$J$3+[27]FormattedData!F14*$J$4+$M$4*$J$5+[27]FormattedData!F14^2*$J$6+$M$5*$J$7</f>
        <v>31.98108947477802</v>
      </c>
      <c r="N17" s="6">
        <f>$J$3+[27]FormattedData!G14*$J$4+$M$4*$J$5+[27]FormattedData!G14^2*$J$6+$M$5*$J$7</f>
        <v>31.98108947477802</v>
      </c>
      <c r="O17" s="6">
        <f>$J$3+[27]FormattedData!H14*$J$4+$M$4*$J$5+[27]FormattedData!H14^2*$J$6+$M$5*$J$7</f>
        <v>32.751035068558679</v>
      </c>
      <c r="P17" s="6">
        <f>$J$3+[27]FormattedData!I14*$J$4+$M$4*$J$5+[27]FormattedData!I14^2*$J$6+$M$5*$J$7</f>
        <v>32.07748061388336</v>
      </c>
      <c r="Q17" s="6">
        <f>$J$3+[27]FormattedData!J14*$J$4+$M$4*$J$5+[27]FormattedData!J14^2*$J$6+$M$5*$J$7</f>
        <v>32.07748061388336</v>
      </c>
      <c r="R17" s="6">
        <f>$J$3+[27]FormattedData!K14*$J$4+$M$4*$J$5+[27]FormattedData!K14^2*$J$6+$M$5*$J$7</f>
        <v>31.788180390953542</v>
      </c>
      <c r="S17" s="6">
        <f>$J$3+[27]FormattedData!L14*$J$4+$M$4*$J$5+[27]FormattedData!L14^2*$J$6+$M$5*$J$7</f>
        <v>31.595102232977339</v>
      </c>
      <c r="T17" s="6">
        <f>$J$3+[27]FormattedData!M14*$J$4+$M$4*$J$5+[27]FormattedData!M14^2*$J$6+$M$5*$J$7</f>
        <v>31.788180390953542</v>
      </c>
      <c r="U17" s="6">
        <f>$J$3+[27]FormattedData!N14*$J$4+$M$4*$J$5+[27]FormattedData!N14^2*$J$6+$M$5*$J$7</f>
        <v>31.208438694569757</v>
      </c>
      <c r="V17" s="6">
        <f>$J$3+[27]FormattedData!O14*$J$4+$M$4*$J$5+[27]FormattedData!O14^2*$J$6+$M$5*$J$7</f>
        <v>31.401855000849412</v>
      </c>
      <c r="W17" s="5">
        <f t="shared" si="0"/>
        <v>32.06864491673722</v>
      </c>
      <c r="X17" s="4">
        <f t="shared" si="1"/>
        <v>0.17913925867646849</v>
      </c>
      <c r="Y17" s="3">
        <f t="shared" si="2"/>
        <v>31.208438694569757</v>
      </c>
      <c r="Z17" s="2">
        <f t="shared" si="3"/>
        <v>31.739910851459491</v>
      </c>
      <c r="AA17" s="3">
        <f t="shared" si="4"/>
        <v>31.98108947477802</v>
      </c>
      <c r="AB17" s="2">
        <f t="shared" si="5"/>
        <v>32.245869227552191</v>
      </c>
      <c r="AC17" s="2">
        <f t="shared" si="6"/>
        <v>33.326718985301071</v>
      </c>
      <c r="AD17" s="2">
        <f t="shared" si="7"/>
        <v>0.77426047138602117</v>
      </c>
      <c r="AE17" s="2">
        <f t="shared" si="8"/>
        <v>0.10769552606938326</v>
      </c>
    </row>
    <row r="18" spans="2:31" x14ac:dyDescent="0.2">
      <c r="B18" s="1">
        <f>[27]FormattedData!A30</f>
        <v>201</v>
      </c>
      <c r="C18" s="1" t="str">
        <f>VLOOKUP($B18,[27]TrtCodes!$B$11:I73,2)</f>
        <v>NDL</v>
      </c>
      <c r="D18" s="1">
        <f>VLOOKUP($B18,[27]TrtCodes!$B$11:J73,3)</f>
        <v>12</v>
      </c>
      <c r="E18" s="1">
        <f>VLOOKUP($B18,[27]TrtCodes!$B$11:K73,4)</f>
        <v>2</v>
      </c>
      <c r="F18" s="1">
        <f>VLOOKUP($B18,[27]TrtCodes!$B$11:L73,5)</f>
        <v>3</v>
      </c>
      <c r="G18" s="1">
        <f>VLOOKUP($B18,[27]TrtCodes!$B$11:M73,6)</f>
        <v>1</v>
      </c>
      <c r="H18" s="1">
        <f>VLOOKUP($B18,[27]TrtCodes!$B$11:N73,7)</f>
        <v>1</v>
      </c>
      <c r="I18" s="1">
        <f>[27]FormattedData!B30</f>
        <v>1</v>
      </c>
      <c r="J18" s="4">
        <f>[27]FormattedData!C30</f>
        <v>12.984999999999999</v>
      </c>
      <c r="K18" s="6">
        <f>$J$3+[27]FormattedData!D30*$J$4+$M$4*$J$5+[27]FormattedData!D30^2*$J$6+$M$5*$J$7</f>
        <v>31.691662446234403</v>
      </c>
      <c r="L18" s="6">
        <f>$J$3+[27]FormattedData!E30*$J$4+$M$4*$J$5+[27]FormattedData!E30^2*$J$6+$M$5*$J$7</f>
        <v>31.401855000849412</v>
      </c>
      <c r="M18" s="6">
        <f>$J$3+[27]FormattedData!F30*$J$4+$M$4*$J$5+[27]FormattedData!F30^2*$J$6+$M$5*$J$7</f>
        <v>31.691662446234403</v>
      </c>
      <c r="N18" s="6">
        <f>$J$3+[27]FormattedData!G30*$J$4+$M$4*$J$5+[27]FormattedData!G30^2*$J$6+$M$5*$J$7</f>
        <v>32.27013608648025</v>
      </c>
      <c r="O18" s="6">
        <f>$J$3+[27]FormattedData!H30*$J$4+$M$4*$J$5+[27]FormattedData!H30^2*$J$6+$M$5*$J$7</f>
        <v>31.014853314138382</v>
      </c>
      <c r="P18" s="6">
        <f>$J$3+[27]FormattedData!I30*$J$4+$M$4*$J$5+[27]FormattedData!I30^2*$J$6+$M$5*$J$7</f>
        <v>31.498499751182344</v>
      </c>
      <c r="Q18" s="6">
        <f>$J$3+[27]FormattedData!J30*$J$4+$M$4*$J$5+[27]FormattedData!J30^2*$J$6+$M$5*$J$7</f>
        <v>31.884656067134749</v>
      </c>
      <c r="R18" s="6">
        <f>$J$3+[27]FormattedData!K30*$J$4+$M$4*$J$5+[27]FormattedData!K30^2*$J$6+$M$5*$J$7</f>
        <v>33.230877337188829</v>
      </c>
      <c r="S18" s="6">
        <f>$J$3+[27]FormattedData!L30*$J$4+$M$4*$J$5+[27]FormattedData!L30^2*$J$6+$M$5*$J$7</f>
        <v>32.943098781624535</v>
      </c>
      <c r="T18" s="6">
        <f>$J$3+[27]FormattedData!M30*$J$4+$M$4*$J$5+[27]FormattedData!M30^2*$J$6+$M$5*$J$7</f>
        <v>31.884656067134749</v>
      </c>
      <c r="U18" s="6">
        <f>$J$3+[27]FormattedData!N30*$J$4+$M$4*$J$5+[27]FormattedData!N30^2*$J$6+$M$5*$J$7</f>
        <v>31.208438694569757</v>
      </c>
      <c r="V18" s="6">
        <f>$J$3+[27]FormattedData!O30*$J$4+$M$4*$J$5+[27]FormattedData!O30^2*$J$6+$M$5*$J$7</f>
        <v>32.27013608648025</v>
      </c>
      <c r="W18" s="5">
        <f t="shared" si="0"/>
        <v>31.915877673271009</v>
      </c>
      <c r="X18" s="4">
        <f t="shared" si="1"/>
        <v>0.19244515794168515</v>
      </c>
      <c r="Y18" s="3">
        <f t="shared" si="2"/>
        <v>31.014853314138382</v>
      </c>
      <c r="Z18" s="2">
        <f t="shared" si="3"/>
        <v>31.474338563599112</v>
      </c>
      <c r="AA18" s="3">
        <f t="shared" si="4"/>
        <v>31.788159256684576</v>
      </c>
      <c r="AB18" s="2">
        <f t="shared" si="5"/>
        <v>32.27013608648025</v>
      </c>
      <c r="AC18" s="2">
        <f t="shared" si="6"/>
        <v>33.230877337188829</v>
      </c>
      <c r="AD18" s="2">
        <f t="shared" si="7"/>
        <v>0.78431756987579082</v>
      </c>
      <c r="AE18" s="2">
        <f t="shared" si="8"/>
        <v>7.5307836007192819E-2</v>
      </c>
    </row>
    <row r="19" spans="2:31" x14ac:dyDescent="0.2">
      <c r="B19" s="1">
        <f>[27]FormattedData!A32</f>
        <v>202</v>
      </c>
      <c r="C19" s="1" t="str">
        <f>VLOOKUP($B19,[27]TrtCodes!$B$11:I75,2)</f>
        <v>NTH</v>
      </c>
      <c r="D19" s="1">
        <f>VLOOKUP($B19,[27]TrtCodes!$B$11:J75,3)</f>
        <v>9</v>
      </c>
      <c r="E19" s="1">
        <f>VLOOKUP($B19,[27]TrtCodes!$B$11:K75,4)</f>
        <v>2</v>
      </c>
      <c r="F19" s="1">
        <f>VLOOKUP($B19,[27]TrtCodes!$B$11:L75,5)</f>
        <v>2</v>
      </c>
      <c r="G19" s="1">
        <f>VLOOKUP($B19,[27]TrtCodes!$B$11:M75,6)</f>
        <v>2</v>
      </c>
      <c r="H19" s="1">
        <f>VLOOKUP($B19,[27]TrtCodes!$B$11:N75,7)</f>
        <v>1</v>
      </c>
      <c r="I19" s="1">
        <f>[27]FormattedData!B32</f>
        <v>1</v>
      </c>
      <c r="J19" s="4">
        <f>[27]FormattedData!C32</f>
        <v>12.999000000000001</v>
      </c>
      <c r="K19" s="6">
        <f>$J$3+[27]FormattedData!D32*$J$4+$M$4*$J$5+[27]FormattedData!D32^2*$J$6+$M$5*$J$7</f>
        <v>32.847088059360573</v>
      </c>
      <c r="L19" s="6">
        <f>$J$3+[27]FormattedData!E32*$J$4+$M$4*$J$5+[27]FormattedData!E32^2*$J$6+$M$5*$J$7</f>
        <v>32.847088059360573</v>
      </c>
      <c r="M19" s="6">
        <f>$J$3+[27]FormattedData!F32*$J$4+$M$4*$J$5+[27]FormattedData!F32^2*$J$6+$M$5*$J$7</f>
        <v>31.401855000849412</v>
      </c>
      <c r="N19" s="6">
        <f>$J$3+[27]FormattedData!G32*$J$4+$M$4*$J$5+[27]FormattedData!G32^2*$J$6+$M$5*$J$7</f>
        <v>30.917997221115801</v>
      </c>
      <c r="O19" s="6">
        <f>$J$3+[27]FormattedData!H32*$J$4+$M$4*$J$5+[27]FormattedData!H32^2*$J$6+$M$5*$J$7</f>
        <v>31.691662446234403</v>
      </c>
      <c r="P19" s="6">
        <f>$J$3+[27]FormattedData!I32*$J$4+$M$4*$J$5+[27]FormattedData!I32^2*$J$6+$M$5*$J$7</f>
        <v>30.627175330820464</v>
      </c>
      <c r="Q19" s="6">
        <f>$J$3+[27]FormattedData!J32*$J$4+$M$4*$J$5+[27]FormattedData!J32^2*$J$6+$M$5*$J$7</f>
        <v>30.530150163646152</v>
      </c>
      <c r="R19" s="6">
        <f>$J$3+[27]FormattedData!K32*$J$4+$M$4*$J$5+[27]FormattedData!K32^2*$J$6+$M$5*$J$7</f>
        <v>30.141626809569608</v>
      </c>
      <c r="S19" s="6">
        <f>$J$3+[27]FormattedData!L32*$J$4+$M$4*$J$5+[27]FormattedData!L32^2*$J$6+$M$5*$J$7</f>
        <v>30.044390299705643</v>
      </c>
      <c r="T19" s="6">
        <f>$J$3+[27]FormattedData!M32*$J$4+$M$4*$J$5+[27]FormattedData!M32^2*$J$6+$M$5*$J$7</f>
        <v>30.917997221115801</v>
      </c>
      <c r="U19" s="6">
        <f>$J$3+[27]FormattedData!N32*$J$4+$M$4*$J$5+[27]FormattedData!N32^2*$J$6+$M$5*$J$7</f>
        <v>30.044390299705643</v>
      </c>
      <c r="V19" s="6">
        <f>$J$3+[27]FormattedData!O32*$J$4+$M$4*$J$5+[27]FormattedData!O32^2*$J$6+$M$5*$J$7</f>
        <v>31.691662446234403</v>
      </c>
      <c r="W19" s="5">
        <f t="shared" si="0"/>
        <v>31.141923613143206</v>
      </c>
      <c r="X19" s="4">
        <f t="shared" si="1"/>
        <v>0.28386446459141812</v>
      </c>
      <c r="Y19" s="3">
        <f t="shared" si="2"/>
        <v>30.044390299705643</v>
      </c>
      <c r="Z19" s="2">
        <f t="shared" si="3"/>
        <v>30.433019325127017</v>
      </c>
      <c r="AA19" s="3">
        <f t="shared" si="4"/>
        <v>30.917997221115801</v>
      </c>
      <c r="AB19" s="2">
        <f t="shared" si="5"/>
        <v>31.691662446234403</v>
      </c>
      <c r="AC19" s="2">
        <f t="shared" si="6"/>
        <v>32.847088059360573</v>
      </c>
      <c r="AD19" s="2">
        <f t="shared" si="7"/>
        <v>0.71510296850485922</v>
      </c>
      <c r="AE19" s="2">
        <f t="shared" si="8"/>
        <v>-0.45811525918692064</v>
      </c>
    </row>
    <row r="20" spans="2:31" x14ac:dyDescent="0.2">
      <c r="B20" s="1">
        <f>[27]FormattedData!A34</f>
        <v>203</v>
      </c>
      <c r="C20" s="1" t="str">
        <f>VLOOKUP($B20,[27]TrtCodes!$B$11:I77,2)</f>
        <v>FTH</v>
      </c>
      <c r="D20" s="1">
        <f>VLOOKUP($B20,[27]TrtCodes!$B$11:J77,3)</f>
        <v>3</v>
      </c>
      <c r="E20" s="1">
        <f>VLOOKUP($B20,[27]TrtCodes!$B$11:K77,4)</f>
        <v>1</v>
      </c>
      <c r="F20" s="1">
        <f>VLOOKUP($B20,[27]TrtCodes!$B$11:L77,5)</f>
        <v>2</v>
      </c>
      <c r="G20" s="1">
        <f>VLOOKUP($B20,[27]TrtCodes!$B$11:M77,6)</f>
        <v>2</v>
      </c>
      <c r="H20" s="1">
        <f>VLOOKUP($B20,[27]TrtCodes!$B$11:N77,7)</f>
        <v>1</v>
      </c>
      <c r="I20" s="1">
        <f>[27]FormattedData!B34</f>
        <v>1</v>
      </c>
      <c r="J20" s="4">
        <f>[27]FormattedData!C34</f>
        <v>13.013</v>
      </c>
      <c r="K20" s="6">
        <f>$J$3+[27]FormattedData!D34*$J$4+$M$4*$J$5+[27]FormattedData!D34^2*$J$6+$M$5*$J$7</f>
        <v>31.014853314138382</v>
      </c>
      <c r="L20" s="6">
        <f>$J$3+[27]FormattedData!E34*$J$4+$M$4*$J$5+[27]FormattedData!E34^2*$J$6+$M$5*$J$7</f>
        <v>31.111667138623041</v>
      </c>
      <c r="M20" s="6">
        <f>$J$3+[27]FormattedData!F34*$J$4+$M$4*$J$5+[27]FormattedData!F34^2*$J$6+$M$5*$J$7</f>
        <v>31.401855000849412</v>
      </c>
      <c r="N20" s="6">
        <f>$J$3+[27]FormattedData!G34*$J$4+$M$4*$J$5+[27]FormattedData!G34^2*$J$6+$M$5*$J$7</f>
        <v>31.014853314138382</v>
      </c>
      <c r="O20" s="6">
        <f>$J$3+[27]FormattedData!H34*$J$4+$M$4*$J$5+[27]FormattedData!H34^2*$J$6+$M$5*$J$7</f>
        <v>31.208438694569757</v>
      </c>
      <c r="P20" s="6">
        <f>$J$3+[27]FormattedData!I34*$J$4+$M$4*$J$5+[27]FormattedData!I34^2*$J$6+$M$5*$J$7</f>
        <v>31.208438694569757</v>
      </c>
      <c r="Q20" s="6">
        <f>$J$3+[27]FormattedData!J34*$J$4+$M$4*$J$5+[27]FormattedData!J34^2*$J$6+$M$5*$J$7</f>
        <v>31.401855000849412</v>
      </c>
      <c r="R20" s="6">
        <f>$J$3+[27]FormattedData!K34*$J$4+$M$4*$J$5+[27]FormattedData!K34^2*$J$6+$M$5*$J$7</f>
        <v>31.884656067134749</v>
      </c>
      <c r="S20" s="6">
        <f>$J$3+[27]FormattedData!L34*$J$4+$M$4*$J$5+[27]FormattedData!L34^2*$J$6+$M$5*$J$7</f>
        <v>31.595102232977339</v>
      </c>
      <c r="T20" s="6">
        <f>$J$3+[27]FormattedData!M34*$J$4+$M$4*$J$5+[27]FormattedData!M34^2*$J$6+$M$5*$J$7</f>
        <v>31.305167981978556</v>
      </c>
      <c r="U20" s="6">
        <f>$J$3+[27]FormattedData!N34*$J$4+$M$4*$J$5+[27]FormattedData!N34^2*$J$6+$M$5*$J$7</f>
        <v>30.917997221115801</v>
      </c>
      <c r="V20" s="6">
        <f>$J$3+[27]FormattedData!O34*$J$4+$M$4*$J$5+[27]FormattedData!O34^2*$J$6+$M$5*$J$7</f>
        <v>30.72415822945684</v>
      </c>
      <c r="W20" s="5">
        <f t="shared" si="0"/>
        <v>31.232420240866791</v>
      </c>
      <c r="X20" s="4">
        <f t="shared" si="1"/>
        <v>9.0756613154038504E-2</v>
      </c>
      <c r="Y20" s="3">
        <f t="shared" si="2"/>
        <v>30.72415822945684</v>
      </c>
      <c r="Z20" s="2">
        <f t="shared" si="3"/>
        <v>31.014853314138382</v>
      </c>
      <c r="AA20" s="3">
        <f t="shared" si="4"/>
        <v>31.208438694569757</v>
      </c>
      <c r="AB20" s="2">
        <f t="shared" si="5"/>
        <v>31.401855000849412</v>
      </c>
      <c r="AC20" s="2">
        <f t="shared" si="6"/>
        <v>31.884656067134749</v>
      </c>
      <c r="AD20" s="2">
        <f t="shared" si="7"/>
        <v>0.5284128988793142</v>
      </c>
      <c r="AE20" s="2">
        <f t="shared" si="8"/>
        <v>0.50150413661277238</v>
      </c>
    </row>
    <row r="21" spans="2:31" x14ac:dyDescent="0.2">
      <c r="B21" s="1">
        <f>[27]FormattedData!A36</f>
        <v>204</v>
      </c>
      <c r="C21" s="1" t="str">
        <f>VLOOKUP($B21,[27]TrtCodes!$B$11:I79,2)</f>
        <v>NDH</v>
      </c>
      <c r="D21" s="1">
        <f>VLOOKUP($B21,[27]TrtCodes!$B$11:J79,3)</f>
        <v>11</v>
      </c>
      <c r="E21" s="1">
        <f>VLOOKUP($B21,[27]TrtCodes!$B$11:K79,4)</f>
        <v>2</v>
      </c>
      <c r="F21" s="1">
        <f>VLOOKUP($B21,[27]TrtCodes!$B$11:L79,5)</f>
        <v>3</v>
      </c>
      <c r="G21" s="1">
        <f>VLOOKUP($B21,[27]TrtCodes!$B$11:M79,6)</f>
        <v>2</v>
      </c>
      <c r="H21" s="1">
        <f>VLOOKUP($B21,[27]TrtCodes!$B$11:N79,7)</f>
        <v>1</v>
      </c>
      <c r="I21" s="1">
        <f>[27]FormattedData!B36</f>
        <v>1</v>
      </c>
      <c r="J21" s="4">
        <f>[27]FormattedData!C36</f>
        <v>13.03</v>
      </c>
      <c r="K21" s="6">
        <f>$J$3+[27]FormattedData!D36*$J$4+$M$4*$J$5+[27]FormattedData!D36^2*$J$6+$M$5*$J$7</f>
        <v>31.111667138623041</v>
      </c>
      <c r="L21" s="6">
        <f>$J$3+[27]FormattedData!E36*$J$4+$M$4*$J$5+[27]FormattedData!E36^2*$J$6+$M$5*$J$7</f>
        <v>31.401855000849412</v>
      </c>
      <c r="M21" s="6">
        <f>$J$3+[27]FormattedData!F36*$J$4+$M$4*$J$5+[27]FormattedData!F36^2*$J$6+$M$5*$J$7</f>
        <v>31.595102232977339</v>
      </c>
      <c r="N21" s="6">
        <f>$J$3+[27]FormattedData!G36*$J$4+$M$4*$J$5+[27]FormattedData!G36^2*$J$6+$M$5*$J$7</f>
        <v>31.884656067134749</v>
      </c>
      <c r="O21" s="6">
        <f>$J$3+[27]FormattedData!H36*$J$4+$M$4*$J$5+[27]FormattedData!H36^2*$J$6+$M$5*$J$7</f>
        <v>31.788180390953542</v>
      </c>
      <c r="P21" s="6">
        <f>$J$3+[27]FormattedData!I36*$J$4+$M$4*$J$5+[27]FormattedData!I36^2*$J$6+$M$5*$J$7</f>
        <v>30.917997221115801</v>
      </c>
      <c r="Q21" s="6">
        <f>$J$3+[27]FormattedData!J36*$J$4+$M$4*$J$5+[27]FormattedData!J36^2*$J$6+$M$5*$J$7</f>
        <v>31.111667138623041</v>
      </c>
      <c r="R21" s="6">
        <f>$J$3+[27]FormattedData!K36*$J$4+$M$4*$J$5+[27]FormattedData!K36^2*$J$6+$M$5*$J$7</f>
        <v>31.111667138623041</v>
      </c>
      <c r="S21" s="6">
        <f>$J$3+[27]FormattedData!L36*$J$4+$M$4*$J$5+[27]FormattedData!L36^2*$J$6+$M$5*$J$7</f>
        <v>31.305167981978556</v>
      </c>
      <c r="T21" s="6">
        <f>$J$3+[27]FormattedData!M36*$J$4+$M$4*$J$5+[27]FormattedData!M36^2*$J$6+$M$5*$J$7</f>
        <v>31.305167981978556</v>
      </c>
      <c r="U21" s="6">
        <f>$J$3+[27]FormattedData!N36*$J$4+$M$4*$J$5+[27]FormattedData!N36^2*$J$6+$M$5*$J$7</f>
        <v>31.401855000849412</v>
      </c>
      <c r="V21" s="6">
        <f>$J$3+[27]FormattedData!O36*$J$4+$M$4*$J$5+[27]FormattedData!O36^2*$J$6+$M$5*$J$7</f>
        <v>31.595102232977339</v>
      </c>
      <c r="W21" s="5">
        <f t="shared" si="0"/>
        <v>31.377507127223655</v>
      </c>
      <c r="X21" s="4">
        <f t="shared" si="1"/>
        <v>8.5074006601114111E-2</v>
      </c>
      <c r="Y21" s="3">
        <f t="shared" si="2"/>
        <v>30.917997221115801</v>
      </c>
      <c r="Z21" s="2">
        <f t="shared" si="3"/>
        <v>31.111667138623041</v>
      </c>
      <c r="AA21" s="3">
        <f t="shared" si="4"/>
        <v>31.353511491413983</v>
      </c>
      <c r="AB21" s="2">
        <f t="shared" si="5"/>
        <v>31.595102232977339</v>
      </c>
      <c r="AC21" s="2">
        <f t="shared" si="6"/>
        <v>31.884656067134749</v>
      </c>
      <c r="AD21" s="2">
        <f t="shared" si="7"/>
        <v>0.28211055810983471</v>
      </c>
      <c r="AE21" s="2">
        <f t="shared" si="8"/>
        <v>-0.71804599469952723</v>
      </c>
    </row>
    <row r="22" spans="2:31" x14ac:dyDescent="0.2">
      <c r="B22" s="1">
        <f>[27]FormattedData!A38</f>
        <v>205</v>
      </c>
      <c r="C22" s="1" t="str">
        <f>VLOOKUP($B22,[27]TrtCodes!$B$11:I81,2)</f>
        <v>FSH</v>
      </c>
      <c r="D22" s="1">
        <f>VLOOKUP($B22,[27]TrtCodes!$B$11:J81,3)</f>
        <v>1</v>
      </c>
      <c r="E22" s="1">
        <f>VLOOKUP($B22,[27]TrtCodes!$B$11:K81,4)</f>
        <v>1</v>
      </c>
      <c r="F22" s="1">
        <f>VLOOKUP($B22,[27]TrtCodes!$B$11:L81,5)</f>
        <v>1</v>
      </c>
      <c r="G22" s="1">
        <f>VLOOKUP($B22,[27]TrtCodes!$B$11:M81,6)</f>
        <v>2</v>
      </c>
      <c r="H22" s="1">
        <f>VLOOKUP($B22,[27]TrtCodes!$B$11:N81,7)</f>
        <v>2</v>
      </c>
      <c r="I22" s="1">
        <f>[27]FormattedData!B38</f>
        <v>1</v>
      </c>
      <c r="J22" s="4">
        <f>[27]FormattedData!C38</f>
        <v>13.05</v>
      </c>
      <c r="K22" s="6">
        <f>$J$3+[27]FormattedData!D38*$J$4+$M$4*$J$5+[27]FormattedData!D38^2*$J$6+$M$5*$J$7</f>
        <v>31.208438694569757</v>
      </c>
      <c r="L22" s="6">
        <f>$J$3+[27]FormattedData!E38*$J$4+$M$4*$J$5+[27]FormattedData!E38^2*$J$6+$M$5*$J$7</f>
        <v>31.884656067134749</v>
      </c>
      <c r="M22" s="6">
        <f>$J$3+[27]FormattedData!F38*$J$4+$M$4*$J$5+[27]FormattedData!F38^2*$J$6+$M$5*$J$7</f>
        <v>32.173829484450764</v>
      </c>
      <c r="N22" s="6">
        <f>$J$3+[27]FormattedData!G38*$J$4+$M$4*$J$5+[27]FormattedData!G38^2*$J$6+$M$5*$J$7</f>
        <v>31.884656067134749</v>
      </c>
      <c r="O22" s="6">
        <f>$J$3+[27]FormattedData!H38*$J$4+$M$4*$J$5+[27]FormattedData!H38^2*$J$6+$M$5*$J$7</f>
        <v>31.208438694569757</v>
      </c>
      <c r="P22" s="6">
        <f>$J$3+[27]FormattedData!I38*$J$4+$M$4*$J$5+[27]FormattedData!I38^2*$J$6+$M$5*$J$7</f>
        <v>31.401855000849412</v>
      </c>
      <c r="Q22" s="6">
        <f>$J$3+[27]FormattedData!J38*$J$4+$M$4*$J$5+[27]FormattedData!J38^2*$J$6+$M$5*$J$7</f>
        <v>31.788180390953542</v>
      </c>
      <c r="R22" s="6">
        <f>$J$3+[27]FormattedData!K38*$J$4+$M$4*$J$5+[27]FormattedData!K38^2*$J$6+$M$5*$J$7</f>
        <v>31.691662446234403</v>
      </c>
      <c r="S22" s="6">
        <f>$J$3+[27]FormattedData!L38*$J$4+$M$4*$J$5+[27]FormattedData!L38^2*$J$6+$M$5*$J$7</f>
        <v>31.884656067134749</v>
      </c>
      <c r="T22" s="6">
        <f>$J$3+[27]FormattedData!M38*$J$4+$M$4*$J$5+[27]FormattedData!M38^2*$J$6+$M$5*$J$7</f>
        <v>31.208438694569757</v>
      </c>
      <c r="U22" s="6">
        <f>$J$3+[27]FormattedData!N38*$J$4+$M$4*$J$5+[27]FormattedData!N38^2*$J$6+$M$5*$J$7</f>
        <v>30.72415822945684</v>
      </c>
      <c r="V22" s="6">
        <f>$J$3+[27]FormattedData!O38*$J$4+$M$4*$J$5+[27]FormattedData!O38^2*$J$6+$M$5*$J$7</f>
        <v>31.111667138623041</v>
      </c>
      <c r="W22" s="5">
        <f t="shared" si="0"/>
        <v>31.51421974797346</v>
      </c>
      <c r="X22" s="4">
        <f t="shared" si="1"/>
        <v>0.12409284005482148</v>
      </c>
      <c r="Y22" s="3">
        <f t="shared" si="2"/>
        <v>30.72415822945684</v>
      </c>
      <c r="Z22" s="2">
        <f t="shared" si="3"/>
        <v>31.208438694569757</v>
      </c>
      <c r="AA22" s="3">
        <f t="shared" si="4"/>
        <v>31.546758723541906</v>
      </c>
      <c r="AB22" s="2">
        <f t="shared" si="5"/>
        <v>31.884656067134749</v>
      </c>
      <c r="AC22" s="2">
        <f t="shared" si="6"/>
        <v>32.173829484450764</v>
      </c>
      <c r="AD22" s="2">
        <f t="shared" si="7"/>
        <v>-0.24712754645457702</v>
      </c>
      <c r="AE22" s="2">
        <f t="shared" si="8"/>
        <v>-0.82760423471475519</v>
      </c>
    </row>
    <row r="23" spans="2:31" x14ac:dyDescent="0.2">
      <c r="B23" s="1">
        <f>[27]FormattedData!A40</f>
        <v>206</v>
      </c>
      <c r="C23" s="1" t="str">
        <f>VLOOKUP($B23,[27]TrtCodes!$B$11:I83,2)</f>
        <v>NSL</v>
      </c>
      <c r="D23" s="1">
        <f>VLOOKUP($B23,[27]TrtCodes!$B$11:J83,3)</f>
        <v>8</v>
      </c>
      <c r="E23" s="1">
        <f>VLOOKUP($B23,[27]TrtCodes!$B$11:K83,4)</f>
        <v>2</v>
      </c>
      <c r="F23" s="1">
        <f>VLOOKUP($B23,[27]TrtCodes!$B$11:L83,5)</f>
        <v>1</v>
      </c>
      <c r="G23" s="1">
        <f>VLOOKUP($B23,[27]TrtCodes!$B$11:M83,6)</f>
        <v>1</v>
      </c>
      <c r="H23" s="1">
        <f>VLOOKUP($B23,[27]TrtCodes!$B$11:N83,7)</f>
        <v>2</v>
      </c>
      <c r="I23" s="1">
        <f>[27]FormattedData!B40</f>
        <v>1</v>
      </c>
      <c r="J23" s="4">
        <f>[27]FormattedData!C40</f>
        <v>13.067</v>
      </c>
      <c r="K23" s="6">
        <f>$J$3+[27]FormattedData!D40*$J$4+$M$4*$J$5+[27]FormattedData!D40^2*$J$6+$M$5*$J$7</f>
        <v>29.362551211595822</v>
      </c>
      <c r="L23" s="6">
        <f>$J$3+[27]FormattedData!E40*$J$4+$M$4*$J$5+[27]FormattedData!E40^2*$J$6+$M$5*$J$7</f>
        <v>29.167359626723066</v>
      </c>
      <c r="M23" s="6">
        <f>$J$3+[27]FormattedData!F40*$J$4+$M$4*$J$5+[27]FormattedData!F40^2*$J$6+$M$5*$J$7</f>
        <v>29.557573722316853</v>
      </c>
      <c r="N23" s="6">
        <f>$J$3+[27]FormattedData!G40*$J$4+$M$4*$J$5+[27]FormattedData!G40^2*$J$6+$M$5*$J$7</f>
        <v>29.460083601225307</v>
      </c>
      <c r="O23" s="6">
        <f>$J$3+[27]FormattedData!H40*$J$4+$M$4*$J$5+[27]FormattedData!H40^2*$J$6+$M$5*$J$7</f>
        <v>30.530150163646152</v>
      </c>
      <c r="P23" s="6">
        <f>$J$3+[27]FormattedData!I40*$J$4+$M$4*$J$5+[27]FormattedData!I40^2*$J$6+$M$5*$J$7</f>
        <v>30.821098859555288</v>
      </c>
      <c r="Q23" s="6">
        <f>$J$3+[27]FormattedData!J40*$J$4+$M$4*$J$5+[27]FormattedData!J40^2*$J$6+$M$5*$J$7</f>
        <v>29.557573722316853</v>
      </c>
      <c r="R23" s="6">
        <f>$J$3+[27]FormattedData!K40*$J$4+$M$4*$J$5+[27]FormattedData!K40^2*$J$6+$M$5*$J$7</f>
        <v>29.94711152130375</v>
      </c>
      <c r="S23" s="6">
        <f>$J$3+[27]FormattedData!L40*$J$4+$M$4*$J$5+[27]FormattedData!L40^2*$J$6+$M$5*$J$7</f>
        <v>29.94711152130375</v>
      </c>
      <c r="T23" s="6">
        <f>$J$3+[27]FormattedData!M40*$J$4+$M$4*$J$5+[27]FormattedData!M40^2*$J$6+$M$5*$J$7</f>
        <v>30.335973023683746</v>
      </c>
      <c r="U23" s="6">
        <f>$J$3+[27]FormattedData!N40*$J$4+$M$4*$J$5+[27]FormattedData!N40^2*$J$6+$M$5*$J$7</f>
        <v>30.627175330820464</v>
      </c>
      <c r="V23" s="6">
        <f>$J$3+[27]FormattedData!O40*$J$4+$M$4*$J$5+[27]FormattedData!O40^2*$J$6+$M$5*$J$7</f>
        <v>30.335973023683746</v>
      </c>
      <c r="W23" s="5">
        <f t="shared" si="0"/>
        <v>29.970811277347895</v>
      </c>
      <c r="X23" s="4">
        <f t="shared" si="1"/>
        <v>0.15936332766844014</v>
      </c>
      <c r="Y23" s="3">
        <f t="shared" si="2"/>
        <v>29.167359626723066</v>
      </c>
      <c r="Z23" s="2">
        <f t="shared" si="3"/>
        <v>29.533201192043968</v>
      </c>
      <c r="AA23" s="3">
        <f t="shared" si="4"/>
        <v>29.94711152130375</v>
      </c>
      <c r="AB23" s="2">
        <f t="shared" si="5"/>
        <v>30.384517308674347</v>
      </c>
      <c r="AC23" s="2">
        <f t="shared" si="6"/>
        <v>30.821098859555288</v>
      </c>
      <c r="AD23" s="2">
        <f t="shared" si="7"/>
        <v>9.8440744466673905E-2</v>
      </c>
      <c r="AE23" s="2">
        <f t="shared" si="8"/>
        <v>-1.4516243831310471</v>
      </c>
    </row>
    <row r="24" spans="2:31" x14ac:dyDescent="0.2">
      <c r="B24" s="1">
        <f>[27]FormattedData!A42</f>
        <v>207</v>
      </c>
      <c r="C24" s="1" t="str">
        <f>VLOOKUP($B24,[27]TrtCodes!$B$11:I85,2)</f>
        <v>FTL</v>
      </c>
      <c r="D24" s="1">
        <f>VLOOKUP($B24,[27]TrtCodes!$B$11:J85,3)</f>
        <v>4</v>
      </c>
      <c r="E24" s="1">
        <f>VLOOKUP($B24,[27]TrtCodes!$B$11:K85,4)</f>
        <v>1</v>
      </c>
      <c r="F24" s="1">
        <f>VLOOKUP($B24,[27]TrtCodes!$B$11:L85,5)</f>
        <v>2</v>
      </c>
      <c r="G24" s="1">
        <f>VLOOKUP($B24,[27]TrtCodes!$B$11:M85,6)</f>
        <v>1</v>
      </c>
      <c r="H24" s="1">
        <f>VLOOKUP($B24,[27]TrtCodes!$B$11:N85,7)</f>
        <v>2</v>
      </c>
      <c r="I24" s="1">
        <f>[27]FormattedData!B42</f>
        <v>1</v>
      </c>
      <c r="J24" s="4">
        <f>[27]FormattedData!C42</f>
        <v>13.083</v>
      </c>
      <c r="K24" s="6">
        <f>$J$3+[27]FormattedData!D42*$J$4+$M$4*$J$5+[27]FormattedData!D42^2*$J$6+$M$5*$J$7</f>
        <v>30.72415822945684</v>
      </c>
      <c r="L24" s="6">
        <f>$J$3+[27]FormattedData!E42*$J$4+$M$4*$J$5+[27]FormattedData!E42^2*$J$6+$M$5*$J$7</f>
        <v>31.401855000849412</v>
      </c>
      <c r="M24" s="6">
        <f>$J$3+[27]FormattedData!F42*$J$4+$M$4*$J$5+[27]FormattedData!F42^2*$J$6+$M$5*$J$7</f>
        <v>31.401855000849412</v>
      </c>
      <c r="N24" s="6">
        <f>$J$3+[27]FormattedData!G42*$J$4+$M$4*$J$5+[27]FormattedData!G42^2*$J$6+$M$5*$J$7</f>
        <v>30.627175330820464</v>
      </c>
      <c r="O24" s="6">
        <f>$J$3+[27]FormattedData!H42*$J$4+$M$4*$J$5+[27]FormattedData!H42^2*$J$6+$M$5*$J$7</f>
        <v>30.627175330820464</v>
      </c>
      <c r="P24" s="6">
        <f>$J$3+[27]FormattedData!I42*$J$4+$M$4*$J$5+[27]FormattedData!I42^2*$J$6+$M$5*$J$7</f>
        <v>30.72415822945684</v>
      </c>
      <c r="Q24" s="6">
        <f>$J$3+[27]FormattedData!J42*$J$4+$M$4*$J$5+[27]FormattedData!J42^2*$J$6+$M$5*$J$7</f>
        <v>30.335973023683746</v>
      </c>
      <c r="R24" s="6">
        <f>$J$3+[27]FormattedData!K42*$J$4+$M$4*$J$5+[27]FormattedData!K42^2*$J$6+$M$5*$J$7</f>
        <v>30.627175330820464</v>
      </c>
      <c r="S24" s="6">
        <f>$J$3+[27]FormattedData!L42*$J$4+$M$4*$J$5+[27]FormattedData!L42^2*$J$6+$M$5*$J$7</f>
        <v>29.849790474363928</v>
      </c>
      <c r="T24" s="6">
        <f>$J$3+[27]FormattedData!M42*$J$4+$M$4*$J$5+[27]FormattedData!M42^2*$J$6+$M$5*$J$7</f>
        <v>31.498499751182344</v>
      </c>
      <c r="U24" s="6">
        <f>$J$3+[27]FormattedData!N42*$J$4+$M$4*$J$5+[27]FormattedData!N42^2*$J$6+$M$5*$J$7</f>
        <v>29.752427158886164</v>
      </c>
      <c r="V24" s="6">
        <f>$J$3+[27]FormattedData!O42*$J$4+$M$4*$J$5+[27]FormattedData!O42^2*$J$6+$M$5*$J$7</f>
        <v>30.530150163646152</v>
      </c>
      <c r="W24" s="5">
        <f t="shared" si="0"/>
        <v>30.675032752069693</v>
      </c>
      <c r="X24" s="4">
        <f t="shared" si="1"/>
        <v>0.16083388395166168</v>
      </c>
      <c r="Y24" s="3">
        <f t="shared" si="2"/>
        <v>29.752427158886164</v>
      </c>
      <c r="Z24" s="2">
        <f t="shared" si="3"/>
        <v>30.48160587865555</v>
      </c>
      <c r="AA24" s="3">
        <f t="shared" si="4"/>
        <v>30.627175330820464</v>
      </c>
      <c r="AB24" s="2">
        <f t="shared" si="5"/>
        <v>30.893582422304984</v>
      </c>
      <c r="AC24" s="2">
        <f t="shared" si="6"/>
        <v>31.498499751182344</v>
      </c>
      <c r="AD24" s="2">
        <f t="shared" si="7"/>
        <v>-3.9825640344103241E-2</v>
      </c>
      <c r="AE24" s="2">
        <f t="shared" si="8"/>
        <v>-0.40284118438974126</v>
      </c>
    </row>
    <row r="25" spans="2:31" x14ac:dyDescent="0.2">
      <c r="B25" s="1">
        <f>[27]FormattedData!A44</f>
        <v>208</v>
      </c>
      <c r="C25" s="1" t="str">
        <f>VLOOKUP($B25,[27]TrtCodes!$B$11:I87,2)</f>
        <v>FSL</v>
      </c>
      <c r="D25" s="1">
        <f>VLOOKUP($B25,[27]TrtCodes!$B$11:J87,3)</f>
        <v>2</v>
      </c>
      <c r="E25" s="1">
        <f>VLOOKUP($B25,[27]TrtCodes!$B$11:K87,4)</f>
        <v>1</v>
      </c>
      <c r="F25" s="1">
        <f>VLOOKUP($B25,[27]TrtCodes!$B$11:L87,5)</f>
        <v>1</v>
      </c>
      <c r="G25" s="1">
        <f>VLOOKUP($B25,[27]TrtCodes!$B$11:M87,6)</f>
        <v>1</v>
      </c>
      <c r="H25" s="1">
        <f>VLOOKUP($B25,[27]TrtCodes!$B$11:N87,7)</f>
        <v>2</v>
      </c>
      <c r="I25" s="1">
        <f>[27]FormattedData!B44</f>
        <v>1</v>
      </c>
      <c r="J25" s="4">
        <f>[27]FormattedData!C44</f>
        <v>13.1</v>
      </c>
      <c r="K25" s="6">
        <f>$J$3+[27]FormattedData!D44*$J$4+$M$4*$J$5+[27]FormattedData!D44^2*$J$6+$M$5*$J$7</f>
        <v>33.134993420538663</v>
      </c>
      <c r="L25" s="6">
        <f>$J$3+[27]FormattedData!E44*$J$4+$M$4*$J$5+[27]FormattedData!E44^2*$J$6+$M$5*$J$7</f>
        <v>31.014853314138382</v>
      </c>
      <c r="M25" s="6">
        <f>$J$3+[27]FormattedData!F44*$J$4+$M$4*$J$5+[27]FormattedData!F44^2*$J$6+$M$5*$J$7</f>
        <v>30.433082727933915</v>
      </c>
      <c r="N25" s="6">
        <f>$J$3+[27]FormattedData!G44*$J$4+$M$4*$J$5+[27]FormattedData!G44^2*$J$6+$M$5*$J$7</f>
        <v>30.821098859555288</v>
      </c>
      <c r="O25" s="6">
        <f>$J$3+[27]FormattedData!H44*$J$4+$M$4*$J$5+[27]FormattedData!H44^2*$J$6+$M$5*$J$7</f>
        <v>30.044390299705643</v>
      </c>
      <c r="P25" s="6">
        <f>$J$3+[27]FormattedData!I44*$J$4+$M$4*$J$5+[27]FormattedData!I44^2*$J$6+$M$5*$J$7</f>
        <v>31.305167981978556</v>
      </c>
      <c r="Q25" s="6">
        <f>$J$3+[27]FormattedData!J44*$J$4+$M$4*$J$5+[27]FormattedData!J44^2*$J$6+$M$5*$J$7</f>
        <v>30.530150163646152</v>
      </c>
      <c r="R25" s="6">
        <f>$J$3+[27]FormattedData!K44*$J$4+$M$4*$J$5+[27]FormattedData!K44^2*$J$6+$M$5*$J$7</f>
        <v>31.014853314138382</v>
      </c>
      <c r="S25" s="6">
        <f>$J$3+[27]FormattedData!L44*$J$4+$M$4*$J$5+[27]FormattedData!L44^2*$J$6+$M$5*$J$7</f>
        <v>31.691662446234403</v>
      </c>
      <c r="T25" s="6">
        <f>$J$3+[27]FormattedData!M44*$J$4+$M$4*$J$5+[27]FormattedData!M44^2*$J$6+$M$5*$J$7</f>
        <v>32.751035068558679</v>
      </c>
      <c r="U25" s="6">
        <f>$J$3+[27]FormattedData!N44*$J$4+$M$4*$J$5+[27]FormattedData!N44^2*$J$6+$M$5*$J$7</f>
        <v>30.433082727933915</v>
      </c>
      <c r="V25" s="6">
        <f>$J$3+[27]FormattedData!O44*$J$4+$M$4*$J$5+[27]FormattedData!O44^2*$J$6+$M$5*$J$7</f>
        <v>30.044390299705643</v>
      </c>
      <c r="W25" s="5">
        <f t="shared" si="0"/>
        <v>31.101563385338974</v>
      </c>
      <c r="X25" s="4">
        <f t="shared" si="1"/>
        <v>0.28596513366760806</v>
      </c>
      <c r="Y25" s="3">
        <f t="shared" si="2"/>
        <v>30.044390299705643</v>
      </c>
      <c r="Z25" s="2">
        <f t="shared" si="3"/>
        <v>30.433082727933915</v>
      </c>
      <c r="AA25" s="3">
        <f t="shared" si="4"/>
        <v>30.917976086846835</v>
      </c>
      <c r="AB25" s="2">
        <f t="shared" si="5"/>
        <v>31.401791598042518</v>
      </c>
      <c r="AC25" s="2">
        <f t="shared" si="6"/>
        <v>33.134993420538663</v>
      </c>
      <c r="AD25" s="2">
        <f t="shared" si="7"/>
        <v>1.1153988416180471</v>
      </c>
      <c r="AE25" s="2">
        <f t="shared" si="8"/>
        <v>0.48834143680851749</v>
      </c>
    </row>
    <row r="26" spans="2:31" x14ac:dyDescent="0.2">
      <c r="B26" s="1">
        <f>[27]FormattedData!A62</f>
        <v>301</v>
      </c>
      <c r="C26" s="1" t="str">
        <f>VLOOKUP($B26,[27]TrtCodes!$B$11:I105,2)</f>
        <v>NTL</v>
      </c>
      <c r="D26" s="1">
        <f>VLOOKUP($B26,[27]TrtCodes!$B$11:J105,3)</f>
        <v>10</v>
      </c>
      <c r="E26" s="1">
        <f>VLOOKUP($B26,[27]TrtCodes!$B$11:K105,4)</f>
        <v>2</v>
      </c>
      <c r="F26" s="1">
        <f>VLOOKUP($B26,[27]TrtCodes!$B$11:L105,5)</f>
        <v>2</v>
      </c>
      <c r="G26" s="1">
        <f>VLOOKUP($B26,[27]TrtCodes!$B$11:M105,6)</f>
        <v>1</v>
      </c>
      <c r="H26" s="1">
        <f>VLOOKUP($B26,[27]TrtCodes!$B$11:N105,7)</f>
        <v>3</v>
      </c>
      <c r="I26" s="1">
        <f>[27]FormattedData!B62</f>
        <v>1</v>
      </c>
      <c r="J26" s="4">
        <f>[27]FormattedData!C62</f>
        <v>13.208</v>
      </c>
      <c r="K26" s="6">
        <f>$J$3+[27]FormattedData!D62*$J$4+$M$4*$J$5+[27]FormattedData!D62^2*$J$6+$M$5*$J$7</f>
        <v>31.884656067134749</v>
      </c>
      <c r="L26" s="6">
        <f>$J$3+[27]FormattedData!E62*$J$4+$M$4*$J$5+[27]FormattedData!E62^2*$J$6+$M$5*$J$7</f>
        <v>32.07748061388336</v>
      </c>
      <c r="M26" s="6">
        <f>$J$3+[27]FormattedData!F62*$J$4+$M$4*$J$5+[27]FormattedData!F62^2*$J$6+$M$5*$J$7</f>
        <v>31.498499751182344</v>
      </c>
      <c r="N26" s="6">
        <f>$J$3+[27]FormattedData!G62*$J$4+$M$4*$J$5+[27]FormattedData!G62^2*$J$6+$M$5*$J$7</f>
        <v>32.943098781624535</v>
      </c>
      <c r="O26" s="6">
        <f>$J$3+[27]FormattedData!H62*$J$4+$M$4*$J$5+[27]FormattedData!H62^2*$J$6+$M$5*$J$7</f>
        <v>31.595102232977339</v>
      </c>
      <c r="P26" s="6">
        <f>$J$3+[27]FormattedData!I62*$J$4+$M$4*$J$5+[27]FormattedData!I62^2*$J$6+$M$5*$J$7</f>
        <v>33.80529319779329</v>
      </c>
      <c r="Q26" s="6">
        <f>$J$3+[27]FormattedData!J62*$J$4+$M$4*$J$5+[27]FormattedData!J62^2*$J$6+$M$5*$J$7</f>
        <v>31.884656067134749</v>
      </c>
      <c r="R26" s="6">
        <f>$J$3+[27]FormattedData!K62*$J$4+$M$4*$J$5+[27]FormattedData!K62^2*$J$6+$M$5*$J$7</f>
        <v>32.751035068558679</v>
      </c>
      <c r="S26" s="6">
        <f>$J$3+[27]FormattedData!L62*$J$4+$M$4*$J$5+[27]FormattedData!L62^2*$J$6+$M$5*$J$7</f>
        <v>31.788180390953542</v>
      </c>
      <c r="T26" s="6">
        <f>$J$3+[27]FormattedData!M62*$J$4+$M$4*$J$5+[27]FormattedData!M62^2*$J$6+$M$5*$J$7</f>
        <v>32.943098781624535</v>
      </c>
      <c r="U26" s="6">
        <f>$J$3+[27]FormattedData!N62*$J$4+$M$4*$J$5+[27]FormattedData!N62^2*$J$6+$M$5*$J$7</f>
        <v>34.187391734104295</v>
      </c>
      <c r="V26" s="6">
        <f>$J$3+[27]FormattedData!O62*$J$4+$M$4*$J$5+[27]FormattedData!O62^2*$J$6+$M$5*$J$7</f>
        <v>33.613990318410195</v>
      </c>
      <c r="W26" s="5">
        <f t="shared" si="0"/>
        <v>32.581040250448467</v>
      </c>
      <c r="X26" s="4">
        <f t="shared" si="1"/>
        <v>0.26732805068225979</v>
      </c>
      <c r="Y26" s="3">
        <f t="shared" si="2"/>
        <v>31.498499751182344</v>
      </c>
      <c r="Z26" s="2">
        <f t="shared" si="3"/>
        <v>31.860537148089449</v>
      </c>
      <c r="AA26" s="3">
        <f t="shared" si="4"/>
        <v>32.414257841221016</v>
      </c>
      <c r="AB26" s="2">
        <f t="shared" si="5"/>
        <v>33.11082166582095</v>
      </c>
      <c r="AC26" s="2">
        <f t="shared" si="6"/>
        <v>34.187391734104295</v>
      </c>
      <c r="AD26" s="2">
        <f t="shared" si="7"/>
        <v>0.50184395458965003</v>
      </c>
      <c r="AE26" s="2">
        <f t="shared" si="8"/>
        <v>-1.1779639323395719</v>
      </c>
    </row>
    <row r="27" spans="2:31" x14ac:dyDescent="0.2">
      <c r="B27" s="1">
        <f>[27]FormattedData!A64</f>
        <v>302</v>
      </c>
      <c r="C27" s="1" t="str">
        <f>VLOOKUP($B27,[27]TrtCodes!$B$11:I107,2)</f>
        <v>FTL</v>
      </c>
      <c r="D27" s="1">
        <f>VLOOKUP($B27,[27]TrtCodes!$B$11:J107,3)</f>
        <v>4</v>
      </c>
      <c r="E27" s="1">
        <f>VLOOKUP($B27,[27]TrtCodes!$B$11:K107,4)</f>
        <v>1</v>
      </c>
      <c r="F27" s="1">
        <f>VLOOKUP($B27,[27]TrtCodes!$B$11:L107,5)</f>
        <v>2</v>
      </c>
      <c r="G27" s="1">
        <f>VLOOKUP($B27,[27]TrtCodes!$B$11:M107,6)</f>
        <v>1</v>
      </c>
      <c r="H27" s="1">
        <f>VLOOKUP($B27,[27]TrtCodes!$B$11:N107,7)</f>
        <v>3</v>
      </c>
      <c r="I27" s="1">
        <f>[27]FormattedData!B64</f>
        <v>1</v>
      </c>
      <c r="J27" s="4">
        <f>[27]FormattedData!C64</f>
        <v>13.227</v>
      </c>
      <c r="K27" s="6">
        <f>$J$3+[27]FormattedData!D64*$J$4+$M$4*$J$5+[27]FormattedData!D64^2*$J$6+$M$5*$J$7</f>
        <v>32.07748061388336</v>
      </c>
      <c r="L27" s="6">
        <f>$J$3+[27]FormattedData!E64*$J$4+$M$4*$J$5+[27]FormattedData!E64^2*$J$6+$M$5*$J$7</f>
        <v>32.558802281341102</v>
      </c>
      <c r="M27" s="6">
        <f>$J$3+[27]FormattedData!F64*$J$4+$M$4*$J$5+[27]FormattedData!F64^2*$J$6+$M$5*$J$7</f>
        <v>32.558802281341102</v>
      </c>
      <c r="N27" s="6">
        <f>$J$3+[27]FormattedData!G64*$J$4+$M$4*$J$5+[27]FormattedData!G64^2*$J$6+$M$5*$J$7</f>
        <v>32.654939809218853</v>
      </c>
      <c r="O27" s="6">
        <f>$J$3+[27]FormattedData!H64*$J$4+$M$4*$J$5+[27]FormattedData!H64^2*$J$6+$M$5*$J$7</f>
        <v>32.751035068558679</v>
      </c>
      <c r="P27" s="6">
        <f>$J$3+[27]FormattedData!I64*$J$4+$M$4*$J$5+[27]FormattedData!I64^2*$J$6+$M$5*$J$7</f>
        <v>32.366400419971804</v>
      </c>
      <c r="Q27" s="6">
        <f>$J$3+[27]FormattedData!J64*$J$4+$M$4*$J$5+[27]FormattedData!J64^2*$J$6+$M$5*$J$7</f>
        <v>31.305167981978556</v>
      </c>
      <c r="R27" s="6">
        <f>$J$3+[27]FormattedData!K64*$J$4+$M$4*$J$5+[27]FormattedData!K64^2*$J$6+$M$5*$J$7</f>
        <v>32.27013608648025</v>
      </c>
      <c r="S27" s="6">
        <f>$J$3+[27]FormattedData!L64*$J$4+$M$4*$J$5+[27]FormattedData!L64^2*$J$6+$M$5*$J$7</f>
        <v>31.401855000849412</v>
      </c>
      <c r="T27" s="6">
        <f>$J$3+[27]FormattedData!M64*$J$4+$M$4*$J$5+[27]FormattedData!M64^2*$J$6+$M$5*$J$7</f>
        <v>32.462622484925419</v>
      </c>
      <c r="U27" s="6">
        <f>$J$3+[27]FormattedData!N64*$J$4+$M$4*$J$5+[27]FormattedData!N64^2*$J$6+$M$5*$J$7</f>
        <v>31.595102232977339</v>
      </c>
      <c r="V27" s="6">
        <f>$J$3+[27]FormattedData!O64*$J$4+$M$4*$J$5+[27]FormattedData!O64^2*$J$6+$M$5*$J$7</f>
        <v>31.691662446234403</v>
      </c>
      <c r="W27" s="5">
        <f t="shared" si="0"/>
        <v>32.14116722564669</v>
      </c>
      <c r="X27" s="4">
        <f t="shared" si="1"/>
        <v>0.14835487715902071</v>
      </c>
      <c r="Y27" s="3">
        <f t="shared" si="2"/>
        <v>31.305167981978556</v>
      </c>
      <c r="Z27" s="2">
        <f t="shared" si="3"/>
        <v>31.667522392920137</v>
      </c>
      <c r="AA27" s="3">
        <f t="shared" si="4"/>
        <v>32.318268253226023</v>
      </c>
      <c r="AB27" s="2">
        <f t="shared" si="5"/>
        <v>32.558802281341102</v>
      </c>
      <c r="AC27" s="2">
        <f t="shared" si="6"/>
        <v>32.751035068558679</v>
      </c>
      <c r="AD27" s="2">
        <f t="shared" si="7"/>
        <v>-0.55245116025290331</v>
      </c>
      <c r="AE27" s="2">
        <f t="shared" si="8"/>
        <v>-1.3239787445399136</v>
      </c>
    </row>
    <row r="28" spans="2:31" x14ac:dyDescent="0.2">
      <c r="B28" s="1">
        <f>[27]FormattedData!A66</f>
        <v>303</v>
      </c>
      <c r="C28" s="1" t="str">
        <f>VLOOKUP($B28,[27]TrtCodes!$B$11:I109,2)</f>
        <v>NSL</v>
      </c>
      <c r="D28" s="1">
        <f>VLOOKUP($B28,[27]TrtCodes!$B$11:J109,3)</f>
        <v>8</v>
      </c>
      <c r="E28" s="1">
        <f>VLOOKUP($B28,[27]TrtCodes!$B$11:K109,4)</f>
        <v>2</v>
      </c>
      <c r="F28" s="1">
        <f>VLOOKUP($B28,[27]TrtCodes!$B$11:L109,5)</f>
        <v>1</v>
      </c>
      <c r="G28" s="1">
        <f>VLOOKUP($B28,[27]TrtCodes!$B$11:M109,6)</f>
        <v>1</v>
      </c>
      <c r="H28" s="1">
        <f>VLOOKUP($B28,[27]TrtCodes!$B$11:N109,7)</f>
        <v>3</v>
      </c>
      <c r="I28" s="1">
        <f>[27]FormattedData!B66</f>
        <v>1</v>
      </c>
      <c r="J28" s="4">
        <f>[27]FormattedData!C66</f>
        <v>13.244</v>
      </c>
      <c r="K28" s="6">
        <f>$J$3+[27]FormattedData!D66*$J$4+$M$4*$J$5+[27]FormattedData!D66^2*$J$6+$M$5*$J$7</f>
        <v>29.752427158886164</v>
      </c>
      <c r="L28" s="6">
        <f>$J$3+[27]FormattedData!E66*$J$4+$M$4*$J$5+[27]FormattedData!E66^2*$J$6+$M$5*$J$7</f>
        <v>30.72415822945684</v>
      </c>
      <c r="M28" s="6">
        <f>$J$3+[27]FormattedData!F66*$J$4+$M$4*$J$5+[27]FormattedData!F66^2*$J$6+$M$5*$J$7</f>
        <v>29.362551211595822</v>
      </c>
      <c r="N28" s="6">
        <f>$J$3+[27]FormattedData!G66*$J$4+$M$4*$J$5+[27]FormattedData!G66^2*$J$6+$M$5*$J$7</f>
        <v>30.433082727933915</v>
      </c>
      <c r="O28" s="6">
        <f>$J$3+[27]FormattedData!H66*$J$4+$M$4*$J$5+[27]FormattedData!H66^2*$J$6+$M$5*$J$7</f>
        <v>29.655021574870478</v>
      </c>
      <c r="P28" s="6">
        <f>$J$3+[27]FormattedData!I66*$J$4+$M$4*$J$5+[27]FormattedData!I66^2*$J$6+$M$5*$J$7</f>
        <v>30.044390299705643</v>
      </c>
      <c r="Q28" s="6">
        <f>$J$3+[27]FormattedData!J66*$J$4+$M$4*$J$5+[27]FormattedData!J66^2*$J$6+$M$5*$J$7</f>
        <v>30.72415822945684</v>
      </c>
      <c r="R28" s="6">
        <f>$J$3+[27]FormattedData!K66*$J$4+$M$4*$J$5+[27]FormattedData!K66^2*$J$6+$M$5*$J$7</f>
        <v>31.014853314138382</v>
      </c>
      <c r="S28" s="6">
        <f>$J$3+[27]FormattedData!L66*$J$4+$M$4*$J$5+[27]FormattedData!L66^2*$J$6+$M$5*$J$7</f>
        <v>31.014853314138382</v>
      </c>
      <c r="T28" s="6">
        <f>$J$3+[27]FormattedData!M66*$J$4+$M$4*$J$5+[27]FormattedData!M66^2*$J$6+$M$5*$J$7</f>
        <v>30.821098859555288</v>
      </c>
      <c r="U28" s="6">
        <f>$J$3+[27]FormattedData!N66*$J$4+$M$4*$J$5+[27]FormattedData!N66^2*$J$6+$M$5*$J$7</f>
        <v>30.433082727933915</v>
      </c>
      <c r="V28" s="6">
        <f>$J$3+[27]FormattedData!O66*$J$4+$M$4*$J$5+[27]FormattedData!O66^2*$J$6+$M$5*$J$7</f>
        <v>30.433082727933915</v>
      </c>
      <c r="W28" s="5">
        <f t="shared" si="0"/>
        <v>30.367730031300468</v>
      </c>
      <c r="X28" s="4">
        <f t="shared" si="1"/>
        <v>0.15838817479695746</v>
      </c>
      <c r="Y28" s="3">
        <f t="shared" si="2"/>
        <v>29.362551211595822</v>
      </c>
      <c r="Z28" s="2">
        <f t="shared" si="3"/>
        <v>29.971399514500774</v>
      </c>
      <c r="AA28" s="3">
        <f t="shared" si="4"/>
        <v>30.433082727933915</v>
      </c>
      <c r="AB28" s="2">
        <f t="shared" si="5"/>
        <v>30.748393386981451</v>
      </c>
      <c r="AC28" s="2">
        <f t="shared" si="6"/>
        <v>31.014853314138382</v>
      </c>
      <c r="AD28" s="2">
        <f t="shared" si="7"/>
        <v>-0.60618642871944073</v>
      </c>
      <c r="AE28" s="2">
        <f t="shared" si="8"/>
        <v>-0.80191792655349214</v>
      </c>
    </row>
    <row r="29" spans="2:31" x14ac:dyDescent="0.2">
      <c r="B29" s="1">
        <f>[27]FormattedData!A68</f>
        <v>304</v>
      </c>
      <c r="C29" s="1" t="str">
        <f>VLOOKUP($B29,[27]TrtCodes!$B$11:I111,2)</f>
        <v>FSL</v>
      </c>
      <c r="D29" s="1">
        <f>VLOOKUP($B29,[27]TrtCodes!$B$11:J111,3)</f>
        <v>2</v>
      </c>
      <c r="E29" s="1">
        <f>VLOOKUP($B29,[27]TrtCodes!$B$11:K111,4)</f>
        <v>1</v>
      </c>
      <c r="F29" s="1">
        <f>VLOOKUP($B29,[27]TrtCodes!$B$11:L111,5)</f>
        <v>1</v>
      </c>
      <c r="G29" s="1">
        <f>VLOOKUP($B29,[27]TrtCodes!$B$11:M111,6)</f>
        <v>1</v>
      </c>
      <c r="H29" s="1">
        <f>VLOOKUP($B29,[27]TrtCodes!$B$11:N111,7)</f>
        <v>3</v>
      </c>
      <c r="I29" s="1">
        <f>[27]FormattedData!B68</f>
        <v>1</v>
      </c>
      <c r="J29" s="4">
        <f>[27]FormattedData!C68</f>
        <v>13.259</v>
      </c>
      <c r="K29" s="6">
        <f>$J$3+[27]FormattedData!D68*$J$4+$M$4*$J$5+[27]FormattedData!D68^2*$J$6+$M$5*$J$7</f>
        <v>32.847088059360573</v>
      </c>
      <c r="L29" s="6">
        <f>$J$3+[27]FormattedData!E68*$J$4+$M$4*$J$5+[27]FormattedData!E68^2*$J$6+$M$5*$J$7</f>
        <v>31.111667138623041</v>
      </c>
      <c r="M29" s="6">
        <f>$J$3+[27]FormattedData!F68*$J$4+$M$4*$J$5+[27]FormattedData!F68^2*$J$6+$M$5*$J$7</f>
        <v>30.821098859555288</v>
      </c>
      <c r="N29" s="6">
        <f>$J$3+[27]FormattedData!G68*$J$4+$M$4*$J$5+[27]FormattedData!G68^2*$J$6+$M$5*$J$7</f>
        <v>31.401855000849412</v>
      </c>
      <c r="O29" s="6">
        <f>$J$3+[27]FormattedData!H68*$J$4+$M$4*$J$5+[27]FormattedData!H68^2*$J$6+$M$5*$J$7</f>
        <v>31.498499751182344</v>
      </c>
      <c r="P29" s="6">
        <f>$J$3+[27]FormattedData!I68*$J$4+$M$4*$J$5+[27]FormattedData!I68^2*$J$6+$M$5*$J$7</f>
        <v>30.917997221115801</v>
      </c>
      <c r="Q29" s="6">
        <f>$J$3+[27]FormattedData!J68*$J$4+$M$4*$J$5+[27]FormattedData!J68^2*$J$6+$M$5*$J$7</f>
        <v>30.821098859555288</v>
      </c>
      <c r="R29" s="6">
        <f>$J$3+[27]FormattedData!K68*$J$4+$M$4*$J$5+[27]FormattedData!K68^2*$J$6+$M$5*$J$7</f>
        <v>32.27013608648025</v>
      </c>
      <c r="S29" s="6">
        <f>$J$3+[27]FormattedData!L68*$J$4+$M$4*$J$5+[27]FormattedData!L68^2*$J$6+$M$5*$J$7</f>
        <v>31.691662446234403</v>
      </c>
      <c r="T29" s="6">
        <f>$J$3+[27]FormattedData!M68*$J$4+$M$4*$J$5+[27]FormattedData!M68^2*$J$6+$M$5*$J$7</f>
        <v>31.98108947477802</v>
      </c>
      <c r="U29" s="6">
        <f>$J$3+[27]FormattedData!N68*$J$4+$M$4*$J$5+[27]FormattedData!N68^2*$J$6+$M$5*$J$7</f>
        <v>31.595102232977339</v>
      </c>
      <c r="V29" s="6">
        <f>$J$3+[27]FormattedData!O68*$J$4+$M$4*$J$5+[27]FormattedData!O68^2*$J$6+$M$5*$J$7</f>
        <v>31.305167981978556</v>
      </c>
      <c r="W29" s="5">
        <f t="shared" si="0"/>
        <v>31.521871926057525</v>
      </c>
      <c r="X29" s="4">
        <f t="shared" si="1"/>
        <v>0.17705885509320271</v>
      </c>
      <c r="Y29" s="3">
        <f t="shared" si="2"/>
        <v>30.821098859555288</v>
      </c>
      <c r="Z29" s="2">
        <f t="shared" si="3"/>
        <v>31.063249659246232</v>
      </c>
      <c r="AA29" s="3">
        <f t="shared" si="4"/>
        <v>31.45017737601588</v>
      </c>
      <c r="AB29" s="2">
        <f t="shared" si="5"/>
        <v>31.764019203370307</v>
      </c>
      <c r="AC29" s="2">
        <f t="shared" si="6"/>
        <v>32.847088059360573</v>
      </c>
      <c r="AD29" s="2">
        <f t="shared" si="7"/>
        <v>0.87890384501140284</v>
      </c>
      <c r="AE29" s="2">
        <f t="shared" si="8"/>
        <v>0.51950251058791341</v>
      </c>
    </row>
    <row r="30" spans="2:31" x14ac:dyDescent="0.2">
      <c r="B30" s="1">
        <f>[27]FormattedData!A70</f>
        <v>305</v>
      </c>
      <c r="C30" s="1" t="str">
        <f>VLOOKUP($B30,[27]TrtCodes!$B$11:I113,2)</f>
        <v>NDH</v>
      </c>
      <c r="D30" s="1">
        <f>VLOOKUP($B30,[27]TrtCodes!$B$11:J113,3)</f>
        <v>11</v>
      </c>
      <c r="E30" s="1">
        <f>VLOOKUP($B30,[27]TrtCodes!$B$11:K113,4)</f>
        <v>2</v>
      </c>
      <c r="F30" s="1">
        <f>VLOOKUP($B30,[27]TrtCodes!$B$11:L113,5)</f>
        <v>3</v>
      </c>
      <c r="G30" s="1">
        <f>VLOOKUP($B30,[27]TrtCodes!$B$11:M113,6)</f>
        <v>2</v>
      </c>
      <c r="H30" s="1">
        <f>VLOOKUP($B30,[27]TrtCodes!$B$11:N113,7)</f>
        <v>4</v>
      </c>
      <c r="I30" s="1">
        <f>[27]FormattedData!B70</f>
        <v>1</v>
      </c>
      <c r="J30" s="4">
        <f>[27]FormattedData!C70</f>
        <v>13.276</v>
      </c>
      <c r="K30" s="6">
        <f>$J$3+[27]FormattedData!D70*$J$4+$M$4*$J$5+[27]FormattedData!D70^2*$J$6+$M$5*$J$7</f>
        <v>32.27013608648025</v>
      </c>
      <c r="L30" s="6">
        <f>$J$3+[27]FormattedData!E70*$J$4+$M$4*$J$5+[27]FormattedData!E70^2*$J$6+$M$5*$J$7</f>
        <v>32.07748061388336</v>
      </c>
      <c r="M30" s="6">
        <f>$J$3+[27]FormattedData!F70*$J$4+$M$4*$J$5+[27]FormattedData!F70^2*$J$6+$M$5*$J$7</f>
        <v>32.07748061388336</v>
      </c>
      <c r="N30" s="6">
        <f>$J$3+[27]FormattedData!G70*$J$4+$M$4*$J$5+[27]FormattedData!G70^2*$J$6+$M$5*$J$7</f>
        <v>31.014853314138382</v>
      </c>
      <c r="O30" s="6">
        <f>$J$3+[27]FormattedData!H70*$J$4+$M$4*$J$5+[27]FormattedData!H70^2*$J$6+$M$5*$J$7</f>
        <v>29.94711152130375</v>
      </c>
      <c r="P30" s="6">
        <f>$J$3+[27]FormattedData!I70*$J$4+$M$4*$J$5+[27]FormattedData!I70^2*$J$6+$M$5*$J$7</f>
        <v>30.238821050895638</v>
      </c>
      <c r="Q30" s="6">
        <f>$J$3+[27]FormattedData!J70*$J$4+$M$4*$J$5+[27]FormattedData!J70^2*$J$6+$M$5*$J$7</f>
        <v>29.362551211595822</v>
      </c>
      <c r="R30" s="6">
        <f>$J$3+[27]FormattedData!K70*$J$4+$M$4*$J$5+[27]FormattedData!K70^2*$J$6+$M$5*$J$7</f>
        <v>29.655021574870478</v>
      </c>
      <c r="S30" s="6">
        <f>$J$3+[27]FormattedData!L70*$J$4+$M$4*$J$5+[27]FormattedData!L70^2*$J$6+$M$5*$J$7</f>
        <v>29.752427158886164</v>
      </c>
      <c r="T30" s="6">
        <f>$J$3+[27]FormattedData!M70*$J$4+$M$4*$J$5+[27]FormattedData!M70^2*$J$6+$M$5*$J$7</f>
        <v>31.014853314138382</v>
      </c>
      <c r="U30" s="6">
        <f>$J$3+[27]FormattedData!N70*$J$4+$M$4*$J$5+[27]FormattedData!N70^2*$J$6+$M$5*$J$7</f>
        <v>30.044390299705643</v>
      </c>
      <c r="V30" s="6">
        <f>$J$3+[27]FormattedData!O70*$J$4+$M$4*$J$5+[27]FormattedData!O70^2*$J$6+$M$5*$J$7</f>
        <v>30.238821050895638</v>
      </c>
      <c r="W30" s="5">
        <f t="shared" si="0"/>
        <v>30.641162317556407</v>
      </c>
      <c r="X30" s="4">
        <f t="shared" si="1"/>
        <v>0.29666883388893184</v>
      </c>
      <c r="Y30" s="3">
        <f t="shared" si="2"/>
        <v>29.362551211595822</v>
      </c>
      <c r="Z30" s="2">
        <f t="shared" si="3"/>
        <v>29.898440430699353</v>
      </c>
      <c r="AA30" s="3">
        <f t="shared" si="4"/>
        <v>30.238821050895638</v>
      </c>
      <c r="AB30" s="2">
        <f t="shared" si="5"/>
        <v>31.280510139074625</v>
      </c>
      <c r="AC30" s="2">
        <f t="shared" si="6"/>
        <v>32.27013608648025</v>
      </c>
      <c r="AD30" s="2">
        <f t="shared" si="7"/>
        <v>0.59549029274327869</v>
      </c>
      <c r="AE30" s="2">
        <f t="shared" si="8"/>
        <v>-1.1732578504998346</v>
      </c>
    </row>
    <row r="31" spans="2:31" x14ac:dyDescent="0.2">
      <c r="B31" s="1">
        <f>[27]FormattedData!A72</f>
        <v>306</v>
      </c>
      <c r="C31" s="1" t="str">
        <f>VLOOKUP($B31,[27]TrtCodes!$B$11:I115,2)</f>
        <v>FTL</v>
      </c>
      <c r="D31" s="1">
        <f>VLOOKUP($B31,[27]TrtCodes!$B$11:J115,3)</f>
        <v>4</v>
      </c>
      <c r="E31" s="1">
        <f>VLOOKUP($B31,[27]TrtCodes!$B$11:K115,4)</f>
        <v>1</v>
      </c>
      <c r="F31" s="1">
        <f>VLOOKUP($B31,[27]TrtCodes!$B$11:L115,5)</f>
        <v>2</v>
      </c>
      <c r="G31" s="1">
        <f>VLOOKUP($B31,[27]TrtCodes!$B$11:M115,6)</f>
        <v>1</v>
      </c>
      <c r="H31" s="1">
        <f>VLOOKUP($B31,[27]TrtCodes!$B$11:N115,7)</f>
        <v>4</v>
      </c>
      <c r="I31" s="1">
        <f>[27]FormattedData!B72</f>
        <v>1</v>
      </c>
      <c r="J31" s="4">
        <f>[27]FormattedData!C72</f>
        <v>13.303000000000001</v>
      </c>
      <c r="K31" s="6">
        <f>$J$3+[27]FormattedData!D72*$J$4+$M$4*$J$5+[27]FormattedData!D72^2*$J$6+$M$5*$J$7</f>
        <v>30.141626809569608</v>
      </c>
      <c r="L31" s="6">
        <f>$J$3+[27]FormattedData!E72*$J$4+$M$4*$J$5+[27]FormattedData!E72^2*$J$6+$M$5*$J$7</f>
        <v>31.498499751182344</v>
      </c>
      <c r="M31" s="6">
        <f>$J$3+[27]FormattedData!F72*$J$4+$M$4*$J$5+[27]FormattedData!F72^2*$J$6+$M$5*$J$7</f>
        <v>31.111667138623041</v>
      </c>
      <c r="N31" s="6">
        <f>$J$3+[27]FormattedData!G72*$J$4+$M$4*$J$5+[27]FormattedData!G72^2*$J$6+$M$5*$J$7</f>
        <v>30.917997221115801</v>
      </c>
      <c r="O31" s="6">
        <f>$J$3+[27]FormattedData!H72*$J$4+$M$4*$J$5+[27]FormattedData!H72^2*$J$6+$M$5*$J$7</f>
        <v>31.111667138623041</v>
      </c>
      <c r="P31" s="6">
        <f>$J$3+[27]FormattedData!I72*$J$4+$M$4*$J$5+[27]FormattedData!I72^2*$J$6+$M$5*$J$7</f>
        <v>32.27013608648025</v>
      </c>
      <c r="Q31" s="6">
        <f>$J$3+[27]FormattedData!J72*$J$4+$M$4*$J$5+[27]FormattedData!J72^2*$J$6+$M$5*$J$7</f>
        <v>31.014853314138382</v>
      </c>
      <c r="R31" s="6">
        <f>$J$3+[27]FormattedData!K72*$J$4+$M$4*$J$5+[27]FormattedData!K72^2*$J$6+$M$5*$J$7</f>
        <v>31.305167981978556</v>
      </c>
      <c r="S31" s="6">
        <f>$J$3+[27]FormattedData!L72*$J$4+$M$4*$J$5+[27]FormattedData!L72^2*$J$6+$M$5*$J$7</f>
        <v>30.72415822945684</v>
      </c>
      <c r="T31" s="6">
        <f>$J$3+[27]FormattedData!M72*$J$4+$M$4*$J$5+[27]FormattedData!M72^2*$J$6+$M$5*$J$7</f>
        <v>31.014853314138382</v>
      </c>
      <c r="U31" s="6">
        <f>$J$3+[27]FormattedData!N72*$J$4+$M$4*$J$5+[27]FormattedData!N72^2*$J$6+$M$5*$J$7</f>
        <v>30.044390299705643</v>
      </c>
      <c r="V31" s="6">
        <f>$J$3+[27]FormattedData!O72*$J$4+$M$4*$J$5+[27]FormattedData!O72^2*$J$6+$M$5*$J$7</f>
        <v>30.335973023683746</v>
      </c>
      <c r="W31" s="5">
        <f t="shared" si="0"/>
        <v>30.957582525724636</v>
      </c>
      <c r="X31" s="4">
        <f t="shared" si="1"/>
        <v>0.17693527343669793</v>
      </c>
      <c r="Y31" s="3">
        <f t="shared" si="2"/>
        <v>30.044390299705643</v>
      </c>
      <c r="Z31" s="2">
        <f t="shared" si="3"/>
        <v>30.627111928013566</v>
      </c>
      <c r="AA31" s="3">
        <f t="shared" si="4"/>
        <v>31.014853314138382</v>
      </c>
      <c r="AB31" s="2">
        <f t="shared" si="5"/>
        <v>31.160042349461918</v>
      </c>
      <c r="AC31" s="2">
        <f t="shared" si="6"/>
        <v>32.27013608648025</v>
      </c>
      <c r="AD31" s="2">
        <f t="shared" si="7"/>
        <v>0.43183207029840404</v>
      </c>
      <c r="AE31" s="2">
        <f t="shared" si="8"/>
        <v>0.83511472225443395</v>
      </c>
    </row>
    <row r="32" spans="2:31" x14ac:dyDescent="0.2">
      <c r="B32" s="1">
        <f>[27]FormattedData!A74</f>
        <v>307</v>
      </c>
      <c r="C32" s="1" t="str">
        <f>VLOOKUP($B32,[27]TrtCodes!$B$11:I117,2)</f>
        <v>NTH</v>
      </c>
      <c r="D32" s="1">
        <f>VLOOKUP($B32,[27]TrtCodes!$B$11:J117,3)</f>
        <v>9</v>
      </c>
      <c r="E32" s="1">
        <f>VLOOKUP($B32,[27]TrtCodes!$B$11:K117,4)</f>
        <v>2</v>
      </c>
      <c r="F32" s="1">
        <f>VLOOKUP($B32,[27]TrtCodes!$B$11:L117,5)</f>
        <v>2</v>
      </c>
      <c r="G32" s="1">
        <f>VLOOKUP($B32,[27]TrtCodes!$B$11:M117,6)</f>
        <v>2</v>
      </c>
      <c r="H32" s="1">
        <f>VLOOKUP($B32,[27]TrtCodes!$B$11:N117,7)</f>
        <v>4</v>
      </c>
      <c r="I32" s="1">
        <f>[27]FormattedData!B74</f>
        <v>1</v>
      </c>
      <c r="J32" s="4">
        <f>[27]FormattedData!C74</f>
        <v>13.318</v>
      </c>
      <c r="K32" s="6">
        <f>$J$3+[27]FormattedData!D74*$J$4+$M$4*$J$5+[27]FormattedData!D74^2*$J$6+$M$5*$J$7</f>
        <v>31.691662446234403</v>
      </c>
      <c r="L32" s="6">
        <f>$J$3+[27]FormattedData!E74*$J$4+$M$4*$J$5+[27]FormattedData!E74^2*$J$6+$M$5*$J$7</f>
        <v>32.173829484450764</v>
      </c>
      <c r="M32" s="6">
        <f>$J$3+[27]FormattedData!F74*$J$4+$M$4*$J$5+[27]FormattedData!F74^2*$J$6+$M$5*$J$7</f>
        <v>31.884656067134749</v>
      </c>
      <c r="N32" s="6">
        <f>$J$3+[27]FormattedData!G74*$J$4+$M$4*$J$5+[27]FormattedData!G74^2*$J$6+$M$5*$J$7</f>
        <v>31.498499751182344</v>
      </c>
      <c r="O32" s="6">
        <f>$J$3+[27]FormattedData!H74*$J$4+$M$4*$J$5+[27]FormattedData!H74^2*$J$6+$M$5*$J$7</f>
        <v>30.821098859555288</v>
      </c>
      <c r="P32" s="6">
        <f>$J$3+[27]FormattedData!I74*$J$4+$M$4*$J$5+[27]FormattedData!I74^2*$J$6+$M$5*$J$7</f>
        <v>31.788180390953542</v>
      </c>
      <c r="Q32" s="6">
        <f>$J$3+[27]FormattedData!J74*$J$4+$M$4*$J$5+[27]FormattedData!J74^2*$J$6+$M$5*$J$7</f>
        <v>30.433082727933915</v>
      </c>
      <c r="R32" s="6">
        <f>$J$3+[27]FormattedData!K74*$J$4+$M$4*$J$5+[27]FormattedData!K74^2*$J$6+$M$5*$J$7</f>
        <v>31.208438694569757</v>
      </c>
      <c r="S32" s="6">
        <f>$J$3+[27]FormattedData!L74*$J$4+$M$4*$J$5+[27]FormattedData!L74^2*$J$6+$M$5*$J$7</f>
        <v>28.971998967698582</v>
      </c>
      <c r="T32" s="6">
        <f>$J$3+[27]FormattedData!M74*$J$4+$M$4*$J$5+[27]FormattedData!M74^2*$J$6+$M$5*$J$7</f>
        <v>30.044390299705643</v>
      </c>
      <c r="U32" s="6">
        <f>$J$3+[27]FormattedData!N74*$J$4+$M$4*$J$5+[27]FormattedData!N74^2*$J$6+$M$5*$J$7</f>
        <v>29.94711152130375</v>
      </c>
      <c r="V32" s="6">
        <f>$J$3+[27]FormattedData!O74*$J$4+$M$4*$J$5+[27]FormattedData!O74^2*$J$6+$M$5*$J$7</f>
        <v>29.655021574870478</v>
      </c>
      <c r="W32" s="5">
        <f t="shared" si="0"/>
        <v>30.843164232132768</v>
      </c>
      <c r="X32" s="4">
        <f t="shared" si="1"/>
        <v>0.29585285665751515</v>
      </c>
      <c r="Y32" s="3">
        <f t="shared" si="2"/>
        <v>28.971998967698582</v>
      </c>
      <c r="Z32" s="2">
        <f t="shared" si="3"/>
        <v>30.020070605105168</v>
      </c>
      <c r="AA32" s="3">
        <f t="shared" si="4"/>
        <v>31.014768777062521</v>
      </c>
      <c r="AB32" s="2">
        <f t="shared" si="5"/>
        <v>31.715791932414188</v>
      </c>
      <c r="AC32" s="2">
        <f t="shared" si="6"/>
        <v>32.173829484450764</v>
      </c>
      <c r="AD32" s="2">
        <f t="shared" si="7"/>
        <v>-0.43130131064892518</v>
      </c>
      <c r="AE32" s="2">
        <f t="shared" si="8"/>
        <v>-1.0107796332294257</v>
      </c>
    </row>
    <row r="33" spans="2:31" x14ac:dyDescent="0.2">
      <c r="B33" s="1">
        <f>[27]FormattedData!A76</f>
        <v>308</v>
      </c>
      <c r="C33" s="1" t="str">
        <f>VLOOKUP($B33,[27]TrtCodes!$B$11:I119,2)</f>
        <v>FDH</v>
      </c>
      <c r="D33" s="1">
        <f>VLOOKUP($B33,[27]TrtCodes!$B$11:J119,3)</f>
        <v>5</v>
      </c>
      <c r="E33" s="1">
        <f>VLOOKUP($B33,[27]TrtCodes!$B$11:K119,4)</f>
        <v>1</v>
      </c>
      <c r="F33" s="1">
        <f>VLOOKUP($B33,[27]TrtCodes!$B$11:L119,5)</f>
        <v>3</v>
      </c>
      <c r="G33" s="1">
        <f>VLOOKUP($B33,[27]TrtCodes!$B$11:M119,6)</f>
        <v>2</v>
      </c>
      <c r="H33" s="1">
        <f>VLOOKUP($B33,[27]TrtCodes!$B$11:N119,7)</f>
        <v>4</v>
      </c>
      <c r="I33" s="1">
        <f>[27]FormattedData!B76</f>
        <v>1</v>
      </c>
      <c r="J33" s="4">
        <f>[27]FormattedData!C76</f>
        <v>13.34</v>
      </c>
      <c r="K33" s="6">
        <f>$J$3+[27]FormattedData!D76*$J$4+$M$4*$J$5+[27]FormattedData!D76^2*$J$6+$M$5*$J$7</f>
        <v>31.111667138623041</v>
      </c>
      <c r="L33" s="6">
        <f>$J$3+[27]FormattedData!E76*$J$4+$M$4*$J$5+[27]FormattedData!E76^2*$J$6+$M$5*$J$7</f>
        <v>30.530150163646152</v>
      </c>
      <c r="M33" s="6">
        <f>$J$3+[27]FormattedData!F76*$J$4+$M$4*$J$5+[27]FormattedData!F76^2*$J$6+$M$5*$J$7</f>
        <v>31.401855000849412</v>
      </c>
      <c r="N33" s="6">
        <f>$J$3+[27]FormattedData!G76*$J$4+$M$4*$J$5+[27]FormattedData!G76^2*$J$6+$M$5*$J$7</f>
        <v>30.238821050895638</v>
      </c>
      <c r="O33" s="6">
        <f>$J$3+[27]FormattedData!H76*$J$4+$M$4*$J$5+[27]FormattedData!H76^2*$J$6+$M$5*$J$7</f>
        <v>30.238821050895638</v>
      </c>
      <c r="P33" s="6">
        <f>$J$3+[27]FormattedData!I76*$J$4+$M$4*$J$5+[27]FormattedData!I76^2*$J$6+$M$5*$J$7</f>
        <v>29.362551211595822</v>
      </c>
      <c r="Q33" s="6">
        <f>$J$3+[27]FormattedData!J76*$J$4+$M$4*$J$5+[27]FormattedData!J76^2*$J$6+$M$5*$J$7</f>
        <v>29.752427158886164</v>
      </c>
      <c r="R33" s="6">
        <f>$J$3+[27]FormattedData!K76*$J$4+$M$4*$J$5+[27]FormattedData!K76^2*$J$6+$M$5*$J$7</f>
        <v>30.141626809569608</v>
      </c>
      <c r="S33" s="6">
        <f>$J$3+[27]FormattedData!L76*$J$4+$M$4*$J$5+[27]FormattedData!L76^2*$J$6+$M$5*$J$7</f>
        <v>29.362551211595822</v>
      </c>
      <c r="T33" s="6">
        <f>$J$3+[27]FormattedData!M76*$J$4+$M$4*$J$5+[27]FormattedData!M76^2*$J$6+$M$5*$J$7</f>
        <v>30.917997221115801</v>
      </c>
      <c r="U33" s="6">
        <f>$J$3+[27]FormattedData!N76*$J$4+$M$4*$J$5+[27]FormattedData!N76^2*$J$6+$M$5*$J$7</f>
        <v>29.94711152130375</v>
      </c>
      <c r="V33" s="6">
        <f>$J$3+[27]FormattedData!O76*$J$4+$M$4*$J$5+[27]FormattedData!O76^2*$J$6+$M$5*$J$7</f>
        <v>30.72415822945684</v>
      </c>
      <c r="W33" s="5">
        <f t="shared" si="0"/>
        <v>30.310811480702807</v>
      </c>
      <c r="X33" s="4">
        <f t="shared" si="1"/>
        <v>0.18871253888226996</v>
      </c>
      <c r="Y33" s="3">
        <f t="shared" si="2"/>
        <v>29.362551211595822</v>
      </c>
      <c r="Z33" s="2">
        <f t="shared" si="3"/>
        <v>29.898440430699353</v>
      </c>
      <c r="AA33" s="3">
        <f t="shared" si="4"/>
        <v>30.238821050895638</v>
      </c>
      <c r="AB33" s="2">
        <f t="shared" si="5"/>
        <v>30.772617977371581</v>
      </c>
      <c r="AC33" s="2">
        <f t="shared" si="6"/>
        <v>31.401855000849412</v>
      </c>
      <c r="AD33" s="2">
        <f t="shared" si="7"/>
        <v>7.1960314578519466E-2</v>
      </c>
      <c r="AE33" s="2">
        <f t="shared" si="8"/>
        <v>-0.81630337179350532</v>
      </c>
    </row>
    <row r="34" spans="2:31" x14ac:dyDescent="0.2">
      <c r="B34" s="1">
        <f>[27]FormattedData!A92</f>
        <v>401</v>
      </c>
      <c r="C34" s="1" t="str">
        <f>VLOOKUP($B34,[27]TrtCodes!$B$11:I129,2)</f>
        <v>NSH</v>
      </c>
      <c r="D34" s="1">
        <f>VLOOKUP($B34,[27]TrtCodes!$B$11:J129,3)</f>
        <v>7</v>
      </c>
      <c r="E34" s="1">
        <f>VLOOKUP($B34,[27]TrtCodes!$B$11:K129,4)</f>
        <v>2</v>
      </c>
      <c r="F34" s="1">
        <f>VLOOKUP($B34,[27]TrtCodes!$B$11:L129,5)</f>
        <v>1</v>
      </c>
      <c r="G34" s="1">
        <f>VLOOKUP($B34,[27]TrtCodes!$B$11:M129,6)</f>
        <v>2</v>
      </c>
      <c r="H34" s="1">
        <f>VLOOKUP($B34,[27]TrtCodes!$B$11:N129,7)</f>
        <v>3</v>
      </c>
      <c r="I34" s="1">
        <f>[27]FormattedData!B92</f>
        <v>1</v>
      </c>
      <c r="J34" s="4">
        <f>[27]FormattedData!C92</f>
        <v>13.486000000000001</v>
      </c>
      <c r="K34" s="6">
        <f>$J$3+[27]FormattedData!D92*$J$4+$M$4*$J$5+[27]FormattedData!D92^2*$J$6+$M$5*$J$7</f>
        <v>30.433082727933915</v>
      </c>
      <c r="L34" s="6">
        <f>$J$3+[27]FormattedData!E92*$J$4+$M$4*$J$5+[27]FormattedData!E92^2*$J$6+$M$5*$J$7</f>
        <v>30.433082727933915</v>
      </c>
      <c r="M34" s="6">
        <f>$J$3+[27]FormattedData!F92*$J$4+$M$4*$J$5+[27]FormattedData!F92^2*$J$6+$M$5*$J$7</f>
        <v>30.141626809569608</v>
      </c>
      <c r="N34" s="6">
        <f>$J$3+[27]FormattedData!G92*$J$4+$M$4*$J$5+[27]FormattedData!G92^2*$J$6+$M$5*$J$7</f>
        <v>30.238821050895638</v>
      </c>
      <c r="O34" s="6">
        <f>$J$3+[27]FormattedData!H92*$J$4+$M$4*$J$5+[27]FormattedData!H92^2*$J$6+$M$5*$J$7</f>
        <v>29.362551211595822</v>
      </c>
      <c r="P34" s="6">
        <f>$J$3+[27]FormattedData!I92*$J$4+$M$4*$J$5+[27]FormattedData!I92^2*$J$6+$M$5*$J$7</f>
        <v>29.94711152130375</v>
      </c>
      <c r="Q34" s="6">
        <f>$J$3+[27]FormattedData!J92*$J$4+$M$4*$J$5+[27]FormattedData!J92^2*$J$6+$M$5*$J$7</f>
        <v>29.655021574870478</v>
      </c>
      <c r="R34" s="6">
        <f>$J$3+[27]FormattedData!K92*$J$4+$M$4*$J$5+[27]FormattedData!K92^2*$J$6+$M$5*$J$7</f>
        <v>29.752427158886164</v>
      </c>
      <c r="S34" s="6">
        <f>$J$3+[27]FormattedData!L92*$J$4+$M$4*$J$5+[27]FormattedData!L92^2*$J$6+$M$5*$J$7</f>
        <v>28.971998967698582</v>
      </c>
      <c r="T34" s="6">
        <f>$J$3+[27]FormattedData!M92*$J$4+$M$4*$J$5+[27]FormattedData!M92^2*$J$6+$M$5*$J$7</f>
        <v>30.821098859555288</v>
      </c>
      <c r="U34" s="6">
        <f>$J$3+[27]FormattedData!N92*$J$4+$M$4*$J$5+[27]FormattedData!N92^2*$J$6+$M$5*$J$7</f>
        <v>28.286905202168057</v>
      </c>
      <c r="V34" s="6">
        <f>$J$3+[27]FormattedData!O92*$J$4+$M$4*$J$5+[27]FormattedData!O92^2*$J$6+$M$5*$J$7</f>
        <v>30.433082727933915</v>
      </c>
      <c r="W34" s="5">
        <f t="shared" si="0"/>
        <v>29.873067545028761</v>
      </c>
      <c r="X34" s="4">
        <f t="shared" si="1"/>
        <v>0.2078307374778397</v>
      </c>
      <c r="Y34" s="3">
        <f t="shared" si="2"/>
        <v>28.286905202168057</v>
      </c>
      <c r="Z34" s="2">
        <f t="shared" si="3"/>
        <v>29.581903984051813</v>
      </c>
      <c r="AA34" s="3">
        <f t="shared" si="4"/>
        <v>30.044369165436677</v>
      </c>
      <c r="AB34" s="2">
        <f t="shared" si="5"/>
        <v>30.433082727933915</v>
      </c>
      <c r="AC34" s="2">
        <f t="shared" si="6"/>
        <v>30.821098859555288</v>
      </c>
      <c r="AD34" s="2">
        <f t="shared" si="7"/>
        <v>-0.99973315912575866</v>
      </c>
      <c r="AE34" s="2">
        <f t="shared" si="8"/>
        <v>0.76762158530688218</v>
      </c>
    </row>
    <row r="35" spans="2:31" x14ac:dyDescent="0.2">
      <c r="B35" s="1">
        <f>[27]FormattedData!A90</f>
        <v>402</v>
      </c>
      <c r="C35" s="1" t="str">
        <f>VLOOKUP($B35,[27]TrtCodes!$B$11:I130,2)</f>
        <v>NTH</v>
      </c>
      <c r="D35" s="1">
        <f>VLOOKUP($B35,[27]TrtCodes!$B$11:J130,3)</f>
        <v>9</v>
      </c>
      <c r="E35" s="1">
        <f>VLOOKUP($B35,[27]TrtCodes!$B$11:K130,4)</f>
        <v>2</v>
      </c>
      <c r="F35" s="1">
        <f>VLOOKUP($B35,[27]TrtCodes!$B$11:L130,5)</f>
        <v>2</v>
      </c>
      <c r="G35" s="1">
        <f>VLOOKUP($B35,[27]TrtCodes!$B$11:M130,6)</f>
        <v>2</v>
      </c>
      <c r="H35" s="1">
        <f>VLOOKUP($B35,[27]TrtCodes!$B$11:N130,7)</f>
        <v>3</v>
      </c>
      <c r="I35" s="1">
        <f>[27]FormattedData!B90</f>
        <v>1</v>
      </c>
      <c r="J35" s="4">
        <f>[27]FormattedData!C90</f>
        <v>13.465</v>
      </c>
      <c r="K35" s="6">
        <f>$J$3+[27]FormattedData!D90*$J$4+$M$4*$J$5+[27]FormattedData!D90^2*$J$6+$M$5*$J$7</f>
        <v>31.305167981978556</v>
      </c>
      <c r="L35" s="6">
        <f>$J$3+[27]FormattedData!E90*$J$4+$M$4*$J$5+[27]FormattedData!E90^2*$J$6+$M$5*$J$7</f>
        <v>31.498499751182344</v>
      </c>
      <c r="M35" s="6">
        <f>$J$3+[27]FormattedData!F90*$J$4+$M$4*$J$5+[27]FormattedData!F90^2*$J$6+$M$5*$J$7</f>
        <v>30.335973023683746</v>
      </c>
      <c r="N35" s="6">
        <f>$J$3+[27]FormattedData!G90*$J$4+$M$4*$J$5+[27]FormattedData!G90^2*$J$6+$M$5*$J$7</f>
        <v>31.98108947477802</v>
      </c>
      <c r="O35" s="6">
        <f>$J$3+[27]FormattedData!H90*$J$4+$M$4*$J$5+[27]FormattedData!H90^2*$J$6+$M$5*$J$7</f>
        <v>29.557573722316853</v>
      </c>
      <c r="P35" s="6">
        <f>$J$3+[27]FormattedData!I90*$J$4+$M$4*$J$5+[27]FormattedData!I90^2*$J$6+$M$5*$J$7</f>
        <v>29.362551211595822</v>
      </c>
      <c r="Q35" s="6">
        <f>$J$3+[27]FormattedData!J90*$J$4+$M$4*$J$5+[27]FormattedData!J90^2*$J$6+$M$5*$J$7</f>
        <v>29.264976553428408</v>
      </c>
      <c r="R35" s="6">
        <f>$J$3+[27]FormattedData!K90*$J$4+$M$4*$J$5+[27]FormattedData!K90^2*$J$6+$M$5*$J$7</f>
        <v>29.460083601225307</v>
      </c>
      <c r="S35" s="6">
        <f>$J$3+[27]FormattedData!L90*$J$4+$M$4*$J$5+[27]FormattedData!L90^2*$J$6+$M$5*$J$7</f>
        <v>29.557573722316853</v>
      </c>
      <c r="T35" s="6">
        <f>$J$3+[27]FormattedData!M90*$J$4+$M$4*$J$5+[27]FormattedData!M90^2*$J$6+$M$5*$J$7</f>
        <v>30.821098859555288</v>
      </c>
      <c r="U35" s="6">
        <f>$J$3+[27]FormattedData!N90*$J$4+$M$4*$J$5+[27]FormattedData!N90^2*$J$6+$M$5*$J$7</f>
        <v>29.849790474363928</v>
      </c>
      <c r="V35" s="6">
        <f>$J$3+[27]FormattedData!O90*$J$4+$M$4*$J$5+[27]FormattedData!O90^2*$J$6+$M$5*$J$7</f>
        <v>30.917997221115801</v>
      </c>
      <c r="W35" s="5">
        <f t="shared" si="0"/>
        <v>30.326031299795076</v>
      </c>
      <c r="X35" s="4">
        <f t="shared" si="1"/>
        <v>0.27358560160390616</v>
      </c>
      <c r="Y35" s="3">
        <f t="shared" si="2"/>
        <v>29.264976553428408</v>
      </c>
      <c r="Z35" s="2">
        <f t="shared" si="3"/>
        <v>29.533201192043968</v>
      </c>
      <c r="AA35" s="3">
        <f t="shared" si="4"/>
        <v>30.092881749023839</v>
      </c>
      <c r="AB35" s="2">
        <f t="shared" si="5"/>
        <v>31.014789911331491</v>
      </c>
      <c r="AC35" s="2">
        <f t="shared" si="6"/>
        <v>31.98108947477802</v>
      </c>
      <c r="AD35" s="2">
        <f t="shared" si="7"/>
        <v>0.4689083794262352</v>
      </c>
      <c r="AE35" s="2">
        <f t="shared" si="8"/>
        <v>-1.3114108813982241</v>
      </c>
    </row>
    <row r="36" spans="2:31" x14ac:dyDescent="0.2">
      <c r="B36" s="1">
        <f>[27]FormattedData!A88</f>
        <v>403</v>
      </c>
      <c r="C36" s="1" t="str">
        <f>VLOOKUP($B36,[27]TrtCodes!$B$11:I131,2)</f>
        <v>FDL</v>
      </c>
      <c r="D36" s="1">
        <f>VLOOKUP($B36,[27]TrtCodes!$B$11:J131,3)</f>
        <v>6</v>
      </c>
      <c r="E36" s="1">
        <f>VLOOKUP($B36,[27]TrtCodes!$B$11:K131,4)</f>
        <v>1</v>
      </c>
      <c r="F36" s="1">
        <f>VLOOKUP($B36,[27]TrtCodes!$B$11:L131,5)</f>
        <v>3</v>
      </c>
      <c r="G36" s="1">
        <f>VLOOKUP($B36,[27]TrtCodes!$B$11:M131,6)</f>
        <v>1</v>
      </c>
      <c r="H36" s="1">
        <f>VLOOKUP($B36,[27]TrtCodes!$B$11:N131,7)</f>
        <v>3</v>
      </c>
      <c r="I36" s="1">
        <f>[27]FormattedData!B88</f>
        <v>1</v>
      </c>
      <c r="J36" s="4">
        <f>[27]FormattedData!C88</f>
        <v>13.449</v>
      </c>
      <c r="K36" s="6">
        <f>$J$3+[27]FormattedData!D88*$J$4+$M$4*$J$5+[27]FormattedData!D88^2*$J$6+$M$5*$J$7</f>
        <v>31.884656067134749</v>
      </c>
      <c r="L36" s="6">
        <f>$J$3+[27]FormattedData!E88*$J$4+$M$4*$J$5+[27]FormattedData!E88^2*$J$6+$M$5*$J$7</f>
        <v>31.208438694569757</v>
      </c>
      <c r="M36" s="6">
        <f>$J$3+[27]FormattedData!F88*$J$4+$M$4*$J$5+[27]FormattedData!F88^2*$J$6+$M$5*$J$7</f>
        <v>30.627175330820464</v>
      </c>
      <c r="N36" s="6">
        <f>$J$3+[27]FormattedData!G88*$J$4+$M$4*$J$5+[27]FormattedData!G88^2*$J$6+$M$5*$J$7</f>
        <v>30.821098859555288</v>
      </c>
      <c r="O36" s="6">
        <f>$J$3+[27]FormattedData!H88*$J$4+$M$4*$J$5+[27]FormattedData!H88^2*$J$6+$M$5*$J$7</f>
        <v>29.849790474363928</v>
      </c>
      <c r="P36" s="6">
        <f>$J$3+[27]FormattedData!I88*$J$4+$M$4*$J$5+[27]FormattedData!I88^2*$J$6+$M$5*$J$7</f>
        <v>30.627175330820464</v>
      </c>
      <c r="Q36" s="6">
        <f>$J$3+[27]FormattedData!J88*$J$4+$M$4*$J$5+[27]FormattedData!J88^2*$J$6+$M$5*$J$7</f>
        <v>30.530150163646152</v>
      </c>
      <c r="R36" s="6">
        <f>$J$3+[27]FormattedData!K88*$J$4+$M$4*$J$5+[27]FormattedData!K88^2*$J$6+$M$5*$J$7</f>
        <v>30.72415822945684</v>
      </c>
      <c r="S36" s="6">
        <f>$J$3+[27]FormattedData!L88*$J$4+$M$4*$J$5+[27]FormattedData!L88^2*$J$6+$M$5*$J$7</f>
        <v>29.264976553428408</v>
      </c>
      <c r="T36" s="6">
        <f>$J$3+[27]FormattedData!M88*$J$4+$M$4*$J$5+[27]FormattedData!M88^2*$J$6+$M$5*$J$7</f>
        <v>30.335973023683746</v>
      </c>
      <c r="U36" s="6">
        <f>$J$3+[27]FormattedData!N88*$J$4+$M$4*$J$5+[27]FormattedData!N88^2*$J$6+$M$5*$J$7</f>
        <v>30.238821050895638</v>
      </c>
      <c r="V36" s="6">
        <f>$J$3+[27]FormattedData!O88*$J$4+$M$4*$J$5+[27]FormattedData!O88^2*$J$6+$M$5*$J$7</f>
        <v>30.530150163646152</v>
      </c>
      <c r="W36" s="5">
        <f t="shared" si="0"/>
        <v>30.553546995168464</v>
      </c>
      <c r="X36" s="4">
        <f t="shared" si="1"/>
        <v>0.18699055349777549</v>
      </c>
      <c r="Y36" s="3">
        <f t="shared" si="2"/>
        <v>29.264976553428408</v>
      </c>
      <c r="Z36" s="2">
        <f t="shared" si="3"/>
        <v>30.311685030486718</v>
      </c>
      <c r="AA36" s="3">
        <f t="shared" si="4"/>
        <v>30.578662747233309</v>
      </c>
      <c r="AB36" s="2">
        <f t="shared" si="5"/>
        <v>30.748393386981451</v>
      </c>
      <c r="AC36" s="2">
        <f t="shared" si="6"/>
        <v>31.884656067134749</v>
      </c>
      <c r="AD36" s="2">
        <f t="shared" si="7"/>
        <v>5.406807941385789E-2</v>
      </c>
      <c r="AE36" s="2">
        <f t="shared" si="8"/>
        <v>1.6446531458925637</v>
      </c>
    </row>
    <row r="37" spans="2:31" x14ac:dyDescent="0.2">
      <c r="B37" s="1">
        <f>[27]FormattedData!A86</f>
        <v>404</v>
      </c>
      <c r="C37" s="1" t="str">
        <f>VLOOKUP($B37,[27]TrtCodes!$B$11:I129,2)</f>
        <v>FTH</v>
      </c>
      <c r="D37" s="1">
        <f>VLOOKUP($B37,[27]TrtCodes!$B$11:J129,3)</f>
        <v>3</v>
      </c>
      <c r="E37" s="1">
        <f>VLOOKUP($B37,[27]TrtCodes!$B$11:K129,4)</f>
        <v>1</v>
      </c>
      <c r="F37" s="1">
        <f>VLOOKUP($B37,[27]TrtCodes!$B$11:L129,5)</f>
        <v>2</v>
      </c>
      <c r="G37" s="1">
        <f>VLOOKUP($B37,[27]TrtCodes!$B$11:M129,6)</f>
        <v>2</v>
      </c>
      <c r="H37" s="1">
        <f>VLOOKUP($B37,[27]TrtCodes!$B$11:N129,7)</f>
        <v>3</v>
      </c>
      <c r="I37" s="1">
        <f>[27]FormattedData!B86</f>
        <v>1</v>
      </c>
      <c r="J37" s="4">
        <f>[27]FormattedData!C86</f>
        <v>13.433999999999999</v>
      </c>
      <c r="K37" s="6">
        <f>$J$3+[27]FormattedData!D86*$J$4+$M$4*$J$5+[27]FormattedData!D86^2*$J$6+$M$5*$J$7</f>
        <v>33.230877337188829</v>
      </c>
      <c r="L37" s="6">
        <f>$J$3+[27]FormattedData!E86*$J$4+$M$4*$J$5+[27]FormattedData!E86^2*$J$6+$M$5*$J$7</f>
        <v>33.230877337188829</v>
      </c>
      <c r="M37" s="6">
        <f>$J$3+[27]FormattedData!F86*$J$4+$M$4*$J$5+[27]FormattedData!F86^2*$J$6+$M$5*$J$7</f>
        <v>32.847088059360573</v>
      </c>
      <c r="N37" s="6">
        <f>$J$3+[27]FormattedData!G86*$J$4+$M$4*$J$5+[27]FormattedData!G86^2*$J$6+$M$5*$J$7</f>
        <v>32.943098781624535</v>
      </c>
      <c r="O37" s="6">
        <f>$J$3+[27]FormattedData!H86*$J$4+$M$4*$J$5+[27]FormattedData!H86^2*$J$6+$M$5*$J$7</f>
        <v>32.366400419971804</v>
      </c>
      <c r="P37" s="6">
        <f>$J$3+[27]FormattedData!I86*$J$4+$M$4*$J$5+[27]FormattedData!I86^2*$J$6+$M$5*$J$7</f>
        <v>31.788180390953542</v>
      </c>
      <c r="Q37" s="6">
        <f>$J$3+[27]FormattedData!J86*$J$4+$M$4*$J$5+[27]FormattedData!J86^2*$J$6+$M$5*$J$7</f>
        <v>31.401855000849412</v>
      </c>
      <c r="R37" s="6">
        <f>$J$3+[27]FormattedData!K86*$J$4+$M$4*$J$5+[27]FormattedData!K86^2*$J$6+$M$5*$J$7</f>
        <v>32.654939809218853</v>
      </c>
      <c r="S37" s="6">
        <f>$J$3+[27]FormattedData!L86*$J$4+$M$4*$J$5+[27]FormattedData!L86^2*$J$6+$M$5*$J$7</f>
        <v>31.691662446234403</v>
      </c>
      <c r="T37" s="6">
        <f>$J$3+[27]FormattedData!M86*$J$4+$M$4*$J$5+[27]FormattedData!M86^2*$J$6+$M$5*$J$7</f>
        <v>33.134993420538663</v>
      </c>
      <c r="U37" s="6">
        <f>$J$3+[27]FormattedData!N86*$J$4+$M$4*$J$5+[27]FormattedData!N86^2*$J$6+$M$5*$J$7</f>
        <v>33.039067235350558</v>
      </c>
      <c r="V37" s="6">
        <f>$J$3+[27]FormattedData!O86*$J$4+$M$4*$J$5+[27]FormattedData!O86^2*$J$6+$M$5*$J$7</f>
        <v>32.943098781624535</v>
      </c>
      <c r="W37" s="5">
        <f t="shared" si="0"/>
        <v>32.606011585008709</v>
      </c>
      <c r="X37" s="4">
        <f t="shared" si="1"/>
        <v>0.18562608204144085</v>
      </c>
      <c r="Y37" s="3">
        <f t="shared" si="2"/>
        <v>31.401855000849412</v>
      </c>
      <c r="Z37" s="2">
        <f t="shared" si="3"/>
        <v>32.221845412717236</v>
      </c>
      <c r="AA37" s="3">
        <f t="shared" si="4"/>
        <v>32.895093420492557</v>
      </c>
      <c r="AB37" s="2">
        <f t="shared" si="5"/>
        <v>33.063048781647581</v>
      </c>
      <c r="AC37" s="2">
        <f t="shared" si="6"/>
        <v>33.230877337188829</v>
      </c>
      <c r="AD37" s="2">
        <f t="shared" si="7"/>
        <v>-0.92861713734372719</v>
      </c>
      <c r="AE37" s="2">
        <f t="shared" si="8"/>
        <v>-0.62348744952029422</v>
      </c>
    </row>
    <row r="38" spans="2:31" x14ac:dyDescent="0.2">
      <c r="B38" s="1">
        <f>[27]FormattedData!A84</f>
        <v>405</v>
      </c>
      <c r="C38" s="1" t="str">
        <f>VLOOKUP($B38,[27]TrtCodes!$B$11:I127,2)</f>
        <v>FDL</v>
      </c>
      <c r="D38" s="1">
        <f>VLOOKUP($B38,[27]TrtCodes!$B$11:J127,3)</f>
        <v>6</v>
      </c>
      <c r="E38" s="1">
        <f>VLOOKUP($B38,[27]TrtCodes!$B$11:K127,4)</f>
        <v>1</v>
      </c>
      <c r="F38" s="1">
        <f>VLOOKUP($B38,[27]TrtCodes!$B$11:L127,5)</f>
        <v>3</v>
      </c>
      <c r="G38" s="1">
        <f>VLOOKUP($B38,[27]TrtCodes!$B$11:M127,6)</f>
        <v>1</v>
      </c>
      <c r="H38" s="1">
        <f>VLOOKUP($B38,[27]TrtCodes!$B$11:N127,7)</f>
        <v>4</v>
      </c>
      <c r="I38" s="1">
        <f>[27]FormattedData!B84</f>
        <v>1</v>
      </c>
      <c r="J38" s="4">
        <f>[27]FormattedData!C84</f>
        <v>13.416</v>
      </c>
      <c r="K38" s="6">
        <f>$J$3+[27]FormattedData!D84*$J$4+$M$4*$J$5+[27]FormattedData!D84^2*$J$6+$M$5*$J$7</f>
        <v>31.884656067134749</v>
      </c>
      <c r="L38" s="6">
        <f>$J$3+[27]FormattedData!E84*$J$4+$M$4*$J$5+[27]FormattedData!E84^2*$J$6+$M$5*$J$7</f>
        <v>31.788180390953542</v>
      </c>
      <c r="M38" s="6">
        <f>$J$3+[27]FormattedData!F84*$J$4+$M$4*$J$5+[27]FormattedData!F84^2*$J$6+$M$5*$J$7</f>
        <v>31.305167981978556</v>
      </c>
      <c r="N38" s="6">
        <f>$J$3+[27]FormattedData!G84*$J$4+$M$4*$J$5+[27]FormattedData!G84^2*$J$6+$M$5*$J$7</f>
        <v>31.691662446234403</v>
      </c>
      <c r="O38" s="6">
        <f>$J$3+[27]FormattedData!H84*$J$4+$M$4*$J$5+[27]FormattedData!H84^2*$J$6+$M$5*$J$7</f>
        <v>31.595102232977339</v>
      </c>
      <c r="P38" s="6">
        <f>$J$3+[27]FormattedData!I84*$J$4+$M$4*$J$5+[27]FormattedData!I84^2*$J$6+$M$5*$J$7</f>
        <v>31.98108947477802</v>
      </c>
      <c r="Q38" s="6">
        <f>$J$3+[27]FormattedData!J84*$J$4+$M$4*$J$5+[27]FormattedData!J84^2*$J$6+$M$5*$J$7</f>
        <v>30.627175330820464</v>
      </c>
      <c r="R38" s="6">
        <f>$J$3+[27]FormattedData!K84*$J$4+$M$4*$J$5+[27]FormattedData!K84^2*$J$6+$M$5*$J$7</f>
        <v>31.595102232977339</v>
      </c>
      <c r="S38" s="6">
        <f>$J$3+[27]FormattedData!L84*$J$4+$M$4*$J$5+[27]FormattedData!L84^2*$J$6+$M$5*$J$7</f>
        <v>31.884656067134749</v>
      </c>
      <c r="T38" s="6">
        <f>$J$3+[27]FormattedData!M84*$J$4+$M$4*$J$5+[27]FormattedData!M84^2*$J$6+$M$5*$J$7</f>
        <v>31.884656067134749</v>
      </c>
      <c r="U38" s="6">
        <f>$J$3+[27]FormattedData!N84*$J$4+$M$4*$J$5+[27]FormattedData!N84^2*$J$6+$M$5*$J$7</f>
        <v>31.401855000849412</v>
      </c>
      <c r="V38" s="6">
        <f>$J$3+[27]FormattedData!O84*$J$4+$M$4*$J$5+[27]FormattedData!O84^2*$J$6+$M$5*$J$7</f>
        <v>31.014853314138382</v>
      </c>
      <c r="W38" s="5">
        <f t="shared" si="0"/>
        <v>31.554513050592647</v>
      </c>
      <c r="X38" s="4">
        <f t="shared" si="1"/>
        <v>0.11749665846217673</v>
      </c>
      <c r="Y38" s="3">
        <f t="shared" si="2"/>
        <v>30.627175330820464</v>
      </c>
      <c r="Z38" s="2">
        <f t="shared" si="3"/>
        <v>31.377683246131699</v>
      </c>
      <c r="AA38" s="3">
        <f t="shared" si="4"/>
        <v>31.643382339605871</v>
      </c>
      <c r="AB38" s="2">
        <f t="shared" si="5"/>
        <v>31.884656067134749</v>
      </c>
      <c r="AC38" s="2">
        <f t="shared" si="6"/>
        <v>31.98108947477802</v>
      </c>
      <c r="AD38" s="2">
        <f t="shared" si="7"/>
        <v>-1.2500364325077753</v>
      </c>
      <c r="AE38" s="2">
        <f t="shared" si="8"/>
        <v>1.1388332924897338</v>
      </c>
    </row>
    <row r="39" spans="2:31" x14ac:dyDescent="0.2">
      <c r="B39" s="1">
        <f>[27]FormattedData!A82</f>
        <v>406</v>
      </c>
      <c r="C39" s="1" t="str">
        <f>VLOOKUP($B39,[27]TrtCodes!$B$11:I125,2)</f>
        <v>FTH</v>
      </c>
      <c r="D39" s="1">
        <f>VLOOKUP($B39,[27]TrtCodes!$B$11:J125,3)</f>
        <v>3</v>
      </c>
      <c r="E39" s="1">
        <f>VLOOKUP($B39,[27]TrtCodes!$B$11:K125,4)</f>
        <v>1</v>
      </c>
      <c r="F39" s="1">
        <f>VLOOKUP($B39,[27]TrtCodes!$B$11:L125,5)</f>
        <v>2</v>
      </c>
      <c r="G39" s="1">
        <f>VLOOKUP($B39,[27]TrtCodes!$B$11:M125,6)</f>
        <v>2</v>
      </c>
      <c r="H39" s="1">
        <f>VLOOKUP($B39,[27]TrtCodes!$B$11:N125,7)</f>
        <v>4</v>
      </c>
      <c r="I39" s="1">
        <f>[27]FormattedData!B82</f>
        <v>1</v>
      </c>
      <c r="J39" s="4">
        <f>[27]FormattedData!C82</f>
        <v>13.398</v>
      </c>
      <c r="K39" s="6">
        <f>$J$3+[27]FormattedData!D82*$J$4+$M$4*$J$5+[27]FormattedData!D82^2*$J$6+$M$5*$J$7</f>
        <v>32.558802281341102</v>
      </c>
      <c r="L39" s="6">
        <f>$J$3+[27]FormattedData!E82*$J$4+$M$4*$J$5+[27]FormattedData!E82^2*$J$6+$M$5*$J$7</f>
        <v>32.366400419971804</v>
      </c>
      <c r="M39" s="6">
        <f>$J$3+[27]FormattedData!F82*$J$4+$M$4*$J$5+[27]FormattedData!F82^2*$J$6+$M$5*$J$7</f>
        <v>32.173829484450764</v>
      </c>
      <c r="N39" s="6">
        <f>$J$3+[27]FormattedData!G82*$J$4+$M$4*$J$5+[27]FormattedData!G82^2*$J$6+$M$5*$J$7</f>
        <v>32.654939809218853</v>
      </c>
      <c r="O39" s="6">
        <f>$J$3+[27]FormattedData!H82*$J$4+$M$4*$J$5+[27]FormattedData!H82^2*$J$6+$M$5*$J$7</f>
        <v>30.917997221115801</v>
      </c>
      <c r="P39" s="6">
        <f>$J$3+[27]FormattedData!I82*$J$4+$M$4*$J$5+[27]FormattedData!I82^2*$J$6+$M$5*$J$7</f>
        <v>31.208438694569757</v>
      </c>
      <c r="Q39" s="6">
        <f>$J$3+[27]FormattedData!J82*$J$4+$M$4*$J$5+[27]FormattedData!J82^2*$J$6+$M$5*$J$7</f>
        <v>30.821098859555288</v>
      </c>
      <c r="R39" s="6">
        <f>$J$3+[27]FormattedData!K82*$J$4+$M$4*$J$5+[27]FormattedData!K82^2*$J$6+$M$5*$J$7</f>
        <v>31.208438694569757</v>
      </c>
      <c r="S39" s="6">
        <f>$J$3+[27]FormattedData!L82*$J$4+$M$4*$J$5+[27]FormattedData!L82^2*$J$6+$M$5*$J$7</f>
        <v>30.530150163646152</v>
      </c>
      <c r="T39" s="6">
        <f>$J$3+[27]FormattedData!M82*$J$4+$M$4*$J$5+[27]FormattedData!M82^2*$J$6+$M$5*$J$7</f>
        <v>30.917997221115801</v>
      </c>
      <c r="U39" s="6">
        <f>$J$3+[27]FormattedData!N82*$J$4+$M$4*$J$5+[27]FormattedData!N82^2*$J$6+$M$5*$J$7</f>
        <v>30.72415822945684</v>
      </c>
      <c r="V39" s="6">
        <f>$J$3+[27]FormattedData!O82*$J$4+$M$4*$J$5+[27]FormattedData!O82^2*$J$6+$M$5*$J$7</f>
        <v>31.595102232977339</v>
      </c>
      <c r="W39" s="5">
        <f t="shared" si="0"/>
        <v>31.473112775999109</v>
      </c>
      <c r="X39" s="4">
        <f t="shared" si="1"/>
        <v>0.22209283194325999</v>
      </c>
      <c r="Y39" s="3">
        <f t="shared" si="2"/>
        <v>30.530150163646152</v>
      </c>
      <c r="Z39" s="2">
        <f t="shared" si="3"/>
        <v>30.893772630725671</v>
      </c>
      <c r="AA39" s="3">
        <f t="shared" si="4"/>
        <v>31.208438694569757</v>
      </c>
      <c r="AB39" s="2">
        <f t="shared" si="5"/>
        <v>32.221972218331025</v>
      </c>
      <c r="AC39" s="2">
        <f t="shared" si="6"/>
        <v>32.654939809218853</v>
      </c>
      <c r="AD39" s="2">
        <f t="shared" si="7"/>
        <v>0.49687417067473705</v>
      </c>
      <c r="AE39" s="2">
        <f t="shared" si="8"/>
        <v>-1.4678584649188569</v>
      </c>
    </row>
    <row r="40" spans="2:31" x14ac:dyDescent="0.2">
      <c r="B40" s="1">
        <f>[27]FormattedData!A80</f>
        <v>407</v>
      </c>
      <c r="C40" s="1" t="str">
        <f>VLOOKUP($B40,[27]TrtCodes!$B$11:I123,2)</f>
        <v>NSH</v>
      </c>
      <c r="D40" s="1">
        <f>VLOOKUP($B40,[27]TrtCodes!$B$11:J123,3)</f>
        <v>7</v>
      </c>
      <c r="E40" s="1">
        <f>VLOOKUP($B40,[27]TrtCodes!$B$11:K123,4)</f>
        <v>2</v>
      </c>
      <c r="F40" s="1">
        <f>VLOOKUP($B40,[27]TrtCodes!$B$11:L123,5)</f>
        <v>1</v>
      </c>
      <c r="G40" s="1">
        <f>VLOOKUP($B40,[27]TrtCodes!$B$11:M123,6)</f>
        <v>2</v>
      </c>
      <c r="H40" s="1">
        <f>VLOOKUP($B40,[27]TrtCodes!$B$11:N123,7)</f>
        <v>4</v>
      </c>
      <c r="I40" s="1">
        <f>[27]FormattedData!B80</f>
        <v>1</v>
      </c>
      <c r="J40" s="4">
        <f>[27]FormattedData!C80</f>
        <v>13.381</v>
      </c>
      <c r="K40" s="6">
        <f>$J$3+[27]FormattedData!D80*$J$4+$M$4*$J$5+[27]FormattedData!D80^2*$J$6+$M$5*$J$7</f>
        <v>31.498499751182344</v>
      </c>
      <c r="L40" s="6">
        <f>$J$3+[27]FormattedData!E80*$J$4+$M$4*$J$5+[27]FormattedData!E80^2*$J$6+$M$5*$J$7</f>
        <v>31.691662446234403</v>
      </c>
      <c r="M40" s="6">
        <f>$J$3+[27]FormattedData!F80*$J$4+$M$4*$J$5+[27]FormattedData!F80^2*$J$6+$M$5*$J$7</f>
        <v>30.627175330820464</v>
      </c>
      <c r="N40" s="6">
        <f>$J$3+[27]FormattedData!G80*$J$4+$M$4*$J$5+[27]FormattedData!G80^2*$J$6+$M$5*$J$7</f>
        <v>30.72415822945684</v>
      </c>
      <c r="O40" s="6">
        <f>$J$3+[27]FormattedData!H80*$J$4+$M$4*$J$5+[27]FormattedData!H80^2*$J$6+$M$5*$J$7</f>
        <v>29.069700431479788</v>
      </c>
      <c r="P40" s="6">
        <f>$J$3+[27]FormattedData!I80*$J$4+$M$4*$J$5+[27]FormattedData!I80^2*$J$6+$M$5*$J$7</f>
        <v>29.849790474363928</v>
      </c>
      <c r="Q40" s="6">
        <f>$J$3+[27]FormattedData!J80*$J$4+$M$4*$J$5+[27]FormattedData!J80^2*$J$6+$M$5*$J$7</f>
        <v>29.362551211595822</v>
      </c>
      <c r="R40" s="6">
        <f>$J$3+[27]FormattedData!K80*$J$4+$M$4*$J$5+[27]FormattedData!K80^2*$J$6+$M$5*$J$7</f>
        <v>29.557573722316853</v>
      </c>
      <c r="S40" s="6">
        <f>$J$3+[27]FormattedData!L80*$J$4+$M$4*$J$5+[27]FormattedData!L80^2*$J$6+$M$5*$J$7</f>
        <v>29.557573722316853</v>
      </c>
      <c r="T40" s="6">
        <f>$J$3+[27]FormattedData!M80*$J$4+$M$4*$J$5+[27]FormattedData!M80^2*$J$6+$M$5*$J$7</f>
        <v>29.94711152130375</v>
      </c>
      <c r="U40" s="6">
        <f>$J$3+[27]FormattedData!N80*$J$4+$M$4*$J$5+[27]FormattedData!N80^2*$J$6+$M$5*$J$7</f>
        <v>28.286905202168057</v>
      </c>
      <c r="V40" s="6">
        <f>$J$3+[27]FormattedData!O80*$J$4+$M$4*$J$5+[27]FormattedData!O80^2*$J$6+$M$5*$J$7</f>
        <v>30.141626809569608</v>
      </c>
      <c r="W40" s="5">
        <f t="shared" si="0"/>
        <v>30.02619407106739</v>
      </c>
      <c r="X40" s="4">
        <f t="shared" si="1"/>
        <v>0.28418058866516416</v>
      </c>
      <c r="Y40" s="3">
        <f t="shared" si="2"/>
        <v>28.286905202168057</v>
      </c>
      <c r="Z40" s="2">
        <f t="shared" si="3"/>
        <v>29.508818094636595</v>
      </c>
      <c r="AA40" s="3">
        <f t="shared" si="4"/>
        <v>29.898450997833841</v>
      </c>
      <c r="AB40" s="2">
        <f t="shared" si="5"/>
        <v>30.65142105547956</v>
      </c>
      <c r="AC40" s="2">
        <f t="shared" si="6"/>
        <v>31.691662446234403</v>
      </c>
      <c r="AD40" s="2">
        <f t="shared" si="7"/>
        <v>0.1977128968582747</v>
      </c>
      <c r="AE40" s="2">
        <f t="shared" si="8"/>
        <v>-0.1675163451370576</v>
      </c>
    </row>
    <row r="41" spans="2:31" x14ac:dyDescent="0.2">
      <c r="B41" s="1">
        <f>[27]FormattedData!A78</f>
        <v>408</v>
      </c>
      <c r="C41" s="1" t="str">
        <f>VLOOKUP($B41,[27]TrtCodes!$B$11:I121,2)</f>
        <v>NTL</v>
      </c>
      <c r="D41" s="1">
        <f>VLOOKUP($B41,[27]TrtCodes!$B$11:J121,3)</f>
        <v>10</v>
      </c>
      <c r="E41" s="1">
        <f>VLOOKUP($B41,[27]TrtCodes!$B$11:K121,4)</f>
        <v>2</v>
      </c>
      <c r="F41" s="1">
        <f>VLOOKUP($B41,[27]TrtCodes!$B$11:L121,5)</f>
        <v>2</v>
      </c>
      <c r="G41" s="1">
        <f>VLOOKUP($B41,[27]TrtCodes!$B$11:M121,6)</f>
        <v>1</v>
      </c>
      <c r="H41" s="1">
        <f>VLOOKUP($B41,[27]TrtCodes!$B$11:N121,7)</f>
        <v>4</v>
      </c>
      <c r="I41" s="1">
        <f>[27]FormattedData!B78</f>
        <v>1</v>
      </c>
      <c r="J41" s="4">
        <f>[27]FormattedData!C78</f>
        <v>13.365</v>
      </c>
      <c r="K41" s="6">
        <f>$J$3+[27]FormattedData!D78*$J$4+$M$4*$J$5+[27]FormattedData!D78^2*$J$6+$M$5*$J$7</f>
        <v>30.433082727933915</v>
      </c>
      <c r="L41" s="6">
        <f>$J$3+[27]FormattedData!E78*$J$4+$M$4*$J$5+[27]FormattedData!E78^2*$J$6+$M$5*$J$7</f>
        <v>30.044390299705643</v>
      </c>
      <c r="M41" s="6">
        <f>$J$3+[27]FormattedData!F78*$J$4+$M$4*$J$5+[27]FormattedData!F78^2*$J$6+$M$5*$J$7</f>
        <v>29.557573722316853</v>
      </c>
      <c r="N41" s="6">
        <f>$J$3+[27]FormattedData!G78*$J$4+$M$4*$J$5+[27]FormattedData!G78^2*$J$6+$M$5*$J$7</f>
        <v>29.460083601225307</v>
      </c>
      <c r="O41" s="6">
        <f>$J$3+[27]FormattedData!H78*$J$4+$M$4*$J$5+[27]FormattedData!H78^2*$J$6+$M$5*$J$7</f>
        <v>29.557573722316853</v>
      </c>
      <c r="P41" s="6">
        <f>$J$3+[27]FormattedData!I78*$J$4+$M$4*$J$5+[27]FormattedData!I78^2*$J$6+$M$5*$J$7</f>
        <v>29.752427158886164</v>
      </c>
      <c r="Q41" s="6">
        <f>$J$3+[27]FormattedData!J78*$J$4+$M$4*$J$5+[27]FormattedData!J78^2*$J$6+$M$5*$J$7</f>
        <v>29.849790474363928</v>
      </c>
      <c r="R41" s="6">
        <f>$J$3+[27]FormattedData!K78*$J$4+$M$4*$J$5+[27]FormattedData!K78^2*$J$6+$M$5*$J$7</f>
        <v>29.362551211595822</v>
      </c>
      <c r="S41" s="6">
        <f>$J$3+[27]FormattedData!L78*$J$4+$M$4*$J$5+[27]FormattedData!L78^2*$J$6+$M$5*$J$7</f>
        <v>29.167359626723066</v>
      </c>
      <c r="T41" s="6">
        <f>$J$3+[27]FormattedData!M78*$J$4+$M$4*$J$5+[27]FormattedData!M78^2*$J$6+$M$5*$J$7</f>
        <v>29.460083601225307</v>
      </c>
      <c r="U41" s="6">
        <f>$J$3+[27]FormattedData!N78*$J$4+$M$4*$J$5+[27]FormattedData!N78^2*$J$6+$M$5*$J$7</f>
        <v>29.655021574870478</v>
      </c>
      <c r="V41" s="6">
        <f>$J$3+[27]FormattedData!O78*$J$4+$M$4*$J$5+[27]FormattedData!O78^2*$J$6+$M$5*$J$7</f>
        <v>29.849790474363928</v>
      </c>
      <c r="W41" s="5">
        <f t="shared" si="0"/>
        <v>29.679144016293943</v>
      </c>
      <c r="X41" s="4">
        <f t="shared" si="1"/>
        <v>9.7456635110729675E-2</v>
      </c>
      <c r="Y41" s="3">
        <f t="shared" si="2"/>
        <v>29.167359626723066</v>
      </c>
      <c r="Z41" s="2">
        <f t="shared" si="3"/>
        <v>29.460083601225307</v>
      </c>
      <c r="AA41" s="3">
        <f t="shared" si="4"/>
        <v>29.606297648593667</v>
      </c>
      <c r="AB41" s="2">
        <f t="shared" si="5"/>
        <v>29.849790474363928</v>
      </c>
      <c r="AC41" s="2">
        <f t="shared" si="6"/>
        <v>30.433082727933915</v>
      </c>
      <c r="AD41" s="2">
        <f t="shared" si="7"/>
        <v>0.84262412184819679</v>
      </c>
      <c r="AE41" s="2">
        <f t="shared" si="8"/>
        <v>1.1381703886927292</v>
      </c>
    </row>
    <row r="42" spans="2:31" x14ac:dyDescent="0.2">
      <c r="B42" s="17">
        <f>[27]FormattedData!A60</f>
        <v>901</v>
      </c>
      <c r="C42" s="17" t="str">
        <f>VLOOKUP($B42,[27]TrtCodes!$B$11:I103,2)</f>
        <v>WS</v>
      </c>
      <c r="D42" s="17">
        <f>VLOOKUP($B42,[27]TrtCodes!$B$11:J103,3)</f>
        <v>32</v>
      </c>
      <c r="E42" s="17">
        <f>VLOOKUP($B42,[27]TrtCodes!$B$11:K103,4)</f>
        <v>9</v>
      </c>
      <c r="F42" s="17">
        <f>VLOOKUP($B42,[27]TrtCodes!$B$11:L103,5)</f>
        <v>0</v>
      </c>
      <c r="G42" s="17">
        <f>VLOOKUP($B42,[27]TrtCodes!$B$11:M103,6)</f>
        <v>1</v>
      </c>
      <c r="H42" s="17">
        <f>VLOOKUP($B42,[27]TrtCodes!$B$11:N103,7)</f>
        <v>1</v>
      </c>
      <c r="I42" s="17">
        <f>[27]FormattedData!B60</f>
        <v>1</v>
      </c>
      <c r="J42" s="15">
        <f>[27]FormattedData!C60</f>
        <v>13.199</v>
      </c>
      <c r="K42" s="14">
        <f>$J$3+[27]FormattedData!D60*$J$4+$M$4*$J$5+[27]FormattedData!D60^2*$J$6+$M$5*$J$7</f>
        <v>50.945163952062394</v>
      </c>
      <c r="L42" s="14">
        <f>$J$3+[27]FormattedData!E60*$J$4+$M$4*$J$5+[27]FormattedData!E60^2*$J$6+$M$5*$J$7</f>
        <v>50.769669505865551</v>
      </c>
      <c r="M42" s="14">
        <f>$J$3+[27]FormattedData!F60*$J$4+$M$4*$J$5+[27]FormattedData!F60^2*$J$6+$M$5*$J$7</f>
        <v>49.889661162605449</v>
      </c>
      <c r="N42" s="14">
        <f>$J$3+[27]FormattedData!G60*$J$4+$M$4*$J$5+[27]FormattedData!G60^2*$J$6+$M$5*$J$7</f>
        <v>50.066000979560911</v>
      </c>
      <c r="O42" s="14">
        <f>$J$3+[27]FormattedData!H60*$J$4+$M$4*$J$5+[27]FormattedData!H60^2*$J$6+$M$5*$J$7</f>
        <v>49.80142785132081</v>
      </c>
      <c r="P42" s="14">
        <f>$J$3+[27]FormattedData!I60*$J$4+$M$4*$J$5+[27]FormattedData!I60^2*$J$6+$M$5*$J$7</f>
        <v>48.561723296853195</v>
      </c>
      <c r="Q42" s="14">
        <f>$J$3+[27]FormattedData!J60*$J$4+$M$4*$J$5+[27]FormattedData!J60^2*$J$6+$M$5*$J$7</f>
        <v>49.00542596555222</v>
      </c>
      <c r="R42" s="14">
        <f>$J$3+[27]FormattedData!K60*$J$4+$M$4*$J$5+[27]FormattedData!K60^2*$J$6+$M$5*$J$7</f>
        <v>49.889661162605449</v>
      </c>
      <c r="S42" s="14">
        <f>$J$3+[27]FormattedData!L60*$J$4+$M$4*$J$5+[27]FormattedData!L60^2*$J$6+$M$5*$J$7</f>
        <v>49.80142785132081</v>
      </c>
      <c r="T42" s="14">
        <f>$J$3+[27]FormattedData!M60*$J$4+$M$4*$J$5+[27]FormattedData!M60^2*$J$6+$M$5*$J$7</f>
        <v>49.80142785132081</v>
      </c>
      <c r="U42" s="14">
        <f>$J$3+[27]FormattedData!N60*$J$4+$M$4*$J$5+[27]FormattedData!N60^2*$J$6+$M$5*$J$7</f>
        <v>50.41817339101668</v>
      </c>
      <c r="V42" s="14">
        <f>$J$3+[27]FormattedData!O60*$J$4+$M$4*$J$5+[27]FormattedData!O60^2*$J$6+$M$5*$J$7</f>
        <v>50.945163952062394</v>
      </c>
      <c r="W42" s="16">
        <f t="shared" ref="W42:W73" si="9">AVERAGE(K42:V42)</f>
        <v>49.991243910178888</v>
      </c>
      <c r="X42" s="15">
        <f t="shared" ref="X42:X73" si="10">STDEV(K42:V42)/SQRT(COUNT(K42:V42))</f>
        <v>0.2088537516321112</v>
      </c>
      <c r="Y42" s="14">
        <f t="shared" ref="Y42:Y73" si="11">MIN(K42:V42)</f>
        <v>48.561723296853195</v>
      </c>
      <c r="Z42" s="13">
        <f t="shared" ref="Z42:Z73" si="12">QUARTILE(K42:V42,1)</f>
        <v>49.80142785132081</v>
      </c>
      <c r="AA42" s="14">
        <f t="shared" ref="AA42:AA73" si="13">MEDIAN(K42:V42)</f>
        <v>49.889661162605449</v>
      </c>
      <c r="AB42" s="13">
        <f t="shared" ref="AB42:AB73" si="14">QUARTILE(K42:V42,3)</f>
        <v>50.506047419728901</v>
      </c>
      <c r="AC42" s="13">
        <f t="shared" ref="AC42:AC73" si="15">MAX(K42:V42)</f>
        <v>50.945163952062394</v>
      </c>
      <c r="AD42" s="13">
        <f t="shared" ref="AD42:AD73" si="16">SKEW(K42:V42)</f>
        <v>-0.4654986941567027</v>
      </c>
      <c r="AE42" s="13">
        <f t="shared" ref="AE42:AE73" si="17">KURT(K42:V42)</f>
        <v>9.6641373271152631E-2</v>
      </c>
    </row>
    <row r="43" spans="2:31" x14ac:dyDescent="0.2">
      <c r="B43" s="1">
        <f>[27]FormattedData!A58</f>
        <v>902</v>
      </c>
      <c r="C43" s="1" t="str">
        <f>VLOOKUP($B43,[27]TrtCodes!$B$11:I101,2)</f>
        <v>Late</v>
      </c>
      <c r="D43" s="1">
        <f>VLOOKUP($B43,[27]TrtCodes!$B$11:J101,3)</f>
        <v>22</v>
      </c>
      <c r="E43" s="1">
        <f>VLOOKUP($B43,[27]TrtCodes!$B$11:K101,4)</f>
        <v>4</v>
      </c>
      <c r="F43" s="1">
        <f>VLOOKUP($B43,[27]TrtCodes!$B$11:L101,5)</f>
        <v>2</v>
      </c>
      <c r="G43" s="1">
        <f>VLOOKUP($B43,[27]TrtCodes!$B$11:M101,6)</f>
        <v>2</v>
      </c>
      <c r="H43" s="1">
        <f>VLOOKUP($B43,[27]TrtCodes!$B$11:N101,7)</f>
        <v>1</v>
      </c>
      <c r="I43" s="1">
        <f>[27]FormattedData!B58</f>
        <v>1</v>
      </c>
      <c r="J43" s="4">
        <f>[27]FormattedData!C58</f>
        <v>13.185</v>
      </c>
      <c r="K43" s="6">
        <f>$J$3+[27]FormattedData!D58*$J$4+$M$4*$J$5+[27]FormattedData!D58^2*$J$6+$M$5*$J$7</f>
        <v>41.963325806357446</v>
      </c>
      <c r="L43" s="6">
        <f>$J$3+[27]FormattedData!E58*$J$4+$M$4*$J$5+[27]FormattedData!E58^2*$J$6+$M$5*$J$7</f>
        <v>40.116235931699087</v>
      </c>
      <c r="M43" s="6">
        <f>$J$3+[27]FormattedData!F58*$J$4+$M$4*$J$5+[27]FormattedData!F58^2*$J$6+$M$5*$J$7</f>
        <v>46.507080551623844</v>
      </c>
      <c r="N43" s="6">
        <f>$J$3+[27]FormattedData!G58*$J$4+$M$4*$J$5+[27]FormattedData!G58^2*$J$6+$M$5*$J$7</f>
        <v>40.672138172689706</v>
      </c>
      <c r="O43" s="6">
        <f>$J$3+[27]FormattedData!H58*$J$4+$M$4*$J$5+[27]FormattedData!H58^2*$J$6+$M$5*$J$7</f>
        <v>41.871372863734877</v>
      </c>
      <c r="P43" s="6">
        <f>$J$3+[27]FormattedData!I58*$J$4+$M$4*$J$5+[27]FormattedData!I58^2*$J$6+$M$5*$J$7</f>
        <v>38.999866447621301</v>
      </c>
      <c r="Q43" s="6">
        <f>$J$3+[27]FormattedData!J58*$J$4+$M$4*$J$5+[27]FormattedData!J58^2*$J$6+$M$5*$J$7</f>
        <v>42.972018451702283</v>
      </c>
      <c r="R43" s="6">
        <f>$J$3+[27]FormattedData!K58*$J$4+$M$4*$J$5+[27]FormattedData!K58^2*$J$6+$M$5*$J$7</f>
        <v>39.186350713680241</v>
      </c>
      <c r="S43" s="6">
        <f>$J$3+[27]FormattedData!L58*$J$4+$M$4*$J$5+[27]FormattedData!L58^2*$J$6+$M$5*$J$7</f>
        <v>41.871372863734877</v>
      </c>
      <c r="T43" s="6">
        <f>$J$3+[27]FormattedData!M58*$J$4+$M$4*$J$5+[27]FormattedData!M58^2*$J$6+$M$5*$J$7</f>
        <v>38.906560911784929</v>
      </c>
      <c r="U43" s="6">
        <f>$J$3+[27]FormattedData!N58*$J$4+$M$4*$J$5+[27]FormattedData!N58^2*$J$6+$M$5*$J$7</f>
        <v>44.974060263122958</v>
      </c>
      <c r="V43" s="6">
        <f>$J$3+[27]FormattedData!O58*$J$4+$M$4*$J$5+[27]FormattedData!O58^2*$J$6+$M$5*$J$7</f>
        <v>38.439399204534119</v>
      </c>
      <c r="W43" s="5">
        <f t="shared" si="9"/>
        <v>41.373315181857144</v>
      </c>
      <c r="X43" s="4">
        <f t="shared" si="10"/>
        <v>0.72770763522659598</v>
      </c>
      <c r="Y43" s="3">
        <f t="shared" si="11"/>
        <v>38.439399204534119</v>
      </c>
      <c r="Z43" s="2">
        <f t="shared" si="12"/>
        <v>39.13972964716551</v>
      </c>
      <c r="AA43" s="3">
        <f t="shared" si="13"/>
        <v>41.271755518212288</v>
      </c>
      <c r="AB43" s="2">
        <f t="shared" si="14"/>
        <v>42.215498967693655</v>
      </c>
      <c r="AC43" s="2">
        <f t="shared" si="15"/>
        <v>46.507080551623844</v>
      </c>
      <c r="AD43" s="2">
        <f t="shared" si="16"/>
        <v>0.81788374213210846</v>
      </c>
      <c r="AE43" s="2">
        <f t="shared" si="17"/>
        <v>1.6901727913976039E-2</v>
      </c>
    </row>
    <row r="44" spans="2:31" x14ac:dyDescent="0.2">
      <c r="B44" s="17">
        <f>[27]FormattedData!A56</f>
        <v>903</v>
      </c>
      <c r="C44" s="17" t="str">
        <f>VLOOKUP($B44,[27]TrtCodes!$B$11:I99,2)</f>
        <v>DS</v>
      </c>
      <c r="D44" s="17">
        <f>VLOOKUP($B44,[27]TrtCodes!$B$11:J99,3)</f>
        <v>31</v>
      </c>
      <c r="E44" s="17">
        <f>VLOOKUP($B44,[27]TrtCodes!$B$11:K99,4)</f>
        <v>8</v>
      </c>
      <c r="F44" s="17">
        <f>VLOOKUP($B44,[27]TrtCodes!$B$11:L99,5)</f>
        <v>0</v>
      </c>
      <c r="G44" s="17">
        <f>VLOOKUP($B44,[27]TrtCodes!$B$11:M99,6)</f>
        <v>1</v>
      </c>
      <c r="H44" s="17">
        <f>VLOOKUP($B44,[27]TrtCodes!$B$11:N99,7)</f>
        <v>1</v>
      </c>
      <c r="I44" s="17">
        <f>[27]FormattedData!B56</f>
        <v>1</v>
      </c>
      <c r="J44" s="15">
        <f>[27]FormattedData!C56</f>
        <v>13.179</v>
      </c>
      <c r="K44" s="14">
        <f>$J$3+[27]FormattedData!D56*$J$4+$M$4*$J$5+[27]FormattedData!D56^2*$J$6+$M$5*$J$7</f>
        <v>52.168890999192044</v>
      </c>
      <c r="L44" s="14">
        <f>$J$3+[27]FormattedData!E56*$J$4+$M$4*$J$5+[27]FormattedData!E56^2*$J$6+$M$5*$J$7</f>
        <v>53.988947882196797</v>
      </c>
      <c r="M44" s="14">
        <f>$J$3+[27]FormattedData!F56*$J$4+$M$4*$J$5+[27]FormattedData!F56^2*$J$6+$M$5*$J$7</f>
        <v>53.557291746808147</v>
      </c>
      <c r="N44" s="14">
        <f>$J$3+[27]FormattedData!G56*$J$4+$M$4*$J$5+[27]FormattedData!G56^2*$J$6+$M$5*$J$7</f>
        <v>53.730081006577414</v>
      </c>
      <c r="O44" s="14">
        <f>$J$3+[27]FormattedData!H56*$J$4+$M$4*$J$5+[27]FormattedData!H56^2*$J$6+$M$5*$J$7</f>
        <v>54.333511956824971</v>
      </c>
      <c r="P44" s="14">
        <f>$J$3+[27]FormattedData!I56*$J$4+$M$4*$J$5+[27]FormattedData!I56^2*$J$6+$M$5*$J$7</f>
        <v>53.557291746808147</v>
      </c>
      <c r="Q44" s="14">
        <f>$J$3+[27]FormattedData!J56*$J$4+$M$4*$J$5+[27]FormattedData!J56^2*$J$6+$M$5*$J$7</f>
        <v>53.643707510961747</v>
      </c>
      <c r="R44" s="14">
        <f>$J$3+[27]FormattedData!K56*$J$4+$M$4*$J$5+[27]FormattedData!K56^2*$J$6+$M$5*$J$7</f>
        <v>53.730081006577414</v>
      </c>
      <c r="S44" s="14">
        <f>$J$3+[27]FormattedData!L56*$J$4+$M$4*$J$5+[27]FormattedData!L56^2*$J$6+$M$5*$J$7</f>
        <v>53.643707510961747</v>
      </c>
      <c r="T44" s="14">
        <f>$J$3+[27]FormattedData!M56*$J$4+$M$4*$J$5+[27]FormattedData!M56^2*$J$6+$M$5*$J$7</f>
        <v>53.384333412887173</v>
      </c>
      <c r="U44" s="14">
        <f>$J$3+[27]FormattedData!N56*$J$4+$M$4*$J$5+[27]FormattedData!N56^2*$J$6+$M$5*$J$7</f>
        <v>53.384333412887173</v>
      </c>
      <c r="V44" s="14">
        <f>$J$3+[27]FormattedData!O56*$J$4+$M$4*$J$5+[27]FormattedData!O56^2*$J$6+$M$5*$J$7</f>
        <v>53.557291746808147</v>
      </c>
      <c r="W44" s="16">
        <f t="shared" si="9"/>
        <v>53.556622494957566</v>
      </c>
      <c r="X44" s="15">
        <f t="shared" si="10"/>
        <v>0.14696353110238725</v>
      </c>
      <c r="Y44" s="14">
        <f t="shared" si="11"/>
        <v>52.168890999192044</v>
      </c>
      <c r="Z44" s="13">
        <f t="shared" si="12"/>
        <v>53.514052163327904</v>
      </c>
      <c r="AA44" s="14">
        <f t="shared" si="13"/>
        <v>53.600499628884947</v>
      </c>
      <c r="AB44" s="13">
        <f t="shared" si="14"/>
        <v>53.730081006577414</v>
      </c>
      <c r="AC44" s="13">
        <f t="shared" si="15"/>
        <v>54.333511956824971</v>
      </c>
      <c r="AD44" s="13">
        <f t="shared" si="16"/>
        <v>-1.7538070914134114</v>
      </c>
      <c r="AE44" s="13">
        <f t="shared" si="17"/>
        <v>5.6116129126991048</v>
      </c>
    </row>
    <row r="45" spans="2:31" x14ac:dyDescent="0.2">
      <c r="B45" s="1">
        <f>[27]FormattedData!A54</f>
        <v>904</v>
      </c>
      <c r="C45" s="1" t="str">
        <f>VLOOKUP($B45,[27]TrtCodes!$B$11:I97,2)</f>
        <v>Early</v>
      </c>
      <c r="D45" s="1">
        <f>VLOOKUP($B45,[27]TrtCodes!$B$11:J97,3)</f>
        <v>21</v>
      </c>
      <c r="E45" s="1">
        <f>VLOOKUP($B45,[27]TrtCodes!$B$11:K97,4)</f>
        <v>3</v>
      </c>
      <c r="F45" s="1">
        <f>VLOOKUP($B45,[27]TrtCodes!$B$11:L97,5)</f>
        <v>2</v>
      </c>
      <c r="G45" s="1">
        <f>VLOOKUP($B45,[27]TrtCodes!$B$11:M97,6)</f>
        <v>2</v>
      </c>
      <c r="H45" s="1">
        <f>VLOOKUP($B45,[27]TrtCodes!$B$11:N97,7)</f>
        <v>1</v>
      </c>
      <c r="I45" s="1">
        <f>[27]FormattedData!B54</f>
        <v>1</v>
      </c>
      <c r="J45" s="4">
        <f>[27]FormattedData!C54</f>
        <v>13.163</v>
      </c>
      <c r="K45" s="6">
        <f>$J$3+[27]FormattedData!D54*$J$4+$M$4*$J$5+[27]FormattedData!D54^2*$J$6+$M$5*$J$7</f>
        <v>54.333511956824971</v>
      </c>
      <c r="L45" s="6">
        <f>$J$3+[27]FormattedData!E54*$J$4+$M$4*$J$5+[27]FormattedData!E54^2*$J$6+$M$5*$J$7</f>
        <v>41.963325806357446</v>
      </c>
      <c r="M45" s="6">
        <f>$J$3+[27]FormattedData!F54*$J$4+$M$4*$J$5+[27]FormattedData!F54^2*$J$6+$M$5*$J$7</f>
        <v>47.849601062962329</v>
      </c>
      <c r="N45" s="6">
        <f>$J$3+[27]FormattedData!G54*$J$4+$M$4*$J$5+[27]FormattedData!G54^2*$J$6+$M$5*$J$7</f>
        <v>39.837714185941714</v>
      </c>
      <c r="O45" s="6">
        <f>$J$3+[27]FormattedData!H54*$J$4+$M$4*$J$5+[27]FormattedData!H54^2*$J$6+$M$5*$J$7</f>
        <v>51.120489324107517</v>
      </c>
      <c r="P45" s="6">
        <f>$J$3+[27]FormattedData!I54*$J$4+$M$4*$J$5+[27]FormattedData!I54^2*$J$6+$M$5*$J$7</f>
        <v>42.05523648044209</v>
      </c>
      <c r="Q45" s="6">
        <f>$J$3+[27]FormattedData!J54*$J$4+$M$4*$J$5+[27]FormattedData!J54^2*$J$6+$M$5*$J$7</f>
        <v>52.777647785218917</v>
      </c>
      <c r="R45" s="6">
        <f>$J$3+[27]FormattedData!K54*$J$4+$M$4*$J$5+[27]FormattedData!K54^2*$J$6+$M$5*$J$7</f>
        <v>41.04189429592482</v>
      </c>
      <c r="S45" s="6">
        <f>$J$3+[27]FormattedData!L54*$J$4+$M$4*$J$5+[27]FormattedData!L54^2*$J$6+$M$5*$J$7</f>
        <v>50.154107485231748</v>
      </c>
      <c r="T45" s="6">
        <f>$J$3+[27]FormattedData!M54*$J$4+$M$4*$J$5+[27]FormattedData!M54^2*$J$6+$M$5*$J$7</f>
        <v>40.208991976542357</v>
      </c>
      <c r="U45" s="6">
        <f>$J$3+[27]FormattedData!N54*$J$4+$M$4*$J$5+[27]FormattedData!N54^2*$J$6+$M$5*$J$7</f>
        <v>52.255983059952527</v>
      </c>
      <c r="V45" s="6">
        <f>$J$3+[27]FormattedData!O54*$J$4+$M$4*$J$5+[27]FormattedData!O54^2*$J$6+$M$5*$J$7</f>
        <v>41.963325806357446</v>
      </c>
      <c r="W45" s="5">
        <f t="shared" si="9"/>
        <v>46.296819102155325</v>
      </c>
      <c r="X45" s="4">
        <f t="shared" si="10"/>
        <v>1.6157465415194026</v>
      </c>
      <c r="Y45" s="3">
        <f t="shared" si="11"/>
        <v>39.837714185941714</v>
      </c>
      <c r="Z45" s="2">
        <f t="shared" si="12"/>
        <v>41.732967928749289</v>
      </c>
      <c r="AA45" s="3">
        <f t="shared" si="13"/>
        <v>44.952418771702213</v>
      </c>
      <c r="AB45" s="2">
        <f t="shared" si="14"/>
        <v>51.404362758068771</v>
      </c>
      <c r="AC45" s="2">
        <f t="shared" si="15"/>
        <v>54.333511956824971</v>
      </c>
      <c r="AD45" s="2">
        <f t="shared" si="16"/>
        <v>0.18477428628100842</v>
      </c>
      <c r="AE45" s="2">
        <f t="shared" si="17"/>
        <v>-1.9667688929233811</v>
      </c>
    </row>
    <row r="46" spans="2:31" x14ac:dyDescent="0.2">
      <c r="B46" s="17">
        <f>[27]FormattedData!A52</f>
        <v>905</v>
      </c>
      <c r="C46" s="17" t="str">
        <f>VLOOKUP($B46,[27]TrtCodes!$B$11:I95,2)</f>
        <v>WS</v>
      </c>
      <c r="D46" s="17">
        <f>VLOOKUP($B46,[27]TrtCodes!$B$11:J95,3)</f>
        <v>32</v>
      </c>
      <c r="E46" s="17">
        <f>VLOOKUP($B46,[27]TrtCodes!$B$11:K95,4)</f>
        <v>9</v>
      </c>
      <c r="F46" s="17">
        <f>VLOOKUP($B46,[27]TrtCodes!$B$11:L95,5)</f>
        <v>0</v>
      </c>
      <c r="G46" s="17">
        <f>VLOOKUP($B46,[27]TrtCodes!$B$11:M95,6)</f>
        <v>1</v>
      </c>
      <c r="H46" s="17">
        <f>VLOOKUP($B46,[27]TrtCodes!$B$11:N95,7)</f>
        <v>2</v>
      </c>
      <c r="I46" s="17">
        <f>[27]FormattedData!B52</f>
        <v>1</v>
      </c>
      <c r="J46" s="15">
        <f>[27]FormattedData!C52</f>
        <v>13.156000000000001</v>
      </c>
      <c r="K46" s="14">
        <f>$J$3+[27]FormattedData!D52*$J$4+$M$4*$J$5+[27]FormattedData!D52^2*$J$6+$M$5*$J$7</f>
        <v>48.027885232662641</v>
      </c>
      <c r="L46" s="14">
        <f>$J$3+[27]FormattedData!E52*$J$4+$M$4*$J$5+[27]FormattedData!E52^2*$J$6+$M$5*$J$7</f>
        <v>47.849601062962329</v>
      </c>
      <c r="M46" s="14">
        <f>$J$3+[27]FormattedData!F52*$J$4+$M$4*$J$5+[27]FormattedData!F52^2*$J$6+$M$5*$J$7</f>
        <v>46.057460287614454</v>
      </c>
      <c r="N46" s="14">
        <f>$J$3+[27]FormattedData!G52*$J$4+$M$4*$J$5+[27]FormattedData!G52^2*$J$6+$M$5*$J$7</f>
        <v>46.776345487574304</v>
      </c>
      <c r="O46" s="14">
        <f>$J$3+[27]FormattedData!H52*$J$4+$M$4*$J$5+[27]FormattedData!H52^2*$J$6+$M$5*$J$7</f>
        <v>46.507080551623844</v>
      </c>
      <c r="P46" s="14">
        <f>$J$3+[27]FormattedData!I52*$J$4+$M$4*$J$5+[27]FormattedData!I52^2*$J$6+$M$5*$J$7</f>
        <v>46.68663277746208</v>
      </c>
      <c r="Q46" s="14">
        <f>$J$3+[27]FormattedData!J52*$J$4+$M$4*$J$5+[27]FormattedData!J52^2*$J$6+$M$5*$J$7</f>
        <v>46.596877798811931</v>
      </c>
      <c r="R46" s="14">
        <f>$J$3+[27]FormattedData!K52*$J$4+$M$4*$J$5+[27]FormattedData!K52^2*$J$6+$M$5*$J$7</f>
        <v>46.507080551623844</v>
      </c>
      <c r="S46" s="14">
        <f>$J$3+[27]FormattedData!L52*$J$4+$M$4*$J$5+[27]FormattedData!L52^2*$J$6+$M$5*$J$7</f>
        <v>47.045230006683383</v>
      </c>
      <c r="T46" s="14">
        <f>$J$3+[27]FormattedData!M52*$J$4+$M$4*$J$5+[27]FormattedData!M52^2*$J$6+$M$5*$J$7</f>
        <v>46.955644102184948</v>
      </c>
      <c r="U46" s="14">
        <f>$J$3+[27]FormattedData!N52*$J$4+$M$4*$J$5+[27]FormattedData!N52^2*$J$6+$M$5*$J$7</f>
        <v>46.866015929148602</v>
      </c>
      <c r="V46" s="14">
        <f>$J$3+[27]FormattedData!O52*$J$4+$M$4*$J$5+[27]FormattedData!O52^2*$J$6+$M$5*$J$7</f>
        <v>48.116963914705892</v>
      </c>
      <c r="W46" s="16">
        <f t="shared" si="9"/>
        <v>46.999401475254864</v>
      </c>
      <c r="X46" s="15">
        <f t="shared" si="10"/>
        <v>0.18935670957540773</v>
      </c>
      <c r="Y46" s="14">
        <f t="shared" si="11"/>
        <v>46.057460287614454</v>
      </c>
      <c r="Z46" s="13">
        <f t="shared" si="12"/>
        <v>46.574428487014913</v>
      </c>
      <c r="AA46" s="14">
        <f t="shared" si="13"/>
        <v>46.821180708361453</v>
      </c>
      <c r="AB46" s="13">
        <f t="shared" si="14"/>
        <v>47.246322770753117</v>
      </c>
      <c r="AC46" s="13">
        <f t="shared" si="15"/>
        <v>48.116963914705892</v>
      </c>
      <c r="AD46" s="13">
        <f t="shared" si="16"/>
        <v>0.74002378818651171</v>
      </c>
      <c r="AE46" s="13">
        <f t="shared" si="17"/>
        <v>-0.50567781299658154</v>
      </c>
    </row>
    <row r="47" spans="2:31" x14ac:dyDescent="0.2">
      <c r="B47" s="1">
        <f>[27]FormattedData!A50</f>
        <v>906</v>
      </c>
      <c r="C47" s="1" t="str">
        <f>VLOOKUP($B47,[27]TrtCodes!$B$11:I93,2)</f>
        <v>Late</v>
      </c>
      <c r="D47" s="1">
        <f>VLOOKUP($B47,[27]TrtCodes!$B$11:J93,3)</f>
        <v>22</v>
      </c>
      <c r="E47" s="1">
        <f>VLOOKUP($B47,[27]TrtCodes!$B$11:K93,4)</f>
        <v>4</v>
      </c>
      <c r="F47" s="1">
        <f>VLOOKUP($B47,[27]TrtCodes!$B$11:L93,5)</f>
        <v>2</v>
      </c>
      <c r="G47" s="1">
        <f>VLOOKUP($B47,[27]TrtCodes!$B$11:M93,6)</f>
        <v>2</v>
      </c>
      <c r="H47" s="1">
        <f>VLOOKUP($B47,[27]TrtCodes!$B$11:N93,7)</f>
        <v>2</v>
      </c>
      <c r="I47" s="1">
        <f>[27]FormattedData!B50</f>
        <v>1</v>
      </c>
      <c r="J47" s="4">
        <f>[27]FormattedData!C50</f>
        <v>13.141999999999999</v>
      </c>
      <c r="K47" s="6">
        <f>$J$3+[27]FormattedData!D50*$J$4+$M$4*$J$5+[27]FormattedData!D50^2*$J$6+$M$5*$J$7</f>
        <v>38.158594957728461</v>
      </c>
      <c r="L47" s="6">
        <f>$J$3+[27]FormattedData!E50*$J$4+$M$4*$J$5+[27]FormattedData!E50^2*$J$6+$M$5*$J$7</f>
        <v>37.877410294081415</v>
      </c>
      <c r="M47" s="6">
        <f>$J$3+[27]FormattedData!F50*$J$4+$M$4*$J$5+[27]FormattedData!F50^2*$J$6+$M$5*$J$7</f>
        <v>40.949518667922945</v>
      </c>
      <c r="N47" s="6">
        <f>$J$3+[27]FormattedData!G50*$J$4+$M$4*$J$5+[27]FormattedData!G50^2*$J$6+$M$5*$J$7</f>
        <v>38.813213107410625</v>
      </c>
      <c r="O47" s="6">
        <f>$J$3+[27]FormattedData!H50*$J$4+$M$4*$J$5+[27]FormattedData!H50^2*$J$6+$M$5*$J$7</f>
        <v>40.857100771383131</v>
      </c>
      <c r="P47" s="6">
        <f>$J$3+[27]FormattedData!I50*$J$4+$M$4*$J$5+[27]FormattedData!I50^2*$J$6+$M$5*$J$7</f>
        <v>38.345840057470156</v>
      </c>
      <c r="Q47" s="6">
        <f>$J$3+[27]FormattedData!J50*$J$4+$M$4*$J$5+[27]FormattedData!J50^2*$J$6+$M$5*$J$7</f>
        <v>39.093129714919733</v>
      </c>
      <c r="R47" s="6">
        <f>$J$3+[27]FormattedData!K50*$J$4+$M$4*$J$5+[27]FormattedData!K50^2*$J$6+$M$5*$J$7</f>
        <v>38.906560911784929</v>
      </c>
      <c r="S47" s="6">
        <f>$J$3+[27]FormattedData!L50*$J$4+$M$4*$J$5+[27]FormattedData!L50^2*$J$6+$M$5*$J$7</f>
        <v>38.345840057470156</v>
      </c>
      <c r="T47" s="6">
        <f>$J$3+[27]FormattedData!M50*$J$4+$M$4*$J$5+[27]FormattedData!M50^2*$J$6+$M$5*$J$7</f>
        <v>38.719823034498397</v>
      </c>
      <c r="U47" s="6">
        <f>$J$3+[27]FormattedData!N50*$J$4+$M$4*$J$5+[27]FormattedData!N50^2*$J$6+$M$5*$J$7</f>
        <v>39.465760098734172</v>
      </c>
      <c r="V47" s="6">
        <f>$J$3+[27]FormattedData!O50*$J$4+$M$4*$J$5+[27]FormattedData!O50^2*$J$6+$M$5*$J$7</f>
        <v>37.78359753578988</v>
      </c>
      <c r="W47" s="5">
        <f t="shared" si="9"/>
        <v>38.9430324340995</v>
      </c>
      <c r="X47" s="4">
        <f t="shared" si="10"/>
        <v>0.2997711643582141</v>
      </c>
      <c r="Y47" s="3">
        <f t="shared" si="11"/>
        <v>37.78359753578988</v>
      </c>
      <c r="Z47" s="2">
        <f t="shared" si="12"/>
        <v>38.299028782534734</v>
      </c>
      <c r="AA47" s="3">
        <f t="shared" si="13"/>
        <v>38.766518070954511</v>
      </c>
      <c r="AB47" s="2">
        <f t="shared" si="14"/>
        <v>39.18628731087334</v>
      </c>
      <c r="AC47" s="2">
        <f t="shared" si="15"/>
        <v>40.949518667922945</v>
      </c>
      <c r="AD47" s="2">
        <f t="shared" si="16"/>
        <v>1.1248175200270796</v>
      </c>
      <c r="AE47" s="2">
        <f t="shared" si="17"/>
        <v>0.4978794300250815</v>
      </c>
    </row>
    <row r="48" spans="2:31" x14ac:dyDescent="0.2">
      <c r="B48" s="17">
        <f>[27]FormattedData!A48</f>
        <v>907</v>
      </c>
      <c r="C48" s="17" t="str">
        <f>VLOOKUP($B48,[27]TrtCodes!$B$11:I91,2)</f>
        <v>DS</v>
      </c>
      <c r="D48" s="17">
        <f>VLOOKUP($B48,[27]TrtCodes!$B$11:J91,3)</f>
        <v>31</v>
      </c>
      <c r="E48" s="17">
        <f>VLOOKUP($B48,[27]TrtCodes!$B$11:K91,4)</f>
        <v>8</v>
      </c>
      <c r="F48" s="17">
        <f>VLOOKUP($B48,[27]TrtCodes!$B$11:L91,5)</f>
        <v>0</v>
      </c>
      <c r="G48" s="17">
        <f>VLOOKUP($B48,[27]TrtCodes!$B$11:M91,6)</f>
        <v>1</v>
      </c>
      <c r="H48" s="17">
        <f>VLOOKUP($B48,[27]TrtCodes!$B$11:N91,7)</f>
        <v>2</v>
      </c>
      <c r="I48" s="17">
        <f>[27]FormattedData!B48</f>
        <v>1</v>
      </c>
      <c r="J48" s="15">
        <f>[27]FormattedData!C48</f>
        <v>13.135999999999999</v>
      </c>
      <c r="K48" s="14">
        <f>$J$3+[27]FormattedData!D48*$J$4+$M$4*$J$5+[27]FormattedData!D48^2*$J$6+$M$5*$J$7</f>
        <v>51.470632845742593</v>
      </c>
      <c r="L48" s="14">
        <f>$J$3+[27]FormattedData!E48*$J$4+$M$4*$J$5+[27]FormattedData!E48^2*$J$6+$M$5*$J$7</f>
        <v>53.470833714116637</v>
      </c>
      <c r="M48" s="14">
        <f>$J$3+[27]FormattedData!F48*$J$4+$M$4*$J$5+[27]FormattedData!F48^2*$J$6+$M$5*$J$7</f>
        <v>53.470833714116637</v>
      </c>
      <c r="N48" s="14">
        <f>$J$3+[27]FormattedData!G48*$J$4+$M$4*$J$5+[27]FormattedData!G48^2*$J$6+$M$5*$J$7</f>
        <v>53.211206004814471</v>
      </c>
      <c r="O48" s="14">
        <f>$J$3+[27]FormattedData!H48*$J$4+$M$4*$J$5+[27]FormattedData!H48^2*$J$6+$M$5*$J$7</f>
        <v>52.430040375859711</v>
      </c>
      <c r="P48" s="14">
        <f>$J$3+[27]FormattedData!I48*$J$4+$M$4*$J$5+[27]FormattedData!I48^2*$J$6+$M$5*$J$7</f>
        <v>53.124578897971219</v>
      </c>
      <c r="Q48" s="14">
        <f>$J$3+[27]FormattedData!J48*$J$4+$M$4*$J$5+[27]FormattedData!J48^2*$J$6+$M$5*$J$7</f>
        <v>51.820100070770756</v>
      </c>
      <c r="R48" s="14">
        <f>$J$3+[27]FormattedData!K48*$J$4+$M$4*$J$5+[27]FormattedData!K48^2*$J$6+$M$5*$J$7</f>
        <v>52.517005631006413</v>
      </c>
      <c r="S48" s="14">
        <f>$J$3+[27]FormattedData!L48*$J$4+$M$4*$J$5+[27]FormattedData!L48^2*$J$6+$M$5*$J$7</f>
        <v>53.384333412887173</v>
      </c>
      <c r="T48" s="14">
        <f>$J$3+[27]FormattedData!M48*$J$4+$M$4*$J$5+[27]FormattedData!M48^2*$J$6+$M$5*$J$7</f>
        <v>52.777647785218917</v>
      </c>
      <c r="U48" s="14">
        <f>$J$3+[27]FormattedData!N48*$J$4+$M$4*$J$5+[27]FormattedData!N48^2*$J$6+$M$5*$J$7</f>
        <v>52.777647785218917</v>
      </c>
      <c r="V48" s="14">
        <f>$J$3+[27]FormattedData!O48*$J$4+$M$4*$J$5+[27]FormattedData!O48^2*$J$6+$M$5*$J$7</f>
        <v>53.384333412887173</v>
      </c>
      <c r="W48" s="16">
        <f t="shared" si="9"/>
        <v>52.819932804217558</v>
      </c>
      <c r="X48" s="15">
        <f t="shared" si="10"/>
        <v>0.19065232793739287</v>
      </c>
      <c r="Y48" s="14">
        <f t="shared" si="11"/>
        <v>51.470632845742593</v>
      </c>
      <c r="Z48" s="13">
        <f t="shared" si="12"/>
        <v>52.495264317219736</v>
      </c>
      <c r="AA48" s="14">
        <f t="shared" si="13"/>
        <v>52.951113341595068</v>
      </c>
      <c r="AB48" s="13">
        <f t="shared" si="14"/>
        <v>53.384333412887173</v>
      </c>
      <c r="AC48" s="13">
        <f t="shared" si="15"/>
        <v>53.470833714116637</v>
      </c>
      <c r="AD48" s="13">
        <f t="shared" si="16"/>
        <v>-0.96339302264838511</v>
      </c>
      <c r="AE48" s="13">
        <f t="shared" si="17"/>
        <v>5.7764958505686081E-2</v>
      </c>
    </row>
    <row r="49" spans="2:31" ht="13.5" thickBot="1" x14ac:dyDescent="0.25">
      <c r="B49" s="12">
        <f>[27]FormattedData!A46</f>
        <v>908</v>
      </c>
      <c r="C49" s="12" t="str">
        <f>VLOOKUP($B49,[27]TrtCodes!$B$11:I89,2)</f>
        <v>Early</v>
      </c>
      <c r="D49" s="12">
        <f>VLOOKUP($B49,[27]TrtCodes!$B$11:J89,3)</f>
        <v>21</v>
      </c>
      <c r="E49" s="12">
        <f>VLOOKUP($B49,[27]TrtCodes!$B$11:K89,4)</f>
        <v>3</v>
      </c>
      <c r="F49" s="12">
        <f>VLOOKUP($B49,[27]TrtCodes!$B$11:L89,5)</f>
        <v>2</v>
      </c>
      <c r="G49" s="12">
        <f>VLOOKUP($B49,[27]TrtCodes!$B$11:M89,6)</f>
        <v>2</v>
      </c>
      <c r="H49" s="12">
        <f>VLOOKUP($B49,[27]TrtCodes!$B$11:N89,7)</f>
        <v>2</v>
      </c>
      <c r="I49" s="12">
        <f>[27]FormattedData!B46</f>
        <v>1</v>
      </c>
      <c r="J49" s="9">
        <f>[27]FormattedData!C46</f>
        <v>13.121</v>
      </c>
      <c r="K49" s="11">
        <f>$J$3+[27]FormattedData!D46*$J$4+$M$4*$J$5+[27]FormattedData!D46^2*$J$6+$M$5*$J$7</f>
        <v>51.558063054806524</v>
      </c>
      <c r="L49" s="11">
        <f>$J$3+[27]FormattedData!E46*$J$4+$M$4*$J$5+[27]FormattedData!E46^2*$J$6+$M$5*$J$7</f>
        <v>41.963325806357446</v>
      </c>
      <c r="M49" s="11">
        <f>$J$3+[27]FormattedData!F46*$J$4+$M$4*$J$5+[27]FormattedData!F46^2*$J$6+$M$5*$J$7</f>
        <v>53.124578897971219</v>
      </c>
      <c r="N49" s="11">
        <f>$J$3+[27]FormattedData!G46*$J$4+$M$4*$J$5+[27]FormattedData!G46^2*$J$6+$M$5*$J$7</f>
        <v>40.487006499844561</v>
      </c>
      <c r="O49" s="11">
        <f>$J$3+[27]FormattedData!H46*$J$4+$M$4*$J$5+[27]FormattedData!H46^2*$J$6+$M$5*$J$7</f>
        <v>53.124578897971219</v>
      </c>
      <c r="P49" s="11">
        <f>$J$3+[27]FormattedData!I46*$J$4+$M$4*$J$5+[27]FormattedData!I46^2*$J$6+$M$5*$J$7</f>
        <v>39.465760098734172</v>
      </c>
      <c r="Q49" s="11">
        <f>$J$3+[27]FormattedData!J46*$J$4+$M$4*$J$5+[27]FormattedData!J46^2*$J$6+$M$5*$J$7</f>
        <v>53.384333412887173</v>
      </c>
      <c r="R49" s="11">
        <f>$J$3+[27]FormattedData!K46*$J$4+$M$4*$J$5+[27]FormattedData!K46^2*$J$6+$M$5*$J$7</f>
        <v>39.093129714919733</v>
      </c>
      <c r="S49" s="11">
        <f>$J$3+[27]FormattedData!L46*$J$4+$M$4*$J$5+[27]FormattedData!L46^2*$J$6+$M$5*$J$7</f>
        <v>52.081756669893615</v>
      </c>
      <c r="T49" s="11">
        <f>$J$3+[27]FormattedData!M46*$J$4+$M$4*$J$5+[27]FormattedData!M46^2*$J$6+$M$5*$J$7</f>
        <v>40.116235931699087</v>
      </c>
      <c r="U49" s="11">
        <f>$J$3+[27]FormattedData!N46*$J$4+$M$4*$J$5+[27]FormattedData!N46^2*$J$6+$M$5*$J$7</f>
        <v>49.536474306239327</v>
      </c>
      <c r="V49" s="11">
        <f>$J$3+[27]FormattedData!O46*$J$4+$M$4*$J$5+[27]FormattedData!O46^2*$J$6+$M$5*$J$7</f>
        <v>38.626390693048236</v>
      </c>
      <c r="W49" s="10">
        <f t="shared" si="9"/>
        <v>46.046802832031027</v>
      </c>
      <c r="X49" s="9">
        <f t="shared" si="10"/>
        <v>1.8718116333813815</v>
      </c>
      <c r="Y49" s="8">
        <f t="shared" si="11"/>
        <v>38.626390693048236</v>
      </c>
      <c r="Z49" s="7">
        <f t="shared" si="12"/>
        <v>39.953616973457855</v>
      </c>
      <c r="AA49" s="8">
        <f t="shared" si="13"/>
        <v>45.749900056298387</v>
      </c>
      <c r="AB49" s="7">
        <f t="shared" si="14"/>
        <v>52.342462226913014</v>
      </c>
      <c r="AC49" s="7">
        <f t="shared" si="15"/>
        <v>53.384333412887173</v>
      </c>
      <c r="AD49" s="7">
        <f t="shared" si="16"/>
        <v>2.2198654705288031E-2</v>
      </c>
      <c r="AE49" s="7">
        <f t="shared" si="17"/>
        <v>-2.2477164047338976</v>
      </c>
    </row>
    <row r="50" spans="2:31" ht="13.5" thickTop="1" x14ac:dyDescent="0.2">
      <c r="B50" s="1">
        <f>[27]FormattedData!A29</f>
        <v>101</v>
      </c>
      <c r="C50" s="1" t="str">
        <f>VLOOKUP($B50,[27]TrtCodes!$B$11:I72,2)</f>
        <v>FSH</v>
      </c>
      <c r="D50" s="1">
        <f>VLOOKUP($B50,[27]TrtCodes!$B$11:J72,3)</f>
        <v>1</v>
      </c>
      <c r="E50" s="1">
        <f>VLOOKUP($B50,[27]TrtCodes!$B$11:K72,4)</f>
        <v>1</v>
      </c>
      <c r="F50" s="1">
        <f>VLOOKUP($B50,[27]TrtCodes!$B$11:L72,5)</f>
        <v>1</v>
      </c>
      <c r="G50" s="1">
        <f>VLOOKUP($B50,[27]TrtCodes!$B$11:M72,6)</f>
        <v>2</v>
      </c>
      <c r="H50" s="1">
        <f>VLOOKUP($B50,[27]TrtCodes!$B$11:N72,7)</f>
        <v>1</v>
      </c>
      <c r="I50" s="1">
        <f>[27]FormattedData!B29</f>
        <v>2</v>
      </c>
      <c r="J50" s="4">
        <f>[27]FormattedData!C29</f>
        <v>12.972</v>
      </c>
      <c r="K50" s="6">
        <f>$J$3+[27]FormattedData!D29*$J$4+$M$4*$J$5+[27]FormattedData!D29^2*$J$6+$M$5*$J$7</f>
        <v>28.776469234522374</v>
      </c>
      <c r="L50" s="6">
        <f>$J$3+[27]FormattedData!E29*$J$4+$M$4*$J$5+[27]FormattedData!E29^2*$J$6+$M$5*$J$7</f>
        <v>31.884656067134749</v>
      </c>
      <c r="M50" s="6">
        <f>$J$3+[27]FormattedData!F29*$J$4+$M$4*$J$5+[27]FormattedData!F29^2*$J$6+$M$5*$J$7</f>
        <v>31.014853314138382</v>
      </c>
      <c r="N50" s="6">
        <f>$J$3+[27]FormattedData!G29*$J$4+$M$4*$J$5+[27]FormattedData!G29^2*$J$6+$M$5*$J$7</f>
        <v>31.788180390953542</v>
      </c>
      <c r="O50" s="6">
        <f>$J$3+[27]FormattedData!H29*$J$4+$M$4*$J$5+[27]FormattedData!H29^2*$J$6+$M$5*$J$7</f>
        <v>31.208438694569757</v>
      </c>
      <c r="P50" s="6">
        <f>$J$3+[27]FormattedData!I29*$J$4+$M$4*$J$5+[27]FormattedData!I29^2*$J$6+$M$5*$J$7</f>
        <v>31.401855000849412</v>
      </c>
      <c r="Q50" s="6">
        <f>$J$3+[27]FormattedData!J29*$J$4+$M$4*$J$5+[27]FormattedData!J29^2*$J$6+$M$5*$J$7</f>
        <v>31.305167981978556</v>
      </c>
      <c r="R50" s="6">
        <f>$J$3+[27]FormattedData!K29*$J$4+$M$4*$J$5+[27]FormattedData!K29^2*$J$6+$M$5*$J$7</f>
        <v>31.788180390953542</v>
      </c>
      <c r="S50" s="6">
        <f>$J$3+[27]FormattedData!L29*$J$4+$M$4*$J$5+[27]FormattedData!L29^2*$J$6+$M$5*$J$7</f>
        <v>31.208438694569757</v>
      </c>
      <c r="T50" s="6">
        <f>$J$3+[27]FormattedData!M29*$J$4+$M$4*$J$5+[27]FormattedData!M29^2*$J$6+$M$5*$J$7</f>
        <v>32.654939809218853</v>
      </c>
      <c r="U50" s="6">
        <f>$J$3+[27]FormattedData!N29*$J$4+$M$4*$J$5+[27]FormattedData!N29^2*$J$6+$M$5*$J$7</f>
        <v>32.847088059360573</v>
      </c>
      <c r="V50" s="6">
        <f>$J$3+[27]FormattedData!O29*$J$4+$M$4*$J$5+[27]FormattedData!O29^2*$J$6+$M$5*$J$7</f>
        <v>32.943098781624535</v>
      </c>
      <c r="W50" s="5">
        <f t="shared" si="9"/>
        <v>31.568447201656166</v>
      </c>
      <c r="X50" s="4">
        <f t="shared" si="10"/>
        <v>0.31813253993736945</v>
      </c>
      <c r="Y50" s="3">
        <f t="shared" si="11"/>
        <v>28.776469234522374</v>
      </c>
      <c r="Z50" s="2">
        <f t="shared" si="12"/>
        <v>31.208438694569757</v>
      </c>
      <c r="AA50" s="3">
        <f t="shared" si="13"/>
        <v>31.595017695901475</v>
      </c>
      <c r="AB50" s="2">
        <f t="shared" si="14"/>
        <v>32.077227002655775</v>
      </c>
      <c r="AC50" s="2">
        <f t="shared" si="15"/>
        <v>32.943098781624535</v>
      </c>
      <c r="AD50" s="2">
        <f t="shared" si="16"/>
        <v>-1.3062395967858447</v>
      </c>
      <c r="AE50" s="2">
        <f t="shared" si="17"/>
        <v>3.2898092004309909</v>
      </c>
    </row>
    <row r="51" spans="2:31" x14ac:dyDescent="0.2">
      <c r="B51" s="1">
        <f>[27]FormattedData!A27</f>
        <v>102</v>
      </c>
      <c r="C51" s="1" t="str">
        <f>VLOOKUP($B51,[27]TrtCodes!$B$11:I70,2)</f>
        <v>FTL</v>
      </c>
      <c r="D51" s="1">
        <f>VLOOKUP($B51,[27]TrtCodes!$B$11:J70,3)</f>
        <v>4</v>
      </c>
      <c r="E51" s="1">
        <f>VLOOKUP($B51,[27]TrtCodes!$B$11:K70,4)</f>
        <v>1</v>
      </c>
      <c r="F51" s="1">
        <f>VLOOKUP($B51,[27]TrtCodes!$B$11:L70,5)</f>
        <v>2</v>
      </c>
      <c r="G51" s="1">
        <f>VLOOKUP($B51,[27]TrtCodes!$B$11:M70,6)</f>
        <v>1</v>
      </c>
      <c r="H51" s="1">
        <f>VLOOKUP($B51,[27]TrtCodes!$B$11:N70,7)</f>
        <v>1</v>
      </c>
      <c r="I51" s="1">
        <f>[27]FormattedData!B27</f>
        <v>2</v>
      </c>
      <c r="J51" s="4">
        <f>[27]FormattedData!C27</f>
        <v>12.957000000000001</v>
      </c>
      <c r="K51" s="6">
        <f>$J$3+[27]FormattedData!D27*$J$4+$M$4*$J$5+[27]FormattedData!D27^2*$J$6+$M$5*$J$7</f>
        <v>33.518275475911743</v>
      </c>
      <c r="L51" s="6">
        <f>$J$3+[27]FormattedData!E27*$J$4+$M$4*$J$5+[27]FormattedData!E27^2*$J$6+$M$5*$J$7</f>
        <v>30.917997221115801</v>
      </c>
      <c r="M51" s="6">
        <f>$J$3+[27]FormattedData!F27*$J$4+$M$4*$J$5+[27]FormattedData!F27^2*$J$6+$M$5*$J$7</f>
        <v>30.433082727933915</v>
      </c>
      <c r="N51" s="6">
        <f>$J$3+[27]FormattedData!G27*$J$4+$M$4*$J$5+[27]FormattedData!G27^2*$J$6+$M$5*$J$7</f>
        <v>30.821098859555288</v>
      </c>
      <c r="O51" s="6">
        <f>$J$3+[27]FormattedData!H27*$J$4+$M$4*$J$5+[27]FormattedData!H27^2*$J$6+$M$5*$J$7</f>
        <v>30.627175330820464</v>
      </c>
      <c r="P51" s="6">
        <f>$J$3+[27]FormattedData!I27*$J$4+$M$4*$J$5+[27]FormattedData!I27^2*$J$6+$M$5*$J$7</f>
        <v>31.208438694569757</v>
      </c>
      <c r="Q51" s="6">
        <f>$J$3+[27]FormattedData!J27*$J$4+$M$4*$J$5+[27]FormattedData!J27^2*$J$6+$M$5*$J$7</f>
        <v>30.335973023683746</v>
      </c>
      <c r="R51" s="6">
        <f>$J$3+[27]FormattedData!K27*$J$4+$M$4*$J$5+[27]FormattedData!K27^2*$J$6+$M$5*$J$7</f>
        <v>29.655021574870478</v>
      </c>
      <c r="S51" s="6">
        <f>$J$3+[27]FormattedData!L27*$J$4+$M$4*$J$5+[27]FormattedData!L27^2*$J$6+$M$5*$J$7</f>
        <v>29.752427158886164</v>
      </c>
      <c r="T51" s="6">
        <f>$J$3+[27]FormattedData!M27*$J$4+$M$4*$J$5+[27]FormattedData!M27^2*$J$6+$M$5*$J$7</f>
        <v>30.530150163646152</v>
      </c>
      <c r="U51" s="6">
        <f>$J$3+[27]FormattedData!N27*$J$4+$M$4*$J$5+[27]FormattedData!N27^2*$J$6+$M$5*$J$7</f>
        <v>31.788180390953542</v>
      </c>
      <c r="V51" s="6">
        <f>$J$3+[27]FormattedData!O27*$J$4+$M$4*$J$5+[27]FormattedData!O27^2*$J$6+$M$5*$J$7</f>
        <v>29.94711152130375</v>
      </c>
      <c r="W51" s="5">
        <f t="shared" si="9"/>
        <v>30.794577678604238</v>
      </c>
      <c r="X51" s="4">
        <f t="shared" si="10"/>
        <v>0.30320010057809649</v>
      </c>
      <c r="Y51" s="3">
        <f t="shared" si="11"/>
        <v>29.655021574870478</v>
      </c>
      <c r="Z51" s="2">
        <f t="shared" si="12"/>
        <v>30.238757648088747</v>
      </c>
      <c r="AA51" s="3">
        <f t="shared" si="13"/>
        <v>30.578662747233309</v>
      </c>
      <c r="AB51" s="2">
        <f t="shared" si="14"/>
        <v>30.990607589479289</v>
      </c>
      <c r="AC51" s="2">
        <f t="shared" si="15"/>
        <v>33.518275475911743</v>
      </c>
      <c r="AD51" s="2">
        <f t="shared" si="16"/>
        <v>1.6827146478846702</v>
      </c>
      <c r="AE51" s="2">
        <f t="shared" si="17"/>
        <v>3.6692295666291628</v>
      </c>
    </row>
    <row r="52" spans="2:31" x14ac:dyDescent="0.2">
      <c r="B52" s="1">
        <f>[27]FormattedData!A25</f>
        <v>103</v>
      </c>
      <c r="C52" s="1" t="str">
        <f>VLOOKUP($B52,[27]TrtCodes!$B$11:I68,2)</f>
        <v>FDH</v>
      </c>
      <c r="D52" s="1">
        <f>VLOOKUP($B52,[27]TrtCodes!$B$11:J68,3)</f>
        <v>5</v>
      </c>
      <c r="E52" s="1">
        <f>VLOOKUP($B52,[27]TrtCodes!$B$11:K68,4)</f>
        <v>1</v>
      </c>
      <c r="F52" s="1">
        <f>VLOOKUP($B52,[27]TrtCodes!$B$11:L68,5)</f>
        <v>3</v>
      </c>
      <c r="G52" s="1">
        <f>VLOOKUP($B52,[27]TrtCodes!$B$11:M68,6)</f>
        <v>2</v>
      </c>
      <c r="H52" s="1">
        <f>VLOOKUP($B52,[27]TrtCodes!$B$11:N68,7)</f>
        <v>1</v>
      </c>
      <c r="I52" s="1">
        <f>[27]FormattedData!B25</f>
        <v>2</v>
      </c>
      <c r="J52" s="4">
        <f>[27]FormattedData!C25</f>
        <v>12.94</v>
      </c>
      <c r="K52" s="6">
        <f>$J$3+[27]FormattedData!D25*$J$4+$M$4*$J$5+[27]FormattedData!D25^2*$J$6+$M$5*$J$7</f>
        <v>30.044390299705643</v>
      </c>
      <c r="L52" s="6">
        <f>$J$3+[27]FormattedData!E25*$J$4+$M$4*$J$5+[27]FormattedData!E25^2*$J$6+$M$5*$J$7</f>
        <v>30.530150163646152</v>
      </c>
      <c r="M52" s="6">
        <f>$J$3+[27]FormattedData!F25*$J$4+$M$4*$J$5+[27]FormattedData!F25^2*$J$6+$M$5*$J$7</f>
        <v>30.335973023683746</v>
      </c>
      <c r="N52" s="6">
        <f>$J$3+[27]FormattedData!G25*$J$4+$M$4*$J$5+[27]FormattedData!G25^2*$J$6+$M$5*$J$7</f>
        <v>32.558802281341102</v>
      </c>
      <c r="O52" s="6">
        <f>$J$3+[27]FormattedData!H25*$J$4+$M$4*$J$5+[27]FormattedData!H25^2*$J$6+$M$5*$J$7</f>
        <v>31.305167981978556</v>
      </c>
      <c r="P52" s="6">
        <f>$J$3+[27]FormattedData!I25*$J$4+$M$4*$J$5+[27]FormattedData!I25^2*$J$6+$M$5*$J$7</f>
        <v>30.433082727933915</v>
      </c>
      <c r="Q52" s="6">
        <f>$J$3+[27]FormattedData!J25*$J$4+$M$4*$J$5+[27]FormattedData!J25^2*$J$6+$M$5*$J$7</f>
        <v>30.044390299705643</v>
      </c>
      <c r="R52" s="6">
        <f>$J$3+[27]FormattedData!K25*$J$4+$M$4*$J$5+[27]FormattedData!K25^2*$J$6+$M$5*$J$7</f>
        <v>32.751035068558679</v>
      </c>
      <c r="S52" s="6">
        <f>$J$3+[27]FormattedData!L25*$J$4+$M$4*$J$5+[27]FormattedData!L25^2*$J$6+$M$5*$J$7</f>
        <v>30.627175330820464</v>
      </c>
      <c r="T52" s="6">
        <f>$J$3+[27]FormattedData!M25*$J$4+$M$4*$J$5+[27]FormattedData!M25^2*$J$6+$M$5*$J$7</f>
        <v>31.014853314138382</v>
      </c>
      <c r="U52" s="6">
        <f>$J$3+[27]FormattedData!N25*$J$4+$M$4*$J$5+[27]FormattedData!N25^2*$J$6+$M$5*$J$7</f>
        <v>32.654939809218853</v>
      </c>
      <c r="V52" s="6">
        <f>$J$3+[27]FormattedData!O25*$J$4+$M$4*$J$5+[27]FormattedData!O25^2*$J$6+$M$5*$J$7</f>
        <v>30.433082727933915</v>
      </c>
      <c r="W52" s="5">
        <f t="shared" si="9"/>
        <v>31.061086919055423</v>
      </c>
      <c r="X52" s="4">
        <f t="shared" si="10"/>
        <v>0.29584550158999512</v>
      </c>
      <c r="Y52" s="3">
        <f t="shared" si="11"/>
        <v>30.044390299705643</v>
      </c>
      <c r="Z52" s="2">
        <f t="shared" si="12"/>
        <v>30.408805301871372</v>
      </c>
      <c r="AA52" s="3">
        <f t="shared" si="13"/>
        <v>30.578662747233309</v>
      </c>
      <c r="AB52" s="2">
        <f t="shared" si="14"/>
        <v>31.618576556819193</v>
      </c>
      <c r="AC52" s="2">
        <f t="shared" si="15"/>
        <v>32.751035068558679</v>
      </c>
      <c r="AD52" s="2">
        <f t="shared" si="16"/>
        <v>0.91615328898455994</v>
      </c>
      <c r="AE52" s="2">
        <f t="shared" si="17"/>
        <v>-0.82152559921550283</v>
      </c>
    </row>
    <row r="53" spans="2:31" x14ac:dyDescent="0.2">
      <c r="B53" s="1">
        <f>[27]FormattedData!A23</f>
        <v>104</v>
      </c>
      <c r="C53" s="1" t="str">
        <f>VLOOKUP($B53,[27]TrtCodes!$B$11:I66,2)</f>
        <v>NTL</v>
      </c>
      <c r="D53" s="1">
        <f>VLOOKUP($B53,[27]TrtCodes!$B$11:J66,3)</f>
        <v>10</v>
      </c>
      <c r="E53" s="1">
        <f>VLOOKUP($B53,[27]TrtCodes!$B$11:K66,4)</f>
        <v>2</v>
      </c>
      <c r="F53" s="1">
        <f>VLOOKUP($B53,[27]TrtCodes!$B$11:L66,5)</f>
        <v>2</v>
      </c>
      <c r="G53" s="1">
        <f>VLOOKUP($B53,[27]TrtCodes!$B$11:M66,6)</f>
        <v>1</v>
      </c>
      <c r="H53" s="1">
        <f>VLOOKUP($B53,[27]TrtCodes!$B$11:N66,7)</f>
        <v>1</v>
      </c>
      <c r="I53" s="1">
        <f>[27]FormattedData!B23</f>
        <v>2</v>
      </c>
      <c r="J53" s="4">
        <f>[27]FormattedData!C23</f>
        <v>12.916</v>
      </c>
      <c r="K53" s="6">
        <f>$J$3+[27]FormattedData!D23*$J$4+$M$4*$J$5+[27]FormattedData!D23^2*$J$6+$M$5*$J$7</f>
        <v>31.014853314138382</v>
      </c>
      <c r="L53" s="6">
        <f>$J$3+[27]FormattedData!E23*$J$4+$M$4*$J$5+[27]FormattedData!E23^2*$J$6+$M$5*$J$7</f>
        <v>30.335973023683746</v>
      </c>
      <c r="M53" s="6">
        <f>$J$3+[27]FormattedData!F23*$J$4+$M$4*$J$5+[27]FormattedData!F23^2*$J$6+$M$5*$J$7</f>
        <v>30.141626809569608</v>
      </c>
      <c r="N53" s="6">
        <f>$J$3+[27]FormattedData!G23*$J$4+$M$4*$J$5+[27]FormattedData!G23^2*$J$6+$M$5*$J$7</f>
        <v>30.141626809569608</v>
      </c>
      <c r="O53" s="6">
        <f>$J$3+[27]FormattedData!H23*$J$4+$M$4*$J$5+[27]FormattedData!H23^2*$J$6+$M$5*$J$7</f>
        <v>30.917997221115801</v>
      </c>
      <c r="P53" s="6">
        <f>$J$3+[27]FormattedData!I23*$J$4+$M$4*$J$5+[27]FormattedData!I23^2*$J$6+$M$5*$J$7</f>
        <v>30.433082727933915</v>
      </c>
      <c r="Q53" s="6">
        <f>$J$3+[27]FormattedData!J23*$J$4+$M$4*$J$5+[27]FormattedData!J23^2*$J$6+$M$5*$J$7</f>
        <v>30.917997221115801</v>
      </c>
      <c r="R53" s="6">
        <f>$J$3+[27]FormattedData!K23*$J$4+$M$4*$J$5+[27]FormattedData!K23^2*$J$6+$M$5*$J$7</f>
        <v>30.238821050895638</v>
      </c>
      <c r="S53" s="6">
        <f>$J$3+[27]FormattedData!L23*$J$4+$M$4*$J$5+[27]FormattedData!L23^2*$J$6+$M$5*$J$7</f>
        <v>30.335973023683746</v>
      </c>
      <c r="T53" s="6">
        <f>$J$3+[27]FormattedData!M23*$J$4+$M$4*$J$5+[27]FormattedData!M23^2*$J$6+$M$5*$J$7</f>
        <v>30.044390299705643</v>
      </c>
      <c r="U53" s="6">
        <f>$J$3+[27]FormattedData!N23*$J$4+$M$4*$J$5+[27]FormattedData!N23^2*$J$6+$M$5*$J$7</f>
        <v>32.07748061388336</v>
      </c>
      <c r="V53" s="6">
        <f>$J$3+[27]FormattedData!O23*$J$4+$M$4*$J$5+[27]FormattedData!O23^2*$J$6+$M$5*$J$7</f>
        <v>29.655021574870478</v>
      </c>
      <c r="W53" s="5">
        <f t="shared" si="9"/>
        <v>30.521236974180479</v>
      </c>
      <c r="X53" s="4">
        <f t="shared" si="10"/>
        <v>0.18262570919448678</v>
      </c>
      <c r="Y53" s="3">
        <f t="shared" si="11"/>
        <v>29.655021574870478</v>
      </c>
      <c r="Z53" s="2">
        <f t="shared" si="12"/>
        <v>30.141626809569608</v>
      </c>
      <c r="AA53" s="3">
        <f t="shared" si="13"/>
        <v>30.335973023683746</v>
      </c>
      <c r="AB53" s="2">
        <f t="shared" si="14"/>
        <v>30.917997221115801</v>
      </c>
      <c r="AC53" s="2">
        <f t="shared" si="15"/>
        <v>32.07748061388336</v>
      </c>
      <c r="AD53" s="2">
        <f t="shared" si="16"/>
        <v>1.3401902397197745</v>
      </c>
      <c r="AE53" s="2">
        <f t="shared" si="17"/>
        <v>2.4982004148846686</v>
      </c>
    </row>
    <row r="54" spans="2:31" x14ac:dyDescent="0.2">
      <c r="B54" s="1">
        <f>[27]FormattedData!A21</f>
        <v>105</v>
      </c>
      <c r="C54" s="1" t="str">
        <f>VLOOKUP($B54,[27]TrtCodes!$B$11:I64,2)</f>
        <v>NDL</v>
      </c>
      <c r="D54" s="1">
        <f>VLOOKUP($B54,[27]TrtCodes!$B$11:J64,3)</f>
        <v>12</v>
      </c>
      <c r="E54" s="1">
        <f>VLOOKUP($B54,[27]TrtCodes!$B$11:K64,4)</f>
        <v>2</v>
      </c>
      <c r="F54" s="1">
        <f>VLOOKUP($B54,[27]TrtCodes!$B$11:L64,5)</f>
        <v>3</v>
      </c>
      <c r="G54" s="1">
        <f>VLOOKUP($B54,[27]TrtCodes!$B$11:M64,6)</f>
        <v>1</v>
      </c>
      <c r="H54" s="1">
        <f>VLOOKUP($B54,[27]TrtCodes!$B$11:N64,7)</f>
        <v>2</v>
      </c>
      <c r="I54" s="1">
        <f>[27]FormattedData!B21</f>
        <v>2</v>
      </c>
      <c r="J54" s="4">
        <f>[27]FormattedData!C21</f>
        <v>12.9</v>
      </c>
      <c r="K54" s="6">
        <f>$J$3+[27]FormattedData!D21*$J$4+$M$4*$J$5+[27]FormattedData!D21^2*$J$6+$M$5*$J$7</f>
        <v>30.530150163646152</v>
      </c>
      <c r="L54" s="6">
        <f>$J$3+[27]FormattedData!E21*$J$4+$M$4*$J$5+[27]FormattedData!E21^2*$J$6+$M$5*$J$7</f>
        <v>31.498499751182344</v>
      </c>
      <c r="M54" s="6">
        <f>$J$3+[27]FormattedData!F21*$J$4+$M$4*$J$5+[27]FormattedData!F21^2*$J$6+$M$5*$J$7</f>
        <v>30.238821050895638</v>
      </c>
      <c r="N54" s="6">
        <f>$J$3+[27]FormattedData!G21*$J$4+$M$4*$J$5+[27]FormattedData!G21^2*$J$6+$M$5*$J$7</f>
        <v>30.917997221115801</v>
      </c>
      <c r="O54" s="6">
        <f>$J$3+[27]FormattedData!H21*$J$4+$M$4*$J$5+[27]FormattedData!H21^2*$J$6+$M$5*$J$7</f>
        <v>30.335973023683746</v>
      </c>
      <c r="P54" s="6">
        <f>$J$3+[27]FormattedData!I21*$J$4+$M$4*$J$5+[27]FormattedData!I21^2*$J$6+$M$5*$J$7</f>
        <v>30.917997221115801</v>
      </c>
      <c r="Q54" s="6">
        <f>$J$3+[27]FormattedData!J21*$J$4+$M$4*$J$5+[27]FormattedData!J21^2*$J$6+$M$5*$J$7</f>
        <v>29.94711152130375</v>
      </c>
      <c r="R54" s="6">
        <f>$J$3+[27]FormattedData!K21*$J$4+$M$4*$J$5+[27]FormattedData!K21^2*$J$6+$M$5*$J$7</f>
        <v>31.111667138623041</v>
      </c>
      <c r="S54" s="6">
        <f>$J$3+[27]FormattedData!L21*$J$4+$M$4*$J$5+[27]FormattedData!L21^2*$J$6+$M$5*$J$7</f>
        <v>29.460083601225307</v>
      </c>
      <c r="T54" s="6">
        <f>$J$3+[27]FormattedData!M21*$J$4+$M$4*$J$5+[27]FormattedData!M21^2*$J$6+$M$5*$J$7</f>
        <v>29.460083601225307</v>
      </c>
      <c r="U54" s="6">
        <f>$J$3+[27]FormattedData!N21*$J$4+$M$4*$J$5+[27]FormattedData!N21^2*$J$6+$M$5*$J$7</f>
        <v>32.462622484925419</v>
      </c>
      <c r="V54" s="6">
        <f>$J$3+[27]FormattedData!O21*$J$4+$M$4*$J$5+[27]FormattedData!O21^2*$J$6+$M$5*$J$7</f>
        <v>31.014853314138382</v>
      </c>
      <c r="W54" s="5">
        <f t="shared" si="9"/>
        <v>30.657988341090057</v>
      </c>
      <c r="X54" s="4">
        <f t="shared" si="10"/>
        <v>0.24775637448931309</v>
      </c>
      <c r="Y54" s="3">
        <f t="shared" si="11"/>
        <v>29.460083601225307</v>
      </c>
      <c r="Z54" s="2">
        <f t="shared" si="12"/>
        <v>30.165893668497667</v>
      </c>
      <c r="AA54" s="3">
        <f t="shared" si="13"/>
        <v>30.724073692380976</v>
      </c>
      <c r="AB54" s="2">
        <f t="shared" si="14"/>
        <v>31.039056770259545</v>
      </c>
      <c r="AC54" s="2">
        <f t="shared" si="15"/>
        <v>32.462622484925419</v>
      </c>
      <c r="AD54" s="2">
        <f t="shared" si="16"/>
        <v>0.47258074146280793</v>
      </c>
      <c r="AE54" s="2">
        <f t="shared" si="17"/>
        <v>0.49389182657212505</v>
      </c>
    </row>
    <row r="55" spans="2:31" x14ac:dyDescent="0.2">
      <c r="B55" s="1">
        <f>[27]FormattedData!A19</f>
        <v>106</v>
      </c>
      <c r="C55" s="1" t="str">
        <f>VLOOKUP($B55,[27]TrtCodes!$B$11:I62,2)</f>
        <v>NTH</v>
      </c>
      <c r="D55" s="1">
        <f>VLOOKUP($B55,[27]TrtCodes!$B$11:J62,3)</f>
        <v>9</v>
      </c>
      <c r="E55" s="1">
        <f>VLOOKUP($B55,[27]TrtCodes!$B$11:K62,4)</f>
        <v>2</v>
      </c>
      <c r="F55" s="1">
        <f>VLOOKUP($B55,[27]TrtCodes!$B$11:L62,5)</f>
        <v>2</v>
      </c>
      <c r="G55" s="1">
        <f>VLOOKUP($B55,[27]TrtCodes!$B$11:M62,6)</f>
        <v>2</v>
      </c>
      <c r="H55" s="1">
        <f>VLOOKUP($B55,[27]TrtCodes!$B$11:N62,7)</f>
        <v>2</v>
      </c>
      <c r="I55" s="1">
        <f>[27]FormattedData!B19</f>
        <v>2</v>
      </c>
      <c r="J55" s="4">
        <f>[27]FormattedData!C19</f>
        <v>12.885</v>
      </c>
      <c r="K55" s="6">
        <f>$J$3+[27]FormattedData!D19*$J$4+$M$4*$J$5+[27]FormattedData!D19^2*$J$6+$M$5*$J$7</f>
        <v>29.557573722316853</v>
      </c>
      <c r="L55" s="6">
        <f>$J$3+[27]FormattedData!E19*$J$4+$M$4*$J$5+[27]FormattedData!E19^2*$J$6+$M$5*$J$7</f>
        <v>28.580770427194441</v>
      </c>
      <c r="M55" s="6">
        <f>$J$3+[27]FormattedData!F19*$J$4+$M$4*$J$5+[27]FormattedData!F19^2*$J$6+$M$5*$J$7</f>
        <v>29.557573722316853</v>
      </c>
      <c r="N55" s="6">
        <f>$J$3+[27]FormattedData!G19*$J$4+$M$4*$J$5+[27]FormattedData!G19^2*$J$6+$M$5*$J$7</f>
        <v>31.111667138623041</v>
      </c>
      <c r="O55" s="6">
        <f>$J$3+[27]FormattedData!H19*$J$4+$M$4*$J$5+[27]FormattedData!H19^2*$J$6+$M$5*$J$7</f>
        <v>29.167359626723066</v>
      </c>
      <c r="P55" s="6">
        <f>$J$3+[27]FormattedData!I19*$J$4+$M$4*$J$5+[27]FormattedData!I19^2*$J$6+$M$5*$J$7</f>
        <v>31.111667138623041</v>
      </c>
      <c r="Q55" s="6">
        <f>$J$3+[27]FormattedData!J19*$J$4+$M$4*$J$5+[27]FormattedData!J19^2*$J$6+$M$5*$J$7</f>
        <v>30.821098859555288</v>
      </c>
      <c r="R55" s="6">
        <f>$J$3+[27]FormattedData!K19*$J$4+$M$4*$J$5+[27]FormattedData!K19^2*$J$6+$M$5*$J$7</f>
        <v>30.530150163646152</v>
      </c>
      <c r="S55" s="6">
        <f>$J$3+[27]FormattedData!L19*$J$4+$M$4*$J$5+[27]FormattedData!L19^2*$J$6+$M$5*$J$7</f>
        <v>32.27013608648025</v>
      </c>
      <c r="T55" s="6">
        <f>$J$3+[27]FormattedData!M19*$J$4+$M$4*$J$5+[27]FormattedData!M19^2*$J$6+$M$5*$J$7</f>
        <v>31.111667138623041</v>
      </c>
      <c r="U55" s="6">
        <f>$J$3+[27]FormattedData!N19*$J$4+$M$4*$J$5+[27]FormattedData!N19^2*$J$6+$M$5*$J$7</f>
        <v>31.111667138623041</v>
      </c>
      <c r="V55" s="6">
        <f>$J$3+[27]FormattedData!O19*$J$4+$M$4*$J$5+[27]FormattedData!O19^2*$J$6+$M$5*$J$7</f>
        <v>30.821098859555288</v>
      </c>
      <c r="W55" s="5">
        <f t="shared" si="9"/>
        <v>30.479369168523359</v>
      </c>
      <c r="X55" s="4">
        <f t="shared" si="10"/>
        <v>0.3023599854652691</v>
      </c>
      <c r="Y55" s="3">
        <f t="shared" si="11"/>
        <v>28.580770427194441</v>
      </c>
      <c r="Z55" s="2">
        <f t="shared" si="12"/>
        <v>29.557573722316853</v>
      </c>
      <c r="AA55" s="3">
        <f t="shared" si="13"/>
        <v>30.821098859555288</v>
      </c>
      <c r="AB55" s="2">
        <f t="shared" si="14"/>
        <v>31.111667138623041</v>
      </c>
      <c r="AC55" s="2">
        <f t="shared" si="15"/>
        <v>32.27013608648025</v>
      </c>
      <c r="AD55" s="2">
        <f t="shared" si="16"/>
        <v>-0.36408730679167328</v>
      </c>
      <c r="AE55" s="2">
        <f t="shared" si="17"/>
        <v>-0.32137656362897449</v>
      </c>
    </row>
    <row r="56" spans="2:31" x14ac:dyDescent="0.2">
      <c r="B56" s="1">
        <f>[27]FormattedData!A17</f>
        <v>107</v>
      </c>
      <c r="C56" s="1" t="str">
        <f>VLOOKUP($B56,[27]TrtCodes!$B$11:I60,2)</f>
        <v>NTL</v>
      </c>
      <c r="D56" s="1">
        <f>VLOOKUP($B56,[27]TrtCodes!$B$11:J60,3)</f>
        <v>10</v>
      </c>
      <c r="E56" s="1">
        <f>VLOOKUP($B56,[27]TrtCodes!$B$11:K60,4)</f>
        <v>2</v>
      </c>
      <c r="F56" s="1">
        <f>VLOOKUP($B56,[27]TrtCodes!$B$11:L60,5)</f>
        <v>2</v>
      </c>
      <c r="G56" s="1">
        <f>VLOOKUP($B56,[27]TrtCodes!$B$11:M60,6)</f>
        <v>1</v>
      </c>
      <c r="H56" s="1">
        <f>VLOOKUP($B56,[27]TrtCodes!$B$11:N60,7)</f>
        <v>2</v>
      </c>
      <c r="I56" s="1">
        <f>[27]FormattedData!B17</f>
        <v>2</v>
      </c>
      <c r="J56" s="4">
        <f>[27]FormattedData!C17</f>
        <v>12.87</v>
      </c>
      <c r="K56" s="6">
        <f>$J$3+[27]FormattedData!D17*$J$4+$M$4*$J$5+[27]FormattedData!D17^2*$J$6+$M$5*$J$7</f>
        <v>29.069700431479788</v>
      </c>
      <c r="L56" s="6">
        <f>$J$3+[27]FormattedData!E17*$J$4+$M$4*$J$5+[27]FormattedData!E17^2*$J$6+$M$5*$J$7</f>
        <v>31.401855000849412</v>
      </c>
      <c r="M56" s="6">
        <f>$J$3+[27]FormattedData!F17*$J$4+$M$4*$J$5+[27]FormattedData!F17^2*$J$6+$M$5*$J$7</f>
        <v>29.362551211595822</v>
      </c>
      <c r="N56" s="6">
        <f>$J$3+[27]FormattedData!G17*$J$4+$M$4*$J$5+[27]FormattedData!G17^2*$J$6+$M$5*$J$7</f>
        <v>31.595102232977339</v>
      </c>
      <c r="O56" s="6">
        <f>$J$3+[27]FormattedData!H17*$J$4+$M$4*$J$5+[27]FormattedData!H17^2*$J$6+$M$5*$J$7</f>
        <v>31.014853314138382</v>
      </c>
      <c r="P56" s="6">
        <f>$J$3+[27]FormattedData!I17*$J$4+$M$4*$J$5+[27]FormattedData!I17^2*$J$6+$M$5*$J$7</f>
        <v>30.530150163646152</v>
      </c>
      <c r="Q56" s="6">
        <f>$J$3+[27]FormattedData!J17*$J$4+$M$4*$J$5+[27]FormattedData!J17^2*$J$6+$M$5*$J$7</f>
        <v>30.627175330820464</v>
      </c>
      <c r="R56" s="6">
        <f>$J$3+[27]FormattedData!K17*$J$4+$M$4*$J$5+[27]FormattedData!K17^2*$J$6+$M$5*$J$7</f>
        <v>30.141626809569608</v>
      </c>
      <c r="S56" s="6">
        <f>$J$3+[27]FormattedData!L17*$J$4+$M$4*$J$5+[27]FormattedData!L17^2*$J$6+$M$5*$J$7</f>
        <v>33.422518364875373</v>
      </c>
      <c r="T56" s="6">
        <f>$J$3+[27]FormattedData!M17*$J$4+$M$4*$J$5+[27]FormattedData!M17^2*$J$6+$M$5*$J$7</f>
        <v>31.208438694569757</v>
      </c>
      <c r="U56" s="6">
        <f>$J$3+[27]FormattedData!N17*$J$4+$M$4*$J$5+[27]FormattedData!N17^2*$J$6+$M$5*$J$7</f>
        <v>30.917997221115801</v>
      </c>
      <c r="V56" s="6">
        <f>$J$3+[27]FormattedData!O17*$J$4+$M$4*$J$5+[27]FormattedData!O17^2*$J$6+$M$5*$J$7</f>
        <v>30.72415822945684</v>
      </c>
      <c r="W56" s="5">
        <f t="shared" si="9"/>
        <v>30.834677250424562</v>
      </c>
      <c r="X56" s="4">
        <f t="shared" si="10"/>
        <v>0.32200351780600484</v>
      </c>
      <c r="Y56" s="3">
        <f t="shared" si="11"/>
        <v>29.069700431479788</v>
      </c>
      <c r="Z56" s="2">
        <f t="shared" si="12"/>
        <v>30.433019325127017</v>
      </c>
      <c r="AA56" s="3">
        <f t="shared" si="13"/>
        <v>30.821077725286322</v>
      </c>
      <c r="AB56" s="2">
        <f t="shared" si="14"/>
        <v>31.256792771139672</v>
      </c>
      <c r="AC56" s="2">
        <f t="shared" si="15"/>
        <v>33.422518364875373</v>
      </c>
      <c r="AD56" s="2">
        <f t="shared" si="16"/>
        <v>0.70360684122492057</v>
      </c>
      <c r="AE56" s="2">
        <f t="shared" si="17"/>
        <v>2.068607159589309</v>
      </c>
    </row>
    <row r="57" spans="2:31" x14ac:dyDescent="0.2">
      <c r="B57" s="1">
        <f>[27]FormattedData!A15</f>
        <v>108</v>
      </c>
      <c r="C57" s="1" t="str">
        <f>VLOOKUP($B57,[27]TrtCodes!$B$11:I58,2)</f>
        <v>FTH</v>
      </c>
      <c r="D57" s="1">
        <f>VLOOKUP($B57,[27]TrtCodes!$B$11:J58,3)</f>
        <v>3</v>
      </c>
      <c r="E57" s="1">
        <f>VLOOKUP($B57,[27]TrtCodes!$B$11:K58,4)</f>
        <v>1</v>
      </c>
      <c r="F57" s="1">
        <f>VLOOKUP($B57,[27]TrtCodes!$B$11:L58,5)</f>
        <v>2</v>
      </c>
      <c r="G57" s="1">
        <f>VLOOKUP($B57,[27]TrtCodes!$B$11:M58,6)</f>
        <v>2</v>
      </c>
      <c r="H57" s="1">
        <f>VLOOKUP($B57,[27]TrtCodes!$B$11:N58,7)</f>
        <v>2</v>
      </c>
      <c r="I57" s="1">
        <f>[27]FormattedData!B15</f>
        <v>2</v>
      </c>
      <c r="J57" s="4">
        <f>[27]FormattedData!C15</f>
        <v>12.855</v>
      </c>
      <c r="K57" s="6">
        <f>$J$3+[27]FormattedData!D15*$J$4+$M$4*$J$5+[27]FormattedData!D15^2*$J$6+$M$5*$J$7</f>
        <v>30.917997221115801</v>
      </c>
      <c r="L57" s="6">
        <f>$J$3+[27]FormattedData!E15*$J$4+$M$4*$J$5+[27]FormattedData!E15^2*$J$6+$M$5*$J$7</f>
        <v>30.530150163646152</v>
      </c>
      <c r="M57" s="6">
        <f>$J$3+[27]FormattedData!F15*$J$4+$M$4*$J$5+[27]FormattedData!F15^2*$J$6+$M$5*$J$7</f>
        <v>30.530150163646152</v>
      </c>
      <c r="N57" s="6">
        <f>$J$3+[27]FormattedData!G15*$J$4+$M$4*$J$5+[27]FormattedData!G15^2*$J$6+$M$5*$J$7</f>
        <v>31.305167981978556</v>
      </c>
      <c r="O57" s="6">
        <f>$J$3+[27]FormattedData!H15*$J$4+$M$4*$J$5+[27]FormattedData!H15^2*$J$6+$M$5*$J$7</f>
        <v>32.366400419971804</v>
      </c>
      <c r="P57" s="6">
        <f>$J$3+[27]FormattedData!I15*$J$4+$M$4*$J$5+[27]FormattedData!I15^2*$J$6+$M$5*$J$7</f>
        <v>32.173829484450764</v>
      </c>
      <c r="Q57" s="6">
        <f>$J$3+[27]FormattedData!J15*$J$4+$M$4*$J$5+[27]FormattedData!J15^2*$J$6+$M$5*$J$7</f>
        <v>30.917997221115801</v>
      </c>
      <c r="R57" s="6">
        <f>$J$3+[27]FormattedData!K15*$J$4+$M$4*$J$5+[27]FormattedData!K15^2*$J$6+$M$5*$J$7</f>
        <v>31.111667138623041</v>
      </c>
      <c r="S57" s="6">
        <f>$J$3+[27]FormattedData!L15*$J$4+$M$4*$J$5+[27]FormattedData!L15^2*$J$6+$M$5*$J$7</f>
        <v>31.498499751182344</v>
      </c>
      <c r="T57" s="6">
        <f>$J$3+[27]FormattedData!M15*$J$4+$M$4*$J$5+[27]FormattedData!M15^2*$J$6+$M$5*$J$7</f>
        <v>31.884656067134749</v>
      </c>
      <c r="U57" s="6">
        <f>$J$3+[27]FormattedData!N15*$J$4+$M$4*$J$5+[27]FormattedData!N15^2*$J$6+$M$5*$J$7</f>
        <v>33.230877337188829</v>
      </c>
      <c r="V57" s="6">
        <f>$J$3+[27]FormattedData!O15*$J$4+$M$4*$J$5+[27]FormattedData!O15^2*$J$6+$M$5*$J$7</f>
        <v>31.691662446234403</v>
      </c>
      <c r="W57" s="5">
        <f t="shared" si="9"/>
        <v>31.513254616357369</v>
      </c>
      <c r="X57" s="4">
        <f t="shared" si="10"/>
        <v>0.23242227178861424</v>
      </c>
      <c r="Y57" s="3">
        <f t="shared" si="11"/>
        <v>30.530150163646152</v>
      </c>
      <c r="Z57" s="2">
        <f t="shared" si="12"/>
        <v>30.917997221115801</v>
      </c>
      <c r="AA57" s="3">
        <f t="shared" si="13"/>
        <v>31.40183386658045</v>
      </c>
      <c r="AB57" s="2">
        <f t="shared" si="14"/>
        <v>31.956949421463754</v>
      </c>
      <c r="AC57" s="2">
        <f t="shared" si="15"/>
        <v>33.230877337188829</v>
      </c>
      <c r="AD57" s="2">
        <f t="shared" si="16"/>
        <v>0.76031500727646706</v>
      </c>
      <c r="AE57" s="2">
        <f t="shared" si="17"/>
        <v>0.31324276526916783</v>
      </c>
    </row>
    <row r="58" spans="2:31" x14ac:dyDescent="0.2">
      <c r="B58" s="1">
        <f>[27]FormattedData!A31</f>
        <v>201</v>
      </c>
      <c r="C58" s="1" t="str">
        <f>VLOOKUP($B58,[27]TrtCodes!$B$11:I74,2)</f>
        <v>NDL</v>
      </c>
      <c r="D58" s="1">
        <f>VLOOKUP($B58,[27]TrtCodes!$B$11:J74,3)</f>
        <v>12</v>
      </c>
      <c r="E58" s="1">
        <f>VLOOKUP($B58,[27]TrtCodes!$B$11:K74,4)</f>
        <v>2</v>
      </c>
      <c r="F58" s="1">
        <f>VLOOKUP($B58,[27]TrtCodes!$B$11:L74,5)</f>
        <v>3</v>
      </c>
      <c r="G58" s="1">
        <f>VLOOKUP($B58,[27]TrtCodes!$B$11:M74,6)</f>
        <v>1</v>
      </c>
      <c r="H58" s="1">
        <f>VLOOKUP($B58,[27]TrtCodes!$B$11:N74,7)</f>
        <v>1</v>
      </c>
      <c r="I58" s="1">
        <f>[27]FormattedData!B31</f>
        <v>2</v>
      </c>
      <c r="J58" s="4">
        <f>[27]FormattedData!C31</f>
        <v>12.99</v>
      </c>
      <c r="K58" s="6">
        <f>$J$3+[27]FormattedData!D31*$J$4+$M$4*$J$5+[27]FormattedData!D31^2*$J$6+$M$5*$J$7</f>
        <v>31.788180390953542</v>
      </c>
      <c r="L58" s="6">
        <f>$J$3+[27]FormattedData!E31*$J$4+$M$4*$J$5+[27]FormattedData!E31^2*$J$6+$M$5*$J$7</f>
        <v>34.85443683393823</v>
      </c>
      <c r="M58" s="6">
        <f>$J$3+[27]FormattedData!F31*$J$4+$M$4*$J$5+[27]FormattedData!F31^2*$J$6+$M$5*$J$7</f>
        <v>31.111667138623041</v>
      </c>
      <c r="N58" s="6">
        <f>$J$3+[27]FormattedData!G31*$J$4+$M$4*$J$5+[27]FormattedData!G31^2*$J$6+$M$5*$J$7</f>
        <v>31.98108947477802</v>
      </c>
      <c r="O58" s="6">
        <f>$J$3+[27]FormattedData!H31*$J$4+$M$4*$J$5+[27]FormattedData!H31^2*$J$6+$M$5*$J$7</f>
        <v>31.788180390953542</v>
      </c>
      <c r="P58" s="6">
        <f>$J$3+[27]FormattedData!I31*$J$4+$M$4*$J$5+[27]FormattedData!I31^2*$J$6+$M$5*$J$7</f>
        <v>31.401855000849412</v>
      </c>
      <c r="Q58" s="6">
        <f>$J$3+[27]FormattedData!J31*$J$4+$M$4*$J$5+[27]FormattedData!J31^2*$J$6+$M$5*$J$7</f>
        <v>32.07748061388336</v>
      </c>
      <c r="R58" s="6">
        <f>$J$3+[27]FormattedData!K31*$J$4+$M$4*$J$5+[27]FormattedData!K31^2*$J$6+$M$5*$J$7</f>
        <v>31.401855000849412</v>
      </c>
      <c r="S58" s="6">
        <f>$J$3+[27]FormattedData!L31*$J$4+$M$4*$J$5+[27]FormattedData!L31^2*$J$6+$M$5*$J$7</f>
        <v>31.305167981978556</v>
      </c>
      <c r="T58" s="6">
        <f>$J$3+[27]FormattedData!M31*$J$4+$M$4*$J$5+[27]FormattedData!M31^2*$J$6+$M$5*$J$7</f>
        <v>31.98108947477802</v>
      </c>
      <c r="U58" s="6">
        <f>$J$3+[27]FormattedData!N31*$J$4+$M$4*$J$5+[27]FormattedData!N31^2*$J$6+$M$5*$J$7</f>
        <v>31.595102232977339</v>
      </c>
      <c r="V58" s="6">
        <f>$J$3+[27]FormattedData!O31*$J$4+$M$4*$J$5+[27]FormattedData!O31^2*$J$6+$M$5*$J$7</f>
        <v>32.07748061388336</v>
      </c>
      <c r="W58" s="5">
        <f t="shared" si="9"/>
        <v>31.946965429037153</v>
      </c>
      <c r="X58" s="4">
        <f t="shared" si="10"/>
        <v>0.2802587865043466</v>
      </c>
      <c r="Y58" s="3">
        <f t="shared" si="11"/>
        <v>31.111667138623041</v>
      </c>
      <c r="Z58" s="2">
        <f t="shared" si="12"/>
        <v>31.401855000849412</v>
      </c>
      <c r="AA58" s="3">
        <f t="shared" si="13"/>
        <v>31.788180390953542</v>
      </c>
      <c r="AB58" s="2">
        <f t="shared" si="14"/>
        <v>32.005187259554354</v>
      </c>
      <c r="AC58" s="2">
        <f t="shared" si="15"/>
        <v>34.85443683393823</v>
      </c>
      <c r="AD58" s="2">
        <f t="shared" si="16"/>
        <v>2.7848933704297365</v>
      </c>
      <c r="AE58" s="2">
        <f t="shared" si="17"/>
        <v>8.7925909902301367</v>
      </c>
    </row>
    <row r="59" spans="2:31" x14ac:dyDescent="0.2">
      <c r="B59" s="1">
        <f>[27]FormattedData!A33</f>
        <v>202</v>
      </c>
      <c r="C59" s="1" t="str">
        <f>VLOOKUP($B59,[27]TrtCodes!$B$11:I76,2)</f>
        <v>NTH</v>
      </c>
      <c r="D59" s="1">
        <f>VLOOKUP($B59,[27]TrtCodes!$B$11:J76,3)</f>
        <v>9</v>
      </c>
      <c r="E59" s="1">
        <f>VLOOKUP($B59,[27]TrtCodes!$B$11:K76,4)</f>
        <v>2</v>
      </c>
      <c r="F59" s="1">
        <f>VLOOKUP($B59,[27]TrtCodes!$B$11:L76,5)</f>
        <v>2</v>
      </c>
      <c r="G59" s="1">
        <f>VLOOKUP($B59,[27]TrtCodes!$B$11:M76,6)</f>
        <v>2</v>
      </c>
      <c r="H59" s="1">
        <f>VLOOKUP($B59,[27]TrtCodes!$B$11:N76,7)</f>
        <v>1</v>
      </c>
      <c r="I59" s="1">
        <f>[27]FormattedData!B33</f>
        <v>2</v>
      </c>
      <c r="J59" s="4">
        <f>[27]FormattedData!C33</f>
        <v>13.004</v>
      </c>
      <c r="K59" s="6">
        <f>$J$3+[27]FormattedData!D33*$J$4+$M$4*$J$5+[27]FormattedData!D33^2*$J$6+$M$5*$J$7</f>
        <v>31.111667138623041</v>
      </c>
      <c r="L59" s="6">
        <f>$J$3+[27]FormattedData!E33*$J$4+$M$4*$J$5+[27]FormattedData!E33^2*$J$6+$M$5*$J$7</f>
        <v>31.498499751182344</v>
      </c>
      <c r="M59" s="6">
        <f>$J$3+[27]FormattedData!F33*$J$4+$M$4*$J$5+[27]FormattedData!F33^2*$J$6+$M$5*$J$7</f>
        <v>30.141626809569608</v>
      </c>
      <c r="N59" s="6">
        <f>$J$3+[27]FormattedData!G33*$J$4+$M$4*$J$5+[27]FormattedData!G33^2*$J$6+$M$5*$J$7</f>
        <v>29.460083601225307</v>
      </c>
      <c r="O59" s="6">
        <f>$J$3+[27]FormattedData!H33*$J$4+$M$4*$J$5+[27]FormattedData!H33^2*$J$6+$M$5*$J$7</f>
        <v>31.691662446234403</v>
      </c>
      <c r="P59" s="6">
        <f>$J$3+[27]FormattedData!I33*$J$4+$M$4*$J$5+[27]FormattedData!I33^2*$J$6+$M$5*$J$7</f>
        <v>31.498499751182344</v>
      </c>
      <c r="Q59" s="6">
        <f>$J$3+[27]FormattedData!J33*$J$4+$M$4*$J$5+[27]FormattedData!J33^2*$J$6+$M$5*$J$7</f>
        <v>30.530150163646152</v>
      </c>
      <c r="R59" s="6">
        <f>$J$3+[27]FormattedData!K33*$J$4+$M$4*$J$5+[27]FormattedData!K33^2*$J$6+$M$5*$J$7</f>
        <v>33.230877337188829</v>
      </c>
      <c r="S59" s="6">
        <f>$J$3+[27]FormattedData!L33*$J$4+$M$4*$J$5+[27]FormattedData!L33^2*$J$6+$M$5*$J$7</f>
        <v>32.751035068558679</v>
      </c>
      <c r="T59" s="6">
        <f>$J$3+[27]FormattedData!M33*$J$4+$M$4*$J$5+[27]FormattedData!M33^2*$J$6+$M$5*$J$7</f>
        <v>31.305167981978556</v>
      </c>
      <c r="U59" s="6">
        <f>$J$3+[27]FormattedData!N33*$J$4+$M$4*$J$5+[27]FormattedData!N33^2*$J$6+$M$5*$J$7</f>
        <v>30.917997221115801</v>
      </c>
      <c r="V59" s="6">
        <f>$J$3+[27]FormattedData!O33*$J$4+$M$4*$J$5+[27]FormattedData!O33^2*$J$6+$M$5*$J$7</f>
        <v>30.433082727933915</v>
      </c>
      <c r="W59" s="5">
        <f t="shared" si="9"/>
        <v>31.214195833203249</v>
      </c>
      <c r="X59" s="4">
        <f t="shared" si="10"/>
        <v>0.30439212652240005</v>
      </c>
      <c r="Y59" s="3">
        <f t="shared" si="11"/>
        <v>29.460083601225307</v>
      </c>
      <c r="Z59" s="2">
        <f t="shared" si="12"/>
        <v>30.505883304718093</v>
      </c>
      <c r="AA59" s="3">
        <f t="shared" si="13"/>
        <v>31.208417560300798</v>
      </c>
      <c r="AB59" s="2">
        <f t="shared" si="14"/>
        <v>31.546790424945357</v>
      </c>
      <c r="AC59" s="2">
        <f t="shared" si="15"/>
        <v>33.230877337188829</v>
      </c>
      <c r="AD59" s="2">
        <f t="shared" si="16"/>
        <v>0.42173761623425038</v>
      </c>
      <c r="AE59" s="2">
        <f t="shared" si="17"/>
        <v>0.24618790830705528</v>
      </c>
    </row>
    <row r="60" spans="2:31" x14ac:dyDescent="0.2">
      <c r="B60" s="1">
        <f>[27]FormattedData!A35</f>
        <v>203</v>
      </c>
      <c r="C60" s="1" t="str">
        <f>VLOOKUP($B60,[27]TrtCodes!$B$11:I78,2)</f>
        <v>FTH</v>
      </c>
      <c r="D60" s="1">
        <f>VLOOKUP($B60,[27]TrtCodes!$B$11:J78,3)</f>
        <v>3</v>
      </c>
      <c r="E60" s="1">
        <f>VLOOKUP($B60,[27]TrtCodes!$B$11:K78,4)</f>
        <v>1</v>
      </c>
      <c r="F60" s="1">
        <f>VLOOKUP($B60,[27]TrtCodes!$B$11:L78,5)</f>
        <v>2</v>
      </c>
      <c r="G60" s="1">
        <f>VLOOKUP($B60,[27]TrtCodes!$B$11:M78,6)</f>
        <v>2</v>
      </c>
      <c r="H60" s="1">
        <f>VLOOKUP($B60,[27]TrtCodes!$B$11:N78,7)</f>
        <v>1</v>
      </c>
      <c r="I60" s="1">
        <f>[27]FormattedData!B35</f>
        <v>2</v>
      </c>
      <c r="J60" s="4">
        <f>[27]FormattedData!C35</f>
        <v>13.018000000000001</v>
      </c>
      <c r="K60" s="6">
        <f>$J$3+[27]FormattedData!D35*$J$4+$M$4*$J$5+[27]FormattedData!D35^2*$J$6+$M$5*$J$7</f>
        <v>31.014853314138382</v>
      </c>
      <c r="L60" s="6">
        <f>$J$3+[27]FormattedData!E35*$J$4+$M$4*$J$5+[27]FormattedData!E35^2*$J$6+$M$5*$J$7</f>
        <v>32.558802281341102</v>
      </c>
      <c r="M60" s="6">
        <f>$J$3+[27]FormattedData!F35*$J$4+$M$4*$J$5+[27]FormattedData!F35^2*$J$6+$M$5*$J$7</f>
        <v>32.558802281341102</v>
      </c>
      <c r="N60" s="6">
        <f>$J$3+[27]FormattedData!G35*$J$4+$M$4*$J$5+[27]FormattedData!G35^2*$J$6+$M$5*$J$7</f>
        <v>32.366400419971804</v>
      </c>
      <c r="O60" s="6">
        <f>$J$3+[27]FormattedData!H35*$J$4+$M$4*$J$5+[27]FormattedData!H35^2*$J$6+$M$5*$J$7</f>
        <v>30.335973023683746</v>
      </c>
      <c r="P60" s="6">
        <f>$J$3+[27]FormattedData!I35*$J$4+$M$4*$J$5+[27]FormattedData!I35^2*$J$6+$M$5*$J$7</f>
        <v>31.111667138623041</v>
      </c>
      <c r="Q60" s="6">
        <f>$J$3+[27]FormattedData!J35*$J$4+$M$4*$J$5+[27]FormattedData!J35^2*$J$6+$M$5*$J$7</f>
        <v>31.691662446234403</v>
      </c>
      <c r="R60" s="6">
        <f>$J$3+[27]FormattedData!K35*$J$4+$M$4*$J$5+[27]FormattedData!K35^2*$J$6+$M$5*$J$7</f>
        <v>31.401855000849412</v>
      </c>
      <c r="S60" s="6">
        <f>$J$3+[27]FormattedData!L35*$J$4+$M$4*$J$5+[27]FormattedData!L35^2*$J$6+$M$5*$J$7</f>
        <v>30.917997221115801</v>
      </c>
      <c r="T60" s="6">
        <f>$J$3+[27]FormattedData!M35*$J$4+$M$4*$J$5+[27]FormattedData!M35^2*$J$6+$M$5*$J$7</f>
        <v>30.72415822945684</v>
      </c>
      <c r="U60" s="6">
        <f>$J$3+[27]FormattedData!N35*$J$4+$M$4*$J$5+[27]FormattedData!N35^2*$J$6+$M$5*$J$7</f>
        <v>32.173829484450764</v>
      </c>
      <c r="V60" s="6">
        <f>$J$3+[27]FormattedData!O35*$J$4+$M$4*$J$5+[27]FormattedData!O35^2*$J$6+$M$5*$J$7</f>
        <v>31.111667138623041</v>
      </c>
      <c r="W60" s="5">
        <f t="shared" si="9"/>
        <v>31.497305664985788</v>
      </c>
      <c r="X60" s="4">
        <f t="shared" si="10"/>
        <v>0.21891067853023433</v>
      </c>
      <c r="Y60" s="3">
        <f t="shared" si="11"/>
        <v>30.335973023683746</v>
      </c>
      <c r="Z60" s="2">
        <f t="shared" si="12"/>
        <v>30.990639290882736</v>
      </c>
      <c r="AA60" s="3">
        <f t="shared" si="13"/>
        <v>31.256761069736228</v>
      </c>
      <c r="AB60" s="2">
        <f t="shared" si="14"/>
        <v>32.221972218331025</v>
      </c>
      <c r="AC60" s="2">
        <f t="shared" si="15"/>
        <v>32.558802281341102</v>
      </c>
      <c r="AD60" s="2">
        <f t="shared" si="16"/>
        <v>0.22885611941987458</v>
      </c>
      <c r="AE60" s="2">
        <f t="shared" si="17"/>
        <v>-1.3134613588459985</v>
      </c>
    </row>
    <row r="61" spans="2:31" x14ac:dyDescent="0.2">
      <c r="B61" s="1">
        <f>[27]FormattedData!A37</f>
        <v>204</v>
      </c>
      <c r="C61" s="1" t="str">
        <f>VLOOKUP($B61,[27]TrtCodes!$B$11:I80,2)</f>
        <v>NDH</v>
      </c>
      <c r="D61" s="1">
        <f>VLOOKUP($B61,[27]TrtCodes!$B$11:J80,3)</f>
        <v>11</v>
      </c>
      <c r="E61" s="1">
        <f>VLOOKUP($B61,[27]TrtCodes!$B$11:K80,4)</f>
        <v>2</v>
      </c>
      <c r="F61" s="1">
        <f>VLOOKUP($B61,[27]TrtCodes!$B$11:L80,5)</f>
        <v>3</v>
      </c>
      <c r="G61" s="1">
        <f>VLOOKUP($B61,[27]TrtCodes!$B$11:M80,6)</f>
        <v>2</v>
      </c>
      <c r="H61" s="1">
        <f>VLOOKUP($B61,[27]TrtCodes!$B$11:N80,7)</f>
        <v>1</v>
      </c>
      <c r="I61" s="1">
        <f>[27]FormattedData!B37</f>
        <v>2</v>
      </c>
      <c r="J61" s="4">
        <f>[27]FormattedData!C37</f>
        <v>13.036</v>
      </c>
      <c r="K61" s="6">
        <f>$J$3+[27]FormattedData!D37*$J$4+$M$4*$J$5+[27]FormattedData!D37^2*$J$6+$M$5*$J$7</f>
        <v>31.208438694569757</v>
      </c>
      <c r="L61" s="6">
        <f>$J$3+[27]FormattedData!E37*$J$4+$M$4*$J$5+[27]FormattedData!E37^2*$J$6+$M$5*$J$7</f>
        <v>41.595260424639569</v>
      </c>
      <c r="M61" s="6">
        <f>$J$3+[27]FormattedData!F37*$J$4+$M$4*$J$5+[27]FormattedData!F37^2*$J$6+$M$5*$J$7</f>
        <v>30.044390299705643</v>
      </c>
      <c r="N61" s="6">
        <f>$J$3+[27]FormattedData!G37*$J$4+$M$4*$J$5+[27]FormattedData!G37^2*$J$6+$M$5*$J$7</f>
        <v>32.173829484450764</v>
      </c>
      <c r="O61" s="6">
        <f>$J$3+[27]FormattedData!H37*$J$4+$M$4*$J$5+[27]FormattedData!H37^2*$J$6+$M$5*$J$7</f>
        <v>30.821098859555288</v>
      </c>
      <c r="P61" s="6">
        <f>$J$3+[27]FormattedData!I37*$J$4+$M$4*$J$5+[27]FormattedData!I37^2*$J$6+$M$5*$J$7</f>
        <v>29.94711152130375</v>
      </c>
      <c r="Q61" s="6">
        <f>$J$3+[27]FormattedData!J37*$J$4+$M$4*$J$5+[27]FormattedData!J37^2*$J$6+$M$5*$J$7</f>
        <v>31.111667138623041</v>
      </c>
      <c r="R61" s="6">
        <f>$J$3+[27]FormattedData!K37*$J$4+$M$4*$J$5+[27]FormattedData!K37^2*$J$6+$M$5*$J$7</f>
        <v>29.460083601225307</v>
      </c>
      <c r="S61" s="6">
        <f>$J$3+[27]FormattedData!L37*$J$4+$M$4*$J$5+[27]FormattedData!L37^2*$J$6+$M$5*$J$7</f>
        <v>30.72415822945684</v>
      </c>
      <c r="T61" s="6">
        <f>$J$3+[27]FormattedData!M37*$J$4+$M$4*$J$5+[27]FormattedData!M37^2*$J$6+$M$5*$J$7</f>
        <v>31.401855000849412</v>
      </c>
      <c r="U61" s="6">
        <f>$J$3+[27]FormattedData!N37*$J$4+$M$4*$J$5+[27]FormattedData!N37^2*$J$6+$M$5*$J$7</f>
        <v>29.752427158886164</v>
      </c>
      <c r="V61" s="6">
        <f>$J$3+[27]FormattedData!O37*$J$4+$M$4*$J$5+[27]FormattedData!O37^2*$J$6+$M$5*$J$7</f>
        <v>31.014853314138382</v>
      </c>
      <c r="W61" s="5">
        <f t="shared" si="9"/>
        <v>31.604597810616998</v>
      </c>
      <c r="X61" s="4">
        <f t="shared" si="10"/>
        <v>0.93552051680752779</v>
      </c>
      <c r="Y61" s="3">
        <f t="shared" si="11"/>
        <v>29.460083601225307</v>
      </c>
      <c r="Z61" s="2">
        <f t="shared" si="12"/>
        <v>30.020070605105168</v>
      </c>
      <c r="AA61" s="3">
        <f t="shared" si="13"/>
        <v>30.917976086846835</v>
      </c>
      <c r="AB61" s="2">
        <f t="shared" si="14"/>
        <v>31.256792771139672</v>
      </c>
      <c r="AC61" s="2">
        <f t="shared" si="15"/>
        <v>41.595260424639569</v>
      </c>
      <c r="AD61" s="2">
        <f t="shared" si="16"/>
        <v>3.1130911314743726</v>
      </c>
      <c r="AE61" s="2">
        <f t="shared" si="17"/>
        <v>10.267599506575472</v>
      </c>
    </row>
    <row r="62" spans="2:31" x14ac:dyDescent="0.2">
      <c r="B62" s="1">
        <f>[27]FormattedData!A39</f>
        <v>205</v>
      </c>
      <c r="C62" s="1" t="str">
        <f>VLOOKUP($B62,[27]TrtCodes!$B$11:I82,2)</f>
        <v>FSH</v>
      </c>
      <c r="D62" s="1">
        <f>VLOOKUP($B62,[27]TrtCodes!$B$11:J82,3)</f>
        <v>1</v>
      </c>
      <c r="E62" s="1">
        <f>VLOOKUP($B62,[27]TrtCodes!$B$11:K82,4)</f>
        <v>1</v>
      </c>
      <c r="F62" s="1">
        <f>VLOOKUP($B62,[27]TrtCodes!$B$11:L82,5)</f>
        <v>1</v>
      </c>
      <c r="G62" s="1">
        <f>VLOOKUP($B62,[27]TrtCodes!$B$11:M82,6)</f>
        <v>2</v>
      </c>
      <c r="H62" s="1">
        <f>VLOOKUP($B62,[27]TrtCodes!$B$11:N82,7)</f>
        <v>2</v>
      </c>
      <c r="I62" s="1">
        <f>[27]FormattedData!B39</f>
        <v>2</v>
      </c>
      <c r="J62" s="4">
        <f>[27]FormattedData!C39</f>
        <v>13.055</v>
      </c>
      <c r="K62" s="6">
        <f>$J$3+[27]FormattedData!D39*$J$4+$M$4*$J$5+[27]FormattedData!D39^2*$J$6+$M$5*$J$7</f>
        <v>30.530150163646152</v>
      </c>
      <c r="L62" s="6">
        <f>$J$3+[27]FormattedData!E39*$J$4+$M$4*$J$5+[27]FormattedData!E39^2*$J$6+$M$5*$J$7</f>
        <v>29.849790474363928</v>
      </c>
      <c r="M62" s="6">
        <f>$J$3+[27]FormattedData!F39*$J$4+$M$4*$J$5+[27]FormattedData!F39^2*$J$6+$M$5*$J$7</f>
        <v>29.849790474363928</v>
      </c>
      <c r="N62" s="6">
        <f>$J$3+[27]FormattedData!G39*$J$4+$M$4*$J$5+[27]FormattedData!G39^2*$J$6+$M$5*$J$7</f>
        <v>30.238821050895638</v>
      </c>
      <c r="O62" s="6">
        <f>$J$3+[27]FormattedData!H39*$J$4+$M$4*$J$5+[27]FormattedData!H39^2*$J$6+$M$5*$J$7</f>
        <v>29.94711152130375</v>
      </c>
      <c r="P62" s="6">
        <f>$J$3+[27]FormattedData!I39*$J$4+$M$4*$J$5+[27]FormattedData!I39^2*$J$6+$M$5*$J$7</f>
        <v>31.498499751182344</v>
      </c>
      <c r="Q62" s="6">
        <f>$J$3+[27]FormattedData!J39*$J$4+$M$4*$J$5+[27]FormattedData!J39^2*$J$6+$M$5*$J$7</f>
        <v>31.111667138623041</v>
      </c>
      <c r="R62" s="6">
        <f>$J$3+[27]FormattedData!K39*$J$4+$M$4*$J$5+[27]FormattedData!K39^2*$J$6+$M$5*$J$7</f>
        <v>31.208438694569757</v>
      </c>
      <c r="S62" s="6">
        <f>$J$3+[27]FormattedData!L39*$J$4+$M$4*$J$5+[27]FormattedData!L39^2*$J$6+$M$5*$J$7</f>
        <v>31.208438694569757</v>
      </c>
      <c r="T62" s="6">
        <f>$J$3+[27]FormattedData!M39*$J$4+$M$4*$J$5+[27]FormattedData!M39^2*$J$6+$M$5*$J$7</f>
        <v>31.208438694569757</v>
      </c>
      <c r="U62" s="6">
        <f>$J$3+[27]FormattedData!N39*$J$4+$M$4*$J$5+[27]FormattedData!N39^2*$J$6+$M$5*$J$7</f>
        <v>30.821098859555288</v>
      </c>
      <c r="V62" s="6">
        <f>$J$3+[27]FormattedData!O39*$J$4+$M$4*$J$5+[27]FormattedData!O39^2*$J$6+$M$5*$J$7</f>
        <v>29.167359626723066</v>
      </c>
      <c r="W62" s="5">
        <f t="shared" si="9"/>
        <v>30.553300428697195</v>
      </c>
      <c r="X62" s="4">
        <f t="shared" si="10"/>
        <v>0.21216939000605209</v>
      </c>
      <c r="Y62" s="3">
        <f t="shared" si="11"/>
        <v>29.167359626723066</v>
      </c>
      <c r="Z62" s="2">
        <f t="shared" si="12"/>
        <v>29.922781259568794</v>
      </c>
      <c r="AA62" s="3">
        <f t="shared" si="13"/>
        <v>30.67562451160072</v>
      </c>
      <c r="AB62" s="2">
        <f t="shared" si="14"/>
        <v>31.208438694569757</v>
      </c>
      <c r="AC62" s="2">
        <f t="shared" si="15"/>
        <v>31.498499751182344</v>
      </c>
      <c r="AD62" s="2">
        <f t="shared" si="16"/>
        <v>-0.47565264374698074</v>
      </c>
      <c r="AE62" s="2">
        <f t="shared" si="17"/>
        <v>-0.91347967219595327</v>
      </c>
    </row>
    <row r="63" spans="2:31" x14ac:dyDescent="0.2">
      <c r="B63" s="1">
        <f>[27]FormattedData!A41</f>
        <v>206</v>
      </c>
      <c r="C63" s="1" t="str">
        <f>VLOOKUP($B63,[27]TrtCodes!$B$11:I84,2)</f>
        <v>NSL</v>
      </c>
      <c r="D63" s="1">
        <f>VLOOKUP($B63,[27]TrtCodes!$B$11:J84,3)</f>
        <v>8</v>
      </c>
      <c r="E63" s="1">
        <f>VLOOKUP($B63,[27]TrtCodes!$B$11:K84,4)</f>
        <v>2</v>
      </c>
      <c r="F63" s="1">
        <f>VLOOKUP($B63,[27]TrtCodes!$B$11:L84,5)</f>
        <v>1</v>
      </c>
      <c r="G63" s="1">
        <f>VLOOKUP($B63,[27]TrtCodes!$B$11:M84,6)</f>
        <v>1</v>
      </c>
      <c r="H63" s="1">
        <f>VLOOKUP($B63,[27]TrtCodes!$B$11:N84,7)</f>
        <v>2</v>
      </c>
      <c r="I63" s="1">
        <f>[27]FormattedData!B41</f>
        <v>2</v>
      </c>
      <c r="J63" s="4">
        <f>[27]FormattedData!C41</f>
        <v>13.071999999999999</v>
      </c>
      <c r="K63" s="6">
        <f>$J$3+[27]FormattedData!D41*$J$4+$M$4*$J$5+[27]FormattedData!D41^2*$J$6+$M$5*$J$7</f>
        <v>29.362551211595822</v>
      </c>
      <c r="L63" s="6">
        <f>$J$3+[27]FormattedData!E41*$J$4+$M$4*$J$5+[27]FormattedData!E41^2*$J$6+$M$5*$J$7</f>
        <v>29.362551211595822</v>
      </c>
      <c r="M63" s="6">
        <f>$J$3+[27]FormattedData!F41*$J$4+$M$4*$J$5+[27]FormattedData!F41^2*$J$6+$M$5*$J$7</f>
        <v>29.069700431479788</v>
      </c>
      <c r="N63" s="6">
        <f>$J$3+[27]FormattedData!G41*$J$4+$M$4*$J$5+[27]FormattedData!G41^2*$J$6+$M$5*$J$7</f>
        <v>28.776469234522374</v>
      </c>
      <c r="O63" s="6">
        <f>$J$3+[27]FormattedData!H41*$J$4+$M$4*$J$5+[27]FormattedData!H41^2*$J$6+$M$5*$J$7</f>
        <v>28.090783709460815</v>
      </c>
      <c r="P63" s="6">
        <f>$J$3+[27]FormattedData!I41*$J$4+$M$4*$J$5+[27]FormattedData!I41^2*$J$6+$M$5*$J$7</f>
        <v>29.655021574870478</v>
      </c>
      <c r="Q63" s="6">
        <f>$J$3+[27]FormattedData!J41*$J$4+$M$4*$J$5+[27]FormattedData!J41^2*$J$6+$M$5*$J$7</f>
        <v>29.94711152130375</v>
      </c>
      <c r="R63" s="6">
        <f>$J$3+[27]FormattedData!K41*$J$4+$M$4*$J$5+[27]FormattedData!K41^2*$J$6+$M$5*$J$7</f>
        <v>29.167359626723066</v>
      </c>
      <c r="S63" s="6">
        <f>$J$3+[27]FormattedData!L41*$J$4+$M$4*$J$5+[27]FormattedData!L41^2*$J$6+$M$5*$J$7</f>
        <v>29.167359626723066</v>
      </c>
      <c r="T63" s="6">
        <f>$J$3+[27]FormattedData!M41*$J$4+$M$4*$J$5+[27]FormattedData!M41^2*$J$6+$M$5*$J$7</f>
        <v>29.752427158886164</v>
      </c>
      <c r="U63" s="6">
        <f>$J$3+[27]FormattedData!N41*$J$4+$M$4*$J$5+[27]FormattedData!N41^2*$J$6+$M$5*$J$7</f>
        <v>27.894493142601849</v>
      </c>
      <c r="V63" s="6">
        <f>$J$3+[27]FormattedData!O41*$J$4+$M$4*$J$5+[27]FormattedData!O41^2*$J$6+$M$5*$J$7</f>
        <v>29.460083601225307</v>
      </c>
      <c r="W63" s="5">
        <f t="shared" si="9"/>
        <v>29.14215933758236</v>
      </c>
      <c r="X63" s="4">
        <f t="shared" si="10"/>
        <v>0.18015008051176964</v>
      </c>
      <c r="Y63" s="3">
        <f t="shared" si="11"/>
        <v>27.894493142601849</v>
      </c>
      <c r="Z63" s="2">
        <f t="shared" si="12"/>
        <v>28.996392632240436</v>
      </c>
      <c r="AA63" s="3">
        <f t="shared" si="13"/>
        <v>29.264955419159442</v>
      </c>
      <c r="AB63" s="2">
        <f t="shared" si="14"/>
        <v>29.508818094636599</v>
      </c>
      <c r="AC63" s="2">
        <f t="shared" si="15"/>
        <v>29.94711152130375</v>
      </c>
      <c r="AD63" s="2">
        <f t="shared" si="16"/>
        <v>-0.99483625516759899</v>
      </c>
      <c r="AE63" s="2">
        <f t="shared" si="17"/>
        <v>0.43999726167735531</v>
      </c>
    </row>
    <row r="64" spans="2:31" x14ac:dyDescent="0.2">
      <c r="B64" s="1">
        <f>[27]FormattedData!A43</f>
        <v>207</v>
      </c>
      <c r="C64" s="1" t="str">
        <f>VLOOKUP($B64,[27]TrtCodes!$B$11:I86,2)</f>
        <v>FTL</v>
      </c>
      <c r="D64" s="1">
        <f>VLOOKUP($B64,[27]TrtCodes!$B$11:J86,3)</f>
        <v>4</v>
      </c>
      <c r="E64" s="1">
        <f>VLOOKUP($B64,[27]TrtCodes!$B$11:K86,4)</f>
        <v>1</v>
      </c>
      <c r="F64" s="1">
        <f>VLOOKUP($B64,[27]TrtCodes!$B$11:L86,5)</f>
        <v>2</v>
      </c>
      <c r="G64" s="1">
        <f>VLOOKUP($B64,[27]TrtCodes!$B$11:M86,6)</f>
        <v>1</v>
      </c>
      <c r="H64" s="1">
        <f>VLOOKUP($B64,[27]TrtCodes!$B$11:N86,7)</f>
        <v>2</v>
      </c>
      <c r="I64" s="1">
        <f>[27]FormattedData!B43</f>
        <v>2</v>
      </c>
      <c r="J64" s="4">
        <f>[27]FormattedData!C43</f>
        <v>13.089</v>
      </c>
      <c r="K64" s="6">
        <f>$J$3+[27]FormattedData!D43*$J$4+$M$4*$J$5+[27]FormattedData!D43^2*$J$6+$M$5*$J$7</f>
        <v>31.691662446234403</v>
      </c>
      <c r="L64" s="6">
        <f>$J$3+[27]FormattedData!E43*$J$4+$M$4*$J$5+[27]FormattedData!E43^2*$J$6+$M$5*$J$7</f>
        <v>30.044390299705643</v>
      </c>
      <c r="M64" s="6">
        <f>$J$3+[27]FormattedData!F43*$J$4+$M$4*$J$5+[27]FormattedData!F43^2*$J$6+$M$5*$J$7</f>
        <v>28.090783709460815</v>
      </c>
      <c r="N64" s="6">
        <f>$J$3+[27]FormattedData!G43*$J$4+$M$4*$J$5+[27]FormattedData!G43^2*$J$6+$M$5*$J$7</f>
        <v>30.335973023683746</v>
      </c>
      <c r="O64" s="6">
        <f>$J$3+[27]FormattedData!H43*$J$4+$M$4*$J$5+[27]FormattedData!H43^2*$J$6+$M$5*$J$7</f>
        <v>32.847088059360573</v>
      </c>
      <c r="P64" s="6">
        <f>$J$3+[27]FormattedData!I43*$J$4+$M$4*$J$5+[27]FormattedData!I43^2*$J$6+$M$5*$J$7</f>
        <v>30.530150163646152</v>
      </c>
      <c r="Q64" s="6">
        <f>$J$3+[27]FormattedData!J43*$J$4+$M$4*$J$5+[27]FormattedData!J43^2*$J$6+$M$5*$J$7</f>
        <v>30.141626809569608</v>
      </c>
      <c r="R64" s="6">
        <f>$J$3+[27]FormattedData!K43*$J$4+$M$4*$J$5+[27]FormattedData!K43^2*$J$6+$M$5*$J$7</f>
        <v>30.917997221115801</v>
      </c>
      <c r="S64" s="6">
        <f>$J$3+[27]FormattedData!L43*$J$4+$M$4*$J$5+[27]FormattedData!L43^2*$J$6+$M$5*$J$7</f>
        <v>31.014853314138382</v>
      </c>
      <c r="T64" s="6">
        <f>$J$3+[27]FormattedData!M43*$J$4+$M$4*$J$5+[27]FormattedData!M43^2*$J$6+$M$5*$J$7</f>
        <v>30.335973023683746</v>
      </c>
      <c r="U64" s="6">
        <f>$J$3+[27]FormattedData!N43*$J$4+$M$4*$J$5+[27]FormattedData!N43^2*$J$6+$M$5*$J$7</f>
        <v>31.208438694569757</v>
      </c>
      <c r="V64" s="6">
        <f>$J$3+[27]FormattedData!O43*$J$4+$M$4*$J$5+[27]FormattedData!O43^2*$J$6+$M$5*$J$7</f>
        <v>30.72415822945684</v>
      </c>
      <c r="W64" s="5">
        <f t="shared" si="9"/>
        <v>30.656924582885452</v>
      </c>
      <c r="X64" s="4">
        <f t="shared" si="10"/>
        <v>0.32357331569144748</v>
      </c>
      <c r="Y64" s="3">
        <f t="shared" si="11"/>
        <v>28.090783709460815</v>
      </c>
      <c r="Z64" s="2">
        <f t="shared" si="12"/>
        <v>30.287386470155212</v>
      </c>
      <c r="AA64" s="3">
        <f t="shared" si="13"/>
        <v>30.627154196551494</v>
      </c>
      <c r="AB64" s="2">
        <f t="shared" si="14"/>
        <v>31.063249659246225</v>
      </c>
      <c r="AC64" s="2">
        <f t="shared" si="15"/>
        <v>32.847088059360573</v>
      </c>
      <c r="AD64" s="2">
        <f t="shared" si="16"/>
        <v>-0.42509452118489099</v>
      </c>
      <c r="AE64" s="2">
        <f t="shared" si="17"/>
        <v>2.7412831030419467</v>
      </c>
    </row>
    <row r="65" spans="2:31" x14ac:dyDescent="0.2">
      <c r="B65" s="1">
        <f>[27]FormattedData!A45</f>
        <v>208</v>
      </c>
      <c r="C65" s="1" t="str">
        <f>VLOOKUP($B65,[27]TrtCodes!$B$11:I88,2)</f>
        <v>FSL</v>
      </c>
      <c r="D65" s="1">
        <f>VLOOKUP($B65,[27]TrtCodes!$B$11:J88,3)</f>
        <v>2</v>
      </c>
      <c r="E65" s="1">
        <f>VLOOKUP($B65,[27]TrtCodes!$B$11:K88,4)</f>
        <v>1</v>
      </c>
      <c r="F65" s="1">
        <f>VLOOKUP($B65,[27]TrtCodes!$B$11:L88,5)</f>
        <v>1</v>
      </c>
      <c r="G65" s="1">
        <f>VLOOKUP($B65,[27]TrtCodes!$B$11:M88,6)</f>
        <v>1</v>
      </c>
      <c r="H65" s="1">
        <f>VLOOKUP($B65,[27]TrtCodes!$B$11:N88,7)</f>
        <v>2</v>
      </c>
      <c r="I65" s="1">
        <f>[27]FormattedData!B45</f>
        <v>2</v>
      </c>
      <c r="J65" s="4">
        <f>[27]FormattedData!C45</f>
        <v>13.105</v>
      </c>
      <c r="K65" s="6">
        <f>$J$3+[27]FormattedData!D45*$J$4+$M$4*$J$5+[27]FormattedData!D45^2*$J$6+$M$5*$J$7</f>
        <v>31.98108947477802</v>
      </c>
      <c r="L65" s="6">
        <f>$J$3+[27]FormattedData!E45*$J$4+$M$4*$J$5+[27]FormattedData!E45^2*$J$6+$M$5*$J$7</f>
        <v>29.849790474363928</v>
      </c>
      <c r="M65" s="6">
        <f>$J$3+[27]FormattedData!F45*$J$4+$M$4*$J$5+[27]FormattedData!F45^2*$J$6+$M$5*$J$7</f>
        <v>31.498499751182344</v>
      </c>
      <c r="N65" s="6">
        <f>$J$3+[27]FormattedData!G45*$J$4+$M$4*$J$5+[27]FormattedData!G45^2*$J$6+$M$5*$J$7</f>
        <v>31.595102232977339</v>
      </c>
      <c r="O65" s="6">
        <f>$J$3+[27]FormattedData!H45*$J$4+$M$4*$J$5+[27]FormattedData!H45^2*$J$6+$M$5*$J$7</f>
        <v>31.305167981978556</v>
      </c>
      <c r="P65" s="6">
        <f>$J$3+[27]FormattedData!I45*$J$4+$M$4*$J$5+[27]FormattedData!I45^2*$J$6+$M$5*$J$7</f>
        <v>32.654939809218853</v>
      </c>
      <c r="Q65" s="6">
        <f>$J$3+[27]FormattedData!J45*$J$4+$M$4*$J$5+[27]FormattedData!J45^2*$J$6+$M$5*$J$7</f>
        <v>31.401855000849412</v>
      </c>
      <c r="R65" s="6">
        <f>$J$3+[27]FormattedData!K45*$J$4+$M$4*$J$5+[27]FormattedData!K45^2*$J$6+$M$5*$J$7</f>
        <v>29.460083601225307</v>
      </c>
      <c r="S65" s="6">
        <f>$J$3+[27]FormattedData!L45*$J$4+$M$4*$J$5+[27]FormattedData!L45^2*$J$6+$M$5*$J$7</f>
        <v>31.595102232977339</v>
      </c>
      <c r="T65" s="6">
        <f>$J$3+[27]FormattedData!M45*$J$4+$M$4*$J$5+[27]FormattedData!M45^2*$J$6+$M$5*$J$7</f>
        <v>28.874255235379444</v>
      </c>
      <c r="U65" s="6">
        <f>$J$3+[27]FormattedData!N45*$J$4+$M$4*$J$5+[27]FormattedData!N45^2*$J$6+$M$5*$J$7</f>
        <v>30.238821050895638</v>
      </c>
      <c r="V65" s="6">
        <f>$J$3+[27]FormattedData!O45*$J$4+$M$4*$J$5+[27]FormattedData!O45^2*$J$6+$M$5*$J$7</f>
        <v>31.208438694569757</v>
      </c>
      <c r="W65" s="5">
        <f t="shared" si="9"/>
        <v>30.971928795032994</v>
      </c>
      <c r="X65" s="4">
        <f t="shared" si="10"/>
        <v>0.32262268103111535</v>
      </c>
      <c r="Y65" s="3">
        <f t="shared" si="11"/>
        <v>28.874255235379444</v>
      </c>
      <c r="Z65" s="2">
        <f t="shared" si="12"/>
        <v>30.14156340676271</v>
      </c>
      <c r="AA65" s="3">
        <f t="shared" si="13"/>
        <v>31.353511491413983</v>
      </c>
      <c r="AB65" s="2">
        <f t="shared" si="14"/>
        <v>31.595102232977339</v>
      </c>
      <c r="AC65" s="2">
        <f t="shared" si="15"/>
        <v>32.654939809218853</v>
      </c>
      <c r="AD65" s="2">
        <f t="shared" si="16"/>
        <v>-0.62037565917633386</v>
      </c>
      <c r="AE65" s="2">
        <f t="shared" si="17"/>
        <v>-0.40223891509700982</v>
      </c>
    </row>
    <row r="66" spans="2:31" x14ac:dyDescent="0.2">
      <c r="B66" s="1">
        <f>[27]FormattedData!A63</f>
        <v>301</v>
      </c>
      <c r="C66" s="1" t="str">
        <f>VLOOKUP($B66,[27]TrtCodes!$B$11:I106,2)</f>
        <v>NTL</v>
      </c>
      <c r="D66" s="1">
        <f>VLOOKUP($B66,[27]TrtCodes!$B$11:J106,3)</f>
        <v>10</v>
      </c>
      <c r="E66" s="1">
        <f>VLOOKUP($B66,[27]TrtCodes!$B$11:K106,4)</f>
        <v>2</v>
      </c>
      <c r="F66" s="1">
        <f>VLOOKUP($B66,[27]TrtCodes!$B$11:L106,5)</f>
        <v>2</v>
      </c>
      <c r="G66" s="1">
        <f>VLOOKUP($B66,[27]TrtCodes!$B$11:M106,6)</f>
        <v>1</v>
      </c>
      <c r="H66" s="1">
        <f>VLOOKUP($B66,[27]TrtCodes!$B$11:N106,7)</f>
        <v>3</v>
      </c>
      <c r="I66" s="1">
        <f>[27]FormattedData!B63</f>
        <v>2</v>
      </c>
      <c r="J66" s="4">
        <f>[27]FormattedData!C63</f>
        <v>13.212999999999999</v>
      </c>
      <c r="K66" s="6">
        <f>$J$3+[27]FormattedData!D63*$J$4+$M$4*$J$5+[27]FormattedData!D63^2*$J$6+$M$5*$J$7</f>
        <v>31.98108947477802</v>
      </c>
      <c r="L66" s="6">
        <f>$J$3+[27]FormattedData!E63*$J$4+$M$4*$J$5+[27]FormattedData!E63^2*$J$6+$M$5*$J$7</f>
        <v>33.422518364875373</v>
      </c>
      <c r="M66" s="6">
        <f>$J$3+[27]FormattedData!F63*$J$4+$M$4*$J$5+[27]FormattedData!F63^2*$J$6+$M$5*$J$7</f>
        <v>32.943098781624535</v>
      </c>
      <c r="N66" s="6">
        <f>$J$3+[27]FormattedData!G63*$J$4+$M$4*$J$5+[27]FormattedData!G63^2*$J$6+$M$5*$J$7</f>
        <v>31.498499751182344</v>
      </c>
      <c r="O66" s="6">
        <f>$J$3+[27]FormattedData!H63*$J$4+$M$4*$J$5+[27]FormattedData!H63^2*$J$6+$M$5*$J$7</f>
        <v>31.595102232977339</v>
      </c>
      <c r="P66" s="6">
        <f>$J$3+[27]FormattedData!I63*$J$4+$M$4*$J$5+[27]FormattedData!I63^2*$J$6+$M$5*$J$7</f>
        <v>34.85443683393823</v>
      </c>
      <c r="Q66" s="6">
        <f>$J$3+[27]FormattedData!J63*$J$4+$M$4*$J$5+[27]FormattedData!J63^2*$J$6+$M$5*$J$7</f>
        <v>33.422518364875373</v>
      </c>
      <c r="R66" s="6">
        <f>$J$3+[27]FormattedData!K63*$J$4+$M$4*$J$5+[27]FormattedData!K63^2*$J$6+$M$5*$J$7</f>
        <v>31.305167981978556</v>
      </c>
      <c r="S66" s="6">
        <f>$J$3+[27]FormattedData!L63*$J$4+$M$4*$J$5+[27]FormattedData!L63^2*$J$6+$M$5*$J$7</f>
        <v>33.326718985301071</v>
      </c>
      <c r="T66" s="6">
        <f>$J$3+[27]FormattedData!M63*$J$4+$M$4*$J$5+[27]FormattedData!M63^2*$J$6+$M$5*$J$7</f>
        <v>32.173829484450764</v>
      </c>
      <c r="U66" s="6">
        <f>$J$3+[27]FormattedData!N63*$J$4+$M$4*$J$5+[27]FormattedData!N63^2*$J$6+$M$5*$J$7</f>
        <v>31.691662446234403</v>
      </c>
      <c r="V66" s="6">
        <f>$J$3+[27]FormattedData!O63*$J$4+$M$4*$J$5+[27]FormattedData!O63^2*$J$6+$M$5*$J$7</f>
        <v>30.433082727933915</v>
      </c>
      <c r="W66" s="5">
        <f t="shared" si="9"/>
        <v>32.387310452512494</v>
      </c>
      <c r="X66" s="4">
        <f t="shared" si="10"/>
        <v>0.35380555448638412</v>
      </c>
      <c r="Y66" s="3">
        <f t="shared" si="11"/>
        <v>30.433082727933915</v>
      </c>
      <c r="Z66" s="2">
        <f t="shared" si="12"/>
        <v>31.570951612528589</v>
      </c>
      <c r="AA66" s="3">
        <f t="shared" si="13"/>
        <v>32.07745947961439</v>
      </c>
      <c r="AB66" s="2">
        <f t="shared" si="14"/>
        <v>33.35066883019465</v>
      </c>
      <c r="AC66" s="2">
        <f t="shared" si="15"/>
        <v>34.85443683393823</v>
      </c>
      <c r="AD66" s="2">
        <f t="shared" si="16"/>
        <v>0.46769699129969078</v>
      </c>
      <c r="AE66" s="2">
        <f t="shared" si="17"/>
        <v>-2.0887003474038934E-2</v>
      </c>
    </row>
    <row r="67" spans="2:31" x14ac:dyDescent="0.2">
      <c r="B67" s="1">
        <f>[27]FormattedData!A65</f>
        <v>302</v>
      </c>
      <c r="C67" s="1" t="str">
        <f>VLOOKUP($B67,[27]TrtCodes!$B$11:I108,2)</f>
        <v>FTL</v>
      </c>
      <c r="D67" s="1">
        <f>VLOOKUP($B67,[27]TrtCodes!$B$11:J108,3)</f>
        <v>4</v>
      </c>
      <c r="E67" s="1">
        <f>VLOOKUP($B67,[27]TrtCodes!$B$11:K108,4)</f>
        <v>1</v>
      </c>
      <c r="F67" s="1">
        <f>VLOOKUP($B67,[27]TrtCodes!$B$11:L108,5)</f>
        <v>2</v>
      </c>
      <c r="G67" s="1">
        <f>VLOOKUP($B67,[27]TrtCodes!$B$11:M108,6)</f>
        <v>1</v>
      </c>
      <c r="H67" s="1">
        <f>VLOOKUP($B67,[27]TrtCodes!$B$11:N108,7)</f>
        <v>3</v>
      </c>
      <c r="I67" s="1">
        <f>[27]FormattedData!B65</f>
        <v>2</v>
      </c>
      <c r="J67" s="4">
        <f>[27]FormattedData!C65</f>
        <v>13.233000000000001</v>
      </c>
      <c r="K67" s="6">
        <f>$J$3+[27]FormattedData!D65*$J$4+$M$4*$J$5+[27]FormattedData!D65^2*$J$6+$M$5*$J$7</f>
        <v>34.187391734104295</v>
      </c>
      <c r="L67" s="6">
        <f>$J$3+[27]FormattedData!E65*$J$4+$M$4*$J$5+[27]FormattedData!E65^2*$J$6+$M$5*$J$7</f>
        <v>32.943098781624535</v>
      </c>
      <c r="M67" s="6">
        <f>$J$3+[27]FormattedData!F65*$J$4+$M$4*$J$5+[27]FormattedData!F65^2*$J$6+$M$5*$J$7</f>
        <v>32.366400419971804</v>
      </c>
      <c r="N67" s="6">
        <f>$J$3+[27]FormattedData!G65*$J$4+$M$4*$J$5+[27]FormattedData!G65^2*$J$6+$M$5*$J$7</f>
        <v>31.111667138623041</v>
      </c>
      <c r="O67" s="6">
        <f>$J$3+[27]FormattedData!H65*$J$4+$M$4*$J$5+[27]FormattedData!H65^2*$J$6+$M$5*$J$7</f>
        <v>30.238821050895638</v>
      </c>
      <c r="P67" s="6">
        <f>$J$3+[27]FormattedData!I65*$J$4+$M$4*$J$5+[27]FormattedData!I65^2*$J$6+$M$5*$J$7</f>
        <v>31.401855000849412</v>
      </c>
      <c r="Q67" s="6">
        <f>$J$3+[27]FormattedData!J65*$J$4+$M$4*$J$5+[27]FormattedData!J65^2*$J$6+$M$5*$J$7</f>
        <v>31.98108947477802</v>
      </c>
      <c r="R67" s="6">
        <f>$J$3+[27]FormattedData!K65*$J$4+$M$4*$J$5+[27]FormattedData!K65^2*$J$6+$M$5*$J$7</f>
        <v>32.558802281341102</v>
      </c>
      <c r="S67" s="6">
        <f>$J$3+[27]FormattedData!L65*$J$4+$M$4*$J$5+[27]FormattedData!L65^2*$J$6+$M$5*$J$7</f>
        <v>31.98108947477802</v>
      </c>
      <c r="T67" s="6">
        <f>$J$3+[27]FormattedData!M65*$J$4+$M$4*$J$5+[27]FormattedData!M65^2*$J$6+$M$5*$J$7</f>
        <v>31.788180390953542</v>
      </c>
      <c r="U67" s="6">
        <f>$J$3+[27]FormattedData!N65*$J$4+$M$4*$J$5+[27]FormattedData!N65^2*$J$6+$M$5*$J$7</f>
        <v>33.613990318410195</v>
      </c>
      <c r="V67" s="6">
        <f>$J$3+[27]FormattedData!O65*$J$4+$M$4*$J$5+[27]FormattedData!O65^2*$J$6+$M$5*$J$7</f>
        <v>31.305167981978556</v>
      </c>
      <c r="W67" s="5">
        <f t="shared" si="9"/>
        <v>32.123129504025677</v>
      </c>
      <c r="X67" s="4">
        <f t="shared" si="10"/>
        <v>0.31767025640104568</v>
      </c>
      <c r="Y67" s="3">
        <f t="shared" si="11"/>
        <v>30.238821050895638</v>
      </c>
      <c r="Z67" s="2">
        <f t="shared" si="12"/>
        <v>31.377683246131699</v>
      </c>
      <c r="AA67" s="3">
        <f t="shared" si="13"/>
        <v>31.98108947477802</v>
      </c>
      <c r="AB67" s="2">
        <f t="shared" si="14"/>
        <v>32.654876406411958</v>
      </c>
      <c r="AC67" s="2">
        <f t="shared" si="15"/>
        <v>34.187391734104295</v>
      </c>
      <c r="AD67" s="2">
        <f t="shared" si="16"/>
        <v>0.33295447489382257</v>
      </c>
      <c r="AE67" s="2">
        <f t="shared" si="17"/>
        <v>4.7181861310419571E-2</v>
      </c>
    </row>
    <row r="68" spans="2:31" x14ac:dyDescent="0.2">
      <c r="B68" s="1">
        <f>[27]FormattedData!A67</f>
        <v>303</v>
      </c>
      <c r="C68" s="1" t="str">
        <f>VLOOKUP($B68,[27]TrtCodes!$B$11:I110,2)</f>
        <v>NSL</v>
      </c>
      <c r="D68" s="1">
        <f>VLOOKUP($B68,[27]TrtCodes!$B$11:J110,3)</f>
        <v>8</v>
      </c>
      <c r="E68" s="1">
        <f>VLOOKUP($B68,[27]TrtCodes!$B$11:K110,4)</f>
        <v>2</v>
      </c>
      <c r="F68" s="1">
        <f>VLOOKUP($B68,[27]TrtCodes!$B$11:L110,5)</f>
        <v>1</v>
      </c>
      <c r="G68" s="1">
        <f>VLOOKUP($B68,[27]TrtCodes!$B$11:M110,6)</f>
        <v>1</v>
      </c>
      <c r="H68" s="1">
        <f>VLOOKUP($B68,[27]TrtCodes!$B$11:N110,7)</f>
        <v>3</v>
      </c>
      <c r="I68" s="1">
        <f>[27]FormattedData!B67</f>
        <v>2</v>
      </c>
      <c r="J68" s="4">
        <f>[27]FormattedData!C67</f>
        <v>13.247999999999999</v>
      </c>
      <c r="K68" s="6">
        <f>$J$3+[27]FormattedData!D67*$J$4+$M$4*$J$5+[27]FormattedData!D67^2*$J$6+$M$5*$J$7</f>
        <v>30.433082727933915</v>
      </c>
      <c r="L68" s="6">
        <f>$J$3+[27]FormattedData!E67*$J$4+$M$4*$J$5+[27]FormattedData!E67^2*$J$6+$M$5*$J$7</f>
        <v>30.335973023683746</v>
      </c>
      <c r="M68" s="6">
        <f>$J$3+[27]FormattedData!F67*$J$4+$M$4*$J$5+[27]FormattedData!F67^2*$J$6+$M$5*$J$7</f>
        <v>30.141626809569608</v>
      </c>
      <c r="N68" s="6">
        <f>$J$3+[27]FormattedData!G67*$J$4+$M$4*$J$5+[27]FormattedData!G67^2*$J$6+$M$5*$J$7</f>
        <v>30.141626809569608</v>
      </c>
      <c r="O68" s="6">
        <f>$J$3+[27]FormattedData!H67*$J$4+$M$4*$J$5+[27]FormattedData!H67^2*$J$6+$M$5*$J$7</f>
        <v>31.401855000849412</v>
      </c>
      <c r="P68" s="6">
        <f>$J$3+[27]FormattedData!I67*$J$4+$M$4*$J$5+[27]FormattedData!I67^2*$J$6+$M$5*$J$7</f>
        <v>30.530150163646152</v>
      </c>
      <c r="Q68" s="6">
        <f>$J$3+[27]FormattedData!J67*$J$4+$M$4*$J$5+[27]FormattedData!J67^2*$J$6+$M$5*$J$7</f>
        <v>29.264976553428408</v>
      </c>
      <c r="R68" s="6">
        <f>$J$3+[27]FormattedData!K67*$J$4+$M$4*$J$5+[27]FormattedData!K67^2*$J$6+$M$5*$J$7</f>
        <v>29.752427158886164</v>
      </c>
      <c r="S68" s="6">
        <f>$J$3+[27]FormattedData!L67*$J$4+$M$4*$J$5+[27]FormattedData!L67^2*$J$6+$M$5*$J$7</f>
        <v>30.335973023683746</v>
      </c>
      <c r="T68" s="6">
        <f>$J$3+[27]FormattedData!M67*$J$4+$M$4*$J$5+[27]FormattedData!M67^2*$J$6+$M$5*$J$7</f>
        <v>30.238821050895638</v>
      </c>
      <c r="U68" s="6">
        <f>$J$3+[27]FormattedData!N67*$J$4+$M$4*$J$5+[27]FormattedData!N67^2*$J$6+$M$5*$J$7</f>
        <v>30.044390299705643</v>
      </c>
      <c r="V68" s="6">
        <f>$J$3+[27]FormattedData!O67*$J$4+$M$4*$J$5+[27]FormattedData!O67^2*$J$6+$M$5*$J$7</f>
        <v>30.433082727933915</v>
      </c>
      <c r="W68" s="5">
        <f t="shared" si="9"/>
        <v>30.254498779148829</v>
      </c>
      <c r="X68" s="4">
        <f t="shared" si="10"/>
        <v>0.14487644208556508</v>
      </c>
      <c r="Y68" s="3">
        <f t="shared" si="11"/>
        <v>29.264976553428408</v>
      </c>
      <c r="Z68" s="2">
        <f t="shared" si="12"/>
        <v>30.117317682103618</v>
      </c>
      <c r="AA68" s="3">
        <f t="shared" si="13"/>
        <v>30.287397037289693</v>
      </c>
      <c r="AB68" s="2">
        <f t="shared" si="14"/>
        <v>30.433082727933915</v>
      </c>
      <c r="AC68" s="2">
        <f t="shared" si="15"/>
        <v>31.401855000849412</v>
      </c>
      <c r="AD68" s="2">
        <f t="shared" si="16"/>
        <v>0.37646635297499226</v>
      </c>
      <c r="AE68" s="2">
        <f t="shared" si="17"/>
        <v>2.8357525250166313</v>
      </c>
    </row>
    <row r="69" spans="2:31" x14ac:dyDescent="0.2">
      <c r="B69" s="1">
        <f>[27]FormattedData!A69</f>
        <v>304</v>
      </c>
      <c r="C69" s="1" t="str">
        <f>VLOOKUP($B69,[27]TrtCodes!$B$11:I112,2)</f>
        <v>FSL</v>
      </c>
      <c r="D69" s="1">
        <f>VLOOKUP($B69,[27]TrtCodes!$B$11:J112,3)</f>
        <v>2</v>
      </c>
      <c r="E69" s="1">
        <f>VLOOKUP($B69,[27]TrtCodes!$B$11:K112,4)</f>
        <v>1</v>
      </c>
      <c r="F69" s="1">
        <f>VLOOKUP($B69,[27]TrtCodes!$B$11:L112,5)</f>
        <v>1</v>
      </c>
      <c r="G69" s="1">
        <f>VLOOKUP($B69,[27]TrtCodes!$B$11:M112,6)</f>
        <v>1</v>
      </c>
      <c r="H69" s="1">
        <f>VLOOKUP($B69,[27]TrtCodes!$B$11:N112,7)</f>
        <v>3</v>
      </c>
      <c r="I69" s="1">
        <f>[27]FormattedData!B69</f>
        <v>2</v>
      </c>
      <c r="J69" s="4">
        <f>[27]FormattedData!C69</f>
        <v>13.263999999999999</v>
      </c>
      <c r="K69" s="6">
        <f>$J$3+[27]FormattedData!D69*$J$4+$M$4*$J$5+[27]FormattedData!D69^2*$J$6+$M$5*$J$7</f>
        <v>32.366400419971804</v>
      </c>
      <c r="L69" s="6">
        <f>$J$3+[27]FormattedData!E69*$J$4+$M$4*$J$5+[27]FormattedData!E69^2*$J$6+$M$5*$J$7</f>
        <v>32.847088059360573</v>
      </c>
      <c r="M69" s="6">
        <f>$J$3+[27]FormattedData!F69*$J$4+$M$4*$J$5+[27]FormattedData!F69^2*$J$6+$M$5*$J$7</f>
        <v>30.335973023683746</v>
      </c>
      <c r="N69" s="6">
        <f>$J$3+[27]FormattedData!G69*$J$4+$M$4*$J$5+[27]FormattedData!G69^2*$J$6+$M$5*$J$7</f>
        <v>30.627175330820464</v>
      </c>
      <c r="O69" s="6">
        <f>$J$3+[27]FormattedData!H69*$J$4+$M$4*$J$5+[27]FormattedData!H69^2*$J$6+$M$5*$J$7</f>
        <v>31.98108947477802</v>
      </c>
      <c r="P69" s="6">
        <f>$J$3+[27]FormattedData!I69*$J$4+$M$4*$J$5+[27]FormattedData!I69^2*$J$6+$M$5*$J$7</f>
        <v>32.943098781624535</v>
      </c>
      <c r="Q69" s="6">
        <f>$J$3+[27]FormattedData!J69*$J$4+$M$4*$J$5+[27]FormattedData!J69^2*$J$6+$M$5*$J$7</f>
        <v>34.664063862389611</v>
      </c>
      <c r="R69" s="6">
        <f>$J$3+[27]FormattedData!K69*$J$4+$M$4*$J$5+[27]FormattedData!K69^2*$J$6+$M$5*$J$7</f>
        <v>30.238821050895638</v>
      </c>
      <c r="S69" s="6">
        <f>$J$3+[27]FormattedData!L69*$J$4+$M$4*$J$5+[27]FormattedData!L69^2*$J$6+$M$5*$J$7</f>
        <v>32.07748061388336</v>
      </c>
      <c r="T69" s="6">
        <f>$J$3+[27]FormattedData!M69*$J$4+$M$4*$J$5+[27]FormattedData!M69^2*$J$6+$M$5*$J$7</f>
        <v>29.557573722316853</v>
      </c>
      <c r="U69" s="6">
        <f>$J$3+[27]FormattedData!N69*$J$4+$M$4*$J$5+[27]FormattedData!N69^2*$J$6+$M$5*$J$7</f>
        <v>30.335973023683746</v>
      </c>
      <c r="V69" s="6">
        <f>$J$3+[27]FormattedData!O69*$J$4+$M$4*$J$5+[27]FormattedData!O69^2*$J$6+$M$5*$J$7</f>
        <v>31.305167981978556</v>
      </c>
      <c r="W69" s="5">
        <f t="shared" si="9"/>
        <v>31.606658778782244</v>
      </c>
      <c r="X69" s="4">
        <f t="shared" si="10"/>
        <v>0.4260534195657053</v>
      </c>
      <c r="Y69" s="3">
        <f t="shared" si="11"/>
        <v>29.557573722316853</v>
      </c>
      <c r="Z69" s="2">
        <f t="shared" si="12"/>
        <v>30.335973023683746</v>
      </c>
      <c r="AA69" s="3">
        <f t="shared" si="13"/>
        <v>31.643128728378286</v>
      </c>
      <c r="AB69" s="2">
        <f t="shared" si="14"/>
        <v>32.486572329818998</v>
      </c>
      <c r="AC69" s="2">
        <f t="shared" si="15"/>
        <v>34.664063862389611</v>
      </c>
      <c r="AD69" s="2">
        <f t="shared" si="16"/>
        <v>0.58492151058552155</v>
      </c>
      <c r="AE69" s="2">
        <f t="shared" si="17"/>
        <v>-2.7779641083283124E-2</v>
      </c>
    </row>
    <row r="70" spans="2:31" x14ac:dyDescent="0.2">
      <c r="B70" s="1">
        <f>[27]FormattedData!A71</f>
        <v>305</v>
      </c>
      <c r="C70" s="1" t="str">
        <f>VLOOKUP($B70,[27]TrtCodes!$B$11:I114,2)</f>
        <v>NDH</v>
      </c>
      <c r="D70" s="1">
        <f>VLOOKUP($B70,[27]TrtCodes!$B$11:J114,3)</f>
        <v>11</v>
      </c>
      <c r="E70" s="1">
        <f>VLOOKUP($B70,[27]TrtCodes!$B$11:K114,4)</f>
        <v>2</v>
      </c>
      <c r="F70" s="1">
        <f>VLOOKUP($B70,[27]TrtCodes!$B$11:L114,5)</f>
        <v>3</v>
      </c>
      <c r="G70" s="1">
        <f>VLOOKUP($B70,[27]TrtCodes!$B$11:M114,6)</f>
        <v>2</v>
      </c>
      <c r="H70" s="1">
        <f>VLOOKUP($B70,[27]TrtCodes!$B$11:N114,7)</f>
        <v>4</v>
      </c>
      <c r="I70" s="1">
        <f>[27]FormattedData!B71</f>
        <v>2</v>
      </c>
      <c r="J70" s="4">
        <f>[27]FormattedData!C71</f>
        <v>13.282</v>
      </c>
      <c r="K70" s="6">
        <f>$J$3+[27]FormattedData!D71*$J$4+$M$4*$J$5+[27]FormattedData!D71^2*$J$6+$M$5*$J$7</f>
        <v>30.335973023683746</v>
      </c>
      <c r="L70" s="6">
        <f>$J$3+[27]FormattedData!E71*$J$4+$M$4*$J$5+[27]FormattedData!E71^2*$J$6+$M$5*$J$7</f>
        <v>30.238821050895638</v>
      </c>
      <c r="M70" s="6">
        <f>$J$3+[27]FormattedData!F71*$J$4+$M$4*$J$5+[27]FormattedData!F71^2*$J$6+$M$5*$J$7</f>
        <v>30.141626809569608</v>
      </c>
      <c r="N70" s="6">
        <f>$J$3+[27]FormattedData!G71*$J$4+$M$4*$J$5+[27]FormattedData!G71^2*$J$6+$M$5*$J$7</f>
        <v>28.971998967698582</v>
      </c>
      <c r="O70" s="6">
        <f>$J$3+[27]FormattedData!H71*$J$4+$M$4*$J$5+[27]FormattedData!H71^2*$J$6+$M$5*$J$7</f>
        <v>29.264976553428408</v>
      </c>
      <c r="P70" s="6">
        <f>$J$3+[27]FormattedData!I71*$J$4+$M$4*$J$5+[27]FormattedData!I71^2*$J$6+$M$5*$J$7</f>
        <v>30.917997221115801</v>
      </c>
      <c r="Q70" s="6">
        <f>$J$3+[27]FormattedData!J71*$J$4+$M$4*$J$5+[27]FormattedData!J71^2*$J$6+$M$5*$J$7</f>
        <v>31.014853314138382</v>
      </c>
      <c r="R70" s="6">
        <f>$J$3+[27]FormattedData!K71*$J$4+$M$4*$J$5+[27]FormattedData!K71^2*$J$6+$M$5*$J$7</f>
        <v>32.173829484450764</v>
      </c>
      <c r="S70" s="6">
        <f>$J$3+[27]FormattedData!L71*$J$4+$M$4*$J$5+[27]FormattedData!L71^2*$J$6+$M$5*$J$7</f>
        <v>33.422518364875373</v>
      </c>
      <c r="T70" s="6">
        <f>$J$3+[27]FormattedData!M71*$J$4+$M$4*$J$5+[27]FormattedData!M71^2*$J$6+$M$5*$J$7</f>
        <v>32.654939809218853</v>
      </c>
      <c r="U70" s="6">
        <f>$J$3+[27]FormattedData!N71*$J$4+$M$4*$J$5+[27]FormattedData!N71^2*$J$6+$M$5*$J$7</f>
        <v>31.498499751182344</v>
      </c>
      <c r="V70" s="6">
        <f>$J$3+[27]FormattedData!O71*$J$4+$M$4*$J$5+[27]FormattedData!O71^2*$J$6+$M$5*$J$7</f>
        <v>30.044390299705643</v>
      </c>
      <c r="W70" s="5">
        <f t="shared" si="9"/>
        <v>30.890035387496926</v>
      </c>
      <c r="X70" s="4">
        <f t="shared" si="10"/>
        <v>0.38816830292072774</v>
      </c>
      <c r="Y70" s="3">
        <f t="shared" si="11"/>
        <v>28.971998967698582</v>
      </c>
      <c r="Z70" s="2">
        <f t="shared" si="12"/>
        <v>30.117317682103618</v>
      </c>
      <c r="AA70" s="3">
        <f t="shared" si="13"/>
        <v>30.626985122399773</v>
      </c>
      <c r="AB70" s="2">
        <f t="shared" si="14"/>
        <v>31.66733218449945</v>
      </c>
      <c r="AC70" s="2">
        <f t="shared" si="15"/>
        <v>33.422518364875373</v>
      </c>
      <c r="AD70" s="2">
        <f t="shared" si="16"/>
        <v>0.50544823793983884</v>
      </c>
      <c r="AE70" s="2">
        <f t="shared" si="17"/>
        <v>-0.40407378888982182</v>
      </c>
    </row>
    <row r="71" spans="2:31" x14ac:dyDescent="0.2">
      <c r="B71" s="1">
        <f>[27]FormattedData!A73</f>
        <v>306</v>
      </c>
      <c r="C71" s="1" t="str">
        <f>VLOOKUP($B71,[27]TrtCodes!$B$11:I116,2)</f>
        <v>FTL</v>
      </c>
      <c r="D71" s="1">
        <f>VLOOKUP($B71,[27]TrtCodes!$B$11:J116,3)</f>
        <v>4</v>
      </c>
      <c r="E71" s="1">
        <f>VLOOKUP($B71,[27]TrtCodes!$B$11:K116,4)</f>
        <v>1</v>
      </c>
      <c r="F71" s="1">
        <f>VLOOKUP($B71,[27]TrtCodes!$B$11:L116,5)</f>
        <v>2</v>
      </c>
      <c r="G71" s="1">
        <f>VLOOKUP($B71,[27]TrtCodes!$B$11:M116,6)</f>
        <v>1</v>
      </c>
      <c r="H71" s="1">
        <f>VLOOKUP($B71,[27]TrtCodes!$B$11:N116,7)</f>
        <v>4</v>
      </c>
      <c r="I71" s="1">
        <f>[27]FormattedData!B73</f>
        <v>2</v>
      </c>
      <c r="J71" s="4">
        <f>[27]FormattedData!C73</f>
        <v>13.308</v>
      </c>
      <c r="K71" s="6">
        <f>$J$3+[27]FormattedData!D73*$J$4+$M$4*$J$5+[27]FormattedData!D73^2*$J$6+$M$5*$J$7</f>
        <v>30.433082727933915</v>
      </c>
      <c r="L71" s="6">
        <f>$J$3+[27]FormattedData!E73*$J$4+$M$4*$J$5+[27]FormattedData!E73^2*$J$6+$M$5*$J$7</f>
        <v>31.401855000849412</v>
      </c>
      <c r="M71" s="6">
        <f>$J$3+[27]FormattedData!F73*$J$4+$M$4*$J$5+[27]FormattedData!F73^2*$J$6+$M$5*$J$7</f>
        <v>30.044390299705643</v>
      </c>
      <c r="N71" s="6">
        <f>$J$3+[27]FormattedData!G73*$J$4+$M$4*$J$5+[27]FormattedData!G73^2*$J$6+$M$5*$J$7</f>
        <v>30.821098859555288</v>
      </c>
      <c r="O71" s="6">
        <f>$J$3+[27]FormattedData!H73*$J$4+$M$4*$J$5+[27]FormattedData!H73^2*$J$6+$M$5*$J$7</f>
        <v>30.335973023683746</v>
      </c>
      <c r="P71" s="6">
        <f>$J$3+[27]FormattedData!I73*$J$4+$M$4*$J$5+[27]FormattedData!I73^2*$J$6+$M$5*$J$7</f>
        <v>31.401855000849412</v>
      </c>
      <c r="Q71" s="6">
        <f>$J$3+[27]FormattedData!J73*$J$4+$M$4*$J$5+[27]FormattedData!J73^2*$J$6+$M$5*$J$7</f>
        <v>31.691662446234403</v>
      </c>
      <c r="R71" s="6">
        <f>$J$3+[27]FormattedData!K73*$J$4+$M$4*$J$5+[27]FormattedData!K73^2*$J$6+$M$5*$J$7</f>
        <v>30.627175330820464</v>
      </c>
      <c r="S71" s="6">
        <f>$J$3+[27]FormattedData!L73*$J$4+$M$4*$J$5+[27]FormattedData!L73^2*$J$6+$M$5*$J$7</f>
        <v>30.433082727933915</v>
      </c>
      <c r="T71" s="6">
        <f>$J$3+[27]FormattedData!M73*$J$4+$M$4*$J$5+[27]FormattedData!M73^2*$J$6+$M$5*$J$7</f>
        <v>29.167359626723066</v>
      </c>
      <c r="U71" s="6">
        <f>$J$3+[27]FormattedData!N73*$J$4+$M$4*$J$5+[27]FormattedData!N73^2*$J$6+$M$5*$J$7</f>
        <v>29.557573722316853</v>
      </c>
      <c r="V71" s="6">
        <f>$J$3+[27]FormattedData!O73*$J$4+$M$4*$J$5+[27]FormattedData!O73^2*$J$6+$M$5*$J$7</f>
        <v>31.014853314138382</v>
      </c>
      <c r="W71" s="5">
        <f t="shared" si="9"/>
        <v>30.57749684006205</v>
      </c>
      <c r="X71" s="4">
        <f t="shared" si="10"/>
        <v>0.21788525040855974</v>
      </c>
      <c r="Y71" s="3">
        <f t="shared" si="11"/>
        <v>29.167359626723066</v>
      </c>
      <c r="Z71" s="2">
        <f t="shared" si="12"/>
        <v>30.263077342689222</v>
      </c>
      <c r="AA71" s="3">
        <f t="shared" si="13"/>
        <v>30.530129029377189</v>
      </c>
      <c r="AB71" s="2">
        <f t="shared" si="14"/>
        <v>31.111603735816139</v>
      </c>
      <c r="AC71" s="2">
        <f t="shared" si="15"/>
        <v>31.691662446234403</v>
      </c>
      <c r="AD71" s="2">
        <f t="shared" si="16"/>
        <v>-0.3640437260840218</v>
      </c>
      <c r="AE71" s="2">
        <f t="shared" si="17"/>
        <v>-0.33070807204365815</v>
      </c>
    </row>
    <row r="72" spans="2:31" x14ac:dyDescent="0.2">
      <c r="B72" s="1">
        <f>[27]FormattedData!A75</f>
        <v>307</v>
      </c>
      <c r="C72" s="1" t="str">
        <f>VLOOKUP($B72,[27]TrtCodes!$B$11:I118,2)</f>
        <v>NTH</v>
      </c>
      <c r="D72" s="1">
        <f>VLOOKUP($B72,[27]TrtCodes!$B$11:J118,3)</f>
        <v>9</v>
      </c>
      <c r="E72" s="1">
        <f>VLOOKUP($B72,[27]TrtCodes!$B$11:K118,4)</f>
        <v>2</v>
      </c>
      <c r="F72" s="1">
        <f>VLOOKUP($B72,[27]TrtCodes!$B$11:L118,5)</f>
        <v>2</v>
      </c>
      <c r="G72" s="1">
        <f>VLOOKUP($B72,[27]TrtCodes!$B$11:M118,6)</f>
        <v>2</v>
      </c>
      <c r="H72" s="1">
        <f>VLOOKUP($B72,[27]TrtCodes!$B$11:N118,7)</f>
        <v>4</v>
      </c>
      <c r="I72" s="1">
        <f>[27]FormattedData!B75</f>
        <v>2</v>
      </c>
      <c r="J72" s="4">
        <f>[27]FormattedData!C75</f>
        <v>13.329000000000001</v>
      </c>
      <c r="K72" s="6">
        <f>$J$3+[27]FormattedData!D75*$J$4+$M$4*$J$5+[27]FormattedData!D75^2*$J$6+$M$5*$J$7</f>
        <v>31.884656067134749</v>
      </c>
      <c r="L72" s="6">
        <f>$J$3+[27]FormattedData!E75*$J$4+$M$4*$J$5+[27]FormattedData!E75^2*$J$6+$M$5*$J$7</f>
        <v>29.362551211595822</v>
      </c>
      <c r="M72" s="6">
        <f>$J$3+[27]FormattedData!F75*$J$4+$M$4*$J$5+[27]FormattedData!F75^2*$J$6+$M$5*$J$7</f>
        <v>31.208438694569757</v>
      </c>
      <c r="N72" s="6">
        <f>$J$3+[27]FormattedData!G75*$J$4+$M$4*$J$5+[27]FormattedData!G75^2*$J$6+$M$5*$J$7</f>
        <v>31.884656067134749</v>
      </c>
      <c r="O72" s="6">
        <f>$J$3+[27]FormattedData!H75*$J$4+$M$4*$J$5+[27]FormattedData!H75^2*$J$6+$M$5*$J$7</f>
        <v>32.654939809218853</v>
      </c>
      <c r="P72" s="6">
        <f>$J$3+[27]FormattedData!I75*$J$4+$M$4*$J$5+[27]FormattedData!I75^2*$J$6+$M$5*$J$7</f>
        <v>33.422518364875373</v>
      </c>
      <c r="Q72" s="6">
        <f>$J$3+[27]FormattedData!J75*$J$4+$M$4*$J$5+[27]FormattedData!J75^2*$J$6+$M$5*$J$7</f>
        <v>33.900881234677939</v>
      </c>
      <c r="R72" s="6">
        <f>$J$3+[27]FormattedData!K75*$J$4+$M$4*$J$5+[27]FormattedData!K75^2*$J$6+$M$5*$J$7</f>
        <v>34.378187391032228</v>
      </c>
      <c r="S72" s="6">
        <f>$J$3+[27]FormattedData!L75*$J$4+$M$4*$J$5+[27]FormattedData!L75^2*$J$6+$M$5*$J$7</f>
        <v>32.558802281341102</v>
      </c>
      <c r="T72" s="6">
        <f>$J$3+[27]FormattedData!M75*$J$4+$M$4*$J$5+[27]FormattedData!M75^2*$J$6+$M$5*$J$7</f>
        <v>33.80529319779329</v>
      </c>
      <c r="U72" s="6">
        <f>$J$3+[27]FormattedData!N75*$J$4+$M$4*$J$5+[27]FormattedData!N75^2*$J$6+$M$5*$J$7</f>
        <v>32.558802281341102</v>
      </c>
      <c r="V72" s="6">
        <f>$J$3+[27]FormattedData!O75*$J$4+$M$4*$J$5+[27]FormattedData!O75^2*$J$6+$M$5*$J$7</f>
        <v>32.173829484450764</v>
      </c>
      <c r="W72" s="5">
        <f t="shared" si="9"/>
        <v>32.482796340430482</v>
      </c>
      <c r="X72" s="4">
        <f t="shared" si="10"/>
        <v>0.39358160918459179</v>
      </c>
      <c r="Y72" s="3">
        <f t="shared" si="11"/>
        <v>29.362551211595822</v>
      </c>
      <c r="Z72" s="2">
        <f t="shared" si="12"/>
        <v>31.884656067134749</v>
      </c>
      <c r="AA72" s="3">
        <f t="shared" si="13"/>
        <v>32.558802281341102</v>
      </c>
      <c r="AB72" s="2">
        <f t="shared" si="14"/>
        <v>33.518212073104849</v>
      </c>
      <c r="AC72" s="2">
        <f t="shared" si="15"/>
        <v>34.378187391032228</v>
      </c>
      <c r="AD72" s="2">
        <f t="shared" si="16"/>
        <v>-0.86499960083012761</v>
      </c>
      <c r="AE72" s="2">
        <f t="shared" si="17"/>
        <v>1.3696679345137666</v>
      </c>
    </row>
    <row r="73" spans="2:31" x14ac:dyDescent="0.2">
      <c r="B73" s="1">
        <f>[27]FormattedData!A77</f>
        <v>308</v>
      </c>
      <c r="C73" s="1" t="str">
        <f>VLOOKUP($B73,[27]TrtCodes!$B$11:I120,2)</f>
        <v>FDH</v>
      </c>
      <c r="D73" s="1">
        <f>VLOOKUP($B73,[27]TrtCodes!$B$11:J120,3)</f>
        <v>5</v>
      </c>
      <c r="E73" s="1">
        <f>VLOOKUP($B73,[27]TrtCodes!$B$11:K120,4)</f>
        <v>1</v>
      </c>
      <c r="F73" s="1">
        <f>VLOOKUP($B73,[27]TrtCodes!$B$11:L120,5)</f>
        <v>3</v>
      </c>
      <c r="G73" s="1">
        <f>VLOOKUP($B73,[27]TrtCodes!$B$11:M120,6)</f>
        <v>2</v>
      </c>
      <c r="H73" s="1">
        <f>VLOOKUP($B73,[27]TrtCodes!$B$11:N120,7)</f>
        <v>4</v>
      </c>
      <c r="I73" s="1">
        <f>[27]FormattedData!B77</f>
        <v>2</v>
      </c>
      <c r="J73" s="4">
        <f>[27]FormattedData!C77</f>
        <v>13.345000000000001</v>
      </c>
      <c r="K73" s="6">
        <f>$J$3+[27]FormattedData!D77*$J$4+$M$4*$J$5+[27]FormattedData!D77^2*$J$6+$M$5*$J$7</f>
        <v>31.111667138623041</v>
      </c>
      <c r="L73" s="6">
        <f>$J$3+[27]FormattedData!E77*$J$4+$M$4*$J$5+[27]FormattedData!E77^2*$J$6+$M$5*$J$7</f>
        <v>30.044390299705643</v>
      </c>
      <c r="M73" s="6">
        <f>$J$3+[27]FormattedData!F77*$J$4+$M$4*$J$5+[27]FormattedData!F77^2*$J$6+$M$5*$J$7</f>
        <v>30.044390299705643</v>
      </c>
      <c r="N73" s="6">
        <f>$J$3+[27]FormattedData!G77*$J$4+$M$4*$J$5+[27]FormattedData!G77^2*$J$6+$M$5*$J$7</f>
        <v>31.595102232977339</v>
      </c>
      <c r="O73" s="6">
        <f>$J$3+[27]FormattedData!H77*$J$4+$M$4*$J$5+[27]FormattedData!H77^2*$J$6+$M$5*$J$7</f>
        <v>31.014853314138382</v>
      </c>
      <c r="P73" s="6">
        <f>$J$3+[27]FormattedData!I77*$J$4+$M$4*$J$5+[27]FormattedData!I77^2*$J$6+$M$5*$J$7</f>
        <v>28.874255235379444</v>
      </c>
      <c r="Q73" s="6">
        <f>$J$3+[27]FormattedData!J77*$J$4+$M$4*$J$5+[27]FormattedData!J77^2*$J$6+$M$5*$J$7</f>
        <v>29.460083601225307</v>
      </c>
      <c r="R73" s="6">
        <f>$J$3+[27]FormattedData!K77*$J$4+$M$4*$J$5+[27]FormattedData!K77^2*$J$6+$M$5*$J$7</f>
        <v>30.044390299705643</v>
      </c>
      <c r="S73" s="6">
        <f>$J$3+[27]FormattedData!L77*$J$4+$M$4*$J$5+[27]FormattedData!L77^2*$J$6+$M$5*$J$7</f>
        <v>29.849790474363928</v>
      </c>
      <c r="T73" s="6">
        <f>$J$3+[27]FormattedData!M77*$J$4+$M$4*$J$5+[27]FormattedData!M77^2*$J$6+$M$5*$J$7</f>
        <v>29.557573722316853</v>
      </c>
      <c r="U73" s="6">
        <f>$J$3+[27]FormattedData!N77*$J$4+$M$4*$J$5+[27]FormattedData!N77^2*$J$6+$M$5*$J$7</f>
        <v>31.014853314138382</v>
      </c>
      <c r="V73" s="6">
        <f>$J$3+[27]FormattedData!O77*$J$4+$M$4*$J$5+[27]FormattedData!O77^2*$J$6+$M$5*$J$7</f>
        <v>30.627175330820464</v>
      </c>
      <c r="W73" s="5">
        <f t="shared" si="9"/>
        <v>30.269877105258345</v>
      </c>
      <c r="X73" s="4">
        <f t="shared" si="10"/>
        <v>0.23261329812122269</v>
      </c>
      <c r="Y73" s="3">
        <f t="shared" si="11"/>
        <v>28.874255235379444</v>
      </c>
      <c r="Z73" s="2">
        <f t="shared" si="12"/>
        <v>29.776736286352161</v>
      </c>
      <c r="AA73" s="3">
        <f t="shared" si="13"/>
        <v>30.044390299705643</v>
      </c>
      <c r="AB73" s="2">
        <f t="shared" si="14"/>
        <v>31.014853314138382</v>
      </c>
      <c r="AC73" s="2">
        <f t="shared" si="15"/>
        <v>31.595102232977339</v>
      </c>
      <c r="AD73" s="2">
        <f t="shared" si="16"/>
        <v>1.6076923995728229E-2</v>
      </c>
      <c r="AE73" s="2">
        <f t="shared" si="17"/>
        <v>-0.76711443155311043</v>
      </c>
    </row>
    <row r="74" spans="2:31" x14ac:dyDescent="0.2">
      <c r="B74" s="1">
        <f>[27]FormattedData!A93</f>
        <v>401</v>
      </c>
      <c r="C74" s="1" t="str">
        <f>VLOOKUP($B74,[27]TrtCodes!$B$11:I130,2)</f>
        <v>NSH</v>
      </c>
      <c r="D74" s="1">
        <f>VLOOKUP($B74,[27]TrtCodes!$B$11:J130,3)</f>
        <v>7</v>
      </c>
      <c r="E74" s="1">
        <f>VLOOKUP($B74,[27]TrtCodes!$B$11:K130,4)</f>
        <v>2</v>
      </c>
      <c r="F74" s="1">
        <f>VLOOKUP($B74,[27]TrtCodes!$B$11:L130,5)</f>
        <v>1</v>
      </c>
      <c r="G74" s="1">
        <f>VLOOKUP($B74,[27]TrtCodes!$B$11:M130,6)</f>
        <v>2</v>
      </c>
      <c r="H74" s="1">
        <f>VLOOKUP($B74,[27]TrtCodes!$B$11:N130,7)</f>
        <v>3</v>
      </c>
      <c r="I74" s="1">
        <f>[27]FormattedData!B93</f>
        <v>2</v>
      </c>
      <c r="J74" s="4">
        <f>[27]FormattedData!C93</f>
        <v>13.49</v>
      </c>
      <c r="K74" s="6">
        <f>$J$3+[27]FormattedData!D93*$J$4+$M$4*$J$5+[27]FormattedData!D93^2*$J$6+$M$5*$J$7</f>
        <v>31.305167981978556</v>
      </c>
      <c r="L74" s="6">
        <f>$J$3+[27]FormattedData!E93*$J$4+$M$4*$J$5+[27]FormattedData!E93^2*$J$6+$M$5*$J$7</f>
        <v>31.595102232977339</v>
      </c>
      <c r="M74" s="6">
        <f>$J$3+[27]FormattedData!F93*$J$4+$M$4*$J$5+[27]FormattedData!F93^2*$J$6+$M$5*$J$7</f>
        <v>31.111667138623041</v>
      </c>
      <c r="N74" s="6">
        <f>$J$3+[27]FormattedData!G93*$J$4+$M$4*$J$5+[27]FormattedData!G93^2*$J$6+$M$5*$J$7</f>
        <v>31.498499751182344</v>
      </c>
      <c r="O74" s="6">
        <f>$J$3+[27]FormattedData!H93*$J$4+$M$4*$J$5+[27]FormattedData!H93^2*$J$6+$M$5*$J$7</f>
        <v>30.530150163646152</v>
      </c>
      <c r="P74" s="6">
        <f>$J$3+[27]FormattedData!I93*$J$4+$M$4*$J$5+[27]FormattedData!I93^2*$J$6+$M$5*$J$7</f>
        <v>32.654939809218853</v>
      </c>
      <c r="Q74" s="6">
        <f>$J$3+[27]FormattedData!J93*$J$4+$M$4*$J$5+[27]FormattedData!J93^2*$J$6+$M$5*$J$7</f>
        <v>32.173829484450764</v>
      </c>
      <c r="R74" s="6">
        <f>$J$3+[27]FormattedData!K93*$J$4+$M$4*$J$5+[27]FormattedData!K93^2*$J$6+$M$5*$J$7</f>
        <v>31.595102232977339</v>
      </c>
      <c r="S74" s="6">
        <f>$J$3+[27]FormattedData!L93*$J$4+$M$4*$J$5+[27]FormattedData!L93^2*$J$6+$M$5*$J$7</f>
        <v>31.691662446234403</v>
      </c>
      <c r="T74" s="6">
        <f>$J$3+[27]FormattedData!M93*$J$4+$M$4*$J$5+[27]FormattedData!M93^2*$J$6+$M$5*$J$7</f>
        <v>31.401855000849412</v>
      </c>
      <c r="U74" s="6">
        <f>$J$3+[27]FormattedData!N93*$J$4+$M$4*$J$5+[27]FormattedData!N93^2*$J$6+$M$5*$J$7</f>
        <v>29.849790474363928</v>
      </c>
      <c r="V74" s="6">
        <f>$J$3+[27]FormattedData!O93*$J$4+$M$4*$J$5+[27]FormattedData!O93^2*$J$6+$M$5*$J$7</f>
        <v>29.94711152130375</v>
      </c>
      <c r="W74" s="5">
        <f t="shared" ref="W74:W105" si="18">AVERAGE(K74:V74)</f>
        <v>31.279573186483827</v>
      </c>
      <c r="X74" s="4">
        <f t="shared" ref="X74:X85" si="19">STDEV(K74:V74)/SQRT(COUNT(K74:V74))</f>
        <v>0.23889517111577546</v>
      </c>
      <c r="Y74" s="3">
        <f t="shared" ref="Y74:Y85" si="20">MIN(K74:V74)</f>
        <v>29.849790474363928</v>
      </c>
      <c r="Z74" s="2">
        <f t="shared" ref="Z74:Z85" si="21">QUARTILE(K74:V74,1)</f>
        <v>30.966287894878818</v>
      </c>
      <c r="AA74" s="3">
        <f t="shared" ref="AA74:AA85" si="22">MEDIAN(K74:V74)</f>
        <v>31.45017737601588</v>
      </c>
      <c r="AB74" s="2">
        <f t="shared" ref="AB74:AB85" si="23">QUARTILE(K74:V74,3)</f>
        <v>31.619242286291605</v>
      </c>
      <c r="AC74" s="2">
        <f t="shared" ref="AC74:AC85" si="24">MAX(K74:V74)</f>
        <v>32.654939809218853</v>
      </c>
      <c r="AD74" s="2">
        <f t="shared" ref="AD74:AD85" si="25">SKEW(K74:V74)</f>
        <v>-0.43352551231325964</v>
      </c>
      <c r="AE74" s="2">
        <f t="shared" ref="AE74:AE85" si="26">KURT(K74:V74)</f>
        <v>-2.9771284442923651E-2</v>
      </c>
    </row>
    <row r="75" spans="2:31" x14ac:dyDescent="0.2">
      <c r="B75" s="1">
        <f>[27]FormattedData!A91</f>
        <v>402</v>
      </c>
      <c r="C75" s="1" t="str">
        <f>VLOOKUP($B75,[27]TrtCodes!$B$11:I131,2)</f>
        <v>NTH</v>
      </c>
      <c r="D75" s="1">
        <f>VLOOKUP($B75,[27]TrtCodes!$B$11:J131,3)</f>
        <v>9</v>
      </c>
      <c r="E75" s="1">
        <f>VLOOKUP($B75,[27]TrtCodes!$B$11:K131,4)</f>
        <v>2</v>
      </c>
      <c r="F75" s="1">
        <f>VLOOKUP($B75,[27]TrtCodes!$B$11:L131,5)</f>
        <v>2</v>
      </c>
      <c r="G75" s="1">
        <f>VLOOKUP($B75,[27]TrtCodes!$B$11:M131,6)</f>
        <v>2</v>
      </c>
      <c r="H75" s="1">
        <f>VLOOKUP($B75,[27]TrtCodes!$B$11:N131,7)</f>
        <v>3</v>
      </c>
      <c r="I75" s="1">
        <f>[27]FormattedData!B91</f>
        <v>2</v>
      </c>
      <c r="J75" s="4">
        <f>[27]FormattedData!C91</f>
        <v>13.47</v>
      </c>
      <c r="K75" s="6">
        <f>$J$3+[27]FormattedData!D91*$J$4+$M$4*$J$5+[27]FormattedData!D91^2*$J$6+$M$5*$J$7</f>
        <v>31.498499751182344</v>
      </c>
      <c r="L75" s="6">
        <f>$J$3+[27]FormattedData!E91*$J$4+$M$4*$J$5+[27]FormattedData!E91^2*$J$6+$M$5*$J$7</f>
        <v>31.014853314138382</v>
      </c>
      <c r="M75" s="6">
        <f>$J$3+[27]FormattedData!F91*$J$4+$M$4*$J$5+[27]FormattedData!F91^2*$J$6+$M$5*$J$7</f>
        <v>30.433082727933915</v>
      </c>
      <c r="N75" s="6">
        <f>$J$3+[27]FormattedData!G91*$J$4+$M$4*$J$5+[27]FormattedData!G91^2*$J$6+$M$5*$J$7</f>
        <v>31.788180390953542</v>
      </c>
      <c r="O75" s="6">
        <f>$J$3+[27]FormattedData!H91*$J$4+$M$4*$J$5+[27]FormattedData!H91^2*$J$6+$M$5*$J$7</f>
        <v>30.72415822945684</v>
      </c>
      <c r="P75" s="6">
        <f>$J$3+[27]FormattedData!I91*$J$4+$M$4*$J$5+[27]FormattedData!I91^2*$J$6+$M$5*$J$7</f>
        <v>29.167359626723066</v>
      </c>
      <c r="Q75" s="6">
        <f>$J$3+[27]FormattedData!J91*$J$4+$M$4*$J$5+[27]FormattedData!J91^2*$J$6+$M$5*$J$7</f>
        <v>29.460083601225307</v>
      </c>
      <c r="R75" s="6">
        <f>$J$3+[27]FormattedData!K91*$J$4+$M$4*$J$5+[27]FormattedData!K91^2*$J$6+$M$5*$J$7</f>
        <v>28.971998967698582</v>
      </c>
      <c r="S75" s="6">
        <f>$J$3+[27]FormattedData!L91*$J$4+$M$4*$J$5+[27]FormattedData!L91^2*$J$6+$M$5*$J$7</f>
        <v>30.530150163646152</v>
      </c>
      <c r="T75" s="6">
        <f>$J$3+[27]FormattedData!M91*$J$4+$M$4*$J$5+[27]FormattedData!M91^2*$J$6+$M$5*$J$7</f>
        <v>30.044390299705643</v>
      </c>
      <c r="U75" s="6">
        <f>$J$3+[27]FormattedData!N91*$J$4+$M$4*$J$5+[27]FormattedData!N91^2*$J$6+$M$5*$J$7</f>
        <v>29.557573722316853</v>
      </c>
      <c r="V75" s="6">
        <f>$J$3+[27]FormattedData!O91*$J$4+$M$4*$J$5+[27]FormattedData!O91^2*$J$6+$M$5*$J$7</f>
        <v>32.173829484450764</v>
      </c>
      <c r="W75" s="5">
        <f t="shared" si="18"/>
        <v>30.447013356619284</v>
      </c>
      <c r="X75" s="4">
        <f t="shared" si="19"/>
        <v>0.30192593321292799</v>
      </c>
      <c r="Y75" s="3">
        <f t="shared" si="20"/>
        <v>28.971998967698582</v>
      </c>
      <c r="Z75" s="2">
        <f t="shared" si="21"/>
        <v>29.533201192043968</v>
      </c>
      <c r="AA75" s="3">
        <f t="shared" si="22"/>
        <v>30.481616445790031</v>
      </c>
      <c r="AB75" s="2">
        <f t="shared" si="23"/>
        <v>31.135764923399371</v>
      </c>
      <c r="AC75" s="2">
        <f t="shared" si="24"/>
        <v>32.173829484450764</v>
      </c>
      <c r="AD75" s="2">
        <f t="shared" si="25"/>
        <v>0.18061791016275941</v>
      </c>
      <c r="AE75" s="2">
        <f t="shared" si="26"/>
        <v>-1.0737522264353805</v>
      </c>
    </row>
    <row r="76" spans="2:31" x14ac:dyDescent="0.2">
      <c r="B76" s="1">
        <f>[27]FormattedData!A89</f>
        <v>403</v>
      </c>
      <c r="C76" s="1" t="str">
        <f>VLOOKUP($B76,[27]TrtCodes!$B$11:I132,2)</f>
        <v>FDL</v>
      </c>
      <c r="D76" s="1">
        <f>VLOOKUP($B76,[27]TrtCodes!$B$11:J132,3)</f>
        <v>6</v>
      </c>
      <c r="E76" s="1">
        <f>VLOOKUP($B76,[27]TrtCodes!$B$11:K132,4)</f>
        <v>1</v>
      </c>
      <c r="F76" s="1">
        <f>VLOOKUP($B76,[27]TrtCodes!$B$11:L132,5)</f>
        <v>3</v>
      </c>
      <c r="G76" s="1">
        <f>VLOOKUP($B76,[27]TrtCodes!$B$11:M132,6)</f>
        <v>1</v>
      </c>
      <c r="H76" s="1">
        <f>VLOOKUP($B76,[27]TrtCodes!$B$11:N132,7)</f>
        <v>3</v>
      </c>
      <c r="I76" s="1">
        <f>[27]FormattedData!B89</f>
        <v>2</v>
      </c>
      <c r="J76" s="4">
        <f>[27]FormattedData!C89</f>
        <v>13.454000000000001</v>
      </c>
      <c r="K76" s="6">
        <f>$J$3+[27]FormattedData!D89*$J$4+$M$4*$J$5+[27]FormattedData!D89^2*$J$6+$M$5*$J$7</f>
        <v>31.111667138623041</v>
      </c>
      <c r="L76" s="6">
        <f>$J$3+[27]FormattedData!E89*$J$4+$M$4*$J$5+[27]FormattedData!E89^2*$J$6+$M$5*$J$7</f>
        <v>30.141626809569608</v>
      </c>
      <c r="M76" s="6">
        <f>$J$3+[27]FormattedData!F89*$J$4+$M$4*$J$5+[27]FormattedData!F89^2*$J$6+$M$5*$J$7</f>
        <v>30.238821050895638</v>
      </c>
      <c r="N76" s="6">
        <f>$J$3+[27]FormattedData!G89*$J$4+$M$4*$J$5+[27]FormattedData!G89^2*$J$6+$M$5*$J$7</f>
        <v>30.141626809569608</v>
      </c>
      <c r="O76" s="6">
        <f>$J$3+[27]FormattedData!H89*$J$4+$M$4*$J$5+[27]FormattedData!H89^2*$J$6+$M$5*$J$7</f>
        <v>34.85443683393823</v>
      </c>
      <c r="P76" s="6">
        <f>$J$3+[27]FormattedData!I89*$J$4+$M$4*$J$5+[27]FormattedData!I89^2*$J$6+$M$5*$J$7</f>
        <v>31.111667138623041</v>
      </c>
      <c r="Q76" s="6">
        <f>$J$3+[27]FormattedData!J89*$J$4+$M$4*$J$5+[27]FormattedData!J89^2*$J$6+$M$5*$J$7</f>
        <v>31.014853314138382</v>
      </c>
      <c r="R76" s="6">
        <f>$J$3+[27]FormattedData!K89*$J$4+$M$4*$J$5+[27]FormattedData!K89^2*$J$6+$M$5*$J$7</f>
        <v>28.384902545714787</v>
      </c>
      <c r="S76" s="6">
        <f>$J$3+[27]FormattedData!L89*$J$4+$M$4*$J$5+[27]FormattedData!L89^2*$J$6+$M$5*$J$7</f>
        <v>30.627175330820464</v>
      </c>
      <c r="T76" s="6">
        <f>$J$3+[27]FormattedData!M89*$J$4+$M$4*$J$5+[27]FormattedData!M89^2*$J$6+$M$5*$J$7</f>
        <v>31.498499751182344</v>
      </c>
      <c r="U76" s="6">
        <f>$J$3+[27]FormattedData!N89*$J$4+$M$4*$J$5+[27]FormattedData!N89^2*$J$6+$M$5*$J$7</f>
        <v>30.238821050895638</v>
      </c>
      <c r="V76" s="6">
        <f>$J$3+[27]FormattedData!O89*$J$4+$M$4*$J$5+[27]FormattedData!O89^2*$J$6+$M$5*$J$7</f>
        <v>31.691662446234403</v>
      </c>
      <c r="W76" s="5">
        <f t="shared" si="18"/>
        <v>30.921313351683768</v>
      </c>
      <c r="X76" s="4">
        <f t="shared" si="19"/>
        <v>0.43645066096255947</v>
      </c>
      <c r="Y76" s="3">
        <f t="shared" si="20"/>
        <v>28.384902545714787</v>
      </c>
      <c r="Z76" s="2">
        <f t="shared" si="21"/>
        <v>30.214522490564129</v>
      </c>
      <c r="AA76" s="3">
        <f t="shared" si="22"/>
        <v>30.821014322479421</v>
      </c>
      <c r="AB76" s="2">
        <f t="shared" si="23"/>
        <v>31.208375291762867</v>
      </c>
      <c r="AC76" s="2">
        <f t="shared" si="24"/>
        <v>34.85443683393823</v>
      </c>
      <c r="AD76" s="2">
        <f t="shared" si="25"/>
        <v>1.3756339563209534</v>
      </c>
      <c r="AE76" s="2">
        <f t="shared" si="26"/>
        <v>4.4811265537376244</v>
      </c>
    </row>
    <row r="77" spans="2:31" x14ac:dyDescent="0.2">
      <c r="B77" s="1">
        <f>[27]FormattedData!A87</f>
        <v>404</v>
      </c>
      <c r="C77" s="1" t="str">
        <f>VLOOKUP($B77,[27]TrtCodes!$B$11:I130,2)</f>
        <v>FTH</v>
      </c>
      <c r="D77" s="1">
        <f>VLOOKUP($B77,[27]TrtCodes!$B$11:J130,3)</f>
        <v>3</v>
      </c>
      <c r="E77" s="1">
        <f>VLOOKUP($B77,[27]TrtCodes!$B$11:K130,4)</f>
        <v>1</v>
      </c>
      <c r="F77" s="1">
        <f>VLOOKUP($B77,[27]TrtCodes!$B$11:L130,5)</f>
        <v>2</v>
      </c>
      <c r="G77" s="1">
        <f>VLOOKUP($B77,[27]TrtCodes!$B$11:M130,6)</f>
        <v>2</v>
      </c>
      <c r="H77" s="1">
        <f>VLOOKUP($B77,[27]TrtCodes!$B$11:N130,7)</f>
        <v>3</v>
      </c>
      <c r="I77" s="1">
        <f>[27]FormattedData!B87</f>
        <v>2</v>
      </c>
      <c r="J77" s="4">
        <f>[27]FormattedData!C87</f>
        <v>13.439</v>
      </c>
      <c r="K77" s="6">
        <f>$J$3+[27]FormattedData!D87*$J$4+$M$4*$J$5+[27]FormattedData!D87^2*$J$6+$M$5*$J$7</f>
        <v>31.208438694569757</v>
      </c>
      <c r="L77" s="6">
        <f>$J$3+[27]FormattedData!E87*$J$4+$M$4*$J$5+[27]FormattedData!E87^2*$J$6+$M$5*$J$7</f>
        <v>32.173829484450764</v>
      </c>
      <c r="M77" s="6">
        <f>$J$3+[27]FormattedData!F87*$J$4+$M$4*$J$5+[27]FormattedData!F87^2*$J$6+$M$5*$J$7</f>
        <v>33.039067235350558</v>
      </c>
      <c r="N77" s="6">
        <f>$J$3+[27]FormattedData!G87*$J$4+$M$4*$J$5+[27]FormattedData!G87^2*$J$6+$M$5*$J$7</f>
        <v>32.27013608648025</v>
      </c>
      <c r="O77" s="6">
        <f>$J$3+[27]FormattedData!H87*$J$4+$M$4*$J$5+[27]FormattedData!H87^2*$J$6+$M$5*$J$7</f>
        <v>33.99642700302465</v>
      </c>
      <c r="P77" s="6">
        <f>$J$3+[27]FormattedData!I87*$J$4+$M$4*$J$5+[27]FormattedData!I87^2*$J$6+$M$5*$J$7</f>
        <v>32.558802281341102</v>
      </c>
      <c r="Q77" s="6">
        <f>$J$3+[27]FormattedData!J87*$J$4+$M$4*$J$5+[27]FormattedData!J87^2*$J$6+$M$5*$J$7</f>
        <v>33.709662892370702</v>
      </c>
      <c r="R77" s="6">
        <f>$J$3+[27]FormattedData!K87*$J$4+$M$4*$J$5+[27]FormattedData!K87^2*$J$6+$M$5*$J$7</f>
        <v>32.943098781624535</v>
      </c>
      <c r="S77" s="6">
        <f>$J$3+[27]FormattedData!L87*$J$4+$M$4*$J$5+[27]FormattedData!L87^2*$J$6+$M$5*$J$7</f>
        <v>35.8037655794054</v>
      </c>
      <c r="T77" s="6">
        <f>$J$3+[27]FormattedData!M87*$J$4+$M$4*$J$5+[27]FormattedData!M87^2*$J$6+$M$5*$J$7</f>
        <v>33.134993420538663</v>
      </c>
      <c r="U77" s="6">
        <f>$J$3+[27]FormattedData!N87*$J$4+$M$4*$J$5+[27]FormattedData!N87^2*$J$6+$M$5*$J$7</f>
        <v>32.366400419971804</v>
      </c>
      <c r="V77" s="6">
        <f>$J$3+[27]FormattedData!O87*$J$4+$M$4*$J$5+[27]FormattedData!O87^2*$J$6+$M$5*$J$7</f>
        <v>32.943098781624535</v>
      </c>
      <c r="W77" s="5">
        <f t="shared" si="18"/>
        <v>33.012310055062727</v>
      </c>
      <c r="X77" s="4">
        <f t="shared" si="19"/>
        <v>0.33032411719200194</v>
      </c>
      <c r="Y77" s="3">
        <f t="shared" si="20"/>
        <v>31.208438694569757</v>
      </c>
      <c r="Z77" s="2">
        <f t="shared" si="21"/>
        <v>32.342334336598917</v>
      </c>
      <c r="AA77" s="3">
        <f t="shared" si="22"/>
        <v>32.943098781624535</v>
      </c>
      <c r="AB77" s="2">
        <f t="shared" si="23"/>
        <v>33.278660788496673</v>
      </c>
      <c r="AC77" s="2">
        <f t="shared" si="24"/>
        <v>35.8037655794054</v>
      </c>
      <c r="AD77" s="2">
        <f t="shared" si="25"/>
        <v>1.1514534381551547</v>
      </c>
      <c r="AE77" s="2">
        <f t="shared" si="26"/>
        <v>2.7217054342134519</v>
      </c>
    </row>
    <row r="78" spans="2:31" x14ac:dyDescent="0.2">
      <c r="B78" s="1">
        <f>[27]FormattedData!A85</f>
        <v>405</v>
      </c>
      <c r="C78" s="1" t="str">
        <f>VLOOKUP($B78,[27]TrtCodes!$B$11:I128,2)</f>
        <v>FDL</v>
      </c>
      <c r="D78" s="1">
        <f>VLOOKUP($B78,[27]TrtCodes!$B$11:J128,3)</f>
        <v>6</v>
      </c>
      <c r="E78" s="1">
        <f>VLOOKUP($B78,[27]TrtCodes!$B$11:K128,4)</f>
        <v>1</v>
      </c>
      <c r="F78" s="1">
        <f>VLOOKUP($B78,[27]TrtCodes!$B$11:L128,5)</f>
        <v>3</v>
      </c>
      <c r="G78" s="1">
        <f>VLOOKUP($B78,[27]TrtCodes!$B$11:M128,6)</f>
        <v>1</v>
      </c>
      <c r="H78" s="1">
        <f>VLOOKUP($B78,[27]TrtCodes!$B$11:N128,7)</f>
        <v>4</v>
      </c>
      <c r="I78" s="1">
        <f>[27]FormattedData!B85</f>
        <v>2</v>
      </c>
      <c r="J78" s="4">
        <f>[27]FormattedData!C85</f>
        <v>13.420999999999999</v>
      </c>
      <c r="K78" s="6">
        <f>$J$3+[27]FormattedData!D85*$J$4+$M$4*$J$5+[27]FormattedData!D85^2*$J$6+$M$5*$J$7</f>
        <v>31.401855000849412</v>
      </c>
      <c r="L78" s="6">
        <f>$J$3+[27]FormattedData!E85*$J$4+$M$4*$J$5+[27]FormattedData!E85^2*$J$6+$M$5*$J$7</f>
        <v>30.141626809569608</v>
      </c>
      <c r="M78" s="6">
        <f>$J$3+[27]FormattedData!F85*$J$4+$M$4*$J$5+[27]FormattedData!F85^2*$J$6+$M$5*$J$7</f>
        <v>32.751035068558679</v>
      </c>
      <c r="N78" s="6">
        <f>$J$3+[27]FormattedData!G85*$J$4+$M$4*$J$5+[27]FormattedData!G85^2*$J$6+$M$5*$J$7</f>
        <v>31.208438694569757</v>
      </c>
      <c r="O78" s="6">
        <f>$J$3+[27]FormattedData!H85*$J$4+$M$4*$J$5+[27]FormattedData!H85^2*$J$6+$M$5*$J$7</f>
        <v>31.305167981978556</v>
      </c>
      <c r="P78" s="6">
        <f>$J$3+[27]FormattedData!I85*$J$4+$M$4*$J$5+[27]FormattedData!I85^2*$J$6+$M$5*$J$7</f>
        <v>29.362551211595822</v>
      </c>
      <c r="Q78" s="6">
        <f>$J$3+[27]FormattedData!J85*$J$4+$M$4*$J$5+[27]FormattedData!J85^2*$J$6+$M$5*$J$7</f>
        <v>33.613990318410195</v>
      </c>
      <c r="R78" s="6">
        <f>$J$3+[27]FormattedData!K85*$J$4+$M$4*$J$5+[27]FormattedData!K85^2*$J$6+$M$5*$J$7</f>
        <v>30.433082727933915</v>
      </c>
      <c r="S78" s="6">
        <f>$J$3+[27]FormattedData!L85*$J$4+$M$4*$J$5+[27]FormattedData!L85^2*$J$6+$M$5*$J$7</f>
        <v>30.141626809569608</v>
      </c>
      <c r="T78" s="6">
        <f>$J$3+[27]FormattedData!M85*$J$4+$M$4*$J$5+[27]FormattedData!M85^2*$J$6+$M$5*$J$7</f>
        <v>30.72415822945684</v>
      </c>
      <c r="U78" s="6">
        <f>$J$3+[27]FormattedData!N85*$J$4+$M$4*$J$5+[27]FormattedData!N85^2*$J$6+$M$5*$J$7</f>
        <v>30.141626809569608</v>
      </c>
      <c r="V78" s="6">
        <f>$J$3+[27]FormattedData!O85*$J$4+$M$4*$J$5+[27]FormattedData!O85^2*$J$6+$M$5*$J$7</f>
        <v>31.111667138623041</v>
      </c>
      <c r="W78" s="5">
        <f t="shared" si="18"/>
        <v>31.028068900057093</v>
      </c>
      <c r="X78" s="4">
        <f t="shared" si="19"/>
        <v>0.34255371210079799</v>
      </c>
      <c r="Y78" s="3">
        <f t="shared" si="20"/>
        <v>29.362551211595822</v>
      </c>
      <c r="Z78" s="2">
        <f t="shared" si="21"/>
        <v>30.141626809569608</v>
      </c>
      <c r="AA78" s="3">
        <f t="shared" si="22"/>
        <v>30.917912684039941</v>
      </c>
      <c r="AB78" s="2">
        <f t="shared" si="23"/>
        <v>31.329339736696269</v>
      </c>
      <c r="AC78" s="2">
        <f t="shared" si="24"/>
        <v>33.613990318410195</v>
      </c>
      <c r="AD78" s="2">
        <f t="shared" si="25"/>
        <v>1.0144644532948766</v>
      </c>
      <c r="AE78" s="2">
        <f t="shared" si="26"/>
        <v>0.992136230900444</v>
      </c>
    </row>
    <row r="79" spans="2:31" x14ac:dyDescent="0.2">
      <c r="B79" s="1">
        <f>[27]FormattedData!A83</f>
        <v>406</v>
      </c>
      <c r="C79" s="1" t="str">
        <f>VLOOKUP($B79,[27]TrtCodes!$B$11:I126,2)</f>
        <v>FTH</v>
      </c>
      <c r="D79" s="1">
        <f>VLOOKUP($B79,[27]TrtCodes!$B$11:J126,3)</f>
        <v>3</v>
      </c>
      <c r="E79" s="1">
        <f>VLOOKUP($B79,[27]TrtCodes!$B$11:K126,4)</f>
        <v>1</v>
      </c>
      <c r="F79" s="1">
        <f>VLOOKUP($B79,[27]TrtCodes!$B$11:L126,5)</f>
        <v>2</v>
      </c>
      <c r="G79" s="1">
        <f>VLOOKUP($B79,[27]TrtCodes!$B$11:M126,6)</f>
        <v>2</v>
      </c>
      <c r="H79" s="1">
        <f>VLOOKUP($B79,[27]TrtCodes!$B$11:N126,7)</f>
        <v>4</v>
      </c>
      <c r="I79" s="1">
        <f>[27]FormattedData!B83</f>
        <v>2</v>
      </c>
      <c r="J79" s="4">
        <f>[27]FormattedData!C83</f>
        <v>13.401999999999999</v>
      </c>
      <c r="K79" s="6">
        <f>$J$3+[27]FormattedData!D83*$J$4+$M$4*$J$5+[27]FormattedData!D83^2*$J$6+$M$5*$J$7</f>
        <v>30.238821050895638</v>
      </c>
      <c r="L79" s="6">
        <f>$J$3+[27]FormattedData!E83*$J$4+$M$4*$J$5+[27]FormattedData!E83^2*$J$6+$M$5*$J$7</f>
        <v>31.014853314138382</v>
      </c>
      <c r="M79" s="6">
        <f>$J$3+[27]FormattedData!F83*$J$4+$M$4*$J$5+[27]FormattedData!F83^2*$J$6+$M$5*$J$7</f>
        <v>32.847088059360573</v>
      </c>
      <c r="N79" s="6">
        <f>$J$3+[27]FormattedData!G83*$J$4+$M$4*$J$5+[27]FormattedData!G83^2*$J$6+$M$5*$J$7</f>
        <v>31.498499751182344</v>
      </c>
      <c r="O79" s="6">
        <f>$J$3+[27]FormattedData!H83*$J$4+$M$4*$J$5+[27]FormattedData!H83^2*$J$6+$M$5*$J$7</f>
        <v>30.335973023683746</v>
      </c>
      <c r="P79" s="6">
        <f>$J$3+[27]FormattedData!I83*$J$4+$M$4*$J$5+[27]FormattedData!I83^2*$J$6+$M$5*$J$7</f>
        <v>33.613990318410195</v>
      </c>
      <c r="Q79" s="6">
        <f>$J$3+[27]FormattedData!J83*$J$4+$M$4*$J$5+[27]FormattedData!J83^2*$J$6+$M$5*$J$7</f>
        <v>34.282810696837224</v>
      </c>
      <c r="R79" s="6">
        <f>$J$3+[27]FormattedData!K83*$J$4+$M$4*$J$5+[27]FormattedData!K83^2*$J$6+$M$5*$J$7</f>
        <v>31.595102232977339</v>
      </c>
      <c r="S79" s="6">
        <f>$J$3+[27]FormattedData!L83*$J$4+$M$4*$J$5+[27]FormattedData!L83^2*$J$6+$M$5*$J$7</f>
        <v>32.558802281341102</v>
      </c>
      <c r="T79" s="6">
        <f>$J$3+[27]FormattedData!M83*$J$4+$M$4*$J$5+[27]FormattedData!M83^2*$J$6+$M$5*$J$7</f>
        <v>31.208438694569757</v>
      </c>
      <c r="U79" s="6">
        <f>$J$3+[27]FormattedData!N83*$J$4+$M$4*$J$5+[27]FormattedData!N83^2*$J$6+$M$5*$J$7</f>
        <v>32.27013608648025</v>
      </c>
      <c r="V79" s="6">
        <f>$J$3+[27]FormattedData!O83*$J$4+$M$4*$J$5+[27]FormattedData!O83^2*$J$6+$M$5*$J$7</f>
        <v>32.07748061388336</v>
      </c>
      <c r="W79" s="5">
        <f t="shared" si="18"/>
        <v>31.961833010313327</v>
      </c>
      <c r="X79" s="4">
        <f t="shared" si="19"/>
        <v>0.35665500667592459</v>
      </c>
      <c r="Y79" s="3">
        <f t="shared" si="20"/>
        <v>30.238821050895638</v>
      </c>
      <c r="Z79" s="2">
        <f t="shared" si="21"/>
        <v>31.160042349461914</v>
      </c>
      <c r="AA79" s="3">
        <f t="shared" si="22"/>
        <v>31.83629142343035</v>
      </c>
      <c r="AB79" s="2">
        <f t="shared" si="23"/>
        <v>32.630873725845973</v>
      </c>
      <c r="AC79" s="2">
        <f t="shared" si="24"/>
        <v>34.282810696837224</v>
      </c>
      <c r="AD79" s="2">
        <f t="shared" si="25"/>
        <v>0.41136318926099846</v>
      </c>
      <c r="AE79" s="2">
        <f t="shared" si="26"/>
        <v>-0.3670164895402297</v>
      </c>
    </row>
    <row r="80" spans="2:31" x14ac:dyDescent="0.2">
      <c r="B80" s="1">
        <f>[27]FormattedData!A81</f>
        <v>407</v>
      </c>
      <c r="C80" s="1" t="str">
        <f>VLOOKUP($B80,[27]TrtCodes!$B$11:I124,2)</f>
        <v>NSH</v>
      </c>
      <c r="D80" s="1">
        <f>VLOOKUP($B80,[27]TrtCodes!$B$11:J124,3)</f>
        <v>7</v>
      </c>
      <c r="E80" s="1">
        <f>VLOOKUP($B80,[27]TrtCodes!$B$11:K124,4)</f>
        <v>2</v>
      </c>
      <c r="F80" s="1">
        <f>VLOOKUP($B80,[27]TrtCodes!$B$11:L124,5)</f>
        <v>1</v>
      </c>
      <c r="G80" s="1">
        <f>VLOOKUP($B80,[27]TrtCodes!$B$11:M124,6)</f>
        <v>2</v>
      </c>
      <c r="H80" s="1">
        <f>VLOOKUP($B80,[27]TrtCodes!$B$11:N124,7)</f>
        <v>4</v>
      </c>
      <c r="I80" s="1">
        <f>[27]FormattedData!B81</f>
        <v>2</v>
      </c>
      <c r="J80" s="4">
        <f>[27]FormattedData!C81</f>
        <v>13.385999999999999</v>
      </c>
      <c r="K80" s="6">
        <f>$J$3+[27]FormattedData!D81*$J$4+$M$4*$J$5+[27]FormattedData!D81^2*$J$6+$M$5*$J$7</f>
        <v>29.752427158886164</v>
      </c>
      <c r="L80" s="6">
        <f>$J$3+[27]FormattedData!E81*$J$4+$M$4*$J$5+[27]FormattedData!E81^2*$J$6+$M$5*$J$7</f>
        <v>30.044390299705643</v>
      </c>
      <c r="M80" s="6">
        <f>$J$3+[27]FormattedData!F81*$J$4+$M$4*$J$5+[27]FormattedData!F81^2*$J$6+$M$5*$J$7</f>
        <v>30.141626809569608</v>
      </c>
      <c r="N80" s="6">
        <f>$J$3+[27]FormattedData!G81*$J$4+$M$4*$J$5+[27]FormattedData!G81^2*$J$6+$M$5*$J$7</f>
        <v>30.821098859555288</v>
      </c>
      <c r="O80" s="6">
        <f>$J$3+[27]FormattedData!H81*$J$4+$M$4*$J$5+[27]FormattedData!H81^2*$J$6+$M$5*$J$7</f>
        <v>30.238821050895638</v>
      </c>
      <c r="P80" s="6">
        <f>$J$3+[27]FormattedData!I81*$J$4+$M$4*$J$5+[27]FormattedData!I81^2*$J$6+$M$5*$J$7</f>
        <v>30.72415822945684</v>
      </c>
      <c r="Q80" s="6">
        <f>$J$3+[27]FormattedData!J81*$J$4+$M$4*$J$5+[27]FormattedData!J81^2*$J$6+$M$5*$J$7</f>
        <v>31.208438694569757</v>
      </c>
      <c r="R80" s="6">
        <f>$J$3+[27]FormattedData!K81*$J$4+$M$4*$J$5+[27]FormattedData!K81^2*$J$6+$M$5*$J$7</f>
        <v>30.530150163646152</v>
      </c>
      <c r="S80" s="6">
        <f>$J$3+[27]FormattedData!L81*$J$4+$M$4*$J$5+[27]FormattedData!L81^2*$J$6+$M$5*$J$7</f>
        <v>30.141626809569608</v>
      </c>
      <c r="T80" s="6">
        <f>$J$3+[27]FormattedData!M81*$J$4+$M$4*$J$5+[27]FormattedData!M81^2*$J$6+$M$5*$J$7</f>
        <v>29.752427158886164</v>
      </c>
      <c r="U80" s="6">
        <f>$J$3+[27]FormattedData!N81*$J$4+$M$4*$J$5+[27]FormattedData!N81^2*$J$6+$M$5*$J$7</f>
        <v>31.111667138623041</v>
      </c>
      <c r="V80" s="6">
        <f>$J$3+[27]FormattedData!O81*$J$4+$M$4*$J$5+[27]FormattedData!O81^2*$J$6+$M$5*$J$7</f>
        <v>30.917997221115801</v>
      </c>
      <c r="W80" s="5">
        <f t="shared" si="18"/>
        <v>30.448735799539975</v>
      </c>
      <c r="X80" s="4">
        <f t="shared" si="19"/>
        <v>0.14626293227870021</v>
      </c>
      <c r="Y80" s="3">
        <f t="shared" si="20"/>
        <v>29.752427158886164</v>
      </c>
      <c r="Z80" s="2">
        <f t="shared" si="21"/>
        <v>30.117317682103618</v>
      </c>
      <c r="AA80" s="3">
        <f t="shared" si="22"/>
        <v>30.384485607270896</v>
      </c>
      <c r="AB80" s="2">
        <f t="shared" si="23"/>
        <v>30.845323449945418</v>
      </c>
      <c r="AC80" s="2">
        <f t="shared" si="24"/>
        <v>31.208438694569757</v>
      </c>
      <c r="AD80" s="2">
        <f t="shared" si="25"/>
        <v>8.1949264942511868E-2</v>
      </c>
      <c r="AE80" s="2">
        <f t="shared" si="26"/>
        <v>-1.3640310633081065</v>
      </c>
    </row>
    <row r="81" spans="2:31" x14ac:dyDescent="0.2">
      <c r="B81" s="1">
        <f>[27]FormattedData!A79</f>
        <v>408</v>
      </c>
      <c r="C81" s="1" t="str">
        <f>VLOOKUP($B81,[27]TrtCodes!$B$11:I122,2)</f>
        <v>NTL</v>
      </c>
      <c r="D81" s="1">
        <f>VLOOKUP($B81,[27]TrtCodes!$B$11:J122,3)</f>
        <v>10</v>
      </c>
      <c r="E81" s="1">
        <f>VLOOKUP($B81,[27]TrtCodes!$B$11:K122,4)</f>
        <v>2</v>
      </c>
      <c r="F81" s="1">
        <f>VLOOKUP($B81,[27]TrtCodes!$B$11:L122,5)</f>
        <v>2</v>
      </c>
      <c r="G81" s="1">
        <f>VLOOKUP($B81,[27]TrtCodes!$B$11:M122,6)</f>
        <v>1</v>
      </c>
      <c r="H81" s="1">
        <f>VLOOKUP($B81,[27]TrtCodes!$B$11:N122,7)</f>
        <v>4</v>
      </c>
      <c r="I81" s="1">
        <f>[27]FormattedData!B79</f>
        <v>2</v>
      </c>
      <c r="J81" s="4">
        <f>[27]FormattedData!C79</f>
        <v>13.37</v>
      </c>
      <c r="K81" s="6">
        <f>$J$3+[27]FormattedData!D79*$J$4+$M$4*$J$5+[27]FormattedData!D79^2*$J$6+$M$5*$J$7</f>
        <v>30.627175330820464</v>
      </c>
      <c r="L81" s="6">
        <f>$J$3+[27]FormattedData!E79*$J$4+$M$4*$J$5+[27]FormattedData!E79^2*$J$6+$M$5*$J$7</f>
        <v>30.530150163646152</v>
      </c>
      <c r="M81" s="6">
        <f>$J$3+[27]FormattedData!F79*$J$4+$M$4*$J$5+[27]FormattedData!F79^2*$J$6+$M$5*$J$7</f>
        <v>28.384902545714787</v>
      </c>
      <c r="N81" s="6">
        <f>$J$3+[27]FormattedData!G79*$J$4+$M$4*$J$5+[27]FormattedData!G79^2*$J$6+$M$5*$J$7</f>
        <v>28.874255235379444</v>
      </c>
      <c r="O81" s="6">
        <f>$J$3+[27]FormattedData!H79*$J$4+$M$4*$J$5+[27]FormattedData!H79^2*$J$6+$M$5*$J$7</f>
        <v>30.238821050895638</v>
      </c>
      <c r="P81" s="6">
        <f>$J$3+[27]FormattedData!I79*$J$4+$M$4*$J$5+[27]FormattedData!I79^2*$J$6+$M$5*$J$7</f>
        <v>30.433082727933915</v>
      </c>
      <c r="Q81" s="6">
        <f>$J$3+[27]FormattedData!J79*$J$4+$M$4*$J$5+[27]FormattedData!J79^2*$J$6+$M$5*$J$7</f>
        <v>29.94711152130375</v>
      </c>
      <c r="R81" s="6">
        <f>$J$3+[27]FormattedData!K79*$J$4+$M$4*$J$5+[27]FormattedData!K79^2*$J$6+$M$5*$J$7</f>
        <v>29.655021574870478</v>
      </c>
      <c r="S81" s="6">
        <f>$J$3+[27]FormattedData!L79*$J$4+$M$4*$J$5+[27]FormattedData!L79^2*$J$6+$M$5*$J$7</f>
        <v>30.433082727933915</v>
      </c>
      <c r="T81" s="6">
        <f>$J$3+[27]FormattedData!M79*$J$4+$M$4*$J$5+[27]FormattedData!M79^2*$J$6+$M$5*$J$7</f>
        <v>30.627175330820464</v>
      </c>
      <c r="U81" s="6">
        <f>$J$3+[27]FormattedData!N79*$J$4+$M$4*$J$5+[27]FormattedData!N79^2*$J$6+$M$5*$J$7</f>
        <v>28.384902545714787</v>
      </c>
      <c r="V81" s="6">
        <f>$J$3+[27]FormattedData!O79*$J$4+$M$4*$J$5+[27]FormattedData!O79^2*$J$6+$M$5*$J$7</f>
        <v>28.678640965127371</v>
      </c>
      <c r="W81" s="5">
        <f t="shared" si="18"/>
        <v>29.734526810013435</v>
      </c>
      <c r="X81" s="4">
        <f t="shared" si="19"/>
        <v>0.26120901095826571</v>
      </c>
      <c r="Y81" s="3">
        <f t="shared" si="20"/>
        <v>28.384902545714787</v>
      </c>
      <c r="Z81" s="2">
        <f t="shared" si="21"/>
        <v>28.825351667816427</v>
      </c>
      <c r="AA81" s="3">
        <f t="shared" si="22"/>
        <v>30.092966286099696</v>
      </c>
      <c r="AB81" s="2">
        <f t="shared" si="23"/>
        <v>30.457349586861973</v>
      </c>
      <c r="AC81" s="2">
        <f t="shared" si="24"/>
        <v>30.627175330820464</v>
      </c>
      <c r="AD81" s="2">
        <f t="shared" si="25"/>
        <v>-0.58681377795470768</v>
      </c>
      <c r="AE81" s="2">
        <f t="shared" si="26"/>
        <v>-1.5323497494459888</v>
      </c>
    </row>
    <row r="82" spans="2:31" x14ac:dyDescent="0.2">
      <c r="B82" s="1">
        <f>[27]FormattedData!A59</f>
        <v>902</v>
      </c>
      <c r="C82" s="1" t="str">
        <f>VLOOKUP($B82,[27]TrtCodes!$B$11:I102,2)</f>
        <v>Late</v>
      </c>
      <c r="D82" s="1">
        <f>VLOOKUP($B82,[27]TrtCodes!$B$11:J102,3)</f>
        <v>22</v>
      </c>
      <c r="E82" s="1">
        <f>VLOOKUP($B82,[27]TrtCodes!$B$11:K102,4)</f>
        <v>4</v>
      </c>
      <c r="F82" s="1">
        <f>VLOOKUP($B82,[27]TrtCodes!$B$11:L102,5)</f>
        <v>2</v>
      </c>
      <c r="G82" s="1">
        <f>VLOOKUP($B82,[27]TrtCodes!$B$11:M102,6)</f>
        <v>2</v>
      </c>
      <c r="H82" s="1">
        <f>VLOOKUP($B82,[27]TrtCodes!$B$11:N102,7)</f>
        <v>1</v>
      </c>
      <c r="I82" s="1">
        <f>[27]FormattedData!B59</f>
        <v>2</v>
      </c>
      <c r="J82" s="4">
        <f>[27]FormattedData!C59</f>
        <v>13.19</v>
      </c>
      <c r="K82" s="6">
        <f>$J$3+[27]FormattedData!D59*$J$4+$M$4*$J$5+[27]FormattedData!D59^2*$J$6+$M$5*$J$7</f>
        <v>33.80529319779329</v>
      </c>
      <c r="L82" s="6">
        <f>$J$3+[27]FormattedData!E59*$J$4+$M$4*$J$5+[27]FormattedData!E59^2*$J$6+$M$5*$J$7</f>
        <v>34.282810696837224</v>
      </c>
      <c r="M82" s="6">
        <f>$J$3+[27]FormattedData!F59*$J$4+$M$4*$J$5+[27]FormattedData!F59^2*$J$6+$M$5*$J$7</f>
        <v>35.139679277226648</v>
      </c>
      <c r="N82" s="6">
        <f>$J$3+[27]FormattedData!G59*$J$4+$M$4*$J$5+[27]FormattedData!G59^2*$J$6+$M$5*$J$7</f>
        <v>36.937380626959097</v>
      </c>
      <c r="O82" s="6">
        <f>$J$3+[27]FormattedData!H59*$J$4+$M$4*$J$5+[27]FormattedData!H59^2*$J$6+$M$5*$J$7</f>
        <v>34.473521816689278</v>
      </c>
      <c r="P82" s="6">
        <f>$J$3+[27]FormattedData!I59*$J$4+$M$4*$J$5+[27]FormattedData!I59^2*$J$6+$M$5*$J$7</f>
        <v>33.613990318410195</v>
      </c>
      <c r="Q82" s="6">
        <f>$J$3+[27]FormattedData!J59*$J$4+$M$4*$J$5+[27]FormattedData!J59^2*$J$6+$M$5*$J$7</f>
        <v>33.900881234677939</v>
      </c>
      <c r="R82" s="6">
        <f>$J$3+[27]FormattedData!K59*$J$4+$M$4*$J$5+[27]FormattedData!K59^2*$J$6+$M$5*$J$7</f>
        <v>35.044640731335107</v>
      </c>
      <c r="S82" s="6">
        <f>$J$3+[27]FormattedData!L59*$J$4+$M$4*$J$5+[27]FormattedData!L59^2*$J$6+$M$5*$J$7</f>
        <v>34.664063862389611</v>
      </c>
      <c r="T82" s="6">
        <f>$J$3+[27]FormattedData!M59*$J$4+$M$4*$J$5+[27]FormattedData!M59^2*$J$6+$M$5*$J$7</f>
        <v>34.664063862389611</v>
      </c>
      <c r="U82" s="6">
        <f>$J$3+[27]FormattedData!N59*$J$4+$M$4*$J$5+[27]FormattedData!N59^2*$J$6+$M$5*$J$7</f>
        <v>33.230877337188829</v>
      </c>
      <c r="V82" s="6">
        <f>$J$3+[27]FormattedData!O59*$J$4+$M$4*$J$5+[27]FormattedData!O59^2*$J$6+$M$5*$J$7</f>
        <v>33.709662892370702</v>
      </c>
      <c r="W82" s="5">
        <f t="shared" si="18"/>
        <v>34.455572154522301</v>
      </c>
      <c r="X82" s="4">
        <f t="shared" si="19"/>
        <v>0.28319800709629817</v>
      </c>
      <c r="Y82" s="3">
        <f t="shared" si="20"/>
        <v>33.230877337188829</v>
      </c>
      <c r="Z82" s="2">
        <f t="shared" si="21"/>
        <v>33.781385621437643</v>
      </c>
      <c r="AA82" s="3">
        <f t="shared" si="22"/>
        <v>34.378166256763251</v>
      </c>
      <c r="AB82" s="2">
        <f t="shared" si="23"/>
        <v>34.759208079625985</v>
      </c>
      <c r="AC82" s="2">
        <f t="shared" si="24"/>
        <v>36.937380626959097</v>
      </c>
      <c r="AD82" s="2">
        <f t="shared" si="25"/>
        <v>1.4477995131433634</v>
      </c>
      <c r="AE82" s="2">
        <f t="shared" si="26"/>
        <v>3.0466055882763623</v>
      </c>
    </row>
    <row r="83" spans="2:31" x14ac:dyDescent="0.2">
      <c r="B83" s="1">
        <f>[27]FormattedData!A55</f>
        <v>904</v>
      </c>
      <c r="C83" s="1" t="str">
        <f>VLOOKUP($B83,[27]TrtCodes!$B$11:I98,2)</f>
        <v>Early</v>
      </c>
      <c r="D83" s="1">
        <f>VLOOKUP($B83,[27]TrtCodes!$B$11:J98,3)</f>
        <v>21</v>
      </c>
      <c r="E83" s="1">
        <f>VLOOKUP($B83,[27]TrtCodes!$B$11:K98,4)</f>
        <v>3</v>
      </c>
      <c r="F83" s="1">
        <f>VLOOKUP($B83,[27]TrtCodes!$B$11:L98,5)</f>
        <v>2</v>
      </c>
      <c r="G83" s="1">
        <f>VLOOKUP($B83,[27]TrtCodes!$B$11:M98,6)</f>
        <v>2</v>
      </c>
      <c r="H83" s="1">
        <f>VLOOKUP($B83,[27]TrtCodes!$B$11:N98,7)</f>
        <v>1</v>
      </c>
      <c r="I83" s="1">
        <f>[27]FormattedData!B55</f>
        <v>2</v>
      </c>
      <c r="J83" s="4">
        <f>[27]FormattedData!C55</f>
        <v>13.167</v>
      </c>
      <c r="K83" s="6">
        <f>$J$3+[27]FormattedData!D55*$J$4+$M$4*$J$5+[27]FormattedData!D55^2*$J$6+$M$5*$J$7</f>
        <v>37.689742508960407</v>
      </c>
      <c r="L83" s="6">
        <f>$J$3+[27]FormattedData!E55*$J$4+$M$4*$J$5+[27]FormattedData!E55^2*$J$6+$M$5*$J$7</f>
        <v>41.687340172875942</v>
      </c>
      <c r="M83" s="6">
        <f>$J$3+[27]FormattedData!F55*$J$4+$M$4*$J$5+[27]FormattedData!F55^2*$J$6+$M$5*$J$7</f>
        <v>37.971180783835031</v>
      </c>
      <c r="N83" s="6">
        <f>$J$3+[27]FormattedData!G55*$J$4+$M$4*$J$5+[27]FormattedData!G55^2*$J$6+$M$5*$J$7</f>
        <v>40.301705752847681</v>
      </c>
      <c r="O83" s="6">
        <f>$J$3+[27]FormattedData!H55*$J$4+$M$4*$J$5+[27]FormattedData!H55^2*$J$6+$M$5*$J$7</f>
        <v>40.579593470536096</v>
      </c>
      <c r="P83" s="6">
        <f>$J$3+[27]FormattedData!I55*$J$4+$M$4*$J$5+[27]FormattedData!I55^2*$J$6+$M$5*$J$7</f>
        <v>36.182313558530197</v>
      </c>
      <c r="Q83" s="6">
        <f>$J$3+[27]FormattedData!J55*$J$4+$M$4*$J$5+[27]FormattedData!J55^2*$J$6+$M$5*$J$7</f>
        <v>39.372665905587461</v>
      </c>
      <c r="R83" s="6">
        <f>$J$3+[27]FormattedData!K55*$J$4+$M$4*$J$5+[27]FormattedData!K55^2*$J$6+$M$5*$J$7</f>
        <v>38.906560911784929</v>
      </c>
      <c r="S83" s="6">
        <f>$J$3+[27]FormattedData!L55*$J$4+$M$4*$J$5+[27]FormattedData!L55^2*$J$6+$M$5*$J$7</f>
        <v>37.407923817244395</v>
      </c>
      <c r="T83" s="6">
        <f>$J$3+[27]FormattedData!M55*$J$4+$M$4*$J$5+[27]FormattedData!M55^2*$J$6+$M$5*$J$7</f>
        <v>40.301705752847681</v>
      </c>
      <c r="U83" s="6">
        <f>$J$3+[27]FormattedData!N55*$J$4+$M$4*$J$5+[27]FormattedData!N55^2*$J$6+$M$5*$J$7</f>
        <v>37.689742508960407</v>
      </c>
      <c r="V83" s="6">
        <f>$J$3+[27]FormattedData!O55*$J$4+$M$4*$J$5+[27]FormattedData!O55^2*$J$6+$M$5*$J$7</f>
        <v>43.246228806590686</v>
      </c>
      <c r="W83" s="5">
        <f t="shared" si="18"/>
        <v>39.27805866255008</v>
      </c>
      <c r="X83" s="4">
        <f t="shared" si="19"/>
        <v>0.58596036601109358</v>
      </c>
      <c r="Y83" s="3">
        <f t="shared" si="20"/>
        <v>36.182313558530197</v>
      </c>
      <c r="Z83" s="2">
        <f t="shared" si="21"/>
        <v>37.689742508960407</v>
      </c>
      <c r="AA83" s="3">
        <f t="shared" si="22"/>
        <v>39.139613408686195</v>
      </c>
      <c r="AB83" s="2">
        <f t="shared" si="23"/>
        <v>40.371177682269789</v>
      </c>
      <c r="AC83" s="2">
        <f t="shared" si="24"/>
        <v>43.246228806590686</v>
      </c>
      <c r="AD83" s="2">
        <f t="shared" si="25"/>
        <v>0.44759188562636215</v>
      </c>
      <c r="AE83" s="2">
        <f t="shared" si="26"/>
        <v>-0.26055370717135151</v>
      </c>
    </row>
    <row r="84" spans="2:31" x14ac:dyDescent="0.2">
      <c r="B84" s="1">
        <f>[27]FormattedData!A51</f>
        <v>906</v>
      </c>
      <c r="C84" s="1" t="str">
        <f>VLOOKUP($B84,[27]TrtCodes!$B$11:I94,2)</f>
        <v>Late</v>
      </c>
      <c r="D84" s="1">
        <f>VLOOKUP($B84,[27]TrtCodes!$B$11:J94,3)</f>
        <v>22</v>
      </c>
      <c r="E84" s="1">
        <f>VLOOKUP($B84,[27]TrtCodes!$B$11:K94,4)</f>
        <v>4</v>
      </c>
      <c r="F84" s="1">
        <f>VLOOKUP($B84,[27]TrtCodes!$B$11:L94,5)</f>
        <v>2</v>
      </c>
      <c r="G84" s="1">
        <f>VLOOKUP($B84,[27]TrtCodes!$B$11:M94,6)</f>
        <v>2</v>
      </c>
      <c r="H84" s="1">
        <f>VLOOKUP($B84,[27]TrtCodes!$B$11:N94,7)</f>
        <v>2</v>
      </c>
      <c r="I84" s="1">
        <f>[27]FormattedData!B51</f>
        <v>2</v>
      </c>
      <c r="J84" s="4">
        <f>[27]FormattedData!C51</f>
        <v>13.147</v>
      </c>
      <c r="K84" s="6">
        <f>$J$3+[27]FormattedData!D51*$J$4+$M$4*$J$5+[27]FormattedData!D51^2*$J$6+$M$5*$J$7</f>
        <v>37.125724708687009</v>
      </c>
      <c r="L84" s="6">
        <f>$J$3+[27]FormattedData!E51*$J$4+$M$4*$J$5+[27]FormattedData!E51^2*$J$6+$M$5*$J$7</f>
        <v>36.843145183288243</v>
      </c>
      <c r="M84" s="6">
        <f>$J$3+[27]FormattedData!F51*$J$4+$M$4*$J$5+[27]FormattedData!F51^2*$J$6+$M$5*$J$7</f>
        <v>37.689742508960407</v>
      </c>
      <c r="N84" s="6">
        <f>$J$3+[27]FormattedData!G51*$J$4+$M$4*$J$5+[27]FormattedData!G51^2*$J$6+$M$5*$J$7</f>
        <v>37.689742508960407</v>
      </c>
      <c r="O84" s="6">
        <f>$J$3+[27]FormattedData!H51*$J$4+$M$4*$J$5+[27]FormattedData!H51^2*$J$6+$M$5*$J$7</f>
        <v>34.949559916905628</v>
      </c>
      <c r="P84" s="6">
        <f>$J$3+[27]FormattedData!I51*$J$4+$M$4*$J$5+[27]FormattedData!I51^2*$J$6+$M$5*$J$7</f>
        <v>37.689742508960407</v>
      </c>
      <c r="Q84" s="6">
        <f>$J$3+[27]FormattedData!J51*$J$4+$M$4*$J$5+[27]FormattedData!J51^2*$J$6+$M$5*$J$7</f>
        <v>33.613990318410195</v>
      </c>
      <c r="R84" s="6">
        <f>$J$3+[27]FormattedData!K51*$J$4+$M$4*$J$5+[27]FormattedData!K51^2*$J$6+$M$5*$J$7</f>
        <v>36.748867471079464</v>
      </c>
      <c r="S84" s="6">
        <f>$J$3+[27]FormattedData!L51*$J$4+$M$4*$J$5+[27]FormattedData!L51^2*$J$6+$M$5*$J$7</f>
        <v>34.759271482432887</v>
      </c>
      <c r="T84" s="6">
        <f>$J$3+[27]FormattedData!M51*$J$4+$M$4*$J$5+[27]FormattedData!M51^2*$J$6+$M$5*$J$7</f>
        <v>40.301705752847681</v>
      </c>
      <c r="U84" s="6">
        <f>$J$3+[27]FormattedData!N51*$J$4+$M$4*$J$5+[27]FormattedData!N51^2*$J$6+$M$5*$J$7</f>
        <v>35.424541303673699</v>
      </c>
      <c r="V84" s="6">
        <f>$J$3+[27]FormattedData!O51*$J$4+$M$4*$J$5+[27]FormattedData!O51^2*$J$6+$M$5*$J$7</f>
        <v>33.230877337188829</v>
      </c>
      <c r="W84" s="5">
        <f t="shared" si="18"/>
        <v>36.338909250116238</v>
      </c>
      <c r="X84" s="4">
        <f t="shared" si="19"/>
        <v>0.5810522529777824</v>
      </c>
      <c r="Y84" s="3">
        <f t="shared" si="20"/>
        <v>33.230877337188829</v>
      </c>
      <c r="Z84" s="2">
        <f t="shared" si="21"/>
        <v>34.901987808287444</v>
      </c>
      <c r="AA84" s="3">
        <f t="shared" si="22"/>
        <v>36.796006327183854</v>
      </c>
      <c r="AB84" s="2">
        <f t="shared" si="23"/>
        <v>37.689742508960407</v>
      </c>
      <c r="AC84" s="2">
        <f t="shared" si="24"/>
        <v>40.301705752847681</v>
      </c>
      <c r="AD84" s="2">
        <f t="shared" si="25"/>
        <v>0.16943375732774343</v>
      </c>
      <c r="AE84" s="2">
        <f t="shared" si="26"/>
        <v>-3.8139691774264239E-2</v>
      </c>
    </row>
    <row r="85" spans="2:31" x14ac:dyDescent="0.2">
      <c r="B85" s="1">
        <f>[27]FormattedData!A47</f>
        <v>908</v>
      </c>
      <c r="C85" s="1" t="str">
        <f>VLOOKUP($B85,[27]TrtCodes!$B$11:I90,2)</f>
        <v>Early</v>
      </c>
      <c r="D85" s="1">
        <f>VLOOKUP($B85,[27]TrtCodes!$B$11:J90,3)</f>
        <v>21</v>
      </c>
      <c r="E85" s="1">
        <f>VLOOKUP($B85,[27]TrtCodes!$B$11:K90,4)</f>
        <v>3</v>
      </c>
      <c r="F85" s="1">
        <f>VLOOKUP($B85,[27]TrtCodes!$B$11:L90,5)</f>
        <v>2</v>
      </c>
      <c r="G85" s="1">
        <f>VLOOKUP($B85,[27]TrtCodes!$B$11:M90,6)</f>
        <v>2</v>
      </c>
      <c r="H85" s="1">
        <f>VLOOKUP($B85,[27]TrtCodes!$B$11:N90,7)</f>
        <v>2</v>
      </c>
      <c r="I85" s="1">
        <f>[27]FormattedData!B47</f>
        <v>2</v>
      </c>
      <c r="J85" s="4">
        <f>[27]FormattedData!C47</f>
        <v>13.125999999999999</v>
      </c>
      <c r="K85" s="6">
        <f>$J$3+[27]FormattedData!D47*$J$4+$M$4*$J$5+[27]FormattedData!D47^2*$J$6+$M$5*$J$7</f>
        <v>40.023437618317899</v>
      </c>
      <c r="L85" s="6">
        <f>$J$3+[27]FormattedData!E47*$J$4+$M$4*$J$5+[27]FormattedData!E47^2*$J$6+$M$5*$J$7</f>
        <v>39.837714185941714</v>
      </c>
      <c r="M85" s="6">
        <f>$J$3+[27]FormattedData!F47*$J$4+$M$4*$J$5+[27]FormattedData!F47^2*$J$6+$M$5*$J$7</f>
        <v>39.558812023342952</v>
      </c>
      <c r="N85" s="6">
        <f>$J$3+[27]FormattedData!G47*$J$4+$M$4*$J$5+[27]FormattedData!G47^2*$J$6+$M$5*$J$7</f>
        <v>38.813213107410625</v>
      </c>
      <c r="O85" s="6">
        <f>$J$3+[27]FormattedData!H47*$J$4+$M$4*$J$5+[27]FormattedData!H47^2*$J$6+$M$5*$J$7</f>
        <v>40.023437618317899</v>
      </c>
      <c r="P85" s="6">
        <f>$J$3+[27]FormattedData!I47*$J$4+$M$4*$J$5+[27]FormattedData!I47^2*$J$6+$M$5*$J$7</f>
        <v>41.04189429592482</v>
      </c>
      <c r="Q85" s="6">
        <f>$J$3+[27]FormattedData!J47*$J$4+$M$4*$J$5+[27]FormattedData!J47^2*$J$6+$M$5*$J$7</f>
        <v>40.301705752847681</v>
      </c>
      <c r="R85" s="6">
        <f>$J$3+[27]FormattedData!K47*$J$4+$M$4*$J$5+[27]FormattedData!K47^2*$J$6+$M$5*$J$7</f>
        <v>40.208991976542357</v>
      </c>
      <c r="S85" s="6">
        <f>$J$3+[27]FormattedData!L47*$J$4+$M$4*$J$5+[27]FormattedData!L47^2*$J$6+$M$5*$J$7</f>
        <v>39.6518216794138</v>
      </c>
      <c r="T85" s="6">
        <f>$J$3+[27]FormattedData!M47*$J$4+$M$4*$J$5+[27]FormattedData!M47^2*$J$6+$M$5*$J$7</f>
        <v>39.372665905587461</v>
      </c>
      <c r="U85" s="6">
        <f>$J$3+[27]FormattedData!N47*$J$4+$M$4*$J$5+[27]FormattedData!N47^2*$J$6+$M$5*$J$7</f>
        <v>34.091930502833442</v>
      </c>
      <c r="V85" s="6">
        <f>$J$3+[27]FormattedData!O47*$J$4+$M$4*$J$5+[27]FormattedData!O47^2*$J$6+$M$5*$J$7</f>
        <v>37.313899716263201</v>
      </c>
      <c r="W85" s="5">
        <f t="shared" si="18"/>
        <v>39.18662703189532</v>
      </c>
      <c r="X85" s="4">
        <f t="shared" si="19"/>
        <v>0.53333628401374356</v>
      </c>
      <c r="Y85" s="3">
        <f t="shared" si="20"/>
        <v>34.091930502833442</v>
      </c>
      <c r="Z85" s="2">
        <f t="shared" si="21"/>
        <v>39.232802706043252</v>
      </c>
      <c r="AA85" s="3">
        <f t="shared" si="22"/>
        <v>39.74476793267776</v>
      </c>
      <c r="AB85" s="2">
        <f t="shared" si="23"/>
        <v>40.069826207874016</v>
      </c>
      <c r="AC85" s="2">
        <f t="shared" si="24"/>
        <v>41.04189429592482</v>
      </c>
      <c r="AD85" s="2">
        <f t="shared" si="25"/>
        <v>-2.2213241819019727</v>
      </c>
      <c r="AE85" s="2">
        <f t="shared" si="26"/>
        <v>5.4574201376276186</v>
      </c>
    </row>
    <row r="88" spans="2:31" x14ac:dyDescent="0.2">
      <c r="W88" s="2"/>
    </row>
  </sheetData>
  <autoFilter ref="B9:AE85" xr:uid="{DAF57DF3-0C1E-4403-B674-4372DA63FA18}"/>
  <conditionalFormatting sqref="K10:V85">
    <cfRule type="cellIs" dxfId="19" priority="1" stopIfTrue="1" operator="lessThan">
      <formula>$W10-$V$5*$X10</formula>
    </cfRule>
    <cfRule type="cellIs" dxfId="18" priority="2" stopIfTrue="1" operator="greaterThan">
      <formula>$W10+$V$5*$X10</formula>
    </cfRule>
  </conditionalFormatting>
  <conditionalFormatting sqref="W10:W85">
    <cfRule type="cellIs" dxfId="17" priority="3" stopIfTrue="1" operator="lessThan">
      <formula>AVERAGE($W$10:$W$41)</formula>
    </cfRule>
    <cfRule type="cellIs" dxfId="16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3EB2-A8A2-41B8-8813-D8808DE6FAAF}">
  <sheetPr codeName="Sheet6"/>
  <dimension ref="A1:AI88"/>
  <sheetViews>
    <sheetView topLeftCell="A8" workbookViewId="0">
      <pane xSplit="4" ySplit="2" topLeftCell="P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[28]FormattedData!A1</f>
        <v>Raw data file name - 'IA251.03R'</v>
      </c>
    </row>
    <row r="2" spans="1:35" ht="15" x14ac:dyDescent="0.25">
      <c r="I2" s="32" t="s">
        <v>136</v>
      </c>
      <c r="J2" s="24"/>
      <c r="P2" s="31">
        <f>[28]AncillaryData!C10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[28]AncillaryData!E25</f>
        <v>36.6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"&amp;[28]AncillaryData!C7</f>
        <v>Time Sequence of Midday IRT Temps - FISE 2003 - DOY 251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"&amp;[28]AncillaryData!E25&amp;", VPD = "&amp;ROUND([28]AncillaryData!E29,1)&amp;", Quality = "&amp;[28]AncillaryData!C20&amp;")"</f>
        <v>(Ta = 36.6, VPD = 4.2, Quality = 2)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[28]FormattedData!A28</f>
        <v>101</v>
      </c>
      <c r="C10" s="1" t="str">
        <f>VLOOKUP($B10,[28]TrtCodes!$B$11:I71,2)</f>
        <v>FSH</v>
      </c>
      <c r="D10" s="1">
        <f>VLOOKUP($B10,[28]TrtCodes!$B$11:J71,3)</f>
        <v>1</v>
      </c>
      <c r="E10" s="1">
        <f>VLOOKUP($B10,[28]TrtCodes!$B$11:K71,4)</f>
        <v>1</v>
      </c>
      <c r="F10" s="1">
        <f>VLOOKUP($B10,[28]TrtCodes!$B$11:L71,5)</f>
        <v>1</v>
      </c>
      <c r="G10" s="1">
        <f>VLOOKUP($B10,[28]TrtCodes!$B$11:M71,6)</f>
        <v>2</v>
      </c>
      <c r="H10" s="1">
        <f>VLOOKUP($B10,[28]TrtCodes!$B$11:N71,7)</f>
        <v>1</v>
      </c>
      <c r="I10" s="1">
        <f>[28]FormattedData!B28</f>
        <v>1</v>
      </c>
      <c r="J10" s="4">
        <f>[28]FormattedData!C28</f>
        <v>12.997</v>
      </c>
      <c r="K10" s="6">
        <f>$J$3+[28]FormattedData!D28*$J$4+$M$4*$J$5+[28]FormattedData!D28^2*$J$6+$M$5*$J$7</f>
        <v>32.30088121297738</v>
      </c>
      <c r="L10" s="6">
        <f>$J$3+[28]FormattedData!E28*$J$4+$M$4*$J$5+[28]FormattedData!E28^2*$J$6+$M$5*$J$7</f>
        <v>32.011834601275147</v>
      </c>
      <c r="M10" s="6">
        <f>$J$3+[28]FormattedData!F28*$J$4+$M$4*$J$5+[28]FormattedData!F28^2*$J$6+$M$5*$J$7</f>
        <v>32.204574610947894</v>
      </c>
      <c r="N10" s="6">
        <f>$J$3+[28]FormattedData!G28*$J$4+$M$4*$J$5+[28]FormattedData!G28^2*$J$6+$M$5*$J$7</f>
        <v>31.91540119363188</v>
      </c>
      <c r="O10" s="6">
        <f>$J$3+[28]FormattedData!H28*$J$4+$M$4*$J$5+[28]FormattedData!H28^2*$J$6+$M$5*$J$7</f>
        <v>31.818925517450673</v>
      </c>
      <c r="P10" s="6">
        <f>$J$3+[28]FormattedData!I28*$J$4+$M$4*$J$5+[28]FormattedData!I28^2*$J$6+$M$5*$J$7</f>
        <v>32.204574610947894</v>
      </c>
      <c r="Q10" s="6">
        <f>$J$3+[28]FormattedData!J28*$J$4+$M$4*$J$5+[28]FormattedData!J28^2*$J$6+$M$5*$J$7</f>
        <v>32.589547407838232</v>
      </c>
      <c r="R10" s="6">
        <f>$J$3+[28]FormattedData!K28*$J$4+$M$4*$J$5+[28]FormattedData!K28^2*$J$6+$M$5*$J$7</f>
        <v>31.432600127346543</v>
      </c>
      <c r="S10" s="6">
        <f>$J$3+[28]FormattedData!L28*$J$4+$M$4*$J$5+[28]FormattedData!L28^2*$J$6+$M$5*$J$7</f>
        <v>31.432600127346543</v>
      </c>
      <c r="T10" s="6">
        <f>$J$3+[28]FormattedData!M28*$J$4+$M$4*$J$5+[28]FormattedData!M28^2*$J$6+$M$5*$J$7</f>
        <v>31.239183821066888</v>
      </c>
      <c r="U10" s="6">
        <f>$J$3+[28]FormattedData!N28*$J$4+$M$4*$J$5+[28]FormattedData!N28^2*$J$6+$M$5*$J$7</f>
        <v>30.269566177392768</v>
      </c>
      <c r="V10" s="6">
        <f>$J$3+[28]FormattedData!O28*$J$4+$M$4*$J$5+[28]FormattedData!O28^2*$J$6+$M$5*$J$7</f>
        <v>30.851843986052419</v>
      </c>
      <c r="W10" s="5">
        <f t="shared" ref="W10:W41" si="0">AVERAGE(K10:V10)</f>
        <v>31.689294449522858</v>
      </c>
      <c r="X10" s="4">
        <f t="shared" ref="X10:X41" si="1">STDEV(K10:V10)/SQRT(COUNT(K10:V10))</f>
        <v>0.19343029525334984</v>
      </c>
      <c r="Y10" s="3">
        <f t="shared" ref="Y10:Y41" si="2">MIN(K10:V10)</f>
        <v>30.269566177392768</v>
      </c>
      <c r="Z10" s="2">
        <f t="shared" ref="Z10:Z41" si="3">QUARTILE(K10:V10,1)</f>
        <v>31.384246050776628</v>
      </c>
      <c r="AA10" s="3">
        <f t="shared" ref="AA10:AA41" si="4">MEDIAN(K10:V10)</f>
        <v>31.867163355541276</v>
      </c>
      <c r="AB10" s="2">
        <f t="shared" ref="AB10:AB41" si="5">QUARTILE(K10:V10,3)</f>
        <v>32.204574610947894</v>
      </c>
      <c r="AC10" s="2">
        <f t="shared" ref="AC10:AC41" si="6">MAX(K10:V10)</f>
        <v>32.589547407838232</v>
      </c>
      <c r="AD10" s="2">
        <f t="shared" ref="AD10:AD41" si="7">SKEW(K10:V10)</f>
        <v>-0.83208645667481307</v>
      </c>
      <c r="AE10" s="2">
        <f t="shared" ref="AE10:AE41" si="8">KURT(K10:V10)</f>
        <v>0.30952259230610579</v>
      </c>
    </row>
    <row r="11" spans="1:35" x14ac:dyDescent="0.2">
      <c r="B11" s="1">
        <f>[28]FormattedData!A26</f>
        <v>102</v>
      </c>
      <c r="C11" s="1" t="str">
        <f>VLOOKUP($B11,[28]TrtCodes!$B$11:I69,2)</f>
        <v>FTL</v>
      </c>
      <c r="D11" s="1">
        <f>VLOOKUP($B11,[28]TrtCodes!$B$11:J69,3)</f>
        <v>4</v>
      </c>
      <c r="E11" s="1">
        <f>VLOOKUP($B11,[28]TrtCodes!$B$11:K69,4)</f>
        <v>1</v>
      </c>
      <c r="F11" s="1">
        <f>VLOOKUP($B11,[28]TrtCodes!$B$11:L69,5)</f>
        <v>2</v>
      </c>
      <c r="G11" s="1">
        <f>VLOOKUP($B11,[28]TrtCodes!$B$11:M69,6)</f>
        <v>1</v>
      </c>
      <c r="H11" s="1">
        <f>VLOOKUP($B11,[28]TrtCodes!$B$11:N69,7)</f>
        <v>1</v>
      </c>
      <c r="I11" s="1">
        <f>[28]FormattedData!B26</f>
        <v>1</v>
      </c>
      <c r="J11" s="4">
        <f>[28]FormattedData!C26</f>
        <v>12.981999999999999</v>
      </c>
      <c r="K11" s="6">
        <f>$J$3+[28]FormattedData!D26*$J$4+$M$4*$J$5+[28]FormattedData!D26^2*$J$6+$M$5*$J$7</f>
        <v>32.781780195055809</v>
      </c>
      <c r="L11" s="6">
        <f>$J$3+[28]FormattedData!E26*$J$4+$M$4*$J$5+[28]FormattedData!E26^2*$J$6+$M$5*$J$7</f>
        <v>31.432600127346543</v>
      </c>
      <c r="M11" s="6">
        <f>$J$3+[28]FormattedData!F26*$J$4+$M$4*$J$5+[28]FormattedData!F26^2*$J$6+$M$5*$J$7</f>
        <v>32.781780195055809</v>
      </c>
      <c r="N11" s="6">
        <f>$J$3+[28]FormattedData!G26*$J$4+$M$4*$J$5+[28]FormattedData!G26^2*$J$6+$M$5*$J$7</f>
        <v>32.493367611422549</v>
      </c>
      <c r="O11" s="6">
        <f>$J$3+[28]FormattedData!H26*$J$4+$M$4*$J$5+[28]FormattedData!H26^2*$J$6+$M$5*$J$7</f>
        <v>34.122675629330573</v>
      </c>
      <c r="P11" s="6">
        <f>$J$3+[28]FormattedData!I26*$J$4+$M$4*$J$5+[28]FormattedData!I26^2*$J$6+$M$5*$J$7</f>
        <v>32.973843908121665</v>
      </c>
      <c r="Q11" s="6">
        <f>$J$3+[28]FormattedData!J26*$J$4+$M$4*$J$5+[28]FormattedData!J26^2*$J$6+$M$5*$J$7</f>
        <v>34.790016608930017</v>
      </c>
      <c r="R11" s="6">
        <f>$J$3+[28]FormattedData!K26*$J$4+$M$4*$J$5+[28]FormattedData!K26^2*$J$6+$M$5*$J$7</f>
        <v>34.790016608930017</v>
      </c>
      <c r="S11" s="6">
        <f>$J$3+[28]FormattedData!L26*$J$4+$M$4*$J$5+[28]FormattedData!L26^2*$J$6+$M$5*$J$7</f>
        <v>34.599559100305548</v>
      </c>
      <c r="T11" s="6">
        <f>$J$3+[28]FormattedData!M26*$J$4+$M$4*$J$5+[28]FormattedData!M26^2*$J$6+$M$5*$J$7</f>
        <v>33.165738547035794</v>
      </c>
      <c r="U11" s="6">
        <f>$J$3+[28]FormattedData!N26*$J$4+$M$4*$J$5+[28]FormattedData!N26^2*$J$6+$M$5*$J$7</f>
        <v>32.877833185857703</v>
      </c>
      <c r="V11" s="6">
        <f>$J$3+[28]FormattedData!O26*$J$4+$M$4*$J$5+[28]FormattedData!O26^2*$J$6+$M$5*$J$7</f>
        <v>33.453263491372503</v>
      </c>
      <c r="W11" s="5">
        <f t="shared" si="0"/>
        <v>33.355206267397044</v>
      </c>
      <c r="X11" s="4">
        <f t="shared" si="1"/>
        <v>0.29861340329056762</v>
      </c>
      <c r="Y11" s="3">
        <f t="shared" si="2"/>
        <v>31.432600127346543</v>
      </c>
      <c r="Z11" s="2">
        <f t="shared" si="3"/>
        <v>32.781780195055809</v>
      </c>
      <c r="AA11" s="3">
        <f t="shared" si="4"/>
        <v>33.069791227578733</v>
      </c>
      <c r="AB11" s="2">
        <f t="shared" si="5"/>
        <v>34.241896497074315</v>
      </c>
      <c r="AC11" s="2">
        <f t="shared" si="6"/>
        <v>34.790016608930017</v>
      </c>
      <c r="AD11" s="2">
        <f t="shared" si="7"/>
        <v>-7.5444258698356605E-4</v>
      </c>
      <c r="AE11" s="2">
        <f t="shared" si="8"/>
        <v>-0.49275316416760306</v>
      </c>
    </row>
    <row r="12" spans="1:35" x14ac:dyDescent="0.2">
      <c r="B12" s="1">
        <f>[28]FormattedData!A24</f>
        <v>103</v>
      </c>
      <c r="C12" s="1" t="str">
        <f>VLOOKUP($B12,[28]TrtCodes!$B$11:I67,2)</f>
        <v>FDH</v>
      </c>
      <c r="D12" s="1">
        <f>VLOOKUP($B12,[28]TrtCodes!$B$11:J67,3)</f>
        <v>5</v>
      </c>
      <c r="E12" s="1">
        <f>VLOOKUP($B12,[28]TrtCodes!$B$11:K67,4)</f>
        <v>1</v>
      </c>
      <c r="F12" s="1">
        <f>VLOOKUP($B12,[28]TrtCodes!$B$11:L67,5)</f>
        <v>3</v>
      </c>
      <c r="G12" s="1">
        <f>VLOOKUP($B12,[28]TrtCodes!$B$11:M67,6)</f>
        <v>2</v>
      </c>
      <c r="H12" s="1">
        <f>VLOOKUP($B12,[28]TrtCodes!$B$11:N67,7)</f>
        <v>1</v>
      </c>
      <c r="I12" s="1">
        <f>[28]FormattedData!B24</f>
        <v>1</v>
      </c>
      <c r="J12" s="4">
        <f>[28]FormattedData!C24</f>
        <v>12.967000000000001</v>
      </c>
      <c r="K12" s="6">
        <f>$J$3+[28]FormattedData!D24*$J$4+$M$4*$J$5+[28]FormattedData!D24^2*$J$6+$M$5*$J$7</f>
        <v>32.397145546468934</v>
      </c>
      <c r="L12" s="6">
        <f>$J$3+[28]FormattedData!E24*$J$4+$M$4*$J$5+[28]FormattedData!E24^2*$J$6+$M$5*$J$7</f>
        <v>33.453263491372503</v>
      </c>
      <c r="M12" s="6">
        <f>$J$3+[28]FormattedData!F24*$J$4+$M$4*$J$5+[28]FormattedData!F24^2*$J$6+$M$5*$J$7</f>
        <v>32.397145546468934</v>
      </c>
      <c r="N12" s="6">
        <f>$J$3+[28]FormattedData!G24*$J$4+$M$4*$J$5+[28]FormattedData!G24^2*$J$6+$M$5*$J$7</f>
        <v>33.740408018867832</v>
      </c>
      <c r="O12" s="6">
        <f>$J$3+[28]FormattedData!H24*$J$4+$M$4*$J$5+[28]FormattedData!H24^2*$J$6+$M$5*$J$7</f>
        <v>32.781780195055809</v>
      </c>
      <c r="P12" s="6">
        <f>$J$3+[28]FormattedData!I24*$J$4+$M$4*$J$5+[28]FormattedData!I24^2*$J$6+$M$5*$J$7</f>
        <v>33.357464111798201</v>
      </c>
      <c r="Q12" s="6">
        <f>$J$3+[28]FormattedData!J24*$J$4+$M$4*$J$5+[28]FormattedData!J24^2*$J$6+$M$5*$J$7</f>
        <v>34.02717212952178</v>
      </c>
      <c r="R12" s="6">
        <f>$J$3+[28]FormattedData!K24*$J$4+$M$4*$J$5+[28]FormattedData!K24^2*$J$6+$M$5*$J$7</f>
        <v>34.694808988886741</v>
      </c>
      <c r="S12" s="6">
        <f>$J$3+[28]FormattedData!L24*$J$4+$M$4*$J$5+[28]FormattedData!L24^2*$J$6+$M$5*$J$7</f>
        <v>33.549020602408874</v>
      </c>
      <c r="T12" s="6">
        <f>$J$3+[28]FormattedData!M24*$J$4+$M$4*$J$5+[28]FormattedData!M24^2*$J$6+$M$5*$J$7</f>
        <v>33.93162636117507</v>
      </c>
      <c r="U12" s="6">
        <f>$J$3+[28]FormattedData!N24*$J$4+$M$4*$J$5+[28]FormattedData!N24^2*$J$6+$M$5*$J$7</f>
        <v>32.493367611422549</v>
      </c>
      <c r="V12" s="6">
        <f>$J$3+[28]FormattedData!O24*$J$4+$M$4*$J$5+[28]FormattedData!O24^2*$J$6+$M$5*$J$7</f>
        <v>32.589547407838232</v>
      </c>
      <c r="W12" s="5">
        <f t="shared" si="0"/>
        <v>33.284395834273788</v>
      </c>
      <c r="X12" s="4">
        <f t="shared" si="1"/>
        <v>0.21685259792458886</v>
      </c>
      <c r="Y12" s="3">
        <f t="shared" si="2"/>
        <v>32.397145546468934</v>
      </c>
      <c r="Z12" s="2">
        <f t="shared" si="3"/>
        <v>32.565502458734315</v>
      </c>
      <c r="AA12" s="3">
        <f t="shared" si="4"/>
        <v>33.405363801585352</v>
      </c>
      <c r="AB12" s="2">
        <f t="shared" si="5"/>
        <v>33.788212604444638</v>
      </c>
      <c r="AC12" s="2">
        <f t="shared" si="6"/>
        <v>34.694808988886741</v>
      </c>
      <c r="AD12" s="2">
        <f t="shared" si="7"/>
        <v>0.32190491303209012</v>
      </c>
      <c r="AE12" s="2">
        <f t="shared" si="8"/>
        <v>-0.85944906579361335</v>
      </c>
    </row>
    <row r="13" spans="1:35" x14ac:dyDescent="0.2">
      <c r="B13" s="1">
        <f>[28]FormattedData!A22</f>
        <v>104</v>
      </c>
      <c r="C13" s="1" t="str">
        <f>VLOOKUP($B13,[28]TrtCodes!$B$11:I65,2)</f>
        <v>NTL</v>
      </c>
      <c r="D13" s="1">
        <f>VLOOKUP($B13,[28]TrtCodes!$B$11:J65,3)</f>
        <v>10</v>
      </c>
      <c r="E13" s="1">
        <f>VLOOKUP($B13,[28]TrtCodes!$B$11:K65,4)</f>
        <v>2</v>
      </c>
      <c r="F13" s="1">
        <f>VLOOKUP($B13,[28]TrtCodes!$B$11:L65,5)</f>
        <v>2</v>
      </c>
      <c r="G13" s="1">
        <f>VLOOKUP($B13,[28]TrtCodes!$B$11:M65,6)</f>
        <v>1</v>
      </c>
      <c r="H13" s="1">
        <f>VLOOKUP($B13,[28]TrtCodes!$B$11:N65,7)</f>
        <v>1</v>
      </c>
      <c r="I13" s="1">
        <f>[28]FormattedData!B22</f>
        <v>1</v>
      </c>
      <c r="J13" s="4">
        <f>[28]FormattedData!C22</f>
        <v>12.952</v>
      </c>
      <c r="K13" s="6">
        <f>$J$3+[28]FormattedData!D22*$J$4+$M$4*$J$5+[28]FormattedData!D22^2*$J$6+$M$5*$J$7</f>
        <v>34.504266943186408</v>
      </c>
      <c r="L13" s="6">
        <f>$J$3+[28]FormattedData!E22*$J$4+$M$4*$J$5+[28]FormattedData!E22^2*$J$6+$M$5*$J$7</f>
        <v>32.493367611422549</v>
      </c>
      <c r="M13" s="6">
        <f>$J$3+[28]FormattedData!F22*$J$4+$M$4*$J$5+[28]FormattedData!F22^2*$J$6+$M$5*$J$7</f>
        <v>32.011834601275147</v>
      </c>
      <c r="N13" s="6">
        <f>$J$3+[28]FormattedData!G22*$J$4+$M$4*$J$5+[28]FormattedData!G22^2*$J$6+$M$5*$J$7</f>
        <v>32.10822574038049</v>
      </c>
      <c r="O13" s="6">
        <f>$J$3+[28]FormattedData!H22*$J$4+$M$4*$J$5+[28]FormattedData!H22^2*$J$6+$M$5*$J$7</f>
        <v>32.589547407838232</v>
      </c>
      <c r="P13" s="6">
        <f>$J$3+[28]FormattedData!I22*$J$4+$M$4*$J$5+[28]FormattedData!I22^2*$J$6+$M$5*$J$7</f>
        <v>32.493367611422549</v>
      </c>
      <c r="Q13" s="6">
        <f>$J$3+[28]FormattedData!J22*$J$4+$M$4*$J$5+[28]FormattedData!J22^2*$J$6+$M$5*$J$7</f>
        <v>31.722407572731534</v>
      </c>
      <c r="R13" s="6">
        <f>$J$3+[28]FormattedData!K22*$J$4+$M$4*$J$5+[28]FormattedData!K22^2*$J$6+$M$5*$J$7</f>
        <v>31.62584735947447</v>
      </c>
      <c r="S13" s="6">
        <f>$J$3+[28]FormattedData!L22*$J$4+$M$4*$J$5+[28]FormattedData!L22^2*$J$6+$M$5*$J$7</f>
        <v>32.397145546468934</v>
      </c>
      <c r="T13" s="6">
        <f>$J$3+[28]FormattedData!M22*$J$4+$M$4*$J$5+[28]FormattedData!M22^2*$J$6+$M$5*$J$7</f>
        <v>33.549020602408874</v>
      </c>
      <c r="U13" s="6">
        <f>$J$3+[28]FormattedData!N22*$J$4+$M$4*$J$5+[28]FormattedData!N22^2*$J$6+$M$5*$J$7</f>
        <v>32.781780195055809</v>
      </c>
      <c r="V13" s="6">
        <f>$J$3+[28]FormattedData!O22*$J$4+$M$4*$J$5+[28]FormattedData!O22^2*$J$6+$M$5*$J$7</f>
        <v>33.740408018867832</v>
      </c>
      <c r="W13" s="5">
        <f t="shared" si="0"/>
        <v>32.668101600877733</v>
      </c>
      <c r="X13" s="4">
        <f t="shared" si="1"/>
        <v>0.24887193462987969</v>
      </c>
      <c r="Y13" s="3">
        <f t="shared" si="2"/>
        <v>31.62584735947447</v>
      </c>
      <c r="Z13" s="2">
        <f t="shared" si="3"/>
        <v>32.084127955604153</v>
      </c>
      <c r="AA13" s="3">
        <f t="shared" si="4"/>
        <v>32.493367611422549</v>
      </c>
      <c r="AB13" s="2">
        <f t="shared" si="5"/>
        <v>32.973590296894074</v>
      </c>
      <c r="AC13" s="2">
        <f t="shared" si="6"/>
        <v>34.504266943186408</v>
      </c>
      <c r="AD13" s="2">
        <f t="shared" si="7"/>
        <v>0.9604764596062404</v>
      </c>
      <c r="AE13" s="2">
        <f t="shared" si="8"/>
        <v>0.40583175766967106</v>
      </c>
    </row>
    <row r="14" spans="1:35" x14ac:dyDescent="0.2">
      <c r="B14" s="1">
        <f>[28]FormattedData!A20</f>
        <v>105</v>
      </c>
      <c r="C14" s="1" t="str">
        <f>VLOOKUP($B14,[28]TrtCodes!$B$11:I63,2)</f>
        <v>NDL</v>
      </c>
      <c r="D14" s="1">
        <f>VLOOKUP($B14,[28]TrtCodes!$B$11:J63,3)</f>
        <v>12</v>
      </c>
      <c r="E14" s="1">
        <f>VLOOKUP($B14,[28]TrtCodes!$B$11:K63,4)</f>
        <v>2</v>
      </c>
      <c r="F14" s="1">
        <f>VLOOKUP($B14,[28]TrtCodes!$B$11:L63,5)</f>
        <v>3</v>
      </c>
      <c r="G14" s="1">
        <f>VLOOKUP($B14,[28]TrtCodes!$B$11:M63,6)</f>
        <v>1</v>
      </c>
      <c r="H14" s="1">
        <f>VLOOKUP($B14,[28]TrtCodes!$B$11:N63,7)</f>
        <v>2</v>
      </c>
      <c r="I14" s="1">
        <f>[28]FormattedData!B20</f>
        <v>1</v>
      </c>
      <c r="J14" s="4">
        <f>[28]FormattedData!C20</f>
        <v>12.936999999999999</v>
      </c>
      <c r="K14" s="6">
        <f>$J$3+[28]FormattedData!D20*$J$4+$M$4*$J$5+[28]FormattedData!D20^2*$J$6+$M$5*$J$7</f>
        <v>34.02717212952178</v>
      </c>
      <c r="L14" s="6">
        <f>$J$3+[28]FormattedData!E20*$J$4+$M$4*$J$5+[28]FormattedData!E20^2*$J$6+$M$5*$J$7</f>
        <v>33.069812361847696</v>
      </c>
      <c r="M14" s="6">
        <f>$J$3+[28]FormattedData!F20*$J$4+$M$4*$J$5+[28]FormattedData!F20^2*$J$6+$M$5*$J$7</f>
        <v>32.493367611422549</v>
      </c>
      <c r="N14" s="6">
        <f>$J$3+[28]FormattedData!G20*$J$4+$M$4*$J$5+[28]FormattedData!G20^2*$J$6+$M$5*$J$7</f>
        <v>31.722407572731534</v>
      </c>
      <c r="O14" s="6">
        <f>$J$3+[28]FormattedData!H20*$J$4+$M$4*$J$5+[28]FormattedData!H20^2*$J$6+$M$5*$J$7</f>
        <v>31.239183821066888</v>
      </c>
      <c r="P14" s="6">
        <f>$J$3+[28]FormattedData!I20*$J$4+$M$4*$J$5+[28]FormattedData!I20^2*$J$6+$M$5*$J$7</f>
        <v>31.62584735947447</v>
      </c>
      <c r="Q14" s="6">
        <f>$J$3+[28]FormattedData!J20*$J$4+$M$4*$J$5+[28]FormattedData!J20^2*$J$6+$M$5*$J$7</f>
        <v>32.493367611422549</v>
      </c>
      <c r="R14" s="6">
        <f>$J$3+[28]FormattedData!K20*$J$4+$M$4*$J$5+[28]FormattedData!K20^2*$J$6+$M$5*$J$7</f>
        <v>32.397145546468934</v>
      </c>
      <c r="S14" s="6">
        <f>$J$3+[28]FormattedData!L20*$J$4+$M$4*$J$5+[28]FormattedData!L20^2*$J$6+$M$5*$J$7</f>
        <v>33.357464111798201</v>
      </c>
      <c r="T14" s="6">
        <f>$J$3+[28]FormattedData!M20*$J$4+$M$4*$J$5+[28]FormattedData!M20^2*$J$6+$M$5*$J$7</f>
        <v>32.685684935715983</v>
      </c>
      <c r="U14" s="6">
        <f>$J$3+[28]FormattedData!N20*$J$4+$M$4*$J$5+[28]FormattedData!N20^2*$J$6+$M$5*$J$7</f>
        <v>33.453263491372503</v>
      </c>
      <c r="V14" s="6">
        <f>$J$3+[28]FormattedData!O20*$J$4+$M$4*$J$5+[28]FormattedData!O20^2*$J$6+$M$5*$J$7</f>
        <v>32.493367611422549</v>
      </c>
      <c r="W14" s="5">
        <f t="shared" si="0"/>
        <v>32.588173680355474</v>
      </c>
      <c r="X14" s="4">
        <f t="shared" si="1"/>
        <v>0.2337319400195387</v>
      </c>
      <c r="Y14" s="3">
        <f t="shared" si="2"/>
        <v>31.239183821066888</v>
      </c>
      <c r="Z14" s="2">
        <f t="shared" si="3"/>
        <v>32.228461053034586</v>
      </c>
      <c r="AA14" s="3">
        <f t="shared" si="4"/>
        <v>32.493367611422549</v>
      </c>
      <c r="AB14" s="2">
        <f t="shared" si="5"/>
        <v>33.14172529933532</v>
      </c>
      <c r="AC14" s="2">
        <f t="shared" si="6"/>
        <v>34.02717212952178</v>
      </c>
      <c r="AD14" s="2">
        <f t="shared" si="7"/>
        <v>3.9172690536699695E-2</v>
      </c>
      <c r="AE14" s="2">
        <f t="shared" si="8"/>
        <v>-0.3724306093767682</v>
      </c>
    </row>
    <row r="15" spans="1:35" x14ac:dyDescent="0.2">
      <c r="B15" s="1">
        <f>[28]FormattedData!A18</f>
        <v>106</v>
      </c>
      <c r="C15" s="1" t="str">
        <f>VLOOKUP($B15,[28]TrtCodes!$B$11:I61,2)</f>
        <v>NTH</v>
      </c>
      <c r="D15" s="1">
        <f>VLOOKUP($B15,[28]TrtCodes!$B$11:J61,3)</f>
        <v>9</v>
      </c>
      <c r="E15" s="1">
        <f>VLOOKUP($B15,[28]TrtCodes!$B$11:K61,4)</f>
        <v>2</v>
      </c>
      <c r="F15" s="1">
        <f>VLOOKUP($B15,[28]TrtCodes!$B$11:L61,5)</f>
        <v>2</v>
      </c>
      <c r="G15" s="1">
        <f>VLOOKUP($B15,[28]TrtCodes!$B$11:M61,6)</f>
        <v>2</v>
      </c>
      <c r="H15" s="1">
        <f>VLOOKUP($B15,[28]TrtCodes!$B$11:N61,7)</f>
        <v>2</v>
      </c>
      <c r="I15" s="1">
        <f>[28]FormattedData!B18</f>
        <v>1</v>
      </c>
      <c r="J15" s="4">
        <f>[28]FormattedData!C18</f>
        <v>12.922000000000001</v>
      </c>
      <c r="K15" s="6">
        <f>$J$3+[28]FormattedData!D18*$J$4+$M$4*$J$5+[28]FormattedData!D18^2*$J$6+$M$5*$J$7</f>
        <v>32.973843908121665</v>
      </c>
      <c r="L15" s="6">
        <f>$J$3+[28]FormattedData!E18*$J$4+$M$4*$J$5+[28]FormattedData!E18^2*$J$6+$M$5*$J$7</f>
        <v>32.011834601275147</v>
      </c>
      <c r="M15" s="6">
        <f>$J$3+[28]FormattedData!F18*$J$4+$M$4*$J$5+[28]FormattedData!F18^2*$J$6+$M$5*$J$7</f>
        <v>32.589547407838232</v>
      </c>
      <c r="N15" s="6">
        <f>$J$3+[28]FormattedData!G18*$J$4+$M$4*$J$5+[28]FormattedData!G18^2*$J$6+$M$5*$J$7</f>
        <v>32.397145546468934</v>
      </c>
      <c r="O15" s="6">
        <f>$J$3+[28]FormattedData!H18*$J$4+$M$4*$J$5+[28]FormattedData!H18^2*$J$6+$M$5*$J$7</f>
        <v>32.397145546468934</v>
      </c>
      <c r="P15" s="6">
        <f>$J$3+[28]FormattedData!I18*$J$4+$M$4*$J$5+[28]FormattedData!I18^2*$J$6+$M$5*$J$7</f>
        <v>32.973843908121665</v>
      </c>
      <c r="Q15" s="6">
        <f>$J$3+[28]FormattedData!J18*$J$4+$M$4*$J$5+[28]FormattedData!J18^2*$J$6+$M$5*$J$7</f>
        <v>32.10822574038049</v>
      </c>
      <c r="R15" s="6">
        <f>$J$3+[28]FormattedData!K18*$J$4+$M$4*$J$5+[28]FormattedData!K18^2*$J$6+$M$5*$J$7</f>
        <v>31.529244877679474</v>
      </c>
      <c r="S15" s="6">
        <f>$J$3+[28]FormattedData!L18*$J$4+$M$4*$J$5+[28]FormattedData!L18^2*$J$6+$M$5*$J$7</f>
        <v>31.529244877679474</v>
      </c>
      <c r="T15" s="6">
        <f>$J$3+[28]FormattedData!M18*$J$4+$M$4*$J$5+[28]FormattedData!M18^2*$J$6+$M$5*$J$7</f>
        <v>32.397145546468934</v>
      </c>
      <c r="U15" s="6">
        <f>$J$3+[28]FormattedData!N18*$J$4+$M$4*$J$5+[28]FormattedData!N18^2*$J$6+$M$5*$J$7</f>
        <v>32.10822574038049</v>
      </c>
      <c r="V15" s="6">
        <f>$J$3+[28]FormattedData!O18*$J$4+$M$4*$J$5+[28]FormattedData!O18^2*$J$6+$M$5*$J$7</f>
        <v>31.335913108475687</v>
      </c>
      <c r="W15" s="5">
        <f t="shared" si="0"/>
        <v>32.195946734113264</v>
      </c>
      <c r="X15" s="4">
        <f t="shared" si="1"/>
        <v>0.15483471623017075</v>
      </c>
      <c r="Y15" s="3">
        <f t="shared" si="2"/>
        <v>31.335913108475687</v>
      </c>
      <c r="Z15" s="2">
        <f t="shared" si="3"/>
        <v>31.891187170376227</v>
      </c>
      <c r="AA15" s="3">
        <f t="shared" si="4"/>
        <v>32.252685643424712</v>
      </c>
      <c r="AB15" s="2">
        <f t="shared" si="5"/>
        <v>32.445246011811257</v>
      </c>
      <c r="AC15" s="2">
        <f t="shared" si="6"/>
        <v>32.973843908121665</v>
      </c>
      <c r="AD15" s="2">
        <f t="shared" si="7"/>
        <v>-0.14814785078482004</v>
      </c>
      <c r="AE15" s="2">
        <f t="shared" si="8"/>
        <v>-0.78754523116251107</v>
      </c>
    </row>
    <row r="16" spans="1:35" x14ac:dyDescent="0.2">
      <c r="B16" s="1">
        <f>[28]FormattedData!A16</f>
        <v>107</v>
      </c>
      <c r="C16" s="1" t="str">
        <f>VLOOKUP($B16,[28]TrtCodes!$B$11:I59,2)</f>
        <v>NTL</v>
      </c>
      <c r="D16" s="1">
        <f>VLOOKUP($B16,[28]TrtCodes!$B$11:J59,3)</f>
        <v>10</v>
      </c>
      <c r="E16" s="1">
        <f>VLOOKUP($B16,[28]TrtCodes!$B$11:K59,4)</f>
        <v>2</v>
      </c>
      <c r="F16" s="1">
        <f>VLOOKUP($B16,[28]TrtCodes!$B$11:L59,5)</f>
        <v>2</v>
      </c>
      <c r="G16" s="1">
        <f>VLOOKUP($B16,[28]TrtCodes!$B$11:M59,6)</f>
        <v>1</v>
      </c>
      <c r="H16" s="1">
        <f>VLOOKUP($B16,[28]TrtCodes!$B$11:N59,7)</f>
        <v>2</v>
      </c>
      <c r="I16" s="1">
        <f>[28]FormattedData!B16</f>
        <v>1</v>
      </c>
      <c r="J16" s="4">
        <f>[28]FormattedData!C16</f>
        <v>12.906000000000001</v>
      </c>
      <c r="K16" s="6">
        <f>$J$3+[28]FormattedData!D16*$J$4+$M$4*$J$5+[28]FormattedData!D16^2*$J$6+$M$5*$J$7</f>
        <v>33.357464111798201</v>
      </c>
      <c r="L16" s="6">
        <f>$J$3+[28]FormattedData!E16*$J$4+$M$4*$J$5+[28]FormattedData!E16^2*$J$6+$M$5*$J$7</f>
        <v>34.694808988886741</v>
      </c>
      <c r="M16" s="6">
        <f>$J$3+[28]FormattedData!F16*$J$4+$M$4*$J$5+[28]FormattedData!F16^2*$J$6+$M$5*$J$7</f>
        <v>35.170424403723779</v>
      </c>
      <c r="N16" s="6">
        <f>$J$3+[28]FormattedData!G16*$J$4+$M$4*$J$5+[28]FormattedData!G16^2*$J$6+$M$5*$J$7</f>
        <v>34.885181960435361</v>
      </c>
      <c r="O16" s="6">
        <f>$J$3+[28]FormattedData!H16*$J$4+$M$4*$J$5+[28]FormattedData!H16^2*$J$6+$M$5*$J$7</f>
        <v>33.26162246368596</v>
      </c>
      <c r="P16" s="6">
        <f>$J$3+[28]FormattedData!I16*$J$4+$M$4*$J$5+[28]FormattedData!I16^2*$J$6+$M$5*$J$7</f>
        <v>31.529244877679474</v>
      </c>
      <c r="Q16" s="6">
        <f>$J$3+[28]FormattedData!J16*$J$4+$M$4*$J$5+[28]FormattedData!J16^2*$J$6+$M$5*$J$7</f>
        <v>31.91540119363188</v>
      </c>
      <c r="R16" s="6">
        <f>$J$3+[28]FormattedData!K16*$J$4+$M$4*$J$5+[28]FormattedData!K16^2*$J$6+$M$5*$J$7</f>
        <v>32.973843908121665</v>
      </c>
      <c r="S16" s="6">
        <f>$J$3+[28]FormattedData!L16*$J$4+$M$4*$J$5+[28]FormattedData!L16^2*$J$6+$M$5*$J$7</f>
        <v>33.644735444907326</v>
      </c>
      <c r="T16" s="6">
        <f>$J$3+[28]FormattedData!M16*$J$4+$M$4*$J$5+[28]FormattedData!M16^2*$J$6+$M$5*$J$7</f>
        <v>33.069812361847696</v>
      </c>
      <c r="U16" s="6">
        <f>$J$3+[28]FormattedData!N16*$J$4+$M$4*$J$5+[28]FormattedData!N16^2*$J$6+$M$5*$J$7</f>
        <v>32.877833185857703</v>
      </c>
      <c r="V16" s="6">
        <f>$J$3+[28]FormattedData!O16*$J$4+$M$4*$J$5+[28]FormattedData!O16^2*$J$6+$M$5*$J$7</f>
        <v>32.589547407838232</v>
      </c>
      <c r="W16" s="5">
        <f t="shared" si="0"/>
        <v>33.330826692367829</v>
      </c>
      <c r="X16" s="4">
        <f t="shared" si="1"/>
        <v>0.32525065960383553</v>
      </c>
      <c r="Y16" s="3">
        <f t="shared" si="2"/>
        <v>31.529244877679474</v>
      </c>
      <c r="Z16" s="2">
        <f t="shared" si="3"/>
        <v>32.805761741352839</v>
      </c>
      <c r="AA16" s="3">
        <f t="shared" si="4"/>
        <v>33.165717412766824</v>
      </c>
      <c r="AB16" s="2">
        <f t="shared" si="5"/>
        <v>33.907253830902178</v>
      </c>
      <c r="AC16" s="2">
        <f t="shared" si="6"/>
        <v>35.170424403723779</v>
      </c>
      <c r="AD16" s="2">
        <f t="shared" si="7"/>
        <v>0.25187557901692903</v>
      </c>
      <c r="AE16" s="2">
        <f t="shared" si="8"/>
        <v>-0.54513233655429261</v>
      </c>
    </row>
    <row r="17" spans="2:31" x14ac:dyDescent="0.2">
      <c r="B17" s="1">
        <f>[28]FormattedData!A14</f>
        <v>108</v>
      </c>
      <c r="C17" s="1" t="str">
        <f>VLOOKUP($B17,[28]TrtCodes!$B$11:I57,2)</f>
        <v>FTH</v>
      </c>
      <c r="D17" s="1">
        <f>VLOOKUP($B17,[28]TrtCodes!$B$11:J57,3)</f>
        <v>3</v>
      </c>
      <c r="E17" s="1">
        <f>VLOOKUP($B17,[28]TrtCodes!$B$11:K57,4)</f>
        <v>1</v>
      </c>
      <c r="F17" s="1">
        <f>VLOOKUP($B17,[28]TrtCodes!$B$11:L57,5)</f>
        <v>2</v>
      </c>
      <c r="G17" s="1">
        <f>VLOOKUP($B17,[28]TrtCodes!$B$11:M57,6)</f>
        <v>2</v>
      </c>
      <c r="H17" s="1">
        <f>VLOOKUP($B17,[28]TrtCodes!$B$11:N57,7)</f>
        <v>2</v>
      </c>
      <c r="I17" s="1">
        <f>[28]FormattedData!B14</f>
        <v>1</v>
      </c>
      <c r="J17" s="4">
        <f>[28]FormattedData!C14</f>
        <v>12.891999999999999</v>
      </c>
      <c r="K17" s="6">
        <f>$J$3+[28]FormattedData!D14*$J$4+$M$4*$J$5+[28]FormattedData!D14^2*$J$6+$M$5*$J$7</f>
        <v>35.929211103490616</v>
      </c>
      <c r="L17" s="6">
        <f>$J$3+[28]FormattedData!E14*$J$4+$M$4*$J$5+[28]FormattedData!E14^2*$J$6+$M$5*$J$7</f>
        <v>35.265420681077401</v>
      </c>
      <c r="M17" s="6">
        <f>$J$3+[28]FormattedData!F14*$J$4+$M$4*$J$5+[28]FormattedData!F14^2*$J$6+$M$5*$J$7</f>
        <v>34.504266943186408</v>
      </c>
      <c r="N17" s="6">
        <f>$J$3+[28]FormattedData!G14*$J$4+$M$4*$J$5+[28]FormattedData!G14^2*$J$6+$M$5*$J$7</f>
        <v>34.694808988886741</v>
      </c>
      <c r="O17" s="6">
        <f>$J$3+[28]FormattedData!H14*$J$4+$M$4*$J$5+[28]FormattedData!H14^2*$J$6+$M$5*$J$7</f>
        <v>33.644735444907326</v>
      </c>
      <c r="P17" s="6">
        <f>$J$3+[28]FormattedData!I14*$J$4+$M$4*$J$5+[28]FormattedData!I14^2*$J$6+$M$5*$J$7</f>
        <v>36.213058685027327</v>
      </c>
      <c r="Q17" s="6">
        <f>$J$3+[28]FormattedData!J14*$J$4+$M$4*$J$5+[28]FormattedData!J14^2*$J$6+$M$5*$J$7</f>
        <v>34.504266943186408</v>
      </c>
      <c r="R17" s="6">
        <f>$J$3+[28]FormattedData!K14*$J$4+$M$4*$J$5+[28]FormattedData!K14^2*$J$6+$M$5*$J$7</f>
        <v>34.504266943186408</v>
      </c>
      <c r="S17" s="6">
        <f>$J$3+[28]FormattedData!L14*$J$4+$M$4*$J$5+[28]FormattedData!L14^2*$J$6+$M$5*$J$7</f>
        <v>36.213058685027327</v>
      </c>
      <c r="T17" s="6">
        <f>$J$3+[28]FormattedData!M14*$J$4+$M$4*$J$5+[28]FormattedData!M14^2*$J$6+$M$5*$J$7</f>
        <v>35.45528643017083</v>
      </c>
      <c r="U17" s="6">
        <f>$J$3+[28]FormattedData!N14*$J$4+$M$4*$J$5+[28]FormattedData!N14^2*$J$6+$M$5*$J$7</f>
        <v>33.069812361847696</v>
      </c>
      <c r="V17" s="6">
        <f>$J$3+[28]FormattedData!O14*$J$4+$M$4*$J$5+[28]FormattedData!O14^2*$J$6+$M$5*$J$7</f>
        <v>33.453263491372503</v>
      </c>
      <c r="W17" s="5">
        <f t="shared" si="0"/>
        <v>34.787621391780583</v>
      </c>
      <c r="X17" s="4">
        <f t="shared" si="1"/>
        <v>0.30560532725538131</v>
      </c>
      <c r="Y17" s="3">
        <f t="shared" si="2"/>
        <v>33.069812361847696</v>
      </c>
      <c r="Z17" s="2">
        <f t="shared" si="3"/>
        <v>34.289384068616641</v>
      </c>
      <c r="AA17" s="3">
        <f t="shared" si="4"/>
        <v>34.599537966036578</v>
      </c>
      <c r="AB17" s="2">
        <f t="shared" si="5"/>
        <v>35.57376759850078</v>
      </c>
      <c r="AC17" s="2">
        <f t="shared" si="6"/>
        <v>36.213058685027327</v>
      </c>
      <c r="AD17" s="2">
        <f t="shared" si="7"/>
        <v>-0.12133894322710435</v>
      </c>
      <c r="AE17" s="2">
        <f t="shared" si="8"/>
        <v>-1.0463300614014939</v>
      </c>
    </row>
    <row r="18" spans="2:31" x14ac:dyDescent="0.2">
      <c r="B18" s="1">
        <f>[28]FormattedData!A30</f>
        <v>201</v>
      </c>
      <c r="C18" s="1" t="str">
        <f>VLOOKUP($B18,[28]TrtCodes!$B$11:I73,2)</f>
        <v>NDL</v>
      </c>
      <c r="D18" s="1">
        <f>VLOOKUP($B18,[28]TrtCodes!$B$11:J73,3)</f>
        <v>12</v>
      </c>
      <c r="E18" s="1">
        <f>VLOOKUP($B18,[28]TrtCodes!$B$11:K73,4)</f>
        <v>2</v>
      </c>
      <c r="F18" s="1">
        <f>VLOOKUP($B18,[28]TrtCodes!$B$11:L73,5)</f>
        <v>3</v>
      </c>
      <c r="G18" s="1">
        <f>VLOOKUP($B18,[28]TrtCodes!$B$11:M73,6)</f>
        <v>1</v>
      </c>
      <c r="H18" s="1">
        <f>VLOOKUP($B18,[28]TrtCodes!$B$11:N73,7)</f>
        <v>1</v>
      </c>
      <c r="I18" s="1">
        <f>[28]FormattedData!B30</f>
        <v>1</v>
      </c>
      <c r="J18" s="4">
        <f>[28]FormattedData!C30</f>
        <v>13.015000000000001</v>
      </c>
      <c r="K18" s="6">
        <f>$J$3+[28]FormattedData!D30*$J$4+$M$4*$J$5+[28]FormattedData!D30^2*$J$6+$M$5*$J$7</f>
        <v>32.011834601275147</v>
      </c>
      <c r="L18" s="6">
        <f>$J$3+[28]FormattedData!E30*$J$4+$M$4*$J$5+[28]FormattedData!E30^2*$J$6+$M$5*$J$7</f>
        <v>31.722407572731534</v>
      </c>
      <c r="M18" s="6">
        <f>$J$3+[28]FormattedData!F30*$J$4+$M$4*$J$5+[28]FormattedData!F30^2*$J$6+$M$5*$J$7</f>
        <v>32.10822574038049</v>
      </c>
      <c r="N18" s="6">
        <f>$J$3+[28]FormattedData!G30*$J$4+$M$4*$J$5+[28]FormattedData!G30^2*$J$6+$M$5*$J$7</f>
        <v>32.781780195055809</v>
      </c>
      <c r="O18" s="6">
        <f>$J$3+[28]FormattedData!H30*$J$4+$M$4*$J$5+[28]FormattedData!H30^2*$J$6+$M$5*$J$7</f>
        <v>31.045598440635512</v>
      </c>
      <c r="P18" s="6">
        <f>$J$3+[28]FormattedData!I30*$J$4+$M$4*$J$5+[28]FormattedData!I30^2*$J$6+$M$5*$J$7</f>
        <v>31.62584735947447</v>
      </c>
      <c r="Q18" s="6">
        <f>$J$3+[28]FormattedData!J30*$J$4+$M$4*$J$5+[28]FormattedData!J30^2*$J$6+$M$5*$J$7</f>
        <v>31.818925517450673</v>
      </c>
      <c r="R18" s="6">
        <f>$J$3+[28]FormattedData!K30*$J$4+$M$4*$J$5+[28]FormattedData!K30^2*$J$6+$M$5*$J$7</f>
        <v>33.740408018867832</v>
      </c>
      <c r="S18" s="6">
        <f>$J$3+[28]FormattedData!L30*$J$4+$M$4*$J$5+[28]FormattedData!L30^2*$J$6+$M$5*$J$7</f>
        <v>33.453263491372503</v>
      </c>
      <c r="T18" s="6">
        <f>$J$3+[28]FormattedData!M30*$J$4+$M$4*$J$5+[28]FormattedData!M30^2*$J$6+$M$5*$J$7</f>
        <v>31.722407572731534</v>
      </c>
      <c r="U18" s="6">
        <f>$J$3+[28]FormattedData!N30*$J$4+$M$4*$J$5+[28]FormattedData!N30^2*$J$6+$M$5*$J$7</f>
        <v>31.722407572731534</v>
      </c>
      <c r="V18" s="6">
        <f>$J$3+[28]FormattedData!O30*$J$4+$M$4*$J$5+[28]FormattedData!O30^2*$J$6+$M$5*$J$7</f>
        <v>32.685684935715983</v>
      </c>
      <c r="W18" s="5">
        <f t="shared" si="0"/>
        <v>32.203232584868587</v>
      </c>
      <c r="X18" s="4">
        <f t="shared" si="1"/>
        <v>0.23115951445385144</v>
      </c>
      <c r="Y18" s="3">
        <f t="shared" si="2"/>
        <v>31.045598440635512</v>
      </c>
      <c r="Z18" s="2">
        <f t="shared" si="3"/>
        <v>31.722407572731534</v>
      </c>
      <c r="AA18" s="3">
        <f t="shared" si="4"/>
        <v>31.91538005936291</v>
      </c>
      <c r="AB18" s="2">
        <f t="shared" si="5"/>
        <v>32.709708750550938</v>
      </c>
      <c r="AC18" s="2">
        <f t="shared" si="6"/>
        <v>33.740408018867832</v>
      </c>
      <c r="AD18" s="2">
        <f t="shared" si="7"/>
        <v>0.79661632970620144</v>
      </c>
      <c r="AE18" s="2">
        <f t="shared" si="8"/>
        <v>-9.2841700337753075E-2</v>
      </c>
    </row>
    <row r="19" spans="2:31" x14ac:dyDescent="0.2">
      <c r="B19" s="1">
        <f>[28]FormattedData!A32</f>
        <v>202</v>
      </c>
      <c r="C19" s="1" t="str">
        <f>VLOOKUP($B19,[28]TrtCodes!$B$11:I75,2)</f>
        <v>NTH</v>
      </c>
      <c r="D19" s="1">
        <f>VLOOKUP($B19,[28]TrtCodes!$B$11:J75,3)</f>
        <v>9</v>
      </c>
      <c r="E19" s="1">
        <f>VLOOKUP($B19,[28]TrtCodes!$B$11:K75,4)</f>
        <v>2</v>
      </c>
      <c r="F19" s="1">
        <f>VLOOKUP($B19,[28]TrtCodes!$B$11:L75,5)</f>
        <v>2</v>
      </c>
      <c r="G19" s="1">
        <f>VLOOKUP($B19,[28]TrtCodes!$B$11:M75,6)</f>
        <v>2</v>
      </c>
      <c r="H19" s="1">
        <f>VLOOKUP($B19,[28]TrtCodes!$B$11:N75,7)</f>
        <v>1</v>
      </c>
      <c r="I19" s="1">
        <f>[28]FormattedData!B32</f>
        <v>1</v>
      </c>
      <c r="J19" s="4">
        <f>[28]FormattedData!C32</f>
        <v>13.031000000000001</v>
      </c>
      <c r="K19" s="6">
        <f>$J$3+[28]FormattedData!D32*$J$4+$M$4*$J$5+[28]FormattedData!D32^2*$J$6+$M$5*$J$7</f>
        <v>33.740408018867832</v>
      </c>
      <c r="L19" s="6">
        <f>$J$3+[28]FormattedData!E32*$J$4+$M$4*$J$5+[28]FormattedData!E32^2*$J$6+$M$5*$J$7</f>
        <v>32.397145546468934</v>
      </c>
      <c r="M19" s="6">
        <f>$J$3+[28]FormattedData!F32*$J$4+$M$4*$J$5+[28]FormattedData!F32^2*$J$6+$M$5*$J$7</f>
        <v>31.722407572731534</v>
      </c>
      <c r="N19" s="6">
        <f>$J$3+[28]FormattedData!G32*$J$4+$M$4*$J$5+[28]FormattedData!G32^2*$J$6+$M$5*$J$7</f>
        <v>31.91540119363188</v>
      </c>
      <c r="O19" s="6">
        <f>$J$3+[28]FormattedData!H32*$J$4+$M$4*$J$5+[28]FormattedData!H32^2*$J$6+$M$5*$J$7</f>
        <v>31.62584735947447</v>
      </c>
      <c r="P19" s="6">
        <f>$J$3+[28]FormattedData!I32*$J$4+$M$4*$J$5+[28]FormattedData!I32^2*$J$6+$M$5*$J$7</f>
        <v>30.172371936066739</v>
      </c>
      <c r="Q19" s="6">
        <f>$J$3+[28]FormattedData!J32*$J$4+$M$4*$J$5+[28]FormattedData!J32^2*$J$6+$M$5*$J$7</f>
        <v>30.463827854431045</v>
      </c>
      <c r="R19" s="6">
        <f>$J$3+[28]FormattedData!K32*$J$4+$M$4*$J$5+[28]FormattedData!K32^2*$J$6+$M$5*$J$7</f>
        <v>30.948742347612932</v>
      </c>
      <c r="S19" s="6">
        <f>$J$3+[28]FormattedData!L32*$J$4+$M$4*$J$5+[28]FormattedData!L32^2*$J$6+$M$5*$J$7</f>
        <v>30.463827854431045</v>
      </c>
      <c r="T19" s="6">
        <f>$J$3+[28]FormattedData!M32*$J$4+$M$4*$J$5+[28]FormattedData!M32^2*$J$6+$M$5*$J$7</f>
        <v>30.366718150180876</v>
      </c>
      <c r="U19" s="6">
        <f>$J$3+[28]FormattedData!N32*$J$4+$M$4*$J$5+[28]FormattedData!N32^2*$J$6+$M$5*$J$7</f>
        <v>30.366718150180876</v>
      </c>
      <c r="V19" s="6">
        <f>$J$3+[28]FormattedData!O32*$J$4+$M$4*$J$5+[28]FormattedData!O32^2*$J$6+$M$5*$J$7</f>
        <v>31.62584735947447</v>
      </c>
      <c r="W19" s="5">
        <f t="shared" si="0"/>
        <v>31.317438611962714</v>
      </c>
      <c r="X19" s="4">
        <f t="shared" si="1"/>
        <v>0.30724206849006369</v>
      </c>
      <c r="Y19" s="3">
        <f t="shared" si="2"/>
        <v>30.172371936066739</v>
      </c>
      <c r="Z19" s="2">
        <f t="shared" si="3"/>
        <v>30.439550428368502</v>
      </c>
      <c r="AA19" s="3">
        <f t="shared" si="4"/>
        <v>31.287294853543699</v>
      </c>
      <c r="AB19" s="2">
        <f t="shared" si="5"/>
        <v>31.770655977956622</v>
      </c>
      <c r="AC19" s="2">
        <f t="shared" si="6"/>
        <v>33.740408018867832</v>
      </c>
      <c r="AD19" s="2">
        <f t="shared" si="7"/>
        <v>1.0232153020965182</v>
      </c>
      <c r="AE19" s="2">
        <f t="shared" si="8"/>
        <v>0.93171028866691241</v>
      </c>
    </row>
    <row r="20" spans="2:31" x14ac:dyDescent="0.2">
      <c r="B20" s="1">
        <f>[28]FormattedData!A34</f>
        <v>203</v>
      </c>
      <c r="C20" s="1" t="str">
        <f>VLOOKUP($B20,[28]TrtCodes!$B$11:I77,2)</f>
        <v>FTH</v>
      </c>
      <c r="D20" s="1">
        <f>VLOOKUP($B20,[28]TrtCodes!$B$11:J77,3)</f>
        <v>3</v>
      </c>
      <c r="E20" s="1">
        <f>VLOOKUP($B20,[28]TrtCodes!$B$11:K77,4)</f>
        <v>1</v>
      </c>
      <c r="F20" s="1">
        <f>VLOOKUP($B20,[28]TrtCodes!$B$11:L77,5)</f>
        <v>2</v>
      </c>
      <c r="G20" s="1">
        <f>VLOOKUP($B20,[28]TrtCodes!$B$11:M77,6)</f>
        <v>2</v>
      </c>
      <c r="H20" s="1">
        <f>VLOOKUP($B20,[28]TrtCodes!$B$11:N77,7)</f>
        <v>1</v>
      </c>
      <c r="I20" s="1">
        <f>[28]FormattedData!B34</f>
        <v>1</v>
      </c>
      <c r="J20" s="4">
        <f>[28]FormattedData!C34</f>
        <v>13.045</v>
      </c>
      <c r="K20" s="6">
        <f>$J$3+[28]FormattedData!D34*$J$4+$M$4*$J$5+[28]FormattedData!D34^2*$J$6+$M$5*$J$7</f>
        <v>31.818925517450673</v>
      </c>
      <c r="L20" s="6">
        <f>$J$3+[28]FormattedData!E34*$J$4+$M$4*$J$5+[28]FormattedData!E34^2*$J$6+$M$5*$J$7</f>
        <v>32.685684935715983</v>
      </c>
      <c r="M20" s="6">
        <f>$J$3+[28]FormattedData!F34*$J$4+$M$4*$J$5+[28]FormattedData!F34^2*$J$6+$M$5*$J$7</f>
        <v>32.493367611422549</v>
      </c>
      <c r="N20" s="6">
        <f>$J$3+[28]FormattedData!G34*$J$4+$M$4*$J$5+[28]FormattedData!G34^2*$J$6+$M$5*$J$7</f>
        <v>32.493367611422549</v>
      </c>
      <c r="O20" s="6">
        <f>$J$3+[28]FormattedData!H34*$J$4+$M$4*$J$5+[28]FormattedData!H34^2*$J$6+$M$5*$J$7</f>
        <v>32.10822574038049</v>
      </c>
      <c r="P20" s="6">
        <f>$J$3+[28]FormattedData!I34*$J$4+$M$4*$J$5+[28]FormattedData!I34^2*$J$6+$M$5*$J$7</f>
        <v>33.069812361847696</v>
      </c>
      <c r="Q20" s="6">
        <f>$J$3+[28]FormattedData!J34*$J$4+$M$4*$J$5+[28]FormattedData!J34^2*$J$6+$M$5*$J$7</f>
        <v>31.818925517450673</v>
      </c>
      <c r="R20" s="6">
        <f>$J$3+[28]FormattedData!K34*$J$4+$M$4*$J$5+[28]FormattedData!K34^2*$J$6+$M$5*$J$7</f>
        <v>32.877833185857703</v>
      </c>
      <c r="S20" s="6">
        <f>$J$3+[28]FormattedData!L34*$J$4+$M$4*$J$5+[28]FormattedData!L34^2*$J$6+$M$5*$J$7</f>
        <v>32.685684935715983</v>
      </c>
      <c r="T20" s="6">
        <f>$J$3+[28]FormattedData!M34*$J$4+$M$4*$J$5+[28]FormattedData!M34^2*$J$6+$M$5*$J$7</f>
        <v>33.453263491372503</v>
      </c>
      <c r="U20" s="6">
        <f>$J$3+[28]FormattedData!N34*$J$4+$M$4*$J$5+[28]FormattedData!N34^2*$J$6+$M$5*$J$7</f>
        <v>32.493367611422549</v>
      </c>
      <c r="V20" s="6">
        <f>$J$3+[28]FormattedData!O34*$J$4+$M$4*$J$5+[28]FormattedData!O34^2*$J$6+$M$5*$J$7</f>
        <v>32.685684935715983</v>
      </c>
      <c r="W20" s="5">
        <f t="shared" si="0"/>
        <v>32.557011954647948</v>
      </c>
      <c r="X20" s="4">
        <f t="shared" si="1"/>
        <v>0.13822279983973096</v>
      </c>
      <c r="Y20" s="3">
        <f t="shared" si="2"/>
        <v>31.818925517450673</v>
      </c>
      <c r="Z20" s="2">
        <f t="shared" si="3"/>
        <v>32.397082143662033</v>
      </c>
      <c r="AA20" s="3">
        <f t="shared" si="4"/>
        <v>32.589526273569263</v>
      </c>
      <c r="AB20" s="2">
        <f t="shared" si="5"/>
        <v>32.733721998251411</v>
      </c>
      <c r="AC20" s="2">
        <f t="shared" si="6"/>
        <v>33.453263491372503</v>
      </c>
      <c r="AD20" s="2">
        <f t="shared" si="7"/>
        <v>-1.1434166120392324E-3</v>
      </c>
      <c r="AE20" s="2">
        <f t="shared" si="8"/>
        <v>4.3639408698980198E-2</v>
      </c>
    </row>
    <row r="21" spans="2:31" x14ac:dyDescent="0.2">
      <c r="B21" s="1">
        <f>[28]FormattedData!A36</f>
        <v>204</v>
      </c>
      <c r="C21" s="1" t="str">
        <f>VLOOKUP($B21,[28]TrtCodes!$B$11:I79,2)</f>
        <v>NDH</v>
      </c>
      <c r="D21" s="1">
        <f>VLOOKUP($B21,[28]TrtCodes!$B$11:J79,3)</f>
        <v>11</v>
      </c>
      <c r="E21" s="1">
        <f>VLOOKUP($B21,[28]TrtCodes!$B$11:K79,4)</f>
        <v>2</v>
      </c>
      <c r="F21" s="1">
        <f>VLOOKUP($B21,[28]TrtCodes!$B$11:L79,5)</f>
        <v>3</v>
      </c>
      <c r="G21" s="1">
        <f>VLOOKUP($B21,[28]TrtCodes!$B$11:M79,6)</f>
        <v>2</v>
      </c>
      <c r="H21" s="1">
        <f>VLOOKUP($B21,[28]TrtCodes!$B$11:N79,7)</f>
        <v>1</v>
      </c>
      <c r="I21" s="1">
        <f>[28]FormattedData!B36</f>
        <v>1</v>
      </c>
      <c r="J21" s="4">
        <f>[28]FormattedData!C36</f>
        <v>13.061</v>
      </c>
      <c r="K21" s="6">
        <f>$J$3+[28]FormattedData!D36*$J$4+$M$4*$J$5+[28]FormattedData!D36^2*$J$6+$M$5*$J$7</f>
        <v>32.493367611422549</v>
      </c>
      <c r="L21" s="6">
        <f>$J$3+[28]FormattedData!E36*$J$4+$M$4*$J$5+[28]FormattedData!E36^2*$J$6+$M$5*$J$7</f>
        <v>32.877833185857703</v>
      </c>
      <c r="M21" s="6">
        <f>$J$3+[28]FormattedData!F36*$J$4+$M$4*$J$5+[28]FormattedData!F36^2*$J$6+$M$5*$J$7</f>
        <v>34.218136860601426</v>
      </c>
      <c r="N21" s="6">
        <f>$J$3+[28]FormattedData!G36*$J$4+$M$4*$J$5+[28]FormattedData!G36^2*$J$6+$M$5*$J$7</f>
        <v>33.836038324290421</v>
      </c>
      <c r="O21" s="6">
        <f>$J$3+[28]FormattedData!H36*$J$4+$M$4*$J$5+[28]FormattedData!H36^2*$J$6+$M$5*$J$7</f>
        <v>33.836038324290421</v>
      </c>
      <c r="P21" s="6">
        <f>$J$3+[28]FormattedData!I36*$J$4+$M$4*$J$5+[28]FormattedData!I36^2*$J$6+$M$5*$J$7</f>
        <v>33.836038324290421</v>
      </c>
      <c r="Q21" s="6">
        <f>$J$3+[28]FormattedData!J36*$J$4+$M$4*$J$5+[28]FormattedData!J36^2*$J$6+$M$5*$J$7</f>
        <v>31.432600127346543</v>
      </c>
      <c r="R21" s="6">
        <f>$J$3+[28]FormattedData!K36*$J$4+$M$4*$J$5+[28]FormattedData!K36^2*$J$6+$M$5*$J$7</f>
        <v>34.122675629330573</v>
      </c>
      <c r="S21" s="6">
        <f>$J$3+[28]FormattedData!L36*$J$4+$M$4*$J$5+[28]FormattedData!L36^2*$J$6+$M$5*$J$7</f>
        <v>32.204574610947894</v>
      </c>
      <c r="T21" s="6">
        <f>$J$3+[28]FormattedData!M36*$J$4+$M$4*$J$5+[28]FormattedData!M36^2*$J$6+$M$5*$J$7</f>
        <v>34.02717212952178</v>
      </c>
      <c r="U21" s="6">
        <f>$J$3+[28]FormattedData!N36*$J$4+$M$4*$J$5+[28]FormattedData!N36^2*$J$6+$M$5*$J$7</f>
        <v>33.740408018867832</v>
      </c>
      <c r="V21" s="6">
        <f>$J$3+[28]FormattedData!O36*$J$4+$M$4*$J$5+[28]FormattedData!O36^2*$J$6+$M$5*$J$7</f>
        <v>33.26162246368596</v>
      </c>
      <c r="W21" s="5">
        <f t="shared" si="0"/>
        <v>33.323875467537796</v>
      </c>
      <c r="X21" s="4">
        <f t="shared" si="1"/>
        <v>0.25547300673950646</v>
      </c>
      <c r="Y21" s="3">
        <f t="shared" si="2"/>
        <v>31.432600127346543</v>
      </c>
      <c r="Z21" s="2">
        <f t="shared" si="3"/>
        <v>32.781716792248915</v>
      </c>
      <c r="AA21" s="3">
        <f t="shared" si="4"/>
        <v>33.788223171579126</v>
      </c>
      <c r="AB21" s="2">
        <f t="shared" si="5"/>
        <v>33.883821775598264</v>
      </c>
      <c r="AC21" s="2">
        <f t="shared" si="6"/>
        <v>34.218136860601426</v>
      </c>
      <c r="AD21" s="2">
        <f t="shared" si="7"/>
        <v>-1.0672798435609734</v>
      </c>
      <c r="AE21" s="2">
        <f t="shared" si="8"/>
        <v>0.18149928771283719</v>
      </c>
    </row>
    <row r="22" spans="2:31" x14ac:dyDescent="0.2">
      <c r="B22" s="1">
        <f>[28]FormattedData!A38</f>
        <v>205</v>
      </c>
      <c r="C22" s="1" t="str">
        <f>VLOOKUP($B22,[28]TrtCodes!$B$11:I81,2)</f>
        <v>FSH</v>
      </c>
      <c r="D22" s="1">
        <f>VLOOKUP($B22,[28]TrtCodes!$B$11:J81,3)</f>
        <v>1</v>
      </c>
      <c r="E22" s="1">
        <f>VLOOKUP($B22,[28]TrtCodes!$B$11:K81,4)</f>
        <v>1</v>
      </c>
      <c r="F22" s="1">
        <f>VLOOKUP($B22,[28]TrtCodes!$B$11:L81,5)</f>
        <v>1</v>
      </c>
      <c r="G22" s="1">
        <f>VLOOKUP($B22,[28]TrtCodes!$B$11:M81,6)</f>
        <v>2</v>
      </c>
      <c r="H22" s="1">
        <f>VLOOKUP($B22,[28]TrtCodes!$B$11:N81,7)</f>
        <v>2</v>
      </c>
      <c r="I22" s="1">
        <f>[28]FormattedData!B38</f>
        <v>1</v>
      </c>
      <c r="J22" s="4">
        <f>[28]FormattedData!C38</f>
        <v>13.077</v>
      </c>
      <c r="K22" s="6">
        <f>$J$3+[28]FormattedData!D38*$J$4+$M$4*$J$5+[28]FormattedData!D38^2*$J$6+$M$5*$J$7</f>
        <v>33.644735444907326</v>
      </c>
      <c r="L22" s="6">
        <f>$J$3+[28]FormattedData!E38*$J$4+$M$4*$J$5+[28]FormattedData!E38^2*$J$6+$M$5*$J$7</f>
        <v>34.218136860601426</v>
      </c>
      <c r="M22" s="6">
        <f>$J$3+[28]FormattedData!F38*$J$4+$M$4*$J$5+[28]FormattedData!F38^2*$J$6+$M$5*$J$7</f>
        <v>35.265420681077401</v>
      </c>
      <c r="N22" s="6">
        <f>$J$3+[28]FormattedData!G38*$J$4+$M$4*$J$5+[28]FormattedData!G38^2*$J$6+$M$5*$J$7</f>
        <v>34.885181960435361</v>
      </c>
      <c r="O22" s="6">
        <f>$J$3+[28]FormattedData!H38*$J$4+$M$4*$J$5+[28]FormattedData!H38^2*$J$6+$M$5*$J$7</f>
        <v>33.357464111798201</v>
      </c>
      <c r="P22" s="6">
        <f>$J$3+[28]FormattedData!I38*$J$4+$M$4*$J$5+[28]FormattedData!I38^2*$J$6+$M$5*$J$7</f>
        <v>33.93162636117507</v>
      </c>
      <c r="Q22" s="6">
        <f>$J$3+[28]FormattedData!J38*$J$4+$M$4*$J$5+[28]FormattedData!J38^2*$J$6+$M$5*$J$7</f>
        <v>34.599559100305548</v>
      </c>
      <c r="R22" s="6">
        <f>$J$3+[28]FormattedData!K38*$J$4+$M$4*$J$5+[28]FormattedData!K38^2*$J$6+$M$5*$J$7</f>
        <v>34.599559100305548</v>
      </c>
      <c r="S22" s="6">
        <f>$J$3+[28]FormattedData!L38*$J$4+$M$4*$J$5+[28]FormattedData!L38^2*$J$6+$M$5*$J$7</f>
        <v>34.790016608930017</v>
      </c>
      <c r="T22" s="6">
        <f>$J$3+[28]FormattedData!M38*$J$4+$M$4*$J$5+[28]FormattedData!M38^2*$J$6+$M$5*$J$7</f>
        <v>34.218136860601426</v>
      </c>
      <c r="U22" s="6">
        <f>$J$3+[28]FormattedData!N38*$J$4+$M$4*$J$5+[28]FormattedData!N38^2*$J$6+$M$5*$J$7</f>
        <v>32.204574610947894</v>
      </c>
      <c r="V22" s="6">
        <f>$J$3+[28]FormattedData!O38*$J$4+$M$4*$J$5+[28]FormattedData!O38^2*$J$6+$M$5*$J$7</f>
        <v>32.973843908121665</v>
      </c>
      <c r="W22" s="5">
        <f t="shared" si="0"/>
        <v>34.05735463410057</v>
      </c>
      <c r="X22" s="4">
        <f t="shared" si="1"/>
        <v>0.25530562025892972</v>
      </c>
      <c r="Y22" s="3">
        <f t="shared" si="2"/>
        <v>32.204574610947894</v>
      </c>
      <c r="Z22" s="2">
        <f t="shared" si="3"/>
        <v>33.572917611630047</v>
      </c>
      <c r="AA22" s="3">
        <f t="shared" si="4"/>
        <v>34.218136860601426</v>
      </c>
      <c r="AB22" s="2">
        <f t="shared" si="5"/>
        <v>34.647173477461664</v>
      </c>
      <c r="AC22" s="2">
        <f t="shared" si="6"/>
        <v>35.265420681077401</v>
      </c>
      <c r="AD22" s="2">
        <f t="shared" si="7"/>
        <v>-0.78796061992389321</v>
      </c>
      <c r="AE22" s="2">
        <f t="shared" si="8"/>
        <v>0.21477899076475993</v>
      </c>
    </row>
    <row r="23" spans="2:31" x14ac:dyDescent="0.2">
      <c r="B23" s="1">
        <f>[28]FormattedData!A40</f>
        <v>206</v>
      </c>
      <c r="C23" s="1" t="str">
        <f>VLOOKUP($B23,[28]TrtCodes!$B$11:I83,2)</f>
        <v>NSL</v>
      </c>
      <c r="D23" s="1">
        <f>VLOOKUP($B23,[28]TrtCodes!$B$11:J83,3)</f>
        <v>8</v>
      </c>
      <c r="E23" s="1">
        <f>VLOOKUP($B23,[28]TrtCodes!$B$11:K83,4)</f>
        <v>2</v>
      </c>
      <c r="F23" s="1">
        <f>VLOOKUP($B23,[28]TrtCodes!$B$11:L83,5)</f>
        <v>1</v>
      </c>
      <c r="G23" s="1">
        <f>VLOOKUP($B23,[28]TrtCodes!$B$11:M83,6)</f>
        <v>1</v>
      </c>
      <c r="H23" s="1">
        <f>VLOOKUP($B23,[28]TrtCodes!$B$11:N83,7)</f>
        <v>2</v>
      </c>
      <c r="I23" s="1">
        <f>[28]FormattedData!B40</f>
        <v>1</v>
      </c>
      <c r="J23" s="4">
        <f>[28]FormattedData!C40</f>
        <v>13.090999999999999</v>
      </c>
      <c r="K23" s="6">
        <f>$J$3+[28]FormattedData!D40*$J$4+$M$4*$J$5+[28]FormattedData!D40^2*$J$6+$M$5*$J$7</f>
        <v>31.045598440635512</v>
      </c>
      <c r="L23" s="6">
        <f>$J$3+[28]FormattedData!E40*$J$4+$M$4*$J$5+[28]FormattedData!E40^2*$J$6+$M$5*$J$7</f>
        <v>30.657920457317594</v>
      </c>
      <c r="M23" s="6">
        <f>$J$3+[28]FormattedData!F40*$J$4+$M$4*$J$5+[28]FormattedData!F40^2*$J$6+$M$5*$J$7</f>
        <v>30.948742347612932</v>
      </c>
      <c r="N23" s="6">
        <f>$J$3+[28]FormattedData!G40*$J$4+$M$4*$J$5+[28]FormattedData!G40^2*$J$6+$M$5*$J$7</f>
        <v>31.142412265120171</v>
      </c>
      <c r="O23" s="6">
        <f>$J$3+[28]FormattedData!H40*$J$4+$M$4*$J$5+[28]FormattedData!H40^2*$J$6+$M$5*$J$7</f>
        <v>31.722407572731534</v>
      </c>
      <c r="P23" s="6">
        <f>$J$3+[28]FormattedData!I40*$J$4+$M$4*$J$5+[28]FormattedData!I40^2*$J$6+$M$5*$J$7</f>
        <v>31.818925517450673</v>
      </c>
      <c r="Q23" s="6">
        <f>$J$3+[28]FormattedData!J40*$J$4+$M$4*$J$5+[28]FormattedData!J40^2*$J$6+$M$5*$J$7</f>
        <v>31.818925517450673</v>
      </c>
      <c r="R23" s="6">
        <f>$J$3+[28]FormattedData!K40*$J$4+$M$4*$J$5+[28]FormattedData!K40^2*$J$6+$M$5*$J$7</f>
        <v>31.722407572731534</v>
      </c>
      <c r="S23" s="6">
        <f>$J$3+[28]FormattedData!L40*$J$4+$M$4*$J$5+[28]FormattedData!L40^2*$J$6+$M$5*$J$7</f>
        <v>30.366718150180876</v>
      </c>
      <c r="T23" s="6">
        <f>$J$3+[28]FormattedData!M40*$J$4+$M$4*$J$5+[28]FormattedData!M40^2*$J$6+$M$5*$J$7</f>
        <v>31.722407572731534</v>
      </c>
      <c r="U23" s="6">
        <f>$J$3+[28]FormattedData!N40*$J$4+$M$4*$J$5+[28]FormattedData!N40^2*$J$6+$M$5*$J$7</f>
        <v>31.335913108475687</v>
      </c>
      <c r="V23" s="6">
        <f>$J$3+[28]FormattedData!O40*$J$4+$M$4*$J$5+[28]FormattedData!O40^2*$J$6+$M$5*$J$7</f>
        <v>31.142412265120171</v>
      </c>
      <c r="W23" s="5">
        <f t="shared" si="0"/>
        <v>31.287065898963238</v>
      </c>
      <c r="X23" s="4">
        <f t="shared" si="1"/>
        <v>0.14018886470769537</v>
      </c>
      <c r="Y23" s="3">
        <f t="shared" si="2"/>
        <v>30.366718150180876</v>
      </c>
      <c r="Z23" s="2">
        <f t="shared" si="3"/>
        <v>31.021384417379867</v>
      </c>
      <c r="AA23" s="3">
        <f t="shared" si="4"/>
        <v>31.239162686797929</v>
      </c>
      <c r="AB23" s="2">
        <f t="shared" si="5"/>
        <v>31.722407572731534</v>
      </c>
      <c r="AC23" s="2">
        <f t="shared" si="6"/>
        <v>31.818925517450673</v>
      </c>
      <c r="AD23" s="2">
        <f t="shared" si="7"/>
        <v>-0.51333803435908831</v>
      </c>
      <c r="AE23" s="2">
        <f t="shared" si="8"/>
        <v>-0.74875721708806742</v>
      </c>
    </row>
    <row r="24" spans="2:31" x14ac:dyDescent="0.2">
      <c r="B24" s="1">
        <f>[28]FormattedData!A42</f>
        <v>207</v>
      </c>
      <c r="C24" s="1" t="str">
        <f>VLOOKUP($B24,[28]TrtCodes!$B$11:I85,2)</f>
        <v>FTL</v>
      </c>
      <c r="D24" s="1">
        <f>VLOOKUP($B24,[28]TrtCodes!$B$11:J85,3)</f>
        <v>4</v>
      </c>
      <c r="E24" s="1">
        <f>VLOOKUP($B24,[28]TrtCodes!$B$11:K85,4)</f>
        <v>1</v>
      </c>
      <c r="F24" s="1">
        <f>VLOOKUP($B24,[28]TrtCodes!$B$11:L85,5)</f>
        <v>2</v>
      </c>
      <c r="G24" s="1">
        <f>VLOOKUP($B24,[28]TrtCodes!$B$11:M85,6)</f>
        <v>1</v>
      </c>
      <c r="H24" s="1">
        <f>VLOOKUP($B24,[28]TrtCodes!$B$11:N85,7)</f>
        <v>2</v>
      </c>
      <c r="I24" s="1">
        <f>[28]FormattedData!B42</f>
        <v>1</v>
      </c>
      <c r="J24" s="4">
        <f>[28]FormattedData!C42</f>
        <v>13.106</v>
      </c>
      <c r="K24" s="6">
        <f>$J$3+[28]FormattedData!D42*$J$4+$M$4*$J$5+[28]FormattedData!D42^2*$J$6+$M$5*$J$7</f>
        <v>32.877833185857703</v>
      </c>
      <c r="L24" s="6">
        <f>$J$3+[28]FormattedData!E42*$J$4+$M$4*$J$5+[28]FormattedData!E42^2*$J$6+$M$5*$J$7</f>
        <v>34.790016608930017</v>
      </c>
      <c r="M24" s="6">
        <f>$J$3+[28]FormattedData!F42*$J$4+$M$4*$J$5+[28]FormattedData!F42^2*$J$6+$M$5*$J$7</f>
        <v>33.93162636117507</v>
      </c>
      <c r="N24" s="6">
        <f>$J$3+[28]FormattedData!G42*$J$4+$M$4*$J$5+[28]FormattedData!G42^2*$J$6+$M$5*$J$7</f>
        <v>31.91540119363188</v>
      </c>
      <c r="O24" s="6">
        <f>$J$3+[28]FormattedData!H42*$J$4+$M$4*$J$5+[28]FormattedData!H42^2*$J$6+$M$5*$J$7</f>
        <v>31.335913108475687</v>
      </c>
      <c r="P24" s="6">
        <f>$J$3+[28]FormattedData!I42*$J$4+$M$4*$J$5+[28]FormattedData!I42^2*$J$6+$M$5*$J$7</f>
        <v>32.589547407838232</v>
      </c>
      <c r="Q24" s="6">
        <f>$J$3+[28]FormattedData!J42*$J$4+$M$4*$J$5+[28]FormattedData!J42^2*$J$6+$M$5*$J$7</f>
        <v>31.142412265120171</v>
      </c>
      <c r="R24" s="6">
        <f>$J$3+[28]FormattedData!K42*$J$4+$M$4*$J$5+[28]FormattedData!K42^2*$J$6+$M$5*$J$7</f>
        <v>31.335913108475687</v>
      </c>
      <c r="S24" s="6">
        <f>$J$3+[28]FormattedData!L42*$J$4+$M$4*$J$5+[28]FormattedData!L42^2*$J$6+$M$5*$J$7</f>
        <v>31.62584735947447</v>
      </c>
      <c r="T24" s="6">
        <f>$J$3+[28]FormattedData!M42*$J$4+$M$4*$J$5+[28]FormattedData!M42^2*$J$6+$M$5*$J$7</f>
        <v>32.973843908121665</v>
      </c>
      <c r="U24" s="6">
        <f>$J$3+[28]FormattedData!N42*$J$4+$M$4*$J$5+[28]FormattedData!N42^2*$J$6+$M$5*$J$7</f>
        <v>31.91540119363188</v>
      </c>
      <c r="V24" s="6">
        <f>$J$3+[28]FormattedData!O42*$J$4+$M$4*$J$5+[28]FormattedData!O42^2*$J$6+$M$5*$J$7</f>
        <v>33.069812361847696</v>
      </c>
      <c r="W24" s="5">
        <f t="shared" si="0"/>
        <v>32.458630671881672</v>
      </c>
      <c r="X24" s="4">
        <f t="shared" si="1"/>
        <v>0.32536784882802616</v>
      </c>
      <c r="Y24" s="3">
        <f t="shared" si="2"/>
        <v>31.142412265120171</v>
      </c>
      <c r="Z24" s="2">
        <f t="shared" si="3"/>
        <v>31.553363796724774</v>
      </c>
      <c r="AA24" s="3">
        <f t="shared" si="4"/>
        <v>32.252474300735059</v>
      </c>
      <c r="AB24" s="2">
        <f t="shared" si="5"/>
        <v>32.997836021553169</v>
      </c>
      <c r="AC24" s="2">
        <f t="shared" si="6"/>
        <v>34.790016608930017</v>
      </c>
      <c r="AD24" s="2">
        <f t="shared" si="7"/>
        <v>0.78475463865457418</v>
      </c>
      <c r="AE24" s="2">
        <f t="shared" si="8"/>
        <v>1.7564790077093662E-3</v>
      </c>
    </row>
    <row r="25" spans="2:31" x14ac:dyDescent="0.2">
      <c r="B25" s="1">
        <f>[28]FormattedData!A44</f>
        <v>208</v>
      </c>
      <c r="C25" s="1" t="str">
        <f>VLOOKUP($B25,[28]TrtCodes!$B$11:I87,2)</f>
        <v>FSL</v>
      </c>
      <c r="D25" s="1">
        <f>VLOOKUP($B25,[28]TrtCodes!$B$11:J87,3)</f>
        <v>2</v>
      </c>
      <c r="E25" s="1">
        <f>VLOOKUP($B25,[28]TrtCodes!$B$11:K87,4)</f>
        <v>1</v>
      </c>
      <c r="F25" s="1">
        <f>VLOOKUP($B25,[28]TrtCodes!$B$11:L87,5)</f>
        <v>1</v>
      </c>
      <c r="G25" s="1">
        <f>VLOOKUP($B25,[28]TrtCodes!$B$11:M87,6)</f>
        <v>1</v>
      </c>
      <c r="H25" s="1">
        <f>VLOOKUP($B25,[28]TrtCodes!$B$11:N87,7)</f>
        <v>2</v>
      </c>
      <c r="I25" s="1">
        <f>[28]FormattedData!B44</f>
        <v>1</v>
      </c>
      <c r="J25" s="4">
        <f>[28]FormattedData!C44</f>
        <v>13.122</v>
      </c>
      <c r="K25" s="6">
        <f>$J$3+[28]FormattedData!D44*$J$4+$M$4*$J$5+[28]FormattedData!D44^2*$J$6+$M$5*$J$7</f>
        <v>34.885181960435361</v>
      </c>
      <c r="L25" s="6">
        <f>$J$3+[28]FormattedData!E44*$J$4+$M$4*$J$5+[28]FormattedData!E44^2*$J$6+$M$5*$J$7</f>
        <v>32.493367611422549</v>
      </c>
      <c r="M25" s="6">
        <f>$J$3+[28]FormattedData!F44*$J$4+$M$4*$J$5+[28]FormattedData!F44^2*$J$6+$M$5*$J$7</f>
        <v>31.529244877679474</v>
      </c>
      <c r="N25" s="6">
        <f>$J$3+[28]FormattedData!G44*$J$4+$M$4*$J$5+[28]FormattedData!G44^2*$J$6+$M$5*$J$7</f>
        <v>31.529244877679474</v>
      </c>
      <c r="O25" s="6">
        <f>$J$3+[28]FormattedData!H44*$J$4+$M$4*$J$5+[28]FormattedData!H44^2*$J$6+$M$5*$J$7</f>
        <v>31.239183821066888</v>
      </c>
      <c r="P25" s="6">
        <f>$J$3+[28]FormattedData!I44*$J$4+$M$4*$J$5+[28]FormattedData!I44^2*$J$6+$M$5*$J$7</f>
        <v>32.685684935715983</v>
      </c>
      <c r="Q25" s="6">
        <f>$J$3+[28]FormattedData!J44*$J$4+$M$4*$J$5+[28]FormattedData!J44^2*$J$6+$M$5*$J$7</f>
        <v>32.589547407838232</v>
      </c>
      <c r="R25" s="6">
        <f>$J$3+[28]FormattedData!K44*$J$4+$M$4*$J$5+[28]FormattedData!K44^2*$J$6+$M$5*$J$7</f>
        <v>32.973843908121665</v>
      </c>
      <c r="S25" s="6">
        <f>$J$3+[28]FormattedData!L44*$J$4+$M$4*$J$5+[28]FormattedData!L44^2*$J$6+$M$5*$J$7</f>
        <v>33.549020602408874</v>
      </c>
      <c r="T25" s="6">
        <f>$J$3+[28]FormattedData!M44*$J$4+$M$4*$J$5+[28]FormattedData!M44^2*$J$6+$M$5*$J$7</f>
        <v>32.30088121297738</v>
      </c>
      <c r="U25" s="6">
        <f>$J$3+[28]FormattedData!N44*$J$4+$M$4*$J$5+[28]FormattedData!N44^2*$J$6+$M$5*$J$7</f>
        <v>31.62584735947447</v>
      </c>
      <c r="V25" s="6">
        <f>$J$3+[28]FormattedData!O44*$J$4+$M$4*$J$5+[28]FormattedData!O44^2*$J$6+$M$5*$J$7</f>
        <v>30.463827854431045</v>
      </c>
      <c r="W25" s="5">
        <f t="shared" si="0"/>
        <v>32.322073035770948</v>
      </c>
      <c r="X25" s="4">
        <f t="shared" si="1"/>
        <v>0.33823166945861521</v>
      </c>
      <c r="Y25" s="3">
        <f t="shared" si="2"/>
        <v>30.463827854431045</v>
      </c>
      <c r="Z25" s="2">
        <f t="shared" si="3"/>
        <v>31.529244877679474</v>
      </c>
      <c r="AA25" s="3">
        <f t="shared" si="4"/>
        <v>32.397124412199965</v>
      </c>
      <c r="AB25" s="2">
        <f t="shared" si="5"/>
        <v>32.757724678817404</v>
      </c>
      <c r="AC25" s="2">
        <f t="shared" si="6"/>
        <v>34.885181960435361</v>
      </c>
      <c r="AD25" s="2">
        <f t="shared" si="7"/>
        <v>0.67916562431996996</v>
      </c>
      <c r="AE25" s="2">
        <f t="shared" si="8"/>
        <v>0.97945875214189115</v>
      </c>
    </row>
    <row r="26" spans="2:31" x14ac:dyDescent="0.2">
      <c r="B26" s="1">
        <f>[28]FormattedData!A62</f>
        <v>301</v>
      </c>
      <c r="C26" s="1" t="str">
        <f>VLOOKUP($B26,[28]TrtCodes!$B$11:I105,2)</f>
        <v>NTL</v>
      </c>
      <c r="D26" s="1">
        <f>VLOOKUP($B26,[28]TrtCodes!$B$11:J105,3)</f>
        <v>10</v>
      </c>
      <c r="E26" s="1">
        <f>VLOOKUP($B26,[28]TrtCodes!$B$11:K105,4)</f>
        <v>2</v>
      </c>
      <c r="F26" s="1">
        <f>VLOOKUP($B26,[28]TrtCodes!$B$11:L105,5)</f>
        <v>2</v>
      </c>
      <c r="G26" s="1">
        <f>VLOOKUP($B26,[28]TrtCodes!$B$11:M105,6)</f>
        <v>1</v>
      </c>
      <c r="H26" s="1">
        <f>VLOOKUP($B26,[28]TrtCodes!$B$11:N105,7)</f>
        <v>3</v>
      </c>
      <c r="I26" s="1">
        <f>[28]FormattedData!B62</f>
        <v>1</v>
      </c>
      <c r="J26" s="4">
        <f>[28]FormattedData!C62</f>
        <v>13.227</v>
      </c>
      <c r="K26" s="6">
        <f>$J$3+[28]FormattedData!D62*$J$4+$M$4*$J$5+[28]FormattedData!D62^2*$J$6+$M$5*$J$7</f>
        <v>32.973843908121665</v>
      </c>
      <c r="L26" s="6">
        <f>$J$3+[28]FormattedData!E62*$J$4+$M$4*$J$5+[28]FormattedData!E62^2*$J$6+$M$5*$J$7</f>
        <v>33.453263491372503</v>
      </c>
      <c r="M26" s="6">
        <f>$J$3+[28]FormattedData!F62*$J$4+$M$4*$J$5+[28]FormattedData!F62^2*$J$6+$M$5*$J$7</f>
        <v>32.973843908121665</v>
      </c>
      <c r="N26" s="6">
        <f>$J$3+[28]FormattedData!G62*$J$4+$M$4*$J$5+[28]FormattedData!G62^2*$J$6+$M$5*$J$7</f>
        <v>34.122675629330573</v>
      </c>
      <c r="O26" s="6">
        <f>$J$3+[28]FormattedData!H62*$J$4+$M$4*$J$5+[28]FormattedData!H62^2*$J$6+$M$5*$J$7</f>
        <v>33.549020602408874</v>
      </c>
      <c r="P26" s="6">
        <f>$J$3+[28]FormattedData!I62*$J$4+$M$4*$J$5+[28]FormattedData!I62^2*$J$6+$M$5*$J$7</f>
        <v>34.885181960435361</v>
      </c>
      <c r="Q26" s="6">
        <f>$J$3+[28]FormattedData!J62*$J$4+$M$4*$J$5+[28]FormattedData!J62^2*$J$6+$M$5*$J$7</f>
        <v>33.836038324290421</v>
      </c>
      <c r="R26" s="6">
        <f>$J$3+[28]FormattedData!K62*$J$4+$M$4*$J$5+[28]FormattedData!K62^2*$J$6+$M$5*$J$7</f>
        <v>34.599559100305548</v>
      </c>
      <c r="S26" s="6">
        <f>$J$3+[28]FormattedData!L62*$J$4+$M$4*$J$5+[28]FormattedData!L62^2*$J$6+$M$5*$J$7</f>
        <v>33.357464111798201</v>
      </c>
      <c r="T26" s="6">
        <f>$J$3+[28]FormattedData!M62*$J$4+$M$4*$J$5+[28]FormattedData!M62^2*$J$6+$M$5*$J$7</f>
        <v>35.7397680397765</v>
      </c>
      <c r="U26" s="6">
        <f>$J$3+[28]FormattedData!N62*$J$4+$M$4*$J$5+[28]FormattedData!N62^2*$J$6+$M$5*$J$7</f>
        <v>34.980305043402758</v>
      </c>
      <c r="V26" s="6">
        <f>$J$3+[28]FormattedData!O62*$J$4+$M$4*$J$5+[28]FormattedData!O62^2*$J$6+$M$5*$J$7</f>
        <v>35.929211103490616</v>
      </c>
      <c r="W26" s="5">
        <f t="shared" si="0"/>
        <v>34.200014601904563</v>
      </c>
      <c r="X26" s="4">
        <f t="shared" si="1"/>
        <v>0.29433637997061662</v>
      </c>
      <c r="Y26" s="3">
        <f t="shared" si="2"/>
        <v>32.973843908121665</v>
      </c>
      <c r="Z26" s="2">
        <f t="shared" si="3"/>
        <v>33.429313646478931</v>
      </c>
      <c r="AA26" s="3">
        <f t="shared" si="4"/>
        <v>33.979356976810493</v>
      </c>
      <c r="AB26" s="2">
        <f t="shared" si="5"/>
        <v>34.908962731177212</v>
      </c>
      <c r="AC26" s="2">
        <f t="shared" si="6"/>
        <v>35.929211103490616</v>
      </c>
      <c r="AD26" s="2">
        <f t="shared" si="7"/>
        <v>0.47911203215729997</v>
      </c>
      <c r="AE26" s="2">
        <f t="shared" si="8"/>
        <v>-1.013660998664133</v>
      </c>
    </row>
    <row r="27" spans="2:31" x14ac:dyDescent="0.2">
      <c r="B27" s="1">
        <f>[28]FormattedData!A64</f>
        <v>302</v>
      </c>
      <c r="C27" s="1" t="str">
        <f>VLOOKUP($B27,[28]TrtCodes!$B$11:I107,2)</f>
        <v>FTL</v>
      </c>
      <c r="D27" s="1">
        <f>VLOOKUP($B27,[28]TrtCodes!$B$11:J107,3)</f>
        <v>4</v>
      </c>
      <c r="E27" s="1">
        <f>VLOOKUP($B27,[28]TrtCodes!$B$11:K107,4)</f>
        <v>1</v>
      </c>
      <c r="F27" s="1">
        <f>VLOOKUP($B27,[28]TrtCodes!$B$11:L107,5)</f>
        <v>2</v>
      </c>
      <c r="G27" s="1">
        <f>VLOOKUP($B27,[28]TrtCodes!$B$11:M107,6)</f>
        <v>1</v>
      </c>
      <c r="H27" s="1">
        <f>VLOOKUP($B27,[28]TrtCodes!$B$11:N107,7)</f>
        <v>3</v>
      </c>
      <c r="I27" s="1">
        <f>[28]FormattedData!B64</f>
        <v>1</v>
      </c>
      <c r="J27" s="4">
        <f>[28]FormattedData!C64</f>
        <v>13.242000000000001</v>
      </c>
      <c r="K27" s="6">
        <f>$J$3+[28]FormattedData!D64*$J$4+$M$4*$J$5+[28]FormattedData!D64^2*$J$6+$M$5*$J$7</f>
        <v>33.549020602408874</v>
      </c>
      <c r="L27" s="6">
        <f>$J$3+[28]FormattedData!E64*$J$4+$M$4*$J$5+[28]FormattedData!E64^2*$J$6+$M$5*$J$7</f>
        <v>34.122675629330573</v>
      </c>
      <c r="M27" s="6">
        <f>$J$3+[28]FormattedData!F64*$J$4+$M$4*$J$5+[28]FormattedData!F64^2*$J$6+$M$5*$J$7</f>
        <v>33.93162636117507</v>
      </c>
      <c r="N27" s="6">
        <f>$J$3+[28]FormattedData!G64*$J$4+$M$4*$J$5+[28]FormattedData!G64^2*$J$6+$M$5*$J$7</f>
        <v>34.02717212952178</v>
      </c>
      <c r="O27" s="6">
        <f>$J$3+[28]FormattedData!H64*$J$4+$M$4*$J$5+[28]FormattedData!H64^2*$J$6+$M$5*$J$7</f>
        <v>34.694808988886741</v>
      </c>
      <c r="P27" s="6">
        <f>$J$3+[28]FormattedData!I64*$J$4+$M$4*$J$5+[28]FormattedData!I64^2*$J$6+$M$5*$J$7</f>
        <v>34.980305043402758</v>
      </c>
      <c r="Q27" s="6">
        <f>$J$3+[28]FormattedData!J64*$J$4+$M$4*$J$5+[28]FormattedData!J64^2*$J$6+$M$5*$J$7</f>
        <v>33.26162246368596</v>
      </c>
      <c r="R27" s="6">
        <f>$J$3+[28]FormattedData!K64*$J$4+$M$4*$J$5+[28]FormattedData!K64^2*$J$6+$M$5*$J$7</f>
        <v>33.836038324290421</v>
      </c>
      <c r="S27" s="6">
        <f>$J$3+[28]FormattedData!L64*$J$4+$M$4*$J$5+[28]FormattedData!L64^2*$J$6+$M$5*$J$7</f>
        <v>32.973843908121665</v>
      </c>
      <c r="T27" s="6">
        <f>$J$3+[28]FormattedData!M64*$J$4+$M$4*$J$5+[28]FormattedData!M64^2*$J$6+$M$5*$J$7</f>
        <v>33.644735444907326</v>
      </c>
      <c r="U27" s="6">
        <f>$J$3+[28]FormattedData!N64*$J$4+$M$4*$J$5+[28]FormattedData!N64^2*$J$6+$M$5*$J$7</f>
        <v>32.973843908121665</v>
      </c>
      <c r="V27" s="6">
        <f>$J$3+[28]FormattedData!O64*$J$4+$M$4*$J$5+[28]FormattedData!O64^2*$J$6+$M$5*$J$7</f>
        <v>34.885181960435361</v>
      </c>
      <c r="W27" s="5">
        <f t="shared" si="0"/>
        <v>33.906739563690678</v>
      </c>
      <c r="X27" s="4">
        <f t="shared" si="1"/>
        <v>0.19754305019492951</v>
      </c>
      <c r="Y27" s="3">
        <f t="shared" si="2"/>
        <v>32.973843908121665</v>
      </c>
      <c r="Z27" s="2">
        <f t="shared" si="3"/>
        <v>33.477171067728143</v>
      </c>
      <c r="AA27" s="3">
        <f t="shared" si="4"/>
        <v>33.883832342732745</v>
      </c>
      <c r="AB27" s="2">
        <f t="shared" si="5"/>
        <v>34.265708969219617</v>
      </c>
      <c r="AC27" s="2">
        <f t="shared" si="6"/>
        <v>34.980305043402758</v>
      </c>
      <c r="AD27" s="2">
        <f t="shared" si="7"/>
        <v>0.2447446859454675</v>
      </c>
      <c r="AE27" s="2">
        <f t="shared" si="8"/>
        <v>-0.91314996243773239</v>
      </c>
    </row>
    <row r="28" spans="2:31" x14ac:dyDescent="0.2">
      <c r="B28" s="1">
        <f>[28]FormattedData!A66</f>
        <v>303</v>
      </c>
      <c r="C28" s="1" t="str">
        <f>VLOOKUP($B28,[28]TrtCodes!$B$11:I109,2)</f>
        <v>NSL</v>
      </c>
      <c r="D28" s="1">
        <f>VLOOKUP($B28,[28]TrtCodes!$B$11:J109,3)</f>
        <v>8</v>
      </c>
      <c r="E28" s="1">
        <f>VLOOKUP($B28,[28]TrtCodes!$B$11:K109,4)</f>
        <v>2</v>
      </c>
      <c r="F28" s="1">
        <f>VLOOKUP($B28,[28]TrtCodes!$B$11:L109,5)</f>
        <v>1</v>
      </c>
      <c r="G28" s="1">
        <f>VLOOKUP($B28,[28]TrtCodes!$B$11:M109,6)</f>
        <v>1</v>
      </c>
      <c r="H28" s="1">
        <f>VLOOKUP($B28,[28]TrtCodes!$B$11:N109,7)</f>
        <v>3</v>
      </c>
      <c r="I28" s="1">
        <f>[28]FormattedData!B66</f>
        <v>1</v>
      </c>
      <c r="J28" s="4">
        <f>[28]FormattedData!C66</f>
        <v>13.257999999999999</v>
      </c>
      <c r="K28" s="6">
        <f>$J$3+[28]FormattedData!D66*$J$4+$M$4*$J$5+[28]FormattedData!D66^2*$J$6+$M$5*$J$7</f>
        <v>31.239183821066888</v>
      </c>
      <c r="L28" s="6">
        <f>$J$3+[28]FormattedData!E66*$J$4+$M$4*$J$5+[28]FormattedData!E66^2*$J$6+$M$5*$J$7</f>
        <v>31.62584735947447</v>
      </c>
      <c r="M28" s="6">
        <f>$J$3+[28]FormattedData!F66*$J$4+$M$4*$J$5+[28]FormattedData!F66^2*$J$6+$M$5*$J$7</f>
        <v>30.172371936066739</v>
      </c>
      <c r="N28" s="6">
        <f>$J$3+[28]FormattedData!G66*$J$4+$M$4*$J$5+[28]FormattedData!G66^2*$J$6+$M$5*$J$7</f>
        <v>30.657920457317594</v>
      </c>
      <c r="O28" s="6">
        <f>$J$3+[28]FormattedData!H66*$J$4+$M$4*$J$5+[28]FormattedData!H66^2*$J$6+$M$5*$J$7</f>
        <v>31.239183821066888</v>
      </c>
      <c r="P28" s="6">
        <f>$J$3+[28]FormattedData!I66*$J$4+$M$4*$J$5+[28]FormattedData!I66^2*$J$6+$M$5*$J$7</f>
        <v>31.432600127346543</v>
      </c>
      <c r="Q28" s="6">
        <f>$J$3+[28]FormattedData!J66*$J$4+$M$4*$J$5+[28]FormattedData!J66^2*$J$6+$M$5*$J$7</f>
        <v>31.722407572731534</v>
      </c>
      <c r="R28" s="6">
        <f>$J$3+[28]FormattedData!K66*$J$4+$M$4*$J$5+[28]FormattedData!K66^2*$J$6+$M$5*$J$7</f>
        <v>32.589547407838232</v>
      </c>
      <c r="S28" s="6">
        <f>$J$3+[28]FormattedData!L66*$J$4+$M$4*$J$5+[28]FormattedData!L66^2*$J$6+$M$5*$J$7</f>
        <v>32.011834601275147</v>
      </c>
      <c r="T28" s="6">
        <f>$J$3+[28]FormattedData!M66*$J$4+$M$4*$J$5+[28]FormattedData!M66^2*$J$6+$M$5*$J$7</f>
        <v>31.335913108475687</v>
      </c>
      <c r="U28" s="6">
        <f>$J$3+[28]FormattedData!N66*$J$4+$M$4*$J$5+[28]FormattedData!N66^2*$J$6+$M$5*$J$7</f>
        <v>31.722407572731534</v>
      </c>
      <c r="V28" s="6">
        <f>$J$3+[28]FormattedData!O66*$J$4+$M$4*$J$5+[28]FormattedData!O66^2*$J$6+$M$5*$J$7</f>
        <v>31.91540119363188</v>
      </c>
      <c r="W28" s="5">
        <f t="shared" si="0"/>
        <v>31.472051581585259</v>
      </c>
      <c r="X28" s="4">
        <f t="shared" si="1"/>
        <v>0.18187267548860828</v>
      </c>
      <c r="Y28" s="3">
        <f t="shared" si="2"/>
        <v>30.172371936066739</v>
      </c>
      <c r="Z28" s="2">
        <f t="shared" si="3"/>
        <v>31.239183821066888</v>
      </c>
      <c r="AA28" s="3">
        <f t="shared" si="4"/>
        <v>31.529223743410505</v>
      </c>
      <c r="AB28" s="2">
        <f t="shared" si="5"/>
        <v>31.770655977956622</v>
      </c>
      <c r="AC28" s="2">
        <f t="shared" si="6"/>
        <v>32.589547407838232</v>
      </c>
      <c r="AD28" s="2">
        <f t="shared" si="7"/>
        <v>-0.47455797093061897</v>
      </c>
      <c r="AE28" s="2">
        <f t="shared" si="8"/>
        <v>0.95759170032478735</v>
      </c>
    </row>
    <row r="29" spans="2:31" x14ac:dyDescent="0.2">
      <c r="B29" s="1">
        <f>[28]FormattedData!A68</f>
        <v>304</v>
      </c>
      <c r="C29" s="1" t="str">
        <f>VLOOKUP($B29,[28]TrtCodes!$B$11:I111,2)</f>
        <v>FSL</v>
      </c>
      <c r="D29" s="1">
        <f>VLOOKUP($B29,[28]TrtCodes!$B$11:J111,3)</f>
        <v>2</v>
      </c>
      <c r="E29" s="1">
        <f>VLOOKUP($B29,[28]TrtCodes!$B$11:K111,4)</f>
        <v>1</v>
      </c>
      <c r="F29" s="1">
        <f>VLOOKUP($B29,[28]TrtCodes!$B$11:L111,5)</f>
        <v>1</v>
      </c>
      <c r="G29" s="1">
        <f>VLOOKUP($B29,[28]TrtCodes!$B$11:M111,6)</f>
        <v>1</v>
      </c>
      <c r="H29" s="1">
        <f>VLOOKUP($B29,[28]TrtCodes!$B$11:N111,7)</f>
        <v>3</v>
      </c>
      <c r="I29" s="1">
        <f>[28]FormattedData!B68</f>
        <v>1</v>
      </c>
      <c r="J29" s="4">
        <f>[28]FormattedData!C68</f>
        <v>13.272</v>
      </c>
      <c r="K29" s="6">
        <f>$J$3+[28]FormattedData!D68*$J$4+$M$4*$J$5+[28]FormattedData!D68^2*$J$6+$M$5*$J$7</f>
        <v>35.45528643017083</v>
      </c>
      <c r="L29" s="6">
        <f>$J$3+[28]FormattedData!E68*$J$4+$M$4*$J$5+[28]FormattedData!E68^2*$J$6+$M$5*$J$7</f>
        <v>33.453263491372503</v>
      </c>
      <c r="M29" s="6">
        <f>$J$3+[28]FormattedData!F68*$J$4+$M$4*$J$5+[28]FormattedData!F68^2*$J$6+$M$5*$J$7</f>
        <v>32.685684935715983</v>
      </c>
      <c r="N29" s="6">
        <f>$J$3+[28]FormattedData!G68*$J$4+$M$4*$J$5+[28]FormattedData!G68^2*$J$6+$M$5*$J$7</f>
        <v>32.877833185857703</v>
      </c>
      <c r="O29" s="6">
        <f>$J$3+[28]FormattedData!H68*$J$4+$M$4*$J$5+[28]FormattedData!H68^2*$J$6+$M$5*$J$7</f>
        <v>32.877833185857703</v>
      </c>
      <c r="P29" s="6">
        <f>$J$3+[28]FormattedData!I68*$J$4+$M$4*$J$5+[28]FormattedData!I68^2*$J$6+$M$5*$J$7</f>
        <v>33.357464111798201</v>
      </c>
      <c r="Q29" s="6">
        <f>$J$3+[28]FormattedData!J68*$J$4+$M$4*$J$5+[28]FormattedData!J68^2*$J$6+$M$5*$J$7</f>
        <v>32.877833185857703</v>
      </c>
      <c r="R29" s="6">
        <f>$J$3+[28]FormattedData!K68*$J$4+$M$4*$J$5+[28]FormattedData!K68^2*$J$6+$M$5*$J$7</f>
        <v>34.313555823334354</v>
      </c>
      <c r="S29" s="6">
        <f>$J$3+[28]FormattedData!L68*$J$4+$M$4*$J$5+[28]FormattedData!L68^2*$J$6+$M$5*$J$7</f>
        <v>33.644735444907326</v>
      </c>
      <c r="T29" s="6">
        <f>$J$3+[28]FormattedData!M68*$J$4+$M$4*$J$5+[28]FormattedData!M68^2*$J$6+$M$5*$J$7</f>
        <v>32.589547407838232</v>
      </c>
      <c r="U29" s="6">
        <f>$J$3+[28]FormattedData!N68*$J$4+$M$4*$J$5+[28]FormattedData!N68^2*$J$6+$M$5*$J$7</f>
        <v>33.740408018867832</v>
      </c>
      <c r="V29" s="6">
        <f>$J$3+[28]FormattedData!O68*$J$4+$M$4*$J$5+[28]FormattedData!O68^2*$J$6+$M$5*$J$7</f>
        <v>33.93162636117507</v>
      </c>
      <c r="W29" s="5">
        <f t="shared" si="0"/>
        <v>33.483755965229449</v>
      </c>
      <c r="X29" s="4">
        <f t="shared" si="1"/>
        <v>0.23713417949088586</v>
      </c>
      <c r="Y29" s="3">
        <f t="shared" si="2"/>
        <v>32.589547407838232</v>
      </c>
      <c r="Z29" s="2">
        <f t="shared" si="3"/>
        <v>32.877833185857703</v>
      </c>
      <c r="AA29" s="3">
        <f t="shared" si="4"/>
        <v>33.405363801585352</v>
      </c>
      <c r="AB29" s="2">
        <f t="shared" si="5"/>
        <v>33.788212604444638</v>
      </c>
      <c r="AC29" s="2">
        <f t="shared" si="6"/>
        <v>35.45528643017083</v>
      </c>
      <c r="AD29" s="2">
        <f t="shared" si="7"/>
        <v>1.2699276785026341</v>
      </c>
      <c r="AE29" s="2">
        <f t="shared" si="8"/>
        <v>1.876418112801888</v>
      </c>
    </row>
    <row r="30" spans="2:31" x14ac:dyDescent="0.2">
      <c r="B30" s="1">
        <f>[28]FormattedData!A70</f>
        <v>305</v>
      </c>
      <c r="C30" s="1" t="str">
        <f>VLOOKUP($B30,[28]TrtCodes!$B$11:I113,2)</f>
        <v>NDH</v>
      </c>
      <c r="D30" s="1">
        <f>VLOOKUP($B30,[28]TrtCodes!$B$11:J113,3)</f>
        <v>11</v>
      </c>
      <c r="E30" s="1">
        <f>VLOOKUP($B30,[28]TrtCodes!$B$11:K113,4)</f>
        <v>2</v>
      </c>
      <c r="F30" s="1">
        <f>VLOOKUP($B30,[28]TrtCodes!$B$11:L113,5)</f>
        <v>3</v>
      </c>
      <c r="G30" s="1">
        <f>VLOOKUP($B30,[28]TrtCodes!$B$11:M113,6)</f>
        <v>2</v>
      </c>
      <c r="H30" s="1">
        <f>VLOOKUP($B30,[28]TrtCodes!$B$11:N113,7)</f>
        <v>4</v>
      </c>
      <c r="I30" s="1">
        <f>[28]FormattedData!B70</f>
        <v>1</v>
      </c>
      <c r="J30" s="4">
        <f>[28]FormattedData!C70</f>
        <v>13.289</v>
      </c>
      <c r="K30" s="6">
        <f>$J$3+[28]FormattedData!D70*$J$4+$M$4*$J$5+[28]FormattedData!D70^2*$J$6+$M$5*$J$7</f>
        <v>34.313555823334354</v>
      </c>
      <c r="L30" s="6">
        <f>$J$3+[28]FormattedData!E70*$J$4+$M$4*$J$5+[28]FormattedData!E70^2*$J$6+$M$5*$J$7</f>
        <v>34.408932517529358</v>
      </c>
      <c r="M30" s="6">
        <f>$J$3+[28]FormattedData!F70*$J$4+$M$4*$J$5+[28]FormattedData!F70^2*$J$6+$M$5*$J$7</f>
        <v>33.26162246368596</v>
      </c>
      <c r="N30" s="6">
        <f>$J$3+[28]FormattedData!G70*$J$4+$M$4*$J$5+[28]FormattedData!G70^2*$J$6+$M$5*$J$7</f>
        <v>33.93162636117507</v>
      </c>
      <c r="O30" s="6">
        <f>$J$3+[28]FormattedData!H70*$J$4+$M$4*$J$5+[28]FormattedData!H70^2*$J$6+$M$5*$J$7</f>
        <v>31.529244877679474</v>
      </c>
      <c r="P30" s="6">
        <f>$J$3+[28]FormattedData!I70*$J$4+$M$4*$J$5+[28]FormattedData!I70^2*$J$6+$M$5*$J$7</f>
        <v>32.10822574038049</v>
      </c>
      <c r="Q30" s="6">
        <f>$J$3+[28]FormattedData!J70*$J$4+$M$4*$J$5+[28]FormattedData!J70^2*$J$6+$M$5*$J$7</f>
        <v>31.91540119363188</v>
      </c>
      <c r="R30" s="6">
        <f>$J$3+[28]FormattedData!K70*$J$4+$M$4*$J$5+[28]FormattedData!K70^2*$J$6+$M$5*$J$7</f>
        <v>31.91540119363188</v>
      </c>
      <c r="S30" s="6">
        <f>$J$3+[28]FormattedData!L70*$J$4+$M$4*$J$5+[28]FormattedData!L70^2*$J$6+$M$5*$J$7</f>
        <v>32.10822574038049</v>
      </c>
      <c r="T30" s="6">
        <f>$J$3+[28]FormattedData!M70*$J$4+$M$4*$J$5+[28]FormattedData!M70^2*$J$6+$M$5*$J$7</f>
        <v>34.02717212952178</v>
      </c>
      <c r="U30" s="6">
        <f>$J$3+[28]FormattedData!N70*$J$4+$M$4*$J$5+[28]FormattedData!N70^2*$J$6+$M$5*$J$7</f>
        <v>34.02717212952178</v>
      </c>
      <c r="V30" s="6">
        <f>$J$3+[28]FormattedData!O70*$J$4+$M$4*$J$5+[28]FormattedData!O70^2*$J$6+$M$5*$J$7</f>
        <v>32.685684935715983</v>
      </c>
      <c r="W30" s="5">
        <f t="shared" si="0"/>
        <v>33.019355425515705</v>
      </c>
      <c r="X30" s="4">
        <f t="shared" si="1"/>
        <v>0.31331209267467847</v>
      </c>
      <c r="Y30" s="3">
        <f t="shared" si="2"/>
        <v>31.529244877679474</v>
      </c>
      <c r="Z30" s="2">
        <f t="shared" si="3"/>
        <v>32.060019603693334</v>
      </c>
      <c r="AA30" s="3">
        <f t="shared" si="4"/>
        <v>32.973653699700975</v>
      </c>
      <c r="AB30" s="2">
        <f t="shared" si="5"/>
        <v>34.02717212952178</v>
      </c>
      <c r="AC30" s="2">
        <f t="shared" si="6"/>
        <v>34.408932517529358</v>
      </c>
      <c r="AD30" s="2">
        <f t="shared" si="7"/>
        <v>1.0427067407610208E-2</v>
      </c>
      <c r="AE30" s="2">
        <f t="shared" si="8"/>
        <v>-1.9228738896999911</v>
      </c>
    </row>
    <row r="31" spans="2:31" x14ac:dyDescent="0.2">
      <c r="B31" s="1">
        <f>[28]FormattedData!A72</f>
        <v>306</v>
      </c>
      <c r="C31" s="1" t="str">
        <f>VLOOKUP($B31,[28]TrtCodes!$B$11:I115,2)</f>
        <v>FTL</v>
      </c>
      <c r="D31" s="1">
        <f>VLOOKUP($B31,[28]TrtCodes!$B$11:J115,3)</f>
        <v>4</v>
      </c>
      <c r="E31" s="1">
        <f>VLOOKUP($B31,[28]TrtCodes!$B$11:K115,4)</f>
        <v>1</v>
      </c>
      <c r="F31" s="1">
        <f>VLOOKUP($B31,[28]TrtCodes!$B$11:L115,5)</f>
        <v>2</v>
      </c>
      <c r="G31" s="1">
        <f>VLOOKUP($B31,[28]TrtCodes!$B$11:M115,6)</f>
        <v>1</v>
      </c>
      <c r="H31" s="1">
        <f>VLOOKUP($B31,[28]TrtCodes!$B$11:N115,7)</f>
        <v>4</v>
      </c>
      <c r="I31" s="1">
        <f>[28]FormattedData!B72</f>
        <v>1</v>
      </c>
      <c r="J31" s="4">
        <f>[28]FormattedData!C72</f>
        <v>13.305</v>
      </c>
      <c r="K31" s="6">
        <f>$J$3+[28]FormattedData!D72*$J$4+$M$4*$J$5+[28]FormattedData!D72^2*$J$6+$M$5*$J$7</f>
        <v>31.818925517450673</v>
      </c>
      <c r="L31" s="6">
        <f>$J$3+[28]FormattedData!E72*$J$4+$M$4*$J$5+[28]FormattedData!E72^2*$J$6+$M$5*$J$7</f>
        <v>32.685684935715983</v>
      </c>
      <c r="M31" s="6">
        <f>$J$3+[28]FormattedData!F72*$J$4+$M$4*$J$5+[28]FormattedData!F72^2*$J$6+$M$5*$J$7</f>
        <v>33.453263491372503</v>
      </c>
      <c r="N31" s="6">
        <f>$J$3+[28]FormattedData!G72*$J$4+$M$4*$J$5+[28]FormattedData!G72^2*$J$6+$M$5*$J$7</f>
        <v>32.877833185857703</v>
      </c>
      <c r="O31" s="6">
        <f>$J$3+[28]FormattedData!H72*$J$4+$M$4*$J$5+[28]FormattedData!H72^2*$J$6+$M$5*$J$7</f>
        <v>36.496525849722644</v>
      </c>
      <c r="P31" s="6">
        <f>$J$3+[28]FormattedData!I72*$J$4+$M$4*$J$5+[28]FormattedData!I72^2*$J$6+$M$5*$J$7</f>
        <v>33.453263491372503</v>
      </c>
      <c r="Q31" s="6">
        <f>$J$3+[28]FormattedData!J72*$J$4+$M$4*$J$5+[28]FormattedData!J72^2*$J$6+$M$5*$J$7</f>
        <v>33.740408018867832</v>
      </c>
      <c r="R31" s="6">
        <f>$J$3+[28]FormattedData!K72*$J$4+$M$4*$J$5+[28]FormattedData!K72^2*$J$6+$M$5*$J$7</f>
        <v>33.93162636117507</v>
      </c>
      <c r="S31" s="6">
        <f>$J$3+[28]FormattedData!L72*$J$4+$M$4*$J$5+[28]FormattedData!L72^2*$J$6+$M$5*$J$7</f>
        <v>32.877833185857703</v>
      </c>
      <c r="T31" s="6">
        <f>$J$3+[28]FormattedData!M72*$J$4+$M$4*$J$5+[28]FormattedData!M72^2*$J$6+$M$5*$J$7</f>
        <v>32.589547407838232</v>
      </c>
      <c r="U31" s="6">
        <f>$J$3+[28]FormattedData!N72*$J$4+$M$4*$J$5+[28]FormattedData!N72^2*$J$6+$M$5*$J$7</f>
        <v>31.62584735947447</v>
      </c>
      <c r="V31" s="6">
        <f>$J$3+[28]FormattedData!O72*$J$4+$M$4*$J$5+[28]FormattedData!O72^2*$J$6+$M$5*$J$7</f>
        <v>32.10822574038049</v>
      </c>
      <c r="W31" s="5">
        <f t="shared" si="0"/>
        <v>33.13824871209048</v>
      </c>
      <c r="X31" s="4">
        <f t="shared" si="1"/>
        <v>0.37130988784813529</v>
      </c>
      <c r="Y31" s="3">
        <f t="shared" si="2"/>
        <v>31.62584735947447</v>
      </c>
      <c r="Z31" s="2">
        <f t="shared" si="3"/>
        <v>32.469216990973798</v>
      </c>
      <c r="AA31" s="3">
        <f t="shared" si="4"/>
        <v>32.877833185857703</v>
      </c>
      <c r="AB31" s="2">
        <f t="shared" si="5"/>
        <v>33.525049623246332</v>
      </c>
      <c r="AC31" s="2">
        <f t="shared" si="6"/>
        <v>36.496525849722644</v>
      </c>
      <c r="AD31" s="2">
        <f t="shared" si="7"/>
        <v>1.6154696898770406</v>
      </c>
      <c r="AE31" s="2">
        <f t="shared" si="8"/>
        <v>3.8690423183123475</v>
      </c>
    </row>
    <row r="32" spans="2:31" x14ac:dyDescent="0.2">
      <c r="B32" s="1">
        <f>[28]FormattedData!A74</f>
        <v>307</v>
      </c>
      <c r="C32" s="1" t="str">
        <f>VLOOKUP($B32,[28]TrtCodes!$B$11:I117,2)</f>
        <v>NTH</v>
      </c>
      <c r="D32" s="1">
        <f>VLOOKUP($B32,[28]TrtCodes!$B$11:J117,3)</f>
        <v>9</v>
      </c>
      <c r="E32" s="1">
        <f>VLOOKUP($B32,[28]TrtCodes!$B$11:K117,4)</f>
        <v>2</v>
      </c>
      <c r="F32" s="1">
        <f>VLOOKUP($B32,[28]TrtCodes!$B$11:L117,5)</f>
        <v>2</v>
      </c>
      <c r="G32" s="1">
        <f>VLOOKUP($B32,[28]TrtCodes!$B$11:M117,6)</f>
        <v>2</v>
      </c>
      <c r="H32" s="1">
        <f>VLOOKUP($B32,[28]TrtCodes!$B$11:N117,7)</f>
        <v>4</v>
      </c>
      <c r="I32" s="1">
        <f>[28]FormattedData!B74</f>
        <v>1</v>
      </c>
      <c r="J32" s="4">
        <f>[28]FormattedData!C74</f>
        <v>13.32</v>
      </c>
      <c r="K32" s="6">
        <f>$J$3+[28]FormattedData!D74*$J$4+$M$4*$J$5+[28]FormattedData!D74^2*$J$6+$M$5*$J$7</f>
        <v>34.504266943186408</v>
      </c>
      <c r="L32" s="6">
        <f>$J$3+[28]FormattedData!E74*$J$4+$M$4*$J$5+[28]FormattedData!E74^2*$J$6+$M$5*$J$7</f>
        <v>33.644735444907326</v>
      </c>
      <c r="M32" s="6">
        <f>$J$3+[28]FormattedData!F74*$J$4+$M$4*$J$5+[28]FormattedData!F74^2*$J$6+$M$5*$J$7</f>
        <v>33.93162636117507</v>
      </c>
      <c r="N32" s="6">
        <f>$J$3+[28]FormattedData!G74*$J$4+$M$4*$J$5+[28]FormattedData!G74^2*$J$6+$M$5*$J$7</f>
        <v>33.644735444907326</v>
      </c>
      <c r="O32" s="6">
        <f>$J$3+[28]FormattedData!H74*$J$4+$M$4*$J$5+[28]FormattedData!H74^2*$J$6+$M$5*$J$7</f>
        <v>32.10822574038049</v>
      </c>
      <c r="P32" s="6">
        <f>$J$3+[28]FormattedData!I74*$J$4+$M$4*$J$5+[28]FormattedData!I74^2*$J$6+$M$5*$J$7</f>
        <v>34.408932517529358</v>
      </c>
      <c r="Q32" s="6">
        <f>$J$3+[28]FormattedData!J74*$J$4+$M$4*$J$5+[28]FormattedData!J74^2*$J$6+$M$5*$J$7</f>
        <v>32.589547407838232</v>
      </c>
      <c r="R32" s="6">
        <f>$J$3+[28]FormattedData!K74*$J$4+$M$4*$J$5+[28]FormattedData!K74^2*$J$6+$M$5*$J$7</f>
        <v>32.973843908121665</v>
      </c>
      <c r="S32" s="6">
        <f>$J$3+[28]FormattedData!L74*$J$4+$M$4*$J$5+[28]FormattedData!L74^2*$J$6+$M$5*$J$7</f>
        <v>32.10822574038049</v>
      </c>
      <c r="T32" s="6">
        <f>$J$3+[28]FormattedData!M74*$J$4+$M$4*$J$5+[28]FormattedData!M74^2*$J$6+$M$5*$J$7</f>
        <v>31.722407572731534</v>
      </c>
      <c r="U32" s="6">
        <f>$J$3+[28]FormattedData!N74*$J$4+$M$4*$J$5+[28]FormattedData!N74^2*$J$6+$M$5*$J$7</f>
        <v>32.10822574038049</v>
      </c>
      <c r="V32" s="6">
        <f>$J$3+[28]FormattedData!O74*$J$4+$M$4*$J$5+[28]FormattedData!O74^2*$J$6+$M$5*$J$7</f>
        <v>31.91540119363188</v>
      </c>
      <c r="W32" s="5">
        <f t="shared" si="0"/>
        <v>32.971681167930853</v>
      </c>
      <c r="X32" s="4">
        <f t="shared" si="1"/>
        <v>0.29259960888632991</v>
      </c>
      <c r="Y32" s="3">
        <f t="shared" si="2"/>
        <v>31.722407572731534</v>
      </c>
      <c r="Z32" s="2">
        <f t="shared" si="3"/>
        <v>32.10822574038049</v>
      </c>
      <c r="AA32" s="3">
        <f t="shared" si="4"/>
        <v>32.781695657979952</v>
      </c>
      <c r="AB32" s="2">
        <f t="shared" si="5"/>
        <v>33.71645817397426</v>
      </c>
      <c r="AC32" s="2">
        <f t="shared" si="6"/>
        <v>34.504266943186408</v>
      </c>
      <c r="AD32" s="2">
        <f t="shared" si="7"/>
        <v>0.30880667678995322</v>
      </c>
      <c r="AE32" s="2">
        <f t="shared" si="8"/>
        <v>-1.5830188327921961</v>
      </c>
    </row>
    <row r="33" spans="2:31" x14ac:dyDescent="0.2">
      <c r="B33" s="1">
        <f>[28]FormattedData!A76</f>
        <v>308</v>
      </c>
      <c r="C33" s="1" t="str">
        <f>VLOOKUP($B33,[28]TrtCodes!$B$11:I119,2)</f>
        <v>FDH</v>
      </c>
      <c r="D33" s="1">
        <f>VLOOKUP($B33,[28]TrtCodes!$B$11:J119,3)</f>
        <v>5</v>
      </c>
      <c r="E33" s="1">
        <f>VLOOKUP($B33,[28]TrtCodes!$B$11:K119,4)</f>
        <v>1</v>
      </c>
      <c r="F33" s="1">
        <f>VLOOKUP($B33,[28]TrtCodes!$B$11:L119,5)</f>
        <v>3</v>
      </c>
      <c r="G33" s="1">
        <f>VLOOKUP($B33,[28]TrtCodes!$B$11:M119,6)</f>
        <v>2</v>
      </c>
      <c r="H33" s="1">
        <f>VLOOKUP($B33,[28]TrtCodes!$B$11:N119,7)</f>
        <v>4</v>
      </c>
      <c r="I33" s="1">
        <f>[28]FormattedData!B76</f>
        <v>1</v>
      </c>
      <c r="J33" s="4">
        <f>[28]FormattedData!C76</f>
        <v>13.335000000000001</v>
      </c>
      <c r="K33" s="6">
        <f>$J$3+[28]FormattedData!D76*$J$4+$M$4*$J$5+[28]FormattedData!D76^2*$J$6+$M$5*$J$7</f>
        <v>33.357464111798201</v>
      </c>
      <c r="L33" s="6">
        <f>$J$3+[28]FormattedData!E76*$J$4+$M$4*$J$5+[28]FormattedData!E76^2*$J$6+$M$5*$J$7</f>
        <v>32.973843908121665</v>
      </c>
      <c r="M33" s="6">
        <f>$J$3+[28]FormattedData!F76*$J$4+$M$4*$J$5+[28]FormattedData!F76^2*$J$6+$M$5*$J$7</f>
        <v>34.885181960435361</v>
      </c>
      <c r="N33" s="6">
        <f>$J$3+[28]FormattedData!G76*$J$4+$M$4*$J$5+[28]FormattedData!G76^2*$J$6+$M$5*$J$7</f>
        <v>33.644735444907326</v>
      </c>
      <c r="O33" s="6">
        <f>$J$3+[28]FormattedData!H76*$J$4+$M$4*$J$5+[28]FormattedData!H76^2*$J$6+$M$5*$J$7</f>
        <v>33.453263491372503</v>
      </c>
      <c r="P33" s="6">
        <f>$J$3+[28]FormattedData!I76*$J$4+$M$4*$J$5+[28]FormattedData!I76^2*$J$6+$M$5*$J$7</f>
        <v>31.818925517450673</v>
      </c>
      <c r="Q33" s="6">
        <f>$J$3+[28]FormattedData!J76*$J$4+$M$4*$J$5+[28]FormattedData!J76^2*$J$6+$M$5*$J$7</f>
        <v>32.011834601275147</v>
      </c>
      <c r="R33" s="6">
        <f>$J$3+[28]FormattedData!K76*$J$4+$M$4*$J$5+[28]FormattedData!K76^2*$J$6+$M$5*$J$7</f>
        <v>32.204574610947894</v>
      </c>
      <c r="S33" s="6">
        <f>$J$3+[28]FormattedData!L76*$J$4+$M$4*$J$5+[28]FormattedData!L76^2*$J$6+$M$5*$J$7</f>
        <v>31.529244877679474</v>
      </c>
      <c r="T33" s="6">
        <f>$J$3+[28]FormattedData!M76*$J$4+$M$4*$J$5+[28]FormattedData!M76^2*$J$6+$M$5*$J$7</f>
        <v>34.02717212952178</v>
      </c>
      <c r="U33" s="6">
        <f>$J$3+[28]FormattedData!N76*$J$4+$M$4*$J$5+[28]FormattedData!N76^2*$J$6+$M$5*$J$7</f>
        <v>33.26162246368596</v>
      </c>
      <c r="V33" s="6">
        <f>$J$3+[28]FormattedData!O76*$J$4+$M$4*$J$5+[28]FormattedData!O76^2*$J$6+$M$5*$J$7</f>
        <v>34.408932517529358</v>
      </c>
      <c r="W33" s="5">
        <f t="shared" si="0"/>
        <v>33.131399636227115</v>
      </c>
      <c r="X33" s="4">
        <f t="shared" si="1"/>
        <v>0.30615116431254763</v>
      </c>
      <c r="Y33" s="3">
        <f t="shared" si="2"/>
        <v>31.529244877679474</v>
      </c>
      <c r="Z33" s="2">
        <f t="shared" si="3"/>
        <v>32.156389608529707</v>
      </c>
      <c r="AA33" s="3">
        <f t="shared" si="4"/>
        <v>33.309543287742081</v>
      </c>
      <c r="AB33" s="2">
        <f t="shared" si="5"/>
        <v>33.740344616060938</v>
      </c>
      <c r="AC33" s="2">
        <f t="shared" si="6"/>
        <v>34.885181960435361</v>
      </c>
      <c r="AD33" s="2">
        <f t="shared" si="7"/>
        <v>-1.7959304027535088E-2</v>
      </c>
      <c r="AE33" s="2">
        <f t="shared" si="8"/>
        <v>-0.95457963844312976</v>
      </c>
    </row>
    <row r="34" spans="2:31" x14ac:dyDescent="0.2">
      <c r="B34" s="1">
        <f>[28]FormattedData!A92</f>
        <v>401</v>
      </c>
      <c r="C34" s="1" t="str">
        <f>VLOOKUP($B34,[28]TrtCodes!$B$11:I129,2)</f>
        <v>NSH</v>
      </c>
      <c r="D34" s="1">
        <f>VLOOKUP($B34,[28]TrtCodes!$B$11:J129,3)</f>
        <v>7</v>
      </c>
      <c r="E34" s="1">
        <f>VLOOKUP($B34,[28]TrtCodes!$B$11:K129,4)</f>
        <v>2</v>
      </c>
      <c r="F34" s="1">
        <f>VLOOKUP($B34,[28]TrtCodes!$B$11:L129,5)</f>
        <v>1</v>
      </c>
      <c r="G34" s="1">
        <f>VLOOKUP($B34,[28]TrtCodes!$B$11:M129,6)</f>
        <v>2</v>
      </c>
      <c r="H34" s="1">
        <f>VLOOKUP($B34,[28]TrtCodes!$B$11:N129,7)</f>
        <v>3</v>
      </c>
      <c r="I34" s="1">
        <f>[28]FormattedData!B92</f>
        <v>1</v>
      </c>
      <c r="J34" s="4">
        <f>[28]FormattedData!C92</f>
        <v>13.468</v>
      </c>
      <c r="K34" s="6">
        <f>$J$3+[28]FormattedData!D92*$J$4+$M$4*$J$5+[28]FormattedData!D92^2*$J$6+$M$5*$J$7</f>
        <v>31.91540119363188</v>
      </c>
      <c r="L34" s="6">
        <f>$J$3+[28]FormattedData!E92*$J$4+$M$4*$J$5+[28]FormattedData!E92^2*$J$6+$M$5*$J$7</f>
        <v>31.045598440635512</v>
      </c>
      <c r="M34" s="6">
        <f>$J$3+[28]FormattedData!F92*$J$4+$M$4*$J$5+[28]FormattedData!F92^2*$J$6+$M$5*$J$7</f>
        <v>31.818925517450673</v>
      </c>
      <c r="N34" s="6">
        <f>$J$3+[28]FormattedData!G92*$J$4+$M$4*$J$5+[28]FormattedData!G92^2*$J$6+$M$5*$J$7</f>
        <v>32.10822574038049</v>
      </c>
      <c r="O34" s="6">
        <f>$J$3+[28]FormattedData!H92*$J$4+$M$4*$J$5+[28]FormattedData!H92^2*$J$6+$M$5*$J$7</f>
        <v>30.366718150180876</v>
      </c>
      <c r="P34" s="6">
        <f>$J$3+[28]FormattedData!I92*$J$4+$M$4*$J$5+[28]FormattedData!I92^2*$J$6+$M$5*$J$7</f>
        <v>31.529244877679474</v>
      </c>
      <c r="Q34" s="6">
        <f>$J$3+[28]FormattedData!J92*$J$4+$M$4*$J$5+[28]FormattedData!J92^2*$J$6+$M$5*$J$7</f>
        <v>30.172371936066739</v>
      </c>
      <c r="R34" s="6">
        <f>$J$3+[28]FormattedData!K92*$J$4+$M$4*$J$5+[28]FormattedData!K92^2*$J$6+$M$5*$J$7</f>
        <v>30.463827854431045</v>
      </c>
      <c r="S34" s="6">
        <f>$J$3+[28]FormattedData!L92*$J$4+$M$4*$J$5+[28]FormattedData!L92^2*$J$6+$M$5*$J$7</f>
        <v>28.709386091624499</v>
      </c>
      <c r="T34" s="6">
        <f>$J$3+[28]FormattedData!M92*$J$4+$M$4*$J$5+[28]FormattedData!M92^2*$J$6+$M$5*$J$7</f>
        <v>31.142412265120171</v>
      </c>
      <c r="U34" s="6">
        <f>$J$3+[28]FormattedData!N92*$J$4+$M$4*$J$5+[28]FormattedData!N92^2*$J$6+$M$5*$J$7</f>
        <v>30.172371936066739</v>
      </c>
      <c r="V34" s="6">
        <f>$J$3+[28]FormattedData!O92*$J$4+$M$4*$J$5+[28]FormattedData!O92^2*$J$6+$M$5*$J$7</f>
        <v>31.62584735947447</v>
      </c>
      <c r="W34" s="5">
        <f t="shared" si="0"/>
        <v>30.922527613561879</v>
      </c>
      <c r="X34" s="4">
        <f t="shared" si="1"/>
        <v>0.28423554431093812</v>
      </c>
      <c r="Y34" s="3">
        <f t="shared" si="2"/>
        <v>28.709386091624499</v>
      </c>
      <c r="Z34" s="2">
        <f t="shared" si="3"/>
        <v>30.318131596652343</v>
      </c>
      <c r="AA34" s="3">
        <f t="shared" si="4"/>
        <v>31.094005352877844</v>
      </c>
      <c r="AB34" s="2">
        <f t="shared" si="5"/>
        <v>31.674116898968521</v>
      </c>
      <c r="AC34" s="2">
        <f t="shared" si="6"/>
        <v>32.10822574038049</v>
      </c>
      <c r="AD34" s="2">
        <f t="shared" si="7"/>
        <v>-0.91457346531200201</v>
      </c>
      <c r="AE34" s="2">
        <f t="shared" si="8"/>
        <v>0.78505546227464329</v>
      </c>
    </row>
    <row r="35" spans="2:31" x14ac:dyDescent="0.2">
      <c r="B35" s="1">
        <f>[28]FormattedData!A90</f>
        <v>402</v>
      </c>
      <c r="C35" s="1" t="str">
        <f>VLOOKUP($B35,[28]TrtCodes!$B$11:I130,2)</f>
        <v>NTH</v>
      </c>
      <c r="D35" s="1">
        <f>VLOOKUP($B35,[28]TrtCodes!$B$11:J130,3)</f>
        <v>9</v>
      </c>
      <c r="E35" s="1">
        <f>VLOOKUP($B35,[28]TrtCodes!$B$11:K130,4)</f>
        <v>2</v>
      </c>
      <c r="F35" s="1">
        <f>VLOOKUP($B35,[28]TrtCodes!$B$11:L130,5)</f>
        <v>2</v>
      </c>
      <c r="G35" s="1">
        <f>VLOOKUP($B35,[28]TrtCodes!$B$11:M130,6)</f>
        <v>2</v>
      </c>
      <c r="H35" s="1">
        <f>VLOOKUP($B35,[28]TrtCodes!$B$11:N130,7)</f>
        <v>3</v>
      </c>
      <c r="I35" s="1">
        <f>[28]FormattedData!B90</f>
        <v>1</v>
      </c>
      <c r="J35" s="4">
        <f>[28]FormattedData!C90</f>
        <v>13.452999999999999</v>
      </c>
      <c r="K35" s="6">
        <f>$J$3+[28]FormattedData!D90*$J$4+$M$4*$J$5+[28]FormattedData!D90^2*$J$6+$M$5*$J$7</f>
        <v>32.685684935715983</v>
      </c>
      <c r="L35" s="6">
        <f>$J$3+[28]FormattedData!E90*$J$4+$M$4*$J$5+[28]FormattedData!E90^2*$J$6+$M$5*$J$7</f>
        <v>32.204574610947894</v>
      </c>
      <c r="M35" s="6">
        <f>$J$3+[28]FormattedData!F90*$J$4+$M$4*$J$5+[28]FormattedData!F90^2*$J$6+$M$5*$J$7</f>
        <v>31.142412265120171</v>
      </c>
      <c r="N35" s="6">
        <f>$J$3+[28]FormattedData!G90*$J$4+$M$4*$J$5+[28]FormattedData!G90^2*$J$6+$M$5*$J$7</f>
        <v>32.589547407838232</v>
      </c>
      <c r="O35" s="6">
        <f>$J$3+[28]FormattedData!H90*$J$4+$M$4*$J$5+[28]FormattedData!H90^2*$J$6+$M$5*$J$7</f>
        <v>30.851843986052419</v>
      </c>
      <c r="P35" s="6">
        <f>$J$3+[28]FormattedData!I90*$J$4+$M$4*$J$5+[28]FormattedData!I90^2*$J$6+$M$5*$J$7</f>
        <v>30.463827854431045</v>
      </c>
      <c r="Q35" s="6">
        <f>$J$3+[28]FormattedData!J90*$J$4+$M$4*$J$5+[28]FormattedData!J90^2*$J$6+$M$5*$J$7</f>
        <v>30.269566177392768</v>
      </c>
      <c r="R35" s="6">
        <f>$J$3+[28]FormattedData!K90*$J$4+$M$4*$J$5+[28]FormattedData!K90^2*$J$6+$M$5*$J$7</f>
        <v>30.657920457317594</v>
      </c>
      <c r="S35" s="6">
        <f>$J$3+[28]FormattedData!L90*$J$4+$M$4*$J$5+[28]FormattedData!L90^2*$J$6+$M$5*$J$7</f>
        <v>30.657920457317594</v>
      </c>
      <c r="T35" s="6">
        <f>$J$3+[28]FormattedData!M90*$J$4+$M$4*$J$5+[28]FormattedData!M90^2*$J$6+$M$5*$J$7</f>
        <v>32.30088121297738</v>
      </c>
      <c r="U35" s="6">
        <f>$J$3+[28]FormattedData!N90*$J$4+$M$4*$J$5+[28]FormattedData!N90^2*$J$6+$M$5*$J$7</f>
        <v>31.529244877679474</v>
      </c>
      <c r="V35" s="6">
        <f>$J$3+[28]FormattedData!O90*$J$4+$M$4*$J$5+[28]FormattedData!O90^2*$J$6+$M$5*$J$7</f>
        <v>32.204574610947894</v>
      </c>
      <c r="W35" s="5">
        <f t="shared" si="0"/>
        <v>31.463166571144868</v>
      </c>
      <c r="X35" s="4">
        <f t="shared" si="1"/>
        <v>0.25769358527783642</v>
      </c>
      <c r="Y35" s="3">
        <f t="shared" si="2"/>
        <v>30.269566177392768</v>
      </c>
      <c r="Z35" s="2">
        <f t="shared" si="3"/>
        <v>30.657920457317594</v>
      </c>
      <c r="AA35" s="3">
        <f t="shared" si="4"/>
        <v>31.335828571399823</v>
      </c>
      <c r="AB35" s="2">
        <f t="shared" si="5"/>
        <v>32.228651261455269</v>
      </c>
      <c r="AC35" s="2">
        <f t="shared" si="6"/>
        <v>32.685684935715983</v>
      </c>
      <c r="AD35" s="2">
        <f t="shared" si="7"/>
        <v>0.10047819934909766</v>
      </c>
      <c r="AE35" s="2">
        <f t="shared" si="8"/>
        <v>-1.8103164450074503</v>
      </c>
    </row>
    <row r="36" spans="2:31" x14ac:dyDescent="0.2">
      <c r="B36" s="1">
        <f>[28]FormattedData!A88</f>
        <v>403</v>
      </c>
      <c r="C36" s="1" t="str">
        <f>VLOOKUP($B36,[28]TrtCodes!$B$11:I131,2)</f>
        <v>FDL</v>
      </c>
      <c r="D36" s="1">
        <f>VLOOKUP($B36,[28]TrtCodes!$B$11:J131,3)</f>
        <v>6</v>
      </c>
      <c r="E36" s="1">
        <f>VLOOKUP($B36,[28]TrtCodes!$B$11:K131,4)</f>
        <v>1</v>
      </c>
      <c r="F36" s="1">
        <f>VLOOKUP($B36,[28]TrtCodes!$B$11:L131,5)</f>
        <v>3</v>
      </c>
      <c r="G36" s="1">
        <f>VLOOKUP($B36,[28]TrtCodes!$B$11:M131,6)</f>
        <v>1</v>
      </c>
      <c r="H36" s="1">
        <f>VLOOKUP($B36,[28]TrtCodes!$B$11:N131,7)</f>
        <v>3</v>
      </c>
      <c r="I36" s="1">
        <f>[28]FormattedData!B88</f>
        <v>1</v>
      </c>
      <c r="J36" s="4">
        <f>[28]FormattedData!C88</f>
        <v>13.436999999999999</v>
      </c>
      <c r="K36" s="6">
        <f>$J$3+[28]FormattedData!D88*$J$4+$M$4*$J$5+[28]FormattedData!D88^2*$J$6+$M$5*$J$7</f>
        <v>33.549020602408874</v>
      </c>
      <c r="L36" s="6">
        <f>$J$3+[28]FormattedData!E88*$J$4+$M$4*$J$5+[28]FormattedData!E88^2*$J$6+$M$5*$J$7</f>
        <v>33.549020602408874</v>
      </c>
      <c r="M36" s="6">
        <f>$J$3+[28]FormattedData!F88*$J$4+$M$4*$J$5+[28]FormattedData!F88^2*$J$6+$M$5*$J$7</f>
        <v>32.397145546468934</v>
      </c>
      <c r="N36" s="6">
        <f>$J$3+[28]FormattedData!G88*$J$4+$M$4*$J$5+[28]FormattedData!G88^2*$J$6+$M$5*$J$7</f>
        <v>32.589547407838232</v>
      </c>
      <c r="O36" s="6">
        <f>$J$3+[28]FormattedData!H88*$J$4+$M$4*$J$5+[28]FormattedData!H88^2*$J$6+$M$5*$J$7</f>
        <v>31.142412265120171</v>
      </c>
      <c r="P36" s="6">
        <f>$J$3+[28]FormattedData!I88*$J$4+$M$4*$J$5+[28]FormattedData!I88^2*$J$6+$M$5*$J$7</f>
        <v>32.204574610947894</v>
      </c>
      <c r="Q36" s="6">
        <f>$J$3+[28]FormattedData!J88*$J$4+$M$4*$J$5+[28]FormattedData!J88^2*$J$6+$M$5*$J$7</f>
        <v>31.432600127346543</v>
      </c>
      <c r="R36" s="6">
        <f>$J$3+[28]FormattedData!K88*$J$4+$M$4*$J$5+[28]FormattedData!K88^2*$J$6+$M$5*$J$7</f>
        <v>31.62584735947447</v>
      </c>
      <c r="S36" s="6">
        <f>$J$3+[28]FormattedData!L88*$J$4+$M$4*$J$5+[28]FormattedData!L88^2*$J$6+$M$5*$J$7</f>
        <v>31.335913108475687</v>
      </c>
      <c r="T36" s="6">
        <f>$J$3+[28]FormattedData!M88*$J$4+$M$4*$J$5+[28]FormattedData!M88^2*$J$6+$M$5*$J$7</f>
        <v>31.529244877679474</v>
      </c>
      <c r="U36" s="6">
        <f>$J$3+[28]FormattedData!N88*$J$4+$M$4*$J$5+[28]FormattedData!N88^2*$J$6+$M$5*$J$7</f>
        <v>31.62584735947447</v>
      </c>
      <c r="V36" s="6">
        <f>$J$3+[28]FormattedData!O88*$J$4+$M$4*$J$5+[28]FormattedData!O88^2*$J$6+$M$5*$J$7</f>
        <v>31.91540119363188</v>
      </c>
      <c r="W36" s="5">
        <f t="shared" si="0"/>
        <v>32.074714588439626</v>
      </c>
      <c r="X36" s="4">
        <f t="shared" si="1"/>
        <v>0.23494426156088652</v>
      </c>
      <c r="Y36" s="3">
        <f t="shared" si="2"/>
        <v>31.142412265120171</v>
      </c>
      <c r="Z36" s="2">
        <f t="shared" si="3"/>
        <v>31.505083690096242</v>
      </c>
      <c r="AA36" s="3">
        <f t="shared" si="4"/>
        <v>31.770624276553175</v>
      </c>
      <c r="AB36" s="2">
        <f t="shared" si="5"/>
        <v>32.445246011811257</v>
      </c>
      <c r="AC36" s="2">
        <f t="shared" si="6"/>
        <v>33.549020602408874</v>
      </c>
      <c r="AD36" s="2">
        <f t="shared" si="7"/>
        <v>0.96234459887353951</v>
      </c>
      <c r="AE36" s="2">
        <f t="shared" si="8"/>
        <v>-0.11005120445094496</v>
      </c>
    </row>
    <row r="37" spans="2:31" x14ac:dyDescent="0.2">
      <c r="B37" s="1">
        <f>[28]FormattedData!A86</f>
        <v>404</v>
      </c>
      <c r="C37" s="1" t="str">
        <f>VLOOKUP($B37,[28]TrtCodes!$B$11:I129,2)</f>
        <v>FTH</v>
      </c>
      <c r="D37" s="1">
        <f>VLOOKUP($B37,[28]TrtCodes!$B$11:J129,3)</f>
        <v>3</v>
      </c>
      <c r="E37" s="1">
        <f>VLOOKUP($B37,[28]TrtCodes!$B$11:K129,4)</f>
        <v>1</v>
      </c>
      <c r="F37" s="1">
        <f>VLOOKUP($B37,[28]TrtCodes!$B$11:L129,5)</f>
        <v>2</v>
      </c>
      <c r="G37" s="1">
        <f>VLOOKUP($B37,[28]TrtCodes!$B$11:M129,6)</f>
        <v>2</v>
      </c>
      <c r="H37" s="1">
        <f>VLOOKUP($B37,[28]TrtCodes!$B$11:N129,7)</f>
        <v>3</v>
      </c>
      <c r="I37" s="1">
        <f>[28]FormattedData!B86</f>
        <v>1</v>
      </c>
      <c r="J37" s="4">
        <f>[28]FormattedData!C86</f>
        <v>13.420999999999999</v>
      </c>
      <c r="K37" s="6">
        <f>$J$3+[28]FormattedData!D86*$J$4+$M$4*$J$5+[28]FormattedData!D86^2*$J$6+$M$5*$J$7</f>
        <v>37.06231892858915</v>
      </c>
      <c r="L37" s="6">
        <f>$J$3+[28]FormattedData!E86*$J$4+$M$4*$J$5+[28]FormattedData!E86^2*$J$6+$M$5*$J$7</f>
        <v>36.873890309785374</v>
      </c>
      <c r="M37" s="6">
        <f>$J$3+[28]FormattedData!F86*$J$4+$M$4*$J$5+[28]FormattedData!F86^2*$J$6+$M$5*$J$7</f>
        <v>35.550155901910649</v>
      </c>
      <c r="N37" s="6">
        <f>$J$3+[28]FormattedData!G86*$J$4+$M$4*$J$5+[28]FormattedData!G86^2*$J$6+$M$5*$J$7</f>
        <v>35.45528643017083</v>
      </c>
      <c r="O37" s="6">
        <f>$J$3+[28]FormattedData!H86*$J$4+$M$4*$J$5+[28]FormattedData!H86^2*$J$6+$M$5*$J$7</f>
        <v>35.644983105112544</v>
      </c>
      <c r="P37" s="6">
        <f>$J$3+[28]FormattedData!I86*$J$4+$M$4*$J$5+[28]FormattedData!I86^2*$J$6+$M$5*$J$7</f>
        <v>34.504266943186408</v>
      </c>
      <c r="Q37" s="6">
        <f>$J$3+[28]FormattedData!J86*$J$4+$M$4*$J$5+[28]FormattedData!J86^2*$J$6+$M$5*$J$7</f>
        <v>34.122675629330573</v>
      </c>
      <c r="R37" s="6">
        <f>$J$3+[28]FormattedData!K86*$J$4+$M$4*$J$5+[28]FormattedData!K86^2*$J$6+$M$5*$J$7</f>
        <v>35.075385857832238</v>
      </c>
      <c r="S37" s="6">
        <f>$J$3+[28]FormattedData!L86*$J$4+$M$4*$J$5+[28]FormattedData!L86^2*$J$6+$M$5*$J$7</f>
        <v>33.644735444907326</v>
      </c>
      <c r="T37" s="6">
        <f>$J$3+[28]FormattedData!M86*$J$4+$M$4*$J$5+[28]FormattedData!M86^2*$J$6+$M$5*$J$7</f>
        <v>35.360374689893085</v>
      </c>
      <c r="U37" s="6">
        <f>$J$3+[28]FormattedData!N86*$J$4+$M$4*$J$5+[28]FormattedData!N86^2*$J$6+$M$5*$J$7</f>
        <v>36.40207906336213</v>
      </c>
      <c r="V37" s="6">
        <f>$J$3+[28]FormattedData!O86*$J$4+$M$4*$J$5+[28]FormattedData!O86^2*$J$6+$M$5*$J$7</f>
        <v>35.550155901910649</v>
      </c>
      <c r="W37" s="5">
        <f t="shared" si="0"/>
        <v>35.437192350499245</v>
      </c>
      <c r="X37" s="4">
        <f t="shared" si="1"/>
        <v>0.29712231419688923</v>
      </c>
      <c r="Y37" s="3">
        <f t="shared" si="2"/>
        <v>33.644735444907326</v>
      </c>
      <c r="Z37" s="2">
        <f t="shared" si="3"/>
        <v>34.932606129170779</v>
      </c>
      <c r="AA37" s="3">
        <f t="shared" si="4"/>
        <v>35.502721166040743</v>
      </c>
      <c r="AB37" s="2">
        <f t="shared" si="5"/>
        <v>35.834257094674939</v>
      </c>
      <c r="AC37" s="2">
        <f t="shared" si="6"/>
        <v>37.06231892858915</v>
      </c>
      <c r="AD37" s="2">
        <f t="shared" si="7"/>
        <v>-7.2286566601446431E-2</v>
      </c>
      <c r="AE37" s="2">
        <f t="shared" si="8"/>
        <v>-0.35640876712693137</v>
      </c>
    </row>
    <row r="38" spans="2:31" x14ac:dyDescent="0.2">
      <c r="B38" s="1">
        <f>[28]FormattedData!A84</f>
        <v>405</v>
      </c>
      <c r="C38" s="1" t="str">
        <f>VLOOKUP($B38,[28]TrtCodes!$B$11:I127,2)</f>
        <v>FDL</v>
      </c>
      <c r="D38" s="1">
        <f>VLOOKUP($B38,[28]TrtCodes!$B$11:J127,3)</f>
        <v>6</v>
      </c>
      <c r="E38" s="1">
        <f>VLOOKUP($B38,[28]TrtCodes!$B$11:K127,4)</f>
        <v>1</v>
      </c>
      <c r="F38" s="1">
        <f>VLOOKUP($B38,[28]TrtCodes!$B$11:L127,5)</f>
        <v>3</v>
      </c>
      <c r="G38" s="1">
        <f>VLOOKUP($B38,[28]TrtCodes!$B$11:M127,6)</f>
        <v>1</v>
      </c>
      <c r="H38" s="1">
        <f>VLOOKUP($B38,[28]TrtCodes!$B$11:N127,7)</f>
        <v>4</v>
      </c>
      <c r="I38" s="1">
        <f>[28]FormattedData!B84</f>
        <v>1</v>
      </c>
      <c r="J38" s="4">
        <f>[28]FormattedData!C84</f>
        <v>13.406000000000001</v>
      </c>
      <c r="K38" s="6">
        <f>$J$3+[28]FormattedData!D84*$J$4+$M$4*$J$5+[28]FormattedData!D84^2*$J$6+$M$5*$J$7</f>
        <v>34.313555823334354</v>
      </c>
      <c r="L38" s="6">
        <f>$J$3+[28]FormattedData!E84*$J$4+$M$4*$J$5+[28]FormattedData!E84^2*$J$6+$M$5*$J$7</f>
        <v>33.165738547035794</v>
      </c>
      <c r="M38" s="6">
        <f>$J$3+[28]FormattedData!F84*$J$4+$M$4*$J$5+[28]FormattedData!F84^2*$J$6+$M$5*$J$7</f>
        <v>35.075385857832238</v>
      </c>
      <c r="N38" s="6">
        <f>$J$3+[28]FormattedData!G84*$J$4+$M$4*$J$5+[28]FormattedData!G84^2*$J$6+$M$5*$J$7</f>
        <v>33.453263491372503</v>
      </c>
      <c r="O38" s="6">
        <f>$J$3+[28]FormattedData!H84*$J$4+$M$4*$J$5+[28]FormattedData!H84^2*$J$6+$M$5*$J$7</f>
        <v>34.408932517529358</v>
      </c>
      <c r="P38" s="6">
        <f>$J$3+[28]FormattedData!I84*$J$4+$M$4*$J$5+[28]FormattedData!I84^2*$J$6+$M$5*$J$7</f>
        <v>34.122675629330573</v>
      </c>
      <c r="Q38" s="6">
        <f>$J$3+[28]FormattedData!J84*$J$4+$M$4*$J$5+[28]FormattedData!J84^2*$J$6+$M$5*$J$7</f>
        <v>33.93162636117507</v>
      </c>
      <c r="R38" s="6">
        <f>$J$3+[28]FormattedData!K84*$J$4+$M$4*$J$5+[28]FormattedData!K84^2*$J$6+$M$5*$J$7</f>
        <v>34.504266943186408</v>
      </c>
      <c r="S38" s="6">
        <f>$J$3+[28]FormattedData!L84*$J$4+$M$4*$J$5+[28]FormattedData!L84^2*$J$6+$M$5*$J$7</f>
        <v>34.504266943186408</v>
      </c>
      <c r="T38" s="6">
        <f>$J$3+[28]FormattedData!M84*$J$4+$M$4*$J$5+[28]FormattedData!M84^2*$J$6+$M$5*$J$7</f>
        <v>33.069812361847696</v>
      </c>
      <c r="U38" s="6">
        <f>$J$3+[28]FormattedData!N84*$J$4+$M$4*$J$5+[28]FormattedData!N84^2*$J$6+$M$5*$J$7</f>
        <v>33.549020602408874</v>
      </c>
      <c r="V38" s="6">
        <f>$J$3+[28]FormattedData!O84*$J$4+$M$4*$J$5+[28]FormattedData!O84^2*$J$6+$M$5*$J$7</f>
        <v>33.069812361847696</v>
      </c>
      <c r="W38" s="5">
        <f t="shared" si="0"/>
        <v>33.93069645334058</v>
      </c>
      <c r="X38" s="4">
        <f t="shared" si="1"/>
        <v>0.19111812288540789</v>
      </c>
      <c r="Y38" s="3">
        <f t="shared" si="2"/>
        <v>33.069812361847696</v>
      </c>
      <c r="Z38" s="2">
        <f t="shared" si="3"/>
        <v>33.381382255288329</v>
      </c>
      <c r="AA38" s="3">
        <f t="shared" si="4"/>
        <v>34.027150995252825</v>
      </c>
      <c r="AB38" s="2">
        <f t="shared" si="5"/>
        <v>34.432766123943622</v>
      </c>
      <c r="AC38" s="2">
        <f t="shared" si="6"/>
        <v>35.075385857832238</v>
      </c>
      <c r="AD38" s="2">
        <f t="shared" si="7"/>
        <v>6.0816419825202042E-2</v>
      </c>
      <c r="AE38" s="2">
        <f t="shared" si="8"/>
        <v>-1.1440590165135021</v>
      </c>
    </row>
    <row r="39" spans="2:31" x14ac:dyDescent="0.2">
      <c r="B39" s="1">
        <f>[28]FormattedData!A82</f>
        <v>406</v>
      </c>
      <c r="C39" s="1" t="str">
        <f>VLOOKUP($B39,[28]TrtCodes!$B$11:I125,2)</f>
        <v>FTH</v>
      </c>
      <c r="D39" s="1">
        <f>VLOOKUP($B39,[28]TrtCodes!$B$11:J125,3)</f>
        <v>3</v>
      </c>
      <c r="E39" s="1">
        <f>VLOOKUP($B39,[28]TrtCodes!$B$11:K125,4)</f>
        <v>1</v>
      </c>
      <c r="F39" s="1">
        <f>VLOOKUP($B39,[28]TrtCodes!$B$11:L125,5)</f>
        <v>2</v>
      </c>
      <c r="G39" s="1">
        <f>VLOOKUP($B39,[28]TrtCodes!$B$11:M125,6)</f>
        <v>2</v>
      </c>
      <c r="H39" s="1">
        <f>VLOOKUP($B39,[28]TrtCodes!$B$11:N125,7)</f>
        <v>4</v>
      </c>
      <c r="I39" s="1">
        <f>[28]FormattedData!B82</f>
        <v>1</v>
      </c>
      <c r="J39" s="4">
        <f>[28]FormattedData!C82</f>
        <v>13.391</v>
      </c>
      <c r="K39" s="6">
        <f>$J$3+[28]FormattedData!D82*$J$4+$M$4*$J$5+[28]FormattedData!D82^2*$J$6+$M$5*$J$7</f>
        <v>35.45528643017083</v>
      </c>
      <c r="L39" s="6">
        <f>$J$3+[28]FormattedData!E82*$J$4+$M$4*$J$5+[28]FormattedData!E82^2*$J$6+$M$5*$J$7</f>
        <v>34.790016608930017</v>
      </c>
      <c r="M39" s="6">
        <f>$J$3+[28]FormattedData!F82*$J$4+$M$4*$J$5+[28]FormattedData!F82^2*$J$6+$M$5*$J$7</f>
        <v>34.408932517529358</v>
      </c>
      <c r="N39" s="6">
        <f>$J$3+[28]FormattedData!G82*$J$4+$M$4*$J$5+[28]FormattedData!G82^2*$J$6+$M$5*$J$7</f>
        <v>36.307590008463698</v>
      </c>
      <c r="O39" s="6">
        <f>$J$3+[28]FormattedData!H82*$J$4+$M$4*$J$5+[28]FormattedData!H82^2*$J$6+$M$5*$J$7</f>
        <v>34.408932517529358</v>
      </c>
      <c r="P39" s="6">
        <f>$J$3+[28]FormattedData!I82*$J$4+$M$4*$J$5+[28]FormattedData!I82^2*$J$6+$M$5*$J$7</f>
        <v>34.218136860601426</v>
      </c>
      <c r="Q39" s="6">
        <f>$J$3+[28]FormattedData!J82*$J$4+$M$4*$J$5+[28]FormattedData!J82^2*$J$6+$M$5*$J$7</f>
        <v>34.790016608930017</v>
      </c>
      <c r="R39" s="6">
        <f>$J$3+[28]FormattedData!K82*$J$4+$M$4*$J$5+[28]FormattedData!K82^2*$J$6+$M$5*$J$7</f>
        <v>34.694808988886741</v>
      </c>
      <c r="S39" s="6">
        <f>$J$3+[28]FormattedData!L82*$J$4+$M$4*$J$5+[28]FormattedData!L82^2*$J$6+$M$5*$J$7</f>
        <v>33.549020602408874</v>
      </c>
      <c r="T39" s="6">
        <f>$J$3+[28]FormattedData!M82*$J$4+$M$4*$J$5+[28]FormattedData!M82^2*$J$6+$M$5*$J$7</f>
        <v>33.740408018867832</v>
      </c>
      <c r="U39" s="6">
        <f>$J$3+[28]FormattedData!N82*$J$4+$M$4*$J$5+[28]FormattedData!N82^2*$J$6+$M$5*$J$7</f>
        <v>34.790016608930017</v>
      </c>
      <c r="V39" s="6">
        <f>$J$3+[28]FormattedData!O82*$J$4+$M$4*$J$5+[28]FormattedData!O82^2*$J$6+$M$5*$J$7</f>
        <v>33.836038324290421</v>
      </c>
      <c r="W39" s="5">
        <f t="shared" si="0"/>
        <v>34.582433674628213</v>
      </c>
      <c r="X39" s="4">
        <f t="shared" si="1"/>
        <v>0.22031158750360813</v>
      </c>
      <c r="Y39" s="3">
        <f t="shared" si="2"/>
        <v>33.549020602408874</v>
      </c>
      <c r="Z39" s="2">
        <f t="shared" si="3"/>
        <v>34.122612226523671</v>
      </c>
      <c r="AA39" s="3">
        <f t="shared" si="4"/>
        <v>34.55187075320805</v>
      </c>
      <c r="AB39" s="2">
        <f t="shared" si="5"/>
        <v>34.790016608930017</v>
      </c>
      <c r="AC39" s="2">
        <f t="shared" si="6"/>
        <v>36.307590008463698</v>
      </c>
      <c r="AD39" s="2">
        <f t="shared" si="7"/>
        <v>0.89635200019233907</v>
      </c>
      <c r="AE39" s="2">
        <f t="shared" si="8"/>
        <v>1.2696323083712748</v>
      </c>
    </row>
    <row r="40" spans="2:31" x14ac:dyDescent="0.2">
      <c r="B40" s="1">
        <f>[28]FormattedData!A80</f>
        <v>407</v>
      </c>
      <c r="C40" s="1" t="str">
        <f>VLOOKUP($B40,[28]TrtCodes!$B$11:I123,2)</f>
        <v>NSH</v>
      </c>
      <c r="D40" s="1">
        <f>VLOOKUP($B40,[28]TrtCodes!$B$11:J123,3)</f>
        <v>7</v>
      </c>
      <c r="E40" s="1">
        <f>VLOOKUP($B40,[28]TrtCodes!$B$11:K123,4)</f>
        <v>2</v>
      </c>
      <c r="F40" s="1">
        <f>VLOOKUP($B40,[28]TrtCodes!$B$11:L123,5)</f>
        <v>1</v>
      </c>
      <c r="G40" s="1">
        <f>VLOOKUP($B40,[28]TrtCodes!$B$11:M123,6)</f>
        <v>2</v>
      </c>
      <c r="H40" s="1">
        <f>VLOOKUP($B40,[28]TrtCodes!$B$11:N123,7)</f>
        <v>4</v>
      </c>
      <c r="I40" s="1">
        <f>[28]FormattedData!B80</f>
        <v>1</v>
      </c>
      <c r="J40" s="4">
        <f>[28]FormattedData!C80</f>
        <v>13.374000000000001</v>
      </c>
      <c r="K40" s="6">
        <f>$J$3+[28]FormattedData!D80*$J$4+$M$4*$J$5+[28]FormattedData!D80^2*$J$6+$M$5*$J$7</f>
        <v>33.549020602408874</v>
      </c>
      <c r="L40" s="6">
        <f>$J$3+[28]FormattedData!E80*$J$4+$M$4*$J$5+[28]FormattedData!E80^2*$J$6+$M$5*$J$7</f>
        <v>34.408932517529358</v>
      </c>
      <c r="M40" s="6">
        <f>$J$3+[28]FormattedData!F80*$J$4+$M$4*$J$5+[28]FormattedData!F80^2*$J$6+$M$5*$J$7</f>
        <v>34.790016608930017</v>
      </c>
      <c r="N40" s="6">
        <f>$J$3+[28]FormattedData!G80*$J$4+$M$4*$J$5+[28]FormattedData!G80^2*$J$6+$M$5*$J$7</f>
        <v>33.836038324290421</v>
      </c>
      <c r="O40" s="6">
        <f>$J$3+[28]FormattedData!H80*$J$4+$M$4*$J$5+[28]FormattedData!H80^2*$J$6+$M$5*$J$7</f>
        <v>31.529244877679474</v>
      </c>
      <c r="P40" s="6">
        <f>$J$3+[28]FormattedData!I80*$J$4+$M$4*$J$5+[28]FormattedData!I80^2*$J$6+$M$5*$J$7</f>
        <v>33.549020602408874</v>
      </c>
      <c r="Q40" s="6">
        <f>$J$3+[28]FormattedData!J80*$J$4+$M$4*$J$5+[28]FormattedData!J80^2*$J$6+$M$5*$J$7</f>
        <v>33.069812361847696</v>
      </c>
      <c r="R40" s="6">
        <f>$J$3+[28]FormattedData!K80*$J$4+$M$4*$J$5+[28]FormattedData!K80^2*$J$6+$M$5*$J$7</f>
        <v>33.644735444907326</v>
      </c>
      <c r="S40" s="6">
        <f>$J$3+[28]FormattedData!L80*$J$4+$M$4*$J$5+[28]FormattedData!L80^2*$J$6+$M$5*$J$7</f>
        <v>33.453263491372503</v>
      </c>
      <c r="T40" s="6">
        <f>$J$3+[28]FormattedData!M80*$J$4+$M$4*$J$5+[28]FormattedData!M80^2*$J$6+$M$5*$J$7</f>
        <v>32.493367611422549</v>
      </c>
      <c r="U40" s="6">
        <f>$J$3+[28]FormattedData!N80*$J$4+$M$4*$J$5+[28]FormattedData!N80^2*$J$6+$M$5*$J$7</f>
        <v>30.948742347612932</v>
      </c>
      <c r="V40" s="6">
        <f>$J$3+[28]FormattedData!O80*$J$4+$M$4*$J$5+[28]FormattedData!O80^2*$J$6+$M$5*$J$7</f>
        <v>32.877833185857703</v>
      </c>
      <c r="W40" s="5">
        <f t="shared" si="0"/>
        <v>33.179168998022313</v>
      </c>
      <c r="X40" s="4">
        <f t="shared" si="1"/>
        <v>0.31830784021430231</v>
      </c>
      <c r="Y40" s="3">
        <f t="shared" si="2"/>
        <v>30.948742347612932</v>
      </c>
      <c r="Z40" s="2">
        <f t="shared" si="3"/>
        <v>32.781716792248915</v>
      </c>
      <c r="AA40" s="3">
        <f t="shared" si="4"/>
        <v>33.501142046890692</v>
      </c>
      <c r="AB40" s="2">
        <f t="shared" si="5"/>
        <v>33.692561164753101</v>
      </c>
      <c r="AC40" s="2">
        <f t="shared" si="6"/>
        <v>34.790016608930017</v>
      </c>
      <c r="AD40" s="2">
        <f t="shared" si="7"/>
        <v>-0.76431644771145224</v>
      </c>
      <c r="AE40" s="2">
        <f t="shared" si="8"/>
        <v>0.41012637746711</v>
      </c>
    </row>
    <row r="41" spans="2:31" x14ac:dyDescent="0.2">
      <c r="B41" s="1">
        <f>[28]FormattedData!A78</f>
        <v>408</v>
      </c>
      <c r="C41" s="1" t="str">
        <f>VLOOKUP($B41,[28]TrtCodes!$B$11:I121,2)</f>
        <v>NTL</v>
      </c>
      <c r="D41" s="1">
        <f>VLOOKUP($B41,[28]TrtCodes!$B$11:J121,3)</f>
        <v>10</v>
      </c>
      <c r="E41" s="1">
        <f>VLOOKUP($B41,[28]TrtCodes!$B$11:K121,4)</f>
        <v>2</v>
      </c>
      <c r="F41" s="1">
        <f>VLOOKUP($B41,[28]TrtCodes!$B$11:L121,5)</f>
        <v>2</v>
      </c>
      <c r="G41" s="1">
        <f>VLOOKUP($B41,[28]TrtCodes!$B$11:M121,6)</f>
        <v>1</v>
      </c>
      <c r="H41" s="1">
        <f>VLOOKUP($B41,[28]TrtCodes!$B$11:N121,7)</f>
        <v>4</v>
      </c>
      <c r="I41" s="1">
        <f>[28]FormattedData!B78</f>
        <v>1</v>
      </c>
      <c r="J41" s="4">
        <f>[28]FormattedData!C78</f>
        <v>13.359</v>
      </c>
      <c r="K41" s="6">
        <f>$J$3+[28]FormattedData!D78*$J$4+$M$4*$J$5+[28]FormattedData!D78^2*$J$6+$M$5*$J$7</f>
        <v>32.493367611422549</v>
      </c>
      <c r="L41" s="6">
        <f>$J$3+[28]FormattedData!E78*$J$4+$M$4*$J$5+[28]FormattedData!E78^2*$J$6+$M$5*$J$7</f>
        <v>30.754903355953971</v>
      </c>
      <c r="M41" s="6">
        <f>$J$3+[28]FormattedData!F78*$J$4+$M$4*$J$5+[28]FormattedData!F78^2*$J$6+$M$5*$J$7</f>
        <v>31.529244877679474</v>
      </c>
      <c r="N41" s="6">
        <f>$J$3+[28]FormattedData!G78*$J$4+$M$4*$J$5+[28]FormattedData!G78^2*$J$6+$M$5*$J$7</f>
        <v>30.851843986052419</v>
      </c>
      <c r="O41" s="6">
        <f>$J$3+[28]FormattedData!H78*$J$4+$M$4*$J$5+[28]FormattedData!H78^2*$J$6+$M$5*$J$7</f>
        <v>31.142412265120171</v>
      </c>
      <c r="P41" s="6">
        <f>$J$3+[28]FormattedData!I78*$J$4+$M$4*$J$5+[28]FormattedData!I78^2*$J$6+$M$5*$J$7</f>
        <v>31.432600127346543</v>
      </c>
      <c r="Q41" s="6">
        <f>$J$3+[28]FormattedData!J78*$J$4+$M$4*$J$5+[28]FormattedData!J78^2*$J$6+$M$5*$J$7</f>
        <v>31.045598440635512</v>
      </c>
      <c r="R41" s="6">
        <f>$J$3+[28]FormattedData!K78*$J$4+$M$4*$J$5+[28]FormattedData!K78^2*$J$6+$M$5*$J$7</f>
        <v>32.011834601275147</v>
      </c>
      <c r="S41" s="6">
        <f>$J$3+[28]FormattedData!L78*$J$4+$M$4*$J$5+[28]FormattedData!L78^2*$J$6+$M$5*$J$7</f>
        <v>31.62584735947447</v>
      </c>
      <c r="T41" s="6">
        <f>$J$3+[28]FormattedData!M78*$J$4+$M$4*$J$5+[28]FormattedData!M78^2*$J$6+$M$5*$J$7</f>
        <v>31.62584735947447</v>
      </c>
      <c r="U41" s="6">
        <f>$J$3+[28]FormattedData!N78*$J$4+$M$4*$J$5+[28]FormattedData!N78^2*$J$6+$M$5*$J$7</f>
        <v>31.045598440635512</v>
      </c>
      <c r="V41" s="6">
        <f>$J$3+[28]FormattedData!O78*$J$4+$M$4*$J$5+[28]FormattedData!O78^2*$J$6+$M$5*$J$7</f>
        <v>31.335913108475687</v>
      </c>
      <c r="W41" s="5">
        <f t="shared" si="0"/>
        <v>31.407917627795488</v>
      </c>
      <c r="X41" s="4">
        <f t="shared" si="1"/>
        <v>0.14373553446350193</v>
      </c>
      <c r="Y41" s="3">
        <f t="shared" si="2"/>
        <v>30.754903355953971</v>
      </c>
      <c r="Z41" s="2">
        <f t="shared" si="3"/>
        <v>31.045598440635512</v>
      </c>
      <c r="AA41" s="3">
        <f t="shared" si="4"/>
        <v>31.384256617911113</v>
      </c>
      <c r="AB41" s="2">
        <f t="shared" si="5"/>
        <v>31.62584735947447</v>
      </c>
      <c r="AC41" s="2">
        <f t="shared" si="6"/>
        <v>32.493367611422549</v>
      </c>
      <c r="AD41" s="2">
        <f t="shared" si="7"/>
        <v>0.84574796154429366</v>
      </c>
      <c r="AE41" s="2">
        <f t="shared" si="8"/>
        <v>0.69114784394349726</v>
      </c>
    </row>
    <row r="42" spans="2:31" x14ac:dyDescent="0.2">
      <c r="B42" s="17">
        <f>[28]FormattedData!A60</f>
        <v>901</v>
      </c>
      <c r="C42" s="17" t="str">
        <f>VLOOKUP($B42,[28]TrtCodes!$B$11:I103,2)</f>
        <v>WS</v>
      </c>
      <c r="D42" s="17">
        <f>VLOOKUP($B42,[28]TrtCodes!$B$11:J103,3)</f>
        <v>32</v>
      </c>
      <c r="E42" s="17">
        <f>VLOOKUP($B42,[28]TrtCodes!$B$11:K103,4)</f>
        <v>9</v>
      </c>
      <c r="F42" s="17">
        <f>VLOOKUP($B42,[28]TrtCodes!$B$11:L103,5)</f>
        <v>0</v>
      </c>
      <c r="G42" s="17">
        <f>VLOOKUP($B42,[28]TrtCodes!$B$11:M103,6)</f>
        <v>1</v>
      </c>
      <c r="H42" s="17">
        <f>VLOOKUP($B42,[28]TrtCodes!$B$11:N103,7)</f>
        <v>1</v>
      </c>
      <c r="I42" s="17">
        <f>[28]FormattedData!B60</f>
        <v>1</v>
      </c>
      <c r="J42" s="15">
        <f>[28]FormattedData!C60</f>
        <v>13.218</v>
      </c>
      <c r="K42" s="14">
        <f>$J$3+[28]FormattedData!D60*$J$4+$M$4*$J$5+[28]FormattedData!D60^2*$J$6+$M$5*$J$7</f>
        <v>39.961342162895903</v>
      </c>
      <c r="L42" s="14">
        <f>$J$3+[28]FormattedData!E60*$J$4+$M$4*$J$5+[28]FormattedData!E60^2*$J$6+$M$5*$J$7</f>
        <v>38.93730603828206</v>
      </c>
      <c r="M42" s="14">
        <f>$J$3+[28]FormattedData!F60*$J$4+$M$4*$J$5+[28]FormattedData!F60^2*$J$6+$M$5*$J$7</f>
        <v>38.001925910332162</v>
      </c>
      <c r="N42" s="14">
        <f>$J$3+[28]FormattedData!G60*$J$4+$M$4*$J$5+[28]FormattedData!G60^2*$J$6+$M$5*$J$7</f>
        <v>38.282983768365405</v>
      </c>
      <c r="O42" s="14">
        <f>$J$3+[28]FormattedData!H60*$J$4+$M$4*$J$5+[28]FormattedData!H60^2*$J$6+$M$5*$J$7</f>
        <v>38.282983768365405</v>
      </c>
      <c r="P42" s="14">
        <f>$J$3+[28]FormattedData!I60*$J$4+$M$4*$J$5+[28]FormattedData!I60^2*$J$6+$M$5*$J$7</f>
        <v>37.626590340090125</v>
      </c>
      <c r="Q42" s="14">
        <f>$J$3+[28]FormattedData!J60*$J$4+$M$4*$J$5+[28]FormattedData!J60^2*$J$6+$M$5*$J$7</f>
        <v>37.908155420578545</v>
      </c>
      <c r="R42" s="14">
        <f>$J$3+[28]FormattedData!K60*$J$4+$M$4*$J$5+[28]FormattedData!K60^2*$J$6+$M$5*$J$7</f>
        <v>37.814342662287011</v>
      </c>
      <c r="S42" s="14">
        <f>$J$3+[28]FormattedData!L60*$J$4+$M$4*$J$5+[28]FormattedData!L60^2*$J$6+$M$5*$J$7</f>
        <v>38.376585183967293</v>
      </c>
      <c r="T42" s="14">
        <f>$J$3+[28]FormattedData!M60*$J$4+$M$4*$J$5+[28]FormattedData!M60^2*$J$6+$M$5*$J$7</f>
        <v>38.376585183967293</v>
      </c>
      <c r="U42" s="14">
        <f>$J$3+[28]FormattedData!N60*$J$4+$M$4*$J$5+[28]FormattedData!N60^2*$J$6+$M$5*$J$7</f>
        <v>38.282983768365405</v>
      </c>
      <c r="V42" s="14">
        <f>$J$3+[28]FormattedData!O60*$J$4+$M$4*$J$5+[28]FormattedData!O60^2*$J$6+$M$5*$J$7</f>
        <v>38.282983768365405</v>
      </c>
      <c r="W42" s="16">
        <f t="shared" ref="W42:W73" si="9">AVERAGE(K42:V42)</f>
        <v>38.344563997988494</v>
      </c>
      <c r="X42" s="15">
        <f t="shared" ref="X42:X73" si="10">STDEV(K42:V42)/SQRT(COUNT(K42:V42))</f>
        <v>0.17596074192188116</v>
      </c>
      <c r="Y42" s="14">
        <f t="shared" ref="Y42:Y73" si="11">MIN(K42:V42)</f>
        <v>37.626590340090125</v>
      </c>
      <c r="Z42" s="13">
        <f t="shared" ref="Z42:Z73" si="12">QUARTILE(K42:V42,1)</f>
        <v>37.978483287893759</v>
      </c>
      <c r="AA42" s="14">
        <f t="shared" ref="AA42:AA73" si="13">MEDIAN(K42:V42)</f>
        <v>38.282983768365405</v>
      </c>
      <c r="AB42" s="13">
        <f t="shared" ref="AB42:AB73" si="14">QUARTILE(K42:V42,3)</f>
        <v>38.376585183967293</v>
      </c>
      <c r="AC42" s="13">
        <f t="shared" ref="AC42:AC73" si="15">MAX(K42:V42)</f>
        <v>39.961342162895903</v>
      </c>
      <c r="AD42" s="13">
        <f t="shared" ref="AD42:AD73" si="16">SKEW(K42:V42)</f>
        <v>1.8261370893287974</v>
      </c>
      <c r="AE42" s="13">
        <f t="shared" ref="AE42:AE73" si="17">KURT(K42:V42)</f>
        <v>4.3577893229606612</v>
      </c>
    </row>
    <row r="43" spans="2:31" x14ac:dyDescent="0.2">
      <c r="B43" s="1">
        <f>[28]FormattedData!A58</f>
        <v>902</v>
      </c>
      <c r="C43" s="1" t="str">
        <f>VLOOKUP($B43,[28]TrtCodes!$B$11:I101,2)</f>
        <v>Late</v>
      </c>
      <c r="D43" s="1">
        <f>VLOOKUP($B43,[28]TrtCodes!$B$11:J101,3)</f>
        <v>22</v>
      </c>
      <c r="E43" s="1">
        <f>VLOOKUP($B43,[28]TrtCodes!$B$11:K101,4)</f>
        <v>4</v>
      </c>
      <c r="F43" s="1">
        <f>VLOOKUP($B43,[28]TrtCodes!$B$11:L101,5)</f>
        <v>2</v>
      </c>
      <c r="G43" s="1">
        <f>VLOOKUP($B43,[28]TrtCodes!$B$11:M101,6)</f>
        <v>2</v>
      </c>
      <c r="H43" s="1">
        <f>VLOOKUP($B43,[28]TrtCodes!$B$11:N101,7)</f>
        <v>1</v>
      </c>
      <c r="I43" s="1">
        <f>[28]FormattedData!B58</f>
        <v>1</v>
      </c>
      <c r="J43" s="4">
        <f>[28]FormattedData!C58</f>
        <v>13.204000000000001</v>
      </c>
      <c r="K43" s="6">
        <f>$J$3+[28]FormattedData!D58*$J$4+$M$4*$J$5+[28]FormattedData!D58^2*$J$6+$M$5*$J$7</f>
        <v>47.344479235448212</v>
      </c>
      <c r="L43" s="6">
        <f>$J$3+[28]FormattedData!E58*$J$4+$M$4*$J$5+[28]FormattedData!E58^2*$J$6+$M$5*$J$7</f>
        <v>43.73314582047653</v>
      </c>
      <c r="M43" s="6">
        <f>$J$3+[28]FormattedData!F58*$J$4+$M$4*$J$5+[28]FormattedData!F58^2*$J$6+$M$5*$J$7</f>
        <v>47.791140701802419</v>
      </c>
      <c r="N43" s="6">
        <f>$J$3+[28]FormattedData!G58*$J$4+$M$4*$J$5+[28]FormattedData!G58^2*$J$6+$M$5*$J$7</f>
        <v>42.636558012150516</v>
      </c>
      <c r="O43" s="6">
        <f>$J$3+[28]FormattedData!H58*$J$4+$M$4*$J$5+[28]FormattedData!H58^2*$J$6+$M$5*$J$7</f>
        <v>43.36829284764142</v>
      </c>
      <c r="P43" s="6">
        <f>$J$3+[28]FormattedData!I58*$J$4+$M$4*$J$5+[28]FormattedData!I58^2*$J$6+$M$5*$J$7</f>
        <v>41.533883534362403</v>
      </c>
      <c r="Q43" s="6">
        <f>$J$3+[28]FormattedData!J58*$J$4+$M$4*$J$5+[28]FormattedData!J58^2*$J$6+$M$5*$J$7</f>
        <v>47.344479235448212</v>
      </c>
      <c r="R43" s="6">
        <f>$J$3+[28]FormattedData!K58*$J$4+$M$4*$J$5+[28]FormattedData!K58^2*$J$6+$M$5*$J$7</f>
        <v>41.533883534362403</v>
      </c>
      <c r="S43" s="6">
        <f>$J$3+[28]FormattedData!L58*$J$4+$M$4*$J$5+[28]FormattedData!L58^2*$J$6+$M$5*$J$7</f>
        <v>41.44171924905018</v>
      </c>
      <c r="T43" s="6">
        <f>$J$3+[28]FormattedData!M58*$J$4+$M$4*$J$5+[28]FormattedData!M58^2*$J$6+$M$5*$J$7</f>
        <v>41.994070932854576</v>
      </c>
      <c r="U43" s="6">
        <f>$J$3+[28]FormattedData!N58*$J$4+$M$4*$J$5+[28]FormattedData!N58^2*$J$6+$M$5*$J$7</f>
        <v>46.986389228682079</v>
      </c>
      <c r="V43" s="6">
        <f>$J$3+[28]FormattedData!O58*$J$4+$M$4*$J$5+[28]FormattedData!O58^2*$J$6+$M$5*$J$7</f>
        <v>40.332450879344812</v>
      </c>
      <c r="W43" s="5">
        <f t="shared" si="9"/>
        <v>43.836707767635311</v>
      </c>
      <c r="X43" s="4">
        <f t="shared" si="10"/>
        <v>0.79703307445501814</v>
      </c>
      <c r="Y43" s="3">
        <f t="shared" si="11"/>
        <v>40.332450879344812</v>
      </c>
      <c r="Z43" s="2">
        <f t="shared" si="12"/>
        <v>41.533883534362403</v>
      </c>
      <c r="AA43" s="3">
        <f t="shared" si="13"/>
        <v>43.002425429895965</v>
      </c>
      <c r="AB43" s="2">
        <f t="shared" si="14"/>
        <v>47.075911730373612</v>
      </c>
      <c r="AC43" s="2">
        <f t="shared" si="15"/>
        <v>47.791140701802419</v>
      </c>
      <c r="AD43" s="2">
        <f t="shared" si="16"/>
        <v>0.46712297920467694</v>
      </c>
      <c r="AE43" s="2">
        <f t="shared" si="17"/>
        <v>-1.5947107795433659</v>
      </c>
    </row>
    <row r="44" spans="2:31" x14ac:dyDescent="0.2">
      <c r="B44" s="17">
        <f>[28]FormattedData!A56</f>
        <v>903</v>
      </c>
      <c r="C44" s="17" t="str">
        <f>VLOOKUP($B44,[28]TrtCodes!$B$11:I99,2)</f>
        <v>DS</v>
      </c>
      <c r="D44" s="17">
        <f>VLOOKUP($B44,[28]TrtCodes!$B$11:J99,3)</f>
        <v>31</v>
      </c>
      <c r="E44" s="17">
        <f>VLOOKUP($B44,[28]TrtCodes!$B$11:K99,4)</f>
        <v>8</v>
      </c>
      <c r="F44" s="17">
        <f>VLOOKUP($B44,[28]TrtCodes!$B$11:L99,5)</f>
        <v>0</v>
      </c>
      <c r="G44" s="17">
        <f>VLOOKUP($B44,[28]TrtCodes!$B$11:M99,6)</f>
        <v>1</v>
      </c>
      <c r="H44" s="17">
        <f>VLOOKUP($B44,[28]TrtCodes!$B$11:N99,7)</f>
        <v>1</v>
      </c>
      <c r="I44" s="17">
        <f>[28]FormattedData!B56</f>
        <v>1</v>
      </c>
      <c r="J44" s="15">
        <f>[28]FormattedData!C56</f>
        <v>13.198</v>
      </c>
      <c r="K44" s="14">
        <f>$J$3+[28]FormattedData!D56*$J$4+$M$4*$J$5+[28]FormattedData!D56^2*$J$6+$M$5*$J$7</f>
        <v>55.47941965242223</v>
      </c>
      <c r="L44" s="14">
        <f>$J$3+[28]FormattedData!E56*$J$4+$M$4*$J$5+[28]FormattedData!E56^2*$J$6+$M$5*$J$7</f>
        <v>56.842121128976224</v>
      </c>
      <c r="M44" s="14">
        <f>$J$3+[28]FormattedData!F56*$J$4+$M$4*$J$5+[28]FormattedData!F56^2*$J$6+$M$5*$J$7</f>
        <v>58.109826328176595</v>
      </c>
      <c r="N44" s="14">
        <f>$J$3+[28]FormattedData!G56*$J$4+$M$4*$J$5+[28]FormattedData!G56^2*$J$6+$M$5*$J$7</f>
        <v>57.941348459276313</v>
      </c>
      <c r="O44" s="14">
        <f>$J$3+[28]FormattedData!H56*$J$4+$M$4*$J$5+[28]FormattedData!H56^2*$J$6+$M$5*$J$7</f>
        <v>58.362226117492519</v>
      </c>
      <c r="P44" s="14">
        <f>$J$3+[28]FormattedData!I56*$J$4+$M$4*$J$5+[28]FormattedData!I56^2*$J$6+$M$5*$J$7</f>
        <v>58.782047062260453</v>
      </c>
      <c r="Q44" s="14">
        <f>$J$3+[28]FormattedData!J56*$J$4+$M$4*$J$5+[28]FormattedData!J56^2*$J$6+$M$5*$J$7</f>
        <v>58.278135122925143</v>
      </c>
      <c r="R44" s="14">
        <f>$J$3+[28]FormattedData!K56*$J$4+$M$4*$J$5+[28]FormattedData!K56^2*$J$6+$M$5*$J$7</f>
        <v>58.194001859819835</v>
      </c>
      <c r="S44" s="14">
        <f>$J$3+[28]FormattedData!L56*$J$4+$M$4*$J$5+[28]FormattedData!L56^2*$J$6+$M$5*$J$7</f>
        <v>57.772701516224309</v>
      </c>
      <c r="T44" s="14">
        <f>$J$3+[28]FormattedData!M56*$J$4+$M$4*$J$5+[28]FormattedData!M56^2*$J$6+$M$5*$J$7</f>
        <v>57.772701516224309</v>
      </c>
      <c r="U44" s="14">
        <f>$J$3+[28]FormattedData!N56*$J$4+$M$4*$J$5+[28]FormattedData!N56^2*$J$6+$M$5*$J$7</f>
        <v>57.772701516224309</v>
      </c>
      <c r="V44" s="14">
        <f>$J$3+[28]FormattedData!O56*$J$4+$M$4*$J$5+[28]FormattedData!O56^2*$J$6+$M$5*$J$7</f>
        <v>57.941348459276313</v>
      </c>
      <c r="W44" s="16">
        <f t="shared" si="9"/>
        <v>57.770714894941541</v>
      </c>
      <c r="X44" s="15">
        <f t="shared" si="10"/>
        <v>0.24763863155602356</v>
      </c>
      <c r="Y44" s="14">
        <f t="shared" si="11"/>
        <v>55.47941965242223</v>
      </c>
      <c r="Z44" s="13">
        <f t="shared" si="12"/>
        <v>57.772701516224309</v>
      </c>
      <c r="AA44" s="14">
        <f t="shared" si="13"/>
        <v>57.941348459276313</v>
      </c>
      <c r="AB44" s="13">
        <f t="shared" si="14"/>
        <v>58.215035175596164</v>
      </c>
      <c r="AC44" s="13">
        <f t="shared" si="15"/>
        <v>58.782047062260453</v>
      </c>
      <c r="AD44" s="13">
        <f t="shared" si="16"/>
        <v>-1.9584786433892178</v>
      </c>
      <c r="AE44" s="13">
        <f t="shared" si="17"/>
        <v>4.5760566093952146</v>
      </c>
    </row>
    <row r="45" spans="2:31" x14ac:dyDescent="0.2">
      <c r="B45" s="1">
        <f>[28]FormattedData!A54</f>
        <v>904</v>
      </c>
      <c r="C45" s="1" t="str">
        <f>VLOOKUP($B45,[28]TrtCodes!$B$11:I97,2)</f>
        <v>Early</v>
      </c>
      <c r="D45" s="1">
        <f>VLOOKUP($B45,[28]TrtCodes!$B$11:J97,3)</f>
        <v>21</v>
      </c>
      <c r="E45" s="1">
        <f>VLOOKUP($B45,[28]TrtCodes!$B$11:K97,4)</f>
        <v>3</v>
      </c>
      <c r="F45" s="1">
        <f>VLOOKUP($B45,[28]TrtCodes!$B$11:L97,5)</f>
        <v>2</v>
      </c>
      <c r="G45" s="1">
        <f>VLOOKUP($B45,[28]TrtCodes!$B$11:M97,6)</f>
        <v>2</v>
      </c>
      <c r="H45" s="1">
        <f>VLOOKUP($B45,[28]TrtCodes!$B$11:N97,7)</f>
        <v>1</v>
      </c>
      <c r="I45" s="1">
        <f>[28]FormattedData!B54</f>
        <v>1</v>
      </c>
      <c r="J45" s="4">
        <f>[28]FormattedData!C54</f>
        <v>13.182</v>
      </c>
      <c r="K45" s="6">
        <f>$J$3+[28]FormattedData!D54*$J$4+$M$4*$J$5+[28]FormattedData!D54^2*$J$6+$M$5*$J$7</f>
        <v>56.757269300726087</v>
      </c>
      <c r="L45" s="6">
        <f>$J$3+[28]FormattedData!E54*$J$4+$M$4*$J$5+[28]FormattedData!E54^2*$J$6+$M$5*$J$7</f>
        <v>45.998154555695926</v>
      </c>
      <c r="M45" s="6">
        <f>$J$3+[28]FormattedData!F54*$J$4+$M$4*$J$5+[28]FormattedData!F54^2*$J$6+$M$5*$J$7</f>
        <v>50.27291684886179</v>
      </c>
      <c r="N45" s="6">
        <f>$J$3+[28]FormattedData!G54*$J$4+$M$4*$J$5+[28]FormattedData!G54^2*$J$6+$M$5*$J$7</f>
        <v>40.795385732802508</v>
      </c>
      <c r="O45" s="6">
        <f>$J$3+[28]FormattedData!H54*$J$4+$M$4*$J$5+[28]FormattedData!H54^2*$J$6+$M$5*$J$7</f>
        <v>49.83217297781794</v>
      </c>
      <c r="P45" s="6">
        <f>$J$3+[28]FormattedData!I54*$J$4+$M$4*$J$5+[28]FormattedData!I54^2*$J$6+$M$5*$J$7</f>
        <v>42.819745332250825</v>
      </c>
      <c r="Q45" s="6">
        <f>$J$3+[28]FormattedData!J54*$J$4+$M$4*$J$5+[28]FormattedData!J54^2*$J$6+$M$5*$J$7</f>
        <v>52.895189092711028</v>
      </c>
      <c r="R45" s="6">
        <f>$J$3+[28]FormattedData!K54*$J$4+$M$4*$J$5+[28]FormattedData!K54^2*$J$6+$M$5*$J$7</f>
        <v>44.370011184227614</v>
      </c>
      <c r="S45" s="6">
        <f>$J$3+[28]FormattedData!L54*$J$4+$M$4*$J$5+[28]FormattedData!L54^2*$J$6+$M$5*$J$7</f>
        <v>52.199636125689175</v>
      </c>
      <c r="T45" s="6">
        <f>$J$3+[28]FormattedData!M54*$J$4+$M$4*$J$5+[28]FormattedData!M54^2*$J$6+$M$5*$J$7</f>
        <v>42.453201617898465</v>
      </c>
      <c r="U45" s="6">
        <f>$J$3+[28]FormattedData!N54*$J$4+$M$4*$J$5+[28]FormattedData!N54^2*$J$6+$M$5*$J$7</f>
        <v>50.800414632362681</v>
      </c>
      <c r="V45" s="6">
        <f>$J$3+[28]FormattedData!O54*$J$4+$M$4*$J$5+[28]FormattedData!O54^2*$J$6+$M$5*$J$7</f>
        <v>45.095321201952999</v>
      </c>
      <c r="W45" s="5">
        <f t="shared" si="9"/>
        <v>47.857451550249749</v>
      </c>
      <c r="X45" s="4">
        <f t="shared" si="10"/>
        <v>1.4289774793463046</v>
      </c>
      <c r="Y45" s="3">
        <f t="shared" si="11"/>
        <v>40.795385732802508</v>
      </c>
      <c r="Z45" s="2">
        <f t="shared" si="12"/>
        <v>43.982444721233421</v>
      </c>
      <c r="AA45" s="3">
        <f t="shared" si="13"/>
        <v>47.915163766756933</v>
      </c>
      <c r="AB45" s="2">
        <f t="shared" si="14"/>
        <v>51.150220005694308</v>
      </c>
      <c r="AC45" s="2">
        <f t="shared" si="15"/>
        <v>56.757269300726087</v>
      </c>
      <c r="AD45" s="2">
        <f t="shared" si="16"/>
        <v>0.22855244050397705</v>
      </c>
      <c r="AE45" s="2">
        <f t="shared" si="17"/>
        <v>-0.98906883315581506</v>
      </c>
    </row>
    <row r="46" spans="2:31" x14ac:dyDescent="0.2">
      <c r="B46" s="17">
        <f>[28]FormattedData!A52</f>
        <v>905</v>
      </c>
      <c r="C46" s="17" t="str">
        <f>VLOOKUP($B46,[28]TrtCodes!$B$11:I95,2)</f>
        <v>WS</v>
      </c>
      <c r="D46" s="17">
        <f>VLOOKUP($B46,[28]TrtCodes!$B$11:J95,3)</f>
        <v>32</v>
      </c>
      <c r="E46" s="17">
        <f>VLOOKUP($B46,[28]TrtCodes!$B$11:K95,4)</f>
        <v>9</v>
      </c>
      <c r="F46" s="17">
        <f>VLOOKUP($B46,[28]TrtCodes!$B$11:L95,5)</f>
        <v>0</v>
      </c>
      <c r="G46" s="17">
        <f>VLOOKUP($B46,[28]TrtCodes!$B$11:M95,6)</f>
        <v>1</v>
      </c>
      <c r="H46" s="17">
        <f>VLOOKUP($B46,[28]TrtCodes!$B$11:N95,7)</f>
        <v>2</v>
      </c>
      <c r="I46" s="17">
        <f>[28]FormattedData!B52</f>
        <v>1</v>
      </c>
      <c r="J46" s="15">
        <f>[28]FormattedData!C52</f>
        <v>13.176</v>
      </c>
      <c r="K46" s="14">
        <f>$J$3+[28]FormattedData!D52*$J$4+$M$4*$J$5+[28]FormattedData!D52^2*$J$6+$M$5*$J$7</f>
        <v>52.981943005168063</v>
      </c>
      <c r="L46" s="14">
        <f>$J$3+[28]FormattedData!E52*$J$4+$M$4*$J$5+[28]FormattedData!E52^2*$J$6+$M$5*$J$7</f>
        <v>54.192059583083882</v>
      </c>
      <c r="M46" s="14">
        <f>$J$3+[28]FormattedData!F52*$J$4+$M$4*$J$5+[28]FormattedData!F52^2*$J$6+$M$5*$J$7</f>
        <v>52.981943005168063</v>
      </c>
      <c r="N46" s="14">
        <f>$J$3+[28]FormattedData!G52*$J$4+$M$4*$J$5+[28]FormattedData!G52^2*$J$6+$M$5*$J$7</f>
        <v>53.588036873305278</v>
      </c>
      <c r="O46" s="14">
        <f>$J$3+[28]FormattedData!H52*$J$4+$M$4*$J$5+[28]FormattedData!H52^2*$J$6+$M$5*$J$7</f>
        <v>52.199636125689175</v>
      </c>
      <c r="P46" s="14">
        <f>$J$3+[28]FormattedData!I52*$J$4+$M$4*$J$5+[28]FormattedData!I52^2*$J$6+$M$5*$J$7</f>
        <v>52.286728186449658</v>
      </c>
      <c r="Q46" s="14">
        <f>$J$3+[28]FormattedData!J52*$J$4+$M$4*$J$5+[28]FormattedData!J52^2*$J$6+$M$5*$J$7</f>
        <v>52.199636125689175</v>
      </c>
      <c r="R46" s="14">
        <f>$J$3+[28]FormattedData!K52*$J$4+$M$4*$J$5+[28]FormattedData!K52^2*$J$6+$M$5*$J$7</f>
        <v>52.025325198554391</v>
      </c>
      <c r="S46" s="14">
        <f>$J$3+[28]FormattedData!L52*$J$4+$M$4*$J$5+[28]FormattedData!L52^2*$J$6+$M$5*$J$7</f>
        <v>52.547750757503543</v>
      </c>
      <c r="T46" s="14">
        <f>$J$3+[28]FormattedData!M52*$J$4+$M$4*$J$5+[28]FormattedData!M52^2*$J$6+$M$5*$J$7</f>
        <v>53.328535969616922</v>
      </c>
      <c r="U46" s="14">
        <f>$J$3+[28]FormattedData!N52*$J$4+$M$4*$J$5+[28]FormattedData!N52^2*$J$6+$M$5*$J$7</f>
        <v>52.981943005168063</v>
      </c>
      <c r="V46" s="14">
        <f>$J$3+[28]FormattedData!O52*$J$4+$M$4*$J$5+[28]FormattedData!O52^2*$J$6+$M$5*$J$7</f>
        <v>52.286728186449658</v>
      </c>
      <c r="W46" s="16">
        <f t="shared" si="9"/>
        <v>52.800022168487153</v>
      </c>
      <c r="X46" s="15">
        <f t="shared" si="10"/>
        <v>0.19166361461091344</v>
      </c>
      <c r="Y46" s="14">
        <f t="shared" si="11"/>
        <v>52.025325198554391</v>
      </c>
      <c r="Z46" s="13">
        <f t="shared" si="12"/>
        <v>52.264955171259537</v>
      </c>
      <c r="AA46" s="14">
        <f t="shared" si="13"/>
        <v>52.764846881335799</v>
      </c>
      <c r="AB46" s="13">
        <f t="shared" si="14"/>
        <v>53.068591246280278</v>
      </c>
      <c r="AC46" s="13">
        <f t="shared" si="15"/>
        <v>54.192059583083882</v>
      </c>
      <c r="AD46" s="13">
        <f t="shared" si="16"/>
        <v>0.80814582005672797</v>
      </c>
      <c r="AE46" s="13">
        <f t="shared" si="17"/>
        <v>8.8438677775304342E-3</v>
      </c>
    </row>
    <row r="47" spans="2:31" x14ac:dyDescent="0.2">
      <c r="B47" s="1">
        <f>[28]FormattedData!A50</f>
        <v>906</v>
      </c>
      <c r="C47" s="1" t="str">
        <f>VLOOKUP($B47,[28]TrtCodes!$B$11:I93,2)</f>
        <v>Late</v>
      </c>
      <c r="D47" s="1">
        <f>VLOOKUP($B47,[28]TrtCodes!$B$11:J93,3)</f>
        <v>22</v>
      </c>
      <c r="E47" s="1">
        <f>VLOOKUP($B47,[28]TrtCodes!$B$11:K93,4)</f>
        <v>4</v>
      </c>
      <c r="F47" s="1">
        <f>VLOOKUP($B47,[28]TrtCodes!$B$11:L93,5)</f>
        <v>2</v>
      </c>
      <c r="G47" s="1">
        <f>VLOOKUP($B47,[28]TrtCodes!$B$11:M93,6)</f>
        <v>2</v>
      </c>
      <c r="H47" s="1">
        <f>VLOOKUP($B47,[28]TrtCodes!$B$11:N93,7)</f>
        <v>2</v>
      </c>
      <c r="I47" s="1">
        <f>[28]FormattedData!B50</f>
        <v>1</v>
      </c>
      <c r="J47" s="4">
        <f>[28]FormattedData!C50</f>
        <v>13.163</v>
      </c>
      <c r="K47" s="6">
        <f>$J$3+[28]FormattedData!D50*$J$4+$M$4*$J$5+[28]FormattedData!D50^2*$J$6+$M$5*$J$7</f>
        <v>43.36829284764142</v>
      </c>
      <c r="L47" s="6">
        <f>$J$3+[28]FormattedData!E50*$J$4+$M$4*$J$5+[28]FormattedData!E50^2*$J$6+$M$5*$J$7</f>
        <v>39.868459312438844</v>
      </c>
      <c r="M47" s="6">
        <f>$J$3+[28]FormattedData!F50*$J$4+$M$4*$J$5+[28]FormattedData!F50^2*$J$6+$M$5*$J$7</f>
        <v>42.269676149494707</v>
      </c>
      <c r="N47" s="6">
        <f>$J$3+[28]FormattedData!G50*$J$4+$M$4*$J$5+[28]FormattedData!G50^2*$J$6+$M$5*$J$7</f>
        <v>40.980263794420075</v>
      </c>
      <c r="O47" s="6">
        <f>$J$3+[28]FormattedData!H50*$J$4+$M$4*$J$5+[28]FormattedData!H50^2*$J$6+$M$5*$J$7</f>
        <v>41.257263872811926</v>
      </c>
      <c r="P47" s="6">
        <f>$J$3+[28]FormattedData!I50*$J$4+$M$4*$J$5+[28]FormattedData!I50^2*$J$6+$M$5*$J$7</f>
        <v>39.961342162895903</v>
      </c>
      <c r="Q47" s="6">
        <f>$J$3+[28]FormattedData!J50*$J$4+$M$4*$J$5+[28]FormattedData!J50^2*$J$6+$M$5*$J$7</f>
        <v>40.05418274481503</v>
      </c>
      <c r="R47" s="6">
        <f>$J$3+[28]FormattedData!K50*$J$4+$M$4*$J$5+[28]FormattedData!K50^2*$J$6+$M$5*$J$7</f>
        <v>42.269676149494707</v>
      </c>
      <c r="S47" s="6">
        <f>$J$3+[28]FormattedData!L50*$J$4+$M$4*$J$5+[28]FormattedData!L50^2*$J$6+$M$5*$J$7</f>
        <v>39.775534193443853</v>
      </c>
      <c r="T47" s="6">
        <f>$J$3+[28]FormattedData!M50*$J$4+$M$4*$J$5+[28]FormattedData!M50^2*$J$6+$M$5*$J$7</f>
        <v>41.07263942242195</v>
      </c>
      <c r="U47" s="6">
        <f>$J$3+[28]FormattedData!N50*$J$4+$M$4*$J$5+[28]FormattedData!N50^2*$J$6+$M$5*$J$7</f>
        <v>43.185612749996281</v>
      </c>
      <c r="V47" s="6">
        <f>$J$3+[28]FormattedData!O50*$J$4+$M$4*$J$5+[28]FormattedData!O50^2*$J$6+$M$5*$J$7</f>
        <v>40.702883299186837</v>
      </c>
      <c r="W47" s="5">
        <f t="shared" si="9"/>
        <v>41.230485558255133</v>
      </c>
      <c r="X47" s="4">
        <f t="shared" si="10"/>
        <v>0.36809909221514298</v>
      </c>
      <c r="Y47" s="3">
        <f t="shared" si="11"/>
        <v>39.775534193443853</v>
      </c>
      <c r="Z47" s="2">
        <f t="shared" si="12"/>
        <v>40.03097259933525</v>
      </c>
      <c r="AA47" s="3">
        <f t="shared" si="13"/>
        <v>41.026451608421013</v>
      </c>
      <c r="AB47" s="2">
        <f t="shared" si="14"/>
        <v>42.269676149494707</v>
      </c>
      <c r="AC47" s="2">
        <f t="shared" si="15"/>
        <v>43.36829284764142</v>
      </c>
      <c r="AD47" s="2">
        <f t="shared" si="16"/>
        <v>0.52844098919185567</v>
      </c>
      <c r="AE47" s="2">
        <f t="shared" si="17"/>
        <v>-1.0326374239917437</v>
      </c>
    </row>
    <row r="48" spans="2:31" x14ac:dyDescent="0.2">
      <c r="B48" s="17">
        <f>[28]FormattedData!A48</f>
        <v>907</v>
      </c>
      <c r="C48" s="17" t="str">
        <f>VLOOKUP($B48,[28]TrtCodes!$B$11:I91,2)</f>
        <v>DS</v>
      </c>
      <c r="D48" s="17">
        <f>VLOOKUP($B48,[28]TrtCodes!$B$11:J91,3)</f>
        <v>31</v>
      </c>
      <c r="E48" s="17">
        <f>VLOOKUP($B48,[28]TrtCodes!$B$11:K91,4)</f>
        <v>8</v>
      </c>
      <c r="F48" s="17">
        <f>VLOOKUP($B48,[28]TrtCodes!$B$11:L91,5)</f>
        <v>0</v>
      </c>
      <c r="G48" s="17">
        <f>VLOOKUP($B48,[28]TrtCodes!$B$11:M91,6)</f>
        <v>1</v>
      </c>
      <c r="H48" s="17">
        <f>VLOOKUP($B48,[28]TrtCodes!$B$11:N91,7)</f>
        <v>2</v>
      </c>
      <c r="I48" s="17">
        <f>[28]FormattedData!B48</f>
        <v>1</v>
      </c>
      <c r="J48" s="15">
        <f>[28]FormattedData!C48</f>
        <v>13.157</v>
      </c>
      <c r="K48" s="14">
        <f>$J$3+[28]FormattedData!D48*$J$4+$M$4*$J$5+[28]FormattedData!D48^2*$J$6+$M$5*$J$7</f>
        <v>55.735750415765757</v>
      </c>
      <c r="L48" s="14">
        <f>$J$3+[28]FormattedData!E48*$J$4+$M$4*$J$5+[28]FormattedData!E48^2*$J$6+$M$5*$J$7</f>
        <v>56.247270691928676</v>
      </c>
      <c r="M48" s="14">
        <f>$J$3+[28]FormattedData!F48*$J$4+$M$4*$J$5+[28]FormattedData!F48^2*$J$6+$M$5*$J$7</f>
        <v>57.096423002499051</v>
      </c>
      <c r="N48" s="14">
        <f>$J$3+[28]FormattedData!G48*$J$4+$M$4*$J$5+[28]FormattedData!G48^2*$J$6+$M$5*$J$7</f>
        <v>57.01169797986271</v>
      </c>
      <c r="O48" s="14">
        <f>$J$3+[28]FormattedData!H48*$J$4+$M$4*$J$5+[28]FormattedData!H48^2*$J$6+$M$5*$J$7</f>
        <v>56.757269300726087</v>
      </c>
      <c r="P48" s="14">
        <f>$J$3+[28]FormattedData!I48*$J$4+$M$4*$J$5+[28]FormattedData!I48^2*$J$6+$M$5*$J$7</f>
        <v>57.181105756597475</v>
      </c>
      <c r="Q48" s="14">
        <f>$J$3+[28]FormattedData!J48*$J$4+$M$4*$J$5+[28]FormattedData!J48^2*$J$6+$M$5*$J$7</f>
        <v>57.01169797986271</v>
      </c>
      <c r="R48" s="14">
        <f>$J$3+[28]FormattedData!K48*$J$4+$M$4*$J$5+[28]FormattedData!K48^2*$J$6+$M$5*$J$7</f>
        <v>57.350344459180512</v>
      </c>
      <c r="S48" s="14">
        <f>$J$3+[28]FormattedData!L48*$J$4+$M$4*$J$5+[28]FormattedData!L48^2*$J$6+$M$5*$J$7</f>
        <v>57.941348459276313</v>
      </c>
      <c r="T48" s="14">
        <f>$J$3+[28]FormattedData!M48*$J$4+$M$4*$J$5+[28]FormattedData!M48^2*$J$6+$M$5*$J$7</f>
        <v>56.842121128976224</v>
      </c>
      <c r="U48" s="14">
        <f>$J$3+[28]FormattedData!N48*$J$4+$M$4*$J$5+[28]FormattedData!N48^2*$J$6+$M$5*$J$7</f>
        <v>57.688314641891417</v>
      </c>
      <c r="V48" s="14">
        <f>$J$3+[28]FormattedData!O48*$J$4+$M$4*$J$5+[28]FormattedData!O48^2*$J$6+$M$5*$J$7</f>
        <v>57.688314641891417</v>
      </c>
      <c r="W48" s="16">
        <f t="shared" si="9"/>
        <v>57.045971538204874</v>
      </c>
      <c r="X48" s="15">
        <f t="shared" si="10"/>
        <v>0.17884762422382131</v>
      </c>
      <c r="Y48" s="14">
        <f t="shared" si="11"/>
        <v>55.735750415765757</v>
      </c>
      <c r="Z48" s="13">
        <f t="shared" si="12"/>
        <v>56.820908171913686</v>
      </c>
      <c r="AA48" s="14">
        <f t="shared" si="13"/>
        <v>57.054060491180877</v>
      </c>
      <c r="AB48" s="13">
        <f t="shared" si="14"/>
        <v>57.434837004858238</v>
      </c>
      <c r="AC48" s="13">
        <f t="shared" si="15"/>
        <v>57.941348459276313</v>
      </c>
      <c r="AD48" s="13">
        <f t="shared" si="16"/>
        <v>-0.6939225104089185</v>
      </c>
      <c r="AE48" s="13">
        <f t="shared" si="17"/>
        <v>0.62420615223588793</v>
      </c>
    </row>
    <row r="49" spans="2:31" ht="13.5" thickBot="1" x14ac:dyDescent="0.25">
      <c r="B49" s="12">
        <f>[28]FormattedData!A46</f>
        <v>908</v>
      </c>
      <c r="C49" s="12" t="str">
        <f>VLOOKUP($B49,[28]TrtCodes!$B$11:I89,2)</f>
        <v>Early</v>
      </c>
      <c r="D49" s="12">
        <f>VLOOKUP($B49,[28]TrtCodes!$B$11:J89,3)</f>
        <v>21</v>
      </c>
      <c r="E49" s="12">
        <f>VLOOKUP($B49,[28]TrtCodes!$B$11:K89,4)</f>
        <v>3</v>
      </c>
      <c r="F49" s="12">
        <f>VLOOKUP($B49,[28]TrtCodes!$B$11:L89,5)</f>
        <v>2</v>
      </c>
      <c r="G49" s="12">
        <f>VLOOKUP($B49,[28]TrtCodes!$B$11:M89,6)</f>
        <v>2</v>
      </c>
      <c r="H49" s="12">
        <f>VLOOKUP($B49,[28]TrtCodes!$B$11:N89,7)</f>
        <v>2</v>
      </c>
      <c r="I49" s="12">
        <f>[28]FormattedData!B46</f>
        <v>1</v>
      </c>
      <c r="J49" s="9">
        <f>[28]FormattedData!C46</f>
        <v>13.141</v>
      </c>
      <c r="K49" s="11">
        <f>$J$3+[28]FormattedData!D46*$J$4+$M$4*$J$5+[28]FormattedData!D46^2*$J$6+$M$5*$J$7</f>
        <v>54.879835139126406</v>
      </c>
      <c r="L49" s="11">
        <f>$J$3+[28]FormattedData!E46*$J$4+$M$4*$J$5+[28]FormattedData!E46^2*$J$6+$M$5*$J$7</f>
        <v>43.641995980074654</v>
      </c>
      <c r="M49" s="11">
        <f>$J$3+[28]FormattedData!F46*$J$4+$M$4*$J$5+[28]FormattedData!F46^2*$J$6+$M$5*$J$7</f>
        <v>54.192059583083882</v>
      </c>
      <c r="N49" s="11">
        <f>$J$3+[28]FormattedData!G46*$J$4+$M$4*$J$5+[28]FormattedData!G46^2*$J$6+$M$5*$J$7</f>
        <v>43.459569493657092</v>
      </c>
      <c r="O49" s="11">
        <f>$J$3+[28]FormattedData!H46*$J$4+$M$4*$J$5+[28]FormattedData!H46^2*$J$6+$M$5*$J$7</f>
        <v>52.373777978672216</v>
      </c>
      <c r="P49" s="11">
        <f>$J$3+[28]FormattedData!I46*$J$4+$M$4*$J$5+[28]FormattedData!I46^2*$J$6+$M$5*$J$7</f>
        <v>40.795385732802508</v>
      </c>
      <c r="Q49" s="11">
        <f>$J$3+[28]FormattedData!J46*$J$4+$M$4*$J$5+[28]FormattedData!J46^2*$J$6+$M$5*$J$7</f>
        <v>47.075975133180513</v>
      </c>
      <c r="R49" s="11">
        <f>$J$3+[28]FormattedData!K46*$J$4+$M$4*$J$5+[28]FormattedData!K46^2*$J$6+$M$5*$J$7</f>
        <v>41.902117990232007</v>
      </c>
      <c r="S49" s="11">
        <f>$J$3+[28]FormattedData!L46*$J$4+$M$4*$J$5+[28]FormattedData!L46^2*$J$6+$M$5*$J$7</f>
        <v>48.147709041203022</v>
      </c>
      <c r="T49" s="11">
        <f>$J$3+[28]FormattedData!M46*$J$4+$M$4*$J$5+[28]FormattedData!M46^2*$J$6+$M$5*$J$7</f>
        <v>44.279157223591255</v>
      </c>
      <c r="U49" s="11">
        <f>$J$3+[28]FormattedData!N46*$J$4+$M$4*$J$5+[28]FormattedData!N46^2*$J$6+$M$5*$J$7</f>
        <v>51.413905494637845</v>
      </c>
      <c r="V49" s="11">
        <f>$J$3+[28]FormattedData!O46*$J$4+$M$4*$J$5+[28]FormattedData!O46^2*$J$6+$M$5*$J$7</f>
        <v>40.610338597033227</v>
      </c>
      <c r="W49" s="10">
        <f t="shared" si="9"/>
        <v>46.897652282274549</v>
      </c>
      <c r="X49" s="9">
        <f t="shared" si="10"/>
        <v>1.5073107664613981</v>
      </c>
      <c r="Y49" s="8">
        <f t="shared" si="11"/>
        <v>40.610338597033227</v>
      </c>
      <c r="Z49" s="7">
        <f t="shared" si="12"/>
        <v>43.070206617800821</v>
      </c>
      <c r="AA49" s="8">
        <f t="shared" si="13"/>
        <v>45.677566178385888</v>
      </c>
      <c r="AB49" s="7">
        <f t="shared" si="14"/>
        <v>51.65387361564644</v>
      </c>
      <c r="AC49" s="7">
        <f t="shared" si="15"/>
        <v>54.879835139126406</v>
      </c>
      <c r="AD49" s="7">
        <f t="shared" si="16"/>
        <v>0.35362693160610592</v>
      </c>
      <c r="AE49" s="7">
        <f t="shared" si="17"/>
        <v>-1.4725683157490868</v>
      </c>
    </row>
    <row r="50" spans="2:31" ht="13.5" thickTop="1" x14ac:dyDescent="0.2">
      <c r="B50" s="1">
        <f>[28]FormattedData!A29</f>
        <v>101</v>
      </c>
      <c r="C50" s="1" t="str">
        <f>VLOOKUP($B50,[28]TrtCodes!$B$11:I72,2)</f>
        <v>FSH</v>
      </c>
      <c r="D50" s="1">
        <f>VLOOKUP($B50,[28]TrtCodes!$B$11:J72,3)</f>
        <v>1</v>
      </c>
      <c r="E50" s="1">
        <f>VLOOKUP($B50,[28]TrtCodes!$B$11:K72,4)</f>
        <v>1</v>
      </c>
      <c r="F50" s="1">
        <f>VLOOKUP($B50,[28]TrtCodes!$B$11:L72,5)</f>
        <v>1</v>
      </c>
      <c r="G50" s="1">
        <f>VLOOKUP($B50,[28]TrtCodes!$B$11:M72,6)</f>
        <v>2</v>
      </c>
      <c r="H50" s="1">
        <f>VLOOKUP($B50,[28]TrtCodes!$B$11:N72,7)</f>
        <v>1</v>
      </c>
      <c r="I50" s="1">
        <f>[28]FormattedData!B29</f>
        <v>2</v>
      </c>
      <c r="J50" s="4">
        <f>[28]FormattedData!C29</f>
        <v>13.002000000000001</v>
      </c>
      <c r="K50" s="6">
        <f>$J$3+[28]FormattedData!D29*$J$4+$M$4*$J$5+[28]FormattedData!D29^2*$J$6+$M$5*$J$7</f>
        <v>30.07513542620277</v>
      </c>
      <c r="L50" s="6">
        <f>$J$3+[28]FormattedData!E29*$J$4+$M$4*$J$5+[28]FormattedData!E29^2*$J$6+$M$5*$J$7</f>
        <v>29.58831884881398</v>
      </c>
      <c r="M50" s="6">
        <f>$J$3+[28]FormattedData!F29*$J$4+$M$4*$J$5+[28]FormattedData!F29^2*$J$6+$M$5*$J$7</f>
        <v>29.783172285383291</v>
      </c>
      <c r="N50" s="6">
        <f>$J$3+[28]FormattedData!G29*$J$4+$M$4*$J$5+[28]FormattedData!G29^2*$J$6+$M$5*$J$7</f>
        <v>29.977856647800877</v>
      </c>
      <c r="O50" s="6">
        <f>$J$3+[28]FormattedData!H29*$J$4+$M$4*$J$5+[28]FormattedData!H29^2*$J$6+$M$5*$J$7</f>
        <v>32.877833185857703</v>
      </c>
      <c r="P50" s="6">
        <f>$J$3+[28]FormattedData!I29*$J$4+$M$4*$J$5+[28]FormattedData!I29^2*$J$6+$M$5*$J$7</f>
        <v>31.335913108475687</v>
      </c>
      <c r="Q50" s="6">
        <f>$J$3+[28]FormattedData!J29*$J$4+$M$4*$J$5+[28]FormattedData!J29^2*$J$6+$M$5*$J$7</f>
        <v>32.10822574038049</v>
      </c>
      <c r="R50" s="6">
        <f>$J$3+[28]FormattedData!K29*$J$4+$M$4*$J$5+[28]FormattedData!K29^2*$J$6+$M$5*$J$7</f>
        <v>31.529244877679474</v>
      </c>
      <c r="S50" s="6">
        <f>$J$3+[28]FormattedData!L29*$J$4+$M$4*$J$5+[28]FormattedData!L29^2*$J$6+$M$5*$J$7</f>
        <v>30.851843986052419</v>
      </c>
      <c r="T50" s="6">
        <f>$J$3+[28]FormattedData!M29*$J$4+$M$4*$J$5+[28]FormattedData!M29^2*$J$6+$M$5*$J$7</f>
        <v>31.529244877679474</v>
      </c>
      <c r="U50" s="6">
        <f>$J$3+[28]FormattedData!N29*$J$4+$M$4*$J$5+[28]FormattedData!N29^2*$J$6+$M$5*$J$7</f>
        <v>31.62584735947447</v>
      </c>
      <c r="V50" s="6">
        <f>$J$3+[28]FormattedData!O29*$J$4+$M$4*$J$5+[28]FormattedData!O29^2*$J$6+$M$5*$J$7</f>
        <v>30.560895290143282</v>
      </c>
      <c r="W50" s="5">
        <f t="shared" si="9"/>
        <v>30.986960969495328</v>
      </c>
      <c r="X50" s="4">
        <f t="shared" si="10"/>
        <v>0.29394820724130299</v>
      </c>
      <c r="Y50" s="3">
        <f t="shared" si="11"/>
        <v>29.58831884881398</v>
      </c>
      <c r="Z50" s="2">
        <f t="shared" si="12"/>
        <v>30.050815731602299</v>
      </c>
      <c r="AA50" s="3">
        <f t="shared" si="13"/>
        <v>31.093878547264055</v>
      </c>
      <c r="AB50" s="2">
        <f t="shared" si="14"/>
        <v>31.553395498128225</v>
      </c>
      <c r="AC50" s="2">
        <f t="shared" si="15"/>
        <v>32.877833185857703</v>
      </c>
      <c r="AD50" s="2">
        <f t="shared" si="16"/>
        <v>0.25279342097479202</v>
      </c>
      <c r="AE50" s="2">
        <f t="shared" si="17"/>
        <v>-0.74920851458448778</v>
      </c>
    </row>
    <row r="51" spans="2:31" x14ac:dyDescent="0.2">
      <c r="B51" s="1">
        <f>[28]FormattedData!A27</f>
        <v>102</v>
      </c>
      <c r="C51" s="1" t="str">
        <f>VLOOKUP($B51,[28]TrtCodes!$B$11:I70,2)</f>
        <v>FTL</v>
      </c>
      <c r="D51" s="1">
        <f>VLOOKUP($B51,[28]TrtCodes!$B$11:J70,3)</f>
        <v>4</v>
      </c>
      <c r="E51" s="1">
        <f>VLOOKUP($B51,[28]TrtCodes!$B$11:K70,4)</f>
        <v>1</v>
      </c>
      <c r="F51" s="1">
        <f>VLOOKUP($B51,[28]TrtCodes!$B$11:L70,5)</f>
        <v>2</v>
      </c>
      <c r="G51" s="1">
        <f>VLOOKUP($B51,[28]TrtCodes!$B$11:M70,6)</f>
        <v>1</v>
      </c>
      <c r="H51" s="1">
        <f>VLOOKUP($B51,[28]TrtCodes!$B$11:N70,7)</f>
        <v>1</v>
      </c>
      <c r="I51" s="1">
        <f>[28]FormattedData!B27</f>
        <v>2</v>
      </c>
      <c r="J51" s="4">
        <f>[28]FormattedData!C27</f>
        <v>12.987</v>
      </c>
      <c r="K51" s="6">
        <f>$J$3+[28]FormattedData!D27*$J$4+$M$4*$J$5+[28]FormattedData!D27^2*$J$6+$M$5*$J$7</f>
        <v>34.122675629330573</v>
      </c>
      <c r="L51" s="6">
        <f>$J$3+[28]FormattedData!E27*$J$4+$M$4*$J$5+[28]FormattedData!E27^2*$J$6+$M$5*$J$7</f>
        <v>35.265420681077401</v>
      </c>
      <c r="M51" s="6">
        <f>$J$3+[28]FormattedData!F27*$J$4+$M$4*$J$5+[28]FormattedData!F27^2*$J$6+$M$5*$J$7</f>
        <v>33.357464111798201</v>
      </c>
      <c r="N51" s="6">
        <f>$J$3+[28]FormattedData!G27*$J$4+$M$4*$J$5+[28]FormattedData!G27^2*$J$6+$M$5*$J$7</f>
        <v>33.069812361847696</v>
      </c>
      <c r="O51" s="6">
        <f>$J$3+[28]FormattedData!H27*$J$4+$M$4*$J$5+[28]FormattedData!H27^2*$J$6+$M$5*$J$7</f>
        <v>32.685684935715983</v>
      </c>
      <c r="P51" s="6">
        <f>$J$3+[28]FormattedData!I27*$J$4+$M$4*$J$5+[28]FormattedData!I27^2*$J$6+$M$5*$J$7</f>
        <v>32.781780195055809</v>
      </c>
      <c r="Q51" s="6">
        <f>$J$3+[28]FormattedData!J27*$J$4+$M$4*$J$5+[28]FormattedData!J27^2*$J$6+$M$5*$J$7</f>
        <v>33.740408018867832</v>
      </c>
      <c r="R51" s="6">
        <f>$J$3+[28]FormattedData!K27*$J$4+$M$4*$J$5+[28]FormattedData!K27^2*$J$6+$M$5*$J$7</f>
        <v>31.722407572731534</v>
      </c>
      <c r="S51" s="6">
        <f>$J$3+[28]FormattedData!L27*$J$4+$M$4*$J$5+[28]FormattedData!L27^2*$J$6+$M$5*$J$7</f>
        <v>32.011834601275147</v>
      </c>
      <c r="T51" s="6">
        <f>$J$3+[28]FormattedData!M27*$J$4+$M$4*$J$5+[28]FormattedData!M27^2*$J$6+$M$5*$J$7</f>
        <v>32.397145546468934</v>
      </c>
      <c r="U51" s="6">
        <f>$J$3+[28]FormattedData!N27*$J$4+$M$4*$J$5+[28]FormattedData!N27^2*$J$6+$M$5*$J$7</f>
        <v>32.685684935715983</v>
      </c>
      <c r="V51" s="6">
        <f>$J$3+[28]FormattedData!O27*$J$4+$M$4*$J$5+[28]FormattedData!O27^2*$J$6+$M$5*$J$7</f>
        <v>29.490828727722434</v>
      </c>
      <c r="W51" s="5">
        <f t="shared" si="9"/>
        <v>32.777595609800628</v>
      </c>
      <c r="X51" s="4">
        <f t="shared" si="10"/>
        <v>0.40835463315560416</v>
      </c>
      <c r="Y51" s="3">
        <f t="shared" si="11"/>
        <v>29.490828727722434</v>
      </c>
      <c r="Z51" s="2">
        <f t="shared" si="12"/>
        <v>32.300817810170486</v>
      </c>
      <c r="AA51" s="3">
        <f t="shared" si="13"/>
        <v>32.733732565385893</v>
      </c>
      <c r="AB51" s="2">
        <f t="shared" si="14"/>
        <v>33.453200088565609</v>
      </c>
      <c r="AC51" s="2">
        <f t="shared" si="15"/>
        <v>35.265420681077401</v>
      </c>
      <c r="AD51" s="2">
        <f t="shared" si="16"/>
        <v>-0.70307541637314763</v>
      </c>
      <c r="AE51" s="2">
        <f t="shared" si="17"/>
        <v>2.2972168937773523</v>
      </c>
    </row>
    <row r="52" spans="2:31" x14ac:dyDescent="0.2">
      <c r="B52" s="1">
        <f>[28]FormattedData!A25</f>
        <v>103</v>
      </c>
      <c r="C52" s="1" t="str">
        <f>VLOOKUP($B52,[28]TrtCodes!$B$11:I68,2)</f>
        <v>FDH</v>
      </c>
      <c r="D52" s="1">
        <f>VLOOKUP($B52,[28]TrtCodes!$B$11:J68,3)</f>
        <v>5</v>
      </c>
      <c r="E52" s="1">
        <f>VLOOKUP($B52,[28]TrtCodes!$B$11:K68,4)</f>
        <v>1</v>
      </c>
      <c r="F52" s="1">
        <f>VLOOKUP($B52,[28]TrtCodes!$B$11:L68,5)</f>
        <v>3</v>
      </c>
      <c r="G52" s="1">
        <f>VLOOKUP($B52,[28]TrtCodes!$B$11:M68,6)</f>
        <v>2</v>
      </c>
      <c r="H52" s="1">
        <f>VLOOKUP($B52,[28]TrtCodes!$B$11:N68,7)</f>
        <v>1</v>
      </c>
      <c r="I52" s="1">
        <f>[28]FormattedData!B25</f>
        <v>2</v>
      </c>
      <c r="J52" s="4">
        <f>[28]FormattedData!C25</f>
        <v>12.973000000000001</v>
      </c>
      <c r="K52" s="6">
        <f>$J$3+[28]FormattedData!D25*$J$4+$M$4*$J$5+[28]FormattedData!D25^2*$J$6+$M$5*$J$7</f>
        <v>33.165738547035794</v>
      </c>
      <c r="L52" s="6">
        <f>$J$3+[28]FormattedData!E25*$J$4+$M$4*$J$5+[28]FormattedData!E25^2*$J$6+$M$5*$J$7</f>
        <v>33.165738547035794</v>
      </c>
      <c r="M52" s="6">
        <f>$J$3+[28]FormattedData!F25*$J$4+$M$4*$J$5+[28]FormattedData!F25^2*$J$6+$M$5*$J$7</f>
        <v>32.10822574038049</v>
      </c>
      <c r="N52" s="6">
        <f>$J$3+[28]FormattedData!G25*$J$4+$M$4*$J$5+[28]FormattedData!G25^2*$J$6+$M$5*$J$7</f>
        <v>32.397145546468934</v>
      </c>
      <c r="O52" s="6">
        <f>$J$3+[28]FormattedData!H25*$J$4+$M$4*$J$5+[28]FormattedData!H25^2*$J$6+$M$5*$J$7</f>
        <v>32.10822574038049</v>
      </c>
      <c r="P52" s="6">
        <f>$J$3+[28]FormattedData!I25*$J$4+$M$4*$J$5+[28]FormattedData!I25^2*$J$6+$M$5*$J$7</f>
        <v>29.685766701367605</v>
      </c>
      <c r="Q52" s="6">
        <f>$J$3+[28]FormattedData!J25*$J$4+$M$4*$J$5+[28]FormattedData!J25^2*$J$6+$M$5*$J$7</f>
        <v>32.781780195055809</v>
      </c>
      <c r="R52" s="6">
        <f>$J$3+[28]FormattedData!K25*$J$4+$M$4*$J$5+[28]FormattedData!K25^2*$J$6+$M$5*$J$7</f>
        <v>32.685684935715983</v>
      </c>
      <c r="S52" s="6">
        <f>$J$3+[28]FormattedData!L25*$J$4+$M$4*$J$5+[28]FormattedData!L25^2*$J$6+$M$5*$J$7</f>
        <v>31.722407572731534</v>
      </c>
      <c r="T52" s="6">
        <f>$J$3+[28]FormattedData!M25*$J$4+$M$4*$J$5+[28]FormattedData!M25^2*$J$6+$M$5*$J$7</f>
        <v>33.836038324290421</v>
      </c>
      <c r="U52" s="6">
        <f>$J$3+[28]FormattedData!N25*$J$4+$M$4*$J$5+[28]FormattedData!N25^2*$J$6+$M$5*$J$7</f>
        <v>36.02386923254079</v>
      </c>
      <c r="V52" s="6">
        <f>$J$3+[28]FormattedData!O25*$J$4+$M$4*$J$5+[28]FormattedData!O25^2*$J$6+$M$5*$J$7</f>
        <v>33.069812361847696</v>
      </c>
      <c r="W52" s="5">
        <f t="shared" si="9"/>
        <v>32.729202787070946</v>
      </c>
      <c r="X52" s="4">
        <f t="shared" si="10"/>
        <v>0.42407956219918208</v>
      </c>
      <c r="Y52" s="3">
        <f t="shared" si="11"/>
        <v>29.685766701367605</v>
      </c>
      <c r="Z52" s="2">
        <f t="shared" si="12"/>
        <v>32.10822574038049</v>
      </c>
      <c r="AA52" s="3">
        <f t="shared" si="13"/>
        <v>32.733732565385893</v>
      </c>
      <c r="AB52" s="2">
        <f t="shared" si="14"/>
        <v>33.165738547035794</v>
      </c>
      <c r="AC52" s="2">
        <f t="shared" si="15"/>
        <v>36.02386923254079</v>
      </c>
      <c r="AD52" s="2">
        <f t="shared" si="16"/>
        <v>0.26147792757087446</v>
      </c>
      <c r="AE52" s="2">
        <f t="shared" si="17"/>
        <v>2.9546619092677915</v>
      </c>
    </row>
    <row r="53" spans="2:31" x14ac:dyDescent="0.2">
      <c r="B53" s="1">
        <f>[28]FormattedData!A23</f>
        <v>104</v>
      </c>
      <c r="C53" s="1" t="str">
        <f>VLOOKUP($B53,[28]TrtCodes!$B$11:I66,2)</f>
        <v>NTL</v>
      </c>
      <c r="D53" s="1">
        <f>VLOOKUP($B53,[28]TrtCodes!$B$11:J66,3)</f>
        <v>10</v>
      </c>
      <c r="E53" s="1">
        <f>VLOOKUP($B53,[28]TrtCodes!$B$11:K66,4)</f>
        <v>2</v>
      </c>
      <c r="F53" s="1">
        <f>VLOOKUP($B53,[28]TrtCodes!$B$11:L66,5)</f>
        <v>2</v>
      </c>
      <c r="G53" s="1">
        <f>VLOOKUP($B53,[28]TrtCodes!$B$11:M66,6)</f>
        <v>1</v>
      </c>
      <c r="H53" s="1">
        <f>VLOOKUP($B53,[28]TrtCodes!$B$11:N66,7)</f>
        <v>1</v>
      </c>
      <c r="I53" s="1">
        <f>[28]FormattedData!B23</f>
        <v>2</v>
      </c>
      <c r="J53" s="4">
        <f>[28]FormattedData!C23</f>
        <v>12.957000000000001</v>
      </c>
      <c r="K53" s="6">
        <f>$J$3+[28]FormattedData!D23*$J$4+$M$4*$J$5+[28]FormattedData!D23^2*$J$6+$M$5*$J$7</f>
        <v>35.265420681077401</v>
      </c>
      <c r="L53" s="6">
        <f>$J$3+[28]FormattedData!E23*$J$4+$M$4*$J$5+[28]FormattedData!E23^2*$J$6+$M$5*$J$7</f>
        <v>30.754903355953971</v>
      </c>
      <c r="M53" s="6">
        <f>$J$3+[28]FormattedData!F23*$J$4+$M$4*$J$5+[28]FormattedData!F23^2*$J$6+$M$5*$J$7</f>
        <v>30.948742347612932</v>
      </c>
      <c r="N53" s="6">
        <f>$J$3+[28]FormattedData!G23*$J$4+$M$4*$J$5+[28]FormattedData!G23^2*$J$6+$M$5*$J$7</f>
        <v>30.851843986052419</v>
      </c>
      <c r="O53" s="6">
        <f>$J$3+[28]FormattedData!H23*$J$4+$M$4*$J$5+[28]FormattedData!H23^2*$J$6+$M$5*$J$7</f>
        <v>33.644735444907326</v>
      </c>
      <c r="P53" s="6">
        <f>$J$3+[28]FormattedData!I23*$J$4+$M$4*$J$5+[28]FormattedData!I23^2*$J$6+$M$5*$J$7</f>
        <v>29.880535600861055</v>
      </c>
      <c r="Q53" s="6">
        <f>$J$3+[28]FormattedData!J23*$J$4+$M$4*$J$5+[28]FormattedData!J23^2*$J$6+$M$5*$J$7</f>
        <v>29.783172285383291</v>
      </c>
      <c r="R53" s="6">
        <f>$J$3+[28]FormattedData!K23*$J$4+$M$4*$J$5+[28]FormattedData!K23^2*$J$6+$M$5*$J$7</f>
        <v>31.529244877679474</v>
      </c>
      <c r="S53" s="6">
        <f>$J$3+[28]FormattedData!L23*$J$4+$M$4*$J$5+[28]FormattedData!L23^2*$J$6+$M$5*$J$7</f>
        <v>31.62584735947447</v>
      </c>
      <c r="T53" s="6">
        <f>$J$3+[28]FormattedData!M23*$J$4+$M$4*$J$5+[28]FormattedData!M23^2*$J$6+$M$5*$J$7</f>
        <v>35.170424403723779</v>
      </c>
      <c r="U53" s="6">
        <f>$J$3+[28]FormattedData!N23*$J$4+$M$4*$J$5+[28]FormattedData!N23^2*$J$6+$M$5*$J$7</f>
        <v>30.754903355953971</v>
      </c>
      <c r="V53" s="6">
        <f>$J$3+[28]FormattedData!O23*$J$4+$M$4*$J$5+[28]FormattedData!O23^2*$J$6+$M$5*$J$7</f>
        <v>29.490828727722434</v>
      </c>
      <c r="W53" s="5">
        <f t="shared" si="9"/>
        <v>31.641716868866876</v>
      </c>
      <c r="X53" s="4">
        <f t="shared" si="10"/>
        <v>0.57384434515821015</v>
      </c>
      <c r="Y53" s="3">
        <f t="shared" si="11"/>
        <v>29.490828727722434</v>
      </c>
      <c r="Z53" s="2">
        <f t="shared" si="12"/>
        <v>30.536311417180741</v>
      </c>
      <c r="AA53" s="3">
        <f t="shared" si="13"/>
        <v>30.900293166832675</v>
      </c>
      <c r="AB53" s="2">
        <f t="shared" si="14"/>
        <v>32.130569380832682</v>
      </c>
      <c r="AC53" s="2">
        <f t="shared" si="15"/>
        <v>35.265420681077401</v>
      </c>
      <c r="AD53" s="2">
        <f t="shared" si="16"/>
        <v>1.0485807145279598</v>
      </c>
      <c r="AE53" s="2">
        <f t="shared" si="17"/>
        <v>-0.11399448308514115</v>
      </c>
    </row>
    <row r="54" spans="2:31" x14ac:dyDescent="0.2">
      <c r="B54" s="1">
        <f>[28]FormattedData!A21</f>
        <v>105</v>
      </c>
      <c r="C54" s="1" t="str">
        <f>VLOOKUP($B54,[28]TrtCodes!$B$11:I64,2)</f>
        <v>NDL</v>
      </c>
      <c r="D54" s="1">
        <f>VLOOKUP($B54,[28]TrtCodes!$B$11:J64,3)</f>
        <v>12</v>
      </c>
      <c r="E54" s="1">
        <f>VLOOKUP($B54,[28]TrtCodes!$B$11:K64,4)</f>
        <v>2</v>
      </c>
      <c r="F54" s="1">
        <f>VLOOKUP($B54,[28]TrtCodes!$B$11:L64,5)</f>
        <v>3</v>
      </c>
      <c r="G54" s="1">
        <f>VLOOKUP($B54,[28]TrtCodes!$B$11:M64,6)</f>
        <v>1</v>
      </c>
      <c r="H54" s="1">
        <f>VLOOKUP($B54,[28]TrtCodes!$B$11:N64,7)</f>
        <v>2</v>
      </c>
      <c r="I54" s="1">
        <f>[28]FormattedData!B21</f>
        <v>2</v>
      </c>
      <c r="J54" s="4">
        <f>[28]FormattedData!C21</f>
        <v>12.942</v>
      </c>
      <c r="K54" s="6">
        <f>$J$3+[28]FormattedData!D21*$J$4+$M$4*$J$5+[28]FormattedData!D21^2*$J$6+$M$5*$J$7</f>
        <v>32.493367611422549</v>
      </c>
      <c r="L54" s="6">
        <f>$J$3+[28]FormattedData!E21*$J$4+$M$4*$J$5+[28]FormattedData!E21^2*$J$6+$M$5*$J$7</f>
        <v>32.493367611422549</v>
      </c>
      <c r="M54" s="6">
        <f>$J$3+[28]FormattedData!F21*$J$4+$M$4*$J$5+[28]FormattedData!F21^2*$J$6+$M$5*$J$7</f>
        <v>30.463827854431045</v>
      </c>
      <c r="N54" s="6">
        <f>$J$3+[28]FormattedData!G21*$J$4+$M$4*$J$5+[28]FormattedData!G21^2*$J$6+$M$5*$J$7</f>
        <v>32.877833185857703</v>
      </c>
      <c r="O54" s="6">
        <f>$J$3+[28]FormattedData!H21*$J$4+$M$4*$J$5+[28]FormattedData!H21^2*$J$6+$M$5*$J$7</f>
        <v>32.204574610947894</v>
      </c>
      <c r="P54" s="6">
        <f>$J$3+[28]FormattedData!I21*$J$4+$M$4*$J$5+[28]FormattedData!I21^2*$J$6+$M$5*$J$7</f>
        <v>35.170424403723779</v>
      </c>
      <c r="Q54" s="6">
        <f>$J$3+[28]FormattedData!J21*$J$4+$M$4*$J$5+[28]FormattedData!J21^2*$J$6+$M$5*$J$7</f>
        <v>31.045598440635512</v>
      </c>
      <c r="R54" s="6">
        <f>$J$3+[28]FormattedData!K21*$J$4+$M$4*$J$5+[28]FormattedData!K21^2*$J$6+$M$5*$J$7</f>
        <v>32.781780195055809</v>
      </c>
      <c r="S54" s="6">
        <f>$J$3+[28]FormattedData!L21*$J$4+$M$4*$J$5+[28]FormattedData!L21^2*$J$6+$M$5*$J$7</f>
        <v>34.02717212952178</v>
      </c>
      <c r="T54" s="6">
        <f>$J$3+[28]FormattedData!M21*$J$4+$M$4*$J$5+[28]FormattedData!M21^2*$J$6+$M$5*$J$7</f>
        <v>34.504266943186408</v>
      </c>
      <c r="U54" s="6">
        <f>$J$3+[28]FormattedData!N21*$J$4+$M$4*$J$5+[28]FormattedData!N21^2*$J$6+$M$5*$J$7</f>
        <v>33.740408018867832</v>
      </c>
      <c r="V54" s="6">
        <f>$J$3+[28]FormattedData!O21*$J$4+$M$4*$J$5+[28]FormattedData!O21^2*$J$6+$M$5*$J$7</f>
        <v>33.93162636117507</v>
      </c>
      <c r="W54" s="5">
        <f t="shared" si="9"/>
        <v>32.97785394718732</v>
      </c>
      <c r="X54" s="4">
        <f t="shared" si="10"/>
        <v>0.39790496406559062</v>
      </c>
      <c r="Y54" s="3">
        <f t="shared" si="11"/>
        <v>30.463827854431045</v>
      </c>
      <c r="Z54" s="2">
        <f t="shared" si="12"/>
        <v>32.421169361303882</v>
      </c>
      <c r="AA54" s="3">
        <f t="shared" si="13"/>
        <v>32.829806690456756</v>
      </c>
      <c r="AB54" s="2">
        <f t="shared" si="14"/>
        <v>33.955512803261747</v>
      </c>
      <c r="AC54" s="2">
        <f t="shared" si="15"/>
        <v>35.170424403723779</v>
      </c>
      <c r="AD54" s="2">
        <f t="shared" si="16"/>
        <v>-0.30153944690288326</v>
      </c>
      <c r="AE54" s="2">
        <f t="shared" si="17"/>
        <v>-0.31094686045193631</v>
      </c>
    </row>
    <row r="55" spans="2:31" x14ac:dyDescent="0.2">
      <c r="B55" s="1">
        <f>[28]FormattedData!A19</f>
        <v>106</v>
      </c>
      <c r="C55" s="1" t="str">
        <f>VLOOKUP($B55,[28]TrtCodes!$B$11:I62,2)</f>
        <v>NTH</v>
      </c>
      <c r="D55" s="1">
        <f>VLOOKUP($B55,[28]TrtCodes!$B$11:J62,3)</f>
        <v>9</v>
      </c>
      <c r="E55" s="1">
        <f>VLOOKUP($B55,[28]TrtCodes!$B$11:K62,4)</f>
        <v>2</v>
      </c>
      <c r="F55" s="1">
        <f>VLOOKUP($B55,[28]TrtCodes!$B$11:L62,5)</f>
        <v>2</v>
      </c>
      <c r="G55" s="1">
        <f>VLOOKUP($B55,[28]TrtCodes!$B$11:M62,6)</f>
        <v>2</v>
      </c>
      <c r="H55" s="1">
        <f>VLOOKUP($B55,[28]TrtCodes!$B$11:N62,7)</f>
        <v>2</v>
      </c>
      <c r="I55" s="1">
        <f>[28]FormattedData!B19</f>
        <v>2</v>
      </c>
      <c r="J55" s="4">
        <f>[28]FormattedData!C19</f>
        <v>12.927</v>
      </c>
      <c r="K55" s="6">
        <f>$J$3+[28]FormattedData!D19*$J$4+$M$4*$J$5+[28]FormattedData!D19^2*$J$6+$M$5*$J$7</f>
        <v>35.929211103490616</v>
      </c>
      <c r="L55" s="6">
        <f>$J$3+[28]FormattedData!E19*$J$4+$M$4*$J$5+[28]FormattedData!E19^2*$J$6+$M$5*$J$7</f>
        <v>32.781780195055809</v>
      </c>
      <c r="M55" s="6">
        <f>$J$3+[28]FormattedData!F19*$J$4+$M$4*$J$5+[28]FormattedData!F19^2*$J$6+$M$5*$J$7</f>
        <v>33.069812361847696</v>
      </c>
      <c r="N55" s="6">
        <f>$J$3+[28]FormattedData!G19*$J$4+$M$4*$J$5+[28]FormattedData!G19^2*$J$6+$M$5*$J$7</f>
        <v>32.204574610947894</v>
      </c>
      <c r="O55" s="6">
        <f>$J$3+[28]FormattedData!H19*$J$4+$M$4*$J$5+[28]FormattedData!H19^2*$J$6+$M$5*$J$7</f>
        <v>30.657920457317594</v>
      </c>
      <c r="P55" s="6">
        <f>$J$3+[28]FormattedData!I19*$J$4+$M$4*$J$5+[28]FormattedData!I19^2*$J$6+$M$5*$J$7</f>
        <v>32.397145546468934</v>
      </c>
      <c r="Q55" s="6">
        <f>$J$3+[28]FormattedData!J19*$J$4+$M$4*$J$5+[28]FormattedData!J19^2*$J$6+$M$5*$J$7</f>
        <v>33.26162246368596</v>
      </c>
      <c r="R55" s="6">
        <f>$J$3+[28]FormattedData!K19*$J$4+$M$4*$J$5+[28]FormattedData!K19^2*$J$6+$M$5*$J$7</f>
        <v>33.357464111798201</v>
      </c>
      <c r="S55" s="6">
        <f>$J$3+[28]FormattedData!L19*$J$4+$M$4*$J$5+[28]FormattedData!L19^2*$J$6+$M$5*$J$7</f>
        <v>34.504266943186408</v>
      </c>
      <c r="T55" s="6">
        <f>$J$3+[28]FormattedData!M19*$J$4+$M$4*$J$5+[28]FormattedData!M19^2*$J$6+$M$5*$J$7</f>
        <v>35.075385857832238</v>
      </c>
      <c r="U55" s="6">
        <f>$J$3+[28]FormattedData!N19*$J$4+$M$4*$J$5+[28]FormattedData!N19^2*$J$6+$M$5*$J$7</f>
        <v>34.885181960435361</v>
      </c>
      <c r="V55" s="6">
        <f>$J$3+[28]FormattedData!O19*$J$4+$M$4*$J$5+[28]FormattedData!O19^2*$J$6+$M$5*$J$7</f>
        <v>34.02717212952178</v>
      </c>
      <c r="W55" s="5">
        <f t="shared" si="9"/>
        <v>33.512628145132375</v>
      </c>
      <c r="X55" s="4">
        <f t="shared" si="10"/>
        <v>0.42046202571756885</v>
      </c>
      <c r="Y55" s="3">
        <f t="shared" si="11"/>
        <v>30.657920457317594</v>
      </c>
      <c r="Z55" s="2">
        <f t="shared" si="12"/>
        <v>32.685621532909089</v>
      </c>
      <c r="AA55" s="3">
        <f t="shared" si="13"/>
        <v>33.309543287742081</v>
      </c>
      <c r="AB55" s="2">
        <f t="shared" si="14"/>
        <v>34.599495697498647</v>
      </c>
      <c r="AC55" s="2">
        <f t="shared" si="15"/>
        <v>35.929211103490616</v>
      </c>
      <c r="AD55" s="2">
        <f t="shared" si="16"/>
        <v>-0.20337904229657736</v>
      </c>
      <c r="AE55" s="2">
        <f t="shared" si="17"/>
        <v>2.3562199579552967E-2</v>
      </c>
    </row>
    <row r="56" spans="2:31" x14ac:dyDescent="0.2">
      <c r="B56" s="1">
        <f>[28]FormattedData!A17</f>
        <v>107</v>
      </c>
      <c r="C56" s="1" t="str">
        <f>VLOOKUP($B56,[28]TrtCodes!$B$11:I60,2)</f>
        <v>NTL</v>
      </c>
      <c r="D56" s="1">
        <f>VLOOKUP($B56,[28]TrtCodes!$B$11:J60,3)</f>
        <v>10</v>
      </c>
      <c r="E56" s="1">
        <f>VLOOKUP($B56,[28]TrtCodes!$B$11:K60,4)</f>
        <v>2</v>
      </c>
      <c r="F56" s="1">
        <f>VLOOKUP($B56,[28]TrtCodes!$B$11:L60,5)</f>
        <v>2</v>
      </c>
      <c r="G56" s="1">
        <f>VLOOKUP($B56,[28]TrtCodes!$B$11:M60,6)</f>
        <v>1</v>
      </c>
      <c r="H56" s="1">
        <f>VLOOKUP($B56,[28]TrtCodes!$B$11:N60,7)</f>
        <v>2</v>
      </c>
      <c r="I56" s="1">
        <f>[28]FormattedData!B17</f>
        <v>2</v>
      </c>
      <c r="J56" s="4">
        <f>[28]FormattedData!C17</f>
        <v>12.91</v>
      </c>
      <c r="K56" s="6">
        <f>$J$3+[28]FormattedData!D17*$J$4+$M$4*$J$5+[28]FormattedData!D17^2*$J$6+$M$5*$J$7</f>
        <v>32.685684935715983</v>
      </c>
      <c r="L56" s="6">
        <f>$J$3+[28]FormattedData!E17*$J$4+$M$4*$J$5+[28]FormattedData!E17^2*$J$6+$M$5*$J$7</f>
        <v>32.973843908121665</v>
      </c>
      <c r="M56" s="6">
        <f>$J$3+[28]FormattedData!F17*$J$4+$M$4*$J$5+[28]FormattedData!F17^2*$J$6+$M$5*$J$7</f>
        <v>33.836038324290421</v>
      </c>
      <c r="N56" s="6">
        <f>$J$3+[28]FormattedData!G17*$J$4+$M$4*$J$5+[28]FormattedData!G17^2*$J$6+$M$5*$J$7</f>
        <v>34.504266943186408</v>
      </c>
      <c r="O56" s="6">
        <f>$J$3+[28]FormattedData!H17*$J$4+$M$4*$J$5+[28]FormattedData!H17^2*$J$6+$M$5*$J$7</f>
        <v>30.948742347612932</v>
      </c>
      <c r="P56" s="6">
        <f>$J$3+[28]FormattedData!I17*$J$4+$M$4*$J$5+[28]FormattedData!I17^2*$J$6+$M$5*$J$7</f>
        <v>35.45528643017083</v>
      </c>
      <c r="Q56" s="6">
        <f>$J$3+[28]FormattedData!J17*$J$4+$M$4*$J$5+[28]FormattedData!J17^2*$J$6+$M$5*$J$7</f>
        <v>36.307590008463698</v>
      </c>
      <c r="R56" s="6">
        <f>$J$3+[28]FormattedData!K17*$J$4+$M$4*$J$5+[28]FormattedData!K17^2*$J$6+$M$5*$J$7</f>
        <v>31.818925517450673</v>
      </c>
      <c r="S56" s="6">
        <f>$J$3+[28]FormattedData!L17*$J$4+$M$4*$J$5+[28]FormattedData!L17^2*$J$6+$M$5*$J$7</f>
        <v>31.142412265120171</v>
      </c>
      <c r="T56" s="6">
        <f>$J$3+[28]FormattedData!M17*$J$4+$M$4*$J$5+[28]FormattedData!M17^2*$J$6+$M$5*$J$7</f>
        <v>38.095654131547846</v>
      </c>
      <c r="U56" s="6">
        <f>$J$3+[28]FormattedData!N17*$J$4+$M$4*$J$5+[28]FormattedData!N17^2*$J$6+$M$5*$J$7</f>
        <v>31.239183821066888</v>
      </c>
      <c r="V56" s="6">
        <f>$J$3+[28]FormattedData!O17*$J$4+$M$4*$J$5+[28]FormattedData!O17^2*$J$6+$M$5*$J$7</f>
        <v>32.685684935715983</v>
      </c>
      <c r="W56" s="5">
        <f t="shared" si="9"/>
        <v>33.474442797371964</v>
      </c>
      <c r="X56" s="4">
        <f t="shared" si="10"/>
        <v>0.64869843116070225</v>
      </c>
      <c r="Y56" s="3">
        <f t="shared" si="11"/>
        <v>30.948742347612932</v>
      </c>
      <c r="Z56" s="2">
        <f t="shared" si="12"/>
        <v>31.673990093354725</v>
      </c>
      <c r="AA56" s="3">
        <f t="shared" si="13"/>
        <v>32.829764421918824</v>
      </c>
      <c r="AB56" s="2">
        <f t="shared" si="14"/>
        <v>34.742021814932514</v>
      </c>
      <c r="AC56" s="2">
        <f t="shared" si="15"/>
        <v>38.095654131547846</v>
      </c>
      <c r="AD56" s="2">
        <f t="shared" si="16"/>
        <v>0.8146089243783512</v>
      </c>
      <c r="AE56" s="2">
        <f t="shared" si="17"/>
        <v>-7.4668786151151689E-2</v>
      </c>
    </row>
    <row r="57" spans="2:31" x14ac:dyDescent="0.2">
      <c r="B57" s="1">
        <f>[28]FormattedData!A15</f>
        <v>108</v>
      </c>
      <c r="C57" s="1" t="str">
        <f>VLOOKUP($B57,[28]TrtCodes!$B$11:I58,2)</f>
        <v>FTH</v>
      </c>
      <c r="D57" s="1">
        <f>VLOOKUP($B57,[28]TrtCodes!$B$11:J58,3)</f>
        <v>3</v>
      </c>
      <c r="E57" s="1">
        <f>VLOOKUP($B57,[28]TrtCodes!$B$11:K58,4)</f>
        <v>1</v>
      </c>
      <c r="F57" s="1">
        <f>VLOOKUP($B57,[28]TrtCodes!$B$11:L58,5)</f>
        <v>2</v>
      </c>
      <c r="G57" s="1">
        <f>VLOOKUP($B57,[28]TrtCodes!$B$11:M58,6)</f>
        <v>2</v>
      </c>
      <c r="H57" s="1">
        <f>VLOOKUP($B57,[28]TrtCodes!$B$11:N58,7)</f>
        <v>2</v>
      </c>
      <c r="I57" s="1">
        <f>[28]FormattedData!B15</f>
        <v>2</v>
      </c>
      <c r="J57" s="4">
        <f>[28]FormattedData!C15</f>
        <v>12.897</v>
      </c>
      <c r="K57" s="6">
        <f>$J$3+[28]FormattedData!D15*$J$4+$M$4*$J$5+[28]FormattedData!D15^2*$J$6+$M$5*$J$7</f>
        <v>33.93162636117507</v>
      </c>
      <c r="L57" s="6">
        <f>$J$3+[28]FormattedData!E15*$J$4+$M$4*$J$5+[28]FormattedData!E15^2*$J$6+$M$5*$J$7</f>
        <v>33.357464111798201</v>
      </c>
      <c r="M57" s="6">
        <f>$J$3+[28]FormattedData!F15*$J$4+$M$4*$J$5+[28]FormattedData!F15^2*$J$6+$M$5*$J$7</f>
        <v>34.218136860601426</v>
      </c>
      <c r="N57" s="6">
        <f>$J$3+[28]FormattedData!G15*$J$4+$M$4*$J$5+[28]FormattedData!G15^2*$J$6+$M$5*$J$7</f>
        <v>34.980305043402758</v>
      </c>
      <c r="O57" s="6">
        <f>$J$3+[28]FormattedData!H15*$J$4+$M$4*$J$5+[28]FormattedData!H15^2*$J$6+$M$5*$J$7</f>
        <v>34.885181960435361</v>
      </c>
      <c r="P57" s="6">
        <f>$J$3+[28]FormattedData!I15*$J$4+$M$4*$J$5+[28]FormattedData!I15^2*$J$6+$M$5*$J$7</f>
        <v>36.213058685027327</v>
      </c>
      <c r="Q57" s="6">
        <f>$J$3+[28]FormattedData!J15*$J$4+$M$4*$J$5+[28]FormattedData!J15^2*$J$6+$M$5*$J$7</f>
        <v>36.590930367545226</v>
      </c>
      <c r="R57" s="6">
        <f>$J$3+[28]FormattedData!K15*$J$4+$M$4*$J$5+[28]FormattedData!K15^2*$J$6+$M$5*$J$7</f>
        <v>34.885181960435361</v>
      </c>
      <c r="S57" s="6">
        <f>$J$3+[28]FormattedData!L15*$J$4+$M$4*$J$5+[28]FormattedData!L15^2*$J$6+$M$5*$J$7</f>
        <v>34.980305043402758</v>
      </c>
      <c r="T57" s="6">
        <f>$J$3+[28]FormattedData!M15*$J$4+$M$4*$J$5+[28]FormattedData!M15^2*$J$6+$M$5*$J$7</f>
        <v>35.075385857832238</v>
      </c>
      <c r="U57" s="6">
        <f>$J$3+[28]FormattedData!N15*$J$4+$M$4*$J$5+[28]FormattedData!N15^2*$J$6+$M$5*$J$7</f>
        <v>36.118485093053025</v>
      </c>
      <c r="V57" s="6">
        <f>$J$3+[28]FormattedData!O15*$J$4+$M$4*$J$5+[28]FormattedData!O15^2*$J$6+$M$5*$J$7</f>
        <v>36.40207906336213</v>
      </c>
      <c r="W57" s="5">
        <f t="shared" si="9"/>
        <v>35.136511700672578</v>
      </c>
      <c r="X57" s="4">
        <f t="shared" si="10"/>
        <v>0.29489676670185788</v>
      </c>
      <c r="Y57" s="3">
        <f t="shared" si="11"/>
        <v>33.357464111798201</v>
      </c>
      <c r="Z57" s="2">
        <f t="shared" si="12"/>
        <v>34.718420685476879</v>
      </c>
      <c r="AA57" s="3">
        <f t="shared" si="13"/>
        <v>34.980305043402758</v>
      </c>
      <c r="AB57" s="2">
        <f t="shared" si="14"/>
        <v>36.142128491046599</v>
      </c>
      <c r="AC57" s="2">
        <f t="shared" si="15"/>
        <v>36.590930367545226</v>
      </c>
      <c r="AD57" s="2">
        <f t="shared" si="16"/>
        <v>-9.1680147571910162E-2</v>
      </c>
      <c r="AE57" s="2">
        <f t="shared" si="17"/>
        <v>-0.82718140877471047</v>
      </c>
    </row>
    <row r="58" spans="2:31" x14ac:dyDescent="0.2">
      <c r="B58" s="1">
        <f>[28]FormattedData!A31</f>
        <v>201</v>
      </c>
      <c r="C58" s="1" t="str">
        <f>VLOOKUP($B58,[28]TrtCodes!$B$11:I74,2)</f>
        <v>NDL</v>
      </c>
      <c r="D58" s="1">
        <f>VLOOKUP($B58,[28]TrtCodes!$B$11:J74,3)</f>
        <v>12</v>
      </c>
      <c r="E58" s="1">
        <f>VLOOKUP($B58,[28]TrtCodes!$B$11:K74,4)</f>
        <v>2</v>
      </c>
      <c r="F58" s="1">
        <f>VLOOKUP($B58,[28]TrtCodes!$B$11:L74,5)</f>
        <v>3</v>
      </c>
      <c r="G58" s="1">
        <f>VLOOKUP($B58,[28]TrtCodes!$B$11:M74,6)</f>
        <v>1</v>
      </c>
      <c r="H58" s="1">
        <f>VLOOKUP($B58,[28]TrtCodes!$B$11:N74,7)</f>
        <v>1</v>
      </c>
      <c r="I58" s="1">
        <f>[28]FormattedData!B31</f>
        <v>2</v>
      </c>
      <c r="J58" s="4">
        <f>[28]FormattedData!C31</f>
        <v>13.021000000000001</v>
      </c>
      <c r="K58" s="6">
        <f>$J$3+[28]FormattedData!D31*$J$4+$M$4*$J$5+[28]FormattedData!D31^2*$J$6+$M$5*$J$7</f>
        <v>31.722407572731534</v>
      </c>
      <c r="L58" s="6">
        <f>$J$3+[28]FormattedData!E31*$J$4+$M$4*$J$5+[28]FormattedData!E31^2*$J$6+$M$5*$J$7</f>
        <v>31.142412265120171</v>
      </c>
      <c r="M58" s="6">
        <f>$J$3+[28]FormattedData!F31*$J$4+$M$4*$J$5+[28]FormattedData!F31^2*$J$6+$M$5*$J$7</f>
        <v>30.366718150180876</v>
      </c>
      <c r="N58" s="6">
        <f>$J$3+[28]FormattedData!G31*$J$4+$M$4*$J$5+[28]FormattedData!G31^2*$J$6+$M$5*$J$7</f>
        <v>33.453263491372503</v>
      </c>
      <c r="O58" s="6">
        <f>$J$3+[28]FormattedData!H31*$J$4+$M$4*$J$5+[28]FormattedData!H31^2*$J$6+$M$5*$J$7</f>
        <v>29.880535600861055</v>
      </c>
      <c r="P58" s="6">
        <f>$J$3+[28]FormattedData!I31*$J$4+$M$4*$J$5+[28]FormattedData!I31^2*$J$6+$M$5*$J$7</f>
        <v>31.432600127346543</v>
      </c>
      <c r="Q58" s="6">
        <f>$J$3+[28]FormattedData!J31*$J$4+$M$4*$J$5+[28]FormattedData!J31^2*$J$6+$M$5*$J$7</f>
        <v>32.011834601275147</v>
      </c>
      <c r="R58" s="6">
        <f>$J$3+[28]FormattedData!K31*$J$4+$M$4*$J$5+[28]FormattedData!K31^2*$J$6+$M$5*$J$7</f>
        <v>30.560895290143282</v>
      </c>
      <c r="S58" s="6">
        <f>$J$3+[28]FormattedData!L31*$J$4+$M$4*$J$5+[28]FormattedData!L31^2*$J$6+$M$5*$J$7</f>
        <v>31.335913108475687</v>
      </c>
      <c r="T58" s="6">
        <f>$J$3+[28]FormattedData!M31*$J$4+$M$4*$J$5+[28]FormattedData!M31^2*$J$6+$M$5*$J$7</f>
        <v>32.10822574038049</v>
      </c>
      <c r="U58" s="6">
        <f>$J$3+[28]FormattedData!N31*$J$4+$M$4*$J$5+[28]FormattedData!N31^2*$J$6+$M$5*$J$7</f>
        <v>31.91540119363188</v>
      </c>
      <c r="V58" s="6">
        <f>$J$3+[28]FormattedData!O31*$J$4+$M$4*$J$5+[28]FormattedData!O31^2*$J$6+$M$5*$J$7</f>
        <v>31.529244877679474</v>
      </c>
      <c r="W58" s="5">
        <f t="shared" si="9"/>
        <v>31.454954334933223</v>
      </c>
      <c r="X58" s="4">
        <f t="shared" si="10"/>
        <v>0.2695946348564961</v>
      </c>
      <c r="Y58" s="3">
        <f t="shared" si="11"/>
        <v>29.880535600861055</v>
      </c>
      <c r="Z58" s="2">
        <f t="shared" si="12"/>
        <v>30.997033021375948</v>
      </c>
      <c r="AA58" s="3">
        <f t="shared" si="13"/>
        <v>31.48092250251301</v>
      </c>
      <c r="AB58" s="2">
        <f t="shared" si="14"/>
        <v>31.939509545542698</v>
      </c>
      <c r="AC58" s="2">
        <f t="shared" si="15"/>
        <v>33.453263491372503</v>
      </c>
      <c r="AD58" s="2">
        <f t="shared" si="16"/>
        <v>0.34957193713325851</v>
      </c>
      <c r="AE58" s="2">
        <f t="shared" si="17"/>
        <v>1.0355785464925402</v>
      </c>
    </row>
    <row r="59" spans="2:31" x14ac:dyDescent="0.2">
      <c r="B59" s="1">
        <f>[28]FormattedData!A33</f>
        <v>202</v>
      </c>
      <c r="C59" s="1" t="str">
        <f>VLOOKUP($B59,[28]TrtCodes!$B$11:I76,2)</f>
        <v>NTH</v>
      </c>
      <c r="D59" s="1">
        <f>VLOOKUP($B59,[28]TrtCodes!$B$11:J76,3)</f>
        <v>9</v>
      </c>
      <c r="E59" s="1">
        <f>VLOOKUP($B59,[28]TrtCodes!$B$11:K76,4)</f>
        <v>2</v>
      </c>
      <c r="F59" s="1">
        <f>VLOOKUP($B59,[28]TrtCodes!$B$11:L76,5)</f>
        <v>2</v>
      </c>
      <c r="G59" s="1">
        <f>VLOOKUP($B59,[28]TrtCodes!$B$11:M76,6)</f>
        <v>2</v>
      </c>
      <c r="H59" s="1">
        <f>VLOOKUP($B59,[28]TrtCodes!$B$11:N76,7)</f>
        <v>1</v>
      </c>
      <c r="I59" s="1">
        <f>[28]FormattedData!B33</f>
        <v>2</v>
      </c>
      <c r="J59" s="4">
        <f>[28]FormattedData!C33</f>
        <v>13.036</v>
      </c>
      <c r="K59" s="6">
        <f>$J$3+[28]FormattedData!D33*$J$4+$M$4*$J$5+[28]FormattedData!D33^2*$J$6+$M$5*$J$7</f>
        <v>31.62584735947447</v>
      </c>
      <c r="L59" s="6">
        <f>$J$3+[28]FormattedData!E33*$J$4+$M$4*$J$5+[28]FormattedData!E33^2*$J$6+$M$5*$J$7</f>
        <v>30.463827854431045</v>
      </c>
      <c r="M59" s="6">
        <f>$J$3+[28]FormattedData!F33*$J$4+$M$4*$J$5+[28]FormattedData!F33^2*$J$6+$M$5*$J$7</f>
        <v>31.045598440635512</v>
      </c>
      <c r="N59" s="6">
        <f>$J$3+[28]FormattedData!G33*$J$4+$M$4*$J$5+[28]FormattedData!G33^2*$J$6+$M$5*$J$7</f>
        <v>31.432600127346543</v>
      </c>
      <c r="O59" s="6">
        <f>$J$3+[28]FormattedData!H33*$J$4+$M$4*$J$5+[28]FormattedData!H33^2*$J$6+$M$5*$J$7</f>
        <v>29.977856647800877</v>
      </c>
      <c r="P59" s="6">
        <f>$J$3+[28]FormattedData!I33*$J$4+$M$4*$J$5+[28]FormattedData!I33^2*$J$6+$M$5*$J$7</f>
        <v>32.204574610947894</v>
      </c>
      <c r="Q59" s="6">
        <f>$J$3+[28]FormattedData!J33*$J$4+$M$4*$J$5+[28]FormattedData!J33^2*$J$6+$M$5*$J$7</f>
        <v>31.335913108475687</v>
      </c>
      <c r="R59" s="6">
        <f>$J$3+[28]FormattedData!K33*$J$4+$M$4*$J$5+[28]FormattedData!K33^2*$J$6+$M$5*$J$7</f>
        <v>33.26162246368596</v>
      </c>
      <c r="S59" s="6">
        <f>$J$3+[28]FormattedData!L33*$J$4+$M$4*$J$5+[28]FormattedData!L33^2*$J$6+$M$5*$J$7</f>
        <v>30.366718150180876</v>
      </c>
      <c r="T59" s="6">
        <f>$J$3+[28]FormattedData!M33*$J$4+$M$4*$J$5+[28]FormattedData!M33^2*$J$6+$M$5*$J$7</f>
        <v>31.335913108475687</v>
      </c>
      <c r="U59" s="6">
        <f>$J$3+[28]FormattedData!N33*$J$4+$M$4*$J$5+[28]FormattedData!N33^2*$J$6+$M$5*$J$7</f>
        <v>33.93162636117507</v>
      </c>
      <c r="V59" s="6">
        <f>$J$3+[28]FormattedData!O33*$J$4+$M$4*$J$5+[28]FormattedData!O33^2*$J$6+$M$5*$J$7</f>
        <v>30.463827854431045</v>
      </c>
      <c r="W59" s="5">
        <f t="shared" si="9"/>
        <v>31.45382717392172</v>
      </c>
      <c r="X59" s="4">
        <f t="shared" si="10"/>
        <v>0.34285152662713025</v>
      </c>
      <c r="Y59" s="3">
        <f t="shared" si="11"/>
        <v>29.977856647800877</v>
      </c>
      <c r="Z59" s="2">
        <f t="shared" si="12"/>
        <v>30.463827854431045</v>
      </c>
      <c r="AA59" s="3">
        <f t="shared" si="13"/>
        <v>31.335913108475687</v>
      </c>
      <c r="AB59" s="2">
        <f t="shared" si="14"/>
        <v>31.770529172342826</v>
      </c>
      <c r="AC59" s="2">
        <f t="shared" si="15"/>
        <v>33.93162636117507</v>
      </c>
      <c r="AD59" s="2">
        <f t="shared" si="16"/>
        <v>0.979153615052341</v>
      </c>
      <c r="AE59" s="2">
        <f t="shared" si="17"/>
        <v>0.46375112590790302</v>
      </c>
    </row>
    <row r="60" spans="2:31" x14ac:dyDescent="0.2">
      <c r="B60" s="1">
        <f>[28]FormattedData!A35</f>
        <v>203</v>
      </c>
      <c r="C60" s="1" t="str">
        <f>VLOOKUP($B60,[28]TrtCodes!$B$11:I78,2)</f>
        <v>FTH</v>
      </c>
      <c r="D60" s="1">
        <f>VLOOKUP($B60,[28]TrtCodes!$B$11:J78,3)</f>
        <v>3</v>
      </c>
      <c r="E60" s="1">
        <f>VLOOKUP($B60,[28]TrtCodes!$B$11:K78,4)</f>
        <v>1</v>
      </c>
      <c r="F60" s="1">
        <f>VLOOKUP($B60,[28]TrtCodes!$B$11:L78,5)</f>
        <v>2</v>
      </c>
      <c r="G60" s="1">
        <f>VLOOKUP($B60,[28]TrtCodes!$B$11:M78,6)</f>
        <v>2</v>
      </c>
      <c r="H60" s="1">
        <f>VLOOKUP($B60,[28]TrtCodes!$B$11:N78,7)</f>
        <v>1</v>
      </c>
      <c r="I60" s="1">
        <f>[28]FormattedData!B35</f>
        <v>2</v>
      </c>
      <c r="J60" s="4">
        <f>[28]FormattedData!C35</f>
        <v>13.05</v>
      </c>
      <c r="K60" s="6">
        <f>$J$3+[28]FormattedData!D35*$J$4+$M$4*$J$5+[28]FormattedData!D35^2*$J$6+$M$5*$J$7</f>
        <v>33.357464111798201</v>
      </c>
      <c r="L60" s="6">
        <f>$J$3+[28]FormattedData!E35*$J$4+$M$4*$J$5+[28]FormattedData!E35^2*$J$6+$M$5*$J$7</f>
        <v>31.432600127346543</v>
      </c>
      <c r="M60" s="6">
        <f>$J$3+[28]FormattedData!F35*$J$4+$M$4*$J$5+[28]FormattedData!F35^2*$J$6+$M$5*$J$7</f>
        <v>31.818925517450673</v>
      </c>
      <c r="N60" s="6">
        <f>$J$3+[28]FormattedData!G35*$J$4+$M$4*$J$5+[28]FormattedData!G35^2*$J$6+$M$5*$J$7</f>
        <v>32.011834601275147</v>
      </c>
      <c r="O60" s="6">
        <f>$J$3+[28]FormattedData!H35*$J$4+$M$4*$J$5+[28]FormattedData!H35^2*$J$6+$M$5*$J$7</f>
        <v>34.122675629330573</v>
      </c>
      <c r="P60" s="6">
        <f>$J$3+[28]FormattedData!I35*$J$4+$M$4*$J$5+[28]FormattedData!I35^2*$J$6+$M$5*$J$7</f>
        <v>30.948742347612932</v>
      </c>
      <c r="Q60" s="6">
        <f>$J$3+[28]FormattedData!J35*$J$4+$M$4*$J$5+[28]FormattedData!J35^2*$J$6+$M$5*$J$7</f>
        <v>32.589547407838232</v>
      </c>
      <c r="R60" s="6">
        <f>$J$3+[28]FormattedData!K35*$J$4+$M$4*$J$5+[28]FormattedData!K35^2*$J$6+$M$5*$J$7</f>
        <v>31.529244877679474</v>
      </c>
      <c r="S60" s="6">
        <f>$J$3+[28]FormattedData!L35*$J$4+$M$4*$J$5+[28]FormattedData!L35^2*$J$6+$M$5*$J$7</f>
        <v>32.204574610947894</v>
      </c>
      <c r="T60" s="6">
        <f>$J$3+[28]FormattedData!M35*$J$4+$M$4*$J$5+[28]FormattedData!M35^2*$J$6+$M$5*$J$7</f>
        <v>33.26162246368596</v>
      </c>
      <c r="U60" s="6">
        <f>$J$3+[28]FormattedData!N35*$J$4+$M$4*$J$5+[28]FormattedData!N35^2*$J$6+$M$5*$J$7</f>
        <v>34.02717212952178</v>
      </c>
      <c r="V60" s="6">
        <f>$J$3+[28]FormattedData!O35*$J$4+$M$4*$J$5+[28]FormattedData!O35^2*$J$6+$M$5*$J$7</f>
        <v>32.011834601275147</v>
      </c>
      <c r="W60" s="5">
        <f t="shared" si="9"/>
        <v>32.443019868813543</v>
      </c>
      <c r="X60" s="4">
        <f t="shared" si="10"/>
        <v>0.29855155548785894</v>
      </c>
      <c r="Y60" s="3">
        <f t="shared" si="11"/>
        <v>30.948742347612932</v>
      </c>
      <c r="Z60" s="2">
        <f t="shared" si="12"/>
        <v>31.746505357507871</v>
      </c>
      <c r="AA60" s="3">
        <f t="shared" si="13"/>
        <v>32.108204606111521</v>
      </c>
      <c r="AB60" s="2">
        <f t="shared" si="14"/>
        <v>33.28558287571402</v>
      </c>
      <c r="AC60" s="2">
        <f t="shared" si="15"/>
        <v>34.122675629330573</v>
      </c>
      <c r="AD60" s="2">
        <f t="shared" si="16"/>
        <v>0.44205864036333109</v>
      </c>
      <c r="AE60" s="2">
        <f t="shared" si="17"/>
        <v>-0.95419667180479273</v>
      </c>
    </row>
    <row r="61" spans="2:31" x14ac:dyDescent="0.2">
      <c r="B61" s="1">
        <f>[28]FormattedData!A37</f>
        <v>204</v>
      </c>
      <c r="C61" s="1" t="str">
        <f>VLOOKUP($B61,[28]TrtCodes!$B$11:I80,2)</f>
        <v>NDH</v>
      </c>
      <c r="D61" s="1">
        <f>VLOOKUP($B61,[28]TrtCodes!$B$11:J80,3)</f>
        <v>11</v>
      </c>
      <c r="E61" s="1">
        <f>VLOOKUP($B61,[28]TrtCodes!$B$11:K80,4)</f>
        <v>2</v>
      </c>
      <c r="F61" s="1">
        <f>VLOOKUP($B61,[28]TrtCodes!$B$11:L80,5)</f>
        <v>3</v>
      </c>
      <c r="G61" s="1">
        <f>VLOOKUP($B61,[28]TrtCodes!$B$11:M80,6)</f>
        <v>2</v>
      </c>
      <c r="H61" s="1">
        <f>VLOOKUP($B61,[28]TrtCodes!$B$11:N80,7)</f>
        <v>1</v>
      </c>
      <c r="I61" s="1">
        <f>[28]FormattedData!B37</f>
        <v>2</v>
      </c>
      <c r="J61" s="4">
        <f>[28]FormattedData!C37</f>
        <v>13.066000000000001</v>
      </c>
      <c r="K61" s="6">
        <f>$J$3+[28]FormattedData!D37*$J$4+$M$4*$J$5+[28]FormattedData!D37^2*$J$6+$M$5*$J$7</f>
        <v>32.493367611422549</v>
      </c>
      <c r="L61" s="6">
        <f>$J$3+[28]FormattedData!E37*$J$4+$M$4*$J$5+[28]FormattedData!E37^2*$J$6+$M$5*$J$7</f>
        <v>33.357464111798201</v>
      </c>
      <c r="M61" s="6">
        <f>$J$3+[28]FormattedData!F37*$J$4+$M$4*$J$5+[28]FormattedData!F37^2*$J$6+$M$5*$J$7</f>
        <v>33.069812361847696</v>
      </c>
      <c r="N61" s="6">
        <f>$J$3+[28]FormattedData!G37*$J$4+$M$4*$J$5+[28]FormattedData!G37^2*$J$6+$M$5*$J$7</f>
        <v>31.529244877679474</v>
      </c>
      <c r="O61" s="6">
        <f>$J$3+[28]FormattedData!H37*$J$4+$M$4*$J$5+[28]FormattedData!H37^2*$J$6+$M$5*$J$7</f>
        <v>31.818925517450673</v>
      </c>
      <c r="P61" s="6">
        <f>$J$3+[28]FormattedData!I37*$J$4+$M$4*$J$5+[28]FormattedData!I37^2*$J$6+$M$5*$J$7</f>
        <v>31.818925517450673</v>
      </c>
      <c r="Q61" s="6">
        <f>$J$3+[28]FormattedData!J37*$J$4+$M$4*$J$5+[28]FormattedData!J37^2*$J$6+$M$5*$J$7</f>
        <v>33.357464111798201</v>
      </c>
      <c r="R61" s="6">
        <f>$J$3+[28]FormattedData!K37*$J$4+$M$4*$J$5+[28]FormattedData!K37^2*$J$6+$M$5*$J$7</f>
        <v>33.357464111798201</v>
      </c>
      <c r="S61" s="6">
        <f>$J$3+[28]FormattedData!L37*$J$4+$M$4*$J$5+[28]FormattedData!L37^2*$J$6+$M$5*$J$7</f>
        <v>32.10822574038049</v>
      </c>
      <c r="T61" s="6">
        <f>$J$3+[28]FormattedData!M37*$J$4+$M$4*$J$5+[28]FormattedData!M37^2*$J$6+$M$5*$J$7</f>
        <v>33.740408018867832</v>
      </c>
      <c r="U61" s="6">
        <f>$J$3+[28]FormattedData!N37*$J$4+$M$4*$J$5+[28]FormattedData!N37^2*$J$6+$M$5*$J$7</f>
        <v>34.02717212952178</v>
      </c>
      <c r="V61" s="6">
        <f>$J$3+[28]FormattedData!O37*$J$4+$M$4*$J$5+[28]FormattedData!O37^2*$J$6+$M$5*$J$7</f>
        <v>33.644735444907326</v>
      </c>
      <c r="W61" s="5">
        <f t="shared" si="9"/>
        <v>32.860267462910258</v>
      </c>
      <c r="X61" s="4">
        <f t="shared" si="10"/>
        <v>0.24890389973805729</v>
      </c>
      <c r="Y61" s="3">
        <f t="shared" si="11"/>
        <v>31.529244877679474</v>
      </c>
      <c r="Z61" s="2">
        <f t="shared" si="12"/>
        <v>32.035900684648034</v>
      </c>
      <c r="AA61" s="3">
        <f t="shared" si="13"/>
        <v>33.213638236822945</v>
      </c>
      <c r="AB61" s="2">
        <f t="shared" si="14"/>
        <v>33.429281945075481</v>
      </c>
      <c r="AC61" s="2">
        <f t="shared" si="15"/>
        <v>34.02717212952178</v>
      </c>
      <c r="AD61" s="2">
        <f t="shared" si="16"/>
        <v>-0.3335321758971917</v>
      </c>
      <c r="AE61" s="2">
        <f t="shared" si="17"/>
        <v>-1.5111445072527485</v>
      </c>
    </row>
    <row r="62" spans="2:31" x14ac:dyDescent="0.2">
      <c r="B62" s="1">
        <f>[28]FormattedData!A39</f>
        <v>205</v>
      </c>
      <c r="C62" s="1" t="str">
        <f>VLOOKUP($B62,[28]TrtCodes!$B$11:I82,2)</f>
        <v>FSH</v>
      </c>
      <c r="D62" s="1">
        <f>VLOOKUP($B62,[28]TrtCodes!$B$11:J82,3)</f>
        <v>1</v>
      </c>
      <c r="E62" s="1">
        <f>VLOOKUP($B62,[28]TrtCodes!$B$11:K82,4)</f>
        <v>1</v>
      </c>
      <c r="F62" s="1">
        <f>VLOOKUP($B62,[28]TrtCodes!$B$11:L82,5)</f>
        <v>1</v>
      </c>
      <c r="G62" s="1">
        <f>VLOOKUP($B62,[28]TrtCodes!$B$11:M82,6)</f>
        <v>2</v>
      </c>
      <c r="H62" s="1">
        <f>VLOOKUP($B62,[28]TrtCodes!$B$11:N82,7)</f>
        <v>2</v>
      </c>
      <c r="I62" s="1">
        <f>[28]FormattedData!B39</f>
        <v>2</v>
      </c>
      <c r="J62" s="4">
        <f>[28]FormattedData!C39</f>
        <v>13.081</v>
      </c>
      <c r="K62" s="6">
        <f>$J$3+[28]FormattedData!D39*$J$4+$M$4*$J$5+[28]FormattedData!D39^2*$J$6+$M$5*$J$7</f>
        <v>34.980305043402758</v>
      </c>
      <c r="L62" s="6">
        <f>$J$3+[28]FormattedData!E39*$J$4+$M$4*$J$5+[28]FormattedData!E39^2*$J$6+$M$5*$J$7</f>
        <v>33.644735444907326</v>
      </c>
      <c r="M62" s="6">
        <f>$J$3+[28]FormattedData!F39*$J$4+$M$4*$J$5+[28]FormattedData!F39^2*$J$6+$M$5*$J$7</f>
        <v>32.973843908121665</v>
      </c>
      <c r="N62" s="6">
        <f>$J$3+[28]FormattedData!G39*$J$4+$M$4*$J$5+[28]FormattedData!G39^2*$J$6+$M$5*$J$7</f>
        <v>33.069812361847696</v>
      </c>
      <c r="O62" s="6">
        <f>$J$3+[28]FormattedData!H39*$J$4+$M$4*$J$5+[28]FormattedData!H39^2*$J$6+$M$5*$J$7</f>
        <v>33.453263491372503</v>
      </c>
      <c r="P62" s="6">
        <f>$J$3+[28]FormattedData!I39*$J$4+$M$4*$J$5+[28]FormattedData!I39^2*$J$6+$M$5*$J$7</f>
        <v>31.432600127346543</v>
      </c>
      <c r="Q62" s="6">
        <f>$J$3+[28]FormattedData!J39*$J$4+$M$4*$J$5+[28]FormattedData!J39^2*$J$6+$M$5*$J$7</f>
        <v>34.694808988886741</v>
      </c>
      <c r="R62" s="6">
        <f>$J$3+[28]FormattedData!K39*$J$4+$M$4*$J$5+[28]FormattedData!K39^2*$J$6+$M$5*$J$7</f>
        <v>32.973843908121665</v>
      </c>
      <c r="S62" s="6">
        <f>$J$3+[28]FormattedData!L39*$J$4+$M$4*$J$5+[28]FormattedData!L39^2*$J$6+$M$5*$J$7</f>
        <v>33.836038324290421</v>
      </c>
      <c r="T62" s="6">
        <f>$J$3+[28]FormattedData!M39*$J$4+$M$4*$J$5+[28]FormattedData!M39^2*$J$6+$M$5*$J$7</f>
        <v>33.165738547035794</v>
      </c>
      <c r="U62" s="6">
        <f>$J$3+[28]FormattedData!N39*$J$4+$M$4*$J$5+[28]FormattedData!N39^2*$J$6+$M$5*$J$7</f>
        <v>34.408932517529358</v>
      </c>
      <c r="V62" s="6">
        <f>$J$3+[28]FormattedData!O39*$J$4+$M$4*$J$5+[28]FormattedData!O39^2*$J$6+$M$5*$J$7</f>
        <v>33.836038324290421</v>
      </c>
      <c r="W62" s="5">
        <f t="shared" si="9"/>
        <v>33.539163415596072</v>
      </c>
      <c r="X62" s="4">
        <f t="shared" si="10"/>
        <v>0.27247762722860691</v>
      </c>
      <c r="Y62" s="3">
        <f t="shared" si="11"/>
        <v>31.432600127346543</v>
      </c>
      <c r="Z62" s="2">
        <f t="shared" si="12"/>
        <v>33.045820248416192</v>
      </c>
      <c r="AA62" s="3">
        <f t="shared" si="13"/>
        <v>33.548999468139911</v>
      </c>
      <c r="AB62" s="2">
        <f t="shared" si="14"/>
        <v>33.979261872600155</v>
      </c>
      <c r="AC62" s="2">
        <f t="shared" si="15"/>
        <v>34.980305043402758</v>
      </c>
      <c r="AD62" s="2">
        <f t="shared" si="16"/>
        <v>-0.5990161677274165</v>
      </c>
      <c r="AE62" s="2">
        <f t="shared" si="17"/>
        <v>1.2571547192731565</v>
      </c>
    </row>
    <row r="63" spans="2:31" x14ac:dyDescent="0.2">
      <c r="B63" s="1">
        <f>[28]FormattedData!A41</f>
        <v>206</v>
      </c>
      <c r="C63" s="1" t="str">
        <f>VLOOKUP($B63,[28]TrtCodes!$B$11:I84,2)</f>
        <v>NSL</v>
      </c>
      <c r="D63" s="1">
        <f>VLOOKUP($B63,[28]TrtCodes!$B$11:J84,3)</f>
        <v>8</v>
      </c>
      <c r="E63" s="1">
        <f>VLOOKUP($B63,[28]TrtCodes!$B$11:K84,4)</f>
        <v>2</v>
      </c>
      <c r="F63" s="1">
        <f>VLOOKUP($B63,[28]TrtCodes!$B$11:L84,5)</f>
        <v>1</v>
      </c>
      <c r="G63" s="1">
        <f>VLOOKUP($B63,[28]TrtCodes!$B$11:M84,6)</f>
        <v>1</v>
      </c>
      <c r="H63" s="1">
        <f>VLOOKUP($B63,[28]TrtCodes!$B$11:N84,7)</f>
        <v>2</v>
      </c>
      <c r="I63" s="1">
        <f>[28]FormattedData!B41</f>
        <v>2</v>
      </c>
      <c r="J63" s="4">
        <f>[28]FormattedData!C41</f>
        <v>13.095000000000001</v>
      </c>
      <c r="K63" s="6">
        <f>$J$3+[28]FormattedData!D41*$J$4+$M$4*$J$5+[28]FormattedData!D41^2*$J$6+$M$5*$J$7</f>
        <v>31.142412265120171</v>
      </c>
      <c r="L63" s="6">
        <f>$J$3+[28]FormattedData!E41*$J$4+$M$4*$J$5+[28]FormattedData!E41^2*$J$6+$M$5*$J$7</f>
        <v>29.295721679925535</v>
      </c>
      <c r="M63" s="6">
        <f>$J$3+[28]FormattedData!F41*$J$4+$M$4*$J$5+[28]FormattedData!F41^2*$J$6+$M$5*$J$7</f>
        <v>30.366718150180876</v>
      </c>
      <c r="N63" s="6">
        <f>$J$3+[28]FormattedData!G41*$J$4+$M$4*$J$5+[28]FormattedData!G41^2*$J$6+$M$5*$J$7</f>
        <v>30.07513542620277</v>
      </c>
      <c r="O63" s="6">
        <f>$J$3+[28]FormattedData!H41*$J$4+$M$4*$J$5+[28]FormattedData!H41^2*$J$6+$M$5*$J$7</f>
        <v>30.560895290143282</v>
      </c>
      <c r="P63" s="6">
        <f>$J$3+[28]FormattedData!I41*$J$4+$M$4*$J$5+[28]FormattedData!I41^2*$J$6+$M$5*$J$7</f>
        <v>30.269566177392768</v>
      </c>
      <c r="Q63" s="6">
        <f>$J$3+[28]FormattedData!J41*$J$4+$M$4*$J$5+[28]FormattedData!J41^2*$J$6+$M$5*$J$7</f>
        <v>30.172371936066739</v>
      </c>
      <c r="R63" s="6">
        <f>$J$3+[28]FormattedData!K41*$J$4+$M$4*$J$5+[28]FormattedData!K41^2*$J$6+$M$5*$J$7</f>
        <v>30.754903355953971</v>
      </c>
      <c r="S63" s="6">
        <f>$J$3+[28]FormattedData!L41*$J$4+$M$4*$J$5+[28]FormattedData!L41^2*$J$6+$M$5*$J$7</f>
        <v>29.490828727722434</v>
      </c>
      <c r="T63" s="6">
        <f>$J$3+[28]FormattedData!M41*$J$4+$M$4*$J$5+[28]FormattedData!M41^2*$J$6+$M$5*$J$7</f>
        <v>30.754903355953971</v>
      </c>
      <c r="U63" s="6">
        <f>$J$3+[28]FormattedData!N41*$J$4+$M$4*$J$5+[28]FormattedData!N41^2*$J$6+$M$5*$J$7</f>
        <v>29.198104753220193</v>
      </c>
      <c r="V63" s="6">
        <f>$J$3+[28]FormattedData!O41*$J$4+$M$4*$J$5+[28]FormattedData!O41^2*$J$6+$M$5*$J$7</f>
        <v>30.172371936066739</v>
      </c>
      <c r="W63" s="5">
        <f t="shared" si="9"/>
        <v>30.187827754495785</v>
      </c>
      <c r="X63" s="4">
        <f t="shared" si="10"/>
        <v>0.17422193329519667</v>
      </c>
      <c r="Y63" s="3">
        <f t="shared" si="11"/>
        <v>29.198104753220193</v>
      </c>
      <c r="Z63" s="2">
        <f t="shared" si="12"/>
        <v>29.929058751582687</v>
      </c>
      <c r="AA63" s="3">
        <f t="shared" si="13"/>
        <v>30.220969056729754</v>
      </c>
      <c r="AB63" s="2">
        <f t="shared" si="14"/>
        <v>30.609397306595955</v>
      </c>
      <c r="AC63" s="2">
        <f t="shared" si="15"/>
        <v>31.142412265120171</v>
      </c>
      <c r="AD63" s="2">
        <f t="shared" si="16"/>
        <v>-0.36066108429557076</v>
      </c>
      <c r="AE63" s="2">
        <f t="shared" si="17"/>
        <v>-0.60475666274542839</v>
      </c>
    </row>
    <row r="64" spans="2:31" x14ac:dyDescent="0.2">
      <c r="B64" s="1">
        <f>[28]FormattedData!A43</f>
        <v>207</v>
      </c>
      <c r="C64" s="1" t="str">
        <f>VLOOKUP($B64,[28]TrtCodes!$B$11:I86,2)</f>
        <v>FTL</v>
      </c>
      <c r="D64" s="1">
        <f>VLOOKUP($B64,[28]TrtCodes!$B$11:J86,3)</f>
        <v>4</v>
      </c>
      <c r="E64" s="1">
        <f>VLOOKUP($B64,[28]TrtCodes!$B$11:K86,4)</f>
        <v>1</v>
      </c>
      <c r="F64" s="1">
        <f>VLOOKUP($B64,[28]TrtCodes!$B$11:L86,5)</f>
        <v>2</v>
      </c>
      <c r="G64" s="1">
        <f>VLOOKUP($B64,[28]TrtCodes!$B$11:M86,6)</f>
        <v>1</v>
      </c>
      <c r="H64" s="1">
        <f>VLOOKUP($B64,[28]TrtCodes!$B$11:N86,7)</f>
        <v>2</v>
      </c>
      <c r="I64" s="1">
        <f>[28]FormattedData!B43</f>
        <v>2</v>
      </c>
      <c r="J64" s="4">
        <f>[28]FormattedData!C43</f>
        <v>13.111000000000001</v>
      </c>
      <c r="K64" s="6">
        <f>$J$3+[28]FormattedData!D43*$J$4+$M$4*$J$5+[28]FormattedData!D43^2*$J$6+$M$5*$J$7</f>
        <v>30.948742347612932</v>
      </c>
      <c r="L64" s="6">
        <f>$J$3+[28]FormattedData!E43*$J$4+$M$4*$J$5+[28]FormattedData!E43^2*$J$6+$M$5*$J$7</f>
        <v>34.122675629330573</v>
      </c>
      <c r="M64" s="6">
        <f>$J$3+[28]FormattedData!F43*$J$4+$M$4*$J$5+[28]FormattedData!F43^2*$J$6+$M$5*$J$7</f>
        <v>33.26162246368596</v>
      </c>
      <c r="N64" s="6">
        <f>$J$3+[28]FormattedData!G43*$J$4+$M$4*$J$5+[28]FormattedData!G43^2*$J$6+$M$5*$J$7</f>
        <v>29.783172285383291</v>
      </c>
      <c r="O64" s="6">
        <f>$J$3+[28]FormattedData!H43*$J$4+$M$4*$J$5+[28]FormattedData!H43^2*$J$6+$M$5*$J$7</f>
        <v>31.335913108475687</v>
      </c>
      <c r="P64" s="6">
        <f>$J$3+[28]FormattedData!I43*$J$4+$M$4*$J$5+[28]FormattedData!I43^2*$J$6+$M$5*$J$7</f>
        <v>32.10822574038049</v>
      </c>
      <c r="Q64" s="6">
        <f>$J$3+[28]FormattedData!J43*$J$4+$M$4*$J$5+[28]FormattedData!J43^2*$J$6+$M$5*$J$7</f>
        <v>32.589547407838232</v>
      </c>
      <c r="R64" s="6">
        <f>$J$3+[28]FormattedData!K43*$J$4+$M$4*$J$5+[28]FormattedData!K43^2*$J$6+$M$5*$J$7</f>
        <v>29.977856647800877</v>
      </c>
      <c r="S64" s="6">
        <f>$J$3+[28]FormattedData!L43*$J$4+$M$4*$J$5+[28]FormattedData!L43^2*$J$6+$M$5*$J$7</f>
        <v>31.62584735947447</v>
      </c>
      <c r="T64" s="6">
        <f>$J$3+[28]FormattedData!M43*$J$4+$M$4*$J$5+[28]FormattedData!M43^2*$J$6+$M$5*$J$7</f>
        <v>32.973843908121665</v>
      </c>
      <c r="U64" s="6">
        <f>$J$3+[28]FormattedData!N43*$J$4+$M$4*$J$5+[28]FormattedData!N43^2*$J$6+$M$5*$J$7</f>
        <v>31.335913108475687</v>
      </c>
      <c r="V64" s="6">
        <f>$J$3+[28]FormattedData!O43*$J$4+$M$4*$J$5+[28]FormattedData!O43^2*$J$6+$M$5*$J$7</f>
        <v>29.490828727722434</v>
      </c>
      <c r="W64" s="5">
        <f t="shared" si="9"/>
        <v>31.629515727858522</v>
      </c>
      <c r="X64" s="4">
        <f t="shared" si="10"/>
        <v>0.41909422358150067</v>
      </c>
      <c r="Y64" s="3">
        <f t="shared" si="11"/>
        <v>29.490828727722434</v>
      </c>
      <c r="Z64" s="2">
        <f t="shared" si="12"/>
        <v>30.706020922659917</v>
      </c>
      <c r="AA64" s="3">
        <f t="shared" si="13"/>
        <v>31.480880233975078</v>
      </c>
      <c r="AB64" s="2">
        <f t="shared" si="14"/>
        <v>32.685621532909089</v>
      </c>
      <c r="AC64" s="2">
        <f t="shared" si="15"/>
        <v>34.122675629330573</v>
      </c>
      <c r="AD64" s="2">
        <f t="shared" si="16"/>
        <v>8.2726300435308445E-2</v>
      </c>
      <c r="AE64" s="2">
        <f t="shared" si="17"/>
        <v>-0.83683420816734255</v>
      </c>
    </row>
    <row r="65" spans="2:31" x14ac:dyDescent="0.2">
      <c r="B65" s="1">
        <f>[28]FormattedData!A45</f>
        <v>208</v>
      </c>
      <c r="C65" s="1" t="str">
        <f>VLOOKUP($B65,[28]TrtCodes!$B$11:I88,2)</f>
        <v>FSL</v>
      </c>
      <c r="D65" s="1">
        <f>VLOOKUP($B65,[28]TrtCodes!$B$11:J88,3)</f>
        <v>2</v>
      </c>
      <c r="E65" s="1">
        <f>VLOOKUP($B65,[28]TrtCodes!$B$11:K88,4)</f>
        <v>1</v>
      </c>
      <c r="F65" s="1">
        <f>VLOOKUP($B65,[28]TrtCodes!$B$11:L88,5)</f>
        <v>1</v>
      </c>
      <c r="G65" s="1">
        <f>VLOOKUP($B65,[28]TrtCodes!$B$11:M88,6)</f>
        <v>1</v>
      </c>
      <c r="H65" s="1">
        <f>VLOOKUP($B65,[28]TrtCodes!$B$11:N88,7)</f>
        <v>2</v>
      </c>
      <c r="I65" s="1">
        <f>[28]FormattedData!B45</f>
        <v>2</v>
      </c>
      <c r="J65" s="4">
        <f>[28]FormattedData!C45</f>
        <v>13.127000000000001</v>
      </c>
      <c r="K65" s="6">
        <f>$J$3+[28]FormattedData!D45*$J$4+$M$4*$J$5+[28]FormattedData!D45^2*$J$6+$M$5*$J$7</f>
        <v>28.317650328665184</v>
      </c>
      <c r="L65" s="6">
        <f>$J$3+[28]FormattedData!E45*$J$4+$M$4*$J$5+[28]FormattedData!E45^2*$J$6+$M$5*$J$7</f>
        <v>29.880535600861055</v>
      </c>
      <c r="M65" s="6">
        <f>$J$3+[28]FormattedData!F45*$J$4+$M$4*$J$5+[28]FormattedData!F45^2*$J$6+$M$5*$J$7</f>
        <v>31.335913108475687</v>
      </c>
      <c r="N65" s="6">
        <f>$J$3+[28]FormattedData!G45*$J$4+$M$4*$J$5+[28]FormattedData!G45^2*$J$6+$M$5*$J$7</f>
        <v>29.685766701367605</v>
      </c>
      <c r="O65" s="6">
        <f>$J$3+[28]FormattedData!H45*$J$4+$M$4*$J$5+[28]FormattedData!H45^2*$J$6+$M$5*$J$7</f>
        <v>29.977856647800877</v>
      </c>
      <c r="P65" s="6">
        <f>$J$3+[28]FormattedData!I45*$J$4+$M$4*$J$5+[28]FormattedData!I45^2*$J$6+$M$5*$J$7</f>
        <v>32.204574610947894</v>
      </c>
      <c r="Q65" s="6">
        <f>$J$3+[28]FormattedData!J45*$J$4+$M$4*$J$5+[28]FormattedData!J45^2*$J$6+$M$5*$J$7</f>
        <v>33.069812361847696</v>
      </c>
      <c r="R65" s="6">
        <f>$J$3+[28]FormattedData!K45*$J$4+$M$4*$J$5+[28]FormattedData!K45^2*$J$6+$M$5*$J$7</f>
        <v>31.239183821066888</v>
      </c>
      <c r="S65" s="6">
        <f>$J$3+[28]FormattedData!L45*$J$4+$M$4*$J$5+[28]FormattedData!L45^2*$J$6+$M$5*$J$7</f>
        <v>32.204574610947894</v>
      </c>
      <c r="T65" s="6">
        <f>$J$3+[28]FormattedData!M45*$J$4+$M$4*$J$5+[28]FormattedData!M45^2*$J$6+$M$5*$J$7</f>
        <v>31.432600127346543</v>
      </c>
      <c r="U65" s="6">
        <f>$J$3+[28]FormattedData!N45*$J$4+$M$4*$J$5+[28]FormattedData!N45^2*$J$6+$M$5*$J$7</f>
        <v>30.851843986052419</v>
      </c>
      <c r="V65" s="6">
        <f>$J$3+[28]FormattedData!O45*$J$4+$M$4*$J$5+[28]FormattedData!O45^2*$J$6+$M$5*$J$7</f>
        <v>32.10822574038049</v>
      </c>
      <c r="W65" s="5">
        <f t="shared" si="9"/>
        <v>31.025711470480015</v>
      </c>
      <c r="X65" s="4">
        <f t="shared" si="10"/>
        <v>0.38930474763675804</v>
      </c>
      <c r="Y65" s="3">
        <f t="shared" si="11"/>
        <v>28.317650328665184</v>
      </c>
      <c r="Z65" s="2">
        <f t="shared" si="12"/>
        <v>29.953526386065921</v>
      </c>
      <c r="AA65" s="3">
        <f t="shared" si="13"/>
        <v>31.287548464771287</v>
      </c>
      <c r="AB65" s="2">
        <f t="shared" si="14"/>
        <v>32.132312958022339</v>
      </c>
      <c r="AC65" s="2">
        <f t="shared" si="15"/>
        <v>33.069812361847696</v>
      </c>
      <c r="AD65" s="2">
        <f t="shared" si="16"/>
        <v>-0.52174014562700488</v>
      </c>
      <c r="AE65" s="2">
        <f t="shared" si="17"/>
        <v>-9.5215127842682268E-2</v>
      </c>
    </row>
    <row r="66" spans="2:31" x14ac:dyDescent="0.2">
      <c r="B66" s="1">
        <f>[28]FormattedData!A63</f>
        <v>301</v>
      </c>
      <c r="C66" s="1" t="str">
        <f>VLOOKUP($B66,[28]TrtCodes!$B$11:I106,2)</f>
        <v>NTL</v>
      </c>
      <c r="D66" s="1">
        <f>VLOOKUP($B66,[28]TrtCodes!$B$11:J106,3)</f>
        <v>10</v>
      </c>
      <c r="E66" s="1">
        <f>VLOOKUP($B66,[28]TrtCodes!$B$11:K106,4)</f>
        <v>2</v>
      </c>
      <c r="F66" s="1">
        <f>VLOOKUP($B66,[28]TrtCodes!$B$11:L106,5)</f>
        <v>2</v>
      </c>
      <c r="G66" s="1">
        <f>VLOOKUP($B66,[28]TrtCodes!$B$11:M106,6)</f>
        <v>1</v>
      </c>
      <c r="H66" s="1">
        <f>VLOOKUP($B66,[28]TrtCodes!$B$11:N106,7)</f>
        <v>3</v>
      </c>
      <c r="I66" s="1">
        <f>[28]FormattedData!B63</f>
        <v>2</v>
      </c>
      <c r="J66" s="4">
        <f>[28]FormattedData!C63</f>
        <v>13.231999999999999</v>
      </c>
      <c r="K66" s="6">
        <f>$J$3+[28]FormattedData!D63*$J$4+$M$4*$J$5+[28]FormattedData!D63^2*$J$6+$M$5*$J$7</f>
        <v>33.836038324290421</v>
      </c>
      <c r="L66" s="6">
        <f>$J$3+[28]FormattedData!E63*$J$4+$M$4*$J$5+[28]FormattedData!E63^2*$J$6+$M$5*$J$7</f>
        <v>36.307590008463698</v>
      </c>
      <c r="M66" s="6">
        <f>$J$3+[28]FormattedData!F63*$J$4+$M$4*$J$5+[28]FormattedData!F63^2*$J$6+$M$5*$J$7</f>
        <v>35.265420681077401</v>
      </c>
      <c r="N66" s="6">
        <f>$J$3+[28]FormattedData!G63*$J$4+$M$4*$J$5+[28]FormattedData!G63^2*$J$6+$M$5*$J$7</f>
        <v>31.91540119363188</v>
      </c>
      <c r="O66" s="6">
        <f>$J$3+[28]FormattedData!H63*$J$4+$M$4*$J$5+[28]FormattedData!H63^2*$J$6+$M$5*$J$7</f>
        <v>32.204574610947894</v>
      </c>
      <c r="P66" s="6">
        <f>$J$3+[28]FormattedData!I63*$J$4+$M$4*$J$5+[28]FormattedData!I63^2*$J$6+$M$5*$J$7</f>
        <v>32.397145546468934</v>
      </c>
      <c r="Q66" s="6">
        <f>$J$3+[28]FormattedData!J63*$J$4+$M$4*$J$5+[28]FormattedData!J63^2*$J$6+$M$5*$J$7</f>
        <v>34.122675629330573</v>
      </c>
      <c r="R66" s="6">
        <f>$J$3+[28]FormattedData!K63*$J$4+$M$4*$J$5+[28]FormattedData!K63^2*$J$6+$M$5*$J$7</f>
        <v>33.357464111798201</v>
      </c>
      <c r="S66" s="6">
        <f>$J$3+[28]FormattedData!L63*$J$4+$M$4*$J$5+[28]FormattedData!L63^2*$J$6+$M$5*$J$7</f>
        <v>31.722407572731534</v>
      </c>
      <c r="T66" s="6">
        <f>$J$3+[28]FormattedData!M63*$J$4+$M$4*$J$5+[28]FormattedData!M63^2*$J$6+$M$5*$J$7</f>
        <v>30.948742347612932</v>
      </c>
      <c r="U66" s="6">
        <f>$J$3+[28]FormattedData!N63*$J$4+$M$4*$J$5+[28]FormattedData!N63^2*$J$6+$M$5*$J$7</f>
        <v>30.754903355953971</v>
      </c>
      <c r="V66" s="6">
        <f>$J$3+[28]FormattedData!O63*$J$4+$M$4*$J$5+[28]FormattedData!O63^2*$J$6+$M$5*$J$7</f>
        <v>32.10822574038049</v>
      </c>
      <c r="W66" s="5">
        <f t="shared" si="9"/>
        <v>32.911715760223991</v>
      </c>
      <c r="X66" s="4">
        <f t="shared" si="10"/>
        <v>0.49170393848770205</v>
      </c>
      <c r="Y66" s="3">
        <f t="shared" si="11"/>
        <v>30.754903355953971</v>
      </c>
      <c r="Z66" s="2">
        <f t="shared" si="12"/>
        <v>31.867152788406791</v>
      </c>
      <c r="AA66" s="3">
        <f t="shared" si="13"/>
        <v>32.300860078708411</v>
      </c>
      <c r="AB66" s="2">
        <f t="shared" si="14"/>
        <v>33.90769765055046</v>
      </c>
      <c r="AC66" s="2">
        <f t="shared" si="15"/>
        <v>36.307590008463698</v>
      </c>
      <c r="AD66" s="2">
        <f t="shared" si="16"/>
        <v>0.7412364739374625</v>
      </c>
      <c r="AE66" s="2">
        <f t="shared" si="17"/>
        <v>-0.16185000221677326</v>
      </c>
    </row>
    <row r="67" spans="2:31" x14ac:dyDescent="0.2">
      <c r="B67" s="1">
        <f>[28]FormattedData!A65</f>
        <v>302</v>
      </c>
      <c r="C67" s="1" t="str">
        <f>VLOOKUP($B67,[28]TrtCodes!$B$11:I108,2)</f>
        <v>FTL</v>
      </c>
      <c r="D67" s="1">
        <f>VLOOKUP($B67,[28]TrtCodes!$B$11:J108,3)</f>
        <v>4</v>
      </c>
      <c r="E67" s="1">
        <f>VLOOKUP($B67,[28]TrtCodes!$B$11:K108,4)</f>
        <v>1</v>
      </c>
      <c r="F67" s="1">
        <f>VLOOKUP($B67,[28]TrtCodes!$B$11:L108,5)</f>
        <v>2</v>
      </c>
      <c r="G67" s="1">
        <f>VLOOKUP($B67,[28]TrtCodes!$B$11:M108,6)</f>
        <v>1</v>
      </c>
      <c r="H67" s="1">
        <f>VLOOKUP($B67,[28]TrtCodes!$B$11:N108,7)</f>
        <v>3</v>
      </c>
      <c r="I67" s="1">
        <f>[28]FormattedData!B65</f>
        <v>2</v>
      </c>
      <c r="J67" s="4">
        <f>[28]FormattedData!C65</f>
        <v>13.247999999999999</v>
      </c>
      <c r="K67" s="6">
        <f>$J$3+[28]FormattedData!D65*$J$4+$M$4*$J$5+[28]FormattedData!D65^2*$J$6+$M$5*$J$7</f>
        <v>30.366718150180876</v>
      </c>
      <c r="L67" s="6">
        <f>$J$3+[28]FormattedData!E65*$J$4+$M$4*$J$5+[28]FormattedData!E65^2*$J$6+$M$5*$J$7</f>
        <v>32.204574610947894</v>
      </c>
      <c r="M67" s="6">
        <f>$J$3+[28]FormattedData!F65*$J$4+$M$4*$J$5+[28]FormattedData!F65^2*$J$6+$M$5*$J$7</f>
        <v>31.818925517450673</v>
      </c>
      <c r="N67" s="6">
        <f>$J$3+[28]FormattedData!G65*$J$4+$M$4*$J$5+[28]FormattedData!G65^2*$J$6+$M$5*$J$7</f>
        <v>31.91540119363188</v>
      </c>
      <c r="O67" s="6">
        <f>$J$3+[28]FormattedData!H65*$J$4+$M$4*$J$5+[28]FormattedData!H65^2*$J$6+$M$5*$J$7</f>
        <v>33.165738547035794</v>
      </c>
      <c r="P67" s="6">
        <f>$J$3+[28]FormattedData!I65*$J$4+$M$4*$J$5+[28]FormattedData!I65^2*$J$6+$M$5*$J$7</f>
        <v>33.165738547035794</v>
      </c>
      <c r="Q67" s="6">
        <f>$J$3+[28]FormattedData!J65*$J$4+$M$4*$J$5+[28]FormattedData!J65^2*$J$6+$M$5*$J$7</f>
        <v>31.62584735947447</v>
      </c>
      <c r="R67" s="6">
        <f>$J$3+[28]FormattedData!K65*$J$4+$M$4*$J$5+[28]FormattedData!K65^2*$J$6+$M$5*$J$7</f>
        <v>31.529244877679474</v>
      </c>
      <c r="S67" s="6">
        <f>$J$3+[28]FormattedData!L65*$J$4+$M$4*$J$5+[28]FormattedData!L65^2*$J$6+$M$5*$J$7</f>
        <v>35.360374689893085</v>
      </c>
      <c r="T67" s="6">
        <f>$J$3+[28]FormattedData!M65*$J$4+$M$4*$J$5+[28]FormattedData!M65^2*$J$6+$M$5*$J$7</f>
        <v>31.62584735947447</v>
      </c>
      <c r="U67" s="6">
        <f>$J$3+[28]FormattedData!N65*$J$4+$M$4*$J$5+[28]FormattedData!N65^2*$J$6+$M$5*$J$7</f>
        <v>32.589547407838232</v>
      </c>
      <c r="V67" s="6">
        <f>$J$3+[28]FormattedData!O65*$J$4+$M$4*$J$5+[28]FormattedData!O65^2*$J$6+$M$5*$J$7</f>
        <v>35.170424403723779</v>
      </c>
      <c r="W67" s="5">
        <f t="shared" si="9"/>
        <v>32.544865222030531</v>
      </c>
      <c r="X67" s="4">
        <f t="shared" si="10"/>
        <v>0.42726780492820227</v>
      </c>
      <c r="Y67" s="3">
        <f t="shared" si="11"/>
        <v>30.366718150180876</v>
      </c>
      <c r="Z67" s="2">
        <f t="shared" si="12"/>
        <v>31.62584735947447</v>
      </c>
      <c r="AA67" s="3">
        <f t="shared" si="13"/>
        <v>32.05998790228989</v>
      </c>
      <c r="AB67" s="2">
        <f t="shared" si="14"/>
        <v>33.165738547035794</v>
      </c>
      <c r="AC67" s="2">
        <f t="shared" si="15"/>
        <v>35.360374689893085</v>
      </c>
      <c r="AD67" s="2">
        <f t="shared" si="16"/>
        <v>0.9182240296945543</v>
      </c>
      <c r="AE67" s="2">
        <f t="shared" si="17"/>
        <v>0.43554922386182326</v>
      </c>
    </row>
    <row r="68" spans="2:31" x14ac:dyDescent="0.2">
      <c r="B68" s="1">
        <f>[28]FormattedData!A67</f>
        <v>303</v>
      </c>
      <c r="C68" s="1" t="str">
        <f>VLOOKUP($B68,[28]TrtCodes!$B$11:I110,2)</f>
        <v>NSL</v>
      </c>
      <c r="D68" s="1">
        <f>VLOOKUP($B68,[28]TrtCodes!$B$11:J110,3)</f>
        <v>8</v>
      </c>
      <c r="E68" s="1">
        <f>VLOOKUP($B68,[28]TrtCodes!$B$11:K110,4)</f>
        <v>2</v>
      </c>
      <c r="F68" s="1">
        <f>VLOOKUP($B68,[28]TrtCodes!$B$11:L110,5)</f>
        <v>1</v>
      </c>
      <c r="G68" s="1">
        <f>VLOOKUP($B68,[28]TrtCodes!$B$11:M110,6)</f>
        <v>1</v>
      </c>
      <c r="H68" s="1">
        <f>VLOOKUP($B68,[28]TrtCodes!$B$11:N110,7)</f>
        <v>3</v>
      </c>
      <c r="I68" s="1">
        <f>[28]FormattedData!B67</f>
        <v>2</v>
      </c>
      <c r="J68" s="4">
        <f>[28]FormattedData!C67</f>
        <v>13.263</v>
      </c>
      <c r="K68" s="6">
        <f>$J$3+[28]FormattedData!D67*$J$4+$M$4*$J$5+[28]FormattedData!D67^2*$J$6+$M$5*$J$7</f>
        <v>30.657920457317594</v>
      </c>
      <c r="L68" s="6">
        <f>$J$3+[28]FormattedData!E67*$J$4+$M$4*$J$5+[28]FormattedData!E67^2*$J$6+$M$5*$J$7</f>
        <v>29.490828727722434</v>
      </c>
      <c r="M68" s="6">
        <f>$J$3+[28]FormattedData!F67*$J$4+$M$4*$J$5+[28]FormattedData!F67^2*$J$6+$M$5*$J$7</f>
        <v>30.948742347612932</v>
      </c>
      <c r="N68" s="6">
        <f>$J$3+[28]FormattedData!G67*$J$4+$M$4*$J$5+[28]FormattedData!G67^2*$J$6+$M$5*$J$7</f>
        <v>30.269566177392768</v>
      </c>
      <c r="O68" s="6">
        <f>$J$3+[28]FormattedData!H67*$J$4+$M$4*$J$5+[28]FormattedData!H67^2*$J$6+$M$5*$J$7</f>
        <v>32.204574610947894</v>
      </c>
      <c r="P68" s="6">
        <f>$J$3+[28]FormattedData!I67*$J$4+$M$4*$J$5+[28]FormattedData!I67^2*$J$6+$M$5*$J$7</f>
        <v>31.335913108475687</v>
      </c>
      <c r="Q68" s="6">
        <f>$J$3+[28]FormattedData!J67*$J$4+$M$4*$J$5+[28]FormattedData!J67^2*$J$6+$M$5*$J$7</f>
        <v>30.851843986052419</v>
      </c>
      <c r="R68" s="6">
        <f>$J$3+[28]FormattedData!K67*$J$4+$M$4*$J$5+[28]FormattedData!K67^2*$J$6+$M$5*$J$7</f>
        <v>30.754903355953971</v>
      </c>
      <c r="S68" s="6">
        <f>$J$3+[28]FormattedData!L67*$J$4+$M$4*$J$5+[28]FormattedData!L67^2*$J$6+$M$5*$J$7</f>
        <v>32.589547407838232</v>
      </c>
      <c r="T68" s="6">
        <f>$J$3+[28]FormattedData!M67*$J$4+$M$4*$J$5+[28]FormattedData!M67^2*$J$6+$M$5*$J$7</f>
        <v>32.30088121297738</v>
      </c>
      <c r="U68" s="6">
        <f>$J$3+[28]FormattedData!N67*$J$4+$M$4*$J$5+[28]FormattedData!N67^2*$J$6+$M$5*$J$7</f>
        <v>30.851843986052419</v>
      </c>
      <c r="V68" s="6">
        <f>$J$3+[28]FormattedData!O67*$J$4+$M$4*$J$5+[28]FormattedData!O67^2*$J$6+$M$5*$J$7</f>
        <v>31.432600127346543</v>
      </c>
      <c r="W68" s="5">
        <f t="shared" si="9"/>
        <v>31.140763792140856</v>
      </c>
      <c r="X68" s="4">
        <f t="shared" si="10"/>
        <v>0.25771299020747346</v>
      </c>
      <c r="Y68" s="3">
        <f t="shared" si="11"/>
        <v>29.490828727722434</v>
      </c>
      <c r="Z68" s="2">
        <f t="shared" si="12"/>
        <v>30.730657631294875</v>
      </c>
      <c r="AA68" s="3">
        <f t="shared" si="13"/>
        <v>30.900293166832675</v>
      </c>
      <c r="AB68" s="2">
        <f t="shared" si="14"/>
        <v>31.625593748246882</v>
      </c>
      <c r="AC68" s="2">
        <f t="shared" si="15"/>
        <v>32.589547407838232</v>
      </c>
      <c r="AD68" s="2">
        <f t="shared" si="16"/>
        <v>7.0585219556228415E-2</v>
      </c>
      <c r="AE68" s="2">
        <f t="shared" si="17"/>
        <v>-0.16704342804638772</v>
      </c>
    </row>
    <row r="69" spans="2:31" x14ac:dyDescent="0.2">
      <c r="B69" s="1">
        <f>[28]FormattedData!A69</f>
        <v>304</v>
      </c>
      <c r="C69" s="1" t="str">
        <f>VLOOKUP($B69,[28]TrtCodes!$B$11:I112,2)</f>
        <v>FSL</v>
      </c>
      <c r="D69" s="1">
        <f>VLOOKUP($B69,[28]TrtCodes!$B$11:J112,3)</f>
        <v>2</v>
      </c>
      <c r="E69" s="1">
        <f>VLOOKUP($B69,[28]TrtCodes!$B$11:K112,4)</f>
        <v>1</v>
      </c>
      <c r="F69" s="1">
        <f>VLOOKUP($B69,[28]TrtCodes!$B$11:L112,5)</f>
        <v>1</v>
      </c>
      <c r="G69" s="1">
        <f>VLOOKUP($B69,[28]TrtCodes!$B$11:M112,6)</f>
        <v>1</v>
      </c>
      <c r="H69" s="1">
        <f>VLOOKUP($B69,[28]TrtCodes!$B$11:N112,7)</f>
        <v>3</v>
      </c>
      <c r="I69" s="1">
        <f>[28]FormattedData!B69</f>
        <v>2</v>
      </c>
      <c r="J69" s="4">
        <f>[28]FormattedData!C69</f>
        <v>13.276999999999999</v>
      </c>
      <c r="K69" s="6">
        <f>$J$3+[28]FormattedData!D69*$J$4+$M$4*$J$5+[28]FormattedData!D69^2*$J$6+$M$5*$J$7</f>
        <v>35.075385857832238</v>
      </c>
      <c r="L69" s="6">
        <f>$J$3+[28]FormattedData!E69*$J$4+$M$4*$J$5+[28]FormattedData!E69^2*$J$6+$M$5*$J$7</f>
        <v>33.549020602408874</v>
      </c>
      <c r="M69" s="6">
        <f>$J$3+[28]FormattedData!F69*$J$4+$M$4*$J$5+[28]FormattedData!F69^2*$J$6+$M$5*$J$7</f>
        <v>32.973843908121665</v>
      </c>
      <c r="N69" s="6">
        <f>$J$3+[28]FormattedData!G69*$J$4+$M$4*$J$5+[28]FormattedData!G69^2*$J$6+$M$5*$J$7</f>
        <v>33.836038324290421</v>
      </c>
      <c r="O69" s="6">
        <f>$J$3+[28]FormattedData!H69*$J$4+$M$4*$J$5+[28]FormattedData!H69^2*$J$6+$M$5*$J$7</f>
        <v>34.122675629330573</v>
      </c>
      <c r="P69" s="6">
        <f>$J$3+[28]FormattedData!I69*$J$4+$M$4*$J$5+[28]FormattedData!I69^2*$J$6+$M$5*$J$7</f>
        <v>35.550155901910649</v>
      </c>
      <c r="Q69" s="6">
        <f>$J$3+[28]FormattedData!J69*$J$4+$M$4*$J$5+[28]FormattedData!J69^2*$J$6+$M$5*$J$7</f>
        <v>33.165738547035794</v>
      </c>
      <c r="R69" s="6">
        <f>$J$3+[28]FormattedData!K69*$J$4+$M$4*$J$5+[28]FormattedData!K69^2*$J$6+$M$5*$J$7</f>
        <v>32.10822574038049</v>
      </c>
      <c r="S69" s="6">
        <f>$J$3+[28]FormattedData!L69*$J$4+$M$4*$J$5+[28]FormattedData!L69^2*$J$6+$M$5*$J$7</f>
        <v>33.165738547035794</v>
      </c>
      <c r="T69" s="6">
        <f>$J$3+[28]FormattedData!M69*$J$4+$M$4*$J$5+[28]FormattedData!M69^2*$J$6+$M$5*$J$7</f>
        <v>30.269566177392768</v>
      </c>
      <c r="U69" s="6">
        <f>$J$3+[28]FormattedData!N69*$J$4+$M$4*$J$5+[28]FormattedData!N69^2*$J$6+$M$5*$J$7</f>
        <v>32.589547407838232</v>
      </c>
      <c r="V69" s="6">
        <f>$J$3+[28]FormattedData!O69*$J$4+$M$4*$J$5+[28]FormattedData!O69^2*$J$6+$M$5*$J$7</f>
        <v>32.204574610947894</v>
      </c>
      <c r="W69" s="5">
        <f t="shared" si="9"/>
        <v>33.217542604543787</v>
      </c>
      <c r="X69" s="4">
        <f t="shared" si="10"/>
        <v>0.40462041862762332</v>
      </c>
      <c r="Y69" s="3">
        <f t="shared" si="11"/>
        <v>30.269566177392768</v>
      </c>
      <c r="Z69" s="2">
        <f t="shared" si="12"/>
        <v>32.493304208615648</v>
      </c>
      <c r="AA69" s="3">
        <f t="shared" si="13"/>
        <v>33.165738547035794</v>
      </c>
      <c r="AB69" s="2">
        <f t="shared" si="14"/>
        <v>33.90769765055046</v>
      </c>
      <c r="AC69" s="2">
        <f t="shared" si="15"/>
        <v>35.550155901910649</v>
      </c>
      <c r="AD69" s="2">
        <f t="shared" si="16"/>
        <v>-0.32356604513650172</v>
      </c>
      <c r="AE69" s="2">
        <f t="shared" si="17"/>
        <v>0.89029613993021517</v>
      </c>
    </row>
    <row r="70" spans="2:31" x14ac:dyDescent="0.2">
      <c r="B70" s="1">
        <f>[28]FormattedData!A71</f>
        <v>305</v>
      </c>
      <c r="C70" s="1" t="str">
        <f>VLOOKUP($B70,[28]TrtCodes!$B$11:I114,2)</f>
        <v>NDH</v>
      </c>
      <c r="D70" s="1">
        <f>VLOOKUP($B70,[28]TrtCodes!$B$11:J114,3)</f>
        <v>11</v>
      </c>
      <c r="E70" s="1">
        <f>VLOOKUP($B70,[28]TrtCodes!$B$11:K114,4)</f>
        <v>2</v>
      </c>
      <c r="F70" s="1">
        <f>VLOOKUP($B70,[28]TrtCodes!$B$11:L114,5)</f>
        <v>3</v>
      </c>
      <c r="G70" s="1">
        <f>VLOOKUP($B70,[28]TrtCodes!$B$11:M114,6)</f>
        <v>2</v>
      </c>
      <c r="H70" s="1">
        <f>VLOOKUP($B70,[28]TrtCodes!$B$11:N114,7)</f>
        <v>4</v>
      </c>
      <c r="I70" s="1">
        <f>[28]FormattedData!B71</f>
        <v>2</v>
      </c>
      <c r="J70" s="4">
        <f>[28]FormattedData!C71</f>
        <v>13.295</v>
      </c>
      <c r="K70" s="6">
        <f>$J$3+[28]FormattedData!D71*$J$4+$M$4*$J$5+[28]FormattedData!D71^2*$J$6+$M$5*$J$7</f>
        <v>35.170424403723779</v>
      </c>
      <c r="L70" s="6">
        <f>$J$3+[28]FormattedData!E71*$J$4+$M$4*$J$5+[28]FormattedData!E71^2*$J$6+$M$5*$J$7</f>
        <v>34.02717212952178</v>
      </c>
      <c r="M70" s="6">
        <f>$J$3+[28]FormattedData!F71*$J$4+$M$4*$J$5+[28]FormattedData!F71^2*$J$6+$M$5*$J$7</f>
        <v>35.075385857832238</v>
      </c>
      <c r="N70" s="6">
        <f>$J$3+[28]FormattedData!G71*$J$4+$M$4*$J$5+[28]FormattedData!G71^2*$J$6+$M$5*$J$7</f>
        <v>33.93162636117507</v>
      </c>
      <c r="O70" s="6">
        <f>$J$3+[28]FormattedData!H71*$J$4+$M$4*$J$5+[28]FormattedData!H71^2*$J$6+$M$5*$J$7</f>
        <v>35.929211103490616</v>
      </c>
      <c r="P70" s="6">
        <f>$J$3+[28]FormattedData!I71*$J$4+$M$4*$J$5+[28]FormattedData!I71^2*$J$6+$M$5*$J$7</f>
        <v>43.185612749996281</v>
      </c>
      <c r="Q70" s="6">
        <f>$J$3+[28]FormattedData!J71*$J$4+$M$4*$J$5+[28]FormattedData!J71^2*$J$6+$M$5*$J$7</f>
        <v>33.453263491372503</v>
      </c>
      <c r="R70" s="6">
        <f>$J$3+[28]FormattedData!K71*$J$4+$M$4*$J$5+[28]FormattedData!K71^2*$J$6+$M$5*$J$7</f>
        <v>34.599559100305548</v>
      </c>
      <c r="S70" s="6">
        <f>$J$3+[28]FormattedData!L71*$J$4+$M$4*$J$5+[28]FormattedData!L71^2*$J$6+$M$5*$J$7</f>
        <v>34.980305043402758</v>
      </c>
      <c r="T70" s="6">
        <f>$J$3+[28]FormattedData!M71*$J$4+$M$4*$J$5+[28]FormattedData!M71^2*$J$6+$M$5*$J$7</f>
        <v>34.313555823334354</v>
      </c>
      <c r="U70" s="6">
        <f>$J$3+[28]FormattedData!N71*$J$4+$M$4*$J$5+[28]FormattedData!N71^2*$J$6+$M$5*$J$7</f>
        <v>35.170424403723779</v>
      </c>
      <c r="V70" s="6">
        <f>$J$3+[28]FormattedData!O71*$J$4+$M$4*$J$5+[28]FormattedData!O71^2*$J$6+$M$5*$J$7</f>
        <v>33.453263491372503</v>
      </c>
      <c r="W70" s="5">
        <f t="shared" si="9"/>
        <v>35.274150329937598</v>
      </c>
      <c r="X70" s="4">
        <f t="shared" si="10"/>
        <v>0.75143353339367647</v>
      </c>
      <c r="Y70" s="3">
        <f t="shared" si="11"/>
        <v>33.453263491372503</v>
      </c>
      <c r="Z70" s="2">
        <f t="shared" si="12"/>
        <v>34.003285687435103</v>
      </c>
      <c r="AA70" s="3">
        <f t="shared" si="13"/>
        <v>34.789932071854153</v>
      </c>
      <c r="AB70" s="2">
        <f t="shared" si="14"/>
        <v>35.170424403723779</v>
      </c>
      <c r="AC70" s="2">
        <f t="shared" si="15"/>
        <v>43.185612749996281</v>
      </c>
      <c r="AD70" s="2">
        <f t="shared" si="16"/>
        <v>2.955272155729451</v>
      </c>
      <c r="AE70" s="2">
        <f t="shared" si="17"/>
        <v>9.5118295557631374</v>
      </c>
    </row>
    <row r="71" spans="2:31" x14ac:dyDescent="0.2">
      <c r="B71" s="1">
        <f>[28]FormattedData!A73</f>
        <v>306</v>
      </c>
      <c r="C71" s="1" t="str">
        <f>VLOOKUP($B71,[28]TrtCodes!$B$11:I116,2)</f>
        <v>FTL</v>
      </c>
      <c r="D71" s="1">
        <f>VLOOKUP($B71,[28]TrtCodes!$B$11:J116,3)</f>
        <v>4</v>
      </c>
      <c r="E71" s="1">
        <f>VLOOKUP($B71,[28]TrtCodes!$B$11:K116,4)</f>
        <v>1</v>
      </c>
      <c r="F71" s="1">
        <f>VLOOKUP($B71,[28]TrtCodes!$B$11:L116,5)</f>
        <v>2</v>
      </c>
      <c r="G71" s="1">
        <f>VLOOKUP($B71,[28]TrtCodes!$B$11:M116,6)</f>
        <v>1</v>
      </c>
      <c r="H71" s="1">
        <f>VLOOKUP($B71,[28]TrtCodes!$B$11:N116,7)</f>
        <v>4</v>
      </c>
      <c r="I71" s="1">
        <f>[28]FormattedData!B73</f>
        <v>2</v>
      </c>
      <c r="J71" s="4">
        <f>[28]FormattedData!C73</f>
        <v>13.31</v>
      </c>
      <c r="K71" s="6">
        <f>$J$3+[28]FormattedData!D73*$J$4+$M$4*$J$5+[28]FormattedData!D73^2*$J$6+$M$5*$J$7</f>
        <v>34.599559100305548</v>
      </c>
      <c r="L71" s="6">
        <f>$J$3+[28]FormattedData!E73*$J$4+$M$4*$J$5+[28]FormattedData!E73^2*$J$6+$M$5*$J$7</f>
        <v>34.599559100305548</v>
      </c>
      <c r="M71" s="6">
        <f>$J$3+[28]FormattedData!F73*$J$4+$M$4*$J$5+[28]FormattedData!F73^2*$J$6+$M$5*$J$7</f>
        <v>31.62584735947447</v>
      </c>
      <c r="N71" s="6">
        <f>$J$3+[28]FormattedData!G73*$J$4+$M$4*$J$5+[28]FormattedData!G73^2*$J$6+$M$5*$J$7</f>
        <v>32.30088121297738</v>
      </c>
      <c r="O71" s="6">
        <f>$J$3+[28]FormattedData!H73*$J$4+$M$4*$J$5+[28]FormattedData!H73^2*$J$6+$M$5*$J$7</f>
        <v>33.26162246368596</v>
      </c>
      <c r="P71" s="6">
        <f>$J$3+[28]FormattedData!I73*$J$4+$M$4*$J$5+[28]FormattedData!I73^2*$J$6+$M$5*$J$7</f>
        <v>33.069812361847696</v>
      </c>
      <c r="Q71" s="6">
        <f>$J$3+[28]FormattedData!J73*$J$4+$M$4*$J$5+[28]FormattedData!J73^2*$J$6+$M$5*$J$7</f>
        <v>32.877833185857703</v>
      </c>
      <c r="R71" s="6">
        <f>$J$3+[28]FormattedData!K73*$J$4+$M$4*$J$5+[28]FormattedData!K73^2*$J$6+$M$5*$J$7</f>
        <v>31.91540119363188</v>
      </c>
      <c r="S71" s="6">
        <f>$J$3+[28]FormattedData!L73*$J$4+$M$4*$J$5+[28]FormattedData!L73^2*$J$6+$M$5*$J$7</f>
        <v>33.836038324290421</v>
      </c>
      <c r="T71" s="6">
        <f>$J$3+[28]FormattedData!M73*$J$4+$M$4*$J$5+[28]FormattedData!M73^2*$J$6+$M$5*$J$7</f>
        <v>30.754903355953971</v>
      </c>
      <c r="U71" s="6">
        <f>$J$3+[28]FormattedData!N73*$J$4+$M$4*$J$5+[28]FormattedData!N73^2*$J$6+$M$5*$J$7</f>
        <v>32.30088121297738</v>
      </c>
      <c r="V71" s="6">
        <f>$J$3+[28]FormattedData!O73*$J$4+$M$4*$J$5+[28]FormattedData!O73^2*$J$6+$M$5*$J$7</f>
        <v>31.335913108475687</v>
      </c>
      <c r="W71" s="5">
        <f t="shared" si="9"/>
        <v>32.706520998315298</v>
      </c>
      <c r="X71" s="4">
        <f t="shared" si="10"/>
        <v>0.35593084063649338</v>
      </c>
      <c r="Y71" s="3">
        <f t="shared" si="11"/>
        <v>30.754903355953971</v>
      </c>
      <c r="Z71" s="2">
        <f t="shared" si="12"/>
        <v>31.843012735092529</v>
      </c>
      <c r="AA71" s="3">
        <f t="shared" si="13"/>
        <v>32.589357199417542</v>
      </c>
      <c r="AB71" s="2">
        <f t="shared" si="14"/>
        <v>33.405226428837075</v>
      </c>
      <c r="AC71" s="2">
        <f t="shared" si="15"/>
        <v>34.599559100305548</v>
      </c>
      <c r="AD71" s="2">
        <f t="shared" si="16"/>
        <v>0.19403783355887316</v>
      </c>
      <c r="AE71" s="2">
        <f t="shared" si="17"/>
        <v>-0.81034110850880836</v>
      </c>
    </row>
    <row r="72" spans="2:31" x14ac:dyDescent="0.2">
      <c r="B72" s="1">
        <f>[28]FormattedData!A75</f>
        <v>307</v>
      </c>
      <c r="C72" s="1" t="str">
        <f>VLOOKUP($B72,[28]TrtCodes!$B$11:I118,2)</f>
        <v>NTH</v>
      </c>
      <c r="D72" s="1">
        <f>VLOOKUP($B72,[28]TrtCodes!$B$11:J118,3)</f>
        <v>9</v>
      </c>
      <c r="E72" s="1">
        <f>VLOOKUP($B72,[28]TrtCodes!$B$11:K118,4)</f>
        <v>2</v>
      </c>
      <c r="F72" s="1">
        <f>VLOOKUP($B72,[28]TrtCodes!$B$11:L118,5)</f>
        <v>2</v>
      </c>
      <c r="G72" s="1">
        <f>VLOOKUP($B72,[28]TrtCodes!$B$11:M118,6)</f>
        <v>2</v>
      </c>
      <c r="H72" s="1">
        <f>VLOOKUP($B72,[28]TrtCodes!$B$11:N118,7)</f>
        <v>4</v>
      </c>
      <c r="I72" s="1">
        <f>[28]FormattedData!B75</f>
        <v>2</v>
      </c>
      <c r="J72" s="4">
        <f>[28]FormattedData!C75</f>
        <v>13.324999999999999</v>
      </c>
      <c r="K72" s="6">
        <f>$J$3+[28]FormattedData!D75*$J$4+$M$4*$J$5+[28]FormattedData!D75^2*$J$6+$M$5*$J$7</f>
        <v>33.93162636117507</v>
      </c>
      <c r="L72" s="6">
        <f>$J$3+[28]FormattedData!E75*$J$4+$M$4*$J$5+[28]FormattedData!E75^2*$J$6+$M$5*$J$7</f>
        <v>34.790016608930017</v>
      </c>
      <c r="M72" s="6">
        <f>$J$3+[28]FormattedData!F75*$J$4+$M$4*$J$5+[28]FormattedData!F75^2*$J$6+$M$5*$J$7</f>
        <v>35.170424403723779</v>
      </c>
      <c r="N72" s="6">
        <f>$J$3+[28]FormattedData!G75*$J$4+$M$4*$J$5+[28]FormattedData!G75^2*$J$6+$M$5*$J$7</f>
        <v>35.834510705902531</v>
      </c>
      <c r="O72" s="6">
        <f>$J$3+[28]FormattedData!H75*$J$4+$M$4*$J$5+[28]FormattedData!H75^2*$J$6+$M$5*$J$7</f>
        <v>34.885181960435361</v>
      </c>
      <c r="P72" s="6">
        <f>$J$3+[28]FormattedData!I75*$J$4+$M$4*$J$5+[28]FormattedData!I75^2*$J$6+$M$5*$J$7</f>
        <v>35.075385857832238</v>
      </c>
      <c r="Q72" s="6">
        <f>$J$3+[28]FormattedData!J75*$J$4+$M$4*$J$5+[28]FormattedData!J75^2*$J$6+$M$5*$J$7</f>
        <v>34.218136860601426</v>
      </c>
      <c r="R72" s="6">
        <f>$J$3+[28]FormattedData!K75*$J$4+$M$4*$J$5+[28]FormattedData!K75^2*$J$6+$M$5*$J$7</f>
        <v>34.02717212952178</v>
      </c>
      <c r="S72" s="6">
        <f>$J$3+[28]FormattedData!L75*$J$4+$M$4*$J$5+[28]FormattedData!L75^2*$J$6+$M$5*$J$7</f>
        <v>33.069812361847696</v>
      </c>
      <c r="T72" s="6">
        <f>$J$3+[28]FormattedData!M75*$J$4+$M$4*$J$5+[28]FormattedData!M75^2*$J$6+$M$5*$J$7</f>
        <v>35.45528643017083</v>
      </c>
      <c r="U72" s="6">
        <f>$J$3+[28]FormattedData!N75*$J$4+$M$4*$J$5+[28]FormattedData!N75^2*$J$6+$M$5*$J$7</f>
        <v>35.7397680397765</v>
      </c>
      <c r="V72" s="6">
        <f>$J$3+[28]FormattedData!O75*$J$4+$M$4*$J$5+[28]FormattedData!O75^2*$J$6+$M$5*$J$7</f>
        <v>38.001925910332162</v>
      </c>
      <c r="W72" s="5">
        <f t="shared" si="9"/>
        <v>35.01660396918745</v>
      </c>
      <c r="X72" s="4">
        <f t="shared" si="10"/>
        <v>0.35861640444266096</v>
      </c>
      <c r="Y72" s="3">
        <f t="shared" si="11"/>
        <v>33.069812361847696</v>
      </c>
      <c r="Z72" s="2">
        <f t="shared" si="12"/>
        <v>34.170395677831515</v>
      </c>
      <c r="AA72" s="3">
        <f t="shared" si="13"/>
        <v>34.980283909133803</v>
      </c>
      <c r="AB72" s="2">
        <f t="shared" si="14"/>
        <v>35.526406832572249</v>
      </c>
      <c r="AC72" s="2">
        <f t="shared" si="15"/>
        <v>38.001925910332162</v>
      </c>
      <c r="AD72" s="2">
        <f t="shared" si="16"/>
        <v>0.99419435075184392</v>
      </c>
      <c r="AE72" s="2">
        <f t="shared" si="17"/>
        <v>2.4043675868638532</v>
      </c>
    </row>
    <row r="73" spans="2:31" x14ac:dyDescent="0.2">
      <c r="B73" s="1">
        <f>[28]FormattedData!A77</f>
        <v>308</v>
      </c>
      <c r="C73" s="1" t="str">
        <f>VLOOKUP($B73,[28]TrtCodes!$B$11:I120,2)</f>
        <v>FDH</v>
      </c>
      <c r="D73" s="1">
        <f>VLOOKUP($B73,[28]TrtCodes!$B$11:J120,3)</f>
        <v>5</v>
      </c>
      <c r="E73" s="1">
        <f>VLOOKUP($B73,[28]TrtCodes!$B$11:K120,4)</f>
        <v>1</v>
      </c>
      <c r="F73" s="1">
        <f>VLOOKUP($B73,[28]TrtCodes!$B$11:L120,5)</f>
        <v>3</v>
      </c>
      <c r="G73" s="1">
        <f>VLOOKUP($B73,[28]TrtCodes!$B$11:M120,6)</f>
        <v>2</v>
      </c>
      <c r="H73" s="1">
        <f>VLOOKUP($B73,[28]TrtCodes!$B$11:N120,7)</f>
        <v>4</v>
      </c>
      <c r="I73" s="1">
        <f>[28]FormattedData!B77</f>
        <v>2</v>
      </c>
      <c r="J73" s="4">
        <f>[28]FormattedData!C77</f>
        <v>13.340999999999999</v>
      </c>
      <c r="K73" s="6">
        <f>$J$3+[28]FormattedData!D77*$J$4+$M$4*$J$5+[28]FormattedData!D77^2*$J$6+$M$5*$J$7</f>
        <v>32.685684935715983</v>
      </c>
      <c r="L73" s="6">
        <f>$J$3+[28]FormattedData!E77*$J$4+$M$4*$J$5+[28]FormattedData!E77^2*$J$6+$M$5*$J$7</f>
        <v>31.722407572731534</v>
      </c>
      <c r="M73" s="6">
        <f>$J$3+[28]FormattedData!F77*$J$4+$M$4*$J$5+[28]FormattedData!F77^2*$J$6+$M$5*$J$7</f>
        <v>34.408932517529358</v>
      </c>
      <c r="N73" s="6">
        <f>$J$3+[28]FormattedData!G77*$J$4+$M$4*$J$5+[28]FormattedData!G77^2*$J$6+$M$5*$J$7</f>
        <v>32.685684935715983</v>
      </c>
      <c r="O73" s="6">
        <f>$J$3+[28]FormattedData!H77*$J$4+$M$4*$J$5+[28]FormattedData!H77^2*$J$6+$M$5*$J$7</f>
        <v>34.122675629330573</v>
      </c>
      <c r="P73" s="6">
        <f>$J$3+[28]FormattedData!I77*$J$4+$M$4*$J$5+[28]FormattedData!I77^2*$J$6+$M$5*$J$7</f>
        <v>33.069812361847696</v>
      </c>
      <c r="Q73" s="6">
        <f>$J$3+[28]FormattedData!J77*$J$4+$M$4*$J$5+[28]FormattedData!J77^2*$J$6+$M$5*$J$7</f>
        <v>33.836038324290421</v>
      </c>
      <c r="R73" s="6">
        <f>$J$3+[28]FormattedData!K77*$J$4+$M$4*$J$5+[28]FormattedData!K77^2*$J$6+$M$5*$J$7</f>
        <v>29.198104753220193</v>
      </c>
      <c r="S73" s="6">
        <f>$J$3+[28]FormattedData!L77*$J$4+$M$4*$J$5+[28]FormattedData!L77^2*$J$6+$M$5*$J$7</f>
        <v>31.62584735947447</v>
      </c>
      <c r="T73" s="6">
        <f>$J$3+[28]FormattedData!M77*$J$4+$M$4*$J$5+[28]FormattedData!M77^2*$J$6+$M$5*$J$7</f>
        <v>32.973843908121665</v>
      </c>
      <c r="U73" s="6">
        <f>$J$3+[28]FormattedData!N77*$J$4+$M$4*$J$5+[28]FormattedData!N77^2*$J$6+$M$5*$J$7</f>
        <v>32.973843908121665</v>
      </c>
      <c r="V73" s="6">
        <f>$J$3+[28]FormattedData!O77*$J$4+$M$4*$J$5+[28]FormattedData!O77^2*$J$6+$M$5*$J$7</f>
        <v>31.432600127346543</v>
      </c>
      <c r="W73" s="5">
        <f t="shared" si="9"/>
        <v>32.561289694453841</v>
      </c>
      <c r="X73" s="4">
        <f t="shared" si="10"/>
        <v>0.41074920817717303</v>
      </c>
      <c r="Y73" s="3">
        <f t="shared" si="11"/>
        <v>29.198104753220193</v>
      </c>
      <c r="Z73" s="2">
        <f t="shared" si="12"/>
        <v>31.698267519417268</v>
      </c>
      <c r="AA73" s="3">
        <f t="shared" si="13"/>
        <v>32.829764421918824</v>
      </c>
      <c r="AB73" s="2">
        <f t="shared" si="14"/>
        <v>33.261368852458375</v>
      </c>
      <c r="AC73" s="2">
        <f t="shared" si="15"/>
        <v>34.408932517529358</v>
      </c>
      <c r="AD73" s="2">
        <f t="shared" si="16"/>
        <v>-1.0764928935892244</v>
      </c>
      <c r="AE73" s="2">
        <f t="shared" si="17"/>
        <v>1.7787517933026917</v>
      </c>
    </row>
    <row r="74" spans="2:31" x14ac:dyDescent="0.2">
      <c r="B74" s="1">
        <f>[28]FormattedData!A93</f>
        <v>401</v>
      </c>
      <c r="C74" s="1" t="str">
        <f>VLOOKUP($B74,[28]TrtCodes!$B$11:I130,2)</f>
        <v>NSH</v>
      </c>
      <c r="D74" s="1">
        <f>VLOOKUP($B74,[28]TrtCodes!$B$11:J130,3)</f>
        <v>7</v>
      </c>
      <c r="E74" s="1">
        <f>VLOOKUP($B74,[28]TrtCodes!$B$11:K130,4)</f>
        <v>2</v>
      </c>
      <c r="F74" s="1">
        <f>VLOOKUP($B74,[28]TrtCodes!$B$11:L130,5)</f>
        <v>1</v>
      </c>
      <c r="G74" s="1">
        <f>VLOOKUP($B74,[28]TrtCodes!$B$11:M130,6)</f>
        <v>2</v>
      </c>
      <c r="H74" s="1">
        <f>VLOOKUP($B74,[28]TrtCodes!$B$11:N130,7)</f>
        <v>3</v>
      </c>
      <c r="I74" s="1">
        <f>[28]FormattedData!B93</f>
        <v>2</v>
      </c>
      <c r="J74" s="4">
        <f>[28]FormattedData!C93</f>
        <v>13.473000000000001</v>
      </c>
      <c r="K74" s="6">
        <f>$J$3+[28]FormattedData!D93*$J$4+$M$4*$J$5+[28]FormattedData!D93^2*$J$6+$M$5*$J$7</f>
        <v>30.754903355953971</v>
      </c>
      <c r="L74" s="6">
        <f>$J$3+[28]FormattedData!E93*$J$4+$M$4*$J$5+[28]FormattedData!E93^2*$J$6+$M$5*$J$7</f>
        <v>30.560895290143282</v>
      </c>
      <c r="M74" s="6">
        <f>$J$3+[28]FormattedData!F93*$J$4+$M$4*$J$5+[28]FormattedData!F93^2*$J$6+$M$5*$J$7</f>
        <v>30.463827854431045</v>
      </c>
      <c r="N74" s="6">
        <f>$J$3+[28]FormattedData!G93*$J$4+$M$4*$J$5+[28]FormattedData!G93^2*$J$6+$M$5*$J$7</f>
        <v>29.002744094195709</v>
      </c>
      <c r="O74" s="6">
        <f>$J$3+[28]FormattedData!H93*$J$4+$M$4*$J$5+[28]FormattedData!H93^2*$J$6+$M$5*$J$7</f>
        <v>30.269566177392768</v>
      </c>
      <c r="P74" s="6">
        <f>$J$3+[28]FormattedData!I93*$J$4+$M$4*$J$5+[28]FormattedData!I93^2*$J$6+$M$5*$J$7</f>
        <v>30.948742347612932</v>
      </c>
      <c r="Q74" s="6">
        <f>$J$3+[28]FormattedData!J93*$J$4+$M$4*$J$5+[28]FormattedData!J93^2*$J$6+$M$5*$J$7</f>
        <v>30.948742347612932</v>
      </c>
      <c r="R74" s="6">
        <f>$J$3+[28]FormattedData!K93*$J$4+$M$4*$J$5+[28]FormattedData!K93^2*$J$6+$M$5*$J$7</f>
        <v>31.818925517450673</v>
      </c>
      <c r="S74" s="6">
        <f>$J$3+[28]FormattedData!L93*$J$4+$M$4*$J$5+[28]FormattedData!L93^2*$J$6+$M$5*$J$7</f>
        <v>31.818925517450673</v>
      </c>
      <c r="T74" s="6">
        <f>$J$3+[28]FormattedData!M93*$J$4+$M$4*$J$5+[28]FormattedData!M93^2*$J$6+$M$5*$J$7</f>
        <v>29.977856647800877</v>
      </c>
      <c r="U74" s="6">
        <f>$J$3+[28]FormattedData!N93*$J$4+$M$4*$J$5+[28]FormattedData!N93^2*$J$6+$M$5*$J$7</f>
        <v>31.239183821066888</v>
      </c>
      <c r="V74" s="6">
        <f>$J$3+[28]FormattedData!O93*$J$4+$M$4*$J$5+[28]FormattedData!O93^2*$J$6+$M$5*$J$7</f>
        <v>32.204574610947894</v>
      </c>
      <c r="W74" s="5">
        <f t="shared" ref="W74:W105" si="18">AVERAGE(K74:V74)</f>
        <v>30.83407396517163</v>
      </c>
      <c r="X74" s="4">
        <f t="shared" ref="X74:X85" si="19">STDEV(K74:V74)/SQRT(COUNT(K74:V74))</f>
        <v>0.25572345149480402</v>
      </c>
      <c r="Y74" s="3">
        <f t="shared" ref="Y74:Y85" si="20">MIN(K74:V74)</f>
        <v>29.002744094195709</v>
      </c>
      <c r="Z74" s="2">
        <f t="shared" ref="Z74:Z85" si="21">QUARTILE(K74:V74,1)</f>
        <v>30.415262435171478</v>
      </c>
      <c r="AA74" s="3">
        <f t="shared" ref="AA74:AA85" si="22">MEDIAN(K74:V74)</f>
        <v>30.851822851783453</v>
      </c>
      <c r="AB74" s="2">
        <f t="shared" ref="AB74:AB85" si="23">QUARTILE(K74:V74,3)</f>
        <v>31.384119245162836</v>
      </c>
      <c r="AC74" s="2">
        <f t="shared" ref="AC74:AC85" si="24">MAX(K74:V74)</f>
        <v>32.204574610947894</v>
      </c>
      <c r="AD74" s="2">
        <f t="shared" ref="AD74:AD85" si="25">SKEW(K74:V74)</f>
        <v>-0.38713500168352805</v>
      </c>
      <c r="AE74" s="2">
        <f t="shared" ref="AE74:AE85" si="26">KURT(K74:V74)</f>
        <v>0.40572946928538922</v>
      </c>
    </row>
    <row r="75" spans="2:31" x14ac:dyDescent="0.2">
      <c r="B75" s="1">
        <f>[28]FormattedData!A91</f>
        <v>402</v>
      </c>
      <c r="C75" s="1" t="str">
        <f>VLOOKUP($B75,[28]TrtCodes!$B$11:I131,2)</f>
        <v>NTH</v>
      </c>
      <c r="D75" s="1">
        <f>VLOOKUP($B75,[28]TrtCodes!$B$11:J131,3)</f>
        <v>9</v>
      </c>
      <c r="E75" s="1">
        <f>VLOOKUP($B75,[28]TrtCodes!$B$11:K131,4)</f>
        <v>2</v>
      </c>
      <c r="F75" s="1">
        <f>VLOOKUP($B75,[28]TrtCodes!$B$11:L131,5)</f>
        <v>2</v>
      </c>
      <c r="G75" s="1">
        <f>VLOOKUP($B75,[28]TrtCodes!$B$11:M131,6)</f>
        <v>2</v>
      </c>
      <c r="H75" s="1">
        <f>VLOOKUP($B75,[28]TrtCodes!$B$11:N131,7)</f>
        <v>3</v>
      </c>
      <c r="I75" s="1">
        <f>[28]FormattedData!B91</f>
        <v>2</v>
      </c>
      <c r="J75" s="4">
        <f>[28]FormattedData!C91</f>
        <v>13.458</v>
      </c>
      <c r="K75" s="6">
        <f>$J$3+[28]FormattedData!D91*$J$4+$M$4*$J$5+[28]FormattedData!D91^2*$J$6+$M$5*$J$7</f>
        <v>32.204574610947894</v>
      </c>
      <c r="L75" s="6">
        <f>$J$3+[28]FormattedData!E91*$J$4+$M$4*$J$5+[28]FormattedData!E91^2*$J$6+$M$5*$J$7</f>
        <v>31.045598440635512</v>
      </c>
      <c r="M75" s="6">
        <f>$J$3+[28]FormattedData!F91*$J$4+$M$4*$J$5+[28]FormattedData!F91^2*$J$6+$M$5*$J$7</f>
        <v>30.948742347612932</v>
      </c>
      <c r="N75" s="6">
        <f>$J$3+[28]FormattedData!G91*$J$4+$M$4*$J$5+[28]FormattedData!G91^2*$J$6+$M$5*$J$7</f>
        <v>31.432600127346543</v>
      </c>
      <c r="O75" s="6">
        <f>$J$3+[28]FormattedData!H91*$J$4+$M$4*$J$5+[28]FormattedData!H91^2*$J$6+$M$5*$J$7</f>
        <v>32.204574610947894</v>
      </c>
      <c r="P75" s="6">
        <f>$J$3+[28]FormattedData!I91*$J$4+$M$4*$J$5+[28]FormattedData!I91^2*$J$6+$M$5*$J$7</f>
        <v>30.560895290143282</v>
      </c>
      <c r="Q75" s="6">
        <f>$J$3+[28]FormattedData!J91*$J$4+$M$4*$J$5+[28]FormattedData!J91^2*$J$6+$M$5*$J$7</f>
        <v>30.657920457317594</v>
      </c>
      <c r="R75" s="6">
        <f>$J$3+[28]FormattedData!K91*$J$4+$M$4*$J$5+[28]FormattedData!K91^2*$J$6+$M$5*$J$7</f>
        <v>31.818925517450673</v>
      </c>
      <c r="S75" s="6">
        <f>$J$3+[28]FormattedData!L91*$J$4+$M$4*$J$5+[28]FormattedData!L91^2*$J$6+$M$5*$J$7</f>
        <v>32.973843908121665</v>
      </c>
      <c r="T75" s="6">
        <f>$J$3+[28]FormattedData!M91*$J$4+$M$4*$J$5+[28]FormattedData!M91^2*$J$6+$M$5*$J$7</f>
        <v>33.26162246368596</v>
      </c>
      <c r="U75" s="6">
        <f>$J$3+[28]FormattedData!N91*$J$4+$M$4*$J$5+[28]FormattedData!N91^2*$J$6+$M$5*$J$7</f>
        <v>34.218136860601426</v>
      </c>
      <c r="V75" s="6">
        <f>$J$3+[28]FormattedData!O91*$J$4+$M$4*$J$5+[28]FormattedData!O91^2*$J$6+$M$5*$J$7</f>
        <v>32.781780195055809</v>
      </c>
      <c r="W75" s="5">
        <f t="shared" si="18"/>
        <v>32.009101235822264</v>
      </c>
      <c r="X75" s="4">
        <f t="shared" si="19"/>
        <v>0.3302551538116173</v>
      </c>
      <c r="Y75" s="3">
        <f t="shared" si="20"/>
        <v>30.560895290143282</v>
      </c>
      <c r="Z75" s="2">
        <f t="shared" si="21"/>
        <v>31.021384417379867</v>
      </c>
      <c r="AA75" s="3">
        <f t="shared" si="22"/>
        <v>32.011750064199283</v>
      </c>
      <c r="AB75" s="2">
        <f t="shared" si="23"/>
        <v>32.829796123322275</v>
      </c>
      <c r="AC75" s="2">
        <f t="shared" si="24"/>
        <v>34.218136860601426</v>
      </c>
      <c r="AD75" s="2">
        <f t="shared" si="25"/>
        <v>0.46114828067234986</v>
      </c>
      <c r="AE75" s="2">
        <f t="shared" si="26"/>
        <v>-0.58663913010113866</v>
      </c>
    </row>
    <row r="76" spans="2:31" x14ac:dyDescent="0.2">
      <c r="B76" s="1">
        <f>[28]FormattedData!A89</f>
        <v>403</v>
      </c>
      <c r="C76" s="1" t="str">
        <f>VLOOKUP($B76,[28]TrtCodes!$B$11:I132,2)</f>
        <v>FDL</v>
      </c>
      <c r="D76" s="1">
        <f>VLOOKUP($B76,[28]TrtCodes!$B$11:J132,3)</f>
        <v>6</v>
      </c>
      <c r="E76" s="1">
        <f>VLOOKUP($B76,[28]TrtCodes!$B$11:K132,4)</f>
        <v>1</v>
      </c>
      <c r="F76" s="1">
        <f>VLOOKUP($B76,[28]TrtCodes!$B$11:L132,5)</f>
        <v>3</v>
      </c>
      <c r="G76" s="1">
        <f>VLOOKUP($B76,[28]TrtCodes!$B$11:M132,6)</f>
        <v>1</v>
      </c>
      <c r="H76" s="1">
        <f>VLOOKUP($B76,[28]TrtCodes!$B$11:N132,7)</f>
        <v>3</v>
      </c>
      <c r="I76" s="1">
        <f>[28]FormattedData!B89</f>
        <v>2</v>
      </c>
      <c r="J76" s="4">
        <f>[28]FormattedData!C89</f>
        <v>13.441000000000001</v>
      </c>
      <c r="K76" s="6">
        <f>$J$3+[28]FormattedData!D89*$J$4+$M$4*$J$5+[28]FormattedData!D89^2*$J$6+$M$5*$J$7</f>
        <v>32.589547407838232</v>
      </c>
      <c r="L76" s="6">
        <f>$J$3+[28]FormattedData!E89*$J$4+$M$4*$J$5+[28]FormattedData!E89^2*$J$6+$M$5*$J$7</f>
        <v>30.172371936066739</v>
      </c>
      <c r="M76" s="6">
        <f>$J$3+[28]FormattedData!F89*$J$4+$M$4*$J$5+[28]FormattedData!F89^2*$J$6+$M$5*$J$7</f>
        <v>30.07513542620277</v>
      </c>
      <c r="N76" s="6">
        <f>$J$3+[28]FormattedData!G89*$J$4+$M$4*$J$5+[28]FormattedData!G89^2*$J$6+$M$5*$J$7</f>
        <v>32.10822574038049</v>
      </c>
      <c r="O76" s="6">
        <f>$J$3+[28]FormattedData!H89*$J$4+$M$4*$J$5+[28]FormattedData!H89^2*$J$6+$M$5*$J$7</f>
        <v>35.644983105112544</v>
      </c>
      <c r="P76" s="6">
        <f>$J$3+[28]FormattedData!I89*$J$4+$M$4*$J$5+[28]FormattedData!I89^2*$J$6+$M$5*$J$7</f>
        <v>30.463827854431045</v>
      </c>
      <c r="Q76" s="6">
        <f>$J$3+[28]FormattedData!J89*$J$4+$M$4*$J$5+[28]FormattedData!J89^2*$J$6+$M$5*$J$7</f>
        <v>32.685684935715983</v>
      </c>
      <c r="R76" s="6">
        <f>$J$3+[28]FormattedData!K89*$J$4+$M$4*$J$5+[28]FormattedData!K89^2*$J$6+$M$5*$J$7</f>
        <v>29.685766701367605</v>
      </c>
      <c r="S76" s="6">
        <f>$J$3+[28]FormattedData!L89*$J$4+$M$4*$J$5+[28]FormattedData!L89^2*$J$6+$M$5*$J$7</f>
        <v>33.836038324290421</v>
      </c>
      <c r="T76" s="6">
        <f>$J$3+[28]FormattedData!M89*$J$4+$M$4*$J$5+[28]FormattedData!M89^2*$J$6+$M$5*$J$7</f>
        <v>29.977856647800877</v>
      </c>
      <c r="U76" s="6">
        <f>$J$3+[28]FormattedData!N89*$J$4+$M$4*$J$5+[28]FormattedData!N89^2*$J$6+$M$5*$J$7</f>
        <v>33.740408018867832</v>
      </c>
      <c r="V76" s="6">
        <f>$J$3+[28]FormattedData!O89*$J$4+$M$4*$J$5+[28]FormattedData!O89^2*$J$6+$M$5*$J$7</f>
        <v>32.685684935715983</v>
      </c>
      <c r="W76" s="5">
        <f t="shared" si="18"/>
        <v>31.97212758614921</v>
      </c>
      <c r="X76" s="4">
        <f t="shared" si="19"/>
        <v>0.54928421138896111</v>
      </c>
      <c r="Y76" s="3">
        <f t="shared" si="20"/>
        <v>29.685766701367605</v>
      </c>
      <c r="Z76" s="2">
        <f t="shared" si="21"/>
        <v>30.148062808600748</v>
      </c>
      <c r="AA76" s="3">
        <f t="shared" si="22"/>
        <v>32.348886574109358</v>
      </c>
      <c r="AB76" s="2">
        <f t="shared" si="23"/>
        <v>32.949365706503947</v>
      </c>
      <c r="AC76" s="2">
        <f t="shared" si="24"/>
        <v>35.644983105112544</v>
      </c>
      <c r="AD76" s="2">
        <f t="shared" si="25"/>
        <v>0.42034334154113029</v>
      </c>
      <c r="AE76" s="2">
        <f t="shared" si="26"/>
        <v>-0.71256923092748758</v>
      </c>
    </row>
    <row r="77" spans="2:31" x14ac:dyDescent="0.2">
      <c r="B77" s="1">
        <f>[28]FormattedData!A87</f>
        <v>404</v>
      </c>
      <c r="C77" s="1" t="str">
        <f>VLOOKUP($B77,[28]TrtCodes!$B$11:I130,2)</f>
        <v>FTH</v>
      </c>
      <c r="D77" s="1">
        <f>VLOOKUP($B77,[28]TrtCodes!$B$11:J130,3)</f>
        <v>3</v>
      </c>
      <c r="E77" s="1">
        <f>VLOOKUP($B77,[28]TrtCodes!$B$11:K130,4)</f>
        <v>1</v>
      </c>
      <c r="F77" s="1">
        <f>VLOOKUP($B77,[28]TrtCodes!$B$11:L130,5)</f>
        <v>2</v>
      </c>
      <c r="G77" s="1">
        <f>VLOOKUP($B77,[28]TrtCodes!$B$11:M130,6)</f>
        <v>2</v>
      </c>
      <c r="H77" s="1">
        <f>VLOOKUP($B77,[28]TrtCodes!$B$11:N130,7)</f>
        <v>3</v>
      </c>
      <c r="I77" s="1">
        <f>[28]FormattedData!B87</f>
        <v>2</v>
      </c>
      <c r="J77" s="4">
        <f>[28]FormattedData!C87</f>
        <v>13.426</v>
      </c>
      <c r="K77" s="6">
        <f>$J$3+[28]FormattedData!D87*$J$4+$M$4*$J$5+[28]FormattedData!D87^2*$J$6+$M$5*$J$7</f>
        <v>34.980305043402758</v>
      </c>
      <c r="L77" s="6">
        <f>$J$3+[28]FormattedData!E87*$J$4+$M$4*$J$5+[28]FormattedData!E87^2*$J$6+$M$5*$J$7</f>
        <v>32.973843908121665</v>
      </c>
      <c r="M77" s="6">
        <f>$J$3+[28]FormattedData!F87*$J$4+$M$4*$J$5+[28]FormattedData!F87^2*$J$6+$M$5*$J$7</f>
        <v>32.877833185857703</v>
      </c>
      <c r="N77" s="6">
        <f>$J$3+[28]FormattedData!G87*$J$4+$M$4*$J$5+[28]FormattedData!G87^2*$J$6+$M$5*$J$7</f>
        <v>35.360374689893085</v>
      </c>
      <c r="O77" s="6">
        <f>$J$3+[28]FormattedData!H87*$J$4+$M$4*$J$5+[28]FormattedData!H87^2*$J$6+$M$5*$J$7</f>
        <v>35.834510705902531</v>
      </c>
      <c r="P77" s="6">
        <f>$J$3+[28]FormattedData!I87*$J$4+$M$4*$J$5+[28]FormattedData!I87^2*$J$6+$M$5*$J$7</f>
        <v>34.122675629330573</v>
      </c>
      <c r="Q77" s="6">
        <f>$J$3+[28]FormattedData!J87*$J$4+$M$4*$J$5+[28]FormattedData!J87^2*$J$6+$M$5*$J$7</f>
        <v>37.720487635457538</v>
      </c>
      <c r="R77" s="6">
        <f>$J$3+[28]FormattedData!K87*$J$4+$M$4*$J$5+[28]FormattedData!K87^2*$J$6+$M$5*$J$7</f>
        <v>34.599559100305548</v>
      </c>
      <c r="S77" s="6">
        <f>$J$3+[28]FormattedData!L87*$J$4+$M$4*$J$5+[28]FormattedData!L87^2*$J$6+$M$5*$J$7</f>
        <v>36.307590008463698</v>
      </c>
      <c r="T77" s="6">
        <f>$J$3+[28]FormattedData!M87*$J$4+$M$4*$J$5+[28]FormattedData!M87^2*$J$6+$M$5*$J$7</f>
        <v>33.165738547035794</v>
      </c>
      <c r="U77" s="6">
        <f>$J$3+[28]FormattedData!N87*$J$4+$M$4*$J$5+[28]FormattedData!N87^2*$J$6+$M$5*$J$7</f>
        <v>35.550155901910649</v>
      </c>
      <c r="V77" s="6">
        <f>$J$3+[28]FormattedData!O87*$J$4+$M$4*$J$5+[28]FormattedData!O87^2*$J$6+$M$5*$J$7</f>
        <v>35.550155901910649</v>
      </c>
      <c r="W77" s="5">
        <f t="shared" si="18"/>
        <v>34.920269188132686</v>
      </c>
      <c r="X77" s="4">
        <f t="shared" si="19"/>
        <v>0.42076802141082831</v>
      </c>
      <c r="Y77" s="3">
        <f t="shared" si="20"/>
        <v>32.877833185857703</v>
      </c>
      <c r="Z77" s="2">
        <f t="shared" si="21"/>
        <v>33.883441358756876</v>
      </c>
      <c r="AA77" s="3">
        <f t="shared" si="22"/>
        <v>35.170339866647922</v>
      </c>
      <c r="AB77" s="2">
        <f t="shared" si="23"/>
        <v>35.621244602908618</v>
      </c>
      <c r="AC77" s="2">
        <f t="shared" si="24"/>
        <v>37.720487635457538</v>
      </c>
      <c r="AD77" s="2">
        <f t="shared" si="25"/>
        <v>0.14587680675967518</v>
      </c>
      <c r="AE77" s="2">
        <f t="shared" si="26"/>
        <v>-0.26695085233832172</v>
      </c>
    </row>
    <row r="78" spans="2:31" x14ac:dyDescent="0.2">
      <c r="B78" s="1">
        <f>[28]FormattedData!A85</f>
        <v>405</v>
      </c>
      <c r="C78" s="1" t="str">
        <f>VLOOKUP($B78,[28]TrtCodes!$B$11:I128,2)</f>
        <v>FDL</v>
      </c>
      <c r="D78" s="1">
        <f>VLOOKUP($B78,[28]TrtCodes!$B$11:J128,3)</f>
        <v>6</v>
      </c>
      <c r="E78" s="1">
        <f>VLOOKUP($B78,[28]TrtCodes!$B$11:K128,4)</f>
        <v>1</v>
      </c>
      <c r="F78" s="1">
        <f>VLOOKUP($B78,[28]TrtCodes!$B$11:L128,5)</f>
        <v>3</v>
      </c>
      <c r="G78" s="1">
        <f>VLOOKUP($B78,[28]TrtCodes!$B$11:M128,6)</f>
        <v>1</v>
      </c>
      <c r="H78" s="1">
        <f>VLOOKUP($B78,[28]TrtCodes!$B$11:N128,7)</f>
        <v>4</v>
      </c>
      <c r="I78" s="1">
        <f>[28]FormattedData!B85</f>
        <v>2</v>
      </c>
      <c r="J78" s="4">
        <f>[28]FormattedData!C85</f>
        <v>13.411</v>
      </c>
      <c r="K78" s="6">
        <f>$J$3+[28]FormattedData!D85*$J$4+$M$4*$J$5+[28]FormattedData!D85^2*$J$6+$M$5*$J$7</f>
        <v>30.948742347612932</v>
      </c>
      <c r="L78" s="6">
        <f>$J$3+[28]FormattedData!E85*$J$4+$M$4*$J$5+[28]FormattedData!E85^2*$J$6+$M$5*$J$7</f>
        <v>33.357464111798201</v>
      </c>
      <c r="M78" s="6">
        <f>$J$3+[28]FormattedData!F85*$J$4+$M$4*$J$5+[28]FormattedData!F85^2*$J$6+$M$5*$J$7</f>
        <v>33.165738547035794</v>
      </c>
      <c r="N78" s="6">
        <f>$J$3+[28]FormattedData!G85*$J$4+$M$4*$J$5+[28]FormattedData!G85^2*$J$6+$M$5*$J$7</f>
        <v>33.644735444907326</v>
      </c>
      <c r="O78" s="6">
        <f>$J$3+[28]FormattedData!H85*$J$4+$M$4*$J$5+[28]FormattedData!H85^2*$J$6+$M$5*$J$7</f>
        <v>34.313555823334354</v>
      </c>
      <c r="P78" s="6">
        <f>$J$3+[28]FormattedData!I85*$J$4+$M$4*$J$5+[28]FormattedData!I85^2*$J$6+$M$5*$J$7</f>
        <v>31.529244877679474</v>
      </c>
      <c r="Q78" s="6">
        <f>$J$3+[28]FormattedData!J85*$J$4+$M$4*$J$5+[28]FormattedData!J85^2*$J$6+$M$5*$J$7</f>
        <v>34.313555823334354</v>
      </c>
      <c r="R78" s="6">
        <f>$J$3+[28]FormattedData!K85*$J$4+$M$4*$J$5+[28]FormattedData!K85^2*$J$6+$M$5*$J$7</f>
        <v>32.685684935715983</v>
      </c>
      <c r="S78" s="6">
        <f>$J$3+[28]FormattedData!L85*$J$4+$M$4*$J$5+[28]FormattedData!L85^2*$J$6+$M$5*$J$7</f>
        <v>33.453263491372503</v>
      </c>
      <c r="T78" s="6">
        <f>$J$3+[28]FormattedData!M85*$J$4+$M$4*$J$5+[28]FormattedData!M85^2*$J$6+$M$5*$J$7</f>
        <v>31.045598440635512</v>
      </c>
      <c r="U78" s="6">
        <f>$J$3+[28]FormattedData!N85*$J$4+$M$4*$J$5+[28]FormattedData!N85^2*$J$6+$M$5*$J$7</f>
        <v>35.360374689893085</v>
      </c>
      <c r="V78" s="6">
        <f>$J$3+[28]FormattedData!O85*$J$4+$M$4*$J$5+[28]FormattedData!O85^2*$J$6+$M$5*$J$7</f>
        <v>31.722407572731534</v>
      </c>
      <c r="W78" s="5">
        <f t="shared" si="18"/>
        <v>32.961697175504256</v>
      </c>
      <c r="X78" s="4">
        <f t="shared" si="19"/>
        <v>0.40547860849939182</v>
      </c>
      <c r="Y78" s="3">
        <f t="shared" si="20"/>
        <v>30.948742347612932</v>
      </c>
      <c r="Z78" s="2">
        <f t="shared" si="21"/>
        <v>31.674116898968521</v>
      </c>
      <c r="AA78" s="3">
        <f t="shared" si="22"/>
        <v>33.261601329416997</v>
      </c>
      <c r="AB78" s="2">
        <f t="shared" si="23"/>
        <v>33.811940539514083</v>
      </c>
      <c r="AC78" s="2">
        <f t="shared" si="24"/>
        <v>35.360374689893085</v>
      </c>
      <c r="AD78" s="2">
        <f t="shared" si="25"/>
        <v>-3.1679486163257546E-2</v>
      </c>
      <c r="AE78" s="2">
        <f t="shared" si="26"/>
        <v>-0.93409929524462765</v>
      </c>
    </row>
    <row r="79" spans="2:31" x14ac:dyDescent="0.2">
      <c r="B79" s="1">
        <f>[28]FormattedData!A83</f>
        <v>406</v>
      </c>
      <c r="C79" s="1" t="str">
        <f>VLOOKUP($B79,[28]TrtCodes!$B$11:I126,2)</f>
        <v>FTH</v>
      </c>
      <c r="D79" s="1">
        <f>VLOOKUP($B79,[28]TrtCodes!$B$11:J126,3)</f>
        <v>3</v>
      </c>
      <c r="E79" s="1">
        <f>VLOOKUP($B79,[28]TrtCodes!$B$11:K126,4)</f>
        <v>1</v>
      </c>
      <c r="F79" s="1">
        <f>VLOOKUP($B79,[28]TrtCodes!$B$11:L126,5)</f>
        <v>2</v>
      </c>
      <c r="G79" s="1">
        <f>VLOOKUP($B79,[28]TrtCodes!$B$11:M126,6)</f>
        <v>2</v>
      </c>
      <c r="H79" s="1">
        <f>VLOOKUP($B79,[28]TrtCodes!$B$11:N126,7)</f>
        <v>4</v>
      </c>
      <c r="I79" s="1">
        <f>[28]FormattedData!B83</f>
        <v>2</v>
      </c>
      <c r="J79" s="4">
        <f>[28]FormattedData!C83</f>
        <v>13.395</v>
      </c>
      <c r="K79" s="6">
        <f>$J$3+[28]FormattedData!D83*$J$4+$M$4*$J$5+[28]FormattedData!D83^2*$J$6+$M$5*$J$7</f>
        <v>34.02717212952178</v>
      </c>
      <c r="L79" s="6">
        <f>$J$3+[28]FormattedData!E83*$J$4+$M$4*$J$5+[28]FormattedData!E83^2*$J$6+$M$5*$J$7</f>
        <v>33.740408018867832</v>
      </c>
      <c r="M79" s="6">
        <f>$J$3+[28]FormattedData!F83*$J$4+$M$4*$J$5+[28]FormattedData!F83^2*$J$6+$M$5*$J$7</f>
        <v>31.432600127346543</v>
      </c>
      <c r="N79" s="6">
        <f>$J$3+[28]FormattedData!G83*$J$4+$M$4*$J$5+[28]FormattedData!G83^2*$J$6+$M$5*$J$7</f>
        <v>32.781780195055809</v>
      </c>
      <c r="O79" s="6">
        <f>$J$3+[28]FormattedData!H83*$J$4+$M$4*$J$5+[28]FormattedData!H83^2*$J$6+$M$5*$J$7</f>
        <v>34.694808988886741</v>
      </c>
      <c r="P79" s="6">
        <f>$J$3+[28]FormattedData!I83*$J$4+$M$4*$J$5+[28]FormattedData!I83^2*$J$6+$M$5*$J$7</f>
        <v>33.836038324290421</v>
      </c>
      <c r="Q79" s="6">
        <f>$J$3+[28]FormattedData!J83*$J$4+$M$4*$J$5+[28]FormattedData!J83^2*$J$6+$M$5*$J$7</f>
        <v>34.790016608930017</v>
      </c>
      <c r="R79" s="6">
        <f>$J$3+[28]FormattedData!K83*$J$4+$M$4*$J$5+[28]FormattedData!K83^2*$J$6+$M$5*$J$7</f>
        <v>36.118485093053025</v>
      </c>
      <c r="S79" s="6">
        <f>$J$3+[28]FormattedData!L83*$J$4+$M$4*$J$5+[28]FormattedData!L83^2*$J$6+$M$5*$J$7</f>
        <v>35.075385857832238</v>
      </c>
      <c r="T79" s="6">
        <f>$J$3+[28]FormattedData!M83*$J$4+$M$4*$J$5+[28]FormattedData!M83^2*$J$6+$M$5*$J$7</f>
        <v>33.26162246368596</v>
      </c>
      <c r="U79" s="6">
        <f>$J$3+[28]FormattedData!N83*$J$4+$M$4*$J$5+[28]FormattedData!N83^2*$J$6+$M$5*$J$7</f>
        <v>35.265420681077401</v>
      </c>
      <c r="V79" s="6">
        <f>$J$3+[28]FormattedData!O83*$J$4+$M$4*$J$5+[28]FormattedData!O83^2*$J$6+$M$5*$J$7</f>
        <v>34.980305043402758</v>
      </c>
      <c r="W79" s="5">
        <f t="shared" si="18"/>
        <v>34.167003627662545</v>
      </c>
      <c r="X79" s="4">
        <f t="shared" si="19"/>
        <v>0.36612981306841091</v>
      </c>
      <c r="Y79" s="3">
        <f t="shared" si="20"/>
        <v>31.432600127346543</v>
      </c>
      <c r="Z79" s="2">
        <f t="shared" si="21"/>
        <v>33.620711630072364</v>
      </c>
      <c r="AA79" s="3">
        <f t="shared" si="22"/>
        <v>34.360990559204261</v>
      </c>
      <c r="AB79" s="2">
        <f t="shared" si="23"/>
        <v>35.004075247010128</v>
      </c>
      <c r="AC79" s="2">
        <f t="shared" si="24"/>
        <v>36.118485093053025</v>
      </c>
      <c r="AD79" s="2">
        <f t="shared" si="25"/>
        <v>-0.7233659195705866</v>
      </c>
      <c r="AE79" s="2">
        <f t="shared" si="26"/>
        <v>0.69276425114082318</v>
      </c>
    </row>
    <row r="80" spans="2:31" x14ac:dyDescent="0.2">
      <c r="B80" s="1">
        <f>[28]FormattedData!A81</f>
        <v>407</v>
      </c>
      <c r="C80" s="1" t="str">
        <f>VLOOKUP($B80,[28]TrtCodes!$B$11:I124,2)</f>
        <v>NSH</v>
      </c>
      <c r="D80" s="1">
        <f>VLOOKUP($B80,[28]TrtCodes!$B$11:J124,3)</f>
        <v>7</v>
      </c>
      <c r="E80" s="1">
        <f>VLOOKUP($B80,[28]TrtCodes!$B$11:K124,4)</f>
        <v>2</v>
      </c>
      <c r="F80" s="1">
        <f>VLOOKUP($B80,[28]TrtCodes!$B$11:L124,5)</f>
        <v>1</v>
      </c>
      <c r="G80" s="1">
        <f>VLOOKUP($B80,[28]TrtCodes!$B$11:M124,6)</f>
        <v>2</v>
      </c>
      <c r="H80" s="1">
        <f>VLOOKUP($B80,[28]TrtCodes!$B$11:N124,7)</f>
        <v>4</v>
      </c>
      <c r="I80" s="1">
        <f>[28]FormattedData!B81</f>
        <v>2</v>
      </c>
      <c r="J80" s="4">
        <f>[28]FormattedData!C81</f>
        <v>13.379</v>
      </c>
      <c r="K80" s="6">
        <f>$J$3+[28]FormattedData!D81*$J$4+$M$4*$J$5+[28]FormattedData!D81^2*$J$6+$M$5*$J$7</f>
        <v>32.589547407838232</v>
      </c>
      <c r="L80" s="6">
        <f>$J$3+[28]FormattedData!E81*$J$4+$M$4*$J$5+[28]FormattedData!E81^2*$J$6+$M$5*$J$7</f>
        <v>32.973843908121665</v>
      </c>
      <c r="M80" s="6">
        <f>$J$3+[28]FormattedData!F81*$J$4+$M$4*$J$5+[28]FormattedData!F81^2*$J$6+$M$5*$J$7</f>
        <v>31.432600127346543</v>
      </c>
      <c r="N80" s="6">
        <f>$J$3+[28]FormattedData!G81*$J$4+$M$4*$J$5+[28]FormattedData!G81^2*$J$6+$M$5*$J$7</f>
        <v>32.011834601275147</v>
      </c>
      <c r="O80" s="6">
        <f>$J$3+[28]FormattedData!H81*$J$4+$M$4*$J$5+[28]FormattedData!H81^2*$J$6+$M$5*$J$7</f>
        <v>32.973843908121665</v>
      </c>
      <c r="P80" s="6">
        <f>$J$3+[28]FormattedData!I81*$J$4+$M$4*$J$5+[28]FormattedData!I81^2*$J$6+$M$5*$J$7</f>
        <v>31.91540119363188</v>
      </c>
      <c r="Q80" s="6">
        <f>$J$3+[28]FormattedData!J81*$J$4+$M$4*$J$5+[28]FormattedData!J81^2*$J$6+$M$5*$J$7</f>
        <v>34.218136860601426</v>
      </c>
      <c r="R80" s="6">
        <f>$J$3+[28]FormattedData!K81*$J$4+$M$4*$J$5+[28]FormattedData!K81^2*$J$6+$M$5*$J$7</f>
        <v>31.335913108475687</v>
      </c>
      <c r="S80" s="6">
        <f>$J$3+[28]FormattedData!L81*$J$4+$M$4*$J$5+[28]FormattedData!L81^2*$J$6+$M$5*$J$7</f>
        <v>32.011834601275147</v>
      </c>
      <c r="T80" s="6">
        <f>$J$3+[28]FormattedData!M81*$J$4+$M$4*$J$5+[28]FormattedData!M81^2*$J$6+$M$5*$J$7</f>
        <v>31.045598440635512</v>
      </c>
      <c r="U80" s="6">
        <f>$J$3+[28]FormattedData!N81*$J$4+$M$4*$J$5+[28]FormattedData!N81^2*$J$6+$M$5*$J$7</f>
        <v>33.644735444907326</v>
      </c>
      <c r="V80" s="6">
        <f>$J$3+[28]FormattedData!O81*$J$4+$M$4*$J$5+[28]FormattedData!O81^2*$J$6+$M$5*$J$7</f>
        <v>33.26162246368596</v>
      </c>
      <c r="W80" s="5">
        <f t="shared" si="18"/>
        <v>32.451242672159687</v>
      </c>
      <c r="X80" s="4">
        <f t="shared" si="19"/>
        <v>0.28469975083821669</v>
      </c>
      <c r="Y80" s="3">
        <f t="shared" si="20"/>
        <v>31.045598440635512</v>
      </c>
      <c r="Z80" s="2">
        <f t="shared" si="21"/>
        <v>31.794700927060546</v>
      </c>
      <c r="AA80" s="3">
        <f t="shared" si="22"/>
        <v>32.30069100455669</v>
      </c>
      <c r="AB80" s="2">
        <f t="shared" si="23"/>
        <v>33.045788547012741</v>
      </c>
      <c r="AC80" s="2">
        <f t="shared" si="24"/>
        <v>34.218136860601426</v>
      </c>
      <c r="AD80" s="2">
        <f t="shared" si="25"/>
        <v>0.28330760004790007</v>
      </c>
      <c r="AE80" s="2">
        <f t="shared" si="26"/>
        <v>-0.86177252160511442</v>
      </c>
    </row>
    <row r="81" spans="2:31" x14ac:dyDescent="0.2">
      <c r="B81" s="1">
        <f>[28]FormattedData!A79</f>
        <v>408</v>
      </c>
      <c r="C81" s="1" t="str">
        <f>VLOOKUP($B81,[28]TrtCodes!$B$11:I122,2)</f>
        <v>NTL</v>
      </c>
      <c r="D81" s="1">
        <f>VLOOKUP($B81,[28]TrtCodes!$B$11:J122,3)</f>
        <v>10</v>
      </c>
      <c r="E81" s="1">
        <f>VLOOKUP($B81,[28]TrtCodes!$B$11:K122,4)</f>
        <v>2</v>
      </c>
      <c r="F81" s="1">
        <f>VLOOKUP($B81,[28]TrtCodes!$B$11:L122,5)</f>
        <v>2</v>
      </c>
      <c r="G81" s="1">
        <f>VLOOKUP($B81,[28]TrtCodes!$B$11:M122,6)</f>
        <v>1</v>
      </c>
      <c r="H81" s="1">
        <f>VLOOKUP($B81,[28]TrtCodes!$B$11:N122,7)</f>
        <v>4</v>
      </c>
      <c r="I81" s="1">
        <f>[28]FormattedData!B79</f>
        <v>2</v>
      </c>
      <c r="J81" s="4">
        <f>[28]FormattedData!C79</f>
        <v>13.364000000000001</v>
      </c>
      <c r="K81" s="6">
        <f>$J$3+[28]FormattedData!D79*$J$4+$M$4*$J$5+[28]FormattedData!D79^2*$J$6+$M$5*$J$7</f>
        <v>32.204574610947894</v>
      </c>
      <c r="L81" s="6">
        <f>$J$3+[28]FormattedData!E79*$J$4+$M$4*$J$5+[28]FormattedData!E79^2*$J$6+$M$5*$J$7</f>
        <v>31.529244877679474</v>
      </c>
      <c r="M81" s="6">
        <f>$J$3+[28]FormattedData!F79*$J$4+$M$4*$J$5+[28]FormattedData!F79^2*$J$6+$M$5*$J$7</f>
        <v>31.722407572731534</v>
      </c>
      <c r="N81" s="6">
        <f>$J$3+[28]FormattedData!G79*$J$4+$M$4*$J$5+[28]FormattedData!G79^2*$J$6+$M$5*$J$7</f>
        <v>33.26162246368596</v>
      </c>
      <c r="O81" s="6">
        <f>$J$3+[28]FormattedData!H79*$J$4+$M$4*$J$5+[28]FormattedData!H79^2*$J$6+$M$5*$J$7</f>
        <v>33.357464111798201</v>
      </c>
      <c r="P81" s="6">
        <f>$J$3+[28]FormattedData!I79*$J$4+$M$4*$J$5+[28]FormattedData!I79^2*$J$6+$M$5*$J$7</f>
        <v>33.26162246368596</v>
      </c>
      <c r="Q81" s="6">
        <f>$J$3+[28]FormattedData!J79*$J$4+$M$4*$J$5+[28]FormattedData!J79^2*$J$6+$M$5*$J$7</f>
        <v>33.165738547035794</v>
      </c>
      <c r="R81" s="6">
        <f>$J$3+[28]FormattedData!K79*$J$4+$M$4*$J$5+[28]FormattedData!K79^2*$J$6+$M$5*$J$7</f>
        <v>31.91540119363188</v>
      </c>
      <c r="S81" s="6">
        <f>$J$3+[28]FormattedData!L79*$J$4+$M$4*$J$5+[28]FormattedData!L79^2*$J$6+$M$5*$J$7</f>
        <v>30.269566177392768</v>
      </c>
      <c r="T81" s="6">
        <f>$J$3+[28]FormattedData!M79*$J$4+$M$4*$J$5+[28]FormattedData!M79^2*$J$6+$M$5*$J$7</f>
        <v>32.10822574038049</v>
      </c>
      <c r="U81" s="6">
        <f>$J$3+[28]FormattedData!N79*$J$4+$M$4*$J$5+[28]FormattedData!N79^2*$J$6+$M$5*$J$7</f>
        <v>34.408932517529358</v>
      </c>
      <c r="V81" s="6">
        <f>$J$3+[28]FormattedData!O79*$J$4+$M$4*$J$5+[28]FormattedData!O79^2*$J$6+$M$5*$J$7</f>
        <v>35.644983105112544</v>
      </c>
      <c r="W81" s="5">
        <f t="shared" si="18"/>
        <v>32.737481948467654</v>
      </c>
      <c r="X81" s="4">
        <f t="shared" si="19"/>
        <v>0.41103278615684075</v>
      </c>
      <c r="Y81" s="3">
        <f t="shared" si="20"/>
        <v>30.269566177392768</v>
      </c>
      <c r="Z81" s="2">
        <f t="shared" si="21"/>
        <v>31.867152788406791</v>
      </c>
      <c r="AA81" s="3">
        <f t="shared" si="22"/>
        <v>32.685156578991844</v>
      </c>
      <c r="AB81" s="2">
        <f t="shared" si="23"/>
        <v>33.28558287571402</v>
      </c>
      <c r="AC81" s="2">
        <f t="shared" si="24"/>
        <v>35.644983105112544</v>
      </c>
      <c r="AD81" s="2">
        <f t="shared" si="25"/>
        <v>0.41782639336203214</v>
      </c>
      <c r="AE81" s="2">
        <f t="shared" si="26"/>
        <v>0.58947109108786755</v>
      </c>
    </row>
    <row r="82" spans="2:31" x14ac:dyDescent="0.2">
      <c r="B82" s="1">
        <f>[28]FormattedData!A59</f>
        <v>902</v>
      </c>
      <c r="C82" s="1" t="str">
        <f>VLOOKUP($B82,[28]TrtCodes!$B$11:I102,2)</f>
        <v>Late</v>
      </c>
      <c r="D82" s="1">
        <f>VLOOKUP($B82,[28]TrtCodes!$B$11:J102,3)</f>
        <v>22</v>
      </c>
      <c r="E82" s="1">
        <f>VLOOKUP($B82,[28]TrtCodes!$B$11:K102,4)</f>
        <v>4</v>
      </c>
      <c r="F82" s="1">
        <f>VLOOKUP($B82,[28]TrtCodes!$B$11:L102,5)</f>
        <v>2</v>
      </c>
      <c r="G82" s="1">
        <f>VLOOKUP($B82,[28]TrtCodes!$B$11:M102,6)</f>
        <v>2</v>
      </c>
      <c r="H82" s="1">
        <f>VLOOKUP($B82,[28]TrtCodes!$B$11:N102,7)</f>
        <v>1</v>
      </c>
      <c r="I82" s="1">
        <f>[28]FormattedData!B59</f>
        <v>2</v>
      </c>
      <c r="J82" s="4">
        <f>[28]FormattedData!C59</f>
        <v>13.209</v>
      </c>
      <c r="K82" s="6">
        <f>$J$3+[28]FormattedData!D59*$J$4+$M$4*$J$5+[28]FormattedData!D59^2*$J$6+$M$5*$J$7</f>
        <v>33.357464111798201</v>
      </c>
      <c r="L82" s="6">
        <f>$J$3+[28]FormattedData!E59*$J$4+$M$4*$J$5+[28]FormattedData!E59^2*$J$6+$M$5*$J$7</f>
        <v>34.313555823334354</v>
      </c>
      <c r="M82" s="6">
        <f>$J$3+[28]FormattedData!F59*$J$4+$M$4*$J$5+[28]FormattedData!F59^2*$J$6+$M$5*$J$7</f>
        <v>34.885181960435361</v>
      </c>
      <c r="N82" s="6">
        <f>$J$3+[28]FormattedData!G59*$J$4+$M$4*$J$5+[28]FormattedData!G59^2*$J$6+$M$5*$J$7</f>
        <v>32.30088121297738</v>
      </c>
      <c r="O82" s="6">
        <f>$J$3+[28]FormattedData!H59*$J$4+$M$4*$J$5+[28]FormattedData!H59^2*$J$6+$M$5*$J$7</f>
        <v>34.408932517529358</v>
      </c>
      <c r="P82" s="6">
        <f>$J$3+[28]FormattedData!I59*$J$4+$M$4*$J$5+[28]FormattedData!I59^2*$J$6+$M$5*$J$7</f>
        <v>33.549020602408874</v>
      </c>
      <c r="Q82" s="6">
        <f>$J$3+[28]FormattedData!J59*$J$4+$M$4*$J$5+[28]FormattedData!J59^2*$J$6+$M$5*$J$7</f>
        <v>34.599559100305548</v>
      </c>
      <c r="R82" s="6">
        <f>$J$3+[28]FormattedData!K59*$J$4+$M$4*$J$5+[28]FormattedData!K59^2*$J$6+$M$5*$J$7</f>
        <v>37.06231892858915</v>
      </c>
      <c r="S82" s="6">
        <f>$J$3+[28]FormattedData!L59*$J$4+$M$4*$J$5+[28]FormattedData!L59^2*$J$6+$M$5*$J$7</f>
        <v>34.790016608930017</v>
      </c>
      <c r="T82" s="6">
        <f>$J$3+[28]FormattedData!M59*$J$4+$M$4*$J$5+[28]FormattedData!M59^2*$J$6+$M$5*$J$7</f>
        <v>36.968125753456228</v>
      </c>
      <c r="U82" s="6">
        <f>$J$3+[28]FormattedData!N59*$J$4+$M$4*$J$5+[28]FormattedData!N59^2*$J$6+$M$5*$J$7</f>
        <v>32.781780195055809</v>
      </c>
      <c r="V82" s="6">
        <f>$J$3+[28]FormattedData!O59*$J$4+$M$4*$J$5+[28]FormattedData!O59^2*$J$6+$M$5*$J$7</f>
        <v>37.814342662287011</v>
      </c>
      <c r="W82" s="5">
        <f t="shared" si="18"/>
        <v>34.735931623092277</v>
      </c>
      <c r="X82" s="4">
        <f t="shared" si="19"/>
        <v>0.50194787137571262</v>
      </c>
      <c r="Y82" s="3">
        <f t="shared" si="20"/>
        <v>32.30088121297738</v>
      </c>
      <c r="Z82" s="2">
        <f t="shared" si="21"/>
        <v>33.501131479756204</v>
      </c>
      <c r="AA82" s="3">
        <f t="shared" si="22"/>
        <v>34.504245808917453</v>
      </c>
      <c r="AB82" s="2">
        <f t="shared" si="23"/>
        <v>35.405917908690576</v>
      </c>
      <c r="AC82" s="2">
        <f t="shared" si="24"/>
        <v>37.814342662287011</v>
      </c>
      <c r="AD82" s="2">
        <f t="shared" si="25"/>
        <v>0.55165054356471099</v>
      </c>
      <c r="AE82" s="2">
        <f t="shared" si="26"/>
        <v>-0.59767776908987136</v>
      </c>
    </row>
    <row r="83" spans="2:31" x14ac:dyDescent="0.2">
      <c r="B83" s="1">
        <f>[28]FormattedData!A55</f>
        <v>904</v>
      </c>
      <c r="C83" s="1" t="str">
        <f>VLOOKUP($B83,[28]TrtCodes!$B$11:I98,2)</f>
        <v>Early</v>
      </c>
      <c r="D83" s="1">
        <f>VLOOKUP($B83,[28]TrtCodes!$B$11:J98,3)</f>
        <v>21</v>
      </c>
      <c r="E83" s="1">
        <f>VLOOKUP($B83,[28]TrtCodes!$B$11:K98,4)</f>
        <v>3</v>
      </c>
      <c r="F83" s="1">
        <f>VLOOKUP($B83,[28]TrtCodes!$B$11:L98,5)</f>
        <v>2</v>
      </c>
      <c r="G83" s="1">
        <f>VLOOKUP($B83,[28]TrtCodes!$B$11:M98,6)</f>
        <v>2</v>
      </c>
      <c r="H83" s="1">
        <f>VLOOKUP($B83,[28]TrtCodes!$B$11:N98,7)</f>
        <v>1</v>
      </c>
      <c r="I83" s="1">
        <f>[28]FormattedData!B55</f>
        <v>2</v>
      </c>
      <c r="J83" s="4">
        <f>[28]FormattedData!C55</f>
        <v>13.186999999999999</v>
      </c>
      <c r="K83" s="6">
        <f>$J$3+[28]FormattedData!D55*$J$4+$M$4*$J$5+[28]FormattedData!D55^2*$J$6+$M$5*$J$7</f>
        <v>41.6260055511367</v>
      </c>
      <c r="L83" s="6">
        <f>$J$3+[28]FormattedData!E55*$J$4+$M$4*$J$5+[28]FormattedData!E55^2*$J$6+$M$5*$J$7</f>
        <v>42.544900949293456</v>
      </c>
      <c r="M83" s="6">
        <f>$J$3+[28]FormattedData!F55*$J$4+$M$4*$J$5+[28]FormattedData!F55^2*$J$6+$M$5*$J$7</f>
        <v>41.44171924905018</v>
      </c>
      <c r="N83" s="6">
        <f>$J$3+[28]FormattedData!G55*$J$4+$M$4*$J$5+[28]FormattedData!G55^2*$J$6+$M$5*$J$7</f>
        <v>41.902117990232007</v>
      </c>
      <c r="O83" s="6">
        <f>$J$3+[28]FormattedData!H55*$J$4+$M$4*$J$5+[28]FormattedData!H55^2*$J$6+$M$5*$J$7</f>
        <v>41.533883534362403</v>
      </c>
      <c r="P83" s="6">
        <f>$J$3+[28]FormattedData!I55*$J$4+$M$4*$J$5+[28]FormattedData!I55^2*$J$6+$M$5*$J$7</f>
        <v>38.657135819545367</v>
      </c>
      <c r="Q83" s="6">
        <f>$J$3+[28]FormattedData!J55*$J$4+$M$4*$J$5+[28]FormattedData!J55^2*$J$6+$M$5*$J$7</f>
        <v>36.968125753456228</v>
      </c>
      <c r="R83" s="6">
        <f>$J$3+[28]FormattedData!K55*$J$4+$M$4*$J$5+[28]FormattedData!K55^2*$J$6+$M$5*$J$7</f>
        <v>41.349512695200019</v>
      </c>
      <c r="S83" s="6">
        <f>$J$3+[28]FormattedData!L55*$J$4+$M$4*$J$5+[28]FormattedData!L55^2*$J$6+$M$5*$J$7</f>
        <v>39.868459312438844</v>
      </c>
      <c r="T83" s="6">
        <f>$J$3+[28]FormattedData!M55*$J$4+$M$4*$J$5+[28]FormattedData!M55^2*$J$6+$M$5*$J$7</f>
        <v>40.517751626341692</v>
      </c>
      <c r="U83" s="6">
        <f>$J$3+[28]FormattedData!N55*$J$4+$M$4*$J$5+[28]FormattedData!N55^2*$J$6+$M$5*$J$7</f>
        <v>39.589557149840083</v>
      </c>
      <c r="V83" s="6">
        <f>$J$3+[28]FormattedData!O55*$J$4+$M$4*$J$5+[28]FormattedData!O55^2*$J$6+$M$5*$J$7</f>
        <v>39.589557149840083</v>
      </c>
      <c r="W83" s="5">
        <f t="shared" si="18"/>
        <v>40.465727231728088</v>
      </c>
      <c r="X83" s="4">
        <f t="shared" si="19"/>
        <v>0.46061573673483897</v>
      </c>
      <c r="Y83" s="3">
        <f t="shared" si="20"/>
        <v>36.968125753456228</v>
      </c>
      <c r="Z83" s="2">
        <f t="shared" si="21"/>
        <v>39.589557149840083</v>
      </c>
      <c r="AA83" s="3">
        <f t="shared" si="22"/>
        <v>40.933632160770856</v>
      </c>
      <c r="AB83" s="2">
        <f t="shared" si="23"/>
        <v>41.556914038555973</v>
      </c>
      <c r="AC83" s="2">
        <f t="shared" si="24"/>
        <v>42.544900949293456</v>
      </c>
      <c r="AD83" s="2">
        <f t="shared" si="25"/>
        <v>-0.91055957844991764</v>
      </c>
      <c r="AE83" s="2">
        <f t="shared" si="26"/>
        <v>0.56679255879950485</v>
      </c>
    </row>
    <row r="84" spans="2:31" x14ac:dyDescent="0.2">
      <c r="B84" s="1">
        <f>[28]FormattedData!A51</f>
        <v>906</v>
      </c>
      <c r="C84" s="1" t="str">
        <f>VLOOKUP($B84,[28]TrtCodes!$B$11:I94,2)</f>
        <v>Late</v>
      </c>
      <c r="D84" s="1">
        <f>VLOOKUP($B84,[28]TrtCodes!$B$11:J94,3)</f>
        <v>22</v>
      </c>
      <c r="E84" s="1">
        <f>VLOOKUP($B84,[28]TrtCodes!$B$11:K94,4)</f>
        <v>4</v>
      </c>
      <c r="F84" s="1">
        <f>VLOOKUP($B84,[28]TrtCodes!$B$11:L94,5)</f>
        <v>2</v>
      </c>
      <c r="G84" s="1">
        <f>VLOOKUP($B84,[28]TrtCodes!$B$11:M94,6)</f>
        <v>2</v>
      </c>
      <c r="H84" s="1">
        <f>VLOOKUP($B84,[28]TrtCodes!$B$11:N94,7)</f>
        <v>2</v>
      </c>
      <c r="I84" s="1">
        <f>[28]FormattedData!B51</f>
        <v>2</v>
      </c>
      <c r="J84" s="4">
        <f>[28]FormattedData!C51</f>
        <v>13.167</v>
      </c>
      <c r="K84" s="6">
        <f>$J$3+[28]FormattedData!D51*$J$4+$M$4*$J$5+[28]FormattedData!D51^2*$J$6+$M$5*$J$7</f>
        <v>43.094209298366813</v>
      </c>
      <c r="L84" s="6">
        <f>$J$3+[28]FormattedData!E51*$J$4+$M$4*$J$5+[28]FormattedData!E51^2*$J$6+$M$5*$J$7</f>
        <v>43.094209298366813</v>
      </c>
      <c r="M84" s="6">
        <f>$J$3+[28]FormattedData!F51*$J$4+$M$4*$J$5+[28]FormattedData!F51^2*$J$6+$M$5*$J$7</f>
        <v>40.425122387112218</v>
      </c>
      <c r="N84" s="6">
        <f>$J$3+[28]FormattedData!G51*$J$4+$M$4*$J$5+[28]FormattedData!G51^2*$J$6+$M$5*$J$7</f>
        <v>39.496505225231303</v>
      </c>
      <c r="O84" s="6">
        <f>$J$3+[28]FormattedData!H51*$J$4+$M$4*$J$5+[28]FormattedData!H51^2*$J$6+$M$5*$J$7</f>
        <v>35.170424403723779</v>
      </c>
      <c r="P84" s="6">
        <f>$J$3+[28]FormattedData!I51*$J$4+$M$4*$J$5+[28]FormattedData!I51^2*$J$6+$M$5*$J$7</f>
        <v>40.05418274481503</v>
      </c>
      <c r="Q84" s="6">
        <f>$J$3+[28]FormattedData!J51*$J$4+$M$4*$J$5+[28]FormattedData!J51^2*$J$6+$M$5*$J$7</f>
        <v>34.408932517529358</v>
      </c>
      <c r="R84" s="6">
        <f>$J$3+[28]FormattedData!K51*$J$4+$M$4*$J$5+[28]FormattedData!K51^2*$J$6+$M$5*$J$7</f>
        <v>37.15646983518414</v>
      </c>
      <c r="S84" s="6">
        <f>$J$3+[28]FormattedData!L51*$J$4+$M$4*$J$5+[28]FormattedData!L51^2*$J$6+$M$5*$J$7</f>
        <v>40.610338597033227</v>
      </c>
      <c r="T84" s="6">
        <f>$J$3+[28]FormattedData!M51*$J$4+$M$4*$J$5+[28]FormattedData!M51^2*$J$6+$M$5*$J$7</f>
        <v>37.626590340090125</v>
      </c>
      <c r="U84" s="6">
        <f>$J$3+[28]FormattedData!N51*$J$4+$M$4*$J$5+[28]FormattedData!N51^2*$J$6+$M$5*$J$7</f>
        <v>35.834510705902531</v>
      </c>
      <c r="V84" s="6">
        <f>$J$3+[28]FormattedData!O51*$J$4+$M$4*$J$5+[28]FormattedData!O51^2*$J$6+$M$5*$J$7</f>
        <v>32.10822574038049</v>
      </c>
      <c r="W84" s="5">
        <f t="shared" si="18"/>
        <v>38.256643424477978</v>
      </c>
      <c r="X84" s="4">
        <f t="shared" si="19"/>
        <v>0.99780599030470218</v>
      </c>
      <c r="Y84" s="3">
        <f t="shared" si="20"/>
        <v>32.10822574038049</v>
      </c>
      <c r="Z84" s="2">
        <f t="shared" si="21"/>
        <v>35.668489130357841</v>
      </c>
      <c r="AA84" s="3">
        <f t="shared" si="22"/>
        <v>38.56154778266071</v>
      </c>
      <c r="AB84" s="2">
        <f t="shared" si="23"/>
        <v>40.47142643959247</v>
      </c>
      <c r="AC84" s="2">
        <f t="shared" si="24"/>
        <v>43.094209298366813</v>
      </c>
      <c r="AD84" s="2">
        <f t="shared" si="25"/>
        <v>-0.20397111274297425</v>
      </c>
      <c r="AE84" s="2">
        <f t="shared" si="26"/>
        <v>-0.79226187680768589</v>
      </c>
    </row>
    <row r="85" spans="2:31" x14ac:dyDescent="0.2">
      <c r="B85" s="1">
        <f>[28]FormattedData!A47</f>
        <v>908</v>
      </c>
      <c r="C85" s="1" t="str">
        <f>VLOOKUP($B85,[28]TrtCodes!$B$11:I90,2)</f>
        <v>Early</v>
      </c>
      <c r="D85" s="1">
        <f>VLOOKUP($B85,[28]TrtCodes!$B$11:J90,3)</f>
        <v>21</v>
      </c>
      <c r="E85" s="1">
        <f>VLOOKUP($B85,[28]TrtCodes!$B$11:K90,4)</f>
        <v>3</v>
      </c>
      <c r="F85" s="1">
        <f>VLOOKUP($B85,[28]TrtCodes!$B$11:L90,5)</f>
        <v>2</v>
      </c>
      <c r="G85" s="1">
        <f>VLOOKUP($B85,[28]TrtCodes!$B$11:M90,6)</f>
        <v>2</v>
      </c>
      <c r="H85" s="1">
        <f>VLOOKUP($B85,[28]TrtCodes!$B$11:N90,7)</f>
        <v>2</v>
      </c>
      <c r="I85" s="1">
        <f>[28]FormattedData!B47</f>
        <v>2</v>
      </c>
      <c r="J85" s="4">
        <f>[28]FormattedData!C47</f>
        <v>13.146000000000001</v>
      </c>
      <c r="K85" s="6">
        <f>$J$3+[28]FormattedData!D47*$J$4+$M$4*$J$5+[28]FormattedData!D47^2*$J$6+$M$5*$J$7</f>
        <v>46.178214003989332</v>
      </c>
      <c r="L85" s="6">
        <f>$J$3+[28]FormattedData!E47*$J$4+$M$4*$J$5+[28]FormattedData!E47^2*$J$6+$M$5*$J$7</f>
        <v>39.589557149840083</v>
      </c>
      <c r="M85" s="6">
        <f>$J$3+[28]FormattedData!F47*$J$4+$M$4*$J$5+[28]FormattedData!F47^2*$J$6+$M$5*$J$7</f>
        <v>39.589557149840083</v>
      </c>
      <c r="N85" s="6">
        <f>$J$3+[28]FormattedData!G47*$J$4+$M$4*$J$5+[28]FormattedData!G47^2*$J$6+$M$5*$J$7</f>
        <v>43.002763578199414</v>
      </c>
      <c r="O85" s="6">
        <f>$J$3+[28]FormattedData!H47*$J$4+$M$4*$J$5+[28]FormattedData!H47^2*$J$6+$M$5*$J$7</f>
        <v>41.994070932854576</v>
      </c>
      <c r="P85" s="6">
        <f>$J$3+[28]FormattedData!I47*$J$4+$M$4*$J$5+[28]FormattedData!I47^2*$J$6+$M$5*$J$7</f>
        <v>38.657135819545367</v>
      </c>
      <c r="Q85" s="6">
        <f>$J$3+[28]FormattedData!J47*$J$4+$M$4*$J$5+[28]FormattedData!J47^2*$J$6+$M$5*$J$7</f>
        <v>37.908155420578545</v>
      </c>
      <c r="R85" s="6">
        <f>$J$3+[28]FormattedData!K47*$J$4+$M$4*$J$5+[28]FormattedData!K47^2*$J$6+$M$5*$J$7</f>
        <v>38.189340084225591</v>
      </c>
      <c r="S85" s="6">
        <f>$J$3+[28]FormattedData!L47*$J$4+$M$4*$J$5+[28]FormattedData!L47^2*$J$6+$M$5*$J$7</f>
        <v>40.05418274481503</v>
      </c>
      <c r="T85" s="6">
        <f>$J$3+[28]FormattedData!M47*$J$4+$M$4*$J$5+[28]FormattedData!M47^2*$J$6+$M$5*$J$7</f>
        <v>37.250578473241205</v>
      </c>
      <c r="U85" s="6">
        <f>$J$3+[28]FormattedData!N47*$J$4+$M$4*$J$5+[28]FormattedData!N47^2*$J$6+$M$5*$J$7</f>
        <v>37.250578473241205</v>
      </c>
      <c r="V85" s="6">
        <f>$J$3+[28]FormattedData!O47*$J$4+$M$4*$J$5+[28]FormattedData!O47^2*$J$6+$M$5*$J$7</f>
        <v>41.6260055511367</v>
      </c>
      <c r="W85" s="5">
        <f t="shared" si="18"/>
        <v>40.107511615125595</v>
      </c>
      <c r="X85" s="4">
        <f t="shared" si="19"/>
        <v>0.77158098485338311</v>
      </c>
      <c r="Y85" s="3">
        <f t="shared" si="20"/>
        <v>37.250578473241205</v>
      </c>
      <c r="Z85" s="2">
        <f t="shared" si="21"/>
        <v>38.119043918313828</v>
      </c>
      <c r="AA85" s="3">
        <f t="shared" si="22"/>
        <v>39.589557149840083</v>
      </c>
      <c r="AB85" s="2">
        <f t="shared" si="23"/>
        <v>41.718021896566171</v>
      </c>
      <c r="AC85" s="2">
        <f t="shared" si="24"/>
        <v>46.178214003989332</v>
      </c>
      <c r="AD85" s="2">
        <f t="shared" si="25"/>
        <v>1.0886267433721435</v>
      </c>
      <c r="AE85" s="2">
        <f t="shared" si="26"/>
        <v>0.97195535338591821</v>
      </c>
    </row>
    <row r="88" spans="2:31" x14ac:dyDescent="0.2">
      <c r="W88" s="2"/>
    </row>
  </sheetData>
  <autoFilter ref="B9:AE85" xr:uid="{CA196DE3-B31F-45A0-AE73-5FF385416A59}"/>
  <conditionalFormatting sqref="K10:V85">
    <cfRule type="cellIs" dxfId="15" priority="1" stopIfTrue="1" operator="lessThan">
      <formula>$W10-$V$5*$X10</formula>
    </cfRule>
    <cfRule type="cellIs" dxfId="14" priority="2" stopIfTrue="1" operator="greaterThan">
      <formula>$W10+$V$5*$X10</formula>
    </cfRule>
  </conditionalFormatting>
  <conditionalFormatting sqref="W10:W85">
    <cfRule type="cellIs" dxfId="13" priority="3" stopIfTrue="1" operator="lessThan">
      <formula>AVERAGE($W$10:$W$41)</formula>
    </cfRule>
    <cfRule type="cellIs" dxfId="12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F942-FB5F-4140-8725-E77B16CAE95B}">
  <sheetPr codeName="Sheet5"/>
  <dimension ref="A1:AI88"/>
  <sheetViews>
    <sheetView topLeftCell="A8" workbookViewId="0">
      <pane xSplit="4" ySplit="2" topLeftCell="L10" activePane="bottomRight" state="frozen"/>
      <selection activeCell="A8" sqref="A8"/>
      <selection pane="topRight" activeCell="E8" sqref="E8"/>
      <selection pane="bottomLeft" activeCell="A10" sqref="A10"/>
      <selection pane="bottomRight" activeCell="W10" sqref="W10:W1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[29]FormattedData!A1</f>
        <v>Raw data file name - 'IA252.03R'</v>
      </c>
    </row>
    <row r="2" spans="1:35" ht="15" x14ac:dyDescent="0.25">
      <c r="I2" s="32" t="s">
        <v>136</v>
      </c>
      <c r="J2" s="24"/>
      <c r="P2" s="31">
        <f>[29]AncillaryData!C10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[29]AncillaryData!E25</f>
        <v>17.5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"&amp;[29]AncillaryData!C7</f>
        <v>Time Sequence of Midday IRT Temps - FISE 2003 - DOY 252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"&amp;[29]AncillaryData!E25&amp;", VPD = "&amp;ROUND([29]AncillaryData!E29,1)&amp;", Quality = "&amp;[29]AncillaryData!C20&amp;")"</f>
        <v>(Ta = 17.5, VPD = 1.8, Quality = 5)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[29]FormattedData!A28</f>
        <v>101</v>
      </c>
      <c r="C10" s="1" t="str">
        <f>VLOOKUP($B10,[29]TrtCodes!$B$11:I71,2)</f>
        <v>FSH</v>
      </c>
      <c r="D10" s="1">
        <f>VLOOKUP($B10,[29]TrtCodes!$B$11:J71,3)</f>
        <v>1</v>
      </c>
      <c r="E10" s="1">
        <f>VLOOKUP($B10,[29]TrtCodes!$B$11:K71,4)</f>
        <v>1</v>
      </c>
      <c r="F10" s="1">
        <f>VLOOKUP($B10,[29]TrtCodes!$B$11:L71,5)</f>
        <v>1</v>
      </c>
      <c r="G10" s="1">
        <f>VLOOKUP($B10,[29]TrtCodes!$B$11:M71,6)</f>
        <v>2</v>
      </c>
      <c r="H10" s="1">
        <f>VLOOKUP($B10,[29]TrtCodes!$B$11:N71,7)</f>
        <v>1</v>
      </c>
      <c r="I10" s="1">
        <f>[29]FormattedData!B28</f>
        <v>1</v>
      </c>
      <c r="J10" s="4">
        <f>[29]FormattedData!C28</f>
        <v>13.189</v>
      </c>
      <c r="K10" s="6">
        <f>$J$3+[29]FormattedData!D28*$J$4+$M$4*$J$5+[29]FormattedData!D28^2*$J$6+$M$5*$J$7</f>
        <v>30.728547372288482</v>
      </c>
      <c r="L10" s="6">
        <f>$J$3+[29]FormattedData!E28*$J$4+$M$4*$J$5+[29]FormattedData!E28^2*$J$6+$M$5*$J$7</f>
        <v>31.886509097690524</v>
      </c>
      <c r="M10" s="6">
        <f>$J$3+[29]FormattedData!F28*$J$4+$M$4*$J$5+[29]FormattedData!F28^2*$J$6+$M$5*$J$7</f>
        <v>31.790244764198974</v>
      </c>
      <c r="N10" s="6">
        <f>$J$3+[29]FormattedData!G28*$J$4+$M$4*$J$5+[29]FormattedData!G28^2*$J$6+$M$5*$J$7</f>
        <v>31.597589291602084</v>
      </c>
      <c r="O10" s="6">
        <f>$J$3+[29]FormattedData!H28*$J$4+$M$4*$J$5+[29]FormattedData!H28^2*$J$6+$M$5*$J$7</f>
        <v>29.758929728614362</v>
      </c>
      <c r="P10" s="6">
        <f>$J$3+[29]FormattedData!I28*$J$4+$M$4*$J$5+[29]FormattedData!I28^2*$J$6+$M$5*$J$7</f>
        <v>31.308289068672266</v>
      </c>
      <c r="Q10" s="6">
        <f>$J$3+[29]FormattedData!J28*$J$4+$M$4*$J$5+[29]FormattedData!J28^2*$J$6+$M$5*$J$7</f>
        <v>31.018608428901068</v>
      </c>
      <c r="R10" s="6">
        <f>$J$3+[29]FormattedData!K28*$J$4+$M$4*$J$5+[29]FormattedData!K28^2*$J$6+$M$5*$J$7</f>
        <v>31.018608428901068</v>
      </c>
      <c r="S10" s="6">
        <f>$J$3+[29]FormattedData!L28*$J$4+$M$4*$J$5+[29]FormattedData!L28^2*$J$6+$M$5*$J$7</f>
        <v>30.341207537274013</v>
      </c>
      <c r="T10" s="6">
        <f>$J$3+[29]FormattedData!M28*$J$4+$M$4*$J$5+[29]FormattedData!M28^2*$J$6+$M$5*$J$7</f>
        <v>30.438105898834525</v>
      </c>
      <c r="U10" s="6">
        <f>$J$3+[29]FormattedData!N28*$J$4+$M$4*$J$5+[29]FormattedData!N28^2*$J$6+$M$5*$J$7</f>
        <v>29.758929728614362</v>
      </c>
      <c r="V10" s="6">
        <f>$J$3+[29]FormattedData!O28*$J$4+$M$4*$J$5+[29]FormattedData!O28^2*$J$6+$M$5*$J$7</f>
        <v>29.758929728614362</v>
      </c>
      <c r="W10" s="5">
        <f t="shared" ref="W10:W41" si="0">AVERAGE(K10:V10)</f>
        <v>30.783708256183839</v>
      </c>
      <c r="X10" s="4">
        <f t="shared" ref="X10:X41" si="1">STDEV(K10:V10)/SQRT(COUNT(K10:V10))</f>
        <v>0.22606704354488424</v>
      </c>
      <c r="Y10" s="3">
        <f t="shared" ref="Y10:Y41" si="2">MIN(K10:V10)</f>
        <v>29.758929728614362</v>
      </c>
      <c r="Z10" s="2">
        <f t="shared" ref="Z10:Z41" si="3">QUARTILE(K10:V10,1)</f>
        <v>30.195638085109099</v>
      </c>
      <c r="AA10" s="3">
        <f t="shared" ref="AA10:AA41" si="4">MEDIAN(K10:V10)</f>
        <v>30.873577900594775</v>
      </c>
      <c r="AB10" s="2">
        <f t="shared" ref="AB10:AB41" si="5">QUARTILE(K10:V10,3)</f>
        <v>31.380614124404723</v>
      </c>
      <c r="AC10" s="2">
        <f t="shared" ref="AC10:AC41" si="6">MAX(K10:V10)</f>
        <v>31.886509097690524</v>
      </c>
      <c r="AD10" s="2">
        <f t="shared" ref="AD10:AD41" si="7">SKEW(K10:V10)</f>
        <v>-6.5041565503808477E-2</v>
      </c>
      <c r="AE10" s="2">
        <f t="shared" ref="AE10:AE41" si="8">KURT(K10:V10)</f>
        <v>-1.3572946735791387</v>
      </c>
    </row>
    <row r="11" spans="1:35" x14ac:dyDescent="0.2">
      <c r="B11" s="1">
        <f>[29]FormattedData!A26</f>
        <v>102</v>
      </c>
      <c r="C11" s="1" t="str">
        <f>VLOOKUP($B11,[29]TrtCodes!$B$11:I69,2)</f>
        <v>FTL</v>
      </c>
      <c r="D11" s="1">
        <f>VLOOKUP($B11,[29]TrtCodes!$B$11:J69,3)</f>
        <v>4</v>
      </c>
      <c r="E11" s="1">
        <f>VLOOKUP($B11,[29]TrtCodes!$B$11:K69,4)</f>
        <v>1</v>
      </c>
      <c r="F11" s="1">
        <f>VLOOKUP($B11,[29]TrtCodes!$B$11:L69,5)</f>
        <v>2</v>
      </c>
      <c r="G11" s="1">
        <f>VLOOKUP($B11,[29]TrtCodes!$B$11:M69,6)</f>
        <v>1</v>
      </c>
      <c r="H11" s="1">
        <f>VLOOKUP($B11,[29]TrtCodes!$B$11:N69,7)</f>
        <v>1</v>
      </c>
      <c r="I11" s="1">
        <f>[29]FormattedData!B26</f>
        <v>1</v>
      </c>
      <c r="J11" s="4">
        <f>[29]FormattedData!C26</f>
        <v>13.173</v>
      </c>
      <c r="K11" s="6">
        <f>$J$3+[29]FormattedData!D26*$J$4+$M$4*$J$5+[29]FormattedData!D26^2*$J$6+$M$5*$J$7</f>
        <v>27.708974267802123</v>
      </c>
      <c r="L11" s="6">
        <f>$J$3+[29]FormattedData!E26*$J$4+$M$4*$J$5+[29]FormattedData!E26^2*$J$6+$M$5*$J$7</f>
        <v>28.002966298442299</v>
      </c>
      <c r="M11" s="6">
        <f>$J$3+[29]FormattedData!F26*$J$4+$M$4*$J$5+[29]FormattedData!F26^2*$J$6+$M$5*$J$7</f>
        <v>27.905011223433505</v>
      </c>
      <c r="N11" s="6">
        <f>$J$3+[29]FormattedData!G26*$J$4+$M$4*$J$5+[29]FormattedData!G26^2*$J$6+$M$5*$J$7</f>
        <v>28.100879104913162</v>
      </c>
      <c r="O11" s="6">
        <f>$J$3+[29]FormattedData!H26*$J$4+$M$4*$J$5+[29]FormattedData!H26^2*$J$6+$M$5*$J$7</f>
        <v>28.589809109198509</v>
      </c>
      <c r="P11" s="6">
        <f>$J$3+[29]FormattedData!I26*$J$4+$M$4*$J$5+[29]FormattedData!I26^2*$J$6+$M$5*$J$7</f>
        <v>29.953191405652639</v>
      </c>
      <c r="Q11" s="6">
        <f>$J$3+[29]FormattedData!J26*$J$4+$M$4*$J$5+[29]FormattedData!J26^2*$J$6+$M$5*$J$7</f>
        <v>28.882659889314542</v>
      </c>
      <c r="R11" s="6">
        <f>$J$3+[29]FormattedData!K26*$J$4+$M$4*$J$5+[29]FormattedData!K26^2*$J$6+$M$5*$J$7</f>
        <v>30.341207537274013</v>
      </c>
      <c r="S11" s="6">
        <f>$J$3+[29]FormattedData!L26*$J$4+$M$4*$J$5+[29]FormattedData!L26^2*$J$6+$M$5*$J$7</f>
        <v>30.631775816341765</v>
      </c>
      <c r="T11" s="6">
        <f>$J$3+[29]FormattedData!M26*$J$4+$M$4*$J$5+[29]FormattedData!M26^2*$J$6+$M$5*$J$7</f>
        <v>31.115210910696064</v>
      </c>
      <c r="U11" s="6">
        <f>$J$3+[29]FormattedData!N26*$J$4+$M$4*$J$5+[29]FormattedData!N26^2*$J$6+$M$5*$J$7</f>
        <v>30.050258841364876</v>
      </c>
      <c r="V11" s="6">
        <f>$J$3+[29]FormattedData!O26*$J$4+$M$4*$J$5+[29]FormattedData!O26^2*$J$6+$M$5*$J$7</f>
        <v>30.050258841364876</v>
      </c>
      <c r="W11" s="5">
        <f t="shared" si="0"/>
        <v>29.277683603816538</v>
      </c>
      <c r="X11" s="4">
        <f t="shared" si="1"/>
        <v>0.34788623405638625</v>
      </c>
      <c r="Y11" s="3">
        <f t="shared" si="2"/>
        <v>27.708974267802123</v>
      </c>
      <c r="Z11" s="2">
        <f t="shared" si="3"/>
        <v>28.076400903295447</v>
      </c>
      <c r="AA11" s="3">
        <f t="shared" si="4"/>
        <v>29.417925647483592</v>
      </c>
      <c r="AB11" s="2">
        <f t="shared" si="5"/>
        <v>30.12299601534216</v>
      </c>
      <c r="AC11" s="2">
        <f t="shared" si="6"/>
        <v>31.115210910696064</v>
      </c>
      <c r="AD11" s="2">
        <f t="shared" si="7"/>
        <v>3.6510463730012155E-2</v>
      </c>
      <c r="AE11" s="2">
        <f t="shared" si="8"/>
        <v>-1.6892847490887517</v>
      </c>
    </row>
    <row r="12" spans="1:35" x14ac:dyDescent="0.2">
      <c r="B12" s="1">
        <f>[29]FormattedData!A24</f>
        <v>103</v>
      </c>
      <c r="C12" s="1" t="str">
        <f>VLOOKUP($B12,[29]TrtCodes!$B$11:I67,2)</f>
        <v>FDH</v>
      </c>
      <c r="D12" s="1">
        <f>VLOOKUP($B12,[29]TrtCodes!$B$11:J67,3)</f>
        <v>5</v>
      </c>
      <c r="E12" s="1">
        <f>VLOOKUP($B12,[29]TrtCodes!$B$11:K67,4)</f>
        <v>1</v>
      </c>
      <c r="F12" s="1">
        <f>VLOOKUP($B12,[29]TrtCodes!$B$11:L67,5)</f>
        <v>3</v>
      </c>
      <c r="G12" s="1">
        <f>VLOOKUP($B12,[29]TrtCodes!$B$11:M67,6)</f>
        <v>2</v>
      </c>
      <c r="H12" s="1">
        <f>VLOOKUP($B12,[29]TrtCodes!$B$11:N67,7)</f>
        <v>1</v>
      </c>
      <c r="I12" s="1">
        <f>[29]FormattedData!B24</f>
        <v>1</v>
      </c>
      <c r="J12" s="4">
        <f>[29]FormattedData!C24</f>
        <v>13.154999999999999</v>
      </c>
      <c r="K12" s="6">
        <f>$J$3+[29]FormattedData!D24*$J$4+$M$4*$J$5+[29]FormattedData!D24^2*$J$6+$M$5*$J$7</f>
        <v>31.790244764198974</v>
      </c>
      <c r="L12" s="6">
        <f>$J$3+[29]FormattedData!E24*$J$4+$M$4*$J$5+[29]FormattedData!E24^2*$J$6+$M$5*$J$7</f>
        <v>31.886509097690524</v>
      </c>
      <c r="M12" s="6">
        <f>$J$3+[29]FormattedData!F24*$J$4+$M$4*$J$5+[29]FormattedData!F24^2*$J$6+$M$5*$J$7</f>
        <v>30.82527665969728</v>
      </c>
      <c r="N12" s="6">
        <f>$J$3+[29]FormattedData!G24*$J$4+$M$4*$J$5+[29]FormattedData!G24^2*$J$6+$M$5*$J$7</f>
        <v>31.693938162169491</v>
      </c>
      <c r="O12" s="6">
        <f>$J$3+[29]FormattedData!H24*$J$4+$M$4*$J$5+[29]FormattedData!H24^2*$J$6+$M$5*$J$7</f>
        <v>31.404764744853473</v>
      </c>
      <c r="P12" s="6">
        <f>$J$3+[29]FormattedData!I24*$J$4+$M$4*$J$5+[29]FormattedData!I24^2*$J$6+$M$5*$J$7</f>
        <v>31.018608428901068</v>
      </c>
      <c r="Q12" s="6">
        <f>$J$3+[29]FormattedData!J24*$J$4+$M$4*$J$5+[29]FormattedData!J24^2*$J$6+$M$5*$J$7</f>
        <v>31.597589291602084</v>
      </c>
      <c r="R12" s="6">
        <f>$J$3+[29]FormattedData!K24*$J$4+$M$4*$J$5+[29]FormattedData!K24^2*$J$6+$M$5*$J$7</f>
        <v>31.018608428901068</v>
      </c>
      <c r="S12" s="6">
        <f>$J$3+[29]FormattedData!L24*$J$4+$M$4*$J$5+[29]FormattedData!L24^2*$J$6+$M$5*$J$7</f>
        <v>30.921963678568137</v>
      </c>
      <c r="T12" s="6">
        <f>$J$3+[29]FormattedData!M24*$J$4+$M$4*$J$5+[29]FormattedData!M24^2*$J$6+$M$5*$J$7</f>
        <v>30.82527665969728</v>
      </c>
      <c r="U12" s="6">
        <f>$J$3+[29]FormattedData!N24*$J$4+$M$4*$J$5+[29]FormattedData!N24^2*$J$6+$M$5*$J$7</f>
        <v>30.728547372288482</v>
      </c>
      <c r="V12" s="6">
        <f>$J$3+[29]FormattedData!O24*$J$4+$M$4*$J$5+[29]FormattedData!O24^2*$J$6+$M$5*$J$7</f>
        <v>30.921963678568137</v>
      </c>
      <c r="W12" s="5">
        <f t="shared" si="0"/>
        <v>31.219440913928</v>
      </c>
      <c r="X12" s="4">
        <f t="shared" si="1"/>
        <v>0.12255629277874512</v>
      </c>
      <c r="Y12" s="3">
        <f t="shared" si="2"/>
        <v>30.728547372288482</v>
      </c>
      <c r="Z12" s="2">
        <f t="shared" si="3"/>
        <v>30.897791923850424</v>
      </c>
      <c r="AA12" s="3">
        <f t="shared" si="4"/>
        <v>31.018608428901068</v>
      </c>
      <c r="AB12" s="2">
        <f t="shared" si="5"/>
        <v>31.621676509243937</v>
      </c>
      <c r="AC12" s="2">
        <f t="shared" si="6"/>
        <v>31.886509097690524</v>
      </c>
      <c r="AD12" s="2">
        <f t="shared" si="7"/>
        <v>0.48537003846223675</v>
      </c>
      <c r="AE12" s="2">
        <f t="shared" si="8"/>
        <v>-1.5996312690635754</v>
      </c>
    </row>
    <row r="13" spans="1:35" x14ac:dyDescent="0.2">
      <c r="B13" s="1">
        <f>[29]FormattedData!A22</f>
        <v>104</v>
      </c>
      <c r="C13" s="1" t="str">
        <f>VLOOKUP($B13,[29]TrtCodes!$B$11:I65,2)</f>
        <v>NTL</v>
      </c>
      <c r="D13" s="1">
        <f>VLOOKUP($B13,[29]TrtCodes!$B$11:J65,3)</f>
        <v>10</v>
      </c>
      <c r="E13" s="1">
        <f>VLOOKUP($B13,[29]TrtCodes!$B$11:K65,4)</f>
        <v>2</v>
      </c>
      <c r="F13" s="1">
        <f>VLOOKUP($B13,[29]TrtCodes!$B$11:L65,5)</f>
        <v>2</v>
      </c>
      <c r="G13" s="1">
        <f>VLOOKUP($B13,[29]TrtCodes!$B$11:M65,6)</f>
        <v>1</v>
      </c>
      <c r="H13" s="1">
        <f>VLOOKUP($B13,[29]TrtCodes!$B$11:N65,7)</f>
        <v>1</v>
      </c>
      <c r="I13" s="1">
        <f>[29]FormattedData!B22</f>
        <v>1</v>
      </c>
      <c r="J13" s="4">
        <f>[29]FormattedData!C22</f>
        <v>13.14</v>
      </c>
      <c r="K13" s="6">
        <f>$J$3+[29]FormattedData!D22*$J$4+$M$4*$J$5+[29]FormattedData!D22^2*$J$6+$M$5*$J$7</f>
        <v>30.341207537274013</v>
      </c>
      <c r="L13" s="6">
        <f>$J$3+[29]FormattedData!E22*$J$4+$M$4*$J$5+[29]FormattedData!E22^2*$J$6+$M$5*$J$7</f>
        <v>30.728547372288482</v>
      </c>
      <c r="M13" s="6">
        <f>$J$3+[29]FormattedData!F22*$J$4+$M$4*$J$5+[29]FormattedData!F22^2*$J$6+$M$5*$J$7</f>
        <v>29.661735487288333</v>
      </c>
      <c r="N13" s="6">
        <f>$J$3+[29]FormattedData!G22*$J$4+$M$4*$J$5+[29]FormattedData!G22^2*$J$6+$M$5*$J$7</f>
        <v>29.175130252589199</v>
      </c>
      <c r="O13" s="6">
        <f>$J$3+[29]FormattedData!H22*$J$4+$M$4*$J$5+[29]FormattedData!H22^2*$J$6+$M$5*$J$7</f>
        <v>29.272535836604884</v>
      </c>
      <c r="P13" s="6">
        <f>$J$3+[29]FormattedData!I22*$J$4+$M$4*$J$5+[29]FormattedData!I22^2*$J$6+$M$5*$J$7</f>
        <v>29.077682400035574</v>
      </c>
      <c r="Q13" s="6">
        <f>$J$3+[29]FormattedData!J22*$J$4+$M$4*$J$5+[29]FormattedData!J22^2*$J$6+$M$5*$J$7</f>
        <v>29.953191405652639</v>
      </c>
      <c r="R13" s="6">
        <f>$J$3+[29]FormattedData!K22*$J$4+$M$4*$J$5+[29]FormattedData!K22^2*$J$6+$M$5*$J$7</f>
        <v>30.050258841364876</v>
      </c>
      <c r="S13" s="6">
        <f>$J$3+[29]FormattedData!L22*$J$4+$M$4*$J$5+[29]FormattedData!L22^2*$J$6+$M$5*$J$7</f>
        <v>29.564498977424364</v>
      </c>
      <c r="T13" s="6">
        <f>$J$3+[29]FormattedData!M22*$J$4+$M$4*$J$5+[29]FormattedData!M22^2*$J$6+$M$5*$J$7</f>
        <v>30.438105898834525</v>
      </c>
      <c r="U13" s="6">
        <f>$J$3+[29]FormattedData!N22*$J$4+$M$4*$J$5+[29]FormattedData!N22^2*$J$6+$M$5*$J$7</f>
        <v>29.85608170140247</v>
      </c>
      <c r="V13" s="6">
        <f>$J$3+[29]FormattedData!O22*$J$4+$M$4*$J$5+[29]FormattedData!O22^2*$J$6+$M$5*$J$7</f>
        <v>30.534961991857106</v>
      </c>
      <c r="W13" s="5">
        <f t="shared" si="0"/>
        <v>29.887828141884707</v>
      </c>
      <c r="X13" s="4">
        <f t="shared" si="1"/>
        <v>0.1596428807504422</v>
      </c>
      <c r="Y13" s="3">
        <f t="shared" si="2"/>
        <v>29.077682400035574</v>
      </c>
      <c r="Z13" s="2">
        <f t="shared" si="3"/>
        <v>29.491508192219495</v>
      </c>
      <c r="AA13" s="3">
        <f t="shared" si="4"/>
        <v>29.904636553527553</v>
      </c>
      <c r="AB13" s="2">
        <f t="shared" si="5"/>
        <v>30.365432127664143</v>
      </c>
      <c r="AC13" s="2">
        <f t="shared" si="6"/>
        <v>30.728547372288482</v>
      </c>
      <c r="AD13" s="2">
        <f t="shared" si="7"/>
        <v>-2.7376965912430402E-2</v>
      </c>
      <c r="AE13" s="2">
        <f t="shared" si="8"/>
        <v>-1.2446732053175098</v>
      </c>
    </row>
    <row r="14" spans="1:35" x14ac:dyDescent="0.2">
      <c r="B14" s="1">
        <f>[29]FormattedData!A20</f>
        <v>105</v>
      </c>
      <c r="C14" s="1" t="str">
        <f>VLOOKUP($B14,[29]TrtCodes!$B$11:I63,2)</f>
        <v>NDL</v>
      </c>
      <c r="D14" s="1">
        <f>VLOOKUP($B14,[29]TrtCodes!$B$11:J63,3)</f>
        <v>12</v>
      </c>
      <c r="E14" s="1">
        <f>VLOOKUP($B14,[29]TrtCodes!$B$11:K63,4)</f>
        <v>2</v>
      </c>
      <c r="F14" s="1">
        <f>VLOOKUP($B14,[29]TrtCodes!$B$11:L63,5)</f>
        <v>3</v>
      </c>
      <c r="G14" s="1">
        <f>VLOOKUP($B14,[29]TrtCodes!$B$11:M63,6)</f>
        <v>1</v>
      </c>
      <c r="H14" s="1">
        <f>VLOOKUP($B14,[29]TrtCodes!$B$11:N63,7)</f>
        <v>2</v>
      </c>
      <c r="I14" s="1">
        <f>[29]FormattedData!B20</f>
        <v>1</v>
      </c>
      <c r="J14" s="4">
        <f>[29]FormattedData!C20</f>
        <v>13.122999999999999</v>
      </c>
      <c r="K14" s="6">
        <f>$J$3+[29]FormattedData!D20*$J$4+$M$4*$J$5+[29]FormattedData!D20^2*$J$6+$M$5*$J$7</f>
        <v>32.078910959059826</v>
      </c>
      <c r="L14" s="6">
        <f>$J$3+[29]FormattedData!E20*$J$4+$M$4*$J$5+[29]FormattedData!E20^2*$J$6+$M$5*$J$7</f>
        <v>31.597589291602084</v>
      </c>
      <c r="M14" s="6">
        <f>$J$3+[29]FormattedData!F20*$J$4+$M$4*$J$5+[29]FormattedData!F20^2*$J$6+$M$5*$J$7</f>
        <v>30.631775816341765</v>
      </c>
      <c r="N14" s="6">
        <f>$J$3+[29]FormattedData!G20*$J$4+$M$4*$J$5+[29]FormattedData!G20^2*$J$6+$M$5*$J$7</f>
        <v>29.272535836604884</v>
      </c>
      <c r="O14" s="6">
        <f>$J$3+[29]FormattedData!H20*$J$4+$M$4*$J$5+[29]FormattedData!H20^2*$J$6+$M$5*$J$7</f>
        <v>29.661735487288333</v>
      </c>
      <c r="P14" s="6">
        <f>$J$3+[29]FormattedData!I20*$J$4+$M$4*$J$5+[29]FormattedData!I20^2*$J$6+$M$5*$J$7</f>
        <v>29.85608170140247</v>
      </c>
      <c r="Q14" s="6">
        <f>$J$3+[29]FormattedData!J20*$J$4+$M$4*$J$5+[29]FormattedData!J20^2*$J$6+$M$5*$J$7</f>
        <v>29.758929728614362</v>
      </c>
      <c r="R14" s="6">
        <f>$J$3+[29]FormattedData!K20*$J$4+$M$4*$J$5+[29]FormattedData!K20^2*$J$6+$M$5*$J$7</f>
        <v>29.953191405652639</v>
      </c>
      <c r="S14" s="6">
        <f>$J$3+[29]FormattedData!L20*$J$4+$M$4*$J$5+[29]FormattedData!L20^2*$J$6+$M$5*$J$7</f>
        <v>29.85608170140247</v>
      </c>
      <c r="T14" s="6">
        <f>$J$3+[29]FormattedData!M20*$J$4+$M$4*$J$5+[29]FormattedData!M20^2*$J$6+$M$5*$J$7</f>
        <v>30.728547372288482</v>
      </c>
      <c r="U14" s="6">
        <f>$J$3+[29]FormattedData!N20*$J$4+$M$4*$J$5+[29]FormattedData!N20^2*$J$6+$M$5*$J$7</f>
        <v>30.631775816341765</v>
      </c>
      <c r="V14" s="6">
        <f>$J$3+[29]FormattedData!O20*$J$4+$M$4*$J$5+[29]FormattedData!O20^2*$J$6+$M$5*$J$7</f>
        <v>30.82527665969728</v>
      </c>
      <c r="W14" s="5">
        <f t="shared" si="0"/>
        <v>30.404369314691362</v>
      </c>
      <c r="X14" s="4">
        <f t="shared" si="1"/>
        <v>0.24101254013785656</v>
      </c>
      <c r="Y14" s="3">
        <f t="shared" si="2"/>
        <v>29.272535836604884</v>
      </c>
      <c r="Z14" s="2">
        <f t="shared" si="3"/>
        <v>29.831793708205442</v>
      </c>
      <c r="AA14" s="3">
        <f t="shared" si="4"/>
        <v>30.292483610997202</v>
      </c>
      <c r="AB14" s="2">
        <f t="shared" si="5"/>
        <v>30.752729694140683</v>
      </c>
      <c r="AC14" s="2">
        <f t="shared" si="6"/>
        <v>32.078910959059826</v>
      </c>
      <c r="AD14" s="2">
        <f t="shared" si="7"/>
        <v>0.74545744288189453</v>
      </c>
      <c r="AE14" s="2">
        <f t="shared" si="8"/>
        <v>-5.1122106207725615E-2</v>
      </c>
    </row>
    <row r="15" spans="1:35" x14ac:dyDescent="0.2">
      <c r="B15" s="1">
        <f>[29]FormattedData!A18</f>
        <v>106</v>
      </c>
      <c r="C15" s="1" t="str">
        <f>VLOOKUP($B15,[29]TrtCodes!$B$11:I61,2)</f>
        <v>NTH</v>
      </c>
      <c r="D15" s="1">
        <f>VLOOKUP($B15,[29]TrtCodes!$B$11:J61,3)</f>
        <v>9</v>
      </c>
      <c r="E15" s="1">
        <f>VLOOKUP($B15,[29]TrtCodes!$B$11:K61,4)</f>
        <v>2</v>
      </c>
      <c r="F15" s="1">
        <f>VLOOKUP($B15,[29]TrtCodes!$B$11:L61,5)</f>
        <v>2</v>
      </c>
      <c r="G15" s="1">
        <f>VLOOKUP($B15,[29]TrtCodes!$B$11:M61,6)</f>
        <v>2</v>
      </c>
      <c r="H15" s="1">
        <f>VLOOKUP($B15,[29]TrtCodes!$B$11:N61,7)</f>
        <v>2</v>
      </c>
      <c r="I15" s="1">
        <f>[29]FormattedData!B18</f>
        <v>1</v>
      </c>
      <c r="J15" s="4">
        <f>[29]FormattedData!C18</f>
        <v>13.103999999999999</v>
      </c>
      <c r="K15" s="6">
        <f>$J$3+[29]FormattedData!D18*$J$4+$M$4*$J$5+[29]FormattedData!D18^2*$J$6+$M$5*$J$7</f>
        <v>33.13409899612892</v>
      </c>
      <c r="L15" s="6">
        <f>$J$3+[29]FormattedData!E18*$J$4+$M$4*$J$5+[29]FormattedData!E18^2*$J$6+$M$5*$J$7</f>
        <v>33.325401875512014</v>
      </c>
      <c r="M15" s="6">
        <f>$J$3+[29]FormattedData!F18*$J$4+$M$4*$J$5+[29]FormattedData!F18^2*$J$6+$M$5*$J$7</f>
        <v>33.70750041182302</v>
      </c>
      <c r="N15" s="6">
        <f>$J$3+[29]FormattedData!G18*$J$4+$M$4*$J$5+[29]FormattedData!G18^2*$J$6+$M$5*$J$7</f>
        <v>33.993630494408002</v>
      </c>
      <c r="O15" s="6">
        <f>$J$3+[29]FormattedData!H18*$J$4+$M$4*$J$5+[29]FormattedData!H18^2*$J$6+$M$5*$J$7</f>
        <v>32.559175913069282</v>
      </c>
      <c r="P15" s="6">
        <f>$J$3+[29]FormattedData!I18*$J$4+$M$4*$J$5+[29]FormattedData!I18^2*$J$6+$M$5*$J$7</f>
        <v>32.750986014907554</v>
      </c>
      <c r="Q15" s="6">
        <f>$J$3+[29]FormattedData!J18*$J$4+$M$4*$J$5+[29]FormattedData!J18^2*$J$6+$M$5*$J$7</f>
        <v>32.175048486937577</v>
      </c>
      <c r="R15" s="6">
        <f>$J$3+[29]FormattedData!K18*$J$4+$M$4*$J$5+[29]FormattedData!K18^2*$J$6+$M$5*$J$7</f>
        <v>33.70750041182302</v>
      </c>
      <c r="S15" s="6">
        <f>$J$3+[29]FormattedData!L18*$J$4+$M$4*$J$5+[29]FormattedData!L18^2*$J$6+$M$5*$J$7</f>
        <v>31.693938162169491</v>
      </c>
      <c r="T15" s="6">
        <f>$J$3+[29]FormattedData!M18*$J$4+$M$4*$J$5+[29]FormattedData!M18^2*$J$6+$M$5*$J$7</f>
        <v>31.501198152496745</v>
      </c>
      <c r="U15" s="6">
        <f>$J$3+[29]FormattedData!N18*$J$4+$M$4*$J$5+[29]FormattedData!N18^2*$J$6+$M$5*$J$7</f>
        <v>32.175048486937577</v>
      </c>
      <c r="V15" s="6">
        <f>$J$3+[29]FormattedData!O18*$J$4+$M$4*$J$5+[29]FormattedData!O18^2*$J$6+$M$5*$J$7</f>
        <v>32.559175913069282</v>
      </c>
      <c r="W15" s="5">
        <f t="shared" si="0"/>
        <v>32.773558609940203</v>
      </c>
      <c r="X15" s="4">
        <f t="shared" si="1"/>
        <v>0.23453580725475659</v>
      </c>
      <c r="Y15" s="3">
        <f t="shared" si="2"/>
        <v>31.501198152496745</v>
      </c>
      <c r="Z15" s="2">
        <f t="shared" si="3"/>
        <v>32.175048486937577</v>
      </c>
      <c r="AA15" s="3">
        <f t="shared" si="4"/>
        <v>32.655080963988418</v>
      </c>
      <c r="AB15" s="2">
        <f t="shared" si="5"/>
        <v>33.420926509589762</v>
      </c>
      <c r="AC15" s="2">
        <f t="shared" si="6"/>
        <v>33.993630494408002</v>
      </c>
      <c r="AD15" s="2">
        <f t="shared" si="7"/>
        <v>-2.163803396776821E-2</v>
      </c>
      <c r="AE15" s="2">
        <f t="shared" si="8"/>
        <v>-1.1085121631456256</v>
      </c>
    </row>
    <row r="16" spans="1:35" x14ac:dyDescent="0.2">
      <c r="B16" s="1">
        <f>[29]FormattedData!A16</f>
        <v>107</v>
      </c>
      <c r="C16" s="1" t="str">
        <f>VLOOKUP($B16,[29]TrtCodes!$B$11:I59,2)</f>
        <v>NTL</v>
      </c>
      <c r="D16" s="1">
        <f>VLOOKUP($B16,[29]TrtCodes!$B$11:J59,3)</f>
        <v>10</v>
      </c>
      <c r="E16" s="1">
        <f>VLOOKUP($B16,[29]TrtCodes!$B$11:K59,4)</f>
        <v>2</v>
      </c>
      <c r="F16" s="1">
        <f>VLOOKUP($B16,[29]TrtCodes!$B$11:L59,5)</f>
        <v>2</v>
      </c>
      <c r="G16" s="1">
        <f>VLOOKUP($B16,[29]TrtCodes!$B$11:M59,6)</f>
        <v>1</v>
      </c>
      <c r="H16" s="1">
        <f>VLOOKUP($B16,[29]TrtCodes!$B$11:N59,7)</f>
        <v>2</v>
      </c>
      <c r="I16" s="1">
        <f>[29]FormattedData!B16</f>
        <v>1</v>
      </c>
      <c r="J16" s="4">
        <f>[29]FormattedData!C16</f>
        <v>13.086</v>
      </c>
      <c r="K16" s="6">
        <f>$J$3+[29]FormattedData!D16*$J$4+$M$4*$J$5+[29]FormattedData!D16^2*$J$6+$M$5*$J$7</f>
        <v>36.268976148798188</v>
      </c>
      <c r="L16" s="6">
        <f>$J$3+[29]FormattedData!E16*$J$4+$M$4*$J$5+[29]FormattedData!E16^2*$J$6+$M$5*$J$7</f>
        <v>35.702422236248921</v>
      </c>
      <c r="M16" s="6">
        <f>$J$3+[29]FormattedData!F16*$J$4+$M$4*$J$5+[29]FormattedData!F16^2*$J$6+$M$5*$J$7</f>
        <v>35.134346656334138</v>
      </c>
      <c r="N16" s="6">
        <f>$J$3+[29]FormattedData!G16*$J$4+$M$4*$J$5+[29]FormattedData!G16^2*$J$6+$M$5*$J$7</f>
        <v>33.898296068750952</v>
      </c>
      <c r="O16" s="6">
        <f>$J$3+[29]FormattedData!H16*$J$4+$M$4*$J$5+[29]FormattedData!H16^2*$J$6+$M$5*$J$7</f>
        <v>34.184172540108335</v>
      </c>
      <c r="P16" s="6">
        <f>$J$3+[29]FormattedData!I16*$J$4+$M$4*$J$5+[29]FormattedData!I16^2*$J$6+$M$5*$J$7</f>
        <v>32.750986014907554</v>
      </c>
      <c r="Q16" s="6">
        <f>$J$3+[29]FormattedData!J16*$J$4+$M$4*$J$5+[29]FormattedData!J16^2*$J$6+$M$5*$J$7</f>
        <v>31.308289068672266</v>
      </c>
      <c r="R16" s="6">
        <f>$J$3+[29]FormattedData!K16*$J$4+$M$4*$J$5+[29]FormattedData!K16^2*$J$6+$M$5*$J$7</f>
        <v>32.750986014907554</v>
      </c>
      <c r="S16" s="6">
        <f>$J$3+[29]FormattedData!L16*$J$4+$M$4*$J$5+[29]FormattedData!L16^2*$J$6+$M$5*$J$7</f>
        <v>32.559175913069282</v>
      </c>
      <c r="T16" s="6">
        <f>$J$3+[29]FormattedData!M16*$J$4+$M$4*$J$5+[29]FormattedData!M16^2*$J$6+$M$5*$J$7</f>
        <v>32.175048486937577</v>
      </c>
      <c r="U16" s="6">
        <f>$J$3+[29]FormattedData!N16*$J$4+$M$4*$J$5+[29]FormattedData!N16^2*$J$6+$M$5*$J$7</f>
        <v>30.534961991857106</v>
      </c>
      <c r="V16" s="6">
        <f>$J$3+[29]FormattedData!O16*$J$4+$M$4*$J$5+[29]FormattedData!O16^2*$J$6+$M$5*$J$7</f>
        <v>32.367196737079297</v>
      </c>
      <c r="W16" s="5">
        <f t="shared" si="0"/>
        <v>33.302904823139265</v>
      </c>
      <c r="X16" s="4">
        <f t="shared" si="1"/>
        <v>0.50744858026930451</v>
      </c>
      <c r="Y16" s="3">
        <f t="shared" si="2"/>
        <v>30.534961991857106</v>
      </c>
      <c r="Z16" s="2">
        <f t="shared" si="3"/>
        <v>32.319159674543869</v>
      </c>
      <c r="AA16" s="3">
        <f t="shared" si="4"/>
        <v>32.750986014907554</v>
      </c>
      <c r="AB16" s="2">
        <f t="shared" si="5"/>
        <v>34.421716069164788</v>
      </c>
      <c r="AC16" s="2">
        <f t="shared" si="6"/>
        <v>36.268976148798188</v>
      </c>
      <c r="AD16" s="2">
        <f t="shared" si="7"/>
        <v>0.29732924241958331</v>
      </c>
      <c r="AE16" s="2">
        <f t="shared" si="8"/>
        <v>-0.73390333463002344</v>
      </c>
    </row>
    <row r="17" spans="2:31" x14ac:dyDescent="0.2">
      <c r="B17" s="1">
        <f>[29]FormattedData!A14</f>
        <v>108</v>
      </c>
      <c r="C17" s="1" t="str">
        <f>VLOOKUP($B17,[29]TrtCodes!$B$11:I57,2)</f>
        <v>FTH</v>
      </c>
      <c r="D17" s="1">
        <f>VLOOKUP($B17,[29]TrtCodes!$B$11:J57,3)</f>
        <v>3</v>
      </c>
      <c r="E17" s="1">
        <f>VLOOKUP($B17,[29]TrtCodes!$B$11:K57,4)</f>
        <v>1</v>
      </c>
      <c r="F17" s="1">
        <f>VLOOKUP($B17,[29]TrtCodes!$B$11:L57,5)</f>
        <v>2</v>
      </c>
      <c r="G17" s="1">
        <f>VLOOKUP($B17,[29]TrtCodes!$B$11:M57,6)</f>
        <v>2</v>
      </c>
      <c r="H17" s="1">
        <f>VLOOKUP($B17,[29]TrtCodes!$B$11:N57,7)</f>
        <v>2</v>
      </c>
      <c r="I17" s="1">
        <f>[29]FormattedData!B14</f>
        <v>1</v>
      </c>
      <c r="J17" s="4">
        <f>[29]FormattedData!C14</f>
        <v>13.067</v>
      </c>
      <c r="K17" s="6">
        <f>$J$3+[29]FormattedData!D14*$J$4+$M$4*$J$5+[29]FormattedData!D14^2*$J$6+$M$5*$J$7</f>
        <v>34.374545511656954</v>
      </c>
      <c r="L17" s="6">
        <f>$J$3+[29]FormattedData!E14*$J$4+$M$4*$J$5+[29]FormattedData!E14^2*$J$6+$M$5*$J$7</f>
        <v>34.279380160151611</v>
      </c>
      <c r="M17" s="6">
        <f>$J$3+[29]FormattedData!F14*$J$4+$M$4*$J$5+[29]FormattedData!F14^2*$J$6+$M$5*$J$7</f>
        <v>35.229131590998094</v>
      </c>
      <c r="N17" s="6">
        <f>$J$3+[29]FormattedData!G14*$J$4+$M$4*$J$5+[29]FormattedData!G14^2*$J$6+$M$5*$J$7</f>
        <v>35.229131590998094</v>
      </c>
      <c r="O17" s="6">
        <f>$J$3+[29]FormattedData!H14*$J$4+$M$4*$J$5+[29]FormattedData!H14^2*$J$6+$M$5*$J$7</f>
        <v>34.374545511656954</v>
      </c>
      <c r="P17" s="6">
        <f>$J$3+[29]FormattedData!I14*$J$4+$M$4*$J$5+[29]FormattedData!I14^2*$J$6+$M$5*$J$7</f>
        <v>34.849738241114679</v>
      </c>
      <c r="Q17" s="6">
        <f>$J$3+[29]FormattedData!J14*$J$4+$M$4*$J$5+[29]FormattedData!J14^2*$J$6+$M$5*$J$7</f>
        <v>35.039519453132243</v>
      </c>
      <c r="R17" s="6">
        <f>$J$3+[29]FormattedData!K14*$J$4+$M$4*$J$5+[29]FormattedData!K14^2*$J$6+$M$5*$J$7</f>
        <v>34.659787954945372</v>
      </c>
      <c r="S17" s="6">
        <f>$J$3+[29]FormattedData!L14*$J$4+$M$4*$J$5+[29]FormattedData!L14^2*$J$6+$M$5*$J$7</f>
        <v>34.849738241114679</v>
      </c>
      <c r="T17" s="6">
        <f>$J$3+[29]FormattedData!M14*$J$4+$M$4*$J$5+[29]FormattedData!M14^2*$J$6+$M$5*$J$7</f>
        <v>34.659787954945372</v>
      </c>
      <c r="U17" s="6">
        <f>$J$3+[29]FormattedData!N14*$J$4+$M$4*$J$5+[29]FormattedData!N14^2*$J$6+$M$5*$J$7</f>
        <v>34.564749409053832</v>
      </c>
      <c r="V17" s="6">
        <f>$J$3+[29]FormattedData!O14*$J$4+$M$4*$J$5+[29]FormattedData!O14^2*$J$6+$M$5*$J$7</f>
        <v>33.70750041182302</v>
      </c>
      <c r="W17" s="5">
        <f t="shared" si="0"/>
        <v>34.651463002632575</v>
      </c>
      <c r="X17" s="4">
        <f t="shared" si="1"/>
        <v>0.12574479356170246</v>
      </c>
      <c r="Y17" s="3">
        <f t="shared" si="2"/>
        <v>33.70750041182302</v>
      </c>
      <c r="Z17" s="2">
        <f t="shared" si="3"/>
        <v>34.374545511656954</v>
      </c>
      <c r="AA17" s="3">
        <f t="shared" si="4"/>
        <v>34.659787954945372</v>
      </c>
      <c r="AB17" s="2">
        <f t="shared" si="5"/>
        <v>34.897183544119073</v>
      </c>
      <c r="AC17" s="2">
        <f t="shared" si="6"/>
        <v>35.229131590998094</v>
      </c>
      <c r="AD17" s="2">
        <f t="shared" si="7"/>
        <v>-0.62854852073768797</v>
      </c>
      <c r="AE17" s="2">
        <f t="shared" si="8"/>
        <v>0.66510653763696226</v>
      </c>
    </row>
    <row r="18" spans="2:31" x14ac:dyDescent="0.2">
      <c r="B18" s="1">
        <f>[29]FormattedData!A30</f>
        <v>201</v>
      </c>
      <c r="C18" s="1" t="str">
        <f>VLOOKUP($B18,[29]TrtCodes!$B$11:I73,2)</f>
        <v>NDL</v>
      </c>
      <c r="D18" s="1">
        <f>VLOOKUP($B18,[29]TrtCodes!$B$11:J73,3)</f>
        <v>12</v>
      </c>
      <c r="E18" s="1">
        <f>VLOOKUP($B18,[29]TrtCodes!$B$11:K73,4)</f>
        <v>2</v>
      </c>
      <c r="F18" s="1">
        <f>VLOOKUP($B18,[29]TrtCodes!$B$11:L73,5)</f>
        <v>3</v>
      </c>
      <c r="G18" s="1">
        <f>VLOOKUP($B18,[29]TrtCodes!$B$11:M73,6)</f>
        <v>1</v>
      </c>
      <c r="H18" s="1">
        <f>VLOOKUP($B18,[29]TrtCodes!$B$11:N73,7)</f>
        <v>1</v>
      </c>
      <c r="I18" s="1">
        <f>[29]FormattedData!B30</f>
        <v>1</v>
      </c>
      <c r="J18" s="4">
        <f>[29]FormattedData!C30</f>
        <v>0</v>
      </c>
      <c r="K18" s="6">
        <f>$J$3+[29]FormattedData!D30*$J$4+$M$4*$J$5+[29]FormattedData!D30^2*$J$6+$M$5*$J$7</f>
        <v>-1.1852540612398474</v>
      </c>
      <c r="L18" s="6">
        <f>$J$3+[29]FormattedData!E30*$J$4+$M$4*$J$5+[29]FormattedData!E30^2*$J$6+$M$5*$J$7</f>
        <v>-1.1852540612398474</v>
      </c>
      <c r="M18" s="6">
        <f>$J$3+[29]FormattedData!F30*$J$4+$M$4*$J$5+[29]FormattedData!F30^2*$J$6+$M$5*$J$7</f>
        <v>-1.1852540612398474</v>
      </c>
      <c r="N18" s="6">
        <f>$J$3+[29]FormattedData!G30*$J$4+$M$4*$J$5+[29]FormattedData!G30^2*$J$6+$M$5*$J$7</f>
        <v>-1.1852540612398474</v>
      </c>
      <c r="O18" s="6">
        <f>$J$3+[29]FormattedData!H30*$J$4+$M$4*$J$5+[29]FormattedData!H30^2*$J$6+$M$5*$J$7</f>
        <v>-1.1852540612398474</v>
      </c>
      <c r="P18" s="6">
        <f>$J$3+[29]FormattedData!I30*$J$4+$M$4*$J$5+[29]FormattedData!I30^2*$J$6+$M$5*$J$7</f>
        <v>-1.1852540612398474</v>
      </c>
      <c r="Q18" s="6">
        <f>$J$3+[29]FormattedData!J30*$J$4+$M$4*$J$5+[29]FormattedData!J30^2*$J$6+$M$5*$J$7</f>
        <v>-1.1852540612398474</v>
      </c>
      <c r="R18" s="6">
        <f>$J$3+[29]FormattedData!K30*$J$4+$M$4*$J$5+[29]FormattedData!K30^2*$J$6+$M$5*$J$7</f>
        <v>-1.1852540612398474</v>
      </c>
      <c r="S18" s="6">
        <f>$J$3+[29]FormattedData!L30*$J$4+$M$4*$J$5+[29]FormattedData!L30^2*$J$6+$M$5*$J$7</f>
        <v>-1.1852540612398474</v>
      </c>
      <c r="T18" s="6">
        <f>$J$3+[29]FormattedData!M30*$J$4+$M$4*$J$5+[29]FormattedData!M30^2*$J$6+$M$5*$J$7</f>
        <v>-1.1852540612398474</v>
      </c>
      <c r="U18" s="6">
        <f>$J$3+[29]FormattedData!N30*$J$4+$M$4*$J$5+[29]FormattedData!N30^2*$J$6+$M$5*$J$7</f>
        <v>-1.1852540612398474</v>
      </c>
      <c r="V18" s="6">
        <f>$J$3+[29]FormattedData!O30*$J$4+$M$4*$J$5+[29]FormattedData!O30^2*$J$6+$M$5*$J$7</f>
        <v>-1.1852540612398474</v>
      </c>
      <c r="W18" s="5">
        <f t="shared" si="0"/>
        <v>-1.1852540612398474</v>
      </c>
      <c r="X18" s="4">
        <f t="shared" si="1"/>
        <v>0</v>
      </c>
      <c r="Y18" s="3">
        <f t="shared" si="2"/>
        <v>-1.1852540612398474</v>
      </c>
      <c r="Z18" s="2">
        <f t="shared" si="3"/>
        <v>-1.1852540612398474</v>
      </c>
      <c r="AA18" s="3">
        <f t="shared" si="4"/>
        <v>-1.1852540612398474</v>
      </c>
      <c r="AB18" s="2">
        <f t="shared" si="5"/>
        <v>-1.1852540612398474</v>
      </c>
      <c r="AC18" s="2">
        <f t="shared" si="6"/>
        <v>-1.1852540612398474</v>
      </c>
      <c r="AD18" s="2" t="e">
        <f t="shared" si="7"/>
        <v>#DIV/0!</v>
      </c>
      <c r="AE18" s="2" t="e">
        <f t="shared" si="8"/>
        <v>#DIV/0!</v>
      </c>
    </row>
    <row r="19" spans="2:31" x14ac:dyDescent="0.2">
      <c r="B19" s="1">
        <f>[29]FormattedData!A32</f>
        <v>0</v>
      </c>
      <c r="C19" s="1" t="e">
        <f>VLOOKUP($B19,[29]TrtCodes!$B$11:I75,2)</f>
        <v>#N/A</v>
      </c>
      <c r="D19" s="1" t="e">
        <f>VLOOKUP($B19,[29]TrtCodes!$B$11:J75,3)</f>
        <v>#N/A</v>
      </c>
      <c r="E19" s="1" t="e">
        <f>VLOOKUP($B19,[29]TrtCodes!$B$11:K75,4)</f>
        <v>#N/A</v>
      </c>
      <c r="F19" s="1" t="e">
        <f>VLOOKUP($B19,[29]TrtCodes!$B$11:L75,5)</f>
        <v>#N/A</v>
      </c>
      <c r="G19" s="1" t="e">
        <f>VLOOKUP($B19,[29]TrtCodes!$B$11:M75,6)</f>
        <v>#N/A</v>
      </c>
      <c r="H19" s="1" t="e">
        <f>VLOOKUP($B19,[29]TrtCodes!$B$11:N75,7)</f>
        <v>#N/A</v>
      </c>
      <c r="I19" s="1">
        <f>[29]FormattedData!B32</f>
        <v>0</v>
      </c>
      <c r="J19" s="4">
        <f>[29]FormattedData!C32</f>
        <v>0</v>
      </c>
      <c r="K19" s="6">
        <f>$J$3+[29]FormattedData!D32*$J$4+$M$4*$J$5+[29]FormattedData!D32^2*$J$6+$M$5*$J$7</f>
        <v>-1.1852540612398474</v>
      </c>
      <c r="L19" s="6">
        <f>$J$3+[29]FormattedData!E32*$J$4+$M$4*$J$5+[29]FormattedData!E32^2*$J$6+$M$5*$J$7</f>
        <v>-1.1852540612398474</v>
      </c>
      <c r="M19" s="6">
        <f>$J$3+[29]FormattedData!F32*$J$4+$M$4*$J$5+[29]FormattedData!F32^2*$J$6+$M$5*$J$7</f>
        <v>-1.1852540612398474</v>
      </c>
      <c r="N19" s="6">
        <f>$J$3+[29]FormattedData!G32*$J$4+$M$4*$J$5+[29]FormattedData!G32^2*$J$6+$M$5*$J$7</f>
        <v>-1.1852540612398474</v>
      </c>
      <c r="O19" s="6">
        <f>$J$3+[29]FormattedData!H32*$J$4+$M$4*$J$5+[29]FormattedData!H32^2*$J$6+$M$5*$J$7</f>
        <v>-1.1852540612398474</v>
      </c>
      <c r="P19" s="6">
        <f>$J$3+[29]FormattedData!I32*$J$4+$M$4*$J$5+[29]FormattedData!I32^2*$J$6+$M$5*$J$7</f>
        <v>-1.1852540612398474</v>
      </c>
      <c r="Q19" s="6">
        <f>$J$3+[29]FormattedData!J32*$J$4+$M$4*$J$5+[29]FormattedData!J32^2*$J$6+$M$5*$J$7</f>
        <v>-1.1852540612398474</v>
      </c>
      <c r="R19" s="6">
        <f>$J$3+[29]FormattedData!K32*$J$4+$M$4*$J$5+[29]FormattedData!K32^2*$J$6+$M$5*$J$7</f>
        <v>-1.1852540612398474</v>
      </c>
      <c r="S19" s="6">
        <f>$J$3+[29]FormattedData!L32*$J$4+$M$4*$J$5+[29]FormattedData!L32^2*$J$6+$M$5*$J$7</f>
        <v>-1.1852540612398474</v>
      </c>
      <c r="T19" s="6">
        <f>$J$3+[29]FormattedData!M32*$J$4+$M$4*$J$5+[29]FormattedData!M32^2*$J$6+$M$5*$J$7</f>
        <v>-1.1852540612398474</v>
      </c>
      <c r="U19" s="6">
        <f>$J$3+[29]FormattedData!N32*$J$4+$M$4*$J$5+[29]FormattedData!N32^2*$J$6+$M$5*$J$7</f>
        <v>-1.1852540612398474</v>
      </c>
      <c r="V19" s="6">
        <f>$J$3+[29]FormattedData!O32*$J$4+$M$4*$J$5+[29]FormattedData!O32^2*$J$6+$M$5*$J$7</f>
        <v>-1.1852540612398474</v>
      </c>
      <c r="W19" s="5">
        <f t="shared" si="0"/>
        <v>-1.1852540612398474</v>
      </c>
      <c r="X19" s="4">
        <f t="shared" si="1"/>
        <v>0</v>
      </c>
      <c r="Y19" s="3">
        <f t="shared" si="2"/>
        <v>-1.1852540612398474</v>
      </c>
      <c r="Z19" s="2">
        <f t="shared" si="3"/>
        <v>-1.1852540612398474</v>
      </c>
      <c r="AA19" s="3">
        <f t="shared" si="4"/>
        <v>-1.1852540612398474</v>
      </c>
      <c r="AB19" s="2">
        <f t="shared" si="5"/>
        <v>-1.1852540612398474</v>
      </c>
      <c r="AC19" s="2">
        <f t="shared" si="6"/>
        <v>-1.1852540612398474</v>
      </c>
      <c r="AD19" s="2" t="e">
        <f t="shared" si="7"/>
        <v>#DIV/0!</v>
      </c>
      <c r="AE19" s="2" t="e">
        <f t="shared" si="8"/>
        <v>#DIV/0!</v>
      </c>
    </row>
    <row r="20" spans="2:31" x14ac:dyDescent="0.2">
      <c r="B20" s="1">
        <f>[29]FormattedData!A34</f>
        <v>0</v>
      </c>
      <c r="C20" s="1" t="e">
        <f>VLOOKUP($B20,[29]TrtCodes!$B$11:I77,2)</f>
        <v>#N/A</v>
      </c>
      <c r="D20" s="1" t="e">
        <f>VLOOKUP($B20,[29]TrtCodes!$B$11:J77,3)</f>
        <v>#N/A</v>
      </c>
      <c r="E20" s="1" t="e">
        <f>VLOOKUP($B20,[29]TrtCodes!$B$11:K77,4)</f>
        <v>#N/A</v>
      </c>
      <c r="F20" s="1" t="e">
        <f>VLOOKUP($B20,[29]TrtCodes!$B$11:L77,5)</f>
        <v>#N/A</v>
      </c>
      <c r="G20" s="1" t="e">
        <f>VLOOKUP($B20,[29]TrtCodes!$B$11:M77,6)</f>
        <v>#N/A</v>
      </c>
      <c r="H20" s="1" t="e">
        <f>VLOOKUP($B20,[29]TrtCodes!$B$11:N77,7)</f>
        <v>#N/A</v>
      </c>
      <c r="I20" s="1">
        <f>[29]FormattedData!B34</f>
        <v>0</v>
      </c>
      <c r="J20" s="4">
        <f>[29]FormattedData!C34</f>
        <v>0</v>
      </c>
      <c r="K20" s="6">
        <f>$J$3+[29]FormattedData!D34*$J$4+$M$4*$J$5+[29]FormattedData!D34^2*$J$6+$M$5*$J$7</f>
        <v>-1.1852540612398474</v>
      </c>
      <c r="L20" s="6">
        <f>$J$3+[29]FormattedData!E34*$J$4+$M$4*$J$5+[29]FormattedData!E34^2*$J$6+$M$5*$J$7</f>
        <v>-1.1852540612398474</v>
      </c>
      <c r="M20" s="6">
        <f>$J$3+[29]FormattedData!F34*$J$4+$M$4*$J$5+[29]FormattedData!F34^2*$J$6+$M$5*$J$7</f>
        <v>-1.1852540612398474</v>
      </c>
      <c r="N20" s="6">
        <f>$J$3+[29]FormattedData!G34*$J$4+$M$4*$J$5+[29]FormattedData!G34^2*$J$6+$M$5*$J$7</f>
        <v>-1.1852540612398474</v>
      </c>
      <c r="O20" s="6">
        <f>$J$3+[29]FormattedData!H34*$J$4+$M$4*$J$5+[29]FormattedData!H34^2*$J$6+$M$5*$J$7</f>
        <v>-1.1852540612398474</v>
      </c>
      <c r="P20" s="6">
        <f>$J$3+[29]FormattedData!I34*$J$4+$M$4*$J$5+[29]FormattedData!I34^2*$J$6+$M$5*$J$7</f>
        <v>-1.1852540612398474</v>
      </c>
      <c r="Q20" s="6">
        <f>$J$3+[29]FormattedData!J34*$J$4+$M$4*$J$5+[29]FormattedData!J34^2*$J$6+$M$5*$J$7</f>
        <v>-1.1852540612398474</v>
      </c>
      <c r="R20" s="6">
        <f>$J$3+[29]FormattedData!K34*$J$4+$M$4*$J$5+[29]FormattedData!K34^2*$J$6+$M$5*$J$7</f>
        <v>-1.1852540612398474</v>
      </c>
      <c r="S20" s="6">
        <f>$J$3+[29]FormattedData!L34*$J$4+$M$4*$J$5+[29]FormattedData!L34^2*$J$6+$M$5*$J$7</f>
        <v>-1.1852540612398474</v>
      </c>
      <c r="T20" s="6">
        <f>$J$3+[29]FormattedData!M34*$J$4+$M$4*$J$5+[29]FormattedData!M34^2*$J$6+$M$5*$J$7</f>
        <v>-1.1852540612398474</v>
      </c>
      <c r="U20" s="6">
        <f>$J$3+[29]FormattedData!N34*$J$4+$M$4*$J$5+[29]FormattedData!N34^2*$J$6+$M$5*$J$7</f>
        <v>-1.1852540612398474</v>
      </c>
      <c r="V20" s="6">
        <f>$J$3+[29]FormattedData!O34*$J$4+$M$4*$J$5+[29]FormattedData!O34^2*$J$6+$M$5*$J$7</f>
        <v>-1.1852540612398474</v>
      </c>
      <c r="W20" s="5">
        <f t="shared" si="0"/>
        <v>-1.1852540612398474</v>
      </c>
      <c r="X20" s="4">
        <f t="shared" si="1"/>
        <v>0</v>
      </c>
      <c r="Y20" s="3">
        <f t="shared" si="2"/>
        <v>-1.1852540612398474</v>
      </c>
      <c r="Z20" s="2">
        <f t="shared" si="3"/>
        <v>-1.1852540612398474</v>
      </c>
      <c r="AA20" s="3">
        <f t="shared" si="4"/>
        <v>-1.1852540612398474</v>
      </c>
      <c r="AB20" s="2">
        <f t="shared" si="5"/>
        <v>-1.1852540612398474</v>
      </c>
      <c r="AC20" s="2">
        <f t="shared" si="6"/>
        <v>-1.1852540612398474</v>
      </c>
      <c r="AD20" s="2" t="e">
        <f t="shared" si="7"/>
        <v>#DIV/0!</v>
      </c>
      <c r="AE20" s="2" t="e">
        <f t="shared" si="8"/>
        <v>#DIV/0!</v>
      </c>
    </row>
    <row r="21" spans="2:31" x14ac:dyDescent="0.2">
      <c r="B21" s="1">
        <f>[29]FormattedData!A36</f>
        <v>0</v>
      </c>
      <c r="C21" s="1" t="e">
        <f>VLOOKUP($B21,[29]TrtCodes!$B$11:I79,2)</f>
        <v>#N/A</v>
      </c>
      <c r="D21" s="1" t="e">
        <f>VLOOKUP($B21,[29]TrtCodes!$B$11:J79,3)</f>
        <v>#N/A</v>
      </c>
      <c r="E21" s="1" t="e">
        <f>VLOOKUP($B21,[29]TrtCodes!$B$11:K79,4)</f>
        <v>#N/A</v>
      </c>
      <c r="F21" s="1" t="e">
        <f>VLOOKUP($B21,[29]TrtCodes!$B$11:L79,5)</f>
        <v>#N/A</v>
      </c>
      <c r="G21" s="1" t="e">
        <f>VLOOKUP($B21,[29]TrtCodes!$B$11:M79,6)</f>
        <v>#N/A</v>
      </c>
      <c r="H21" s="1" t="e">
        <f>VLOOKUP($B21,[29]TrtCodes!$B$11:N79,7)</f>
        <v>#N/A</v>
      </c>
      <c r="I21" s="1">
        <f>[29]FormattedData!B36</f>
        <v>0</v>
      </c>
      <c r="J21" s="4">
        <f>[29]FormattedData!C36</f>
        <v>0</v>
      </c>
      <c r="K21" s="6">
        <f>$J$3+[29]FormattedData!D36*$J$4+$M$4*$J$5+[29]FormattedData!D36^2*$J$6+$M$5*$J$7</f>
        <v>-1.1852540612398474</v>
      </c>
      <c r="L21" s="6">
        <f>$J$3+[29]FormattedData!E36*$J$4+$M$4*$J$5+[29]FormattedData!E36^2*$J$6+$M$5*$J$7</f>
        <v>-1.1852540612398474</v>
      </c>
      <c r="M21" s="6">
        <f>$J$3+[29]FormattedData!F36*$J$4+$M$4*$J$5+[29]FormattedData!F36^2*$J$6+$M$5*$J$7</f>
        <v>-1.1852540612398474</v>
      </c>
      <c r="N21" s="6">
        <f>$J$3+[29]FormattedData!G36*$J$4+$M$4*$J$5+[29]FormattedData!G36^2*$J$6+$M$5*$J$7</f>
        <v>-1.1852540612398474</v>
      </c>
      <c r="O21" s="6">
        <f>$J$3+[29]FormattedData!H36*$J$4+$M$4*$J$5+[29]FormattedData!H36^2*$J$6+$M$5*$J$7</f>
        <v>-1.1852540612398474</v>
      </c>
      <c r="P21" s="6">
        <f>$J$3+[29]FormattedData!I36*$J$4+$M$4*$J$5+[29]FormattedData!I36^2*$J$6+$M$5*$J$7</f>
        <v>-1.1852540612398474</v>
      </c>
      <c r="Q21" s="6">
        <f>$J$3+[29]FormattedData!J36*$J$4+$M$4*$J$5+[29]FormattedData!J36^2*$J$6+$M$5*$J$7</f>
        <v>-1.1852540612398474</v>
      </c>
      <c r="R21" s="6">
        <f>$J$3+[29]FormattedData!K36*$J$4+$M$4*$J$5+[29]FormattedData!K36^2*$J$6+$M$5*$J$7</f>
        <v>-1.1852540612398474</v>
      </c>
      <c r="S21" s="6">
        <f>$J$3+[29]FormattedData!L36*$J$4+$M$4*$J$5+[29]FormattedData!L36^2*$J$6+$M$5*$J$7</f>
        <v>-1.1852540612398474</v>
      </c>
      <c r="T21" s="6">
        <f>$J$3+[29]FormattedData!M36*$J$4+$M$4*$J$5+[29]FormattedData!M36^2*$J$6+$M$5*$J$7</f>
        <v>-1.1852540612398474</v>
      </c>
      <c r="U21" s="6">
        <f>$J$3+[29]FormattedData!N36*$J$4+$M$4*$J$5+[29]FormattedData!N36^2*$J$6+$M$5*$J$7</f>
        <v>-1.1852540612398474</v>
      </c>
      <c r="V21" s="6">
        <f>$J$3+[29]FormattedData!O36*$J$4+$M$4*$J$5+[29]FormattedData!O36^2*$J$6+$M$5*$J$7</f>
        <v>-1.1852540612398474</v>
      </c>
      <c r="W21" s="5">
        <f t="shared" si="0"/>
        <v>-1.1852540612398474</v>
      </c>
      <c r="X21" s="4">
        <f t="shared" si="1"/>
        <v>0</v>
      </c>
      <c r="Y21" s="3">
        <f t="shared" si="2"/>
        <v>-1.1852540612398474</v>
      </c>
      <c r="Z21" s="2">
        <f t="shared" si="3"/>
        <v>-1.1852540612398474</v>
      </c>
      <c r="AA21" s="3">
        <f t="shared" si="4"/>
        <v>-1.1852540612398474</v>
      </c>
      <c r="AB21" s="2">
        <f t="shared" si="5"/>
        <v>-1.1852540612398474</v>
      </c>
      <c r="AC21" s="2">
        <f t="shared" si="6"/>
        <v>-1.1852540612398474</v>
      </c>
      <c r="AD21" s="2" t="e">
        <f t="shared" si="7"/>
        <v>#DIV/0!</v>
      </c>
      <c r="AE21" s="2" t="e">
        <f t="shared" si="8"/>
        <v>#DIV/0!</v>
      </c>
    </row>
    <row r="22" spans="2:31" x14ac:dyDescent="0.2">
      <c r="B22" s="1">
        <f>[29]FormattedData!A38</f>
        <v>0</v>
      </c>
      <c r="C22" s="1" t="e">
        <f>VLOOKUP($B22,[29]TrtCodes!$B$11:I81,2)</f>
        <v>#N/A</v>
      </c>
      <c r="D22" s="1" t="e">
        <f>VLOOKUP($B22,[29]TrtCodes!$B$11:J81,3)</f>
        <v>#N/A</v>
      </c>
      <c r="E22" s="1" t="e">
        <f>VLOOKUP($B22,[29]TrtCodes!$B$11:K81,4)</f>
        <v>#N/A</v>
      </c>
      <c r="F22" s="1" t="e">
        <f>VLOOKUP($B22,[29]TrtCodes!$B$11:L81,5)</f>
        <v>#N/A</v>
      </c>
      <c r="G22" s="1" t="e">
        <f>VLOOKUP($B22,[29]TrtCodes!$B$11:M81,6)</f>
        <v>#N/A</v>
      </c>
      <c r="H22" s="1" t="e">
        <f>VLOOKUP($B22,[29]TrtCodes!$B$11:N81,7)</f>
        <v>#N/A</v>
      </c>
      <c r="I22" s="1">
        <f>[29]FormattedData!B38</f>
        <v>0</v>
      </c>
      <c r="J22" s="4">
        <f>[29]FormattedData!C38</f>
        <v>0</v>
      </c>
      <c r="K22" s="6">
        <f>$J$3+[29]FormattedData!D38*$J$4+$M$4*$J$5+[29]FormattedData!D38^2*$J$6+$M$5*$J$7</f>
        <v>-1.1852540612398474</v>
      </c>
      <c r="L22" s="6">
        <f>$J$3+[29]FormattedData!E38*$J$4+$M$4*$J$5+[29]FormattedData!E38^2*$J$6+$M$5*$J$7</f>
        <v>-1.1852540612398474</v>
      </c>
      <c r="M22" s="6">
        <f>$J$3+[29]FormattedData!F38*$J$4+$M$4*$J$5+[29]FormattedData!F38^2*$J$6+$M$5*$J$7</f>
        <v>-1.1852540612398474</v>
      </c>
      <c r="N22" s="6">
        <f>$J$3+[29]FormattedData!G38*$J$4+$M$4*$J$5+[29]FormattedData!G38^2*$J$6+$M$5*$J$7</f>
        <v>-1.1852540612398474</v>
      </c>
      <c r="O22" s="6">
        <f>$J$3+[29]FormattedData!H38*$J$4+$M$4*$J$5+[29]FormattedData!H38^2*$J$6+$M$5*$J$7</f>
        <v>-1.1852540612398474</v>
      </c>
      <c r="P22" s="6">
        <f>$J$3+[29]FormattedData!I38*$J$4+$M$4*$J$5+[29]FormattedData!I38^2*$J$6+$M$5*$J$7</f>
        <v>-1.1852540612398474</v>
      </c>
      <c r="Q22" s="6">
        <f>$J$3+[29]FormattedData!J38*$J$4+$M$4*$J$5+[29]FormattedData!J38^2*$J$6+$M$5*$J$7</f>
        <v>-1.1852540612398474</v>
      </c>
      <c r="R22" s="6">
        <f>$J$3+[29]FormattedData!K38*$J$4+$M$4*$J$5+[29]FormattedData!K38^2*$J$6+$M$5*$J$7</f>
        <v>-1.1852540612398474</v>
      </c>
      <c r="S22" s="6">
        <f>$J$3+[29]FormattedData!L38*$J$4+$M$4*$J$5+[29]FormattedData!L38^2*$J$6+$M$5*$J$7</f>
        <v>-1.1852540612398474</v>
      </c>
      <c r="T22" s="6">
        <f>$J$3+[29]FormattedData!M38*$J$4+$M$4*$J$5+[29]FormattedData!M38^2*$J$6+$M$5*$J$7</f>
        <v>-1.1852540612398474</v>
      </c>
      <c r="U22" s="6">
        <f>$J$3+[29]FormattedData!N38*$J$4+$M$4*$J$5+[29]FormattedData!N38^2*$J$6+$M$5*$J$7</f>
        <v>-1.1852540612398474</v>
      </c>
      <c r="V22" s="6">
        <f>$J$3+[29]FormattedData!O38*$J$4+$M$4*$J$5+[29]FormattedData!O38^2*$J$6+$M$5*$J$7</f>
        <v>-1.1852540612398474</v>
      </c>
      <c r="W22" s="5">
        <f t="shared" si="0"/>
        <v>-1.1852540612398474</v>
      </c>
      <c r="X22" s="4">
        <f t="shared" si="1"/>
        <v>0</v>
      </c>
      <c r="Y22" s="3">
        <f t="shared" si="2"/>
        <v>-1.1852540612398474</v>
      </c>
      <c r="Z22" s="2">
        <f t="shared" si="3"/>
        <v>-1.1852540612398474</v>
      </c>
      <c r="AA22" s="3">
        <f t="shared" si="4"/>
        <v>-1.1852540612398474</v>
      </c>
      <c r="AB22" s="2">
        <f t="shared" si="5"/>
        <v>-1.1852540612398474</v>
      </c>
      <c r="AC22" s="2">
        <f t="shared" si="6"/>
        <v>-1.1852540612398474</v>
      </c>
      <c r="AD22" s="2" t="e">
        <f t="shared" si="7"/>
        <v>#DIV/0!</v>
      </c>
      <c r="AE22" s="2" t="e">
        <f t="shared" si="8"/>
        <v>#DIV/0!</v>
      </c>
    </row>
    <row r="23" spans="2:31" x14ac:dyDescent="0.2">
      <c r="B23" s="1">
        <f>[29]FormattedData!A40</f>
        <v>0</v>
      </c>
      <c r="C23" s="1" t="e">
        <f>VLOOKUP($B23,[29]TrtCodes!$B$11:I83,2)</f>
        <v>#N/A</v>
      </c>
      <c r="D23" s="1" t="e">
        <f>VLOOKUP($B23,[29]TrtCodes!$B$11:J83,3)</f>
        <v>#N/A</v>
      </c>
      <c r="E23" s="1" t="e">
        <f>VLOOKUP($B23,[29]TrtCodes!$B$11:K83,4)</f>
        <v>#N/A</v>
      </c>
      <c r="F23" s="1" t="e">
        <f>VLOOKUP($B23,[29]TrtCodes!$B$11:L83,5)</f>
        <v>#N/A</v>
      </c>
      <c r="G23" s="1" t="e">
        <f>VLOOKUP($B23,[29]TrtCodes!$B$11:M83,6)</f>
        <v>#N/A</v>
      </c>
      <c r="H23" s="1" t="e">
        <f>VLOOKUP($B23,[29]TrtCodes!$B$11:N83,7)</f>
        <v>#N/A</v>
      </c>
      <c r="I23" s="1">
        <f>[29]FormattedData!B40</f>
        <v>0</v>
      </c>
      <c r="J23" s="4">
        <f>[29]FormattedData!C40</f>
        <v>0</v>
      </c>
      <c r="K23" s="6">
        <f>$J$3+[29]FormattedData!D40*$J$4+$M$4*$J$5+[29]FormattedData!D40^2*$J$6+$M$5*$J$7</f>
        <v>-1.1852540612398474</v>
      </c>
      <c r="L23" s="6">
        <f>$J$3+[29]FormattedData!E40*$J$4+$M$4*$J$5+[29]FormattedData!E40^2*$J$6+$M$5*$J$7</f>
        <v>-1.1852540612398474</v>
      </c>
      <c r="M23" s="6">
        <f>$J$3+[29]FormattedData!F40*$J$4+$M$4*$J$5+[29]FormattedData!F40^2*$J$6+$M$5*$J$7</f>
        <v>-1.1852540612398474</v>
      </c>
      <c r="N23" s="6">
        <f>$J$3+[29]FormattedData!G40*$J$4+$M$4*$J$5+[29]FormattedData!G40^2*$J$6+$M$5*$J$7</f>
        <v>-1.1852540612398474</v>
      </c>
      <c r="O23" s="6">
        <f>$J$3+[29]FormattedData!H40*$J$4+$M$4*$J$5+[29]FormattedData!H40^2*$J$6+$M$5*$J$7</f>
        <v>-1.1852540612398474</v>
      </c>
      <c r="P23" s="6">
        <f>$J$3+[29]FormattedData!I40*$J$4+$M$4*$J$5+[29]FormattedData!I40^2*$J$6+$M$5*$J$7</f>
        <v>-1.1852540612398474</v>
      </c>
      <c r="Q23" s="6">
        <f>$J$3+[29]FormattedData!J40*$J$4+$M$4*$J$5+[29]FormattedData!J40^2*$J$6+$M$5*$J$7</f>
        <v>-1.1852540612398474</v>
      </c>
      <c r="R23" s="6">
        <f>$J$3+[29]FormattedData!K40*$J$4+$M$4*$J$5+[29]FormattedData!K40^2*$J$6+$M$5*$J$7</f>
        <v>-1.1852540612398474</v>
      </c>
      <c r="S23" s="6">
        <f>$J$3+[29]FormattedData!L40*$J$4+$M$4*$J$5+[29]FormattedData!L40^2*$J$6+$M$5*$J$7</f>
        <v>-1.1852540612398474</v>
      </c>
      <c r="T23" s="6">
        <f>$J$3+[29]FormattedData!M40*$J$4+$M$4*$J$5+[29]FormattedData!M40^2*$J$6+$M$5*$J$7</f>
        <v>-1.1852540612398474</v>
      </c>
      <c r="U23" s="6">
        <f>$J$3+[29]FormattedData!N40*$J$4+$M$4*$J$5+[29]FormattedData!N40^2*$J$6+$M$5*$J$7</f>
        <v>-1.1852540612398474</v>
      </c>
      <c r="V23" s="6">
        <f>$J$3+[29]FormattedData!O40*$J$4+$M$4*$J$5+[29]FormattedData!O40^2*$J$6+$M$5*$J$7</f>
        <v>-1.1852540612398474</v>
      </c>
      <c r="W23" s="5">
        <f t="shared" si="0"/>
        <v>-1.1852540612398474</v>
      </c>
      <c r="X23" s="4">
        <f t="shared" si="1"/>
        <v>0</v>
      </c>
      <c r="Y23" s="3">
        <f t="shared" si="2"/>
        <v>-1.1852540612398474</v>
      </c>
      <c r="Z23" s="2">
        <f t="shared" si="3"/>
        <v>-1.1852540612398474</v>
      </c>
      <c r="AA23" s="3">
        <f t="shared" si="4"/>
        <v>-1.1852540612398474</v>
      </c>
      <c r="AB23" s="2">
        <f t="shared" si="5"/>
        <v>-1.1852540612398474</v>
      </c>
      <c r="AC23" s="2">
        <f t="shared" si="6"/>
        <v>-1.1852540612398474</v>
      </c>
      <c r="AD23" s="2" t="e">
        <f t="shared" si="7"/>
        <v>#DIV/0!</v>
      </c>
      <c r="AE23" s="2" t="e">
        <f t="shared" si="8"/>
        <v>#DIV/0!</v>
      </c>
    </row>
    <row r="24" spans="2:31" x14ac:dyDescent="0.2">
      <c r="B24" s="1">
        <f>[29]FormattedData!A42</f>
        <v>0</v>
      </c>
      <c r="C24" s="1" t="e">
        <f>VLOOKUP($B24,[29]TrtCodes!$B$11:I85,2)</f>
        <v>#N/A</v>
      </c>
      <c r="D24" s="1" t="e">
        <f>VLOOKUP($B24,[29]TrtCodes!$B$11:J85,3)</f>
        <v>#N/A</v>
      </c>
      <c r="E24" s="1" t="e">
        <f>VLOOKUP($B24,[29]TrtCodes!$B$11:K85,4)</f>
        <v>#N/A</v>
      </c>
      <c r="F24" s="1" t="e">
        <f>VLOOKUP($B24,[29]TrtCodes!$B$11:L85,5)</f>
        <v>#N/A</v>
      </c>
      <c r="G24" s="1" t="e">
        <f>VLOOKUP($B24,[29]TrtCodes!$B$11:M85,6)</f>
        <v>#N/A</v>
      </c>
      <c r="H24" s="1" t="e">
        <f>VLOOKUP($B24,[29]TrtCodes!$B$11:N85,7)</f>
        <v>#N/A</v>
      </c>
      <c r="I24" s="1">
        <f>[29]FormattedData!B42</f>
        <v>0</v>
      </c>
      <c r="J24" s="4">
        <f>[29]FormattedData!C42</f>
        <v>0</v>
      </c>
      <c r="K24" s="6">
        <f>$J$3+[29]FormattedData!D42*$J$4+$M$4*$J$5+[29]FormattedData!D42^2*$J$6+$M$5*$J$7</f>
        <v>-1.1852540612398474</v>
      </c>
      <c r="L24" s="6">
        <f>$J$3+[29]FormattedData!E42*$J$4+$M$4*$J$5+[29]FormattedData!E42^2*$J$6+$M$5*$J$7</f>
        <v>-1.1852540612398474</v>
      </c>
      <c r="M24" s="6">
        <f>$J$3+[29]FormattedData!F42*$J$4+$M$4*$J$5+[29]FormattedData!F42^2*$J$6+$M$5*$J$7</f>
        <v>-1.1852540612398474</v>
      </c>
      <c r="N24" s="6">
        <f>$J$3+[29]FormattedData!G42*$J$4+$M$4*$J$5+[29]FormattedData!G42^2*$J$6+$M$5*$J$7</f>
        <v>-1.1852540612398474</v>
      </c>
      <c r="O24" s="6">
        <f>$J$3+[29]FormattedData!H42*$J$4+$M$4*$J$5+[29]FormattedData!H42^2*$J$6+$M$5*$J$7</f>
        <v>-1.1852540612398474</v>
      </c>
      <c r="P24" s="6">
        <f>$J$3+[29]FormattedData!I42*$J$4+$M$4*$J$5+[29]FormattedData!I42^2*$J$6+$M$5*$J$7</f>
        <v>-1.1852540612398474</v>
      </c>
      <c r="Q24" s="6">
        <f>$J$3+[29]FormattedData!J42*$J$4+$M$4*$J$5+[29]FormattedData!J42^2*$J$6+$M$5*$J$7</f>
        <v>-1.1852540612398474</v>
      </c>
      <c r="R24" s="6">
        <f>$J$3+[29]FormattedData!K42*$J$4+$M$4*$J$5+[29]FormattedData!K42^2*$J$6+$M$5*$J$7</f>
        <v>-1.1852540612398474</v>
      </c>
      <c r="S24" s="6">
        <f>$J$3+[29]FormattedData!L42*$J$4+$M$4*$J$5+[29]FormattedData!L42^2*$J$6+$M$5*$J$7</f>
        <v>-1.1852540612398474</v>
      </c>
      <c r="T24" s="6">
        <f>$J$3+[29]FormattedData!M42*$J$4+$M$4*$J$5+[29]FormattedData!M42^2*$J$6+$M$5*$J$7</f>
        <v>-1.1852540612398474</v>
      </c>
      <c r="U24" s="6">
        <f>$J$3+[29]FormattedData!N42*$J$4+$M$4*$J$5+[29]FormattedData!N42^2*$J$6+$M$5*$J$7</f>
        <v>-1.1852540612398474</v>
      </c>
      <c r="V24" s="6">
        <f>$J$3+[29]FormattedData!O42*$J$4+$M$4*$J$5+[29]FormattedData!O42^2*$J$6+$M$5*$J$7</f>
        <v>-1.1852540612398474</v>
      </c>
      <c r="W24" s="5">
        <f t="shared" si="0"/>
        <v>-1.1852540612398474</v>
      </c>
      <c r="X24" s="4">
        <f t="shared" si="1"/>
        <v>0</v>
      </c>
      <c r="Y24" s="3">
        <f t="shared" si="2"/>
        <v>-1.1852540612398474</v>
      </c>
      <c r="Z24" s="2">
        <f t="shared" si="3"/>
        <v>-1.1852540612398474</v>
      </c>
      <c r="AA24" s="3">
        <f t="shared" si="4"/>
        <v>-1.1852540612398474</v>
      </c>
      <c r="AB24" s="2">
        <f t="shared" si="5"/>
        <v>-1.1852540612398474</v>
      </c>
      <c r="AC24" s="2">
        <f t="shared" si="6"/>
        <v>-1.1852540612398474</v>
      </c>
      <c r="AD24" s="2" t="e">
        <f t="shared" si="7"/>
        <v>#DIV/0!</v>
      </c>
      <c r="AE24" s="2" t="e">
        <f t="shared" si="8"/>
        <v>#DIV/0!</v>
      </c>
    </row>
    <row r="25" spans="2:31" x14ac:dyDescent="0.2">
      <c r="B25" s="1">
        <f>[29]FormattedData!A44</f>
        <v>0</v>
      </c>
      <c r="C25" s="1" t="e">
        <f>VLOOKUP($B25,[29]TrtCodes!$B$11:I87,2)</f>
        <v>#N/A</v>
      </c>
      <c r="D25" s="1" t="e">
        <f>VLOOKUP($B25,[29]TrtCodes!$B$11:J87,3)</f>
        <v>#N/A</v>
      </c>
      <c r="E25" s="1" t="e">
        <f>VLOOKUP($B25,[29]TrtCodes!$B$11:K87,4)</f>
        <v>#N/A</v>
      </c>
      <c r="F25" s="1" t="e">
        <f>VLOOKUP($B25,[29]TrtCodes!$B$11:L87,5)</f>
        <v>#N/A</v>
      </c>
      <c r="G25" s="1" t="e">
        <f>VLOOKUP($B25,[29]TrtCodes!$B$11:M87,6)</f>
        <v>#N/A</v>
      </c>
      <c r="H25" s="1" t="e">
        <f>VLOOKUP($B25,[29]TrtCodes!$B$11:N87,7)</f>
        <v>#N/A</v>
      </c>
      <c r="I25" s="1">
        <f>[29]FormattedData!B44</f>
        <v>0</v>
      </c>
      <c r="J25" s="4">
        <f>[29]FormattedData!C44</f>
        <v>0</v>
      </c>
      <c r="K25" s="6">
        <f>$J$3+[29]FormattedData!D44*$J$4+$M$4*$J$5+[29]FormattedData!D44^2*$J$6+$M$5*$J$7</f>
        <v>-1.1852540612398474</v>
      </c>
      <c r="L25" s="6">
        <f>$J$3+[29]FormattedData!E44*$J$4+$M$4*$J$5+[29]FormattedData!E44^2*$J$6+$M$5*$J$7</f>
        <v>-1.1852540612398474</v>
      </c>
      <c r="M25" s="6">
        <f>$J$3+[29]FormattedData!F44*$J$4+$M$4*$J$5+[29]FormattedData!F44^2*$J$6+$M$5*$J$7</f>
        <v>-1.1852540612398474</v>
      </c>
      <c r="N25" s="6">
        <f>$J$3+[29]FormattedData!G44*$J$4+$M$4*$J$5+[29]FormattedData!G44^2*$J$6+$M$5*$J$7</f>
        <v>-1.1852540612398474</v>
      </c>
      <c r="O25" s="6">
        <f>$J$3+[29]FormattedData!H44*$J$4+$M$4*$J$5+[29]FormattedData!H44^2*$J$6+$M$5*$J$7</f>
        <v>-1.1852540612398474</v>
      </c>
      <c r="P25" s="6">
        <f>$J$3+[29]FormattedData!I44*$J$4+$M$4*$J$5+[29]FormattedData!I44^2*$J$6+$M$5*$J$7</f>
        <v>-1.1852540612398474</v>
      </c>
      <c r="Q25" s="6">
        <f>$J$3+[29]FormattedData!J44*$J$4+$M$4*$J$5+[29]FormattedData!J44^2*$J$6+$M$5*$J$7</f>
        <v>-1.1852540612398474</v>
      </c>
      <c r="R25" s="6">
        <f>$J$3+[29]FormattedData!K44*$J$4+$M$4*$J$5+[29]FormattedData!K44^2*$J$6+$M$5*$J$7</f>
        <v>-1.1852540612398474</v>
      </c>
      <c r="S25" s="6">
        <f>$J$3+[29]FormattedData!L44*$J$4+$M$4*$J$5+[29]FormattedData!L44^2*$J$6+$M$5*$J$7</f>
        <v>-1.1852540612398474</v>
      </c>
      <c r="T25" s="6">
        <f>$J$3+[29]FormattedData!M44*$J$4+$M$4*$J$5+[29]FormattedData!M44^2*$J$6+$M$5*$J$7</f>
        <v>-1.1852540612398474</v>
      </c>
      <c r="U25" s="6">
        <f>$J$3+[29]FormattedData!N44*$J$4+$M$4*$J$5+[29]FormattedData!N44^2*$J$6+$M$5*$J$7</f>
        <v>-1.1852540612398474</v>
      </c>
      <c r="V25" s="6">
        <f>$J$3+[29]FormattedData!O44*$J$4+$M$4*$J$5+[29]FormattedData!O44^2*$J$6+$M$5*$J$7</f>
        <v>-1.1852540612398474</v>
      </c>
      <c r="W25" s="5">
        <f t="shared" si="0"/>
        <v>-1.1852540612398474</v>
      </c>
      <c r="X25" s="4">
        <f t="shared" si="1"/>
        <v>0</v>
      </c>
      <c r="Y25" s="3">
        <f t="shared" si="2"/>
        <v>-1.1852540612398474</v>
      </c>
      <c r="Z25" s="2">
        <f t="shared" si="3"/>
        <v>-1.1852540612398474</v>
      </c>
      <c r="AA25" s="3">
        <f t="shared" si="4"/>
        <v>-1.1852540612398474</v>
      </c>
      <c r="AB25" s="2">
        <f t="shared" si="5"/>
        <v>-1.1852540612398474</v>
      </c>
      <c r="AC25" s="2">
        <f t="shared" si="6"/>
        <v>-1.1852540612398474</v>
      </c>
      <c r="AD25" s="2" t="e">
        <f t="shared" si="7"/>
        <v>#DIV/0!</v>
      </c>
      <c r="AE25" s="2" t="e">
        <f t="shared" si="8"/>
        <v>#DIV/0!</v>
      </c>
    </row>
    <row r="26" spans="2:31" x14ac:dyDescent="0.2">
      <c r="B26" s="1">
        <f>[29]FormattedData!A62</f>
        <v>0</v>
      </c>
      <c r="C26" s="1" t="e">
        <f>VLOOKUP($B26,[29]TrtCodes!$B$11:I105,2)</f>
        <v>#N/A</v>
      </c>
      <c r="D26" s="1" t="e">
        <f>VLOOKUP($B26,[29]TrtCodes!$B$11:J105,3)</f>
        <v>#N/A</v>
      </c>
      <c r="E26" s="1" t="e">
        <f>VLOOKUP($B26,[29]TrtCodes!$B$11:K105,4)</f>
        <v>#N/A</v>
      </c>
      <c r="F26" s="1" t="e">
        <f>VLOOKUP($B26,[29]TrtCodes!$B$11:L105,5)</f>
        <v>#N/A</v>
      </c>
      <c r="G26" s="1" t="e">
        <f>VLOOKUP($B26,[29]TrtCodes!$B$11:M105,6)</f>
        <v>#N/A</v>
      </c>
      <c r="H26" s="1" t="e">
        <f>VLOOKUP($B26,[29]TrtCodes!$B$11:N105,7)</f>
        <v>#N/A</v>
      </c>
      <c r="I26" s="1">
        <f>[29]FormattedData!B62</f>
        <v>0</v>
      </c>
      <c r="J26" s="4">
        <f>[29]FormattedData!C62</f>
        <v>0</v>
      </c>
      <c r="K26" s="6">
        <f>$J$3+[29]FormattedData!D62*$J$4+$M$4*$J$5+[29]FormattedData!D62^2*$J$6+$M$5*$J$7</f>
        <v>-1.1852540612398474</v>
      </c>
      <c r="L26" s="6">
        <f>$J$3+[29]FormattedData!E62*$J$4+$M$4*$J$5+[29]FormattedData!E62^2*$J$6+$M$5*$J$7</f>
        <v>-1.1852540612398474</v>
      </c>
      <c r="M26" s="6">
        <f>$J$3+[29]FormattedData!F62*$J$4+$M$4*$J$5+[29]FormattedData!F62^2*$J$6+$M$5*$J$7</f>
        <v>-1.1852540612398474</v>
      </c>
      <c r="N26" s="6">
        <f>$J$3+[29]FormattedData!G62*$J$4+$M$4*$J$5+[29]FormattedData!G62^2*$J$6+$M$5*$J$7</f>
        <v>-1.1852540612398474</v>
      </c>
      <c r="O26" s="6">
        <f>$J$3+[29]FormattedData!H62*$J$4+$M$4*$J$5+[29]FormattedData!H62^2*$J$6+$M$5*$J$7</f>
        <v>-1.1852540612398474</v>
      </c>
      <c r="P26" s="6">
        <f>$J$3+[29]FormattedData!I62*$J$4+$M$4*$J$5+[29]FormattedData!I62^2*$J$6+$M$5*$J$7</f>
        <v>-1.1852540612398474</v>
      </c>
      <c r="Q26" s="6">
        <f>$J$3+[29]FormattedData!J62*$J$4+$M$4*$J$5+[29]FormattedData!J62^2*$J$6+$M$5*$J$7</f>
        <v>-1.1852540612398474</v>
      </c>
      <c r="R26" s="6">
        <f>$J$3+[29]FormattedData!K62*$J$4+$M$4*$J$5+[29]FormattedData!K62^2*$J$6+$M$5*$J$7</f>
        <v>-1.1852540612398474</v>
      </c>
      <c r="S26" s="6">
        <f>$J$3+[29]FormattedData!L62*$J$4+$M$4*$J$5+[29]FormattedData!L62^2*$J$6+$M$5*$J$7</f>
        <v>-1.1852540612398474</v>
      </c>
      <c r="T26" s="6">
        <f>$J$3+[29]FormattedData!M62*$J$4+$M$4*$J$5+[29]FormattedData!M62^2*$J$6+$M$5*$J$7</f>
        <v>-1.1852540612398474</v>
      </c>
      <c r="U26" s="6">
        <f>$J$3+[29]FormattedData!N62*$J$4+$M$4*$J$5+[29]FormattedData!N62^2*$J$6+$M$5*$J$7</f>
        <v>-1.1852540612398474</v>
      </c>
      <c r="V26" s="6">
        <f>$J$3+[29]FormattedData!O62*$J$4+$M$4*$J$5+[29]FormattedData!O62^2*$J$6+$M$5*$J$7</f>
        <v>-1.1852540612398474</v>
      </c>
      <c r="W26" s="5">
        <f t="shared" si="0"/>
        <v>-1.1852540612398474</v>
      </c>
      <c r="X26" s="4">
        <f t="shared" si="1"/>
        <v>0</v>
      </c>
      <c r="Y26" s="3">
        <f t="shared" si="2"/>
        <v>-1.1852540612398474</v>
      </c>
      <c r="Z26" s="2">
        <f t="shared" si="3"/>
        <v>-1.1852540612398474</v>
      </c>
      <c r="AA26" s="3">
        <f t="shared" si="4"/>
        <v>-1.1852540612398474</v>
      </c>
      <c r="AB26" s="2">
        <f t="shared" si="5"/>
        <v>-1.1852540612398474</v>
      </c>
      <c r="AC26" s="2">
        <f t="shared" si="6"/>
        <v>-1.1852540612398474</v>
      </c>
      <c r="AD26" s="2" t="e">
        <f t="shared" si="7"/>
        <v>#DIV/0!</v>
      </c>
      <c r="AE26" s="2" t="e">
        <f t="shared" si="8"/>
        <v>#DIV/0!</v>
      </c>
    </row>
    <row r="27" spans="2:31" x14ac:dyDescent="0.2">
      <c r="B27" s="1">
        <f>[29]FormattedData!A64</f>
        <v>0</v>
      </c>
      <c r="C27" s="1" t="e">
        <f>VLOOKUP($B27,[29]TrtCodes!$B$11:I107,2)</f>
        <v>#N/A</v>
      </c>
      <c r="D27" s="1" t="e">
        <f>VLOOKUP($B27,[29]TrtCodes!$B$11:J107,3)</f>
        <v>#N/A</v>
      </c>
      <c r="E27" s="1" t="e">
        <f>VLOOKUP($B27,[29]TrtCodes!$B$11:K107,4)</f>
        <v>#N/A</v>
      </c>
      <c r="F27" s="1" t="e">
        <f>VLOOKUP($B27,[29]TrtCodes!$B$11:L107,5)</f>
        <v>#N/A</v>
      </c>
      <c r="G27" s="1" t="e">
        <f>VLOOKUP($B27,[29]TrtCodes!$B$11:M107,6)</f>
        <v>#N/A</v>
      </c>
      <c r="H27" s="1" t="e">
        <f>VLOOKUP($B27,[29]TrtCodes!$B$11:N107,7)</f>
        <v>#N/A</v>
      </c>
      <c r="I27" s="1">
        <f>[29]FormattedData!B64</f>
        <v>0</v>
      </c>
      <c r="J27" s="4">
        <f>[29]FormattedData!C64</f>
        <v>0</v>
      </c>
      <c r="K27" s="6">
        <f>$J$3+[29]FormattedData!D64*$J$4+$M$4*$J$5+[29]FormattedData!D64^2*$J$6+$M$5*$J$7</f>
        <v>-1.1852540612398474</v>
      </c>
      <c r="L27" s="6">
        <f>$J$3+[29]FormattedData!E64*$J$4+$M$4*$J$5+[29]FormattedData!E64^2*$J$6+$M$5*$J$7</f>
        <v>-1.1852540612398474</v>
      </c>
      <c r="M27" s="6">
        <f>$J$3+[29]FormattedData!F64*$J$4+$M$4*$J$5+[29]FormattedData!F64^2*$J$6+$M$5*$J$7</f>
        <v>-1.1852540612398474</v>
      </c>
      <c r="N27" s="6">
        <f>$J$3+[29]FormattedData!G64*$J$4+$M$4*$J$5+[29]FormattedData!G64^2*$J$6+$M$5*$J$7</f>
        <v>-1.1852540612398474</v>
      </c>
      <c r="O27" s="6">
        <f>$J$3+[29]FormattedData!H64*$J$4+$M$4*$J$5+[29]FormattedData!H64^2*$J$6+$M$5*$J$7</f>
        <v>-1.1852540612398474</v>
      </c>
      <c r="P27" s="6">
        <f>$J$3+[29]FormattedData!I64*$J$4+$M$4*$J$5+[29]FormattedData!I64^2*$J$6+$M$5*$J$7</f>
        <v>-1.1852540612398474</v>
      </c>
      <c r="Q27" s="6">
        <f>$J$3+[29]FormattedData!J64*$J$4+$M$4*$J$5+[29]FormattedData!J64^2*$J$6+$M$5*$J$7</f>
        <v>-1.1852540612398474</v>
      </c>
      <c r="R27" s="6">
        <f>$J$3+[29]FormattedData!K64*$J$4+$M$4*$J$5+[29]FormattedData!K64^2*$J$6+$M$5*$J$7</f>
        <v>-1.1852540612398474</v>
      </c>
      <c r="S27" s="6">
        <f>$J$3+[29]FormattedData!L64*$J$4+$M$4*$J$5+[29]FormattedData!L64^2*$J$6+$M$5*$J$7</f>
        <v>-1.1852540612398474</v>
      </c>
      <c r="T27" s="6">
        <f>$J$3+[29]FormattedData!M64*$J$4+$M$4*$J$5+[29]FormattedData!M64^2*$J$6+$M$5*$J$7</f>
        <v>-1.1852540612398474</v>
      </c>
      <c r="U27" s="6">
        <f>$J$3+[29]FormattedData!N64*$J$4+$M$4*$J$5+[29]FormattedData!N64^2*$J$6+$M$5*$J$7</f>
        <v>-1.1852540612398474</v>
      </c>
      <c r="V27" s="6">
        <f>$J$3+[29]FormattedData!O64*$J$4+$M$4*$J$5+[29]FormattedData!O64^2*$J$6+$M$5*$J$7</f>
        <v>-1.1852540612398474</v>
      </c>
      <c r="W27" s="5">
        <f t="shared" si="0"/>
        <v>-1.1852540612398474</v>
      </c>
      <c r="X27" s="4">
        <f t="shared" si="1"/>
        <v>0</v>
      </c>
      <c r="Y27" s="3">
        <f t="shared" si="2"/>
        <v>-1.1852540612398474</v>
      </c>
      <c r="Z27" s="2">
        <f t="shared" si="3"/>
        <v>-1.1852540612398474</v>
      </c>
      <c r="AA27" s="3">
        <f t="shared" si="4"/>
        <v>-1.1852540612398474</v>
      </c>
      <c r="AB27" s="2">
        <f t="shared" si="5"/>
        <v>-1.1852540612398474</v>
      </c>
      <c r="AC27" s="2">
        <f t="shared" si="6"/>
        <v>-1.1852540612398474</v>
      </c>
      <c r="AD27" s="2" t="e">
        <f t="shared" si="7"/>
        <v>#DIV/0!</v>
      </c>
      <c r="AE27" s="2" t="e">
        <f t="shared" si="8"/>
        <v>#DIV/0!</v>
      </c>
    </row>
    <row r="28" spans="2:31" x14ac:dyDescent="0.2">
      <c r="B28" s="1">
        <f>[29]FormattedData!A66</f>
        <v>0</v>
      </c>
      <c r="C28" s="1" t="e">
        <f>VLOOKUP($B28,[29]TrtCodes!$B$11:I109,2)</f>
        <v>#N/A</v>
      </c>
      <c r="D28" s="1" t="e">
        <f>VLOOKUP($B28,[29]TrtCodes!$B$11:J109,3)</f>
        <v>#N/A</v>
      </c>
      <c r="E28" s="1" t="e">
        <f>VLOOKUP($B28,[29]TrtCodes!$B$11:K109,4)</f>
        <v>#N/A</v>
      </c>
      <c r="F28" s="1" t="e">
        <f>VLOOKUP($B28,[29]TrtCodes!$B$11:L109,5)</f>
        <v>#N/A</v>
      </c>
      <c r="G28" s="1" t="e">
        <f>VLOOKUP($B28,[29]TrtCodes!$B$11:M109,6)</f>
        <v>#N/A</v>
      </c>
      <c r="H28" s="1" t="e">
        <f>VLOOKUP($B28,[29]TrtCodes!$B$11:N109,7)</f>
        <v>#N/A</v>
      </c>
      <c r="I28" s="1">
        <f>[29]FormattedData!B66</f>
        <v>0</v>
      </c>
      <c r="J28" s="4">
        <f>[29]FormattedData!C66</f>
        <v>0</v>
      </c>
      <c r="K28" s="6">
        <f>$J$3+[29]FormattedData!D66*$J$4+$M$4*$J$5+[29]FormattedData!D66^2*$J$6+$M$5*$J$7</f>
        <v>-1.1852540612398474</v>
      </c>
      <c r="L28" s="6">
        <f>$J$3+[29]FormattedData!E66*$J$4+$M$4*$J$5+[29]FormattedData!E66^2*$J$6+$M$5*$J$7</f>
        <v>-1.1852540612398474</v>
      </c>
      <c r="M28" s="6">
        <f>$J$3+[29]FormattedData!F66*$J$4+$M$4*$J$5+[29]FormattedData!F66^2*$J$6+$M$5*$J$7</f>
        <v>-1.1852540612398474</v>
      </c>
      <c r="N28" s="6">
        <f>$J$3+[29]FormattedData!G66*$J$4+$M$4*$J$5+[29]FormattedData!G66^2*$J$6+$M$5*$J$7</f>
        <v>-1.1852540612398474</v>
      </c>
      <c r="O28" s="6">
        <f>$J$3+[29]FormattedData!H66*$J$4+$M$4*$J$5+[29]FormattedData!H66^2*$J$6+$M$5*$J$7</f>
        <v>-1.1852540612398474</v>
      </c>
      <c r="P28" s="6">
        <f>$J$3+[29]FormattedData!I66*$J$4+$M$4*$J$5+[29]FormattedData!I66^2*$J$6+$M$5*$J$7</f>
        <v>-1.1852540612398474</v>
      </c>
      <c r="Q28" s="6">
        <f>$J$3+[29]FormattedData!J66*$J$4+$M$4*$J$5+[29]FormattedData!J66^2*$J$6+$M$5*$J$7</f>
        <v>-1.1852540612398474</v>
      </c>
      <c r="R28" s="6">
        <f>$J$3+[29]FormattedData!K66*$J$4+$M$4*$J$5+[29]FormattedData!K66^2*$J$6+$M$5*$J$7</f>
        <v>-1.1852540612398474</v>
      </c>
      <c r="S28" s="6">
        <f>$J$3+[29]FormattedData!L66*$J$4+$M$4*$J$5+[29]FormattedData!L66^2*$J$6+$M$5*$J$7</f>
        <v>-1.1852540612398474</v>
      </c>
      <c r="T28" s="6">
        <f>$J$3+[29]FormattedData!M66*$J$4+$M$4*$J$5+[29]FormattedData!M66^2*$J$6+$M$5*$J$7</f>
        <v>-1.1852540612398474</v>
      </c>
      <c r="U28" s="6">
        <f>$J$3+[29]FormattedData!N66*$J$4+$M$4*$J$5+[29]FormattedData!N66^2*$J$6+$M$5*$J$7</f>
        <v>-1.1852540612398474</v>
      </c>
      <c r="V28" s="6">
        <f>$J$3+[29]FormattedData!O66*$J$4+$M$4*$J$5+[29]FormattedData!O66^2*$J$6+$M$5*$J$7</f>
        <v>-1.1852540612398474</v>
      </c>
      <c r="W28" s="5">
        <f t="shared" si="0"/>
        <v>-1.1852540612398474</v>
      </c>
      <c r="X28" s="4">
        <f t="shared" si="1"/>
        <v>0</v>
      </c>
      <c r="Y28" s="3">
        <f t="shared" si="2"/>
        <v>-1.1852540612398474</v>
      </c>
      <c r="Z28" s="2">
        <f t="shared" si="3"/>
        <v>-1.1852540612398474</v>
      </c>
      <c r="AA28" s="3">
        <f t="shared" si="4"/>
        <v>-1.1852540612398474</v>
      </c>
      <c r="AB28" s="2">
        <f t="shared" si="5"/>
        <v>-1.1852540612398474</v>
      </c>
      <c r="AC28" s="2">
        <f t="shared" si="6"/>
        <v>-1.1852540612398474</v>
      </c>
      <c r="AD28" s="2" t="e">
        <f t="shared" si="7"/>
        <v>#DIV/0!</v>
      </c>
      <c r="AE28" s="2" t="e">
        <f t="shared" si="8"/>
        <v>#DIV/0!</v>
      </c>
    </row>
    <row r="29" spans="2:31" x14ac:dyDescent="0.2">
      <c r="B29" s="1">
        <f>[29]FormattedData!A68</f>
        <v>0</v>
      </c>
      <c r="C29" s="1" t="e">
        <f>VLOOKUP($B29,[29]TrtCodes!$B$11:I111,2)</f>
        <v>#N/A</v>
      </c>
      <c r="D29" s="1" t="e">
        <f>VLOOKUP($B29,[29]TrtCodes!$B$11:J111,3)</f>
        <v>#N/A</v>
      </c>
      <c r="E29" s="1" t="e">
        <f>VLOOKUP($B29,[29]TrtCodes!$B$11:K111,4)</f>
        <v>#N/A</v>
      </c>
      <c r="F29" s="1" t="e">
        <f>VLOOKUP($B29,[29]TrtCodes!$B$11:L111,5)</f>
        <v>#N/A</v>
      </c>
      <c r="G29" s="1" t="e">
        <f>VLOOKUP($B29,[29]TrtCodes!$B$11:M111,6)</f>
        <v>#N/A</v>
      </c>
      <c r="H29" s="1" t="e">
        <f>VLOOKUP($B29,[29]TrtCodes!$B$11:N111,7)</f>
        <v>#N/A</v>
      </c>
      <c r="I29" s="1">
        <f>[29]FormattedData!B68</f>
        <v>0</v>
      </c>
      <c r="J29" s="4">
        <f>[29]FormattedData!C68</f>
        <v>0</v>
      </c>
      <c r="K29" s="6">
        <f>$J$3+[29]FormattedData!D68*$J$4+$M$4*$J$5+[29]FormattedData!D68^2*$J$6+$M$5*$J$7</f>
        <v>-1.1852540612398474</v>
      </c>
      <c r="L29" s="6">
        <f>$J$3+[29]FormattedData!E68*$J$4+$M$4*$J$5+[29]FormattedData!E68^2*$J$6+$M$5*$J$7</f>
        <v>-1.1852540612398474</v>
      </c>
      <c r="M29" s="6">
        <f>$J$3+[29]FormattedData!F68*$J$4+$M$4*$J$5+[29]FormattedData!F68^2*$J$6+$M$5*$J$7</f>
        <v>-1.1852540612398474</v>
      </c>
      <c r="N29" s="6">
        <f>$J$3+[29]FormattedData!G68*$J$4+$M$4*$J$5+[29]FormattedData!G68^2*$J$6+$M$5*$J$7</f>
        <v>-1.1852540612398474</v>
      </c>
      <c r="O29" s="6">
        <f>$J$3+[29]FormattedData!H68*$J$4+$M$4*$J$5+[29]FormattedData!H68^2*$J$6+$M$5*$J$7</f>
        <v>-1.1852540612398474</v>
      </c>
      <c r="P29" s="6">
        <f>$J$3+[29]FormattedData!I68*$J$4+$M$4*$J$5+[29]FormattedData!I68^2*$J$6+$M$5*$J$7</f>
        <v>-1.1852540612398474</v>
      </c>
      <c r="Q29" s="6">
        <f>$J$3+[29]FormattedData!J68*$J$4+$M$4*$J$5+[29]FormattedData!J68^2*$J$6+$M$5*$J$7</f>
        <v>-1.1852540612398474</v>
      </c>
      <c r="R29" s="6">
        <f>$J$3+[29]FormattedData!K68*$J$4+$M$4*$J$5+[29]FormattedData!K68^2*$J$6+$M$5*$J$7</f>
        <v>-1.1852540612398474</v>
      </c>
      <c r="S29" s="6">
        <f>$J$3+[29]FormattedData!L68*$J$4+$M$4*$J$5+[29]FormattedData!L68^2*$J$6+$M$5*$J$7</f>
        <v>-1.1852540612398474</v>
      </c>
      <c r="T29" s="6">
        <f>$J$3+[29]FormattedData!M68*$J$4+$M$4*$J$5+[29]FormattedData!M68^2*$J$6+$M$5*$J$7</f>
        <v>-1.1852540612398474</v>
      </c>
      <c r="U29" s="6">
        <f>$J$3+[29]FormattedData!N68*$J$4+$M$4*$J$5+[29]FormattedData!N68^2*$J$6+$M$5*$J$7</f>
        <v>-1.1852540612398474</v>
      </c>
      <c r="V29" s="6">
        <f>$J$3+[29]FormattedData!O68*$J$4+$M$4*$J$5+[29]FormattedData!O68^2*$J$6+$M$5*$J$7</f>
        <v>-1.1852540612398474</v>
      </c>
      <c r="W29" s="5">
        <f t="shared" si="0"/>
        <v>-1.1852540612398474</v>
      </c>
      <c r="X29" s="4">
        <f t="shared" si="1"/>
        <v>0</v>
      </c>
      <c r="Y29" s="3">
        <f t="shared" si="2"/>
        <v>-1.1852540612398474</v>
      </c>
      <c r="Z29" s="2">
        <f t="shared" si="3"/>
        <v>-1.1852540612398474</v>
      </c>
      <c r="AA29" s="3">
        <f t="shared" si="4"/>
        <v>-1.1852540612398474</v>
      </c>
      <c r="AB29" s="2">
        <f t="shared" si="5"/>
        <v>-1.1852540612398474</v>
      </c>
      <c r="AC29" s="2">
        <f t="shared" si="6"/>
        <v>-1.1852540612398474</v>
      </c>
      <c r="AD29" s="2" t="e">
        <f t="shared" si="7"/>
        <v>#DIV/0!</v>
      </c>
      <c r="AE29" s="2" t="e">
        <f t="shared" si="8"/>
        <v>#DIV/0!</v>
      </c>
    </row>
    <row r="30" spans="2:31" x14ac:dyDescent="0.2">
      <c r="B30" s="1">
        <f>[29]FormattedData!A70</f>
        <v>0</v>
      </c>
      <c r="C30" s="1" t="e">
        <f>VLOOKUP($B30,[29]TrtCodes!$B$11:I113,2)</f>
        <v>#N/A</v>
      </c>
      <c r="D30" s="1" t="e">
        <f>VLOOKUP($B30,[29]TrtCodes!$B$11:J113,3)</f>
        <v>#N/A</v>
      </c>
      <c r="E30" s="1" t="e">
        <f>VLOOKUP($B30,[29]TrtCodes!$B$11:K113,4)</f>
        <v>#N/A</v>
      </c>
      <c r="F30" s="1" t="e">
        <f>VLOOKUP($B30,[29]TrtCodes!$B$11:L113,5)</f>
        <v>#N/A</v>
      </c>
      <c r="G30" s="1" t="e">
        <f>VLOOKUP($B30,[29]TrtCodes!$B$11:M113,6)</f>
        <v>#N/A</v>
      </c>
      <c r="H30" s="1" t="e">
        <f>VLOOKUP($B30,[29]TrtCodes!$B$11:N113,7)</f>
        <v>#N/A</v>
      </c>
      <c r="I30" s="1">
        <f>[29]FormattedData!B70</f>
        <v>0</v>
      </c>
      <c r="J30" s="4">
        <f>[29]FormattedData!C70</f>
        <v>0</v>
      </c>
      <c r="K30" s="6">
        <f>$J$3+[29]FormattedData!D70*$J$4+$M$4*$J$5+[29]FormattedData!D70^2*$J$6+$M$5*$J$7</f>
        <v>-1.1852540612398474</v>
      </c>
      <c r="L30" s="6">
        <f>$J$3+[29]FormattedData!E70*$J$4+$M$4*$J$5+[29]FormattedData!E70^2*$J$6+$M$5*$J$7</f>
        <v>-1.1852540612398474</v>
      </c>
      <c r="M30" s="6">
        <f>$J$3+[29]FormattedData!F70*$J$4+$M$4*$J$5+[29]FormattedData!F70^2*$J$6+$M$5*$J$7</f>
        <v>-1.1852540612398474</v>
      </c>
      <c r="N30" s="6">
        <f>$J$3+[29]FormattedData!G70*$J$4+$M$4*$J$5+[29]FormattedData!G70^2*$J$6+$M$5*$J$7</f>
        <v>-1.1852540612398474</v>
      </c>
      <c r="O30" s="6">
        <f>$J$3+[29]FormattedData!H70*$J$4+$M$4*$J$5+[29]FormattedData!H70^2*$J$6+$M$5*$J$7</f>
        <v>-1.1852540612398474</v>
      </c>
      <c r="P30" s="6">
        <f>$J$3+[29]FormattedData!I70*$J$4+$M$4*$J$5+[29]FormattedData!I70^2*$J$6+$M$5*$J$7</f>
        <v>-1.1852540612398474</v>
      </c>
      <c r="Q30" s="6">
        <f>$J$3+[29]FormattedData!J70*$J$4+$M$4*$J$5+[29]FormattedData!J70^2*$J$6+$M$5*$J$7</f>
        <v>-1.1852540612398474</v>
      </c>
      <c r="R30" s="6">
        <f>$J$3+[29]FormattedData!K70*$J$4+$M$4*$J$5+[29]FormattedData!K70^2*$J$6+$M$5*$J$7</f>
        <v>-1.1852540612398474</v>
      </c>
      <c r="S30" s="6">
        <f>$J$3+[29]FormattedData!L70*$J$4+$M$4*$J$5+[29]FormattedData!L70^2*$J$6+$M$5*$J$7</f>
        <v>-1.1852540612398474</v>
      </c>
      <c r="T30" s="6">
        <f>$J$3+[29]FormattedData!M70*$J$4+$M$4*$J$5+[29]FormattedData!M70^2*$J$6+$M$5*$J$7</f>
        <v>-1.1852540612398474</v>
      </c>
      <c r="U30" s="6">
        <f>$J$3+[29]FormattedData!N70*$J$4+$M$4*$J$5+[29]FormattedData!N70^2*$J$6+$M$5*$J$7</f>
        <v>-1.1852540612398474</v>
      </c>
      <c r="V30" s="6">
        <f>$J$3+[29]FormattedData!O70*$J$4+$M$4*$J$5+[29]FormattedData!O70^2*$J$6+$M$5*$J$7</f>
        <v>-1.1852540612398474</v>
      </c>
      <c r="W30" s="5">
        <f t="shared" si="0"/>
        <v>-1.1852540612398474</v>
      </c>
      <c r="X30" s="4">
        <f t="shared" si="1"/>
        <v>0</v>
      </c>
      <c r="Y30" s="3">
        <f t="shared" si="2"/>
        <v>-1.1852540612398474</v>
      </c>
      <c r="Z30" s="2">
        <f t="shared" si="3"/>
        <v>-1.1852540612398474</v>
      </c>
      <c r="AA30" s="3">
        <f t="shared" si="4"/>
        <v>-1.1852540612398474</v>
      </c>
      <c r="AB30" s="2">
        <f t="shared" si="5"/>
        <v>-1.1852540612398474</v>
      </c>
      <c r="AC30" s="2">
        <f t="shared" si="6"/>
        <v>-1.1852540612398474</v>
      </c>
      <c r="AD30" s="2" t="e">
        <f t="shared" si="7"/>
        <v>#DIV/0!</v>
      </c>
      <c r="AE30" s="2" t="e">
        <f t="shared" si="8"/>
        <v>#DIV/0!</v>
      </c>
    </row>
    <row r="31" spans="2:31" x14ac:dyDescent="0.2">
      <c r="B31" s="1">
        <f>[29]FormattedData!A72</f>
        <v>0</v>
      </c>
      <c r="C31" s="1" t="e">
        <f>VLOOKUP($B31,[29]TrtCodes!$B$11:I115,2)</f>
        <v>#N/A</v>
      </c>
      <c r="D31" s="1" t="e">
        <f>VLOOKUP($B31,[29]TrtCodes!$B$11:J115,3)</f>
        <v>#N/A</v>
      </c>
      <c r="E31" s="1" t="e">
        <f>VLOOKUP($B31,[29]TrtCodes!$B$11:K115,4)</f>
        <v>#N/A</v>
      </c>
      <c r="F31" s="1" t="e">
        <f>VLOOKUP($B31,[29]TrtCodes!$B$11:L115,5)</f>
        <v>#N/A</v>
      </c>
      <c r="G31" s="1" t="e">
        <f>VLOOKUP($B31,[29]TrtCodes!$B$11:M115,6)</f>
        <v>#N/A</v>
      </c>
      <c r="H31" s="1" t="e">
        <f>VLOOKUP($B31,[29]TrtCodes!$B$11:N115,7)</f>
        <v>#N/A</v>
      </c>
      <c r="I31" s="1">
        <f>[29]FormattedData!B72</f>
        <v>0</v>
      </c>
      <c r="J31" s="4">
        <f>[29]FormattedData!C72</f>
        <v>0</v>
      </c>
      <c r="K31" s="6">
        <f>$J$3+[29]FormattedData!D72*$J$4+$M$4*$J$5+[29]FormattedData!D72^2*$J$6+$M$5*$J$7</f>
        <v>-1.1852540612398474</v>
      </c>
      <c r="L31" s="6">
        <f>$J$3+[29]FormattedData!E72*$J$4+$M$4*$J$5+[29]FormattedData!E72^2*$J$6+$M$5*$J$7</f>
        <v>-1.1852540612398474</v>
      </c>
      <c r="M31" s="6">
        <f>$J$3+[29]FormattedData!F72*$J$4+$M$4*$J$5+[29]FormattedData!F72^2*$J$6+$M$5*$J$7</f>
        <v>-1.1852540612398474</v>
      </c>
      <c r="N31" s="6">
        <f>$J$3+[29]FormattedData!G72*$J$4+$M$4*$J$5+[29]FormattedData!G72^2*$J$6+$M$5*$J$7</f>
        <v>-1.1852540612398474</v>
      </c>
      <c r="O31" s="6">
        <f>$J$3+[29]FormattedData!H72*$J$4+$M$4*$J$5+[29]FormattedData!H72^2*$J$6+$M$5*$J$7</f>
        <v>-1.1852540612398474</v>
      </c>
      <c r="P31" s="6">
        <f>$J$3+[29]FormattedData!I72*$J$4+$M$4*$J$5+[29]FormattedData!I72^2*$J$6+$M$5*$J$7</f>
        <v>-1.1852540612398474</v>
      </c>
      <c r="Q31" s="6">
        <f>$J$3+[29]FormattedData!J72*$J$4+$M$4*$J$5+[29]FormattedData!J72^2*$J$6+$M$5*$J$7</f>
        <v>-1.1852540612398474</v>
      </c>
      <c r="R31" s="6">
        <f>$J$3+[29]FormattedData!K72*$J$4+$M$4*$J$5+[29]FormattedData!K72^2*$J$6+$M$5*$J$7</f>
        <v>-1.1852540612398474</v>
      </c>
      <c r="S31" s="6">
        <f>$J$3+[29]FormattedData!L72*$J$4+$M$4*$J$5+[29]FormattedData!L72^2*$J$6+$M$5*$J$7</f>
        <v>-1.1852540612398474</v>
      </c>
      <c r="T31" s="6">
        <f>$J$3+[29]FormattedData!M72*$J$4+$M$4*$J$5+[29]FormattedData!M72^2*$J$6+$M$5*$J$7</f>
        <v>-1.1852540612398474</v>
      </c>
      <c r="U31" s="6">
        <f>$J$3+[29]FormattedData!N72*$J$4+$M$4*$J$5+[29]FormattedData!N72^2*$J$6+$M$5*$J$7</f>
        <v>-1.1852540612398474</v>
      </c>
      <c r="V31" s="6">
        <f>$J$3+[29]FormattedData!O72*$J$4+$M$4*$J$5+[29]FormattedData!O72^2*$J$6+$M$5*$J$7</f>
        <v>-1.1852540612398474</v>
      </c>
      <c r="W31" s="5">
        <f t="shared" si="0"/>
        <v>-1.1852540612398474</v>
      </c>
      <c r="X31" s="4">
        <f t="shared" si="1"/>
        <v>0</v>
      </c>
      <c r="Y31" s="3">
        <f t="shared" si="2"/>
        <v>-1.1852540612398474</v>
      </c>
      <c r="Z31" s="2">
        <f t="shared" si="3"/>
        <v>-1.1852540612398474</v>
      </c>
      <c r="AA31" s="3">
        <f t="shared" si="4"/>
        <v>-1.1852540612398474</v>
      </c>
      <c r="AB31" s="2">
        <f t="shared" si="5"/>
        <v>-1.1852540612398474</v>
      </c>
      <c r="AC31" s="2">
        <f t="shared" si="6"/>
        <v>-1.1852540612398474</v>
      </c>
      <c r="AD31" s="2" t="e">
        <f t="shared" si="7"/>
        <v>#DIV/0!</v>
      </c>
      <c r="AE31" s="2" t="e">
        <f t="shared" si="8"/>
        <v>#DIV/0!</v>
      </c>
    </row>
    <row r="32" spans="2:31" x14ac:dyDescent="0.2">
      <c r="B32" s="1">
        <f>[29]FormattedData!A74</f>
        <v>0</v>
      </c>
      <c r="C32" s="1" t="e">
        <f>VLOOKUP($B32,[29]TrtCodes!$B$11:I117,2)</f>
        <v>#N/A</v>
      </c>
      <c r="D32" s="1" t="e">
        <f>VLOOKUP($B32,[29]TrtCodes!$B$11:J117,3)</f>
        <v>#N/A</v>
      </c>
      <c r="E32" s="1" t="e">
        <f>VLOOKUP($B32,[29]TrtCodes!$B$11:K117,4)</f>
        <v>#N/A</v>
      </c>
      <c r="F32" s="1" t="e">
        <f>VLOOKUP($B32,[29]TrtCodes!$B$11:L117,5)</f>
        <v>#N/A</v>
      </c>
      <c r="G32" s="1" t="e">
        <f>VLOOKUP($B32,[29]TrtCodes!$B$11:M117,6)</f>
        <v>#N/A</v>
      </c>
      <c r="H32" s="1" t="e">
        <f>VLOOKUP($B32,[29]TrtCodes!$B$11:N117,7)</f>
        <v>#N/A</v>
      </c>
      <c r="I32" s="1">
        <f>[29]FormattedData!B74</f>
        <v>0</v>
      </c>
      <c r="J32" s="4">
        <f>[29]FormattedData!C74</f>
        <v>0</v>
      </c>
      <c r="K32" s="6">
        <f>$J$3+[29]FormattedData!D74*$J$4+$M$4*$J$5+[29]FormattedData!D74^2*$J$6+$M$5*$J$7</f>
        <v>-1.1852540612398474</v>
      </c>
      <c r="L32" s="6">
        <f>$J$3+[29]FormattedData!E74*$J$4+$M$4*$J$5+[29]FormattedData!E74^2*$J$6+$M$5*$J$7</f>
        <v>-1.1852540612398474</v>
      </c>
      <c r="M32" s="6">
        <f>$J$3+[29]FormattedData!F74*$J$4+$M$4*$J$5+[29]FormattedData!F74^2*$J$6+$M$5*$J$7</f>
        <v>-1.1852540612398474</v>
      </c>
      <c r="N32" s="6">
        <f>$J$3+[29]FormattedData!G74*$J$4+$M$4*$J$5+[29]FormattedData!G74^2*$J$6+$M$5*$J$7</f>
        <v>-1.1852540612398474</v>
      </c>
      <c r="O32" s="6">
        <f>$J$3+[29]FormattedData!H74*$J$4+$M$4*$J$5+[29]FormattedData!H74^2*$J$6+$M$5*$J$7</f>
        <v>-1.1852540612398474</v>
      </c>
      <c r="P32" s="6">
        <f>$J$3+[29]FormattedData!I74*$J$4+$M$4*$J$5+[29]FormattedData!I74^2*$J$6+$M$5*$J$7</f>
        <v>-1.1852540612398474</v>
      </c>
      <c r="Q32" s="6">
        <f>$J$3+[29]FormattedData!J74*$J$4+$M$4*$J$5+[29]FormattedData!J74^2*$J$6+$M$5*$J$7</f>
        <v>-1.1852540612398474</v>
      </c>
      <c r="R32" s="6">
        <f>$J$3+[29]FormattedData!K74*$J$4+$M$4*$J$5+[29]FormattedData!K74^2*$J$6+$M$5*$J$7</f>
        <v>-1.1852540612398474</v>
      </c>
      <c r="S32" s="6">
        <f>$J$3+[29]FormattedData!L74*$J$4+$M$4*$J$5+[29]FormattedData!L74^2*$J$6+$M$5*$J$7</f>
        <v>-1.1852540612398474</v>
      </c>
      <c r="T32" s="6">
        <f>$J$3+[29]FormattedData!M74*$J$4+$M$4*$J$5+[29]FormattedData!M74^2*$J$6+$M$5*$J$7</f>
        <v>-1.1852540612398474</v>
      </c>
      <c r="U32" s="6">
        <f>$J$3+[29]FormattedData!N74*$J$4+$M$4*$J$5+[29]FormattedData!N74^2*$J$6+$M$5*$J$7</f>
        <v>-1.1852540612398474</v>
      </c>
      <c r="V32" s="6">
        <f>$J$3+[29]FormattedData!O74*$J$4+$M$4*$J$5+[29]FormattedData!O74^2*$J$6+$M$5*$J$7</f>
        <v>-1.1852540612398474</v>
      </c>
      <c r="W32" s="5">
        <f t="shared" si="0"/>
        <v>-1.1852540612398474</v>
      </c>
      <c r="X32" s="4">
        <f t="shared" si="1"/>
        <v>0</v>
      </c>
      <c r="Y32" s="3">
        <f t="shared" si="2"/>
        <v>-1.1852540612398474</v>
      </c>
      <c r="Z32" s="2">
        <f t="shared" si="3"/>
        <v>-1.1852540612398474</v>
      </c>
      <c r="AA32" s="3">
        <f t="shared" si="4"/>
        <v>-1.1852540612398474</v>
      </c>
      <c r="AB32" s="2">
        <f t="shared" si="5"/>
        <v>-1.1852540612398474</v>
      </c>
      <c r="AC32" s="2">
        <f t="shared" si="6"/>
        <v>-1.1852540612398474</v>
      </c>
      <c r="AD32" s="2" t="e">
        <f t="shared" si="7"/>
        <v>#DIV/0!</v>
      </c>
      <c r="AE32" s="2" t="e">
        <f t="shared" si="8"/>
        <v>#DIV/0!</v>
      </c>
    </row>
    <row r="33" spans="2:31" x14ac:dyDescent="0.2">
      <c r="B33" s="1">
        <f>[29]FormattedData!A76</f>
        <v>0</v>
      </c>
      <c r="C33" s="1" t="e">
        <f>VLOOKUP($B33,[29]TrtCodes!$B$11:I119,2)</f>
        <v>#N/A</v>
      </c>
      <c r="D33" s="1" t="e">
        <f>VLOOKUP($B33,[29]TrtCodes!$B$11:J119,3)</f>
        <v>#N/A</v>
      </c>
      <c r="E33" s="1" t="e">
        <f>VLOOKUP($B33,[29]TrtCodes!$B$11:K119,4)</f>
        <v>#N/A</v>
      </c>
      <c r="F33" s="1" t="e">
        <f>VLOOKUP($B33,[29]TrtCodes!$B$11:L119,5)</f>
        <v>#N/A</v>
      </c>
      <c r="G33" s="1" t="e">
        <f>VLOOKUP($B33,[29]TrtCodes!$B$11:M119,6)</f>
        <v>#N/A</v>
      </c>
      <c r="H33" s="1" t="e">
        <f>VLOOKUP($B33,[29]TrtCodes!$B$11:N119,7)</f>
        <v>#N/A</v>
      </c>
      <c r="I33" s="1">
        <f>[29]FormattedData!B76</f>
        <v>0</v>
      </c>
      <c r="J33" s="4">
        <f>[29]FormattedData!C76</f>
        <v>0</v>
      </c>
      <c r="K33" s="6">
        <f>$J$3+[29]FormattedData!D76*$J$4+$M$4*$J$5+[29]FormattedData!D76^2*$J$6+$M$5*$J$7</f>
        <v>-1.1852540612398474</v>
      </c>
      <c r="L33" s="6">
        <f>$J$3+[29]FormattedData!E76*$J$4+$M$4*$J$5+[29]FormattedData!E76^2*$J$6+$M$5*$J$7</f>
        <v>-1.1852540612398474</v>
      </c>
      <c r="M33" s="6">
        <f>$J$3+[29]FormattedData!F76*$J$4+$M$4*$J$5+[29]FormattedData!F76^2*$J$6+$M$5*$J$7</f>
        <v>-1.1852540612398474</v>
      </c>
      <c r="N33" s="6">
        <f>$J$3+[29]FormattedData!G76*$J$4+$M$4*$J$5+[29]FormattedData!G76^2*$J$6+$M$5*$J$7</f>
        <v>-1.1852540612398474</v>
      </c>
      <c r="O33" s="6">
        <f>$J$3+[29]FormattedData!H76*$J$4+$M$4*$J$5+[29]FormattedData!H76^2*$J$6+$M$5*$J$7</f>
        <v>-1.1852540612398474</v>
      </c>
      <c r="P33" s="6">
        <f>$J$3+[29]FormattedData!I76*$J$4+$M$4*$J$5+[29]FormattedData!I76^2*$J$6+$M$5*$J$7</f>
        <v>-1.1852540612398474</v>
      </c>
      <c r="Q33" s="6">
        <f>$J$3+[29]FormattedData!J76*$J$4+$M$4*$J$5+[29]FormattedData!J76^2*$J$6+$M$5*$J$7</f>
        <v>-1.1852540612398474</v>
      </c>
      <c r="R33" s="6">
        <f>$J$3+[29]FormattedData!K76*$J$4+$M$4*$J$5+[29]FormattedData!K76^2*$J$6+$M$5*$J$7</f>
        <v>-1.1852540612398474</v>
      </c>
      <c r="S33" s="6">
        <f>$J$3+[29]FormattedData!L76*$J$4+$M$4*$J$5+[29]FormattedData!L76^2*$J$6+$M$5*$J$7</f>
        <v>-1.1852540612398474</v>
      </c>
      <c r="T33" s="6">
        <f>$J$3+[29]FormattedData!M76*$J$4+$M$4*$J$5+[29]FormattedData!M76^2*$J$6+$M$5*$J$7</f>
        <v>-1.1852540612398474</v>
      </c>
      <c r="U33" s="6">
        <f>$J$3+[29]FormattedData!N76*$J$4+$M$4*$J$5+[29]FormattedData!N76^2*$J$6+$M$5*$J$7</f>
        <v>-1.1852540612398474</v>
      </c>
      <c r="V33" s="6">
        <f>$J$3+[29]FormattedData!O76*$J$4+$M$4*$J$5+[29]FormattedData!O76^2*$J$6+$M$5*$J$7</f>
        <v>-1.1852540612398474</v>
      </c>
      <c r="W33" s="5">
        <f t="shared" si="0"/>
        <v>-1.1852540612398474</v>
      </c>
      <c r="X33" s="4">
        <f t="shared" si="1"/>
        <v>0</v>
      </c>
      <c r="Y33" s="3">
        <f t="shared" si="2"/>
        <v>-1.1852540612398474</v>
      </c>
      <c r="Z33" s="2">
        <f t="shared" si="3"/>
        <v>-1.1852540612398474</v>
      </c>
      <c r="AA33" s="3">
        <f t="shared" si="4"/>
        <v>-1.1852540612398474</v>
      </c>
      <c r="AB33" s="2">
        <f t="shared" si="5"/>
        <v>-1.1852540612398474</v>
      </c>
      <c r="AC33" s="2">
        <f t="shared" si="6"/>
        <v>-1.1852540612398474</v>
      </c>
      <c r="AD33" s="2" t="e">
        <f t="shared" si="7"/>
        <v>#DIV/0!</v>
      </c>
      <c r="AE33" s="2" t="e">
        <f t="shared" si="8"/>
        <v>#DIV/0!</v>
      </c>
    </row>
    <row r="34" spans="2:31" x14ac:dyDescent="0.2">
      <c r="B34" s="1">
        <f>[29]FormattedData!A92</f>
        <v>0</v>
      </c>
      <c r="C34" s="1" t="e">
        <f>VLOOKUP($B34,[29]TrtCodes!$B$11:I129,2)</f>
        <v>#N/A</v>
      </c>
      <c r="D34" s="1" t="e">
        <f>VLOOKUP($B34,[29]TrtCodes!$B$11:J129,3)</f>
        <v>#N/A</v>
      </c>
      <c r="E34" s="1" t="e">
        <f>VLOOKUP($B34,[29]TrtCodes!$B$11:K129,4)</f>
        <v>#N/A</v>
      </c>
      <c r="F34" s="1" t="e">
        <f>VLOOKUP($B34,[29]TrtCodes!$B$11:L129,5)</f>
        <v>#N/A</v>
      </c>
      <c r="G34" s="1" t="e">
        <f>VLOOKUP($B34,[29]TrtCodes!$B$11:M129,6)</f>
        <v>#N/A</v>
      </c>
      <c r="H34" s="1" t="e">
        <f>VLOOKUP($B34,[29]TrtCodes!$B$11:N129,7)</f>
        <v>#N/A</v>
      </c>
      <c r="I34" s="1">
        <f>[29]FormattedData!B92</f>
        <v>0</v>
      </c>
      <c r="J34" s="4">
        <f>[29]FormattedData!C92</f>
        <v>0</v>
      </c>
      <c r="K34" s="6">
        <f>$J$3+[29]FormattedData!D92*$J$4+$M$4*$J$5+[29]FormattedData!D92^2*$J$6+$M$5*$J$7</f>
        <v>-1.1852540612398474</v>
      </c>
      <c r="L34" s="6">
        <f>$J$3+[29]FormattedData!E92*$J$4+$M$4*$J$5+[29]FormattedData!E92^2*$J$6+$M$5*$J$7</f>
        <v>-1.1852540612398474</v>
      </c>
      <c r="M34" s="6">
        <f>$J$3+[29]FormattedData!F92*$J$4+$M$4*$J$5+[29]FormattedData!F92^2*$J$6+$M$5*$J$7</f>
        <v>-1.1852540612398474</v>
      </c>
      <c r="N34" s="6">
        <f>$J$3+[29]FormattedData!G92*$J$4+$M$4*$J$5+[29]FormattedData!G92^2*$J$6+$M$5*$J$7</f>
        <v>-1.1852540612398474</v>
      </c>
      <c r="O34" s="6">
        <f>$J$3+[29]FormattedData!H92*$J$4+$M$4*$J$5+[29]FormattedData!H92^2*$J$6+$M$5*$J$7</f>
        <v>-1.1852540612398474</v>
      </c>
      <c r="P34" s="6">
        <f>$J$3+[29]FormattedData!I92*$J$4+$M$4*$J$5+[29]FormattedData!I92^2*$J$6+$M$5*$J$7</f>
        <v>-1.1852540612398474</v>
      </c>
      <c r="Q34" s="6">
        <f>$J$3+[29]FormattedData!J92*$J$4+$M$4*$J$5+[29]FormattedData!J92^2*$J$6+$M$5*$J$7</f>
        <v>-1.1852540612398474</v>
      </c>
      <c r="R34" s="6">
        <f>$J$3+[29]FormattedData!K92*$J$4+$M$4*$J$5+[29]FormattedData!K92^2*$J$6+$M$5*$J$7</f>
        <v>-1.1852540612398474</v>
      </c>
      <c r="S34" s="6">
        <f>$J$3+[29]FormattedData!L92*$J$4+$M$4*$J$5+[29]FormattedData!L92^2*$J$6+$M$5*$J$7</f>
        <v>-1.1852540612398474</v>
      </c>
      <c r="T34" s="6">
        <f>$J$3+[29]FormattedData!M92*$J$4+$M$4*$J$5+[29]FormattedData!M92^2*$J$6+$M$5*$J$7</f>
        <v>-1.1852540612398474</v>
      </c>
      <c r="U34" s="6">
        <f>$J$3+[29]FormattedData!N92*$J$4+$M$4*$J$5+[29]FormattedData!N92^2*$J$6+$M$5*$J$7</f>
        <v>-1.1852540612398474</v>
      </c>
      <c r="V34" s="6">
        <f>$J$3+[29]FormattedData!O92*$J$4+$M$4*$J$5+[29]FormattedData!O92^2*$J$6+$M$5*$J$7</f>
        <v>-1.1852540612398474</v>
      </c>
      <c r="W34" s="5">
        <f t="shared" si="0"/>
        <v>-1.1852540612398474</v>
      </c>
      <c r="X34" s="4">
        <f t="shared" si="1"/>
        <v>0</v>
      </c>
      <c r="Y34" s="3">
        <f t="shared" si="2"/>
        <v>-1.1852540612398474</v>
      </c>
      <c r="Z34" s="2">
        <f t="shared" si="3"/>
        <v>-1.1852540612398474</v>
      </c>
      <c r="AA34" s="3">
        <f t="shared" si="4"/>
        <v>-1.1852540612398474</v>
      </c>
      <c r="AB34" s="2">
        <f t="shared" si="5"/>
        <v>-1.1852540612398474</v>
      </c>
      <c r="AC34" s="2">
        <f t="shared" si="6"/>
        <v>-1.1852540612398474</v>
      </c>
      <c r="AD34" s="2" t="e">
        <f t="shared" si="7"/>
        <v>#DIV/0!</v>
      </c>
      <c r="AE34" s="2" t="e">
        <f t="shared" si="8"/>
        <v>#DIV/0!</v>
      </c>
    </row>
    <row r="35" spans="2:31" x14ac:dyDescent="0.2">
      <c r="B35" s="1">
        <f>[29]FormattedData!A90</f>
        <v>0</v>
      </c>
      <c r="C35" s="1" t="e">
        <f>VLOOKUP($B35,[29]TrtCodes!$B$11:I130,2)</f>
        <v>#N/A</v>
      </c>
      <c r="D35" s="1" t="e">
        <f>VLOOKUP($B35,[29]TrtCodes!$B$11:J130,3)</f>
        <v>#N/A</v>
      </c>
      <c r="E35" s="1" t="e">
        <f>VLOOKUP($B35,[29]TrtCodes!$B$11:K130,4)</f>
        <v>#N/A</v>
      </c>
      <c r="F35" s="1" t="e">
        <f>VLOOKUP($B35,[29]TrtCodes!$B$11:L130,5)</f>
        <v>#N/A</v>
      </c>
      <c r="G35" s="1" t="e">
        <f>VLOOKUP($B35,[29]TrtCodes!$B$11:M130,6)</f>
        <v>#N/A</v>
      </c>
      <c r="H35" s="1" t="e">
        <f>VLOOKUP($B35,[29]TrtCodes!$B$11:N130,7)</f>
        <v>#N/A</v>
      </c>
      <c r="I35" s="1">
        <f>[29]FormattedData!B90</f>
        <v>0</v>
      </c>
      <c r="J35" s="4">
        <f>[29]FormattedData!C90</f>
        <v>0</v>
      </c>
      <c r="K35" s="6">
        <f>$J$3+[29]FormattedData!D90*$J$4+$M$4*$J$5+[29]FormattedData!D90^2*$J$6+$M$5*$J$7</f>
        <v>-1.1852540612398474</v>
      </c>
      <c r="L35" s="6">
        <f>$J$3+[29]FormattedData!E90*$J$4+$M$4*$J$5+[29]FormattedData!E90^2*$J$6+$M$5*$J$7</f>
        <v>-1.1852540612398474</v>
      </c>
      <c r="M35" s="6">
        <f>$J$3+[29]FormattedData!F90*$J$4+$M$4*$J$5+[29]FormattedData!F90^2*$J$6+$M$5*$J$7</f>
        <v>-1.1852540612398474</v>
      </c>
      <c r="N35" s="6">
        <f>$J$3+[29]FormattedData!G90*$J$4+$M$4*$J$5+[29]FormattedData!G90^2*$J$6+$M$5*$J$7</f>
        <v>-1.1852540612398474</v>
      </c>
      <c r="O35" s="6">
        <f>$J$3+[29]FormattedData!H90*$J$4+$M$4*$J$5+[29]FormattedData!H90^2*$J$6+$M$5*$J$7</f>
        <v>-1.1852540612398474</v>
      </c>
      <c r="P35" s="6">
        <f>$J$3+[29]FormattedData!I90*$J$4+$M$4*$J$5+[29]FormattedData!I90^2*$J$6+$M$5*$J$7</f>
        <v>-1.1852540612398474</v>
      </c>
      <c r="Q35" s="6">
        <f>$J$3+[29]FormattedData!J90*$J$4+$M$4*$J$5+[29]FormattedData!J90^2*$J$6+$M$5*$J$7</f>
        <v>-1.1852540612398474</v>
      </c>
      <c r="R35" s="6">
        <f>$J$3+[29]FormattedData!K90*$J$4+$M$4*$J$5+[29]FormattedData!K90^2*$J$6+$M$5*$J$7</f>
        <v>-1.1852540612398474</v>
      </c>
      <c r="S35" s="6">
        <f>$J$3+[29]FormattedData!L90*$J$4+$M$4*$J$5+[29]FormattedData!L90^2*$J$6+$M$5*$J$7</f>
        <v>-1.1852540612398474</v>
      </c>
      <c r="T35" s="6">
        <f>$J$3+[29]FormattedData!M90*$J$4+$M$4*$J$5+[29]FormattedData!M90^2*$J$6+$M$5*$J$7</f>
        <v>-1.1852540612398474</v>
      </c>
      <c r="U35" s="6">
        <f>$J$3+[29]FormattedData!N90*$J$4+$M$4*$J$5+[29]FormattedData!N90^2*$J$6+$M$5*$J$7</f>
        <v>-1.1852540612398474</v>
      </c>
      <c r="V35" s="6">
        <f>$J$3+[29]FormattedData!O90*$J$4+$M$4*$J$5+[29]FormattedData!O90^2*$J$6+$M$5*$J$7</f>
        <v>-1.1852540612398474</v>
      </c>
      <c r="W35" s="5">
        <f t="shared" si="0"/>
        <v>-1.1852540612398474</v>
      </c>
      <c r="X35" s="4">
        <f t="shared" si="1"/>
        <v>0</v>
      </c>
      <c r="Y35" s="3">
        <f t="shared" si="2"/>
        <v>-1.1852540612398474</v>
      </c>
      <c r="Z35" s="2">
        <f t="shared" si="3"/>
        <v>-1.1852540612398474</v>
      </c>
      <c r="AA35" s="3">
        <f t="shared" si="4"/>
        <v>-1.1852540612398474</v>
      </c>
      <c r="AB35" s="2">
        <f t="shared" si="5"/>
        <v>-1.1852540612398474</v>
      </c>
      <c r="AC35" s="2">
        <f t="shared" si="6"/>
        <v>-1.1852540612398474</v>
      </c>
      <c r="AD35" s="2" t="e">
        <f t="shared" si="7"/>
        <v>#DIV/0!</v>
      </c>
      <c r="AE35" s="2" t="e">
        <f t="shared" si="8"/>
        <v>#DIV/0!</v>
      </c>
    </row>
    <row r="36" spans="2:31" x14ac:dyDescent="0.2">
      <c r="B36" s="1">
        <f>[29]FormattedData!A88</f>
        <v>0</v>
      </c>
      <c r="C36" s="1" t="e">
        <f>VLOOKUP($B36,[29]TrtCodes!$B$11:I131,2)</f>
        <v>#N/A</v>
      </c>
      <c r="D36" s="1" t="e">
        <f>VLOOKUP($B36,[29]TrtCodes!$B$11:J131,3)</f>
        <v>#N/A</v>
      </c>
      <c r="E36" s="1" t="e">
        <f>VLOOKUP($B36,[29]TrtCodes!$B$11:K131,4)</f>
        <v>#N/A</v>
      </c>
      <c r="F36" s="1" t="e">
        <f>VLOOKUP($B36,[29]TrtCodes!$B$11:L131,5)</f>
        <v>#N/A</v>
      </c>
      <c r="G36" s="1" t="e">
        <f>VLOOKUP($B36,[29]TrtCodes!$B$11:M131,6)</f>
        <v>#N/A</v>
      </c>
      <c r="H36" s="1" t="e">
        <f>VLOOKUP($B36,[29]TrtCodes!$B$11:N131,7)</f>
        <v>#N/A</v>
      </c>
      <c r="I36" s="1">
        <f>[29]FormattedData!B88</f>
        <v>0</v>
      </c>
      <c r="J36" s="4">
        <f>[29]FormattedData!C88</f>
        <v>0</v>
      </c>
      <c r="K36" s="6">
        <f>$J$3+[29]FormattedData!D88*$J$4+$M$4*$J$5+[29]FormattedData!D88^2*$J$6+$M$5*$J$7</f>
        <v>-1.1852540612398474</v>
      </c>
      <c r="L36" s="6">
        <f>$J$3+[29]FormattedData!E88*$J$4+$M$4*$J$5+[29]FormattedData!E88^2*$J$6+$M$5*$J$7</f>
        <v>-1.1852540612398474</v>
      </c>
      <c r="M36" s="6">
        <f>$J$3+[29]FormattedData!F88*$J$4+$M$4*$J$5+[29]FormattedData!F88^2*$J$6+$M$5*$J$7</f>
        <v>-1.1852540612398474</v>
      </c>
      <c r="N36" s="6">
        <f>$J$3+[29]FormattedData!G88*$J$4+$M$4*$J$5+[29]FormattedData!G88^2*$J$6+$M$5*$J$7</f>
        <v>-1.1852540612398474</v>
      </c>
      <c r="O36" s="6">
        <f>$J$3+[29]FormattedData!H88*$J$4+$M$4*$J$5+[29]FormattedData!H88^2*$J$6+$M$5*$J$7</f>
        <v>-1.1852540612398474</v>
      </c>
      <c r="P36" s="6">
        <f>$J$3+[29]FormattedData!I88*$J$4+$M$4*$J$5+[29]FormattedData!I88^2*$J$6+$M$5*$J$7</f>
        <v>-1.1852540612398474</v>
      </c>
      <c r="Q36" s="6">
        <f>$J$3+[29]FormattedData!J88*$J$4+$M$4*$J$5+[29]FormattedData!J88^2*$J$6+$M$5*$J$7</f>
        <v>-1.1852540612398474</v>
      </c>
      <c r="R36" s="6">
        <f>$J$3+[29]FormattedData!K88*$J$4+$M$4*$J$5+[29]FormattedData!K88^2*$J$6+$M$5*$J$7</f>
        <v>-1.1852540612398474</v>
      </c>
      <c r="S36" s="6">
        <f>$J$3+[29]FormattedData!L88*$J$4+$M$4*$J$5+[29]FormattedData!L88^2*$J$6+$M$5*$J$7</f>
        <v>-1.1852540612398474</v>
      </c>
      <c r="T36" s="6">
        <f>$J$3+[29]FormattedData!M88*$J$4+$M$4*$J$5+[29]FormattedData!M88^2*$J$6+$M$5*$J$7</f>
        <v>-1.1852540612398474</v>
      </c>
      <c r="U36" s="6">
        <f>$J$3+[29]FormattedData!N88*$J$4+$M$4*$J$5+[29]FormattedData!N88^2*$J$6+$M$5*$J$7</f>
        <v>-1.1852540612398474</v>
      </c>
      <c r="V36" s="6">
        <f>$J$3+[29]FormattedData!O88*$J$4+$M$4*$J$5+[29]FormattedData!O88^2*$J$6+$M$5*$J$7</f>
        <v>-1.1852540612398474</v>
      </c>
      <c r="W36" s="5">
        <f t="shared" si="0"/>
        <v>-1.1852540612398474</v>
      </c>
      <c r="X36" s="4">
        <f t="shared" si="1"/>
        <v>0</v>
      </c>
      <c r="Y36" s="3">
        <f t="shared" si="2"/>
        <v>-1.1852540612398474</v>
      </c>
      <c r="Z36" s="2">
        <f t="shared" si="3"/>
        <v>-1.1852540612398474</v>
      </c>
      <c r="AA36" s="3">
        <f t="shared" si="4"/>
        <v>-1.1852540612398474</v>
      </c>
      <c r="AB36" s="2">
        <f t="shared" si="5"/>
        <v>-1.1852540612398474</v>
      </c>
      <c r="AC36" s="2">
        <f t="shared" si="6"/>
        <v>-1.1852540612398474</v>
      </c>
      <c r="AD36" s="2" t="e">
        <f t="shared" si="7"/>
        <v>#DIV/0!</v>
      </c>
      <c r="AE36" s="2" t="e">
        <f t="shared" si="8"/>
        <v>#DIV/0!</v>
      </c>
    </row>
    <row r="37" spans="2:31" x14ac:dyDescent="0.2">
      <c r="B37" s="1">
        <f>[29]FormattedData!A86</f>
        <v>0</v>
      </c>
      <c r="C37" s="1" t="e">
        <f>VLOOKUP($B37,[29]TrtCodes!$B$11:I129,2)</f>
        <v>#N/A</v>
      </c>
      <c r="D37" s="1" t="e">
        <f>VLOOKUP($B37,[29]TrtCodes!$B$11:J129,3)</f>
        <v>#N/A</v>
      </c>
      <c r="E37" s="1" t="e">
        <f>VLOOKUP($B37,[29]TrtCodes!$B$11:K129,4)</f>
        <v>#N/A</v>
      </c>
      <c r="F37" s="1" t="e">
        <f>VLOOKUP($B37,[29]TrtCodes!$B$11:L129,5)</f>
        <v>#N/A</v>
      </c>
      <c r="G37" s="1" t="e">
        <f>VLOOKUP($B37,[29]TrtCodes!$B$11:M129,6)</f>
        <v>#N/A</v>
      </c>
      <c r="H37" s="1" t="e">
        <f>VLOOKUP($B37,[29]TrtCodes!$B$11:N129,7)</f>
        <v>#N/A</v>
      </c>
      <c r="I37" s="1">
        <f>[29]FormattedData!B86</f>
        <v>0</v>
      </c>
      <c r="J37" s="4">
        <f>[29]FormattedData!C86</f>
        <v>0</v>
      </c>
      <c r="K37" s="6">
        <f>$J$3+[29]FormattedData!D86*$J$4+$M$4*$J$5+[29]FormattedData!D86^2*$J$6+$M$5*$J$7</f>
        <v>-1.1852540612398474</v>
      </c>
      <c r="L37" s="6">
        <f>$J$3+[29]FormattedData!E86*$J$4+$M$4*$J$5+[29]FormattedData!E86^2*$J$6+$M$5*$J$7</f>
        <v>-1.1852540612398474</v>
      </c>
      <c r="M37" s="6">
        <f>$J$3+[29]FormattedData!F86*$J$4+$M$4*$J$5+[29]FormattedData!F86^2*$J$6+$M$5*$J$7</f>
        <v>-1.1852540612398474</v>
      </c>
      <c r="N37" s="6">
        <f>$J$3+[29]FormattedData!G86*$J$4+$M$4*$J$5+[29]FormattedData!G86^2*$J$6+$M$5*$J$7</f>
        <v>-1.1852540612398474</v>
      </c>
      <c r="O37" s="6">
        <f>$J$3+[29]FormattedData!H86*$J$4+$M$4*$J$5+[29]FormattedData!H86^2*$J$6+$M$5*$J$7</f>
        <v>-1.1852540612398474</v>
      </c>
      <c r="P37" s="6">
        <f>$J$3+[29]FormattedData!I86*$J$4+$M$4*$J$5+[29]FormattedData!I86^2*$J$6+$M$5*$J$7</f>
        <v>-1.1852540612398474</v>
      </c>
      <c r="Q37" s="6">
        <f>$J$3+[29]FormattedData!J86*$J$4+$M$4*$J$5+[29]FormattedData!J86^2*$J$6+$M$5*$J$7</f>
        <v>-1.1852540612398474</v>
      </c>
      <c r="R37" s="6">
        <f>$J$3+[29]FormattedData!K86*$J$4+$M$4*$J$5+[29]FormattedData!K86^2*$J$6+$M$5*$J$7</f>
        <v>-1.1852540612398474</v>
      </c>
      <c r="S37" s="6">
        <f>$J$3+[29]FormattedData!L86*$J$4+$M$4*$J$5+[29]FormattedData!L86^2*$J$6+$M$5*$J$7</f>
        <v>-1.1852540612398474</v>
      </c>
      <c r="T37" s="6">
        <f>$J$3+[29]FormattedData!M86*$J$4+$M$4*$J$5+[29]FormattedData!M86^2*$J$6+$M$5*$J$7</f>
        <v>-1.1852540612398474</v>
      </c>
      <c r="U37" s="6">
        <f>$J$3+[29]FormattedData!N86*$J$4+$M$4*$J$5+[29]FormattedData!N86^2*$J$6+$M$5*$J$7</f>
        <v>-1.1852540612398474</v>
      </c>
      <c r="V37" s="6">
        <f>$J$3+[29]FormattedData!O86*$J$4+$M$4*$J$5+[29]FormattedData!O86^2*$J$6+$M$5*$J$7</f>
        <v>-1.1852540612398474</v>
      </c>
      <c r="W37" s="5">
        <f t="shared" si="0"/>
        <v>-1.1852540612398474</v>
      </c>
      <c r="X37" s="4">
        <f t="shared" si="1"/>
        <v>0</v>
      </c>
      <c r="Y37" s="3">
        <f t="shared" si="2"/>
        <v>-1.1852540612398474</v>
      </c>
      <c r="Z37" s="2">
        <f t="shared" si="3"/>
        <v>-1.1852540612398474</v>
      </c>
      <c r="AA37" s="3">
        <f t="shared" si="4"/>
        <v>-1.1852540612398474</v>
      </c>
      <c r="AB37" s="2">
        <f t="shared" si="5"/>
        <v>-1.1852540612398474</v>
      </c>
      <c r="AC37" s="2">
        <f t="shared" si="6"/>
        <v>-1.1852540612398474</v>
      </c>
      <c r="AD37" s="2" t="e">
        <f t="shared" si="7"/>
        <v>#DIV/0!</v>
      </c>
      <c r="AE37" s="2" t="e">
        <f t="shared" si="8"/>
        <v>#DIV/0!</v>
      </c>
    </row>
    <row r="38" spans="2:31" x14ac:dyDescent="0.2">
      <c r="B38" s="1">
        <f>[29]FormattedData!A84</f>
        <v>0</v>
      </c>
      <c r="C38" s="1" t="e">
        <f>VLOOKUP($B38,[29]TrtCodes!$B$11:I127,2)</f>
        <v>#N/A</v>
      </c>
      <c r="D38" s="1" t="e">
        <f>VLOOKUP($B38,[29]TrtCodes!$B$11:J127,3)</f>
        <v>#N/A</v>
      </c>
      <c r="E38" s="1" t="e">
        <f>VLOOKUP($B38,[29]TrtCodes!$B$11:K127,4)</f>
        <v>#N/A</v>
      </c>
      <c r="F38" s="1" t="e">
        <f>VLOOKUP($B38,[29]TrtCodes!$B$11:L127,5)</f>
        <v>#N/A</v>
      </c>
      <c r="G38" s="1" t="e">
        <f>VLOOKUP($B38,[29]TrtCodes!$B$11:M127,6)</f>
        <v>#N/A</v>
      </c>
      <c r="H38" s="1" t="e">
        <f>VLOOKUP($B38,[29]TrtCodes!$B$11:N127,7)</f>
        <v>#N/A</v>
      </c>
      <c r="I38" s="1">
        <f>[29]FormattedData!B84</f>
        <v>0</v>
      </c>
      <c r="J38" s="4">
        <f>[29]FormattedData!C84</f>
        <v>0</v>
      </c>
      <c r="K38" s="6">
        <f>$J$3+[29]FormattedData!D84*$J$4+$M$4*$J$5+[29]FormattedData!D84^2*$J$6+$M$5*$J$7</f>
        <v>-1.1852540612398474</v>
      </c>
      <c r="L38" s="6">
        <f>$J$3+[29]FormattedData!E84*$J$4+$M$4*$J$5+[29]FormattedData!E84^2*$J$6+$M$5*$J$7</f>
        <v>-1.1852540612398474</v>
      </c>
      <c r="M38" s="6">
        <f>$J$3+[29]FormattedData!F84*$J$4+$M$4*$J$5+[29]FormattedData!F84^2*$J$6+$M$5*$J$7</f>
        <v>-1.1852540612398474</v>
      </c>
      <c r="N38" s="6">
        <f>$J$3+[29]FormattedData!G84*$J$4+$M$4*$J$5+[29]FormattedData!G84^2*$J$6+$M$5*$J$7</f>
        <v>-1.1852540612398474</v>
      </c>
      <c r="O38" s="6">
        <f>$J$3+[29]FormattedData!H84*$J$4+$M$4*$J$5+[29]FormattedData!H84^2*$J$6+$M$5*$J$7</f>
        <v>-1.1852540612398474</v>
      </c>
      <c r="P38" s="6">
        <f>$J$3+[29]FormattedData!I84*$J$4+$M$4*$J$5+[29]FormattedData!I84^2*$J$6+$M$5*$J$7</f>
        <v>-1.1852540612398474</v>
      </c>
      <c r="Q38" s="6">
        <f>$J$3+[29]FormattedData!J84*$J$4+$M$4*$J$5+[29]FormattedData!J84^2*$J$6+$M$5*$J$7</f>
        <v>-1.1852540612398474</v>
      </c>
      <c r="R38" s="6">
        <f>$J$3+[29]FormattedData!K84*$J$4+$M$4*$J$5+[29]FormattedData!K84^2*$J$6+$M$5*$J$7</f>
        <v>-1.1852540612398474</v>
      </c>
      <c r="S38" s="6">
        <f>$J$3+[29]FormattedData!L84*$J$4+$M$4*$J$5+[29]FormattedData!L84^2*$J$6+$M$5*$J$7</f>
        <v>-1.1852540612398474</v>
      </c>
      <c r="T38" s="6">
        <f>$J$3+[29]FormattedData!M84*$J$4+$M$4*$J$5+[29]FormattedData!M84^2*$J$6+$M$5*$J$7</f>
        <v>-1.1852540612398474</v>
      </c>
      <c r="U38" s="6">
        <f>$J$3+[29]FormattedData!N84*$J$4+$M$4*$J$5+[29]FormattedData!N84^2*$J$6+$M$5*$J$7</f>
        <v>-1.1852540612398474</v>
      </c>
      <c r="V38" s="6">
        <f>$J$3+[29]FormattedData!O84*$J$4+$M$4*$J$5+[29]FormattedData!O84^2*$J$6+$M$5*$J$7</f>
        <v>-1.1852540612398474</v>
      </c>
      <c r="W38" s="5">
        <f t="shared" si="0"/>
        <v>-1.1852540612398474</v>
      </c>
      <c r="X38" s="4">
        <f t="shared" si="1"/>
        <v>0</v>
      </c>
      <c r="Y38" s="3">
        <f t="shared" si="2"/>
        <v>-1.1852540612398474</v>
      </c>
      <c r="Z38" s="2">
        <f t="shared" si="3"/>
        <v>-1.1852540612398474</v>
      </c>
      <c r="AA38" s="3">
        <f t="shared" si="4"/>
        <v>-1.1852540612398474</v>
      </c>
      <c r="AB38" s="2">
        <f t="shared" si="5"/>
        <v>-1.1852540612398474</v>
      </c>
      <c r="AC38" s="2">
        <f t="shared" si="6"/>
        <v>-1.1852540612398474</v>
      </c>
      <c r="AD38" s="2" t="e">
        <f t="shared" si="7"/>
        <v>#DIV/0!</v>
      </c>
      <c r="AE38" s="2" t="e">
        <f t="shared" si="8"/>
        <v>#DIV/0!</v>
      </c>
    </row>
    <row r="39" spans="2:31" x14ac:dyDescent="0.2">
      <c r="B39" s="1">
        <f>[29]FormattedData!A82</f>
        <v>0</v>
      </c>
      <c r="C39" s="1" t="e">
        <f>VLOOKUP($B39,[29]TrtCodes!$B$11:I125,2)</f>
        <v>#N/A</v>
      </c>
      <c r="D39" s="1" t="e">
        <f>VLOOKUP($B39,[29]TrtCodes!$B$11:J125,3)</f>
        <v>#N/A</v>
      </c>
      <c r="E39" s="1" t="e">
        <f>VLOOKUP($B39,[29]TrtCodes!$B$11:K125,4)</f>
        <v>#N/A</v>
      </c>
      <c r="F39" s="1" t="e">
        <f>VLOOKUP($B39,[29]TrtCodes!$B$11:L125,5)</f>
        <v>#N/A</v>
      </c>
      <c r="G39" s="1" t="e">
        <f>VLOOKUP($B39,[29]TrtCodes!$B$11:M125,6)</f>
        <v>#N/A</v>
      </c>
      <c r="H39" s="1" t="e">
        <f>VLOOKUP($B39,[29]TrtCodes!$B$11:N125,7)</f>
        <v>#N/A</v>
      </c>
      <c r="I39" s="1">
        <f>[29]FormattedData!B82</f>
        <v>0</v>
      </c>
      <c r="J39" s="4">
        <f>[29]FormattedData!C82</f>
        <v>0</v>
      </c>
      <c r="K39" s="6">
        <f>$J$3+[29]FormattedData!D82*$J$4+$M$4*$J$5+[29]FormattedData!D82^2*$J$6+$M$5*$J$7</f>
        <v>-1.1852540612398474</v>
      </c>
      <c r="L39" s="6">
        <f>$J$3+[29]FormattedData!E82*$J$4+$M$4*$J$5+[29]FormattedData!E82^2*$J$6+$M$5*$J$7</f>
        <v>-1.1852540612398474</v>
      </c>
      <c r="M39" s="6">
        <f>$J$3+[29]FormattedData!F82*$J$4+$M$4*$J$5+[29]FormattedData!F82^2*$J$6+$M$5*$J$7</f>
        <v>-1.1852540612398474</v>
      </c>
      <c r="N39" s="6">
        <f>$J$3+[29]FormattedData!G82*$J$4+$M$4*$J$5+[29]FormattedData!G82^2*$J$6+$M$5*$J$7</f>
        <v>-1.1852540612398474</v>
      </c>
      <c r="O39" s="6">
        <f>$J$3+[29]FormattedData!H82*$J$4+$M$4*$J$5+[29]FormattedData!H82^2*$J$6+$M$5*$J$7</f>
        <v>-1.1852540612398474</v>
      </c>
      <c r="P39" s="6">
        <f>$J$3+[29]FormattedData!I82*$J$4+$M$4*$J$5+[29]FormattedData!I82^2*$J$6+$M$5*$J$7</f>
        <v>-1.1852540612398474</v>
      </c>
      <c r="Q39" s="6">
        <f>$J$3+[29]FormattedData!J82*$J$4+$M$4*$J$5+[29]FormattedData!J82^2*$J$6+$M$5*$J$7</f>
        <v>-1.1852540612398474</v>
      </c>
      <c r="R39" s="6">
        <f>$J$3+[29]FormattedData!K82*$J$4+$M$4*$J$5+[29]FormattedData!K82^2*$J$6+$M$5*$J$7</f>
        <v>-1.1852540612398474</v>
      </c>
      <c r="S39" s="6">
        <f>$J$3+[29]FormattedData!L82*$J$4+$M$4*$J$5+[29]FormattedData!L82^2*$J$6+$M$5*$J$7</f>
        <v>-1.1852540612398474</v>
      </c>
      <c r="T39" s="6">
        <f>$J$3+[29]FormattedData!M82*$J$4+$M$4*$J$5+[29]FormattedData!M82^2*$J$6+$M$5*$J$7</f>
        <v>-1.1852540612398474</v>
      </c>
      <c r="U39" s="6">
        <f>$J$3+[29]FormattedData!N82*$J$4+$M$4*$J$5+[29]FormattedData!N82^2*$J$6+$M$5*$J$7</f>
        <v>-1.1852540612398474</v>
      </c>
      <c r="V39" s="6">
        <f>$J$3+[29]FormattedData!O82*$J$4+$M$4*$J$5+[29]FormattedData!O82^2*$J$6+$M$5*$J$7</f>
        <v>-1.1852540612398474</v>
      </c>
      <c r="W39" s="5">
        <f t="shared" si="0"/>
        <v>-1.1852540612398474</v>
      </c>
      <c r="X39" s="4">
        <f t="shared" si="1"/>
        <v>0</v>
      </c>
      <c r="Y39" s="3">
        <f t="shared" si="2"/>
        <v>-1.1852540612398474</v>
      </c>
      <c r="Z39" s="2">
        <f t="shared" si="3"/>
        <v>-1.1852540612398474</v>
      </c>
      <c r="AA39" s="3">
        <f t="shared" si="4"/>
        <v>-1.1852540612398474</v>
      </c>
      <c r="AB39" s="2">
        <f t="shared" si="5"/>
        <v>-1.1852540612398474</v>
      </c>
      <c r="AC39" s="2">
        <f t="shared" si="6"/>
        <v>-1.1852540612398474</v>
      </c>
      <c r="AD39" s="2" t="e">
        <f t="shared" si="7"/>
        <v>#DIV/0!</v>
      </c>
      <c r="AE39" s="2" t="e">
        <f t="shared" si="8"/>
        <v>#DIV/0!</v>
      </c>
    </row>
    <row r="40" spans="2:31" x14ac:dyDescent="0.2">
      <c r="B40" s="1">
        <f>[29]FormattedData!A80</f>
        <v>0</v>
      </c>
      <c r="C40" s="1" t="e">
        <f>VLOOKUP($B40,[29]TrtCodes!$B$11:I123,2)</f>
        <v>#N/A</v>
      </c>
      <c r="D40" s="1" t="e">
        <f>VLOOKUP($B40,[29]TrtCodes!$B$11:J123,3)</f>
        <v>#N/A</v>
      </c>
      <c r="E40" s="1" t="e">
        <f>VLOOKUP($B40,[29]TrtCodes!$B$11:K123,4)</f>
        <v>#N/A</v>
      </c>
      <c r="F40" s="1" t="e">
        <f>VLOOKUP($B40,[29]TrtCodes!$B$11:L123,5)</f>
        <v>#N/A</v>
      </c>
      <c r="G40" s="1" t="e">
        <f>VLOOKUP($B40,[29]TrtCodes!$B$11:M123,6)</f>
        <v>#N/A</v>
      </c>
      <c r="H40" s="1" t="e">
        <f>VLOOKUP($B40,[29]TrtCodes!$B$11:N123,7)</f>
        <v>#N/A</v>
      </c>
      <c r="I40" s="1">
        <f>[29]FormattedData!B80</f>
        <v>0</v>
      </c>
      <c r="J40" s="4">
        <f>[29]FormattedData!C80</f>
        <v>0</v>
      </c>
      <c r="K40" s="6">
        <f>$J$3+[29]FormattedData!D80*$J$4+$M$4*$J$5+[29]FormattedData!D80^2*$J$6+$M$5*$J$7</f>
        <v>-1.1852540612398474</v>
      </c>
      <c r="L40" s="6">
        <f>$J$3+[29]FormattedData!E80*$J$4+$M$4*$J$5+[29]FormattedData!E80^2*$J$6+$M$5*$J$7</f>
        <v>-1.1852540612398474</v>
      </c>
      <c r="M40" s="6">
        <f>$J$3+[29]FormattedData!F80*$J$4+$M$4*$J$5+[29]FormattedData!F80^2*$J$6+$M$5*$J$7</f>
        <v>-1.1852540612398474</v>
      </c>
      <c r="N40" s="6">
        <f>$J$3+[29]FormattedData!G80*$J$4+$M$4*$J$5+[29]FormattedData!G80^2*$J$6+$M$5*$J$7</f>
        <v>-1.1852540612398474</v>
      </c>
      <c r="O40" s="6">
        <f>$J$3+[29]FormattedData!H80*$J$4+$M$4*$J$5+[29]FormattedData!H80^2*$J$6+$M$5*$J$7</f>
        <v>-1.1852540612398474</v>
      </c>
      <c r="P40" s="6">
        <f>$J$3+[29]FormattedData!I80*$J$4+$M$4*$J$5+[29]FormattedData!I80^2*$J$6+$M$5*$J$7</f>
        <v>-1.1852540612398474</v>
      </c>
      <c r="Q40" s="6">
        <f>$J$3+[29]FormattedData!J80*$J$4+$M$4*$J$5+[29]FormattedData!J80^2*$J$6+$M$5*$J$7</f>
        <v>-1.1852540612398474</v>
      </c>
      <c r="R40" s="6">
        <f>$J$3+[29]FormattedData!K80*$J$4+$M$4*$J$5+[29]FormattedData!K80^2*$J$6+$M$5*$J$7</f>
        <v>-1.1852540612398474</v>
      </c>
      <c r="S40" s="6">
        <f>$J$3+[29]FormattedData!L80*$J$4+$M$4*$J$5+[29]FormattedData!L80^2*$J$6+$M$5*$J$7</f>
        <v>-1.1852540612398474</v>
      </c>
      <c r="T40" s="6">
        <f>$J$3+[29]FormattedData!M80*$J$4+$M$4*$J$5+[29]FormattedData!M80^2*$J$6+$M$5*$J$7</f>
        <v>-1.1852540612398474</v>
      </c>
      <c r="U40" s="6">
        <f>$J$3+[29]FormattedData!N80*$J$4+$M$4*$J$5+[29]FormattedData!N80^2*$J$6+$M$5*$J$7</f>
        <v>-1.1852540612398474</v>
      </c>
      <c r="V40" s="6">
        <f>$J$3+[29]FormattedData!O80*$J$4+$M$4*$J$5+[29]FormattedData!O80^2*$J$6+$M$5*$J$7</f>
        <v>-1.1852540612398474</v>
      </c>
      <c r="W40" s="5">
        <f t="shared" si="0"/>
        <v>-1.1852540612398474</v>
      </c>
      <c r="X40" s="4">
        <f t="shared" si="1"/>
        <v>0</v>
      </c>
      <c r="Y40" s="3">
        <f t="shared" si="2"/>
        <v>-1.1852540612398474</v>
      </c>
      <c r="Z40" s="2">
        <f t="shared" si="3"/>
        <v>-1.1852540612398474</v>
      </c>
      <c r="AA40" s="3">
        <f t="shared" si="4"/>
        <v>-1.1852540612398474</v>
      </c>
      <c r="AB40" s="2">
        <f t="shared" si="5"/>
        <v>-1.1852540612398474</v>
      </c>
      <c r="AC40" s="2">
        <f t="shared" si="6"/>
        <v>-1.1852540612398474</v>
      </c>
      <c r="AD40" s="2" t="e">
        <f t="shared" si="7"/>
        <v>#DIV/0!</v>
      </c>
      <c r="AE40" s="2" t="e">
        <f t="shared" si="8"/>
        <v>#DIV/0!</v>
      </c>
    </row>
    <row r="41" spans="2:31" x14ac:dyDescent="0.2">
      <c r="B41" s="1">
        <f>[29]FormattedData!A78</f>
        <v>0</v>
      </c>
      <c r="C41" s="1" t="e">
        <f>VLOOKUP($B41,[29]TrtCodes!$B$11:I121,2)</f>
        <v>#N/A</v>
      </c>
      <c r="D41" s="1" t="e">
        <f>VLOOKUP($B41,[29]TrtCodes!$B$11:J121,3)</f>
        <v>#N/A</v>
      </c>
      <c r="E41" s="1" t="e">
        <f>VLOOKUP($B41,[29]TrtCodes!$B$11:K121,4)</f>
        <v>#N/A</v>
      </c>
      <c r="F41" s="1" t="e">
        <f>VLOOKUP($B41,[29]TrtCodes!$B$11:L121,5)</f>
        <v>#N/A</v>
      </c>
      <c r="G41" s="1" t="e">
        <f>VLOOKUP($B41,[29]TrtCodes!$B$11:M121,6)</f>
        <v>#N/A</v>
      </c>
      <c r="H41" s="1" t="e">
        <f>VLOOKUP($B41,[29]TrtCodes!$B$11:N121,7)</f>
        <v>#N/A</v>
      </c>
      <c r="I41" s="1">
        <f>[29]FormattedData!B78</f>
        <v>0</v>
      </c>
      <c r="J41" s="4">
        <f>[29]FormattedData!C78</f>
        <v>0</v>
      </c>
      <c r="K41" s="6">
        <f>$J$3+[29]FormattedData!D78*$J$4+$M$4*$J$5+[29]FormattedData!D78^2*$J$6+$M$5*$J$7</f>
        <v>-1.1852540612398474</v>
      </c>
      <c r="L41" s="6">
        <f>$J$3+[29]FormattedData!E78*$J$4+$M$4*$J$5+[29]FormattedData!E78^2*$J$6+$M$5*$J$7</f>
        <v>-1.1852540612398474</v>
      </c>
      <c r="M41" s="6">
        <f>$J$3+[29]FormattedData!F78*$J$4+$M$4*$J$5+[29]FormattedData!F78^2*$J$6+$M$5*$J$7</f>
        <v>-1.1852540612398474</v>
      </c>
      <c r="N41" s="6">
        <f>$J$3+[29]FormattedData!G78*$J$4+$M$4*$J$5+[29]FormattedData!G78^2*$J$6+$M$5*$J$7</f>
        <v>-1.1852540612398474</v>
      </c>
      <c r="O41" s="6">
        <f>$J$3+[29]FormattedData!H78*$J$4+$M$4*$J$5+[29]FormattedData!H78^2*$J$6+$M$5*$J$7</f>
        <v>-1.1852540612398474</v>
      </c>
      <c r="P41" s="6">
        <f>$J$3+[29]FormattedData!I78*$J$4+$M$4*$J$5+[29]FormattedData!I78^2*$J$6+$M$5*$J$7</f>
        <v>-1.1852540612398474</v>
      </c>
      <c r="Q41" s="6">
        <f>$J$3+[29]FormattedData!J78*$J$4+$M$4*$J$5+[29]FormattedData!J78^2*$J$6+$M$5*$J$7</f>
        <v>-1.1852540612398474</v>
      </c>
      <c r="R41" s="6">
        <f>$J$3+[29]FormattedData!K78*$J$4+$M$4*$J$5+[29]FormattedData!K78^2*$J$6+$M$5*$J$7</f>
        <v>-1.1852540612398474</v>
      </c>
      <c r="S41" s="6">
        <f>$J$3+[29]FormattedData!L78*$J$4+$M$4*$J$5+[29]FormattedData!L78^2*$J$6+$M$5*$J$7</f>
        <v>-1.1852540612398474</v>
      </c>
      <c r="T41" s="6">
        <f>$J$3+[29]FormattedData!M78*$J$4+$M$4*$J$5+[29]FormattedData!M78^2*$J$6+$M$5*$J$7</f>
        <v>-1.1852540612398474</v>
      </c>
      <c r="U41" s="6">
        <f>$J$3+[29]FormattedData!N78*$J$4+$M$4*$J$5+[29]FormattedData!N78^2*$J$6+$M$5*$J$7</f>
        <v>-1.1852540612398474</v>
      </c>
      <c r="V41" s="6">
        <f>$J$3+[29]FormattedData!O78*$J$4+$M$4*$J$5+[29]FormattedData!O78^2*$J$6+$M$5*$J$7</f>
        <v>-1.1852540612398474</v>
      </c>
      <c r="W41" s="5">
        <f t="shared" si="0"/>
        <v>-1.1852540612398474</v>
      </c>
      <c r="X41" s="4">
        <f t="shared" si="1"/>
        <v>0</v>
      </c>
      <c r="Y41" s="3">
        <f t="shared" si="2"/>
        <v>-1.1852540612398474</v>
      </c>
      <c r="Z41" s="2">
        <f t="shared" si="3"/>
        <v>-1.1852540612398474</v>
      </c>
      <c r="AA41" s="3">
        <f t="shared" si="4"/>
        <v>-1.1852540612398474</v>
      </c>
      <c r="AB41" s="2">
        <f t="shared" si="5"/>
        <v>-1.1852540612398474</v>
      </c>
      <c r="AC41" s="2">
        <f t="shared" si="6"/>
        <v>-1.1852540612398474</v>
      </c>
      <c r="AD41" s="2" t="e">
        <f t="shared" si="7"/>
        <v>#DIV/0!</v>
      </c>
      <c r="AE41" s="2" t="e">
        <f t="shared" si="8"/>
        <v>#DIV/0!</v>
      </c>
    </row>
    <row r="42" spans="2:31" x14ac:dyDescent="0.2">
      <c r="B42" s="17">
        <f>[29]FormattedData!A60</f>
        <v>0</v>
      </c>
      <c r="C42" s="17" t="e">
        <f>VLOOKUP($B42,[29]TrtCodes!$B$11:I103,2)</f>
        <v>#N/A</v>
      </c>
      <c r="D42" s="17" t="e">
        <f>VLOOKUP($B42,[29]TrtCodes!$B$11:J103,3)</f>
        <v>#N/A</v>
      </c>
      <c r="E42" s="17" t="e">
        <f>VLOOKUP($B42,[29]TrtCodes!$B$11:K103,4)</f>
        <v>#N/A</v>
      </c>
      <c r="F42" s="17" t="e">
        <f>VLOOKUP($B42,[29]TrtCodes!$B$11:L103,5)</f>
        <v>#N/A</v>
      </c>
      <c r="G42" s="17" t="e">
        <f>VLOOKUP($B42,[29]TrtCodes!$B$11:M103,6)</f>
        <v>#N/A</v>
      </c>
      <c r="H42" s="17" t="e">
        <f>VLOOKUP($B42,[29]TrtCodes!$B$11:N103,7)</f>
        <v>#N/A</v>
      </c>
      <c r="I42" s="17">
        <f>[29]FormattedData!B60</f>
        <v>0</v>
      </c>
      <c r="J42" s="15">
        <f>[29]FormattedData!C60</f>
        <v>0</v>
      </c>
      <c r="K42" s="14">
        <f>$J$3+[29]FormattedData!D60*$J$4+$M$4*$J$5+[29]FormattedData!D60^2*$J$6+$M$5*$J$7</f>
        <v>-1.1852540612398474</v>
      </c>
      <c r="L42" s="14">
        <f>$J$3+[29]FormattedData!E60*$J$4+$M$4*$J$5+[29]FormattedData!E60^2*$J$6+$M$5*$J$7</f>
        <v>-1.1852540612398474</v>
      </c>
      <c r="M42" s="14">
        <f>$J$3+[29]FormattedData!F60*$J$4+$M$4*$J$5+[29]FormattedData!F60^2*$J$6+$M$5*$J$7</f>
        <v>-1.1852540612398474</v>
      </c>
      <c r="N42" s="14">
        <f>$J$3+[29]FormattedData!G60*$J$4+$M$4*$J$5+[29]FormattedData!G60^2*$J$6+$M$5*$J$7</f>
        <v>-1.1852540612398474</v>
      </c>
      <c r="O42" s="14">
        <f>$J$3+[29]FormattedData!H60*$J$4+$M$4*$J$5+[29]FormattedData!H60^2*$J$6+$M$5*$J$7</f>
        <v>-1.1852540612398474</v>
      </c>
      <c r="P42" s="14">
        <f>$J$3+[29]FormattedData!I60*$J$4+$M$4*$J$5+[29]FormattedData!I60^2*$J$6+$M$5*$J$7</f>
        <v>-1.1852540612398474</v>
      </c>
      <c r="Q42" s="14">
        <f>$J$3+[29]FormattedData!J60*$J$4+$M$4*$J$5+[29]FormattedData!J60^2*$J$6+$M$5*$J$7</f>
        <v>-1.1852540612398474</v>
      </c>
      <c r="R42" s="14">
        <f>$J$3+[29]FormattedData!K60*$J$4+$M$4*$J$5+[29]FormattedData!K60^2*$J$6+$M$5*$J$7</f>
        <v>-1.1852540612398474</v>
      </c>
      <c r="S42" s="14">
        <f>$J$3+[29]FormattedData!L60*$J$4+$M$4*$J$5+[29]FormattedData!L60^2*$J$6+$M$5*$J$7</f>
        <v>-1.1852540612398474</v>
      </c>
      <c r="T42" s="14">
        <f>$J$3+[29]FormattedData!M60*$J$4+$M$4*$J$5+[29]FormattedData!M60^2*$J$6+$M$5*$J$7</f>
        <v>-1.1852540612398474</v>
      </c>
      <c r="U42" s="14">
        <f>$J$3+[29]FormattedData!N60*$J$4+$M$4*$J$5+[29]FormattedData!N60^2*$J$6+$M$5*$J$7</f>
        <v>-1.1852540612398474</v>
      </c>
      <c r="V42" s="14">
        <f>$J$3+[29]FormattedData!O60*$J$4+$M$4*$J$5+[29]FormattedData!O60^2*$J$6+$M$5*$J$7</f>
        <v>-1.1852540612398474</v>
      </c>
      <c r="W42" s="16">
        <f t="shared" ref="W42:W73" si="9">AVERAGE(K42:V42)</f>
        <v>-1.1852540612398474</v>
      </c>
      <c r="X42" s="15">
        <f t="shared" ref="X42:X73" si="10">STDEV(K42:V42)/SQRT(COUNT(K42:V42))</f>
        <v>0</v>
      </c>
      <c r="Y42" s="14">
        <f t="shared" ref="Y42:Y73" si="11">MIN(K42:V42)</f>
        <v>-1.1852540612398474</v>
      </c>
      <c r="Z42" s="13">
        <f t="shared" ref="Z42:Z73" si="12">QUARTILE(K42:V42,1)</f>
        <v>-1.1852540612398474</v>
      </c>
      <c r="AA42" s="14">
        <f t="shared" ref="AA42:AA73" si="13">MEDIAN(K42:V42)</f>
        <v>-1.1852540612398474</v>
      </c>
      <c r="AB42" s="13">
        <f t="shared" ref="AB42:AB73" si="14">QUARTILE(K42:V42,3)</f>
        <v>-1.1852540612398474</v>
      </c>
      <c r="AC42" s="13">
        <f t="shared" ref="AC42:AC73" si="15">MAX(K42:V42)</f>
        <v>-1.1852540612398474</v>
      </c>
      <c r="AD42" s="13" t="e">
        <f t="shared" ref="AD42:AD73" si="16">SKEW(K42:V42)</f>
        <v>#DIV/0!</v>
      </c>
      <c r="AE42" s="13" t="e">
        <f t="shared" ref="AE42:AE73" si="17">KURT(K42:V42)</f>
        <v>#DIV/0!</v>
      </c>
    </row>
    <row r="43" spans="2:31" x14ac:dyDescent="0.2">
      <c r="B43" s="1">
        <f>[29]FormattedData!A58</f>
        <v>0</v>
      </c>
      <c r="C43" s="1" t="e">
        <f>VLOOKUP($B43,[29]TrtCodes!$B$11:I101,2)</f>
        <v>#N/A</v>
      </c>
      <c r="D43" s="1" t="e">
        <f>VLOOKUP($B43,[29]TrtCodes!$B$11:J101,3)</f>
        <v>#N/A</v>
      </c>
      <c r="E43" s="1" t="e">
        <f>VLOOKUP($B43,[29]TrtCodes!$B$11:K101,4)</f>
        <v>#N/A</v>
      </c>
      <c r="F43" s="1" t="e">
        <f>VLOOKUP($B43,[29]TrtCodes!$B$11:L101,5)</f>
        <v>#N/A</v>
      </c>
      <c r="G43" s="1" t="e">
        <f>VLOOKUP($B43,[29]TrtCodes!$B$11:M101,6)</f>
        <v>#N/A</v>
      </c>
      <c r="H43" s="1" t="e">
        <f>VLOOKUP($B43,[29]TrtCodes!$B$11:N101,7)</f>
        <v>#N/A</v>
      </c>
      <c r="I43" s="1">
        <f>[29]FormattedData!B58</f>
        <v>0</v>
      </c>
      <c r="J43" s="4">
        <f>[29]FormattedData!C58</f>
        <v>0</v>
      </c>
      <c r="K43" s="6">
        <f>$J$3+[29]FormattedData!D58*$J$4+$M$4*$J$5+[29]FormattedData!D58^2*$J$6+$M$5*$J$7</f>
        <v>-1.1852540612398474</v>
      </c>
      <c r="L43" s="6">
        <f>$J$3+[29]FormattedData!E58*$J$4+$M$4*$J$5+[29]FormattedData!E58^2*$J$6+$M$5*$J$7</f>
        <v>-1.1852540612398474</v>
      </c>
      <c r="M43" s="6">
        <f>$J$3+[29]FormattedData!F58*$J$4+$M$4*$J$5+[29]FormattedData!F58^2*$J$6+$M$5*$J$7</f>
        <v>-1.1852540612398474</v>
      </c>
      <c r="N43" s="6">
        <f>$J$3+[29]FormattedData!G58*$J$4+$M$4*$J$5+[29]FormattedData!G58^2*$J$6+$M$5*$J$7</f>
        <v>-1.1852540612398474</v>
      </c>
      <c r="O43" s="6">
        <f>$J$3+[29]FormattedData!H58*$J$4+$M$4*$J$5+[29]FormattedData!H58^2*$J$6+$M$5*$J$7</f>
        <v>-1.1852540612398474</v>
      </c>
      <c r="P43" s="6">
        <f>$J$3+[29]FormattedData!I58*$J$4+$M$4*$J$5+[29]FormattedData!I58^2*$J$6+$M$5*$J$7</f>
        <v>-1.1852540612398474</v>
      </c>
      <c r="Q43" s="6">
        <f>$J$3+[29]FormattedData!J58*$J$4+$M$4*$J$5+[29]FormattedData!J58^2*$J$6+$M$5*$J$7</f>
        <v>-1.1852540612398474</v>
      </c>
      <c r="R43" s="6">
        <f>$J$3+[29]FormattedData!K58*$J$4+$M$4*$J$5+[29]FormattedData!K58^2*$J$6+$M$5*$J$7</f>
        <v>-1.1852540612398474</v>
      </c>
      <c r="S43" s="6">
        <f>$J$3+[29]FormattedData!L58*$J$4+$M$4*$J$5+[29]FormattedData!L58^2*$J$6+$M$5*$J$7</f>
        <v>-1.1852540612398474</v>
      </c>
      <c r="T43" s="6">
        <f>$J$3+[29]FormattedData!M58*$J$4+$M$4*$J$5+[29]FormattedData!M58^2*$J$6+$M$5*$J$7</f>
        <v>-1.1852540612398474</v>
      </c>
      <c r="U43" s="6">
        <f>$J$3+[29]FormattedData!N58*$J$4+$M$4*$J$5+[29]FormattedData!N58^2*$J$6+$M$5*$J$7</f>
        <v>-1.1852540612398474</v>
      </c>
      <c r="V43" s="6">
        <f>$J$3+[29]FormattedData!O58*$J$4+$M$4*$J$5+[29]FormattedData!O58^2*$J$6+$M$5*$J$7</f>
        <v>-1.1852540612398474</v>
      </c>
      <c r="W43" s="5">
        <f t="shared" si="9"/>
        <v>-1.1852540612398474</v>
      </c>
      <c r="X43" s="4">
        <f t="shared" si="10"/>
        <v>0</v>
      </c>
      <c r="Y43" s="3">
        <f t="shared" si="11"/>
        <v>-1.1852540612398474</v>
      </c>
      <c r="Z43" s="2">
        <f t="shared" si="12"/>
        <v>-1.1852540612398474</v>
      </c>
      <c r="AA43" s="3">
        <f t="shared" si="13"/>
        <v>-1.1852540612398474</v>
      </c>
      <c r="AB43" s="2">
        <f t="shared" si="14"/>
        <v>-1.1852540612398474</v>
      </c>
      <c r="AC43" s="2">
        <f t="shared" si="15"/>
        <v>-1.1852540612398474</v>
      </c>
      <c r="AD43" s="2" t="e">
        <f t="shared" si="16"/>
        <v>#DIV/0!</v>
      </c>
      <c r="AE43" s="2" t="e">
        <f t="shared" si="17"/>
        <v>#DIV/0!</v>
      </c>
    </row>
    <row r="44" spans="2:31" x14ac:dyDescent="0.2">
      <c r="B44" s="17">
        <f>[29]FormattedData!A56</f>
        <v>0</v>
      </c>
      <c r="C44" s="17" t="e">
        <f>VLOOKUP($B44,[29]TrtCodes!$B$11:I99,2)</f>
        <v>#N/A</v>
      </c>
      <c r="D44" s="17" t="e">
        <f>VLOOKUP($B44,[29]TrtCodes!$B$11:J99,3)</f>
        <v>#N/A</v>
      </c>
      <c r="E44" s="17" t="e">
        <f>VLOOKUP($B44,[29]TrtCodes!$B$11:K99,4)</f>
        <v>#N/A</v>
      </c>
      <c r="F44" s="17" t="e">
        <f>VLOOKUP($B44,[29]TrtCodes!$B$11:L99,5)</f>
        <v>#N/A</v>
      </c>
      <c r="G44" s="17" t="e">
        <f>VLOOKUP($B44,[29]TrtCodes!$B$11:M99,6)</f>
        <v>#N/A</v>
      </c>
      <c r="H44" s="17" t="e">
        <f>VLOOKUP($B44,[29]TrtCodes!$B$11:N99,7)</f>
        <v>#N/A</v>
      </c>
      <c r="I44" s="17">
        <f>[29]FormattedData!B56</f>
        <v>0</v>
      </c>
      <c r="J44" s="15">
        <f>[29]FormattedData!C56</f>
        <v>0</v>
      </c>
      <c r="K44" s="14">
        <f>$J$3+[29]FormattedData!D56*$J$4+$M$4*$J$5+[29]FormattedData!D56^2*$J$6+$M$5*$J$7</f>
        <v>-1.1852540612398474</v>
      </c>
      <c r="L44" s="14">
        <f>$J$3+[29]FormattedData!E56*$J$4+$M$4*$J$5+[29]FormattedData!E56^2*$J$6+$M$5*$J$7</f>
        <v>-1.1852540612398474</v>
      </c>
      <c r="M44" s="14">
        <f>$J$3+[29]FormattedData!F56*$J$4+$M$4*$J$5+[29]FormattedData!F56^2*$J$6+$M$5*$J$7</f>
        <v>-1.1852540612398474</v>
      </c>
      <c r="N44" s="14">
        <f>$J$3+[29]FormattedData!G56*$J$4+$M$4*$J$5+[29]FormattedData!G56^2*$J$6+$M$5*$J$7</f>
        <v>-1.1852540612398474</v>
      </c>
      <c r="O44" s="14">
        <f>$J$3+[29]FormattedData!H56*$J$4+$M$4*$J$5+[29]FormattedData!H56^2*$J$6+$M$5*$J$7</f>
        <v>-1.1852540612398474</v>
      </c>
      <c r="P44" s="14">
        <f>$J$3+[29]FormattedData!I56*$J$4+$M$4*$J$5+[29]FormattedData!I56^2*$J$6+$M$5*$J$7</f>
        <v>-1.1852540612398474</v>
      </c>
      <c r="Q44" s="14">
        <f>$J$3+[29]FormattedData!J56*$J$4+$M$4*$J$5+[29]FormattedData!J56^2*$J$6+$M$5*$J$7</f>
        <v>-1.1852540612398474</v>
      </c>
      <c r="R44" s="14">
        <f>$J$3+[29]FormattedData!K56*$J$4+$M$4*$J$5+[29]FormattedData!K56^2*$J$6+$M$5*$J$7</f>
        <v>-1.1852540612398474</v>
      </c>
      <c r="S44" s="14">
        <f>$J$3+[29]FormattedData!L56*$J$4+$M$4*$J$5+[29]FormattedData!L56^2*$J$6+$M$5*$J$7</f>
        <v>-1.1852540612398474</v>
      </c>
      <c r="T44" s="14">
        <f>$J$3+[29]FormattedData!M56*$J$4+$M$4*$J$5+[29]FormattedData!M56^2*$J$6+$M$5*$J$7</f>
        <v>-1.1852540612398474</v>
      </c>
      <c r="U44" s="14">
        <f>$J$3+[29]FormattedData!N56*$J$4+$M$4*$J$5+[29]FormattedData!N56^2*$J$6+$M$5*$J$7</f>
        <v>-1.1852540612398474</v>
      </c>
      <c r="V44" s="14">
        <f>$J$3+[29]FormattedData!O56*$J$4+$M$4*$J$5+[29]FormattedData!O56^2*$J$6+$M$5*$J$7</f>
        <v>-1.1852540612398474</v>
      </c>
      <c r="W44" s="16">
        <f t="shared" si="9"/>
        <v>-1.1852540612398474</v>
      </c>
      <c r="X44" s="15">
        <f t="shared" si="10"/>
        <v>0</v>
      </c>
      <c r="Y44" s="14">
        <f t="shared" si="11"/>
        <v>-1.1852540612398474</v>
      </c>
      <c r="Z44" s="13">
        <f t="shared" si="12"/>
        <v>-1.1852540612398474</v>
      </c>
      <c r="AA44" s="14">
        <f t="shared" si="13"/>
        <v>-1.1852540612398474</v>
      </c>
      <c r="AB44" s="13">
        <f t="shared" si="14"/>
        <v>-1.1852540612398474</v>
      </c>
      <c r="AC44" s="13">
        <f t="shared" si="15"/>
        <v>-1.1852540612398474</v>
      </c>
      <c r="AD44" s="13" t="e">
        <f t="shared" si="16"/>
        <v>#DIV/0!</v>
      </c>
      <c r="AE44" s="13" t="e">
        <f t="shared" si="17"/>
        <v>#DIV/0!</v>
      </c>
    </row>
    <row r="45" spans="2:31" x14ac:dyDescent="0.2">
      <c r="B45" s="1">
        <f>[29]FormattedData!A54</f>
        <v>0</v>
      </c>
      <c r="C45" s="1" t="e">
        <f>VLOOKUP($B45,[29]TrtCodes!$B$11:I97,2)</f>
        <v>#N/A</v>
      </c>
      <c r="D45" s="1" t="e">
        <f>VLOOKUP($B45,[29]TrtCodes!$B$11:J97,3)</f>
        <v>#N/A</v>
      </c>
      <c r="E45" s="1" t="e">
        <f>VLOOKUP($B45,[29]TrtCodes!$B$11:K97,4)</f>
        <v>#N/A</v>
      </c>
      <c r="F45" s="1" t="e">
        <f>VLOOKUP($B45,[29]TrtCodes!$B$11:L97,5)</f>
        <v>#N/A</v>
      </c>
      <c r="G45" s="1" t="e">
        <f>VLOOKUP($B45,[29]TrtCodes!$B$11:M97,6)</f>
        <v>#N/A</v>
      </c>
      <c r="H45" s="1" t="e">
        <f>VLOOKUP($B45,[29]TrtCodes!$B$11:N97,7)</f>
        <v>#N/A</v>
      </c>
      <c r="I45" s="1">
        <f>[29]FormattedData!B54</f>
        <v>0</v>
      </c>
      <c r="J45" s="4">
        <f>[29]FormattedData!C54</f>
        <v>0</v>
      </c>
      <c r="K45" s="6">
        <f>$J$3+[29]FormattedData!D54*$J$4+$M$4*$J$5+[29]FormattedData!D54^2*$J$6+$M$5*$J$7</f>
        <v>-1.1852540612398474</v>
      </c>
      <c r="L45" s="6">
        <f>$J$3+[29]FormattedData!E54*$J$4+$M$4*$J$5+[29]FormattedData!E54^2*$J$6+$M$5*$J$7</f>
        <v>-1.1852540612398474</v>
      </c>
      <c r="M45" s="6">
        <f>$J$3+[29]FormattedData!F54*$J$4+$M$4*$J$5+[29]FormattedData!F54^2*$J$6+$M$5*$J$7</f>
        <v>-1.1852540612398474</v>
      </c>
      <c r="N45" s="6">
        <f>$J$3+[29]FormattedData!G54*$J$4+$M$4*$J$5+[29]FormattedData!G54^2*$J$6+$M$5*$J$7</f>
        <v>-1.1852540612398474</v>
      </c>
      <c r="O45" s="6">
        <f>$J$3+[29]FormattedData!H54*$J$4+$M$4*$J$5+[29]FormattedData!H54^2*$J$6+$M$5*$J$7</f>
        <v>-1.1852540612398474</v>
      </c>
      <c r="P45" s="6">
        <f>$J$3+[29]FormattedData!I54*$J$4+$M$4*$J$5+[29]FormattedData!I54^2*$J$6+$M$5*$J$7</f>
        <v>-1.1852540612398474</v>
      </c>
      <c r="Q45" s="6">
        <f>$J$3+[29]FormattedData!J54*$J$4+$M$4*$J$5+[29]FormattedData!J54^2*$J$6+$M$5*$J$7</f>
        <v>-1.1852540612398474</v>
      </c>
      <c r="R45" s="6">
        <f>$J$3+[29]FormattedData!K54*$J$4+$M$4*$J$5+[29]FormattedData!K54^2*$J$6+$M$5*$J$7</f>
        <v>-1.1852540612398474</v>
      </c>
      <c r="S45" s="6">
        <f>$J$3+[29]FormattedData!L54*$J$4+$M$4*$J$5+[29]FormattedData!L54^2*$J$6+$M$5*$J$7</f>
        <v>-1.1852540612398474</v>
      </c>
      <c r="T45" s="6">
        <f>$J$3+[29]FormattedData!M54*$J$4+$M$4*$J$5+[29]FormattedData!M54^2*$J$6+$M$5*$J$7</f>
        <v>-1.1852540612398474</v>
      </c>
      <c r="U45" s="6">
        <f>$J$3+[29]FormattedData!N54*$J$4+$M$4*$J$5+[29]FormattedData!N54^2*$J$6+$M$5*$J$7</f>
        <v>-1.1852540612398474</v>
      </c>
      <c r="V45" s="6">
        <f>$J$3+[29]FormattedData!O54*$J$4+$M$4*$J$5+[29]FormattedData!O54^2*$J$6+$M$5*$J$7</f>
        <v>-1.1852540612398474</v>
      </c>
      <c r="W45" s="5">
        <f t="shared" si="9"/>
        <v>-1.1852540612398474</v>
      </c>
      <c r="X45" s="4">
        <f t="shared" si="10"/>
        <v>0</v>
      </c>
      <c r="Y45" s="3">
        <f t="shared" si="11"/>
        <v>-1.1852540612398474</v>
      </c>
      <c r="Z45" s="2">
        <f t="shared" si="12"/>
        <v>-1.1852540612398474</v>
      </c>
      <c r="AA45" s="3">
        <f t="shared" si="13"/>
        <v>-1.1852540612398474</v>
      </c>
      <c r="AB45" s="2">
        <f t="shared" si="14"/>
        <v>-1.1852540612398474</v>
      </c>
      <c r="AC45" s="2">
        <f t="shared" si="15"/>
        <v>-1.1852540612398474</v>
      </c>
      <c r="AD45" s="2" t="e">
        <f t="shared" si="16"/>
        <v>#DIV/0!</v>
      </c>
      <c r="AE45" s="2" t="e">
        <f t="shared" si="17"/>
        <v>#DIV/0!</v>
      </c>
    </row>
    <row r="46" spans="2:31" x14ac:dyDescent="0.2">
      <c r="B46" s="17">
        <f>[29]FormattedData!A52</f>
        <v>0</v>
      </c>
      <c r="C46" s="17" t="e">
        <f>VLOOKUP($B46,[29]TrtCodes!$B$11:I95,2)</f>
        <v>#N/A</v>
      </c>
      <c r="D46" s="17" t="e">
        <f>VLOOKUP($B46,[29]TrtCodes!$B$11:J95,3)</f>
        <v>#N/A</v>
      </c>
      <c r="E46" s="17" t="e">
        <f>VLOOKUP($B46,[29]TrtCodes!$B$11:K95,4)</f>
        <v>#N/A</v>
      </c>
      <c r="F46" s="17" t="e">
        <f>VLOOKUP($B46,[29]TrtCodes!$B$11:L95,5)</f>
        <v>#N/A</v>
      </c>
      <c r="G46" s="17" t="e">
        <f>VLOOKUP($B46,[29]TrtCodes!$B$11:M95,6)</f>
        <v>#N/A</v>
      </c>
      <c r="H46" s="17" t="e">
        <f>VLOOKUP($B46,[29]TrtCodes!$B$11:N95,7)</f>
        <v>#N/A</v>
      </c>
      <c r="I46" s="17">
        <f>[29]FormattedData!B52</f>
        <v>0</v>
      </c>
      <c r="J46" s="15">
        <f>[29]FormattedData!C52</f>
        <v>0</v>
      </c>
      <c r="K46" s="14">
        <f>$J$3+[29]FormattedData!D52*$J$4+$M$4*$J$5+[29]FormattedData!D52^2*$J$6+$M$5*$J$7</f>
        <v>-1.1852540612398474</v>
      </c>
      <c r="L46" s="14">
        <f>$J$3+[29]FormattedData!E52*$J$4+$M$4*$J$5+[29]FormattedData!E52^2*$J$6+$M$5*$J$7</f>
        <v>-1.1852540612398474</v>
      </c>
      <c r="M46" s="14">
        <f>$J$3+[29]FormattedData!F52*$J$4+$M$4*$J$5+[29]FormattedData!F52^2*$J$6+$M$5*$J$7</f>
        <v>-1.1852540612398474</v>
      </c>
      <c r="N46" s="14">
        <f>$J$3+[29]FormattedData!G52*$J$4+$M$4*$J$5+[29]FormattedData!G52^2*$J$6+$M$5*$J$7</f>
        <v>-1.1852540612398474</v>
      </c>
      <c r="O46" s="14">
        <f>$J$3+[29]FormattedData!H52*$J$4+$M$4*$J$5+[29]FormattedData!H52^2*$J$6+$M$5*$J$7</f>
        <v>-1.1852540612398474</v>
      </c>
      <c r="P46" s="14">
        <f>$J$3+[29]FormattedData!I52*$J$4+$M$4*$J$5+[29]FormattedData!I52^2*$J$6+$M$5*$J$7</f>
        <v>-1.1852540612398474</v>
      </c>
      <c r="Q46" s="14">
        <f>$J$3+[29]FormattedData!J52*$J$4+$M$4*$J$5+[29]FormattedData!J52^2*$J$6+$M$5*$J$7</f>
        <v>-1.1852540612398474</v>
      </c>
      <c r="R46" s="14">
        <f>$J$3+[29]FormattedData!K52*$J$4+$M$4*$J$5+[29]FormattedData!K52^2*$J$6+$M$5*$J$7</f>
        <v>-1.1852540612398474</v>
      </c>
      <c r="S46" s="14">
        <f>$J$3+[29]FormattedData!L52*$J$4+$M$4*$J$5+[29]FormattedData!L52^2*$J$6+$M$5*$J$7</f>
        <v>-1.1852540612398474</v>
      </c>
      <c r="T46" s="14">
        <f>$J$3+[29]FormattedData!M52*$J$4+$M$4*$J$5+[29]FormattedData!M52^2*$J$6+$M$5*$J$7</f>
        <v>-1.1852540612398474</v>
      </c>
      <c r="U46" s="14">
        <f>$J$3+[29]FormattedData!N52*$J$4+$M$4*$J$5+[29]FormattedData!N52^2*$J$6+$M$5*$J$7</f>
        <v>-1.1852540612398474</v>
      </c>
      <c r="V46" s="14">
        <f>$J$3+[29]FormattedData!O52*$J$4+$M$4*$J$5+[29]FormattedData!O52^2*$J$6+$M$5*$J$7</f>
        <v>-1.1852540612398474</v>
      </c>
      <c r="W46" s="16">
        <f t="shared" si="9"/>
        <v>-1.1852540612398474</v>
      </c>
      <c r="X46" s="15">
        <f t="shared" si="10"/>
        <v>0</v>
      </c>
      <c r="Y46" s="14">
        <f t="shared" si="11"/>
        <v>-1.1852540612398474</v>
      </c>
      <c r="Z46" s="13">
        <f t="shared" si="12"/>
        <v>-1.1852540612398474</v>
      </c>
      <c r="AA46" s="14">
        <f t="shared" si="13"/>
        <v>-1.1852540612398474</v>
      </c>
      <c r="AB46" s="13">
        <f t="shared" si="14"/>
        <v>-1.1852540612398474</v>
      </c>
      <c r="AC46" s="13">
        <f t="shared" si="15"/>
        <v>-1.1852540612398474</v>
      </c>
      <c r="AD46" s="13" t="e">
        <f t="shared" si="16"/>
        <v>#DIV/0!</v>
      </c>
      <c r="AE46" s="13" t="e">
        <f t="shared" si="17"/>
        <v>#DIV/0!</v>
      </c>
    </row>
    <row r="47" spans="2:31" x14ac:dyDescent="0.2">
      <c r="B47" s="1">
        <f>[29]FormattedData!A50</f>
        <v>0</v>
      </c>
      <c r="C47" s="1" t="e">
        <f>VLOOKUP($B47,[29]TrtCodes!$B$11:I93,2)</f>
        <v>#N/A</v>
      </c>
      <c r="D47" s="1" t="e">
        <f>VLOOKUP($B47,[29]TrtCodes!$B$11:J93,3)</f>
        <v>#N/A</v>
      </c>
      <c r="E47" s="1" t="e">
        <f>VLOOKUP($B47,[29]TrtCodes!$B$11:K93,4)</f>
        <v>#N/A</v>
      </c>
      <c r="F47" s="1" t="e">
        <f>VLOOKUP($B47,[29]TrtCodes!$B$11:L93,5)</f>
        <v>#N/A</v>
      </c>
      <c r="G47" s="1" t="e">
        <f>VLOOKUP($B47,[29]TrtCodes!$B$11:M93,6)</f>
        <v>#N/A</v>
      </c>
      <c r="H47" s="1" t="e">
        <f>VLOOKUP($B47,[29]TrtCodes!$B$11:N93,7)</f>
        <v>#N/A</v>
      </c>
      <c r="I47" s="1">
        <f>[29]FormattedData!B50</f>
        <v>0</v>
      </c>
      <c r="J47" s="4">
        <f>[29]FormattedData!C50</f>
        <v>0</v>
      </c>
      <c r="K47" s="6">
        <f>$J$3+[29]FormattedData!D50*$J$4+$M$4*$J$5+[29]FormattedData!D50^2*$J$6+$M$5*$J$7</f>
        <v>-1.1852540612398474</v>
      </c>
      <c r="L47" s="6">
        <f>$J$3+[29]FormattedData!E50*$J$4+$M$4*$J$5+[29]FormattedData!E50^2*$J$6+$M$5*$J$7</f>
        <v>-1.1852540612398474</v>
      </c>
      <c r="M47" s="6">
        <f>$J$3+[29]FormattedData!F50*$J$4+$M$4*$J$5+[29]FormattedData!F50^2*$J$6+$M$5*$J$7</f>
        <v>-1.1852540612398474</v>
      </c>
      <c r="N47" s="6">
        <f>$J$3+[29]FormattedData!G50*$J$4+$M$4*$J$5+[29]FormattedData!G50^2*$J$6+$M$5*$J$7</f>
        <v>-1.1852540612398474</v>
      </c>
      <c r="O47" s="6">
        <f>$J$3+[29]FormattedData!H50*$J$4+$M$4*$J$5+[29]FormattedData!H50^2*$J$6+$M$5*$J$7</f>
        <v>-1.1852540612398474</v>
      </c>
      <c r="P47" s="6">
        <f>$J$3+[29]FormattedData!I50*$J$4+$M$4*$J$5+[29]FormattedData!I50^2*$J$6+$M$5*$J$7</f>
        <v>-1.1852540612398474</v>
      </c>
      <c r="Q47" s="6">
        <f>$J$3+[29]FormattedData!J50*$J$4+$M$4*$J$5+[29]FormattedData!J50^2*$J$6+$M$5*$J$7</f>
        <v>-1.1852540612398474</v>
      </c>
      <c r="R47" s="6">
        <f>$J$3+[29]FormattedData!K50*$J$4+$M$4*$J$5+[29]FormattedData!K50^2*$J$6+$M$5*$J$7</f>
        <v>-1.1852540612398474</v>
      </c>
      <c r="S47" s="6">
        <f>$J$3+[29]FormattedData!L50*$J$4+$M$4*$J$5+[29]FormattedData!L50^2*$J$6+$M$5*$J$7</f>
        <v>-1.1852540612398474</v>
      </c>
      <c r="T47" s="6">
        <f>$J$3+[29]FormattedData!M50*$J$4+$M$4*$J$5+[29]FormattedData!M50^2*$J$6+$M$5*$J$7</f>
        <v>-1.1852540612398474</v>
      </c>
      <c r="U47" s="6">
        <f>$J$3+[29]FormattedData!N50*$J$4+$M$4*$J$5+[29]FormattedData!N50^2*$J$6+$M$5*$J$7</f>
        <v>-1.1852540612398474</v>
      </c>
      <c r="V47" s="6">
        <f>$J$3+[29]FormattedData!O50*$J$4+$M$4*$J$5+[29]FormattedData!O50^2*$J$6+$M$5*$J$7</f>
        <v>-1.1852540612398474</v>
      </c>
      <c r="W47" s="5">
        <f t="shared" si="9"/>
        <v>-1.1852540612398474</v>
      </c>
      <c r="X47" s="4">
        <f t="shared" si="10"/>
        <v>0</v>
      </c>
      <c r="Y47" s="3">
        <f t="shared" si="11"/>
        <v>-1.1852540612398474</v>
      </c>
      <c r="Z47" s="2">
        <f t="shared" si="12"/>
        <v>-1.1852540612398474</v>
      </c>
      <c r="AA47" s="3">
        <f t="shared" si="13"/>
        <v>-1.1852540612398474</v>
      </c>
      <c r="AB47" s="2">
        <f t="shared" si="14"/>
        <v>-1.1852540612398474</v>
      </c>
      <c r="AC47" s="2">
        <f t="shared" si="15"/>
        <v>-1.1852540612398474</v>
      </c>
      <c r="AD47" s="2" t="e">
        <f t="shared" si="16"/>
        <v>#DIV/0!</v>
      </c>
      <c r="AE47" s="2" t="e">
        <f t="shared" si="17"/>
        <v>#DIV/0!</v>
      </c>
    </row>
    <row r="48" spans="2:31" x14ac:dyDescent="0.2">
      <c r="B48" s="17">
        <f>[29]FormattedData!A48</f>
        <v>0</v>
      </c>
      <c r="C48" s="17" t="e">
        <f>VLOOKUP($B48,[29]TrtCodes!$B$11:I91,2)</f>
        <v>#N/A</v>
      </c>
      <c r="D48" s="17" t="e">
        <f>VLOOKUP($B48,[29]TrtCodes!$B$11:J91,3)</f>
        <v>#N/A</v>
      </c>
      <c r="E48" s="17" t="e">
        <f>VLOOKUP($B48,[29]TrtCodes!$B$11:K91,4)</f>
        <v>#N/A</v>
      </c>
      <c r="F48" s="17" t="e">
        <f>VLOOKUP($B48,[29]TrtCodes!$B$11:L91,5)</f>
        <v>#N/A</v>
      </c>
      <c r="G48" s="17" t="e">
        <f>VLOOKUP($B48,[29]TrtCodes!$B$11:M91,6)</f>
        <v>#N/A</v>
      </c>
      <c r="H48" s="17" t="e">
        <f>VLOOKUP($B48,[29]TrtCodes!$B$11:N91,7)</f>
        <v>#N/A</v>
      </c>
      <c r="I48" s="17">
        <f>[29]FormattedData!B48</f>
        <v>0</v>
      </c>
      <c r="J48" s="15">
        <f>[29]FormattedData!C48</f>
        <v>0</v>
      </c>
      <c r="K48" s="14">
        <f>$J$3+[29]FormattedData!D48*$J$4+$M$4*$J$5+[29]FormattedData!D48^2*$J$6+$M$5*$J$7</f>
        <v>-1.1852540612398474</v>
      </c>
      <c r="L48" s="14">
        <f>$J$3+[29]FormattedData!E48*$J$4+$M$4*$J$5+[29]FormattedData!E48^2*$J$6+$M$5*$J$7</f>
        <v>-1.1852540612398474</v>
      </c>
      <c r="M48" s="14">
        <f>$J$3+[29]FormattedData!F48*$J$4+$M$4*$J$5+[29]FormattedData!F48^2*$J$6+$M$5*$J$7</f>
        <v>-1.1852540612398474</v>
      </c>
      <c r="N48" s="14">
        <f>$J$3+[29]FormattedData!G48*$J$4+$M$4*$J$5+[29]FormattedData!G48^2*$J$6+$M$5*$J$7</f>
        <v>-1.1852540612398474</v>
      </c>
      <c r="O48" s="14">
        <f>$J$3+[29]FormattedData!H48*$J$4+$M$4*$J$5+[29]FormattedData!H48^2*$J$6+$M$5*$J$7</f>
        <v>-1.1852540612398474</v>
      </c>
      <c r="P48" s="14">
        <f>$J$3+[29]FormattedData!I48*$J$4+$M$4*$J$5+[29]FormattedData!I48^2*$J$6+$M$5*$J$7</f>
        <v>-1.1852540612398474</v>
      </c>
      <c r="Q48" s="14">
        <f>$J$3+[29]FormattedData!J48*$J$4+$M$4*$J$5+[29]FormattedData!J48^2*$J$6+$M$5*$J$7</f>
        <v>-1.1852540612398474</v>
      </c>
      <c r="R48" s="14">
        <f>$J$3+[29]FormattedData!K48*$J$4+$M$4*$J$5+[29]FormattedData!K48^2*$J$6+$M$5*$J$7</f>
        <v>-1.1852540612398474</v>
      </c>
      <c r="S48" s="14">
        <f>$J$3+[29]FormattedData!L48*$J$4+$M$4*$J$5+[29]FormattedData!L48^2*$J$6+$M$5*$J$7</f>
        <v>-1.1852540612398474</v>
      </c>
      <c r="T48" s="14">
        <f>$J$3+[29]FormattedData!M48*$J$4+$M$4*$J$5+[29]FormattedData!M48^2*$J$6+$M$5*$J$7</f>
        <v>-1.1852540612398474</v>
      </c>
      <c r="U48" s="14">
        <f>$J$3+[29]FormattedData!N48*$J$4+$M$4*$J$5+[29]FormattedData!N48^2*$J$6+$M$5*$J$7</f>
        <v>-1.1852540612398474</v>
      </c>
      <c r="V48" s="14">
        <f>$J$3+[29]FormattedData!O48*$J$4+$M$4*$J$5+[29]FormattedData!O48^2*$J$6+$M$5*$J$7</f>
        <v>-1.1852540612398474</v>
      </c>
      <c r="W48" s="16">
        <f t="shared" si="9"/>
        <v>-1.1852540612398474</v>
      </c>
      <c r="X48" s="15">
        <f t="shared" si="10"/>
        <v>0</v>
      </c>
      <c r="Y48" s="14">
        <f t="shared" si="11"/>
        <v>-1.1852540612398474</v>
      </c>
      <c r="Z48" s="13">
        <f t="shared" si="12"/>
        <v>-1.1852540612398474</v>
      </c>
      <c r="AA48" s="14">
        <f t="shared" si="13"/>
        <v>-1.1852540612398474</v>
      </c>
      <c r="AB48" s="13">
        <f t="shared" si="14"/>
        <v>-1.1852540612398474</v>
      </c>
      <c r="AC48" s="13">
        <f t="shared" si="15"/>
        <v>-1.1852540612398474</v>
      </c>
      <c r="AD48" s="13" t="e">
        <f t="shared" si="16"/>
        <v>#DIV/0!</v>
      </c>
      <c r="AE48" s="13" t="e">
        <f t="shared" si="17"/>
        <v>#DIV/0!</v>
      </c>
    </row>
    <row r="49" spans="2:31" ht="13.5" thickBot="1" x14ac:dyDescent="0.25">
      <c r="B49" s="12">
        <f>[29]FormattedData!A46</f>
        <v>0</v>
      </c>
      <c r="C49" s="12" t="e">
        <f>VLOOKUP($B49,[29]TrtCodes!$B$11:I89,2)</f>
        <v>#N/A</v>
      </c>
      <c r="D49" s="12" t="e">
        <f>VLOOKUP($B49,[29]TrtCodes!$B$11:J89,3)</f>
        <v>#N/A</v>
      </c>
      <c r="E49" s="12" t="e">
        <f>VLOOKUP($B49,[29]TrtCodes!$B$11:K89,4)</f>
        <v>#N/A</v>
      </c>
      <c r="F49" s="12" t="e">
        <f>VLOOKUP($B49,[29]TrtCodes!$B$11:L89,5)</f>
        <v>#N/A</v>
      </c>
      <c r="G49" s="12" t="e">
        <f>VLOOKUP($B49,[29]TrtCodes!$B$11:M89,6)</f>
        <v>#N/A</v>
      </c>
      <c r="H49" s="12" t="e">
        <f>VLOOKUP($B49,[29]TrtCodes!$B$11:N89,7)</f>
        <v>#N/A</v>
      </c>
      <c r="I49" s="12">
        <f>[29]FormattedData!B46</f>
        <v>0</v>
      </c>
      <c r="J49" s="9">
        <f>[29]FormattedData!C46</f>
        <v>0</v>
      </c>
      <c r="K49" s="11">
        <f>$J$3+[29]FormattedData!D46*$J$4+$M$4*$J$5+[29]FormattedData!D46^2*$J$6+$M$5*$J$7</f>
        <v>-1.1852540612398474</v>
      </c>
      <c r="L49" s="11">
        <f>$J$3+[29]FormattedData!E46*$J$4+$M$4*$J$5+[29]FormattedData!E46^2*$J$6+$M$5*$J$7</f>
        <v>-1.1852540612398474</v>
      </c>
      <c r="M49" s="11">
        <f>$J$3+[29]FormattedData!F46*$J$4+$M$4*$J$5+[29]FormattedData!F46^2*$J$6+$M$5*$J$7</f>
        <v>-1.1852540612398474</v>
      </c>
      <c r="N49" s="11">
        <f>$J$3+[29]FormattedData!G46*$J$4+$M$4*$J$5+[29]FormattedData!G46^2*$J$6+$M$5*$J$7</f>
        <v>-1.1852540612398474</v>
      </c>
      <c r="O49" s="11">
        <f>$J$3+[29]FormattedData!H46*$J$4+$M$4*$J$5+[29]FormattedData!H46^2*$J$6+$M$5*$J$7</f>
        <v>-1.1852540612398474</v>
      </c>
      <c r="P49" s="11">
        <f>$J$3+[29]FormattedData!I46*$J$4+$M$4*$J$5+[29]FormattedData!I46^2*$J$6+$M$5*$J$7</f>
        <v>-1.1852540612398474</v>
      </c>
      <c r="Q49" s="11">
        <f>$J$3+[29]FormattedData!J46*$J$4+$M$4*$J$5+[29]FormattedData!J46^2*$J$6+$M$5*$J$7</f>
        <v>-1.1852540612398474</v>
      </c>
      <c r="R49" s="11">
        <f>$J$3+[29]FormattedData!K46*$J$4+$M$4*$J$5+[29]FormattedData!K46^2*$J$6+$M$5*$J$7</f>
        <v>-1.1852540612398474</v>
      </c>
      <c r="S49" s="11">
        <f>$J$3+[29]FormattedData!L46*$J$4+$M$4*$J$5+[29]FormattedData!L46^2*$J$6+$M$5*$J$7</f>
        <v>-1.1852540612398474</v>
      </c>
      <c r="T49" s="11">
        <f>$J$3+[29]FormattedData!M46*$J$4+$M$4*$J$5+[29]FormattedData!M46^2*$J$6+$M$5*$J$7</f>
        <v>-1.1852540612398474</v>
      </c>
      <c r="U49" s="11">
        <f>$J$3+[29]FormattedData!N46*$J$4+$M$4*$J$5+[29]FormattedData!N46^2*$J$6+$M$5*$J$7</f>
        <v>-1.1852540612398474</v>
      </c>
      <c r="V49" s="11">
        <f>$J$3+[29]FormattedData!O46*$J$4+$M$4*$J$5+[29]FormattedData!O46^2*$J$6+$M$5*$J$7</f>
        <v>-1.1852540612398474</v>
      </c>
      <c r="W49" s="10">
        <f t="shared" si="9"/>
        <v>-1.1852540612398474</v>
      </c>
      <c r="X49" s="9">
        <f t="shared" si="10"/>
        <v>0</v>
      </c>
      <c r="Y49" s="8">
        <f t="shared" si="11"/>
        <v>-1.1852540612398474</v>
      </c>
      <c r="Z49" s="7">
        <f t="shared" si="12"/>
        <v>-1.1852540612398474</v>
      </c>
      <c r="AA49" s="8">
        <f t="shared" si="13"/>
        <v>-1.1852540612398474</v>
      </c>
      <c r="AB49" s="7">
        <f t="shared" si="14"/>
        <v>-1.1852540612398474</v>
      </c>
      <c r="AC49" s="7">
        <f t="shared" si="15"/>
        <v>-1.1852540612398474</v>
      </c>
      <c r="AD49" s="7" t="e">
        <f t="shared" si="16"/>
        <v>#DIV/0!</v>
      </c>
      <c r="AE49" s="7" t="e">
        <f t="shared" si="17"/>
        <v>#DIV/0!</v>
      </c>
    </row>
    <row r="50" spans="2:31" ht="13.5" thickTop="1" x14ac:dyDescent="0.2">
      <c r="B50" s="1">
        <f>[29]FormattedData!A29</f>
        <v>101</v>
      </c>
      <c r="C50" s="1" t="str">
        <f>VLOOKUP($B50,[29]TrtCodes!$B$11:I72,2)</f>
        <v>FSH</v>
      </c>
      <c r="D50" s="1">
        <f>VLOOKUP($B50,[29]TrtCodes!$B$11:J72,3)</f>
        <v>1</v>
      </c>
      <c r="E50" s="1">
        <f>VLOOKUP($B50,[29]TrtCodes!$B$11:K72,4)</f>
        <v>1</v>
      </c>
      <c r="F50" s="1">
        <f>VLOOKUP($B50,[29]TrtCodes!$B$11:L72,5)</f>
        <v>1</v>
      </c>
      <c r="G50" s="1">
        <f>VLOOKUP($B50,[29]TrtCodes!$B$11:M72,6)</f>
        <v>2</v>
      </c>
      <c r="H50" s="1">
        <f>VLOOKUP($B50,[29]TrtCodes!$B$11:N72,7)</f>
        <v>1</v>
      </c>
      <c r="I50" s="1">
        <f>[29]FormattedData!B29</f>
        <v>2</v>
      </c>
      <c r="J50" s="4">
        <f>[29]FormattedData!C29</f>
        <v>13.194000000000001</v>
      </c>
      <c r="K50" s="6">
        <f>$J$3+[29]FormattedData!D29*$J$4+$M$4*$J$5+[29]FormattedData!D29^2*$J$6+$M$5*$J$7</f>
        <v>28.785085231147129</v>
      </c>
      <c r="L50" s="6">
        <f>$J$3+[29]FormattedData!E29*$J$4+$M$4*$J$5+[29]FormattedData!E29^2*$J$6+$M$5*$J$7</f>
        <v>29.953191405652639</v>
      </c>
      <c r="M50" s="6">
        <f>$J$3+[29]FormattedData!F29*$J$4+$M$4*$J$5+[29]FormattedData!F29^2*$J$6+$M$5*$J$7</f>
        <v>29.953191405652639</v>
      </c>
      <c r="N50" s="6">
        <f>$J$3+[29]FormattedData!G29*$J$4+$M$4*$J$5+[29]FormattedData!G29^2*$J$6+$M$5*$J$7</f>
        <v>31.115210910696064</v>
      </c>
      <c r="O50" s="6">
        <f>$J$3+[29]FormattedData!H29*$J$4+$M$4*$J$5+[29]FormattedData!H29^2*$J$6+$M$5*$J$7</f>
        <v>31.404764744853473</v>
      </c>
      <c r="P50" s="6">
        <f>$J$3+[29]FormattedData!I29*$J$4+$M$4*$J$5+[29]FormattedData!I29^2*$J$6+$M$5*$J$7</f>
        <v>31.404764744853473</v>
      </c>
      <c r="Q50" s="6">
        <f>$J$3+[29]FormattedData!J29*$J$4+$M$4*$J$5+[29]FormattedData!J29^2*$J$6+$M$5*$J$7</f>
        <v>30.921963678568137</v>
      </c>
      <c r="R50" s="6">
        <f>$J$3+[29]FormattedData!K29*$J$4+$M$4*$J$5+[29]FormattedData!K29^2*$J$6+$M$5*$J$7</f>
        <v>31.211771123953127</v>
      </c>
      <c r="S50" s="6">
        <f>$J$3+[29]FormattedData!L29*$J$4+$M$4*$J$5+[29]FormattedData!L29^2*$J$6+$M$5*$J$7</f>
        <v>27.807013879886778</v>
      </c>
      <c r="T50" s="6">
        <f>$J$3+[29]FormattedData!M29*$J$4+$M$4*$J$5+[29]FormattedData!M29^2*$J$6+$M$5*$J$7</f>
        <v>30.82527665969728</v>
      </c>
      <c r="U50" s="6">
        <f>$J$3+[29]FormattedData!N29*$J$4+$M$4*$J$5+[29]FormattedData!N29^2*$J$6+$M$5*$J$7</f>
        <v>31.693938162169491</v>
      </c>
      <c r="V50" s="6">
        <f>$J$3+[29]FormattedData!O29*$J$4+$M$4*$J$5+[29]FormattedData!O29^2*$J$6+$M$5*$J$7</f>
        <v>30.921963678568137</v>
      </c>
      <c r="W50" s="5">
        <f t="shared" si="9"/>
        <v>30.499844635474869</v>
      </c>
      <c r="X50" s="4">
        <f t="shared" si="10"/>
        <v>0.33934882956387752</v>
      </c>
      <c r="Y50" s="3">
        <f t="shared" si="11"/>
        <v>27.807013879886778</v>
      </c>
      <c r="Z50" s="2">
        <f t="shared" si="12"/>
        <v>29.953191405652639</v>
      </c>
      <c r="AA50" s="3">
        <f t="shared" si="13"/>
        <v>30.921963678568137</v>
      </c>
      <c r="AB50" s="2">
        <f t="shared" si="14"/>
        <v>31.260019529178216</v>
      </c>
      <c r="AC50" s="2">
        <f t="shared" si="15"/>
        <v>31.693938162169491</v>
      </c>
      <c r="AD50" s="2">
        <f t="shared" si="16"/>
        <v>-1.4056868611906532</v>
      </c>
      <c r="AE50" s="2">
        <f t="shared" si="17"/>
        <v>1.3513427989336826</v>
      </c>
    </row>
    <row r="51" spans="2:31" x14ac:dyDescent="0.2">
      <c r="B51" s="1">
        <f>[29]FormattedData!A27</f>
        <v>102</v>
      </c>
      <c r="C51" s="1" t="str">
        <f>VLOOKUP($B51,[29]TrtCodes!$B$11:I70,2)</f>
        <v>FTL</v>
      </c>
      <c r="D51" s="1">
        <f>VLOOKUP($B51,[29]TrtCodes!$B$11:J70,3)</f>
        <v>4</v>
      </c>
      <c r="E51" s="1">
        <f>VLOOKUP($B51,[29]TrtCodes!$B$11:K70,4)</f>
        <v>1</v>
      </c>
      <c r="F51" s="1">
        <f>VLOOKUP($B51,[29]TrtCodes!$B$11:L70,5)</f>
        <v>2</v>
      </c>
      <c r="G51" s="1">
        <f>VLOOKUP($B51,[29]TrtCodes!$B$11:M70,6)</f>
        <v>1</v>
      </c>
      <c r="H51" s="1">
        <f>VLOOKUP($B51,[29]TrtCodes!$B$11:N70,7)</f>
        <v>1</v>
      </c>
      <c r="I51" s="1">
        <f>[29]FormattedData!B27</f>
        <v>2</v>
      </c>
      <c r="J51" s="4">
        <f>[29]FormattedData!C27</f>
        <v>13.177</v>
      </c>
      <c r="K51" s="6">
        <f>$J$3+[29]FormattedData!D27*$J$4+$M$4*$J$5+[29]FormattedData!D27^2*$J$6+$M$5*$J$7</f>
        <v>29.564498977424364</v>
      </c>
      <c r="L51" s="6">
        <f>$J$3+[29]FormattedData!E27*$J$4+$M$4*$J$5+[29]FormattedData!E27^2*$J$6+$M$5*$J$7</f>
        <v>29.661735487288333</v>
      </c>
      <c r="M51" s="6">
        <f>$J$3+[29]FormattedData!F27*$J$4+$M$4*$J$5+[29]FormattedData!F27^2*$J$6+$M$5*$J$7</f>
        <v>29.758929728614362</v>
      </c>
      <c r="N51" s="6">
        <f>$J$3+[29]FormattedData!G27*$J$4+$M$4*$J$5+[29]FormattedData!G27^2*$J$6+$M$5*$J$7</f>
        <v>30.438105898834525</v>
      </c>
      <c r="O51" s="6">
        <f>$J$3+[29]FormattedData!H27*$J$4+$M$4*$J$5+[29]FormattedData!H27^2*$J$6+$M$5*$J$7</f>
        <v>29.272535836604884</v>
      </c>
      <c r="P51" s="6">
        <f>$J$3+[29]FormattedData!I27*$J$4+$M$4*$J$5+[29]FormattedData!I27^2*$J$6+$M$5*$J$7</f>
        <v>30.147284008539188</v>
      </c>
      <c r="Q51" s="6">
        <f>$J$3+[29]FormattedData!J27*$J$4+$M$4*$J$5+[29]FormattedData!J27^2*$J$6+$M$5*$J$7</f>
        <v>28.002966298442299</v>
      </c>
      <c r="R51" s="6">
        <f>$J$3+[29]FormattedData!K27*$J$4+$M$4*$J$5+[29]FormattedData!K27^2*$J$6+$M$5*$J$7</f>
        <v>28.785085231147129</v>
      </c>
      <c r="S51" s="6">
        <f>$J$3+[29]FormattedData!L27*$J$4+$M$4*$J$5+[29]FormattedData!L27^2*$J$6+$M$5*$J$7</f>
        <v>29.175130252589199</v>
      </c>
      <c r="T51" s="6">
        <f>$J$3+[29]FormattedData!M27*$J$4+$M$4*$J$5+[29]FormattedData!M27^2*$J$6+$M$5*$J$7</f>
        <v>27.610892387179536</v>
      </c>
      <c r="U51" s="6">
        <f>$J$3+[29]FormattedData!N27*$J$4+$M$4*$J$5+[29]FormattedData!N27^2*$J$6+$M$5*$J$7</f>
        <v>28.492107645417303</v>
      </c>
      <c r="V51" s="6">
        <f>$J$3+[29]FormattedData!O27*$J$4+$M$4*$J$5+[29]FormattedData!O27^2*$J$6+$M$5*$J$7</f>
        <v>29.953191405652639</v>
      </c>
      <c r="W51" s="5">
        <f t="shared" si="9"/>
        <v>29.238538596477813</v>
      </c>
      <c r="X51" s="4">
        <f t="shared" si="10"/>
        <v>0.2503858827827421</v>
      </c>
      <c r="Y51" s="3">
        <f t="shared" si="11"/>
        <v>27.610892387179536</v>
      </c>
      <c r="Z51" s="2">
        <f t="shared" si="12"/>
        <v>28.711840834714671</v>
      </c>
      <c r="AA51" s="3">
        <f t="shared" si="13"/>
        <v>29.418517407014626</v>
      </c>
      <c r="AB51" s="2">
        <f t="shared" si="14"/>
        <v>29.807495147873929</v>
      </c>
      <c r="AC51" s="2">
        <f t="shared" si="15"/>
        <v>30.438105898834525</v>
      </c>
      <c r="AD51" s="2">
        <f t="shared" si="16"/>
        <v>-0.60430714965647347</v>
      </c>
      <c r="AE51" s="2">
        <f t="shared" si="17"/>
        <v>-0.46077831307222361</v>
      </c>
    </row>
    <row r="52" spans="2:31" x14ac:dyDescent="0.2">
      <c r="B52" s="1">
        <f>[29]FormattedData!A25</f>
        <v>103</v>
      </c>
      <c r="C52" s="1" t="str">
        <f>VLOOKUP($B52,[29]TrtCodes!$B$11:I68,2)</f>
        <v>FDH</v>
      </c>
      <c r="D52" s="1">
        <f>VLOOKUP($B52,[29]TrtCodes!$B$11:J68,3)</f>
        <v>5</v>
      </c>
      <c r="E52" s="1">
        <f>VLOOKUP($B52,[29]TrtCodes!$B$11:K68,4)</f>
        <v>1</v>
      </c>
      <c r="F52" s="1">
        <f>VLOOKUP($B52,[29]TrtCodes!$B$11:L68,5)</f>
        <v>3</v>
      </c>
      <c r="G52" s="1">
        <f>VLOOKUP($B52,[29]TrtCodes!$B$11:M68,6)</f>
        <v>2</v>
      </c>
      <c r="H52" s="1">
        <f>VLOOKUP($B52,[29]TrtCodes!$B$11:N68,7)</f>
        <v>1</v>
      </c>
      <c r="I52" s="1">
        <f>[29]FormattedData!B25</f>
        <v>2</v>
      </c>
      <c r="J52" s="4">
        <f>[29]FormattedData!C25</f>
        <v>13.16</v>
      </c>
      <c r="K52" s="6">
        <f>$J$3+[29]FormattedData!D25*$J$4+$M$4*$J$5+[29]FormattedData!D25^2*$J$6+$M$5*$J$7</f>
        <v>30.147284008539188</v>
      </c>
      <c r="L52" s="6">
        <f>$J$3+[29]FormattedData!E25*$J$4+$M$4*$J$5+[29]FormattedData!E25^2*$J$6+$M$5*$J$7</f>
        <v>31.308289068672266</v>
      </c>
      <c r="M52" s="6">
        <f>$J$3+[29]FormattedData!F25*$J$4+$M$4*$J$5+[29]FormattedData!F25^2*$J$6+$M$5*$J$7</f>
        <v>29.369899152082649</v>
      </c>
      <c r="N52" s="6">
        <f>$J$3+[29]FormattedData!G25*$J$4+$M$4*$J$5+[29]FormattedData!G25^2*$J$6+$M$5*$J$7</f>
        <v>29.85608170140247</v>
      </c>
      <c r="O52" s="6">
        <f>$J$3+[29]FormattedData!H25*$J$4+$M$4*$J$5+[29]FormattedData!H25^2*$J$6+$M$5*$J$7</f>
        <v>30.147284008539188</v>
      </c>
      <c r="P52" s="6">
        <f>$J$3+[29]FormattedData!I25*$J$4+$M$4*$J$5+[29]FormattedData!I25^2*$J$6+$M$5*$J$7</f>
        <v>31.115210910696064</v>
      </c>
      <c r="Q52" s="6">
        <f>$J$3+[29]FormattedData!J25*$J$4+$M$4*$J$5+[29]FormattedData!J25^2*$J$6+$M$5*$J$7</f>
        <v>31.404764744853473</v>
      </c>
      <c r="R52" s="6">
        <f>$J$3+[29]FormattedData!K25*$J$4+$M$4*$J$5+[29]FormattedData!K25^2*$J$6+$M$5*$J$7</f>
        <v>29.661735487288333</v>
      </c>
      <c r="S52" s="6">
        <f>$J$3+[29]FormattedData!L25*$J$4+$M$4*$J$5+[29]FormattedData!L25^2*$J$6+$M$5*$J$7</f>
        <v>31.790244764198974</v>
      </c>
      <c r="T52" s="6">
        <f>$J$3+[29]FormattedData!M25*$J$4+$M$4*$J$5+[29]FormattedData!M25^2*$J$6+$M$5*$J$7</f>
        <v>29.758929728614362</v>
      </c>
      <c r="U52" s="6">
        <f>$J$3+[29]FormattedData!N25*$J$4+$M$4*$J$5+[29]FormattedData!N25^2*$J$6+$M$5*$J$7</f>
        <v>31.211771123953127</v>
      </c>
      <c r="V52" s="6">
        <f>$J$3+[29]FormattedData!O25*$J$4+$M$4*$J$5+[29]FormattedData!O25^2*$J$6+$M$5*$J$7</f>
        <v>31.115210910696064</v>
      </c>
      <c r="W52" s="5">
        <f t="shared" si="9"/>
        <v>30.573892134128016</v>
      </c>
      <c r="X52" s="4">
        <f t="shared" si="10"/>
        <v>0.23879712591140412</v>
      </c>
      <c r="Y52" s="3">
        <f t="shared" si="11"/>
        <v>29.369899152082649</v>
      </c>
      <c r="Z52" s="2">
        <f t="shared" si="12"/>
        <v>29.831793708205442</v>
      </c>
      <c r="AA52" s="3">
        <f t="shared" si="13"/>
        <v>30.631247459617626</v>
      </c>
      <c r="AB52" s="2">
        <f t="shared" si="14"/>
        <v>31.235900610132912</v>
      </c>
      <c r="AC52" s="2">
        <f t="shared" si="15"/>
        <v>31.790244764198974</v>
      </c>
      <c r="AD52" s="2">
        <f t="shared" si="16"/>
        <v>-4.3279782829135811E-2</v>
      </c>
      <c r="AE52" s="2">
        <f t="shared" si="17"/>
        <v>-1.7247507945159786</v>
      </c>
    </row>
    <row r="53" spans="2:31" x14ac:dyDescent="0.2">
      <c r="B53" s="1">
        <f>[29]FormattedData!A23</f>
        <v>104</v>
      </c>
      <c r="C53" s="1" t="str">
        <f>VLOOKUP($B53,[29]TrtCodes!$B$11:I66,2)</f>
        <v>NTL</v>
      </c>
      <c r="D53" s="1">
        <f>VLOOKUP($B53,[29]TrtCodes!$B$11:J66,3)</f>
        <v>10</v>
      </c>
      <c r="E53" s="1">
        <f>VLOOKUP($B53,[29]TrtCodes!$B$11:K66,4)</f>
        <v>2</v>
      </c>
      <c r="F53" s="1">
        <f>VLOOKUP($B53,[29]TrtCodes!$B$11:L66,5)</f>
        <v>2</v>
      </c>
      <c r="G53" s="1">
        <f>VLOOKUP($B53,[29]TrtCodes!$B$11:M66,6)</f>
        <v>1</v>
      </c>
      <c r="H53" s="1">
        <f>VLOOKUP($B53,[29]TrtCodes!$B$11:N66,7)</f>
        <v>1</v>
      </c>
      <c r="I53" s="1">
        <f>[29]FormattedData!B23</f>
        <v>2</v>
      </c>
      <c r="J53" s="4">
        <f>[29]FormattedData!C23</f>
        <v>13.144</v>
      </c>
      <c r="K53" s="6">
        <f>$J$3+[29]FormattedData!D23*$J$4+$M$4*$J$5+[29]FormattedData!D23^2*$J$6+$M$5*$J$7</f>
        <v>29.758929728614362</v>
      </c>
      <c r="L53" s="6">
        <f>$J$3+[29]FormattedData!E23*$J$4+$M$4*$J$5+[29]FormattedData!E23^2*$J$6+$M$5*$J$7</f>
        <v>29.077682400035574</v>
      </c>
      <c r="M53" s="6">
        <f>$J$3+[29]FormattedData!F23*$J$4+$M$4*$J$5+[29]FormattedData!F23^2*$J$6+$M$5*$J$7</f>
        <v>29.272535836604884</v>
      </c>
      <c r="N53" s="6">
        <f>$J$3+[29]FormattedData!G23*$J$4+$M$4*$J$5+[29]FormattedData!G23^2*$J$6+$M$5*$J$7</f>
        <v>29.661735487288333</v>
      </c>
      <c r="O53" s="6">
        <f>$J$3+[29]FormattedData!H23*$J$4+$M$4*$J$5+[29]FormattedData!H23^2*$J$6+$M$5*$J$7</f>
        <v>28.492107645417303</v>
      </c>
      <c r="P53" s="6">
        <f>$J$3+[29]FormattedData!I23*$J$4+$M$4*$J$5+[29]FormattedData!I23^2*$J$6+$M$5*$J$7</f>
        <v>30.050258841364876</v>
      </c>
      <c r="Q53" s="6">
        <f>$J$3+[29]FormattedData!J23*$J$4+$M$4*$J$5+[29]FormattedData!J23^2*$J$6+$M$5*$J$7</f>
        <v>30.341207537274013</v>
      </c>
      <c r="R53" s="6">
        <f>$J$3+[29]FormattedData!K23*$J$4+$M$4*$J$5+[29]FormattedData!K23^2*$J$6+$M$5*$J$7</f>
        <v>28.589809109198509</v>
      </c>
      <c r="S53" s="6">
        <f>$J$3+[29]FormattedData!L23*$J$4+$M$4*$J$5+[29]FormattedData!L23^2*$J$6+$M$5*$J$7</f>
        <v>29.758929728614362</v>
      </c>
      <c r="T53" s="6">
        <f>$J$3+[29]FormattedData!M23*$J$4+$M$4*$J$5+[29]FormattedData!M23^2*$J$6+$M$5*$J$7</f>
        <v>28.198749642846092</v>
      </c>
      <c r="U53" s="6">
        <f>$J$3+[29]FormattedData!N23*$J$4+$M$4*$J$5+[29]FormattedData!N23^2*$J$6+$M$5*$J$7</f>
        <v>28.100879104913162</v>
      </c>
      <c r="V53" s="6">
        <f>$J$3+[29]FormattedData!O23*$J$4+$M$4*$J$5+[29]FormattedData!O23^2*$J$6+$M$5*$J$7</f>
        <v>29.661735487288333</v>
      </c>
      <c r="W53" s="5">
        <f t="shared" si="9"/>
        <v>29.247046712454985</v>
      </c>
      <c r="X53" s="4">
        <f t="shared" si="10"/>
        <v>0.21592252394160008</v>
      </c>
      <c r="Y53" s="3">
        <f t="shared" si="11"/>
        <v>28.100879104913162</v>
      </c>
      <c r="Z53" s="2">
        <f t="shared" si="12"/>
        <v>28.565383743253207</v>
      </c>
      <c r="AA53" s="3">
        <f t="shared" si="13"/>
        <v>29.467135661946607</v>
      </c>
      <c r="AB53" s="2">
        <f t="shared" si="14"/>
        <v>29.758929728614362</v>
      </c>
      <c r="AC53" s="2">
        <f t="shared" si="15"/>
        <v>30.341207537274013</v>
      </c>
      <c r="AD53" s="2">
        <f t="shared" si="16"/>
        <v>-0.29659760076583203</v>
      </c>
      <c r="AE53" s="2">
        <f t="shared" si="17"/>
        <v>-1.2687118004124582</v>
      </c>
    </row>
    <row r="54" spans="2:31" x14ac:dyDescent="0.2">
      <c r="B54" s="1">
        <f>[29]FormattedData!A21</f>
        <v>105</v>
      </c>
      <c r="C54" s="1" t="str">
        <f>VLOOKUP($B54,[29]TrtCodes!$B$11:I64,2)</f>
        <v>NDL</v>
      </c>
      <c r="D54" s="1">
        <f>VLOOKUP($B54,[29]TrtCodes!$B$11:J64,3)</f>
        <v>12</v>
      </c>
      <c r="E54" s="1">
        <f>VLOOKUP($B54,[29]TrtCodes!$B$11:K64,4)</f>
        <v>2</v>
      </c>
      <c r="F54" s="1">
        <f>VLOOKUP($B54,[29]TrtCodes!$B$11:L64,5)</f>
        <v>3</v>
      </c>
      <c r="G54" s="1">
        <f>VLOOKUP($B54,[29]TrtCodes!$B$11:M64,6)</f>
        <v>1</v>
      </c>
      <c r="H54" s="1">
        <f>VLOOKUP($B54,[29]TrtCodes!$B$11:N64,7)</f>
        <v>2</v>
      </c>
      <c r="I54" s="1">
        <f>[29]FormattedData!B21</f>
        <v>2</v>
      </c>
      <c r="J54" s="4">
        <f>[29]FormattedData!C21</f>
        <v>13.127000000000001</v>
      </c>
      <c r="K54" s="6">
        <f>$J$3+[29]FormattedData!D21*$J$4+$M$4*$J$5+[29]FormattedData!D21^2*$J$6+$M$5*$J$7</f>
        <v>29.175130252589199</v>
      </c>
      <c r="L54" s="6">
        <f>$J$3+[29]FormattedData!E21*$J$4+$M$4*$J$5+[29]FormattedData!E21^2*$J$6+$M$5*$J$7</f>
        <v>29.661735487288333</v>
      </c>
      <c r="M54" s="6">
        <f>$J$3+[29]FormattedData!F21*$J$4+$M$4*$J$5+[29]FormattedData!F21^2*$J$6+$M$5*$J$7</f>
        <v>29.467220199022471</v>
      </c>
      <c r="N54" s="6">
        <f>$J$3+[29]FormattedData!G21*$J$4+$M$4*$J$5+[29]FormattedData!G21^2*$J$6+$M$5*$J$7</f>
        <v>29.758929728614362</v>
      </c>
      <c r="O54" s="6">
        <f>$J$3+[29]FormattedData!H21*$J$4+$M$4*$J$5+[29]FormattedData!H21^2*$J$6+$M$5*$J$7</f>
        <v>30.147284008539188</v>
      </c>
      <c r="P54" s="6">
        <f>$J$3+[29]FormattedData!I21*$J$4+$M$4*$J$5+[29]FormattedData!I21^2*$J$6+$M$5*$J$7</f>
        <v>29.564498977424364</v>
      </c>
      <c r="Q54" s="6">
        <f>$J$3+[29]FormattedData!J21*$J$4+$M$4*$J$5+[29]FormattedData!J21^2*$J$6+$M$5*$J$7</f>
        <v>28.002966298442299</v>
      </c>
      <c r="R54" s="6">
        <f>$J$3+[29]FormattedData!K21*$J$4+$M$4*$J$5+[29]FormattedData!K21^2*$J$6+$M$5*$J$7</f>
        <v>29.077682400035574</v>
      </c>
      <c r="S54" s="6">
        <f>$J$3+[29]FormattedData!L21*$J$4+$M$4*$J$5+[29]FormattedData!L21^2*$J$6+$M$5*$J$7</f>
        <v>29.661735487288333</v>
      </c>
      <c r="T54" s="6">
        <f>$J$3+[29]FormattedData!M21*$J$4+$M$4*$J$5+[29]FormattedData!M21^2*$J$6+$M$5*$J$7</f>
        <v>29.661735487288333</v>
      </c>
      <c r="U54" s="6">
        <f>$J$3+[29]FormattedData!N21*$J$4+$M$4*$J$5+[29]FormattedData!N21^2*$J$6+$M$5*$J$7</f>
        <v>29.077682400035574</v>
      </c>
      <c r="V54" s="6">
        <f>$J$3+[29]FormattedData!O21*$J$4+$M$4*$J$5+[29]FormattedData!O21^2*$J$6+$M$5*$J$7</f>
        <v>29.564498977424364</v>
      </c>
      <c r="W54" s="5">
        <f t="shared" si="9"/>
        <v>29.401758308666036</v>
      </c>
      <c r="X54" s="4">
        <f t="shared" si="10"/>
        <v>0.15475857187336908</v>
      </c>
      <c r="Y54" s="3">
        <f t="shared" si="11"/>
        <v>28.002966298442299</v>
      </c>
      <c r="Z54" s="2">
        <f t="shared" si="12"/>
        <v>29.150768289450792</v>
      </c>
      <c r="AA54" s="3">
        <f t="shared" si="13"/>
        <v>29.564498977424364</v>
      </c>
      <c r="AB54" s="2">
        <f t="shared" si="14"/>
        <v>29.661735487288333</v>
      </c>
      <c r="AC54" s="2">
        <f t="shared" si="15"/>
        <v>30.147284008539188</v>
      </c>
      <c r="AD54" s="2">
        <f t="shared" si="16"/>
        <v>-1.6249787777571865</v>
      </c>
      <c r="AE54" s="2">
        <f t="shared" si="17"/>
        <v>3.9663405343590785</v>
      </c>
    </row>
    <row r="55" spans="2:31" x14ac:dyDescent="0.2">
      <c r="B55" s="1">
        <f>[29]FormattedData!A19</f>
        <v>106</v>
      </c>
      <c r="C55" s="1" t="str">
        <f>VLOOKUP($B55,[29]TrtCodes!$B$11:I62,2)</f>
        <v>NTH</v>
      </c>
      <c r="D55" s="1">
        <f>VLOOKUP($B55,[29]TrtCodes!$B$11:J62,3)</f>
        <v>9</v>
      </c>
      <c r="E55" s="1">
        <f>VLOOKUP($B55,[29]TrtCodes!$B$11:K62,4)</f>
        <v>2</v>
      </c>
      <c r="F55" s="1">
        <f>VLOOKUP($B55,[29]TrtCodes!$B$11:L62,5)</f>
        <v>2</v>
      </c>
      <c r="G55" s="1">
        <f>VLOOKUP($B55,[29]TrtCodes!$B$11:M62,6)</f>
        <v>2</v>
      </c>
      <c r="H55" s="1">
        <f>VLOOKUP($B55,[29]TrtCodes!$B$11:N62,7)</f>
        <v>2</v>
      </c>
      <c r="I55" s="1">
        <f>[29]FormattedData!B19</f>
        <v>2</v>
      </c>
      <c r="J55" s="4">
        <f>[29]FormattedData!C19</f>
        <v>13.109</v>
      </c>
      <c r="K55" s="6">
        <f>$J$3+[29]FormattedData!D19*$J$4+$M$4*$J$5+[29]FormattedData!D19^2*$J$6+$M$5*$J$7</f>
        <v>33.229771570089426</v>
      </c>
      <c r="L55" s="6">
        <f>$J$3+[29]FormattedData!E19*$J$4+$M$4*$J$5+[29]FormattedData!E19^2*$J$6+$M$5*$J$7</f>
        <v>33.13409899612892</v>
      </c>
      <c r="M55" s="6">
        <f>$J$3+[29]FormattedData!F19*$J$4+$M$4*$J$5+[29]FormattedData!F19^2*$J$6+$M$5*$J$7</f>
        <v>31.982731162644139</v>
      </c>
      <c r="N55" s="6">
        <f>$J$3+[29]FormattedData!G19*$J$4+$M$4*$J$5+[29]FormattedData!G19^2*$J$6+$M$5*$J$7</f>
        <v>31.693938162169491</v>
      </c>
      <c r="O55" s="6">
        <f>$J$3+[29]FormattedData!H19*$J$4+$M$4*$J$5+[29]FormattedData!H19^2*$J$6+$M$5*$J$7</f>
        <v>32.463207459343259</v>
      </c>
      <c r="P55" s="6">
        <f>$J$3+[29]FormattedData!I19*$J$4+$M$4*$J$5+[29]FormattedData!I19^2*$J$6+$M$5*$J$7</f>
        <v>33.802919374555948</v>
      </c>
      <c r="Q55" s="6">
        <f>$J$3+[29]FormattedData!J19*$J$4+$M$4*$J$5+[29]FormattedData!J19^2*$J$6+$M$5*$J$7</f>
        <v>33.229771570089426</v>
      </c>
      <c r="R55" s="6">
        <f>$J$3+[29]FormattedData!K19*$J$4+$M$4*$J$5+[29]FormattedData!K19^2*$J$6+$M$5*$J$7</f>
        <v>34.374545511656954</v>
      </c>
      <c r="S55" s="6">
        <f>$J$3+[29]FormattedData!L19*$J$4+$M$4*$J$5+[29]FormattedData!L19^2*$J$6+$M$5*$J$7</f>
        <v>33.516535680743374</v>
      </c>
      <c r="T55" s="6">
        <f>$J$3+[29]FormattedData!M19*$J$4+$M$4*$J$5+[29]FormattedData!M19^2*$J$6+$M$5*$J$7</f>
        <v>34.564749409053832</v>
      </c>
      <c r="U55" s="6">
        <f>$J$3+[29]FormattedData!N19*$J$4+$M$4*$J$5+[29]FormattedData!N19^2*$J$6+$M$5*$J$7</f>
        <v>35.229131590998094</v>
      </c>
      <c r="V55" s="6">
        <f>$J$3+[29]FormattedData!O19*$J$4+$M$4*$J$5+[29]FormattedData!O19^2*$J$6+$M$5*$J$7</f>
        <v>33.516535680743374</v>
      </c>
      <c r="W55" s="5">
        <f t="shared" si="9"/>
        <v>33.39482801401801</v>
      </c>
      <c r="X55" s="4">
        <f t="shared" si="10"/>
        <v>0.29856758628919594</v>
      </c>
      <c r="Y55" s="3">
        <f t="shared" si="11"/>
        <v>31.693938162169491</v>
      </c>
      <c r="Z55" s="2">
        <f t="shared" si="12"/>
        <v>32.966376111932505</v>
      </c>
      <c r="AA55" s="3">
        <f t="shared" si="13"/>
        <v>33.3731536254164</v>
      </c>
      <c r="AB55" s="2">
        <f t="shared" si="14"/>
        <v>33.945825908831196</v>
      </c>
      <c r="AC55" s="2">
        <f t="shared" si="15"/>
        <v>35.229131590998094</v>
      </c>
      <c r="AD55" s="2">
        <f t="shared" si="16"/>
        <v>2.1033014395524942E-2</v>
      </c>
      <c r="AE55" s="2">
        <f t="shared" si="17"/>
        <v>-0.28095897393919778</v>
      </c>
    </row>
    <row r="56" spans="2:31" x14ac:dyDescent="0.2">
      <c r="B56" s="1">
        <f>[29]FormattedData!A17</f>
        <v>107</v>
      </c>
      <c r="C56" s="1" t="str">
        <f>VLOOKUP($B56,[29]TrtCodes!$B$11:I60,2)</f>
        <v>NTL</v>
      </c>
      <c r="D56" s="1">
        <f>VLOOKUP($B56,[29]TrtCodes!$B$11:J60,3)</f>
        <v>10</v>
      </c>
      <c r="E56" s="1">
        <f>VLOOKUP($B56,[29]TrtCodes!$B$11:K60,4)</f>
        <v>2</v>
      </c>
      <c r="F56" s="1">
        <f>VLOOKUP($B56,[29]TrtCodes!$B$11:L60,5)</f>
        <v>2</v>
      </c>
      <c r="G56" s="1">
        <f>VLOOKUP($B56,[29]TrtCodes!$B$11:M60,6)</f>
        <v>1</v>
      </c>
      <c r="H56" s="1">
        <f>VLOOKUP($B56,[29]TrtCodes!$B$11:N60,7)</f>
        <v>2</v>
      </c>
      <c r="I56" s="1">
        <f>[29]FormattedData!B17</f>
        <v>2</v>
      </c>
      <c r="J56" s="4">
        <f>[29]FormattedData!C17</f>
        <v>13.09</v>
      </c>
      <c r="K56" s="6">
        <f>$J$3+[29]FormattedData!D17*$J$4+$M$4*$J$5+[29]FormattedData!D17^2*$J$6+$M$5*$J$7</f>
        <v>31.886509097690524</v>
      </c>
      <c r="L56" s="6">
        <f>$J$3+[29]FormattedData!E17*$J$4+$M$4*$J$5+[29]FormattedData!E17^2*$J$6+$M$5*$J$7</f>
        <v>32.942627042594097</v>
      </c>
      <c r="M56" s="6">
        <f>$J$3+[29]FormattedData!F17*$J$4+$M$4*$J$5+[29]FormattedData!F17^2*$J$6+$M$5*$J$7</f>
        <v>31.501198152496745</v>
      </c>
      <c r="N56" s="6">
        <f>$J$3+[29]FormattedData!G17*$J$4+$M$4*$J$5+[29]FormattedData!G17^2*$J$6+$M$5*$J$7</f>
        <v>32.078910959059826</v>
      </c>
      <c r="O56" s="6">
        <f>$J$3+[29]FormattedData!H17*$J$4+$M$4*$J$5+[29]FormattedData!H17^2*$J$6+$M$5*$J$7</f>
        <v>32.846827663019795</v>
      </c>
      <c r="P56" s="6">
        <f>$J$3+[29]FormattedData!I17*$J$4+$M$4*$J$5+[29]FormattedData!I17^2*$J$6+$M$5*$J$7</f>
        <v>33.612039180552166</v>
      </c>
      <c r="Q56" s="6">
        <f>$J$3+[29]FormattedData!J17*$J$4+$M$4*$J$5+[29]FormattedData!J17^2*$J$6+$M$5*$J$7</f>
        <v>32.655102098257387</v>
      </c>
      <c r="R56" s="6">
        <f>$J$3+[29]FormattedData!K17*$J$4+$M$4*$J$5+[29]FormattedData!K17^2*$J$6+$M$5*$J$7</f>
        <v>32.942627042594097</v>
      </c>
      <c r="S56" s="6">
        <f>$J$3+[29]FormattedData!L17*$J$4+$M$4*$J$5+[29]FormattedData!L17^2*$J$6+$M$5*$J$7</f>
        <v>34.564749409053832</v>
      </c>
      <c r="T56" s="6">
        <f>$J$3+[29]FormattedData!M17*$J$4+$M$4*$J$5+[29]FormattedData!M17^2*$J$6+$M$5*$J$7</f>
        <v>34.564749409053832</v>
      </c>
      <c r="U56" s="6">
        <f>$J$3+[29]FormattedData!N17*$J$4+$M$4*$J$5+[29]FormattedData!N17^2*$J$6+$M$5*$J$7</f>
        <v>34.564749409053832</v>
      </c>
      <c r="V56" s="6">
        <f>$J$3+[29]FormattedData!O17*$J$4+$M$4*$J$5+[29]FormattedData!O17^2*$J$6+$M$5*$J$7</f>
        <v>34.564749409053832</v>
      </c>
      <c r="W56" s="5">
        <f t="shared" si="9"/>
        <v>33.227069906039993</v>
      </c>
      <c r="X56" s="4">
        <f t="shared" si="10"/>
        <v>0.32605655222897295</v>
      </c>
      <c r="Y56" s="3">
        <f t="shared" si="11"/>
        <v>31.501198152496745</v>
      </c>
      <c r="Z56" s="2">
        <f t="shared" si="12"/>
        <v>32.511054313457997</v>
      </c>
      <c r="AA56" s="3">
        <f t="shared" si="13"/>
        <v>32.942627042594097</v>
      </c>
      <c r="AB56" s="2">
        <f t="shared" si="14"/>
        <v>34.564749409053832</v>
      </c>
      <c r="AC56" s="2">
        <f t="shared" si="15"/>
        <v>34.564749409053832</v>
      </c>
      <c r="AD56" s="2">
        <f t="shared" si="16"/>
        <v>2.1196971066095426E-2</v>
      </c>
      <c r="AE56" s="2">
        <f t="shared" si="17"/>
        <v>-1.4376220532285293</v>
      </c>
    </row>
    <row r="57" spans="2:31" x14ac:dyDescent="0.2">
      <c r="B57" s="1">
        <f>[29]FormattedData!A15</f>
        <v>108</v>
      </c>
      <c r="C57" s="1" t="str">
        <f>VLOOKUP($B57,[29]TrtCodes!$B$11:I58,2)</f>
        <v>FTH</v>
      </c>
      <c r="D57" s="1">
        <f>VLOOKUP($B57,[29]TrtCodes!$B$11:J58,3)</f>
        <v>3</v>
      </c>
      <c r="E57" s="1">
        <f>VLOOKUP($B57,[29]TrtCodes!$B$11:K58,4)</f>
        <v>1</v>
      </c>
      <c r="F57" s="1">
        <f>VLOOKUP($B57,[29]TrtCodes!$B$11:L58,5)</f>
        <v>2</v>
      </c>
      <c r="G57" s="1">
        <f>VLOOKUP($B57,[29]TrtCodes!$B$11:M58,6)</f>
        <v>2</v>
      </c>
      <c r="H57" s="1">
        <f>VLOOKUP($B57,[29]TrtCodes!$B$11:N58,7)</f>
        <v>2</v>
      </c>
      <c r="I57" s="1">
        <f>[29]FormattedData!B15</f>
        <v>2</v>
      </c>
      <c r="J57" s="4">
        <f>[29]FormattedData!C15</f>
        <v>13.071999999999999</v>
      </c>
      <c r="K57" s="6">
        <f>$J$3+[29]FormattedData!D15*$J$4+$M$4*$J$5+[29]FormattedData!D15^2*$J$6+$M$5*$J$7</f>
        <v>32.655102098257387</v>
      </c>
      <c r="L57" s="6">
        <f>$J$3+[29]FormattedData!E15*$J$4+$M$4*$J$5+[29]FormattedData!E15^2*$J$6+$M$5*$J$7</f>
        <v>32.942627042594097</v>
      </c>
      <c r="M57" s="6">
        <f>$J$3+[29]FormattedData!F15*$J$4+$M$4*$J$5+[29]FormattedData!F15^2*$J$6+$M$5*$J$7</f>
        <v>34.659787954945372</v>
      </c>
      <c r="N57" s="6">
        <f>$J$3+[29]FormattedData!G15*$J$4+$M$4*$J$5+[29]FormattedData!G15^2*$J$6+$M$5*$J$7</f>
        <v>34.374545511656954</v>
      </c>
      <c r="O57" s="6">
        <f>$J$3+[29]FormattedData!H15*$J$4+$M$4*$J$5+[29]FormattedData!H15^2*$J$6+$M$5*$J$7</f>
        <v>34.184172540108335</v>
      </c>
      <c r="P57" s="6">
        <f>$J$3+[29]FormattedData!I15*$J$4+$M$4*$J$5+[29]FormattedData!I15^2*$J$6+$M$5*$J$7</f>
        <v>34.374545511656954</v>
      </c>
      <c r="Q57" s="6">
        <f>$J$3+[29]FormattedData!J15*$J$4+$M$4*$J$5+[29]FormattedData!J15^2*$J$6+$M$5*$J$7</f>
        <v>34.754784232298995</v>
      </c>
      <c r="R57" s="6">
        <f>$J$3+[29]FormattedData!K15*$J$4+$M$4*$J$5+[29]FormattedData!K15^2*$J$6+$M$5*$J$7</f>
        <v>36.363253861006967</v>
      </c>
      <c r="S57" s="6">
        <f>$J$3+[29]FormattedData!L15*$J$4+$M$4*$J$5+[29]FormattedData!L15^2*$J$6+$M$5*$J$7</f>
        <v>33.70750041182302</v>
      </c>
      <c r="T57" s="6">
        <f>$J$3+[29]FormattedData!M15*$J$4+$M$4*$J$5+[29]FormattedData!M15^2*$J$6+$M$5*$J$7</f>
        <v>34.754784232298995</v>
      </c>
      <c r="U57" s="6">
        <f>$J$3+[29]FormattedData!N15*$J$4+$M$4*$J$5+[29]FormattedData!N15^2*$J$6+$M$5*$J$7</f>
        <v>34.849738241114679</v>
      </c>
      <c r="V57" s="6">
        <f>$J$3+[29]FormattedData!O15*$J$4+$M$4*$J$5+[29]FormattedData!O15^2*$J$6+$M$5*$J$7</f>
        <v>35.323874257124125</v>
      </c>
      <c r="W57" s="5">
        <f t="shared" si="9"/>
        <v>34.412059657907157</v>
      </c>
      <c r="X57" s="4">
        <f t="shared" si="10"/>
        <v>0.28767221153343525</v>
      </c>
      <c r="Y57" s="3">
        <f t="shared" si="11"/>
        <v>32.655102098257387</v>
      </c>
      <c r="Z57" s="2">
        <f t="shared" si="12"/>
        <v>34.065004508037006</v>
      </c>
      <c r="AA57" s="3">
        <f t="shared" si="13"/>
        <v>34.517166733301167</v>
      </c>
      <c r="AB57" s="2">
        <f t="shared" si="14"/>
        <v>34.778522734502914</v>
      </c>
      <c r="AC57" s="2">
        <f t="shared" si="15"/>
        <v>36.363253861006967</v>
      </c>
      <c r="AD57" s="2">
        <f t="shared" si="16"/>
        <v>-6.5252094682630643E-2</v>
      </c>
      <c r="AE57" s="2">
        <f t="shared" si="17"/>
        <v>0.71133067543301465</v>
      </c>
    </row>
    <row r="58" spans="2:31" x14ac:dyDescent="0.2">
      <c r="B58" s="1">
        <f>[29]FormattedData!A31</f>
        <v>0</v>
      </c>
      <c r="C58" s="1" t="e">
        <f>VLOOKUP($B58,[29]TrtCodes!$B$11:I74,2)</f>
        <v>#N/A</v>
      </c>
      <c r="D58" s="1" t="e">
        <f>VLOOKUP($B58,[29]TrtCodes!$B$11:J74,3)</f>
        <v>#N/A</v>
      </c>
      <c r="E58" s="1" t="e">
        <f>VLOOKUP($B58,[29]TrtCodes!$B$11:K74,4)</f>
        <v>#N/A</v>
      </c>
      <c r="F58" s="1" t="e">
        <f>VLOOKUP($B58,[29]TrtCodes!$B$11:L74,5)</f>
        <v>#N/A</v>
      </c>
      <c r="G58" s="1" t="e">
        <f>VLOOKUP($B58,[29]TrtCodes!$B$11:M74,6)</f>
        <v>#N/A</v>
      </c>
      <c r="H58" s="1" t="e">
        <f>VLOOKUP($B58,[29]TrtCodes!$B$11:N74,7)</f>
        <v>#N/A</v>
      </c>
      <c r="I58" s="1">
        <f>[29]FormattedData!B31</f>
        <v>0</v>
      </c>
      <c r="J58" s="4">
        <f>[29]FormattedData!C31</f>
        <v>0</v>
      </c>
      <c r="K58" s="6">
        <f>$J$3+[29]FormattedData!D31*$J$4+$M$4*$J$5+[29]FormattedData!D31^2*$J$6+$M$5*$J$7</f>
        <v>-1.1852540612398474</v>
      </c>
      <c r="L58" s="6">
        <f>$J$3+[29]FormattedData!E31*$J$4+$M$4*$J$5+[29]FormattedData!E31^2*$J$6+$M$5*$J$7</f>
        <v>-1.1852540612398474</v>
      </c>
      <c r="M58" s="6">
        <f>$J$3+[29]FormattedData!F31*$J$4+$M$4*$J$5+[29]FormattedData!F31^2*$J$6+$M$5*$J$7</f>
        <v>-1.1852540612398474</v>
      </c>
      <c r="N58" s="6">
        <f>$J$3+[29]FormattedData!G31*$J$4+$M$4*$J$5+[29]FormattedData!G31^2*$J$6+$M$5*$J$7</f>
        <v>-1.1852540612398474</v>
      </c>
      <c r="O58" s="6">
        <f>$J$3+[29]FormattedData!H31*$J$4+$M$4*$J$5+[29]FormattedData!H31^2*$J$6+$M$5*$J$7</f>
        <v>-1.1852540612398474</v>
      </c>
      <c r="P58" s="6">
        <f>$J$3+[29]FormattedData!I31*$J$4+$M$4*$J$5+[29]FormattedData!I31^2*$J$6+$M$5*$J$7</f>
        <v>-1.1852540612398474</v>
      </c>
      <c r="Q58" s="6">
        <f>$J$3+[29]FormattedData!J31*$J$4+$M$4*$J$5+[29]FormattedData!J31^2*$J$6+$M$5*$J$7</f>
        <v>-1.1852540612398474</v>
      </c>
      <c r="R58" s="6">
        <f>$J$3+[29]FormattedData!K31*$J$4+$M$4*$J$5+[29]FormattedData!K31^2*$J$6+$M$5*$J$7</f>
        <v>-1.1852540612398474</v>
      </c>
      <c r="S58" s="6">
        <f>$J$3+[29]FormattedData!L31*$J$4+$M$4*$J$5+[29]FormattedData!L31^2*$J$6+$M$5*$J$7</f>
        <v>-1.1852540612398474</v>
      </c>
      <c r="T58" s="6">
        <f>$J$3+[29]FormattedData!M31*$J$4+$M$4*$J$5+[29]FormattedData!M31^2*$J$6+$M$5*$J$7</f>
        <v>-1.1852540612398474</v>
      </c>
      <c r="U58" s="6">
        <f>$J$3+[29]FormattedData!N31*$J$4+$M$4*$J$5+[29]FormattedData!N31^2*$J$6+$M$5*$J$7</f>
        <v>-1.1852540612398474</v>
      </c>
      <c r="V58" s="6">
        <f>$J$3+[29]FormattedData!O31*$J$4+$M$4*$J$5+[29]FormattedData!O31^2*$J$6+$M$5*$J$7</f>
        <v>-1.1852540612398474</v>
      </c>
      <c r="W58" s="5">
        <f t="shared" si="9"/>
        <v>-1.1852540612398474</v>
      </c>
      <c r="X58" s="4">
        <f t="shared" si="10"/>
        <v>0</v>
      </c>
      <c r="Y58" s="3">
        <f t="shared" si="11"/>
        <v>-1.1852540612398474</v>
      </c>
      <c r="Z58" s="2">
        <f t="shared" si="12"/>
        <v>-1.1852540612398474</v>
      </c>
      <c r="AA58" s="3">
        <f t="shared" si="13"/>
        <v>-1.1852540612398474</v>
      </c>
      <c r="AB58" s="2">
        <f t="shared" si="14"/>
        <v>-1.1852540612398474</v>
      </c>
      <c r="AC58" s="2">
        <f t="shared" si="15"/>
        <v>-1.1852540612398474</v>
      </c>
      <c r="AD58" s="2" t="e">
        <f t="shared" si="16"/>
        <v>#DIV/0!</v>
      </c>
      <c r="AE58" s="2" t="e">
        <f t="shared" si="17"/>
        <v>#DIV/0!</v>
      </c>
    </row>
    <row r="59" spans="2:31" x14ac:dyDescent="0.2">
      <c r="B59" s="1">
        <f>[29]FormattedData!A33</f>
        <v>0</v>
      </c>
      <c r="C59" s="1" t="e">
        <f>VLOOKUP($B59,[29]TrtCodes!$B$11:I76,2)</f>
        <v>#N/A</v>
      </c>
      <c r="D59" s="1" t="e">
        <f>VLOOKUP($B59,[29]TrtCodes!$B$11:J76,3)</f>
        <v>#N/A</v>
      </c>
      <c r="E59" s="1" t="e">
        <f>VLOOKUP($B59,[29]TrtCodes!$B$11:K76,4)</f>
        <v>#N/A</v>
      </c>
      <c r="F59" s="1" t="e">
        <f>VLOOKUP($B59,[29]TrtCodes!$B$11:L76,5)</f>
        <v>#N/A</v>
      </c>
      <c r="G59" s="1" t="e">
        <f>VLOOKUP($B59,[29]TrtCodes!$B$11:M76,6)</f>
        <v>#N/A</v>
      </c>
      <c r="H59" s="1" t="e">
        <f>VLOOKUP($B59,[29]TrtCodes!$B$11:N76,7)</f>
        <v>#N/A</v>
      </c>
      <c r="I59" s="1">
        <f>[29]FormattedData!B33</f>
        <v>0</v>
      </c>
      <c r="J59" s="4">
        <f>[29]FormattedData!C33</f>
        <v>0</v>
      </c>
      <c r="K59" s="6">
        <f>$J$3+[29]FormattedData!D33*$J$4+$M$4*$J$5+[29]FormattedData!D33^2*$J$6+$M$5*$J$7</f>
        <v>-1.1852540612398474</v>
      </c>
      <c r="L59" s="6">
        <f>$J$3+[29]FormattedData!E33*$J$4+$M$4*$J$5+[29]FormattedData!E33^2*$J$6+$M$5*$J$7</f>
        <v>-1.1852540612398474</v>
      </c>
      <c r="M59" s="6">
        <f>$J$3+[29]FormattedData!F33*$J$4+$M$4*$J$5+[29]FormattedData!F33^2*$J$6+$M$5*$J$7</f>
        <v>-1.1852540612398474</v>
      </c>
      <c r="N59" s="6">
        <f>$J$3+[29]FormattedData!G33*$J$4+$M$4*$J$5+[29]FormattedData!G33^2*$J$6+$M$5*$J$7</f>
        <v>-1.1852540612398474</v>
      </c>
      <c r="O59" s="6">
        <f>$J$3+[29]FormattedData!H33*$J$4+$M$4*$J$5+[29]FormattedData!H33^2*$J$6+$M$5*$J$7</f>
        <v>-1.1852540612398474</v>
      </c>
      <c r="P59" s="6">
        <f>$J$3+[29]FormattedData!I33*$J$4+$M$4*$J$5+[29]FormattedData!I33^2*$J$6+$M$5*$J$7</f>
        <v>-1.1852540612398474</v>
      </c>
      <c r="Q59" s="6">
        <f>$J$3+[29]FormattedData!J33*$J$4+$M$4*$J$5+[29]FormattedData!J33^2*$J$6+$M$5*$J$7</f>
        <v>-1.1852540612398474</v>
      </c>
      <c r="R59" s="6">
        <f>$J$3+[29]FormattedData!K33*$J$4+$M$4*$J$5+[29]FormattedData!K33^2*$J$6+$M$5*$J$7</f>
        <v>-1.1852540612398474</v>
      </c>
      <c r="S59" s="6">
        <f>$J$3+[29]FormattedData!L33*$J$4+$M$4*$J$5+[29]FormattedData!L33^2*$J$6+$M$5*$J$7</f>
        <v>-1.1852540612398474</v>
      </c>
      <c r="T59" s="6">
        <f>$J$3+[29]FormattedData!M33*$J$4+$M$4*$J$5+[29]FormattedData!M33^2*$J$6+$M$5*$J$7</f>
        <v>-1.1852540612398474</v>
      </c>
      <c r="U59" s="6">
        <f>$J$3+[29]FormattedData!N33*$J$4+$M$4*$J$5+[29]FormattedData!N33^2*$J$6+$M$5*$J$7</f>
        <v>-1.1852540612398474</v>
      </c>
      <c r="V59" s="6">
        <f>$J$3+[29]FormattedData!O33*$J$4+$M$4*$J$5+[29]FormattedData!O33^2*$J$6+$M$5*$J$7</f>
        <v>-1.1852540612398474</v>
      </c>
      <c r="W59" s="5">
        <f t="shared" si="9"/>
        <v>-1.1852540612398474</v>
      </c>
      <c r="X59" s="4">
        <f t="shared" si="10"/>
        <v>0</v>
      </c>
      <c r="Y59" s="3">
        <f t="shared" si="11"/>
        <v>-1.1852540612398474</v>
      </c>
      <c r="Z59" s="2">
        <f t="shared" si="12"/>
        <v>-1.1852540612398474</v>
      </c>
      <c r="AA59" s="3">
        <f t="shared" si="13"/>
        <v>-1.1852540612398474</v>
      </c>
      <c r="AB59" s="2">
        <f t="shared" si="14"/>
        <v>-1.1852540612398474</v>
      </c>
      <c r="AC59" s="2">
        <f t="shared" si="15"/>
        <v>-1.1852540612398474</v>
      </c>
      <c r="AD59" s="2" t="e">
        <f t="shared" si="16"/>
        <v>#DIV/0!</v>
      </c>
      <c r="AE59" s="2" t="e">
        <f t="shared" si="17"/>
        <v>#DIV/0!</v>
      </c>
    </row>
    <row r="60" spans="2:31" x14ac:dyDescent="0.2">
      <c r="B60" s="1">
        <f>[29]FormattedData!A35</f>
        <v>0</v>
      </c>
      <c r="C60" s="1" t="e">
        <f>VLOOKUP($B60,[29]TrtCodes!$B$11:I78,2)</f>
        <v>#N/A</v>
      </c>
      <c r="D60" s="1" t="e">
        <f>VLOOKUP($B60,[29]TrtCodes!$B$11:J78,3)</f>
        <v>#N/A</v>
      </c>
      <c r="E60" s="1" t="e">
        <f>VLOOKUP($B60,[29]TrtCodes!$B$11:K78,4)</f>
        <v>#N/A</v>
      </c>
      <c r="F60" s="1" t="e">
        <f>VLOOKUP($B60,[29]TrtCodes!$B$11:L78,5)</f>
        <v>#N/A</v>
      </c>
      <c r="G60" s="1" t="e">
        <f>VLOOKUP($B60,[29]TrtCodes!$B$11:M78,6)</f>
        <v>#N/A</v>
      </c>
      <c r="H60" s="1" t="e">
        <f>VLOOKUP($B60,[29]TrtCodes!$B$11:N78,7)</f>
        <v>#N/A</v>
      </c>
      <c r="I60" s="1">
        <f>[29]FormattedData!B35</f>
        <v>0</v>
      </c>
      <c r="J60" s="4">
        <f>[29]FormattedData!C35</f>
        <v>0</v>
      </c>
      <c r="K60" s="6">
        <f>$J$3+[29]FormattedData!D35*$J$4+$M$4*$J$5+[29]FormattedData!D35^2*$J$6+$M$5*$J$7</f>
        <v>-1.1852540612398474</v>
      </c>
      <c r="L60" s="6">
        <f>$J$3+[29]FormattedData!E35*$J$4+$M$4*$J$5+[29]FormattedData!E35^2*$J$6+$M$5*$J$7</f>
        <v>-1.1852540612398474</v>
      </c>
      <c r="M60" s="6">
        <f>$J$3+[29]FormattedData!F35*$J$4+$M$4*$J$5+[29]FormattedData!F35^2*$J$6+$M$5*$J$7</f>
        <v>-1.1852540612398474</v>
      </c>
      <c r="N60" s="6">
        <f>$J$3+[29]FormattedData!G35*$J$4+$M$4*$J$5+[29]FormattedData!G35^2*$J$6+$M$5*$J$7</f>
        <v>-1.1852540612398474</v>
      </c>
      <c r="O60" s="6">
        <f>$J$3+[29]FormattedData!H35*$J$4+$M$4*$J$5+[29]FormattedData!H35^2*$J$6+$M$5*$J$7</f>
        <v>-1.1852540612398474</v>
      </c>
      <c r="P60" s="6">
        <f>$J$3+[29]FormattedData!I35*$J$4+$M$4*$J$5+[29]FormattedData!I35^2*$J$6+$M$5*$J$7</f>
        <v>-1.1852540612398474</v>
      </c>
      <c r="Q60" s="6">
        <f>$J$3+[29]FormattedData!J35*$J$4+$M$4*$J$5+[29]FormattedData!J35^2*$J$6+$M$5*$J$7</f>
        <v>-1.1852540612398474</v>
      </c>
      <c r="R60" s="6">
        <f>$J$3+[29]FormattedData!K35*$J$4+$M$4*$J$5+[29]FormattedData!K35^2*$J$6+$M$5*$J$7</f>
        <v>-1.1852540612398474</v>
      </c>
      <c r="S60" s="6">
        <f>$J$3+[29]FormattedData!L35*$J$4+$M$4*$J$5+[29]FormattedData!L35^2*$J$6+$M$5*$J$7</f>
        <v>-1.1852540612398474</v>
      </c>
      <c r="T60" s="6">
        <f>$J$3+[29]FormattedData!M35*$J$4+$M$4*$J$5+[29]FormattedData!M35^2*$J$6+$M$5*$J$7</f>
        <v>-1.1852540612398474</v>
      </c>
      <c r="U60" s="6">
        <f>$J$3+[29]FormattedData!N35*$J$4+$M$4*$J$5+[29]FormattedData!N35^2*$J$6+$M$5*$J$7</f>
        <v>-1.1852540612398474</v>
      </c>
      <c r="V60" s="6">
        <f>$J$3+[29]FormattedData!O35*$J$4+$M$4*$J$5+[29]FormattedData!O35^2*$J$6+$M$5*$J$7</f>
        <v>-1.1852540612398474</v>
      </c>
      <c r="W60" s="5">
        <f t="shared" si="9"/>
        <v>-1.1852540612398474</v>
      </c>
      <c r="X60" s="4">
        <f t="shared" si="10"/>
        <v>0</v>
      </c>
      <c r="Y60" s="3">
        <f t="shared" si="11"/>
        <v>-1.1852540612398474</v>
      </c>
      <c r="Z60" s="2">
        <f t="shared" si="12"/>
        <v>-1.1852540612398474</v>
      </c>
      <c r="AA60" s="3">
        <f t="shared" si="13"/>
        <v>-1.1852540612398474</v>
      </c>
      <c r="AB60" s="2">
        <f t="shared" si="14"/>
        <v>-1.1852540612398474</v>
      </c>
      <c r="AC60" s="2">
        <f t="shared" si="15"/>
        <v>-1.1852540612398474</v>
      </c>
      <c r="AD60" s="2" t="e">
        <f t="shared" si="16"/>
        <v>#DIV/0!</v>
      </c>
      <c r="AE60" s="2" t="e">
        <f t="shared" si="17"/>
        <v>#DIV/0!</v>
      </c>
    </row>
    <row r="61" spans="2:31" x14ac:dyDescent="0.2">
      <c r="B61" s="1">
        <f>[29]FormattedData!A37</f>
        <v>0</v>
      </c>
      <c r="C61" s="1" t="e">
        <f>VLOOKUP($B61,[29]TrtCodes!$B$11:I80,2)</f>
        <v>#N/A</v>
      </c>
      <c r="D61" s="1" t="e">
        <f>VLOOKUP($B61,[29]TrtCodes!$B$11:J80,3)</f>
        <v>#N/A</v>
      </c>
      <c r="E61" s="1" t="e">
        <f>VLOOKUP($B61,[29]TrtCodes!$B$11:K80,4)</f>
        <v>#N/A</v>
      </c>
      <c r="F61" s="1" t="e">
        <f>VLOOKUP($B61,[29]TrtCodes!$B$11:L80,5)</f>
        <v>#N/A</v>
      </c>
      <c r="G61" s="1" t="e">
        <f>VLOOKUP($B61,[29]TrtCodes!$B$11:M80,6)</f>
        <v>#N/A</v>
      </c>
      <c r="H61" s="1" t="e">
        <f>VLOOKUP($B61,[29]TrtCodes!$B$11:N80,7)</f>
        <v>#N/A</v>
      </c>
      <c r="I61" s="1">
        <f>[29]FormattedData!B37</f>
        <v>0</v>
      </c>
      <c r="J61" s="4">
        <f>[29]FormattedData!C37</f>
        <v>0</v>
      </c>
      <c r="K61" s="6">
        <f>$J$3+[29]FormattedData!D37*$J$4+$M$4*$J$5+[29]FormattedData!D37^2*$J$6+$M$5*$J$7</f>
        <v>-1.1852540612398474</v>
      </c>
      <c r="L61" s="6">
        <f>$J$3+[29]FormattedData!E37*$J$4+$M$4*$J$5+[29]FormattedData!E37^2*$J$6+$M$5*$J$7</f>
        <v>-1.1852540612398474</v>
      </c>
      <c r="M61" s="6">
        <f>$J$3+[29]FormattedData!F37*$J$4+$M$4*$J$5+[29]FormattedData!F37^2*$J$6+$M$5*$J$7</f>
        <v>-1.1852540612398474</v>
      </c>
      <c r="N61" s="6">
        <f>$J$3+[29]FormattedData!G37*$J$4+$M$4*$J$5+[29]FormattedData!G37^2*$J$6+$M$5*$J$7</f>
        <v>-1.1852540612398474</v>
      </c>
      <c r="O61" s="6">
        <f>$J$3+[29]FormattedData!H37*$J$4+$M$4*$J$5+[29]FormattedData!H37^2*$J$6+$M$5*$J$7</f>
        <v>-1.1852540612398474</v>
      </c>
      <c r="P61" s="6">
        <f>$J$3+[29]FormattedData!I37*$J$4+$M$4*$J$5+[29]FormattedData!I37^2*$J$6+$M$5*$J$7</f>
        <v>-1.1852540612398474</v>
      </c>
      <c r="Q61" s="6">
        <f>$J$3+[29]FormattedData!J37*$J$4+$M$4*$J$5+[29]FormattedData!J37^2*$J$6+$M$5*$J$7</f>
        <v>-1.1852540612398474</v>
      </c>
      <c r="R61" s="6">
        <f>$J$3+[29]FormattedData!K37*$J$4+$M$4*$J$5+[29]FormattedData!K37^2*$J$6+$M$5*$J$7</f>
        <v>-1.1852540612398474</v>
      </c>
      <c r="S61" s="6">
        <f>$J$3+[29]FormattedData!L37*$J$4+$M$4*$J$5+[29]FormattedData!L37^2*$J$6+$M$5*$J$7</f>
        <v>-1.1852540612398474</v>
      </c>
      <c r="T61" s="6">
        <f>$J$3+[29]FormattedData!M37*$J$4+$M$4*$J$5+[29]FormattedData!M37^2*$J$6+$M$5*$J$7</f>
        <v>-1.1852540612398474</v>
      </c>
      <c r="U61" s="6">
        <f>$J$3+[29]FormattedData!N37*$J$4+$M$4*$J$5+[29]FormattedData!N37^2*$J$6+$M$5*$J$7</f>
        <v>-1.1852540612398474</v>
      </c>
      <c r="V61" s="6">
        <f>$J$3+[29]FormattedData!O37*$J$4+$M$4*$J$5+[29]FormattedData!O37^2*$J$6+$M$5*$J$7</f>
        <v>-1.1852540612398474</v>
      </c>
      <c r="W61" s="5">
        <f t="shared" si="9"/>
        <v>-1.1852540612398474</v>
      </c>
      <c r="X61" s="4">
        <f t="shared" si="10"/>
        <v>0</v>
      </c>
      <c r="Y61" s="3">
        <f t="shared" si="11"/>
        <v>-1.1852540612398474</v>
      </c>
      <c r="Z61" s="2">
        <f t="shared" si="12"/>
        <v>-1.1852540612398474</v>
      </c>
      <c r="AA61" s="3">
        <f t="shared" si="13"/>
        <v>-1.1852540612398474</v>
      </c>
      <c r="AB61" s="2">
        <f t="shared" si="14"/>
        <v>-1.1852540612398474</v>
      </c>
      <c r="AC61" s="2">
        <f t="shared" si="15"/>
        <v>-1.1852540612398474</v>
      </c>
      <c r="AD61" s="2" t="e">
        <f t="shared" si="16"/>
        <v>#DIV/0!</v>
      </c>
      <c r="AE61" s="2" t="e">
        <f t="shared" si="17"/>
        <v>#DIV/0!</v>
      </c>
    </row>
    <row r="62" spans="2:31" x14ac:dyDescent="0.2">
      <c r="B62" s="1">
        <f>[29]FormattedData!A39</f>
        <v>0</v>
      </c>
      <c r="C62" s="1" t="e">
        <f>VLOOKUP($B62,[29]TrtCodes!$B$11:I82,2)</f>
        <v>#N/A</v>
      </c>
      <c r="D62" s="1" t="e">
        <f>VLOOKUP($B62,[29]TrtCodes!$B$11:J82,3)</f>
        <v>#N/A</v>
      </c>
      <c r="E62" s="1" t="e">
        <f>VLOOKUP($B62,[29]TrtCodes!$B$11:K82,4)</f>
        <v>#N/A</v>
      </c>
      <c r="F62" s="1" t="e">
        <f>VLOOKUP($B62,[29]TrtCodes!$B$11:L82,5)</f>
        <v>#N/A</v>
      </c>
      <c r="G62" s="1" t="e">
        <f>VLOOKUP($B62,[29]TrtCodes!$B$11:M82,6)</f>
        <v>#N/A</v>
      </c>
      <c r="H62" s="1" t="e">
        <f>VLOOKUP($B62,[29]TrtCodes!$B$11:N82,7)</f>
        <v>#N/A</v>
      </c>
      <c r="I62" s="1">
        <f>[29]FormattedData!B39</f>
        <v>0</v>
      </c>
      <c r="J62" s="4">
        <f>[29]FormattedData!C39</f>
        <v>0</v>
      </c>
      <c r="K62" s="6">
        <f>$J$3+[29]FormattedData!D39*$J$4+$M$4*$J$5+[29]FormattedData!D39^2*$J$6+$M$5*$J$7</f>
        <v>-1.1852540612398474</v>
      </c>
      <c r="L62" s="6">
        <f>$J$3+[29]FormattedData!E39*$J$4+$M$4*$J$5+[29]FormattedData!E39^2*$J$6+$M$5*$J$7</f>
        <v>-1.1852540612398474</v>
      </c>
      <c r="M62" s="6">
        <f>$J$3+[29]FormattedData!F39*$J$4+$M$4*$J$5+[29]FormattedData!F39^2*$J$6+$M$5*$J$7</f>
        <v>-1.1852540612398474</v>
      </c>
      <c r="N62" s="6">
        <f>$J$3+[29]FormattedData!G39*$J$4+$M$4*$J$5+[29]FormattedData!G39^2*$J$6+$M$5*$J$7</f>
        <v>-1.1852540612398474</v>
      </c>
      <c r="O62" s="6">
        <f>$J$3+[29]FormattedData!H39*$J$4+$M$4*$J$5+[29]FormattedData!H39^2*$J$6+$M$5*$J$7</f>
        <v>-1.1852540612398474</v>
      </c>
      <c r="P62" s="6">
        <f>$J$3+[29]FormattedData!I39*$J$4+$M$4*$J$5+[29]FormattedData!I39^2*$J$6+$M$5*$J$7</f>
        <v>-1.1852540612398474</v>
      </c>
      <c r="Q62" s="6">
        <f>$J$3+[29]FormattedData!J39*$J$4+$M$4*$J$5+[29]FormattedData!J39^2*$J$6+$M$5*$J$7</f>
        <v>-1.1852540612398474</v>
      </c>
      <c r="R62" s="6">
        <f>$J$3+[29]FormattedData!K39*$J$4+$M$4*$J$5+[29]FormattedData!K39^2*$J$6+$M$5*$J$7</f>
        <v>-1.1852540612398474</v>
      </c>
      <c r="S62" s="6">
        <f>$J$3+[29]FormattedData!L39*$J$4+$M$4*$J$5+[29]FormattedData!L39^2*$J$6+$M$5*$J$7</f>
        <v>-1.1852540612398474</v>
      </c>
      <c r="T62" s="6">
        <f>$J$3+[29]FormattedData!M39*$J$4+$M$4*$J$5+[29]FormattedData!M39^2*$J$6+$M$5*$J$7</f>
        <v>-1.1852540612398474</v>
      </c>
      <c r="U62" s="6">
        <f>$J$3+[29]FormattedData!N39*$J$4+$M$4*$J$5+[29]FormattedData!N39^2*$J$6+$M$5*$J$7</f>
        <v>-1.1852540612398474</v>
      </c>
      <c r="V62" s="6">
        <f>$J$3+[29]FormattedData!O39*$J$4+$M$4*$J$5+[29]FormattedData!O39^2*$J$6+$M$5*$J$7</f>
        <v>-1.1852540612398474</v>
      </c>
      <c r="W62" s="5">
        <f t="shared" si="9"/>
        <v>-1.1852540612398474</v>
      </c>
      <c r="X62" s="4">
        <f t="shared" si="10"/>
        <v>0</v>
      </c>
      <c r="Y62" s="3">
        <f t="shared" si="11"/>
        <v>-1.1852540612398474</v>
      </c>
      <c r="Z62" s="2">
        <f t="shared" si="12"/>
        <v>-1.1852540612398474</v>
      </c>
      <c r="AA62" s="3">
        <f t="shared" si="13"/>
        <v>-1.1852540612398474</v>
      </c>
      <c r="AB62" s="2">
        <f t="shared" si="14"/>
        <v>-1.1852540612398474</v>
      </c>
      <c r="AC62" s="2">
        <f t="shared" si="15"/>
        <v>-1.1852540612398474</v>
      </c>
      <c r="AD62" s="2" t="e">
        <f t="shared" si="16"/>
        <v>#DIV/0!</v>
      </c>
      <c r="AE62" s="2" t="e">
        <f t="shared" si="17"/>
        <v>#DIV/0!</v>
      </c>
    </row>
    <row r="63" spans="2:31" x14ac:dyDescent="0.2">
      <c r="B63" s="1">
        <f>[29]FormattedData!A41</f>
        <v>0</v>
      </c>
      <c r="C63" s="1" t="e">
        <f>VLOOKUP($B63,[29]TrtCodes!$B$11:I84,2)</f>
        <v>#N/A</v>
      </c>
      <c r="D63" s="1" t="e">
        <f>VLOOKUP($B63,[29]TrtCodes!$B$11:J84,3)</f>
        <v>#N/A</v>
      </c>
      <c r="E63" s="1" t="e">
        <f>VLOOKUP($B63,[29]TrtCodes!$B$11:K84,4)</f>
        <v>#N/A</v>
      </c>
      <c r="F63" s="1" t="e">
        <f>VLOOKUP($B63,[29]TrtCodes!$B$11:L84,5)</f>
        <v>#N/A</v>
      </c>
      <c r="G63" s="1" t="e">
        <f>VLOOKUP($B63,[29]TrtCodes!$B$11:M84,6)</f>
        <v>#N/A</v>
      </c>
      <c r="H63" s="1" t="e">
        <f>VLOOKUP($B63,[29]TrtCodes!$B$11:N84,7)</f>
        <v>#N/A</v>
      </c>
      <c r="I63" s="1">
        <f>[29]FormattedData!B41</f>
        <v>0</v>
      </c>
      <c r="J63" s="4">
        <f>[29]FormattedData!C41</f>
        <v>0</v>
      </c>
      <c r="K63" s="6">
        <f>$J$3+[29]FormattedData!D41*$J$4+$M$4*$J$5+[29]FormattedData!D41^2*$J$6+$M$5*$J$7</f>
        <v>-1.1852540612398474</v>
      </c>
      <c r="L63" s="6">
        <f>$J$3+[29]FormattedData!E41*$J$4+$M$4*$J$5+[29]FormattedData!E41^2*$J$6+$M$5*$J$7</f>
        <v>-1.1852540612398474</v>
      </c>
      <c r="M63" s="6">
        <f>$J$3+[29]FormattedData!F41*$J$4+$M$4*$J$5+[29]FormattedData!F41^2*$J$6+$M$5*$J$7</f>
        <v>-1.1852540612398474</v>
      </c>
      <c r="N63" s="6">
        <f>$J$3+[29]FormattedData!G41*$J$4+$M$4*$J$5+[29]FormattedData!G41^2*$J$6+$M$5*$J$7</f>
        <v>-1.1852540612398474</v>
      </c>
      <c r="O63" s="6">
        <f>$J$3+[29]FormattedData!H41*$J$4+$M$4*$J$5+[29]FormattedData!H41^2*$J$6+$M$5*$J$7</f>
        <v>-1.1852540612398474</v>
      </c>
      <c r="P63" s="6">
        <f>$J$3+[29]FormattedData!I41*$J$4+$M$4*$J$5+[29]FormattedData!I41^2*$J$6+$M$5*$J$7</f>
        <v>-1.1852540612398474</v>
      </c>
      <c r="Q63" s="6">
        <f>$J$3+[29]FormattedData!J41*$J$4+$M$4*$J$5+[29]FormattedData!J41^2*$J$6+$M$5*$J$7</f>
        <v>-1.1852540612398474</v>
      </c>
      <c r="R63" s="6">
        <f>$J$3+[29]FormattedData!K41*$J$4+$M$4*$J$5+[29]FormattedData!K41^2*$J$6+$M$5*$J$7</f>
        <v>-1.1852540612398474</v>
      </c>
      <c r="S63" s="6">
        <f>$J$3+[29]FormattedData!L41*$J$4+$M$4*$J$5+[29]FormattedData!L41^2*$J$6+$M$5*$J$7</f>
        <v>-1.1852540612398474</v>
      </c>
      <c r="T63" s="6">
        <f>$J$3+[29]FormattedData!M41*$J$4+$M$4*$J$5+[29]FormattedData!M41^2*$J$6+$M$5*$J$7</f>
        <v>-1.1852540612398474</v>
      </c>
      <c r="U63" s="6">
        <f>$J$3+[29]FormattedData!N41*$J$4+$M$4*$J$5+[29]FormattedData!N41^2*$J$6+$M$5*$J$7</f>
        <v>-1.1852540612398474</v>
      </c>
      <c r="V63" s="6">
        <f>$J$3+[29]FormattedData!O41*$J$4+$M$4*$J$5+[29]FormattedData!O41^2*$J$6+$M$5*$J$7</f>
        <v>-1.1852540612398474</v>
      </c>
      <c r="W63" s="5">
        <f t="shared" si="9"/>
        <v>-1.1852540612398474</v>
      </c>
      <c r="X63" s="4">
        <f t="shared" si="10"/>
        <v>0</v>
      </c>
      <c r="Y63" s="3">
        <f t="shared" si="11"/>
        <v>-1.1852540612398474</v>
      </c>
      <c r="Z63" s="2">
        <f t="shared" si="12"/>
        <v>-1.1852540612398474</v>
      </c>
      <c r="AA63" s="3">
        <f t="shared" si="13"/>
        <v>-1.1852540612398474</v>
      </c>
      <c r="AB63" s="2">
        <f t="shared" si="14"/>
        <v>-1.1852540612398474</v>
      </c>
      <c r="AC63" s="2">
        <f t="shared" si="15"/>
        <v>-1.1852540612398474</v>
      </c>
      <c r="AD63" s="2" t="e">
        <f t="shared" si="16"/>
        <v>#DIV/0!</v>
      </c>
      <c r="AE63" s="2" t="e">
        <f t="shared" si="17"/>
        <v>#DIV/0!</v>
      </c>
    </row>
    <row r="64" spans="2:31" x14ac:dyDescent="0.2">
      <c r="B64" s="1">
        <f>[29]FormattedData!A43</f>
        <v>0</v>
      </c>
      <c r="C64" s="1" t="e">
        <f>VLOOKUP($B64,[29]TrtCodes!$B$11:I86,2)</f>
        <v>#N/A</v>
      </c>
      <c r="D64" s="1" t="e">
        <f>VLOOKUP($B64,[29]TrtCodes!$B$11:J86,3)</f>
        <v>#N/A</v>
      </c>
      <c r="E64" s="1" t="e">
        <f>VLOOKUP($B64,[29]TrtCodes!$B$11:K86,4)</f>
        <v>#N/A</v>
      </c>
      <c r="F64" s="1" t="e">
        <f>VLOOKUP($B64,[29]TrtCodes!$B$11:L86,5)</f>
        <v>#N/A</v>
      </c>
      <c r="G64" s="1" t="e">
        <f>VLOOKUP($B64,[29]TrtCodes!$B$11:M86,6)</f>
        <v>#N/A</v>
      </c>
      <c r="H64" s="1" t="e">
        <f>VLOOKUP($B64,[29]TrtCodes!$B$11:N86,7)</f>
        <v>#N/A</v>
      </c>
      <c r="I64" s="1">
        <f>[29]FormattedData!B43</f>
        <v>0</v>
      </c>
      <c r="J64" s="4">
        <f>[29]FormattedData!C43</f>
        <v>0</v>
      </c>
      <c r="K64" s="6">
        <f>$J$3+[29]FormattedData!D43*$J$4+$M$4*$J$5+[29]FormattedData!D43^2*$J$6+$M$5*$J$7</f>
        <v>-1.1852540612398474</v>
      </c>
      <c r="L64" s="6">
        <f>$J$3+[29]FormattedData!E43*$J$4+$M$4*$J$5+[29]FormattedData!E43^2*$J$6+$M$5*$J$7</f>
        <v>-1.1852540612398474</v>
      </c>
      <c r="M64" s="6">
        <f>$J$3+[29]FormattedData!F43*$J$4+$M$4*$J$5+[29]FormattedData!F43^2*$J$6+$M$5*$J$7</f>
        <v>-1.1852540612398474</v>
      </c>
      <c r="N64" s="6">
        <f>$J$3+[29]FormattedData!G43*$J$4+$M$4*$J$5+[29]FormattedData!G43^2*$J$6+$M$5*$J$7</f>
        <v>-1.1852540612398474</v>
      </c>
      <c r="O64" s="6">
        <f>$J$3+[29]FormattedData!H43*$J$4+$M$4*$J$5+[29]FormattedData!H43^2*$J$6+$M$5*$J$7</f>
        <v>-1.1852540612398474</v>
      </c>
      <c r="P64" s="6">
        <f>$J$3+[29]FormattedData!I43*$J$4+$M$4*$J$5+[29]FormattedData!I43^2*$J$6+$M$5*$J$7</f>
        <v>-1.1852540612398474</v>
      </c>
      <c r="Q64" s="6">
        <f>$J$3+[29]FormattedData!J43*$J$4+$M$4*$J$5+[29]FormattedData!J43^2*$J$6+$M$5*$J$7</f>
        <v>-1.1852540612398474</v>
      </c>
      <c r="R64" s="6">
        <f>$J$3+[29]FormattedData!K43*$J$4+$M$4*$J$5+[29]FormattedData!K43^2*$J$6+$M$5*$J$7</f>
        <v>-1.1852540612398474</v>
      </c>
      <c r="S64" s="6">
        <f>$J$3+[29]FormattedData!L43*$J$4+$M$4*$J$5+[29]FormattedData!L43^2*$J$6+$M$5*$J$7</f>
        <v>-1.1852540612398474</v>
      </c>
      <c r="T64" s="6">
        <f>$J$3+[29]FormattedData!M43*$J$4+$M$4*$J$5+[29]FormattedData!M43^2*$J$6+$M$5*$J$7</f>
        <v>-1.1852540612398474</v>
      </c>
      <c r="U64" s="6">
        <f>$J$3+[29]FormattedData!N43*$J$4+$M$4*$J$5+[29]FormattedData!N43^2*$J$6+$M$5*$J$7</f>
        <v>-1.1852540612398474</v>
      </c>
      <c r="V64" s="6">
        <f>$J$3+[29]FormattedData!O43*$J$4+$M$4*$J$5+[29]FormattedData!O43^2*$J$6+$M$5*$J$7</f>
        <v>-1.1852540612398474</v>
      </c>
      <c r="W64" s="5">
        <f t="shared" si="9"/>
        <v>-1.1852540612398474</v>
      </c>
      <c r="X64" s="4">
        <f t="shared" si="10"/>
        <v>0</v>
      </c>
      <c r="Y64" s="3">
        <f t="shared" si="11"/>
        <v>-1.1852540612398474</v>
      </c>
      <c r="Z64" s="2">
        <f t="shared" si="12"/>
        <v>-1.1852540612398474</v>
      </c>
      <c r="AA64" s="3">
        <f t="shared" si="13"/>
        <v>-1.1852540612398474</v>
      </c>
      <c r="AB64" s="2">
        <f t="shared" si="14"/>
        <v>-1.1852540612398474</v>
      </c>
      <c r="AC64" s="2">
        <f t="shared" si="15"/>
        <v>-1.1852540612398474</v>
      </c>
      <c r="AD64" s="2" t="e">
        <f t="shared" si="16"/>
        <v>#DIV/0!</v>
      </c>
      <c r="AE64" s="2" t="e">
        <f t="shared" si="17"/>
        <v>#DIV/0!</v>
      </c>
    </row>
    <row r="65" spans="2:31" x14ac:dyDescent="0.2">
      <c r="B65" s="1">
        <f>[29]FormattedData!A45</f>
        <v>0</v>
      </c>
      <c r="C65" s="1" t="e">
        <f>VLOOKUP($B65,[29]TrtCodes!$B$11:I88,2)</f>
        <v>#N/A</v>
      </c>
      <c r="D65" s="1" t="e">
        <f>VLOOKUP($B65,[29]TrtCodes!$B$11:J88,3)</f>
        <v>#N/A</v>
      </c>
      <c r="E65" s="1" t="e">
        <f>VLOOKUP($B65,[29]TrtCodes!$B$11:K88,4)</f>
        <v>#N/A</v>
      </c>
      <c r="F65" s="1" t="e">
        <f>VLOOKUP($B65,[29]TrtCodes!$B$11:L88,5)</f>
        <v>#N/A</v>
      </c>
      <c r="G65" s="1" t="e">
        <f>VLOOKUP($B65,[29]TrtCodes!$B$11:M88,6)</f>
        <v>#N/A</v>
      </c>
      <c r="H65" s="1" t="e">
        <f>VLOOKUP($B65,[29]TrtCodes!$B$11:N88,7)</f>
        <v>#N/A</v>
      </c>
      <c r="I65" s="1">
        <f>[29]FormattedData!B45</f>
        <v>0</v>
      </c>
      <c r="J65" s="4">
        <f>[29]FormattedData!C45</f>
        <v>0</v>
      </c>
      <c r="K65" s="6">
        <f>$J$3+[29]FormattedData!D45*$J$4+$M$4*$J$5+[29]FormattedData!D45^2*$J$6+$M$5*$J$7</f>
        <v>-1.1852540612398474</v>
      </c>
      <c r="L65" s="6">
        <f>$J$3+[29]FormattedData!E45*$J$4+$M$4*$J$5+[29]FormattedData!E45^2*$J$6+$M$5*$J$7</f>
        <v>-1.1852540612398474</v>
      </c>
      <c r="M65" s="6">
        <f>$J$3+[29]FormattedData!F45*$J$4+$M$4*$J$5+[29]FormattedData!F45^2*$J$6+$M$5*$J$7</f>
        <v>-1.1852540612398474</v>
      </c>
      <c r="N65" s="6">
        <f>$J$3+[29]FormattedData!G45*$J$4+$M$4*$J$5+[29]FormattedData!G45^2*$J$6+$M$5*$J$7</f>
        <v>-1.1852540612398474</v>
      </c>
      <c r="O65" s="6">
        <f>$J$3+[29]FormattedData!H45*$J$4+$M$4*$J$5+[29]FormattedData!H45^2*$J$6+$M$5*$J$7</f>
        <v>-1.1852540612398474</v>
      </c>
      <c r="P65" s="6">
        <f>$J$3+[29]FormattedData!I45*$J$4+$M$4*$J$5+[29]FormattedData!I45^2*$J$6+$M$5*$J$7</f>
        <v>-1.1852540612398474</v>
      </c>
      <c r="Q65" s="6">
        <f>$J$3+[29]FormattedData!J45*$J$4+$M$4*$J$5+[29]FormattedData!J45^2*$J$6+$M$5*$J$7</f>
        <v>-1.1852540612398474</v>
      </c>
      <c r="R65" s="6">
        <f>$J$3+[29]FormattedData!K45*$J$4+$M$4*$J$5+[29]FormattedData!K45^2*$J$6+$M$5*$J$7</f>
        <v>-1.1852540612398474</v>
      </c>
      <c r="S65" s="6">
        <f>$J$3+[29]FormattedData!L45*$J$4+$M$4*$J$5+[29]FormattedData!L45^2*$J$6+$M$5*$J$7</f>
        <v>-1.1852540612398474</v>
      </c>
      <c r="T65" s="6">
        <f>$J$3+[29]FormattedData!M45*$J$4+$M$4*$J$5+[29]FormattedData!M45^2*$J$6+$M$5*$J$7</f>
        <v>-1.1852540612398474</v>
      </c>
      <c r="U65" s="6">
        <f>$J$3+[29]FormattedData!N45*$J$4+$M$4*$J$5+[29]FormattedData!N45^2*$J$6+$M$5*$J$7</f>
        <v>-1.1852540612398474</v>
      </c>
      <c r="V65" s="6">
        <f>$J$3+[29]FormattedData!O45*$J$4+$M$4*$J$5+[29]FormattedData!O45^2*$J$6+$M$5*$J$7</f>
        <v>-1.1852540612398474</v>
      </c>
      <c r="W65" s="5">
        <f t="shared" si="9"/>
        <v>-1.1852540612398474</v>
      </c>
      <c r="X65" s="4">
        <f t="shared" si="10"/>
        <v>0</v>
      </c>
      <c r="Y65" s="3">
        <f t="shared" si="11"/>
        <v>-1.1852540612398474</v>
      </c>
      <c r="Z65" s="2">
        <f t="shared" si="12"/>
        <v>-1.1852540612398474</v>
      </c>
      <c r="AA65" s="3">
        <f t="shared" si="13"/>
        <v>-1.1852540612398474</v>
      </c>
      <c r="AB65" s="2">
        <f t="shared" si="14"/>
        <v>-1.1852540612398474</v>
      </c>
      <c r="AC65" s="2">
        <f t="shared" si="15"/>
        <v>-1.1852540612398474</v>
      </c>
      <c r="AD65" s="2" t="e">
        <f t="shared" si="16"/>
        <v>#DIV/0!</v>
      </c>
      <c r="AE65" s="2" t="e">
        <f t="shared" si="17"/>
        <v>#DIV/0!</v>
      </c>
    </row>
    <row r="66" spans="2:31" x14ac:dyDescent="0.2">
      <c r="B66" s="1">
        <f>[29]FormattedData!A63</f>
        <v>0</v>
      </c>
      <c r="C66" s="1" t="e">
        <f>VLOOKUP($B66,[29]TrtCodes!$B$11:I106,2)</f>
        <v>#N/A</v>
      </c>
      <c r="D66" s="1" t="e">
        <f>VLOOKUP($B66,[29]TrtCodes!$B$11:J106,3)</f>
        <v>#N/A</v>
      </c>
      <c r="E66" s="1" t="e">
        <f>VLOOKUP($B66,[29]TrtCodes!$B$11:K106,4)</f>
        <v>#N/A</v>
      </c>
      <c r="F66" s="1" t="e">
        <f>VLOOKUP($B66,[29]TrtCodes!$B$11:L106,5)</f>
        <v>#N/A</v>
      </c>
      <c r="G66" s="1" t="e">
        <f>VLOOKUP($B66,[29]TrtCodes!$B$11:M106,6)</f>
        <v>#N/A</v>
      </c>
      <c r="H66" s="1" t="e">
        <f>VLOOKUP($B66,[29]TrtCodes!$B$11:N106,7)</f>
        <v>#N/A</v>
      </c>
      <c r="I66" s="1">
        <f>[29]FormattedData!B63</f>
        <v>0</v>
      </c>
      <c r="J66" s="4">
        <f>[29]FormattedData!C63</f>
        <v>0</v>
      </c>
      <c r="K66" s="6">
        <f>$J$3+[29]FormattedData!D63*$J$4+$M$4*$J$5+[29]FormattedData!D63^2*$J$6+$M$5*$J$7</f>
        <v>-1.1852540612398474</v>
      </c>
      <c r="L66" s="6">
        <f>$J$3+[29]FormattedData!E63*$J$4+$M$4*$J$5+[29]FormattedData!E63^2*$J$6+$M$5*$J$7</f>
        <v>-1.1852540612398474</v>
      </c>
      <c r="M66" s="6">
        <f>$J$3+[29]FormattedData!F63*$J$4+$M$4*$J$5+[29]FormattedData!F63^2*$J$6+$M$5*$J$7</f>
        <v>-1.1852540612398474</v>
      </c>
      <c r="N66" s="6">
        <f>$J$3+[29]FormattedData!G63*$J$4+$M$4*$J$5+[29]FormattedData!G63^2*$J$6+$M$5*$J$7</f>
        <v>-1.1852540612398474</v>
      </c>
      <c r="O66" s="6">
        <f>$J$3+[29]FormattedData!H63*$J$4+$M$4*$J$5+[29]FormattedData!H63^2*$J$6+$M$5*$J$7</f>
        <v>-1.1852540612398474</v>
      </c>
      <c r="P66" s="6">
        <f>$J$3+[29]FormattedData!I63*$J$4+$M$4*$J$5+[29]FormattedData!I63^2*$J$6+$M$5*$J$7</f>
        <v>-1.1852540612398474</v>
      </c>
      <c r="Q66" s="6">
        <f>$J$3+[29]FormattedData!J63*$J$4+$M$4*$J$5+[29]FormattedData!J63^2*$J$6+$M$5*$J$7</f>
        <v>-1.1852540612398474</v>
      </c>
      <c r="R66" s="6">
        <f>$J$3+[29]FormattedData!K63*$J$4+$M$4*$J$5+[29]FormattedData!K63^2*$J$6+$M$5*$J$7</f>
        <v>-1.1852540612398474</v>
      </c>
      <c r="S66" s="6">
        <f>$J$3+[29]FormattedData!L63*$J$4+$M$4*$J$5+[29]FormattedData!L63^2*$J$6+$M$5*$J$7</f>
        <v>-1.1852540612398474</v>
      </c>
      <c r="T66" s="6">
        <f>$J$3+[29]FormattedData!M63*$J$4+$M$4*$J$5+[29]FormattedData!M63^2*$J$6+$M$5*$J$7</f>
        <v>-1.1852540612398474</v>
      </c>
      <c r="U66" s="6">
        <f>$J$3+[29]FormattedData!N63*$J$4+$M$4*$J$5+[29]FormattedData!N63^2*$J$6+$M$5*$J$7</f>
        <v>-1.1852540612398474</v>
      </c>
      <c r="V66" s="6">
        <f>$J$3+[29]FormattedData!O63*$J$4+$M$4*$J$5+[29]FormattedData!O63^2*$J$6+$M$5*$J$7</f>
        <v>-1.1852540612398474</v>
      </c>
      <c r="W66" s="5">
        <f t="shared" si="9"/>
        <v>-1.1852540612398474</v>
      </c>
      <c r="X66" s="4">
        <f t="shared" si="10"/>
        <v>0</v>
      </c>
      <c r="Y66" s="3">
        <f t="shared" si="11"/>
        <v>-1.1852540612398474</v>
      </c>
      <c r="Z66" s="2">
        <f t="shared" si="12"/>
        <v>-1.1852540612398474</v>
      </c>
      <c r="AA66" s="3">
        <f t="shared" si="13"/>
        <v>-1.1852540612398474</v>
      </c>
      <c r="AB66" s="2">
        <f t="shared" si="14"/>
        <v>-1.1852540612398474</v>
      </c>
      <c r="AC66" s="2">
        <f t="shared" si="15"/>
        <v>-1.1852540612398474</v>
      </c>
      <c r="AD66" s="2" t="e">
        <f t="shared" si="16"/>
        <v>#DIV/0!</v>
      </c>
      <c r="AE66" s="2" t="e">
        <f t="shared" si="17"/>
        <v>#DIV/0!</v>
      </c>
    </row>
    <row r="67" spans="2:31" x14ac:dyDescent="0.2">
      <c r="B67" s="1">
        <f>[29]FormattedData!A65</f>
        <v>0</v>
      </c>
      <c r="C67" s="1" t="e">
        <f>VLOOKUP($B67,[29]TrtCodes!$B$11:I108,2)</f>
        <v>#N/A</v>
      </c>
      <c r="D67" s="1" t="e">
        <f>VLOOKUP($B67,[29]TrtCodes!$B$11:J108,3)</f>
        <v>#N/A</v>
      </c>
      <c r="E67" s="1" t="e">
        <f>VLOOKUP($B67,[29]TrtCodes!$B$11:K108,4)</f>
        <v>#N/A</v>
      </c>
      <c r="F67" s="1" t="e">
        <f>VLOOKUP($B67,[29]TrtCodes!$B$11:L108,5)</f>
        <v>#N/A</v>
      </c>
      <c r="G67" s="1" t="e">
        <f>VLOOKUP($B67,[29]TrtCodes!$B$11:M108,6)</f>
        <v>#N/A</v>
      </c>
      <c r="H67" s="1" t="e">
        <f>VLOOKUP($B67,[29]TrtCodes!$B$11:N108,7)</f>
        <v>#N/A</v>
      </c>
      <c r="I67" s="1">
        <f>[29]FormattedData!B65</f>
        <v>0</v>
      </c>
      <c r="J67" s="4">
        <f>[29]FormattedData!C65</f>
        <v>0</v>
      </c>
      <c r="K67" s="6">
        <f>$J$3+[29]FormattedData!D65*$J$4+$M$4*$J$5+[29]FormattedData!D65^2*$J$6+$M$5*$J$7</f>
        <v>-1.1852540612398474</v>
      </c>
      <c r="L67" s="6">
        <f>$J$3+[29]FormattedData!E65*$J$4+$M$4*$J$5+[29]FormattedData!E65^2*$J$6+$M$5*$J$7</f>
        <v>-1.1852540612398474</v>
      </c>
      <c r="M67" s="6">
        <f>$J$3+[29]FormattedData!F65*$J$4+$M$4*$J$5+[29]FormattedData!F65^2*$J$6+$M$5*$J$7</f>
        <v>-1.1852540612398474</v>
      </c>
      <c r="N67" s="6">
        <f>$J$3+[29]FormattedData!G65*$J$4+$M$4*$J$5+[29]FormattedData!G65^2*$J$6+$M$5*$J$7</f>
        <v>-1.1852540612398474</v>
      </c>
      <c r="O67" s="6">
        <f>$J$3+[29]FormattedData!H65*$J$4+$M$4*$J$5+[29]FormattedData!H65^2*$J$6+$M$5*$J$7</f>
        <v>-1.1852540612398474</v>
      </c>
      <c r="P67" s="6">
        <f>$J$3+[29]FormattedData!I65*$J$4+$M$4*$J$5+[29]FormattedData!I65^2*$J$6+$M$5*$J$7</f>
        <v>-1.1852540612398474</v>
      </c>
      <c r="Q67" s="6">
        <f>$J$3+[29]FormattedData!J65*$J$4+$M$4*$J$5+[29]FormattedData!J65^2*$J$6+$M$5*$J$7</f>
        <v>-1.1852540612398474</v>
      </c>
      <c r="R67" s="6">
        <f>$J$3+[29]FormattedData!K65*$J$4+$M$4*$J$5+[29]FormattedData!K65^2*$J$6+$M$5*$J$7</f>
        <v>-1.1852540612398474</v>
      </c>
      <c r="S67" s="6">
        <f>$J$3+[29]FormattedData!L65*$J$4+$M$4*$J$5+[29]FormattedData!L65^2*$J$6+$M$5*$J$7</f>
        <v>-1.1852540612398474</v>
      </c>
      <c r="T67" s="6">
        <f>$J$3+[29]FormattedData!M65*$J$4+$M$4*$J$5+[29]FormattedData!M65^2*$J$6+$M$5*$J$7</f>
        <v>-1.1852540612398474</v>
      </c>
      <c r="U67" s="6">
        <f>$J$3+[29]FormattedData!N65*$J$4+$M$4*$J$5+[29]FormattedData!N65^2*$J$6+$M$5*$J$7</f>
        <v>-1.1852540612398474</v>
      </c>
      <c r="V67" s="6">
        <f>$J$3+[29]FormattedData!O65*$J$4+$M$4*$J$5+[29]FormattedData!O65^2*$J$6+$M$5*$J$7</f>
        <v>-1.1852540612398474</v>
      </c>
      <c r="W67" s="5">
        <f t="shared" si="9"/>
        <v>-1.1852540612398474</v>
      </c>
      <c r="X67" s="4">
        <f t="shared" si="10"/>
        <v>0</v>
      </c>
      <c r="Y67" s="3">
        <f t="shared" si="11"/>
        <v>-1.1852540612398474</v>
      </c>
      <c r="Z67" s="2">
        <f t="shared" si="12"/>
        <v>-1.1852540612398474</v>
      </c>
      <c r="AA67" s="3">
        <f t="shared" si="13"/>
        <v>-1.1852540612398474</v>
      </c>
      <c r="AB67" s="2">
        <f t="shared" si="14"/>
        <v>-1.1852540612398474</v>
      </c>
      <c r="AC67" s="2">
        <f t="shared" si="15"/>
        <v>-1.1852540612398474</v>
      </c>
      <c r="AD67" s="2" t="e">
        <f t="shared" si="16"/>
        <v>#DIV/0!</v>
      </c>
      <c r="AE67" s="2" t="e">
        <f t="shared" si="17"/>
        <v>#DIV/0!</v>
      </c>
    </row>
    <row r="68" spans="2:31" x14ac:dyDescent="0.2">
      <c r="B68" s="1">
        <f>[29]FormattedData!A67</f>
        <v>0</v>
      </c>
      <c r="C68" s="1" t="e">
        <f>VLOOKUP($B68,[29]TrtCodes!$B$11:I110,2)</f>
        <v>#N/A</v>
      </c>
      <c r="D68" s="1" t="e">
        <f>VLOOKUP($B68,[29]TrtCodes!$B$11:J110,3)</f>
        <v>#N/A</v>
      </c>
      <c r="E68" s="1" t="e">
        <f>VLOOKUP($B68,[29]TrtCodes!$B$11:K110,4)</f>
        <v>#N/A</v>
      </c>
      <c r="F68" s="1" t="e">
        <f>VLOOKUP($B68,[29]TrtCodes!$B$11:L110,5)</f>
        <v>#N/A</v>
      </c>
      <c r="G68" s="1" t="e">
        <f>VLOOKUP($B68,[29]TrtCodes!$B$11:M110,6)</f>
        <v>#N/A</v>
      </c>
      <c r="H68" s="1" t="e">
        <f>VLOOKUP($B68,[29]TrtCodes!$B$11:N110,7)</f>
        <v>#N/A</v>
      </c>
      <c r="I68" s="1">
        <f>[29]FormattedData!B67</f>
        <v>0</v>
      </c>
      <c r="J68" s="4">
        <f>[29]FormattedData!C67</f>
        <v>0</v>
      </c>
      <c r="K68" s="6">
        <f>$J$3+[29]FormattedData!D67*$J$4+$M$4*$J$5+[29]FormattedData!D67^2*$J$6+$M$5*$J$7</f>
        <v>-1.1852540612398474</v>
      </c>
      <c r="L68" s="6">
        <f>$J$3+[29]FormattedData!E67*$J$4+$M$4*$J$5+[29]FormattedData!E67^2*$J$6+$M$5*$J$7</f>
        <v>-1.1852540612398474</v>
      </c>
      <c r="M68" s="6">
        <f>$J$3+[29]FormattedData!F67*$J$4+$M$4*$J$5+[29]FormattedData!F67^2*$J$6+$M$5*$J$7</f>
        <v>-1.1852540612398474</v>
      </c>
      <c r="N68" s="6">
        <f>$J$3+[29]FormattedData!G67*$J$4+$M$4*$J$5+[29]FormattedData!G67^2*$J$6+$M$5*$J$7</f>
        <v>-1.1852540612398474</v>
      </c>
      <c r="O68" s="6">
        <f>$J$3+[29]FormattedData!H67*$J$4+$M$4*$J$5+[29]FormattedData!H67^2*$J$6+$M$5*$J$7</f>
        <v>-1.1852540612398474</v>
      </c>
      <c r="P68" s="6">
        <f>$J$3+[29]FormattedData!I67*$J$4+$M$4*$J$5+[29]FormattedData!I67^2*$J$6+$M$5*$J$7</f>
        <v>-1.1852540612398474</v>
      </c>
      <c r="Q68" s="6">
        <f>$J$3+[29]FormattedData!J67*$J$4+$M$4*$J$5+[29]FormattedData!J67^2*$J$6+$M$5*$J$7</f>
        <v>-1.1852540612398474</v>
      </c>
      <c r="R68" s="6">
        <f>$J$3+[29]FormattedData!K67*$J$4+$M$4*$J$5+[29]FormattedData!K67^2*$J$6+$M$5*$J$7</f>
        <v>-1.1852540612398474</v>
      </c>
      <c r="S68" s="6">
        <f>$J$3+[29]FormattedData!L67*$J$4+$M$4*$J$5+[29]FormattedData!L67^2*$J$6+$M$5*$J$7</f>
        <v>-1.1852540612398474</v>
      </c>
      <c r="T68" s="6">
        <f>$J$3+[29]FormattedData!M67*$J$4+$M$4*$J$5+[29]FormattedData!M67^2*$J$6+$M$5*$J$7</f>
        <v>-1.1852540612398474</v>
      </c>
      <c r="U68" s="6">
        <f>$J$3+[29]FormattedData!N67*$J$4+$M$4*$J$5+[29]FormattedData!N67^2*$J$6+$M$5*$J$7</f>
        <v>-1.1852540612398474</v>
      </c>
      <c r="V68" s="6">
        <f>$J$3+[29]FormattedData!O67*$J$4+$M$4*$J$5+[29]FormattedData!O67^2*$J$6+$M$5*$J$7</f>
        <v>-1.1852540612398474</v>
      </c>
      <c r="W68" s="5">
        <f t="shared" si="9"/>
        <v>-1.1852540612398474</v>
      </c>
      <c r="X68" s="4">
        <f t="shared" si="10"/>
        <v>0</v>
      </c>
      <c r="Y68" s="3">
        <f t="shared" si="11"/>
        <v>-1.1852540612398474</v>
      </c>
      <c r="Z68" s="2">
        <f t="shared" si="12"/>
        <v>-1.1852540612398474</v>
      </c>
      <c r="AA68" s="3">
        <f t="shared" si="13"/>
        <v>-1.1852540612398474</v>
      </c>
      <c r="AB68" s="2">
        <f t="shared" si="14"/>
        <v>-1.1852540612398474</v>
      </c>
      <c r="AC68" s="2">
        <f t="shared" si="15"/>
        <v>-1.1852540612398474</v>
      </c>
      <c r="AD68" s="2" t="e">
        <f t="shared" si="16"/>
        <v>#DIV/0!</v>
      </c>
      <c r="AE68" s="2" t="e">
        <f t="shared" si="17"/>
        <v>#DIV/0!</v>
      </c>
    </row>
    <row r="69" spans="2:31" x14ac:dyDescent="0.2">
      <c r="B69" s="1">
        <f>[29]FormattedData!A69</f>
        <v>0</v>
      </c>
      <c r="C69" s="1" t="e">
        <f>VLOOKUP($B69,[29]TrtCodes!$B$11:I112,2)</f>
        <v>#N/A</v>
      </c>
      <c r="D69" s="1" t="e">
        <f>VLOOKUP($B69,[29]TrtCodes!$B$11:J112,3)</f>
        <v>#N/A</v>
      </c>
      <c r="E69" s="1" t="e">
        <f>VLOOKUP($B69,[29]TrtCodes!$B$11:K112,4)</f>
        <v>#N/A</v>
      </c>
      <c r="F69" s="1" t="e">
        <f>VLOOKUP($B69,[29]TrtCodes!$B$11:L112,5)</f>
        <v>#N/A</v>
      </c>
      <c r="G69" s="1" t="e">
        <f>VLOOKUP($B69,[29]TrtCodes!$B$11:M112,6)</f>
        <v>#N/A</v>
      </c>
      <c r="H69" s="1" t="e">
        <f>VLOOKUP($B69,[29]TrtCodes!$B$11:N112,7)</f>
        <v>#N/A</v>
      </c>
      <c r="I69" s="1">
        <f>[29]FormattedData!B69</f>
        <v>0</v>
      </c>
      <c r="J69" s="4">
        <f>[29]FormattedData!C69</f>
        <v>0</v>
      </c>
      <c r="K69" s="6">
        <f>$J$3+[29]FormattedData!D69*$J$4+$M$4*$J$5+[29]FormattedData!D69^2*$J$6+$M$5*$J$7</f>
        <v>-1.1852540612398474</v>
      </c>
      <c r="L69" s="6">
        <f>$J$3+[29]FormattedData!E69*$J$4+$M$4*$J$5+[29]FormattedData!E69^2*$J$6+$M$5*$J$7</f>
        <v>-1.1852540612398474</v>
      </c>
      <c r="M69" s="6">
        <f>$J$3+[29]FormattedData!F69*$J$4+$M$4*$J$5+[29]FormattedData!F69^2*$J$6+$M$5*$J$7</f>
        <v>-1.1852540612398474</v>
      </c>
      <c r="N69" s="6">
        <f>$J$3+[29]FormattedData!G69*$J$4+$M$4*$J$5+[29]FormattedData!G69^2*$J$6+$M$5*$J$7</f>
        <v>-1.1852540612398474</v>
      </c>
      <c r="O69" s="6">
        <f>$J$3+[29]FormattedData!H69*$J$4+$M$4*$J$5+[29]FormattedData!H69^2*$J$6+$M$5*$J$7</f>
        <v>-1.1852540612398474</v>
      </c>
      <c r="P69" s="6">
        <f>$J$3+[29]FormattedData!I69*$J$4+$M$4*$J$5+[29]FormattedData!I69^2*$J$6+$M$5*$J$7</f>
        <v>-1.1852540612398474</v>
      </c>
      <c r="Q69" s="6">
        <f>$J$3+[29]FormattedData!J69*$J$4+$M$4*$J$5+[29]FormattedData!J69^2*$J$6+$M$5*$J$7</f>
        <v>-1.1852540612398474</v>
      </c>
      <c r="R69" s="6">
        <f>$J$3+[29]FormattedData!K69*$J$4+$M$4*$J$5+[29]FormattedData!K69^2*$J$6+$M$5*$J$7</f>
        <v>-1.1852540612398474</v>
      </c>
      <c r="S69" s="6">
        <f>$J$3+[29]FormattedData!L69*$J$4+$M$4*$J$5+[29]FormattedData!L69^2*$J$6+$M$5*$J$7</f>
        <v>-1.1852540612398474</v>
      </c>
      <c r="T69" s="6">
        <f>$J$3+[29]FormattedData!M69*$J$4+$M$4*$J$5+[29]FormattedData!M69^2*$J$6+$M$5*$J$7</f>
        <v>-1.1852540612398474</v>
      </c>
      <c r="U69" s="6">
        <f>$J$3+[29]FormattedData!N69*$J$4+$M$4*$J$5+[29]FormattedData!N69^2*$J$6+$M$5*$J$7</f>
        <v>-1.1852540612398474</v>
      </c>
      <c r="V69" s="6">
        <f>$J$3+[29]FormattedData!O69*$J$4+$M$4*$J$5+[29]FormattedData!O69^2*$J$6+$M$5*$J$7</f>
        <v>-1.1852540612398474</v>
      </c>
      <c r="W69" s="5">
        <f t="shared" si="9"/>
        <v>-1.1852540612398474</v>
      </c>
      <c r="X69" s="4">
        <f t="shared" si="10"/>
        <v>0</v>
      </c>
      <c r="Y69" s="3">
        <f t="shared" si="11"/>
        <v>-1.1852540612398474</v>
      </c>
      <c r="Z69" s="2">
        <f t="shared" si="12"/>
        <v>-1.1852540612398474</v>
      </c>
      <c r="AA69" s="3">
        <f t="shared" si="13"/>
        <v>-1.1852540612398474</v>
      </c>
      <c r="AB69" s="2">
        <f t="shared" si="14"/>
        <v>-1.1852540612398474</v>
      </c>
      <c r="AC69" s="2">
        <f t="shared" si="15"/>
        <v>-1.1852540612398474</v>
      </c>
      <c r="AD69" s="2" t="e">
        <f t="shared" si="16"/>
        <v>#DIV/0!</v>
      </c>
      <c r="AE69" s="2" t="e">
        <f t="shared" si="17"/>
        <v>#DIV/0!</v>
      </c>
    </row>
    <row r="70" spans="2:31" x14ac:dyDescent="0.2">
      <c r="B70" s="1">
        <f>[29]FormattedData!A71</f>
        <v>0</v>
      </c>
      <c r="C70" s="1" t="e">
        <f>VLOOKUP($B70,[29]TrtCodes!$B$11:I114,2)</f>
        <v>#N/A</v>
      </c>
      <c r="D70" s="1" t="e">
        <f>VLOOKUP($B70,[29]TrtCodes!$B$11:J114,3)</f>
        <v>#N/A</v>
      </c>
      <c r="E70" s="1" t="e">
        <f>VLOOKUP($B70,[29]TrtCodes!$B$11:K114,4)</f>
        <v>#N/A</v>
      </c>
      <c r="F70" s="1" t="e">
        <f>VLOOKUP($B70,[29]TrtCodes!$B$11:L114,5)</f>
        <v>#N/A</v>
      </c>
      <c r="G70" s="1" t="e">
        <f>VLOOKUP($B70,[29]TrtCodes!$B$11:M114,6)</f>
        <v>#N/A</v>
      </c>
      <c r="H70" s="1" t="e">
        <f>VLOOKUP($B70,[29]TrtCodes!$B$11:N114,7)</f>
        <v>#N/A</v>
      </c>
      <c r="I70" s="1">
        <f>[29]FormattedData!B71</f>
        <v>0</v>
      </c>
      <c r="J70" s="4">
        <f>[29]FormattedData!C71</f>
        <v>0</v>
      </c>
      <c r="K70" s="6">
        <f>$J$3+[29]FormattedData!D71*$J$4+$M$4*$J$5+[29]FormattedData!D71^2*$J$6+$M$5*$J$7</f>
        <v>-1.1852540612398474</v>
      </c>
      <c r="L70" s="6">
        <f>$J$3+[29]FormattedData!E71*$J$4+$M$4*$J$5+[29]FormattedData!E71^2*$J$6+$M$5*$J$7</f>
        <v>-1.1852540612398474</v>
      </c>
      <c r="M70" s="6">
        <f>$J$3+[29]FormattedData!F71*$J$4+$M$4*$J$5+[29]FormattedData!F71^2*$J$6+$M$5*$J$7</f>
        <v>-1.1852540612398474</v>
      </c>
      <c r="N70" s="6">
        <f>$J$3+[29]FormattedData!G71*$J$4+$M$4*$J$5+[29]FormattedData!G71^2*$J$6+$M$5*$J$7</f>
        <v>-1.1852540612398474</v>
      </c>
      <c r="O70" s="6">
        <f>$J$3+[29]FormattedData!H71*$J$4+$M$4*$J$5+[29]FormattedData!H71^2*$J$6+$M$5*$J$7</f>
        <v>-1.1852540612398474</v>
      </c>
      <c r="P70" s="6">
        <f>$J$3+[29]FormattedData!I71*$J$4+$M$4*$J$5+[29]FormattedData!I71^2*$J$6+$M$5*$J$7</f>
        <v>-1.1852540612398474</v>
      </c>
      <c r="Q70" s="6">
        <f>$J$3+[29]FormattedData!J71*$J$4+$M$4*$J$5+[29]FormattedData!J71^2*$J$6+$M$5*$J$7</f>
        <v>-1.1852540612398474</v>
      </c>
      <c r="R70" s="6">
        <f>$J$3+[29]FormattedData!K71*$J$4+$M$4*$J$5+[29]FormattedData!K71^2*$J$6+$M$5*$J$7</f>
        <v>-1.1852540612398474</v>
      </c>
      <c r="S70" s="6">
        <f>$J$3+[29]FormattedData!L71*$J$4+$M$4*$J$5+[29]FormattedData!L71^2*$J$6+$M$5*$J$7</f>
        <v>-1.1852540612398474</v>
      </c>
      <c r="T70" s="6">
        <f>$J$3+[29]FormattedData!M71*$J$4+$M$4*$J$5+[29]FormattedData!M71^2*$J$6+$M$5*$J$7</f>
        <v>-1.1852540612398474</v>
      </c>
      <c r="U70" s="6">
        <f>$J$3+[29]FormattedData!N71*$J$4+$M$4*$J$5+[29]FormattedData!N71^2*$J$6+$M$5*$J$7</f>
        <v>-1.1852540612398474</v>
      </c>
      <c r="V70" s="6">
        <f>$J$3+[29]FormattedData!O71*$J$4+$M$4*$J$5+[29]FormattedData!O71^2*$J$6+$M$5*$J$7</f>
        <v>-1.1852540612398474</v>
      </c>
      <c r="W70" s="5">
        <f t="shared" si="9"/>
        <v>-1.1852540612398474</v>
      </c>
      <c r="X70" s="4">
        <f t="shared" si="10"/>
        <v>0</v>
      </c>
      <c r="Y70" s="3">
        <f t="shared" si="11"/>
        <v>-1.1852540612398474</v>
      </c>
      <c r="Z70" s="2">
        <f t="shared" si="12"/>
        <v>-1.1852540612398474</v>
      </c>
      <c r="AA70" s="3">
        <f t="shared" si="13"/>
        <v>-1.1852540612398474</v>
      </c>
      <c r="AB70" s="2">
        <f t="shared" si="14"/>
        <v>-1.1852540612398474</v>
      </c>
      <c r="AC70" s="2">
        <f t="shared" si="15"/>
        <v>-1.1852540612398474</v>
      </c>
      <c r="AD70" s="2" t="e">
        <f t="shared" si="16"/>
        <v>#DIV/0!</v>
      </c>
      <c r="AE70" s="2" t="e">
        <f t="shared" si="17"/>
        <v>#DIV/0!</v>
      </c>
    </row>
    <row r="71" spans="2:31" x14ac:dyDescent="0.2">
      <c r="B71" s="1">
        <f>[29]FormattedData!A73</f>
        <v>0</v>
      </c>
      <c r="C71" s="1" t="e">
        <f>VLOOKUP($B71,[29]TrtCodes!$B$11:I116,2)</f>
        <v>#N/A</v>
      </c>
      <c r="D71" s="1" t="e">
        <f>VLOOKUP($B71,[29]TrtCodes!$B$11:J116,3)</f>
        <v>#N/A</v>
      </c>
      <c r="E71" s="1" t="e">
        <f>VLOOKUP($B71,[29]TrtCodes!$B$11:K116,4)</f>
        <v>#N/A</v>
      </c>
      <c r="F71" s="1" t="e">
        <f>VLOOKUP($B71,[29]TrtCodes!$B$11:L116,5)</f>
        <v>#N/A</v>
      </c>
      <c r="G71" s="1" t="e">
        <f>VLOOKUP($B71,[29]TrtCodes!$B$11:M116,6)</f>
        <v>#N/A</v>
      </c>
      <c r="H71" s="1" t="e">
        <f>VLOOKUP($B71,[29]TrtCodes!$B$11:N116,7)</f>
        <v>#N/A</v>
      </c>
      <c r="I71" s="1">
        <f>[29]FormattedData!B73</f>
        <v>0</v>
      </c>
      <c r="J71" s="4">
        <f>[29]FormattedData!C73</f>
        <v>0</v>
      </c>
      <c r="K71" s="6">
        <f>$J$3+[29]FormattedData!D73*$J$4+$M$4*$J$5+[29]FormattedData!D73^2*$J$6+$M$5*$J$7</f>
        <v>-1.1852540612398474</v>
      </c>
      <c r="L71" s="6">
        <f>$J$3+[29]FormattedData!E73*$J$4+$M$4*$J$5+[29]FormattedData!E73^2*$J$6+$M$5*$J$7</f>
        <v>-1.1852540612398474</v>
      </c>
      <c r="M71" s="6">
        <f>$J$3+[29]FormattedData!F73*$J$4+$M$4*$J$5+[29]FormattedData!F73^2*$J$6+$M$5*$J$7</f>
        <v>-1.1852540612398474</v>
      </c>
      <c r="N71" s="6">
        <f>$J$3+[29]FormattedData!G73*$J$4+$M$4*$J$5+[29]FormattedData!G73^2*$J$6+$M$5*$J$7</f>
        <v>-1.1852540612398474</v>
      </c>
      <c r="O71" s="6">
        <f>$J$3+[29]FormattedData!H73*$J$4+$M$4*$J$5+[29]FormattedData!H73^2*$J$6+$M$5*$J$7</f>
        <v>-1.1852540612398474</v>
      </c>
      <c r="P71" s="6">
        <f>$J$3+[29]FormattedData!I73*$J$4+$M$4*$J$5+[29]FormattedData!I73^2*$J$6+$M$5*$J$7</f>
        <v>-1.1852540612398474</v>
      </c>
      <c r="Q71" s="6">
        <f>$J$3+[29]FormattedData!J73*$J$4+$M$4*$J$5+[29]FormattedData!J73^2*$J$6+$M$5*$J$7</f>
        <v>-1.1852540612398474</v>
      </c>
      <c r="R71" s="6">
        <f>$J$3+[29]FormattedData!K73*$J$4+$M$4*$J$5+[29]FormattedData!K73^2*$J$6+$M$5*$J$7</f>
        <v>-1.1852540612398474</v>
      </c>
      <c r="S71" s="6">
        <f>$J$3+[29]FormattedData!L73*$J$4+$M$4*$J$5+[29]FormattedData!L73^2*$J$6+$M$5*$J$7</f>
        <v>-1.1852540612398474</v>
      </c>
      <c r="T71" s="6">
        <f>$J$3+[29]FormattedData!M73*$J$4+$M$4*$J$5+[29]FormattedData!M73^2*$J$6+$M$5*$J$7</f>
        <v>-1.1852540612398474</v>
      </c>
      <c r="U71" s="6">
        <f>$J$3+[29]FormattedData!N73*$J$4+$M$4*$J$5+[29]FormattedData!N73^2*$J$6+$M$5*$J$7</f>
        <v>-1.1852540612398474</v>
      </c>
      <c r="V71" s="6">
        <f>$J$3+[29]FormattedData!O73*$J$4+$M$4*$J$5+[29]FormattedData!O73^2*$J$6+$M$5*$J$7</f>
        <v>-1.1852540612398474</v>
      </c>
      <c r="W71" s="5">
        <f t="shared" si="9"/>
        <v>-1.1852540612398474</v>
      </c>
      <c r="X71" s="4">
        <f t="shared" si="10"/>
        <v>0</v>
      </c>
      <c r="Y71" s="3">
        <f t="shared" si="11"/>
        <v>-1.1852540612398474</v>
      </c>
      <c r="Z71" s="2">
        <f t="shared" si="12"/>
        <v>-1.1852540612398474</v>
      </c>
      <c r="AA71" s="3">
        <f t="shared" si="13"/>
        <v>-1.1852540612398474</v>
      </c>
      <c r="AB71" s="2">
        <f t="shared" si="14"/>
        <v>-1.1852540612398474</v>
      </c>
      <c r="AC71" s="2">
        <f t="shared" si="15"/>
        <v>-1.1852540612398474</v>
      </c>
      <c r="AD71" s="2" t="e">
        <f t="shared" si="16"/>
        <v>#DIV/0!</v>
      </c>
      <c r="AE71" s="2" t="e">
        <f t="shared" si="17"/>
        <v>#DIV/0!</v>
      </c>
    </row>
    <row r="72" spans="2:31" x14ac:dyDescent="0.2">
      <c r="B72" s="1">
        <f>[29]FormattedData!A75</f>
        <v>0</v>
      </c>
      <c r="C72" s="1" t="e">
        <f>VLOOKUP($B72,[29]TrtCodes!$B$11:I118,2)</f>
        <v>#N/A</v>
      </c>
      <c r="D72" s="1" t="e">
        <f>VLOOKUP($B72,[29]TrtCodes!$B$11:J118,3)</f>
        <v>#N/A</v>
      </c>
      <c r="E72" s="1" t="e">
        <f>VLOOKUP($B72,[29]TrtCodes!$B$11:K118,4)</f>
        <v>#N/A</v>
      </c>
      <c r="F72" s="1" t="e">
        <f>VLOOKUP($B72,[29]TrtCodes!$B$11:L118,5)</f>
        <v>#N/A</v>
      </c>
      <c r="G72" s="1" t="e">
        <f>VLOOKUP($B72,[29]TrtCodes!$B$11:M118,6)</f>
        <v>#N/A</v>
      </c>
      <c r="H72" s="1" t="e">
        <f>VLOOKUP($B72,[29]TrtCodes!$B$11:N118,7)</f>
        <v>#N/A</v>
      </c>
      <c r="I72" s="1">
        <f>[29]FormattedData!B75</f>
        <v>0</v>
      </c>
      <c r="J72" s="4">
        <f>[29]FormattedData!C75</f>
        <v>0</v>
      </c>
      <c r="K72" s="6">
        <f>$J$3+[29]FormattedData!D75*$J$4+$M$4*$J$5+[29]FormattedData!D75^2*$J$6+$M$5*$J$7</f>
        <v>-1.1852540612398474</v>
      </c>
      <c r="L72" s="6">
        <f>$J$3+[29]FormattedData!E75*$J$4+$M$4*$J$5+[29]FormattedData!E75^2*$J$6+$M$5*$J$7</f>
        <v>-1.1852540612398474</v>
      </c>
      <c r="M72" s="6">
        <f>$J$3+[29]FormattedData!F75*$J$4+$M$4*$J$5+[29]FormattedData!F75^2*$J$6+$M$5*$J$7</f>
        <v>-1.1852540612398474</v>
      </c>
      <c r="N72" s="6">
        <f>$J$3+[29]FormattedData!G75*$J$4+$M$4*$J$5+[29]FormattedData!G75^2*$J$6+$M$5*$J$7</f>
        <v>-1.1852540612398474</v>
      </c>
      <c r="O72" s="6">
        <f>$J$3+[29]FormattedData!H75*$J$4+$M$4*$J$5+[29]FormattedData!H75^2*$J$6+$M$5*$J$7</f>
        <v>-1.1852540612398474</v>
      </c>
      <c r="P72" s="6">
        <f>$J$3+[29]FormattedData!I75*$J$4+$M$4*$J$5+[29]FormattedData!I75^2*$J$6+$M$5*$J$7</f>
        <v>-1.1852540612398474</v>
      </c>
      <c r="Q72" s="6">
        <f>$J$3+[29]FormattedData!J75*$J$4+$M$4*$J$5+[29]FormattedData!J75^2*$J$6+$M$5*$J$7</f>
        <v>-1.1852540612398474</v>
      </c>
      <c r="R72" s="6">
        <f>$J$3+[29]FormattedData!K75*$J$4+$M$4*$J$5+[29]FormattedData!K75^2*$J$6+$M$5*$J$7</f>
        <v>-1.1852540612398474</v>
      </c>
      <c r="S72" s="6">
        <f>$J$3+[29]FormattedData!L75*$J$4+$M$4*$J$5+[29]FormattedData!L75^2*$J$6+$M$5*$J$7</f>
        <v>-1.1852540612398474</v>
      </c>
      <c r="T72" s="6">
        <f>$J$3+[29]FormattedData!M75*$J$4+$M$4*$J$5+[29]FormattedData!M75^2*$J$6+$M$5*$J$7</f>
        <v>-1.1852540612398474</v>
      </c>
      <c r="U72" s="6">
        <f>$J$3+[29]FormattedData!N75*$J$4+$M$4*$J$5+[29]FormattedData!N75^2*$J$6+$M$5*$J$7</f>
        <v>-1.1852540612398474</v>
      </c>
      <c r="V72" s="6">
        <f>$J$3+[29]FormattedData!O75*$J$4+$M$4*$J$5+[29]FormattedData!O75^2*$J$6+$M$5*$J$7</f>
        <v>-1.1852540612398474</v>
      </c>
      <c r="W72" s="5">
        <f t="shared" si="9"/>
        <v>-1.1852540612398474</v>
      </c>
      <c r="X72" s="4">
        <f t="shared" si="10"/>
        <v>0</v>
      </c>
      <c r="Y72" s="3">
        <f t="shared" si="11"/>
        <v>-1.1852540612398474</v>
      </c>
      <c r="Z72" s="2">
        <f t="shared" si="12"/>
        <v>-1.1852540612398474</v>
      </c>
      <c r="AA72" s="3">
        <f t="shared" si="13"/>
        <v>-1.1852540612398474</v>
      </c>
      <c r="AB72" s="2">
        <f t="shared" si="14"/>
        <v>-1.1852540612398474</v>
      </c>
      <c r="AC72" s="2">
        <f t="shared" si="15"/>
        <v>-1.1852540612398474</v>
      </c>
      <c r="AD72" s="2" t="e">
        <f t="shared" si="16"/>
        <v>#DIV/0!</v>
      </c>
      <c r="AE72" s="2" t="e">
        <f t="shared" si="17"/>
        <v>#DIV/0!</v>
      </c>
    </row>
    <row r="73" spans="2:31" x14ac:dyDescent="0.2">
      <c r="B73" s="1">
        <f>[29]FormattedData!A77</f>
        <v>0</v>
      </c>
      <c r="C73" s="1" t="e">
        <f>VLOOKUP($B73,[29]TrtCodes!$B$11:I120,2)</f>
        <v>#N/A</v>
      </c>
      <c r="D73" s="1" t="e">
        <f>VLOOKUP($B73,[29]TrtCodes!$B$11:J120,3)</f>
        <v>#N/A</v>
      </c>
      <c r="E73" s="1" t="e">
        <f>VLOOKUP($B73,[29]TrtCodes!$B$11:K120,4)</f>
        <v>#N/A</v>
      </c>
      <c r="F73" s="1" t="e">
        <f>VLOOKUP($B73,[29]TrtCodes!$B$11:L120,5)</f>
        <v>#N/A</v>
      </c>
      <c r="G73" s="1" t="e">
        <f>VLOOKUP($B73,[29]TrtCodes!$B$11:M120,6)</f>
        <v>#N/A</v>
      </c>
      <c r="H73" s="1" t="e">
        <f>VLOOKUP($B73,[29]TrtCodes!$B$11:N120,7)</f>
        <v>#N/A</v>
      </c>
      <c r="I73" s="1">
        <f>[29]FormattedData!B77</f>
        <v>0</v>
      </c>
      <c r="J73" s="4">
        <f>[29]FormattedData!C77</f>
        <v>0</v>
      </c>
      <c r="K73" s="6">
        <f>$J$3+[29]FormattedData!D77*$J$4+$M$4*$J$5+[29]FormattedData!D77^2*$J$6+$M$5*$J$7</f>
        <v>-1.1852540612398474</v>
      </c>
      <c r="L73" s="6">
        <f>$J$3+[29]FormattedData!E77*$J$4+$M$4*$J$5+[29]FormattedData!E77^2*$J$6+$M$5*$J$7</f>
        <v>-1.1852540612398474</v>
      </c>
      <c r="M73" s="6">
        <f>$J$3+[29]FormattedData!F77*$J$4+$M$4*$J$5+[29]FormattedData!F77^2*$J$6+$M$5*$J$7</f>
        <v>-1.1852540612398474</v>
      </c>
      <c r="N73" s="6">
        <f>$J$3+[29]FormattedData!G77*$J$4+$M$4*$J$5+[29]FormattedData!G77^2*$J$6+$M$5*$J$7</f>
        <v>-1.1852540612398474</v>
      </c>
      <c r="O73" s="6">
        <f>$J$3+[29]FormattedData!H77*$J$4+$M$4*$J$5+[29]FormattedData!H77^2*$J$6+$M$5*$J$7</f>
        <v>-1.1852540612398474</v>
      </c>
      <c r="P73" s="6">
        <f>$J$3+[29]FormattedData!I77*$J$4+$M$4*$J$5+[29]FormattedData!I77^2*$J$6+$M$5*$J$7</f>
        <v>-1.1852540612398474</v>
      </c>
      <c r="Q73" s="6">
        <f>$J$3+[29]FormattedData!J77*$J$4+$M$4*$J$5+[29]FormattedData!J77^2*$J$6+$M$5*$J$7</f>
        <v>-1.1852540612398474</v>
      </c>
      <c r="R73" s="6">
        <f>$J$3+[29]FormattedData!K77*$J$4+$M$4*$J$5+[29]FormattedData!K77^2*$J$6+$M$5*$J$7</f>
        <v>-1.1852540612398474</v>
      </c>
      <c r="S73" s="6">
        <f>$J$3+[29]FormattedData!L77*$J$4+$M$4*$J$5+[29]FormattedData!L77^2*$J$6+$M$5*$J$7</f>
        <v>-1.1852540612398474</v>
      </c>
      <c r="T73" s="6">
        <f>$J$3+[29]FormattedData!M77*$J$4+$M$4*$J$5+[29]FormattedData!M77^2*$J$6+$M$5*$J$7</f>
        <v>-1.1852540612398474</v>
      </c>
      <c r="U73" s="6">
        <f>$J$3+[29]FormattedData!N77*$J$4+$M$4*$J$5+[29]FormattedData!N77^2*$J$6+$M$5*$J$7</f>
        <v>-1.1852540612398474</v>
      </c>
      <c r="V73" s="6">
        <f>$J$3+[29]FormattedData!O77*$J$4+$M$4*$J$5+[29]FormattedData!O77^2*$J$6+$M$5*$J$7</f>
        <v>-1.1852540612398474</v>
      </c>
      <c r="W73" s="5">
        <f t="shared" si="9"/>
        <v>-1.1852540612398474</v>
      </c>
      <c r="X73" s="4">
        <f t="shared" si="10"/>
        <v>0</v>
      </c>
      <c r="Y73" s="3">
        <f t="shared" si="11"/>
        <v>-1.1852540612398474</v>
      </c>
      <c r="Z73" s="2">
        <f t="shared" si="12"/>
        <v>-1.1852540612398474</v>
      </c>
      <c r="AA73" s="3">
        <f t="shared" si="13"/>
        <v>-1.1852540612398474</v>
      </c>
      <c r="AB73" s="2">
        <f t="shared" si="14"/>
        <v>-1.1852540612398474</v>
      </c>
      <c r="AC73" s="2">
        <f t="shared" si="15"/>
        <v>-1.1852540612398474</v>
      </c>
      <c r="AD73" s="2" t="e">
        <f t="shared" si="16"/>
        <v>#DIV/0!</v>
      </c>
      <c r="AE73" s="2" t="e">
        <f t="shared" si="17"/>
        <v>#DIV/0!</v>
      </c>
    </row>
    <row r="74" spans="2:31" x14ac:dyDescent="0.2">
      <c r="B74" s="1">
        <f>[29]FormattedData!A93</f>
        <v>0</v>
      </c>
      <c r="C74" s="1" t="e">
        <f>VLOOKUP($B74,[29]TrtCodes!$B$11:I130,2)</f>
        <v>#N/A</v>
      </c>
      <c r="D74" s="1" t="e">
        <f>VLOOKUP($B74,[29]TrtCodes!$B$11:J130,3)</f>
        <v>#N/A</v>
      </c>
      <c r="E74" s="1" t="e">
        <f>VLOOKUP($B74,[29]TrtCodes!$B$11:K130,4)</f>
        <v>#N/A</v>
      </c>
      <c r="F74" s="1" t="e">
        <f>VLOOKUP($B74,[29]TrtCodes!$B$11:L130,5)</f>
        <v>#N/A</v>
      </c>
      <c r="G74" s="1" t="e">
        <f>VLOOKUP($B74,[29]TrtCodes!$B$11:M130,6)</f>
        <v>#N/A</v>
      </c>
      <c r="H74" s="1" t="e">
        <f>VLOOKUP($B74,[29]TrtCodes!$B$11:N130,7)</f>
        <v>#N/A</v>
      </c>
      <c r="I74" s="1">
        <f>[29]FormattedData!B93</f>
        <v>0</v>
      </c>
      <c r="J74" s="4">
        <f>[29]FormattedData!C93</f>
        <v>0</v>
      </c>
      <c r="K74" s="6">
        <f>$J$3+[29]FormattedData!D93*$J$4+$M$4*$J$5+[29]FormattedData!D93^2*$J$6+$M$5*$J$7</f>
        <v>-1.1852540612398474</v>
      </c>
      <c r="L74" s="6">
        <f>$J$3+[29]FormattedData!E93*$J$4+$M$4*$J$5+[29]FormattedData!E93^2*$J$6+$M$5*$J$7</f>
        <v>-1.1852540612398474</v>
      </c>
      <c r="M74" s="6">
        <f>$J$3+[29]FormattedData!F93*$J$4+$M$4*$J$5+[29]FormattedData!F93^2*$J$6+$M$5*$J$7</f>
        <v>-1.1852540612398474</v>
      </c>
      <c r="N74" s="6">
        <f>$J$3+[29]FormattedData!G93*$J$4+$M$4*$J$5+[29]FormattedData!G93^2*$J$6+$M$5*$J$7</f>
        <v>-1.1852540612398474</v>
      </c>
      <c r="O74" s="6">
        <f>$J$3+[29]FormattedData!H93*$J$4+$M$4*$J$5+[29]FormattedData!H93^2*$J$6+$M$5*$J$7</f>
        <v>-1.1852540612398474</v>
      </c>
      <c r="P74" s="6">
        <f>$J$3+[29]FormattedData!I93*$J$4+$M$4*$J$5+[29]FormattedData!I93^2*$J$6+$M$5*$J$7</f>
        <v>-1.1852540612398474</v>
      </c>
      <c r="Q74" s="6">
        <f>$J$3+[29]FormattedData!J93*$J$4+$M$4*$J$5+[29]FormattedData!J93^2*$J$6+$M$5*$J$7</f>
        <v>-1.1852540612398474</v>
      </c>
      <c r="R74" s="6">
        <f>$J$3+[29]FormattedData!K93*$J$4+$M$4*$J$5+[29]FormattedData!K93^2*$J$6+$M$5*$J$7</f>
        <v>-1.1852540612398474</v>
      </c>
      <c r="S74" s="6">
        <f>$J$3+[29]FormattedData!L93*$J$4+$M$4*$J$5+[29]FormattedData!L93^2*$J$6+$M$5*$J$7</f>
        <v>-1.1852540612398474</v>
      </c>
      <c r="T74" s="6">
        <f>$J$3+[29]FormattedData!M93*$J$4+$M$4*$J$5+[29]FormattedData!M93^2*$J$6+$M$5*$J$7</f>
        <v>-1.1852540612398474</v>
      </c>
      <c r="U74" s="6">
        <f>$J$3+[29]FormattedData!N93*$J$4+$M$4*$J$5+[29]FormattedData!N93^2*$J$6+$M$5*$J$7</f>
        <v>-1.1852540612398474</v>
      </c>
      <c r="V74" s="6">
        <f>$J$3+[29]FormattedData!O93*$J$4+$M$4*$J$5+[29]FormattedData!O93^2*$J$6+$M$5*$J$7</f>
        <v>-1.1852540612398474</v>
      </c>
      <c r="W74" s="5">
        <f t="shared" ref="W74:W105" si="18">AVERAGE(K74:V74)</f>
        <v>-1.1852540612398474</v>
      </c>
      <c r="X74" s="4">
        <f t="shared" ref="X74:X85" si="19">STDEV(K74:V74)/SQRT(COUNT(K74:V74))</f>
        <v>0</v>
      </c>
      <c r="Y74" s="3">
        <f t="shared" ref="Y74:Y85" si="20">MIN(K74:V74)</f>
        <v>-1.1852540612398474</v>
      </c>
      <c r="Z74" s="2">
        <f t="shared" ref="Z74:Z85" si="21">QUARTILE(K74:V74,1)</f>
        <v>-1.1852540612398474</v>
      </c>
      <c r="AA74" s="3">
        <f t="shared" ref="AA74:AA85" si="22">MEDIAN(K74:V74)</f>
        <v>-1.1852540612398474</v>
      </c>
      <c r="AB74" s="2">
        <f t="shared" ref="AB74:AB85" si="23">QUARTILE(K74:V74,3)</f>
        <v>-1.1852540612398474</v>
      </c>
      <c r="AC74" s="2">
        <f t="shared" ref="AC74:AC85" si="24">MAX(K74:V74)</f>
        <v>-1.1852540612398474</v>
      </c>
      <c r="AD74" s="2" t="e">
        <f t="shared" ref="AD74:AD85" si="25">SKEW(K74:V74)</f>
        <v>#DIV/0!</v>
      </c>
      <c r="AE74" s="2" t="e">
        <f t="shared" ref="AE74:AE85" si="26">KURT(K74:V74)</f>
        <v>#DIV/0!</v>
      </c>
    </row>
    <row r="75" spans="2:31" x14ac:dyDescent="0.2">
      <c r="B75" s="1">
        <f>[29]FormattedData!A91</f>
        <v>0</v>
      </c>
      <c r="C75" s="1" t="e">
        <f>VLOOKUP($B75,[29]TrtCodes!$B$11:I131,2)</f>
        <v>#N/A</v>
      </c>
      <c r="D75" s="1" t="e">
        <f>VLOOKUP($B75,[29]TrtCodes!$B$11:J131,3)</f>
        <v>#N/A</v>
      </c>
      <c r="E75" s="1" t="e">
        <f>VLOOKUP($B75,[29]TrtCodes!$B$11:K131,4)</f>
        <v>#N/A</v>
      </c>
      <c r="F75" s="1" t="e">
        <f>VLOOKUP($B75,[29]TrtCodes!$B$11:L131,5)</f>
        <v>#N/A</v>
      </c>
      <c r="G75" s="1" t="e">
        <f>VLOOKUP($B75,[29]TrtCodes!$B$11:M131,6)</f>
        <v>#N/A</v>
      </c>
      <c r="H75" s="1" t="e">
        <f>VLOOKUP($B75,[29]TrtCodes!$B$11:N131,7)</f>
        <v>#N/A</v>
      </c>
      <c r="I75" s="1">
        <f>[29]FormattedData!B91</f>
        <v>0</v>
      </c>
      <c r="J75" s="4">
        <f>[29]FormattedData!C91</f>
        <v>0</v>
      </c>
      <c r="K75" s="6">
        <f>$J$3+[29]FormattedData!D91*$J$4+$M$4*$J$5+[29]FormattedData!D91^2*$J$6+$M$5*$J$7</f>
        <v>-1.1852540612398474</v>
      </c>
      <c r="L75" s="6">
        <f>$J$3+[29]FormattedData!E91*$J$4+$M$4*$J$5+[29]FormattedData!E91^2*$J$6+$M$5*$J$7</f>
        <v>-1.1852540612398474</v>
      </c>
      <c r="M75" s="6">
        <f>$J$3+[29]FormattedData!F91*$J$4+$M$4*$J$5+[29]FormattedData!F91^2*$J$6+$M$5*$J$7</f>
        <v>-1.1852540612398474</v>
      </c>
      <c r="N75" s="6">
        <f>$J$3+[29]FormattedData!G91*$J$4+$M$4*$J$5+[29]FormattedData!G91^2*$J$6+$M$5*$J$7</f>
        <v>-1.1852540612398474</v>
      </c>
      <c r="O75" s="6">
        <f>$J$3+[29]FormattedData!H91*$J$4+$M$4*$J$5+[29]FormattedData!H91^2*$J$6+$M$5*$J$7</f>
        <v>-1.1852540612398474</v>
      </c>
      <c r="P75" s="6">
        <f>$J$3+[29]FormattedData!I91*$J$4+$M$4*$J$5+[29]FormattedData!I91^2*$J$6+$M$5*$J$7</f>
        <v>-1.1852540612398474</v>
      </c>
      <c r="Q75" s="6">
        <f>$J$3+[29]FormattedData!J91*$J$4+$M$4*$J$5+[29]FormattedData!J91^2*$J$6+$M$5*$J$7</f>
        <v>-1.1852540612398474</v>
      </c>
      <c r="R75" s="6">
        <f>$J$3+[29]FormattedData!K91*$J$4+$M$4*$J$5+[29]FormattedData!K91^2*$J$6+$M$5*$J$7</f>
        <v>-1.1852540612398474</v>
      </c>
      <c r="S75" s="6">
        <f>$J$3+[29]FormattedData!L91*$J$4+$M$4*$J$5+[29]FormattedData!L91^2*$J$6+$M$5*$J$7</f>
        <v>-1.1852540612398474</v>
      </c>
      <c r="T75" s="6">
        <f>$J$3+[29]FormattedData!M91*$J$4+$M$4*$J$5+[29]FormattedData!M91^2*$J$6+$M$5*$J$7</f>
        <v>-1.1852540612398474</v>
      </c>
      <c r="U75" s="6">
        <f>$J$3+[29]FormattedData!N91*$J$4+$M$4*$J$5+[29]FormattedData!N91^2*$J$6+$M$5*$J$7</f>
        <v>-1.1852540612398474</v>
      </c>
      <c r="V75" s="6">
        <f>$J$3+[29]FormattedData!O91*$J$4+$M$4*$J$5+[29]FormattedData!O91^2*$J$6+$M$5*$J$7</f>
        <v>-1.1852540612398474</v>
      </c>
      <c r="W75" s="5">
        <f t="shared" si="18"/>
        <v>-1.1852540612398474</v>
      </c>
      <c r="X75" s="4">
        <f t="shared" si="19"/>
        <v>0</v>
      </c>
      <c r="Y75" s="3">
        <f t="shared" si="20"/>
        <v>-1.1852540612398474</v>
      </c>
      <c r="Z75" s="2">
        <f t="shared" si="21"/>
        <v>-1.1852540612398474</v>
      </c>
      <c r="AA75" s="3">
        <f t="shared" si="22"/>
        <v>-1.1852540612398474</v>
      </c>
      <c r="AB75" s="2">
        <f t="shared" si="23"/>
        <v>-1.1852540612398474</v>
      </c>
      <c r="AC75" s="2">
        <f t="shared" si="24"/>
        <v>-1.1852540612398474</v>
      </c>
      <c r="AD75" s="2" t="e">
        <f t="shared" si="25"/>
        <v>#DIV/0!</v>
      </c>
      <c r="AE75" s="2" t="e">
        <f t="shared" si="26"/>
        <v>#DIV/0!</v>
      </c>
    </row>
    <row r="76" spans="2:31" x14ac:dyDescent="0.2">
      <c r="B76" s="1">
        <f>[29]FormattedData!A89</f>
        <v>0</v>
      </c>
      <c r="C76" s="1" t="e">
        <f>VLOOKUP($B76,[29]TrtCodes!$B$11:I132,2)</f>
        <v>#N/A</v>
      </c>
      <c r="D76" s="1" t="e">
        <f>VLOOKUP($B76,[29]TrtCodes!$B$11:J132,3)</f>
        <v>#N/A</v>
      </c>
      <c r="E76" s="1" t="e">
        <f>VLOOKUP($B76,[29]TrtCodes!$B$11:K132,4)</f>
        <v>#N/A</v>
      </c>
      <c r="F76" s="1" t="e">
        <f>VLOOKUP($B76,[29]TrtCodes!$B$11:L132,5)</f>
        <v>#N/A</v>
      </c>
      <c r="G76" s="1" t="e">
        <f>VLOOKUP($B76,[29]TrtCodes!$B$11:M132,6)</f>
        <v>#N/A</v>
      </c>
      <c r="H76" s="1" t="e">
        <f>VLOOKUP($B76,[29]TrtCodes!$B$11:N132,7)</f>
        <v>#N/A</v>
      </c>
      <c r="I76" s="1">
        <f>[29]FormattedData!B89</f>
        <v>0</v>
      </c>
      <c r="J76" s="4">
        <f>[29]FormattedData!C89</f>
        <v>0</v>
      </c>
      <c r="K76" s="6">
        <f>$J$3+[29]FormattedData!D89*$J$4+$M$4*$J$5+[29]FormattedData!D89^2*$J$6+$M$5*$J$7</f>
        <v>-1.1852540612398474</v>
      </c>
      <c r="L76" s="6">
        <f>$J$3+[29]FormattedData!E89*$J$4+$M$4*$J$5+[29]FormattedData!E89^2*$J$6+$M$5*$J$7</f>
        <v>-1.1852540612398474</v>
      </c>
      <c r="M76" s="6">
        <f>$J$3+[29]FormattedData!F89*$J$4+$M$4*$J$5+[29]FormattedData!F89^2*$J$6+$M$5*$J$7</f>
        <v>-1.1852540612398474</v>
      </c>
      <c r="N76" s="6">
        <f>$J$3+[29]FormattedData!G89*$J$4+$M$4*$J$5+[29]FormattedData!G89^2*$J$6+$M$5*$J$7</f>
        <v>-1.1852540612398474</v>
      </c>
      <c r="O76" s="6">
        <f>$J$3+[29]FormattedData!H89*$J$4+$M$4*$J$5+[29]FormattedData!H89^2*$J$6+$M$5*$J$7</f>
        <v>-1.1852540612398474</v>
      </c>
      <c r="P76" s="6">
        <f>$J$3+[29]FormattedData!I89*$J$4+$M$4*$J$5+[29]FormattedData!I89^2*$J$6+$M$5*$J$7</f>
        <v>-1.1852540612398474</v>
      </c>
      <c r="Q76" s="6">
        <f>$J$3+[29]FormattedData!J89*$J$4+$M$4*$J$5+[29]FormattedData!J89^2*$J$6+$M$5*$J$7</f>
        <v>-1.1852540612398474</v>
      </c>
      <c r="R76" s="6">
        <f>$J$3+[29]FormattedData!K89*$J$4+$M$4*$J$5+[29]FormattedData!K89^2*$J$6+$M$5*$J$7</f>
        <v>-1.1852540612398474</v>
      </c>
      <c r="S76" s="6">
        <f>$J$3+[29]FormattedData!L89*$J$4+$M$4*$J$5+[29]FormattedData!L89^2*$J$6+$M$5*$J$7</f>
        <v>-1.1852540612398474</v>
      </c>
      <c r="T76" s="6">
        <f>$J$3+[29]FormattedData!M89*$J$4+$M$4*$J$5+[29]FormattedData!M89^2*$J$6+$M$5*$J$7</f>
        <v>-1.1852540612398474</v>
      </c>
      <c r="U76" s="6">
        <f>$J$3+[29]FormattedData!N89*$J$4+$M$4*$J$5+[29]FormattedData!N89^2*$J$6+$M$5*$J$7</f>
        <v>-1.1852540612398474</v>
      </c>
      <c r="V76" s="6">
        <f>$J$3+[29]FormattedData!O89*$J$4+$M$4*$J$5+[29]FormattedData!O89^2*$J$6+$M$5*$J$7</f>
        <v>-1.1852540612398474</v>
      </c>
      <c r="W76" s="5">
        <f t="shared" si="18"/>
        <v>-1.1852540612398474</v>
      </c>
      <c r="X76" s="4">
        <f t="shared" si="19"/>
        <v>0</v>
      </c>
      <c r="Y76" s="3">
        <f t="shared" si="20"/>
        <v>-1.1852540612398474</v>
      </c>
      <c r="Z76" s="2">
        <f t="shared" si="21"/>
        <v>-1.1852540612398474</v>
      </c>
      <c r="AA76" s="3">
        <f t="shared" si="22"/>
        <v>-1.1852540612398474</v>
      </c>
      <c r="AB76" s="2">
        <f t="shared" si="23"/>
        <v>-1.1852540612398474</v>
      </c>
      <c r="AC76" s="2">
        <f t="shared" si="24"/>
        <v>-1.1852540612398474</v>
      </c>
      <c r="AD76" s="2" t="e">
        <f t="shared" si="25"/>
        <v>#DIV/0!</v>
      </c>
      <c r="AE76" s="2" t="e">
        <f t="shared" si="26"/>
        <v>#DIV/0!</v>
      </c>
    </row>
    <row r="77" spans="2:31" x14ac:dyDescent="0.2">
      <c r="B77" s="1">
        <f>[29]FormattedData!A87</f>
        <v>0</v>
      </c>
      <c r="C77" s="1" t="e">
        <f>VLOOKUP($B77,[29]TrtCodes!$B$11:I130,2)</f>
        <v>#N/A</v>
      </c>
      <c r="D77" s="1" t="e">
        <f>VLOOKUP($B77,[29]TrtCodes!$B$11:J130,3)</f>
        <v>#N/A</v>
      </c>
      <c r="E77" s="1" t="e">
        <f>VLOOKUP($B77,[29]TrtCodes!$B$11:K130,4)</f>
        <v>#N/A</v>
      </c>
      <c r="F77" s="1" t="e">
        <f>VLOOKUP($B77,[29]TrtCodes!$B$11:L130,5)</f>
        <v>#N/A</v>
      </c>
      <c r="G77" s="1" t="e">
        <f>VLOOKUP($B77,[29]TrtCodes!$B$11:M130,6)</f>
        <v>#N/A</v>
      </c>
      <c r="H77" s="1" t="e">
        <f>VLOOKUP($B77,[29]TrtCodes!$B$11:N130,7)</f>
        <v>#N/A</v>
      </c>
      <c r="I77" s="1">
        <f>[29]FormattedData!B87</f>
        <v>0</v>
      </c>
      <c r="J77" s="4">
        <f>[29]FormattedData!C87</f>
        <v>0</v>
      </c>
      <c r="K77" s="6">
        <f>$J$3+[29]FormattedData!D87*$J$4+$M$4*$J$5+[29]FormattedData!D87^2*$J$6+$M$5*$J$7</f>
        <v>-1.1852540612398474</v>
      </c>
      <c r="L77" s="6">
        <f>$J$3+[29]FormattedData!E87*$J$4+$M$4*$J$5+[29]FormattedData!E87^2*$J$6+$M$5*$J$7</f>
        <v>-1.1852540612398474</v>
      </c>
      <c r="M77" s="6">
        <f>$J$3+[29]FormattedData!F87*$J$4+$M$4*$J$5+[29]FormattedData!F87^2*$J$6+$M$5*$J$7</f>
        <v>-1.1852540612398474</v>
      </c>
      <c r="N77" s="6">
        <f>$J$3+[29]FormattedData!G87*$J$4+$M$4*$J$5+[29]FormattedData!G87^2*$J$6+$M$5*$J$7</f>
        <v>-1.1852540612398474</v>
      </c>
      <c r="O77" s="6">
        <f>$J$3+[29]FormattedData!H87*$J$4+$M$4*$J$5+[29]FormattedData!H87^2*$J$6+$M$5*$J$7</f>
        <v>-1.1852540612398474</v>
      </c>
      <c r="P77" s="6">
        <f>$J$3+[29]FormattedData!I87*$J$4+$M$4*$J$5+[29]FormattedData!I87^2*$J$6+$M$5*$J$7</f>
        <v>-1.1852540612398474</v>
      </c>
      <c r="Q77" s="6">
        <f>$J$3+[29]FormattedData!J87*$J$4+$M$4*$J$5+[29]FormattedData!J87^2*$J$6+$M$5*$J$7</f>
        <v>-1.1852540612398474</v>
      </c>
      <c r="R77" s="6">
        <f>$J$3+[29]FormattedData!K87*$J$4+$M$4*$J$5+[29]FormattedData!K87^2*$J$6+$M$5*$J$7</f>
        <v>-1.1852540612398474</v>
      </c>
      <c r="S77" s="6">
        <f>$J$3+[29]FormattedData!L87*$J$4+$M$4*$J$5+[29]FormattedData!L87^2*$J$6+$M$5*$J$7</f>
        <v>-1.1852540612398474</v>
      </c>
      <c r="T77" s="6">
        <f>$J$3+[29]FormattedData!M87*$J$4+$M$4*$J$5+[29]FormattedData!M87^2*$J$6+$M$5*$J$7</f>
        <v>-1.1852540612398474</v>
      </c>
      <c r="U77" s="6">
        <f>$J$3+[29]FormattedData!N87*$J$4+$M$4*$J$5+[29]FormattedData!N87^2*$J$6+$M$5*$J$7</f>
        <v>-1.1852540612398474</v>
      </c>
      <c r="V77" s="6">
        <f>$J$3+[29]FormattedData!O87*$J$4+$M$4*$J$5+[29]FormattedData!O87^2*$J$6+$M$5*$J$7</f>
        <v>-1.1852540612398474</v>
      </c>
      <c r="W77" s="5">
        <f t="shared" si="18"/>
        <v>-1.1852540612398474</v>
      </c>
      <c r="X77" s="4">
        <f t="shared" si="19"/>
        <v>0</v>
      </c>
      <c r="Y77" s="3">
        <f t="shared" si="20"/>
        <v>-1.1852540612398474</v>
      </c>
      <c r="Z77" s="2">
        <f t="shared" si="21"/>
        <v>-1.1852540612398474</v>
      </c>
      <c r="AA77" s="3">
        <f t="shared" si="22"/>
        <v>-1.1852540612398474</v>
      </c>
      <c r="AB77" s="2">
        <f t="shared" si="23"/>
        <v>-1.1852540612398474</v>
      </c>
      <c r="AC77" s="2">
        <f t="shared" si="24"/>
        <v>-1.1852540612398474</v>
      </c>
      <c r="AD77" s="2" t="e">
        <f t="shared" si="25"/>
        <v>#DIV/0!</v>
      </c>
      <c r="AE77" s="2" t="e">
        <f t="shared" si="26"/>
        <v>#DIV/0!</v>
      </c>
    </row>
    <row r="78" spans="2:31" x14ac:dyDescent="0.2">
      <c r="B78" s="1">
        <f>[29]FormattedData!A85</f>
        <v>0</v>
      </c>
      <c r="C78" s="1" t="e">
        <f>VLOOKUP($B78,[29]TrtCodes!$B$11:I128,2)</f>
        <v>#N/A</v>
      </c>
      <c r="D78" s="1" t="e">
        <f>VLOOKUP($B78,[29]TrtCodes!$B$11:J128,3)</f>
        <v>#N/A</v>
      </c>
      <c r="E78" s="1" t="e">
        <f>VLOOKUP($B78,[29]TrtCodes!$B$11:K128,4)</f>
        <v>#N/A</v>
      </c>
      <c r="F78" s="1" t="e">
        <f>VLOOKUP($B78,[29]TrtCodes!$B$11:L128,5)</f>
        <v>#N/A</v>
      </c>
      <c r="G78" s="1" t="e">
        <f>VLOOKUP($B78,[29]TrtCodes!$B$11:M128,6)</f>
        <v>#N/A</v>
      </c>
      <c r="H78" s="1" t="e">
        <f>VLOOKUP($B78,[29]TrtCodes!$B$11:N128,7)</f>
        <v>#N/A</v>
      </c>
      <c r="I78" s="1">
        <f>[29]FormattedData!B85</f>
        <v>0</v>
      </c>
      <c r="J78" s="4">
        <f>[29]FormattedData!C85</f>
        <v>0</v>
      </c>
      <c r="K78" s="6">
        <f>$J$3+[29]FormattedData!D85*$J$4+$M$4*$J$5+[29]FormattedData!D85^2*$J$6+$M$5*$J$7</f>
        <v>-1.1852540612398474</v>
      </c>
      <c r="L78" s="6">
        <f>$J$3+[29]FormattedData!E85*$J$4+$M$4*$J$5+[29]FormattedData!E85^2*$J$6+$M$5*$J$7</f>
        <v>-1.1852540612398474</v>
      </c>
      <c r="M78" s="6">
        <f>$J$3+[29]FormattedData!F85*$J$4+$M$4*$J$5+[29]FormattedData!F85^2*$J$6+$M$5*$J$7</f>
        <v>-1.1852540612398474</v>
      </c>
      <c r="N78" s="6">
        <f>$J$3+[29]FormattedData!G85*$J$4+$M$4*$J$5+[29]FormattedData!G85^2*$J$6+$M$5*$J$7</f>
        <v>-1.1852540612398474</v>
      </c>
      <c r="O78" s="6">
        <f>$J$3+[29]FormattedData!H85*$J$4+$M$4*$J$5+[29]FormattedData!H85^2*$J$6+$M$5*$J$7</f>
        <v>-1.1852540612398474</v>
      </c>
      <c r="P78" s="6">
        <f>$J$3+[29]FormattedData!I85*$J$4+$M$4*$J$5+[29]FormattedData!I85^2*$J$6+$M$5*$J$7</f>
        <v>-1.1852540612398474</v>
      </c>
      <c r="Q78" s="6">
        <f>$J$3+[29]FormattedData!J85*$J$4+$M$4*$J$5+[29]FormattedData!J85^2*$J$6+$M$5*$J$7</f>
        <v>-1.1852540612398474</v>
      </c>
      <c r="R78" s="6">
        <f>$J$3+[29]FormattedData!K85*$J$4+$M$4*$J$5+[29]FormattedData!K85^2*$J$6+$M$5*$J$7</f>
        <v>-1.1852540612398474</v>
      </c>
      <c r="S78" s="6">
        <f>$J$3+[29]FormattedData!L85*$J$4+$M$4*$J$5+[29]FormattedData!L85^2*$J$6+$M$5*$J$7</f>
        <v>-1.1852540612398474</v>
      </c>
      <c r="T78" s="6">
        <f>$J$3+[29]FormattedData!M85*$J$4+$M$4*$J$5+[29]FormattedData!M85^2*$J$6+$M$5*$J$7</f>
        <v>-1.1852540612398474</v>
      </c>
      <c r="U78" s="6">
        <f>$J$3+[29]FormattedData!N85*$J$4+$M$4*$J$5+[29]FormattedData!N85^2*$J$6+$M$5*$J$7</f>
        <v>-1.1852540612398474</v>
      </c>
      <c r="V78" s="6">
        <f>$J$3+[29]FormattedData!O85*$J$4+$M$4*$J$5+[29]FormattedData!O85^2*$J$6+$M$5*$J$7</f>
        <v>-1.1852540612398474</v>
      </c>
      <c r="W78" s="5">
        <f t="shared" si="18"/>
        <v>-1.1852540612398474</v>
      </c>
      <c r="X78" s="4">
        <f t="shared" si="19"/>
        <v>0</v>
      </c>
      <c r="Y78" s="3">
        <f t="shared" si="20"/>
        <v>-1.1852540612398474</v>
      </c>
      <c r="Z78" s="2">
        <f t="shared" si="21"/>
        <v>-1.1852540612398474</v>
      </c>
      <c r="AA78" s="3">
        <f t="shared" si="22"/>
        <v>-1.1852540612398474</v>
      </c>
      <c r="AB78" s="2">
        <f t="shared" si="23"/>
        <v>-1.1852540612398474</v>
      </c>
      <c r="AC78" s="2">
        <f t="shared" si="24"/>
        <v>-1.1852540612398474</v>
      </c>
      <c r="AD78" s="2" t="e">
        <f t="shared" si="25"/>
        <v>#DIV/0!</v>
      </c>
      <c r="AE78" s="2" t="e">
        <f t="shared" si="26"/>
        <v>#DIV/0!</v>
      </c>
    </row>
    <row r="79" spans="2:31" x14ac:dyDescent="0.2">
      <c r="B79" s="1">
        <f>[29]FormattedData!A83</f>
        <v>0</v>
      </c>
      <c r="C79" s="1" t="e">
        <f>VLOOKUP($B79,[29]TrtCodes!$B$11:I126,2)</f>
        <v>#N/A</v>
      </c>
      <c r="D79" s="1" t="e">
        <f>VLOOKUP($B79,[29]TrtCodes!$B$11:J126,3)</f>
        <v>#N/A</v>
      </c>
      <c r="E79" s="1" t="e">
        <f>VLOOKUP($B79,[29]TrtCodes!$B$11:K126,4)</f>
        <v>#N/A</v>
      </c>
      <c r="F79" s="1" t="e">
        <f>VLOOKUP($B79,[29]TrtCodes!$B$11:L126,5)</f>
        <v>#N/A</v>
      </c>
      <c r="G79" s="1" t="e">
        <f>VLOOKUP($B79,[29]TrtCodes!$B$11:M126,6)</f>
        <v>#N/A</v>
      </c>
      <c r="H79" s="1" t="e">
        <f>VLOOKUP($B79,[29]TrtCodes!$B$11:N126,7)</f>
        <v>#N/A</v>
      </c>
      <c r="I79" s="1">
        <f>[29]FormattedData!B83</f>
        <v>0</v>
      </c>
      <c r="J79" s="4">
        <f>[29]FormattedData!C83</f>
        <v>0</v>
      </c>
      <c r="K79" s="6">
        <f>$J$3+[29]FormattedData!D83*$J$4+$M$4*$J$5+[29]FormattedData!D83^2*$J$6+$M$5*$J$7</f>
        <v>-1.1852540612398474</v>
      </c>
      <c r="L79" s="6">
        <f>$J$3+[29]FormattedData!E83*$J$4+$M$4*$J$5+[29]FormattedData!E83^2*$J$6+$M$5*$J$7</f>
        <v>-1.1852540612398474</v>
      </c>
      <c r="M79" s="6">
        <f>$J$3+[29]FormattedData!F83*$J$4+$M$4*$J$5+[29]FormattedData!F83^2*$J$6+$M$5*$J$7</f>
        <v>-1.1852540612398474</v>
      </c>
      <c r="N79" s="6">
        <f>$J$3+[29]FormattedData!G83*$J$4+$M$4*$J$5+[29]FormattedData!G83^2*$J$6+$M$5*$J$7</f>
        <v>-1.1852540612398474</v>
      </c>
      <c r="O79" s="6">
        <f>$J$3+[29]FormattedData!H83*$J$4+$M$4*$J$5+[29]FormattedData!H83^2*$J$6+$M$5*$J$7</f>
        <v>-1.1852540612398474</v>
      </c>
      <c r="P79" s="6">
        <f>$J$3+[29]FormattedData!I83*$J$4+$M$4*$J$5+[29]FormattedData!I83^2*$J$6+$M$5*$J$7</f>
        <v>-1.1852540612398474</v>
      </c>
      <c r="Q79" s="6">
        <f>$J$3+[29]FormattedData!J83*$J$4+$M$4*$J$5+[29]FormattedData!J83^2*$J$6+$M$5*$J$7</f>
        <v>-1.1852540612398474</v>
      </c>
      <c r="R79" s="6">
        <f>$J$3+[29]FormattedData!K83*$J$4+$M$4*$J$5+[29]FormattedData!K83^2*$J$6+$M$5*$J$7</f>
        <v>-1.1852540612398474</v>
      </c>
      <c r="S79" s="6">
        <f>$J$3+[29]FormattedData!L83*$J$4+$M$4*$J$5+[29]FormattedData!L83^2*$J$6+$M$5*$J$7</f>
        <v>-1.1852540612398474</v>
      </c>
      <c r="T79" s="6">
        <f>$J$3+[29]FormattedData!M83*$J$4+$M$4*$J$5+[29]FormattedData!M83^2*$J$6+$M$5*$J$7</f>
        <v>-1.1852540612398474</v>
      </c>
      <c r="U79" s="6">
        <f>$J$3+[29]FormattedData!N83*$J$4+$M$4*$J$5+[29]FormattedData!N83^2*$J$6+$M$5*$J$7</f>
        <v>-1.1852540612398474</v>
      </c>
      <c r="V79" s="6">
        <f>$J$3+[29]FormattedData!O83*$J$4+$M$4*$J$5+[29]FormattedData!O83^2*$J$6+$M$5*$J$7</f>
        <v>-1.1852540612398474</v>
      </c>
      <c r="W79" s="5">
        <f t="shared" si="18"/>
        <v>-1.1852540612398474</v>
      </c>
      <c r="X79" s="4">
        <f t="shared" si="19"/>
        <v>0</v>
      </c>
      <c r="Y79" s="3">
        <f t="shared" si="20"/>
        <v>-1.1852540612398474</v>
      </c>
      <c r="Z79" s="2">
        <f t="shared" si="21"/>
        <v>-1.1852540612398474</v>
      </c>
      <c r="AA79" s="3">
        <f t="shared" si="22"/>
        <v>-1.1852540612398474</v>
      </c>
      <c r="AB79" s="2">
        <f t="shared" si="23"/>
        <v>-1.1852540612398474</v>
      </c>
      <c r="AC79" s="2">
        <f t="shared" si="24"/>
        <v>-1.1852540612398474</v>
      </c>
      <c r="AD79" s="2" t="e">
        <f t="shared" si="25"/>
        <v>#DIV/0!</v>
      </c>
      <c r="AE79" s="2" t="e">
        <f t="shared" si="26"/>
        <v>#DIV/0!</v>
      </c>
    </row>
    <row r="80" spans="2:31" x14ac:dyDescent="0.2">
      <c r="B80" s="1">
        <f>[29]FormattedData!A81</f>
        <v>0</v>
      </c>
      <c r="C80" s="1" t="e">
        <f>VLOOKUP($B80,[29]TrtCodes!$B$11:I124,2)</f>
        <v>#N/A</v>
      </c>
      <c r="D80" s="1" t="e">
        <f>VLOOKUP($B80,[29]TrtCodes!$B$11:J124,3)</f>
        <v>#N/A</v>
      </c>
      <c r="E80" s="1" t="e">
        <f>VLOOKUP($B80,[29]TrtCodes!$B$11:K124,4)</f>
        <v>#N/A</v>
      </c>
      <c r="F80" s="1" t="e">
        <f>VLOOKUP($B80,[29]TrtCodes!$B$11:L124,5)</f>
        <v>#N/A</v>
      </c>
      <c r="G80" s="1" t="e">
        <f>VLOOKUP($B80,[29]TrtCodes!$B$11:M124,6)</f>
        <v>#N/A</v>
      </c>
      <c r="H80" s="1" t="e">
        <f>VLOOKUP($B80,[29]TrtCodes!$B$11:N124,7)</f>
        <v>#N/A</v>
      </c>
      <c r="I80" s="1">
        <f>[29]FormattedData!B81</f>
        <v>0</v>
      </c>
      <c r="J80" s="4">
        <f>[29]FormattedData!C81</f>
        <v>0</v>
      </c>
      <c r="K80" s="6">
        <f>$J$3+[29]FormattedData!D81*$J$4+$M$4*$J$5+[29]FormattedData!D81^2*$J$6+$M$5*$J$7</f>
        <v>-1.1852540612398474</v>
      </c>
      <c r="L80" s="6">
        <f>$J$3+[29]FormattedData!E81*$J$4+$M$4*$J$5+[29]FormattedData!E81^2*$J$6+$M$5*$J$7</f>
        <v>-1.1852540612398474</v>
      </c>
      <c r="M80" s="6">
        <f>$J$3+[29]FormattedData!F81*$J$4+$M$4*$J$5+[29]FormattedData!F81^2*$J$6+$M$5*$J$7</f>
        <v>-1.1852540612398474</v>
      </c>
      <c r="N80" s="6">
        <f>$J$3+[29]FormattedData!G81*$J$4+$M$4*$J$5+[29]FormattedData!G81^2*$J$6+$M$5*$J$7</f>
        <v>-1.1852540612398474</v>
      </c>
      <c r="O80" s="6">
        <f>$J$3+[29]FormattedData!H81*$J$4+$M$4*$J$5+[29]FormattedData!H81^2*$J$6+$M$5*$J$7</f>
        <v>-1.1852540612398474</v>
      </c>
      <c r="P80" s="6">
        <f>$J$3+[29]FormattedData!I81*$J$4+$M$4*$J$5+[29]FormattedData!I81^2*$J$6+$M$5*$J$7</f>
        <v>-1.1852540612398474</v>
      </c>
      <c r="Q80" s="6">
        <f>$J$3+[29]FormattedData!J81*$J$4+$M$4*$J$5+[29]FormattedData!J81^2*$J$6+$M$5*$J$7</f>
        <v>-1.1852540612398474</v>
      </c>
      <c r="R80" s="6">
        <f>$J$3+[29]FormattedData!K81*$J$4+$M$4*$J$5+[29]FormattedData!K81^2*$J$6+$M$5*$J$7</f>
        <v>-1.1852540612398474</v>
      </c>
      <c r="S80" s="6">
        <f>$J$3+[29]FormattedData!L81*$J$4+$M$4*$J$5+[29]FormattedData!L81^2*$J$6+$M$5*$J$7</f>
        <v>-1.1852540612398474</v>
      </c>
      <c r="T80" s="6">
        <f>$J$3+[29]FormattedData!M81*$J$4+$M$4*$J$5+[29]FormattedData!M81^2*$J$6+$M$5*$J$7</f>
        <v>-1.1852540612398474</v>
      </c>
      <c r="U80" s="6">
        <f>$J$3+[29]FormattedData!N81*$J$4+$M$4*$J$5+[29]FormattedData!N81^2*$J$6+$M$5*$J$7</f>
        <v>-1.1852540612398474</v>
      </c>
      <c r="V80" s="6">
        <f>$J$3+[29]FormattedData!O81*$J$4+$M$4*$J$5+[29]FormattedData!O81^2*$J$6+$M$5*$J$7</f>
        <v>-1.1852540612398474</v>
      </c>
      <c r="W80" s="5">
        <f t="shared" si="18"/>
        <v>-1.1852540612398474</v>
      </c>
      <c r="X80" s="4">
        <f t="shared" si="19"/>
        <v>0</v>
      </c>
      <c r="Y80" s="3">
        <f t="shared" si="20"/>
        <v>-1.1852540612398474</v>
      </c>
      <c r="Z80" s="2">
        <f t="shared" si="21"/>
        <v>-1.1852540612398474</v>
      </c>
      <c r="AA80" s="3">
        <f t="shared" si="22"/>
        <v>-1.1852540612398474</v>
      </c>
      <c r="AB80" s="2">
        <f t="shared" si="23"/>
        <v>-1.1852540612398474</v>
      </c>
      <c r="AC80" s="2">
        <f t="shared" si="24"/>
        <v>-1.1852540612398474</v>
      </c>
      <c r="AD80" s="2" t="e">
        <f t="shared" si="25"/>
        <v>#DIV/0!</v>
      </c>
      <c r="AE80" s="2" t="e">
        <f t="shared" si="26"/>
        <v>#DIV/0!</v>
      </c>
    </row>
    <row r="81" spans="2:31" x14ac:dyDescent="0.2">
      <c r="B81" s="1">
        <f>[29]FormattedData!A79</f>
        <v>0</v>
      </c>
      <c r="C81" s="1" t="e">
        <f>VLOOKUP($B81,[29]TrtCodes!$B$11:I122,2)</f>
        <v>#N/A</v>
      </c>
      <c r="D81" s="1" t="e">
        <f>VLOOKUP($B81,[29]TrtCodes!$B$11:J122,3)</f>
        <v>#N/A</v>
      </c>
      <c r="E81" s="1" t="e">
        <f>VLOOKUP($B81,[29]TrtCodes!$B$11:K122,4)</f>
        <v>#N/A</v>
      </c>
      <c r="F81" s="1" t="e">
        <f>VLOOKUP($B81,[29]TrtCodes!$B$11:L122,5)</f>
        <v>#N/A</v>
      </c>
      <c r="G81" s="1" t="e">
        <f>VLOOKUP($B81,[29]TrtCodes!$B$11:M122,6)</f>
        <v>#N/A</v>
      </c>
      <c r="H81" s="1" t="e">
        <f>VLOOKUP($B81,[29]TrtCodes!$B$11:N122,7)</f>
        <v>#N/A</v>
      </c>
      <c r="I81" s="1">
        <f>[29]FormattedData!B79</f>
        <v>0</v>
      </c>
      <c r="J81" s="4">
        <f>[29]FormattedData!C79</f>
        <v>0</v>
      </c>
      <c r="K81" s="6">
        <f>$J$3+[29]FormattedData!D79*$J$4+$M$4*$J$5+[29]FormattedData!D79^2*$J$6+$M$5*$J$7</f>
        <v>-1.1852540612398474</v>
      </c>
      <c r="L81" s="6">
        <f>$J$3+[29]FormattedData!E79*$J$4+$M$4*$J$5+[29]FormattedData!E79^2*$J$6+$M$5*$J$7</f>
        <v>-1.1852540612398474</v>
      </c>
      <c r="M81" s="6">
        <f>$J$3+[29]FormattedData!F79*$J$4+$M$4*$J$5+[29]FormattedData!F79^2*$J$6+$M$5*$J$7</f>
        <v>-1.1852540612398474</v>
      </c>
      <c r="N81" s="6">
        <f>$J$3+[29]FormattedData!G79*$J$4+$M$4*$J$5+[29]FormattedData!G79^2*$J$6+$M$5*$J$7</f>
        <v>-1.1852540612398474</v>
      </c>
      <c r="O81" s="6">
        <f>$J$3+[29]FormattedData!H79*$J$4+$M$4*$J$5+[29]FormattedData!H79^2*$J$6+$M$5*$J$7</f>
        <v>-1.1852540612398474</v>
      </c>
      <c r="P81" s="6">
        <f>$J$3+[29]FormattedData!I79*$J$4+$M$4*$J$5+[29]FormattedData!I79^2*$J$6+$M$5*$J$7</f>
        <v>-1.1852540612398474</v>
      </c>
      <c r="Q81" s="6">
        <f>$J$3+[29]FormattedData!J79*$J$4+$M$4*$J$5+[29]FormattedData!J79^2*$J$6+$M$5*$J$7</f>
        <v>-1.1852540612398474</v>
      </c>
      <c r="R81" s="6">
        <f>$J$3+[29]FormattedData!K79*$J$4+$M$4*$J$5+[29]FormattedData!K79^2*$J$6+$M$5*$J$7</f>
        <v>-1.1852540612398474</v>
      </c>
      <c r="S81" s="6">
        <f>$J$3+[29]FormattedData!L79*$J$4+$M$4*$J$5+[29]FormattedData!L79^2*$J$6+$M$5*$J$7</f>
        <v>-1.1852540612398474</v>
      </c>
      <c r="T81" s="6">
        <f>$J$3+[29]FormattedData!M79*$J$4+$M$4*$J$5+[29]FormattedData!M79^2*$J$6+$M$5*$J$7</f>
        <v>-1.1852540612398474</v>
      </c>
      <c r="U81" s="6">
        <f>$J$3+[29]FormattedData!N79*$J$4+$M$4*$J$5+[29]FormattedData!N79^2*$J$6+$M$5*$J$7</f>
        <v>-1.1852540612398474</v>
      </c>
      <c r="V81" s="6">
        <f>$J$3+[29]FormattedData!O79*$J$4+$M$4*$J$5+[29]FormattedData!O79^2*$J$6+$M$5*$J$7</f>
        <v>-1.1852540612398474</v>
      </c>
      <c r="W81" s="5">
        <f t="shared" si="18"/>
        <v>-1.1852540612398474</v>
      </c>
      <c r="X81" s="4">
        <f t="shared" si="19"/>
        <v>0</v>
      </c>
      <c r="Y81" s="3">
        <f t="shared" si="20"/>
        <v>-1.1852540612398474</v>
      </c>
      <c r="Z81" s="2">
        <f t="shared" si="21"/>
        <v>-1.1852540612398474</v>
      </c>
      <c r="AA81" s="3">
        <f t="shared" si="22"/>
        <v>-1.1852540612398474</v>
      </c>
      <c r="AB81" s="2">
        <f t="shared" si="23"/>
        <v>-1.1852540612398474</v>
      </c>
      <c r="AC81" s="2">
        <f t="shared" si="24"/>
        <v>-1.1852540612398474</v>
      </c>
      <c r="AD81" s="2" t="e">
        <f t="shared" si="25"/>
        <v>#DIV/0!</v>
      </c>
      <c r="AE81" s="2" t="e">
        <f t="shared" si="26"/>
        <v>#DIV/0!</v>
      </c>
    </row>
    <row r="82" spans="2:31" x14ac:dyDescent="0.2">
      <c r="B82" s="1">
        <f>[29]FormattedData!A59</f>
        <v>0</v>
      </c>
      <c r="C82" s="1" t="e">
        <f>VLOOKUP($B82,[29]TrtCodes!$B$11:I102,2)</f>
        <v>#N/A</v>
      </c>
      <c r="D82" s="1" t="e">
        <f>VLOOKUP($B82,[29]TrtCodes!$B$11:J102,3)</f>
        <v>#N/A</v>
      </c>
      <c r="E82" s="1" t="e">
        <f>VLOOKUP($B82,[29]TrtCodes!$B$11:K102,4)</f>
        <v>#N/A</v>
      </c>
      <c r="F82" s="1" t="e">
        <f>VLOOKUP($B82,[29]TrtCodes!$B$11:L102,5)</f>
        <v>#N/A</v>
      </c>
      <c r="G82" s="1" t="e">
        <f>VLOOKUP($B82,[29]TrtCodes!$B$11:M102,6)</f>
        <v>#N/A</v>
      </c>
      <c r="H82" s="1" t="e">
        <f>VLOOKUP($B82,[29]TrtCodes!$B$11:N102,7)</f>
        <v>#N/A</v>
      </c>
      <c r="I82" s="1">
        <f>[29]FormattedData!B59</f>
        <v>0</v>
      </c>
      <c r="J82" s="4">
        <f>[29]FormattedData!C59</f>
        <v>0</v>
      </c>
      <c r="K82" s="6">
        <f>$J$3+[29]FormattedData!D59*$J$4+$M$4*$J$5+[29]FormattedData!D59^2*$J$6+$M$5*$J$7</f>
        <v>-1.1852540612398474</v>
      </c>
      <c r="L82" s="6">
        <f>$J$3+[29]FormattedData!E59*$J$4+$M$4*$J$5+[29]FormattedData!E59^2*$J$6+$M$5*$J$7</f>
        <v>-1.1852540612398474</v>
      </c>
      <c r="M82" s="6">
        <f>$J$3+[29]FormattedData!F59*$J$4+$M$4*$J$5+[29]FormattedData!F59^2*$J$6+$M$5*$J$7</f>
        <v>-1.1852540612398474</v>
      </c>
      <c r="N82" s="6">
        <f>$J$3+[29]FormattedData!G59*$J$4+$M$4*$J$5+[29]FormattedData!G59^2*$J$6+$M$5*$J$7</f>
        <v>-1.1852540612398474</v>
      </c>
      <c r="O82" s="6">
        <f>$J$3+[29]FormattedData!H59*$J$4+$M$4*$J$5+[29]FormattedData!H59^2*$J$6+$M$5*$J$7</f>
        <v>-1.1852540612398474</v>
      </c>
      <c r="P82" s="6">
        <f>$J$3+[29]FormattedData!I59*$J$4+$M$4*$J$5+[29]FormattedData!I59^2*$J$6+$M$5*$J$7</f>
        <v>-1.1852540612398474</v>
      </c>
      <c r="Q82" s="6">
        <f>$J$3+[29]FormattedData!J59*$J$4+$M$4*$J$5+[29]FormattedData!J59^2*$J$6+$M$5*$J$7</f>
        <v>-1.1852540612398474</v>
      </c>
      <c r="R82" s="6">
        <f>$J$3+[29]FormattedData!K59*$J$4+$M$4*$J$5+[29]FormattedData!K59^2*$J$6+$M$5*$J$7</f>
        <v>-1.1852540612398474</v>
      </c>
      <c r="S82" s="6">
        <f>$J$3+[29]FormattedData!L59*$J$4+$M$4*$J$5+[29]FormattedData!L59^2*$J$6+$M$5*$J$7</f>
        <v>-1.1852540612398474</v>
      </c>
      <c r="T82" s="6">
        <f>$J$3+[29]FormattedData!M59*$J$4+$M$4*$J$5+[29]FormattedData!M59^2*$J$6+$M$5*$J$7</f>
        <v>-1.1852540612398474</v>
      </c>
      <c r="U82" s="6">
        <f>$J$3+[29]FormattedData!N59*$J$4+$M$4*$J$5+[29]FormattedData!N59^2*$J$6+$M$5*$J$7</f>
        <v>-1.1852540612398474</v>
      </c>
      <c r="V82" s="6">
        <f>$J$3+[29]FormattedData!O59*$J$4+$M$4*$J$5+[29]FormattedData!O59^2*$J$6+$M$5*$J$7</f>
        <v>-1.1852540612398474</v>
      </c>
      <c r="W82" s="5">
        <f t="shared" si="18"/>
        <v>-1.1852540612398474</v>
      </c>
      <c r="X82" s="4">
        <f t="shared" si="19"/>
        <v>0</v>
      </c>
      <c r="Y82" s="3">
        <f t="shared" si="20"/>
        <v>-1.1852540612398474</v>
      </c>
      <c r="Z82" s="2">
        <f t="shared" si="21"/>
        <v>-1.1852540612398474</v>
      </c>
      <c r="AA82" s="3">
        <f t="shared" si="22"/>
        <v>-1.1852540612398474</v>
      </c>
      <c r="AB82" s="2">
        <f t="shared" si="23"/>
        <v>-1.1852540612398474</v>
      </c>
      <c r="AC82" s="2">
        <f t="shared" si="24"/>
        <v>-1.1852540612398474</v>
      </c>
      <c r="AD82" s="2" t="e">
        <f t="shared" si="25"/>
        <v>#DIV/0!</v>
      </c>
      <c r="AE82" s="2" t="e">
        <f t="shared" si="26"/>
        <v>#DIV/0!</v>
      </c>
    </row>
    <row r="83" spans="2:31" x14ac:dyDescent="0.2">
      <c r="B83" s="1">
        <f>[29]FormattedData!A55</f>
        <v>0</v>
      </c>
      <c r="C83" s="1" t="e">
        <f>VLOOKUP($B83,[29]TrtCodes!$B$11:I98,2)</f>
        <v>#N/A</v>
      </c>
      <c r="D83" s="1" t="e">
        <f>VLOOKUP($B83,[29]TrtCodes!$B$11:J98,3)</f>
        <v>#N/A</v>
      </c>
      <c r="E83" s="1" t="e">
        <f>VLOOKUP($B83,[29]TrtCodes!$B$11:K98,4)</f>
        <v>#N/A</v>
      </c>
      <c r="F83" s="1" t="e">
        <f>VLOOKUP($B83,[29]TrtCodes!$B$11:L98,5)</f>
        <v>#N/A</v>
      </c>
      <c r="G83" s="1" t="e">
        <f>VLOOKUP($B83,[29]TrtCodes!$B$11:M98,6)</f>
        <v>#N/A</v>
      </c>
      <c r="H83" s="1" t="e">
        <f>VLOOKUP($B83,[29]TrtCodes!$B$11:N98,7)</f>
        <v>#N/A</v>
      </c>
      <c r="I83" s="1">
        <f>[29]FormattedData!B55</f>
        <v>0</v>
      </c>
      <c r="J83" s="4">
        <f>[29]FormattedData!C55</f>
        <v>0</v>
      </c>
      <c r="K83" s="6">
        <f>$J$3+[29]FormattedData!D55*$J$4+$M$4*$J$5+[29]FormattedData!D55^2*$J$6+$M$5*$J$7</f>
        <v>-1.1852540612398474</v>
      </c>
      <c r="L83" s="6">
        <f>$J$3+[29]FormattedData!E55*$J$4+$M$4*$J$5+[29]FormattedData!E55^2*$J$6+$M$5*$J$7</f>
        <v>-1.1852540612398474</v>
      </c>
      <c r="M83" s="6">
        <f>$J$3+[29]FormattedData!F55*$J$4+$M$4*$J$5+[29]FormattedData!F55^2*$J$6+$M$5*$J$7</f>
        <v>-1.1852540612398474</v>
      </c>
      <c r="N83" s="6">
        <f>$J$3+[29]FormattedData!G55*$J$4+$M$4*$J$5+[29]FormattedData!G55^2*$J$6+$M$5*$J$7</f>
        <v>-1.1852540612398474</v>
      </c>
      <c r="O83" s="6">
        <f>$J$3+[29]FormattedData!H55*$J$4+$M$4*$J$5+[29]FormattedData!H55^2*$J$6+$M$5*$J$7</f>
        <v>-1.1852540612398474</v>
      </c>
      <c r="P83" s="6">
        <f>$J$3+[29]FormattedData!I55*$J$4+$M$4*$J$5+[29]FormattedData!I55^2*$J$6+$M$5*$J$7</f>
        <v>-1.1852540612398474</v>
      </c>
      <c r="Q83" s="6">
        <f>$J$3+[29]FormattedData!J55*$J$4+$M$4*$J$5+[29]FormattedData!J55^2*$J$6+$M$5*$J$7</f>
        <v>-1.1852540612398474</v>
      </c>
      <c r="R83" s="6">
        <f>$J$3+[29]FormattedData!K55*$J$4+$M$4*$J$5+[29]FormattedData!K55^2*$J$6+$M$5*$J$7</f>
        <v>-1.1852540612398474</v>
      </c>
      <c r="S83" s="6">
        <f>$J$3+[29]FormattedData!L55*$J$4+$M$4*$J$5+[29]FormattedData!L55^2*$J$6+$M$5*$J$7</f>
        <v>-1.1852540612398474</v>
      </c>
      <c r="T83" s="6">
        <f>$J$3+[29]FormattedData!M55*$J$4+$M$4*$J$5+[29]FormattedData!M55^2*$J$6+$M$5*$J$7</f>
        <v>-1.1852540612398474</v>
      </c>
      <c r="U83" s="6">
        <f>$J$3+[29]FormattedData!N55*$J$4+$M$4*$J$5+[29]FormattedData!N55^2*$J$6+$M$5*$J$7</f>
        <v>-1.1852540612398474</v>
      </c>
      <c r="V83" s="6">
        <f>$J$3+[29]FormattedData!O55*$J$4+$M$4*$J$5+[29]FormattedData!O55^2*$J$6+$M$5*$J$7</f>
        <v>-1.1852540612398474</v>
      </c>
      <c r="W83" s="5">
        <f t="shared" si="18"/>
        <v>-1.1852540612398474</v>
      </c>
      <c r="X83" s="4">
        <f t="shared" si="19"/>
        <v>0</v>
      </c>
      <c r="Y83" s="3">
        <f t="shared" si="20"/>
        <v>-1.1852540612398474</v>
      </c>
      <c r="Z83" s="2">
        <f t="shared" si="21"/>
        <v>-1.1852540612398474</v>
      </c>
      <c r="AA83" s="3">
        <f t="shared" si="22"/>
        <v>-1.1852540612398474</v>
      </c>
      <c r="AB83" s="2">
        <f t="shared" si="23"/>
        <v>-1.1852540612398474</v>
      </c>
      <c r="AC83" s="2">
        <f t="shared" si="24"/>
        <v>-1.1852540612398474</v>
      </c>
      <c r="AD83" s="2" t="e">
        <f t="shared" si="25"/>
        <v>#DIV/0!</v>
      </c>
      <c r="AE83" s="2" t="e">
        <f t="shared" si="26"/>
        <v>#DIV/0!</v>
      </c>
    </row>
    <row r="84" spans="2:31" x14ac:dyDescent="0.2">
      <c r="B84" s="1">
        <f>[29]FormattedData!A51</f>
        <v>0</v>
      </c>
      <c r="C84" s="1" t="e">
        <f>VLOOKUP($B84,[29]TrtCodes!$B$11:I94,2)</f>
        <v>#N/A</v>
      </c>
      <c r="D84" s="1" t="e">
        <f>VLOOKUP($B84,[29]TrtCodes!$B$11:J94,3)</f>
        <v>#N/A</v>
      </c>
      <c r="E84" s="1" t="e">
        <f>VLOOKUP($B84,[29]TrtCodes!$B$11:K94,4)</f>
        <v>#N/A</v>
      </c>
      <c r="F84" s="1" t="e">
        <f>VLOOKUP($B84,[29]TrtCodes!$B$11:L94,5)</f>
        <v>#N/A</v>
      </c>
      <c r="G84" s="1" t="e">
        <f>VLOOKUP($B84,[29]TrtCodes!$B$11:M94,6)</f>
        <v>#N/A</v>
      </c>
      <c r="H84" s="1" t="e">
        <f>VLOOKUP($B84,[29]TrtCodes!$B$11:N94,7)</f>
        <v>#N/A</v>
      </c>
      <c r="I84" s="1">
        <f>[29]FormattedData!B51</f>
        <v>0</v>
      </c>
      <c r="J84" s="4">
        <f>[29]FormattedData!C51</f>
        <v>0</v>
      </c>
      <c r="K84" s="6">
        <f>$J$3+[29]FormattedData!D51*$J$4+$M$4*$J$5+[29]FormattedData!D51^2*$J$6+$M$5*$J$7</f>
        <v>-1.1852540612398474</v>
      </c>
      <c r="L84" s="6">
        <f>$J$3+[29]FormattedData!E51*$J$4+$M$4*$J$5+[29]FormattedData!E51^2*$J$6+$M$5*$J$7</f>
        <v>-1.1852540612398474</v>
      </c>
      <c r="M84" s="6">
        <f>$J$3+[29]FormattedData!F51*$J$4+$M$4*$J$5+[29]FormattedData!F51^2*$J$6+$M$5*$J$7</f>
        <v>-1.1852540612398474</v>
      </c>
      <c r="N84" s="6">
        <f>$J$3+[29]FormattedData!G51*$J$4+$M$4*$J$5+[29]FormattedData!G51^2*$J$6+$M$5*$J$7</f>
        <v>-1.1852540612398474</v>
      </c>
      <c r="O84" s="6">
        <f>$J$3+[29]FormattedData!H51*$J$4+$M$4*$J$5+[29]FormattedData!H51^2*$J$6+$M$5*$J$7</f>
        <v>-1.1852540612398474</v>
      </c>
      <c r="P84" s="6">
        <f>$J$3+[29]FormattedData!I51*$J$4+$M$4*$J$5+[29]FormattedData!I51^2*$J$6+$M$5*$J$7</f>
        <v>-1.1852540612398474</v>
      </c>
      <c r="Q84" s="6">
        <f>$J$3+[29]FormattedData!J51*$J$4+$M$4*$J$5+[29]FormattedData!J51^2*$J$6+$M$5*$J$7</f>
        <v>-1.1852540612398474</v>
      </c>
      <c r="R84" s="6">
        <f>$J$3+[29]FormattedData!K51*$J$4+$M$4*$J$5+[29]FormattedData!K51^2*$J$6+$M$5*$J$7</f>
        <v>-1.1852540612398474</v>
      </c>
      <c r="S84" s="6">
        <f>$J$3+[29]FormattedData!L51*$J$4+$M$4*$J$5+[29]FormattedData!L51^2*$J$6+$M$5*$J$7</f>
        <v>-1.1852540612398474</v>
      </c>
      <c r="T84" s="6">
        <f>$J$3+[29]FormattedData!M51*$J$4+$M$4*$J$5+[29]FormattedData!M51^2*$J$6+$M$5*$J$7</f>
        <v>-1.1852540612398474</v>
      </c>
      <c r="U84" s="6">
        <f>$J$3+[29]FormattedData!N51*$J$4+$M$4*$J$5+[29]FormattedData!N51^2*$J$6+$M$5*$J$7</f>
        <v>-1.1852540612398474</v>
      </c>
      <c r="V84" s="6">
        <f>$J$3+[29]FormattedData!O51*$J$4+$M$4*$J$5+[29]FormattedData!O51^2*$J$6+$M$5*$J$7</f>
        <v>-1.1852540612398474</v>
      </c>
      <c r="W84" s="5">
        <f t="shared" si="18"/>
        <v>-1.1852540612398474</v>
      </c>
      <c r="X84" s="4">
        <f t="shared" si="19"/>
        <v>0</v>
      </c>
      <c r="Y84" s="3">
        <f t="shared" si="20"/>
        <v>-1.1852540612398474</v>
      </c>
      <c r="Z84" s="2">
        <f t="shared" si="21"/>
        <v>-1.1852540612398474</v>
      </c>
      <c r="AA84" s="3">
        <f t="shared" si="22"/>
        <v>-1.1852540612398474</v>
      </c>
      <c r="AB84" s="2">
        <f t="shared" si="23"/>
        <v>-1.1852540612398474</v>
      </c>
      <c r="AC84" s="2">
        <f t="shared" si="24"/>
        <v>-1.1852540612398474</v>
      </c>
      <c r="AD84" s="2" t="e">
        <f t="shared" si="25"/>
        <v>#DIV/0!</v>
      </c>
      <c r="AE84" s="2" t="e">
        <f t="shared" si="26"/>
        <v>#DIV/0!</v>
      </c>
    </row>
    <row r="85" spans="2:31" x14ac:dyDescent="0.2">
      <c r="B85" s="1">
        <f>[29]FormattedData!A47</f>
        <v>0</v>
      </c>
      <c r="C85" s="1" t="e">
        <f>VLOOKUP($B85,[29]TrtCodes!$B$11:I90,2)</f>
        <v>#N/A</v>
      </c>
      <c r="D85" s="1" t="e">
        <f>VLOOKUP($B85,[29]TrtCodes!$B$11:J90,3)</f>
        <v>#N/A</v>
      </c>
      <c r="E85" s="1" t="e">
        <f>VLOOKUP($B85,[29]TrtCodes!$B$11:K90,4)</f>
        <v>#N/A</v>
      </c>
      <c r="F85" s="1" t="e">
        <f>VLOOKUP($B85,[29]TrtCodes!$B$11:L90,5)</f>
        <v>#N/A</v>
      </c>
      <c r="G85" s="1" t="e">
        <f>VLOOKUP($B85,[29]TrtCodes!$B$11:M90,6)</f>
        <v>#N/A</v>
      </c>
      <c r="H85" s="1" t="e">
        <f>VLOOKUP($B85,[29]TrtCodes!$B$11:N90,7)</f>
        <v>#N/A</v>
      </c>
      <c r="I85" s="1">
        <f>[29]FormattedData!B47</f>
        <v>0</v>
      </c>
      <c r="J85" s="4">
        <f>[29]FormattedData!C47</f>
        <v>0</v>
      </c>
      <c r="K85" s="6">
        <f>$J$3+[29]FormattedData!D47*$J$4+$M$4*$J$5+[29]FormattedData!D47^2*$J$6+$M$5*$J$7</f>
        <v>-1.1852540612398474</v>
      </c>
      <c r="L85" s="6">
        <f>$J$3+[29]FormattedData!E47*$J$4+$M$4*$J$5+[29]FormattedData!E47^2*$J$6+$M$5*$J$7</f>
        <v>-1.1852540612398474</v>
      </c>
      <c r="M85" s="6">
        <f>$J$3+[29]FormattedData!F47*$J$4+$M$4*$J$5+[29]FormattedData!F47^2*$J$6+$M$5*$J$7</f>
        <v>-1.1852540612398474</v>
      </c>
      <c r="N85" s="6">
        <f>$J$3+[29]FormattedData!G47*$J$4+$M$4*$J$5+[29]FormattedData!G47^2*$J$6+$M$5*$J$7</f>
        <v>-1.1852540612398474</v>
      </c>
      <c r="O85" s="6">
        <f>$J$3+[29]FormattedData!H47*$J$4+$M$4*$J$5+[29]FormattedData!H47^2*$J$6+$M$5*$J$7</f>
        <v>-1.1852540612398474</v>
      </c>
      <c r="P85" s="6">
        <f>$J$3+[29]FormattedData!I47*$J$4+$M$4*$J$5+[29]FormattedData!I47^2*$J$6+$M$5*$J$7</f>
        <v>-1.1852540612398474</v>
      </c>
      <c r="Q85" s="6">
        <f>$J$3+[29]FormattedData!J47*$J$4+$M$4*$J$5+[29]FormattedData!J47^2*$J$6+$M$5*$J$7</f>
        <v>-1.1852540612398474</v>
      </c>
      <c r="R85" s="6">
        <f>$J$3+[29]FormattedData!K47*$J$4+$M$4*$J$5+[29]FormattedData!K47^2*$J$6+$M$5*$J$7</f>
        <v>-1.1852540612398474</v>
      </c>
      <c r="S85" s="6">
        <f>$J$3+[29]FormattedData!L47*$J$4+$M$4*$J$5+[29]FormattedData!L47^2*$J$6+$M$5*$J$7</f>
        <v>-1.1852540612398474</v>
      </c>
      <c r="T85" s="6">
        <f>$J$3+[29]FormattedData!M47*$J$4+$M$4*$J$5+[29]FormattedData!M47^2*$J$6+$M$5*$J$7</f>
        <v>-1.1852540612398474</v>
      </c>
      <c r="U85" s="6">
        <f>$J$3+[29]FormattedData!N47*$J$4+$M$4*$J$5+[29]FormattedData!N47^2*$J$6+$M$5*$J$7</f>
        <v>-1.1852540612398474</v>
      </c>
      <c r="V85" s="6">
        <f>$J$3+[29]FormattedData!O47*$J$4+$M$4*$J$5+[29]FormattedData!O47^2*$J$6+$M$5*$J$7</f>
        <v>-1.1852540612398474</v>
      </c>
      <c r="W85" s="5">
        <f t="shared" si="18"/>
        <v>-1.1852540612398474</v>
      </c>
      <c r="X85" s="4">
        <f t="shared" si="19"/>
        <v>0</v>
      </c>
      <c r="Y85" s="3">
        <f t="shared" si="20"/>
        <v>-1.1852540612398474</v>
      </c>
      <c r="Z85" s="2">
        <f t="shared" si="21"/>
        <v>-1.1852540612398474</v>
      </c>
      <c r="AA85" s="3">
        <f t="shared" si="22"/>
        <v>-1.1852540612398474</v>
      </c>
      <c r="AB85" s="2">
        <f t="shared" si="23"/>
        <v>-1.1852540612398474</v>
      </c>
      <c r="AC85" s="2">
        <f t="shared" si="24"/>
        <v>-1.1852540612398474</v>
      </c>
      <c r="AD85" s="2" t="e">
        <f t="shared" si="25"/>
        <v>#DIV/0!</v>
      </c>
      <c r="AE85" s="2" t="e">
        <f t="shared" si="26"/>
        <v>#DIV/0!</v>
      </c>
    </row>
    <row r="88" spans="2:31" x14ac:dyDescent="0.2">
      <c r="W88" s="2"/>
    </row>
  </sheetData>
  <autoFilter ref="B9:AE85" xr:uid="{C5FE61CC-FF8A-490E-ABE8-5E3762EA6EB4}"/>
  <conditionalFormatting sqref="K10:V85">
    <cfRule type="cellIs" dxfId="11" priority="1" stopIfTrue="1" operator="lessThan">
      <formula>$W10-$V$5*$X10</formula>
    </cfRule>
    <cfRule type="cellIs" dxfId="10" priority="2" stopIfTrue="1" operator="greaterThan">
      <formula>$W10+$V$5*$X10</formula>
    </cfRule>
  </conditionalFormatting>
  <conditionalFormatting sqref="W10:W85">
    <cfRule type="cellIs" dxfId="9" priority="3" stopIfTrue="1" operator="lessThan">
      <formula>AVERAGE($W$10:$W$41)</formula>
    </cfRule>
    <cfRule type="cellIs" dxfId="8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2C22-BA56-4CA9-A522-41B6BBDF7A63}">
  <sheetPr codeName="Sheet4"/>
  <dimension ref="A1:AI88"/>
  <sheetViews>
    <sheetView topLeftCell="A8" workbookViewId="0">
      <pane xSplit="4" ySplit="2" topLeftCell="H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[30]FormattedData!A1</f>
        <v>Raw data file name - 'IA253.03R'</v>
      </c>
    </row>
    <row r="2" spans="1:35" ht="15" x14ac:dyDescent="0.25">
      <c r="I2" s="32" t="s">
        <v>136</v>
      </c>
      <c r="J2" s="24"/>
      <c r="P2" s="31">
        <f>[30]AncillaryData!C10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[30]AncillaryData!E25</f>
        <v>34.35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"&amp;[30]AncillaryData!C7</f>
        <v>Time Sequence of Midday IRT Temps - FISE 2003 - DOY 253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"&amp;[30]AncillaryData!E25&amp;", VPD = "&amp;ROUND([30]AncillaryData!E29,1)&amp;", Quality = "&amp;[30]AncillaryData!C20&amp;")"</f>
        <v>(Ta = 34.35, VPD = 3.8, Quality = 2)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[30]FormattedData!A28</f>
        <v>101</v>
      </c>
      <c r="C10" s="1" t="str">
        <f>VLOOKUP($B10,[30]TrtCodes!$B$11:I71,2)</f>
        <v>FSH</v>
      </c>
      <c r="D10" s="1">
        <f>VLOOKUP($B10,[30]TrtCodes!$B$11:J71,3)</f>
        <v>1</v>
      </c>
      <c r="E10" s="1">
        <f>VLOOKUP($B10,[30]TrtCodes!$B$11:K71,4)</f>
        <v>1</v>
      </c>
      <c r="F10" s="1">
        <f>VLOOKUP($B10,[30]TrtCodes!$B$11:L71,5)</f>
        <v>1</v>
      </c>
      <c r="G10" s="1">
        <f>VLOOKUP($B10,[30]TrtCodes!$B$11:M71,6)</f>
        <v>2</v>
      </c>
      <c r="H10" s="1">
        <f>VLOOKUP($B10,[30]TrtCodes!$B$11:N71,7)</f>
        <v>1</v>
      </c>
      <c r="I10" s="1">
        <f>[30]FormattedData!B28</f>
        <v>1</v>
      </c>
      <c r="J10" s="4">
        <f>[30]FormattedData!C28</f>
        <v>12.987</v>
      </c>
      <c r="K10" s="6">
        <f>$J$3+[30]FormattedData!D28*$J$4+$M$4*$J$5+[30]FormattedData!D28^2*$J$6+$M$5*$J$7</f>
        <v>33.775884815926474</v>
      </c>
      <c r="L10" s="6">
        <f>$J$3+[30]FormattedData!E28*$J$4+$M$4*$J$5+[30]FormattedData!E28^2*$J$6+$M$5*$J$7</f>
        <v>33.680254510503886</v>
      </c>
      <c r="M10" s="6">
        <f>$J$3+[30]FormattedData!F28*$J$4+$M$4*$J$5+[30]FormattedData!F28^2*$J$6+$M$5*$J$7</f>
        <v>34.15798335223748</v>
      </c>
      <c r="N10" s="6">
        <f>$J$3+[30]FormattedData!G28*$J$4+$M$4*$J$5+[30]FormattedData!G28^2*$J$6+$M$5*$J$7</f>
        <v>34.348779009165412</v>
      </c>
      <c r="O10" s="6">
        <f>$J$3+[30]FormattedData!H28*$J$4+$M$4*$J$5+[30]FormattedData!H28^2*$J$6+$M$5*$J$7</f>
        <v>32.336992038104988</v>
      </c>
      <c r="P10" s="6">
        <f>$J$3+[30]FormattedData!I28*$J$4+$M$4*$J$5+[30]FormattedData!I28^2*$J$6+$M$5*$J$7</f>
        <v>34.539405591941602</v>
      </c>
      <c r="Q10" s="6">
        <f>$J$3+[30]FormattedData!J28*$J$4+$M$4*$J$5+[30]FormattedData!J28^2*$J$6+$M$5*$J$7</f>
        <v>34.444113434822462</v>
      </c>
      <c r="R10" s="6">
        <f>$J$3+[30]FormattedData!K28*$J$4+$M$4*$J$5+[30]FormattedData!K28^2*$J$6+$M$5*$J$7</f>
        <v>32.721626686691863</v>
      </c>
      <c r="S10" s="6">
        <f>$J$3+[30]FormattedData!L28*$J$4+$M$4*$J$5+[30]FormattedData!L28^2*$J$6+$M$5*$J$7</f>
        <v>32.625531427352037</v>
      </c>
      <c r="T10" s="6">
        <f>$J$3+[30]FormattedData!M28*$J$4+$M$4*$J$5+[30]FormattedData!M28^2*$J$6+$M$5*$J$7</f>
        <v>33.297310603434255</v>
      </c>
      <c r="U10" s="6">
        <f>$J$3+[30]FormattedData!N28*$J$4+$M$4*$J$5+[30]FormattedData!N28^2*$J$6+$M$5*$J$7</f>
        <v>31.951681092911205</v>
      </c>
      <c r="V10" s="6">
        <f>$J$3+[30]FormattedData!O28*$J$4+$M$4*$J$5+[30]FormattedData!O28^2*$J$6+$M$5*$J$7</f>
        <v>32.144421102583948</v>
      </c>
      <c r="W10" s="5">
        <f t="shared" ref="W10:W41" si="0">AVERAGE(K10:V10)</f>
        <v>33.335331972139635</v>
      </c>
      <c r="X10" s="4">
        <f t="shared" ref="X10:X41" si="1">STDEV(K10:V10)/SQRT(COUNT(K10:V10))</f>
        <v>0.27396383116061879</v>
      </c>
      <c r="Y10" s="3">
        <f t="shared" ref="Y10:Y41" si="2">MIN(K10:V10)</f>
        <v>31.951681092911205</v>
      </c>
      <c r="Z10" s="2">
        <f t="shared" ref="Z10:Z41" si="3">QUARTILE(K10:V10,1)</f>
        <v>32.553396580040271</v>
      </c>
      <c r="AA10" s="3">
        <f t="shared" ref="AA10:AA41" si="4">MEDIAN(K10:V10)</f>
        <v>33.48878255696907</v>
      </c>
      <c r="AB10" s="2">
        <f t="shared" ref="AB10:AB41" si="5">QUARTILE(K10:V10,3)</f>
        <v>34.205682266469466</v>
      </c>
      <c r="AC10" s="2">
        <f t="shared" ref="AC10:AC41" si="6">MAX(K10:V10)</f>
        <v>34.539405591941602</v>
      </c>
      <c r="AD10" s="2">
        <f t="shared" ref="AD10:AD41" si="7">SKEW(K10:V10)</f>
        <v>-0.13897139402135469</v>
      </c>
      <c r="AE10" s="2">
        <f t="shared" ref="AE10:AE41" si="8">KURT(K10:V10)</f>
        <v>-1.6550058557683736</v>
      </c>
    </row>
    <row r="11" spans="1:35" x14ac:dyDescent="0.2">
      <c r="B11" s="1">
        <f>[30]FormattedData!A26</f>
        <v>102</v>
      </c>
      <c r="C11" s="1" t="str">
        <f>VLOOKUP($B11,[30]TrtCodes!$B$11:I69,2)</f>
        <v>FTL</v>
      </c>
      <c r="D11" s="1">
        <f>VLOOKUP($B11,[30]TrtCodes!$B$11:J69,3)</f>
        <v>4</v>
      </c>
      <c r="E11" s="1">
        <f>VLOOKUP($B11,[30]TrtCodes!$B$11:K69,4)</f>
        <v>1</v>
      </c>
      <c r="F11" s="1">
        <f>VLOOKUP($B11,[30]TrtCodes!$B$11:L69,5)</f>
        <v>2</v>
      </c>
      <c r="G11" s="1">
        <f>VLOOKUP($B11,[30]TrtCodes!$B$11:M69,6)</f>
        <v>1</v>
      </c>
      <c r="H11" s="1">
        <f>VLOOKUP($B11,[30]TrtCodes!$B$11:N69,7)</f>
        <v>1</v>
      </c>
      <c r="I11" s="1">
        <f>[30]FormattedData!B26</f>
        <v>1</v>
      </c>
      <c r="J11" s="4">
        <f>[30]FormattedData!C26</f>
        <v>12.972</v>
      </c>
      <c r="K11" s="6">
        <f>$J$3+[30]FormattedData!D26*$J$4+$M$4*$J$5+[30]FormattedData!D26^2*$J$6+$M$5*$J$7</f>
        <v>32.817679677493757</v>
      </c>
      <c r="L11" s="6">
        <f>$J$3+[30]FormattedData!E26*$J$4+$M$4*$J$5+[30]FormattedData!E26^2*$J$6+$M$5*$J$7</f>
        <v>30.985444932271566</v>
      </c>
      <c r="M11" s="6">
        <f>$J$3+[30]FormattedData!F26*$J$4+$M$4*$J$5+[30]FormattedData!F26^2*$J$6+$M$5*$J$7</f>
        <v>30.985444932271566</v>
      </c>
      <c r="N11" s="6">
        <f>$J$3+[30]FormattedData!G26*$J$4+$M$4*$J$5+[30]FormattedData!G26^2*$J$6+$M$5*$J$7</f>
        <v>31.372446618982597</v>
      </c>
      <c r="O11" s="6">
        <f>$J$3+[30]FormattedData!H26*$J$4+$M$4*$J$5+[30]FormattedData!H26^2*$J$6+$M$5*$J$7</f>
        <v>33.680254510503886</v>
      </c>
      <c r="P11" s="6">
        <f>$J$3+[30]FormattedData!I26*$J$4+$M$4*$J$5+[30]FormattedData!I26^2*$J$6+$M$5*$J$7</f>
        <v>32.336992038104988</v>
      </c>
      <c r="Q11" s="6">
        <f>$J$3+[30]FormattedData!J26*$J$4+$M$4*$J$5+[30]FormattedData!J26^2*$J$6+$M$5*$J$7</f>
        <v>34.348779009165412</v>
      </c>
      <c r="R11" s="6">
        <f>$J$3+[30]FormattedData!K26*$J$4+$M$4*$J$5+[30]FormattedData!K26^2*$J$6+$M$5*$J$7</f>
        <v>33.871472852811124</v>
      </c>
      <c r="S11" s="6">
        <f>$J$3+[30]FormattedData!L26*$J$4+$M$4*$J$5+[30]FormattedData!L26^2*$J$6+$M$5*$J$7</f>
        <v>35.774357197538585</v>
      </c>
      <c r="T11" s="6">
        <f>$J$3+[30]FormattedData!M26*$J$4+$M$4*$J$5+[30]FormattedData!M26^2*$J$6+$M$5*$J$7</f>
        <v>33.967018621157834</v>
      </c>
      <c r="U11" s="6">
        <f>$J$3+[30]FormattedData!N26*$J$4+$M$4*$J$5+[30]FormattedData!N26^2*$J$6+$M$5*$J$7</f>
        <v>33.393109983008557</v>
      </c>
      <c r="V11" s="6">
        <f>$J$3+[30]FormattedData!O26*$J$4+$M$4*$J$5+[30]FormattedData!O26^2*$J$6+$M$5*$J$7</f>
        <v>32.913690399757719</v>
      </c>
      <c r="W11" s="5">
        <f t="shared" si="0"/>
        <v>33.037224231088963</v>
      </c>
      <c r="X11" s="4">
        <f t="shared" si="1"/>
        <v>0.41794564687309832</v>
      </c>
      <c r="Y11" s="3">
        <f t="shared" si="2"/>
        <v>30.985444932271566</v>
      </c>
      <c r="Z11" s="2">
        <f t="shared" si="3"/>
        <v>32.095855683324388</v>
      </c>
      <c r="AA11" s="3">
        <f t="shared" si="4"/>
        <v>33.153400191383142</v>
      </c>
      <c r="AB11" s="2">
        <f t="shared" si="5"/>
        <v>33.895359294897801</v>
      </c>
      <c r="AC11" s="2">
        <f t="shared" si="6"/>
        <v>35.774357197538585</v>
      </c>
      <c r="AD11" s="2">
        <f t="shared" si="7"/>
        <v>7.9547966525085903E-2</v>
      </c>
      <c r="AE11" s="2">
        <f t="shared" si="8"/>
        <v>-0.30804755756979985</v>
      </c>
    </row>
    <row r="12" spans="1:35" x14ac:dyDescent="0.2">
      <c r="B12" s="1">
        <f>[30]FormattedData!A24</f>
        <v>103</v>
      </c>
      <c r="C12" s="1" t="str">
        <f>VLOOKUP($B12,[30]TrtCodes!$B$11:I67,2)</f>
        <v>FDH</v>
      </c>
      <c r="D12" s="1">
        <f>VLOOKUP($B12,[30]TrtCodes!$B$11:J67,3)</f>
        <v>5</v>
      </c>
      <c r="E12" s="1">
        <f>VLOOKUP($B12,[30]TrtCodes!$B$11:K67,4)</f>
        <v>1</v>
      </c>
      <c r="F12" s="1">
        <f>VLOOKUP($B12,[30]TrtCodes!$B$11:L67,5)</f>
        <v>3</v>
      </c>
      <c r="G12" s="1">
        <f>VLOOKUP($B12,[30]TrtCodes!$B$11:M67,6)</f>
        <v>2</v>
      </c>
      <c r="H12" s="1">
        <f>VLOOKUP($B12,[30]TrtCodes!$B$11:N67,7)</f>
        <v>1</v>
      </c>
      <c r="I12" s="1">
        <f>[30]FormattedData!B24</f>
        <v>1</v>
      </c>
      <c r="J12" s="4">
        <f>[30]FormattedData!C24</f>
        <v>12.954000000000001</v>
      </c>
      <c r="K12" s="6">
        <f>$J$3+[30]FormattedData!D24*$J$4+$M$4*$J$5+[30]FormattedData!D24^2*$J$6+$M$5*$J$7</f>
        <v>33.58458193654338</v>
      </c>
      <c r="L12" s="6">
        <f>$J$3+[30]FormattedData!E24*$J$4+$M$4*$J$5+[30]FormattedData!E24^2*$J$6+$M$5*$J$7</f>
        <v>33.105585038671848</v>
      </c>
      <c r="M12" s="6">
        <f>$J$3+[30]FormattedData!F24*$J$4+$M$4*$J$5+[30]FormattedData!F24^2*$J$6+$M$5*$J$7</f>
        <v>33.775884815926474</v>
      </c>
      <c r="N12" s="6">
        <f>$J$3+[30]FormattedData!G24*$J$4+$M$4*$J$5+[30]FormattedData!G24^2*$J$6+$M$5*$J$7</f>
        <v>34.062522120966626</v>
      </c>
      <c r="O12" s="6">
        <f>$J$3+[30]FormattedData!H24*$J$4+$M$4*$J$5+[30]FormattedData!H24^2*$J$6+$M$5*$J$7</f>
        <v>33.105585038671848</v>
      </c>
      <c r="P12" s="6">
        <f>$J$3+[30]FormattedData!I24*$J$4+$M$4*$J$5+[30]FormattedData!I24^2*$J$6+$M$5*$J$7</f>
        <v>33.680254510503886</v>
      </c>
      <c r="Q12" s="6">
        <f>$J$3+[30]FormattedData!J24*$J$4+$M$4*$J$5+[30]FormattedData!J24^2*$J$6+$M$5*$J$7</f>
        <v>33.201468955322014</v>
      </c>
      <c r="R12" s="6">
        <f>$J$3+[30]FormattedData!K24*$J$4+$M$4*$J$5+[30]FormattedData!K24^2*$J$6+$M$5*$J$7</f>
        <v>33.775884815926474</v>
      </c>
      <c r="S12" s="6">
        <f>$J$3+[30]FormattedData!L24*$J$4+$M$4*$J$5+[30]FormattedData!L24^2*$J$6+$M$5*$J$7</f>
        <v>35.015232349468292</v>
      </c>
      <c r="T12" s="6">
        <f>$J$3+[30]FormattedData!M24*$J$4+$M$4*$J$5+[30]FormattedData!M24^2*$J$6+$M$5*$J$7</f>
        <v>34.539405591941602</v>
      </c>
      <c r="U12" s="6">
        <f>$J$3+[30]FormattedData!N24*$J$4+$M$4*$J$5+[30]FormattedData!N24^2*$J$6+$M$5*$J$7</f>
        <v>34.634655480522795</v>
      </c>
      <c r="V12" s="6">
        <f>$J$3+[30]FormattedData!O24*$J$4+$M$4*$J$5+[30]FormattedData!O24^2*$J$6+$M$5*$J$7</f>
        <v>34.348779009165412</v>
      </c>
      <c r="W12" s="5">
        <f t="shared" si="0"/>
        <v>33.902486638635885</v>
      </c>
      <c r="X12" s="4">
        <f t="shared" si="1"/>
        <v>0.18150809507922633</v>
      </c>
      <c r="Y12" s="3">
        <f t="shared" si="2"/>
        <v>33.105585038671848</v>
      </c>
      <c r="Z12" s="2">
        <f t="shared" si="3"/>
        <v>33.48880369123804</v>
      </c>
      <c r="AA12" s="3">
        <f t="shared" si="4"/>
        <v>33.775884815926474</v>
      </c>
      <c r="AB12" s="2">
        <f t="shared" si="5"/>
        <v>34.396435654859459</v>
      </c>
      <c r="AC12" s="2">
        <f t="shared" si="6"/>
        <v>35.015232349468292</v>
      </c>
      <c r="AD12" s="2">
        <f t="shared" si="7"/>
        <v>0.31504075214138344</v>
      </c>
      <c r="AE12" s="2">
        <f t="shared" si="8"/>
        <v>-0.92139016362255566</v>
      </c>
    </row>
    <row r="13" spans="1:35" x14ac:dyDescent="0.2">
      <c r="B13" s="1">
        <f>[30]FormattedData!A22</f>
        <v>104</v>
      </c>
      <c r="C13" s="1" t="str">
        <f>VLOOKUP($B13,[30]TrtCodes!$B$11:I65,2)</f>
        <v>NTL</v>
      </c>
      <c r="D13" s="1">
        <f>VLOOKUP($B13,[30]TrtCodes!$B$11:J65,3)</f>
        <v>10</v>
      </c>
      <c r="E13" s="1">
        <f>VLOOKUP($B13,[30]TrtCodes!$B$11:K65,4)</f>
        <v>2</v>
      </c>
      <c r="F13" s="1">
        <f>VLOOKUP($B13,[30]TrtCodes!$B$11:L65,5)</f>
        <v>2</v>
      </c>
      <c r="G13" s="1">
        <f>VLOOKUP($B13,[30]TrtCodes!$B$11:M65,6)</f>
        <v>1</v>
      </c>
      <c r="H13" s="1">
        <f>VLOOKUP($B13,[30]TrtCodes!$B$11:N65,7)</f>
        <v>1</v>
      </c>
      <c r="I13" s="1">
        <f>[30]FormattedData!B22</f>
        <v>1</v>
      </c>
      <c r="J13" s="4">
        <f>[30]FormattedData!C22</f>
        <v>12.938000000000001</v>
      </c>
      <c r="K13" s="6">
        <f>$J$3+[30]FormattedData!D22*$J$4+$M$4*$J$5+[30]FormattedData!D22^2*$J$6+$M$5*$J$7</f>
        <v>34.634655480522795</v>
      </c>
      <c r="L13" s="6">
        <f>$J$3+[30]FormattedData!E22*$J$4+$M$4*$J$5+[30]FormattedData!E22^2*$J$6+$M$5*$J$7</f>
        <v>32.913690399757719</v>
      </c>
      <c r="M13" s="6">
        <f>$J$3+[30]FormattedData!F22*$J$4+$M$4*$J$5+[30]FormattedData!F22^2*$J$6+$M$5*$J$7</f>
        <v>32.336992038104988</v>
      </c>
      <c r="N13" s="6">
        <f>$J$3+[30]FormattedData!G22*$J$4+$M$4*$J$5+[30]FormattedData!G22^2*$J$6+$M$5*$J$7</f>
        <v>32.240727704613434</v>
      </c>
      <c r="O13" s="6">
        <f>$J$3+[30]FormattedData!H22*$J$4+$M$4*$J$5+[30]FormattedData!H22^2*$J$6+$M$5*$J$7</f>
        <v>33.297310603434255</v>
      </c>
      <c r="P13" s="6">
        <f>$J$3+[30]FormattedData!I22*$J$4+$M$4*$J$5+[30]FormattedData!I22^2*$J$6+$M$5*$J$7</f>
        <v>32.529393899474286</v>
      </c>
      <c r="Q13" s="6">
        <f>$J$3+[30]FormattedData!J22*$J$4+$M$4*$J$5+[30]FormattedData!J22^2*$J$6+$M$5*$J$7</f>
        <v>32.817679677493757</v>
      </c>
      <c r="R13" s="6">
        <f>$J$3+[30]FormattedData!K22*$J$4+$M$4*$J$5+[30]FormattedData!K22^2*$J$6+$M$5*$J$7</f>
        <v>32.625531427352037</v>
      </c>
      <c r="S13" s="6">
        <f>$J$3+[30]FormattedData!L22*$J$4+$M$4*$J$5+[30]FormattedData!L22^2*$J$6+$M$5*$J$7</f>
        <v>31.662254064367588</v>
      </c>
      <c r="T13" s="6">
        <f>$J$3+[30]FormattedData!M22*$J$4+$M$4*$J$5+[30]FormattedData!M22^2*$J$6+$M$5*$J$7</f>
        <v>33.105585038671848</v>
      </c>
      <c r="U13" s="6">
        <f>$J$3+[30]FormattedData!N22*$J$4+$M$4*$J$5+[30]FormattedData!N22^2*$J$6+$M$5*$J$7</f>
        <v>32.817679677493757</v>
      </c>
      <c r="V13" s="6">
        <f>$J$3+[30]FormattedData!O22*$J$4+$M$4*$J$5+[30]FormattedData!O22^2*$J$6+$M$5*$J$7</f>
        <v>33.871472852811124</v>
      </c>
      <c r="W13" s="5">
        <f t="shared" si="0"/>
        <v>32.904414405341463</v>
      </c>
      <c r="X13" s="4">
        <f t="shared" si="1"/>
        <v>0.22466695423354727</v>
      </c>
      <c r="Y13" s="3">
        <f t="shared" si="2"/>
        <v>31.662254064367588</v>
      </c>
      <c r="Z13" s="2">
        <f t="shared" si="3"/>
        <v>32.481293434131963</v>
      </c>
      <c r="AA13" s="3">
        <f t="shared" si="4"/>
        <v>32.817679677493757</v>
      </c>
      <c r="AB13" s="2">
        <f t="shared" si="5"/>
        <v>33.153516429862449</v>
      </c>
      <c r="AC13" s="2">
        <f t="shared" si="6"/>
        <v>34.634655480522795</v>
      </c>
      <c r="AD13" s="2">
        <f t="shared" si="7"/>
        <v>0.85293926655802876</v>
      </c>
      <c r="AE13" s="2">
        <f t="shared" si="8"/>
        <v>1.3642259314684093</v>
      </c>
    </row>
    <row r="14" spans="1:35" x14ac:dyDescent="0.2">
      <c r="B14" s="1">
        <f>[30]FormattedData!A20</f>
        <v>105</v>
      </c>
      <c r="C14" s="1" t="str">
        <f>VLOOKUP($B14,[30]TrtCodes!$B$11:I63,2)</f>
        <v>NDL</v>
      </c>
      <c r="D14" s="1">
        <f>VLOOKUP($B14,[30]TrtCodes!$B$11:J63,3)</f>
        <v>12</v>
      </c>
      <c r="E14" s="1">
        <f>VLOOKUP($B14,[30]TrtCodes!$B$11:K63,4)</f>
        <v>2</v>
      </c>
      <c r="F14" s="1">
        <f>VLOOKUP($B14,[30]TrtCodes!$B$11:L63,5)</f>
        <v>3</v>
      </c>
      <c r="G14" s="1">
        <f>VLOOKUP($B14,[30]TrtCodes!$B$11:M63,6)</f>
        <v>1</v>
      </c>
      <c r="H14" s="1">
        <f>VLOOKUP($B14,[30]TrtCodes!$B$11:N63,7)</f>
        <v>2</v>
      </c>
      <c r="I14" s="1">
        <f>[30]FormattedData!B20</f>
        <v>1</v>
      </c>
      <c r="J14" s="4">
        <f>[30]FormattedData!C20</f>
        <v>12.922000000000001</v>
      </c>
      <c r="K14" s="6">
        <f>$J$3+[30]FormattedData!D20*$J$4+$M$4*$J$5+[30]FormattedData!D20^2*$J$6+$M$5*$J$7</f>
        <v>32.529393899474286</v>
      </c>
      <c r="L14" s="6">
        <f>$J$3+[30]FormattedData!E20*$J$4+$M$4*$J$5+[30]FormattedData!E20^2*$J$6+$M$5*$J$7</f>
        <v>32.625531427352037</v>
      </c>
      <c r="M14" s="6">
        <f>$J$3+[30]FormattedData!F20*$J$4+$M$4*$J$5+[30]FormattedData!F20^2*$J$6+$M$5*$J$7</f>
        <v>31.469091369315528</v>
      </c>
      <c r="N14" s="6">
        <f>$J$3+[30]FormattedData!G20*$J$4+$M$4*$J$5+[30]FormattedData!G20^2*$J$6+$M$5*$J$7</f>
        <v>31.565693851110524</v>
      </c>
      <c r="O14" s="6">
        <f>$J$3+[30]FormattedData!H20*$J$4+$M$4*$J$5+[30]FormattedData!H20^2*$J$6+$M$5*$J$7</f>
        <v>31.469091369315528</v>
      </c>
      <c r="P14" s="6">
        <f>$J$3+[30]FormattedData!I20*$J$4+$M$4*$J$5+[30]FormattedData!I20^2*$J$6+$M$5*$J$7</f>
        <v>30.888588839248985</v>
      </c>
      <c r="Q14" s="6">
        <f>$J$3+[30]FormattedData!J20*$J$4+$M$4*$J$5+[30]FormattedData!J20^2*$J$6+$M$5*$J$7</f>
        <v>30.888588839248985</v>
      </c>
      <c r="R14" s="6">
        <f>$J$3+[30]FormattedData!K20*$J$4+$M$4*$J$5+[30]FormattedData!K20^2*$J$6+$M$5*$J$7</f>
        <v>31.855247685267933</v>
      </c>
      <c r="S14" s="6">
        <f>$J$3+[30]FormattedData!L20*$J$4+$M$4*$J$5+[30]FormattedData!L20^2*$J$6+$M$5*$J$7</f>
        <v>31.855247685267933</v>
      </c>
      <c r="T14" s="6">
        <f>$J$3+[30]FormattedData!M20*$J$4+$M$4*$J$5+[30]FormattedData!M20^2*$J$6+$M$5*$J$7</f>
        <v>32.336992038104988</v>
      </c>
      <c r="U14" s="6">
        <f>$J$3+[30]FormattedData!N20*$J$4+$M$4*$J$5+[30]FormattedData!N20^2*$J$6+$M$5*$J$7</f>
        <v>34.062522120966626</v>
      </c>
      <c r="V14" s="6">
        <f>$J$3+[30]FormattedData!O20*$J$4+$M$4*$J$5+[30]FormattedData!O20^2*$J$6+$M$5*$J$7</f>
        <v>32.336992038104988</v>
      </c>
      <c r="W14" s="5">
        <f t="shared" si="0"/>
        <v>31.990248430231528</v>
      </c>
      <c r="X14" s="4">
        <f t="shared" si="1"/>
        <v>0.25250647903444823</v>
      </c>
      <c r="Y14" s="3">
        <f t="shared" si="2"/>
        <v>30.888588839248985</v>
      </c>
      <c r="Z14" s="2">
        <f t="shared" si="3"/>
        <v>31.469091369315528</v>
      </c>
      <c r="AA14" s="3">
        <f t="shared" si="4"/>
        <v>31.855247685267933</v>
      </c>
      <c r="AB14" s="2">
        <f t="shared" si="5"/>
        <v>32.385092503447311</v>
      </c>
      <c r="AC14" s="2">
        <f t="shared" si="6"/>
        <v>34.062522120966626</v>
      </c>
      <c r="AD14" s="2">
        <f t="shared" si="7"/>
        <v>1.036198886482361</v>
      </c>
      <c r="AE14" s="2">
        <f t="shared" si="8"/>
        <v>1.8465689533717908</v>
      </c>
    </row>
    <row r="15" spans="1:35" x14ac:dyDescent="0.2">
      <c r="B15" s="1">
        <f>[30]FormattedData!A18</f>
        <v>106</v>
      </c>
      <c r="C15" s="1" t="str">
        <f>VLOOKUP($B15,[30]TrtCodes!$B$11:I61,2)</f>
        <v>NTH</v>
      </c>
      <c r="D15" s="1">
        <f>VLOOKUP($B15,[30]TrtCodes!$B$11:J61,3)</f>
        <v>9</v>
      </c>
      <c r="E15" s="1">
        <f>VLOOKUP($B15,[30]TrtCodes!$B$11:K61,4)</f>
        <v>2</v>
      </c>
      <c r="F15" s="1">
        <f>VLOOKUP($B15,[30]TrtCodes!$B$11:L61,5)</f>
        <v>2</v>
      </c>
      <c r="G15" s="1">
        <f>VLOOKUP($B15,[30]TrtCodes!$B$11:M61,6)</f>
        <v>2</v>
      </c>
      <c r="H15" s="1">
        <f>VLOOKUP($B15,[30]TrtCodes!$B$11:N61,7)</f>
        <v>2</v>
      </c>
      <c r="I15" s="1">
        <f>[30]FormattedData!B18</f>
        <v>1</v>
      </c>
      <c r="J15" s="4">
        <f>[30]FormattedData!C18</f>
        <v>12.907</v>
      </c>
      <c r="K15" s="6">
        <f>$J$3+[30]FormattedData!D18*$J$4+$M$4*$J$5+[30]FormattedData!D18^2*$J$6+$M$5*$J$7</f>
        <v>34.253402314970408</v>
      </c>
      <c r="L15" s="6">
        <f>$J$3+[30]FormattedData!E18*$J$4+$M$4*$J$5+[30]FormattedData!E18^2*$J$6+$M$5*$J$7</f>
        <v>33.967018621157834</v>
      </c>
      <c r="M15" s="6">
        <f>$J$3+[30]FormattedData!F18*$J$4+$M$4*$J$5+[30]FormattedData!F18^2*$J$6+$M$5*$J$7</f>
        <v>33.967018621157834</v>
      </c>
      <c r="N15" s="6">
        <f>$J$3+[30]FormattedData!G18*$J$4+$M$4*$J$5+[30]FormattedData!G18^2*$J$6+$M$5*$J$7</f>
        <v>34.15798335223748</v>
      </c>
      <c r="O15" s="6">
        <f>$J$3+[30]FormattedData!H18*$J$4+$M$4*$J$5+[30]FormattedData!H18^2*$J$6+$M$5*$J$7</f>
        <v>32.817679677493757</v>
      </c>
      <c r="P15" s="6">
        <f>$J$3+[30]FormattedData!I18*$J$4+$M$4*$J$5+[30]FormattedData!I18^2*$J$6+$M$5*$J$7</f>
        <v>34.062522120966626</v>
      </c>
      <c r="Q15" s="6">
        <f>$J$3+[30]FormattedData!J18*$J$4+$M$4*$J$5+[30]FormattedData!J18^2*$J$6+$M$5*$J$7</f>
        <v>32.240727704613434</v>
      </c>
      <c r="R15" s="6">
        <f>$J$3+[30]FormattedData!K18*$J$4+$M$4*$J$5+[30]FormattedData!K18^2*$J$6+$M$5*$J$7</f>
        <v>33.009658853483742</v>
      </c>
      <c r="S15" s="6">
        <f>$J$3+[30]FormattedData!L18*$J$4+$M$4*$J$5+[30]FormattedData!L18^2*$J$6+$M$5*$J$7</f>
        <v>31.662254064367588</v>
      </c>
      <c r="T15" s="6">
        <f>$J$3+[30]FormattedData!M18*$J$4+$M$4*$J$5+[30]FormattedData!M18^2*$J$6+$M$5*$J$7</f>
        <v>31.951681092911205</v>
      </c>
      <c r="U15" s="6">
        <f>$J$3+[30]FormattedData!N18*$J$4+$M$4*$J$5+[30]FormattedData!N18^2*$J$6+$M$5*$J$7</f>
        <v>32.433214103058603</v>
      </c>
      <c r="V15" s="6">
        <f>$J$3+[30]FormattedData!O18*$J$4+$M$4*$J$5+[30]FormattedData!O18^2*$J$6+$M$5*$J$7</f>
        <v>32.048072232016544</v>
      </c>
      <c r="W15" s="5">
        <f t="shared" si="0"/>
        <v>33.047602729869588</v>
      </c>
      <c r="X15" s="4">
        <f t="shared" si="1"/>
        <v>0.28350794592435763</v>
      </c>
      <c r="Y15" s="3">
        <f t="shared" si="2"/>
        <v>31.662254064367588</v>
      </c>
      <c r="Z15" s="2">
        <f t="shared" si="3"/>
        <v>32.19256383646421</v>
      </c>
      <c r="AA15" s="3">
        <f t="shared" si="4"/>
        <v>32.91366926548875</v>
      </c>
      <c r="AB15" s="2">
        <f t="shared" si="5"/>
        <v>33.99089449611003</v>
      </c>
      <c r="AC15" s="2">
        <f t="shared" si="6"/>
        <v>34.253402314970408</v>
      </c>
      <c r="AD15" s="2">
        <f t="shared" si="7"/>
        <v>-2.4155911022510166E-3</v>
      </c>
      <c r="AE15" s="2">
        <f t="shared" si="8"/>
        <v>-1.8623064873760722</v>
      </c>
    </row>
    <row r="16" spans="1:35" x14ac:dyDescent="0.2">
      <c r="B16" s="1">
        <f>[30]FormattedData!A16</f>
        <v>107</v>
      </c>
      <c r="C16" s="1" t="str">
        <f>VLOOKUP($B16,[30]TrtCodes!$B$11:I59,2)</f>
        <v>NTL</v>
      </c>
      <c r="D16" s="1">
        <f>VLOOKUP($B16,[30]TrtCodes!$B$11:J59,3)</f>
        <v>10</v>
      </c>
      <c r="E16" s="1">
        <f>VLOOKUP($B16,[30]TrtCodes!$B$11:K59,4)</f>
        <v>2</v>
      </c>
      <c r="F16" s="1">
        <f>VLOOKUP($B16,[30]TrtCodes!$B$11:L59,5)</f>
        <v>2</v>
      </c>
      <c r="G16" s="1">
        <f>VLOOKUP($B16,[30]TrtCodes!$B$11:M59,6)</f>
        <v>1</v>
      </c>
      <c r="H16" s="1">
        <f>VLOOKUP($B16,[30]TrtCodes!$B$11:N59,7)</f>
        <v>2</v>
      </c>
      <c r="I16" s="1">
        <f>[30]FormattedData!B16</f>
        <v>1</v>
      </c>
      <c r="J16" s="4">
        <f>[30]FormattedData!C16</f>
        <v>12.891999999999999</v>
      </c>
      <c r="K16" s="6">
        <f>$J$3+[30]FormattedData!D16*$J$4+$M$4*$J$5+[30]FormattedData!D16^2*$J$6+$M$5*$J$7</f>
        <v>34.253402314970408</v>
      </c>
      <c r="L16" s="6">
        <f>$J$3+[30]FormattedData!E16*$J$4+$M$4*$J$5+[30]FormattedData!E16^2*$J$6+$M$5*$J$7</f>
        <v>34.920151535038812</v>
      </c>
      <c r="M16" s="6">
        <f>$J$3+[30]FormattedData!F16*$J$4+$M$4*$J$5+[30]FormattedData!F16^2*$J$6+$M$5*$J$7</f>
        <v>34.825028452071415</v>
      </c>
      <c r="N16" s="6">
        <f>$J$3+[30]FormattedData!G16*$J$4+$M$4*$J$5+[30]FormattedData!G16^2*$J$6+$M$5*$J$7</f>
        <v>33.871472852811124</v>
      </c>
      <c r="O16" s="6">
        <f>$J$3+[30]FormattedData!H16*$J$4+$M$4*$J$5+[30]FormattedData!H16^2*$J$6+$M$5*$J$7</f>
        <v>32.433214103058603</v>
      </c>
      <c r="P16" s="6">
        <f>$J$3+[30]FormattedData!I16*$J$4+$M$4*$J$5+[30]FormattedData!I16^2*$J$6+$M$5*$J$7</f>
        <v>30.888588839248985</v>
      </c>
      <c r="Q16" s="6">
        <f>$J$3+[30]FormattedData!J16*$J$4+$M$4*$J$5+[30]FormattedData!J16^2*$J$6+$M$5*$J$7</f>
        <v>30.791690477688473</v>
      </c>
      <c r="R16" s="6">
        <f>$J$3+[30]FormattedData!K16*$J$4+$M$4*$J$5+[30]FormattedData!K16^2*$J$6+$M$5*$J$7</f>
        <v>32.240727704613434</v>
      </c>
      <c r="S16" s="6">
        <f>$J$3+[30]FormattedData!L16*$J$4+$M$4*$J$5+[30]FormattedData!L16^2*$J$6+$M$5*$J$7</f>
        <v>32.625531427352037</v>
      </c>
      <c r="T16" s="6">
        <f>$J$3+[30]FormattedData!M16*$J$4+$M$4*$J$5+[30]FormattedData!M16^2*$J$6+$M$5*$J$7</f>
        <v>32.433214103058603</v>
      </c>
      <c r="U16" s="6">
        <f>$J$3+[30]FormattedData!N16*$J$4+$M$4*$J$5+[30]FormattedData!N16^2*$J$6+$M$5*$J$7</f>
        <v>30.985444932271566</v>
      </c>
      <c r="V16" s="6">
        <f>$J$3+[30]FormattedData!O16*$J$4+$M$4*$J$5+[30]FormattedData!O16^2*$J$6+$M$5*$J$7</f>
        <v>31.179030312702942</v>
      </c>
      <c r="W16" s="5">
        <f t="shared" si="0"/>
        <v>32.620624754573868</v>
      </c>
      <c r="X16" s="4">
        <f t="shared" si="1"/>
        <v>0.44115336557145651</v>
      </c>
      <c r="Y16" s="3">
        <f t="shared" si="2"/>
        <v>30.791690477688473</v>
      </c>
      <c r="Z16" s="2">
        <f t="shared" si="3"/>
        <v>31.130633967595099</v>
      </c>
      <c r="AA16" s="3">
        <f t="shared" si="4"/>
        <v>32.433214103058603</v>
      </c>
      <c r="AB16" s="2">
        <f t="shared" si="5"/>
        <v>33.966955218350947</v>
      </c>
      <c r="AC16" s="2">
        <f t="shared" si="6"/>
        <v>34.920151535038812</v>
      </c>
      <c r="AD16" s="2">
        <f t="shared" si="7"/>
        <v>0.31886255609832515</v>
      </c>
      <c r="AE16" s="2">
        <f t="shared" si="8"/>
        <v>-1.3519118512147346</v>
      </c>
    </row>
    <row r="17" spans="2:31" x14ac:dyDescent="0.2">
      <c r="B17" s="1">
        <f>[30]FormattedData!A14</f>
        <v>108</v>
      </c>
      <c r="C17" s="1" t="str">
        <f>VLOOKUP($B17,[30]TrtCodes!$B$11:I57,2)</f>
        <v>FTH</v>
      </c>
      <c r="D17" s="1">
        <f>VLOOKUP($B17,[30]TrtCodes!$B$11:J57,3)</f>
        <v>3</v>
      </c>
      <c r="E17" s="1">
        <f>VLOOKUP($B17,[30]TrtCodes!$B$11:K57,4)</f>
        <v>1</v>
      </c>
      <c r="F17" s="1">
        <f>VLOOKUP($B17,[30]TrtCodes!$B$11:L57,5)</f>
        <v>2</v>
      </c>
      <c r="G17" s="1">
        <f>VLOOKUP($B17,[30]TrtCodes!$B$11:M57,6)</f>
        <v>2</v>
      </c>
      <c r="H17" s="1">
        <f>VLOOKUP($B17,[30]TrtCodes!$B$11:N57,7)</f>
        <v>2</v>
      </c>
      <c r="I17" s="1">
        <f>[30]FormattedData!B14</f>
        <v>1</v>
      </c>
      <c r="J17" s="4">
        <f>[30]FormattedData!C14</f>
        <v>12.872999999999999</v>
      </c>
      <c r="K17" s="6">
        <f>$J$3+[30]FormattedData!D14*$J$4+$M$4*$J$5+[30]FormattedData!D14^2*$J$6+$M$5*$J$7</f>
        <v>34.539405591941602</v>
      </c>
      <c r="L17" s="6">
        <f>$J$3+[30]FormattedData!E14*$J$4+$M$4*$J$5+[30]FormattedData!E14^2*$J$6+$M$5*$J$7</f>
        <v>34.920151535038812</v>
      </c>
      <c r="M17" s="6">
        <f>$J$3+[30]FormattedData!F14*$J$4+$M$4*$J$5+[30]FormattedData!F14^2*$J$6+$M$5*$J$7</f>
        <v>34.634655480522795</v>
      </c>
      <c r="N17" s="6">
        <f>$J$3+[30]FormattedData!G14*$J$4+$M$4*$J$5+[30]FormattedData!G14^2*$J$6+$M$5*$J$7</f>
        <v>35.300221181529139</v>
      </c>
      <c r="O17" s="6">
        <f>$J$3+[30]FormattedData!H14*$J$4+$M$4*$J$5+[30]FormattedData!H14^2*$J$6+$M$5*$J$7</f>
        <v>33.201468955322014</v>
      </c>
      <c r="P17" s="6">
        <f>$J$3+[30]FormattedData!I14*$J$4+$M$4*$J$5+[30]FormattedData!I14^2*$J$6+$M$5*$J$7</f>
        <v>35.300221181529139</v>
      </c>
      <c r="Q17" s="6">
        <f>$J$3+[30]FormattedData!J14*$J$4+$M$4*$J$5+[30]FormattedData!J14^2*$J$6+$M$5*$J$7</f>
        <v>34.920151535038812</v>
      </c>
      <c r="R17" s="6">
        <f>$J$3+[30]FormattedData!K14*$J$4+$M$4*$J$5+[30]FormattedData!K14^2*$J$6+$M$5*$J$7</f>
        <v>34.825028452071415</v>
      </c>
      <c r="S17" s="6">
        <f>$J$3+[30]FormattedData!L14*$J$4+$M$4*$J$5+[30]FormattedData!L14^2*$J$6+$M$5*$J$7</f>
        <v>35.110270895359832</v>
      </c>
      <c r="T17" s="6">
        <f>$J$3+[30]FormattedData!M14*$J$4+$M$4*$J$5+[30]FormattedData!M14^2*$J$6+$M$5*$J$7</f>
        <v>35.110270895359832</v>
      </c>
      <c r="U17" s="6">
        <f>$J$3+[30]FormattedData!N14*$J$4+$M$4*$J$5+[30]FormattedData!N14^2*$J$6+$M$5*$J$7</f>
        <v>32.817679677493757</v>
      </c>
      <c r="V17" s="6">
        <f>$J$3+[30]FormattedData!O14*$J$4+$M$4*$J$5+[30]FormattedData!O14^2*$J$6+$M$5*$J$7</f>
        <v>35.015232349468292</v>
      </c>
      <c r="W17" s="5">
        <f t="shared" si="0"/>
        <v>34.64122981088962</v>
      </c>
      <c r="X17" s="4">
        <f t="shared" si="1"/>
        <v>0.23104588666608594</v>
      </c>
      <c r="Y17" s="3">
        <f t="shared" si="2"/>
        <v>32.817679677493757</v>
      </c>
      <c r="Z17" s="2">
        <f t="shared" si="3"/>
        <v>34.6108430083775</v>
      </c>
      <c r="AA17" s="3">
        <f t="shared" si="4"/>
        <v>34.920151535038812</v>
      </c>
      <c r="AB17" s="2">
        <f t="shared" si="5"/>
        <v>35.110270895359832</v>
      </c>
      <c r="AC17" s="2">
        <f t="shared" si="6"/>
        <v>35.300221181529139</v>
      </c>
      <c r="AD17" s="2">
        <f t="shared" si="7"/>
        <v>-1.738123565118914</v>
      </c>
      <c r="AE17" s="2">
        <f t="shared" si="8"/>
        <v>2.0576030315523051</v>
      </c>
    </row>
    <row r="18" spans="2:31" x14ac:dyDescent="0.2">
      <c r="B18" s="1">
        <f>[30]FormattedData!A30</f>
        <v>201</v>
      </c>
      <c r="C18" s="1" t="str">
        <f>VLOOKUP($B18,[30]TrtCodes!$B$11:I73,2)</f>
        <v>NDL</v>
      </c>
      <c r="D18" s="1">
        <f>VLOOKUP($B18,[30]TrtCodes!$B$11:J73,3)</f>
        <v>12</v>
      </c>
      <c r="E18" s="1">
        <f>VLOOKUP($B18,[30]TrtCodes!$B$11:K73,4)</f>
        <v>2</v>
      </c>
      <c r="F18" s="1">
        <f>VLOOKUP($B18,[30]TrtCodes!$B$11:L73,5)</f>
        <v>3</v>
      </c>
      <c r="G18" s="1">
        <f>VLOOKUP($B18,[30]TrtCodes!$B$11:M73,6)</f>
        <v>1</v>
      </c>
      <c r="H18" s="1">
        <f>VLOOKUP($B18,[30]TrtCodes!$B$11:N73,7)</f>
        <v>1</v>
      </c>
      <c r="I18" s="1">
        <f>[30]FormattedData!B30</f>
        <v>1</v>
      </c>
      <c r="J18" s="4">
        <f>[30]FormattedData!C30</f>
        <v>13.004</v>
      </c>
      <c r="K18" s="6">
        <f>$J$3+[30]FormattedData!D30*$J$4+$M$4*$J$5+[30]FormattedData!D30^2*$J$6+$M$5*$J$7</f>
        <v>31.951681092911205</v>
      </c>
      <c r="L18" s="6">
        <f>$J$3+[30]FormattedData!E30*$J$4+$M$4*$J$5+[30]FormattedData!E30^2*$J$6+$M$5*$J$7</f>
        <v>32.529393899474286</v>
      </c>
      <c r="M18" s="6">
        <f>$J$3+[30]FormattedData!F30*$J$4+$M$4*$J$5+[30]FormattedData!F30^2*$J$6+$M$5*$J$7</f>
        <v>32.144421102583948</v>
      </c>
      <c r="N18" s="6">
        <f>$J$3+[30]FormattedData!G30*$J$4+$M$4*$J$5+[30]FormattedData!G30^2*$J$6+$M$5*$J$7</f>
        <v>33.297310603434255</v>
      </c>
      <c r="O18" s="6">
        <f>$J$3+[30]FormattedData!H30*$J$4+$M$4*$J$5+[30]FormattedData!H30^2*$J$6+$M$5*$J$7</f>
        <v>33.297310603434255</v>
      </c>
      <c r="P18" s="6">
        <f>$J$3+[30]FormattedData!I30*$J$4+$M$4*$J$5+[30]FormattedData!I30^2*$J$6+$M$5*$J$7</f>
        <v>32.913690399757719</v>
      </c>
      <c r="Q18" s="6">
        <f>$J$3+[30]FormattedData!J30*$J$4+$M$4*$J$5+[30]FormattedData!J30^2*$J$6+$M$5*$J$7</f>
        <v>32.433214103058603</v>
      </c>
      <c r="R18" s="6">
        <f>$J$3+[30]FormattedData!K30*$J$4+$M$4*$J$5+[30]FormattedData!K30^2*$J$6+$M$5*$J$7</f>
        <v>34.539405591941602</v>
      </c>
      <c r="S18" s="6">
        <f>$J$3+[30]FormattedData!L30*$J$4+$M$4*$J$5+[30]FormattedData!L30^2*$J$6+$M$5*$J$7</f>
        <v>33.775884815926474</v>
      </c>
      <c r="T18" s="6">
        <f>$J$3+[30]FormattedData!M30*$J$4+$M$4*$J$5+[30]FormattedData!M30^2*$J$6+$M$5*$J$7</f>
        <v>33.680254510503886</v>
      </c>
      <c r="U18" s="6">
        <f>$J$3+[30]FormattedData!N30*$J$4+$M$4*$J$5+[30]FormattedData!N30^2*$J$6+$M$5*$J$7</f>
        <v>32.529393899474286</v>
      </c>
      <c r="V18" s="6">
        <f>$J$3+[30]FormattedData!O30*$J$4+$M$4*$J$5+[30]FormattedData!O30^2*$J$6+$M$5*$J$7</f>
        <v>33.488867094044927</v>
      </c>
      <c r="W18" s="5">
        <f t="shared" si="0"/>
        <v>33.04840230971211</v>
      </c>
      <c r="X18" s="4">
        <f t="shared" si="1"/>
        <v>0.22061898854414017</v>
      </c>
      <c r="Y18" s="3">
        <f t="shared" si="2"/>
        <v>31.951681092911205</v>
      </c>
      <c r="Z18" s="2">
        <f t="shared" si="3"/>
        <v>32.505348950370362</v>
      </c>
      <c r="AA18" s="3">
        <f t="shared" si="4"/>
        <v>33.105500501595984</v>
      </c>
      <c r="AB18" s="2">
        <f t="shared" si="5"/>
        <v>33.536713948159665</v>
      </c>
      <c r="AC18" s="2">
        <f t="shared" si="6"/>
        <v>34.539405591941602</v>
      </c>
      <c r="AD18" s="2">
        <f t="shared" si="7"/>
        <v>0.365481712308386</v>
      </c>
      <c r="AE18" s="2">
        <f t="shared" si="8"/>
        <v>-0.41654321007178075</v>
      </c>
    </row>
    <row r="19" spans="2:31" x14ac:dyDescent="0.2">
      <c r="B19" s="1">
        <f>[30]FormattedData!A32</f>
        <v>202</v>
      </c>
      <c r="C19" s="1" t="str">
        <f>VLOOKUP($B19,[30]TrtCodes!$B$11:I75,2)</f>
        <v>NTH</v>
      </c>
      <c r="D19" s="1">
        <f>VLOOKUP($B19,[30]TrtCodes!$B$11:J75,3)</f>
        <v>9</v>
      </c>
      <c r="E19" s="1">
        <f>VLOOKUP($B19,[30]TrtCodes!$B$11:K75,4)</f>
        <v>2</v>
      </c>
      <c r="F19" s="1">
        <f>VLOOKUP($B19,[30]TrtCodes!$B$11:L75,5)</f>
        <v>2</v>
      </c>
      <c r="G19" s="1">
        <f>VLOOKUP($B19,[30]TrtCodes!$B$11:M75,6)</f>
        <v>2</v>
      </c>
      <c r="H19" s="1">
        <f>VLOOKUP($B19,[30]TrtCodes!$B$11:N75,7)</f>
        <v>1</v>
      </c>
      <c r="I19" s="1">
        <f>[30]FormattedData!B32</f>
        <v>1</v>
      </c>
      <c r="J19" s="4">
        <f>[30]FormattedData!C32</f>
        <v>13.019</v>
      </c>
      <c r="K19" s="6">
        <f>$J$3+[30]FormattedData!D32*$J$4+$M$4*$J$5+[30]FormattedData!D32^2*$J$6+$M$5*$J$7</f>
        <v>35.110270895359832</v>
      </c>
      <c r="L19" s="6">
        <f>$J$3+[30]FormattedData!E32*$J$4+$M$4*$J$5+[30]FormattedData!E32^2*$J$6+$M$5*$J$7</f>
        <v>33.967018621157834</v>
      </c>
      <c r="M19" s="6">
        <f>$J$3+[30]FormattedData!F32*$J$4+$M$4*$J$5+[30]FormattedData!F32^2*$J$6+$M$5*$J$7</f>
        <v>33.393109983008557</v>
      </c>
      <c r="N19" s="6">
        <f>$J$3+[30]FormattedData!G32*$J$4+$M$4*$J$5+[30]FormattedData!G32^2*$J$6+$M$5*$J$7</f>
        <v>31.951681092911205</v>
      </c>
      <c r="O19" s="6">
        <f>$J$3+[30]FormattedData!H32*$J$4+$M$4*$J$5+[30]FormattedData!H32^2*$J$6+$M$5*$J$7</f>
        <v>32.336992038104988</v>
      </c>
      <c r="P19" s="6">
        <f>$J$3+[30]FormattedData!I32*$J$4+$M$4*$J$5+[30]FormattedData!I32^2*$J$6+$M$5*$J$7</f>
        <v>32.336992038104988</v>
      </c>
      <c r="Q19" s="6">
        <f>$J$3+[30]FormattedData!J32*$J$4+$M$4*$J$5+[30]FormattedData!J32^2*$J$6+$M$5*$J$7</f>
        <v>32.240727704613434</v>
      </c>
      <c r="R19" s="6">
        <f>$J$3+[30]FormattedData!K32*$J$4+$M$4*$J$5+[30]FormattedData!K32^2*$J$6+$M$5*$J$7</f>
        <v>31.758772009086726</v>
      </c>
      <c r="S19" s="6">
        <f>$J$3+[30]FormattedData!L32*$J$4+$M$4*$J$5+[30]FormattedData!L32^2*$J$6+$M$5*$J$7</f>
        <v>30.597766948953648</v>
      </c>
      <c r="T19" s="6">
        <f>$J$3+[30]FormattedData!M32*$J$4+$M$4*$J$5+[30]FormattedData!M32^2*$J$6+$M$5*$J$7</f>
        <v>31.951681092911205</v>
      </c>
      <c r="U19" s="6">
        <f>$J$3+[30]FormattedData!N32*$J$4+$M$4*$J$5+[30]FormattedData!N32^2*$J$6+$M$5*$J$7</f>
        <v>31.082258756756225</v>
      </c>
      <c r="V19" s="6">
        <f>$J$3+[30]FormattedData!O32*$J$4+$M$4*$J$5+[30]FormattedData!O32^2*$J$6+$M$5*$J$7</f>
        <v>33.201468955322014</v>
      </c>
      <c r="W19" s="5">
        <f t="shared" si="0"/>
        <v>32.494061678024224</v>
      </c>
      <c r="X19" s="4">
        <f t="shared" si="1"/>
        <v>0.36049745790914534</v>
      </c>
      <c r="Y19" s="3">
        <f t="shared" si="2"/>
        <v>30.597766948953648</v>
      </c>
      <c r="Z19" s="2">
        <f t="shared" si="3"/>
        <v>31.903453821955086</v>
      </c>
      <c r="AA19" s="3">
        <f t="shared" si="4"/>
        <v>32.288859871359207</v>
      </c>
      <c r="AB19" s="2">
        <f t="shared" si="5"/>
        <v>33.249379212243653</v>
      </c>
      <c r="AC19" s="2">
        <f t="shared" si="6"/>
        <v>35.110270895359832</v>
      </c>
      <c r="AD19" s="2">
        <f t="shared" si="7"/>
        <v>0.66152393159883371</v>
      </c>
      <c r="AE19" s="2">
        <f t="shared" si="8"/>
        <v>0.49125569511227063</v>
      </c>
    </row>
    <row r="20" spans="2:31" x14ac:dyDescent="0.2">
      <c r="B20" s="1">
        <f>[30]FormattedData!A34</f>
        <v>203</v>
      </c>
      <c r="C20" s="1" t="str">
        <f>VLOOKUP($B20,[30]TrtCodes!$B$11:I77,2)</f>
        <v>FTH</v>
      </c>
      <c r="D20" s="1">
        <f>VLOOKUP($B20,[30]TrtCodes!$B$11:J77,3)</f>
        <v>3</v>
      </c>
      <c r="E20" s="1">
        <f>VLOOKUP($B20,[30]TrtCodes!$B$11:K77,4)</f>
        <v>1</v>
      </c>
      <c r="F20" s="1">
        <f>VLOOKUP($B20,[30]TrtCodes!$B$11:L77,5)</f>
        <v>2</v>
      </c>
      <c r="G20" s="1">
        <f>VLOOKUP($B20,[30]TrtCodes!$B$11:M77,6)</f>
        <v>2</v>
      </c>
      <c r="H20" s="1">
        <f>VLOOKUP($B20,[30]TrtCodes!$B$11:N77,7)</f>
        <v>1</v>
      </c>
      <c r="I20" s="1">
        <f>[30]FormattedData!B34</f>
        <v>1</v>
      </c>
      <c r="J20" s="4">
        <f>[30]FormattedData!C34</f>
        <v>13.045</v>
      </c>
      <c r="K20" s="6">
        <f>$J$3+[30]FormattedData!D34*$J$4+$M$4*$J$5+[30]FormattedData!D34^2*$J$6+$M$5*$J$7</f>
        <v>32.529393899474286</v>
      </c>
      <c r="L20" s="6">
        <f>$J$3+[30]FormattedData!E34*$J$4+$M$4*$J$5+[30]FormattedData!E34^2*$J$6+$M$5*$J$7</f>
        <v>33.58458193654338</v>
      </c>
      <c r="M20" s="6">
        <f>$J$3+[30]FormattedData!F34*$J$4+$M$4*$J$5+[30]FormattedData!F34^2*$J$6+$M$5*$J$7</f>
        <v>31.951681092911205</v>
      </c>
      <c r="N20" s="6">
        <f>$J$3+[30]FormattedData!G34*$J$4+$M$4*$J$5+[30]FormattedData!G34^2*$J$6+$M$5*$J$7</f>
        <v>32.529393899474286</v>
      </c>
      <c r="O20" s="6">
        <f>$J$3+[30]FormattedData!H34*$J$4+$M$4*$J$5+[30]FormattedData!H34^2*$J$6+$M$5*$J$7</f>
        <v>32.240727704613434</v>
      </c>
      <c r="P20" s="6">
        <f>$J$3+[30]FormattedData!I34*$J$4+$M$4*$J$5+[30]FormattedData!I34^2*$J$6+$M$5*$J$7</f>
        <v>32.336992038104988</v>
      </c>
      <c r="Q20" s="6">
        <f>$J$3+[30]FormattedData!J34*$J$4+$M$4*$J$5+[30]FormattedData!J34^2*$J$6+$M$5*$J$7</f>
        <v>32.529393899474286</v>
      </c>
      <c r="R20" s="6">
        <f>$J$3+[30]FormattedData!K34*$J$4+$M$4*$J$5+[30]FormattedData!K34^2*$J$6+$M$5*$J$7</f>
        <v>33.393109983008557</v>
      </c>
      <c r="S20" s="6">
        <f>$J$3+[30]FormattedData!L34*$J$4+$M$4*$J$5+[30]FormattedData!L34^2*$J$6+$M$5*$J$7</f>
        <v>33.488867094044927</v>
      </c>
      <c r="T20" s="6">
        <f>$J$3+[30]FormattedData!M34*$J$4+$M$4*$J$5+[30]FormattedData!M34^2*$J$6+$M$5*$J$7</f>
        <v>33.105585038671848</v>
      </c>
      <c r="U20" s="6">
        <f>$J$3+[30]FormattedData!N34*$J$4+$M$4*$J$5+[30]FormattedData!N34^2*$J$6+$M$5*$J$7</f>
        <v>32.048072232016544</v>
      </c>
      <c r="V20" s="6">
        <f>$J$3+[30]FormattedData!O34*$J$4+$M$4*$J$5+[30]FormattedData!O34^2*$J$6+$M$5*$J$7</f>
        <v>32.625531427352037</v>
      </c>
      <c r="W20" s="5">
        <f t="shared" si="0"/>
        <v>32.696944187140808</v>
      </c>
      <c r="X20" s="4">
        <f t="shared" si="1"/>
        <v>0.16213880199339861</v>
      </c>
      <c r="Y20" s="3">
        <f t="shared" si="2"/>
        <v>31.951681092911205</v>
      </c>
      <c r="Z20" s="2">
        <f t="shared" si="3"/>
        <v>32.312925954732101</v>
      </c>
      <c r="AA20" s="3">
        <f t="shared" si="4"/>
        <v>32.529393899474286</v>
      </c>
      <c r="AB20" s="2">
        <f t="shared" si="5"/>
        <v>33.177466274756028</v>
      </c>
      <c r="AC20" s="2">
        <f t="shared" si="6"/>
        <v>33.58458193654338</v>
      </c>
      <c r="AD20" s="2">
        <f t="shared" si="7"/>
        <v>0.46696632023568757</v>
      </c>
      <c r="AE20" s="2">
        <f t="shared" si="8"/>
        <v>-1.1435193892142168</v>
      </c>
    </row>
    <row r="21" spans="2:31" x14ac:dyDescent="0.2">
      <c r="B21" s="1">
        <f>[30]FormattedData!A36</f>
        <v>204</v>
      </c>
      <c r="C21" s="1" t="str">
        <f>VLOOKUP($B21,[30]TrtCodes!$B$11:I79,2)</f>
        <v>NDH</v>
      </c>
      <c r="D21" s="1">
        <f>VLOOKUP($B21,[30]TrtCodes!$B$11:J79,3)</f>
        <v>11</v>
      </c>
      <c r="E21" s="1">
        <f>VLOOKUP($B21,[30]TrtCodes!$B$11:K79,4)</f>
        <v>2</v>
      </c>
      <c r="F21" s="1">
        <f>VLOOKUP($B21,[30]TrtCodes!$B$11:L79,5)</f>
        <v>3</v>
      </c>
      <c r="G21" s="1">
        <f>VLOOKUP($B21,[30]TrtCodes!$B$11:M79,6)</f>
        <v>2</v>
      </c>
      <c r="H21" s="1">
        <f>VLOOKUP($B21,[30]TrtCodes!$B$11:N79,7)</f>
        <v>1</v>
      </c>
      <c r="I21" s="1">
        <f>[30]FormattedData!B36</f>
        <v>1</v>
      </c>
      <c r="J21" s="4">
        <f>[30]FormattedData!C36</f>
        <v>13.061</v>
      </c>
      <c r="K21" s="6">
        <f>$J$3+[30]FormattedData!D36*$J$4+$M$4*$J$5+[30]FormattedData!D36^2*$J$6+$M$5*$J$7</f>
        <v>32.625531427352037</v>
      </c>
      <c r="L21" s="6">
        <f>$J$3+[30]FormattedData!E36*$J$4+$M$4*$J$5+[30]FormattedData!E36^2*$J$6+$M$5*$J$7</f>
        <v>33.680254510503886</v>
      </c>
      <c r="M21" s="6">
        <f>$J$3+[30]FormattedData!F36*$J$4+$M$4*$J$5+[30]FormattedData!F36^2*$J$6+$M$5*$J$7</f>
        <v>33.201468955322014</v>
      </c>
      <c r="N21" s="6">
        <f>$J$3+[30]FormattedData!G36*$J$4+$M$4*$J$5+[30]FormattedData!G36^2*$J$6+$M$5*$J$7</f>
        <v>33.871472852811124</v>
      </c>
      <c r="O21" s="6">
        <f>$J$3+[30]FormattedData!H36*$J$4+$M$4*$J$5+[30]FormattedData!H36^2*$J$6+$M$5*$J$7</f>
        <v>33.871472852811124</v>
      </c>
      <c r="P21" s="6">
        <f>$J$3+[30]FormattedData!I36*$J$4+$M$4*$J$5+[30]FormattedData!I36^2*$J$6+$M$5*$J$7</f>
        <v>33.201468955322014</v>
      </c>
      <c r="Q21" s="6">
        <f>$J$3+[30]FormattedData!J36*$J$4+$M$4*$J$5+[30]FormattedData!J36^2*$J$6+$M$5*$J$7</f>
        <v>32.721626686691863</v>
      </c>
      <c r="R21" s="6">
        <f>$J$3+[30]FormattedData!K36*$J$4+$M$4*$J$5+[30]FormattedData!K36^2*$J$6+$M$5*$J$7</f>
        <v>31.951681092911205</v>
      </c>
      <c r="S21" s="6">
        <f>$J$3+[30]FormattedData!L36*$J$4+$M$4*$J$5+[30]FormattedData!L36^2*$J$6+$M$5*$J$7</f>
        <v>32.529393899474286</v>
      </c>
      <c r="T21" s="6">
        <f>$J$3+[30]FormattedData!M36*$J$4+$M$4*$J$5+[30]FormattedData!M36^2*$J$6+$M$5*$J$7</f>
        <v>33.393109983008557</v>
      </c>
      <c r="U21" s="6">
        <f>$J$3+[30]FormattedData!N36*$J$4+$M$4*$J$5+[30]FormattedData!N36^2*$J$6+$M$5*$J$7</f>
        <v>33.297310603434255</v>
      </c>
      <c r="V21" s="6">
        <f>$J$3+[30]FormattedData!O36*$J$4+$M$4*$J$5+[30]FormattedData!O36^2*$J$6+$M$5*$J$7</f>
        <v>34.539405591941602</v>
      </c>
      <c r="W21" s="5">
        <f t="shared" si="0"/>
        <v>33.240349784298665</v>
      </c>
      <c r="X21" s="4">
        <f t="shared" si="1"/>
        <v>0.20450418599913042</v>
      </c>
      <c r="Y21" s="3">
        <f t="shared" si="2"/>
        <v>31.951681092911205</v>
      </c>
      <c r="Z21" s="2">
        <f t="shared" si="3"/>
        <v>32.697602871856908</v>
      </c>
      <c r="AA21" s="3">
        <f t="shared" si="4"/>
        <v>33.249389779378134</v>
      </c>
      <c r="AB21" s="2">
        <f t="shared" si="5"/>
        <v>33.728059096080699</v>
      </c>
      <c r="AC21" s="2">
        <f t="shared" si="6"/>
        <v>34.539405591941602</v>
      </c>
      <c r="AD21" s="2">
        <f t="shared" si="7"/>
        <v>-2.6889739210459625E-2</v>
      </c>
      <c r="AE21" s="2">
        <f t="shared" si="8"/>
        <v>-9.4512348174324856E-3</v>
      </c>
    </row>
    <row r="22" spans="2:31" x14ac:dyDescent="0.2">
      <c r="B22" s="1">
        <f>[30]FormattedData!A38</f>
        <v>205</v>
      </c>
      <c r="C22" s="1" t="str">
        <f>VLOOKUP($B22,[30]TrtCodes!$B$11:I81,2)</f>
        <v>FSH</v>
      </c>
      <c r="D22" s="1">
        <f>VLOOKUP($B22,[30]TrtCodes!$B$11:J81,3)</f>
        <v>1</v>
      </c>
      <c r="E22" s="1">
        <f>VLOOKUP($B22,[30]TrtCodes!$B$11:K81,4)</f>
        <v>1</v>
      </c>
      <c r="F22" s="1">
        <f>VLOOKUP($B22,[30]TrtCodes!$B$11:L81,5)</f>
        <v>1</v>
      </c>
      <c r="G22" s="1">
        <f>VLOOKUP($B22,[30]TrtCodes!$B$11:M81,6)</f>
        <v>2</v>
      </c>
      <c r="H22" s="1">
        <f>VLOOKUP($B22,[30]TrtCodes!$B$11:N81,7)</f>
        <v>2</v>
      </c>
      <c r="I22" s="1">
        <f>[30]FormattedData!B38</f>
        <v>1</v>
      </c>
      <c r="J22" s="4">
        <f>[30]FormattedData!C38</f>
        <v>13.083</v>
      </c>
      <c r="K22" s="6">
        <f>$J$3+[30]FormattedData!D38*$J$4+$M$4*$J$5+[30]FormattedData!D38^2*$J$6+$M$5*$J$7</f>
        <v>34.825028452071415</v>
      </c>
      <c r="L22" s="6">
        <f>$J$3+[30]FormattedData!E38*$J$4+$M$4*$J$5+[30]FormattedData!E38^2*$J$6+$M$5*$J$7</f>
        <v>35.395132921806884</v>
      </c>
      <c r="M22" s="6">
        <f>$J$3+[30]FormattedData!F38*$J$4+$M$4*$J$5+[30]FormattedData!F38^2*$J$6+$M$5*$J$7</f>
        <v>35.205267172713455</v>
      </c>
      <c r="N22" s="6">
        <f>$J$3+[30]FormattedData!G38*$J$4+$M$4*$J$5+[30]FormattedData!G38^2*$J$6+$M$5*$J$7</f>
        <v>33.871472852811124</v>
      </c>
      <c r="O22" s="6">
        <f>$J$3+[30]FormattedData!H38*$J$4+$M$4*$J$5+[30]FormattedData!H38^2*$J$6+$M$5*$J$7</f>
        <v>33.680254510503886</v>
      </c>
      <c r="P22" s="6">
        <f>$J$3+[30]FormattedData!I38*$J$4+$M$4*$J$5+[30]FormattedData!I38^2*$J$6+$M$5*$J$7</f>
        <v>34.634655480522795</v>
      </c>
      <c r="Q22" s="6">
        <f>$J$3+[30]FormattedData!J38*$J$4+$M$4*$J$5+[30]FormattedData!J38^2*$J$6+$M$5*$J$7</f>
        <v>34.444113434822462</v>
      </c>
      <c r="R22" s="6">
        <f>$J$3+[30]FormattedData!K38*$J$4+$M$4*$J$5+[30]FormattedData!K38^2*$J$6+$M$5*$J$7</f>
        <v>34.539405591941602</v>
      </c>
      <c r="S22" s="6">
        <f>$J$3+[30]FormattedData!L38*$J$4+$M$4*$J$5+[30]FormattedData!L38^2*$J$6+$M$5*$J$7</f>
        <v>34.539405591941602</v>
      </c>
      <c r="T22" s="6">
        <f>$J$3+[30]FormattedData!M38*$J$4+$M$4*$J$5+[30]FormattedData!M38^2*$J$6+$M$5*$J$7</f>
        <v>34.634655480522795</v>
      </c>
      <c r="U22" s="6">
        <f>$J$3+[30]FormattedData!N38*$J$4+$M$4*$J$5+[30]FormattedData!N38^2*$J$6+$M$5*$J$7</f>
        <v>33.488867094044927</v>
      </c>
      <c r="V22" s="6">
        <f>$J$3+[30]FormattedData!O38*$J$4+$M$4*$J$5+[30]FormattedData!O38^2*$J$6+$M$5*$J$7</f>
        <v>33.58458193654338</v>
      </c>
      <c r="W22" s="5">
        <f t="shared" si="0"/>
        <v>34.403570043353859</v>
      </c>
      <c r="X22" s="4">
        <f t="shared" si="1"/>
        <v>0.17970146796883468</v>
      </c>
      <c r="Y22" s="3">
        <f t="shared" si="2"/>
        <v>33.488867094044927</v>
      </c>
      <c r="Z22" s="2">
        <f t="shared" si="3"/>
        <v>33.823668267234311</v>
      </c>
      <c r="AA22" s="3">
        <f t="shared" si="4"/>
        <v>34.539405591941602</v>
      </c>
      <c r="AB22" s="2">
        <f t="shared" si="5"/>
        <v>34.682248723409948</v>
      </c>
      <c r="AC22" s="2">
        <f t="shared" si="6"/>
        <v>35.395132921806884</v>
      </c>
      <c r="AD22" s="2">
        <f t="shared" si="7"/>
        <v>-0.11257642327370497</v>
      </c>
      <c r="AE22" s="2">
        <f t="shared" si="8"/>
        <v>-0.96764080910625649</v>
      </c>
    </row>
    <row r="23" spans="2:31" x14ac:dyDescent="0.2">
      <c r="B23" s="1">
        <f>[30]FormattedData!A40</f>
        <v>206</v>
      </c>
      <c r="C23" s="1" t="str">
        <f>VLOOKUP($B23,[30]TrtCodes!$B$11:I83,2)</f>
        <v>NSL</v>
      </c>
      <c r="D23" s="1">
        <f>VLOOKUP($B23,[30]TrtCodes!$B$11:J83,3)</f>
        <v>8</v>
      </c>
      <c r="E23" s="1">
        <f>VLOOKUP($B23,[30]TrtCodes!$B$11:K83,4)</f>
        <v>2</v>
      </c>
      <c r="F23" s="1">
        <f>VLOOKUP($B23,[30]TrtCodes!$B$11:L83,5)</f>
        <v>1</v>
      </c>
      <c r="G23" s="1">
        <f>VLOOKUP($B23,[30]TrtCodes!$B$11:M83,6)</f>
        <v>1</v>
      </c>
      <c r="H23" s="1">
        <f>VLOOKUP($B23,[30]TrtCodes!$B$11:N83,7)</f>
        <v>2</v>
      </c>
      <c r="I23" s="1">
        <f>[30]FormattedData!B40</f>
        <v>1</v>
      </c>
      <c r="J23" s="4">
        <f>[30]FormattedData!C40</f>
        <v>13.098000000000001</v>
      </c>
      <c r="K23" s="6">
        <f>$J$3+[30]FormattedData!D40*$J$4+$M$4*$J$5+[30]FormattedData!D40^2*$J$6+$M$5*$J$7</f>
        <v>30.791690477688473</v>
      </c>
      <c r="L23" s="6">
        <f>$J$3+[30]FormattedData!E40*$J$4+$M$4*$J$5+[30]FormattedData!E40^2*$J$6+$M$5*$J$7</f>
        <v>30.791690477688473</v>
      </c>
      <c r="M23" s="6">
        <f>$J$3+[30]FormattedData!F40*$J$4+$M$4*$J$5+[30]FormattedData!F40^2*$J$6+$M$5*$J$7</f>
        <v>31.179030312702942</v>
      </c>
      <c r="N23" s="6">
        <f>$J$3+[30]FormattedData!G40*$J$4+$M$4*$J$5+[30]FormattedData!G40^2*$J$6+$M$5*$J$7</f>
        <v>31.758772009086726</v>
      </c>
      <c r="O23" s="6">
        <f>$J$3+[30]FormattedData!H40*$J$4+$M$4*$J$5+[30]FormattedData!H40^2*$J$6+$M$5*$J$7</f>
        <v>30.597766948953648</v>
      </c>
      <c r="P23" s="6">
        <f>$J$3+[30]FormattedData!I40*$J$4+$M$4*$J$5+[30]FormattedData!I40^2*$J$6+$M$5*$J$7</f>
        <v>32.048072232016544</v>
      </c>
      <c r="Q23" s="6">
        <f>$J$3+[30]FormattedData!J40*$J$4+$M$4*$J$5+[30]FormattedData!J40^2*$J$6+$M$5*$J$7</f>
        <v>31.855247685267933</v>
      </c>
      <c r="R23" s="6">
        <f>$J$3+[30]FormattedData!K40*$J$4+$M$4*$J$5+[30]FormattedData!K40^2*$J$6+$M$5*$J$7</f>
        <v>32.144421102583948</v>
      </c>
      <c r="S23" s="6">
        <f>$J$3+[30]FormattedData!L40*$J$4+$M$4*$J$5+[30]FormattedData!L40^2*$J$6+$M$5*$J$7</f>
        <v>33.009658853483742</v>
      </c>
      <c r="T23" s="6">
        <f>$J$3+[30]FormattedData!M40*$J$4+$M$4*$J$5+[30]FormattedData!M40^2*$J$6+$M$5*$J$7</f>
        <v>31.758772009086726</v>
      </c>
      <c r="U23" s="6">
        <f>$J$3+[30]FormattedData!N40*$J$4+$M$4*$J$5+[30]FormattedData!N40^2*$J$6+$M$5*$J$7</f>
        <v>31.662254064367588</v>
      </c>
      <c r="V23" s="6">
        <f>$J$3+[30]FormattedData!O40*$J$4+$M$4*$J$5+[30]FormattedData!O40^2*$J$6+$M$5*$J$7</f>
        <v>31.662254064367588</v>
      </c>
      <c r="W23" s="5">
        <f t="shared" si="0"/>
        <v>31.604969186441192</v>
      </c>
      <c r="X23" s="4">
        <f t="shared" si="1"/>
        <v>0.19647922985817212</v>
      </c>
      <c r="Y23" s="3">
        <f t="shared" si="2"/>
        <v>30.597766948953648</v>
      </c>
      <c r="Z23" s="2">
        <f t="shared" si="3"/>
        <v>31.082195353949324</v>
      </c>
      <c r="AA23" s="3">
        <f t="shared" si="4"/>
        <v>31.710513036727157</v>
      </c>
      <c r="AB23" s="2">
        <f t="shared" si="5"/>
        <v>31.903453821955086</v>
      </c>
      <c r="AC23" s="2">
        <f t="shared" si="6"/>
        <v>33.009658853483742</v>
      </c>
      <c r="AD23" s="2">
        <f t="shared" si="7"/>
        <v>0.29897285396491186</v>
      </c>
      <c r="AE23" s="2">
        <f t="shared" si="8"/>
        <v>0.34195408668376892</v>
      </c>
    </row>
    <row r="24" spans="2:31" x14ac:dyDescent="0.2">
      <c r="B24" s="1">
        <f>[30]FormattedData!A42</f>
        <v>207</v>
      </c>
      <c r="C24" s="1" t="str">
        <f>VLOOKUP($B24,[30]TrtCodes!$B$11:I85,2)</f>
        <v>FTL</v>
      </c>
      <c r="D24" s="1">
        <f>VLOOKUP($B24,[30]TrtCodes!$B$11:J85,3)</f>
        <v>4</v>
      </c>
      <c r="E24" s="1">
        <f>VLOOKUP($B24,[30]TrtCodes!$B$11:K85,4)</f>
        <v>1</v>
      </c>
      <c r="F24" s="1">
        <f>VLOOKUP($B24,[30]TrtCodes!$B$11:L85,5)</f>
        <v>2</v>
      </c>
      <c r="G24" s="1">
        <f>VLOOKUP($B24,[30]TrtCodes!$B$11:M85,6)</f>
        <v>1</v>
      </c>
      <c r="H24" s="1">
        <f>VLOOKUP($B24,[30]TrtCodes!$B$11:N85,7)</f>
        <v>2</v>
      </c>
      <c r="I24" s="1">
        <f>[30]FormattedData!B42</f>
        <v>1</v>
      </c>
      <c r="J24" s="4">
        <f>[30]FormattedData!C42</f>
        <v>13.113</v>
      </c>
      <c r="K24" s="6">
        <f>$J$3+[30]FormattedData!D42*$J$4+$M$4*$J$5+[30]FormattedData!D42^2*$J$6+$M$5*$J$7</f>
        <v>34.062522120966626</v>
      </c>
      <c r="L24" s="6">
        <f>$J$3+[30]FormattedData!E42*$J$4+$M$4*$J$5+[30]FormattedData!E42^2*$J$6+$M$5*$J$7</f>
        <v>35.110270895359832</v>
      </c>
      <c r="M24" s="6">
        <f>$J$3+[30]FormattedData!F42*$J$4+$M$4*$J$5+[30]FormattedData!F42^2*$J$6+$M$5*$J$7</f>
        <v>35.774357197538585</v>
      </c>
      <c r="N24" s="6">
        <f>$J$3+[30]FormattedData!G42*$J$4+$M$4*$J$5+[30]FormattedData!G42^2*$J$6+$M$5*$J$7</f>
        <v>32.625531427352037</v>
      </c>
      <c r="O24" s="6">
        <f>$J$3+[30]FormattedData!H42*$J$4+$M$4*$J$5+[30]FormattedData!H42^2*$J$6+$M$5*$J$7</f>
        <v>33.009658853483742</v>
      </c>
      <c r="P24" s="6">
        <f>$J$3+[30]FormattedData!I42*$J$4+$M$4*$J$5+[30]FormattedData!I42^2*$J$6+$M$5*$J$7</f>
        <v>33.393109983008557</v>
      </c>
      <c r="Q24" s="6">
        <f>$J$3+[30]FormattedData!J42*$J$4+$M$4*$J$5+[30]FormattedData!J42^2*$J$6+$M$5*$J$7</f>
        <v>32.144421102583948</v>
      </c>
      <c r="R24" s="6">
        <f>$J$3+[30]FormattedData!K42*$J$4+$M$4*$J$5+[30]FormattedData!K42^2*$J$6+$M$5*$J$7</f>
        <v>32.336992038104988</v>
      </c>
      <c r="S24" s="6">
        <f>$J$3+[30]FormattedData!L42*$J$4+$M$4*$J$5+[30]FormattedData!L42^2*$J$6+$M$5*$J$7</f>
        <v>33.105585038671848</v>
      </c>
      <c r="T24" s="6">
        <f>$J$3+[30]FormattedData!M42*$J$4+$M$4*$J$5+[30]FormattedData!M42^2*$J$6+$M$5*$J$7</f>
        <v>33.871472852811124</v>
      </c>
      <c r="U24" s="6">
        <f>$J$3+[30]FormattedData!N42*$J$4+$M$4*$J$5+[30]FormattedData!N42^2*$J$6+$M$5*$J$7</f>
        <v>32.913690399757719</v>
      </c>
      <c r="V24" s="6">
        <f>$J$3+[30]FormattedData!O42*$J$4+$M$4*$J$5+[30]FormattedData!O42^2*$J$6+$M$5*$J$7</f>
        <v>33.488867094044927</v>
      </c>
      <c r="W24" s="5">
        <f t="shared" si="0"/>
        <v>33.48637325030699</v>
      </c>
      <c r="X24" s="4">
        <f t="shared" si="1"/>
        <v>0.31290490003081123</v>
      </c>
      <c r="Y24" s="3">
        <f t="shared" si="2"/>
        <v>32.144421102583948</v>
      </c>
      <c r="Z24" s="2">
        <f t="shared" si="3"/>
        <v>32.841650656656299</v>
      </c>
      <c r="AA24" s="3">
        <f t="shared" si="4"/>
        <v>33.249347510840202</v>
      </c>
      <c r="AB24" s="2">
        <f t="shared" si="5"/>
        <v>33.919235169849998</v>
      </c>
      <c r="AC24" s="2">
        <f t="shared" si="6"/>
        <v>35.774357197538585</v>
      </c>
      <c r="AD24" s="2">
        <f t="shared" si="7"/>
        <v>0.99218498146462042</v>
      </c>
      <c r="AE24" s="2">
        <f t="shared" si="8"/>
        <v>0.55639933211525694</v>
      </c>
    </row>
    <row r="25" spans="2:31" x14ac:dyDescent="0.2">
      <c r="B25" s="1">
        <f>[30]FormattedData!A44</f>
        <v>208</v>
      </c>
      <c r="C25" s="1" t="str">
        <f>VLOOKUP($B25,[30]TrtCodes!$B$11:I87,2)</f>
        <v>FSL</v>
      </c>
      <c r="D25" s="1">
        <f>VLOOKUP($B25,[30]TrtCodes!$B$11:J87,3)</f>
        <v>2</v>
      </c>
      <c r="E25" s="1">
        <f>VLOOKUP($B25,[30]TrtCodes!$B$11:K87,4)</f>
        <v>1</v>
      </c>
      <c r="F25" s="1">
        <f>VLOOKUP($B25,[30]TrtCodes!$B$11:L87,5)</f>
        <v>1</v>
      </c>
      <c r="G25" s="1">
        <f>VLOOKUP($B25,[30]TrtCodes!$B$11:M87,6)</f>
        <v>1</v>
      </c>
      <c r="H25" s="1">
        <f>VLOOKUP($B25,[30]TrtCodes!$B$11:N87,7)</f>
        <v>2</v>
      </c>
      <c r="I25" s="1">
        <f>[30]FormattedData!B44</f>
        <v>1</v>
      </c>
      <c r="J25" s="4">
        <f>[30]FormattedData!C44</f>
        <v>13.128</v>
      </c>
      <c r="K25" s="6">
        <f>$J$3+[30]FormattedData!D44*$J$4+$M$4*$J$5+[30]FormattedData!D44^2*$J$6+$M$5*$J$7</f>
        <v>34.348779009165412</v>
      </c>
      <c r="L25" s="6">
        <f>$J$3+[30]FormattedData!E44*$J$4+$M$4*$J$5+[30]FormattedData!E44^2*$J$6+$M$5*$J$7</f>
        <v>33.009658853483742</v>
      </c>
      <c r="M25" s="6">
        <f>$J$3+[30]FormattedData!F44*$J$4+$M$4*$J$5+[30]FormattedData!F44^2*$J$6+$M$5*$J$7</f>
        <v>32.240727704613434</v>
      </c>
      <c r="N25" s="6">
        <f>$J$3+[30]FormattedData!G44*$J$4+$M$4*$J$5+[30]FormattedData!G44^2*$J$6+$M$5*$J$7</f>
        <v>32.913690399757719</v>
      </c>
      <c r="O25" s="6">
        <f>$J$3+[30]FormattedData!H44*$J$4+$M$4*$J$5+[30]FormattedData!H44^2*$J$6+$M$5*$J$7</f>
        <v>32.529393899474286</v>
      </c>
      <c r="P25" s="6">
        <f>$J$3+[30]FormattedData!I44*$J$4+$M$4*$J$5+[30]FormattedData!I44^2*$J$6+$M$5*$J$7</f>
        <v>33.393109983008557</v>
      </c>
      <c r="Q25" s="6">
        <f>$J$3+[30]FormattedData!J44*$J$4+$M$4*$J$5+[30]FormattedData!J44^2*$J$6+$M$5*$J$7</f>
        <v>33.775884815926474</v>
      </c>
      <c r="R25" s="6">
        <f>$J$3+[30]FormattedData!K44*$J$4+$M$4*$J$5+[30]FormattedData!K44^2*$J$6+$M$5*$J$7</f>
        <v>33.871472852811124</v>
      </c>
      <c r="S25" s="6">
        <f>$J$3+[30]FormattedData!L44*$J$4+$M$4*$J$5+[30]FormattedData!L44^2*$J$6+$M$5*$J$7</f>
        <v>35.110270895359832</v>
      </c>
      <c r="T25" s="6">
        <f>$J$3+[30]FormattedData!M44*$J$4+$M$4*$J$5+[30]FormattedData!M44^2*$J$6+$M$5*$J$7</f>
        <v>34.15798335223748</v>
      </c>
      <c r="U25" s="6">
        <f>$J$3+[30]FormattedData!N44*$J$4+$M$4*$J$5+[30]FormattedData!N44^2*$J$6+$M$5*$J$7</f>
        <v>32.625531427352037</v>
      </c>
      <c r="V25" s="6">
        <f>$J$3+[30]FormattedData!O44*$J$4+$M$4*$J$5+[30]FormattedData!O44^2*$J$6+$M$5*$J$7</f>
        <v>31.758772009086726</v>
      </c>
      <c r="W25" s="5">
        <f t="shared" si="0"/>
        <v>33.311272933523064</v>
      </c>
      <c r="X25" s="4">
        <f t="shared" si="1"/>
        <v>0.28140693439095088</v>
      </c>
      <c r="Y25" s="3">
        <f t="shared" si="2"/>
        <v>31.758772009086726</v>
      </c>
      <c r="Z25" s="2">
        <f t="shared" si="3"/>
        <v>32.601497045382601</v>
      </c>
      <c r="AA25" s="3">
        <f t="shared" si="4"/>
        <v>33.20138441824615</v>
      </c>
      <c r="AB25" s="2">
        <f t="shared" si="5"/>
        <v>33.943100477667713</v>
      </c>
      <c r="AC25" s="2">
        <f t="shared" si="6"/>
        <v>35.110270895359832</v>
      </c>
      <c r="AD25" s="2">
        <f t="shared" si="7"/>
        <v>0.23118703720931799</v>
      </c>
      <c r="AE25" s="2">
        <f t="shared" si="8"/>
        <v>-0.53589884257819032</v>
      </c>
    </row>
    <row r="26" spans="2:31" x14ac:dyDescent="0.2">
      <c r="B26" s="1">
        <f>[30]FormattedData!A62</f>
        <v>301</v>
      </c>
      <c r="C26" s="1" t="str">
        <f>VLOOKUP($B26,[30]TrtCodes!$B$11:I105,2)</f>
        <v>NTL</v>
      </c>
      <c r="D26" s="1">
        <f>VLOOKUP($B26,[30]TrtCodes!$B$11:J105,3)</f>
        <v>10</v>
      </c>
      <c r="E26" s="1">
        <f>VLOOKUP($B26,[30]TrtCodes!$B$11:K105,4)</f>
        <v>2</v>
      </c>
      <c r="F26" s="1">
        <f>VLOOKUP($B26,[30]TrtCodes!$B$11:L105,5)</f>
        <v>2</v>
      </c>
      <c r="G26" s="1">
        <f>VLOOKUP($B26,[30]TrtCodes!$B$11:M105,6)</f>
        <v>1</v>
      </c>
      <c r="H26" s="1">
        <f>VLOOKUP($B26,[30]TrtCodes!$B$11:N105,7)</f>
        <v>3</v>
      </c>
      <c r="I26" s="1">
        <f>[30]FormattedData!B62</f>
        <v>1</v>
      </c>
      <c r="J26" s="4">
        <f>[30]FormattedData!C62</f>
        <v>13.239000000000001</v>
      </c>
      <c r="K26" s="6">
        <f>$J$3+[30]FormattedData!D62*$J$4+$M$4*$J$5+[30]FormattedData!D62^2*$J$6+$M$5*$J$7</f>
        <v>35.015232349468292</v>
      </c>
      <c r="L26" s="6">
        <f>$J$3+[30]FormattedData!E62*$J$4+$M$4*$J$5+[30]FormattedData!E62^2*$J$6+$M$5*$J$7</f>
        <v>34.729863100566071</v>
      </c>
      <c r="M26" s="6">
        <f>$J$3+[30]FormattedData!F62*$J$4+$M$4*$J$5+[30]FormattedData!F62^2*$J$6+$M$5*$J$7</f>
        <v>33.58458193654338</v>
      </c>
      <c r="N26" s="6">
        <f>$J$3+[30]FormattedData!G62*$J$4+$M$4*$J$5+[30]FormattedData!G62^2*$J$6+$M$5*$J$7</f>
        <v>35.015232349468292</v>
      </c>
      <c r="O26" s="6">
        <f>$J$3+[30]FormattedData!H62*$J$4+$M$4*$J$5+[30]FormattedData!H62^2*$J$6+$M$5*$J$7</f>
        <v>34.444113434822462</v>
      </c>
      <c r="P26" s="6">
        <f>$J$3+[30]FormattedData!I62*$J$4+$M$4*$J$5+[30]FormattedData!I62^2*$J$6+$M$5*$J$7</f>
        <v>34.920151535038812</v>
      </c>
      <c r="Q26" s="6">
        <f>$J$3+[30]FormattedData!J62*$J$4+$M$4*$J$5+[30]FormattedData!J62^2*$J$6+$M$5*$J$7</f>
        <v>35.205267172713455</v>
      </c>
      <c r="R26" s="6">
        <f>$J$3+[30]FormattedData!K62*$J$4+$M$4*$J$5+[30]FormattedData!K62^2*$J$6+$M$5*$J$7</f>
        <v>35.015232349468292</v>
      </c>
      <c r="S26" s="6">
        <f>$J$3+[30]FormattedData!L62*$J$4+$M$4*$J$5+[30]FormattedData!L62^2*$J$6+$M$5*$J$7</f>
        <v>34.825028452071415</v>
      </c>
      <c r="T26" s="6">
        <f>$J$3+[30]FormattedData!M62*$J$4+$M$4*$J$5+[30]FormattedData!M62^2*$J$6+$M$5*$J$7</f>
        <v>35.679614531412554</v>
      </c>
      <c r="U26" s="6">
        <f>$J$3+[30]FormattedData!N62*$J$4+$M$4*$J$5+[30]FormattedData!N62^2*$J$6+$M$5*$J$7</f>
        <v>36.53077685918128</v>
      </c>
      <c r="V26" s="6">
        <f>$J$3+[30]FormattedData!O62*$J$4+$M$4*$J$5+[30]FormattedData!O62^2*$J$6+$M$5*$J$7</f>
        <v>35.869057595126677</v>
      </c>
      <c r="W26" s="5">
        <f t="shared" si="0"/>
        <v>35.069512638823412</v>
      </c>
      <c r="X26" s="4">
        <f t="shared" si="1"/>
        <v>0.21262508514189443</v>
      </c>
      <c r="Y26" s="3">
        <f t="shared" si="2"/>
        <v>33.58458193654338</v>
      </c>
      <c r="Z26" s="2">
        <f t="shared" si="3"/>
        <v>34.801237114195075</v>
      </c>
      <c r="AA26" s="3">
        <f t="shared" si="4"/>
        <v>35.015232349468292</v>
      </c>
      <c r="AB26" s="2">
        <f t="shared" si="5"/>
        <v>35.323854012388232</v>
      </c>
      <c r="AC26" s="2">
        <f t="shared" si="6"/>
        <v>36.53077685918128</v>
      </c>
      <c r="AD26" s="2">
        <f t="shared" si="7"/>
        <v>7.7652250462470207E-2</v>
      </c>
      <c r="AE26" s="2">
        <f t="shared" si="8"/>
        <v>1.3952521333330195</v>
      </c>
    </row>
    <row r="27" spans="2:31" x14ac:dyDescent="0.2">
      <c r="B27" s="1">
        <f>[30]FormattedData!A64</f>
        <v>302</v>
      </c>
      <c r="C27" s="1" t="str">
        <f>VLOOKUP($B27,[30]TrtCodes!$B$11:I107,2)</f>
        <v>FTL</v>
      </c>
      <c r="D27" s="1">
        <f>VLOOKUP($B27,[30]TrtCodes!$B$11:J107,3)</f>
        <v>4</v>
      </c>
      <c r="E27" s="1">
        <f>VLOOKUP($B27,[30]TrtCodes!$B$11:K107,4)</f>
        <v>1</v>
      </c>
      <c r="F27" s="1">
        <f>VLOOKUP($B27,[30]TrtCodes!$B$11:L107,5)</f>
        <v>2</v>
      </c>
      <c r="G27" s="1">
        <f>VLOOKUP($B27,[30]TrtCodes!$B$11:M107,6)</f>
        <v>1</v>
      </c>
      <c r="H27" s="1">
        <f>VLOOKUP($B27,[30]TrtCodes!$B$11:N107,7)</f>
        <v>3</v>
      </c>
      <c r="I27" s="1">
        <f>[30]FormattedData!B64</f>
        <v>1</v>
      </c>
      <c r="J27" s="4">
        <f>[30]FormattedData!C64</f>
        <v>13.254</v>
      </c>
      <c r="K27" s="6">
        <f>$J$3+[30]FormattedData!D64*$J$4+$M$4*$J$5+[30]FormattedData!D64^2*$J$6+$M$5*$J$7</f>
        <v>35.015232349468292</v>
      </c>
      <c r="L27" s="6">
        <f>$J$3+[30]FormattedData!E64*$J$4+$M$4*$J$5+[30]FormattedData!E64^2*$J$6+$M$5*$J$7</f>
        <v>35.110270895359832</v>
      </c>
      <c r="M27" s="6">
        <f>$J$3+[30]FormattedData!F64*$J$4+$M$4*$J$5+[30]FormattedData!F64^2*$J$6+$M$5*$J$7</f>
        <v>34.920151535038812</v>
      </c>
      <c r="N27" s="6">
        <f>$J$3+[30]FormattedData!G64*$J$4+$M$4*$J$5+[30]FormattedData!G64^2*$J$6+$M$5*$J$7</f>
        <v>35.015232349468292</v>
      </c>
      <c r="O27" s="6">
        <f>$J$3+[30]FormattedData!H64*$J$4+$M$4*$J$5+[30]FormattedData!H64^2*$J$6+$M$5*$J$7</f>
        <v>35.490002393546703</v>
      </c>
      <c r="P27" s="6">
        <f>$J$3+[30]FormattedData!I64*$J$4+$M$4*$J$5+[30]FormattedData!I64^2*$J$6+$M$5*$J$7</f>
        <v>35.774357197538585</v>
      </c>
      <c r="Q27" s="6">
        <f>$J$3+[30]FormattedData!J64*$J$4+$M$4*$J$5+[30]FormattedData!J64^2*$J$6+$M$5*$J$7</f>
        <v>34.15798335223748</v>
      </c>
      <c r="R27" s="6">
        <f>$J$3+[30]FormattedData!K64*$J$4+$M$4*$J$5+[30]FormattedData!K64^2*$J$6+$M$5*$J$7</f>
        <v>34.825028452071415</v>
      </c>
      <c r="S27" s="6">
        <f>$J$3+[30]FormattedData!L64*$J$4+$M$4*$J$5+[30]FormattedData!L64^2*$J$6+$M$5*$J$7</f>
        <v>33.967018621157834</v>
      </c>
      <c r="T27" s="6">
        <f>$J$3+[30]FormattedData!M64*$J$4+$M$4*$J$5+[30]FormattedData!M64^2*$J$6+$M$5*$J$7</f>
        <v>34.825028452071415</v>
      </c>
      <c r="U27" s="6">
        <f>$J$3+[30]FormattedData!N64*$J$4+$M$4*$J$5+[30]FormattedData!N64^2*$J$6+$M$5*$J$7</f>
        <v>33.871472852811124</v>
      </c>
      <c r="V27" s="6">
        <f>$J$3+[30]FormattedData!O64*$J$4+$M$4*$J$5+[30]FormattedData!O64^2*$J$6+$M$5*$J$7</f>
        <v>35.490002393546703</v>
      </c>
      <c r="W27" s="5">
        <f t="shared" si="0"/>
        <v>34.871815070359709</v>
      </c>
      <c r="X27" s="4">
        <f t="shared" si="1"/>
        <v>0.17434950344534228</v>
      </c>
      <c r="Y27" s="3">
        <f t="shared" si="2"/>
        <v>33.871472852811124</v>
      </c>
      <c r="Z27" s="2">
        <f t="shared" si="3"/>
        <v>34.658267177112933</v>
      </c>
      <c r="AA27" s="3">
        <f t="shared" si="4"/>
        <v>34.967691942253552</v>
      </c>
      <c r="AB27" s="2">
        <f t="shared" si="5"/>
        <v>35.205203769906547</v>
      </c>
      <c r="AC27" s="2">
        <f t="shared" si="6"/>
        <v>35.774357197538585</v>
      </c>
      <c r="AD27" s="2">
        <f t="shared" si="7"/>
        <v>-0.43497369656020901</v>
      </c>
      <c r="AE27" s="2">
        <f t="shared" si="8"/>
        <v>-0.60973281522439748</v>
      </c>
    </row>
    <row r="28" spans="2:31" x14ac:dyDescent="0.2">
      <c r="B28" s="1">
        <f>[30]FormattedData!A66</f>
        <v>303</v>
      </c>
      <c r="C28" s="1" t="str">
        <f>VLOOKUP($B28,[30]TrtCodes!$B$11:I109,2)</f>
        <v>NSL</v>
      </c>
      <c r="D28" s="1">
        <f>VLOOKUP($B28,[30]TrtCodes!$B$11:J109,3)</f>
        <v>8</v>
      </c>
      <c r="E28" s="1">
        <f>VLOOKUP($B28,[30]TrtCodes!$B$11:K109,4)</f>
        <v>2</v>
      </c>
      <c r="F28" s="1">
        <f>VLOOKUP($B28,[30]TrtCodes!$B$11:L109,5)</f>
        <v>1</v>
      </c>
      <c r="G28" s="1">
        <f>VLOOKUP($B28,[30]TrtCodes!$B$11:M109,6)</f>
        <v>1</v>
      </c>
      <c r="H28" s="1">
        <f>VLOOKUP($B28,[30]TrtCodes!$B$11:N109,7)</f>
        <v>3</v>
      </c>
      <c r="I28" s="1">
        <f>[30]FormattedData!B66</f>
        <v>1</v>
      </c>
      <c r="J28" s="4">
        <f>[30]FormattedData!C66</f>
        <v>13.269</v>
      </c>
      <c r="K28" s="6">
        <f>$J$3+[30]FormattedData!D66*$J$4+$M$4*$J$5+[30]FormattedData!D66^2*$J$6+$M$5*$J$7</f>
        <v>32.529393899474286</v>
      </c>
      <c r="L28" s="6">
        <f>$J$3+[30]FormattedData!E66*$J$4+$M$4*$J$5+[30]FormattedData!E66^2*$J$6+$M$5*$J$7</f>
        <v>33.297310603434255</v>
      </c>
      <c r="M28" s="6">
        <f>$J$3+[30]FormattedData!F66*$J$4+$M$4*$J$5+[30]FormattedData!F66^2*$J$6+$M$5*$J$7</f>
        <v>31.662254064367588</v>
      </c>
      <c r="N28" s="6">
        <f>$J$3+[30]FormattedData!G66*$J$4+$M$4*$J$5+[30]FormattedData!G66^2*$J$6+$M$5*$J$7</f>
        <v>31.951681092911205</v>
      </c>
      <c r="O28" s="6">
        <f>$J$3+[30]FormattedData!H66*$J$4+$M$4*$J$5+[30]FormattedData!H66^2*$J$6+$M$5*$J$7</f>
        <v>32.048072232016544</v>
      </c>
      <c r="P28" s="6">
        <f>$J$3+[30]FormattedData!I66*$J$4+$M$4*$J$5+[30]FormattedData!I66^2*$J$6+$M$5*$J$7</f>
        <v>31.855247685267933</v>
      </c>
      <c r="Q28" s="6">
        <f>$J$3+[30]FormattedData!J66*$J$4+$M$4*$J$5+[30]FormattedData!J66^2*$J$6+$M$5*$J$7</f>
        <v>32.240727704613434</v>
      </c>
      <c r="R28" s="6">
        <f>$J$3+[30]FormattedData!K66*$J$4+$M$4*$J$5+[30]FormattedData!K66^2*$J$6+$M$5*$J$7</f>
        <v>32.817679677493757</v>
      </c>
      <c r="S28" s="6">
        <f>$J$3+[30]FormattedData!L66*$J$4+$M$4*$J$5+[30]FormattedData!L66^2*$J$6+$M$5*$J$7</f>
        <v>33.871472852811124</v>
      </c>
      <c r="T28" s="6">
        <f>$J$3+[30]FormattedData!M66*$J$4+$M$4*$J$5+[30]FormattedData!M66^2*$J$6+$M$5*$J$7</f>
        <v>32.721626686691863</v>
      </c>
      <c r="U28" s="6">
        <f>$J$3+[30]FormattedData!N66*$J$4+$M$4*$J$5+[30]FormattedData!N66^2*$J$6+$M$5*$J$7</f>
        <v>33.009658853483742</v>
      </c>
      <c r="V28" s="6">
        <f>$J$3+[30]FormattedData!O66*$J$4+$M$4*$J$5+[30]FormattedData!O66^2*$J$6+$M$5*$J$7</f>
        <v>32.913690399757719</v>
      </c>
      <c r="W28" s="5">
        <f t="shared" si="0"/>
        <v>32.576567979360291</v>
      </c>
      <c r="X28" s="4">
        <f t="shared" si="1"/>
        <v>0.18905112011416006</v>
      </c>
      <c r="Y28" s="3">
        <f t="shared" si="2"/>
        <v>31.662254064367588</v>
      </c>
      <c r="Z28" s="2">
        <f t="shared" si="3"/>
        <v>32.023974447240207</v>
      </c>
      <c r="AA28" s="3">
        <f t="shared" si="4"/>
        <v>32.625510293083074</v>
      </c>
      <c r="AB28" s="2">
        <f t="shared" si="5"/>
        <v>32.937682513189223</v>
      </c>
      <c r="AC28" s="2">
        <f t="shared" si="6"/>
        <v>33.871472852811124</v>
      </c>
      <c r="AD28" s="2">
        <f t="shared" si="7"/>
        <v>0.43230504519135815</v>
      </c>
      <c r="AE28" s="2">
        <f t="shared" si="8"/>
        <v>-0.31016235711187878</v>
      </c>
    </row>
    <row r="29" spans="2:31" x14ac:dyDescent="0.2">
      <c r="B29" s="1">
        <f>[30]FormattedData!A68</f>
        <v>304</v>
      </c>
      <c r="C29" s="1" t="str">
        <f>VLOOKUP($B29,[30]TrtCodes!$B$11:I111,2)</f>
        <v>FSL</v>
      </c>
      <c r="D29" s="1">
        <f>VLOOKUP($B29,[30]TrtCodes!$B$11:J111,3)</f>
        <v>2</v>
      </c>
      <c r="E29" s="1">
        <f>VLOOKUP($B29,[30]TrtCodes!$B$11:K111,4)</f>
        <v>1</v>
      </c>
      <c r="F29" s="1">
        <f>VLOOKUP($B29,[30]TrtCodes!$B$11:L111,5)</f>
        <v>1</v>
      </c>
      <c r="G29" s="1">
        <f>VLOOKUP($B29,[30]TrtCodes!$B$11:M111,6)</f>
        <v>1</v>
      </c>
      <c r="H29" s="1">
        <f>VLOOKUP($B29,[30]TrtCodes!$B$11:N111,7)</f>
        <v>3</v>
      </c>
      <c r="I29" s="1">
        <f>[30]FormattedData!B68</f>
        <v>1</v>
      </c>
      <c r="J29" s="4">
        <f>[30]FormattedData!C68</f>
        <v>13.285</v>
      </c>
      <c r="K29" s="6">
        <f>$J$3+[30]FormattedData!D68*$J$4+$M$4*$J$5+[30]FormattedData!D68^2*$J$6+$M$5*$J$7</f>
        <v>36.152905176663381</v>
      </c>
      <c r="L29" s="6">
        <f>$J$3+[30]FormattedData!E68*$J$4+$M$4*$J$5+[30]FormattedData!E68^2*$J$6+$M$5*$J$7</f>
        <v>32.625531427352037</v>
      </c>
      <c r="M29" s="6">
        <f>$J$3+[30]FormattedData!F68*$J$4+$M$4*$J$5+[30]FormattedData!F68^2*$J$6+$M$5*$J$7</f>
        <v>31.565693851110524</v>
      </c>
      <c r="N29" s="6">
        <f>$J$3+[30]FormattedData!G68*$J$4+$M$4*$J$5+[30]FormattedData!G68^2*$J$6+$M$5*$J$7</f>
        <v>32.433214103058603</v>
      </c>
      <c r="O29" s="6">
        <f>$J$3+[30]FormattedData!H68*$J$4+$M$4*$J$5+[30]FormattedData!H68^2*$J$6+$M$5*$J$7</f>
        <v>32.048072232016544</v>
      </c>
      <c r="P29" s="6">
        <f>$J$3+[30]FormattedData!I68*$J$4+$M$4*$J$5+[30]FormattedData!I68^2*$J$6+$M$5*$J$7</f>
        <v>32.721626686691863</v>
      </c>
      <c r="Q29" s="6">
        <f>$J$3+[30]FormattedData!J68*$J$4+$M$4*$J$5+[30]FormattedData!J68^2*$J$6+$M$5*$J$7</f>
        <v>33.393109983008557</v>
      </c>
      <c r="R29" s="6">
        <f>$J$3+[30]FormattedData!K68*$J$4+$M$4*$J$5+[30]FormattedData!K68^2*$J$6+$M$5*$J$7</f>
        <v>34.062522120966626</v>
      </c>
      <c r="S29" s="6">
        <f>$J$3+[30]FormattedData!L68*$J$4+$M$4*$J$5+[30]FormattedData!L68^2*$J$6+$M$5*$J$7</f>
        <v>33.488867094044927</v>
      </c>
      <c r="T29" s="6">
        <f>$J$3+[30]FormattedData!M68*$J$4+$M$4*$J$5+[30]FormattedData!M68^2*$J$6+$M$5*$J$7</f>
        <v>32.721626686691863</v>
      </c>
      <c r="U29" s="6">
        <f>$J$3+[30]FormattedData!N68*$J$4+$M$4*$J$5+[30]FormattedData!N68^2*$J$6+$M$5*$J$7</f>
        <v>33.871472852811124</v>
      </c>
      <c r="V29" s="6">
        <f>$J$3+[30]FormattedData!O68*$J$4+$M$4*$J$5+[30]FormattedData!O68^2*$J$6+$M$5*$J$7</f>
        <v>33.967018621157834</v>
      </c>
      <c r="W29" s="5">
        <f t="shared" si="0"/>
        <v>33.254305069631151</v>
      </c>
      <c r="X29" s="4">
        <f t="shared" si="1"/>
        <v>0.34773819940245854</v>
      </c>
      <c r="Y29" s="3">
        <f t="shared" si="2"/>
        <v>31.565693851110524</v>
      </c>
      <c r="Z29" s="2">
        <f t="shared" si="3"/>
        <v>32.577452096278677</v>
      </c>
      <c r="AA29" s="3">
        <f t="shared" si="4"/>
        <v>33.05736833485021</v>
      </c>
      <c r="AB29" s="2">
        <f t="shared" si="5"/>
        <v>33.895359294897801</v>
      </c>
      <c r="AC29" s="2">
        <f t="shared" si="6"/>
        <v>36.152905176663381</v>
      </c>
      <c r="AD29" s="2">
        <f t="shared" si="7"/>
        <v>1.1121527097987687</v>
      </c>
      <c r="AE29" s="2">
        <f t="shared" si="8"/>
        <v>2.1365590323122277</v>
      </c>
    </row>
    <row r="30" spans="2:31" x14ac:dyDescent="0.2">
      <c r="B30" s="1">
        <f>[30]FormattedData!A70</f>
        <v>305</v>
      </c>
      <c r="C30" s="1" t="str">
        <f>VLOOKUP($B30,[30]TrtCodes!$B$11:I113,2)</f>
        <v>NDH</v>
      </c>
      <c r="D30" s="1">
        <f>VLOOKUP($B30,[30]TrtCodes!$B$11:J113,3)</f>
        <v>11</v>
      </c>
      <c r="E30" s="1">
        <f>VLOOKUP($B30,[30]TrtCodes!$B$11:K113,4)</f>
        <v>2</v>
      </c>
      <c r="F30" s="1">
        <f>VLOOKUP($B30,[30]TrtCodes!$B$11:L113,5)</f>
        <v>3</v>
      </c>
      <c r="G30" s="1">
        <f>VLOOKUP($B30,[30]TrtCodes!$B$11:M113,6)</f>
        <v>2</v>
      </c>
      <c r="H30" s="1">
        <f>VLOOKUP($B30,[30]TrtCodes!$B$11:N113,7)</f>
        <v>4</v>
      </c>
      <c r="I30" s="1">
        <f>[30]FormattedData!B70</f>
        <v>1</v>
      </c>
      <c r="J30" s="4">
        <f>[30]FormattedData!C70</f>
        <v>13.301</v>
      </c>
      <c r="K30" s="6">
        <f>$J$3+[30]FormattedData!D70*$J$4+$M$4*$J$5+[30]FormattedData!D70^2*$J$6+$M$5*$J$7</f>
        <v>33.393109983008557</v>
      </c>
      <c r="L30" s="6">
        <f>$J$3+[30]FormattedData!E70*$J$4+$M$4*$J$5+[30]FormattedData!E70^2*$J$6+$M$5*$J$7</f>
        <v>33.775884815926474</v>
      </c>
      <c r="M30" s="6">
        <f>$J$3+[30]FormattedData!F70*$J$4+$M$4*$J$5+[30]FormattedData!F70^2*$J$6+$M$5*$J$7</f>
        <v>33.105585038671848</v>
      </c>
      <c r="N30" s="6">
        <f>$J$3+[30]FormattedData!G70*$J$4+$M$4*$J$5+[30]FormattedData!G70^2*$J$6+$M$5*$J$7</f>
        <v>35.205267172713455</v>
      </c>
      <c r="O30" s="6">
        <f>$J$3+[30]FormattedData!H70*$J$4+$M$4*$J$5+[30]FormattedData!H70^2*$J$6+$M$5*$J$7</f>
        <v>32.913690399757719</v>
      </c>
      <c r="P30" s="6">
        <f>$J$3+[30]FormattedData!I70*$J$4+$M$4*$J$5+[30]FormattedData!I70^2*$J$6+$M$5*$J$7</f>
        <v>34.062522120966626</v>
      </c>
      <c r="Q30" s="6">
        <f>$J$3+[30]FormattedData!J70*$J$4+$M$4*$J$5+[30]FormattedData!J70^2*$J$6+$M$5*$J$7</f>
        <v>33.393109983008557</v>
      </c>
      <c r="R30" s="6">
        <f>$J$3+[30]FormattedData!K70*$J$4+$M$4*$J$5+[30]FormattedData!K70^2*$J$6+$M$5*$J$7</f>
        <v>32.817679677493757</v>
      </c>
      <c r="S30" s="6">
        <f>$J$3+[30]FormattedData!L70*$J$4+$M$4*$J$5+[30]FormattedData!L70^2*$J$6+$M$5*$J$7</f>
        <v>33.009658853483742</v>
      </c>
      <c r="T30" s="6">
        <f>$J$3+[30]FormattedData!M70*$J$4+$M$4*$J$5+[30]FormattedData!M70^2*$J$6+$M$5*$J$7</f>
        <v>34.920151535038812</v>
      </c>
      <c r="U30" s="6">
        <f>$J$3+[30]FormattedData!N70*$J$4+$M$4*$J$5+[30]FormattedData!N70^2*$J$6+$M$5*$J$7</f>
        <v>34.15798335223748</v>
      </c>
      <c r="V30" s="6">
        <f>$J$3+[30]FormattedData!O70*$J$4+$M$4*$J$5+[30]FormattedData!O70^2*$J$6+$M$5*$J$7</f>
        <v>33.58458193654338</v>
      </c>
      <c r="W30" s="5">
        <f t="shared" si="0"/>
        <v>33.694935405737532</v>
      </c>
      <c r="X30" s="4">
        <f t="shared" si="1"/>
        <v>0.22241064005582892</v>
      </c>
      <c r="Y30" s="3">
        <f t="shared" si="2"/>
        <v>32.817679677493757</v>
      </c>
      <c r="Z30" s="2">
        <f t="shared" si="3"/>
        <v>33.081603492374825</v>
      </c>
      <c r="AA30" s="3">
        <f t="shared" si="4"/>
        <v>33.488845959775972</v>
      </c>
      <c r="AB30" s="2">
        <f t="shared" si="5"/>
        <v>34.086387428784342</v>
      </c>
      <c r="AC30" s="2">
        <f t="shared" si="6"/>
        <v>35.205267172713455</v>
      </c>
      <c r="AD30" s="2">
        <f t="shared" si="7"/>
        <v>0.88237300583520251</v>
      </c>
      <c r="AE30" s="2">
        <f t="shared" si="8"/>
        <v>-7.8337806209951122E-2</v>
      </c>
    </row>
    <row r="31" spans="2:31" x14ac:dyDescent="0.2">
      <c r="B31" s="1">
        <f>[30]FormattedData!A72</f>
        <v>306</v>
      </c>
      <c r="C31" s="1" t="str">
        <f>VLOOKUP($B31,[30]TrtCodes!$B$11:I115,2)</f>
        <v>FTL</v>
      </c>
      <c r="D31" s="1">
        <f>VLOOKUP($B31,[30]TrtCodes!$B$11:J115,3)</f>
        <v>4</v>
      </c>
      <c r="E31" s="1">
        <f>VLOOKUP($B31,[30]TrtCodes!$B$11:K115,4)</f>
        <v>1</v>
      </c>
      <c r="F31" s="1">
        <f>VLOOKUP($B31,[30]TrtCodes!$B$11:L115,5)</f>
        <v>2</v>
      </c>
      <c r="G31" s="1">
        <f>VLOOKUP($B31,[30]TrtCodes!$B$11:M115,6)</f>
        <v>1</v>
      </c>
      <c r="H31" s="1">
        <f>VLOOKUP($B31,[30]TrtCodes!$B$11:N115,7)</f>
        <v>4</v>
      </c>
      <c r="I31" s="1">
        <f>[30]FormattedData!B72</f>
        <v>1</v>
      </c>
      <c r="J31" s="4">
        <f>[30]FormattedData!C72</f>
        <v>13.315</v>
      </c>
      <c r="K31" s="6">
        <f>$J$3+[30]FormattedData!D72*$J$4+$M$4*$J$5+[30]FormattedData!D72^2*$J$6+$M$5*$J$7</f>
        <v>33.009658853483742</v>
      </c>
      <c r="L31" s="6">
        <f>$J$3+[30]FormattedData!E72*$J$4+$M$4*$J$5+[30]FormattedData!E72^2*$J$6+$M$5*$J$7</f>
        <v>33.871472852811124</v>
      </c>
      <c r="M31" s="6">
        <f>$J$3+[30]FormattedData!F72*$J$4+$M$4*$J$5+[30]FormattedData!F72^2*$J$6+$M$5*$J$7</f>
        <v>34.539405591941602</v>
      </c>
      <c r="N31" s="6">
        <f>$J$3+[30]FormattedData!G72*$J$4+$M$4*$J$5+[30]FormattedData!G72^2*$J$6+$M$5*$J$7</f>
        <v>33.488867094044927</v>
      </c>
      <c r="O31" s="6">
        <f>$J$3+[30]FormattedData!H72*$J$4+$M$4*$J$5+[30]FormattedData!H72^2*$J$6+$M$5*$J$7</f>
        <v>36.53077685918128</v>
      </c>
      <c r="P31" s="6">
        <f>$J$3+[30]FormattedData!I72*$J$4+$M$4*$J$5+[30]FormattedData!I72^2*$J$6+$M$5*$J$7</f>
        <v>33.871472852811124</v>
      </c>
      <c r="Q31" s="6">
        <f>$J$3+[30]FormattedData!J72*$J$4+$M$4*$J$5+[30]FormattedData!J72^2*$J$6+$M$5*$J$7</f>
        <v>36.719459089212648</v>
      </c>
      <c r="R31" s="6">
        <f>$J$3+[30]FormattedData!K72*$J$4+$M$4*$J$5+[30]FormattedData!K72^2*$J$6+$M$5*$J$7</f>
        <v>34.15798335223748</v>
      </c>
      <c r="S31" s="6">
        <f>$J$3+[30]FormattedData!L72*$J$4+$M$4*$J$5+[30]FormattedData!L72^2*$J$6+$M$5*$J$7</f>
        <v>33.488867094044927</v>
      </c>
      <c r="T31" s="6">
        <f>$J$3+[30]FormattedData!M72*$J$4+$M$4*$J$5+[30]FormattedData!M72^2*$J$6+$M$5*$J$7</f>
        <v>33.488867094044927</v>
      </c>
      <c r="U31" s="6">
        <f>$J$3+[30]FormattedData!N72*$J$4+$M$4*$J$5+[30]FormattedData!N72^2*$J$6+$M$5*$J$7</f>
        <v>32.817679677493757</v>
      </c>
      <c r="V31" s="6">
        <f>$J$3+[30]FormattedData!O72*$J$4+$M$4*$J$5+[30]FormattedData!O72^2*$J$6+$M$5*$J$7</f>
        <v>32.240727704613434</v>
      </c>
      <c r="W31" s="5">
        <f t="shared" si="0"/>
        <v>34.018769842993414</v>
      </c>
      <c r="X31" s="4">
        <f t="shared" si="1"/>
        <v>0.39314662654863247</v>
      </c>
      <c r="Y31" s="3">
        <f t="shared" si="2"/>
        <v>32.240727704613434</v>
      </c>
      <c r="Z31" s="2">
        <f t="shared" si="3"/>
        <v>33.369065033904633</v>
      </c>
      <c r="AA31" s="3">
        <f t="shared" si="4"/>
        <v>33.680169973428022</v>
      </c>
      <c r="AB31" s="2">
        <f t="shared" si="5"/>
        <v>34.253338912163514</v>
      </c>
      <c r="AC31" s="2">
        <f t="shared" si="6"/>
        <v>36.719459089212648</v>
      </c>
      <c r="AD31" s="2">
        <f t="shared" si="7"/>
        <v>1.1599543764892006</v>
      </c>
      <c r="AE31" s="2">
        <f t="shared" si="8"/>
        <v>0.84214209534679085</v>
      </c>
    </row>
    <row r="32" spans="2:31" x14ac:dyDescent="0.2">
      <c r="B32" s="1">
        <f>[30]FormattedData!A74</f>
        <v>307</v>
      </c>
      <c r="C32" s="1" t="str">
        <f>VLOOKUP($B32,[30]TrtCodes!$B$11:I117,2)</f>
        <v>NTH</v>
      </c>
      <c r="D32" s="1">
        <f>VLOOKUP($B32,[30]TrtCodes!$B$11:J117,3)</f>
        <v>9</v>
      </c>
      <c r="E32" s="1">
        <f>VLOOKUP($B32,[30]TrtCodes!$B$11:K117,4)</f>
        <v>2</v>
      </c>
      <c r="F32" s="1">
        <f>VLOOKUP($B32,[30]TrtCodes!$B$11:L117,5)</f>
        <v>2</v>
      </c>
      <c r="G32" s="1">
        <f>VLOOKUP($B32,[30]TrtCodes!$B$11:M117,6)</f>
        <v>2</v>
      </c>
      <c r="H32" s="1">
        <f>VLOOKUP($B32,[30]TrtCodes!$B$11:N117,7)</f>
        <v>4</v>
      </c>
      <c r="I32" s="1">
        <f>[30]FormattedData!B74</f>
        <v>1</v>
      </c>
      <c r="J32" s="4">
        <f>[30]FormattedData!C74</f>
        <v>13.33</v>
      </c>
      <c r="K32" s="6">
        <f>$J$3+[30]FormattedData!D74*$J$4+$M$4*$J$5+[30]FormattedData!D74^2*$J$6+$M$5*$J$7</f>
        <v>34.444113434822462</v>
      </c>
      <c r="L32" s="6">
        <f>$J$3+[30]FormattedData!E74*$J$4+$M$4*$J$5+[30]FormattedData!E74^2*$J$6+$M$5*$J$7</f>
        <v>33.297310603434255</v>
      </c>
      <c r="M32" s="6">
        <f>$J$3+[30]FormattedData!F74*$J$4+$M$4*$J$5+[30]FormattedData!F74^2*$J$6+$M$5*$J$7</f>
        <v>34.062522120966626</v>
      </c>
      <c r="N32" s="6">
        <f>$J$3+[30]FormattedData!G74*$J$4+$M$4*$J$5+[30]FormattedData!G74^2*$J$6+$M$5*$J$7</f>
        <v>34.825028452071415</v>
      </c>
      <c r="O32" s="6">
        <f>$J$3+[30]FormattedData!H74*$J$4+$M$4*$J$5+[30]FormattedData!H74^2*$J$6+$M$5*$J$7</f>
        <v>33.488867094044927</v>
      </c>
      <c r="P32" s="6">
        <f>$J$3+[30]FormattedData!I74*$J$4+$M$4*$J$5+[30]FormattedData!I74^2*$J$6+$M$5*$J$7</f>
        <v>34.729863100566071</v>
      </c>
      <c r="Q32" s="6">
        <f>$J$3+[30]FormattedData!J74*$J$4+$M$4*$J$5+[30]FormattedData!J74^2*$J$6+$M$5*$J$7</f>
        <v>33.58458193654338</v>
      </c>
      <c r="R32" s="6">
        <f>$J$3+[30]FormattedData!K74*$J$4+$M$4*$J$5+[30]FormattedData!K74^2*$J$6+$M$5*$J$7</f>
        <v>33.680254510503886</v>
      </c>
      <c r="S32" s="6">
        <f>$J$3+[30]FormattedData!L74*$J$4+$M$4*$J$5+[30]FormattedData!L74^2*$J$6+$M$5*$J$7</f>
        <v>32.336992038104988</v>
      </c>
      <c r="T32" s="6">
        <f>$J$3+[30]FormattedData!M74*$J$4+$M$4*$J$5+[30]FormattedData!M74^2*$J$6+$M$5*$J$7</f>
        <v>32.913690399757719</v>
      </c>
      <c r="U32" s="6">
        <f>$J$3+[30]FormattedData!N74*$J$4+$M$4*$J$5+[30]FormattedData!N74^2*$J$6+$M$5*$J$7</f>
        <v>32.817679677493757</v>
      </c>
      <c r="V32" s="6">
        <f>$J$3+[30]FormattedData!O74*$J$4+$M$4*$J$5+[30]FormattedData!O74^2*$J$6+$M$5*$J$7</f>
        <v>32.048072232016544</v>
      </c>
      <c r="W32" s="5">
        <f t="shared" si="0"/>
        <v>33.519081300027175</v>
      </c>
      <c r="X32" s="4">
        <f t="shared" si="1"/>
        <v>0.25852920627354437</v>
      </c>
      <c r="Y32" s="3">
        <f t="shared" si="2"/>
        <v>32.048072232016544</v>
      </c>
      <c r="Z32" s="2">
        <f t="shared" si="3"/>
        <v>32.889687719191727</v>
      </c>
      <c r="AA32" s="3">
        <f t="shared" si="4"/>
        <v>33.536724515294154</v>
      </c>
      <c r="AB32" s="2">
        <f t="shared" si="5"/>
        <v>34.157919949430585</v>
      </c>
      <c r="AC32" s="2">
        <f t="shared" si="6"/>
        <v>34.825028452071415</v>
      </c>
      <c r="AD32" s="2">
        <f t="shared" si="7"/>
        <v>-6.8941419535204079E-2</v>
      </c>
      <c r="AE32" s="2">
        <f t="shared" si="8"/>
        <v>-0.87545505083790065</v>
      </c>
    </row>
    <row r="33" spans="2:31" x14ac:dyDescent="0.2">
      <c r="B33" s="1">
        <f>[30]FormattedData!A76</f>
        <v>308</v>
      </c>
      <c r="C33" s="1" t="str">
        <f>VLOOKUP($B33,[30]TrtCodes!$B$11:I119,2)</f>
        <v>FDH</v>
      </c>
      <c r="D33" s="1">
        <f>VLOOKUP($B33,[30]TrtCodes!$B$11:J119,3)</f>
        <v>5</v>
      </c>
      <c r="E33" s="1">
        <f>VLOOKUP($B33,[30]TrtCodes!$B$11:K119,4)</f>
        <v>1</v>
      </c>
      <c r="F33" s="1">
        <f>VLOOKUP($B33,[30]TrtCodes!$B$11:L119,5)</f>
        <v>3</v>
      </c>
      <c r="G33" s="1">
        <f>VLOOKUP($B33,[30]TrtCodes!$B$11:M119,6)</f>
        <v>2</v>
      </c>
      <c r="H33" s="1">
        <f>VLOOKUP($B33,[30]TrtCodes!$B$11:N119,7)</f>
        <v>4</v>
      </c>
      <c r="I33" s="1">
        <f>[30]FormattedData!B76</f>
        <v>1</v>
      </c>
      <c r="J33" s="4">
        <f>[30]FormattedData!C76</f>
        <v>13.345000000000001</v>
      </c>
      <c r="K33" s="6">
        <f>$J$3+[30]FormattedData!D76*$J$4+$M$4*$J$5+[30]FormattedData!D76^2*$J$6+$M$5*$J$7</f>
        <v>33.775884815926474</v>
      </c>
      <c r="L33" s="6">
        <f>$J$3+[30]FormattedData!E76*$J$4+$M$4*$J$5+[30]FormattedData!E76^2*$J$6+$M$5*$J$7</f>
        <v>33.871472852811124</v>
      </c>
      <c r="M33" s="6">
        <f>$J$3+[30]FormattedData!F76*$J$4+$M$4*$J$5+[30]FormattedData!F76^2*$J$6+$M$5*$J$7</f>
        <v>34.062522120966626</v>
      </c>
      <c r="N33" s="6">
        <f>$J$3+[30]FormattedData!G76*$J$4+$M$4*$J$5+[30]FormattedData!G76^2*$J$6+$M$5*$J$7</f>
        <v>32.336992038104988</v>
      </c>
      <c r="O33" s="6">
        <f>$J$3+[30]FormattedData!H76*$J$4+$M$4*$J$5+[30]FormattedData!H76^2*$J$6+$M$5*$J$7</f>
        <v>34.348779009165412</v>
      </c>
      <c r="P33" s="6">
        <f>$J$3+[30]FormattedData!I76*$J$4+$M$4*$J$5+[30]FormattedData!I76^2*$J$6+$M$5*$J$7</f>
        <v>31.855247685267933</v>
      </c>
      <c r="Q33" s="6">
        <f>$J$3+[30]FormattedData!J76*$J$4+$M$4*$J$5+[30]FormattedData!J76^2*$J$6+$M$5*$J$7</f>
        <v>32.336992038104988</v>
      </c>
      <c r="R33" s="6">
        <f>$J$3+[30]FormattedData!K76*$J$4+$M$4*$J$5+[30]FormattedData!K76^2*$J$6+$M$5*$J$7</f>
        <v>32.048072232016544</v>
      </c>
      <c r="S33" s="6">
        <f>$J$3+[30]FormattedData!L76*$J$4+$M$4*$J$5+[30]FormattedData!L76^2*$J$6+$M$5*$J$7</f>
        <v>31.758772009086726</v>
      </c>
      <c r="T33" s="6">
        <f>$J$3+[30]FormattedData!M76*$J$4+$M$4*$J$5+[30]FormattedData!M76^2*$J$6+$M$5*$J$7</f>
        <v>34.062522120966626</v>
      </c>
      <c r="U33" s="6">
        <f>$J$3+[30]FormattedData!N76*$J$4+$M$4*$J$5+[30]FormattedData!N76^2*$J$6+$M$5*$J$7</f>
        <v>32.625531427352037</v>
      </c>
      <c r="V33" s="6">
        <f>$J$3+[30]FormattedData!O76*$J$4+$M$4*$J$5+[30]FormattedData!O76^2*$J$6+$M$5*$J$7</f>
        <v>34.348779009165412</v>
      </c>
      <c r="W33" s="5">
        <f t="shared" si="0"/>
        <v>33.119297279911237</v>
      </c>
      <c r="X33" s="4">
        <f t="shared" si="1"/>
        <v>0.29979353153968813</v>
      </c>
      <c r="Y33" s="3">
        <f t="shared" si="2"/>
        <v>31.758772009086726</v>
      </c>
      <c r="Z33" s="2">
        <f t="shared" si="3"/>
        <v>32.264762086582877</v>
      </c>
      <c r="AA33" s="3">
        <f t="shared" si="4"/>
        <v>33.200708121639252</v>
      </c>
      <c r="AB33" s="2">
        <f t="shared" si="5"/>
        <v>34.062522120966626</v>
      </c>
      <c r="AC33" s="2">
        <f t="shared" si="6"/>
        <v>34.348779009165412</v>
      </c>
      <c r="AD33" s="2">
        <f t="shared" si="7"/>
        <v>-7.2201855508410379E-2</v>
      </c>
      <c r="AE33" s="2">
        <f t="shared" si="8"/>
        <v>-2.0333205890172503</v>
      </c>
    </row>
    <row r="34" spans="2:31" x14ac:dyDescent="0.2">
      <c r="B34" s="1">
        <f>[30]FormattedData!A92</f>
        <v>401</v>
      </c>
      <c r="C34" s="1" t="str">
        <f>VLOOKUP($B34,[30]TrtCodes!$B$11:I129,2)</f>
        <v>NSH</v>
      </c>
      <c r="D34" s="1">
        <f>VLOOKUP($B34,[30]TrtCodes!$B$11:J129,3)</f>
        <v>7</v>
      </c>
      <c r="E34" s="1">
        <f>VLOOKUP($B34,[30]TrtCodes!$B$11:K129,4)</f>
        <v>2</v>
      </c>
      <c r="F34" s="1">
        <f>VLOOKUP($B34,[30]TrtCodes!$B$11:L129,5)</f>
        <v>1</v>
      </c>
      <c r="G34" s="1">
        <f>VLOOKUP($B34,[30]TrtCodes!$B$11:M129,6)</f>
        <v>2</v>
      </c>
      <c r="H34" s="1">
        <f>VLOOKUP($B34,[30]TrtCodes!$B$11:N129,7)</f>
        <v>3</v>
      </c>
      <c r="I34" s="1">
        <f>[30]FormattedData!B92</f>
        <v>1</v>
      </c>
      <c r="J34" s="4">
        <f>[30]FormattedData!C92</f>
        <v>13.475</v>
      </c>
      <c r="K34" s="6">
        <f>$J$3+[30]FormattedData!D92*$J$4+$M$4*$J$5+[30]FormattedData!D92^2*$J$6+$M$5*$J$7</f>
        <v>33.105585038671848</v>
      </c>
      <c r="L34" s="6">
        <f>$J$3+[30]FormattedData!E92*$J$4+$M$4*$J$5+[30]FormattedData!E92^2*$J$6+$M$5*$J$7</f>
        <v>32.913690399757719</v>
      </c>
      <c r="M34" s="6">
        <f>$J$3+[30]FormattedData!F92*$J$4+$M$4*$J$5+[30]FormattedData!F92^2*$J$6+$M$5*$J$7</f>
        <v>33.009658853483742</v>
      </c>
      <c r="N34" s="6">
        <f>$J$3+[30]FormattedData!G92*$J$4+$M$4*$J$5+[30]FormattedData!G92^2*$J$6+$M$5*$J$7</f>
        <v>33.871472852811124</v>
      </c>
      <c r="O34" s="6">
        <f>$J$3+[30]FormattedData!H92*$J$4+$M$4*$J$5+[30]FormattedData!H92^2*$J$6+$M$5*$J$7</f>
        <v>31.855247685267933</v>
      </c>
      <c r="P34" s="6">
        <f>$J$3+[30]FormattedData!I92*$J$4+$M$4*$J$5+[30]FormattedData!I92^2*$J$6+$M$5*$J$7</f>
        <v>32.433214103058603</v>
      </c>
      <c r="Q34" s="6">
        <f>$J$3+[30]FormattedData!J92*$J$4+$M$4*$J$5+[30]FormattedData!J92^2*$J$6+$M$5*$J$7</f>
        <v>33.201468955322014</v>
      </c>
      <c r="R34" s="6">
        <f>$J$3+[30]FormattedData!K92*$J$4+$M$4*$J$5+[30]FormattedData!K92^2*$J$6+$M$5*$J$7</f>
        <v>32.721626686691863</v>
      </c>
      <c r="S34" s="6">
        <f>$J$3+[30]FormattedData!L92*$J$4+$M$4*$J$5+[30]FormattedData!L92^2*$J$6+$M$5*$J$7</f>
        <v>30.985444932271566</v>
      </c>
      <c r="T34" s="6">
        <f>$J$3+[30]FormattedData!M92*$J$4+$M$4*$J$5+[30]FormattedData!M92^2*$J$6+$M$5*$J$7</f>
        <v>32.817679677493757</v>
      </c>
      <c r="U34" s="6">
        <f>$J$3+[30]FormattedData!N92*$J$4+$M$4*$J$5+[30]FormattedData!N92^2*$J$6+$M$5*$J$7</f>
        <v>31.758772009086726</v>
      </c>
      <c r="V34" s="6">
        <f>$J$3+[30]FormattedData!O92*$J$4+$M$4*$J$5+[30]FormattedData!O92^2*$J$6+$M$5*$J$7</f>
        <v>33.297310603434255</v>
      </c>
      <c r="W34" s="5">
        <f t="shared" si="0"/>
        <v>32.66426431644593</v>
      </c>
      <c r="X34" s="4">
        <f t="shared" si="1"/>
        <v>0.22856656880289536</v>
      </c>
      <c r="Y34" s="3">
        <f t="shared" si="2"/>
        <v>30.985444932271566</v>
      </c>
      <c r="Z34" s="2">
        <f t="shared" si="3"/>
        <v>32.288722498610937</v>
      </c>
      <c r="AA34" s="3">
        <f t="shared" si="4"/>
        <v>32.865685038625742</v>
      </c>
      <c r="AB34" s="2">
        <f t="shared" si="5"/>
        <v>33.129556017834389</v>
      </c>
      <c r="AC34" s="2">
        <f t="shared" si="6"/>
        <v>33.871472852811124</v>
      </c>
      <c r="AD34" s="2">
        <f t="shared" si="7"/>
        <v>-0.81347263440546713</v>
      </c>
      <c r="AE34" s="2">
        <f t="shared" si="8"/>
        <v>0.56598471286849339</v>
      </c>
    </row>
    <row r="35" spans="2:31" x14ac:dyDescent="0.2">
      <c r="B35" s="1">
        <f>[30]FormattedData!A90</f>
        <v>402</v>
      </c>
      <c r="C35" s="1" t="str">
        <f>VLOOKUP($B35,[30]TrtCodes!$B$11:I130,2)</f>
        <v>NTH</v>
      </c>
      <c r="D35" s="1">
        <f>VLOOKUP($B35,[30]TrtCodes!$B$11:J130,3)</f>
        <v>9</v>
      </c>
      <c r="E35" s="1">
        <f>VLOOKUP($B35,[30]TrtCodes!$B$11:K130,4)</f>
        <v>2</v>
      </c>
      <c r="F35" s="1">
        <f>VLOOKUP($B35,[30]TrtCodes!$B$11:L130,5)</f>
        <v>2</v>
      </c>
      <c r="G35" s="1">
        <f>VLOOKUP($B35,[30]TrtCodes!$B$11:M130,6)</f>
        <v>2</v>
      </c>
      <c r="H35" s="1">
        <f>VLOOKUP($B35,[30]TrtCodes!$B$11:N130,7)</f>
        <v>3</v>
      </c>
      <c r="I35" s="1">
        <f>[30]FormattedData!B90</f>
        <v>1</v>
      </c>
      <c r="J35" s="4">
        <f>[30]FormattedData!C90</f>
        <v>13.459</v>
      </c>
      <c r="K35" s="6">
        <f>$J$3+[30]FormattedData!D90*$J$4+$M$4*$J$5+[30]FormattedData!D90^2*$J$6+$M$5*$J$7</f>
        <v>34.825028452071415</v>
      </c>
      <c r="L35" s="6">
        <f>$J$3+[30]FormattedData!E90*$J$4+$M$4*$J$5+[30]FormattedData!E90^2*$J$6+$M$5*$J$7</f>
        <v>34.825028452071415</v>
      </c>
      <c r="M35" s="6">
        <f>$J$3+[30]FormattedData!F90*$J$4+$M$4*$J$5+[30]FormattedData!F90^2*$J$6+$M$5*$J$7</f>
        <v>32.625531427352037</v>
      </c>
      <c r="N35" s="6">
        <f>$J$3+[30]FormattedData!G90*$J$4+$M$4*$J$5+[30]FormattedData!G90^2*$J$6+$M$5*$J$7</f>
        <v>34.444113434822462</v>
      </c>
      <c r="O35" s="6">
        <f>$J$3+[30]FormattedData!H90*$J$4+$M$4*$J$5+[30]FormattedData!H90^2*$J$6+$M$5*$J$7</f>
        <v>33.297310603434255</v>
      </c>
      <c r="P35" s="6">
        <f>$J$3+[30]FormattedData!I90*$J$4+$M$4*$J$5+[30]FormattedData!I90^2*$J$6+$M$5*$J$7</f>
        <v>33.297310603434255</v>
      </c>
      <c r="Q35" s="6">
        <f>$J$3+[30]FormattedData!J90*$J$4+$M$4*$J$5+[30]FormattedData!J90^2*$J$6+$M$5*$J$7</f>
        <v>31.758772009086726</v>
      </c>
      <c r="R35" s="6">
        <f>$J$3+[30]FormattedData!K90*$J$4+$M$4*$J$5+[30]FormattedData!K90^2*$J$6+$M$5*$J$7</f>
        <v>32.240727704613434</v>
      </c>
      <c r="S35" s="6">
        <f>$J$3+[30]FormattedData!L90*$J$4+$M$4*$J$5+[30]FormattedData!L90^2*$J$6+$M$5*$J$7</f>
        <v>32.913690399757719</v>
      </c>
      <c r="T35" s="6">
        <f>$J$3+[30]FormattedData!M90*$J$4+$M$4*$J$5+[30]FormattedData!M90^2*$J$6+$M$5*$J$7</f>
        <v>33.488867094044927</v>
      </c>
      <c r="U35" s="6">
        <f>$J$3+[30]FormattedData!N90*$J$4+$M$4*$J$5+[30]FormattedData!N90^2*$J$6+$M$5*$J$7</f>
        <v>32.817679677493757</v>
      </c>
      <c r="V35" s="6">
        <f>$J$3+[30]FormattedData!O90*$J$4+$M$4*$J$5+[30]FormattedData!O90^2*$J$6+$M$5*$J$7</f>
        <v>33.393109983008557</v>
      </c>
      <c r="W35" s="5">
        <f t="shared" si="0"/>
        <v>33.32726415343258</v>
      </c>
      <c r="X35" s="4">
        <f t="shared" si="1"/>
        <v>0.27974651930138272</v>
      </c>
      <c r="Y35" s="3">
        <f t="shared" si="2"/>
        <v>31.758772009086726</v>
      </c>
      <c r="Z35" s="2">
        <f t="shared" si="3"/>
        <v>32.769642614958329</v>
      </c>
      <c r="AA35" s="3">
        <f t="shared" si="4"/>
        <v>33.297310603434255</v>
      </c>
      <c r="AB35" s="2">
        <f t="shared" si="5"/>
        <v>33.727678679239311</v>
      </c>
      <c r="AC35" s="2">
        <f t="shared" si="6"/>
        <v>34.825028452071415</v>
      </c>
      <c r="AD35" s="2">
        <f t="shared" si="7"/>
        <v>0.29097138860121297</v>
      </c>
      <c r="AE35" s="2">
        <f t="shared" si="8"/>
        <v>-0.5658091497690223</v>
      </c>
    </row>
    <row r="36" spans="2:31" x14ac:dyDescent="0.2">
      <c r="B36" s="1">
        <f>[30]FormattedData!A88</f>
        <v>403</v>
      </c>
      <c r="C36" s="1" t="str">
        <f>VLOOKUP($B36,[30]TrtCodes!$B$11:I131,2)</f>
        <v>FDL</v>
      </c>
      <c r="D36" s="1">
        <f>VLOOKUP($B36,[30]TrtCodes!$B$11:J131,3)</f>
        <v>6</v>
      </c>
      <c r="E36" s="1">
        <f>VLOOKUP($B36,[30]TrtCodes!$B$11:K131,4)</f>
        <v>1</v>
      </c>
      <c r="F36" s="1">
        <f>VLOOKUP($B36,[30]TrtCodes!$B$11:L131,5)</f>
        <v>3</v>
      </c>
      <c r="G36" s="1">
        <f>VLOOKUP($B36,[30]TrtCodes!$B$11:M131,6)</f>
        <v>1</v>
      </c>
      <c r="H36" s="1">
        <f>VLOOKUP($B36,[30]TrtCodes!$B$11:N131,7)</f>
        <v>3</v>
      </c>
      <c r="I36" s="1">
        <f>[30]FormattedData!B88</f>
        <v>1</v>
      </c>
      <c r="J36" s="4">
        <f>[30]FormattedData!C88</f>
        <v>13.444000000000001</v>
      </c>
      <c r="K36" s="6">
        <f>$J$3+[30]FormattedData!D88*$J$4+$M$4*$J$5+[30]FormattedData!D88^2*$J$6+$M$5*$J$7</f>
        <v>35.300221181529139</v>
      </c>
      <c r="L36" s="6">
        <f>$J$3+[30]FormattedData!E88*$J$4+$M$4*$J$5+[30]FormattedData!E88^2*$J$6+$M$5*$J$7</f>
        <v>35.015232349468292</v>
      </c>
      <c r="M36" s="6">
        <f>$J$3+[30]FormattedData!F88*$J$4+$M$4*$J$5+[30]FormattedData!F88^2*$J$6+$M$5*$J$7</f>
        <v>33.393109983008557</v>
      </c>
      <c r="N36" s="6">
        <f>$J$3+[30]FormattedData!G88*$J$4+$M$4*$J$5+[30]FormattedData!G88^2*$J$6+$M$5*$J$7</f>
        <v>33.871472852811124</v>
      </c>
      <c r="O36" s="6">
        <f>$J$3+[30]FormattedData!H88*$J$4+$M$4*$J$5+[30]FormattedData!H88^2*$J$6+$M$5*$J$7</f>
        <v>32.625531427352037</v>
      </c>
      <c r="P36" s="6">
        <f>$J$3+[30]FormattedData!I88*$J$4+$M$4*$J$5+[30]FormattedData!I88^2*$J$6+$M$5*$J$7</f>
        <v>33.105585038671848</v>
      </c>
      <c r="Q36" s="6">
        <f>$J$3+[30]FormattedData!J88*$J$4+$M$4*$J$5+[30]FormattedData!J88^2*$J$6+$M$5*$J$7</f>
        <v>32.625531427352037</v>
      </c>
      <c r="R36" s="6">
        <f>$J$3+[30]FormattedData!K88*$J$4+$M$4*$J$5+[30]FormattedData!K88^2*$J$6+$M$5*$J$7</f>
        <v>33.009658853483742</v>
      </c>
      <c r="S36" s="6">
        <f>$J$3+[30]FormattedData!L88*$J$4+$M$4*$J$5+[30]FormattedData!L88^2*$J$6+$M$5*$J$7</f>
        <v>32.048072232016544</v>
      </c>
      <c r="T36" s="6">
        <f>$J$3+[30]FormattedData!M88*$J$4+$M$4*$J$5+[30]FormattedData!M88^2*$J$6+$M$5*$J$7</f>
        <v>32.529393899474286</v>
      </c>
      <c r="U36" s="6">
        <f>$J$3+[30]FormattedData!N88*$J$4+$M$4*$J$5+[30]FormattedData!N88^2*$J$6+$M$5*$J$7</f>
        <v>32.529393899474286</v>
      </c>
      <c r="V36" s="6">
        <f>$J$3+[30]FormattedData!O88*$J$4+$M$4*$J$5+[30]FormattedData!O88^2*$J$6+$M$5*$J$7</f>
        <v>32.529393899474286</v>
      </c>
      <c r="W36" s="5">
        <f t="shared" si="0"/>
        <v>33.215216420343012</v>
      </c>
      <c r="X36" s="4">
        <f t="shared" si="1"/>
        <v>0.29609368022409216</v>
      </c>
      <c r="Y36" s="3">
        <f t="shared" si="2"/>
        <v>32.048072232016544</v>
      </c>
      <c r="Z36" s="2">
        <f t="shared" si="3"/>
        <v>32.529393899474286</v>
      </c>
      <c r="AA36" s="3">
        <f t="shared" si="4"/>
        <v>32.817595140417893</v>
      </c>
      <c r="AB36" s="2">
        <f t="shared" si="5"/>
        <v>33.512700700459199</v>
      </c>
      <c r="AC36" s="2">
        <f t="shared" si="6"/>
        <v>35.300221181529139</v>
      </c>
      <c r="AD36" s="2">
        <f t="shared" si="7"/>
        <v>1.2340341800978405</v>
      </c>
      <c r="AE36" s="2">
        <f t="shared" si="8"/>
        <v>0.57169513650263415</v>
      </c>
    </row>
    <row r="37" spans="2:31" x14ac:dyDescent="0.2">
      <c r="B37" s="1">
        <f>[30]FormattedData!A86</f>
        <v>404</v>
      </c>
      <c r="C37" s="1" t="str">
        <f>VLOOKUP($B37,[30]TrtCodes!$B$11:I129,2)</f>
        <v>FTH</v>
      </c>
      <c r="D37" s="1">
        <f>VLOOKUP($B37,[30]TrtCodes!$B$11:J129,3)</f>
        <v>3</v>
      </c>
      <c r="E37" s="1">
        <f>VLOOKUP($B37,[30]TrtCodes!$B$11:K129,4)</f>
        <v>1</v>
      </c>
      <c r="F37" s="1">
        <f>VLOOKUP($B37,[30]TrtCodes!$B$11:L129,5)</f>
        <v>2</v>
      </c>
      <c r="G37" s="1">
        <f>VLOOKUP($B37,[30]TrtCodes!$B$11:M129,6)</f>
        <v>2</v>
      </c>
      <c r="H37" s="1">
        <f>VLOOKUP($B37,[30]TrtCodes!$B$11:N129,7)</f>
        <v>3</v>
      </c>
      <c r="I37" s="1">
        <f>[30]FormattedData!B86</f>
        <v>1</v>
      </c>
      <c r="J37" s="4">
        <f>[30]FormattedData!C86</f>
        <v>13.429</v>
      </c>
      <c r="K37" s="6">
        <f>$J$3+[30]FormattedData!D86*$J$4+$M$4*$J$5+[30]FormattedData!D86^2*$J$6+$M$5*$J$7</f>
        <v>37.096316326820194</v>
      </c>
      <c r="L37" s="6">
        <f>$J$3+[30]FormattedData!E86*$J$4+$M$4*$J$5+[30]FormattedData!E86^2*$J$6+$M$5*$J$7</f>
        <v>37.190424964877259</v>
      </c>
      <c r="M37" s="6">
        <f>$J$3+[30]FormattedData!F86*$J$4+$M$4*$J$5+[30]FormattedData!F86^2*$J$6+$M$5*$J$7</f>
        <v>35.963715724176843</v>
      </c>
      <c r="N37" s="6">
        <f>$J$3+[30]FormattedData!G86*$J$4+$M$4*$J$5+[30]FormattedData!G86^2*$J$6+$M$5*$J$7</f>
        <v>35.300221181529139</v>
      </c>
      <c r="O37" s="6">
        <f>$J$3+[30]FormattedData!H86*$J$4+$M$4*$J$5+[30]FormattedData!H86^2*$J$6+$M$5*$J$7</f>
        <v>35.395132921806884</v>
      </c>
      <c r="P37" s="6">
        <f>$J$3+[30]FormattedData!I86*$J$4+$M$4*$J$5+[30]FormattedData!I86^2*$J$6+$M$5*$J$7</f>
        <v>33.680254510503886</v>
      </c>
      <c r="Q37" s="6">
        <f>$J$3+[30]FormattedData!J86*$J$4+$M$4*$J$5+[30]FormattedData!J86^2*$J$6+$M$5*$J$7</f>
        <v>34.15798335223748</v>
      </c>
      <c r="R37" s="6">
        <f>$J$3+[30]FormattedData!K86*$J$4+$M$4*$J$5+[30]FormattedData!K86^2*$J$6+$M$5*$J$7</f>
        <v>34.729863100566071</v>
      </c>
      <c r="S37" s="6">
        <f>$J$3+[30]FormattedData!L86*$J$4+$M$4*$J$5+[30]FormattedData!L86^2*$J$6+$M$5*$J$7</f>
        <v>33.967018621157834</v>
      </c>
      <c r="T37" s="6">
        <f>$J$3+[30]FormattedData!M86*$J$4+$M$4*$J$5+[30]FormattedData!M86^2*$J$6+$M$5*$J$7</f>
        <v>36.247436500099752</v>
      </c>
      <c r="U37" s="6">
        <f>$J$3+[30]FormattedData!N86*$J$4+$M$4*$J$5+[30]FormattedData!N86^2*$J$6+$M$5*$J$7</f>
        <v>36.247436500099752</v>
      </c>
      <c r="V37" s="6">
        <f>$J$3+[30]FormattedData!O86*$J$4+$M$4*$J$5+[30]FormattedData!O86^2*$J$6+$M$5*$J$7</f>
        <v>35.015232349468292</v>
      </c>
      <c r="W37" s="5">
        <f t="shared" si="0"/>
        <v>35.415919671111951</v>
      </c>
      <c r="X37" s="4">
        <f t="shared" si="1"/>
        <v>0.3370416833030298</v>
      </c>
      <c r="Y37" s="3">
        <f t="shared" si="2"/>
        <v>33.680254510503886</v>
      </c>
      <c r="Z37" s="2">
        <f t="shared" si="3"/>
        <v>34.586893163483921</v>
      </c>
      <c r="AA37" s="3">
        <f t="shared" si="4"/>
        <v>35.347677051668015</v>
      </c>
      <c r="AB37" s="2">
        <f t="shared" si="5"/>
        <v>36.247436500099752</v>
      </c>
      <c r="AC37" s="2">
        <f t="shared" si="6"/>
        <v>37.190424964877259</v>
      </c>
      <c r="AD37" s="2">
        <f t="shared" si="7"/>
        <v>6.8345059963549629E-2</v>
      </c>
      <c r="AE37" s="2">
        <f t="shared" si="8"/>
        <v>-1.0510266836971067</v>
      </c>
    </row>
    <row r="38" spans="2:31" x14ac:dyDescent="0.2">
      <c r="B38" s="1">
        <f>[30]FormattedData!A84</f>
        <v>405</v>
      </c>
      <c r="C38" s="1" t="str">
        <f>VLOOKUP($B38,[30]TrtCodes!$B$11:I127,2)</f>
        <v>FDL</v>
      </c>
      <c r="D38" s="1">
        <f>VLOOKUP($B38,[30]TrtCodes!$B$11:J127,3)</f>
        <v>6</v>
      </c>
      <c r="E38" s="1">
        <f>VLOOKUP($B38,[30]TrtCodes!$B$11:K127,4)</f>
        <v>1</v>
      </c>
      <c r="F38" s="1">
        <f>VLOOKUP($B38,[30]TrtCodes!$B$11:L127,5)</f>
        <v>3</v>
      </c>
      <c r="G38" s="1">
        <f>VLOOKUP($B38,[30]TrtCodes!$B$11:M127,6)</f>
        <v>1</v>
      </c>
      <c r="H38" s="1">
        <f>VLOOKUP($B38,[30]TrtCodes!$B$11:N127,7)</f>
        <v>4</v>
      </c>
      <c r="I38" s="1">
        <f>[30]FormattedData!B84</f>
        <v>1</v>
      </c>
      <c r="J38" s="4">
        <f>[30]FormattedData!C84</f>
        <v>13.413</v>
      </c>
      <c r="K38" s="6">
        <f>$J$3+[30]FormattedData!D84*$J$4+$M$4*$J$5+[30]FormattedData!D84^2*$J$6+$M$5*$J$7</f>
        <v>34.634655480522795</v>
      </c>
      <c r="L38" s="6">
        <f>$J$3+[30]FormattedData!E84*$J$4+$M$4*$J$5+[30]FormattedData!E84^2*$J$6+$M$5*$J$7</f>
        <v>35.205267172713455</v>
      </c>
      <c r="M38" s="6">
        <f>$J$3+[30]FormattedData!F84*$J$4+$M$4*$J$5+[30]FormattedData!F84^2*$J$6+$M$5*$J$7</f>
        <v>35.774357197538585</v>
      </c>
      <c r="N38" s="6">
        <f>$J$3+[30]FormattedData!G84*$J$4+$M$4*$J$5+[30]FormattedData!G84^2*$J$6+$M$5*$J$7</f>
        <v>33.871472852811124</v>
      </c>
      <c r="O38" s="6">
        <f>$J$3+[30]FormattedData!H84*$J$4+$M$4*$J$5+[30]FormattedData!H84^2*$J$6+$M$5*$J$7</f>
        <v>34.634655480522795</v>
      </c>
      <c r="P38" s="6">
        <f>$J$3+[30]FormattedData!I84*$J$4+$M$4*$J$5+[30]FormattedData!I84^2*$J$6+$M$5*$J$7</f>
        <v>34.729863100566071</v>
      </c>
      <c r="Q38" s="6">
        <f>$J$3+[30]FormattedData!J84*$J$4+$M$4*$J$5+[30]FormattedData!J84^2*$J$6+$M$5*$J$7</f>
        <v>33.488867094044927</v>
      </c>
      <c r="R38" s="6">
        <f>$J$3+[30]FormattedData!K84*$J$4+$M$4*$J$5+[30]FormattedData!K84^2*$J$6+$M$5*$J$7</f>
        <v>35.205267172713455</v>
      </c>
      <c r="S38" s="6">
        <f>$J$3+[30]FormattedData!L84*$J$4+$M$4*$J$5+[30]FormattedData!L84^2*$J$6+$M$5*$J$7</f>
        <v>35.110270895359832</v>
      </c>
      <c r="T38" s="6">
        <f>$J$3+[30]FormattedData!M84*$J$4+$M$4*$J$5+[30]FormattedData!M84^2*$J$6+$M$5*$J$7</f>
        <v>32.625531427352037</v>
      </c>
      <c r="U38" s="6">
        <f>$J$3+[30]FormattedData!N84*$J$4+$M$4*$J$5+[30]FormattedData!N84^2*$J$6+$M$5*$J$7</f>
        <v>34.920151535038812</v>
      </c>
      <c r="V38" s="6">
        <f>$J$3+[30]FormattedData!O84*$J$4+$M$4*$J$5+[30]FormattedData!O84^2*$J$6+$M$5*$J$7</f>
        <v>33.393109983008557</v>
      </c>
      <c r="W38" s="5">
        <f t="shared" si="0"/>
        <v>34.466122449349371</v>
      </c>
      <c r="X38" s="4">
        <f t="shared" si="1"/>
        <v>0.26684677766867976</v>
      </c>
      <c r="Y38" s="3">
        <f t="shared" si="2"/>
        <v>32.625531427352037</v>
      </c>
      <c r="Z38" s="2">
        <f t="shared" si="3"/>
        <v>33.775821413119573</v>
      </c>
      <c r="AA38" s="3">
        <f t="shared" si="4"/>
        <v>34.682259290544437</v>
      </c>
      <c r="AB38" s="2">
        <f t="shared" si="5"/>
        <v>35.13401996469824</v>
      </c>
      <c r="AC38" s="2">
        <f t="shared" si="6"/>
        <v>35.774357197538585</v>
      </c>
      <c r="AD38" s="2">
        <f t="shared" si="7"/>
        <v>-0.71528960281766374</v>
      </c>
      <c r="AE38" s="2">
        <f t="shared" si="8"/>
        <v>-0.23781922850373283</v>
      </c>
    </row>
    <row r="39" spans="2:31" x14ac:dyDescent="0.2">
      <c r="B39" s="1">
        <f>[30]FormattedData!A82</f>
        <v>406</v>
      </c>
      <c r="C39" s="1" t="str">
        <f>VLOOKUP($B39,[30]TrtCodes!$B$11:I125,2)</f>
        <v>FTH</v>
      </c>
      <c r="D39" s="1">
        <f>VLOOKUP($B39,[30]TrtCodes!$B$11:J125,3)</f>
        <v>3</v>
      </c>
      <c r="E39" s="1">
        <f>VLOOKUP($B39,[30]TrtCodes!$B$11:K125,4)</f>
        <v>1</v>
      </c>
      <c r="F39" s="1">
        <f>VLOOKUP($B39,[30]TrtCodes!$B$11:L125,5)</f>
        <v>2</v>
      </c>
      <c r="G39" s="1">
        <f>VLOOKUP($B39,[30]TrtCodes!$B$11:M125,6)</f>
        <v>2</v>
      </c>
      <c r="H39" s="1">
        <f>VLOOKUP($B39,[30]TrtCodes!$B$11:N125,7)</f>
        <v>4</v>
      </c>
      <c r="I39" s="1">
        <f>[30]FormattedData!B82</f>
        <v>1</v>
      </c>
      <c r="J39" s="4">
        <f>[30]FormattedData!C82</f>
        <v>13.398</v>
      </c>
      <c r="K39" s="6">
        <f>$J$3+[30]FormattedData!D82*$J$4+$M$4*$J$5+[30]FormattedData!D82^2*$J$6+$M$5*$J$7</f>
        <v>36.436372341358698</v>
      </c>
      <c r="L39" s="6">
        <f>$J$3+[30]FormattedData!E82*$J$4+$M$4*$J$5+[30]FormattedData!E82^2*$J$6+$M$5*$J$7</f>
        <v>35.869057595126677</v>
      </c>
      <c r="M39" s="6">
        <f>$J$3+[30]FormattedData!F82*$J$4+$M$4*$J$5+[30]FormattedData!F82^2*$J$6+$M$5*$J$7</f>
        <v>34.634655480522795</v>
      </c>
      <c r="N39" s="6">
        <f>$J$3+[30]FormattedData!G82*$J$4+$M$4*$J$5+[30]FormattedData!G82^2*$J$6+$M$5*$J$7</f>
        <v>36.719459089212648</v>
      </c>
      <c r="O39" s="6">
        <f>$J$3+[30]FormattedData!H82*$J$4+$M$4*$J$5+[30]FormattedData!H82^2*$J$6+$M$5*$J$7</f>
        <v>35.205267172713455</v>
      </c>
      <c r="P39" s="6">
        <f>$J$3+[30]FormattedData!I82*$J$4+$M$4*$J$5+[30]FormattedData!I82^2*$J$6+$M$5*$J$7</f>
        <v>35.490002393546703</v>
      </c>
      <c r="Q39" s="6">
        <f>$J$3+[30]FormattedData!J82*$J$4+$M$4*$J$5+[30]FormattedData!J82^2*$J$6+$M$5*$J$7</f>
        <v>35.774357197538585</v>
      </c>
      <c r="R39" s="6">
        <f>$J$3+[30]FormattedData!K82*$J$4+$M$4*$J$5+[30]FormattedData!K82^2*$J$6+$M$5*$J$7</f>
        <v>35.584829596748598</v>
      </c>
      <c r="S39" s="6">
        <f>$J$3+[30]FormattedData!L82*$J$4+$M$4*$J$5+[30]FormattedData!L82^2*$J$6+$M$5*$J$7</f>
        <v>34.444113434822462</v>
      </c>
      <c r="T39" s="6">
        <f>$J$3+[30]FormattedData!M82*$J$4+$M$4*$J$5+[30]FormattedData!M82^2*$J$6+$M$5*$J$7</f>
        <v>35.110270895359832</v>
      </c>
      <c r="U39" s="6">
        <f>$J$3+[30]FormattedData!N82*$J$4+$M$4*$J$5+[30]FormattedData!N82^2*$J$6+$M$5*$J$7</f>
        <v>34.825028452071415</v>
      </c>
      <c r="V39" s="6">
        <f>$J$3+[30]FormattedData!O82*$J$4+$M$4*$J$5+[30]FormattedData!O82^2*$J$6+$M$5*$J$7</f>
        <v>35.490002393546703</v>
      </c>
      <c r="W39" s="5">
        <f t="shared" si="0"/>
        <v>35.465284670214054</v>
      </c>
      <c r="X39" s="4">
        <f t="shared" si="1"/>
        <v>0.19706835278738302</v>
      </c>
      <c r="Y39" s="3">
        <f t="shared" si="2"/>
        <v>34.444113434822462</v>
      </c>
      <c r="Z39" s="2">
        <f t="shared" si="3"/>
        <v>35.03896028453773</v>
      </c>
      <c r="AA39" s="3">
        <f t="shared" si="4"/>
        <v>35.490002393546703</v>
      </c>
      <c r="AB39" s="2">
        <f t="shared" si="5"/>
        <v>35.79803229693561</v>
      </c>
      <c r="AC39" s="2">
        <f t="shared" si="6"/>
        <v>36.719459089212648</v>
      </c>
      <c r="AD39" s="2">
        <f t="shared" si="7"/>
        <v>0.35073649146396429</v>
      </c>
      <c r="AE39" s="2">
        <f t="shared" si="8"/>
        <v>-0.29587940282003666</v>
      </c>
    </row>
    <row r="40" spans="2:31" x14ac:dyDescent="0.2">
      <c r="B40" s="1">
        <f>[30]FormattedData!A80</f>
        <v>407</v>
      </c>
      <c r="C40" s="1" t="str">
        <f>VLOOKUP($B40,[30]TrtCodes!$B$11:I123,2)</f>
        <v>NSH</v>
      </c>
      <c r="D40" s="1">
        <f>VLOOKUP($B40,[30]TrtCodes!$B$11:J123,3)</f>
        <v>7</v>
      </c>
      <c r="E40" s="1">
        <f>VLOOKUP($B40,[30]TrtCodes!$B$11:K123,4)</f>
        <v>2</v>
      </c>
      <c r="F40" s="1">
        <f>VLOOKUP($B40,[30]TrtCodes!$B$11:L123,5)</f>
        <v>1</v>
      </c>
      <c r="G40" s="1">
        <f>VLOOKUP($B40,[30]TrtCodes!$B$11:M123,6)</f>
        <v>2</v>
      </c>
      <c r="H40" s="1">
        <f>VLOOKUP($B40,[30]TrtCodes!$B$11:N123,7)</f>
        <v>4</v>
      </c>
      <c r="I40" s="1">
        <f>[30]FormattedData!B80</f>
        <v>1</v>
      </c>
      <c r="J40" s="4">
        <f>[30]FormattedData!C80</f>
        <v>13.382</v>
      </c>
      <c r="K40" s="6">
        <f>$J$3+[30]FormattedData!D80*$J$4+$M$4*$J$5+[30]FormattedData!D80^2*$J$6+$M$5*$J$7</f>
        <v>33.967018621157834</v>
      </c>
      <c r="L40" s="6">
        <f>$J$3+[30]FormattedData!E80*$J$4+$M$4*$J$5+[30]FormattedData!E80^2*$J$6+$M$5*$J$7</f>
        <v>34.920151535038812</v>
      </c>
      <c r="M40" s="6">
        <f>$J$3+[30]FormattedData!F80*$J$4+$M$4*$J$5+[30]FormattedData!F80^2*$J$6+$M$5*$J$7</f>
        <v>34.444113434822462</v>
      </c>
      <c r="N40" s="6">
        <f>$J$3+[30]FormattedData!G80*$J$4+$M$4*$J$5+[30]FormattedData!G80^2*$J$6+$M$5*$J$7</f>
        <v>34.444113434822462</v>
      </c>
      <c r="O40" s="6">
        <f>$J$3+[30]FormattedData!H80*$J$4+$M$4*$J$5+[30]FormattedData!H80^2*$J$6+$M$5*$J$7</f>
        <v>33.201468955322014</v>
      </c>
      <c r="P40" s="6">
        <f>$J$3+[30]FormattedData!I80*$J$4+$M$4*$J$5+[30]FormattedData!I80^2*$J$6+$M$5*$J$7</f>
        <v>33.871472852811124</v>
      </c>
      <c r="Q40" s="6">
        <f>$J$3+[30]FormattedData!J80*$J$4+$M$4*$J$5+[30]FormattedData!J80^2*$J$6+$M$5*$J$7</f>
        <v>32.721626686691863</v>
      </c>
      <c r="R40" s="6">
        <f>$J$3+[30]FormattedData!K80*$J$4+$M$4*$J$5+[30]FormattedData!K80^2*$J$6+$M$5*$J$7</f>
        <v>33.105585038671848</v>
      </c>
      <c r="S40" s="6">
        <f>$J$3+[30]FormattedData!L80*$J$4+$M$4*$J$5+[30]FormattedData!L80^2*$J$6+$M$5*$J$7</f>
        <v>32.913690399757719</v>
      </c>
      <c r="T40" s="6">
        <f>$J$3+[30]FormattedData!M80*$J$4+$M$4*$J$5+[30]FormattedData!M80^2*$J$6+$M$5*$J$7</f>
        <v>31.469091369315528</v>
      </c>
      <c r="U40" s="6">
        <f>$J$3+[30]FormattedData!N80*$J$4+$M$4*$J$5+[30]FormattedData!N80^2*$J$6+$M$5*$J$7</f>
        <v>31.951681092911205</v>
      </c>
      <c r="V40" s="6">
        <f>$J$3+[30]FormattedData!O80*$J$4+$M$4*$J$5+[30]FormattedData!O80^2*$J$6+$M$5*$J$7</f>
        <v>31.855247685267933</v>
      </c>
      <c r="W40" s="5">
        <f t="shared" si="0"/>
        <v>33.238771758882571</v>
      </c>
      <c r="X40" s="4">
        <f t="shared" si="1"/>
        <v>0.32284420523976393</v>
      </c>
      <c r="Y40" s="3">
        <f t="shared" si="2"/>
        <v>31.469091369315528</v>
      </c>
      <c r="Z40" s="2">
        <f t="shared" si="3"/>
        <v>32.529140288246701</v>
      </c>
      <c r="AA40" s="3">
        <f t="shared" si="4"/>
        <v>33.153526996996931</v>
      </c>
      <c r="AB40" s="2">
        <f t="shared" si="5"/>
        <v>34.086292324573989</v>
      </c>
      <c r="AC40" s="2">
        <f t="shared" si="6"/>
        <v>34.920151535038812</v>
      </c>
      <c r="AD40" s="2">
        <f t="shared" si="7"/>
        <v>-0.12498464466116167</v>
      </c>
      <c r="AE40" s="2">
        <f t="shared" si="8"/>
        <v>-1.1167791732885317</v>
      </c>
    </row>
    <row r="41" spans="2:31" x14ac:dyDescent="0.2">
      <c r="B41" s="1">
        <f>[30]FormattedData!A78</f>
        <v>408</v>
      </c>
      <c r="C41" s="1" t="str">
        <f>VLOOKUP($B41,[30]TrtCodes!$B$11:I121,2)</f>
        <v>NTL</v>
      </c>
      <c r="D41" s="1">
        <f>VLOOKUP($B41,[30]TrtCodes!$B$11:J121,3)</f>
        <v>10</v>
      </c>
      <c r="E41" s="1">
        <f>VLOOKUP($B41,[30]TrtCodes!$B$11:K121,4)</f>
        <v>2</v>
      </c>
      <c r="F41" s="1">
        <f>VLOOKUP($B41,[30]TrtCodes!$B$11:L121,5)</f>
        <v>2</v>
      </c>
      <c r="G41" s="1">
        <f>VLOOKUP($B41,[30]TrtCodes!$B$11:M121,6)</f>
        <v>1</v>
      </c>
      <c r="H41" s="1">
        <f>VLOOKUP($B41,[30]TrtCodes!$B$11:N121,7)</f>
        <v>4</v>
      </c>
      <c r="I41" s="1">
        <f>[30]FormattedData!B78</f>
        <v>1</v>
      </c>
      <c r="J41" s="4">
        <f>[30]FormattedData!C78</f>
        <v>13.367000000000001</v>
      </c>
      <c r="K41" s="6">
        <f>$J$3+[30]FormattedData!D78*$J$4+$M$4*$J$5+[30]FormattedData!D78^2*$J$6+$M$5*$J$7</f>
        <v>33.58458193654338</v>
      </c>
      <c r="L41" s="6">
        <f>$J$3+[30]FormattedData!E78*$J$4+$M$4*$J$5+[30]FormattedData!E78^2*$J$6+$M$5*$J$7</f>
        <v>31.662254064367588</v>
      </c>
      <c r="M41" s="6">
        <f>$J$3+[30]FormattedData!F78*$J$4+$M$4*$J$5+[30]FormattedData!F78^2*$J$6+$M$5*$J$7</f>
        <v>31.951681092911205</v>
      </c>
      <c r="N41" s="6">
        <f>$J$3+[30]FormattedData!G78*$J$4+$M$4*$J$5+[30]FormattedData!G78^2*$J$6+$M$5*$J$7</f>
        <v>31.372446618982597</v>
      </c>
      <c r="O41" s="6">
        <f>$J$3+[30]FormattedData!H78*$J$4+$M$4*$J$5+[30]FormattedData!H78^2*$J$6+$M$5*$J$7</f>
        <v>32.625531427352037</v>
      </c>
      <c r="P41" s="6">
        <f>$J$3+[30]FormattedData!I78*$J$4+$M$4*$J$5+[30]FormattedData!I78^2*$J$6+$M$5*$J$7</f>
        <v>31.179030312702942</v>
      </c>
      <c r="Q41" s="6">
        <f>$J$3+[30]FormattedData!J78*$J$4+$M$4*$J$5+[30]FormattedData!J78^2*$J$6+$M$5*$J$7</f>
        <v>31.662254064367588</v>
      </c>
      <c r="R41" s="6">
        <f>$J$3+[30]FormattedData!K78*$J$4+$M$4*$J$5+[30]FormattedData!K78^2*$J$6+$M$5*$J$7</f>
        <v>32.625531427352037</v>
      </c>
      <c r="S41" s="6">
        <f>$J$3+[30]FormattedData!L78*$J$4+$M$4*$J$5+[30]FormattedData!L78^2*$J$6+$M$5*$J$7</f>
        <v>32.144421102583948</v>
      </c>
      <c r="T41" s="6">
        <f>$J$3+[30]FormattedData!M78*$J$4+$M$4*$J$5+[30]FormattedData!M78^2*$J$6+$M$5*$J$7</f>
        <v>31.662254064367588</v>
      </c>
      <c r="U41" s="6">
        <f>$J$3+[30]FormattedData!N78*$J$4+$M$4*$J$5+[30]FormattedData!N78^2*$J$6+$M$5*$J$7</f>
        <v>30.403674346067099</v>
      </c>
      <c r="V41" s="6">
        <f>$J$3+[30]FormattedData!O78*$J$4+$M$4*$J$5+[30]FormattedData!O78^2*$J$6+$M$5*$J$7</f>
        <v>31.565693851110524</v>
      </c>
      <c r="W41" s="5">
        <f t="shared" si="0"/>
        <v>31.869946192392376</v>
      </c>
      <c r="X41" s="4">
        <f t="shared" si="1"/>
        <v>0.2345306750139167</v>
      </c>
      <c r="Y41" s="3">
        <f t="shared" si="2"/>
        <v>30.403674346067099</v>
      </c>
      <c r="Z41" s="2">
        <f t="shared" si="3"/>
        <v>31.517382043078541</v>
      </c>
      <c r="AA41" s="3">
        <f t="shared" si="4"/>
        <v>31.662254064367588</v>
      </c>
      <c r="AB41" s="2">
        <f t="shared" si="5"/>
        <v>32.264698683775968</v>
      </c>
      <c r="AC41" s="2">
        <f t="shared" si="6"/>
        <v>33.58458193654338</v>
      </c>
      <c r="AD41" s="2">
        <f t="shared" si="7"/>
        <v>0.46067871686018402</v>
      </c>
      <c r="AE41" s="2">
        <f t="shared" si="8"/>
        <v>1.1122020787910829</v>
      </c>
    </row>
    <row r="42" spans="2:31" x14ac:dyDescent="0.2">
      <c r="B42" s="17">
        <f>[30]FormattedData!A60</f>
        <v>901</v>
      </c>
      <c r="C42" s="17" t="str">
        <f>VLOOKUP($B42,[30]TrtCodes!$B$11:I103,2)</f>
        <v>WS</v>
      </c>
      <c r="D42" s="17">
        <f>VLOOKUP($B42,[30]TrtCodes!$B$11:J103,3)</f>
        <v>32</v>
      </c>
      <c r="E42" s="17">
        <f>VLOOKUP($B42,[30]TrtCodes!$B$11:K103,4)</f>
        <v>9</v>
      </c>
      <c r="F42" s="17">
        <f>VLOOKUP($B42,[30]TrtCodes!$B$11:L103,5)</f>
        <v>0</v>
      </c>
      <c r="G42" s="17">
        <f>VLOOKUP($B42,[30]TrtCodes!$B$11:M103,6)</f>
        <v>1</v>
      </c>
      <c r="H42" s="17">
        <f>VLOOKUP($B42,[30]TrtCodes!$B$11:N103,7)</f>
        <v>1</v>
      </c>
      <c r="I42" s="17">
        <f>[30]FormattedData!B60</f>
        <v>1</v>
      </c>
      <c r="J42" s="15">
        <f>[30]FormattedData!C60</f>
        <v>13.228999999999999</v>
      </c>
      <c r="K42" s="14">
        <f>$J$3+[30]FormattedData!D60*$J$4+$M$4*$J$5+[30]FormattedData!D60^2*$J$6+$M$5*$J$7</f>
        <v>48.976017583685405</v>
      </c>
      <c r="L42" s="14">
        <f>$J$3+[30]FormattedData!E60*$J$4+$M$4*$J$5+[30]FormattedData!E60^2*$J$6+$M$5*$J$7</f>
        <v>51.616042613465723</v>
      </c>
      <c r="M42" s="14">
        <f>$J$3+[30]FormattedData!F60*$J$4+$M$4*$J$5+[30]FormattedData!F60^2*$J$6+$M$5*$J$7</f>
        <v>48.354537967741251</v>
      </c>
      <c r="N42" s="14">
        <f>$J$3+[30]FormattedData!G60*$J$4+$M$4*$J$5+[30]FormattedData!G60^2*$J$6+$M$5*$J$7</f>
        <v>49.153202771399499</v>
      </c>
      <c r="O42" s="14">
        <f>$J$3+[30]FormattedData!H60*$J$4+$M$4*$J$5+[30]FormattedData!H60^2*$J$6+$M$5*$J$7</f>
        <v>49.153202771399499</v>
      </c>
      <c r="P42" s="14">
        <f>$J$3+[30]FormattedData!I60*$J$4+$M$4*$J$5+[30]FormattedData!I60^2*$J$6+$M$5*$J$7</f>
        <v>47.998476850795825</v>
      </c>
      <c r="Q42" s="14">
        <f>$J$3+[30]FormattedData!J60*$J$4+$M$4*$J$5+[30]FormattedData!J60^2*$J$6+$M$5*$J$7</f>
        <v>47.284325727084266</v>
      </c>
      <c r="R42" s="14">
        <f>$J$3+[30]FormattedData!K60*$J$4+$M$4*$J$5+[30]FormattedData!K60^2*$J$6+$M$5*$J$7</f>
        <v>47.552449412510583</v>
      </c>
      <c r="S42" s="14">
        <f>$J$3+[30]FormattedData!L60*$J$4+$M$4*$J$5+[30]FormattedData!L60^2*$J$6+$M$5*$J$7</f>
        <v>48.354537967741251</v>
      </c>
      <c r="T42" s="14">
        <f>$J$3+[30]FormattedData!M60*$J$4+$M$4*$J$5+[30]FormattedData!M60^2*$J$6+$M$5*$J$7</f>
        <v>48.53231491498638</v>
      </c>
      <c r="U42" s="14">
        <f>$J$3+[30]FormattedData!N60*$J$4+$M$4*$J$5+[30]FormattedData!N60^2*$J$6+$M$5*$J$7</f>
        <v>48.887361587021466</v>
      </c>
      <c r="V42" s="14">
        <f>$J$3+[30]FormattedData!O60*$J$4+$M$4*$J$5+[30]FormattedData!O60^2*$J$6+$M$5*$J$7</f>
        <v>48.887361587021466</v>
      </c>
      <c r="W42" s="16">
        <f t="shared" ref="W42:W73" si="9">AVERAGE(K42:V42)</f>
        <v>48.729152646237708</v>
      </c>
      <c r="X42" s="15">
        <f t="shared" ref="X42:X73" si="10">STDEV(K42:V42)/SQRT(COUNT(K42:V42))</f>
        <v>0.31539096693463475</v>
      </c>
      <c r="Y42" s="14">
        <f t="shared" ref="Y42:Y73" si="11">MIN(K42:V42)</f>
        <v>47.284325727084266</v>
      </c>
      <c r="Z42" s="13">
        <f t="shared" ref="Z42:Z73" si="12">QUARTILE(K42:V42,1)</f>
        <v>48.265522688504895</v>
      </c>
      <c r="AA42" s="14">
        <f t="shared" ref="AA42:AA73" si="13">MEDIAN(K42:V42)</f>
        <v>48.709838251003923</v>
      </c>
      <c r="AB42" s="13">
        <f t="shared" ref="AB42:AB73" si="14">QUARTILE(K42:V42,3)</f>
        <v>49.020313880613926</v>
      </c>
      <c r="AC42" s="13">
        <f t="shared" ref="AC42:AC73" si="15">MAX(K42:V42)</f>
        <v>51.616042613465723</v>
      </c>
      <c r="AD42" s="13">
        <f t="shared" ref="AD42:AD73" si="16">SKEW(K42:V42)</f>
        <v>1.59663148317523</v>
      </c>
      <c r="AE42" s="13">
        <f t="shared" ref="AE42:AE73" si="17">KURT(K42:V42)</f>
        <v>4.3859685583906121</v>
      </c>
    </row>
    <row r="43" spans="2:31" x14ac:dyDescent="0.2">
      <c r="B43" s="1">
        <f>[30]FormattedData!A58</f>
        <v>902</v>
      </c>
      <c r="C43" s="1" t="str">
        <f>VLOOKUP($B43,[30]TrtCodes!$B$11:I101,2)</f>
        <v>Late</v>
      </c>
      <c r="D43" s="1">
        <f>VLOOKUP($B43,[30]TrtCodes!$B$11:J101,3)</f>
        <v>22</v>
      </c>
      <c r="E43" s="1">
        <f>VLOOKUP($B43,[30]TrtCodes!$B$11:K101,4)</f>
        <v>4</v>
      </c>
      <c r="F43" s="1">
        <f>VLOOKUP($B43,[30]TrtCodes!$B$11:L101,5)</f>
        <v>2</v>
      </c>
      <c r="G43" s="1">
        <f>VLOOKUP($B43,[30]TrtCodes!$B$11:M101,6)</f>
        <v>2</v>
      </c>
      <c r="H43" s="1">
        <f>VLOOKUP($B43,[30]TrtCodes!$B$11:N101,7)</f>
        <v>1</v>
      </c>
      <c r="I43" s="1">
        <f>[30]FormattedData!B58</f>
        <v>1</v>
      </c>
      <c r="J43" s="4">
        <f>[30]FormattedData!C58</f>
        <v>13.215999999999999</v>
      </c>
      <c r="K43" s="6">
        <f>$J$3+[30]FormattedData!D58*$J$4+$M$4*$J$5+[30]FormattedData!D58^2*$J$6+$M$5*$J$7</f>
        <v>47.194866628199634</v>
      </c>
      <c r="L43" s="6">
        <f>$J$3+[30]FormattedData!E58*$J$4+$M$4*$J$5+[30]FormattedData!E58^2*$J$6+$M$5*$J$7</f>
        <v>41.93391742449063</v>
      </c>
      <c r="M43" s="6">
        <f>$J$3+[30]FormattedData!F58*$J$4+$M$4*$J$5+[30]FormattedData!F58^2*$J$6+$M$5*$J$7</f>
        <v>49.68374388963143</v>
      </c>
      <c r="N43" s="6">
        <f>$J$3+[30]FormattedData!G58*$J$4+$M$4*$J$5+[30]FormattedData!G58^2*$J$6+$M$5*$J$7</f>
        <v>41.381565740686234</v>
      </c>
      <c r="O43" s="6">
        <f>$J$3+[30]FormattedData!H58*$J$4+$M$4*$J$5+[30]FormattedData!H58^2*$J$6+$M$5*$J$7</f>
        <v>44.854093800385293</v>
      </c>
      <c r="P43" s="6">
        <f>$J$3+[30]FormattedData!I58*$J$4+$M$4*$J$5+[30]FormattedData!I58^2*$J$6+$M$5*$J$7</f>
        <v>39.808305804074898</v>
      </c>
      <c r="Q43" s="6">
        <f>$J$3+[30]FormattedData!J58*$J$4+$M$4*$J$5+[30]FormattedData!J58^2*$J$6+$M$5*$J$7</f>
        <v>45.577374928289977</v>
      </c>
      <c r="R43" s="6">
        <f>$J$3+[30]FormattedData!K58*$J$4+$M$4*$J$5+[30]FormattedData!K58^2*$J$6+$M$5*$J$7</f>
        <v>39.622413297546984</v>
      </c>
      <c r="S43" s="6">
        <f>$J$3+[30]FormattedData!L58*$J$4+$M$4*$J$5+[30]FormattedData!L58^2*$J$6+$M$5*$J$7</f>
        <v>42.942610069835467</v>
      </c>
      <c r="T43" s="6">
        <f>$J$3+[30]FormattedData!M58*$J$4+$M$4*$J$5+[30]FormattedData!M58^2*$J$6+$M$5*$J$7</f>
        <v>38.31643167560334</v>
      </c>
      <c r="U43" s="6">
        <f>$J$3+[30]FormattedData!N58*$J$4+$M$4*$J$5+[30]FormattedData!N58^2*$J$6+$M$5*$J$7</f>
        <v>48.621139985802053</v>
      </c>
      <c r="V43" s="6">
        <f>$J$3+[30]FormattedData!O58*$J$4+$M$4*$J$5+[30]FormattedData!O58^2*$J$6+$M$5*$J$7</f>
        <v>38.877152529918114</v>
      </c>
      <c r="W43" s="5">
        <f t="shared" si="9"/>
        <v>43.234467981205341</v>
      </c>
      <c r="X43" s="4">
        <f t="shared" si="10"/>
        <v>1.1267250009967251</v>
      </c>
      <c r="Y43" s="3">
        <f t="shared" si="11"/>
        <v>38.31643167560334</v>
      </c>
      <c r="Z43" s="2">
        <f t="shared" si="12"/>
        <v>39.761832677442918</v>
      </c>
      <c r="AA43" s="3">
        <f t="shared" si="13"/>
        <v>42.438263747163049</v>
      </c>
      <c r="AB43" s="2">
        <f t="shared" si="14"/>
        <v>45.981747853267393</v>
      </c>
      <c r="AC43" s="2">
        <f t="shared" si="15"/>
        <v>49.68374388963143</v>
      </c>
      <c r="AD43" s="2">
        <f t="shared" si="16"/>
        <v>0.37824246312204385</v>
      </c>
      <c r="AE43" s="2">
        <f t="shared" si="17"/>
        <v>-1.2338288342203407</v>
      </c>
    </row>
    <row r="44" spans="2:31" x14ac:dyDescent="0.2">
      <c r="B44" s="17">
        <f>[30]FormattedData!A56</f>
        <v>903</v>
      </c>
      <c r="C44" s="17" t="str">
        <f>VLOOKUP($B44,[30]TrtCodes!$B$11:I99,2)</f>
        <v>DS</v>
      </c>
      <c r="D44" s="17">
        <f>VLOOKUP($B44,[30]TrtCodes!$B$11:J99,3)</f>
        <v>31</v>
      </c>
      <c r="E44" s="17">
        <f>VLOOKUP($B44,[30]TrtCodes!$B$11:K99,4)</f>
        <v>8</v>
      </c>
      <c r="F44" s="17">
        <f>VLOOKUP($B44,[30]TrtCodes!$B$11:L99,5)</f>
        <v>0</v>
      </c>
      <c r="G44" s="17">
        <f>VLOOKUP($B44,[30]TrtCodes!$B$11:M99,6)</f>
        <v>1</v>
      </c>
      <c r="H44" s="17">
        <f>VLOOKUP($B44,[30]TrtCodes!$B$11:N99,7)</f>
        <v>1</v>
      </c>
      <c r="I44" s="17">
        <f>[30]FormattedData!B56</f>
        <v>1</v>
      </c>
      <c r="J44" s="15">
        <f>[30]FormattedData!C56</f>
        <v>13.209</v>
      </c>
      <c r="K44" s="14">
        <f>$J$3+[30]FormattedData!D56*$J$4+$M$4*$J$5+[30]FormattedData!D56^2*$J$6+$M$5*$J$7</f>
        <v>53.095170516104403</v>
      </c>
      <c r="L44" s="14">
        <f>$J$3+[30]FormattedData!E56*$J$4+$M$4*$J$5+[30]FormattedData!E56^2*$J$6+$M$5*$J$7</f>
        <v>54.304103574958155</v>
      </c>
      <c r="M44" s="14">
        <f>$J$3+[30]FormattedData!F56*$J$4+$M$4*$J$5+[30]FormattedData!F56^2*$J$6+$M$5*$J$7</f>
        <v>54.562082811280995</v>
      </c>
      <c r="N44" s="14">
        <f>$J$3+[30]FormattedData!G56*$J$4+$M$4*$J$5+[30]FormattedData!G56^2*$J$6+$M$5*$J$7</f>
        <v>53.873292810328124</v>
      </c>
      <c r="O44" s="14">
        <f>$J$3+[30]FormattedData!H56*$J$4+$M$4*$J$5+[30]FormattedData!H56^2*$J$6+$M$5*$J$7</f>
        <v>54.476132001044647</v>
      </c>
      <c r="P44" s="14">
        <f>$J$3+[30]FormattedData!I56*$J$4+$M$4*$J$5+[30]FormattedData!I56^2*$J$6+$M$5*$J$7</f>
        <v>54.218025959108004</v>
      </c>
      <c r="Q44" s="14">
        <f>$J$3+[30]FormattedData!J56*$J$4+$M$4*$J$5+[30]FormattedData!J56^2*$J$6+$M$5*$J$7</f>
        <v>54.562082811280995</v>
      </c>
      <c r="R44" s="14">
        <f>$J$3+[30]FormattedData!K56*$J$4+$M$4*$J$5+[30]FormattedData!K56^2*$J$6+$M$5*$J$7</f>
        <v>54.390138922270367</v>
      </c>
      <c r="S44" s="14">
        <f>$J$3+[30]FormattedData!L56*$J$4+$M$4*$J$5+[30]FormattedData!L56^2*$J$6+$M$5*$J$7</f>
        <v>54.304103574958155</v>
      </c>
      <c r="T44" s="14">
        <f>$J$3+[30]FormattedData!M56*$J$4+$M$4*$J$5+[30]FormattedData!M56^2*$J$6+$M$5*$J$7</f>
        <v>53.959539500329981</v>
      </c>
      <c r="U44" s="14">
        <f>$J$3+[30]FormattedData!N56*$J$4+$M$4*$J$5+[30]FormattedData!N56^2*$J$6+$M$5*$J$7</f>
        <v>54.045743921793928</v>
      </c>
      <c r="V44" s="14">
        <f>$J$3+[30]FormattedData!O56*$J$4+$M$4*$J$5+[30]FormattedData!O56^2*$J$6+$M$5*$J$7</f>
        <v>54.045743921793928</v>
      </c>
      <c r="W44" s="16">
        <f t="shared" si="9"/>
        <v>54.153013360437647</v>
      </c>
      <c r="X44" s="15">
        <f t="shared" si="10"/>
        <v>0.11686931421858639</v>
      </c>
      <c r="Y44" s="14">
        <f t="shared" si="11"/>
        <v>53.095170516104403</v>
      </c>
      <c r="Z44" s="13">
        <f t="shared" si="12"/>
        <v>54.024192816427941</v>
      </c>
      <c r="AA44" s="14">
        <f t="shared" si="13"/>
        <v>54.261064767033076</v>
      </c>
      <c r="AB44" s="13">
        <f t="shared" si="14"/>
        <v>54.411637191963933</v>
      </c>
      <c r="AC44" s="13">
        <f t="shared" si="15"/>
        <v>54.562082811280995</v>
      </c>
      <c r="AD44" s="13">
        <f t="shared" si="16"/>
        <v>-1.683852041569061</v>
      </c>
      <c r="AE44" s="13">
        <f t="shared" si="17"/>
        <v>3.7748593322250494</v>
      </c>
    </row>
    <row r="45" spans="2:31" x14ac:dyDescent="0.2">
      <c r="B45" s="1">
        <f>[30]FormattedData!A54</f>
        <v>904</v>
      </c>
      <c r="C45" s="1" t="str">
        <f>VLOOKUP($B45,[30]TrtCodes!$B$11:I97,2)</f>
        <v>Early</v>
      </c>
      <c r="D45" s="1">
        <f>VLOOKUP($B45,[30]TrtCodes!$B$11:J97,3)</f>
        <v>21</v>
      </c>
      <c r="E45" s="1">
        <f>VLOOKUP($B45,[30]TrtCodes!$B$11:K97,4)</f>
        <v>3</v>
      </c>
      <c r="F45" s="1">
        <f>VLOOKUP($B45,[30]TrtCodes!$B$11:L97,5)</f>
        <v>2</v>
      </c>
      <c r="G45" s="1">
        <f>VLOOKUP($B45,[30]TrtCodes!$B$11:M97,6)</f>
        <v>2</v>
      </c>
      <c r="H45" s="1">
        <f>VLOOKUP($B45,[30]TrtCodes!$B$11:N97,7)</f>
        <v>1</v>
      </c>
      <c r="I45" s="1">
        <f>[30]FormattedData!B54</f>
        <v>1</v>
      </c>
      <c r="J45" s="4">
        <f>[30]FormattedData!C54</f>
        <v>13.193</v>
      </c>
      <c r="K45" s="6">
        <f>$J$3+[30]FormattedData!D54*$J$4+$M$4*$J$5+[30]FormattedData!D54^2*$J$6+$M$5*$J$7</f>
        <v>51.616042613465723</v>
      </c>
      <c r="L45" s="6">
        <f>$J$3+[30]FormattedData!E54*$J$4+$M$4*$J$5+[30]FormattedData!E54^2*$J$6+$M$5*$J$7</f>
        <v>42.942610069835467</v>
      </c>
      <c r="M45" s="6">
        <f>$J$3+[30]FormattedData!F54*$J$4+$M$4*$J$5+[30]FormattedData!F54^2*$J$6+$M$5*$J$7</f>
        <v>49.241731962449649</v>
      </c>
      <c r="N45" s="6">
        <f>$J$3+[30]FormattedData!G54*$J$4+$M$4*$J$5+[30]FormattedData!G54^2*$J$6+$M$5*$J$7</f>
        <v>39.156942331813426</v>
      </c>
      <c r="O45" s="6">
        <f>$J$3+[30]FormattedData!H54*$J$4+$M$4*$J$5+[30]FormattedData!H54^2*$J$6+$M$5*$J$7</f>
        <v>52.921789496804116</v>
      </c>
      <c r="P45" s="6">
        <f>$J$3+[30]FormattedData!I54*$J$4+$M$4*$J$5+[30]FormattedData!I54^2*$J$6+$M$5*$J$7</f>
        <v>41.74996927070756</v>
      </c>
      <c r="Q45" s="6">
        <f>$J$3+[30]FormattedData!J54*$J$4+$M$4*$J$5+[30]FormattedData!J54^2*$J$6+$M$5*$J$7</f>
        <v>53.441425332249821</v>
      </c>
      <c r="R45" s="6">
        <f>$J$3+[30]FormattedData!K54*$J$4+$M$4*$J$5+[30]FormattedData!K54^2*$J$6+$M$5*$J$7</f>
        <v>42.48474744092951</v>
      </c>
      <c r="S45" s="6">
        <f>$J$3+[30]FormattedData!L54*$J$4+$M$4*$J$5+[30]FormattedData!L54^2*$J$6+$M$5*$J$7</f>
        <v>51.965171690190445</v>
      </c>
      <c r="T45" s="6">
        <f>$J$3+[30]FormattedData!M54*$J$4+$M$4*$J$5+[30]FormattedData!M54^2*$J$6+$M$5*$J$7</f>
        <v>41.74996927070756</v>
      </c>
      <c r="U45" s="6">
        <f>$J$3+[30]FormattedData!N54*$J$4+$M$4*$J$5+[30]FormattedData!N54^2*$J$6+$M$5*$J$7</f>
        <v>50.564597603650157</v>
      </c>
      <c r="V45" s="6">
        <f>$J$3+[30]FormattedData!O54*$J$4+$M$4*$J$5+[30]FormattedData!O54^2*$J$6+$M$5*$J$7</f>
        <v>43.581842471710708</v>
      </c>
      <c r="W45" s="5">
        <f t="shared" si="9"/>
        <v>46.784736629542856</v>
      </c>
      <c r="X45" s="4">
        <f t="shared" si="10"/>
        <v>1.5197410750125833</v>
      </c>
      <c r="Y45" s="3">
        <f t="shared" si="11"/>
        <v>39.156942331813426</v>
      </c>
      <c r="Z45" s="2">
        <f t="shared" si="12"/>
        <v>42.301052898374024</v>
      </c>
      <c r="AA45" s="3">
        <f t="shared" si="13"/>
        <v>46.411787217080175</v>
      </c>
      <c r="AB45" s="2">
        <f t="shared" si="14"/>
        <v>51.703324882646903</v>
      </c>
      <c r="AC45" s="2">
        <f t="shared" si="15"/>
        <v>53.441425332249821</v>
      </c>
      <c r="AD45" s="2">
        <f t="shared" si="16"/>
        <v>-1.5998645497385781E-2</v>
      </c>
      <c r="AE45" s="2">
        <f t="shared" si="17"/>
        <v>-1.9361732999727912</v>
      </c>
    </row>
    <row r="46" spans="2:31" x14ac:dyDescent="0.2">
      <c r="B46" s="17">
        <f>[30]FormattedData!A52</f>
        <v>905</v>
      </c>
      <c r="C46" s="17" t="str">
        <f>VLOOKUP($B46,[30]TrtCodes!$B$11:I95,2)</f>
        <v>WS</v>
      </c>
      <c r="D46" s="17">
        <f>VLOOKUP($B46,[30]TrtCodes!$B$11:J95,3)</f>
        <v>32</v>
      </c>
      <c r="E46" s="17">
        <f>VLOOKUP($B46,[30]TrtCodes!$B$11:K95,4)</f>
        <v>9</v>
      </c>
      <c r="F46" s="17">
        <f>VLOOKUP($B46,[30]TrtCodes!$B$11:L95,5)</f>
        <v>0</v>
      </c>
      <c r="G46" s="17">
        <f>VLOOKUP($B46,[30]TrtCodes!$B$11:M95,6)</f>
        <v>1</v>
      </c>
      <c r="H46" s="17">
        <f>VLOOKUP($B46,[30]TrtCodes!$B$11:N95,7)</f>
        <v>2</v>
      </c>
      <c r="I46" s="17">
        <f>[30]FormattedData!B52</f>
        <v>1</v>
      </c>
      <c r="J46" s="15">
        <f>[30]FormattedData!C52</f>
        <v>13.186</v>
      </c>
      <c r="K46" s="14">
        <f>$J$3+[30]FormattedData!D52*$J$4+$M$4*$J$5+[30]FormattedData!D52^2*$J$6+$M$5*$J$7</f>
        <v>35.110270895359832</v>
      </c>
      <c r="L46" s="14">
        <f>$J$3+[30]FormattedData!E52*$J$4+$M$4*$J$5+[30]FormattedData!E52^2*$J$6+$M$5*$J$7</f>
        <v>34.920151535038812</v>
      </c>
      <c r="M46" s="14">
        <f>$J$3+[30]FormattedData!F52*$J$4+$M$4*$J$5+[30]FormattedData!F52^2*$J$6+$M$5*$J$7</f>
        <v>34.920151535038812</v>
      </c>
      <c r="N46" s="14">
        <f>$J$3+[30]FormattedData!G52*$J$4+$M$4*$J$5+[30]FormattedData!G52^2*$J$6+$M$5*$J$7</f>
        <v>34.825028452071415</v>
      </c>
      <c r="O46" s="14">
        <f>$J$3+[30]FormattedData!H52*$J$4+$M$4*$J$5+[30]FormattedData!H52^2*$J$6+$M$5*$J$7</f>
        <v>34.825028452071415</v>
      </c>
      <c r="P46" s="14">
        <f>$J$3+[30]FormattedData!I52*$J$4+$M$4*$J$5+[30]FormattedData!I52^2*$J$6+$M$5*$J$7</f>
        <v>34.825028452071415</v>
      </c>
      <c r="Q46" s="14">
        <f>$J$3+[30]FormattedData!J52*$J$4+$M$4*$J$5+[30]FormattedData!J52^2*$J$6+$M$5*$J$7</f>
        <v>34.634655480522795</v>
      </c>
      <c r="R46" s="14">
        <f>$J$3+[30]FormattedData!K52*$J$4+$M$4*$J$5+[30]FormattedData!K52^2*$J$6+$M$5*$J$7</f>
        <v>34.825028452071415</v>
      </c>
      <c r="S46" s="14">
        <f>$J$3+[30]FormattedData!L52*$J$4+$M$4*$J$5+[30]FormattedData!L52^2*$J$6+$M$5*$J$7</f>
        <v>34.729863100566071</v>
      </c>
      <c r="T46" s="14">
        <f>$J$3+[30]FormattedData!M52*$J$4+$M$4*$J$5+[30]FormattedData!M52^2*$J$6+$M$5*$J$7</f>
        <v>34.825028452071415</v>
      </c>
      <c r="U46" s="14">
        <f>$J$3+[30]FormattedData!N52*$J$4+$M$4*$J$5+[30]FormattedData!N52^2*$J$6+$M$5*$J$7</f>
        <v>34.729863100566071</v>
      </c>
      <c r="V46" s="14">
        <f>$J$3+[30]FormattedData!O52*$J$4+$M$4*$J$5+[30]FormattedData!O52^2*$J$6+$M$5*$J$7</f>
        <v>34.634655480522795</v>
      </c>
      <c r="W46" s="16">
        <f t="shared" si="9"/>
        <v>34.817062782331028</v>
      </c>
      <c r="X46" s="15">
        <f t="shared" si="10"/>
        <v>3.7868918192913603E-2</v>
      </c>
      <c r="Y46" s="14">
        <f t="shared" si="11"/>
        <v>34.634655480522795</v>
      </c>
      <c r="Z46" s="13">
        <f t="shared" si="12"/>
        <v>34.729863100566071</v>
      </c>
      <c r="AA46" s="14">
        <f t="shared" si="13"/>
        <v>34.825028452071415</v>
      </c>
      <c r="AB46" s="13">
        <f t="shared" si="14"/>
        <v>34.848809222813266</v>
      </c>
      <c r="AC46" s="13">
        <f t="shared" si="15"/>
        <v>35.110270895359832</v>
      </c>
      <c r="AD46" s="13">
        <f t="shared" si="16"/>
        <v>0.67348349497108906</v>
      </c>
      <c r="AE46" s="13">
        <f t="shared" si="17"/>
        <v>1.2593066659425478</v>
      </c>
    </row>
    <row r="47" spans="2:31" x14ac:dyDescent="0.2">
      <c r="B47" s="1">
        <f>[30]FormattedData!A50</f>
        <v>906</v>
      </c>
      <c r="C47" s="1" t="str">
        <f>VLOOKUP($B47,[30]TrtCodes!$B$11:I93,2)</f>
        <v>Late</v>
      </c>
      <c r="D47" s="1">
        <f>VLOOKUP($B47,[30]TrtCodes!$B$11:J93,3)</f>
        <v>22</v>
      </c>
      <c r="E47" s="1">
        <f>VLOOKUP($B47,[30]TrtCodes!$B$11:K93,4)</f>
        <v>4</v>
      </c>
      <c r="F47" s="1">
        <f>VLOOKUP($B47,[30]TrtCodes!$B$11:L93,5)</f>
        <v>2</v>
      </c>
      <c r="G47" s="1">
        <f>VLOOKUP($B47,[30]TrtCodes!$B$11:M93,6)</f>
        <v>2</v>
      </c>
      <c r="H47" s="1">
        <f>VLOOKUP($B47,[30]TrtCodes!$B$11:N93,7)</f>
        <v>2</v>
      </c>
      <c r="I47" s="1">
        <f>[30]FormattedData!B50</f>
        <v>1</v>
      </c>
      <c r="J47" s="4">
        <f>[30]FormattedData!C50</f>
        <v>13.17</v>
      </c>
      <c r="K47" s="6">
        <f>$J$3+[30]FormattedData!D50*$J$4+$M$4*$J$5+[30]FormattedData!D50^2*$J$6+$M$5*$J$7</f>
        <v>40.550185088669281</v>
      </c>
      <c r="L47" s="6">
        <f>$J$3+[30]FormattedData!E50*$J$4+$M$4*$J$5+[30]FormattedData!E50^2*$J$6+$M$5*$J$7</f>
        <v>38.129186575861645</v>
      </c>
      <c r="M47" s="6">
        <f>$J$3+[30]FormattedData!F50*$J$4+$M$4*$J$5+[30]FormattedData!F50^2*$J$6+$M$5*$J$7</f>
        <v>43.490650362770893</v>
      </c>
      <c r="N47" s="6">
        <f>$J$3+[30]FormattedData!G50*$J$4+$M$4*$J$5+[30]FormattedData!G50^2*$J$6+$M$5*$J$7</f>
        <v>39.156942331813426</v>
      </c>
      <c r="O47" s="6">
        <f>$J$3+[30]FormattedData!H50*$J$4+$M$4*$J$5+[30]FormattedData!H50^2*$J$6+$M$5*$J$7</f>
        <v>39.901188654531957</v>
      </c>
      <c r="P47" s="6">
        <f>$J$3+[30]FormattedData!I50*$J$4+$M$4*$J$5+[30]FormattedData!I50^2*$J$6+$M$5*$J$7</f>
        <v>38.222830260001459</v>
      </c>
      <c r="Q47" s="6">
        <f>$J$3+[30]FormattedData!J50*$J$4+$M$4*$J$5+[30]FormattedData!J50^2*$J$6+$M$5*$J$7</f>
        <v>39.529403641476136</v>
      </c>
      <c r="R47" s="6">
        <f>$J$3+[30]FormattedData!K50*$J$4+$M$4*$J$5+[30]FormattedData!K50^2*$J$6+$M$5*$J$7</f>
        <v>41.289359186836073</v>
      </c>
      <c r="S47" s="6">
        <f>$J$3+[30]FormattedData!L50*$J$4+$M$4*$J$5+[30]FormattedData!L50^2*$J$6+$M$5*$J$7</f>
        <v>38.0355006231839</v>
      </c>
      <c r="T47" s="6">
        <f>$J$3+[30]FormattedData!M50*$J$4+$M$4*$J$5+[30]FormattedData!M50^2*$J$6+$M$5*$J$7</f>
        <v>39.808305804074898</v>
      </c>
      <c r="U47" s="6">
        <f>$J$3+[30]FormattedData!N50*$J$4+$M$4*$J$5+[30]FormattedData!N50^2*$J$6+$M$5*$J$7</f>
        <v>41.841964481868061</v>
      </c>
      <c r="V47" s="6">
        <f>$J$3+[30]FormattedData!O50*$J$4+$M$4*$J$5+[30]FormattedData!O50^2*$J$6+$M$5*$J$7</f>
        <v>39.901188654531957</v>
      </c>
      <c r="W47" s="5">
        <f t="shared" si="9"/>
        <v>39.988058805468306</v>
      </c>
      <c r="X47" s="4">
        <f t="shared" si="10"/>
        <v>0.4690975127517345</v>
      </c>
      <c r="Y47" s="3">
        <f t="shared" si="11"/>
        <v>38.0355006231839</v>
      </c>
      <c r="Z47" s="2">
        <f t="shared" si="12"/>
        <v>38.923414313860434</v>
      </c>
      <c r="AA47" s="3">
        <f t="shared" si="13"/>
        <v>39.854747229303428</v>
      </c>
      <c r="AB47" s="2">
        <f t="shared" si="14"/>
        <v>40.734978613210977</v>
      </c>
      <c r="AC47" s="2">
        <f t="shared" si="15"/>
        <v>43.490650362770893</v>
      </c>
      <c r="AD47" s="2">
        <f t="shared" si="16"/>
        <v>0.80534771121277293</v>
      </c>
      <c r="AE47" s="2">
        <f t="shared" si="17"/>
        <v>0.53138771032789212</v>
      </c>
    </row>
    <row r="48" spans="2:31" x14ac:dyDescent="0.2">
      <c r="B48" s="17">
        <f>[30]FormattedData!A48</f>
        <v>907</v>
      </c>
      <c r="C48" s="17" t="str">
        <f>VLOOKUP($B48,[30]TrtCodes!$B$11:I91,2)</f>
        <v>DS</v>
      </c>
      <c r="D48" s="17">
        <f>VLOOKUP($B48,[30]TrtCodes!$B$11:J91,3)</f>
        <v>31</v>
      </c>
      <c r="E48" s="17">
        <f>VLOOKUP($B48,[30]TrtCodes!$B$11:K91,4)</f>
        <v>8</v>
      </c>
      <c r="F48" s="17">
        <f>VLOOKUP($B48,[30]TrtCodes!$B$11:L91,5)</f>
        <v>0</v>
      </c>
      <c r="G48" s="17">
        <f>VLOOKUP($B48,[30]TrtCodes!$B$11:M91,6)</f>
        <v>1</v>
      </c>
      <c r="H48" s="17">
        <f>VLOOKUP($B48,[30]TrtCodes!$B$11:N91,7)</f>
        <v>2</v>
      </c>
      <c r="I48" s="17">
        <f>[30]FormattedData!B48</f>
        <v>1</v>
      </c>
      <c r="J48" s="15">
        <f>[30]FormattedData!C48</f>
        <v>13.164</v>
      </c>
      <c r="K48" s="14">
        <f>$J$3+[30]FormattedData!D48*$J$4+$M$4*$J$5+[30]FormattedData!D48^2*$J$6+$M$5*$J$7</f>
        <v>52.31362447030827</v>
      </c>
      <c r="L48" s="14">
        <f>$J$3+[30]FormattedData!E48*$J$4+$M$4*$J$5+[30]FormattedData!E48^2*$J$6+$M$5*$J$7</f>
        <v>53.268382461252976</v>
      </c>
      <c r="M48" s="14">
        <f>$J$3+[30]FormattedData!F48*$J$4+$M$4*$J$5+[30]FormattedData!F48^2*$J$6+$M$5*$J$7</f>
        <v>53.268382461252976</v>
      </c>
      <c r="N48" s="14">
        <f>$J$3+[30]FormattedData!G48*$J$4+$M$4*$J$5+[30]FormattedData!G48^2*$J$6+$M$5*$J$7</f>
        <v>53.354925031020358</v>
      </c>
      <c r="O48" s="14">
        <f>$J$3+[30]FormattedData!H48*$J$4+$M$4*$J$5+[30]FormattedData!H48^2*$J$6+$M$5*$J$7</f>
        <v>53.095170516104403</v>
      </c>
      <c r="P48" s="14">
        <f>$J$3+[30]FormattedData!I48*$J$4+$M$4*$J$5+[30]FormattedData!I48^2*$J$6+$M$5*$J$7</f>
        <v>53.614299129094931</v>
      </c>
      <c r="Q48" s="14">
        <f>$J$3+[30]FormattedData!J48*$J$4+$M$4*$J$5+[30]FormattedData!J48^2*$J$6+$M$5*$J$7</f>
        <v>53.181797622947656</v>
      </c>
      <c r="R48" s="14">
        <f>$J$3+[30]FormattedData!K48*$J$4+$M$4*$J$5+[30]FormattedData!K48^2*$J$6+$M$5*$J$7</f>
        <v>52.748239403352102</v>
      </c>
      <c r="S48" s="14">
        <f>$J$3+[30]FormattedData!L48*$J$4+$M$4*$J$5+[30]FormattedData!L48^2*$J$6+$M$5*$J$7</f>
        <v>53.700672624710599</v>
      </c>
      <c r="T48" s="14">
        <f>$J$3+[30]FormattedData!M48*$J$4+$M$4*$J$5+[30]FormattedData!M48^2*$J$6+$M$5*$J$7</f>
        <v>53.008501140723233</v>
      </c>
      <c r="U48" s="14">
        <f>$J$3+[30]FormattedData!N48*$J$4+$M$4*$J$5+[30]FormattedData!N48^2*$J$6+$M$5*$J$7</f>
        <v>53.873292810328124</v>
      </c>
      <c r="V48" s="14">
        <f>$J$3+[30]FormattedData!O48*$J$4+$M$4*$J$5+[30]FormattedData!O48^2*$J$6+$M$5*$J$7</f>
        <v>54.304103574958155</v>
      </c>
      <c r="W48" s="16">
        <f t="shared" si="9"/>
        <v>53.310949270504487</v>
      </c>
      <c r="X48" s="15">
        <f t="shared" si="10"/>
        <v>0.15120885452297289</v>
      </c>
      <c r="Y48" s="14">
        <f t="shared" si="11"/>
        <v>52.31362447030827</v>
      </c>
      <c r="Z48" s="13">
        <f t="shared" si="12"/>
        <v>53.073503172259109</v>
      </c>
      <c r="AA48" s="14">
        <f t="shared" si="13"/>
        <v>53.268382461252976</v>
      </c>
      <c r="AB48" s="13">
        <f t="shared" si="14"/>
        <v>53.63589250299885</v>
      </c>
      <c r="AC48" s="13">
        <f t="shared" si="15"/>
        <v>54.304103574958155</v>
      </c>
      <c r="AD48" s="13">
        <f t="shared" si="16"/>
        <v>2.6135262922325191E-2</v>
      </c>
      <c r="AE48" s="13">
        <f t="shared" si="17"/>
        <v>0.58196538779182827</v>
      </c>
    </row>
    <row r="49" spans="2:31" ht="13.5" thickBot="1" x14ac:dyDescent="0.25">
      <c r="B49" s="12">
        <f>[30]FormattedData!A46</f>
        <v>908</v>
      </c>
      <c r="C49" s="12" t="str">
        <f>VLOOKUP($B49,[30]TrtCodes!$B$11:I89,2)</f>
        <v>Early</v>
      </c>
      <c r="D49" s="12">
        <f>VLOOKUP($B49,[30]TrtCodes!$B$11:J89,3)</f>
        <v>21</v>
      </c>
      <c r="E49" s="12">
        <f>VLOOKUP($B49,[30]TrtCodes!$B$11:K89,4)</f>
        <v>3</v>
      </c>
      <c r="F49" s="12">
        <f>VLOOKUP($B49,[30]TrtCodes!$B$11:L89,5)</f>
        <v>2</v>
      </c>
      <c r="G49" s="12">
        <f>VLOOKUP($B49,[30]TrtCodes!$B$11:M89,6)</f>
        <v>2</v>
      </c>
      <c r="H49" s="12">
        <f>VLOOKUP($B49,[30]TrtCodes!$B$11:N89,7)</f>
        <v>2</v>
      </c>
      <c r="I49" s="12">
        <f>[30]FormattedData!B46</f>
        <v>1</v>
      </c>
      <c r="J49" s="9">
        <f>[30]FormattedData!C46</f>
        <v>13.147</v>
      </c>
      <c r="K49" s="11">
        <f>$J$3+[30]FormattedData!D46*$J$4+$M$4*$J$5+[30]FormattedData!D46^2*$J$6+$M$5*$J$7</f>
        <v>49.330218884961873</v>
      </c>
      <c r="L49" s="11">
        <f>$J$3+[30]FormattedData!E46*$J$4+$M$4*$J$5+[30]FormattedData!E46^2*$J$6+$M$5*$J$7</f>
        <v>43.216820424723871</v>
      </c>
      <c r="M49" s="11">
        <f>$J$3+[30]FormattedData!F46*$J$4+$M$4*$J$5+[30]FormattedData!F46^2*$J$6+$M$5*$J$7</f>
        <v>52.835035584347082</v>
      </c>
      <c r="N49" s="11">
        <f>$J$3+[30]FormattedData!G46*$J$4+$M$4*$J$5+[30]FormattedData!G46^2*$J$6+$M$5*$J$7</f>
        <v>39.901188654531957</v>
      </c>
      <c r="O49" s="11">
        <f>$J$3+[30]FormattedData!H46*$J$4+$M$4*$J$5+[30]FormattedData!H46^2*$J$6+$M$5*$J$7</f>
        <v>46.567469416945116</v>
      </c>
      <c r="P49" s="11">
        <f>$J$3+[30]FormattedData!I46*$J$4+$M$4*$J$5+[30]FormattedData!I46^2*$J$6+$M$5*$J$7</f>
        <v>40.364968878748272</v>
      </c>
      <c r="Q49" s="11">
        <f>$J$3+[30]FormattedData!J46*$J$4+$M$4*$J$5+[30]FormattedData!J46^2*$J$6+$M$5*$J$7</f>
        <v>45.487112727184652</v>
      </c>
      <c r="R49" s="11">
        <f>$J$3+[30]FormattedData!K46*$J$4+$M$4*$J$5+[30]FormattedData!K46^2*$J$6+$M$5*$J$7</f>
        <v>39.529403641476136</v>
      </c>
      <c r="S49" s="11">
        <f>$J$3+[30]FormattedData!L46*$J$4+$M$4*$J$5+[30]FormattedData!L46^2*$J$6+$M$5*$J$7</f>
        <v>46.477672169757028</v>
      </c>
      <c r="T49" s="11">
        <f>$J$3+[30]FormattedData!M46*$J$4+$M$4*$J$5+[30]FormattedData!M46^2*$J$6+$M$5*$J$7</f>
        <v>40.642729790822891</v>
      </c>
      <c r="U49" s="11">
        <f>$J$3+[30]FormattedData!N46*$J$4+$M$4*$J$5+[30]FormattedData!N46^2*$J$6+$M$5*$J$7</f>
        <v>50.036592597694096</v>
      </c>
      <c r="V49" s="11">
        <f>$J$3+[30]FormattedData!O46*$J$4+$M$4*$J$5+[30]FormattedData!O46^2*$J$6+$M$5*$J$7</f>
        <v>39.808305804074898</v>
      </c>
      <c r="W49" s="10">
        <f t="shared" si="9"/>
        <v>44.516459881272318</v>
      </c>
      <c r="X49" s="9">
        <f t="shared" si="10"/>
        <v>1.3317392982092073</v>
      </c>
      <c r="Y49" s="8">
        <f t="shared" si="11"/>
        <v>39.529403641476136</v>
      </c>
      <c r="Z49" s="7">
        <f t="shared" si="12"/>
        <v>40.249023822694191</v>
      </c>
      <c r="AA49" s="8">
        <f t="shared" si="13"/>
        <v>44.351966575954265</v>
      </c>
      <c r="AB49" s="7">
        <f t="shared" si="14"/>
        <v>47.258156783949303</v>
      </c>
      <c r="AC49" s="7">
        <f t="shared" si="15"/>
        <v>52.835035584347082</v>
      </c>
      <c r="AD49" s="7">
        <f t="shared" si="16"/>
        <v>0.45988650549678844</v>
      </c>
      <c r="AE49" s="7">
        <f t="shared" si="17"/>
        <v>-1.119341116458298</v>
      </c>
    </row>
    <row r="50" spans="2:31" ht="13.5" thickTop="1" x14ac:dyDescent="0.2">
      <c r="B50" s="1">
        <f>[30]FormattedData!A29</f>
        <v>101</v>
      </c>
      <c r="C50" s="1" t="str">
        <f>VLOOKUP($B50,[30]TrtCodes!$B$11:I72,2)</f>
        <v>FSH</v>
      </c>
      <c r="D50" s="1">
        <f>VLOOKUP($B50,[30]TrtCodes!$B$11:J72,3)</f>
        <v>1</v>
      </c>
      <c r="E50" s="1">
        <f>VLOOKUP($B50,[30]TrtCodes!$B$11:K72,4)</f>
        <v>1</v>
      </c>
      <c r="F50" s="1">
        <f>VLOOKUP($B50,[30]TrtCodes!$B$11:L72,5)</f>
        <v>1</v>
      </c>
      <c r="G50" s="1">
        <f>VLOOKUP($B50,[30]TrtCodes!$B$11:M72,6)</f>
        <v>2</v>
      </c>
      <c r="H50" s="1">
        <f>VLOOKUP($B50,[30]TrtCodes!$B$11:N72,7)</f>
        <v>1</v>
      </c>
      <c r="I50" s="1">
        <f>[30]FormattedData!B29</f>
        <v>2</v>
      </c>
      <c r="J50" s="4">
        <f>[30]FormattedData!C29</f>
        <v>12.991</v>
      </c>
      <c r="K50" s="6">
        <f>$J$3+[30]FormattedData!D29*$J$4+$M$4*$J$5+[30]FormattedData!D29^2*$J$6+$M$5*$J$7</f>
        <v>31.372446618982597</v>
      </c>
      <c r="L50" s="6">
        <f>$J$3+[30]FormattedData!E29*$J$4+$M$4*$J$5+[30]FormattedData!E29^2*$J$6+$M$5*$J$7</f>
        <v>30.403674346067099</v>
      </c>
      <c r="M50" s="6">
        <f>$J$3+[30]FormattedData!F29*$J$4+$M$4*$J$5+[30]FormattedData!F29^2*$J$6+$M$5*$J$7</f>
        <v>31.758772009086726</v>
      </c>
      <c r="N50" s="6">
        <f>$J$3+[30]FormattedData!G29*$J$4+$M$4*$J$5+[30]FormattedData!G29^2*$J$6+$M$5*$J$7</f>
        <v>33.393109983008557</v>
      </c>
      <c r="O50" s="6">
        <f>$J$3+[30]FormattedData!H29*$J$4+$M$4*$J$5+[30]FormattedData!H29^2*$J$6+$M$5*$J$7</f>
        <v>32.144421102583948</v>
      </c>
      <c r="P50" s="6">
        <f>$J$3+[30]FormattedData!I29*$J$4+$M$4*$J$5+[30]FormattedData!I29^2*$J$6+$M$5*$J$7</f>
        <v>34.539405591941602</v>
      </c>
      <c r="Q50" s="6">
        <f>$J$3+[30]FormattedData!J29*$J$4+$M$4*$J$5+[30]FormattedData!J29^2*$J$6+$M$5*$J$7</f>
        <v>32.913690399757719</v>
      </c>
      <c r="R50" s="6">
        <f>$J$3+[30]FormattedData!K29*$J$4+$M$4*$J$5+[30]FormattedData!K29^2*$J$6+$M$5*$J$7</f>
        <v>33.105585038671848</v>
      </c>
      <c r="S50" s="6">
        <f>$J$3+[30]FormattedData!L29*$J$4+$M$4*$J$5+[30]FormattedData!L29^2*$J$6+$M$5*$J$7</f>
        <v>32.144421102583948</v>
      </c>
      <c r="T50" s="6">
        <f>$J$3+[30]FormattedData!M29*$J$4+$M$4*$J$5+[30]FormattedData!M29^2*$J$6+$M$5*$J$7</f>
        <v>30.888588839248985</v>
      </c>
      <c r="U50" s="6">
        <f>$J$3+[30]FormattedData!N29*$J$4+$M$4*$J$5+[30]FormattedData!N29^2*$J$6+$M$5*$J$7</f>
        <v>32.529393899474286</v>
      </c>
      <c r="V50" s="6">
        <f>$J$3+[30]FormattedData!O29*$J$4+$M$4*$J$5+[30]FormattedData!O29^2*$J$6+$M$5*$J$7</f>
        <v>34.444113434822462</v>
      </c>
      <c r="W50" s="5">
        <f t="shared" si="9"/>
        <v>32.469801863852474</v>
      </c>
      <c r="X50" s="4">
        <f t="shared" si="10"/>
        <v>0.37263483382601648</v>
      </c>
      <c r="Y50" s="3">
        <f t="shared" si="11"/>
        <v>30.403674346067099</v>
      </c>
      <c r="Z50" s="2">
        <f t="shared" si="12"/>
        <v>31.662190661560693</v>
      </c>
      <c r="AA50" s="3">
        <f t="shared" si="13"/>
        <v>32.336907501029117</v>
      </c>
      <c r="AB50" s="2">
        <f t="shared" si="14"/>
        <v>33.177466274756028</v>
      </c>
      <c r="AC50" s="2">
        <f t="shared" si="15"/>
        <v>34.539405591941602</v>
      </c>
      <c r="AD50" s="2">
        <f t="shared" si="16"/>
        <v>0.16072025313759891</v>
      </c>
      <c r="AE50" s="2">
        <f t="shared" si="17"/>
        <v>-0.59000486669534835</v>
      </c>
    </row>
    <row r="51" spans="2:31" x14ac:dyDescent="0.2">
      <c r="B51" s="1">
        <f>[30]FormattedData!A27</f>
        <v>102</v>
      </c>
      <c r="C51" s="1" t="str">
        <f>VLOOKUP($B51,[30]TrtCodes!$B$11:I70,2)</f>
        <v>FTL</v>
      </c>
      <c r="D51" s="1">
        <f>VLOOKUP($B51,[30]TrtCodes!$B$11:J70,3)</f>
        <v>4</v>
      </c>
      <c r="E51" s="1">
        <f>VLOOKUP($B51,[30]TrtCodes!$B$11:K70,4)</f>
        <v>1</v>
      </c>
      <c r="F51" s="1">
        <f>VLOOKUP($B51,[30]TrtCodes!$B$11:L70,5)</f>
        <v>2</v>
      </c>
      <c r="G51" s="1">
        <f>VLOOKUP($B51,[30]TrtCodes!$B$11:M70,6)</f>
        <v>1</v>
      </c>
      <c r="H51" s="1">
        <f>VLOOKUP($B51,[30]TrtCodes!$B$11:N70,7)</f>
        <v>1</v>
      </c>
      <c r="I51" s="1">
        <f>[30]FormattedData!B27</f>
        <v>2</v>
      </c>
      <c r="J51" s="4">
        <f>[30]FormattedData!C27</f>
        <v>12.977</v>
      </c>
      <c r="K51" s="6">
        <f>$J$3+[30]FormattedData!D27*$J$4+$M$4*$J$5+[30]FormattedData!D27^2*$J$6+$M$5*$J$7</f>
        <v>32.625531427352037</v>
      </c>
      <c r="L51" s="6">
        <f>$J$3+[30]FormattedData!E27*$J$4+$M$4*$J$5+[30]FormattedData!E27^2*$J$6+$M$5*$J$7</f>
        <v>32.144421102583948</v>
      </c>
      <c r="M51" s="6">
        <f>$J$3+[30]FormattedData!F27*$J$4+$M$4*$J$5+[30]FormattedData!F27^2*$J$6+$M$5*$J$7</f>
        <v>33.201468955322014</v>
      </c>
      <c r="N51" s="6">
        <f>$J$3+[30]FormattedData!G27*$J$4+$M$4*$J$5+[30]FormattedData!G27^2*$J$6+$M$5*$J$7</f>
        <v>32.048072232016544</v>
      </c>
      <c r="O51" s="6">
        <f>$J$3+[30]FormattedData!H27*$J$4+$M$4*$J$5+[30]FormattedData!H27^2*$J$6+$M$5*$J$7</f>
        <v>31.565693851110524</v>
      </c>
      <c r="P51" s="6">
        <f>$J$3+[30]FormattedData!I27*$J$4+$M$4*$J$5+[30]FormattedData!I27^2*$J$6+$M$5*$J$7</f>
        <v>30.014981917838824</v>
      </c>
      <c r="Q51" s="6">
        <f>$J$3+[30]FormattedData!J27*$J$4+$M$4*$J$5+[30]FormattedData!J27^2*$J$6+$M$5*$J$7</f>
        <v>30.112218427702793</v>
      </c>
      <c r="R51" s="6">
        <f>$J$3+[30]FormattedData!K27*$J$4+$M$4*$J$5+[30]FormattedData!K27^2*$J$6+$M$5*$J$7</f>
        <v>30.30656464181693</v>
      </c>
      <c r="S51" s="6">
        <f>$J$3+[30]FormattedData!L27*$J$4+$M$4*$J$5+[30]FormattedData!L27^2*$J$6+$M$5*$J$7</f>
        <v>30.209412669028822</v>
      </c>
      <c r="T51" s="6">
        <f>$J$3+[30]FormattedData!M27*$J$4+$M$4*$J$5+[30]FormattedData!M27^2*$J$6+$M$5*$J$7</f>
        <v>32.721626686691863</v>
      </c>
      <c r="U51" s="6">
        <f>$J$3+[30]FormattedData!N27*$J$4+$M$4*$J$5+[30]FormattedData!N27^2*$J$6+$M$5*$J$7</f>
        <v>30.30656464181693</v>
      </c>
      <c r="V51" s="6">
        <f>$J$3+[30]FormattedData!O27*$J$4+$M$4*$J$5+[30]FormattedData!O27^2*$J$6+$M$5*$J$7</f>
        <v>30.30656464181693</v>
      </c>
      <c r="W51" s="5">
        <f t="shared" si="9"/>
        <v>31.296926766258178</v>
      </c>
      <c r="X51" s="4">
        <f t="shared" si="10"/>
        <v>0.34759997288233158</v>
      </c>
      <c r="Y51" s="3">
        <f t="shared" si="11"/>
        <v>30.014981917838824</v>
      </c>
      <c r="Z51" s="2">
        <f t="shared" si="12"/>
        <v>30.282276648619902</v>
      </c>
      <c r="AA51" s="3">
        <f t="shared" si="13"/>
        <v>30.936129246463729</v>
      </c>
      <c r="AB51" s="2">
        <f t="shared" si="14"/>
        <v>32.264698683775968</v>
      </c>
      <c r="AC51" s="2">
        <f t="shared" si="15"/>
        <v>33.201468955322014</v>
      </c>
      <c r="AD51" s="2">
        <f t="shared" si="16"/>
        <v>0.32664243703519757</v>
      </c>
      <c r="AE51" s="2">
        <f t="shared" si="17"/>
        <v>-1.7705655220770229</v>
      </c>
    </row>
    <row r="52" spans="2:31" x14ac:dyDescent="0.2">
      <c r="B52" s="1">
        <f>[30]FormattedData!A25</f>
        <v>103</v>
      </c>
      <c r="C52" s="1" t="str">
        <f>VLOOKUP($B52,[30]TrtCodes!$B$11:I68,2)</f>
        <v>FDH</v>
      </c>
      <c r="D52" s="1">
        <f>VLOOKUP($B52,[30]TrtCodes!$B$11:J68,3)</f>
        <v>5</v>
      </c>
      <c r="E52" s="1">
        <f>VLOOKUP($B52,[30]TrtCodes!$B$11:K68,4)</f>
        <v>1</v>
      </c>
      <c r="F52" s="1">
        <f>VLOOKUP($B52,[30]TrtCodes!$B$11:L68,5)</f>
        <v>3</v>
      </c>
      <c r="G52" s="1">
        <f>VLOOKUP($B52,[30]TrtCodes!$B$11:M68,6)</f>
        <v>2</v>
      </c>
      <c r="H52" s="1">
        <f>VLOOKUP($B52,[30]TrtCodes!$B$11:N68,7)</f>
        <v>1</v>
      </c>
      <c r="I52" s="1">
        <f>[30]FormattedData!B25</f>
        <v>2</v>
      </c>
      <c r="J52" s="4">
        <f>[30]FormattedData!C25</f>
        <v>12.961</v>
      </c>
      <c r="K52" s="6">
        <f>$J$3+[30]FormattedData!D25*$J$4+$M$4*$J$5+[30]FormattedData!D25^2*$J$6+$M$5*$J$7</f>
        <v>31.662254064367588</v>
      </c>
      <c r="L52" s="6">
        <f>$J$3+[30]FormattedData!E25*$J$4+$M$4*$J$5+[30]FormattedData!E25^2*$J$6+$M$5*$J$7</f>
        <v>33.297310603434255</v>
      </c>
      <c r="M52" s="6">
        <f>$J$3+[30]FormattedData!F25*$J$4+$M$4*$J$5+[30]FormattedData!F25^2*$J$6+$M$5*$J$7</f>
        <v>31.275759600111741</v>
      </c>
      <c r="N52" s="6">
        <f>$J$3+[30]FormattedData!G25*$J$4+$M$4*$J$5+[30]FormattedData!G25^2*$J$6+$M$5*$J$7</f>
        <v>32.913690399757719</v>
      </c>
      <c r="O52" s="6">
        <f>$J$3+[30]FormattedData!H25*$J$4+$M$4*$J$5+[30]FormattedData!H25^2*$J$6+$M$5*$J$7</f>
        <v>32.433214103058603</v>
      </c>
      <c r="P52" s="6">
        <f>$J$3+[30]FormattedData!I25*$J$4+$M$4*$J$5+[30]FormattedData!I25^2*$J$6+$M$5*$J$7</f>
        <v>33.297310603434255</v>
      </c>
      <c r="Q52" s="6">
        <f>$J$3+[30]FormattedData!J25*$J$4+$M$4*$J$5+[30]FormattedData!J25^2*$J$6+$M$5*$J$7</f>
        <v>30.985444932271566</v>
      </c>
      <c r="R52" s="6">
        <f>$J$3+[30]FormattedData!K25*$J$4+$M$4*$J$5+[30]FormattedData!K25^2*$J$6+$M$5*$J$7</f>
        <v>32.240727704613434</v>
      </c>
      <c r="S52" s="6">
        <f>$J$3+[30]FormattedData!L25*$J$4+$M$4*$J$5+[30]FormattedData!L25^2*$J$6+$M$5*$J$7</f>
        <v>32.240727704613434</v>
      </c>
      <c r="T52" s="6">
        <f>$J$3+[30]FormattedData!M25*$J$4+$M$4*$J$5+[30]FormattedData!M25^2*$J$6+$M$5*$J$7</f>
        <v>35.110270895359832</v>
      </c>
      <c r="U52" s="6">
        <f>$J$3+[30]FormattedData!N25*$J$4+$M$4*$J$5+[30]FormattedData!N25^2*$J$6+$M$5*$J$7</f>
        <v>36.436372341358698</v>
      </c>
      <c r="V52" s="6">
        <f>$J$3+[30]FormattedData!O25*$J$4+$M$4*$J$5+[30]FormattedData!O25^2*$J$6+$M$5*$J$7</f>
        <v>35.300221181529139</v>
      </c>
      <c r="W52" s="5">
        <f t="shared" si="9"/>
        <v>33.099442011159191</v>
      </c>
      <c r="X52" s="4">
        <f t="shared" si="10"/>
        <v>0.4917017753310437</v>
      </c>
      <c r="Y52" s="3">
        <f t="shared" si="11"/>
        <v>30.985444932271566</v>
      </c>
      <c r="Z52" s="2">
        <f t="shared" si="12"/>
        <v>32.096109294551972</v>
      </c>
      <c r="AA52" s="3">
        <f t="shared" si="13"/>
        <v>32.673452251408165</v>
      </c>
      <c r="AB52" s="2">
        <f t="shared" si="14"/>
        <v>33.750550676415649</v>
      </c>
      <c r="AC52" s="2">
        <f t="shared" si="15"/>
        <v>36.436372341358698</v>
      </c>
      <c r="AD52" s="2">
        <f t="shared" si="16"/>
        <v>0.79279483608748391</v>
      </c>
      <c r="AE52" s="2">
        <f t="shared" si="17"/>
        <v>-0.28197452737377438</v>
      </c>
    </row>
    <row r="53" spans="2:31" x14ac:dyDescent="0.2">
      <c r="B53" s="1">
        <f>[30]FormattedData!A23</f>
        <v>104</v>
      </c>
      <c r="C53" s="1" t="str">
        <f>VLOOKUP($B53,[30]TrtCodes!$B$11:I66,2)</f>
        <v>NTL</v>
      </c>
      <c r="D53" s="1">
        <f>VLOOKUP($B53,[30]TrtCodes!$B$11:J66,3)</f>
        <v>10</v>
      </c>
      <c r="E53" s="1">
        <f>VLOOKUP($B53,[30]TrtCodes!$B$11:K66,4)</f>
        <v>2</v>
      </c>
      <c r="F53" s="1">
        <f>VLOOKUP($B53,[30]TrtCodes!$B$11:L66,5)</f>
        <v>2</v>
      </c>
      <c r="G53" s="1">
        <f>VLOOKUP($B53,[30]TrtCodes!$B$11:M66,6)</f>
        <v>1</v>
      </c>
      <c r="H53" s="1">
        <f>VLOOKUP($B53,[30]TrtCodes!$B$11:N66,7)</f>
        <v>1</v>
      </c>
      <c r="I53" s="1">
        <f>[30]FormattedData!B23</f>
        <v>2</v>
      </c>
      <c r="J53" s="4">
        <f>[30]FormattedData!C23</f>
        <v>12.943</v>
      </c>
      <c r="K53" s="6">
        <f>$J$3+[30]FormattedData!D23*$J$4+$M$4*$J$5+[30]FormattedData!D23^2*$J$6+$M$5*$J$7</f>
        <v>36.813736801421427</v>
      </c>
      <c r="L53" s="6">
        <f>$J$3+[30]FormattedData!E23*$J$4+$M$4*$J$5+[30]FormattedData!E23^2*$J$6+$M$5*$J$7</f>
        <v>31.469091369315528</v>
      </c>
      <c r="M53" s="6">
        <f>$J$3+[30]FormattedData!F23*$J$4+$M$4*$J$5+[30]FormattedData!F23^2*$J$6+$M$5*$J$7</f>
        <v>31.662254064367588</v>
      </c>
      <c r="N53" s="6">
        <f>$J$3+[30]FormattedData!G23*$J$4+$M$4*$J$5+[30]FormattedData!G23^2*$J$6+$M$5*$J$7</f>
        <v>31.372446618982597</v>
      </c>
      <c r="O53" s="6">
        <f>$J$3+[30]FormattedData!H23*$J$4+$M$4*$J$5+[30]FormattedData!H23^2*$J$6+$M$5*$J$7</f>
        <v>31.855247685267933</v>
      </c>
      <c r="P53" s="6">
        <f>$J$3+[30]FormattedData!I23*$J$4+$M$4*$J$5+[30]FormattedData!I23^2*$J$6+$M$5*$J$7</f>
        <v>33.201468955322014</v>
      </c>
      <c r="Q53" s="6">
        <f>$J$3+[30]FormattedData!J23*$J$4+$M$4*$J$5+[30]FormattedData!J23^2*$J$6+$M$5*$J$7</f>
        <v>31.469091369315528</v>
      </c>
      <c r="R53" s="6">
        <f>$J$3+[30]FormattedData!K23*$J$4+$M$4*$J$5+[30]FormattedData!K23^2*$J$6+$M$5*$J$7</f>
        <v>32.625531427352037</v>
      </c>
      <c r="S53" s="6">
        <f>$J$3+[30]FormattedData!L23*$J$4+$M$4*$J$5+[30]FormattedData!L23^2*$J$6+$M$5*$J$7</f>
        <v>32.240727704613434</v>
      </c>
      <c r="T53" s="6">
        <f>$J$3+[30]FormattedData!M23*$J$4+$M$4*$J$5+[30]FormattedData!M23^2*$J$6+$M$5*$J$7</f>
        <v>32.817679677493757</v>
      </c>
      <c r="U53" s="6">
        <f>$J$3+[30]FormattedData!N23*$J$4+$M$4*$J$5+[30]FormattedData!N23^2*$J$6+$M$5*$J$7</f>
        <v>31.372446618982597</v>
      </c>
      <c r="V53" s="6">
        <f>$J$3+[30]FormattedData!O23*$J$4+$M$4*$J$5+[30]FormattedData!O23^2*$J$6+$M$5*$J$7</f>
        <v>30.403674346067099</v>
      </c>
      <c r="W53" s="5">
        <f t="shared" si="9"/>
        <v>32.275283053208462</v>
      </c>
      <c r="X53" s="4">
        <f t="shared" si="10"/>
        <v>0.46757526994203313</v>
      </c>
      <c r="Y53" s="3">
        <f t="shared" si="11"/>
        <v>30.403674346067099</v>
      </c>
      <c r="Z53" s="2">
        <f t="shared" si="12"/>
        <v>31.444930181732296</v>
      </c>
      <c r="AA53" s="3">
        <f t="shared" si="13"/>
        <v>31.75875087481776</v>
      </c>
      <c r="AB53" s="2">
        <f t="shared" si="14"/>
        <v>32.673568489887465</v>
      </c>
      <c r="AC53" s="2">
        <f t="shared" si="15"/>
        <v>36.813736801421427</v>
      </c>
      <c r="AD53" s="2">
        <f t="shared" si="16"/>
        <v>2.1846404629448433</v>
      </c>
      <c r="AE53" s="2">
        <f t="shared" si="17"/>
        <v>6.0334469211286876</v>
      </c>
    </row>
    <row r="54" spans="2:31" x14ac:dyDescent="0.2">
      <c r="B54" s="1">
        <f>[30]FormattedData!A21</f>
        <v>105</v>
      </c>
      <c r="C54" s="1" t="str">
        <f>VLOOKUP($B54,[30]TrtCodes!$B$11:I64,2)</f>
        <v>NDL</v>
      </c>
      <c r="D54" s="1">
        <f>VLOOKUP($B54,[30]TrtCodes!$B$11:J64,3)</f>
        <v>12</v>
      </c>
      <c r="E54" s="1">
        <f>VLOOKUP($B54,[30]TrtCodes!$B$11:K64,4)</f>
        <v>2</v>
      </c>
      <c r="F54" s="1">
        <f>VLOOKUP($B54,[30]TrtCodes!$B$11:L64,5)</f>
        <v>3</v>
      </c>
      <c r="G54" s="1">
        <f>VLOOKUP($B54,[30]TrtCodes!$B$11:M64,6)</f>
        <v>1</v>
      </c>
      <c r="H54" s="1">
        <f>VLOOKUP($B54,[30]TrtCodes!$B$11:N64,7)</f>
        <v>2</v>
      </c>
      <c r="I54" s="1">
        <f>[30]FormattedData!B21</f>
        <v>2</v>
      </c>
      <c r="J54" s="4">
        <f>[30]FormattedData!C21</f>
        <v>12.927</v>
      </c>
      <c r="K54" s="6">
        <f>$J$3+[30]FormattedData!D21*$J$4+$M$4*$J$5+[30]FormattedData!D21^2*$J$6+$M$5*$J$7</f>
        <v>31.758772009086726</v>
      </c>
      <c r="L54" s="6">
        <f>$J$3+[30]FormattedData!E21*$J$4+$M$4*$J$5+[30]FormattedData!E21^2*$J$6+$M$5*$J$7</f>
        <v>30.985444932271566</v>
      </c>
      <c r="M54" s="6">
        <f>$J$3+[30]FormattedData!F21*$J$4+$M$4*$J$5+[30]FormattedData!F21^2*$J$6+$M$5*$J$7</f>
        <v>31.082258756756225</v>
      </c>
      <c r="N54" s="6">
        <f>$J$3+[30]FormattedData!G21*$J$4+$M$4*$J$5+[30]FormattedData!G21^2*$J$6+$M$5*$J$7</f>
        <v>30.888588839248985</v>
      </c>
      <c r="O54" s="6">
        <f>$J$3+[30]FormattedData!H21*$J$4+$M$4*$J$5+[30]FormattedData!H21^2*$J$6+$M$5*$J$7</f>
        <v>32.144421102583948</v>
      </c>
      <c r="P54" s="6">
        <f>$J$3+[30]FormattedData!I21*$J$4+$M$4*$J$5+[30]FormattedData!I21^2*$J$6+$M$5*$J$7</f>
        <v>30.888588839248985</v>
      </c>
      <c r="Q54" s="6">
        <f>$J$3+[30]FormattedData!J21*$J$4+$M$4*$J$5+[30]FormattedData!J21^2*$J$6+$M$5*$J$7</f>
        <v>32.240727704613434</v>
      </c>
      <c r="R54" s="6">
        <f>$J$3+[30]FormattedData!K21*$J$4+$M$4*$J$5+[30]FormattedData!K21^2*$J$6+$M$5*$J$7</f>
        <v>31.662254064367588</v>
      </c>
      <c r="S54" s="6">
        <f>$J$3+[30]FormattedData!L21*$J$4+$M$4*$J$5+[30]FormattedData!L21^2*$J$6+$M$5*$J$7</f>
        <v>30.209412669028822</v>
      </c>
      <c r="T54" s="6">
        <f>$J$3+[30]FormattedData!M21*$J$4+$M$4*$J$5+[30]FormattedData!M21^2*$J$6+$M$5*$J$7</f>
        <v>32.144421102583948</v>
      </c>
      <c r="U54" s="6">
        <f>$J$3+[30]FormattedData!N21*$J$4+$M$4*$J$5+[30]FormattedData!N21^2*$J$6+$M$5*$J$7</f>
        <v>30.694749847590025</v>
      </c>
      <c r="V54" s="6">
        <f>$J$3+[30]FormattedData!O21*$J$4+$M$4*$J$5+[30]FormattedData!O21^2*$J$6+$M$5*$J$7</f>
        <v>30.694749847590025</v>
      </c>
      <c r="W54" s="5">
        <f t="shared" si="9"/>
        <v>31.282865809580851</v>
      </c>
      <c r="X54" s="4">
        <f t="shared" si="10"/>
        <v>0.1957145040262793</v>
      </c>
      <c r="Y54" s="3">
        <f t="shared" si="11"/>
        <v>30.209412669028822</v>
      </c>
      <c r="Z54" s="2">
        <f t="shared" si="12"/>
        <v>30.840129091334244</v>
      </c>
      <c r="AA54" s="3">
        <f t="shared" si="13"/>
        <v>31.033851844513897</v>
      </c>
      <c r="AB54" s="2">
        <f t="shared" si="14"/>
        <v>31.855184282461032</v>
      </c>
      <c r="AC54" s="2">
        <f t="shared" si="15"/>
        <v>32.240727704613434</v>
      </c>
      <c r="AD54" s="2">
        <f t="shared" si="16"/>
        <v>0.18186311652973361</v>
      </c>
      <c r="AE54" s="2">
        <f t="shared" si="17"/>
        <v>-1.31808620376815</v>
      </c>
    </row>
    <row r="55" spans="2:31" x14ac:dyDescent="0.2">
      <c r="B55" s="1">
        <f>[30]FormattedData!A19</f>
        <v>106</v>
      </c>
      <c r="C55" s="1" t="str">
        <f>VLOOKUP($B55,[30]TrtCodes!$B$11:I62,2)</f>
        <v>NTH</v>
      </c>
      <c r="D55" s="1">
        <f>VLOOKUP($B55,[30]TrtCodes!$B$11:J62,3)</f>
        <v>9</v>
      </c>
      <c r="E55" s="1">
        <f>VLOOKUP($B55,[30]TrtCodes!$B$11:K62,4)</f>
        <v>2</v>
      </c>
      <c r="F55" s="1">
        <f>VLOOKUP($B55,[30]TrtCodes!$B$11:L62,5)</f>
        <v>2</v>
      </c>
      <c r="G55" s="1">
        <f>VLOOKUP($B55,[30]TrtCodes!$B$11:M62,6)</f>
        <v>2</v>
      </c>
      <c r="H55" s="1">
        <f>VLOOKUP($B55,[30]TrtCodes!$B$11:N62,7)</f>
        <v>2</v>
      </c>
      <c r="I55" s="1">
        <f>[30]FormattedData!B19</f>
        <v>2</v>
      </c>
      <c r="J55" s="4">
        <f>[30]FormattedData!C19</f>
        <v>12.912000000000001</v>
      </c>
      <c r="K55" s="6">
        <f>$J$3+[30]FormattedData!D19*$J$4+$M$4*$J$5+[30]FormattedData!D19^2*$J$6+$M$5*$J$7</f>
        <v>32.144421102583948</v>
      </c>
      <c r="L55" s="6">
        <f>$J$3+[30]FormattedData!E19*$J$4+$M$4*$J$5+[30]FormattedData!E19^2*$J$6+$M$5*$J$7</f>
        <v>32.625531427352037</v>
      </c>
      <c r="M55" s="6">
        <f>$J$3+[30]FormattedData!F19*$J$4+$M$4*$J$5+[30]FormattedData!F19^2*$J$6+$M$5*$J$7</f>
        <v>33.009658853483742</v>
      </c>
      <c r="N55" s="6">
        <f>$J$3+[30]FormattedData!G19*$J$4+$M$4*$J$5+[30]FormattedData!G19^2*$J$6+$M$5*$J$7</f>
        <v>32.913690399757719</v>
      </c>
      <c r="O55" s="6">
        <f>$J$3+[30]FormattedData!H19*$J$4+$M$4*$J$5+[30]FormattedData!H19^2*$J$6+$M$5*$J$7</f>
        <v>32.721626686691863</v>
      </c>
      <c r="P55" s="6">
        <f>$J$3+[30]FormattedData!I19*$J$4+$M$4*$J$5+[30]FormattedData!I19^2*$J$6+$M$5*$J$7</f>
        <v>33.297310603434255</v>
      </c>
      <c r="Q55" s="6">
        <f>$J$3+[30]FormattedData!J19*$J$4+$M$4*$J$5+[30]FormattedData!J19^2*$J$6+$M$5*$J$7</f>
        <v>33.201468955322014</v>
      </c>
      <c r="R55" s="6">
        <f>$J$3+[30]FormattedData!K19*$J$4+$M$4*$J$5+[30]FormattedData!K19^2*$J$6+$M$5*$J$7</f>
        <v>30.888588839248985</v>
      </c>
      <c r="S55" s="6">
        <f>$J$3+[30]FormattedData!L19*$J$4+$M$4*$J$5+[30]FormattedData!L19^2*$J$6+$M$5*$J$7</f>
        <v>32.144421102583948</v>
      </c>
      <c r="T55" s="6">
        <f>$J$3+[30]FormattedData!M19*$J$4+$M$4*$J$5+[30]FormattedData!M19^2*$J$6+$M$5*$J$7</f>
        <v>34.444113434822462</v>
      </c>
      <c r="U55" s="6">
        <f>$J$3+[30]FormattedData!N19*$J$4+$M$4*$J$5+[30]FormattedData!N19^2*$J$6+$M$5*$J$7</f>
        <v>32.240727704613434</v>
      </c>
      <c r="V55" s="6">
        <f>$J$3+[30]FormattedData!O19*$J$4+$M$4*$J$5+[30]FormattedData!O19^2*$J$6+$M$5*$J$7</f>
        <v>33.105585038671848</v>
      </c>
      <c r="W55" s="5">
        <f t="shared" si="9"/>
        <v>32.728095345713854</v>
      </c>
      <c r="X55" s="4">
        <f t="shared" si="10"/>
        <v>0.24713897018850295</v>
      </c>
      <c r="Y55" s="3">
        <f t="shared" si="11"/>
        <v>30.888588839248985</v>
      </c>
      <c r="Z55" s="2">
        <f t="shared" si="12"/>
        <v>32.216651054106066</v>
      </c>
      <c r="AA55" s="3">
        <f t="shared" si="13"/>
        <v>32.817658543224795</v>
      </c>
      <c r="AB55" s="2">
        <f t="shared" si="14"/>
        <v>33.129556017834389</v>
      </c>
      <c r="AC55" s="2">
        <f t="shared" si="15"/>
        <v>34.444113434822462</v>
      </c>
      <c r="AD55" s="2">
        <f t="shared" si="16"/>
        <v>-0.22824382643471686</v>
      </c>
      <c r="AE55" s="2">
        <f t="shared" si="17"/>
        <v>2.0072819164826168</v>
      </c>
    </row>
    <row r="56" spans="2:31" x14ac:dyDescent="0.2">
      <c r="B56" s="1">
        <f>[30]FormattedData!A17</f>
        <v>107</v>
      </c>
      <c r="C56" s="1" t="str">
        <f>VLOOKUP($B56,[30]TrtCodes!$B$11:I60,2)</f>
        <v>NTL</v>
      </c>
      <c r="D56" s="1">
        <f>VLOOKUP($B56,[30]TrtCodes!$B$11:J60,3)</f>
        <v>10</v>
      </c>
      <c r="E56" s="1">
        <f>VLOOKUP($B56,[30]TrtCodes!$B$11:K60,4)</f>
        <v>2</v>
      </c>
      <c r="F56" s="1">
        <f>VLOOKUP($B56,[30]TrtCodes!$B$11:L60,5)</f>
        <v>2</v>
      </c>
      <c r="G56" s="1">
        <f>VLOOKUP($B56,[30]TrtCodes!$B$11:M60,6)</f>
        <v>1</v>
      </c>
      <c r="H56" s="1">
        <f>VLOOKUP($B56,[30]TrtCodes!$B$11:N60,7)</f>
        <v>2</v>
      </c>
      <c r="I56" s="1">
        <f>[30]FormattedData!B17</f>
        <v>2</v>
      </c>
      <c r="J56" s="4">
        <f>[30]FormattedData!C17</f>
        <v>12.896000000000001</v>
      </c>
      <c r="K56" s="6">
        <f>$J$3+[30]FormattedData!D17*$J$4+$M$4*$J$5+[30]FormattedData!D17^2*$J$6+$M$5*$J$7</f>
        <v>33.680254510503886</v>
      </c>
      <c r="L56" s="6">
        <f>$J$3+[30]FormattedData!E17*$J$4+$M$4*$J$5+[30]FormattedData!E17^2*$J$6+$M$5*$J$7</f>
        <v>32.817679677493757</v>
      </c>
      <c r="M56" s="6">
        <f>$J$3+[30]FormattedData!F17*$J$4+$M$4*$J$5+[30]FormattedData!F17^2*$J$6+$M$5*$J$7</f>
        <v>33.58458193654338</v>
      </c>
      <c r="N56" s="6">
        <f>$J$3+[30]FormattedData!G17*$J$4+$M$4*$J$5+[30]FormattedData!G17^2*$J$6+$M$5*$J$7</f>
        <v>34.348779009165412</v>
      </c>
      <c r="O56" s="6">
        <f>$J$3+[30]FormattedData!H17*$J$4+$M$4*$J$5+[30]FormattedData!H17^2*$J$6+$M$5*$J$7</f>
        <v>32.336992038104988</v>
      </c>
      <c r="P56" s="6">
        <f>$J$3+[30]FormattedData!I17*$J$4+$M$4*$J$5+[30]FormattedData!I17^2*$J$6+$M$5*$J$7</f>
        <v>31.469091369315528</v>
      </c>
      <c r="Q56" s="6">
        <f>$J$3+[30]FormattedData!J17*$J$4+$M$4*$J$5+[30]FormattedData!J17^2*$J$6+$M$5*$J$7</f>
        <v>31.758772009086726</v>
      </c>
      <c r="R56" s="6">
        <f>$J$3+[30]FormattedData!K17*$J$4+$M$4*$J$5+[30]FormattedData!K17^2*$J$6+$M$5*$J$7</f>
        <v>32.625531427352037</v>
      </c>
      <c r="S56" s="6">
        <f>$J$3+[30]FormattedData!L17*$J$4+$M$4*$J$5+[30]FormattedData!L17^2*$J$6+$M$5*$J$7</f>
        <v>37.002165420225204</v>
      </c>
      <c r="T56" s="6">
        <f>$J$3+[30]FormattedData!M17*$J$4+$M$4*$J$5+[30]FormattedData!M17^2*$J$6+$M$5*$J$7</f>
        <v>33.58458193654338</v>
      </c>
      <c r="U56" s="6">
        <f>$J$3+[30]FormattedData!N17*$J$4+$M$4*$J$5+[30]FormattedData!N17^2*$J$6+$M$5*$J$7</f>
        <v>33.009658853483742</v>
      </c>
      <c r="V56" s="6">
        <f>$J$3+[30]FormattedData!O17*$J$4+$M$4*$J$5+[30]FormattedData!O17^2*$J$6+$M$5*$J$7</f>
        <v>32.433214103058603</v>
      </c>
      <c r="W56" s="5">
        <f t="shared" si="9"/>
        <v>33.22094185757306</v>
      </c>
      <c r="X56" s="4">
        <f t="shared" si="10"/>
        <v>0.41937617967312008</v>
      </c>
      <c r="Y56" s="3">
        <f t="shared" si="11"/>
        <v>31.469091369315528</v>
      </c>
      <c r="Z56" s="2">
        <f t="shared" si="12"/>
        <v>32.409158586820197</v>
      </c>
      <c r="AA56" s="3">
        <f t="shared" si="13"/>
        <v>32.91366926548875</v>
      </c>
      <c r="AB56" s="2">
        <f t="shared" si="14"/>
        <v>33.608500080033508</v>
      </c>
      <c r="AC56" s="2">
        <f t="shared" si="15"/>
        <v>37.002165420225204</v>
      </c>
      <c r="AD56" s="2">
        <f t="shared" si="16"/>
        <v>1.6267978715298941</v>
      </c>
      <c r="AE56" s="2">
        <f t="shared" si="17"/>
        <v>3.7939984063093402</v>
      </c>
    </row>
    <row r="57" spans="2:31" x14ac:dyDescent="0.2">
      <c r="B57" s="1">
        <f>[30]FormattedData!A15</f>
        <v>108</v>
      </c>
      <c r="C57" s="1" t="str">
        <f>VLOOKUP($B57,[30]TrtCodes!$B$11:I58,2)</f>
        <v>FTH</v>
      </c>
      <c r="D57" s="1">
        <f>VLOOKUP($B57,[30]TrtCodes!$B$11:J58,3)</f>
        <v>3</v>
      </c>
      <c r="E57" s="1">
        <f>VLOOKUP($B57,[30]TrtCodes!$B$11:K58,4)</f>
        <v>1</v>
      </c>
      <c r="F57" s="1">
        <f>VLOOKUP($B57,[30]TrtCodes!$B$11:L58,5)</f>
        <v>2</v>
      </c>
      <c r="G57" s="1">
        <f>VLOOKUP($B57,[30]TrtCodes!$B$11:M58,6)</f>
        <v>2</v>
      </c>
      <c r="H57" s="1">
        <f>VLOOKUP($B57,[30]TrtCodes!$B$11:N58,7)</f>
        <v>2</v>
      </c>
      <c r="I57" s="1">
        <f>[30]FormattedData!B15</f>
        <v>2</v>
      </c>
      <c r="J57" s="4">
        <f>[30]FormattedData!C15</f>
        <v>12.878</v>
      </c>
      <c r="K57" s="6">
        <f>$J$3+[30]FormattedData!D15*$J$4+$M$4*$J$5+[30]FormattedData!D15^2*$J$6+$M$5*$J$7</f>
        <v>33.105585038671848</v>
      </c>
      <c r="L57" s="6">
        <f>$J$3+[30]FormattedData!E15*$J$4+$M$4*$J$5+[30]FormattedData!E15^2*$J$6+$M$5*$J$7</f>
        <v>32.336992038104988</v>
      </c>
      <c r="M57" s="6">
        <f>$J$3+[30]FormattedData!F15*$J$4+$M$4*$J$5+[30]FormattedData!F15^2*$J$6+$M$5*$J$7</f>
        <v>36.152905176663381</v>
      </c>
      <c r="N57" s="6">
        <f>$J$3+[30]FormattedData!G15*$J$4+$M$4*$J$5+[30]FormattedData!G15^2*$J$6+$M$5*$J$7</f>
        <v>35.490002393546703</v>
      </c>
      <c r="O57" s="6">
        <f>$J$3+[30]FormattedData!H15*$J$4+$M$4*$J$5+[30]FormattedData!H15^2*$J$6+$M$5*$J$7</f>
        <v>35.015232349468292</v>
      </c>
      <c r="P57" s="6">
        <f>$J$3+[30]FormattedData!I15*$J$4+$M$4*$J$5+[30]FormattedData!I15^2*$J$6+$M$5*$J$7</f>
        <v>34.729863100566071</v>
      </c>
      <c r="Q57" s="6">
        <f>$J$3+[30]FormattedData!J15*$J$4+$M$4*$J$5+[30]FormattedData!J15^2*$J$6+$M$5*$J$7</f>
        <v>34.348779009165412</v>
      </c>
      <c r="R57" s="6">
        <f>$J$3+[30]FormattedData!K15*$J$4+$M$4*$J$5+[30]FormattedData!K15^2*$J$6+$M$5*$J$7</f>
        <v>34.920151535038812</v>
      </c>
      <c r="S57" s="6">
        <f>$J$3+[30]FormattedData!L15*$J$4+$M$4*$J$5+[30]FormattedData!L15^2*$J$6+$M$5*$J$7</f>
        <v>32.625531427352037</v>
      </c>
      <c r="T57" s="6">
        <f>$J$3+[30]FormattedData!M15*$J$4+$M$4*$J$5+[30]FormattedData!M15^2*$J$6+$M$5*$J$7</f>
        <v>34.825028452071415</v>
      </c>
      <c r="U57" s="6">
        <f>$J$3+[30]FormattedData!N15*$J$4+$M$4*$J$5+[30]FormattedData!N15^2*$J$6+$M$5*$J$7</f>
        <v>33.775884815926474</v>
      </c>
      <c r="V57" s="6">
        <f>$J$3+[30]FormattedData!O15*$J$4+$M$4*$J$5+[30]FormattedData!O15^2*$J$6+$M$5*$J$7</f>
        <v>35.110270895359832</v>
      </c>
      <c r="W57" s="5">
        <f t="shared" si="9"/>
        <v>34.369685519327938</v>
      </c>
      <c r="X57" s="4">
        <f t="shared" si="10"/>
        <v>0.33895070072418321</v>
      </c>
      <c r="Y57" s="3">
        <f t="shared" si="11"/>
        <v>32.336992038104988</v>
      </c>
      <c r="Z57" s="2">
        <f t="shared" si="12"/>
        <v>33.608309871612818</v>
      </c>
      <c r="AA57" s="3">
        <f t="shared" si="13"/>
        <v>34.777445776318743</v>
      </c>
      <c r="AB57" s="2">
        <f t="shared" si="14"/>
        <v>35.03899198594118</v>
      </c>
      <c r="AC57" s="2">
        <f t="shared" si="15"/>
        <v>36.152905176663381</v>
      </c>
      <c r="AD57" s="2">
        <f t="shared" si="16"/>
        <v>-0.53066307663174661</v>
      </c>
      <c r="AE57" s="2">
        <f t="shared" si="17"/>
        <v>-0.60793792393701684</v>
      </c>
    </row>
    <row r="58" spans="2:31" x14ac:dyDescent="0.2">
      <c r="B58" s="1">
        <f>[30]FormattedData!A31</f>
        <v>201</v>
      </c>
      <c r="C58" s="1" t="str">
        <f>VLOOKUP($B58,[30]TrtCodes!$B$11:I74,2)</f>
        <v>NDL</v>
      </c>
      <c r="D58" s="1">
        <f>VLOOKUP($B58,[30]TrtCodes!$B$11:J74,3)</f>
        <v>12</v>
      </c>
      <c r="E58" s="1">
        <f>VLOOKUP($B58,[30]TrtCodes!$B$11:K74,4)</f>
        <v>2</v>
      </c>
      <c r="F58" s="1">
        <f>VLOOKUP($B58,[30]TrtCodes!$B$11:L74,5)</f>
        <v>3</v>
      </c>
      <c r="G58" s="1">
        <f>VLOOKUP($B58,[30]TrtCodes!$B$11:M74,6)</f>
        <v>1</v>
      </c>
      <c r="H58" s="1">
        <f>VLOOKUP($B58,[30]TrtCodes!$B$11:N74,7)</f>
        <v>1</v>
      </c>
      <c r="I58" s="1">
        <f>[30]FormattedData!B31</f>
        <v>2</v>
      </c>
      <c r="J58" s="4">
        <f>[30]FormattedData!C31</f>
        <v>13.01</v>
      </c>
      <c r="K58" s="6">
        <f>$J$3+[30]FormattedData!D31*$J$4+$M$4*$J$5+[30]FormattedData!D31^2*$J$6+$M$5*$J$7</f>
        <v>31.951681092911205</v>
      </c>
      <c r="L58" s="6">
        <f>$J$3+[30]FormattedData!E31*$J$4+$M$4*$J$5+[30]FormattedData!E31^2*$J$6+$M$5*$J$7</f>
        <v>31.275759600111741</v>
      </c>
      <c r="M58" s="6">
        <f>$J$3+[30]FormattedData!F31*$J$4+$M$4*$J$5+[30]FormattedData!F31^2*$J$6+$M$5*$J$7</f>
        <v>31.758772009086726</v>
      </c>
      <c r="N58" s="6">
        <f>$J$3+[30]FormattedData!G31*$J$4+$M$4*$J$5+[30]FormattedData!G31^2*$J$6+$M$5*$J$7</f>
        <v>31.372446618982597</v>
      </c>
      <c r="O58" s="6">
        <f>$J$3+[30]FormattedData!H31*$J$4+$M$4*$J$5+[30]FormattedData!H31^2*$J$6+$M$5*$J$7</f>
        <v>33.009658853483742</v>
      </c>
      <c r="P58" s="6">
        <f>$J$3+[30]FormattedData!I31*$J$4+$M$4*$J$5+[30]FormattedData!I31^2*$J$6+$M$5*$J$7</f>
        <v>32.144421102583948</v>
      </c>
      <c r="Q58" s="6">
        <f>$J$3+[30]FormattedData!J31*$J$4+$M$4*$J$5+[30]FormattedData!J31^2*$J$6+$M$5*$J$7</f>
        <v>32.336992038104988</v>
      </c>
      <c r="R58" s="6">
        <f>$J$3+[30]FormattedData!K31*$J$4+$M$4*$J$5+[30]FormattedData!K31^2*$J$6+$M$5*$J$7</f>
        <v>33.58458193654338</v>
      </c>
      <c r="S58" s="6">
        <f>$J$3+[30]FormattedData!L31*$J$4+$M$4*$J$5+[30]FormattedData!L31^2*$J$6+$M$5*$J$7</f>
        <v>32.048072232016544</v>
      </c>
      <c r="T58" s="6">
        <f>$J$3+[30]FormattedData!M31*$J$4+$M$4*$J$5+[30]FormattedData!M31^2*$J$6+$M$5*$J$7</f>
        <v>31.469091369315528</v>
      </c>
      <c r="U58" s="6">
        <f>$J$3+[30]FormattedData!N31*$J$4+$M$4*$J$5+[30]FormattedData!N31^2*$J$6+$M$5*$J$7</f>
        <v>30.888588839248985</v>
      </c>
      <c r="V58" s="6">
        <f>$J$3+[30]FormattedData!O31*$J$4+$M$4*$J$5+[30]FormattedData!O31^2*$J$6+$M$5*$J$7</f>
        <v>37.002165420225204</v>
      </c>
      <c r="W58" s="5">
        <f t="shared" si="9"/>
        <v>32.403519259384552</v>
      </c>
      <c r="X58" s="4">
        <f t="shared" si="10"/>
        <v>0.47057943108476724</v>
      </c>
      <c r="Y58" s="3">
        <f t="shared" si="11"/>
        <v>30.888588839248985</v>
      </c>
      <c r="Z58" s="2">
        <f t="shared" si="12"/>
        <v>31.444930181732296</v>
      </c>
      <c r="AA58" s="3">
        <f t="shared" si="13"/>
        <v>31.999876662463876</v>
      </c>
      <c r="AB58" s="2">
        <f t="shared" si="14"/>
        <v>32.505158741949678</v>
      </c>
      <c r="AC58" s="2">
        <f t="shared" si="15"/>
        <v>37.002165420225204</v>
      </c>
      <c r="AD58" s="2">
        <f t="shared" si="16"/>
        <v>2.313724170710429</v>
      </c>
      <c r="AE58" s="2">
        <f t="shared" si="17"/>
        <v>6.1938519904776772</v>
      </c>
    </row>
    <row r="59" spans="2:31" x14ac:dyDescent="0.2">
      <c r="B59" s="1">
        <f>[30]FormattedData!A33</f>
        <v>202</v>
      </c>
      <c r="C59" s="1" t="str">
        <f>VLOOKUP($B59,[30]TrtCodes!$B$11:I76,2)</f>
        <v>NTH</v>
      </c>
      <c r="D59" s="1">
        <f>VLOOKUP($B59,[30]TrtCodes!$B$11:J76,3)</f>
        <v>9</v>
      </c>
      <c r="E59" s="1">
        <f>VLOOKUP($B59,[30]TrtCodes!$B$11:K76,4)</f>
        <v>2</v>
      </c>
      <c r="F59" s="1">
        <f>VLOOKUP($B59,[30]TrtCodes!$B$11:L76,5)</f>
        <v>2</v>
      </c>
      <c r="G59" s="1">
        <f>VLOOKUP($B59,[30]TrtCodes!$B$11:M76,6)</f>
        <v>2</v>
      </c>
      <c r="H59" s="1">
        <f>VLOOKUP($B59,[30]TrtCodes!$B$11:N76,7)</f>
        <v>1</v>
      </c>
      <c r="I59" s="1">
        <f>[30]FormattedData!B33</f>
        <v>2</v>
      </c>
      <c r="J59" s="4">
        <f>[30]FormattedData!C33</f>
        <v>13.023999999999999</v>
      </c>
      <c r="K59" s="6">
        <f>$J$3+[30]FormattedData!D33*$J$4+$M$4*$J$5+[30]FormattedData!D33^2*$J$6+$M$5*$J$7</f>
        <v>32.144421102583948</v>
      </c>
      <c r="L59" s="6">
        <f>$J$3+[30]FormattedData!E33*$J$4+$M$4*$J$5+[30]FormattedData!E33^2*$J$6+$M$5*$J$7</f>
        <v>33.009658853483742</v>
      </c>
      <c r="M59" s="6">
        <f>$J$3+[30]FormattedData!F33*$J$4+$M$4*$J$5+[30]FormattedData!F33^2*$J$6+$M$5*$J$7</f>
        <v>32.817679677493757</v>
      </c>
      <c r="N59" s="6">
        <f>$J$3+[30]FormattedData!G33*$J$4+$M$4*$J$5+[30]FormattedData!G33^2*$J$6+$M$5*$J$7</f>
        <v>33.009658853483742</v>
      </c>
      <c r="O59" s="6">
        <f>$J$3+[30]FormattedData!H33*$J$4+$M$4*$J$5+[30]FormattedData!H33^2*$J$6+$M$5*$J$7</f>
        <v>31.372446618982597</v>
      </c>
      <c r="P59" s="6">
        <f>$J$3+[30]FormattedData!I33*$J$4+$M$4*$J$5+[30]FormattedData!I33^2*$J$6+$M$5*$J$7</f>
        <v>33.105585038671848</v>
      </c>
      <c r="Q59" s="6">
        <f>$J$3+[30]FormattedData!J33*$J$4+$M$4*$J$5+[30]FormattedData!J33^2*$J$6+$M$5*$J$7</f>
        <v>31.951681092911205</v>
      </c>
      <c r="R59" s="6">
        <f>$J$3+[30]FormattedData!K33*$J$4+$M$4*$J$5+[30]FormattedData!K33^2*$J$6+$M$5*$J$7</f>
        <v>32.913690399757719</v>
      </c>
      <c r="S59" s="6">
        <f>$J$3+[30]FormattedData!L33*$J$4+$M$4*$J$5+[30]FormattedData!L33^2*$J$6+$M$5*$J$7</f>
        <v>32.721626686691863</v>
      </c>
      <c r="T59" s="6">
        <f>$J$3+[30]FormattedData!M33*$J$4+$M$4*$J$5+[30]FormattedData!M33^2*$J$6+$M$5*$J$7</f>
        <v>32.048072232016544</v>
      </c>
      <c r="U59" s="6">
        <f>$J$3+[30]FormattedData!N33*$J$4+$M$4*$J$5+[30]FormattedData!N33^2*$J$6+$M$5*$J$7</f>
        <v>32.817679677493757</v>
      </c>
      <c r="V59" s="6">
        <f>$J$3+[30]FormattedData!O33*$J$4+$M$4*$J$5+[30]FormattedData!O33^2*$J$6+$M$5*$J$7</f>
        <v>34.253402314970408</v>
      </c>
      <c r="W59" s="5">
        <f t="shared" si="9"/>
        <v>32.680466879045092</v>
      </c>
      <c r="X59" s="4">
        <f t="shared" si="10"/>
        <v>0.21132055713679498</v>
      </c>
      <c r="Y59" s="3">
        <f t="shared" si="11"/>
        <v>31.372446618982597</v>
      </c>
      <c r="Z59" s="2">
        <f t="shared" si="12"/>
        <v>32.120333884942099</v>
      </c>
      <c r="AA59" s="3">
        <f t="shared" si="13"/>
        <v>32.817679677493757</v>
      </c>
      <c r="AB59" s="2">
        <f t="shared" si="14"/>
        <v>33.009658853483742</v>
      </c>
      <c r="AC59" s="2">
        <f t="shared" si="15"/>
        <v>34.253402314970408</v>
      </c>
      <c r="AD59" s="2">
        <f t="shared" si="16"/>
        <v>0.28527067682321849</v>
      </c>
      <c r="AE59" s="2">
        <f t="shared" si="17"/>
        <v>1.2525746997734659</v>
      </c>
    </row>
    <row r="60" spans="2:31" x14ac:dyDescent="0.2">
      <c r="B60" s="1">
        <f>[30]FormattedData!A35</f>
        <v>203</v>
      </c>
      <c r="C60" s="1" t="str">
        <f>VLOOKUP($B60,[30]TrtCodes!$B$11:I78,2)</f>
        <v>FTH</v>
      </c>
      <c r="D60" s="1">
        <f>VLOOKUP($B60,[30]TrtCodes!$B$11:J78,3)</f>
        <v>3</v>
      </c>
      <c r="E60" s="1">
        <f>VLOOKUP($B60,[30]TrtCodes!$B$11:K78,4)</f>
        <v>1</v>
      </c>
      <c r="F60" s="1">
        <f>VLOOKUP($B60,[30]TrtCodes!$B$11:L78,5)</f>
        <v>2</v>
      </c>
      <c r="G60" s="1">
        <f>VLOOKUP($B60,[30]TrtCodes!$B$11:M78,6)</f>
        <v>2</v>
      </c>
      <c r="H60" s="1">
        <f>VLOOKUP($B60,[30]TrtCodes!$B$11:N78,7)</f>
        <v>1</v>
      </c>
      <c r="I60" s="1">
        <f>[30]FormattedData!B35</f>
        <v>2</v>
      </c>
      <c r="J60" s="4">
        <f>[30]FormattedData!C35</f>
        <v>13.05</v>
      </c>
      <c r="K60" s="6">
        <f>$J$3+[30]FormattedData!D35*$J$4+$M$4*$J$5+[30]FormattedData!D35^2*$J$6+$M$5*$J$7</f>
        <v>31.662254064367588</v>
      </c>
      <c r="L60" s="6">
        <f>$J$3+[30]FormattedData!E35*$J$4+$M$4*$J$5+[30]FormattedData!E35^2*$J$6+$M$5*$J$7</f>
        <v>32.144421102583948</v>
      </c>
      <c r="M60" s="6">
        <f>$J$3+[30]FormattedData!F35*$J$4+$M$4*$J$5+[30]FormattedData!F35^2*$J$6+$M$5*$J$7</f>
        <v>31.372446618982597</v>
      </c>
      <c r="N60" s="6">
        <f>$J$3+[30]FormattedData!G35*$J$4+$M$4*$J$5+[30]FormattedData!G35^2*$J$6+$M$5*$J$7</f>
        <v>33.201468955322014</v>
      </c>
      <c r="O60" s="6">
        <f>$J$3+[30]FormattedData!H35*$J$4+$M$4*$J$5+[30]FormattedData!H35^2*$J$6+$M$5*$J$7</f>
        <v>32.048072232016544</v>
      </c>
      <c r="P60" s="6">
        <f>$J$3+[30]FormattedData!I35*$J$4+$M$4*$J$5+[30]FormattedData!I35^2*$J$6+$M$5*$J$7</f>
        <v>32.817679677493757</v>
      </c>
      <c r="Q60" s="6">
        <f>$J$3+[30]FormattedData!J35*$J$4+$M$4*$J$5+[30]FormattedData!J35^2*$J$6+$M$5*$J$7</f>
        <v>31.758772009086726</v>
      </c>
      <c r="R60" s="6">
        <f>$J$3+[30]FormattedData!K35*$J$4+$M$4*$J$5+[30]FormattedData!K35^2*$J$6+$M$5*$J$7</f>
        <v>32.048072232016544</v>
      </c>
      <c r="S60" s="6">
        <f>$J$3+[30]FormattedData!L35*$J$4+$M$4*$J$5+[30]FormattedData!L35^2*$J$6+$M$5*$J$7</f>
        <v>32.913690399757719</v>
      </c>
      <c r="T60" s="6">
        <f>$J$3+[30]FormattedData!M35*$J$4+$M$4*$J$5+[30]FormattedData!M35^2*$J$6+$M$5*$J$7</f>
        <v>32.913690399757719</v>
      </c>
      <c r="U60" s="6">
        <f>$J$3+[30]FormattedData!N35*$J$4+$M$4*$J$5+[30]FormattedData!N35^2*$J$6+$M$5*$J$7</f>
        <v>33.58458193654338</v>
      </c>
      <c r="V60" s="6">
        <f>$J$3+[30]FormattedData!O35*$J$4+$M$4*$J$5+[30]FormattedData!O35^2*$J$6+$M$5*$J$7</f>
        <v>32.529393899474286</v>
      </c>
      <c r="W60" s="5">
        <f t="shared" si="9"/>
        <v>32.416211960616899</v>
      </c>
      <c r="X60" s="4">
        <f t="shared" si="10"/>
        <v>0.19628602544882148</v>
      </c>
      <c r="Y60" s="3">
        <f t="shared" si="11"/>
        <v>31.372446618982597</v>
      </c>
      <c r="Z60" s="2">
        <f t="shared" si="12"/>
        <v>31.975747176284088</v>
      </c>
      <c r="AA60" s="3">
        <f t="shared" si="13"/>
        <v>32.336907501029117</v>
      </c>
      <c r="AB60" s="2">
        <f t="shared" si="14"/>
        <v>32.913690399757719</v>
      </c>
      <c r="AC60" s="2">
        <f t="shared" si="15"/>
        <v>33.58458193654338</v>
      </c>
      <c r="AD60" s="2">
        <f t="shared" si="16"/>
        <v>0.14636829771000295</v>
      </c>
      <c r="AE60" s="2">
        <f t="shared" si="17"/>
        <v>-0.98779191977144398</v>
      </c>
    </row>
    <row r="61" spans="2:31" x14ac:dyDescent="0.2">
      <c r="B61" s="1">
        <f>[30]FormattedData!A37</f>
        <v>204</v>
      </c>
      <c r="C61" s="1" t="str">
        <f>VLOOKUP($B61,[30]TrtCodes!$B$11:I80,2)</f>
        <v>NDH</v>
      </c>
      <c r="D61" s="1">
        <f>VLOOKUP($B61,[30]TrtCodes!$B$11:J80,3)</f>
        <v>11</v>
      </c>
      <c r="E61" s="1">
        <f>VLOOKUP($B61,[30]TrtCodes!$B$11:K80,4)</f>
        <v>2</v>
      </c>
      <c r="F61" s="1">
        <f>VLOOKUP($B61,[30]TrtCodes!$B$11:L80,5)</f>
        <v>3</v>
      </c>
      <c r="G61" s="1">
        <f>VLOOKUP($B61,[30]TrtCodes!$B$11:M80,6)</f>
        <v>2</v>
      </c>
      <c r="H61" s="1">
        <f>VLOOKUP($B61,[30]TrtCodes!$B$11:N80,7)</f>
        <v>1</v>
      </c>
      <c r="I61" s="1">
        <f>[30]FormattedData!B37</f>
        <v>2</v>
      </c>
      <c r="J61" s="4">
        <f>[30]FormattedData!C37</f>
        <v>13.067</v>
      </c>
      <c r="K61" s="6">
        <f>$J$3+[30]FormattedData!D37*$J$4+$M$4*$J$5+[30]FormattedData!D37^2*$J$6+$M$5*$J$7</f>
        <v>33.105585038671848</v>
      </c>
      <c r="L61" s="6">
        <f>$J$3+[30]FormattedData!E37*$J$4+$M$4*$J$5+[30]FormattedData!E37^2*$J$6+$M$5*$J$7</f>
        <v>32.336992038104988</v>
      </c>
      <c r="M61" s="6">
        <f>$J$3+[30]FormattedData!F37*$J$4+$M$4*$J$5+[30]FormattedData!F37^2*$J$6+$M$5*$J$7</f>
        <v>34.062522120966626</v>
      </c>
      <c r="N61" s="6">
        <f>$J$3+[30]FormattedData!G37*$J$4+$M$4*$J$5+[30]FormattedData!G37^2*$J$6+$M$5*$J$7</f>
        <v>32.144421102583948</v>
      </c>
      <c r="O61" s="6">
        <f>$J$3+[30]FormattedData!H37*$J$4+$M$4*$J$5+[30]FormattedData!H37^2*$J$6+$M$5*$J$7</f>
        <v>33.871472852811124</v>
      </c>
      <c r="P61" s="6">
        <f>$J$3+[30]FormattedData!I37*$J$4+$M$4*$J$5+[30]FormattedData!I37^2*$J$6+$M$5*$J$7</f>
        <v>31.758772009086726</v>
      </c>
      <c r="Q61" s="6">
        <f>$J$3+[30]FormattedData!J37*$J$4+$M$4*$J$5+[30]FormattedData!J37^2*$J$6+$M$5*$J$7</f>
        <v>33.297310603434255</v>
      </c>
      <c r="R61" s="6">
        <f>$J$3+[30]FormattedData!K37*$J$4+$M$4*$J$5+[30]FormattedData!K37^2*$J$6+$M$5*$J$7</f>
        <v>32.529393899474286</v>
      </c>
      <c r="S61" s="6">
        <f>$J$3+[30]FormattedData!L37*$J$4+$M$4*$J$5+[30]FormattedData!L37^2*$J$6+$M$5*$J$7</f>
        <v>32.144421102583948</v>
      </c>
      <c r="T61" s="6">
        <f>$J$3+[30]FormattedData!M37*$J$4+$M$4*$J$5+[30]FormattedData!M37^2*$J$6+$M$5*$J$7</f>
        <v>33.105585038671848</v>
      </c>
      <c r="U61" s="6">
        <f>$J$3+[30]FormattedData!N37*$J$4+$M$4*$J$5+[30]FormattedData!N37^2*$J$6+$M$5*$J$7</f>
        <v>33.680254510503886</v>
      </c>
      <c r="V61" s="6">
        <f>$J$3+[30]FormattedData!O37*$J$4+$M$4*$J$5+[30]FormattedData!O37^2*$J$6+$M$5*$J$7</f>
        <v>33.201468955322014</v>
      </c>
      <c r="W61" s="5">
        <f t="shared" si="9"/>
        <v>32.936516606017953</v>
      </c>
      <c r="X61" s="4">
        <f t="shared" si="10"/>
        <v>0.21531881777345144</v>
      </c>
      <c r="Y61" s="3">
        <f t="shared" si="11"/>
        <v>31.758772009086726</v>
      </c>
      <c r="Z61" s="2">
        <f t="shared" si="12"/>
        <v>32.288849304224726</v>
      </c>
      <c r="AA61" s="3">
        <f t="shared" si="13"/>
        <v>33.105585038671848</v>
      </c>
      <c r="AB61" s="2">
        <f t="shared" si="14"/>
        <v>33.393046580201663</v>
      </c>
      <c r="AC61" s="2">
        <f t="shared" si="15"/>
        <v>34.062522120966626</v>
      </c>
      <c r="AD61" s="2">
        <f t="shared" si="16"/>
        <v>-4.7051810122834541E-2</v>
      </c>
      <c r="AE61" s="2">
        <f t="shared" si="17"/>
        <v>-1.1981291725901762</v>
      </c>
    </row>
    <row r="62" spans="2:31" x14ac:dyDescent="0.2">
      <c r="B62" s="1">
        <f>[30]FormattedData!A39</f>
        <v>205</v>
      </c>
      <c r="C62" s="1" t="str">
        <f>VLOOKUP($B62,[30]TrtCodes!$B$11:I82,2)</f>
        <v>FSH</v>
      </c>
      <c r="D62" s="1">
        <f>VLOOKUP($B62,[30]TrtCodes!$B$11:J82,3)</f>
        <v>1</v>
      </c>
      <c r="E62" s="1">
        <f>VLOOKUP($B62,[30]TrtCodes!$B$11:K82,4)</f>
        <v>1</v>
      </c>
      <c r="F62" s="1">
        <f>VLOOKUP($B62,[30]TrtCodes!$B$11:L82,5)</f>
        <v>1</v>
      </c>
      <c r="G62" s="1">
        <f>VLOOKUP($B62,[30]TrtCodes!$B$11:M82,6)</f>
        <v>2</v>
      </c>
      <c r="H62" s="1">
        <f>VLOOKUP($B62,[30]TrtCodes!$B$11:N82,7)</f>
        <v>2</v>
      </c>
      <c r="I62" s="1">
        <f>[30]FormattedData!B39</f>
        <v>2</v>
      </c>
      <c r="J62" s="4">
        <f>[30]FormattedData!C39</f>
        <v>13.087999999999999</v>
      </c>
      <c r="K62" s="6">
        <f>$J$3+[30]FormattedData!D39*$J$4+$M$4*$J$5+[30]FormattedData!D39^2*$J$6+$M$5*$J$7</f>
        <v>31.662254064367588</v>
      </c>
      <c r="L62" s="6">
        <f>$J$3+[30]FormattedData!E39*$J$4+$M$4*$J$5+[30]FormattedData!E39^2*$J$6+$M$5*$J$7</f>
        <v>32.721626686691863</v>
      </c>
      <c r="M62" s="6">
        <f>$J$3+[30]FormattedData!F39*$J$4+$M$4*$J$5+[30]FormattedData!F39^2*$J$6+$M$5*$J$7</f>
        <v>32.721626686691863</v>
      </c>
      <c r="N62" s="6">
        <f>$J$3+[30]FormattedData!G39*$J$4+$M$4*$J$5+[30]FormattedData!G39^2*$J$6+$M$5*$J$7</f>
        <v>32.913690399757719</v>
      </c>
      <c r="O62" s="6">
        <f>$J$3+[30]FormattedData!H39*$J$4+$M$4*$J$5+[30]FormattedData!H39^2*$J$6+$M$5*$J$7</f>
        <v>33.775884815926474</v>
      </c>
      <c r="P62" s="6">
        <f>$J$3+[30]FormattedData!I39*$J$4+$M$4*$J$5+[30]FormattedData!I39^2*$J$6+$M$5*$J$7</f>
        <v>31.758772009086726</v>
      </c>
      <c r="Q62" s="6">
        <f>$J$3+[30]FormattedData!J39*$J$4+$M$4*$J$5+[30]FormattedData!J39^2*$J$6+$M$5*$J$7</f>
        <v>31.662254064367588</v>
      </c>
      <c r="R62" s="6">
        <f>$J$3+[30]FormattedData!K39*$J$4+$M$4*$J$5+[30]FormattedData!K39^2*$J$6+$M$5*$J$7</f>
        <v>33.871472852811124</v>
      </c>
      <c r="S62" s="6">
        <f>$J$3+[30]FormattedData!L39*$J$4+$M$4*$J$5+[30]FormattedData!L39^2*$J$6+$M$5*$J$7</f>
        <v>33.488867094044927</v>
      </c>
      <c r="T62" s="6">
        <f>$J$3+[30]FormattedData!M39*$J$4+$M$4*$J$5+[30]FormattedData!M39^2*$J$6+$M$5*$J$7</f>
        <v>33.680254510503886</v>
      </c>
      <c r="U62" s="6">
        <f>$J$3+[30]FormattedData!N39*$J$4+$M$4*$J$5+[30]FormattedData!N39^2*$J$6+$M$5*$J$7</f>
        <v>32.529393899474286</v>
      </c>
      <c r="V62" s="6">
        <f>$J$3+[30]FormattedData!O39*$J$4+$M$4*$J$5+[30]FormattedData!O39^2*$J$6+$M$5*$J$7</f>
        <v>32.240727704613434</v>
      </c>
      <c r="W62" s="5">
        <f t="shared" si="9"/>
        <v>32.752235399028123</v>
      </c>
      <c r="X62" s="4">
        <f t="shared" si="10"/>
        <v>0.23687876355331675</v>
      </c>
      <c r="Y62" s="3">
        <f t="shared" si="11"/>
        <v>31.662254064367588</v>
      </c>
      <c r="Z62" s="2">
        <f t="shared" si="12"/>
        <v>32.120238780731754</v>
      </c>
      <c r="AA62" s="3">
        <f t="shared" si="13"/>
        <v>32.721626686691863</v>
      </c>
      <c r="AB62" s="2">
        <f t="shared" si="14"/>
        <v>33.536713948159665</v>
      </c>
      <c r="AC62" s="2">
        <f t="shared" si="15"/>
        <v>33.871472852811124</v>
      </c>
      <c r="AD62" s="2">
        <f t="shared" si="16"/>
        <v>-7.4129295731318505E-3</v>
      </c>
      <c r="AE62" s="2">
        <f t="shared" si="17"/>
        <v>-1.4016298733314665</v>
      </c>
    </row>
    <row r="63" spans="2:31" x14ac:dyDescent="0.2">
      <c r="B63" s="1">
        <f>[30]FormattedData!A41</f>
        <v>206</v>
      </c>
      <c r="C63" s="1" t="str">
        <f>VLOOKUP($B63,[30]TrtCodes!$B$11:I84,2)</f>
        <v>NSL</v>
      </c>
      <c r="D63" s="1">
        <f>VLOOKUP($B63,[30]TrtCodes!$B$11:J84,3)</f>
        <v>8</v>
      </c>
      <c r="E63" s="1">
        <f>VLOOKUP($B63,[30]TrtCodes!$B$11:K84,4)</f>
        <v>2</v>
      </c>
      <c r="F63" s="1">
        <f>VLOOKUP($B63,[30]TrtCodes!$B$11:L84,5)</f>
        <v>1</v>
      </c>
      <c r="G63" s="1">
        <f>VLOOKUP($B63,[30]TrtCodes!$B$11:M84,6)</f>
        <v>1</v>
      </c>
      <c r="H63" s="1">
        <f>VLOOKUP($B63,[30]TrtCodes!$B$11:N84,7)</f>
        <v>2</v>
      </c>
      <c r="I63" s="1">
        <f>[30]FormattedData!B41</f>
        <v>2</v>
      </c>
      <c r="J63" s="4">
        <f>[30]FormattedData!C41</f>
        <v>13.103</v>
      </c>
      <c r="K63" s="6">
        <f>$J$3+[30]FormattedData!D41*$J$4+$M$4*$J$5+[30]FormattedData!D41^2*$J$6+$M$5*$J$7</f>
        <v>30.888588839248985</v>
      </c>
      <c r="L63" s="6">
        <f>$J$3+[30]FormattedData!E41*$J$4+$M$4*$J$5+[30]FormattedData!E41^2*$J$6+$M$5*$J$7</f>
        <v>32.240727704613434</v>
      </c>
      <c r="M63" s="6">
        <f>$J$3+[30]FormattedData!F41*$J$4+$M$4*$J$5+[30]FormattedData!F41^2*$J$6+$M$5*$J$7</f>
        <v>32.433214103058603</v>
      </c>
      <c r="N63" s="6">
        <f>$J$3+[30]FormattedData!G41*$J$4+$M$4*$J$5+[30]FormattedData!G41^2*$J$6+$M$5*$J$7</f>
        <v>30.209412669028822</v>
      </c>
      <c r="O63" s="6">
        <f>$J$3+[30]FormattedData!H41*$J$4+$M$4*$J$5+[30]FormattedData!H41^2*$J$6+$M$5*$J$7</f>
        <v>30.014981917838824</v>
      </c>
      <c r="P63" s="6">
        <f>$J$3+[30]FormattedData!I41*$J$4+$M$4*$J$5+[30]FormattedData!I41^2*$J$6+$M$5*$J$7</f>
        <v>29.917703139436931</v>
      </c>
      <c r="Q63" s="6">
        <f>$J$3+[30]FormattedData!J41*$J$4+$M$4*$J$5+[30]FormattedData!J41^2*$J$6+$M$5*$J$7</f>
        <v>30.694749847590025</v>
      </c>
      <c r="R63" s="6">
        <f>$J$3+[30]FormattedData!K41*$J$4+$M$4*$J$5+[30]FormattedData!K41^2*$J$6+$M$5*$J$7</f>
        <v>30.597766948953648</v>
      </c>
      <c r="S63" s="6">
        <f>$J$3+[30]FormattedData!L41*$J$4+$M$4*$J$5+[30]FormattedData!L41^2*$J$6+$M$5*$J$7</f>
        <v>29.723018777019345</v>
      </c>
      <c r="T63" s="6">
        <f>$J$3+[30]FormattedData!M41*$J$4+$M$4*$J$5+[30]FormattedData!M41^2*$J$6+$M$5*$J$7</f>
        <v>30.403674346067099</v>
      </c>
      <c r="U63" s="6">
        <f>$J$3+[30]FormattedData!N41*$J$4+$M$4*$J$5+[30]FormattedData!N41^2*$J$6+$M$5*$J$7</f>
        <v>30.985444932271566</v>
      </c>
      <c r="V63" s="6">
        <f>$J$3+[30]FormattedData!O41*$J$4+$M$4*$J$5+[30]FormattedData!O41^2*$J$6+$M$5*$J$7</f>
        <v>30.403674346067099</v>
      </c>
      <c r="W63" s="5">
        <f t="shared" si="9"/>
        <v>30.709413130932859</v>
      </c>
      <c r="X63" s="4">
        <f t="shared" si="10"/>
        <v>0.24551056262426249</v>
      </c>
      <c r="Y63" s="3">
        <f t="shared" si="11"/>
        <v>29.723018777019345</v>
      </c>
      <c r="Z63" s="2">
        <f t="shared" si="12"/>
        <v>30.160804981231323</v>
      </c>
      <c r="AA63" s="3">
        <f t="shared" si="13"/>
        <v>30.500720647510374</v>
      </c>
      <c r="AB63" s="2">
        <f t="shared" si="14"/>
        <v>30.91280286250463</v>
      </c>
      <c r="AC63" s="2">
        <f t="shared" si="15"/>
        <v>32.433214103058603</v>
      </c>
      <c r="AD63" s="2">
        <f t="shared" si="16"/>
        <v>1.1997819179823226</v>
      </c>
      <c r="AE63" s="2">
        <f t="shared" si="17"/>
        <v>0.78200476051388446</v>
      </c>
    </row>
    <row r="64" spans="2:31" x14ac:dyDescent="0.2">
      <c r="B64" s="1">
        <f>[30]FormattedData!A43</f>
        <v>207</v>
      </c>
      <c r="C64" s="1" t="str">
        <f>VLOOKUP($B64,[30]TrtCodes!$B$11:I86,2)</f>
        <v>FTL</v>
      </c>
      <c r="D64" s="1">
        <f>VLOOKUP($B64,[30]TrtCodes!$B$11:J86,3)</f>
        <v>4</v>
      </c>
      <c r="E64" s="1">
        <f>VLOOKUP($B64,[30]TrtCodes!$B$11:K86,4)</f>
        <v>1</v>
      </c>
      <c r="F64" s="1">
        <f>VLOOKUP($B64,[30]TrtCodes!$B$11:L86,5)</f>
        <v>2</v>
      </c>
      <c r="G64" s="1">
        <f>VLOOKUP($B64,[30]TrtCodes!$B$11:M86,6)</f>
        <v>1</v>
      </c>
      <c r="H64" s="1">
        <f>VLOOKUP($B64,[30]TrtCodes!$B$11:N86,7)</f>
        <v>2</v>
      </c>
      <c r="I64" s="1">
        <f>[30]FormattedData!B43</f>
        <v>2</v>
      </c>
      <c r="J64" s="4">
        <f>[30]FormattedData!C43</f>
        <v>13.117000000000001</v>
      </c>
      <c r="K64" s="6">
        <f>$J$3+[30]FormattedData!D43*$J$4+$M$4*$J$5+[30]FormattedData!D43^2*$J$6+$M$5*$J$7</f>
        <v>31.951681092911205</v>
      </c>
      <c r="L64" s="6">
        <f>$J$3+[30]FormattedData!E43*$J$4+$M$4*$J$5+[30]FormattedData!E43^2*$J$6+$M$5*$J$7</f>
        <v>33.009658853483742</v>
      </c>
      <c r="M64" s="6">
        <f>$J$3+[30]FormattedData!F43*$J$4+$M$4*$J$5+[30]FormattedData!F43^2*$J$6+$M$5*$J$7</f>
        <v>33.58458193654338</v>
      </c>
      <c r="N64" s="6">
        <f>$J$3+[30]FormattedData!G43*$J$4+$M$4*$J$5+[30]FormattedData!G43^2*$J$6+$M$5*$J$7</f>
        <v>32.240727704613434</v>
      </c>
      <c r="O64" s="6">
        <f>$J$3+[30]FormattedData!H43*$J$4+$M$4*$J$5+[30]FormattedData!H43^2*$J$6+$M$5*$J$7</f>
        <v>31.469091369315528</v>
      </c>
      <c r="P64" s="6">
        <f>$J$3+[30]FormattedData!I43*$J$4+$M$4*$J$5+[30]FormattedData!I43^2*$J$6+$M$5*$J$7</f>
        <v>32.144421102583948</v>
      </c>
      <c r="Q64" s="6">
        <f>$J$3+[30]FormattedData!J43*$J$4+$M$4*$J$5+[30]FormattedData!J43^2*$J$6+$M$5*$J$7</f>
        <v>30.791690477688473</v>
      </c>
      <c r="R64" s="6">
        <f>$J$3+[30]FormattedData!K43*$J$4+$M$4*$J$5+[30]FormattedData!K43^2*$J$6+$M$5*$J$7</f>
        <v>30.888588839248985</v>
      </c>
      <c r="S64" s="6">
        <f>$J$3+[30]FormattedData!L43*$J$4+$M$4*$J$5+[30]FormattedData!L43^2*$J$6+$M$5*$J$7</f>
        <v>31.758772009086726</v>
      </c>
      <c r="T64" s="6">
        <f>$J$3+[30]FormattedData!M43*$J$4+$M$4*$J$5+[30]FormattedData!M43^2*$J$6+$M$5*$J$7</f>
        <v>33.775884815926474</v>
      </c>
      <c r="U64" s="6">
        <f>$J$3+[30]FormattedData!N43*$J$4+$M$4*$J$5+[30]FormattedData!N43^2*$J$6+$M$5*$J$7</f>
        <v>32.529393899474286</v>
      </c>
      <c r="V64" s="6">
        <f>$J$3+[30]FormattedData!O43*$J$4+$M$4*$J$5+[30]FormattedData!O43^2*$J$6+$M$5*$J$7</f>
        <v>31.662254064367588</v>
      </c>
      <c r="W64" s="5">
        <f t="shared" si="9"/>
        <v>32.150562180436978</v>
      </c>
      <c r="X64" s="4">
        <f t="shared" si="10"/>
        <v>0.27417678377233135</v>
      </c>
      <c r="Y64" s="3">
        <f t="shared" si="11"/>
        <v>30.791690477688473</v>
      </c>
      <c r="Z64" s="2">
        <f t="shared" si="12"/>
        <v>31.613963390604574</v>
      </c>
      <c r="AA64" s="3">
        <f t="shared" si="13"/>
        <v>32.048051097747575</v>
      </c>
      <c r="AB64" s="2">
        <f t="shared" si="14"/>
        <v>32.649460137976646</v>
      </c>
      <c r="AC64" s="2">
        <f t="shared" si="15"/>
        <v>33.775884815926474</v>
      </c>
      <c r="AD64" s="2">
        <f t="shared" si="16"/>
        <v>0.37074860415588279</v>
      </c>
      <c r="AE64" s="2">
        <f t="shared" si="17"/>
        <v>-0.54458700209111122</v>
      </c>
    </row>
    <row r="65" spans="2:31" x14ac:dyDescent="0.2">
      <c r="B65" s="1">
        <f>[30]FormattedData!A45</f>
        <v>208</v>
      </c>
      <c r="C65" s="1" t="str">
        <f>VLOOKUP($B65,[30]TrtCodes!$B$11:I88,2)</f>
        <v>FSL</v>
      </c>
      <c r="D65" s="1">
        <f>VLOOKUP($B65,[30]TrtCodes!$B$11:J88,3)</f>
        <v>2</v>
      </c>
      <c r="E65" s="1">
        <f>VLOOKUP($B65,[30]TrtCodes!$B$11:K88,4)</f>
        <v>1</v>
      </c>
      <c r="F65" s="1">
        <f>VLOOKUP($B65,[30]TrtCodes!$B$11:L88,5)</f>
        <v>1</v>
      </c>
      <c r="G65" s="1">
        <f>VLOOKUP($B65,[30]TrtCodes!$B$11:M88,6)</f>
        <v>1</v>
      </c>
      <c r="H65" s="1">
        <f>VLOOKUP($B65,[30]TrtCodes!$B$11:N88,7)</f>
        <v>2</v>
      </c>
      <c r="I65" s="1">
        <f>[30]FormattedData!B45</f>
        <v>2</v>
      </c>
      <c r="J65" s="4">
        <f>[30]FormattedData!C45</f>
        <v>13.132</v>
      </c>
      <c r="K65" s="6">
        <f>$J$3+[30]FormattedData!D45*$J$4+$M$4*$J$5+[30]FormattedData!D45^2*$J$6+$M$5*$J$7</f>
        <v>32.529393899474286</v>
      </c>
      <c r="L65" s="6">
        <f>$J$3+[30]FormattedData!E45*$J$4+$M$4*$J$5+[30]FormattedData!E45^2*$J$6+$M$5*$J$7</f>
        <v>31.855247685267933</v>
      </c>
      <c r="M65" s="6">
        <f>$J$3+[30]FormattedData!F45*$J$4+$M$4*$J$5+[30]FormattedData!F45^2*$J$6+$M$5*$J$7</f>
        <v>31.372446618982597</v>
      </c>
      <c r="N65" s="6">
        <f>$J$3+[30]FormattedData!G45*$J$4+$M$4*$J$5+[30]FormattedData!G45^2*$J$6+$M$5*$J$7</f>
        <v>32.817679677493757</v>
      </c>
      <c r="O65" s="6">
        <f>$J$3+[30]FormattedData!H45*$J$4+$M$4*$J$5+[30]FormattedData!H45^2*$J$6+$M$5*$J$7</f>
        <v>33.393109983008557</v>
      </c>
      <c r="P65" s="6">
        <f>$J$3+[30]FormattedData!I45*$J$4+$M$4*$J$5+[30]FormattedData!I45^2*$J$6+$M$5*$J$7</f>
        <v>33.488867094044927</v>
      </c>
      <c r="Q65" s="6">
        <f>$J$3+[30]FormattedData!J45*$J$4+$M$4*$J$5+[30]FormattedData!J45^2*$J$6+$M$5*$J$7</f>
        <v>32.336992038104988</v>
      </c>
      <c r="R65" s="6">
        <f>$J$3+[30]FormattedData!K45*$J$4+$M$4*$J$5+[30]FormattedData!K45^2*$J$6+$M$5*$J$7</f>
        <v>32.721626686691863</v>
      </c>
      <c r="S65" s="6">
        <f>$J$3+[30]FormattedData!L45*$J$4+$M$4*$J$5+[30]FormattedData!L45^2*$J$6+$M$5*$J$7</f>
        <v>32.913690399757719</v>
      </c>
      <c r="T65" s="6">
        <f>$J$3+[30]FormattedData!M45*$J$4+$M$4*$J$5+[30]FormattedData!M45^2*$J$6+$M$5*$J$7</f>
        <v>32.721626686691863</v>
      </c>
      <c r="U65" s="6">
        <f>$J$3+[30]FormattedData!N45*$J$4+$M$4*$J$5+[30]FormattedData!N45^2*$J$6+$M$5*$J$7</f>
        <v>30.597766948953648</v>
      </c>
      <c r="V65" s="6">
        <f>$J$3+[30]FormattedData!O45*$J$4+$M$4*$J$5+[30]FormattedData!O45^2*$J$6+$M$5*$J$7</f>
        <v>30.985444932271566</v>
      </c>
      <c r="W65" s="5">
        <f t="shared" si="9"/>
        <v>32.311157720895316</v>
      </c>
      <c r="X65" s="4">
        <f t="shared" si="10"/>
        <v>0.26607057905061954</v>
      </c>
      <c r="Y65" s="3">
        <f t="shared" si="11"/>
        <v>30.597766948953648</v>
      </c>
      <c r="Z65" s="2">
        <f t="shared" si="12"/>
        <v>31.7345474186966</v>
      </c>
      <c r="AA65" s="3">
        <f t="shared" si="13"/>
        <v>32.625510293083074</v>
      </c>
      <c r="AB65" s="2">
        <f t="shared" si="14"/>
        <v>32.841682358059749</v>
      </c>
      <c r="AC65" s="2">
        <f t="shared" si="15"/>
        <v>33.488867094044927</v>
      </c>
      <c r="AD65" s="2">
        <f t="shared" si="16"/>
        <v>-0.68052029749918008</v>
      </c>
      <c r="AE65" s="2">
        <f t="shared" si="17"/>
        <v>-0.52287669844706386</v>
      </c>
    </row>
    <row r="66" spans="2:31" x14ac:dyDescent="0.2">
      <c r="B66" s="1">
        <f>[30]FormattedData!A63</f>
        <v>301</v>
      </c>
      <c r="C66" s="1" t="str">
        <f>VLOOKUP($B66,[30]TrtCodes!$B$11:I106,2)</f>
        <v>NTL</v>
      </c>
      <c r="D66" s="1">
        <f>VLOOKUP($B66,[30]TrtCodes!$B$11:J106,3)</f>
        <v>10</v>
      </c>
      <c r="E66" s="1">
        <f>VLOOKUP($B66,[30]TrtCodes!$B$11:K106,4)</f>
        <v>2</v>
      </c>
      <c r="F66" s="1">
        <f>VLOOKUP($B66,[30]TrtCodes!$B$11:L106,5)</f>
        <v>2</v>
      </c>
      <c r="G66" s="1">
        <f>VLOOKUP($B66,[30]TrtCodes!$B$11:M106,6)</f>
        <v>1</v>
      </c>
      <c r="H66" s="1">
        <f>VLOOKUP($B66,[30]TrtCodes!$B$11:N106,7)</f>
        <v>3</v>
      </c>
      <c r="I66" s="1">
        <f>[30]FormattedData!B63</f>
        <v>2</v>
      </c>
      <c r="J66" s="4">
        <f>[30]FormattedData!C63</f>
        <v>13.244</v>
      </c>
      <c r="K66" s="6">
        <f>$J$3+[30]FormattedData!D63*$J$4+$M$4*$J$5+[30]FormattedData!D63^2*$J$6+$M$5*$J$7</f>
        <v>35.015232349468292</v>
      </c>
      <c r="L66" s="6">
        <f>$J$3+[30]FormattedData!E63*$J$4+$M$4*$J$5+[30]FormattedData!E63^2*$J$6+$M$5*$J$7</f>
        <v>33.297310603434255</v>
      </c>
      <c r="M66" s="6">
        <f>$J$3+[30]FormattedData!F63*$J$4+$M$4*$J$5+[30]FormattedData!F63^2*$J$6+$M$5*$J$7</f>
        <v>34.253402314970408</v>
      </c>
      <c r="N66" s="6">
        <f>$J$3+[30]FormattedData!G63*$J$4+$M$4*$J$5+[30]FormattedData!G63^2*$J$6+$M$5*$J$7</f>
        <v>38.129186575861645</v>
      </c>
      <c r="O66" s="6">
        <f>$J$3+[30]FormattedData!H63*$J$4+$M$4*$J$5+[30]FormattedData!H63^2*$J$6+$M$5*$J$7</f>
        <v>33.680254510503886</v>
      </c>
      <c r="P66" s="6">
        <f>$J$3+[30]FormattedData!I63*$J$4+$M$4*$J$5+[30]FormattedData!I63^2*$J$6+$M$5*$J$7</f>
        <v>33.967018621157834</v>
      </c>
      <c r="Q66" s="6">
        <f>$J$3+[30]FormattedData!J63*$J$4+$M$4*$J$5+[30]FormattedData!J63^2*$J$6+$M$5*$J$7</f>
        <v>33.297310603434255</v>
      </c>
      <c r="R66" s="6">
        <f>$J$3+[30]FormattedData!K63*$J$4+$M$4*$J$5+[30]FormattedData!K63^2*$J$6+$M$5*$J$7</f>
        <v>33.775884815926474</v>
      </c>
      <c r="S66" s="6">
        <f>$J$3+[30]FormattedData!L63*$J$4+$M$4*$J$5+[30]FormattedData!L63^2*$J$6+$M$5*$J$7</f>
        <v>37.378515435377579</v>
      </c>
      <c r="T66" s="6">
        <f>$J$3+[30]FormattedData!M63*$J$4+$M$4*$J$5+[30]FormattedData!M63^2*$J$6+$M$5*$J$7</f>
        <v>35.584829596748598</v>
      </c>
      <c r="U66" s="6">
        <f>$J$3+[30]FormattedData!N63*$J$4+$M$4*$J$5+[30]FormattedData!N63^2*$J$6+$M$5*$J$7</f>
        <v>32.433214103058603</v>
      </c>
      <c r="V66" s="6">
        <f>$J$3+[30]FormattedData!O63*$J$4+$M$4*$J$5+[30]FormattedData!O63^2*$J$6+$M$5*$J$7</f>
        <v>32.433214103058603</v>
      </c>
      <c r="W66" s="5">
        <f t="shared" si="9"/>
        <v>34.437114469416706</v>
      </c>
      <c r="X66" s="4">
        <f t="shared" si="10"/>
        <v>0.52099153249666386</v>
      </c>
      <c r="Y66" s="3">
        <f t="shared" si="11"/>
        <v>32.433214103058603</v>
      </c>
      <c r="Z66" s="2">
        <f t="shared" si="12"/>
        <v>33.297310603434255</v>
      </c>
      <c r="AA66" s="3">
        <f t="shared" si="13"/>
        <v>33.871451718542154</v>
      </c>
      <c r="AB66" s="2">
        <f t="shared" si="14"/>
        <v>35.15763166128837</v>
      </c>
      <c r="AC66" s="2">
        <f t="shared" si="15"/>
        <v>38.129186575861645</v>
      </c>
      <c r="AD66" s="2">
        <f t="shared" si="16"/>
        <v>1.0688056160625459</v>
      </c>
      <c r="AE66" s="2">
        <f t="shared" si="17"/>
        <v>0.40332540559649921</v>
      </c>
    </row>
    <row r="67" spans="2:31" x14ac:dyDescent="0.2">
      <c r="B67" s="1">
        <f>[30]FormattedData!A65</f>
        <v>302</v>
      </c>
      <c r="C67" s="1" t="str">
        <f>VLOOKUP($B67,[30]TrtCodes!$B$11:I108,2)</f>
        <v>FTL</v>
      </c>
      <c r="D67" s="1">
        <f>VLOOKUP($B67,[30]TrtCodes!$B$11:J108,3)</f>
        <v>4</v>
      </c>
      <c r="E67" s="1">
        <f>VLOOKUP($B67,[30]TrtCodes!$B$11:K108,4)</f>
        <v>1</v>
      </c>
      <c r="F67" s="1">
        <f>VLOOKUP($B67,[30]TrtCodes!$B$11:L108,5)</f>
        <v>2</v>
      </c>
      <c r="G67" s="1">
        <f>VLOOKUP($B67,[30]TrtCodes!$B$11:M108,6)</f>
        <v>1</v>
      </c>
      <c r="H67" s="1">
        <f>VLOOKUP($B67,[30]TrtCodes!$B$11:N108,7)</f>
        <v>3</v>
      </c>
      <c r="I67" s="1">
        <f>[30]FormattedData!B65</f>
        <v>2</v>
      </c>
      <c r="J67" s="4">
        <f>[30]FormattedData!C65</f>
        <v>13.259</v>
      </c>
      <c r="K67" s="6">
        <f>$J$3+[30]FormattedData!D65*$J$4+$M$4*$J$5+[30]FormattedData!D65^2*$J$6+$M$5*$J$7</f>
        <v>36.058331584689078</v>
      </c>
      <c r="L67" s="6">
        <f>$J$3+[30]FormattedData!E65*$J$4+$M$4*$J$5+[30]FormattedData!E65^2*$J$6+$M$5*$J$7</f>
        <v>36.058331584689078</v>
      </c>
      <c r="M67" s="6">
        <f>$J$3+[30]FormattedData!F65*$J$4+$M$4*$J$5+[30]FormattedData!F65^2*$J$6+$M$5*$J$7</f>
        <v>33.201468955322014</v>
      </c>
      <c r="N67" s="6">
        <f>$J$3+[30]FormattedData!G65*$J$4+$M$4*$J$5+[30]FormattedData!G65^2*$J$6+$M$5*$J$7</f>
        <v>35.015232349468292</v>
      </c>
      <c r="O67" s="6">
        <f>$J$3+[30]FormattedData!H65*$J$4+$M$4*$J$5+[30]FormattedData!H65^2*$J$6+$M$5*$J$7</f>
        <v>33.105585038671848</v>
      </c>
      <c r="P67" s="6">
        <f>$J$3+[30]FormattedData!I65*$J$4+$M$4*$J$5+[30]FormattedData!I65^2*$J$6+$M$5*$J$7</f>
        <v>33.009658853483742</v>
      </c>
      <c r="Q67" s="6">
        <f>$J$3+[30]FormattedData!J65*$J$4+$M$4*$J$5+[30]FormattedData!J65^2*$J$6+$M$5*$J$7</f>
        <v>36.058331584689078</v>
      </c>
      <c r="R67" s="6">
        <f>$J$3+[30]FormattedData!K65*$J$4+$M$4*$J$5+[30]FormattedData!K65^2*$J$6+$M$5*$J$7</f>
        <v>33.871472852811124</v>
      </c>
      <c r="S67" s="6">
        <f>$J$3+[30]FormattedData!L65*$J$4+$M$4*$J$5+[30]FormattedData!L65^2*$J$6+$M$5*$J$7</f>
        <v>33.775884815926474</v>
      </c>
      <c r="T67" s="6">
        <f>$J$3+[30]FormattedData!M65*$J$4+$M$4*$J$5+[30]FormattedData!M65^2*$J$6+$M$5*$J$7</f>
        <v>33.201468955322014</v>
      </c>
      <c r="U67" s="6">
        <f>$J$3+[30]FormattedData!N65*$J$4+$M$4*$J$5+[30]FormattedData!N65^2*$J$6+$M$5*$J$7</f>
        <v>35.110270895359832</v>
      </c>
      <c r="V67" s="6">
        <f>$J$3+[30]FormattedData!O65*$J$4+$M$4*$J$5+[30]FormattedData!O65^2*$J$6+$M$5*$J$7</f>
        <v>34.634655480522795</v>
      </c>
      <c r="W67" s="5">
        <f t="shared" si="9"/>
        <v>34.425057745912945</v>
      </c>
      <c r="X67" s="4">
        <f t="shared" si="10"/>
        <v>0.35173905255479471</v>
      </c>
      <c r="Y67" s="3">
        <f t="shared" si="11"/>
        <v>33.009658853483742</v>
      </c>
      <c r="Z67" s="2">
        <f t="shared" si="12"/>
        <v>33.201468955322014</v>
      </c>
      <c r="AA67" s="3">
        <f t="shared" si="13"/>
        <v>34.25306416666696</v>
      </c>
      <c r="AB67" s="2">
        <f t="shared" si="14"/>
        <v>35.347286067692146</v>
      </c>
      <c r="AC67" s="2">
        <f t="shared" si="15"/>
        <v>36.058331584689078</v>
      </c>
      <c r="AD67" s="2">
        <f t="shared" si="16"/>
        <v>0.26337377574841875</v>
      </c>
      <c r="AE67" s="2">
        <f t="shared" si="17"/>
        <v>-1.6390813898673575</v>
      </c>
    </row>
    <row r="68" spans="2:31" x14ac:dyDescent="0.2">
      <c r="B68" s="1">
        <f>[30]FormattedData!A67</f>
        <v>303</v>
      </c>
      <c r="C68" s="1" t="str">
        <f>VLOOKUP($B68,[30]TrtCodes!$B$11:I110,2)</f>
        <v>NSL</v>
      </c>
      <c r="D68" s="1">
        <f>VLOOKUP($B68,[30]TrtCodes!$B$11:J110,3)</f>
        <v>8</v>
      </c>
      <c r="E68" s="1">
        <f>VLOOKUP($B68,[30]TrtCodes!$B$11:K110,4)</f>
        <v>2</v>
      </c>
      <c r="F68" s="1">
        <f>VLOOKUP($B68,[30]TrtCodes!$B$11:L110,5)</f>
        <v>1</v>
      </c>
      <c r="G68" s="1">
        <f>VLOOKUP($B68,[30]TrtCodes!$B$11:M110,6)</f>
        <v>1</v>
      </c>
      <c r="H68" s="1">
        <f>VLOOKUP($B68,[30]TrtCodes!$B$11:N110,7)</f>
        <v>3</v>
      </c>
      <c r="I68" s="1">
        <f>[30]FormattedData!B67</f>
        <v>2</v>
      </c>
      <c r="J68" s="4">
        <f>[30]FormattedData!C67</f>
        <v>13.273999999999999</v>
      </c>
      <c r="K68" s="6">
        <f>$J$3+[30]FormattedData!D67*$J$4+$M$4*$J$5+[30]FormattedData!D67^2*$J$6+$M$5*$J$7</f>
        <v>30.403674346067099</v>
      </c>
      <c r="L68" s="6">
        <f>$J$3+[30]FormattedData!E67*$J$4+$M$4*$J$5+[30]FormattedData!E67^2*$J$6+$M$5*$J$7</f>
        <v>31.469091369315528</v>
      </c>
      <c r="M68" s="6">
        <f>$J$3+[30]FormattedData!F67*$J$4+$M$4*$J$5+[30]FormattedData!F67^2*$J$6+$M$5*$J$7</f>
        <v>31.758772009086726</v>
      </c>
      <c r="N68" s="6">
        <f>$J$3+[30]FormattedData!G67*$J$4+$M$4*$J$5+[30]FormattedData!G67^2*$J$6+$M$5*$J$7</f>
        <v>31.565693851110524</v>
      </c>
      <c r="O68" s="6">
        <f>$J$3+[30]FormattedData!H67*$J$4+$M$4*$J$5+[30]FormattedData!H67^2*$J$6+$M$5*$J$7</f>
        <v>30.500741781779336</v>
      </c>
      <c r="P68" s="6">
        <f>$J$3+[30]FormattedData!I67*$J$4+$M$4*$J$5+[30]FormattedData!I67^2*$J$6+$M$5*$J$7</f>
        <v>31.275759600111741</v>
      </c>
      <c r="Q68" s="6">
        <f>$J$3+[30]FormattedData!J67*$J$4+$M$4*$J$5+[30]FormattedData!J67^2*$J$6+$M$5*$J$7</f>
        <v>31.855247685267933</v>
      </c>
      <c r="R68" s="6">
        <f>$J$3+[30]FormattedData!K67*$J$4+$M$4*$J$5+[30]FormattedData!K67^2*$J$6+$M$5*$J$7</f>
        <v>31.275759600111741</v>
      </c>
      <c r="S68" s="6">
        <f>$J$3+[30]FormattedData!L67*$J$4+$M$4*$J$5+[30]FormattedData!L67^2*$J$6+$M$5*$J$7</f>
        <v>30.403674346067099</v>
      </c>
      <c r="T68" s="6">
        <f>$J$3+[30]FormattedData!M67*$J$4+$M$4*$J$5+[30]FormattedData!M67^2*$J$6+$M$5*$J$7</f>
        <v>30.403674346067099</v>
      </c>
      <c r="U68" s="6">
        <f>$J$3+[30]FormattedData!N67*$J$4+$M$4*$J$5+[30]FormattedData!N67^2*$J$6+$M$5*$J$7</f>
        <v>30.30656464181693</v>
      </c>
      <c r="V68" s="6">
        <f>$J$3+[30]FormattedData!O67*$J$4+$M$4*$J$5+[30]FormattedData!O67^2*$J$6+$M$5*$J$7</f>
        <v>31.758772009086726</v>
      </c>
      <c r="W68" s="5">
        <f t="shared" si="9"/>
        <v>31.08145213215737</v>
      </c>
      <c r="X68" s="4">
        <f t="shared" si="10"/>
        <v>0.18032740236606826</v>
      </c>
      <c r="Y68" s="3">
        <f t="shared" si="11"/>
        <v>30.30656464181693</v>
      </c>
      <c r="Z68" s="2">
        <f t="shared" si="12"/>
        <v>30.403674346067099</v>
      </c>
      <c r="AA68" s="3">
        <f t="shared" si="13"/>
        <v>31.275759600111741</v>
      </c>
      <c r="AB68" s="2">
        <f t="shared" si="14"/>
        <v>31.613963390604574</v>
      </c>
      <c r="AC68" s="2">
        <f t="shared" si="15"/>
        <v>31.855247685267933</v>
      </c>
      <c r="AD68" s="2">
        <f t="shared" si="16"/>
        <v>-0.1449778644738241</v>
      </c>
      <c r="AE68" s="2">
        <f t="shared" si="17"/>
        <v>-1.9975505783588434</v>
      </c>
    </row>
    <row r="69" spans="2:31" x14ac:dyDescent="0.2">
      <c r="B69" s="1">
        <f>[30]FormattedData!A69</f>
        <v>304</v>
      </c>
      <c r="C69" s="1" t="str">
        <f>VLOOKUP($B69,[30]TrtCodes!$B$11:I112,2)</f>
        <v>FSL</v>
      </c>
      <c r="D69" s="1">
        <f>VLOOKUP($B69,[30]TrtCodes!$B$11:J112,3)</f>
        <v>2</v>
      </c>
      <c r="E69" s="1">
        <f>VLOOKUP($B69,[30]TrtCodes!$B$11:K112,4)</f>
        <v>1</v>
      </c>
      <c r="F69" s="1">
        <f>VLOOKUP($B69,[30]TrtCodes!$B$11:L112,5)</f>
        <v>1</v>
      </c>
      <c r="G69" s="1">
        <f>VLOOKUP($B69,[30]TrtCodes!$B$11:M112,6)</f>
        <v>1</v>
      </c>
      <c r="H69" s="1">
        <f>VLOOKUP($B69,[30]TrtCodes!$B$11:N112,7)</f>
        <v>3</v>
      </c>
      <c r="I69" s="1">
        <f>[30]FormattedData!B69</f>
        <v>2</v>
      </c>
      <c r="J69" s="4">
        <f>[30]FormattedData!C69</f>
        <v>13.289</v>
      </c>
      <c r="K69" s="6">
        <f>$J$3+[30]FormattedData!D69*$J$4+$M$4*$J$5+[30]FormattedData!D69^2*$J$6+$M$5*$J$7</f>
        <v>33.393109983008557</v>
      </c>
      <c r="L69" s="6">
        <f>$J$3+[30]FormattedData!E69*$J$4+$M$4*$J$5+[30]FormattedData!E69^2*$J$6+$M$5*$J$7</f>
        <v>32.144421102583948</v>
      </c>
      <c r="M69" s="6">
        <f>$J$3+[30]FormattedData!F69*$J$4+$M$4*$J$5+[30]FormattedData!F69^2*$J$6+$M$5*$J$7</f>
        <v>30.112218427702793</v>
      </c>
      <c r="N69" s="6">
        <f>$J$3+[30]FormattedData!G69*$J$4+$M$4*$J$5+[30]FormattedData!G69^2*$J$6+$M$5*$J$7</f>
        <v>33.393109983008557</v>
      </c>
      <c r="O69" s="6">
        <f>$J$3+[30]FormattedData!H69*$J$4+$M$4*$J$5+[30]FormattedData!H69^2*$J$6+$M$5*$J$7</f>
        <v>32.913690399757719</v>
      </c>
      <c r="P69" s="6">
        <f>$J$3+[30]FormattedData!I69*$J$4+$M$4*$J$5+[30]FormattedData!I69^2*$J$6+$M$5*$J$7</f>
        <v>34.444113434822462</v>
      </c>
      <c r="Q69" s="6">
        <f>$J$3+[30]FormattedData!J69*$J$4+$M$4*$J$5+[30]FormattedData!J69^2*$J$6+$M$5*$J$7</f>
        <v>31.275759600111741</v>
      </c>
      <c r="R69" s="6">
        <f>$J$3+[30]FormattedData!K69*$J$4+$M$4*$J$5+[30]FormattedData!K69^2*$J$6+$M$5*$J$7</f>
        <v>30.694749847590025</v>
      </c>
      <c r="S69" s="6">
        <f>$J$3+[30]FormattedData!L69*$J$4+$M$4*$J$5+[30]FormattedData!L69^2*$J$6+$M$5*$J$7</f>
        <v>36.152905176663381</v>
      </c>
      <c r="T69" s="6">
        <f>$J$3+[30]FormattedData!M69*$J$4+$M$4*$J$5+[30]FormattedData!M69^2*$J$6+$M$5*$J$7</f>
        <v>31.565693851110524</v>
      </c>
      <c r="U69" s="6">
        <f>$J$3+[30]FormattedData!N69*$J$4+$M$4*$J$5+[30]FormattedData!N69^2*$J$6+$M$5*$J$7</f>
        <v>31.372446618982597</v>
      </c>
      <c r="V69" s="6">
        <f>$J$3+[30]FormattedData!O69*$J$4+$M$4*$J$5+[30]FormattedData!O69^2*$J$6+$M$5*$J$7</f>
        <v>32.433214103058603</v>
      </c>
      <c r="W69" s="5">
        <f t="shared" si="9"/>
        <v>32.491286044033409</v>
      </c>
      <c r="X69" s="4">
        <f t="shared" si="10"/>
        <v>0.48945863363199188</v>
      </c>
      <c r="Y69" s="3">
        <f t="shared" si="11"/>
        <v>30.112218427702793</v>
      </c>
      <c r="Z69" s="2">
        <f t="shared" si="12"/>
        <v>31.348274864264884</v>
      </c>
      <c r="AA69" s="3">
        <f t="shared" si="13"/>
        <v>32.288817602821275</v>
      </c>
      <c r="AB69" s="2">
        <f t="shared" si="14"/>
        <v>33.393109983008557</v>
      </c>
      <c r="AC69" s="2">
        <f t="shared" si="15"/>
        <v>36.152905176663381</v>
      </c>
      <c r="AD69" s="2">
        <f t="shared" si="16"/>
        <v>0.77855240400925885</v>
      </c>
      <c r="AE69" s="2">
        <f t="shared" si="17"/>
        <v>0.59227191883358721</v>
      </c>
    </row>
    <row r="70" spans="2:31" x14ac:dyDescent="0.2">
      <c r="B70" s="1">
        <f>[30]FormattedData!A71</f>
        <v>305</v>
      </c>
      <c r="C70" s="1" t="str">
        <f>VLOOKUP($B70,[30]TrtCodes!$B$11:I114,2)</f>
        <v>NDH</v>
      </c>
      <c r="D70" s="1">
        <f>VLOOKUP($B70,[30]TrtCodes!$B$11:J114,3)</f>
        <v>11</v>
      </c>
      <c r="E70" s="1">
        <f>VLOOKUP($B70,[30]TrtCodes!$B$11:K114,4)</f>
        <v>2</v>
      </c>
      <c r="F70" s="1">
        <f>VLOOKUP($B70,[30]TrtCodes!$B$11:L114,5)</f>
        <v>3</v>
      </c>
      <c r="G70" s="1">
        <f>VLOOKUP($B70,[30]TrtCodes!$B$11:M114,6)</f>
        <v>2</v>
      </c>
      <c r="H70" s="1">
        <f>VLOOKUP($B70,[30]TrtCodes!$B$11:N114,7)</f>
        <v>4</v>
      </c>
      <c r="I70" s="1">
        <f>[30]FormattedData!B71</f>
        <v>2</v>
      </c>
      <c r="J70" s="4">
        <f>[30]FormattedData!C71</f>
        <v>13.305999999999999</v>
      </c>
      <c r="K70" s="6">
        <f>$J$3+[30]FormattedData!D71*$J$4+$M$4*$J$5+[30]FormattedData!D71^2*$J$6+$M$5*$J$7</f>
        <v>32.625531427352037</v>
      </c>
      <c r="L70" s="6">
        <f>$J$3+[30]FormattedData!E71*$J$4+$M$4*$J$5+[30]FormattedData!E71^2*$J$6+$M$5*$J$7</f>
        <v>31.855247685267933</v>
      </c>
      <c r="M70" s="6">
        <f>$J$3+[30]FormattedData!F71*$J$4+$M$4*$J$5+[30]FormattedData!F71^2*$J$6+$M$5*$J$7</f>
        <v>33.009658853483742</v>
      </c>
      <c r="N70" s="6">
        <f>$J$3+[30]FormattedData!G71*$J$4+$M$4*$J$5+[30]FormattedData!G71^2*$J$6+$M$5*$J$7</f>
        <v>32.240727704613434</v>
      </c>
      <c r="O70" s="6">
        <f>$J$3+[30]FormattedData!H71*$J$4+$M$4*$J$5+[30]FormattedData!H71^2*$J$6+$M$5*$J$7</f>
        <v>32.240727704613434</v>
      </c>
      <c r="P70" s="6">
        <f>$J$3+[30]FormattedData!I71*$J$4+$M$4*$J$5+[30]FormattedData!I71^2*$J$6+$M$5*$J$7</f>
        <v>33.967018621157834</v>
      </c>
      <c r="Q70" s="6">
        <f>$J$3+[30]FormattedData!J71*$J$4+$M$4*$J$5+[30]FormattedData!J71^2*$J$6+$M$5*$J$7</f>
        <v>34.348779009165412</v>
      </c>
      <c r="R70" s="6">
        <f>$J$3+[30]FormattedData!K71*$J$4+$M$4*$J$5+[30]FormattedData!K71^2*$J$6+$M$5*$J$7</f>
        <v>33.871472852811124</v>
      </c>
      <c r="S70" s="6">
        <f>$J$3+[30]FormattedData!L71*$J$4+$M$4*$J$5+[30]FormattedData!L71^2*$J$6+$M$5*$J$7</f>
        <v>32.144421102583948</v>
      </c>
      <c r="T70" s="6">
        <f>$J$3+[30]FormattedData!M71*$J$4+$M$4*$J$5+[30]FormattedData!M71^2*$J$6+$M$5*$J$7</f>
        <v>33.488867094044927</v>
      </c>
      <c r="U70" s="6">
        <f>$J$3+[30]FormattedData!N71*$J$4+$M$4*$J$5+[30]FormattedData!N71^2*$J$6+$M$5*$J$7</f>
        <v>34.634655480522795</v>
      </c>
      <c r="V70" s="6">
        <f>$J$3+[30]FormattedData!O71*$J$4+$M$4*$J$5+[30]FormattedData!O71^2*$J$6+$M$5*$J$7</f>
        <v>34.062522120966626</v>
      </c>
      <c r="W70" s="5">
        <f t="shared" si="9"/>
        <v>33.207469138048594</v>
      </c>
      <c r="X70" s="4">
        <f t="shared" si="10"/>
        <v>0.28032851711329404</v>
      </c>
      <c r="Y70" s="3">
        <f t="shared" si="11"/>
        <v>31.855247685267933</v>
      </c>
      <c r="Z70" s="2">
        <f t="shared" si="12"/>
        <v>32.240727704613434</v>
      </c>
      <c r="AA70" s="3">
        <f t="shared" si="13"/>
        <v>33.249262973764331</v>
      </c>
      <c r="AB70" s="2">
        <f t="shared" si="14"/>
        <v>33.99089449611003</v>
      </c>
      <c r="AC70" s="2">
        <f t="shared" si="15"/>
        <v>34.634655480522795</v>
      </c>
      <c r="AD70" s="2">
        <f t="shared" si="16"/>
        <v>1.0284439333701403E-2</v>
      </c>
      <c r="AE70" s="2">
        <f t="shared" si="17"/>
        <v>-1.6593861198787634</v>
      </c>
    </row>
    <row r="71" spans="2:31" x14ac:dyDescent="0.2">
      <c r="B71" s="1">
        <f>[30]FormattedData!A73</f>
        <v>306</v>
      </c>
      <c r="C71" s="1" t="str">
        <f>VLOOKUP($B71,[30]TrtCodes!$B$11:I116,2)</f>
        <v>FTL</v>
      </c>
      <c r="D71" s="1">
        <f>VLOOKUP($B71,[30]TrtCodes!$B$11:J116,3)</f>
        <v>4</v>
      </c>
      <c r="E71" s="1">
        <f>VLOOKUP($B71,[30]TrtCodes!$B$11:K116,4)</f>
        <v>1</v>
      </c>
      <c r="F71" s="1">
        <f>VLOOKUP($B71,[30]TrtCodes!$B$11:L116,5)</f>
        <v>2</v>
      </c>
      <c r="G71" s="1">
        <f>VLOOKUP($B71,[30]TrtCodes!$B$11:M116,6)</f>
        <v>1</v>
      </c>
      <c r="H71" s="1">
        <f>VLOOKUP($B71,[30]TrtCodes!$B$11:N116,7)</f>
        <v>4</v>
      </c>
      <c r="I71" s="1">
        <f>[30]FormattedData!B73</f>
        <v>2</v>
      </c>
      <c r="J71" s="4">
        <f>[30]FormattedData!C73</f>
        <v>13.32</v>
      </c>
      <c r="K71" s="6">
        <f>$J$3+[30]FormattedData!D73*$J$4+$M$4*$J$5+[30]FormattedData!D73^2*$J$6+$M$5*$J$7</f>
        <v>32.721626686691863</v>
      </c>
      <c r="L71" s="6">
        <f>$J$3+[30]FormattedData!E73*$J$4+$M$4*$J$5+[30]FormattedData!E73^2*$J$6+$M$5*$J$7</f>
        <v>31.758772009086726</v>
      </c>
      <c r="M71" s="6">
        <f>$J$3+[30]FormattedData!F73*$J$4+$M$4*$J$5+[30]FormattedData!F73^2*$J$6+$M$5*$J$7</f>
        <v>30.30656464181693</v>
      </c>
      <c r="N71" s="6">
        <f>$J$3+[30]FormattedData!G73*$J$4+$M$4*$J$5+[30]FormattedData!G73^2*$J$6+$M$5*$J$7</f>
        <v>32.721626686691863</v>
      </c>
      <c r="O71" s="6">
        <f>$J$3+[30]FormattedData!H73*$J$4+$M$4*$J$5+[30]FormattedData!H73^2*$J$6+$M$5*$J$7</f>
        <v>31.951681092911205</v>
      </c>
      <c r="P71" s="6">
        <f>$J$3+[30]FormattedData!I73*$J$4+$M$4*$J$5+[30]FormattedData!I73^2*$J$6+$M$5*$J$7</f>
        <v>33.58458193654338</v>
      </c>
      <c r="Q71" s="6">
        <f>$J$3+[30]FormattedData!J73*$J$4+$M$4*$J$5+[30]FormattedData!J73^2*$J$6+$M$5*$J$7</f>
        <v>32.817679677493757</v>
      </c>
      <c r="R71" s="6">
        <f>$J$3+[30]FormattedData!K73*$J$4+$M$4*$J$5+[30]FormattedData!K73^2*$J$6+$M$5*$J$7</f>
        <v>32.529393899474286</v>
      </c>
      <c r="S71" s="6">
        <f>$J$3+[30]FormattedData!L73*$J$4+$M$4*$J$5+[30]FormattedData!L73^2*$J$6+$M$5*$J$7</f>
        <v>35.395132921806884</v>
      </c>
      <c r="T71" s="6">
        <f>$J$3+[30]FormattedData!M73*$J$4+$M$4*$J$5+[30]FormattedData!M73^2*$J$6+$M$5*$J$7</f>
        <v>32.529393899474286</v>
      </c>
      <c r="U71" s="6">
        <f>$J$3+[30]FormattedData!N73*$J$4+$M$4*$J$5+[30]FormattedData!N73^2*$J$6+$M$5*$J$7</f>
        <v>32.433214103058603</v>
      </c>
      <c r="V71" s="6">
        <f>$J$3+[30]FormattedData!O73*$J$4+$M$4*$J$5+[30]FormattedData!O73^2*$J$6+$M$5*$J$7</f>
        <v>33.775884815926474</v>
      </c>
      <c r="W71" s="5">
        <f t="shared" si="9"/>
        <v>32.710462697581356</v>
      </c>
      <c r="X71" s="4">
        <f t="shared" si="10"/>
        <v>0.35377870214681983</v>
      </c>
      <c r="Y71" s="3">
        <f t="shared" si="11"/>
        <v>30.30656464181693</v>
      </c>
      <c r="Z71" s="2">
        <f t="shared" si="12"/>
        <v>32.312830850521756</v>
      </c>
      <c r="AA71" s="3">
        <f t="shared" si="13"/>
        <v>32.625510293083074</v>
      </c>
      <c r="AB71" s="2">
        <f t="shared" si="14"/>
        <v>33.009405242256165</v>
      </c>
      <c r="AC71" s="2">
        <f t="shared" si="15"/>
        <v>35.395132921806884</v>
      </c>
      <c r="AD71" s="2">
        <f t="shared" si="16"/>
        <v>0.35588646605802815</v>
      </c>
      <c r="AE71" s="2">
        <f t="shared" si="17"/>
        <v>2.1400285093376352</v>
      </c>
    </row>
    <row r="72" spans="2:31" x14ac:dyDescent="0.2">
      <c r="B72" s="1">
        <f>[30]FormattedData!A75</f>
        <v>307</v>
      </c>
      <c r="C72" s="1" t="str">
        <f>VLOOKUP($B72,[30]TrtCodes!$B$11:I118,2)</f>
        <v>NTH</v>
      </c>
      <c r="D72" s="1">
        <f>VLOOKUP($B72,[30]TrtCodes!$B$11:J118,3)</f>
        <v>9</v>
      </c>
      <c r="E72" s="1">
        <f>VLOOKUP($B72,[30]TrtCodes!$B$11:K118,4)</f>
        <v>2</v>
      </c>
      <c r="F72" s="1">
        <f>VLOOKUP($B72,[30]TrtCodes!$B$11:L118,5)</f>
        <v>2</v>
      </c>
      <c r="G72" s="1">
        <f>VLOOKUP($B72,[30]TrtCodes!$B$11:M118,6)</f>
        <v>2</v>
      </c>
      <c r="H72" s="1">
        <f>VLOOKUP($B72,[30]TrtCodes!$B$11:N118,7)</f>
        <v>4</v>
      </c>
      <c r="I72" s="1">
        <f>[30]FormattedData!B75</f>
        <v>2</v>
      </c>
      <c r="J72" s="4">
        <f>[30]FormattedData!C75</f>
        <v>13.335000000000001</v>
      </c>
      <c r="K72" s="6">
        <f>$J$3+[30]FormattedData!D75*$J$4+$M$4*$J$5+[30]FormattedData!D75^2*$J$6+$M$5*$J$7</f>
        <v>30.112218427702793</v>
      </c>
      <c r="L72" s="6">
        <f>$J$3+[30]FormattedData!E75*$J$4+$M$4*$J$5+[30]FormattedData!E75^2*$J$6+$M$5*$J$7</f>
        <v>33.871472852811124</v>
      </c>
      <c r="M72" s="6">
        <f>$J$3+[30]FormattedData!F75*$J$4+$M$4*$J$5+[30]FormattedData!F75^2*$J$6+$M$5*$J$7</f>
        <v>33.009658853483742</v>
      </c>
      <c r="N72" s="6">
        <f>$J$3+[30]FormattedData!G75*$J$4+$M$4*$J$5+[30]FormattedData!G75^2*$J$6+$M$5*$J$7</f>
        <v>33.871472852811124</v>
      </c>
      <c r="O72" s="6">
        <f>$J$3+[30]FormattedData!H75*$J$4+$M$4*$J$5+[30]FormattedData!H75^2*$J$6+$M$5*$J$7</f>
        <v>32.817679677493757</v>
      </c>
      <c r="P72" s="6">
        <f>$J$3+[30]FormattedData!I75*$J$4+$M$4*$J$5+[30]FormattedData!I75^2*$J$6+$M$5*$J$7</f>
        <v>33.297310603434255</v>
      </c>
      <c r="Q72" s="6">
        <f>$J$3+[30]FormattedData!J75*$J$4+$M$4*$J$5+[30]FormattedData!J75^2*$J$6+$M$5*$J$7</f>
        <v>35.015232349468292</v>
      </c>
      <c r="R72" s="6">
        <f>$J$3+[30]FormattedData!K75*$J$4+$M$4*$J$5+[30]FormattedData!K75^2*$J$6+$M$5*$J$7</f>
        <v>34.253402314970408</v>
      </c>
      <c r="S72" s="6">
        <f>$J$3+[30]FormattedData!L75*$J$4+$M$4*$J$5+[30]FormattedData!L75^2*$J$6+$M$5*$J$7</f>
        <v>34.920151535038812</v>
      </c>
      <c r="T72" s="6">
        <f>$J$3+[30]FormattedData!M75*$J$4+$M$4*$J$5+[30]FormattedData!M75^2*$J$6+$M$5*$J$7</f>
        <v>36.53077685918128</v>
      </c>
      <c r="U72" s="6">
        <f>$J$3+[30]FormattedData!N75*$J$4+$M$4*$J$5+[30]FormattedData!N75^2*$J$6+$M$5*$J$7</f>
        <v>35.963715724176843</v>
      </c>
      <c r="V72" s="6">
        <f>$J$3+[30]FormattedData!O75*$J$4+$M$4*$J$5+[30]FormattedData!O75^2*$J$6+$M$5*$J$7</f>
        <v>40.086827549832272</v>
      </c>
      <c r="W72" s="5">
        <f t="shared" si="9"/>
        <v>34.479159966700394</v>
      </c>
      <c r="X72" s="4">
        <f t="shared" si="10"/>
        <v>0.69911876850118404</v>
      </c>
      <c r="Y72" s="3">
        <f t="shared" si="11"/>
        <v>30.112218427702793</v>
      </c>
      <c r="Z72" s="2">
        <f t="shared" si="12"/>
        <v>33.22539766594663</v>
      </c>
      <c r="AA72" s="3">
        <f t="shared" si="13"/>
        <v>34.06243758389077</v>
      </c>
      <c r="AB72" s="2">
        <f t="shared" si="14"/>
        <v>35.252353193145431</v>
      </c>
      <c r="AC72" s="2">
        <f t="shared" si="15"/>
        <v>40.086827549832272</v>
      </c>
      <c r="AD72" s="2">
        <f t="shared" si="16"/>
        <v>0.73218664141820888</v>
      </c>
      <c r="AE72" s="2">
        <f t="shared" si="17"/>
        <v>2.3324415076659779</v>
      </c>
    </row>
    <row r="73" spans="2:31" x14ac:dyDescent="0.2">
      <c r="B73" s="1">
        <f>[30]FormattedData!A77</f>
        <v>308</v>
      </c>
      <c r="C73" s="1" t="str">
        <f>VLOOKUP($B73,[30]TrtCodes!$B$11:I120,2)</f>
        <v>FDH</v>
      </c>
      <c r="D73" s="1">
        <f>VLOOKUP($B73,[30]TrtCodes!$B$11:J120,3)</f>
        <v>5</v>
      </c>
      <c r="E73" s="1">
        <f>VLOOKUP($B73,[30]TrtCodes!$B$11:K120,4)</f>
        <v>1</v>
      </c>
      <c r="F73" s="1">
        <f>VLOOKUP($B73,[30]TrtCodes!$B$11:L120,5)</f>
        <v>3</v>
      </c>
      <c r="G73" s="1">
        <f>VLOOKUP($B73,[30]TrtCodes!$B$11:M120,6)</f>
        <v>2</v>
      </c>
      <c r="H73" s="1">
        <f>VLOOKUP($B73,[30]TrtCodes!$B$11:N120,7)</f>
        <v>4</v>
      </c>
      <c r="I73" s="1">
        <f>[30]FormattedData!B77</f>
        <v>2</v>
      </c>
      <c r="J73" s="4">
        <f>[30]FormattedData!C77</f>
        <v>13.35</v>
      </c>
      <c r="K73" s="6">
        <f>$J$3+[30]FormattedData!D77*$J$4+$M$4*$J$5+[30]FormattedData!D77^2*$J$6+$M$5*$J$7</f>
        <v>31.082258756756225</v>
      </c>
      <c r="L73" s="6">
        <f>$J$3+[30]FormattedData!E77*$J$4+$M$4*$J$5+[30]FormattedData!E77^2*$J$6+$M$5*$J$7</f>
        <v>31.662254064367588</v>
      </c>
      <c r="M73" s="6">
        <f>$J$3+[30]FormattedData!F77*$J$4+$M$4*$J$5+[30]FormattedData!F77^2*$J$6+$M$5*$J$7</f>
        <v>30.985444932271566</v>
      </c>
      <c r="N73" s="6">
        <f>$J$3+[30]FormattedData!G77*$J$4+$M$4*$J$5+[30]FormattedData!G77^2*$J$6+$M$5*$J$7</f>
        <v>29.917703139436931</v>
      </c>
      <c r="O73" s="6">
        <f>$J$3+[30]FormattedData!H77*$J$4+$M$4*$J$5+[30]FormattedData!H77^2*$J$6+$M$5*$J$7</f>
        <v>31.372446618982597</v>
      </c>
      <c r="P73" s="6">
        <f>$J$3+[30]FormattedData!I77*$J$4+$M$4*$J$5+[30]FormattedData!I77^2*$J$6+$M$5*$J$7</f>
        <v>31.372446618982597</v>
      </c>
      <c r="Q73" s="6">
        <f>$J$3+[30]FormattedData!J77*$J$4+$M$4*$J$5+[30]FormattedData!J77^2*$J$6+$M$5*$J$7</f>
        <v>32.336992038104988</v>
      </c>
      <c r="R73" s="6">
        <f>$J$3+[30]FormattedData!K77*$J$4+$M$4*$J$5+[30]FormattedData!K77^2*$J$6+$M$5*$J$7</f>
        <v>31.082258756756225</v>
      </c>
      <c r="S73" s="6">
        <f>$J$3+[30]FormattedData!L77*$J$4+$M$4*$J$5+[30]FormattedData!L77^2*$J$6+$M$5*$J$7</f>
        <v>30.985444932271566</v>
      </c>
      <c r="T73" s="6">
        <f>$J$3+[30]FormattedData!M77*$J$4+$M$4*$J$5+[30]FormattedData!M77^2*$J$6+$M$5*$J$7</f>
        <v>30.597766948953648</v>
      </c>
      <c r="U73" s="6">
        <f>$J$3+[30]FormattedData!N77*$J$4+$M$4*$J$5+[30]FormattedData!N77^2*$J$6+$M$5*$J$7</f>
        <v>34.729863100566071</v>
      </c>
      <c r="V73" s="6">
        <f>$J$3+[30]FormattedData!O77*$J$4+$M$4*$J$5+[30]FormattedData!O77^2*$J$6+$M$5*$J$7</f>
        <v>33.297310603434255</v>
      </c>
      <c r="W73" s="5">
        <f t="shared" si="9"/>
        <v>31.618515875907026</v>
      </c>
      <c r="X73" s="4">
        <f t="shared" si="10"/>
        <v>0.37385631501181477</v>
      </c>
      <c r="Y73" s="3">
        <f t="shared" si="11"/>
        <v>29.917703139436931</v>
      </c>
      <c r="Z73" s="2">
        <f t="shared" si="12"/>
        <v>30.985444932271566</v>
      </c>
      <c r="AA73" s="3">
        <f t="shared" si="13"/>
        <v>31.227352687869413</v>
      </c>
      <c r="AB73" s="2">
        <f t="shared" si="14"/>
        <v>31.830938557801936</v>
      </c>
      <c r="AC73" s="2">
        <f t="shared" si="15"/>
        <v>34.729863100566071</v>
      </c>
      <c r="AD73" s="2">
        <f t="shared" si="16"/>
        <v>1.4259549502256716</v>
      </c>
      <c r="AE73" s="2">
        <f t="shared" si="17"/>
        <v>2.2330606178028027</v>
      </c>
    </row>
    <row r="74" spans="2:31" x14ac:dyDescent="0.2">
      <c r="B74" s="1">
        <f>[30]FormattedData!A93</f>
        <v>401</v>
      </c>
      <c r="C74" s="1" t="str">
        <f>VLOOKUP($B74,[30]TrtCodes!$B$11:I130,2)</f>
        <v>NSH</v>
      </c>
      <c r="D74" s="1">
        <f>VLOOKUP($B74,[30]TrtCodes!$B$11:J130,3)</f>
        <v>7</v>
      </c>
      <c r="E74" s="1">
        <f>VLOOKUP($B74,[30]TrtCodes!$B$11:K130,4)</f>
        <v>2</v>
      </c>
      <c r="F74" s="1">
        <f>VLOOKUP($B74,[30]TrtCodes!$B$11:L130,5)</f>
        <v>1</v>
      </c>
      <c r="G74" s="1">
        <f>VLOOKUP($B74,[30]TrtCodes!$B$11:M130,6)</f>
        <v>2</v>
      </c>
      <c r="H74" s="1">
        <f>VLOOKUP($B74,[30]TrtCodes!$B$11:N130,7)</f>
        <v>3</v>
      </c>
      <c r="I74" s="1">
        <f>[30]FormattedData!B93</f>
        <v>2</v>
      </c>
      <c r="J74" s="4">
        <f>[30]FormattedData!C93</f>
        <v>13.478999999999999</v>
      </c>
      <c r="K74" s="6">
        <f>$J$3+[30]FormattedData!D93*$J$4+$M$4*$J$5+[30]FormattedData!D93^2*$J$6+$M$5*$J$7</f>
        <v>31.951681092911205</v>
      </c>
      <c r="L74" s="6">
        <f>$J$3+[30]FormattedData!E93*$J$4+$M$4*$J$5+[30]FormattedData!E93^2*$J$6+$M$5*$J$7</f>
        <v>31.179030312702942</v>
      </c>
      <c r="M74" s="6">
        <f>$J$3+[30]FormattedData!F93*$J$4+$M$4*$J$5+[30]FormattedData!F93^2*$J$6+$M$5*$J$7</f>
        <v>31.372446618982597</v>
      </c>
      <c r="N74" s="6">
        <f>$J$3+[30]FormattedData!G93*$J$4+$M$4*$J$5+[30]FormattedData!G93^2*$J$6+$M$5*$J$7</f>
        <v>32.048072232016544</v>
      </c>
      <c r="O74" s="6">
        <f>$J$3+[30]FormattedData!H93*$J$4+$M$4*$J$5+[30]FormattedData!H93^2*$J$6+$M$5*$J$7</f>
        <v>32.817679677493757</v>
      </c>
      <c r="P74" s="6">
        <f>$J$3+[30]FormattedData!I93*$J$4+$M$4*$J$5+[30]FormattedData!I93^2*$J$6+$M$5*$J$7</f>
        <v>33.58458193654338</v>
      </c>
      <c r="Q74" s="6">
        <f>$J$3+[30]FormattedData!J93*$J$4+$M$4*$J$5+[30]FormattedData!J93^2*$J$6+$M$5*$J$7</f>
        <v>33.009658853483742</v>
      </c>
      <c r="R74" s="6">
        <f>$J$3+[30]FormattedData!K93*$J$4+$M$4*$J$5+[30]FormattedData!K93^2*$J$6+$M$5*$J$7</f>
        <v>33.680254510503886</v>
      </c>
      <c r="S74" s="6">
        <f>$J$3+[30]FormattedData!L93*$J$4+$M$4*$J$5+[30]FormattedData!L93^2*$J$6+$M$5*$J$7</f>
        <v>34.539405591941602</v>
      </c>
      <c r="T74" s="6">
        <f>$J$3+[30]FormattedData!M93*$J$4+$M$4*$J$5+[30]FormattedData!M93^2*$J$6+$M$5*$J$7</f>
        <v>33.105585038671848</v>
      </c>
      <c r="U74" s="6">
        <f>$J$3+[30]FormattedData!N93*$J$4+$M$4*$J$5+[30]FormattedData!N93^2*$J$6+$M$5*$J$7</f>
        <v>32.529393899474286</v>
      </c>
      <c r="V74" s="6">
        <f>$J$3+[30]FormattedData!O93*$J$4+$M$4*$J$5+[30]FormattedData!O93^2*$J$6+$M$5*$J$7</f>
        <v>33.297310603434255</v>
      </c>
      <c r="W74" s="5">
        <f t="shared" ref="W74:W105" si="18">AVERAGE(K74:V74)</f>
        <v>32.759591697346671</v>
      </c>
      <c r="X74" s="4">
        <f t="shared" ref="X74:X85" si="19">STDEV(K74:V74)/SQRT(COUNT(K74:V74))</f>
        <v>0.28610555770051022</v>
      </c>
      <c r="Y74" s="3">
        <f t="shared" ref="Y74:Y85" si="20">MIN(K74:V74)</f>
        <v>31.179030312702942</v>
      </c>
      <c r="Z74" s="2">
        <f t="shared" ref="Z74:Z85" si="21">QUARTILE(K74:V74,1)</f>
        <v>32.023974447240207</v>
      </c>
      <c r="AA74" s="3">
        <f t="shared" ref="AA74:AA85" si="22">MEDIAN(K74:V74)</f>
        <v>32.91366926548875</v>
      </c>
      <c r="AB74" s="2">
        <f t="shared" ref="AB74:AB85" si="23">QUARTILE(K74:V74,3)</f>
        <v>33.369128436711534</v>
      </c>
      <c r="AC74" s="2">
        <f t="shared" ref="AC74:AC85" si="24">MAX(K74:V74)</f>
        <v>34.539405591941602</v>
      </c>
      <c r="AD74" s="2">
        <f t="shared" ref="AD74:AD85" si="25">SKEW(K74:V74)</f>
        <v>-3.6395237969434689E-2</v>
      </c>
      <c r="AE74" s="2">
        <f t="shared" ref="AE74:AE85" si="26">KURT(K74:V74)</f>
        <v>-0.44916586377754442</v>
      </c>
    </row>
    <row r="75" spans="2:31" x14ac:dyDescent="0.2">
      <c r="B75" s="1">
        <f>[30]FormattedData!A91</f>
        <v>402</v>
      </c>
      <c r="C75" s="1" t="str">
        <f>VLOOKUP($B75,[30]TrtCodes!$B$11:I131,2)</f>
        <v>NTH</v>
      </c>
      <c r="D75" s="1">
        <f>VLOOKUP($B75,[30]TrtCodes!$B$11:J131,3)</f>
        <v>9</v>
      </c>
      <c r="E75" s="1">
        <f>VLOOKUP($B75,[30]TrtCodes!$B$11:K131,4)</f>
        <v>2</v>
      </c>
      <c r="F75" s="1">
        <f>VLOOKUP($B75,[30]TrtCodes!$B$11:L131,5)</f>
        <v>2</v>
      </c>
      <c r="G75" s="1">
        <f>VLOOKUP($B75,[30]TrtCodes!$B$11:M131,6)</f>
        <v>2</v>
      </c>
      <c r="H75" s="1">
        <f>VLOOKUP($B75,[30]TrtCodes!$B$11:N131,7)</f>
        <v>3</v>
      </c>
      <c r="I75" s="1">
        <f>[30]FormattedData!B91</f>
        <v>2</v>
      </c>
      <c r="J75" s="4">
        <f>[30]FormattedData!C91</f>
        <v>13.464</v>
      </c>
      <c r="K75" s="6">
        <f>$J$3+[30]FormattedData!D91*$J$4+$M$4*$J$5+[30]FormattedData!D91^2*$J$6+$M$5*$J$7</f>
        <v>32.336992038104988</v>
      </c>
      <c r="L75" s="6">
        <f>$J$3+[30]FormattedData!E91*$J$4+$M$4*$J$5+[30]FormattedData!E91^2*$J$6+$M$5*$J$7</f>
        <v>31.372446618982597</v>
      </c>
      <c r="M75" s="6">
        <f>$J$3+[30]FormattedData!F91*$J$4+$M$4*$J$5+[30]FormattedData!F91^2*$J$6+$M$5*$J$7</f>
        <v>33.775884815926474</v>
      </c>
      <c r="N75" s="6">
        <f>$J$3+[30]FormattedData!G91*$J$4+$M$4*$J$5+[30]FormattedData!G91^2*$J$6+$M$5*$J$7</f>
        <v>32.913690399757719</v>
      </c>
      <c r="O75" s="6">
        <f>$J$3+[30]FormattedData!H91*$J$4+$M$4*$J$5+[30]FormattedData!H91^2*$J$6+$M$5*$J$7</f>
        <v>33.680254510503886</v>
      </c>
      <c r="P75" s="6">
        <f>$J$3+[30]FormattedData!I91*$J$4+$M$4*$J$5+[30]FormattedData!I91^2*$J$6+$M$5*$J$7</f>
        <v>31.662254064367588</v>
      </c>
      <c r="Q75" s="6">
        <f>$J$3+[30]FormattedData!J91*$J$4+$M$4*$J$5+[30]FormattedData!J91^2*$J$6+$M$5*$J$7</f>
        <v>34.348779009165412</v>
      </c>
      <c r="R75" s="6">
        <f>$J$3+[30]FormattedData!K91*$J$4+$M$4*$J$5+[30]FormattedData!K91^2*$J$6+$M$5*$J$7</f>
        <v>33.201468955322014</v>
      </c>
      <c r="S75" s="6">
        <f>$J$3+[30]FormattedData!L91*$J$4+$M$4*$J$5+[30]FormattedData!L91^2*$J$6+$M$5*$J$7</f>
        <v>33.967018621157834</v>
      </c>
      <c r="T75" s="6">
        <f>$J$3+[30]FormattedData!M91*$J$4+$M$4*$J$5+[30]FormattedData!M91^2*$J$6+$M$5*$J$7</f>
        <v>33.775884815926474</v>
      </c>
      <c r="U75" s="6">
        <f>$J$3+[30]FormattedData!N91*$J$4+$M$4*$J$5+[30]FormattedData!N91^2*$J$6+$M$5*$J$7</f>
        <v>34.444113434822462</v>
      </c>
      <c r="V75" s="6">
        <f>$J$3+[30]FormattedData!O91*$J$4+$M$4*$J$5+[30]FormattedData!O91^2*$J$6+$M$5*$J$7</f>
        <v>35.395132921806884</v>
      </c>
      <c r="W75" s="5">
        <f t="shared" si="18"/>
        <v>33.406160017153688</v>
      </c>
      <c r="X75" s="4">
        <f t="shared" si="19"/>
        <v>0.33922502114065634</v>
      </c>
      <c r="Y75" s="3">
        <f t="shared" si="20"/>
        <v>31.372446618982597</v>
      </c>
      <c r="Z75" s="2">
        <f t="shared" si="21"/>
        <v>32.76951580934454</v>
      </c>
      <c r="AA75" s="3">
        <f t="shared" si="22"/>
        <v>33.72806966321518</v>
      </c>
      <c r="AB75" s="2">
        <f t="shared" si="23"/>
        <v>34.062458718159732</v>
      </c>
      <c r="AC75" s="2">
        <f t="shared" si="24"/>
        <v>35.395132921806884</v>
      </c>
      <c r="AD75" s="2">
        <f t="shared" si="25"/>
        <v>-0.33230464821682409</v>
      </c>
      <c r="AE75" s="2">
        <f t="shared" si="26"/>
        <v>-0.27624886854554465</v>
      </c>
    </row>
    <row r="76" spans="2:31" x14ac:dyDescent="0.2">
      <c r="B76" s="1">
        <f>[30]FormattedData!A89</f>
        <v>403</v>
      </c>
      <c r="C76" s="1" t="str">
        <f>VLOOKUP($B76,[30]TrtCodes!$B$11:I132,2)</f>
        <v>FDL</v>
      </c>
      <c r="D76" s="1">
        <f>VLOOKUP($B76,[30]TrtCodes!$B$11:J132,3)</f>
        <v>6</v>
      </c>
      <c r="E76" s="1">
        <f>VLOOKUP($B76,[30]TrtCodes!$B$11:K132,4)</f>
        <v>1</v>
      </c>
      <c r="F76" s="1">
        <f>VLOOKUP($B76,[30]TrtCodes!$B$11:L132,5)</f>
        <v>3</v>
      </c>
      <c r="G76" s="1">
        <f>VLOOKUP($B76,[30]TrtCodes!$B$11:M132,6)</f>
        <v>1</v>
      </c>
      <c r="H76" s="1">
        <f>VLOOKUP($B76,[30]TrtCodes!$B$11:N132,7)</f>
        <v>3</v>
      </c>
      <c r="I76" s="1">
        <f>[30]FormattedData!B89</f>
        <v>2</v>
      </c>
      <c r="J76" s="4">
        <f>[30]FormattedData!C89</f>
        <v>13.449</v>
      </c>
      <c r="K76" s="6">
        <f>$J$3+[30]FormattedData!D89*$J$4+$M$4*$J$5+[30]FormattedData!D89^2*$J$6+$M$5*$J$7</f>
        <v>30.694749847590025</v>
      </c>
      <c r="L76" s="6">
        <f>$J$3+[30]FormattedData!E89*$J$4+$M$4*$J$5+[30]FormattedData!E89^2*$J$6+$M$5*$J$7</f>
        <v>32.529393899474286</v>
      </c>
      <c r="M76" s="6">
        <f>$J$3+[30]FormattedData!F89*$J$4+$M$4*$J$5+[30]FormattedData!F89^2*$J$6+$M$5*$J$7</f>
        <v>34.634655480522795</v>
      </c>
      <c r="N76" s="6">
        <f>$J$3+[30]FormattedData!G89*$J$4+$M$4*$J$5+[30]FormattedData!G89^2*$J$6+$M$5*$J$7</f>
        <v>31.275759600111741</v>
      </c>
      <c r="O76" s="6">
        <f>$J$3+[30]FormattedData!H89*$J$4+$M$4*$J$5+[30]FormattedData!H89^2*$J$6+$M$5*$J$7</f>
        <v>32.048072232016544</v>
      </c>
      <c r="P76" s="6">
        <f>$J$3+[30]FormattedData!I89*$J$4+$M$4*$J$5+[30]FormattedData!I89^2*$J$6+$M$5*$J$7</f>
        <v>32.336992038104988</v>
      </c>
      <c r="Q76" s="6">
        <f>$J$3+[30]FormattedData!J89*$J$4+$M$4*$J$5+[30]FormattedData!J89^2*$J$6+$M$5*$J$7</f>
        <v>32.817679677493757</v>
      </c>
      <c r="R76" s="6">
        <f>$J$3+[30]FormattedData!K89*$J$4+$M$4*$J$5+[30]FormattedData!K89^2*$J$6+$M$5*$J$7</f>
        <v>34.253402314970408</v>
      </c>
      <c r="S76" s="6">
        <f>$J$3+[30]FormattedData!L89*$J$4+$M$4*$J$5+[30]FormattedData!L89^2*$J$6+$M$5*$J$7</f>
        <v>33.775884815926474</v>
      </c>
      <c r="T76" s="6">
        <f>$J$3+[30]FormattedData!M89*$J$4+$M$4*$J$5+[30]FormattedData!M89^2*$J$6+$M$5*$J$7</f>
        <v>34.539405591941602</v>
      </c>
      <c r="U76" s="6">
        <f>$J$3+[30]FormattedData!N89*$J$4+$M$4*$J$5+[30]FormattedData!N89^2*$J$6+$M$5*$J$7</f>
        <v>33.009658853483742</v>
      </c>
      <c r="V76" s="6">
        <f>$J$3+[30]FormattedData!O89*$J$4+$M$4*$J$5+[30]FormattedData!O89^2*$J$6+$M$5*$J$7</f>
        <v>34.539405591941602</v>
      </c>
      <c r="W76" s="5">
        <f t="shared" si="18"/>
        <v>33.03792166196483</v>
      </c>
      <c r="X76" s="4">
        <f t="shared" si="19"/>
        <v>0.38391058997465033</v>
      </c>
      <c r="Y76" s="3">
        <f t="shared" si="20"/>
        <v>30.694749847590025</v>
      </c>
      <c r="Z76" s="2">
        <f t="shared" si="21"/>
        <v>32.264762086582877</v>
      </c>
      <c r="AA76" s="3">
        <f t="shared" si="22"/>
        <v>32.91366926548875</v>
      </c>
      <c r="AB76" s="2">
        <f t="shared" si="23"/>
        <v>34.324903134213208</v>
      </c>
      <c r="AC76" s="2">
        <f t="shared" si="24"/>
        <v>34.634655480522795</v>
      </c>
      <c r="AD76" s="2">
        <f t="shared" si="25"/>
        <v>-0.31328245980633002</v>
      </c>
      <c r="AE76" s="2">
        <f t="shared" si="26"/>
        <v>-1.000681284057058</v>
      </c>
    </row>
    <row r="77" spans="2:31" x14ac:dyDescent="0.2">
      <c r="B77" s="1">
        <f>[30]FormattedData!A87</f>
        <v>404</v>
      </c>
      <c r="C77" s="1" t="str">
        <f>VLOOKUP($B77,[30]TrtCodes!$B$11:I130,2)</f>
        <v>FTH</v>
      </c>
      <c r="D77" s="1">
        <f>VLOOKUP($B77,[30]TrtCodes!$B$11:J130,3)</f>
        <v>3</v>
      </c>
      <c r="E77" s="1">
        <f>VLOOKUP($B77,[30]TrtCodes!$B$11:K130,4)</f>
        <v>1</v>
      </c>
      <c r="F77" s="1">
        <f>VLOOKUP($B77,[30]TrtCodes!$B$11:L130,5)</f>
        <v>2</v>
      </c>
      <c r="G77" s="1">
        <f>VLOOKUP($B77,[30]TrtCodes!$B$11:M130,6)</f>
        <v>2</v>
      </c>
      <c r="H77" s="1">
        <f>VLOOKUP($B77,[30]TrtCodes!$B$11:N130,7)</f>
        <v>3</v>
      </c>
      <c r="I77" s="1">
        <f>[30]FormattedData!B87</f>
        <v>2</v>
      </c>
      <c r="J77" s="4">
        <f>[30]FormattedData!C87</f>
        <v>13.433999999999999</v>
      </c>
      <c r="K77" s="6">
        <f>$J$3+[30]FormattedData!D87*$J$4+$M$4*$J$5+[30]FormattedData!D87^2*$J$6+$M$5*$J$7</f>
        <v>34.634655480522795</v>
      </c>
      <c r="L77" s="6">
        <f>$J$3+[30]FormattedData!E87*$J$4+$M$4*$J$5+[30]FormattedData!E87^2*$J$6+$M$5*$J$7</f>
        <v>34.634655480522795</v>
      </c>
      <c r="M77" s="6">
        <f>$J$3+[30]FormattedData!F87*$J$4+$M$4*$J$5+[30]FormattedData!F87^2*$J$6+$M$5*$J$7</f>
        <v>35.490002393546703</v>
      </c>
      <c r="N77" s="6">
        <f>$J$3+[30]FormattedData!G87*$J$4+$M$4*$J$5+[30]FormattedData!G87^2*$J$6+$M$5*$J$7</f>
        <v>35.490002393546703</v>
      </c>
      <c r="O77" s="6">
        <f>$J$3+[30]FormattedData!H87*$J$4+$M$4*$J$5+[30]FormattedData!H87^2*$J$6+$M$5*$J$7</f>
        <v>34.348779009165412</v>
      </c>
      <c r="P77" s="6">
        <f>$J$3+[30]FormattedData!I87*$J$4+$M$4*$J$5+[30]FormattedData!I87^2*$J$6+$M$5*$J$7</f>
        <v>33.967018621157834</v>
      </c>
      <c r="Q77" s="6">
        <f>$J$3+[30]FormattedData!J87*$J$4+$M$4*$J$5+[30]FormattedData!J87^2*$J$6+$M$5*$J$7</f>
        <v>35.963715724176843</v>
      </c>
      <c r="R77" s="6">
        <f>$J$3+[30]FormattedData!K87*$J$4+$M$4*$J$5+[30]FormattedData!K87^2*$J$6+$M$5*$J$7</f>
        <v>35.300221181529139</v>
      </c>
      <c r="S77" s="6">
        <f>$J$3+[30]FormattedData!L87*$J$4+$M$4*$J$5+[30]FormattedData!L87^2*$J$6+$M$5*$J$7</f>
        <v>35.774357197538585</v>
      </c>
      <c r="T77" s="6">
        <f>$J$3+[30]FormattedData!M87*$J$4+$M$4*$J$5+[30]FormattedData!M87^2*$J$6+$M$5*$J$7</f>
        <v>35.963715724176843</v>
      </c>
      <c r="U77" s="6">
        <f>$J$3+[30]FormattedData!N87*$J$4+$M$4*$J$5+[30]FormattedData!N87^2*$J$6+$M$5*$J$7</f>
        <v>34.825028452071415</v>
      </c>
      <c r="V77" s="6">
        <f>$J$3+[30]FormattedData!O87*$J$4+$M$4*$J$5+[30]FormattedData!O87^2*$J$6+$M$5*$J$7</f>
        <v>34.444113434822462</v>
      </c>
      <c r="W77" s="5">
        <f t="shared" si="18"/>
        <v>35.069688757731456</v>
      </c>
      <c r="X77" s="4">
        <f t="shared" si="19"/>
        <v>0.19592248190475312</v>
      </c>
      <c r="Y77" s="3">
        <f t="shared" si="20"/>
        <v>33.967018621157834</v>
      </c>
      <c r="Z77" s="2">
        <f t="shared" si="21"/>
        <v>34.58701996909771</v>
      </c>
      <c r="AA77" s="3">
        <f t="shared" si="22"/>
        <v>35.06262481680028</v>
      </c>
      <c r="AB77" s="2">
        <f t="shared" si="23"/>
        <v>35.561091094544672</v>
      </c>
      <c r="AC77" s="2">
        <f t="shared" si="24"/>
        <v>35.963715724176843</v>
      </c>
      <c r="AD77" s="2">
        <f t="shared" si="25"/>
        <v>-6.9676050342506513E-2</v>
      </c>
      <c r="AE77" s="2">
        <f t="shared" si="26"/>
        <v>-1.3847423814454545</v>
      </c>
    </row>
    <row r="78" spans="2:31" x14ac:dyDescent="0.2">
      <c r="B78" s="1">
        <f>[30]FormattedData!A85</f>
        <v>405</v>
      </c>
      <c r="C78" s="1" t="str">
        <f>VLOOKUP($B78,[30]TrtCodes!$B$11:I128,2)</f>
        <v>FDL</v>
      </c>
      <c r="D78" s="1">
        <f>VLOOKUP($B78,[30]TrtCodes!$B$11:J128,3)</f>
        <v>6</v>
      </c>
      <c r="E78" s="1">
        <f>VLOOKUP($B78,[30]TrtCodes!$B$11:K128,4)</f>
        <v>1</v>
      </c>
      <c r="F78" s="1">
        <f>VLOOKUP($B78,[30]TrtCodes!$B$11:L128,5)</f>
        <v>3</v>
      </c>
      <c r="G78" s="1">
        <f>VLOOKUP($B78,[30]TrtCodes!$B$11:M128,6)</f>
        <v>1</v>
      </c>
      <c r="H78" s="1">
        <f>VLOOKUP($B78,[30]TrtCodes!$B$11:N128,7)</f>
        <v>4</v>
      </c>
      <c r="I78" s="1">
        <f>[30]FormattedData!B85</f>
        <v>2</v>
      </c>
      <c r="J78" s="4">
        <f>[30]FormattedData!C85</f>
        <v>13.417999999999999</v>
      </c>
      <c r="K78" s="6">
        <f>$J$3+[30]FormattedData!D85*$J$4+$M$4*$J$5+[30]FormattedData!D85^2*$J$6+$M$5*$J$7</f>
        <v>33.297310603434255</v>
      </c>
      <c r="L78" s="6">
        <f>$J$3+[30]FormattedData!E85*$J$4+$M$4*$J$5+[30]FormattedData!E85^2*$J$6+$M$5*$J$7</f>
        <v>33.775884815926474</v>
      </c>
      <c r="M78" s="6">
        <f>$J$3+[30]FormattedData!F85*$J$4+$M$4*$J$5+[30]FormattedData!F85^2*$J$6+$M$5*$J$7</f>
        <v>38.31643167560334</v>
      </c>
      <c r="N78" s="6">
        <f>$J$3+[30]FormattedData!G85*$J$4+$M$4*$J$5+[30]FormattedData!G85^2*$J$6+$M$5*$J$7</f>
        <v>33.105585038671848</v>
      </c>
      <c r="O78" s="6">
        <f>$J$3+[30]FormattedData!H85*$J$4+$M$4*$J$5+[30]FormattedData!H85^2*$J$6+$M$5*$J$7</f>
        <v>36.907972245092282</v>
      </c>
      <c r="P78" s="6">
        <f>$J$3+[30]FormattedData!I85*$J$4+$M$4*$J$5+[30]FormattedData!I85^2*$J$6+$M$5*$J$7</f>
        <v>33.775884815926474</v>
      </c>
      <c r="Q78" s="6">
        <f>$J$3+[30]FormattedData!J85*$J$4+$M$4*$J$5+[30]FormattedData!J85^2*$J$6+$M$5*$J$7</f>
        <v>33.871472852811124</v>
      </c>
      <c r="R78" s="6">
        <f>$J$3+[30]FormattedData!K85*$J$4+$M$4*$J$5+[30]FormattedData!K85^2*$J$6+$M$5*$J$7</f>
        <v>33.297310603434255</v>
      </c>
      <c r="S78" s="6">
        <f>$J$3+[30]FormattedData!L85*$J$4+$M$4*$J$5+[30]FormattedData!L85^2*$J$6+$M$5*$J$7</f>
        <v>34.253402314970408</v>
      </c>
      <c r="T78" s="6">
        <f>$J$3+[30]FormattedData!M85*$J$4+$M$4*$J$5+[30]FormattedData!M85^2*$J$6+$M$5*$J$7</f>
        <v>35.774357197538585</v>
      </c>
      <c r="U78" s="6">
        <f>$J$3+[30]FormattedData!N85*$J$4+$M$4*$J$5+[30]FormattedData!N85^2*$J$6+$M$5*$J$7</f>
        <v>34.253402314970408</v>
      </c>
      <c r="V78" s="6">
        <f>$J$3+[30]FormattedData!O85*$J$4+$M$4*$J$5+[30]FormattedData!O85^2*$J$6+$M$5*$J$7</f>
        <v>34.15798335223748</v>
      </c>
      <c r="W78" s="5">
        <f t="shared" si="18"/>
        <v>34.565583152551405</v>
      </c>
      <c r="X78" s="4">
        <f t="shared" si="19"/>
        <v>0.46429727274906929</v>
      </c>
      <c r="Y78" s="3">
        <f t="shared" si="20"/>
        <v>33.105585038671848</v>
      </c>
      <c r="Z78" s="2">
        <f t="shared" si="21"/>
        <v>33.65624126280342</v>
      </c>
      <c r="AA78" s="3">
        <f t="shared" si="22"/>
        <v>34.014728102524302</v>
      </c>
      <c r="AB78" s="2">
        <f t="shared" si="23"/>
        <v>34.633641035612456</v>
      </c>
      <c r="AC78" s="2">
        <f t="shared" si="24"/>
        <v>38.31643167560334</v>
      </c>
      <c r="AD78" s="2">
        <f t="shared" si="25"/>
        <v>1.5403681481366895</v>
      </c>
      <c r="AE78" s="2">
        <f t="shared" si="26"/>
        <v>1.6403477347654034</v>
      </c>
    </row>
    <row r="79" spans="2:31" x14ac:dyDescent="0.2">
      <c r="B79" s="1">
        <f>[30]FormattedData!A83</f>
        <v>406</v>
      </c>
      <c r="C79" s="1" t="str">
        <f>VLOOKUP($B79,[30]TrtCodes!$B$11:I126,2)</f>
        <v>FTH</v>
      </c>
      <c r="D79" s="1">
        <f>VLOOKUP($B79,[30]TrtCodes!$B$11:J126,3)</f>
        <v>3</v>
      </c>
      <c r="E79" s="1">
        <f>VLOOKUP($B79,[30]TrtCodes!$B$11:K126,4)</f>
        <v>1</v>
      </c>
      <c r="F79" s="1">
        <f>VLOOKUP($B79,[30]TrtCodes!$B$11:L126,5)</f>
        <v>2</v>
      </c>
      <c r="G79" s="1">
        <f>VLOOKUP($B79,[30]TrtCodes!$B$11:M126,6)</f>
        <v>2</v>
      </c>
      <c r="H79" s="1">
        <f>VLOOKUP($B79,[30]TrtCodes!$B$11:N126,7)</f>
        <v>4</v>
      </c>
      <c r="I79" s="1">
        <f>[30]FormattedData!B83</f>
        <v>2</v>
      </c>
      <c r="J79" s="4">
        <f>[30]FormattedData!C83</f>
        <v>13.401999999999999</v>
      </c>
      <c r="K79" s="6">
        <f>$J$3+[30]FormattedData!D83*$J$4+$M$4*$J$5+[30]FormattedData!D83^2*$J$6+$M$5*$J$7</f>
        <v>34.444113434822462</v>
      </c>
      <c r="L79" s="6">
        <f>$J$3+[30]FormattedData!E83*$J$4+$M$4*$J$5+[30]FormattedData!E83^2*$J$6+$M$5*$J$7</f>
        <v>33.967018621157834</v>
      </c>
      <c r="M79" s="6">
        <f>$J$3+[30]FormattedData!F83*$J$4+$M$4*$J$5+[30]FormattedData!F83^2*$J$6+$M$5*$J$7</f>
        <v>33.58458193654338</v>
      </c>
      <c r="N79" s="6">
        <f>$J$3+[30]FormattedData!G83*$J$4+$M$4*$J$5+[30]FormattedData!G83^2*$J$6+$M$5*$J$7</f>
        <v>33.775884815926474</v>
      </c>
      <c r="O79" s="6">
        <f>$J$3+[30]FormattedData!H83*$J$4+$M$4*$J$5+[30]FormattedData!H83^2*$J$6+$M$5*$J$7</f>
        <v>34.253402314970408</v>
      </c>
      <c r="P79" s="6">
        <f>$J$3+[30]FormattedData!I83*$J$4+$M$4*$J$5+[30]FormattedData!I83^2*$J$6+$M$5*$J$7</f>
        <v>36.058331584689078</v>
      </c>
      <c r="Q79" s="6">
        <f>$J$3+[30]FormattedData!J83*$J$4+$M$4*$J$5+[30]FormattedData!J83^2*$J$6+$M$5*$J$7</f>
        <v>33.871472852811124</v>
      </c>
      <c r="R79" s="6">
        <f>$J$3+[30]FormattedData!K83*$J$4+$M$4*$J$5+[30]FormattedData!K83^2*$J$6+$M$5*$J$7</f>
        <v>33.105585038671848</v>
      </c>
      <c r="S79" s="6">
        <f>$J$3+[30]FormattedData!L83*$J$4+$M$4*$J$5+[30]FormattedData!L83^2*$J$6+$M$5*$J$7</f>
        <v>33.393109983008557</v>
      </c>
      <c r="T79" s="6">
        <f>$J$3+[30]FormattedData!M83*$J$4+$M$4*$J$5+[30]FormattedData!M83^2*$J$6+$M$5*$J$7</f>
        <v>34.539405591941602</v>
      </c>
      <c r="U79" s="6">
        <f>$J$3+[30]FormattedData!N83*$J$4+$M$4*$J$5+[30]FormattedData!N83^2*$J$6+$M$5*$J$7</f>
        <v>34.920151535038812</v>
      </c>
      <c r="V79" s="6">
        <f>$J$3+[30]FormattedData!O83*$J$4+$M$4*$J$5+[30]FormattedData!O83^2*$J$6+$M$5*$J$7</f>
        <v>33.967018621157834</v>
      </c>
      <c r="W79" s="5">
        <f t="shared" si="18"/>
        <v>34.156673027561617</v>
      </c>
      <c r="X79" s="4">
        <f t="shared" si="19"/>
        <v>0.22615103807964498</v>
      </c>
      <c r="Y79" s="3">
        <f t="shared" si="20"/>
        <v>33.105585038671848</v>
      </c>
      <c r="Z79" s="2">
        <f t="shared" si="21"/>
        <v>33.728059096080699</v>
      </c>
      <c r="AA79" s="3">
        <f t="shared" si="22"/>
        <v>33.967018621157834</v>
      </c>
      <c r="AB79" s="2">
        <f t="shared" si="23"/>
        <v>34.467936474102245</v>
      </c>
      <c r="AC79" s="2">
        <f t="shared" si="24"/>
        <v>36.058331584689078</v>
      </c>
      <c r="AD79" s="2">
        <f t="shared" si="25"/>
        <v>1.2517743246747588</v>
      </c>
      <c r="AE79" s="2">
        <f t="shared" si="26"/>
        <v>2.3018981093838393</v>
      </c>
    </row>
    <row r="80" spans="2:31" x14ac:dyDescent="0.2">
      <c r="B80" s="1">
        <f>[30]FormattedData!A81</f>
        <v>407</v>
      </c>
      <c r="C80" s="1" t="str">
        <f>VLOOKUP($B80,[30]TrtCodes!$B$11:I124,2)</f>
        <v>NSH</v>
      </c>
      <c r="D80" s="1">
        <f>VLOOKUP($B80,[30]TrtCodes!$B$11:J124,3)</f>
        <v>7</v>
      </c>
      <c r="E80" s="1">
        <f>VLOOKUP($B80,[30]TrtCodes!$B$11:K124,4)</f>
        <v>2</v>
      </c>
      <c r="F80" s="1">
        <f>VLOOKUP($B80,[30]TrtCodes!$B$11:L124,5)</f>
        <v>1</v>
      </c>
      <c r="G80" s="1">
        <f>VLOOKUP($B80,[30]TrtCodes!$B$11:M124,6)</f>
        <v>2</v>
      </c>
      <c r="H80" s="1">
        <f>VLOOKUP($B80,[30]TrtCodes!$B$11:N124,7)</f>
        <v>4</v>
      </c>
      <c r="I80" s="1">
        <f>[30]FormattedData!B81</f>
        <v>2</v>
      </c>
      <c r="J80" s="4">
        <f>[30]FormattedData!C81</f>
        <v>13.387</v>
      </c>
      <c r="K80" s="6">
        <f>$J$3+[30]FormattedData!D81*$J$4+$M$4*$J$5+[30]FormattedData!D81^2*$J$6+$M$5*$J$7</f>
        <v>30.403674346067099</v>
      </c>
      <c r="L80" s="6">
        <f>$J$3+[30]FormattedData!E81*$J$4+$M$4*$J$5+[30]FormattedData!E81^2*$J$6+$M$5*$J$7</f>
        <v>31.662254064367588</v>
      </c>
      <c r="M80" s="6">
        <f>$J$3+[30]FormattedData!F81*$J$4+$M$4*$J$5+[30]FormattedData!F81^2*$J$6+$M$5*$J$7</f>
        <v>31.951681092911205</v>
      </c>
      <c r="N80" s="6">
        <f>$J$3+[30]FormattedData!G81*$J$4+$M$4*$J$5+[30]FormattedData!G81^2*$J$6+$M$5*$J$7</f>
        <v>30.791690477688473</v>
      </c>
      <c r="O80" s="6">
        <f>$J$3+[30]FormattedData!H81*$J$4+$M$4*$J$5+[30]FormattedData!H81^2*$J$6+$M$5*$J$7</f>
        <v>32.240727704613434</v>
      </c>
      <c r="P80" s="6">
        <f>$J$3+[30]FormattedData!I81*$J$4+$M$4*$J$5+[30]FormattedData!I81^2*$J$6+$M$5*$J$7</f>
        <v>31.179030312702942</v>
      </c>
      <c r="Q80" s="6">
        <f>$J$3+[30]FormattedData!J81*$J$4+$M$4*$J$5+[30]FormattedData!J81^2*$J$6+$M$5*$J$7</f>
        <v>32.721626686691863</v>
      </c>
      <c r="R80" s="6">
        <f>$J$3+[30]FormattedData!K81*$J$4+$M$4*$J$5+[30]FormattedData!K81^2*$J$6+$M$5*$J$7</f>
        <v>33.775884815926474</v>
      </c>
      <c r="S80" s="6">
        <f>$J$3+[30]FormattedData!L81*$J$4+$M$4*$J$5+[30]FormattedData!L81^2*$J$6+$M$5*$J$7</f>
        <v>34.825028452071415</v>
      </c>
      <c r="T80" s="6">
        <f>$J$3+[30]FormattedData!M81*$J$4+$M$4*$J$5+[30]FormattedData!M81^2*$J$6+$M$5*$J$7</f>
        <v>32.529393899474286</v>
      </c>
      <c r="U80" s="6">
        <f>$J$3+[30]FormattedData!N81*$J$4+$M$4*$J$5+[30]FormattedData!N81^2*$J$6+$M$5*$J$7</f>
        <v>33.871472852811124</v>
      </c>
      <c r="V80" s="6">
        <f>$J$3+[30]FormattedData!O81*$J$4+$M$4*$J$5+[30]FormattedData!O81^2*$J$6+$M$5*$J$7</f>
        <v>34.539405591941602</v>
      </c>
      <c r="W80" s="5">
        <f t="shared" si="18"/>
        <v>32.54098919143896</v>
      </c>
      <c r="X80" s="4">
        <f t="shared" si="19"/>
        <v>0.41951569236465813</v>
      </c>
      <c r="Y80" s="3">
        <f t="shared" si="20"/>
        <v>30.403674346067099</v>
      </c>
      <c r="Z80" s="2">
        <f t="shared" si="21"/>
        <v>31.541448126451428</v>
      </c>
      <c r="AA80" s="3">
        <f t="shared" si="22"/>
        <v>32.38506080204386</v>
      </c>
      <c r="AB80" s="2">
        <f t="shared" si="23"/>
        <v>33.799781825147633</v>
      </c>
      <c r="AC80" s="2">
        <f t="shared" si="24"/>
        <v>34.825028452071415</v>
      </c>
      <c r="AD80" s="2">
        <f t="shared" si="25"/>
        <v>0.19861185791409941</v>
      </c>
      <c r="AE80" s="2">
        <f t="shared" si="26"/>
        <v>-1.1002228266450085</v>
      </c>
    </row>
    <row r="81" spans="2:31" x14ac:dyDescent="0.2">
      <c r="B81" s="1">
        <f>[30]FormattedData!A79</f>
        <v>408</v>
      </c>
      <c r="C81" s="1" t="str">
        <f>VLOOKUP($B81,[30]TrtCodes!$B$11:I122,2)</f>
        <v>NTL</v>
      </c>
      <c r="D81" s="1">
        <f>VLOOKUP($B81,[30]TrtCodes!$B$11:J122,3)</f>
        <v>10</v>
      </c>
      <c r="E81" s="1">
        <f>VLOOKUP($B81,[30]TrtCodes!$B$11:K122,4)</f>
        <v>2</v>
      </c>
      <c r="F81" s="1">
        <f>VLOOKUP($B81,[30]TrtCodes!$B$11:L122,5)</f>
        <v>2</v>
      </c>
      <c r="G81" s="1">
        <f>VLOOKUP($B81,[30]TrtCodes!$B$11:M122,6)</f>
        <v>1</v>
      </c>
      <c r="H81" s="1">
        <f>VLOOKUP($B81,[30]TrtCodes!$B$11:N122,7)</f>
        <v>4</v>
      </c>
      <c r="I81" s="1">
        <f>[30]FormattedData!B79</f>
        <v>2</v>
      </c>
      <c r="J81" s="4">
        <f>[30]FormattedData!C79</f>
        <v>13.372</v>
      </c>
      <c r="K81" s="6">
        <f>$J$3+[30]FormattedData!D79*$J$4+$M$4*$J$5+[30]FormattedData!D79^2*$J$6+$M$5*$J$7</f>
        <v>29.625613193003659</v>
      </c>
      <c r="L81" s="6">
        <f>$J$3+[30]FormattedData!E79*$J$4+$M$4*$J$5+[30]FormattedData!E79^2*$J$6+$M$5*$J$7</f>
        <v>31.275759600111741</v>
      </c>
      <c r="M81" s="6">
        <f>$J$3+[30]FormattedData!F79*$J$4+$M$4*$J$5+[30]FormattedData!F79^2*$J$6+$M$5*$J$7</f>
        <v>30.694749847590025</v>
      </c>
      <c r="N81" s="6">
        <f>$J$3+[30]FormattedData!G79*$J$4+$M$4*$J$5+[30]FormattedData!G79^2*$J$6+$M$5*$J$7</f>
        <v>30.014981917838824</v>
      </c>
      <c r="O81" s="6">
        <f>$J$3+[30]FormattedData!H79*$J$4+$M$4*$J$5+[30]FormattedData!H79^2*$J$6+$M$5*$J$7</f>
        <v>30.985444932271566</v>
      </c>
      <c r="P81" s="6">
        <f>$J$3+[30]FormattedData!I79*$J$4+$M$4*$J$5+[30]FormattedData!I79^2*$J$6+$M$5*$J$7</f>
        <v>31.758772009086726</v>
      </c>
      <c r="Q81" s="6">
        <f>$J$3+[30]FormattedData!J79*$J$4+$M$4*$J$5+[30]FormattedData!J79^2*$J$6+$M$5*$J$7</f>
        <v>31.275759600111741</v>
      </c>
      <c r="R81" s="6">
        <f>$J$3+[30]FormattedData!K79*$J$4+$M$4*$J$5+[30]FormattedData!K79^2*$J$6+$M$5*$J$7</f>
        <v>29.625613193003659</v>
      </c>
      <c r="S81" s="6">
        <f>$J$3+[30]FormattedData!L79*$J$4+$M$4*$J$5+[30]FormattedData!L79^2*$J$6+$M$5*$J$7</f>
        <v>31.082258756756225</v>
      </c>
      <c r="T81" s="6">
        <f>$J$3+[30]FormattedData!M79*$J$4+$M$4*$J$5+[30]FormattedData!M79^2*$J$6+$M$5*$J$7</f>
        <v>31.565693851110524</v>
      </c>
      <c r="U81" s="6">
        <f>$J$3+[30]FormattedData!N79*$J$4+$M$4*$J$5+[30]FormattedData!N79^2*$J$6+$M$5*$J$7</f>
        <v>30.500741781779336</v>
      </c>
      <c r="V81" s="6">
        <f>$J$3+[30]FormattedData!O79*$J$4+$M$4*$J$5+[30]FormattedData!O79^2*$J$6+$M$5*$J$7</f>
        <v>31.179030312702942</v>
      </c>
      <c r="W81" s="5">
        <f t="shared" si="18"/>
        <v>30.798701582947245</v>
      </c>
      <c r="X81" s="4">
        <f t="shared" si="19"/>
        <v>0.20764159132583745</v>
      </c>
      <c r="Y81" s="3">
        <f t="shared" si="20"/>
        <v>29.625613193003659</v>
      </c>
      <c r="Z81" s="2">
        <f t="shared" si="21"/>
        <v>30.379301815794207</v>
      </c>
      <c r="AA81" s="3">
        <f t="shared" si="22"/>
        <v>31.033851844513897</v>
      </c>
      <c r="AB81" s="2">
        <f t="shared" si="23"/>
        <v>31.275759600111741</v>
      </c>
      <c r="AC81" s="2">
        <f t="shared" si="24"/>
        <v>31.758772009086726</v>
      </c>
      <c r="AD81" s="2">
        <f t="shared" si="25"/>
        <v>-0.6155937655829119</v>
      </c>
      <c r="AE81" s="2">
        <f t="shared" si="26"/>
        <v>-0.79529941430837736</v>
      </c>
    </row>
    <row r="82" spans="2:31" x14ac:dyDescent="0.2">
      <c r="B82" s="1">
        <f>[30]FormattedData!A59</f>
        <v>902</v>
      </c>
      <c r="C82" s="1" t="str">
        <f>VLOOKUP($B82,[30]TrtCodes!$B$11:I102,2)</f>
        <v>Late</v>
      </c>
      <c r="D82" s="1">
        <f>VLOOKUP($B82,[30]TrtCodes!$B$11:J102,3)</f>
        <v>22</v>
      </c>
      <c r="E82" s="1">
        <f>VLOOKUP($B82,[30]TrtCodes!$B$11:K102,4)</f>
        <v>4</v>
      </c>
      <c r="F82" s="1">
        <f>VLOOKUP($B82,[30]TrtCodes!$B$11:L102,5)</f>
        <v>2</v>
      </c>
      <c r="G82" s="1">
        <f>VLOOKUP($B82,[30]TrtCodes!$B$11:M102,6)</f>
        <v>2</v>
      </c>
      <c r="H82" s="1">
        <f>VLOOKUP($B82,[30]TrtCodes!$B$11:N102,7)</f>
        <v>1</v>
      </c>
      <c r="I82" s="1">
        <f>[30]FormattedData!B59</f>
        <v>2</v>
      </c>
      <c r="J82" s="4">
        <f>[30]FormattedData!C59</f>
        <v>13.22</v>
      </c>
      <c r="K82" s="6">
        <f>$J$3+[30]FormattedData!D59*$J$4+$M$4*$J$5+[30]FormattedData!D59^2*$J$6+$M$5*$J$7</f>
        <v>34.062522120966626</v>
      </c>
      <c r="L82" s="6">
        <f>$J$3+[30]FormattedData!E59*$J$4+$M$4*$J$5+[30]FormattedData!E59^2*$J$6+$M$5*$J$7</f>
        <v>33.297310603434255</v>
      </c>
      <c r="M82" s="6">
        <f>$J$3+[30]FormattedData!F59*$J$4+$M$4*$J$5+[30]FormattedData!F59^2*$J$6+$M$5*$J$7</f>
        <v>32.625531427352037</v>
      </c>
      <c r="N82" s="6">
        <f>$J$3+[30]FormattedData!G59*$J$4+$M$4*$J$5+[30]FormattedData!G59^2*$J$6+$M$5*$J$7</f>
        <v>33.680254510503886</v>
      </c>
      <c r="O82" s="6">
        <f>$J$3+[30]FormattedData!H59*$J$4+$M$4*$J$5+[30]FormattedData!H59^2*$J$6+$M$5*$J$7</f>
        <v>34.444113434822462</v>
      </c>
      <c r="P82" s="6">
        <f>$J$3+[30]FormattedData!I59*$J$4+$M$4*$J$5+[30]FormattedData!I59^2*$J$6+$M$5*$J$7</f>
        <v>35.774357197538585</v>
      </c>
      <c r="Q82" s="6">
        <f>$J$3+[30]FormattedData!J59*$J$4+$M$4*$J$5+[30]FormattedData!J59^2*$J$6+$M$5*$J$7</f>
        <v>35.015232349468292</v>
      </c>
      <c r="R82" s="6">
        <f>$J$3+[30]FormattedData!K59*$J$4+$M$4*$J$5+[30]FormattedData!K59^2*$J$6+$M$5*$J$7</f>
        <v>33.58458193654338</v>
      </c>
      <c r="S82" s="6">
        <f>$J$3+[30]FormattedData!L59*$J$4+$M$4*$J$5+[30]FormattedData!L59^2*$J$6+$M$5*$J$7</f>
        <v>34.634655480522795</v>
      </c>
      <c r="T82" s="6">
        <f>$J$3+[30]FormattedData!M59*$J$4+$M$4*$J$5+[30]FormattedData!M59^2*$J$6+$M$5*$J$7</f>
        <v>35.774357197538585</v>
      </c>
      <c r="U82" s="6">
        <f>$J$3+[30]FormattedData!N59*$J$4+$M$4*$J$5+[30]FormattedData!N59^2*$J$6+$M$5*$J$7</f>
        <v>33.488867094044927</v>
      </c>
      <c r="V82" s="6">
        <f>$J$3+[30]FormattedData!O59*$J$4+$M$4*$J$5+[30]FormattedData!O59^2*$J$6+$M$5*$J$7</f>
        <v>34.539405591941602</v>
      </c>
      <c r="W82" s="5">
        <f t="shared" si="18"/>
        <v>34.24343241205645</v>
      </c>
      <c r="X82" s="4">
        <f t="shared" si="19"/>
        <v>0.28109857202823046</v>
      </c>
      <c r="Y82" s="3">
        <f t="shared" si="20"/>
        <v>32.625531427352037</v>
      </c>
      <c r="Z82" s="2">
        <f t="shared" si="21"/>
        <v>33.56065322591877</v>
      </c>
      <c r="AA82" s="3">
        <f t="shared" si="22"/>
        <v>34.253317777894544</v>
      </c>
      <c r="AB82" s="2">
        <f t="shared" si="23"/>
        <v>34.729799697759169</v>
      </c>
      <c r="AC82" s="2">
        <f t="shared" si="24"/>
        <v>35.774357197538585</v>
      </c>
      <c r="AD82" s="2">
        <f t="shared" si="25"/>
        <v>0.20649102010079745</v>
      </c>
      <c r="AE82" s="2">
        <f t="shared" si="26"/>
        <v>-0.59095658430226061</v>
      </c>
    </row>
    <row r="83" spans="2:31" x14ac:dyDescent="0.2">
      <c r="B83" s="1">
        <f>[30]FormattedData!A55</f>
        <v>904</v>
      </c>
      <c r="C83" s="1" t="str">
        <f>VLOOKUP($B83,[30]TrtCodes!$B$11:I98,2)</f>
        <v>Early</v>
      </c>
      <c r="D83" s="1">
        <f>VLOOKUP($B83,[30]TrtCodes!$B$11:J98,3)</f>
        <v>21</v>
      </c>
      <c r="E83" s="1">
        <f>VLOOKUP($B83,[30]TrtCodes!$B$11:K98,4)</f>
        <v>3</v>
      </c>
      <c r="F83" s="1">
        <f>VLOOKUP($B83,[30]TrtCodes!$B$11:L98,5)</f>
        <v>2</v>
      </c>
      <c r="G83" s="1">
        <f>VLOOKUP($B83,[30]TrtCodes!$B$11:M98,6)</f>
        <v>2</v>
      </c>
      <c r="H83" s="1">
        <f>VLOOKUP($B83,[30]TrtCodes!$B$11:N98,7)</f>
        <v>1</v>
      </c>
      <c r="I83" s="1">
        <f>[30]FormattedData!B55</f>
        <v>2</v>
      </c>
      <c r="J83" s="4">
        <f>[30]FormattedData!C55</f>
        <v>13.198</v>
      </c>
      <c r="K83" s="6">
        <f>$J$3+[30]FormattedData!D55*$J$4+$M$4*$J$5+[30]FormattedData!D55^2*$J$6+$M$5*$J$7</f>
        <v>41.19711036444798</v>
      </c>
      <c r="L83" s="6">
        <f>$J$3+[30]FormattedData!E55*$J$4+$M$4*$J$5+[30]FormattedData!E55^2*$J$6+$M$5*$J$7</f>
        <v>41.104819273521962</v>
      </c>
      <c r="M83" s="6">
        <f>$J$3+[30]FormattedData!F55*$J$4+$M$4*$J$5+[30]FormattedData!F55^2*$J$6+$M$5*$J$7</f>
        <v>39.343257523720645</v>
      </c>
      <c r="N83" s="6">
        <f>$J$3+[30]FormattedData!G55*$J$4+$M$4*$J$5+[30]FormattedData!G55^2*$J$6+$M$5*$J$7</f>
        <v>40.550185088669281</v>
      </c>
      <c r="O83" s="6">
        <f>$J$3+[30]FormattedData!H55*$J$4+$M$4*$J$5+[30]FormattedData!H55^2*$J$6+$M$5*$J$7</f>
        <v>44.037168988340795</v>
      </c>
      <c r="P83" s="6">
        <f>$J$3+[30]FormattedData!I55*$J$4+$M$4*$J$5+[30]FormattedData!I55^2*$J$6+$M$5*$J$7</f>
        <v>38.222830260001459</v>
      </c>
      <c r="Q83" s="6">
        <f>$J$3+[30]FormattedData!J55*$J$4+$M$4*$J$5+[30]FormattedData!J55^2*$J$6+$M$5*$J$7</f>
        <v>39.715380685079907</v>
      </c>
      <c r="R83" s="6">
        <f>$J$3+[30]FormattedData!K55*$J$4+$M$4*$J$5+[30]FormattedData!K55^2*$J$6+$M$5*$J$7</f>
        <v>39.343257523720645</v>
      </c>
      <c r="S83" s="6">
        <f>$J$3+[30]FormattedData!L55*$J$4+$M$4*$J$5+[30]FormattedData!L55^2*$J$6+$M$5*$J$7</f>
        <v>40.735232224438562</v>
      </c>
      <c r="T83" s="6">
        <f>$J$3+[30]FormattedData!M55*$J$4+$M$4*$J$5+[30]FormattedData!M55^2*$J$6+$M$5*$J$7</f>
        <v>42.209522641130761</v>
      </c>
      <c r="U83" s="6">
        <f>$J$3+[30]FormattedData!N55*$J$4+$M$4*$J$5+[30]FormattedData!N55^2*$J$6+$M$5*$J$7</f>
        <v>42.209522641130761</v>
      </c>
      <c r="V83" s="6">
        <f>$J$3+[30]FormattedData!O55*$J$4+$M$4*$J$5+[30]FormattedData!O55^2*$J$6+$M$5*$J$7</f>
        <v>40.086827549832272</v>
      </c>
      <c r="W83" s="5">
        <f t="shared" si="18"/>
        <v>40.729592897002924</v>
      </c>
      <c r="X83" s="4">
        <f t="shared" si="19"/>
        <v>0.45461867329094818</v>
      </c>
      <c r="Y83" s="3">
        <f t="shared" si="20"/>
        <v>38.222830260001459</v>
      </c>
      <c r="Z83" s="2">
        <f t="shared" si="21"/>
        <v>39.62234989474009</v>
      </c>
      <c r="AA83" s="3">
        <f t="shared" si="22"/>
        <v>40.642708656553921</v>
      </c>
      <c r="AB83" s="2">
        <f t="shared" si="23"/>
        <v>41.450213433618671</v>
      </c>
      <c r="AC83" s="2">
        <f t="shared" si="24"/>
        <v>44.037168988340795</v>
      </c>
      <c r="AD83" s="2">
        <f t="shared" si="25"/>
        <v>0.5705360394097434</v>
      </c>
      <c r="AE83" s="2">
        <f t="shared" si="26"/>
        <v>0.51252038724977389</v>
      </c>
    </row>
    <row r="84" spans="2:31" x14ac:dyDescent="0.2">
      <c r="B84" s="1">
        <f>[30]FormattedData!A51</f>
        <v>906</v>
      </c>
      <c r="C84" s="1" t="str">
        <f>VLOOKUP($B84,[30]TrtCodes!$B$11:I94,2)</f>
        <v>Late</v>
      </c>
      <c r="D84" s="1">
        <f>VLOOKUP($B84,[30]TrtCodes!$B$11:J94,3)</f>
        <v>22</v>
      </c>
      <c r="E84" s="1">
        <f>VLOOKUP($B84,[30]TrtCodes!$B$11:K94,4)</f>
        <v>4</v>
      </c>
      <c r="F84" s="1">
        <f>VLOOKUP($B84,[30]TrtCodes!$B$11:L94,5)</f>
        <v>2</v>
      </c>
      <c r="G84" s="1">
        <f>VLOOKUP($B84,[30]TrtCodes!$B$11:M94,6)</f>
        <v>2</v>
      </c>
      <c r="H84" s="1">
        <f>VLOOKUP($B84,[30]TrtCodes!$B$11:N94,7)</f>
        <v>2</v>
      </c>
      <c r="I84" s="1">
        <f>[30]FormattedData!B51</f>
        <v>2</v>
      </c>
      <c r="J84" s="4">
        <f>[30]FormattedData!C51</f>
        <v>13.175000000000001</v>
      </c>
      <c r="K84" s="6">
        <f>$J$3+[30]FormattedData!D51*$J$4+$M$4*$J$5+[30]FormattedData!D51^2*$J$6+$M$5*$J$7</f>
        <v>36.907972245092282</v>
      </c>
      <c r="L84" s="6">
        <f>$J$3+[30]FormattedData!E51*$J$4+$M$4*$J$5+[30]FormattedData!E51^2*$J$6+$M$5*$J$7</f>
        <v>37.754189153923065</v>
      </c>
      <c r="M84" s="6">
        <f>$J$3+[30]FormattedData!F51*$J$4+$M$4*$J$5+[30]FormattedData!F51^2*$J$6+$M$5*$J$7</f>
        <v>37.190424964877259</v>
      </c>
      <c r="N84" s="6">
        <f>$J$3+[30]FormattedData!G51*$J$4+$M$4*$J$5+[30]FormattedData!G51^2*$J$6+$M$5*$J$7</f>
        <v>33.967018621157834</v>
      </c>
      <c r="O84" s="6">
        <f>$J$3+[30]FormattedData!H51*$J$4+$M$4*$J$5+[30]FormattedData!H51^2*$J$6+$M$5*$J$7</f>
        <v>38.0355006231839</v>
      </c>
      <c r="P84" s="6">
        <f>$J$3+[30]FormattedData!I51*$J$4+$M$4*$J$5+[30]FormattedData!I51^2*$J$6+$M$5*$J$7</f>
        <v>33.967018621157834</v>
      </c>
      <c r="Q84" s="6">
        <f>$J$3+[30]FormattedData!J51*$J$4+$M$4*$J$5+[30]FormattedData!J51^2*$J$6+$M$5*$J$7</f>
        <v>37.848001912214599</v>
      </c>
      <c r="R84" s="6">
        <f>$J$3+[30]FormattedData!K51*$J$4+$M$4*$J$5+[30]FormattedData!K51^2*$J$6+$M$5*$J$7</f>
        <v>33.58458193654338</v>
      </c>
      <c r="S84" s="6">
        <f>$J$3+[30]FormattedData!L51*$J$4+$M$4*$J$5+[30]FormattedData!L51^2*$J$6+$M$5*$J$7</f>
        <v>37.002165420225204</v>
      </c>
      <c r="T84" s="6">
        <f>$J$3+[30]FormattedData!M51*$J$4+$M$4*$J$5+[30]FormattedData!M51^2*$J$6+$M$5*$J$7</f>
        <v>32.913690399757719</v>
      </c>
      <c r="U84" s="6">
        <f>$J$3+[30]FormattedData!N51*$J$4+$M$4*$J$5+[30]FormattedData!N51^2*$J$6+$M$5*$J$7</f>
        <v>33.105585038671848</v>
      </c>
      <c r="V84" s="6">
        <f>$J$3+[30]FormattedData!O51*$J$4+$M$4*$J$5+[30]FormattedData!O51^2*$J$6+$M$5*$J$7</f>
        <v>34.920151535038812</v>
      </c>
      <c r="W84" s="5">
        <f t="shared" si="18"/>
        <v>35.599691705986977</v>
      </c>
      <c r="X84" s="4">
        <f t="shared" si="19"/>
        <v>0.58470234607317284</v>
      </c>
      <c r="Y84" s="3">
        <f t="shared" si="20"/>
        <v>32.913690399757719</v>
      </c>
      <c r="Z84" s="2">
        <f t="shared" si="21"/>
        <v>33.871409450004222</v>
      </c>
      <c r="AA84" s="3">
        <f t="shared" si="22"/>
        <v>35.914061890065547</v>
      </c>
      <c r="AB84" s="2">
        <f t="shared" si="23"/>
        <v>37.331366012138709</v>
      </c>
      <c r="AC84" s="2">
        <f t="shared" si="24"/>
        <v>38.0355006231839</v>
      </c>
      <c r="AD84" s="2">
        <f t="shared" si="25"/>
        <v>-9.5218793344303207E-2</v>
      </c>
      <c r="AE84" s="2">
        <f t="shared" si="26"/>
        <v>-2.0001733248465978</v>
      </c>
    </row>
    <row r="85" spans="2:31" x14ac:dyDescent="0.2">
      <c r="B85" s="1">
        <f>[30]FormattedData!A47</f>
        <v>908</v>
      </c>
      <c r="C85" s="1" t="str">
        <f>VLOOKUP($B85,[30]TrtCodes!$B$11:I90,2)</f>
        <v>Early</v>
      </c>
      <c r="D85" s="1">
        <f>VLOOKUP($B85,[30]TrtCodes!$B$11:J90,3)</f>
        <v>21</v>
      </c>
      <c r="E85" s="1">
        <f>VLOOKUP($B85,[30]TrtCodes!$B$11:K90,4)</f>
        <v>3</v>
      </c>
      <c r="F85" s="1">
        <f>VLOOKUP($B85,[30]TrtCodes!$B$11:L90,5)</f>
        <v>2</v>
      </c>
      <c r="G85" s="1">
        <f>VLOOKUP($B85,[30]TrtCodes!$B$11:M90,6)</f>
        <v>2</v>
      </c>
      <c r="H85" s="1">
        <f>VLOOKUP($B85,[30]TrtCodes!$B$11:N90,7)</f>
        <v>2</v>
      </c>
      <c r="I85" s="1">
        <f>[30]FormattedData!B47</f>
        <v>2</v>
      </c>
      <c r="J85" s="4">
        <f>[30]FormattedData!C47</f>
        <v>13.151999999999999</v>
      </c>
      <c r="K85" s="6">
        <f>$J$3+[30]FormattedData!D47*$J$4+$M$4*$J$5+[30]FormattedData!D47^2*$J$6+$M$5*$J$7</f>
        <v>38.78380472554381</v>
      </c>
      <c r="L85" s="6">
        <f>$J$3+[30]FormattedData!E47*$J$4+$M$4*$J$5+[30]FormattedData!E47^2*$J$6+$M$5*$J$7</f>
        <v>39.529403641476136</v>
      </c>
      <c r="M85" s="6">
        <f>$J$3+[30]FormattedData!F47*$J$4+$M$4*$J$5+[30]FormattedData!F47^2*$J$6+$M$5*$J$7</f>
        <v>37.378515435377579</v>
      </c>
      <c r="N85" s="6">
        <f>$J$3+[30]FormattedData!G47*$J$4+$M$4*$J$5+[30]FormattedData!G47^2*$J$6+$M$5*$J$7</f>
        <v>39.156942331813426</v>
      </c>
      <c r="O85" s="6">
        <f>$J$3+[30]FormattedData!H47*$J$4+$M$4*$J$5+[30]FormattedData!H47^2*$J$6+$M$5*$J$7</f>
        <v>41.565852042772754</v>
      </c>
      <c r="P85" s="6">
        <f>$J$3+[30]FormattedData!I47*$J$4+$M$4*$J$5+[30]FormattedData!I47^2*$J$6+$M$5*$J$7</f>
        <v>36.813736801421427</v>
      </c>
      <c r="Q85" s="6">
        <f>$J$3+[30]FormattedData!J47*$J$4+$M$4*$J$5+[30]FormattedData!J47^2*$J$6+$M$5*$J$7</f>
        <v>40.550185088669281</v>
      </c>
      <c r="R85" s="6">
        <f>$J$3+[30]FormattedData!K47*$J$4+$M$4*$J$5+[30]FormattedData!K47^2*$J$6+$M$5*$J$7</f>
        <v>37.190424964877259</v>
      </c>
      <c r="S85" s="6">
        <f>$J$3+[30]FormattedData!L47*$J$4+$M$4*$J$5+[30]FormattedData!L47^2*$J$6+$M$5*$J$7</f>
        <v>39.994029236451084</v>
      </c>
      <c r="T85" s="6">
        <f>$J$3+[30]FormattedData!M47*$J$4+$M$4*$J$5+[30]FormattedData!M47^2*$J$6+$M$5*$J$7</f>
        <v>36.341925554998184</v>
      </c>
      <c r="U85" s="6">
        <f>$J$3+[30]FormattedData!N47*$J$4+$M$4*$J$5+[30]FormattedData!N47^2*$J$6+$M$5*$J$7</f>
        <v>32.625531427352037</v>
      </c>
      <c r="V85" s="6">
        <f>$J$3+[30]FormattedData!O47*$J$4+$M$4*$J$5+[30]FormattedData!O47^2*$J$6+$M$5*$J$7</f>
        <v>37.002165420225204</v>
      </c>
      <c r="W85" s="5">
        <f t="shared" si="18"/>
        <v>38.07770972258151</v>
      </c>
      <c r="X85" s="4">
        <f t="shared" si="19"/>
        <v>0.68806406610693915</v>
      </c>
      <c r="Y85" s="3">
        <f t="shared" si="20"/>
        <v>32.625531427352037</v>
      </c>
      <c r="Z85" s="2">
        <f t="shared" si="21"/>
        <v>36.955058265524258</v>
      </c>
      <c r="AA85" s="3">
        <f t="shared" si="22"/>
        <v>38.081160080460691</v>
      </c>
      <c r="AB85" s="2">
        <f t="shared" si="23"/>
        <v>39.645560040219877</v>
      </c>
      <c r="AC85" s="2">
        <f t="shared" si="24"/>
        <v>41.565852042772754</v>
      </c>
      <c r="AD85" s="2">
        <f t="shared" si="25"/>
        <v>-0.82451624811802016</v>
      </c>
      <c r="AE85" s="2">
        <f t="shared" si="26"/>
        <v>1.3488438101592211</v>
      </c>
    </row>
    <row r="88" spans="2:31" x14ac:dyDescent="0.2">
      <c r="W88" s="2"/>
    </row>
  </sheetData>
  <autoFilter ref="B9:AE85" xr:uid="{C8C6DADB-EF80-4E25-BA70-4294678F2C9B}"/>
  <conditionalFormatting sqref="K10:V85">
    <cfRule type="cellIs" dxfId="7" priority="1" stopIfTrue="1" operator="lessThan">
      <formula>$W10-$V$5*$X10</formula>
    </cfRule>
    <cfRule type="cellIs" dxfId="6" priority="2" stopIfTrue="1" operator="greaterThan">
      <formula>$W10+$V$5*$X10</formula>
    </cfRule>
  </conditionalFormatting>
  <conditionalFormatting sqref="W10:W85">
    <cfRule type="cellIs" dxfId="5" priority="3" stopIfTrue="1" operator="lessThan">
      <formula>AVERAGE($W$10:$W$41)</formula>
    </cfRule>
    <cfRule type="cellIs" dxfId="4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0E84-9848-4DAE-BE5A-825AB28B0734}">
  <sheetPr codeName="Sheet3"/>
  <dimension ref="A1:AI88"/>
  <sheetViews>
    <sheetView topLeftCell="A8" workbookViewId="0">
      <pane xSplit="4" ySplit="2" topLeftCell="N38" activePane="bottomRight" state="frozen"/>
      <selection activeCell="A8" sqref="A8"/>
      <selection pane="topRight" activeCell="E8" sqref="E8"/>
      <selection pane="bottomLeft" activeCell="A10" sqref="A10"/>
      <selection pane="bottomRight"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85546875" style="1" customWidth="1"/>
    <col min="34" max="16384" width="9.140625" style="1"/>
  </cols>
  <sheetData>
    <row r="1" spans="1:35" ht="15.75" x14ac:dyDescent="0.25">
      <c r="A1" s="33" t="str">
        <f>[31]FormattedData!A1</f>
        <v>Raw data file name - 'IA254.03R'</v>
      </c>
    </row>
    <row r="2" spans="1:35" ht="15" x14ac:dyDescent="0.25">
      <c r="I2" s="32" t="s">
        <v>136</v>
      </c>
      <c r="J2" s="24"/>
      <c r="P2" s="31">
        <f>[31]AncillaryData!C10</f>
        <v>5481</v>
      </c>
    </row>
    <row r="3" spans="1:35" x14ac:dyDescent="0.2">
      <c r="A3" s="30"/>
      <c r="I3" s="23" t="s">
        <v>135</v>
      </c>
      <c r="J3" s="27">
        <f>VLOOKUP($P$2,[2]Sheet1!$C$9:$L$12,2,0)</f>
        <v>-1.6531146818483371</v>
      </c>
      <c r="T3" s="24" t="s">
        <v>134</v>
      </c>
      <c r="U3" s="24"/>
      <c r="V3" s="24"/>
      <c r="W3" s="24"/>
      <c r="X3" s="24"/>
      <c r="AI3" s="1" t="s">
        <v>133</v>
      </c>
    </row>
    <row r="4" spans="1:35" x14ac:dyDescent="0.2">
      <c r="I4" s="23" t="s">
        <v>132</v>
      </c>
      <c r="J4" s="27">
        <f>VLOOKUP($P$2,[2]Sheet1!$C$9:$L$12,3,0)</f>
        <v>1.0981139989847872</v>
      </c>
      <c r="L4" s="29" t="s">
        <v>131</v>
      </c>
      <c r="M4" s="28">
        <f>[31]AncillaryData!E25</f>
        <v>33.450000000000003</v>
      </c>
      <c r="T4" s="24" t="s">
        <v>130</v>
      </c>
      <c r="U4" s="24"/>
      <c r="V4" s="24" t="s">
        <v>129</v>
      </c>
      <c r="W4" s="24"/>
      <c r="X4" s="24"/>
      <c r="AI4" s="1" t="str">
        <f>"Time Sequence of Midday IRT Temps - FISE 2003 - DOY "&amp;[31]AncillaryData!C7</f>
        <v>Time Sequence of Midday IRT Temps - FISE 2003 - DOY 254</v>
      </c>
    </row>
    <row r="5" spans="1:35" x14ac:dyDescent="0.2">
      <c r="I5" s="23" t="s">
        <v>128</v>
      </c>
      <c r="J5" s="27">
        <f>VLOOKUP($P$2,[2]Sheet1!$C$9:$L$12,4,0)</f>
        <v>2.673489260619941E-2</v>
      </c>
      <c r="L5" s="26" t="s">
        <v>127</v>
      </c>
      <c r="M5" s="25"/>
      <c r="T5" s="24" t="s">
        <v>126</v>
      </c>
      <c r="U5" s="24"/>
      <c r="V5" s="24">
        <v>5</v>
      </c>
      <c r="W5" s="24"/>
      <c r="X5" s="24"/>
      <c r="AI5" s="1" t="str">
        <f>"(Ta = "&amp;[31]AncillaryData!E25&amp;", VPD = "&amp;ROUND([31]AncillaryData!E29,1)&amp;", Quality = "&amp;[31]AncillaryData!C20&amp;")"</f>
        <v>(Ta = 33.45, VPD = 3.7, Quality = 1)</v>
      </c>
    </row>
    <row r="6" spans="1:35" x14ac:dyDescent="0.2">
      <c r="I6" s="23" t="s">
        <v>125</v>
      </c>
      <c r="J6" s="22">
        <f>VLOOKUP($P$2,[2]Sheet1!$C$9:$L$12,5,0)</f>
        <v>-2.1134268965570043E-3</v>
      </c>
      <c r="T6" s="24" t="s">
        <v>124</v>
      </c>
      <c r="U6" s="24"/>
      <c r="V6" s="24">
        <v>5</v>
      </c>
      <c r="W6" s="24"/>
      <c r="X6" s="24"/>
    </row>
    <row r="7" spans="1:35" x14ac:dyDescent="0.2">
      <c r="I7" s="23" t="s">
        <v>123</v>
      </c>
      <c r="J7" s="22"/>
    </row>
    <row r="9" spans="1:35" x14ac:dyDescent="0.2">
      <c r="B9" s="18" t="s">
        <v>122</v>
      </c>
      <c r="C9" s="21" t="s">
        <v>121</v>
      </c>
      <c r="D9" s="21" t="s">
        <v>120</v>
      </c>
      <c r="E9" s="20" t="s">
        <v>119</v>
      </c>
      <c r="F9" s="21" t="s">
        <v>118</v>
      </c>
      <c r="G9" s="20" t="s">
        <v>117</v>
      </c>
      <c r="H9" s="20" t="s">
        <v>116</v>
      </c>
      <c r="I9" s="18" t="s">
        <v>115</v>
      </c>
      <c r="J9" s="18" t="s">
        <v>114</v>
      </c>
      <c r="K9" s="19" t="s">
        <v>113</v>
      </c>
      <c r="L9" s="19" t="s">
        <v>112</v>
      </c>
      <c r="M9" s="19" t="s">
        <v>111</v>
      </c>
      <c r="N9" s="19" t="s">
        <v>110</v>
      </c>
      <c r="O9" s="19" t="s">
        <v>109</v>
      </c>
      <c r="P9" s="19" t="s">
        <v>108</v>
      </c>
      <c r="Q9" s="19" t="s">
        <v>107</v>
      </c>
      <c r="R9" s="19" t="s">
        <v>106</v>
      </c>
      <c r="S9" s="19" t="s">
        <v>105</v>
      </c>
      <c r="T9" s="19" t="s">
        <v>104</v>
      </c>
      <c r="U9" s="19" t="s">
        <v>103</v>
      </c>
      <c r="V9" s="19" t="s">
        <v>102</v>
      </c>
      <c r="W9" s="18" t="s">
        <v>101</v>
      </c>
      <c r="X9" s="18" t="s">
        <v>100</v>
      </c>
      <c r="Y9" s="18" t="s">
        <v>99</v>
      </c>
      <c r="Z9" s="18" t="s">
        <v>98</v>
      </c>
      <c r="AA9" s="18" t="s">
        <v>97</v>
      </c>
      <c r="AB9" s="18" t="s">
        <v>96</v>
      </c>
      <c r="AC9" s="18" t="s">
        <v>95</v>
      </c>
      <c r="AD9" s="18" t="s">
        <v>94</v>
      </c>
      <c r="AE9" s="18" t="s">
        <v>93</v>
      </c>
      <c r="AF9" s="18"/>
    </row>
    <row r="10" spans="1:35" x14ac:dyDescent="0.2">
      <c r="B10" s="1">
        <f>[31]FormattedData!A28</f>
        <v>101</v>
      </c>
      <c r="C10" s="1" t="str">
        <f>VLOOKUP($B10,[31]TrtCodes!$B$11:I71,2)</f>
        <v>FSH</v>
      </c>
      <c r="D10" s="1">
        <f>VLOOKUP($B10,[31]TrtCodes!$B$11:J71,3)</f>
        <v>1</v>
      </c>
      <c r="E10" s="1">
        <f>VLOOKUP($B10,[31]TrtCodes!$B$11:K71,4)</f>
        <v>1</v>
      </c>
      <c r="F10" s="1">
        <f>VLOOKUP($B10,[31]TrtCodes!$B$11:L71,5)</f>
        <v>1</v>
      </c>
      <c r="G10" s="1">
        <f>VLOOKUP($B10,[31]TrtCodes!$B$11:M71,6)</f>
        <v>2</v>
      </c>
      <c r="H10" s="1">
        <f>VLOOKUP($B10,[31]TrtCodes!$B$11:N71,7)</f>
        <v>1</v>
      </c>
      <c r="I10" s="1">
        <f>[31]FormattedData!B28</f>
        <v>1</v>
      </c>
      <c r="J10" s="4">
        <f>[31]FormattedData!C28</f>
        <v>13.195</v>
      </c>
      <c r="K10" s="6">
        <f>$J$3+[31]FormattedData!D28*$J$4+$M$4*$J$5+[31]FormattedData!D28^2*$J$6+$M$5*$J$7</f>
        <v>32.120359699238364</v>
      </c>
      <c r="L10" s="6">
        <f>$J$3+[31]FormattedData!E28*$J$4+$M$4*$J$5+[31]FormattedData!E28^2*$J$6+$M$5*$J$7</f>
        <v>32.216666301267857</v>
      </c>
      <c r="M10" s="6">
        <f>$J$3+[31]FormattedData!F28*$J$4+$M$4*$J$5+[31]FormattedData!F28^2*$J$6+$M$5*$J$7</f>
        <v>32.02401082867096</v>
      </c>
      <c r="N10" s="6">
        <f>$J$3+[31]FormattedData!G28*$J$4+$M$4*$J$5+[31]FormattedData!G28^2*$J$6+$M$5*$J$7</f>
        <v>31.638192661022003</v>
      </c>
      <c r="O10" s="6">
        <f>$J$3+[31]FormattedData!H28*$J$4+$M$4*$J$5+[31]FormattedData!H28^2*$J$6+$M$5*$J$7</f>
        <v>31.831186281922349</v>
      </c>
      <c r="P10" s="6">
        <f>$J$3+[31]FormattedData!I28*$J$4+$M$4*$J$5+[31]FormattedData!I28^2*$J$6+$M$5*$J$7</f>
        <v>33.369048579662973</v>
      </c>
      <c r="Q10" s="6">
        <f>$J$3+[31]FormattedData!J28*$J$4+$M$4*$J$5+[31]FormattedData!J28^2*$J$6+$M$5*$J$7</f>
        <v>33.273249200088671</v>
      </c>
      <c r="R10" s="6">
        <f>$J$3+[31]FormattedData!K28*$J$4+$M$4*$J$5+[31]FormattedData!K28^2*$J$6+$M$5*$J$7</f>
        <v>31.34838521563702</v>
      </c>
      <c r="S10" s="6">
        <f>$J$3+[31]FormattedData!L28*$J$4+$M$4*$J$5+[31]FormattedData!L28^2*$J$6+$M$5*$J$7</f>
        <v>31.734710605741149</v>
      </c>
      <c r="T10" s="6">
        <f>$J$3+[31]FormattedData!M28*$J$4+$M$4*$J$5+[31]FormattedData!M28^2*$J$6+$M$5*$J$7</f>
        <v>32.697565283346286</v>
      </c>
      <c r="U10" s="6">
        <f>$J$3+[31]FormattedData!N28*$J$4+$M$4*$J$5+[31]FormattedData!N28^2*$J$6+$M$5*$J$7</f>
        <v>32.02401082867096</v>
      </c>
      <c r="V10" s="6">
        <f>$J$3+[31]FormattedData!O28*$J$4+$M$4*$J$5+[31]FormattedData!O28^2*$J$6+$M$5*$J$7</f>
        <v>31.154968909357358</v>
      </c>
      <c r="W10" s="5">
        <f t="shared" ref="W10:W41" si="0">AVERAGE(K10:V10)</f>
        <v>32.119362866218829</v>
      </c>
      <c r="X10" s="4">
        <f t="shared" ref="X10:X41" si="1">STDEV(K10:V10)/SQRT(COUNT(K10:V10))</f>
        <v>0.19928145880416998</v>
      </c>
      <c r="Y10" s="3">
        <f t="shared" ref="Y10:Y41" si="2">MIN(K10:V10)</f>
        <v>31.154968909357358</v>
      </c>
      <c r="Z10" s="2">
        <f t="shared" ref="Z10:Z41" si="3">QUARTILE(K10:V10,1)</f>
        <v>31.710581119561361</v>
      </c>
      <c r="AA10" s="3">
        <f t="shared" ref="AA10:AA41" si="4">MEDIAN(K10:V10)</f>
        <v>32.02401082867096</v>
      </c>
      <c r="AB10" s="2">
        <f t="shared" ref="AB10:AB41" si="5">QUARTILE(K10:V10,3)</f>
        <v>32.336891046787464</v>
      </c>
      <c r="AC10" s="2">
        <f t="shared" ref="AC10:AC41" si="6">MAX(K10:V10)</f>
        <v>33.369048579662973</v>
      </c>
      <c r="AD10" s="2">
        <f t="shared" ref="AD10:AD41" si="7">SKEW(K10:V10)</f>
        <v>0.70731456858306163</v>
      </c>
      <c r="AE10" s="2">
        <f t="shared" ref="AE10:AE41" si="8">KURT(K10:V10)</f>
        <v>-0.13085891277616168</v>
      </c>
    </row>
    <row r="11" spans="1:35" x14ac:dyDescent="0.2">
      <c r="B11" s="1">
        <f>[31]FormattedData!A26</f>
        <v>102</v>
      </c>
      <c r="C11" s="1" t="str">
        <f>VLOOKUP($B11,[31]TrtCodes!$B$11:I69,2)</f>
        <v>FTL</v>
      </c>
      <c r="D11" s="1">
        <f>VLOOKUP($B11,[31]TrtCodes!$B$11:J69,3)</f>
        <v>4</v>
      </c>
      <c r="E11" s="1">
        <f>VLOOKUP($B11,[31]TrtCodes!$B$11:K69,4)</f>
        <v>1</v>
      </c>
      <c r="F11" s="1">
        <f>VLOOKUP($B11,[31]TrtCodes!$B$11:L69,5)</f>
        <v>2</v>
      </c>
      <c r="G11" s="1">
        <f>VLOOKUP($B11,[31]TrtCodes!$B$11:M69,6)</f>
        <v>1</v>
      </c>
      <c r="H11" s="1">
        <f>VLOOKUP($B11,[31]TrtCodes!$B$11:N69,7)</f>
        <v>1</v>
      </c>
      <c r="I11" s="1">
        <f>[31]FormattedData!B26</f>
        <v>1</v>
      </c>
      <c r="J11" s="4">
        <f>[31]FormattedData!C26</f>
        <v>13.179</v>
      </c>
      <c r="K11" s="6">
        <f>$J$3+[31]FormattedData!D26*$J$4+$M$4*$J$5+[31]FormattedData!D26^2*$J$6+$M$5*$J$7</f>
        <v>30.573705545608064</v>
      </c>
      <c r="L11" s="6">
        <f>$J$3+[31]FormattedData!E26*$J$4+$M$4*$J$5+[31]FormattedData!E26^2*$J$6+$M$5*$J$7</f>
        <v>29.990920514493244</v>
      </c>
      <c r="M11" s="6">
        <f>$J$3+[31]FormattedData!F26*$J$4+$M$4*$J$5+[31]FormattedData!F26^2*$J$6+$M$5*$J$7</f>
        <v>29.601551789658078</v>
      </c>
      <c r="N11" s="6">
        <f>$J$3+[31]FormattedData!G26*$J$4+$M$4*$J$5+[31]FormattedData!G26^2*$J$6+$M$5*$J$7</f>
        <v>29.698957373673764</v>
      </c>
      <c r="O11" s="6">
        <f>$J$3+[31]FormattedData!H26*$J$4+$M$4*$J$5+[31]FormattedData!H26^2*$J$6+$M$5*$J$7</f>
        <v>31.638192661022003</v>
      </c>
      <c r="P11" s="6">
        <f>$J$3+[31]FormattedData!I26*$J$4+$M$4*$J$5+[31]FormattedData!I26^2*$J$6+$M$5*$J$7</f>
        <v>34.133921948891903</v>
      </c>
      <c r="Q11" s="6">
        <f>$J$3+[31]FormattedData!J26*$J$4+$M$4*$J$5+[31]FormattedData!J26^2*$J$6+$M$5*$J$7</f>
        <v>31.831186281922349</v>
      </c>
      <c r="R11" s="6">
        <f>$J$3+[31]FormattedData!K26*$J$4+$M$4*$J$5+[31]FormattedData!K26^2*$J$6+$M$5*$J$7</f>
        <v>36.223375096754175</v>
      </c>
      <c r="S11" s="6">
        <f>$J$3+[31]FormattedData!L26*$J$4+$M$4*$J$5+[31]FormattedData!L26^2*$J$6+$M$5*$J$7</f>
        <v>33.847411449465547</v>
      </c>
      <c r="T11" s="6">
        <f>$J$3+[31]FormattedData!M26*$J$4+$M$4*$J$5+[31]FormattedData!M26^2*$J$6+$M$5*$J$7</f>
        <v>34.420052031476878</v>
      </c>
      <c r="U11" s="6">
        <f>$J$3+[31]FormattedData!N26*$J$4+$M$4*$J$5+[31]FormattedData!N26^2*$J$6+$M$5*$J$7</f>
        <v>32.409152699713019</v>
      </c>
      <c r="V11" s="6">
        <f>$J$3+[31]FormattedData!O26*$J$4+$M$4*$J$5+[31]FormattedData!O26^2*$J$6+$M$5*$J$7</f>
        <v>32.697565283346286</v>
      </c>
      <c r="W11" s="5">
        <f t="shared" si="0"/>
        <v>32.255499389668778</v>
      </c>
      <c r="X11" s="4">
        <f t="shared" si="1"/>
        <v>0.60807828721708679</v>
      </c>
      <c r="Y11" s="3">
        <f t="shared" si="2"/>
        <v>29.601551789658078</v>
      </c>
      <c r="Z11" s="2">
        <f t="shared" si="3"/>
        <v>30.428009287829358</v>
      </c>
      <c r="AA11" s="3">
        <f t="shared" si="4"/>
        <v>32.120169490817688</v>
      </c>
      <c r="AB11" s="2">
        <f t="shared" si="5"/>
        <v>33.919039074322136</v>
      </c>
      <c r="AC11" s="2">
        <f t="shared" si="6"/>
        <v>36.223375096754175</v>
      </c>
      <c r="AD11" s="2">
        <f t="shared" si="7"/>
        <v>0.36509339959728393</v>
      </c>
      <c r="AE11" s="2">
        <f t="shared" si="8"/>
        <v>-0.70746637064850271</v>
      </c>
    </row>
    <row r="12" spans="1:35" x14ac:dyDescent="0.2">
      <c r="B12" s="1">
        <f>[31]FormattedData!A24</f>
        <v>103</v>
      </c>
      <c r="C12" s="1" t="str">
        <f>VLOOKUP($B12,[31]TrtCodes!$B$11:I67,2)</f>
        <v>FDH</v>
      </c>
      <c r="D12" s="1">
        <f>VLOOKUP($B12,[31]TrtCodes!$B$11:J67,3)</f>
        <v>5</v>
      </c>
      <c r="E12" s="1">
        <f>VLOOKUP($B12,[31]TrtCodes!$B$11:K67,4)</f>
        <v>1</v>
      </c>
      <c r="F12" s="1">
        <f>VLOOKUP($B12,[31]TrtCodes!$B$11:L67,5)</f>
        <v>3</v>
      </c>
      <c r="G12" s="1">
        <f>VLOOKUP($B12,[31]TrtCodes!$B$11:M67,6)</f>
        <v>2</v>
      </c>
      <c r="H12" s="1">
        <f>VLOOKUP($B12,[31]TrtCodes!$B$11:N67,7)</f>
        <v>1</v>
      </c>
      <c r="I12" s="1">
        <f>[31]FormattedData!B24</f>
        <v>1</v>
      </c>
      <c r="J12" s="4">
        <f>[31]FormattedData!C24</f>
        <v>13.163</v>
      </c>
      <c r="K12" s="6">
        <f>$J$3+[31]FormattedData!D24*$J$4+$M$4*$J$5+[31]FormattedData!D24^2*$J$6+$M$5*$J$7</f>
        <v>34.610594077177218</v>
      </c>
      <c r="L12" s="6">
        <f>$J$3+[31]FormattedData!E24*$J$4+$M$4*$J$5+[31]FormattedData!E24^2*$J$6+$M$5*$J$7</f>
        <v>33.847411449465547</v>
      </c>
      <c r="M12" s="6">
        <f>$J$3+[31]FormattedData!F24*$J$4+$M$4*$J$5+[31]FormattedData!F24^2*$J$6+$M$5*$J$7</f>
        <v>33.656193107158309</v>
      </c>
      <c r="N12" s="6">
        <f>$J$3+[31]FormattedData!G24*$J$4+$M$4*$J$5+[31]FormattedData!G24^2*$J$6+$M$5*$J$7</f>
        <v>34.610594077177218</v>
      </c>
      <c r="O12" s="6">
        <f>$J$3+[31]FormattedData!H24*$J$4+$M$4*$J$5+[31]FormattedData!H24^2*$J$6+$M$5*$J$7</f>
        <v>35.465940990201126</v>
      </c>
      <c r="P12" s="6">
        <f>$J$3+[31]FormattedData!I24*$J$4+$M$4*$J$5+[31]FormattedData!I24^2*$J$6+$M$5*$J$7</f>
        <v>34.038460717621049</v>
      </c>
      <c r="Q12" s="6">
        <f>$J$3+[31]FormattedData!J24*$J$4+$M$4*$J$5+[31]FormattedData!J24^2*$J$6+$M$5*$J$7</f>
        <v>33.464805690699343</v>
      </c>
      <c r="R12" s="6">
        <f>$J$3+[31]FormattedData!K24*$J$4+$M$4*$J$5+[31]FormattedData!K24^2*$J$6+$M$5*$J$7</f>
        <v>34.991170946122715</v>
      </c>
      <c r="S12" s="6">
        <f>$J$3+[31]FormattedData!L24*$J$4+$M$4*$J$5+[31]FormattedData!L24^2*$J$6+$M$5*$J$7</f>
        <v>34.133921948891903</v>
      </c>
      <c r="T12" s="6">
        <f>$J$3+[31]FormattedData!M24*$J$4+$M$4*$J$5+[31]FormattedData!M24^2*$J$6+$M$5*$J$7</f>
        <v>33.75182341258089</v>
      </c>
      <c r="U12" s="6">
        <f>$J$3+[31]FormattedData!N24*$J$4+$M$4*$J$5+[31]FormattedData!N24^2*$J$6+$M$5*$J$7</f>
        <v>33.75182341258089</v>
      </c>
      <c r="V12" s="6">
        <f>$J$3+[31]FormattedData!O24*$J$4+$M$4*$J$5+[31]FormattedData!O24^2*$J$6+$M$5*$J$7</f>
        <v>33.560520533197803</v>
      </c>
      <c r="W12" s="5">
        <f t="shared" si="0"/>
        <v>34.156938363572834</v>
      </c>
      <c r="X12" s="4">
        <f t="shared" si="1"/>
        <v>0.18143277480043274</v>
      </c>
      <c r="Y12" s="3">
        <f t="shared" si="2"/>
        <v>33.464805690699343</v>
      </c>
      <c r="Z12" s="2">
        <f t="shared" si="3"/>
        <v>33.727915836225243</v>
      </c>
      <c r="AA12" s="3">
        <f t="shared" si="4"/>
        <v>33.942936083543302</v>
      </c>
      <c r="AB12" s="2">
        <f t="shared" si="5"/>
        <v>34.610594077177218</v>
      </c>
      <c r="AC12" s="2">
        <f t="shared" si="6"/>
        <v>35.465940990201126</v>
      </c>
      <c r="AD12" s="2">
        <f t="shared" si="7"/>
        <v>0.95645614801391066</v>
      </c>
      <c r="AE12" s="2">
        <f t="shared" si="8"/>
        <v>-6.7661484964292029E-3</v>
      </c>
    </row>
    <row r="13" spans="1:35" x14ac:dyDescent="0.2">
      <c r="B13" s="1">
        <f>[31]FormattedData!A22</f>
        <v>104</v>
      </c>
      <c r="C13" s="1" t="str">
        <f>VLOOKUP($B13,[31]TrtCodes!$B$11:I65,2)</f>
        <v>NTL</v>
      </c>
      <c r="D13" s="1">
        <f>VLOOKUP($B13,[31]TrtCodes!$B$11:J65,3)</f>
        <v>10</v>
      </c>
      <c r="E13" s="1">
        <f>VLOOKUP($B13,[31]TrtCodes!$B$11:K65,4)</f>
        <v>2</v>
      </c>
      <c r="F13" s="1">
        <f>VLOOKUP($B13,[31]TrtCodes!$B$11:L65,5)</f>
        <v>2</v>
      </c>
      <c r="G13" s="1">
        <f>VLOOKUP($B13,[31]TrtCodes!$B$11:M65,6)</f>
        <v>1</v>
      </c>
      <c r="H13" s="1">
        <f>VLOOKUP($B13,[31]TrtCodes!$B$11:N65,7)</f>
        <v>1</v>
      </c>
      <c r="I13" s="1">
        <f>[31]FormattedData!B22</f>
        <v>1</v>
      </c>
      <c r="J13" s="4">
        <f>[31]FormattedData!C22</f>
        <v>13.146000000000001</v>
      </c>
      <c r="K13" s="6">
        <f>$J$3+[31]FormattedData!D22*$J$4+$M$4*$J$5+[31]FormattedData!D22^2*$J$6+$M$5*$J$7</f>
        <v>32.312930634759404</v>
      </c>
      <c r="L13" s="6">
        <f>$J$3+[31]FormattedData!E22*$J$4+$M$4*$J$5+[31]FormattedData!E22^2*$J$6+$M$5*$J$7</f>
        <v>34.515344188596025</v>
      </c>
      <c r="M13" s="6">
        <f>$J$3+[31]FormattedData!F22*$J$4+$M$4*$J$5+[31]FormattedData!F22^2*$J$6+$M$5*$J$7</f>
        <v>32.312930634759404</v>
      </c>
      <c r="N13" s="6">
        <f>$J$3+[31]FormattedData!G22*$J$4+$M$4*$J$5+[31]FormattedData!G22^2*$J$6+$M$5*$J$7</f>
        <v>33.94295721781225</v>
      </c>
      <c r="O13" s="6">
        <f>$J$3+[31]FormattedData!H22*$J$4+$M$4*$J$5+[31]FormattedData!H22^2*$J$6+$M$5*$J$7</f>
        <v>32.889628996412135</v>
      </c>
      <c r="P13" s="6">
        <f>$J$3+[31]FormattedData!I22*$J$4+$M$4*$J$5+[31]FormattedData!I22^2*$J$6+$M$5*$J$7</f>
        <v>33.273249200088671</v>
      </c>
      <c r="Q13" s="6">
        <f>$J$3+[31]FormattedData!J22*$J$4+$M$4*$J$5+[31]FormattedData!J22^2*$J$6+$M$5*$J$7</f>
        <v>33.75182341258089</v>
      </c>
      <c r="R13" s="6">
        <f>$J$3+[31]FormattedData!K22*$J$4+$M$4*$J$5+[31]FormattedData!K22^2*$J$6+$M$5*$J$7</f>
        <v>32.601470024006453</v>
      </c>
      <c r="S13" s="6">
        <f>$J$3+[31]FormattedData!L22*$J$4+$M$4*$J$5+[31]FormattedData!L22^2*$J$6+$M$5*$J$7</f>
        <v>30.961383528925989</v>
      </c>
      <c r="T13" s="6">
        <f>$J$3+[31]FormattedData!M22*$J$4+$M$4*$J$5+[31]FormattedData!M22^2*$J$6+$M$5*$J$7</f>
        <v>34.896090131693228</v>
      </c>
      <c r="U13" s="6">
        <f>$J$3+[31]FormattedData!N22*$J$4+$M$4*$J$5+[31]FormattedData!N22^2*$J$6+$M$5*$J$7</f>
        <v>32.697565283346286</v>
      </c>
      <c r="V13" s="6">
        <f>$J$3+[31]FormattedData!O22*$J$4+$M$4*$J$5+[31]FormattedData!O22^2*$J$6+$M$5*$J$7</f>
        <v>34.324717605819835</v>
      </c>
      <c r="W13" s="5">
        <f t="shared" si="0"/>
        <v>33.206674238233383</v>
      </c>
      <c r="X13" s="4">
        <f t="shared" si="1"/>
        <v>0.32596434930955082</v>
      </c>
      <c r="Y13" s="3">
        <f t="shared" si="2"/>
        <v>30.961383528925989</v>
      </c>
      <c r="Z13" s="2">
        <f t="shared" si="3"/>
        <v>32.529335176694687</v>
      </c>
      <c r="AA13" s="3">
        <f t="shared" si="4"/>
        <v>33.081439098250399</v>
      </c>
      <c r="AB13" s="2">
        <f t="shared" si="5"/>
        <v>34.038397314814148</v>
      </c>
      <c r="AC13" s="2">
        <f t="shared" si="6"/>
        <v>34.896090131693228</v>
      </c>
      <c r="AD13" s="2">
        <f t="shared" si="7"/>
        <v>-0.31145630682671904</v>
      </c>
      <c r="AE13" s="2">
        <f t="shared" si="8"/>
        <v>-0.16337041468618274</v>
      </c>
    </row>
    <row r="14" spans="1:35" x14ac:dyDescent="0.2">
      <c r="B14" s="1">
        <f>[31]FormattedData!A20</f>
        <v>105</v>
      </c>
      <c r="C14" s="1" t="str">
        <f>VLOOKUP($B14,[31]TrtCodes!$B$11:I63,2)</f>
        <v>NDL</v>
      </c>
      <c r="D14" s="1">
        <f>VLOOKUP($B14,[31]TrtCodes!$B$11:J63,3)</f>
        <v>12</v>
      </c>
      <c r="E14" s="1">
        <f>VLOOKUP($B14,[31]TrtCodes!$B$11:K63,4)</f>
        <v>2</v>
      </c>
      <c r="F14" s="1">
        <f>VLOOKUP($B14,[31]TrtCodes!$B$11:L63,5)</f>
        <v>3</v>
      </c>
      <c r="G14" s="1">
        <f>VLOOKUP($B14,[31]TrtCodes!$B$11:M63,6)</f>
        <v>1</v>
      </c>
      <c r="H14" s="1">
        <f>VLOOKUP($B14,[31]TrtCodes!$B$11:N63,7)</f>
        <v>2</v>
      </c>
      <c r="I14" s="1">
        <f>[31]FormattedData!B20</f>
        <v>1</v>
      </c>
      <c r="J14" s="4">
        <f>[31]FormattedData!C20</f>
        <v>13.129</v>
      </c>
      <c r="K14" s="6">
        <f>$J$3+[31]FormattedData!D20*$J$4+$M$4*$J$5+[31]FormattedData!D20^2*$J$6+$M$5*$J$7</f>
        <v>35.181205769367871</v>
      </c>
      <c r="L14" s="6">
        <f>$J$3+[31]FormattedData!E20*$J$4+$M$4*$J$5+[31]FormattedData!E20^2*$J$6+$M$5*$J$7</f>
        <v>30.670688444244441</v>
      </c>
      <c r="M14" s="6">
        <f>$J$3+[31]FormattedData!F20*$J$4+$M$4*$J$5+[31]FormattedData!F20^2*$J$6+$M$5*$J$7</f>
        <v>31.638192661022003</v>
      </c>
      <c r="N14" s="6">
        <f>$J$3+[31]FormattedData!G20*$J$4+$M$4*$J$5+[31]FormattedData!G20^2*$J$6+$M$5*$J$7</f>
        <v>31.058197353410641</v>
      </c>
      <c r="O14" s="6">
        <f>$J$3+[31]FormattedData!H20*$J$4+$M$4*$J$5+[31]FormattedData!H20^2*$J$6+$M$5*$J$7</f>
        <v>30.864527435903408</v>
      </c>
      <c r="P14" s="6">
        <f>$J$3+[31]FormattedData!I20*$J$4+$M$4*$J$5+[31]FormattedData!I20^2*$J$6+$M$5*$J$7</f>
        <v>30.670688444244441</v>
      </c>
      <c r="Q14" s="6">
        <f>$J$3+[31]FormattedData!J20*$J$4+$M$4*$J$5+[31]FormattedData!J20^2*$J$6+$M$5*$J$7</f>
        <v>31.734710605741149</v>
      </c>
      <c r="R14" s="6">
        <f>$J$3+[31]FormattedData!K20*$J$4+$M$4*$J$5+[31]FormattedData!K20^2*$J$6+$M$5*$J$7</f>
        <v>32.02401082867096</v>
      </c>
      <c r="S14" s="6">
        <f>$J$3+[31]FormattedData!L20*$J$4+$M$4*$J$5+[31]FormattedData!L20^2*$J$6+$M$5*$J$7</f>
        <v>30.476680378433759</v>
      </c>
      <c r="T14" s="6">
        <f>$J$3+[31]FormattedData!M20*$J$4+$M$4*$J$5+[31]FormattedData!M20^2*$J$6+$M$5*$J$7</f>
        <v>33.464805690699343</v>
      </c>
      <c r="U14" s="6">
        <f>$J$3+[31]FormattedData!N20*$J$4+$M$4*$J$5+[31]FormattedData!N20^2*$J$6+$M$5*$J$7</f>
        <v>31.54163244776494</v>
      </c>
      <c r="V14" s="6">
        <f>$J$3+[31]FormattedData!O20*$J$4+$M$4*$J$5+[31]FormattedData!O20^2*$J$6+$M$5*$J$7</f>
        <v>34.610594077177218</v>
      </c>
      <c r="W14" s="5">
        <f t="shared" si="0"/>
        <v>31.994661178056678</v>
      </c>
      <c r="X14" s="4">
        <f t="shared" si="1"/>
        <v>0.45663025347348757</v>
      </c>
      <c r="Y14" s="3">
        <f t="shared" si="2"/>
        <v>30.476680378433759</v>
      </c>
      <c r="Z14" s="2">
        <f t="shared" si="3"/>
        <v>30.816067687988667</v>
      </c>
      <c r="AA14" s="3">
        <f t="shared" si="4"/>
        <v>31.589912554393472</v>
      </c>
      <c r="AB14" s="2">
        <f t="shared" si="5"/>
        <v>32.384209544178056</v>
      </c>
      <c r="AC14" s="2">
        <f t="shared" si="6"/>
        <v>35.181205769367871</v>
      </c>
      <c r="AD14" s="2">
        <f t="shared" si="7"/>
        <v>1.1817546845639015</v>
      </c>
      <c r="AE14" s="2">
        <f t="shared" si="8"/>
        <v>0.20823388152941202</v>
      </c>
    </row>
    <row r="15" spans="1:35" x14ac:dyDescent="0.2">
      <c r="B15" s="1">
        <f>[31]FormattedData!A18</f>
        <v>106</v>
      </c>
      <c r="C15" s="1" t="str">
        <f>VLOOKUP($B15,[31]TrtCodes!$B$11:I61,2)</f>
        <v>NTH</v>
      </c>
      <c r="D15" s="1">
        <f>VLOOKUP($B15,[31]TrtCodes!$B$11:J61,3)</f>
        <v>9</v>
      </c>
      <c r="E15" s="1">
        <f>VLOOKUP($B15,[31]TrtCodes!$B$11:K61,4)</f>
        <v>2</v>
      </c>
      <c r="F15" s="1">
        <f>VLOOKUP($B15,[31]TrtCodes!$B$11:L61,5)</f>
        <v>2</v>
      </c>
      <c r="G15" s="1">
        <f>VLOOKUP($B15,[31]TrtCodes!$B$11:M61,6)</f>
        <v>2</v>
      </c>
      <c r="H15" s="1">
        <f>VLOOKUP($B15,[31]TrtCodes!$B$11:N61,7)</f>
        <v>2</v>
      </c>
      <c r="I15" s="1">
        <f>[31]FormattedData!B18</f>
        <v>1</v>
      </c>
      <c r="J15" s="4">
        <f>[31]FormattedData!C18</f>
        <v>13.112</v>
      </c>
      <c r="K15" s="6">
        <f>$J$3+[31]FormattedData!D18*$J$4+$M$4*$J$5+[31]FormattedData!D18^2*$J$6+$M$5*$J$7</f>
        <v>31.638192661022003</v>
      </c>
      <c r="L15" s="6">
        <f>$J$3+[31]FormattedData!E18*$J$4+$M$4*$J$5+[31]FormattedData!E18^2*$J$6+$M$5*$J$7</f>
        <v>33.94295721781225</v>
      </c>
      <c r="M15" s="6">
        <f>$J$3+[31]FormattedData!F18*$J$4+$M$4*$J$5+[31]FormattedData!F18^2*$J$6+$M$5*$J$7</f>
        <v>33.94295721781225</v>
      </c>
      <c r="N15" s="6">
        <f>$J$3+[31]FormattedData!G18*$J$4+$M$4*$J$5+[31]FormattedData!G18^2*$J$6+$M$5*$J$7</f>
        <v>32.985597450138158</v>
      </c>
      <c r="O15" s="6">
        <f>$J$3+[31]FormattedData!H18*$J$4+$M$4*$J$5+[31]FormattedData!H18^2*$J$6+$M$5*$J$7</f>
        <v>30.379612942721522</v>
      </c>
      <c r="P15" s="6">
        <f>$J$3+[31]FormattedData!I18*$J$4+$M$4*$J$5+[31]FormattedData!I18^2*$J$6+$M$5*$J$7</f>
        <v>32.601470024006453</v>
      </c>
      <c r="Q15" s="6">
        <f>$J$3+[31]FormattedData!J18*$J$4+$M$4*$J$5+[31]FormattedData!J18^2*$J$6+$M$5*$J$7</f>
        <v>32.409152699713019</v>
      </c>
      <c r="R15" s="6">
        <f>$J$3+[31]FormattedData!K18*$J$4+$M$4*$J$5+[31]FormattedData!K18^2*$J$6+$M$5*$J$7</f>
        <v>33.847411449465547</v>
      </c>
      <c r="S15" s="6">
        <f>$J$3+[31]FormattedData!L18*$J$4+$M$4*$J$5+[31]FormattedData!L18^2*$J$6+$M$5*$J$7</f>
        <v>31.638192661022003</v>
      </c>
      <c r="T15" s="6">
        <f>$J$3+[31]FormattedData!M18*$J$4+$M$4*$J$5+[31]FormattedData!M18^2*$J$6+$M$5*$J$7</f>
        <v>30.379612942721522</v>
      </c>
      <c r="U15" s="6">
        <f>$J$3+[31]FormattedData!N18*$J$4+$M$4*$J$5+[31]FormattedData!N18^2*$J$6+$M$5*$J$7</f>
        <v>31.54163244776494</v>
      </c>
      <c r="V15" s="6">
        <f>$J$3+[31]FormattedData!O18*$J$4+$M$4*$J$5+[31]FormattedData!O18^2*$J$6+$M$5*$J$7</f>
        <v>32.312930634759404</v>
      </c>
      <c r="W15" s="5">
        <f t="shared" si="0"/>
        <v>32.301643362413259</v>
      </c>
      <c r="X15" s="4">
        <f t="shared" si="1"/>
        <v>0.36090110633618977</v>
      </c>
      <c r="Y15" s="3">
        <f t="shared" si="2"/>
        <v>30.379612942721522</v>
      </c>
      <c r="Z15" s="2">
        <f t="shared" si="3"/>
        <v>31.614052607707738</v>
      </c>
      <c r="AA15" s="3">
        <f t="shared" si="4"/>
        <v>32.361041667236208</v>
      </c>
      <c r="AB15" s="2">
        <f t="shared" si="5"/>
        <v>33.201050949970004</v>
      </c>
      <c r="AC15" s="2">
        <f t="shared" si="6"/>
        <v>33.94295721781225</v>
      </c>
      <c r="AD15" s="2">
        <f t="shared" si="7"/>
        <v>-0.13058590388218402</v>
      </c>
      <c r="AE15" s="2">
        <f t="shared" si="8"/>
        <v>-0.90717545068194605</v>
      </c>
    </row>
    <row r="16" spans="1:35" x14ac:dyDescent="0.2">
      <c r="B16" s="1">
        <f>[31]FormattedData!A16</f>
        <v>107</v>
      </c>
      <c r="C16" s="1" t="str">
        <f>VLOOKUP($B16,[31]TrtCodes!$B$11:I59,2)</f>
        <v>NTL</v>
      </c>
      <c r="D16" s="1">
        <f>VLOOKUP($B16,[31]TrtCodes!$B$11:J59,3)</f>
        <v>10</v>
      </c>
      <c r="E16" s="1">
        <f>VLOOKUP($B16,[31]TrtCodes!$B$11:K59,4)</f>
        <v>2</v>
      </c>
      <c r="F16" s="1">
        <f>VLOOKUP($B16,[31]TrtCodes!$B$11:L59,5)</f>
        <v>2</v>
      </c>
      <c r="G16" s="1">
        <f>VLOOKUP($B16,[31]TrtCodes!$B$11:M59,6)</f>
        <v>1</v>
      </c>
      <c r="H16" s="1">
        <f>VLOOKUP($B16,[31]TrtCodes!$B$11:N59,7)</f>
        <v>2</v>
      </c>
      <c r="I16" s="1">
        <f>[31]FormattedData!B16</f>
        <v>1</v>
      </c>
      <c r="J16" s="4">
        <f>[31]FormattedData!C16</f>
        <v>13.093999999999999</v>
      </c>
      <c r="K16" s="6">
        <f>$J$3+[31]FormattedData!D16*$J$4+$M$4*$J$5+[31]FormattedData!D16^2*$J$6+$M$5*$J$7</f>
        <v>36.128843773317797</v>
      </c>
      <c r="L16" s="6">
        <f>$J$3+[31]FormattedData!E16*$J$4+$M$4*$J$5+[31]FormattedData!E16^2*$J$6+$M$5*$J$7</f>
        <v>35.939654320831266</v>
      </c>
      <c r="M16" s="6">
        <f>$J$3+[31]FormattedData!F16*$J$4+$M$4*$J$5+[31]FormattedData!F16^2*$J$6+$M$5*$J$7</f>
        <v>34.896090131693228</v>
      </c>
      <c r="N16" s="6">
        <f>$J$3+[31]FormattedData!G16*$J$4+$M$4*$J$5+[31]FormattedData!G16^2*$J$6+$M$5*$J$7</f>
        <v>34.324717605819835</v>
      </c>
      <c r="O16" s="6">
        <f>$J$3+[31]FormattedData!H16*$J$4+$M$4*$J$5+[31]FormattedData!H16^2*$J$6+$M$5*$J$7</f>
        <v>32.793618274148173</v>
      </c>
      <c r="P16" s="6">
        <f>$J$3+[31]FormattedData!I16*$J$4+$M$4*$J$5+[31]FormattedData!I16^2*$J$6+$M$5*$J$7</f>
        <v>31.058197353410641</v>
      </c>
      <c r="Q16" s="6">
        <f>$J$3+[31]FormattedData!J16*$J$4+$M$4*$J$5+[31]FormattedData!J16^2*$J$6+$M$5*$J$7</f>
        <v>29.796320689151528</v>
      </c>
      <c r="R16" s="6">
        <f>$J$3+[31]FormattedData!K16*$J$4+$M$4*$J$5+[31]FormattedData!K16^2*$J$6+$M$5*$J$7</f>
        <v>30.961383528925989</v>
      </c>
      <c r="S16" s="6">
        <f>$J$3+[31]FormattedData!L16*$J$4+$M$4*$J$5+[31]FormattedData!L16^2*$J$6+$M$5*$J$7</f>
        <v>31.154968909357358</v>
      </c>
      <c r="T16" s="6">
        <f>$J$3+[31]FormattedData!M16*$J$4+$M$4*$J$5+[31]FormattedData!M16^2*$J$6+$M$5*$J$7</f>
        <v>31.54163244776494</v>
      </c>
      <c r="U16" s="6">
        <f>$J$3+[31]FormattedData!N16*$J$4+$M$4*$J$5+[31]FormattedData!N16^2*$J$6+$M$5*$J$7</f>
        <v>29.406613816012907</v>
      </c>
      <c r="V16" s="6">
        <f>$J$3+[31]FormattedData!O16*$J$4+$M$4*$J$5+[31]FormattedData!O16^2*$J$6+$M$5*$J$7</f>
        <v>31.154968909357358</v>
      </c>
      <c r="W16" s="5">
        <f t="shared" si="0"/>
        <v>32.429750813315913</v>
      </c>
      <c r="X16" s="4">
        <f t="shared" si="1"/>
        <v>0.67397118341102191</v>
      </c>
      <c r="Y16" s="3">
        <f t="shared" si="2"/>
        <v>29.406613816012907</v>
      </c>
      <c r="Z16" s="2">
        <f t="shared" si="3"/>
        <v>31.033993897289477</v>
      </c>
      <c r="AA16" s="3">
        <f t="shared" si="4"/>
        <v>31.348300678561149</v>
      </c>
      <c r="AB16" s="2">
        <f t="shared" si="5"/>
        <v>34.467560737288181</v>
      </c>
      <c r="AC16" s="2">
        <f t="shared" si="6"/>
        <v>36.128843773317797</v>
      </c>
      <c r="AD16" s="2">
        <f t="shared" si="7"/>
        <v>0.50772197238774086</v>
      </c>
      <c r="AE16" s="2">
        <f t="shared" si="8"/>
        <v>-1.1979492318326228</v>
      </c>
    </row>
    <row r="17" spans="2:31" x14ac:dyDescent="0.2">
      <c r="B17" s="1">
        <f>[31]FormattedData!A14</f>
        <v>108</v>
      </c>
      <c r="C17" s="1" t="str">
        <f>VLOOKUP($B17,[31]TrtCodes!$B$11:I57,2)</f>
        <v>FTH</v>
      </c>
      <c r="D17" s="1">
        <f>VLOOKUP($B17,[31]TrtCodes!$B$11:J57,3)</f>
        <v>3</v>
      </c>
      <c r="E17" s="1">
        <f>VLOOKUP($B17,[31]TrtCodes!$B$11:K57,4)</f>
        <v>1</v>
      </c>
      <c r="F17" s="1">
        <f>VLOOKUP($B17,[31]TrtCodes!$B$11:L57,5)</f>
        <v>2</v>
      </c>
      <c r="G17" s="1">
        <f>VLOOKUP($B17,[31]TrtCodes!$B$11:M57,6)</f>
        <v>2</v>
      </c>
      <c r="H17" s="1">
        <f>VLOOKUP($B17,[31]TrtCodes!$B$11:N57,7)</f>
        <v>2</v>
      </c>
      <c r="I17" s="1">
        <f>[31]FormattedData!B14</f>
        <v>1</v>
      </c>
      <c r="J17" s="4">
        <f>[31]FormattedData!C14</f>
        <v>13.077</v>
      </c>
      <c r="K17" s="6">
        <f>$J$3+[31]FormattedData!D14*$J$4+$M$4*$J$5+[31]FormattedData!D14^2*$J$6+$M$5*$J$7</f>
        <v>34.324717605819835</v>
      </c>
      <c r="L17" s="6">
        <f>$J$3+[31]FormattedData!E14*$J$4+$M$4*$J$5+[31]FormattedData!E14^2*$J$6+$M$5*$J$7</f>
        <v>34.991170946122715</v>
      </c>
      <c r="M17" s="6">
        <f>$J$3+[31]FormattedData!F14*$J$4+$M$4*$J$5+[31]FormattedData!F14^2*$J$6+$M$5*$J$7</f>
        <v>33.75182341258089</v>
      </c>
      <c r="N17" s="6">
        <f>$J$3+[31]FormattedData!G14*$J$4+$M$4*$J$5+[31]FormattedData!G14^2*$J$6+$M$5*$J$7</f>
        <v>36.223375096754175</v>
      </c>
      <c r="O17" s="6">
        <f>$J$3+[31]FormattedData!H14*$J$4+$M$4*$J$5+[31]FormattedData!H14^2*$J$6+$M$5*$J$7</f>
        <v>33.273249200088671</v>
      </c>
      <c r="P17" s="6">
        <f>$J$3+[31]FormattedData!I14*$J$4+$M$4*$J$5+[31]FormattedData!I14^2*$J$6+$M$5*$J$7</f>
        <v>34.896090131693228</v>
      </c>
      <c r="Q17" s="6">
        <f>$J$3+[31]FormattedData!J14*$J$4+$M$4*$J$5+[31]FormattedData!J14^2*$J$6+$M$5*$J$7</f>
        <v>35.465940990201126</v>
      </c>
      <c r="R17" s="6">
        <f>$J$3+[31]FormattedData!K14*$J$4+$M$4*$J$5+[31]FormattedData!K14^2*$J$6+$M$5*$J$7</f>
        <v>35.560768193403014</v>
      </c>
      <c r="S17" s="6">
        <f>$J$3+[31]FormattedData!L14*$J$4+$M$4*$J$5+[31]FormattedData!L14^2*$J$6+$M$5*$J$7</f>
        <v>35.750295794193008</v>
      </c>
      <c r="T17" s="6">
        <f>$J$3+[31]FormattedData!M14*$J$4+$M$4*$J$5+[31]FormattedData!M14^2*$J$6+$M$5*$J$7</f>
        <v>36.128843773317797</v>
      </c>
      <c r="U17" s="6">
        <f>$J$3+[31]FormattedData!N14*$J$4+$M$4*$J$5+[31]FormattedData!N14^2*$J$6+$M$5*$J$7</f>
        <v>33.656193107158309</v>
      </c>
      <c r="V17" s="6">
        <f>$J$3+[31]FormattedData!O14*$J$4+$M$4*$J$5+[31]FormattedData!O14^2*$J$6+$M$5*$J$7</f>
        <v>35.939654320831266</v>
      </c>
      <c r="W17" s="5">
        <f t="shared" si="0"/>
        <v>34.996843547680335</v>
      </c>
      <c r="X17" s="4">
        <f t="shared" si="1"/>
        <v>0.29593947651840596</v>
      </c>
      <c r="Y17" s="3">
        <f t="shared" si="2"/>
        <v>33.273249200088671</v>
      </c>
      <c r="Z17" s="2">
        <f t="shared" si="3"/>
        <v>34.181494057510101</v>
      </c>
      <c r="AA17" s="3">
        <f t="shared" si="4"/>
        <v>35.22855596816192</v>
      </c>
      <c r="AB17" s="2">
        <f t="shared" si="5"/>
        <v>35.797635425852576</v>
      </c>
      <c r="AC17" s="2">
        <f t="shared" si="6"/>
        <v>36.223375096754175</v>
      </c>
      <c r="AD17" s="2">
        <f t="shared" si="7"/>
        <v>-0.49821252669741267</v>
      </c>
      <c r="AE17" s="2">
        <f t="shared" si="8"/>
        <v>-1.2042942488218422</v>
      </c>
    </row>
    <row r="18" spans="2:31" x14ac:dyDescent="0.2">
      <c r="B18" s="1">
        <f>[31]FormattedData!A30</f>
        <v>201</v>
      </c>
      <c r="C18" s="1" t="str">
        <f>VLOOKUP($B18,[31]TrtCodes!$B$11:I73,2)</f>
        <v>NDL</v>
      </c>
      <c r="D18" s="1">
        <f>VLOOKUP($B18,[31]TrtCodes!$B$11:J73,3)</f>
        <v>12</v>
      </c>
      <c r="E18" s="1">
        <f>VLOOKUP($B18,[31]TrtCodes!$B$11:K73,4)</f>
        <v>2</v>
      </c>
      <c r="F18" s="1">
        <f>VLOOKUP($B18,[31]TrtCodes!$B$11:L73,5)</f>
        <v>3</v>
      </c>
      <c r="G18" s="1">
        <f>VLOOKUP($B18,[31]TrtCodes!$B$11:M73,6)</f>
        <v>1</v>
      </c>
      <c r="H18" s="1">
        <f>VLOOKUP($B18,[31]TrtCodes!$B$11:N73,7)</f>
        <v>1</v>
      </c>
      <c r="I18" s="1">
        <f>[31]FormattedData!B30</f>
        <v>1</v>
      </c>
      <c r="J18" s="4">
        <f>[31]FormattedData!C30</f>
        <v>13.215999999999999</v>
      </c>
      <c r="K18" s="6">
        <f>$J$3+[31]FormattedData!D30*$J$4+$M$4*$J$5+[31]FormattedData!D30^2*$J$6+$M$5*$J$7</f>
        <v>32.02401082867096</v>
      </c>
      <c r="L18" s="6">
        <f>$J$3+[31]FormattedData!E30*$J$4+$M$4*$J$5+[31]FormattedData!E30^2*$J$6+$M$5*$J$7</f>
        <v>32.312930634759404</v>
      </c>
      <c r="M18" s="6">
        <f>$J$3+[31]FormattedData!F30*$J$4+$M$4*$J$5+[31]FormattedData!F30^2*$J$6+$M$5*$J$7</f>
        <v>31.831186281922349</v>
      </c>
      <c r="N18" s="6">
        <f>$J$3+[31]FormattedData!G30*$J$4+$M$4*$J$5+[31]FormattedData!G30^2*$J$6+$M$5*$J$7</f>
        <v>33.75182341258089</v>
      </c>
      <c r="O18" s="6">
        <f>$J$3+[31]FormattedData!H30*$J$4+$M$4*$J$5+[31]FormattedData!H30^2*$J$6+$M$5*$J$7</f>
        <v>32.120359699238364</v>
      </c>
      <c r="P18" s="6">
        <f>$J$3+[31]FormattedData!I30*$J$4+$M$4*$J$5+[31]FormattedData!I30^2*$J$6+$M$5*$J$7</f>
        <v>32.409152699713019</v>
      </c>
      <c r="Q18" s="6">
        <f>$J$3+[31]FormattedData!J30*$J$4+$M$4*$J$5+[31]FormattedData!J30^2*$J$6+$M$5*$J$7</f>
        <v>31.638192661022003</v>
      </c>
      <c r="R18" s="6">
        <f>$J$3+[31]FormattedData!K30*$J$4+$M$4*$J$5+[31]FormattedData!K30^2*$J$6+$M$5*$J$7</f>
        <v>33.94295721781225</v>
      </c>
      <c r="S18" s="6">
        <f>$J$3+[31]FormattedData!L30*$J$4+$M$4*$J$5+[31]FormattedData!L30^2*$J$6+$M$5*$J$7</f>
        <v>33.177407551976437</v>
      </c>
      <c r="T18" s="6">
        <f>$J$3+[31]FormattedData!M30*$J$4+$M$4*$J$5+[31]FormattedData!M30^2*$J$6+$M$5*$J$7</f>
        <v>32.889628996412135</v>
      </c>
      <c r="U18" s="6">
        <f>$J$3+[31]FormattedData!N30*$J$4+$M$4*$J$5+[31]FormattedData!N30^2*$J$6+$M$5*$J$7</f>
        <v>31.638192661022003</v>
      </c>
      <c r="V18" s="6">
        <f>$J$3+[31]FormattedData!O30*$J$4+$M$4*$J$5+[31]FormattedData!O30^2*$J$6+$M$5*$J$7</f>
        <v>32.889628996412135</v>
      </c>
      <c r="W18" s="5">
        <f t="shared" si="0"/>
        <v>32.552122636795161</v>
      </c>
      <c r="X18" s="4">
        <f t="shared" si="1"/>
        <v>0.22572718945424897</v>
      </c>
      <c r="Y18" s="3">
        <f t="shared" si="2"/>
        <v>31.638192661022003</v>
      </c>
      <c r="Z18" s="2">
        <f t="shared" si="3"/>
        <v>31.975804691983807</v>
      </c>
      <c r="AA18" s="3">
        <f t="shared" si="4"/>
        <v>32.361041667236208</v>
      </c>
      <c r="AB18" s="2">
        <f t="shared" si="5"/>
        <v>32.96157363530321</v>
      </c>
      <c r="AC18" s="2">
        <f t="shared" si="6"/>
        <v>33.94295721781225</v>
      </c>
      <c r="AD18" s="2">
        <f t="shared" si="7"/>
        <v>0.59158208668901924</v>
      </c>
      <c r="AE18" s="2">
        <f t="shared" si="8"/>
        <v>-0.7566185346111487</v>
      </c>
    </row>
    <row r="19" spans="2:31" x14ac:dyDescent="0.2">
      <c r="B19" s="1">
        <f>[31]FormattedData!A32</f>
        <v>202</v>
      </c>
      <c r="C19" s="1" t="str">
        <f>VLOOKUP($B19,[31]TrtCodes!$B$11:I75,2)</f>
        <v>NTH</v>
      </c>
      <c r="D19" s="1">
        <f>VLOOKUP($B19,[31]TrtCodes!$B$11:J75,3)</f>
        <v>9</v>
      </c>
      <c r="E19" s="1">
        <f>VLOOKUP($B19,[31]TrtCodes!$B$11:K75,4)</f>
        <v>2</v>
      </c>
      <c r="F19" s="1">
        <f>VLOOKUP($B19,[31]TrtCodes!$B$11:L75,5)</f>
        <v>2</v>
      </c>
      <c r="G19" s="1">
        <f>VLOOKUP($B19,[31]TrtCodes!$B$11:M75,6)</f>
        <v>2</v>
      </c>
      <c r="H19" s="1">
        <f>VLOOKUP($B19,[31]TrtCodes!$B$11:N75,7)</f>
        <v>1</v>
      </c>
      <c r="I19" s="1">
        <f>[31]FormattedData!B32</f>
        <v>1</v>
      </c>
      <c r="J19" s="4">
        <f>[31]FormattedData!C32</f>
        <v>13.231999999999999</v>
      </c>
      <c r="K19" s="6">
        <f>$J$3+[31]FormattedData!D32*$J$4+$M$4*$J$5+[31]FormattedData!D32^2*$J$6+$M$5*$J$7</f>
        <v>32.505332496128702</v>
      </c>
      <c r="L19" s="6">
        <f>$J$3+[31]FormattedData!E32*$J$4+$M$4*$J$5+[31]FormattedData!E32^2*$J$6+$M$5*$J$7</f>
        <v>32.216666301267857</v>
      </c>
      <c r="M19" s="6">
        <f>$J$3+[31]FormattedData!F32*$J$4+$M$4*$J$5+[31]FormattedData!F32^2*$J$6+$M$5*$J$7</f>
        <v>31.154968909357358</v>
      </c>
      <c r="N19" s="6">
        <f>$J$3+[31]FormattedData!G32*$J$4+$M$4*$J$5+[31]FormattedData!G32^2*$J$6+$M$5*$J$7</f>
        <v>31.34838521563702</v>
      </c>
      <c r="O19" s="6">
        <f>$J$3+[31]FormattedData!H32*$J$4+$M$4*$J$5+[31]FormattedData!H32^2*$J$6+$M$5*$J$7</f>
        <v>30.961383528925989</v>
      </c>
      <c r="P19" s="6">
        <f>$J$3+[31]FormattedData!I32*$J$4+$M$4*$J$5+[31]FormattedData!I32^2*$J$6+$M$5*$J$7</f>
        <v>29.990920514493244</v>
      </c>
      <c r="Q19" s="6">
        <f>$J$3+[31]FormattedData!J32*$J$4+$M$4*$J$5+[31]FormattedData!J32^2*$J$6+$M$5*$J$7</f>
        <v>29.406613816012907</v>
      </c>
      <c r="R19" s="6">
        <f>$J$3+[31]FormattedData!K32*$J$4+$M$4*$J$5+[31]FormattedData!K32^2*$J$6+$M$5*$J$7</f>
        <v>30.282503238471353</v>
      </c>
      <c r="S19" s="6">
        <f>$J$3+[31]FormattedData!L32*$J$4+$M$4*$J$5+[31]FormattedData!L32^2*$J$6+$M$5*$J$7</f>
        <v>30.282503238471353</v>
      </c>
      <c r="T19" s="6">
        <f>$J$3+[31]FormattedData!M32*$J$4+$M$4*$J$5+[31]FormattedData!M32^2*$J$6+$M$5*$J$7</f>
        <v>30.670688444244441</v>
      </c>
      <c r="U19" s="6">
        <f>$J$3+[31]FormattedData!N32*$J$4+$M$4*$J$5+[31]FormattedData!N32^2*$J$6+$M$5*$J$7</f>
        <v>30.573705545608064</v>
      </c>
      <c r="V19" s="6">
        <f>$J$3+[31]FormattedData!O32*$J$4+$M$4*$J$5+[31]FormattedData!O32^2*$J$6+$M$5*$J$7</f>
        <v>31.638192661022003</v>
      </c>
      <c r="W19" s="5">
        <f t="shared" si="0"/>
        <v>30.919321992470021</v>
      </c>
      <c r="X19" s="4">
        <f t="shared" si="1"/>
        <v>0.26255246885601624</v>
      </c>
      <c r="Y19" s="3">
        <f t="shared" si="2"/>
        <v>29.406613816012907</v>
      </c>
      <c r="Z19" s="2">
        <f t="shared" si="3"/>
        <v>30.282503238471353</v>
      </c>
      <c r="AA19" s="3">
        <f t="shared" si="4"/>
        <v>30.816035986585213</v>
      </c>
      <c r="AB19" s="2">
        <f t="shared" si="5"/>
        <v>31.420837076983265</v>
      </c>
      <c r="AC19" s="2">
        <f t="shared" si="6"/>
        <v>32.505332496128702</v>
      </c>
      <c r="AD19" s="2">
        <f t="shared" si="7"/>
        <v>0.26126337119508414</v>
      </c>
      <c r="AE19" s="2">
        <f t="shared" si="8"/>
        <v>-0.39705848287825551</v>
      </c>
    </row>
    <row r="20" spans="2:31" x14ac:dyDescent="0.2">
      <c r="B20" s="1">
        <f>[31]FormattedData!A34</f>
        <v>203</v>
      </c>
      <c r="C20" s="1" t="str">
        <f>VLOOKUP($B20,[31]TrtCodes!$B$11:I77,2)</f>
        <v>FTH</v>
      </c>
      <c r="D20" s="1">
        <f>VLOOKUP($B20,[31]TrtCodes!$B$11:J77,3)</f>
        <v>3</v>
      </c>
      <c r="E20" s="1">
        <f>VLOOKUP($B20,[31]TrtCodes!$B$11:K77,4)</f>
        <v>1</v>
      </c>
      <c r="F20" s="1">
        <f>VLOOKUP($B20,[31]TrtCodes!$B$11:L77,5)</f>
        <v>2</v>
      </c>
      <c r="G20" s="1">
        <f>VLOOKUP($B20,[31]TrtCodes!$B$11:M77,6)</f>
        <v>2</v>
      </c>
      <c r="H20" s="1">
        <f>VLOOKUP($B20,[31]TrtCodes!$B$11:N77,7)</f>
        <v>1</v>
      </c>
      <c r="I20" s="1">
        <f>[31]FormattedData!B34</f>
        <v>1</v>
      </c>
      <c r="J20" s="4">
        <f>[31]FormattedData!C34</f>
        <v>13.247999999999999</v>
      </c>
      <c r="K20" s="6">
        <f>$J$3+[31]FormattedData!D34*$J$4+$M$4*$J$5+[31]FormattedData!D34^2*$J$6+$M$5*$J$7</f>
        <v>31.058197353410641</v>
      </c>
      <c r="L20" s="6">
        <f>$J$3+[31]FormattedData!E34*$J$4+$M$4*$J$5+[31]FormattedData!E34^2*$J$6+$M$5*$J$7</f>
        <v>34.515344188596025</v>
      </c>
      <c r="M20" s="6">
        <f>$J$3+[31]FormattedData!F34*$J$4+$M$4*$J$5+[31]FormattedData!F34^2*$J$6+$M$5*$J$7</f>
        <v>31.831186281922349</v>
      </c>
      <c r="N20" s="6">
        <f>$J$3+[31]FormattedData!G34*$J$4+$M$4*$J$5+[31]FormattedData!G34^2*$J$6+$M$5*$J$7</f>
        <v>31.638192661022003</v>
      </c>
      <c r="O20" s="6">
        <f>$J$3+[31]FormattedData!H34*$J$4+$M$4*$J$5+[31]FormattedData!H34^2*$J$6+$M$5*$J$7</f>
        <v>31.154968909357358</v>
      </c>
      <c r="P20" s="6">
        <f>$J$3+[31]FormattedData!I34*$J$4+$M$4*$J$5+[31]FormattedData!I34^2*$J$6+$M$5*$J$7</f>
        <v>31.445029965969944</v>
      </c>
      <c r="Q20" s="6">
        <f>$J$3+[31]FormattedData!J34*$J$4+$M$4*$J$5+[31]FormattedData!J34^2*$J$6+$M$5*$J$7</f>
        <v>31.927619689565621</v>
      </c>
      <c r="R20" s="6">
        <f>$J$3+[31]FormattedData!K34*$J$4+$M$4*$J$5+[31]FormattedData!K34^2*$J$6+$M$5*$J$7</f>
        <v>33.560520533197803</v>
      </c>
      <c r="S20" s="6">
        <f>$J$3+[31]FormattedData!L34*$J$4+$M$4*$J$5+[31]FormattedData!L34^2*$J$6+$M$5*$J$7</f>
        <v>32.601470024006453</v>
      </c>
      <c r="T20" s="6">
        <f>$J$3+[31]FormattedData!M34*$J$4+$M$4*$J$5+[31]FormattedData!M34^2*$J$6+$M$5*$J$7</f>
        <v>32.889628996412135</v>
      </c>
      <c r="U20" s="6">
        <f>$J$3+[31]FormattedData!N34*$J$4+$M$4*$J$5+[31]FormattedData!N34^2*$J$6+$M$5*$J$7</f>
        <v>33.177407551976437</v>
      </c>
      <c r="V20" s="6">
        <f>$J$3+[31]FormattedData!O34*$J$4+$M$4*$J$5+[31]FormattedData!O34^2*$J$6+$M$5*$J$7</f>
        <v>32.409152699713019</v>
      </c>
      <c r="W20" s="5">
        <f t="shared" si="0"/>
        <v>32.350726571262477</v>
      </c>
      <c r="X20" s="4">
        <f t="shared" si="1"/>
        <v>0.30234781600863597</v>
      </c>
      <c r="Y20" s="3">
        <f t="shared" si="2"/>
        <v>31.058197353410641</v>
      </c>
      <c r="Z20" s="2">
        <f t="shared" si="3"/>
        <v>31.58990198725899</v>
      </c>
      <c r="AA20" s="3">
        <f t="shared" si="4"/>
        <v>32.168386194639318</v>
      </c>
      <c r="AB20" s="2">
        <f t="shared" si="5"/>
        <v>32.96157363530321</v>
      </c>
      <c r="AC20" s="2">
        <f t="shared" si="6"/>
        <v>34.515344188596025</v>
      </c>
      <c r="AD20" s="2">
        <f t="shared" si="7"/>
        <v>0.70840514013401457</v>
      </c>
      <c r="AE20" s="2">
        <f t="shared" si="8"/>
        <v>-3.6399053357995204E-2</v>
      </c>
    </row>
    <row r="21" spans="2:31" x14ac:dyDescent="0.2">
      <c r="B21" s="1">
        <f>[31]FormattedData!A36</f>
        <v>204</v>
      </c>
      <c r="C21" s="1" t="str">
        <f>VLOOKUP($B21,[31]TrtCodes!$B$11:I79,2)</f>
        <v>NDH</v>
      </c>
      <c r="D21" s="1">
        <f>VLOOKUP($B21,[31]TrtCodes!$B$11:J79,3)</f>
        <v>11</v>
      </c>
      <c r="E21" s="1">
        <f>VLOOKUP($B21,[31]TrtCodes!$B$11:K79,4)</f>
        <v>2</v>
      </c>
      <c r="F21" s="1">
        <f>VLOOKUP($B21,[31]TrtCodes!$B$11:L79,5)</f>
        <v>3</v>
      </c>
      <c r="G21" s="1">
        <f>VLOOKUP($B21,[31]TrtCodes!$B$11:M79,6)</f>
        <v>2</v>
      </c>
      <c r="H21" s="1">
        <f>VLOOKUP($B21,[31]TrtCodes!$B$11:N79,7)</f>
        <v>1</v>
      </c>
      <c r="I21" s="1">
        <f>[31]FormattedData!B36</f>
        <v>1</v>
      </c>
      <c r="J21" s="4">
        <f>[31]FormattedData!C36</f>
        <v>13.265000000000001</v>
      </c>
      <c r="K21" s="6">
        <f>$J$3+[31]FormattedData!D36*$J$4+$M$4*$J$5+[31]FormattedData!D36^2*$J$6+$M$5*$J$7</f>
        <v>32.697565283346286</v>
      </c>
      <c r="L21" s="6">
        <f>$J$3+[31]FormattedData!E36*$J$4+$M$4*$J$5+[31]FormattedData!E36^2*$J$6+$M$5*$J$7</f>
        <v>34.896090131693228</v>
      </c>
      <c r="M21" s="6">
        <f>$J$3+[31]FormattedData!F36*$J$4+$M$4*$J$5+[31]FormattedData!F36^2*$J$6+$M$5*$J$7</f>
        <v>34.896090131693228</v>
      </c>
      <c r="N21" s="6">
        <f>$J$3+[31]FormattedData!G36*$J$4+$M$4*$J$5+[31]FormattedData!G36^2*$J$6+$M$5*$J$7</f>
        <v>32.889628996412135</v>
      </c>
      <c r="O21" s="6">
        <f>$J$3+[31]FormattedData!H36*$J$4+$M$4*$J$5+[31]FormattedData!H36^2*$J$6+$M$5*$J$7</f>
        <v>33.369048579662973</v>
      </c>
      <c r="P21" s="6">
        <f>$J$3+[31]FormattedData!I36*$J$4+$M$4*$J$5+[31]FormattedData!I36^2*$J$6+$M$5*$J$7</f>
        <v>33.08152363532627</v>
      </c>
      <c r="Q21" s="6">
        <f>$J$3+[31]FormattedData!J36*$J$4+$M$4*$J$5+[31]FormattedData!J36^2*$J$6+$M$5*$J$7</f>
        <v>32.02401082867096</v>
      </c>
      <c r="R21" s="6">
        <f>$J$3+[31]FormattedData!K36*$J$4+$M$4*$J$5+[31]FormattedData!K36^2*$J$6+$M$5*$J$7</f>
        <v>31.638192661022003</v>
      </c>
      <c r="S21" s="6">
        <f>$J$3+[31]FormattedData!L36*$J$4+$M$4*$J$5+[31]FormattedData!L36^2*$J$6+$M$5*$J$7</f>
        <v>34.610594077177218</v>
      </c>
      <c r="T21" s="6">
        <f>$J$3+[31]FormattedData!M36*$J$4+$M$4*$J$5+[31]FormattedData!M36^2*$J$6+$M$5*$J$7</f>
        <v>33.369048579662973</v>
      </c>
      <c r="U21" s="6">
        <f>$J$3+[31]FormattedData!N36*$J$4+$M$4*$J$5+[31]FormattedData!N36^2*$J$6+$M$5*$J$7</f>
        <v>32.985597450138158</v>
      </c>
      <c r="V21" s="6">
        <f>$J$3+[31]FormattedData!O36*$J$4+$M$4*$J$5+[31]FormattedData!O36^2*$J$6+$M$5*$J$7</f>
        <v>33.369048579662973</v>
      </c>
      <c r="W21" s="5">
        <f t="shared" si="0"/>
        <v>33.318869911205695</v>
      </c>
      <c r="X21" s="4">
        <f t="shared" si="1"/>
        <v>0.30013077098699364</v>
      </c>
      <c r="Y21" s="3">
        <f t="shared" si="2"/>
        <v>31.638192661022003</v>
      </c>
      <c r="Z21" s="2">
        <f t="shared" si="3"/>
        <v>32.841613068145676</v>
      </c>
      <c r="AA21" s="3">
        <f t="shared" si="4"/>
        <v>33.225286107494625</v>
      </c>
      <c r="AB21" s="2">
        <f t="shared" si="5"/>
        <v>33.679434954041533</v>
      </c>
      <c r="AC21" s="2">
        <f t="shared" si="6"/>
        <v>34.896090131693228</v>
      </c>
      <c r="AD21" s="2">
        <f t="shared" si="7"/>
        <v>0.2635481012507514</v>
      </c>
      <c r="AE21" s="2">
        <f t="shared" si="8"/>
        <v>-0.50685532560050106</v>
      </c>
    </row>
    <row r="22" spans="2:31" x14ac:dyDescent="0.2">
      <c r="B22" s="1">
        <f>[31]FormattedData!A38</f>
        <v>205</v>
      </c>
      <c r="C22" s="1" t="str">
        <f>VLOOKUP($B22,[31]TrtCodes!$B$11:I81,2)</f>
        <v>FSH</v>
      </c>
      <c r="D22" s="1">
        <f>VLOOKUP($B22,[31]TrtCodes!$B$11:J81,3)</f>
        <v>1</v>
      </c>
      <c r="E22" s="1">
        <f>VLOOKUP($B22,[31]TrtCodes!$B$11:K81,4)</f>
        <v>1</v>
      </c>
      <c r="F22" s="1">
        <f>VLOOKUP($B22,[31]TrtCodes!$B$11:L81,5)</f>
        <v>1</v>
      </c>
      <c r="G22" s="1">
        <f>VLOOKUP($B22,[31]TrtCodes!$B$11:M81,6)</f>
        <v>2</v>
      </c>
      <c r="H22" s="1">
        <f>VLOOKUP($B22,[31]TrtCodes!$B$11:N81,7)</f>
        <v>2</v>
      </c>
      <c r="I22" s="1">
        <f>[31]FormattedData!B38</f>
        <v>1</v>
      </c>
      <c r="J22" s="4">
        <f>[31]FormattedData!C38</f>
        <v>13.281000000000001</v>
      </c>
      <c r="K22" s="6">
        <f>$J$3+[31]FormattedData!D38*$J$4+$M$4*$J$5+[31]FormattedData!D38^2*$J$6+$M$5*$J$7</f>
        <v>32.793618274148173</v>
      </c>
      <c r="L22" s="6">
        <f>$J$3+[31]FormattedData!E38*$J$4+$M$4*$J$5+[31]FormattedData!E38^2*$J$6+$M$5*$J$7</f>
        <v>34.420052031476878</v>
      </c>
      <c r="M22" s="6">
        <f>$J$3+[31]FormattedData!F38*$J$4+$M$4*$J$5+[31]FormattedData!F38^2*$J$6+$M$5*$J$7</f>
        <v>34.610594077177218</v>
      </c>
      <c r="N22" s="6">
        <f>$J$3+[31]FormattedData!G38*$J$4+$M$4*$J$5+[31]FormattedData!G38^2*$J$6+$M$5*$J$7</f>
        <v>34.705801697220487</v>
      </c>
      <c r="O22" s="6">
        <f>$J$3+[31]FormattedData!H38*$J$4+$M$4*$J$5+[31]FormattedData!H38^2*$J$6+$M$5*$J$7</f>
        <v>33.656193107158309</v>
      </c>
      <c r="P22" s="6">
        <f>$J$3+[31]FormattedData!I38*$J$4+$M$4*$J$5+[31]FormattedData!I38^2*$J$6+$M$5*$J$7</f>
        <v>34.038460717621049</v>
      </c>
      <c r="Q22" s="6">
        <f>$J$3+[31]FormattedData!J38*$J$4+$M$4*$J$5+[31]FormattedData!J38^2*$J$6+$M$5*$J$7</f>
        <v>34.229340911624824</v>
      </c>
      <c r="R22" s="6">
        <f>$J$3+[31]FormattedData!K38*$J$4+$M$4*$J$5+[31]FormattedData!K38^2*$J$6+$M$5*$J$7</f>
        <v>35.371071518461299</v>
      </c>
      <c r="S22" s="6">
        <f>$J$3+[31]FormattedData!L38*$J$4+$M$4*$J$5+[31]FormattedData!L38^2*$J$6+$M$5*$J$7</f>
        <v>34.038460717621049</v>
      </c>
      <c r="T22" s="6">
        <f>$J$3+[31]FormattedData!M38*$J$4+$M$4*$J$5+[31]FormattedData!M38^2*$J$6+$M$5*$J$7</f>
        <v>34.800967048725838</v>
      </c>
      <c r="U22" s="6">
        <f>$J$3+[31]FormattedData!N38*$J$4+$M$4*$J$5+[31]FormattedData!N38^2*$J$6+$M$5*$J$7</f>
        <v>32.505332496128702</v>
      </c>
      <c r="V22" s="6">
        <f>$J$3+[31]FormattedData!O38*$J$4+$M$4*$J$5+[31]FormattedData!O38^2*$J$6+$M$5*$J$7</f>
        <v>32.02401082867096</v>
      </c>
      <c r="W22" s="5">
        <f t="shared" si="0"/>
        <v>33.932825285502894</v>
      </c>
      <c r="X22" s="4">
        <f t="shared" si="1"/>
        <v>0.29235642415650265</v>
      </c>
      <c r="Y22" s="3">
        <f t="shared" si="2"/>
        <v>32.02401082867096</v>
      </c>
      <c r="Z22" s="2">
        <f t="shared" si="3"/>
        <v>33.440549398905773</v>
      </c>
      <c r="AA22" s="3">
        <f t="shared" si="4"/>
        <v>34.133900814622933</v>
      </c>
      <c r="AB22" s="2">
        <f t="shared" si="5"/>
        <v>34.634395982188039</v>
      </c>
      <c r="AC22" s="2">
        <f t="shared" si="6"/>
        <v>35.371071518461299</v>
      </c>
      <c r="AD22" s="2">
        <f t="shared" si="7"/>
        <v>-0.71590264201533205</v>
      </c>
      <c r="AE22" s="2">
        <f t="shared" si="8"/>
        <v>-0.3489454027184693</v>
      </c>
    </row>
    <row r="23" spans="2:31" x14ac:dyDescent="0.2">
      <c r="B23" s="1">
        <f>[31]FormattedData!A40</f>
        <v>206</v>
      </c>
      <c r="C23" s="1" t="str">
        <f>VLOOKUP($B23,[31]TrtCodes!$B$11:I83,2)</f>
        <v>NSL</v>
      </c>
      <c r="D23" s="1">
        <f>VLOOKUP($B23,[31]TrtCodes!$B$11:J83,3)</f>
        <v>8</v>
      </c>
      <c r="E23" s="1">
        <f>VLOOKUP($B23,[31]TrtCodes!$B$11:K83,4)</f>
        <v>2</v>
      </c>
      <c r="F23" s="1">
        <f>VLOOKUP($B23,[31]TrtCodes!$B$11:L83,5)</f>
        <v>1</v>
      </c>
      <c r="G23" s="1">
        <f>VLOOKUP($B23,[31]TrtCodes!$B$11:M83,6)</f>
        <v>1</v>
      </c>
      <c r="H23" s="1">
        <f>VLOOKUP($B23,[31]TrtCodes!$B$11:N83,7)</f>
        <v>2</v>
      </c>
      <c r="I23" s="1">
        <f>[31]FormattedData!B40</f>
        <v>1</v>
      </c>
      <c r="J23" s="4">
        <f>[31]FormattedData!C40</f>
        <v>13.295999999999999</v>
      </c>
      <c r="K23" s="6">
        <f>$J$3+[31]FormattedData!D40*$J$4+$M$4*$J$5+[31]FormattedData!D40^2*$J$6+$M$5*$J$7</f>
        <v>29.113889841510666</v>
      </c>
      <c r="L23" s="6">
        <f>$J$3+[31]FormattedData!E40*$J$4+$M$4*$J$5+[31]FormattedData!E40^2*$J$6+$M$5*$J$7</f>
        <v>30.476680378433759</v>
      </c>
      <c r="M23" s="6">
        <f>$J$3+[31]FormattedData!F40*$J$4+$M$4*$J$5+[31]FormattedData!F40^2*$J$6+$M$5*$J$7</f>
        <v>29.698957373673764</v>
      </c>
      <c r="N23" s="6">
        <f>$J$3+[31]FormattedData!G40*$J$4+$M$4*$J$5+[31]FormattedData!G40^2*$J$6+$M$5*$J$7</f>
        <v>32.120359699238364</v>
      </c>
      <c r="O23" s="6">
        <f>$J$3+[31]FormattedData!H40*$J$4+$M$4*$J$5+[31]FormattedData!H40^2*$J$6+$M$5*$J$7</f>
        <v>30.670688444244441</v>
      </c>
      <c r="P23" s="6">
        <f>$J$3+[31]FormattedData!I40*$J$4+$M$4*$J$5+[31]FormattedData!I40^2*$J$6+$M$5*$J$7</f>
        <v>32.02401082867096</v>
      </c>
      <c r="Q23" s="6">
        <f>$J$3+[31]FormattedData!J40*$J$4+$M$4*$J$5+[31]FormattedData!J40^2*$J$6+$M$5*$J$7</f>
        <v>30.767629074342896</v>
      </c>
      <c r="R23" s="6">
        <f>$J$3+[31]FormattedData!K40*$J$4+$M$4*$J$5+[31]FormattedData!K40^2*$J$6+$M$5*$J$7</f>
        <v>30.961383528925989</v>
      </c>
      <c r="S23" s="6">
        <f>$J$3+[31]FormattedData!L40*$J$4+$M$4*$J$5+[31]FormattedData!L40^2*$J$6+$M$5*$J$7</f>
        <v>30.961383528925989</v>
      </c>
      <c r="T23" s="6">
        <f>$J$3+[31]FormattedData!M40*$J$4+$M$4*$J$5+[31]FormattedData!M40^2*$J$6+$M$5*$J$7</f>
        <v>34.229340911624824</v>
      </c>
      <c r="U23" s="6">
        <f>$J$3+[31]FormattedData!N40*$J$4+$M$4*$J$5+[31]FormattedData!N40^2*$J$6+$M$5*$J$7</f>
        <v>31.638192661022003</v>
      </c>
      <c r="V23" s="6">
        <f>$J$3+[31]FormattedData!O40*$J$4+$M$4*$J$5+[31]FormattedData!O40^2*$J$6+$M$5*$J$7</f>
        <v>32.312930634759404</v>
      </c>
      <c r="W23" s="5">
        <f t="shared" si="0"/>
        <v>31.247953908781088</v>
      </c>
      <c r="X23" s="4">
        <f t="shared" si="1"/>
        <v>0.38744658941229543</v>
      </c>
      <c r="Y23" s="3">
        <f t="shared" si="2"/>
        <v>29.113889841510666</v>
      </c>
      <c r="Z23" s="2">
        <f t="shared" si="3"/>
        <v>30.622186427791771</v>
      </c>
      <c r="AA23" s="3">
        <f t="shared" si="4"/>
        <v>30.961383528925989</v>
      </c>
      <c r="AB23" s="2">
        <f t="shared" si="5"/>
        <v>32.048098046312809</v>
      </c>
      <c r="AC23" s="2">
        <f t="shared" si="6"/>
        <v>34.229340911624824</v>
      </c>
      <c r="AD23" s="2">
        <f t="shared" si="7"/>
        <v>0.6612301021935808</v>
      </c>
      <c r="AE23" s="2">
        <f t="shared" si="8"/>
        <v>1.2252229537116177</v>
      </c>
    </row>
    <row r="24" spans="2:31" x14ac:dyDescent="0.2">
      <c r="B24" s="1">
        <f>[31]FormattedData!A42</f>
        <v>207</v>
      </c>
      <c r="C24" s="1" t="str">
        <f>VLOOKUP($B24,[31]TrtCodes!$B$11:I85,2)</f>
        <v>FTL</v>
      </c>
      <c r="D24" s="1">
        <f>VLOOKUP($B24,[31]TrtCodes!$B$11:J85,3)</f>
        <v>4</v>
      </c>
      <c r="E24" s="1">
        <f>VLOOKUP($B24,[31]TrtCodes!$B$11:K85,4)</f>
        <v>1</v>
      </c>
      <c r="F24" s="1">
        <f>VLOOKUP($B24,[31]TrtCodes!$B$11:L85,5)</f>
        <v>2</v>
      </c>
      <c r="G24" s="1">
        <f>VLOOKUP($B24,[31]TrtCodes!$B$11:M85,6)</f>
        <v>1</v>
      </c>
      <c r="H24" s="1">
        <f>VLOOKUP($B24,[31]TrtCodes!$B$11:N85,7)</f>
        <v>2</v>
      </c>
      <c r="I24" s="1">
        <f>[31]FormattedData!B42</f>
        <v>1</v>
      </c>
      <c r="J24" s="4">
        <f>[31]FormattedData!C42</f>
        <v>13.311999999999999</v>
      </c>
      <c r="K24" s="6">
        <f>$J$3+[31]FormattedData!D42*$J$4+$M$4*$J$5+[31]FormattedData!D42^2*$J$6+$M$5*$J$7</f>
        <v>33.08152363532627</v>
      </c>
      <c r="L24" s="6">
        <f>$J$3+[31]FormattedData!E42*$J$4+$M$4*$J$5+[31]FormattedData!E42^2*$J$6+$M$5*$J$7</f>
        <v>33.94295721781225</v>
      </c>
      <c r="M24" s="6">
        <f>$J$3+[31]FormattedData!F42*$J$4+$M$4*$J$5+[31]FormattedData!F42^2*$J$6+$M$5*$J$7</f>
        <v>34.133921948891903</v>
      </c>
      <c r="N24" s="6">
        <f>$J$3+[31]FormattedData!G42*$J$4+$M$4*$J$5+[31]FormattedData!G42^2*$J$6+$M$5*$J$7</f>
        <v>32.697565283346286</v>
      </c>
      <c r="O24" s="6">
        <f>$J$3+[31]FormattedData!H42*$J$4+$M$4*$J$5+[31]FormattedData!H42^2*$J$6+$M$5*$J$7</f>
        <v>31.54163244776494</v>
      </c>
      <c r="P24" s="6">
        <f>$J$3+[31]FormattedData!I42*$J$4+$M$4*$J$5+[31]FormattedData!I42^2*$J$6+$M$5*$J$7</f>
        <v>33.464805690699343</v>
      </c>
      <c r="Q24" s="6">
        <f>$J$3+[31]FormattedData!J42*$J$4+$M$4*$J$5+[31]FormattedData!J42^2*$J$6+$M$5*$J$7</f>
        <v>30.670688444244441</v>
      </c>
      <c r="R24" s="6">
        <f>$J$3+[31]FormattedData!K42*$J$4+$M$4*$J$5+[31]FormattedData!K42^2*$J$6+$M$5*$J$7</f>
        <v>32.02401082867096</v>
      </c>
      <c r="S24" s="6">
        <f>$J$3+[31]FormattedData!L42*$J$4+$M$4*$J$5+[31]FormattedData!L42^2*$J$6+$M$5*$J$7</f>
        <v>32.985597450138158</v>
      </c>
      <c r="T24" s="6">
        <f>$J$3+[31]FormattedData!M42*$J$4+$M$4*$J$5+[31]FormattedData!M42^2*$J$6+$M$5*$J$7</f>
        <v>33.94295721781225</v>
      </c>
      <c r="U24" s="6">
        <f>$J$3+[31]FormattedData!N42*$J$4+$M$4*$J$5+[31]FormattedData!N42^2*$J$6+$M$5*$J$7</f>
        <v>33.177407551976437</v>
      </c>
      <c r="V24" s="6">
        <f>$J$3+[31]FormattedData!O42*$J$4+$M$4*$J$5+[31]FormattedData!O42^2*$J$6+$M$5*$J$7</f>
        <v>33.273249200088671</v>
      </c>
      <c r="W24" s="5">
        <f t="shared" si="0"/>
        <v>32.911359743064331</v>
      </c>
      <c r="X24" s="4">
        <f t="shared" si="1"/>
        <v>0.30019459303473628</v>
      </c>
      <c r="Y24" s="3">
        <f t="shared" si="2"/>
        <v>30.670688444244441</v>
      </c>
      <c r="Z24" s="2">
        <f t="shared" si="3"/>
        <v>32.529176669677454</v>
      </c>
      <c r="AA24" s="3">
        <f t="shared" si="4"/>
        <v>33.129465593651354</v>
      </c>
      <c r="AB24" s="2">
        <f t="shared" si="5"/>
        <v>33.584343572477572</v>
      </c>
      <c r="AC24" s="2">
        <f t="shared" si="6"/>
        <v>34.133921948891903</v>
      </c>
      <c r="AD24" s="2">
        <f t="shared" si="7"/>
        <v>-0.9956695099892513</v>
      </c>
      <c r="AE24" s="2">
        <f t="shared" si="8"/>
        <v>0.54322810894160778</v>
      </c>
    </row>
    <row r="25" spans="2:31" x14ac:dyDescent="0.2">
      <c r="B25" s="1">
        <f>[31]FormattedData!A44</f>
        <v>208</v>
      </c>
      <c r="C25" s="1" t="str">
        <f>VLOOKUP($B25,[31]TrtCodes!$B$11:I87,2)</f>
        <v>FSL</v>
      </c>
      <c r="D25" s="1">
        <f>VLOOKUP($B25,[31]TrtCodes!$B$11:J87,3)</f>
        <v>2</v>
      </c>
      <c r="E25" s="1">
        <f>VLOOKUP($B25,[31]TrtCodes!$B$11:K87,4)</f>
        <v>1</v>
      </c>
      <c r="F25" s="1">
        <f>VLOOKUP($B25,[31]TrtCodes!$B$11:L87,5)</f>
        <v>1</v>
      </c>
      <c r="G25" s="1">
        <f>VLOOKUP($B25,[31]TrtCodes!$B$11:M87,6)</f>
        <v>1</v>
      </c>
      <c r="H25" s="1">
        <f>VLOOKUP($B25,[31]TrtCodes!$B$11:N87,7)</f>
        <v>2</v>
      </c>
      <c r="I25" s="1">
        <f>[31]FormattedData!B44</f>
        <v>1</v>
      </c>
      <c r="J25" s="4">
        <f>[31]FormattedData!C44</f>
        <v>13.327999999999999</v>
      </c>
      <c r="K25" s="6">
        <f>$J$3+[31]FormattedData!D44*$J$4+$M$4*$J$5+[31]FormattedData!D44^2*$J$6+$M$5*$J$7</f>
        <v>32.409152699713019</v>
      </c>
      <c r="L25" s="6">
        <f>$J$3+[31]FormattedData!E44*$J$4+$M$4*$J$5+[31]FormattedData!E44^2*$J$6+$M$5*$J$7</f>
        <v>31.445029965969944</v>
      </c>
      <c r="M25" s="6">
        <f>$J$3+[31]FormattedData!F44*$J$4+$M$4*$J$5+[31]FormattedData!F44^2*$J$6+$M$5*$J$7</f>
        <v>31.734710605741149</v>
      </c>
      <c r="N25" s="6">
        <f>$J$3+[31]FormattedData!G44*$J$4+$M$4*$J$5+[31]FormattedData!G44^2*$J$6+$M$5*$J$7</f>
        <v>32.697565283346286</v>
      </c>
      <c r="O25" s="6">
        <f>$J$3+[31]FormattedData!H44*$J$4+$M$4*$J$5+[31]FormattedData!H44^2*$J$6+$M$5*$J$7</f>
        <v>32.409152699713019</v>
      </c>
      <c r="P25" s="6">
        <f>$J$3+[31]FormattedData!I44*$J$4+$M$4*$J$5+[31]FormattedData!I44^2*$J$6+$M$5*$J$7</f>
        <v>32.985597450138158</v>
      </c>
      <c r="Q25" s="6">
        <f>$J$3+[31]FormattedData!J44*$J$4+$M$4*$J$5+[31]FormattedData!J44^2*$J$6+$M$5*$J$7</f>
        <v>32.889628996412135</v>
      </c>
      <c r="R25" s="6">
        <f>$J$3+[31]FormattedData!K44*$J$4+$M$4*$J$5+[31]FormattedData!K44^2*$J$6+$M$5*$J$7</f>
        <v>33.08152363532627</v>
      </c>
      <c r="S25" s="6">
        <f>$J$3+[31]FormattedData!L44*$J$4+$M$4*$J$5+[31]FormattedData!L44^2*$J$6+$M$5*$J$7</f>
        <v>34.991170946122715</v>
      </c>
      <c r="T25" s="6">
        <f>$J$3+[31]FormattedData!M44*$J$4+$M$4*$J$5+[31]FormattedData!M44^2*$J$6+$M$5*$J$7</f>
        <v>31.445029965969944</v>
      </c>
      <c r="U25" s="6">
        <f>$J$3+[31]FormattedData!N44*$J$4+$M$4*$J$5+[31]FormattedData!N44^2*$J$6+$M$5*$J$7</f>
        <v>31.927619689565621</v>
      </c>
      <c r="V25" s="6">
        <f>$J$3+[31]FormattedData!O44*$J$4+$M$4*$J$5+[31]FormattedData!O44^2*$J$6+$M$5*$J$7</f>
        <v>30.864527435903408</v>
      </c>
      <c r="W25" s="5">
        <f t="shared" si="0"/>
        <v>32.406725781160141</v>
      </c>
      <c r="X25" s="4">
        <f t="shared" si="1"/>
        <v>0.31014215626270075</v>
      </c>
      <c r="Y25" s="3">
        <f t="shared" si="2"/>
        <v>30.864527435903408</v>
      </c>
      <c r="Z25" s="2">
        <f t="shared" si="3"/>
        <v>31.662290445798348</v>
      </c>
      <c r="AA25" s="3">
        <f t="shared" si="4"/>
        <v>32.409152699713019</v>
      </c>
      <c r="AB25" s="2">
        <f t="shared" si="5"/>
        <v>32.913621109843639</v>
      </c>
      <c r="AC25" s="2">
        <f t="shared" si="6"/>
        <v>34.991170946122715</v>
      </c>
      <c r="AD25" s="2">
        <f t="shared" si="7"/>
        <v>1.0592140649752981</v>
      </c>
      <c r="AE25" s="2">
        <f t="shared" si="8"/>
        <v>2.1900475216376769</v>
      </c>
    </row>
    <row r="26" spans="2:31" x14ac:dyDescent="0.2">
      <c r="B26" s="1">
        <f>[31]FormattedData!A62</f>
        <v>301</v>
      </c>
      <c r="C26" s="1" t="str">
        <f>VLOOKUP($B26,[31]TrtCodes!$B$11:I105,2)</f>
        <v>NTL</v>
      </c>
      <c r="D26" s="1">
        <f>VLOOKUP($B26,[31]TrtCodes!$B$11:J105,3)</f>
        <v>10</v>
      </c>
      <c r="E26" s="1">
        <f>VLOOKUP($B26,[31]TrtCodes!$B$11:K105,4)</f>
        <v>2</v>
      </c>
      <c r="F26" s="1">
        <f>VLOOKUP($B26,[31]TrtCodes!$B$11:L105,5)</f>
        <v>2</v>
      </c>
      <c r="G26" s="1">
        <f>VLOOKUP($B26,[31]TrtCodes!$B$11:M105,6)</f>
        <v>1</v>
      </c>
      <c r="H26" s="1">
        <f>VLOOKUP($B26,[31]TrtCodes!$B$11:N105,7)</f>
        <v>3</v>
      </c>
      <c r="I26" s="1">
        <f>[31]FormattedData!B62</f>
        <v>1</v>
      </c>
      <c r="J26" s="4">
        <f>[31]FormattedData!C62</f>
        <v>13.455</v>
      </c>
      <c r="K26" s="6">
        <f>$J$3+[31]FormattedData!D62*$J$4+$M$4*$J$5+[31]FormattedData!D62^2*$J$6+$M$5*$J$7</f>
        <v>32.793618274148173</v>
      </c>
      <c r="L26" s="6">
        <f>$J$3+[31]FormattedData!E62*$J$4+$M$4*$J$5+[31]FormattedData!E62^2*$J$6+$M$5*$J$7</f>
        <v>33.177407551976437</v>
      </c>
      <c r="M26" s="6">
        <f>$J$3+[31]FormattedData!F62*$J$4+$M$4*$J$5+[31]FormattedData!F62^2*$J$6+$M$5*$J$7</f>
        <v>33.08152363532627</v>
      </c>
      <c r="N26" s="6">
        <f>$J$3+[31]FormattedData!G62*$J$4+$M$4*$J$5+[31]FormattedData!G62^2*$J$6+$M$5*$J$7</f>
        <v>34.038460717621049</v>
      </c>
      <c r="O26" s="6">
        <f>$J$3+[31]FormattedData!H62*$J$4+$M$4*$J$5+[31]FormattedData!H62^2*$J$6+$M$5*$J$7</f>
        <v>32.793618274148173</v>
      </c>
      <c r="P26" s="6">
        <f>$J$3+[31]FormattedData!I62*$J$4+$M$4*$J$5+[31]FormattedData!I62^2*$J$6+$M$5*$J$7</f>
        <v>35.560768193403014</v>
      </c>
      <c r="Q26" s="6">
        <f>$J$3+[31]FormattedData!J62*$J$4+$M$4*$J$5+[31]FormattedData!J62^2*$J$6+$M$5*$J$7</f>
        <v>33.560520533197803</v>
      </c>
      <c r="R26" s="6">
        <f>$J$3+[31]FormattedData!K62*$J$4+$M$4*$J$5+[31]FormattedData!K62^2*$J$6+$M$5*$J$7</f>
        <v>34.324717605819835</v>
      </c>
      <c r="S26" s="6">
        <f>$J$3+[31]FormattedData!L62*$J$4+$M$4*$J$5+[31]FormattedData!L62^2*$J$6+$M$5*$J$7</f>
        <v>33.75182341258089</v>
      </c>
      <c r="T26" s="6">
        <f>$J$3+[31]FormattedData!M62*$J$4+$M$4*$J$5+[31]FormattedData!M62^2*$J$6+$M$5*$J$7</f>
        <v>35.844996191781092</v>
      </c>
      <c r="U26" s="6">
        <f>$J$3+[31]FormattedData!N62*$J$4+$M$4*$J$5+[31]FormattedData!N62^2*$J$6+$M$5*$J$7</f>
        <v>34.038460717621049</v>
      </c>
      <c r="V26" s="6">
        <f>$J$3+[31]FormattedData!O62*$J$4+$M$4*$J$5+[31]FormattedData!O62^2*$J$6+$M$5*$J$7</f>
        <v>34.896090131693228</v>
      </c>
      <c r="W26" s="5">
        <f t="shared" si="0"/>
        <v>33.988500436609748</v>
      </c>
      <c r="X26" s="4">
        <f t="shared" si="1"/>
        <v>0.29433416960234582</v>
      </c>
      <c r="Y26" s="3">
        <f t="shared" si="2"/>
        <v>32.793618274148173</v>
      </c>
      <c r="Z26" s="2">
        <f t="shared" si="3"/>
        <v>33.153436572813895</v>
      </c>
      <c r="AA26" s="3">
        <f t="shared" si="4"/>
        <v>33.89514206510097</v>
      </c>
      <c r="AB26" s="2">
        <f t="shared" si="5"/>
        <v>34.467560737288181</v>
      </c>
      <c r="AC26" s="2">
        <f t="shared" si="6"/>
        <v>35.844996191781092</v>
      </c>
      <c r="AD26" s="2">
        <f t="shared" si="7"/>
        <v>0.64713233382578716</v>
      </c>
      <c r="AE26" s="2">
        <f t="shared" si="8"/>
        <v>-0.54805148416845961</v>
      </c>
    </row>
    <row r="27" spans="2:31" x14ac:dyDescent="0.2">
      <c r="B27" s="1">
        <f>[31]FormattedData!A64</f>
        <v>302</v>
      </c>
      <c r="C27" s="1" t="str">
        <f>VLOOKUP($B27,[31]TrtCodes!$B$11:I107,2)</f>
        <v>FTL</v>
      </c>
      <c r="D27" s="1">
        <f>VLOOKUP($B27,[31]TrtCodes!$B$11:J107,3)</f>
        <v>4</v>
      </c>
      <c r="E27" s="1">
        <f>VLOOKUP($B27,[31]TrtCodes!$B$11:K107,4)</f>
        <v>1</v>
      </c>
      <c r="F27" s="1">
        <f>VLOOKUP($B27,[31]TrtCodes!$B$11:L107,5)</f>
        <v>2</v>
      </c>
      <c r="G27" s="1">
        <f>VLOOKUP($B27,[31]TrtCodes!$B$11:M107,6)</f>
        <v>1</v>
      </c>
      <c r="H27" s="1">
        <f>VLOOKUP($B27,[31]TrtCodes!$B$11:N107,7)</f>
        <v>3</v>
      </c>
      <c r="I27" s="1">
        <f>[31]FormattedData!B64</f>
        <v>1</v>
      </c>
      <c r="J27" s="4">
        <f>[31]FormattedData!C64</f>
        <v>13.471</v>
      </c>
      <c r="K27" s="6">
        <f>$J$3+[31]FormattedData!D64*$J$4+$M$4*$J$5+[31]FormattedData!D64^2*$J$6+$M$5*$J$7</f>
        <v>31.927619689565621</v>
      </c>
      <c r="L27" s="6">
        <f>$J$3+[31]FormattedData!E64*$J$4+$M$4*$J$5+[31]FormattedData!E64^2*$J$6+$M$5*$J$7</f>
        <v>34.420052031476878</v>
      </c>
      <c r="M27" s="6">
        <f>$J$3+[31]FormattedData!F64*$J$4+$M$4*$J$5+[31]FormattedData!F64^2*$J$6+$M$5*$J$7</f>
        <v>33.464805690699343</v>
      </c>
      <c r="N27" s="6">
        <f>$J$3+[31]FormattedData!G64*$J$4+$M$4*$J$5+[31]FormattedData!G64^2*$J$6+$M$5*$J$7</f>
        <v>34.038460717621049</v>
      </c>
      <c r="O27" s="6">
        <f>$J$3+[31]FormattedData!H64*$J$4+$M$4*$J$5+[31]FormattedData!H64^2*$J$6+$M$5*$J$7</f>
        <v>34.610594077177218</v>
      </c>
      <c r="P27" s="6">
        <f>$J$3+[31]FormattedData!I64*$J$4+$M$4*$J$5+[31]FormattedData!I64^2*$J$6+$M$5*$J$7</f>
        <v>34.515344188596025</v>
      </c>
      <c r="Q27" s="6">
        <f>$J$3+[31]FormattedData!J64*$J$4+$M$4*$J$5+[31]FormattedData!J64^2*$J$6+$M$5*$J$7</f>
        <v>32.889628996412135</v>
      </c>
      <c r="R27" s="6">
        <f>$J$3+[31]FormattedData!K64*$J$4+$M$4*$J$5+[31]FormattedData!K64^2*$J$6+$M$5*$J$7</f>
        <v>33.273249200088671</v>
      </c>
      <c r="S27" s="6">
        <f>$J$3+[31]FormattedData!L64*$J$4+$M$4*$J$5+[31]FormattedData!L64^2*$J$6+$M$5*$J$7</f>
        <v>34.229340911624824</v>
      </c>
      <c r="T27" s="6">
        <f>$J$3+[31]FormattedData!M64*$J$4+$M$4*$J$5+[31]FormattedData!M64^2*$J$6+$M$5*$J$7</f>
        <v>33.464805690699343</v>
      </c>
      <c r="U27" s="6">
        <f>$J$3+[31]FormattedData!N64*$J$4+$M$4*$J$5+[31]FormattedData!N64^2*$J$6+$M$5*$J$7</f>
        <v>33.560520533197803</v>
      </c>
      <c r="V27" s="6">
        <f>$J$3+[31]FormattedData!O64*$J$4+$M$4*$J$5+[31]FormattedData!O64^2*$J$6+$M$5*$J$7</f>
        <v>33.273249200088671</v>
      </c>
      <c r="W27" s="5">
        <f t="shared" si="0"/>
        <v>33.638972577270629</v>
      </c>
      <c r="X27" s="4">
        <f t="shared" si="1"/>
        <v>0.2245342117437929</v>
      </c>
      <c r="Y27" s="3">
        <f t="shared" si="2"/>
        <v>31.927619689565621</v>
      </c>
      <c r="Z27" s="2">
        <f t="shared" si="3"/>
        <v>33.273249200088671</v>
      </c>
      <c r="AA27" s="3">
        <f t="shared" si="4"/>
        <v>33.512663111948569</v>
      </c>
      <c r="AB27" s="2">
        <f t="shared" si="5"/>
        <v>34.277018691587841</v>
      </c>
      <c r="AC27" s="2">
        <f t="shared" si="6"/>
        <v>34.610594077177218</v>
      </c>
      <c r="AD27" s="2">
        <f t="shared" si="7"/>
        <v>-0.74309798869549737</v>
      </c>
      <c r="AE27" s="2">
        <f t="shared" si="8"/>
        <v>0.6725690574962524</v>
      </c>
    </row>
    <row r="28" spans="2:31" x14ac:dyDescent="0.2">
      <c r="B28" s="1">
        <f>[31]FormattedData!A66</f>
        <v>303</v>
      </c>
      <c r="C28" s="1" t="str">
        <f>VLOOKUP($B28,[31]TrtCodes!$B$11:I109,2)</f>
        <v>NSL</v>
      </c>
      <c r="D28" s="1">
        <f>VLOOKUP($B28,[31]TrtCodes!$B$11:J109,3)</f>
        <v>8</v>
      </c>
      <c r="E28" s="1">
        <f>VLOOKUP($B28,[31]TrtCodes!$B$11:K109,4)</f>
        <v>2</v>
      </c>
      <c r="F28" s="1">
        <f>VLOOKUP($B28,[31]TrtCodes!$B$11:L109,5)</f>
        <v>1</v>
      </c>
      <c r="G28" s="1">
        <f>VLOOKUP($B28,[31]TrtCodes!$B$11:M109,6)</f>
        <v>1</v>
      </c>
      <c r="H28" s="1">
        <f>VLOOKUP($B28,[31]TrtCodes!$B$11:N109,7)</f>
        <v>3</v>
      </c>
      <c r="I28" s="1">
        <f>[31]FormattedData!B66</f>
        <v>1</v>
      </c>
      <c r="J28" s="4">
        <f>[31]FormattedData!C66</f>
        <v>13.486000000000001</v>
      </c>
      <c r="K28" s="6">
        <f>$J$3+[31]FormattedData!D66*$J$4+$M$4*$J$5+[31]FormattedData!D66^2*$J$6+$M$5*$J$7</f>
        <v>32.505332496128702</v>
      </c>
      <c r="L28" s="6">
        <f>$J$3+[31]FormattedData!E66*$J$4+$M$4*$J$5+[31]FormattedData!E66^2*$J$6+$M$5*$J$7</f>
        <v>32.312930634759404</v>
      </c>
      <c r="M28" s="6">
        <f>$J$3+[31]FormattedData!F66*$J$4+$M$4*$J$5+[31]FormattedData!F66^2*$J$6+$M$5*$J$7</f>
        <v>31.154968909357358</v>
      </c>
      <c r="N28" s="6">
        <f>$J$3+[31]FormattedData!G66*$J$4+$M$4*$J$5+[31]FormattedData!G66^2*$J$6+$M$5*$J$7</f>
        <v>31.34838521563702</v>
      </c>
      <c r="O28" s="6">
        <f>$J$3+[31]FormattedData!H66*$J$4+$M$4*$J$5+[31]FormattedData!H66^2*$J$6+$M$5*$J$7</f>
        <v>31.154968909357358</v>
      </c>
      <c r="P28" s="6">
        <f>$J$3+[31]FormattedData!I66*$J$4+$M$4*$J$5+[31]FormattedData!I66^2*$J$6+$M$5*$J$7</f>
        <v>32.02401082867096</v>
      </c>
      <c r="Q28" s="6">
        <f>$J$3+[31]FormattedData!J66*$J$4+$M$4*$J$5+[31]FormattedData!J66^2*$J$6+$M$5*$J$7</f>
        <v>31.734710605741149</v>
      </c>
      <c r="R28" s="6">
        <f>$J$3+[31]FormattedData!K66*$J$4+$M$4*$J$5+[31]FormattedData!K66^2*$J$6+$M$5*$J$7</f>
        <v>32.889628996412135</v>
      </c>
      <c r="S28" s="6">
        <f>$J$3+[31]FormattedData!L66*$J$4+$M$4*$J$5+[31]FormattedData!L66^2*$J$6+$M$5*$J$7</f>
        <v>32.505332496128702</v>
      </c>
      <c r="T28" s="6">
        <f>$J$3+[31]FormattedData!M66*$J$4+$M$4*$J$5+[31]FormattedData!M66^2*$J$6+$M$5*$J$7</f>
        <v>31.54163244776494</v>
      </c>
      <c r="U28" s="6">
        <f>$J$3+[31]FormattedData!N66*$J$4+$M$4*$J$5+[31]FormattedData!N66^2*$J$6+$M$5*$J$7</f>
        <v>30.767629074342896</v>
      </c>
      <c r="V28" s="6">
        <f>$J$3+[31]FormattedData!O66*$J$4+$M$4*$J$5+[31]FormattedData!O66^2*$J$6+$M$5*$J$7</f>
        <v>32.120359699238364</v>
      </c>
      <c r="W28" s="5">
        <f t="shared" si="0"/>
        <v>31.838324192794914</v>
      </c>
      <c r="X28" s="4">
        <f t="shared" si="1"/>
        <v>0.18976571807266437</v>
      </c>
      <c r="Y28" s="3">
        <f t="shared" si="2"/>
        <v>30.767629074342896</v>
      </c>
      <c r="Z28" s="2">
        <f t="shared" si="3"/>
        <v>31.300031139067105</v>
      </c>
      <c r="AA28" s="3">
        <f t="shared" si="4"/>
        <v>31.879360717206055</v>
      </c>
      <c r="AB28" s="2">
        <f t="shared" si="5"/>
        <v>32.361031100101727</v>
      </c>
      <c r="AC28" s="2">
        <f t="shared" si="6"/>
        <v>32.889628996412135</v>
      </c>
      <c r="AD28" s="2">
        <f t="shared" si="7"/>
        <v>-4.5811739534473692E-2</v>
      </c>
      <c r="AE28" s="2">
        <f t="shared" si="8"/>
        <v>-1.0870906802868285</v>
      </c>
    </row>
    <row r="29" spans="2:31" x14ac:dyDescent="0.2">
      <c r="B29" s="1">
        <f>[31]FormattedData!A68</f>
        <v>304</v>
      </c>
      <c r="C29" s="1" t="str">
        <f>VLOOKUP($B29,[31]TrtCodes!$B$11:I111,2)</f>
        <v>FSL</v>
      </c>
      <c r="D29" s="1">
        <f>VLOOKUP($B29,[31]TrtCodes!$B$11:J111,3)</f>
        <v>2</v>
      </c>
      <c r="E29" s="1">
        <f>VLOOKUP($B29,[31]TrtCodes!$B$11:K111,4)</f>
        <v>1</v>
      </c>
      <c r="F29" s="1">
        <f>VLOOKUP($B29,[31]TrtCodes!$B$11:L111,5)</f>
        <v>1</v>
      </c>
      <c r="G29" s="1">
        <f>VLOOKUP($B29,[31]TrtCodes!$B$11:M111,6)</f>
        <v>1</v>
      </c>
      <c r="H29" s="1">
        <f>VLOOKUP($B29,[31]TrtCodes!$B$11:N111,7)</f>
        <v>3</v>
      </c>
      <c r="I29" s="1">
        <f>[31]FormattedData!B68</f>
        <v>1</v>
      </c>
      <c r="J29" s="4">
        <f>[31]FormattedData!C68</f>
        <v>13.502000000000001</v>
      </c>
      <c r="K29" s="6">
        <f>$J$3+[31]FormattedData!D68*$J$4+$M$4*$J$5+[31]FormattedData!D68^2*$J$6+$M$5*$J$7</f>
        <v>33.273249200088671</v>
      </c>
      <c r="L29" s="6">
        <f>$J$3+[31]FormattedData!E68*$J$4+$M$4*$J$5+[31]FormattedData!E68^2*$J$6+$M$5*$J$7</f>
        <v>32.312930634759404</v>
      </c>
      <c r="M29" s="6">
        <f>$J$3+[31]FormattedData!F68*$J$4+$M$4*$J$5+[31]FormattedData!F68^2*$J$6+$M$5*$J$7</f>
        <v>31.734710605741149</v>
      </c>
      <c r="N29" s="6">
        <f>$J$3+[31]FormattedData!G68*$J$4+$M$4*$J$5+[31]FormattedData!G68^2*$J$6+$M$5*$J$7</f>
        <v>32.601470024006453</v>
      </c>
      <c r="O29" s="6">
        <f>$J$3+[31]FormattedData!H68*$J$4+$M$4*$J$5+[31]FormattedData!H68^2*$J$6+$M$5*$J$7</f>
        <v>31.638192661022003</v>
      </c>
      <c r="P29" s="6">
        <f>$J$3+[31]FormattedData!I68*$J$4+$M$4*$J$5+[31]FormattedData!I68^2*$J$6+$M$5*$J$7</f>
        <v>32.985597450138158</v>
      </c>
      <c r="Q29" s="6">
        <f>$J$3+[31]FormattedData!J68*$J$4+$M$4*$J$5+[31]FormattedData!J68^2*$J$6+$M$5*$J$7</f>
        <v>32.505332496128702</v>
      </c>
      <c r="R29" s="6">
        <f>$J$3+[31]FormattedData!K68*$J$4+$M$4*$J$5+[31]FormattedData!K68^2*$J$6+$M$5*$J$7</f>
        <v>34.229340911624824</v>
      </c>
      <c r="S29" s="6">
        <f>$J$3+[31]FormattedData!L68*$J$4+$M$4*$J$5+[31]FormattedData!L68^2*$J$6+$M$5*$J$7</f>
        <v>32.985597450138158</v>
      </c>
      <c r="T29" s="6">
        <f>$J$3+[31]FormattedData!M68*$J$4+$M$4*$J$5+[31]FormattedData!M68^2*$J$6+$M$5*$J$7</f>
        <v>33.369048579662973</v>
      </c>
      <c r="U29" s="6">
        <f>$J$3+[31]FormattedData!N68*$J$4+$M$4*$J$5+[31]FormattedData!N68^2*$J$6+$M$5*$J$7</f>
        <v>33.369048579662973</v>
      </c>
      <c r="V29" s="6">
        <f>$J$3+[31]FormattedData!O68*$J$4+$M$4*$J$5+[31]FormattedData!O68^2*$J$6+$M$5*$J$7</f>
        <v>35.276159778183562</v>
      </c>
      <c r="W29" s="5">
        <f t="shared" si="0"/>
        <v>33.023389864263088</v>
      </c>
      <c r="X29" s="4">
        <f t="shared" si="1"/>
        <v>0.29341451129488538</v>
      </c>
      <c r="Y29" s="3">
        <f t="shared" si="2"/>
        <v>31.638192661022003</v>
      </c>
      <c r="Z29" s="2">
        <f t="shared" si="3"/>
        <v>32.457232030786379</v>
      </c>
      <c r="AA29" s="3">
        <f t="shared" si="4"/>
        <v>32.985597450138158</v>
      </c>
      <c r="AB29" s="2">
        <f t="shared" si="5"/>
        <v>33.369048579662973</v>
      </c>
      <c r="AC29" s="2">
        <f t="shared" si="6"/>
        <v>35.276159778183562</v>
      </c>
      <c r="AD29" s="2">
        <f t="shared" si="7"/>
        <v>0.82217566893968164</v>
      </c>
      <c r="AE29" s="2">
        <f t="shared" si="8"/>
        <v>1.0898694115213647</v>
      </c>
    </row>
    <row r="30" spans="2:31" x14ac:dyDescent="0.2">
      <c r="B30" s="1">
        <f>[31]FormattedData!A70</f>
        <v>305</v>
      </c>
      <c r="C30" s="1" t="str">
        <f>VLOOKUP($B30,[31]TrtCodes!$B$11:I113,2)</f>
        <v>NDH</v>
      </c>
      <c r="D30" s="1">
        <f>VLOOKUP($B30,[31]TrtCodes!$B$11:J113,3)</f>
        <v>11</v>
      </c>
      <c r="E30" s="1">
        <f>VLOOKUP($B30,[31]TrtCodes!$B$11:K113,4)</f>
        <v>2</v>
      </c>
      <c r="F30" s="1">
        <f>VLOOKUP($B30,[31]TrtCodes!$B$11:L113,5)</f>
        <v>3</v>
      </c>
      <c r="G30" s="1">
        <f>VLOOKUP($B30,[31]TrtCodes!$B$11:M113,6)</f>
        <v>2</v>
      </c>
      <c r="H30" s="1">
        <f>VLOOKUP($B30,[31]TrtCodes!$B$11:N113,7)</f>
        <v>4</v>
      </c>
      <c r="I30" s="1">
        <f>[31]FormattedData!B70</f>
        <v>1</v>
      </c>
      <c r="J30" s="4">
        <f>[31]FormattedData!C70</f>
        <v>13.519</v>
      </c>
      <c r="K30" s="6">
        <f>$J$3+[31]FormattedData!D70*$J$4+$M$4*$J$5+[31]FormattedData!D70^2*$J$6+$M$5*$J$7</f>
        <v>34.324717605819835</v>
      </c>
      <c r="L30" s="6">
        <f>$J$3+[31]FormattedData!E70*$J$4+$M$4*$J$5+[31]FormattedData!E70^2*$J$6+$M$5*$J$7</f>
        <v>32.889628996412135</v>
      </c>
      <c r="M30" s="6">
        <f>$J$3+[31]FormattedData!F70*$J$4+$M$4*$J$5+[31]FormattedData!F70^2*$J$6+$M$5*$J$7</f>
        <v>32.601470024006453</v>
      </c>
      <c r="N30" s="6">
        <f>$J$3+[31]FormattedData!G70*$J$4+$M$4*$J$5+[31]FormattedData!G70^2*$J$6+$M$5*$J$7</f>
        <v>32.697565283346286</v>
      </c>
      <c r="O30" s="6">
        <f>$J$3+[31]FormattedData!H70*$J$4+$M$4*$J$5+[31]FormattedData!H70^2*$J$6+$M$5*$J$7</f>
        <v>32.312930634759404</v>
      </c>
      <c r="P30" s="6">
        <f>$J$3+[31]FormattedData!I70*$J$4+$M$4*$J$5+[31]FormattedData!I70^2*$J$6+$M$5*$J$7</f>
        <v>33.656193107158309</v>
      </c>
      <c r="Q30" s="6">
        <f>$J$3+[31]FormattedData!J70*$J$4+$M$4*$J$5+[31]FormattedData!J70^2*$J$6+$M$5*$J$7</f>
        <v>33.08152363532627</v>
      </c>
      <c r="R30" s="6">
        <f>$J$3+[31]FormattedData!K70*$J$4+$M$4*$J$5+[31]FormattedData!K70^2*$J$6+$M$5*$J$7</f>
        <v>32.02401082867096</v>
      </c>
      <c r="S30" s="6">
        <f>$J$3+[31]FormattedData!L70*$J$4+$M$4*$J$5+[31]FormattedData!L70^2*$J$6+$M$5*$J$7</f>
        <v>32.120359699238364</v>
      </c>
      <c r="T30" s="6">
        <f>$J$3+[31]FormattedData!M70*$J$4+$M$4*$J$5+[31]FormattedData!M70^2*$J$6+$M$5*$J$7</f>
        <v>34.133921948891903</v>
      </c>
      <c r="U30" s="6">
        <f>$J$3+[31]FormattedData!N70*$J$4+$M$4*$J$5+[31]FormattedData!N70^2*$J$6+$M$5*$J$7</f>
        <v>33.08152363532627</v>
      </c>
      <c r="V30" s="6">
        <f>$J$3+[31]FormattedData!O70*$J$4+$M$4*$J$5+[31]FormattedData!O70^2*$J$6+$M$5*$J$7</f>
        <v>33.656193107158309</v>
      </c>
      <c r="W30" s="5">
        <f t="shared" si="0"/>
        <v>33.048336542176209</v>
      </c>
      <c r="X30" s="4">
        <f t="shared" si="1"/>
        <v>0.21929554140879495</v>
      </c>
      <c r="Y30" s="3">
        <f t="shared" si="2"/>
        <v>32.02401082867096</v>
      </c>
      <c r="Z30" s="2">
        <f t="shared" si="3"/>
        <v>32.529335176694687</v>
      </c>
      <c r="AA30" s="3">
        <f t="shared" si="4"/>
        <v>32.985576315869203</v>
      </c>
      <c r="AB30" s="2">
        <f t="shared" si="5"/>
        <v>33.656193107158309</v>
      </c>
      <c r="AC30" s="2">
        <f t="shared" si="6"/>
        <v>34.324717605819835</v>
      </c>
      <c r="AD30" s="2">
        <f t="shared" si="7"/>
        <v>0.34839117606813702</v>
      </c>
      <c r="AE30" s="2">
        <f t="shared" si="8"/>
        <v>-0.95465496607203981</v>
      </c>
    </row>
    <row r="31" spans="2:31" x14ac:dyDescent="0.2">
      <c r="B31" s="1">
        <f>[31]FormattedData!A72</f>
        <v>306</v>
      </c>
      <c r="C31" s="1" t="str">
        <f>VLOOKUP($B31,[31]TrtCodes!$B$11:I115,2)</f>
        <v>FTL</v>
      </c>
      <c r="D31" s="1">
        <f>VLOOKUP($B31,[31]TrtCodes!$B$11:J115,3)</f>
        <v>4</v>
      </c>
      <c r="E31" s="1">
        <f>VLOOKUP($B31,[31]TrtCodes!$B$11:K115,4)</f>
        <v>1</v>
      </c>
      <c r="F31" s="1">
        <f>VLOOKUP($B31,[31]TrtCodes!$B$11:L115,5)</f>
        <v>2</v>
      </c>
      <c r="G31" s="1">
        <f>VLOOKUP($B31,[31]TrtCodes!$B$11:M115,6)</f>
        <v>1</v>
      </c>
      <c r="H31" s="1">
        <f>VLOOKUP($B31,[31]TrtCodes!$B$11:N115,7)</f>
        <v>4</v>
      </c>
      <c r="I31" s="1">
        <f>[31]FormattedData!B72</f>
        <v>1</v>
      </c>
      <c r="J31" s="4">
        <f>[31]FormattedData!C72</f>
        <v>13.535</v>
      </c>
      <c r="K31" s="6">
        <f>$J$3+[31]FormattedData!D72*$J$4+$M$4*$J$5+[31]FormattedData!D72^2*$J$6+$M$5*$J$7</f>
        <v>32.409152699713019</v>
      </c>
      <c r="L31" s="6">
        <f>$J$3+[31]FormattedData!E72*$J$4+$M$4*$J$5+[31]FormattedData!E72^2*$J$6+$M$5*$J$7</f>
        <v>33.08152363532627</v>
      </c>
      <c r="M31" s="6">
        <f>$J$3+[31]FormattedData!F72*$J$4+$M$4*$J$5+[31]FormattedData!F72^2*$J$6+$M$5*$J$7</f>
        <v>32.312930634759404</v>
      </c>
      <c r="N31" s="6">
        <f>$J$3+[31]FormattedData!G72*$J$4+$M$4*$J$5+[31]FormattedData!G72^2*$J$6+$M$5*$J$7</f>
        <v>35.086209492014255</v>
      </c>
      <c r="O31" s="6">
        <f>$J$3+[31]FormattedData!H72*$J$4+$M$4*$J$5+[31]FormattedData!H72^2*$J$6+$M$5*$J$7</f>
        <v>32.505332496128702</v>
      </c>
      <c r="P31" s="6">
        <f>$J$3+[31]FormattedData!I72*$J$4+$M$4*$J$5+[31]FormattedData!I72^2*$J$6+$M$5*$J$7</f>
        <v>35.181205769367871</v>
      </c>
      <c r="Q31" s="6">
        <f>$J$3+[31]FormattedData!J72*$J$4+$M$4*$J$5+[31]FormattedData!J72^2*$J$6+$M$5*$J$7</f>
        <v>33.560520533197803</v>
      </c>
      <c r="R31" s="6">
        <f>$J$3+[31]FormattedData!K72*$J$4+$M$4*$J$5+[31]FormattedData!K72^2*$J$6+$M$5*$J$7</f>
        <v>34.133921948891903</v>
      </c>
      <c r="S31" s="6">
        <f>$J$3+[31]FormattedData!L72*$J$4+$M$4*$J$5+[31]FormattedData!L72^2*$J$6+$M$5*$J$7</f>
        <v>32.120359699238364</v>
      </c>
      <c r="T31" s="6">
        <f>$J$3+[31]FormattedData!M72*$J$4+$M$4*$J$5+[31]FormattedData!M72^2*$J$6+$M$5*$J$7</f>
        <v>31.831186281922349</v>
      </c>
      <c r="U31" s="6">
        <f>$J$3+[31]FormattedData!N72*$J$4+$M$4*$J$5+[31]FormattedData!N72^2*$J$6+$M$5*$J$7</f>
        <v>31.831186281922349</v>
      </c>
      <c r="V31" s="6">
        <f>$J$3+[31]FormattedData!O72*$J$4+$M$4*$J$5+[31]FormattedData!O72^2*$J$6+$M$5*$J$7</f>
        <v>30.864527435903408</v>
      </c>
      <c r="W31" s="5">
        <f t="shared" si="0"/>
        <v>32.909838075698808</v>
      </c>
      <c r="X31" s="4">
        <f t="shared" si="1"/>
        <v>0.38681987105975812</v>
      </c>
      <c r="Y31" s="3">
        <f t="shared" si="2"/>
        <v>30.864527435903408</v>
      </c>
      <c r="Z31" s="2">
        <f t="shared" si="3"/>
        <v>32.048066344909358</v>
      </c>
      <c r="AA31" s="3">
        <f t="shared" si="4"/>
        <v>32.45724259792086</v>
      </c>
      <c r="AB31" s="2">
        <f t="shared" si="5"/>
        <v>33.703870887121326</v>
      </c>
      <c r="AC31" s="2">
        <f t="shared" si="6"/>
        <v>35.181205769367871</v>
      </c>
      <c r="AD31" s="2">
        <f t="shared" si="7"/>
        <v>0.55220427474176614</v>
      </c>
      <c r="AE31" s="2">
        <f t="shared" si="8"/>
        <v>-0.50014661664365656</v>
      </c>
    </row>
    <row r="32" spans="2:31" x14ac:dyDescent="0.2">
      <c r="B32" s="1">
        <f>[31]FormattedData!A74</f>
        <v>307</v>
      </c>
      <c r="C32" s="1" t="str">
        <f>VLOOKUP($B32,[31]TrtCodes!$B$11:I117,2)</f>
        <v>NTH</v>
      </c>
      <c r="D32" s="1">
        <f>VLOOKUP($B32,[31]TrtCodes!$B$11:J117,3)</f>
        <v>9</v>
      </c>
      <c r="E32" s="1">
        <f>VLOOKUP($B32,[31]TrtCodes!$B$11:K117,4)</f>
        <v>2</v>
      </c>
      <c r="F32" s="1">
        <f>VLOOKUP($B32,[31]TrtCodes!$B$11:L117,5)</f>
        <v>2</v>
      </c>
      <c r="G32" s="1">
        <f>VLOOKUP($B32,[31]TrtCodes!$B$11:M117,6)</f>
        <v>2</v>
      </c>
      <c r="H32" s="1">
        <f>VLOOKUP($B32,[31]TrtCodes!$B$11:N117,7)</f>
        <v>4</v>
      </c>
      <c r="I32" s="1">
        <f>[31]FormattedData!B74</f>
        <v>1</v>
      </c>
      <c r="J32" s="4">
        <f>[31]FormattedData!C74</f>
        <v>13.551</v>
      </c>
      <c r="K32" s="6">
        <f>$J$3+[31]FormattedData!D74*$J$4+$M$4*$J$5+[31]FormattedData!D74^2*$J$6+$M$5*$J$7</f>
        <v>33.369048579662973</v>
      </c>
      <c r="L32" s="6">
        <f>$J$3+[31]FormattedData!E74*$J$4+$M$4*$J$5+[31]FormattedData!E74^2*$J$6+$M$5*$J$7</f>
        <v>34.420052031476878</v>
      </c>
      <c r="M32" s="6">
        <f>$J$3+[31]FormattedData!F74*$J$4+$M$4*$J$5+[31]FormattedData!F74^2*$J$6+$M$5*$J$7</f>
        <v>33.273249200088671</v>
      </c>
      <c r="N32" s="6">
        <f>$J$3+[31]FormattedData!G74*$J$4+$M$4*$J$5+[31]FormattedData!G74^2*$J$6+$M$5*$J$7</f>
        <v>33.464805690699343</v>
      </c>
      <c r="O32" s="6">
        <f>$J$3+[31]FormattedData!H74*$J$4+$M$4*$J$5+[31]FormattedData!H74^2*$J$6+$M$5*$J$7</f>
        <v>32.793618274148173</v>
      </c>
      <c r="P32" s="6">
        <f>$J$3+[31]FormattedData!I74*$J$4+$M$4*$J$5+[31]FormattedData!I74^2*$J$6+$M$5*$J$7</f>
        <v>33.656193107158309</v>
      </c>
      <c r="Q32" s="6">
        <f>$J$3+[31]FormattedData!J74*$J$4+$M$4*$J$5+[31]FormattedData!J74^2*$J$6+$M$5*$J$7</f>
        <v>32.601470024006453</v>
      </c>
      <c r="R32" s="6">
        <f>$J$3+[31]FormattedData!K74*$J$4+$M$4*$J$5+[31]FormattedData!K74^2*$J$6+$M$5*$J$7</f>
        <v>33.656193107158309</v>
      </c>
      <c r="S32" s="6">
        <f>$J$3+[31]FormattedData!L74*$J$4+$M$4*$J$5+[31]FormattedData!L74^2*$J$6+$M$5*$J$7</f>
        <v>31.251698196766164</v>
      </c>
      <c r="T32" s="6">
        <f>$J$3+[31]FormattedData!M74*$J$4+$M$4*$J$5+[31]FormattedData!M74^2*$J$6+$M$5*$J$7</f>
        <v>31.154968909357358</v>
      </c>
      <c r="U32" s="6">
        <f>$J$3+[31]FormattedData!N74*$J$4+$M$4*$J$5+[31]FormattedData!N74^2*$J$6+$M$5*$J$7</f>
        <v>31.34838521563702</v>
      </c>
      <c r="V32" s="6">
        <f>$J$3+[31]FormattedData!O74*$J$4+$M$4*$J$5+[31]FormattedData!O74^2*$J$6+$M$5*$J$7</f>
        <v>31.734710605741149</v>
      </c>
      <c r="W32" s="5">
        <f t="shared" si="0"/>
        <v>32.727032745158397</v>
      </c>
      <c r="X32" s="4">
        <f t="shared" si="1"/>
        <v>0.31863114574589912</v>
      </c>
      <c r="Y32" s="3">
        <f t="shared" si="2"/>
        <v>31.154968909357358</v>
      </c>
      <c r="Z32" s="2">
        <f t="shared" si="3"/>
        <v>31.638129258215116</v>
      </c>
      <c r="AA32" s="3">
        <f t="shared" si="4"/>
        <v>33.033433737118422</v>
      </c>
      <c r="AB32" s="2">
        <f t="shared" si="5"/>
        <v>33.512652544814088</v>
      </c>
      <c r="AC32" s="2">
        <f t="shared" si="6"/>
        <v>34.420052031476878</v>
      </c>
      <c r="AD32" s="2">
        <f t="shared" si="7"/>
        <v>-0.27658009364970071</v>
      </c>
      <c r="AE32" s="2">
        <f t="shared" si="8"/>
        <v>-1.3060556542611876</v>
      </c>
    </row>
    <row r="33" spans="2:31" x14ac:dyDescent="0.2">
      <c r="B33" s="1">
        <f>[31]FormattedData!A76</f>
        <v>308</v>
      </c>
      <c r="C33" s="1" t="str">
        <f>VLOOKUP($B33,[31]TrtCodes!$B$11:I119,2)</f>
        <v>FDH</v>
      </c>
      <c r="D33" s="1">
        <f>VLOOKUP($B33,[31]TrtCodes!$B$11:J119,3)</f>
        <v>5</v>
      </c>
      <c r="E33" s="1">
        <f>VLOOKUP($B33,[31]TrtCodes!$B$11:K119,4)</f>
        <v>1</v>
      </c>
      <c r="F33" s="1">
        <f>VLOOKUP($B33,[31]TrtCodes!$B$11:L119,5)</f>
        <v>3</v>
      </c>
      <c r="G33" s="1">
        <f>VLOOKUP($B33,[31]TrtCodes!$B$11:M119,6)</f>
        <v>2</v>
      </c>
      <c r="H33" s="1">
        <f>VLOOKUP($B33,[31]TrtCodes!$B$11:N119,7)</f>
        <v>4</v>
      </c>
      <c r="I33" s="1">
        <f>[31]FormattedData!B76</f>
        <v>1</v>
      </c>
      <c r="J33" s="4">
        <f>[31]FormattedData!C76</f>
        <v>13.567</v>
      </c>
      <c r="K33" s="6">
        <f>$J$3+[31]FormattedData!D76*$J$4+$M$4*$J$5+[31]FormattedData!D76^2*$J$6+$M$5*$J$7</f>
        <v>32.02401082867096</v>
      </c>
      <c r="L33" s="6">
        <f>$J$3+[31]FormattedData!E76*$J$4+$M$4*$J$5+[31]FormattedData!E76^2*$J$6+$M$5*$J$7</f>
        <v>31.058197353410641</v>
      </c>
      <c r="M33" s="6">
        <f>$J$3+[31]FormattedData!F76*$J$4+$M$4*$J$5+[31]FormattedData!F76^2*$J$6+$M$5*$J$7</f>
        <v>33.94295721781225</v>
      </c>
      <c r="N33" s="6">
        <f>$J$3+[31]FormattedData!G76*$J$4+$M$4*$J$5+[31]FormattedData!G76^2*$J$6+$M$5*$J$7</f>
        <v>32.985597450138158</v>
      </c>
      <c r="O33" s="6">
        <f>$J$3+[31]FormattedData!H76*$J$4+$M$4*$J$5+[31]FormattedData!H76^2*$J$6+$M$5*$J$7</f>
        <v>32.793618274148173</v>
      </c>
      <c r="P33" s="6">
        <f>$J$3+[31]FormattedData!I76*$J$4+$M$4*$J$5+[31]FormattedData!I76^2*$J$6+$M$5*$J$7</f>
        <v>31.154968909357358</v>
      </c>
      <c r="Q33" s="6">
        <f>$J$3+[31]FormattedData!J76*$J$4+$M$4*$J$5+[31]FormattedData!J76^2*$J$6+$M$5*$J$7</f>
        <v>31.34838521563702</v>
      </c>
      <c r="R33" s="6">
        <f>$J$3+[31]FormattedData!K76*$J$4+$M$4*$J$5+[31]FormattedData!K76^2*$J$6+$M$5*$J$7</f>
        <v>33.177407551976437</v>
      </c>
      <c r="S33" s="6">
        <f>$J$3+[31]FormattedData!L76*$J$4+$M$4*$J$5+[31]FormattedData!L76^2*$J$6+$M$5*$J$7</f>
        <v>31.831186281922349</v>
      </c>
      <c r="T33" s="6">
        <f>$J$3+[31]FormattedData!M76*$J$4+$M$4*$J$5+[31]FormattedData!M76^2*$J$6+$M$5*$J$7</f>
        <v>33.560520533197803</v>
      </c>
      <c r="U33" s="6">
        <f>$J$3+[31]FormattedData!N76*$J$4+$M$4*$J$5+[31]FormattedData!N76^2*$J$6+$M$5*$J$7</f>
        <v>32.312930634759404</v>
      </c>
      <c r="V33" s="6">
        <f>$J$3+[31]FormattedData!O76*$J$4+$M$4*$J$5+[31]FormattedData!O76^2*$J$6+$M$5*$J$7</f>
        <v>32.889628996412135</v>
      </c>
      <c r="W33" s="5">
        <f t="shared" si="0"/>
        <v>32.423284103953556</v>
      </c>
      <c r="X33" s="4">
        <f t="shared" si="1"/>
        <v>0.27512953225245573</v>
      </c>
      <c r="Y33" s="3">
        <f t="shared" si="2"/>
        <v>31.058197353410641</v>
      </c>
      <c r="Z33" s="2">
        <f t="shared" si="3"/>
        <v>31.710486015351016</v>
      </c>
      <c r="AA33" s="3">
        <f t="shared" si="4"/>
        <v>32.553274454453785</v>
      </c>
      <c r="AB33" s="2">
        <f t="shared" si="5"/>
        <v>33.03354997559773</v>
      </c>
      <c r="AC33" s="2">
        <f t="shared" si="6"/>
        <v>33.94295721781225</v>
      </c>
      <c r="AD33" s="2">
        <f t="shared" si="7"/>
        <v>-4.5278798097356007E-2</v>
      </c>
      <c r="AE33" s="2">
        <f t="shared" si="8"/>
        <v>-1.1612303090101297</v>
      </c>
    </row>
    <row r="34" spans="2:31" x14ac:dyDescent="0.2">
      <c r="B34" s="1">
        <f>[31]FormattedData!A92</f>
        <v>401</v>
      </c>
      <c r="C34" s="1" t="str">
        <f>VLOOKUP($B34,[31]TrtCodes!$B$11:I129,2)</f>
        <v>NSH</v>
      </c>
      <c r="D34" s="1">
        <f>VLOOKUP($B34,[31]TrtCodes!$B$11:J129,3)</f>
        <v>7</v>
      </c>
      <c r="E34" s="1">
        <f>VLOOKUP($B34,[31]TrtCodes!$B$11:K129,4)</f>
        <v>2</v>
      </c>
      <c r="F34" s="1">
        <f>VLOOKUP($B34,[31]TrtCodes!$B$11:L129,5)</f>
        <v>1</v>
      </c>
      <c r="G34" s="1">
        <f>VLOOKUP($B34,[31]TrtCodes!$B$11:M129,6)</f>
        <v>2</v>
      </c>
      <c r="H34" s="1">
        <f>VLOOKUP($B34,[31]TrtCodes!$B$11:N129,7)</f>
        <v>3</v>
      </c>
      <c r="I34" s="1">
        <f>[31]FormattedData!B92</f>
        <v>1</v>
      </c>
      <c r="J34" s="4">
        <f>[31]FormattedData!C92</f>
        <v>13.704000000000001</v>
      </c>
      <c r="K34" s="6">
        <f>$J$3+[31]FormattedData!D92*$J$4+$M$4*$J$5+[31]FormattedData!D92^2*$J$6+$M$5*$J$7</f>
        <v>31.058197353410641</v>
      </c>
      <c r="L34" s="6">
        <f>$J$3+[31]FormattedData!E92*$J$4+$M$4*$J$5+[31]FormattedData!E92^2*$J$6+$M$5*$J$7</f>
        <v>30.476680378433759</v>
      </c>
      <c r="M34" s="6">
        <f>$J$3+[31]FormattedData!F92*$J$4+$M$4*$J$5+[31]FormattedData!F92^2*$J$6+$M$5*$J$7</f>
        <v>30.961383528925989</v>
      </c>
      <c r="N34" s="6">
        <f>$J$3+[31]FormattedData!G92*$J$4+$M$4*$J$5+[31]FormattedData!G92^2*$J$6+$M$5*$J$7</f>
        <v>31.058197353410641</v>
      </c>
      <c r="O34" s="6">
        <f>$J$3+[31]FormattedData!H92*$J$4+$M$4*$J$5+[31]FormattedData!H92^2*$J$6+$M$5*$J$7</f>
        <v>31.34838521563702</v>
      </c>
      <c r="P34" s="6">
        <f>$J$3+[31]FormattedData!I92*$J$4+$M$4*$J$5+[31]FormattedData!I92^2*$J$6+$M$5*$J$7</f>
        <v>31.251698196766164</v>
      </c>
      <c r="Q34" s="6">
        <f>$J$3+[31]FormattedData!J92*$J$4+$M$4*$J$5+[31]FormattedData!J92^2*$J$6+$M$5*$J$7</f>
        <v>30.379612942721522</v>
      </c>
      <c r="R34" s="6">
        <f>$J$3+[31]FormattedData!K92*$J$4+$M$4*$J$5+[31]FormattedData!K92^2*$J$6+$M$5*$J$7</f>
        <v>30.864527435903408</v>
      </c>
      <c r="S34" s="6">
        <f>$J$3+[31]FormattedData!L92*$J$4+$M$4*$J$5+[31]FormattedData!L92^2*$J$6+$M$5*$J$7</f>
        <v>30.476680378433759</v>
      </c>
      <c r="T34" s="6">
        <f>$J$3+[31]FormattedData!M92*$J$4+$M$4*$J$5+[31]FormattedData!M92^2*$J$6+$M$5*$J$7</f>
        <v>31.251698196766164</v>
      </c>
      <c r="U34" s="6">
        <f>$J$3+[31]FormattedData!N92*$J$4+$M$4*$J$5+[31]FormattedData!N92^2*$J$6+$M$5*$J$7</f>
        <v>30.088157024357212</v>
      </c>
      <c r="V34" s="6">
        <f>$J$3+[31]FormattedData!O92*$J$4+$M$4*$J$5+[31]FormattedData!O92^2*$J$6+$M$5*$J$7</f>
        <v>31.927619689565621</v>
      </c>
      <c r="W34" s="5">
        <f t="shared" si="0"/>
        <v>30.928569807860992</v>
      </c>
      <c r="X34" s="4">
        <f t="shared" si="1"/>
        <v>0.14662903409201836</v>
      </c>
      <c r="Y34" s="3">
        <f t="shared" si="2"/>
        <v>30.088157024357212</v>
      </c>
      <c r="Z34" s="2">
        <f t="shared" si="3"/>
        <v>30.476680378433759</v>
      </c>
      <c r="AA34" s="3">
        <f t="shared" si="4"/>
        <v>31.009790441168313</v>
      </c>
      <c r="AB34" s="2">
        <f t="shared" si="5"/>
        <v>31.251698196766164</v>
      </c>
      <c r="AC34" s="2">
        <f t="shared" si="6"/>
        <v>31.927619689565621</v>
      </c>
      <c r="AD34" s="2">
        <f t="shared" si="7"/>
        <v>0.16581100976418583</v>
      </c>
      <c r="AE34" s="2">
        <f t="shared" si="8"/>
        <v>4.4795525033666905E-2</v>
      </c>
    </row>
    <row r="35" spans="2:31" x14ac:dyDescent="0.2">
      <c r="B35" s="1">
        <f>[31]FormattedData!A90</f>
        <v>402</v>
      </c>
      <c r="C35" s="1" t="str">
        <f>VLOOKUP($B35,[31]TrtCodes!$B$11:I130,2)</f>
        <v>NTH</v>
      </c>
      <c r="D35" s="1">
        <f>VLOOKUP($B35,[31]TrtCodes!$B$11:J130,3)</f>
        <v>9</v>
      </c>
      <c r="E35" s="1">
        <f>VLOOKUP($B35,[31]TrtCodes!$B$11:K130,4)</f>
        <v>2</v>
      </c>
      <c r="F35" s="1">
        <f>VLOOKUP($B35,[31]TrtCodes!$B$11:L130,5)</f>
        <v>2</v>
      </c>
      <c r="G35" s="1">
        <f>VLOOKUP($B35,[31]TrtCodes!$B$11:M130,6)</f>
        <v>2</v>
      </c>
      <c r="H35" s="1">
        <f>VLOOKUP($B35,[31]TrtCodes!$B$11:N130,7)</f>
        <v>3</v>
      </c>
      <c r="I35" s="1">
        <f>[31]FormattedData!B90</f>
        <v>1</v>
      </c>
      <c r="J35" s="4">
        <f>[31]FormattedData!C90</f>
        <v>13.688000000000001</v>
      </c>
      <c r="K35" s="6">
        <f>$J$3+[31]FormattedData!D90*$J$4+$M$4*$J$5+[31]FormattedData!D90^2*$J$6+$M$5*$J$7</f>
        <v>34.133921948891903</v>
      </c>
      <c r="L35" s="6">
        <f>$J$3+[31]FormattedData!E90*$J$4+$M$4*$J$5+[31]FormattedData!E90^2*$J$6+$M$5*$J$7</f>
        <v>32.793618274148173</v>
      </c>
      <c r="M35" s="6">
        <f>$J$3+[31]FormattedData!F90*$J$4+$M$4*$J$5+[31]FormattedData!F90^2*$J$6+$M$5*$J$7</f>
        <v>32.601470024006453</v>
      </c>
      <c r="N35" s="6">
        <f>$J$3+[31]FormattedData!G90*$J$4+$M$4*$J$5+[31]FormattedData!G90^2*$J$6+$M$5*$J$7</f>
        <v>32.889628996412135</v>
      </c>
      <c r="O35" s="6">
        <f>$J$3+[31]FormattedData!H90*$J$4+$M$4*$J$5+[31]FormattedData!H90^2*$J$6+$M$5*$J$7</f>
        <v>32.697565283346286</v>
      </c>
      <c r="P35" s="6">
        <f>$J$3+[31]FormattedData!I90*$J$4+$M$4*$J$5+[31]FormattedData!I90^2*$J$6+$M$5*$J$7</f>
        <v>31.638192661022003</v>
      </c>
      <c r="Q35" s="6">
        <f>$J$3+[31]FormattedData!J90*$J$4+$M$4*$J$5+[31]FormattedData!J90^2*$J$6+$M$5*$J$7</f>
        <v>31.734710605741149</v>
      </c>
      <c r="R35" s="6">
        <f>$J$3+[31]FormattedData!K90*$J$4+$M$4*$J$5+[31]FormattedData!K90^2*$J$6+$M$5*$J$7</f>
        <v>32.601470024006453</v>
      </c>
      <c r="S35" s="6">
        <f>$J$3+[31]FormattedData!L90*$J$4+$M$4*$J$5+[31]FormattedData!L90^2*$J$6+$M$5*$J$7</f>
        <v>32.216666301267857</v>
      </c>
      <c r="T35" s="6">
        <f>$J$3+[31]FormattedData!M90*$J$4+$M$4*$J$5+[31]FormattedData!M90^2*$J$6+$M$5*$J$7</f>
        <v>32.505332496128702</v>
      </c>
      <c r="U35" s="6">
        <f>$J$3+[31]FormattedData!N90*$J$4+$M$4*$J$5+[31]FormattedData!N90^2*$J$6+$M$5*$J$7</f>
        <v>31.927619689565621</v>
      </c>
      <c r="V35" s="6">
        <f>$J$3+[31]FormattedData!O90*$J$4+$M$4*$J$5+[31]FormattedData!O90^2*$J$6+$M$5*$J$7</f>
        <v>32.793618274148173</v>
      </c>
      <c r="W35" s="5">
        <f t="shared" si="0"/>
        <v>32.544484548223743</v>
      </c>
      <c r="X35" s="4">
        <f t="shared" si="1"/>
        <v>0.19001830714651705</v>
      </c>
      <c r="Y35" s="3">
        <f t="shared" si="2"/>
        <v>31.638192661022003</v>
      </c>
      <c r="Z35" s="2">
        <f t="shared" si="3"/>
        <v>32.144404648342295</v>
      </c>
      <c r="AA35" s="3">
        <f t="shared" si="4"/>
        <v>32.601470024006453</v>
      </c>
      <c r="AB35" s="2">
        <f t="shared" si="5"/>
        <v>32.793618274148173</v>
      </c>
      <c r="AC35" s="2">
        <f t="shared" si="6"/>
        <v>34.133921948891903</v>
      </c>
      <c r="AD35" s="2">
        <f t="shared" si="7"/>
        <v>0.9738426105838639</v>
      </c>
      <c r="AE35" s="2">
        <f t="shared" si="8"/>
        <v>2.4008935601950823</v>
      </c>
    </row>
    <row r="36" spans="2:31" x14ac:dyDescent="0.2">
      <c r="B36" s="1">
        <f>[31]FormattedData!A88</f>
        <v>403</v>
      </c>
      <c r="C36" s="1" t="str">
        <f>VLOOKUP($B36,[31]TrtCodes!$B$11:I131,2)</f>
        <v>FDL</v>
      </c>
      <c r="D36" s="1">
        <f>VLOOKUP($B36,[31]TrtCodes!$B$11:J131,3)</f>
        <v>6</v>
      </c>
      <c r="E36" s="1">
        <f>VLOOKUP($B36,[31]TrtCodes!$B$11:K131,4)</f>
        <v>1</v>
      </c>
      <c r="F36" s="1">
        <f>VLOOKUP($B36,[31]TrtCodes!$B$11:L131,5)</f>
        <v>3</v>
      </c>
      <c r="G36" s="1">
        <f>VLOOKUP($B36,[31]TrtCodes!$B$11:M131,6)</f>
        <v>1</v>
      </c>
      <c r="H36" s="1">
        <f>VLOOKUP($B36,[31]TrtCodes!$B$11:N131,7)</f>
        <v>3</v>
      </c>
      <c r="I36" s="1">
        <f>[31]FormattedData!B88</f>
        <v>1</v>
      </c>
      <c r="J36" s="4">
        <f>[31]FormattedData!C88</f>
        <v>13.670999999999999</v>
      </c>
      <c r="K36" s="6">
        <f>$J$3+[31]FormattedData!D88*$J$4+$M$4*$J$5+[31]FormattedData!D88^2*$J$6+$M$5*$J$7</f>
        <v>33.08152363532627</v>
      </c>
      <c r="L36" s="6">
        <f>$J$3+[31]FormattedData!E88*$J$4+$M$4*$J$5+[31]FormattedData!E88^2*$J$6+$M$5*$J$7</f>
        <v>33.656193107158309</v>
      </c>
      <c r="M36" s="6">
        <f>$J$3+[31]FormattedData!F88*$J$4+$M$4*$J$5+[31]FormattedData!F88^2*$J$6+$M$5*$J$7</f>
        <v>32.120359699238364</v>
      </c>
      <c r="N36" s="6">
        <f>$J$3+[31]FormattedData!G88*$J$4+$M$4*$J$5+[31]FormattedData!G88^2*$J$6+$M$5*$J$7</f>
        <v>32.793618274148173</v>
      </c>
      <c r="O36" s="6">
        <f>$J$3+[31]FormattedData!H88*$J$4+$M$4*$J$5+[31]FormattedData!H88^2*$J$6+$M$5*$J$7</f>
        <v>31.54163244776494</v>
      </c>
      <c r="P36" s="6">
        <f>$J$3+[31]FormattedData!I88*$J$4+$M$4*$J$5+[31]FormattedData!I88^2*$J$6+$M$5*$J$7</f>
        <v>32.02401082867096</v>
      </c>
      <c r="Q36" s="6">
        <f>$J$3+[31]FormattedData!J88*$J$4+$M$4*$J$5+[31]FormattedData!J88^2*$J$6+$M$5*$J$7</f>
        <v>32.120359699238364</v>
      </c>
      <c r="R36" s="6">
        <f>$J$3+[31]FormattedData!K88*$J$4+$M$4*$J$5+[31]FormattedData!K88^2*$J$6+$M$5*$J$7</f>
        <v>31.734710605741149</v>
      </c>
      <c r="S36" s="6">
        <f>$J$3+[31]FormattedData!L88*$J$4+$M$4*$J$5+[31]FormattedData!L88^2*$J$6+$M$5*$J$7</f>
        <v>30.961383528925989</v>
      </c>
      <c r="T36" s="6">
        <f>$J$3+[31]FormattedData!M88*$J$4+$M$4*$J$5+[31]FormattedData!M88^2*$J$6+$M$5*$J$7</f>
        <v>31.154968909357358</v>
      </c>
      <c r="U36" s="6">
        <f>$J$3+[31]FormattedData!N88*$J$4+$M$4*$J$5+[31]FormattedData!N88^2*$J$6+$M$5*$J$7</f>
        <v>31.54163244776494</v>
      </c>
      <c r="V36" s="6">
        <f>$J$3+[31]FormattedData!O88*$J$4+$M$4*$J$5+[31]FormattedData!O88^2*$J$6+$M$5*$J$7</f>
        <v>31.831186281922349</v>
      </c>
      <c r="W36" s="5">
        <f t="shared" si="0"/>
        <v>32.046798288771427</v>
      </c>
      <c r="X36" s="4">
        <f t="shared" si="1"/>
        <v>0.22792953625205264</v>
      </c>
      <c r="Y36" s="3">
        <f t="shared" si="2"/>
        <v>30.961383528925989</v>
      </c>
      <c r="Z36" s="2">
        <f t="shared" si="3"/>
        <v>31.54163244776494</v>
      </c>
      <c r="AA36" s="3">
        <f t="shared" si="4"/>
        <v>31.927598555296655</v>
      </c>
      <c r="AB36" s="2">
        <f t="shared" si="5"/>
        <v>32.28867434296582</v>
      </c>
      <c r="AC36" s="2">
        <f t="shared" si="6"/>
        <v>33.656193107158309</v>
      </c>
      <c r="AD36" s="2">
        <f t="shared" si="7"/>
        <v>0.75515801519723236</v>
      </c>
      <c r="AE36" s="2">
        <f t="shared" si="8"/>
        <v>0.15435261119868482</v>
      </c>
    </row>
    <row r="37" spans="2:31" x14ac:dyDescent="0.2">
      <c r="B37" s="1">
        <f>[31]FormattedData!A86</f>
        <v>404</v>
      </c>
      <c r="C37" s="1" t="str">
        <f>VLOOKUP($B37,[31]TrtCodes!$B$11:I129,2)</f>
        <v>FTH</v>
      </c>
      <c r="D37" s="1">
        <f>VLOOKUP($B37,[31]TrtCodes!$B$11:J129,3)</f>
        <v>3</v>
      </c>
      <c r="E37" s="1">
        <f>VLOOKUP($B37,[31]TrtCodes!$B$11:K129,4)</f>
        <v>1</v>
      </c>
      <c r="F37" s="1">
        <f>VLOOKUP($B37,[31]TrtCodes!$B$11:L129,5)</f>
        <v>2</v>
      </c>
      <c r="G37" s="1">
        <f>VLOOKUP($B37,[31]TrtCodes!$B$11:M129,6)</f>
        <v>2</v>
      </c>
      <c r="H37" s="1">
        <f>VLOOKUP($B37,[31]TrtCodes!$B$11:N129,7)</f>
        <v>3</v>
      </c>
      <c r="I37" s="1">
        <f>[31]FormattedData!B86</f>
        <v>1</v>
      </c>
      <c r="J37" s="4">
        <f>[31]FormattedData!C86</f>
        <v>13.654</v>
      </c>
      <c r="K37" s="6">
        <f>$J$3+[31]FormattedData!D86*$J$4+$M$4*$J$5+[31]FormattedData!D86^2*$J$6+$M$5*$J$7</f>
        <v>34.610594077177218</v>
      </c>
      <c r="L37" s="6">
        <f>$J$3+[31]FormattedData!E86*$J$4+$M$4*$J$5+[31]FormattedData!E86^2*$J$6+$M$5*$J$7</f>
        <v>35.560768193403014</v>
      </c>
      <c r="M37" s="6">
        <f>$J$3+[31]FormattedData!F86*$J$4+$M$4*$J$5+[31]FormattedData!F86^2*$J$6+$M$5*$J$7</f>
        <v>34.896090131693228</v>
      </c>
      <c r="N37" s="6">
        <f>$J$3+[31]FormattedData!G86*$J$4+$M$4*$J$5+[31]FormattedData!G86^2*$J$6+$M$5*$J$7</f>
        <v>34.991170946122715</v>
      </c>
      <c r="O37" s="6">
        <f>$J$3+[31]FormattedData!H86*$J$4+$M$4*$J$5+[31]FormattedData!H86^2*$J$6+$M$5*$J$7</f>
        <v>34.800967048725838</v>
      </c>
      <c r="P37" s="6">
        <f>$J$3+[31]FormattedData!I86*$J$4+$M$4*$J$5+[31]FormattedData!I86^2*$J$6+$M$5*$J$7</f>
        <v>32.985597450138158</v>
      </c>
      <c r="Q37" s="6">
        <f>$J$3+[31]FormattedData!J86*$J$4+$M$4*$J$5+[31]FormattedData!J86^2*$J$6+$M$5*$J$7</f>
        <v>33.464805690699343</v>
      </c>
      <c r="R37" s="6">
        <f>$J$3+[31]FormattedData!K86*$J$4+$M$4*$J$5+[31]FormattedData!K86^2*$J$6+$M$5*$J$7</f>
        <v>33.75182341258089</v>
      </c>
      <c r="S37" s="6">
        <f>$J$3+[31]FormattedData!L86*$J$4+$M$4*$J$5+[31]FormattedData!L86^2*$J$6+$M$5*$J$7</f>
        <v>32.601470024006453</v>
      </c>
      <c r="T37" s="6">
        <f>$J$3+[31]FormattedData!M86*$J$4+$M$4*$J$5+[31]FormattedData!M86^2*$J$6+$M$5*$J$7</f>
        <v>34.991170946122715</v>
      </c>
      <c r="U37" s="6">
        <f>$J$3+[31]FormattedData!N86*$J$4+$M$4*$J$5+[31]FormattedData!N86^2*$J$6+$M$5*$J$7</f>
        <v>34.420052031476878</v>
      </c>
      <c r="V37" s="6">
        <f>$J$3+[31]FormattedData!O86*$J$4+$M$4*$J$5+[31]FormattedData!O86^2*$J$6+$M$5*$J$7</f>
        <v>35.65555312806697</v>
      </c>
      <c r="W37" s="5">
        <f t="shared" si="0"/>
        <v>34.394171923351117</v>
      </c>
      <c r="X37" s="4">
        <f t="shared" si="1"/>
        <v>0.28343072623833165</v>
      </c>
      <c r="Y37" s="3">
        <f t="shared" si="2"/>
        <v>32.601470024006453</v>
      </c>
      <c r="Z37" s="2">
        <f t="shared" si="3"/>
        <v>33.680068982110505</v>
      </c>
      <c r="AA37" s="3">
        <f t="shared" si="4"/>
        <v>34.705780562951531</v>
      </c>
      <c r="AB37" s="2">
        <f t="shared" si="5"/>
        <v>34.991170946122715</v>
      </c>
      <c r="AC37" s="2">
        <f t="shared" si="6"/>
        <v>35.65555312806697</v>
      </c>
      <c r="AD37" s="2">
        <f t="shared" si="7"/>
        <v>-0.62236875701330108</v>
      </c>
      <c r="AE37" s="2">
        <f t="shared" si="8"/>
        <v>-0.65692445768654339</v>
      </c>
    </row>
    <row r="38" spans="2:31" x14ac:dyDescent="0.2">
      <c r="B38" s="1">
        <f>[31]FormattedData!A84</f>
        <v>405</v>
      </c>
      <c r="C38" s="1" t="str">
        <f>VLOOKUP($B38,[31]TrtCodes!$B$11:I127,2)</f>
        <v>FDL</v>
      </c>
      <c r="D38" s="1">
        <f>VLOOKUP($B38,[31]TrtCodes!$B$11:J127,3)</f>
        <v>6</v>
      </c>
      <c r="E38" s="1">
        <f>VLOOKUP($B38,[31]TrtCodes!$B$11:K127,4)</f>
        <v>1</v>
      </c>
      <c r="F38" s="1">
        <f>VLOOKUP($B38,[31]TrtCodes!$B$11:L127,5)</f>
        <v>3</v>
      </c>
      <c r="G38" s="1">
        <f>VLOOKUP($B38,[31]TrtCodes!$B$11:M127,6)</f>
        <v>1</v>
      </c>
      <c r="H38" s="1">
        <f>VLOOKUP($B38,[31]TrtCodes!$B$11:N127,7)</f>
        <v>4</v>
      </c>
      <c r="I38" s="1">
        <f>[31]FormattedData!B84</f>
        <v>1</v>
      </c>
      <c r="J38" s="4">
        <f>[31]FormattedData!C84</f>
        <v>13.637</v>
      </c>
      <c r="K38" s="6">
        <f>$J$3+[31]FormattedData!D84*$J$4+$M$4*$J$5+[31]FormattedData!D84^2*$J$6+$M$5*$J$7</f>
        <v>34.705801697220487</v>
      </c>
      <c r="L38" s="6">
        <f>$J$3+[31]FormattedData!E84*$J$4+$M$4*$J$5+[31]FormattedData!E84^2*$J$6+$M$5*$J$7</f>
        <v>33.94295721781225</v>
      </c>
      <c r="M38" s="6">
        <f>$J$3+[31]FormattedData!F84*$J$4+$M$4*$J$5+[31]FormattedData!F84^2*$J$6+$M$5*$J$7</f>
        <v>33.177407551976437</v>
      </c>
      <c r="N38" s="6">
        <f>$J$3+[31]FormattedData!G84*$J$4+$M$4*$J$5+[31]FormattedData!G84^2*$J$6+$M$5*$J$7</f>
        <v>34.420052031476878</v>
      </c>
      <c r="O38" s="6">
        <f>$J$3+[31]FormattedData!H84*$J$4+$M$4*$J$5+[31]FormattedData!H84^2*$J$6+$M$5*$J$7</f>
        <v>32.601470024006453</v>
      </c>
      <c r="P38" s="6">
        <f>$J$3+[31]FormattedData!I84*$J$4+$M$4*$J$5+[31]FormattedData!I84^2*$J$6+$M$5*$J$7</f>
        <v>35.750295794193008</v>
      </c>
      <c r="Q38" s="6">
        <f>$J$3+[31]FormattedData!J84*$J$4+$M$4*$J$5+[31]FormattedData!J84^2*$J$6+$M$5*$J$7</f>
        <v>32.889628996412135</v>
      </c>
      <c r="R38" s="6">
        <f>$J$3+[31]FormattedData!K84*$J$4+$M$4*$J$5+[31]FormattedData!K84^2*$J$6+$M$5*$J$7</f>
        <v>35.181205769367871</v>
      </c>
      <c r="S38" s="6">
        <f>$J$3+[31]FormattedData!L84*$J$4+$M$4*$J$5+[31]FormattedData!L84^2*$J$6+$M$5*$J$7</f>
        <v>33.369048579662973</v>
      </c>
      <c r="T38" s="6">
        <f>$J$3+[31]FormattedData!M84*$J$4+$M$4*$J$5+[31]FormattedData!M84^2*$J$6+$M$5*$J$7</f>
        <v>33.94295721781225</v>
      </c>
      <c r="U38" s="6">
        <f>$J$3+[31]FormattedData!N84*$J$4+$M$4*$J$5+[31]FormattedData!N84^2*$J$6+$M$5*$J$7</f>
        <v>33.847411449465547</v>
      </c>
      <c r="V38" s="6">
        <f>$J$3+[31]FormattedData!O84*$J$4+$M$4*$J$5+[31]FormattedData!O84^2*$J$6+$M$5*$J$7</f>
        <v>32.889628996412135</v>
      </c>
      <c r="W38" s="5">
        <f t="shared" si="0"/>
        <v>33.893155443818202</v>
      </c>
      <c r="X38" s="4">
        <f t="shared" si="1"/>
        <v>0.28234241717217817</v>
      </c>
      <c r="Y38" s="3">
        <f t="shared" si="2"/>
        <v>32.601470024006453</v>
      </c>
      <c r="Z38" s="2">
        <f t="shared" si="3"/>
        <v>33.105462913085361</v>
      </c>
      <c r="AA38" s="3">
        <f t="shared" si="4"/>
        <v>33.895184333638895</v>
      </c>
      <c r="AB38" s="2">
        <f t="shared" si="5"/>
        <v>34.491489447912784</v>
      </c>
      <c r="AC38" s="2">
        <f t="shared" si="6"/>
        <v>35.750295794193008</v>
      </c>
      <c r="AD38" s="2">
        <f t="shared" si="7"/>
        <v>0.52915327020912439</v>
      </c>
      <c r="AE38" s="2">
        <f t="shared" si="8"/>
        <v>-0.53584479483372593</v>
      </c>
    </row>
    <row r="39" spans="2:31" x14ac:dyDescent="0.2">
      <c r="B39" s="1">
        <f>[31]FormattedData!A82</f>
        <v>406</v>
      </c>
      <c r="C39" s="1" t="str">
        <f>VLOOKUP($B39,[31]TrtCodes!$B$11:I125,2)</f>
        <v>FTH</v>
      </c>
      <c r="D39" s="1">
        <f>VLOOKUP($B39,[31]TrtCodes!$B$11:J125,3)</f>
        <v>3</v>
      </c>
      <c r="E39" s="1">
        <f>VLOOKUP($B39,[31]TrtCodes!$B$11:K125,4)</f>
        <v>1</v>
      </c>
      <c r="F39" s="1">
        <f>VLOOKUP($B39,[31]TrtCodes!$B$11:L125,5)</f>
        <v>2</v>
      </c>
      <c r="G39" s="1">
        <f>VLOOKUP($B39,[31]TrtCodes!$B$11:M125,6)</f>
        <v>2</v>
      </c>
      <c r="H39" s="1">
        <f>VLOOKUP($B39,[31]TrtCodes!$B$11:N125,7)</f>
        <v>4</v>
      </c>
      <c r="I39" s="1">
        <f>[31]FormattedData!B82</f>
        <v>1</v>
      </c>
      <c r="J39" s="4">
        <f>[31]FormattedData!C82</f>
        <v>13.621</v>
      </c>
      <c r="K39" s="6">
        <f>$J$3+[31]FormattedData!D82*$J$4+$M$4*$J$5+[31]FormattedData!D82^2*$J$6+$M$5*$J$7</f>
        <v>35.371071518461299</v>
      </c>
      <c r="L39" s="6">
        <f>$J$3+[31]FormattedData!E82*$J$4+$M$4*$J$5+[31]FormattedData!E82^2*$J$6+$M$5*$J$7</f>
        <v>35.465940990201126</v>
      </c>
      <c r="M39" s="6">
        <f>$J$3+[31]FormattedData!F82*$J$4+$M$4*$J$5+[31]FormattedData!F82^2*$J$6+$M$5*$J$7</f>
        <v>34.991170946122715</v>
      </c>
      <c r="N39" s="6">
        <f>$J$3+[31]FormattedData!G82*$J$4+$M$4*$J$5+[31]FormattedData!G82^2*$J$6+$M$5*$J$7</f>
        <v>35.844996191781092</v>
      </c>
      <c r="O39" s="6">
        <f>$J$3+[31]FormattedData!H82*$J$4+$M$4*$J$5+[31]FormattedData!H82^2*$J$6+$M$5*$J$7</f>
        <v>33.94295721781225</v>
      </c>
      <c r="P39" s="6">
        <f>$J$3+[31]FormattedData!I82*$J$4+$M$4*$J$5+[31]FormattedData!I82^2*$J$6+$M$5*$J$7</f>
        <v>34.420052031476878</v>
      </c>
      <c r="Q39" s="6">
        <f>$J$3+[31]FormattedData!J82*$J$4+$M$4*$J$5+[31]FormattedData!J82^2*$J$6+$M$5*$J$7</f>
        <v>34.038460717621049</v>
      </c>
      <c r="R39" s="6">
        <f>$J$3+[31]FormattedData!K82*$J$4+$M$4*$J$5+[31]FormattedData!K82^2*$J$6+$M$5*$J$7</f>
        <v>34.229340911624824</v>
      </c>
      <c r="S39" s="6">
        <f>$J$3+[31]FormattedData!L82*$J$4+$M$4*$J$5+[31]FormattedData!L82^2*$J$6+$M$5*$J$7</f>
        <v>33.560520533197803</v>
      </c>
      <c r="T39" s="6">
        <f>$J$3+[31]FormattedData!M82*$J$4+$M$4*$J$5+[31]FormattedData!M82^2*$J$6+$M$5*$J$7</f>
        <v>34.800967048725838</v>
      </c>
      <c r="U39" s="6">
        <f>$J$3+[31]FormattedData!N82*$J$4+$M$4*$J$5+[31]FormattedData!N82^2*$J$6+$M$5*$J$7</f>
        <v>33.847411449465547</v>
      </c>
      <c r="V39" s="6">
        <f>$J$3+[31]FormattedData!O82*$J$4+$M$4*$J$5+[31]FormattedData!O82^2*$J$6+$M$5*$J$7</f>
        <v>33.75182341258089</v>
      </c>
      <c r="W39" s="5">
        <f t="shared" si="0"/>
        <v>34.522059414089277</v>
      </c>
      <c r="X39" s="4">
        <f t="shared" si="1"/>
        <v>0.21843170129800563</v>
      </c>
      <c r="Y39" s="3">
        <f t="shared" si="2"/>
        <v>33.560520533197803</v>
      </c>
      <c r="Z39" s="2">
        <f t="shared" si="3"/>
        <v>33.919070775725572</v>
      </c>
      <c r="AA39" s="3">
        <f t="shared" si="4"/>
        <v>34.324696471550851</v>
      </c>
      <c r="AB39" s="2">
        <f t="shared" si="5"/>
        <v>35.086146089207361</v>
      </c>
      <c r="AC39" s="2">
        <f t="shared" si="6"/>
        <v>35.844996191781092</v>
      </c>
      <c r="AD39" s="2">
        <f t="shared" si="7"/>
        <v>0.48012807746160902</v>
      </c>
      <c r="AE39" s="2">
        <f t="shared" si="8"/>
        <v>-1.1398767295248748</v>
      </c>
    </row>
    <row r="40" spans="2:31" x14ac:dyDescent="0.2">
      <c r="B40" s="1">
        <f>[31]FormattedData!A80</f>
        <v>407</v>
      </c>
      <c r="C40" s="1" t="str">
        <f>VLOOKUP($B40,[31]TrtCodes!$B$11:I123,2)</f>
        <v>NSH</v>
      </c>
      <c r="D40" s="1">
        <f>VLOOKUP($B40,[31]TrtCodes!$B$11:J123,3)</f>
        <v>7</v>
      </c>
      <c r="E40" s="1">
        <f>VLOOKUP($B40,[31]TrtCodes!$B$11:K123,4)</f>
        <v>2</v>
      </c>
      <c r="F40" s="1">
        <f>VLOOKUP($B40,[31]TrtCodes!$B$11:L123,5)</f>
        <v>1</v>
      </c>
      <c r="G40" s="1">
        <f>VLOOKUP($B40,[31]TrtCodes!$B$11:M123,6)</f>
        <v>2</v>
      </c>
      <c r="H40" s="1">
        <f>VLOOKUP($B40,[31]TrtCodes!$B$11:N123,7)</f>
        <v>4</v>
      </c>
      <c r="I40" s="1">
        <f>[31]FormattedData!B80</f>
        <v>1</v>
      </c>
      <c r="J40" s="4">
        <f>[31]FormattedData!C80</f>
        <v>13.605</v>
      </c>
      <c r="K40" s="6">
        <f>$J$3+[31]FormattedData!D80*$J$4+$M$4*$J$5+[31]FormattedData!D80^2*$J$6+$M$5*$J$7</f>
        <v>32.120359699238364</v>
      </c>
      <c r="L40" s="6">
        <f>$J$3+[31]FormattedData!E80*$J$4+$M$4*$J$5+[31]FormattedData!E80^2*$J$6+$M$5*$J$7</f>
        <v>33.94295721781225</v>
      </c>
      <c r="M40" s="6">
        <f>$J$3+[31]FormattedData!F80*$J$4+$M$4*$J$5+[31]FormattedData!F80^2*$J$6+$M$5*$J$7</f>
        <v>33.656193107158309</v>
      </c>
      <c r="N40" s="6">
        <f>$J$3+[31]FormattedData!G80*$J$4+$M$4*$J$5+[31]FormattedData!G80^2*$J$6+$M$5*$J$7</f>
        <v>32.889628996412135</v>
      </c>
      <c r="O40" s="6">
        <f>$J$3+[31]FormattedData!H80*$J$4+$M$4*$J$5+[31]FormattedData!H80^2*$J$6+$M$5*$J$7</f>
        <v>31.251698196766164</v>
      </c>
      <c r="P40" s="6">
        <f>$J$3+[31]FormattedData!I80*$J$4+$M$4*$J$5+[31]FormattedData!I80^2*$J$6+$M$5*$J$7</f>
        <v>31.54163244776494</v>
      </c>
      <c r="Q40" s="6">
        <f>$J$3+[31]FormattedData!J80*$J$4+$M$4*$J$5+[31]FormattedData!J80^2*$J$6+$M$5*$J$7</f>
        <v>32.02401082867096</v>
      </c>
      <c r="R40" s="6">
        <f>$J$3+[31]FormattedData!K80*$J$4+$M$4*$J$5+[31]FormattedData!K80^2*$J$6+$M$5*$J$7</f>
        <v>32.409152699713019</v>
      </c>
      <c r="S40" s="6">
        <f>$J$3+[31]FormattedData!L80*$J$4+$M$4*$J$5+[31]FormattedData!L80^2*$J$6+$M$5*$J$7</f>
        <v>32.02401082867096</v>
      </c>
      <c r="T40" s="6">
        <f>$J$3+[31]FormattedData!M80*$J$4+$M$4*$J$5+[31]FormattedData!M80^2*$J$6+$M$5*$J$7</f>
        <v>31.445029965969944</v>
      </c>
      <c r="U40" s="6">
        <f>$J$3+[31]FormattedData!N80*$J$4+$M$4*$J$5+[31]FormattedData!N80^2*$J$6+$M$5*$J$7</f>
        <v>31.154968909357358</v>
      </c>
      <c r="V40" s="6">
        <f>$J$3+[31]FormattedData!O80*$J$4+$M$4*$J$5+[31]FormattedData!O80^2*$J$6+$M$5*$J$7</f>
        <v>31.734710605741149</v>
      </c>
      <c r="W40" s="5">
        <f t="shared" si="0"/>
        <v>32.182862791939634</v>
      </c>
      <c r="X40" s="4">
        <f t="shared" si="1"/>
        <v>0.26044516199190382</v>
      </c>
      <c r="Y40" s="3">
        <f t="shared" si="2"/>
        <v>31.154968909357358</v>
      </c>
      <c r="Z40" s="2">
        <f t="shared" si="3"/>
        <v>31.517481827316189</v>
      </c>
      <c r="AA40" s="3">
        <f t="shared" si="4"/>
        <v>32.02401082867096</v>
      </c>
      <c r="AB40" s="2">
        <f t="shared" si="5"/>
        <v>32.5292717738878</v>
      </c>
      <c r="AC40" s="2">
        <f t="shared" si="6"/>
        <v>33.94295721781225</v>
      </c>
      <c r="AD40" s="2">
        <f t="shared" si="7"/>
        <v>0.94453336071125993</v>
      </c>
      <c r="AE40" s="2">
        <f t="shared" si="8"/>
        <v>-5.377780286422329E-3</v>
      </c>
    </row>
    <row r="41" spans="2:31" x14ac:dyDescent="0.2">
      <c r="B41" s="1">
        <f>[31]FormattedData!A78</f>
        <v>408</v>
      </c>
      <c r="C41" s="1" t="str">
        <f>VLOOKUP($B41,[31]TrtCodes!$B$11:I121,2)</f>
        <v>NTL</v>
      </c>
      <c r="D41" s="1">
        <f>VLOOKUP($B41,[31]TrtCodes!$B$11:J121,3)</f>
        <v>10</v>
      </c>
      <c r="E41" s="1">
        <f>VLOOKUP($B41,[31]TrtCodes!$B$11:K121,4)</f>
        <v>2</v>
      </c>
      <c r="F41" s="1">
        <f>VLOOKUP($B41,[31]TrtCodes!$B$11:L121,5)</f>
        <v>2</v>
      </c>
      <c r="G41" s="1">
        <f>VLOOKUP($B41,[31]TrtCodes!$B$11:M121,6)</f>
        <v>1</v>
      </c>
      <c r="H41" s="1">
        <f>VLOOKUP($B41,[31]TrtCodes!$B$11:N121,7)</f>
        <v>4</v>
      </c>
      <c r="I41" s="1">
        <f>[31]FormattedData!B78</f>
        <v>1</v>
      </c>
      <c r="J41" s="4">
        <f>[31]FormattedData!C78</f>
        <v>13.587999999999999</v>
      </c>
      <c r="K41" s="6">
        <f>$J$3+[31]FormattedData!D78*$J$4+$M$4*$J$5+[31]FormattedData!D78^2*$J$6+$M$5*$J$7</f>
        <v>31.251698196766164</v>
      </c>
      <c r="L41" s="6">
        <f>$J$3+[31]FormattedData!E78*$J$4+$M$4*$J$5+[31]FormattedData!E78^2*$J$6+$M$5*$J$7</f>
        <v>31.34838521563702</v>
      </c>
      <c r="M41" s="6">
        <f>$J$3+[31]FormattedData!F78*$J$4+$M$4*$J$5+[31]FormattedData!F78^2*$J$6+$M$5*$J$7</f>
        <v>29.211506768216008</v>
      </c>
      <c r="N41" s="6">
        <f>$J$3+[31]FormattedData!G78*$J$4+$M$4*$J$5+[31]FormattedData!G78^2*$J$6+$M$5*$J$7</f>
        <v>30.379612942721522</v>
      </c>
      <c r="O41" s="6">
        <f>$J$3+[31]FormattedData!H78*$J$4+$M$4*$J$5+[31]FormattedData!H78^2*$J$6+$M$5*$J$7</f>
        <v>31.154968909357358</v>
      </c>
      <c r="P41" s="6">
        <f>$J$3+[31]FormattedData!I78*$J$4+$M$4*$J$5+[31]FormattedData!I78^2*$J$6+$M$5*$J$7</f>
        <v>30.961383528925989</v>
      </c>
      <c r="Q41" s="6">
        <f>$J$3+[31]FormattedData!J78*$J$4+$M$4*$J$5+[31]FormattedData!J78^2*$J$6+$M$5*$J$7</f>
        <v>30.573705545608064</v>
      </c>
      <c r="R41" s="6">
        <f>$J$3+[31]FormattedData!K78*$J$4+$M$4*$J$5+[31]FormattedData!K78^2*$J$6+$M$5*$J$7</f>
        <v>31.638192661022003</v>
      </c>
      <c r="S41" s="6">
        <f>$J$3+[31]FormattedData!L78*$J$4+$M$4*$J$5+[31]FormattedData!L78^2*$J$6+$M$5*$J$7</f>
        <v>30.476680378433759</v>
      </c>
      <c r="T41" s="6">
        <f>$J$3+[31]FormattedData!M78*$J$4+$M$4*$J$5+[31]FormattedData!M78^2*$J$6+$M$5*$J$7</f>
        <v>31.154968909357358</v>
      </c>
      <c r="U41" s="6">
        <f>$J$3+[31]FormattedData!N78*$J$4+$M$4*$J$5+[31]FormattedData!N78^2*$J$6+$M$5*$J$7</f>
        <v>31.154968909357358</v>
      </c>
      <c r="V41" s="6">
        <f>$J$3+[31]FormattedData!O78*$J$4+$M$4*$J$5+[31]FormattedData!O78^2*$J$6+$M$5*$J$7</f>
        <v>31.34838521563702</v>
      </c>
      <c r="W41" s="5">
        <f t="shared" si="0"/>
        <v>30.887871431753297</v>
      </c>
      <c r="X41" s="4">
        <f t="shared" si="1"/>
        <v>0.18819776090268922</v>
      </c>
      <c r="Y41" s="3">
        <f t="shared" si="2"/>
        <v>29.211506768216008</v>
      </c>
      <c r="Z41" s="2">
        <f t="shared" si="3"/>
        <v>30.549449253814487</v>
      </c>
      <c r="AA41" s="3">
        <f t="shared" si="4"/>
        <v>31.154968909357358</v>
      </c>
      <c r="AB41" s="2">
        <f t="shared" si="5"/>
        <v>31.275869951483877</v>
      </c>
      <c r="AC41" s="2">
        <f t="shared" si="6"/>
        <v>31.638192661022003</v>
      </c>
      <c r="AD41" s="2">
        <f t="shared" si="7"/>
        <v>-1.6611613977075455</v>
      </c>
      <c r="AE41" s="2">
        <f t="shared" si="8"/>
        <v>3.3306741375566187</v>
      </c>
    </row>
    <row r="42" spans="2:31" x14ac:dyDescent="0.2">
      <c r="B42" s="17">
        <f>[31]FormattedData!A60</f>
        <v>901</v>
      </c>
      <c r="C42" s="17" t="str">
        <f>VLOOKUP($B42,[31]TrtCodes!$B$11:I103,2)</f>
        <v>WS</v>
      </c>
      <c r="D42" s="17">
        <f>VLOOKUP($B42,[31]TrtCodes!$B$11:J103,3)</f>
        <v>32</v>
      </c>
      <c r="E42" s="17">
        <f>VLOOKUP($B42,[31]TrtCodes!$B$11:K103,4)</f>
        <v>9</v>
      </c>
      <c r="F42" s="17">
        <f>VLOOKUP($B42,[31]TrtCodes!$B$11:L103,5)</f>
        <v>0</v>
      </c>
      <c r="G42" s="17">
        <f>VLOOKUP($B42,[31]TrtCodes!$B$11:M103,6)</f>
        <v>1</v>
      </c>
      <c r="H42" s="17">
        <f>VLOOKUP($B42,[31]TrtCodes!$B$11:N103,7)</f>
        <v>1</v>
      </c>
      <c r="I42" s="17">
        <f>[31]FormattedData!B60</f>
        <v>1</v>
      </c>
      <c r="J42" s="15">
        <f>[31]FormattedData!C60</f>
        <v>13.443</v>
      </c>
      <c r="K42" s="14">
        <f>$J$3+[31]FormattedData!D60*$J$4+$M$4*$J$5+[31]FormattedData!D60^2*$J$6+$M$5*$J$7</f>
        <v>36.034270181343494</v>
      </c>
      <c r="L42" s="14">
        <f>$J$3+[31]FormattedData!E60*$J$4+$M$4*$J$5+[31]FormattedData!E60^2*$J$6+$M$5*$J$7</f>
        <v>36.034270181343494</v>
      </c>
      <c r="M42" s="14">
        <f>$J$3+[31]FormattedData!F60*$J$4+$M$4*$J$5+[31]FormattedData!F60^2*$J$6+$M$5*$J$7</f>
        <v>36.506715455835696</v>
      </c>
      <c r="N42" s="14">
        <f>$J$3+[31]FormattedData!G60*$J$4+$M$4*$J$5+[31]FormattedData!G60^2*$J$6+$M$5*$J$7</f>
        <v>36.506715455835696</v>
      </c>
      <c r="O42" s="14">
        <f>$J$3+[31]FormattedData!H60*$J$4+$M$4*$J$5+[31]FormattedData!H60^2*$J$6+$M$5*$J$7</f>
        <v>36.506715455835696</v>
      </c>
      <c r="P42" s="14">
        <f>$J$3+[31]FormattedData!I60*$J$4+$M$4*$J$5+[31]FormattedData!I60^2*$J$6+$M$5*$J$7</f>
        <v>36.506715455835696</v>
      </c>
      <c r="Q42" s="14">
        <f>$J$3+[31]FormattedData!J60*$J$4+$M$4*$J$5+[31]FormattedData!J60^2*$J$6+$M$5*$J$7</f>
        <v>36.3178641516526</v>
      </c>
      <c r="R42" s="14">
        <f>$J$3+[31]FormattedData!K60*$J$4+$M$4*$J$5+[31]FormattedData!K60^2*$J$6+$M$5*$J$7</f>
        <v>36.128843773317797</v>
      </c>
      <c r="S42" s="14">
        <f>$J$3+[31]FormattedData!L60*$J$4+$M$4*$J$5+[31]FormattedData!L60^2*$J$6+$M$5*$J$7</f>
        <v>36.223375096754175</v>
      </c>
      <c r="T42" s="14">
        <f>$J$3+[31]FormattedData!M60*$J$4+$M$4*$J$5+[31]FormattedData!M60^2*$J$6+$M$5*$J$7</f>
        <v>36.034270181343494</v>
      </c>
      <c r="U42" s="14">
        <f>$J$3+[31]FormattedData!N60*$J$4+$M$4*$J$5+[31]FormattedData!N60^2*$J$6+$M$5*$J$7</f>
        <v>35.844996191781092</v>
      </c>
      <c r="V42" s="14">
        <f>$J$3+[31]FormattedData!O60*$J$4+$M$4*$J$5+[31]FormattedData!O60^2*$J$6+$M$5*$J$7</f>
        <v>36.128843773317797</v>
      </c>
      <c r="W42" s="16">
        <f t="shared" ref="W42:W73" si="9">AVERAGE(K42:V42)</f>
        <v>36.23113294618306</v>
      </c>
      <c r="X42" s="15">
        <f t="shared" ref="X42:X73" si="10">STDEV(K42:V42)/SQRT(COUNT(K42:V42))</f>
        <v>6.7288273560062423E-2</v>
      </c>
      <c r="Y42" s="14">
        <f t="shared" ref="Y42:Y73" si="11">MIN(K42:V42)</f>
        <v>35.844996191781092</v>
      </c>
      <c r="Z42" s="13">
        <f t="shared" ref="Z42:Z73" si="12">QUARTILE(K42:V42,1)</f>
        <v>36.034270181343494</v>
      </c>
      <c r="AA42" s="14">
        <f t="shared" ref="AA42:AA73" si="13">MEDIAN(K42:V42)</f>
        <v>36.176109435035983</v>
      </c>
      <c r="AB42" s="13">
        <f t="shared" ref="AB42:AB73" si="14">QUARTILE(K42:V42,3)</f>
        <v>36.506715455835696</v>
      </c>
      <c r="AC42" s="13">
        <f t="shared" ref="AC42:AC73" si="15">MAX(K42:V42)</f>
        <v>36.506715455835696</v>
      </c>
      <c r="AD42" s="13">
        <f t="shared" ref="AD42:AD73" si="16">SKEW(K42:V42)</f>
        <v>1.5219483692344953E-2</v>
      </c>
      <c r="AE42" s="13">
        <f t="shared" ref="AE42:AE73" si="17">KURT(K42:V42)</f>
        <v>-1.3599235068317603</v>
      </c>
    </row>
    <row r="43" spans="2:31" x14ac:dyDescent="0.2">
      <c r="B43" s="1">
        <f>[31]FormattedData!A58</f>
        <v>902</v>
      </c>
      <c r="C43" s="1" t="str">
        <f>VLOOKUP($B43,[31]TrtCodes!$B$11:I101,2)</f>
        <v>Late</v>
      </c>
      <c r="D43" s="1">
        <f>VLOOKUP($B43,[31]TrtCodes!$B$11:J101,3)</f>
        <v>22</v>
      </c>
      <c r="E43" s="1">
        <f>VLOOKUP($B43,[31]TrtCodes!$B$11:K101,4)</f>
        <v>4</v>
      </c>
      <c r="F43" s="1">
        <f>VLOOKUP($B43,[31]TrtCodes!$B$11:L101,5)</f>
        <v>2</v>
      </c>
      <c r="G43" s="1">
        <f>VLOOKUP($B43,[31]TrtCodes!$B$11:M101,6)</f>
        <v>2</v>
      </c>
      <c r="H43" s="1">
        <f>VLOOKUP($B43,[31]TrtCodes!$B$11:N101,7)</f>
        <v>1</v>
      </c>
      <c r="I43" s="1">
        <f>[31]FormattedData!B58</f>
        <v>1</v>
      </c>
      <c r="J43" s="4">
        <f>[31]FormattedData!C58</f>
        <v>13.425000000000001</v>
      </c>
      <c r="K43" s="6">
        <f>$J$3+[31]FormattedData!D58*$J$4+$M$4*$J$5+[31]FormattedData!D58^2*$J$6+$M$5*$J$7</f>
        <v>46.633162992249687</v>
      </c>
      <c r="L43" s="6">
        <f>$J$3+[31]FormattedData!E58*$J$4+$M$4*$J$5+[31]FormattedData!E58^2*$J$6+$M$5*$J$7</f>
        <v>40.248235967635281</v>
      </c>
      <c r="M43" s="6">
        <f>$J$3+[31]FormattedData!F58*$J$4+$M$4*$J$5+[31]FormattedData!F58^2*$J$6+$M$5*$J$7</f>
        <v>42.552343100440993</v>
      </c>
      <c r="N43" s="6">
        <f>$J$3+[31]FormattedData!G58*$J$4+$M$4*$J$5+[31]FormattedData!G58^2*$J$6+$M$5*$J$7</f>
        <v>43.375354581947562</v>
      </c>
      <c r="O43" s="6">
        <f>$J$3+[31]FormattedData!H58*$J$4+$M$4*$J$5+[31]FormattedData!H58^2*$J$6+$M$5*$J$7</f>
        <v>38.946396662408908</v>
      </c>
      <c r="P43" s="6">
        <f>$J$3+[31]FormattedData!I58*$J$4+$M$4*$J$5+[31]FormattedData!I58^2*$J$6+$M$5*$J$7</f>
        <v>42.552343100440993</v>
      </c>
      <c r="Q43" s="6">
        <f>$J$3+[31]FormattedData!J58*$J$4+$M$4*$J$5+[31]FormattedData!J58^2*$J$6+$M$5*$J$7</f>
        <v>45.101579834038446</v>
      </c>
      <c r="R43" s="6">
        <f>$J$3+[31]FormattedData!K58*$J$4+$M$4*$J$5+[31]FormattedData!K58^2*$J$6+$M$5*$J$7</f>
        <v>41.173048961102396</v>
      </c>
      <c r="S43" s="6">
        <f>$J$3+[31]FormattedData!L58*$J$4+$M$4*$J$5+[31]FormattedData!L58^2*$J$6+$M$5*$J$7</f>
        <v>42.185461237785184</v>
      </c>
      <c r="T43" s="6">
        <f>$J$3+[31]FormattedData!M58*$J$4+$M$4*$J$5+[31]FormattedData!M58^2*$J$6+$M$5*$J$7</f>
        <v>37.448435864475265</v>
      </c>
      <c r="U43" s="6">
        <f>$J$3+[31]FormattedData!N58*$J$4+$M$4*$J$5+[31]FormattedData!N58^2*$J$6+$M$5*$J$7</f>
        <v>40.618668387477307</v>
      </c>
      <c r="V43" s="6">
        <f>$J$3+[31]FormattedData!O58*$J$4+$M$4*$J$5+[31]FormattedData!O58^2*$J$6+$M$5*$J$7</f>
        <v>39.41229031352178</v>
      </c>
      <c r="W43" s="5">
        <f t="shared" si="9"/>
        <v>41.687276750293655</v>
      </c>
      <c r="X43" s="4">
        <f t="shared" si="10"/>
        <v>0.75300751445508296</v>
      </c>
      <c r="Y43" s="3">
        <f t="shared" si="11"/>
        <v>37.448435864475265</v>
      </c>
      <c r="Z43" s="2">
        <f t="shared" si="12"/>
        <v>40.039249554106902</v>
      </c>
      <c r="AA43" s="3">
        <f t="shared" si="13"/>
        <v>41.679255099443793</v>
      </c>
      <c r="AB43" s="2">
        <f t="shared" si="14"/>
        <v>42.758095970817635</v>
      </c>
      <c r="AC43" s="2">
        <f t="shared" si="15"/>
        <v>46.633162992249687</v>
      </c>
      <c r="AD43" s="2">
        <f t="shared" si="16"/>
        <v>0.33284011935706637</v>
      </c>
      <c r="AE43" s="2">
        <f t="shared" si="17"/>
        <v>-0.10122183276958996</v>
      </c>
    </row>
    <row r="44" spans="2:31" x14ac:dyDescent="0.2">
      <c r="B44" s="17">
        <f>[31]FormattedData!A56</f>
        <v>903</v>
      </c>
      <c r="C44" s="17" t="str">
        <f>VLOOKUP($B44,[31]TrtCodes!$B$11:I99,2)</f>
        <v>DS</v>
      </c>
      <c r="D44" s="17">
        <f>VLOOKUP($B44,[31]TrtCodes!$B$11:J99,3)</f>
        <v>31</v>
      </c>
      <c r="E44" s="17">
        <f>VLOOKUP($B44,[31]TrtCodes!$B$11:K99,4)</f>
        <v>8</v>
      </c>
      <c r="F44" s="17">
        <f>VLOOKUP($B44,[31]TrtCodes!$B$11:L99,5)</f>
        <v>0</v>
      </c>
      <c r="G44" s="17">
        <f>VLOOKUP($B44,[31]TrtCodes!$B$11:M99,6)</f>
        <v>1</v>
      </c>
      <c r="H44" s="17">
        <f>VLOOKUP($B44,[31]TrtCodes!$B$11:N99,7)</f>
        <v>1</v>
      </c>
      <c r="I44" s="17">
        <f>[31]FormattedData!B56</f>
        <v>1</v>
      </c>
      <c r="J44" s="15">
        <f>[31]FormattedData!C56</f>
        <v>13.416</v>
      </c>
      <c r="K44" s="14">
        <f>$J$3+[31]FormattedData!D56*$J$4+$M$4*$J$5+[31]FormattedData!D56^2*$J$6+$M$5*$J$7</f>
        <v>56.333224390636673</v>
      </c>
      <c r="L44" s="14">
        <f>$J$3+[31]FormattedData!E56*$J$4+$M$4*$J$5+[31]FormattedData!E56^2*$J$6+$M$5*$J$7</f>
        <v>55.736894554761541</v>
      </c>
      <c r="M44" s="14">
        <f>$J$3+[31]FormattedData!F56*$J$4+$M$4*$J$5+[31]FormattedData!F56^2*$J$6+$M$5*$J$7</f>
        <v>55.736894554761541</v>
      </c>
      <c r="N44" s="14">
        <f>$J$3+[31]FormattedData!G56*$J$4+$M$4*$J$5+[31]FormattedData!G56^2*$J$6+$M$5*$J$7</f>
        <v>55.651535504056227</v>
      </c>
      <c r="O44" s="14">
        <f>$J$3+[31]FormattedData!H56*$J$4+$M$4*$J$5+[31]FormattedData!H56^2*$J$6+$M$5*$J$7</f>
        <v>55.309676615855658</v>
      </c>
      <c r="P44" s="14">
        <f>$J$3+[31]FormattedData!I56*$J$4+$M$4*$J$5+[31]FormattedData!I56^2*$J$6+$M$5*$J$7</f>
        <v>55.48069059703181</v>
      </c>
      <c r="Q44" s="14">
        <f>$J$3+[31]FormattedData!J56*$J$4+$M$4*$J$5+[31]FormattedData!J56^2*$J$6+$M$5*$J$7</f>
        <v>55.566134184812988</v>
      </c>
      <c r="R44" s="14">
        <f>$J$3+[31]FormattedData!K56*$J$4+$M$4*$J$5+[31]FormattedData!K56^2*$J$6+$M$5*$J$7</f>
        <v>55.224106222460691</v>
      </c>
      <c r="S44" s="14">
        <f>$J$3+[31]FormattedData!L56*$J$4+$M$4*$J$5+[31]FormattedData!L56^2*$J$6+$M$5*$J$7</f>
        <v>55.395204740712707</v>
      </c>
      <c r="T44" s="14">
        <f>$J$3+[31]FormattedData!M56*$J$4+$M$4*$J$5+[31]FormattedData!M56^2*$J$6+$M$5*$J$7</f>
        <v>55.82221133692893</v>
      </c>
      <c r="U44" s="14">
        <f>$J$3+[31]FormattedData!N56*$J$4+$M$4*$J$5+[31]FormattedData!N56^2*$J$6+$M$5*$J$7</f>
        <v>55.736894554761541</v>
      </c>
      <c r="V44" s="14">
        <f>$J$3+[31]FormattedData!O56*$J$4+$M$4*$J$5+[31]FormattedData!O56^2*$J$6+$M$5*$J$7</f>
        <v>55.566134184812988</v>
      </c>
      <c r="W44" s="16">
        <f t="shared" si="9"/>
        <v>55.629966786799436</v>
      </c>
      <c r="X44" s="15">
        <f t="shared" si="10"/>
        <v>8.3446111680805818E-2</v>
      </c>
      <c r="Y44" s="14">
        <f t="shared" si="11"/>
        <v>55.224106222460691</v>
      </c>
      <c r="Z44" s="13">
        <f t="shared" si="12"/>
        <v>55.459319132952032</v>
      </c>
      <c r="AA44" s="14">
        <f t="shared" si="13"/>
        <v>55.608834844434611</v>
      </c>
      <c r="AB44" s="13">
        <f t="shared" si="14"/>
        <v>55.736894554761541</v>
      </c>
      <c r="AC44" s="13">
        <f t="shared" si="15"/>
        <v>56.333224390636673</v>
      </c>
      <c r="AD44" s="13">
        <f t="shared" si="16"/>
        <v>1.0934216110936084</v>
      </c>
      <c r="AE44" s="13">
        <f t="shared" si="17"/>
        <v>2.4569959278978999</v>
      </c>
    </row>
    <row r="45" spans="2:31" x14ac:dyDescent="0.2">
      <c r="B45" s="1">
        <f>[31]FormattedData!A54</f>
        <v>904</v>
      </c>
      <c r="C45" s="1" t="str">
        <f>VLOOKUP($B45,[31]TrtCodes!$B$11:I97,2)</f>
        <v>Early</v>
      </c>
      <c r="D45" s="1">
        <f>VLOOKUP($B45,[31]TrtCodes!$B$11:J97,3)</f>
        <v>21</v>
      </c>
      <c r="E45" s="1">
        <f>VLOOKUP($B45,[31]TrtCodes!$B$11:K97,4)</f>
        <v>3</v>
      </c>
      <c r="F45" s="1">
        <f>VLOOKUP($B45,[31]TrtCodes!$B$11:L97,5)</f>
        <v>2</v>
      </c>
      <c r="G45" s="1">
        <f>VLOOKUP($B45,[31]TrtCodes!$B$11:M97,6)</f>
        <v>2</v>
      </c>
      <c r="H45" s="1">
        <f>VLOOKUP($B45,[31]TrtCodes!$B$11:N97,7)</f>
        <v>1</v>
      </c>
      <c r="I45" s="1">
        <f>[31]FormattedData!B54</f>
        <v>1</v>
      </c>
      <c r="J45" s="4">
        <f>[31]FormattedData!C54</f>
        <v>13.398</v>
      </c>
      <c r="K45" s="6">
        <f>$J$3+[31]FormattedData!D54*$J$4+$M$4*$J$5+[31]FormattedData!D54^2*$J$6+$M$5*$J$7</f>
        <v>53.935478096984411</v>
      </c>
      <c r="L45" s="6">
        <f>$J$3+[31]FormattedData!E54*$J$4+$M$4*$J$5+[31]FormattedData!E54^2*$J$6+$M$5*$J$7</f>
        <v>45.282400116014628</v>
      </c>
      <c r="M45" s="6">
        <f>$J$3+[31]FormattedData!F54*$J$4+$M$4*$J$5+[31]FormattedData!F54^2*$J$6+$M$5*$J$7</f>
        <v>42.552343100440993</v>
      </c>
      <c r="N45" s="6">
        <f>$J$3+[31]FormattedData!G54*$J$4+$M$4*$J$5+[31]FormattedData!G54^2*$J$6+$M$5*$J$7</f>
        <v>41.080757870176377</v>
      </c>
      <c r="O45" s="6">
        <f>$J$3+[31]FormattedData!H54*$J$4+$M$4*$J$5+[31]FormattedData!H54^2*$J$6+$M$5*$J$7</f>
        <v>51.679326882108221</v>
      </c>
      <c r="P45" s="6">
        <f>$J$3+[31]FormattedData!I54*$J$4+$M$4*$J$5+[31]FormattedData!I54^2*$J$6+$M$5*$J$7</f>
        <v>50.364703605804287</v>
      </c>
      <c r="Q45" s="6">
        <f>$J$3+[31]FormattedData!J54*$J$4+$M$4*$J$5+[31]FormattedData!J54^2*$J$6+$M$5*$J$7</f>
        <v>50.716199720653158</v>
      </c>
      <c r="R45" s="6">
        <f>$J$3+[31]FormattedData!K54*$J$4+$M$4*$J$5+[31]FormattedData!K54^2*$J$6+$M$5*$J$7</f>
        <v>47.974415447450241</v>
      </c>
      <c r="S45" s="6">
        <f>$J$3+[31]FormattedData!L54*$J$4+$M$4*$J$5+[31]FormattedData!L54^2*$J$6+$M$5*$J$7</f>
        <v>46.453610766411444</v>
      </c>
      <c r="T45" s="6">
        <f>$J$3+[31]FormattedData!M54*$J$4+$M$4*$J$5+[31]FormattedData!M54^2*$J$6+$M$5*$J$7</f>
        <v>44.920590477910558</v>
      </c>
      <c r="U45" s="6">
        <f>$J$3+[31]FormattedData!N54*$J$4+$M$4*$J$5+[31]FormattedData!N54^2*$J$6+$M$5*$J$7</f>
        <v>46.093999092279809</v>
      </c>
      <c r="V45" s="6">
        <f>$J$3+[31]FormattedData!O54*$J$4+$M$4*$J$5+[31]FormattedData!O54^2*$J$6+$M$5*$J$7</f>
        <v>44.013107584995211</v>
      </c>
      <c r="W45" s="5">
        <f t="shared" si="9"/>
        <v>47.088911063435766</v>
      </c>
      <c r="X45" s="4">
        <f t="shared" si="10"/>
        <v>1.1285450149712126</v>
      </c>
      <c r="Y45" s="3">
        <f t="shared" si="11"/>
        <v>41.080757870176377</v>
      </c>
      <c r="Z45" s="2">
        <f t="shared" si="12"/>
        <v>44.693719754681723</v>
      </c>
      <c r="AA45" s="3">
        <f t="shared" si="13"/>
        <v>46.27380492934563</v>
      </c>
      <c r="AB45" s="2">
        <f t="shared" si="14"/>
        <v>50.452577634516501</v>
      </c>
      <c r="AC45" s="2">
        <f t="shared" si="15"/>
        <v>53.935478096984411</v>
      </c>
      <c r="AD45" s="2">
        <f t="shared" si="16"/>
        <v>0.26394135284636533</v>
      </c>
      <c r="AE45" s="2">
        <f t="shared" si="17"/>
        <v>-0.80855401992577391</v>
      </c>
    </row>
    <row r="46" spans="2:31" x14ac:dyDescent="0.2">
      <c r="B46" s="17">
        <f>[31]FormattedData!A52</f>
        <v>905</v>
      </c>
      <c r="C46" s="17" t="str">
        <f>VLOOKUP($B46,[31]TrtCodes!$B$11:I95,2)</f>
        <v>WS</v>
      </c>
      <c r="D46" s="17">
        <f>VLOOKUP($B46,[31]TrtCodes!$B$11:J95,3)</f>
        <v>32</v>
      </c>
      <c r="E46" s="17">
        <f>VLOOKUP($B46,[31]TrtCodes!$B$11:K95,4)</f>
        <v>9</v>
      </c>
      <c r="F46" s="17">
        <f>VLOOKUP($B46,[31]TrtCodes!$B$11:L95,5)</f>
        <v>0</v>
      </c>
      <c r="G46" s="17">
        <f>VLOOKUP($B46,[31]TrtCodes!$B$11:M95,6)</f>
        <v>1</v>
      </c>
      <c r="H46" s="17">
        <f>VLOOKUP($B46,[31]TrtCodes!$B$11:N95,7)</f>
        <v>2</v>
      </c>
      <c r="I46" s="17">
        <f>[31]FormattedData!B52</f>
        <v>1</v>
      </c>
      <c r="J46" s="15">
        <f>[31]FormattedData!C52</f>
        <v>13.39</v>
      </c>
      <c r="K46" s="14">
        <f>$J$3+[31]FormattedData!D52*$J$4+$M$4*$J$5+[31]FormattedData!D52^2*$J$6+$M$5*$J$7</f>
        <v>37.260429931050808</v>
      </c>
      <c r="L46" s="14">
        <f>$J$3+[31]FormattedData!E52*$J$4+$M$4*$J$5+[31]FormattedData!E52^2*$J$6+$M$5*$J$7</f>
        <v>37.260429931050808</v>
      </c>
      <c r="M46" s="14">
        <f>$J$3+[31]FormattedData!F52*$J$4+$M$4*$J$5+[31]FormattedData!F52^2*$J$6+$M$5*$J$7</f>
        <v>36.97810401687962</v>
      </c>
      <c r="N46" s="14">
        <f>$J$3+[31]FormattedData!G52*$J$4+$M$4*$J$5+[31]FormattedData!G52^2*$J$6+$M$5*$J$7</f>
        <v>36.97810401687962</v>
      </c>
      <c r="O46" s="14">
        <f>$J$3+[31]FormattedData!H52*$J$4+$M$4*$J$5+[31]FormattedData!H52^2*$J$6+$M$5*$J$7</f>
        <v>37.07225492347461</v>
      </c>
      <c r="P46" s="14">
        <f>$J$3+[31]FormattedData!I52*$J$4+$M$4*$J$5+[31]FormattedData!I52^2*$J$6+$M$5*$J$7</f>
        <v>37.07225492347461</v>
      </c>
      <c r="Q46" s="14">
        <f>$J$3+[31]FormattedData!J52*$J$4+$M$4*$J$5+[31]FormattedData!J52^2*$J$6+$M$5*$J$7</f>
        <v>38.105125172516068</v>
      </c>
      <c r="R46" s="14">
        <f>$J$3+[31]FormattedData!K52*$J$4+$M$4*$J$5+[31]FormattedData!K52^2*$J$6+$M$5*$J$7</f>
        <v>37.823940508869022</v>
      </c>
      <c r="S46" s="14">
        <f>$J$3+[31]FormattedData!L52*$J$4+$M$4*$J$5+[31]FormattedData!L52^2*$J$6+$M$5*$J$7</f>
        <v>38.666353249286004</v>
      </c>
      <c r="T46" s="14">
        <f>$J$3+[31]FormattedData!M52*$J$4+$M$4*$J$5+[31]FormattedData!M52^2*$J$6+$M$5*$J$7</f>
        <v>37.636272723748014</v>
      </c>
      <c r="U46" s="14">
        <f>$J$3+[31]FormattedData!N52*$J$4+$M$4*$J$5+[31]FormattedData!N52^2*$J$6+$M$5*$J$7</f>
        <v>36.883910841746705</v>
      </c>
      <c r="V46" s="14">
        <f>$J$3+[31]FormattedData!O52*$J$4+$M$4*$J$5+[31]FormattedData!O52^2*$J$6+$M$5*$J$7</f>
        <v>36.97810401687962</v>
      </c>
      <c r="W46" s="16">
        <f t="shared" si="9"/>
        <v>37.392940354654634</v>
      </c>
      <c r="X46" s="15">
        <f t="shared" si="10"/>
        <v>0.1602539252221914</v>
      </c>
      <c r="Y46" s="14">
        <f t="shared" si="11"/>
        <v>36.883910841746705</v>
      </c>
      <c r="Z46" s="13">
        <f t="shared" si="12"/>
        <v>36.97810401687962</v>
      </c>
      <c r="AA46" s="14">
        <f t="shared" si="13"/>
        <v>37.166342427262705</v>
      </c>
      <c r="AB46" s="13">
        <f t="shared" si="14"/>
        <v>37.68318967002827</v>
      </c>
      <c r="AC46" s="13">
        <f t="shared" si="15"/>
        <v>38.666353249286004</v>
      </c>
      <c r="AD46" s="13">
        <f t="shared" si="16"/>
        <v>1.3416185166999739</v>
      </c>
      <c r="AE46" s="13">
        <f t="shared" si="17"/>
        <v>1.1143340259375014</v>
      </c>
    </row>
    <row r="47" spans="2:31" x14ac:dyDescent="0.2">
      <c r="B47" s="1">
        <f>[31]FormattedData!A50</f>
        <v>906</v>
      </c>
      <c r="C47" s="1" t="str">
        <f>VLOOKUP($B47,[31]TrtCodes!$B$11:I93,2)</f>
        <v>Late</v>
      </c>
      <c r="D47" s="1">
        <f>VLOOKUP($B47,[31]TrtCodes!$B$11:J93,3)</f>
        <v>22</v>
      </c>
      <c r="E47" s="1">
        <f>VLOOKUP($B47,[31]TrtCodes!$B$11:K93,4)</f>
        <v>4</v>
      </c>
      <c r="F47" s="1">
        <f>VLOOKUP($B47,[31]TrtCodes!$B$11:L93,5)</f>
        <v>2</v>
      </c>
      <c r="G47" s="1">
        <f>VLOOKUP($B47,[31]TrtCodes!$B$11:M93,6)</f>
        <v>2</v>
      </c>
      <c r="H47" s="1">
        <f>VLOOKUP($B47,[31]TrtCodes!$B$11:N93,7)</f>
        <v>2</v>
      </c>
      <c r="I47" s="1">
        <f>[31]FormattedData!B50</f>
        <v>1</v>
      </c>
      <c r="J47" s="4">
        <f>[31]FormattedData!C50</f>
        <v>13.372</v>
      </c>
      <c r="K47" s="6">
        <f>$J$3+[31]FormattedData!D50*$J$4+$M$4*$J$5+[31]FormattedData!D50^2*$J$6+$M$5*$J$7</f>
        <v>40.248235967635281</v>
      </c>
      <c r="L47" s="6">
        <f>$J$3+[31]FormattedData!E50*$J$4+$M$4*$J$5+[31]FormattedData!E50^2*$J$6+$M$5*$J$7</f>
        <v>35.371071518461299</v>
      </c>
      <c r="M47" s="6">
        <f>$J$3+[31]FormattedData!F50*$J$4+$M$4*$J$5+[31]FormattedData!F50^2*$J$6+$M$5*$J$7</f>
        <v>38.759743322198233</v>
      </c>
      <c r="N47" s="6">
        <f>$J$3+[31]FormattedData!G50*$J$4+$M$4*$J$5+[31]FormattedData!G50^2*$J$6+$M$5*$J$7</f>
        <v>39.784244400729314</v>
      </c>
      <c r="O47" s="6">
        <f>$J$3+[31]FormattedData!H50*$J$4+$M$4*$J$5+[31]FormattedData!H50^2*$J$6+$M$5*$J$7</f>
        <v>39.505342238130559</v>
      </c>
      <c r="P47" s="6">
        <f>$J$3+[31]FormattedData!I50*$J$4+$M$4*$J$5+[31]FormattedData!I50^2*$J$6+$M$5*$J$7</f>
        <v>39.41229031352178</v>
      </c>
      <c r="Q47" s="6">
        <f>$J$3+[31]FormattedData!J50*$J$4+$M$4*$J$5+[31]FormattedData!J50^2*$J$6+$M$5*$J$7</f>
        <v>40.248235967635281</v>
      </c>
      <c r="R47" s="6">
        <f>$J$3+[31]FormattedData!K50*$J$4+$M$4*$J$5+[31]FormattedData!K50^2*$J$6+$M$5*$J$7</f>
        <v>40.896048882710545</v>
      </c>
      <c r="S47" s="6">
        <f>$J$3+[31]FormattedData!L50*$J$4+$M$4*$J$5+[31]FormattedData!L50^2*$J$6+$M$5*$J$7</f>
        <v>37.260429931050808</v>
      </c>
      <c r="T47" s="6">
        <f>$J$3+[31]FormattedData!M50*$J$4+$M$4*$J$5+[31]FormattedData!M50^2*$J$6+$M$5*$J$7</f>
        <v>37.917710998622631</v>
      </c>
      <c r="U47" s="6">
        <f>$J$3+[31]FormattedData!N50*$J$4+$M$4*$J$5+[31]FormattedData!N50^2*$J$6+$M$5*$J$7</f>
        <v>44.194942311881725</v>
      </c>
      <c r="V47" s="6">
        <f>$J$3+[31]FormattedData!O50*$J$4+$M$4*$J$5+[31]FormattedData!O50^2*$J$6+$M$5*$J$7</f>
        <v>39.132880928467848</v>
      </c>
      <c r="W47" s="5">
        <f t="shared" si="9"/>
        <v>39.394264731753772</v>
      </c>
      <c r="X47" s="4">
        <f t="shared" si="10"/>
        <v>0.61739694460174399</v>
      </c>
      <c r="Y47" s="3">
        <f t="shared" si="11"/>
        <v>35.371071518461299</v>
      </c>
      <c r="Z47" s="2">
        <f t="shared" si="12"/>
        <v>38.549235241304331</v>
      </c>
      <c r="AA47" s="3">
        <f t="shared" si="13"/>
        <v>39.458816275826166</v>
      </c>
      <c r="AB47" s="2">
        <f t="shared" si="14"/>
        <v>40.248235967635281</v>
      </c>
      <c r="AC47" s="2">
        <f t="shared" si="15"/>
        <v>44.194942311881725</v>
      </c>
      <c r="AD47" s="2">
        <f t="shared" si="16"/>
        <v>0.41264032452984722</v>
      </c>
      <c r="AE47" s="2">
        <f t="shared" si="17"/>
        <v>2.1796478174098048</v>
      </c>
    </row>
    <row r="48" spans="2:31" x14ac:dyDescent="0.2">
      <c r="B48" s="17">
        <f>[31]FormattedData!A48</f>
        <v>907</v>
      </c>
      <c r="C48" s="17" t="str">
        <f>VLOOKUP($B48,[31]TrtCodes!$B$11:I91,2)</f>
        <v>DS</v>
      </c>
      <c r="D48" s="17">
        <f>VLOOKUP($B48,[31]TrtCodes!$B$11:J91,3)</f>
        <v>31</v>
      </c>
      <c r="E48" s="17">
        <f>VLOOKUP($B48,[31]TrtCodes!$B$11:K91,4)</f>
        <v>8</v>
      </c>
      <c r="F48" s="17">
        <f>VLOOKUP($B48,[31]TrtCodes!$B$11:L91,5)</f>
        <v>0</v>
      </c>
      <c r="G48" s="17">
        <f>VLOOKUP($B48,[31]TrtCodes!$B$11:M91,6)</f>
        <v>1</v>
      </c>
      <c r="H48" s="17">
        <f>VLOOKUP($B48,[31]TrtCodes!$B$11:N91,7)</f>
        <v>2</v>
      </c>
      <c r="I48" s="17">
        <f>[31]FormattedData!B48</f>
        <v>1</v>
      </c>
      <c r="J48" s="15">
        <f>[31]FormattedData!C48</f>
        <v>13.364000000000001</v>
      </c>
      <c r="K48" s="14">
        <f>$J$3+[31]FormattedData!D48*$J$4+$M$4*$J$5+[31]FormattedData!D48^2*$J$6+$M$5*$J$7</f>
        <v>55.82221133692893</v>
      </c>
      <c r="L48" s="14">
        <f>$J$3+[31]FormattedData!E48*$J$4+$M$4*$J$5+[31]FormattedData!E48^2*$J$6+$M$5*$J$7</f>
        <v>55.82221133692893</v>
      </c>
      <c r="M48" s="14">
        <f>$J$3+[31]FormattedData!F48*$J$4+$M$4*$J$5+[31]FormattedData!F48^2*$J$6+$M$5*$J$7</f>
        <v>55.395204740712707</v>
      </c>
      <c r="N48" s="14">
        <f>$J$3+[31]FormattedData!G48*$J$4+$M$4*$J$5+[31]FormattedData!G48^2*$J$6+$M$5*$J$7</f>
        <v>55.566134184812988</v>
      </c>
      <c r="O48" s="14">
        <f>$J$3+[31]FormattedData!H48*$J$4+$M$4*$J$5+[31]FormattedData!H48^2*$J$6+$M$5*$J$7</f>
        <v>55.566134184812988</v>
      </c>
      <c r="P48" s="14">
        <f>$J$3+[31]FormattedData!I48*$J$4+$M$4*$J$5+[31]FormattedData!I48^2*$J$6+$M$5*$J$7</f>
        <v>55.224106222460691</v>
      </c>
      <c r="Q48" s="14">
        <f>$J$3+[31]FormattedData!J48*$J$4+$M$4*$J$5+[31]FormattedData!J48^2*$J$6+$M$5*$J$7</f>
        <v>54.709796222794324</v>
      </c>
      <c r="R48" s="14">
        <f>$J$3+[31]FormattedData!K48*$J$4+$M$4*$J$5+[31]FormattedData!K48^2*$J$6+$M$5*$J$7</f>
        <v>56.077908072203485</v>
      </c>
      <c r="S48" s="14">
        <f>$J$3+[31]FormattedData!L48*$J$4+$M$4*$J$5+[31]FormattedData!L48^2*$J$6+$M$5*$J$7</f>
        <v>55.052838630056961</v>
      </c>
      <c r="T48" s="14">
        <f>$J$3+[31]FormattedData!M48*$J$4+$M$4*$J$5+[31]FormattedData!M48^2*$J$6+$M$5*$J$7</f>
        <v>55.309676615855658</v>
      </c>
      <c r="U48" s="14">
        <f>$J$3+[31]FormattedData!N48*$J$4+$M$4*$J$5+[31]FormattedData!N48^2*$J$6+$M$5*$J$7</f>
        <v>55.48069059703181</v>
      </c>
      <c r="V48" s="14">
        <f>$J$3+[31]FormattedData!O48*$J$4+$M$4*$J$5+[31]FormattedData!O48^2*$J$6+$M$5*$J$7</f>
        <v>55.566134184812988</v>
      </c>
      <c r="W48" s="16">
        <f t="shared" si="9"/>
        <v>55.466087194117705</v>
      </c>
      <c r="X48" s="15">
        <f t="shared" si="10"/>
        <v>0.10620908653654897</v>
      </c>
      <c r="Y48" s="14">
        <f t="shared" si="11"/>
        <v>54.709796222794324</v>
      </c>
      <c r="Z48" s="13">
        <f t="shared" si="12"/>
        <v>55.288284017506918</v>
      </c>
      <c r="AA48" s="14">
        <f t="shared" si="13"/>
        <v>55.523412390922402</v>
      </c>
      <c r="AB48" s="13">
        <f t="shared" si="14"/>
        <v>55.630153472841975</v>
      </c>
      <c r="AC48" s="13">
        <f t="shared" si="15"/>
        <v>56.077908072203485</v>
      </c>
      <c r="AD48" s="13">
        <f t="shared" si="16"/>
        <v>-0.43621942035768796</v>
      </c>
      <c r="AE48" s="13">
        <f t="shared" si="17"/>
        <v>0.54994221099935459</v>
      </c>
    </row>
    <row r="49" spans="2:31" ht="13.5" thickBot="1" x14ac:dyDescent="0.25">
      <c r="B49" s="12">
        <f>[31]FormattedData!A46</f>
        <v>908</v>
      </c>
      <c r="C49" s="12" t="str">
        <f>VLOOKUP($B49,[31]TrtCodes!$B$11:I89,2)</f>
        <v>Early</v>
      </c>
      <c r="D49" s="12">
        <f>VLOOKUP($B49,[31]TrtCodes!$B$11:J89,3)</f>
        <v>21</v>
      </c>
      <c r="E49" s="12">
        <f>VLOOKUP($B49,[31]TrtCodes!$B$11:K89,4)</f>
        <v>3</v>
      </c>
      <c r="F49" s="12">
        <f>VLOOKUP($B49,[31]TrtCodes!$B$11:L89,5)</f>
        <v>2</v>
      </c>
      <c r="G49" s="12">
        <f>VLOOKUP($B49,[31]TrtCodes!$B$11:M89,6)</f>
        <v>2</v>
      </c>
      <c r="H49" s="12">
        <f>VLOOKUP($B49,[31]TrtCodes!$B$11:N89,7)</f>
        <v>2</v>
      </c>
      <c r="I49" s="12">
        <f>[31]FormattedData!B46</f>
        <v>1</v>
      </c>
      <c r="J49" s="9">
        <f>[31]FormattedData!C46</f>
        <v>13.346</v>
      </c>
      <c r="K49" s="11">
        <f>$J$3+[31]FormattedData!D46*$J$4+$M$4*$J$5+[31]FormattedData!D46^2*$J$6+$M$5*$J$7</f>
        <v>52.810974181001505</v>
      </c>
      <c r="L49" s="11">
        <f>$J$3+[31]FormattedData!E46*$J$4+$M$4*$J$5+[31]FormattedData!E46^2*$J$6+$M$5*$J$7</f>
        <v>44.194942311881725</v>
      </c>
      <c r="M49" s="11">
        <f>$J$3+[31]FormattedData!F46*$J$4+$M$4*$J$5+[31]FormattedData!F46^2*$J$6+$M$5*$J$7</f>
        <v>40.803630986170738</v>
      </c>
      <c r="N49" s="11">
        <f>$J$3+[31]FormattedData!G46*$J$4+$M$4*$J$5+[31]FormattedData!G46^2*$J$6+$M$5*$J$7</f>
        <v>47.260264323738689</v>
      </c>
      <c r="O49" s="11">
        <f>$J$3+[31]FormattedData!H46*$J$4+$M$4*$J$5+[31]FormattedData!H46^2*$J$6+$M$5*$J$7</f>
        <v>46.003990502402054</v>
      </c>
      <c r="P49" s="11">
        <f>$J$3+[31]FormattedData!I46*$J$4+$M$4*$J$5+[31]FormattedData!I46^2*$J$6+$M$5*$J$7</f>
        <v>42.368986706188942</v>
      </c>
      <c r="Q49" s="11">
        <f>$J$3+[31]FormattedData!J46*$J$4+$M$4*$J$5+[31]FormattedData!J46^2*$J$6+$M$5*$J$7</f>
        <v>44.467377388177027</v>
      </c>
      <c r="R49" s="11">
        <f>$J$3+[31]FormattedData!K46*$J$4+$M$4*$J$5+[31]FormattedData!K46^2*$J$6+$M$5*$J$7</f>
        <v>46.633162992249687</v>
      </c>
      <c r="S49" s="11">
        <f>$J$3+[31]FormattedData!L46*$J$4+$M$4*$J$5+[31]FormattedData!L46^2*$J$6+$M$5*$J$7</f>
        <v>46.093999092279809</v>
      </c>
      <c r="T49" s="11">
        <f>$J$3+[31]FormattedData!M46*$J$4+$M$4*$J$5+[31]FormattedData!M46^2*$J$6+$M$5*$J$7</f>
        <v>48.95195618033982</v>
      </c>
      <c r="U49" s="11">
        <f>$J$3+[31]FormattedData!N46*$J$4+$M$4*$J$5+[31]FormattedData!N46^2*$J$6+$M$5*$J$7</f>
        <v>44.920590477910558</v>
      </c>
      <c r="V49" s="11">
        <f>$J$3+[31]FormattedData!O46*$J$4+$M$4*$J$5+[31]FormattedData!O46^2*$J$6+$M$5*$J$7</f>
        <v>42.552343100440993</v>
      </c>
      <c r="W49" s="10">
        <f t="shared" si="9"/>
        <v>45.588518186898462</v>
      </c>
      <c r="X49" s="9">
        <f t="shared" si="10"/>
        <v>0.92897286590480588</v>
      </c>
      <c r="Y49" s="8">
        <f t="shared" si="11"/>
        <v>40.803630986170738</v>
      </c>
      <c r="Z49" s="7">
        <f t="shared" si="12"/>
        <v>43.78429250902154</v>
      </c>
      <c r="AA49" s="8">
        <f t="shared" si="13"/>
        <v>45.462290490156306</v>
      </c>
      <c r="AB49" s="7">
        <f t="shared" si="14"/>
        <v>46.789938325121938</v>
      </c>
      <c r="AC49" s="7">
        <f t="shared" si="15"/>
        <v>52.810974181001505</v>
      </c>
      <c r="AD49" s="7">
        <f t="shared" si="16"/>
        <v>0.80360050573960073</v>
      </c>
      <c r="AE49" s="7">
        <f t="shared" si="17"/>
        <v>1.2272551944129679</v>
      </c>
    </row>
    <row r="50" spans="2:31" ht="13.5" thickTop="1" x14ac:dyDescent="0.2">
      <c r="B50" s="1">
        <f>[31]FormattedData!A29</f>
        <v>101</v>
      </c>
      <c r="C50" s="1" t="str">
        <f>VLOOKUP($B50,[31]TrtCodes!$B$11:I72,2)</f>
        <v>FSH</v>
      </c>
      <c r="D50" s="1">
        <f>VLOOKUP($B50,[31]TrtCodes!$B$11:J72,3)</f>
        <v>1</v>
      </c>
      <c r="E50" s="1">
        <f>VLOOKUP($B50,[31]TrtCodes!$B$11:K72,4)</f>
        <v>1</v>
      </c>
      <c r="F50" s="1">
        <f>VLOOKUP($B50,[31]TrtCodes!$B$11:L72,5)</f>
        <v>1</v>
      </c>
      <c r="G50" s="1">
        <f>VLOOKUP($B50,[31]TrtCodes!$B$11:M72,6)</f>
        <v>2</v>
      </c>
      <c r="H50" s="1">
        <f>VLOOKUP($B50,[31]TrtCodes!$B$11:N72,7)</f>
        <v>1</v>
      </c>
      <c r="I50" s="1">
        <f>[31]FormattedData!B29</f>
        <v>2</v>
      </c>
      <c r="J50" s="4">
        <f>[31]FormattedData!C29</f>
        <v>13.2</v>
      </c>
      <c r="K50" s="6">
        <f>$J$3+[31]FormattedData!D29*$J$4+$M$4*$J$5+[31]FormattedData!D29^2*$J$6+$M$5*$J$7</f>
        <v>31.251698196766164</v>
      </c>
      <c r="L50" s="6">
        <f>$J$3+[31]FormattedData!E29*$J$4+$M$4*$J$5+[31]FormattedData!E29^2*$J$6+$M$5*$J$7</f>
        <v>31.927619689565621</v>
      </c>
      <c r="M50" s="6">
        <f>$J$3+[31]FormattedData!F29*$J$4+$M$4*$J$5+[31]FormattedData!F29^2*$J$6+$M$5*$J$7</f>
        <v>33.08152363532627</v>
      </c>
      <c r="N50" s="6">
        <f>$J$3+[31]FormattedData!G29*$J$4+$M$4*$J$5+[31]FormattedData!G29^2*$J$6+$M$5*$J$7</f>
        <v>30.961383528925989</v>
      </c>
      <c r="O50" s="6">
        <f>$J$3+[31]FormattedData!H29*$J$4+$M$4*$J$5+[31]FormattedData!H29^2*$J$6+$M$5*$J$7</f>
        <v>33.369048579662973</v>
      </c>
      <c r="P50" s="6">
        <f>$J$3+[31]FormattedData!I29*$J$4+$M$4*$J$5+[31]FormattedData!I29^2*$J$6+$M$5*$J$7</f>
        <v>32.601470024006453</v>
      </c>
      <c r="Q50" s="6">
        <f>$J$3+[31]FormattedData!J29*$J$4+$M$4*$J$5+[31]FormattedData!J29^2*$J$6+$M$5*$J$7</f>
        <v>33.369048579662973</v>
      </c>
      <c r="R50" s="6">
        <f>$J$3+[31]FormattedData!K29*$J$4+$M$4*$J$5+[31]FormattedData!K29^2*$J$6+$M$5*$J$7</f>
        <v>34.324717605819835</v>
      </c>
      <c r="S50" s="6">
        <f>$J$3+[31]FormattedData!L29*$J$4+$M$4*$J$5+[31]FormattedData!L29^2*$J$6+$M$5*$J$7</f>
        <v>31.638192661022003</v>
      </c>
      <c r="T50" s="6">
        <f>$J$3+[31]FormattedData!M29*$J$4+$M$4*$J$5+[31]FormattedData!M29^2*$J$6+$M$5*$J$7</f>
        <v>30.476680378433759</v>
      </c>
      <c r="U50" s="6">
        <f>$J$3+[31]FormattedData!N29*$J$4+$M$4*$J$5+[31]FormattedData!N29^2*$J$6+$M$5*$J$7</f>
        <v>33.464805690699343</v>
      </c>
      <c r="V50" s="6">
        <f>$J$3+[31]FormattedData!O29*$J$4+$M$4*$J$5+[31]FormattedData!O29^2*$J$6+$M$5*$J$7</f>
        <v>32.697565283346286</v>
      </c>
      <c r="W50" s="5">
        <f t="shared" si="9"/>
        <v>32.430312821103136</v>
      </c>
      <c r="X50" s="4">
        <f t="shared" si="10"/>
        <v>0.33922716284215626</v>
      </c>
      <c r="Y50" s="3">
        <f t="shared" si="11"/>
        <v>30.476680378433759</v>
      </c>
      <c r="Z50" s="2">
        <f t="shared" si="12"/>
        <v>31.541569044958045</v>
      </c>
      <c r="AA50" s="3">
        <f t="shared" si="13"/>
        <v>32.649517653676369</v>
      </c>
      <c r="AB50" s="2">
        <f t="shared" si="14"/>
        <v>33.369048579662973</v>
      </c>
      <c r="AC50" s="2">
        <f t="shared" si="15"/>
        <v>34.324717605819835</v>
      </c>
      <c r="AD50" s="2">
        <f t="shared" si="16"/>
        <v>-0.20348775581769984</v>
      </c>
      <c r="AE50" s="2">
        <f t="shared" si="17"/>
        <v>-0.94495936658074253</v>
      </c>
    </row>
    <row r="51" spans="2:31" x14ac:dyDescent="0.2">
      <c r="B51" s="1">
        <f>[31]FormattedData!A27</f>
        <v>102</v>
      </c>
      <c r="C51" s="1" t="str">
        <f>VLOOKUP($B51,[31]TrtCodes!$B$11:I70,2)</f>
        <v>FTL</v>
      </c>
      <c r="D51" s="1">
        <f>VLOOKUP($B51,[31]TrtCodes!$B$11:J70,3)</f>
        <v>4</v>
      </c>
      <c r="E51" s="1">
        <f>VLOOKUP($B51,[31]TrtCodes!$B$11:K70,4)</f>
        <v>1</v>
      </c>
      <c r="F51" s="1">
        <f>VLOOKUP($B51,[31]TrtCodes!$B$11:L70,5)</f>
        <v>2</v>
      </c>
      <c r="G51" s="1">
        <f>VLOOKUP($B51,[31]TrtCodes!$B$11:M70,6)</f>
        <v>1</v>
      </c>
      <c r="H51" s="1">
        <f>VLOOKUP($B51,[31]TrtCodes!$B$11:N70,7)</f>
        <v>1</v>
      </c>
      <c r="I51" s="1">
        <f>[31]FormattedData!B27</f>
        <v>2</v>
      </c>
      <c r="J51" s="4">
        <f>[31]FormattedData!C27</f>
        <v>13.183</v>
      </c>
      <c r="K51" s="6">
        <f>$J$3+[31]FormattedData!D27*$J$4+$M$4*$J$5+[31]FormattedData!D27^2*$J$6+$M$5*$J$7</f>
        <v>33.75182341258089</v>
      </c>
      <c r="L51" s="6">
        <f>$J$3+[31]FormattedData!E27*$J$4+$M$4*$J$5+[31]FormattedData!E27^2*$J$6+$M$5*$J$7</f>
        <v>32.02401082867096</v>
      </c>
      <c r="M51" s="6">
        <f>$J$3+[31]FormattedData!F27*$J$4+$M$4*$J$5+[31]FormattedData!F27^2*$J$6+$M$5*$J$7</f>
        <v>31.445029965969944</v>
      </c>
      <c r="N51" s="6">
        <f>$J$3+[31]FormattedData!G27*$J$4+$M$4*$J$5+[31]FormattedData!G27^2*$J$6+$M$5*$J$7</f>
        <v>30.670688444244441</v>
      </c>
      <c r="O51" s="6">
        <f>$J$3+[31]FormattedData!H27*$J$4+$M$4*$J$5+[31]FormattedData!H27^2*$J$6+$M$5*$J$7</f>
        <v>33.656193107158309</v>
      </c>
      <c r="P51" s="6">
        <f>$J$3+[31]FormattedData!I27*$J$4+$M$4*$J$5+[31]FormattedData!I27^2*$J$6+$M$5*$J$7</f>
        <v>31.154968909357358</v>
      </c>
      <c r="Q51" s="6">
        <f>$J$3+[31]FormattedData!J27*$J$4+$M$4*$J$5+[31]FormattedData!J27^2*$J$6+$M$5*$J$7</f>
        <v>32.409152699713019</v>
      </c>
      <c r="R51" s="6">
        <f>$J$3+[31]FormattedData!K27*$J$4+$M$4*$J$5+[31]FormattedData!K27^2*$J$6+$M$5*$J$7</f>
        <v>31.831186281922349</v>
      </c>
      <c r="S51" s="6">
        <f>$J$3+[31]FormattedData!L27*$J$4+$M$4*$J$5+[31]FormattedData!L27^2*$J$6+$M$5*$J$7</f>
        <v>30.767629074342896</v>
      </c>
      <c r="T51" s="6">
        <f>$J$3+[31]FormattedData!M27*$J$4+$M$4*$J$5+[31]FormattedData!M27^2*$J$6+$M$5*$J$7</f>
        <v>29.89364173609135</v>
      </c>
      <c r="U51" s="6">
        <f>$J$3+[31]FormattedData!N27*$J$4+$M$4*$J$5+[31]FormattedData!N27^2*$J$6+$M$5*$J$7</f>
        <v>30.476680378433759</v>
      </c>
      <c r="V51" s="6">
        <f>$J$3+[31]FormattedData!O27*$J$4+$M$4*$J$5+[31]FormattedData!O27^2*$J$6+$M$5*$J$7</f>
        <v>30.767629074342896</v>
      </c>
      <c r="W51" s="5">
        <f t="shared" si="9"/>
        <v>31.57071949273568</v>
      </c>
      <c r="X51" s="4">
        <f t="shared" si="10"/>
        <v>0.35227424374418764</v>
      </c>
      <c r="Y51" s="3">
        <f t="shared" si="11"/>
        <v>29.89364173609135</v>
      </c>
      <c r="Z51" s="2">
        <f t="shared" si="12"/>
        <v>30.743393916818281</v>
      </c>
      <c r="AA51" s="3">
        <f t="shared" si="13"/>
        <v>31.299999437663651</v>
      </c>
      <c r="AB51" s="2">
        <f t="shared" si="14"/>
        <v>32.120296296431476</v>
      </c>
      <c r="AC51" s="2">
        <f t="shared" si="15"/>
        <v>33.75182341258089</v>
      </c>
      <c r="AD51" s="2">
        <f t="shared" si="16"/>
        <v>0.73724272832666116</v>
      </c>
      <c r="AE51" s="2">
        <f t="shared" si="17"/>
        <v>-0.27095604135056872</v>
      </c>
    </row>
    <row r="52" spans="2:31" x14ac:dyDescent="0.2">
      <c r="B52" s="1">
        <f>[31]FormattedData!A25</f>
        <v>103</v>
      </c>
      <c r="C52" s="1" t="str">
        <f>VLOOKUP($B52,[31]TrtCodes!$B$11:I68,2)</f>
        <v>FDH</v>
      </c>
      <c r="D52" s="1">
        <f>VLOOKUP($B52,[31]TrtCodes!$B$11:J68,3)</f>
        <v>5</v>
      </c>
      <c r="E52" s="1">
        <f>VLOOKUP($B52,[31]TrtCodes!$B$11:K68,4)</f>
        <v>1</v>
      </c>
      <c r="F52" s="1">
        <f>VLOOKUP($B52,[31]TrtCodes!$B$11:L68,5)</f>
        <v>3</v>
      </c>
      <c r="G52" s="1">
        <f>VLOOKUP($B52,[31]TrtCodes!$B$11:M68,6)</f>
        <v>2</v>
      </c>
      <c r="H52" s="1">
        <f>VLOOKUP($B52,[31]TrtCodes!$B$11:N68,7)</f>
        <v>1</v>
      </c>
      <c r="I52" s="1">
        <f>[31]FormattedData!B25</f>
        <v>2</v>
      </c>
      <c r="J52" s="4">
        <f>[31]FormattedData!C25</f>
        <v>13.167</v>
      </c>
      <c r="K52" s="6">
        <f>$J$3+[31]FormattedData!D25*$J$4+$M$4*$J$5+[31]FormattedData!D25^2*$J$6+$M$5*$J$7</f>
        <v>34.420052031476878</v>
      </c>
      <c r="L52" s="6">
        <f>$J$3+[31]FormattedData!E25*$J$4+$M$4*$J$5+[31]FormattedData!E25^2*$J$6+$M$5*$J$7</f>
        <v>33.75182341258089</v>
      </c>
      <c r="M52" s="6">
        <f>$J$3+[31]FormattedData!F25*$J$4+$M$4*$J$5+[31]FormattedData!F25^2*$J$6+$M$5*$J$7</f>
        <v>32.409152699713019</v>
      </c>
      <c r="N52" s="6">
        <f>$J$3+[31]FormattedData!G25*$J$4+$M$4*$J$5+[31]FormattedData!G25^2*$J$6+$M$5*$J$7</f>
        <v>32.505332496128702</v>
      </c>
      <c r="O52" s="6">
        <f>$J$3+[31]FormattedData!H25*$J$4+$M$4*$J$5+[31]FormattedData!H25^2*$J$6+$M$5*$J$7</f>
        <v>34.610594077177218</v>
      </c>
      <c r="P52" s="6">
        <f>$J$3+[31]FormattedData!I25*$J$4+$M$4*$J$5+[31]FormattedData!I25^2*$J$6+$M$5*$J$7</f>
        <v>32.312930634759404</v>
      </c>
      <c r="Q52" s="6">
        <f>$J$3+[31]FormattedData!J25*$J$4+$M$4*$J$5+[31]FormattedData!J25^2*$J$6+$M$5*$J$7</f>
        <v>33.273249200088671</v>
      </c>
      <c r="R52" s="6">
        <f>$J$3+[31]FormattedData!K25*$J$4+$M$4*$J$5+[31]FormattedData!K25^2*$J$6+$M$5*$J$7</f>
        <v>31.927619689565621</v>
      </c>
      <c r="S52" s="6">
        <f>$J$3+[31]FormattedData!L25*$J$4+$M$4*$J$5+[31]FormattedData!L25^2*$J$6+$M$5*$J$7</f>
        <v>32.312930634759404</v>
      </c>
      <c r="T52" s="6">
        <f>$J$3+[31]FormattedData!M25*$J$4+$M$4*$J$5+[31]FormattedData!M25^2*$J$6+$M$5*$J$7</f>
        <v>33.847411449465547</v>
      </c>
      <c r="U52" s="6">
        <f>$J$3+[31]FormattedData!N25*$J$4+$M$4*$J$5+[31]FormattedData!N25^2*$J$6+$M$5*$J$7</f>
        <v>33.177407551976437</v>
      </c>
      <c r="V52" s="6">
        <f>$J$3+[31]FormattedData!O25*$J$4+$M$4*$J$5+[31]FormattedData!O25^2*$J$6+$M$5*$J$7</f>
        <v>32.505332496128702</v>
      </c>
      <c r="W52" s="5">
        <f t="shared" si="9"/>
        <v>33.087819697818375</v>
      </c>
      <c r="X52" s="4">
        <f t="shared" si="10"/>
        <v>0.25878675557152181</v>
      </c>
      <c r="Y52" s="3">
        <f t="shared" si="11"/>
        <v>31.927619689565621</v>
      </c>
      <c r="Z52" s="2">
        <f t="shared" si="12"/>
        <v>32.385097183474613</v>
      </c>
      <c r="AA52" s="3">
        <f t="shared" si="13"/>
        <v>32.841370024052566</v>
      </c>
      <c r="AB52" s="2">
        <f t="shared" si="14"/>
        <v>33.775720421802056</v>
      </c>
      <c r="AC52" s="2">
        <f t="shared" si="15"/>
        <v>34.610594077177218</v>
      </c>
      <c r="AD52" s="2">
        <f t="shared" si="16"/>
        <v>0.51992068676747127</v>
      </c>
      <c r="AE52" s="2">
        <f t="shared" si="17"/>
        <v>-1.0979804188403346</v>
      </c>
    </row>
    <row r="53" spans="2:31" x14ac:dyDescent="0.2">
      <c r="B53" s="1">
        <f>[31]FormattedData!A23</f>
        <v>104</v>
      </c>
      <c r="C53" s="1" t="str">
        <f>VLOOKUP($B53,[31]TrtCodes!$B$11:I66,2)</f>
        <v>NTL</v>
      </c>
      <c r="D53" s="1">
        <f>VLOOKUP($B53,[31]TrtCodes!$B$11:J66,3)</f>
        <v>10</v>
      </c>
      <c r="E53" s="1">
        <f>VLOOKUP($B53,[31]TrtCodes!$B$11:K66,4)</f>
        <v>2</v>
      </c>
      <c r="F53" s="1">
        <f>VLOOKUP($B53,[31]TrtCodes!$B$11:L66,5)</f>
        <v>2</v>
      </c>
      <c r="G53" s="1">
        <f>VLOOKUP($B53,[31]TrtCodes!$B$11:M66,6)</f>
        <v>1</v>
      </c>
      <c r="H53" s="1">
        <f>VLOOKUP($B53,[31]TrtCodes!$B$11:N66,7)</f>
        <v>1</v>
      </c>
      <c r="I53" s="1">
        <f>[31]FormattedData!B23</f>
        <v>2</v>
      </c>
      <c r="J53" s="4">
        <f>[31]FormattedData!C23</f>
        <v>13.151</v>
      </c>
      <c r="K53" s="6">
        <f>$J$3+[31]FormattedData!D23*$J$4+$M$4*$J$5+[31]FormattedData!D23^2*$J$6+$M$5*$J$7</f>
        <v>33.464805690699343</v>
      </c>
      <c r="L53" s="6">
        <f>$J$3+[31]FormattedData!E23*$J$4+$M$4*$J$5+[31]FormattedData!E23^2*$J$6+$M$5*$J$7</f>
        <v>33.369048579662973</v>
      </c>
      <c r="M53" s="6">
        <f>$J$3+[31]FormattedData!F23*$J$4+$M$4*$J$5+[31]FormattedData!F23^2*$J$6+$M$5*$J$7</f>
        <v>32.793618274148173</v>
      </c>
      <c r="N53" s="6">
        <f>$J$3+[31]FormattedData!G23*$J$4+$M$4*$J$5+[31]FormattedData!G23^2*$J$6+$M$5*$J$7</f>
        <v>38.479446297847751</v>
      </c>
      <c r="O53" s="6">
        <f>$J$3+[31]FormattedData!H23*$J$4+$M$4*$J$5+[31]FormattedData!H23^2*$J$6+$M$5*$J$7</f>
        <v>31.54163244776494</v>
      </c>
      <c r="P53" s="6">
        <f>$J$3+[31]FormattedData!I23*$J$4+$M$4*$J$5+[31]FormattedData!I23^2*$J$6+$M$5*$J$7</f>
        <v>31.445029965969944</v>
      </c>
      <c r="Q53" s="6">
        <f>$J$3+[31]FormattedData!J23*$J$4+$M$4*$J$5+[31]FormattedData!J23^2*$J$6+$M$5*$J$7</f>
        <v>31.831186281922349</v>
      </c>
      <c r="R53" s="6">
        <f>$J$3+[31]FormattedData!K23*$J$4+$M$4*$J$5+[31]FormattedData!K23^2*$J$6+$M$5*$J$7</f>
        <v>32.793618274148173</v>
      </c>
      <c r="S53" s="6">
        <f>$J$3+[31]FormattedData!L23*$J$4+$M$4*$J$5+[31]FormattedData!L23^2*$J$6+$M$5*$J$7</f>
        <v>30.864527435903408</v>
      </c>
      <c r="T53" s="6">
        <f>$J$3+[31]FormattedData!M23*$J$4+$M$4*$J$5+[31]FormattedData!M23^2*$J$6+$M$5*$J$7</f>
        <v>30.476680378433759</v>
      </c>
      <c r="U53" s="6">
        <f>$J$3+[31]FormattedData!N23*$J$4+$M$4*$J$5+[31]FormattedData!N23^2*$J$6+$M$5*$J$7</f>
        <v>31.54163244776494</v>
      </c>
      <c r="V53" s="6">
        <f>$J$3+[31]FormattedData!O23*$J$4+$M$4*$J$5+[31]FormattedData!O23^2*$J$6+$M$5*$J$7</f>
        <v>33.08152363532627</v>
      </c>
      <c r="W53" s="5">
        <f t="shared" si="9"/>
        <v>32.640229142466005</v>
      </c>
      <c r="X53" s="4">
        <f t="shared" si="10"/>
        <v>0.60227032052744633</v>
      </c>
      <c r="Y53" s="3">
        <f t="shared" si="11"/>
        <v>30.476680378433759</v>
      </c>
      <c r="Z53" s="2">
        <f t="shared" si="12"/>
        <v>31.517481827316189</v>
      </c>
      <c r="AA53" s="3">
        <f t="shared" si="13"/>
        <v>32.312402278035265</v>
      </c>
      <c r="AB53" s="2">
        <f t="shared" si="14"/>
        <v>33.153404871410444</v>
      </c>
      <c r="AC53" s="2">
        <f t="shared" si="15"/>
        <v>38.479446297847751</v>
      </c>
      <c r="AD53" s="2">
        <f t="shared" si="16"/>
        <v>2.1565568780103432</v>
      </c>
      <c r="AE53" s="2">
        <f t="shared" si="17"/>
        <v>5.9518238785532809</v>
      </c>
    </row>
    <row r="54" spans="2:31" x14ac:dyDescent="0.2">
      <c r="B54" s="1">
        <f>[31]FormattedData!A21</f>
        <v>105</v>
      </c>
      <c r="C54" s="1" t="str">
        <f>VLOOKUP($B54,[31]TrtCodes!$B$11:I64,2)</f>
        <v>NDL</v>
      </c>
      <c r="D54" s="1">
        <f>VLOOKUP($B54,[31]TrtCodes!$B$11:J64,3)</f>
        <v>12</v>
      </c>
      <c r="E54" s="1">
        <f>VLOOKUP($B54,[31]TrtCodes!$B$11:K64,4)</f>
        <v>2</v>
      </c>
      <c r="F54" s="1">
        <f>VLOOKUP($B54,[31]TrtCodes!$B$11:L64,5)</f>
        <v>3</v>
      </c>
      <c r="G54" s="1">
        <f>VLOOKUP($B54,[31]TrtCodes!$B$11:M64,6)</f>
        <v>1</v>
      </c>
      <c r="H54" s="1">
        <f>VLOOKUP($B54,[31]TrtCodes!$B$11:N64,7)</f>
        <v>2</v>
      </c>
      <c r="I54" s="1">
        <f>[31]FormattedData!B21</f>
        <v>2</v>
      </c>
      <c r="J54" s="4">
        <f>[31]FormattedData!C21</f>
        <v>13.134</v>
      </c>
      <c r="K54" s="6">
        <f>$J$3+[31]FormattedData!D21*$J$4+$M$4*$J$5+[31]FormattedData!D21^2*$J$6+$M$5*$J$7</f>
        <v>30.573705545608064</v>
      </c>
      <c r="L54" s="6">
        <f>$J$3+[31]FormattedData!E21*$J$4+$M$4*$J$5+[31]FormattedData!E21^2*$J$6+$M$5*$J$7</f>
        <v>30.864527435903408</v>
      </c>
      <c r="M54" s="6">
        <f>$J$3+[31]FormattedData!F21*$J$4+$M$4*$J$5+[31]FormattedData!F21^2*$J$6+$M$5*$J$7</f>
        <v>31.154968909357358</v>
      </c>
      <c r="N54" s="6">
        <f>$J$3+[31]FormattedData!G21*$J$4+$M$4*$J$5+[31]FormattedData!G21^2*$J$6+$M$5*$J$7</f>
        <v>32.120359699238364</v>
      </c>
      <c r="O54" s="6">
        <f>$J$3+[31]FormattedData!H21*$J$4+$M$4*$J$5+[31]FormattedData!H21^2*$J$6+$M$5*$J$7</f>
        <v>32.120359699238364</v>
      </c>
      <c r="P54" s="6">
        <f>$J$3+[31]FormattedData!I21*$J$4+$M$4*$J$5+[31]FormattedData!I21^2*$J$6+$M$5*$J$7</f>
        <v>30.282503238471353</v>
      </c>
      <c r="Q54" s="6">
        <f>$J$3+[31]FormattedData!J21*$J$4+$M$4*$J$5+[31]FormattedData!J21^2*$J$6+$M$5*$J$7</f>
        <v>31.54163244776494</v>
      </c>
      <c r="R54" s="6">
        <f>$J$3+[31]FormattedData!K21*$J$4+$M$4*$J$5+[31]FormattedData!K21^2*$J$6+$M$5*$J$7</f>
        <v>31.154968909357358</v>
      </c>
      <c r="S54" s="6">
        <f>$J$3+[31]FormattedData!L21*$J$4+$M$4*$J$5+[31]FormattedData!L21^2*$J$6+$M$5*$J$7</f>
        <v>31.251698196766164</v>
      </c>
      <c r="T54" s="6">
        <f>$J$3+[31]FormattedData!M21*$J$4+$M$4*$J$5+[31]FormattedData!M21^2*$J$6+$M$5*$J$7</f>
        <v>31.154968909357358</v>
      </c>
      <c r="U54" s="6">
        <f>$J$3+[31]FormattedData!N21*$J$4+$M$4*$J$5+[31]FormattedData!N21^2*$J$6+$M$5*$J$7</f>
        <v>32.601470024006453</v>
      </c>
      <c r="V54" s="6">
        <f>$J$3+[31]FormattedData!O21*$J$4+$M$4*$J$5+[31]FormattedData!O21^2*$J$6+$M$5*$J$7</f>
        <v>31.34838521563702</v>
      </c>
      <c r="W54" s="5">
        <f t="shared" si="9"/>
        <v>31.34746235255885</v>
      </c>
      <c r="X54" s="4">
        <f t="shared" si="10"/>
        <v>0.19249900294652436</v>
      </c>
      <c r="Y54" s="3">
        <f t="shared" si="11"/>
        <v>30.282503238471353</v>
      </c>
      <c r="Z54" s="2">
        <f t="shared" si="12"/>
        <v>31.082358540993869</v>
      </c>
      <c r="AA54" s="3">
        <f t="shared" si="13"/>
        <v>31.203333553061761</v>
      </c>
      <c r="AB54" s="2">
        <f t="shared" si="14"/>
        <v>31.686314260633296</v>
      </c>
      <c r="AC54" s="2">
        <f t="shared" si="15"/>
        <v>32.601470024006453</v>
      </c>
      <c r="AD54" s="2">
        <f t="shared" si="16"/>
        <v>0.40349061233501315</v>
      </c>
      <c r="AE54" s="2">
        <f t="shared" si="17"/>
        <v>-0.13537539679720556</v>
      </c>
    </row>
    <row r="55" spans="2:31" x14ac:dyDescent="0.2">
      <c r="B55" s="1">
        <f>[31]FormattedData!A19</f>
        <v>106</v>
      </c>
      <c r="C55" s="1" t="str">
        <f>VLOOKUP($B55,[31]TrtCodes!$B$11:I62,2)</f>
        <v>NTH</v>
      </c>
      <c r="D55" s="1">
        <f>VLOOKUP($B55,[31]TrtCodes!$B$11:J62,3)</f>
        <v>9</v>
      </c>
      <c r="E55" s="1">
        <f>VLOOKUP($B55,[31]TrtCodes!$B$11:K62,4)</f>
        <v>2</v>
      </c>
      <c r="F55" s="1">
        <f>VLOOKUP($B55,[31]TrtCodes!$B$11:L62,5)</f>
        <v>2</v>
      </c>
      <c r="G55" s="1">
        <f>VLOOKUP($B55,[31]TrtCodes!$B$11:M62,6)</f>
        <v>2</v>
      </c>
      <c r="H55" s="1">
        <f>VLOOKUP($B55,[31]TrtCodes!$B$11:N62,7)</f>
        <v>2</v>
      </c>
      <c r="I55" s="1">
        <f>[31]FormattedData!B19</f>
        <v>2</v>
      </c>
      <c r="J55" s="4">
        <f>[31]FormattedData!C19</f>
        <v>13.116</v>
      </c>
      <c r="K55" s="6">
        <f>$J$3+[31]FormattedData!D19*$J$4+$M$4*$J$5+[31]FormattedData!D19^2*$J$6+$M$5*$J$7</f>
        <v>31.445029965969944</v>
      </c>
      <c r="L55" s="6">
        <f>$J$3+[31]FormattedData!E19*$J$4+$M$4*$J$5+[31]FormattedData!E19^2*$J$6+$M$5*$J$7</f>
        <v>33.369048579662973</v>
      </c>
      <c r="M55" s="6">
        <f>$J$3+[31]FormattedData!F19*$J$4+$M$4*$J$5+[31]FormattedData!F19^2*$J$6+$M$5*$J$7</f>
        <v>28.918529182486182</v>
      </c>
      <c r="N55" s="6">
        <f>$J$3+[31]FormattedData!G19*$J$4+$M$4*$J$5+[31]FormattedData!G19^2*$J$6+$M$5*$J$7</f>
        <v>29.113889841510666</v>
      </c>
      <c r="O55" s="6">
        <f>$J$3+[31]FormattedData!H19*$J$4+$M$4*$J$5+[31]FormattedData!H19^2*$J$6+$M$5*$J$7</f>
        <v>31.251698196766164</v>
      </c>
      <c r="P55" s="6">
        <f>$J$3+[31]FormattedData!I19*$J$4+$M$4*$J$5+[31]FormattedData!I19^2*$J$6+$M$5*$J$7</f>
        <v>32.793618274148173</v>
      </c>
      <c r="Q55" s="6">
        <f>$J$3+[31]FormattedData!J19*$J$4+$M$4*$J$5+[31]FormattedData!J19^2*$J$6+$M$5*$J$7</f>
        <v>31.445029965969944</v>
      </c>
      <c r="R55" s="6">
        <f>$J$3+[31]FormattedData!K19*$J$4+$M$4*$J$5+[31]FormattedData!K19^2*$J$6+$M$5*$J$7</f>
        <v>29.113889841510666</v>
      </c>
      <c r="S55" s="6">
        <f>$J$3+[31]FormattedData!L19*$J$4+$M$4*$J$5+[31]FormattedData!L19^2*$J$6+$M$5*$J$7</f>
        <v>31.34838521563702</v>
      </c>
      <c r="T55" s="6">
        <f>$J$3+[31]FormattedData!M19*$J$4+$M$4*$J$5+[31]FormattedData!M19^2*$J$6+$M$5*$J$7</f>
        <v>32.216666301267857</v>
      </c>
      <c r="U55" s="6">
        <f>$J$3+[31]FormattedData!N19*$J$4+$M$4*$J$5+[31]FormattedData!N19^2*$J$6+$M$5*$J$7</f>
        <v>33.656193107158309</v>
      </c>
      <c r="V55" s="6">
        <f>$J$3+[31]FormattedData!O19*$J$4+$M$4*$J$5+[31]FormattedData!O19^2*$J$6+$M$5*$J$7</f>
        <v>31.638192661022003</v>
      </c>
      <c r="W55" s="5">
        <f t="shared" si="9"/>
        <v>31.359180927759159</v>
      </c>
      <c r="X55" s="4">
        <f t="shared" si="10"/>
        <v>0.4626375832177656</v>
      </c>
      <c r="Y55" s="3">
        <f t="shared" si="11"/>
        <v>28.918529182486182</v>
      </c>
      <c r="Z55" s="2">
        <f t="shared" si="12"/>
        <v>30.717246107952288</v>
      </c>
      <c r="AA55" s="3">
        <f t="shared" si="13"/>
        <v>31.445029965969944</v>
      </c>
      <c r="AB55" s="2">
        <f t="shared" si="14"/>
        <v>32.360904294487938</v>
      </c>
      <c r="AC55" s="2">
        <f t="shared" si="15"/>
        <v>33.656193107158309</v>
      </c>
      <c r="AD55" s="2">
        <f t="shared" si="16"/>
        <v>-0.35340477638150991</v>
      </c>
      <c r="AE55" s="2">
        <f t="shared" si="17"/>
        <v>-0.80257843528741457</v>
      </c>
    </row>
    <row r="56" spans="2:31" x14ac:dyDescent="0.2">
      <c r="B56" s="1">
        <f>[31]FormattedData!A17</f>
        <v>107</v>
      </c>
      <c r="C56" s="1" t="str">
        <f>VLOOKUP($B56,[31]TrtCodes!$B$11:I60,2)</f>
        <v>NTL</v>
      </c>
      <c r="D56" s="1">
        <f>VLOOKUP($B56,[31]TrtCodes!$B$11:J60,3)</f>
        <v>10</v>
      </c>
      <c r="E56" s="1">
        <f>VLOOKUP($B56,[31]TrtCodes!$B$11:K60,4)</f>
        <v>2</v>
      </c>
      <c r="F56" s="1">
        <f>VLOOKUP($B56,[31]TrtCodes!$B$11:L60,5)</f>
        <v>2</v>
      </c>
      <c r="G56" s="1">
        <f>VLOOKUP($B56,[31]TrtCodes!$B$11:M60,6)</f>
        <v>1</v>
      </c>
      <c r="H56" s="1">
        <f>VLOOKUP($B56,[31]TrtCodes!$B$11:N60,7)</f>
        <v>2</v>
      </c>
      <c r="I56" s="1">
        <f>[31]FormattedData!B17</f>
        <v>2</v>
      </c>
      <c r="J56" s="4">
        <f>[31]FormattedData!C17</f>
        <v>13.099</v>
      </c>
      <c r="K56" s="6">
        <f>$J$3+[31]FormattedData!D17*$J$4+$M$4*$J$5+[31]FormattedData!D17^2*$J$6+$M$5*$J$7</f>
        <v>29.698957373673764</v>
      </c>
      <c r="L56" s="6">
        <f>$J$3+[31]FormattedData!E17*$J$4+$M$4*$J$5+[31]FormattedData!E17^2*$J$6+$M$5*$J$7</f>
        <v>29.990920514493244</v>
      </c>
      <c r="M56" s="6">
        <f>$J$3+[31]FormattedData!F17*$J$4+$M$4*$J$5+[31]FormattedData!F17^2*$J$6+$M$5*$J$7</f>
        <v>28.722999449309974</v>
      </c>
      <c r="N56" s="6">
        <f>$J$3+[31]FormattedData!G17*$J$4+$M$4*$J$5+[31]FormattedData!G17^2*$J$6+$M$5*$J$7</f>
        <v>30.573705545608064</v>
      </c>
      <c r="O56" s="6">
        <f>$J$3+[31]FormattedData!H17*$J$4+$M$4*$J$5+[31]FormattedData!H17^2*$J$6+$M$5*$J$7</f>
        <v>28.918529182486182</v>
      </c>
      <c r="P56" s="6">
        <f>$J$3+[31]FormattedData!I17*$J$4+$M$4*$J$5+[31]FormattedData!I17^2*$J$6+$M$5*$J$7</f>
        <v>29.309081426383422</v>
      </c>
      <c r="Q56" s="6">
        <f>$J$3+[31]FormattedData!J17*$J$4+$M$4*$J$5+[31]FormattedData!J17^2*$J$6+$M$5*$J$7</f>
        <v>30.476680378433759</v>
      </c>
      <c r="R56" s="6">
        <f>$J$3+[31]FormattedData!K17*$J$4+$M$4*$J$5+[31]FormattedData!K17^2*$J$6+$M$5*$J$7</f>
        <v>29.990920514493244</v>
      </c>
      <c r="S56" s="6">
        <f>$J$3+[31]FormattedData!L17*$J$4+$M$4*$J$5+[31]FormattedData!L17^2*$J$6+$M$5*$J$7</f>
        <v>29.601551789658078</v>
      </c>
      <c r="T56" s="6">
        <f>$J$3+[31]FormattedData!M17*$J$4+$M$4*$J$5+[31]FormattedData!M17^2*$J$6+$M$5*$J$7</f>
        <v>32.409152699713019</v>
      </c>
      <c r="U56" s="6">
        <f>$J$3+[31]FormattedData!N17*$J$4+$M$4*$J$5+[31]FormattedData!N17^2*$J$6+$M$5*$J$7</f>
        <v>34.896090131693228</v>
      </c>
      <c r="V56" s="6">
        <f>$J$3+[31]FormattedData!O17*$J$4+$M$4*$J$5+[31]FormattedData!O17^2*$J$6+$M$5*$J$7</f>
        <v>31.445029965969944</v>
      </c>
      <c r="W56" s="5">
        <f t="shared" si="9"/>
        <v>30.502801580992983</v>
      </c>
      <c r="X56" s="4">
        <f t="shared" si="10"/>
        <v>0.49934583352891909</v>
      </c>
      <c r="Y56" s="3">
        <f t="shared" si="11"/>
        <v>28.722999449309974</v>
      </c>
      <c r="Z56" s="2">
        <f t="shared" si="12"/>
        <v>29.528434198839413</v>
      </c>
      <c r="AA56" s="3">
        <f t="shared" si="13"/>
        <v>29.990920514493244</v>
      </c>
      <c r="AB56" s="2">
        <f t="shared" si="14"/>
        <v>30.791536650698532</v>
      </c>
      <c r="AC56" s="2">
        <f t="shared" si="15"/>
        <v>34.896090131693228</v>
      </c>
      <c r="AD56" s="2">
        <f t="shared" si="16"/>
        <v>1.6803706908773413</v>
      </c>
      <c r="AE56" s="2">
        <f t="shared" si="17"/>
        <v>3.1142116100065085</v>
      </c>
    </row>
    <row r="57" spans="2:31" x14ac:dyDescent="0.2">
      <c r="B57" s="1">
        <f>[31]FormattedData!A15</f>
        <v>108</v>
      </c>
      <c r="C57" s="1" t="str">
        <f>VLOOKUP($B57,[31]TrtCodes!$B$11:I58,2)</f>
        <v>FTH</v>
      </c>
      <c r="D57" s="1">
        <f>VLOOKUP($B57,[31]TrtCodes!$B$11:J58,3)</f>
        <v>3</v>
      </c>
      <c r="E57" s="1">
        <f>VLOOKUP($B57,[31]TrtCodes!$B$11:K58,4)</f>
        <v>1</v>
      </c>
      <c r="F57" s="1">
        <f>VLOOKUP($B57,[31]TrtCodes!$B$11:L58,5)</f>
        <v>2</v>
      </c>
      <c r="G57" s="1">
        <f>VLOOKUP($B57,[31]TrtCodes!$B$11:M58,6)</f>
        <v>2</v>
      </c>
      <c r="H57" s="1">
        <f>VLOOKUP($B57,[31]TrtCodes!$B$11:N58,7)</f>
        <v>2</v>
      </c>
      <c r="I57" s="1">
        <f>[31]FormattedData!B15</f>
        <v>2</v>
      </c>
      <c r="J57" s="4">
        <f>[31]FormattedData!C15</f>
        <v>13.082000000000001</v>
      </c>
      <c r="K57" s="6">
        <f>$J$3+[31]FormattedData!D15*$J$4+$M$4*$J$5+[31]FormattedData!D15^2*$J$6+$M$5*$J$7</f>
        <v>34.896090131693228</v>
      </c>
      <c r="L57" s="6">
        <f>$J$3+[31]FormattedData!E15*$J$4+$M$4*$J$5+[31]FormattedData!E15^2*$J$6+$M$5*$J$7</f>
        <v>30.864527435903408</v>
      </c>
      <c r="M57" s="6">
        <f>$J$3+[31]FormattedData!F15*$J$4+$M$4*$J$5+[31]FormattedData!F15^2*$J$6+$M$5*$J$7</f>
        <v>34.324717605819835</v>
      </c>
      <c r="N57" s="6">
        <f>$J$3+[31]FormattedData!G15*$J$4+$M$4*$J$5+[31]FormattedData!G15^2*$J$6+$M$5*$J$7</f>
        <v>35.750295794193008</v>
      </c>
      <c r="O57" s="6">
        <f>$J$3+[31]FormattedData!H15*$J$4+$M$4*$J$5+[31]FormattedData!H15^2*$J$6+$M$5*$J$7</f>
        <v>32.120359699238364</v>
      </c>
      <c r="P57" s="6">
        <f>$J$3+[31]FormattedData!I15*$J$4+$M$4*$J$5+[31]FormattedData!I15^2*$J$6+$M$5*$J$7</f>
        <v>35.086209492014255</v>
      </c>
      <c r="Q57" s="6">
        <f>$J$3+[31]FormattedData!J15*$J$4+$M$4*$J$5+[31]FormattedData!J15^2*$J$6+$M$5*$J$7</f>
        <v>33.656193107158309</v>
      </c>
      <c r="R57" s="6">
        <f>$J$3+[31]FormattedData!K15*$J$4+$M$4*$J$5+[31]FormattedData!K15^2*$J$6+$M$5*$J$7</f>
        <v>36.883910841746705</v>
      </c>
      <c r="S57" s="6">
        <f>$J$3+[31]FormattedData!L15*$J$4+$M$4*$J$5+[31]FormattedData!L15^2*$J$6+$M$5*$J$7</f>
        <v>33.464805690699343</v>
      </c>
      <c r="T57" s="6">
        <f>$J$3+[31]FormattedData!M15*$J$4+$M$4*$J$5+[31]FormattedData!M15^2*$J$6+$M$5*$J$7</f>
        <v>34.515344188596025</v>
      </c>
      <c r="U57" s="6">
        <f>$J$3+[31]FormattedData!N15*$J$4+$M$4*$J$5+[31]FormattedData!N15^2*$J$6+$M$5*$J$7</f>
        <v>34.038460717621049</v>
      </c>
      <c r="V57" s="6">
        <f>$J$3+[31]FormattedData!O15*$J$4+$M$4*$J$5+[31]FormattedData!O15^2*$J$6+$M$5*$J$7</f>
        <v>34.229340911624824</v>
      </c>
      <c r="W57" s="5">
        <f t="shared" si="9"/>
        <v>34.152521301359023</v>
      </c>
      <c r="X57" s="4">
        <f t="shared" si="10"/>
        <v>0.45459041131676869</v>
      </c>
      <c r="Y57" s="3">
        <f t="shared" si="11"/>
        <v>30.864527435903408</v>
      </c>
      <c r="Z57" s="2">
        <f t="shared" si="12"/>
        <v>33.608346253043564</v>
      </c>
      <c r="AA57" s="3">
        <f t="shared" si="13"/>
        <v>34.27702925872233</v>
      </c>
      <c r="AB57" s="2">
        <f t="shared" si="14"/>
        <v>34.943619971773487</v>
      </c>
      <c r="AC57" s="2">
        <f t="shared" si="15"/>
        <v>36.883910841746705</v>
      </c>
      <c r="AD57" s="2">
        <f t="shared" si="16"/>
        <v>-0.5210672498399388</v>
      </c>
      <c r="AE57" s="2">
        <f t="shared" si="17"/>
        <v>1.0267397168199279</v>
      </c>
    </row>
    <row r="58" spans="2:31" x14ac:dyDescent="0.2">
      <c r="B58" s="1">
        <f>[31]FormattedData!A31</f>
        <v>201</v>
      </c>
      <c r="C58" s="1" t="str">
        <f>VLOOKUP($B58,[31]TrtCodes!$B$11:I74,2)</f>
        <v>NDL</v>
      </c>
      <c r="D58" s="1">
        <f>VLOOKUP($B58,[31]TrtCodes!$B$11:J74,3)</f>
        <v>12</v>
      </c>
      <c r="E58" s="1">
        <f>VLOOKUP($B58,[31]TrtCodes!$B$11:K74,4)</f>
        <v>2</v>
      </c>
      <c r="F58" s="1">
        <f>VLOOKUP($B58,[31]TrtCodes!$B$11:L74,5)</f>
        <v>3</v>
      </c>
      <c r="G58" s="1">
        <f>VLOOKUP($B58,[31]TrtCodes!$B$11:M74,6)</f>
        <v>1</v>
      </c>
      <c r="H58" s="1">
        <f>VLOOKUP($B58,[31]TrtCodes!$B$11:N74,7)</f>
        <v>1</v>
      </c>
      <c r="I58" s="1">
        <f>[31]FormattedData!B31</f>
        <v>2</v>
      </c>
      <c r="J58" s="4">
        <f>[31]FormattedData!C31</f>
        <v>13.221</v>
      </c>
      <c r="K58" s="6">
        <f>$J$3+[31]FormattedData!D31*$J$4+$M$4*$J$5+[31]FormattedData!D31^2*$J$6+$M$5*$J$7</f>
        <v>29.601551789658078</v>
      </c>
      <c r="L58" s="6">
        <f>$J$3+[31]FormattedData!E31*$J$4+$M$4*$J$5+[31]FormattedData!E31^2*$J$6+$M$5*$J$7</f>
        <v>30.573705545608064</v>
      </c>
      <c r="M58" s="6">
        <f>$J$3+[31]FormattedData!F31*$J$4+$M$4*$J$5+[31]FormattedData!F31^2*$J$6+$M$5*$J$7</f>
        <v>30.379612942721522</v>
      </c>
      <c r="N58" s="6">
        <f>$J$3+[31]FormattedData!G31*$J$4+$M$4*$J$5+[31]FormattedData!G31^2*$J$6+$M$5*$J$7</f>
        <v>32.02401082867096</v>
      </c>
      <c r="O58" s="6">
        <f>$J$3+[31]FormattedData!H31*$J$4+$M$4*$J$5+[31]FormattedData!H31^2*$J$6+$M$5*$J$7</f>
        <v>33.08152363532627</v>
      </c>
      <c r="P58" s="6">
        <f>$J$3+[31]FormattedData!I31*$J$4+$M$4*$J$5+[31]FormattedData!I31^2*$J$6+$M$5*$J$7</f>
        <v>35.181205769367871</v>
      </c>
      <c r="Q58" s="6">
        <f>$J$3+[31]FormattedData!J31*$J$4+$M$4*$J$5+[31]FormattedData!J31^2*$J$6+$M$5*$J$7</f>
        <v>31.831186281922349</v>
      </c>
      <c r="R58" s="6">
        <f>$J$3+[31]FormattedData!K31*$J$4+$M$4*$J$5+[31]FormattedData!K31^2*$J$6+$M$5*$J$7</f>
        <v>30.670688444244441</v>
      </c>
      <c r="S58" s="6">
        <f>$J$3+[31]FormattedData!L31*$J$4+$M$4*$J$5+[31]FormattedData!L31^2*$J$6+$M$5*$J$7</f>
        <v>29.990920514493244</v>
      </c>
      <c r="T58" s="6">
        <f>$J$3+[31]FormattedData!M31*$J$4+$M$4*$J$5+[31]FormattedData!M31^2*$J$6+$M$5*$J$7</f>
        <v>30.573705545608064</v>
      </c>
      <c r="U58" s="6">
        <f>$J$3+[31]FormattedData!N31*$J$4+$M$4*$J$5+[31]FormattedData!N31^2*$J$6+$M$5*$J$7</f>
        <v>31.927619689565621</v>
      </c>
      <c r="V58" s="6">
        <f>$J$3+[31]FormattedData!O31*$J$4+$M$4*$J$5+[31]FormattedData!O31^2*$J$6+$M$5*$J$7</f>
        <v>30.864527435903408</v>
      </c>
      <c r="W58" s="5">
        <f t="shared" si="9"/>
        <v>31.391688201924158</v>
      </c>
      <c r="X58" s="4">
        <f t="shared" si="10"/>
        <v>0.44740976241740515</v>
      </c>
      <c r="Y58" s="3">
        <f t="shared" si="11"/>
        <v>29.601551789658078</v>
      </c>
      <c r="Z58" s="2">
        <f t="shared" si="12"/>
        <v>30.525182394886428</v>
      </c>
      <c r="AA58" s="3">
        <f t="shared" si="13"/>
        <v>30.767607940073923</v>
      </c>
      <c r="AB58" s="2">
        <f t="shared" si="14"/>
        <v>31.951717474341955</v>
      </c>
      <c r="AC58" s="2">
        <f t="shared" si="15"/>
        <v>35.181205769367871</v>
      </c>
      <c r="AD58" s="2">
        <f t="shared" si="16"/>
        <v>1.424041743860039</v>
      </c>
      <c r="AE58" s="2">
        <f t="shared" si="17"/>
        <v>2.2768808859482599</v>
      </c>
    </row>
    <row r="59" spans="2:31" x14ac:dyDescent="0.2">
      <c r="B59" s="1">
        <f>[31]FormattedData!A33</f>
        <v>202</v>
      </c>
      <c r="C59" s="1" t="str">
        <f>VLOOKUP($B59,[31]TrtCodes!$B$11:I76,2)</f>
        <v>NTH</v>
      </c>
      <c r="D59" s="1">
        <f>VLOOKUP($B59,[31]TrtCodes!$B$11:J76,3)</f>
        <v>9</v>
      </c>
      <c r="E59" s="1">
        <f>VLOOKUP($B59,[31]TrtCodes!$B$11:K76,4)</f>
        <v>2</v>
      </c>
      <c r="F59" s="1">
        <f>VLOOKUP($B59,[31]TrtCodes!$B$11:L76,5)</f>
        <v>2</v>
      </c>
      <c r="G59" s="1">
        <f>VLOOKUP($B59,[31]TrtCodes!$B$11:M76,6)</f>
        <v>2</v>
      </c>
      <c r="H59" s="1">
        <f>VLOOKUP($B59,[31]TrtCodes!$B$11:N76,7)</f>
        <v>1</v>
      </c>
      <c r="I59" s="1">
        <f>[31]FormattedData!B33</f>
        <v>2</v>
      </c>
      <c r="J59" s="4">
        <f>[31]FormattedData!C33</f>
        <v>13.236000000000001</v>
      </c>
      <c r="K59" s="6">
        <f>$J$3+[31]FormattedData!D33*$J$4+$M$4*$J$5+[31]FormattedData!D33^2*$J$6+$M$5*$J$7</f>
        <v>32.216666301267857</v>
      </c>
      <c r="L59" s="6">
        <f>$J$3+[31]FormattedData!E33*$J$4+$M$4*$J$5+[31]FormattedData!E33^2*$J$6+$M$5*$J$7</f>
        <v>31.638192661022003</v>
      </c>
      <c r="M59" s="6">
        <f>$J$3+[31]FormattedData!F33*$J$4+$M$4*$J$5+[31]FormattedData!F33^2*$J$6+$M$5*$J$7</f>
        <v>31.831186281922349</v>
      </c>
      <c r="N59" s="6">
        <f>$J$3+[31]FormattedData!G33*$J$4+$M$4*$J$5+[31]FormattedData!G33^2*$J$6+$M$5*$J$7</f>
        <v>30.088157024357212</v>
      </c>
      <c r="O59" s="6">
        <f>$J$3+[31]FormattedData!H33*$J$4+$M$4*$J$5+[31]FormattedData!H33^2*$J$6+$M$5*$J$7</f>
        <v>30.088157024357212</v>
      </c>
      <c r="P59" s="6">
        <f>$J$3+[31]FormattedData!I33*$J$4+$M$4*$J$5+[31]FormattedData!I33^2*$J$6+$M$5*$J$7</f>
        <v>29.698957373673764</v>
      </c>
      <c r="Q59" s="6">
        <f>$J$3+[31]FormattedData!J33*$J$4+$M$4*$J$5+[31]FormattedData!J33^2*$J$6+$M$5*$J$7</f>
        <v>29.406613816012907</v>
      </c>
      <c r="R59" s="6">
        <f>$J$3+[31]FormattedData!K33*$J$4+$M$4*$J$5+[31]FormattedData!K33^2*$J$6+$M$5*$J$7</f>
        <v>29.89364173609135</v>
      </c>
      <c r="S59" s="6">
        <f>$J$3+[31]FormattedData!L33*$J$4+$M$4*$J$5+[31]FormattedData!L33^2*$J$6+$M$5*$J$7</f>
        <v>30.961383528925989</v>
      </c>
      <c r="T59" s="6">
        <f>$J$3+[31]FormattedData!M33*$J$4+$M$4*$J$5+[31]FormattedData!M33^2*$J$6+$M$5*$J$7</f>
        <v>30.379612942721522</v>
      </c>
      <c r="U59" s="6">
        <f>$J$3+[31]FormattedData!N33*$J$4+$M$4*$J$5+[31]FormattedData!N33^2*$J$6+$M$5*$J$7</f>
        <v>30.767629074342896</v>
      </c>
      <c r="V59" s="6">
        <f>$J$3+[31]FormattedData!O33*$J$4+$M$4*$J$5+[31]FormattedData!O33^2*$J$6+$M$5*$J$7</f>
        <v>30.573705545608064</v>
      </c>
      <c r="W59" s="5">
        <f t="shared" si="9"/>
        <v>30.628658609191927</v>
      </c>
      <c r="X59" s="4">
        <f t="shared" si="10"/>
        <v>0.25620088701826216</v>
      </c>
      <c r="Y59" s="3">
        <f t="shared" si="11"/>
        <v>29.406613816012907</v>
      </c>
      <c r="Z59" s="2">
        <f t="shared" si="12"/>
        <v>30.039528202290747</v>
      </c>
      <c r="AA59" s="3">
        <f t="shared" si="13"/>
        <v>30.476659244164793</v>
      </c>
      <c r="AB59" s="2">
        <f t="shared" si="14"/>
        <v>31.130585811949992</v>
      </c>
      <c r="AC59" s="2">
        <f t="shared" si="15"/>
        <v>32.216666301267857</v>
      </c>
      <c r="AD59" s="2">
        <f t="shared" si="16"/>
        <v>0.53914099050740261</v>
      </c>
      <c r="AE59" s="2">
        <f t="shared" si="17"/>
        <v>-0.74540048787126656</v>
      </c>
    </row>
    <row r="60" spans="2:31" x14ac:dyDescent="0.2">
      <c r="B60" s="1">
        <f>[31]FormattedData!A35</f>
        <v>203</v>
      </c>
      <c r="C60" s="1" t="str">
        <f>VLOOKUP($B60,[31]TrtCodes!$B$11:I78,2)</f>
        <v>FTH</v>
      </c>
      <c r="D60" s="1">
        <f>VLOOKUP($B60,[31]TrtCodes!$B$11:J78,3)</f>
        <v>3</v>
      </c>
      <c r="E60" s="1">
        <f>VLOOKUP($B60,[31]TrtCodes!$B$11:K78,4)</f>
        <v>1</v>
      </c>
      <c r="F60" s="1">
        <f>VLOOKUP($B60,[31]TrtCodes!$B$11:L78,5)</f>
        <v>2</v>
      </c>
      <c r="G60" s="1">
        <f>VLOOKUP($B60,[31]TrtCodes!$B$11:M78,6)</f>
        <v>2</v>
      </c>
      <c r="H60" s="1">
        <f>VLOOKUP($B60,[31]TrtCodes!$B$11:N78,7)</f>
        <v>1</v>
      </c>
      <c r="I60" s="1">
        <f>[31]FormattedData!B35</f>
        <v>2</v>
      </c>
      <c r="J60" s="4">
        <f>[31]FormattedData!C35</f>
        <v>13.253</v>
      </c>
      <c r="K60" s="6">
        <f>$J$3+[31]FormattedData!D35*$J$4+$M$4*$J$5+[31]FormattedData!D35^2*$J$6+$M$5*$J$7</f>
        <v>32.697565283346286</v>
      </c>
      <c r="L60" s="6">
        <f>$J$3+[31]FormattedData!E35*$J$4+$M$4*$J$5+[31]FormattedData!E35^2*$J$6+$M$5*$J$7</f>
        <v>29.406613816012907</v>
      </c>
      <c r="M60" s="6">
        <f>$J$3+[31]FormattedData!F35*$J$4+$M$4*$J$5+[31]FormattedData!F35^2*$J$6+$M$5*$J$7</f>
        <v>30.961383528925989</v>
      </c>
      <c r="N60" s="6">
        <f>$J$3+[31]FormattedData!G35*$J$4+$M$4*$J$5+[31]FormattedData!G35^2*$J$6+$M$5*$J$7</f>
        <v>31.445029965969944</v>
      </c>
      <c r="O60" s="6">
        <f>$J$3+[31]FormattedData!H35*$J$4+$M$4*$J$5+[31]FormattedData!H35^2*$J$6+$M$5*$J$7</f>
        <v>31.34838521563702</v>
      </c>
      <c r="P60" s="6">
        <f>$J$3+[31]FormattedData!I35*$J$4+$M$4*$J$5+[31]FormattedData!I35^2*$J$6+$M$5*$J$7</f>
        <v>33.273249200088671</v>
      </c>
      <c r="Q60" s="6">
        <f>$J$3+[31]FormattedData!J35*$J$4+$M$4*$J$5+[31]FormattedData!J35^2*$J$6+$M$5*$J$7</f>
        <v>30.476680378433759</v>
      </c>
      <c r="R60" s="6">
        <f>$J$3+[31]FormattedData!K35*$J$4+$M$4*$J$5+[31]FormattedData!K35^2*$J$6+$M$5*$J$7</f>
        <v>29.990920514493244</v>
      </c>
      <c r="S60" s="6">
        <f>$J$3+[31]FormattedData!L35*$J$4+$M$4*$J$5+[31]FormattedData!L35^2*$J$6+$M$5*$J$7</f>
        <v>30.379612942721522</v>
      </c>
      <c r="T60" s="6">
        <f>$J$3+[31]FormattedData!M35*$J$4+$M$4*$J$5+[31]FormattedData!M35^2*$J$6+$M$5*$J$7</f>
        <v>31.831186281922349</v>
      </c>
      <c r="U60" s="6">
        <f>$J$3+[31]FormattedData!N35*$J$4+$M$4*$J$5+[31]FormattedData!N35^2*$J$6+$M$5*$J$7</f>
        <v>30.961383528925989</v>
      </c>
      <c r="V60" s="6">
        <f>$J$3+[31]FormattedData!O35*$J$4+$M$4*$J$5+[31]FormattedData!O35^2*$J$6+$M$5*$J$7</f>
        <v>30.573705545608064</v>
      </c>
      <c r="W60" s="5">
        <f t="shared" si="9"/>
        <v>31.112143016840474</v>
      </c>
      <c r="X60" s="4">
        <f t="shared" si="10"/>
        <v>0.31753484178455804</v>
      </c>
      <c r="Y60" s="3">
        <f t="shared" si="11"/>
        <v>29.406613816012907</v>
      </c>
      <c r="Z60" s="2">
        <f t="shared" si="12"/>
        <v>30.452413519505701</v>
      </c>
      <c r="AA60" s="3">
        <f t="shared" si="13"/>
        <v>30.961383528925989</v>
      </c>
      <c r="AB60" s="2">
        <f t="shared" si="14"/>
        <v>31.541569044958045</v>
      </c>
      <c r="AC60" s="2">
        <f t="shared" si="15"/>
        <v>33.273249200088671</v>
      </c>
      <c r="AD60" s="2">
        <f t="shared" si="16"/>
        <v>0.59974232361524882</v>
      </c>
      <c r="AE60" s="2">
        <f t="shared" si="17"/>
        <v>0.16353232064254364</v>
      </c>
    </row>
    <row r="61" spans="2:31" x14ac:dyDescent="0.2">
      <c r="B61" s="1">
        <f>[31]FormattedData!A37</f>
        <v>204</v>
      </c>
      <c r="C61" s="1" t="str">
        <f>VLOOKUP($B61,[31]TrtCodes!$B$11:I80,2)</f>
        <v>NDH</v>
      </c>
      <c r="D61" s="1">
        <f>VLOOKUP($B61,[31]TrtCodes!$B$11:J80,3)</f>
        <v>11</v>
      </c>
      <c r="E61" s="1">
        <f>VLOOKUP($B61,[31]TrtCodes!$B$11:K80,4)</f>
        <v>2</v>
      </c>
      <c r="F61" s="1">
        <f>VLOOKUP($B61,[31]TrtCodes!$B$11:L80,5)</f>
        <v>3</v>
      </c>
      <c r="G61" s="1">
        <f>VLOOKUP($B61,[31]TrtCodes!$B$11:M80,6)</f>
        <v>2</v>
      </c>
      <c r="H61" s="1">
        <f>VLOOKUP($B61,[31]TrtCodes!$B$11:N80,7)</f>
        <v>1</v>
      </c>
      <c r="I61" s="1">
        <f>[31]FormattedData!B37</f>
        <v>2</v>
      </c>
      <c r="J61" s="4">
        <f>[31]FormattedData!C37</f>
        <v>13.269</v>
      </c>
      <c r="K61" s="6">
        <f>$J$3+[31]FormattedData!D37*$J$4+$M$4*$J$5+[31]FormattedData!D37^2*$J$6+$M$5*$J$7</f>
        <v>38.011439219838323</v>
      </c>
      <c r="L61" s="6">
        <f>$J$3+[31]FormattedData!E37*$J$4+$M$4*$J$5+[31]FormattedData!E37^2*$J$6+$M$5*$J$7</f>
        <v>32.216666301267857</v>
      </c>
      <c r="M61" s="6">
        <f>$J$3+[31]FormattedData!F37*$J$4+$M$4*$J$5+[31]FormattedData!F37^2*$J$6+$M$5*$J$7</f>
        <v>34.896090131693228</v>
      </c>
      <c r="N61" s="6">
        <f>$J$3+[31]FormattedData!G37*$J$4+$M$4*$J$5+[31]FormattedData!G37^2*$J$6+$M$5*$J$7</f>
        <v>30.379612942721522</v>
      </c>
      <c r="O61" s="6">
        <f>$J$3+[31]FormattedData!H37*$J$4+$M$4*$J$5+[31]FormattedData!H37^2*$J$6+$M$5*$J$7</f>
        <v>35.276159778183562</v>
      </c>
      <c r="P61" s="6">
        <f>$J$3+[31]FormattedData!I37*$J$4+$M$4*$J$5+[31]FormattedData!I37^2*$J$6+$M$5*$J$7</f>
        <v>30.767629074342896</v>
      </c>
      <c r="Q61" s="6">
        <f>$J$3+[31]FormattedData!J37*$J$4+$M$4*$J$5+[31]FormattedData!J37^2*$J$6+$M$5*$J$7</f>
        <v>32.505332496128702</v>
      </c>
      <c r="R61" s="6">
        <f>$J$3+[31]FormattedData!K37*$J$4+$M$4*$J$5+[31]FormattedData!K37^2*$J$6+$M$5*$J$7</f>
        <v>32.120359699238364</v>
      </c>
      <c r="S61" s="6">
        <f>$J$3+[31]FormattedData!L37*$J$4+$M$4*$J$5+[31]FormattedData!L37^2*$J$6+$M$5*$J$7</f>
        <v>33.75182341258089</v>
      </c>
      <c r="T61" s="6">
        <f>$J$3+[31]FormattedData!M37*$J$4+$M$4*$J$5+[31]FormattedData!M37^2*$J$6+$M$5*$J$7</f>
        <v>30.864527435903408</v>
      </c>
      <c r="U61" s="6">
        <f>$J$3+[31]FormattedData!N37*$J$4+$M$4*$J$5+[31]FormattedData!N37^2*$J$6+$M$5*$J$7</f>
        <v>33.273249200088671</v>
      </c>
      <c r="V61" s="6">
        <f>$J$3+[31]FormattedData!O37*$J$4+$M$4*$J$5+[31]FormattedData!O37^2*$J$6+$M$5*$J$7</f>
        <v>33.177407551976437</v>
      </c>
      <c r="W61" s="5">
        <f t="shared" si="9"/>
        <v>33.103358103663659</v>
      </c>
      <c r="X61" s="4">
        <f t="shared" si="10"/>
        <v>0.63051201204677687</v>
      </c>
      <c r="Y61" s="3">
        <f t="shared" si="11"/>
        <v>30.379612942721522</v>
      </c>
      <c r="Z61" s="2">
        <f t="shared" si="12"/>
        <v>31.806401633404626</v>
      </c>
      <c r="AA61" s="3">
        <f t="shared" si="13"/>
        <v>32.841370024052566</v>
      </c>
      <c r="AB61" s="2">
        <f t="shared" si="14"/>
        <v>34.037890092358978</v>
      </c>
      <c r="AC61" s="2">
        <f t="shared" si="15"/>
        <v>38.011439219838323</v>
      </c>
      <c r="AD61" s="2">
        <f t="shared" si="16"/>
        <v>0.9265437376827208</v>
      </c>
      <c r="AE61" s="2">
        <f t="shared" si="17"/>
        <v>0.98440311788441637</v>
      </c>
    </row>
    <row r="62" spans="2:31" x14ac:dyDescent="0.2">
      <c r="B62" s="1">
        <f>[31]FormattedData!A39</f>
        <v>205</v>
      </c>
      <c r="C62" s="1" t="str">
        <f>VLOOKUP($B62,[31]TrtCodes!$B$11:I82,2)</f>
        <v>FSH</v>
      </c>
      <c r="D62" s="1">
        <f>VLOOKUP($B62,[31]TrtCodes!$B$11:J82,3)</f>
        <v>1</v>
      </c>
      <c r="E62" s="1">
        <f>VLOOKUP($B62,[31]TrtCodes!$B$11:K82,4)</f>
        <v>1</v>
      </c>
      <c r="F62" s="1">
        <f>VLOOKUP($B62,[31]TrtCodes!$B$11:L82,5)</f>
        <v>1</v>
      </c>
      <c r="G62" s="1">
        <f>VLOOKUP($B62,[31]TrtCodes!$B$11:M82,6)</f>
        <v>2</v>
      </c>
      <c r="H62" s="1">
        <f>VLOOKUP($B62,[31]TrtCodes!$B$11:N82,7)</f>
        <v>2</v>
      </c>
      <c r="I62" s="1">
        <f>[31]FormattedData!B39</f>
        <v>2</v>
      </c>
      <c r="J62" s="4">
        <f>[31]FormattedData!C39</f>
        <v>13.286</v>
      </c>
      <c r="K62" s="6">
        <f>$J$3+[31]FormattedData!D39*$J$4+$M$4*$J$5+[31]FormattedData!D39^2*$J$6+$M$5*$J$7</f>
        <v>32.889628996412135</v>
      </c>
      <c r="L62" s="6">
        <f>$J$3+[31]FormattedData!E39*$J$4+$M$4*$J$5+[31]FormattedData!E39^2*$J$6+$M$5*$J$7</f>
        <v>31.638192661022003</v>
      </c>
      <c r="M62" s="6">
        <f>$J$3+[31]FormattedData!F39*$J$4+$M$4*$J$5+[31]FormattedData!F39^2*$J$6+$M$5*$J$7</f>
        <v>32.312930634759404</v>
      </c>
      <c r="N62" s="6">
        <f>$J$3+[31]FormattedData!G39*$J$4+$M$4*$J$5+[31]FormattedData!G39^2*$J$6+$M$5*$J$7</f>
        <v>32.505332496128702</v>
      </c>
      <c r="O62" s="6">
        <f>$J$3+[31]FormattedData!H39*$J$4+$M$4*$J$5+[31]FormattedData!H39^2*$J$6+$M$5*$J$7</f>
        <v>33.177407551976437</v>
      </c>
      <c r="P62" s="6">
        <f>$J$3+[31]FormattedData!I39*$J$4+$M$4*$J$5+[31]FormattedData!I39^2*$J$6+$M$5*$J$7</f>
        <v>37.07225492347461</v>
      </c>
      <c r="Q62" s="6">
        <f>$J$3+[31]FormattedData!J39*$J$4+$M$4*$J$5+[31]FormattedData!J39^2*$J$6+$M$5*$J$7</f>
        <v>32.793618274148173</v>
      </c>
      <c r="R62" s="6">
        <f>$J$3+[31]FormattedData!K39*$J$4+$M$4*$J$5+[31]FormattedData!K39^2*$J$6+$M$5*$J$7</f>
        <v>32.216666301267857</v>
      </c>
      <c r="S62" s="6">
        <f>$J$3+[31]FormattedData!L39*$J$4+$M$4*$J$5+[31]FormattedData!L39^2*$J$6+$M$5*$J$7</f>
        <v>32.697565283346286</v>
      </c>
      <c r="T62" s="6">
        <f>$J$3+[31]FormattedData!M39*$J$4+$M$4*$J$5+[31]FormattedData!M39^2*$J$6+$M$5*$J$7</f>
        <v>33.75182341258089</v>
      </c>
      <c r="U62" s="6">
        <f>$J$3+[31]FormattedData!N39*$J$4+$M$4*$J$5+[31]FormattedData!N39^2*$J$6+$M$5*$J$7</f>
        <v>33.560520533197803</v>
      </c>
      <c r="V62" s="6">
        <f>$J$3+[31]FormattedData!O39*$J$4+$M$4*$J$5+[31]FormattedData!O39^2*$J$6+$M$5*$J$7</f>
        <v>34.038460717621049</v>
      </c>
      <c r="W62" s="5">
        <f t="shared" si="9"/>
        <v>33.221200148827947</v>
      </c>
      <c r="X62" s="4">
        <f t="shared" si="10"/>
        <v>0.40185681720197525</v>
      </c>
      <c r="Y62" s="3">
        <f t="shared" si="11"/>
        <v>31.638192661022003</v>
      </c>
      <c r="Z62" s="2">
        <f t="shared" si="12"/>
        <v>32.457232030786379</v>
      </c>
      <c r="AA62" s="3">
        <f t="shared" si="13"/>
        <v>32.841623635280158</v>
      </c>
      <c r="AB62" s="2">
        <f t="shared" si="14"/>
        <v>33.608346253043578</v>
      </c>
      <c r="AC62" s="2">
        <f t="shared" si="15"/>
        <v>37.07225492347461</v>
      </c>
      <c r="AD62" s="2">
        <f t="shared" si="16"/>
        <v>2.0823324690316385</v>
      </c>
      <c r="AE62" s="2">
        <f t="shared" si="17"/>
        <v>5.569252256418336</v>
      </c>
    </row>
    <row r="63" spans="2:31" x14ac:dyDescent="0.2">
      <c r="B63" s="1">
        <f>[31]FormattedData!A41</f>
        <v>206</v>
      </c>
      <c r="C63" s="1" t="str">
        <f>VLOOKUP($B63,[31]TrtCodes!$B$11:I84,2)</f>
        <v>NSL</v>
      </c>
      <c r="D63" s="1">
        <f>VLOOKUP($B63,[31]TrtCodes!$B$11:J84,3)</f>
        <v>8</v>
      </c>
      <c r="E63" s="1">
        <f>VLOOKUP($B63,[31]TrtCodes!$B$11:K84,4)</f>
        <v>2</v>
      </c>
      <c r="F63" s="1">
        <f>VLOOKUP($B63,[31]TrtCodes!$B$11:L84,5)</f>
        <v>1</v>
      </c>
      <c r="G63" s="1">
        <f>VLOOKUP($B63,[31]TrtCodes!$B$11:M84,6)</f>
        <v>1</v>
      </c>
      <c r="H63" s="1">
        <f>VLOOKUP($B63,[31]TrtCodes!$B$11:N84,7)</f>
        <v>2</v>
      </c>
      <c r="I63" s="1">
        <f>[31]FormattedData!B41</f>
        <v>2</v>
      </c>
      <c r="J63" s="4">
        <f>[31]FormattedData!C41</f>
        <v>13.301</v>
      </c>
      <c r="K63" s="6">
        <f>$J$3+[31]FormattedData!D41*$J$4+$M$4*$J$5+[31]FormattedData!D41^2*$J$6+$M$5*$J$7</f>
        <v>31.638192661022003</v>
      </c>
      <c r="L63" s="6">
        <f>$J$3+[31]FormattedData!E41*$J$4+$M$4*$J$5+[31]FormattedData!E41^2*$J$6+$M$5*$J$7</f>
        <v>32.409152699713019</v>
      </c>
      <c r="M63" s="6">
        <f>$J$3+[31]FormattedData!F41*$J$4+$M$4*$J$5+[31]FormattedData!F41^2*$J$6+$M$5*$J$7</f>
        <v>31.34838521563702</v>
      </c>
      <c r="N63" s="6">
        <f>$J$3+[31]FormattedData!G41*$J$4+$M$4*$J$5+[31]FormattedData!G41^2*$J$6+$M$5*$J$7</f>
        <v>30.476680378433759</v>
      </c>
      <c r="O63" s="6">
        <f>$J$3+[31]FormattedData!H41*$J$4+$M$4*$J$5+[31]FormattedData!H41^2*$J$6+$M$5*$J$7</f>
        <v>29.504103937104453</v>
      </c>
      <c r="P63" s="6">
        <f>$J$3+[31]FormattedData!I41*$J$4+$M$4*$J$5+[31]FormattedData!I41^2*$J$6+$M$5*$J$7</f>
        <v>30.282503238471353</v>
      </c>
      <c r="Q63" s="6">
        <f>$J$3+[31]FormattedData!J41*$J$4+$M$4*$J$5+[31]FormattedData!J41^2*$J$6+$M$5*$J$7</f>
        <v>29.016230646267388</v>
      </c>
      <c r="R63" s="6">
        <f>$J$3+[31]FormattedData!K41*$J$4+$M$4*$J$5+[31]FormattedData!K41^2*$J$6+$M$5*$J$7</f>
        <v>30.088157024357212</v>
      </c>
      <c r="S63" s="6">
        <f>$J$3+[31]FormattedData!L41*$J$4+$M$4*$J$5+[31]FormattedData!L41^2*$J$6+$M$5*$J$7</f>
        <v>29.309081426383422</v>
      </c>
      <c r="T63" s="6">
        <f>$J$3+[31]FormattedData!M41*$J$4+$M$4*$J$5+[31]FormattedData!M41^2*$J$6+$M$5*$J$7</f>
        <v>30.088157024357212</v>
      </c>
      <c r="U63" s="6">
        <f>$J$3+[31]FormattedData!N41*$J$4+$M$4*$J$5+[31]FormattedData!N41^2*$J$6+$M$5*$J$7</f>
        <v>28.331432760502388</v>
      </c>
      <c r="V63" s="6">
        <f>$J$3+[31]FormattedData!O41*$J$4+$M$4*$J$5+[31]FormattedData!O41^2*$J$6+$M$5*$J$7</f>
        <v>28.331432760502388</v>
      </c>
      <c r="W63" s="5">
        <f t="shared" si="9"/>
        <v>30.068625814395961</v>
      </c>
      <c r="X63" s="4">
        <f t="shared" si="10"/>
        <v>0.3675390409922808</v>
      </c>
      <c r="Y63" s="3">
        <f t="shared" si="11"/>
        <v>28.331432760502388</v>
      </c>
      <c r="Z63" s="2">
        <f t="shared" si="12"/>
        <v>29.235868731354415</v>
      </c>
      <c r="AA63" s="3">
        <f t="shared" si="13"/>
        <v>30.088157024357212</v>
      </c>
      <c r="AB63" s="2">
        <f t="shared" si="14"/>
        <v>30.694606587734576</v>
      </c>
      <c r="AC63" s="2">
        <f t="shared" si="15"/>
        <v>32.409152699713019</v>
      </c>
      <c r="AD63" s="2">
        <f t="shared" si="16"/>
        <v>0.34849805548274143</v>
      </c>
      <c r="AE63" s="2">
        <f t="shared" si="17"/>
        <v>-0.51529642793055874</v>
      </c>
    </row>
    <row r="64" spans="2:31" x14ac:dyDescent="0.2">
      <c r="B64" s="1">
        <f>[31]FormattedData!A43</f>
        <v>207</v>
      </c>
      <c r="C64" s="1" t="str">
        <f>VLOOKUP($B64,[31]TrtCodes!$B$11:I86,2)</f>
        <v>FTL</v>
      </c>
      <c r="D64" s="1">
        <f>VLOOKUP($B64,[31]TrtCodes!$B$11:J86,3)</f>
        <v>4</v>
      </c>
      <c r="E64" s="1">
        <f>VLOOKUP($B64,[31]TrtCodes!$B$11:K86,4)</f>
        <v>1</v>
      </c>
      <c r="F64" s="1">
        <f>VLOOKUP($B64,[31]TrtCodes!$B$11:L86,5)</f>
        <v>2</v>
      </c>
      <c r="G64" s="1">
        <f>VLOOKUP($B64,[31]TrtCodes!$B$11:M86,6)</f>
        <v>1</v>
      </c>
      <c r="H64" s="1">
        <f>VLOOKUP($B64,[31]TrtCodes!$B$11:N86,7)</f>
        <v>2</v>
      </c>
      <c r="I64" s="1">
        <f>[31]FormattedData!B43</f>
        <v>2</v>
      </c>
      <c r="J64" s="4">
        <f>[31]FormattedData!C43</f>
        <v>13.317</v>
      </c>
      <c r="K64" s="6">
        <f>$J$3+[31]FormattedData!D43*$J$4+$M$4*$J$5+[31]FormattedData!D43^2*$J$6+$M$5*$J$7</f>
        <v>31.251698196766164</v>
      </c>
      <c r="L64" s="6">
        <f>$J$3+[31]FormattedData!E43*$J$4+$M$4*$J$5+[31]FormattedData!E43^2*$J$6+$M$5*$J$7</f>
        <v>38.105125172516068</v>
      </c>
      <c r="M64" s="6">
        <f>$J$3+[31]FormattedData!F43*$J$4+$M$4*$J$5+[31]FormattedData!F43^2*$J$6+$M$5*$J$7</f>
        <v>31.445029965969944</v>
      </c>
      <c r="N64" s="6">
        <f>$J$3+[31]FormattedData!G43*$J$4+$M$4*$J$5+[31]FormattedData!G43^2*$J$6+$M$5*$J$7</f>
        <v>30.379612942721522</v>
      </c>
      <c r="O64" s="6">
        <f>$J$3+[31]FormattedData!H43*$J$4+$M$4*$J$5+[31]FormattedData!H43^2*$J$6+$M$5*$J$7</f>
        <v>31.058197353410641</v>
      </c>
      <c r="P64" s="6">
        <f>$J$3+[31]FormattedData!I43*$J$4+$M$4*$J$5+[31]FormattedData!I43^2*$J$6+$M$5*$J$7</f>
        <v>29.990920514493244</v>
      </c>
      <c r="Q64" s="6">
        <f>$J$3+[31]FormattedData!J43*$J$4+$M$4*$J$5+[31]FormattedData!J43^2*$J$6+$M$5*$J$7</f>
        <v>31.154968909357358</v>
      </c>
      <c r="R64" s="6">
        <f>$J$3+[31]FormattedData!K43*$J$4+$M$4*$J$5+[31]FormattedData!K43^2*$J$6+$M$5*$J$7</f>
        <v>33.560520533197803</v>
      </c>
      <c r="S64" s="6">
        <f>$J$3+[31]FormattedData!L43*$J$4+$M$4*$J$5+[31]FormattedData!L43^2*$J$6+$M$5*$J$7</f>
        <v>31.154968909357358</v>
      </c>
      <c r="T64" s="6">
        <f>$J$3+[31]FormattedData!M43*$J$4+$M$4*$J$5+[31]FormattedData!M43^2*$J$6+$M$5*$J$7</f>
        <v>31.34838521563702</v>
      </c>
      <c r="U64" s="6">
        <f>$J$3+[31]FormattedData!N43*$J$4+$M$4*$J$5+[31]FormattedData!N43^2*$J$6+$M$5*$J$7</f>
        <v>34.038460717621049</v>
      </c>
      <c r="V64" s="6">
        <f>$J$3+[31]FormattedData!O43*$J$4+$M$4*$J$5+[31]FormattedData!O43^2*$J$6+$M$5*$J$7</f>
        <v>30.088157024357212</v>
      </c>
      <c r="W64" s="5">
        <f t="shared" si="9"/>
        <v>31.96467045461711</v>
      </c>
      <c r="X64" s="4">
        <f t="shared" si="10"/>
        <v>0.66156962292281518</v>
      </c>
      <c r="Y64" s="3">
        <f t="shared" si="11"/>
        <v>29.990920514493244</v>
      </c>
      <c r="Z64" s="2">
        <f t="shared" si="12"/>
        <v>30.888551250738359</v>
      </c>
      <c r="AA64" s="3">
        <f t="shared" si="13"/>
        <v>31.203333553061761</v>
      </c>
      <c r="AB64" s="2">
        <f t="shared" si="14"/>
        <v>31.973902607776907</v>
      </c>
      <c r="AC64" s="2">
        <f t="shared" si="15"/>
        <v>38.105125172516068</v>
      </c>
      <c r="AD64" s="2">
        <f t="shared" si="16"/>
        <v>2.0273611738349104</v>
      </c>
      <c r="AE64" s="2">
        <f t="shared" si="17"/>
        <v>4.4357641630447091</v>
      </c>
    </row>
    <row r="65" spans="2:31" x14ac:dyDescent="0.2">
      <c r="B65" s="1">
        <f>[31]FormattedData!A45</f>
        <v>208</v>
      </c>
      <c r="C65" s="1" t="str">
        <f>VLOOKUP($B65,[31]TrtCodes!$B$11:I88,2)</f>
        <v>FSL</v>
      </c>
      <c r="D65" s="1">
        <f>VLOOKUP($B65,[31]TrtCodes!$B$11:J88,3)</f>
        <v>2</v>
      </c>
      <c r="E65" s="1">
        <f>VLOOKUP($B65,[31]TrtCodes!$B$11:K88,4)</f>
        <v>1</v>
      </c>
      <c r="F65" s="1">
        <f>VLOOKUP($B65,[31]TrtCodes!$B$11:L88,5)</f>
        <v>1</v>
      </c>
      <c r="G65" s="1">
        <f>VLOOKUP($B65,[31]TrtCodes!$B$11:M88,6)</f>
        <v>1</v>
      </c>
      <c r="H65" s="1">
        <f>VLOOKUP($B65,[31]TrtCodes!$B$11:N88,7)</f>
        <v>2</v>
      </c>
      <c r="I65" s="1">
        <f>[31]FormattedData!B45</f>
        <v>2</v>
      </c>
      <c r="J65" s="4">
        <f>[31]FormattedData!C45</f>
        <v>13.332000000000001</v>
      </c>
      <c r="K65" s="6">
        <f>$J$3+[31]FormattedData!D45*$J$4+$M$4*$J$5+[31]FormattedData!D45^2*$J$6+$M$5*$J$7</f>
        <v>31.154968909357358</v>
      </c>
      <c r="L65" s="6">
        <f>$J$3+[31]FormattedData!E45*$J$4+$M$4*$J$5+[31]FormattedData!E45^2*$J$6+$M$5*$J$7</f>
        <v>30.185351265683238</v>
      </c>
      <c r="M65" s="6">
        <f>$J$3+[31]FormattedData!F45*$J$4+$M$4*$J$5+[31]FormattedData!F45^2*$J$6+$M$5*$J$7</f>
        <v>30.864527435903408</v>
      </c>
      <c r="N65" s="6">
        <f>$J$3+[31]FormattedData!G45*$J$4+$M$4*$J$5+[31]FormattedData!G45^2*$J$6+$M$5*$J$7</f>
        <v>30.573705545608064</v>
      </c>
      <c r="O65" s="6">
        <f>$J$3+[31]FormattedData!H45*$J$4+$M$4*$J$5+[31]FormattedData!H45^2*$J$6+$M$5*$J$7</f>
        <v>31.54163244776494</v>
      </c>
      <c r="P65" s="6">
        <f>$J$3+[31]FormattedData!I45*$J$4+$M$4*$J$5+[31]FormattedData!I45^2*$J$6+$M$5*$J$7</f>
        <v>31.54163244776494</v>
      </c>
      <c r="Q65" s="6">
        <f>$J$3+[31]FormattedData!J45*$J$4+$M$4*$J$5+[31]FormattedData!J45^2*$J$6+$M$5*$J$7</f>
        <v>30.088157024357212</v>
      </c>
      <c r="R65" s="6">
        <f>$J$3+[31]FormattedData!K45*$J$4+$M$4*$J$5+[31]FormattedData!K45^2*$J$6+$M$5*$J$7</f>
        <v>31.445029965969944</v>
      </c>
      <c r="S65" s="6">
        <f>$J$3+[31]FormattedData!L45*$J$4+$M$4*$J$5+[31]FormattedData!L45^2*$J$6+$M$5*$J$7</f>
        <v>30.864527435903408</v>
      </c>
      <c r="T65" s="6">
        <f>$J$3+[31]FormattedData!M45*$J$4+$M$4*$J$5+[31]FormattedData!M45^2*$J$6+$M$5*$J$7</f>
        <v>31.54163244776494</v>
      </c>
      <c r="U65" s="6">
        <f>$J$3+[31]FormattedData!N45*$J$4+$M$4*$J$5+[31]FormattedData!N45^2*$J$6+$M$5*$J$7</f>
        <v>30.670688444244441</v>
      </c>
      <c r="V65" s="6">
        <f>$J$3+[31]FormattedData!O45*$J$4+$M$4*$J$5+[31]FormattedData!O45^2*$J$6+$M$5*$J$7</f>
        <v>29.698957373673764</v>
      </c>
      <c r="W65" s="5">
        <f t="shared" si="9"/>
        <v>30.847567561999636</v>
      </c>
      <c r="X65" s="4">
        <f t="shared" si="10"/>
        <v>0.18128408066116189</v>
      </c>
      <c r="Y65" s="3">
        <f t="shared" si="11"/>
        <v>29.698957373673764</v>
      </c>
      <c r="Z65" s="2">
        <f t="shared" si="12"/>
        <v>30.476616975626857</v>
      </c>
      <c r="AA65" s="3">
        <f t="shared" si="13"/>
        <v>30.864527435903408</v>
      </c>
      <c r="AB65" s="2">
        <f t="shared" si="14"/>
        <v>31.469180586418695</v>
      </c>
      <c r="AC65" s="2">
        <f t="shared" si="15"/>
        <v>31.54163244776494</v>
      </c>
      <c r="AD65" s="2">
        <f t="shared" si="16"/>
        <v>-0.45124949759208277</v>
      </c>
      <c r="AE65" s="2">
        <f t="shared" si="17"/>
        <v>-0.88780455997571739</v>
      </c>
    </row>
    <row r="66" spans="2:31" x14ac:dyDescent="0.2">
      <c r="B66" s="1">
        <f>[31]FormattedData!A63</f>
        <v>301</v>
      </c>
      <c r="C66" s="1" t="str">
        <f>VLOOKUP($B66,[31]TrtCodes!$B$11:I106,2)</f>
        <v>NTL</v>
      </c>
      <c r="D66" s="1">
        <f>VLOOKUP($B66,[31]TrtCodes!$B$11:J106,3)</f>
        <v>10</v>
      </c>
      <c r="E66" s="1">
        <f>VLOOKUP($B66,[31]TrtCodes!$B$11:K106,4)</f>
        <v>2</v>
      </c>
      <c r="F66" s="1">
        <f>VLOOKUP($B66,[31]TrtCodes!$B$11:L106,5)</f>
        <v>2</v>
      </c>
      <c r="G66" s="1">
        <f>VLOOKUP($B66,[31]TrtCodes!$B$11:M106,6)</f>
        <v>1</v>
      </c>
      <c r="H66" s="1">
        <f>VLOOKUP($B66,[31]TrtCodes!$B$11:N106,7)</f>
        <v>3</v>
      </c>
      <c r="I66" s="1">
        <f>[31]FormattedData!B63</f>
        <v>2</v>
      </c>
      <c r="J66" s="4">
        <f>[31]FormattedData!C63</f>
        <v>13.46</v>
      </c>
      <c r="K66" s="6">
        <f>$J$3+[31]FormattedData!D63*$J$4+$M$4*$J$5+[31]FormattedData!D63^2*$J$6+$M$5*$J$7</f>
        <v>33.464805690699343</v>
      </c>
      <c r="L66" s="6">
        <f>$J$3+[31]FormattedData!E63*$J$4+$M$4*$J$5+[31]FormattedData!E63^2*$J$6+$M$5*$J$7</f>
        <v>32.889628996412135</v>
      </c>
      <c r="M66" s="6">
        <f>$J$3+[31]FormattedData!F63*$J$4+$M$4*$J$5+[31]FormattedData!F63^2*$J$6+$M$5*$J$7</f>
        <v>33.847411449465547</v>
      </c>
      <c r="N66" s="6">
        <f>$J$3+[31]FormattedData!G63*$J$4+$M$4*$J$5+[31]FormattedData!G63^2*$J$6+$M$5*$J$7</f>
        <v>33.464805690699343</v>
      </c>
      <c r="O66" s="6">
        <f>$J$3+[31]FormattedData!H63*$J$4+$M$4*$J$5+[31]FormattedData!H63^2*$J$6+$M$5*$J$7</f>
        <v>33.08152363532627</v>
      </c>
      <c r="P66" s="6">
        <f>$J$3+[31]FormattedData!I63*$J$4+$M$4*$J$5+[31]FormattedData!I63^2*$J$6+$M$5*$J$7</f>
        <v>33.273249200088671</v>
      </c>
      <c r="Q66" s="6">
        <f>$J$3+[31]FormattedData!J63*$J$4+$M$4*$J$5+[31]FormattedData!J63^2*$J$6+$M$5*$J$7</f>
        <v>31.927619689565621</v>
      </c>
      <c r="R66" s="6">
        <f>$J$3+[31]FormattedData!K63*$J$4+$M$4*$J$5+[31]FormattedData!K63^2*$J$6+$M$5*$J$7</f>
        <v>30.864527435903408</v>
      </c>
      <c r="S66" s="6">
        <f>$J$3+[31]FormattedData!L63*$J$4+$M$4*$J$5+[31]FormattedData!L63^2*$J$6+$M$5*$J$7</f>
        <v>32.120359699238364</v>
      </c>
      <c r="T66" s="6">
        <f>$J$3+[31]FormattedData!M63*$J$4+$M$4*$J$5+[31]FormattedData!M63^2*$J$6+$M$5*$J$7</f>
        <v>32.793618274148173</v>
      </c>
      <c r="U66" s="6">
        <f>$J$3+[31]FormattedData!N63*$J$4+$M$4*$J$5+[31]FormattedData!N63^2*$J$6+$M$5*$J$7</f>
        <v>30.767629074342896</v>
      </c>
      <c r="V66" s="6">
        <f>$J$3+[31]FormattedData!O63*$J$4+$M$4*$J$5+[31]FormattedData!O63^2*$J$6+$M$5*$J$7</f>
        <v>32.697565283346286</v>
      </c>
      <c r="W66" s="5">
        <f t="shared" si="9"/>
        <v>32.59939534326967</v>
      </c>
      <c r="X66" s="4">
        <f t="shared" si="10"/>
        <v>0.28761596482235563</v>
      </c>
      <c r="Y66" s="3">
        <f t="shared" si="11"/>
        <v>30.767629074342896</v>
      </c>
      <c r="Z66" s="2">
        <f t="shared" si="12"/>
        <v>32.072174696820177</v>
      </c>
      <c r="AA66" s="3">
        <f t="shared" si="13"/>
        <v>32.841623635280158</v>
      </c>
      <c r="AB66" s="2">
        <f t="shared" si="14"/>
        <v>33.321138322741341</v>
      </c>
      <c r="AC66" s="2">
        <f t="shared" si="15"/>
        <v>33.847411449465547</v>
      </c>
      <c r="AD66" s="2">
        <f t="shared" si="16"/>
        <v>-0.89233138341928686</v>
      </c>
      <c r="AE66" s="2">
        <f t="shared" si="17"/>
        <v>-0.13312085870362633</v>
      </c>
    </row>
    <row r="67" spans="2:31" x14ac:dyDescent="0.2">
      <c r="B67" s="1">
        <f>[31]FormattedData!A65</f>
        <v>302</v>
      </c>
      <c r="C67" s="1" t="str">
        <f>VLOOKUP($B67,[31]TrtCodes!$B$11:I108,2)</f>
        <v>FTL</v>
      </c>
      <c r="D67" s="1">
        <f>VLOOKUP($B67,[31]TrtCodes!$B$11:J108,3)</f>
        <v>4</v>
      </c>
      <c r="E67" s="1">
        <f>VLOOKUP($B67,[31]TrtCodes!$B$11:K108,4)</f>
        <v>1</v>
      </c>
      <c r="F67" s="1">
        <f>VLOOKUP($B67,[31]TrtCodes!$B$11:L108,5)</f>
        <v>2</v>
      </c>
      <c r="G67" s="1">
        <f>VLOOKUP($B67,[31]TrtCodes!$B$11:M108,6)</f>
        <v>1</v>
      </c>
      <c r="H67" s="1">
        <f>VLOOKUP($B67,[31]TrtCodes!$B$11:N108,7)</f>
        <v>3</v>
      </c>
      <c r="I67" s="1">
        <f>[31]FormattedData!B65</f>
        <v>2</v>
      </c>
      <c r="J67" s="4">
        <f>[31]FormattedData!C65</f>
        <v>13.475</v>
      </c>
      <c r="K67" s="6">
        <f>$J$3+[31]FormattedData!D65*$J$4+$M$4*$J$5+[31]FormattedData!D65^2*$J$6+$M$5*$J$7</f>
        <v>29.698957373673764</v>
      </c>
      <c r="L67" s="6">
        <f>$J$3+[31]FormattedData!E65*$J$4+$M$4*$J$5+[31]FormattedData!E65^2*$J$6+$M$5*$J$7</f>
        <v>31.54163244776494</v>
      </c>
      <c r="M67" s="6">
        <f>$J$3+[31]FormattedData!F65*$J$4+$M$4*$J$5+[31]FormattedData!F65^2*$J$6+$M$5*$J$7</f>
        <v>32.02401082867096</v>
      </c>
      <c r="N67" s="6">
        <f>$J$3+[31]FormattedData!G65*$J$4+$M$4*$J$5+[31]FormattedData!G65^2*$J$6+$M$5*$J$7</f>
        <v>30.961383528925989</v>
      </c>
      <c r="O67" s="6">
        <f>$J$3+[31]FormattedData!H65*$J$4+$M$4*$J$5+[31]FormattedData!H65^2*$J$6+$M$5*$J$7</f>
        <v>30.670688444244441</v>
      </c>
      <c r="P67" s="6">
        <f>$J$3+[31]FormattedData!I65*$J$4+$M$4*$J$5+[31]FormattedData!I65^2*$J$6+$M$5*$J$7</f>
        <v>31.927619689565621</v>
      </c>
      <c r="Q67" s="6">
        <f>$J$3+[31]FormattedData!J65*$J$4+$M$4*$J$5+[31]FormattedData!J65^2*$J$6+$M$5*$J$7</f>
        <v>31.927619689565621</v>
      </c>
      <c r="R67" s="6">
        <f>$J$3+[31]FormattedData!K65*$J$4+$M$4*$J$5+[31]FormattedData!K65^2*$J$6+$M$5*$J$7</f>
        <v>34.420052031476878</v>
      </c>
      <c r="S67" s="6">
        <f>$J$3+[31]FormattedData!L65*$J$4+$M$4*$J$5+[31]FormattedData!L65^2*$J$6+$M$5*$J$7</f>
        <v>31.734710605741149</v>
      </c>
      <c r="T67" s="6">
        <f>$J$3+[31]FormattedData!M65*$J$4+$M$4*$J$5+[31]FormattedData!M65^2*$J$6+$M$5*$J$7</f>
        <v>32.120359699238364</v>
      </c>
      <c r="U67" s="6">
        <f>$J$3+[31]FormattedData!N65*$J$4+$M$4*$J$5+[31]FormattedData!N65^2*$J$6+$M$5*$J$7</f>
        <v>32.505332496128702</v>
      </c>
      <c r="V67" s="6">
        <f>$J$3+[31]FormattedData!O65*$J$4+$M$4*$J$5+[31]FormattedData!O65^2*$J$6+$M$5*$J$7</f>
        <v>29.990920514493244</v>
      </c>
      <c r="W67" s="5">
        <f t="shared" si="9"/>
        <v>31.626940612457474</v>
      </c>
      <c r="X67" s="4">
        <f t="shared" si="10"/>
        <v>0.35807718919864667</v>
      </c>
      <c r="Y67" s="3">
        <f t="shared" si="11"/>
        <v>29.698957373673764</v>
      </c>
      <c r="Z67" s="2">
        <f t="shared" si="12"/>
        <v>30.888709757755603</v>
      </c>
      <c r="AA67" s="3">
        <f t="shared" si="13"/>
        <v>31.831165147653387</v>
      </c>
      <c r="AB67" s="2">
        <f t="shared" si="14"/>
        <v>32.048098046312809</v>
      </c>
      <c r="AC67" s="2">
        <f t="shared" si="15"/>
        <v>34.420052031476878</v>
      </c>
      <c r="AD67" s="2">
        <f t="shared" si="16"/>
        <v>0.57108786019340596</v>
      </c>
      <c r="AE67" s="2">
        <f t="shared" si="17"/>
        <v>1.5293273623400871</v>
      </c>
    </row>
    <row r="68" spans="2:31" x14ac:dyDescent="0.2">
      <c r="B68" s="1">
        <f>[31]FormattedData!A67</f>
        <v>303</v>
      </c>
      <c r="C68" s="1" t="str">
        <f>VLOOKUP($B68,[31]TrtCodes!$B$11:I110,2)</f>
        <v>NSL</v>
      </c>
      <c r="D68" s="1">
        <f>VLOOKUP($B68,[31]TrtCodes!$B$11:J110,3)</f>
        <v>8</v>
      </c>
      <c r="E68" s="1">
        <f>VLOOKUP($B68,[31]TrtCodes!$B$11:K110,4)</f>
        <v>2</v>
      </c>
      <c r="F68" s="1">
        <f>VLOOKUP($B68,[31]TrtCodes!$B$11:L110,5)</f>
        <v>1</v>
      </c>
      <c r="G68" s="1">
        <f>VLOOKUP($B68,[31]TrtCodes!$B$11:M110,6)</f>
        <v>1</v>
      </c>
      <c r="H68" s="1">
        <f>VLOOKUP($B68,[31]TrtCodes!$B$11:N110,7)</f>
        <v>3</v>
      </c>
      <c r="I68" s="1">
        <f>[31]FormattedData!B67</f>
        <v>2</v>
      </c>
      <c r="J68" s="4">
        <f>[31]FormattedData!C67</f>
        <v>13.491</v>
      </c>
      <c r="K68" s="6">
        <f>$J$3+[31]FormattedData!D67*$J$4+$M$4*$J$5+[31]FormattedData!D67^2*$J$6+$M$5*$J$7</f>
        <v>30.185351265683238</v>
      </c>
      <c r="L68" s="6">
        <f>$J$3+[31]FormattedData!E67*$J$4+$M$4*$J$5+[31]FormattedData!E67^2*$J$6+$M$5*$J$7</f>
        <v>32.02401082867096</v>
      </c>
      <c r="M68" s="6">
        <f>$J$3+[31]FormattedData!F67*$J$4+$M$4*$J$5+[31]FormattedData!F67^2*$J$6+$M$5*$J$7</f>
        <v>30.379612942721522</v>
      </c>
      <c r="N68" s="6">
        <f>$J$3+[31]FormattedData!G67*$J$4+$M$4*$J$5+[31]FormattedData!G67^2*$J$6+$M$5*$J$7</f>
        <v>29.990920514493244</v>
      </c>
      <c r="O68" s="6">
        <f>$J$3+[31]FormattedData!H67*$J$4+$M$4*$J$5+[31]FormattedData!H67^2*$J$6+$M$5*$J$7</f>
        <v>30.670688444244441</v>
      </c>
      <c r="P68" s="6">
        <f>$J$3+[31]FormattedData!I67*$J$4+$M$4*$J$5+[31]FormattedData!I67^2*$J$6+$M$5*$J$7</f>
        <v>30.573705545608064</v>
      </c>
      <c r="Q68" s="6">
        <f>$J$3+[31]FormattedData!J67*$J$4+$M$4*$J$5+[31]FormattedData!J67^2*$J$6+$M$5*$J$7</f>
        <v>30.961383528925989</v>
      </c>
      <c r="R68" s="6">
        <f>$J$3+[31]FormattedData!K67*$J$4+$M$4*$J$5+[31]FormattedData!K67^2*$J$6+$M$5*$J$7</f>
        <v>31.251698196766164</v>
      </c>
      <c r="S68" s="6">
        <f>$J$3+[31]FormattedData!L67*$J$4+$M$4*$J$5+[31]FormattedData!L67^2*$J$6+$M$5*$J$7</f>
        <v>31.54163244776494</v>
      </c>
      <c r="T68" s="6">
        <f>$J$3+[31]FormattedData!M67*$J$4+$M$4*$J$5+[31]FormattedData!M67^2*$J$6+$M$5*$J$7</f>
        <v>29.990920514493244</v>
      </c>
      <c r="U68" s="6">
        <f>$J$3+[31]FormattedData!N67*$J$4+$M$4*$J$5+[31]FormattedData!N67^2*$J$6+$M$5*$J$7</f>
        <v>29.406613816012907</v>
      </c>
      <c r="V68" s="6">
        <f>$J$3+[31]FormattedData!O67*$J$4+$M$4*$J$5+[31]FormattedData!O67^2*$J$6+$M$5*$J$7</f>
        <v>34.705801697220487</v>
      </c>
      <c r="W68" s="5">
        <f t="shared" si="9"/>
        <v>30.973528311883769</v>
      </c>
      <c r="X68" s="4">
        <f t="shared" si="10"/>
        <v>0.3992932429180952</v>
      </c>
      <c r="Y68" s="3">
        <f t="shared" si="11"/>
        <v>29.406613816012907</v>
      </c>
      <c r="Z68" s="2">
        <f t="shared" si="12"/>
        <v>30.136743577885738</v>
      </c>
      <c r="AA68" s="3">
        <f t="shared" si="13"/>
        <v>30.622196994926252</v>
      </c>
      <c r="AB68" s="2">
        <f t="shared" si="14"/>
        <v>31.324181759515859</v>
      </c>
      <c r="AC68" s="2">
        <f t="shared" si="15"/>
        <v>34.705801697220487</v>
      </c>
      <c r="AD68" s="2">
        <f t="shared" si="16"/>
        <v>1.930015474644982</v>
      </c>
      <c r="AE68" s="2">
        <f t="shared" si="17"/>
        <v>4.7402255179209565</v>
      </c>
    </row>
    <row r="69" spans="2:31" x14ac:dyDescent="0.2">
      <c r="B69" s="1">
        <f>[31]FormattedData!A69</f>
        <v>304</v>
      </c>
      <c r="C69" s="1" t="str">
        <f>VLOOKUP($B69,[31]TrtCodes!$B$11:I112,2)</f>
        <v>FSL</v>
      </c>
      <c r="D69" s="1">
        <f>VLOOKUP($B69,[31]TrtCodes!$B$11:J112,3)</f>
        <v>2</v>
      </c>
      <c r="E69" s="1">
        <f>VLOOKUP($B69,[31]TrtCodes!$B$11:K112,4)</f>
        <v>1</v>
      </c>
      <c r="F69" s="1">
        <f>VLOOKUP($B69,[31]TrtCodes!$B$11:L112,5)</f>
        <v>1</v>
      </c>
      <c r="G69" s="1">
        <f>VLOOKUP($B69,[31]TrtCodes!$B$11:M112,6)</f>
        <v>1</v>
      </c>
      <c r="H69" s="1">
        <f>VLOOKUP($B69,[31]TrtCodes!$B$11:N112,7)</f>
        <v>3</v>
      </c>
      <c r="I69" s="1">
        <f>[31]FormattedData!B69</f>
        <v>2</v>
      </c>
      <c r="J69" s="4">
        <f>[31]FormattedData!C69</f>
        <v>13.506</v>
      </c>
      <c r="K69" s="6">
        <f>$J$3+[31]FormattedData!D69*$J$4+$M$4*$J$5+[31]FormattedData!D69^2*$J$6+$M$5*$J$7</f>
        <v>34.038460717621049</v>
      </c>
      <c r="L69" s="6">
        <f>$J$3+[31]FormattedData!E69*$J$4+$M$4*$J$5+[31]FormattedData!E69^2*$J$6+$M$5*$J$7</f>
        <v>35.086209492014255</v>
      </c>
      <c r="M69" s="6">
        <f>$J$3+[31]FormattedData!F69*$J$4+$M$4*$J$5+[31]FormattedData!F69^2*$J$6+$M$5*$J$7</f>
        <v>32.505332496128702</v>
      </c>
      <c r="N69" s="6">
        <f>$J$3+[31]FormattedData!G69*$J$4+$M$4*$J$5+[31]FormattedData!G69^2*$J$6+$M$5*$J$7</f>
        <v>34.991170946122715</v>
      </c>
      <c r="O69" s="6">
        <f>$J$3+[31]FormattedData!H69*$J$4+$M$4*$J$5+[31]FormattedData!H69^2*$J$6+$M$5*$J$7</f>
        <v>32.601470024006453</v>
      </c>
      <c r="P69" s="6">
        <f>$J$3+[31]FormattedData!I69*$J$4+$M$4*$J$5+[31]FormattedData!I69^2*$J$6+$M$5*$J$7</f>
        <v>31.445029965969944</v>
      </c>
      <c r="Q69" s="6">
        <f>$J$3+[31]FormattedData!J69*$J$4+$M$4*$J$5+[31]FormattedData!J69^2*$J$6+$M$5*$J$7</f>
        <v>31.445029965969944</v>
      </c>
      <c r="R69" s="6">
        <f>$J$3+[31]FormattedData!K69*$J$4+$M$4*$J$5+[31]FormattedData!K69^2*$J$6+$M$5*$J$7</f>
        <v>30.961383528925989</v>
      </c>
      <c r="S69" s="6">
        <f>$J$3+[31]FormattedData!L69*$J$4+$M$4*$J$5+[31]FormattedData!L69^2*$J$6+$M$5*$J$7</f>
        <v>30.864527435903408</v>
      </c>
      <c r="T69" s="6">
        <f>$J$3+[31]FormattedData!M69*$J$4+$M$4*$J$5+[31]FormattedData!M69^2*$J$6+$M$5*$J$7</f>
        <v>31.445029965969944</v>
      </c>
      <c r="U69" s="6">
        <f>$J$3+[31]FormattedData!N69*$J$4+$M$4*$J$5+[31]FormattedData!N69^2*$J$6+$M$5*$J$7</f>
        <v>30.961383528925989</v>
      </c>
      <c r="V69" s="6">
        <f>$J$3+[31]FormattedData!O69*$J$4+$M$4*$J$5+[31]FormattedData!O69^2*$J$6+$M$5*$J$7</f>
        <v>30.961383528925989</v>
      </c>
      <c r="W69" s="5">
        <f t="shared" si="9"/>
        <v>32.275534299707033</v>
      </c>
      <c r="X69" s="4">
        <f t="shared" si="10"/>
        <v>0.45877519544585005</v>
      </c>
      <c r="Y69" s="3">
        <f t="shared" si="11"/>
        <v>30.864527435903408</v>
      </c>
      <c r="Z69" s="2">
        <f t="shared" si="12"/>
        <v>30.961383528925989</v>
      </c>
      <c r="AA69" s="3">
        <f t="shared" si="13"/>
        <v>31.445029965969944</v>
      </c>
      <c r="AB69" s="2">
        <f t="shared" si="14"/>
        <v>32.960717697410104</v>
      </c>
      <c r="AC69" s="2">
        <f t="shared" si="15"/>
        <v>35.086209492014255</v>
      </c>
      <c r="AD69" s="2">
        <f t="shared" si="16"/>
        <v>0.98983414150440885</v>
      </c>
      <c r="AE69" s="2">
        <f t="shared" si="17"/>
        <v>-0.55518240211320569</v>
      </c>
    </row>
    <row r="70" spans="2:31" x14ac:dyDescent="0.2">
      <c r="B70" s="1">
        <f>[31]FormattedData!A71</f>
        <v>305</v>
      </c>
      <c r="C70" s="1" t="str">
        <f>VLOOKUP($B70,[31]TrtCodes!$B$11:I114,2)</f>
        <v>NDH</v>
      </c>
      <c r="D70" s="1">
        <f>VLOOKUP($B70,[31]TrtCodes!$B$11:J114,3)</f>
        <v>11</v>
      </c>
      <c r="E70" s="1">
        <f>VLOOKUP($B70,[31]TrtCodes!$B$11:K114,4)</f>
        <v>2</v>
      </c>
      <c r="F70" s="1">
        <f>VLOOKUP($B70,[31]TrtCodes!$B$11:L114,5)</f>
        <v>3</v>
      </c>
      <c r="G70" s="1">
        <f>VLOOKUP($B70,[31]TrtCodes!$B$11:M114,6)</f>
        <v>2</v>
      </c>
      <c r="H70" s="1">
        <f>VLOOKUP($B70,[31]TrtCodes!$B$11:N114,7)</f>
        <v>4</v>
      </c>
      <c r="I70" s="1">
        <f>[31]FormattedData!B71</f>
        <v>2</v>
      </c>
      <c r="J70" s="4">
        <f>[31]FormattedData!C71</f>
        <v>13.523</v>
      </c>
      <c r="K70" s="6">
        <f>$J$3+[31]FormattedData!D71*$J$4+$M$4*$J$5+[31]FormattedData!D71^2*$J$6+$M$5*$J$7</f>
        <v>30.573705545608064</v>
      </c>
      <c r="L70" s="6">
        <f>$J$3+[31]FormattedData!E71*$J$4+$M$4*$J$5+[31]FormattedData!E71^2*$J$6+$M$5*$J$7</f>
        <v>32.216666301267857</v>
      </c>
      <c r="M70" s="6">
        <f>$J$3+[31]FormattedData!F71*$J$4+$M$4*$J$5+[31]FormattedData!F71^2*$J$6+$M$5*$J$7</f>
        <v>32.985597450138158</v>
      </c>
      <c r="N70" s="6">
        <f>$J$3+[31]FormattedData!G71*$J$4+$M$4*$J$5+[31]FormattedData!G71^2*$J$6+$M$5*$J$7</f>
        <v>31.251698196766164</v>
      </c>
      <c r="O70" s="6">
        <f>$J$3+[31]FormattedData!H71*$J$4+$M$4*$J$5+[31]FormattedData!H71^2*$J$6+$M$5*$J$7</f>
        <v>32.216666301267857</v>
      </c>
      <c r="P70" s="6">
        <f>$J$3+[31]FormattedData!I71*$J$4+$M$4*$J$5+[31]FormattedData!I71^2*$J$6+$M$5*$J$7</f>
        <v>32.505332496128702</v>
      </c>
      <c r="Q70" s="6">
        <f>$J$3+[31]FormattedData!J71*$J$4+$M$4*$J$5+[31]FormattedData!J71^2*$J$6+$M$5*$J$7</f>
        <v>30.767629074342896</v>
      </c>
      <c r="R70" s="6">
        <f>$J$3+[31]FormattedData!K71*$J$4+$M$4*$J$5+[31]FormattedData!K71^2*$J$6+$M$5*$J$7</f>
        <v>32.216666301267857</v>
      </c>
      <c r="S70" s="6">
        <f>$J$3+[31]FormattedData!L71*$J$4+$M$4*$J$5+[31]FormattedData!L71^2*$J$6+$M$5*$J$7</f>
        <v>30.379612942721522</v>
      </c>
      <c r="T70" s="6">
        <f>$J$3+[31]FormattedData!M71*$J$4+$M$4*$J$5+[31]FormattedData!M71^2*$J$6+$M$5*$J$7</f>
        <v>31.927619689565621</v>
      </c>
      <c r="U70" s="6">
        <f>$J$3+[31]FormattedData!N71*$J$4+$M$4*$J$5+[31]FormattedData!N71^2*$J$6+$M$5*$J$7</f>
        <v>32.889628996412135</v>
      </c>
      <c r="V70" s="6">
        <f>$J$3+[31]FormattedData!O71*$J$4+$M$4*$J$5+[31]FormattedData!O71^2*$J$6+$M$5*$J$7</f>
        <v>33.08152363532627</v>
      </c>
      <c r="W70" s="5">
        <f t="shared" si="9"/>
        <v>31.917695577567759</v>
      </c>
      <c r="X70" s="4">
        <f t="shared" si="10"/>
        <v>0.27512178729930531</v>
      </c>
      <c r="Y70" s="3">
        <f t="shared" si="11"/>
        <v>30.379612942721522</v>
      </c>
      <c r="Z70" s="2">
        <f t="shared" si="12"/>
        <v>31.130680916160347</v>
      </c>
      <c r="AA70" s="3">
        <f t="shared" si="13"/>
        <v>32.216666301267857</v>
      </c>
      <c r="AB70" s="2">
        <f t="shared" si="14"/>
        <v>32.601406621199558</v>
      </c>
      <c r="AC70" s="2">
        <f t="shared" si="15"/>
        <v>33.08152363532627</v>
      </c>
      <c r="AD70" s="2">
        <f t="shared" si="16"/>
        <v>-0.48988780492343409</v>
      </c>
      <c r="AE70" s="2">
        <f t="shared" si="17"/>
        <v>-1.1729176535460368</v>
      </c>
    </row>
    <row r="71" spans="2:31" x14ac:dyDescent="0.2">
      <c r="B71" s="1">
        <f>[31]FormattedData!A73</f>
        <v>306</v>
      </c>
      <c r="C71" s="1" t="str">
        <f>VLOOKUP($B71,[31]TrtCodes!$B$11:I116,2)</f>
        <v>FTL</v>
      </c>
      <c r="D71" s="1">
        <f>VLOOKUP($B71,[31]TrtCodes!$B$11:J116,3)</f>
        <v>4</v>
      </c>
      <c r="E71" s="1">
        <f>VLOOKUP($B71,[31]TrtCodes!$B$11:K116,4)</f>
        <v>1</v>
      </c>
      <c r="F71" s="1">
        <f>VLOOKUP($B71,[31]TrtCodes!$B$11:L116,5)</f>
        <v>2</v>
      </c>
      <c r="G71" s="1">
        <f>VLOOKUP($B71,[31]TrtCodes!$B$11:M116,6)</f>
        <v>1</v>
      </c>
      <c r="H71" s="1">
        <f>VLOOKUP($B71,[31]TrtCodes!$B$11:N116,7)</f>
        <v>4</v>
      </c>
      <c r="I71" s="1">
        <f>[31]FormattedData!B73</f>
        <v>2</v>
      </c>
      <c r="J71" s="4">
        <f>[31]FormattedData!C73</f>
        <v>13.54</v>
      </c>
      <c r="K71" s="6">
        <f>$J$3+[31]FormattedData!D73*$J$4+$M$4*$J$5+[31]FormattedData!D73^2*$J$6+$M$5*$J$7</f>
        <v>31.058197353410641</v>
      </c>
      <c r="L71" s="6">
        <f>$J$3+[31]FormattedData!E73*$J$4+$M$4*$J$5+[31]FormattedData!E73^2*$J$6+$M$5*$J$7</f>
        <v>30.379612942721522</v>
      </c>
      <c r="M71" s="6">
        <f>$J$3+[31]FormattedData!F73*$J$4+$M$4*$J$5+[31]FormattedData!F73^2*$J$6+$M$5*$J$7</f>
        <v>32.120359699238364</v>
      </c>
      <c r="N71" s="6">
        <f>$J$3+[31]FormattedData!G73*$J$4+$M$4*$J$5+[31]FormattedData!G73^2*$J$6+$M$5*$J$7</f>
        <v>32.505332496128702</v>
      </c>
      <c r="O71" s="6">
        <f>$J$3+[31]FormattedData!H73*$J$4+$M$4*$J$5+[31]FormattedData!H73^2*$J$6+$M$5*$J$7</f>
        <v>32.312930634759404</v>
      </c>
      <c r="P71" s="6">
        <f>$J$3+[31]FormattedData!I73*$J$4+$M$4*$J$5+[31]FormattedData!I73^2*$J$6+$M$5*$J$7</f>
        <v>34.800967048725838</v>
      </c>
      <c r="Q71" s="6">
        <f>$J$3+[31]FormattedData!J73*$J$4+$M$4*$J$5+[31]FormattedData!J73^2*$J$6+$M$5*$J$7</f>
        <v>31.734710605741149</v>
      </c>
      <c r="R71" s="6">
        <f>$J$3+[31]FormattedData!K73*$J$4+$M$4*$J$5+[31]FormattedData!K73^2*$J$6+$M$5*$J$7</f>
        <v>31.734710605741149</v>
      </c>
      <c r="S71" s="6">
        <f>$J$3+[31]FormattedData!L73*$J$4+$M$4*$J$5+[31]FormattedData!L73^2*$J$6+$M$5*$J$7</f>
        <v>31.734710605741149</v>
      </c>
      <c r="T71" s="6">
        <f>$J$3+[31]FormattedData!M73*$J$4+$M$4*$J$5+[31]FormattedData!M73^2*$J$6+$M$5*$J$7</f>
        <v>31.34838521563702</v>
      </c>
      <c r="U71" s="6">
        <f>$J$3+[31]FormattedData!N73*$J$4+$M$4*$J$5+[31]FormattedData!N73^2*$J$6+$M$5*$J$7</f>
        <v>31.445029965969944</v>
      </c>
      <c r="V71" s="6">
        <f>$J$3+[31]FormattedData!O73*$J$4+$M$4*$J$5+[31]FormattedData!O73^2*$J$6+$M$5*$J$7</f>
        <v>31.927619689565621</v>
      </c>
      <c r="W71" s="5">
        <f t="shared" si="9"/>
        <v>31.925213905281709</v>
      </c>
      <c r="X71" s="4">
        <f t="shared" si="10"/>
        <v>0.30905143441877636</v>
      </c>
      <c r="Y71" s="3">
        <f t="shared" si="11"/>
        <v>30.379612942721522</v>
      </c>
      <c r="Z71" s="2">
        <f t="shared" si="12"/>
        <v>31.420868778386712</v>
      </c>
      <c r="AA71" s="3">
        <f t="shared" si="13"/>
        <v>31.734710605741149</v>
      </c>
      <c r="AB71" s="2">
        <f t="shared" si="14"/>
        <v>32.168502433118626</v>
      </c>
      <c r="AC71" s="2">
        <f t="shared" si="15"/>
        <v>34.800967048725838</v>
      </c>
      <c r="AD71" s="2">
        <f t="shared" si="16"/>
        <v>1.7226072357892097</v>
      </c>
      <c r="AE71" s="2">
        <f t="shared" si="17"/>
        <v>4.9592902504005618</v>
      </c>
    </row>
    <row r="72" spans="2:31" x14ac:dyDescent="0.2">
      <c r="B72" s="1">
        <f>[31]FormattedData!A75</f>
        <v>307</v>
      </c>
      <c r="C72" s="1" t="str">
        <f>VLOOKUP($B72,[31]TrtCodes!$B$11:I118,2)</f>
        <v>NTH</v>
      </c>
      <c r="D72" s="1">
        <f>VLOOKUP($B72,[31]TrtCodes!$B$11:J118,3)</f>
        <v>9</v>
      </c>
      <c r="E72" s="1">
        <f>VLOOKUP($B72,[31]TrtCodes!$B$11:K118,4)</f>
        <v>2</v>
      </c>
      <c r="F72" s="1">
        <f>VLOOKUP($B72,[31]TrtCodes!$B$11:L118,5)</f>
        <v>2</v>
      </c>
      <c r="G72" s="1">
        <f>VLOOKUP($B72,[31]TrtCodes!$B$11:M118,6)</f>
        <v>2</v>
      </c>
      <c r="H72" s="1">
        <f>VLOOKUP($B72,[31]TrtCodes!$B$11:N118,7)</f>
        <v>4</v>
      </c>
      <c r="I72" s="1">
        <f>[31]FormattedData!B75</f>
        <v>2</v>
      </c>
      <c r="J72" s="4">
        <f>[31]FormattedData!C75</f>
        <v>13.555999999999999</v>
      </c>
      <c r="K72" s="6">
        <f>$J$3+[31]FormattedData!D75*$J$4+$M$4*$J$5+[31]FormattedData!D75^2*$J$6+$M$5*$J$7</f>
        <v>33.273249200088671</v>
      </c>
      <c r="L72" s="6">
        <f>$J$3+[31]FormattedData!E75*$J$4+$M$4*$J$5+[31]FormattedData!E75^2*$J$6+$M$5*$J$7</f>
        <v>32.793618274148173</v>
      </c>
      <c r="M72" s="6">
        <f>$J$3+[31]FormattedData!F75*$J$4+$M$4*$J$5+[31]FormattedData!F75^2*$J$6+$M$5*$J$7</f>
        <v>31.927619689565621</v>
      </c>
      <c r="N72" s="6">
        <f>$J$3+[31]FormattedData!G75*$J$4+$M$4*$J$5+[31]FormattedData!G75^2*$J$6+$M$5*$J$7</f>
        <v>31.734710605741149</v>
      </c>
      <c r="O72" s="6">
        <f>$J$3+[31]FormattedData!H75*$J$4+$M$4*$J$5+[31]FormattedData!H75^2*$J$6+$M$5*$J$7</f>
        <v>32.120359699238364</v>
      </c>
      <c r="P72" s="6">
        <f>$J$3+[31]FormattedData!I75*$J$4+$M$4*$J$5+[31]FormattedData!I75^2*$J$6+$M$5*$J$7</f>
        <v>32.505332496128702</v>
      </c>
      <c r="Q72" s="6">
        <f>$J$3+[31]FormattedData!J75*$J$4+$M$4*$J$5+[31]FormattedData!J75^2*$J$6+$M$5*$J$7</f>
        <v>33.369048579662973</v>
      </c>
      <c r="R72" s="6">
        <f>$J$3+[31]FormattedData!K75*$J$4+$M$4*$J$5+[31]FormattedData!K75^2*$J$6+$M$5*$J$7</f>
        <v>31.734710605741149</v>
      </c>
      <c r="S72" s="6">
        <f>$J$3+[31]FormattedData!L75*$J$4+$M$4*$J$5+[31]FormattedData!L75^2*$J$6+$M$5*$J$7</f>
        <v>33.464805690699343</v>
      </c>
      <c r="T72" s="6">
        <f>$J$3+[31]FormattedData!M75*$J$4+$M$4*$J$5+[31]FormattedData!M75^2*$J$6+$M$5*$J$7</f>
        <v>32.409152699713019</v>
      </c>
      <c r="U72" s="6">
        <f>$J$3+[31]FormattedData!N75*$J$4+$M$4*$J$5+[31]FormattedData!N75^2*$J$6+$M$5*$J$7</f>
        <v>32.120359699238364</v>
      </c>
      <c r="V72" s="6">
        <f>$J$3+[31]FormattedData!O75*$J$4+$M$4*$J$5+[31]FormattedData!O75^2*$J$6+$M$5*$J$7</f>
        <v>32.505332496128702</v>
      </c>
      <c r="W72" s="5">
        <f t="shared" si="9"/>
        <v>32.496524978007848</v>
      </c>
      <c r="X72" s="4">
        <f t="shared" si="10"/>
        <v>0.17764441658670108</v>
      </c>
      <c r="Y72" s="3">
        <f t="shared" si="11"/>
        <v>31.734710605741149</v>
      </c>
      <c r="Z72" s="2">
        <f t="shared" si="12"/>
        <v>32.072174696820177</v>
      </c>
      <c r="AA72" s="3">
        <f t="shared" si="13"/>
        <v>32.45724259792086</v>
      </c>
      <c r="AB72" s="2">
        <f t="shared" si="14"/>
        <v>32.913526005633301</v>
      </c>
      <c r="AC72" s="2">
        <f t="shared" si="15"/>
        <v>33.464805690699343</v>
      </c>
      <c r="AD72" s="2">
        <f t="shared" si="16"/>
        <v>0.41728484917761977</v>
      </c>
      <c r="AE72" s="2">
        <f t="shared" si="17"/>
        <v>-1.1227510723213818</v>
      </c>
    </row>
    <row r="73" spans="2:31" x14ac:dyDescent="0.2">
      <c r="B73" s="1">
        <f>[31]FormattedData!A77</f>
        <v>308</v>
      </c>
      <c r="C73" s="1" t="str">
        <f>VLOOKUP($B73,[31]TrtCodes!$B$11:I120,2)</f>
        <v>FDH</v>
      </c>
      <c r="D73" s="1">
        <f>VLOOKUP($B73,[31]TrtCodes!$B$11:J120,3)</f>
        <v>5</v>
      </c>
      <c r="E73" s="1">
        <f>VLOOKUP($B73,[31]TrtCodes!$B$11:K120,4)</f>
        <v>1</v>
      </c>
      <c r="F73" s="1">
        <f>VLOOKUP($B73,[31]TrtCodes!$B$11:L120,5)</f>
        <v>3</v>
      </c>
      <c r="G73" s="1">
        <f>VLOOKUP($B73,[31]TrtCodes!$B$11:M120,6)</f>
        <v>2</v>
      </c>
      <c r="H73" s="1">
        <f>VLOOKUP($B73,[31]TrtCodes!$B$11:N120,7)</f>
        <v>4</v>
      </c>
      <c r="I73" s="1">
        <f>[31]FormattedData!B77</f>
        <v>2</v>
      </c>
      <c r="J73" s="4">
        <f>[31]FormattedData!C77</f>
        <v>13.571</v>
      </c>
      <c r="K73" s="6">
        <f>$J$3+[31]FormattedData!D77*$J$4+$M$4*$J$5+[31]FormattedData!D77^2*$J$6+$M$5*$J$7</f>
        <v>31.54163244776494</v>
      </c>
      <c r="L73" s="6">
        <f>$J$3+[31]FormattedData!E77*$J$4+$M$4*$J$5+[31]FormattedData!E77^2*$J$6+$M$5*$J$7</f>
        <v>32.601470024006453</v>
      </c>
      <c r="M73" s="6">
        <f>$J$3+[31]FormattedData!F77*$J$4+$M$4*$J$5+[31]FormattedData!F77^2*$J$6+$M$5*$J$7</f>
        <v>35.560768193403014</v>
      </c>
      <c r="N73" s="6">
        <f>$J$3+[31]FormattedData!G77*$J$4+$M$4*$J$5+[31]FormattedData!G77^2*$J$6+$M$5*$J$7</f>
        <v>30.961383528925989</v>
      </c>
      <c r="O73" s="6">
        <f>$J$3+[31]FormattedData!H77*$J$4+$M$4*$J$5+[31]FormattedData!H77^2*$J$6+$M$5*$J$7</f>
        <v>31.34838521563702</v>
      </c>
      <c r="P73" s="6">
        <f>$J$3+[31]FormattedData!I77*$J$4+$M$4*$J$5+[31]FormattedData!I77^2*$J$6+$M$5*$J$7</f>
        <v>32.02401082867096</v>
      </c>
      <c r="Q73" s="6">
        <f>$J$3+[31]FormattedData!J77*$J$4+$M$4*$J$5+[31]FormattedData!J77^2*$J$6+$M$5*$J$7</f>
        <v>32.216666301267857</v>
      </c>
      <c r="R73" s="6">
        <f>$J$3+[31]FormattedData!K77*$J$4+$M$4*$J$5+[31]FormattedData!K77^2*$J$6+$M$5*$J$7</f>
        <v>29.698957373673764</v>
      </c>
      <c r="S73" s="6">
        <f>$J$3+[31]FormattedData!L77*$J$4+$M$4*$J$5+[31]FormattedData!L77^2*$J$6+$M$5*$J$7</f>
        <v>31.927619689565621</v>
      </c>
      <c r="T73" s="6">
        <f>$J$3+[31]FormattedData!M77*$J$4+$M$4*$J$5+[31]FormattedData!M77^2*$J$6+$M$5*$J$7</f>
        <v>30.864527435903408</v>
      </c>
      <c r="U73" s="6">
        <f>$J$3+[31]FormattedData!N77*$J$4+$M$4*$J$5+[31]FormattedData!N77^2*$J$6+$M$5*$J$7</f>
        <v>31.831186281922349</v>
      </c>
      <c r="V73" s="6">
        <f>$J$3+[31]FormattedData!O77*$J$4+$M$4*$J$5+[31]FormattedData!O77^2*$J$6+$M$5*$J$7</f>
        <v>32.02401082867096</v>
      </c>
      <c r="W73" s="5">
        <f t="shared" si="9"/>
        <v>31.883384845784359</v>
      </c>
      <c r="X73" s="4">
        <f t="shared" si="10"/>
        <v>0.40129528366555567</v>
      </c>
      <c r="Y73" s="3">
        <f t="shared" si="11"/>
        <v>29.698957373673764</v>
      </c>
      <c r="Z73" s="2">
        <f t="shared" si="12"/>
        <v>31.251634793959262</v>
      </c>
      <c r="AA73" s="3">
        <f t="shared" si="13"/>
        <v>31.879402985743987</v>
      </c>
      <c r="AB73" s="2">
        <f t="shared" si="14"/>
        <v>32.072174696820184</v>
      </c>
      <c r="AC73" s="2">
        <f t="shared" si="15"/>
        <v>35.560768193403014</v>
      </c>
      <c r="AD73" s="2">
        <f t="shared" si="16"/>
        <v>1.530343777084942</v>
      </c>
      <c r="AE73" s="2">
        <f t="shared" si="17"/>
        <v>4.7358150961302083</v>
      </c>
    </row>
    <row r="74" spans="2:31" x14ac:dyDescent="0.2">
      <c r="B74" s="1">
        <f>[31]FormattedData!A93</f>
        <v>401</v>
      </c>
      <c r="C74" s="1" t="str">
        <f>VLOOKUP($B74,[31]TrtCodes!$B$11:I130,2)</f>
        <v>NSH</v>
      </c>
      <c r="D74" s="1">
        <f>VLOOKUP($B74,[31]TrtCodes!$B$11:J130,3)</f>
        <v>7</v>
      </c>
      <c r="E74" s="1">
        <f>VLOOKUP($B74,[31]TrtCodes!$B$11:K130,4)</f>
        <v>2</v>
      </c>
      <c r="F74" s="1">
        <f>VLOOKUP($B74,[31]TrtCodes!$B$11:L130,5)</f>
        <v>1</v>
      </c>
      <c r="G74" s="1">
        <f>VLOOKUP($B74,[31]TrtCodes!$B$11:M130,6)</f>
        <v>2</v>
      </c>
      <c r="H74" s="1">
        <f>VLOOKUP($B74,[31]TrtCodes!$B$11:N130,7)</f>
        <v>3</v>
      </c>
      <c r="I74" s="1">
        <f>[31]FormattedData!B93</f>
        <v>2</v>
      </c>
      <c r="J74" s="4">
        <f>[31]FormattedData!C93</f>
        <v>13.709</v>
      </c>
      <c r="K74" s="6">
        <f>$J$3+[31]FormattedData!D93*$J$4+$M$4*$J$5+[31]FormattedData!D93^2*$J$6+$M$5*$J$7</f>
        <v>31.34838521563702</v>
      </c>
      <c r="L74" s="6">
        <f>$J$3+[31]FormattedData!E93*$J$4+$M$4*$J$5+[31]FormattedData!E93^2*$J$6+$M$5*$J$7</f>
        <v>31.154968909357358</v>
      </c>
      <c r="M74" s="6">
        <f>$J$3+[31]FormattedData!F93*$J$4+$M$4*$J$5+[31]FormattedData!F93^2*$J$6+$M$5*$J$7</f>
        <v>31.154968909357358</v>
      </c>
      <c r="N74" s="6">
        <f>$J$3+[31]FormattedData!G93*$J$4+$M$4*$J$5+[31]FormattedData!G93^2*$J$6+$M$5*$J$7</f>
        <v>29.504103937104453</v>
      </c>
      <c r="O74" s="6">
        <f>$J$3+[31]FormattedData!H93*$J$4+$M$4*$J$5+[31]FormattedData!H93^2*$J$6+$M$5*$J$7</f>
        <v>29.990920514493244</v>
      </c>
      <c r="P74" s="6">
        <f>$J$3+[31]FormattedData!I93*$J$4+$M$4*$J$5+[31]FormattedData!I93^2*$J$6+$M$5*$J$7</f>
        <v>29.113889841510666</v>
      </c>
      <c r="Q74" s="6">
        <f>$J$3+[31]FormattedData!J93*$J$4+$M$4*$J$5+[31]FormattedData!J93^2*$J$6+$M$5*$J$7</f>
        <v>30.961383528925989</v>
      </c>
      <c r="R74" s="6">
        <f>$J$3+[31]FormattedData!K93*$J$4+$M$4*$J$5+[31]FormattedData!K93^2*$J$6+$M$5*$J$7</f>
        <v>29.309081426383422</v>
      </c>
      <c r="S74" s="6">
        <f>$J$3+[31]FormattedData!L93*$J$4+$M$4*$J$5+[31]FormattedData!L93^2*$J$6+$M$5*$J$7</f>
        <v>31.34838521563702</v>
      </c>
      <c r="T74" s="6">
        <f>$J$3+[31]FormattedData!M93*$J$4+$M$4*$J$5+[31]FormattedData!M93^2*$J$6+$M$5*$J$7</f>
        <v>29.406613816012907</v>
      </c>
      <c r="U74" s="6">
        <f>$J$3+[31]FormattedData!N93*$J$4+$M$4*$J$5+[31]FormattedData!N93^2*$J$6+$M$5*$J$7</f>
        <v>31.154968909357358</v>
      </c>
      <c r="V74" s="6">
        <f>$J$3+[31]FormattedData!O93*$J$4+$M$4*$J$5+[31]FormattedData!O93^2*$J$6+$M$5*$J$7</f>
        <v>30.088157024357212</v>
      </c>
      <c r="W74" s="5">
        <f t="shared" ref="W74:W105" si="18">AVERAGE(K74:V74)</f>
        <v>30.377985604011162</v>
      </c>
      <c r="X74" s="4">
        <f t="shared" ref="X74:X85" si="19">STDEV(K74:V74)/SQRT(COUNT(K74:V74))</f>
        <v>0.25696892376001651</v>
      </c>
      <c r="Y74" s="3">
        <f t="shared" ref="Y74:Y85" si="20">MIN(K74:V74)</f>
        <v>29.113889841510666</v>
      </c>
      <c r="Z74" s="2">
        <f t="shared" ref="Z74:Z85" si="21">QUARTILE(K74:V74,1)</f>
        <v>29.479731406831569</v>
      </c>
      <c r="AA74" s="3">
        <f t="shared" ref="AA74:AA85" si="22">MEDIAN(K74:V74)</f>
        <v>30.5247702766416</v>
      </c>
      <c r="AB74" s="2">
        <f t="shared" ref="AB74:AB85" si="23">QUARTILE(K74:V74,3)</f>
        <v>31.154968909357358</v>
      </c>
      <c r="AC74" s="2">
        <f t="shared" ref="AC74:AC85" si="24">MAX(K74:V74)</f>
        <v>31.34838521563702</v>
      </c>
      <c r="AD74" s="2">
        <f t="shared" ref="AD74:AD85" si="25">SKEW(K74:V74)</f>
        <v>-0.22798370592371256</v>
      </c>
      <c r="AE74" s="2">
        <f t="shared" ref="AE74:AE85" si="26">KURT(K74:V74)</f>
        <v>-1.9391820815809373</v>
      </c>
    </row>
    <row r="75" spans="2:31" x14ac:dyDescent="0.2">
      <c r="B75" s="1">
        <f>[31]FormattedData!A91</f>
        <v>402</v>
      </c>
      <c r="C75" s="1" t="str">
        <f>VLOOKUP($B75,[31]TrtCodes!$B$11:I131,2)</f>
        <v>NTH</v>
      </c>
      <c r="D75" s="1">
        <f>VLOOKUP($B75,[31]TrtCodes!$B$11:J131,3)</f>
        <v>9</v>
      </c>
      <c r="E75" s="1">
        <f>VLOOKUP($B75,[31]TrtCodes!$B$11:K131,4)</f>
        <v>2</v>
      </c>
      <c r="F75" s="1">
        <f>VLOOKUP($B75,[31]TrtCodes!$B$11:L131,5)</f>
        <v>2</v>
      </c>
      <c r="G75" s="1">
        <f>VLOOKUP($B75,[31]TrtCodes!$B$11:M131,6)</f>
        <v>2</v>
      </c>
      <c r="H75" s="1">
        <f>VLOOKUP($B75,[31]TrtCodes!$B$11:N131,7)</f>
        <v>3</v>
      </c>
      <c r="I75" s="1">
        <f>[31]FormattedData!B91</f>
        <v>2</v>
      </c>
      <c r="J75" s="4">
        <f>[31]FormattedData!C91</f>
        <v>13.693</v>
      </c>
      <c r="K75" s="6">
        <f>$J$3+[31]FormattedData!D91*$J$4+$M$4*$J$5+[31]FormattedData!D91^2*$J$6+$M$5*$J$7</f>
        <v>31.154968909357358</v>
      </c>
      <c r="L75" s="6">
        <f>$J$3+[31]FormattedData!E91*$J$4+$M$4*$J$5+[31]FormattedData!E91^2*$J$6+$M$5*$J$7</f>
        <v>31.54163244776494</v>
      </c>
      <c r="M75" s="6">
        <f>$J$3+[31]FormattedData!F91*$J$4+$M$4*$J$5+[31]FormattedData!F91^2*$J$6+$M$5*$J$7</f>
        <v>30.670688444244441</v>
      </c>
      <c r="N75" s="6">
        <f>$J$3+[31]FormattedData!G91*$J$4+$M$4*$J$5+[31]FormattedData!G91^2*$J$6+$M$5*$J$7</f>
        <v>30.088157024357212</v>
      </c>
      <c r="O75" s="6">
        <f>$J$3+[31]FormattedData!H91*$J$4+$M$4*$J$5+[31]FormattedData!H91^2*$J$6+$M$5*$J$7</f>
        <v>30.185351265683238</v>
      </c>
      <c r="P75" s="6">
        <f>$J$3+[31]FormattedData!I91*$J$4+$M$4*$J$5+[31]FormattedData!I91^2*$J$6+$M$5*$J$7</f>
        <v>30.767629074342896</v>
      </c>
      <c r="Q75" s="6">
        <f>$J$3+[31]FormattedData!J91*$J$4+$M$4*$J$5+[31]FormattedData!J91^2*$J$6+$M$5*$J$7</f>
        <v>32.216666301267857</v>
      </c>
      <c r="R75" s="6">
        <f>$J$3+[31]FormattedData!K91*$J$4+$M$4*$J$5+[31]FormattedData!K91^2*$J$6+$M$5*$J$7</f>
        <v>30.088157024357212</v>
      </c>
      <c r="S75" s="6">
        <f>$J$3+[31]FormattedData!L91*$J$4+$M$4*$J$5+[31]FormattedData!L91^2*$J$6+$M$5*$J$7</f>
        <v>32.505332496128702</v>
      </c>
      <c r="T75" s="6">
        <f>$J$3+[31]FormattedData!M91*$J$4+$M$4*$J$5+[31]FormattedData!M91^2*$J$6+$M$5*$J$7</f>
        <v>32.409152699713019</v>
      </c>
      <c r="U75" s="6">
        <f>$J$3+[31]FormattedData!N91*$J$4+$M$4*$J$5+[31]FormattedData!N91^2*$J$6+$M$5*$J$7</f>
        <v>32.216666301267857</v>
      </c>
      <c r="V75" s="6">
        <f>$J$3+[31]FormattedData!O91*$J$4+$M$4*$J$5+[31]FormattedData!O91^2*$J$6+$M$5*$J$7</f>
        <v>32.409152699713019</v>
      </c>
      <c r="W75" s="5">
        <f t="shared" si="18"/>
        <v>31.354462890683141</v>
      </c>
      <c r="X75" s="4">
        <f t="shared" si="19"/>
        <v>0.28199326067742897</v>
      </c>
      <c r="Y75" s="3">
        <f t="shared" si="20"/>
        <v>30.088157024357212</v>
      </c>
      <c r="Z75" s="2">
        <f t="shared" si="21"/>
        <v>30.549354149604142</v>
      </c>
      <c r="AA75" s="3">
        <f t="shared" si="22"/>
        <v>31.348300678561149</v>
      </c>
      <c r="AB75" s="2">
        <f t="shared" si="23"/>
        <v>32.264787900879149</v>
      </c>
      <c r="AC75" s="2">
        <f t="shared" si="24"/>
        <v>32.505332496128702</v>
      </c>
      <c r="AD75" s="2">
        <f t="shared" si="25"/>
        <v>-0.1204953452442807</v>
      </c>
      <c r="AE75" s="2">
        <f t="shared" si="26"/>
        <v>-1.8381681256101907</v>
      </c>
    </row>
    <row r="76" spans="2:31" x14ac:dyDescent="0.2">
      <c r="B76" s="1">
        <f>[31]FormattedData!A89</f>
        <v>403</v>
      </c>
      <c r="C76" s="1" t="str">
        <f>VLOOKUP($B76,[31]TrtCodes!$B$11:I132,2)</f>
        <v>FDL</v>
      </c>
      <c r="D76" s="1">
        <f>VLOOKUP($B76,[31]TrtCodes!$B$11:J132,3)</f>
        <v>6</v>
      </c>
      <c r="E76" s="1">
        <f>VLOOKUP($B76,[31]TrtCodes!$B$11:K132,4)</f>
        <v>1</v>
      </c>
      <c r="F76" s="1">
        <f>VLOOKUP($B76,[31]TrtCodes!$B$11:L132,5)</f>
        <v>3</v>
      </c>
      <c r="G76" s="1">
        <f>VLOOKUP($B76,[31]TrtCodes!$B$11:M132,6)</f>
        <v>1</v>
      </c>
      <c r="H76" s="1">
        <f>VLOOKUP($B76,[31]TrtCodes!$B$11:N132,7)</f>
        <v>3</v>
      </c>
      <c r="I76" s="1">
        <f>[31]FormattedData!B89</f>
        <v>2</v>
      </c>
      <c r="J76" s="4">
        <f>[31]FormattedData!C89</f>
        <v>13.676</v>
      </c>
      <c r="K76" s="6">
        <f>$J$3+[31]FormattedData!D89*$J$4+$M$4*$J$5+[31]FormattedData!D89^2*$J$6+$M$5*$J$7</f>
        <v>29.504103937104453</v>
      </c>
      <c r="L76" s="6">
        <f>$J$3+[31]FormattedData!E89*$J$4+$M$4*$J$5+[31]FormattedData!E89^2*$J$6+$M$5*$J$7</f>
        <v>31.34838521563702</v>
      </c>
      <c r="M76" s="6">
        <f>$J$3+[31]FormattedData!F89*$J$4+$M$4*$J$5+[31]FormattedData!F89^2*$J$6+$M$5*$J$7</f>
        <v>30.961383528925989</v>
      </c>
      <c r="N76" s="6">
        <f>$J$3+[31]FormattedData!G89*$J$4+$M$4*$J$5+[31]FormattedData!G89^2*$J$6+$M$5*$J$7</f>
        <v>30.573705545608064</v>
      </c>
      <c r="O76" s="6">
        <f>$J$3+[31]FormattedData!H89*$J$4+$M$4*$J$5+[31]FormattedData!H89^2*$J$6+$M$5*$J$7</f>
        <v>31.34838521563702</v>
      </c>
      <c r="P76" s="6">
        <f>$J$3+[31]FormattedData!I89*$J$4+$M$4*$J$5+[31]FormattedData!I89^2*$J$6+$M$5*$J$7</f>
        <v>30.379612942721522</v>
      </c>
      <c r="Q76" s="6">
        <f>$J$3+[31]FormattedData!J89*$J$4+$M$4*$J$5+[31]FormattedData!J89^2*$J$6+$M$5*$J$7</f>
        <v>29.89364173609135</v>
      </c>
      <c r="R76" s="6">
        <f>$J$3+[31]FormattedData!K89*$J$4+$M$4*$J$5+[31]FormattedData!K89^2*$J$6+$M$5*$J$7</f>
        <v>30.088157024357212</v>
      </c>
      <c r="S76" s="6">
        <f>$J$3+[31]FormattedData!L89*$J$4+$M$4*$J$5+[31]FormattedData!L89^2*$J$6+$M$5*$J$7</f>
        <v>30.379612942721522</v>
      </c>
      <c r="T76" s="6">
        <f>$J$3+[31]FormattedData!M89*$J$4+$M$4*$J$5+[31]FormattedData!M89^2*$J$6+$M$5*$J$7</f>
        <v>32.216666301267857</v>
      </c>
      <c r="U76" s="6">
        <f>$J$3+[31]FormattedData!N89*$J$4+$M$4*$J$5+[31]FormattedData!N89^2*$J$6+$M$5*$J$7</f>
        <v>32.120359699238364</v>
      </c>
      <c r="V76" s="6">
        <f>$J$3+[31]FormattedData!O89*$J$4+$M$4*$J$5+[31]FormattedData!O89^2*$J$6+$M$5*$J$7</f>
        <v>33.369048579662973</v>
      </c>
      <c r="W76" s="5">
        <f t="shared" si="18"/>
        <v>31.015255222414442</v>
      </c>
      <c r="X76" s="4">
        <f t="shared" si="19"/>
        <v>0.32373290780942765</v>
      </c>
      <c r="Y76" s="3">
        <f t="shared" si="20"/>
        <v>29.504103937104453</v>
      </c>
      <c r="Z76" s="2">
        <f t="shared" si="21"/>
        <v>30.306748963130445</v>
      </c>
      <c r="AA76" s="3">
        <f t="shared" si="22"/>
        <v>30.767544537267028</v>
      </c>
      <c r="AB76" s="2">
        <f t="shared" si="23"/>
        <v>31.541378836537355</v>
      </c>
      <c r="AC76" s="2">
        <f t="shared" si="24"/>
        <v>33.369048579662973</v>
      </c>
      <c r="AD76" s="2">
        <f t="shared" si="25"/>
        <v>0.76884335718738628</v>
      </c>
      <c r="AE76" s="2">
        <f t="shared" si="26"/>
        <v>0.1705000041365583</v>
      </c>
    </row>
    <row r="77" spans="2:31" x14ac:dyDescent="0.2">
      <c r="B77" s="1">
        <f>[31]FormattedData!A87</f>
        <v>404</v>
      </c>
      <c r="C77" s="1" t="str">
        <f>VLOOKUP($B77,[31]TrtCodes!$B$11:I130,2)</f>
        <v>FTH</v>
      </c>
      <c r="D77" s="1">
        <f>VLOOKUP($B77,[31]TrtCodes!$B$11:J130,3)</f>
        <v>3</v>
      </c>
      <c r="E77" s="1">
        <f>VLOOKUP($B77,[31]TrtCodes!$B$11:K130,4)</f>
        <v>1</v>
      </c>
      <c r="F77" s="1">
        <f>VLOOKUP($B77,[31]TrtCodes!$B$11:L130,5)</f>
        <v>2</v>
      </c>
      <c r="G77" s="1">
        <f>VLOOKUP($B77,[31]TrtCodes!$B$11:M130,6)</f>
        <v>2</v>
      </c>
      <c r="H77" s="1">
        <f>VLOOKUP($B77,[31]TrtCodes!$B$11:N130,7)</f>
        <v>3</v>
      </c>
      <c r="I77" s="1">
        <f>[31]FormattedData!B87</f>
        <v>2</v>
      </c>
      <c r="J77" s="4">
        <f>[31]FormattedData!C87</f>
        <v>13.657999999999999</v>
      </c>
      <c r="K77" s="6">
        <f>$J$3+[31]FormattedData!D87*$J$4+$M$4*$J$5+[31]FormattedData!D87^2*$J$6+$M$5*$J$7</f>
        <v>33.656193107158309</v>
      </c>
      <c r="L77" s="6">
        <f>$J$3+[31]FormattedData!E87*$J$4+$M$4*$J$5+[31]FormattedData!E87^2*$J$6+$M$5*$J$7</f>
        <v>32.889628996412135</v>
      </c>
      <c r="M77" s="6">
        <f>$J$3+[31]FormattedData!F87*$J$4+$M$4*$J$5+[31]FormattedData!F87^2*$J$6+$M$5*$J$7</f>
        <v>33.08152363532627</v>
      </c>
      <c r="N77" s="6">
        <f>$J$3+[31]FormattedData!G87*$J$4+$M$4*$J$5+[31]FormattedData!G87^2*$J$6+$M$5*$J$7</f>
        <v>34.610594077177218</v>
      </c>
      <c r="O77" s="6">
        <f>$J$3+[31]FormattedData!H87*$J$4+$M$4*$J$5+[31]FormattedData!H87^2*$J$6+$M$5*$J$7</f>
        <v>32.697565283346286</v>
      </c>
      <c r="P77" s="6">
        <f>$J$3+[31]FormattedData!I87*$J$4+$M$4*$J$5+[31]FormattedData!I87^2*$J$6+$M$5*$J$7</f>
        <v>31.831186281922349</v>
      </c>
      <c r="Q77" s="6">
        <f>$J$3+[31]FormattedData!J87*$J$4+$M$4*$J$5+[31]FormattedData!J87^2*$J$6+$M$5*$J$7</f>
        <v>33.560520533197803</v>
      </c>
      <c r="R77" s="6">
        <f>$J$3+[31]FormattedData!K87*$J$4+$M$4*$J$5+[31]FormattedData!K87^2*$J$6+$M$5*$J$7</f>
        <v>30.670688444244441</v>
      </c>
      <c r="S77" s="6">
        <f>$J$3+[31]FormattedData!L87*$J$4+$M$4*$J$5+[31]FormattedData!L87^2*$J$6+$M$5*$J$7</f>
        <v>34.800967048725838</v>
      </c>
      <c r="T77" s="6">
        <f>$J$3+[31]FormattedData!M87*$J$4+$M$4*$J$5+[31]FormattedData!M87^2*$J$6+$M$5*$J$7</f>
        <v>34.991170946122715</v>
      </c>
      <c r="U77" s="6">
        <f>$J$3+[31]FormattedData!N87*$J$4+$M$4*$J$5+[31]FormattedData!N87^2*$J$6+$M$5*$J$7</f>
        <v>35.371071518461299</v>
      </c>
      <c r="V77" s="6">
        <f>$J$3+[31]FormattedData!O87*$J$4+$M$4*$J$5+[31]FormattedData!O87^2*$J$6+$M$5*$J$7</f>
        <v>36.128843773317797</v>
      </c>
      <c r="W77" s="5">
        <f t="shared" si="18"/>
        <v>33.690829470451042</v>
      </c>
      <c r="X77" s="4">
        <f t="shared" si="19"/>
        <v>0.45338659717754087</v>
      </c>
      <c r="Y77" s="3">
        <f t="shared" si="20"/>
        <v>30.670688444244441</v>
      </c>
      <c r="Z77" s="2">
        <f t="shared" si="21"/>
        <v>32.841613068145676</v>
      </c>
      <c r="AA77" s="3">
        <f t="shared" si="22"/>
        <v>33.608356820178059</v>
      </c>
      <c r="AB77" s="2">
        <f t="shared" si="23"/>
        <v>34.848518023075059</v>
      </c>
      <c r="AC77" s="2">
        <f t="shared" si="24"/>
        <v>36.128843773317797</v>
      </c>
      <c r="AD77" s="2">
        <f t="shared" si="25"/>
        <v>-0.34131931236141283</v>
      </c>
      <c r="AE77" s="2">
        <f t="shared" si="26"/>
        <v>-0.27631200775706066</v>
      </c>
    </row>
    <row r="78" spans="2:31" x14ac:dyDescent="0.2">
      <c r="B78" s="1">
        <f>[31]FormattedData!A85</f>
        <v>405</v>
      </c>
      <c r="C78" s="1" t="str">
        <f>VLOOKUP($B78,[31]TrtCodes!$B$11:I128,2)</f>
        <v>FDL</v>
      </c>
      <c r="D78" s="1">
        <f>VLOOKUP($B78,[31]TrtCodes!$B$11:J128,3)</f>
        <v>6</v>
      </c>
      <c r="E78" s="1">
        <f>VLOOKUP($B78,[31]TrtCodes!$B$11:K128,4)</f>
        <v>1</v>
      </c>
      <c r="F78" s="1">
        <f>VLOOKUP($B78,[31]TrtCodes!$B$11:L128,5)</f>
        <v>3</v>
      </c>
      <c r="G78" s="1">
        <f>VLOOKUP($B78,[31]TrtCodes!$B$11:M128,6)</f>
        <v>1</v>
      </c>
      <c r="H78" s="1">
        <f>VLOOKUP($B78,[31]TrtCodes!$B$11:N128,7)</f>
        <v>4</v>
      </c>
      <c r="I78" s="1">
        <f>[31]FormattedData!B85</f>
        <v>2</v>
      </c>
      <c r="J78" s="4">
        <f>[31]FormattedData!C85</f>
        <v>13.641999999999999</v>
      </c>
      <c r="K78" s="6">
        <f>$J$3+[31]FormattedData!D85*$J$4+$M$4*$J$5+[31]FormattedData!D85^2*$J$6+$M$5*$J$7</f>
        <v>33.177407551976437</v>
      </c>
      <c r="L78" s="6">
        <f>$J$3+[31]FormattedData!E85*$J$4+$M$4*$J$5+[31]FormattedData!E85^2*$J$6+$M$5*$J$7</f>
        <v>31.058197353410641</v>
      </c>
      <c r="M78" s="6">
        <f>$J$3+[31]FormattedData!F85*$J$4+$M$4*$J$5+[31]FormattedData!F85^2*$J$6+$M$5*$J$7</f>
        <v>33.656193107158309</v>
      </c>
      <c r="N78" s="6">
        <f>$J$3+[31]FormattedData!G85*$J$4+$M$4*$J$5+[31]FormattedData!G85^2*$J$6+$M$5*$J$7</f>
        <v>31.54163244776494</v>
      </c>
      <c r="O78" s="6">
        <f>$J$3+[31]FormattedData!H85*$J$4+$M$4*$J$5+[31]FormattedData!H85^2*$J$6+$M$5*$J$7</f>
        <v>34.420052031476878</v>
      </c>
      <c r="P78" s="6">
        <f>$J$3+[31]FormattedData!I85*$J$4+$M$4*$J$5+[31]FormattedData!I85^2*$J$6+$M$5*$J$7</f>
        <v>32.312930634759404</v>
      </c>
      <c r="Q78" s="6">
        <f>$J$3+[31]FormattedData!J85*$J$4+$M$4*$J$5+[31]FormattedData!J85^2*$J$6+$M$5*$J$7</f>
        <v>31.54163244776494</v>
      </c>
      <c r="R78" s="6">
        <f>$J$3+[31]FormattedData!K85*$J$4+$M$4*$J$5+[31]FormattedData!K85^2*$J$6+$M$5*$J$7</f>
        <v>33.560520533197803</v>
      </c>
      <c r="S78" s="6">
        <f>$J$3+[31]FormattedData!L85*$J$4+$M$4*$J$5+[31]FormattedData!L85^2*$J$6+$M$5*$J$7</f>
        <v>31.54163244776494</v>
      </c>
      <c r="T78" s="6">
        <f>$J$3+[31]FormattedData!M85*$J$4+$M$4*$J$5+[31]FormattedData!M85^2*$J$6+$M$5*$J$7</f>
        <v>32.02401082867096</v>
      </c>
      <c r="U78" s="6">
        <f>$J$3+[31]FormattedData!N85*$J$4+$M$4*$J$5+[31]FormattedData!N85^2*$J$6+$M$5*$J$7</f>
        <v>32.216666301267857</v>
      </c>
      <c r="V78" s="6">
        <f>$J$3+[31]FormattedData!O85*$J$4+$M$4*$J$5+[31]FormattedData!O85^2*$J$6+$M$5*$J$7</f>
        <v>31.251698196766164</v>
      </c>
      <c r="W78" s="5">
        <f t="shared" si="18"/>
        <v>32.35854782349827</v>
      </c>
      <c r="X78" s="4">
        <f t="shared" si="19"/>
        <v>0.31504158529318954</v>
      </c>
      <c r="Y78" s="3">
        <f t="shared" si="20"/>
        <v>31.058197353410641</v>
      </c>
      <c r="Z78" s="2">
        <f t="shared" si="21"/>
        <v>31.54163244776494</v>
      </c>
      <c r="AA78" s="3">
        <f t="shared" si="22"/>
        <v>32.120338564969408</v>
      </c>
      <c r="AB78" s="2">
        <f t="shared" si="23"/>
        <v>33.273185797281776</v>
      </c>
      <c r="AC78" s="2">
        <f t="shared" si="24"/>
        <v>34.420052031476878</v>
      </c>
      <c r="AD78" s="2">
        <f t="shared" si="25"/>
        <v>0.67151540325834036</v>
      </c>
      <c r="AE78" s="2">
        <f t="shared" si="26"/>
        <v>-0.79606827961993121</v>
      </c>
    </row>
    <row r="79" spans="2:31" x14ac:dyDescent="0.2">
      <c r="B79" s="1">
        <f>[31]FormattedData!A83</f>
        <v>406</v>
      </c>
      <c r="C79" s="1" t="str">
        <f>VLOOKUP($B79,[31]TrtCodes!$B$11:I126,2)</f>
        <v>FTH</v>
      </c>
      <c r="D79" s="1">
        <f>VLOOKUP($B79,[31]TrtCodes!$B$11:J126,3)</f>
        <v>3</v>
      </c>
      <c r="E79" s="1">
        <f>VLOOKUP($B79,[31]TrtCodes!$B$11:K126,4)</f>
        <v>1</v>
      </c>
      <c r="F79" s="1">
        <f>VLOOKUP($B79,[31]TrtCodes!$B$11:L126,5)</f>
        <v>2</v>
      </c>
      <c r="G79" s="1">
        <f>VLOOKUP($B79,[31]TrtCodes!$B$11:M126,6)</f>
        <v>2</v>
      </c>
      <c r="H79" s="1">
        <f>VLOOKUP($B79,[31]TrtCodes!$B$11:N126,7)</f>
        <v>4</v>
      </c>
      <c r="I79" s="1">
        <f>[31]FormattedData!B83</f>
        <v>2</v>
      </c>
      <c r="J79" s="4">
        <f>[31]FormattedData!C83</f>
        <v>13.625999999999999</v>
      </c>
      <c r="K79" s="6">
        <f>$J$3+[31]FormattedData!D83*$J$4+$M$4*$J$5+[31]FormattedData!D83^2*$J$6+$M$5*$J$7</f>
        <v>32.505332496128702</v>
      </c>
      <c r="L79" s="6">
        <f>$J$3+[31]FormattedData!E83*$J$4+$M$4*$J$5+[31]FormattedData!E83^2*$J$6+$M$5*$J$7</f>
        <v>32.505332496128702</v>
      </c>
      <c r="M79" s="6">
        <f>$J$3+[31]FormattedData!F83*$J$4+$M$4*$J$5+[31]FormattedData!F83^2*$J$6+$M$5*$J$7</f>
        <v>33.847411449465547</v>
      </c>
      <c r="N79" s="6">
        <f>$J$3+[31]FormattedData!G83*$J$4+$M$4*$J$5+[31]FormattedData!G83^2*$J$6+$M$5*$J$7</f>
        <v>32.120359699238364</v>
      </c>
      <c r="O79" s="6">
        <f>$J$3+[31]FormattedData!H83*$J$4+$M$4*$J$5+[31]FormattedData!H83^2*$J$6+$M$5*$J$7</f>
        <v>33.369048579662973</v>
      </c>
      <c r="P79" s="6">
        <f>$J$3+[31]FormattedData!I83*$J$4+$M$4*$J$5+[31]FormattedData!I83^2*$J$6+$M$5*$J$7</f>
        <v>34.229340911624824</v>
      </c>
      <c r="Q79" s="6">
        <f>$J$3+[31]FormattedData!J83*$J$4+$M$4*$J$5+[31]FormattedData!J83^2*$J$6+$M$5*$J$7</f>
        <v>32.793618274148173</v>
      </c>
      <c r="R79" s="6">
        <f>$J$3+[31]FormattedData!K83*$J$4+$M$4*$J$5+[31]FormattedData!K83^2*$J$6+$M$5*$J$7</f>
        <v>35.939654320831266</v>
      </c>
      <c r="S79" s="6">
        <f>$J$3+[31]FormattedData!L83*$J$4+$M$4*$J$5+[31]FormattedData!L83^2*$J$6+$M$5*$J$7</f>
        <v>34.515344188596025</v>
      </c>
      <c r="T79" s="6">
        <f>$J$3+[31]FormattedData!M83*$J$4+$M$4*$J$5+[31]FormattedData!M83^2*$J$6+$M$5*$J$7</f>
        <v>33.177407551976437</v>
      </c>
      <c r="U79" s="6">
        <f>$J$3+[31]FormattedData!N83*$J$4+$M$4*$J$5+[31]FormattedData!N83^2*$J$6+$M$5*$J$7</f>
        <v>33.75182341258089</v>
      </c>
      <c r="V79" s="6">
        <f>$J$3+[31]FormattedData!O83*$J$4+$M$4*$J$5+[31]FormattedData!O83^2*$J$6+$M$5*$J$7</f>
        <v>32.793618274148173</v>
      </c>
      <c r="W79" s="5">
        <f t="shared" si="18"/>
        <v>33.46235763787751</v>
      </c>
      <c r="X79" s="4">
        <f t="shared" si="19"/>
        <v>0.30997531991580485</v>
      </c>
      <c r="Y79" s="3">
        <f t="shared" si="20"/>
        <v>32.120359699238364</v>
      </c>
      <c r="Z79" s="2">
        <f t="shared" si="21"/>
        <v>32.721546829643302</v>
      </c>
      <c r="AA79" s="3">
        <f t="shared" si="22"/>
        <v>33.273228065819708</v>
      </c>
      <c r="AB79" s="2">
        <f t="shared" si="23"/>
        <v>33.942893815005363</v>
      </c>
      <c r="AC79" s="2">
        <f t="shared" si="24"/>
        <v>35.939654320831266</v>
      </c>
      <c r="AD79" s="2">
        <f t="shared" si="25"/>
        <v>1.0671417922472264</v>
      </c>
      <c r="AE79" s="2">
        <f t="shared" si="26"/>
        <v>1.2523993598070975</v>
      </c>
    </row>
    <row r="80" spans="2:31" x14ac:dyDescent="0.2">
      <c r="B80" s="1">
        <f>[31]FormattedData!A81</f>
        <v>407</v>
      </c>
      <c r="C80" s="1" t="str">
        <f>VLOOKUP($B80,[31]TrtCodes!$B$11:I124,2)</f>
        <v>NSH</v>
      </c>
      <c r="D80" s="1">
        <f>VLOOKUP($B80,[31]TrtCodes!$B$11:J124,3)</f>
        <v>7</v>
      </c>
      <c r="E80" s="1">
        <f>VLOOKUP($B80,[31]TrtCodes!$B$11:K124,4)</f>
        <v>2</v>
      </c>
      <c r="F80" s="1">
        <f>VLOOKUP($B80,[31]TrtCodes!$B$11:L124,5)</f>
        <v>1</v>
      </c>
      <c r="G80" s="1">
        <f>VLOOKUP($B80,[31]TrtCodes!$B$11:M124,6)</f>
        <v>2</v>
      </c>
      <c r="H80" s="1">
        <f>VLOOKUP($B80,[31]TrtCodes!$B$11:N124,7)</f>
        <v>4</v>
      </c>
      <c r="I80" s="1">
        <f>[31]FormattedData!B81</f>
        <v>2</v>
      </c>
      <c r="J80" s="4">
        <f>[31]FormattedData!C81</f>
        <v>13.609</v>
      </c>
      <c r="K80" s="6">
        <f>$J$3+[31]FormattedData!D81*$J$4+$M$4*$J$5+[31]FormattedData!D81^2*$J$6+$M$5*$J$7</f>
        <v>31.445029965969944</v>
      </c>
      <c r="L80" s="6">
        <f>$J$3+[31]FormattedData!E81*$J$4+$M$4*$J$5+[31]FormattedData!E81^2*$J$6+$M$5*$J$7</f>
        <v>31.54163244776494</v>
      </c>
      <c r="M80" s="6">
        <f>$J$3+[31]FormattedData!F81*$J$4+$M$4*$J$5+[31]FormattedData!F81^2*$J$6+$M$5*$J$7</f>
        <v>29.796320689151528</v>
      </c>
      <c r="N80" s="6">
        <f>$J$3+[31]FormattedData!G81*$J$4+$M$4*$J$5+[31]FormattedData!G81^2*$J$6+$M$5*$J$7</f>
        <v>30.185351265683238</v>
      </c>
      <c r="O80" s="6">
        <f>$J$3+[31]FormattedData!H81*$J$4+$M$4*$J$5+[31]FormattedData!H81^2*$J$6+$M$5*$J$7</f>
        <v>31.927619689565621</v>
      </c>
      <c r="P80" s="6">
        <f>$J$3+[31]FormattedData!I81*$J$4+$M$4*$J$5+[31]FormattedData!I81^2*$J$6+$M$5*$J$7</f>
        <v>31.058197353410641</v>
      </c>
      <c r="Q80" s="6">
        <f>$J$3+[31]FormattedData!J81*$J$4+$M$4*$J$5+[31]FormattedData!J81^2*$J$6+$M$5*$J$7</f>
        <v>29.89364173609135</v>
      </c>
      <c r="R80" s="6">
        <f>$J$3+[31]FormattedData!K81*$J$4+$M$4*$J$5+[31]FormattedData!K81^2*$J$6+$M$5*$J$7</f>
        <v>30.961383528925989</v>
      </c>
      <c r="S80" s="6">
        <f>$J$3+[31]FormattedData!L81*$J$4+$M$4*$J$5+[31]FormattedData!L81^2*$J$6+$M$5*$J$7</f>
        <v>32.216666301267857</v>
      </c>
      <c r="T80" s="6">
        <f>$J$3+[31]FormattedData!M81*$J$4+$M$4*$J$5+[31]FormattedData!M81^2*$J$6+$M$5*$J$7</f>
        <v>31.251698196766164</v>
      </c>
      <c r="U80" s="6">
        <f>$J$3+[31]FormattedData!N81*$J$4+$M$4*$J$5+[31]FormattedData!N81^2*$J$6+$M$5*$J$7</f>
        <v>31.251698196766164</v>
      </c>
      <c r="V80" s="6">
        <f>$J$3+[31]FormattedData!O81*$J$4+$M$4*$J$5+[31]FormattedData!O81^2*$J$6+$M$5*$J$7</f>
        <v>34.324717605819835</v>
      </c>
      <c r="W80" s="5">
        <f t="shared" si="18"/>
        <v>31.321163081431937</v>
      </c>
      <c r="X80" s="4">
        <f t="shared" si="19"/>
        <v>0.34941811149139557</v>
      </c>
      <c r="Y80" s="3">
        <f t="shared" si="20"/>
        <v>29.796320689151528</v>
      </c>
      <c r="Z80" s="2">
        <f t="shared" si="21"/>
        <v>30.7673754631153</v>
      </c>
      <c r="AA80" s="3">
        <f t="shared" si="22"/>
        <v>31.251698196766164</v>
      </c>
      <c r="AB80" s="2">
        <f t="shared" si="23"/>
        <v>31.638129258215109</v>
      </c>
      <c r="AC80" s="2">
        <f t="shared" si="24"/>
        <v>34.324717605819835</v>
      </c>
      <c r="AD80" s="2">
        <f t="shared" si="25"/>
        <v>1.2342766832012697</v>
      </c>
      <c r="AE80" s="2">
        <f t="shared" si="26"/>
        <v>2.8237653269990721</v>
      </c>
    </row>
    <row r="81" spans="2:31" x14ac:dyDescent="0.2">
      <c r="B81" s="1">
        <f>[31]FormattedData!A79</f>
        <v>408</v>
      </c>
      <c r="C81" s="1" t="str">
        <f>VLOOKUP($B81,[31]TrtCodes!$B$11:I122,2)</f>
        <v>NTL</v>
      </c>
      <c r="D81" s="1">
        <f>VLOOKUP($B81,[31]TrtCodes!$B$11:J122,3)</f>
        <v>10</v>
      </c>
      <c r="E81" s="1">
        <f>VLOOKUP($B81,[31]TrtCodes!$B$11:K122,4)</f>
        <v>2</v>
      </c>
      <c r="F81" s="1">
        <f>VLOOKUP($B81,[31]TrtCodes!$B$11:L122,5)</f>
        <v>2</v>
      </c>
      <c r="G81" s="1">
        <f>VLOOKUP($B81,[31]TrtCodes!$B$11:M122,6)</f>
        <v>1</v>
      </c>
      <c r="H81" s="1">
        <f>VLOOKUP($B81,[31]TrtCodes!$B$11:N122,7)</f>
        <v>4</v>
      </c>
      <c r="I81" s="1">
        <f>[31]FormattedData!B79</f>
        <v>2</v>
      </c>
      <c r="J81" s="4">
        <f>[31]FormattedData!C79</f>
        <v>13.593</v>
      </c>
      <c r="K81" s="6">
        <f>$J$3+[31]FormattedData!D79*$J$4+$M$4*$J$5+[31]FormattedData!D79^2*$J$6+$M$5*$J$7</f>
        <v>30.282503238471353</v>
      </c>
      <c r="L81" s="6">
        <f>$J$3+[31]FormattedData!E79*$J$4+$M$4*$J$5+[31]FormattedData!E79^2*$J$6+$M$5*$J$7</f>
        <v>31.638192661022003</v>
      </c>
      <c r="M81" s="6">
        <f>$J$3+[31]FormattedData!F79*$J$4+$M$4*$J$5+[31]FormattedData!F79^2*$J$6+$M$5*$J$7</f>
        <v>29.698957373673764</v>
      </c>
      <c r="N81" s="6">
        <f>$J$3+[31]FormattedData!G79*$J$4+$M$4*$J$5+[31]FormattedData!G79^2*$J$6+$M$5*$J$7</f>
        <v>28.722999449309974</v>
      </c>
      <c r="O81" s="6">
        <f>$J$3+[31]FormattedData!H79*$J$4+$M$4*$J$5+[31]FormattedData!H79^2*$J$6+$M$5*$J$7</f>
        <v>30.864527435903408</v>
      </c>
      <c r="P81" s="6">
        <f>$J$3+[31]FormattedData!I79*$J$4+$M$4*$J$5+[31]FormattedData!I79^2*$J$6+$M$5*$J$7</f>
        <v>30.379612942721522</v>
      </c>
      <c r="Q81" s="6">
        <f>$J$3+[31]FormattedData!J79*$J$4+$M$4*$J$5+[31]FormattedData!J79^2*$J$6+$M$5*$J$7</f>
        <v>29.698957373673764</v>
      </c>
      <c r="R81" s="6">
        <f>$J$3+[31]FormattedData!K79*$J$4+$M$4*$J$5+[31]FormattedData!K79^2*$J$6+$M$5*$J$7</f>
        <v>30.282503238471353</v>
      </c>
      <c r="S81" s="6">
        <f>$J$3+[31]FormattedData!L79*$J$4+$M$4*$J$5+[31]FormattedData!L79^2*$J$6+$M$5*$J$7</f>
        <v>30.670688444244441</v>
      </c>
      <c r="T81" s="6">
        <f>$J$3+[31]FormattedData!M79*$J$4+$M$4*$J$5+[31]FormattedData!M79^2*$J$6+$M$5*$J$7</f>
        <v>30.282503238471353</v>
      </c>
      <c r="U81" s="6">
        <f>$J$3+[31]FormattedData!N79*$J$4+$M$4*$J$5+[31]FormattedData!N79^2*$J$6+$M$5*$J$7</f>
        <v>29.796320689151528</v>
      </c>
      <c r="V81" s="6">
        <f>$J$3+[31]FormattedData!O79*$J$4+$M$4*$J$5+[31]FormattedData!O79^2*$J$6+$M$5*$J$7</f>
        <v>29.504103937104453</v>
      </c>
      <c r="W81" s="5">
        <f t="shared" si="18"/>
        <v>30.151822501851569</v>
      </c>
      <c r="X81" s="4">
        <f t="shared" si="19"/>
        <v>0.21474468863252155</v>
      </c>
      <c r="Y81" s="3">
        <f t="shared" si="20"/>
        <v>28.722999449309974</v>
      </c>
      <c r="Z81" s="2">
        <f t="shared" si="21"/>
        <v>29.698957373673764</v>
      </c>
      <c r="AA81" s="3">
        <f t="shared" si="22"/>
        <v>30.282503238471353</v>
      </c>
      <c r="AB81" s="2">
        <f t="shared" si="23"/>
        <v>30.452381818102253</v>
      </c>
      <c r="AC81" s="2">
        <f t="shared" si="24"/>
        <v>31.638192661022003</v>
      </c>
      <c r="AD81" s="2">
        <f t="shared" si="25"/>
        <v>0.10192931113537403</v>
      </c>
      <c r="AE81" s="2">
        <f t="shared" si="26"/>
        <v>0.93682654744382354</v>
      </c>
    </row>
    <row r="82" spans="2:31" x14ac:dyDescent="0.2">
      <c r="B82" s="1">
        <f>[31]FormattedData!A59</f>
        <v>902</v>
      </c>
      <c r="C82" s="1" t="str">
        <f>VLOOKUP($B82,[31]TrtCodes!$B$11:I102,2)</f>
        <v>Late</v>
      </c>
      <c r="D82" s="1">
        <f>VLOOKUP($B82,[31]TrtCodes!$B$11:J102,3)</f>
        <v>22</v>
      </c>
      <c r="E82" s="1">
        <f>VLOOKUP($B82,[31]TrtCodes!$B$11:K102,4)</f>
        <v>4</v>
      </c>
      <c r="F82" s="1">
        <f>VLOOKUP($B82,[31]TrtCodes!$B$11:L102,5)</f>
        <v>2</v>
      </c>
      <c r="G82" s="1">
        <f>VLOOKUP($B82,[31]TrtCodes!$B$11:M102,6)</f>
        <v>2</v>
      </c>
      <c r="H82" s="1">
        <f>VLOOKUP($B82,[31]TrtCodes!$B$11:N102,7)</f>
        <v>1</v>
      </c>
      <c r="I82" s="1">
        <f>[31]FormattedData!B59</f>
        <v>2</v>
      </c>
      <c r="J82" s="4">
        <f>[31]FormattedData!C59</f>
        <v>13.429</v>
      </c>
      <c r="K82" s="6">
        <f>$J$3+[31]FormattedData!D59*$J$4+$M$4*$J$5+[31]FormattedData!D59^2*$J$6+$M$5*$J$7</f>
        <v>41.265297783490496</v>
      </c>
      <c r="L82" s="6">
        <f>$J$3+[31]FormattedData!E59*$J$4+$M$4*$J$5+[31]FormattedData!E59^2*$J$6+$M$5*$J$7</f>
        <v>36.128843773317797</v>
      </c>
      <c r="M82" s="6">
        <f>$J$3+[31]FormattedData!F59*$J$4+$M$4*$J$5+[31]FormattedData!F59^2*$J$6+$M$5*$J$7</f>
        <v>39.691319281734323</v>
      </c>
      <c r="N82" s="6">
        <f>$J$3+[31]FormattedData!G59*$J$4+$M$4*$J$5+[31]FormattedData!G59^2*$J$6+$M$5*$J$7</f>
        <v>38.759743322198233</v>
      </c>
      <c r="O82" s="6">
        <f>$J$3+[31]FormattedData!H59*$J$4+$M$4*$J$5+[31]FormattedData!H59^2*$J$6+$M$5*$J$7</f>
        <v>40.248235967635281</v>
      </c>
      <c r="P82" s="6">
        <f>$J$3+[31]FormattedData!I59*$J$4+$M$4*$J$5+[31]FormattedData!I59^2*$J$6+$M$5*$J$7</f>
        <v>39.9699678331055</v>
      </c>
      <c r="Q82" s="6">
        <f>$J$3+[31]FormattedData!J59*$J$4+$M$4*$J$5+[31]FormattedData!J59^2*$J$6+$M$5*$J$7</f>
        <v>42.368986706188942</v>
      </c>
      <c r="R82" s="6">
        <f>$J$3+[31]FormattedData!K59*$J$4+$M$4*$J$5+[31]FormattedData!K59^2*$J$6+$M$5*$J$7</f>
        <v>37.448435864475265</v>
      </c>
      <c r="S82" s="6">
        <f>$J$3+[31]FormattedData!L59*$J$4+$M$4*$J$5+[31]FormattedData!L59^2*$J$6+$M$5*$J$7</f>
        <v>35.65555312806697</v>
      </c>
      <c r="T82" s="6">
        <f>$J$3+[31]FormattedData!M59*$J$4+$M$4*$J$5+[31]FormattedData!M59^2*$J$6+$M$5*$J$7</f>
        <v>39.41229031352178</v>
      </c>
      <c r="U82" s="6">
        <f>$J$3+[31]FormattedData!N59*$J$4+$M$4*$J$5+[31]FormattedData!N59^2*$J$6+$M$5*$J$7</f>
        <v>36.412310938013121</v>
      </c>
      <c r="V82" s="6">
        <f>$J$3+[31]FormattedData!O59*$J$4+$M$4*$J$5+[31]FormattedData!O59^2*$J$6+$M$5*$J$7</f>
        <v>39.319196120375061</v>
      </c>
      <c r="W82" s="5">
        <f t="shared" si="18"/>
        <v>38.89001508601023</v>
      </c>
      <c r="X82" s="4">
        <f t="shared" si="19"/>
        <v>0.6041227042645384</v>
      </c>
      <c r="Y82" s="3">
        <f t="shared" si="20"/>
        <v>35.65555312806697</v>
      </c>
      <c r="Z82" s="2">
        <f t="shared" si="21"/>
        <v>37.189404632859727</v>
      </c>
      <c r="AA82" s="3">
        <f t="shared" si="22"/>
        <v>39.365743216948417</v>
      </c>
      <c r="AB82" s="2">
        <f t="shared" si="23"/>
        <v>40.039534866737945</v>
      </c>
      <c r="AC82" s="2">
        <f t="shared" si="24"/>
        <v>42.368986706188942</v>
      </c>
      <c r="AD82" s="2">
        <f t="shared" si="25"/>
        <v>-0.15579161927243376</v>
      </c>
      <c r="AE82" s="2">
        <f t="shared" si="26"/>
        <v>-0.80317652460659517</v>
      </c>
    </row>
    <row r="83" spans="2:31" x14ac:dyDescent="0.2">
      <c r="B83" s="1">
        <f>[31]FormattedData!A55</f>
        <v>904</v>
      </c>
      <c r="C83" s="1" t="str">
        <f>VLOOKUP($B83,[31]TrtCodes!$B$11:I98,2)</f>
        <v>Early</v>
      </c>
      <c r="D83" s="1">
        <f>VLOOKUP($B83,[31]TrtCodes!$B$11:J98,3)</f>
        <v>21</v>
      </c>
      <c r="E83" s="1">
        <f>VLOOKUP($B83,[31]TrtCodes!$B$11:K98,4)</f>
        <v>3</v>
      </c>
      <c r="F83" s="1">
        <f>VLOOKUP($B83,[31]TrtCodes!$B$11:L98,5)</f>
        <v>2</v>
      </c>
      <c r="G83" s="1">
        <f>VLOOKUP($B83,[31]TrtCodes!$B$11:M98,6)</f>
        <v>2</v>
      </c>
      <c r="H83" s="1">
        <f>VLOOKUP($B83,[31]TrtCodes!$B$11:N98,7)</f>
        <v>1</v>
      </c>
      <c r="I83" s="1">
        <f>[31]FormattedData!B55</f>
        <v>2</v>
      </c>
      <c r="J83" s="4">
        <f>[31]FormattedData!C55</f>
        <v>13.403</v>
      </c>
      <c r="K83" s="6">
        <f>$J$3+[31]FormattedData!D55*$J$4+$M$4*$J$5+[31]FormattedData!D55^2*$J$6+$M$5*$J$7</f>
        <v>39.784244400729314</v>
      </c>
      <c r="L83" s="6">
        <f>$J$3+[31]FormattedData!E55*$J$4+$M$4*$J$5+[31]FormattedData!E55^2*$J$6+$M$5*$J$7</f>
        <v>39.598351894201407</v>
      </c>
      <c r="M83" s="6">
        <f>$J$3+[31]FormattedData!F55*$J$4+$M$4*$J$5+[31]FormattedData!F55^2*$J$6+$M$5*$J$7</f>
        <v>35.465940990201126</v>
      </c>
      <c r="N83" s="6">
        <f>$J$3+[31]FormattedData!G55*$J$4+$M$4*$J$5+[31]FormattedData!G55^2*$J$6+$M$5*$J$7</f>
        <v>39.41229031352178</v>
      </c>
      <c r="O83" s="6">
        <f>$J$3+[31]FormattedData!H55*$J$4+$M$4*$J$5+[31]FormattedData!H55^2*$J$6+$M$5*$J$7</f>
        <v>39.505342238130559</v>
      </c>
      <c r="P83" s="6">
        <f>$J$3+[31]FormattedData!I55*$J$4+$M$4*$J$5+[31]FormattedData!I55^2*$J$6+$M$5*$J$7</f>
        <v>41.35750433734065</v>
      </c>
      <c r="Q83" s="6">
        <f>$J$3+[31]FormattedData!J55*$J$4+$M$4*$J$5+[31]FormattedData!J55^2*$J$6+$M$5*$J$7</f>
        <v>36.223375096754175</v>
      </c>
      <c r="R83" s="6">
        <f>$J$3+[31]FormattedData!K55*$J$4+$M$4*$J$5+[31]FormattedData!K55^2*$J$6+$M$5*$J$7</f>
        <v>40.062766146486695</v>
      </c>
      <c r="S83" s="6">
        <f>$J$3+[31]FormattedData!L55*$J$4+$M$4*$J$5+[31]FormattedData!L55^2*$J$6+$M$5*$J$7</f>
        <v>40.896048882710545</v>
      </c>
      <c r="T83" s="6">
        <f>$J$3+[31]FormattedData!M55*$J$4+$M$4*$J$5+[31]FormattedData!M55^2*$J$6+$M$5*$J$7</f>
        <v>41.173048961102396</v>
      </c>
      <c r="U83" s="6">
        <f>$J$3+[31]FormattedData!N55*$J$4+$M$4*$J$5+[31]FormattedData!N55^2*$J$6+$M$5*$J$7</f>
        <v>41.080757870176377</v>
      </c>
      <c r="V83" s="6">
        <f>$J$3+[31]FormattedData!O55*$J$4+$M$4*$J$5+[31]FormattedData!O55^2*$J$6+$M$5*$J$7</f>
        <v>42.735530420541295</v>
      </c>
      <c r="W83" s="5">
        <f t="shared" si="18"/>
        <v>39.774600129324696</v>
      </c>
      <c r="X83" s="4">
        <f t="shared" si="19"/>
        <v>0.60104552552995483</v>
      </c>
      <c r="Y83" s="3">
        <f t="shared" si="20"/>
        <v>35.465940990201126</v>
      </c>
      <c r="Z83" s="2">
        <f t="shared" si="21"/>
        <v>39.482079256978366</v>
      </c>
      <c r="AA83" s="3">
        <f t="shared" si="22"/>
        <v>39.923505273608001</v>
      </c>
      <c r="AB83" s="2">
        <f t="shared" si="23"/>
        <v>41.10383064290788</v>
      </c>
      <c r="AC83" s="2">
        <f t="shared" si="24"/>
        <v>42.735530420541295</v>
      </c>
      <c r="AD83" s="2">
        <f t="shared" si="25"/>
        <v>-1.0699255424861307</v>
      </c>
      <c r="AE83" s="2">
        <f t="shared" si="26"/>
        <v>0.95711918506427018</v>
      </c>
    </row>
    <row r="84" spans="2:31" x14ac:dyDescent="0.2">
      <c r="B84" s="1">
        <f>[31]FormattedData!A51</f>
        <v>906</v>
      </c>
      <c r="C84" s="1" t="str">
        <f>VLOOKUP($B84,[31]TrtCodes!$B$11:I94,2)</f>
        <v>Late</v>
      </c>
      <c r="D84" s="1">
        <f>VLOOKUP($B84,[31]TrtCodes!$B$11:J94,3)</f>
        <v>22</v>
      </c>
      <c r="E84" s="1">
        <f>VLOOKUP($B84,[31]TrtCodes!$B$11:K94,4)</f>
        <v>4</v>
      </c>
      <c r="F84" s="1">
        <f>VLOOKUP($B84,[31]TrtCodes!$B$11:L94,5)</f>
        <v>2</v>
      </c>
      <c r="G84" s="1">
        <f>VLOOKUP($B84,[31]TrtCodes!$B$11:M94,6)</f>
        <v>2</v>
      </c>
      <c r="H84" s="1">
        <f>VLOOKUP($B84,[31]TrtCodes!$B$11:N94,7)</f>
        <v>2</v>
      </c>
      <c r="I84" s="1">
        <f>[31]FormattedData!B51</f>
        <v>2</v>
      </c>
      <c r="J84" s="4">
        <f>[31]FormattedData!C51</f>
        <v>13.377000000000001</v>
      </c>
      <c r="K84" s="6">
        <f>$J$3+[31]FormattedData!D51*$J$4+$M$4*$J$5+[31]FormattedData!D51^2*$J$6+$M$5*$J$7</f>
        <v>39.226059658690417</v>
      </c>
      <c r="L84" s="6">
        <f>$J$3+[31]FormattedData!E51*$J$4+$M$4*$J$5+[31]FormattedData!E51^2*$J$6+$M$5*$J$7</f>
        <v>39.319196120375061</v>
      </c>
      <c r="M84" s="6">
        <f>$J$3+[31]FormattedData!F51*$J$4+$M$4*$J$5+[31]FormattedData!F51^2*$J$6+$M$5*$J$7</f>
        <v>37.730127750577488</v>
      </c>
      <c r="N84" s="6">
        <f>$J$3+[31]FormattedData!G51*$J$4+$M$4*$J$5+[31]FormattedData!G51^2*$J$6+$M$5*$J$7</f>
        <v>35.371071518461299</v>
      </c>
      <c r="O84" s="6">
        <f>$J$3+[31]FormattedData!H51*$J$4+$M$4*$J$5+[31]FormattedData!H51^2*$J$6+$M$5*$J$7</f>
        <v>39.87712725118638</v>
      </c>
      <c r="P84" s="6">
        <f>$J$3+[31]FormattedData!I51*$J$4+$M$4*$J$5+[31]FormattedData!I51^2*$J$6+$M$5*$J$7</f>
        <v>39.784244400729314</v>
      </c>
      <c r="Q84" s="6">
        <f>$J$3+[31]FormattedData!J51*$J$4+$M$4*$J$5+[31]FormattedData!J51^2*$J$6+$M$5*$J$7</f>
        <v>38.572920907835844</v>
      </c>
      <c r="R84" s="6">
        <f>$J$3+[31]FormattedData!K51*$J$4+$M$4*$J$5+[31]FormattedData!K51^2*$J$6+$M$5*$J$7</f>
        <v>35.939654320831266</v>
      </c>
      <c r="S84" s="6">
        <f>$J$3+[31]FormattedData!L51*$J$4+$M$4*$J$5+[31]FormattedData!L51^2*$J$6+$M$5*$J$7</f>
        <v>39.41229031352178</v>
      </c>
      <c r="T84" s="6">
        <f>$J$3+[31]FormattedData!M51*$J$4+$M$4*$J$5+[31]FormattedData!M51^2*$J$6+$M$5*$J$7</f>
        <v>40.526123685323704</v>
      </c>
      <c r="U84" s="6">
        <f>$J$3+[31]FormattedData!N51*$J$4+$M$4*$J$5+[31]FormattedData!N51^2*$J$6+$M$5*$J$7</f>
        <v>43.28407793593189</v>
      </c>
      <c r="V84" s="6">
        <f>$J$3+[31]FormattedData!O51*$J$4+$M$4*$J$5+[31]FormattedData!O51^2*$J$6+$M$5*$J$7</f>
        <v>42.643957894760106</v>
      </c>
      <c r="W84" s="5">
        <f t="shared" si="18"/>
        <v>39.307237646518708</v>
      </c>
      <c r="X84" s="4">
        <f t="shared" si="19"/>
        <v>0.66779397315327227</v>
      </c>
      <c r="Y84" s="3">
        <f t="shared" si="20"/>
        <v>35.371071518461299</v>
      </c>
      <c r="Z84" s="2">
        <f t="shared" si="21"/>
        <v>38.362222618521258</v>
      </c>
      <c r="AA84" s="3">
        <f t="shared" si="22"/>
        <v>39.365743216948417</v>
      </c>
      <c r="AB84" s="2">
        <f t="shared" si="23"/>
        <v>40.039376359720713</v>
      </c>
      <c r="AC84" s="2">
        <f t="shared" si="24"/>
        <v>43.28407793593189</v>
      </c>
      <c r="AD84" s="2">
        <f t="shared" si="25"/>
        <v>-1.1842131226316157E-2</v>
      </c>
      <c r="AE84" s="2">
        <f t="shared" si="26"/>
        <v>0.10219964521792058</v>
      </c>
    </row>
    <row r="85" spans="2:31" x14ac:dyDescent="0.2">
      <c r="B85" s="1">
        <f>[31]FormattedData!A47</f>
        <v>908</v>
      </c>
      <c r="C85" s="1" t="str">
        <f>VLOOKUP($B85,[31]TrtCodes!$B$11:I90,2)</f>
        <v>Early</v>
      </c>
      <c r="D85" s="1">
        <f>VLOOKUP($B85,[31]TrtCodes!$B$11:J90,3)</f>
        <v>21</v>
      </c>
      <c r="E85" s="1">
        <f>VLOOKUP($B85,[31]TrtCodes!$B$11:K90,4)</f>
        <v>3</v>
      </c>
      <c r="F85" s="1">
        <f>VLOOKUP($B85,[31]TrtCodes!$B$11:L90,5)</f>
        <v>2</v>
      </c>
      <c r="G85" s="1">
        <f>VLOOKUP($B85,[31]TrtCodes!$B$11:M90,6)</f>
        <v>2</v>
      </c>
      <c r="H85" s="1">
        <f>VLOOKUP($B85,[31]TrtCodes!$B$11:N90,7)</f>
        <v>2</v>
      </c>
      <c r="I85" s="1">
        <f>[31]FormattedData!B47</f>
        <v>2</v>
      </c>
      <c r="J85" s="4">
        <f>[31]FormattedData!C47</f>
        <v>13.35</v>
      </c>
      <c r="K85" s="6">
        <f>$J$3+[31]FormattedData!D47*$J$4+$M$4*$J$5+[31]FormattedData!D47^2*$J$6+$M$5*$J$7</f>
        <v>42.368986706188942</v>
      </c>
      <c r="L85" s="6">
        <f>$J$3+[31]FormattedData!E47*$J$4+$M$4*$J$5+[31]FormattedData!E47^2*$J$6+$M$5*$J$7</f>
        <v>41.725907867361983</v>
      </c>
      <c r="M85" s="6">
        <f>$J$3+[31]FormattedData!F47*$J$4+$M$4*$J$5+[31]FormattedData!F47^2*$J$6+$M$5*$J$7</f>
        <v>40.618668387477307</v>
      </c>
      <c r="N85" s="6">
        <f>$J$3+[31]FormattedData!G47*$J$4+$M$4*$J$5+[31]FormattedData!G47^2*$J$6+$M$5*$J$7</f>
        <v>41.817903078522477</v>
      </c>
      <c r="O85" s="6">
        <f>$J$3+[31]FormattedData!H47*$J$4+$M$4*$J$5+[31]FormattedData!H47^2*$J$6+$M$5*$J$7</f>
        <v>37.636272723748014</v>
      </c>
      <c r="P85" s="6">
        <f>$J$3+[31]FormattedData!I47*$J$4+$M$4*$J$5+[31]FormattedData!I47^2*$J$6+$M$5*$J$7</f>
        <v>42.552343100440993</v>
      </c>
      <c r="Q85" s="6">
        <f>$J$3+[31]FormattedData!J47*$J$4+$M$4*$J$5+[31]FormattedData!J47^2*$J$6+$M$5*$J$7</f>
        <v>41.173048961102396</v>
      </c>
      <c r="R85" s="6">
        <f>$J$3+[31]FormattedData!K47*$J$4+$M$4*$J$5+[31]FormattedData!K47^2*$J$6+$M$5*$J$7</f>
        <v>38.759743322198233</v>
      </c>
      <c r="S85" s="6">
        <f>$J$3+[31]FormattedData!L47*$J$4+$M$4*$J$5+[31]FormattedData!L47^2*$J$6+$M$5*$J$7</f>
        <v>36.3178641516526</v>
      </c>
      <c r="T85" s="6">
        <f>$J$3+[31]FormattedData!M47*$J$4+$M$4*$J$5+[31]FormattedData!M47^2*$J$6+$M$5*$J$7</f>
        <v>31.54163244776494</v>
      </c>
      <c r="U85" s="6">
        <f>$J$3+[31]FormattedData!N47*$J$4+$M$4*$J$5+[31]FormattedData!N47^2*$J$6+$M$5*$J$7</f>
        <v>39.691319281734323</v>
      </c>
      <c r="V85" s="6">
        <f>$J$3+[31]FormattedData!O47*$J$4+$M$4*$J$5+[31]FormattedData!O47^2*$J$6+$M$5*$J$7</f>
        <v>42.918548666489883</v>
      </c>
      <c r="W85" s="5">
        <f t="shared" si="18"/>
        <v>39.760186557890172</v>
      </c>
      <c r="X85" s="4">
        <f t="shared" si="19"/>
        <v>0.95473108582127031</v>
      </c>
      <c r="Y85" s="3">
        <f t="shared" si="20"/>
        <v>31.54163244776494</v>
      </c>
      <c r="Z85" s="2">
        <f t="shared" si="21"/>
        <v>38.47887567258568</v>
      </c>
      <c r="AA85" s="3">
        <f t="shared" si="22"/>
        <v>40.895858674289855</v>
      </c>
      <c r="AB85" s="2">
        <f t="shared" si="23"/>
        <v>41.955673985439091</v>
      </c>
      <c r="AC85" s="2">
        <f t="shared" si="24"/>
        <v>42.918548666489883</v>
      </c>
      <c r="AD85" s="2">
        <f t="shared" si="25"/>
        <v>-1.5551498779524584</v>
      </c>
      <c r="AE85" s="2">
        <f t="shared" si="26"/>
        <v>2.5098205229065949</v>
      </c>
    </row>
    <row r="88" spans="2:31" x14ac:dyDescent="0.2">
      <c r="W88" s="2"/>
    </row>
  </sheetData>
  <autoFilter ref="B9:AE85" xr:uid="{34A6183D-E53F-42D3-9A77-17DFDB036A05}"/>
  <conditionalFormatting sqref="K10:V85">
    <cfRule type="cellIs" dxfId="3" priority="1" stopIfTrue="1" operator="lessThan">
      <formula>$W10-$V$5*$X10</formula>
    </cfRule>
    <cfRule type="cellIs" dxfId="2" priority="2" stopIfTrue="1" operator="greaterThan">
      <formula>$W10+$V$5*$X10</formula>
    </cfRule>
  </conditionalFormatting>
  <conditionalFormatting sqref="W10:W85">
    <cfRule type="cellIs" dxfId="1" priority="3" stopIfTrue="1" operator="lessThan">
      <formula>AVERAGE($W$10:$W$41)</formula>
    </cfRule>
    <cfRule type="cellIs" dxfId="0" priority="4" stopIfTrue="1" operator="greaterThan">
      <formula>AVERAGE($W$10:$W$41)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1560</vt:i4>
      </vt:variant>
    </vt:vector>
  </HeadingPairs>
  <TitlesOfParts>
    <vt:vector size="1614" baseType="lpstr">
      <vt:lpstr>Composite</vt:lpstr>
      <vt:lpstr>Canopy</vt:lpstr>
      <vt:lpstr>DOY128</vt:lpstr>
      <vt:lpstr>DOY132</vt:lpstr>
      <vt:lpstr>DOY136</vt:lpstr>
      <vt:lpstr>DOY139</vt:lpstr>
      <vt:lpstr>DOY141</vt:lpstr>
      <vt:lpstr>DOY143</vt:lpstr>
      <vt:lpstr>DOY147</vt:lpstr>
      <vt:lpstr>DOY148</vt:lpstr>
      <vt:lpstr>DOY149</vt:lpstr>
      <vt:lpstr>DOY150</vt:lpstr>
      <vt:lpstr>DOY153</vt:lpstr>
      <vt:lpstr>DOY154</vt:lpstr>
      <vt:lpstr>DOY155</vt:lpstr>
      <vt:lpstr>DOY156</vt:lpstr>
      <vt:lpstr>DOY157</vt:lpstr>
      <vt:lpstr>DOY160</vt:lpstr>
      <vt:lpstr>DOY161</vt:lpstr>
      <vt:lpstr>DOY162</vt:lpstr>
      <vt:lpstr>DOY163</vt:lpstr>
      <vt:lpstr>DOY164</vt:lpstr>
      <vt:lpstr>DOY167</vt:lpstr>
      <vt:lpstr>DOY168</vt:lpstr>
      <vt:lpstr>DOY169</vt:lpstr>
      <vt:lpstr>DOY170</vt:lpstr>
      <vt:lpstr>DOY171</vt:lpstr>
      <vt:lpstr>DOY173</vt:lpstr>
      <vt:lpstr>DOY174</vt:lpstr>
      <vt:lpstr>DOY175</vt:lpstr>
      <vt:lpstr>DOY176</vt:lpstr>
      <vt:lpstr>DOY177</vt:lpstr>
      <vt:lpstr>DOY178</vt:lpstr>
      <vt:lpstr>DOY180</vt:lpstr>
      <vt:lpstr>DOY181</vt:lpstr>
      <vt:lpstr>DOY182</vt:lpstr>
      <vt:lpstr>DOY183</vt:lpstr>
      <vt:lpstr>DOY184</vt:lpstr>
      <vt:lpstr>DOY185</vt:lpstr>
      <vt:lpstr>DOY188</vt:lpstr>
      <vt:lpstr>DOY189</vt:lpstr>
      <vt:lpstr>DOY195</vt:lpstr>
      <vt:lpstr>DOY196</vt:lpstr>
      <vt:lpstr>DOY197</vt:lpstr>
      <vt:lpstr>DOY198</vt:lpstr>
      <vt:lpstr>DOY213</vt:lpstr>
      <vt:lpstr>DOY216</vt:lpstr>
      <vt:lpstr>DOY246</vt:lpstr>
      <vt:lpstr>DOY247</vt:lpstr>
      <vt:lpstr>DOY248</vt:lpstr>
      <vt:lpstr>DOY251</vt:lpstr>
      <vt:lpstr>DOY252</vt:lpstr>
      <vt:lpstr>DOY253</vt:lpstr>
      <vt:lpstr>DOY254</vt:lpstr>
      <vt:lpstr>_____________________________________________________Obs1</vt:lpstr>
      <vt:lpstr>_____________________________________________________Obs10</vt:lpstr>
      <vt:lpstr>_____________________________________________________Obs11</vt:lpstr>
      <vt:lpstr>_____________________________________________________Obs12</vt:lpstr>
      <vt:lpstr>_____________________________________________________Obs2</vt:lpstr>
      <vt:lpstr>_____________________________________________________Obs3</vt:lpstr>
      <vt:lpstr>_____________________________________________________Obs4</vt:lpstr>
      <vt:lpstr>_____________________________________________________Obs5</vt:lpstr>
      <vt:lpstr>_____________________________________________________Obs6</vt:lpstr>
      <vt:lpstr>_____________________________________________________Obs7</vt:lpstr>
      <vt:lpstr>_____________________________________________________Obs8</vt:lpstr>
      <vt:lpstr>_____________________________________________________Obs9</vt:lpstr>
      <vt:lpstr>____________________________________________________Obs1</vt:lpstr>
      <vt:lpstr>____________________________________________________Obs10</vt:lpstr>
      <vt:lpstr>____________________________________________________Obs11</vt:lpstr>
      <vt:lpstr>____________________________________________________Obs12</vt:lpstr>
      <vt:lpstr>____________________________________________________Obs2</vt:lpstr>
      <vt:lpstr>____________________________________________________Obs3</vt:lpstr>
      <vt:lpstr>____________________________________________________Obs4</vt:lpstr>
      <vt:lpstr>____________________________________________________Obs5</vt:lpstr>
      <vt:lpstr>____________________________________________________Obs6</vt:lpstr>
      <vt:lpstr>____________________________________________________Obs7</vt:lpstr>
      <vt:lpstr>____________________________________________________Obs8</vt:lpstr>
      <vt:lpstr>____________________________________________________Obs9</vt:lpstr>
      <vt:lpstr>___________________________________________________Obs1</vt:lpstr>
      <vt:lpstr>___________________________________________________Obs10</vt:lpstr>
      <vt:lpstr>___________________________________________________Obs11</vt:lpstr>
      <vt:lpstr>___________________________________________________Obs12</vt:lpstr>
      <vt:lpstr>___________________________________________________Obs2</vt:lpstr>
      <vt:lpstr>___________________________________________________Obs3</vt:lpstr>
      <vt:lpstr>___________________________________________________Obs4</vt:lpstr>
      <vt:lpstr>___________________________________________________Obs5</vt:lpstr>
      <vt:lpstr>___________________________________________________Obs6</vt:lpstr>
      <vt:lpstr>___________________________________________________Obs7</vt:lpstr>
      <vt:lpstr>___________________________________________________Obs8</vt:lpstr>
      <vt:lpstr>___________________________________________________Obs9</vt:lpstr>
      <vt:lpstr>__________________________________________________Obs1</vt:lpstr>
      <vt:lpstr>__________________________________________________Obs10</vt:lpstr>
      <vt:lpstr>__________________________________________________Obs11</vt:lpstr>
      <vt:lpstr>__________________________________________________Obs12</vt:lpstr>
      <vt:lpstr>__________________________________________________Obs2</vt:lpstr>
      <vt:lpstr>__________________________________________________Obs3</vt:lpstr>
      <vt:lpstr>__________________________________________________Obs4</vt:lpstr>
      <vt:lpstr>__________________________________________________Obs5</vt:lpstr>
      <vt:lpstr>__________________________________________________Obs6</vt:lpstr>
      <vt:lpstr>__________________________________________________Obs7</vt:lpstr>
      <vt:lpstr>__________________________________________________Obs8</vt:lpstr>
      <vt:lpstr>__________________________________________________Obs9</vt:lpstr>
      <vt:lpstr>_________________________________________________Obs1</vt:lpstr>
      <vt:lpstr>_________________________________________________Obs10</vt:lpstr>
      <vt:lpstr>_________________________________________________Obs11</vt:lpstr>
      <vt:lpstr>_________________________________________________Obs12</vt:lpstr>
      <vt:lpstr>_________________________________________________Obs2</vt:lpstr>
      <vt:lpstr>_________________________________________________Obs3</vt:lpstr>
      <vt:lpstr>_________________________________________________Obs4</vt:lpstr>
      <vt:lpstr>_________________________________________________Obs5</vt:lpstr>
      <vt:lpstr>_________________________________________________Obs6</vt:lpstr>
      <vt:lpstr>_________________________________________________Obs7</vt:lpstr>
      <vt:lpstr>_________________________________________________Obs8</vt:lpstr>
      <vt:lpstr>_________________________________________________Obs9</vt:lpstr>
      <vt:lpstr>________________________________________________Obs1</vt:lpstr>
      <vt:lpstr>________________________________________________Obs10</vt:lpstr>
      <vt:lpstr>________________________________________________Obs11</vt:lpstr>
      <vt:lpstr>________________________________________________Obs12</vt:lpstr>
      <vt:lpstr>________________________________________________Obs2</vt:lpstr>
      <vt:lpstr>________________________________________________Obs3</vt:lpstr>
      <vt:lpstr>________________________________________________Obs4</vt:lpstr>
      <vt:lpstr>________________________________________________Obs5</vt:lpstr>
      <vt:lpstr>________________________________________________Obs6</vt:lpstr>
      <vt:lpstr>________________________________________________Obs7</vt:lpstr>
      <vt:lpstr>________________________________________________Obs8</vt:lpstr>
      <vt:lpstr>________________________________________________Obs9</vt:lpstr>
      <vt:lpstr>_______________________________________________Obs1</vt:lpstr>
      <vt:lpstr>_______________________________________________Obs10</vt:lpstr>
      <vt:lpstr>_______________________________________________Obs11</vt:lpstr>
      <vt:lpstr>_______________________________________________Obs12</vt:lpstr>
      <vt:lpstr>_______________________________________________Obs2</vt:lpstr>
      <vt:lpstr>_______________________________________________Obs3</vt:lpstr>
      <vt:lpstr>_______________________________________________Obs4</vt:lpstr>
      <vt:lpstr>_______________________________________________Obs5</vt:lpstr>
      <vt:lpstr>_______________________________________________Obs6</vt:lpstr>
      <vt:lpstr>_______________________________________________Obs7</vt:lpstr>
      <vt:lpstr>_______________________________________________Obs8</vt:lpstr>
      <vt:lpstr>_______________________________________________Obs9</vt:lpstr>
      <vt:lpstr>______________________________________________Obs1</vt:lpstr>
      <vt:lpstr>______________________________________________Obs10</vt:lpstr>
      <vt:lpstr>______________________________________________Obs11</vt:lpstr>
      <vt:lpstr>______________________________________________Obs12</vt:lpstr>
      <vt:lpstr>______________________________________________Obs2</vt:lpstr>
      <vt:lpstr>______________________________________________Obs3</vt:lpstr>
      <vt:lpstr>______________________________________________Obs4</vt:lpstr>
      <vt:lpstr>______________________________________________Obs5</vt:lpstr>
      <vt:lpstr>______________________________________________Obs6</vt:lpstr>
      <vt:lpstr>______________________________________________Obs7</vt:lpstr>
      <vt:lpstr>______________________________________________Obs8</vt:lpstr>
      <vt:lpstr>______________________________________________Obs9</vt:lpstr>
      <vt:lpstr>_____________________________________________Obs1</vt:lpstr>
      <vt:lpstr>_____________________________________________Obs10</vt:lpstr>
      <vt:lpstr>_____________________________________________Obs11</vt:lpstr>
      <vt:lpstr>_____________________________________________Obs12</vt:lpstr>
      <vt:lpstr>_____________________________________________Obs2</vt:lpstr>
      <vt:lpstr>_____________________________________________Obs3</vt:lpstr>
      <vt:lpstr>_____________________________________________Obs4</vt:lpstr>
      <vt:lpstr>_____________________________________________Obs5</vt:lpstr>
      <vt:lpstr>_____________________________________________Obs6</vt:lpstr>
      <vt:lpstr>_____________________________________________Obs7</vt:lpstr>
      <vt:lpstr>_____________________________________________Obs8</vt:lpstr>
      <vt:lpstr>_____________________________________________Obs9</vt:lpstr>
      <vt:lpstr>____________________________________________Obs1</vt:lpstr>
      <vt:lpstr>____________________________________________Obs10</vt:lpstr>
      <vt:lpstr>____________________________________________Obs11</vt:lpstr>
      <vt:lpstr>____________________________________________Obs12</vt:lpstr>
      <vt:lpstr>____________________________________________Obs2</vt:lpstr>
      <vt:lpstr>____________________________________________Obs3</vt:lpstr>
      <vt:lpstr>____________________________________________Obs4</vt:lpstr>
      <vt:lpstr>____________________________________________Obs5</vt:lpstr>
      <vt:lpstr>____________________________________________Obs6</vt:lpstr>
      <vt:lpstr>____________________________________________Obs7</vt:lpstr>
      <vt:lpstr>____________________________________________Obs8</vt:lpstr>
      <vt:lpstr>____________________________________________Obs9</vt:lpstr>
      <vt:lpstr>___________________________________________Obs1</vt:lpstr>
      <vt:lpstr>___________________________________________Obs10</vt:lpstr>
      <vt:lpstr>___________________________________________Obs11</vt:lpstr>
      <vt:lpstr>___________________________________________Obs12</vt:lpstr>
      <vt:lpstr>___________________________________________Obs2</vt:lpstr>
      <vt:lpstr>___________________________________________Obs3</vt:lpstr>
      <vt:lpstr>___________________________________________Obs4</vt:lpstr>
      <vt:lpstr>___________________________________________Obs5</vt:lpstr>
      <vt:lpstr>___________________________________________Obs6</vt:lpstr>
      <vt:lpstr>___________________________________________Obs7</vt:lpstr>
      <vt:lpstr>___________________________________________Obs8</vt:lpstr>
      <vt:lpstr>___________________________________________Obs9</vt:lpstr>
      <vt:lpstr>__________________________________________Obs1</vt:lpstr>
      <vt:lpstr>__________________________________________Obs10</vt:lpstr>
      <vt:lpstr>__________________________________________Obs11</vt:lpstr>
      <vt:lpstr>__________________________________________Obs12</vt:lpstr>
      <vt:lpstr>__________________________________________Obs2</vt:lpstr>
      <vt:lpstr>__________________________________________Obs3</vt:lpstr>
      <vt:lpstr>__________________________________________Obs4</vt:lpstr>
      <vt:lpstr>__________________________________________Obs5</vt:lpstr>
      <vt:lpstr>__________________________________________Obs6</vt:lpstr>
      <vt:lpstr>__________________________________________Obs7</vt:lpstr>
      <vt:lpstr>__________________________________________Obs8</vt:lpstr>
      <vt:lpstr>__________________________________________Obs9</vt:lpstr>
      <vt:lpstr>_________________________________________Obs1</vt:lpstr>
      <vt:lpstr>_________________________________________Obs10</vt:lpstr>
      <vt:lpstr>_________________________________________Obs11</vt:lpstr>
      <vt:lpstr>_________________________________________Obs12</vt:lpstr>
      <vt:lpstr>_________________________________________Obs2</vt:lpstr>
      <vt:lpstr>_________________________________________Obs3</vt:lpstr>
      <vt:lpstr>_________________________________________Obs4</vt:lpstr>
      <vt:lpstr>_________________________________________Obs5</vt:lpstr>
      <vt:lpstr>_________________________________________Obs6</vt:lpstr>
      <vt:lpstr>_________________________________________Obs7</vt:lpstr>
      <vt:lpstr>_________________________________________Obs8</vt:lpstr>
      <vt:lpstr>_________________________________________Obs9</vt:lpstr>
      <vt:lpstr>________________________________________Obs1</vt:lpstr>
      <vt:lpstr>________________________________________Obs10</vt:lpstr>
      <vt:lpstr>________________________________________Obs11</vt:lpstr>
      <vt:lpstr>________________________________________Obs12</vt:lpstr>
      <vt:lpstr>________________________________________Obs2</vt:lpstr>
      <vt:lpstr>________________________________________Obs3</vt:lpstr>
      <vt:lpstr>________________________________________Obs4</vt:lpstr>
      <vt:lpstr>________________________________________Obs5</vt:lpstr>
      <vt:lpstr>________________________________________Obs6</vt:lpstr>
      <vt:lpstr>________________________________________Obs7</vt:lpstr>
      <vt:lpstr>________________________________________Obs8</vt:lpstr>
      <vt:lpstr>________________________________________Obs9</vt:lpstr>
      <vt:lpstr>_______________________________________Obs1</vt:lpstr>
      <vt:lpstr>_______________________________________Obs10</vt:lpstr>
      <vt:lpstr>_______________________________________Obs11</vt:lpstr>
      <vt:lpstr>_______________________________________Obs12</vt:lpstr>
      <vt:lpstr>_______________________________________Obs2</vt:lpstr>
      <vt:lpstr>_______________________________________Obs3</vt:lpstr>
      <vt:lpstr>_______________________________________Obs4</vt:lpstr>
      <vt:lpstr>_______________________________________Obs5</vt:lpstr>
      <vt:lpstr>_______________________________________Obs6</vt:lpstr>
      <vt:lpstr>_______________________________________Obs7</vt:lpstr>
      <vt:lpstr>_______________________________________Obs8</vt:lpstr>
      <vt:lpstr>_______________________________________Obs9</vt:lpstr>
      <vt:lpstr>______________________________________Obs1</vt:lpstr>
      <vt:lpstr>______________________________________Obs10</vt:lpstr>
      <vt:lpstr>______________________________________Obs11</vt:lpstr>
      <vt:lpstr>______________________________________Obs12</vt:lpstr>
      <vt:lpstr>______________________________________Obs2</vt:lpstr>
      <vt:lpstr>______________________________________Obs3</vt:lpstr>
      <vt:lpstr>______________________________________Obs4</vt:lpstr>
      <vt:lpstr>______________________________________Obs5</vt:lpstr>
      <vt:lpstr>______________________________________Obs6</vt:lpstr>
      <vt:lpstr>______________________________________Obs7</vt:lpstr>
      <vt:lpstr>______________________________________Obs8</vt:lpstr>
      <vt:lpstr>______________________________________Obs9</vt:lpstr>
      <vt:lpstr>_____________________________________Obs1</vt:lpstr>
      <vt:lpstr>_____________________________________Obs10</vt:lpstr>
      <vt:lpstr>_____________________________________Obs11</vt:lpstr>
      <vt:lpstr>_____________________________________Obs12</vt:lpstr>
      <vt:lpstr>_____________________________________Obs2</vt:lpstr>
      <vt:lpstr>_____________________________________Obs3</vt:lpstr>
      <vt:lpstr>_____________________________________Obs4</vt:lpstr>
      <vt:lpstr>_____________________________________Obs5</vt:lpstr>
      <vt:lpstr>_____________________________________Obs6</vt:lpstr>
      <vt:lpstr>_____________________________________Obs7</vt:lpstr>
      <vt:lpstr>_____________________________________Obs8</vt:lpstr>
      <vt:lpstr>_____________________________________Obs9</vt:lpstr>
      <vt:lpstr>____________________________________Obs1</vt:lpstr>
      <vt:lpstr>____________________________________Obs10</vt:lpstr>
      <vt:lpstr>____________________________________Obs11</vt:lpstr>
      <vt:lpstr>____________________________________Obs12</vt:lpstr>
      <vt:lpstr>____________________________________Obs2</vt:lpstr>
      <vt:lpstr>____________________________________Obs3</vt:lpstr>
      <vt:lpstr>____________________________________Obs4</vt:lpstr>
      <vt:lpstr>____________________________________Obs5</vt:lpstr>
      <vt:lpstr>____________________________________Obs6</vt:lpstr>
      <vt:lpstr>____________________________________Obs7</vt:lpstr>
      <vt:lpstr>____________________________________Obs8</vt:lpstr>
      <vt:lpstr>____________________________________Obs9</vt:lpstr>
      <vt:lpstr>___________________________________Obs1</vt:lpstr>
      <vt:lpstr>___________________________________Obs10</vt:lpstr>
      <vt:lpstr>___________________________________Obs11</vt:lpstr>
      <vt:lpstr>___________________________________Obs12</vt:lpstr>
      <vt:lpstr>___________________________________Obs2</vt:lpstr>
      <vt:lpstr>___________________________________Obs3</vt:lpstr>
      <vt:lpstr>___________________________________Obs4</vt:lpstr>
      <vt:lpstr>___________________________________Obs5</vt:lpstr>
      <vt:lpstr>___________________________________Obs6</vt:lpstr>
      <vt:lpstr>___________________________________Obs7</vt:lpstr>
      <vt:lpstr>___________________________________Obs8</vt:lpstr>
      <vt:lpstr>___________________________________Obs9</vt:lpstr>
      <vt:lpstr>__________________________________Obs1</vt:lpstr>
      <vt:lpstr>__________________________________Obs10</vt:lpstr>
      <vt:lpstr>__________________________________Obs11</vt:lpstr>
      <vt:lpstr>__________________________________Obs12</vt:lpstr>
      <vt:lpstr>__________________________________Obs2</vt:lpstr>
      <vt:lpstr>__________________________________Obs3</vt:lpstr>
      <vt:lpstr>__________________________________Obs4</vt:lpstr>
      <vt:lpstr>__________________________________Obs5</vt:lpstr>
      <vt:lpstr>__________________________________Obs6</vt:lpstr>
      <vt:lpstr>__________________________________Obs7</vt:lpstr>
      <vt:lpstr>__________________________________Obs8</vt:lpstr>
      <vt:lpstr>__________________________________Obs9</vt:lpstr>
      <vt:lpstr>_________________________________Obs1</vt:lpstr>
      <vt:lpstr>_________________________________Obs10</vt:lpstr>
      <vt:lpstr>_________________________________Obs11</vt:lpstr>
      <vt:lpstr>_________________________________Obs12</vt:lpstr>
      <vt:lpstr>_________________________________Obs2</vt:lpstr>
      <vt:lpstr>_________________________________Obs3</vt:lpstr>
      <vt:lpstr>_________________________________Obs4</vt:lpstr>
      <vt:lpstr>_________________________________Obs5</vt:lpstr>
      <vt:lpstr>_________________________________Obs6</vt:lpstr>
      <vt:lpstr>_________________________________Obs7</vt:lpstr>
      <vt:lpstr>_________________________________Obs8</vt:lpstr>
      <vt:lpstr>_________________________________Obs9</vt:lpstr>
      <vt:lpstr>________________________________Obs1</vt:lpstr>
      <vt:lpstr>________________________________Obs10</vt:lpstr>
      <vt:lpstr>________________________________Obs11</vt:lpstr>
      <vt:lpstr>________________________________Obs12</vt:lpstr>
      <vt:lpstr>________________________________Obs2</vt:lpstr>
      <vt:lpstr>________________________________Obs3</vt:lpstr>
      <vt:lpstr>________________________________Obs4</vt:lpstr>
      <vt:lpstr>________________________________Obs5</vt:lpstr>
      <vt:lpstr>________________________________Obs6</vt:lpstr>
      <vt:lpstr>________________________________Obs7</vt:lpstr>
      <vt:lpstr>________________________________Obs8</vt:lpstr>
      <vt:lpstr>________________________________Obs9</vt:lpstr>
      <vt:lpstr>_______________________________Obs1</vt:lpstr>
      <vt:lpstr>_______________________________Obs10</vt:lpstr>
      <vt:lpstr>_______________________________Obs11</vt:lpstr>
      <vt:lpstr>_______________________________Obs12</vt:lpstr>
      <vt:lpstr>_______________________________Obs2</vt:lpstr>
      <vt:lpstr>_______________________________Obs3</vt:lpstr>
      <vt:lpstr>_______________________________Obs4</vt:lpstr>
      <vt:lpstr>_______________________________Obs5</vt:lpstr>
      <vt:lpstr>_______________________________Obs6</vt:lpstr>
      <vt:lpstr>_______________________________Obs7</vt:lpstr>
      <vt:lpstr>_______________________________Obs8</vt:lpstr>
      <vt:lpstr>_______________________________Obs9</vt:lpstr>
      <vt:lpstr>______________________________Obs1</vt:lpstr>
      <vt:lpstr>______________________________Obs10</vt:lpstr>
      <vt:lpstr>______________________________Obs11</vt:lpstr>
      <vt:lpstr>______________________________Obs12</vt:lpstr>
      <vt:lpstr>______________________________Obs2</vt:lpstr>
      <vt:lpstr>______________________________Obs3</vt:lpstr>
      <vt:lpstr>______________________________Obs4</vt:lpstr>
      <vt:lpstr>______________________________Obs5</vt:lpstr>
      <vt:lpstr>______________________________Obs6</vt:lpstr>
      <vt:lpstr>______________________________Obs7</vt:lpstr>
      <vt:lpstr>______________________________Obs8</vt:lpstr>
      <vt:lpstr>______________________________Obs9</vt:lpstr>
      <vt:lpstr>_____________________________Obs1</vt:lpstr>
      <vt:lpstr>_____________________________Obs10</vt:lpstr>
      <vt:lpstr>_____________________________Obs11</vt:lpstr>
      <vt:lpstr>_____________________________Obs12</vt:lpstr>
      <vt:lpstr>_____________________________Obs2</vt:lpstr>
      <vt:lpstr>_____________________________Obs3</vt:lpstr>
      <vt:lpstr>_____________________________Obs4</vt:lpstr>
      <vt:lpstr>_____________________________Obs5</vt:lpstr>
      <vt:lpstr>_____________________________Obs6</vt:lpstr>
      <vt:lpstr>_____________________________Obs7</vt:lpstr>
      <vt:lpstr>_____________________________Obs8</vt:lpstr>
      <vt:lpstr>_____________________________Obs9</vt:lpstr>
      <vt:lpstr>____________________________Obs1</vt:lpstr>
      <vt:lpstr>____________________________Obs10</vt:lpstr>
      <vt:lpstr>____________________________Obs11</vt:lpstr>
      <vt:lpstr>____________________________Obs12</vt:lpstr>
      <vt:lpstr>____________________________Obs2</vt:lpstr>
      <vt:lpstr>____________________________Obs3</vt:lpstr>
      <vt:lpstr>____________________________Obs4</vt:lpstr>
      <vt:lpstr>____________________________Obs5</vt:lpstr>
      <vt:lpstr>____________________________Obs6</vt:lpstr>
      <vt:lpstr>____________________________Obs7</vt:lpstr>
      <vt:lpstr>____________________________Obs8</vt:lpstr>
      <vt:lpstr>____________________________Obs9</vt:lpstr>
      <vt:lpstr>___________________________Obs1</vt:lpstr>
      <vt:lpstr>___________________________Obs10</vt:lpstr>
      <vt:lpstr>___________________________Obs11</vt:lpstr>
      <vt:lpstr>___________________________Obs12</vt:lpstr>
      <vt:lpstr>___________________________Obs2</vt:lpstr>
      <vt:lpstr>___________________________Obs3</vt:lpstr>
      <vt:lpstr>___________________________Obs4</vt:lpstr>
      <vt:lpstr>___________________________Obs5</vt:lpstr>
      <vt:lpstr>___________________________Obs6</vt:lpstr>
      <vt:lpstr>___________________________Obs7</vt:lpstr>
      <vt:lpstr>___________________________Obs8</vt:lpstr>
      <vt:lpstr>___________________________Obs9</vt:lpstr>
      <vt:lpstr>_________________________Obs1</vt:lpstr>
      <vt:lpstr>_________________________Obs10</vt:lpstr>
      <vt:lpstr>_________________________Obs11</vt:lpstr>
      <vt:lpstr>_________________________Obs12</vt:lpstr>
      <vt:lpstr>_________________________Obs2</vt:lpstr>
      <vt:lpstr>_________________________Obs3</vt:lpstr>
      <vt:lpstr>_________________________Obs4</vt:lpstr>
      <vt:lpstr>_________________________Obs5</vt:lpstr>
      <vt:lpstr>_________________________Obs6</vt:lpstr>
      <vt:lpstr>_________________________Obs7</vt:lpstr>
      <vt:lpstr>_________________________Obs8</vt:lpstr>
      <vt:lpstr>_________________________Obs9</vt:lpstr>
      <vt:lpstr>________________________Obs1</vt:lpstr>
      <vt:lpstr>________________________Obs10</vt:lpstr>
      <vt:lpstr>________________________Obs11</vt:lpstr>
      <vt:lpstr>________________________Obs12</vt:lpstr>
      <vt:lpstr>________________________Obs2</vt:lpstr>
      <vt:lpstr>________________________Obs3</vt:lpstr>
      <vt:lpstr>________________________Obs4</vt:lpstr>
      <vt:lpstr>________________________Obs5</vt:lpstr>
      <vt:lpstr>________________________Obs6</vt:lpstr>
      <vt:lpstr>________________________Obs7</vt:lpstr>
      <vt:lpstr>________________________Obs8</vt:lpstr>
      <vt:lpstr>________________________Obs9</vt:lpstr>
      <vt:lpstr>_______________________Obs1</vt:lpstr>
      <vt:lpstr>_______________________Obs10</vt:lpstr>
      <vt:lpstr>_______________________Obs11</vt:lpstr>
      <vt:lpstr>_______________________Obs12</vt:lpstr>
      <vt:lpstr>_______________________Obs2</vt:lpstr>
      <vt:lpstr>_______________________Obs3</vt:lpstr>
      <vt:lpstr>_______________________Obs4</vt:lpstr>
      <vt:lpstr>_______________________Obs5</vt:lpstr>
      <vt:lpstr>_______________________Obs6</vt:lpstr>
      <vt:lpstr>_______________________Obs7</vt:lpstr>
      <vt:lpstr>_______________________Obs8</vt:lpstr>
      <vt:lpstr>_______________________Obs9</vt:lpstr>
      <vt:lpstr>______________________Obs1</vt:lpstr>
      <vt:lpstr>______________________Obs10</vt:lpstr>
      <vt:lpstr>______________________Obs11</vt:lpstr>
      <vt:lpstr>______________________Obs12</vt:lpstr>
      <vt:lpstr>______________________Obs2</vt:lpstr>
      <vt:lpstr>______________________Obs3</vt:lpstr>
      <vt:lpstr>______________________Obs4</vt:lpstr>
      <vt:lpstr>______________________Obs5</vt:lpstr>
      <vt:lpstr>______________________Obs6</vt:lpstr>
      <vt:lpstr>______________________Obs7</vt:lpstr>
      <vt:lpstr>______________________Obs8</vt:lpstr>
      <vt:lpstr>______________________Obs9</vt:lpstr>
      <vt:lpstr>_____________________Obs1</vt:lpstr>
      <vt:lpstr>_____________________Obs10</vt:lpstr>
      <vt:lpstr>_____________________Obs11</vt:lpstr>
      <vt:lpstr>_____________________Obs12</vt:lpstr>
      <vt:lpstr>_____________________Obs2</vt:lpstr>
      <vt:lpstr>_____________________Obs3</vt:lpstr>
      <vt:lpstr>_____________________Obs4</vt:lpstr>
      <vt:lpstr>_____________________Obs5</vt:lpstr>
      <vt:lpstr>_____________________Obs6</vt:lpstr>
      <vt:lpstr>_____________________Obs7</vt:lpstr>
      <vt:lpstr>_____________________Obs8</vt:lpstr>
      <vt:lpstr>_____________________Obs9</vt:lpstr>
      <vt:lpstr>____________________Obs1</vt:lpstr>
      <vt:lpstr>____________________Obs10</vt:lpstr>
      <vt:lpstr>____________________Obs11</vt:lpstr>
      <vt:lpstr>____________________Obs12</vt:lpstr>
      <vt:lpstr>____________________Obs2</vt:lpstr>
      <vt:lpstr>____________________Obs3</vt:lpstr>
      <vt:lpstr>____________________Obs4</vt:lpstr>
      <vt:lpstr>____________________Obs5</vt:lpstr>
      <vt:lpstr>____________________Obs6</vt:lpstr>
      <vt:lpstr>____________________Obs7</vt:lpstr>
      <vt:lpstr>____________________Obs8</vt:lpstr>
      <vt:lpstr>____________________Obs9</vt:lpstr>
      <vt:lpstr>___________________Obs1</vt:lpstr>
      <vt:lpstr>___________________Obs10</vt:lpstr>
      <vt:lpstr>___________________Obs11</vt:lpstr>
      <vt:lpstr>___________________Obs12</vt:lpstr>
      <vt:lpstr>___________________Obs2</vt:lpstr>
      <vt:lpstr>___________________Obs3</vt:lpstr>
      <vt:lpstr>___________________Obs4</vt:lpstr>
      <vt:lpstr>___________________Obs5</vt:lpstr>
      <vt:lpstr>___________________Obs6</vt:lpstr>
      <vt:lpstr>___________________Obs7</vt:lpstr>
      <vt:lpstr>___________________Obs8</vt:lpstr>
      <vt:lpstr>___________________Obs9</vt:lpstr>
      <vt:lpstr>__________________Obs1</vt:lpstr>
      <vt:lpstr>__________________Obs10</vt:lpstr>
      <vt:lpstr>__________________Obs11</vt:lpstr>
      <vt:lpstr>__________________Obs12</vt:lpstr>
      <vt:lpstr>__________________Obs2</vt:lpstr>
      <vt:lpstr>__________________Obs3</vt:lpstr>
      <vt:lpstr>__________________Obs4</vt:lpstr>
      <vt:lpstr>__________________Obs5</vt:lpstr>
      <vt:lpstr>__________________Obs6</vt:lpstr>
      <vt:lpstr>__________________Obs7</vt:lpstr>
      <vt:lpstr>__________________Obs8</vt:lpstr>
      <vt:lpstr>__________________Obs9</vt:lpstr>
      <vt:lpstr>_________________Obs1</vt:lpstr>
      <vt:lpstr>_________________Obs10</vt:lpstr>
      <vt:lpstr>_________________Obs11</vt:lpstr>
      <vt:lpstr>_________________Obs12</vt:lpstr>
      <vt:lpstr>_________________Obs2</vt:lpstr>
      <vt:lpstr>_________________Obs3</vt:lpstr>
      <vt:lpstr>_________________Obs4</vt:lpstr>
      <vt:lpstr>_________________Obs5</vt:lpstr>
      <vt:lpstr>_________________Obs6</vt:lpstr>
      <vt:lpstr>_________________Obs7</vt:lpstr>
      <vt:lpstr>_________________Obs8</vt:lpstr>
      <vt:lpstr>_________________Obs9</vt:lpstr>
      <vt:lpstr>________________Obs1</vt:lpstr>
      <vt:lpstr>________________Obs10</vt:lpstr>
      <vt:lpstr>________________Obs11</vt:lpstr>
      <vt:lpstr>________________Obs12</vt:lpstr>
      <vt:lpstr>________________Obs2</vt:lpstr>
      <vt:lpstr>________________Obs3</vt:lpstr>
      <vt:lpstr>________________Obs4</vt:lpstr>
      <vt:lpstr>________________Obs5</vt:lpstr>
      <vt:lpstr>________________Obs6</vt:lpstr>
      <vt:lpstr>________________Obs7</vt:lpstr>
      <vt:lpstr>________________Obs8</vt:lpstr>
      <vt:lpstr>________________Obs9</vt:lpstr>
      <vt:lpstr>_______________Obs1</vt:lpstr>
      <vt:lpstr>_______________Obs10</vt:lpstr>
      <vt:lpstr>_______________Obs11</vt:lpstr>
      <vt:lpstr>_______________Obs12</vt:lpstr>
      <vt:lpstr>_______________Obs2</vt:lpstr>
      <vt:lpstr>_______________Obs3</vt:lpstr>
      <vt:lpstr>_______________Obs4</vt:lpstr>
      <vt:lpstr>_______________Obs5</vt:lpstr>
      <vt:lpstr>_______________Obs6</vt:lpstr>
      <vt:lpstr>_______________Obs7</vt:lpstr>
      <vt:lpstr>_______________Obs8</vt:lpstr>
      <vt:lpstr>_______________Obs9</vt:lpstr>
      <vt:lpstr>______________Obs1</vt:lpstr>
      <vt:lpstr>______________Obs10</vt:lpstr>
      <vt:lpstr>______________Obs11</vt:lpstr>
      <vt:lpstr>______________Obs12</vt:lpstr>
      <vt:lpstr>______________Obs2</vt:lpstr>
      <vt:lpstr>______________Obs3</vt:lpstr>
      <vt:lpstr>______________Obs4</vt:lpstr>
      <vt:lpstr>______________Obs5</vt:lpstr>
      <vt:lpstr>______________Obs6</vt:lpstr>
      <vt:lpstr>______________Obs7</vt:lpstr>
      <vt:lpstr>______________Obs8</vt:lpstr>
      <vt:lpstr>______________Obs9</vt:lpstr>
      <vt:lpstr>_____________Obs1</vt:lpstr>
      <vt:lpstr>_____________Obs10</vt:lpstr>
      <vt:lpstr>_____________Obs11</vt:lpstr>
      <vt:lpstr>_____________Obs12</vt:lpstr>
      <vt:lpstr>_____________Obs2</vt:lpstr>
      <vt:lpstr>_____________Obs3</vt:lpstr>
      <vt:lpstr>_____________Obs4</vt:lpstr>
      <vt:lpstr>_____________Obs5</vt:lpstr>
      <vt:lpstr>_____________Obs6</vt:lpstr>
      <vt:lpstr>_____________Obs7</vt:lpstr>
      <vt:lpstr>_____________Obs8</vt:lpstr>
      <vt:lpstr>_____________Obs9</vt:lpstr>
      <vt:lpstr>____________Obs1</vt:lpstr>
      <vt:lpstr>____________Obs10</vt:lpstr>
      <vt:lpstr>____________Obs11</vt:lpstr>
      <vt:lpstr>____________Obs12</vt:lpstr>
      <vt:lpstr>____________Obs2</vt:lpstr>
      <vt:lpstr>____________Obs3</vt:lpstr>
      <vt:lpstr>____________Obs4</vt:lpstr>
      <vt:lpstr>____________Obs5</vt:lpstr>
      <vt:lpstr>____________Obs6</vt:lpstr>
      <vt:lpstr>____________Obs7</vt:lpstr>
      <vt:lpstr>____________Obs8</vt:lpstr>
      <vt:lpstr>____________Obs9</vt:lpstr>
      <vt:lpstr>___________Obs1</vt:lpstr>
      <vt:lpstr>___________Obs10</vt:lpstr>
      <vt:lpstr>___________Obs11</vt:lpstr>
      <vt:lpstr>___________Obs12</vt:lpstr>
      <vt:lpstr>___________Obs2</vt:lpstr>
      <vt:lpstr>___________Obs3</vt:lpstr>
      <vt:lpstr>___________Obs4</vt:lpstr>
      <vt:lpstr>___________Obs5</vt:lpstr>
      <vt:lpstr>___________Obs6</vt:lpstr>
      <vt:lpstr>___________Obs7</vt:lpstr>
      <vt:lpstr>___________Obs8</vt:lpstr>
      <vt:lpstr>___________Obs9</vt:lpstr>
      <vt:lpstr>__________Obs1</vt:lpstr>
      <vt:lpstr>__________Obs10</vt:lpstr>
      <vt:lpstr>__________Obs11</vt:lpstr>
      <vt:lpstr>__________Obs12</vt:lpstr>
      <vt:lpstr>__________Obs2</vt:lpstr>
      <vt:lpstr>__________Obs3</vt:lpstr>
      <vt:lpstr>__________Obs4</vt:lpstr>
      <vt:lpstr>__________Obs5</vt:lpstr>
      <vt:lpstr>__________Obs6</vt:lpstr>
      <vt:lpstr>__________Obs7</vt:lpstr>
      <vt:lpstr>__________Obs8</vt:lpstr>
      <vt:lpstr>__________Obs9</vt:lpstr>
      <vt:lpstr>_________Obs1</vt:lpstr>
      <vt:lpstr>_________Obs10</vt:lpstr>
      <vt:lpstr>_________Obs11</vt:lpstr>
      <vt:lpstr>_________Obs12</vt:lpstr>
      <vt:lpstr>_________Obs2</vt:lpstr>
      <vt:lpstr>_________Obs3</vt:lpstr>
      <vt:lpstr>_________Obs4</vt:lpstr>
      <vt:lpstr>_________Obs5</vt:lpstr>
      <vt:lpstr>_________Obs6</vt:lpstr>
      <vt:lpstr>_________Obs7</vt:lpstr>
      <vt:lpstr>_________Obs8</vt:lpstr>
      <vt:lpstr>_________Obs9</vt:lpstr>
      <vt:lpstr>________Obs1</vt:lpstr>
      <vt:lpstr>________Obs10</vt:lpstr>
      <vt:lpstr>________Obs11</vt:lpstr>
      <vt:lpstr>________Obs12</vt:lpstr>
      <vt:lpstr>________Obs2</vt:lpstr>
      <vt:lpstr>________Obs3</vt:lpstr>
      <vt:lpstr>________Obs4</vt:lpstr>
      <vt:lpstr>________Obs5</vt:lpstr>
      <vt:lpstr>________Obs6</vt:lpstr>
      <vt:lpstr>________Obs7</vt:lpstr>
      <vt:lpstr>________Obs8</vt:lpstr>
      <vt:lpstr>________Obs9</vt:lpstr>
      <vt:lpstr>_______Obs1</vt:lpstr>
      <vt:lpstr>_______Obs10</vt:lpstr>
      <vt:lpstr>_______Obs11</vt:lpstr>
      <vt:lpstr>_______Obs12</vt:lpstr>
      <vt:lpstr>_______Obs2</vt:lpstr>
      <vt:lpstr>_______Obs3</vt:lpstr>
      <vt:lpstr>_______Obs4</vt:lpstr>
      <vt:lpstr>_______Obs5</vt:lpstr>
      <vt:lpstr>_______Obs6</vt:lpstr>
      <vt:lpstr>_______Obs7</vt:lpstr>
      <vt:lpstr>_______Obs8</vt:lpstr>
      <vt:lpstr>_______Obs9</vt:lpstr>
      <vt:lpstr>______Obs1</vt:lpstr>
      <vt:lpstr>______Obs10</vt:lpstr>
      <vt:lpstr>______Obs11</vt:lpstr>
      <vt:lpstr>______Obs12</vt:lpstr>
      <vt:lpstr>______Obs2</vt:lpstr>
      <vt:lpstr>______Obs3</vt:lpstr>
      <vt:lpstr>______Obs4</vt:lpstr>
      <vt:lpstr>______Obs5</vt:lpstr>
      <vt:lpstr>______Obs6</vt:lpstr>
      <vt:lpstr>______Obs7</vt:lpstr>
      <vt:lpstr>______Obs8</vt:lpstr>
      <vt:lpstr>______Obs9</vt:lpstr>
      <vt:lpstr>_____Obs1</vt:lpstr>
      <vt:lpstr>_____Obs10</vt:lpstr>
      <vt:lpstr>_____Obs11</vt:lpstr>
      <vt:lpstr>_____Obs12</vt:lpstr>
      <vt:lpstr>_____Obs2</vt:lpstr>
      <vt:lpstr>_____Obs3</vt:lpstr>
      <vt:lpstr>_____Obs4</vt:lpstr>
      <vt:lpstr>_____Obs5</vt:lpstr>
      <vt:lpstr>_____Obs6</vt:lpstr>
      <vt:lpstr>_____Obs7</vt:lpstr>
      <vt:lpstr>_____Obs8</vt:lpstr>
      <vt:lpstr>_____Obs9</vt:lpstr>
      <vt:lpstr>____Obs1</vt:lpstr>
      <vt:lpstr>____Obs10</vt:lpstr>
      <vt:lpstr>____Obs11</vt:lpstr>
      <vt:lpstr>____Obs12</vt:lpstr>
      <vt:lpstr>____Obs2</vt:lpstr>
      <vt:lpstr>____Obs3</vt:lpstr>
      <vt:lpstr>____Obs4</vt:lpstr>
      <vt:lpstr>____Obs5</vt:lpstr>
      <vt:lpstr>____Obs6</vt:lpstr>
      <vt:lpstr>____Obs7</vt:lpstr>
      <vt:lpstr>____Obs8</vt:lpstr>
      <vt:lpstr>____Obs9</vt:lpstr>
      <vt:lpstr>___Obs1</vt:lpstr>
      <vt:lpstr>___Obs10</vt:lpstr>
      <vt:lpstr>___Obs11</vt:lpstr>
      <vt:lpstr>___Obs12</vt:lpstr>
      <vt:lpstr>___Obs2</vt:lpstr>
      <vt:lpstr>___Obs3</vt:lpstr>
      <vt:lpstr>___Obs4</vt:lpstr>
      <vt:lpstr>___Obs5</vt:lpstr>
      <vt:lpstr>___Obs6</vt:lpstr>
      <vt:lpstr>___Obs7</vt:lpstr>
      <vt:lpstr>___Obs8</vt:lpstr>
      <vt:lpstr>___Obs9</vt:lpstr>
      <vt:lpstr>__Obs1</vt:lpstr>
      <vt:lpstr>__Obs10</vt:lpstr>
      <vt:lpstr>__Obs11</vt:lpstr>
      <vt:lpstr>__Obs12</vt:lpstr>
      <vt:lpstr>__Obs2</vt:lpstr>
      <vt:lpstr>__Obs3</vt:lpstr>
      <vt:lpstr>__Obs4</vt:lpstr>
      <vt:lpstr>__Obs5</vt:lpstr>
      <vt:lpstr>__Obs6</vt:lpstr>
      <vt:lpstr>__Obs7</vt:lpstr>
      <vt:lpstr>__Obs8</vt:lpstr>
      <vt:lpstr>__Obs9</vt:lpstr>
      <vt:lpstr>_Obs1</vt:lpstr>
      <vt:lpstr>_Obs10</vt:lpstr>
      <vt:lpstr>_Obs11</vt:lpstr>
      <vt:lpstr>_Obs12</vt:lpstr>
      <vt:lpstr>_Obs2</vt:lpstr>
      <vt:lpstr>_Obs3</vt:lpstr>
      <vt:lpstr>_Obs4</vt:lpstr>
      <vt:lpstr>_Obs5</vt:lpstr>
      <vt:lpstr>_Obs6</vt:lpstr>
      <vt:lpstr>_Obs7</vt:lpstr>
      <vt:lpstr>_Obs8</vt:lpstr>
      <vt:lpstr>_Obs9</vt:lpstr>
      <vt:lpstr>'DOY128'!Acronym</vt:lpstr>
      <vt:lpstr>'DOY132'!Acronym</vt:lpstr>
      <vt:lpstr>'DOY136'!Acronym</vt:lpstr>
      <vt:lpstr>'DOY139'!Acronym</vt:lpstr>
      <vt:lpstr>'DOY141'!Acronym</vt:lpstr>
      <vt:lpstr>'DOY143'!Acronym</vt:lpstr>
      <vt:lpstr>'DOY147'!Acronym</vt:lpstr>
      <vt:lpstr>'DOY148'!Acronym</vt:lpstr>
      <vt:lpstr>'DOY149'!Acronym</vt:lpstr>
      <vt:lpstr>'DOY150'!Acronym</vt:lpstr>
      <vt:lpstr>'DOY153'!Acronym</vt:lpstr>
      <vt:lpstr>'DOY154'!Acronym</vt:lpstr>
      <vt:lpstr>'DOY155'!Acronym</vt:lpstr>
      <vt:lpstr>'DOY156'!Acronym</vt:lpstr>
      <vt:lpstr>'DOY157'!Acronym</vt:lpstr>
      <vt:lpstr>'DOY160'!Acronym</vt:lpstr>
      <vt:lpstr>'DOY161'!Acronym</vt:lpstr>
      <vt:lpstr>'DOY162'!Acronym</vt:lpstr>
      <vt:lpstr>'DOY163'!Acronym</vt:lpstr>
      <vt:lpstr>'DOY164'!Acronym</vt:lpstr>
      <vt:lpstr>'DOY167'!Acronym</vt:lpstr>
      <vt:lpstr>'DOY168'!Acronym</vt:lpstr>
      <vt:lpstr>'DOY169'!Acronym</vt:lpstr>
      <vt:lpstr>'DOY170'!Acronym</vt:lpstr>
      <vt:lpstr>'DOY171'!Acronym</vt:lpstr>
      <vt:lpstr>'DOY173'!Acronym</vt:lpstr>
      <vt:lpstr>'DOY174'!Acronym</vt:lpstr>
      <vt:lpstr>'DOY175'!Acronym</vt:lpstr>
      <vt:lpstr>'DOY176'!Acronym</vt:lpstr>
      <vt:lpstr>'DOY177'!Acronym</vt:lpstr>
      <vt:lpstr>'DOY178'!Acronym</vt:lpstr>
      <vt:lpstr>'DOY180'!Acronym</vt:lpstr>
      <vt:lpstr>'DOY181'!Acronym</vt:lpstr>
      <vt:lpstr>'DOY182'!Acronym</vt:lpstr>
      <vt:lpstr>'DOY183'!Acronym</vt:lpstr>
      <vt:lpstr>'DOY184'!Acronym</vt:lpstr>
      <vt:lpstr>'DOY185'!Acronym</vt:lpstr>
      <vt:lpstr>'DOY188'!Acronym</vt:lpstr>
      <vt:lpstr>'DOY189'!Acronym</vt:lpstr>
      <vt:lpstr>'DOY195'!Acronym</vt:lpstr>
      <vt:lpstr>'DOY196'!Acronym</vt:lpstr>
      <vt:lpstr>'DOY197'!Acronym</vt:lpstr>
      <vt:lpstr>'DOY198'!Acronym</vt:lpstr>
      <vt:lpstr>'DOY213'!Acronym</vt:lpstr>
      <vt:lpstr>'DOY216'!Acronym</vt:lpstr>
      <vt:lpstr>'DOY246'!Acronym</vt:lpstr>
      <vt:lpstr>'DOY247'!Acronym</vt:lpstr>
      <vt:lpstr>'DOY248'!Acronym</vt:lpstr>
      <vt:lpstr>'DOY251'!Acronym</vt:lpstr>
      <vt:lpstr>'DOY252'!Acronym</vt:lpstr>
      <vt:lpstr>'DOY253'!Acronym</vt:lpstr>
      <vt:lpstr>Acronym</vt:lpstr>
      <vt:lpstr>'DOY128'!Block</vt:lpstr>
      <vt:lpstr>'DOY132'!Block</vt:lpstr>
      <vt:lpstr>'DOY136'!Block</vt:lpstr>
      <vt:lpstr>'DOY139'!Block</vt:lpstr>
      <vt:lpstr>'DOY141'!Block</vt:lpstr>
      <vt:lpstr>'DOY143'!Block</vt:lpstr>
      <vt:lpstr>'DOY147'!Block</vt:lpstr>
      <vt:lpstr>'DOY148'!Block</vt:lpstr>
      <vt:lpstr>'DOY149'!Block</vt:lpstr>
      <vt:lpstr>'DOY150'!Block</vt:lpstr>
      <vt:lpstr>'DOY153'!Block</vt:lpstr>
      <vt:lpstr>'DOY154'!Block</vt:lpstr>
      <vt:lpstr>'DOY155'!Block</vt:lpstr>
      <vt:lpstr>'DOY156'!Block</vt:lpstr>
      <vt:lpstr>'DOY157'!Block</vt:lpstr>
      <vt:lpstr>'DOY160'!Block</vt:lpstr>
      <vt:lpstr>'DOY161'!Block</vt:lpstr>
      <vt:lpstr>'DOY162'!Block</vt:lpstr>
      <vt:lpstr>'DOY163'!Block</vt:lpstr>
      <vt:lpstr>'DOY164'!Block</vt:lpstr>
      <vt:lpstr>'DOY167'!Block</vt:lpstr>
      <vt:lpstr>'DOY168'!Block</vt:lpstr>
      <vt:lpstr>'DOY169'!Block</vt:lpstr>
      <vt:lpstr>'DOY170'!Block</vt:lpstr>
      <vt:lpstr>'DOY171'!Block</vt:lpstr>
      <vt:lpstr>'DOY173'!Block</vt:lpstr>
      <vt:lpstr>'DOY174'!Block</vt:lpstr>
      <vt:lpstr>'DOY175'!Block</vt:lpstr>
      <vt:lpstr>'DOY176'!Block</vt:lpstr>
      <vt:lpstr>'DOY177'!Block</vt:lpstr>
      <vt:lpstr>'DOY178'!Block</vt:lpstr>
      <vt:lpstr>'DOY180'!Block</vt:lpstr>
      <vt:lpstr>'DOY181'!Block</vt:lpstr>
      <vt:lpstr>'DOY182'!Block</vt:lpstr>
      <vt:lpstr>'DOY183'!Block</vt:lpstr>
      <vt:lpstr>'DOY184'!Block</vt:lpstr>
      <vt:lpstr>'DOY185'!Block</vt:lpstr>
      <vt:lpstr>'DOY188'!Block</vt:lpstr>
      <vt:lpstr>'DOY189'!Block</vt:lpstr>
      <vt:lpstr>'DOY195'!Block</vt:lpstr>
      <vt:lpstr>'DOY196'!Block</vt:lpstr>
      <vt:lpstr>'DOY197'!Block</vt:lpstr>
      <vt:lpstr>'DOY198'!Block</vt:lpstr>
      <vt:lpstr>'DOY213'!Block</vt:lpstr>
      <vt:lpstr>'DOY216'!Block</vt:lpstr>
      <vt:lpstr>'DOY246'!Block</vt:lpstr>
      <vt:lpstr>'DOY247'!Block</vt:lpstr>
      <vt:lpstr>'DOY248'!Block</vt:lpstr>
      <vt:lpstr>'DOY251'!Block</vt:lpstr>
      <vt:lpstr>'DOY252'!Block</vt:lpstr>
      <vt:lpstr>'DOY253'!Block</vt:lpstr>
      <vt:lpstr>Block</vt:lpstr>
      <vt:lpstr>'DOY128'!Irrig</vt:lpstr>
      <vt:lpstr>'DOY132'!Irrig</vt:lpstr>
      <vt:lpstr>'DOY136'!Irrig</vt:lpstr>
      <vt:lpstr>'DOY139'!Irrig</vt:lpstr>
      <vt:lpstr>'DOY141'!Irrig</vt:lpstr>
      <vt:lpstr>'DOY143'!Irrig</vt:lpstr>
      <vt:lpstr>'DOY147'!Irrig</vt:lpstr>
      <vt:lpstr>'DOY148'!Irrig</vt:lpstr>
      <vt:lpstr>'DOY149'!Irrig</vt:lpstr>
      <vt:lpstr>'DOY150'!Irrig</vt:lpstr>
      <vt:lpstr>'DOY153'!Irrig</vt:lpstr>
      <vt:lpstr>'DOY154'!Irrig</vt:lpstr>
      <vt:lpstr>'DOY155'!Irrig</vt:lpstr>
      <vt:lpstr>'DOY156'!Irrig</vt:lpstr>
      <vt:lpstr>'DOY157'!Irrig</vt:lpstr>
      <vt:lpstr>'DOY160'!Irrig</vt:lpstr>
      <vt:lpstr>'DOY161'!Irrig</vt:lpstr>
      <vt:lpstr>'DOY162'!Irrig</vt:lpstr>
      <vt:lpstr>'DOY163'!Irrig</vt:lpstr>
      <vt:lpstr>'DOY164'!Irrig</vt:lpstr>
      <vt:lpstr>'DOY167'!Irrig</vt:lpstr>
      <vt:lpstr>'DOY168'!Irrig</vt:lpstr>
      <vt:lpstr>'DOY169'!Irrig</vt:lpstr>
      <vt:lpstr>'DOY170'!Irrig</vt:lpstr>
      <vt:lpstr>'DOY171'!Irrig</vt:lpstr>
      <vt:lpstr>'DOY173'!Irrig</vt:lpstr>
      <vt:lpstr>'DOY174'!Irrig</vt:lpstr>
      <vt:lpstr>'DOY175'!Irrig</vt:lpstr>
      <vt:lpstr>'DOY176'!Irrig</vt:lpstr>
      <vt:lpstr>'DOY177'!Irrig</vt:lpstr>
      <vt:lpstr>'DOY178'!Irrig</vt:lpstr>
      <vt:lpstr>'DOY180'!Irrig</vt:lpstr>
      <vt:lpstr>'DOY181'!Irrig</vt:lpstr>
      <vt:lpstr>'DOY182'!Irrig</vt:lpstr>
      <vt:lpstr>'DOY183'!Irrig</vt:lpstr>
      <vt:lpstr>'DOY184'!Irrig</vt:lpstr>
      <vt:lpstr>'DOY185'!Irrig</vt:lpstr>
      <vt:lpstr>'DOY188'!Irrig</vt:lpstr>
      <vt:lpstr>'DOY189'!Irrig</vt:lpstr>
      <vt:lpstr>'DOY195'!Irrig</vt:lpstr>
      <vt:lpstr>'DOY196'!Irrig</vt:lpstr>
      <vt:lpstr>'DOY197'!Irrig</vt:lpstr>
      <vt:lpstr>'DOY198'!Irrig</vt:lpstr>
      <vt:lpstr>'DOY213'!Irrig</vt:lpstr>
      <vt:lpstr>'DOY216'!Irrig</vt:lpstr>
      <vt:lpstr>'DOY246'!Irrig</vt:lpstr>
      <vt:lpstr>'DOY247'!Irrig</vt:lpstr>
      <vt:lpstr>'DOY248'!Irrig</vt:lpstr>
      <vt:lpstr>'DOY251'!Irrig</vt:lpstr>
      <vt:lpstr>'DOY252'!Irrig</vt:lpstr>
      <vt:lpstr>'DOY253'!Irrig</vt:lpstr>
      <vt:lpstr>Irrig</vt:lpstr>
      <vt:lpstr>'DOY128'!Kurtosis</vt:lpstr>
      <vt:lpstr>'DOY132'!Kurtosis</vt:lpstr>
      <vt:lpstr>'DOY136'!Kurtosis</vt:lpstr>
      <vt:lpstr>'DOY139'!Kurtosis</vt:lpstr>
      <vt:lpstr>'DOY141'!Kurtosis</vt:lpstr>
      <vt:lpstr>'DOY143'!Kurtosis</vt:lpstr>
      <vt:lpstr>'DOY147'!Kurtosis</vt:lpstr>
      <vt:lpstr>'DOY148'!Kurtosis</vt:lpstr>
      <vt:lpstr>'DOY149'!Kurtosis</vt:lpstr>
      <vt:lpstr>'DOY150'!Kurtosis</vt:lpstr>
      <vt:lpstr>'DOY153'!Kurtosis</vt:lpstr>
      <vt:lpstr>'DOY154'!Kurtosis</vt:lpstr>
      <vt:lpstr>'DOY155'!Kurtosis</vt:lpstr>
      <vt:lpstr>'DOY156'!Kurtosis</vt:lpstr>
      <vt:lpstr>'DOY157'!Kurtosis</vt:lpstr>
      <vt:lpstr>'DOY160'!Kurtosis</vt:lpstr>
      <vt:lpstr>'DOY161'!Kurtosis</vt:lpstr>
      <vt:lpstr>'DOY162'!Kurtosis</vt:lpstr>
      <vt:lpstr>'DOY163'!Kurtosis</vt:lpstr>
      <vt:lpstr>'DOY164'!Kurtosis</vt:lpstr>
      <vt:lpstr>'DOY167'!Kurtosis</vt:lpstr>
      <vt:lpstr>'DOY168'!Kurtosis</vt:lpstr>
      <vt:lpstr>'DOY169'!Kurtosis</vt:lpstr>
      <vt:lpstr>'DOY170'!Kurtosis</vt:lpstr>
      <vt:lpstr>'DOY171'!Kurtosis</vt:lpstr>
      <vt:lpstr>'DOY173'!Kurtosis</vt:lpstr>
      <vt:lpstr>'DOY174'!Kurtosis</vt:lpstr>
      <vt:lpstr>'DOY175'!Kurtosis</vt:lpstr>
      <vt:lpstr>'DOY176'!Kurtosis</vt:lpstr>
      <vt:lpstr>'DOY177'!Kurtosis</vt:lpstr>
      <vt:lpstr>'DOY178'!Kurtosis</vt:lpstr>
      <vt:lpstr>'DOY180'!Kurtosis</vt:lpstr>
      <vt:lpstr>'DOY181'!Kurtosis</vt:lpstr>
      <vt:lpstr>'DOY182'!Kurtosis</vt:lpstr>
      <vt:lpstr>'DOY183'!Kurtosis</vt:lpstr>
      <vt:lpstr>'DOY184'!Kurtosis</vt:lpstr>
      <vt:lpstr>'DOY185'!Kurtosis</vt:lpstr>
      <vt:lpstr>'DOY188'!Kurtosis</vt:lpstr>
      <vt:lpstr>'DOY189'!Kurtosis</vt:lpstr>
      <vt:lpstr>'DOY195'!Kurtosis</vt:lpstr>
      <vt:lpstr>'DOY196'!Kurtosis</vt:lpstr>
      <vt:lpstr>'DOY197'!Kurtosis</vt:lpstr>
      <vt:lpstr>'DOY198'!Kurtosis</vt:lpstr>
      <vt:lpstr>'DOY213'!Kurtosis</vt:lpstr>
      <vt:lpstr>'DOY216'!Kurtosis</vt:lpstr>
      <vt:lpstr>'DOY246'!Kurtosis</vt:lpstr>
      <vt:lpstr>'DOY247'!Kurtosis</vt:lpstr>
      <vt:lpstr>'DOY248'!Kurtosis</vt:lpstr>
      <vt:lpstr>'DOY251'!Kurtosis</vt:lpstr>
      <vt:lpstr>'DOY252'!Kurtosis</vt:lpstr>
      <vt:lpstr>'DOY253'!Kurtosis</vt:lpstr>
      <vt:lpstr>Kurtosis</vt:lpstr>
      <vt:lpstr>'DOY128'!Maximum</vt:lpstr>
      <vt:lpstr>'DOY132'!Maximum</vt:lpstr>
      <vt:lpstr>'DOY136'!Maximum</vt:lpstr>
      <vt:lpstr>'DOY139'!Maximum</vt:lpstr>
      <vt:lpstr>'DOY141'!Maximum</vt:lpstr>
      <vt:lpstr>'DOY143'!Maximum</vt:lpstr>
      <vt:lpstr>'DOY147'!Maximum</vt:lpstr>
      <vt:lpstr>'DOY148'!Maximum</vt:lpstr>
      <vt:lpstr>'DOY149'!Maximum</vt:lpstr>
      <vt:lpstr>'DOY150'!Maximum</vt:lpstr>
      <vt:lpstr>'DOY153'!Maximum</vt:lpstr>
      <vt:lpstr>'DOY154'!Maximum</vt:lpstr>
      <vt:lpstr>'DOY155'!Maximum</vt:lpstr>
      <vt:lpstr>'DOY156'!Maximum</vt:lpstr>
      <vt:lpstr>'DOY157'!Maximum</vt:lpstr>
      <vt:lpstr>'DOY160'!Maximum</vt:lpstr>
      <vt:lpstr>'DOY161'!Maximum</vt:lpstr>
      <vt:lpstr>'DOY162'!Maximum</vt:lpstr>
      <vt:lpstr>'DOY163'!Maximum</vt:lpstr>
      <vt:lpstr>'DOY164'!Maximum</vt:lpstr>
      <vt:lpstr>'DOY167'!Maximum</vt:lpstr>
      <vt:lpstr>'DOY168'!Maximum</vt:lpstr>
      <vt:lpstr>'DOY169'!Maximum</vt:lpstr>
      <vt:lpstr>'DOY170'!Maximum</vt:lpstr>
      <vt:lpstr>'DOY171'!Maximum</vt:lpstr>
      <vt:lpstr>'DOY173'!Maximum</vt:lpstr>
      <vt:lpstr>'DOY174'!Maximum</vt:lpstr>
      <vt:lpstr>'DOY175'!Maximum</vt:lpstr>
      <vt:lpstr>'DOY176'!Maximum</vt:lpstr>
      <vt:lpstr>'DOY177'!Maximum</vt:lpstr>
      <vt:lpstr>'DOY178'!Maximum</vt:lpstr>
      <vt:lpstr>'DOY180'!Maximum</vt:lpstr>
      <vt:lpstr>'DOY181'!Maximum</vt:lpstr>
      <vt:lpstr>'DOY182'!Maximum</vt:lpstr>
      <vt:lpstr>'DOY183'!Maximum</vt:lpstr>
      <vt:lpstr>'DOY184'!Maximum</vt:lpstr>
      <vt:lpstr>'DOY185'!Maximum</vt:lpstr>
      <vt:lpstr>'DOY188'!Maximum</vt:lpstr>
      <vt:lpstr>'DOY189'!Maximum</vt:lpstr>
      <vt:lpstr>'DOY195'!Maximum</vt:lpstr>
      <vt:lpstr>'DOY196'!Maximum</vt:lpstr>
      <vt:lpstr>'DOY197'!Maximum</vt:lpstr>
      <vt:lpstr>'DOY198'!Maximum</vt:lpstr>
      <vt:lpstr>'DOY213'!Maximum</vt:lpstr>
      <vt:lpstr>'DOY216'!Maximum</vt:lpstr>
      <vt:lpstr>'DOY246'!Maximum</vt:lpstr>
      <vt:lpstr>'DOY247'!Maximum</vt:lpstr>
      <vt:lpstr>'DOY248'!Maximum</vt:lpstr>
      <vt:lpstr>'DOY251'!Maximum</vt:lpstr>
      <vt:lpstr>'DOY252'!Maximum</vt:lpstr>
      <vt:lpstr>'DOY253'!Maximum</vt:lpstr>
      <vt:lpstr>Maximum</vt:lpstr>
      <vt:lpstr>'DOY128'!Mean</vt:lpstr>
      <vt:lpstr>'DOY132'!Mean</vt:lpstr>
      <vt:lpstr>'DOY136'!Mean</vt:lpstr>
      <vt:lpstr>'DOY139'!Mean</vt:lpstr>
      <vt:lpstr>'DOY141'!Mean</vt:lpstr>
      <vt:lpstr>'DOY143'!Mean</vt:lpstr>
      <vt:lpstr>'DOY147'!Mean</vt:lpstr>
      <vt:lpstr>'DOY148'!Mean</vt:lpstr>
      <vt:lpstr>'DOY149'!Mean</vt:lpstr>
      <vt:lpstr>'DOY150'!Mean</vt:lpstr>
      <vt:lpstr>'DOY153'!Mean</vt:lpstr>
      <vt:lpstr>'DOY154'!Mean</vt:lpstr>
      <vt:lpstr>'DOY155'!Mean</vt:lpstr>
      <vt:lpstr>'DOY156'!Mean</vt:lpstr>
      <vt:lpstr>'DOY157'!Mean</vt:lpstr>
      <vt:lpstr>'DOY160'!Mean</vt:lpstr>
      <vt:lpstr>'DOY161'!Mean</vt:lpstr>
      <vt:lpstr>'DOY162'!Mean</vt:lpstr>
      <vt:lpstr>'DOY163'!Mean</vt:lpstr>
      <vt:lpstr>'DOY164'!Mean</vt:lpstr>
      <vt:lpstr>'DOY167'!Mean</vt:lpstr>
      <vt:lpstr>'DOY168'!Mean</vt:lpstr>
      <vt:lpstr>'DOY169'!Mean</vt:lpstr>
      <vt:lpstr>'DOY170'!Mean</vt:lpstr>
      <vt:lpstr>'DOY171'!Mean</vt:lpstr>
      <vt:lpstr>'DOY173'!Mean</vt:lpstr>
      <vt:lpstr>'DOY174'!Mean</vt:lpstr>
      <vt:lpstr>'DOY175'!Mean</vt:lpstr>
      <vt:lpstr>'DOY176'!Mean</vt:lpstr>
      <vt:lpstr>'DOY177'!Mean</vt:lpstr>
      <vt:lpstr>'DOY178'!Mean</vt:lpstr>
      <vt:lpstr>'DOY180'!Mean</vt:lpstr>
      <vt:lpstr>'DOY181'!Mean</vt:lpstr>
      <vt:lpstr>'DOY182'!Mean</vt:lpstr>
      <vt:lpstr>'DOY183'!Mean</vt:lpstr>
      <vt:lpstr>'DOY184'!Mean</vt:lpstr>
      <vt:lpstr>'DOY185'!Mean</vt:lpstr>
      <vt:lpstr>'DOY188'!Mean</vt:lpstr>
      <vt:lpstr>'DOY189'!Mean</vt:lpstr>
      <vt:lpstr>'DOY195'!Mean</vt:lpstr>
      <vt:lpstr>'DOY196'!Mean</vt:lpstr>
      <vt:lpstr>'DOY197'!Mean</vt:lpstr>
      <vt:lpstr>'DOY198'!Mean</vt:lpstr>
      <vt:lpstr>'DOY213'!Mean</vt:lpstr>
      <vt:lpstr>'DOY216'!Mean</vt:lpstr>
      <vt:lpstr>'DOY246'!Mean</vt:lpstr>
      <vt:lpstr>'DOY247'!Mean</vt:lpstr>
      <vt:lpstr>'DOY248'!Mean</vt:lpstr>
      <vt:lpstr>'DOY251'!Mean</vt:lpstr>
      <vt:lpstr>'DOY252'!Mean</vt:lpstr>
      <vt:lpstr>'DOY253'!Mean</vt:lpstr>
      <vt:lpstr>Mean</vt:lpstr>
      <vt:lpstr>'DOY128'!Median</vt:lpstr>
      <vt:lpstr>'DOY132'!Median</vt:lpstr>
      <vt:lpstr>'DOY136'!Median</vt:lpstr>
      <vt:lpstr>'DOY139'!Median</vt:lpstr>
      <vt:lpstr>'DOY141'!Median</vt:lpstr>
      <vt:lpstr>'DOY143'!Median</vt:lpstr>
      <vt:lpstr>'DOY147'!Median</vt:lpstr>
      <vt:lpstr>'DOY148'!Median</vt:lpstr>
      <vt:lpstr>'DOY149'!Median</vt:lpstr>
      <vt:lpstr>'DOY150'!Median</vt:lpstr>
      <vt:lpstr>'DOY153'!Median</vt:lpstr>
      <vt:lpstr>'DOY154'!Median</vt:lpstr>
      <vt:lpstr>'DOY155'!Median</vt:lpstr>
      <vt:lpstr>'DOY156'!Median</vt:lpstr>
      <vt:lpstr>'DOY157'!Median</vt:lpstr>
      <vt:lpstr>'DOY160'!Median</vt:lpstr>
      <vt:lpstr>'DOY161'!Median</vt:lpstr>
      <vt:lpstr>'DOY162'!Median</vt:lpstr>
      <vt:lpstr>'DOY163'!Median</vt:lpstr>
      <vt:lpstr>'DOY164'!Median</vt:lpstr>
      <vt:lpstr>'DOY167'!Median</vt:lpstr>
      <vt:lpstr>'DOY168'!Median</vt:lpstr>
      <vt:lpstr>'DOY169'!Median</vt:lpstr>
      <vt:lpstr>'DOY170'!Median</vt:lpstr>
      <vt:lpstr>'DOY171'!Median</vt:lpstr>
      <vt:lpstr>'DOY173'!Median</vt:lpstr>
      <vt:lpstr>'DOY174'!Median</vt:lpstr>
      <vt:lpstr>'DOY175'!Median</vt:lpstr>
      <vt:lpstr>'DOY176'!Median</vt:lpstr>
      <vt:lpstr>'DOY177'!Median</vt:lpstr>
      <vt:lpstr>'DOY178'!Median</vt:lpstr>
      <vt:lpstr>'DOY180'!Median</vt:lpstr>
      <vt:lpstr>'DOY181'!Median</vt:lpstr>
      <vt:lpstr>'DOY182'!Median</vt:lpstr>
      <vt:lpstr>'DOY183'!Median</vt:lpstr>
      <vt:lpstr>'DOY184'!Median</vt:lpstr>
      <vt:lpstr>'DOY185'!Median</vt:lpstr>
      <vt:lpstr>'DOY188'!Median</vt:lpstr>
      <vt:lpstr>'DOY189'!Median</vt:lpstr>
      <vt:lpstr>'DOY195'!Median</vt:lpstr>
      <vt:lpstr>'DOY196'!Median</vt:lpstr>
      <vt:lpstr>'DOY197'!Median</vt:lpstr>
      <vt:lpstr>'DOY198'!Median</vt:lpstr>
      <vt:lpstr>'DOY213'!Median</vt:lpstr>
      <vt:lpstr>'DOY216'!Median</vt:lpstr>
      <vt:lpstr>'DOY246'!Median</vt:lpstr>
      <vt:lpstr>'DOY247'!Median</vt:lpstr>
      <vt:lpstr>'DOY248'!Median</vt:lpstr>
      <vt:lpstr>'DOY251'!Median</vt:lpstr>
      <vt:lpstr>'DOY252'!Median</vt:lpstr>
      <vt:lpstr>'DOY253'!Median</vt:lpstr>
      <vt:lpstr>Median</vt:lpstr>
      <vt:lpstr>'DOY128'!Minimum</vt:lpstr>
      <vt:lpstr>'DOY132'!Minimum</vt:lpstr>
      <vt:lpstr>'DOY136'!Minimum</vt:lpstr>
      <vt:lpstr>'DOY139'!Minimum</vt:lpstr>
      <vt:lpstr>'DOY141'!Minimum</vt:lpstr>
      <vt:lpstr>'DOY143'!Minimum</vt:lpstr>
      <vt:lpstr>'DOY147'!Minimum</vt:lpstr>
      <vt:lpstr>'DOY148'!Minimum</vt:lpstr>
      <vt:lpstr>'DOY149'!Minimum</vt:lpstr>
      <vt:lpstr>'DOY150'!Minimum</vt:lpstr>
      <vt:lpstr>'DOY153'!Minimum</vt:lpstr>
      <vt:lpstr>'DOY154'!Minimum</vt:lpstr>
      <vt:lpstr>'DOY155'!Minimum</vt:lpstr>
      <vt:lpstr>'DOY156'!Minimum</vt:lpstr>
      <vt:lpstr>'DOY157'!Minimum</vt:lpstr>
      <vt:lpstr>'DOY160'!Minimum</vt:lpstr>
      <vt:lpstr>'DOY161'!Minimum</vt:lpstr>
      <vt:lpstr>'DOY162'!Minimum</vt:lpstr>
      <vt:lpstr>'DOY163'!Minimum</vt:lpstr>
      <vt:lpstr>'DOY164'!Minimum</vt:lpstr>
      <vt:lpstr>'DOY167'!Minimum</vt:lpstr>
      <vt:lpstr>'DOY168'!Minimum</vt:lpstr>
      <vt:lpstr>'DOY169'!Minimum</vt:lpstr>
      <vt:lpstr>'DOY170'!Minimum</vt:lpstr>
      <vt:lpstr>'DOY171'!Minimum</vt:lpstr>
      <vt:lpstr>'DOY173'!Minimum</vt:lpstr>
      <vt:lpstr>'DOY174'!Minimum</vt:lpstr>
      <vt:lpstr>'DOY175'!Minimum</vt:lpstr>
      <vt:lpstr>'DOY176'!Minimum</vt:lpstr>
      <vt:lpstr>'DOY177'!Minimum</vt:lpstr>
      <vt:lpstr>'DOY178'!Minimum</vt:lpstr>
      <vt:lpstr>'DOY180'!Minimum</vt:lpstr>
      <vt:lpstr>'DOY181'!Minimum</vt:lpstr>
      <vt:lpstr>'DOY182'!Minimum</vt:lpstr>
      <vt:lpstr>'DOY183'!Minimum</vt:lpstr>
      <vt:lpstr>'DOY184'!Minimum</vt:lpstr>
      <vt:lpstr>'DOY185'!Minimum</vt:lpstr>
      <vt:lpstr>'DOY188'!Minimum</vt:lpstr>
      <vt:lpstr>'DOY189'!Minimum</vt:lpstr>
      <vt:lpstr>'DOY195'!Minimum</vt:lpstr>
      <vt:lpstr>'DOY196'!Minimum</vt:lpstr>
      <vt:lpstr>'DOY197'!Minimum</vt:lpstr>
      <vt:lpstr>'DOY198'!Minimum</vt:lpstr>
      <vt:lpstr>'DOY213'!Minimum</vt:lpstr>
      <vt:lpstr>'DOY216'!Minimum</vt:lpstr>
      <vt:lpstr>'DOY246'!Minimum</vt:lpstr>
      <vt:lpstr>'DOY247'!Minimum</vt:lpstr>
      <vt:lpstr>'DOY248'!Minimum</vt:lpstr>
      <vt:lpstr>'DOY251'!Minimum</vt:lpstr>
      <vt:lpstr>'DOY252'!Minimum</vt:lpstr>
      <vt:lpstr>'DOY253'!Minimum</vt:lpstr>
      <vt:lpstr>Minimum</vt:lpstr>
      <vt:lpstr>'DOY128'!N</vt:lpstr>
      <vt:lpstr>'DOY132'!N</vt:lpstr>
      <vt:lpstr>'DOY136'!N</vt:lpstr>
      <vt:lpstr>'DOY139'!N</vt:lpstr>
      <vt:lpstr>'DOY141'!N</vt:lpstr>
      <vt:lpstr>'DOY143'!N</vt:lpstr>
      <vt:lpstr>'DOY147'!N</vt:lpstr>
      <vt:lpstr>'DOY148'!N</vt:lpstr>
      <vt:lpstr>'DOY149'!N</vt:lpstr>
      <vt:lpstr>'DOY150'!N</vt:lpstr>
      <vt:lpstr>'DOY153'!N</vt:lpstr>
      <vt:lpstr>'DOY154'!N</vt:lpstr>
      <vt:lpstr>'DOY155'!N</vt:lpstr>
      <vt:lpstr>'DOY156'!N</vt:lpstr>
      <vt:lpstr>'DOY157'!N</vt:lpstr>
      <vt:lpstr>'DOY160'!N</vt:lpstr>
      <vt:lpstr>'DOY161'!N</vt:lpstr>
      <vt:lpstr>'DOY162'!N</vt:lpstr>
      <vt:lpstr>'DOY163'!N</vt:lpstr>
      <vt:lpstr>'DOY164'!N</vt:lpstr>
      <vt:lpstr>'DOY167'!N</vt:lpstr>
      <vt:lpstr>'DOY168'!N</vt:lpstr>
      <vt:lpstr>'DOY169'!N</vt:lpstr>
      <vt:lpstr>'DOY170'!N</vt:lpstr>
      <vt:lpstr>'DOY171'!N</vt:lpstr>
      <vt:lpstr>'DOY173'!N</vt:lpstr>
      <vt:lpstr>'DOY174'!N</vt:lpstr>
      <vt:lpstr>'DOY175'!N</vt:lpstr>
      <vt:lpstr>'DOY176'!N</vt:lpstr>
      <vt:lpstr>'DOY177'!N</vt:lpstr>
      <vt:lpstr>'DOY178'!N</vt:lpstr>
      <vt:lpstr>'DOY180'!N</vt:lpstr>
      <vt:lpstr>'DOY181'!N</vt:lpstr>
      <vt:lpstr>'DOY182'!N</vt:lpstr>
      <vt:lpstr>'DOY183'!N</vt:lpstr>
      <vt:lpstr>'DOY184'!N</vt:lpstr>
      <vt:lpstr>'DOY185'!N</vt:lpstr>
      <vt:lpstr>'DOY188'!N</vt:lpstr>
      <vt:lpstr>'DOY189'!N</vt:lpstr>
      <vt:lpstr>'DOY195'!N</vt:lpstr>
      <vt:lpstr>'DOY196'!N</vt:lpstr>
      <vt:lpstr>'DOY197'!N</vt:lpstr>
      <vt:lpstr>'DOY198'!N</vt:lpstr>
      <vt:lpstr>'DOY213'!N</vt:lpstr>
      <vt:lpstr>'DOY216'!N</vt:lpstr>
      <vt:lpstr>'DOY246'!N</vt:lpstr>
      <vt:lpstr>'DOY247'!N</vt:lpstr>
      <vt:lpstr>'DOY248'!N</vt:lpstr>
      <vt:lpstr>'DOY251'!N</vt:lpstr>
      <vt:lpstr>'DOY252'!N</vt:lpstr>
      <vt:lpstr>'DOY253'!N</vt:lpstr>
      <vt:lpstr>N</vt:lpstr>
      <vt:lpstr>'DOY128'!PlotID</vt:lpstr>
      <vt:lpstr>'DOY132'!PlotID</vt:lpstr>
      <vt:lpstr>'DOY136'!PlotID</vt:lpstr>
      <vt:lpstr>'DOY139'!PlotID</vt:lpstr>
      <vt:lpstr>'DOY141'!PlotID</vt:lpstr>
      <vt:lpstr>'DOY143'!PlotID</vt:lpstr>
      <vt:lpstr>'DOY147'!PlotID</vt:lpstr>
      <vt:lpstr>'DOY148'!PlotID</vt:lpstr>
      <vt:lpstr>'DOY149'!PlotID</vt:lpstr>
      <vt:lpstr>'DOY150'!PlotID</vt:lpstr>
      <vt:lpstr>'DOY153'!PlotID</vt:lpstr>
      <vt:lpstr>'DOY154'!PlotID</vt:lpstr>
      <vt:lpstr>'DOY155'!PlotID</vt:lpstr>
      <vt:lpstr>'DOY156'!PlotID</vt:lpstr>
      <vt:lpstr>'DOY157'!PlotID</vt:lpstr>
      <vt:lpstr>'DOY160'!PlotID</vt:lpstr>
      <vt:lpstr>'DOY161'!PlotID</vt:lpstr>
      <vt:lpstr>'DOY162'!PlotID</vt:lpstr>
      <vt:lpstr>'DOY163'!PlotID</vt:lpstr>
      <vt:lpstr>'DOY164'!PlotID</vt:lpstr>
      <vt:lpstr>'DOY167'!PlotID</vt:lpstr>
      <vt:lpstr>'DOY168'!PlotID</vt:lpstr>
      <vt:lpstr>'DOY169'!PlotID</vt:lpstr>
      <vt:lpstr>'DOY170'!PlotID</vt:lpstr>
      <vt:lpstr>'DOY171'!PlotID</vt:lpstr>
      <vt:lpstr>'DOY173'!PlotID</vt:lpstr>
      <vt:lpstr>'DOY174'!PlotID</vt:lpstr>
      <vt:lpstr>'DOY175'!PlotID</vt:lpstr>
      <vt:lpstr>'DOY176'!PlotID</vt:lpstr>
      <vt:lpstr>'DOY177'!PlotID</vt:lpstr>
      <vt:lpstr>'DOY178'!PlotID</vt:lpstr>
      <vt:lpstr>'DOY180'!PlotID</vt:lpstr>
      <vt:lpstr>'DOY181'!PlotID</vt:lpstr>
      <vt:lpstr>'DOY182'!PlotID</vt:lpstr>
      <vt:lpstr>'DOY183'!PlotID</vt:lpstr>
      <vt:lpstr>'DOY184'!PlotID</vt:lpstr>
      <vt:lpstr>'DOY185'!PlotID</vt:lpstr>
      <vt:lpstr>'DOY188'!PlotID</vt:lpstr>
      <vt:lpstr>'DOY189'!PlotID</vt:lpstr>
      <vt:lpstr>'DOY195'!PlotID</vt:lpstr>
      <vt:lpstr>'DOY196'!PlotID</vt:lpstr>
      <vt:lpstr>'DOY197'!PlotID</vt:lpstr>
      <vt:lpstr>'DOY198'!PlotID</vt:lpstr>
      <vt:lpstr>'DOY213'!PlotID</vt:lpstr>
      <vt:lpstr>'DOY216'!PlotID</vt:lpstr>
      <vt:lpstr>'DOY246'!PlotID</vt:lpstr>
      <vt:lpstr>'DOY247'!PlotID</vt:lpstr>
      <vt:lpstr>'DOY248'!PlotID</vt:lpstr>
      <vt:lpstr>'DOY251'!PlotID</vt:lpstr>
      <vt:lpstr>'DOY252'!PlotID</vt:lpstr>
      <vt:lpstr>'DOY253'!PlotID</vt:lpstr>
      <vt:lpstr>PlotID</vt:lpstr>
      <vt:lpstr>'DOY128'!Pop</vt:lpstr>
      <vt:lpstr>'DOY132'!Pop</vt:lpstr>
      <vt:lpstr>'DOY136'!Pop</vt:lpstr>
      <vt:lpstr>'DOY139'!Pop</vt:lpstr>
      <vt:lpstr>'DOY141'!Pop</vt:lpstr>
      <vt:lpstr>'DOY143'!Pop</vt:lpstr>
      <vt:lpstr>'DOY147'!Pop</vt:lpstr>
      <vt:lpstr>'DOY148'!Pop</vt:lpstr>
      <vt:lpstr>'DOY149'!Pop</vt:lpstr>
      <vt:lpstr>'DOY150'!Pop</vt:lpstr>
      <vt:lpstr>'DOY153'!Pop</vt:lpstr>
      <vt:lpstr>'DOY154'!Pop</vt:lpstr>
      <vt:lpstr>'DOY155'!Pop</vt:lpstr>
      <vt:lpstr>'DOY156'!Pop</vt:lpstr>
      <vt:lpstr>'DOY157'!Pop</vt:lpstr>
      <vt:lpstr>'DOY160'!Pop</vt:lpstr>
      <vt:lpstr>'DOY161'!Pop</vt:lpstr>
      <vt:lpstr>'DOY162'!Pop</vt:lpstr>
      <vt:lpstr>'DOY163'!Pop</vt:lpstr>
      <vt:lpstr>'DOY164'!Pop</vt:lpstr>
      <vt:lpstr>'DOY167'!Pop</vt:lpstr>
      <vt:lpstr>'DOY168'!Pop</vt:lpstr>
      <vt:lpstr>'DOY169'!Pop</vt:lpstr>
      <vt:lpstr>'DOY170'!Pop</vt:lpstr>
      <vt:lpstr>'DOY171'!Pop</vt:lpstr>
      <vt:lpstr>'DOY173'!Pop</vt:lpstr>
      <vt:lpstr>'DOY174'!Pop</vt:lpstr>
      <vt:lpstr>'DOY175'!Pop</vt:lpstr>
      <vt:lpstr>'DOY176'!Pop</vt:lpstr>
      <vt:lpstr>'DOY177'!Pop</vt:lpstr>
      <vt:lpstr>'DOY178'!Pop</vt:lpstr>
      <vt:lpstr>'DOY180'!Pop</vt:lpstr>
      <vt:lpstr>'DOY181'!Pop</vt:lpstr>
      <vt:lpstr>'DOY182'!Pop</vt:lpstr>
      <vt:lpstr>'DOY183'!Pop</vt:lpstr>
      <vt:lpstr>'DOY184'!Pop</vt:lpstr>
      <vt:lpstr>'DOY185'!Pop</vt:lpstr>
      <vt:lpstr>'DOY188'!Pop</vt:lpstr>
      <vt:lpstr>'DOY189'!Pop</vt:lpstr>
      <vt:lpstr>'DOY195'!Pop</vt:lpstr>
      <vt:lpstr>'DOY196'!Pop</vt:lpstr>
      <vt:lpstr>'DOY197'!Pop</vt:lpstr>
      <vt:lpstr>'DOY198'!Pop</vt:lpstr>
      <vt:lpstr>'DOY213'!Pop</vt:lpstr>
      <vt:lpstr>'DOY216'!Pop</vt:lpstr>
      <vt:lpstr>'DOY246'!Pop</vt:lpstr>
      <vt:lpstr>'DOY247'!Pop</vt:lpstr>
      <vt:lpstr>'DOY248'!Pop</vt:lpstr>
      <vt:lpstr>'DOY251'!Pop</vt:lpstr>
      <vt:lpstr>'DOY252'!Pop</vt:lpstr>
      <vt:lpstr>'DOY253'!Pop</vt:lpstr>
      <vt:lpstr>Pop</vt:lpstr>
      <vt:lpstr>'DOY128'!Quartile1</vt:lpstr>
      <vt:lpstr>'DOY132'!Quartile1</vt:lpstr>
      <vt:lpstr>'DOY136'!Quartile1</vt:lpstr>
      <vt:lpstr>'DOY139'!Quartile1</vt:lpstr>
      <vt:lpstr>'DOY141'!Quartile1</vt:lpstr>
      <vt:lpstr>'DOY143'!Quartile1</vt:lpstr>
      <vt:lpstr>'DOY147'!Quartile1</vt:lpstr>
      <vt:lpstr>'DOY148'!Quartile1</vt:lpstr>
      <vt:lpstr>'DOY149'!Quartile1</vt:lpstr>
      <vt:lpstr>'DOY150'!Quartile1</vt:lpstr>
      <vt:lpstr>'DOY153'!Quartile1</vt:lpstr>
      <vt:lpstr>'DOY154'!Quartile1</vt:lpstr>
      <vt:lpstr>'DOY155'!Quartile1</vt:lpstr>
      <vt:lpstr>'DOY156'!Quartile1</vt:lpstr>
      <vt:lpstr>'DOY157'!Quartile1</vt:lpstr>
      <vt:lpstr>'DOY160'!Quartile1</vt:lpstr>
      <vt:lpstr>'DOY161'!Quartile1</vt:lpstr>
      <vt:lpstr>'DOY162'!Quartile1</vt:lpstr>
      <vt:lpstr>'DOY163'!Quartile1</vt:lpstr>
      <vt:lpstr>'DOY164'!Quartile1</vt:lpstr>
      <vt:lpstr>'DOY167'!Quartile1</vt:lpstr>
      <vt:lpstr>'DOY168'!Quartile1</vt:lpstr>
      <vt:lpstr>'DOY169'!Quartile1</vt:lpstr>
      <vt:lpstr>'DOY170'!Quartile1</vt:lpstr>
      <vt:lpstr>'DOY171'!Quartile1</vt:lpstr>
      <vt:lpstr>'DOY173'!Quartile1</vt:lpstr>
      <vt:lpstr>'DOY174'!Quartile1</vt:lpstr>
      <vt:lpstr>'DOY175'!Quartile1</vt:lpstr>
      <vt:lpstr>'DOY176'!Quartile1</vt:lpstr>
      <vt:lpstr>'DOY177'!Quartile1</vt:lpstr>
      <vt:lpstr>'DOY178'!Quartile1</vt:lpstr>
      <vt:lpstr>'DOY180'!Quartile1</vt:lpstr>
      <vt:lpstr>'DOY181'!Quartile1</vt:lpstr>
      <vt:lpstr>'DOY182'!Quartile1</vt:lpstr>
      <vt:lpstr>'DOY183'!Quartile1</vt:lpstr>
      <vt:lpstr>'DOY184'!Quartile1</vt:lpstr>
      <vt:lpstr>'DOY185'!Quartile1</vt:lpstr>
      <vt:lpstr>'DOY188'!Quartile1</vt:lpstr>
      <vt:lpstr>'DOY189'!Quartile1</vt:lpstr>
      <vt:lpstr>'DOY195'!Quartile1</vt:lpstr>
      <vt:lpstr>'DOY196'!Quartile1</vt:lpstr>
      <vt:lpstr>'DOY197'!Quartile1</vt:lpstr>
      <vt:lpstr>'DOY198'!Quartile1</vt:lpstr>
      <vt:lpstr>'DOY213'!Quartile1</vt:lpstr>
      <vt:lpstr>'DOY216'!Quartile1</vt:lpstr>
      <vt:lpstr>'DOY246'!Quartile1</vt:lpstr>
      <vt:lpstr>'DOY247'!Quartile1</vt:lpstr>
      <vt:lpstr>'DOY248'!Quartile1</vt:lpstr>
      <vt:lpstr>'DOY251'!Quartile1</vt:lpstr>
      <vt:lpstr>'DOY252'!Quartile1</vt:lpstr>
      <vt:lpstr>'DOY253'!Quartile1</vt:lpstr>
      <vt:lpstr>Quartile1</vt:lpstr>
      <vt:lpstr>'DOY128'!Quartile3</vt:lpstr>
      <vt:lpstr>'DOY132'!Quartile3</vt:lpstr>
      <vt:lpstr>'DOY136'!Quartile3</vt:lpstr>
      <vt:lpstr>'DOY139'!Quartile3</vt:lpstr>
      <vt:lpstr>'DOY141'!Quartile3</vt:lpstr>
      <vt:lpstr>'DOY143'!Quartile3</vt:lpstr>
      <vt:lpstr>'DOY147'!Quartile3</vt:lpstr>
      <vt:lpstr>'DOY148'!Quartile3</vt:lpstr>
      <vt:lpstr>'DOY149'!Quartile3</vt:lpstr>
      <vt:lpstr>'DOY150'!Quartile3</vt:lpstr>
      <vt:lpstr>'DOY153'!Quartile3</vt:lpstr>
      <vt:lpstr>'DOY154'!Quartile3</vt:lpstr>
      <vt:lpstr>'DOY155'!Quartile3</vt:lpstr>
      <vt:lpstr>'DOY156'!Quartile3</vt:lpstr>
      <vt:lpstr>'DOY157'!Quartile3</vt:lpstr>
      <vt:lpstr>'DOY160'!Quartile3</vt:lpstr>
      <vt:lpstr>'DOY161'!Quartile3</vt:lpstr>
      <vt:lpstr>'DOY162'!Quartile3</vt:lpstr>
      <vt:lpstr>'DOY163'!Quartile3</vt:lpstr>
      <vt:lpstr>'DOY164'!Quartile3</vt:lpstr>
      <vt:lpstr>'DOY167'!Quartile3</vt:lpstr>
      <vt:lpstr>'DOY168'!Quartile3</vt:lpstr>
      <vt:lpstr>'DOY169'!Quartile3</vt:lpstr>
      <vt:lpstr>'DOY170'!Quartile3</vt:lpstr>
      <vt:lpstr>'DOY171'!Quartile3</vt:lpstr>
      <vt:lpstr>'DOY173'!Quartile3</vt:lpstr>
      <vt:lpstr>'DOY174'!Quartile3</vt:lpstr>
      <vt:lpstr>'DOY175'!Quartile3</vt:lpstr>
      <vt:lpstr>'DOY176'!Quartile3</vt:lpstr>
      <vt:lpstr>'DOY177'!Quartile3</vt:lpstr>
      <vt:lpstr>'DOY178'!Quartile3</vt:lpstr>
      <vt:lpstr>'DOY180'!Quartile3</vt:lpstr>
      <vt:lpstr>'DOY181'!Quartile3</vt:lpstr>
      <vt:lpstr>'DOY182'!Quartile3</vt:lpstr>
      <vt:lpstr>'DOY183'!Quartile3</vt:lpstr>
      <vt:lpstr>'DOY184'!Quartile3</vt:lpstr>
      <vt:lpstr>'DOY185'!Quartile3</vt:lpstr>
      <vt:lpstr>'DOY188'!Quartile3</vt:lpstr>
      <vt:lpstr>'DOY189'!Quartile3</vt:lpstr>
      <vt:lpstr>'DOY195'!Quartile3</vt:lpstr>
      <vt:lpstr>'DOY196'!Quartile3</vt:lpstr>
      <vt:lpstr>'DOY197'!Quartile3</vt:lpstr>
      <vt:lpstr>'DOY198'!Quartile3</vt:lpstr>
      <vt:lpstr>'DOY213'!Quartile3</vt:lpstr>
      <vt:lpstr>'DOY216'!Quartile3</vt:lpstr>
      <vt:lpstr>'DOY246'!Quartile3</vt:lpstr>
      <vt:lpstr>'DOY247'!Quartile3</vt:lpstr>
      <vt:lpstr>'DOY248'!Quartile3</vt:lpstr>
      <vt:lpstr>'DOY251'!Quartile3</vt:lpstr>
      <vt:lpstr>'DOY252'!Quartile3</vt:lpstr>
      <vt:lpstr>'DOY253'!Quartile3</vt:lpstr>
      <vt:lpstr>Quartile3</vt:lpstr>
      <vt:lpstr>'DOY128'!Skewness</vt:lpstr>
      <vt:lpstr>'DOY132'!Skewness</vt:lpstr>
      <vt:lpstr>'DOY136'!Skewness</vt:lpstr>
      <vt:lpstr>'DOY139'!Skewness</vt:lpstr>
      <vt:lpstr>'DOY141'!Skewness</vt:lpstr>
      <vt:lpstr>'DOY143'!Skewness</vt:lpstr>
      <vt:lpstr>'DOY147'!Skewness</vt:lpstr>
      <vt:lpstr>'DOY148'!Skewness</vt:lpstr>
      <vt:lpstr>'DOY149'!Skewness</vt:lpstr>
      <vt:lpstr>'DOY150'!Skewness</vt:lpstr>
      <vt:lpstr>'DOY153'!Skewness</vt:lpstr>
      <vt:lpstr>'DOY154'!Skewness</vt:lpstr>
      <vt:lpstr>'DOY155'!Skewness</vt:lpstr>
      <vt:lpstr>'DOY156'!Skewness</vt:lpstr>
      <vt:lpstr>'DOY157'!Skewness</vt:lpstr>
      <vt:lpstr>'DOY160'!Skewness</vt:lpstr>
      <vt:lpstr>'DOY161'!Skewness</vt:lpstr>
      <vt:lpstr>'DOY162'!Skewness</vt:lpstr>
      <vt:lpstr>'DOY163'!Skewness</vt:lpstr>
      <vt:lpstr>'DOY164'!Skewness</vt:lpstr>
      <vt:lpstr>'DOY167'!Skewness</vt:lpstr>
      <vt:lpstr>'DOY168'!Skewness</vt:lpstr>
      <vt:lpstr>'DOY169'!Skewness</vt:lpstr>
      <vt:lpstr>'DOY170'!Skewness</vt:lpstr>
      <vt:lpstr>'DOY171'!Skewness</vt:lpstr>
      <vt:lpstr>'DOY173'!Skewness</vt:lpstr>
      <vt:lpstr>'DOY174'!Skewness</vt:lpstr>
      <vt:lpstr>'DOY175'!Skewness</vt:lpstr>
      <vt:lpstr>'DOY176'!Skewness</vt:lpstr>
      <vt:lpstr>'DOY177'!Skewness</vt:lpstr>
      <vt:lpstr>'DOY178'!Skewness</vt:lpstr>
      <vt:lpstr>'DOY180'!Skewness</vt:lpstr>
      <vt:lpstr>'DOY181'!Skewness</vt:lpstr>
      <vt:lpstr>'DOY182'!Skewness</vt:lpstr>
      <vt:lpstr>'DOY183'!Skewness</vt:lpstr>
      <vt:lpstr>'DOY184'!Skewness</vt:lpstr>
      <vt:lpstr>'DOY185'!Skewness</vt:lpstr>
      <vt:lpstr>'DOY188'!Skewness</vt:lpstr>
      <vt:lpstr>'DOY189'!Skewness</vt:lpstr>
      <vt:lpstr>'DOY195'!Skewness</vt:lpstr>
      <vt:lpstr>'DOY196'!Skewness</vt:lpstr>
      <vt:lpstr>'DOY197'!Skewness</vt:lpstr>
      <vt:lpstr>'DOY198'!Skewness</vt:lpstr>
      <vt:lpstr>'DOY213'!Skewness</vt:lpstr>
      <vt:lpstr>'DOY216'!Skewness</vt:lpstr>
      <vt:lpstr>'DOY246'!Skewness</vt:lpstr>
      <vt:lpstr>'DOY247'!Skewness</vt:lpstr>
      <vt:lpstr>'DOY248'!Skewness</vt:lpstr>
      <vt:lpstr>'DOY251'!Skewness</vt:lpstr>
      <vt:lpstr>'DOY252'!Skewness</vt:lpstr>
      <vt:lpstr>'DOY253'!Skewness</vt:lpstr>
      <vt:lpstr>Skewness</vt:lpstr>
      <vt:lpstr>'DOY128'!StdErr</vt:lpstr>
      <vt:lpstr>'DOY132'!StdErr</vt:lpstr>
      <vt:lpstr>'DOY136'!StdErr</vt:lpstr>
      <vt:lpstr>'DOY139'!StdErr</vt:lpstr>
      <vt:lpstr>'DOY141'!StdErr</vt:lpstr>
      <vt:lpstr>'DOY143'!StdErr</vt:lpstr>
      <vt:lpstr>'DOY147'!StdErr</vt:lpstr>
      <vt:lpstr>'DOY148'!StdErr</vt:lpstr>
      <vt:lpstr>'DOY149'!StdErr</vt:lpstr>
      <vt:lpstr>'DOY150'!StdErr</vt:lpstr>
      <vt:lpstr>'DOY153'!StdErr</vt:lpstr>
      <vt:lpstr>'DOY154'!StdErr</vt:lpstr>
      <vt:lpstr>'DOY155'!StdErr</vt:lpstr>
      <vt:lpstr>'DOY156'!StdErr</vt:lpstr>
      <vt:lpstr>'DOY157'!StdErr</vt:lpstr>
      <vt:lpstr>'DOY160'!StdErr</vt:lpstr>
      <vt:lpstr>'DOY161'!StdErr</vt:lpstr>
      <vt:lpstr>'DOY162'!StdErr</vt:lpstr>
      <vt:lpstr>'DOY163'!StdErr</vt:lpstr>
      <vt:lpstr>'DOY164'!StdErr</vt:lpstr>
      <vt:lpstr>'DOY167'!StdErr</vt:lpstr>
      <vt:lpstr>'DOY168'!StdErr</vt:lpstr>
      <vt:lpstr>'DOY169'!StdErr</vt:lpstr>
      <vt:lpstr>'DOY170'!StdErr</vt:lpstr>
      <vt:lpstr>'DOY171'!StdErr</vt:lpstr>
      <vt:lpstr>'DOY173'!StdErr</vt:lpstr>
      <vt:lpstr>'DOY174'!StdErr</vt:lpstr>
      <vt:lpstr>'DOY175'!StdErr</vt:lpstr>
      <vt:lpstr>'DOY176'!StdErr</vt:lpstr>
      <vt:lpstr>'DOY177'!StdErr</vt:lpstr>
      <vt:lpstr>'DOY178'!StdErr</vt:lpstr>
      <vt:lpstr>'DOY180'!StdErr</vt:lpstr>
      <vt:lpstr>'DOY181'!StdErr</vt:lpstr>
      <vt:lpstr>'DOY182'!StdErr</vt:lpstr>
      <vt:lpstr>'DOY183'!StdErr</vt:lpstr>
      <vt:lpstr>'DOY184'!StdErr</vt:lpstr>
      <vt:lpstr>'DOY185'!StdErr</vt:lpstr>
      <vt:lpstr>'DOY188'!StdErr</vt:lpstr>
      <vt:lpstr>'DOY189'!StdErr</vt:lpstr>
      <vt:lpstr>'DOY195'!StdErr</vt:lpstr>
      <vt:lpstr>'DOY196'!StdErr</vt:lpstr>
      <vt:lpstr>'DOY197'!StdErr</vt:lpstr>
      <vt:lpstr>'DOY198'!StdErr</vt:lpstr>
      <vt:lpstr>'DOY213'!StdErr</vt:lpstr>
      <vt:lpstr>'DOY216'!StdErr</vt:lpstr>
      <vt:lpstr>'DOY246'!StdErr</vt:lpstr>
      <vt:lpstr>'DOY247'!StdErr</vt:lpstr>
      <vt:lpstr>'DOY248'!StdErr</vt:lpstr>
      <vt:lpstr>'DOY251'!StdErr</vt:lpstr>
      <vt:lpstr>'DOY252'!StdErr</vt:lpstr>
      <vt:lpstr>'DOY253'!StdErr</vt:lpstr>
      <vt:lpstr>StdErr</vt:lpstr>
      <vt:lpstr>'DOY128'!Time</vt:lpstr>
      <vt:lpstr>'DOY132'!Time</vt:lpstr>
      <vt:lpstr>'DOY136'!Time</vt:lpstr>
      <vt:lpstr>'DOY139'!Time</vt:lpstr>
      <vt:lpstr>'DOY141'!Time</vt:lpstr>
      <vt:lpstr>'DOY143'!Time</vt:lpstr>
      <vt:lpstr>'DOY147'!Time</vt:lpstr>
      <vt:lpstr>'DOY148'!Time</vt:lpstr>
      <vt:lpstr>'DOY149'!Time</vt:lpstr>
      <vt:lpstr>'DOY150'!Time</vt:lpstr>
      <vt:lpstr>'DOY153'!Time</vt:lpstr>
      <vt:lpstr>'DOY154'!Time</vt:lpstr>
      <vt:lpstr>'DOY155'!Time</vt:lpstr>
      <vt:lpstr>'DOY156'!Time</vt:lpstr>
      <vt:lpstr>'DOY157'!Time</vt:lpstr>
      <vt:lpstr>'DOY160'!Time</vt:lpstr>
      <vt:lpstr>'DOY161'!Time</vt:lpstr>
      <vt:lpstr>'DOY162'!Time</vt:lpstr>
      <vt:lpstr>'DOY163'!Time</vt:lpstr>
      <vt:lpstr>'DOY164'!Time</vt:lpstr>
      <vt:lpstr>'DOY167'!Time</vt:lpstr>
      <vt:lpstr>'DOY168'!Time</vt:lpstr>
      <vt:lpstr>'DOY169'!Time</vt:lpstr>
      <vt:lpstr>'DOY170'!Time</vt:lpstr>
      <vt:lpstr>'DOY171'!Time</vt:lpstr>
      <vt:lpstr>'DOY173'!Time</vt:lpstr>
      <vt:lpstr>'DOY174'!Time</vt:lpstr>
      <vt:lpstr>'DOY175'!Time</vt:lpstr>
      <vt:lpstr>'DOY176'!Time</vt:lpstr>
      <vt:lpstr>'DOY177'!Time</vt:lpstr>
      <vt:lpstr>'DOY178'!Time</vt:lpstr>
      <vt:lpstr>'DOY180'!Time</vt:lpstr>
      <vt:lpstr>'DOY181'!Time</vt:lpstr>
      <vt:lpstr>'DOY182'!Time</vt:lpstr>
      <vt:lpstr>'DOY183'!Time</vt:lpstr>
      <vt:lpstr>'DOY184'!Time</vt:lpstr>
      <vt:lpstr>'DOY185'!Time</vt:lpstr>
      <vt:lpstr>'DOY188'!Time</vt:lpstr>
      <vt:lpstr>'DOY189'!Time</vt:lpstr>
      <vt:lpstr>'DOY195'!Time</vt:lpstr>
      <vt:lpstr>'DOY196'!Time</vt:lpstr>
      <vt:lpstr>'DOY197'!Time</vt:lpstr>
      <vt:lpstr>'DOY198'!Time</vt:lpstr>
      <vt:lpstr>'DOY213'!Time</vt:lpstr>
      <vt:lpstr>'DOY216'!Time</vt:lpstr>
      <vt:lpstr>'DOY246'!Time</vt:lpstr>
      <vt:lpstr>'DOY247'!Time</vt:lpstr>
      <vt:lpstr>'DOY248'!Time</vt:lpstr>
      <vt:lpstr>'DOY251'!Time</vt:lpstr>
      <vt:lpstr>'DOY252'!Time</vt:lpstr>
      <vt:lpstr>'DOY253'!Time</vt:lpstr>
      <vt:lpstr>Time</vt:lpstr>
      <vt:lpstr>'DOY128'!Trt</vt:lpstr>
      <vt:lpstr>'DOY132'!Trt</vt:lpstr>
      <vt:lpstr>'DOY136'!Trt</vt:lpstr>
      <vt:lpstr>'DOY139'!Trt</vt:lpstr>
      <vt:lpstr>'DOY141'!Trt</vt:lpstr>
      <vt:lpstr>'DOY143'!Trt</vt:lpstr>
      <vt:lpstr>'DOY147'!Trt</vt:lpstr>
      <vt:lpstr>'DOY148'!Trt</vt:lpstr>
      <vt:lpstr>'DOY149'!Trt</vt:lpstr>
      <vt:lpstr>'DOY150'!Trt</vt:lpstr>
      <vt:lpstr>'DOY153'!Trt</vt:lpstr>
      <vt:lpstr>'DOY154'!Trt</vt:lpstr>
      <vt:lpstr>'DOY155'!Trt</vt:lpstr>
      <vt:lpstr>'DOY156'!Trt</vt:lpstr>
      <vt:lpstr>'DOY157'!Trt</vt:lpstr>
      <vt:lpstr>'DOY160'!Trt</vt:lpstr>
      <vt:lpstr>'DOY161'!Trt</vt:lpstr>
      <vt:lpstr>'DOY162'!Trt</vt:lpstr>
      <vt:lpstr>'DOY163'!Trt</vt:lpstr>
      <vt:lpstr>'DOY164'!Trt</vt:lpstr>
      <vt:lpstr>'DOY167'!Trt</vt:lpstr>
      <vt:lpstr>'DOY168'!Trt</vt:lpstr>
      <vt:lpstr>'DOY169'!Trt</vt:lpstr>
      <vt:lpstr>'DOY170'!Trt</vt:lpstr>
      <vt:lpstr>'DOY171'!Trt</vt:lpstr>
      <vt:lpstr>'DOY173'!Trt</vt:lpstr>
      <vt:lpstr>'DOY174'!Trt</vt:lpstr>
      <vt:lpstr>'DOY175'!Trt</vt:lpstr>
      <vt:lpstr>'DOY176'!Trt</vt:lpstr>
      <vt:lpstr>'DOY177'!Trt</vt:lpstr>
      <vt:lpstr>'DOY178'!Trt</vt:lpstr>
      <vt:lpstr>'DOY180'!Trt</vt:lpstr>
      <vt:lpstr>'DOY181'!Trt</vt:lpstr>
      <vt:lpstr>'DOY182'!Trt</vt:lpstr>
      <vt:lpstr>'DOY183'!Trt</vt:lpstr>
      <vt:lpstr>'DOY184'!Trt</vt:lpstr>
      <vt:lpstr>'DOY185'!Trt</vt:lpstr>
      <vt:lpstr>'DOY188'!Trt</vt:lpstr>
      <vt:lpstr>'DOY189'!Trt</vt:lpstr>
      <vt:lpstr>'DOY195'!Trt</vt:lpstr>
      <vt:lpstr>'DOY196'!Trt</vt:lpstr>
      <vt:lpstr>'DOY197'!Trt</vt:lpstr>
      <vt:lpstr>'DOY198'!Trt</vt:lpstr>
      <vt:lpstr>'DOY213'!Trt</vt:lpstr>
      <vt:lpstr>'DOY216'!Trt</vt:lpstr>
      <vt:lpstr>'DOY246'!Trt</vt:lpstr>
      <vt:lpstr>'DOY247'!Trt</vt:lpstr>
      <vt:lpstr>'DOY248'!Trt</vt:lpstr>
      <vt:lpstr>'DOY251'!Trt</vt:lpstr>
      <vt:lpstr>'DOY252'!Trt</vt:lpstr>
      <vt:lpstr>'DOY253'!Trt</vt:lpstr>
      <vt:lpstr>Trt</vt:lpstr>
      <vt:lpstr>'DOY128'!View</vt:lpstr>
      <vt:lpstr>'DOY132'!View</vt:lpstr>
      <vt:lpstr>'DOY136'!View</vt:lpstr>
      <vt:lpstr>'DOY139'!View</vt:lpstr>
      <vt:lpstr>'DOY141'!View</vt:lpstr>
      <vt:lpstr>'DOY143'!View</vt:lpstr>
      <vt:lpstr>'DOY147'!View</vt:lpstr>
      <vt:lpstr>'DOY148'!View</vt:lpstr>
      <vt:lpstr>'DOY149'!View</vt:lpstr>
      <vt:lpstr>'DOY150'!View</vt:lpstr>
      <vt:lpstr>'DOY153'!View</vt:lpstr>
      <vt:lpstr>'DOY154'!View</vt:lpstr>
      <vt:lpstr>'DOY155'!View</vt:lpstr>
      <vt:lpstr>'DOY156'!View</vt:lpstr>
      <vt:lpstr>'DOY157'!View</vt:lpstr>
      <vt:lpstr>'DOY160'!View</vt:lpstr>
      <vt:lpstr>'DOY161'!View</vt:lpstr>
      <vt:lpstr>'DOY162'!View</vt:lpstr>
      <vt:lpstr>'DOY163'!View</vt:lpstr>
      <vt:lpstr>'DOY164'!View</vt:lpstr>
      <vt:lpstr>'DOY167'!View</vt:lpstr>
      <vt:lpstr>'DOY168'!View</vt:lpstr>
      <vt:lpstr>'DOY169'!View</vt:lpstr>
      <vt:lpstr>'DOY170'!View</vt:lpstr>
      <vt:lpstr>'DOY171'!View</vt:lpstr>
      <vt:lpstr>'DOY173'!View</vt:lpstr>
      <vt:lpstr>'DOY174'!View</vt:lpstr>
      <vt:lpstr>'DOY175'!View</vt:lpstr>
      <vt:lpstr>'DOY176'!View</vt:lpstr>
      <vt:lpstr>'DOY177'!View</vt:lpstr>
      <vt:lpstr>'DOY178'!View</vt:lpstr>
      <vt:lpstr>'DOY180'!View</vt:lpstr>
      <vt:lpstr>'DOY181'!View</vt:lpstr>
      <vt:lpstr>'DOY182'!View</vt:lpstr>
      <vt:lpstr>'DOY183'!View</vt:lpstr>
      <vt:lpstr>'DOY184'!View</vt:lpstr>
      <vt:lpstr>'DOY185'!View</vt:lpstr>
      <vt:lpstr>'DOY188'!View</vt:lpstr>
      <vt:lpstr>'DOY189'!View</vt:lpstr>
      <vt:lpstr>'DOY195'!View</vt:lpstr>
      <vt:lpstr>'DOY196'!View</vt:lpstr>
      <vt:lpstr>'DOY197'!View</vt:lpstr>
      <vt:lpstr>'DOY198'!View</vt:lpstr>
      <vt:lpstr>'DOY213'!View</vt:lpstr>
      <vt:lpstr>'DOY216'!View</vt:lpstr>
      <vt:lpstr>'DOY246'!View</vt:lpstr>
      <vt:lpstr>'DOY247'!View</vt:lpstr>
      <vt:lpstr>'DOY248'!View</vt:lpstr>
      <vt:lpstr>'DOY251'!View</vt:lpstr>
      <vt:lpstr>'DOY252'!View</vt:lpstr>
      <vt:lpstr>'DOY253'!View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2025-12-08T22:01:17Z</dcterms:created>
  <dcterms:modified xsi:type="dcterms:W3CDTF">2025-12-15T15:53:32Z</dcterms:modified>
</cp:coreProperties>
</file>